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movie_metadata" sheetId="2" r:id="rId1"/>
    <sheet name="No. of Records" sheetId="4" r:id="rId2"/>
    <sheet name="Visulaize movie by Duration" sheetId="3" r:id="rId3"/>
    <sheet name="Average IMBD Score" sheetId="5" r:id="rId4"/>
    <sheet name="Gross" sheetId="6" r:id="rId5"/>
    <sheet name="Average Duration" sheetId="7" r:id="rId6"/>
    <sheet name=" Trend of number of movies rele" sheetId="8" r:id="rId7"/>
    <sheet name="Director with highest average r" sheetId="9" r:id="rId8"/>
    <sheet name="Understand the distribution of " sheetId="10" r:id="rId9"/>
    <sheet name="Examine the number of movies wi" sheetId="11" r:id="rId10"/>
    <sheet name="Visualize no. of movies" sheetId="12" r:id="rId11"/>
    <sheet name=" Top 5 actor with highest gross" sheetId="13" r:id="rId12"/>
    <sheet name=" Visualize the movie by duratio" sheetId="14" r:id="rId13"/>
    <sheet name="Top 5 movies with highest gross" sheetId="15" r:id="rId14"/>
  </sheets>
  <definedNames>
    <definedName name="_xlnm._FilterDatabase" localSheetId="0" hidden="1">movie_metadata!$A$1:$A$5046</definedName>
  </definedNames>
  <calcPr calcId="191029"/>
  <pivotCaches>
    <pivotCache cacheId="0" r:id="rId15"/>
    <pivotCache cacheId="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<sst xmlns="http://schemas.openxmlformats.org/spreadsheetml/2006/main" count="83402" uniqueCount="24171">
  <si>
    <t>color</t>
  </si>
  <si>
    <t>director_name</t>
  </si>
  <si>
    <t>num_critic_for_reviews</t>
  </si>
  <si>
    <t>duration</t>
  </si>
  <si>
    <t>director_facebook_likes</t>
  </si>
  <si>
    <t>actor_3_facebook_likes</t>
  </si>
  <si>
    <t>actor_1_facebook_likes</t>
  </si>
  <si>
    <t>gross</t>
  </si>
  <si>
    <t>genres</t>
  </si>
  <si>
    <t>actor_1_name</t>
  </si>
  <si>
    <t>actor_2_name</t>
  </si>
  <si>
    <t>actor_3_name</t>
  </si>
  <si>
    <t>movie_title</t>
  </si>
  <si>
    <t>num_voted_users</t>
  </si>
  <si>
    <t>cast_total_facebook_likes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</si>
  <si>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</si>
  <si>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</si>
  <si>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</si>
  <si>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</si>
  <si>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</si>
  <si>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</si>
  <si>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</si>
  <si>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</si>
  <si>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</si>
  <si>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</si>
  <si>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</si>
  <si>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</si>
  <si>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</si>
  <si>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 xml:space="preserve"> </t>
  </si>
  <si>
    <t>Actor</t>
  </si>
  <si>
    <t>Color</t>
  </si>
  <si>
    <t>James Cameron</t>
  </si>
  <si>
    <t>Action|Adventure|Fantasy|Sci-Fi</t>
  </si>
  <si>
    <t>CCH Pounder</t>
  </si>
  <si>
    <t>Joel David Moore</t>
  </si>
  <si>
    <t>Wes Studi</t>
  </si>
  <si>
    <t>Avatar 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</si>
  <si>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</si>
  <si>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</si>
  <si>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</si>
  <si>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</si>
  <si>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</si>
  <si>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</si>
  <si>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Action|Adventure|Fantasy</t>
  </si>
  <si>
    <t>Johnny Depp</t>
  </si>
  <si>
    <t>Orlando Bloom</t>
  </si>
  <si>
    <t>Jack Davenport</t>
  </si>
  <si>
    <t>Pirates of the Caribbean: At World's End </t>
  </si>
  <si>
    <t>goddess|marriage ceremony|marriage proposal|pirate|singapore</t>
  </si>
  <si>
    <t>http://www.imdb.com/title/tt0449088/?ref_=fn_tt_tt_1</t>
  </si>
  <si>
    <t>Sam Mendes</t>
  </si>
  <si>
    <t>Action|Adventure|Thriller</t>
  </si>
  <si>
    <t>Christoph Waltz</t>
  </si>
  <si>
    <t>Rory Kinnear</t>
  </si>
  <si>
    <t>Stephanie Sigman</t>
  </si>
  <si>
    <t>Spectre </t>
  </si>
  <si>
    <t>bomb|espionage|sequel|spy|terrorist</t>
  </si>
  <si>
    <t>http://www.imdb.com/title/tt2379713/?ref_=fn_tt_tt_1</t>
  </si>
  <si>
    <t>UK</t>
  </si>
  <si>
    <t>Christopher Nolan</t>
  </si>
  <si>
    <t>Action|Thriller</t>
  </si>
  <si>
    <t>Tom Hardy</t>
  </si>
  <si>
    <t>Christian Bale</t>
  </si>
  <si>
    <t>Joseph Gordon-Levitt</t>
  </si>
  <si>
    <t>The Dark Knight Rises </t>
  </si>
  <si>
    <t>deception|imprisonment|lawlessness|police officer|terrorist plot</t>
  </si>
  <si>
    <t>http://www.imdb.com/title/tt1345836/?ref_=fn_tt_tt_1</t>
  </si>
  <si>
    <t>Doug Walker</t>
  </si>
  <si>
    <t>Documentary</t>
  </si>
  <si>
    <t>Rob Walker</t>
  </si>
  <si>
    <t>Star Wars: Episode VII - The Force Awakens </t>
  </si>
  <si>
    <t>http://www.imdb.com/title/tt5289954/?ref_=fn_tt_tt_1</t>
  </si>
  <si>
    <t>Andrew Stanton</t>
  </si>
  <si>
    <t>Action|Adventure|Sci-Fi</t>
  </si>
  <si>
    <t>Daryl Sabara</t>
  </si>
  <si>
    <t>Samantha Morton</t>
  </si>
  <si>
    <t>Polly Walker</t>
  </si>
  <si>
    <t>John Carter </t>
  </si>
  <si>
    <t>alien|american civil war|male nipple|mars|princess</t>
  </si>
  <si>
    <t>http://www.imdb.com/title/tt0401729/?ref_=fn_tt_tt_1</t>
  </si>
  <si>
    <t>Sam Raimi</t>
  </si>
  <si>
    <t>Action|Adventure|Romance</t>
  </si>
  <si>
    <t>J.K. Simmons</t>
  </si>
  <si>
    <t>James Franco</t>
  </si>
  <si>
    <t>Kirsten Dunst</t>
  </si>
  <si>
    <t>Spider-Man 3 </t>
  </si>
  <si>
    <t>sandman|spider man|symbiote|venom|villain</t>
  </si>
  <si>
    <t>http://www.imdb.com/title/tt0413300/?ref_=fn_tt_tt_1</t>
  </si>
  <si>
    <t>Nathan Greno</t>
  </si>
  <si>
    <t>Adventure|Animation|Comedy|Family|Fantasy|Musical|Romance</t>
  </si>
  <si>
    <t>Brad Garrett</t>
  </si>
  <si>
    <t>Donna Murphy</t>
  </si>
  <si>
    <t>M.C. Gainey</t>
  </si>
  <si>
    <t>Tangled </t>
  </si>
  <si>
    <t>17th century|based on fairy tale|disney|flower|tower</t>
  </si>
  <si>
    <t>http://www.imdb.com/title/tt0398286/?ref_=fn_tt_tt_1</t>
  </si>
  <si>
    <t>PG</t>
  </si>
  <si>
    <t>Joss Whedon</t>
  </si>
  <si>
    <t>Chris Hemsworth</t>
  </si>
  <si>
    <t>Robert Downey Jr.</t>
  </si>
  <si>
    <t>Scarlett Johansson</t>
  </si>
  <si>
    <t>Avengers: Age of Ultron </t>
  </si>
  <si>
    <t>artificial intelligence|based on comic book|captain america|marvel cinematic universe|superhero</t>
  </si>
  <si>
    <t>http://www.imdb.com/title/tt2395427/?ref_=fn_tt_tt_1</t>
  </si>
  <si>
    <t>David Yates</t>
  </si>
  <si>
    <t>Adventure|Family|Fantasy|Mystery</t>
  </si>
  <si>
    <t>Alan Rickman</t>
  </si>
  <si>
    <t>Daniel Radcliffe</t>
  </si>
  <si>
    <t>Rupert Grint</t>
  </si>
  <si>
    <t>Harry Potter and the Half-Blood Prince </t>
  </si>
  <si>
    <t>blood|book|love|potion|professor</t>
  </si>
  <si>
    <t>http://www.imdb.com/title/tt0417741/?ref_=fn_tt_tt_1</t>
  </si>
  <si>
    <t>Zack Snyder</t>
  </si>
  <si>
    <t>Henry Cavill</t>
  </si>
  <si>
    <t>Lauren Cohan</t>
  </si>
  <si>
    <t>Alan D. Purwin</t>
  </si>
  <si>
    <t>Batman v Superman: Dawn of Justice </t>
  </si>
  <si>
    <t>based on comic book|batman|sequel to a reboot|superhero|superman</t>
  </si>
  <si>
    <t>http://www.imdb.com/title/tt2975590/?ref_=fn_tt_tt_1</t>
  </si>
  <si>
    <t>Bryan Singer</t>
  </si>
  <si>
    <t>Kevin Spacey</t>
  </si>
  <si>
    <t>Marlon Brando</t>
  </si>
  <si>
    <t>Frank Langella</t>
  </si>
  <si>
    <t>Superman Returns </t>
  </si>
  <si>
    <t>crystal|epic|lex luthor|lois lane|return to earth</t>
  </si>
  <si>
    <t>http://www.imdb.com/title/tt0348150/?ref_=fn_tt_tt_1</t>
  </si>
  <si>
    <t>Marc Forster</t>
  </si>
  <si>
    <t>Action|Adventure</t>
  </si>
  <si>
    <t>Giancarlo Giannini</t>
  </si>
  <si>
    <t>Mathieu Amalric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</si>
  <si>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</si>
  <si>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</si>
  <si>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</si>
  <si>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</si>
  <si>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</si>
  <si>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</si>
  <si>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Action|Adventure|Western</t>
  </si>
  <si>
    <t>Ruth Wilson</t>
  </si>
  <si>
    <t>Tom Wilkinson</t>
  </si>
  <si>
    <t>The Lone Ranger </t>
  </si>
  <si>
    <t>horse|outlaw|texas|texas ranger|train</t>
  </si>
  <si>
    <t>http://www.imdb.com/title/tt1210819/?ref_=fn_tt_tt_1</t>
  </si>
  <si>
    <t>Christopher Meloni</t>
  </si>
  <si>
    <t>Harry Lennix</t>
  </si>
  <si>
    <t>Man of Steel </t>
  </si>
  <si>
    <t>based on comic book|british actor playing american character|final battle|origin of hero|reboot</t>
  </si>
  <si>
    <t>http://www.imdb.com/title/tt0770828/?ref_=fn_tt_tt_1</t>
  </si>
  <si>
    <t>Andrew Adamson</t>
  </si>
  <si>
    <t>Action|Adventure|Family|Fantasy</t>
  </si>
  <si>
    <t>Peter Dinklage</t>
  </si>
  <si>
    <t>Pierfrancesco Favino</t>
  </si>
  <si>
    <t>Damián Alcázar</t>
  </si>
  <si>
    <t>The Chronicles of Narnia: Prince Caspian 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</si>
  <si>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</si>
  <si>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</si>
  <si>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</si>
  <si>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</si>
  <si>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</si>
  <si>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</si>
  <si>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</si>
  <si>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</si>
  <si>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Pirates of the Caribbean: On Stranger Tides </t>
  </si>
  <si>
    <t>blackbeard|captain|pirate|revenge|soldier</t>
  </si>
  <si>
    <t>http://www.imdb.com/title/tt1298650/?ref_=fn_tt_tt_1</t>
  </si>
  <si>
    <t>Barry Sonnenfeld</t>
  </si>
  <si>
    <t>Action|Adventure|Comedy|Family|Fantasy|Sci-Fi</t>
  </si>
  <si>
    <t>Will Smith</t>
  </si>
  <si>
    <t>Michael Stuhlbarg</t>
  </si>
  <si>
    <t>Nicole Scherzinger</t>
  </si>
  <si>
    <t>Men in Black 3 </t>
  </si>
  <si>
    <t>alien|criminal|m.i.b.|maximum security prison|prison</t>
  </si>
  <si>
    <t>http://www.imdb.com/title/tt1409024/?ref_=fn_tt_tt_1</t>
  </si>
  <si>
    <t>Peter Jackson</t>
  </si>
  <si>
    <t>Adventure|Fantasy</t>
  </si>
  <si>
    <t>Aidan Turner</t>
  </si>
  <si>
    <t>Adam Brown</t>
  </si>
  <si>
    <t>James Nesbitt</t>
  </si>
  <si>
    <t>The Hobbit: The Battle of the Five Armies </t>
  </si>
  <si>
    <t>army|elf|hobbit|middle earth|orc</t>
  </si>
  <si>
    <t>http://www.imdb.com/title/tt2310332/?ref_=fn_tt_tt_1</t>
  </si>
  <si>
    <t>New Zealand</t>
  </si>
  <si>
    <t>Marc Webb</t>
  </si>
  <si>
    <t>Emma Stone</t>
  </si>
  <si>
    <t>Andrew Garfield</t>
  </si>
  <si>
    <t>Chris Zylka</t>
  </si>
  <si>
    <t>The Amazing Spider-Man </t>
  </si>
  <si>
    <t>lizard|outcast|spider|spider man|teenager</t>
  </si>
  <si>
    <t>http://www.imdb.com/title/tt0948470/?ref_=fn_tt_tt_1</t>
  </si>
  <si>
    <t>Ridley Scott</t>
  </si>
  <si>
    <t>Action|Adventure|Drama|History</t>
  </si>
  <si>
    <t>Mark Addy</t>
  </si>
  <si>
    <t>William Hurt</t>
  </si>
  <si>
    <t>Scott Grimes</t>
  </si>
  <si>
    <t>Robin Hood 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</si>
  <si>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</si>
  <si>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</si>
  <si>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</si>
  <si>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</si>
  <si>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</si>
  <si>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</si>
  <si>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Adventure|Family|Fantasy</t>
  </si>
  <si>
    <t>Christopher Lee</t>
  </si>
  <si>
    <t>Eva Green</t>
  </si>
  <si>
    <t>Kristin Scott Thomas</t>
  </si>
  <si>
    <t>The Golden Compass </t>
  </si>
  <si>
    <t>children|epic|friend|girl|quest</t>
  </si>
  <si>
    <t>http://www.imdb.com/title/tt0385752/?ref_=fn_tt_tt_1</t>
  </si>
  <si>
    <t>Action|Adventure|Drama|Romance</t>
  </si>
  <si>
    <t>Naomi Watts</t>
  </si>
  <si>
    <t>Thomas Kretschmann</t>
  </si>
  <si>
    <t>Evan Parke</t>
  </si>
  <si>
    <t>King Kong </t>
  </si>
  <si>
    <t>animal name in title|ape abducts a woman|gorilla|island|king kong</t>
  </si>
  <si>
    <t>http://www.imdb.com/title/tt0360717/?ref_=fn_tt_tt_1</t>
  </si>
  <si>
    <t>Drama|Romance</t>
  </si>
  <si>
    <t>Leonardo DiCaprio</t>
  </si>
  <si>
    <t>Kate Winslet</t>
  </si>
  <si>
    <t>Gloria Stuart</t>
  </si>
  <si>
    <t>Titanic </t>
  </si>
  <si>
    <t>artist|love|ship|titanic|wet</t>
  </si>
  <si>
    <t>http://www.imdb.com/title/tt0120338/?ref_=fn_tt_tt_1</t>
  </si>
  <si>
    <t>Anthony Russo</t>
  </si>
  <si>
    <t>Chris Evans</t>
  </si>
  <si>
    <t>Captain America: Civil War </t>
  </si>
  <si>
    <t>based on comic book|knife|marvel cinematic universe|returning character killed off|superhero</t>
  </si>
  <si>
    <t>http://www.imdb.com/title/tt3498820/?ref_=fn_tt_tt_1</t>
  </si>
  <si>
    <t>Peter Berg</t>
  </si>
  <si>
    <t>Action|Adventure|Sci-Fi|Thriller</t>
  </si>
  <si>
    <t>Liam Neeson</t>
  </si>
  <si>
    <t>Alexander Skarsgård</t>
  </si>
  <si>
    <t>Tadanobu Asano</t>
  </si>
  <si>
    <t>Battleship </t>
  </si>
  <si>
    <t>box office flop|hawaii|naval|oahu hawaii|ship</t>
  </si>
  <si>
    <t>http://www.imdb.com/title/tt1440129/?ref_=fn_tt_tt_1</t>
  </si>
  <si>
    <t>Colin Trevorrow</t>
  </si>
  <si>
    <t>Bryce Dallas Howard</t>
  </si>
  <si>
    <t>Judy Greer</t>
  </si>
  <si>
    <t>Omar Sy</t>
  </si>
  <si>
    <t>Jurassic World </t>
  </si>
  <si>
    <t>dinosaur|disaster film|experiment gone wrong|jurassic park|velociraptor</t>
  </si>
  <si>
    <t>http://www.imdb.com/title/tt0369610/?ref_=fn_tt_tt_1</t>
  </si>
  <si>
    <t>Albert Finney</t>
  </si>
  <si>
    <t>Helen McCrory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</si>
  <si>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</si>
  <si>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</si>
  <si>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</si>
  <si>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</si>
  <si>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</si>
  <si>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</si>
  <si>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</si>
  <si>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</si>
  <si>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</si>
  <si>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</si>
  <si>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Iron Man 3 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</si>
  <si>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</si>
  <si>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</si>
  <si>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</si>
  <si>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</si>
  <si>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 </t>
  </si>
  <si>
    <t>alice in wonderland|mistaking reality for dream|queen|shrinking|shrinking potion</t>
  </si>
  <si>
    <t>http://www.imdb.com/title/tt1014759/?ref_=fn_tt_tt_1</t>
  </si>
  <si>
    <t>Brett Ratner</t>
  </si>
  <si>
    <t>Action|Adventure|Fantasy|Sci-Fi|Thriller</t>
  </si>
  <si>
    <t>Hugh Jackman</t>
  </si>
  <si>
    <t>Kelsey Grammer</t>
  </si>
  <si>
    <t>Daniel Cudmore</t>
  </si>
  <si>
    <t>X-Men: The Last Stand </t>
  </si>
  <si>
    <t>battle|mutant|outrage|walking through a wall|x men</t>
  </si>
  <si>
    <t>http://www.imdb.com/title/tt0376994/?ref_=fn_tt_tt_1</t>
  </si>
  <si>
    <t>Canada</t>
  </si>
  <si>
    <t>Dan Scanlon</t>
  </si>
  <si>
    <t>Adventure|Animation|Comedy|Family|Fantasy</t>
  </si>
  <si>
    <t>Steve Buscemi</t>
  </si>
  <si>
    <t>Tyler Labine</t>
  </si>
  <si>
    <t>Sean Hayes</t>
  </si>
  <si>
    <t>Monsters University </t>
  </si>
  <si>
    <t>cheating|fraternity|monster|singing in a car|university</t>
  </si>
  <si>
    <t>http://www.imdb.com/title/tt1453405/?ref_=fn_tt_tt_1</t>
  </si>
  <si>
    <t>G</t>
  </si>
  <si>
    <t>Michael Bay</t>
  </si>
  <si>
    <t>Glenn Morshower</t>
  </si>
  <si>
    <t>Kevin Dunn</t>
  </si>
  <si>
    <t>Ramon Rodriguez</t>
  </si>
  <si>
    <t>Transformers: Revenge of the Fallen </t>
  </si>
  <si>
    <t>autobot|decepticon|machine|sun|symbol</t>
  </si>
  <si>
    <t>http://www.imdb.com/title/tt1055369/?ref_=fn_tt_tt_1</t>
  </si>
  <si>
    <t>Bingbing Li</t>
  </si>
  <si>
    <t>Sophia Myles</t>
  </si>
  <si>
    <t>Transformers: Age of Extinction </t>
  </si>
  <si>
    <t>blockbuster|bumblebee the character|semi truck and trailer|texas|truck</t>
  </si>
  <si>
    <t>http://www.imdb.com/title/tt2109248/?ref_=fn_tt_tt_1</t>
  </si>
  <si>
    <t>Tim Holmes</t>
  </si>
  <si>
    <t>Mila Kunis</t>
  </si>
  <si>
    <t>Oz the Great and Powerful </t>
  </si>
  <si>
    <t>circus|magic|magician|oz|witch</t>
  </si>
  <si>
    <t>http://www.imdb.com/title/tt1623205/?ref_=fn_tt_tt_1</t>
  </si>
  <si>
    <t>B.J. Novak</t>
  </si>
  <si>
    <t>The Amazing Spider-Man 2 </t>
  </si>
  <si>
    <t>costumed hero|death of girlfriend|masked vigilante|returning character killed off|teenager</t>
  </si>
  <si>
    <t>http://www.imdb.com/title/tt1872181/?ref_=fn_tt_tt_1</t>
  </si>
  <si>
    <t>Joseph Kosinski</t>
  </si>
  <si>
    <t>Jeff Bridges</t>
  </si>
  <si>
    <t>Olivia Wilde</t>
  </si>
  <si>
    <t>James Frain</t>
  </si>
  <si>
    <t>TRON: Legacy 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</si>
  <si>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</si>
  <si>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</si>
  <si>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</si>
  <si>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</si>
  <si>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</si>
  <si>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</si>
  <si>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Cars 2 </t>
  </si>
  <si>
    <t>best friend|car race|conspiracy|gadget car|spy</t>
  </si>
  <si>
    <t>http://www.imdb.com/title/tt1216475/?ref_=fn_tt_tt_1</t>
  </si>
  <si>
    <t>Martin Campbell</t>
  </si>
  <si>
    <t>Ryan Reynolds</t>
  </si>
  <si>
    <t>Temuera Morrison</t>
  </si>
  <si>
    <t>Taika Waititi</t>
  </si>
  <si>
    <t>Green Lantern </t>
  </si>
  <si>
    <t>autopsy|lantern|planet|ring|test pilot</t>
  </si>
  <si>
    <t>http://www.imdb.com/title/tt1133985/?ref_=fn_tt_tt_1</t>
  </si>
  <si>
    <t>Lee Unkrich</t>
  </si>
  <si>
    <t>Tom Hanks</t>
  </si>
  <si>
    <t>John Ratzenberger</t>
  </si>
  <si>
    <t>Don Rickles</t>
  </si>
  <si>
    <t>Toy Story 3 </t>
  </si>
  <si>
    <t>college|day care|escape|teddy bear|toy</t>
  </si>
  <si>
    <t>http://www.imdb.com/title/tt0435761/?ref_=fn_tt_tt_1</t>
  </si>
  <si>
    <t>McG</t>
  </si>
  <si>
    <t>Common</t>
  </si>
  <si>
    <t>Terminator Salvation </t>
  </si>
  <si>
    <t>death row|future|machine|rescue|skynet</t>
  </si>
  <si>
    <t>http://www.imdb.com/title/tt0438488/?ref_=fn_tt_tt_1</t>
  </si>
  <si>
    <t>James Wan</t>
  </si>
  <si>
    <t>Action|Crime|Thriller</t>
  </si>
  <si>
    <t>Jason Statham</t>
  </si>
  <si>
    <t>Paul Walker</t>
  </si>
  <si>
    <t>Vin Diesel</t>
  </si>
  <si>
    <t>Furious 7 </t>
  </si>
  <si>
    <t>car falling off a cliff|hospital|revenge|star died before release|terrorist</t>
  </si>
  <si>
    <t>http://www.imdb.com/title/tt2820852/?ref_=fn_tt_tt_1</t>
  </si>
  <si>
    <t>Action|Adventure|Horror|Sci-Fi|Thriller</t>
  </si>
  <si>
    <t>Peter Capaldi</t>
  </si>
  <si>
    <t>Brad Pitt</t>
  </si>
  <si>
    <t>Mireille Enos</t>
  </si>
  <si>
    <t>World War Z 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</si>
  <si>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</si>
  <si>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</si>
  <si>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</si>
  <si>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</si>
  <si>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</si>
  <si>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</si>
  <si>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</si>
  <si>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Benedict Cumberbatch</t>
  </si>
  <si>
    <t>Bruce Greenwood</t>
  </si>
  <si>
    <t>Noel Clarke</t>
  </si>
  <si>
    <t>Star Trek Into Darkness </t>
  </si>
  <si>
    <t>admiral|captain|manhunt|mission|space</t>
  </si>
  <si>
    <t>http://www.imdb.com/title/tt1408101/?ref_=fn_tt_tt_1</t>
  </si>
  <si>
    <t>Eddie Marsan</t>
  </si>
  <si>
    <t>Ewen Bremner</t>
  </si>
  <si>
    <t>Ralph Brown</t>
  </si>
  <si>
    <t>Jack the Giant Slayer 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</si>
  <si>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</si>
  <si>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</si>
  <si>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</si>
  <si>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</si>
  <si>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</si>
  <si>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The Great Gatsby </t>
  </si>
  <si>
    <t>ingratitude|mansion|party|title appears in writing|tragedy</t>
  </si>
  <si>
    <t>http://www.imdb.com/title/tt1343092/?ref_=fn_tt_tt_1</t>
  </si>
  <si>
    <t>Australia</t>
  </si>
  <si>
    <t>Mike Newell</t>
  </si>
  <si>
    <t>Jake Gyllenhaal</t>
  </si>
  <si>
    <t>Richard Coyle</t>
  </si>
  <si>
    <t>Reece Ritchie</t>
  </si>
  <si>
    <t>Prince of Persia: The Sands of Time </t>
  </si>
  <si>
    <t>alamut|dagger|king|persia|princess</t>
  </si>
  <si>
    <t>http://www.imdb.com/title/tt0473075/?ref_=fn_tt_tt_1</t>
  </si>
  <si>
    <t>Guillermo del Toro</t>
  </si>
  <si>
    <t>Charlie Hunnam</t>
  </si>
  <si>
    <t>Clifton Collins Jr.</t>
  </si>
  <si>
    <t>Larry Joe Campbell</t>
  </si>
  <si>
    <t>Pacific Rim 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</si>
  <si>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</si>
  <si>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</si>
  <si>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</si>
  <si>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</si>
  <si>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</si>
  <si>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</si>
  <si>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</si>
  <si>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Harrison Ford</t>
  </si>
  <si>
    <t>Ray Winstone</t>
  </si>
  <si>
    <t>Jim Broadbent</t>
  </si>
  <si>
    <t>Indiana Jones and the Kingdom of the Crystal Skull </t>
  </si>
  <si>
    <t>cult figure|femme fatale|indiana jones|unsubtitled foreign language|year 1957</t>
  </si>
  <si>
    <t>http://www.imdb.com/title/tt0367882/?ref_=fn_tt_tt_1</t>
  </si>
  <si>
    <t>Peter Sohn</t>
  </si>
  <si>
    <t>A.J. Buckley</t>
  </si>
  <si>
    <t>Jack McGraw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</si>
  <si>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</si>
  <si>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</si>
  <si>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</si>
  <si>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</si>
  <si>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</si>
  <si>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</si>
  <si>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Brave </t>
  </si>
  <si>
    <t>archery|coming of age|female warrior|princess|rebellious daughter</t>
  </si>
  <si>
    <t>http://www.imdb.com/title/tt1217209/?ref_=fn_tt_tt_1</t>
  </si>
  <si>
    <t>Justin Lin</t>
  </si>
  <si>
    <t>Sofia Boutella</t>
  </si>
  <si>
    <t>Melissa Roxburgh</t>
  </si>
  <si>
    <t>Lydia Wilson</t>
  </si>
  <si>
    <t>Star Trek Beyond </t>
  </si>
  <si>
    <t>hatred|sequel|space opera|star trek|third part</t>
  </si>
  <si>
    <t>http://www.imdb.com/title/tt2660888/?ref_=fn_tt_tt_1</t>
  </si>
  <si>
    <t>Adventure|Animation|Family|Sci-Fi</t>
  </si>
  <si>
    <t>Fred Willard</t>
  </si>
  <si>
    <t>Jeff Garlin</t>
  </si>
  <si>
    <t>WALL·E </t>
  </si>
  <si>
    <t>earth|obesity|plant|robot|soil</t>
  </si>
  <si>
    <t>http://www.imdb.com/title/tt0910970/?ref_=fn_tt_tt_1</t>
  </si>
  <si>
    <t>Action|Comedy|Crime|Thriller</t>
  </si>
  <si>
    <t>Tzi Ma</t>
  </si>
  <si>
    <t>Dana Ivey</t>
  </si>
  <si>
    <t>Noémie Lenoir</t>
  </si>
  <si>
    <t>Rush Hour 3 </t>
  </si>
  <si>
    <t>ambassador|assassination|chinese|french|triad</t>
  </si>
  <si>
    <t>http://www.imdb.com/title/tt0293564/?ref_=fn_tt_tt_1</t>
  </si>
  <si>
    <t>Roland Emmerich</t>
  </si>
  <si>
    <t>Oliver Platt</t>
  </si>
  <si>
    <t>Liam James</t>
  </si>
  <si>
    <t>Tom McCarthy</t>
  </si>
  <si>
    <t>2012 </t>
  </si>
  <si>
    <t>ark|catastrophe|geologist|president|writer</t>
  </si>
  <si>
    <t>http://www.imdb.com/title/tt1190080/?ref_=fn_tt_tt_1</t>
  </si>
  <si>
    <t>Robert Zemeckis</t>
  </si>
  <si>
    <t>Animation|Drama|Family|Fantasy</t>
  </si>
  <si>
    <t>Robin Wright</t>
  </si>
  <si>
    <t>Colin Firth</t>
  </si>
  <si>
    <t>Gary Oldman</t>
  </si>
  <si>
    <t>A Christmas Carol 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</si>
  <si>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</si>
  <si>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</si>
  <si>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</si>
  <si>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</si>
  <si>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</si>
  <si>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Jupiter Ascending </t>
  </si>
  <si>
    <t>box office flop|critically bashed|planet earth|space opera|woman in bra and panties</t>
  </si>
  <si>
    <t>http://www.imdb.com/title/tt1617661/?ref_=fn_tt_tt_1</t>
  </si>
  <si>
    <t>Casper Crump</t>
  </si>
  <si>
    <t>The Legend of Tarzan </t>
  </si>
  <si>
    <t>africa|capture|jungle|male objectification|tarzan</t>
  </si>
  <si>
    <t>http://www.imdb.com/title/tt0918940/?ref_=fn_tt_tt_1</t>
  </si>
  <si>
    <t>Kiran Shah</t>
  </si>
  <si>
    <t>Shane Rangi</t>
  </si>
  <si>
    <t>The Chronicles of Narnia: The Lion, the Witch and the Wardrobe </t>
  </si>
  <si>
    <t>hide and seek|lion|magic|professor|snow</t>
  </si>
  <si>
    <t>http://www.imdb.com/title/tt0363771/?ref_=fn_tt_tt_1</t>
  </si>
  <si>
    <t>Michael Fassbender</t>
  </si>
  <si>
    <t>Tye Sheridan</t>
  </si>
  <si>
    <t>X-Men: Apocalypse </t>
  </si>
  <si>
    <t>mutant|superhero|superhero team|x men|year 1983</t>
  </si>
  <si>
    <t>http://www.imdb.com/title/tt3385516/?ref_=fn_tt_tt_1</t>
  </si>
  <si>
    <t>Action|Crime|Drama|Thriller</t>
  </si>
  <si>
    <t>Heath Ledger</t>
  </si>
  <si>
    <t>Morgan Freeman</t>
  </si>
  <si>
    <t>The Dark Knight </t>
  </si>
  <si>
    <t>based on comic book|dc comics|psychopath|star died before release|urban setting</t>
  </si>
  <si>
    <t>http://www.imdb.com/title/tt0468569/?ref_=fn_tt_tt_1</t>
  </si>
  <si>
    <t>Pete Docter</t>
  </si>
  <si>
    <t>Adventure|Animation|Comedy|Family</t>
  </si>
  <si>
    <t>Delroy Lindo</t>
  </si>
  <si>
    <t>Jess Harnell</t>
  </si>
  <si>
    <t>Up </t>
  </si>
  <si>
    <t>balloon|house|promise|retirement|skeleton</t>
  </si>
  <si>
    <t>http://www.imdb.com/title/tt1049413/?ref_=fn_tt_tt_1</t>
  </si>
  <si>
    <t>Rob Letterman</t>
  </si>
  <si>
    <t>Action|Adventure|Animation|Comedy|Family|Sci-Fi</t>
  </si>
  <si>
    <t>Amy Poehler</t>
  </si>
  <si>
    <t>Rainn Wilson</t>
  </si>
  <si>
    <t>Stephen Colbert</t>
  </si>
  <si>
    <t>Monsters vs. Aliens 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</si>
  <si>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</si>
  <si>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</si>
  <si>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</si>
  <si>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</si>
  <si>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</si>
  <si>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</si>
  <si>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</si>
  <si>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</si>
  <si>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</si>
  <si>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</si>
  <si>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</si>
  <si>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Action|Comedy|Sci-Fi|Western</t>
  </si>
  <si>
    <t>Salma Hayek</t>
  </si>
  <si>
    <t>Bai Ling</t>
  </si>
  <si>
    <t>Wild Wild West </t>
  </si>
  <si>
    <t>buddy movie|general|inventor|steampunk|utah</t>
  </si>
  <si>
    <t>http://www.imdb.com/title/tt0120891/?ref_=fn_tt_tt_1</t>
  </si>
  <si>
    <t>Rob Cohen</t>
  </si>
  <si>
    <t>Action|Adventure|Fantasy|Horror|Thriller</t>
  </si>
  <si>
    <t>Jet Li</t>
  </si>
  <si>
    <t>Brendan Fraser</t>
  </si>
  <si>
    <t>Russell Wong</t>
  </si>
  <si>
    <t>The Mummy: Tomb of the Dragon Emperor </t>
  </si>
  <si>
    <t>army|china|emperor|mummy|shangri la</t>
  </si>
  <si>
    <t>http://www.imdb.com/title/tt0859163/?ref_=fn_tt_tt_1</t>
  </si>
  <si>
    <t>David Ayer</t>
  </si>
  <si>
    <t>Action|Adventure|Comedy|Sci-Fi</t>
  </si>
  <si>
    <t>Robin Atkin Downes</t>
  </si>
  <si>
    <t>Ike Barinholtz</t>
  </si>
  <si>
    <t>Suicide Squad 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</si>
  <si>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</si>
  <si>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</si>
  <si>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</si>
  <si>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</si>
  <si>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</si>
  <si>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</si>
  <si>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Evan Almighty </t>
  </si>
  <si>
    <t>ark|change|congressman|depiction of god|flood</t>
  </si>
  <si>
    <t>http://www.imdb.com/title/tt0413099/?ref_=fn_tt_tt_1</t>
  </si>
  <si>
    <t>Doug Liman</t>
  </si>
  <si>
    <t>Tom Cruise</t>
  </si>
  <si>
    <t>Lara Pulver</t>
  </si>
  <si>
    <t>Noah Taylor</t>
  </si>
  <si>
    <t>Edge of Tomorrow </t>
  </si>
  <si>
    <t>alien|combat|dying repeatedly|end of the world|time loop</t>
  </si>
  <si>
    <t>http://www.imdb.com/title/tt1631867/?ref_=fn_tt_tt_1</t>
  </si>
  <si>
    <t>Kevin Reynolds</t>
  </si>
  <si>
    <t>Jeanne Tripplehorn</t>
  </si>
  <si>
    <t>Rick Aviles</t>
  </si>
  <si>
    <t>Zakes Mokae</t>
  </si>
  <si>
    <t>Waterworld </t>
  </si>
  <si>
    <t>future|sail|sea|smoker|water</t>
  </si>
  <si>
    <t>http://www.imdb.com/title/tt0114898/?ref_=fn_tt_tt_1</t>
  </si>
  <si>
    <t>Stephen Sommers</t>
  </si>
  <si>
    <t>Dennis Quaid</t>
  </si>
  <si>
    <t>Leo Howard</t>
  </si>
  <si>
    <t>G.I. Joe: The Rise of Cobra </t>
  </si>
  <si>
    <t>cobra|gi joe|snake|train|warhead</t>
  </si>
  <si>
    <t>http://www.imdb.com/title/tt1046173/?ref_=fn_tt_tt_1</t>
  </si>
  <si>
    <t>Adventure|Animation|Comedy|Drama|Family|Fantasy</t>
  </si>
  <si>
    <t>Mindy Kaling</t>
  </si>
  <si>
    <t>Phyllis Smith</t>
  </si>
  <si>
    <t>Inside Out </t>
  </si>
  <si>
    <t>anger|joy|memory|running away|sadness</t>
  </si>
  <si>
    <t>http://www.imdb.com/title/tt2096673/?ref_=fn_tt_tt_1</t>
  </si>
  <si>
    <t>Adventure|Drama|Family|Fantasy</t>
  </si>
  <si>
    <t>Bill Murray</t>
  </si>
  <si>
    <t>Garry Shandling</t>
  </si>
  <si>
    <t>The Jungle Book 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</si>
  <si>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</si>
  <si>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</si>
  <si>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</si>
  <si>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</si>
  <si>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</si>
  <si>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</si>
  <si>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Action|Adventure|Drama|Fantasy</t>
  </si>
  <si>
    <t>Kristen Stewart</t>
  </si>
  <si>
    <t>Snow White and the Huntsman </t>
  </si>
  <si>
    <t>evil queen|fairy tale|magic|queen|snow white</t>
  </si>
  <si>
    <t>http://www.imdb.com/title/tt1735898/?ref_=fn_tt_tt_1</t>
  </si>
  <si>
    <t>Robert Stromberg</t>
  </si>
  <si>
    <t>Action|Adventure|Family|Fantasy|Romance</t>
  </si>
  <si>
    <t>Angelina Jolie Pitt</t>
  </si>
  <si>
    <t>Sharlto Copley</t>
  </si>
  <si>
    <t>Sam Riley</t>
  </si>
  <si>
    <t>Maleficent 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</si>
  <si>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</si>
  <si>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</si>
  <si>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</si>
  <si>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</si>
  <si>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</si>
  <si>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Dawn of the Planet of the Apes </t>
  </si>
  <si>
    <t>ape|dam|leader|post apocalypse|sequel</t>
  </si>
  <si>
    <t>http://www.imdb.com/title/tt2103281/?ref_=fn_tt_tt_1</t>
  </si>
  <si>
    <t>Roland Joffé</t>
  </si>
  <si>
    <t>Action|Adventure|Romance|Sci-Fi</t>
  </si>
  <si>
    <t>Tamsin Egerton</t>
  </si>
  <si>
    <t>Alice Englert</t>
  </si>
  <si>
    <t>Bipasha Basu</t>
  </si>
  <si>
    <t>The Lovers 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</si>
  <si>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</si>
  <si>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</si>
  <si>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</si>
  <si>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</si>
  <si>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</si>
  <si>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Keanu Reeves</t>
  </si>
  <si>
    <t>Cary-Hiroyuki Tagawa</t>
  </si>
  <si>
    <t>Jin Akanishi</t>
  </si>
  <si>
    <t>47 Ronin </t>
  </si>
  <si>
    <t>box office flop|ronin|samurai|shogun|tournament</t>
  </si>
  <si>
    <t>http://www.imdb.com/title/tt1335975/?ref_=fn_tt_tt_1</t>
  </si>
  <si>
    <t>Hayley Atwell</t>
  </si>
  <si>
    <t>Captain America: The Winter Soldier </t>
  </si>
  <si>
    <t>conspiracy|heroism|megalomaniac|super soldier|world domination</t>
  </si>
  <si>
    <t>http://www.imdb.com/title/tt1843866/?ref_=fn_tt_tt_1</t>
  </si>
  <si>
    <t>Mike Mitchell</t>
  </si>
  <si>
    <t>Jon Hamm</t>
  </si>
  <si>
    <t>Kathy Griffin</t>
  </si>
  <si>
    <t>Mary Kay Place</t>
  </si>
  <si>
    <t>Shrek Forever After </t>
  </si>
  <si>
    <t>alternate world|fairy tale parody|female warrior|ogre|true love</t>
  </si>
  <si>
    <t>http://www.imdb.com/title/tt0892791/?ref_=fn_tt_tt_1</t>
  </si>
  <si>
    <t>Brad Bird</t>
  </si>
  <si>
    <t>Action|Adventure|Family|Mystery|Sci-Fi</t>
  </si>
  <si>
    <t>Chris Bauer</t>
  </si>
  <si>
    <t>Thomas Robinson</t>
  </si>
  <si>
    <t>Tomorrowland </t>
  </si>
  <si>
    <t>boy genius|futuristic city|inventor|teenage girl|time travel</t>
  </si>
  <si>
    <t>http://www.imdb.com/title/tt1964418/?ref_=fn_tt_tt_1</t>
  </si>
  <si>
    <t>Don Hall</t>
  </si>
  <si>
    <t>Action|Adventure|Animation|Comedy|Drama|Family|Sci-Fi</t>
  </si>
  <si>
    <t>Damon Wayans Jr.</t>
  </si>
  <si>
    <t>Daniel Henney</t>
  </si>
  <si>
    <t>Abraham Benrubi</t>
  </si>
  <si>
    <t>Big Hero 6 </t>
  </si>
  <si>
    <t>high tech|martial arts|masked man|robot|superhero</t>
  </si>
  <si>
    <t>http://www.imdb.com/title/tt2245084/?ref_=fn_tt_tt_1</t>
  </si>
  <si>
    <t>Rich Moore</t>
  </si>
  <si>
    <t>Adventure|Animation|Comedy|Family|Sci-Fi</t>
  </si>
  <si>
    <t>Jack McBrayer</t>
  </si>
  <si>
    <t>Sarah Silverman</t>
  </si>
  <si>
    <t>Joe Lo Truglio</t>
  </si>
  <si>
    <t>Wreck-It Ralph </t>
  </si>
  <si>
    <t>arcade|candy|glitch|king|medal</t>
  </si>
  <si>
    <t>http://www.imdb.com/title/tt1772341/?ref_=fn_tt_tt_1</t>
  </si>
  <si>
    <t>Adventure|Animation|Family|Fantasy</t>
  </si>
  <si>
    <t>Eddie Deezen</t>
  </si>
  <si>
    <t>Peter Scolari</t>
  </si>
  <si>
    <t>The Polar Express </t>
  </si>
  <si>
    <t>boy|christmas|christmas eve|north pole|train</t>
  </si>
  <si>
    <t>http://www.imdb.com/title/tt0338348/?ref_=fn_tt_tt_1</t>
  </si>
  <si>
    <t>Vivica A. Fox</t>
  </si>
  <si>
    <t>Sela Ward</t>
  </si>
  <si>
    <t>Judd Hirsch</t>
  </si>
  <si>
    <t>Independence Day: Resurgence </t>
  </si>
  <si>
    <t>alien|battle|defense|independence day|mothership</t>
  </si>
  <si>
    <t>http://www.imdb.com/title/tt1628841/?ref_=fn_tt_tt_1</t>
  </si>
  <si>
    <t>Dean DeBlois</t>
  </si>
  <si>
    <t>Gerard Butler</t>
  </si>
  <si>
    <t>America Ferrera</t>
  </si>
  <si>
    <t>Craig Ferguson</t>
  </si>
  <si>
    <t>How to Train Your Dragon 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</si>
  <si>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</si>
  <si>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</si>
  <si>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</si>
  <si>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</si>
  <si>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</si>
  <si>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</si>
  <si>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Terminator 3: Rise of the Machines 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</si>
  <si>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</si>
  <si>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</si>
  <si>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</si>
  <si>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</si>
  <si>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</si>
  <si>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Guardians of the Galaxy 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</si>
  <si>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</si>
  <si>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</si>
  <si>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</si>
  <si>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</si>
  <si>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</si>
  <si>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Interstellar 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</si>
  <si>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</si>
  <si>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</si>
  <si>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</si>
  <si>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</si>
  <si>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</si>
  <si>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</si>
  <si>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Action|Adventure|Drama|Horror|Sci-Fi</t>
  </si>
  <si>
    <t>Mark Chinnery</t>
  </si>
  <si>
    <t>Shin'ya Tsukamoto</t>
  </si>
  <si>
    <t>Atsuko Maeda</t>
  </si>
  <si>
    <t>Godzilla Resurgence 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</si>
  <si>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</si>
  <si>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</si>
  <si>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</si>
  <si>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</si>
  <si>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</si>
  <si>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</si>
  <si>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</si>
  <si>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Jordana Brewster</t>
  </si>
  <si>
    <t>The Fast and the Furious </t>
  </si>
  <si>
    <t>eighteen wheeler|illegal street racing|truck|trucker|undercover cop</t>
  </si>
  <si>
    <t>http://www.imdb.com/title/tt0232500/?ref_=fn_tt_tt_1</t>
  </si>
  <si>
    <t>David Fincher</t>
  </si>
  <si>
    <t>Drama|Fantasy|Romance</t>
  </si>
  <si>
    <t>Jason Flemyng</t>
  </si>
  <si>
    <t>Julia Ormond</t>
  </si>
  <si>
    <t>The Curious Case of Benjamin Button 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</si>
  <si>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</si>
  <si>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</si>
  <si>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</si>
  <si>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</si>
  <si>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</si>
  <si>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</si>
  <si>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</si>
  <si>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Adventure|Sci-Fi</t>
  </si>
  <si>
    <t>Philip Seymour Hoffman</t>
  </si>
  <si>
    <t>Josh Hutcherson</t>
  </si>
  <si>
    <t>The Hunger Games: Mockingjay - Part 2 </t>
  </si>
  <si>
    <t>death of sister|dystopia|execution|rebellion|revolution</t>
  </si>
  <si>
    <t>http://www.imdb.com/title/tt1951266/?ref_=fn_tt_tt_1</t>
  </si>
  <si>
    <t>Jon Turteltaub</t>
  </si>
  <si>
    <t>Nicolas Cage</t>
  </si>
  <si>
    <t>Omar Benson Miller</t>
  </si>
  <si>
    <t>Robert Capron</t>
  </si>
  <si>
    <t>The Sorcerer's Apprentice </t>
  </si>
  <si>
    <t>chosen one|enchanted object|love|spell|training</t>
  </si>
  <si>
    <t>http://www.imdb.com/title/tt0963966/?ref_=fn_tt_tt_1</t>
  </si>
  <si>
    <t>Wolfgang Petersen</t>
  </si>
  <si>
    <t>Action|Adventure|Drama|Thriller</t>
  </si>
  <si>
    <t>Mike Vogel</t>
  </si>
  <si>
    <t>Andre Braugher</t>
  </si>
  <si>
    <t>Poseidon 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</si>
  <si>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</si>
  <si>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</si>
  <si>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</si>
  <si>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</si>
  <si>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</si>
  <si>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</si>
  <si>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</si>
  <si>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Justin Timberlake</t>
  </si>
  <si>
    <t>Eric Idle</t>
  </si>
  <si>
    <t>Rupert Everett</t>
  </si>
  <si>
    <t>Shrek the Third </t>
  </si>
  <si>
    <t>disney spoof|fairy tale|prince|princess|tough guy</t>
  </si>
  <si>
    <t>http://www.imdb.com/title/tt0413267/?ref_=fn_tt_tt_1</t>
  </si>
  <si>
    <t>Duncan Jones</t>
  </si>
  <si>
    <t>Dominic Cooper</t>
  </si>
  <si>
    <t>Callum Rennie</t>
  </si>
  <si>
    <t>Ruth Negga</t>
  </si>
  <si>
    <t>Warcraft 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</si>
  <si>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</si>
  <si>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</si>
  <si>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</si>
  <si>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</si>
  <si>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</si>
  <si>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Terminator Genisys 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</si>
  <si>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</si>
  <si>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</si>
  <si>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</si>
  <si>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</si>
  <si>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</si>
  <si>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The Chronicles of Narnia: The Voyage of the Dawn Treader </t>
  </si>
  <si>
    <t>dragon|king|mouse|quest|warrior</t>
  </si>
  <si>
    <t>http://www.imdb.com/title/tt0980970/?ref_=fn_tt_tt_1</t>
  </si>
  <si>
    <t>Black and White</t>
  </si>
  <si>
    <t>Action|Drama|History|Romance|War</t>
  </si>
  <si>
    <t>Jennifer Garner</t>
  </si>
  <si>
    <t>Jaime King</t>
  </si>
  <si>
    <t>Mako</t>
  </si>
  <si>
    <t>Pearl Harbor </t>
  </si>
  <si>
    <t>air raid|black smoke|japanese military|japanese navy|sunday</t>
  </si>
  <si>
    <t>http://www.imdb.com/title/tt0213149/?ref_=fn_tt_tt_1</t>
  </si>
  <si>
    <t>Zack Ward</t>
  </si>
  <si>
    <t>Michael O'Neill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</si>
  <si>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</si>
  <si>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</si>
  <si>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</si>
  <si>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</si>
  <si>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</si>
  <si>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</si>
  <si>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</si>
  <si>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Alexander 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</si>
  <si>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</si>
  <si>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</si>
  <si>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</si>
  <si>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</si>
  <si>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</si>
  <si>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Harry Potter and the Order of the Phoenix 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</si>
  <si>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</si>
  <si>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</si>
  <si>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</si>
  <si>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</si>
  <si>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</si>
  <si>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Action|Drama</t>
  </si>
  <si>
    <t>Charlize Theron</t>
  </si>
  <si>
    <t>Hancock </t>
  </si>
  <si>
    <t>bully comeuppance|destruction|prison|superhero|tough girl</t>
  </si>
  <si>
    <t>http://www.imdb.com/title/tt0448157/?ref_=fn_tt_tt_1</t>
  </si>
  <si>
    <t>Drama|Horror|Sci-Fi</t>
  </si>
  <si>
    <t>Alice Braga</t>
  </si>
  <si>
    <t>Willow Smith</t>
  </si>
  <si>
    <t>I Am Legend 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</si>
  <si>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</si>
  <si>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</si>
  <si>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</si>
  <si>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</si>
  <si>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Charlie and the Chocolate Factory 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</si>
  <si>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</si>
  <si>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</si>
  <si>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</si>
  <si>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</si>
  <si>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</si>
  <si>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Ratatouille 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</si>
  <si>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</si>
  <si>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</si>
  <si>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</si>
  <si>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</si>
  <si>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</si>
  <si>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</si>
  <si>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Action|Adventure|Animation|Comedy|Family</t>
  </si>
  <si>
    <t>Bernie Mac</t>
  </si>
  <si>
    <t>Jada Pinkett Smith</t>
  </si>
  <si>
    <t>Cedric the Entertainer</t>
  </si>
  <si>
    <t>Madagascar: Escape 2 Africa </t>
  </si>
  <si>
    <t>africa|madagascar|new york city|sequel|zoo</t>
  </si>
  <si>
    <t>http://www.imdb.com/title/tt0479952/?ref_=fn_tt_tt_1</t>
  </si>
  <si>
    <t>Shawn Levy</t>
  </si>
  <si>
    <t>Robin Williams</t>
  </si>
  <si>
    <t>Rami Malek</t>
  </si>
  <si>
    <t>Steve Coogan</t>
  </si>
  <si>
    <t>Night at the Museum: Battle of the Smithsonian </t>
  </si>
  <si>
    <t>hdtv|motorcycle|museum|security guard|tyrannosaurus rex</t>
  </si>
  <si>
    <t>http://www.imdb.com/title/tt1078912/?ref_=fn_tt_tt_1</t>
  </si>
  <si>
    <t>Gavin Hood</t>
  </si>
  <si>
    <t>Dominic Monaghan</t>
  </si>
  <si>
    <t>X-Men Origins: Wolverine </t>
  </si>
  <si>
    <t>army|civil war|claw fight|commando|wolverine the character</t>
  </si>
  <si>
    <t>http://www.imdb.com/title/tt0458525/?ref_=fn_tt_tt_1</t>
  </si>
  <si>
    <t>Essie Davis</t>
  </si>
  <si>
    <t>Collin Chou</t>
  </si>
  <si>
    <t>Nona Gaye</t>
  </si>
  <si>
    <t>The Matrix Revolutions </t>
  </si>
  <si>
    <t>battle|epic|fight|future|machine</t>
  </si>
  <si>
    <t>http://www.imdb.com/title/tt0242653/?ref_=fn_tt_tt_1</t>
  </si>
  <si>
    <t>Chris Buck</t>
  </si>
  <si>
    <t>Adventure|Animation|Comedy|Family|Fantasy|Musical</t>
  </si>
  <si>
    <t>Josh Gad</t>
  </si>
  <si>
    <t>Maurice LaMarche</t>
  </si>
  <si>
    <t>Livvy Stubenrauch</t>
  </si>
  <si>
    <t>Frozen </t>
  </si>
  <si>
    <t>magic|sister love|sister sister relationship|snow|snowman</t>
  </si>
  <si>
    <t>http://www.imdb.com/title/tt2294629/?ref_=fn_tt_tt_1</t>
  </si>
  <si>
    <t>Steve Bastoni</t>
  </si>
  <si>
    <t>Daniel Bernhardt</t>
  </si>
  <si>
    <t>Helmut Bakaitis</t>
  </si>
  <si>
    <t>The Matrix Reloaded 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</si>
  <si>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</si>
  <si>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</si>
  <si>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</si>
  <si>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</si>
  <si>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</si>
  <si>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</si>
  <si>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</si>
  <si>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Zoë Kravitz</t>
  </si>
  <si>
    <t>Mad Max: Fury Road </t>
  </si>
  <si>
    <t>australia|desert|escape|on the run|post apocalypse</t>
  </si>
  <si>
    <t>http://www.imdb.com/title/tt1392190/?ref_=fn_tt_tt_1</t>
  </si>
  <si>
    <t>Ron Howard</t>
  </si>
  <si>
    <t>Mystery|Thriller</t>
  </si>
  <si>
    <t>Ayelet Zurer</t>
  </si>
  <si>
    <t>Armin Mueller-Stahl</t>
  </si>
  <si>
    <t>Angels &amp; Demons 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</si>
  <si>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</si>
  <si>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</si>
  <si>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</si>
  <si>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</si>
  <si>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</si>
  <si>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</si>
  <si>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</si>
  <si>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Adventure|Animation|Comedy|Drama|Family</t>
  </si>
  <si>
    <t>Diedrich Bader</t>
  </si>
  <si>
    <t>James Lipton</t>
  </si>
  <si>
    <t>Bolt </t>
  </si>
  <si>
    <t>cat|dog|hamster|new york city|superpower</t>
  </si>
  <si>
    <t>http://www.imdb.com/title/tt0397892/?ref_=fn_tt_tt_1</t>
  </si>
  <si>
    <t>Hoyt Yeatman</t>
  </si>
  <si>
    <t>Action|Adventure|Animation|Comedy|Family|Fantasy|Sci-Fi</t>
  </si>
  <si>
    <t>Kelli Garner</t>
  </si>
  <si>
    <t>Piper Mackenzie Harris</t>
  </si>
  <si>
    <t>Niecy Nash</t>
  </si>
  <si>
    <t>G-Force 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</si>
  <si>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</si>
  <si>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</si>
  <si>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</si>
  <si>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</si>
  <si>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Lily James</t>
  </si>
  <si>
    <t>Wrath of the Titans 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</si>
  <si>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</si>
  <si>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</si>
  <si>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</si>
  <si>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</si>
  <si>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</si>
  <si>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</si>
  <si>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</si>
  <si>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</si>
  <si>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</si>
  <si>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Mission: Impossible - Rogue Nation </t>
  </si>
  <si>
    <t>capture|computer hacker|mission|rogue agent|spy</t>
  </si>
  <si>
    <t>http://www.imdb.com/title/tt2381249/?ref_=fn_tt_tt_1</t>
  </si>
  <si>
    <t>China</t>
  </si>
  <si>
    <t>Joe Johnston</t>
  </si>
  <si>
    <t>Drama|Fantasy|Horror|Thriller</t>
  </si>
  <si>
    <t>Simon Merrells</t>
  </si>
  <si>
    <t>Art Malik</t>
  </si>
  <si>
    <t>The Wolfman </t>
  </si>
  <si>
    <t>asylum|death|full moon|transformation|werewolf</t>
  </si>
  <si>
    <t>http://www.imdb.com/title/tt0780653/?ref_=fn_tt_tt_1</t>
  </si>
  <si>
    <t>Steve Hickner</t>
  </si>
  <si>
    <t>Matthew Broderick</t>
  </si>
  <si>
    <t>Oprah Winfrey</t>
  </si>
  <si>
    <t>Rip Torn</t>
  </si>
  <si>
    <t>Bee Movie </t>
  </si>
  <si>
    <t>bee|dream sequence|egg|scatological humor|squashed bug</t>
  </si>
  <si>
    <t>http://www.imdb.com/title/tt0389790/?ref_=fn_tt_tt_1</t>
  </si>
  <si>
    <t>Jennifer Yuh Nelson</t>
  </si>
  <si>
    <t>Mike Bell</t>
  </si>
  <si>
    <t>Kung Fu Panda 2 </t>
  </si>
  <si>
    <t>china|kung fu|panda|peacock|tigress</t>
  </si>
  <si>
    <t>http://www.imdb.com/title/tt1302011/?ref_=fn_tt_tt_1</t>
  </si>
  <si>
    <t>M. Night Shyamalan</t>
  </si>
  <si>
    <t>Seychelle Gabriel</t>
  </si>
  <si>
    <t>Noah Ringer</t>
  </si>
  <si>
    <t>Aasif Mandvi</t>
  </si>
  <si>
    <t>The Last Airbender 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</si>
  <si>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</si>
  <si>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</si>
  <si>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</si>
  <si>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</si>
  <si>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</si>
  <si>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Action|Drama|Thriller</t>
  </si>
  <si>
    <t>Jake Weber</t>
  </si>
  <si>
    <t>Matt Craven</t>
  </si>
  <si>
    <t>White House Down </t>
  </si>
  <si>
    <t>black u.s. president|president|secret service|tour|white house</t>
  </si>
  <si>
    <t>http://www.imdb.com/title/tt2334879/?ref_=fn_tt_tt_1</t>
  </si>
  <si>
    <t>Simon Wells</t>
  </si>
  <si>
    <t>Elisabeth Harnois</t>
  </si>
  <si>
    <t>Dan Fogler</t>
  </si>
  <si>
    <t>Tom Everett Scott</t>
  </si>
  <si>
    <t>Mars Needs Moms </t>
  </si>
  <si>
    <t>boy|martian|rescue|robot|sexism</t>
  </si>
  <si>
    <t>http://www.imdb.com/title/tt1305591/?ref_=fn_tt_tt_1</t>
  </si>
  <si>
    <t>David Bowers</t>
  </si>
  <si>
    <t>David Suchet</t>
  </si>
  <si>
    <t>Flushed Away </t>
  </si>
  <si>
    <t>boat|frog|rat|sewer|toad</t>
  </si>
  <si>
    <t>http://www.imdb.com/title/tt0424095/?ref_=fn_tt_tt_1</t>
  </si>
  <si>
    <t>Joe Wright</t>
  </si>
  <si>
    <t>Cara Delevingne</t>
  </si>
  <si>
    <t>Nonso Anozie</t>
  </si>
  <si>
    <t>Pan </t>
  </si>
  <si>
    <t>1940s|child hero|fantasy world|orphan|reference to peter pan</t>
  </si>
  <si>
    <t>http://www.imdb.com/title/tt3332064/?ref_=fn_tt_tt_1</t>
  </si>
  <si>
    <t>Rob Minkoff</t>
  </si>
  <si>
    <t>Ty Burrell</t>
  </si>
  <si>
    <t>Zach Callison</t>
  </si>
  <si>
    <t>Karan Brar</t>
  </si>
  <si>
    <t>Mr. Peabody &amp; Sherman </t>
  </si>
  <si>
    <t>dog|father son relationship|inventor|talking dog|time travel</t>
  </si>
  <si>
    <t>http://www.imdb.com/title/tt0864835/?ref_=fn_tt_tt_1</t>
  </si>
  <si>
    <t>Adventure</t>
  </si>
  <si>
    <t>Julian Glover</t>
  </si>
  <si>
    <t>Troy 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</si>
  <si>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</si>
  <si>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</si>
  <si>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</si>
  <si>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</si>
  <si>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</si>
  <si>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</si>
  <si>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</si>
  <si>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Toby Stephens</t>
  </si>
  <si>
    <t>Colin Salmon</t>
  </si>
  <si>
    <t>Rick Yune</t>
  </si>
  <si>
    <t>Die Another Day </t>
  </si>
  <si>
    <t>catfight|clinic|colonel|diamond|patricide</t>
  </si>
  <si>
    <t>http://www.imdb.com/title/tt0246460/?ref_=fn_tt_tt_1</t>
  </si>
  <si>
    <t>Paul Feig</t>
  </si>
  <si>
    <t>Action|Comedy|Fantasy|Sci-Fi</t>
  </si>
  <si>
    <t>Ed Begley Jr.</t>
  </si>
  <si>
    <t>Kate McKinnon</t>
  </si>
  <si>
    <t>Zach Woods</t>
  </si>
  <si>
    <t>Ghostbusters </t>
  </si>
  <si>
    <t>ghost|ghostbuster|ghostbusters|male objectification|reboot</t>
  </si>
  <si>
    <t>http://www.imdb.com/title/tt1289401/?ref_=fn_tt_tt_1</t>
  </si>
  <si>
    <t>Bruce Willis</t>
  </si>
  <si>
    <t>Will Patton</t>
  </si>
  <si>
    <t>Armageddon </t>
  </si>
  <si>
    <t>asteroid|astronaut|bomb|meteorite|outer space</t>
  </si>
  <si>
    <t>http://www.imdb.com/title/tt0120591/?ref_=fn_tt_tt_1</t>
  </si>
  <si>
    <t>Action|Adventure|Comedy|Family|Fantasy|Mystery|Sci-Fi</t>
  </si>
  <si>
    <t>Rosario Dawson</t>
  </si>
  <si>
    <t>Men in Black II </t>
  </si>
  <si>
    <t>alien|lingerie|lingerie model|m.i.b.|pug</t>
  </si>
  <si>
    <t>http://www.imdb.com/title/tt0120912/?ref_=fn_tt_tt_1</t>
  </si>
  <si>
    <t>Action|Adventure|Animation|Fantasy</t>
  </si>
  <si>
    <t>Sebastian Roché</t>
  </si>
  <si>
    <t>Beowulf </t>
  </si>
  <si>
    <t>creature|demon|king|reward|warrior</t>
  </si>
  <si>
    <t>http://www.imdb.com/title/tt0442933/?ref_=fn_tt_tt_1</t>
  </si>
  <si>
    <t>Alessandro Carloni</t>
  </si>
  <si>
    <t>Wayne Knight</t>
  </si>
  <si>
    <t>Kung Fu Panda 3 </t>
  </si>
  <si>
    <t>china|kung fu|panda|pig|village</t>
  </si>
  <si>
    <t>http://www.imdb.com/title/tt2267968/?ref_=fn_tt_tt_1</t>
  </si>
  <si>
    <t>Michael Nyqvist</t>
  </si>
  <si>
    <t>Mission: Impossible - Ghost Protocol 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</si>
  <si>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</si>
  <si>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</si>
  <si>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</si>
  <si>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</si>
  <si>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</si>
  <si>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Rise of the Guardians </t>
  </si>
  <si>
    <t>belief|box office hit|children|new york city|tooth</t>
  </si>
  <si>
    <t>http://www.imdb.com/title/tt1446192/?ref_=fn_tt_tt_1</t>
  </si>
  <si>
    <t>Dean Parisot</t>
  </si>
  <si>
    <t>Comedy|Crime</t>
  </si>
  <si>
    <t>John Michael Higgins</t>
  </si>
  <si>
    <t>Richard Burgi</t>
  </si>
  <si>
    <t>David Herman</t>
  </si>
  <si>
    <t>Fun with Dick and Jane </t>
  </si>
  <si>
    <t>animal abuse|ceo|heist|suburb|unemployment</t>
  </si>
  <si>
    <t>http://www.imdb.com/title/tt0369441/?ref_=fn_tt_tt_1</t>
  </si>
  <si>
    <t>Edward Zwick</t>
  </si>
  <si>
    <t>Action|Drama|History|War</t>
  </si>
  <si>
    <t>Tony Goldwyn</t>
  </si>
  <si>
    <t>Chad Lindberg</t>
  </si>
  <si>
    <t>The Last Samurai </t>
  </si>
  <si>
    <t>captain|emperor|honor|japan|samurai</t>
  </si>
  <si>
    <t>http://www.imdb.com/title/tt0325710/?ref_=fn_tt_tt_1</t>
  </si>
  <si>
    <t>Action|Adventure|Drama</t>
  </si>
  <si>
    <t>María Valverde</t>
  </si>
  <si>
    <t>Ben Mendelsohn</t>
  </si>
  <si>
    <t>Exodus: Gods and Kings 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</si>
  <si>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</si>
  <si>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</si>
  <si>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</si>
  <si>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</si>
  <si>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</si>
  <si>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</si>
  <si>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</si>
  <si>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</si>
  <si>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</si>
  <si>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</si>
  <si>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</si>
  <si>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</si>
  <si>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</si>
  <si>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</si>
  <si>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</si>
  <si>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</si>
  <si>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Gods of Egypt </t>
  </si>
  <si>
    <t>ancient egypt|egypt|egyptian|egyptian god|egyptian goddess</t>
  </si>
  <si>
    <t>http://www.imdb.com/title/tt2404233/?ref_=fn_tt_tt_1</t>
  </si>
  <si>
    <t>Sam Shepard</t>
  </si>
  <si>
    <t>Joe Morton</t>
  </si>
  <si>
    <t>Richard Roxburgh</t>
  </si>
  <si>
    <t>Stealth </t>
  </si>
  <si>
    <t>artificial intelligence|box office flop|fighter jet|navy|pilot</t>
  </si>
  <si>
    <t>http://www.imdb.com/title/tt0382992/?ref_=fn_tt_tt_1</t>
  </si>
  <si>
    <t>Action|Drama|Mystery|Sci-Fi</t>
  </si>
  <si>
    <t>Matt Frewer</t>
  </si>
  <si>
    <t>Billy Crudup</t>
  </si>
  <si>
    <t>Stephen McHattie</t>
  </si>
  <si>
    <t>Watchmen 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</si>
  <si>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</si>
  <si>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</si>
  <si>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</si>
  <si>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</si>
  <si>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</si>
  <si>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Lethal Weapon 4 </t>
  </si>
  <si>
    <t>kung fu|lapd|martial arts|private investigator|triad</t>
  </si>
  <si>
    <t>http://www.imdb.com/title/tt0122151/?ref_=fn_tt_tt_1</t>
  </si>
  <si>
    <t>Ang Lee</t>
  </si>
  <si>
    <t>Kevin Rankin</t>
  </si>
  <si>
    <t>Regi Davis</t>
  </si>
  <si>
    <t>Celia Weston</t>
  </si>
  <si>
    <t>Hulk 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</si>
  <si>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</si>
  <si>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</si>
  <si>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</si>
  <si>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</si>
  <si>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</si>
  <si>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</si>
  <si>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</si>
  <si>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</si>
  <si>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</si>
  <si>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</si>
  <si>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</si>
  <si>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</si>
  <si>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</si>
  <si>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Action|Adventure|Animation|Fantasy|Romance|Sci-Fi</t>
  </si>
  <si>
    <t>Ming-Na Wen</t>
  </si>
  <si>
    <t>Jean Simmons</t>
  </si>
  <si>
    <t>Final Fantasy: The Spirits Within 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</si>
  <si>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</si>
  <si>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</si>
  <si>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</si>
  <si>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</si>
  <si>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</si>
  <si>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</si>
  <si>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Desmond Llewelyn</t>
  </si>
  <si>
    <t>The World Is Not Enough </t>
  </si>
  <si>
    <t>british|oil|scientist|terrorist|tycoon</t>
  </si>
  <si>
    <t>http://www.imdb.com/title/tt0143145/?ref_=fn_tt_tt_1</t>
  </si>
  <si>
    <t>Peter Weir</t>
  </si>
  <si>
    <t>Action|Adventure|Drama|History|War</t>
  </si>
  <si>
    <t>James D'Arcy</t>
  </si>
  <si>
    <t>Lee Ingleby</t>
  </si>
  <si>
    <t>David Threlfall</t>
  </si>
  <si>
    <t>Master and Commander: The Far Side of the World 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</si>
  <si>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</si>
  <si>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</si>
  <si>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</si>
  <si>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</si>
  <si>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</si>
  <si>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The Twilight Saga: Breaking Dawn - Part 2 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</si>
  <si>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</si>
  <si>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</si>
  <si>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</si>
  <si>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</si>
  <si>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</si>
  <si>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</si>
  <si>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</si>
  <si>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</si>
  <si>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</si>
  <si>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</si>
  <si>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</si>
  <si>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</si>
  <si>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</si>
  <si>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Philip Michael Thomas</t>
  </si>
  <si>
    <t>John Diehl</t>
  </si>
  <si>
    <t>Miami Vice </t>
  </si>
  <si>
    <t>cult tv|detective|drugs|police|undercover</t>
  </si>
  <si>
    <t>http://www.imdb.com/title/tt0086759/?ref_=fn_tt_tt_1</t>
  </si>
  <si>
    <t>TV-14</t>
  </si>
  <si>
    <t>Mark Rylance</t>
  </si>
  <si>
    <t>Penelope Wilton</t>
  </si>
  <si>
    <t>Rafe Spall</t>
  </si>
  <si>
    <t>The BFG 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</si>
  <si>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</si>
  <si>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</si>
  <si>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</si>
  <si>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</si>
  <si>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Lukas Haas</t>
  </si>
  <si>
    <t>The Revenant 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</si>
  <si>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</si>
  <si>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</si>
  <si>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</si>
  <si>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</si>
  <si>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</si>
  <si>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Turbo 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</si>
  <si>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</si>
  <si>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</si>
  <si>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</si>
  <si>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</si>
  <si>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Rango </t>
  </si>
  <si>
    <t>chameleon|lizard|sheriff|water|western town</t>
  </si>
  <si>
    <t>http://www.imdb.com/title/tt1192628/?ref_=fn_tt_tt_1</t>
  </si>
  <si>
    <t>Annet Mahendru</t>
  </si>
  <si>
    <t>Andy Richter</t>
  </si>
  <si>
    <t>Penguins of Madagascar 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</si>
  <si>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</si>
  <si>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</si>
  <si>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</si>
  <si>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</si>
  <si>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</si>
  <si>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</si>
  <si>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</si>
  <si>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</si>
  <si>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</si>
  <si>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</si>
  <si>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</si>
  <si>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</si>
  <si>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</si>
  <si>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T.I.</t>
  </si>
  <si>
    <t>Ant-Man 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</si>
  <si>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</si>
  <si>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</si>
  <si>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</si>
  <si>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</si>
  <si>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The Hunger Games: Catching Fire </t>
  </si>
  <si>
    <t>president|snow|television|tour|uprising</t>
  </si>
  <si>
    <t>http://www.imdb.com/title/tt1951264/?ref_=fn_tt_tt_1</t>
  </si>
  <si>
    <t>Tim Johnson</t>
  </si>
  <si>
    <t>Adventure|Animation|Comedy|Family|Fantasy|Sci-Fi</t>
  </si>
  <si>
    <t>Jim Parsons</t>
  </si>
  <si>
    <t>Matt Jones</t>
  </si>
  <si>
    <t>April Winchell</t>
  </si>
  <si>
    <t>Home 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</si>
  <si>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</si>
  <si>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</si>
  <si>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</si>
  <si>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</si>
  <si>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War of the Worlds </t>
  </si>
  <si>
    <t>alien|fight|storm|survival|tripod</t>
  </si>
  <si>
    <t>http://www.imdb.com/title/tt0407304/?ref_=fn_tt_tt_1</t>
  </si>
  <si>
    <t>Henry Rollins</t>
  </si>
  <si>
    <t>Jordi Mollà</t>
  </si>
  <si>
    <t>Bad Boys II </t>
  </si>
  <si>
    <t>cuba|dea|drugs|money|undercover</t>
  </si>
  <si>
    <t>http://www.imdb.com/title/tt0172156/?ref_=fn_tt_tt_1</t>
  </si>
  <si>
    <t>Constance Marie</t>
  </si>
  <si>
    <t>Amy Sedaris</t>
  </si>
  <si>
    <t>Puss in Boots 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</si>
  <si>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</si>
  <si>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</si>
  <si>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</si>
  <si>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</si>
  <si>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</si>
  <si>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Salt 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</si>
  <si>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</si>
  <si>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</si>
  <si>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</si>
  <si>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</si>
  <si>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</si>
  <si>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Noah </t>
  </si>
  <si>
    <t>ark|flood|noah's ark|water|wrath of god</t>
  </si>
  <si>
    <t>http://www.imdb.com/title/tt1959490/?ref_=fn_tt_tt_1</t>
  </si>
  <si>
    <t>Action|Adventure|Family|Mystery</t>
  </si>
  <si>
    <t>Toby Jones</t>
  </si>
  <si>
    <t>Mackenzie Crook</t>
  </si>
  <si>
    <t>Tony Curran</t>
  </si>
  <si>
    <t>The Adventures of Tintin 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</si>
  <si>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</si>
  <si>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</si>
  <si>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</si>
  <si>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</si>
  <si>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</si>
  <si>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</si>
  <si>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</si>
  <si>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Eddie Baroo</t>
  </si>
  <si>
    <t>Australia 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</si>
  <si>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</si>
  <si>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</si>
  <si>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</si>
  <si>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</si>
  <si>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</si>
  <si>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</si>
  <si>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Adventure|Animation|Family|Thriller</t>
  </si>
  <si>
    <t>Alfre Woodard</t>
  </si>
  <si>
    <t>D.B. Sweeney</t>
  </si>
  <si>
    <t>Della Reese</t>
  </si>
  <si>
    <t>Dinosaur </t>
  </si>
  <si>
    <t>egg|iguanodon|lemur|meteor|nesting grounds</t>
  </si>
  <si>
    <t>http://www.imdb.com/title/tt0130623/?ref_=fn_tt_tt_1</t>
  </si>
  <si>
    <t>Matt Birch</t>
  </si>
  <si>
    <t>Action|Fantasy</t>
  </si>
  <si>
    <t>Dave Legeno</t>
  </si>
  <si>
    <t>Ralph Ineson</t>
  </si>
  <si>
    <t>Harry Potter and the Deathly Hallows: Part II 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</si>
  <si>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</si>
  <si>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</si>
  <si>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</si>
  <si>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</si>
  <si>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</si>
  <si>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</si>
  <si>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</si>
  <si>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Megamind </t>
  </si>
  <si>
    <t>battle|city|planet|prison|superhero</t>
  </si>
  <si>
    <t>http://www.imdb.com/title/tt1001526/?ref_=fn_tt_tt_1</t>
  </si>
  <si>
    <t>Chris Columbus</t>
  </si>
  <si>
    <t>Verne Troyer</t>
  </si>
  <si>
    <t>Harry Potter and the Sorcerer's Stone 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</si>
  <si>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</si>
  <si>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</si>
  <si>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</si>
  <si>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</si>
  <si>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</si>
  <si>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R.I.P.D. 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</si>
  <si>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</si>
  <si>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</si>
  <si>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</si>
  <si>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</si>
  <si>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</si>
  <si>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</si>
  <si>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Alfred Enoch</t>
  </si>
  <si>
    <t>Harry Potter and the Deathly Hallows: Part I 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</si>
  <si>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</si>
  <si>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</si>
  <si>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</si>
  <si>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</si>
  <si>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</si>
  <si>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Jürgen Prochnow</t>
  </si>
  <si>
    <t>The Da Vinci Code </t>
  </si>
  <si>
    <t>based on supposedly true story|holy grail|mary magdalene|opus dei|secret</t>
  </si>
  <si>
    <t>http://www.imdb.com/title/tt0382625/?ref_=fn_tt_tt_1</t>
  </si>
  <si>
    <t>Carlos Saldanha</t>
  </si>
  <si>
    <t>Adventure|Animation|Comedy|Family|Musical</t>
  </si>
  <si>
    <t>Miguel Ferrer</t>
  </si>
  <si>
    <t>Rachel Crow</t>
  </si>
  <si>
    <t>Jeffrey Garcia</t>
  </si>
  <si>
    <t>Rio 2 </t>
  </si>
  <si>
    <t>amazon|bird|father in law|jungle|no opening credits</t>
  </si>
  <si>
    <t>http://www.imdb.com/title/tt2357291/?ref_=fn_tt_tt_1</t>
  </si>
  <si>
    <t>Bruce Davison</t>
  </si>
  <si>
    <t>Aaron Stanford</t>
  </si>
  <si>
    <t>X-Men 2 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</si>
  <si>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</si>
  <si>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</si>
  <si>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</si>
  <si>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</si>
  <si>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</si>
  <si>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</si>
  <si>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</si>
  <si>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</si>
  <si>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Sherlock Holmes: A Game of Shadows </t>
  </si>
  <si>
    <t>factory|gypsy|investigation|sherlock holmes|train</t>
  </si>
  <si>
    <t>http://www.imdb.com/title/tt1515091/?ref_=fn_tt_tt_1</t>
  </si>
  <si>
    <t>Alexa Davalos</t>
  </si>
  <si>
    <t>Clash of the Titans </t>
  </si>
  <si>
    <t>famous line|hand to hand combat|kraken|rape|zeus</t>
  </si>
  <si>
    <t>http://www.imdb.com/title/tt0800320/?ref_=fn_tt_tt_1</t>
  </si>
  <si>
    <t>Paul Verhoeven</t>
  </si>
  <si>
    <t>Ronny Cox</t>
  </si>
  <si>
    <t>Rachel Ticotin</t>
  </si>
  <si>
    <t>Marshall Bell</t>
  </si>
  <si>
    <t>Total Recall </t>
  </si>
  <si>
    <t>ambiguous ending|false memory|implanted memory|memory|space colony</t>
  </si>
  <si>
    <t>http://www.imdb.com/title/tt0100802/?ref_=fn_tt_tt_1</t>
  </si>
  <si>
    <t>John McTiernan</t>
  </si>
  <si>
    <t>Action|Adventure|History</t>
  </si>
  <si>
    <t>Vladimir Kulich</t>
  </si>
  <si>
    <t>Clive Russell</t>
  </si>
  <si>
    <t>The 13th Warrior 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</si>
  <si>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</si>
  <si>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</si>
  <si>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</si>
  <si>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</si>
  <si>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</si>
  <si>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The Bourne Legacy 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</si>
  <si>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</si>
  <si>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</si>
  <si>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</si>
  <si>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</si>
  <si>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</si>
  <si>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</si>
  <si>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Batman &amp; Robin </t>
  </si>
  <si>
    <t>butler|critically bashed|cure|freeze|gotham</t>
  </si>
  <si>
    <t>http://www.imdb.com/title/tt0118688/?ref_=fn_tt_tt_1</t>
  </si>
  <si>
    <t>Clint Howard</t>
  </si>
  <si>
    <t>T.J. Thyne</t>
  </si>
  <si>
    <t>Molly Shannon</t>
  </si>
  <si>
    <t>How the Grinch Stole Christmas 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</si>
  <si>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</si>
  <si>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</si>
  <si>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</si>
  <si>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</si>
  <si>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</si>
  <si>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</si>
  <si>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</si>
  <si>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</si>
  <si>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</si>
  <si>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</si>
  <si>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Karen Allen</t>
  </si>
  <si>
    <t>Mary Elizabeth Mastrantonio</t>
  </si>
  <si>
    <t>Bob Gunton</t>
  </si>
  <si>
    <t>The Perfect Storm 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</si>
  <si>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</si>
  <si>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</si>
  <si>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</si>
  <si>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</si>
  <si>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</si>
  <si>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</si>
  <si>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</si>
  <si>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</si>
  <si>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</si>
  <si>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</si>
  <si>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Life of Pi </t>
  </si>
  <si>
    <t>animal|faith|india|journey|tiger</t>
  </si>
  <si>
    <t>http://www.imdb.com/title/tt0454876/?ref_=fn_tt_tt_1</t>
  </si>
  <si>
    <t>Mark Steven Johnson</t>
  </si>
  <si>
    <t>Action|Fantasy|Thriller</t>
  </si>
  <si>
    <t>Matt Long</t>
  </si>
  <si>
    <t>Peter Fonda</t>
  </si>
  <si>
    <t>Ghost Rider </t>
  </si>
  <si>
    <t>blackheart|devil|father|ghost|mephistopheles</t>
  </si>
  <si>
    <t>http://www.imdb.com/title/tt0259324/?ref_=fn_tt_tt_1</t>
  </si>
  <si>
    <t>Riz Ahmed</t>
  </si>
  <si>
    <t>Ato Essandoh</t>
  </si>
  <si>
    <t>Jason Bourne 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</si>
  <si>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</si>
  <si>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</si>
  <si>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</si>
  <si>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</si>
  <si>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</si>
  <si>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Charlie's Angels: Full Throttle 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</si>
  <si>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</si>
  <si>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</si>
  <si>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</si>
  <si>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</si>
  <si>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</si>
  <si>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</si>
  <si>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</si>
  <si>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</si>
  <si>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Stuart Little 2 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</si>
  <si>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</si>
  <si>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</si>
  <si>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</si>
  <si>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</si>
  <si>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</si>
  <si>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</si>
  <si>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</si>
  <si>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</si>
  <si>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Christina Cox</t>
  </si>
  <si>
    <t>The Chronicles of Riddick </t>
  </si>
  <si>
    <t>bounty hunter|escape|necromonger|planet|warrior</t>
  </si>
  <si>
    <t>http://www.imdb.com/title/tt0296572/?ref_=fn_tt_tt_1</t>
  </si>
  <si>
    <t>José Padilha</t>
  </si>
  <si>
    <t>Action|Crime|Sci-Fi|Thriller</t>
  </si>
  <si>
    <t>Abbie Cornish</t>
  </si>
  <si>
    <t>Jennifer Ehle</t>
  </si>
  <si>
    <t>RoboCop </t>
  </si>
  <si>
    <t>law enforcement|police|robocop|robot|technology</t>
  </si>
  <si>
    <t>http://www.imdb.com/title/tt1234721/?ref_=fn_tt_tt_1</t>
  </si>
  <si>
    <t>Action|Family|Sport</t>
  </si>
  <si>
    <t>Scott Porter</t>
  </si>
  <si>
    <t>Kick Gurry</t>
  </si>
  <si>
    <t>Nicholas Elia</t>
  </si>
  <si>
    <t>Speed Racer </t>
  </si>
  <si>
    <t>based on anime|based on cartoon|gadget car|racer|speed</t>
  </si>
  <si>
    <t>http://www.imdb.com/title/tt0811080/?ref_=fn_tt_tt_1</t>
  </si>
  <si>
    <t>James L. Brooks</t>
  </si>
  <si>
    <t>Comedy|Drama|Romance</t>
  </si>
  <si>
    <t>Shelley Conn</t>
  </si>
  <si>
    <t>Domenick Lombardozzi</t>
  </si>
  <si>
    <t>Teyonah Parris</t>
  </si>
  <si>
    <t>How Do You Know </t>
  </si>
  <si>
    <t>embarrassment|falling in love|love|love triangle|revelation</t>
  </si>
  <si>
    <t>http://www.imdb.com/title/tt1341188/?ref_=fn_tt_tt_1</t>
  </si>
  <si>
    <t>James Mangold</t>
  </si>
  <si>
    <t>Action|Comedy|Romance</t>
  </si>
  <si>
    <t>Marc Blucas</t>
  </si>
  <si>
    <t>Knight and Day </t>
  </si>
  <si>
    <t>chase|fbi|garage|spy|surveillance</t>
  </si>
  <si>
    <t>http://www.imdb.com/title/tt1013743/?ref_=fn_tt_tt_1</t>
  </si>
  <si>
    <t>Action|Adventure|Mystery|Sci-Fi</t>
  </si>
  <si>
    <t>Zoë Bell</t>
  </si>
  <si>
    <t>Oblivion 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</si>
  <si>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</si>
  <si>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</si>
  <si>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</si>
  <si>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</si>
  <si>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Star Wars: Episode III - Revenge of the Sith 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</si>
  <si>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</si>
  <si>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</si>
  <si>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</si>
  <si>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</si>
  <si>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</si>
  <si>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</si>
  <si>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Monsters, Inc. </t>
  </si>
  <si>
    <t>friend|little girl|monster|rival|scream</t>
  </si>
  <si>
    <t>http://www.imdb.com/title/tt0198781/?ref_=fn_tt_tt_1</t>
  </si>
  <si>
    <t>Tao Okamoto</t>
  </si>
  <si>
    <t>Rila Fukushima</t>
  </si>
  <si>
    <t>The Wolverine </t>
  </si>
  <si>
    <t>healing power|marvel comics|mecha|regeneration|self healing</t>
  </si>
  <si>
    <t>http://www.imdb.com/title/tt1430132/?ref_=fn_tt_tt_1</t>
  </si>
  <si>
    <t>Ian McDiarmid</t>
  </si>
  <si>
    <t>Star Wars: Episode I - The Phantom Menace 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</si>
  <si>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</si>
  <si>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</si>
  <si>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</si>
  <si>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</si>
  <si>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</si>
  <si>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</si>
  <si>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</si>
  <si>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Alain Delon</t>
  </si>
  <si>
    <t>Santiago Segura</t>
  </si>
  <si>
    <t>Vanessa Hessler</t>
  </si>
  <si>
    <t>Asterix at the Olympic Games </t>
  </si>
  <si>
    <t>1st century b.c.|lightsaber|local blockbuster|magical potion|potion</t>
  </si>
  <si>
    <t>http://www.imdb.com/title/tt0463872/?ref_=fn_tt_tt_1</t>
  </si>
  <si>
    <t>French</t>
  </si>
  <si>
    <t>France</t>
  </si>
  <si>
    <t>Action|Drama|War</t>
  </si>
  <si>
    <t>Roger Willie</t>
  </si>
  <si>
    <t>Noah Emmerich</t>
  </si>
  <si>
    <t>Windtalkers 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</si>
  <si>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</si>
  <si>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</si>
  <si>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</si>
  <si>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</si>
  <si>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</si>
  <si>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</si>
  <si>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Noel Fisher</t>
  </si>
  <si>
    <t>Danny Woodburn</t>
  </si>
  <si>
    <t>Jeremy Howard</t>
  </si>
  <si>
    <t>Teenage Mutant Ninja Turtles </t>
  </si>
  <si>
    <t>18 wheeler|mutant|ninja|sewer|turtle</t>
  </si>
  <si>
    <t>http://www.imdb.com/title/tt1291150/?ref_=fn_tt_tt_1</t>
  </si>
  <si>
    <t>Adventure|Drama|Sci-Fi|Thriller</t>
  </si>
  <si>
    <t>Phaldut Sharma</t>
  </si>
  <si>
    <t>Basher Savage</t>
  </si>
  <si>
    <t>Amy Warren</t>
  </si>
  <si>
    <t>Gravity </t>
  </si>
  <si>
    <t>box office hit|long take|sole survivor|space|space station</t>
  </si>
  <si>
    <t>http://www.imdb.com/title/tt1454468/?ref_=fn_tt_tt_1</t>
  </si>
  <si>
    <t>Roger Donaldson</t>
  </si>
  <si>
    <t>Jamie Renée Smith</t>
  </si>
  <si>
    <t>Grant Heslov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</si>
  <si>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</si>
  <si>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</si>
  <si>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</si>
  <si>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</si>
  <si>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</si>
  <si>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</si>
  <si>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</si>
  <si>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</si>
  <si>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</si>
  <si>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Tim Blake Nelson</t>
  </si>
  <si>
    <t>Reg E. Cathey</t>
  </si>
  <si>
    <t>Tim Heidecker</t>
  </si>
  <si>
    <t>Fantastic Four 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</si>
  <si>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</si>
  <si>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</si>
  <si>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</si>
  <si>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</si>
  <si>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</si>
  <si>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</si>
  <si>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</si>
  <si>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Archie Panjabi</t>
  </si>
  <si>
    <t>San Andreas 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</si>
  <si>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</si>
  <si>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</si>
  <si>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</si>
  <si>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</si>
  <si>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</si>
  <si>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Tomorrow Never Dies 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</si>
  <si>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</si>
  <si>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</si>
  <si>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</si>
  <si>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</si>
  <si>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</si>
  <si>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</si>
  <si>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</si>
  <si>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Crime|Thriller</t>
  </si>
  <si>
    <t>Julia Roberts</t>
  </si>
  <si>
    <t>Mini Anden</t>
  </si>
  <si>
    <t>Ocean's Twelve 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</si>
  <si>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</si>
  <si>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</si>
  <si>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</si>
  <si>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</si>
  <si>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Mr. &amp; Mrs. Smith </t>
  </si>
  <si>
    <t>assassin|marriage|secret agent|suburb|target</t>
  </si>
  <si>
    <t>http://www.imdb.com/title/tt0356910/?ref_=fn_tt_tt_1</t>
  </si>
  <si>
    <t>Theo James</t>
  </si>
  <si>
    <t>Mekhi Phifer</t>
  </si>
  <si>
    <t>Insurgent </t>
  </si>
  <si>
    <t>action heroine|falling from height|mind control|trainhopping|truth serum</t>
  </si>
  <si>
    <t>http://www.imdb.com/title/tt2908446/?ref_=fn_tt_tt_1</t>
  </si>
  <si>
    <t>Biography|Drama</t>
  </si>
  <si>
    <t>Adam Scott</t>
  </si>
  <si>
    <t>Frances Conroy</t>
  </si>
  <si>
    <t>The Aviator </t>
  </si>
  <si>
    <t>1920s|aviation|fight|spruce goose|test flight</t>
  </si>
  <si>
    <t>http://www.imdb.com/title/tt0338751/?ref_=fn_tt_tt_1</t>
  </si>
  <si>
    <t>James Corden</t>
  </si>
  <si>
    <t>Catherine Tate</t>
  </si>
  <si>
    <t>Olly Alexander</t>
  </si>
  <si>
    <t>Gulliver's Travels 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</si>
  <si>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</si>
  <si>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</si>
  <si>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</si>
  <si>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</si>
  <si>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</si>
  <si>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The Green Hornet </t>
  </si>
  <si>
    <t>heir|kung fu|party|playboy|superhero</t>
  </si>
  <si>
    <t>http://www.imdb.com/title/tt0990407/?ref_=fn_tt_tt_1</t>
  </si>
  <si>
    <t>Action|Adventure|Crime</t>
  </si>
  <si>
    <t>George Peppard</t>
  </si>
  <si>
    <t>Dirk Benedict</t>
  </si>
  <si>
    <t>Dwight Schultz</t>
  </si>
  <si>
    <t>The A-Team </t>
  </si>
  <si>
    <t>1980s|cult tv|famous opening theme|good versus evil|hero for hire</t>
  </si>
  <si>
    <t>http://www.imdb.com/title/tt0084967/?ref_=fn_tt_tt_1</t>
  </si>
  <si>
    <t>TV-PG</t>
  </si>
  <si>
    <t>Noam Murro</t>
  </si>
  <si>
    <t>Action|Drama|Fantasy|War</t>
  </si>
  <si>
    <t>Sullivan Stapleton</t>
  </si>
  <si>
    <t>300: Rise of an Empire </t>
  </si>
  <si>
    <t>army|commander|female rear nudity|greek|navy</t>
  </si>
  <si>
    <t>http://www.imdb.com/title/tt1253863/?ref_=fn_tt_tt_1</t>
  </si>
  <si>
    <t>Raja Gosnell</t>
  </si>
  <si>
    <t>Mahadeo Shivraj</t>
  </si>
  <si>
    <t>Tim Gunn</t>
  </si>
  <si>
    <t>Madison McKinley</t>
  </si>
  <si>
    <t>The Smurfs </t>
  </si>
  <si>
    <t>blue|new york|new york city|no opening credits|smurf</t>
  </si>
  <si>
    <t>http://www.imdb.com/title/tt0472181/?ref_=fn_tt_tt_1</t>
  </si>
  <si>
    <t>Will Finn</t>
  </si>
  <si>
    <t>Animation|Comedy|Family|Music|Western</t>
  </si>
  <si>
    <t>Roseanne Barr</t>
  </si>
  <si>
    <t>G.W. Bailey</t>
  </si>
  <si>
    <t>Home on the Range 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</si>
  <si>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</si>
  <si>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</si>
  <si>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</si>
  <si>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</si>
  <si>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</si>
  <si>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</si>
  <si>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Action|Drama|Sci-Fi|Sport</t>
  </si>
  <si>
    <t>Torey Michael Adkins</t>
  </si>
  <si>
    <t>Olga Fonda</t>
  </si>
  <si>
    <t>Real Steel </t>
  </si>
  <si>
    <t>arena|boxing|boxing movie|robot|robot battle</t>
  </si>
  <si>
    <t>http://www.imdb.com/title/tt0433035/?ref_=fn_tt_tt_1</t>
  </si>
  <si>
    <t>Jacob Tremblay</t>
  </si>
  <si>
    <t>Nancy O'Dell</t>
  </si>
  <si>
    <t>Vanessa Matsui</t>
  </si>
  <si>
    <t>The Smurfs 2 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</si>
  <si>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</si>
  <si>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</si>
  <si>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</si>
  <si>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</si>
  <si>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</si>
  <si>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</si>
  <si>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Speed 2: Cruise Control </t>
  </si>
  <si>
    <t>collision course|computer|cruise|diamonds|ship run aground</t>
  </si>
  <si>
    <t>http://www.imdb.com/title/tt0120179/?ref_=fn_tt_tt_1</t>
  </si>
  <si>
    <t>Moises Arias</t>
  </si>
  <si>
    <t>Aramis Knight</t>
  </si>
  <si>
    <t>Ender's Game 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</si>
  <si>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</si>
  <si>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</si>
  <si>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</si>
  <si>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</si>
  <si>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</si>
  <si>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Live Free or Die Hard </t>
  </si>
  <si>
    <t>fbi|hacker|independence day|police|terrorist</t>
  </si>
  <si>
    <t>http://www.imdb.com/title/tt0337978/?ref_=fn_tt_tt_1</t>
  </si>
  <si>
    <t>Billy Boyd</t>
  </si>
  <si>
    <t>The Lord of the Rings: The Fellowship of the Ring </t>
  </si>
  <si>
    <t>elf|hobbit|middle earth|quest|ring</t>
  </si>
  <si>
    <t>http://www.imdb.com/title/tt0120737/?ref_=fn_tt_tt_1</t>
  </si>
  <si>
    <t>Frank Coraci</t>
  </si>
  <si>
    <t>Action|Adventure|Comedy</t>
  </si>
  <si>
    <t>Cécile De France</t>
  </si>
  <si>
    <t>Around the World in 80 Days 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</si>
  <si>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</si>
  <si>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</si>
  <si>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</si>
  <si>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</si>
  <si>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</si>
  <si>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</si>
  <si>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</si>
  <si>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</si>
  <si>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</si>
  <si>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</si>
  <si>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The Cat in the Hat 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</si>
  <si>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</si>
  <si>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</si>
  <si>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</si>
  <si>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</si>
  <si>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I, Robot </t>
  </si>
  <si>
    <t>humanoid robot|man versus machine|prosthetic limb|robot as pathos|robot vs. robot</t>
  </si>
  <si>
    <t>http://www.imdb.com/title/tt0343818/?ref_=fn_tt_tt_1</t>
  </si>
  <si>
    <t>Philip Glenister</t>
  </si>
  <si>
    <t>Kingdom of Heaven </t>
  </si>
  <si>
    <t>12th century|crusader|jerusalem|knight|medieval times</t>
  </si>
  <si>
    <t>http://www.imdb.com/title/tt0320661/?ref_=fn_tt_tt_1</t>
  </si>
  <si>
    <t>Chazz Palminteri</t>
  </si>
  <si>
    <t>Jeffrey Jones</t>
  </si>
  <si>
    <t>Stuart Little </t>
  </si>
  <si>
    <t>box office hit|cat|first part|mouse|orphanage</t>
  </si>
  <si>
    <t>http://www.imdb.com/title/tt0164912/?ref_=fn_tt_tt_1</t>
  </si>
  <si>
    <t>Ron Clements</t>
  </si>
  <si>
    <t>Animation|Family|Fantasy|Musical|Romance</t>
  </si>
  <si>
    <t>Jenifer Lewis</t>
  </si>
  <si>
    <t>Anika Noni Rose</t>
  </si>
  <si>
    <t>The Princess and the Frog </t>
  </si>
  <si>
    <t>amphibian|dream|frog|frog prince|waitress</t>
  </si>
  <si>
    <t>http://www.imdb.com/title/tt0780521/?ref_=fn_tt_tt_1</t>
  </si>
  <si>
    <t>Donald Glover</t>
  </si>
  <si>
    <t>Benedict Wong</t>
  </si>
  <si>
    <t>The Martian 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</si>
  <si>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</si>
  <si>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</si>
  <si>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</si>
  <si>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</si>
  <si>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</si>
  <si>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</si>
  <si>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</si>
  <si>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</si>
  <si>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</si>
  <si>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</si>
  <si>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</si>
  <si>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</si>
  <si>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Comedy|Romance</t>
  </si>
  <si>
    <t>Del Zamora</t>
  </si>
  <si>
    <t>Warren Beatty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</si>
  <si>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</si>
  <si>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</si>
  <si>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</si>
  <si>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</si>
  <si>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</si>
  <si>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</si>
  <si>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Gone in Sixty Seconds </t>
  </si>
  <si>
    <t>auto theft|brother|car|theft|thief</t>
  </si>
  <si>
    <t>http://www.imdb.com/title/tt0187078/?ref_=fn_tt_tt_1</t>
  </si>
  <si>
    <t>Action|Drama|Romance</t>
  </si>
  <si>
    <t>Connie Nielsen</t>
  </si>
  <si>
    <t>Oliver Reed</t>
  </si>
  <si>
    <t>Gladiator </t>
  </si>
  <si>
    <t>battlefield|blood|combat|gladiator|roman empire</t>
  </si>
  <si>
    <t>http://www.imdb.com/title/tt0172495/?ref_=fn_tt_tt_1</t>
  </si>
  <si>
    <t>Frank Grillo</t>
  </si>
  <si>
    <t>Jessica Capshaw</t>
  </si>
  <si>
    <t>Minority Report 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</si>
  <si>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</si>
  <si>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</si>
  <si>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</si>
  <si>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</si>
  <si>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</si>
  <si>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</si>
  <si>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</si>
  <si>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 Royale </t>
  </si>
  <si>
    <t>casino|espionage|free running|james bond|terrorist</t>
  </si>
  <si>
    <t>http://www.imdb.com/title/tt0381061/?ref_=fn_tt_tt_1</t>
  </si>
  <si>
    <t>Estella Warren</t>
  </si>
  <si>
    <t>Erick Avari</t>
  </si>
  <si>
    <t>Planet of the Apes </t>
  </si>
  <si>
    <t>astronaut|cage|planet|wilhelm scream|year 2029</t>
  </si>
  <si>
    <t>http://www.imdb.com/title/tt0133152/?ref_=fn_tt_tt_1</t>
  </si>
  <si>
    <t>Jenette Goldstein</t>
  </si>
  <si>
    <t>S. Epatha Merkerson</t>
  </si>
  <si>
    <t>Terminator 2: Judgment Day 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</si>
  <si>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</si>
  <si>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</si>
  <si>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</si>
  <si>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</si>
  <si>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</si>
  <si>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</si>
  <si>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Biography|Crime|Drama</t>
  </si>
  <si>
    <t>Denzel Washington</t>
  </si>
  <si>
    <t>Ruby Dee</t>
  </si>
  <si>
    <t>RZA</t>
  </si>
  <si>
    <t>American Gangster </t>
  </si>
  <si>
    <t>death|heroin|popcorn|smuggling|vietnam</t>
  </si>
  <si>
    <t>http://www.imdb.com/title/tt0765429/?ref_=fn_tt_tt_1</t>
  </si>
  <si>
    <t>Action|Comedy|Thriller</t>
  </si>
  <si>
    <t>Jamie Lee Curtis</t>
  </si>
  <si>
    <t>Tia Carrere</t>
  </si>
  <si>
    <t>Tom Arnold</t>
  </si>
  <si>
    <t>True Lies </t>
  </si>
  <si>
    <t>espionage|secret agent|secret mission|spy|spy film</t>
  </si>
  <si>
    <t>http://www.imdb.com/title/tt0111503/?ref_=fn_tt_tt_1</t>
  </si>
  <si>
    <t>Tony Scott</t>
  </si>
  <si>
    <t>Michael Rispoli</t>
  </si>
  <si>
    <t>The Taking of Pelham 1 2 3 </t>
  </si>
  <si>
    <t>hijack|hostage|ransom|subway|train</t>
  </si>
  <si>
    <t>http://www.imdb.com/title/tt1111422/?ref_=fn_tt_tt_1</t>
  </si>
  <si>
    <t>Paul Weitz</t>
  </si>
  <si>
    <t>Robert De Niro</t>
  </si>
  <si>
    <t>Blythe Danner</t>
  </si>
  <si>
    <t>Teri Polo</t>
  </si>
  <si>
    <t>Little Fockers 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</si>
  <si>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</si>
  <si>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</si>
  <si>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</si>
  <si>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</si>
  <si>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</si>
  <si>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The Other Guys 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</si>
  <si>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</si>
  <si>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</si>
  <si>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</si>
  <si>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</si>
  <si>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</si>
  <si>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</si>
  <si>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Eraser 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</si>
  <si>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</si>
  <si>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</si>
  <si>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</si>
  <si>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</si>
  <si>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</si>
  <si>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</si>
  <si>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</si>
  <si>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</si>
  <si>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Animation|Drama|Family|Musical|Romance</t>
  </si>
  <si>
    <t>Jason Alexander</t>
  </si>
  <si>
    <t>Bill Fagerbakke</t>
  </si>
  <si>
    <t>The Hunchback of Notre Dame </t>
  </si>
  <si>
    <t>15th century|cathedral|gypsy|paris|victor hugo</t>
  </si>
  <si>
    <t>http://www.imdb.com/title/tt0116583/?ref_=fn_tt_tt_1</t>
  </si>
  <si>
    <t>Mark Dindal</t>
  </si>
  <si>
    <t>Eartha Kitt</t>
  </si>
  <si>
    <t>Wendie Malick</t>
  </si>
  <si>
    <t>John Fiedler</t>
  </si>
  <si>
    <t>The Emperor's New Groove 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</si>
  <si>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</si>
  <si>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</si>
  <si>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</si>
  <si>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</si>
  <si>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</si>
  <si>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</si>
  <si>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</si>
  <si>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Action|Adventure|Comedy|Family|Mystery</t>
  </si>
  <si>
    <t>Armando Riesco</t>
  </si>
  <si>
    <t>Annie Parisse</t>
  </si>
  <si>
    <t>National Treasure 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</si>
  <si>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</si>
  <si>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</si>
  <si>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</si>
  <si>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</si>
  <si>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</si>
  <si>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Eragon </t>
  </si>
  <si>
    <t>dragon|dragon rider|fictional war|sword and fantasy|teenage hero</t>
  </si>
  <si>
    <t>http://www.imdb.com/title/tt0449010/?ref_=fn_tt_tt_1</t>
  </si>
  <si>
    <t>Spike Jonze</t>
  </si>
  <si>
    <t>Catherine O'Hara</t>
  </si>
  <si>
    <t>Ryan Corr</t>
  </si>
  <si>
    <t>Max Records</t>
  </si>
  <si>
    <t>Where the Wild Things Are 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</si>
  <si>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</si>
  <si>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</si>
  <si>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</si>
  <si>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</si>
  <si>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</si>
  <si>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Epic 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</si>
  <si>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</si>
  <si>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</si>
  <si>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</si>
  <si>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</si>
  <si>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</si>
  <si>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The Tourist </t>
  </si>
  <si>
    <t>police surveillance|surveillance van|tailing a suspect|tourist|venice italy</t>
  </si>
  <si>
    <t>http://www.imdb.com/title/tt1243957/?ref_=fn_tt_tt_1</t>
  </si>
  <si>
    <t>Peter Hyams</t>
  </si>
  <si>
    <t>Action|Fantasy|Horror|Mystery</t>
  </si>
  <si>
    <t>Mark Margolis</t>
  </si>
  <si>
    <t>Udo Kier</t>
  </si>
  <si>
    <t>End of Days 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</si>
  <si>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</si>
  <si>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</si>
  <si>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</si>
  <si>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</si>
  <si>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Blood Diamond 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</si>
  <si>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</si>
  <si>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</si>
  <si>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</si>
  <si>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</si>
  <si>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</si>
  <si>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</si>
  <si>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</si>
  <si>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</si>
  <si>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Batman Forever </t>
  </si>
  <si>
    <t>love|necktie|partner|rock music|tuxedo</t>
  </si>
  <si>
    <t>http://www.imdb.com/title/tt0112462/?ref_=fn_tt_tt_1</t>
  </si>
  <si>
    <t>Action|Sci-Fi|War</t>
  </si>
  <si>
    <t>Jake Busey</t>
  </si>
  <si>
    <t>Patrick Muldoon</t>
  </si>
  <si>
    <t>Seth Gilliam</t>
  </si>
  <si>
    <t>Starship Troopers </t>
  </si>
  <si>
    <t>alien|federation|future|military|planet</t>
  </si>
  <si>
    <t>http://www.imdb.com/title/tt0120201/?ref_=fn_tt_tt_1</t>
  </si>
  <si>
    <t>Tom Tykwer</t>
  </si>
  <si>
    <t>Drama|Sci-Fi</t>
  </si>
  <si>
    <t>Jim Sturgess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</si>
  <si>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</si>
  <si>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</si>
  <si>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</si>
  <si>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</si>
  <si>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</si>
  <si>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Legend of the Guardians: The Owls of Ga'Hoole </t>
  </si>
  <si>
    <t>barn owl|escape|owl|ruler|soldier</t>
  </si>
  <si>
    <t>http://www.imdb.com/title/tt1219342/?ref_=fn_tt_tt_1</t>
  </si>
  <si>
    <t>Pitof</t>
  </si>
  <si>
    <t>Action|Crime|Fantasy|Romance|Thriller</t>
  </si>
  <si>
    <t>Christopher Heyerdahl</t>
  </si>
  <si>
    <t>Alex Borstein</t>
  </si>
  <si>
    <t>Catwoman </t>
  </si>
  <si>
    <t>based on cult comic book|bechdel test passed|cat|detective|radical transformation</t>
  </si>
  <si>
    <t>http://www.imdb.com/title/tt0327554/?ref_=fn_tt_tt_1</t>
  </si>
  <si>
    <t>Ingrid Bolsø Berdal</t>
  </si>
  <si>
    <t>Hercules </t>
  </si>
  <si>
    <t>army|greek mythology|hercules|king|mercenary</t>
  </si>
  <si>
    <t>http://www.imdb.com/title/tt1267297/?ref_=fn_tt_tt_1</t>
  </si>
  <si>
    <t>Michael Wincott</t>
  </si>
  <si>
    <t>Treasure Planet </t>
  </si>
  <si>
    <t>alien|cyborg|pirate|planet|treasure</t>
  </si>
  <si>
    <t>http://www.imdb.com/title/tt0133240/?ref_=fn_tt_tt_1</t>
  </si>
  <si>
    <t>Brad Silberling</t>
  </si>
  <si>
    <t>Adventure|Comedy|Sci-Fi</t>
  </si>
  <si>
    <t>Anna Friel</t>
  </si>
  <si>
    <t>Bobb'e J. Thompson</t>
  </si>
  <si>
    <t>Land of the Lost 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</si>
  <si>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</si>
  <si>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</si>
  <si>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</si>
  <si>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</si>
  <si>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</si>
  <si>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</si>
  <si>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</si>
  <si>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</si>
  <si>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</si>
  <si>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</si>
  <si>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</si>
  <si>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</si>
  <si>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Jamie Kennedy</t>
  </si>
  <si>
    <t>Traylor Howard</t>
  </si>
  <si>
    <t>Ben Stein</t>
  </si>
  <si>
    <t>Son of the Mask </t>
  </si>
  <si>
    <t>baby|cartoon on tv|cartoonist|dog|mask</t>
  </si>
  <si>
    <t>http://www.imdb.com/title/tt0362165/?ref_=fn_tt_tt_1</t>
  </si>
  <si>
    <t>Action|Adventure|Biography|Drama|History|Thriller</t>
  </si>
  <si>
    <t>Benjamin Walker</t>
  </si>
  <si>
    <t>Frank Dillane</t>
  </si>
  <si>
    <t>In the Heart of the Sea </t>
  </si>
  <si>
    <t>emaciation|ship|starvation|vomiting|whale</t>
  </si>
  <si>
    <t>http://www.imdb.com/title/tt1390411/?ref_=fn_tt_tt_1</t>
  </si>
  <si>
    <t>Ron Underwood</t>
  </si>
  <si>
    <t>Action|Comedy|Sci-Fi</t>
  </si>
  <si>
    <t>Randy Quaid</t>
  </si>
  <si>
    <t>Burt Young</t>
  </si>
  <si>
    <t>The Adventures of Pluto Nash </t>
  </si>
  <si>
    <t>casino|future|laser gun|moon|nightclub</t>
  </si>
  <si>
    <t>http://www.imdb.com/title/tt0180052/?ref_=fn_tt_tt_1</t>
  </si>
  <si>
    <t>Action|Drama|Thriller|War</t>
  </si>
  <si>
    <t>Sean Huze</t>
  </si>
  <si>
    <t>Igal Naor</t>
  </si>
  <si>
    <t>Green Zone </t>
  </si>
  <si>
    <t>cia|iraq|iraqi|political military conspiracy|weapon of mass destruction</t>
  </si>
  <si>
    <t>http://www.imdb.com/title/tt0947810/?ref_=fn_tt_tt_1</t>
  </si>
  <si>
    <t>Steve Martino</t>
  </si>
  <si>
    <t>Francesca Capaldi</t>
  </si>
  <si>
    <t>Venus Schultheis</t>
  </si>
  <si>
    <t>Bill Melendez</t>
  </si>
  <si>
    <t>The Peanuts Movie </t>
  </si>
  <si>
    <t>dog|girl|imagination|peanuts|red hair</t>
  </si>
  <si>
    <t>http://www.imdb.com/title/tt2452042/?ref_=fn_tt_tt_1</t>
  </si>
  <si>
    <t>David Mamet</t>
  </si>
  <si>
    <t>Drama|Mystery|Thriller</t>
  </si>
  <si>
    <t>Ben Gazzara</t>
  </si>
  <si>
    <t>Felicity Huffman</t>
  </si>
  <si>
    <t>Campbell Scott</t>
  </si>
  <si>
    <t>The Spanish Prisoner 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</si>
  <si>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</si>
  <si>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</si>
  <si>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</si>
  <si>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</si>
  <si>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The Mummy Returns 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</si>
  <si>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</si>
  <si>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</si>
  <si>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</si>
  <si>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</si>
  <si>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</si>
  <si>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</si>
  <si>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</si>
  <si>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Drama|History|Romance|War</t>
  </si>
  <si>
    <t>Ni Ni</t>
  </si>
  <si>
    <t>Shigeo Kobayashi</t>
  </si>
  <si>
    <t>The Flowers of War 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</si>
  <si>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</si>
  <si>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</si>
  <si>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</si>
  <si>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</si>
  <si>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Animation|Comedy|Family|Sport</t>
  </si>
  <si>
    <t>Zooey Deschanel</t>
  </si>
  <si>
    <t>Jon Heder</t>
  </si>
  <si>
    <t>Surf's Up 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</si>
  <si>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</si>
  <si>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</si>
  <si>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</si>
  <si>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</si>
  <si>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</si>
  <si>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</si>
  <si>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The Stepford Wives 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</si>
  <si>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</si>
  <si>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</si>
  <si>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</si>
  <si>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</si>
  <si>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</si>
  <si>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</si>
  <si>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</si>
  <si>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</si>
  <si>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</si>
  <si>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The Campaign 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</si>
  <si>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</si>
  <si>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</si>
  <si>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</si>
  <si>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</si>
  <si>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</si>
  <si>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</si>
  <si>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</si>
  <si>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</si>
  <si>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Chris Noth</t>
  </si>
  <si>
    <t>Liza Minnelli</t>
  </si>
  <si>
    <t>Kristin Davis</t>
  </si>
  <si>
    <t>Sex and the City 2 </t>
  </si>
  <si>
    <t>abu dhabi|box office hit|muslim|nanny|united arab emirates</t>
  </si>
  <si>
    <t>http://www.imdb.com/title/tt1261945/?ref_=fn_tt_tt_1</t>
  </si>
  <si>
    <t>Bibo Bergeron</t>
  </si>
  <si>
    <t>Adventure|Animation|Comedy|Family|Romance</t>
  </si>
  <si>
    <t>Frank Welker</t>
  </si>
  <si>
    <t>Rosie Perez</t>
  </si>
  <si>
    <t>Elton John</t>
  </si>
  <si>
    <t>The Road to El Dorado </t>
  </si>
  <si>
    <t>adventurer|el dorado|gold|high priest|implied sex</t>
  </si>
  <si>
    <t>http://www.imdb.com/title/tt0138749/?ref_=fn_tt_tt_1</t>
  </si>
  <si>
    <t>Drake</t>
  </si>
  <si>
    <t>Ice Age: Continental Drift </t>
  </si>
  <si>
    <t>acorn|herd|iceberg|ocean|pirate</t>
  </si>
  <si>
    <t>http://www.imdb.com/title/tt1667889/?ref_=fn_tt_tt_1</t>
  </si>
  <si>
    <t>Drama|Family|Fantasy|Romance</t>
  </si>
  <si>
    <t>Derek Jacobi</t>
  </si>
  <si>
    <t>Cinderella </t>
  </si>
  <si>
    <t>dress|duke|fairy godmother|fairy tale|pumpkin</t>
  </si>
  <si>
    <t>http://www.imdb.com/title/tt1661199/?ref_=fn_tt_tt_1</t>
  </si>
  <si>
    <t>Drama|Fantasy|Thriller</t>
  </si>
  <si>
    <t>Michael Imperioli</t>
  </si>
  <si>
    <t>AJ Michalka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</si>
  <si>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</si>
  <si>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</si>
  <si>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</si>
  <si>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</si>
  <si>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</si>
  <si>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</si>
  <si>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</si>
  <si>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Bernard Hill</t>
  </si>
  <si>
    <t>The Lord of the Rings: The Return of the King 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</si>
  <si>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</si>
  <si>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</si>
  <si>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</si>
  <si>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</si>
  <si>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</si>
  <si>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</si>
  <si>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Olivia Williams</t>
  </si>
  <si>
    <t>Seventh Son </t>
  </si>
  <si>
    <t>apprentice|demon|exorcism|master apprentice relationship|witch</t>
  </si>
  <si>
    <t>http://www.imdb.com/title/tt1121096/?ref_=fn_tt_tt_1</t>
  </si>
  <si>
    <t>Chris Barrie</t>
  </si>
  <si>
    <t>Lara Croft: Tomb Raider 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</si>
  <si>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</si>
  <si>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</si>
  <si>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</si>
  <si>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</si>
  <si>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</si>
  <si>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</si>
  <si>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</si>
  <si>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Michael Jeter</t>
  </si>
  <si>
    <t>Trevor Morgan</t>
  </si>
  <si>
    <t>Alessandro Nivola</t>
  </si>
  <si>
    <t>Jurassic Park III 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</si>
  <si>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</si>
  <si>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</si>
  <si>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</si>
  <si>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</si>
  <si>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</si>
  <si>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</si>
  <si>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</si>
  <si>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</si>
  <si>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</si>
  <si>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</si>
  <si>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The Spiderwick Chronicles 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</si>
  <si>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</si>
  <si>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</si>
  <si>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</si>
  <si>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</si>
  <si>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</si>
  <si>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A Good Day to Die Hard 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</si>
  <si>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</si>
  <si>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</si>
  <si>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</si>
  <si>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</si>
  <si>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</si>
  <si>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</si>
  <si>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</si>
  <si>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Action|Adventure|Animation|Family</t>
  </si>
  <si>
    <t>Holly Hunter</t>
  </si>
  <si>
    <t>Craig T. Nelson</t>
  </si>
  <si>
    <t>Lou Romano</t>
  </si>
  <si>
    <t>The Incredibles 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</si>
  <si>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</si>
  <si>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</si>
  <si>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</si>
  <si>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</si>
  <si>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</si>
  <si>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Cutthroat Island 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</si>
  <si>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</si>
  <si>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</si>
  <si>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</si>
  <si>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</si>
  <si>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</si>
  <si>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</si>
  <si>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</si>
  <si>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Men in Black 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</si>
  <si>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</si>
  <si>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</si>
  <si>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</si>
  <si>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</si>
  <si>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</si>
  <si>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Ethan Suplee</t>
  </si>
  <si>
    <t>Unstoppable </t>
  </si>
  <si>
    <t>freight train|race against time|runaway train|train|train engineer</t>
  </si>
  <si>
    <t>http://www.imdb.com/title/tt0477080/?ref_=fn_tt_tt_1</t>
  </si>
  <si>
    <t>Mei Melançon</t>
  </si>
  <si>
    <t>John Lone</t>
  </si>
  <si>
    <t>Harris Yulin</t>
  </si>
  <si>
    <t>Rush Hour 2 </t>
  </si>
  <si>
    <t>boat|gang|hong kong|triad|vacation</t>
  </si>
  <si>
    <t>http://www.imdb.com/title/tt0266915/?ref_=fn_tt_tt_1</t>
  </si>
  <si>
    <t>Drama|Fantasy|Horror|Mystery|Thriller</t>
  </si>
  <si>
    <t>Amber Valletta</t>
  </si>
  <si>
    <t>Miranda Otto</t>
  </si>
  <si>
    <t>What Lies Beneath 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</si>
  <si>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</si>
  <si>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</si>
  <si>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</si>
  <si>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</si>
  <si>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</si>
  <si>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</si>
  <si>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Cloudy with a Chance of Meatballs </t>
  </si>
  <si>
    <t>food|giant food|mayor|sardine|weather</t>
  </si>
  <si>
    <t>http://www.imdb.com/title/tt0844471/?ref_=fn_tt_tt_1</t>
  </si>
  <si>
    <t>Denis Leary</t>
  </si>
  <si>
    <t>Maile Flanagan</t>
  </si>
  <si>
    <t>Kelly Keaton</t>
  </si>
  <si>
    <t>Ice Age: Dawn of the Dinosaurs </t>
  </si>
  <si>
    <t>egg|lost world|rescue|squirrel|weasel</t>
  </si>
  <si>
    <t>http://www.imdb.com/title/tt1080016/?ref_=fn_tt_tt_1</t>
  </si>
  <si>
    <t>Ben Stiller</t>
  </si>
  <si>
    <t>Adventure|Comedy|Drama|Fantasy|Romance</t>
  </si>
  <si>
    <t>Adrian Martinez</t>
  </si>
  <si>
    <t>Joey Slotnick</t>
  </si>
  <si>
    <t>The Secret Life of Walter Mitty </t>
  </si>
  <si>
    <t>daydream|life magazine|magazine|photographer|snow leopard</t>
  </si>
  <si>
    <t>http://www.imdb.com/title/tt0359950/?ref_=fn_tt_tt_1</t>
  </si>
  <si>
    <t>Action|Adventure|Comedy|Crime|Thriller</t>
  </si>
  <si>
    <t>LL Cool J</t>
  </si>
  <si>
    <t>Kelly Lynch</t>
  </si>
  <si>
    <t>Charlie's Angels 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</si>
  <si>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</si>
  <si>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</si>
  <si>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</si>
  <si>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</si>
  <si>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</si>
  <si>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</si>
  <si>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</si>
  <si>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Adventure|Animation|Family|Fantasy|Musical|War</t>
  </si>
  <si>
    <t>Harvey Fierstein</t>
  </si>
  <si>
    <t>June Foray</t>
  </si>
  <si>
    <t>Mulan 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</si>
  <si>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</si>
  <si>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</si>
  <si>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</si>
  <si>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</si>
  <si>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Tropic Thunder </t>
  </si>
  <si>
    <t>film director|parody|spoof|vietnam|written and directed by cast member</t>
  </si>
  <si>
    <t>http://www.imdb.com/title/tt0942385/?ref_=fn_tt_tt_1</t>
  </si>
  <si>
    <t>Crime|Drama|Mystery|Thriller</t>
  </si>
  <si>
    <t>Goran Visnjic</t>
  </si>
  <si>
    <t>Joely Richardson</t>
  </si>
  <si>
    <t>The Girl with the Dragon Tattoo </t>
  </si>
  <si>
    <t>computer hacker|hacker|investigation|journalist|punk</t>
  </si>
  <si>
    <t>http://www.imdb.com/title/tt1568346/?ref_=fn_tt_tt_1</t>
  </si>
  <si>
    <t>Aldis Hodge</t>
  </si>
  <si>
    <t>Kevin Chamberlin</t>
  </si>
  <si>
    <t>Die Hard with a Vengeance </t>
  </si>
  <si>
    <t>bomb|detective|new york city|police|terrorist</t>
  </si>
  <si>
    <t>http://www.imdb.com/title/tt0112864/?ref_=fn_tt_tt_1</t>
  </si>
  <si>
    <t>Robert Maillet</t>
  </si>
  <si>
    <t>Sherlock Holmes 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</si>
  <si>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</si>
  <si>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</si>
  <si>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</si>
  <si>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</si>
  <si>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</si>
  <si>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</si>
  <si>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Action|Adventure|Animation|Family|Fantasy|Sci-Fi</t>
  </si>
  <si>
    <t>Jim Varney</t>
  </si>
  <si>
    <t>Cree Summer</t>
  </si>
  <si>
    <t>Atlantis: The Lost Empire </t>
  </si>
  <si>
    <t>atlantis|crew|expedition|journal|museum</t>
  </si>
  <si>
    <t>http://www.imdb.com/title/tt0230011/?ref_=fn_tt_tt_1</t>
  </si>
  <si>
    <t>Walt Becker</t>
  </si>
  <si>
    <t>Adventure|Animation|Comedy|Family|Fantasy|Music</t>
  </si>
  <si>
    <t>Bella Thorne</t>
  </si>
  <si>
    <t>Joshua Mikel</t>
  </si>
  <si>
    <t>Jesse McCartney</t>
  </si>
  <si>
    <t>Alvin and the Chipmunks: The Road Chip 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</si>
  <si>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</si>
  <si>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</si>
  <si>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</si>
  <si>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</si>
  <si>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</si>
  <si>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</si>
  <si>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</si>
  <si>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Adam Sandler</t>
  </si>
  <si>
    <t>Sayed Badreya</t>
  </si>
  <si>
    <t>Kevin Nealon</t>
  </si>
  <si>
    <t>You Don't Mess with the Zohan 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</si>
  <si>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</si>
  <si>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</si>
  <si>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</si>
  <si>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</si>
  <si>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</si>
  <si>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</si>
  <si>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</si>
  <si>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Kevin Sussman</t>
  </si>
  <si>
    <t>A.I. Artificial Intelligence </t>
  </si>
  <si>
    <t>affection|boy|fairy|future|robot</t>
  </si>
  <si>
    <t>http://www.imdb.com/title/tt0212720/?ref_=fn_tt_tt_1</t>
  </si>
  <si>
    <t>Comedy|Family|Fantasy|Horror|Mystery</t>
  </si>
  <si>
    <t>Marsha Thomason</t>
  </si>
  <si>
    <t>Rachael Harris</t>
  </si>
  <si>
    <t>Marc John Jefferies</t>
  </si>
  <si>
    <t>The Haunted Mansion </t>
  </si>
  <si>
    <t>arachnophobia|crystal ball|ghost|haunted house|thunderstorm</t>
  </si>
  <si>
    <t>http://www.imdb.com/title/tt0338094/?ref_=fn_tt_tt_1</t>
  </si>
  <si>
    <t>Drama|Mystery|Sci-Fi|Thriller</t>
  </si>
  <si>
    <t>Tom Skerritt</t>
  </si>
  <si>
    <t>Larry King</t>
  </si>
  <si>
    <t>Contact </t>
  </si>
  <si>
    <t>message from outer space|religion|religion versus science|scientist|universe</t>
  </si>
  <si>
    <t>http://www.imdb.com/title/tt0118884/?ref_=fn_tt_tt_1</t>
  </si>
  <si>
    <t>Action|Horror|Sci-Fi|Thriller</t>
  </si>
  <si>
    <t>Greg Grunberg</t>
  </si>
  <si>
    <t>Kim Dickens</t>
  </si>
  <si>
    <t>Hollow Man </t>
  </si>
  <si>
    <t>experiment|research|scientist|suburb|surrealism</t>
  </si>
  <si>
    <t>http://www.imdb.com/title/tt0164052/?ref_=fn_tt_tt_1</t>
  </si>
  <si>
    <t>Sydney Pollack</t>
  </si>
  <si>
    <t>Crime|Mystery|Thriller</t>
  </si>
  <si>
    <t>Curtiss Cook</t>
  </si>
  <si>
    <t>George Harris</t>
  </si>
  <si>
    <t>Michael Wright</t>
  </si>
  <si>
    <t>The Interpreter 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</si>
  <si>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</si>
  <si>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</si>
  <si>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</si>
  <si>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</si>
  <si>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</si>
  <si>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</si>
  <si>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</si>
  <si>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</si>
  <si>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</si>
  <si>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</si>
  <si>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</si>
  <si>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</si>
  <si>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</si>
  <si>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Now You See Me 2 </t>
  </si>
  <si>
    <t>card trick|london england|magician|rain machine|rooftop</t>
  </si>
  <si>
    <t>http://www.imdb.com/title/tt3110958/?ref_=fn_tt_tt_1</t>
  </si>
  <si>
    <t>Alun Armstrong</t>
  </si>
  <si>
    <t>Michael Byrne</t>
  </si>
  <si>
    <t>Velibor Topic</t>
  </si>
  <si>
    <t>The Saint </t>
  </si>
  <si>
    <t>cold fusion|disguise|energy|fusion|the saint</t>
  </si>
  <si>
    <t>http://www.imdb.com/title/tt0120053/?ref_=fn_tt_tt_1</t>
  </si>
  <si>
    <t>Stephen Dillane</t>
  </si>
  <si>
    <t>Catherine McCormack</t>
  </si>
  <si>
    <t>Spy Game </t>
  </si>
  <si>
    <t>china|cia|cold war|friendship|retirement</t>
  </si>
  <si>
    <t>http://www.imdb.com/title/tt0266987/?ref_=fn_tt_tt_1</t>
  </si>
  <si>
    <t>Brian De Palma</t>
  </si>
  <si>
    <t>Kim Delaney</t>
  </si>
  <si>
    <t>Mission to Mars </t>
  </si>
  <si>
    <t>astronaut|mars|mars the planet|outer space|zero gravity</t>
  </si>
  <si>
    <t>http://www.imdb.com/title/tt0183523/?ref_=fn_tt_tt_1</t>
  </si>
  <si>
    <t>Wanda Sykes</t>
  </si>
  <si>
    <t>Will.i.am</t>
  </si>
  <si>
    <t>Rio 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</si>
  <si>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</si>
  <si>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</si>
  <si>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</si>
  <si>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</si>
  <si>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</si>
  <si>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</si>
  <si>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</si>
  <si>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</si>
  <si>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</si>
  <si>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Volcano </t>
  </si>
  <si>
    <t>earthquake|fire|lava|rescue|volcano</t>
  </si>
  <si>
    <t>http://www.imdb.com/title/tt0120461/?ref_=fn_tt_tt_1</t>
  </si>
  <si>
    <t>Alan J. Pakula</t>
  </si>
  <si>
    <t>Natascha McElhone</t>
  </si>
  <si>
    <t>The Devil's Own 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</si>
  <si>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</si>
  <si>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</si>
  <si>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</si>
  <si>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</si>
  <si>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</si>
  <si>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K-19: The Widowmaker 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</si>
  <si>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</si>
  <si>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</si>
  <si>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</si>
  <si>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</si>
  <si>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</si>
  <si>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Conan the Barbarian </t>
  </si>
  <si>
    <t>actual animal killed|cult|evil sorcerer|gladiator|warlord</t>
  </si>
  <si>
    <t>http://www.imdb.com/title/tt0082198/?ref_=fn_tt_tt_1</t>
  </si>
  <si>
    <t>Paddy Considine</t>
  </si>
  <si>
    <t>Bruce McGill</t>
  </si>
  <si>
    <t>Rosemarie DeWitt</t>
  </si>
  <si>
    <t>Cinderella Man 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</si>
  <si>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</si>
  <si>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</si>
  <si>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</si>
  <si>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</si>
  <si>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</si>
  <si>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</si>
  <si>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The Nutcracker in 3D </t>
  </si>
  <si>
    <t>box office flop|christmas|christmas eve|critically bashed|toy comes to life</t>
  </si>
  <si>
    <t>http://www.imdb.com/title/tt1041804/?ref_=fn_tt_tt_1</t>
  </si>
  <si>
    <t>Gary Ross</t>
  </si>
  <si>
    <t>Drama|History|Sport</t>
  </si>
  <si>
    <t>Michael Angarano</t>
  </si>
  <si>
    <t>Seabiscuit </t>
  </si>
  <si>
    <t>horse|horse racing|jockey|limp|seabiscuit</t>
  </si>
  <si>
    <t>http://www.imdb.com/title/tt0329575/?ref_=fn_tt_tt_1</t>
  </si>
  <si>
    <t>Alan Ruck</t>
  </si>
  <si>
    <t>Jami Gertz</t>
  </si>
  <si>
    <t>Twister </t>
  </si>
  <si>
    <t>device|disaster|divorce|storm|tornado</t>
  </si>
  <si>
    <t>http://www.imdb.com/title/tt0117998/?ref_=fn_tt_tt_1</t>
  </si>
  <si>
    <t>Adventure|Drama|Romance</t>
  </si>
  <si>
    <t>Paul Sanchez</t>
  </si>
  <si>
    <t>Nick Searcy</t>
  </si>
  <si>
    <t>Cast Away 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</si>
  <si>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</si>
  <si>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</si>
  <si>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</si>
  <si>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</si>
  <si>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Happy Feet </t>
  </si>
  <si>
    <t>dance|emperor penguin|friend|penguin|song</t>
  </si>
  <si>
    <t>http://www.imdb.com/title/tt0366548/?ref_=fn_tt_tt_1</t>
  </si>
  <si>
    <t>Joan Allen</t>
  </si>
  <si>
    <t>Oksana Akinshina</t>
  </si>
  <si>
    <t>The Bourne Supremacy </t>
  </si>
  <si>
    <t>assassin|car chase|cia|hidden truth|one against many</t>
  </si>
  <si>
    <t>http://www.imdb.com/title/tt0372183/?ref_=fn_tt_tt_1</t>
  </si>
  <si>
    <t>Dean Stockwell</t>
  </si>
  <si>
    <t>Air Force One </t>
  </si>
  <si>
    <t>ex soldier|hijacker|hostage|president|terrorist</t>
  </si>
  <si>
    <t>http://www.imdb.com/title/tt0118571/?ref_=fn_tt_tt_1</t>
  </si>
  <si>
    <t>Elliott Gould</t>
  </si>
  <si>
    <t>Ocean's Eleven 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</si>
  <si>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</si>
  <si>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</si>
  <si>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</si>
  <si>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</si>
  <si>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</si>
  <si>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</si>
  <si>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</si>
  <si>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</si>
  <si>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</si>
  <si>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</si>
  <si>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</si>
  <si>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Animation|Comedy|Family|Fantasy|Musical|Romance</t>
  </si>
  <si>
    <t>Jeff Bennett</t>
  </si>
  <si>
    <t>Teala Dunn</t>
  </si>
  <si>
    <t>Fred Tatasciore</t>
  </si>
  <si>
    <t>Enchanted </t>
  </si>
  <si>
    <t>fairy tale|lawyer|love|new york|prince</t>
  </si>
  <si>
    <t>http://www.imdb.com/title/tt0461770/?ref_=fn_tt_tt_1</t>
  </si>
  <si>
    <t>Crime|Drama|Horror|Mystery|Thriller</t>
  </si>
  <si>
    <t>Caroline Dhavernas</t>
  </si>
  <si>
    <t>Scott Thompson</t>
  </si>
  <si>
    <t>Hettienne Park</t>
  </si>
  <si>
    <t>Hannibal 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</si>
  <si>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</si>
  <si>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</si>
  <si>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</si>
  <si>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</si>
  <si>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</si>
  <si>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</si>
  <si>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</si>
  <si>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Jim Carter</t>
  </si>
  <si>
    <t>102 Dalmatians 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</si>
  <si>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</si>
  <si>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</si>
  <si>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</si>
  <si>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</si>
  <si>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</si>
  <si>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</si>
  <si>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</si>
  <si>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Sarah Parish</t>
  </si>
  <si>
    <t>The Holiday </t>
  </si>
  <si>
    <t>book|composer|house|love|self esteem</t>
  </si>
  <si>
    <t>http://www.imdb.com/title/tt0457939/?ref_=fn_tt_tt_1</t>
  </si>
  <si>
    <t>Lisa Bonet</t>
  </si>
  <si>
    <t>Enemy of the State </t>
  </si>
  <si>
    <t>congressman|lawyer|nsa|on the run|surveillance</t>
  </si>
  <si>
    <t>http://www.imdb.com/title/tt0120660/?ref_=fn_tt_tt_1</t>
  </si>
  <si>
    <t>Meryl Streep</t>
  </si>
  <si>
    <t>Hunter Parrish</t>
  </si>
  <si>
    <t>Zoe Kazan</t>
  </si>
  <si>
    <t>It's Complicated 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</si>
  <si>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</si>
  <si>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</si>
  <si>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</si>
  <si>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</si>
  <si>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</si>
  <si>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</si>
  <si>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</si>
  <si>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</si>
  <si>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</si>
  <si>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Open Season 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</si>
  <si>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</si>
  <si>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</si>
  <si>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</si>
  <si>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</si>
  <si>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</si>
  <si>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</si>
  <si>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</si>
  <si>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Bob Hoskins</t>
  </si>
  <si>
    <t>Gabriel Thomson</t>
  </si>
  <si>
    <t>Clemens Schick</t>
  </si>
  <si>
    <t>Enemy at the Gates 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</si>
  <si>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</si>
  <si>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</si>
  <si>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</si>
  <si>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</si>
  <si>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</si>
  <si>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Action|Adventure|Comedy|Fantasy</t>
  </si>
  <si>
    <t>F. Murray Abraham</t>
  </si>
  <si>
    <t>Tom Noonan</t>
  </si>
  <si>
    <t>Last Action Hero </t>
  </si>
  <si>
    <t>action hero|hero|magic|ticket|video store</t>
  </si>
  <si>
    <t>http://www.imdb.com/title/tt0107362/?ref_=fn_tt_tt_1</t>
  </si>
  <si>
    <t>Li Gong</t>
  </si>
  <si>
    <t>Karl Yune</t>
  </si>
  <si>
    <t>Memoirs of a Geisha </t>
  </si>
  <si>
    <t>coming of age|geisha|japan|jealousy|love</t>
  </si>
  <si>
    <t>http://www.imdb.com/title/tt0397535/?ref_=fn_tt_tt_1</t>
  </si>
  <si>
    <t>Amber Stevens West</t>
  </si>
  <si>
    <t>Zachery Ty Bryan</t>
  </si>
  <si>
    <t>Nikki Griffin</t>
  </si>
  <si>
    <t>The Fast and the Furious: Tokyo Drift 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</si>
  <si>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</si>
  <si>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</si>
  <si>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</si>
  <si>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</si>
  <si>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</si>
  <si>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Arthur Christmas 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</si>
  <si>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</si>
  <si>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</si>
  <si>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</si>
  <si>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</si>
  <si>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</si>
  <si>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</si>
  <si>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</si>
  <si>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Raymond Cruz</t>
  </si>
  <si>
    <t>Rick Worthy</t>
  </si>
  <si>
    <t>Jsu Garcia</t>
  </si>
  <si>
    <t>Collateral Damage </t>
  </si>
  <si>
    <t>bare chested boy|car explosion|colombia|explosion|terrorism</t>
  </si>
  <si>
    <t>http://www.imdb.com/title/tt0233469/?ref_=fn_tt_tt_1</t>
  </si>
  <si>
    <t>Bob Fosse</t>
  </si>
  <si>
    <t>Comedy|Drama|Music|Musical</t>
  </si>
  <si>
    <t>Roy Scheider</t>
  </si>
  <si>
    <t>Ben Vereen</t>
  </si>
  <si>
    <t>Max Wright</t>
  </si>
  <si>
    <t>All That Jazz 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</si>
  <si>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</si>
  <si>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</si>
  <si>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</si>
  <si>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</si>
  <si>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</si>
  <si>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</si>
  <si>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</si>
  <si>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</si>
  <si>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Action|Comedy|Fantasy|Romance</t>
  </si>
  <si>
    <t>Anna Kendrick</t>
  </si>
  <si>
    <t>Kieran Culkin</t>
  </si>
  <si>
    <t>Ellen Wong</t>
  </si>
  <si>
    <t>Scott Pilgrim vs. the World </t>
  </si>
  <si>
    <t>band|dating|high school|hipster|rock band</t>
  </si>
  <si>
    <t>http://www.imdb.com/title/tt0446029/?ref_=fn_tt_tt_1</t>
  </si>
  <si>
    <t>Jon Amiel</t>
  </si>
  <si>
    <t>Tchéky Karyo</t>
  </si>
  <si>
    <t>Rekha Sharma</t>
  </si>
  <si>
    <t>The Core </t>
  </si>
  <si>
    <t>core|earth|natural disaster|pacemaker|scientist</t>
  </si>
  <si>
    <t>http://www.imdb.com/title/tt0298814/?ref_=fn_tt_tt_1</t>
  </si>
  <si>
    <t>Peter Segal</t>
  </si>
  <si>
    <t>Comedy|Romance|Sci-Fi</t>
  </si>
  <si>
    <t>Larry Miller</t>
  </si>
  <si>
    <t>Janet Jackson</t>
  </si>
  <si>
    <t>Chris Elliott</t>
  </si>
  <si>
    <t>Nutty Professor II: The Klumps </t>
  </si>
  <si>
    <t>alter ego|marriage|professor|scientist|serum</t>
  </si>
  <si>
    <t>http://www.imdb.com/title/tt0144528/?ref_=fn_tt_tt_1</t>
  </si>
  <si>
    <t>Adventure|Comedy|Mystery</t>
  </si>
  <si>
    <t>Sarah Michelle Gellar</t>
  </si>
  <si>
    <t>Linda Cardellini</t>
  </si>
  <si>
    <t>Miguel A. Núñez Jr.</t>
  </si>
  <si>
    <t>Scooby-Doo </t>
  </si>
  <si>
    <t>amusement park|island|motorcycle|scooby doo|tough girl</t>
  </si>
  <si>
    <t>http://www.imdb.com/title/tt0267913/?ref_=fn_tt_tt_1</t>
  </si>
  <si>
    <t>Pete Travis</t>
  </si>
  <si>
    <t>Wood Harris</t>
  </si>
  <si>
    <t>Jason Cope</t>
  </si>
  <si>
    <t>Rakie Ayola</t>
  </si>
  <si>
    <t>Dredd </t>
  </si>
  <si>
    <t>brutality|dark humor|female antagonist|female warrior|post apocalypse</t>
  </si>
  <si>
    <t>http://www.imdb.com/title/tt1343727/?ref_=fn_tt_tt_1</t>
  </si>
  <si>
    <t>Comedy|Drama|Fantasy|Romance</t>
  </si>
  <si>
    <t>Cameron Monaghan</t>
  </si>
  <si>
    <t>Julie Kavner</t>
  </si>
  <si>
    <t>Click </t>
  </si>
  <si>
    <t>architect|frozen time|obese man|remote control|stopped time</t>
  </si>
  <si>
    <t>http://www.imdb.com/title/tt0389860/?ref_=fn_tt_tt_1</t>
  </si>
  <si>
    <t>George A. Romero</t>
  </si>
  <si>
    <t>Ted Danson</t>
  </si>
  <si>
    <t>Hal Holbrook</t>
  </si>
  <si>
    <t>Adrienne Barbeau</t>
  </si>
  <si>
    <t>Creepshow 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</si>
  <si>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</si>
  <si>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</si>
  <si>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</si>
  <si>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</si>
  <si>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Cats &amp; Dogs: The Revenge of Kitty Galore </t>
  </si>
  <si>
    <t>cartoon on tv|cat|dog|kitty|special agent</t>
  </si>
  <si>
    <t>http://www.imdb.com/title/tt1287468/?ref_=fn_tt_tt_1</t>
  </si>
  <si>
    <t>Tom Hulce</t>
  </si>
  <si>
    <t>Jumper 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</si>
  <si>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</si>
  <si>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</si>
  <si>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</si>
  <si>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</si>
  <si>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Iván Kamarás</t>
  </si>
  <si>
    <t>Brian Steele</t>
  </si>
  <si>
    <t>Hellboy II: The Golden Army </t>
  </si>
  <si>
    <t>creature|elf|prince|rebellion|superhero</t>
  </si>
  <si>
    <t>http://www.imdb.com/title/tt0411477/?ref_=fn_tt_tt_1</t>
  </si>
  <si>
    <t>Crime|Drama|History|Mystery|Thriller</t>
  </si>
  <si>
    <t>Anthony Edwards</t>
  </si>
  <si>
    <t>Zodiac 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</si>
  <si>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</si>
  <si>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</si>
  <si>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</si>
  <si>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</si>
  <si>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</si>
  <si>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</si>
  <si>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</si>
  <si>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</si>
  <si>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</si>
  <si>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</si>
  <si>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</si>
  <si>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</si>
  <si>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</si>
  <si>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Vanessa Redgrave</t>
  </si>
  <si>
    <t>Mission: Impossible </t>
  </si>
  <si>
    <t>disguise|mission|spy|stealing|traitor</t>
  </si>
  <si>
    <t>http://www.imdb.com/title/tt0117060/?ref_=fn_tt_tt_1</t>
  </si>
  <si>
    <t>Anthony Reynolds</t>
  </si>
  <si>
    <t>The Hunger Games 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</si>
  <si>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</si>
  <si>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</si>
  <si>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</si>
  <si>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</si>
  <si>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</si>
  <si>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The Hangover Part II </t>
  </si>
  <si>
    <t>hotel|male frontal nudity|pubic hair|thailand|wedding</t>
  </si>
  <si>
    <t>http://www.imdb.com/title/tt1411697/?ref_=fn_tt_tt_1</t>
  </si>
  <si>
    <t>Andrew Bryniarski</t>
  </si>
  <si>
    <t>Batman Returns 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</si>
  <si>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</si>
  <si>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</si>
  <si>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</si>
  <si>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</si>
  <si>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</si>
  <si>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Adventure|Animation|Comedy|Drama|Family|Fantasy|Sci-Fi</t>
  </si>
  <si>
    <t>Jason Scott Lee</t>
  </si>
  <si>
    <t>David Ogden Stiers</t>
  </si>
  <si>
    <t>Lilo &amp; Stitch 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</si>
  <si>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</si>
  <si>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</si>
  <si>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</si>
  <si>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</si>
  <si>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</si>
  <si>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</si>
  <si>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</si>
  <si>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</si>
  <si>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</si>
  <si>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</si>
  <si>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</si>
  <si>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Garrick Hagon</t>
  </si>
  <si>
    <t>RED 2 </t>
  </si>
  <si>
    <t>cia|cia agent|rescue|russian|team</t>
  </si>
  <si>
    <t>http://www.imdb.com/title/tt1821694/?ref_=fn_tt_tt_1</t>
  </si>
  <si>
    <t>Comedy|Crime|Sport</t>
  </si>
  <si>
    <t>Steve Reevis</t>
  </si>
  <si>
    <t>Dalip Singh</t>
  </si>
  <si>
    <t>The Longest Yard </t>
  </si>
  <si>
    <t>coach|convict|football|prison|warden</t>
  </si>
  <si>
    <t>http://www.imdb.com/title/tt0398165/?ref_=fn_tt_tt_1</t>
  </si>
  <si>
    <t>Lauren Gottlieb</t>
  </si>
  <si>
    <t>Alvin and the Chipmunks: Chipwrecked 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</si>
  <si>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</si>
  <si>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</si>
  <si>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</si>
  <si>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</si>
  <si>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</si>
  <si>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</si>
  <si>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</si>
  <si>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</si>
  <si>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Paul Michael Glaser</t>
  </si>
  <si>
    <t>Something's Gotta Give </t>
  </si>
  <si>
    <t>beach|dating|doctor|heart attack|weekend</t>
  </si>
  <si>
    <t>http://www.imdb.com/title/tt0337741/?ref_=fn_tt_tt_1</t>
  </si>
  <si>
    <t>Joseph Sikora</t>
  </si>
  <si>
    <t>Nellie Sciutto</t>
  </si>
  <si>
    <t>Shutter Island </t>
  </si>
  <si>
    <t>female prisoner|plot twist|self delusion|surprise ending|year 1954</t>
  </si>
  <si>
    <t>http://www.imdb.com/title/tt1130884/?ref_=fn_tt_tt_1</t>
  </si>
  <si>
    <t>Seth Gordon</t>
  </si>
  <si>
    <t>Katy Mixon</t>
  </si>
  <si>
    <t>Four Christmases </t>
  </si>
  <si>
    <t>airport|christmas|news broadcast|tv broadcast|tv news</t>
  </si>
  <si>
    <t>http://www.imdb.com/title/tt0369436/?ref_=fn_tt_tt_1</t>
  </si>
  <si>
    <t>Drew Carey</t>
  </si>
  <si>
    <t>Paula Abdul</t>
  </si>
  <si>
    <t>Robots 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</si>
  <si>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</si>
  <si>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</si>
  <si>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</si>
  <si>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</si>
  <si>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</si>
  <si>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</si>
  <si>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Comedy|Family|Fantasy|Romance</t>
  </si>
  <si>
    <t>Carmen Electra</t>
  </si>
  <si>
    <t>Kathryn Joosten</t>
  </si>
  <si>
    <t>Bedtime Stories </t>
  </si>
  <si>
    <t>2000s|bedtime story|elephant|handyman|tween girl</t>
  </si>
  <si>
    <t>http://www.imdb.com/title/tt0960731/?ref_=fn_tt_tt_1</t>
  </si>
  <si>
    <t>Jennifer Jason Leigh</t>
  </si>
  <si>
    <t>Liam Aiken</t>
  </si>
  <si>
    <t>Road to Perdition 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</si>
  <si>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</si>
  <si>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</si>
  <si>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</si>
  <si>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</si>
  <si>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</si>
  <si>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</si>
  <si>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Action|Adventure|Crime|Drama|Sci-Fi|Thriller</t>
  </si>
  <si>
    <t>Elden Henson</t>
  </si>
  <si>
    <t>Royce Johnson</t>
  </si>
  <si>
    <t>Charlie Cox</t>
  </si>
  <si>
    <t>Daredevil 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</si>
  <si>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</si>
  <si>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</si>
  <si>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</si>
  <si>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</si>
  <si>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</si>
  <si>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Con Air 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</si>
  <si>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</si>
  <si>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</si>
  <si>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</si>
  <si>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</si>
  <si>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</si>
  <si>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Eagle Eye 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</si>
  <si>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</si>
  <si>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</si>
  <si>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</si>
  <si>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</si>
  <si>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</si>
  <si>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</si>
  <si>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</si>
  <si>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</si>
  <si>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</si>
  <si>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</si>
  <si>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</si>
  <si>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</si>
  <si>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Comedy|Family|Sci-Fi</t>
  </si>
  <si>
    <t>Jodi Benson</t>
  </si>
  <si>
    <t>Sam Lloyd</t>
  </si>
  <si>
    <t>Flubber </t>
  </si>
  <si>
    <t>college|flubber|flying rubber|professor|wedding</t>
  </si>
  <si>
    <t>http://www.imdb.com/title/tt0119137/?ref_=fn_tt_tt_1</t>
  </si>
  <si>
    <t>Fantasy|Horror|Mystery|Thriller</t>
  </si>
  <si>
    <t>Lili Taylor</t>
  </si>
  <si>
    <t>Virginia Madsen</t>
  </si>
  <si>
    <t>The Haunting 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</si>
  <si>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</si>
  <si>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</si>
  <si>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</si>
  <si>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</si>
  <si>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</si>
  <si>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Space Jam </t>
  </si>
  <si>
    <t>alien|basketball|basketball game|cult film|monstars</t>
  </si>
  <si>
    <t>http://www.imdb.com/title/tt0117705/?ref_=fn_tt_tt_1</t>
  </si>
  <si>
    <t>Adventure|Comedy|Crime|Family|Mystery</t>
  </si>
  <si>
    <t>Roger Rees</t>
  </si>
  <si>
    <t>Henry Czerny</t>
  </si>
  <si>
    <t>William Abadie</t>
  </si>
  <si>
    <t>The Pink Panther 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</si>
  <si>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</si>
  <si>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</si>
  <si>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</si>
  <si>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</si>
  <si>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</si>
  <si>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The Day the Earth Stood Still </t>
  </si>
  <si>
    <t>alien|earth|giant robot|military|scientist</t>
  </si>
  <si>
    <t>http://www.imdb.com/title/tt0970416/?ref_=fn_tt_tt_1</t>
  </si>
  <si>
    <t>Action|Crime|Mystery|Romance|Thriller</t>
  </si>
  <si>
    <t>Alex McArthur</t>
  </si>
  <si>
    <t>Michael Potts</t>
  </si>
  <si>
    <t>Conspiracy Theory </t>
  </si>
  <si>
    <t>conspiracy|fbi|mk ultra|newsletter|taxi</t>
  </si>
  <si>
    <t>http://www.imdb.com/title/tt0118883/?ref_=fn_tt_tt_1</t>
  </si>
  <si>
    <t>Jim Parrack</t>
  </si>
  <si>
    <t>Fury 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</si>
  <si>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</si>
  <si>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</si>
  <si>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</si>
  <si>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</si>
  <si>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</si>
  <si>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</si>
  <si>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</si>
  <si>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</si>
  <si>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</si>
  <si>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</si>
  <si>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Yogi Bear </t>
  </si>
  <si>
    <t>bear|mayor|park|sabotage|yogi bear</t>
  </si>
  <si>
    <t>http://www.imdb.com/title/tt1302067/?ref_=fn_tt_tt_1</t>
  </si>
  <si>
    <t>Kelly Asbury</t>
  </si>
  <si>
    <t>Adventure|Animation|Family|Western</t>
  </si>
  <si>
    <t>Charles Napier</t>
  </si>
  <si>
    <t>Zahn McClarnon</t>
  </si>
  <si>
    <t>Spirit: Stallion of the Cimarron </t>
  </si>
  <si>
    <t>cavalry|escape|herd|stallion|wild stallion</t>
  </si>
  <si>
    <t>http://www.imdb.com/title/tt0166813/?ref_=fn_tt_tt_1</t>
  </si>
  <si>
    <t>Comedy|Family|Romance</t>
  </si>
  <si>
    <t>Leslie Bibb</t>
  </si>
  <si>
    <t>Nicholas Turturro</t>
  </si>
  <si>
    <t>Zookeeper 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</si>
  <si>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</si>
  <si>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</si>
  <si>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</si>
  <si>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</si>
  <si>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</si>
  <si>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Lost in Space 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</si>
  <si>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</si>
  <si>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</si>
  <si>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</si>
  <si>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</si>
  <si>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</si>
  <si>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The Manchurian Candidate 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</si>
  <si>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</si>
  <si>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</si>
  <si>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</si>
  <si>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</si>
  <si>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Déjà Vu </t>
  </si>
  <si>
    <t>american|love|pin|ruby|stranger</t>
  </si>
  <si>
    <t>http://www.imdb.com/title/tt0119033/?ref_=fn_tt_tt_1</t>
  </si>
  <si>
    <t>Fran Drescher</t>
  </si>
  <si>
    <t>Hotel Transylvania 2 </t>
  </si>
  <si>
    <t>california|dracula|hotel|transylvania|vampire</t>
  </si>
  <si>
    <t>http://www.imdb.com/title/tt2510894/?ref_=fn_tt_tt_1</t>
  </si>
  <si>
    <t>Elizabeth Montgomery</t>
  </si>
  <si>
    <t>Agnes Moorehead</t>
  </si>
  <si>
    <t>Dick York</t>
  </si>
  <si>
    <t>Bewitched </t>
  </si>
  <si>
    <t>connecticut|magic|marriage|witch|witchcraft</t>
  </si>
  <si>
    <t>http://www.imdb.com/title/tt0057733/?ref_=fn_tt_tt_1</t>
  </si>
  <si>
    <t>TV-G</t>
  </si>
  <si>
    <t>James Algar</t>
  </si>
  <si>
    <t>Animation|Family|Fantasy|Music</t>
  </si>
  <si>
    <t>Quincy Jones</t>
  </si>
  <si>
    <t>Penn Jillette</t>
  </si>
  <si>
    <t>Russi Taylor</t>
  </si>
  <si>
    <t>Fantasia 2000 </t>
  </si>
  <si>
    <t>abstract|ark|disney|fairy tale|piano</t>
  </si>
  <si>
    <t>http://www.imdb.com/title/tt0120910/?ref_=fn_tt_tt_1</t>
  </si>
  <si>
    <t>Alan Young</t>
  </si>
  <si>
    <t>Josh Stamberg</t>
  </si>
  <si>
    <t>The Time Machine </t>
  </si>
  <si>
    <t>hunter|scientist|time machine|time travel|time travel romance</t>
  </si>
  <si>
    <t>http://www.imdb.com/title/tt0268695/?ref_=fn_tt_tt_1</t>
  </si>
  <si>
    <t>Action|Adventure|Family|Fantasy|Thriller</t>
  </si>
  <si>
    <t>Mika Boorem</t>
  </si>
  <si>
    <t>David Paymer</t>
  </si>
  <si>
    <t>Mighty Joe Young 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</si>
  <si>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</si>
  <si>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</si>
  <si>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</si>
  <si>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</si>
  <si>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</si>
  <si>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Michael Emerson</t>
  </si>
  <si>
    <t>Nick Chinlund</t>
  </si>
  <si>
    <t>Adrian Alonso</t>
  </si>
  <si>
    <t>The Legend of Zorro 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</si>
  <si>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</si>
  <si>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</si>
  <si>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</si>
  <si>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</si>
  <si>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</si>
  <si>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</si>
  <si>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What Dreams May Come 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</si>
  <si>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</si>
  <si>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</si>
  <si>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</si>
  <si>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</si>
  <si>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</si>
  <si>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Little Nicky 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</si>
  <si>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</si>
  <si>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</si>
  <si>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</si>
  <si>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</si>
  <si>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</si>
  <si>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</si>
  <si>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</si>
  <si>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</si>
  <si>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</si>
  <si>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</si>
  <si>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</si>
  <si>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Drama|Horror|Mystery|Sci-Fi</t>
  </si>
  <si>
    <t>Nissim Renard</t>
  </si>
  <si>
    <t>Roxane Duran</t>
  </si>
  <si>
    <t>Julie-Marie Parmentier</t>
  </si>
  <si>
    <t>Evolution </t>
  </si>
  <si>
    <t>boy|giving birth|nurse|sea|ultrasonography</t>
  </si>
  <si>
    <t>http://www.imdb.com/title/tt4291590/?ref_=fn_tt_tt_1</t>
  </si>
  <si>
    <t>Harold Perrineau</t>
  </si>
  <si>
    <t>Bart the Bear</t>
  </si>
  <si>
    <t>The Edge </t>
  </si>
  <si>
    <t>bear|billionaire|crash|survival tactics|wilderness</t>
  </si>
  <si>
    <t>http://www.imdb.com/title/tt0119051/?ref_=fn_tt_tt_1</t>
  </si>
  <si>
    <t>Action|Sci-Fi|Thriller</t>
  </si>
  <si>
    <t>Devin Ratray</t>
  </si>
  <si>
    <t>Boris Kodjoe</t>
  </si>
  <si>
    <t>Surrogates </t>
  </si>
  <si>
    <t>android|fbi agent|future|murder|robot</t>
  </si>
  <si>
    <t>http://www.imdb.com/title/tt0986263/?ref_=fn_tt_tt_1</t>
  </si>
  <si>
    <t>Drama|History|Thriller</t>
  </si>
  <si>
    <t>Jon Foster</t>
  </si>
  <si>
    <t>Bruce Thomas</t>
  </si>
  <si>
    <t>Thirteen Days </t>
  </si>
  <si>
    <t>blockade|crisis|cuba|missile|president</t>
  </si>
  <si>
    <t>http://www.imdb.com/title/tt0146309/?ref_=fn_tt_tt_1</t>
  </si>
  <si>
    <t>Viggo Mortensen</t>
  </si>
  <si>
    <t>Amy Brenneman</t>
  </si>
  <si>
    <t>Daylight </t>
  </si>
  <si>
    <t>collapsing tunnel|explosion|new jersey|tunnel|weimaraner</t>
  </si>
  <si>
    <t>http://www.imdb.com/title/tt0116040/?ref_=fn_tt_tt_1</t>
  </si>
  <si>
    <t>Barry Cook</t>
  </si>
  <si>
    <t>Adventure|Animation|Family</t>
  </si>
  <si>
    <t>Charlie Rowe</t>
  </si>
  <si>
    <t>Tiya Sircar</t>
  </si>
  <si>
    <t>Madison Rothschild</t>
  </si>
  <si>
    <t>Walking with Dinosaurs 3D 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</si>
  <si>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</si>
  <si>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</si>
  <si>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</si>
  <si>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</si>
  <si>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</si>
  <si>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Battlefield Earth 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</si>
  <si>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</si>
  <si>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</si>
  <si>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</si>
  <si>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</si>
  <si>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</si>
  <si>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Looney Tunes: Back in Action </t>
  </si>
  <si>
    <t>diamond|duck|monkey|spy|stuntman</t>
  </si>
  <si>
    <t>http://www.imdb.com/title/tt0318155/?ref_=fn_tt_tt_1</t>
  </si>
  <si>
    <t>Drama|Musical|Romance</t>
  </si>
  <si>
    <t>Fergie</t>
  </si>
  <si>
    <t>Elio Germano</t>
  </si>
  <si>
    <t>Andrea Di Stefano</t>
  </si>
  <si>
    <t>Nine 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</si>
  <si>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</si>
  <si>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</si>
  <si>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</si>
  <si>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</si>
  <si>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</si>
  <si>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</si>
  <si>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</si>
  <si>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</si>
  <si>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The Postman </t>
  </si>
  <si>
    <t>drifter|escape|hope|postman|usa</t>
  </si>
  <si>
    <t>http://www.imdb.com/title/tt0119925/?ref_=fn_tt_tt_1</t>
  </si>
  <si>
    <t>Adam Goldberg</t>
  </si>
  <si>
    <t>Glenne Headly</t>
  </si>
  <si>
    <t>Babe: Pig in the City </t>
  </si>
  <si>
    <t>animal|farm|farmer|hotel|pig</t>
  </si>
  <si>
    <t>http://www.imdb.com/title/tt0120595/?ref_=fn_tt_tt_1</t>
  </si>
  <si>
    <t>Joseph Gilgun</t>
  </si>
  <si>
    <t>Lotte Verbeek</t>
  </si>
  <si>
    <t>The Last Witch Hunter </t>
  </si>
  <si>
    <t>box office flop|burned to death|magic|witch|witch hunter</t>
  </si>
  <si>
    <t>http://www.imdb.com/title/tt1618442/?ref_=fn_tt_tt_1</t>
  </si>
  <si>
    <t>Antony Hoffman</t>
  </si>
  <si>
    <t>Bob Neill</t>
  </si>
  <si>
    <t>Val Kilmer</t>
  </si>
  <si>
    <t>Tom Sizemore</t>
  </si>
  <si>
    <t>Red Planet </t>
  </si>
  <si>
    <t>astronaut|mars|robot|robot as menace|survival</t>
  </si>
  <si>
    <t>http://www.imdb.com/title/tt0199753/?ref_=fn_tt_tt_1</t>
  </si>
  <si>
    <t>Mia Farrow</t>
  </si>
  <si>
    <t>Adam LeFevre</t>
  </si>
  <si>
    <t>Penny Balfour</t>
  </si>
  <si>
    <t>Arthur and the Invisibles 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</si>
  <si>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</si>
  <si>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</si>
  <si>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</si>
  <si>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</si>
  <si>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</si>
  <si>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Rie Miyazawa</t>
  </si>
  <si>
    <t>Oceans </t>
  </si>
  <si>
    <t>damselfish|ocean habitat|ocean life|razorfish|spider crab</t>
  </si>
  <si>
    <t>http://www.imdb.com/title/tt0765128/?ref_=fn_tt_tt_1</t>
  </si>
  <si>
    <t>Jemima Rooper</t>
  </si>
  <si>
    <t>A Sound of Thunder </t>
  </si>
  <si>
    <t>butterfly|hunter|time|time travel|wave</t>
  </si>
  <si>
    <t>http://www.imdb.com/title/tt0318081/?ref_=fn_tt_tt_1</t>
  </si>
  <si>
    <t>Action|Adventure|Drama|History|Romance</t>
  </si>
  <si>
    <t>Sasha Roiz</t>
  </si>
  <si>
    <t>Currie Graham</t>
  </si>
  <si>
    <t>Dylan Schombing</t>
  </si>
  <si>
    <t>Pompeii </t>
  </si>
  <si>
    <t>arena|lava bomb|mount vesuvius|pompeii|slave</t>
  </si>
  <si>
    <t>http://www.imdb.com/title/tt1921064/?ref_=fn_tt_tt_1</t>
  </si>
  <si>
    <t>Andrés Couturier</t>
  </si>
  <si>
    <t>Animation|Family</t>
  </si>
  <si>
    <t>Sariann Monaco</t>
  </si>
  <si>
    <t>David Hoffman</t>
  </si>
  <si>
    <t>Ben Diskin</t>
  </si>
  <si>
    <t>Top Cat Begins 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</si>
  <si>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</si>
  <si>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</si>
  <si>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</si>
  <si>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</si>
  <si>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</si>
  <si>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</si>
  <si>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</si>
  <si>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</si>
  <si>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The Lion King 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</si>
  <si>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</si>
  <si>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</si>
  <si>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</si>
  <si>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</si>
  <si>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</si>
  <si>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</si>
  <si>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</si>
  <si>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</si>
  <si>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Cloudy with a Chance of Meatballs 2 </t>
  </si>
  <si>
    <t>food|inventor|island|orangutan|scientist</t>
  </si>
  <si>
    <t>http://www.imdb.com/title/tt1985966/?ref_=fn_tt_tt_1</t>
  </si>
  <si>
    <t>Emily Watson</t>
  </si>
  <si>
    <t>Red Dragon 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</si>
  <si>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</si>
  <si>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</si>
  <si>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</si>
  <si>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</si>
  <si>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</si>
  <si>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Tim Meadows</t>
  </si>
  <si>
    <t>Jack and Jill </t>
  </si>
  <si>
    <t>advertising|advertising executive|commercial|protective male|twins</t>
  </si>
  <si>
    <t>http://www.imdb.com/title/tt0810913/?ref_=fn_tt_tt_1</t>
  </si>
  <si>
    <t>John Singleton</t>
  </si>
  <si>
    <t>Mo Gallini</t>
  </si>
  <si>
    <t>2 Fast 2 Furious 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</si>
  <si>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</si>
  <si>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</si>
  <si>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</si>
  <si>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</si>
  <si>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</si>
  <si>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</si>
  <si>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</si>
  <si>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Sci-Fi|Thriller</t>
  </si>
  <si>
    <t>Veronica Cartwright</t>
  </si>
  <si>
    <t>Jeremy Northam</t>
  </si>
  <si>
    <t>The Invasion </t>
  </si>
  <si>
    <t>alien|epidemic|psychiatrist|space shuttle|virus</t>
  </si>
  <si>
    <t>http://www.imdb.com/title/tt0427392/?ref_=fn_tt_tt_1</t>
  </si>
  <si>
    <t>Des McAnuff</t>
  </si>
  <si>
    <t>Jonathan Winters</t>
  </si>
  <si>
    <t>The Adventures of Rocky &amp; Bullwinkle </t>
  </si>
  <si>
    <t>deforestation|fbi|lighthouse|moose|squirrel</t>
  </si>
  <si>
    <t>http://www.imdb.com/title/tt0131704/?ref_=fn_tt_tt_1</t>
  </si>
  <si>
    <t>Yarrow Cheney</t>
  </si>
  <si>
    <t>Animation|Comedy|Family</t>
  </si>
  <si>
    <t>Eric Stonestreet</t>
  </si>
  <si>
    <t>Albert Brooks</t>
  </si>
  <si>
    <t>The Secret Life of Pets 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</si>
  <si>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</si>
  <si>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</si>
  <si>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</si>
  <si>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</si>
  <si>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</si>
  <si>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</si>
  <si>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</si>
  <si>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</si>
  <si>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</si>
  <si>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</si>
  <si>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</si>
  <si>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</si>
  <si>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Mary McDonnell</t>
  </si>
  <si>
    <t>Independence Day </t>
  </si>
  <si>
    <t>alien|area 51|military|spacecraft|spaceship</t>
  </si>
  <si>
    <t>http://www.imdb.com/title/tt0116629/?ref_=fn_tt_tt_1</t>
  </si>
  <si>
    <t>Ariana Richards</t>
  </si>
  <si>
    <t>Richard Schiff</t>
  </si>
  <si>
    <t>Vanessa Lee Chester</t>
  </si>
  <si>
    <t>The Lost World: Jurassic Park 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</si>
  <si>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</si>
  <si>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</si>
  <si>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</si>
  <si>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</si>
  <si>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</si>
  <si>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</si>
  <si>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Rita Davies</t>
  </si>
  <si>
    <t>Children of Men 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</si>
  <si>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</si>
  <si>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</si>
  <si>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</si>
  <si>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</si>
  <si>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</si>
  <si>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</si>
  <si>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</si>
  <si>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</si>
  <si>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</si>
  <si>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</si>
  <si>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</si>
  <si>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</si>
  <si>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The Rock </t>
  </si>
  <si>
    <t>alcatraz|fbi|general|hostage|rocket</t>
  </si>
  <si>
    <t>http://www.imdb.com/title/tt0117500/?ref_=fn_tt_tt_1</t>
  </si>
  <si>
    <t>Ray Romano</t>
  </si>
  <si>
    <t>Jay Leno</t>
  </si>
  <si>
    <t>Ice Age: The Meltdown </t>
  </si>
  <si>
    <t>flood|mammoth|no opening credits|squirrel|valley</t>
  </si>
  <si>
    <t>http://www.imdb.com/title/tt0438097/?ref_=fn_tt_tt_1</t>
  </si>
  <si>
    <t>Peter Dante</t>
  </si>
  <si>
    <t>Allen Covert</t>
  </si>
  <si>
    <t>50 First Dates </t>
  </si>
  <si>
    <t>dream|hawaii|hawaiian shirt|short term memory loss|veterinarian</t>
  </si>
  <si>
    <t>http://www.imdb.com/title/tt0343660/?ref_=fn_tt_tt_1</t>
  </si>
  <si>
    <t>Comedy|Drama|Family|Music|Musical|Romance</t>
  </si>
  <si>
    <t>Jerry Stiller</t>
  </si>
  <si>
    <t>Elijah Kelley</t>
  </si>
  <si>
    <t>Paul Dooley</t>
  </si>
  <si>
    <t>Hairspray </t>
  </si>
  <si>
    <t>audition|best friend|dance|friend|tv dance show</t>
  </si>
  <si>
    <t>http://www.imdb.com/title/tt0427327/?ref_=fn_tt_tt_1</t>
  </si>
  <si>
    <t>Horror|Mystery|Thriller</t>
  </si>
  <si>
    <t>Alan Ford</t>
  </si>
  <si>
    <t>Izabella Scorupco</t>
  </si>
  <si>
    <t>Exorcist: The Beginning 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</si>
  <si>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</si>
  <si>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</si>
  <si>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</si>
  <si>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</si>
  <si>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</si>
  <si>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</si>
  <si>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</si>
  <si>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Michael Kelly</t>
  </si>
  <si>
    <t>Now You See Me 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</si>
  <si>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</si>
  <si>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</si>
  <si>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</si>
  <si>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</si>
  <si>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</si>
  <si>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Barry Shabaka Henley</t>
  </si>
  <si>
    <t>The Terminal 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</si>
  <si>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</si>
  <si>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</si>
  <si>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</si>
  <si>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</si>
  <si>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Constantine </t>
  </si>
  <si>
    <t>based on comic|based on comic book|dc arrowverse|dc comics|supernatural</t>
  </si>
  <si>
    <t>http://www.imdb.com/title/tt3489184/?ref_=fn_tt_tt_1</t>
  </si>
  <si>
    <t>Comedy|Family</t>
  </si>
  <si>
    <t>Kevin Dillon</t>
  </si>
  <si>
    <t>Yvette Nicole Brown</t>
  </si>
  <si>
    <t>Hotel for Dogs 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</si>
  <si>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</si>
  <si>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</si>
  <si>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</si>
  <si>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</si>
  <si>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</si>
  <si>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</si>
  <si>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</si>
  <si>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</si>
  <si>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</si>
  <si>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Charlie Wilson's War 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</si>
  <si>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</si>
  <si>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</si>
  <si>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</si>
  <si>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</si>
  <si>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</si>
  <si>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Drama|Music|Musical</t>
  </si>
  <si>
    <t>Loretta Devine</t>
  </si>
  <si>
    <t>Jennifer Hudson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</si>
  <si>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</si>
  <si>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</si>
  <si>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</si>
  <si>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</si>
  <si>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</si>
  <si>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Brent Sexton</t>
  </si>
  <si>
    <t>Damian Lewis</t>
  </si>
  <si>
    <t>Life </t>
  </si>
  <si>
    <t>cop|murder|partner|police|protective male</t>
  </si>
  <si>
    <t>http://www.imdb.com/title/tt0874936/?ref_=fn_tt_tt_1</t>
  </si>
  <si>
    <t>F. Gary Gray</t>
  </si>
  <si>
    <t>Comedy|Crime|Music</t>
  </si>
  <si>
    <t>Christina Milian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</si>
  <si>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</si>
  <si>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</si>
  <si>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</si>
  <si>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</si>
  <si>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</si>
  <si>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</si>
  <si>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</si>
  <si>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</si>
  <si>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</si>
  <si>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</si>
  <si>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</si>
  <si>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</si>
  <si>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</si>
  <si>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</si>
  <si>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</si>
  <si>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</si>
  <si>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</si>
  <si>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Christian Berkel</t>
  </si>
  <si>
    <t>The Man from U.N.C.L.E. </t>
  </si>
  <si>
    <t>box office flop|cia agent|criminal organization|kgb agent|nuclear bomb</t>
  </si>
  <si>
    <t>http://www.imdb.com/title/tt1638355/?ref_=fn_tt_tt_1</t>
  </si>
  <si>
    <t>Paz Vega</t>
  </si>
  <si>
    <t>Sarah Steele</t>
  </si>
  <si>
    <t>Spanglish 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</si>
  <si>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</si>
  <si>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</si>
  <si>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</si>
  <si>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</si>
  <si>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</si>
  <si>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</si>
  <si>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</si>
  <si>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</si>
  <si>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Comedy|Crime|Drama|Romance</t>
  </si>
  <si>
    <t>Brían F. O'Byrne</t>
  </si>
  <si>
    <t>Azura Skye</t>
  </si>
  <si>
    <t>Bandits </t>
  </si>
  <si>
    <t>bank manager|hypochondriac|love triangle|prison|television</t>
  </si>
  <si>
    <t>http://www.imdb.com/title/tt0219965/?ref_=fn_tt_tt_1</t>
  </si>
  <si>
    <t>Jerry Zucker</t>
  </si>
  <si>
    <t>Action|Adventure|Romance|Thriller</t>
  </si>
  <si>
    <t>Ben Cross</t>
  </si>
  <si>
    <t>John Gielgud</t>
  </si>
  <si>
    <t>First Knight </t>
  </si>
  <si>
    <t>battle|king|king arthur|knight|marriage</t>
  </si>
  <si>
    <t>http://www.imdb.com/title/tt0113071/?ref_=fn_tt_tt_1</t>
  </si>
  <si>
    <t>Andy Tennant</t>
  </si>
  <si>
    <t>Drama|History|Romance</t>
  </si>
  <si>
    <t>Geoffrey Palmer</t>
  </si>
  <si>
    <t>Randall Duk Kim</t>
  </si>
  <si>
    <t>Anna and the King </t>
  </si>
  <si>
    <t>1860s|children|king|schoolteacher|siam</t>
  </si>
  <si>
    <t>http://www.imdb.com/title/tt0166485/?ref_=fn_tt_tt_1</t>
  </si>
  <si>
    <t>Action|Drama|Fantasy|Romance</t>
  </si>
  <si>
    <t>Daniel Sharman</t>
  </si>
  <si>
    <t>Steve Byers</t>
  </si>
  <si>
    <t>Immortals </t>
  </si>
  <si>
    <t>burned alive|castration|olympus|torture|torture device</t>
  </si>
  <si>
    <t>http://www.imdb.com/title/tt1253864/?ref_=fn_tt_tt_1</t>
  </si>
  <si>
    <t>Florent-Emilio Siri</t>
  </si>
  <si>
    <t>Ransford Doherty</t>
  </si>
  <si>
    <t>Hostage 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</si>
  <si>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</si>
  <si>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</si>
  <si>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</si>
  <si>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</si>
  <si>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</si>
  <si>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</si>
  <si>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</si>
  <si>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</si>
  <si>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Lena Olin</t>
  </si>
  <si>
    <t>Hollywood Homicide </t>
  </si>
  <si>
    <t>audition|kissing while having sex|machismo|murder|sex</t>
  </si>
  <si>
    <t>http://www.imdb.com/title/tt0329717/?ref_=fn_tt_tt_1</t>
  </si>
  <si>
    <t>Action|Drama|Sci-Fi</t>
  </si>
  <si>
    <t>Sean Pertwee</t>
  </si>
  <si>
    <t>Soldier </t>
  </si>
  <si>
    <t>crash survivor|planet|sergeant|soldier|survivor</t>
  </si>
  <si>
    <t>http://www.imdb.com/title/tt0120157/?ref_=fn_tt_tt_1</t>
  </si>
  <si>
    <t>David Pastor</t>
  </si>
  <si>
    <t>Drama|Horror|Sci-Fi|Thriller</t>
  </si>
  <si>
    <t>Kiernan Shipka</t>
  </si>
  <si>
    <t>Lou Taylor Pucci</t>
  </si>
  <si>
    <t>Carriers </t>
  </si>
  <si>
    <t>beach|disease|latex gloves|pandemic|virus</t>
  </si>
  <si>
    <t>http://www.imdb.com/title/tt0806203/?ref_=fn_tt_tt_1</t>
  </si>
  <si>
    <t>Henry Selick</t>
  </si>
  <si>
    <t>Animation|Comedy|Fantasy</t>
  </si>
  <si>
    <t>Bridget Fonda</t>
  </si>
  <si>
    <t>Megan Mullally</t>
  </si>
  <si>
    <t>Monkeybone 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</si>
  <si>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</si>
  <si>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</si>
  <si>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</si>
  <si>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</si>
  <si>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</si>
  <si>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</si>
  <si>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</si>
  <si>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</si>
  <si>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</si>
  <si>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</si>
  <si>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</si>
  <si>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</si>
  <si>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</si>
  <si>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</si>
  <si>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</si>
  <si>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</si>
  <si>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John Heard</t>
  </si>
  <si>
    <t>Snake Eyes </t>
  </si>
  <si>
    <t>assassination|boxing|casino|conspiracy|long take</t>
  </si>
  <si>
    <t>http://www.imdb.com/title/tt0120832/?ref_=fn_tt_tt_1</t>
  </si>
  <si>
    <t>Peter Coyote</t>
  </si>
  <si>
    <t>James Pickens Jr.</t>
  </si>
  <si>
    <t>Huey Lewis</t>
  </si>
  <si>
    <t>Sphere 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</si>
  <si>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</si>
  <si>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</si>
  <si>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</si>
  <si>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</si>
  <si>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</si>
  <si>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The Angry Birds Movie </t>
  </si>
  <si>
    <t>butt|downward duck|fish|kingfisher|pig</t>
  </si>
  <si>
    <t>http://www.imdb.com/title/tt1985949/?ref_=fn_tt_tt_1</t>
  </si>
  <si>
    <t>Action|Adventure|Comedy|Romance|Thriller</t>
  </si>
  <si>
    <t>Alexis Dziena</t>
  </si>
  <si>
    <t>Fool's Gold </t>
  </si>
  <si>
    <t>debt|rapper|treasure|treasure hunter|yacht</t>
  </si>
  <si>
    <t>http://www.imdb.com/title/tt0770752/?ref_=fn_tt_tt_1</t>
  </si>
  <si>
    <t>Judd Apatow</t>
  </si>
  <si>
    <t>Maude Apatow</t>
  </si>
  <si>
    <t>Funny People </t>
  </si>
  <si>
    <t>breasts|comedian|craigslist|infidelity|stand up comedian</t>
  </si>
  <si>
    <t>http://www.imdb.com/title/tt1201167/?ref_=fn_tt_tt_1</t>
  </si>
  <si>
    <t>Frances Fisher</t>
  </si>
  <si>
    <t>Tim McGraw</t>
  </si>
  <si>
    <t>The Kingdom </t>
  </si>
  <si>
    <t>al qaeda|bomb making|fbi|saudi arabia|stabbed in the crotch</t>
  </si>
  <si>
    <t>http://www.imdb.com/title/tt0431197/?ref_=fn_tt_tt_1</t>
  </si>
  <si>
    <t>Action|Comedy|Sport</t>
  </si>
  <si>
    <t>Gary Cole</t>
  </si>
  <si>
    <t>Talladega Nights: The Ballad of Ricky Bobby </t>
  </si>
  <si>
    <t>car racing|french|friend|nascar|racing</t>
  </si>
  <si>
    <t>http://www.imdb.com/title/tt0415306/?ref_=fn_tt_tt_1</t>
  </si>
  <si>
    <t>Steve Carr</t>
  </si>
  <si>
    <t>Raven-Symoné</t>
  </si>
  <si>
    <t>Kevin Pollak</t>
  </si>
  <si>
    <t>Dr. Dolittle 2 </t>
  </si>
  <si>
    <t>bear|doctor|false accusation|man with glasses|second part</t>
  </si>
  <si>
    <t>http://www.imdb.com/title/tt0240462/?ref_=fn_tt_tt_1</t>
  </si>
  <si>
    <t>Mel Gibson</t>
  </si>
  <si>
    <t>Biography|Drama|History|War</t>
  </si>
  <si>
    <t>Mhairi Calvey</t>
  </si>
  <si>
    <t>Patrick McGoohan</t>
  </si>
  <si>
    <t>James Robinson</t>
  </si>
  <si>
    <t>Braveheart </t>
  </si>
  <si>
    <t>14th century|legend|revolt|scotland|tyranny</t>
  </si>
  <si>
    <t>http://www.imdb.com/title/tt0112573/?ref_=fn_tt_tt_1</t>
  </si>
  <si>
    <t>Brian Geraghty</t>
  </si>
  <si>
    <t>James Morrison</t>
  </si>
  <si>
    <t>Jarhead </t>
  </si>
  <si>
    <t>american abroad|gulf war|u.s. military|u.s. soldier|usmc</t>
  </si>
  <si>
    <t>http://www.imdb.com/title/tt0418763/?ref_=fn_tt_tt_1</t>
  </si>
  <si>
    <t>David Silverman</t>
  </si>
  <si>
    <t>Adventure|Animation|Comedy</t>
  </si>
  <si>
    <t>Yeardley Smith</t>
  </si>
  <si>
    <t>Marcia Wallace</t>
  </si>
  <si>
    <t>The Simpsons Movie 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</si>
  <si>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</si>
  <si>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</si>
  <si>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</si>
  <si>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</si>
  <si>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</si>
  <si>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The Majestic </t>
  </si>
  <si>
    <t>amnesia|california|communist|small town|writer</t>
  </si>
  <si>
    <t>http://www.imdb.com/title/tt0268995/?ref_=fn_tt_tt_1</t>
  </si>
  <si>
    <t>Action|Drama|Sport</t>
  </si>
  <si>
    <t>Cristián de la Fuente</t>
  </si>
  <si>
    <t>Driven </t>
  </si>
  <si>
    <t>car race|german|race car|race car driver|rookie</t>
  </si>
  <si>
    <t>http://www.imdb.com/title/tt0132245/?ref_=fn_tt_tt_1</t>
  </si>
  <si>
    <t>Adventure|Drama|Family</t>
  </si>
  <si>
    <t>David Gant</t>
  </si>
  <si>
    <t>Jean-Claude Dreyfus</t>
  </si>
  <si>
    <t>Oanh Nguyen</t>
  </si>
  <si>
    <t>Two Brothers 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</si>
  <si>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</si>
  <si>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</si>
  <si>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</si>
  <si>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</si>
  <si>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</si>
  <si>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</si>
  <si>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</si>
  <si>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Peter Boyle</t>
  </si>
  <si>
    <t>Doctor Dolittle </t>
  </si>
  <si>
    <t>box office hit|doctor|dog|first part|tiger</t>
  </si>
  <si>
    <t>http://www.imdb.com/title/tt0118998/?ref_=fn_tt_tt_1</t>
  </si>
  <si>
    <t>Rory Culkin</t>
  </si>
  <si>
    <t>Merritt Wever</t>
  </si>
  <si>
    <t>Cherry Jones</t>
  </si>
  <si>
    <t>Signs </t>
  </si>
  <si>
    <t>crop circle|faith|farm|glass of water|loss of faith</t>
  </si>
  <si>
    <t>http://www.imdb.com/title/tt0286106/?ref_=fn_tt_tt_1</t>
  </si>
  <si>
    <t>Adventure|Animation|Comedy|Family|Fantasy|Romance</t>
  </si>
  <si>
    <t>Jennifer Saunders</t>
  </si>
  <si>
    <t>Conrad Vernon</t>
  </si>
  <si>
    <t>Shrek 2 </t>
  </si>
  <si>
    <t>drag queen|physical appearance|princess|queen|sequel</t>
  </si>
  <si>
    <t>http://www.imdb.com/title/tt0298148/?ref_=fn_tt_tt_1</t>
  </si>
  <si>
    <t>Cheech Marin</t>
  </si>
  <si>
    <t>George Carlin</t>
  </si>
  <si>
    <t>Cars </t>
  </si>
  <si>
    <t>car|desert|route 66|tow truck|truck</t>
  </si>
  <si>
    <t>http://www.imdb.com/title/tt0317219/?ref_=fn_tt_tt_1</t>
  </si>
  <si>
    <t>Garry Marshall</t>
  </si>
  <si>
    <t>Hector Elizondo</t>
  </si>
  <si>
    <t>Runaway Bride </t>
  </si>
  <si>
    <t>bride|columnist|journalist|maryland|wedding</t>
  </si>
  <si>
    <t>http://www.imdb.com/title/tt0163187/?ref_=fn_tt_tt_1</t>
  </si>
  <si>
    <t>Eve</t>
  </si>
  <si>
    <t>Leila Arcieri</t>
  </si>
  <si>
    <t>xXx </t>
  </si>
  <si>
    <t>agent|nsa|nsa agent|prague|russian</t>
  </si>
  <si>
    <t>http://www.imdb.com/title/tt0295701/?ref_=fn_tt_tt_1</t>
  </si>
  <si>
    <t>Paul Tibbitt</t>
  </si>
  <si>
    <t>Tim Conway</t>
  </si>
  <si>
    <t>Billy West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</si>
  <si>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</si>
  <si>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</si>
  <si>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</si>
  <si>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</si>
  <si>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</si>
  <si>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</si>
  <si>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</si>
  <si>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</si>
  <si>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</si>
  <si>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</si>
  <si>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</si>
  <si>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</si>
  <si>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</si>
  <si>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</si>
  <si>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Franco Nero</t>
  </si>
  <si>
    <t>Die Hard 2 </t>
  </si>
  <si>
    <t>airport|fuel|plane|police|terrorist</t>
  </si>
  <si>
    <t>http://www.imdb.com/title/tt0099423/?ref_=fn_tt_tt_1</t>
  </si>
  <si>
    <t>Clark Johnson</t>
  </si>
  <si>
    <t>Action|Adventure|Crime|Thriller</t>
  </si>
  <si>
    <t>Josh Charles</t>
  </si>
  <si>
    <t>S.W.A.T. </t>
  </si>
  <si>
    <t>hostage|police|prison|swat team|training</t>
  </si>
  <si>
    <t>http://www.imdb.com/title/tt0257076/?ref_=fn_tt_tt_1</t>
  </si>
  <si>
    <t>Adventure|Drama|Fantasy|Mystery|Thriller</t>
  </si>
  <si>
    <t>Nicole Beharie</t>
  </si>
  <si>
    <t>Katia Winter</t>
  </si>
  <si>
    <t>Lyndie Greenwood</t>
  </si>
  <si>
    <t>Sleepy Hollow 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</si>
  <si>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</si>
  <si>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</si>
  <si>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</si>
  <si>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</si>
  <si>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</si>
  <si>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</si>
  <si>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</si>
  <si>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Drama|Fantasy|Mystery|Thriller</t>
  </si>
  <si>
    <t>Freddy Rodríguez</t>
  </si>
  <si>
    <t>Bob Balaban</t>
  </si>
  <si>
    <t>Lady in the Water </t>
  </si>
  <si>
    <t>apartment|bedtime story|eagle|stuttering|swimming pool</t>
  </si>
  <si>
    <t>http://www.imdb.com/title/tt0452637/?ref_=fn_tt_tt_1</t>
  </si>
  <si>
    <t>Raoul Bova</t>
  </si>
  <si>
    <t>AVP: Alien vs. Predator </t>
  </si>
  <si>
    <t>alien|antarctica|predator|pyramid|satellite</t>
  </si>
  <si>
    <t>http://www.imdb.com/title/tt0370263/?ref_=fn_tt_tt_1</t>
  </si>
  <si>
    <t>Animation|Comedy|Family|Fantasy|Music</t>
  </si>
  <si>
    <t>Bridgit Mendler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</si>
  <si>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</si>
  <si>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</si>
  <si>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</si>
  <si>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</si>
  <si>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Chris Klein</t>
  </si>
  <si>
    <t>We Were Soldiers </t>
  </si>
  <si>
    <t>air cavalry|battle|major|soldier|vietnamese</t>
  </si>
  <si>
    <t>http://www.imdb.com/title/tt0277434/?ref_=fn_tt_tt_1</t>
  </si>
  <si>
    <t>Radha Mitchell</t>
  </si>
  <si>
    <t>Olympus Has Fallen 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</si>
  <si>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</si>
  <si>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</si>
  <si>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</si>
  <si>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</si>
  <si>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</si>
  <si>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Star Trek: Insurrection 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</si>
  <si>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</si>
  <si>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</si>
  <si>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</si>
  <si>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</si>
  <si>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</si>
  <si>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</si>
  <si>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</si>
  <si>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</si>
  <si>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</si>
  <si>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Drama|Horror|Romance|Thriller</t>
  </si>
  <si>
    <t>David Hyde Pierce</t>
  </si>
  <si>
    <t>Peter Gerety</t>
  </si>
  <si>
    <t>Ron Rifkin</t>
  </si>
  <si>
    <t>Wolf 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</si>
  <si>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</si>
  <si>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</si>
  <si>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</si>
  <si>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</si>
  <si>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</si>
  <si>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</si>
  <si>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</si>
  <si>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</si>
  <si>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</si>
  <si>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</si>
  <si>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</si>
  <si>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</si>
  <si>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</si>
  <si>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</si>
  <si>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</si>
  <si>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</si>
  <si>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John Buffalo Mailer</t>
  </si>
  <si>
    <t>Wall Street: Money Never Sleeps </t>
  </si>
  <si>
    <t>corporate greed|crisis|economy|greed|mentor</t>
  </si>
  <si>
    <t>http://www.imdb.com/title/tt1027718/?ref_=fn_tt_tt_1</t>
  </si>
  <si>
    <t>Gary Shore</t>
  </si>
  <si>
    <t>Action|Drama|Fantasy|Horror|War</t>
  </si>
  <si>
    <t>Sarah Gadon</t>
  </si>
  <si>
    <t>Zach McGowan</t>
  </si>
  <si>
    <t>Dracula Untold </t>
  </si>
  <si>
    <t>death of wife|dracula|tarantula|turk|vampire</t>
  </si>
  <si>
    <t>http://www.imdb.com/title/tt0829150/?ref_=fn_tt_tt_1</t>
  </si>
  <si>
    <t>Mark Valley</t>
  </si>
  <si>
    <t>The Siege 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</si>
  <si>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</si>
  <si>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</si>
  <si>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</si>
  <si>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</si>
  <si>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Stardust </t>
  </si>
  <si>
    <t>king|magic|one word title|pirate|village</t>
  </si>
  <si>
    <t>http://www.imdb.com/title/tt0486655/?ref_=fn_tt_tt_1</t>
  </si>
  <si>
    <t>Adventure|Biography|Drama|History|War</t>
  </si>
  <si>
    <t>Victor Wong</t>
  </si>
  <si>
    <t>Seven Years in Tibet </t>
  </si>
  <si>
    <t>austria|dalai lama|himalaya|mountain|tibet</t>
  </si>
  <si>
    <t>http://www.imdb.com/title/tt0120102/?ref_=fn_tt_tt_1</t>
  </si>
  <si>
    <t>Chelcie Ross</t>
  </si>
  <si>
    <t>The Dilemma </t>
  </si>
  <si>
    <t>best friend|friend|investigation|secret|two word title</t>
  </si>
  <si>
    <t>http://www.imdb.com/title/tt1578275/?ref_=fn_tt_tt_1</t>
  </si>
  <si>
    <t>Brooke Smith</t>
  </si>
  <si>
    <t>Garcelle Beauvais</t>
  </si>
  <si>
    <t>Bad Company </t>
  </si>
  <si>
    <t>cia|cia agent|terrorist|twin|twin brother</t>
  </si>
  <si>
    <t>http://www.imdb.com/title/tt0280486/?ref_=fn_tt_tt_1</t>
  </si>
  <si>
    <t>Andrzej Bartkowiak</t>
  </si>
  <si>
    <t>Action|Adventure|Horror|Sci-Fi</t>
  </si>
  <si>
    <t>Ben Daniels</t>
  </si>
  <si>
    <t>Dexter Fletcher</t>
  </si>
  <si>
    <t>Doom 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</si>
  <si>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</si>
  <si>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</si>
  <si>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</si>
  <si>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</si>
  <si>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I Spy </t>
  </si>
  <si>
    <t>boxer|espionage|spy|stealth|top secret</t>
  </si>
  <si>
    <t>http://www.imdb.com/title/tt0297181/?ref_=fn_tt_tt_1</t>
  </si>
  <si>
    <t>Måns Mårlind</t>
  </si>
  <si>
    <t>Action|Fantasy|Horror</t>
  </si>
  <si>
    <t>Stephen Rea</t>
  </si>
  <si>
    <t>Sandrine Holt</t>
  </si>
  <si>
    <t>Underworld: Awakening </t>
  </si>
  <si>
    <t>battle|cryogenics|detective|scientist|vampire</t>
  </si>
  <si>
    <t>http://www.imdb.com/title/tt1496025/?ref_=fn_tt_tt_1</t>
  </si>
  <si>
    <t>Comedy|Drama|Musical|Romance</t>
  </si>
  <si>
    <t>James Martin Kelly</t>
  </si>
  <si>
    <t>Shane Hartline</t>
  </si>
  <si>
    <t>Celina Beach</t>
  </si>
  <si>
    <t>Rock of Ages </t>
  </si>
  <si>
    <t>concert|love|music industry|panties|pole dancer</t>
  </si>
  <si>
    <t>http://www.imdb.com/title/tt1336608/?ref_=fn_tt_tt_1</t>
  </si>
  <si>
    <t>Gregory Hoblit</t>
  </si>
  <si>
    <t>Rory Cochrane</t>
  </si>
  <si>
    <t>Hart's War 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</si>
  <si>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</si>
  <si>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</si>
  <si>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</si>
  <si>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</si>
  <si>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</si>
  <si>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</si>
  <si>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</si>
  <si>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</si>
  <si>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</si>
  <si>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</si>
  <si>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</si>
  <si>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</si>
  <si>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</si>
  <si>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Ballistic: Ecks vs. Sever 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</si>
  <si>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</si>
  <si>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</si>
  <si>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</si>
  <si>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</si>
  <si>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</si>
  <si>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</si>
  <si>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</si>
  <si>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</si>
  <si>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Action|Adventure|Animation|Comedy|Crime|Family|Fantasy</t>
  </si>
  <si>
    <t>Brandy Norwood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</si>
  <si>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</si>
  <si>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</si>
  <si>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</si>
  <si>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</si>
  <si>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</si>
  <si>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</si>
  <si>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Legends of Oz: Dorothy's Return </t>
  </si>
  <si>
    <t>jester|kansas|oz|princess|tornado</t>
  </si>
  <si>
    <t>http://www.imdb.com/title/tt0884726/?ref_=fn_tt_tt_1</t>
  </si>
  <si>
    <t>Archie Kao</t>
  </si>
  <si>
    <t>Brandon Molale</t>
  </si>
  <si>
    <t>Blackhat 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</si>
  <si>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</si>
  <si>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</si>
  <si>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</si>
  <si>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</si>
  <si>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</si>
  <si>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</si>
  <si>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</si>
  <si>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</si>
  <si>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Charlotte Rampling</t>
  </si>
  <si>
    <t>Indira Varma</t>
  </si>
  <si>
    <t>Neil Maskell</t>
  </si>
  <si>
    <t>Basic Instinct 2 </t>
  </si>
  <si>
    <t>drugs|murder|psychiatrist|scotland yard|sex</t>
  </si>
  <si>
    <t>http://www.imdb.com/title/tt0430912/?ref_=fn_tt_tt_1</t>
  </si>
  <si>
    <t>Mikael Håfström</t>
  </si>
  <si>
    <t>Action|Crime|Mystery|Sci-Fi|Thriller</t>
  </si>
  <si>
    <t>50 Cent</t>
  </si>
  <si>
    <t>Matt Gerald</t>
  </si>
  <si>
    <t>Escape Plan </t>
  </si>
  <si>
    <t>cia agent|escape|muslim|prison|ship</t>
  </si>
  <si>
    <t>http://www.imdb.com/title/tt1211956/?ref_=fn_tt_tt_1</t>
  </si>
  <si>
    <t>Roxanne McKee</t>
  </si>
  <si>
    <t>Luke Newberry</t>
  </si>
  <si>
    <t>Gaia Weiss</t>
  </si>
  <si>
    <t>The Legend of Hercules </t>
  </si>
  <si>
    <t>ancient greece|forbidden love|hercules|king|slavery</t>
  </si>
  <si>
    <t>http://www.imdb.com/title/tt1043726/?ref_=fn_tt_tt_1</t>
  </si>
  <si>
    <t>Phil Alden Robinson</t>
  </si>
  <si>
    <t>Philip Baker Hall</t>
  </si>
  <si>
    <t>The Sum of All Fears 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</si>
  <si>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</si>
  <si>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</si>
  <si>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</si>
  <si>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</si>
  <si>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</si>
  <si>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</si>
  <si>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Gary Farmer</t>
  </si>
  <si>
    <t>The Score 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</si>
  <si>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</si>
  <si>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</si>
  <si>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</si>
  <si>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</si>
  <si>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</si>
  <si>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</si>
  <si>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Action|Comedy|Crime|Drama|Thriller</t>
  </si>
  <si>
    <t>Vincent Pastore</t>
  </si>
  <si>
    <t>Robert Blake</t>
  </si>
  <si>
    <t>Aida Turturro</t>
  </si>
  <si>
    <t>Money Train 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</si>
  <si>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</si>
  <si>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</si>
  <si>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</si>
  <si>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</si>
  <si>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</si>
  <si>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</si>
  <si>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Adventure|Drama|History|Romance</t>
  </si>
  <si>
    <t>Max Minghella</t>
  </si>
  <si>
    <t>Ashraf Barhom</t>
  </si>
  <si>
    <t>Rupert Evans</t>
  </si>
  <si>
    <t>Agora 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</si>
  <si>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</si>
  <si>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</si>
  <si>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</si>
  <si>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</si>
  <si>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</si>
  <si>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</si>
  <si>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</si>
  <si>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</si>
  <si>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Stephen Merchant</t>
  </si>
  <si>
    <t>Hall Pass 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</si>
  <si>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</si>
  <si>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</si>
  <si>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</si>
  <si>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</si>
  <si>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</si>
  <si>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</si>
  <si>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</si>
  <si>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</si>
  <si>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</si>
  <si>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</si>
  <si>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The Finest Hours </t>
  </si>
  <si>
    <t>1950s|coast guard|oil tanker|sinking ship|survival</t>
  </si>
  <si>
    <t>http://www.imdb.com/title/tt2025690/?ref_=fn_tt_tt_1</t>
  </si>
  <si>
    <t>Simon McBurney</t>
  </si>
  <si>
    <t>Michael Gaston</t>
  </si>
  <si>
    <t>Body of Lies 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</si>
  <si>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</si>
  <si>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</si>
  <si>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</si>
  <si>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</si>
  <si>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</si>
  <si>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</si>
  <si>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</si>
  <si>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</si>
  <si>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</si>
  <si>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</si>
  <si>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Entrapment </t>
  </si>
  <si>
    <t>art thief|insurance|mask|master thief|reference to iron maiden</t>
  </si>
  <si>
    <t>http://www.imdb.com/title/tt0137494/?ref_=fn_tt_tt_1</t>
  </si>
  <si>
    <t>Kaitlyn Dever</t>
  </si>
  <si>
    <t>Nancy Travis</t>
  </si>
  <si>
    <t>Last Man Standing 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</si>
  <si>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</si>
  <si>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</si>
  <si>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</si>
  <si>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</si>
  <si>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</si>
  <si>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</si>
  <si>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</si>
  <si>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</si>
  <si>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</si>
  <si>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</si>
  <si>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The Last Legion 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</si>
  <si>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</si>
  <si>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</si>
  <si>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</si>
  <si>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</si>
  <si>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</si>
  <si>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</si>
  <si>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</si>
  <si>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</si>
  <si>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</si>
  <si>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Comedy|Fantasy|Romance</t>
  </si>
  <si>
    <t>Lisa Edelstein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</si>
  <si>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</si>
  <si>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</si>
  <si>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</si>
  <si>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</si>
  <si>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</si>
  <si>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</si>
  <si>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</si>
  <si>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Reece Thompson</t>
  </si>
  <si>
    <t>Dreamcatcher 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</si>
  <si>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</si>
  <si>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</si>
  <si>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</si>
  <si>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</si>
  <si>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</si>
  <si>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</si>
  <si>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Gloria Foster</t>
  </si>
  <si>
    <t>The Matrix 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</si>
  <si>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</si>
  <si>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</si>
  <si>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</si>
  <si>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</si>
  <si>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Apollo 13 </t>
  </si>
  <si>
    <t>cape kennedy|news footage|reference to christopher columbus|rocket|trapped in space</t>
  </si>
  <si>
    <t>http://www.imdb.com/title/tt0112384/?ref_=fn_tt_tt_1</t>
  </si>
  <si>
    <t>Michael Lembeck</t>
  </si>
  <si>
    <t>Judge Reinhold</t>
  </si>
  <si>
    <t>Aisha Tyler</t>
  </si>
  <si>
    <t>Eric Lloyd</t>
  </si>
  <si>
    <t>The Santa Clause 2 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</si>
  <si>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</si>
  <si>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</si>
  <si>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</si>
  <si>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</si>
  <si>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</si>
  <si>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</si>
  <si>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</si>
  <si>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</si>
  <si>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</si>
  <si>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</si>
  <si>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</si>
  <si>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Andrea Savage</t>
  </si>
  <si>
    <t>Step Brothers </t>
  </si>
  <si>
    <t>dream|friendship|karaoke|love|slacker</t>
  </si>
  <si>
    <t>http://www.imdb.com/title/tt0838283/?ref_=fn_tt_tt_1</t>
  </si>
  <si>
    <t>Action|Adventure|Comedy|Romance|Thriller|Western</t>
  </si>
  <si>
    <t>Tony Amendola</t>
  </si>
  <si>
    <t>Stuart Wilson</t>
  </si>
  <si>
    <t>The Mask of Zorro </t>
  </si>
  <si>
    <t>19th century|california|revenge|training|zorro</t>
  </si>
  <si>
    <t>http://www.imdb.com/title/tt0120746/?ref_=fn_tt_tt_1</t>
  </si>
  <si>
    <t>Matt Walsh</t>
  </si>
  <si>
    <t>Due Date </t>
  </si>
  <si>
    <t>actor|aspiring actor|birth|misadventure|suitcase</t>
  </si>
  <si>
    <t>http://www.imdb.com/title/tt1231583/?ref_=fn_tt_tt_1</t>
  </si>
  <si>
    <t>Biography|Drama|Sport|War</t>
  </si>
  <si>
    <t>Finn Wittrock</t>
  </si>
  <si>
    <t>Jack O'Connell</t>
  </si>
  <si>
    <t>Alex Russell</t>
  </si>
  <si>
    <t>Unbroken 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</si>
  <si>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</si>
  <si>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</si>
  <si>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</si>
  <si>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</si>
  <si>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</si>
  <si>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Space Cowboys </t>
  </si>
  <si>
    <t>nasa|old age|satellite|space|space shuttle</t>
  </si>
  <si>
    <t>http://www.imdb.com/title/tt0186566/?ref_=fn_tt_tt_1</t>
  </si>
  <si>
    <t>Leon</t>
  </si>
  <si>
    <t>Janine Turner</t>
  </si>
  <si>
    <t>Cliffhanger 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</si>
  <si>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</si>
  <si>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</si>
  <si>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</si>
  <si>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</si>
  <si>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</si>
  <si>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</si>
  <si>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</si>
  <si>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Daniel von Bargen</t>
  </si>
  <si>
    <t>The Kid 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</si>
  <si>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</si>
  <si>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</si>
  <si>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</si>
  <si>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</si>
  <si>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</si>
  <si>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</si>
  <si>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Marian Seldes</t>
  </si>
  <si>
    <t>Mona Lisa Smile </t>
  </si>
  <si>
    <t>art|college|school|student|wellesley college</t>
  </si>
  <si>
    <t>http://www.imdb.com/title/tt0304415/?ref_=fn_tt_tt_1</t>
  </si>
  <si>
    <t>Larry Charles</t>
  </si>
  <si>
    <t>Horatio Sanz</t>
  </si>
  <si>
    <t>The Dictator 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</si>
  <si>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</si>
  <si>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</si>
  <si>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</si>
  <si>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</si>
  <si>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</si>
  <si>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</si>
  <si>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</si>
  <si>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</si>
  <si>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</si>
  <si>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</si>
  <si>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David Zayas</t>
  </si>
  <si>
    <t>Annie 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</si>
  <si>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</si>
  <si>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</si>
  <si>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</si>
  <si>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</si>
  <si>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Focus </t>
  </si>
  <si>
    <t>con artist|con man|deception|rivalry|seduction</t>
  </si>
  <si>
    <t>http://www.imdb.com/title/tt2381941/?ref_=fn_tt_tt_1</t>
  </si>
  <si>
    <t>Abigail Spencer</t>
  </si>
  <si>
    <t>Warren Christie</t>
  </si>
  <si>
    <t>This Means War </t>
  </si>
  <si>
    <t>best friend|cia|cia agent|dating|undercover</t>
  </si>
  <si>
    <t>http://www.imdb.com/title/tt1596350/?ref_=fn_tt_tt_1</t>
  </si>
  <si>
    <t>David S. Goyer</t>
  </si>
  <si>
    <t>Action|Adventure|Fantasy|Horror|Sci-Fi|Thriller</t>
  </si>
  <si>
    <t>Natasha Lyonne</t>
  </si>
  <si>
    <t>Blade: Trinity </t>
  </si>
  <si>
    <t>blade|blood|dracula|vampire hunter|vampire slayer</t>
  </si>
  <si>
    <t>http://www.imdb.com/title/tt0359013/?ref_=fn_tt_tt_1</t>
  </si>
  <si>
    <t>Lea Thompson</t>
  </si>
  <si>
    <t>Jennifer Grey</t>
  </si>
  <si>
    <t>Red Dawn </t>
  </si>
  <si>
    <t>guerrilla|high school|invasion|soviet|wolverine</t>
  </si>
  <si>
    <t>http://www.imdb.com/title/tt0087985/?ref_=fn_tt_tt_1</t>
  </si>
  <si>
    <t>Maura Tierney</t>
  </si>
  <si>
    <t>Adrian Lester</t>
  </si>
  <si>
    <t>Paul Guilfoyle</t>
  </si>
  <si>
    <t>Primary Colors 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</si>
  <si>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</si>
  <si>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</si>
  <si>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</si>
  <si>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</si>
  <si>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</si>
  <si>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</si>
  <si>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</si>
  <si>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</si>
  <si>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Melina Kanakaredes</t>
  </si>
  <si>
    <t>Craig Bierko</t>
  </si>
  <si>
    <t>Yvonne Zima</t>
  </si>
  <si>
    <t>The Long Kiss Goodnight 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</si>
  <si>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</si>
  <si>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</si>
  <si>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</si>
  <si>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</si>
  <si>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</si>
  <si>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Proof of Life </t>
  </si>
  <si>
    <t>jungle|pipeline|prisoner|ransom|south america</t>
  </si>
  <si>
    <t>http://www.imdb.com/title/tt0228750/?ref_=fn_tt_tt_1</t>
  </si>
  <si>
    <t>Jonah Bobo</t>
  </si>
  <si>
    <t>Zathura: A Space Adventure 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</si>
  <si>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</si>
  <si>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</si>
  <si>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</si>
  <si>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</si>
  <si>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Fight Club </t>
  </si>
  <si>
    <t>anti establishment|dark humor|fighting|multiple personality disorder|surprise ending</t>
  </si>
  <si>
    <t>http://www.imdb.com/title/tt0137523/?ref_=fn_tt_tt_1</t>
  </si>
  <si>
    <t>Drama|Sport</t>
  </si>
  <si>
    <t>Kimberly Williams-Paisley</t>
  </si>
  <si>
    <t>We Are Marshall </t>
  </si>
  <si>
    <t>coach|football|football team|marshall university|university</t>
  </si>
  <si>
    <t>http://www.imdb.com/title/tt0758794/?ref_=fn_tt_tt_1</t>
  </si>
  <si>
    <t>Frances O'Connor</t>
  </si>
  <si>
    <t>The Missing 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</si>
  <si>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</si>
  <si>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</si>
  <si>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</si>
  <si>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</si>
  <si>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</si>
  <si>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</si>
  <si>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</si>
  <si>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</si>
  <si>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</si>
  <si>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</si>
  <si>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</si>
  <si>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Action|Fantasy|Sci-Fi|Thriller</t>
  </si>
  <si>
    <t>Caitlin Stasey</t>
  </si>
  <si>
    <t>Kevin Grevioux</t>
  </si>
  <si>
    <t>I, Frankenstein </t>
  </si>
  <si>
    <t>army|creature|demon|frankenstein|gargoyle</t>
  </si>
  <si>
    <t>http://www.imdb.com/title/tt1418377/?ref_=fn_tt_tt_1</t>
  </si>
  <si>
    <t>Roman Polanski</t>
  </si>
  <si>
    <t>Ian McNeice</t>
  </si>
  <si>
    <t>Barney Clark</t>
  </si>
  <si>
    <t>Tony Noble</t>
  </si>
  <si>
    <t>Oliver Twist 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</si>
  <si>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</si>
  <si>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</si>
  <si>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</si>
  <si>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</si>
  <si>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</si>
  <si>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</si>
  <si>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</si>
  <si>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</si>
  <si>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</si>
  <si>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</si>
  <si>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</si>
  <si>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Random Hearts </t>
  </si>
  <si>
    <t>death|plane crash|police|police sergeant|politician</t>
  </si>
  <si>
    <t>http://www.imdb.com/title/tt0156934/?ref_=fn_tt_tt_1</t>
  </si>
  <si>
    <t>Baltasar Kormákur</t>
  </si>
  <si>
    <t>Adventure|Biography|Drama|History|Sport|Thriller</t>
  </si>
  <si>
    <t>Martin Henderson</t>
  </si>
  <si>
    <t>Tom Goodman-Hill</t>
  </si>
  <si>
    <t>Everest </t>
  </si>
  <si>
    <t>blizzard|mount everest|mountain|mountain climbing|snow</t>
  </si>
  <si>
    <t>http://www.imdb.com/title/tt2719848/?ref_=fn_tt_tt_1</t>
  </si>
  <si>
    <t>Crime|Drama|Fantasy</t>
  </si>
  <si>
    <t>Michael Smiley</t>
  </si>
  <si>
    <t>David Calder</t>
  </si>
  <si>
    <t>Simon Chandler</t>
  </si>
  <si>
    <t>Perfume: The Story of a Murderer </t>
  </si>
  <si>
    <t>18th century|perfume|scent|sense of smell|smell</t>
  </si>
  <si>
    <t>http://www.imdb.com/title/tt0396171/?ref_=fn_tt_tt_1</t>
  </si>
  <si>
    <t>Josh Zuckerman</t>
  </si>
  <si>
    <t>Robert Wagner</t>
  </si>
  <si>
    <t>Austin Powers in Goldmember </t>
  </si>
  <si>
    <t>fem bot|prison|seductive fembot|spy|time travel</t>
  </si>
  <si>
    <t>http://www.imdb.com/title/tt0295178/?ref_=fn_tt_tt_1</t>
  </si>
  <si>
    <t>Dee Bradley Baker</t>
  </si>
  <si>
    <t>Astro Boy </t>
  </si>
  <si>
    <t>betrayal|futuristic|gladiator|robot|scientist</t>
  </si>
  <si>
    <t>http://www.imdb.com/title/tt0375568/?ref_=fn_tt_tt_1</t>
  </si>
  <si>
    <t>Hong Kong</t>
  </si>
  <si>
    <t>Bob Peck</t>
  </si>
  <si>
    <t>Jurassic Park 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</si>
  <si>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</si>
  <si>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</si>
  <si>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</si>
  <si>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</si>
  <si>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Wyatt Earp 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</si>
  <si>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</si>
  <si>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</si>
  <si>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</si>
  <si>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</si>
  <si>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</si>
  <si>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</si>
  <si>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</si>
  <si>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Si Won Choi</t>
  </si>
  <si>
    <t>Peng Lin</t>
  </si>
  <si>
    <t>Sung-jun Yoo</t>
  </si>
  <si>
    <t>Dragon Blade 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</si>
  <si>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</si>
  <si>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</si>
  <si>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</si>
  <si>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</si>
  <si>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</si>
  <si>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Littleman </t>
  </si>
  <si>
    <t>diamond|infant|parody|spoof|sports violence</t>
  </si>
  <si>
    <t>http://www.imdb.com/title/tt0430304/?ref_=fn_tt_tt_1</t>
  </si>
  <si>
    <t>Action|War</t>
  </si>
  <si>
    <t>David Keith</t>
  </si>
  <si>
    <t>U-571 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</si>
  <si>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</si>
  <si>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</si>
  <si>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</si>
  <si>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</si>
  <si>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</si>
  <si>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</si>
  <si>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</si>
  <si>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</si>
  <si>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Comedy|Romance|Sport</t>
  </si>
  <si>
    <t>Romany Malco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</si>
  <si>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</si>
  <si>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</si>
  <si>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</si>
  <si>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</si>
  <si>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</si>
  <si>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3000 Miles to Graceland 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</si>
  <si>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</si>
  <si>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</si>
  <si>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</si>
  <si>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</si>
  <si>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</si>
  <si>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</si>
  <si>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</si>
  <si>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</si>
  <si>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</si>
  <si>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</si>
  <si>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</si>
  <si>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</si>
  <si>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</si>
  <si>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</si>
  <si>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</si>
  <si>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Hop </t>
  </si>
  <si>
    <t>drummer|easter|easter bunny|piaggio vespa gtv 250|slacker</t>
  </si>
  <si>
    <t>http://www.imdb.com/title/tt1411704/?ref_=fn_tt_tt_1</t>
  </si>
  <si>
    <t>Vincent Regan</t>
  </si>
  <si>
    <t>300 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</si>
  <si>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</si>
  <si>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</si>
  <si>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</si>
  <si>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</si>
  <si>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</si>
  <si>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</si>
  <si>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Comedy|Drama|Family</t>
  </si>
  <si>
    <t>Eric Dane</t>
  </si>
  <si>
    <t>Kathleen Turner</t>
  </si>
  <si>
    <t>Haley Bennett</t>
  </si>
  <si>
    <t>Marley &amp; Me 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</si>
  <si>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</si>
  <si>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</si>
  <si>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</si>
  <si>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</si>
  <si>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</si>
  <si>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</si>
  <si>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Jill Hennessy</t>
  </si>
  <si>
    <t>Tichina Arnold</t>
  </si>
  <si>
    <t>Drew Sidora</t>
  </si>
  <si>
    <t>Wild Hogs 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</si>
  <si>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</si>
  <si>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</si>
  <si>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</si>
  <si>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</si>
  <si>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</si>
  <si>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</si>
  <si>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Emily Ratajkowski</t>
  </si>
  <si>
    <t>Gone Girl </t>
  </si>
  <si>
    <t>based on novel|disappearance|missing person|missing wife|murder suspect</t>
  </si>
  <si>
    <t>http://www.imdb.com/title/tt2267998/?ref_=fn_tt_tt_1</t>
  </si>
  <si>
    <t>Josh Hamilton</t>
  </si>
  <si>
    <t>Nicky Naudé</t>
  </si>
  <si>
    <t>The Bourne Identity 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</si>
  <si>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</si>
  <si>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</si>
  <si>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</si>
  <si>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</si>
  <si>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</si>
  <si>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</si>
  <si>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Clarence Williams III</t>
  </si>
  <si>
    <t>The General's Daughter </t>
  </si>
  <si>
    <t>army cid|cover up|military|murder|woman in military</t>
  </si>
  <si>
    <t>http://www.imdb.com/title/tt0144214/?ref_=fn_tt_tt_1</t>
  </si>
  <si>
    <t>Peter Krause</t>
  </si>
  <si>
    <t>The Truman Show </t>
  </si>
  <si>
    <t>controlled environment|fictional reality show|hidden camera|innocence lost|simulated reality</t>
  </si>
  <si>
    <t>http://www.imdb.com/title/tt0120382/?ref_=fn_tt_tt_1</t>
  </si>
  <si>
    <t>Brenda Chapman</t>
  </si>
  <si>
    <t>Adventure|Animation|Biography|Drama|Family|Fantasy|Musical</t>
  </si>
  <si>
    <t>Aria Noelle Curzon</t>
  </si>
  <si>
    <t>Eden Riegel</t>
  </si>
  <si>
    <t>The Prince of Egypt 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</si>
  <si>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</si>
  <si>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</si>
  <si>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</si>
  <si>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</si>
  <si>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</si>
  <si>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</si>
  <si>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</si>
  <si>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</si>
  <si>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2 Guns </t>
  </si>
  <si>
    <t>close up of breasts|female nudity|fugitive|money|undercover</t>
  </si>
  <si>
    <t>http://www.imdb.com/title/tt1272878/?ref_=fn_tt_tt_1</t>
  </si>
  <si>
    <t>Carol Ann Susi</t>
  </si>
  <si>
    <t>Miriam Margolyes</t>
  </si>
  <si>
    <t>Cats &amp; Dogs </t>
  </si>
  <si>
    <t>cartoon on tv|cat|dog|scientist|secret agent</t>
  </si>
  <si>
    <t>http://www.imdb.com/title/tt0239395/?ref_=fn_tt_tt_1</t>
  </si>
  <si>
    <t>Jimmy Shubert</t>
  </si>
  <si>
    <t>The Italian Job 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</si>
  <si>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</si>
  <si>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</si>
  <si>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</si>
  <si>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</si>
  <si>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</si>
  <si>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</si>
  <si>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</si>
  <si>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</si>
  <si>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Anne Bancroft</t>
  </si>
  <si>
    <t>Antz </t>
  </si>
  <si>
    <t>ant|friend|princess|soldier|worker</t>
  </si>
  <si>
    <t>http://www.imdb.com/title/tt0120587/?ref_=fn_tt_tt_1</t>
  </si>
  <si>
    <t>Peter Billingsley</t>
  </si>
  <si>
    <t>Tasha Smith</t>
  </si>
  <si>
    <t>Couples Retreat 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</si>
  <si>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</si>
  <si>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</si>
  <si>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</si>
  <si>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</si>
  <si>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</si>
  <si>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</si>
  <si>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Alyson Stoner</t>
  </si>
  <si>
    <t>Cheaper by the Dozen 2 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</si>
  <si>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</si>
  <si>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</si>
  <si>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</si>
  <si>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</si>
  <si>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</si>
  <si>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The Scorch Trials 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</si>
  <si>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</si>
  <si>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</si>
  <si>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</si>
  <si>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</si>
  <si>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</si>
  <si>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</si>
  <si>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</si>
  <si>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</si>
  <si>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</si>
  <si>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Jaqueline Fleming</t>
  </si>
  <si>
    <t>RED 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</si>
  <si>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</si>
  <si>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</si>
  <si>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</si>
  <si>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</si>
  <si>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</si>
  <si>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</si>
  <si>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</si>
  <si>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</si>
  <si>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The Horse Whisperer 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</si>
  <si>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</si>
  <si>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</si>
  <si>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</si>
  <si>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</si>
  <si>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</si>
  <si>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</si>
  <si>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</si>
  <si>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</si>
  <si>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</si>
  <si>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</si>
  <si>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</si>
  <si>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Ladder 49 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</si>
  <si>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</si>
  <si>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</si>
  <si>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</si>
  <si>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</si>
  <si>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</si>
  <si>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Saffron Burrows</t>
  </si>
  <si>
    <t>Deep Blue Sea </t>
  </si>
  <si>
    <t>alzheimer's disease|experiment|human versus shark|research|underwater headquarters</t>
  </si>
  <si>
    <t>http://www.imdb.com/title/tt0149261/?ref_=fn_tt_tt_1</t>
  </si>
  <si>
    <t>Kenny Ortega</t>
  </si>
  <si>
    <t>Documentary|Music</t>
  </si>
  <si>
    <t>Misha Gabriel Hamilton</t>
  </si>
  <si>
    <t>Mekia Cox</t>
  </si>
  <si>
    <t>Judith Hill</t>
  </si>
  <si>
    <t>This Is It </t>
  </si>
  <si>
    <t>2000s|box office hit|comeback|rehearsal|year 2009</t>
  </si>
  <si>
    <t>http://www.imdb.com/title/tt1477715/?ref_=fn_tt_tt_1</t>
  </si>
  <si>
    <t>Drama|Thriller</t>
  </si>
  <si>
    <t>Monique Gabriela Curnen</t>
  </si>
  <si>
    <t>Griffin Kane</t>
  </si>
  <si>
    <t>Contagion 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</si>
  <si>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</si>
  <si>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</si>
  <si>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</si>
  <si>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</si>
  <si>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</si>
  <si>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Kangaroo Jack </t>
  </si>
  <si>
    <t>australia|body paint|kangaroo|mob|money</t>
  </si>
  <si>
    <t>http://www.imdb.com/title/tt0257568/?ref_=fn_tt_tt_1</t>
  </si>
  <si>
    <t>Animation|Family|Fantasy</t>
  </si>
  <si>
    <t>Dawn French</t>
  </si>
  <si>
    <t>John Hodgman</t>
  </si>
  <si>
    <t>Coraline </t>
  </si>
  <si>
    <t>dream|new home|parallel worlds|scissors|secret door</t>
  </si>
  <si>
    <t>http://www.imdb.com/title/tt0327597/?ref_=fn_tt_tt_1</t>
  </si>
  <si>
    <t>Kristen Connolly</t>
  </si>
  <si>
    <t>The Happening 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</si>
  <si>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</si>
  <si>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</si>
  <si>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</si>
  <si>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</si>
  <si>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</si>
  <si>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</si>
  <si>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</si>
  <si>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</si>
  <si>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</si>
  <si>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Fred Williamson</t>
  </si>
  <si>
    <t>Starsky &amp; Hutch 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</si>
  <si>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</si>
  <si>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</si>
  <si>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</si>
  <si>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</si>
  <si>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</si>
  <si>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Jingle All the Way 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</si>
  <si>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</si>
  <si>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</si>
  <si>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</si>
  <si>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</si>
  <si>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</si>
  <si>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</si>
  <si>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</si>
  <si>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</si>
  <si>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</si>
  <si>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</si>
  <si>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</si>
  <si>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</si>
  <si>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Elaine Stritch</t>
  </si>
  <si>
    <t>ParaNorman </t>
  </si>
  <si>
    <t>curse|ghost|outcast|witch|zombie</t>
  </si>
  <si>
    <t>http://www.imdb.com/title/tt1623288/?ref_=fn_tt_tt_1</t>
  </si>
  <si>
    <t>Sophie Okonedo</t>
  </si>
  <si>
    <t>The Jackal 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</si>
  <si>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</si>
  <si>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</si>
  <si>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</si>
  <si>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</si>
  <si>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</si>
  <si>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</si>
  <si>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</si>
  <si>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</si>
  <si>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</si>
  <si>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</si>
  <si>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</si>
  <si>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</si>
  <si>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</si>
  <si>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</si>
  <si>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Bianca Kajlich</t>
  </si>
  <si>
    <t>Oliver Hudson</t>
  </si>
  <si>
    <t>Adhir Kalyan</t>
  </si>
  <si>
    <t>Rules of Engagement </t>
  </si>
  <si>
    <t>fiance|fiancee|magazine editor|naivety|womanizer</t>
  </si>
  <si>
    <t>http://www.imdb.com/title/tt0790772/?ref_=fn_tt_tt_1</t>
  </si>
  <si>
    <t>Kevin Donovan</t>
  </si>
  <si>
    <t>Ritchie Coster</t>
  </si>
  <si>
    <t>The Tuxedo </t>
  </si>
  <si>
    <t>chauffeur|hospital|secret agent|spying|tuxedo</t>
  </si>
  <si>
    <t>http://www.imdb.com/title/tt0290095/?ref_=fn_tt_tt_1</t>
  </si>
  <si>
    <t>Geoff Murphy</t>
  </si>
  <si>
    <t>Peter Greene</t>
  </si>
  <si>
    <t>Brenda Bakke</t>
  </si>
  <si>
    <t>Patrick Kilpatrick</t>
  </si>
  <si>
    <t>Under Siege 2: Dark Territory </t>
  </si>
  <si>
    <t>colorado|niece|satellite|terrorist|train</t>
  </si>
  <si>
    <t>http://www.imdb.com/title/tt0114781/?ref_=fn_tt_tt_1</t>
  </si>
  <si>
    <t>Colm Feore</t>
  </si>
  <si>
    <t>Gemma Chan</t>
  </si>
  <si>
    <t>Jack Ryan: Shadow Recruit 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</si>
  <si>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</si>
  <si>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</si>
  <si>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</si>
  <si>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</si>
  <si>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</si>
  <si>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</si>
  <si>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</si>
  <si>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</si>
  <si>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</si>
  <si>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London Has Fallen 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</si>
  <si>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</si>
  <si>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</si>
  <si>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</si>
  <si>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</si>
  <si>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</si>
  <si>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</si>
  <si>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</si>
  <si>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</si>
  <si>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Tate Donovan</t>
  </si>
  <si>
    <t>Ned Beatty</t>
  </si>
  <si>
    <t>Louis Ferreira</t>
  </si>
  <si>
    <t>Shooter 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</si>
  <si>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</si>
  <si>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</si>
  <si>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</si>
  <si>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</si>
  <si>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</si>
  <si>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The Boxtrolls 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</si>
  <si>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</si>
  <si>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</si>
  <si>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</si>
  <si>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</si>
  <si>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</si>
  <si>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</si>
  <si>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</si>
  <si>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Alison Brie</t>
  </si>
  <si>
    <t>The Lego Movie 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</si>
  <si>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</si>
  <si>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</si>
  <si>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</si>
  <si>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</si>
  <si>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</si>
  <si>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Miss Congeniality 2: Armed and Fabulous 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</si>
  <si>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</si>
  <si>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</si>
  <si>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</si>
  <si>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</si>
  <si>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</si>
  <si>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</si>
  <si>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</si>
  <si>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</si>
  <si>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Gangster Squad 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</si>
  <si>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</si>
  <si>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</si>
  <si>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</si>
  <si>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</si>
  <si>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</si>
  <si>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Year One </t>
  </si>
  <si>
    <t>abraham|hunter|princess|sodom|tribe</t>
  </si>
  <si>
    <t>http://www.imdb.com/title/tt1045778/?ref_=fn_tt_tt_1</t>
  </si>
  <si>
    <t>Biography|Drama|History|Sport</t>
  </si>
  <si>
    <t>Leleti Khumalo</t>
  </si>
  <si>
    <t>Invictus </t>
  </si>
  <si>
    <t>apartheid|nation|nelson mandela|president|rugby</t>
  </si>
  <si>
    <t>http://www.imdb.com/title/tt1057500/?ref_=fn_tt_tt_1</t>
  </si>
  <si>
    <t>Kevin Macdonald</t>
  </si>
  <si>
    <t>Michael Weston</t>
  </si>
  <si>
    <t>State of Play 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</si>
  <si>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</si>
  <si>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</si>
  <si>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</si>
  <si>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</si>
  <si>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Duplicity </t>
  </si>
  <si>
    <t>ceo|dubai|product|rivalry|spy</t>
  </si>
  <si>
    <t>http://www.imdb.com/title/tt1135487/?ref_=fn_tt_tt_1</t>
  </si>
  <si>
    <t>Donald Petrie</t>
  </si>
  <si>
    <t>Steven Anthony Lawrence</t>
  </si>
  <si>
    <t>Ray Walston</t>
  </si>
  <si>
    <t>Michael Lerner</t>
  </si>
  <si>
    <t>My Favorite Martian </t>
  </si>
  <si>
    <t>alien|hidden camera|martian|reporter|spaceship</t>
  </si>
  <si>
    <t>http://www.imdb.com/title/tt0120764/?ref_=fn_tt_tt_1</t>
  </si>
  <si>
    <t>Blair Brown</t>
  </si>
  <si>
    <t>David Rasche</t>
  </si>
  <si>
    <t>Martin Donovan</t>
  </si>
  <si>
    <t>The Sentinel 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</si>
  <si>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</si>
  <si>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</si>
  <si>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</si>
  <si>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</si>
  <si>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</si>
  <si>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</si>
  <si>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</si>
  <si>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</si>
  <si>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</si>
  <si>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</si>
  <si>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</si>
  <si>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Comedy|Crime|Romance</t>
  </si>
  <si>
    <t>Paul Adelstein</t>
  </si>
  <si>
    <t>Julia Duffy</t>
  </si>
  <si>
    <t>Intolerable Cruelty 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</si>
  <si>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</si>
  <si>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</si>
  <si>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</si>
  <si>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</si>
  <si>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</si>
  <si>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</si>
  <si>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</si>
  <si>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</si>
  <si>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</si>
  <si>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</si>
  <si>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</si>
  <si>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Horror|Mystery|Sci-Fi|Thriller</t>
  </si>
  <si>
    <t>John Kapelos</t>
  </si>
  <si>
    <t>Penelope Ann Miller</t>
  </si>
  <si>
    <t>Chi Muoi Lo</t>
  </si>
  <si>
    <t>The Relic </t>
  </si>
  <si>
    <t>fire|helicopter|museum|police sergeant|relic</t>
  </si>
  <si>
    <t>http://www.imdb.com/title/tt0120004/?ref_=fn_tt_tt_1</t>
  </si>
  <si>
    <t>Cathy Moriarty</t>
  </si>
  <si>
    <t>Joe Viterelli</t>
  </si>
  <si>
    <t>Analyze That 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</si>
  <si>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</si>
  <si>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</si>
  <si>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</si>
  <si>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</si>
  <si>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</si>
  <si>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</si>
  <si>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Carrie Preston</t>
  </si>
  <si>
    <t>Mercury Rising 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</si>
  <si>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</si>
  <si>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</si>
  <si>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</si>
  <si>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</si>
  <si>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</si>
  <si>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</si>
  <si>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</si>
  <si>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</si>
  <si>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</si>
  <si>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</si>
  <si>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</si>
  <si>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</si>
  <si>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</si>
  <si>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</si>
  <si>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</si>
  <si>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Garfield 2 </t>
  </si>
  <si>
    <t>cat|england|lti txii|peugeot 206|rover 3 5 litre.coupe p5b</t>
  </si>
  <si>
    <t>http://www.imdb.com/title/tt0455499/?ref_=fn_tt_tt_1</t>
  </si>
  <si>
    <t>Sunny Mabrey</t>
  </si>
  <si>
    <t>Xzibit</t>
  </si>
  <si>
    <t>xXx: State of the Union </t>
  </si>
  <si>
    <t>coup d'etat|mutiny|president|u.s. navy|washington d.c.</t>
  </si>
  <si>
    <t>http://www.imdb.com/title/tt0329774/?ref_=fn_tt_tt_1</t>
  </si>
  <si>
    <t>Scott Stewart</t>
  </si>
  <si>
    <t>Action|Fantasy|Horror|Sci-Fi|Thriller</t>
  </si>
  <si>
    <t>Josh Wingate</t>
  </si>
  <si>
    <t>Alan Dale</t>
  </si>
  <si>
    <t>Jacob Hopkins</t>
  </si>
  <si>
    <t>Priest </t>
  </si>
  <si>
    <t>church|priest|sheriff|vampire|warrior</t>
  </si>
  <si>
    <t>http://www.imdb.com/title/tt0822847/?ref_=fn_tt_tt_1</t>
  </si>
  <si>
    <t>Patrick Gilmore</t>
  </si>
  <si>
    <t>Adventure|Animation|Comedy|Drama|Family|Fantasy|Romance</t>
  </si>
  <si>
    <t>Adriano Giannini</t>
  </si>
  <si>
    <t>Timothy West</t>
  </si>
  <si>
    <t>Sinbad: Legend of the Seven Seas 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</si>
  <si>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</si>
  <si>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</si>
  <si>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</si>
  <si>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</si>
  <si>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</si>
  <si>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</si>
  <si>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Drama|Fantasy|Mystery|Romance|Thriller</t>
  </si>
  <si>
    <t>Susanna Thompson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</si>
  <si>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</si>
  <si>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</si>
  <si>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</si>
  <si>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</si>
  <si>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</si>
  <si>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</si>
  <si>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</si>
  <si>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</si>
  <si>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</si>
  <si>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</si>
  <si>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Flyboys </t>
  </si>
  <si>
    <t>american|france|military|pilot|training</t>
  </si>
  <si>
    <t>http://www.imdb.com/title/tt0454824/?ref_=fn_tt_tt_1</t>
  </si>
  <si>
    <t>Rod Lurie</t>
  </si>
  <si>
    <t>Michael Irby</t>
  </si>
  <si>
    <t>The Last Castle </t>
  </si>
  <si>
    <t>colonel|general|military|prison|three star general</t>
  </si>
  <si>
    <t>http://www.imdb.com/title/tt0272020/?ref_=fn_tt_tt_1</t>
  </si>
  <si>
    <t>Walter Hill</t>
  </si>
  <si>
    <t>Robert Forster</t>
  </si>
  <si>
    <t>Wilson Cruz</t>
  </si>
  <si>
    <t>Vanessa Marshall</t>
  </si>
  <si>
    <t>Supernova 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</si>
  <si>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</si>
  <si>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</si>
  <si>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</si>
  <si>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</si>
  <si>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</si>
  <si>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</si>
  <si>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Winter's Tale </t>
  </si>
  <si>
    <t>black and white photograph|drawing with blood|falling through ice|playing piano|red haired woman</t>
  </si>
  <si>
    <t>http://www.imdb.com/title/tt1837709/?ref_=fn_tt_tt_1</t>
  </si>
  <si>
    <t>Harald Zwart</t>
  </si>
  <si>
    <t>Fantasy|Horror|Mystery|Romance</t>
  </si>
  <si>
    <t>Kevin Zegers</t>
  </si>
  <si>
    <t>The Mortal Instruments: City of Bones </t>
  </si>
  <si>
    <t>battle|demon|magic|secret|warrior</t>
  </si>
  <si>
    <t>http://www.imdb.com/title/tt1538403/?ref_=fn_tt_tt_1</t>
  </si>
  <si>
    <t>Adventure|Comedy|Family|Romance|Sci-Fi</t>
  </si>
  <si>
    <t>Mike O'Malley</t>
  </si>
  <si>
    <t>Shawn Christian</t>
  </si>
  <si>
    <t>Meet Dave </t>
  </si>
  <si>
    <t>alien|mutiny|orb|planet|spaceship</t>
  </si>
  <si>
    <t>http://www.imdb.com/title/tt0765476/?ref_=fn_tt_tt_1</t>
  </si>
  <si>
    <t>Walter Salles</t>
  </si>
  <si>
    <t>Drama|Horror|Thriller</t>
  </si>
  <si>
    <t>Camryn Manheim</t>
  </si>
  <si>
    <t>Ariel Gade</t>
  </si>
  <si>
    <t>Dark Water 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</si>
  <si>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</si>
  <si>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</si>
  <si>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</si>
  <si>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</si>
  <si>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</si>
  <si>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</si>
  <si>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</si>
  <si>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Inkheart </t>
  </si>
  <si>
    <t>book|escape|girl|overalls|villain</t>
  </si>
  <si>
    <t>http://www.imdb.com/title/tt0494238/?ref_=fn_tt_tt_1</t>
  </si>
  <si>
    <t>Louis Lombardi</t>
  </si>
  <si>
    <t>The Spirit </t>
  </si>
  <si>
    <t>female star appears nude|pants falling down|samurai|white rat|woman in a towel</t>
  </si>
  <si>
    <t>http://www.imdb.com/title/tt0831887/?ref_=fn_tt_tt_1</t>
  </si>
  <si>
    <t>David Koepp</t>
  </si>
  <si>
    <t>Action|Comedy|Mystery|Romance</t>
  </si>
  <si>
    <t>Olivia Munn</t>
  </si>
  <si>
    <t>Ulrich Thomsen</t>
  </si>
  <si>
    <t>Mortdecai 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</si>
  <si>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</si>
  <si>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</si>
  <si>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</si>
  <si>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</si>
  <si>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</si>
  <si>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In the Name of the King: A Dungeon Siege Tale 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</si>
  <si>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</si>
  <si>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</si>
  <si>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</si>
  <si>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</si>
  <si>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</si>
  <si>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</si>
  <si>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</si>
  <si>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</si>
  <si>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Xi you ji zhi: Sun Wukong san da Baigu Jing 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</si>
  <si>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</si>
  <si>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</si>
  <si>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</si>
  <si>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</si>
  <si>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</si>
  <si>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The Great Raid </t>
  </si>
  <si>
    <t>american|lieutenant colonel|mission|rescue|soldier</t>
  </si>
  <si>
    <t>http://www.imdb.com/title/tt0326905/?ref_=fn_tt_tt_1</t>
  </si>
  <si>
    <t>Filipino</t>
  </si>
  <si>
    <t>Tim Miller</t>
  </si>
  <si>
    <t>Action|Adventure|Comedy|Romance|Sci-Fi</t>
  </si>
  <si>
    <t>Ed Skrein</t>
  </si>
  <si>
    <t>Stefan Kapicic</t>
  </si>
  <si>
    <t>Deadpool 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</si>
  <si>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</si>
  <si>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</si>
  <si>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</si>
  <si>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</si>
  <si>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</si>
  <si>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Holy Man </t>
  </si>
  <si>
    <t>1990s|evangelist|professional rivalry|swimming pool|televangelist</t>
  </si>
  <si>
    <t>http://www.imdb.com/title/tt0120701/?ref_=fn_tt_tt_1</t>
  </si>
  <si>
    <t>Action|Biography|Drama|History|Thriller|War</t>
  </si>
  <si>
    <t>Leonard Roberts</t>
  </si>
  <si>
    <t>Keir O'Donnell</t>
  </si>
  <si>
    <t>American Sniper </t>
  </si>
  <si>
    <t>assassin|death of child|iraq|sniper|sniper rifle</t>
  </si>
  <si>
    <t>http://www.imdb.com/title/tt2179136/?ref_=fn_tt_tt_1</t>
  </si>
  <si>
    <t>Adventure|Comedy|Family|Fantasy|Horror</t>
  </si>
  <si>
    <t>Odeya Rush</t>
  </si>
  <si>
    <t>Dylan Minnette</t>
  </si>
  <si>
    <t>Ken Marino</t>
  </si>
  <si>
    <t>Goosebumps </t>
  </si>
  <si>
    <t>based on book|blob|ferris wheel|manuscript|monster</t>
  </si>
  <si>
    <t>http://www.imdb.com/title/tt1051904/?ref_=fn_tt_tt_1</t>
  </si>
  <si>
    <t>Nate Richert</t>
  </si>
  <si>
    <t>Soleil Moon Frye</t>
  </si>
  <si>
    <t>Caroline Rhea</t>
  </si>
  <si>
    <t xml:space="preserve">Sabrina, the Teenage Witch             </t>
  </si>
  <si>
    <t>female protagonist|hereditary gift of witchcraft|magic|supernatural|witch</t>
  </si>
  <si>
    <t>http://www.imdb.com/title/tt0115341/?ref_=fn_tt_tt_1</t>
  </si>
  <si>
    <t>Willie Garson</t>
  </si>
  <si>
    <t>Just Like Heaven 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</si>
  <si>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</si>
  <si>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</si>
  <si>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</si>
  <si>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</si>
  <si>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</si>
  <si>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</si>
  <si>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</si>
  <si>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</si>
  <si>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Action|Adventure|Thriller|War</t>
  </si>
  <si>
    <t>Kurtwood Smith</t>
  </si>
  <si>
    <t>Richard Crenna</t>
  </si>
  <si>
    <t>Rambo III </t>
  </si>
  <si>
    <t>afghanistan|colonel|rambo|rescue|soviet</t>
  </si>
  <si>
    <t>http://www.imdb.com/title/tt0095956/?ref_=fn_tt_tt_1</t>
  </si>
  <si>
    <t>Comedy|Drama|Romance|Sport</t>
  </si>
  <si>
    <t>Robert Baker</t>
  </si>
  <si>
    <t>Malcolm Goodwin</t>
  </si>
  <si>
    <t>Matt Bushell</t>
  </si>
  <si>
    <t>Leatherheads 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</si>
  <si>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</si>
  <si>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</si>
  <si>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</si>
  <si>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</si>
  <si>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</si>
  <si>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</si>
  <si>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</si>
  <si>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Kevin Brown</t>
  </si>
  <si>
    <t>Did You Hear About the Morgans? </t>
  </si>
  <si>
    <t>fbi|murder|witness|witness protection|wyoming</t>
  </si>
  <si>
    <t>http://www.imdb.com/title/tt1314228/?ref_=fn_tt_tt_1</t>
  </si>
  <si>
    <t>Jessica Szohr</t>
  </si>
  <si>
    <t>Rob Riggle</t>
  </si>
  <si>
    <t>The Internship </t>
  </si>
  <si>
    <t>actor's picture shown in credits|animated credits|google|internship|still images in end credits</t>
  </si>
  <si>
    <t>http://www.imdb.com/title/tt2234155/?ref_=fn_tt_tt_1</t>
  </si>
  <si>
    <t>Shawn Roberts</t>
  </si>
  <si>
    <t>Resident Evil: Afterlife 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</si>
  <si>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</si>
  <si>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</si>
  <si>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</si>
  <si>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</si>
  <si>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</si>
  <si>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Red Tails </t>
  </si>
  <si>
    <t>african american|battle|italy|tuskegee airmen|world war two</t>
  </si>
  <si>
    <t>http://www.imdb.com/title/tt0485985/?ref_=fn_tt_tt_1</t>
  </si>
  <si>
    <t>Cynthia Nixon</t>
  </si>
  <si>
    <t>Sex and the City 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</si>
  <si>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</si>
  <si>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</si>
  <si>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</si>
  <si>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</si>
  <si>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</si>
  <si>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</si>
  <si>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</si>
  <si>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</si>
  <si>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</si>
  <si>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</si>
  <si>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</si>
  <si>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</si>
  <si>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DragonHeart </t>
  </si>
  <si>
    <t>dragon|england|human dragon relationship|king|knight</t>
  </si>
  <si>
    <t>http://www.imdb.com/title/tt0116136/?ref_=fn_tt_tt_1</t>
  </si>
  <si>
    <t>Action|Comedy|Crime|Drama</t>
  </si>
  <si>
    <t>Chris Penn</t>
  </si>
  <si>
    <t>After the Sunset 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</si>
  <si>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</si>
  <si>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</si>
  <si>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</si>
  <si>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</si>
  <si>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</si>
  <si>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Ghost Rider: Spirit of Vengeance </t>
  </si>
  <si>
    <t>deal with the devil|devil|eastern europe|ghost rider|monk</t>
  </si>
  <si>
    <t>http://www.imdb.com/title/tt1071875/?ref_=fn_tt_tt_1</t>
  </si>
  <si>
    <t>John Madden</t>
  </si>
  <si>
    <t>Drama|Music|Romance|War</t>
  </si>
  <si>
    <t>Irene Papas</t>
  </si>
  <si>
    <t>Mihalis Giannatos</t>
  </si>
  <si>
    <t>Captain Corelli's Mandolin </t>
  </si>
  <si>
    <t>captain|greek|island|italian|love</t>
  </si>
  <si>
    <t>http://www.imdb.com/title/tt0238112/?ref_=fn_tt_tt_1</t>
  </si>
  <si>
    <t>Barry Corbin</t>
  </si>
  <si>
    <t>Noureen DeWulf</t>
  </si>
  <si>
    <t>Brian Austin Green</t>
  </si>
  <si>
    <t>Anger Management 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</si>
  <si>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</si>
  <si>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</si>
  <si>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</si>
  <si>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</si>
  <si>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</si>
  <si>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</si>
  <si>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</si>
  <si>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Action|Crime</t>
  </si>
  <si>
    <t>Ashley Scott</t>
  </si>
  <si>
    <t>Michael Bowen</t>
  </si>
  <si>
    <t>Walking Tall </t>
  </si>
  <si>
    <t>casino|football|sheriff|special forces|violence</t>
  </si>
  <si>
    <t>http://www.imdb.com/title/tt0351977/?ref_=fn_tt_tt_1</t>
  </si>
  <si>
    <t>Siobhan Fallon Hogan</t>
  </si>
  <si>
    <t>Sam Anderson</t>
  </si>
  <si>
    <t>Forrest Gump </t>
  </si>
  <si>
    <t>amputee|love|vietnam|vietnam war|war hero</t>
  </si>
  <si>
    <t>http://www.imdb.com/title/tt0109830/?ref_=fn_tt_tt_1</t>
  </si>
  <si>
    <t>Beth Riesgraf</t>
  </si>
  <si>
    <t>Matthew Gray Gubler</t>
  </si>
  <si>
    <t>Alvin and the Chipmunks 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</si>
  <si>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</si>
  <si>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</si>
  <si>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</si>
  <si>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</si>
  <si>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</si>
  <si>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</si>
  <si>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</si>
  <si>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</si>
  <si>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Pocahontas </t>
  </si>
  <si>
    <t>actor playing multiple roles|love|one word title|unsubtitled foreign language|virginia</t>
  </si>
  <si>
    <t>http://www.imdb.com/title/tt0114148/?ref_=fn_tt_tt_1</t>
  </si>
  <si>
    <t>Action|Adventure|Drama|Romance|Sci-Fi</t>
  </si>
  <si>
    <t>Margot Kidder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</si>
  <si>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</si>
  <si>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</si>
  <si>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</si>
  <si>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</si>
  <si>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</si>
  <si>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</si>
  <si>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</si>
  <si>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</si>
  <si>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</si>
  <si>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</si>
  <si>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</si>
  <si>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</si>
  <si>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George of the Jungle </t>
  </si>
  <si>
    <t>animal companion|heiress|hero|jungle|male objectification</t>
  </si>
  <si>
    <t>http://www.imdb.com/title/tt0119190/?ref_=fn_tt_tt_1</t>
  </si>
  <si>
    <t>Jesse Dylan</t>
  </si>
  <si>
    <t>Alyson Hannigan</t>
  </si>
  <si>
    <t>Thomas Ian Nicholas</t>
  </si>
  <si>
    <t>American Wedding </t>
  </si>
  <si>
    <t>bachelor party|blow job|breasts|friend|wedding</t>
  </si>
  <si>
    <t>http://www.imdb.com/title/tt0328828/?ref_=fn_tt_tt_1</t>
  </si>
  <si>
    <t>Chris Mulkey</t>
  </si>
  <si>
    <t>Michael Chernus</t>
  </si>
  <si>
    <t>Captain Phillips 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</si>
  <si>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</si>
  <si>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</si>
  <si>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</si>
  <si>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</si>
  <si>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</si>
  <si>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</si>
  <si>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</si>
  <si>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</si>
  <si>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</si>
  <si>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James Wilcox</t>
  </si>
  <si>
    <t>The Equalizer </t>
  </si>
  <si>
    <t>assassin|ex soldier|gangster|hanged man|mysterious past</t>
  </si>
  <si>
    <t>http://www.imdb.com/title/tt0455944/?ref_=fn_tt_tt_1</t>
  </si>
  <si>
    <t>Wayne Wang</t>
  </si>
  <si>
    <t>Natasha Richardson</t>
  </si>
  <si>
    <t>Maid in Manhattan </t>
  </si>
  <si>
    <t>hotel|maid|new york city|place name in title|the bronx</t>
  </si>
  <si>
    <t>http://www.imdb.com/title/tt0252076/?ref_=fn_tt_tt_1</t>
  </si>
  <si>
    <t>Ricky Schroder</t>
  </si>
  <si>
    <t>Crimson Tide 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</si>
  <si>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</si>
  <si>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</si>
  <si>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</si>
  <si>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</si>
  <si>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</si>
  <si>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The Pursuit of Happyness </t>
  </si>
  <si>
    <t>bus|intern|internship|salesman|stockbroker</t>
  </si>
  <si>
    <t>http://www.imdb.com/title/tt0454921/?ref_=fn_tt_tt_1</t>
  </si>
  <si>
    <t>Erika Christensen</t>
  </si>
  <si>
    <t>Haley Ramm</t>
  </si>
  <si>
    <t>Flightplan 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</si>
  <si>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</si>
  <si>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</si>
  <si>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</si>
  <si>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</si>
  <si>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</si>
  <si>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</si>
  <si>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</si>
  <si>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</si>
  <si>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</si>
  <si>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</si>
  <si>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Chiaki Kuriyama</t>
  </si>
  <si>
    <t>Kill Bill: Vol. 1 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</si>
  <si>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</si>
  <si>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</si>
  <si>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</si>
  <si>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</si>
  <si>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</si>
  <si>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</si>
  <si>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Christopher Judge</t>
  </si>
  <si>
    <t>Don S. Davis</t>
  </si>
  <si>
    <t>Gary Jones</t>
  </si>
  <si>
    <t>Stargate SG-1 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</si>
  <si>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</si>
  <si>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</si>
  <si>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</si>
  <si>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</si>
  <si>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</si>
  <si>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</si>
  <si>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</si>
  <si>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Brion James</t>
  </si>
  <si>
    <t>Tango &amp; Cash 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</si>
  <si>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</si>
  <si>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</si>
  <si>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</si>
  <si>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</si>
  <si>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</si>
  <si>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</si>
  <si>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Action|Adventure|Comedy|Western</t>
  </si>
  <si>
    <t>Jason Connery</t>
  </si>
  <si>
    <t>Kate Luyben</t>
  </si>
  <si>
    <t>Shanghai Noon </t>
  </si>
  <si>
    <t>19th century|chinese|princess|rescue|travel</t>
  </si>
  <si>
    <t>http://www.imdb.com/title/tt0184894/?ref_=fn_tt_tt_1</t>
  </si>
  <si>
    <t>J.T. Walsh</t>
  </si>
  <si>
    <t>Executive Decision </t>
  </si>
  <si>
    <t>bomb|hostage|military|plane|terrorist</t>
  </si>
  <si>
    <t>http://www.imdb.com/title/tt0116253/?ref_=fn_tt_tt_1</t>
  </si>
  <si>
    <t>Madeline Carroll</t>
  </si>
  <si>
    <t>Ophelia Lovibond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</si>
  <si>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</si>
  <si>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</si>
  <si>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</si>
  <si>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</si>
  <si>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</si>
  <si>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</si>
  <si>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</si>
  <si>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</si>
  <si>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</si>
  <si>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</si>
  <si>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</si>
  <si>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</si>
  <si>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Charles S. Dutton</t>
  </si>
  <si>
    <t>Holt McCallany</t>
  </si>
  <si>
    <t>Paul McGann</t>
  </si>
  <si>
    <t>Alien 3 </t>
  </si>
  <si>
    <t>alien|crash|planet|prison|survivor</t>
  </si>
  <si>
    <t>http://www.imdb.com/title/tt0103644/?ref_=fn_tt_tt_1</t>
  </si>
  <si>
    <t>Alan Parker</t>
  </si>
  <si>
    <t>Biography|Drama|History|Musical</t>
  </si>
  <si>
    <t>Andrea Corr</t>
  </si>
  <si>
    <t>Jimmy Nail</t>
  </si>
  <si>
    <t>Peter Polycarpou</t>
  </si>
  <si>
    <t>Evita </t>
  </si>
  <si>
    <t>actress|argentina|military|politics|singer</t>
  </si>
  <si>
    <t>http://www.imdb.com/title/tt0116250/?ref_=fn_tt_tt_1</t>
  </si>
  <si>
    <t>John Frankenheimer</t>
  </si>
  <si>
    <t>Michael Lonsdale</t>
  </si>
  <si>
    <t>Ronin </t>
  </si>
  <si>
    <t>case|ex kgb|ronin|russian|suitcase</t>
  </si>
  <si>
    <t>http://www.imdb.com/title/tt0122690/?ref_=fn_tt_tt_1</t>
  </si>
  <si>
    <t>Adventure|Drama|Horror|Thriller</t>
  </si>
  <si>
    <t>Om Puri</t>
  </si>
  <si>
    <t>The Ghost and the Darkness 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</si>
  <si>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</si>
  <si>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</si>
  <si>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</si>
  <si>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</si>
  <si>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</si>
  <si>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Paddington 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</si>
  <si>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</si>
  <si>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</si>
  <si>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</si>
  <si>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</si>
  <si>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</si>
  <si>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</si>
  <si>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</si>
  <si>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</si>
  <si>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</si>
  <si>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</si>
  <si>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The Hunted </t>
  </si>
  <si>
    <t>capture|combat|fbi|hunter|special forces</t>
  </si>
  <si>
    <t>http://www.imdb.com/title/tt0269347/?ref_=fn_tt_tt_1</t>
  </si>
  <si>
    <t>John Ashton</t>
  </si>
  <si>
    <t>Instinct </t>
  </si>
  <si>
    <t>africa|anthropologist|murder|poacher|psychiatrist</t>
  </si>
  <si>
    <t>http://www.imdb.com/title/tt0128278/?ref_=fn_tt_tt_1</t>
  </si>
  <si>
    <t>Terence Bernie Hines</t>
  </si>
  <si>
    <t>Seymour Cassel</t>
  </si>
  <si>
    <t>Stuck on You 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</si>
  <si>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</si>
  <si>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</si>
  <si>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</si>
  <si>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</si>
  <si>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</si>
  <si>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</si>
  <si>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</si>
  <si>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</si>
  <si>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</si>
  <si>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</si>
  <si>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</si>
  <si>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</si>
  <si>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</si>
  <si>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</si>
  <si>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</si>
  <si>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</si>
  <si>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</si>
  <si>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</si>
  <si>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</si>
  <si>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The Fan 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</si>
  <si>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</si>
  <si>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</si>
  <si>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</si>
  <si>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</si>
  <si>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The Phantom of the Opera 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</si>
  <si>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</si>
  <si>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</si>
  <si>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</si>
  <si>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</si>
  <si>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</si>
  <si>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</si>
  <si>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</si>
  <si>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Paterson Joseph</t>
  </si>
  <si>
    <t>Æon Flux </t>
  </si>
  <si>
    <t>based on cult favorite|disease|female hero|female protagonist|future</t>
  </si>
  <si>
    <t>http://www.imdb.com/title/tt0402022/?ref_=fn_tt_tt_1</t>
  </si>
  <si>
    <t>Ron Maxwell</t>
  </si>
  <si>
    <t>Billy Campbell</t>
  </si>
  <si>
    <t>Bruce Boxleitner</t>
  </si>
  <si>
    <t>John Castle</t>
  </si>
  <si>
    <t>Gods and Generals 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</si>
  <si>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</si>
  <si>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</si>
  <si>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</si>
  <si>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</si>
  <si>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</si>
  <si>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</si>
  <si>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</si>
  <si>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</si>
  <si>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</si>
  <si>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</si>
  <si>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</si>
  <si>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</si>
  <si>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Adventure|Comedy|Crime|Family|Musical</t>
  </si>
  <si>
    <t>Tina Fey</t>
  </si>
  <si>
    <t>Hugh Bonneville</t>
  </si>
  <si>
    <t>Muppets Most Wanted </t>
  </si>
  <si>
    <t>europe|frog|gulag|prison break|puppet</t>
  </si>
  <si>
    <t>http://www.imdb.com/title/tt2281587/?ref_=fn_tt_tt_1</t>
  </si>
  <si>
    <t>Brady Corbet</t>
  </si>
  <si>
    <t>Thunderbirds </t>
  </si>
  <si>
    <t>astronaut|island|lady penelope|rescue|the hood</t>
  </si>
  <si>
    <t>http://www.imdb.com/title/tt0167456/?ref_=fn_tt_tt_1</t>
  </si>
  <si>
    <t>Steve Antin</t>
  </si>
  <si>
    <t>Drama|Music|Musical|Romance</t>
  </si>
  <si>
    <t>Peter Gallagher</t>
  </si>
  <si>
    <t>David Walton</t>
  </si>
  <si>
    <t>Burlesque </t>
  </si>
  <si>
    <t>burlesque|dancer|iowa|small town girl|stage</t>
  </si>
  <si>
    <t>http://www.imdb.com/title/tt1126591/?ref_=fn_tt_tt_1</t>
  </si>
  <si>
    <t>Drama|Mystery|Romance|War</t>
  </si>
  <si>
    <t>Denis Lavant</t>
  </si>
  <si>
    <t>André Dussollier</t>
  </si>
  <si>
    <t>Albert Dupontel</t>
  </si>
  <si>
    <t>A Very Long Engagement </t>
  </si>
  <si>
    <t>court martial|death|girl|no man's land|soldier</t>
  </si>
  <si>
    <t>http://www.imdb.com/title/tt0344510/?ref_=fn_tt_tt_1</t>
  </si>
  <si>
    <t>Crime|Drama|Romance</t>
  </si>
  <si>
    <t>James Mason</t>
  </si>
  <si>
    <t>Shelley Winters</t>
  </si>
  <si>
    <t>Lois Maxwell</t>
  </si>
  <si>
    <t>Lolita </t>
  </si>
  <si>
    <t>lolita|nymphet|older man young girl relationship|professor|writer</t>
  </si>
  <si>
    <t>http://www.imdb.com/title/tt0056193/?ref_=fn_tt_tt_1</t>
  </si>
  <si>
    <t>Not Rated</t>
  </si>
  <si>
    <t>Jim Gillespie</t>
  </si>
  <si>
    <t>Crime|Horror|Mystery|Thriller</t>
  </si>
  <si>
    <t>Tom Berenger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</si>
  <si>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</si>
  <si>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</si>
  <si>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</si>
  <si>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</si>
  <si>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</si>
  <si>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</si>
  <si>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</si>
  <si>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Madison Pettis</t>
  </si>
  <si>
    <t>Seven Pounds 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</si>
  <si>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</si>
  <si>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</si>
  <si>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</si>
  <si>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</si>
  <si>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Bullet to the Head 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</si>
  <si>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</si>
  <si>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</si>
  <si>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</si>
  <si>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</si>
  <si>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</si>
  <si>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</si>
  <si>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</si>
  <si>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</si>
  <si>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</si>
  <si>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Todd Stashwick</t>
  </si>
  <si>
    <t>Billy Gardell</t>
  </si>
  <si>
    <t>Amanda Detmer</t>
  </si>
  <si>
    <t>You, Me and Dupree </t>
  </si>
  <si>
    <t>best friend|foot fetish|houseguest|newlywed|wedding</t>
  </si>
  <si>
    <t>http://www.imdb.com/title/tt0463034/?ref_=fn_tt_tt_1</t>
  </si>
  <si>
    <t>Richard Lester</t>
  </si>
  <si>
    <t>Jackie Cooper</t>
  </si>
  <si>
    <t>Superman II </t>
  </si>
  <si>
    <t>alien invasion|based on comic book|flying superhero|phantom zone|revenge</t>
  </si>
  <si>
    <t>http://www.imdb.com/title/tt0081573/?ref_=fn_tt_tt_1</t>
  </si>
  <si>
    <t>Todd Giebenhain</t>
  </si>
  <si>
    <t>Lenny Venito</t>
  </si>
  <si>
    <t>David Backus</t>
  </si>
  <si>
    <t>Gigli 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</si>
  <si>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</si>
  <si>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</si>
  <si>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</si>
  <si>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</si>
  <si>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</si>
  <si>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</si>
  <si>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</si>
  <si>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</si>
  <si>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</si>
  <si>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</si>
  <si>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Anastasia 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</si>
  <si>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</si>
  <si>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</si>
  <si>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</si>
  <si>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</si>
  <si>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</si>
  <si>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</si>
  <si>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Matt O'Leary</t>
  </si>
  <si>
    <t>Domestic Disturbance 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</si>
  <si>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</si>
  <si>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</si>
  <si>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</si>
  <si>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</si>
  <si>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</si>
  <si>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</si>
  <si>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</si>
  <si>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</si>
  <si>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</si>
  <si>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</si>
  <si>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</si>
  <si>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</si>
  <si>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</si>
  <si>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</si>
  <si>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</si>
  <si>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</si>
  <si>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</si>
  <si>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Drama|History|Horror</t>
  </si>
  <si>
    <t>Kimberly Elise</t>
  </si>
  <si>
    <t>Hill Harper</t>
  </si>
  <si>
    <t>Beloved 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</si>
  <si>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</si>
  <si>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</si>
  <si>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</si>
  <si>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</si>
  <si>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</si>
  <si>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Lucky You 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</si>
  <si>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</si>
  <si>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</si>
  <si>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</si>
  <si>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</si>
  <si>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</si>
  <si>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Parker Sawyers</t>
  </si>
  <si>
    <t>Zero Dark Thirty </t>
  </si>
  <si>
    <t>al qaeda|cia|interrogation|lie|navy seal</t>
  </si>
  <si>
    <t>http://www.imdb.com/title/tt1790885/?ref_=fn_tt_tt_1</t>
  </si>
  <si>
    <t>Ann-Margret</t>
  </si>
  <si>
    <t>The Break-Up 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</si>
  <si>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</si>
  <si>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</si>
  <si>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</si>
  <si>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</si>
  <si>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</si>
  <si>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</si>
  <si>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</si>
  <si>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</si>
  <si>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</si>
  <si>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</si>
  <si>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</si>
  <si>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Alice Greczyn</t>
  </si>
  <si>
    <t>Jessica Simpson</t>
  </si>
  <si>
    <t>The Dukes of Hazzard </t>
  </si>
  <si>
    <t>1969 dodge charger|bikini|farm|misogynist|tow truck</t>
  </si>
  <si>
    <t>http://www.imdb.com/title/tt0377818/?ref_=fn_tt_tt_1</t>
  </si>
  <si>
    <t>Terrence Malick</t>
  </si>
  <si>
    <t>Dash Mihok</t>
  </si>
  <si>
    <t>The Thin Red Line </t>
  </si>
  <si>
    <t>battle|hill|jungle|multiple perspectives|tropical island</t>
  </si>
  <si>
    <t>http://www.imdb.com/title/tt0120863/?ref_=fn_tt_tt_1</t>
  </si>
  <si>
    <t>David Dobkin</t>
  </si>
  <si>
    <t>Mircea Monroe</t>
  </si>
  <si>
    <t>The Change-Up </t>
  </si>
  <si>
    <t>best friend|fountain|law firm|lawyer|sex</t>
  </si>
  <si>
    <t>http://www.imdb.com/title/tt1488555/?ref_=fn_tt_tt_1</t>
  </si>
  <si>
    <t>Milos Forman</t>
  </si>
  <si>
    <t>Matt Price</t>
  </si>
  <si>
    <t>Gerry Becker</t>
  </si>
  <si>
    <t>Tom Dreesen</t>
  </si>
  <si>
    <t>Man on the Moon 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</si>
  <si>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</si>
  <si>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</si>
  <si>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</si>
  <si>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</si>
  <si>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</si>
  <si>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</si>
  <si>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Kasia Smutniak</t>
  </si>
  <si>
    <t>Amber Rose Revah</t>
  </si>
  <si>
    <t>Rebecca Dayan</t>
  </si>
  <si>
    <t>From Paris with Love </t>
  </si>
  <si>
    <t>ambassador|cia|dinner|spy|terrorist</t>
  </si>
  <si>
    <t>http://www.imdb.com/title/tt1179034/?ref_=fn_tt_tt_1</t>
  </si>
  <si>
    <t>Paul Hunter</t>
  </si>
  <si>
    <t>Victoria Smurfit</t>
  </si>
  <si>
    <t>Bulletproof Monk </t>
  </si>
  <si>
    <t>monastery|monk|scroll|tibetan|tibetan monk</t>
  </si>
  <si>
    <t>http://www.imdb.com/title/tt0245803/?ref_=fn_tt_tt_1</t>
  </si>
  <si>
    <t>Tony Cox</t>
  </si>
  <si>
    <t>Rob Moran</t>
  </si>
  <si>
    <t>Me, Myself &amp; Irene 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</si>
  <si>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</si>
  <si>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</si>
  <si>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</si>
  <si>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</si>
  <si>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</si>
  <si>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</si>
  <si>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</si>
  <si>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</si>
  <si>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</si>
  <si>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</si>
  <si>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Deck the Halls 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</si>
  <si>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</si>
  <si>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</si>
  <si>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</si>
  <si>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</si>
  <si>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</si>
  <si>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</si>
  <si>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</si>
  <si>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Shrek 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</si>
  <si>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</si>
  <si>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</si>
  <si>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</si>
  <si>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</si>
  <si>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</si>
  <si>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The Adjustment Bureau 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</si>
  <si>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</si>
  <si>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</si>
  <si>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</si>
  <si>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</si>
  <si>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</si>
  <si>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Bonnie Hunt</t>
  </si>
  <si>
    <t>Jerry Maguire 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</si>
  <si>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</si>
  <si>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</si>
  <si>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</si>
  <si>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</si>
  <si>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</si>
  <si>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</si>
  <si>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Shirley Knight</t>
  </si>
  <si>
    <t>As Good as It Gets 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</si>
  <si>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</si>
  <si>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</si>
  <si>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</si>
  <si>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</si>
  <si>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</si>
  <si>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</si>
  <si>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</si>
  <si>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</si>
  <si>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</si>
  <si>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</si>
  <si>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</si>
  <si>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</si>
  <si>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</si>
  <si>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</si>
  <si>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</si>
  <si>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Super 8 </t>
  </si>
  <si>
    <t>deputy|group of friends|time|train|train crash</t>
  </si>
  <si>
    <t>http://www.imdb.com/title/tt1650062/?ref_=fn_tt_tt_1</t>
  </si>
  <si>
    <t>Conchata Ferrell</t>
  </si>
  <si>
    <t>Erin Brockovich </t>
  </si>
  <si>
    <t>contamination|corporate crime|environmental issue|female protagonist|working single mother</t>
  </si>
  <si>
    <t>http://www.imdb.com/title/tt0195685/?ref_=fn_tt_tt_1</t>
  </si>
  <si>
    <t>Thomas Lennon</t>
  </si>
  <si>
    <t>How to Lose a Guy in 10 Days 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</si>
  <si>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</si>
  <si>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</si>
  <si>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</si>
  <si>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</si>
  <si>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</si>
  <si>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</si>
  <si>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</si>
  <si>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</si>
  <si>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</si>
  <si>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</si>
  <si>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</si>
  <si>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Danny Masterson</t>
  </si>
  <si>
    <t>Yes Man </t>
  </si>
  <si>
    <t>best friend|dvd|girlfriend|loan|self help</t>
  </si>
  <si>
    <t>http://www.imdb.com/title/tt1068680/?ref_=fn_tt_tt_1</t>
  </si>
  <si>
    <t>Rawson Marshall Thurber</t>
  </si>
  <si>
    <t>Megan Park</t>
  </si>
  <si>
    <t>Central Intelligence </t>
  </si>
  <si>
    <t>accountant|blooper|espionage|facebook|high school reunion</t>
  </si>
  <si>
    <t>http://www.imdb.com/title/tt1489889/?ref_=fn_tt_tt_1</t>
  </si>
  <si>
    <t>Herbert Russell</t>
  </si>
  <si>
    <t>Stepmom </t>
  </si>
  <si>
    <t>attorney|cancer|custody|fashion photographer|photographer</t>
  </si>
  <si>
    <t>http://www.imdb.com/title/tt0120686/?ref_=fn_tt_tt_1</t>
  </si>
  <si>
    <t>Mark L. Young</t>
  </si>
  <si>
    <t>Daddy's Home 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</si>
  <si>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</si>
  <si>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</si>
  <si>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</si>
  <si>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</si>
  <si>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</si>
  <si>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</si>
  <si>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</si>
  <si>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</si>
  <si>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</si>
  <si>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</si>
  <si>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</si>
  <si>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</si>
  <si>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Bill Duke</t>
  </si>
  <si>
    <t>Deborah Kara Unger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</si>
  <si>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</si>
  <si>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</si>
  <si>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</si>
  <si>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</si>
  <si>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</si>
  <si>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</si>
  <si>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</si>
  <si>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</si>
  <si>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</si>
  <si>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</si>
  <si>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</si>
  <si>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Chandler Canterbury</t>
  </si>
  <si>
    <t>Knowing 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</si>
  <si>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</si>
  <si>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</si>
  <si>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</si>
  <si>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</si>
  <si>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</si>
  <si>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</si>
  <si>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</si>
  <si>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</si>
  <si>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The Ring Two 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</si>
  <si>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</si>
  <si>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</si>
  <si>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</si>
  <si>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</si>
  <si>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</si>
  <si>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</si>
  <si>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</si>
  <si>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</si>
  <si>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Garfield 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</si>
  <si>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</si>
  <si>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</si>
  <si>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</si>
  <si>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</si>
  <si>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</si>
  <si>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</si>
  <si>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</si>
  <si>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</si>
  <si>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</si>
  <si>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</si>
  <si>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</si>
  <si>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</si>
  <si>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</si>
  <si>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</si>
  <si>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Scoot McNairy</t>
  </si>
  <si>
    <t>Non-Stop </t>
  </si>
  <si>
    <t>air marshal|death|passenger|terrorist|transatlantic flight</t>
  </si>
  <si>
    <t>http://www.imdb.com/title/tt2024469/?ref_=fn_tt_tt_1</t>
  </si>
  <si>
    <t>Andy Fickman</t>
  </si>
  <si>
    <t>Action|Adventure|Family|Fantasy|Sci-Fi|Thriller</t>
  </si>
  <si>
    <t>Billy Brown</t>
  </si>
  <si>
    <t>Race to Witch Mountain </t>
  </si>
  <si>
    <t>alien|military|mountain|spacecraft|ufo</t>
  </si>
  <si>
    <t>http://www.imdb.com/title/tt1075417/?ref_=fn_tt_tt_1</t>
  </si>
  <si>
    <t>James McTeigue</t>
  </si>
  <si>
    <t>Rupert Graves</t>
  </si>
  <si>
    <t>V for Vendetta </t>
  </si>
  <si>
    <t>dystopia|freedom|government|revolution|terrorist</t>
  </si>
  <si>
    <t>http://www.imdb.com/title/tt0434409/?ref_=fn_tt_tt_1</t>
  </si>
  <si>
    <t>Fann Wong</t>
  </si>
  <si>
    <t>Anna-Louise Plowman</t>
  </si>
  <si>
    <t>Georgina Chapman</t>
  </si>
  <si>
    <t>Shanghai Knights </t>
  </si>
  <si>
    <t>1880s|arrow|imperial seal|murder|revenge</t>
  </si>
  <si>
    <t>http://www.imdb.com/title/tt0300471/?ref_=fn_tt_tt_1</t>
  </si>
  <si>
    <t>Gemma Jones</t>
  </si>
  <si>
    <t>Nicola Walker</t>
  </si>
  <si>
    <t>Unforgotten 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</si>
  <si>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</si>
  <si>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</si>
  <si>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</si>
  <si>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</si>
  <si>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</si>
  <si>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</si>
  <si>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</si>
  <si>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</si>
  <si>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Herbie Fully Loaded 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</si>
  <si>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</si>
  <si>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</si>
  <si>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</si>
  <si>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</si>
  <si>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</si>
  <si>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Don't Say a Word 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</si>
  <si>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</si>
  <si>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</si>
  <si>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</si>
  <si>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</si>
  <si>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</si>
  <si>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</si>
  <si>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</si>
  <si>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</si>
  <si>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Olivier Martinez</t>
  </si>
  <si>
    <t>Erik Per Sullivan</t>
  </si>
  <si>
    <t>Chad Lowe</t>
  </si>
  <si>
    <t>Unfaithful </t>
  </si>
  <si>
    <t>erotic thriller|infidelity|marital infidelity|unfaithfulness|wife's lover murdered by husband</t>
  </si>
  <si>
    <t>http://www.imdb.com/title/tt0250797/?ref_=fn_tt_tt_1</t>
  </si>
  <si>
    <t>Alex Pettyfer</t>
  </si>
  <si>
    <t>Emily Wickersham</t>
  </si>
  <si>
    <t>Reuben Langdon</t>
  </si>
  <si>
    <t>I Am Number Four 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</si>
  <si>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</si>
  <si>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</si>
  <si>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</si>
  <si>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</si>
  <si>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</si>
  <si>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Syriana </t>
  </si>
  <si>
    <t>cia|hezbollah|lebanon|oil|prince</t>
  </si>
  <si>
    <t>http://www.imdb.com/title/tt0365737/?ref_=fn_tt_tt_1</t>
  </si>
  <si>
    <t>James Badge Dale</t>
  </si>
  <si>
    <t>David Costabile</t>
  </si>
  <si>
    <t>13 Hours </t>
  </si>
  <si>
    <t>based on true story|cia agent|libya|mercenary|u.s. ambassador</t>
  </si>
  <si>
    <t>http://www.imdb.com/title/tt4172430/?ref_=fn_tt_tt_1</t>
  </si>
  <si>
    <t>Jorge R. Gutiérrez</t>
  </si>
  <si>
    <t>Ana de la Reguera</t>
  </si>
  <si>
    <t>The Book of Life </t>
  </si>
  <si>
    <t>afterlife|bullfight|bullfighting|love triangle|mexico</t>
  </si>
  <si>
    <t>http://www.imdb.com/title/tt2262227/?ref_=fn_tt_tt_1</t>
  </si>
  <si>
    <t>Richard Loncraine</t>
  </si>
  <si>
    <t>Mary Lynn Rajskub</t>
  </si>
  <si>
    <t>Firewall 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</si>
  <si>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</si>
  <si>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</si>
  <si>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</si>
  <si>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</si>
  <si>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</si>
  <si>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</si>
  <si>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</si>
  <si>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</si>
  <si>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Charles Martinet</t>
  </si>
  <si>
    <t>The Game 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</si>
  <si>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</si>
  <si>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</si>
  <si>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</si>
  <si>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</si>
  <si>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</si>
  <si>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Silent Hill </t>
  </si>
  <si>
    <t>gothic|police|police officer|silent hill|sleepwalking</t>
  </si>
  <si>
    <t>http://www.imdb.com/title/tt0384537/?ref_=fn_tt_tt_1</t>
  </si>
  <si>
    <t>Howard Deutch</t>
  </si>
  <si>
    <t>Faizon Love</t>
  </si>
  <si>
    <t>The Replacements 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</si>
  <si>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</si>
  <si>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</si>
  <si>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</si>
  <si>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</si>
  <si>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</si>
  <si>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</si>
  <si>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</si>
  <si>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</si>
  <si>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</si>
  <si>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</si>
  <si>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</si>
  <si>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</si>
  <si>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</si>
  <si>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</si>
  <si>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Into the Storm 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</si>
  <si>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</si>
  <si>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</si>
  <si>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</si>
  <si>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</si>
  <si>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</si>
  <si>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Beverly Hills Cop III </t>
  </si>
  <si>
    <t>california|counterfeit|counterfeit money|money|theme park</t>
  </si>
  <si>
    <t>http://www.imdb.com/title/tt0109254/?ref_=fn_tt_tt_1</t>
  </si>
  <si>
    <t>Robert Picardo</t>
  </si>
  <si>
    <t>Phoebe Cates</t>
  </si>
  <si>
    <t>Gremlins 2: The New Batch 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</si>
  <si>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</si>
  <si>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</si>
  <si>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</si>
  <si>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</si>
  <si>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</si>
  <si>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Marcel Iures</t>
  </si>
  <si>
    <t>The Peacemaker </t>
  </si>
  <si>
    <t>nuclear explosion|nuclear weapon|russia|train|train crash</t>
  </si>
  <si>
    <t>http://www.imdb.com/title/tt0119874/?ref_=fn_tt_tt_1</t>
  </si>
  <si>
    <t>Alexander Witt</t>
  </si>
  <si>
    <t>Mike Epps</t>
  </si>
  <si>
    <t>Resident Evil: Apocalypse 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</si>
  <si>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</si>
  <si>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</si>
  <si>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</si>
  <si>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</si>
  <si>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Bridget Jones: The Edge of Reason 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</si>
  <si>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</si>
  <si>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</si>
  <si>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</si>
  <si>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</si>
  <si>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</si>
  <si>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Out of Time 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</si>
  <si>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</si>
  <si>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</si>
  <si>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</si>
  <si>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</si>
  <si>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</si>
  <si>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On Deadly Ground </t>
  </si>
  <si>
    <t>environmental|murder|oil|oil spill|tribe</t>
  </si>
  <si>
    <t>http://www.imdb.com/title/tt0110725/?ref_=fn_tt_tt_1</t>
  </si>
  <si>
    <t>Taylor Dooley</t>
  </si>
  <si>
    <t>The Adventures of Sharkboy and Lavagirl 3-D 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</si>
  <si>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</si>
  <si>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</si>
  <si>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</si>
  <si>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</si>
  <si>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</si>
  <si>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The Beach 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</si>
  <si>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</si>
  <si>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</si>
  <si>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</si>
  <si>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</si>
  <si>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</si>
  <si>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Shô Kosugi</t>
  </si>
  <si>
    <t>Ben Miles</t>
  </si>
  <si>
    <t>Rain</t>
  </si>
  <si>
    <t>Ninja Assassin </t>
  </si>
  <si>
    <t>critically bashed|kung fu|martial artist|martial arts|ninja</t>
  </si>
  <si>
    <t>http://www.imdb.com/title/tt1186367/?ref_=fn_tt_tt_1</t>
  </si>
  <si>
    <t>Carmine Giovinazzo</t>
  </si>
  <si>
    <t>For Love of the Game </t>
  </si>
  <si>
    <t>baseball|baseball movie|detroit tigers|perfect game|pitcher</t>
  </si>
  <si>
    <t>http://www.imdb.com/title/tt0126916/?ref_=fn_tt_tt_1</t>
  </si>
  <si>
    <t>David Jason</t>
  </si>
  <si>
    <t>Bruce Alexander</t>
  </si>
  <si>
    <t>John Lyons</t>
  </si>
  <si>
    <t>A Touch of Frost </t>
  </si>
  <si>
    <t>cult tv|death|detective inspector|four word title|internal affairs</t>
  </si>
  <si>
    <t>http://www.imdb.com/title/tt0108967/?ref_=fn_tt_tt_1</t>
  </si>
  <si>
    <t>Andrew Bergman</t>
  </si>
  <si>
    <t>Comedy|Crime|Drama|Thriller</t>
  </si>
  <si>
    <t>Rumer Willis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</si>
  <si>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</si>
  <si>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</si>
  <si>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</si>
  <si>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</si>
  <si>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</si>
  <si>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</si>
  <si>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Drama|Fantasy</t>
  </si>
  <si>
    <t>Jay Mohr</t>
  </si>
  <si>
    <t>Hereafter </t>
  </si>
  <si>
    <t>death|france|near death experience|tsunami|twin brother</t>
  </si>
  <si>
    <t>http://www.imdb.com/title/tt1212419/?ref_=fn_tt_tt_1</t>
  </si>
  <si>
    <t>Barbet Schroeder</t>
  </si>
  <si>
    <t>Agnes Bruckner</t>
  </si>
  <si>
    <t>Murder by Numbers 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</si>
  <si>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</si>
  <si>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</si>
  <si>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</si>
  <si>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</si>
  <si>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Assassins 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</si>
  <si>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</si>
  <si>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</si>
  <si>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</si>
  <si>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</si>
  <si>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</si>
  <si>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Hannibal Rising </t>
  </si>
  <si>
    <t>aunt|cannibalism|faked death|medical student|revenge</t>
  </si>
  <si>
    <t>http://www.imdb.com/title/tt0367959/?ref_=fn_tt_tt_1</t>
  </si>
  <si>
    <t>Tim Matheson</t>
  </si>
  <si>
    <t>Rita Wilson</t>
  </si>
  <si>
    <t>The Story of Us 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</si>
  <si>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</si>
  <si>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</si>
  <si>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</si>
  <si>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</si>
  <si>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</si>
  <si>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The Host </t>
  </si>
  <si>
    <t>alien|alien creature|body snatching|desert|parasite</t>
  </si>
  <si>
    <t>http://www.imdb.com/title/tt1517260/?ref_=fn_tt_tt_1</t>
  </si>
  <si>
    <t>Harry Connick Jr.</t>
  </si>
  <si>
    <t>Tim Daly</t>
  </si>
  <si>
    <t>Basic </t>
  </si>
  <si>
    <t>2000s|army|military crime|necklace yanked off|panama</t>
  </si>
  <si>
    <t>http://www.imdb.com/title/tt0264395/?ref_=fn_tt_tt_1</t>
  </si>
  <si>
    <t>Rick Hoffman</t>
  </si>
  <si>
    <t>Blood Work 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</si>
  <si>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</si>
  <si>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</si>
  <si>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</si>
  <si>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</si>
  <si>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</si>
  <si>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</si>
  <si>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</si>
  <si>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</si>
  <si>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 from L.A. </t>
  </si>
  <si>
    <t>escape|island|los angeles california|machismo|president's daughter</t>
  </si>
  <si>
    <t>http://www.imdb.com/title/tt0116225/?ref_=fn_tt_tt_1</t>
  </si>
  <si>
    <t>Grey Damon</t>
  </si>
  <si>
    <t>Brittany Curran</t>
  </si>
  <si>
    <t>Aaron Hill</t>
  </si>
  <si>
    <t>Twisted </t>
  </si>
  <si>
    <t>http://www.imdb.com/title/tt2355844/?ref_=fn_tt_tt_1</t>
  </si>
  <si>
    <t>M. Emmet Walsh</t>
  </si>
  <si>
    <t>The Iron Giant 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</si>
  <si>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</si>
  <si>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</si>
  <si>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</si>
  <si>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</si>
  <si>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</si>
  <si>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</si>
  <si>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</si>
  <si>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Action|Biography|Drama|History|War</t>
  </si>
  <si>
    <t>Donald Watkins</t>
  </si>
  <si>
    <t>Jessica Collins</t>
  </si>
  <si>
    <t>Free State of Jones 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</si>
  <si>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</si>
  <si>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</si>
  <si>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</si>
  <si>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</si>
  <si>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</si>
  <si>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</si>
  <si>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</si>
  <si>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</si>
  <si>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</si>
  <si>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</si>
  <si>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</si>
  <si>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</si>
  <si>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</si>
  <si>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Raza Jaffrey</t>
  </si>
  <si>
    <t>Eastern Promises 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</si>
  <si>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</si>
  <si>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</si>
  <si>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</si>
  <si>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</si>
  <si>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</si>
  <si>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</si>
  <si>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Paul Brooke</t>
  </si>
  <si>
    <t>David Bailie</t>
  </si>
  <si>
    <t>Rab Affleck</t>
  </si>
  <si>
    <t>The Messenger: The Story of Joan of Arc 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</si>
  <si>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</si>
  <si>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</si>
  <si>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</si>
  <si>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</si>
  <si>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</si>
  <si>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</si>
  <si>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</si>
  <si>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</si>
  <si>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</si>
  <si>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</si>
  <si>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</si>
  <si>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</si>
  <si>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</si>
  <si>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</si>
  <si>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Mad City </t>
  </si>
  <si>
    <t>hostage|museum|natural history museum|news reporter|reporter</t>
  </si>
  <si>
    <t>http://www.imdb.com/title/tt0119592/?ref_=fn_tt_tt_1</t>
  </si>
  <si>
    <t>Patrick Read Johnson</t>
  </si>
  <si>
    <t>Adventure|Comedy|Crime|Drama|Family</t>
  </si>
  <si>
    <t>Lara Flynn Boyle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</si>
  <si>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</si>
  <si>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</si>
  <si>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</si>
  <si>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</si>
  <si>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</si>
  <si>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</si>
  <si>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</si>
  <si>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</si>
  <si>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</si>
  <si>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</si>
  <si>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Grant Bowler</t>
  </si>
  <si>
    <t>Defiance </t>
  </si>
  <si>
    <t>alien|alien invasion|planet invasion|post apocalypse|year 2046</t>
  </si>
  <si>
    <t>http://www.imdb.com/title/tt2189221/?ref_=fn_tt_tt_1</t>
  </si>
  <si>
    <t>Action|Biography|Crime|Drama|Thriller</t>
  </si>
  <si>
    <t>Ian Ziering</t>
  </si>
  <si>
    <t>Mo'Nique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</si>
  <si>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</si>
  <si>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</si>
  <si>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</si>
  <si>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</si>
  <si>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</si>
  <si>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</si>
  <si>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</si>
  <si>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</si>
  <si>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</si>
  <si>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</si>
  <si>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Alden Ehrenreich</t>
  </si>
  <si>
    <t>Zoey Deutch</t>
  </si>
  <si>
    <t>Pruitt Taylor Vince</t>
  </si>
  <si>
    <t>Beautiful Creatures 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</si>
  <si>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</si>
  <si>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</si>
  <si>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</si>
  <si>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</si>
  <si>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</si>
  <si>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</si>
  <si>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</si>
  <si>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</si>
  <si>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</si>
  <si>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</si>
  <si>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</si>
  <si>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</si>
  <si>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The Big Bounce 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</si>
  <si>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</si>
  <si>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</si>
  <si>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</si>
  <si>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</si>
  <si>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</si>
  <si>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</si>
  <si>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</si>
  <si>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</si>
  <si>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</si>
  <si>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</si>
  <si>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</si>
  <si>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Josie Ho</t>
  </si>
  <si>
    <t>Street Fighter: The Legend of Chun-Li 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</si>
  <si>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</si>
  <si>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</si>
  <si>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</si>
  <si>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</si>
  <si>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</si>
  <si>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</si>
  <si>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</si>
  <si>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</si>
  <si>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</si>
  <si>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</si>
  <si>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Action|Adventure|Comedy|Crime|Music|Mystery</t>
  </si>
  <si>
    <t>Gilbert Gottfried</t>
  </si>
  <si>
    <t>David Patrick Kelly</t>
  </si>
  <si>
    <t>The Adventures of Ford Fairlane 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</si>
  <si>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</si>
  <si>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</si>
  <si>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</si>
  <si>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</si>
  <si>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</si>
  <si>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Pirate Radio 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</si>
  <si>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</si>
  <si>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</si>
  <si>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</si>
  <si>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</si>
  <si>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Traffic </t>
  </si>
  <si>
    <t>cocaine|drug smuggling|interlinked stories|judge|mexico</t>
  </si>
  <si>
    <t>http://www.imdb.com/title/tt0181865/?ref_=fn_tt_tt_1</t>
  </si>
  <si>
    <t>Alison Doody</t>
  </si>
  <si>
    <t>Indiana Jones and the Last Crusade </t>
  </si>
  <si>
    <t>castle|diary|holy grail|map|nazi</t>
  </si>
  <si>
    <t>http://www.imdb.com/title/tt0097576/?ref_=fn_tt_tt_1</t>
  </si>
  <si>
    <t>Guro Nagelhus Schia</t>
  </si>
  <si>
    <t>Matthew Macfadyen</t>
  </si>
  <si>
    <t>Anna Karenina 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</si>
  <si>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</si>
  <si>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</si>
  <si>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</si>
  <si>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</si>
  <si>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</si>
  <si>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</si>
  <si>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Leland Orser</t>
  </si>
  <si>
    <t>The Bone Collector </t>
  </si>
  <si>
    <t>new york city|police|quadriplegic|serial killer|suicide</t>
  </si>
  <si>
    <t>http://www.imdb.com/title/tt0145681/?ref_=fn_tt_tt_1</t>
  </si>
  <si>
    <t>Dwight Yoakam</t>
  </si>
  <si>
    <t>Mel Rodriguez</t>
  </si>
  <si>
    <t>Panic Room </t>
  </si>
  <si>
    <t>brownstone|burglar|money|panic|panic room</t>
  </si>
  <si>
    <t>http://www.imdb.com/title/tt0258000/?ref_=fn_tt_tt_1</t>
  </si>
  <si>
    <t>Chuck Bowman</t>
  </si>
  <si>
    <t>Horror|Thriller</t>
  </si>
  <si>
    <t>P.J. Soles</t>
  </si>
  <si>
    <t>Lochlyn Munro</t>
  </si>
  <si>
    <t>Steve Bacic</t>
  </si>
  <si>
    <t>The Tooth Fairy 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</si>
  <si>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</si>
  <si>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</si>
  <si>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</si>
  <si>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</si>
  <si>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Three Kings </t>
  </si>
  <si>
    <t>gold|gulf war|iraq|kuwait|map</t>
  </si>
  <si>
    <t>http://www.imdb.com/title/tt0120188/?ref_=fn_tt_tt_1</t>
  </si>
  <si>
    <t>Fares Fares</t>
  </si>
  <si>
    <t>Michael Nardone</t>
  </si>
  <si>
    <t>Child 44 </t>
  </si>
  <si>
    <t>child murderer|murder|sex|soviet union|woman slaps a man</t>
  </si>
  <si>
    <t>http://www.imdb.com/title/tt1014763/?ref_=fn_tt_tt_1</t>
  </si>
  <si>
    <t>Czech Republic</t>
  </si>
  <si>
    <t>Corinna Harney</t>
  </si>
  <si>
    <t>Douglas Haase</t>
  </si>
  <si>
    <t>Vince Vieluf</t>
  </si>
  <si>
    <t>Rat Race 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</si>
  <si>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</si>
  <si>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</si>
  <si>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</si>
  <si>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</si>
  <si>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</si>
  <si>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</si>
  <si>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Bradley Whitford</t>
  </si>
  <si>
    <t>Kate &amp; Leopold </t>
  </si>
  <si>
    <t>bridge|brooklyn bridge|falling down an elevator shaft|time travel|time travel romance</t>
  </si>
  <si>
    <t>http://www.imdb.com/title/tt0035423/?ref_=fn_tt_tt_1</t>
  </si>
  <si>
    <t>Brian Doyle-Murray</t>
  </si>
  <si>
    <t>Bedazzled </t>
  </si>
  <si>
    <t>contract|devil|dream|soul|wish</t>
  </si>
  <si>
    <t>http://www.imdb.com/title/tt0230030/?ref_=fn_tt_tt_1</t>
  </si>
  <si>
    <t>Crime|Drama|Music</t>
  </si>
  <si>
    <t>Fred Gwynne</t>
  </si>
  <si>
    <t>The Cotton Club 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</si>
  <si>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</si>
  <si>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</si>
  <si>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</si>
  <si>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</si>
  <si>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3:10 to Yuma </t>
  </si>
  <si>
    <t>outlaw|rancher|small western town|stagecoach|train</t>
  </si>
  <si>
    <t>http://www.imdb.com/title/tt0381849/?ref_=fn_tt_tt_1</t>
  </si>
  <si>
    <t>Olivier Megaton</t>
  </si>
  <si>
    <t>Jon Gries</t>
  </si>
  <si>
    <t>Taken 3 </t>
  </si>
  <si>
    <t>betrayal|death|final showdown|murder|on the run</t>
  </si>
  <si>
    <t>http://www.imdb.com/title/tt2446042/?ref_=fn_tt_tt_1</t>
  </si>
  <si>
    <t>Keith Hudson</t>
  </si>
  <si>
    <t>Out of Sight </t>
  </si>
  <si>
    <t>heist|neo noir|one last job|opposites attract|u.s. marshal</t>
  </si>
  <si>
    <t>http://www.imdb.com/title/tt0120780/?ref_=fn_tt_tt_1</t>
  </si>
  <si>
    <t>Comedy|Drama|Thriller</t>
  </si>
  <si>
    <t>Andy Dick</t>
  </si>
  <si>
    <t>The Cable Guy </t>
  </si>
  <si>
    <t>cable guy|foreplay|friend|kissing|television</t>
  </si>
  <si>
    <t>http://www.imdb.com/title/tt0115798/?ref_=fn_tt_tt_1</t>
  </si>
  <si>
    <t>Deepa Mehta</t>
  </si>
  <si>
    <t>Drama|Romance|War</t>
  </si>
  <si>
    <t>Nandita Das</t>
  </si>
  <si>
    <t>Gulshan Grover</t>
  </si>
  <si>
    <t>Eric Peterson</t>
  </si>
  <si>
    <t>Earth 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</si>
  <si>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</si>
  <si>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</si>
  <si>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</si>
  <si>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</si>
  <si>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</si>
  <si>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</si>
  <si>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</si>
  <si>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</si>
  <si>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</si>
  <si>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</si>
  <si>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Crime|Romance|Thriller</t>
  </si>
  <si>
    <t>Faye Dunaway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</si>
  <si>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</si>
  <si>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</si>
  <si>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</si>
  <si>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</si>
  <si>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</si>
  <si>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</si>
  <si>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Riding in Cars with Boys 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</si>
  <si>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</si>
  <si>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</si>
  <si>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</si>
  <si>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</si>
  <si>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</si>
  <si>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</si>
  <si>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</si>
  <si>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Donatas Banionis</t>
  </si>
  <si>
    <t>Anatoliy Solonitsyn</t>
  </si>
  <si>
    <t>Natalya Bondarchuk</t>
  </si>
  <si>
    <t>Solaris 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</si>
  <si>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</si>
  <si>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</si>
  <si>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</si>
  <si>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</si>
  <si>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</si>
  <si>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</si>
  <si>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</si>
  <si>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</si>
  <si>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</si>
  <si>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</si>
  <si>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</si>
  <si>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Mary Reilly 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</si>
  <si>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</si>
  <si>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</si>
  <si>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</si>
  <si>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</si>
  <si>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</si>
  <si>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</si>
  <si>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</si>
  <si>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</si>
  <si>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</si>
  <si>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Crystal Lowe</t>
  </si>
  <si>
    <t>Insomnia 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</si>
  <si>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</si>
  <si>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</si>
  <si>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</si>
  <si>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</si>
  <si>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</si>
  <si>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</si>
  <si>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Action|Drama|Fantasy|Thriller|Western</t>
  </si>
  <si>
    <t>Billy Blair</t>
  </si>
  <si>
    <t>Julia Jones</t>
  </si>
  <si>
    <t>Jonah Hex 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</si>
  <si>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</si>
  <si>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</si>
  <si>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</si>
  <si>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</si>
  <si>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</si>
  <si>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</si>
  <si>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</si>
  <si>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</si>
  <si>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Liar Liar </t>
  </si>
  <si>
    <t>birthday|birthday wish|father disappoints child|lie|workaholic</t>
  </si>
  <si>
    <t>http://www.imdb.com/title/tt0119528/?ref_=fn_tt_tt_1</t>
  </si>
  <si>
    <t>Brad Furman</t>
  </si>
  <si>
    <t>Biography|Crime|Drama|Thriller</t>
  </si>
  <si>
    <t>Amy Ryan</t>
  </si>
  <si>
    <t>Olympia Dukakis</t>
  </si>
  <si>
    <t>The Infiltrator </t>
  </si>
  <si>
    <t>http://www.imdb.com/title/tt1355631/?ref_=fn_tt_tt_1</t>
  </si>
  <si>
    <t>Terence Young</t>
  </si>
  <si>
    <t>Jacqueline Bisset</t>
  </si>
  <si>
    <t>Inchon 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</si>
  <si>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</si>
  <si>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</si>
  <si>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</si>
  <si>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</si>
  <si>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</si>
  <si>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</si>
  <si>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</si>
  <si>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</si>
  <si>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</si>
  <si>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</si>
  <si>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</si>
  <si>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Regina Hall</t>
  </si>
  <si>
    <t>Pamela Anderson</t>
  </si>
  <si>
    <t>Jenny McCarthy</t>
  </si>
  <si>
    <t>Scary Movie 3 </t>
  </si>
  <si>
    <t>crop circle|farm|orchestral music score|reference to michael jackson|videotape</t>
  </si>
  <si>
    <t>http://www.imdb.com/title/tt0306047/?ref_=fn_tt_tt_1</t>
  </si>
  <si>
    <t>Action|Comedy|Crime|Romance</t>
  </si>
  <si>
    <t>Candice Bergen</t>
  </si>
  <si>
    <t>Wendy Raquel Robinson</t>
  </si>
  <si>
    <t>Heather Burns</t>
  </si>
  <si>
    <t>Miss Congeniality 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</si>
  <si>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</si>
  <si>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</si>
  <si>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</si>
  <si>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</si>
  <si>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Journey to the Center of the Earth 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</si>
  <si>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</si>
  <si>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</si>
  <si>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</si>
  <si>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</si>
  <si>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</si>
  <si>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</si>
  <si>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</si>
  <si>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</si>
  <si>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Brad Renfro</t>
  </si>
  <si>
    <t>The Client 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</si>
  <si>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</si>
  <si>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</si>
  <si>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</si>
  <si>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</si>
  <si>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</si>
  <si>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</si>
  <si>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Patrick Bergin</t>
  </si>
  <si>
    <t>Patriot Games 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</si>
  <si>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</si>
  <si>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</si>
  <si>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</si>
  <si>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</si>
  <si>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</si>
  <si>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</si>
  <si>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</si>
  <si>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</si>
  <si>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</si>
  <si>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</si>
  <si>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</si>
  <si>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</si>
  <si>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</si>
  <si>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</si>
  <si>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Robin Sachs</t>
  </si>
  <si>
    <t>Galaxy Quest 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</si>
  <si>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</si>
  <si>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</si>
  <si>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</si>
  <si>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</si>
  <si>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</si>
  <si>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Adventure|Comedy|Family|Musical</t>
  </si>
  <si>
    <t>Eric Jacobson</t>
  </si>
  <si>
    <t>Steve Whitmire</t>
  </si>
  <si>
    <t>The Muppets </t>
  </si>
  <si>
    <t>bel air california|book|friends who live together|the muppets|tribute band</t>
  </si>
  <si>
    <t>http://www.imdb.com/title/tt1204342/?ref_=fn_tt_tt_1</t>
  </si>
  <si>
    <t>Action|Horror</t>
  </si>
  <si>
    <t>Traci Lords</t>
  </si>
  <si>
    <t>Blade </t>
  </si>
  <si>
    <t>1990s|blade|blood|vampire|vampire hunter</t>
  </si>
  <si>
    <t>http://www.imdb.com/title/tt0120611/?ref_=fn_tt_tt_1</t>
  </si>
  <si>
    <t>Thomas Carter</t>
  </si>
  <si>
    <t>Robert Ri'chard</t>
  </si>
  <si>
    <t>Coach Carter 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</si>
  <si>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</si>
  <si>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</si>
  <si>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</si>
  <si>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</si>
  <si>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</si>
  <si>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Changing Lanes </t>
  </si>
  <si>
    <t>car accident|feud|lawyer|revenge|road rage</t>
  </si>
  <si>
    <t>http://www.imdb.com/title/tt0264472/?ref_=fn_tt_tt_1</t>
  </si>
  <si>
    <t>Luis Llosa</t>
  </si>
  <si>
    <t>Action|Adventure|Horror|Thriller</t>
  </si>
  <si>
    <t>Eric Stoltz</t>
  </si>
  <si>
    <t>Kari Wuhrer</t>
  </si>
  <si>
    <t>Anaconda </t>
  </si>
  <si>
    <t>amazon|anaconda|boat|jungle|snake</t>
  </si>
  <si>
    <t>http://www.imdb.com/title/tt0118615/?ref_=fn_tt_tt_1</t>
  </si>
  <si>
    <t>Comedy|Drama|Music|Romance</t>
  </si>
  <si>
    <t>Tyra Banks</t>
  </si>
  <si>
    <t>Izabella Miko</t>
  </si>
  <si>
    <t>Coyote Ugly </t>
  </si>
  <si>
    <t>girl in panties|lift skirt|sexual attraction|short shorts|songwriter</t>
  </si>
  <si>
    <t>http://www.imdb.com/title/tt0200550/?ref_=fn_tt_tt_1</t>
  </si>
  <si>
    <t>Kris Marshall</t>
  </si>
  <si>
    <t>Love Actually 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</si>
  <si>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</si>
  <si>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</si>
  <si>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</si>
  <si>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</si>
  <si>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</si>
  <si>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</si>
  <si>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Ian Richardson</t>
  </si>
  <si>
    <t>From Hell </t>
  </si>
  <si>
    <t>freemason|jack the ripper|opium|prostitute|victorian era</t>
  </si>
  <si>
    <t>http://www.imdb.com/title/tt0120681/?ref_=fn_tt_tt_1</t>
  </si>
  <si>
    <t>Action|Crime|Drama|Romance|Thriller</t>
  </si>
  <si>
    <t>Rod Steiger</t>
  </si>
  <si>
    <t>Emilio Estefan Jr.</t>
  </si>
  <si>
    <t>The Specialist 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</si>
  <si>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</si>
  <si>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</si>
  <si>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</si>
  <si>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</si>
  <si>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</si>
  <si>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</si>
  <si>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</si>
  <si>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Lucille Ball</t>
  </si>
  <si>
    <t>Tom Bosley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</si>
  <si>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</si>
  <si>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</si>
  <si>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</si>
  <si>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</si>
  <si>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</si>
  <si>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</si>
  <si>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</si>
  <si>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</si>
  <si>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</si>
  <si>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</si>
  <si>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</si>
  <si>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</si>
  <si>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</si>
  <si>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</si>
  <si>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</si>
  <si>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</si>
  <si>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</si>
  <si>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James Tumminia</t>
  </si>
  <si>
    <t>Resident Evil: Extinction </t>
  </si>
  <si>
    <t>clone|convoy|crow|desert|satellite</t>
  </si>
  <si>
    <t>http://www.imdb.com/title/tt0432021/?ref_=fn_tt_tt_1</t>
  </si>
  <si>
    <t>Joel McHale</t>
  </si>
  <si>
    <t>Blended 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</si>
  <si>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</si>
  <si>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</si>
  <si>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</si>
  <si>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</si>
  <si>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</si>
  <si>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William Lucking</t>
  </si>
  <si>
    <t>The River Wild </t>
  </si>
  <si>
    <t>criminal|rafting|river|robber|white water rafting</t>
  </si>
  <si>
    <t>http://www.imdb.com/title/tt0110997/?ref_=fn_tt_tt_1</t>
  </si>
  <si>
    <t>Drama|Family|Fantasy</t>
  </si>
  <si>
    <t>Vincent Kartheiser</t>
  </si>
  <si>
    <t>The Indian in the Cupboard </t>
  </si>
  <si>
    <t>best friend|birthday|boy|friend|magic</t>
  </si>
  <si>
    <t>http://www.imdb.com/title/tt0113419/?ref_=fn_tt_tt_1</t>
  </si>
  <si>
    <t>Demián Bichir</t>
  </si>
  <si>
    <t>Shea Whigham</t>
  </si>
  <si>
    <t>Gary Stretch</t>
  </si>
  <si>
    <t>Savages 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</si>
  <si>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</si>
  <si>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</si>
  <si>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</si>
  <si>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</si>
  <si>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</si>
  <si>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Cellular 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</si>
  <si>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</si>
  <si>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</si>
  <si>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</si>
  <si>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</si>
  <si>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</si>
  <si>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Johnny English 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</si>
  <si>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</si>
  <si>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</si>
  <si>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</si>
  <si>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</si>
  <si>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</si>
  <si>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</si>
  <si>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</si>
  <si>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José Ferrer</t>
  </si>
  <si>
    <t>Dune </t>
  </si>
  <si>
    <t>desert planet|dune|giant worm|space travel|spice</t>
  </si>
  <si>
    <t>http://www.imdb.com/title/tt0087182/?ref_=fn_tt_tt_1</t>
  </si>
  <si>
    <t>Julie Taymor</t>
  </si>
  <si>
    <t>Drama|Fantasy|Musical|Romance</t>
  </si>
  <si>
    <t>T.V. Carpio</t>
  </si>
  <si>
    <t>Robert Clohessy</t>
  </si>
  <si>
    <t>Across the Universe </t>
  </si>
  <si>
    <t>anti war|liverpool|love|protest|song</t>
  </si>
  <si>
    <t>http://www.imdb.com/title/tt0445922/?ref_=fn_tt_tt_1</t>
  </si>
  <si>
    <t>Joe Komara</t>
  </si>
  <si>
    <t>Revolutionary Road 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</si>
  <si>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</si>
  <si>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</si>
  <si>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</si>
  <si>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</si>
  <si>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</si>
  <si>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</si>
  <si>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David Belle</t>
  </si>
  <si>
    <t>Babylon A.D. 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</si>
  <si>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</si>
  <si>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</si>
  <si>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</si>
  <si>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</si>
  <si>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</si>
  <si>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</si>
  <si>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</si>
  <si>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</si>
  <si>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Obba Babatundé</t>
  </si>
  <si>
    <t>Multiplicity </t>
  </si>
  <si>
    <t>clone|cloning|construction|same actor playing two characters simultaneously on screen|year 1996</t>
  </si>
  <si>
    <t>http://www.imdb.com/title/tt0117108/?ref_=fn_tt_tt_1</t>
  </si>
  <si>
    <t>John Schultz</t>
  </si>
  <si>
    <t>Adventure|Comedy|Family|Fantasy|Sci-Fi</t>
  </si>
  <si>
    <t>Malese Jow</t>
  </si>
  <si>
    <t>Carter Jenkins</t>
  </si>
  <si>
    <t>Aliens in the Attic </t>
  </si>
  <si>
    <t>alien|attic|boyfriend|mind control|nintendo ds</t>
  </si>
  <si>
    <t>http://www.imdb.com/title/tt0775552/?ref_=fn_tt_tt_1</t>
  </si>
  <si>
    <t>Sean Penn</t>
  </si>
  <si>
    <t>Costas Mandylor</t>
  </si>
  <si>
    <t>Adrien Dorval</t>
  </si>
  <si>
    <t>Nels Lennarson</t>
  </si>
  <si>
    <t>The Pledge 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</si>
  <si>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</si>
  <si>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</si>
  <si>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</si>
  <si>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</si>
  <si>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</si>
  <si>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</si>
  <si>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</si>
  <si>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</si>
  <si>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Kristy Swanson</t>
  </si>
  <si>
    <t>The Phantom 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</si>
  <si>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</si>
  <si>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</si>
  <si>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</si>
  <si>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</si>
  <si>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</si>
  <si>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</si>
  <si>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</si>
  <si>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</si>
  <si>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</si>
  <si>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</si>
  <si>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</si>
  <si>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</si>
  <si>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</si>
  <si>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</si>
  <si>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</si>
  <si>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</si>
  <si>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</si>
  <si>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Action|Crime|Drama|Thriller|War</t>
  </si>
  <si>
    <t>Omari Hardwick</t>
  </si>
  <si>
    <t>Laz Alonso</t>
  </si>
  <si>
    <t>Miracle at St. Anna </t>
  </si>
  <si>
    <t>boy|german soldier|partisan|trapped|village</t>
  </si>
  <si>
    <t>http://www.imdb.com/title/tt1046997/?ref_=fn_tt_tt_1</t>
  </si>
  <si>
    <t>Ye Liu</t>
  </si>
  <si>
    <t>Man Li</t>
  </si>
  <si>
    <t>Curse of the Golden Flower 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</si>
  <si>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</si>
  <si>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</si>
  <si>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</si>
  <si>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</si>
  <si>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</si>
  <si>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Bangkok Dangerous </t>
  </si>
  <si>
    <t>deaf|hitman|nightclub|pickpocket|rules of profession</t>
  </si>
  <si>
    <t>http://www.imdb.com/title/tt0814022/?ref_=fn_tt_tt_1</t>
  </si>
  <si>
    <t>Comedy|Crime|Thriller</t>
  </si>
  <si>
    <t>Omar Epps</t>
  </si>
  <si>
    <t>Big Trouble </t>
  </si>
  <si>
    <t>airport|fbi agent|person in a car trunk|suitcase|suitcase bomb</t>
  </si>
  <si>
    <t>http://www.imdb.com/title/tt0246464/?ref_=fn_tt_tt_1</t>
  </si>
  <si>
    <t>Marcela Mar</t>
  </si>
  <si>
    <t>Giovanna Mezzogiorno</t>
  </si>
  <si>
    <t>Unax Ugalde</t>
  </si>
  <si>
    <t>Love in the Time of Cholera </t>
  </si>
  <si>
    <t>19th century|colombia|love|marriage|widow</t>
  </si>
  <si>
    <t>http://www.imdb.com/title/tt0484740/?ref_=fn_tt_tt_1</t>
  </si>
  <si>
    <t>Drama|Fantasy|Horror|Mystery</t>
  </si>
  <si>
    <t>Pierre Perrier</t>
  </si>
  <si>
    <t>Clotilde Hesme</t>
  </si>
  <si>
    <t>Céline Sallette</t>
  </si>
  <si>
    <t>The Returned 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</si>
  <si>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</si>
  <si>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</si>
  <si>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</si>
  <si>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</si>
  <si>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</si>
  <si>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</si>
  <si>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</si>
  <si>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</si>
  <si>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Daniel Kaluuya</t>
  </si>
  <si>
    <t>Tim McInnerny</t>
  </si>
  <si>
    <t>Togo Igawa</t>
  </si>
  <si>
    <t>Johnny English Reborn 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</si>
  <si>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</si>
  <si>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</si>
  <si>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</si>
  <si>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</si>
  <si>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</si>
  <si>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</si>
  <si>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</si>
  <si>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</si>
  <si>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</si>
  <si>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</si>
  <si>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</si>
  <si>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</si>
  <si>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</si>
  <si>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Action|Adventure|Crime|Drama|Mystery|Thriller</t>
  </si>
  <si>
    <t>Daniel Roebuck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</si>
  <si>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</si>
  <si>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</si>
  <si>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</si>
  <si>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</si>
  <si>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</si>
  <si>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</si>
  <si>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</si>
  <si>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</si>
  <si>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</si>
  <si>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</si>
  <si>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Martin Kove</t>
  </si>
  <si>
    <t>Rambo: First Blood Part II 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</si>
  <si>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</si>
  <si>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</si>
  <si>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</si>
  <si>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</si>
  <si>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</si>
  <si>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</si>
  <si>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</si>
  <si>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Animation|Family|Fantasy|Musical</t>
  </si>
  <si>
    <t>Mel Blanc</t>
  </si>
  <si>
    <t>Dickie Jones</t>
  </si>
  <si>
    <t>Cliff Edwards</t>
  </si>
  <si>
    <t>Pinocchio 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</si>
  <si>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</si>
  <si>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</si>
  <si>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</si>
  <si>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</si>
  <si>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</si>
  <si>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</si>
  <si>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Heaven's Gate 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</si>
  <si>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</si>
  <si>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</si>
  <si>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</si>
  <si>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</si>
  <si>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</si>
  <si>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</si>
  <si>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Daniel Mays</t>
  </si>
  <si>
    <t>Victor Frankenstein 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</si>
  <si>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</si>
  <si>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</si>
  <si>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</si>
  <si>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</si>
  <si>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</si>
  <si>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Finding Forrester 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</si>
  <si>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</si>
  <si>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</si>
  <si>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</si>
  <si>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</si>
  <si>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</si>
  <si>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</si>
  <si>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</si>
  <si>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</si>
  <si>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</si>
  <si>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Judith Chapman</t>
  </si>
  <si>
    <t>Lillian Adams</t>
  </si>
  <si>
    <t>Chelsea Bond</t>
  </si>
  <si>
    <t>The Sweetest Thing </t>
  </si>
  <si>
    <t>female removes her clothes|roommate|voyeur|voyeurism|wedding</t>
  </si>
  <si>
    <t>http://www.imdb.com/title/tt0253867/?ref_=fn_tt_tt_1</t>
  </si>
  <si>
    <t>Wilford Brimley</t>
  </si>
  <si>
    <t>The Firm </t>
  </si>
  <si>
    <t>bar|fbi|law|law firm|lawyer</t>
  </si>
  <si>
    <t>http://www.imdb.com/title/tt0106918/?ref_=fn_tt_tt_1</t>
  </si>
  <si>
    <t>Burr Steers</t>
  </si>
  <si>
    <t>Augustus Prew</t>
  </si>
  <si>
    <t>Charlie Tahan</t>
  </si>
  <si>
    <t>Valerie Tian</t>
  </si>
  <si>
    <t>Charlie St. Cloud 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</si>
  <si>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</si>
  <si>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</si>
  <si>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</si>
  <si>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</si>
  <si>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</si>
  <si>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</si>
  <si>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</si>
  <si>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</si>
  <si>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</si>
  <si>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</si>
  <si>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Dylan Moran</t>
  </si>
  <si>
    <t>Notting Hill </t>
  </si>
  <si>
    <t>actress|bookstore|friend|kiss|love</t>
  </si>
  <si>
    <t>http://www.imdb.com/title/tt0125439/?ref_=fn_tt_tt_1</t>
  </si>
  <si>
    <t>Julia Sawalha</t>
  </si>
  <si>
    <t>Chicken Run 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</si>
  <si>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</si>
  <si>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</si>
  <si>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</si>
  <si>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</si>
  <si>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</si>
  <si>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</si>
  <si>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</si>
  <si>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</si>
  <si>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Geoffrey Holder</t>
  </si>
  <si>
    <t>Boomerang 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</si>
  <si>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</si>
  <si>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</si>
  <si>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</si>
  <si>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</si>
  <si>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</si>
  <si>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</si>
  <si>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</si>
  <si>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Biography|Drama|History|Romance</t>
  </si>
  <si>
    <t>Richard Burton</t>
  </si>
  <si>
    <t>Roddy McDowall</t>
  </si>
  <si>
    <t>Cleopatra </t>
  </si>
  <si>
    <t>cleopatra|egypt|epic|queen|roman empire</t>
  </si>
  <si>
    <t>http://www.imdb.com/title/tt0056937/?ref_=fn_tt_tt_1</t>
  </si>
  <si>
    <t>Reggie Lee</t>
  </si>
  <si>
    <t>Charice</t>
  </si>
  <si>
    <t>Here Comes the Boom 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</si>
  <si>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</si>
  <si>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</si>
  <si>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</si>
  <si>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</si>
  <si>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</si>
  <si>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</si>
  <si>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Mimi Rogers</t>
  </si>
  <si>
    <t>The Mirror Has Two Faces 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</si>
  <si>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</si>
  <si>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</si>
  <si>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</si>
  <si>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</si>
  <si>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</si>
  <si>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The Mothman Prophecies </t>
  </si>
  <si>
    <t>car accident|death of wife|mothman|point pleasant west virginia|urban legend</t>
  </si>
  <si>
    <t>http://www.imdb.com/title/tt0265349/?ref_=fn_tt_tt_1</t>
  </si>
  <si>
    <t>Bono</t>
  </si>
  <si>
    <t>Slash</t>
  </si>
  <si>
    <t>Brüno 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</si>
  <si>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</si>
  <si>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</si>
  <si>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</si>
  <si>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</si>
  <si>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</si>
  <si>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Licence to Kill 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</si>
  <si>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</si>
  <si>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</si>
  <si>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</si>
  <si>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</si>
  <si>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</si>
  <si>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</si>
  <si>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</si>
  <si>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</si>
  <si>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</si>
  <si>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</si>
  <si>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</si>
  <si>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</si>
  <si>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</si>
  <si>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</si>
  <si>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</si>
  <si>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</si>
  <si>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Jared Burke</t>
  </si>
  <si>
    <t>Lord of War </t>
  </si>
  <si>
    <t>1980s|arms dealer|immorality|ukrainian|warlord</t>
  </si>
  <si>
    <t>http://www.imdb.com/title/tt0399295/?ref_=fn_tt_tt_1</t>
  </si>
  <si>
    <t>Tony Chiu Wai Leung</t>
  </si>
  <si>
    <t>Maggie Cheung</t>
  </si>
  <si>
    <t>Hero 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</si>
  <si>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</si>
  <si>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</si>
  <si>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</si>
  <si>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</si>
  <si>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</si>
  <si>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</si>
  <si>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</si>
  <si>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</si>
  <si>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</si>
  <si>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</si>
  <si>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The Interview </t>
  </si>
  <si>
    <t>assassination attempt|communist dictatorship|dictator|exploding helicopter|finger bitten off</t>
  </si>
  <si>
    <t>http://www.imdb.com/title/tt2788710/?ref_=fn_tt_tt_1</t>
  </si>
  <si>
    <t>Sngmoo Lee</t>
  </si>
  <si>
    <t>Action|Fantasy|Western</t>
  </si>
  <si>
    <t>Dong-gun Jang</t>
  </si>
  <si>
    <t>Jed Brophy</t>
  </si>
  <si>
    <t>The Warrior's Way </t>
  </si>
  <si>
    <t>bullet time|explosion|knife throwing|throwing a knife|violence</t>
  </si>
  <si>
    <t>http://www.imdb.com/title/tt1032751/?ref_=fn_tt_tt_1</t>
  </si>
  <si>
    <t>Comedy|War</t>
  </si>
  <si>
    <t>Gavin MacLeod</t>
  </si>
  <si>
    <t>Bob Hastings</t>
  </si>
  <si>
    <t>McHale's Navy 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</si>
  <si>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</si>
  <si>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</si>
  <si>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</si>
  <si>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</si>
  <si>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</si>
  <si>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</si>
  <si>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</si>
  <si>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Evan Jones</t>
  </si>
  <si>
    <t>8 Mile </t>
  </si>
  <si>
    <t>competition|contest|friend|self expression|white rapper</t>
  </si>
  <si>
    <t>http://www.imdb.com/title/tt0298203/?ref_=fn_tt_tt_1</t>
  </si>
  <si>
    <t>Jamel Debbouze</t>
  </si>
  <si>
    <t>Youssef Hajdi</t>
  </si>
  <si>
    <t>Mélissa Theuriau</t>
  </si>
  <si>
    <t>Animal Kingdom: Let's go Ape </t>
  </si>
  <si>
    <t>ape|computer animation|evolution|first person title|reference to louis de funes</t>
  </si>
  <si>
    <t>http://www.imdb.com/title/tt1220911/?ref_=fn_tt_tt_1</t>
  </si>
  <si>
    <t>Bérénice Bejo</t>
  </si>
  <si>
    <t>A Knight's Tale </t>
  </si>
  <si>
    <t>chaucer|jousting|knight|medieval times|tournament</t>
  </si>
  <si>
    <t>http://www.imdb.com/title/tt0183790/?ref_=fn_tt_tt_1</t>
  </si>
  <si>
    <t>Gordon Chan</t>
  </si>
  <si>
    <t>Julian Sands</t>
  </si>
  <si>
    <t>Lee Evans</t>
  </si>
  <si>
    <t>Anthony Chau-Sang Wong</t>
  </si>
  <si>
    <t>The Medallion 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</si>
  <si>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</si>
  <si>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</si>
  <si>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</si>
  <si>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</si>
  <si>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</si>
  <si>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</si>
  <si>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</si>
  <si>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</si>
  <si>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Man on a Ledge </t>
  </si>
  <si>
    <t>detective|diamond|hotel|police|rooftop</t>
  </si>
  <si>
    <t>http://www.imdb.com/title/tt1568338/?ref_=fn_tt_tt_1</t>
  </si>
  <si>
    <t>JoBeth Williams</t>
  </si>
  <si>
    <t>The Big Year </t>
  </si>
  <si>
    <t>alaska|birding|competition|migration|storm</t>
  </si>
  <si>
    <t>http://www.imdb.com/title/tt1053810/?ref_=fn_tt_tt_1</t>
  </si>
  <si>
    <t>John G. Avildsen</t>
  </si>
  <si>
    <t>Action|Drama|Family|Sport</t>
  </si>
  <si>
    <t>William Zabka</t>
  </si>
  <si>
    <t>William Bassett</t>
  </si>
  <si>
    <t>The Karate Kid 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</si>
  <si>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</si>
  <si>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</si>
  <si>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</si>
  <si>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</si>
  <si>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</si>
  <si>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</si>
  <si>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</si>
  <si>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</si>
  <si>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</si>
  <si>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</si>
  <si>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</si>
  <si>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</si>
  <si>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Double Jeopardy </t>
  </si>
  <si>
    <t>blood|murder|sex scene|wrongful arrest|wrongful conviction</t>
  </si>
  <si>
    <t>http://www.imdb.com/title/tt0150377/?ref_=fn_tt_tt_1</t>
  </si>
  <si>
    <t>Jeffrey Weissman</t>
  </si>
  <si>
    <t>Thomas F. Wilson</t>
  </si>
  <si>
    <t>Back to the Future Part II 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</si>
  <si>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</si>
  <si>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</si>
  <si>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</si>
  <si>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</si>
  <si>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</si>
  <si>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</si>
  <si>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</si>
  <si>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</si>
  <si>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</si>
  <si>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</si>
  <si>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</si>
  <si>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</si>
  <si>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</si>
  <si>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</si>
  <si>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</si>
  <si>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</si>
  <si>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</si>
  <si>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</si>
  <si>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Action|Biography|Drama|Thriller|War</t>
  </si>
  <si>
    <t>Jerry Ferrara</t>
  </si>
  <si>
    <t>Scott Elrod</t>
  </si>
  <si>
    <t>Dan Bilzerian</t>
  </si>
  <si>
    <t>Lone Survivor </t>
  </si>
  <si>
    <t>courage|navy seal|outnumbered|shot multiple times|survival</t>
  </si>
  <si>
    <t>http://www.imdb.com/title/tt1091191/?ref_=fn_tt_tt_1</t>
  </si>
  <si>
    <t>Comedy|Drama|Sport</t>
  </si>
  <si>
    <t>Lori Petty</t>
  </si>
  <si>
    <t>Rosie O'Donnell</t>
  </si>
  <si>
    <t>A League of Their Own 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</si>
  <si>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</si>
  <si>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</si>
  <si>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</si>
  <si>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</si>
  <si>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</si>
  <si>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</si>
  <si>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</si>
  <si>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</si>
  <si>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The Social Network </t>
  </si>
  <si>
    <t>competitiveness|creator|entrepreneur|facebook|intellectual property</t>
  </si>
  <si>
    <t>http://www.imdb.com/title/tt1285016/?ref_=fn_tt_tt_1</t>
  </si>
  <si>
    <t>Ken Kwapis</t>
  </si>
  <si>
    <t>Carmen Perez</t>
  </si>
  <si>
    <t>Sabrina Revelle</t>
  </si>
  <si>
    <t>Sachiko Ishida</t>
  </si>
  <si>
    <t>He's Just Not That Into You 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</si>
  <si>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</si>
  <si>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</si>
  <si>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</si>
  <si>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</si>
  <si>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</si>
  <si>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</si>
  <si>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</si>
  <si>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Kelly Rutherford</t>
  </si>
  <si>
    <t>Roger Jackson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</si>
  <si>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</si>
  <si>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</si>
  <si>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</si>
  <si>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</si>
  <si>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</si>
  <si>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</si>
  <si>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</si>
  <si>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</si>
  <si>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</si>
  <si>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</si>
  <si>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</si>
  <si>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</si>
  <si>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</si>
  <si>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</si>
  <si>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</si>
  <si>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</si>
  <si>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</si>
  <si>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</si>
  <si>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</si>
  <si>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</si>
  <si>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</si>
  <si>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</si>
  <si>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</si>
  <si>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</si>
  <si>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</si>
  <si>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</si>
  <si>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</si>
  <si>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</si>
  <si>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Wendy Crewson</t>
  </si>
  <si>
    <t>Eight Below 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</si>
  <si>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</si>
  <si>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</si>
  <si>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</si>
  <si>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</si>
  <si>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</si>
  <si>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</si>
  <si>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</si>
  <si>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</si>
  <si>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</si>
  <si>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Action|Adventure|Drama|Romance|War</t>
  </si>
  <si>
    <t>Terry Kinney</t>
  </si>
  <si>
    <t>Eric Schweig</t>
  </si>
  <si>
    <t>The Last of the Mohicans 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</si>
  <si>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</si>
  <si>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</si>
  <si>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</si>
  <si>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</si>
  <si>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</si>
  <si>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</si>
  <si>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</si>
  <si>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Jason Douglas</t>
  </si>
  <si>
    <t>Sin City 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</si>
  <si>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</si>
  <si>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</si>
  <si>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</si>
  <si>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</si>
  <si>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</si>
  <si>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Jane Curtin</t>
  </si>
  <si>
    <t>I Love You, Man </t>
  </si>
  <si>
    <t>bromance|friend|gay brother|homosexual subtext|wedding</t>
  </si>
  <si>
    <t>http://www.imdb.com/title/tt1155056/?ref_=fn_tt_tt_1</t>
  </si>
  <si>
    <t>Susan Ward</t>
  </si>
  <si>
    <t>Shallow Hal </t>
  </si>
  <si>
    <t>dying|friend|inner beauty|love|self help guru</t>
  </si>
  <si>
    <t>http://www.imdb.com/title/tt0256380/?ref_=fn_tt_tt_1</t>
  </si>
  <si>
    <t>Sally Kirkland</t>
  </si>
  <si>
    <t>Jay O. Sanders</t>
  </si>
  <si>
    <t>Cheryl Penland</t>
  </si>
  <si>
    <t>JFK </t>
  </si>
  <si>
    <t>death|gay slur|homosexuality|investigation|president</t>
  </si>
  <si>
    <t>http://www.imdb.com/title/tt0102138/?ref_=fn_tt_tt_1</t>
  </si>
  <si>
    <t>Nia Long</t>
  </si>
  <si>
    <t>Marisol Nichols</t>
  </si>
  <si>
    <t>Big Momma's House 2 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</si>
  <si>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</si>
  <si>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</si>
  <si>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</si>
  <si>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</si>
  <si>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</si>
  <si>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</si>
  <si>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</si>
  <si>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</si>
  <si>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</si>
  <si>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</si>
  <si>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</si>
  <si>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</si>
  <si>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</si>
  <si>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</si>
  <si>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The Other Woman </t>
  </si>
  <si>
    <t>beach house|blonde bombshell|cheating husband|revenge|wife meets mistress</t>
  </si>
  <si>
    <t>http://www.imdb.com/title/tt2203939/?ref_=fn_tt_tt_1</t>
  </si>
  <si>
    <t>Horror</t>
  </si>
  <si>
    <t>Krista Allen</t>
  </si>
  <si>
    <t>Andrew Fiscella</t>
  </si>
  <si>
    <t>Shantel VanSanten</t>
  </si>
  <si>
    <t>The Final Destination 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</si>
  <si>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</si>
  <si>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</si>
  <si>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</si>
  <si>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</si>
  <si>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</si>
  <si>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</si>
  <si>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Sam Jaeger</t>
  </si>
  <si>
    <t>Behind Enemy Lines </t>
  </si>
  <si>
    <t>battle|massacre|navigator|navy|rescue</t>
  </si>
  <si>
    <t>http://www.imdb.com/title/tt0159273/?ref_=fn_tt_tt_1</t>
  </si>
  <si>
    <t>Nicholas Stoller</t>
  </si>
  <si>
    <t>Comedy|Music</t>
  </si>
  <si>
    <t>Pink</t>
  </si>
  <si>
    <t>Mario Lopez</t>
  </si>
  <si>
    <t>Lino Facioli</t>
  </si>
  <si>
    <t>Get Him to the Greek 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</si>
  <si>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</si>
  <si>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</si>
  <si>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</si>
  <si>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</si>
  <si>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</si>
  <si>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</si>
  <si>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</si>
  <si>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</si>
  <si>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</si>
  <si>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</si>
  <si>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</si>
  <si>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</si>
  <si>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</si>
  <si>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</si>
  <si>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</si>
  <si>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</si>
  <si>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</si>
  <si>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</si>
  <si>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</si>
  <si>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</si>
  <si>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</si>
  <si>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</si>
  <si>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Aidan Quinn</t>
  </si>
  <si>
    <t>Unknown 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</si>
  <si>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</si>
  <si>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</si>
  <si>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</si>
  <si>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</si>
  <si>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</si>
  <si>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Lindsay Sloane</t>
  </si>
  <si>
    <t>Horrible Bosses 2 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</si>
  <si>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</si>
  <si>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</si>
  <si>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</si>
  <si>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</si>
  <si>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</si>
  <si>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Escape from Planet Earth </t>
  </si>
  <si>
    <t>alien|cult film|mission control|product placement|rescue</t>
  </si>
  <si>
    <t>http://www.imdb.com/title/tt0765446/?ref_=fn_tt_tt_1</t>
  </si>
  <si>
    <t>Rudy Youngblood</t>
  </si>
  <si>
    <t>Dalia Hernández</t>
  </si>
  <si>
    <t>Jonathan Brewer</t>
  </si>
  <si>
    <t>Apocalypto 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</si>
  <si>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</si>
  <si>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</si>
  <si>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</si>
  <si>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</si>
  <si>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</si>
  <si>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</si>
  <si>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</si>
  <si>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</si>
  <si>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</si>
  <si>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</si>
  <si>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</si>
  <si>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</si>
  <si>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</si>
  <si>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Legal Eagles 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</si>
  <si>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</si>
  <si>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</si>
  <si>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</si>
  <si>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</si>
  <si>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</si>
  <si>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</si>
  <si>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</si>
  <si>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The Lake House </t>
  </si>
  <si>
    <t>house|lake|letter|love across time|parallel time</t>
  </si>
  <si>
    <t>http://www.imdb.com/title/tt0410297/?ref_=fn_tt_tt_1</t>
  </si>
  <si>
    <t>Gena Rowlands</t>
  </si>
  <si>
    <t>Deneen Tyler</t>
  </si>
  <si>
    <t>Joy Bryant</t>
  </si>
  <si>
    <t>The Skeleton Key 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</si>
  <si>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</si>
  <si>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</si>
  <si>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</si>
  <si>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</si>
  <si>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</si>
  <si>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</si>
  <si>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</si>
  <si>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Busy Philipps</t>
  </si>
  <si>
    <t>Beau Garrett</t>
  </si>
  <si>
    <t>Made of Honor </t>
  </si>
  <si>
    <t>friend|love|maid|maid of honor|marriage</t>
  </si>
  <si>
    <t>http://www.imdb.com/title/tt0866439/?ref_=fn_tt_tt_1</t>
  </si>
  <si>
    <t>Biography|Drama|Music|Musical</t>
  </si>
  <si>
    <t>Johnny Cannizzaro</t>
  </si>
  <si>
    <t>Steve Schirripa</t>
  </si>
  <si>
    <t>Scott Vance</t>
  </si>
  <si>
    <t>Jersey Boys 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</si>
  <si>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</si>
  <si>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</si>
  <si>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</si>
  <si>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</si>
  <si>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</si>
  <si>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</si>
  <si>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</si>
  <si>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</si>
  <si>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</si>
  <si>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</si>
  <si>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</si>
  <si>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</si>
  <si>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Lorraine Bracco</t>
  </si>
  <si>
    <t>José Wilker</t>
  </si>
  <si>
    <t>Sean Connery</t>
  </si>
  <si>
    <t>Medicine Man </t>
  </si>
  <si>
    <t>cancer|environment|gas chromatograph|jungle|nature</t>
  </si>
  <si>
    <t>http://www.imdb.com/title/tt0104839/?ref_=fn_tt_tt_1</t>
  </si>
  <si>
    <t>Colin Strause</t>
  </si>
  <si>
    <t>Sam Trammell</t>
  </si>
  <si>
    <t>Johnny Lewis</t>
  </si>
  <si>
    <t>Ian Whyte</t>
  </si>
  <si>
    <t>Aliens vs. Predator: Requiem </t>
  </si>
  <si>
    <t>alien|escape|hunting|hybrid|predator</t>
  </si>
  <si>
    <t>http://www.imdb.com/title/tt0758730/?ref_=fn_tt_tt_1</t>
  </si>
  <si>
    <t>Macaulay Culkin</t>
  </si>
  <si>
    <t>John Larroquette</t>
  </si>
  <si>
    <t>Jonathan Hyde</t>
  </si>
  <si>
    <t>Ri¢hie Ri¢h 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</si>
  <si>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</si>
  <si>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</si>
  <si>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</si>
  <si>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</si>
  <si>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</si>
  <si>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</si>
  <si>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</si>
  <si>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</si>
  <si>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</si>
  <si>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</si>
  <si>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Bobby Lee</t>
  </si>
  <si>
    <t>Nelson Ascencio</t>
  </si>
  <si>
    <t>Jeremy Owen</t>
  </si>
  <si>
    <t>Paul </t>
  </si>
  <si>
    <t>alien|geek|nerd|road trip|ufo</t>
  </si>
  <si>
    <t>http://www.imdb.com/title/tt1092026/?ref_=fn_tt_tt_1</t>
  </si>
  <si>
    <t>Tom Virtue</t>
  </si>
  <si>
    <t>Julene Renee</t>
  </si>
  <si>
    <t>The Guilt Trip 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</si>
  <si>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</si>
  <si>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</si>
  <si>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</si>
  <si>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</si>
  <si>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Scream 4 </t>
  </si>
  <si>
    <t>author|book|deputy|murder|sheriff</t>
  </si>
  <si>
    <t>http://www.imdb.com/title/tt1262416/?ref_=fn_tt_tt_1</t>
  </si>
  <si>
    <t>Anthony Heald</t>
  </si>
  <si>
    <t>8MM 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</si>
  <si>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</si>
  <si>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</si>
  <si>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</si>
  <si>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</si>
  <si>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</si>
  <si>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</si>
  <si>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Nat Faxon</t>
  </si>
  <si>
    <t>Sex Tape </t>
  </si>
  <si>
    <t>sex in a car|sex video|sexual desire|sexuality|undressing</t>
  </si>
  <si>
    <t>http://www.imdb.com/title/tt1956620/?ref_=fn_tt_tt_1</t>
  </si>
  <si>
    <t>Diane Keaton</t>
  </si>
  <si>
    <t>Jesse James</t>
  </si>
  <si>
    <t>Hanging Up </t>
  </si>
  <si>
    <t>actress|clown costume|magazine|party planner|soap opera actress</t>
  </si>
  <si>
    <t>http://www.imdb.com/title/tt0162983/?ref_=fn_tt_tt_1</t>
  </si>
  <si>
    <t>Emma Bell</t>
  </si>
  <si>
    <t>Jacqueline MacInnes Wood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</si>
  <si>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</si>
  <si>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</si>
  <si>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</si>
  <si>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</si>
  <si>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</si>
  <si>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</si>
  <si>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</si>
  <si>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Angie Dickinson</t>
  </si>
  <si>
    <t>Pay It Forward </t>
  </si>
  <si>
    <t>alcoholism|boy|good deed|protective male|teacher</t>
  </si>
  <si>
    <t>http://www.imdb.com/title/tt0223897/?ref_=fn_tt_tt_1</t>
  </si>
  <si>
    <t>Jimmy Fallon</t>
  </si>
  <si>
    <t>KaDee Strickland</t>
  </si>
  <si>
    <t>Ione Skye</t>
  </si>
  <si>
    <t>Fever Pitch </t>
  </si>
  <si>
    <t>baltimore orioles|boston red sox|promotion|ups|world series</t>
  </si>
  <si>
    <t>http://www.imdb.com/title/tt0332047/?ref_=fn_tt_tt_1</t>
  </si>
  <si>
    <t>Bruce Dinsmore</t>
  </si>
  <si>
    <t>Melissa Altro</t>
  </si>
  <si>
    <t>Daniel Brochu</t>
  </si>
  <si>
    <t>Arthur 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</si>
  <si>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</si>
  <si>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</si>
  <si>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</si>
  <si>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</si>
  <si>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</si>
  <si>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</si>
  <si>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</si>
  <si>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</si>
  <si>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</si>
  <si>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</si>
  <si>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</si>
  <si>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</si>
  <si>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</si>
  <si>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</si>
  <si>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</si>
  <si>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Adventure|Drama|Mystery</t>
  </si>
  <si>
    <t>Thomas Horn</t>
  </si>
  <si>
    <t>Stephen Henderson</t>
  </si>
  <si>
    <t>Extremely Loud &amp; Incredibly Close </t>
  </si>
  <si>
    <t>fear|mourning|mute|quest|revelation</t>
  </si>
  <si>
    <t>http://www.imdb.com/title/tt0477302/?ref_=fn_tt_tt_1</t>
  </si>
  <si>
    <t>Noah Bean</t>
  </si>
  <si>
    <t>Patti D'Arbanville</t>
  </si>
  <si>
    <t>Vanessa Aspillaga</t>
  </si>
  <si>
    <t>Morning Glory 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</si>
  <si>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</si>
  <si>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</si>
  <si>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</si>
  <si>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</si>
  <si>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</si>
  <si>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</si>
  <si>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</si>
  <si>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Anne Archer</t>
  </si>
  <si>
    <t>The Art of War </t>
  </si>
  <si>
    <t>blood splatter|fbi|murder|secretary general|united nations</t>
  </si>
  <si>
    <t>http://www.imdb.com/title/tt0160009/?ref_=fn_tt_tt_1</t>
  </si>
  <si>
    <t>David Fine</t>
  </si>
  <si>
    <t>Jesse L. Martin</t>
  </si>
  <si>
    <t>Rent </t>
  </si>
  <si>
    <t>aids|hiv positive|lawyer|new york city|roommate</t>
  </si>
  <si>
    <t>http://www.imdb.com/title/tt0294870/?ref_=fn_tt_tt_1</t>
  </si>
  <si>
    <t>Crime|Drama|Horror|Thriller</t>
  </si>
  <si>
    <t>Jimmy Smits</t>
  </si>
  <si>
    <t>Angela Bettis</t>
  </si>
  <si>
    <t>Bless the Child </t>
  </si>
  <si>
    <t>easter|fbi|luminol|nurse|omen</t>
  </si>
  <si>
    <t>http://www.imdb.com/title/tt0163983/?ref_=fn_tt_tt_1</t>
  </si>
  <si>
    <t>Valerie Perri</t>
  </si>
  <si>
    <t>Carlease Burke</t>
  </si>
  <si>
    <t>The Out-of-Towners </t>
  </si>
  <si>
    <t>job interview|manhattan new york city|new york city|remake|sausage</t>
  </si>
  <si>
    <t>http://www.imdb.com/title/tt0129280/?ref_=fn_tt_tt_1</t>
  </si>
  <si>
    <t>Marco Hofschneider</t>
  </si>
  <si>
    <t>The Island of Dr. Moreau </t>
  </si>
  <si>
    <t>animal experimentation|chimera|island|jungle|mutant</t>
  </si>
  <si>
    <t>http://www.imdb.com/title/tt0116654/?ref_=fn_tt_tt_1</t>
  </si>
  <si>
    <t>Catherine Deneuve</t>
  </si>
  <si>
    <t>Justin Chambers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</si>
  <si>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</si>
  <si>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</si>
  <si>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</si>
  <si>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</si>
  <si>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</si>
  <si>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</si>
  <si>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</si>
  <si>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</si>
  <si>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</si>
  <si>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</si>
  <si>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</si>
  <si>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</si>
  <si>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</si>
  <si>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The Reaping </t>
  </si>
  <si>
    <t>biblical plague|louisiana|missionary|plague|small town</t>
  </si>
  <si>
    <t>http://www.imdb.com/title/tt0444682/?ref_=fn_tt_tt_1</t>
  </si>
  <si>
    <t>David Proval</t>
  </si>
  <si>
    <t>Mean Streets </t>
  </si>
  <si>
    <t>bar|catholic guilt|epilepsy|italian american|money</t>
  </si>
  <si>
    <t>http://www.imdb.com/title/tt0070379/?ref_=fn_tt_tt_1</t>
  </si>
  <si>
    <t>Cliff Robertson</t>
  </si>
  <si>
    <t>Lillo Brancato</t>
  </si>
  <si>
    <t>Renaissance Man 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</si>
  <si>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</si>
  <si>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</si>
  <si>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</si>
  <si>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</si>
  <si>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Colombiana </t>
  </si>
  <si>
    <t>female in a shower|female nudity|premarital sex|sex scene|woman wearing a miniskirt</t>
  </si>
  <si>
    <t>http://www.imdb.com/title/tt1657507/?ref_=fn_tt_tt_1</t>
  </si>
  <si>
    <t>Frederik Du Chau</t>
  </si>
  <si>
    <t>Adventure|Animation|Comedy|Drama|Family|Fantasy|Musical</t>
  </si>
  <si>
    <t>Jaleel White</t>
  </si>
  <si>
    <t>The Magic Sword: Quest for Camelot </t>
  </si>
  <si>
    <t>camelot|dragon|excalibur|knight|sword</t>
  </si>
  <si>
    <t>http://www.imdb.com/title/tt0120800/?ref_=fn_tt_tt_1</t>
  </si>
  <si>
    <t>John Doman</t>
  </si>
  <si>
    <t>City by the Sea 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</si>
  <si>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</si>
  <si>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</si>
  <si>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</si>
  <si>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</si>
  <si>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</si>
  <si>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At First Sight 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</si>
  <si>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</si>
  <si>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</si>
  <si>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</si>
  <si>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</si>
  <si>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</si>
  <si>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</si>
  <si>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</si>
  <si>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</si>
  <si>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</si>
  <si>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</si>
  <si>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Bobbie Phillips</t>
  </si>
  <si>
    <t>Elizabeth Berkley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</si>
  <si>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</si>
  <si>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</si>
  <si>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</si>
  <si>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</si>
  <si>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</si>
  <si>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</si>
  <si>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</si>
  <si>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</si>
  <si>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</si>
  <si>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</si>
  <si>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</si>
  <si>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</si>
  <si>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Lauren Lee Smith</t>
  </si>
  <si>
    <t>Get Carter 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</si>
  <si>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</si>
  <si>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</si>
  <si>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</si>
  <si>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</si>
  <si>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</si>
  <si>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The Impossible 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</si>
  <si>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</si>
  <si>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</si>
  <si>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</si>
  <si>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</si>
  <si>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</si>
  <si>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</si>
  <si>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Ishtar 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</si>
  <si>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</si>
  <si>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</si>
  <si>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</si>
  <si>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</si>
  <si>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</si>
  <si>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</si>
  <si>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James Gammon</t>
  </si>
  <si>
    <t>Life or Something Like It 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</si>
  <si>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</si>
  <si>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</si>
  <si>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</si>
  <si>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</si>
  <si>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</si>
  <si>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Memoirs of an Invisible Man </t>
  </si>
  <si>
    <t>accident|bar|chase|cia|laboratory</t>
  </si>
  <si>
    <t>http://www.imdb.com/title/tt0104850/?ref_=fn_tt_tt_1</t>
  </si>
  <si>
    <t>Isabelle Nanty</t>
  </si>
  <si>
    <t>Amélie </t>
  </si>
  <si>
    <t>cheerfulness|female protagonist|garden gnome|magical realism|waitress</t>
  </si>
  <si>
    <t>http://www.imdb.com/title/tt0211915/?ref_=fn_tt_tt_1</t>
  </si>
  <si>
    <t>Dennie Gordon</t>
  </si>
  <si>
    <t>Comedy|Crime|Family|Romance</t>
  </si>
  <si>
    <t>Mary-Kate Olsen</t>
  </si>
  <si>
    <t>Bob Saget</t>
  </si>
  <si>
    <t>Riley Smith</t>
  </si>
  <si>
    <t>New York Minute 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</si>
  <si>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</si>
  <si>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</si>
  <si>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</si>
  <si>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</si>
  <si>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</si>
  <si>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</si>
  <si>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Andrew Daly</t>
  </si>
  <si>
    <t>Big Miracle </t>
  </si>
  <si>
    <t>arctic circle|reporter|small town|volunteer|whale</t>
  </si>
  <si>
    <t>http://www.imdb.com/title/tt1430615/?ref_=fn_tt_tt_1</t>
  </si>
  <si>
    <t>Ulu Grosbard</t>
  </si>
  <si>
    <t>Jonathan Jackson</t>
  </si>
  <si>
    <t>The Deep End of the Ocean </t>
  </si>
  <si>
    <t>basketball|boy|italian|kidnapping a child|reunion</t>
  </si>
  <si>
    <t>http://www.imdb.com/title/tt0120646/?ref_=fn_tt_tt_1</t>
  </si>
  <si>
    <t>William Malone</t>
  </si>
  <si>
    <t>Crime|Horror|Thriller</t>
  </si>
  <si>
    <t>Jeffrey Combs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</si>
  <si>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</si>
  <si>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</si>
  <si>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</si>
  <si>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</si>
  <si>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</si>
  <si>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</si>
  <si>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</si>
  <si>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</si>
  <si>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</si>
  <si>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</si>
  <si>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</si>
  <si>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</si>
  <si>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</si>
  <si>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</si>
  <si>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</si>
  <si>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</si>
  <si>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</si>
  <si>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</si>
  <si>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</si>
  <si>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</si>
  <si>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</si>
  <si>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</si>
  <si>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</si>
  <si>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</si>
  <si>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</si>
  <si>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Pandorum </t>
  </si>
  <si>
    <t>future|mission|space|spaceship|survival</t>
  </si>
  <si>
    <t>http://www.imdb.com/title/tt1188729/?ref_=fn_tt_tt_1</t>
  </si>
  <si>
    <t>Tim Guinee</t>
  </si>
  <si>
    <t>Impostor 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</si>
  <si>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</si>
  <si>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</si>
  <si>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</si>
  <si>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</si>
  <si>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</si>
  <si>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</si>
  <si>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</si>
  <si>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Comedy|Fantasy|Sci-Fi</t>
  </si>
  <si>
    <t>Matt Ross</t>
  </si>
  <si>
    <t>John Aylward</t>
  </si>
  <si>
    <t>Just Visiting </t>
  </si>
  <si>
    <t>alternate history|alternate timeline|flatulence|future time travel|time travel comedy</t>
  </si>
  <si>
    <t>http://www.imdb.com/title/tt0189192/?ref_=fn_tt_tt_1</t>
  </si>
  <si>
    <t>Troy Garity</t>
  </si>
  <si>
    <t>Sunshine </t>
  </si>
  <si>
    <t>astronaut|earth|future|icarus|sun</t>
  </si>
  <si>
    <t>http://www.imdb.com/title/tt0448134/?ref_=fn_tt_tt_1</t>
  </si>
  <si>
    <t>John Gatins</t>
  </si>
  <si>
    <t>Lou Saliba</t>
  </si>
  <si>
    <t>Greg Collins</t>
  </si>
  <si>
    <t>A Thousand Words 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</si>
  <si>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</si>
  <si>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</si>
  <si>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</si>
  <si>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</si>
  <si>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</si>
  <si>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Delgo </t>
  </si>
  <si>
    <t>box office flop|computer animation|one word title|surrealism|villainess</t>
  </si>
  <si>
    <t>http://www.imdb.com/title/tt0361500/?ref_=fn_tt_tt_1</t>
  </si>
  <si>
    <t>Jasmine Trinca</t>
  </si>
  <si>
    <t>The Gunman 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</si>
  <si>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</si>
  <si>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</si>
  <si>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</si>
  <si>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</si>
  <si>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</si>
  <si>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Alex Rider: Operation Stormbreaker </t>
  </si>
  <si>
    <t>14 year old|british|gadget|spy|training</t>
  </si>
  <si>
    <t>http://www.imdb.com/title/tt0457495/?ref_=fn_tt_tt_1</t>
  </si>
  <si>
    <t>Sarah Roemer</t>
  </si>
  <si>
    <t>Aaron Yoo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</si>
  <si>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</si>
  <si>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</si>
  <si>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</si>
  <si>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</si>
  <si>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</si>
  <si>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</si>
  <si>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</si>
  <si>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Adventure|Comedy|Drama|Romance|Thriller|War</t>
  </si>
  <si>
    <t>James Brolin</t>
  </si>
  <si>
    <t>Zan Marolt</t>
  </si>
  <si>
    <t>Ljubomir Kerekes</t>
  </si>
  <si>
    <t>The Hunting Party </t>
  </si>
  <si>
    <t>bosnia|cia|fox|hunt|war criminal</t>
  </si>
  <si>
    <t>http://www.imdb.com/title/tt0455782/?ref_=fn_tt_tt_1</t>
  </si>
  <si>
    <t>John Mahoney</t>
  </si>
  <si>
    <t>The Hudsucker Proxy 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</si>
  <si>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</si>
  <si>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</si>
  <si>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</si>
  <si>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</si>
  <si>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</si>
  <si>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The Warlords 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</si>
  <si>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</si>
  <si>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</si>
  <si>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</si>
  <si>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</si>
  <si>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</si>
  <si>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</si>
  <si>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</si>
  <si>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</si>
  <si>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Kang-ho Song</t>
  </si>
  <si>
    <t>Snowpiercer 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</si>
  <si>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</si>
  <si>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</si>
  <si>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</si>
  <si>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François Cluzet</t>
  </si>
  <si>
    <t>A Monster in Paris 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</si>
  <si>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</si>
  <si>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</si>
  <si>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</si>
  <si>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</si>
  <si>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</si>
  <si>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</si>
  <si>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</si>
  <si>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</si>
  <si>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</si>
  <si>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</si>
  <si>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</si>
  <si>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Action|Adventure|Drama|Fantasy|War</t>
  </si>
  <si>
    <t>Tamannaah Bhatia</t>
  </si>
  <si>
    <t>Anushka Shetty</t>
  </si>
  <si>
    <t>Prabhas</t>
  </si>
  <si>
    <t>Baahubali: The Beginning </t>
  </si>
  <si>
    <t>ancient india|dual role|good versus evil|hindu|kingdom</t>
  </si>
  <si>
    <t>http://www.imdb.com/title/tt2631186/?ref_=fn_tt_tt_1</t>
  </si>
  <si>
    <t>Telugu</t>
  </si>
  <si>
    <t>Drama|Fantasy|Romance|Sci-Fi</t>
  </si>
  <si>
    <t>Arliss Howard</t>
  </si>
  <si>
    <t>Brooklynn Proulx</t>
  </si>
  <si>
    <t>Michelle Nolden</t>
  </si>
  <si>
    <t>The Time Traveler's Wife 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</si>
  <si>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</si>
  <si>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</si>
  <si>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</si>
  <si>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</si>
  <si>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</si>
  <si>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</si>
  <si>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</si>
  <si>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</si>
  <si>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Frankenweenie 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</si>
  <si>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</si>
  <si>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</si>
  <si>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</si>
  <si>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</si>
  <si>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Serenity 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</si>
  <si>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</si>
  <si>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</si>
  <si>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</si>
  <si>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</si>
  <si>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</si>
  <si>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</si>
  <si>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</si>
  <si>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</si>
  <si>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</si>
  <si>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</si>
  <si>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Oscar Gale</t>
  </si>
  <si>
    <t>Grudge Match </t>
  </si>
  <si>
    <t>broke|promoter|retirement|trainer|training</t>
  </si>
  <si>
    <t>http://www.imdb.com/title/tt1661382/?ref_=fn_tt_tt_1</t>
  </si>
  <si>
    <t>Wei Zhao</t>
  </si>
  <si>
    <t>Red Cliff </t>
  </si>
  <si>
    <t>alliance|battle|china|chinese|strategy</t>
  </si>
  <si>
    <t>http://www.imdb.com/title/tt0425637/?ref_=fn_tt_tt_1</t>
  </si>
  <si>
    <t>Courtney Gains</t>
  </si>
  <si>
    <t>Sweet Home Alabama </t>
  </si>
  <si>
    <t>alabama|divorce|divorce papers|husband wife relationship|new york city</t>
  </si>
  <si>
    <t>http://www.imdb.com/title/tt0256415/?ref_=fn_tt_tt_1</t>
  </si>
  <si>
    <t>Eric Winter</t>
  </si>
  <si>
    <t>The Ugly Truth 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</si>
  <si>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</si>
  <si>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</si>
  <si>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</si>
  <si>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</si>
  <si>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</si>
  <si>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Sgt. Bilko </t>
  </si>
  <si>
    <t>greenland|military|revenge|soldier|u.s. soldier</t>
  </si>
  <si>
    <t>http://www.imdb.com/title/tt0117608/?ref_=fn_tt_tt_1</t>
  </si>
  <si>
    <t>Emily Osment</t>
  </si>
  <si>
    <t>Spy Kids 2: Island of Lost Dreams 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</si>
  <si>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</si>
  <si>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</si>
  <si>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</si>
  <si>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</si>
  <si>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</si>
  <si>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</si>
  <si>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</si>
  <si>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Action|Biography|Drama</t>
  </si>
  <si>
    <t>Hye-kyo Song</t>
  </si>
  <si>
    <t>Elvis Tsui</t>
  </si>
  <si>
    <t>The Grandmaster 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</si>
  <si>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</si>
  <si>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</si>
  <si>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</si>
  <si>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</si>
  <si>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</si>
  <si>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</si>
  <si>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3rd Rock from the Sun </t>
  </si>
  <si>
    <t>alien|digit in title|human form|number 3 in title|talking on a rooftop</t>
  </si>
  <si>
    <t>http://www.imdb.com/title/tt0115082/?ref_=fn_tt_tt_1</t>
  </si>
  <si>
    <t>Yuefeng Song</t>
  </si>
  <si>
    <t>Blythe Auffarth</t>
  </si>
  <si>
    <t>Bianca Collins</t>
  </si>
  <si>
    <t>Jiao Xu</t>
  </si>
  <si>
    <t>Dragon Nest: Warriors' Dawn 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</si>
  <si>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</si>
  <si>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</si>
  <si>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</si>
  <si>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</si>
  <si>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</si>
  <si>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</si>
  <si>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</si>
  <si>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</si>
  <si>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</si>
  <si>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</si>
  <si>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</si>
  <si>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</si>
  <si>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</si>
  <si>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D.B. Woodside</t>
  </si>
  <si>
    <t>Daniella Alonso</t>
  </si>
  <si>
    <t>Eduardo Verástegui</t>
  </si>
  <si>
    <t>Paul Blart: Mall Cop 2 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</si>
  <si>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</si>
  <si>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</si>
  <si>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</si>
  <si>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</si>
  <si>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</si>
  <si>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Angel Eyes 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</si>
  <si>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</si>
  <si>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</si>
  <si>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</si>
  <si>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</si>
  <si>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</si>
  <si>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</si>
  <si>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</si>
  <si>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</si>
  <si>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Bill Nunn</t>
  </si>
  <si>
    <t>Extreme Measures </t>
  </si>
  <si>
    <t>cartoon on tv|doctor|emergency room|hospital|nudity</t>
  </si>
  <si>
    <t>http://www.imdb.com/title/tt0116259/?ref_=fn_tt_tt_1</t>
  </si>
  <si>
    <t>Beth Grant</t>
  </si>
  <si>
    <t>Dagmara Dominczyk</t>
  </si>
  <si>
    <t>Matthew Glave</t>
  </si>
  <si>
    <t>Rock Star </t>
  </si>
  <si>
    <t>cover band|fired from a job|heavy metal|rock star|tribute band</t>
  </si>
  <si>
    <t>http://www.imdb.com/title/tt0202470/?ref_=fn_tt_tt_1</t>
  </si>
  <si>
    <t>Lee Daniels</t>
  </si>
  <si>
    <t>Mariah Carey</t>
  </si>
  <si>
    <t>Precious </t>
  </si>
  <si>
    <t>abuse|african american lesbian|lesbian|lesbian couple|school</t>
  </si>
  <si>
    <t>http://www.imdb.com/title/tt0929632/?ref_=fn_tt_tt_1</t>
  </si>
  <si>
    <t>Adventure|Drama</t>
  </si>
  <si>
    <t>Jason Marsden</t>
  </si>
  <si>
    <t>White Squall </t>
  </si>
  <si>
    <t>acrophobia|jamaica|male bonding|prostitute|tragedy</t>
  </si>
  <si>
    <t>http://www.imdb.com/title/tt0118158/?ref_=fn_tt_tt_1</t>
  </si>
  <si>
    <t>Horror|Mystery|Sci-Fi</t>
  </si>
  <si>
    <t>Richard Masur</t>
  </si>
  <si>
    <t>David Clennon</t>
  </si>
  <si>
    <t>The Thing 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</si>
  <si>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</si>
  <si>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</si>
  <si>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</si>
  <si>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</si>
  <si>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</si>
  <si>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</si>
  <si>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</si>
  <si>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Gregory Scott Cummins</t>
  </si>
  <si>
    <t>Claudia Stedelin</t>
  </si>
  <si>
    <t>Ted Markland</t>
  </si>
  <si>
    <t>Switchback </t>
  </si>
  <si>
    <t>deputy|fbi agent|knife held to throat|serial killer|sheriff</t>
  </si>
  <si>
    <t>http://www.imdb.com/title/tt0119210/?ref_=fn_tt_tt_1</t>
  </si>
  <si>
    <t>Steve Miner</t>
  </si>
  <si>
    <t>Action|Adventure|Drama|Thriller|Western</t>
  </si>
  <si>
    <t>Usher Raymond</t>
  </si>
  <si>
    <t>Leonor Varela</t>
  </si>
  <si>
    <t>Texas Rangers </t>
  </si>
  <si>
    <t>army|mexican|orphan|texas|texas ranger</t>
  </si>
  <si>
    <t>http://www.imdb.com/title/tt0193560/?ref_=fn_tt_tt_1</t>
  </si>
  <si>
    <t>Adventure|Family|Fantasy|Sci-Fi</t>
  </si>
  <si>
    <t>Harry Treadaway</t>
  </si>
  <si>
    <t>City of Ember </t>
  </si>
  <si>
    <t>box|food|mayor|pipeworks|scientist</t>
  </si>
  <si>
    <t>http://www.imdb.com/title/tt0970411/?ref_=fn_tt_tt_1</t>
  </si>
  <si>
    <t>Paul Thomas Anderson</t>
  </si>
  <si>
    <t>Mike Howard</t>
  </si>
  <si>
    <t>Jeffrey W. Jenkins</t>
  </si>
  <si>
    <t>Bruce Goodchild</t>
  </si>
  <si>
    <t>The Master </t>
  </si>
  <si>
    <t>drifter|past life regression|psychological testing|right hand man|scientology</t>
  </si>
  <si>
    <t>http://www.imdb.com/title/tt1560747/?ref_=fn_tt_tt_1</t>
  </si>
  <si>
    <t>David Leland</t>
  </si>
  <si>
    <t>Adventure|Comedy|History|Romance</t>
  </si>
  <si>
    <t>Ryan Cartwright</t>
  </si>
  <si>
    <t>David Walliams</t>
  </si>
  <si>
    <t>Virgin Territory 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</si>
  <si>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</si>
  <si>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</si>
  <si>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</si>
  <si>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</si>
  <si>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</si>
  <si>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</si>
  <si>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</si>
  <si>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</si>
  <si>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</si>
  <si>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The 5th Wave 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</si>
  <si>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</si>
  <si>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</si>
  <si>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</si>
  <si>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</si>
  <si>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</si>
  <si>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</si>
  <si>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</si>
  <si>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Owen Burke</t>
  </si>
  <si>
    <t>The Town 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</si>
  <si>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</si>
  <si>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</si>
  <si>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</si>
  <si>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</si>
  <si>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</si>
  <si>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</si>
  <si>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</si>
  <si>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</si>
  <si>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</si>
  <si>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</si>
  <si>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</si>
  <si>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</si>
  <si>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</si>
  <si>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Nim's Island </t>
  </si>
  <si>
    <t>author|girl|island|reading|scientist</t>
  </si>
  <si>
    <t>http://www.imdb.com/title/tt0410377/?ref_=fn_tt_tt_1</t>
  </si>
  <si>
    <t>Action|Biography|Drama|Sport</t>
  </si>
  <si>
    <t>Alexandra Maria Lara</t>
  </si>
  <si>
    <t>Rush </t>
  </si>
  <si>
    <t>1970s|female rear nudity|formula 1|rivalry|sex with a nurse</t>
  </si>
  <si>
    <t>http://www.imdb.com/title/tt1979320/?ref_=fn_tt_tt_1</t>
  </si>
  <si>
    <t>Patton Oswalt</t>
  </si>
  <si>
    <t>Neil Flynn</t>
  </si>
  <si>
    <t>Jim Meskimen</t>
  </si>
  <si>
    <t>Magnolia 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</si>
  <si>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</si>
  <si>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</si>
  <si>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</si>
  <si>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</si>
  <si>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</si>
  <si>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</si>
  <si>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</si>
  <si>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</si>
  <si>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</si>
  <si>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</si>
  <si>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</si>
  <si>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Drama|Family</t>
  </si>
  <si>
    <t>Michael Roark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</si>
  <si>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</si>
  <si>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</si>
  <si>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</si>
  <si>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</si>
  <si>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</si>
  <si>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</si>
  <si>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</si>
  <si>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</si>
  <si>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</si>
  <si>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</si>
  <si>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Tamala Jones</t>
  </si>
  <si>
    <t>Blue Streak </t>
  </si>
  <si>
    <t>detective|diamond|jewel|police|thief</t>
  </si>
  <si>
    <t>http://www.imdb.com/title/tt0181316/?ref_=fn_tt_tt_1</t>
  </si>
  <si>
    <t>Laura-Leigh</t>
  </si>
  <si>
    <t>Molly C. Quinn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</si>
  <si>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</si>
  <si>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</si>
  <si>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</si>
  <si>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</si>
  <si>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</si>
  <si>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</si>
  <si>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Obitaemyy ostrov 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</si>
  <si>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</si>
  <si>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</si>
  <si>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</si>
  <si>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</si>
  <si>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</si>
  <si>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</si>
  <si>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</si>
  <si>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Bernie Casey</t>
  </si>
  <si>
    <t>Klaus Maria Brandauer</t>
  </si>
  <si>
    <t>Barbara Carrera</t>
  </si>
  <si>
    <t>Never Say Never Again 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</si>
  <si>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</si>
  <si>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</si>
  <si>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</si>
  <si>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Charlie McDermott</t>
  </si>
  <si>
    <t>Collette Wolfe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</si>
  <si>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</si>
  <si>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</si>
  <si>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</si>
  <si>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</si>
  <si>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</si>
  <si>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</si>
  <si>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</si>
  <si>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</si>
  <si>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</si>
  <si>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</si>
  <si>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</si>
  <si>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</si>
  <si>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</si>
  <si>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</si>
  <si>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</si>
  <si>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</si>
  <si>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</si>
  <si>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</si>
  <si>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</si>
  <si>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</si>
  <si>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</si>
  <si>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</si>
  <si>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</si>
  <si>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</si>
  <si>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</si>
  <si>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</si>
  <si>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</si>
  <si>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</si>
  <si>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</si>
  <si>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</si>
  <si>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Mason Gamble</t>
  </si>
  <si>
    <t>Gattaca 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</si>
  <si>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</si>
  <si>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</si>
  <si>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</si>
  <si>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</si>
  <si>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</si>
  <si>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</si>
  <si>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</si>
  <si>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Omid Abtahi</t>
  </si>
  <si>
    <t>Space Chimps 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</si>
  <si>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</si>
  <si>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</si>
  <si>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</si>
  <si>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</si>
  <si>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</si>
  <si>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</si>
  <si>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</si>
  <si>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</si>
  <si>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</si>
  <si>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</si>
  <si>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Action|Biography|Drama|History</t>
  </si>
  <si>
    <t>Lynn Hung</t>
  </si>
  <si>
    <t>Kwok-Kwan Chan</t>
  </si>
  <si>
    <t>Ip Man 3 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</si>
  <si>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</si>
  <si>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</si>
  <si>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</si>
  <si>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</si>
  <si>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</si>
  <si>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</si>
  <si>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William Hootkins</t>
  </si>
  <si>
    <t>Batman </t>
  </si>
  <si>
    <t>city|dc comics|gotham|pantyhose|police</t>
  </si>
  <si>
    <t>http://www.imdb.com/title/tt0096895/?ref_=fn_tt_tt_1</t>
  </si>
  <si>
    <t>Biography|Drama|War</t>
  </si>
  <si>
    <t>Lily Cole</t>
  </si>
  <si>
    <t>There Be Dragons 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</si>
  <si>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</si>
  <si>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</si>
  <si>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</si>
  <si>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</si>
  <si>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</si>
  <si>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Catherine Dyer</t>
  </si>
  <si>
    <t>Quinton Aaron</t>
  </si>
  <si>
    <t>The Blind Side </t>
  </si>
  <si>
    <t>american football|based on true story|football star|high school football|left tackle</t>
  </si>
  <si>
    <t>http://www.imdb.com/title/tt0878804/?ref_=fn_tt_tt_1</t>
  </si>
  <si>
    <t>Jon Foo</t>
  </si>
  <si>
    <t>Aimee Garcia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</si>
  <si>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</si>
  <si>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</si>
  <si>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</si>
  <si>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</si>
  <si>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</si>
  <si>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Reginald Ballard</t>
  </si>
  <si>
    <t>Horrible Bosses </t>
  </si>
  <si>
    <t>black comedy|boss|chemical company|dental assistant|murder</t>
  </si>
  <si>
    <t>http://www.imdb.com/title/tt1499658/?ref_=fn_tt_tt_1</t>
  </si>
  <si>
    <t>Bruce Green</t>
  </si>
  <si>
    <t>True Grit </t>
  </si>
  <si>
    <t>arkansas|murder|sheriff|texas ranger|u.s. marshal</t>
  </si>
  <si>
    <t>http://www.imdb.com/title/tt1403865/?ref_=fn_tt_tt_1</t>
  </si>
  <si>
    <t>Rebecca Mader</t>
  </si>
  <si>
    <t>The Devil Wears Prada 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</si>
  <si>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</si>
  <si>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</si>
  <si>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</si>
  <si>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</si>
  <si>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</si>
  <si>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Star Trek: The Motion Picture 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</si>
  <si>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</si>
  <si>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</si>
  <si>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</si>
  <si>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</si>
  <si>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</si>
  <si>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</si>
  <si>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</si>
  <si>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</si>
  <si>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</si>
  <si>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</si>
  <si>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</si>
  <si>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</si>
  <si>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</si>
  <si>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</si>
  <si>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Trainwreck 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</si>
  <si>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</si>
  <si>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</si>
  <si>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</si>
  <si>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</si>
  <si>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</si>
  <si>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Guess Who 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</si>
  <si>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</si>
  <si>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</si>
  <si>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</si>
  <si>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</si>
  <si>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</si>
  <si>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</si>
  <si>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</si>
  <si>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</si>
  <si>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</si>
  <si>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</si>
  <si>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</si>
  <si>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</si>
  <si>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</si>
  <si>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Lauren Ambrose</t>
  </si>
  <si>
    <t>In &amp; Out </t>
  </si>
  <si>
    <t>academy award|gay|high school|reporter|teacher</t>
  </si>
  <si>
    <t>http://www.imdb.com/title/tt0119360/?ref_=fn_tt_tt_1</t>
  </si>
  <si>
    <t>Natasha Henstridge</t>
  </si>
  <si>
    <t>Marg Helgenberger</t>
  </si>
  <si>
    <t>Jordan Lund</t>
  </si>
  <si>
    <t>Species </t>
  </si>
  <si>
    <t>alien|interspecies sex|scientist|sexual attraction|train</t>
  </si>
  <si>
    <t>http://www.imdb.com/title/tt0114508/?ref_=fn_tt_tt_1</t>
  </si>
  <si>
    <t>Lin Shaye</t>
  </si>
  <si>
    <t>Amanda Wyss</t>
  </si>
  <si>
    <t>A Nightmare on Elm Street 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</si>
  <si>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</si>
  <si>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</si>
  <si>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</si>
  <si>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</si>
  <si>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</si>
  <si>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</si>
  <si>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</si>
  <si>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Judith Godrèche</t>
  </si>
  <si>
    <t>The Man in the Iron Mask </t>
  </si>
  <si>
    <t>france|musketeer|three musketeers|twin|twin brother</t>
  </si>
  <si>
    <t>http://www.imdb.com/title/tt0120744/?ref_=fn_tt_tt_1</t>
  </si>
  <si>
    <t>Biography|Drama|Family|History|Sport</t>
  </si>
  <si>
    <t>Kevin Connolly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</si>
  <si>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</si>
  <si>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</si>
  <si>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</si>
  <si>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</si>
  <si>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</si>
  <si>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</si>
  <si>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</si>
  <si>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</si>
  <si>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</si>
  <si>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</si>
  <si>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</si>
  <si>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</si>
  <si>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</si>
  <si>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</si>
  <si>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Kiersey Clemons</t>
  </si>
  <si>
    <t>Neighbors 2: Sorority Rising 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</si>
  <si>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</si>
  <si>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</si>
  <si>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</si>
  <si>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</si>
  <si>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</si>
  <si>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</si>
  <si>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Al Freeman Jr.</t>
  </si>
  <si>
    <t>Malcolm X 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</si>
  <si>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</si>
  <si>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</si>
  <si>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</si>
  <si>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</si>
  <si>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This Is 40 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</si>
  <si>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</si>
  <si>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</si>
  <si>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</si>
  <si>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</si>
  <si>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</si>
  <si>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</si>
  <si>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</si>
  <si>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</si>
  <si>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Underworld: Rise of the Lycans 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</si>
  <si>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</si>
  <si>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</si>
  <si>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</si>
  <si>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</si>
  <si>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</si>
  <si>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</si>
  <si>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</si>
  <si>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</si>
  <si>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</si>
  <si>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</si>
  <si>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</si>
  <si>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</si>
  <si>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</si>
  <si>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</si>
  <si>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</si>
  <si>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</si>
  <si>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</si>
  <si>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</si>
  <si>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</si>
  <si>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</si>
  <si>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</si>
  <si>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</si>
  <si>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Fantasy|Horror</t>
  </si>
  <si>
    <t>Heather O'Rourke</t>
  </si>
  <si>
    <t>Zelda Rubinstein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</si>
  <si>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</si>
  <si>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</si>
  <si>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</si>
  <si>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</si>
  <si>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</si>
  <si>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</si>
  <si>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</si>
  <si>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Jamie Hector</t>
  </si>
  <si>
    <t>Max Payne 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</si>
  <si>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</si>
  <si>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</si>
  <si>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</si>
  <si>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</si>
  <si>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</si>
  <si>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</si>
  <si>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</si>
  <si>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</si>
  <si>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</si>
  <si>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</si>
  <si>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</si>
  <si>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Ashley Williams</t>
  </si>
  <si>
    <t>Steve Howey</t>
  </si>
  <si>
    <t>Kirsten Day</t>
  </si>
  <si>
    <t>Something Borrowed </t>
  </si>
  <si>
    <t>best friend|crush|law school|lawyer|loud sex</t>
  </si>
  <si>
    <t>http://www.imdb.com/title/tt0491152/?ref_=fn_tt_tt_1</t>
  </si>
  <si>
    <t>Jodi Lyn O'Keefe</t>
  </si>
  <si>
    <t>Logan Browning</t>
  </si>
  <si>
    <t>Hit the Floor 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</si>
  <si>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</si>
  <si>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</si>
  <si>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</si>
  <si>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</si>
  <si>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</si>
  <si>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</si>
  <si>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</si>
  <si>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Comedy|Drama|Family|Sport</t>
  </si>
  <si>
    <t>Tatum O'Neal</t>
  </si>
  <si>
    <t>Vic Morrow</t>
  </si>
  <si>
    <t>Joyce Van Patten</t>
  </si>
  <si>
    <t>The Bad News Bears 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</si>
  <si>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</si>
  <si>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</si>
  <si>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</si>
  <si>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</si>
  <si>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</si>
  <si>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</si>
  <si>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</si>
  <si>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Emilia Fox</t>
  </si>
  <si>
    <t>Frank Finlay</t>
  </si>
  <si>
    <t>Ed Stoppard</t>
  </si>
  <si>
    <t>The Pianist </t>
  </si>
  <si>
    <t>ghetto|holocaust|jewish|piano|warsaw ghetto</t>
  </si>
  <si>
    <t>http://www.imdb.com/title/tt0253474/?ref_=fn_tt_tt_1</t>
  </si>
  <si>
    <t>Keisha Castle-Hughes</t>
  </si>
  <si>
    <t>Hiam Abbass</t>
  </si>
  <si>
    <t>Shaun Toub</t>
  </si>
  <si>
    <t>The Nativity Story </t>
  </si>
  <si>
    <t>angel|bethlehem|journey|nazareth|virgin</t>
  </si>
  <si>
    <t>http://www.imdb.com/title/tt0762121/?ref_=fn_tt_tt_1</t>
  </si>
  <si>
    <t>Paris Hilton</t>
  </si>
  <si>
    <t>Brian Van Holt</t>
  </si>
  <si>
    <t>House of Wax </t>
  </si>
  <si>
    <t>brother sister relationship|group of friends|male nudity|twin|wax</t>
  </si>
  <si>
    <t>http://www.imdb.com/title/tt0397065/?ref_=fn_tt_tt_1</t>
  </si>
  <si>
    <t>Colin Stinton</t>
  </si>
  <si>
    <t>Closer 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</si>
  <si>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</si>
  <si>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</si>
  <si>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</si>
  <si>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</si>
  <si>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</si>
  <si>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</si>
  <si>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</si>
  <si>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</si>
  <si>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</si>
  <si>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</si>
  <si>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</si>
  <si>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</si>
  <si>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</si>
  <si>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</si>
  <si>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Kevin Peter Hall</t>
  </si>
  <si>
    <t>Predator 2 </t>
  </si>
  <si>
    <t>alien|drug lord|gang|hunter|predator</t>
  </si>
  <si>
    <t>http://www.imdb.com/title/tt0100403/?ref_=fn_tt_tt_1</t>
  </si>
  <si>
    <t>Jesse Tyler Ferguson</t>
  </si>
  <si>
    <t>Joseph Cross</t>
  </si>
  <si>
    <t>Untraceable 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</si>
  <si>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</si>
  <si>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</si>
  <si>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</si>
  <si>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</si>
  <si>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</si>
  <si>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Blast from the Past </t>
  </si>
  <si>
    <t>1960s|bomb shelter|cuban missile crisis|food|naive man</t>
  </si>
  <si>
    <t>http://www.imdb.com/title/tt0124298/?ref_=fn_tt_tt_1</t>
  </si>
  <si>
    <t>Mike Hodges</t>
  </si>
  <si>
    <t>Sam J. Jones</t>
  </si>
  <si>
    <t>Flash Gordon 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</si>
  <si>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</si>
  <si>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</si>
  <si>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</si>
  <si>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</si>
  <si>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</si>
  <si>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</si>
  <si>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Carmen Ejogo</t>
  </si>
  <si>
    <t>Alex Cross </t>
  </si>
  <si>
    <t>assassin|detective|partner|police|serial killer</t>
  </si>
  <si>
    <t>http://www.imdb.com/title/tt1712170/?ref_=fn_tt_tt_1</t>
  </si>
  <si>
    <t>Leon Rippy</t>
  </si>
  <si>
    <t>Midnight in the Garden of Good and Evil 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</si>
  <si>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</si>
  <si>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</si>
  <si>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</si>
  <si>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</si>
  <si>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</si>
  <si>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</si>
  <si>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</si>
  <si>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</si>
  <si>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Eros Vlahos</t>
  </si>
  <si>
    <t>Nanny McPhee Returns 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</si>
  <si>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</si>
  <si>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</si>
  <si>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</si>
  <si>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</si>
  <si>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</si>
  <si>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</si>
  <si>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</si>
  <si>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Nicki Aycox</t>
  </si>
  <si>
    <t>The X Files: I Want to Believe </t>
  </si>
  <si>
    <t>fbi|priest|psychic|psychic vision|staff physician</t>
  </si>
  <si>
    <t>http://www.imdb.com/title/tt0443701/?ref_=fn_tt_tt_1</t>
  </si>
  <si>
    <t>Tommy O'Haver</t>
  </si>
  <si>
    <t>Joanna Lumley</t>
  </si>
  <si>
    <t>Ella Enchanted 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</si>
  <si>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</si>
  <si>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</si>
  <si>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</si>
  <si>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</si>
  <si>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</si>
  <si>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</si>
  <si>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Ken Arnold</t>
  </si>
  <si>
    <t>Benjamin J. Cain Jr.</t>
  </si>
  <si>
    <t>Richard Cetrone</t>
  </si>
  <si>
    <t>Abduction 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</si>
  <si>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</si>
  <si>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</si>
  <si>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</si>
  <si>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</si>
  <si>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</si>
  <si>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Valiant </t>
  </si>
  <si>
    <t>dove|falcon|nursing|pigeon|psychological torture</t>
  </si>
  <si>
    <t>http://www.imdb.com/title/tt0361089/?ref_=fn_tt_tt_1</t>
  </si>
  <si>
    <t>Richard Thomas</t>
  </si>
  <si>
    <t>Wonder Boys 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</si>
  <si>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</si>
  <si>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</si>
  <si>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</si>
  <si>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</si>
  <si>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</si>
  <si>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</si>
  <si>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Superhero Movie 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</si>
  <si>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</si>
  <si>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</si>
  <si>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</si>
  <si>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</si>
  <si>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</si>
  <si>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Broken City </t>
  </si>
  <si>
    <t>election|father son relationship|fellatio|gay slur|title spoken by character</t>
  </si>
  <si>
    <t>http://www.imdb.com/title/tt1235522/?ref_=fn_tt_tt_1</t>
  </si>
  <si>
    <t>Comedy|Horror</t>
  </si>
  <si>
    <t>Shannon Elizabeth</t>
  </si>
  <si>
    <t>Portia de Rossi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</si>
  <si>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</si>
  <si>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</si>
  <si>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</si>
  <si>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</si>
  <si>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</si>
  <si>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</si>
  <si>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Jim Gaffigan</t>
  </si>
  <si>
    <t>Richard T. Jones</t>
  </si>
  <si>
    <t>Michael Mosley</t>
  </si>
  <si>
    <t>Hot Pursuit </t>
  </si>
  <si>
    <t>danger|drug cartel|female cop|female police officer|fugitive</t>
  </si>
  <si>
    <t>http://www.imdb.com/title/tt2967224/?ref_=fn_tt_tt_1</t>
  </si>
  <si>
    <t>Lucy Gordon</t>
  </si>
  <si>
    <t>Alex Jennings</t>
  </si>
  <si>
    <t>The Four Feathers </t>
  </si>
  <si>
    <t>male nudity|naked dead man|nudity|sex|whipping</t>
  </si>
  <si>
    <t>http://www.imdb.com/title/tt0240510/?ref_=fn_tt_tt_1</t>
  </si>
  <si>
    <t>Wendell Pierce</t>
  </si>
  <si>
    <t>Parker </t>
  </si>
  <si>
    <t>action hero|disguise|hospital|real estate agent|thief</t>
  </si>
  <si>
    <t>http://www.imdb.com/title/tt1904996/?ref_=fn_tt_tt_1</t>
  </si>
  <si>
    <t>Austin Nichols</t>
  </si>
  <si>
    <t>Wimbledon </t>
  </si>
  <si>
    <t>career|player|tennis|tennis player|wimbledon</t>
  </si>
  <si>
    <t>http://www.imdb.com/title/tt0360201/?ref_=fn_tt_tt_1</t>
  </si>
  <si>
    <t>Brooke Shields</t>
  </si>
  <si>
    <t>Matt Prokop</t>
  </si>
  <si>
    <t>Furry Vengeance 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</si>
  <si>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</si>
  <si>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</si>
  <si>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</si>
  <si>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</si>
  <si>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</si>
  <si>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Bait </t>
  </si>
  <si>
    <t>great white shark|shark|supermarket|swimming|tsunami</t>
  </si>
  <si>
    <t>http://www.imdb.com/title/tt1438173/?ref_=fn_tt_tt_1</t>
  </si>
  <si>
    <t>Peter Yates</t>
  </si>
  <si>
    <t>Lysette Anthony</t>
  </si>
  <si>
    <t>Krull 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</si>
  <si>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</si>
  <si>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</si>
  <si>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</si>
  <si>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</si>
  <si>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</si>
  <si>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</si>
  <si>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Rosanna Arquette</t>
  </si>
  <si>
    <t>Dann Florek</t>
  </si>
  <si>
    <t>Christopher Rich</t>
  </si>
  <si>
    <t>Flight of the Intruder 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</si>
  <si>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</si>
  <si>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</si>
  <si>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</si>
  <si>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</si>
  <si>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</si>
  <si>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</si>
  <si>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Jason Behr</t>
  </si>
  <si>
    <t>The Shipping News 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</si>
  <si>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</si>
  <si>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</si>
  <si>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</si>
  <si>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</si>
  <si>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</si>
  <si>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</si>
  <si>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</si>
  <si>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</si>
  <si>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</si>
  <si>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</si>
  <si>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</si>
  <si>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</si>
  <si>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Shawn Doyle</t>
  </si>
  <si>
    <t>Whiteout 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</si>
  <si>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</si>
  <si>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</si>
  <si>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</si>
  <si>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</si>
  <si>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</si>
  <si>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</si>
  <si>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Paul Sorvino</t>
  </si>
  <si>
    <t>Lela Rochon</t>
  </si>
  <si>
    <t>Ray Nicholas</t>
  </si>
  <si>
    <t>Knock Off </t>
  </si>
  <si>
    <t>cia|hong kong|market|undercover|van</t>
  </si>
  <si>
    <t>http://www.imdb.com/title/tt0120724/?ref_=fn_tt_tt_1</t>
  </si>
  <si>
    <t>Aruba</t>
  </si>
  <si>
    <t>Maurice Compte</t>
  </si>
  <si>
    <t>Sabotage </t>
  </si>
  <si>
    <t>dea|drug cartel|kicked in the crotch|strip club|tough girl</t>
  </si>
  <si>
    <t>http://www.imdb.com/title/tt1742334/?ref_=fn_tt_tt_1</t>
  </si>
  <si>
    <t>Benno Fürmann</t>
  </si>
  <si>
    <t>The Order 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</si>
  <si>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</si>
  <si>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</si>
  <si>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</si>
  <si>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</si>
  <si>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</si>
  <si>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</si>
  <si>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</si>
  <si>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</si>
  <si>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</si>
  <si>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</si>
  <si>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Adventure|Biography|Drama|Thriller</t>
  </si>
  <si>
    <t>Soleyman Pierini</t>
  </si>
  <si>
    <t>Jade Kindar-Martin</t>
  </si>
  <si>
    <t>The Walk </t>
  </si>
  <si>
    <t>1970s|based on true story|new york city|skyscraper|tightrope walker</t>
  </si>
  <si>
    <t>http://www.imdb.com/title/tt3488710/?ref_=fn_tt_tt_1</t>
  </si>
  <si>
    <t>Ronny Yu</t>
  </si>
  <si>
    <t>Marley Shelton</t>
  </si>
  <si>
    <t>Lee Arenberg</t>
  </si>
  <si>
    <t>Angus Macfadyen</t>
  </si>
  <si>
    <t>Warriors of Virtue 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</si>
  <si>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</si>
  <si>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</si>
  <si>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</si>
  <si>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</si>
  <si>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</si>
  <si>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Warren Brown</t>
  </si>
  <si>
    <t>Luther 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</si>
  <si>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</si>
  <si>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</si>
  <si>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</si>
  <si>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</si>
  <si>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</si>
  <si>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</si>
  <si>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</si>
  <si>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</si>
  <si>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</si>
  <si>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</si>
  <si>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</si>
  <si>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</si>
  <si>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</si>
  <si>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Rie Rasmussen</t>
  </si>
  <si>
    <t>Femme Fatale 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</si>
  <si>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</si>
  <si>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</si>
  <si>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</si>
  <si>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</si>
  <si>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</si>
  <si>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</si>
  <si>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</si>
  <si>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</si>
  <si>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Isabelle Carré</t>
  </si>
  <si>
    <t>The Horseman on the Roof </t>
  </si>
  <si>
    <t>austrian|breasts|cholera|police|provence</t>
  </si>
  <si>
    <t>http://www.imdb.com/title/tt0113362/?ref_=fn_tt_tt_1</t>
  </si>
  <si>
    <t>Drama|Romance|War|Western</t>
  </si>
  <si>
    <t>Jeremy W. Auman</t>
  </si>
  <si>
    <t>Jeffrey Dover</t>
  </si>
  <si>
    <t>Tobey Maguire</t>
  </si>
  <si>
    <t>Ride with the Devil </t>
  </si>
  <si>
    <t>bushwhacker|friend|honor|kansas|raid</t>
  </si>
  <si>
    <t>http://www.imdb.com/title/tt0134154/?ref_=fn_tt_tt_1</t>
  </si>
  <si>
    <t>Maricel Álvarez</t>
  </si>
  <si>
    <t>Hanaa Bouchaib</t>
  </si>
  <si>
    <t>Eduard Fernández</t>
  </si>
  <si>
    <t>Biutiful 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</si>
  <si>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</si>
  <si>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</si>
  <si>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</si>
  <si>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</si>
  <si>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</si>
  <si>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</si>
  <si>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</si>
  <si>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</si>
  <si>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Beverly D'Angelo</t>
  </si>
  <si>
    <t>Black Water Transit </t>
  </si>
  <si>
    <t>based on novel</t>
  </si>
  <si>
    <t>http://www.imdb.com/title/tt0490087/?ref_=fn_tt_tt_1</t>
  </si>
  <si>
    <t>Aml Ameen</t>
  </si>
  <si>
    <t>Jacob Latimore</t>
  </si>
  <si>
    <t>The Maze Runner 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</si>
  <si>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</si>
  <si>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</si>
  <si>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</si>
  <si>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</si>
  <si>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</si>
  <si>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Unfinished Business 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</si>
  <si>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</si>
  <si>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</si>
  <si>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</si>
  <si>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</si>
  <si>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</si>
  <si>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</si>
  <si>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</si>
  <si>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</si>
  <si>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</si>
  <si>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</si>
  <si>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Action|Adventure|Comedy|Drama|Thriller</t>
  </si>
  <si>
    <t>Kevin J. O'Connor</t>
  </si>
  <si>
    <t>Hudson Leick</t>
  </si>
  <si>
    <t>Chill Factor </t>
  </si>
  <si>
    <t>colonel|ice|ice cream truck|military|u.s. army</t>
  </si>
  <si>
    <t>http://www.imdb.com/title/tt0163579/?ref_=fn_tt_tt_1</t>
  </si>
  <si>
    <t>Sami Gayle</t>
  </si>
  <si>
    <t>Stolen </t>
  </si>
  <si>
    <t>bank|money|presumed dead|rescue|thief</t>
  </si>
  <si>
    <t>http://www.imdb.com/title/tt1656186/?ref_=fn_tt_tt_1</t>
  </si>
  <si>
    <t>Hayao Miyazaki</t>
  </si>
  <si>
    <t>Rumi Hiiragi</t>
  </si>
  <si>
    <t>Yûki Amami</t>
  </si>
  <si>
    <t>Yuria Nara</t>
  </si>
  <si>
    <t>Ponyo </t>
  </si>
  <si>
    <t>children adventure|magical realism|sea goddess|small town|tsunami</t>
  </si>
  <si>
    <t>http://www.imdb.com/title/tt0876563/?ref_=fn_tt_tt_1</t>
  </si>
  <si>
    <t>George Tillman Jr.</t>
  </si>
  <si>
    <t>Tiago Riani</t>
  </si>
  <si>
    <t>Melissa Benoist</t>
  </si>
  <si>
    <t>Hayley Lovitt</t>
  </si>
  <si>
    <t>The Longest Ride 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</si>
  <si>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</si>
  <si>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</si>
  <si>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</si>
  <si>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</si>
  <si>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</si>
  <si>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</si>
  <si>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</si>
  <si>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</si>
  <si>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</si>
  <si>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I Dreamed of Africa 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</si>
  <si>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</si>
  <si>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</si>
  <si>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</si>
  <si>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</si>
  <si>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</si>
  <si>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Terry Pheto</t>
  </si>
  <si>
    <t>Fana Mokoena</t>
  </si>
  <si>
    <t>Tony Kgoroge</t>
  </si>
  <si>
    <t>Mandela: Long Walk to Freedom 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</si>
  <si>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</si>
  <si>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</si>
  <si>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</si>
  <si>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</si>
  <si>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</si>
  <si>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</si>
  <si>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</si>
  <si>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</si>
  <si>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</si>
  <si>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</si>
  <si>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</si>
  <si>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</si>
  <si>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</si>
  <si>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</si>
  <si>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</si>
  <si>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Kyle Hebert</t>
  </si>
  <si>
    <t>Brianne Brozey</t>
  </si>
  <si>
    <t>Joe Ochman</t>
  </si>
  <si>
    <t>Thunder and the House of Magic </t>
  </si>
  <si>
    <t>http://www.imdb.com/title/tt3148834/?ref_=fn_tt_tt_1</t>
  </si>
  <si>
    <t>Chris Gorak</t>
  </si>
  <si>
    <t>Veronika Vernadskaya</t>
  </si>
  <si>
    <t>Dato Bakhtadze</t>
  </si>
  <si>
    <t>The Darkest Hour </t>
  </si>
  <si>
    <t>alien|aurora borealis|critically bashed|killing an animal|nightclub</t>
  </si>
  <si>
    <t>http://www.imdb.com/title/tt1093357/?ref_=fn_tt_tt_1</t>
  </si>
  <si>
    <t>Scott Speer</t>
  </si>
  <si>
    <t>Drama|Music|Romance</t>
  </si>
  <si>
    <t>Ryan Guzman</t>
  </si>
  <si>
    <t>Stephen Boss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</si>
  <si>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</si>
  <si>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</si>
  <si>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</si>
  <si>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</si>
  <si>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</si>
  <si>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Snakes on a Plane </t>
  </si>
  <si>
    <t>baby rattle|famous line|murder|passenger|snake</t>
  </si>
  <si>
    <t>http://www.imdb.com/title/tt0417148/?ref_=fn_tt_tt_1</t>
  </si>
  <si>
    <t>Joe Charbanic</t>
  </si>
  <si>
    <t>Chris Ellis</t>
  </si>
  <si>
    <t>The Watcher 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</si>
  <si>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</si>
  <si>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</si>
  <si>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</si>
  <si>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</si>
  <si>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</si>
  <si>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The Punisher 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</si>
  <si>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</si>
  <si>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</si>
  <si>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</si>
  <si>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</si>
  <si>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</si>
  <si>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</si>
  <si>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</si>
  <si>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Robert John Burke</t>
  </si>
  <si>
    <t>Safe 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</si>
  <si>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</si>
  <si>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</si>
  <si>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</si>
  <si>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</si>
  <si>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</si>
  <si>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</si>
  <si>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</si>
  <si>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Star Wars: Episode VI - Return of the Jedi 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</si>
  <si>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</si>
  <si>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</si>
  <si>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</si>
  <si>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</si>
  <si>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</si>
  <si>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</si>
  <si>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</si>
  <si>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</si>
  <si>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Susanne Lothar</t>
  </si>
  <si>
    <t>The Reader 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</si>
  <si>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</si>
  <si>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</si>
  <si>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</si>
  <si>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</si>
  <si>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</si>
  <si>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</si>
  <si>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</si>
  <si>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</si>
  <si>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</si>
  <si>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</si>
  <si>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David Gallagher</t>
  </si>
  <si>
    <t>Phenomenon 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</si>
  <si>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</si>
  <si>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</si>
  <si>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</si>
  <si>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</si>
  <si>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</si>
  <si>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</si>
  <si>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</si>
  <si>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</si>
  <si>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</si>
  <si>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</si>
  <si>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</si>
  <si>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</si>
  <si>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Héctor Jiménez</t>
  </si>
  <si>
    <t>Nacho Libre </t>
  </si>
  <si>
    <t>lucha libre|monastery|nun|orphan|wrestling</t>
  </si>
  <si>
    <t>http://www.imdb.com/title/tt0457510/?ref_=fn_tt_tt_1</t>
  </si>
  <si>
    <t>Wendi McLendon-Covey</t>
  </si>
  <si>
    <t>Steve Bannos</t>
  </si>
  <si>
    <t>Bridesmaids 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</si>
  <si>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</si>
  <si>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</si>
  <si>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</si>
  <si>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</si>
  <si>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</si>
  <si>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</si>
  <si>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</si>
  <si>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</si>
  <si>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</si>
  <si>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</si>
  <si>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</si>
  <si>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</si>
  <si>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</si>
  <si>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</si>
  <si>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</si>
  <si>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</si>
  <si>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</si>
  <si>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</si>
  <si>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</si>
  <si>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</si>
  <si>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Portia Doubleday</t>
  </si>
  <si>
    <t>Big Mommas: Like Father, Like Son 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</si>
  <si>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</si>
  <si>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</si>
  <si>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</si>
  <si>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</si>
  <si>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Source Code </t>
  </si>
  <si>
    <t>bomber|time|time loop|train|trapped in a time loop</t>
  </si>
  <si>
    <t>http://www.imdb.com/title/tt0945513/?ref_=fn_tt_tt_1</t>
  </si>
  <si>
    <t>Illeana Douglas</t>
  </si>
  <si>
    <t>Danny Nucci</t>
  </si>
  <si>
    <t>Michael DeLorenzo</t>
  </si>
  <si>
    <t>Alive 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</si>
  <si>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</si>
  <si>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</si>
  <si>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</si>
  <si>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</si>
  <si>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</si>
  <si>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Action|Adventure|Drama|Family</t>
  </si>
  <si>
    <t>Julian Richings</t>
  </si>
  <si>
    <t>Judy Davis</t>
  </si>
  <si>
    <t>The Young and Prodigious T.S. Spivet </t>
  </si>
  <si>
    <t>3 dimensional|cartographer|punctuation in title|smithsonian|train</t>
  </si>
  <si>
    <t>http://www.imdb.com/title/tt1981107/?ref_=fn_tt_tt_1</t>
  </si>
  <si>
    <t>Action|Comedy|War</t>
  </si>
  <si>
    <t>John Belushi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</si>
  <si>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</si>
  <si>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</si>
  <si>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</si>
  <si>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</si>
  <si>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</si>
  <si>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</si>
  <si>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Dreamer: Inspired by a True Story 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</si>
  <si>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</si>
  <si>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</si>
  <si>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</si>
  <si>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</si>
  <si>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</si>
  <si>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</si>
  <si>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</si>
  <si>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</si>
  <si>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</si>
  <si>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Action|Thriller|Western</t>
  </si>
  <si>
    <t>Pat Hingle</t>
  </si>
  <si>
    <t>Roberts Blossom</t>
  </si>
  <si>
    <t>The Quick and the Dead 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</si>
  <si>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</si>
  <si>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</si>
  <si>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</si>
  <si>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</si>
  <si>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Laws of Attraction 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</si>
  <si>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</si>
  <si>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</si>
  <si>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</si>
  <si>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</si>
  <si>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</si>
  <si>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Bringing Out the Dead 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</si>
  <si>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</si>
  <si>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</si>
  <si>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</si>
  <si>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</si>
  <si>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</si>
  <si>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</si>
  <si>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</si>
  <si>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</si>
  <si>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</si>
  <si>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</si>
  <si>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</si>
  <si>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Andrea Martin</t>
  </si>
  <si>
    <t>Bogus 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</si>
  <si>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</si>
  <si>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</si>
  <si>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</si>
  <si>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</si>
  <si>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</si>
  <si>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</si>
  <si>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</si>
  <si>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</si>
  <si>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</si>
  <si>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</si>
  <si>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</si>
  <si>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</si>
  <si>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</si>
  <si>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</si>
  <si>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</si>
  <si>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</si>
  <si>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</si>
  <si>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</si>
  <si>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</si>
  <si>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Action|Adventure|Comedy|Fantasy|Romance</t>
  </si>
  <si>
    <t>Rollo Weeks</t>
  </si>
  <si>
    <t>Simon Callow</t>
  </si>
  <si>
    <t>George and the Dragon 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</si>
  <si>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</si>
  <si>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</si>
  <si>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</si>
  <si>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</si>
  <si>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</si>
  <si>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</si>
  <si>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</si>
  <si>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</si>
  <si>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</si>
  <si>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Jean Louisa Kelly</t>
  </si>
  <si>
    <t>Mr. Holland's Opus 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</si>
  <si>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</si>
  <si>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</si>
  <si>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</si>
  <si>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</si>
  <si>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</si>
  <si>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Criminal 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</si>
  <si>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</si>
  <si>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</si>
  <si>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</si>
  <si>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</si>
  <si>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</si>
  <si>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</si>
  <si>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</si>
  <si>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</si>
  <si>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</si>
  <si>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</si>
  <si>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</si>
  <si>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</si>
  <si>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</si>
  <si>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</si>
  <si>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</si>
  <si>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</si>
  <si>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</si>
  <si>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</si>
  <si>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Hearts in Atlantis </t>
  </si>
  <si>
    <t>based on multiple works|bully|kiss|memory|mysterious stranger</t>
  </si>
  <si>
    <t>http://www.imdb.com/title/tt0252501/?ref_=fn_tt_tt_1</t>
  </si>
  <si>
    <t>Comedy|Fantasy|Horror|Thriller</t>
  </si>
  <si>
    <t>Peter Jason</t>
  </si>
  <si>
    <t>Brian McNamara</t>
  </si>
  <si>
    <t>Arachnophobia 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</si>
  <si>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</si>
  <si>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</si>
  <si>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</si>
  <si>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</si>
  <si>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</si>
  <si>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</si>
  <si>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</si>
  <si>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</si>
  <si>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</si>
  <si>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</si>
  <si>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</si>
  <si>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</si>
  <si>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</si>
  <si>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Comedy|Crime|Musical</t>
  </si>
  <si>
    <t>Chita Rivera</t>
  </si>
  <si>
    <t>Jayne Eastwood</t>
  </si>
  <si>
    <t>Chicago </t>
  </si>
  <si>
    <t>fame|jail|jazz age|murder|vaudeville</t>
  </si>
  <si>
    <t>http://www.imdb.com/title/tt0299658/?ref_=fn_tt_tt_1</t>
  </si>
  <si>
    <t>Joey Lauren Adams</t>
  </si>
  <si>
    <t>Big Daddy 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</si>
  <si>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</si>
  <si>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</si>
  <si>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</si>
  <si>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</si>
  <si>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</si>
  <si>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</si>
  <si>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</si>
  <si>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</si>
  <si>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</si>
  <si>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</si>
  <si>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</si>
  <si>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</si>
  <si>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</si>
  <si>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</si>
  <si>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</si>
  <si>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The Vow 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</si>
  <si>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</si>
  <si>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</si>
  <si>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</si>
  <si>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</si>
  <si>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</si>
  <si>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</si>
  <si>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</si>
  <si>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</si>
  <si>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</si>
  <si>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</si>
  <si>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</si>
  <si>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</si>
  <si>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</si>
  <si>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</si>
  <si>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</si>
  <si>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</si>
  <si>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</si>
  <si>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</si>
  <si>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Carel Struycken</t>
  </si>
  <si>
    <t>The Addams Family 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</si>
  <si>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</si>
  <si>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</si>
  <si>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</si>
  <si>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</si>
  <si>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</si>
  <si>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Heather Matarazzo</t>
  </si>
  <si>
    <t>The Princess Diaries 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</si>
  <si>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</si>
  <si>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</si>
  <si>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</si>
  <si>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</si>
  <si>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</si>
  <si>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</si>
  <si>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</si>
  <si>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</si>
  <si>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</si>
  <si>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</si>
  <si>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</si>
  <si>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</si>
  <si>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</si>
  <si>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</si>
  <si>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The SpongeBob SquarePants Movie </t>
  </si>
  <si>
    <t>based on tv series|crown|dream|king neptune|plankton</t>
  </si>
  <si>
    <t>http://www.imdb.com/title/tt0345950/?ref_=fn_tt_tt_1</t>
  </si>
  <si>
    <t>Spencer Treat Clark</t>
  </si>
  <si>
    <t>Tom Guiry</t>
  </si>
  <si>
    <t>Mystic River </t>
  </si>
  <si>
    <t>ballistics|detective|friend|gun|sexual abuse</t>
  </si>
  <si>
    <t>http://www.imdb.com/title/tt0327056/?ref_=fn_tt_tt_1</t>
  </si>
  <si>
    <t>Mike Colter</t>
  </si>
  <si>
    <t>Million Dollar Baby 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</si>
  <si>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</si>
  <si>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</si>
  <si>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</si>
  <si>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</si>
  <si>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</si>
  <si>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</si>
  <si>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</si>
  <si>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</si>
  <si>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</si>
  <si>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Yetta Gottesman</t>
  </si>
  <si>
    <t>27 Dresses 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</si>
  <si>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</si>
  <si>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</si>
  <si>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</si>
  <si>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</si>
  <si>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</si>
  <si>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</si>
  <si>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</si>
  <si>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</si>
  <si>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</si>
  <si>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</si>
  <si>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</si>
  <si>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Melinda Dillon</t>
  </si>
  <si>
    <t>The Prince of Tides 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</si>
  <si>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</si>
  <si>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</si>
  <si>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</si>
  <si>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</si>
  <si>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</si>
  <si>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</si>
  <si>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Chris Lowell</t>
  </si>
  <si>
    <t>Up in the Air 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</si>
  <si>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</si>
  <si>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</si>
  <si>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</si>
  <si>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</si>
  <si>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</si>
  <si>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About Schmidt </t>
  </si>
  <si>
    <t>highway travel|on the road|retirement|road movie|wedding</t>
  </si>
  <si>
    <t>http://www.imdb.com/title/tt0257360/?ref_=fn_tt_tt_1</t>
  </si>
  <si>
    <t>Jonathan Levine</t>
  </si>
  <si>
    <t>Comedy|Horror|Romance</t>
  </si>
  <si>
    <t>Cory Hardrict</t>
  </si>
  <si>
    <t>Vincent Leclerc</t>
  </si>
  <si>
    <t>Daniel Rindress-Kay</t>
  </si>
  <si>
    <t>Warm Bodies </t>
  </si>
  <si>
    <t>fight|memory|teenager|undead|zombie</t>
  </si>
  <si>
    <t>http://www.imdb.com/title/tt1588173/?ref_=fn_tt_tt_1</t>
  </si>
  <si>
    <t>Rian Johnson</t>
  </si>
  <si>
    <t>Tracie Thoms</t>
  </si>
  <si>
    <t>Looper 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</si>
  <si>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</si>
  <si>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</si>
  <si>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</si>
  <si>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</si>
  <si>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</si>
  <si>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</si>
  <si>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</si>
  <si>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</si>
  <si>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</si>
  <si>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</si>
  <si>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Jean Smart</t>
  </si>
  <si>
    <t>Hope Springs </t>
  </si>
  <si>
    <t>couple|intimacy|marriage|marriage counseling|middle age couple</t>
  </si>
  <si>
    <t>http://www.imdb.com/title/tt1535438/?ref_=fn_tt_tt_1</t>
  </si>
  <si>
    <t>Maria Thayer</t>
  </si>
  <si>
    <t>Forgetting Sarah Marshall 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</si>
  <si>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</si>
  <si>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</si>
  <si>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</si>
  <si>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</si>
  <si>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</si>
  <si>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</si>
  <si>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</si>
  <si>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Fionnula Flanagan</t>
  </si>
  <si>
    <t>Four Brothers 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</si>
  <si>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</si>
  <si>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</si>
  <si>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</si>
  <si>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</si>
  <si>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</si>
  <si>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</si>
  <si>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</si>
  <si>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</si>
  <si>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</si>
  <si>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</si>
  <si>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</si>
  <si>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</si>
  <si>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</si>
  <si>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Antony Starr</t>
  </si>
  <si>
    <t>Scott Adsit</t>
  </si>
  <si>
    <t>Bonnie Somerville</t>
  </si>
  <si>
    <t>Without a Paddle </t>
  </si>
  <si>
    <t>death|friend|hijacker|river|tree house</t>
  </si>
  <si>
    <t>http://www.imdb.com/title/tt0364751/?ref_=fn_tt_tt_1</t>
  </si>
  <si>
    <t>Christa B. Allen</t>
  </si>
  <si>
    <t>13 Going on 30 </t>
  </si>
  <si>
    <t>13 year old|13th birthday|30 year old|wish|year 1987</t>
  </si>
  <si>
    <t>http://www.imdb.com/title/tt0337563/?ref_=fn_tt_tt_1</t>
  </si>
  <si>
    <t>Audrey Fleurot</t>
  </si>
  <si>
    <t>Nina Arianda</t>
  </si>
  <si>
    <t>Midnight in Paris 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</si>
  <si>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</si>
  <si>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</si>
  <si>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</si>
  <si>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</si>
  <si>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</si>
  <si>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</si>
  <si>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</si>
  <si>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</si>
  <si>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</si>
  <si>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</si>
  <si>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</si>
  <si>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Raphael Sbarge</t>
  </si>
  <si>
    <t>Message in a Bottle 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</si>
  <si>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</si>
  <si>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</si>
  <si>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</si>
  <si>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</si>
  <si>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</si>
  <si>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</si>
  <si>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</si>
  <si>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</si>
  <si>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</si>
  <si>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Like Mike </t>
  </si>
  <si>
    <t>basketball|lightning|nba|orphanage|shoe</t>
  </si>
  <si>
    <t>http://www.imdb.com/title/tt0308506/?ref_=fn_tt_tt_1</t>
  </si>
  <si>
    <t>Priscilla Presley</t>
  </si>
  <si>
    <t>Naked Gun 33 1/3: The Final Insult </t>
  </si>
  <si>
    <t>retirement|spoof|terrorist|transsexual|undercover</t>
  </si>
  <si>
    <t>http://www.imdb.com/title/tt0110622/?ref_=fn_tt_tt_1</t>
  </si>
  <si>
    <t>Patrick Macnee</t>
  </si>
  <si>
    <t>Tanya Roberts</t>
  </si>
  <si>
    <t>A View to a Kill </t>
  </si>
  <si>
    <t>computer|earthquake|microchip|official james bond series|silicon valley</t>
  </si>
  <si>
    <t>http://www.imdb.com/title/tt0090264/?ref_=fn_tt_tt_1</t>
  </si>
  <si>
    <t>Steve Box</t>
  </si>
  <si>
    <t>Animation|Comedy|Family|Mystery|Sci-Fi</t>
  </si>
  <si>
    <t>Mark Gatiss</t>
  </si>
  <si>
    <t>Geraldine McEwan</t>
  </si>
  <si>
    <t>Peter Sallis</t>
  </si>
  <si>
    <t>The Curse of the Were-Rabbit </t>
  </si>
  <si>
    <t>competition|giant vegetable|pest control|stop motion animation|vegetable</t>
  </si>
  <si>
    <t>http://www.imdb.com/title/tt0312004/?ref_=fn_tt_tt_1</t>
  </si>
  <si>
    <t>Nellie McKay</t>
  </si>
  <si>
    <t>P.S. I Love You </t>
  </si>
  <si>
    <t>birthday|friendship|hairy chest|letter|widow</t>
  </si>
  <si>
    <t>http://www.imdb.com/title/tt0431308/?ref_=fn_tt_tt_1</t>
  </si>
  <si>
    <t>Adventure|Comedy|Drama|Family|Sport</t>
  </si>
  <si>
    <t>Frankie Muniz</t>
  </si>
  <si>
    <t>Racing Stripes </t>
  </si>
  <si>
    <t>farm|horse|kentucky|racehorse|zebra</t>
  </si>
  <si>
    <t>http://www.imdb.com/title/tt0376105/?ref_=fn_tt_tt_1</t>
  </si>
  <si>
    <t>Alfie Allen</t>
  </si>
  <si>
    <t>Brenda Blethyn</t>
  </si>
  <si>
    <t>Atonement </t>
  </si>
  <si>
    <t>death of sister|dying|loss of virginity|septicemia|sex</t>
  </si>
  <si>
    <t>http://www.imdb.com/title/tt0783233/?ref_=fn_tt_tt_1</t>
  </si>
  <si>
    <t>Marcia DeBonis</t>
  </si>
  <si>
    <t>Luisa Ranieri</t>
  </si>
  <si>
    <t>Letters to Juliet 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</si>
  <si>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</si>
  <si>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</si>
  <si>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</si>
  <si>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</si>
  <si>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Black Rain 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</si>
  <si>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</si>
  <si>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</si>
  <si>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</si>
  <si>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</si>
  <si>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</si>
  <si>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</si>
  <si>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</si>
  <si>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</si>
  <si>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</si>
  <si>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</si>
  <si>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</si>
  <si>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</si>
  <si>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</si>
  <si>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Glory Road </t>
  </si>
  <si>
    <t>coach|college basketball|national championship|ncaa|texas</t>
  </si>
  <si>
    <t>http://www.imdb.com/title/tt0385726/?ref_=fn_tt_tt_1</t>
  </si>
  <si>
    <t>Edgar Arreola</t>
  </si>
  <si>
    <t>Bernardo Saracino</t>
  </si>
  <si>
    <t>Sicario </t>
  </si>
  <si>
    <t>critically acclaimed|drug cartel|juarez mexico|u.s. mexico border|war on drugs</t>
  </si>
  <si>
    <t>http://www.imdb.com/title/tt3397884/?ref_=fn_tt_tt_1</t>
  </si>
  <si>
    <t>Oona Laurence</t>
  </si>
  <si>
    <t>Southpaw 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</si>
  <si>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</si>
  <si>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</si>
  <si>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</si>
  <si>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</si>
  <si>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</si>
  <si>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</si>
  <si>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</si>
  <si>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</si>
  <si>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</si>
  <si>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</si>
  <si>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</si>
  <si>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Secondhand Lions </t>
  </si>
  <si>
    <t>africa|eyeglasses|money|texas|veteran</t>
  </si>
  <si>
    <t>http://www.imdb.com/title/tt0327137/?ref_=fn_tt_tt_1</t>
  </si>
  <si>
    <t>Facundo Lombard</t>
  </si>
  <si>
    <t>Step Up 3D </t>
  </si>
  <si>
    <t>dance|dance crew|dancer|mortgage|new york city</t>
  </si>
  <si>
    <t>http://www.imdb.com/title/tt1193631/?ref_=fn_tt_tt_1</t>
  </si>
  <si>
    <t>Sanoe Lake</t>
  </si>
  <si>
    <t>Blue Crush 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</si>
  <si>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</si>
  <si>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</si>
  <si>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</si>
  <si>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</si>
  <si>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Stranger Than Fiction </t>
  </si>
  <si>
    <t>author|fate|novelist|professor|writer</t>
  </si>
  <si>
    <t>http://www.imdb.com/title/tt0420223/?ref_=fn_tt_tt_1</t>
  </si>
  <si>
    <t>Mark Rendall</t>
  </si>
  <si>
    <t>Megan Franich</t>
  </si>
  <si>
    <t>30 Days of Night 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</si>
  <si>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</si>
  <si>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</si>
  <si>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</si>
  <si>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</si>
  <si>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</si>
  <si>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</si>
  <si>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</si>
  <si>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Method Man</t>
  </si>
  <si>
    <t>Meet the Spartans 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</si>
  <si>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</si>
  <si>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</si>
  <si>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</si>
  <si>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</si>
  <si>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</si>
  <si>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</si>
  <si>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</si>
  <si>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Richard Dawson</t>
  </si>
  <si>
    <t>The Running Man 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</si>
  <si>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</si>
  <si>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</si>
  <si>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</si>
  <si>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</si>
  <si>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Little Shop of Horrors </t>
  </si>
  <si>
    <t>eclipse|florist|nerd|plant|shop</t>
  </si>
  <si>
    <t>http://www.imdb.com/title/tt0091419/?ref_=fn_tt_tt_1</t>
  </si>
  <si>
    <t>Jessica Barden</t>
  </si>
  <si>
    <t>Vicky Krieps</t>
  </si>
  <si>
    <t>John Macmillan</t>
  </si>
  <si>
    <t>Hanna 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</si>
  <si>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</si>
  <si>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</si>
  <si>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</si>
  <si>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</si>
  <si>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</si>
  <si>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</si>
  <si>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</si>
  <si>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</si>
  <si>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</si>
  <si>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</si>
  <si>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</si>
  <si>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</si>
  <si>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</si>
  <si>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</si>
  <si>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</si>
  <si>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</si>
  <si>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</si>
  <si>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</si>
  <si>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</si>
  <si>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Take the Lead 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</si>
  <si>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</si>
  <si>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</si>
  <si>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</si>
  <si>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</si>
  <si>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</si>
  <si>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</si>
  <si>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Crime|Drama|Sport</t>
  </si>
  <si>
    <t>Jurnee Smollett-Bell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</si>
  <si>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</si>
  <si>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</si>
  <si>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</si>
  <si>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</si>
  <si>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</si>
  <si>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</si>
  <si>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</si>
  <si>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Action|Adventure|Animation|Drama|Mystery|Sci-Fi|Thriller</t>
  </si>
  <si>
    <t>Alan Oppenheimer</t>
  </si>
  <si>
    <t>Tom Kane</t>
  </si>
  <si>
    <t>9 </t>
  </si>
  <si>
    <t>hope|key|machine|number|rag doll</t>
  </si>
  <si>
    <t>http://www.imdb.com/title/tt0472033/?ref_=fn_tt_tt_1</t>
  </si>
  <si>
    <t>Katie Lowes</t>
  </si>
  <si>
    <t>Side Effects 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</si>
  <si>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</si>
  <si>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</si>
  <si>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</si>
  <si>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</si>
  <si>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The Prince and Me 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</si>
  <si>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</si>
  <si>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</si>
  <si>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</si>
  <si>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</si>
  <si>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</si>
  <si>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Winnie the Pooh </t>
  </si>
  <si>
    <t>disney|owl|rabbit|sequel|tiger</t>
  </si>
  <si>
    <t>http://www.imdb.com/title/tt1449283/?ref_=fn_tt_tt_1</t>
  </si>
  <si>
    <t>Troy Miller</t>
  </si>
  <si>
    <t>Cheri Oteri</t>
  </si>
  <si>
    <t>Dumb and Dumberer: When Harry Met Lloyd </t>
  </si>
  <si>
    <t>1980s|buddy|high school|prequel to cult favorite|teenager</t>
  </si>
  <si>
    <t>http://www.imdb.com/title/tt0329028/?ref_=fn_tt_tt_1</t>
  </si>
  <si>
    <t>Kirk Baltz</t>
  </si>
  <si>
    <t>Graham Beckel</t>
  </si>
  <si>
    <t>Bulworth </t>
  </si>
  <si>
    <t>hip hop|liberal|politics|senator|truth</t>
  </si>
  <si>
    <t>http://www.imdb.com/title/tt0118798/?ref_=fn_tt_tt_1</t>
  </si>
  <si>
    <t>Tika Sumpter</t>
  </si>
  <si>
    <t>Josh Hopkins</t>
  </si>
  <si>
    <t>Aunjanue Ellis</t>
  </si>
  <si>
    <t>Get on Up 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</si>
  <si>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</si>
  <si>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</si>
  <si>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</si>
  <si>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</si>
  <si>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</si>
  <si>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</si>
  <si>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</si>
  <si>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</si>
  <si>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</si>
  <si>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</si>
  <si>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</si>
  <si>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</si>
  <si>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</si>
  <si>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</si>
  <si>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</si>
  <si>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</si>
  <si>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</si>
  <si>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</si>
  <si>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</si>
  <si>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</si>
  <si>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</si>
  <si>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Dave Annable</t>
  </si>
  <si>
    <t>Little Black Book 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</si>
  <si>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</si>
  <si>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</si>
  <si>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</si>
  <si>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</si>
  <si>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</si>
  <si>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</si>
  <si>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</si>
  <si>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</si>
  <si>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</si>
  <si>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</si>
  <si>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</si>
  <si>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</si>
  <si>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</si>
  <si>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The Next Three Days 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</si>
  <si>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</si>
  <si>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</si>
  <si>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</si>
  <si>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</si>
  <si>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</si>
  <si>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</si>
  <si>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</si>
  <si>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</si>
  <si>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</si>
  <si>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Hugh Dillon</t>
  </si>
  <si>
    <t>Assault on Precinct 13 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</si>
  <si>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</si>
  <si>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</si>
  <si>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</si>
  <si>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</si>
  <si>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</si>
  <si>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</si>
  <si>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Action|Adventure|Crime|Drama|Romance</t>
  </si>
  <si>
    <t>Stephen Baldwin</t>
  </si>
  <si>
    <t>Fled </t>
  </si>
  <si>
    <t>disk|floppy disk|mafia|prison|prisoner</t>
  </si>
  <si>
    <t>http://www.imdb.com/title/tt0116320/?ref_=fn_tt_tt_1</t>
  </si>
  <si>
    <t>Ellory Elkayem</t>
  </si>
  <si>
    <t>Action|Comedy|Horror</t>
  </si>
  <si>
    <t>Doug E. Doug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</si>
  <si>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</si>
  <si>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</si>
  <si>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</si>
  <si>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</si>
  <si>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</si>
  <si>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</si>
  <si>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</si>
  <si>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</si>
  <si>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</si>
  <si>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</si>
  <si>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</si>
  <si>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</si>
  <si>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</si>
  <si>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</si>
  <si>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</si>
  <si>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</si>
  <si>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</si>
  <si>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Sarah Polley</t>
  </si>
  <si>
    <t>David Hewlett</t>
  </si>
  <si>
    <t>Delphine Chanéac</t>
  </si>
  <si>
    <t>Splice </t>
  </si>
  <si>
    <t>dna|experiment|genetics|interspecies sex|scientist</t>
  </si>
  <si>
    <t>http://www.imdb.com/title/tt1017460/?ref_=fn_tt_tt_1</t>
  </si>
  <si>
    <t>Willard Huyck</t>
  </si>
  <si>
    <t>Jordan Prentice</t>
  </si>
  <si>
    <t>Howard the Duck 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</si>
  <si>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</si>
  <si>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</si>
  <si>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</si>
  <si>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</si>
  <si>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</si>
  <si>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</si>
  <si>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</si>
  <si>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</si>
  <si>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</si>
  <si>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</si>
  <si>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</si>
  <si>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</si>
  <si>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</si>
  <si>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Robert Costanzo</t>
  </si>
  <si>
    <t>Alex &amp; Emma </t>
  </si>
  <si>
    <t>gambling|novel|stenographer|writer|writer's block</t>
  </si>
  <si>
    <t>http://www.imdb.com/title/tt0318283/?ref_=fn_tt_tt_1</t>
  </si>
  <si>
    <t>Jessica Paré</t>
  </si>
  <si>
    <t>Christopher Cousins</t>
  </si>
  <si>
    <t>Mark Camacho</t>
  </si>
  <si>
    <t>Wicker Park </t>
  </si>
  <si>
    <t>flashback|flashback within a flashback|multiple perspectives|obsession|split screen</t>
  </si>
  <si>
    <t>http://www.imdb.com/title/tt0324554/?ref_=fn_tt_tt_1</t>
  </si>
  <si>
    <t>Grace Phipps</t>
  </si>
  <si>
    <t>Reid Ewing</t>
  </si>
  <si>
    <t>Sandra Vergara</t>
  </si>
  <si>
    <t>Fright Night 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</si>
  <si>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</si>
  <si>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</si>
  <si>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</si>
  <si>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</si>
  <si>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</si>
  <si>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</si>
  <si>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</si>
  <si>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</si>
  <si>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</si>
  <si>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</si>
  <si>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</si>
  <si>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</si>
  <si>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</si>
  <si>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</si>
  <si>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</si>
  <si>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</si>
  <si>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</si>
  <si>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</si>
  <si>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</si>
  <si>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</si>
  <si>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The Last Stand </t>
  </si>
  <si>
    <t>deputy|escape|fbi|modern western|sheriff</t>
  </si>
  <si>
    <t>http://www.imdb.com/title/tt1549920/?ref_=fn_tt_tt_1</t>
  </si>
  <si>
    <t>Nick Hamm</t>
  </si>
  <si>
    <t>Munro Chambers</t>
  </si>
  <si>
    <t>Godsend 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</si>
  <si>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</si>
  <si>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</si>
  <si>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</si>
  <si>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</si>
  <si>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</si>
  <si>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Chasing Liberty 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</si>
  <si>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</si>
  <si>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</si>
  <si>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</si>
  <si>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</si>
  <si>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</si>
  <si>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</si>
  <si>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</si>
  <si>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Lynda Boyd</t>
  </si>
  <si>
    <t>An Unfinished Life 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</si>
  <si>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</si>
  <si>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</si>
  <si>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</si>
  <si>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</si>
  <si>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</si>
  <si>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</si>
  <si>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</si>
  <si>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</si>
  <si>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</si>
  <si>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Barney's Version </t>
  </si>
  <si>
    <t>ex wife|guest|marriage|memory|montreal</t>
  </si>
  <si>
    <t>http://www.imdb.com/title/tt1423894/?ref_=fn_tt_tt_1</t>
  </si>
  <si>
    <t>Ólafur Darri Ólafsson</t>
  </si>
  <si>
    <t>Ingvar Eggert Sigurðsson</t>
  </si>
  <si>
    <t>Björn Hlynur Haraldsson</t>
  </si>
  <si>
    <t>Trapped 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</si>
  <si>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</si>
  <si>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</si>
  <si>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</si>
  <si>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</si>
  <si>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</si>
  <si>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</si>
  <si>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</si>
  <si>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</si>
  <si>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Ned Bellamy</t>
  </si>
  <si>
    <t>Antitrust 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</si>
  <si>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</si>
  <si>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</si>
  <si>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</si>
  <si>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</si>
  <si>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</si>
  <si>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</si>
  <si>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</si>
  <si>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</si>
  <si>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</si>
  <si>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</si>
  <si>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James Biberi</t>
  </si>
  <si>
    <t>Dead Man Down 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</si>
  <si>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</si>
  <si>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</si>
  <si>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</si>
  <si>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</si>
  <si>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</si>
  <si>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</si>
  <si>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Emir Kusturica</t>
  </si>
  <si>
    <t>Saïd Taghmaoui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</si>
  <si>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</si>
  <si>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</si>
  <si>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</si>
  <si>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</si>
  <si>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</si>
  <si>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</si>
  <si>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</si>
  <si>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</si>
  <si>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</si>
  <si>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Lucy Boynton</t>
  </si>
  <si>
    <t>Miss Potter 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</si>
  <si>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</si>
  <si>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</si>
  <si>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</si>
  <si>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</si>
  <si>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</si>
  <si>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The Promise 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</si>
  <si>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</si>
  <si>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</si>
  <si>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</si>
  <si>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</si>
  <si>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</si>
  <si>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DOA: Dead or Alive 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</si>
  <si>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</si>
  <si>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</si>
  <si>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</si>
  <si>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</si>
  <si>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</si>
  <si>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</si>
  <si>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</si>
  <si>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</si>
  <si>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Jaycee Chan</t>
  </si>
  <si>
    <t>1911 </t>
  </si>
  <si>
    <t>china|disarming someone|qing dynasty|stabbed with a bayonet|war violence</t>
  </si>
  <si>
    <t>http://www.imdb.com/title/tt1772230/?ref_=fn_tt_tt_1</t>
  </si>
  <si>
    <t>Laurent Tirard</t>
  </si>
  <si>
    <t>Louise Bourgoin</t>
  </si>
  <si>
    <t>Sandrine Kiberlain</t>
  </si>
  <si>
    <t>Kad Merad</t>
  </si>
  <si>
    <t>Little Nicholas 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</si>
  <si>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</si>
  <si>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</si>
  <si>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</si>
  <si>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</si>
  <si>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</si>
  <si>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</si>
  <si>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Kathy Baker</t>
  </si>
  <si>
    <t>Machine Gun Preacher 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</si>
  <si>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</si>
  <si>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</si>
  <si>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</si>
  <si>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</si>
  <si>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</si>
  <si>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</si>
  <si>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</si>
  <si>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</si>
  <si>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</si>
  <si>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The Color of Freedom </t>
  </si>
  <si>
    <t>african national congress|father daughter relationship|film starts with text|nelson mandela|violence</t>
  </si>
  <si>
    <t>http://www.imdb.com/title/tt0438859/?ref_=fn_tt_tt_1</t>
  </si>
  <si>
    <t>Frédéric Auburtin</t>
  </si>
  <si>
    <t>Jemima West</t>
  </si>
  <si>
    <t>United Passions 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</si>
  <si>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</si>
  <si>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</si>
  <si>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</si>
  <si>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</si>
  <si>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</si>
  <si>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</si>
  <si>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</si>
  <si>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</si>
  <si>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</si>
  <si>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</si>
  <si>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</si>
  <si>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A Warrior's Tail </t>
  </si>
  <si>
    <t>battle|creature|hyena|monkey|village</t>
  </si>
  <si>
    <t>http://www.imdb.com/title/tt4075322/?ref_=fn_tt_tt_1</t>
  </si>
  <si>
    <t>Liliana Cavani</t>
  </si>
  <si>
    <t>Chiara Caselli</t>
  </si>
  <si>
    <t>Ripley's Game 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</si>
  <si>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</si>
  <si>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</si>
  <si>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</si>
  <si>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</si>
  <si>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</si>
  <si>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</si>
  <si>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</si>
  <si>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</si>
  <si>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</si>
  <si>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Hana Mae Lee</t>
  </si>
  <si>
    <t>Pitch Perfect 2 </t>
  </si>
  <si>
    <t>2010s|a cappella|box office hit|second part|sequel</t>
  </si>
  <si>
    <t>http://www.imdb.com/title/tt2848292/?ref_=fn_tt_tt_1</t>
  </si>
  <si>
    <t>Biography|Drama|Music|Romance</t>
  </si>
  <si>
    <t>Dallas Roberts</t>
  </si>
  <si>
    <t>Tyler Hilton</t>
  </si>
  <si>
    <t>Walk the Line </t>
  </si>
  <si>
    <t>1960s|accident|concert|guitar|prison</t>
  </si>
  <si>
    <t>http://www.imdb.com/title/tt0358273/?ref_=fn_tt_tt_1</t>
  </si>
  <si>
    <t>Adventure|Drama|Mystery|Sci-Fi|Thriller</t>
  </si>
  <si>
    <t>Amanda Schull</t>
  </si>
  <si>
    <t>Kirk Acevedo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</si>
  <si>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</si>
  <si>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</si>
  <si>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</si>
  <si>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</si>
  <si>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</si>
  <si>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</si>
  <si>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</si>
  <si>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</si>
  <si>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Mark Williams</t>
  </si>
  <si>
    <t>The Borrowers 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</si>
  <si>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</si>
  <si>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</si>
  <si>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</si>
  <si>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</si>
  <si>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</si>
  <si>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Biography|Comedy|Crime|Drama|Romance|Thriller</t>
  </si>
  <si>
    <t>Dick Clark</t>
  </si>
  <si>
    <t>David Julian Hirsh</t>
  </si>
  <si>
    <t>Jennifer Hall</t>
  </si>
  <si>
    <t>Confessions of a Dangerous Mind 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</si>
  <si>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</si>
  <si>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</si>
  <si>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</si>
  <si>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</si>
  <si>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</si>
  <si>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</si>
  <si>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</si>
  <si>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</si>
  <si>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</si>
  <si>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</si>
  <si>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</si>
  <si>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</si>
  <si>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</si>
  <si>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</si>
  <si>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</si>
  <si>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</si>
  <si>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Hannah Spearritt</t>
  </si>
  <si>
    <t>Seed of Chucky 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</si>
  <si>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</si>
  <si>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</si>
  <si>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</si>
  <si>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</si>
  <si>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</si>
  <si>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</si>
  <si>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The Jacket </t>
  </si>
  <si>
    <t>gulf war veteran|morgue|shot in the head|vermont|veteran</t>
  </si>
  <si>
    <t>http://www.imdb.com/title/tt0366627/?ref_=fn_tt_tt_1</t>
  </si>
  <si>
    <t>Scott Weinger</t>
  </si>
  <si>
    <t>Aladdin </t>
  </si>
  <si>
    <t>arab|genie|magic|princess|reference to a thousand and one nights</t>
  </si>
  <si>
    <t>http://www.imdb.com/title/tt0103639/?ref_=fn_tt_tt_1</t>
  </si>
  <si>
    <t>Biography|Crime|Drama|History|Music</t>
  </si>
  <si>
    <t>Neil Brown Jr.</t>
  </si>
  <si>
    <t>R. Marcos Taylor</t>
  </si>
  <si>
    <t>Straight Outta Compton 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</si>
  <si>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</si>
  <si>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</si>
  <si>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</si>
  <si>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</si>
  <si>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</si>
  <si>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</si>
  <si>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</si>
  <si>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</si>
  <si>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</si>
  <si>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</si>
  <si>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</si>
  <si>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</si>
  <si>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</si>
  <si>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</si>
  <si>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</si>
  <si>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</si>
  <si>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Florence Foster Jenkins </t>
  </si>
  <si>
    <t>heiress|opera singer|platonic marriage|singer|singing</t>
  </si>
  <si>
    <t>http://www.imdb.com/title/tt4136084/?ref_=fn_tt_tt_1</t>
  </si>
  <si>
    <t>Enrique Iglesias</t>
  </si>
  <si>
    <t>Once Upon a Time in Mexico </t>
  </si>
  <si>
    <t>agent|cia|mariachi|mexican|president</t>
  </si>
  <si>
    <t>http://www.imdb.com/title/tt0285823/?ref_=fn_tt_tt_1</t>
  </si>
  <si>
    <t>Reginald VelJohnson</t>
  </si>
  <si>
    <t>Die Hard 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</si>
  <si>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</si>
  <si>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</si>
  <si>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</si>
  <si>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</si>
  <si>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</si>
  <si>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Charlie Talbert</t>
  </si>
  <si>
    <t>The Big Short </t>
  </si>
  <si>
    <t>bank|banking|finance|fraud|mortgage</t>
  </si>
  <si>
    <t>http://www.imdb.com/title/tt1596363/?ref_=fn_tt_tt_1</t>
  </si>
  <si>
    <t>Demetri Martin</t>
  </si>
  <si>
    <t>Taking Woodstock 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</si>
  <si>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</si>
  <si>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</si>
  <si>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</si>
  <si>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</si>
  <si>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Miracle 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</si>
  <si>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</si>
  <si>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</si>
  <si>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</si>
  <si>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</si>
  <si>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</si>
  <si>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Alex Rocco</t>
  </si>
  <si>
    <t>The Wedding Planner 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</si>
  <si>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</si>
  <si>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</si>
  <si>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</si>
  <si>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</si>
  <si>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</si>
  <si>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Yû Aoi</t>
  </si>
  <si>
    <t>Haruma Miura</t>
  </si>
  <si>
    <t>Harlock: Space Pirate 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</si>
  <si>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</si>
  <si>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</si>
  <si>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</si>
  <si>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</si>
  <si>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</si>
  <si>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</si>
  <si>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</si>
  <si>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</si>
  <si>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</si>
  <si>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</si>
  <si>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</si>
  <si>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</si>
  <si>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</si>
  <si>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</si>
  <si>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</si>
  <si>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</si>
  <si>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Lilli Lavine</t>
  </si>
  <si>
    <t>David Sparrow</t>
  </si>
  <si>
    <t>Ann Talman</t>
  </si>
  <si>
    <t>Serendipity </t>
  </si>
  <si>
    <t>christmas|destiny|fate|love|serendipity</t>
  </si>
  <si>
    <t>http://www.imdb.com/title/tt0240890/?ref_=fn_tt_tt_1</t>
  </si>
  <si>
    <t>Mia Sara</t>
  </si>
  <si>
    <t>Gloria Reuben</t>
  </si>
  <si>
    <t>Timecop 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</si>
  <si>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</si>
  <si>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</si>
  <si>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</si>
  <si>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</si>
  <si>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</si>
  <si>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Drama|Romance|Thriller</t>
  </si>
  <si>
    <t>David Lyons</t>
  </si>
  <si>
    <t>Noah Lomax</t>
  </si>
  <si>
    <t>Mimi Kirkland</t>
  </si>
  <si>
    <t>Safe Haven </t>
  </si>
  <si>
    <t>abusive husband|chick flick|north carolina|secret|widower</t>
  </si>
  <si>
    <t>http://www.imdb.com/title/tt1702439/?ref_=fn_tt_tt_1</t>
  </si>
  <si>
    <t>Omri Katz</t>
  </si>
  <si>
    <t>Larry Bagby</t>
  </si>
  <si>
    <t>Hocus Pocus 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</si>
  <si>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</si>
  <si>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</si>
  <si>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</si>
  <si>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</si>
  <si>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</si>
  <si>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</si>
  <si>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Elizabeth McGovern</t>
  </si>
  <si>
    <t>Deborah Twiss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</si>
  <si>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</si>
  <si>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</si>
  <si>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</si>
  <si>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</si>
  <si>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</si>
  <si>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</si>
  <si>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</si>
  <si>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</si>
  <si>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</si>
  <si>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 2000 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</si>
  <si>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</si>
  <si>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</si>
  <si>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</si>
  <si>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</si>
  <si>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</si>
  <si>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</si>
  <si>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</si>
  <si>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Simon Woods</t>
  </si>
  <si>
    <t>Pride &amp; Prejudice 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</si>
  <si>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</si>
  <si>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</si>
  <si>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</si>
  <si>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</si>
  <si>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</si>
  <si>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</si>
  <si>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</si>
  <si>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</si>
  <si>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</si>
  <si>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</si>
  <si>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</si>
  <si>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Tómas Lemarquis</t>
  </si>
  <si>
    <t>3 Days to Kill 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</si>
  <si>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</si>
  <si>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</si>
  <si>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</si>
  <si>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</si>
  <si>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</si>
  <si>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We Own the Night 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</si>
  <si>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</si>
  <si>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</si>
  <si>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</si>
  <si>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</si>
  <si>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</si>
  <si>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Lost Souls 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</si>
  <si>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</si>
  <si>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</si>
  <si>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</si>
  <si>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</si>
  <si>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</si>
  <si>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</si>
  <si>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</si>
  <si>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</si>
  <si>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</si>
  <si>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</si>
  <si>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</si>
  <si>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Ron Eldard</t>
  </si>
  <si>
    <t>Mystery, Alaska </t>
  </si>
  <si>
    <t>alaska|male nudity|nudity|sex|small town</t>
  </si>
  <si>
    <t>http://www.imdb.com/title/tt0134618/?ref_=fn_tt_tt_1</t>
  </si>
  <si>
    <t>Action|Comedy|Family</t>
  </si>
  <si>
    <t>George Lopez</t>
  </si>
  <si>
    <t>The Spy Next Door </t>
  </si>
  <si>
    <t>chinese|cia|single mother|spy|terrorist</t>
  </si>
  <si>
    <t>http://www.imdb.com/title/tt1273678/?ref_=fn_tt_tt_1</t>
  </si>
  <si>
    <t>Mara Wilson</t>
  </si>
  <si>
    <t>Francis Capra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</si>
  <si>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</si>
  <si>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</si>
  <si>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</si>
  <si>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</si>
  <si>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</si>
  <si>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</si>
  <si>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</si>
  <si>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</si>
  <si>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</si>
  <si>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</si>
  <si>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Action|Horror|Romance</t>
  </si>
  <si>
    <t>Bella Heathcote</t>
  </si>
  <si>
    <t>Pride and Prejudice and Zombies </t>
  </si>
  <si>
    <t>based on novel|damsel in distress|deception|england|zombie</t>
  </si>
  <si>
    <t>http://www.imdb.com/title/tt1374989/?ref_=fn_tt_tt_1</t>
  </si>
  <si>
    <t>Tenzin Thuthob Tsarong</t>
  </si>
  <si>
    <t>Tulku Jamyang Kunga Tenzin</t>
  </si>
  <si>
    <t>Tencho Gyalpo</t>
  </si>
  <si>
    <t>Kundun 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</si>
  <si>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</si>
  <si>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</si>
  <si>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</si>
  <si>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</si>
  <si>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</si>
  <si>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How to Lose Friends &amp; Alienate People 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</si>
  <si>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</si>
  <si>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</si>
  <si>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</si>
  <si>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</si>
  <si>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</si>
  <si>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</si>
  <si>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</si>
  <si>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</si>
  <si>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Adventure|Drama|History|Romance|Thriller|War</t>
  </si>
  <si>
    <t>Elena Anaya</t>
  </si>
  <si>
    <t>Eduardo Noriega</t>
  </si>
  <si>
    <t>Captain Alatriste: The Spanish Musketeer 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</si>
  <si>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</si>
  <si>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</si>
  <si>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</si>
  <si>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</si>
  <si>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</si>
  <si>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</si>
  <si>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Louis Jourdan</t>
  </si>
  <si>
    <t>Kabir Bedi</t>
  </si>
  <si>
    <t>Steven Berkoff</t>
  </si>
  <si>
    <t>Octopussy 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</si>
  <si>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</si>
  <si>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</si>
  <si>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</si>
  <si>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</si>
  <si>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</si>
  <si>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</si>
  <si>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</si>
  <si>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Jeffrey Markle</t>
  </si>
  <si>
    <t>My Sister's Keeper 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</si>
  <si>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</si>
  <si>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</si>
  <si>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</si>
  <si>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</si>
  <si>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</si>
  <si>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</si>
  <si>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</si>
  <si>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</si>
  <si>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</si>
  <si>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</si>
  <si>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</si>
  <si>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Phil Davis</t>
  </si>
  <si>
    <t>Andrew Simpson</t>
  </si>
  <si>
    <t>Shaun Parkes</t>
  </si>
  <si>
    <t>Notes on a Scandal 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</si>
  <si>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</si>
  <si>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</si>
  <si>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</si>
  <si>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</si>
  <si>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</si>
  <si>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</si>
  <si>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</si>
  <si>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Limitless 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</si>
  <si>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</si>
  <si>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</si>
  <si>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</si>
  <si>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</si>
  <si>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</si>
  <si>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</si>
  <si>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</si>
  <si>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Matthew Settle</t>
  </si>
  <si>
    <t>Divine Secrets of the Ya-Ya Sisterhood </t>
  </si>
  <si>
    <t>flashback|interview|louisiana|playwright|secret society</t>
  </si>
  <si>
    <t>http://www.imdb.com/title/tt0279778/?ref_=fn_tt_tt_1</t>
  </si>
  <si>
    <t>Tatyana Ali</t>
  </si>
  <si>
    <t>Kiss the Girls </t>
  </si>
  <si>
    <t>detective|kidnapping|punching a heavy bag|serial killer|tied to a tree</t>
  </si>
  <si>
    <t>http://www.imdb.com/title/tt0119468/?ref_=fn_tt_tt_1</t>
  </si>
  <si>
    <t>Action|Comedy|Crime|Music</t>
  </si>
  <si>
    <t>Aretha Franklin</t>
  </si>
  <si>
    <t>Ray Charles</t>
  </si>
  <si>
    <t>The Blues Brothers 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</si>
  <si>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</si>
  <si>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</si>
  <si>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</si>
  <si>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</si>
  <si>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</si>
  <si>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The Sisterhood of the Traveling Pants 2 </t>
  </si>
  <si>
    <t>actor|drawing|friendship|pregnancy|turkey</t>
  </si>
  <si>
    <t>http://www.imdb.com/title/tt1018785/?ref_=fn_tt_tt_1</t>
  </si>
  <si>
    <t>Dolly Parton</t>
  </si>
  <si>
    <t>Jeremy Jordan</t>
  </si>
  <si>
    <t>Joyful Noise </t>
  </si>
  <si>
    <t>bare chested male|chips|two word title</t>
  </si>
  <si>
    <t>http://www.imdb.com/title/tt1710396/?ref_=fn_tt_tt_1</t>
  </si>
  <si>
    <t>Sharon Small</t>
  </si>
  <si>
    <t>Christopher Webster</t>
  </si>
  <si>
    <t>Peter McNicholl</t>
  </si>
  <si>
    <t>About a Boy </t>
  </si>
  <si>
    <t>boy|friend|imaginary son|single father|single mother</t>
  </si>
  <si>
    <t>http://www.imdb.com/title/tt0276751/?ref_=fn_tt_tt_1</t>
  </si>
  <si>
    <t>Ty Olsson</t>
  </si>
  <si>
    <t>Lake Placid 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</si>
  <si>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</si>
  <si>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</si>
  <si>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</si>
  <si>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</si>
  <si>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</si>
  <si>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</si>
  <si>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</si>
  <si>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</si>
  <si>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</si>
  <si>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</si>
  <si>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</si>
  <si>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</si>
  <si>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</si>
  <si>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</si>
  <si>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</si>
  <si>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</si>
  <si>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</si>
  <si>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</si>
  <si>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</si>
  <si>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</si>
  <si>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</si>
  <si>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</si>
  <si>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</si>
  <si>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</si>
  <si>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</si>
  <si>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Jackie Gleason</t>
  </si>
  <si>
    <t>Art Carney</t>
  </si>
  <si>
    <t>Joyce Randolph</t>
  </si>
  <si>
    <t>The Honeymooners </t>
  </si>
  <si>
    <t>1950s|bus driver|money scheme|poverty|sewer</t>
  </si>
  <si>
    <t>http://www.imdb.com/title/tt0042114/?ref_=fn_tt_tt_1</t>
  </si>
  <si>
    <t>Walter Murch</t>
  </si>
  <si>
    <t>Adventure|Family|Fantasy|Horror|Mystery</t>
  </si>
  <si>
    <t>Piper Laurie</t>
  </si>
  <si>
    <t>Jean Marsh</t>
  </si>
  <si>
    <t>Tim Rose</t>
  </si>
  <si>
    <t>Return to Oz </t>
  </si>
  <si>
    <t>chicken|delusional depression|doctor|king|mysterious girl</t>
  </si>
  <si>
    <t>http://www.imdb.com/title/tt0089908/?ref_=fn_tt_tt_1</t>
  </si>
  <si>
    <t>Richard Linklater</t>
  </si>
  <si>
    <t>Action|Crime|Drama|History|Western</t>
  </si>
  <si>
    <t>Lew Temple</t>
  </si>
  <si>
    <t>The Newton Boys </t>
  </si>
  <si>
    <t>bank robber|brother brother relationship|crime spree|explosive|train</t>
  </si>
  <si>
    <t>http://www.imdb.com/title/tt0120769/?ref_=fn_tt_tt_1</t>
  </si>
  <si>
    <t>Vanesa Tomasino</t>
  </si>
  <si>
    <t>Case 39 </t>
  </si>
  <si>
    <t>death|fear|hairy chest|social worker|spinning in chair</t>
  </si>
  <si>
    <t>http://www.imdb.com/title/tt0795351/?ref_=fn_tt_tt_1</t>
  </si>
  <si>
    <t>E. Elias Merhige</t>
  </si>
  <si>
    <t>William Mapother</t>
  </si>
  <si>
    <t>Suspect Zero 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</si>
  <si>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</si>
  <si>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</si>
  <si>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</si>
  <si>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</si>
  <si>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</si>
  <si>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</si>
  <si>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</si>
  <si>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</si>
  <si>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</si>
  <si>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</si>
  <si>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</si>
  <si>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</si>
  <si>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</si>
  <si>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</si>
  <si>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Paul Barber</t>
  </si>
  <si>
    <t>Formula 51 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</si>
  <si>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</si>
  <si>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</si>
  <si>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</si>
  <si>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</si>
  <si>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</si>
  <si>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</si>
  <si>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Eion Bailey</t>
  </si>
  <si>
    <t>Mindhunters 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</si>
  <si>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</si>
  <si>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</si>
  <si>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</si>
  <si>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</si>
  <si>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</si>
  <si>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John Neville</t>
  </si>
  <si>
    <t>The Statement </t>
  </si>
  <si>
    <t>eiffel tower|nazi|police|ritual|stew</t>
  </si>
  <si>
    <t>http://www.imdb.com/title/tt0340376/?ref_=fn_tt_tt_1</t>
  </si>
  <si>
    <t>Kim-Marie Woodhouse</t>
  </si>
  <si>
    <t>Amy Carson</t>
  </si>
  <si>
    <t>Joseph Kaiser</t>
  </si>
  <si>
    <t>The Magic Flute 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</si>
  <si>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</si>
  <si>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</si>
  <si>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</si>
  <si>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</si>
  <si>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</si>
  <si>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Comedy|Family|Fantasy|Music|Romance</t>
  </si>
  <si>
    <t>Julie Gonzalo</t>
  </si>
  <si>
    <t>Freaky Friday </t>
  </si>
  <si>
    <t>body swap|camera shot of feet|foot closeup|reference to keith richards|reference to the rolling stones</t>
  </si>
  <si>
    <t>http://www.imdb.com/title/tt0322330/?ref_=fn_tt_tt_1</t>
  </si>
  <si>
    <t>Gerry Bednob</t>
  </si>
  <si>
    <t>The 40-Year-Old Virgin 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</si>
  <si>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</si>
  <si>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</si>
  <si>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</si>
  <si>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</si>
  <si>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</si>
  <si>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</si>
  <si>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</si>
  <si>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</si>
  <si>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</si>
  <si>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A Walk Among the Tombstones 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</si>
  <si>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</si>
  <si>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</si>
  <si>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</si>
  <si>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</si>
  <si>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</si>
  <si>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</si>
  <si>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</si>
  <si>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</si>
  <si>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Jeanne Moreau</t>
  </si>
  <si>
    <t>Ever After: A Cinderella Story 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</si>
  <si>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</si>
  <si>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</si>
  <si>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</si>
  <si>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</si>
  <si>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</si>
  <si>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</si>
  <si>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</si>
  <si>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</si>
  <si>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Rob McElhenney</t>
  </si>
  <si>
    <t>Kaitlin Olson</t>
  </si>
  <si>
    <t>Glenn Howerton</t>
  </si>
  <si>
    <t>It's Always Sunny in Philadelphia </t>
  </si>
  <si>
    <t>alcohol|bad taste humour|crude humor|loser|self obsession</t>
  </si>
  <si>
    <t>http://www.imdb.com/title/tt0472954/?ref_=fn_tt_tt_1</t>
  </si>
  <si>
    <t>Ryan O'Neal</t>
  </si>
  <si>
    <t>Dirk Bogarde</t>
  </si>
  <si>
    <t>Wolfgang Preiss</t>
  </si>
  <si>
    <t>A Bridge Too Far </t>
  </si>
  <si>
    <t>airborne troops|allies|operation market garden|panzer|paratrooper</t>
  </si>
  <si>
    <t>http://www.imdb.com/title/tt0075784/?ref_=fn_tt_tt_1</t>
  </si>
  <si>
    <t>Robert Pine</t>
  </si>
  <si>
    <t>Carl Gilliard</t>
  </si>
  <si>
    <t>Suzie Plakson</t>
  </si>
  <si>
    <t>Red Eye </t>
  </si>
  <si>
    <t>airport|flight|hotel|hotel manager|plane</t>
  </si>
  <si>
    <t>http://www.imdb.com/title/tt0421239/?ref_=fn_tt_tt_1</t>
  </si>
  <si>
    <t>Michael Landes</t>
  </si>
  <si>
    <t>Keegan Connor Tracy</t>
  </si>
  <si>
    <t>Final Destination 2 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</si>
  <si>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</si>
  <si>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</si>
  <si>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</si>
  <si>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</si>
  <si>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</si>
  <si>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</si>
  <si>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</si>
  <si>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</si>
  <si>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</si>
  <si>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</si>
  <si>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</si>
  <si>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</si>
  <si>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</si>
  <si>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</si>
  <si>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</si>
  <si>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</si>
  <si>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</si>
  <si>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Action|Adventure|Comedy|Sci-Fi|Thriller</t>
  </si>
  <si>
    <t>Paula Garcés</t>
  </si>
  <si>
    <t>Jason George</t>
  </si>
  <si>
    <t>Clockstoppers </t>
  </si>
  <si>
    <t>frozen time|stopped time|time freeze|watch|wristwatch</t>
  </si>
  <si>
    <t>http://www.imdb.com/title/tt0157472/?ref_=fn_tt_tt_1</t>
  </si>
  <si>
    <t>Action|Crime|Drama|Western</t>
  </si>
  <si>
    <t>Todd Allen</t>
  </si>
  <si>
    <t>Brad Leland</t>
  </si>
  <si>
    <t>Silverado 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</si>
  <si>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</si>
  <si>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</si>
  <si>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</si>
  <si>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</si>
  <si>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</si>
  <si>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</si>
  <si>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</si>
  <si>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</si>
  <si>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</si>
  <si>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</si>
  <si>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Seth Meyers</t>
  </si>
  <si>
    <t>New Year's Eve 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</si>
  <si>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</si>
  <si>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</si>
  <si>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</si>
  <si>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</si>
  <si>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</si>
  <si>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Original Sin 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</si>
  <si>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</si>
  <si>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</si>
  <si>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</si>
  <si>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</si>
  <si>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</si>
  <si>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</si>
  <si>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</si>
  <si>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</si>
  <si>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</si>
  <si>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</si>
  <si>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</si>
  <si>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</si>
  <si>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Highlander: The Final Dimension 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</si>
  <si>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</si>
  <si>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</si>
  <si>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</si>
  <si>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</si>
  <si>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</si>
  <si>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</si>
  <si>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</si>
  <si>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</si>
  <si>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</si>
  <si>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Snow White: A Tale of Terror 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</si>
  <si>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</si>
  <si>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</si>
  <si>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</si>
  <si>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</si>
  <si>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</si>
  <si>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</si>
  <si>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</si>
  <si>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</si>
  <si>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</si>
  <si>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</si>
  <si>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</si>
  <si>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Adventure|Family</t>
  </si>
  <si>
    <t>Paul Hogan</t>
  </si>
  <si>
    <t>Chelsea Field</t>
  </si>
  <si>
    <t>Jessica Wesson</t>
  </si>
  <si>
    <t>Flipper 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</si>
  <si>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</si>
  <si>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</si>
  <si>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</si>
  <si>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</si>
  <si>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</si>
  <si>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</si>
  <si>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Donald Sumpter</t>
  </si>
  <si>
    <t>The Constant Gardener </t>
  </si>
  <si>
    <t>death|diplomat|doctor|kenya|murder</t>
  </si>
  <si>
    <t>http://www.imdb.com/title/tt0387131/?ref_=fn_tt_tt_1</t>
  </si>
  <si>
    <t>Christo Jivkov</t>
  </si>
  <si>
    <t>Maia Morgenstern</t>
  </si>
  <si>
    <t>Hristo Shopov</t>
  </si>
  <si>
    <t>The Passion of the Christ </t>
  </si>
  <si>
    <t>anti semitism|cult film|grindhouse|suffering|torture</t>
  </si>
  <si>
    <t>http://www.imdb.com/title/tt0335345/?ref_=fn_tt_tt_1</t>
  </si>
  <si>
    <t>Aramaic</t>
  </si>
  <si>
    <t>Matthew Lawrence</t>
  </si>
  <si>
    <t>Mrs. Doubtfire 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</si>
  <si>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</si>
  <si>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</si>
  <si>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</si>
  <si>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</si>
  <si>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</si>
  <si>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</si>
  <si>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Ahney Her</t>
  </si>
  <si>
    <t>Gran Torino 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</si>
  <si>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</si>
  <si>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</si>
  <si>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</si>
  <si>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</si>
  <si>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</si>
  <si>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</si>
  <si>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</si>
  <si>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</si>
  <si>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</si>
  <si>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</si>
  <si>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</si>
  <si>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</si>
  <si>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</si>
  <si>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</si>
  <si>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</si>
  <si>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The Bodyguard </t>
  </si>
  <si>
    <t>bodyguard|manager|pop singer|secret service agent|singer</t>
  </si>
  <si>
    <t>http://www.imdb.com/title/tt0103855/?ref_=fn_tt_tt_1</t>
  </si>
  <si>
    <t>Embeth Davidtz</t>
  </si>
  <si>
    <t>Caroline Goodall</t>
  </si>
  <si>
    <t>Schindler's List 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</si>
  <si>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</si>
  <si>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</si>
  <si>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</si>
  <si>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</si>
  <si>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</si>
  <si>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Jamie Blackley</t>
  </si>
  <si>
    <t>The Fifth Estate 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</si>
  <si>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</si>
  <si>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</si>
  <si>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</si>
  <si>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</si>
  <si>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</si>
  <si>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</si>
  <si>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</si>
  <si>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Adventure|Fantasy|Mystery|Thriller</t>
  </si>
  <si>
    <t>Igor Jijikine</t>
  </si>
  <si>
    <t>Agnia Ditkovskite</t>
  </si>
  <si>
    <t>Viy </t>
  </si>
  <si>
    <t>cartographer|creature|foreign language adaptation|sword and sorcery|village</t>
  </si>
  <si>
    <t>http://www.imdb.com/title/tt1224378/?ref_=fn_tt_tt_1</t>
  </si>
  <si>
    <t>Katharine Isabelle</t>
  </si>
  <si>
    <t>Jason Ritter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</si>
  <si>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</si>
  <si>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</si>
  <si>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</si>
  <si>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</si>
  <si>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</si>
  <si>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</si>
  <si>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The Face of an Angel 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</si>
  <si>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</si>
  <si>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</si>
  <si>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</si>
  <si>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</si>
  <si>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</si>
  <si>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Liza Lapira</t>
  </si>
  <si>
    <t>Cloverfield </t>
  </si>
  <si>
    <t>brooklyn new york city|found footage|night vision|statue of liberty new york city|subway tunnel</t>
  </si>
  <si>
    <t>http://www.imdb.com/title/tt1060277/?ref_=fn_tt_tt_1</t>
  </si>
  <si>
    <t>Michael Pressman</t>
  </si>
  <si>
    <t>Kevin Nash</t>
  </si>
  <si>
    <t>Paige Turco</t>
  </si>
  <si>
    <t>Ernie Reyes Jr.</t>
  </si>
  <si>
    <t>Teenage Mutant Ninja Turtles II: The Secret of the Ooze 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</si>
  <si>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</si>
  <si>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</si>
  <si>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</si>
  <si>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</si>
  <si>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</si>
  <si>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</si>
  <si>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</si>
  <si>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</si>
  <si>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</si>
  <si>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Bryan Callen</t>
  </si>
  <si>
    <t>Ride Along 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</si>
  <si>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</si>
  <si>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</si>
  <si>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</si>
  <si>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</si>
  <si>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</si>
  <si>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</si>
  <si>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</si>
  <si>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</si>
  <si>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 </t>
  </si>
  <si>
    <t>chocolate|chocolate shop|food|france|village</t>
  </si>
  <si>
    <t>http://www.imdb.com/title/tt0241303/?ref_=fn_tt_tt_1</t>
  </si>
  <si>
    <t>Charles Herman-Wurmfeld</t>
  </si>
  <si>
    <t>Bob Newhart</t>
  </si>
  <si>
    <t>Legally Blonde 2: Red, White &amp; Blonde 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</si>
  <si>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</si>
  <si>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</si>
  <si>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</si>
  <si>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</si>
  <si>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</si>
  <si>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</si>
  <si>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</si>
  <si>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</si>
  <si>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</si>
  <si>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</si>
  <si>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Action|Biography|Drama|History|Romance|Western</t>
  </si>
  <si>
    <t>Dana Delany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</si>
  <si>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</si>
  <si>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</si>
  <si>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</si>
  <si>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</si>
  <si>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</si>
  <si>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</si>
  <si>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</si>
  <si>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Lee Remick</t>
  </si>
  <si>
    <t>Patrick Troughton</t>
  </si>
  <si>
    <t>Billie Whitelaw</t>
  </si>
  <si>
    <t>The Omen </t>
  </si>
  <si>
    <t>ambassador|death|hospital|priest|stillborn child</t>
  </si>
  <si>
    <t>http://www.imdb.com/title/tt0075005/?ref_=fn_tt_tt_1</t>
  </si>
  <si>
    <t>Chelan Simmons</t>
  </si>
  <si>
    <t>Gina Holden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</si>
  <si>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</si>
  <si>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</si>
  <si>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</si>
  <si>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</si>
  <si>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Jay R. Ferguson</t>
  </si>
  <si>
    <t>The Lucky One 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</si>
  <si>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</si>
  <si>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</si>
  <si>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</si>
  <si>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</si>
  <si>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</si>
  <si>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</si>
  <si>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</si>
  <si>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</si>
  <si>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</si>
  <si>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</si>
  <si>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</si>
  <si>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Larry the Cable Guy</t>
  </si>
  <si>
    <t>A Madea Christmas 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</si>
  <si>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</si>
  <si>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</si>
  <si>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</si>
  <si>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</si>
  <si>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</si>
  <si>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</si>
  <si>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</si>
  <si>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</si>
  <si>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</si>
  <si>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</si>
  <si>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</si>
  <si>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</si>
  <si>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</si>
  <si>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</si>
  <si>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</si>
  <si>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</si>
  <si>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</si>
  <si>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</si>
  <si>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</si>
  <si>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Agent Cody Banks 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</si>
  <si>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</si>
  <si>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</si>
  <si>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</si>
  <si>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</si>
  <si>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</si>
  <si>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</si>
  <si>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</si>
  <si>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</si>
  <si>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Rebecca Gayheart</t>
  </si>
  <si>
    <t>Nothing to Lose 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</si>
  <si>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</si>
  <si>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</si>
  <si>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</si>
  <si>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</si>
  <si>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</si>
  <si>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</si>
  <si>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</si>
  <si>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</si>
  <si>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</si>
  <si>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</si>
  <si>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</si>
  <si>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</si>
  <si>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</si>
  <si>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</si>
  <si>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Kevin Breznahan</t>
  </si>
  <si>
    <t>There Will Be Blood 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</si>
  <si>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</si>
  <si>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</si>
  <si>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</si>
  <si>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</si>
  <si>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</si>
  <si>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</si>
  <si>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</si>
  <si>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</si>
  <si>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Nancy Cartwright</t>
  </si>
  <si>
    <t>Rugrats Go Wild 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</si>
  <si>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</si>
  <si>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</si>
  <si>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</si>
  <si>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</si>
  <si>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</si>
  <si>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</si>
  <si>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</si>
  <si>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</si>
  <si>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</si>
  <si>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</si>
  <si>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</si>
  <si>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</si>
  <si>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</si>
  <si>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</si>
  <si>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</si>
  <si>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</si>
  <si>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</si>
  <si>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</si>
  <si>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</si>
  <si>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</si>
  <si>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</si>
  <si>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Beauty Shop </t>
  </si>
  <si>
    <t>client|dentures|false teeth|reference to peter pan|single parent</t>
  </si>
  <si>
    <t>http://www.imdb.com/title/tt0388500/?ref_=fn_tt_tt_1</t>
  </si>
  <si>
    <t>Gregory Alan Williams</t>
  </si>
  <si>
    <t>Million Dollar Arm 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</si>
  <si>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</si>
  <si>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</si>
  <si>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</si>
  <si>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</si>
  <si>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</si>
  <si>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</si>
  <si>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</si>
  <si>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</si>
  <si>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</si>
  <si>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</si>
  <si>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</si>
  <si>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</si>
  <si>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Jeepers Creepers II 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</si>
  <si>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</si>
  <si>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</si>
  <si>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</si>
  <si>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</si>
  <si>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</si>
  <si>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</si>
  <si>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DMX</t>
  </si>
  <si>
    <t>Cradle 2 the Grave 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</si>
  <si>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</si>
  <si>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</si>
  <si>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</si>
  <si>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</si>
  <si>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</si>
  <si>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</si>
  <si>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Laura Ramsey</t>
  </si>
  <si>
    <t>She's the Man </t>
  </si>
  <si>
    <t>disguise|roommate|school|soccer|twin</t>
  </si>
  <si>
    <t>http://www.imdb.com/title/tt0454945/?ref_=fn_tt_tt_1</t>
  </si>
  <si>
    <t>Steve Bendelack</t>
  </si>
  <si>
    <t>Lily Atkinson</t>
  </si>
  <si>
    <t>Emma de Caunes</t>
  </si>
  <si>
    <t>Steve Pemberton</t>
  </si>
  <si>
    <t>Mr. Bean's Holiday </t>
  </si>
  <si>
    <t>camcorder|cannes|director|lost passport|train</t>
  </si>
  <si>
    <t>http://www.imdb.com/title/tt0453451/?ref_=fn_tt_tt_1</t>
  </si>
  <si>
    <t>Dwight H. Little</t>
  </si>
  <si>
    <t>Nicholas Gonzalez</t>
  </si>
  <si>
    <t>Salli Richardson-Whitfield</t>
  </si>
  <si>
    <t>Johnny Messner</t>
  </si>
  <si>
    <t>Anacondas: The Hunt for the Blood Orchid 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</si>
  <si>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</si>
  <si>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</si>
  <si>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</si>
  <si>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</si>
  <si>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</si>
  <si>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</si>
  <si>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</si>
  <si>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</si>
  <si>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</si>
  <si>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</si>
  <si>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</si>
  <si>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</si>
  <si>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Eric Cantona</t>
  </si>
  <si>
    <t>Elizabeth </t>
  </si>
  <si>
    <t>16th century|british royal family|catholic|queen|queen elizabeth i</t>
  </si>
  <si>
    <t>http://www.imdb.com/title/tt0127536/?ref_=fn_tt_tt_1</t>
  </si>
  <si>
    <t>Comedy|Fantasy|Horror|Romance</t>
  </si>
  <si>
    <t>Alexis Arquette</t>
  </si>
  <si>
    <t>Park Bench</t>
  </si>
  <si>
    <t>Vince Corazza</t>
  </si>
  <si>
    <t>Bride of Chucky </t>
  </si>
  <si>
    <t>blood|doll|gore|murder|serial killer</t>
  </si>
  <si>
    <t>http://www.imdb.com/title/tt0144120/?ref_=fn_tt_tt_1</t>
  </si>
  <si>
    <t>Richard Fleischer</t>
  </si>
  <si>
    <t>Joseph Cotten</t>
  </si>
  <si>
    <t>Richard Anderson</t>
  </si>
  <si>
    <t>James Whitmore</t>
  </si>
  <si>
    <t>Tora! Tora! Tora! </t>
  </si>
  <si>
    <t>attack|hawaii|navy|pearl harbor|u.s. navy</t>
  </si>
  <si>
    <t>http://www.imdb.com/title/tt0066473/?ref_=fn_tt_tt_1</t>
  </si>
  <si>
    <t>Bob Spiers</t>
  </si>
  <si>
    <t>Comedy|Family|Music</t>
  </si>
  <si>
    <t>Richard Briers</t>
  </si>
  <si>
    <t>Victoria Beckham</t>
  </si>
  <si>
    <t>Spice World </t>
  </si>
  <si>
    <t>bus|concert|live concert|pop group|spice girl</t>
  </si>
  <si>
    <t>http://www.imdb.com/title/tt0120185/?ref_=fn_tt_tt_1</t>
  </si>
  <si>
    <t>Ari Graynor</t>
  </si>
  <si>
    <t>J.B. Smoove</t>
  </si>
  <si>
    <t>Kylie Bunbury</t>
  </si>
  <si>
    <t>The Sitter </t>
  </si>
  <si>
    <t>babysitting|car crash|child in peril|kicked in the face|reference to craigslist</t>
  </si>
  <si>
    <t>http://www.imdb.com/title/tt1366344/?ref_=fn_tt_tt_1</t>
  </si>
  <si>
    <t>Damien Dante Wayans</t>
  </si>
  <si>
    <t>Action|Comedy|Music</t>
  </si>
  <si>
    <t>Essence Atkins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</si>
  <si>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</si>
  <si>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</si>
  <si>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</si>
  <si>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</si>
  <si>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</si>
  <si>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</si>
  <si>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</si>
  <si>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</si>
  <si>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</si>
  <si>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Crocodile Dundee in Los Angeles 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</si>
  <si>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</si>
  <si>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</si>
  <si>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</si>
  <si>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</si>
  <si>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</si>
  <si>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</si>
  <si>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Griffin Cleveland</t>
  </si>
  <si>
    <t>The Gambler 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</si>
  <si>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</si>
  <si>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</si>
  <si>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</si>
  <si>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</si>
  <si>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</si>
  <si>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</si>
  <si>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</si>
  <si>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Connie Ray</t>
  </si>
  <si>
    <t>Trevor Blumas</t>
  </si>
  <si>
    <t>Amy Stewart</t>
  </si>
  <si>
    <t>Ice Princess 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</si>
  <si>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</si>
  <si>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</si>
  <si>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</si>
  <si>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</si>
  <si>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</si>
  <si>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A Lot Like Love </t>
  </si>
  <si>
    <t>flight|hasselblad camera|los angeles california|love|medium format camera</t>
  </si>
  <si>
    <t>http://www.imdb.com/title/tt0391304/?ref_=fn_tt_tt_1</t>
  </si>
  <si>
    <t>Biography|Comedy|Drama|Sport</t>
  </si>
  <si>
    <t>Taron Egerton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</si>
  <si>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</si>
  <si>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</si>
  <si>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</si>
  <si>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</si>
  <si>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</si>
  <si>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</si>
  <si>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</si>
  <si>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</si>
  <si>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</si>
  <si>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</si>
  <si>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Justin Fletcher</t>
  </si>
  <si>
    <t>John Sparkes</t>
  </si>
  <si>
    <t>Kate Harbour</t>
  </si>
  <si>
    <t>Shaun the Sheep 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</si>
  <si>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</si>
  <si>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</si>
  <si>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</si>
  <si>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</si>
  <si>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</si>
  <si>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</si>
  <si>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Óscar Jaenada</t>
  </si>
  <si>
    <t>The Losers 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</si>
  <si>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</si>
  <si>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</si>
  <si>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</si>
  <si>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</si>
  <si>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</si>
  <si>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</si>
  <si>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</si>
  <si>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</si>
  <si>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</si>
  <si>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</si>
  <si>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</si>
  <si>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</si>
  <si>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Don McManus</t>
  </si>
  <si>
    <t>Punch-Drunk Love 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</si>
  <si>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</si>
  <si>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</si>
  <si>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</si>
  <si>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</si>
  <si>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</si>
  <si>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EuroTrip </t>
  </si>
  <si>
    <t>female frontal nudity|male frontal nudity|nudist|nudity|public nudity</t>
  </si>
  <si>
    <t>http://www.imdb.com/title/tt0356150/?ref_=fn_tt_tt_1</t>
  </si>
  <si>
    <t>Don Michael Paul</t>
  </si>
  <si>
    <t>Claudia Christian</t>
  </si>
  <si>
    <t>Nia Peeples</t>
  </si>
  <si>
    <t>Tony Plana</t>
  </si>
  <si>
    <t>Half Past Dead 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</si>
  <si>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</si>
  <si>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</si>
  <si>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</si>
  <si>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</si>
  <si>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</si>
  <si>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</si>
  <si>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</si>
  <si>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</si>
  <si>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</si>
  <si>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</si>
  <si>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</si>
  <si>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</si>
  <si>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</si>
  <si>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</si>
  <si>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The Adventures of Pinocchio 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</si>
  <si>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</si>
  <si>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</si>
  <si>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</si>
  <si>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</si>
  <si>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</si>
  <si>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</si>
  <si>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The Greatest Game Ever Played 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</si>
  <si>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</si>
  <si>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</si>
  <si>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</si>
  <si>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</si>
  <si>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</si>
  <si>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</si>
  <si>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</si>
  <si>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</si>
  <si>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</si>
  <si>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Calderón</t>
  </si>
  <si>
    <t>The Ruins 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</si>
  <si>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</si>
  <si>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</si>
  <si>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</si>
  <si>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</si>
  <si>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</si>
  <si>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</si>
  <si>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</si>
  <si>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Zena Grey</t>
  </si>
  <si>
    <t>My Soul to Take </t>
  </si>
  <si>
    <t>evil|killer|murder|psychopath|serial killer</t>
  </si>
  <si>
    <t>http://www.imdb.com/title/tt0872230/?ref_=fn_tt_tt_1</t>
  </si>
  <si>
    <t>Chris Marquette</t>
  </si>
  <si>
    <t>Timothy Bottoms</t>
  </si>
  <si>
    <t>Jacob Young</t>
  </si>
  <si>
    <t>The Girl Next Door 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</si>
  <si>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</si>
  <si>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</si>
  <si>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</si>
  <si>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</si>
  <si>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</si>
  <si>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Maximum Risk 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</si>
  <si>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</si>
  <si>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</si>
  <si>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</si>
  <si>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</si>
  <si>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</si>
  <si>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</si>
  <si>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</si>
  <si>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</si>
  <si>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Legend </t>
  </si>
  <si>
    <t>1960s|based on a true story|gangster|identical twins|murder</t>
  </si>
  <si>
    <t>http://www.imdb.com/title/tt3569230/?ref_=fn_tt_tt_1</t>
  </si>
  <si>
    <t>Jorma Taccone</t>
  </si>
  <si>
    <t>Chris Parnell</t>
  </si>
  <si>
    <t>Hot Rod 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</si>
  <si>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</si>
  <si>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</si>
  <si>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</si>
  <si>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</si>
  <si>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</si>
  <si>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</si>
  <si>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Pauline McLynn</t>
  </si>
  <si>
    <t>Angela's Ashes </t>
  </si>
  <si>
    <t>drink|ira|irish|limerick|prejudice</t>
  </si>
  <si>
    <t>http://www.imdb.com/title/tt0145653/?ref_=fn_tt_tt_1</t>
  </si>
  <si>
    <t>Patrick St. Esprit</t>
  </si>
  <si>
    <t>Draft Day </t>
  </si>
  <si>
    <t>cleveland browns|head coach|linebacker|nfl|team owner</t>
  </si>
  <si>
    <t>http://www.imdb.com/title/tt2223990/?ref_=fn_tt_tt_1</t>
  </si>
  <si>
    <t>Steve Railsback</t>
  </si>
  <si>
    <t>Peter Firth</t>
  </si>
  <si>
    <t>Lifeforce </t>
  </si>
  <si>
    <t>alien|halleys comet|life force|space vampire|vampire</t>
  </si>
  <si>
    <t>http://www.imdb.com/title/tt0089489/?ref_=fn_tt_tt_1</t>
  </si>
  <si>
    <t>Action|Animation|Comedy|Family|Fantasy|Sci-Fi</t>
  </si>
  <si>
    <t>Jennifer Hale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</si>
  <si>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</si>
  <si>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</si>
  <si>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</si>
  <si>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</si>
  <si>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</si>
  <si>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</si>
  <si>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</si>
  <si>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</si>
  <si>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</si>
  <si>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</si>
  <si>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</si>
  <si>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</si>
  <si>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</si>
  <si>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</si>
  <si>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</si>
  <si>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</si>
  <si>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</si>
  <si>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</si>
  <si>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</si>
  <si>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Big Trouble in Little China </t>
  </si>
  <si>
    <t>1980s|airport|cb radio|truck|truck driver</t>
  </si>
  <si>
    <t>http://www.imdb.com/title/tt0090728/?ref_=fn_tt_tt_1</t>
  </si>
  <si>
    <t>Pascal Chaumeil</t>
  </si>
  <si>
    <t>Malonn Lévana</t>
  </si>
  <si>
    <t>Alice Pol</t>
  </si>
  <si>
    <t>A Perfect Plan 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</si>
  <si>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</si>
  <si>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</si>
  <si>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</si>
  <si>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</si>
  <si>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</si>
  <si>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</si>
  <si>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</si>
  <si>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</si>
  <si>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</si>
  <si>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</si>
  <si>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</si>
  <si>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Gettysburg 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</si>
  <si>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</si>
  <si>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</si>
  <si>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</si>
  <si>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</si>
  <si>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</si>
  <si>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</si>
  <si>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</si>
  <si>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</si>
  <si>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</si>
  <si>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</si>
  <si>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John Doe</t>
  </si>
  <si>
    <t>Tom Amandes</t>
  </si>
  <si>
    <t>Daniel Lapaine</t>
  </si>
  <si>
    <t>Brokedown Palace 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</si>
  <si>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</si>
  <si>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</si>
  <si>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</si>
  <si>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</si>
  <si>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</si>
  <si>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The Possession </t>
  </si>
  <si>
    <t>basketball coach|box|jewish|rabbi|yard sale</t>
  </si>
  <si>
    <t>http://www.imdb.com/title/tt0431021/?ref_=fn_tt_tt_1</t>
  </si>
  <si>
    <t>Richard Benjamin</t>
  </si>
  <si>
    <t>Cathryn de Prume</t>
  </si>
  <si>
    <t>Mrs. Winterbourne </t>
  </si>
  <si>
    <t>love|train|train wreck|twin brother|two word title</t>
  </si>
  <si>
    <t>http://www.imdb.com/title/tt0117104/?ref_=fn_tt_tt_1</t>
  </si>
  <si>
    <t>Rhys Coiro</t>
  </si>
  <si>
    <t>Straw Dogs 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</si>
  <si>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</si>
  <si>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</si>
  <si>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</si>
  <si>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</si>
  <si>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</si>
  <si>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</si>
  <si>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</si>
  <si>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Brian Bosworth</t>
  </si>
  <si>
    <t>Sam McMurray</t>
  </si>
  <si>
    <t>Richard Gant</t>
  </si>
  <si>
    <t>Stone Cold 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</si>
  <si>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</si>
  <si>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</si>
  <si>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</si>
  <si>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</si>
  <si>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</si>
  <si>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</si>
  <si>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</si>
  <si>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</si>
  <si>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</si>
  <si>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Sheena </t>
  </si>
  <si>
    <t>chimpanzee|elephant|jungle|mercenary|shaman</t>
  </si>
  <si>
    <t>http://www.imdb.com/title/tt0088103/?ref_=fn_tt_tt_1</t>
  </si>
  <si>
    <t>Marcos Siega</t>
  </si>
  <si>
    <t>Kaylee DeFer</t>
  </si>
  <si>
    <t>Underclassman </t>
  </si>
  <si>
    <t>police|private school|shootout|undercover|wigger</t>
  </si>
  <si>
    <t>http://www.imdb.com/title/tt0373416/?ref_=fn_tt_tt_1</t>
  </si>
  <si>
    <t>Jack Plotnick</t>
  </si>
  <si>
    <t>Say It Isn't So </t>
  </si>
  <si>
    <t>bestiality|brother sister incest|fisting|hit on the head with a pipe|wedding</t>
  </si>
  <si>
    <t>http://www.imdb.com/title/tt0239949/?ref_=fn_tt_tt_1</t>
  </si>
  <si>
    <t>Craig Hall</t>
  </si>
  <si>
    <t>The World's Fastest Indian 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</si>
  <si>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</si>
  <si>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</si>
  <si>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</si>
  <si>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</si>
  <si>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</si>
  <si>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</si>
  <si>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</si>
  <si>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</si>
  <si>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</si>
  <si>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</si>
  <si>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Don McKellar</t>
  </si>
  <si>
    <t>Joe Pingue</t>
  </si>
  <si>
    <t>Yûsuke Iseya</t>
  </si>
  <si>
    <t>Blindness </t>
  </si>
  <si>
    <t>blindness|epidemic|hospital|pubic hair|quarantine</t>
  </si>
  <si>
    <t>http://www.imdb.com/title/tt0861689/?ref_=fn_tt_tt_1</t>
  </si>
  <si>
    <t>Action|Adventure|Fantasy|Horror</t>
  </si>
  <si>
    <t>Michael Paré</t>
  </si>
  <si>
    <t>BloodRayne </t>
  </si>
  <si>
    <t>escape|half human|king|vampire|vampire hunter</t>
  </si>
  <si>
    <t>http://www.imdb.com/title/tt0383222/?ref_=fn_tt_tt_1</t>
  </si>
  <si>
    <t>Julie Adams</t>
  </si>
  <si>
    <t>Carnage 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</si>
  <si>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</si>
  <si>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</si>
  <si>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</si>
  <si>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</si>
  <si>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</si>
  <si>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Dallas Barnett</t>
  </si>
  <si>
    <t>Erica Linz</t>
  </si>
  <si>
    <t>Igor Zaripov</t>
  </si>
  <si>
    <t>Cirque du Soleil: Worlds Away 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</si>
  <si>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</si>
  <si>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</si>
  <si>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</si>
  <si>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</si>
  <si>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</si>
  <si>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</si>
  <si>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</si>
  <si>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James Tupper</t>
  </si>
  <si>
    <t>Me and Orson Welles </t>
  </si>
  <si>
    <t>high school|mercury theatre|opening night|school|theatre</t>
  </si>
  <si>
    <t>http://www.imdb.com/title/tt1175506/?ref_=fn_tt_tt_1</t>
  </si>
  <si>
    <t>Giuseppe Tornatore</t>
  </si>
  <si>
    <t>Crime|Drama|Mystery|Romance</t>
  </si>
  <si>
    <t>Sean Buchanan</t>
  </si>
  <si>
    <t>Liya Kebede</t>
  </si>
  <si>
    <t>The Best Offer </t>
  </si>
  <si>
    <t>antique|art|heiress|older man younger woman relationship|plot twist</t>
  </si>
  <si>
    <t>http://www.imdb.com/title/tt1924396/?ref_=fn_tt_tt_1</t>
  </si>
  <si>
    <t>Werner Herzog</t>
  </si>
  <si>
    <t>Shawn Hatosy</t>
  </si>
  <si>
    <t>Bad Lieutenant: Port of Call New Orleans 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</si>
  <si>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</si>
  <si>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</si>
  <si>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</si>
  <si>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</si>
  <si>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</si>
  <si>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</si>
  <si>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</si>
  <si>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Gilles Lellouche</t>
  </si>
  <si>
    <t>Little White Lies </t>
  </si>
  <si>
    <t>friend|restaurant|secret|unrequited love|vacation</t>
  </si>
  <si>
    <t>http://www.imdb.com/title/tt1440232/?ref_=fn_tt_tt_1</t>
  </si>
  <si>
    <t>Scout Taylor-Compton</t>
  </si>
  <si>
    <t>Gil Birmingham</t>
  </si>
  <si>
    <t>Love Ranch </t>
  </si>
  <si>
    <t>argentine|brothel|cancer|female full frontal nudity|fight</t>
  </si>
  <si>
    <t>http://www.imdb.com/title/tt1125929/?ref_=fn_tt_tt_1</t>
  </si>
  <si>
    <t>Jérôme Deschamps</t>
  </si>
  <si>
    <t>Yolande Moreau</t>
  </si>
  <si>
    <t>André Wilms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</si>
  <si>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</si>
  <si>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</si>
  <si>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</si>
  <si>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</si>
  <si>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</si>
  <si>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</si>
  <si>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Space Dogs 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</si>
  <si>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</si>
  <si>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</si>
  <si>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</si>
  <si>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</si>
  <si>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</si>
  <si>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</si>
  <si>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</si>
  <si>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</si>
  <si>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</si>
  <si>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</si>
  <si>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</si>
  <si>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</si>
  <si>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</si>
  <si>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Waterloo 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</si>
  <si>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</si>
  <si>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</si>
  <si>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</si>
  <si>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</si>
  <si>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</si>
  <si>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Kung Fu Killer 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</si>
  <si>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</si>
  <si>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</si>
  <si>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</si>
  <si>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</si>
  <si>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</si>
  <si>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</si>
  <si>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</si>
  <si>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</si>
  <si>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</si>
  <si>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</si>
  <si>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</si>
  <si>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</si>
  <si>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</si>
  <si>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</si>
  <si>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</si>
  <si>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</si>
  <si>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</si>
  <si>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Kevin Williamson</t>
  </si>
  <si>
    <t>Scream 2 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</si>
  <si>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</si>
  <si>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</si>
  <si>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</si>
  <si>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</si>
  <si>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</si>
  <si>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</si>
  <si>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</si>
  <si>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</si>
  <si>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</si>
  <si>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</si>
  <si>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</si>
  <si>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</si>
  <si>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</si>
  <si>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Lori Singer</t>
  </si>
  <si>
    <t>Footloose 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</si>
  <si>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</si>
  <si>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</si>
  <si>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</si>
  <si>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</si>
  <si>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</si>
  <si>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</si>
  <si>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Harry Shearer</t>
  </si>
  <si>
    <t>The Fisher King 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</si>
  <si>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</si>
  <si>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</si>
  <si>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</si>
  <si>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</si>
  <si>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</si>
  <si>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</si>
  <si>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</si>
  <si>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</si>
  <si>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</si>
  <si>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</si>
  <si>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Zack and Miri Make a Porno </t>
  </si>
  <si>
    <t>actor|friend|male frontal nudity|male full frontal nudity|penis</t>
  </si>
  <si>
    <t>http://www.imdb.com/title/tt1007028/?ref_=fn_tt_tt_1</t>
  </si>
  <si>
    <t>Neil LaBute</t>
  </si>
  <si>
    <t>Kathleen Wilhoite</t>
  </si>
  <si>
    <t>Nurse Betty 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</si>
  <si>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</si>
  <si>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</si>
  <si>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</si>
  <si>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</si>
  <si>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</si>
  <si>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</si>
  <si>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</si>
  <si>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</si>
  <si>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</si>
  <si>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</si>
  <si>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</si>
  <si>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</si>
  <si>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</si>
  <si>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</si>
  <si>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</si>
  <si>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</si>
  <si>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</si>
  <si>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Muppets from Space </t>
  </si>
  <si>
    <t>alien|breakfast|escape|rat|ufo</t>
  </si>
  <si>
    <t>http://www.imdb.com/title/tt0158811/?ref_=fn_tt_tt_1</t>
  </si>
  <si>
    <t>Sidney Lumet</t>
  </si>
  <si>
    <t>Adventure|Family|Fantasy|Music|Musical</t>
  </si>
  <si>
    <t>Lena Horne</t>
  </si>
  <si>
    <t>Diana Ross</t>
  </si>
  <si>
    <t>Theresa Merritt</t>
  </si>
  <si>
    <t>The Wiz 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</si>
  <si>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</si>
  <si>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</si>
  <si>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</si>
  <si>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</si>
  <si>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</si>
  <si>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</si>
  <si>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Lolita Davidovich</t>
  </si>
  <si>
    <t>Play It to the Bone 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</si>
  <si>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</si>
  <si>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</si>
  <si>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</si>
  <si>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</si>
  <si>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</si>
  <si>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</si>
  <si>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</si>
  <si>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</si>
  <si>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</si>
  <si>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</si>
  <si>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</si>
  <si>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</si>
  <si>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</si>
  <si>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A.J. Langer</t>
  </si>
  <si>
    <t>Meet the Deedles </t>
  </si>
  <si>
    <t>accidental kiss|eating a worm|park|worm|yellowstone national park</t>
  </si>
  <si>
    <t>http://www.imdb.com/title/tt0120645/?ref_=fn_tt_tt_1</t>
  </si>
  <si>
    <t>Richard Williams</t>
  </si>
  <si>
    <t>Action|Adventure|Animation|Comedy|Fantasy</t>
  </si>
  <si>
    <t>Donald Pleasence</t>
  </si>
  <si>
    <t>Kenneth Williams</t>
  </si>
  <si>
    <t>Clive Revill</t>
  </si>
  <si>
    <t>The Princess and the Cobbler 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</si>
  <si>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</si>
  <si>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</si>
  <si>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</si>
  <si>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</si>
  <si>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</si>
  <si>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</si>
  <si>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</si>
  <si>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</si>
  <si>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</si>
  <si>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</si>
  <si>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</si>
  <si>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</si>
  <si>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</si>
  <si>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Derek Graf</t>
  </si>
  <si>
    <t>Zombieland 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</si>
  <si>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</si>
  <si>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</si>
  <si>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</si>
  <si>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</si>
  <si>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</si>
  <si>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Anthony Daniels</t>
  </si>
  <si>
    <t>Star Wars: Episode V - The Empire Strikes Back </t>
  </si>
  <si>
    <t>duel|famous twist|rebel|rescue|snowy landscape</t>
  </si>
  <si>
    <t>http://www.imdb.com/title/tt0080684/?ref_=fn_tt_tt_1</t>
  </si>
  <si>
    <t>Theresa Randle</t>
  </si>
  <si>
    <t>Bad Boys </t>
  </si>
  <si>
    <t>drugs|heroin|murder|police|witness</t>
  </si>
  <si>
    <t>http://www.imdb.com/title/tt0112442/?ref_=fn_tt_tt_1</t>
  </si>
  <si>
    <t>O.J. Simpson</t>
  </si>
  <si>
    <t>The Naked Gun 2½: The Smell of Fear 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</si>
  <si>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</si>
  <si>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</si>
  <si>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</si>
  <si>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</si>
  <si>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Final Destination 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</si>
  <si>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</si>
  <si>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</si>
  <si>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</si>
  <si>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</si>
  <si>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</si>
  <si>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</si>
  <si>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</si>
  <si>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</si>
  <si>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</si>
  <si>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Catherine Dent</t>
  </si>
  <si>
    <t>Someone Like You... </t>
  </si>
  <si>
    <t>apartment|girl in panties|roommate|thong panties|upskirt</t>
  </si>
  <si>
    <t>http://www.imdb.com/title/tt0244970/?ref_=fn_tt_tt_1</t>
  </si>
  <si>
    <t>Brian Johnson</t>
  </si>
  <si>
    <t>Matt Letscher</t>
  </si>
  <si>
    <t>Her </t>
  </si>
  <si>
    <t>divorce|female frontal nudity|future|loneliness|operating system</t>
  </si>
  <si>
    <t>http://www.imdb.com/title/tt1798709/?ref_=fn_tt_tt_1</t>
  </si>
  <si>
    <t>Jessica Bowman</t>
  </si>
  <si>
    <t>Dell Yount</t>
  </si>
  <si>
    <t>Joy Ride 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</si>
  <si>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</si>
  <si>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</si>
  <si>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</si>
  <si>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</si>
  <si>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</si>
  <si>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The Adventurer: The Curse of the Midas Box 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</si>
  <si>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</si>
  <si>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</si>
  <si>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</si>
  <si>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</si>
  <si>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</si>
  <si>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</si>
  <si>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</si>
  <si>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</si>
  <si>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</si>
  <si>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The Crew 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</si>
  <si>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</si>
  <si>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</si>
  <si>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</si>
  <si>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</si>
  <si>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</si>
  <si>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</si>
  <si>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</si>
  <si>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</si>
  <si>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Jaws: The Revenge 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</si>
  <si>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</si>
  <si>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</si>
  <si>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</si>
  <si>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</si>
  <si>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</si>
  <si>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</si>
  <si>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</si>
  <si>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</si>
  <si>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</si>
  <si>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The Longshots </t>
  </si>
  <si>
    <t>absent father|american football|based on true story|middle school</t>
  </si>
  <si>
    <t>http://www.imdb.com/title/tt1091751/?ref_=fn_tt_tt_1</t>
  </si>
  <si>
    <t>Ian Hart</t>
  </si>
  <si>
    <t>James Bolam</t>
  </si>
  <si>
    <t>The End of the Affair 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</si>
  <si>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</si>
  <si>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</si>
  <si>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</si>
  <si>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</si>
  <si>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</si>
  <si>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</si>
  <si>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</si>
  <si>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</si>
  <si>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</si>
  <si>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</si>
  <si>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</si>
  <si>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Marie Gillain</t>
  </si>
  <si>
    <t>Coco Before Chanel 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</si>
  <si>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</si>
  <si>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</si>
  <si>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</si>
  <si>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</si>
  <si>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</si>
  <si>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</si>
  <si>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Tom Burke</t>
  </si>
  <si>
    <t>Iben Hjejle</t>
  </si>
  <si>
    <t>Gaye Brown</t>
  </si>
  <si>
    <t>Chéri 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</si>
  <si>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</si>
  <si>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</si>
  <si>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</si>
  <si>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</si>
  <si>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</si>
  <si>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</si>
  <si>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Romola Garai</t>
  </si>
  <si>
    <t>Roger Lloyd Pack</t>
  </si>
  <si>
    <t>Lillete Dubey</t>
  </si>
  <si>
    <t>Vanity Fair </t>
  </si>
  <si>
    <t>aristocrat|english|painter|painting|singer</t>
  </si>
  <si>
    <t>http://www.imdb.com/title/tt0241025/?ref_=fn_tt_tt_1</t>
  </si>
  <si>
    <t>Action|Drama|History</t>
  </si>
  <si>
    <t>Bingbing Fan</t>
  </si>
  <si>
    <t>Simon Yam</t>
  </si>
  <si>
    <t>Bodyguards and Assassins </t>
  </si>
  <si>
    <t>giant|hong kong|hook and chain|knife fight|martial artist</t>
  </si>
  <si>
    <t>http://www.imdb.com/title/tt1403130/?ref_=fn_tt_tt_1</t>
  </si>
  <si>
    <t>Drew Powell</t>
  </si>
  <si>
    <t>Kim Thomson</t>
  </si>
  <si>
    <t>Alexandra Silber</t>
  </si>
  <si>
    <t>1408 </t>
  </si>
  <si>
    <t>book|debunking|evil|hotel|paranormal phenomena</t>
  </si>
  <si>
    <t>http://www.imdb.com/title/tt0450385/?ref_=fn_tt_tt_1</t>
  </si>
  <si>
    <t>Mel Brooks</t>
  </si>
  <si>
    <t>Joan Rivers</t>
  </si>
  <si>
    <t>Dick Van Patten</t>
  </si>
  <si>
    <t>Michael Winslow</t>
  </si>
  <si>
    <t>Spaceballs 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</si>
  <si>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</si>
  <si>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</si>
  <si>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</si>
  <si>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</si>
  <si>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</si>
  <si>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</si>
  <si>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</si>
  <si>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</si>
  <si>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</si>
  <si>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Ghost 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</si>
  <si>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</si>
  <si>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</si>
  <si>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</si>
  <si>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</si>
  <si>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</si>
  <si>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</si>
  <si>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</si>
  <si>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</si>
  <si>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Angus T. Jones</t>
  </si>
  <si>
    <t>The Rookie 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</si>
  <si>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</si>
  <si>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</si>
  <si>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</si>
  <si>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</si>
  <si>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</si>
  <si>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Debra Monk</t>
  </si>
  <si>
    <t>The Bridges of Madison County </t>
  </si>
  <si>
    <t>1960s|bridge|housewife|love|photographer</t>
  </si>
  <si>
    <t>http://www.imdb.com/title/tt0112579/?ref_=fn_tt_tt_1</t>
  </si>
  <si>
    <t>Michael Papajohn</t>
  </si>
  <si>
    <t>Colleen Haskell</t>
  </si>
  <si>
    <t>The Animal 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</si>
  <si>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</si>
  <si>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</si>
  <si>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</si>
  <si>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</si>
  <si>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</si>
  <si>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Manish Dayal</t>
  </si>
  <si>
    <t>Charlotte Le Bon</t>
  </si>
  <si>
    <t>Juhi Chawla</t>
  </si>
  <si>
    <t>The Hundred-Foot Journey </t>
  </si>
  <si>
    <t>chef|haute cuisine|indian cuisine|michelin guide|restaurant</t>
  </si>
  <si>
    <t>http://www.imdb.com/title/tt2980648/?ref_=fn_tt_tt_1</t>
  </si>
  <si>
    <t>Ray McKinnon</t>
  </si>
  <si>
    <t>The Net 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</si>
  <si>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</si>
  <si>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</si>
  <si>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</si>
  <si>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</si>
  <si>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</si>
  <si>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</si>
  <si>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</si>
  <si>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</si>
  <si>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</si>
  <si>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Son of God </t>
  </si>
  <si>
    <t>bare chested male bondage|crucifixion|loincloth|reference to god|resurrection</t>
  </si>
  <si>
    <t>http://www.imdb.com/title/tt3210686/?ref_=fn_tt_tt_1</t>
  </si>
  <si>
    <t>Shane Brolly</t>
  </si>
  <si>
    <t>Underworld 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</si>
  <si>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</si>
  <si>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</si>
  <si>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</si>
  <si>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</si>
  <si>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</si>
  <si>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</si>
  <si>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</si>
  <si>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</si>
  <si>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Julian Fellowes</t>
  </si>
  <si>
    <t>Shadowlands </t>
  </si>
  <si>
    <t>author|book|england|friend|oxford</t>
  </si>
  <si>
    <t>http://www.imdb.com/title/tt0108101/?ref_=fn_tt_tt_1</t>
  </si>
  <si>
    <t>Mike Bigelow</t>
  </si>
  <si>
    <t>Charles Keating</t>
  </si>
  <si>
    <t>Deuce Bigalow: European Gigolo </t>
  </si>
  <si>
    <t>dolphin|gigolo|pimp|serial killer|villain arrested</t>
  </si>
  <si>
    <t>http://www.imdb.com/title/tt0367652/?ref_=fn_tt_tt_1</t>
  </si>
  <si>
    <t>Jack Reynor</t>
  </si>
  <si>
    <t>Bobby Moynihan</t>
  </si>
  <si>
    <t>Matthew Daddario</t>
  </si>
  <si>
    <t>Delivery Man </t>
  </si>
  <si>
    <t>children|identity|lawsuit|lawyer|sperm donor</t>
  </si>
  <si>
    <t>http://www.imdb.com/title/tt2387559/?ref_=fn_tt_tt_1</t>
  </si>
  <si>
    <t>Thriller</t>
  </si>
  <si>
    <t>Radivoje Bukvic</t>
  </si>
  <si>
    <t>Pawel Szajda</t>
  </si>
  <si>
    <t>Grigoriy Dobrygin</t>
  </si>
  <si>
    <t>Our Kind of Traitor </t>
  </si>
  <si>
    <t>based on novel|male frontal nudity|male nudity|male rear nudity</t>
  </si>
  <si>
    <t>http://www.imdb.com/title/tt1995390/?ref_=fn_tt_tt_1</t>
  </si>
  <si>
    <t>Neil Diamond</t>
  </si>
  <si>
    <t>Kyle Gass</t>
  </si>
  <si>
    <t>Saving Silverman 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</si>
  <si>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</si>
  <si>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</si>
  <si>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</si>
  <si>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</si>
  <si>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</si>
  <si>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</si>
  <si>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</si>
  <si>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</si>
  <si>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</si>
  <si>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Jason Mewes</t>
  </si>
  <si>
    <t>Jay and Silent Bob Strike Back 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</si>
  <si>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</si>
  <si>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</si>
  <si>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</si>
  <si>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</si>
  <si>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</si>
  <si>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</si>
  <si>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</si>
  <si>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</si>
  <si>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</si>
  <si>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</si>
  <si>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</si>
  <si>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</si>
  <si>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</si>
  <si>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</si>
  <si>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Josie and the Pussycats 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</si>
  <si>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</si>
  <si>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</si>
  <si>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</si>
  <si>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</si>
  <si>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</si>
  <si>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</si>
  <si>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</si>
  <si>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</si>
  <si>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</si>
  <si>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</si>
  <si>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</si>
  <si>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</si>
  <si>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</si>
  <si>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</si>
  <si>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</si>
  <si>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</si>
  <si>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</si>
  <si>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</si>
  <si>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</si>
  <si>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</si>
  <si>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</si>
  <si>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Comedy|Drama|Musical|Romance|War</t>
  </si>
  <si>
    <t>Rock Hudson</t>
  </si>
  <si>
    <t>Vernon Dobtcheff</t>
  </si>
  <si>
    <t>Jeremy Kemp</t>
  </si>
  <si>
    <t>Darling Lili 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</si>
  <si>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</si>
  <si>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</si>
  <si>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</si>
  <si>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</si>
  <si>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</si>
  <si>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</si>
  <si>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</si>
  <si>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</si>
  <si>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</si>
  <si>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</si>
  <si>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</si>
  <si>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</si>
  <si>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</si>
  <si>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</si>
  <si>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</si>
  <si>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</si>
  <si>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</si>
  <si>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</si>
  <si>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</si>
  <si>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</si>
  <si>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</si>
  <si>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</si>
  <si>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</si>
  <si>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</si>
  <si>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</si>
  <si>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</si>
  <si>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</si>
  <si>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Roger Cross</t>
  </si>
  <si>
    <t>Mad Money 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</si>
  <si>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</si>
  <si>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</si>
  <si>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</si>
  <si>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</si>
  <si>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</si>
  <si>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Before I Go to Sleep </t>
  </si>
  <si>
    <t>amnesia|female nudity|infidelity|nudity|therapist</t>
  </si>
  <si>
    <t>http://www.imdb.com/title/tt1726592/?ref_=fn_tt_tt_1</t>
  </si>
  <si>
    <t>Joe Spinell</t>
  </si>
  <si>
    <t>Amidou</t>
  </si>
  <si>
    <t>Sorcerer 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</si>
  <si>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</si>
  <si>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</si>
  <si>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</si>
  <si>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</si>
  <si>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</si>
  <si>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</si>
  <si>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Comedy|History</t>
  </si>
  <si>
    <t>Romain Duris</t>
  </si>
  <si>
    <t>Ludivine Sagnier</t>
  </si>
  <si>
    <t>Fabrice Luchini</t>
  </si>
  <si>
    <t>Molière </t>
  </si>
  <si>
    <t>deathbed|play|playwright|prison|theater</t>
  </si>
  <si>
    <t>http://www.imdb.com/title/tt0796335/?ref_=fn_tt_tt_1</t>
  </si>
  <si>
    <t>Dendrie Taylor</t>
  </si>
  <si>
    <t>Out of the Furnace 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</si>
  <si>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</si>
  <si>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</si>
  <si>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</si>
  <si>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</si>
  <si>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</si>
  <si>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</si>
  <si>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</si>
  <si>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</si>
  <si>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</si>
  <si>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</si>
  <si>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</si>
  <si>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</si>
  <si>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Adventure|Animation|Family|Sport</t>
  </si>
  <si>
    <t>Pablo Rago</t>
  </si>
  <si>
    <t>Diego Ramos</t>
  </si>
  <si>
    <t>Gabriel Almirón</t>
  </si>
  <si>
    <t>Underdogs </t>
  </si>
  <si>
    <t>funfair|luna park|table football|toy comes to life|wig</t>
  </si>
  <si>
    <t>http://www.imdb.com/title/tt1634003/?ref_=fn_tt_tt_1</t>
  </si>
  <si>
    <t>Ornella Muti</t>
  </si>
  <si>
    <t>Alessandra Mastronardi</t>
  </si>
  <si>
    <t>To Rome with Love </t>
  </si>
  <si>
    <t>architect|celebrity|prostitute|shower|tourist</t>
  </si>
  <si>
    <t>http://www.imdb.com/title/tt1859650/?ref_=fn_tt_tt_1</t>
  </si>
  <si>
    <t>Warren Clarke</t>
  </si>
  <si>
    <t>Kenneth Colley</t>
  </si>
  <si>
    <t>Firefox 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</si>
  <si>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</si>
  <si>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</si>
  <si>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</si>
  <si>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</si>
  <si>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</si>
  <si>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</si>
  <si>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</si>
  <si>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</si>
  <si>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</si>
  <si>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</si>
  <si>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</si>
  <si>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Matt Hill</t>
  </si>
  <si>
    <t>Teenage Mutant Ninja Turtles III </t>
  </si>
  <si>
    <t>battle|japan|magic|samurai|turtle</t>
  </si>
  <si>
    <t>http://www.imdb.com/title/tt0108308/?ref_=fn_tt_tt_1</t>
  </si>
  <si>
    <t>DeWayne Warren</t>
  </si>
  <si>
    <t>Hardball 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</si>
  <si>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</si>
  <si>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</si>
  <si>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</si>
  <si>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</si>
  <si>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</si>
  <si>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</si>
  <si>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</si>
  <si>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</si>
  <si>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</si>
  <si>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</si>
  <si>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</si>
  <si>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</si>
  <si>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</si>
  <si>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The Transporter </t>
  </si>
  <si>
    <t>bar|gunfight|human trafficking|mixed martial arts|tire iron</t>
  </si>
  <si>
    <t>http://www.imdb.com/title/tt0293662/?ref_=fn_tt_tt_1</t>
  </si>
  <si>
    <t>Leslie Hope</t>
  </si>
  <si>
    <t>Never Back Down 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</si>
  <si>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</si>
  <si>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</si>
  <si>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</si>
  <si>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</si>
  <si>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</si>
  <si>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The Rage: Carrie 2 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</si>
  <si>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</si>
  <si>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</si>
  <si>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</si>
  <si>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</si>
  <si>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</si>
  <si>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</si>
  <si>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</si>
  <si>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</si>
  <si>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</si>
  <si>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</si>
  <si>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</si>
  <si>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</si>
  <si>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</si>
  <si>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</si>
  <si>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</si>
  <si>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</si>
  <si>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</si>
  <si>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</si>
  <si>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</si>
  <si>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</si>
  <si>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</si>
  <si>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</si>
  <si>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</si>
  <si>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</si>
  <si>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Molly 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</si>
  <si>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</si>
  <si>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</si>
  <si>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</si>
  <si>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</si>
  <si>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</si>
  <si>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</si>
  <si>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Dom DeLuise</t>
  </si>
  <si>
    <t>The Best Little Whorehouse in Texas 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</si>
  <si>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</si>
  <si>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</si>
  <si>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</si>
  <si>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</si>
  <si>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</si>
  <si>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</si>
  <si>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</si>
  <si>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</si>
  <si>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</si>
  <si>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</si>
  <si>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</si>
  <si>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</si>
  <si>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</si>
  <si>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</si>
  <si>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</si>
  <si>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</si>
  <si>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</si>
  <si>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</si>
  <si>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</si>
  <si>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</si>
  <si>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</si>
  <si>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</si>
  <si>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</si>
  <si>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</si>
  <si>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Steve Harris</t>
  </si>
  <si>
    <t>Bringing Down the House 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</si>
  <si>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</si>
  <si>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</si>
  <si>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</si>
  <si>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</si>
  <si>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</si>
  <si>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</si>
  <si>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</si>
  <si>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</si>
  <si>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</si>
  <si>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</si>
  <si>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Action|Comedy|Documentary</t>
  </si>
  <si>
    <t>Bam Margera</t>
  </si>
  <si>
    <t>Steve-O</t>
  </si>
  <si>
    <t>Chris Pontius</t>
  </si>
  <si>
    <t>Jackass 3D 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</si>
  <si>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</si>
  <si>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</si>
  <si>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</si>
  <si>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</si>
  <si>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</si>
  <si>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Jaws 2 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</si>
  <si>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</si>
  <si>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</si>
  <si>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</si>
  <si>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</si>
  <si>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Beverly Hills Chihuahua </t>
  </si>
  <si>
    <t>chihuahua|german shepherd|mexico|potted plant|tijuana mexico</t>
  </si>
  <si>
    <t>http://www.imdb.com/title/tt1014775/?ref_=fn_tt_tt_1</t>
  </si>
  <si>
    <t>Hayley McFarland</t>
  </si>
  <si>
    <t>The Conjuring 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</si>
  <si>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</si>
  <si>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</si>
  <si>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</si>
  <si>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</si>
  <si>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</si>
  <si>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</si>
  <si>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</si>
  <si>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</si>
  <si>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</si>
  <si>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Mike White</t>
  </si>
  <si>
    <t>School of Rock 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</si>
  <si>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</si>
  <si>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</si>
  <si>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</si>
  <si>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</si>
  <si>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</si>
  <si>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</si>
  <si>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</si>
  <si>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</si>
  <si>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Shailene Woodley</t>
  </si>
  <si>
    <t>Nick Krause</t>
  </si>
  <si>
    <t>The Descendants </t>
  </si>
  <si>
    <t>boating accident|daughters|father daughter relationship|hospital|marriage</t>
  </si>
  <si>
    <t>http://www.imdb.com/title/tt1033575/?ref_=fn_tt_tt_1</t>
  </si>
  <si>
    <t>Adventure|Comedy|Drama|Family|Mystery</t>
  </si>
  <si>
    <t>Zane Holtz</t>
  </si>
  <si>
    <t>Ski Carr</t>
  </si>
  <si>
    <t>Holes </t>
  </si>
  <si>
    <t>bad luck|camp|curse|digging|hole</t>
  </si>
  <si>
    <t>http://www.imdb.com/title/tt0311289/?ref_=fn_tt_tt_1</t>
  </si>
  <si>
    <t>Drama|Family|Music|Romance</t>
  </si>
  <si>
    <t>Bobby Coleman</t>
  </si>
  <si>
    <t>Melissa Ordway</t>
  </si>
  <si>
    <t>The Last Song </t>
  </si>
  <si>
    <t>beach|fire|love|pianist|summer</t>
  </si>
  <si>
    <t>http://www.imdb.com/title/tt1294226/?ref_=fn_tt_tt_1</t>
  </si>
  <si>
    <t>Steve McQueen</t>
  </si>
  <si>
    <t>Taran Killam</t>
  </si>
  <si>
    <t>12 Years a Slave </t>
  </si>
  <si>
    <t>racism|separation from family|social injustice|torture|whipping</t>
  </si>
  <si>
    <t>http://www.imdb.com/title/tt2024544/?ref_=fn_tt_tt_1</t>
  </si>
  <si>
    <t>Jason Weaver</t>
  </si>
  <si>
    <t>Drumline 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</si>
  <si>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</si>
  <si>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</si>
  <si>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</si>
  <si>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</si>
  <si>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</si>
  <si>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</si>
  <si>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</si>
  <si>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</si>
  <si>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</si>
  <si>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</si>
  <si>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Brendan Coyle</t>
  </si>
  <si>
    <t>Me Before You </t>
  </si>
  <si>
    <t>accident|caretaker|economic hardship|quadriplegic|wheelchair</t>
  </si>
  <si>
    <t>http://www.imdb.com/title/tt2674426/?ref_=fn_tt_tt_1</t>
  </si>
  <si>
    <t>Romeo Miller</t>
  </si>
  <si>
    <t>Madea's Witness Protection 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</si>
  <si>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</si>
  <si>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</si>
  <si>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</si>
  <si>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</si>
  <si>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The French Connection 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</si>
  <si>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</si>
  <si>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</si>
  <si>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</si>
  <si>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</si>
  <si>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</si>
  <si>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</si>
  <si>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</si>
  <si>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</si>
  <si>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</si>
  <si>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</si>
  <si>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</si>
  <si>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</si>
  <si>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</si>
  <si>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</si>
  <si>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</si>
  <si>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</si>
  <si>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</si>
  <si>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</si>
  <si>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</si>
  <si>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Adventure|Animation|Family|Musical</t>
  </si>
  <si>
    <t>Phil Collins</t>
  </si>
  <si>
    <t>Tony Jay</t>
  </si>
  <si>
    <t>The Jungle Book 2 </t>
  </si>
  <si>
    <t>dog|jungle|shot gun|tiger|village</t>
  </si>
  <si>
    <t>http://www.imdb.com/title/tt0283426/?ref_=fn_tt_tt_1</t>
  </si>
  <si>
    <t>Barry Watson</t>
  </si>
  <si>
    <t>Skye McCole Bartusiak</t>
  </si>
  <si>
    <t>Charles Mesure</t>
  </si>
  <si>
    <t>Boogeyman </t>
  </si>
  <si>
    <t>boogeyman|childhood|fear|hometown|uncle</t>
  </si>
  <si>
    <t>http://www.imdb.com/title/tt0357507/?ref_=fn_tt_tt_1</t>
  </si>
  <si>
    <t>Mennan Yapo</t>
  </si>
  <si>
    <t>Marc Macaulay</t>
  </si>
  <si>
    <t>Premonition 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</si>
  <si>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</si>
  <si>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</si>
  <si>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</si>
  <si>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</si>
  <si>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</si>
  <si>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</si>
  <si>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The Tigger Movie </t>
  </si>
  <si>
    <t>cartoon tiger|coming of age|tiger|tigger|title directed by female</t>
  </si>
  <si>
    <t>http://www.imdb.com/title/tt0220099/?ref_=fn_tt_tt_1</t>
  </si>
  <si>
    <t>Aryana Engineer</t>
  </si>
  <si>
    <t>Orphan 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</si>
  <si>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</si>
  <si>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</si>
  <si>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</si>
  <si>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</si>
  <si>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</si>
  <si>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</si>
  <si>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</si>
  <si>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David Mann</t>
  </si>
  <si>
    <t>Denise Boutte</t>
  </si>
  <si>
    <t>Meet the Browns 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</si>
  <si>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</si>
  <si>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</si>
  <si>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</si>
  <si>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</si>
  <si>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</si>
  <si>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Biography|Crime|Drama|History</t>
  </si>
  <si>
    <t>Jamey Sheridan</t>
  </si>
  <si>
    <t>Brian d'Arcy James</t>
  </si>
  <si>
    <t>Spotlight 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</si>
  <si>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</si>
  <si>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</si>
  <si>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</si>
  <si>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</si>
  <si>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</si>
  <si>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</si>
  <si>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</si>
  <si>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</si>
  <si>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</si>
  <si>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</si>
  <si>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</si>
  <si>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</si>
  <si>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</si>
  <si>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</si>
  <si>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</si>
  <si>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Bill &amp; Ted's Bogus Journey 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</si>
  <si>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</si>
  <si>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</si>
  <si>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</si>
  <si>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</si>
  <si>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</si>
  <si>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</si>
  <si>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</si>
  <si>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</si>
  <si>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The Black Hole </t>
  </si>
  <si>
    <t>black hole|escape|palomino|robot|scientist</t>
  </si>
  <si>
    <t>http://www.imdb.com/title/tt0078869/?ref_=fn_tt_tt_1</t>
  </si>
  <si>
    <t>Anton Corbijn</t>
  </si>
  <si>
    <t>Violante Placido</t>
  </si>
  <si>
    <t>Thekla Reuten</t>
  </si>
  <si>
    <t>Filippo Timi</t>
  </si>
  <si>
    <t>The American 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</si>
  <si>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</si>
  <si>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</si>
  <si>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</si>
  <si>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</si>
  <si>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</si>
  <si>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</si>
  <si>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</si>
  <si>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Anneliese van der Pol</t>
  </si>
  <si>
    <t>Vampires Suck </t>
  </si>
  <si>
    <t>cat|friend|love|sheriff|teenager</t>
  </si>
  <si>
    <t>http://www.imdb.com/title/tt1666186/?ref_=fn_tt_tt_1</t>
  </si>
  <si>
    <t>Harriet Walter</t>
  </si>
  <si>
    <t>Dermot Crowley</t>
  </si>
  <si>
    <t>Babel 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</si>
  <si>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</si>
  <si>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</si>
  <si>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</si>
  <si>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</si>
  <si>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</si>
  <si>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</si>
  <si>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</si>
  <si>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</si>
  <si>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</si>
  <si>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</si>
  <si>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</si>
  <si>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</si>
  <si>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</si>
  <si>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Gunnar Hansen</t>
  </si>
  <si>
    <t>Keram Malicki-Sánchez</t>
  </si>
  <si>
    <t>Shaun Sipos</t>
  </si>
  <si>
    <t>Texas Chainsaw 3D 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</si>
  <si>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</si>
  <si>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</si>
  <si>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</si>
  <si>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</si>
  <si>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</si>
  <si>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</si>
  <si>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</si>
  <si>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</si>
  <si>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</si>
  <si>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</si>
  <si>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</si>
  <si>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Comedy|Drama|Musical|Romance|Western</t>
  </si>
  <si>
    <t>Lee Marvin</t>
  </si>
  <si>
    <t>Paint Your Wagon </t>
  </si>
  <si>
    <t>california|farmer|gold|mining|prospector</t>
  </si>
  <si>
    <t>http://www.imdb.com/title/tt0064782/?ref_=fn_tt_tt_1</t>
  </si>
  <si>
    <t>Lucas Grabeel</t>
  </si>
  <si>
    <t>Milk </t>
  </si>
  <si>
    <t>california|gay|gay activist|gay pickup|gay rights</t>
  </si>
  <si>
    <t>http://www.imdb.com/title/tt1013753/?ref_=fn_tt_tt_1</t>
  </si>
  <si>
    <t>Action|Adventure|Drama|Mystery</t>
  </si>
  <si>
    <t>Jan Cornet</t>
  </si>
  <si>
    <t>María Botto</t>
  </si>
  <si>
    <t>Risen 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</si>
  <si>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</si>
  <si>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</si>
  <si>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</si>
  <si>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</si>
  <si>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</si>
  <si>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Ghost Ship 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</si>
  <si>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</si>
  <si>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</si>
  <si>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</si>
  <si>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</si>
  <si>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</si>
  <si>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</si>
  <si>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</si>
  <si>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Jeff Perry</t>
  </si>
  <si>
    <t>Wild Things 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</si>
  <si>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</si>
  <si>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</si>
  <si>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</si>
  <si>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</si>
  <si>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The Stepfather 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</si>
  <si>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</si>
  <si>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</si>
  <si>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</si>
  <si>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</si>
  <si>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The Debt 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</si>
  <si>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</si>
  <si>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</si>
  <si>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</si>
  <si>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</si>
  <si>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</si>
  <si>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</si>
  <si>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</si>
  <si>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</si>
  <si>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One Missed Call 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</si>
  <si>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</si>
  <si>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</si>
  <si>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</si>
  <si>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</si>
  <si>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</si>
  <si>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</si>
  <si>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</si>
  <si>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</si>
  <si>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</si>
  <si>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</si>
  <si>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</si>
  <si>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</si>
  <si>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</si>
  <si>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You Again 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</si>
  <si>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</si>
  <si>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</si>
  <si>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</si>
  <si>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</si>
  <si>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</si>
  <si>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</si>
  <si>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Jasper Levine</t>
  </si>
  <si>
    <t>The World's End 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</si>
  <si>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</si>
  <si>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</si>
  <si>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</si>
  <si>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</si>
  <si>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</si>
  <si>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</si>
  <si>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</si>
  <si>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</si>
  <si>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</si>
  <si>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Jay Laga'aia</t>
  </si>
  <si>
    <t>Damien Garvey</t>
  </si>
  <si>
    <t>Tiffany Lamb</t>
  </si>
  <si>
    <t>Daybreakers </t>
  </si>
  <si>
    <t>blood|rationing|vampire|vampire society|year 2019</t>
  </si>
  <si>
    <t>http://www.imdb.com/title/tt0433362/?ref_=fn_tt_tt_1</t>
  </si>
  <si>
    <t>Jim Field Smith</t>
  </si>
  <si>
    <t>Geoff Stults</t>
  </si>
  <si>
    <t>She's Out of My League </t>
  </si>
  <si>
    <t>airport|airport security|confidence|iphone|love</t>
  </si>
  <si>
    <t>http://www.imdb.com/title/tt0815236/?ref_=fn_tt_tt_1</t>
  </si>
  <si>
    <t>Thomas Bezucha</t>
  </si>
  <si>
    <t>Brett Cullen</t>
  </si>
  <si>
    <t>Monte Carlo 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</si>
  <si>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</si>
  <si>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</si>
  <si>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</si>
  <si>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</si>
  <si>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</si>
  <si>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</si>
  <si>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</si>
  <si>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</si>
  <si>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</si>
  <si>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</si>
  <si>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</si>
  <si>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</si>
  <si>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</si>
  <si>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</si>
  <si>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</si>
  <si>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Toby Hemingway</t>
  </si>
  <si>
    <t>The Covenant 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</si>
  <si>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</si>
  <si>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</si>
  <si>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</si>
  <si>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</si>
  <si>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</si>
  <si>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Stick It </t>
  </si>
  <si>
    <t>coach|gymnastics|houston texas|teenager|texas</t>
  </si>
  <si>
    <t>http://www.imdb.com/title/tt0430634/?ref_=fn_tt_tt_1</t>
  </si>
  <si>
    <t>Jake Short</t>
  </si>
  <si>
    <t>Shorts 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</si>
  <si>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</si>
  <si>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</si>
  <si>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</si>
  <si>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</si>
  <si>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</si>
  <si>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</si>
  <si>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</si>
  <si>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</si>
  <si>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</si>
  <si>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</si>
  <si>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</si>
  <si>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</si>
  <si>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</si>
  <si>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</si>
  <si>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Appaloosa 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</si>
  <si>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</si>
  <si>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</si>
  <si>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</si>
  <si>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</si>
  <si>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</si>
  <si>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</si>
  <si>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</si>
  <si>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</si>
  <si>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</si>
  <si>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</si>
  <si>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</si>
  <si>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Janet Leigh</t>
  </si>
  <si>
    <t>Vera Miles</t>
  </si>
  <si>
    <t>John Gavin</t>
  </si>
  <si>
    <t>Psycho </t>
  </si>
  <si>
    <t>money|motel|rain|shower|theft</t>
  </si>
  <si>
    <t>http://www.imdb.com/title/tt0054215/?ref_=fn_tt_tt_1</t>
  </si>
  <si>
    <t>Riki Lindhome</t>
  </si>
  <si>
    <t>My Best Friend's Girl 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</si>
  <si>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</si>
  <si>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</si>
  <si>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</si>
  <si>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</si>
  <si>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</si>
  <si>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</si>
  <si>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</si>
  <si>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</si>
  <si>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</si>
  <si>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</si>
  <si>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Billy Barty</t>
  </si>
  <si>
    <t>Under the Rainbow </t>
  </si>
  <si>
    <t>assassin|hotel|japanese tourist|secret service|wizard of oz</t>
  </si>
  <si>
    <t>http://www.imdb.com/title/tt0083254/?ref_=fn_tt_tt_1</t>
  </si>
  <si>
    <t>Adventure|Comedy|Drama|Fantasy</t>
  </si>
  <si>
    <t>John Wood</t>
  </si>
  <si>
    <t>Leo McKern</t>
  </si>
  <si>
    <t>Ladyhawke 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</si>
  <si>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</si>
  <si>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</si>
  <si>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</si>
  <si>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</si>
  <si>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</si>
  <si>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</si>
  <si>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</si>
  <si>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</si>
  <si>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</si>
  <si>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</si>
  <si>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</si>
  <si>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</si>
  <si>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</si>
  <si>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</si>
  <si>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</si>
  <si>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</si>
  <si>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</si>
  <si>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</si>
  <si>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</si>
  <si>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</si>
  <si>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</si>
  <si>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</si>
  <si>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</si>
  <si>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</si>
  <si>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</si>
  <si>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</si>
  <si>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</si>
  <si>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</si>
  <si>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</si>
  <si>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</si>
  <si>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</si>
  <si>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Steve Guttenberg</t>
  </si>
  <si>
    <t>Home for the Holidays </t>
  </si>
  <si>
    <t>dinner|gay interest|gay sibling|homosexual|thanksgiving</t>
  </si>
  <si>
    <t>http://www.imdb.com/title/tt0113321/?ref_=fn_tt_tt_1</t>
  </si>
  <si>
    <t>Stephen Chow</t>
  </si>
  <si>
    <t>Action|Comedy|Crime|Fantasy</t>
  </si>
  <si>
    <t>Shengyi Huang</t>
  </si>
  <si>
    <t>Chi Ling Chiu</t>
  </si>
  <si>
    <t>Qiu Yuen</t>
  </si>
  <si>
    <t>Kung Fu Hustle </t>
  </si>
  <si>
    <t>1940s|axe|china|gang|sign language</t>
  </si>
  <si>
    <t>http://www.imdb.com/title/tt0373074/?ref_=fn_tt_tt_1</t>
  </si>
  <si>
    <t>Mark Feuerstein</t>
  </si>
  <si>
    <t>Sharon Lawrence</t>
  </si>
  <si>
    <t>Fired Up 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</si>
  <si>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</si>
  <si>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</si>
  <si>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</si>
  <si>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</si>
  <si>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</si>
  <si>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</si>
  <si>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</si>
  <si>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</si>
  <si>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Khalid Abdalla</t>
  </si>
  <si>
    <t>The Kite Runner 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</si>
  <si>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</si>
  <si>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</si>
  <si>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</si>
  <si>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</si>
  <si>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</si>
  <si>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</si>
  <si>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</si>
  <si>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</si>
  <si>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</si>
  <si>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Paparazzi 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</si>
  <si>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</si>
  <si>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</si>
  <si>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</si>
  <si>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</si>
  <si>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</si>
  <si>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</si>
  <si>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</si>
  <si>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</si>
  <si>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</si>
  <si>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Loser 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</si>
  <si>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</si>
  <si>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</si>
  <si>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</si>
  <si>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</si>
  <si>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</si>
  <si>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Capitalism: A Love Story 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</si>
  <si>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</si>
  <si>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</si>
  <si>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</si>
  <si>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</si>
  <si>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</si>
  <si>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</si>
  <si>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</si>
  <si>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</si>
  <si>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</si>
  <si>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Secret in Their Eyes 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</si>
  <si>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</si>
  <si>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</si>
  <si>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</si>
  <si>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</si>
  <si>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</si>
  <si>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Lorna Raver</t>
  </si>
  <si>
    <t>Armored </t>
  </si>
  <si>
    <t>armored truck|blood splatter|die hard scenario|guard|heist</t>
  </si>
  <si>
    <t>http://www.imdb.com/title/tt0913354/?ref_=fn_tt_tt_1</t>
  </si>
  <si>
    <t>Joanne Whalley</t>
  </si>
  <si>
    <t>The Man Who Knew Too Little 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</si>
  <si>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</si>
  <si>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</si>
  <si>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</si>
  <si>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</si>
  <si>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</si>
  <si>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</si>
  <si>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</si>
  <si>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Jacky Ido</t>
  </si>
  <si>
    <t>Lockout </t>
  </si>
  <si>
    <t>bodyguard|maximum security prison|outer space|president|prison</t>
  </si>
  <si>
    <t>http://www.imdb.com/title/tt1592525/?ref_=fn_tt_tt_1</t>
  </si>
  <si>
    <t>Sam Lerner</t>
  </si>
  <si>
    <t>Envy 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</si>
  <si>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</si>
  <si>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</si>
  <si>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</si>
  <si>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</si>
  <si>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</si>
  <si>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</si>
  <si>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</si>
  <si>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</si>
  <si>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</si>
  <si>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James Callis</t>
  </si>
  <si>
    <t>Tiffany Dupont</t>
  </si>
  <si>
    <t>Nimrat Kaur</t>
  </si>
  <si>
    <t>One Night with the King 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</si>
  <si>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</si>
  <si>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</si>
  <si>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</si>
  <si>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</si>
  <si>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</si>
  <si>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</si>
  <si>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</si>
  <si>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</si>
  <si>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</si>
  <si>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</si>
  <si>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</si>
  <si>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</si>
  <si>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</si>
  <si>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</si>
  <si>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Jordan Carlos</t>
  </si>
  <si>
    <t>Ghost Town 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</si>
  <si>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</si>
  <si>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</si>
  <si>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</si>
  <si>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</si>
  <si>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12 Rounds 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</si>
  <si>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</si>
  <si>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</si>
  <si>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</si>
  <si>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</si>
  <si>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</si>
  <si>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</si>
  <si>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</si>
  <si>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</si>
  <si>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3 Ninjas Kick Back </t>
  </si>
  <si>
    <t>1990s|dagger|japan|mousetrap|stick fight</t>
  </si>
  <si>
    <t>http://www.imdb.com/title/tt0109015/?ref_=fn_tt_tt_1</t>
  </si>
  <si>
    <t>Melonie Diaz</t>
  </si>
  <si>
    <t>Be Kind Rewind </t>
  </si>
  <si>
    <t>friend|power plant|sabotage|store clerk|video store</t>
  </si>
  <si>
    <t>http://www.imdb.com/title/tt0799934/?ref_=fn_tt_tt_1</t>
  </si>
  <si>
    <t>Comedy|Drama|Music|War</t>
  </si>
  <si>
    <t>Christopher Guest</t>
  </si>
  <si>
    <t>Sarah Solemani</t>
  </si>
  <si>
    <t>Mrs Henderson Presents 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</si>
  <si>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</si>
  <si>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</si>
  <si>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</si>
  <si>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</si>
  <si>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</si>
  <si>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</si>
  <si>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</si>
  <si>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</si>
  <si>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</si>
  <si>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</si>
  <si>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David Ramsey</t>
  </si>
  <si>
    <t>Three to Tango </t>
  </si>
  <si>
    <t>architect|award|farce|love|misunderstanding</t>
  </si>
  <si>
    <t>http://www.imdb.com/title/tt0144640/?ref_=fn_tt_tt_1</t>
  </si>
  <si>
    <t>Riccardo Scamarcio</t>
  </si>
  <si>
    <t>Burnt </t>
  </si>
  <si>
    <t>chef|gay kiss|michelin star|restaurant|violent behavior</t>
  </si>
  <si>
    <t>http://www.imdb.com/title/tt2503944/?ref_=fn_tt_tt_1</t>
  </si>
  <si>
    <t>James Russo</t>
  </si>
  <si>
    <t>We're No Angels </t>
  </si>
  <si>
    <t>con|convict|escape|police|priest</t>
  </si>
  <si>
    <t>http://www.imdb.com/title/tt0098625/?ref_=fn_tt_tt_1</t>
  </si>
  <si>
    <t>Comedy|Musical|Romance</t>
  </si>
  <si>
    <t>Jeff DeRocker</t>
  </si>
  <si>
    <t>Everyone Says I Love You </t>
  </si>
  <si>
    <t>engagement|grandfather|liberal|maid|song</t>
  </si>
  <si>
    <t>http://www.imdb.com/title/tt0116242/?ref_=fn_tt_tt_1</t>
  </si>
  <si>
    <t>Edi Gathegi</t>
  </si>
  <si>
    <t>Death Sentence </t>
  </si>
  <si>
    <t>blood|death|gang|murder|revenge</t>
  </si>
  <si>
    <t>http://www.imdb.com/title/tt0804461/?ref_=fn_tt_tt_1</t>
  </si>
  <si>
    <t>Brendan Sexton III</t>
  </si>
  <si>
    <t>Everybody's Fine </t>
  </si>
  <si>
    <t>bus trip|parental love|retirement|surprise visit|train ride</t>
  </si>
  <si>
    <t>http://www.imdb.com/title/tt0780511/?ref_=fn_tt_tt_1</t>
  </si>
  <si>
    <t>Bob Clark</t>
  </si>
  <si>
    <t>Scott Baio</t>
  </si>
  <si>
    <t>Vanessa Angel</t>
  </si>
  <si>
    <t>Peter Wingfield</t>
  </si>
  <si>
    <t>Superbabies: Baby Geniuses 2 </t>
  </si>
  <si>
    <t>computer|good versus evil|mind control|science experiment|sequel</t>
  </si>
  <si>
    <t>http://www.imdb.com/title/tt0270846/?ref_=fn_tt_tt_1</t>
  </si>
  <si>
    <t>Susie Essman</t>
  </si>
  <si>
    <t>Gigi Rice</t>
  </si>
  <si>
    <t>The Man 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</si>
  <si>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</si>
  <si>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</si>
  <si>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</si>
  <si>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</si>
  <si>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</si>
  <si>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</si>
  <si>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</si>
  <si>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</si>
  <si>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</si>
  <si>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Comedy|Drama|Music|Musical|Romance</t>
  </si>
  <si>
    <t>Sammy Davis Jr.</t>
  </si>
  <si>
    <t>Ricardo Montalban</t>
  </si>
  <si>
    <t>Sweet Charity </t>
  </si>
  <si>
    <t>charity|dancer|foreign language adaptation|hope|taxi dancer</t>
  </si>
  <si>
    <t>http://www.imdb.com/title/tt0065054/?ref_=fn_tt_tt_1</t>
  </si>
  <si>
    <t>Comedy|Crime|Drama|Mystery|Romance</t>
  </si>
  <si>
    <t>Martin Dew</t>
  </si>
  <si>
    <t>Katherine Waterston</t>
  </si>
  <si>
    <t>Serena Scott Thomas</t>
  </si>
  <si>
    <t>Inherent Vice 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</si>
  <si>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</si>
  <si>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</si>
  <si>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</si>
  <si>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</si>
  <si>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</si>
  <si>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</si>
  <si>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</si>
  <si>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Chris Brown</t>
  </si>
  <si>
    <t>Caity Lotz</t>
  </si>
  <si>
    <t>Battle of the Year </t>
  </si>
  <si>
    <t>3 dimensional|box office flop|critically bashed|dancing</t>
  </si>
  <si>
    <t>http://www.imdb.com/title/tt1532958/?ref_=fn_tt_tt_1</t>
  </si>
  <si>
    <t>Scott Wolf</t>
  </si>
  <si>
    <t>Perception </t>
  </si>
  <si>
    <t>http://www.imdb.com/title/tt1714204/?ref_=fn_tt_tt_1</t>
  </si>
  <si>
    <t>Chriss Anglin</t>
  </si>
  <si>
    <t>Geoffrey Arend</t>
  </si>
  <si>
    <t>Gary Coleman</t>
  </si>
  <si>
    <t>An American Carol </t>
  </si>
  <si>
    <t>arab stereotype|box office flop|documentary filmmaker|filmmaker|terrorist</t>
  </si>
  <si>
    <t>http://www.imdb.com/title/tt1190617/?ref_=fn_tt_tt_1</t>
  </si>
  <si>
    <t>Marko Zaror</t>
  </si>
  <si>
    <t>Machete Kills </t>
  </si>
  <si>
    <t>arms dealer|battle|bomb|machete|missile</t>
  </si>
  <si>
    <t>http://www.imdb.com/title/tt2002718/?ref_=fn_tt_tt_1</t>
  </si>
  <si>
    <t>Glen Morgan</t>
  </si>
  <si>
    <t>Jackie Burroughs</t>
  </si>
  <si>
    <t>Willard 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</si>
  <si>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</si>
  <si>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</si>
  <si>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</si>
  <si>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</si>
  <si>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</si>
  <si>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</si>
  <si>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</si>
  <si>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</si>
  <si>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</si>
  <si>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Topsy-Turvy 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</si>
  <si>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</si>
  <si>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</si>
  <si>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</si>
  <si>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</si>
  <si>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</si>
  <si>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</si>
  <si>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</si>
  <si>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</si>
  <si>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</si>
  <si>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</si>
  <si>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</si>
  <si>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</si>
  <si>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</si>
  <si>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</si>
  <si>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</si>
  <si>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Catherine Lough Haggquist</t>
  </si>
  <si>
    <t>Darren Shahlavi</t>
  </si>
  <si>
    <t>Karin Konoval</t>
  </si>
  <si>
    <t>Alone in the Dark </t>
  </si>
  <si>
    <t>artifact|creature|darkness|demon|museum</t>
  </si>
  <si>
    <t>http://www.imdb.com/title/tt0369226/?ref_=fn_tt_tt_1</t>
  </si>
  <si>
    <t>Charlie Saxton</t>
  </si>
  <si>
    <t>Ryan Donowho</t>
  </si>
  <si>
    <t>Bandslam 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</si>
  <si>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</si>
  <si>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</si>
  <si>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</si>
  <si>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</si>
  <si>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</si>
  <si>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</si>
  <si>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</si>
  <si>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</si>
  <si>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</si>
  <si>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</si>
  <si>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</si>
  <si>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</si>
  <si>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</si>
  <si>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</si>
  <si>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Dylan Authors</t>
  </si>
  <si>
    <t>Bill Lake</t>
  </si>
  <si>
    <t>Victoria Learn</t>
  </si>
  <si>
    <t>Flash of Genius </t>
  </si>
  <si>
    <t>flash of genius|genius|intellectual property|professor|university</t>
  </si>
  <si>
    <t>http://www.imdb.com/title/tt1054588/?ref_=fn_tt_tt_1</t>
  </si>
  <si>
    <t>Todd Haynes</t>
  </si>
  <si>
    <t>Tyrone Benskin</t>
  </si>
  <si>
    <t>I'm Not There. 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</si>
  <si>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</si>
  <si>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</si>
  <si>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</si>
  <si>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</si>
  <si>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</si>
  <si>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</si>
  <si>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</si>
  <si>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</si>
  <si>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The Brothers Bloom 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</si>
  <si>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</si>
  <si>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</si>
  <si>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</si>
  <si>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</si>
  <si>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</si>
  <si>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</si>
  <si>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</si>
  <si>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</si>
  <si>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</si>
  <si>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</si>
  <si>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</si>
  <si>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</si>
  <si>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</si>
  <si>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</si>
  <si>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Biography|Comedy|Musical</t>
  </si>
  <si>
    <t>Randy Jones</t>
  </si>
  <si>
    <t>Caitlyn Jenner</t>
  </si>
  <si>
    <t>Can't Stop the Music 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</si>
  <si>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</si>
  <si>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</si>
  <si>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</si>
  <si>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</si>
  <si>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</si>
  <si>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</si>
  <si>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</si>
  <si>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</si>
  <si>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Courage 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</si>
  <si>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</si>
  <si>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</si>
  <si>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</si>
  <si>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</si>
  <si>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</si>
  <si>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</si>
  <si>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</si>
  <si>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</si>
  <si>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</si>
  <si>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</si>
  <si>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Matthew Walker</t>
  </si>
  <si>
    <t>The Children of Huang Shi 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</si>
  <si>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</si>
  <si>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</si>
  <si>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</si>
  <si>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</si>
  <si>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</si>
  <si>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</si>
  <si>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</si>
  <si>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</si>
  <si>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The Oogieloves in the Big Balloon Adventure </t>
  </si>
  <si>
    <t>balloon|birthday|box office flop|critically bashed</t>
  </si>
  <si>
    <t>http://www.imdb.com/title/tt1520498/?ref_=fn_tt_tt_1</t>
  </si>
  <si>
    <t>Melvil Poupaud</t>
  </si>
  <si>
    <t>By the Sea 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</si>
  <si>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</si>
  <si>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</si>
  <si>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</si>
  <si>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</si>
  <si>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Rosalind Ayres</t>
  </si>
  <si>
    <t>Steamboy </t>
  </si>
  <si>
    <t>19th century|ball|boy|inventor|steam</t>
  </si>
  <si>
    <t>http://www.imdb.com/title/tt0348121/?ref_=fn_tt_tt_1</t>
  </si>
  <si>
    <t>David Anspaugh</t>
  </si>
  <si>
    <t>Jimmy Jean-Louis</t>
  </si>
  <si>
    <t>The Game of Their Lives 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</si>
  <si>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</si>
  <si>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</si>
  <si>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</si>
  <si>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</si>
  <si>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</si>
  <si>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</si>
  <si>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</si>
  <si>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</si>
  <si>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</si>
  <si>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</si>
  <si>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</si>
  <si>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</si>
  <si>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</si>
  <si>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CJ7 </t>
  </si>
  <si>
    <t>father son relationship|miracle|school|ufo|written and directed by cast member</t>
  </si>
  <si>
    <t>http://www.imdb.com/title/tt0940709/?ref_=fn_tt_tt_1</t>
  </si>
  <si>
    <t>Comedy|Family|Fantasy|Sci-Fi</t>
  </si>
  <si>
    <t>Christian Clavier</t>
  </si>
  <si>
    <t>Philippe Nahon</t>
  </si>
  <si>
    <t>Marie-Anne Chazel</t>
  </si>
  <si>
    <t>Les couloirs du temps: Les visiteurs II </t>
  </si>
  <si>
    <t>jewel|knight|magical potion|sequel|time travel comedy</t>
  </si>
  <si>
    <t>http://www.imdb.com/title/tt0120882/?ref_=fn_tt_tt_1</t>
  </si>
  <si>
    <t>Action|Comedy|Crime|Fantasy|Horror|Mystery|Sci-Fi|Thriller</t>
  </si>
  <si>
    <t>Laura Spencer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</si>
  <si>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</si>
  <si>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</si>
  <si>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</si>
  <si>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</si>
  <si>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Mark Webber</t>
  </si>
  <si>
    <t>People I Know </t>
  </si>
  <si>
    <t>actor|client|new york|protection|scandal</t>
  </si>
  <si>
    <t>http://www.imdb.com/title/tt0274711/?ref_=fn_tt_tt_1</t>
  </si>
  <si>
    <t>Peter Vaughan</t>
  </si>
  <si>
    <t>George Coulouris</t>
  </si>
  <si>
    <t>Ewen Solon</t>
  </si>
  <si>
    <t>The Doombolt Chase </t>
  </si>
  <si>
    <t>http://www.imdb.com/title/tt0166038/?ref_=fn_tt_tt_1</t>
  </si>
  <si>
    <t>Tom Conti</t>
  </si>
  <si>
    <t>The Tempest 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</si>
  <si>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</si>
  <si>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</si>
  <si>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</si>
  <si>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</si>
  <si>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</si>
  <si>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</si>
  <si>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</si>
  <si>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Romance|Short</t>
  </si>
  <si>
    <t>Necar Zadegan</t>
  </si>
  <si>
    <t>Traci Dinwiddie</t>
  </si>
  <si>
    <t>Elea Oberon</t>
  </si>
  <si>
    <t>The Touch </t>
  </si>
  <si>
    <t>lesbian|paris france|period piece|poem|poetess</t>
  </si>
  <si>
    <t>http://www.imdb.com/title/tt1128219/?ref_=fn_tt_tt_1</t>
  </si>
  <si>
    <t>Sammo Kam-Bo Hung</t>
  </si>
  <si>
    <t>Andy On</t>
  </si>
  <si>
    <t>Three Kingdoms: Resurrection of the Dragon 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</si>
  <si>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</si>
  <si>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</si>
  <si>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</si>
  <si>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</si>
  <si>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</si>
  <si>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</si>
  <si>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</si>
  <si>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</si>
  <si>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</si>
  <si>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</si>
  <si>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</si>
  <si>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Mani Bharathi</t>
  </si>
  <si>
    <t>Michael Lieber</t>
  </si>
  <si>
    <t>Kevin McGowan</t>
  </si>
  <si>
    <t>Ramanujan </t>
  </si>
  <si>
    <t>ramanujan</t>
  </si>
  <si>
    <t>http://www.imdb.com/title/tt3037162/?ref_=fn_tt_tt_1</t>
  </si>
  <si>
    <t>Tom Walsh</t>
  </si>
  <si>
    <t>Animation</t>
  </si>
  <si>
    <t>Joey D. Vieira</t>
  </si>
  <si>
    <t>Maggie Wheeler</t>
  </si>
  <si>
    <t>Jacqueline Lovell</t>
  </si>
  <si>
    <t>Dwegons and Leprechauns 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</si>
  <si>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</si>
  <si>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</si>
  <si>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</si>
  <si>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</si>
  <si>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</si>
  <si>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</si>
  <si>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</si>
  <si>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</si>
  <si>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</si>
  <si>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</si>
  <si>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</si>
  <si>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</si>
  <si>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</si>
  <si>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</si>
  <si>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Alan David</t>
  </si>
  <si>
    <t>The Painted Veil </t>
  </si>
  <si>
    <t>china|cholera|epidemic|love|marriage</t>
  </si>
  <si>
    <t>http://www.imdb.com/title/tt0446755/?ref_=fn_tt_tt_1</t>
  </si>
  <si>
    <t>Martina Gedeck</t>
  </si>
  <si>
    <t>The Baader Meinhof Complex 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</si>
  <si>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</si>
  <si>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</si>
  <si>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</si>
  <si>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</si>
  <si>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</si>
  <si>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</si>
  <si>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</si>
  <si>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</si>
  <si>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</si>
  <si>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</si>
  <si>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</si>
  <si>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</si>
  <si>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</si>
  <si>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</si>
  <si>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</si>
  <si>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</si>
  <si>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</si>
  <si>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</si>
  <si>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</si>
  <si>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</si>
  <si>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</si>
  <si>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</si>
  <si>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</si>
  <si>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</si>
  <si>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Drama|Horror</t>
  </si>
  <si>
    <t>Scatman Crothers</t>
  </si>
  <si>
    <t>Shelley Duvall</t>
  </si>
  <si>
    <t>Joe Turkel</t>
  </si>
  <si>
    <t>The Shining </t>
  </si>
  <si>
    <t>breaking down a door|haunted hotel|identical twins|labyrinth|twin sisters</t>
  </si>
  <si>
    <t>http://www.imdb.com/title/tt0081505/?ref_=fn_tt_tt_1</t>
  </si>
  <si>
    <t>J.J. Cohen</t>
  </si>
  <si>
    <t>Back to the Future 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</si>
  <si>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</si>
  <si>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</si>
  <si>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</si>
  <si>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</si>
  <si>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</si>
  <si>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Eric Mendenhall</t>
  </si>
  <si>
    <t>Mary J. Blige</t>
  </si>
  <si>
    <t>Hope Olaide Wilson</t>
  </si>
  <si>
    <t>I Can Do Bad All by Myself </t>
  </si>
  <si>
    <t>aunt|immigrant|looting|love|nightclub singer</t>
  </si>
  <si>
    <t>http://www.imdb.com/title/tt1385912/?ref_=fn_tt_tt_1</t>
  </si>
  <si>
    <t>Rob Hawk</t>
  </si>
  <si>
    <t>Kari J. Kramer</t>
  </si>
  <si>
    <t>Erin O'Brien</t>
  </si>
  <si>
    <t>Cabrina Collesides</t>
  </si>
  <si>
    <t>Fight Valley </t>
  </si>
  <si>
    <t>http://www.imdb.com/title/tt4280822/?ref_=fn_tt_tt_1</t>
  </si>
  <si>
    <t>Kelli Barrett</t>
  </si>
  <si>
    <t>The Switch </t>
  </si>
  <si>
    <t>artificial insemination|best friend|new york city|sperm|sperm donor</t>
  </si>
  <si>
    <t>http://www.imdb.com/title/tt0889573/?ref_=fn_tt_tt_1</t>
  </si>
  <si>
    <t>David Agranov</t>
  </si>
  <si>
    <t>David Moscow</t>
  </si>
  <si>
    <t>Just Married 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</si>
  <si>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</si>
  <si>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</si>
  <si>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</si>
  <si>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</si>
  <si>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</si>
  <si>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</si>
  <si>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Comedy|Drama|Reality-TV|Romance</t>
  </si>
  <si>
    <t>Nicole 'Snooki' Polizzi</t>
  </si>
  <si>
    <t>Jenni 'Jwoww' Farley</t>
  </si>
  <si>
    <t>Paul 'Pauly D' DelVecchio</t>
  </si>
  <si>
    <t xml:space="preserve">Gone, Baby, Gone             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</si>
  <si>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</si>
  <si>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</si>
  <si>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</si>
  <si>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</si>
  <si>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</si>
  <si>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</si>
  <si>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</si>
  <si>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</si>
  <si>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</si>
  <si>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Bunta Sugawara</t>
  </si>
  <si>
    <t>Ryûnosuke Kamiki</t>
  </si>
  <si>
    <t>Miyu Irino</t>
  </si>
  <si>
    <t>Spirited Away </t>
  </si>
  <si>
    <t>anime|bathhouse|pig|spirit|work</t>
  </si>
  <si>
    <t>http://www.imdb.com/title/tt0245429/?ref_=fn_tt_tt_1</t>
  </si>
  <si>
    <t>Alan Yuen</t>
  </si>
  <si>
    <t>Michael Wong</t>
  </si>
  <si>
    <t>Terence Yin</t>
  </si>
  <si>
    <t>Firestorm 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</si>
  <si>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</si>
  <si>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</si>
  <si>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</si>
  <si>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</si>
  <si>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</si>
  <si>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</si>
  <si>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</si>
  <si>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Roger Allam</t>
  </si>
  <si>
    <t>The Book Thief 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</si>
  <si>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</si>
  <si>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</si>
  <si>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</si>
  <si>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</si>
  <si>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</si>
  <si>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</si>
  <si>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</si>
  <si>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</si>
  <si>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Dominique McElligott</t>
  </si>
  <si>
    <t>Leap Year 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</si>
  <si>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</si>
  <si>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</si>
  <si>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</si>
  <si>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</si>
  <si>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</si>
  <si>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The Fall of the Roman Empire 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</si>
  <si>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</si>
  <si>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</si>
  <si>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</si>
  <si>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</si>
  <si>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</si>
  <si>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</si>
  <si>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</si>
  <si>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Dante Brown</t>
  </si>
  <si>
    <t>Won't Back Down </t>
  </si>
  <si>
    <t>children|inner city|parent|school|teacher</t>
  </si>
  <si>
    <t>http://www.imdb.com/title/tt1870529/?ref_=fn_tt_tt_1</t>
  </si>
  <si>
    <t>Emile Ardolino</t>
  </si>
  <si>
    <t>Family|Fantasy|Music</t>
  </si>
  <si>
    <t>Darci Kistler</t>
  </si>
  <si>
    <t>Kyra Nichols</t>
  </si>
  <si>
    <t>Margaret Tracey</t>
  </si>
  <si>
    <t>The Nutcracker 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</si>
  <si>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</si>
  <si>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</si>
  <si>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</si>
  <si>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</si>
  <si>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</si>
  <si>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</si>
  <si>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</si>
  <si>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</si>
  <si>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Tracy Letts</t>
  </si>
  <si>
    <t>Indignation 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</si>
  <si>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</si>
  <si>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</si>
  <si>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</si>
  <si>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</si>
  <si>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</si>
  <si>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</si>
  <si>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</si>
  <si>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</si>
  <si>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</si>
  <si>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Pedro Miguel Arce</t>
  </si>
  <si>
    <t>Land of the Dead </t>
  </si>
  <si>
    <t>apocalypse|mercenary|skyscraper|urban setting|zombie apocalypse</t>
  </si>
  <si>
    <t>http://www.imdb.com/title/tt0418819/?ref_=fn_tt_tt_1</t>
  </si>
  <si>
    <t>Louis Koo</t>
  </si>
  <si>
    <t>Angelica Lee</t>
  </si>
  <si>
    <t>Ching Wan Lau</t>
  </si>
  <si>
    <t>Out of Inferno 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</si>
  <si>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</si>
  <si>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</si>
  <si>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</si>
  <si>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</si>
  <si>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</si>
  <si>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</si>
  <si>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</si>
  <si>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</si>
  <si>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</si>
  <si>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</si>
  <si>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</si>
  <si>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</si>
  <si>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</si>
  <si>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</si>
  <si>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</si>
  <si>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</si>
  <si>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</si>
  <si>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</si>
  <si>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</si>
  <si>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</si>
  <si>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Luenell</t>
  </si>
  <si>
    <t>Ken Davitian</t>
  </si>
  <si>
    <t>Chester</t>
  </si>
  <si>
    <t>Borat: Cultural Learnings of America for Make Benefit Glorious Nation of Kazakhstan </t>
  </si>
  <si>
    <t>california|city|kazakhstan|travel|tv reporter</t>
  </si>
  <si>
    <t>http://www.imdb.com/title/tt0443453/?ref_=fn_tt_tt_1</t>
  </si>
  <si>
    <t>Raquel Welch</t>
  </si>
  <si>
    <t>Alanna Ubach</t>
  </si>
  <si>
    <t>Legally Blonde 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</si>
  <si>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</si>
  <si>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</si>
  <si>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</si>
  <si>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</si>
  <si>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</si>
  <si>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JR Bourne</t>
  </si>
  <si>
    <t>The Exorcism of Emily Rose </t>
  </si>
  <si>
    <t>death|demonic possession|exorcism|lawyer|priest</t>
  </si>
  <si>
    <t>http://www.imdb.com/title/tt0404032/?ref_=fn_tt_tt_1</t>
  </si>
  <si>
    <t>Bree Turner</t>
  </si>
  <si>
    <t>Deuce Bigalow: Male Gigolo 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</si>
  <si>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</si>
  <si>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</si>
  <si>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</si>
  <si>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</si>
  <si>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</si>
  <si>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</si>
  <si>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</si>
  <si>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</si>
  <si>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</si>
  <si>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</si>
  <si>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</si>
  <si>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</si>
  <si>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</si>
  <si>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</si>
  <si>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</si>
  <si>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</si>
  <si>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</si>
  <si>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</si>
  <si>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</si>
  <si>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</si>
  <si>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</si>
  <si>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</si>
  <si>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</si>
  <si>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</si>
  <si>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My Big Fat Greek Wedding 2 </t>
  </si>
  <si>
    <t>family restaurant|greek|remarriage|suburb|wedding</t>
  </si>
  <si>
    <t>http://www.imdb.com/title/tt3760922/?ref_=fn_tt_tt_1</t>
  </si>
  <si>
    <t>Fran Kranz</t>
  </si>
  <si>
    <t>Diary of a Wimpy Kid: Rodrick Rules </t>
  </si>
  <si>
    <t>brother|middle school|no opening credits|photograph|school</t>
  </si>
  <si>
    <t>http://www.imdb.com/title/tt1650043/?ref_=fn_tt_tt_1</t>
  </si>
  <si>
    <t>Carl Weathers</t>
  </si>
  <si>
    <t>Predator 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</si>
  <si>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</si>
  <si>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</si>
  <si>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</si>
  <si>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</si>
  <si>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</si>
  <si>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</si>
  <si>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Collins Pennie</t>
  </si>
  <si>
    <t>Prom Night 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</si>
  <si>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</si>
  <si>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</si>
  <si>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</si>
  <si>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</si>
  <si>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</si>
  <si>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</si>
  <si>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</si>
  <si>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</si>
  <si>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Under the Tuscan Sun 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</si>
  <si>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</si>
  <si>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</si>
  <si>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</si>
  <si>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</si>
  <si>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</si>
  <si>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</si>
  <si>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</si>
  <si>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</si>
  <si>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</si>
  <si>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</si>
  <si>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</si>
  <si>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</si>
  <si>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</si>
  <si>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</si>
  <si>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</si>
  <si>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Andrew Dice Clay</t>
  </si>
  <si>
    <t>Blue Jasmine </t>
  </si>
  <si>
    <t>congenital liar|mental breakdown|self deception|snob|talking to oneself</t>
  </si>
  <si>
    <t>http://www.imdb.com/title/tt2334873/?ref_=fn_tt_tt_1</t>
  </si>
  <si>
    <t>Christian Clemenson</t>
  </si>
  <si>
    <t>David Alan Basche</t>
  </si>
  <si>
    <t>Susan Blommaert</t>
  </si>
  <si>
    <t>United 93 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</si>
  <si>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</si>
  <si>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</si>
  <si>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</si>
  <si>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</si>
  <si>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</si>
  <si>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</si>
  <si>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</si>
  <si>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Hulk Hogan</t>
  </si>
  <si>
    <t>Barry Bostwick</t>
  </si>
  <si>
    <t>Nicollette Sheridan</t>
  </si>
  <si>
    <t>Spy Hard 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</si>
  <si>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</si>
  <si>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</si>
  <si>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</si>
  <si>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</si>
  <si>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</si>
  <si>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</si>
  <si>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Biography|Drama|Family|Sport</t>
  </si>
  <si>
    <t>Chris Brochu</t>
  </si>
  <si>
    <t>Soul Surfer </t>
  </si>
  <si>
    <t>christian|christian film|shark|surfer|surfing</t>
  </si>
  <si>
    <t>http://www.imdb.com/title/tt1596346/?ref_=fn_tt_tt_1</t>
  </si>
  <si>
    <t>Comedy|Drama|War</t>
  </si>
  <si>
    <t>Martin Balsam</t>
  </si>
  <si>
    <t>Catch-22 </t>
  </si>
  <si>
    <t>catch 22|friend|insanity|kneed in the groin|military</t>
  </si>
  <si>
    <t>http://www.imdb.com/title/tt0065528/?ref_=fn_tt_tt_1</t>
  </si>
  <si>
    <t>Jody Hill</t>
  </si>
  <si>
    <t>Dan Bakkedahl</t>
  </si>
  <si>
    <t>Observe and Report </t>
  </si>
  <si>
    <t>male pubic hair|mall|police detective|pubic hair|security guard</t>
  </si>
  <si>
    <t>http://www.imdb.com/title/tt1197628/?ref_=fn_tt_tt_1</t>
  </si>
  <si>
    <t>Olivia d'Abo</t>
  </si>
  <si>
    <t>Grace Jones</t>
  </si>
  <si>
    <t>Conan the Destroyer </t>
  </si>
  <si>
    <t>gods|princess|queen|rescue|wizard</t>
  </si>
  <si>
    <t>http://www.imdb.com/title/tt0087078/?ref_=fn_tt_tt_1</t>
  </si>
  <si>
    <t>Frank Vincent</t>
  </si>
  <si>
    <t>Raging Bull 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</si>
  <si>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</si>
  <si>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</si>
  <si>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</si>
  <si>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</si>
  <si>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</si>
  <si>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</si>
  <si>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</si>
  <si>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Nicholas Rowe</t>
  </si>
  <si>
    <t>Roger Ashton-Griffiths</t>
  </si>
  <si>
    <t>Freddie Jones</t>
  </si>
  <si>
    <t>Young Sherlock Holmes 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</si>
  <si>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</si>
  <si>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</si>
  <si>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</si>
  <si>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</si>
  <si>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</si>
  <si>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</si>
  <si>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</si>
  <si>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</si>
  <si>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</si>
  <si>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</si>
  <si>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</si>
  <si>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</si>
  <si>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</si>
  <si>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</si>
  <si>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</si>
  <si>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Center Stage </t>
  </si>
  <si>
    <t>ballet|dance|dancer|dancing|love</t>
  </si>
  <si>
    <t>http://www.imdb.com/title/tt0210616/?ref_=fn_tt_tt_1</t>
  </si>
  <si>
    <t>Timothée Chalamet</t>
  </si>
  <si>
    <t>Love the Coopers 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</si>
  <si>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</si>
  <si>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</si>
  <si>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</si>
  <si>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</si>
  <si>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</si>
  <si>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Catch That Kid 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</si>
  <si>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</si>
  <si>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</si>
  <si>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</si>
  <si>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</si>
  <si>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</si>
  <si>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</si>
  <si>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</si>
  <si>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</si>
  <si>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</si>
  <si>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</si>
  <si>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</si>
  <si>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</si>
  <si>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</si>
  <si>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</si>
  <si>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</si>
  <si>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</si>
  <si>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</si>
  <si>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</si>
  <si>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The Legend of the Lone Ranger 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</si>
  <si>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</si>
  <si>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</si>
  <si>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</si>
  <si>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</si>
  <si>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</si>
  <si>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</si>
  <si>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</si>
  <si>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Dennis Franz</t>
  </si>
  <si>
    <t>John McMartin</t>
  </si>
  <si>
    <t>Blow Out </t>
  </si>
  <si>
    <t>conspiracy|political conspiracy|recording|sound|truth</t>
  </si>
  <si>
    <t>http://www.imdb.com/title/tt0082085/?ref_=fn_tt_tt_1</t>
  </si>
  <si>
    <t>Courtney Solomon</t>
  </si>
  <si>
    <t>Rebecca Budig</t>
  </si>
  <si>
    <t>Paul Freeman</t>
  </si>
  <si>
    <t>Bruce Payne</t>
  </si>
  <si>
    <t>Getaway 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</si>
  <si>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</si>
  <si>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</si>
  <si>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</si>
  <si>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</si>
  <si>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</si>
  <si>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Frankie Valli</t>
  </si>
  <si>
    <t>And So It Goes 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</si>
  <si>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</si>
  <si>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</si>
  <si>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</si>
  <si>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</si>
  <si>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</si>
  <si>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Troop Beverly Hills </t>
  </si>
  <si>
    <t>beverly hills hotel|divorce|girl|troop|wilderness</t>
  </si>
  <si>
    <t>http://www.imdb.com/title/tt0098519/?ref_=fn_tt_tt_1</t>
  </si>
  <si>
    <t>István Szabó</t>
  </si>
  <si>
    <t>Shaun Evans</t>
  </si>
  <si>
    <t>Juliet Stevenson</t>
  </si>
  <si>
    <t>Being Julia </t>
  </si>
  <si>
    <t>diva|marriage|open marriage|revenge|social climber</t>
  </si>
  <si>
    <t>http://www.imdb.com/title/tt0340012/?ref_=fn_tt_tt_1</t>
  </si>
  <si>
    <t>David Margulies</t>
  </si>
  <si>
    <t>Karen Young</t>
  </si>
  <si>
    <t>Kim Chan</t>
  </si>
  <si>
    <t>9½ Weeks 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</si>
  <si>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</si>
  <si>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</si>
  <si>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</si>
  <si>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</si>
  <si>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</si>
  <si>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Dragonslayer </t>
  </si>
  <si>
    <t>apprentice|dragon|king|kingdom|wizard</t>
  </si>
  <si>
    <t>http://www.imdb.com/title/tt0082288/?ref_=fn_tt_tt_1</t>
  </si>
  <si>
    <t>David Masterson</t>
  </si>
  <si>
    <t>Kerry Condon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</si>
  <si>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</si>
  <si>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</si>
  <si>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</si>
  <si>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</si>
  <si>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</si>
  <si>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</si>
  <si>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</si>
  <si>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</si>
  <si>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</si>
  <si>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</si>
  <si>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Honglei Sun</t>
  </si>
  <si>
    <t>Mongol: The Rise of Genghis Khan 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</si>
  <si>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</si>
  <si>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</si>
  <si>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</si>
  <si>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</si>
  <si>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</si>
  <si>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</si>
  <si>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</si>
  <si>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</si>
  <si>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</si>
  <si>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Megaforce 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</si>
  <si>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</si>
  <si>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</si>
  <si>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</si>
  <si>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</si>
  <si>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</si>
  <si>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</si>
  <si>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</si>
  <si>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Aden Young</t>
  </si>
  <si>
    <t>Mao's Last Dancer </t>
  </si>
  <si>
    <t>ballet|beijing|dancer|love|village</t>
  </si>
  <si>
    <t>http://www.imdb.com/title/tt1071812/?ref_=fn_tt_tt_1</t>
  </si>
  <si>
    <t>Jeff Nichols</t>
  </si>
  <si>
    <t>Paul Sparks</t>
  </si>
  <si>
    <t>Midnight Special 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</si>
  <si>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</si>
  <si>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</si>
  <si>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</si>
  <si>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</si>
  <si>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</si>
  <si>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</si>
  <si>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</si>
  <si>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</si>
  <si>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</si>
  <si>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The Railway Man 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</si>
  <si>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</si>
  <si>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</si>
  <si>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</si>
  <si>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</si>
  <si>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</si>
  <si>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</si>
  <si>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</si>
  <si>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Ulrich Tukur</t>
  </si>
  <si>
    <t>Burghart Klaußner</t>
  </si>
  <si>
    <t>Leonie Benesch</t>
  </si>
  <si>
    <t>The White Ribbon </t>
  </si>
  <si>
    <t>children|doctor|mysterious event|pastor|small village</t>
  </si>
  <si>
    <t>http://www.imdb.com/title/tt1149362/?ref_=fn_tt_tt_1</t>
  </si>
  <si>
    <t>Anna Harr</t>
  </si>
  <si>
    <t>James Cullen Bressack</t>
  </si>
  <si>
    <t>Restoration 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</si>
  <si>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</si>
  <si>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</si>
  <si>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</si>
  <si>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</si>
  <si>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</si>
  <si>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</si>
  <si>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</si>
  <si>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</si>
  <si>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</si>
  <si>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Music</t>
  </si>
  <si>
    <t>James Hetfield</t>
  </si>
  <si>
    <t>Mackenzie Gray</t>
  </si>
  <si>
    <t>Lars Ulrich</t>
  </si>
  <si>
    <t>Metallica Through the Never 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</si>
  <si>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</si>
  <si>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</si>
  <si>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</si>
  <si>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</si>
  <si>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</si>
  <si>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</si>
  <si>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</si>
  <si>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Katharina Schüttler</t>
  </si>
  <si>
    <t>Carlos </t>
  </si>
  <si>
    <t>opec|pubic hair|revolutionary|terrorism|true crime</t>
  </si>
  <si>
    <t>http://www.imdb.com/title/tt1321865/?ref_=fn_tt_tt_1</t>
  </si>
  <si>
    <t>Tran Anh Hung</t>
  </si>
  <si>
    <t>Takuya Kimura</t>
  </si>
  <si>
    <t>Simón Andreu</t>
  </si>
  <si>
    <t>Shawn Yue</t>
  </si>
  <si>
    <t>I Come with the Rain 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</si>
  <si>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</si>
  <si>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</si>
  <si>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</si>
  <si>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</si>
  <si>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</si>
  <si>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One Man's Hero </t>
  </si>
  <si>
    <t>american|battalion|catholic|mexican|sergeant</t>
  </si>
  <si>
    <t>http://www.imdb.com/title/tt0120775/?ref_=fn_tt_tt_1</t>
  </si>
  <si>
    <t>Greg Nicotero</t>
  </si>
  <si>
    <t>John Amplas</t>
  </si>
  <si>
    <t>Joseph Pilato</t>
  </si>
  <si>
    <t>Day of the Dead 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</si>
  <si>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</si>
  <si>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</si>
  <si>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</si>
  <si>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</si>
  <si>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</si>
  <si>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</si>
  <si>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</si>
  <si>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</si>
  <si>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Renaissance 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</si>
  <si>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</si>
  <si>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</si>
  <si>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</si>
  <si>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</si>
  <si>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</si>
  <si>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</si>
  <si>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</si>
  <si>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</si>
  <si>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</si>
  <si>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</si>
  <si>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</si>
  <si>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</si>
  <si>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</si>
  <si>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</si>
  <si>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</si>
  <si>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</si>
  <si>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</si>
  <si>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</si>
  <si>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</si>
  <si>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</si>
  <si>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Cassie Ventura</t>
  </si>
  <si>
    <t>Mari Koda</t>
  </si>
  <si>
    <t>Luis Rosado</t>
  </si>
  <si>
    <t>Step Up 2: The Streets 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</si>
  <si>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</si>
  <si>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</si>
  <si>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</si>
  <si>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</si>
  <si>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</si>
  <si>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</si>
  <si>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</si>
  <si>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</si>
  <si>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Hakeem Kae-Kazim</t>
  </si>
  <si>
    <t>Hotel Rwanda 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</si>
  <si>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</si>
  <si>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</si>
  <si>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</si>
  <si>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</si>
  <si>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</si>
  <si>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</si>
  <si>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</si>
  <si>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</si>
  <si>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</si>
  <si>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</si>
  <si>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Black Nativity 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</si>
  <si>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</si>
  <si>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</si>
  <si>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</si>
  <si>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</si>
  <si>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The Prince </t>
  </si>
  <si>
    <t>assassin|fight|mechanic|rescue|rival</t>
  </si>
  <si>
    <t>http://www.imdb.com/title/tt1085492/?ref_=fn_tt_tt_1</t>
  </si>
  <si>
    <t>Matt Dillon</t>
  </si>
  <si>
    <t>Kirk Fox</t>
  </si>
  <si>
    <t>Shawn Andrews</t>
  </si>
  <si>
    <t>Rob Campbell</t>
  </si>
  <si>
    <t>City of Ghosts </t>
  </si>
  <si>
    <t>bag over head|buddhist temple|loss of friend|male bonding|nightclub</t>
  </si>
  <si>
    <t>http://www.imdb.com/title/tt0164003/?ref_=fn_tt_tt_1</t>
  </si>
  <si>
    <t>Elaine Cassidy</t>
  </si>
  <si>
    <t>Eric Sykes</t>
  </si>
  <si>
    <t>The Others 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</si>
  <si>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</si>
  <si>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</si>
  <si>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</si>
  <si>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</si>
  <si>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</si>
  <si>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</si>
  <si>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</si>
  <si>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Drama|Family|Musical|Romance</t>
  </si>
  <si>
    <t>Jeremy Brett</t>
  </si>
  <si>
    <t>Rex Harrison</t>
  </si>
  <si>
    <t>Theodore Bikel</t>
  </si>
  <si>
    <t>My Fair Lady 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</si>
  <si>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</si>
  <si>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</si>
  <si>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</si>
  <si>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</si>
  <si>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</si>
  <si>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</si>
  <si>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</si>
  <si>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</si>
  <si>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</si>
  <si>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</si>
  <si>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</si>
  <si>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</si>
  <si>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Chris Moss</t>
  </si>
  <si>
    <t>Owain Yeoman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</si>
  <si>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</si>
  <si>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</si>
  <si>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</si>
  <si>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</si>
  <si>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</si>
  <si>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</si>
  <si>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</si>
  <si>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</si>
  <si>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</si>
  <si>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</si>
  <si>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</si>
  <si>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</si>
  <si>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</si>
  <si>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</si>
  <si>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</si>
  <si>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</si>
  <si>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</si>
  <si>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</si>
  <si>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Betsy Russell</t>
  </si>
  <si>
    <t>Saw 3D: The Final Chapter 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</si>
  <si>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</si>
  <si>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</si>
  <si>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</si>
  <si>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</si>
  <si>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</si>
  <si>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</si>
  <si>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</si>
  <si>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</si>
  <si>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</si>
  <si>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</si>
  <si>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Erik Knudsen</t>
  </si>
  <si>
    <t>Beastly 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</si>
  <si>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</si>
  <si>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</si>
  <si>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</si>
  <si>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</si>
  <si>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</si>
  <si>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</si>
  <si>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</si>
  <si>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</si>
  <si>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Morgan Saylor</t>
  </si>
  <si>
    <t>Valente Rodriguez</t>
  </si>
  <si>
    <t>Diana Maria Riva</t>
  </si>
  <si>
    <t>McFarland, USA </t>
  </si>
  <si>
    <t>coach|high school|place name in title|school|student</t>
  </si>
  <si>
    <t>http://www.imdb.com/title/tt2097298/?ref_=fn_tt_tt_1</t>
  </si>
  <si>
    <t>Erik White</t>
  </si>
  <si>
    <t>Shad Moss</t>
  </si>
  <si>
    <t>Lottery Ticket </t>
  </si>
  <si>
    <t>block party|eurocopter ec120 colibri|fortune cookie|lottery ticket|reverend</t>
  </si>
  <si>
    <t>http://www.imdb.com/title/tt0979434/?ref_=fn_tt_tt_1</t>
  </si>
  <si>
    <t>Chris Robinson</t>
  </si>
  <si>
    <t>Comedy|Crime|Drama|Music|Romance</t>
  </si>
  <si>
    <t>Adam Boyer</t>
  </si>
  <si>
    <t>Malika</t>
  </si>
  <si>
    <t>ATL </t>
  </si>
  <si>
    <t>high school|rollerskating rink|spelman college|twin|voice over narration</t>
  </si>
  <si>
    <t>http://www.imdb.com/title/tt0466856/?ref_=fn_tt_tt_1</t>
  </si>
  <si>
    <t>Jason Moore</t>
  </si>
  <si>
    <t>Ben Platt</t>
  </si>
  <si>
    <t>Pitch Perfect 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</si>
  <si>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</si>
  <si>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</si>
  <si>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</si>
  <si>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</si>
  <si>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</si>
  <si>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</si>
  <si>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</si>
  <si>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</si>
  <si>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</si>
  <si>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</si>
  <si>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</si>
  <si>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</si>
  <si>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</si>
  <si>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Megyn Price</t>
  </si>
  <si>
    <t>Larry the Cable Guy: Health Inspector </t>
  </si>
  <si>
    <t>diner|food poisoning|health inspector|restaurant|undercover</t>
  </si>
  <si>
    <t>http://www.imdb.com/title/tt0462395/?ref_=fn_tt_tt_1</t>
  </si>
  <si>
    <t>Gary Halvorson</t>
  </si>
  <si>
    <t>Adventure|Comedy|Family|Fantasy|Musical</t>
  </si>
  <si>
    <t>Kevin Clash</t>
  </si>
  <si>
    <t>Caroll Spinney</t>
  </si>
  <si>
    <t>The Adventures of Elmo in Grouchland 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</si>
  <si>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</si>
  <si>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</si>
  <si>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</si>
  <si>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</si>
  <si>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</si>
  <si>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</si>
  <si>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Ava Gardner</t>
  </si>
  <si>
    <t>David Niven</t>
  </si>
  <si>
    <t>John Ireland</t>
  </si>
  <si>
    <t>55 Days at Peking 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</si>
  <si>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</si>
  <si>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</si>
  <si>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</si>
  <si>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</si>
  <si>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</si>
  <si>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Evil Dead </t>
  </si>
  <si>
    <t>book of the dead|demon|h.p. lovecraft|lesbian kiss|promise</t>
  </si>
  <si>
    <t>http://www.imdb.com/title/tt1288558/?ref_=fn_tt_tt_1</t>
  </si>
  <si>
    <t>Harland Williams</t>
  </si>
  <si>
    <t>Rachel Dratch</t>
  </si>
  <si>
    <t>My Life in Ruins 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</si>
  <si>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</si>
  <si>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</si>
  <si>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</si>
  <si>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</si>
  <si>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</si>
  <si>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</si>
  <si>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</si>
  <si>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</si>
  <si>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</si>
  <si>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</si>
  <si>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DeRay Davis</t>
  </si>
  <si>
    <t>Clé Bennett</t>
  </si>
  <si>
    <t>Conrad Coates</t>
  </si>
  <si>
    <t>How She Move 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</si>
  <si>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</si>
  <si>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</si>
  <si>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</si>
  <si>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</si>
  <si>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</si>
  <si>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</si>
  <si>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</si>
  <si>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</si>
  <si>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</si>
  <si>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</si>
  <si>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</si>
  <si>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</si>
  <si>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</si>
  <si>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Shanghai Surprise </t>
  </si>
  <si>
    <t>china|missionary|opium|villain|year 1937</t>
  </si>
  <si>
    <t>http://www.imdb.com/title/tt0091934/?ref_=fn_tt_tt_1</t>
  </si>
  <si>
    <t>Jake Wood</t>
  </si>
  <si>
    <t>The Illusionist 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</si>
  <si>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</si>
  <si>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</si>
  <si>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</si>
  <si>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</si>
  <si>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</si>
  <si>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</si>
  <si>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</si>
  <si>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Brenda Fricker</t>
  </si>
  <si>
    <t>David Murray</t>
  </si>
  <si>
    <t>Gerard McSorley</t>
  </si>
  <si>
    <t>Veronica Guerin </t>
  </si>
  <si>
    <t>criminal|drug lord|gunshot|irish|journalist</t>
  </si>
  <si>
    <t>http://www.imdb.com/title/tt0312549/?ref_=fn_tt_tt_1</t>
  </si>
  <si>
    <t>Carlos Bardem</t>
  </si>
  <si>
    <t>Escobar: Paradise Lost </t>
  </si>
  <si>
    <t>colombia|dream|love|surfer|village</t>
  </si>
  <si>
    <t>http://www.imdb.com/title/tt2515030/?ref_=fn_tt_tt_1</t>
  </si>
  <si>
    <t>Comedy|Mystery|Sci-Fi|Thriller</t>
  </si>
  <si>
    <t>Chris Andrew Ciulla</t>
  </si>
  <si>
    <t>Southland Tales </t>
  </si>
  <si>
    <t>amnesia|boxer|conspiracy|police|porn star</t>
  </si>
  <si>
    <t>http://www.imdb.com/title/tt0405336/?ref_=fn_tt_tt_1</t>
  </si>
  <si>
    <t>Guillaume Ivernel</t>
  </si>
  <si>
    <t>Mary Mouser</t>
  </si>
  <si>
    <t>Dragon Hunters </t>
  </si>
  <si>
    <t>cgi film|computer animation|dragon|hunter</t>
  </si>
  <si>
    <t>http://www.imdb.com/title/tt0944834/?ref_=fn_tt_tt_1</t>
  </si>
  <si>
    <t>Jack Smight</t>
  </si>
  <si>
    <t>Sci-Fi</t>
  </si>
  <si>
    <t>Jan-Michael Vincent</t>
  </si>
  <si>
    <t>Paul Winfield</t>
  </si>
  <si>
    <t>Damnation Alley </t>
  </si>
  <si>
    <t>cockroach|desert|ghost town|giant spider|travel</t>
  </si>
  <si>
    <t>http://www.imdb.com/title/tt0075909/?ref_=fn_tt_tt_1</t>
  </si>
  <si>
    <t>Todd Lincoln</t>
  </si>
  <si>
    <t>Julianna Guill</t>
  </si>
  <si>
    <t>Rick Gomez</t>
  </si>
  <si>
    <t>Tim Williams</t>
  </si>
  <si>
    <t>The Apparition 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</si>
  <si>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</si>
  <si>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</si>
  <si>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</si>
  <si>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</si>
  <si>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</si>
  <si>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</si>
  <si>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</si>
  <si>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Matt Servitto</t>
  </si>
  <si>
    <t>Fur: An Imaginary Portrait of Diane Arbus 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</si>
  <si>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</si>
  <si>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</si>
  <si>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</si>
  <si>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</si>
  <si>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</si>
  <si>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</si>
  <si>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</si>
  <si>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</si>
  <si>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</si>
  <si>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</si>
  <si>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</si>
  <si>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Becoming Jane 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</si>
  <si>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</si>
  <si>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</si>
  <si>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</si>
  <si>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</si>
  <si>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</si>
  <si>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Sydney White 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</si>
  <si>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</si>
  <si>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</si>
  <si>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</si>
  <si>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</si>
  <si>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</si>
  <si>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</si>
  <si>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</si>
  <si>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</si>
  <si>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</si>
  <si>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</si>
  <si>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</si>
  <si>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</si>
  <si>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</si>
  <si>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Bruno Kirby</t>
  </si>
  <si>
    <t>Gretchen Palmer</t>
  </si>
  <si>
    <t>Harley Jane Kozak</t>
  </si>
  <si>
    <t>When Harry Met Sally... </t>
  </si>
  <si>
    <t>friendship|love|male female friendship|new york|sex</t>
  </si>
  <si>
    <t>http://www.imdb.com/title/tt0098635/?ref_=fn_tt_tt_1</t>
  </si>
  <si>
    <t>Jack Warden</t>
  </si>
  <si>
    <t>The Verdict 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</si>
  <si>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</si>
  <si>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</si>
  <si>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</si>
  <si>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</si>
  <si>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</si>
  <si>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</si>
  <si>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Mark Walters</t>
  </si>
  <si>
    <t>Varsity Blues 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</si>
  <si>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</si>
  <si>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</si>
  <si>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</si>
  <si>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</si>
  <si>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</si>
  <si>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</si>
  <si>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Rachel Brosnahan</t>
  </si>
  <si>
    <t>The Unborn 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</si>
  <si>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</si>
  <si>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</si>
  <si>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</si>
  <si>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</si>
  <si>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</si>
  <si>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</si>
  <si>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</si>
  <si>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</si>
  <si>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</si>
  <si>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</si>
  <si>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</si>
  <si>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The Young Messiah 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</si>
  <si>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</si>
  <si>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</si>
  <si>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</si>
  <si>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</si>
  <si>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</si>
  <si>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Drama|Fantasy|War</t>
  </si>
  <si>
    <t>Ivana Baquero</t>
  </si>
  <si>
    <t>Maribel Verdú</t>
  </si>
  <si>
    <t>Sergi López</t>
  </si>
  <si>
    <t>Pan's Labyrinth 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</si>
  <si>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</si>
  <si>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</si>
  <si>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</si>
  <si>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</si>
  <si>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</si>
  <si>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</si>
  <si>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</si>
  <si>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</si>
  <si>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</si>
  <si>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Angell Conwell</t>
  </si>
  <si>
    <t>Baby Boy 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</si>
  <si>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</si>
  <si>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</si>
  <si>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</si>
  <si>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</si>
  <si>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</si>
  <si>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</si>
  <si>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</si>
  <si>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</si>
  <si>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</si>
  <si>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</si>
  <si>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Bolo Yeung</t>
  </si>
  <si>
    <t>Alonna Shaw</t>
  </si>
  <si>
    <t>Kamel Krifa</t>
  </si>
  <si>
    <t>Double Impact </t>
  </si>
  <si>
    <t>boat|hong kong|murder|tunnel|twins</t>
  </si>
  <si>
    <t>http://www.imdb.com/title/tt0101764/?ref_=fn_tt_tt_1</t>
  </si>
  <si>
    <t>Action|Comedy|Mystery</t>
  </si>
  <si>
    <t>Joe Cornish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</si>
  <si>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</si>
  <si>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</si>
  <si>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</si>
  <si>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</si>
  <si>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</si>
  <si>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</si>
  <si>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</si>
  <si>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</si>
  <si>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</si>
  <si>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</si>
  <si>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</si>
  <si>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</si>
  <si>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</si>
  <si>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</si>
  <si>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</si>
  <si>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</si>
  <si>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</si>
  <si>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</si>
  <si>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</si>
  <si>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Boys and Girls </t>
  </si>
  <si>
    <t>best friend|break up|friendship|graduation|male in underwear</t>
  </si>
  <si>
    <t>http://www.imdb.com/title/tt0204175/?ref_=fn_tt_tt_1</t>
  </si>
  <si>
    <t>Peter Kosminsky</t>
  </si>
  <si>
    <t>Marc Donato</t>
  </si>
  <si>
    <t>White Oleander </t>
  </si>
  <si>
    <t>california|foster home|love|oleander|prison</t>
  </si>
  <si>
    <t>http://www.imdb.com/title/tt0283139/?ref_=fn_tt_tt_1</t>
  </si>
  <si>
    <t>Cynthia Stevenson</t>
  </si>
  <si>
    <t>Jennifer's Body </t>
  </si>
  <si>
    <t>cannibalism|cheerleader|condom|hook for hand|satanic ritual</t>
  </si>
  <si>
    <t>http://www.imdb.com/title/tt1131734/?ref_=fn_tt_tt_1</t>
  </si>
  <si>
    <t>Comedy|Crime|Mystery</t>
  </si>
  <si>
    <t>Tracey Walter</t>
  </si>
  <si>
    <t>Drowning Mona 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</si>
  <si>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</si>
  <si>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</si>
  <si>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</si>
  <si>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</si>
  <si>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</si>
  <si>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</si>
  <si>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</si>
  <si>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Ruby Jerins</t>
  </si>
  <si>
    <t>Remember Me 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</si>
  <si>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</si>
  <si>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</si>
  <si>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</si>
  <si>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</si>
  <si>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</si>
  <si>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How to Deal 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</si>
  <si>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</si>
  <si>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</si>
  <si>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</si>
  <si>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</si>
  <si>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</si>
  <si>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</si>
  <si>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</si>
  <si>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</si>
  <si>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</si>
  <si>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Brad William Henke</t>
  </si>
  <si>
    <t>The Thirteenth Floor 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</si>
  <si>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</si>
  <si>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</si>
  <si>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</si>
  <si>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</si>
  <si>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</si>
  <si>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</si>
  <si>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</si>
  <si>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</si>
  <si>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</si>
  <si>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</si>
  <si>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Meteor 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</si>
  <si>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</si>
  <si>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</si>
  <si>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</si>
  <si>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</si>
  <si>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</si>
  <si>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</si>
  <si>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</si>
  <si>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</si>
  <si>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</si>
  <si>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</si>
  <si>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Shannon Tweed</t>
  </si>
  <si>
    <t>Detroit Rock City 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</si>
  <si>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</si>
  <si>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</si>
  <si>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</si>
  <si>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</si>
  <si>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</si>
  <si>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</si>
  <si>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</si>
  <si>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Robin Weigert</t>
  </si>
  <si>
    <t>Things We Lost in the Fire 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</si>
  <si>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</si>
  <si>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</si>
  <si>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</si>
  <si>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</si>
  <si>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</si>
  <si>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</si>
  <si>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</si>
  <si>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Angela Sarafyan</t>
  </si>
  <si>
    <t>The Immigrant </t>
  </si>
  <si>
    <t>immigrant|immigration|magician|money|prostitution</t>
  </si>
  <si>
    <t>http://www.imdb.com/title/tt1951181/?ref_=fn_tt_tt_1</t>
  </si>
  <si>
    <t>James Ivory</t>
  </si>
  <si>
    <t>Lynn Redgrave</t>
  </si>
  <si>
    <t>The White Countess </t>
  </si>
  <si>
    <t>countess|diplomat|japanese|russian|shanghai</t>
  </si>
  <si>
    <t>http://www.imdb.com/title/tt0384686/?ref_=fn_tt_tt_1</t>
  </si>
  <si>
    <t>Tuppence Middleton</t>
  </si>
  <si>
    <t>Trance 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</si>
  <si>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</si>
  <si>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</si>
  <si>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</si>
  <si>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</si>
  <si>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</si>
  <si>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</si>
  <si>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Michel Galabru</t>
  </si>
  <si>
    <t>Welcome to the Sticks 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</si>
  <si>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</si>
  <si>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</si>
  <si>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</si>
  <si>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</si>
  <si>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</si>
  <si>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</si>
  <si>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</si>
  <si>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</si>
  <si>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Paz de la Huerta</t>
  </si>
  <si>
    <t>Emily Alyn Lind</t>
  </si>
  <si>
    <t>Enter the Void </t>
  </si>
  <si>
    <t>drug deal|drugs|explicit sex|love|stripper</t>
  </si>
  <si>
    <t>http://www.imdb.com/title/tt1191111/?ref_=fn_tt_tt_1</t>
  </si>
  <si>
    <t>Justin Kirk</t>
  </si>
  <si>
    <t>Ivan Sergei</t>
  </si>
  <si>
    <t>Vamps 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</si>
  <si>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</si>
  <si>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</si>
  <si>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</si>
  <si>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</si>
  <si>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</si>
  <si>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</si>
  <si>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</si>
  <si>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Conrad Kemp</t>
  </si>
  <si>
    <t>Zulu 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</si>
  <si>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</si>
  <si>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</si>
  <si>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</si>
  <si>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</si>
  <si>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</si>
  <si>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</si>
  <si>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</si>
  <si>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</si>
  <si>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</si>
  <si>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</si>
  <si>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Steven Van Zandt</t>
  </si>
  <si>
    <t>Trond Fausa</t>
  </si>
  <si>
    <t>Tommy Karlsen</t>
  </si>
  <si>
    <t>Lilyhammer </t>
  </si>
  <si>
    <t>mafia|mob|norway|steve|van</t>
  </si>
  <si>
    <t>http://www.imdb.com/title/tt1958961/?ref_=fn_tt_tt_1</t>
  </si>
  <si>
    <t>Norway</t>
  </si>
  <si>
    <t>David Alpay</t>
  </si>
  <si>
    <t>Marie-Josée Croze</t>
  </si>
  <si>
    <t>Charles Aznavour</t>
  </si>
  <si>
    <t>Ararat </t>
  </si>
  <si>
    <t>armenian|armenian genocide|customs agent|genocide|prayer</t>
  </si>
  <si>
    <t>http://www.imdb.com/title/tt0273435/?ref_=fn_tt_tt_1</t>
  </si>
  <si>
    <t>William Bindley</t>
  </si>
  <si>
    <t>William Shockley</t>
  </si>
  <si>
    <t>Madison 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</si>
  <si>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</si>
  <si>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</si>
  <si>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</si>
  <si>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</si>
  <si>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</si>
  <si>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</si>
  <si>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</si>
  <si>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Carole Bouquet</t>
  </si>
  <si>
    <t>Ryôko Hirosue</t>
  </si>
  <si>
    <t>Michel Muller</t>
  </si>
  <si>
    <t>Wasabi 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</si>
  <si>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</si>
  <si>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</si>
  <si>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</si>
  <si>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</si>
  <si>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</si>
  <si>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</si>
  <si>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</si>
  <si>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</si>
  <si>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</si>
  <si>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</si>
  <si>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</si>
  <si>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</si>
  <si>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</si>
  <si>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</si>
  <si>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</si>
  <si>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</si>
  <si>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</si>
  <si>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</si>
  <si>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</si>
  <si>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Adrian Pasdar</t>
  </si>
  <si>
    <t>Top Gun </t>
  </si>
  <si>
    <t>flying|gay subtext|machismo|male objectification|pilot</t>
  </si>
  <si>
    <t>http://www.imdb.com/title/tt0092099/?ref_=fn_tt_tt_1</t>
  </si>
  <si>
    <t>Chen Chang</t>
  </si>
  <si>
    <t>Pei-Pei Cheng</t>
  </si>
  <si>
    <t>Sihung Lung</t>
  </si>
  <si>
    <t>Crouching Tiger, Hidden Dragon </t>
  </si>
  <si>
    <t>bare midriff|china|magical realism|martial arts|sword</t>
  </si>
  <si>
    <t>http://www.imdb.com/title/tt0190332/?ref_=fn_tt_tt_1</t>
  </si>
  <si>
    <t>Taiwan</t>
  </si>
  <si>
    <t>Ara Celi</t>
  </si>
  <si>
    <t>American Beauty 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</si>
  <si>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</si>
  <si>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</si>
  <si>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</si>
  <si>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</si>
  <si>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</si>
  <si>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Hugh O'Brian</t>
  </si>
  <si>
    <t>Twins </t>
  </si>
  <si>
    <t>bare chested male|brother|catholic orphanage|long lost siblings|twins</t>
  </si>
  <si>
    <t>http://www.imdb.com/title/tt0096320/?ref_=fn_tt_tt_1</t>
  </si>
  <si>
    <t>Bex Taylor-Klaus</t>
  </si>
  <si>
    <t>Bobby Campo</t>
  </si>
  <si>
    <t>Jason Wiles</t>
  </si>
  <si>
    <t>Scream: The TV Series 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</si>
  <si>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</si>
  <si>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</si>
  <si>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</si>
  <si>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</si>
  <si>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</si>
  <si>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</si>
  <si>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</si>
  <si>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</si>
  <si>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</si>
  <si>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</si>
  <si>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</si>
  <si>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Action|Comedy|Drama|Thriller</t>
  </si>
  <si>
    <t>Nicole Dionne</t>
  </si>
  <si>
    <t>Ji-won Ha</t>
  </si>
  <si>
    <t>Kyung-gu Sol</t>
  </si>
  <si>
    <t>Tidal Wave 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</si>
  <si>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</si>
  <si>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</si>
  <si>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</si>
  <si>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</si>
  <si>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</si>
  <si>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</si>
  <si>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The Imitation Game 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</si>
  <si>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</si>
  <si>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</si>
  <si>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</si>
  <si>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</si>
  <si>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</si>
  <si>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</si>
  <si>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Coal Miner's Daughter 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</si>
  <si>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</si>
  <si>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</si>
  <si>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</si>
  <si>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</si>
  <si>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</si>
  <si>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</si>
  <si>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</si>
  <si>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Isabelle Nélisse</t>
  </si>
  <si>
    <t>Mama 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</si>
  <si>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</si>
  <si>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</si>
  <si>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</si>
  <si>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</si>
  <si>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</si>
  <si>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Jackson Nicoll</t>
  </si>
  <si>
    <t>Georgina Cates</t>
  </si>
  <si>
    <t>Grasie Mercedes</t>
  </si>
  <si>
    <t>Bad Grandpa 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</si>
  <si>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</si>
  <si>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</si>
  <si>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</si>
  <si>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</si>
  <si>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</si>
  <si>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</si>
  <si>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Glenn Shadix</t>
  </si>
  <si>
    <t>Beetlejuice 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</si>
  <si>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</si>
  <si>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</si>
  <si>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</si>
  <si>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</si>
  <si>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</si>
  <si>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</si>
  <si>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</si>
  <si>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</si>
  <si>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</si>
  <si>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</si>
  <si>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</si>
  <si>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</si>
  <si>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The Woman in Black 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</si>
  <si>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</si>
  <si>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</si>
  <si>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</si>
  <si>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</si>
  <si>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</si>
  <si>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</si>
  <si>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Lee Majors</t>
  </si>
  <si>
    <t>Big Fat Liar 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</si>
  <si>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</si>
  <si>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</si>
  <si>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</si>
  <si>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</si>
  <si>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</si>
  <si>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</si>
  <si>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</si>
  <si>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</si>
  <si>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</si>
  <si>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Adventure|Comedy|Family|Music|Romance</t>
  </si>
  <si>
    <t>Clayton Snyder</t>
  </si>
  <si>
    <t>Adam Lamberg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</si>
  <si>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</si>
  <si>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</si>
  <si>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</si>
  <si>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</si>
  <si>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</si>
  <si>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</si>
  <si>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</si>
  <si>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</si>
  <si>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</si>
  <si>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Krampus 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</si>
  <si>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</si>
  <si>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</si>
  <si>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</si>
  <si>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</si>
  <si>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</si>
  <si>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Rae'Ven Kelly</t>
  </si>
  <si>
    <t>Virginia Capers</t>
  </si>
  <si>
    <t>Dororthy Thorton</t>
  </si>
  <si>
    <t>What's Love Got to Do with It 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</si>
  <si>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</si>
  <si>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</si>
  <si>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</si>
  <si>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</si>
  <si>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</si>
  <si>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</si>
  <si>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</si>
  <si>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</si>
  <si>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</si>
  <si>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</si>
  <si>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</si>
  <si>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</si>
  <si>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</si>
  <si>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William Petersen</t>
  </si>
  <si>
    <t>The Skulls 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</si>
  <si>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</si>
  <si>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</si>
  <si>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</si>
  <si>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</si>
  <si>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</si>
  <si>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</si>
  <si>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</si>
  <si>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</si>
  <si>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</si>
  <si>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</si>
  <si>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</si>
  <si>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</si>
  <si>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</si>
  <si>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</si>
  <si>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</si>
  <si>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</si>
  <si>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</si>
  <si>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</si>
  <si>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</si>
  <si>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</si>
  <si>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</si>
  <si>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</si>
  <si>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</si>
  <si>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</si>
  <si>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</si>
  <si>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</si>
  <si>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The Last House on the Left 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</si>
  <si>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</si>
  <si>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</si>
  <si>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</si>
  <si>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</si>
  <si>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</si>
  <si>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</si>
  <si>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</si>
  <si>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</si>
  <si>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</si>
  <si>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</si>
  <si>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André the Giant</t>
  </si>
  <si>
    <t>The Princess Bride 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</si>
  <si>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</si>
  <si>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</si>
  <si>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</si>
  <si>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</si>
  <si>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</si>
  <si>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</si>
  <si>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Russ Tamblyn</t>
  </si>
  <si>
    <t>Drive 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</si>
  <si>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</si>
  <si>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</si>
  <si>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</si>
  <si>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</si>
  <si>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</si>
  <si>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</si>
  <si>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</si>
  <si>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Kali Rocha</t>
  </si>
  <si>
    <t>The Object of My Affection 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</si>
  <si>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</si>
  <si>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</si>
  <si>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</si>
  <si>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</si>
  <si>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</si>
  <si>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</si>
  <si>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</si>
  <si>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Ser'Darius Blain</t>
  </si>
  <si>
    <t>When the Game Stands Tall 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</si>
  <si>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</si>
  <si>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</si>
  <si>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</si>
  <si>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</si>
  <si>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</si>
  <si>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</si>
  <si>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</si>
  <si>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</si>
  <si>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</si>
  <si>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</si>
  <si>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Mitchell Ryan</t>
  </si>
  <si>
    <t>Grosse Pointe Blank 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</si>
  <si>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</si>
  <si>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</si>
  <si>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</si>
  <si>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</si>
  <si>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</si>
  <si>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</si>
  <si>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</si>
  <si>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Adventure|Fantasy|Horror|Mystery|Thriller</t>
  </si>
  <si>
    <t>Kim Director</t>
  </si>
  <si>
    <t>Erica Leerhsen</t>
  </si>
  <si>
    <t>Kurt Loder</t>
  </si>
  <si>
    <t>Book of Shadows: Blair Witch 2 </t>
  </si>
  <si>
    <t>convenience store|digit in title|punctuation in title|violence|witch</t>
  </si>
  <si>
    <t>http://www.imdb.com/title/tt0229260/?ref_=fn_tt_tt_1</t>
  </si>
  <si>
    <t>Rachel True</t>
  </si>
  <si>
    <t>Brenda Strong</t>
  </si>
  <si>
    <t>The Craft 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</si>
  <si>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</si>
  <si>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</si>
  <si>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</si>
  <si>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</si>
  <si>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</si>
  <si>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</si>
  <si>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Sierra McCormick</t>
  </si>
  <si>
    <t>Hutch Dano</t>
  </si>
  <si>
    <t>Jason Spevack</t>
  </si>
  <si>
    <t>Ramona and Beezus 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</si>
  <si>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</si>
  <si>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</si>
  <si>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</si>
  <si>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</si>
  <si>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</si>
  <si>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</si>
  <si>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Nina Hartley</t>
  </si>
  <si>
    <t>Boogie Nights </t>
  </si>
  <si>
    <t>1970s|adult entertainment industry|nightclub|porn industry|san fernando valley california</t>
  </si>
  <si>
    <t>http://www.imdb.com/title/tt0118749/?ref_=fn_tt_tt_1</t>
  </si>
  <si>
    <t>Joss Ackland</t>
  </si>
  <si>
    <t>Nowhere to Run 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</si>
  <si>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</si>
  <si>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</si>
  <si>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</si>
  <si>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</si>
  <si>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</si>
  <si>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</si>
  <si>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</si>
  <si>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</si>
  <si>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</si>
  <si>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</si>
  <si>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</si>
  <si>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</si>
  <si>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</si>
  <si>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</si>
  <si>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</si>
  <si>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</si>
  <si>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</si>
  <si>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</si>
  <si>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</si>
  <si>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</si>
  <si>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</si>
  <si>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</si>
  <si>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</si>
  <si>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</si>
  <si>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</si>
  <si>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</si>
  <si>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</si>
  <si>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</si>
  <si>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</si>
  <si>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</si>
  <si>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</si>
  <si>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</si>
  <si>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</si>
  <si>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</si>
  <si>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</si>
  <si>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</si>
  <si>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</si>
  <si>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</si>
  <si>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Angelo Anthony Pizza</t>
  </si>
  <si>
    <t>The Place Beyond the Pines 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</si>
  <si>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</si>
  <si>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</si>
  <si>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</si>
  <si>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</si>
  <si>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</si>
  <si>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</si>
  <si>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</si>
  <si>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</si>
  <si>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Geneviève Bujold</t>
  </si>
  <si>
    <t>Eye of the Beholder 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</si>
  <si>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</si>
  <si>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</si>
  <si>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</si>
  <si>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</si>
  <si>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</si>
  <si>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</si>
  <si>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</si>
  <si>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</si>
  <si>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</si>
  <si>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</si>
  <si>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</si>
  <si>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</si>
  <si>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</si>
  <si>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</si>
  <si>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</si>
  <si>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A Most Wanted Man 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</si>
  <si>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</si>
  <si>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</si>
  <si>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</si>
  <si>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</si>
  <si>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</si>
  <si>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</si>
  <si>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</si>
  <si>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Yuri Lowenthal</t>
  </si>
  <si>
    <t>Cam Clarke</t>
  </si>
  <si>
    <t>Phil Vischer</t>
  </si>
  <si>
    <t>The Pirates Who Don't Do Anything: A VeggieTales Movie 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</si>
  <si>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</si>
  <si>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</si>
  <si>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</si>
  <si>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</si>
  <si>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</si>
  <si>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U2 3D 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</si>
  <si>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</si>
  <si>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</si>
  <si>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</si>
  <si>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</si>
  <si>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</si>
  <si>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Highlander: Endgame 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</si>
  <si>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</si>
  <si>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</si>
  <si>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</si>
  <si>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</si>
  <si>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</si>
  <si>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</si>
  <si>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</si>
  <si>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</si>
  <si>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</si>
  <si>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</si>
  <si>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</si>
  <si>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</si>
  <si>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</si>
  <si>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</si>
  <si>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</si>
  <si>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</si>
  <si>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</si>
  <si>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Knockaround Guys 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</si>
  <si>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</si>
  <si>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</si>
  <si>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</si>
  <si>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</si>
  <si>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</si>
  <si>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</si>
  <si>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</si>
  <si>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</si>
  <si>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</si>
  <si>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</si>
  <si>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Sandra Nelson</t>
  </si>
  <si>
    <t>De-Lovely 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</si>
  <si>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</si>
  <si>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</si>
  <si>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</si>
  <si>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</si>
  <si>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</si>
  <si>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</si>
  <si>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</si>
  <si>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</si>
  <si>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Barney's Great Adventure </t>
  </si>
  <si>
    <t>apostrophe in title|critically bashed|hit on the head with a ball|punctuation in title|tyrannosaurus rex</t>
  </si>
  <si>
    <t>http://www.imdb.com/title/tt0120598/?ref_=fn_tt_tt_1</t>
  </si>
  <si>
    <t>Daniel Wu</t>
  </si>
  <si>
    <t>The Man with the Iron Fists 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</si>
  <si>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</si>
  <si>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</si>
  <si>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</si>
  <si>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</si>
  <si>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</si>
  <si>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</si>
  <si>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</si>
  <si>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</si>
  <si>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</si>
  <si>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</si>
  <si>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</si>
  <si>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</si>
  <si>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</si>
  <si>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</si>
  <si>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</si>
  <si>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</si>
  <si>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Drama|Fantasy|Mystery|Sci-Fi</t>
  </si>
  <si>
    <t>Nicole de Boer</t>
  </si>
  <si>
    <t>Chris Bruno</t>
  </si>
  <si>
    <t>The Dead Zone 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</si>
  <si>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</si>
  <si>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</si>
  <si>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</si>
  <si>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</si>
  <si>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</si>
  <si>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</si>
  <si>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</si>
  <si>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</si>
  <si>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</si>
  <si>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</si>
  <si>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</si>
  <si>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Dark Blue </t>
  </si>
  <si>
    <t>corrupt|criminal|investigation|lapd|police</t>
  </si>
  <si>
    <t>http://www.imdb.com/title/tt0279331/?ref_=fn_tt_tt_1</t>
  </si>
  <si>
    <t>Biography|Drama|History|Thriller|War</t>
  </si>
  <si>
    <t>Dan Futterman</t>
  </si>
  <si>
    <t>A Mighty Heart </t>
  </si>
  <si>
    <t>fbi|journalist|missing|pakistan|reporter</t>
  </si>
  <si>
    <t>http://www.imdb.com/title/tt0829459/?ref_=fn_tt_tt_1</t>
  </si>
  <si>
    <t>David Raynr</t>
  </si>
  <si>
    <t>Marla Sokoloff</t>
  </si>
  <si>
    <t>Whatever It Takes 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</si>
  <si>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</si>
  <si>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</si>
  <si>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</si>
  <si>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</si>
  <si>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</si>
  <si>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</si>
  <si>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</si>
  <si>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</si>
  <si>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</si>
  <si>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</si>
  <si>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Estelle Parsons</t>
  </si>
  <si>
    <t>The Love Letter 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</si>
  <si>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</si>
  <si>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</si>
  <si>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</si>
  <si>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</si>
  <si>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</si>
  <si>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</si>
  <si>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</si>
  <si>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Elizabeth Berrington</t>
  </si>
  <si>
    <t>Anna Madeley</t>
  </si>
  <si>
    <t>Eric Godon</t>
  </si>
  <si>
    <t>In Bruges </t>
  </si>
  <si>
    <t>bruges|bullet|hope|irish|tourist</t>
  </si>
  <si>
    <t>http://www.imdb.com/title/tt0780536/?ref_=fn_tt_tt_1</t>
  </si>
  <si>
    <t>Tina Gordon Chism</t>
  </si>
  <si>
    <t>Diahann Carroll</t>
  </si>
  <si>
    <t>Peeples 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</si>
  <si>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</si>
  <si>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</si>
  <si>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</si>
  <si>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</si>
  <si>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</si>
  <si>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</si>
  <si>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</si>
  <si>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</si>
  <si>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</si>
  <si>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</si>
  <si>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</si>
  <si>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</si>
  <si>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</si>
  <si>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Conleth Hill</t>
  </si>
  <si>
    <t>Whatever Works 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</si>
  <si>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</si>
  <si>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</si>
  <si>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</si>
  <si>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</si>
  <si>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</si>
  <si>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</si>
  <si>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</si>
  <si>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</si>
  <si>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Three Burials 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</si>
  <si>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</si>
  <si>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</si>
  <si>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</si>
  <si>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</si>
  <si>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</si>
  <si>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</si>
  <si>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</si>
  <si>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</si>
  <si>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</si>
  <si>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</si>
  <si>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</si>
  <si>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</si>
  <si>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</si>
  <si>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</si>
  <si>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</si>
  <si>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</si>
  <si>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</si>
  <si>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</si>
  <si>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</si>
  <si>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</si>
  <si>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Blood and Chocolate 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</si>
  <si>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</si>
  <si>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</si>
  <si>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</si>
  <si>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</si>
  <si>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</si>
  <si>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</si>
  <si>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</si>
  <si>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</si>
  <si>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</si>
  <si>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</si>
  <si>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</si>
  <si>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</si>
  <si>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</si>
  <si>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</si>
  <si>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Mac McDonald</t>
  </si>
  <si>
    <t>Transsiberian </t>
  </si>
  <si>
    <t>35 mm digital camera|drugs|murder|train|travel</t>
  </si>
  <si>
    <t>http://www.imdb.com/title/tt0800241/?ref_=fn_tt_tt_1</t>
  </si>
  <si>
    <t>Michael Chapman</t>
  </si>
  <si>
    <t>Mike Muscat</t>
  </si>
  <si>
    <t>The Clan of the Cave Bear 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</si>
  <si>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</si>
  <si>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</si>
  <si>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</si>
  <si>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</si>
  <si>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</si>
  <si>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</si>
  <si>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</si>
  <si>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</si>
  <si>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</si>
  <si>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</si>
  <si>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Thomas Stroppel</t>
  </si>
  <si>
    <t>Kalim Chandler</t>
  </si>
  <si>
    <t>Amber Marie Bollinger</t>
  </si>
  <si>
    <t>Listening 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</si>
  <si>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</si>
  <si>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</si>
  <si>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</si>
  <si>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</si>
  <si>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</si>
  <si>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</si>
  <si>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</si>
  <si>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Brigitte Helm</t>
  </si>
  <si>
    <t>Gustav Fröhlich</t>
  </si>
  <si>
    <t>Rudolf Klein-Rogge</t>
  </si>
  <si>
    <t>Metropolis </t>
  </si>
  <si>
    <t>art deco|bible quote|dance|silent film|worker</t>
  </si>
  <si>
    <t>http://www.imdb.com/title/tt0017136/?ref_=fn_tt_tt_1</t>
  </si>
  <si>
    <t>Dany Verissimo-Petit</t>
  </si>
  <si>
    <t>District B13 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</si>
  <si>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</si>
  <si>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</si>
  <si>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</si>
  <si>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</si>
  <si>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</si>
  <si>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</si>
  <si>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</si>
  <si>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The Assassin 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</si>
  <si>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</si>
  <si>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</si>
  <si>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</si>
  <si>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</si>
  <si>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</si>
  <si>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</si>
  <si>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</si>
  <si>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Konstantin Lavronenko</t>
  </si>
  <si>
    <t>Vladimir Garin</t>
  </si>
  <si>
    <t>Nataliya Vdovina</t>
  </si>
  <si>
    <t>The Return </t>
  </si>
  <si>
    <t>boy|photograph|return|russian|wilderness</t>
  </si>
  <si>
    <t>http://www.imdb.com/title/tt0376968/?ref_=fn_tt_tt_1</t>
  </si>
  <si>
    <t>Tony Jaa</t>
  </si>
  <si>
    <t>Nirut Sirichanya</t>
  </si>
  <si>
    <t>Petchtai Wongkamlao</t>
  </si>
  <si>
    <t>Sarunyu Wongkrachang</t>
  </si>
  <si>
    <t>Ong-bak 2 </t>
  </si>
  <si>
    <t>cult film|elephant|jungle|martial arts|stylized violence</t>
  </si>
  <si>
    <t>http://www.imdb.com/title/tt0785035/?ref_=fn_tt_tt_1</t>
  </si>
  <si>
    <t>Thai</t>
  </si>
  <si>
    <t>Thailand</t>
  </si>
  <si>
    <t>Action|Adventure|Drama|History|Thriller|War</t>
  </si>
  <si>
    <t>JJ Feild</t>
  </si>
  <si>
    <t>Centurion </t>
  </si>
  <si>
    <t>mushroom|mute|roman soldier|screaming|wood carving</t>
  </si>
  <si>
    <t>http://www.imdb.com/title/tt1020558/?ref_=fn_tt_tt_1</t>
  </si>
  <si>
    <t>Gina Bellman</t>
  </si>
  <si>
    <t>Conrad Dunn</t>
  </si>
  <si>
    <t>Silent Trigger 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</si>
  <si>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</si>
  <si>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</si>
  <si>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</si>
  <si>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</si>
  <si>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</si>
  <si>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</si>
  <si>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</si>
  <si>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Aubrey Poo</t>
  </si>
  <si>
    <t>Winnie Mandela 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</si>
  <si>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</si>
  <si>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</si>
  <si>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</si>
  <si>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</si>
  <si>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</si>
  <si>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</si>
  <si>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</si>
  <si>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</si>
  <si>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</si>
  <si>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All the Queen's Men </t>
  </si>
  <si>
    <t>apostrophe in title|behind enemy lines|box office flop|gay interest|punctuation in title</t>
  </si>
  <si>
    <t>http://www.imdb.com/title/tt0252223/?ref_=fn_tt_tt_1</t>
  </si>
  <si>
    <t>Jake Paltrow</t>
  </si>
  <si>
    <t>Comedy|Drama|Fantasy|Music|Romance</t>
  </si>
  <si>
    <t>Gael Le Cornec</t>
  </si>
  <si>
    <t>The Good Night </t>
  </si>
  <si>
    <t>commercial|dream|dreaming|girl|new york city</t>
  </si>
  <si>
    <t>http://www.imdb.com/title/tt0484111/?ref_=fn_tt_tt_1</t>
  </si>
  <si>
    <t>Juraj Jakubisko</t>
  </si>
  <si>
    <t>Biography|Drama|Fantasy|History</t>
  </si>
  <si>
    <t>Hans Matheson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</si>
  <si>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</si>
  <si>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</si>
  <si>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</si>
  <si>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</si>
  <si>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</si>
  <si>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</si>
  <si>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</si>
  <si>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</si>
  <si>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</si>
  <si>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</si>
  <si>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</si>
  <si>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</si>
  <si>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</si>
  <si>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</si>
  <si>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</si>
  <si>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</si>
  <si>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Dungeons &amp; Dragons: Wrath of the Dragon God </t>
  </si>
  <si>
    <t>combat|helmet|martial arts|medieval times|violence</t>
  </si>
  <si>
    <t>http://www.imdb.com/title/tt0406728/?ref_=fn_tt_tt_1</t>
  </si>
  <si>
    <t>Daniele Luchetti</t>
  </si>
  <si>
    <t>Biography</t>
  </si>
  <si>
    <t>Maximilian Dirr</t>
  </si>
  <si>
    <t>Rodrigo De la Serna</t>
  </si>
  <si>
    <t>Ferdinando Vetere</t>
  </si>
  <si>
    <t>Chiamatemi Francesco - Il Papa della gente </t>
  </si>
  <si>
    <t>http://www.imdb.com/title/tt3856124/?ref_=fn_tt_tt_1</t>
  </si>
  <si>
    <t>Tung-Shing Yee</t>
  </si>
  <si>
    <t>Yasuaki Kurata</t>
  </si>
  <si>
    <t>Shinjuku Incident </t>
  </si>
  <si>
    <t>chinese|gang|gratitude|immigrant|japan</t>
  </si>
  <si>
    <t>http://www.imdb.com/title/tt1075419/?ref_=fn_tt_tt_1</t>
  </si>
  <si>
    <t>Julien Temple</t>
  </si>
  <si>
    <t>Linus Roache</t>
  </si>
  <si>
    <t>Pandaemonium 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</si>
  <si>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</si>
  <si>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</si>
  <si>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</si>
  <si>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</si>
  <si>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</si>
  <si>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</si>
  <si>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</si>
  <si>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</si>
  <si>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</si>
  <si>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</si>
  <si>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</si>
  <si>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</si>
  <si>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</si>
  <si>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</si>
  <si>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Sarah's Key 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</si>
  <si>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</si>
  <si>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</si>
  <si>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</si>
  <si>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</si>
  <si>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</si>
  <si>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</si>
  <si>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Freedom 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</si>
  <si>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</si>
  <si>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</si>
  <si>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</si>
  <si>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</si>
  <si>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</si>
  <si>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</si>
  <si>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</si>
  <si>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</si>
  <si>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Manderlay </t>
  </si>
  <si>
    <t>cotton|female frontal nudity|flogging|gangster|slavery</t>
  </si>
  <si>
    <t>http://www.imdb.com/title/tt0342735/?ref_=fn_tt_tt_1</t>
  </si>
  <si>
    <t>Anil Kapoor</t>
  </si>
  <si>
    <t>Saurabh Shukla</t>
  </si>
  <si>
    <t>Ayush Mahesh Khedekar</t>
  </si>
  <si>
    <t>Slumdog Millionaire 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</si>
  <si>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</si>
  <si>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</si>
  <si>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</si>
  <si>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</si>
  <si>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</si>
  <si>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</si>
  <si>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</si>
  <si>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</si>
  <si>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</si>
  <si>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</si>
  <si>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</si>
  <si>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Towering Inferno </t>
  </si>
  <si>
    <t>http://www.imdb.com/title/tt0691996/?ref_=fn_tt_tt_1</t>
  </si>
  <si>
    <t>John Cornell</t>
  </si>
  <si>
    <t>John Meillon</t>
  </si>
  <si>
    <t>Crocodile Dundee II </t>
  </si>
  <si>
    <t>australia|australian|crime boss|crocodile|gangster</t>
  </si>
  <si>
    <t>http://www.imdb.com/title/tt0092493/?ref_=fn_tt_tt_1</t>
  </si>
  <si>
    <t>Vidhu Vinod Chopra</t>
  </si>
  <si>
    <t>Chad Bishop</t>
  </si>
  <si>
    <t>Broken Horses 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</si>
  <si>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</si>
  <si>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</si>
  <si>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</si>
  <si>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</si>
  <si>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Malik Yoba</t>
  </si>
  <si>
    <t>Cool Runnings 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</si>
  <si>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</si>
  <si>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</si>
  <si>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</si>
  <si>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</si>
  <si>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</si>
  <si>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</si>
  <si>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</si>
  <si>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</si>
  <si>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</si>
  <si>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</si>
  <si>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Barbara Bach</t>
  </si>
  <si>
    <t>The Spy Who Loved Me </t>
  </si>
  <si>
    <t>1970s|cult film|official james bond series|submarine|world war three</t>
  </si>
  <si>
    <t>http://www.imdb.com/title/tt0076752/?ref_=fn_tt_tt_1</t>
  </si>
  <si>
    <t>Amy Bruni</t>
  </si>
  <si>
    <t>Steve Gonsalves</t>
  </si>
  <si>
    <t>Jason Hawes</t>
  </si>
  <si>
    <t>Ghost Hunters 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</si>
  <si>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</si>
  <si>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</si>
  <si>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</si>
  <si>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</si>
  <si>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</si>
  <si>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</si>
  <si>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</si>
  <si>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</si>
  <si>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</si>
  <si>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</si>
  <si>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</si>
  <si>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White Fang 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</si>
  <si>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</si>
  <si>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</si>
  <si>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</si>
  <si>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</si>
  <si>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</si>
  <si>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Olivia Colman</t>
  </si>
  <si>
    <t>The Iron Lady </t>
  </si>
  <si>
    <t>british prime minister|female prime minister|politics|prime minister|told in flashback</t>
  </si>
  <si>
    <t>http://www.imdb.com/title/tt1007029/?ref_=fn_tt_tt_1</t>
  </si>
  <si>
    <t>Shelby Vischer</t>
  </si>
  <si>
    <t>Jonah: A VeggieTales Movie </t>
  </si>
  <si>
    <t>anthropomorphism|pirate|pirate ship|tomato|whale</t>
  </si>
  <si>
    <t>http://www.imdb.com/title/tt0298388/?ref_=fn_tt_tt_1</t>
  </si>
  <si>
    <t>Maya Angelou</t>
  </si>
  <si>
    <t>Poetic Justice 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</si>
  <si>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</si>
  <si>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</si>
  <si>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</si>
  <si>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</si>
  <si>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All About the Benjamins </t>
  </si>
  <si>
    <t>black comedy|bounty hunter|diamond|machismo|money</t>
  </si>
  <si>
    <t>http://www.imdb.com/title/tt0278295/?ref_=fn_tt_tt_1</t>
  </si>
  <si>
    <t>Allen Payne</t>
  </si>
  <si>
    <t>Vampire in Brooklyn 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</si>
  <si>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</si>
  <si>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</si>
  <si>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</si>
  <si>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</si>
  <si>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</si>
  <si>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</si>
  <si>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</si>
  <si>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</si>
  <si>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</si>
  <si>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</si>
  <si>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</si>
  <si>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</si>
  <si>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</si>
  <si>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</si>
  <si>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</si>
  <si>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</si>
  <si>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</si>
  <si>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</si>
  <si>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</si>
  <si>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</si>
  <si>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</si>
  <si>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</si>
  <si>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</si>
  <si>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</si>
  <si>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</si>
  <si>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</si>
  <si>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Paolo Seganti</t>
  </si>
  <si>
    <t>Tea with Mussolini 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</si>
  <si>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</si>
  <si>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</si>
  <si>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</si>
  <si>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</si>
  <si>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</si>
  <si>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</si>
  <si>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</si>
  <si>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</si>
  <si>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</si>
  <si>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</si>
  <si>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</si>
  <si>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</si>
  <si>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</si>
  <si>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</si>
  <si>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</si>
  <si>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</si>
  <si>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</si>
  <si>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</si>
  <si>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</si>
  <si>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</si>
  <si>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X 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</si>
  <si>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</si>
  <si>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</si>
  <si>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</si>
  <si>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</si>
  <si>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</si>
  <si>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</si>
  <si>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</si>
  <si>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China Chow</t>
  </si>
  <si>
    <t>Head Over Heels 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</si>
  <si>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</si>
  <si>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</si>
  <si>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</si>
  <si>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</si>
  <si>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Fun Size 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</si>
  <si>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</si>
  <si>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</si>
  <si>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</si>
  <si>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</si>
  <si>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Bankolé</t>
  </si>
  <si>
    <t>The Diving Bell and the Butterfly 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</si>
  <si>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</si>
  <si>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</si>
  <si>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</si>
  <si>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</si>
  <si>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Little Children </t>
  </si>
  <si>
    <t>adulterous wife|bar|dysfunctional marriage|sex offender|suburb</t>
  </si>
  <si>
    <t>http://www.imdb.com/title/tt0404203/?ref_=fn_tt_tt_1</t>
  </si>
  <si>
    <t>Davis Guggenheim</t>
  </si>
  <si>
    <t>Noam Jenkins</t>
  </si>
  <si>
    <t>Gossip </t>
  </si>
  <si>
    <t>college|college campus|gossip|rape|sex</t>
  </si>
  <si>
    <t>http://www.imdb.com/title/tt0176783/?ref_=fn_tt_tt_1</t>
  </si>
  <si>
    <t>Tovah Feldshuh</t>
  </si>
  <si>
    <t>A Walk on the Moon </t>
  </si>
  <si>
    <t>adulterous wife|cheating wife|summer|unfaithfulness|woodstock</t>
  </si>
  <si>
    <t>http://www.imdb.com/title/tt0120613/?ref_=fn_tt_tt_1</t>
  </si>
  <si>
    <t>Bonnie Henna</t>
  </si>
  <si>
    <t>Catch a Fire </t>
  </si>
  <si>
    <t>attack|coach|colonel|jail|oil refinery</t>
  </si>
  <si>
    <t>http://www.imdb.com/title/tt0437232/?ref_=fn_tt_tt_1</t>
  </si>
  <si>
    <t>Stephen Carpenter</t>
  </si>
  <si>
    <t>Melissa Sagemiller</t>
  </si>
  <si>
    <t>Angela Featherstone</t>
  </si>
  <si>
    <t>Candace Kroslak</t>
  </si>
  <si>
    <t>Soul Survivors </t>
  </si>
  <si>
    <t>car accident|college|ghost|girl in panties|white panties</t>
  </si>
  <si>
    <t>http://www.imdb.com/title/tt0218619/?ref_=fn_tt_tt_1</t>
  </si>
  <si>
    <t>Todd Boyce</t>
  </si>
  <si>
    <t>Nigel Whitmey</t>
  </si>
  <si>
    <t>Jefferson in Paris 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</si>
  <si>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</si>
  <si>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</si>
  <si>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</si>
  <si>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</si>
  <si>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</si>
  <si>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</si>
  <si>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</si>
  <si>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Caravans </t>
  </si>
  <si>
    <t>afghanistan|caravan|rebel|russian|tribe</t>
  </si>
  <si>
    <t>http://www.imdb.com/title/tt0077296/?ref_=fn_tt_tt_1</t>
  </si>
  <si>
    <t>Iran</t>
  </si>
  <si>
    <t>Ruth Sheen</t>
  </si>
  <si>
    <t>Karl Johnson</t>
  </si>
  <si>
    <t>Mr. Turner 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</si>
  <si>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</si>
  <si>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</si>
  <si>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</si>
  <si>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</si>
  <si>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</si>
  <si>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Wild Grass </t>
  </si>
  <si>
    <t>dentist|letter|pilot|skateboard|wallet</t>
  </si>
  <si>
    <t>http://www.imdb.com/title/tt1156143/?ref_=fn_tt_tt_1</t>
  </si>
  <si>
    <t>Biography|Crime|Drama|War</t>
  </si>
  <si>
    <t>Ulrich Mühe</t>
  </si>
  <si>
    <t>Amen. </t>
  </si>
  <si>
    <t>jesuit|jew|pope|priest|ss</t>
  </si>
  <si>
    <t>http://www.imdb.com/title/tt0280653/?ref_=fn_tt_tt_1</t>
  </si>
  <si>
    <t>Chao-Bin Su</t>
  </si>
  <si>
    <t>Woo-sung Jung</t>
  </si>
  <si>
    <t>Kelly Lin</t>
  </si>
  <si>
    <t>Reign of Assassins 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</si>
  <si>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</si>
  <si>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</si>
  <si>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</si>
  <si>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</si>
  <si>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</si>
  <si>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</si>
  <si>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John Gallagher Jr.</t>
  </si>
  <si>
    <t>Margaret </t>
  </si>
  <si>
    <t>accident|bus|loss of virginity|new york city|virginity</t>
  </si>
  <si>
    <t>http://www.imdb.com/title/tt0466893/?ref_=fn_tt_tt_1</t>
  </si>
  <si>
    <t>Bo Zenga</t>
  </si>
  <si>
    <t>Diora Baird</t>
  </si>
  <si>
    <t>Stan Helsing 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</si>
  <si>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</si>
  <si>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</si>
  <si>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</si>
  <si>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</si>
  <si>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</si>
  <si>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</si>
  <si>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</si>
  <si>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</si>
  <si>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Elisa Donovan</t>
  </si>
  <si>
    <t>Clueless 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</si>
  <si>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</si>
  <si>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</si>
  <si>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</si>
  <si>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</si>
  <si>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</si>
  <si>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</si>
  <si>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</si>
  <si>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</si>
  <si>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Krystyna Janda</t>
  </si>
  <si>
    <t>Olaf Lubaszenko</t>
  </si>
  <si>
    <t>Olgierd Lukaszewicz</t>
  </si>
  <si>
    <t>Dekalog 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</si>
  <si>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</si>
  <si>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</si>
  <si>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</si>
  <si>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</si>
  <si>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</si>
  <si>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</si>
  <si>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Quills 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</si>
  <si>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</si>
  <si>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</si>
  <si>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</si>
  <si>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</si>
  <si>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</si>
  <si>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</si>
  <si>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</si>
  <si>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</si>
  <si>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</si>
  <si>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Jacek Koman</t>
  </si>
  <si>
    <t>Marian Dziedziel</t>
  </si>
  <si>
    <t>Jaroslaw Boberek</t>
  </si>
  <si>
    <t>The Border 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</si>
  <si>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</si>
  <si>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</si>
  <si>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</si>
  <si>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</si>
  <si>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</si>
  <si>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Belén Rueda</t>
  </si>
  <si>
    <t>Lola Dueñas</t>
  </si>
  <si>
    <t>Tamar Novas</t>
  </si>
  <si>
    <t>The Sea Inside </t>
  </si>
  <si>
    <t>dignity|euthanasia|freedom|lawyer|sailor</t>
  </si>
  <si>
    <t>http://www.imdb.com/title/tt0369702/?ref_=fn_tt_tt_1</t>
  </si>
  <si>
    <t>Paul Brannigan</t>
  </si>
  <si>
    <t>Alison Chand</t>
  </si>
  <si>
    <t>Under the Skin 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</si>
  <si>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</si>
  <si>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</si>
  <si>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</si>
  <si>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</si>
  <si>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</si>
  <si>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</si>
  <si>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</si>
  <si>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</si>
  <si>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</si>
  <si>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</si>
  <si>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</si>
  <si>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Boys II Men</t>
  </si>
  <si>
    <t>Justin Bieber: Never Say Never 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</si>
  <si>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</si>
  <si>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</si>
  <si>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</si>
  <si>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</si>
  <si>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</si>
  <si>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</si>
  <si>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</si>
  <si>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</si>
  <si>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Fredro Starr</t>
  </si>
  <si>
    <t>Save the Last Dance </t>
  </si>
  <si>
    <t>dance|dancing|ghetto|hip hop|imperative in title</t>
  </si>
  <si>
    <t>http://www.imdb.com/title/tt0206275/?ref_=fn_tt_tt_1</t>
  </si>
  <si>
    <t>Tuesday Knight</t>
  </si>
  <si>
    <t>Rodney Eastman</t>
  </si>
  <si>
    <t>Brooke Bundy</t>
  </si>
  <si>
    <t>A Nightmare on Elm Street 4: The Dream Master 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</si>
  <si>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</si>
  <si>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</si>
  <si>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</si>
  <si>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</si>
  <si>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</si>
  <si>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</si>
  <si>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</si>
  <si>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</si>
  <si>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</si>
  <si>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</si>
  <si>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</si>
  <si>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</si>
  <si>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</si>
  <si>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</si>
  <si>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</si>
  <si>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</si>
  <si>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</si>
  <si>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</si>
  <si>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</si>
  <si>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</si>
  <si>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</si>
  <si>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</si>
  <si>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Andrew Keegan</t>
  </si>
  <si>
    <t>10 Things I Hate About You </t>
  </si>
  <si>
    <t>dating|protective father|school|shrew|teen movie</t>
  </si>
  <si>
    <t>http://www.imdb.com/title/tt0147800/?ref_=fn_tt_tt_1</t>
  </si>
  <si>
    <t>Ed Decter</t>
  </si>
  <si>
    <t>Gene Simmons</t>
  </si>
  <si>
    <t>The New Guy 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</si>
  <si>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</si>
  <si>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</si>
  <si>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</si>
  <si>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</si>
  <si>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</si>
  <si>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</si>
  <si>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Sedona Legge</t>
  </si>
  <si>
    <t>The Shallows 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</si>
  <si>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</si>
  <si>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</si>
  <si>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</si>
  <si>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</si>
  <si>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</si>
  <si>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</si>
  <si>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</si>
  <si>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</si>
  <si>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</si>
  <si>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</si>
  <si>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</si>
  <si>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</si>
  <si>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</si>
  <si>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</si>
  <si>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</si>
  <si>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</si>
  <si>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</si>
  <si>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</si>
  <si>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Antonio Sabato Jr.</t>
  </si>
  <si>
    <t>The Big Hit </t>
  </si>
  <si>
    <t>hitman|kidnapping|kosher|vhs|video store</t>
  </si>
  <si>
    <t>http://www.imdb.com/title/tt0120609/?ref_=fn_tt_tt_1</t>
  </si>
  <si>
    <t>Bronwen Hughes</t>
  </si>
  <si>
    <t>Charlotte Sullivan</t>
  </si>
  <si>
    <t>Harriet the Spy 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</si>
  <si>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</si>
  <si>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</si>
  <si>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</si>
  <si>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</si>
  <si>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</si>
  <si>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Child's Play 2 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</si>
  <si>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</si>
  <si>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</si>
  <si>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</si>
  <si>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</si>
  <si>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</si>
  <si>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No Good Deed 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</si>
  <si>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</si>
  <si>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</si>
  <si>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</si>
  <si>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</si>
  <si>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</si>
  <si>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</si>
  <si>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Elina Alminas</t>
  </si>
  <si>
    <t>Sonoya Mizuno</t>
  </si>
  <si>
    <t>Corey Johnson</t>
  </si>
  <si>
    <t>Ex Machina 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</si>
  <si>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</si>
  <si>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</si>
  <si>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</si>
  <si>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</si>
  <si>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</si>
  <si>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</si>
  <si>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</si>
  <si>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</si>
  <si>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</si>
  <si>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</si>
  <si>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Adventure|Family|Sci-Fi</t>
  </si>
  <si>
    <t>Teo Halm</t>
  </si>
  <si>
    <t>Ella Wahlestedt</t>
  </si>
  <si>
    <t>Jason Gray-Stanford</t>
  </si>
  <si>
    <t>Earth to Echo </t>
  </si>
  <si>
    <t>alien|bar|construction worker|no opening credits|no title at beginning</t>
  </si>
  <si>
    <t>http://www.imdb.com/title/tt2183034/?ref_=fn_tt_tt_1</t>
  </si>
  <si>
    <t>Rolando Molina</t>
  </si>
  <si>
    <t>Crazy/Beautiful </t>
  </si>
  <si>
    <t>congressman|high school|latino|pacific palisades|school</t>
  </si>
  <si>
    <t>http://www.imdb.com/title/tt0250224/?ref_=fn_tt_tt_1</t>
  </si>
  <si>
    <t>Yuki Matsuzaki</t>
  </si>
  <si>
    <t>Kazunari Ninomiya</t>
  </si>
  <si>
    <t>Shidô Nakamura</t>
  </si>
  <si>
    <t>Letters from Iwo Jima 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</si>
  <si>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</si>
  <si>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</si>
  <si>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</si>
  <si>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</si>
  <si>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</si>
  <si>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</si>
  <si>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</si>
  <si>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</si>
  <si>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</si>
  <si>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</si>
  <si>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</si>
  <si>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</si>
  <si>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</si>
  <si>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</si>
  <si>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</si>
  <si>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</si>
  <si>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</si>
  <si>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</si>
  <si>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</si>
  <si>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</si>
  <si>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</si>
  <si>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</si>
  <si>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</si>
  <si>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</si>
  <si>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</si>
  <si>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Lena Endre</t>
  </si>
  <si>
    <t>Del 1 - Män som hatar kvinnor 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</si>
  <si>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</si>
  <si>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</si>
  <si>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</si>
  <si>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</si>
  <si>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</si>
  <si>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</si>
  <si>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</si>
  <si>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</si>
  <si>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</si>
  <si>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</si>
  <si>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</si>
  <si>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</si>
  <si>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</si>
  <si>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</si>
  <si>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</si>
  <si>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</si>
  <si>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</si>
  <si>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</si>
  <si>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Justin Chon</t>
  </si>
  <si>
    <t>Josie Loren</t>
  </si>
  <si>
    <t>Sarah Wright</t>
  </si>
  <si>
    <t>21 &amp; Over 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</si>
  <si>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</si>
  <si>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</si>
  <si>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</si>
  <si>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</si>
  <si>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Paris, je t'aime 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</si>
  <si>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</si>
  <si>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</si>
  <si>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</si>
  <si>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</si>
  <si>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</si>
  <si>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</si>
  <si>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</si>
  <si>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</si>
  <si>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</si>
  <si>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</si>
  <si>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</si>
  <si>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</si>
  <si>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</si>
  <si>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The Widow of Saint-Pierre </t>
  </si>
  <si>
    <t>archipelago|guillotine|island|prison|redemption</t>
  </si>
  <si>
    <t>http://www.imdb.com/title/tt0191636/?ref_=fn_tt_tt_1</t>
  </si>
  <si>
    <t>Meghan Heffern</t>
  </si>
  <si>
    <t>Natalie Lisinska</t>
  </si>
  <si>
    <t>Chloe 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</si>
  <si>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</si>
  <si>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</si>
  <si>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</si>
  <si>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</si>
  <si>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</si>
  <si>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</si>
  <si>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</si>
  <si>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</si>
  <si>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</si>
  <si>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</si>
  <si>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</si>
  <si>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</si>
  <si>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</si>
  <si>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</si>
  <si>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</si>
  <si>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</si>
  <si>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</si>
  <si>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Excessive Force 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</si>
  <si>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</si>
  <si>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</si>
  <si>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</si>
  <si>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</si>
  <si>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</si>
  <si>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</si>
  <si>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</si>
  <si>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</si>
  <si>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</si>
  <si>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</si>
  <si>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</si>
  <si>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John Boyega</t>
  </si>
  <si>
    <t>Luke Treadaway</t>
  </si>
  <si>
    <t>Attack the Block </t>
  </si>
  <si>
    <t>alien|alien invasion|apartment|creature|gang</t>
  </si>
  <si>
    <t>http://www.imdb.com/title/tt1478964/?ref_=fn_tt_tt_1</t>
  </si>
  <si>
    <t>Jelena Jovanova</t>
  </si>
  <si>
    <t>Nikola Djuricko</t>
  </si>
  <si>
    <t>Branko Djuric</t>
  </si>
  <si>
    <t>In the Land of Blood and Honey 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</si>
  <si>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</si>
  <si>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</si>
  <si>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</si>
  <si>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</si>
  <si>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</si>
  <si>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</si>
  <si>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</si>
  <si>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</si>
  <si>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</si>
  <si>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</si>
  <si>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Operation Chromite 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</si>
  <si>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</si>
  <si>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</si>
  <si>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</si>
  <si>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</si>
  <si>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</si>
  <si>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</si>
  <si>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</si>
  <si>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Biography|Comedy|Crime|Drama|Romance</t>
  </si>
  <si>
    <t>Dameon Clarke</t>
  </si>
  <si>
    <t>Louis Herthum</t>
  </si>
  <si>
    <t>Annie Golden</t>
  </si>
  <si>
    <t>I Love You Phillip Morris </t>
  </si>
  <si>
    <t>character name in title|con artist|fraud|gay|prison break</t>
  </si>
  <si>
    <t>http://www.imdb.com/title/tt1045772/?ref_=fn_tt_tt_1</t>
  </si>
  <si>
    <t>Everett McGill</t>
  </si>
  <si>
    <t>Gary Schwartz</t>
  </si>
  <si>
    <t>Quest for Fire 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</si>
  <si>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</si>
  <si>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</si>
  <si>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</si>
  <si>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</si>
  <si>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</si>
  <si>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</si>
  <si>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</si>
  <si>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Rob Morrow</t>
  </si>
  <si>
    <t>The Emperor's Club 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</si>
  <si>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</si>
  <si>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</si>
  <si>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</si>
  <si>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</si>
  <si>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</si>
  <si>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</si>
  <si>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Hannah Murray</t>
  </si>
  <si>
    <t>Womb </t>
  </si>
  <si>
    <t>clone|love|male nudity|medical ethics|virginity</t>
  </si>
  <si>
    <t>http://www.imdb.com/title/tt1216520/?ref_=fn_tt_tt_1</t>
  </si>
  <si>
    <t>Jude Ciccolella</t>
  </si>
  <si>
    <t>Glengarry Glen Ross 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</si>
  <si>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</si>
  <si>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</si>
  <si>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</si>
  <si>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</si>
  <si>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</si>
  <si>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</si>
  <si>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</si>
  <si>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</si>
  <si>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</si>
  <si>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</si>
  <si>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Julian Morris</t>
  </si>
  <si>
    <t>Margo Harshman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</si>
  <si>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</si>
  <si>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</si>
  <si>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</si>
  <si>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</si>
  <si>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</si>
  <si>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</si>
  <si>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The Prisoner of Zenda 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</si>
  <si>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</si>
  <si>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</si>
  <si>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</si>
  <si>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</si>
  <si>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</si>
  <si>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</si>
  <si>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Richard Johnson</t>
  </si>
  <si>
    <t>Sheila Hancock</t>
  </si>
  <si>
    <t>Cara Horgan</t>
  </si>
  <si>
    <t>The Boy in the Striped Pajamas </t>
  </si>
  <si>
    <t>boy|fence|jew|nazis|poison gas</t>
  </si>
  <si>
    <t>http://www.imdb.com/title/tt0914798/?ref_=fn_tt_tt_1</t>
  </si>
  <si>
    <t>Crime|Drama|Musical</t>
  </si>
  <si>
    <t>Björk</t>
  </si>
  <si>
    <t>Dancer in the Dark 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</si>
  <si>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</si>
  <si>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</si>
  <si>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</si>
  <si>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</si>
  <si>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</si>
  <si>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</si>
  <si>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</si>
  <si>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</si>
  <si>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</si>
  <si>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</si>
  <si>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</si>
  <si>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</si>
  <si>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</si>
  <si>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</si>
  <si>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</si>
  <si>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</si>
  <si>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</si>
  <si>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</si>
  <si>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Christian Campbell</t>
  </si>
  <si>
    <t>Casino Jack </t>
  </si>
  <si>
    <t>corruption|lobbyist|murder|washington d.c.|washington d.c. lobbyist</t>
  </si>
  <si>
    <t>http://www.imdb.com/title/tt1194417/?ref_=fn_tt_tt_1</t>
  </si>
  <si>
    <t>Gabriel Damon</t>
  </si>
  <si>
    <t>Bill Erwin</t>
  </si>
  <si>
    <t>The Land Before Time </t>
  </si>
  <si>
    <t>brontosaurus|classical music|dinosaur|dinosaur feature|earthquake</t>
  </si>
  <si>
    <t>http://www.imdb.com/title/tt0095489/?ref_=fn_tt_tt_1</t>
  </si>
  <si>
    <t>Je-kyu Kang</t>
  </si>
  <si>
    <t>Min-sik Choi</t>
  </si>
  <si>
    <t>Bin Won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</si>
  <si>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</si>
  <si>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</si>
  <si>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</si>
  <si>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</si>
  <si>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</si>
  <si>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</si>
  <si>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</si>
  <si>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Lee J. Cobb</t>
  </si>
  <si>
    <t>The Exorcist 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</si>
  <si>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</si>
  <si>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</si>
  <si>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</si>
  <si>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</si>
  <si>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</si>
  <si>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</si>
  <si>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</si>
  <si>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</si>
  <si>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</si>
  <si>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</si>
  <si>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</si>
  <si>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Lambert Wilson</t>
  </si>
  <si>
    <t>Ernest &amp; Celestine 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</si>
  <si>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</si>
  <si>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</si>
  <si>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</si>
  <si>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</si>
  <si>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The Golden Child 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</si>
  <si>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</si>
  <si>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</si>
  <si>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</si>
  <si>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</si>
  <si>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</si>
  <si>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</si>
  <si>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</si>
  <si>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</si>
  <si>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</si>
  <si>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</si>
  <si>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</si>
  <si>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</si>
  <si>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</si>
  <si>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</si>
  <si>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</si>
  <si>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Ally Sheedy</t>
  </si>
  <si>
    <t>WarGames 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</si>
  <si>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</si>
  <si>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</si>
  <si>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</si>
  <si>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</si>
  <si>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</si>
  <si>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</si>
  <si>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Action|Adventure|Drama|Thriller|War</t>
  </si>
  <si>
    <t>Alex Veadov</t>
  </si>
  <si>
    <t>Jason Cottle</t>
  </si>
  <si>
    <t>Rorke Denver</t>
  </si>
  <si>
    <t>Act of Valor </t>
  </si>
  <si>
    <t>mission|navy seal|terrorist|torture|valor</t>
  </si>
  <si>
    <t>http://www.imdb.com/title/tt1591479/?ref_=fn_tt_tt_1</t>
  </si>
  <si>
    <t>Crime|Drama|Music|Romance</t>
  </si>
  <si>
    <t>Josh Henderson</t>
  </si>
  <si>
    <t>Step Up 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</si>
  <si>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</si>
  <si>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</si>
  <si>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</si>
  <si>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</si>
  <si>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</si>
  <si>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</si>
  <si>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</si>
  <si>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</si>
  <si>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</si>
  <si>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</si>
  <si>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</si>
  <si>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</si>
  <si>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</si>
  <si>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</si>
  <si>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Ashley Hinshaw</t>
  </si>
  <si>
    <t>Chronicle </t>
  </si>
  <si>
    <t>found footage|high school|subjective camera|teen angst|troubled teen</t>
  </si>
  <si>
    <t>http://www.imdb.com/title/tt1706593/?ref_=fn_tt_tt_1</t>
  </si>
  <si>
    <t>Amy Irving</t>
  </si>
  <si>
    <t>Steven Hill</t>
  </si>
  <si>
    <t>Yentl 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</si>
  <si>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</si>
  <si>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</si>
  <si>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</si>
  <si>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</si>
  <si>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</si>
  <si>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</si>
  <si>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</si>
  <si>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Britney Spears</t>
  </si>
  <si>
    <t>Katherine Boecher</t>
  </si>
  <si>
    <t>Dave Allen</t>
  </si>
  <si>
    <t>Crossroads 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</si>
  <si>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</si>
  <si>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</si>
  <si>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</si>
  <si>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</si>
  <si>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</si>
  <si>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Project X 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</si>
  <si>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</si>
  <si>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</si>
  <si>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</si>
  <si>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</si>
  <si>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Patton 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</si>
  <si>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</si>
  <si>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</si>
  <si>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</si>
  <si>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</si>
  <si>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</si>
  <si>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</si>
  <si>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</si>
  <si>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</si>
  <si>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</si>
  <si>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</si>
  <si>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</si>
  <si>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</si>
  <si>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</si>
  <si>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</si>
  <si>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</si>
  <si>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</si>
  <si>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</si>
  <si>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</si>
  <si>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</si>
  <si>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</si>
  <si>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</si>
  <si>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</si>
  <si>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Comedy|Drama|Family|Fantasy|Musical</t>
  </si>
  <si>
    <t>Jerry Nelson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</si>
  <si>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</si>
  <si>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</si>
  <si>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</si>
  <si>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</si>
  <si>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</si>
  <si>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</si>
  <si>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</si>
  <si>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Lexie Contursi</t>
  </si>
  <si>
    <t>Ashley Ashida Dixon</t>
  </si>
  <si>
    <t>Anthony Burrell</t>
  </si>
  <si>
    <t>Katy Perry: Part of Me </t>
  </si>
  <si>
    <t>female protagonist|reference to britney spears|singer|song|world tour</t>
  </si>
  <si>
    <t>http://www.imdb.com/title/tt2215719/?ref_=fn_tt_tt_1</t>
  </si>
  <si>
    <t>Josh Boone</t>
  </si>
  <si>
    <t>Nat Wolff</t>
  </si>
  <si>
    <t>The Fault in Our Stars 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</si>
  <si>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</si>
  <si>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</si>
  <si>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</si>
  <si>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</si>
  <si>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</si>
  <si>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</si>
  <si>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</si>
  <si>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</si>
  <si>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Talia Shire</t>
  </si>
  <si>
    <t>Richard Dysart</t>
  </si>
  <si>
    <t>Robert Foxworth</t>
  </si>
  <si>
    <t>Prophecy </t>
  </si>
  <si>
    <t>cabin|monster|monster movie|paper mill|pollution</t>
  </si>
  <si>
    <t>http://www.imdb.com/title/tt0079758/?ref_=fn_tt_tt_1</t>
  </si>
  <si>
    <t>Kathryn Erbe</t>
  </si>
  <si>
    <t>Lusia Strus</t>
  </si>
  <si>
    <t>Stir of Echoes </t>
  </si>
  <si>
    <t>disappearance|hearing voices|hypnosis|post hypnotic suggestion|seeing a ghost</t>
  </si>
  <si>
    <t>http://www.imdb.com/title/tt0164181/?ref_=fn_tt_tt_1</t>
  </si>
  <si>
    <t>Action|Adventure|Biography|Drama|History</t>
  </si>
  <si>
    <t>Kelvin Taylor</t>
  </si>
  <si>
    <t>Viva Bianca</t>
  </si>
  <si>
    <t>Spartacus: War of the Damned 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</si>
  <si>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</si>
  <si>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</si>
  <si>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</si>
  <si>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</si>
  <si>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Philomena 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</si>
  <si>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</si>
  <si>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</si>
  <si>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</si>
  <si>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</si>
  <si>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</si>
  <si>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</si>
  <si>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</si>
  <si>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</si>
  <si>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Tammin Sursok</t>
  </si>
  <si>
    <t>Joanna 'JoJo' Levesque</t>
  </si>
  <si>
    <t>Dichen Lachman</t>
  </si>
  <si>
    <t>Aquamarine </t>
  </si>
  <si>
    <t>beach|love|mermaid|storm|swimming</t>
  </si>
  <si>
    <t>http://www.imdb.com/title/tt0429591/?ref_=fn_tt_tt_1</t>
  </si>
  <si>
    <t>Jake Schreier</t>
  </si>
  <si>
    <t>Meg Crosbie</t>
  </si>
  <si>
    <t>Paper Towns 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</si>
  <si>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</si>
  <si>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</si>
  <si>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</si>
  <si>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</si>
  <si>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</si>
  <si>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</si>
  <si>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</si>
  <si>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</si>
  <si>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</si>
  <si>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</si>
  <si>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</si>
  <si>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</si>
  <si>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</si>
  <si>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</si>
  <si>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</si>
  <si>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</si>
  <si>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</si>
  <si>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</si>
  <si>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</si>
  <si>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</si>
  <si>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</si>
  <si>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</si>
  <si>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</si>
  <si>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</si>
  <si>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Lark Voorhies</t>
  </si>
  <si>
    <t>How to Be a Player 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</si>
  <si>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</si>
  <si>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</si>
  <si>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</si>
  <si>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</si>
  <si>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</si>
  <si>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</si>
  <si>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</si>
  <si>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</si>
  <si>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Bill Irwin</t>
  </si>
  <si>
    <t>Rachel Getting Married </t>
  </si>
  <si>
    <t>12 step program|friend|maid of honor|tears|wedding</t>
  </si>
  <si>
    <t>http://www.imdb.com/title/tt1084950/?ref_=fn_tt_tt_1</t>
  </si>
  <si>
    <t>John Colicos</t>
  </si>
  <si>
    <t>The Postman Always Rings Twice 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</si>
  <si>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</si>
  <si>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</si>
  <si>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</si>
  <si>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</si>
  <si>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</si>
  <si>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Adventure|Drama|Thriller|War</t>
  </si>
  <si>
    <t>Martin Semmelrogge</t>
  </si>
  <si>
    <t>Herbert Grönemeyer</t>
  </si>
  <si>
    <t>Das Boot 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</si>
  <si>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</si>
  <si>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</si>
  <si>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</si>
  <si>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</si>
  <si>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</si>
  <si>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</si>
  <si>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</si>
  <si>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</si>
  <si>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</si>
  <si>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</si>
  <si>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Zhengyong Zhang</t>
  </si>
  <si>
    <t>House of Flying Daggers 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</si>
  <si>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</si>
  <si>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</si>
  <si>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</si>
  <si>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</si>
  <si>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</si>
  <si>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</si>
  <si>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</si>
  <si>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Gary Weeks</t>
  </si>
  <si>
    <t>Jonny Weston</t>
  </si>
  <si>
    <t>Sofia Black-D'Elia</t>
  </si>
  <si>
    <t>Project Almanac 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</si>
  <si>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</si>
  <si>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</si>
  <si>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</si>
  <si>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</si>
  <si>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</si>
  <si>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Cadillac Records </t>
  </si>
  <si>
    <t>1950s|jazz|jazz music|sex|title directed by female</t>
  </si>
  <si>
    <t>http://www.imdb.com/title/tt1042877/?ref_=fn_tt_tt_1</t>
  </si>
  <si>
    <t>Scott Alexander</t>
  </si>
  <si>
    <t>Sherman Hemsley</t>
  </si>
  <si>
    <t>Screwed 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</si>
  <si>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</si>
  <si>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</si>
  <si>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</si>
  <si>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</si>
  <si>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</si>
  <si>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</si>
  <si>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</si>
  <si>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</si>
  <si>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</si>
  <si>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</si>
  <si>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</si>
  <si>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</si>
  <si>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</si>
  <si>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</si>
  <si>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</si>
  <si>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</si>
  <si>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</si>
  <si>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</si>
  <si>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Brian Dietzen</t>
  </si>
  <si>
    <t>From Justin to Kelly 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</si>
  <si>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</si>
  <si>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</si>
  <si>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</si>
  <si>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</si>
  <si>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</si>
  <si>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</si>
  <si>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</si>
  <si>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</si>
  <si>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In the Cut </t>
  </si>
  <si>
    <t>blow job|female rear nudity|female removes her clothes|oral sex|three of spades tattoo</t>
  </si>
  <si>
    <t>http://www.imdb.com/title/tt0199626/?ref_=fn_tt_tt_1</t>
  </si>
  <si>
    <t>Samantha Ivers</t>
  </si>
  <si>
    <t>Two Lovers 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</si>
  <si>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</si>
  <si>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</si>
  <si>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</si>
  <si>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</si>
  <si>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</si>
  <si>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</si>
  <si>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</si>
  <si>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</si>
  <si>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</si>
  <si>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</si>
  <si>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</si>
  <si>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</si>
  <si>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</si>
  <si>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The Pursuit of D.B. Cooper 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</si>
  <si>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</si>
  <si>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</si>
  <si>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</si>
  <si>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</si>
  <si>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</si>
  <si>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</si>
  <si>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</si>
  <si>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</si>
  <si>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</si>
  <si>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</si>
  <si>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</si>
  <si>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Toni Servillo</t>
  </si>
  <si>
    <t>Sabrina Ferilli</t>
  </si>
  <si>
    <t>Serena Grandi</t>
  </si>
  <si>
    <t>The Great Beauty 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</si>
  <si>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</si>
  <si>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</si>
  <si>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</si>
  <si>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</si>
  <si>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</si>
  <si>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The Dangerous Lives of Altar Boys 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</si>
  <si>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</si>
  <si>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</si>
  <si>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</si>
  <si>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</si>
  <si>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</si>
  <si>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Stoker 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</si>
  <si>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</si>
  <si>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</si>
  <si>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</si>
  <si>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</si>
  <si>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</si>
  <si>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</si>
  <si>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David Richmond-Peck</t>
  </si>
  <si>
    <t>Erin Boyes</t>
  </si>
  <si>
    <t>Timothy Webber</t>
  </si>
  <si>
    <t>Married Life 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</si>
  <si>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</si>
  <si>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</si>
  <si>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</si>
  <si>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</si>
  <si>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</si>
  <si>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</si>
  <si>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</si>
  <si>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Alicja Bachleda</t>
  </si>
  <si>
    <t>Ondine </t>
  </si>
  <si>
    <t>celtic mythology|cottage|fisherman|irish|selkie</t>
  </si>
  <si>
    <t>http://www.imdb.com/title/tt1235796/?ref_=fn_tt_tt_1</t>
  </si>
  <si>
    <t>Takeshi Kitano</t>
  </si>
  <si>
    <t>James Shigeta</t>
  </si>
  <si>
    <t>Brother </t>
  </si>
  <si>
    <t>gang|gangster|subjective camera|written and directed by cast member|yakuza</t>
  </si>
  <si>
    <t>http://www.imdb.com/title/tt0222851/?ref_=fn_tt_tt_1</t>
  </si>
  <si>
    <t>Andy Davoli</t>
  </si>
  <si>
    <t>Welcome to Collinwood 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</si>
  <si>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</si>
  <si>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</si>
  <si>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</si>
  <si>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</si>
  <si>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</si>
  <si>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</si>
  <si>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</si>
  <si>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</si>
  <si>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</si>
  <si>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</si>
  <si>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</si>
  <si>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</si>
  <si>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</si>
  <si>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</si>
  <si>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</si>
  <si>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</si>
  <si>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Marcell Nagy</t>
  </si>
  <si>
    <t>Péter Fancsikai</t>
  </si>
  <si>
    <t>Bálint Péntek</t>
  </si>
  <si>
    <t>Fateless 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</si>
  <si>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</si>
  <si>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</si>
  <si>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</si>
  <si>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</si>
  <si>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</si>
  <si>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</si>
  <si>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</si>
  <si>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</si>
  <si>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Dahong Ni</t>
  </si>
  <si>
    <t>A Woman, a Gun and a Noodle Shop 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</si>
  <si>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</si>
  <si>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</si>
  <si>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</si>
  <si>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</si>
  <si>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</si>
  <si>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</si>
  <si>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</si>
  <si>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</si>
  <si>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</si>
  <si>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City of Life and Death </t>
  </si>
  <si>
    <t>atrocity|battle|chinese|horseback riding|martial arts</t>
  </si>
  <si>
    <t>http://www.imdb.com/title/tt1124052/?ref_=fn_tt_tt_1</t>
  </si>
  <si>
    <t>Lijun Sun</t>
  </si>
  <si>
    <t>Rebecca Black</t>
  </si>
  <si>
    <t>Legend of Kung Fu Rabbit 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</si>
  <si>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</si>
  <si>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</si>
  <si>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</si>
  <si>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</si>
  <si>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</si>
  <si>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Space Battleship Yamato </t>
  </si>
  <si>
    <t>alien|battleship|message|radiation|yamato</t>
  </si>
  <si>
    <t>http://www.imdb.com/title/tt1477109/?ref_=fn_tt_tt_1</t>
  </si>
  <si>
    <t>Kenneth Cranham</t>
  </si>
  <si>
    <t>Ana Imnadze</t>
  </si>
  <si>
    <t>5 Days of War </t>
  </si>
  <si>
    <t>cameraman|epic battle|journalist|south ossetia|street shootout</t>
  </si>
  <si>
    <t>http://www.imdb.com/title/tt1486193/?ref_=fn_tt_tt_1</t>
  </si>
  <si>
    <t>Georgia</t>
  </si>
  <si>
    <t>Christopher Smith</t>
  </si>
  <si>
    <t>Fantasy|Mystery|Thriller</t>
  </si>
  <si>
    <t>Rachael Carpani</t>
  </si>
  <si>
    <t>Michael Dorman</t>
  </si>
  <si>
    <t>Emma Lung</t>
  </si>
  <si>
    <t>Triangle 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</si>
  <si>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</si>
  <si>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</si>
  <si>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</si>
  <si>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</si>
  <si>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</si>
  <si>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10 Days in a Madhouse 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</si>
  <si>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</si>
  <si>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</si>
  <si>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</si>
  <si>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</si>
  <si>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</si>
  <si>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</si>
  <si>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</si>
  <si>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</si>
  <si>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</si>
  <si>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Family|Musical</t>
  </si>
  <si>
    <t>Gary Daniels</t>
  </si>
  <si>
    <t>Matt Marr</t>
  </si>
  <si>
    <t>Ginger Jensen</t>
  </si>
  <si>
    <t>Dancin' It's On </t>
  </si>
  <si>
    <t>http://www.imdb.com/title/tt2598580/?ref_=fn_tt_tt_1</t>
  </si>
  <si>
    <t>Denise Crosby</t>
  </si>
  <si>
    <t>Pet Sematary </t>
  </si>
  <si>
    <t>cat|cemetery|maine|secret|woods</t>
  </si>
  <si>
    <t>http://www.imdb.com/title/tt0098084/?ref_=fn_tt_tt_1</t>
  </si>
  <si>
    <t>Akira Kurosawa</t>
  </si>
  <si>
    <t>Tatsuo Matsumura</t>
  </si>
  <si>
    <t>Tetsu Watanabe</t>
  </si>
  <si>
    <t>Akira Terao</t>
  </si>
  <si>
    <t>Madadayo 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</si>
  <si>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</si>
  <si>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</si>
  <si>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</si>
  <si>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</si>
  <si>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</si>
  <si>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</si>
  <si>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</si>
  <si>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</si>
  <si>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</si>
  <si>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A Tale of Three Cities </t>
  </si>
  <si>
    <t>http://www.imdb.com/title/tt3682770/?ref_=fn_tt_tt_1</t>
  </si>
  <si>
    <t>Harry Carey Jr.</t>
  </si>
  <si>
    <t>Zach Galligan</t>
  </si>
  <si>
    <t>Gremlins 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</si>
  <si>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</si>
  <si>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</si>
  <si>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</si>
  <si>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</si>
  <si>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</si>
  <si>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</si>
  <si>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</si>
  <si>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Jason Mantzoukas</t>
  </si>
  <si>
    <t>Dirty Grandpa 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</si>
  <si>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</si>
  <si>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</si>
  <si>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</si>
  <si>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</si>
  <si>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</si>
  <si>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</si>
  <si>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Adventure|Crime|Drama|Mystery|Thriller</t>
  </si>
  <si>
    <t>Wagner Moura</t>
  </si>
  <si>
    <t>Selton Mello</t>
  </si>
  <si>
    <t>Daniel Zettel</t>
  </si>
  <si>
    <t>Trash 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</si>
  <si>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</si>
  <si>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</si>
  <si>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</si>
  <si>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</si>
  <si>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</si>
  <si>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</si>
  <si>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</si>
  <si>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</si>
  <si>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</si>
  <si>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</si>
  <si>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</si>
  <si>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</si>
  <si>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</si>
  <si>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Lane Smith</t>
  </si>
  <si>
    <t>My Cousin Vinny 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</si>
  <si>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</si>
  <si>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</si>
  <si>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</si>
  <si>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</si>
  <si>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</si>
  <si>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</si>
  <si>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</si>
  <si>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</si>
  <si>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</si>
  <si>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Drive Hard 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</si>
  <si>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</si>
  <si>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</si>
  <si>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</si>
  <si>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</si>
  <si>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</si>
  <si>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</si>
  <si>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</si>
  <si>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</si>
  <si>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</si>
  <si>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</si>
  <si>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</si>
  <si>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</si>
  <si>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</si>
  <si>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</si>
  <si>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</si>
  <si>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</si>
  <si>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Robert Prosky</t>
  </si>
  <si>
    <t>Dead Man Walking </t>
  </si>
  <si>
    <t>death|execution|nun|solitary confinement|visit</t>
  </si>
  <si>
    <t>http://www.imdb.com/title/tt0112818/?ref_=fn_tt_tt_1</t>
  </si>
  <si>
    <t>Eric Mabius</t>
  </si>
  <si>
    <t>Cruel Intentions </t>
  </si>
  <si>
    <t>bet|revenge|seduction|virgin|wager</t>
  </si>
  <si>
    <t>http://www.imdb.com/title/tt0139134/?ref_=fn_tt_tt_1</t>
  </si>
  <si>
    <t>Shawnee Smith</t>
  </si>
  <si>
    <t>George Newbern</t>
  </si>
  <si>
    <t>Saw VI 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</si>
  <si>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</si>
  <si>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</si>
  <si>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</si>
  <si>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</si>
  <si>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</si>
  <si>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</si>
  <si>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</si>
  <si>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</si>
  <si>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</si>
  <si>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</si>
  <si>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</si>
  <si>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</si>
  <si>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</si>
  <si>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</si>
  <si>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Steven Bauer</t>
  </si>
  <si>
    <t>Gabrielle Carteris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</si>
  <si>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</si>
  <si>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</si>
  <si>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</si>
  <si>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</si>
  <si>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</si>
  <si>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</si>
  <si>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Louise Fletcher</t>
  </si>
  <si>
    <t>Bud Cort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</si>
  <si>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</si>
  <si>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</si>
  <si>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</si>
  <si>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</si>
  <si>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</si>
  <si>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</si>
  <si>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Brooklyn </t>
  </si>
  <si>
    <t>1950s|immigrant|irish|irish accent|torn between two worlds</t>
  </si>
  <si>
    <t>http://www.imdb.com/title/tt2381111/?ref_=fn_tt_tt_1</t>
  </si>
  <si>
    <t>Adventure|Drama|History|War</t>
  </si>
  <si>
    <t>Hardy Krüger</t>
  </si>
  <si>
    <t>Barry Lyndon 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</si>
  <si>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</si>
  <si>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</si>
  <si>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</si>
  <si>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</si>
  <si>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</si>
  <si>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</si>
  <si>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</si>
  <si>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</si>
  <si>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</si>
  <si>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</si>
  <si>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</si>
  <si>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</si>
  <si>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Quartet 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</si>
  <si>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</si>
  <si>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</si>
  <si>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</si>
  <si>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</si>
  <si>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</si>
  <si>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</si>
  <si>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</si>
  <si>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</si>
  <si>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</si>
  <si>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</si>
  <si>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</si>
  <si>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</si>
  <si>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</si>
  <si>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</si>
  <si>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</si>
  <si>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</si>
  <si>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</si>
  <si>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</si>
  <si>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</si>
  <si>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</si>
  <si>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</si>
  <si>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Jim Rash</t>
  </si>
  <si>
    <t>Slackers </t>
  </si>
  <si>
    <t>blackmail|fall|love|nerd|scam</t>
  </si>
  <si>
    <t>http://www.imdb.com/title/tt0240900/?ref_=fn_tt_tt_1</t>
  </si>
  <si>
    <t>Kevin Tighe</t>
  </si>
  <si>
    <t>What's Eating Gilbert Grape 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</si>
  <si>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</si>
  <si>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</si>
  <si>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</si>
  <si>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</si>
  <si>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</si>
  <si>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The Visual Bible: The Gospel of John 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</si>
  <si>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</si>
  <si>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</si>
  <si>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</si>
  <si>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</si>
  <si>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</si>
  <si>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Jimi Mistry</t>
  </si>
  <si>
    <t>The Guru 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</si>
  <si>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</si>
  <si>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</si>
  <si>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</si>
  <si>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</si>
  <si>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</si>
  <si>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Alex Karpovsky</t>
  </si>
  <si>
    <t>Inside Llewyn Davis 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</si>
  <si>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</si>
  <si>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</si>
  <si>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</si>
  <si>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</si>
  <si>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</si>
  <si>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</si>
  <si>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</si>
  <si>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</si>
  <si>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Return to the Blue Lagoon </t>
  </si>
  <si>
    <t>baby|desert island|island|sequel|teenage girl</t>
  </si>
  <si>
    <t>http://www.imdb.com/title/tt0102782/?ref_=fn_tt_tt_1</t>
  </si>
  <si>
    <t>Martin Ritt</t>
  </si>
  <si>
    <t>Samantha Eggar</t>
  </si>
  <si>
    <t>The Molly Maguires 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</si>
  <si>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</si>
  <si>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</si>
  <si>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</si>
  <si>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</si>
  <si>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</si>
  <si>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</si>
  <si>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</si>
  <si>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Phyllida Law</t>
  </si>
  <si>
    <t>David Kennedy</t>
  </si>
  <si>
    <t>Angus Barnett</t>
  </si>
  <si>
    <t>Copying Beethoven </t>
  </si>
  <si>
    <t>music copyist|music student|musical composition|student|symphony</t>
  </si>
  <si>
    <t>http://www.imdb.com/title/tt0424908/?ref_=fn_tt_tt_1</t>
  </si>
  <si>
    <t>Geoff Bell</t>
  </si>
  <si>
    <t>Brighton Rock </t>
  </si>
  <si>
    <t>brighton|catholic|gang|prayer|waitress</t>
  </si>
  <si>
    <t>http://www.imdb.com/title/tt1233192/?ref_=fn_tt_tt_1</t>
  </si>
  <si>
    <t>David Hackl</t>
  </si>
  <si>
    <t>Scott Patterson</t>
  </si>
  <si>
    <t>Saw V 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</si>
  <si>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</si>
  <si>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</si>
  <si>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</si>
  <si>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</si>
  <si>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</si>
  <si>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Machine Gun McCain 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</si>
  <si>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</si>
  <si>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</si>
  <si>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</si>
  <si>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</si>
  <si>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</si>
  <si>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LOL </t>
  </si>
  <si>
    <t>best friend|girl in panties|high school|high school romance|pink panties</t>
  </si>
  <si>
    <t>http://www.imdb.com/title/tt1592873/?ref_=fn_tt_tt_1</t>
  </si>
  <si>
    <t>Ray Lawrence</t>
  </si>
  <si>
    <t>John Howard</t>
  </si>
  <si>
    <t>Deborra-Lee Furness</t>
  </si>
  <si>
    <t>Max Cullen</t>
  </si>
  <si>
    <t>Jindabyne </t>
  </si>
  <si>
    <t>camp|fishing|fishing trip|river|town</t>
  </si>
  <si>
    <t>http://www.imdb.com/title/tt0382765/?ref_=fn_tt_tt_1</t>
  </si>
  <si>
    <t>Karan Johar</t>
  </si>
  <si>
    <t>Shah Rukh Khan</t>
  </si>
  <si>
    <t>John Abraham</t>
  </si>
  <si>
    <t>Preity Zinta</t>
  </si>
  <si>
    <t>Kabhi Alvida Naa Kehna 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</si>
  <si>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</si>
  <si>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</si>
  <si>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</si>
  <si>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</si>
  <si>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</si>
  <si>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</si>
  <si>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Tom Cullen</t>
  </si>
  <si>
    <t>The Last Days on Mars </t>
  </si>
  <si>
    <t>alien infection|astronaut|mars|mission|zombie</t>
  </si>
  <si>
    <t>http://www.imdb.com/title/tt1709143/?ref_=fn_tt_tt_1</t>
  </si>
  <si>
    <t>Jaume Balagueró</t>
  </si>
  <si>
    <t>Francesc Pagès</t>
  </si>
  <si>
    <t>Darkness </t>
  </si>
  <si>
    <t>9 year old|blood|gramophone|house|missing children</t>
  </si>
  <si>
    <t>http://www.imdb.com/title/tt0273517/?ref_=fn_tt_tt_1</t>
  </si>
  <si>
    <t>Keir Dullea</t>
  </si>
  <si>
    <t>Gary Lockwood</t>
  </si>
  <si>
    <t>Glenn Beck</t>
  </si>
  <si>
    <t>2001: A Space Odyssey </t>
  </si>
  <si>
    <t>ancient astronaut|famous line|message from outer space|monolith|star child</t>
  </si>
  <si>
    <t>http://www.imdb.com/title/tt0062622/?ref_=fn_tt_tt_1</t>
  </si>
  <si>
    <t>Family|Sci-Fi</t>
  </si>
  <si>
    <t>Dee Wallace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</si>
  <si>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</si>
  <si>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</si>
  <si>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</si>
  <si>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</si>
  <si>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</si>
  <si>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</si>
  <si>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</si>
  <si>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</si>
  <si>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Raoul Max Trujillo</t>
  </si>
  <si>
    <t>The Blue Butterfly 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</si>
  <si>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</si>
  <si>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</si>
  <si>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</si>
  <si>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</si>
  <si>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</si>
  <si>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</si>
  <si>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</si>
  <si>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Antonia Thomas</t>
  </si>
  <si>
    <t>Johnny Flynn</t>
  </si>
  <si>
    <t>Hannah Britland</t>
  </si>
  <si>
    <t>Lovesick </t>
  </si>
  <si>
    <t>blond boy|chlamydia|list|male rear nudity|young couple</t>
  </si>
  <si>
    <t>http://www.imdb.com/title/tt4051832/?ref_=fn_tt_tt_1</t>
  </si>
  <si>
    <t>Sajid Khan</t>
  </si>
  <si>
    <t>Arjun Rampal</t>
  </si>
  <si>
    <t>Boman Irani</t>
  </si>
  <si>
    <t>Riteish Deshmukh</t>
  </si>
  <si>
    <t>Housefull </t>
  </si>
  <si>
    <t>bad luck|casino|lie|mix up|stutter</t>
  </si>
  <si>
    <t>http://www.imdb.com/title/tt1573072/?ref_=fn_tt_tt_1</t>
  </si>
  <si>
    <t>Drama|History|Romance|Western</t>
  </si>
  <si>
    <t>Taylor Handley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</si>
  <si>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</si>
  <si>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</si>
  <si>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</si>
  <si>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</si>
  <si>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</si>
  <si>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</si>
  <si>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</si>
  <si>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</si>
  <si>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</si>
  <si>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Karin Viard</t>
  </si>
  <si>
    <t>Eric Elmosnino</t>
  </si>
  <si>
    <t>François Damiens</t>
  </si>
  <si>
    <t>La Famille Bélier 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</si>
  <si>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</si>
  <si>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</si>
  <si>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</si>
  <si>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</si>
  <si>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</si>
  <si>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</si>
  <si>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Glen Powell</t>
  </si>
  <si>
    <t>Misconduct </t>
  </si>
  <si>
    <t>black panties|lust|sexual attraction|voyeur|voyeurism</t>
  </si>
  <si>
    <t>http://www.imdb.com/title/tt3658772/?ref_=fn_tt_tt_1</t>
  </si>
  <si>
    <t>Darren Lynn Bousman</t>
  </si>
  <si>
    <t>Leigh Whannell</t>
  </si>
  <si>
    <t>Saw III 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</si>
  <si>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</si>
  <si>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</si>
  <si>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</si>
  <si>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</si>
  <si>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</si>
  <si>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Clare Kramer</t>
  </si>
  <si>
    <t>Bring It On 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</si>
  <si>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</si>
  <si>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</si>
  <si>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</si>
  <si>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</si>
  <si>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</si>
  <si>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</si>
  <si>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</si>
  <si>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</si>
  <si>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</si>
  <si>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</si>
  <si>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</si>
  <si>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</si>
  <si>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</si>
  <si>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</si>
  <si>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</si>
  <si>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</si>
  <si>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</si>
  <si>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</si>
  <si>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</si>
  <si>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</si>
  <si>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</si>
  <si>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</si>
  <si>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</si>
  <si>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</si>
  <si>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The Longest Day 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</si>
  <si>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</si>
  <si>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</si>
  <si>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</si>
  <si>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</si>
  <si>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</si>
  <si>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Ted Raimi</t>
  </si>
  <si>
    <t>The Grudge </t>
  </si>
  <si>
    <t>american|curse|japan|nurse|rage</t>
  </si>
  <si>
    <t>http://www.imdb.com/title/tt0391198/?ref_=fn_tt_tt_1</t>
  </si>
  <si>
    <t>Frances Bay</t>
  </si>
  <si>
    <t>Happy Gilmore 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</si>
  <si>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</si>
  <si>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</si>
  <si>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</si>
  <si>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</si>
  <si>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</si>
  <si>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</si>
  <si>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</si>
  <si>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Al Leong</t>
  </si>
  <si>
    <t>Bill &amp; Ted's Excellent Adventure </t>
  </si>
  <si>
    <t>failing student|high school|payphone|teenager|telephone booth</t>
  </si>
  <si>
    <t>http://www.imdb.com/title/tt0096928/?ref_=fn_tt_tt_1</t>
  </si>
  <si>
    <t>Carol Reed</t>
  </si>
  <si>
    <t>Drama|Family|Musical</t>
  </si>
  <si>
    <t>Ron Moody</t>
  </si>
  <si>
    <t>Jack Wild</t>
  </si>
  <si>
    <t>Oliver! 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</si>
  <si>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</si>
  <si>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</si>
  <si>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</si>
  <si>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</si>
  <si>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</si>
  <si>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</si>
  <si>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</si>
  <si>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</si>
  <si>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Recess: School's Out </t>
  </si>
  <si>
    <t>friend|principal|summer|summer camp|summer vacation</t>
  </si>
  <si>
    <t>http://www.imdb.com/title/tt0265632/?ref_=fn_tt_tt_1</t>
  </si>
  <si>
    <t>Tina Turner</t>
  </si>
  <si>
    <t>Angelo Rossitto</t>
  </si>
  <si>
    <t>Mad Max Beyond Thunderdome 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</si>
  <si>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</si>
  <si>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</si>
  <si>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</si>
  <si>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</si>
  <si>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</si>
  <si>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</si>
  <si>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Stephanie Lemelin</t>
  </si>
  <si>
    <t>The Boy 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</si>
  <si>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</si>
  <si>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</si>
  <si>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</si>
  <si>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</si>
  <si>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</si>
  <si>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</si>
  <si>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</si>
  <si>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</si>
  <si>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</si>
  <si>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</si>
  <si>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</si>
  <si>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</si>
  <si>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</si>
  <si>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</si>
  <si>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Action|Comedy|Drama|Music</t>
  </si>
  <si>
    <t>Vanity</t>
  </si>
  <si>
    <t>The Last Dragon </t>
  </si>
  <si>
    <t>cult film|kung fu|kung fu classic|martial arts|title spoken by character</t>
  </si>
  <si>
    <t>http://www.imdb.com/title/tt0089461/?ref_=fn_tt_tt_1</t>
  </si>
  <si>
    <t>Jeff Fahey</t>
  </si>
  <si>
    <t>Austin O'Brien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</si>
  <si>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</si>
  <si>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</si>
  <si>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</si>
  <si>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</si>
  <si>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</si>
  <si>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</si>
  <si>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</si>
  <si>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</si>
  <si>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</si>
  <si>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</si>
  <si>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</si>
  <si>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Sal Lopez</t>
  </si>
  <si>
    <t>The Banger Sisters 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</si>
  <si>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</si>
  <si>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</si>
  <si>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</si>
  <si>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</si>
  <si>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</si>
  <si>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</si>
  <si>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</si>
  <si>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</si>
  <si>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</si>
  <si>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</si>
  <si>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</si>
  <si>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</si>
  <si>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</si>
  <si>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</si>
  <si>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</si>
  <si>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</si>
  <si>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</si>
  <si>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</si>
  <si>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</si>
  <si>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</si>
  <si>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</si>
  <si>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</si>
  <si>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</si>
  <si>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Tom Waits</t>
  </si>
  <si>
    <t>The Outsiders 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</si>
  <si>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</si>
  <si>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</si>
  <si>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</si>
  <si>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</si>
  <si>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Pete's Dragon 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</si>
  <si>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</si>
  <si>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</si>
  <si>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</si>
  <si>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</si>
  <si>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</si>
  <si>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</si>
  <si>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Jaden Klein</t>
  </si>
  <si>
    <t>Sinister 2 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</si>
  <si>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</si>
  <si>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</si>
  <si>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</si>
  <si>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</si>
  <si>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</si>
  <si>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</si>
  <si>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Johnny Whitworth</t>
  </si>
  <si>
    <t>Valentine 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</si>
  <si>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</si>
  <si>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</si>
  <si>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</si>
  <si>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</si>
  <si>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</si>
  <si>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</si>
  <si>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</si>
  <si>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</si>
  <si>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</si>
  <si>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</si>
  <si>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</si>
  <si>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</si>
  <si>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</si>
  <si>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</si>
  <si>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</si>
  <si>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</si>
  <si>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Invasion U.S.A. 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</si>
  <si>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</si>
  <si>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</si>
  <si>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</si>
  <si>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</si>
  <si>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</si>
  <si>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</si>
  <si>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</si>
  <si>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</si>
  <si>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</si>
  <si>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</si>
  <si>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</si>
  <si>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</si>
  <si>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Ronald Pickup</t>
  </si>
  <si>
    <t>The Second Best Exotic Marigold Hotel 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</si>
  <si>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</si>
  <si>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</si>
  <si>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</si>
  <si>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</si>
  <si>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</si>
  <si>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</si>
  <si>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</si>
  <si>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</si>
  <si>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</si>
  <si>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Charlie Murphy</t>
  </si>
  <si>
    <t>Mo' Better Blues </t>
  </si>
  <si>
    <t>comeback|friend|jazz|stage|trumpet</t>
  </si>
  <si>
    <t>http://www.imdb.com/title/tt0100168/?ref_=fn_tt_tt_1</t>
  </si>
  <si>
    <t>Simon Rhee</t>
  </si>
  <si>
    <t>Jennifer Tung</t>
  </si>
  <si>
    <t>Kung Pow: Enter the Fist 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</si>
  <si>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</si>
  <si>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</si>
  <si>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</si>
  <si>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</si>
  <si>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Tremors 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</si>
  <si>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</si>
  <si>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</si>
  <si>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</si>
  <si>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</si>
  <si>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</si>
  <si>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</si>
  <si>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</si>
  <si>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</si>
  <si>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</si>
  <si>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</si>
  <si>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</si>
  <si>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</si>
  <si>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</si>
  <si>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</si>
  <si>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</si>
  <si>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</si>
  <si>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</si>
  <si>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</si>
  <si>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</si>
  <si>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Carlos Alazraqui</t>
  </si>
  <si>
    <t>Reno 911!: Miami </t>
  </si>
  <si>
    <t>beach|police|sex scene|spring break|vomiting</t>
  </si>
  <si>
    <t>http://www.imdb.com/title/tt0499554/?ref_=fn_tt_tt_1</t>
  </si>
  <si>
    <t>Morgan Spurlock</t>
  </si>
  <si>
    <t>Harry Styles</t>
  </si>
  <si>
    <t>Zayn Malik</t>
  </si>
  <si>
    <t>Niall Horan</t>
  </si>
  <si>
    <t>One Direction: This Is Us 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</si>
  <si>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</si>
  <si>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</si>
  <si>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</si>
  <si>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</si>
  <si>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</si>
  <si>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</si>
  <si>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</si>
  <si>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</si>
  <si>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</si>
  <si>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</si>
  <si>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</si>
  <si>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</si>
  <si>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</si>
  <si>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</si>
  <si>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</si>
  <si>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</si>
  <si>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</si>
  <si>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</si>
  <si>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</si>
  <si>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</si>
  <si>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</si>
  <si>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</si>
  <si>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</si>
  <si>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</si>
  <si>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</si>
  <si>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Chase Ellison</t>
  </si>
  <si>
    <t>Chad Allen</t>
  </si>
  <si>
    <t>Jack Guzman</t>
  </si>
  <si>
    <t>End of the Spear 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</si>
  <si>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</si>
  <si>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</si>
  <si>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</si>
  <si>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</si>
  <si>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</si>
  <si>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</si>
  <si>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</si>
  <si>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</si>
  <si>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</si>
  <si>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</si>
  <si>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</si>
  <si>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</si>
  <si>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</si>
  <si>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</si>
  <si>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</si>
  <si>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</si>
  <si>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</si>
  <si>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</si>
  <si>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</si>
  <si>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</si>
  <si>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</si>
  <si>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</si>
  <si>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</si>
  <si>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</si>
  <si>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</si>
  <si>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</si>
  <si>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</si>
  <si>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</si>
  <si>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</si>
  <si>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</si>
  <si>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</si>
  <si>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</si>
  <si>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</si>
  <si>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</si>
  <si>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</si>
  <si>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</si>
  <si>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</si>
  <si>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</si>
  <si>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</si>
  <si>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</si>
  <si>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</si>
  <si>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</si>
  <si>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</si>
  <si>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Seeking a Friend for the End of the World 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</si>
  <si>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</si>
  <si>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</si>
  <si>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</si>
  <si>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</si>
  <si>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</si>
  <si>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</si>
  <si>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Tamara Taylor</t>
  </si>
  <si>
    <t>Bones 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</si>
  <si>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</si>
  <si>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</si>
  <si>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</si>
  <si>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</si>
  <si>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</si>
  <si>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</si>
  <si>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</si>
  <si>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</si>
  <si>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The Collection 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</si>
  <si>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</si>
  <si>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</si>
  <si>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</si>
  <si>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</si>
  <si>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</si>
  <si>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</si>
  <si>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</si>
  <si>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Drama|Music|Mystery|Romance</t>
  </si>
  <si>
    <t>Johannes Silberschneider</t>
  </si>
  <si>
    <t>Clotilde Mollet</t>
  </si>
  <si>
    <t>Carlo Cecchi</t>
  </si>
  <si>
    <t>The Red Violin 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</si>
  <si>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</si>
  <si>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</si>
  <si>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</si>
  <si>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</si>
  <si>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</si>
  <si>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</si>
  <si>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</si>
  <si>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</si>
  <si>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</si>
  <si>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</si>
  <si>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</si>
  <si>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</si>
  <si>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</si>
  <si>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</si>
  <si>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</si>
  <si>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</si>
  <si>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</si>
  <si>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Run, Fatboy, Run 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</si>
  <si>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</si>
  <si>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</si>
  <si>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</si>
  <si>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</si>
  <si>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</si>
  <si>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</si>
  <si>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Jillian Estell</t>
  </si>
  <si>
    <t>Black or White 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</si>
  <si>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</si>
  <si>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</si>
  <si>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</si>
  <si>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</si>
  <si>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</si>
  <si>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</si>
  <si>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Adventure|Biography|Drama|War</t>
  </si>
  <si>
    <t>Toby Huss</t>
  </si>
  <si>
    <t>François Chau</t>
  </si>
  <si>
    <t>Rescue Dawn 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</si>
  <si>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</si>
  <si>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</si>
  <si>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</si>
  <si>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</si>
  <si>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</si>
  <si>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</si>
  <si>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</si>
  <si>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</si>
  <si>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</si>
  <si>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</si>
  <si>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</si>
  <si>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</si>
  <si>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Flavio Parenti</t>
  </si>
  <si>
    <t>Waris Ahluwalia</t>
  </si>
  <si>
    <t>Alba Rohrwacher</t>
  </si>
  <si>
    <t>I Am Love 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</si>
  <si>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</si>
  <si>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</si>
  <si>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</si>
  <si>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</si>
  <si>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</si>
  <si>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</si>
  <si>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</si>
  <si>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</si>
  <si>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</si>
  <si>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</si>
  <si>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</si>
  <si>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</si>
  <si>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</si>
  <si>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</si>
  <si>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</si>
  <si>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</si>
  <si>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</si>
  <si>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</si>
  <si>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</si>
  <si>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</si>
  <si>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</si>
  <si>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</si>
  <si>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Dennis Burkley</t>
  </si>
  <si>
    <t>Malone 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</si>
  <si>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</si>
  <si>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</si>
  <si>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</si>
  <si>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</si>
  <si>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</si>
  <si>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</si>
  <si>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</si>
  <si>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</si>
  <si>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</si>
  <si>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</si>
  <si>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</si>
  <si>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</si>
  <si>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</si>
  <si>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</si>
  <si>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</si>
  <si>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Eoin Macken</t>
  </si>
  <si>
    <t>Stephanie Vogt</t>
  </si>
  <si>
    <t>Gen Seto</t>
  </si>
  <si>
    <t>The Forest 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</si>
  <si>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</si>
  <si>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</si>
  <si>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</si>
  <si>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</si>
  <si>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</si>
  <si>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</si>
  <si>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</si>
  <si>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</si>
  <si>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While We're Young 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</si>
  <si>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</si>
  <si>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</si>
  <si>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</si>
  <si>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</si>
  <si>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A Better Life 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</si>
  <si>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</si>
  <si>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</si>
  <si>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</si>
  <si>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</si>
  <si>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</si>
  <si>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</si>
  <si>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</si>
  <si>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</si>
  <si>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</si>
  <si>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</si>
  <si>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</si>
  <si>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</si>
  <si>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</si>
  <si>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</si>
  <si>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</si>
  <si>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</si>
  <si>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Naseeruddin Shah</t>
  </si>
  <si>
    <t>Rekha</t>
  </si>
  <si>
    <t>Sharat Saxena</t>
  </si>
  <si>
    <t>Krrish 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</si>
  <si>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</si>
  <si>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</si>
  <si>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</si>
  <si>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</si>
  <si>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</si>
  <si>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</si>
  <si>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</si>
  <si>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Killer Joe </t>
  </si>
  <si>
    <t>female nudity|female pubic hair|lingerie|neo noir|pubic hair</t>
  </si>
  <si>
    <t>http://www.imdb.com/title/tt1726669/?ref_=fn_tt_tt_1</t>
  </si>
  <si>
    <t>Derrick Borte</t>
  </si>
  <si>
    <t>Robert Pralgo</t>
  </si>
  <si>
    <t>The Joneses 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</si>
  <si>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</si>
  <si>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</si>
  <si>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</si>
  <si>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</si>
  <si>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</si>
  <si>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</si>
  <si>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</si>
  <si>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</si>
  <si>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</si>
  <si>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</si>
  <si>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</si>
  <si>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Adriane Lenox</t>
  </si>
  <si>
    <t>My Blueberry Nights </t>
  </si>
  <si>
    <t>blueberry pie|diner|nevada|new york city|pie</t>
  </si>
  <si>
    <t>http://www.imdb.com/title/tt0765120/?ref_=fn_tt_tt_1</t>
  </si>
  <si>
    <t>George DiCenzo</t>
  </si>
  <si>
    <t>Illuminata 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</si>
  <si>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</si>
  <si>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</si>
  <si>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</si>
  <si>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</si>
  <si>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</si>
  <si>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</si>
  <si>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</si>
  <si>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</si>
  <si>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</si>
  <si>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</si>
  <si>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</si>
  <si>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</si>
  <si>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</si>
  <si>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</si>
  <si>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</si>
  <si>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Anna Vareschi</t>
  </si>
  <si>
    <t>The Brown Bunny 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</si>
  <si>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</si>
  <si>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</si>
  <si>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</si>
  <si>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</si>
  <si>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The Swindle </t>
  </si>
  <si>
    <t>con|con artist|money|scam|sils maria</t>
  </si>
  <si>
    <t>http://www.imdb.com/title/tt0120018/?ref_=fn_tt_tt_1</t>
  </si>
  <si>
    <t>Numan Acar</t>
  </si>
  <si>
    <t>Claire Foy</t>
  </si>
  <si>
    <t>Haluk Bilginer</t>
  </si>
  <si>
    <t>Rosewater 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</si>
  <si>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</si>
  <si>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</si>
  <si>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</si>
  <si>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</si>
  <si>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Romane Bohringer</t>
  </si>
  <si>
    <t>The Chambermaid on the Titanic </t>
  </si>
  <si>
    <t>foundry|foundry worker|french|friend|titanic</t>
  </si>
  <si>
    <t>http://www.imdb.com/title/tt0129923/?ref_=fn_tt_tt_1</t>
  </si>
  <si>
    <t>Ralph Fiennes</t>
  </si>
  <si>
    <t>Lubna Azabal</t>
  </si>
  <si>
    <t>Coriolanus 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</si>
  <si>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</si>
  <si>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</si>
  <si>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</si>
  <si>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</si>
  <si>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</si>
  <si>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Imaginary Heroes </t>
  </si>
  <si>
    <t>cat|christmas song|lawn mowing|leave of absence|medication</t>
  </si>
  <si>
    <t>http://www.imdb.com/title/tt0373024/?ref_=fn_tt_tt_1</t>
  </si>
  <si>
    <t>Mel Smith</t>
  </si>
  <si>
    <t>Action|Comedy|Drama</t>
  </si>
  <si>
    <t>Danny Dyer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</si>
  <si>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</si>
  <si>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</si>
  <si>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</si>
  <si>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</si>
  <si>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</si>
  <si>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</si>
  <si>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</si>
  <si>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Laura Harris</t>
  </si>
  <si>
    <t>Severance 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</si>
  <si>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</si>
  <si>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</si>
  <si>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</si>
  <si>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</si>
  <si>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</si>
  <si>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</si>
  <si>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</si>
  <si>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Kerry Cahill</t>
  </si>
  <si>
    <t>Welcome to the Rileys 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</si>
  <si>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</si>
  <si>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</si>
  <si>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</si>
  <si>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</si>
  <si>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</si>
  <si>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</si>
  <si>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Lee Norris</t>
  </si>
  <si>
    <t>Blood Done Sign My Name 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</si>
  <si>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</si>
  <si>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</si>
  <si>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</si>
  <si>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</si>
  <si>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Andrés Montiel</t>
  </si>
  <si>
    <t>William Miller</t>
  </si>
  <si>
    <t>Cinco de Mayo, La Batalla 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</si>
  <si>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</si>
  <si>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</si>
  <si>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</si>
  <si>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</si>
  <si>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</si>
  <si>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</si>
  <si>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</si>
  <si>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</si>
  <si>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</si>
  <si>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</si>
  <si>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</si>
  <si>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</si>
  <si>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</si>
  <si>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</si>
  <si>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</si>
  <si>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</si>
  <si>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</si>
  <si>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</si>
  <si>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</si>
  <si>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</si>
  <si>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</si>
  <si>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</si>
  <si>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Sandra Echeverría</t>
  </si>
  <si>
    <t>Free Style </t>
  </si>
  <si>
    <t>http://www.imdb.com/title/tt1128071/?ref_=fn_tt_tt_1</t>
  </si>
  <si>
    <t>Kim Farrant</t>
  </si>
  <si>
    <t>Nicholas Hamilton</t>
  </si>
  <si>
    <t>Reef Ireland</t>
  </si>
  <si>
    <t>Sean Keenan</t>
  </si>
  <si>
    <t>Strangerland </t>
  </si>
  <si>
    <t>australian|desert|mother daughter relationship|mother son relationship|promiscuity</t>
  </si>
  <si>
    <t>http://www.imdb.com/title/tt2325977/?ref_=fn_tt_tt_1</t>
  </si>
  <si>
    <t>Glenn Plummer</t>
  </si>
  <si>
    <t>The Janky Promoters </t>
  </si>
  <si>
    <t>bigger dreams|concert promoter|hotel maid|pep talk|rap concert</t>
  </si>
  <si>
    <t>http://www.imdb.com/title/tt1210071/?ref_=fn_tt_tt_1</t>
  </si>
  <si>
    <t>Scott Marshall</t>
  </si>
  <si>
    <t>Drew Fuller</t>
  </si>
  <si>
    <t>Drew Waters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</si>
  <si>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</si>
  <si>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</si>
  <si>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</si>
  <si>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</si>
  <si>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</si>
  <si>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Danny Sapani</t>
  </si>
  <si>
    <t>The Oxford Murders </t>
  </si>
  <si>
    <t>landlady|lecture|murder|oxford university|symbol</t>
  </si>
  <si>
    <t>http://www.imdb.com/title/tt0488604/?ref_=fn_tt_tt_1</t>
  </si>
  <si>
    <t>Andrew Traucki</t>
  </si>
  <si>
    <t>Damian Walshe-Howling</t>
  </si>
  <si>
    <t>Gyton Grantley</t>
  </si>
  <si>
    <t>Adrienne Pickering</t>
  </si>
  <si>
    <t>The Reef 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</si>
  <si>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</si>
  <si>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</si>
  <si>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</si>
  <si>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</si>
  <si>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</si>
  <si>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</si>
  <si>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Teryl Rothery</t>
  </si>
  <si>
    <t>Craig Fairbrass</t>
  </si>
  <si>
    <t>Adrian Holmes</t>
  </si>
  <si>
    <t>White Noise 2: The Light </t>
  </si>
  <si>
    <t>angry spirit|aura|electronic voice phenomena|electronics|near death experience</t>
  </si>
  <si>
    <t>http://www.imdb.com/title/tt0496436/?ref_=fn_tt_tt_1</t>
  </si>
  <si>
    <t>Robert Adetuyi</t>
  </si>
  <si>
    <t>Shane Pollard</t>
  </si>
  <si>
    <t>Mishael Morgan</t>
  </si>
  <si>
    <t>Chase Armitage</t>
  </si>
  <si>
    <t>You Got Served: Beat the World </t>
  </si>
  <si>
    <t>http://www.imdb.com/title/tt1568139/?ref_=fn_tt_tt_1</t>
  </si>
  <si>
    <t>Kari Skogland</t>
  </si>
  <si>
    <t>Michael McElhatton</t>
  </si>
  <si>
    <t>Fifty Dead Men Walking 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</si>
  <si>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</si>
  <si>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</si>
  <si>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</si>
  <si>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</si>
  <si>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</si>
  <si>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Jungle Shuffle 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</si>
  <si>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</si>
  <si>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</si>
  <si>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</si>
  <si>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</si>
  <si>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</si>
  <si>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</si>
  <si>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</si>
  <si>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Sigríður María Egilsdóttir</t>
  </si>
  <si>
    <t>Of Horses and Men 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</si>
  <si>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</si>
  <si>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</si>
  <si>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</si>
  <si>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</si>
  <si>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</si>
  <si>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</si>
  <si>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It's a Wonderful Afterlife 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</si>
  <si>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</si>
  <si>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</si>
  <si>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</si>
  <si>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</si>
  <si>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</si>
  <si>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</si>
  <si>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</si>
  <si>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</si>
  <si>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Partition 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</si>
  <si>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</si>
  <si>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</si>
  <si>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</si>
  <si>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</si>
  <si>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</si>
  <si>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</si>
  <si>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Dal-su Oh</t>
  </si>
  <si>
    <t>The Good, the Bad, the Weird 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</si>
  <si>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</si>
  <si>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</si>
  <si>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</si>
  <si>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</si>
  <si>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</si>
  <si>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</si>
  <si>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</si>
  <si>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</si>
  <si>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</si>
  <si>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</si>
  <si>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</si>
  <si>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</si>
  <si>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</si>
  <si>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</si>
  <si>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</si>
  <si>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</si>
  <si>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The Lost City 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</si>
  <si>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</si>
  <si>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</si>
  <si>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</si>
  <si>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</si>
  <si>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</si>
  <si>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</si>
  <si>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Akon</t>
  </si>
  <si>
    <t>American Heist 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</si>
  <si>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</si>
  <si>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</si>
  <si>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</si>
  <si>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</si>
  <si>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</si>
  <si>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</si>
  <si>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</si>
  <si>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</si>
  <si>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</si>
  <si>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</si>
  <si>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</si>
  <si>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Jean-Louis Trintignant</t>
  </si>
  <si>
    <t>Amour 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</si>
  <si>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</si>
  <si>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</si>
  <si>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</si>
  <si>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</si>
  <si>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</si>
  <si>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</si>
  <si>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</si>
  <si>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</si>
  <si>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Re-Kill </t>
  </si>
  <si>
    <t>after dark|after dark horrorfest|fictional tv news show|outbreak</t>
  </si>
  <si>
    <t>http://www.imdb.com/title/tt1612319/?ref_=fn_tt_tt_1</t>
  </si>
  <si>
    <t>Stanley Kramer</t>
  </si>
  <si>
    <t>Spencer Tracy</t>
  </si>
  <si>
    <t>It's a Mad, Mad, Mad, Mad World 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</si>
  <si>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</si>
  <si>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</si>
  <si>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</si>
  <si>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</si>
  <si>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</si>
  <si>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Antonio de la Torre</t>
  </si>
  <si>
    <t>Volver 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</si>
  <si>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</si>
  <si>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</si>
  <si>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</si>
  <si>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</si>
  <si>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</si>
  <si>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</si>
  <si>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Heavy Metal 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</si>
  <si>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</si>
  <si>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</si>
  <si>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</si>
  <si>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</si>
  <si>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</si>
  <si>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</si>
  <si>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</si>
  <si>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</si>
  <si>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</si>
  <si>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</si>
  <si>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Luisa D'Oliveira</t>
  </si>
  <si>
    <t>Into the Grizzly Maze </t>
  </si>
  <si>
    <t>bear|breasts|female nudity|grizzly|wilderness</t>
  </si>
  <si>
    <t>http://www.imdb.com/title/tt1694021/?ref_=fn_tt_tt_1</t>
  </si>
  <si>
    <t>Anurag Basu</t>
  </si>
  <si>
    <t>Action|Drama|Romance|Thriller</t>
  </si>
  <si>
    <t>Bárbara Mori</t>
  </si>
  <si>
    <t>Steven Michael Quezada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</si>
  <si>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</si>
  <si>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</si>
  <si>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</si>
  <si>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</si>
  <si>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</si>
  <si>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</si>
  <si>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</si>
  <si>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</si>
  <si>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</si>
  <si>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Red Dog 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</si>
  <si>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</si>
  <si>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</si>
  <si>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</si>
  <si>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</si>
  <si>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</si>
  <si>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Jab Tak Hai Jaan </t>
  </si>
  <si>
    <t>accident|army|bomb|indian army|love</t>
  </si>
  <si>
    <t>http://www.imdb.com/title/tt2176013/?ref_=fn_tt_tt_1</t>
  </si>
  <si>
    <t>Bolaji Badejo</t>
  </si>
  <si>
    <t>Alien </t>
  </si>
  <si>
    <t>alien|creature|future|outer space|spaceship</t>
  </si>
  <si>
    <t>http://www.imdb.com/title/tt0078748/?ref_=fn_tt_tt_1</t>
  </si>
  <si>
    <t>Edwin Neal</t>
  </si>
  <si>
    <t>Marilyn Burns</t>
  </si>
  <si>
    <t>The Texas Chain Saw Massacre 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</si>
  <si>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</si>
  <si>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</si>
  <si>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</si>
  <si>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</si>
  <si>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</si>
  <si>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</si>
  <si>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Rosalind Harris</t>
  </si>
  <si>
    <t>Fiddler on the Roof 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</si>
  <si>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</si>
  <si>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</si>
  <si>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</si>
  <si>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</si>
  <si>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</si>
  <si>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</si>
  <si>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</si>
  <si>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</si>
  <si>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Detention 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</si>
  <si>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</si>
  <si>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</si>
  <si>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</si>
  <si>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</si>
  <si>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</si>
  <si>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Loose Cannons 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</si>
  <si>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</si>
  <si>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</si>
  <si>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</si>
  <si>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</si>
  <si>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</si>
  <si>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Jarrod Bunch</t>
  </si>
  <si>
    <t>The Best Man </t>
  </si>
  <si>
    <t>african american|bachelor party|brooklyn bridge|family relationships|stripper</t>
  </si>
  <si>
    <t>http://www.imdb.com/title/tt0168501/?ref_=fn_tt_tt_1</t>
  </si>
  <si>
    <t>Catherine Hicks</t>
  </si>
  <si>
    <t>Alex Vincent</t>
  </si>
  <si>
    <t>Dinah Manoff</t>
  </si>
  <si>
    <t>Child's Play </t>
  </si>
  <si>
    <t>birthday|doll|murder|serial killer|voodoo</t>
  </si>
  <si>
    <t>http://www.imdb.com/title/tt0094862/?ref_=fn_tt_tt_1</t>
  </si>
  <si>
    <t>Tucker Albrizzi</t>
  </si>
  <si>
    <t>Bill Clinton</t>
  </si>
  <si>
    <t>Sicko </t>
  </si>
  <si>
    <t>canada|cuba|france|guantanamo|hmo</t>
  </si>
  <si>
    <t>http://www.imdb.com/title/tt0386032/?ref_=fn_tt_tt_1</t>
  </si>
  <si>
    <t>Roberta Valderrama</t>
  </si>
  <si>
    <t>The Purge: Anarchy 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</si>
  <si>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</si>
  <si>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</si>
  <si>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</si>
  <si>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</si>
  <si>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</si>
  <si>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</si>
  <si>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</si>
  <si>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</si>
  <si>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</si>
  <si>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</si>
  <si>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</si>
  <si>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</si>
  <si>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</si>
  <si>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</si>
  <si>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</si>
  <si>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</si>
  <si>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Don Ameche</t>
  </si>
  <si>
    <t>Denholm Elliott</t>
  </si>
  <si>
    <t>Ralph Bellamy</t>
  </si>
  <si>
    <t>Trading Places 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</si>
  <si>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</si>
  <si>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</si>
  <si>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</si>
  <si>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</si>
  <si>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</si>
  <si>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</si>
  <si>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Patrick Cranshaw</t>
  </si>
  <si>
    <t>Breakin' All the Rules 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</si>
  <si>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</si>
  <si>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</si>
  <si>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</si>
  <si>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</si>
  <si>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Henry V 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</si>
  <si>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</si>
  <si>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</si>
  <si>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</si>
  <si>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</si>
  <si>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The Savages 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</si>
  <si>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</si>
  <si>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</si>
  <si>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</si>
  <si>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</si>
  <si>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</si>
  <si>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</si>
  <si>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Kristin Lehman</t>
  </si>
  <si>
    <t>Nicky Katt</t>
  </si>
  <si>
    <t>Dylan Kussman</t>
  </si>
  <si>
    <t>The Way of the Gun 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</si>
  <si>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</si>
  <si>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</si>
  <si>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</si>
  <si>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</si>
  <si>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</si>
  <si>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</si>
  <si>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Chris Young</t>
  </si>
  <si>
    <t>PCU 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</si>
  <si>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</si>
  <si>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</si>
  <si>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</si>
  <si>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</si>
  <si>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</si>
  <si>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Ronn Moss</t>
  </si>
  <si>
    <t>Katherine Kelly Lang</t>
  </si>
  <si>
    <t>Hunter Tylo</t>
  </si>
  <si>
    <t>The Bold and the Beautiful 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</si>
  <si>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</si>
  <si>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</si>
  <si>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</si>
  <si>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</si>
  <si>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</si>
  <si>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The Ice Pirates </t>
  </si>
  <si>
    <t>bar fight|cult film|ice|psychotronic|sword fight</t>
  </si>
  <si>
    <t>http://www.imdb.com/title/tt0087451/?ref_=fn_tt_tt_1</t>
  </si>
  <si>
    <t>Carly Schroeder</t>
  </si>
  <si>
    <t>Gracie 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</si>
  <si>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</si>
  <si>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</si>
  <si>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</si>
  <si>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</si>
  <si>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</si>
  <si>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</si>
  <si>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</si>
  <si>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</si>
  <si>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</si>
  <si>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Velvet Goldmine </t>
  </si>
  <si>
    <t>1970s|glitter|political cover up|reference to katharine hepburn|reference to spencer tracy</t>
  </si>
  <si>
    <t>http://www.imdb.com/title/tt0120879/?ref_=fn_tt_tt_1</t>
  </si>
  <si>
    <t>Hong-jin Na</t>
  </si>
  <si>
    <t>Jung-min Hwang</t>
  </si>
  <si>
    <t>Jun Kunimura</t>
  </si>
  <si>
    <t>Woo-hee Chun</t>
  </si>
  <si>
    <t>The Wailing </t>
  </si>
  <si>
    <t>policeman|stranger|supernatural|village|vomiting</t>
  </si>
  <si>
    <t>http://www.imdb.com/title/tt5215952/?ref_=fn_tt_tt_1</t>
  </si>
  <si>
    <t>Heather Morris</t>
  </si>
  <si>
    <t>Kevin McHale</t>
  </si>
  <si>
    <t>Glee: The 3D Concert Movie 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</si>
  <si>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</si>
  <si>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</si>
  <si>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</si>
  <si>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</si>
  <si>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</si>
  <si>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The Legend of Suriyothai 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</si>
  <si>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</si>
  <si>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</si>
  <si>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</si>
  <si>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</si>
  <si>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</si>
  <si>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</si>
  <si>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</si>
  <si>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</si>
  <si>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</si>
  <si>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Barbecue </t>
  </si>
  <si>
    <t>http://www.imdb.com/title/tt3202120/?ref_=fn_tt_tt_1</t>
  </si>
  <si>
    <t>Gary McDonald</t>
  </si>
  <si>
    <t>All or Nothing 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</si>
  <si>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</si>
  <si>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</si>
  <si>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</si>
  <si>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</si>
  <si>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</si>
  <si>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</si>
  <si>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</si>
  <si>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Jacqueline McKenzie</t>
  </si>
  <si>
    <t>Vince Colosimo</t>
  </si>
  <si>
    <t>Peter Callan</t>
  </si>
  <si>
    <t>Opal Dream </t>
  </si>
  <si>
    <t>friend|girl|imaginary friend|outback|town</t>
  </si>
  <si>
    <t>http://www.imdb.com/title/tt0420835/?ref_=fn_tt_tt_1</t>
  </si>
  <si>
    <t>Ole Christian Madsen</t>
  </si>
  <si>
    <t>Lars Mikkelsen</t>
  </si>
  <si>
    <t>Thure Lindhardt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</si>
  <si>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</si>
  <si>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</si>
  <si>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</si>
  <si>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</si>
  <si>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</si>
  <si>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</si>
  <si>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Undiscovered </t>
  </si>
  <si>
    <t>bare chested male|box office flop|diner|german shepherd|one word title</t>
  </si>
  <si>
    <t>http://www.imdb.com/title/tt0434424/?ref_=fn_tt_tt_1</t>
  </si>
  <si>
    <t>John Henshaw</t>
  </si>
  <si>
    <t>Red Riding: In the Year of Our Lord 1974 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</si>
  <si>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</si>
  <si>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</si>
  <si>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</si>
  <si>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</si>
  <si>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Émilie Dequenne</t>
  </si>
  <si>
    <t>The Girl on the Train 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</si>
  <si>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</si>
  <si>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</si>
  <si>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</si>
  <si>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</si>
  <si>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</si>
  <si>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</si>
  <si>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</si>
  <si>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</si>
  <si>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Crocodile Dundee </t>
  </si>
  <si>
    <t>australian outback|crocodile|female reporter|journalist|new york city</t>
  </si>
  <si>
    <t>http://www.imdb.com/title/tt0090555/?ref_=fn_tt_tt_1</t>
  </si>
  <si>
    <t>Martyn Pick</t>
  </si>
  <si>
    <t>Action|Animation|Fantasy|Horror|Mystery|Sci-Fi|Thriller</t>
  </si>
  <si>
    <t>Steven Waddington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</si>
  <si>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</si>
  <si>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</si>
  <si>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</si>
  <si>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</si>
  <si>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</si>
  <si>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</si>
  <si>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</si>
  <si>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</si>
  <si>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</si>
  <si>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</si>
  <si>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Beneath Hill 60 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</si>
  <si>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</si>
  <si>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</si>
  <si>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</si>
  <si>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</si>
  <si>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</si>
  <si>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</si>
  <si>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</si>
  <si>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</si>
  <si>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</si>
  <si>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</si>
  <si>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Action|Adventure|Animation|Drama|Fantasy|Sci-Fi</t>
  </si>
  <si>
    <t>James Arnold Taylor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</si>
  <si>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</si>
  <si>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</si>
  <si>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</si>
  <si>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</si>
  <si>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</si>
  <si>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Skin Trade 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</si>
  <si>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</si>
  <si>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</si>
  <si>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</si>
  <si>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</si>
  <si>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</si>
  <si>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Debrianna Mansini</t>
  </si>
  <si>
    <t>Crazy Heart 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</si>
  <si>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</si>
  <si>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</si>
  <si>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</si>
  <si>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</si>
  <si>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</si>
  <si>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The Rose 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</si>
  <si>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</si>
  <si>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</si>
  <si>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</si>
  <si>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</si>
  <si>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</si>
  <si>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</si>
  <si>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</si>
  <si>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</si>
  <si>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</si>
  <si>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Barbarella </t>
  </si>
  <si>
    <t>41st century|angel|future|laser gun|space opera</t>
  </si>
  <si>
    <t>http://www.imdb.com/title/tt0062711/?ref_=fn_tt_tt_1</t>
  </si>
  <si>
    <t>Nils Gaup</t>
  </si>
  <si>
    <t>Bjørn Sundquist</t>
  </si>
  <si>
    <t>Louisa Milwood-Haigh</t>
  </si>
  <si>
    <t>Stian Smestad</t>
  </si>
  <si>
    <t>Shipwrecked </t>
  </si>
  <si>
    <t>boy|island|pirate|ship|treasure</t>
  </si>
  <si>
    <t>http://www.imdb.com/title/tt0099816/?ref_=fn_tt_tt_1</t>
  </si>
  <si>
    <t>Molly Hagan</t>
  </si>
  <si>
    <t>Election 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</si>
  <si>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</si>
  <si>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</si>
  <si>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</si>
  <si>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</si>
  <si>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</si>
  <si>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</si>
  <si>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</si>
  <si>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</si>
  <si>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</si>
  <si>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</si>
  <si>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</si>
  <si>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Glitter </t>
  </si>
  <si>
    <t>cult film|disc jockey|female protagonist|music business|one word title</t>
  </si>
  <si>
    <t>http://www.imdb.com/title/tt0118589/?ref_=fn_tt_tt_1</t>
  </si>
  <si>
    <t>Tom Elkins</t>
  </si>
  <si>
    <t>Brad James</t>
  </si>
  <si>
    <t>The Haunting in Connecticut 2: Ghosts of Georgia </t>
  </si>
  <si>
    <t>daughter|georgia|mother|slave|trailer</t>
  </si>
  <si>
    <t>http://www.imdb.com/title/tt1457765/?ref_=fn_tt_tt_1</t>
  </si>
  <si>
    <t>Woo-Suk Kang</t>
  </si>
  <si>
    <t>Yu-mi Jeong</t>
  </si>
  <si>
    <t>Sung-kee Ahn</t>
  </si>
  <si>
    <t>Silmido </t>
  </si>
  <si>
    <t>based on book|based on true story|rape|title spoken by character</t>
  </si>
  <si>
    <t>http://www.imdb.com/title/tt0387596/?ref_=fn_tt_tt_1</t>
  </si>
  <si>
    <t>Samuel Roukin</t>
  </si>
  <si>
    <t>Bright Star </t>
  </si>
  <si>
    <t>19th century|friend|john keats|passion|poet</t>
  </si>
  <si>
    <t>http://www.imdb.com/title/tt0810784/?ref_=fn_tt_tt_1</t>
  </si>
  <si>
    <t>Jimmy Shergill</t>
  </si>
  <si>
    <t>Christopher B. Duncan</t>
  </si>
  <si>
    <t>My Name Is Khan 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</si>
  <si>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</si>
  <si>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</si>
  <si>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</si>
  <si>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</si>
  <si>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</si>
  <si>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</si>
  <si>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</si>
  <si>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</si>
  <si>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Limbo 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</si>
  <si>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</si>
  <si>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</si>
  <si>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</si>
  <si>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</si>
  <si>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</si>
  <si>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</si>
  <si>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</si>
  <si>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</si>
  <si>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Padraic Delaney</t>
  </si>
  <si>
    <t>Orla Fitzgerald</t>
  </si>
  <si>
    <t>Martin Lucey</t>
  </si>
  <si>
    <t>The Wind That Shakes the Barley </t>
  </si>
  <si>
    <t>civil war|colonialism|hatred|independence|rural ireland</t>
  </si>
  <si>
    <t>http://www.imdb.com/title/tt0460989/?ref_=fn_tt_tt_1</t>
  </si>
  <si>
    <t>Ayan Mukerji</t>
  </si>
  <si>
    <t>Ranbir Kapoor</t>
  </si>
  <si>
    <t>Madhuri Dixit</t>
  </si>
  <si>
    <t>Aditya Roy Kapoor</t>
  </si>
  <si>
    <t>Yeh Jawaani Hai Deewani </t>
  </si>
  <si>
    <t>jealousy|jumping into sea|love|swimming pool|wet clothes</t>
  </si>
  <si>
    <t>http://www.imdb.com/title/tt2178470/?ref_=fn_tt_tt_1</t>
  </si>
  <si>
    <t>Mervyn LeRoy</t>
  </si>
  <si>
    <t>Peter Ustinov</t>
  </si>
  <si>
    <t>Deborah Kerr</t>
  </si>
  <si>
    <t>Robert Taylor</t>
  </si>
  <si>
    <t>Quo Vadis 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</si>
  <si>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</si>
  <si>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</si>
  <si>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</si>
  <si>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</si>
  <si>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</si>
  <si>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</si>
  <si>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</si>
  <si>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</si>
  <si>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Necati Sasmaz</t>
  </si>
  <si>
    <t>Bergüzar Korel</t>
  </si>
  <si>
    <t>Ghassan Massoud</t>
  </si>
  <si>
    <t>Valley of the Wolves: Iraq 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</si>
  <si>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</si>
  <si>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</si>
  <si>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</si>
  <si>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</si>
  <si>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</si>
  <si>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</si>
  <si>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</si>
  <si>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</si>
  <si>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</si>
  <si>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</si>
  <si>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</si>
  <si>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</si>
  <si>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</si>
  <si>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James Huang</t>
  </si>
  <si>
    <t>Nightcrawler 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</si>
  <si>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</si>
  <si>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</si>
  <si>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</si>
  <si>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</si>
  <si>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</si>
  <si>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</si>
  <si>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Biography|Drama|Family|Musical|Romance</t>
  </si>
  <si>
    <t>Eleanor Parker</t>
  </si>
  <si>
    <t>Angela Cartwright</t>
  </si>
  <si>
    <t>Nicholas Hammond</t>
  </si>
  <si>
    <t>The Sound of Music </t>
  </si>
  <si>
    <t>austria|children|governess|love|orchestral music score</t>
  </si>
  <si>
    <t>http://www.imdb.com/title/tt0059742/?ref_=fn_tt_tt_1</t>
  </si>
  <si>
    <t>Howard Morris</t>
  </si>
  <si>
    <t>Patrick Cronin</t>
  </si>
  <si>
    <t>Splash 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</si>
  <si>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</si>
  <si>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</si>
  <si>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</si>
  <si>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</si>
  <si>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</si>
  <si>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Little Miss Sunshine 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</si>
  <si>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</si>
  <si>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</si>
  <si>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</si>
  <si>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</si>
  <si>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</si>
  <si>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</si>
  <si>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Noah Huntley</t>
  </si>
  <si>
    <t>Megan Burns</t>
  </si>
  <si>
    <t>David Schneider</t>
  </si>
  <si>
    <t>28 Days Later... </t>
  </si>
  <si>
    <t>laboratory|london england|military|virus|zombie apocalypse</t>
  </si>
  <si>
    <t>http://www.imdb.com/title/tt0289043/?ref_=fn_tt_tt_1</t>
  </si>
  <si>
    <t>Chris Stokes</t>
  </si>
  <si>
    <t>Jennifer Freeman</t>
  </si>
  <si>
    <t>Marques Houston</t>
  </si>
  <si>
    <t>Steve Harvey</t>
  </si>
  <si>
    <t>You Got Served 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</si>
  <si>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</si>
  <si>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</si>
  <si>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</si>
  <si>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</si>
  <si>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</si>
  <si>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</si>
  <si>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</si>
  <si>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</si>
  <si>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</si>
  <si>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</si>
  <si>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</si>
  <si>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</si>
  <si>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</si>
  <si>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</si>
  <si>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</si>
  <si>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</si>
  <si>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</si>
  <si>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</si>
  <si>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James Kyson</t>
  </si>
  <si>
    <t>David Denman</t>
  </si>
  <si>
    <t>Daisy Betts</t>
  </si>
  <si>
    <t>Shutter </t>
  </si>
  <si>
    <t>car accident|japan|newlywed|photograph|photographer</t>
  </si>
  <si>
    <t>http://www.imdb.com/title/tt0482599/?ref_=fn_tt_tt_1</t>
  </si>
  <si>
    <t>Tom Gormican</t>
  </si>
  <si>
    <t>Mackenzie Davis</t>
  </si>
  <si>
    <t>Lola Glaudini</t>
  </si>
  <si>
    <t>Josh Pais</t>
  </si>
  <si>
    <t>That Awkward Moment 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</si>
  <si>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</si>
  <si>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</si>
  <si>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</si>
  <si>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</si>
  <si>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</si>
  <si>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</si>
  <si>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</si>
  <si>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Tina Gilton</t>
  </si>
  <si>
    <t>Natalie Stephany Aguilar</t>
  </si>
  <si>
    <t>Justin Hall</t>
  </si>
  <si>
    <t>Kicks 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</si>
  <si>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</si>
  <si>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</si>
  <si>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</si>
  <si>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</si>
  <si>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</si>
  <si>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Telly Savalas</t>
  </si>
  <si>
    <t>George Lazenby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</si>
  <si>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</si>
  <si>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</si>
  <si>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</si>
  <si>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</si>
  <si>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</si>
  <si>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</si>
  <si>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The Player </t>
  </si>
  <si>
    <t>bet|friend|pit boss|secret|surveillance</t>
  </si>
  <si>
    <t>http://www.imdb.com/title/tt4474310/?ref_=fn_tt_tt_1</t>
  </si>
  <si>
    <t>Heather Langenkamp</t>
  </si>
  <si>
    <t>Tracy Middendorf</t>
  </si>
  <si>
    <t>New Nightmare </t>
  </si>
  <si>
    <t>earthquake|elm street|freddy krueger|nightmare|sleep</t>
  </si>
  <si>
    <t>http://www.imdb.com/title/tt0111686/?ref_=fn_tt_tt_1</t>
  </si>
  <si>
    <t>Keri Lynn Pratt</t>
  </si>
  <si>
    <t>Drive Me Crazy 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</si>
  <si>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</si>
  <si>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</si>
  <si>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</si>
  <si>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</si>
  <si>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</si>
  <si>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</si>
  <si>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</si>
  <si>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</si>
  <si>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</si>
  <si>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</si>
  <si>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</si>
  <si>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</si>
  <si>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</si>
  <si>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</si>
  <si>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</si>
  <si>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</si>
  <si>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</si>
  <si>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</si>
  <si>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</si>
  <si>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</si>
  <si>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</si>
  <si>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</si>
  <si>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</si>
  <si>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</si>
  <si>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Bon Cop Bad Cop 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</si>
  <si>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</si>
  <si>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</si>
  <si>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</si>
  <si>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</si>
  <si>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</si>
  <si>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</si>
  <si>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</si>
  <si>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Diego Velazquez</t>
  </si>
  <si>
    <t>The City of Your Final Destination 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</si>
  <si>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</si>
  <si>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</si>
  <si>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</si>
  <si>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</si>
  <si>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</si>
  <si>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Enough Said </t>
  </si>
  <si>
    <t>dating|divorcee|ex husband|ex wife|party</t>
  </si>
  <si>
    <t>http://www.imdb.com/title/tt2390361/?ref_=fn_tt_tt_1</t>
  </si>
  <si>
    <t>Fred Armisen</t>
  </si>
  <si>
    <t>Easy A 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</si>
  <si>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</si>
  <si>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</si>
  <si>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</si>
  <si>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</si>
  <si>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</si>
  <si>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</si>
  <si>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</si>
  <si>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</si>
  <si>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</si>
  <si>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</si>
  <si>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</si>
  <si>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</si>
  <si>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</si>
  <si>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</si>
  <si>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</si>
  <si>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</si>
  <si>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</si>
  <si>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</si>
  <si>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</si>
  <si>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</si>
  <si>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</si>
  <si>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</si>
  <si>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Samuel West</t>
  </si>
  <si>
    <t>Howards End 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</si>
  <si>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</si>
  <si>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</si>
  <si>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</si>
  <si>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</si>
  <si>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</si>
  <si>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</si>
  <si>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</si>
  <si>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</si>
  <si>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</si>
  <si>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Anomalisa 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</si>
  <si>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</si>
  <si>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</si>
  <si>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</si>
  <si>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</si>
  <si>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</si>
  <si>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</si>
  <si>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</si>
  <si>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Emmanuelle Béart</t>
  </si>
  <si>
    <t>8 Women </t>
  </si>
  <si>
    <t>cook|industrialist|secret|snowstorm|suspect</t>
  </si>
  <si>
    <t>http://www.imdb.com/title/tt0283832/?ref_=fn_tt_tt_1</t>
  </si>
  <si>
    <t>Vernee Watson</t>
  </si>
  <si>
    <t>Showdown in Little Tokyo </t>
  </si>
  <si>
    <t>bare chested male|detective|electric torture|japanese american|yakuza</t>
  </si>
  <si>
    <t>http://www.imdb.com/title/tt0102915/?ref_=fn_tt_tt_1</t>
  </si>
  <si>
    <t>Kevin Rahm</t>
  </si>
  <si>
    <t>Clay Pigeons 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</si>
  <si>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</si>
  <si>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</si>
  <si>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</si>
  <si>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</si>
  <si>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</si>
  <si>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</si>
  <si>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</si>
  <si>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</si>
  <si>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</si>
  <si>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</si>
  <si>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Gina McKee</t>
  </si>
  <si>
    <t>When Did You Last See Your Father? 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</si>
  <si>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</si>
  <si>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</si>
  <si>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</si>
  <si>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</si>
  <si>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</si>
  <si>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Prefontaine 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</si>
  <si>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</si>
  <si>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</si>
  <si>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</si>
  <si>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</si>
  <si>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</si>
  <si>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</si>
  <si>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</si>
  <si>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</si>
  <si>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Sean Lennon</t>
  </si>
  <si>
    <t>Mick Lally</t>
  </si>
  <si>
    <t>Evan McGuire</t>
  </si>
  <si>
    <t>The Secret of Kells 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</si>
  <si>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</si>
  <si>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</si>
  <si>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</si>
  <si>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</si>
  <si>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</si>
  <si>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Begin Again 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</si>
  <si>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</si>
  <si>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</si>
  <si>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</si>
  <si>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</si>
  <si>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</si>
  <si>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</si>
  <si>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</si>
  <si>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</si>
  <si>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</si>
  <si>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Brooklyn Rules 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</si>
  <si>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</si>
  <si>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</si>
  <si>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</si>
  <si>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</si>
  <si>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</si>
  <si>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</si>
  <si>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</si>
  <si>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</si>
  <si>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</si>
  <si>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</si>
  <si>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</si>
  <si>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</si>
  <si>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</si>
  <si>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</si>
  <si>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</si>
  <si>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</si>
  <si>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</si>
  <si>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Fido 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</si>
  <si>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</si>
  <si>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</si>
  <si>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</si>
  <si>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</si>
  <si>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</si>
  <si>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</si>
  <si>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</si>
  <si>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</si>
  <si>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</si>
  <si>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</si>
  <si>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</si>
  <si>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</si>
  <si>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</si>
  <si>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</si>
  <si>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</si>
  <si>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</si>
  <si>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</si>
  <si>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</si>
  <si>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</si>
  <si>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</si>
  <si>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</si>
  <si>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</si>
  <si>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</si>
  <si>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</si>
  <si>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</si>
  <si>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</si>
  <si>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Ian Tracey</t>
  </si>
  <si>
    <t>Zen McGrath</t>
  </si>
  <si>
    <t>William Shimell</t>
  </si>
  <si>
    <t>Aloft </t>
  </si>
  <si>
    <t>http://www.imdb.com/title/tt2494384/?ref_=fn_tt_tt_1</t>
  </si>
  <si>
    <t>Action|Animation|Sci-Fi</t>
  </si>
  <si>
    <t>Mitsuo Iwata</t>
  </si>
  <si>
    <t>Takeshi Kusao</t>
  </si>
  <si>
    <t>Tesshô Genda</t>
  </si>
  <si>
    <t>Akira 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</si>
  <si>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</si>
  <si>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</si>
  <si>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</si>
  <si>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</si>
  <si>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</si>
  <si>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</si>
  <si>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</si>
  <si>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Julie LeBreton</t>
  </si>
  <si>
    <t>The Rocket: The Legend of Rocket Richard 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</si>
  <si>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</si>
  <si>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</si>
  <si>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</si>
  <si>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</si>
  <si>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</si>
  <si>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</si>
  <si>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</si>
  <si>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Leehom Wang</t>
  </si>
  <si>
    <t>Ruby Lin</t>
  </si>
  <si>
    <t>Jack Kao</t>
  </si>
  <si>
    <t>My Lucky Star </t>
  </si>
  <si>
    <t>http://www.imdb.com/title/tt2102502/?ref_=fn_tt_tt_1</t>
  </si>
  <si>
    <t>Ol Parker</t>
  </si>
  <si>
    <t>Darren Boyd</t>
  </si>
  <si>
    <t>Imagine Me &amp; You </t>
  </si>
  <si>
    <t>florist|friend|friendship|lesbian|love</t>
  </si>
  <si>
    <t>http://www.imdb.com/title/tt0421994/?ref_=fn_tt_tt_1</t>
  </si>
  <si>
    <t>Mckenna Grace</t>
  </si>
  <si>
    <t>Lucy Fry</t>
  </si>
  <si>
    <t>Natalie Coughlin</t>
  </si>
  <si>
    <t>Mr. Church </t>
  </si>
  <si>
    <t>http://www.imdb.com/title/tt4196848/?ref_=fn_tt_tt_1</t>
  </si>
  <si>
    <t>Jean-Claude Lecas</t>
  </si>
  <si>
    <t>Swimming Pool 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</si>
  <si>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</si>
  <si>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</si>
  <si>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</si>
  <si>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</si>
  <si>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</si>
  <si>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Green Street 3: Never Back Down </t>
  </si>
  <si>
    <t>bare breasts|firm|hooliganism|training|west ham supporter</t>
  </si>
  <si>
    <t>http://www.imdb.com/title/tt2628316/?ref_=fn_tt_tt_1</t>
  </si>
  <si>
    <t>David Webb Peoples</t>
  </si>
  <si>
    <t>Anna Katarina</t>
  </si>
  <si>
    <t>The Blood of Heroes </t>
  </si>
  <si>
    <t>battle|blood splatter|combat|game|showdown</t>
  </si>
  <si>
    <t>http://www.imdb.com/title/tt0094764/?ref_=fn_tt_tt_1</t>
  </si>
  <si>
    <t>Michael Winnick</t>
  </si>
  <si>
    <t>Scott Takeda</t>
  </si>
  <si>
    <t>Helena Mattsson</t>
  </si>
  <si>
    <t>Craig Sheffer</t>
  </si>
  <si>
    <t>Code of Honor </t>
  </si>
  <si>
    <t>gun|mayor|nightclub|police|vigilantism</t>
  </si>
  <si>
    <t>http://www.imdb.com/title/tt4060866/?ref_=fn_tt_tt_1</t>
  </si>
  <si>
    <t>Jessica Tandy</t>
  </si>
  <si>
    <t>Patti LuPone</t>
  </si>
  <si>
    <t>Driving Miss Daisy 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</si>
  <si>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</si>
  <si>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</si>
  <si>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</si>
  <si>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</si>
  <si>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</si>
  <si>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</si>
  <si>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Françoise Yip</t>
  </si>
  <si>
    <t>Anita Mui</t>
  </si>
  <si>
    <t>Garvin Cross</t>
  </si>
  <si>
    <t>Rumble in the Bronx </t>
  </si>
  <si>
    <t>fight|gang|greed|street gang|wedding</t>
  </si>
  <si>
    <t>http://www.imdb.com/title/tt0113326/?ref_=fn_tt_tt_1</t>
  </si>
  <si>
    <t>David Oelhoffen</t>
  </si>
  <si>
    <t>Drama|War|Western</t>
  </si>
  <si>
    <t>Reda Kateb</t>
  </si>
  <si>
    <t>Ángela Molina</t>
  </si>
  <si>
    <t>Far from Men </t>
  </si>
  <si>
    <t>algerian war|based on short story|hostage|teacher|title at the end</t>
  </si>
  <si>
    <t>http://www.imdb.com/title/tt2936180/?ref_=fn_tt_tt_1</t>
  </si>
  <si>
    <t>Todd Louiso</t>
  </si>
  <si>
    <t>Thank You for Smoking 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</si>
  <si>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</si>
  <si>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</si>
  <si>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</si>
  <si>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</si>
  <si>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Hostel: Part II </t>
  </si>
  <si>
    <t>american|hostel|slovakia|torture|train</t>
  </si>
  <si>
    <t>http://www.imdb.com/title/tt0498353/?ref_=fn_tt_tt_1</t>
  </si>
  <si>
    <t>Ellie Kendrick</t>
  </si>
  <si>
    <t>An Education 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</si>
  <si>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</si>
  <si>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</si>
  <si>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</si>
  <si>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</si>
  <si>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</si>
  <si>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</si>
  <si>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Nastassja Kinski</t>
  </si>
  <si>
    <t>The Hotel New Hampshire 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</si>
  <si>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</si>
  <si>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</si>
  <si>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</si>
  <si>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</si>
  <si>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</si>
  <si>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</si>
  <si>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</si>
  <si>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</si>
  <si>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</si>
  <si>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</si>
  <si>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Richard Bull</t>
  </si>
  <si>
    <t>Witless Protection 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</si>
  <si>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</si>
  <si>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</si>
  <si>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</si>
  <si>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</si>
  <si>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</si>
  <si>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</si>
  <si>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</si>
  <si>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</si>
  <si>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</si>
  <si>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</si>
  <si>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</si>
  <si>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</si>
  <si>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</si>
  <si>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</si>
  <si>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Roschdy Zem</t>
  </si>
  <si>
    <t>Alias Betty </t>
  </si>
  <si>
    <t>child|criminal|death|depression|novelist</t>
  </si>
  <si>
    <t>http://www.imdb.com/title/tt0269329/?ref_=fn_tt_tt_1</t>
  </si>
  <si>
    <t>Drama|Romance|Sci-Fi|Thriller</t>
  </si>
  <si>
    <t>Natalie Mendoza</t>
  </si>
  <si>
    <t>Code 46 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</si>
  <si>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</si>
  <si>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</si>
  <si>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</si>
  <si>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</si>
  <si>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</si>
  <si>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</si>
  <si>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</si>
  <si>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</si>
  <si>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</si>
  <si>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</si>
  <si>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</si>
  <si>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</si>
  <si>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Black November </t>
  </si>
  <si>
    <t>color in title|number in title|two word title</t>
  </si>
  <si>
    <t>http://www.imdb.com/title/tt2147225/?ref_=fn_tt_tt_1</t>
  </si>
  <si>
    <t>Nigeria</t>
  </si>
  <si>
    <t>Siddharth Anand</t>
  </si>
  <si>
    <t>Saif Ali Khan</t>
  </si>
  <si>
    <t>Mary Goggin</t>
  </si>
  <si>
    <t>Vic Aviles</t>
  </si>
  <si>
    <t>Ta Ra Rum Pum 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</si>
  <si>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</si>
  <si>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</si>
  <si>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</si>
  <si>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</si>
  <si>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</si>
  <si>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Persepolis 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</si>
  <si>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</si>
  <si>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</si>
  <si>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</si>
  <si>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</si>
  <si>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</si>
  <si>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</si>
  <si>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</si>
  <si>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Max Riemelt</t>
  </si>
  <si>
    <t>Elyas M'Barek</t>
  </si>
  <si>
    <t>Jennifer Ulrich</t>
  </si>
  <si>
    <t>The Wave </t>
  </si>
  <si>
    <t>autocracy|based on real events|dictatorship|germany|teacher</t>
  </si>
  <si>
    <t>http://www.imdb.com/title/tt1063669/?ref_=fn_tt_tt_1</t>
  </si>
  <si>
    <t>Charles Baker</t>
  </si>
  <si>
    <t>The Neon Demon 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</si>
  <si>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</si>
  <si>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</si>
  <si>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</si>
  <si>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</si>
  <si>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</si>
  <si>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</si>
  <si>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</si>
  <si>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</si>
  <si>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</si>
  <si>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The Omega Code 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</si>
  <si>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</si>
  <si>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</si>
  <si>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</si>
  <si>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</si>
  <si>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</si>
  <si>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</si>
  <si>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</si>
  <si>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</si>
  <si>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Pound of Flesh </t>
  </si>
  <si>
    <t>fighting|hand to hand combat|jujitsu|kickboxing|organ</t>
  </si>
  <si>
    <t>http://www.imdb.com/title/tt3488328/?ref_=fn_tt_tt_1</t>
  </si>
  <si>
    <t>Guy Hamilton</t>
  </si>
  <si>
    <t>Jill St. John</t>
  </si>
  <si>
    <t>Diamonds Are Forever 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</si>
  <si>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</si>
  <si>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</si>
  <si>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</si>
  <si>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</si>
  <si>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</si>
  <si>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</si>
  <si>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Lee Ving</t>
  </si>
  <si>
    <t>Flashdance 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</si>
  <si>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</si>
  <si>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</si>
  <si>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</si>
  <si>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</si>
  <si>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</si>
  <si>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</si>
  <si>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Geneviève Lemon</t>
  </si>
  <si>
    <t>The Piano 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</si>
  <si>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</si>
  <si>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</si>
  <si>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</si>
  <si>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</si>
  <si>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</si>
  <si>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</si>
  <si>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Angus Sampson</t>
  </si>
  <si>
    <t>Darkness Falls </t>
  </si>
  <si>
    <t>boy|darkness|light|tooth|tooth fairy</t>
  </si>
  <si>
    <t>http://www.imdb.com/title/tt0282209/?ref_=fn_tt_tt_1</t>
  </si>
  <si>
    <t>Clifton James</t>
  </si>
  <si>
    <t>Live and Let Die </t>
  </si>
  <si>
    <t>british|cards|heroin|murder|tarot card</t>
  </si>
  <si>
    <t>http://www.imdb.com/title/tt0070328/?ref_=fn_tt_tt_1</t>
  </si>
  <si>
    <t>Cody Linley</t>
  </si>
  <si>
    <t>My Dog Skip 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</si>
  <si>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</si>
  <si>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</si>
  <si>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</si>
  <si>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</si>
  <si>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</si>
  <si>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Definitely, Maybe 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</si>
  <si>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</si>
  <si>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</si>
  <si>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</si>
  <si>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</si>
  <si>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</si>
  <si>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</si>
  <si>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</si>
  <si>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</si>
  <si>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</si>
  <si>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Kwesi Ameyaw</t>
  </si>
  <si>
    <t>Capote 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</si>
  <si>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</si>
  <si>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</si>
  <si>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</si>
  <si>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</si>
  <si>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</si>
  <si>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</si>
  <si>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</si>
  <si>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</si>
  <si>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</si>
  <si>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</si>
  <si>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</si>
  <si>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</si>
  <si>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</si>
  <si>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</si>
  <si>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</si>
  <si>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</si>
  <si>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</si>
  <si>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</si>
  <si>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</si>
  <si>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MyAnna Buring</t>
  </si>
  <si>
    <t>Shauna Macdonald</t>
  </si>
  <si>
    <t>Craig Conway</t>
  </si>
  <si>
    <t>The Descent 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</si>
  <si>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</si>
  <si>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</si>
  <si>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</si>
  <si>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</si>
  <si>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</si>
  <si>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Michael Jordan to the Max 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</si>
  <si>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</si>
  <si>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</si>
  <si>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</si>
  <si>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</si>
  <si>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</si>
  <si>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Devil's Due 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</si>
  <si>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</si>
  <si>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</si>
  <si>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</si>
  <si>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</si>
  <si>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</si>
  <si>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</si>
  <si>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Crime|Horror</t>
  </si>
  <si>
    <t>Ken Foree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</si>
  <si>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</si>
  <si>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</si>
  <si>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</si>
  <si>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</si>
  <si>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</si>
  <si>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</si>
  <si>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</si>
  <si>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</si>
  <si>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</si>
  <si>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</si>
  <si>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</si>
  <si>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</si>
  <si>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</si>
  <si>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</si>
  <si>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Erin Daniels</t>
  </si>
  <si>
    <t>House of 1000 Corpses </t>
  </si>
  <si>
    <t>actor playing multiple roles|axe|dark comedy|masked man|sadism</t>
  </si>
  <si>
    <t>http://www.imdb.com/title/tt0251736/?ref_=fn_tt_tt_1</t>
  </si>
  <si>
    <t>Sharron Miller</t>
  </si>
  <si>
    <t>Bernard Fox</t>
  </si>
  <si>
    <t>Elizabeth MacRae</t>
  </si>
  <si>
    <t>Charles Aidman</t>
  </si>
  <si>
    <t>Alien Zone </t>
  </si>
  <si>
    <t>affair|child murderer|mortician|strangulation|supernatural power</t>
  </si>
  <si>
    <t>http://www.imdb.com/title/tt0072626/?ref_=fn_tt_tt_1</t>
  </si>
  <si>
    <t>Fred Melamed</t>
  </si>
  <si>
    <t>Peter Breitmayer</t>
  </si>
  <si>
    <t>A Serious Man 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</si>
  <si>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</si>
  <si>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</si>
  <si>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</si>
  <si>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</si>
  <si>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</si>
  <si>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</si>
  <si>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</si>
  <si>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</si>
  <si>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</si>
  <si>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Darryl Stephens</t>
  </si>
  <si>
    <t>Beyond the Lights 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</si>
  <si>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</si>
  <si>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</si>
  <si>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</si>
  <si>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</si>
  <si>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</si>
  <si>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</si>
  <si>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</si>
  <si>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</si>
  <si>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</si>
  <si>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</si>
  <si>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</si>
  <si>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Jonathan Brandis</t>
  </si>
  <si>
    <t>George Wendt</t>
  </si>
  <si>
    <t>Outside Providence </t>
  </si>
  <si>
    <t>class|cornwall connecticut|dog|friend|pawtucket rhode island</t>
  </si>
  <si>
    <t>http://www.imdb.com/title/tt0125971/?ref_=fn_tt_tt_1</t>
  </si>
  <si>
    <t>Anupam Kher</t>
  </si>
  <si>
    <t>Bride &amp; Prejudice 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</si>
  <si>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</si>
  <si>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</si>
  <si>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</si>
  <si>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</si>
  <si>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</si>
  <si>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Rabbit-Proof Fence </t>
  </si>
  <si>
    <t>aborigine|based on true story|colonialism|fence|half caste</t>
  </si>
  <si>
    <t>http://www.imdb.com/title/tt0252444/?ref_=fn_tt_tt_1</t>
  </si>
  <si>
    <t>Lil' Wayne</t>
  </si>
  <si>
    <t>Who's Your Caddy? 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</si>
  <si>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</si>
  <si>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</si>
  <si>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</si>
  <si>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</si>
  <si>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</si>
  <si>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</si>
  <si>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Split Second 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</si>
  <si>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</si>
  <si>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</si>
  <si>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</si>
  <si>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</si>
  <si>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</si>
  <si>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</si>
  <si>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</si>
  <si>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</si>
  <si>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The Other Side of Heaven 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</si>
  <si>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</si>
  <si>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</si>
  <si>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</si>
  <si>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</si>
  <si>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</si>
  <si>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</si>
  <si>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</si>
  <si>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</si>
  <si>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</si>
  <si>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</si>
  <si>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</si>
  <si>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</si>
  <si>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Katie Aselton</t>
  </si>
  <si>
    <t>Cyrus 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</si>
  <si>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</si>
  <si>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</si>
  <si>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</si>
  <si>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</si>
  <si>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</si>
  <si>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</si>
  <si>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</si>
  <si>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</si>
  <si>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</si>
  <si>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</si>
  <si>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</si>
  <si>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</si>
  <si>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</si>
  <si>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</si>
  <si>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Ashley Gerasimovich</t>
  </si>
  <si>
    <t>We Need to Talk About Kevin 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</si>
  <si>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</si>
  <si>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</si>
  <si>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</si>
  <si>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</si>
  <si>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</si>
  <si>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</si>
  <si>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</si>
  <si>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</si>
  <si>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Jennifer Butler</t>
  </si>
  <si>
    <t>The Mighty Macs </t>
  </si>
  <si>
    <t>basketball|catholic|coach|college|nun</t>
  </si>
  <si>
    <t>http://www.imdb.com/title/tt1034324/?ref_=fn_tt_tt_1</t>
  </si>
  <si>
    <t>Rick Rossovich</t>
  </si>
  <si>
    <t>Losin' It 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</si>
  <si>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</si>
  <si>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</si>
  <si>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</si>
  <si>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</si>
  <si>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</si>
  <si>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</si>
  <si>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</si>
  <si>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</si>
  <si>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March or Die </t>
  </si>
  <si>
    <t>arab|bare chested male|foreign legion|french foreign legion|morocco</t>
  </si>
  <si>
    <t>http://www.imdb.com/title/tt0076175/?ref_=fn_tt_tt_1</t>
  </si>
  <si>
    <t>Valérie Lemercier</t>
  </si>
  <si>
    <t>Les visiteurs </t>
  </si>
  <si>
    <t>distant past|future time travel|nobleman|squire|trapped in the past</t>
  </si>
  <si>
    <t>http://www.imdb.com/title/tt0108500/?ref_=fn_tt_tt_1</t>
  </si>
  <si>
    <t>Nathalie Fay</t>
  </si>
  <si>
    <t>Erin Wasson</t>
  </si>
  <si>
    <t>Somewhere 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</si>
  <si>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</si>
  <si>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</si>
  <si>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</si>
  <si>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</si>
  <si>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</si>
  <si>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I Hope They Serve Beer in Hell 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</si>
  <si>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</si>
  <si>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</si>
  <si>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</si>
  <si>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</si>
  <si>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</si>
  <si>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</si>
  <si>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</si>
  <si>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</si>
  <si>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</si>
  <si>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</si>
  <si>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Richard Graham</t>
  </si>
  <si>
    <t>Dom Hemingway 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</si>
  <si>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</si>
  <si>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</si>
  <si>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</si>
  <si>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</si>
  <si>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</si>
  <si>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</si>
  <si>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</si>
  <si>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Eleanor Bron</t>
  </si>
  <si>
    <t>The Heart of Me 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</si>
  <si>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</si>
  <si>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</si>
  <si>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</si>
  <si>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</si>
  <si>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</si>
  <si>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</si>
  <si>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</si>
  <si>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</si>
  <si>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</si>
  <si>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</si>
  <si>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Leonid Yarmolnik</t>
  </si>
  <si>
    <t>Yuriy Tsurilo</t>
  </si>
  <si>
    <t>Valentin Golubenko</t>
  </si>
  <si>
    <t>Hard to Be a God 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</si>
  <si>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</si>
  <si>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</si>
  <si>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</si>
  <si>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</si>
  <si>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</si>
  <si>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</si>
  <si>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</si>
  <si>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</si>
  <si>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</si>
  <si>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</si>
  <si>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Bob Marley</t>
  </si>
  <si>
    <t>The Boondock Saints </t>
  </si>
  <si>
    <t>fbi|fbi agent|friend|irish|mafia</t>
  </si>
  <si>
    <t>http://www.imdb.com/title/tt0144117/?ref_=fn_tt_tt_1</t>
  </si>
  <si>
    <t>David Lam</t>
  </si>
  <si>
    <t>Stephen Au</t>
  </si>
  <si>
    <t>Z Storm 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</si>
  <si>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</si>
  <si>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</si>
  <si>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</si>
  <si>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</si>
  <si>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</si>
  <si>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</si>
  <si>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Erin Fitzgerald</t>
  </si>
  <si>
    <t>Wendee Lee</t>
  </si>
  <si>
    <t>Ivan Okhlobystin</t>
  </si>
  <si>
    <t>Snow Queen </t>
  </si>
  <si>
    <t>3d</t>
  </si>
  <si>
    <t>http://www.imdb.com/title/tt2243621/?ref_=fn_tt_tt_1</t>
  </si>
  <si>
    <t>Richard Rich</t>
  </si>
  <si>
    <t>Action|Adventure|Animation|Comedy|Drama|Family|Fantasy|Thriller</t>
  </si>
  <si>
    <t>Debi Derryberry</t>
  </si>
  <si>
    <t>Kate Higgins</t>
  </si>
  <si>
    <t>Cindy Robinson</t>
  </si>
  <si>
    <t>Alpha and Omega 4: The Legend of the Saw Toothed Cave </t>
  </si>
  <si>
    <t>blindness|cave|spirit|wolf|wolf cub</t>
  </si>
  <si>
    <t>http://www.imdb.com/title/tt4061848/?ref_=fn_tt_tt_1</t>
  </si>
  <si>
    <t>Sydney Penny</t>
  </si>
  <si>
    <t>Pale Rider 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</si>
  <si>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</si>
  <si>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</si>
  <si>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</si>
  <si>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</si>
  <si>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</si>
  <si>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</si>
  <si>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</si>
  <si>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</si>
  <si>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</si>
  <si>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</si>
  <si>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</si>
  <si>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Olesya Rulin</t>
  </si>
  <si>
    <t>High School Musical 2 </t>
  </si>
  <si>
    <t>2000s|basketball|country club|lifeguard|talent show</t>
  </si>
  <si>
    <t>http://www.imdb.com/title/tt0810900/?ref_=fn_tt_tt_1</t>
  </si>
  <si>
    <t>Kim Nguyen</t>
  </si>
  <si>
    <t>Gordon Pinsent</t>
  </si>
  <si>
    <t>Justin Edward Seale</t>
  </si>
  <si>
    <t>John Ralston</t>
  </si>
  <si>
    <t>Two Lovers and a Bear </t>
  </si>
  <si>
    <t>http://www.imdb.com/title/tt4412528/?ref_=fn_tt_tt_1</t>
  </si>
  <si>
    <t>Jackie Earle Haley</t>
  </si>
  <si>
    <t>Rex Baker</t>
  </si>
  <si>
    <t>Travis Aaron Wade</t>
  </si>
  <si>
    <t>Criminal Activities </t>
  </si>
  <si>
    <t>african american gangster|falling to death|in over one's head|murder|surveillance</t>
  </si>
  <si>
    <t>http://www.imdb.com/title/tt3687310/?ref_=fn_tt_tt_1</t>
  </si>
  <si>
    <t>Max Färberböck</t>
  </si>
  <si>
    <t>Heike Makatsch</t>
  </si>
  <si>
    <t>Johanna Wokalek</t>
  </si>
  <si>
    <t>Maria Schrader</t>
  </si>
  <si>
    <t>Aimee &amp; Jaguar 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</si>
  <si>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</si>
  <si>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</si>
  <si>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</si>
  <si>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</si>
  <si>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</si>
  <si>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</si>
  <si>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</si>
  <si>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</si>
  <si>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</si>
  <si>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Shade </t>
  </si>
  <si>
    <t>bar|strip club|stripper|texas hold 'em|thong</t>
  </si>
  <si>
    <t>http://www.imdb.com/title/tt0323939/?ref_=fn_tt_tt_1</t>
  </si>
  <si>
    <t>Mark Tonderai</t>
  </si>
  <si>
    <t>Gil Bellows</t>
  </si>
  <si>
    <t>House at the End of the Street </t>
  </si>
  <si>
    <t>brother sister relationship|death of sister|female protagonist|mother daughter relationship|murder</t>
  </si>
  <si>
    <t>http://www.imdb.com/title/tt1582507/?ref_=fn_tt_tt_1</t>
  </si>
  <si>
    <t>Drama|Mystery|War</t>
  </si>
  <si>
    <t>Mélissa Désormeaux-Poulin</t>
  </si>
  <si>
    <t>Ahmad Massad</t>
  </si>
  <si>
    <t>Incendies </t>
  </si>
  <si>
    <t>brother sister relationship|family relationships|middle east|mother son relationship|twin brother and sister</t>
  </si>
  <si>
    <t>http://www.imdb.com/title/tt1255953/?ref_=fn_tt_tt_1</t>
  </si>
  <si>
    <t>Laura Morante</t>
  </si>
  <si>
    <t>Silvio Muccino</t>
  </si>
  <si>
    <t>Giulia Michelini</t>
  </si>
  <si>
    <t>Remember Me, My Love 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</si>
  <si>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</si>
  <si>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</si>
  <si>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</si>
  <si>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</si>
  <si>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</si>
  <si>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</si>
  <si>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</si>
  <si>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</si>
  <si>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André Ramiro</t>
  </si>
  <si>
    <t>Elite Squad 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</si>
  <si>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</si>
  <si>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</si>
  <si>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</si>
  <si>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</si>
  <si>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</si>
  <si>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Annabelle </t>
  </si>
  <si>
    <t>horror movie prequel|murder|paranormal activity|self sacrifice|suicide</t>
  </si>
  <si>
    <t>http://www.imdb.com/title/tt3322940/?ref_=fn_tt_tt_1</t>
  </si>
  <si>
    <t>Rachel Perkins</t>
  </si>
  <si>
    <t>Comedy|Drama|Musical</t>
  </si>
  <si>
    <t>Magda Szubanski</t>
  </si>
  <si>
    <t>Jessica Mauboy</t>
  </si>
  <si>
    <t>Bran Nue Dae </t>
  </si>
  <si>
    <t>australia|journey|love|priest|traveling</t>
  </si>
  <si>
    <t>http://www.imdb.com/title/tt1148165/?ref_=fn_tt_tt_1</t>
  </si>
  <si>
    <t>John Cothran</t>
  </si>
  <si>
    <t>Lloyd Avery II</t>
  </si>
  <si>
    <t>Na'Blonka Durden</t>
  </si>
  <si>
    <t>Boyz n the Hood 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</si>
  <si>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</si>
  <si>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</si>
  <si>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</si>
  <si>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</si>
  <si>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</si>
  <si>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La Bamba </t>
  </si>
  <si>
    <t>crash|hispanic|interracial relationship|interracial romance|racism</t>
  </si>
  <si>
    <t>http://www.imdb.com/title/tt0093378/?ref_=fn_tt_tt_1</t>
  </si>
  <si>
    <t>Alan Alda</t>
  </si>
  <si>
    <t>Rita Moreno</t>
  </si>
  <si>
    <t>Len Cariou</t>
  </si>
  <si>
    <t>Sandy Dennis</t>
  </si>
  <si>
    <t>The Four Seasons 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</si>
  <si>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</si>
  <si>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</si>
  <si>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</si>
  <si>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</si>
  <si>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</si>
  <si>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</si>
  <si>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</si>
  <si>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</si>
  <si>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</si>
  <si>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</si>
  <si>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</si>
  <si>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</si>
  <si>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</si>
  <si>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</si>
  <si>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Jake Cherry</t>
  </si>
  <si>
    <t>Friends with Money </t>
  </si>
  <si>
    <t>friend|friendship|marital problem|money problems|nervous breakdown</t>
  </si>
  <si>
    <t>http://www.imdb.com/title/tt0436331/?ref_=fn_tt_tt_1</t>
  </si>
  <si>
    <t>David Wayne</t>
  </si>
  <si>
    <t>Paula Kelly</t>
  </si>
  <si>
    <t>Eric Christmas</t>
  </si>
  <si>
    <t>The Andromeda Strain 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</si>
  <si>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</si>
  <si>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</si>
  <si>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</si>
  <si>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</si>
  <si>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</si>
  <si>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</si>
  <si>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</si>
  <si>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Merab Ninidze</t>
  </si>
  <si>
    <t>Juliane Köhler</t>
  </si>
  <si>
    <t>Matthias Habich</t>
  </si>
  <si>
    <t>Nowhere in Africa 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</si>
  <si>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</si>
  <si>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</si>
  <si>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</si>
  <si>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</si>
  <si>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</si>
  <si>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</si>
  <si>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</si>
  <si>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</si>
  <si>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</si>
  <si>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</si>
  <si>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</si>
  <si>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</si>
  <si>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</si>
  <si>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</si>
  <si>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</si>
  <si>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</si>
  <si>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</si>
  <si>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</si>
  <si>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</si>
  <si>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</si>
  <si>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</si>
  <si>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</si>
  <si>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Skarsgård</t>
  </si>
  <si>
    <t>Aberdeen 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</si>
  <si>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</si>
  <si>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</si>
  <si>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</si>
  <si>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</si>
  <si>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</si>
  <si>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</si>
  <si>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</si>
  <si>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</si>
  <si>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</si>
  <si>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</si>
  <si>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</si>
  <si>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</si>
  <si>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</si>
  <si>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</si>
  <si>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</si>
  <si>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</si>
  <si>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</si>
  <si>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</si>
  <si>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Florian Lukas</t>
  </si>
  <si>
    <t>Chulpan Khamatova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</si>
  <si>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</si>
  <si>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</si>
  <si>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</si>
  <si>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</si>
  <si>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Maurice Roëves</t>
  </si>
  <si>
    <t>The Damned United </t>
  </si>
  <si>
    <t>cup|derby county|flashback|football|leeds united</t>
  </si>
  <si>
    <t>http://www.imdb.com/title/tt1226271/?ref_=fn_tt_tt_1</t>
  </si>
  <si>
    <t>Dan O'Bannon</t>
  </si>
  <si>
    <t>Linnea Quigley</t>
  </si>
  <si>
    <t>Clu Gulager</t>
  </si>
  <si>
    <t>Beverly Randolph</t>
  </si>
  <si>
    <t>The Return of the Living Dead </t>
  </si>
  <si>
    <t>crematorium|female frontal nudity|naked dead woman|paramedic|poison gas</t>
  </si>
  <si>
    <t>http://www.imdb.com/title/tt0089907/?ref_=fn_tt_tt_1</t>
  </si>
  <si>
    <t>Maria Pia Calzone</t>
  </si>
  <si>
    <t>Fortunato Cerlino</t>
  </si>
  <si>
    <t>Marco D'Amore</t>
  </si>
  <si>
    <t>Gomorrah 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</si>
  <si>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</si>
  <si>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</si>
  <si>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</si>
  <si>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</si>
  <si>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</si>
  <si>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</si>
  <si>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</si>
  <si>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</si>
  <si>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</si>
  <si>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</si>
  <si>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</si>
  <si>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</si>
  <si>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Documentary|Drama|War</t>
  </si>
  <si>
    <t>Osama bin Laden</t>
  </si>
  <si>
    <t>Stevie Wonder</t>
  </si>
  <si>
    <t>Ricky Martin</t>
  </si>
  <si>
    <t>Fahrenheit 9/11 </t>
  </si>
  <si>
    <t>anti war|interview|iraq|paranoia|war on terrorism</t>
  </si>
  <si>
    <t>http://www.imdb.com/title/tt0361596/?ref_=fn_tt_tt_1</t>
  </si>
  <si>
    <t>George Roy Hill</t>
  </si>
  <si>
    <t>Biography|Crime|Drama|Western</t>
  </si>
  <si>
    <t>Katharine Ross</t>
  </si>
  <si>
    <t>Ted Cassidy</t>
  </si>
  <si>
    <t>Kenneth Mars</t>
  </si>
  <si>
    <t>Butch Cassidy and the Sundance Kid </t>
  </si>
  <si>
    <t>bolivia|gang|outlaw|posse|train</t>
  </si>
  <si>
    <t>http://www.imdb.com/title/tt0064115/?ref_=fn_tt_tt_1</t>
  </si>
  <si>
    <t>Robert Stevenson</t>
  </si>
  <si>
    <t>Comedy|Family|Fantasy|Musical</t>
  </si>
  <si>
    <t>Ed Wynn</t>
  </si>
  <si>
    <t>Glynis Johns</t>
  </si>
  <si>
    <t>Elsa Lanchester</t>
  </si>
  <si>
    <t>Mary Poppins 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</si>
  <si>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</si>
  <si>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</si>
  <si>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</si>
  <si>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</si>
  <si>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</si>
  <si>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</si>
  <si>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Crime|Drama|Musical|Romance|Thriller</t>
  </si>
  <si>
    <t>George Chakiris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</si>
  <si>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</si>
  <si>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</si>
  <si>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</si>
  <si>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</si>
  <si>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</si>
  <si>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</si>
  <si>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</si>
  <si>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</si>
  <si>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</si>
  <si>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</si>
  <si>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</si>
  <si>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</si>
  <si>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</si>
  <si>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</si>
  <si>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</si>
  <si>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</si>
  <si>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</si>
  <si>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Fantasy|Horror|Romance|Thriller</t>
  </si>
  <si>
    <t>Lisa Wilcox</t>
  </si>
  <si>
    <t>Kelly Jo Minter</t>
  </si>
  <si>
    <t>Matthew Borlenghi</t>
  </si>
  <si>
    <t>A Nightmare on Elm Street 5: The Dream Child </t>
  </si>
  <si>
    <t>child|comic book|dream|murderer|nightmare</t>
  </si>
  <si>
    <t>http://www.imdb.com/title/tt0097981/?ref_=fn_tt_tt_1</t>
  </si>
  <si>
    <t>Erik Estrada</t>
  </si>
  <si>
    <t>Van Wilder: Party Liaison </t>
  </si>
  <si>
    <t>college|love|party|reporter|tuition</t>
  </si>
  <si>
    <t>http://www.imdb.com/title/tt0283111/?ref_=fn_tt_tt_1</t>
  </si>
  <si>
    <t>John D'Leo</t>
  </si>
  <si>
    <t>Ajay Naidu</t>
  </si>
  <si>
    <t>The Wrestler 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</si>
  <si>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</si>
  <si>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</si>
  <si>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</si>
  <si>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</si>
  <si>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</si>
  <si>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Duel in the Sun 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</si>
  <si>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</si>
  <si>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</si>
  <si>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</si>
  <si>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</si>
  <si>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</si>
  <si>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Tom Atkins</t>
  </si>
  <si>
    <t>Escape from New York 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</si>
  <si>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</si>
  <si>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</si>
  <si>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</si>
  <si>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</si>
  <si>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</si>
  <si>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</si>
  <si>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</si>
  <si>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</si>
  <si>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</si>
  <si>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</si>
  <si>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</si>
  <si>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Rachel Blakely</t>
  </si>
  <si>
    <t>Mr. Nice Guy 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</si>
  <si>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</si>
  <si>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</si>
  <si>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</si>
  <si>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</si>
  <si>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</si>
  <si>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</si>
  <si>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</si>
  <si>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</si>
  <si>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</si>
  <si>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</si>
  <si>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</si>
  <si>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John Lynch</t>
  </si>
  <si>
    <t>Sliding Doors 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</si>
  <si>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</si>
  <si>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</si>
  <si>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</si>
  <si>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</si>
  <si>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Tales from the Hood </t>
  </si>
  <si>
    <t>child abuse|death|drugs|ku klux klan|police brutality</t>
  </si>
  <si>
    <t>http://www.imdb.com/title/tt0114609/?ref_=fn_tt_tt_1</t>
  </si>
  <si>
    <t>Abby Mukiibi Nkaaga</t>
  </si>
  <si>
    <t>The Last King of Scotland 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</si>
  <si>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</si>
  <si>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</si>
  <si>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</si>
  <si>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</si>
  <si>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</si>
  <si>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</si>
  <si>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</si>
  <si>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</si>
  <si>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Rick Dial</t>
  </si>
  <si>
    <t>Bernie </t>
  </si>
  <si>
    <t>funeral|stockbroker|texas|vacation|widow</t>
  </si>
  <si>
    <t>http://www.imdb.com/title/tt1704573/?ref_=fn_tt_tt_1</t>
  </si>
  <si>
    <t>Jean-Jacques Mantello</t>
  </si>
  <si>
    <t>Adventure|Documentary|Short</t>
  </si>
  <si>
    <t>Daryl Hannah</t>
  </si>
  <si>
    <t>Dolphins and Whales 3D: Tribes of the Ocean </t>
  </si>
  <si>
    <t>3d in title|animal in title|digit in title|dolphin|manatee</t>
  </si>
  <si>
    <t>http://www.imdb.com/title/tt0996382/?ref_=fn_tt_tt_1</t>
  </si>
  <si>
    <t>Amy Madigan</t>
  </si>
  <si>
    <t>Pollock 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</si>
  <si>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</si>
  <si>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</si>
  <si>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</si>
  <si>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</si>
  <si>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</si>
  <si>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</si>
  <si>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</si>
  <si>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</si>
  <si>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</si>
  <si>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</si>
  <si>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</si>
  <si>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Luis E. Carazo</t>
  </si>
  <si>
    <t>Casa de mi Padre </t>
  </si>
  <si>
    <t>absurd humor|drug lord|mexico|ranch|spaghetti western</t>
  </si>
  <si>
    <t>http://www.imdb.com/title/tt1702425/?ref_=fn_tt_tt_1</t>
  </si>
  <si>
    <t>Raymond De Felitta</t>
  </si>
  <si>
    <t>Dominik García-Lorido</t>
  </si>
  <si>
    <t>City Island </t>
  </si>
  <si>
    <t>anger|family reunion|father son reunion|hugging|movie making</t>
  </si>
  <si>
    <t>http://www.imdb.com/title/tt1174730/?ref_=fn_tt_tt_1</t>
  </si>
  <si>
    <t>John Michael McDonagh</t>
  </si>
  <si>
    <t>Wale Ojo</t>
  </si>
  <si>
    <t>The Guard 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</si>
  <si>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</si>
  <si>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</si>
  <si>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</si>
  <si>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</si>
  <si>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</si>
  <si>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</si>
  <si>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</si>
  <si>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</si>
  <si>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</si>
  <si>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</si>
  <si>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</si>
  <si>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</si>
  <si>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</si>
  <si>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</si>
  <si>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Hugh M. Hefner</t>
  </si>
  <si>
    <t>Windell Middlebrooks</t>
  </si>
  <si>
    <t>Raquel Alessi</t>
  </si>
  <si>
    <t>Miss March 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</si>
  <si>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</si>
  <si>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</si>
  <si>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</si>
  <si>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</si>
  <si>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</si>
  <si>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</si>
  <si>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</si>
  <si>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Lawrence Gilliard Jr.</t>
  </si>
  <si>
    <t>Simply Irresistible 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</si>
  <si>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</si>
  <si>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</si>
  <si>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</si>
  <si>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</si>
  <si>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</si>
  <si>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</si>
  <si>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</si>
  <si>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</si>
  <si>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</si>
  <si>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</si>
  <si>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</si>
  <si>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</si>
  <si>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Todd Susman</t>
  </si>
  <si>
    <t>Only the Strong </t>
  </si>
  <si>
    <t>capoeira|fight|fighting|martial arts|violence</t>
  </si>
  <si>
    <t>http://www.imdb.com/title/tt0107750/?ref_=fn_tt_tt_1</t>
  </si>
  <si>
    <t>Jon Knautz</t>
  </si>
  <si>
    <t>Rachel Alig</t>
  </si>
  <si>
    <t>Monda Scott</t>
  </si>
  <si>
    <t>Alexis Kendra</t>
  </si>
  <si>
    <t>Goddess of Love 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</si>
  <si>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</si>
  <si>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</si>
  <si>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</si>
  <si>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</si>
  <si>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</si>
  <si>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</si>
  <si>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</si>
  <si>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</si>
  <si>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Novocaine </t>
  </si>
  <si>
    <t>dentist|drugs|murder|sex|sunflower</t>
  </si>
  <si>
    <t>http://www.imdb.com/title/tt0234354/?ref_=fn_tt_tt_1</t>
  </si>
  <si>
    <t>Patrick Stettner</t>
  </si>
  <si>
    <t>Frederick Weller</t>
  </si>
  <si>
    <t>The Business of Strangers </t>
  </si>
  <si>
    <t>airport|businesswoman|hotel|revenge|vegetarian</t>
  </si>
  <si>
    <t>http://www.imdb.com/title/tt0270259/?ref_=fn_tt_tt_1</t>
  </si>
  <si>
    <t>Sam Peckinpah</t>
  </si>
  <si>
    <t>William Holden</t>
  </si>
  <si>
    <t>Warren Oates</t>
  </si>
  <si>
    <t>L.Q. Jones</t>
  </si>
  <si>
    <t>The Wild Bunch 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</si>
  <si>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</si>
  <si>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</si>
  <si>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</si>
  <si>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</si>
  <si>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</si>
  <si>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</si>
  <si>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Adventure|Crime|Drama|Thriller</t>
  </si>
  <si>
    <t>Lesley-Anne Down</t>
  </si>
  <si>
    <t>Michael Elphick</t>
  </si>
  <si>
    <t>Pamela Salem</t>
  </si>
  <si>
    <t>The Great Train Robbery </t>
  </si>
  <si>
    <t>bank|gold|key|safe|train</t>
  </si>
  <si>
    <t>http://www.imdb.com/title/tt0079240/?ref_=fn_tt_tt_1</t>
  </si>
  <si>
    <t>Bryan Dick</t>
  </si>
  <si>
    <t>Paul Popplewell</t>
  </si>
  <si>
    <t>Morvern Callar 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</si>
  <si>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</si>
  <si>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</si>
  <si>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</si>
  <si>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</si>
  <si>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</si>
  <si>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Beastmaster 2: Through the Portal of Time 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</si>
  <si>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</si>
  <si>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</si>
  <si>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</si>
  <si>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</si>
  <si>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</si>
  <si>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The 5th Quarter </t>
  </si>
  <si>
    <t>athletic training|football practice|funeral|gymnasium|man crying</t>
  </si>
  <si>
    <t>http://www.imdb.com/title/tt1130964/?ref_=fn_tt_tt_1</t>
  </si>
  <si>
    <t>Nathalie Baye</t>
  </si>
  <si>
    <t>Mélanie Doutey</t>
  </si>
  <si>
    <t>The Flower of Evil </t>
  </si>
  <si>
    <t>bordeaux|election|mayor|pamphlet|political thriller</t>
  </si>
  <si>
    <t>http://www.imdb.com/title/tt0322289/?ref_=fn_tt_tt_1</t>
  </si>
  <si>
    <t>Cara Seymour</t>
  </si>
  <si>
    <t>The Greatest </t>
  </si>
  <si>
    <t>car crash|loss|self help group|teenage mother|title directed by female</t>
  </si>
  <si>
    <t>http://www.imdb.com/title/tt1226232/?ref_=fn_tt_tt_1</t>
  </si>
  <si>
    <t>Ji-hyun Jun</t>
  </si>
  <si>
    <t>Snow Flower and the Secret Fan 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</si>
  <si>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</si>
  <si>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</si>
  <si>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</si>
  <si>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</si>
  <si>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Come Early Morning </t>
  </si>
  <si>
    <t>church|drink|knocking on a door|love|three word title</t>
  </si>
  <si>
    <t>http://www.imdb.com/title/tt0457308/?ref_=fn_tt_tt_1</t>
  </si>
  <si>
    <t>Peter McNamara</t>
  </si>
  <si>
    <t>Lucky Break 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</si>
  <si>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</si>
  <si>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</si>
  <si>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</si>
  <si>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</si>
  <si>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</si>
  <si>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</si>
  <si>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</si>
  <si>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</si>
  <si>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</si>
  <si>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</si>
  <si>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Noam Chomsky</t>
  </si>
  <si>
    <t>Pat Buchanan</t>
  </si>
  <si>
    <t>Bill Baird</t>
  </si>
  <si>
    <t>Lake of Fire 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</si>
  <si>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</si>
  <si>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</si>
  <si>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</si>
  <si>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</si>
  <si>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</si>
  <si>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</si>
  <si>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</si>
  <si>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</si>
  <si>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</si>
  <si>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</si>
  <si>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</si>
  <si>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</si>
  <si>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Robert Wahlberg</t>
  </si>
  <si>
    <t>Don McKay 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</si>
  <si>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</si>
  <si>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</si>
  <si>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</si>
  <si>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</si>
  <si>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</si>
  <si>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John Bell</t>
  </si>
  <si>
    <t>A Shine of Rainbows 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</si>
  <si>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</si>
  <si>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</si>
  <si>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</si>
  <si>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</si>
  <si>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</si>
  <si>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</si>
  <si>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</si>
  <si>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</si>
  <si>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</si>
  <si>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</si>
  <si>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</si>
  <si>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Debbie Harry</t>
  </si>
  <si>
    <t>Leslie Carlson</t>
  </si>
  <si>
    <t>Reiner Schwarz</t>
  </si>
  <si>
    <t>Videodrome 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</si>
  <si>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</si>
  <si>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</si>
  <si>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</si>
  <si>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</si>
  <si>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</si>
  <si>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</si>
  <si>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</si>
  <si>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</si>
  <si>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</si>
  <si>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Song One </t>
  </si>
  <si>
    <t>musician|number in title|recording|sibling</t>
  </si>
  <si>
    <t>http://www.imdb.com/title/tt2182972/?ref_=fn_tt_tt_1</t>
  </si>
  <si>
    <t>Martin Koolhoven</t>
  </si>
  <si>
    <t>Yorick van Wageningen</t>
  </si>
  <si>
    <t>Tygo Gernandt</t>
  </si>
  <si>
    <t>Martijn Lakemeier</t>
  </si>
  <si>
    <t>Winter in Wartime 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</si>
  <si>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</si>
  <si>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</si>
  <si>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</si>
  <si>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</si>
  <si>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</si>
  <si>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</si>
  <si>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Thriller|War</t>
  </si>
  <si>
    <t>Paul Scofield</t>
  </si>
  <si>
    <t>Michel Simon</t>
  </si>
  <si>
    <t>The Train </t>
  </si>
  <si>
    <t>art|french|german|painting|train</t>
  </si>
  <si>
    <t>http://www.imdb.com/title/tt0059825/?ref_=fn_tt_tt_1</t>
  </si>
  <si>
    <t>Christopher M. Bessette</t>
  </si>
  <si>
    <t>Trieu Tran</t>
  </si>
  <si>
    <t>Trade of Innocents 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</si>
  <si>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</si>
  <si>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</si>
  <si>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</si>
  <si>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</si>
  <si>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</si>
  <si>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The Protector 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</si>
  <si>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</si>
  <si>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</si>
  <si>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</si>
  <si>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</si>
  <si>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</si>
  <si>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</si>
  <si>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Simon Bird</t>
  </si>
  <si>
    <t>Belinda Stewart-Wilson</t>
  </si>
  <si>
    <t>James Buckley</t>
  </si>
  <si>
    <t>The Inbetweeners 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</si>
  <si>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</si>
  <si>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</si>
  <si>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</si>
  <si>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</si>
  <si>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</si>
  <si>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</si>
  <si>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</si>
  <si>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</si>
  <si>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</si>
  <si>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</si>
  <si>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Action|Sport</t>
  </si>
  <si>
    <t>Wesley Jonathan</t>
  </si>
  <si>
    <t>Wayne Brady</t>
  </si>
  <si>
    <t>Eva Marcille</t>
  </si>
  <si>
    <t>Crossover </t>
  </si>
  <si>
    <t>african american|basketball|basketball movie|critically bashed|tv commercial</t>
  </si>
  <si>
    <t>http://www.imdb.com/title/tt0473024/?ref_=fn_tt_tt_1</t>
  </si>
  <si>
    <t>Ashish R. Mohan</t>
  </si>
  <si>
    <t>Asin</t>
  </si>
  <si>
    <t>Mithun Chakraborty</t>
  </si>
  <si>
    <t>Johnny Lever</t>
  </si>
  <si>
    <t>Khiladi 786 </t>
  </si>
  <si>
    <t>car crash|impersonating a police officer|long lost brother|marriage bureau|suitor</t>
  </si>
  <si>
    <t>http://www.imdb.com/title/tt2166214/?ref_=fn_tt_tt_1</t>
  </si>
  <si>
    <t>Jonathan D. Mellor</t>
  </si>
  <si>
    <t>Pablo Rosso</t>
  </si>
  <si>
    <t>Andrea Ros</t>
  </si>
  <si>
    <t>[Rec] 2 </t>
  </si>
  <si>
    <t>apartment|apartment building|blood sample|crucifix|zombie</t>
  </si>
  <si>
    <t>http://www.imdb.com/title/tt1245112/?ref_=fn_tt_tt_1</t>
  </si>
  <si>
    <t>Musical</t>
  </si>
  <si>
    <t>Kayla Jackson</t>
  </si>
  <si>
    <t>Alexis Biesiada</t>
  </si>
  <si>
    <t>Kayla Raparelli</t>
  </si>
  <si>
    <t>Standing Ovation 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</si>
  <si>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</si>
  <si>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</si>
  <si>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</si>
  <si>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</si>
  <si>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</si>
  <si>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</si>
  <si>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</si>
  <si>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</si>
  <si>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</si>
  <si>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</si>
  <si>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</si>
  <si>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</si>
  <si>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Nicholas Bell</t>
  </si>
  <si>
    <t>Shine </t>
  </si>
  <si>
    <t>abuse|australia|concert|pianist|piano</t>
  </si>
  <si>
    <t>http://www.imdb.com/title/tt0117631/?ref_=fn_tt_tt_1</t>
  </si>
  <si>
    <t>Tony Danza</t>
  </si>
  <si>
    <t>Don Jon 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</si>
  <si>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</si>
  <si>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</si>
  <si>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</si>
  <si>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</si>
  <si>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High Plains Drifter 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</si>
  <si>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</si>
  <si>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</si>
  <si>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</si>
  <si>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</si>
  <si>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</si>
  <si>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</si>
  <si>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</si>
  <si>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</si>
  <si>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</si>
  <si>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Stephen Macht</t>
  </si>
  <si>
    <t>Avery Schreiber</t>
  </si>
  <si>
    <t>Galaxina </t>
  </si>
  <si>
    <t>alien|android|fem bot|female android|stars</t>
  </si>
  <si>
    <t>http://www.imdb.com/title/tt0080771/?ref_=fn_tt_tt_1</t>
  </si>
  <si>
    <t>Christophe Barratier</t>
  </si>
  <si>
    <t>Jean-Baptiste Maunier</t>
  </si>
  <si>
    <t>François Berléand</t>
  </si>
  <si>
    <t>Gérard Jugnot</t>
  </si>
  <si>
    <t>The Chorus </t>
  </si>
  <si>
    <t>boarding school|boy|choir|school|teacher</t>
  </si>
  <si>
    <t>http://www.imdb.com/title/tt0372824/?ref_=fn_tt_tt_1</t>
  </si>
  <si>
    <t>Émile Gaudreault</t>
  </si>
  <si>
    <t>Luke Kirby</t>
  </si>
  <si>
    <t>Claudia Ferri</t>
  </si>
  <si>
    <t>Mambo Italiano </t>
  </si>
  <si>
    <t>gay|immigrant|italian|police|police officer</t>
  </si>
  <si>
    <t>http://www.imdb.com/title/tt0330602/?ref_=fn_tt_tt_1</t>
  </si>
  <si>
    <t>James Cox</t>
  </si>
  <si>
    <t>Franky G</t>
  </si>
  <si>
    <t>Wonderland </t>
  </si>
  <si>
    <t>murder|police|police investigation|porn star|robbery</t>
  </si>
  <si>
    <t>http://www.imdb.com/title/tt0335563/?ref_=fn_tt_tt_1</t>
  </si>
  <si>
    <t>Danny Aiello</t>
  </si>
  <si>
    <t>Do the Right Thing 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</si>
  <si>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</si>
  <si>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</si>
  <si>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</si>
  <si>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</si>
  <si>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</si>
  <si>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</si>
  <si>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</si>
  <si>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Jean-Pierre Léaud</t>
  </si>
  <si>
    <t>Kati Outinen</t>
  </si>
  <si>
    <t>Jean-Pierre Darroussin</t>
  </si>
  <si>
    <t>Le Havre </t>
  </si>
  <si>
    <t>bar|container|illegal immigrant|neighbor|shoe shiner</t>
  </si>
  <si>
    <t>http://www.imdb.com/title/tt1508675/?ref_=fn_tt_tt_1</t>
  </si>
  <si>
    <t>Finland</t>
  </si>
  <si>
    <t>Jo Prestia</t>
  </si>
  <si>
    <t>Irreversible 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</si>
  <si>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</si>
  <si>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</si>
  <si>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</si>
  <si>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</si>
  <si>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</si>
  <si>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R100 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</si>
  <si>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</si>
  <si>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</si>
  <si>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</si>
  <si>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</si>
  <si>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</si>
  <si>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Rang De Basanti </t>
  </si>
  <si>
    <t>freedom|friend|india|student|urination</t>
  </si>
  <si>
    <t>http://www.imdb.com/title/tt0405508/?ref_=fn_tt_tt_1</t>
  </si>
  <si>
    <t>Collin Schiffli</t>
  </si>
  <si>
    <t>David Dastmalchian</t>
  </si>
  <si>
    <t>Animals 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</si>
  <si>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</si>
  <si>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</si>
  <si>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</si>
  <si>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</si>
  <si>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</si>
  <si>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Salvation Boulevard </t>
  </si>
  <si>
    <t>cross|doused with gasoline|pastor|security guard|shower</t>
  </si>
  <si>
    <t>http://www.imdb.com/title/tt1251743/?ref_=fn_tt_tt_1</t>
  </si>
  <si>
    <t>Ron Silver</t>
  </si>
  <si>
    <t>The Ten 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</si>
  <si>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</si>
  <si>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</si>
  <si>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</si>
  <si>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</si>
  <si>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</si>
  <si>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</si>
  <si>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Aksel Hennie</t>
  </si>
  <si>
    <t>Synnøve Macody Lund</t>
  </si>
  <si>
    <t>Julie R. Ølgaard</t>
  </si>
  <si>
    <t>Headhunters 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</si>
  <si>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</si>
  <si>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</si>
  <si>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</si>
  <si>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</si>
  <si>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</si>
  <si>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</si>
  <si>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</si>
  <si>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</si>
  <si>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</si>
  <si>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</si>
  <si>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</si>
  <si>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</si>
  <si>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</si>
  <si>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</si>
  <si>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</si>
  <si>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</si>
  <si>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Miss Julie 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</si>
  <si>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</si>
  <si>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</si>
  <si>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</si>
  <si>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</si>
  <si>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Somewhere in Time 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</si>
  <si>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</si>
  <si>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</si>
  <si>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</si>
  <si>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</si>
  <si>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</si>
  <si>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Dum Maaro Dum 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</si>
  <si>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</si>
  <si>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</si>
  <si>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</si>
  <si>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</si>
  <si>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</si>
  <si>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</si>
  <si>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</si>
  <si>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</si>
  <si>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</si>
  <si>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</si>
  <si>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</si>
  <si>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10 Cloverfield Lane 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</si>
  <si>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</si>
  <si>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</si>
  <si>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</si>
  <si>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</si>
  <si>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</si>
  <si>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</si>
  <si>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</si>
  <si>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</si>
  <si>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</si>
  <si>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</si>
  <si>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</si>
  <si>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</si>
  <si>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</si>
  <si>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</si>
  <si>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</si>
  <si>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</si>
  <si>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</si>
  <si>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</si>
  <si>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Ouija </t>
  </si>
  <si>
    <t>death of girlfriend|funeral|ghost|ouija|spirit</t>
  </si>
  <si>
    <t>http://www.imdb.com/title/tt1204977/?ref_=fn_tt_tt_1</t>
  </si>
  <si>
    <t>John Saxon</t>
  </si>
  <si>
    <t>Jennifer Rubin</t>
  </si>
  <si>
    <t>A Nightmare on Elm Street 3: Dream Warriors 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</si>
  <si>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</si>
  <si>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</si>
  <si>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</si>
  <si>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</si>
  <si>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</si>
  <si>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Instructions Not Included </t>
  </si>
  <si>
    <t>father daughter relationship</t>
  </si>
  <si>
    <t>http://www.imdb.com/title/tt2378281/?ref_=fn_tt_tt_1</t>
  </si>
  <si>
    <t>Matt Shively</t>
  </si>
  <si>
    <t>Brendon Eggertsen</t>
  </si>
  <si>
    <t>Alisha Boe</t>
  </si>
  <si>
    <t>Paranormal Activity 4 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</si>
  <si>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</si>
  <si>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</si>
  <si>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</si>
  <si>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</si>
  <si>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The Robe </t>
  </si>
  <si>
    <t>box office hit|crucifixion|nightmare|palestine|robe</t>
  </si>
  <si>
    <t>http://www.imdb.com/title/tt0046247/?ref_=fn_tt_tt_1</t>
  </si>
  <si>
    <t>Catherine Schell</t>
  </si>
  <si>
    <t>The Return of the Pink Panther 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</si>
  <si>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</si>
  <si>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</si>
  <si>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</si>
  <si>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</si>
  <si>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</si>
  <si>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</si>
  <si>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</si>
  <si>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</si>
  <si>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</si>
  <si>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Adventure|Drama|Family|Fantasy|Sci-Fi</t>
  </si>
  <si>
    <t>Robert J. Wilke</t>
  </si>
  <si>
    <t>Paul Lukas</t>
  </si>
  <si>
    <t>20,000 Leagues Under the Sea </t>
  </si>
  <si>
    <t>captain|expedition|sea|submarine|whale</t>
  </si>
  <si>
    <t>http://www.imdb.com/title/tt0046672/?ref_=fn_tt_tt_1</t>
  </si>
  <si>
    <t>Christopher Landon</t>
  </si>
  <si>
    <t>Richard Cabral</t>
  </si>
  <si>
    <t>Gloria Sandoval</t>
  </si>
  <si>
    <t>Molly Ephraim</t>
  </si>
  <si>
    <t>Paranormal Activity: The Marked Ones 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</si>
  <si>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</si>
  <si>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</si>
  <si>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</si>
  <si>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</si>
  <si>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</si>
  <si>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</si>
  <si>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</si>
  <si>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</si>
  <si>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</si>
  <si>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</si>
  <si>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</si>
  <si>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</si>
  <si>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Jorja Fox</t>
  </si>
  <si>
    <t>Memento 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</si>
  <si>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</si>
  <si>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</si>
  <si>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</si>
  <si>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</si>
  <si>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</si>
  <si>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Oculus </t>
  </si>
  <si>
    <t>home office|mirror|released from a mental hospital|trauma|video camera</t>
  </si>
  <si>
    <t>http://www.imdb.com/title/tt2388715/?ref_=fn_tt_tt_1</t>
  </si>
  <si>
    <t>Brian O'Halloran</t>
  </si>
  <si>
    <t>Clerks II </t>
  </si>
  <si>
    <t>fast food|fast food restaurant|new jersey|quick stop|restaurant</t>
  </si>
  <si>
    <t>http://www.imdb.com/title/tt0424345/?ref_=fn_tt_tt_1</t>
  </si>
  <si>
    <t>Jamie Draven</t>
  </si>
  <si>
    <t>Billy Elliot 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</si>
  <si>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</si>
  <si>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</si>
  <si>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</si>
  <si>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</si>
  <si>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</si>
  <si>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</si>
  <si>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</si>
  <si>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</si>
  <si>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House Party 2 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</si>
  <si>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</si>
  <si>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</si>
  <si>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</si>
  <si>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</si>
  <si>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</si>
  <si>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The Man from Snowy River 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</si>
  <si>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</si>
  <si>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</si>
  <si>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</si>
  <si>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</si>
  <si>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</si>
  <si>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Doug's 1st Movie </t>
  </si>
  <si>
    <t>dance|friend|monster|reference to batman|valentine</t>
  </si>
  <si>
    <t>http://www.imdb.com/title/tt0187819/?ref_=fn_tt_tt_1</t>
  </si>
  <si>
    <t>John Beasley</t>
  </si>
  <si>
    <t>June Carter Cash</t>
  </si>
  <si>
    <t>The Apostle </t>
  </si>
  <si>
    <t>church|louisiana|minister|preacher|texas</t>
  </si>
  <si>
    <t>http://www.imdb.com/title/tt0118632/?ref_=fn_tt_tt_1</t>
  </si>
  <si>
    <t>Frank Perry</t>
  </si>
  <si>
    <t>Diana Scarwid</t>
  </si>
  <si>
    <t>Mommie Dearest 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</si>
  <si>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</si>
  <si>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</si>
  <si>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</si>
  <si>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</si>
  <si>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</si>
  <si>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</si>
  <si>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</si>
  <si>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</si>
  <si>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</si>
  <si>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</si>
  <si>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</si>
  <si>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</si>
  <si>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The Players Club </t>
  </si>
  <si>
    <t>catfight|dominatrix|rape|spanking|stripper</t>
  </si>
  <si>
    <t>http://www.imdb.com/title/tt0119905/?ref_=fn_tt_tt_1</t>
  </si>
  <si>
    <t>Edwin Hodge</t>
  </si>
  <si>
    <t>Perdita Weeks</t>
  </si>
  <si>
    <t>As Above, So Below 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</si>
  <si>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</si>
  <si>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</si>
  <si>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</si>
  <si>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</si>
  <si>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</si>
  <si>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</si>
  <si>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</si>
  <si>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</si>
  <si>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</si>
  <si>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</si>
  <si>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</si>
  <si>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</si>
  <si>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</si>
  <si>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</si>
  <si>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</si>
  <si>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</si>
  <si>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</si>
  <si>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</si>
  <si>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</si>
  <si>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</si>
  <si>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</si>
  <si>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Nighthawks </t>
  </si>
  <si>
    <t>bomb|new york city|partner|shooting|terrorist</t>
  </si>
  <si>
    <t>http://www.imdb.com/title/tt0082817/?ref_=fn_tt_tt_1</t>
  </si>
  <si>
    <t>Rob Hedden</t>
  </si>
  <si>
    <t>Adventure|Horror</t>
  </si>
  <si>
    <t>Peter Mark Richman</t>
  </si>
  <si>
    <t>Scott Reeves</t>
  </si>
  <si>
    <t>Friday the 13th Part VIII: Jason Takes Manhattan 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</si>
  <si>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</si>
  <si>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</si>
  <si>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</si>
  <si>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</si>
  <si>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</si>
  <si>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Rachel Korine</t>
  </si>
  <si>
    <t>Spring Breakers 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</si>
  <si>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</si>
  <si>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</si>
  <si>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</si>
  <si>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</si>
  <si>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</si>
  <si>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</si>
  <si>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</si>
  <si>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</si>
  <si>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María Aura</t>
  </si>
  <si>
    <t>Y Tu Mamá También 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</si>
  <si>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</si>
  <si>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</si>
  <si>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</si>
  <si>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</si>
  <si>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</si>
  <si>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</si>
  <si>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</si>
  <si>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</si>
  <si>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</si>
  <si>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</si>
  <si>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</si>
  <si>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Miriam Colon</t>
  </si>
  <si>
    <t>Lone Star 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</si>
  <si>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</si>
  <si>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</si>
  <si>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</si>
  <si>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</si>
  <si>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 4: The Return of Michael Myers 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</si>
  <si>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</si>
  <si>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</si>
  <si>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</si>
  <si>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</si>
  <si>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</si>
  <si>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 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</si>
  <si>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</si>
  <si>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</si>
  <si>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</si>
  <si>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</si>
  <si>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</si>
  <si>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</si>
  <si>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</si>
  <si>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</si>
  <si>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Lone Wolf McQuade </t>
  </si>
  <si>
    <t>drugs|martial arts|texas|texas ranger|weapon</t>
  </si>
  <si>
    <t>http://www.imdb.com/title/tt0085862/?ref_=fn_tt_tt_1</t>
  </si>
  <si>
    <t>Gonzalo López-Gallego</t>
  </si>
  <si>
    <t>Ryan Robbins</t>
  </si>
  <si>
    <t>Andrew Airlie</t>
  </si>
  <si>
    <t>Apollo 18 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</si>
  <si>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</si>
  <si>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</si>
  <si>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</si>
  <si>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</si>
  <si>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</si>
  <si>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</si>
  <si>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Sterling Jerins</t>
  </si>
  <si>
    <t>Claire Geare</t>
  </si>
  <si>
    <t>Sahajak Boonthanakit</t>
  </si>
  <si>
    <t>No Escape 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</si>
  <si>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</si>
  <si>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</si>
  <si>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</si>
  <si>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</si>
  <si>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</si>
  <si>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</si>
  <si>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</si>
  <si>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Gina Lollobrigida</t>
  </si>
  <si>
    <t>George Sanders</t>
  </si>
  <si>
    <t>Finlay Currie</t>
  </si>
  <si>
    <t>Solomon and Sheba 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</si>
  <si>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</si>
  <si>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</si>
  <si>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</si>
  <si>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</si>
  <si>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</si>
  <si>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</si>
  <si>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</si>
  <si>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</si>
  <si>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</si>
  <si>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</si>
  <si>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Gary Cooper</t>
  </si>
  <si>
    <t>Helen Hayes</t>
  </si>
  <si>
    <t>Adolphe Menjou</t>
  </si>
  <si>
    <t>A Farewell to Arms </t>
  </si>
  <si>
    <t>1910s|ambulance driver|italy|lake|nurse</t>
  </si>
  <si>
    <t>http://www.imdb.com/title/tt0022879/?ref_=fn_tt_tt_1</t>
  </si>
  <si>
    <t>Lauren London</t>
  </si>
  <si>
    <t>The Perfect Match </t>
  </si>
  <si>
    <t>http://www.imdb.com/title/tt4871980/?ref_=fn_tt_tt_1</t>
  </si>
  <si>
    <t>Mamoru Hosoda</t>
  </si>
  <si>
    <t>Lara Jill Miller</t>
  </si>
  <si>
    <t>Colleen O'Shaughnessey</t>
  </si>
  <si>
    <t>Mona Marshall</t>
  </si>
  <si>
    <t>Digimon: The Movie 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</si>
  <si>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</si>
  <si>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</si>
  <si>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</si>
  <si>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</si>
  <si>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</si>
  <si>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</si>
  <si>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</si>
  <si>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</si>
  <si>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Marina Hands</t>
  </si>
  <si>
    <t>The Barbarian Invasions </t>
  </si>
  <si>
    <t>cancer|dying|friend|money|socialist</t>
  </si>
  <si>
    <t>http://www.imdb.com/title/tt0338135/?ref_=fn_tt_tt_1</t>
  </si>
  <si>
    <t>Nicol Williamson</t>
  </si>
  <si>
    <t>Robin and Marian 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</si>
  <si>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</si>
  <si>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</si>
  <si>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</si>
  <si>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</si>
  <si>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</si>
  <si>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</si>
  <si>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</si>
  <si>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</si>
  <si>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</si>
  <si>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</si>
  <si>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Michael Richards</t>
  </si>
  <si>
    <t>UHF </t>
  </si>
  <si>
    <t>gambling|imagination|television|television station|tv show</t>
  </si>
  <si>
    <t>http://www.imdb.com/title/tt0098546/?ref_=fn_tt_tt_1</t>
  </si>
  <si>
    <t>Nicholaus Goossen</t>
  </si>
  <si>
    <t>Shirley Jones</t>
  </si>
  <si>
    <t>Grandma's Boy </t>
  </si>
  <si>
    <t>co worker|game tester|loss of virginity|roommate|snack</t>
  </si>
  <si>
    <t>http://www.imdb.com/title/tt0456554/?ref_=fn_tt_tt_1</t>
  </si>
  <si>
    <t>Jessica Walter</t>
  </si>
  <si>
    <t>Slums of Beverly Hills </t>
  </si>
  <si>
    <t>flatulence|menstrual blood|nomad|nursing school|title directed by female</t>
  </si>
  <si>
    <t>http://www.imdb.com/title/tt0120831/?ref_=fn_tt_tt_1</t>
  </si>
  <si>
    <t>Claudia Cardinale</t>
  </si>
  <si>
    <t>Woody Strode</t>
  </si>
  <si>
    <t>Jack Elam</t>
  </si>
  <si>
    <t>Once Upon a Time in the West </t>
  </si>
  <si>
    <t>gang|gun|harmonica|killing|woman in bathtub</t>
  </si>
  <si>
    <t>http://www.imdb.com/title/tt0064116/?ref_=fn_tt_tt_1</t>
  </si>
  <si>
    <t>Jonathan Silverman</t>
  </si>
  <si>
    <t>Made 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</si>
  <si>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</si>
  <si>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</si>
  <si>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</si>
  <si>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</si>
  <si>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</si>
  <si>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</si>
  <si>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</si>
  <si>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</si>
  <si>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</si>
  <si>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</si>
  <si>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Norbert Ferrer</t>
  </si>
  <si>
    <t>Guillaume Denaiffe</t>
  </si>
  <si>
    <t>Chloe Hollings</t>
  </si>
  <si>
    <t>Sea Rex 3D: Journey to a Prehistoric World </t>
  </si>
  <si>
    <t>3d|imax|plesiosaur|sea|water</t>
  </si>
  <si>
    <t>http://www.imdb.com/title/tt1529567/?ref_=fn_tt_tt_1</t>
  </si>
  <si>
    <t>Simon Baker</t>
  </si>
  <si>
    <t>The Sweet Hereafter </t>
  </si>
  <si>
    <t>anger|bus|child|lawyer|school</t>
  </si>
  <si>
    <t>http://www.imdb.com/title/tt0120255/?ref_=fn_tt_tt_1</t>
  </si>
  <si>
    <t>Xavier Beauvois</t>
  </si>
  <si>
    <t>Olivier Rabourdin</t>
  </si>
  <si>
    <t>Of Gods and Men 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</si>
  <si>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</si>
  <si>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</si>
  <si>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</si>
  <si>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</si>
  <si>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</si>
  <si>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</si>
  <si>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</si>
  <si>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Comedy|Music|Sci-Fi</t>
  </si>
  <si>
    <t>Cassandra Peterson</t>
  </si>
  <si>
    <t>Tim Thomerson</t>
  </si>
  <si>
    <t>Bess Armstrong</t>
  </si>
  <si>
    <t>Jekyll and Hyde... Together Again 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</si>
  <si>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</si>
  <si>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</si>
  <si>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</si>
  <si>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</si>
  <si>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Heavenly Creatures </t>
  </si>
  <si>
    <t>fantasy life|friend|friendship|love|teenage crush</t>
  </si>
  <si>
    <t>http://www.imdb.com/title/tt0110005/?ref_=fn_tt_tt_1</t>
  </si>
  <si>
    <t>Bobby Batson</t>
  </si>
  <si>
    <t>Cynthia Barrett</t>
  </si>
  <si>
    <t>90 Minutes in Heaven 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</si>
  <si>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</si>
  <si>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</si>
  <si>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</si>
  <si>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</si>
  <si>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</si>
  <si>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</si>
  <si>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</si>
  <si>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</si>
  <si>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</si>
  <si>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</si>
  <si>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</si>
  <si>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</si>
  <si>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</si>
  <si>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</si>
  <si>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</si>
  <si>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</si>
  <si>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</si>
  <si>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</si>
  <si>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</si>
  <si>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</si>
  <si>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</si>
  <si>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</si>
  <si>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</si>
  <si>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</si>
  <si>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</si>
  <si>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Marilyn Manson</t>
  </si>
  <si>
    <t>Party Monster 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</si>
  <si>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</si>
  <si>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</si>
  <si>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</si>
  <si>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</si>
  <si>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</si>
  <si>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</si>
  <si>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</si>
  <si>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</si>
  <si>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</si>
  <si>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</si>
  <si>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The Oh in Ohio </t>
  </si>
  <si>
    <t>marriage|orgasm|school|sex|swimming</t>
  </si>
  <si>
    <t>http://www.imdb.com/title/tt0422861/?ref_=fn_tt_tt_1</t>
  </si>
  <si>
    <t>James Manera</t>
  </si>
  <si>
    <t>Kristoffer Polaha</t>
  </si>
  <si>
    <t>Atlas Shrugged: Who Is John Galt? 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</si>
  <si>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</si>
  <si>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</si>
  <si>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</si>
  <si>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</si>
  <si>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Bottle Rocket 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</si>
  <si>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</si>
  <si>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</si>
  <si>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</si>
  <si>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</si>
  <si>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</si>
  <si>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</si>
  <si>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Akshaye Khanna</t>
  </si>
  <si>
    <t>Bhoomika Chawla</t>
  </si>
  <si>
    <t>Darshan Jariwala</t>
  </si>
  <si>
    <t>Gandhi, My Father </t>
  </si>
  <si>
    <t>africa|hindu|india|muslim|south africa</t>
  </si>
  <si>
    <t>http://www.imdb.com/title/tt0459293/?ref_=fn_tt_tt_1</t>
  </si>
  <si>
    <t>Errol Morris</t>
  </si>
  <si>
    <t>Crime|Documentary|War</t>
  </si>
  <si>
    <t>Jeffrey Frost</t>
  </si>
  <si>
    <t>Megan Ambuhl Graner</t>
  </si>
  <si>
    <t>Ken Davis</t>
  </si>
  <si>
    <t>Standard Operating Procedure </t>
  </si>
  <si>
    <t>abu ghraib|abuse|prison|slow motion|torture</t>
  </si>
  <si>
    <t>http://www.imdb.com/title/tt0896866/?ref_=fn_tt_tt_1</t>
  </si>
  <si>
    <t>Dennis Hopper</t>
  </si>
  <si>
    <t>Raymond Burr</t>
  </si>
  <si>
    <t>Don Gordon</t>
  </si>
  <si>
    <t>Jim Byrnes</t>
  </si>
  <si>
    <t>Out of the Blue 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</si>
  <si>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</si>
  <si>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</si>
  <si>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</si>
  <si>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</si>
  <si>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</si>
  <si>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</si>
  <si>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</si>
  <si>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</si>
  <si>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</si>
  <si>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</si>
  <si>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</si>
  <si>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Judith Anderson</t>
  </si>
  <si>
    <t>Paul Fix</t>
  </si>
  <si>
    <t>Laraine Day</t>
  </si>
  <si>
    <t>Tycoon </t>
  </si>
  <si>
    <t>engineer|ethics|mountain|railroad|south america</t>
  </si>
  <si>
    <t>http://www.imdb.com/title/tt0039927/?ref_=fn_tt_tt_1</t>
  </si>
  <si>
    <t>Morgan J. Freeman</t>
  </si>
  <si>
    <t>Sara Gilbert</t>
  </si>
  <si>
    <t>Desert Blue </t>
  </si>
  <si>
    <t>cola|desert|ice cream cone|teenage girl|vomiting</t>
  </si>
  <si>
    <t>http://www.imdb.com/title/tt0126261/?ref_=fn_tt_tt_1</t>
  </si>
  <si>
    <t>Matthew Hastings</t>
  </si>
  <si>
    <t>Meghan Ory</t>
  </si>
  <si>
    <t>Marc Trottier</t>
  </si>
  <si>
    <t>Corey Sevier</t>
  </si>
  <si>
    <t>Decoys </t>
  </si>
  <si>
    <t>breasts|campus|college|tentacle|virginity</t>
  </si>
  <si>
    <t>http://www.imdb.com/title/tt0357585/?ref_=fn_tt_tt_1</t>
  </si>
  <si>
    <t>Ocean James</t>
  </si>
  <si>
    <t>Patch Darragh</t>
  </si>
  <si>
    <t>Olivia DeJonge</t>
  </si>
  <si>
    <t>The Visit </t>
  </si>
  <si>
    <t>farm|handheld camera|impostor|rap|rock paper scissors</t>
  </si>
  <si>
    <t>http://www.imdb.com/title/tt3567288/?ref_=fn_tt_tt_1</t>
  </si>
  <si>
    <t>Crime|Thriller|War</t>
  </si>
  <si>
    <t>Mike Figueroa</t>
  </si>
  <si>
    <t>Daniel Stewart Sherman</t>
  </si>
  <si>
    <t>Kel O'Neill</t>
  </si>
  <si>
    <t>Redacted </t>
  </si>
  <si>
    <t>blood splatter|iraq|murder|rape|soldier</t>
  </si>
  <si>
    <t>http://www.imdb.com/title/tt0937237/?ref_=fn_tt_tt_1</t>
  </si>
  <si>
    <t>Klaus Menzel</t>
  </si>
  <si>
    <t>Alice Evans</t>
  </si>
  <si>
    <t>Fascination 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</si>
  <si>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</si>
  <si>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</si>
  <si>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</si>
  <si>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</si>
  <si>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</si>
  <si>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</si>
  <si>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Glenn Campbell</t>
  </si>
  <si>
    <t>Sandra Staggs</t>
  </si>
  <si>
    <t>Jelena Nik</t>
  </si>
  <si>
    <t>Area 51 </t>
  </si>
  <si>
    <t>alien|alien abduction|conspiracy|secret base|ufo</t>
  </si>
  <si>
    <t>http://www.imdb.com/title/tt1519461/?ref_=fn_tt_tt_1</t>
  </si>
  <si>
    <t>Luis Tosar</t>
  </si>
  <si>
    <t>Tony Corvillo</t>
  </si>
  <si>
    <t>Marta Etura</t>
  </si>
  <si>
    <t>Sleep Tight </t>
  </si>
  <si>
    <t>apartment|concierge|girl|hitchcockian|stalking</t>
  </si>
  <si>
    <t>http://www.imdb.com/title/tt1437358/?ref_=fn_tt_tt_1</t>
  </si>
  <si>
    <t>Paul Andrew Williams</t>
  </si>
  <si>
    <t>Comedy|Crime|Horror|Thriller</t>
  </si>
  <si>
    <t>Doug Bradley</t>
  </si>
  <si>
    <t>Georgia Groome</t>
  </si>
  <si>
    <t>The Cottage 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</si>
  <si>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</si>
  <si>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</si>
  <si>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</si>
  <si>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</si>
  <si>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</si>
  <si>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Animation|Comedy</t>
  </si>
  <si>
    <t>John Stamos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</si>
  <si>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</si>
  <si>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</si>
  <si>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</si>
  <si>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</si>
  <si>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</si>
  <si>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</si>
  <si>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Flying By </t>
  </si>
  <si>
    <t>http://www.imdb.com/title/tt1131732/?ref_=fn_tt_tt_1</t>
  </si>
  <si>
    <t>Timothy Omundson</t>
  </si>
  <si>
    <t>Psych </t>
  </si>
  <si>
    <t>best friend|friend|police|police department|psychic</t>
  </si>
  <si>
    <t>http://www.imdb.com/title/tt0491738/?ref_=fn_tt_tt_1</t>
  </si>
  <si>
    <t>William H. Macy</t>
  </si>
  <si>
    <t>David Adam Flannery</t>
  </si>
  <si>
    <t>Rudderless 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</si>
  <si>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</si>
  <si>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</si>
  <si>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</si>
  <si>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</si>
  <si>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</si>
  <si>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</si>
  <si>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</si>
  <si>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</si>
  <si>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</si>
  <si>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</si>
  <si>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</si>
  <si>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</si>
  <si>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</si>
  <si>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Tomiwa Edun</t>
  </si>
  <si>
    <t>Dying of the Light 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</si>
  <si>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</si>
  <si>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</si>
  <si>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</si>
  <si>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</si>
  <si>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</si>
  <si>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Born of War 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</si>
  <si>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</si>
  <si>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</si>
  <si>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</si>
  <si>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</si>
  <si>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</si>
  <si>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</si>
  <si>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</si>
  <si>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</si>
  <si>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</si>
  <si>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</si>
  <si>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Family</t>
  </si>
  <si>
    <t>David Raizor</t>
  </si>
  <si>
    <t>Cody Howard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</si>
  <si>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</si>
  <si>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</si>
  <si>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</si>
  <si>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</si>
  <si>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</si>
  <si>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</si>
  <si>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Mikal Vega</t>
  </si>
  <si>
    <t>Michael Dudikoff</t>
  </si>
  <si>
    <t>Ed Quinn</t>
  </si>
  <si>
    <t>Navy Seals vs. Zombies </t>
  </si>
  <si>
    <t>building|infection|navy seal|shot through the head|zombie</t>
  </si>
  <si>
    <t>http://www.imdb.com/title/tt4511566/?ref_=fn_tt_tt_1</t>
  </si>
  <si>
    <t>Jirí Menzel</t>
  </si>
  <si>
    <t>Comedy|Drama|Romance|War</t>
  </si>
  <si>
    <t>Julia Jentsch</t>
  </si>
  <si>
    <t>Ivan Barnev</t>
  </si>
  <si>
    <t>Milan Lasica</t>
  </si>
  <si>
    <t>I Served the King of England </t>
  </si>
  <si>
    <t>hotel|legs|lingerie|waiter|wealth</t>
  </si>
  <si>
    <t>http://www.imdb.com/title/tt0284363/?ref_=fn_tt_tt_1</t>
  </si>
  <si>
    <t>Czech</t>
  </si>
  <si>
    <t>Fatih Akin</t>
  </si>
  <si>
    <t>Birol Ünel</t>
  </si>
  <si>
    <t>Soul Kitchen 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</si>
  <si>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</si>
  <si>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</si>
  <si>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</si>
  <si>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</si>
  <si>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</si>
  <si>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</si>
  <si>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Joseph Mawle</t>
  </si>
  <si>
    <t>The Awakening 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</si>
  <si>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</si>
  <si>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</si>
  <si>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</si>
  <si>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</si>
  <si>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</si>
  <si>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</si>
  <si>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</si>
  <si>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</si>
  <si>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</si>
  <si>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Robert Longstreet</t>
  </si>
  <si>
    <t>Take Shelter </t>
  </si>
  <si>
    <t>ambiguous ending|firefly|mysterious event|schizophrenia|storm</t>
  </si>
  <si>
    <t>http://www.imdb.com/title/tt1675192/?ref_=fn_tt_tt_1</t>
  </si>
  <si>
    <t>Frank LaLoggia</t>
  </si>
  <si>
    <t>Katherine Helmond</t>
  </si>
  <si>
    <t>Lady in White 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</si>
  <si>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</si>
  <si>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</si>
  <si>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</si>
  <si>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</si>
  <si>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</si>
  <si>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</si>
  <si>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</si>
  <si>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</si>
  <si>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</si>
  <si>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</si>
  <si>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Bill Johnson</t>
  </si>
  <si>
    <t>Lou Perryman</t>
  </si>
  <si>
    <t>Jim Siedow</t>
  </si>
  <si>
    <t>The Texas Chainsaw Massacre 2 </t>
  </si>
  <si>
    <t>chainsaw|chainsaw murder|human monster|music score composed by director|obscene finger gesture</t>
  </si>
  <si>
    <t>http://www.imdb.com/title/tt0092076/?ref_=fn_tt_tt_1</t>
  </si>
  <si>
    <t>Biography|Drama|Romance|Western</t>
  </si>
  <si>
    <t>Bob Dylan</t>
  </si>
  <si>
    <t>Pat Garrett &amp; Billy the Kid </t>
  </si>
  <si>
    <t>bare breasts|flogging|human branding|man slaps a woman|manhunt</t>
  </si>
  <si>
    <t>http://www.imdb.com/title/tt0070518/?ref_=fn_tt_tt_1</t>
  </si>
  <si>
    <t>Yayaying Rhatha Phongam</t>
  </si>
  <si>
    <t>Only God Forgives 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</si>
  <si>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</si>
  <si>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</si>
  <si>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</si>
  <si>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</si>
  <si>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</si>
  <si>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Camping sauvage 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</si>
  <si>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</si>
  <si>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</si>
  <si>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</si>
  <si>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</si>
  <si>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</si>
  <si>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</si>
  <si>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</si>
  <si>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Bhama</t>
  </si>
  <si>
    <t>Diganth</t>
  </si>
  <si>
    <t>Dileep Raj</t>
  </si>
  <si>
    <t>Barfi </t>
  </si>
  <si>
    <t>http://www.imdb.com/title/tt3099638/?ref_=fn_tt_tt_1</t>
  </si>
  <si>
    <t>Kannada</t>
  </si>
  <si>
    <t>Shona Auerbach</t>
  </si>
  <si>
    <t>Jack McElhone</t>
  </si>
  <si>
    <t>Dear Frankie 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</si>
  <si>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</si>
  <si>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</si>
  <si>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</si>
  <si>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</si>
  <si>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</si>
  <si>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</si>
  <si>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</si>
  <si>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</si>
  <si>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</si>
  <si>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</si>
  <si>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The Names of Love 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</si>
  <si>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</si>
  <si>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</si>
  <si>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</si>
  <si>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</si>
  <si>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Treading Water 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</si>
  <si>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</si>
  <si>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</si>
  <si>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</si>
  <si>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</si>
  <si>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</si>
  <si>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</si>
  <si>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William Kircher</t>
  </si>
  <si>
    <t>Matthew Sunderland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</si>
  <si>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</si>
  <si>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</si>
  <si>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</si>
  <si>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</si>
  <si>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</si>
  <si>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</si>
  <si>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</si>
  <si>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</si>
  <si>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</si>
  <si>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</si>
  <si>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</si>
  <si>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</si>
  <si>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</si>
  <si>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</si>
  <si>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</si>
  <si>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</si>
  <si>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</si>
  <si>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</si>
  <si>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</si>
  <si>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Royal Dano</t>
  </si>
  <si>
    <t>Richard Basehart</t>
  </si>
  <si>
    <t>James Robertson Justice</t>
  </si>
  <si>
    <t>Moby Dick 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</si>
  <si>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</si>
  <si>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</si>
  <si>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</si>
  <si>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</si>
  <si>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</si>
  <si>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</si>
  <si>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</si>
  <si>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</si>
  <si>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</si>
  <si>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Peter Spellos</t>
  </si>
  <si>
    <t>Bound </t>
  </si>
  <si>
    <t>gangster|lesbian|mafia|money|neo noir</t>
  </si>
  <si>
    <t>http://www.imdb.com/title/tt0115736/?ref_=fn_tt_tt_1</t>
  </si>
  <si>
    <t>Louise Lasser</t>
  </si>
  <si>
    <t>Requiem for a Dream </t>
  </si>
  <si>
    <t>addiction|diet pill|drug addiction|fast motion scene|heroin</t>
  </si>
  <si>
    <t>http://www.imdb.com/title/tt0180093/?ref_=fn_tt_tt_1</t>
  </si>
  <si>
    <t>Walter Lang</t>
  </si>
  <si>
    <t>Dana Andrews</t>
  </si>
  <si>
    <t>Jeanne Crain</t>
  </si>
  <si>
    <t>Frank McHugh</t>
  </si>
  <si>
    <t>State Fair </t>
  </si>
  <si>
    <t>fair|farm|iowa|newspaper|state fair</t>
  </si>
  <si>
    <t>http://www.imdb.com/title/tt0038116/?ref_=fn_tt_tt_1</t>
  </si>
  <si>
    <t>Carlos Saura</t>
  </si>
  <si>
    <t>Drama|Musical</t>
  </si>
  <si>
    <t>Mía Maestro</t>
  </si>
  <si>
    <t>Juan Luis Galiardo</t>
  </si>
  <si>
    <t>Miguel Ángel Solá</t>
  </si>
  <si>
    <t>Tango </t>
  </si>
  <si>
    <t>dancer|director|love|musical filmmaking|tango</t>
  </si>
  <si>
    <t>http://www.imdb.com/title/tt0120274/?ref_=fn_tt_tt_1</t>
  </si>
  <si>
    <t>Juan Fernández</t>
  </si>
  <si>
    <t>Salvador </t>
  </si>
  <si>
    <t>1980s|el salvador|political thriller|reagan administration|war journalism</t>
  </si>
  <si>
    <t>http://www.imdb.com/title/tt0091886/?ref_=fn_tt_tt_1</t>
  </si>
  <si>
    <t>Andrew Erwin</t>
  </si>
  <si>
    <t>Alex Kendrick</t>
  </si>
  <si>
    <t>Sarah Drew</t>
  </si>
  <si>
    <t>Moms' Night Out </t>
  </si>
  <si>
    <t>blogger|pastor|reference to the shawshank redemption|taser|tasered</t>
  </si>
  <si>
    <t>http://www.imdb.com/title/tt3014666/?ref_=fn_tt_tt_1</t>
  </si>
  <si>
    <t>James Duval</t>
  </si>
  <si>
    <t>Donnie Darko </t>
  </si>
  <si>
    <t>1980s|death|insanity|parallel universe|time travel</t>
  </si>
  <si>
    <t>http://www.imdb.com/title/tt0246578/?ref_=fn_tt_tt_1</t>
  </si>
  <si>
    <t>Beto Gómez</t>
  </si>
  <si>
    <t>Adventure|Comedy|Western</t>
  </si>
  <si>
    <t>Jaime Camil</t>
  </si>
  <si>
    <t>Gerardo Taracena</t>
  </si>
  <si>
    <t>Joaquín Cosio</t>
  </si>
  <si>
    <t>Saving Private Perez </t>
  </si>
  <si>
    <t>conflicted hero|flashback|mission|rescue|rescue mission</t>
  </si>
  <si>
    <t>http://www.imdb.com/title/tt0461336/?ref_=fn_tt_tt_1</t>
  </si>
  <si>
    <t>Mike van Diem</t>
  </si>
  <si>
    <t>Jan Decleir</t>
  </si>
  <si>
    <t>Fedja van Huêt</t>
  </si>
  <si>
    <t>Hans Kesting</t>
  </si>
  <si>
    <t>Character 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</si>
  <si>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</si>
  <si>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</si>
  <si>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</si>
  <si>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</si>
  <si>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</si>
  <si>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</si>
  <si>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</si>
  <si>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</si>
  <si>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</si>
  <si>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</si>
  <si>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</si>
  <si>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</si>
  <si>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Hye-jeong Kang</t>
  </si>
  <si>
    <t>Lady Vengeance </t>
  </si>
  <si>
    <t>cake|christian|lesbian sex|oral sex|pregnant schoolgirl</t>
  </si>
  <si>
    <t>http://www.imdb.com/title/tt0451094/?ref_=fn_tt_tt_1</t>
  </si>
  <si>
    <t>René Féret</t>
  </si>
  <si>
    <t>Nicolas Giraud</t>
  </si>
  <si>
    <t>Clovis Fouin</t>
  </si>
  <si>
    <t>Marie Féret</t>
  </si>
  <si>
    <t>Mozart's Sister 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</si>
  <si>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</si>
  <si>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</si>
  <si>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</si>
  <si>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</si>
  <si>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</si>
  <si>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</si>
  <si>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</si>
  <si>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</si>
  <si>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</si>
  <si>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</si>
  <si>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</si>
  <si>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</si>
  <si>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</si>
  <si>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</si>
  <si>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</si>
  <si>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</si>
  <si>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</si>
  <si>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Lilya 4-Ever 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</si>
  <si>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</si>
  <si>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</si>
  <si>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</si>
  <si>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</si>
  <si>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</si>
  <si>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</si>
  <si>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</si>
  <si>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</si>
  <si>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</si>
  <si>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Fugly 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</si>
  <si>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</si>
  <si>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</si>
  <si>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</si>
  <si>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</si>
  <si>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</si>
  <si>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Katherine McNamara</t>
  </si>
  <si>
    <t>Dove Cameron</t>
  </si>
  <si>
    <t>Braeden Lemasters</t>
  </si>
  <si>
    <t>R.L. Stine's Monsterville: The Cabinet of Souls 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</si>
  <si>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</si>
  <si>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</si>
  <si>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</si>
  <si>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</si>
  <si>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</si>
  <si>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</si>
  <si>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Action|Drama|History|Thriller|War</t>
  </si>
  <si>
    <t>Sameer Ali Khan</t>
  </si>
  <si>
    <t>Purab Kohli</t>
  </si>
  <si>
    <t>Airlift </t>
  </si>
  <si>
    <t>1990s|businessman|evacuation|historical fiction|kuwait</t>
  </si>
  <si>
    <t>http://www.imdb.com/title/tt4387040/?ref_=fn_tt_tt_1</t>
  </si>
  <si>
    <t>Jonathan Crombie</t>
  </si>
  <si>
    <t>Megan Follows</t>
  </si>
  <si>
    <t>Anne of Green Gables </t>
  </si>
  <si>
    <t>girl|heroine|kindred spirit|orphan|rural setting</t>
  </si>
  <si>
    <t>http://www.imdb.com/title/tt0088727/?ref_=fn_tt_tt_1</t>
  </si>
  <si>
    <t>Michael J. Morris</t>
  </si>
  <si>
    <t>Lateef Crowder</t>
  </si>
  <si>
    <t>Falcon Rising 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</si>
  <si>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</si>
  <si>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</si>
  <si>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</si>
  <si>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</si>
  <si>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</si>
  <si>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</si>
  <si>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Amanda Redman</t>
  </si>
  <si>
    <t>Sexy Beast </t>
  </si>
  <si>
    <t>boulder|gangster|one last job|spain|villa</t>
  </si>
  <si>
    <t>http://www.imdb.com/title/tt0203119/?ref_=fn_tt_tt_1</t>
  </si>
  <si>
    <t>Fabian Bolin</t>
  </si>
  <si>
    <t>Matias Varela</t>
  </si>
  <si>
    <t>Easy Money </t>
  </si>
  <si>
    <t>double life|drugs|financial crisis|first part|serbian</t>
  </si>
  <si>
    <t>http://www.imdb.com/title/tt1291652/?ref_=fn_tt_tt_1</t>
  </si>
  <si>
    <t>Rawiri Paratene</t>
  </si>
  <si>
    <t>Tammy Davis</t>
  </si>
  <si>
    <t>Whale Rider 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</si>
  <si>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</si>
  <si>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</si>
  <si>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</si>
  <si>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</si>
  <si>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</si>
  <si>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Paa </t>
  </si>
  <si>
    <t>adult actor playing minor|politician|progeria|reference to spiderman|school</t>
  </si>
  <si>
    <t>http://www.imdb.com/title/tt1532957/?ref_=fn_tt_tt_1</t>
  </si>
  <si>
    <t>Ivan Engler</t>
  </si>
  <si>
    <t>Yangzom Brauen</t>
  </si>
  <si>
    <t>Claude-Oliver Rudolph</t>
  </si>
  <si>
    <t>Anna Katharina Schwabroh</t>
  </si>
  <si>
    <t>Cargo 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</si>
  <si>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</si>
  <si>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</si>
  <si>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</si>
  <si>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</si>
  <si>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</si>
  <si>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</si>
  <si>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</si>
  <si>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</si>
  <si>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</si>
  <si>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</si>
  <si>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</si>
  <si>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Fantasy|Thriller</t>
  </si>
  <si>
    <t>Aleksey Chadov</t>
  </si>
  <si>
    <t>Zhanna Friske</t>
  </si>
  <si>
    <t>Night Watch 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</si>
  <si>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</si>
  <si>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</si>
  <si>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</si>
  <si>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</si>
  <si>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</si>
  <si>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Art Hindle</t>
  </si>
  <si>
    <t>Susan Clark</t>
  </si>
  <si>
    <t>Tony Ganios</t>
  </si>
  <si>
    <t>Porky's </t>
  </si>
  <si>
    <t>female full frontal nudity|revenge|school|sheriff|virginity</t>
  </si>
  <si>
    <t>http://www.imdb.com/title/tt0084522/?ref_=fn_tt_tt_1</t>
  </si>
  <si>
    <t>Kathleen Munroe</t>
  </si>
  <si>
    <t>Survival of the Dead </t>
  </si>
  <si>
    <t>delaware|feud|island|undead|zombie</t>
  </si>
  <si>
    <t>http://www.imdb.com/title/tt1134854/?ref_=fn_tt_tt_1</t>
  </si>
  <si>
    <t>Drama|Horror|Mystery</t>
  </si>
  <si>
    <t>Judith O'Dea</t>
  </si>
  <si>
    <t>Duane Jones</t>
  </si>
  <si>
    <t>S. William Hinzman</t>
  </si>
  <si>
    <t>Night of the Living Dead </t>
  </si>
  <si>
    <t>cemetery|farmhouse|radiation|running out of gas|zombie</t>
  </si>
  <si>
    <t>http://www.imdb.com/title/tt0063350/?ref_=fn_tt_tt_1</t>
  </si>
  <si>
    <t>Catherine Lambert</t>
  </si>
  <si>
    <t>Lost in Translation 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</si>
  <si>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</si>
  <si>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</si>
  <si>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</si>
  <si>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</si>
  <si>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</si>
  <si>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</si>
  <si>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Gloria Grahame</t>
  </si>
  <si>
    <t>Dorothy Lamour</t>
  </si>
  <si>
    <t>Cornel Wilde</t>
  </si>
  <si>
    <t>The Greatest Show on Earth </t>
  </si>
  <si>
    <t>circus|clown|elephant trainer|trapeze|trapeze artist</t>
  </si>
  <si>
    <t>http://www.imdb.com/title/tt0044672/?ref_=fn_tt_tt_1</t>
  </si>
  <si>
    <t>Marcus Lyle Brown</t>
  </si>
  <si>
    <t>Monster's Ball 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</si>
  <si>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</si>
  <si>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</si>
  <si>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</si>
  <si>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</si>
  <si>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Maggie 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</si>
  <si>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</si>
  <si>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</si>
  <si>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</si>
  <si>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</si>
  <si>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</si>
  <si>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</si>
  <si>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</si>
  <si>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</si>
  <si>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</si>
  <si>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</si>
  <si>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</si>
  <si>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</si>
  <si>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</si>
  <si>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</si>
  <si>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</si>
  <si>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Adam Hicks</t>
  </si>
  <si>
    <t>The Boy Next Door 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</si>
  <si>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</si>
  <si>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</si>
  <si>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</si>
  <si>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</si>
  <si>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Trapeze 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</si>
  <si>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</si>
  <si>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</si>
  <si>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</si>
  <si>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</si>
  <si>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</si>
  <si>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</si>
  <si>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</si>
  <si>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George 'Buck' Flower</t>
  </si>
  <si>
    <t>They Live 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</si>
  <si>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</si>
  <si>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</si>
  <si>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</si>
  <si>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</si>
  <si>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</si>
  <si>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The Great Escape 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</si>
  <si>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</si>
  <si>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</si>
  <si>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</si>
  <si>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</si>
  <si>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</si>
  <si>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</si>
  <si>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What the #$*! Do We (K)now!? </t>
  </si>
  <si>
    <t>consciousness|photographer|radical|science|scientist</t>
  </si>
  <si>
    <t>http://www.imdb.com/title/tt0399877/?ref_=fn_tt_tt_1</t>
  </si>
  <si>
    <t>Ed Gass-Donnelly</t>
  </si>
  <si>
    <t>Ashley Bell</t>
  </si>
  <si>
    <t>The Last Exorcism Part II </t>
  </si>
  <si>
    <t>car fire|evil|hospital|hotel|prophecy</t>
  </si>
  <si>
    <t>http://www.imdb.com/title/tt2034139/?ref_=fn_tt_tt_1</t>
  </si>
  <si>
    <t>Ellar Coltrane</t>
  </si>
  <si>
    <t>Lorelei Linklater</t>
  </si>
  <si>
    <t>Libby Villari</t>
  </si>
  <si>
    <t>Boyhood 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</si>
  <si>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</si>
  <si>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</si>
  <si>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</si>
  <si>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</si>
  <si>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</si>
  <si>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</si>
  <si>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</si>
  <si>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</si>
  <si>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</si>
  <si>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</si>
  <si>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</si>
  <si>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</si>
  <si>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</si>
  <si>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</si>
  <si>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</si>
  <si>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</si>
  <si>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</si>
  <si>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Montgomery Clift</t>
  </si>
  <si>
    <t>Kevin McCarthy</t>
  </si>
  <si>
    <t>Thelma Ritter</t>
  </si>
  <si>
    <t>The Misfits 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</si>
  <si>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</si>
  <si>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</si>
  <si>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</si>
  <si>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</si>
  <si>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</si>
  <si>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</si>
  <si>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</si>
  <si>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</si>
  <si>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The Jerky Boys </t>
  </si>
  <si>
    <t>critically bashed|mafia|police|telephone|unemployment</t>
  </si>
  <si>
    <t>http://www.imdb.com/title/tt0110189/?ref_=fn_tt_tt_1</t>
  </si>
  <si>
    <t>Fernando Cayo</t>
  </si>
  <si>
    <t>The Orphanage </t>
  </si>
  <si>
    <t>dead children|ghost|missing child|orphan|orphanage</t>
  </si>
  <si>
    <t>http://www.imdb.com/title/tt0464141/?ref_=fn_tt_tt_1</t>
  </si>
  <si>
    <t>Ashley Rickards</t>
  </si>
  <si>
    <t>Gabriel Iglesias</t>
  </si>
  <si>
    <t>A Haunted House 2 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</si>
  <si>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</si>
  <si>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</si>
  <si>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</si>
  <si>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</si>
  <si>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</si>
  <si>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</si>
  <si>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Philippe Noiret</t>
  </si>
  <si>
    <t>Topaz </t>
  </si>
  <si>
    <t>1960s|agent|cuba|intelligence|spy</t>
  </si>
  <si>
    <t>http://www.imdb.com/title/tt0065112/?ref_=fn_tt_tt_1</t>
  </si>
  <si>
    <t>Amy Hill</t>
  </si>
  <si>
    <t>Let's Go to Prison 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</si>
  <si>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</si>
  <si>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</si>
  <si>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</si>
  <si>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</si>
  <si>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</si>
  <si>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</si>
  <si>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</si>
  <si>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</si>
  <si>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</si>
  <si>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</si>
  <si>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</si>
  <si>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The Real Cancun 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</si>
  <si>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</si>
  <si>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</si>
  <si>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</si>
  <si>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</si>
  <si>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</si>
  <si>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</si>
  <si>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</si>
  <si>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</si>
  <si>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</si>
  <si>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</si>
  <si>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</si>
  <si>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</si>
  <si>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</si>
  <si>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</si>
  <si>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</si>
  <si>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</si>
  <si>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</si>
  <si>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</si>
  <si>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</si>
  <si>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</si>
  <si>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</si>
  <si>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</si>
  <si>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</si>
  <si>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</si>
  <si>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</si>
  <si>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</si>
  <si>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</si>
  <si>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</si>
  <si>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Mirrormask </t>
  </si>
  <si>
    <t>circus|dark fantasy|dream|dream world|fantasy world</t>
  </si>
  <si>
    <t>http://www.imdb.com/title/tt0366780/?ref_=fn_tt_tt_1</t>
  </si>
  <si>
    <t>Ron Fricke</t>
  </si>
  <si>
    <t>Collin Alfredo St. Dic</t>
  </si>
  <si>
    <t>Balinese Tari Legong Dancers</t>
  </si>
  <si>
    <t>Puti Sri Candra Dewi</t>
  </si>
  <si>
    <t>Samsara 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</si>
  <si>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</si>
  <si>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</si>
  <si>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</si>
  <si>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</si>
  <si>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</si>
  <si>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</si>
  <si>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</si>
  <si>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</si>
  <si>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</si>
  <si>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</si>
  <si>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</si>
  <si>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</si>
  <si>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Elena Satine</t>
  </si>
  <si>
    <t>Zipper 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</si>
  <si>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</si>
  <si>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</si>
  <si>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</si>
  <si>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</si>
  <si>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</si>
  <si>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</si>
  <si>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</si>
  <si>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</si>
  <si>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</si>
  <si>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</si>
  <si>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</si>
  <si>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</si>
  <si>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</si>
  <si>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Ronnie Gene Blevins</t>
  </si>
  <si>
    <t>Joe 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</si>
  <si>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</si>
  <si>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</si>
  <si>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</si>
  <si>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</si>
  <si>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</si>
  <si>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</si>
  <si>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Hal Landon Jr.</t>
  </si>
  <si>
    <t>Prison </t>
  </si>
  <si>
    <t>electric chair|haunting|prison|prisoner|revenge</t>
  </si>
  <si>
    <t>http://www.imdb.com/title/tt0095904/?ref_=fn_tt_tt_1</t>
  </si>
  <si>
    <t>Robert Lee King</t>
  </si>
  <si>
    <t>Comedy|Horror|Mystery</t>
  </si>
  <si>
    <t>Kathleen Robertson</t>
  </si>
  <si>
    <t>Beth Broderick</t>
  </si>
  <si>
    <t>Psycho Beach Party 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</si>
  <si>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</si>
  <si>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</si>
  <si>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</si>
  <si>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</si>
  <si>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</si>
  <si>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</si>
  <si>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Hector Kotsifakis</t>
  </si>
  <si>
    <t>Adriana Barraza</t>
  </si>
  <si>
    <t>Arcelia Ramírez</t>
  </si>
  <si>
    <t>Buen Día, Ramón </t>
  </si>
  <si>
    <t>http://www.imdb.com/title/tt2876428/?ref_=fn_tt_tt_1</t>
  </si>
  <si>
    <t>Jordan Trovillion</t>
  </si>
  <si>
    <t>Zoe Levin</t>
  </si>
  <si>
    <t>Trust 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</si>
  <si>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</si>
  <si>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</si>
  <si>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</si>
  <si>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</si>
  <si>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</si>
  <si>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Rachel Griffiths</t>
  </si>
  <si>
    <t>Alan Williams</t>
  </si>
  <si>
    <t>Rob Jarvis</t>
  </si>
  <si>
    <t>Among Giants 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</si>
  <si>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</si>
  <si>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</si>
  <si>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</si>
  <si>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</si>
  <si>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</si>
  <si>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</si>
  <si>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</si>
  <si>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</si>
  <si>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</si>
  <si>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</si>
  <si>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</si>
  <si>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</si>
  <si>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Aida Folch</t>
  </si>
  <si>
    <t>Mondays in the Sun </t>
  </si>
  <si>
    <t>australia|bar|shipyard|siamese twins|tuna</t>
  </si>
  <si>
    <t>http://www.imdb.com/title/tt0319769/?ref_=fn_tt_tt_1</t>
  </si>
  <si>
    <t>Jim Mickle</t>
  </si>
  <si>
    <t>Connor Paolo</t>
  </si>
  <si>
    <t>Michael Cerveris</t>
  </si>
  <si>
    <t>Stake Land </t>
  </si>
  <si>
    <t>canada|post apocalypse|road movie|vampire|vampire hunter</t>
  </si>
  <si>
    <t>http://www.imdb.com/title/tt1464580/?ref_=fn_tt_tt_1</t>
  </si>
  <si>
    <t>Doug Brochu</t>
  </si>
  <si>
    <t>Tiffany Thornton</t>
  </si>
  <si>
    <t>Brandon Mychal Smith</t>
  </si>
  <si>
    <t>Sonny with a Chance 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</si>
  <si>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</si>
  <si>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</si>
  <si>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</si>
  <si>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</si>
  <si>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</si>
  <si>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</si>
  <si>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Jesuíta Barbosa</t>
  </si>
  <si>
    <t>Futuro Beach 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</si>
  <si>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</si>
  <si>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</si>
  <si>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</si>
  <si>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</si>
  <si>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</si>
  <si>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</si>
  <si>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</si>
  <si>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</si>
  <si>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</si>
  <si>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</si>
  <si>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</si>
  <si>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</si>
  <si>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</si>
  <si>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</si>
  <si>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</si>
  <si>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</si>
  <si>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The Geographer Drank His Globe Away 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</si>
  <si>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</si>
  <si>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</si>
  <si>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</si>
  <si>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</si>
  <si>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</si>
  <si>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1776 </t>
  </si>
  <si>
    <t>continental congress|debate|declaration of independence|massachusetts|pennsylvania</t>
  </si>
  <si>
    <t>http://www.imdb.com/title/tt0068156/?ref_=fn_tt_tt_1</t>
  </si>
  <si>
    <t>Ruba Nadda</t>
  </si>
  <si>
    <t>Saad Siddiqui</t>
  </si>
  <si>
    <t>Bonnie Lee Bouman</t>
  </si>
  <si>
    <t>Fadia Nadda</t>
  </si>
  <si>
    <t>Inescapable </t>
  </si>
  <si>
    <t>http://www.imdb.com/title/tt1844203/?ref_=fn_tt_tt_1</t>
  </si>
  <si>
    <t>Howard Hughes</t>
  </si>
  <si>
    <t>Jean Harlow</t>
  </si>
  <si>
    <t>Marian Marsh</t>
  </si>
  <si>
    <t>James Hall</t>
  </si>
  <si>
    <t>Hell's Angels </t>
  </si>
  <si>
    <t>bomb|bombing mission|munitions|oxford|royal flying corps</t>
  </si>
  <si>
    <t>http://www.imdb.com/title/tt0020960/?ref_=fn_tt_tt_1</t>
  </si>
  <si>
    <t>Edward Burns</t>
  </si>
  <si>
    <t>Peter Jacobson</t>
  </si>
  <si>
    <t>Purple Violets </t>
  </si>
  <si>
    <t>directed by star|written and directed by cast member</t>
  </si>
  <si>
    <t>http://www.imdb.com/title/tt0491109/?ref_=fn_tt_tt_1</t>
  </si>
  <si>
    <t>Shannon Woodward</t>
  </si>
  <si>
    <t>Kira McLean</t>
  </si>
  <si>
    <t>The Veil </t>
  </si>
  <si>
    <t>documentary crew|mass suicide|survivor|tied feet|tied up while barefoot</t>
  </si>
  <si>
    <t>http://www.imdb.com/title/tt3533916/?ref_=fn_tt_tt_1</t>
  </si>
  <si>
    <t>Sean Byrne</t>
  </si>
  <si>
    <t>Robin McLeavy</t>
  </si>
  <si>
    <t>Jessica McNamee</t>
  </si>
  <si>
    <t>Victoria Thaine</t>
  </si>
  <si>
    <t>The Loved Ones </t>
  </si>
  <si>
    <t>escape|high school|high school prom|prom|prom king</t>
  </si>
  <si>
    <t>http://www.imdb.com/title/tt1316536/?ref_=fn_tt_tt_1</t>
  </si>
  <si>
    <t>Kristen Quintrall</t>
  </si>
  <si>
    <t>Rachel Sterling</t>
  </si>
  <si>
    <t>Black Thomas</t>
  </si>
  <si>
    <t>No Vacancy </t>
  </si>
  <si>
    <t>motel|psychopath|psychopathic killer|road trip|vomiting</t>
  </si>
  <si>
    <t>http://www.imdb.com/title/tt1854582/?ref_=fn_tt_tt_1</t>
  </si>
  <si>
    <t>Mark Griffiths</t>
  </si>
  <si>
    <t>Brooke D'Orsay</t>
  </si>
  <si>
    <t>How to Fall in Love 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</si>
  <si>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</si>
  <si>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</si>
  <si>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</si>
  <si>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</si>
  <si>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</si>
  <si>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The Perfect Wave 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</si>
  <si>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</si>
  <si>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</si>
  <si>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</si>
  <si>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</si>
  <si>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</si>
  <si>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</si>
  <si>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</si>
  <si>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</si>
  <si>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</si>
  <si>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</si>
  <si>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Hattie McDaniel</t>
  </si>
  <si>
    <t>George Reeves</t>
  </si>
  <si>
    <t>Thomas Mitchell</t>
  </si>
  <si>
    <t>Gone with the Wind </t>
  </si>
  <si>
    <t>battle of the sexes|gallantry|honesty|indifference|scandal</t>
  </si>
  <si>
    <t>http://www.imdb.com/title/tt0031381/?ref_=fn_tt_tt_1</t>
  </si>
  <si>
    <t>Richard Raymond</t>
  </si>
  <si>
    <t>Marama Corlett</t>
  </si>
  <si>
    <t>Desert Dancer </t>
  </si>
  <si>
    <t>dance|dancer|dancing|desert|iran</t>
  </si>
  <si>
    <t>http://www.imdb.com/title/tt2403393/?ref_=fn_tt_tt_1</t>
  </si>
  <si>
    <t>Adventure|War|Western</t>
  </si>
  <si>
    <t>Slim Pickens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</si>
  <si>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</si>
  <si>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</si>
  <si>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</si>
  <si>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</si>
  <si>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</si>
  <si>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</si>
  <si>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</si>
  <si>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</si>
  <si>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Biography|Comedy|Musical|Romance|Western</t>
  </si>
  <si>
    <t>Keenan Wynn</t>
  </si>
  <si>
    <t>Howard Keel</t>
  </si>
  <si>
    <t>Betty Hutton</t>
  </si>
  <si>
    <t>Annie Get Your Gun </t>
  </si>
  <si>
    <t>girl|gun|love|sharpshooter|the end</t>
  </si>
  <si>
    <t>http://www.imdb.com/title/tt0042200/?ref_=fn_tt_tt_1</t>
  </si>
  <si>
    <t>Christopher Morris</t>
  </si>
  <si>
    <t>Alex Macqueen</t>
  </si>
  <si>
    <t>Four Lions </t>
  </si>
  <si>
    <t>accidental shooting|bird|crow|exploding animal|muslim</t>
  </si>
  <si>
    <t>http://www.imdb.com/title/tt1341167/?ref_=fn_tt_tt_1</t>
  </si>
  <si>
    <t>Andrucha Waddington</t>
  </si>
  <si>
    <t>Fernanda Montenegro</t>
  </si>
  <si>
    <t>Seu Jorge</t>
  </si>
  <si>
    <t>Fernanda Torres</t>
  </si>
  <si>
    <t>House of Sand 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</si>
  <si>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</si>
  <si>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</si>
  <si>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</si>
  <si>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</si>
  <si>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</si>
  <si>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</si>
  <si>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</si>
  <si>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Adventure|Comedy|Musical|Romance</t>
  </si>
  <si>
    <t>Gladys Cooper</t>
  </si>
  <si>
    <t>Reginald Owen</t>
  </si>
  <si>
    <t>Ellen Ross</t>
  </si>
  <si>
    <t>The Pirate 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</si>
  <si>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</si>
  <si>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</si>
  <si>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</si>
  <si>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</si>
  <si>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</si>
  <si>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</si>
  <si>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</si>
  <si>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</si>
  <si>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</si>
  <si>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</si>
  <si>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</si>
  <si>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Mike Farrell</t>
  </si>
  <si>
    <t>M*A*S*H </t>
  </si>
  <si>
    <t>colonel|doctor|korean war|major|nurse</t>
  </si>
  <si>
    <t>http://www.imdb.com/title/tt0068098/?ref_=fn_tt_tt_1</t>
  </si>
  <si>
    <t>Brenda Vaccaro</t>
  </si>
  <si>
    <t>Barnard Hughes</t>
  </si>
  <si>
    <t>John McGiver</t>
  </si>
  <si>
    <t>Midnight Cowboy </t>
  </si>
  <si>
    <t>gay|homosexual|homosexuality|hustler|male rear nudity</t>
  </si>
  <si>
    <t>http://www.imdb.com/title/tt0064665/?ref_=fn_tt_tt_1</t>
  </si>
  <si>
    <t>Lesley Sharp</t>
  </si>
  <si>
    <t>The Full Monty </t>
  </si>
  <si>
    <t>dole|male stripper|northern england|steel worker|unemployment</t>
  </si>
  <si>
    <t>http://www.imdb.com/title/tt0119164/?ref_=fn_tt_tt_1</t>
  </si>
  <si>
    <t>Jim Abrahams</t>
  </si>
  <si>
    <t>Peter Graves</t>
  </si>
  <si>
    <t>Lloyd Bridges</t>
  </si>
  <si>
    <t>Barbara Billingsley</t>
  </si>
  <si>
    <t>Airplane! </t>
  </si>
  <si>
    <t>air traffic controller|airplane|airport|pilot|spoof</t>
  </si>
  <si>
    <t>http://www.imdb.com/title/tt0080339/?ref_=fn_tt_tt_1</t>
  </si>
  <si>
    <t>Kevin Carraway</t>
  </si>
  <si>
    <t>Jon Osbeck</t>
  </si>
  <si>
    <t>Chain of Command 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</si>
  <si>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</si>
  <si>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</si>
  <si>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</si>
  <si>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</si>
  <si>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</si>
  <si>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</si>
  <si>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</si>
  <si>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</si>
  <si>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</si>
  <si>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</si>
  <si>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</si>
  <si>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</si>
  <si>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</si>
  <si>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</si>
  <si>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</si>
  <si>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</si>
  <si>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</si>
  <si>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</si>
  <si>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</si>
  <si>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</si>
  <si>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</si>
  <si>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</si>
  <si>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</si>
  <si>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In Cold Blood </t>
  </si>
  <si>
    <t>homoeroticism|kansas|murder|police|robbery</t>
  </si>
  <si>
    <t>http://www.imdb.com/title/tt0061809/?ref_=fn_tt_tt_1</t>
  </si>
  <si>
    <t>Colleen Dewhurst</t>
  </si>
  <si>
    <t>Peter Finch</t>
  </si>
  <si>
    <t>Beatrice Straight</t>
  </si>
  <si>
    <t>The Nun's Story 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</si>
  <si>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</si>
  <si>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</si>
  <si>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</si>
  <si>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</si>
  <si>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</si>
  <si>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</si>
  <si>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</si>
  <si>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Frenzy 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</si>
  <si>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</si>
  <si>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</si>
  <si>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</si>
  <si>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</si>
  <si>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</si>
  <si>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</si>
  <si>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</si>
  <si>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</si>
  <si>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Joe Estevez</t>
  </si>
  <si>
    <t>Master P</t>
  </si>
  <si>
    <t>Anthony Johnson</t>
  </si>
  <si>
    <t>I Got the Hook Up </t>
  </si>
  <si>
    <t>friend|obscenity|scam|vacant lot|van</t>
  </si>
  <si>
    <t>http://www.imdb.com/title/tt0131436/?ref_=fn_tt_tt_1</t>
  </si>
  <si>
    <t>Michael McGlone</t>
  </si>
  <si>
    <t>She's the One 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</si>
  <si>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</si>
  <si>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</si>
  <si>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</si>
  <si>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</si>
  <si>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</si>
  <si>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Ricardo Darín</t>
  </si>
  <si>
    <t>Soledad Villamil</t>
  </si>
  <si>
    <t>Guillermo Francella</t>
  </si>
  <si>
    <t>The Secret in Their Eyes </t>
  </si>
  <si>
    <t>investigation|justice|murder|suspect|tension</t>
  </si>
  <si>
    <t>http://www.imdb.com/title/tt1305806/?ref_=fn_tt_tt_1</t>
  </si>
  <si>
    <t>Argentina</t>
  </si>
  <si>
    <t>Gideon Raff</t>
  </si>
  <si>
    <t>Gideon Emery</t>
  </si>
  <si>
    <t>Gloria Votsis</t>
  </si>
  <si>
    <t>Derek Magyar</t>
  </si>
  <si>
    <t>Train </t>
  </si>
  <si>
    <t>blood splatter|heart ripped out|jock strap|train|vomiting</t>
  </si>
  <si>
    <t>http://www.imdb.com/title/tt1015474/?ref_=fn_tt_tt_1</t>
  </si>
  <si>
    <t>Dan Hicks</t>
  </si>
  <si>
    <t>Kassie Wesley DePaiva</t>
  </si>
  <si>
    <t>Evil Dead II 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</si>
  <si>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</si>
  <si>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</si>
  <si>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</si>
  <si>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</si>
  <si>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</si>
  <si>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</si>
  <si>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</si>
  <si>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</si>
  <si>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</si>
  <si>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Sharknado </t>
  </si>
  <si>
    <t>cult film|hurricane|school bus|shark|shark feature</t>
  </si>
  <si>
    <t>http://www.imdb.com/title/tt2724064/?ref_=fn_tt_tt_1</t>
  </si>
  <si>
    <t>Salvador Carrasco</t>
  </si>
  <si>
    <t>Elpidia Carrillo</t>
  </si>
  <si>
    <t>Zaide Silvia Gutiérrez</t>
  </si>
  <si>
    <t>Damián Delgado</t>
  </si>
  <si>
    <t>La otra conquista </t>
  </si>
  <si>
    <t>1520s|aztec|indian|spanish colonization|spanish conquest</t>
  </si>
  <si>
    <t>http://www.imdb.com/title/tt0175996/?ref_=fn_tt_tt_1</t>
  </si>
  <si>
    <t>André Øvredal</t>
  </si>
  <si>
    <t>Comedy|Drama|Fantasy|Horror</t>
  </si>
  <si>
    <t>Otto Jespersen</t>
  </si>
  <si>
    <t>Johanna Mørck</t>
  </si>
  <si>
    <t>Glenn Erland Tosterud</t>
  </si>
  <si>
    <t>Trollhunter 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</si>
  <si>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</si>
  <si>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</si>
  <si>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</si>
  <si>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</si>
  <si>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</si>
  <si>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</si>
  <si>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</si>
  <si>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</si>
  <si>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</si>
  <si>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</si>
  <si>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</si>
  <si>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</si>
  <si>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</si>
  <si>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</si>
  <si>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Action|Biography|Crime|Drama|Family|Fantasy</t>
  </si>
  <si>
    <t>Mykel Shannon Jenkins</t>
  </si>
  <si>
    <t>Lara Jean Chorostecki</t>
  </si>
  <si>
    <t>The Masked Saint </t>
  </si>
  <si>
    <t>http://www.imdb.com/title/tt3103166/?ref_=fn_tt_tt_1</t>
  </si>
  <si>
    <t>Amanda Gusack</t>
  </si>
  <si>
    <t>Blaine Anderson</t>
  </si>
  <si>
    <t>The Betrayed </t>
  </si>
  <si>
    <t>blood splatter|ski mask|stolen money|vomiting|warehouse</t>
  </si>
  <si>
    <t>http://www.imdb.com/title/tt1074191/?ref_=fn_tt_tt_1</t>
  </si>
  <si>
    <t>Avi Nesher</t>
  </si>
  <si>
    <t>Robert Townsend</t>
  </si>
  <si>
    <t>Taxman </t>
  </si>
  <si>
    <t>bar|box office flop|dance|one word title|voice over narration</t>
  </si>
  <si>
    <t>http://www.imdb.com/title/tt0138862/?ref_=fn_tt_tt_1</t>
  </si>
  <si>
    <t>Ash Cook</t>
  </si>
  <si>
    <t>Genevieve O'Reilly</t>
  </si>
  <si>
    <t>The Secret 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</si>
  <si>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</si>
  <si>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</si>
  <si>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</si>
  <si>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</si>
  <si>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</si>
  <si>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</si>
  <si>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</si>
  <si>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</si>
  <si>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</si>
  <si>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Batman: The Dark Knight Returns, Part 2 </t>
  </si>
  <si>
    <t>batman|joker|mutant|tattoo on breast|the joker</t>
  </si>
  <si>
    <t>http://www.imdb.com/title/tt2166834/?ref_=fn_tt_tt_1</t>
  </si>
  <si>
    <t>Charles Ferguson</t>
  </si>
  <si>
    <t>Jane Goodall</t>
  </si>
  <si>
    <t>Jerry Brown</t>
  </si>
  <si>
    <t>Peter Agnefjall</t>
  </si>
  <si>
    <t>Time to Choose </t>
  </si>
  <si>
    <t>http://www.imdb.com/title/tt5001130/?ref_=fn_tt_tt_1</t>
  </si>
  <si>
    <t>Shelly Varod</t>
  </si>
  <si>
    <t>Ralitsa Paskaleva</t>
  </si>
  <si>
    <t>In the Name of the King: The Last Job 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</si>
  <si>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</si>
  <si>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</si>
  <si>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</si>
  <si>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</si>
  <si>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</si>
  <si>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</si>
  <si>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</si>
  <si>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</si>
  <si>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</si>
  <si>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</si>
  <si>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</si>
  <si>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</si>
  <si>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</si>
  <si>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Lords of London 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</si>
  <si>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</si>
  <si>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</si>
  <si>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</si>
  <si>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</si>
  <si>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</si>
  <si>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</si>
  <si>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</si>
  <si>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</si>
  <si>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</si>
  <si>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</si>
  <si>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</si>
  <si>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</si>
  <si>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</si>
  <si>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</si>
  <si>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Murray Bartlett</t>
  </si>
  <si>
    <t>Adrian Gonzalez</t>
  </si>
  <si>
    <t>Edward Conna</t>
  </si>
  <si>
    <t>August 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</si>
  <si>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</si>
  <si>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</si>
  <si>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</si>
  <si>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</si>
  <si>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</si>
  <si>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</si>
  <si>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</si>
  <si>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</si>
  <si>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</si>
  <si>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</si>
  <si>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Alexandre Rodrigues</t>
  </si>
  <si>
    <t>City of God 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</si>
  <si>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</si>
  <si>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</si>
  <si>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</si>
  <si>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</si>
  <si>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</si>
  <si>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</si>
  <si>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</si>
  <si>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</si>
  <si>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</si>
  <si>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</si>
  <si>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Day One 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</si>
  <si>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</si>
  <si>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</si>
  <si>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</si>
  <si>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</si>
  <si>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</si>
  <si>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</si>
  <si>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Thomas Bo Larsen</t>
  </si>
  <si>
    <t>Alexandra Rapaport</t>
  </si>
  <si>
    <t>Hana Shuan</t>
  </si>
  <si>
    <t>The Hunt </t>
  </si>
  <si>
    <t>deer|gun|gunshot|hunt|kindergarten teacher</t>
  </si>
  <si>
    <t>http://www.imdb.com/title/tt2106476/?ref_=fn_tt_tt_1</t>
  </si>
  <si>
    <t>Darren McGavin</t>
  </si>
  <si>
    <t>Scott Schwartz</t>
  </si>
  <si>
    <t>A Christmas Story 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</si>
  <si>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</si>
  <si>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</si>
  <si>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</si>
  <si>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</si>
  <si>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</si>
  <si>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</si>
  <si>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Timothy Van Patten</t>
  </si>
  <si>
    <t>Class of 1984 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</si>
  <si>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</si>
  <si>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</si>
  <si>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</si>
  <si>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</si>
  <si>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</si>
  <si>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</si>
  <si>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</si>
  <si>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</si>
  <si>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</si>
  <si>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</si>
  <si>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</si>
  <si>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François Bégaudeau</t>
  </si>
  <si>
    <t>Agame Malembo-Emene</t>
  </si>
  <si>
    <t>Angélica Sancio</t>
  </si>
  <si>
    <t>The Class </t>
  </si>
  <si>
    <t>high school|inner city|school|student|teacher</t>
  </si>
  <si>
    <t>http://www.imdb.com/title/tt1068646/?ref_=fn_tt_tt_1</t>
  </si>
  <si>
    <t>Charles Grodin</t>
  </si>
  <si>
    <t>Rosemary's Baby 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</si>
  <si>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</si>
  <si>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</si>
  <si>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</si>
  <si>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</si>
  <si>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</si>
  <si>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</si>
  <si>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</si>
  <si>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</si>
  <si>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</si>
  <si>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</si>
  <si>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</si>
  <si>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</si>
  <si>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</si>
  <si>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</si>
  <si>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Maria Full of Grace </t>
  </si>
  <si>
    <t>colombia|colombian|drug mule|money|stomach</t>
  </si>
  <si>
    <t>http://www.imdb.com/title/tt0390221/?ref_=fn_tt_tt_1</t>
  </si>
  <si>
    <t>Colombia</t>
  </si>
  <si>
    <t>Mary Page Keller</t>
  </si>
  <si>
    <t>Beginners 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</si>
  <si>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</si>
  <si>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</si>
  <si>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</si>
  <si>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</si>
  <si>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</si>
  <si>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</si>
  <si>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</si>
  <si>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</si>
  <si>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</si>
  <si>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</si>
  <si>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Honor Blackman</t>
  </si>
  <si>
    <t>Gert Fröbe</t>
  </si>
  <si>
    <t>Goldfinger </t>
  </si>
  <si>
    <t>bikini|covered in melted gold|fort knox|gold|pilot</t>
  </si>
  <si>
    <t>http://www.imdb.com/title/tt0058150/?ref_=fn_tt_tt_1</t>
  </si>
  <si>
    <t>Brandon Cronenberg</t>
  </si>
  <si>
    <t>Caleb Landry Jones</t>
  </si>
  <si>
    <t>Antiviral </t>
  </si>
  <si>
    <t>celebrity|injection|near future|scalpel|stabbed in the mouth</t>
  </si>
  <si>
    <t>http://www.imdb.com/title/tt2099556/?ref_=fn_tt_tt_1</t>
  </si>
  <si>
    <t>Frank Capra</t>
  </si>
  <si>
    <t>Donna Reed</t>
  </si>
  <si>
    <t>Lionel Barrymore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</si>
  <si>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</si>
  <si>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</si>
  <si>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</si>
  <si>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</si>
  <si>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</si>
  <si>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</si>
  <si>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</si>
  <si>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</si>
  <si>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</si>
  <si>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</si>
  <si>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Micah Sloat</t>
  </si>
  <si>
    <t>Paranormal Activity 2 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</si>
  <si>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</si>
  <si>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</si>
  <si>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</si>
  <si>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</si>
  <si>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</si>
  <si>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</si>
  <si>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</si>
  <si>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</si>
  <si>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</si>
  <si>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</si>
  <si>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</si>
  <si>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</si>
  <si>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</si>
  <si>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</si>
  <si>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</si>
  <si>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</si>
  <si>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</si>
  <si>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</si>
  <si>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</si>
  <si>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</si>
  <si>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</si>
  <si>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</si>
  <si>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</si>
  <si>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</si>
  <si>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</si>
  <si>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Danielle Kotch</t>
  </si>
  <si>
    <t>Victoria Leigh</t>
  </si>
  <si>
    <t>Sinister </t>
  </si>
  <si>
    <t>book|found footage|research|snuff film|writer</t>
  </si>
  <si>
    <t>http://www.imdb.com/title/tt1922777/?ref_=fn_tt_tt_1</t>
  </si>
  <si>
    <t>Biography|Comedy|Documentary</t>
  </si>
  <si>
    <t>Mikki Padilla</t>
  </si>
  <si>
    <t>Dayna Devon</t>
  </si>
  <si>
    <t>Martin Lawrence Live: Runteldat 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</si>
  <si>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</si>
  <si>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</si>
  <si>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</si>
  <si>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</si>
  <si>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Cat on a Hot Tin Roof </t>
  </si>
  <si>
    <t>cancer|football|homosexuality|marriage|mississippi</t>
  </si>
  <si>
    <t>http://www.imdb.com/title/tt0051459/?ref_=fn_tt_tt_1</t>
  </si>
  <si>
    <t>Ted Post</t>
  </si>
  <si>
    <t>Linda Harrison</t>
  </si>
  <si>
    <t>Gregory Sierra</t>
  </si>
  <si>
    <t>Victor Buono</t>
  </si>
  <si>
    <t>Beneath the Planet of the Apes 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</si>
  <si>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</si>
  <si>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</si>
  <si>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</si>
  <si>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</si>
  <si>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</si>
  <si>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</si>
  <si>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Veronica Taylor</t>
  </si>
  <si>
    <t>Eric Stuart</t>
  </si>
  <si>
    <t>Lisa Ortiz</t>
  </si>
  <si>
    <t>Pokémon 3: The Movie 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</si>
  <si>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</si>
  <si>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</si>
  <si>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</si>
  <si>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</si>
  <si>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</si>
  <si>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Jason Lives: Friday the 13th Part VI 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</si>
  <si>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</si>
  <si>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</si>
  <si>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</si>
  <si>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</si>
  <si>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</si>
  <si>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</si>
  <si>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Tonya Lee Williams</t>
  </si>
  <si>
    <t>Spaced Invaders 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</si>
  <si>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</si>
  <si>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</si>
  <si>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</si>
  <si>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</si>
  <si>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</si>
  <si>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</si>
  <si>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</si>
  <si>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David White</t>
  </si>
  <si>
    <t>The Apartment 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</si>
  <si>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</si>
  <si>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</si>
  <si>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</si>
  <si>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</si>
  <si>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</si>
  <si>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Jason Goes to Hell: The Final Friday </t>
  </si>
  <si>
    <t>brutality|evil|jason voorhees|paranormal phenomena|terror</t>
  </si>
  <si>
    <t>http://www.imdb.com/title/tt0107254/?ref_=fn_tt_tt_1</t>
  </si>
  <si>
    <t>Tamara Toumanova</t>
  </si>
  <si>
    <t>Lila Kedrova</t>
  </si>
  <si>
    <t>David Opatoshu</t>
  </si>
  <si>
    <t>Torn Curtain </t>
  </si>
  <si>
    <t>defection|east germany|germany|iron curtain|scientist</t>
  </si>
  <si>
    <t>http://www.imdb.com/title/tt0061107/?ref_=fn_tt_tt_1</t>
  </si>
  <si>
    <t>Comedy|Documentary|Music</t>
  </si>
  <si>
    <t>Lauryn Hill</t>
  </si>
  <si>
    <t>Dave Chappelle's Block Party 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</si>
  <si>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</si>
  <si>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</si>
  <si>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</si>
  <si>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</si>
  <si>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</si>
  <si>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</si>
  <si>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</si>
  <si>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Bobby Brown</t>
  </si>
  <si>
    <t>Krush Groove 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</si>
  <si>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</si>
  <si>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</si>
  <si>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</si>
  <si>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</si>
  <si>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</si>
  <si>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</si>
  <si>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Edward Andrews</t>
  </si>
  <si>
    <t>Elmer Gantry 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</si>
  <si>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</si>
  <si>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</si>
  <si>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</si>
  <si>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</si>
  <si>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</si>
  <si>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</si>
  <si>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Countess Vaughn</t>
  </si>
  <si>
    <t>Trippin' </t>
  </si>
  <si>
    <t>apostrophe in title|bare breasts|female nudity|nude black woman|prom</t>
  </si>
  <si>
    <t>http://www.imdb.com/title/tt0160298/?ref_=fn_tt_tt_1</t>
  </si>
  <si>
    <t>Matthew Senreich</t>
  </si>
  <si>
    <t>Seth Green</t>
  </si>
  <si>
    <t>Breckin Meyer</t>
  </si>
  <si>
    <t>Robot Chicken </t>
  </si>
  <si>
    <t>celebrity|robot|satire|sketch comedy|stop motion animation</t>
  </si>
  <si>
    <t>http://www.imdb.com/title/tt0437745/?ref_=fn_tt_tt_1</t>
  </si>
  <si>
    <t>Howard Hawks</t>
  </si>
  <si>
    <t>Action|Adventure|Romance|Western</t>
  </si>
  <si>
    <t>Walter Brennan</t>
  </si>
  <si>
    <t>Red River </t>
  </si>
  <si>
    <t>cattle|cattle drive|cowboy|kansas|texas</t>
  </si>
  <si>
    <t>http://www.imdb.com/title/tt0040724/?ref_=fn_tt_tt_1</t>
  </si>
  <si>
    <t>Nnegest Likké</t>
  </si>
  <si>
    <t>Joyful Drake</t>
  </si>
  <si>
    <t>Phat Girlz </t>
  </si>
  <si>
    <t>female protagonist|size positive|thin|title directed by female|wet dream</t>
  </si>
  <si>
    <t>http://www.imdb.com/title/tt0490196/?ref_=fn_tt_tt_1</t>
  </si>
  <si>
    <t>Seamus Davey-Fitzpatrick</t>
  </si>
  <si>
    <t>Ariane Labed</t>
  </si>
  <si>
    <t>Athina Rachel Tsangari</t>
  </si>
  <si>
    <t>Before Midnight </t>
  </si>
  <si>
    <t>friend|greece|greek|hotel room|twin</t>
  </si>
  <si>
    <t>http://www.imdb.com/title/tt2209418/?ref_=fn_tt_tt_1</t>
  </si>
  <si>
    <t>Christopher Leitch</t>
  </si>
  <si>
    <t>John Astin</t>
  </si>
  <si>
    <t>Robert Neary</t>
  </si>
  <si>
    <t>Teen Wolf Too </t>
  </si>
  <si>
    <t>falling in love|glowing eyes|insult|teenager|three word title</t>
  </si>
  <si>
    <t>http://www.imdb.com/title/tt0094118/?ref_=fn_tt_tt_1</t>
  </si>
  <si>
    <t>Angus Scrimm</t>
  </si>
  <si>
    <t>A. Michael Baldwin</t>
  </si>
  <si>
    <t>James Le Gros</t>
  </si>
  <si>
    <t>Phantasm II </t>
  </si>
  <si>
    <t>cemetery|female nudity|mortuary|sphere|tall man</t>
  </si>
  <si>
    <t>http://www.imdb.com/title/tt0095863/?ref_=fn_tt_tt_1</t>
  </si>
  <si>
    <t>Clifton Powell</t>
  </si>
  <si>
    <t>Woman Thou Art Loosed 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</si>
  <si>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</si>
  <si>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</si>
  <si>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</si>
  <si>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</si>
  <si>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</si>
  <si>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</si>
  <si>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</si>
  <si>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</si>
  <si>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</si>
  <si>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</si>
  <si>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</si>
  <si>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Seema Biswas</t>
  </si>
  <si>
    <t>Water 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</si>
  <si>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</si>
  <si>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</si>
  <si>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</si>
  <si>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</si>
  <si>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</si>
  <si>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</si>
  <si>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</si>
  <si>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</si>
  <si>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</si>
  <si>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Whipped 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</si>
  <si>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</si>
  <si>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</si>
  <si>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</si>
  <si>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</si>
  <si>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</si>
  <si>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</si>
  <si>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Ann Morgan Guilbert</t>
  </si>
  <si>
    <t>Please Give </t>
  </si>
  <si>
    <t>apartment|first date|neighbor|new york|new york city</t>
  </si>
  <si>
    <t>http://www.imdb.com/title/tt0878835/?ref_=fn_tt_tt_1</t>
  </si>
  <si>
    <t>Mel Stuart</t>
  </si>
  <si>
    <t>Family|Fantasy|Musical</t>
  </si>
  <si>
    <t>Peter Ostrum</t>
  </si>
  <si>
    <t>Jack Albertson</t>
  </si>
  <si>
    <t>Julie Dawn Cole</t>
  </si>
  <si>
    <t>Willy Wonka &amp; the Chocolate Factory </t>
  </si>
  <si>
    <t>candy|chocolate|factory|miniaturization|sudden change in size</t>
  </si>
  <si>
    <t>http://www.imdb.com/title/tt0067992/?ref_=fn_tt_tt_1</t>
  </si>
  <si>
    <t>Anthony Hickox</t>
  </si>
  <si>
    <t>Paula Marshall</t>
  </si>
  <si>
    <t>Warlock: The Armageddon 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</si>
  <si>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</si>
  <si>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</si>
  <si>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</si>
  <si>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</si>
  <si>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</si>
  <si>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</si>
  <si>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</si>
  <si>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</si>
  <si>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</si>
  <si>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Days of Heaven 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</si>
  <si>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</si>
  <si>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</si>
  <si>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</si>
  <si>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</si>
  <si>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</si>
  <si>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</si>
  <si>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</si>
  <si>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Jeff Conaway</t>
  </si>
  <si>
    <t>Jawbreaker </t>
  </si>
  <si>
    <t>best friend|bitch|friend|popular girl|prom</t>
  </si>
  <si>
    <t>http://www.imdb.com/title/tt0155776/?ref_=fn_tt_tt_1</t>
  </si>
  <si>
    <t>Courtney Love</t>
  </si>
  <si>
    <t>Basquiat 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</si>
  <si>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</si>
  <si>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</si>
  <si>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</si>
  <si>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</si>
  <si>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</si>
  <si>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</si>
  <si>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</si>
  <si>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</si>
  <si>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Tsotsi 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</si>
  <si>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</si>
  <si>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</si>
  <si>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</si>
  <si>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</si>
  <si>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</si>
  <si>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</si>
  <si>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</si>
  <si>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Robert Noble</t>
  </si>
  <si>
    <t>DysFunktional Family 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</si>
  <si>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</si>
  <si>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</si>
  <si>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</si>
  <si>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</si>
  <si>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</si>
  <si>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</si>
  <si>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</si>
  <si>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</si>
  <si>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</si>
  <si>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</si>
  <si>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</si>
  <si>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Robyn Lively</t>
  </si>
  <si>
    <t>Michael Bolten</t>
  </si>
  <si>
    <t>Christopher Schmidt</t>
  </si>
  <si>
    <t>Letters to God 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</si>
  <si>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</si>
  <si>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</si>
  <si>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</si>
  <si>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</si>
  <si>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</si>
  <si>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 with a Shotgun </t>
  </si>
  <si>
    <t>hobo|pedophile|rampage|shotgun|vigilante</t>
  </si>
  <si>
    <t>http://www.imdb.com/title/tt1640459/?ref_=fn_tt_tt_1</t>
  </si>
  <si>
    <t>Enrique Begne</t>
  </si>
  <si>
    <t>Erick Elias</t>
  </si>
  <si>
    <t>Compadres 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</si>
  <si>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</si>
  <si>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</si>
  <si>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</si>
  <si>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</si>
  <si>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</si>
  <si>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</si>
  <si>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</si>
  <si>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</si>
  <si>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Love's Abiding Joy </t>
  </si>
  <si>
    <t>19th century|faith|mayor|ranch|sheriff</t>
  </si>
  <si>
    <t>http://www.imdb.com/title/tt0785025/?ref_=fn_tt_tt_1</t>
  </si>
  <si>
    <t>Andrea Arnold</t>
  </si>
  <si>
    <t>Jason Maza</t>
  </si>
  <si>
    <t>Fish Tank 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</si>
  <si>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</si>
  <si>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</si>
  <si>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</si>
  <si>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</si>
  <si>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</si>
  <si>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</si>
  <si>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</si>
  <si>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</si>
  <si>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</si>
  <si>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</si>
  <si>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</si>
  <si>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 </t>
  </si>
  <si>
    <t>bachelorette party|drug use|high school|overdose|wedding dress</t>
  </si>
  <si>
    <t>http://www.imdb.com/title/tt1920849/?ref_=fn_tt_tt_1</t>
  </si>
  <si>
    <t>Comedy|Drama|Horror|Sci-Fi|Thriller</t>
  </si>
  <si>
    <t>Megan Hilty</t>
  </si>
  <si>
    <t>BrainDead </t>
  </si>
  <si>
    <t>brains|exploding head|politician|swarm behavior|washington d.c.</t>
  </si>
  <si>
    <t>http://www.imdb.com/title/tt4877736/?ref_=fn_tt_tt_1</t>
  </si>
  <si>
    <t>Bobby Roth</t>
  </si>
  <si>
    <t>Lindsey Haun</t>
  </si>
  <si>
    <t>Brave New Girl </t>
  </si>
  <si>
    <t>based on a book|based on a novel|made for tv movie|music school|support</t>
  </si>
  <si>
    <t>http://www.imdb.com/title/tt0403118/?ref_=fn_tt_tt_1</t>
  </si>
  <si>
    <t>Bob Ross</t>
  </si>
  <si>
    <t>Tim and Eric's Billion Dollar Movie </t>
  </si>
  <si>
    <t>film in film|man with glasses|reference to steven spielberg|self referential|shopping mall</t>
  </si>
  <si>
    <t>http://www.imdb.com/title/tt1855401/?ref_=fn_tt_tt_1</t>
  </si>
  <si>
    <t>Susan Hampshire</t>
  </si>
  <si>
    <t>Amanda Mealing</t>
  </si>
  <si>
    <t>Tim Healy</t>
  </si>
  <si>
    <t>The Grand </t>
  </si>
  <si>
    <t>concierge|front desk|hotel|maid|prostitute</t>
  </si>
  <si>
    <t>http://www.imdb.com/title/tt0118327/?ref_=fn_tt_tt_1</t>
  </si>
  <si>
    <t>Kostja Ullmann</t>
  </si>
  <si>
    <t>Robert Stadlober</t>
  </si>
  <si>
    <t>Summer Storm 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</si>
  <si>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</si>
  <si>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</si>
  <si>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</si>
  <si>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</si>
  <si>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</si>
  <si>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</si>
  <si>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</si>
  <si>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</si>
  <si>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Noah Segan</t>
  </si>
  <si>
    <t>Chain Letter </t>
  </si>
  <si>
    <t>blood splatter|chain|murder|mysterious killer|warning</t>
  </si>
  <si>
    <t>http://www.imdb.com/title/tt1148200/?ref_=fn_tt_tt_1</t>
  </si>
  <si>
    <t>Peter Onorati</t>
  </si>
  <si>
    <t>Just Looking 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</si>
  <si>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</si>
  <si>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</si>
  <si>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</si>
  <si>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</si>
  <si>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</si>
  <si>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</si>
  <si>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</si>
  <si>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</si>
  <si>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The Eclipse 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</si>
  <si>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</si>
  <si>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</si>
  <si>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</si>
  <si>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</si>
  <si>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</si>
  <si>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</si>
  <si>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</si>
  <si>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Neil Hopkins</t>
  </si>
  <si>
    <t>Darren Keefe Reiher</t>
  </si>
  <si>
    <t>David Douglas</t>
  </si>
  <si>
    <t>My Big Fat Independent Movie 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</si>
  <si>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</si>
  <si>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</si>
  <si>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</si>
  <si>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</si>
  <si>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</si>
  <si>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</si>
  <si>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</si>
  <si>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</si>
  <si>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</si>
  <si>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</si>
  <si>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</si>
  <si>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</si>
  <si>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</si>
  <si>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Open Road 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</si>
  <si>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</si>
  <si>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</si>
  <si>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</si>
  <si>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</si>
  <si>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</si>
  <si>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</si>
  <si>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French Stewart</t>
  </si>
  <si>
    <t>Ashley Martin</t>
  </si>
  <si>
    <t>Olivia Alexander</t>
  </si>
  <si>
    <t>30 Nights of Paranormal Activity with the Devil Inside the Girl with the Dragon Tattoo </t>
  </si>
  <si>
    <t>exorcism|female nudity|haunted house|lesbian kiss|masturbation</t>
  </si>
  <si>
    <t>http://www.imdb.com/title/tt2417650/?ref_=fn_tt_tt_1</t>
  </si>
  <si>
    <t>Alex Meraz</t>
  </si>
  <si>
    <t>Jillian Murray</t>
  </si>
  <si>
    <t>Never Back Down 2: The Beatdown </t>
  </si>
  <si>
    <t>bad cop|college|second part|sequel|wrestler</t>
  </si>
  <si>
    <t>http://www.imdb.com/title/tt1754264/?ref_=fn_tt_tt_1</t>
  </si>
  <si>
    <t>Carroll O'Connor</t>
  </si>
  <si>
    <t>Point Blank 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</si>
  <si>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</si>
  <si>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</si>
  <si>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</si>
  <si>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</si>
  <si>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</si>
  <si>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Four Single Fathers 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</si>
  <si>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</si>
  <si>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</si>
  <si>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</si>
  <si>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</si>
  <si>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</si>
  <si>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</si>
  <si>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</si>
  <si>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</si>
  <si>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John Robinson</t>
  </si>
  <si>
    <t>Something Wicked 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</si>
  <si>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</si>
  <si>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</si>
  <si>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</si>
  <si>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</si>
  <si>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</si>
  <si>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AWOL-72 </t>
  </si>
  <si>
    <t>police officer|police officer taken hostage</t>
  </si>
  <si>
    <t>http://www.imdb.com/title/tt2048865/?ref_=fn_tt_tt_1</t>
  </si>
  <si>
    <t>Monte Hellman</t>
  </si>
  <si>
    <t>Adventure|Crime|Drama</t>
  </si>
  <si>
    <t>Jack Taylor</t>
  </si>
  <si>
    <t>Fabio Testi</t>
  </si>
  <si>
    <t>Iguana 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</si>
  <si>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</si>
  <si>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</si>
  <si>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</si>
  <si>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</si>
  <si>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</si>
  <si>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</si>
  <si>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</si>
  <si>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</si>
  <si>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</si>
  <si>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</si>
  <si>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</si>
  <si>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</si>
  <si>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</si>
  <si>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Othon Bastos</t>
  </si>
  <si>
    <t>Central Station 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</si>
  <si>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</si>
  <si>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</si>
  <si>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</si>
  <si>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</si>
  <si>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</si>
  <si>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</si>
  <si>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</si>
  <si>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</si>
  <si>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</si>
  <si>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Close Range 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</si>
  <si>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</si>
  <si>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</si>
  <si>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</si>
  <si>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</si>
  <si>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</si>
  <si>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</si>
  <si>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Olivia Rose Keegan</t>
  </si>
  <si>
    <t>Patrick Bauchau</t>
  </si>
  <si>
    <t>Mia Barron</t>
  </si>
  <si>
    <t>Amnesiac 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</si>
  <si>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</si>
  <si>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</si>
  <si>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</si>
  <si>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</si>
  <si>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</si>
  <si>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Freakonomics </t>
  </si>
  <si>
    <t>cheating|economics|experiment|human nature|sumo wrestling</t>
  </si>
  <si>
    <t>http://www.imdb.com/title/tt1152822/?ref_=fn_tt_tt_1</t>
  </si>
  <si>
    <t>Oana Pellea</t>
  </si>
  <si>
    <t>High Tension </t>
  </si>
  <si>
    <t>car chase|plot twist|police van|rear ending a car|slasher</t>
  </si>
  <si>
    <t>http://www.imdb.com/title/tt0338095/?ref_=fn_tt_tt_1</t>
  </si>
  <si>
    <t>Leon Ford</t>
  </si>
  <si>
    <t>Maeve Dermody</t>
  </si>
  <si>
    <t>Patrick Brammall</t>
  </si>
  <si>
    <t>Kelly Paterniti</t>
  </si>
  <si>
    <t>Griff the Invisible 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</si>
  <si>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</si>
  <si>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</si>
  <si>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</si>
  <si>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</si>
  <si>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</si>
  <si>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Unnatural </t>
  </si>
  <si>
    <t>alaska|climate change|global|polar bear|scientific</t>
  </si>
  <si>
    <t>http://www.imdb.com/title/tt3551400/?ref_=fn_tt_tt_1</t>
  </si>
  <si>
    <t>Isaac Hayes</t>
  </si>
  <si>
    <t>Paula Jai Parker</t>
  </si>
  <si>
    <t>Elise Neal</t>
  </si>
  <si>
    <t>Hustle &amp; Flow </t>
  </si>
  <si>
    <t>baby|friend|hip hop|pimp|stripper</t>
  </si>
  <si>
    <t>http://www.imdb.com/title/tt0410097/?ref_=fn_tt_tt_1</t>
  </si>
  <si>
    <t>Nehemiah Persoff</t>
  </si>
  <si>
    <t>Joe E. Brown</t>
  </si>
  <si>
    <t>George Raft</t>
  </si>
  <si>
    <t>Some Like It Hot 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</si>
  <si>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</si>
  <si>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</si>
  <si>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</si>
  <si>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</si>
  <si>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</si>
  <si>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Friday the 13th Part VII: The New Blood </t>
  </si>
  <si>
    <t>death|jason voorhees|massacre|slaughter|telekinesis</t>
  </si>
  <si>
    <t>http://www.imdb.com/title/tt0095179/?ref_=fn_tt_tt_1</t>
  </si>
  <si>
    <t>Margaret Hamilton</t>
  </si>
  <si>
    <t>Terry</t>
  </si>
  <si>
    <t>Billie Burke</t>
  </si>
  <si>
    <t>The Wizard of Oz 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</si>
  <si>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</si>
  <si>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</si>
  <si>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</si>
  <si>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</si>
  <si>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</si>
  <si>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Joe Dinicol</t>
  </si>
  <si>
    <t>Diary of the Dead 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</si>
  <si>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</si>
  <si>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</si>
  <si>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</si>
  <si>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</si>
  <si>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</si>
  <si>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</si>
  <si>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</si>
  <si>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</si>
  <si>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</si>
  <si>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</si>
  <si>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Ulee's Gold </t>
  </si>
  <si>
    <t>beekeeper|bound and gagged|dysfunctional family|man with glasses|tied to a chair</t>
  </si>
  <si>
    <t>http://www.imdb.com/title/tt0120402/?ref_=fn_tt_tt_1</t>
  </si>
  <si>
    <t>Adventure|Family|Sport</t>
  </si>
  <si>
    <t>Kelly Reno</t>
  </si>
  <si>
    <t>Hoyt Axton</t>
  </si>
  <si>
    <t>The Black Stallion </t>
  </si>
  <si>
    <t>black horse|boy horse relationship|horse|rescued by a horse|training</t>
  </si>
  <si>
    <t>http://www.imdb.com/title/tt0078872/?ref_=fn_tt_tt_1</t>
  </si>
  <si>
    <t>Rohit Jugraj</t>
  </si>
  <si>
    <t>Romance</t>
  </si>
  <si>
    <t>Bhavkhandan Singh Rakhra</t>
  </si>
  <si>
    <t>Neeru Bajwa</t>
  </si>
  <si>
    <t>Diljit Dosanjh</t>
  </si>
  <si>
    <t>Sardaar Ji </t>
  </si>
  <si>
    <t>http://www.imdb.com/title/tt4080386/?ref_=fn_tt_tt_1</t>
  </si>
  <si>
    <t>Panjabi</t>
  </si>
  <si>
    <t>Thorbjørn Christoffersen</t>
  </si>
  <si>
    <t>Action|Adventure|Animation|Comedy|Sci-Fi</t>
  </si>
  <si>
    <t>Frank Hvam</t>
  </si>
  <si>
    <t>Casper Christensen</t>
  </si>
  <si>
    <t>Journey to Saturn 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</si>
  <si>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</si>
  <si>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</si>
  <si>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</si>
  <si>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</si>
  <si>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</si>
  <si>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</si>
  <si>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</si>
  <si>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Rijk de Gooyer</t>
  </si>
  <si>
    <t>Ariane Schluter</t>
  </si>
  <si>
    <t>Henri Garcin</t>
  </si>
  <si>
    <t>The Dress </t>
  </si>
  <si>
    <t>bare breasts|bra|panties|topless female nudity|underwear</t>
  </si>
  <si>
    <t>http://www.imdb.com/title/tt0116729/?ref_=fn_tt_tt_1</t>
  </si>
  <si>
    <t>Drama|Fantasy|Romance|War</t>
  </si>
  <si>
    <t>Esther Williams</t>
  </si>
  <si>
    <t>Irene Dunne</t>
  </si>
  <si>
    <t>A Guy Named Joe 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</si>
  <si>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</si>
  <si>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</si>
  <si>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</si>
  <si>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</si>
  <si>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</si>
  <si>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Judie Aronson</t>
  </si>
  <si>
    <t>Tom Everett</t>
  </si>
  <si>
    <t>Kimberly Beck</t>
  </si>
  <si>
    <t>Friday the 13th: The Final Chapter </t>
  </si>
  <si>
    <t>friday the thirteenth|hockey mask|jason voorhees|morgue|slasher</t>
  </si>
  <si>
    <t>http://www.imdb.com/title/tt0087298/?ref_=fn_tt_tt_1</t>
  </si>
  <si>
    <t>Pawel Pawlikowski</t>
  </si>
  <si>
    <t>Joanna Kulig</t>
  </si>
  <si>
    <t>Agata Trzebuchowska</t>
  </si>
  <si>
    <t>Agata Kulesza</t>
  </si>
  <si>
    <t>Ida 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</si>
  <si>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</si>
  <si>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</si>
  <si>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</si>
  <si>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</si>
  <si>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</si>
  <si>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</si>
  <si>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</si>
  <si>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</si>
  <si>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</si>
  <si>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</si>
  <si>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</si>
  <si>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Documentary|History|Sport</t>
  </si>
  <si>
    <t>Gerry Lopez</t>
  </si>
  <si>
    <t>Gabrielle Reece</t>
  </si>
  <si>
    <t>Laird John Hamilton</t>
  </si>
  <si>
    <t>Riding Giants </t>
  </si>
  <si>
    <t>beach|surfing|surfing contest|two word title|wave</t>
  </si>
  <si>
    <t>http://www.imdb.com/title/tt0389326/?ref_=fn_tt_tt_1</t>
  </si>
  <si>
    <t>Nacho Vigalondo</t>
  </si>
  <si>
    <t>Karra Elejalde</t>
  </si>
  <si>
    <t>Bárbara Goenaga</t>
  </si>
  <si>
    <t>Timecrimes 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</si>
  <si>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</si>
  <si>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</si>
  <si>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</si>
  <si>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</si>
  <si>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</si>
  <si>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Silver Medallist 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</si>
  <si>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</si>
  <si>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</si>
  <si>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</si>
  <si>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</si>
  <si>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</si>
  <si>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</si>
  <si>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Cyd Charisse</t>
  </si>
  <si>
    <t>Singin' in the Rain 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</si>
  <si>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</si>
  <si>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</si>
  <si>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</si>
  <si>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</si>
  <si>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</si>
  <si>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Fat, Sick &amp; Nearly Dead 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</si>
  <si>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</si>
  <si>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</si>
  <si>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</si>
  <si>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</si>
  <si>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</si>
  <si>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</si>
  <si>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Barack Obama</t>
  </si>
  <si>
    <t>Zackary Steven Graham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</si>
  <si>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</si>
  <si>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</si>
  <si>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</si>
  <si>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</si>
  <si>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</si>
  <si>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</si>
  <si>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</si>
  <si>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Nancy Kyes</t>
  </si>
  <si>
    <t>Halloween III: Season of the Witch </t>
  </si>
  <si>
    <t>doctor|factory|halloween|holiday horror|stonehenge</t>
  </si>
  <si>
    <t>http://www.imdb.com/title/tt0085636/?ref_=fn_tt_tt_1</t>
  </si>
  <si>
    <t>Don Taylor</t>
  </si>
  <si>
    <t>Sal Mineo</t>
  </si>
  <si>
    <t>Escape from the Planet of the Apes </t>
  </si>
  <si>
    <t>ape|fear|future|spacecraft|spaceship</t>
  </si>
  <si>
    <t>http://www.imdb.com/title/tt0067065/?ref_=fn_tt_tt_1</t>
  </si>
  <si>
    <t>Melvyn Douglas</t>
  </si>
  <si>
    <t>Whit Bissell</t>
  </si>
  <si>
    <t>Hud </t>
  </si>
  <si>
    <t>alcoholism|forename as title|rancher|rodeo cowboy|texas</t>
  </si>
  <si>
    <t>http://www.imdb.com/title/tt0057163/?ref_=fn_tt_tt_1</t>
  </si>
  <si>
    <t>Leslie Small</t>
  </si>
  <si>
    <t>David Jason Perez</t>
  </si>
  <si>
    <t>La'Princess Jackson</t>
  </si>
  <si>
    <t>Dana Hanna</t>
  </si>
  <si>
    <t>Kevin Hart: Let Me Explain 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</si>
  <si>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</si>
  <si>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</si>
  <si>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</si>
  <si>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</si>
  <si>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</si>
  <si>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Jill Flint</t>
  </si>
  <si>
    <t>Garden State </t>
  </si>
  <si>
    <t>actor|doctor|drugs|home|pain</t>
  </si>
  <si>
    <t>http://www.imdb.com/title/tt0333766/?ref_=fn_tt_tt_1</t>
  </si>
  <si>
    <t>Hanno Pöschl</t>
  </si>
  <si>
    <t>Hans Weingartner</t>
  </si>
  <si>
    <t>Dominik Castell</t>
  </si>
  <si>
    <t>Before Sunrise </t>
  </si>
  <si>
    <t>american|conversations|kiss|love|train</t>
  </si>
  <si>
    <t>http://www.imdb.com/title/tt0112471/?ref_=fn_tt_tt_1</t>
  </si>
  <si>
    <t>Éric Tessier</t>
  </si>
  <si>
    <t>Action|Drama|Horror|Thriller</t>
  </si>
  <si>
    <t>Patrick Huard</t>
  </si>
  <si>
    <t>Michel Côté</t>
  </si>
  <si>
    <t>Jean Pierre Bergeron</t>
  </si>
  <si>
    <t>Sur le seuil 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</si>
  <si>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</si>
  <si>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</si>
  <si>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</si>
  <si>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</si>
  <si>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</si>
  <si>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</si>
  <si>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</si>
  <si>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Jessica Hecht</t>
  </si>
  <si>
    <t>Saving Face </t>
  </si>
  <si>
    <t>chinese|chinese american|lesbian love|mother daughter relationship|surgeon</t>
  </si>
  <si>
    <t>http://www.imdb.com/title/tt0384504/?ref_=fn_tt_tt_1</t>
  </si>
  <si>
    <t>Sarah Gavron</t>
  </si>
  <si>
    <t>Satish Kaushik</t>
  </si>
  <si>
    <t>Christopher Simpson</t>
  </si>
  <si>
    <t>Tannishtha Chatterjee</t>
  </si>
  <si>
    <t>Brick Lane </t>
  </si>
  <si>
    <t>arranged marriage|bangladesh|buckingham palace|september 11 2001|title directed by female</t>
  </si>
  <si>
    <t>http://www.imdb.com/title/tt0940585/?ref_=fn_tt_tt_1</t>
  </si>
  <si>
    <t>Comedy|Crime|Drama|Sci-Fi</t>
  </si>
  <si>
    <t>Joshua Ormond</t>
  </si>
  <si>
    <t>Ana Gasteyer</t>
  </si>
  <si>
    <t>Robot &amp; Frank </t>
  </si>
  <si>
    <t>burglary|dementia|near future|robot|thief</t>
  </si>
  <si>
    <t>http://www.imdb.com/title/tt1990314/?ref_=fn_tt_tt_1</t>
  </si>
  <si>
    <t>Isabel Coixet</t>
  </si>
  <si>
    <t>Amanda Plummer</t>
  </si>
  <si>
    <t>My Life Without Me </t>
  </si>
  <si>
    <t>cancer|death|doctor|drinking|love</t>
  </si>
  <si>
    <t>http://www.imdb.com/title/tt0314412/?ref_=fn_tt_tt_1</t>
  </si>
  <si>
    <t>James Ponsoldt</t>
  </si>
  <si>
    <t>Dayo Okeniyi</t>
  </si>
  <si>
    <t>The Spectacular Now 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</si>
  <si>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</si>
  <si>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</si>
  <si>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</si>
  <si>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</si>
  <si>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Marilyn Hotchkiss' Ballroom Dancing and Charm School </t>
  </si>
  <si>
    <t>student film|wonder years</t>
  </si>
  <si>
    <t>http://www.imdb.com/title/tt0283465/?ref_=fn_tt_tt_1</t>
  </si>
  <si>
    <t>Comedy|Documentary|War</t>
  </si>
  <si>
    <t>Bill Maher</t>
  </si>
  <si>
    <t>Tal Bachman</t>
  </si>
  <si>
    <t>Steve Burg</t>
  </si>
  <si>
    <t>Religulous 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</si>
  <si>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</si>
  <si>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</si>
  <si>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</si>
  <si>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</si>
  <si>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</si>
  <si>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Fuel 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</si>
  <si>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</si>
  <si>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</si>
  <si>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</si>
  <si>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</si>
  <si>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</si>
  <si>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</si>
  <si>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</si>
  <si>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</si>
  <si>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</si>
  <si>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</si>
  <si>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Dustin Lance Black</t>
  </si>
  <si>
    <t>Emily Pearson</t>
  </si>
  <si>
    <t>Gavin Newsom</t>
  </si>
  <si>
    <t>8: The Mormon Proposition </t>
  </si>
  <si>
    <t>church|marriage|mormon|mormon church|proposition</t>
  </si>
  <si>
    <t>http://www.imdb.com/title/tt1484522/?ref_=fn_tt_tt_1</t>
  </si>
  <si>
    <t>James Dodson</t>
  </si>
  <si>
    <t>Shriya Saran</t>
  </si>
  <si>
    <t>The Other End of the Line </t>
  </si>
  <si>
    <t>birthday|call center|fiance|hotel|indian</t>
  </si>
  <si>
    <t>http://www.imdb.com/title/tt1049405/?ref_=fn_tt_tt_1</t>
  </si>
  <si>
    <t>Rüdiger Vogler</t>
  </si>
  <si>
    <t>Sebastian Blomberg</t>
  </si>
  <si>
    <t>Anatomy </t>
  </si>
  <si>
    <t>dissection|male pubic hair|medical school|medical student|train</t>
  </si>
  <si>
    <t>http://www.imdb.com/title/tt0187696/?ref_=fn_tt_tt_1</t>
  </si>
  <si>
    <t>Alex Rivera</t>
  </si>
  <si>
    <t>Tenoch Huerta</t>
  </si>
  <si>
    <t>Sleep Dealer </t>
  </si>
  <si>
    <t>computer|future|mexican immigrant|network|wilhelm scream</t>
  </si>
  <si>
    <t>http://www.imdb.com/title/tt0804529/?ref_=fn_tt_tt_1</t>
  </si>
  <si>
    <t>Paul T. Taylor</t>
  </si>
  <si>
    <t>Super 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</si>
  <si>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</si>
  <si>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</si>
  <si>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</si>
  <si>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</si>
  <si>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</si>
  <si>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</si>
  <si>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</si>
  <si>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</si>
  <si>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</si>
  <si>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</si>
  <si>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</si>
  <si>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</si>
  <si>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</si>
  <si>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</si>
  <si>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</si>
  <si>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</si>
  <si>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</si>
  <si>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</si>
  <si>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</si>
  <si>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Justine Waddell</t>
  </si>
  <si>
    <t>Thr3e 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</si>
  <si>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</si>
  <si>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</si>
  <si>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</si>
  <si>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</si>
  <si>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</si>
  <si>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</si>
  <si>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</si>
  <si>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</si>
  <si>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</si>
  <si>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The Rise of the Krays 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</si>
  <si>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</si>
  <si>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</si>
  <si>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</si>
  <si>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</si>
  <si>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</si>
  <si>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Bianca Brigitte VanDamme</t>
  </si>
  <si>
    <t>Alien Uprising </t>
  </si>
  <si>
    <t>acronym in title|period in title|title ends with period</t>
  </si>
  <si>
    <t>http://www.imdb.com/title/tt2040578/?ref_=fn_tt_tt_1</t>
  </si>
  <si>
    <t>Basil Rathbone</t>
  </si>
  <si>
    <t>Red Skelton</t>
  </si>
  <si>
    <t>Bathing Beauty 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</si>
  <si>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</si>
  <si>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</si>
  <si>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</si>
  <si>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</si>
  <si>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</si>
  <si>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Go for It! 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</si>
  <si>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</si>
  <si>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</si>
  <si>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</si>
  <si>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</si>
  <si>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</si>
  <si>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</si>
  <si>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</si>
  <si>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</si>
  <si>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</si>
  <si>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</si>
  <si>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</si>
  <si>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</si>
  <si>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</si>
  <si>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</si>
  <si>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</si>
  <si>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</si>
  <si>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Mindy Sterling</t>
  </si>
  <si>
    <t>The Brave Little Toaster </t>
  </si>
  <si>
    <t>journey|obsolescence|radio|toaster|vacuum cleaner</t>
  </si>
  <si>
    <t>http://www.imdb.com/title/tt0092695/?ref_=fn_tt_tt_1</t>
  </si>
  <si>
    <t>Leopold Stokowski</t>
  </si>
  <si>
    <t>Deems Taylor</t>
  </si>
  <si>
    <t>Fantasia </t>
  </si>
  <si>
    <t>apprentice|classical music|disney|mouse|orchestra</t>
  </si>
  <si>
    <t>http://www.imdb.com/title/tt0032455/?ref_=fn_tt_tt_1</t>
  </si>
  <si>
    <t>Jaco Booyens</t>
  </si>
  <si>
    <t>Nicole Smolen</t>
  </si>
  <si>
    <t>Sebastian Aguilar</t>
  </si>
  <si>
    <t>Ivette Alvarez</t>
  </si>
  <si>
    <t>8 Days </t>
  </si>
  <si>
    <t>http://www.imdb.com/title/tt3111864/?ref_=fn_tt_tt_1</t>
  </si>
  <si>
    <t>Richard Brooker</t>
  </si>
  <si>
    <t>Dana Kimmell</t>
  </si>
  <si>
    <t>Catherine Parks</t>
  </si>
  <si>
    <t>Friday the 13th Part III </t>
  </si>
  <si>
    <t>defecation|hockey mask|jason voorhees|lake|serial killer</t>
  </si>
  <si>
    <t>http://www.imdb.com/title/tt0083972/?ref_=fn_tt_tt_1</t>
  </si>
  <si>
    <t>Danny Steinmann</t>
  </si>
  <si>
    <t>Tiffany Helm</t>
  </si>
  <si>
    <t>Melanie Kinnaman</t>
  </si>
  <si>
    <t>Dominick Brascia</t>
  </si>
  <si>
    <t>Friday the 13th: A New Beginning 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</si>
  <si>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</si>
  <si>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</si>
  <si>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</si>
  <si>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</si>
  <si>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</si>
  <si>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</si>
  <si>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</si>
  <si>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</si>
  <si>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</si>
  <si>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</si>
  <si>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</si>
  <si>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</si>
  <si>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Impact Point 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</si>
  <si>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</si>
  <si>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</si>
  <si>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</si>
  <si>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</si>
  <si>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</si>
  <si>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</si>
  <si>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</si>
  <si>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</si>
  <si>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</si>
  <si>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</si>
  <si>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Eden </t>
  </si>
  <si>
    <t>flare gun|island|plane crash|soccer team|stranded</t>
  </si>
  <si>
    <t>http://www.imdb.com/title/tt3032282/?ref_=fn_tt_tt_1</t>
  </si>
  <si>
    <t>Harmage Singh Kalirai</t>
  </si>
  <si>
    <t>Saeed Jaffrey</t>
  </si>
  <si>
    <t>Zohra Segal</t>
  </si>
  <si>
    <t>Shobu Kapoor</t>
  </si>
  <si>
    <t>Chicken Tikka Masala 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</si>
  <si>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</si>
  <si>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</si>
  <si>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</si>
  <si>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</si>
  <si>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</si>
  <si>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</si>
  <si>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Rachel Skarsten</t>
  </si>
  <si>
    <t>Daniel Kash</t>
  </si>
  <si>
    <t>Stefanie Drummond</t>
  </si>
  <si>
    <t>Jack Brooks: Monster Slayer 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</si>
  <si>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</si>
  <si>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</si>
  <si>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</si>
  <si>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</si>
  <si>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</si>
  <si>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</si>
  <si>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</si>
  <si>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</si>
  <si>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</si>
  <si>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</si>
  <si>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</si>
  <si>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</si>
  <si>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Jørgen Langhelle</t>
  </si>
  <si>
    <t>Per Christian Ellefsen</t>
  </si>
  <si>
    <t>Sven Nordin</t>
  </si>
  <si>
    <t>Elling </t>
  </si>
  <si>
    <t>friendship|mental illness|poet|sex obsession|virgin</t>
  </si>
  <si>
    <t>http://www.imdb.com/title/tt0279064/?ref_=fn_tt_tt_1</t>
  </si>
  <si>
    <t>Robert Fontaine</t>
  </si>
  <si>
    <t>Michael Derek</t>
  </si>
  <si>
    <t>Arturo Castro</t>
  </si>
  <si>
    <t>Brad Lee Wind</t>
  </si>
  <si>
    <t>Mi America </t>
  </si>
  <si>
    <t>http://www.imdb.com/title/tt2460506/?ref_=fn_tt_tt_1</t>
  </si>
  <si>
    <t>Manuela Velasco</t>
  </si>
  <si>
    <t>Carlos Lasarte</t>
  </si>
  <si>
    <t>[Rec] 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</si>
  <si>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</si>
  <si>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</si>
  <si>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</si>
  <si>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</si>
  <si>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Lies in Plain Sight 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</si>
  <si>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</si>
  <si>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</si>
  <si>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</si>
  <si>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</si>
  <si>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</si>
  <si>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Sharkskin </t>
  </si>
  <si>
    <t>http://www.imdb.com/title/tt2317796/?ref_=fn_tt_tt_1</t>
  </si>
  <si>
    <t>Neil Mcenery-West</t>
  </si>
  <si>
    <t>Walter Hendrix III</t>
  </si>
  <si>
    <t>Louise Brealey</t>
  </si>
  <si>
    <t>Containment </t>
  </si>
  <si>
    <t>hazmat suit</t>
  </si>
  <si>
    <t>http://www.imdb.com/title/tt3561236/?ref_=fn_tt_tt_1</t>
  </si>
  <si>
    <t>Anthony O'Brien</t>
  </si>
  <si>
    <t>Maria Doyle Kennedy</t>
  </si>
  <si>
    <t>Shaun O'Hagan</t>
  </si>
  <si>
    <t>The Timber 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</si>
  <si>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</si>
  <si>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</si>
  <si>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</si>
  <si>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</si>
  <si>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</si>
  <si>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</si>
  <si>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Action|Comedy|Horror|Sci-Fi</t>
  </si>
  <si>
    <t>Phoebe Legere</t>
  </si>
  <si>
    <t>Jessica Dublin</t>
  </si>
  <si>
    <t>Lisa Gaye</t>
  </si>
  <si>
    <t>The Toxic Avenger Part II </t>
  </si>
  <si>
    <t>bare breasts|japan|tokyo japan|toxic avenger|troma</t>
  </si>
  <si>
    <t>http://www.imdb.com/title/tt0098503/?ref_=fn_tt_tt_1</t>
  </si>
  <si>
    <t>Alan Autry</t>
  </si>
  <si>
    <t>Crystal R. Fox</t>
  </si>
  <si>
    <t>In the Heat of the Night </t>
  </si>
  <si>
    <t>detective|mississippi|police|police detective|small town</t>
  </si>
  <si>
    <t>http://www.imdb.com/title/tt0094484/?ref_=fn_tt_tt_1</t>
  </si>
  <si>
    <t>John Beck</t>
  </si>
  <si>
    <t>Mews Small</t>
  </si>
  <si>
    <t>Sleeper </t>
  </si>
  <si>
    <t>frozen|future|health food|leader|police</t>
  </si>
  <si>
    <t>http://www.imdb.com/title/tt0070707/?ref_=fn_tt_tt_1</t>
  </si>
  <si>
    <t>David Robert Mitchell</t>
  </si>
  <si>
    <t>Maika Monroe</t>
  </si>
  <si>
    <t>Ruby Harris</t>
  </si>
  <si>
    <t>Jake Weary</t>
  </si>
  <si>
    <t>It Follows 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</si>
  <si>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</si>
  <si>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</si>
  <si>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</si>
  <si>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</si>
  <si>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</si>
  <si>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</si>
  <si>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</si>
  <si>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</si>
  <si>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To Kill a Mockingbird </t>
  </si>
  <si>
    <t>1930s|alabama|lawyer|six year old|trial</t>
  </si>
  <si>
    <t>http://www.imdb.com/title/tt0056592/?ref_=fn_tt_tt_1</t>
  </si>
  <si>
    <t>Kjell Nilsson</t>
  </si>
  <si>
    <t>Mad Max 2: The Road Warrior </t>
  </si>
  <si>
    <t>australian|gasoline|post apocalypse|refinery|warrior</t>
  </si>
  <si>
    <t>http://www.imdb.com/title/tt0082694/?ref_=fn_tt_tt_1</t>
  </si>
  <si>
    <t>Chia-Liang Liu</t>
  </si>
  <si>
    <t>Ho-Sung Pak</t>
  </si>
  <si>
    <t>The Legend of Drunken Master </t>
  </si>
  <si>
    <t>battle|fight|fighting|martial artist|snake</t>
  </si>
  <si>
    <t>http://www.imdb.com/title/tt0111512/?ref_=fn_tt_tt_1</t>
  </si>
  <si>
    <t>Alicia Goranson</t>
  </si>
  <si>
    <t>Jeannetta Arnette</t>
  </si>
  <si>
    <t>Boys Don't Cry </t>
  </si>
  <si>
    <t>drinking|female dressed as male|love|nebraska|transgender</t>
  </si>
  <si>
    <t>http://www.imdb.com/title/tt0171804/?ref_=fn_tt_tt_1</t>
  </si>
  <si>
    <t>Chris Kentis</t>
  </si>
  <si>
    <t>Eric Sheffer Stevens</t>
  </si>
  <si>
    <t>Julia Taylor Ross</t>
  </si>
  <si>
    <t>Adam Trese</t>
  </si>
  <si>
    <t>Silent House 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</si>
  <si>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</si>
  <si>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</si>
  <si>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</si>
  <si>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</si>
  <si>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</si>
  <si>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</si>
  <si>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T.C. Stallings</t>
  </si>
  <si>
    <t>Courageous 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</si>
  <si>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</si>
  <si>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</si>
  <si>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</si>
  <si>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</si>
  <si>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</si>
  <si>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</si>
  <si>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</si>
  <si>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</si>
  <si>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</si>
  <si>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</si>
  <si>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Boom Town </t>
  </si>
  <si>
    <t>oil|oil field|oil tycoon|partnership|wildcatter</t>
  </si>
  <si>
    <t>http://www.imdb.com/title/tt0032273/?ref_=fn_tt_tt_1</t>
  </si>
  <si>
    <t>Sylvain Chomet</t>
  </si>
  <si>
    <t>Animation|Comedy|Drama</t>
  </si>
  <si>
    <t>Michel Robin</t>
  </si>
  <si>
    <t>Charles Linton</t>
  </si>
  <si>
    <t>Béatrice Bonifassi</t>
  </si>
  <si>
    <t>The Triplets of Belleville 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</si>
  <si>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</si>
  <si>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</si>
  <si>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</si>
  <si>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</si>
  <si>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</si>
  <si>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</si>
  <si>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</si>
  <si>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</si>
  <si>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American Splendor 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</si>
  <si>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</si>
  <si>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</si>
  <si>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</si>
  <si>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</si>
  <si>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Before Sunset </t>
  </si>
  <si>
    <t>book|bookstore|love|simultaneity|train</t>
  </si>
  <si>
    <t>http://www.imdb.com/title/tt0381681/?ref_=fn_tt_tt_1</t>
  </si>
  <si>
    <t>Jorge Salinas</t>
  </si>
  <si>
    <t>Goya Toledo</t>
  </si>
  <si>
    <t>Amores Perros 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</si>
  <si>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</si>
  <si>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</si>
  <si>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</si>
  <si>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</si>
  <si>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</si>
  <si>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</si>
  <si>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</si>
  <si>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</si>
  <si>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</si>
  <si>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Gentleman's Agreement 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</si>
  <si>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</si>
  <si>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</si>
  <si>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</si>
  <si>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</si>
  <si>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</si>
  <si>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Winter's Bone </t>
  </si>
  <si>
    <t>bail|crystal meth|family relationships|female protagonist|search for father</t>
  </si>
  <si>
    <t>http://www.imdb.com/title/tt1399683/?ref_=fn_tt_tt_1</t>
  </si>
  <si>
    <t>Adventure|Documentary|Drama|Sport</t>
  </si>
  <si>
    <t>Nicholas Aaron</t>
  </si>
  <si>
    <t>Brendan Mackey</t>
  </si>
  <si>
    <t>Joe Simpson</t>
  </si>
  <si>
    <t>Touching the Void 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</si>
  <si>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</si>
  <si>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</si>
  <si>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</si>
  <si>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</si>
  <si>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</si>
  <si>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</si>
  <si>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</si>
  <si>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</si>
  <si>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</si>
  <si>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</si>
  <si>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</si>
  <si>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</si>
  <si>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</si>
  <si>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</si>
  <si>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Inside Job 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</si>
  <si>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</si>
  <si>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</si>
  <si>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</si>
  <si>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</si>
  <si>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</si>
  <si>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</si>
  <si>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</si>
  <si>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</si>
  <si>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</si>
  <si>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Ghost Dog: The Way of the Samurai 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</si>
  <si>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</si>
  <si>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</si>
  <si>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</si>
  <si>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</si>
  <si>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</si>
  <si>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Sydelle Noel</t>
  </si>
  <si>
    <t>Captive 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</si>
  <si>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</si>
  <si>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</si>
  <si>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</si>
  <si>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</si>
  <si>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</si>
  <si>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</si>
  <si>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</si>
  <si>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</si>
  <si>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Witchboard 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</si>
  <si>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</si>
  <si>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</si>
  <si>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</si>
  <si>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</si>
  <si>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</si>
  <si>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Sook-Yin Lee</t>
  </si>
  <si>
    <t>Peter Stickles</t>
  </si>
  <si>
    <t>Raphael Barker</t>
  </si>
  <si>
    <t>Shortbus </t>
  </si>
  <si>
    <t>controversy|ejaculation|male frontal nudity|oral sex|unsimulated sex</t>
  </si>
  <si>
    <t>http://www.imdb.com/title/tt0367027/?ref_=fn_tt_tt_1</t>
  </si>
  <si>
    <t>Ari Folman</t>
  </si>
  <si>
    <t>Animation|Biography|Documentary|Drama|History|War</t>
  </si>
  <si>
    <t>Ronny Dayag</t>
  </si>
  <si>
    <t>Zahava Solomon</t>
  </si>
  <si>
    <t>Waltz with Bashir </t>
  </si>
  <si>
    <t>bar|dog|interview|lebanon|nightmare</t>
  </si>
  <si>
    <t>http://www.imdb.com/title/tt1185616/?ref_=fn_tt_tt_1</t>
  </si>
  <si>
    <t>Israel</t>
  </si>
  <si>
    <t>Gary Rogers</t>
  </si>
  <si>
    <t>Noah Danby</t>
  </si>
  <si>
    <t>Kirby Heyborne</t>
  </si>
  <si>
    <t>Bruce Newbold</t>
  </si>
  <si>
    <t>The Book of Mormon Movie, Volume 1: The Journey </t>
  </si>
  <si>
    <t>jerusalem|journey|promised land|ship|wilderness</t>
  </si>
  <si>
    <t>http://www.imdb.com/title/tt0349159/?ref_=fn_tt_tt_1</t>
  </si>
  <si>
    <t>Documentary|War</t>
  </si>
  <si>
    <t>Dick Cheney</t>
  </si>
  <si>
    <t>Donald Rumsfeld</t>
  </si>
  <si>
    <t>No End in Sight </t>
  </si>
  <si>
    <t>american politics|iraq|iraq war|occupation|white house</t>
  </si>
  <si>
    <t>http://www.imdb.com/title/tt0912593/?ref_=fn_tt_tt_1</t>
  </si>
  <si>
    <t>Marielle Heller</t>
  </si>
  <si>
    <t>Austin Lyon</t>
  </si>
  <si>
    <t>The Diary of a Teenage Girl </t>
  </si>
  <si>
    <t>1970s|mother's boyfriend|overalls|phone booth|sexual promiscuity</t>
  </si>
  <si>
    <t>http://www.imdb.com/title/tt3172532/?ref_=fn_tt_tt_1</t>
  </si>
  <si>
    <t>Debrah Farentino</t>
  </si>
  <si>
    <t>Get Real </t>
  </si>
  <si>
    <t>breaking the fourth wall|brother brother relationship|high school friends|imperative in title|skateboard</t>
  </si>
  <si>
    <t>http://www.imdb.com/title/tt0212662/?ref_=fn_tt_tt_1</t>
  </si>
  <si>
    <t>David Sington</t>
  </si>
  <si>
    <t>Documentary|History</t>
  </si>
  <si>
    <t>John F. Kennedy</t>
  </si>
  <si>
    <t>Buzz Aldrin</t>
  </si>
  <si>
    <t>Neil Armstrong</t>
  </si>
  <si>
    <t>In the Shadow of the Moon 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</si>
  <si>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</si>
  <si>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</si>
  <si>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</si>
  <si>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</si>
  <si>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</si>
  <si>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</si>
  <si>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</si>
  <si>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Linda Lovelace</t>
  </si>
  <si>
    <t>Inside Deep Throat 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</si>
  <si>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</si>
  <si>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</si>
  <si>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</si>
  <si>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</si>
  <si>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</si>
  <si>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</si>
  <si>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</si>
  <si>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</si>
  <si>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</si>
  <si>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</si>
  <si>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</si>
  <si>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Matt Bennett</t>
  </si>
  <si>
    <t>Krysta Rodriguez</t>
  </si>
  <si>
    <t>Zack Pearlman</t>
  </si>
  <si>
    <t>The Virginity Hit </t>
  </si>
  <si>
    <t>masturbation|porn star|sex lesson from a prostitute|spreadeagle|topless</t>
  </si>
  <si>
    <t>http://www.imdb.com/title/tt1695994/?ref_=fn_tt_tt_1</t>
  </si>
  <si>
    <t>Jean-Hugues Anglade</t>
  </si>
  <si>
    <t>Subway 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</si>
  <si>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</si>
  <si>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</si>
  <si>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</si>
  <si>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</si>
  <si>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</si>
  <si>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</si>
  <si>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</si>
  <si>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Jess Weixler</t>
  </si>
  <si>
    <t>Nathan Parsons</t>
  </si>
  <si>
    <t>John Hensley</t>
  </si>
  <si>
    <t>Teeth </t>
  </si>
  <si>
    <t>high school|purity|stepbrother|temptation|vagina dentata</t>
  </si>
  <si>
    <t>http://www.imdb.com/title/tt0780622/?ref_=fn_tt_tt_1</t>
  </si>
  <si>
    <t>Lance Mungia</t>
  </si>
  <si>
    <t>Action|Adventure|Comedy|Drama|Music|Sci-Fi</t>
  </si>
  <si>
    <t>Jeffrey Falcon</t>
  </si>
  <si>
    <t>Stephane Gauger</t>
  </si>
  <si>
    <t>Kim De Angelo</t>
  </si>
  <si>
    <t>Six-String Samurai </t>
  </si>
  <si>
    <t>boy|guitar|orphan|rock 'n' roll|sword</t>
  </si>
  <si>
    <t>http://www.imdb.com/title/tt0118736/?ref_=fn_tt_tt_1</t>
  </si>
  <si>
    <t>Kundan Shah</t>
  </si>
  <si>
    <t>Karisma Kapoor</t>
  </si>
  <si>
    <t>Bobby Deol</t>
  </si>
  <si>
    <t>Shakti Kapoor</t>
  </si>
  <si>
    <t>Hum To Mohabbat Karega 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</si>
  <si>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</si>
  <si>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</si>
  <si>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</si>
  <si>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</si>
  <si>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</si>
  <si>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It's All Gone Pete Tong 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</si>
  <si>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</si>
  <si>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</si>
  <si>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</si>
  <si>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</si>
  <si>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</si>
  <si>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</si>
  <si>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Karl Collins</t>
  </si>
  <si>
    <t>24 7: Twenty Four Seven 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</si>
  <si>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</si>
  <si>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</si>
  <si>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</si>
  <si>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</si>
  <si>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</si>
  <si>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</si>
  <si>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</si>
  <si>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</si>
  <si>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</si>
  <si>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Animation|Comedy|Family|Romance</t>
  </si>
  <si>
    <t>Sanjay Mishra</t>
  </si>
  <si>
    <t>Javed Jaffrey</t>
  </si>
  <si>
    <t>Roadside Romeo 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</si>
  <si>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</si>
  <si>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</si>
  <si>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</si>
  <si>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</si>
  <si>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This Thing of Ours 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</si>
  <si>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</si>
  <si>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</si>
  <si>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</si>
  <si>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</si>
  <si>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</si>
  <si>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</si>
  <si>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</si>
  <si>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Charly Bivona</t>
  </si>
  <si>
    <t>The Last Five Years 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</si>
  <si>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</si>
  <si>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</si>
  <si>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</si>
  <si>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</si>
  <si>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</si>
  <si>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</si>
  <si>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</si>
  <si>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Horror|Romance|Sci-Fi</t>
  </si>
  <si>
    <t>Kent McCord</t>
  </si>
  <si>
    <t>Sarah Douglas</t>
  </si>
  <si>
    <t>Return of the Living Dead III 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</si>
  <si>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</si>
  <si>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</si>
  <si>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</si>
  <si>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</si>
  <si>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</si>
  <si>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</si>
  <si>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</si>
  <si>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Michelle Hurst</t>
  </si>
  <si>
    <t>Sherrybaby </t>
  </si>
  <si>
    <t>ex convict|halfway house|nipples visible through clothing|orgasm|parole officer</t>
  </si>
  <si>
    <t>http://www.imdb.com/title/tt0423169/?ref_=fn_tt_tt_1</t>
  </si>
  <si>
    <t>Aaron Hann</t>
  </si>
  <si>
    <t>Jordi Vilasuso</t>
  </si>
  <si>
    <t>Michael McLafferty</t>
  </si>
  <si>
    <t>Kaiwi Lyman-Mersereau</t>
  </si>
  <si>
    <t>Circle </t>
  </si>
  <si>
    <t>alien abduction|debate|lesbian|pregnant|spaceship</t>
  </si>
  <si>
    <t>http://www.imdb.com/title/tt3118452/?ref_=fn_tt_tt_1</t>
  </si>
  <si>
    <t>Lorraine Stanley</t>
  </si>
  <si>
    <t>Eden Lake </t>
  </si>
  <si>
    <t>camping|forest|lake|stabbed with glass|vomiting</t>
  </si>
  <si>
    <t>http://www.imdb.com/title/tt1020530/?ref_=fn_tt_tt_1</t>
  </si>
  <si>
    <t>Marlene Forte</t>
  </si>
  <si>
    <t>Plush 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</si>
  <si>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</si>
  <si>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</si>
  <si>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</si>
  <si>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</si>
  <si>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</si>
  <si>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Vampire Killers 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</si>
  <si>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</si>
  <si>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</si>
  <si>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</si>
  <si>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</si>
  <si>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</si>
  <si>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Gangster's Paradise: Jerusalema 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</si>
  <si>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</si>
  <si>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</si>
  <si>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</si>
  <si>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</si>
  <si>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</si>
  <si>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</si>
  <si>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</si>
  <si>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</si>
  <si>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</si>
  <si>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Grave Encounters </t>
  </si>
  <si>
    <t>ghost|ghost hunting|labyrinth|paranormal|reality show</t>
  </si>
  <si>
    <t>http://www.imdb.com/title/tt1703199/?ref_=fn_tt_tt_1</t>
  </si>
  <si>
    <t>Conor McMahon</t>
  </si>
  <si>
    <t>Peter McQuinn</t>
  </si>
  <si>
    <t>Tommy Knight</t>
  </si>
  <si>
    <t>Jemma Curran</t>
  </si>
  <si>
    <t>Stitches </t>
  </si>
  <si>
    <t>cat killer|death of animal|high heels|kneed in the crotch|kneed in the groin</t>
  </si>
  <si>
    <t>http://www.imdb.com/title/tt2126362/?ref_=fn_tt_tt_1</t>
  </si>
  <si>
    <t>Chris Shadley</t>
  </si>
  <si>
    <t>Daniel Baldwin</t>
  </si>
  <si>
    <t>William Lee Scott</t>
  </si>
  <si>
    <t>Nine Dead </t>
  </si>
  <si>
    <t>betrayal|car|connection|death|gun</t>
  </si>
  <si>
    <t>http://www.imdb.com/title/tt0959329/?ref_=fn_tt_tt_1</t>
  </si>
  <si>
    <t>Simon Napier-Bell</t>
  </si>
  <si>
    <t>Alice Cooper</t>
  </si>
  <si>
    <t>Tim Rice</t>
  </si>
  <si>
    <t>Louis Walsh</t>
  </si>
  <si>
    <t>To Be Frank, Sinatra at 100 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</si>
  <si>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</si>
  <si>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</si>
  <si>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</si>
  <si>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</si>
  <si>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</si>
  <si>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</si>
  <si>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</si>
  <si>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</si>
  <si>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Supercapitalist </t>
  </si>
  <si>
    <t>http://www.imdb.com/title/tt1734586/?ref_=fn_tt_tt_1</t>
  </si>
  <si>
    <t>Jeff Crook</t>
  </si>
  <si>
    <t>Mario Cimarro</t>
  </si>
  <si>
    <t>Ricardo Chavira</t>
  </si>
  <si>
    <t>Rockaway 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</si>
  <si>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</si>
  <si>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</si>
  <si>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</si>
  <si>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</si>
  <si>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</si>
  <si>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Crime|Drama|Film-Noir|Mystery|Thriller</t>
  </si>
  <si>
    <t>Rita Hayworth</t>
  </si>
  <si>
    <t>Everett Sloane</t>
  </si>
  <si>
    <t>Ted de Corsia</t>
  </si>
  <si>
    <t>The Lady from Shanghai 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</si>
  <si>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</si>
  <si>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</si>
  <si>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</si>
  <si>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</si>
  <si>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</si>
  <si>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</si>
  <si>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Mark Rolston</t>
  </si>
  <si>
    <t>Highway 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</si>
  <si>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</si>
  <si>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</si>
  <si>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</si>
  <si>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</si>
  <si>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</si>
  <si>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</si>
  <si>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</si>
  <si>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</si>
  <si>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</si>
  <si>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</si>
  <si>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</si>
  <si>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</si>
  <si>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</si>
  <si>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</si>
  <si>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The Ghastly Love of Johnny X 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</si>
  <si>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</si>
  <si>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</si>
  <si>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</si>
  <si>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</si>
  <si>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</si>
  <si>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</si>
  <si>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</si>
  <si>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</si>
  <si>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</si>
  <si>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The Torture Chamber of Dr. Sadism </t>
  </si>
  <si>
    <t>count|drawn and quartered|tied up|torture chamber|torture device</t>
  </si>
  <si>
    <t>http://www.imdb.com/title/tt0062235/?ref_=fn_tt_tt_1</t>
  </si>
  <si>
    <t>Jon Mack</t>
  </si>
  <si>
    <t>Josh Meyers</t>
  </si>
  <si>
    <t>Straight A's </t>
  </si>
  <si>
    <t>addict|paternity|rascal|swimming pool|texas</t>
  </si>
  <si>
    <t>http://www.imdb.com/title/tt2024506/?ref_=fn_tt_tt_1</t>
  </si>
  <si>
    <t>Buster Keaton</t>
  </si>
  <si>
    <t>Zero Mostel</t>
  </si>
  <si>
    <t>Phil Silvers</t>
  </si>
  <si>
    <t>A Funny Thing Happened on the Way to the Forum 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</si>
  <si>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</si>
  <si>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</si>
  <si>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</si>
  <si>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</si>
  <si>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Slacker Uprising 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</si>
  <si>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</si>
  <si>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</si>
  <si>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</si>
  <si>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</si>
  <si>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</si>
  <si>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</si>
  <si>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</si>
  <si>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</si>
  <si>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Trenton Rostedt</t>
  </si>
  <si>
    <t>Wray Crawford</t>
  </si>
  <si>
    <t>Dave Sheridan</t>
  </si>
  <si>
    <t>The Walking Deceased 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</si>
  <si>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</si>
  <si>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</si>
  <si>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</si>
  <si>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</si>
  <si>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</si>
  <si>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</si>
  <si>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Melissa Bolona</t>
  </si>
  <si>
    <t>Michael Aaron Milligan</t>
  </si>
  <si>
    <t>James Chalke</t>
  </si>
  <si>
    <t>Shark Lake 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</si>
  <si>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</si>
  <si>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</si>
  <si>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</si>
  <si>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</si>
  <si>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</si>
  <si>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</si>
  <si>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</si>
  <si>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</si>
  <si>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</si>
  <si>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Paul McGillion</t>
  </si>
  <si>
    <t>Mike 'The Miz' Mizanin</t>
  </si>
  <si>
    <t>David Lewis</t>
  </si>
  <si>
    <t>The Marine 4: Moving Target 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</si>
  <si>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</si>
  <si>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</si>
  <si>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</si>
  <si>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 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</si>
  <si>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</si>
  <si>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</si>
  <si>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</si>
  <si>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</si>
  <si>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</si>
  <si>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</si>
  <si>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</si>
  <si>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Documentary|Drama|History|News</t>
  </si>
  <si>
    <t>Ahmed Hassan</t>
  </si>
  <si>
    <t>Aida Elkashef</t>
  </si>
  <si>
    <t>The Square </t>
  </si>
  <si>
    <t>http://www.imdb.com/title/tt2486682/?ref_=fn_tt_tt_1</t>
  </si>
  <si>
    <t>Egypt</t>
  </si>
  <si>
    <t>Pascal Arnold</t>
  </si>
  <si>
    <t>Karl E. Landler</t>
  </si>
  <si>
    <t>Lizzie Brocheré</t>
  </si>
  <si>
    <t>One to Another </t>
  </si>
  <si>
    <t>fellatio|female frontal nudity|male frontal nudity|nude sunbathing|orgy</t>
  </si>
  <si>
    <t>http://www.imdb.com/title/tt0486751/?ref_=fn_tt_tt_1</t>
  </si>
  <si>
    <t>Remo</t>
  </si>
  <si>
    <t>Prabhudheva</t>
  </si>
  <si>
    <t>ABCD (Any Body Can Dance) </t>
  </si>
  <si>
    <t>http://www.imdb.com/title/tt2321163/?ref_=fn_tt_tt_1</t>
  </si>
  <si>
    <t>Biography|Crime|Documentary|History|Thriller</t>
  </si>
  <si>
    <t>Paul McGill</t>
  </si>
  <si>
    <t>Philippe Petit</t>
  </si>
  <si>
    <t>Jean-Louis Blondeau</t>
  </si>
  <si>
    <t>Man on Wire </t>
  </si>
  <si>
    <t>new york city|passion|reenactment|rooftop|tower</t>
  </si>
  <si>
    <t>http://www.imdb.com/title/tt1155592/?ref_=fn_tt_tt_1</t>
  </si>
  <si>
    <t>John Laing</t>
  </si>
  <si>
    <t>Siobhan Marshall</t>
  </si>
  <si>
    <t>Peter Feeney</t>
  </si>
  <si>
    <t>Rachel Nash</t>
  </si>
  <si>
    <t>Abandoned 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</si>
  <si>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</si>
  <si>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</si>
  <si>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</si>
  <si>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</si>
  <si>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</si>
  <si>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</si>
  <si>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</si>
  <si>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</si>
  <si>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Patrick Fabian</t>
  </si>
  <si>
    <t>The Last Exorcism 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</si>
  <si>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</si>
  <si>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</si>
  <si>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</si>
  <si>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</si>
  <si>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</si>
  <si>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Kim Hunter</t>
  </si>
  <si>
    <t>A Streetcar Named Desire 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</si>
  <si>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</si>
  <si>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</si>
  <si>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</si>
  <si>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</si>
  <si>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</si>
  <si>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</si>
  <si>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</si>
  <si>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</si>
  <si>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</si>
  <si>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</si>
  <si>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</si>
  <si>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</si>
  <si>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</si>
  <si>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Beasts of the Southern Wild </t>
  </si>
  <si>
    <t>auroch|community|hospital|illness|six year old</t>
  </si>
  <si>
    <t>http://www.imdb.com/title/tt2125435/?ref_=fn_tt_tt_1</t>
  </si>
  <si>
    <t>J. Lee Thompson</t>
  </si>
  <si>
    <t>Claude Akins</t>
  </si>
  <si>
    <t>Battle for the Planet of the Apes 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</si>
  <si>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</si>
  <si>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</si>
  <si>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</si>
  <si>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</si>
  <si>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</si>
  <si>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</si>
  <si>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</si>
  <si>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</si>
  <si>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</si>
  <si>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</si>
  <si>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</si>
  <si>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Hansika Motwani</t>
  </si>
  <si>
    <t>T.R. Silambarasan</t>
  </si>
  <si>
    <t>Brahmanandam</t>
  </si>
  <si>
    <t>Vaalu </t>
  </si>
  <si>
    <t>http://www.imdb.com/title/tt3566698/?ref_=fn_tt_tt_1</t>
  </si>
  <si>
    <t>Tamil</t>
  </si>
  <si>
    <t>Donald Trump</t>
  </si>
  <si>
    <t>The Greatest Movie Ever Sold 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</si>
  <si>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</si>
  <si>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</si>
  <si>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</si>
  <si>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</si>
  <si>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</si>
  <si>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</si>
  <si>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</si>
  <si>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Tshewang Dendup</t>
  </si>
  <si>
    <t>Lhakpa Dorji</t>
  </si>
  <si>
    <t>Sonam Kinga</t>
  </si>
  <si>
    <t>Travelers and Magicians </t>
  </si>
  <si>
    <t>bhutan|buddhist|monk|storytelling|weaver</t>
  </si>
  <si>
    <t>http://www.imdb.com/title/tt0378906/?ref_=fn_tt_tt_1</t>
  </si>
  <si>
    <t>Dzongkha</t>
  </si>
  <si>
    <t>Alan Hale Jr.</t>
  </si>
  <si>
    <t>Hang 'Em High </t>
  </si>
  <si>
    <t>imperative in title|judge|marshal|murder|vigilante</t>
  </si>
  <si>
    <t>http://www.imdb.com/title/tt0061747/?ref_=fn_tt_tt_1</t>
  </si>
  <si>
    <t>Crime|Drama|Film-Noir</t>
  </si>
  <si>
    <t>Humphrey Bogart</t>
  </si>
  <si>
    <t>Jim Backus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</si>
  <si>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</si>
  <si>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</si>
  <si>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</si>
  <si>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</si>
  <si>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</si>
  <si>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</si>
  <si>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</si>
  <si>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</si>
  <si>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Kimberley Crossman</t>
  </si>
  <si>
    <t>Luke Edwards</t>
  </si>
  <si>
    <t>Bree Williamson</t>
  </si>
  <si>
    <t>A Beginner's Guide to Snuff </t>
  </si>
  <si>
    <t>http://www.imdb.com/title/tt4058122/?ref_=fn_tt_tt_1</t>
  </si>
  <si>
    <t>W.D. Hogan</t>
  </si>
  <si>
    <t>Keenan Tracey</t>
  </si>
  <si>
    <t>Nicholas Carella</t>
  </si>
  <si>
    <t>Independence Daysaster 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</si>
  <si>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</si>
  <si>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</si>
  <si>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</si>
  <si>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</si>
  <si>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</si>
  <si>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</si>
  <si>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</si>
  <si>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</si>
  <si>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</si>
  <si>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Run Lola Run 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</si>
  <si>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</si>
  <si>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</si>
  <si>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</si>
  <si>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</si>
  <si>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</si>
  <si>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</si>
  <si>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</si>
  <si>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</si>
  <si>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</si>
  <si>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</si>
  <si>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Against the Wild </t>
  </si>
  <si>
    <t>cave|salmon</t>
  </si>
  <si>
    <t>http://www.imdb.com/title/tt2475846/?ref_=fn_tt_tt_1</t>
  </si>
  <si>
    <t>David Hunt</t>
  </si>
  <si>
    <t>Matthew Alan</t>
  </si>
  <si>
    <t>Chris Cleveland</t>
  </si>
  <si>
    <t>Circus-Szalewski</t>
  </si>
  <si>
    <t>Living Dark: The Story of Ted the Caver 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</si>
  <si>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</si>
  <si>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</si>
  <si>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</si>
  <si>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</si>
  <si>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</si>
  <si>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</si>
  <si>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John Randolph</t>
  </si>
  <si>
    <t>Conquest of the Planet of the Apes 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</si>
  <si>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</si>
  <si>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</si>
  <si>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</si>
  <si>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</si>
  <si>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</si>
  <si>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</si>
  <si>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</si>
  <si>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</si>
  <si>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I Spit on Your Grave 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</si>
  <si>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</si>
  <si>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</si>
  <si>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</si>
  <si>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</si>
  <si>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</si>
  <si>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</si>
  <si>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</si>
  <si>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</si>
  <si>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Dean Andrews</t>
  </si>
  <si>
    <t>My Summer of Love 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</si>
  <si>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</si>
  <si>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</si>
  <si>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</si>
  <si>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</si>
  <si>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</si>
  <si>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</si>
  <si>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</si>
  <si>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</si>
  <si>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</si>
  <si>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</si>
  <si>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</si>
  <si>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Jean Arthur</t>
  </si>
  <si>
    <t>Ann Miller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</si>
  <si>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</si>
  <si>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</si>
  <si>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</si>
  <si>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</si>
  <si>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</si>
  <si>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</si>
  <si>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</si>
  <si>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Victor McLaglen</t>
  </si>
  <si>
    <t>She Wore a Yellow Ribbon 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</si>
  <si>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</si>
  <si>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</si>
  <si>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</si>
  <si>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</si>
  <si>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</si>
  <si>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</si>
  <si>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</si>
  <si>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</si>
  <si>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</si>
  <si>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Foolish 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</si>
  <si>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</si>
  <si>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</si>
  <si>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</si>
  <si>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</si>
  <si>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</si>
  <si>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</si>
  <si>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</si>
  <si>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Yasmine Al Massri</t>
  </si>
  <si>
    <t>Adel Karam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</si>
  <si>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</si>
  <si>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</si>
  <si>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</si>
  <si>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</si>
  <si>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</si>
  <si>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Alejandro Furth</t>
  </si>
  <si>
    <t>Out of the Dark </t>
  </si>
  <si>
    <t>haunted house</t>
  </si>
  <si>
    <t>http://www.imdb.com/title/tt2872724/?ref_=fn_tt_tt_1</t>
  </si>
  <si>
    <t>Eytan Fox</t>
  </si>
  <si>
    <t>Ohad Knoller</t>
  </si>
  <si>
    <t>Lior Ashkenazi</t>
  </si>
  <si>
    <t>Yousef 'Joe' Sweid</t>
  </si>
  <si>
    <t>The Bubble </t>
  </si>
  <si>
    <t>gay|hairy chest|homosexual|israel|male nudity</t>
  </si>
  <si>
    <t>http://www.imdb.com/title/tt0476643/?ref_=fn_tt_tt_1</t>
  </si>
  <si>
    <t>Cindy Williams</t>
  </si>
  <si>
    <t>The Conversation 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</si>
  <si>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</si>
  <si>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</si>
  <si>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</si>
  <si>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</si>
  <si>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</si>
  <si>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</si>
  <si>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</si>
  <si>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</si>
  <si>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Michel Bouquet</t>
  </si>
  <si>
    <t>Mississippi Mermaid 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</si>
  <si>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</si>
  <si>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</si>
  <si>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</si>
  <si>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</si>
  <si>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</si>
  <si>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</si>
  <si>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</si>
  <si>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Dustin Ingram</t>
  </si>
  <si>
    <t>Gage Golightly</t>
  </si>
  <si>
    <t>Samuel Davis</t>
  </si>
  <si>
    <t>Cabin Fever 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</si>
  <si>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</si>
  <si>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</si>
  <si>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</si>
  <si>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</si>
  <si>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</si>
  <si>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</si>
  <si>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</si>
  <si>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</si>
  <si>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</si>
  <si>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Bloodsport 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</si>
  <si>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</si>
  <si>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</si>
  <si>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</si>
  <si>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</si>
  <si>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</si>
  <si>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</si>
  <si>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Justin Pierce</t>
  </si>
  <si>
    <t>Kids </t>
  </si>
  <si>
    <t>coming of age|marijuana|rape|virgin|weed</t>
  </si>
  <si>
    <t>http://www.imdb.com/title/tt0113540/?ref_=fn_tt_tt_1</t>
  </si>
  <si>
    <t>William Baldwin</t>
  </si>
  <si>
    <t>Elizabeth Meriwether</t>
  </si>
  <si>
    <t>Owen Kline</t>
  </si>
  <si>
    <t>The Squid and the Whale </t>
  </si>
  <si>
    <t>boy|divorce|tennis|tennis coach|writer</t>
  </si>
  <si>
    <t>http://www.imdb.com/title/tt0367089/?ref_=fn_tt_tt_1</t>
  </si>
  <si>
    <t>Scott Cohen</t>
  </si>
  <si>
    <t>Jennifer Westfeldt</t>
  </si>
  <si>
    <t>Brian Stepanek</t>
  </si>
  <si>
    <t>Kissing Jessica Stein </t>
  </si>
  <si>
    <t>friend|friendship|journalist|new york city|personal ad</t>
  </si>
  <si>
    <t>http://www.imdb.com/title/tt0264761/?ref_=fn_tt_tt_1</t>
  </si>
  <si>
    <t>Matthew Ziff</t>
  </si>
  <si>
    <t>T.J. Storm</t>
  </si>
  <si>
    <t>Sam Medina</t>
  </si>
  <si>
    <t>Kickboxer: Vengeance </t>
  </si>
  <si>
    <t>http://www.imdb.com/title/tt3082898/?ref_=fn_tt_tt_1</t>
  </si>
  <si>
    <t>Film-Noir|Mystery|Romance|Thriller</t>
  </si>
  <si>
    <t>Norman Lloyd</t>
  </si>
  <si>
    <t>Rhonda Fleming</t>
  </si>
  <si>
    <t>Leo G. Carroll</t>
  </si>
  <si>
    <t>Spellbound 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</si>
  <si>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</si>
  <si>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</si>
  <si>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</si>
  <si>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</si>
  <si>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</si>
  <si>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</si>
  <si>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</si>
  <si>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</si>
  <si>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Philip Friedman</t>
  </si>
  <si>
    <t>Insidious 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</si>
  <si>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</si>
  <si>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</si>
  <si>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</si>
  <si>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</si>
  <si>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</si>
  <si>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Repo Man </t>
  </si>
  <si>
    <t>punk|punk rocker|repossession|televangelist|ufo</t>
  </si>
  <si>
    <t>http://www.imdb.com/title/tt0087995/?ref_=fn_tt_tt_1</t>
  </si>
  <si>
    <t>Fabián Bielinsky</t>
  </si>
  <si>
    <t>Gastón Pauls</t>
  </si>
  <si>
    <t>Leticia Brédice</t>
  </si>
  <si>
    <t>Nine Queens </t>
  </si>
  <si>
    <t>con artist|hotel|partner|scam|stamp</t>
  </si>
  <si>
    <t>http://www.imdb.com/title/tt0247586/?ref_=fn_tt_tt_1</t>
  </si>
  <si>
    <t>Dror Moreh</t>
  </si>
  <si>
    <t>Ami Ayalon</t>
  </si>
  <si>
    <t>Yuval Diskin</t>
  </si>
  <si>
    <t>Yaakov Peri</t>
  </si>
  <si>
    <t>The Gatekeepers </t>
  </si>
  <si>
    <t>interview|jerusalem|jewish|terrorism|terrorist bombing</t>
  </si>
  <si>
    <t>http://www.imdb.com/title/tt2309788/?ref_=fn_tt_tt_1</t>
  </si>
  <si>
    <t>Rebecca Miller</t>
  </si>
  <si>
    <t>Ryan McDonald</t>
  </si>
  <si>
    <t>The Ballad of Jack and Rose 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</si>
  <si>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</si>
  <si>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</si>
  <si>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</si>
  <si>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</si>
  <si>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</si>
  <si>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</si>
  <si>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</si>
  <si>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</si>
  <si>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</si>
  <si>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</si>
  <si>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</si>
  <si>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</si>
  <si>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</si>
  <si>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The Believer 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</si>
  <si>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</si>
  <si>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</si>
  <si>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</si>
  <si>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</si>
  <si>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</si>
  <si>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</si>
  <si>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Ward G. Smith</t>
  </si>
  <si>
    <t>Lisa Brave</t>
  </si>
  <si>
    <t>Malone Thomas</t>
  </si>
  <si>
    <t>Unsullied 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</si>
  <si>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</si>
  <si>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</si>
  <si>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</si>
  <si>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</si>
  <si>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</si>
  <si>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</si>
  <si>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</si>
  <si>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</si>
  <si>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</si>
  <si>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</si>
  <si>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</si>
  <si>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</si>
  <si>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Joel Murray</t>
  </si>
  <si>
    <t>Hatchet </t>
  </si>
  <si>
    <t>bayou|boat|louisiana|swamp|tour</t>
  </si>
  <si>
    <t>http://www.imdb.com/title/tt0422401/?ref_=fn_tt_tt_1</t>
  </si>
  <si>
    <t>Charles Chaplin</t>
  </si>
  <si>
    <t>Paulette Goddard</t>
  </si>
  <si>
    <t>Stanley Blystone</t>
  </si>
  <si>
    <t>Fred Malatesta</t>
  </si>
  <si>
    <t>Modern Times 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</si>
  <si>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</si>
  <si>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</si>
  <si>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</si>
  <si>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</si>
  <si>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</si>
  <si>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</si>
  <si>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Timothy Patrick Quill</t>
  </si>
  <si>
    <t>My Name Is Bruce 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</si>
  <si>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</si>
  <si>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</si>
  <si>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</si>
  <si>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</si>
  <si>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</si>
  <si>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</si>
  <si>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</si>
  <si>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</si>
  <si>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</si>
  <si>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</si>
  <si>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Darren E. Burrows</t>
  </si>
  <si>
    <t>Forty Shades of Blue </t>
  </si>
  <si>
    <t>love|music producer|previous marriage|rock 'n' roll|russian</t>
  </si>
  <si>
    <t>http://www.imdb.com/title/tt0395543/?ref_=fn_tt_tt_1</t>
  </si>
  <si>
    <t>Brian Lee Franklin</t>
  </si>
  <si>
    <t>John Arcilla</t>
  </si>
  <si>
    <t>Ronnie Lazaro</t>
  </si>
  <si>
    <t>Amigo 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</si>
  <si>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</si>
  <si>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</si>
  <si>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</si>
  <si>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</si>
  <si>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</si>
  <si>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Pontypool 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</si>
  <si>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</si>
  <si>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</si>
  <si>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</si>
  <si>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</si>
  <si>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</si>
  <si>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</si>
  <si>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</si>
  <si>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Michael Elian</t>
  </si>
  <si>
    <t>Me You and Five Bucks 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</si>
  <si>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</si>
  <si>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</si>
  <si>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</si>
  <si>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</si>
  <si>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</si>
  <si>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Morgana O'Reilly</t>
  </si>
  <si>
    <t>Bruce Hopkins</t>
  </si>
  <si>
    <t>Cameron Rhodes</t>
  </si>
  <si>
    <t>Housebound </t>
  </si>
  <si>
    <t>bloody violence|exploding head|haunted house|plot twist|slapstick</t>
  </si>
  <si>
    <t>http://www.imdb.com/title/tt3504048/?ref_=fn_tt_tt_1</t>
  </si>
  <si>
    <t>Robert Greenwald</t>
  </si>
  <si>
    <t>Lee Scott</t>
  </si>
  <si>
    <t>Jon Hunter</t>
  </si>
  <si>
    <t>Matt Hunter</t>
  </si>
  <si>
    <t>Wal-Mart: The High Cost of Low Price </t>
  </si>
  <si>
    <t>greed|pollution|slave labor|truth|wal mart</t>
  </si>
  <si>
    <t>http://www.imdb.com/title/tt0473107/?ref_=fn_tt_tt_1</t>
  </si>
  <si>
    <t>David Ray</t>
  </si>
  <si>
    <t>Nicole Muñoz</t>
  </si>
  <si>
    <t>Sarah Lind</t>
  </si>
  <si>
    <t>Kyla Wise</t>
  </si>
  <si>
    <t>Fetching Cody 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</si>
  <si>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</si>
  <si>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</si>
  <si>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</si>
  <si>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</si>
  <si>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</si>
  <si>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</si>
  <si>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Monica Barladeanu</t>
  </si>
  <si>
    <t>Joe Armstrong</t>
  </si>
  <si>
    <t>Martin Hancock</t>
  </si>
  <si>
    <t>Closer to the Moon </t>
  </si>
  <si>
    <t>http://www.imdb.com/title/tt2017486/?ref_=fn_tt_tt_1</t>
  </si>
  <si>
    <t>David Winning</t>
  </si>
  <si>
    <t>Ashanti</t>
  </si>
  <si>
    <t>Amber Marshall</t>
  </si>
  <si>
    <t>John DeSantis</t>
  </si>
  <si>
    <t>Mutant World 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</si>
  <si>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</si>
  <si>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</si>
  <si>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</si>
  <si>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</si>
  <si>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</si>
  <si>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</si>
  <si>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</si>
  <si>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</si>
  <si>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</si>
  <si>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</si>
  <si>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</si>
  <si>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Lydia Hearst</t>
  </si>
  <si>
    <t>#Horror </t>
  </si>
  <si>
    <t>bullying|cyberbullying|girl|internet|throat slitting</t>
  </si>
  <si>
    <t>http://www.imdb.com/title/tt3526286/?ref_=fn_tt_tt_1</t>
  </si>
  <si>
    <t>Russell Friedenberg</t>
  </si>
  <si>
    <t>Kiowa Gordon</t>
  </si>
  <si>
    <t>Wind Walkers </t>
  </si>
  <si>
    <t>after dark horrorfest</t>
  </si>
  <si>
    <t>http://www.imdb.com/title/tt1236254/?ref_=fn_tt_tt_1</t>
  </si>
  <si>
    <t>William Cottrell</t>
  </si>
  <si>
    <t>Adriana Caselotti</t>
  </si>
  <si>
    <t>Billy Gilbert</t>
  </si>
  <si>
    <t>Lucille La Verne</t>
  </si>
  <si>
    <t>Snow White and the Seven Dwarfs </t>
  </si>
  <si>
    <t>dwarf|love|princess|queen|snow white</t>
  </si>
  <si>
    <t>http://www.imdb.com/title/tt0029583/?ref_=fn_tt_tt_1</t>
  </si>
  <si>
    <t>Lucrecia Martel</t>
  </si>
  <si>
    <t>Mercedes Morán</t>
  </si>
  <si>
    <t>María Alche</t>
  </si>
  <si>
    <t>The Holy Girl 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</si>
  <si>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</si>
  <si>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</si>
  <si>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</si>
  <si>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</si>
  <si>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</si>
  <si>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</si>
  <si>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</si>
  <si>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</si>
  <si>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Adventure|Comedy|Horror</t>
  </si>
  <si>
    <t>Gabriel Beristain</t>
  </si>
  <si>
    <t>John Bailey</t>
  </si>
  <si>
    <t>Incident at Loch Ness 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</si>
  <si>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</si>
  <si>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</si>
  <si>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</si>
  <si>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</si>
  <si>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</si>
  <si>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The Dog Lover </t>
  </si>
  <si>
    <t>http://www.imdb.com/title/tt4063178/?ref_=fn_tt_tt_1</t>
  </si>
  <si>
    <t>Camren Bicondova</t>
  </si>
  <si>
    <t>Adam DiMarco</t>
  </si>
  <si>
    <t>Chasty Ballesteros</t>
  </si>
  <si>
    <t>Girl House </t>
  </si>
  <si>
    <t>college student|disfigured face|house|suicide|website</t>
  </si>
  <si>
    <t>http://www.imdb.com/title/tt2577172/?ref_=fn_tt_tt_1</t>
  </si>
  <si>
    <t>Léa Drucker</t>
  </si>
  <si>
    <t>Laurent Poitrenaux</t>
  </si>
  <si>
    <t>The Blue Room 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</si>
  <si>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</si>
  <si>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</si>
  <si>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</si>
  <si>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</si>
  <si>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</si>
  <si>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House at the End of the Drive 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</si>
  <si>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</si>
  <si>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</si>
  <si>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</si>
  <si>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</si>
  <si>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</si>
  <si>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Batman: The Movie 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</si>
  <si>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</si>
  <si>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</si>
  <si>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</si>
  <si>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</si>
  <si>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</si>
  <si>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</si>
  <si>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</si>
  <si>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</si>
  <si>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Action|Crime|Drama|Mystery</t>
  </si>
  <si>
    <t>Michael Douglas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</si>
  <si>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</si>
  <si>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</si>
  <si>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</si>
  <si>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</si>
  <si>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</si>
  <si>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The Celebration 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</si>
  <si>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</si>
  <si>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</si>
  <si>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</si>
  <si>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</si>
  <si>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</si>
  <si>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</si>
  <si>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Long Nguyen</t>
  </si>
  <si>
    <t>Kieu Chinh</t>
  </si>
  <si>
    <t>Cat Ly</t>
  </si>
  <si>
    <t>Journey from the Fall 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</si>
  <si>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</si>
  <si>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</si>
  <si>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</si>
  <si>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</si>
  <si>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</si>
  <si>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</si>
  <si>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</si>
  <si>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</si>
  <si>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</si>
  <si>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</si>
  <si>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</si>
  <si>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</si>
  <si>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Kristen Cloke</t>
  </si>
  <si>
    <t>Space: Above and Beyond </t>
  </si>
  <si>
    <t>alien|born in vitro|in vitro fertilization|marine|outer space</t>
  </si>
  <si>
    <t>http://www.imdb.com/title/tt0112173/?ref_=fn_tt_tt_1</t>
  </si>
  <si>
    <t>Sadyk Sher-Niyaz</t>
  </si>
  <si>
    <t>Elina Abai Kyzy</t>
  </si>
  <si>
    <t>Aziz Muradillayev</t>
  </si>
  <si>
    <t>Mirlan Abdulayev</t>
  </si>
  <si>
    <t>Queen of the Mountains 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</si>
  <si>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</si>
  <si>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</si>
  <si>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</si>
  <si>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</si>
  <si>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</si>
  <si>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</si>
  <si>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Def-Con 4 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</si>
  <si>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</si>
  <si>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</si>
  <si>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</si>
  <si>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</si>
  <si>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</si>
  <si>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</si>
  <si>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</si>
  <si>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</si>
  <si>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</si>
  <si>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Neal 'N' Nikki </t>
  </si>
  <si>
    <t>interrupted sex|kiss|love|mistaken sex scene|sex in car</t>
  </si>
  <si>
    <t>http://www.imdb.com/title/tt0470869/?ref_=fn_tt_tt_1</t>
  </si>
  <si>
    <t>Matt Crabtree</t>
  </si>
  <si>
    <t>The 41-Year-Old Virgin Who Knocked Up Sarah Marshall and Felt Superbad About It </t>
  </si>
  <si>
    <t>masturbation|porn actor in mainstream movie|sex|spoof|virginity</t>
  </si>
  <si>
    <t>http://www.imdb.com/title/tt1498870/?ref_=fn_tt_tt_1</t>
  </si>
  <si>
    <t>Tyler Oliver</t>
  </si>
  <si>
    <t>Horror|Romance|Thriller</t>
  </si>
  <si>
    <t>Chloe Bridges</t>
  </si>
  <si>
    <t>Forget Me Not </t>
  </si>
  <si>
    <t>http://www.imdb.com/title/tt1147684/?ref_=fn_tt_tt_1</t>
  </si>
  <si>
    <t>Drama|Film-Noir|Mystery|Thriller</t>
  </si>
  <si>
    <t>Joan Fontaine</t>
  </si>
  <si>
    <t>Rebecca </t>
  </si>
  <si>
    <t>death|estate|housekeeper|love|monte carlo</t>
  </si>
  <si>
    <t>http://www.imdb.com/title/tt0032976/?ref_=fn_tt_tt_1</t>
  </si>
  <si>
    <t>Betsy Palmer</t>
  </si>
  <si>
    <t>Adrienne King</t>
  </si>
  <si>
    <t>Amy Steel</t>
  </si>
  <si>
    <t>Friday the 13th Part 2 </t>
  </si>
  <si>
    <t>ice pick|jason voorhees|lake|pitchfork|shack</t>
  </si>
  <si>
    <t>http://www.imdb.com/title/tt0082418/?ref_=fn_tt_tt_1</t>
  </si>
  <si>
    <t>Drama|Film-Noir</t>
  </si>
  <si>
    <t>Ray Milland</t>
  </si>
  <si>
    <t>Jane Wyman</t>
  </si>
  <si>
    <t>Frank Faylen</t>
  </si>
  <si>
    <t>The Lost Weekend 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</si>
  <si>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</si>
  <si>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</si>
  <si>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</si>
  <si>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</si>
  <si>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</si>
  <si>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</si>
  <si>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</si>
  <si>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Jorge Diaz</t>
  </si>
  <si>
    <t>Filly Brown 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</si>
  <si>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</si>
  <si>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</si>
  <si>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</si>
  <si>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</si>
  <si>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</si>
  <si>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</si>
  <si>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</si>
  <si>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Crime|Film-Noir|Thriller</t>
  </si>
  <si>
    <t>Jean Peters</t>
  </si>
  <si>
    <t>Will Wright</t>
  </si>
  <si>
    <t>Niagara 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</si>
  <si>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</si>
  <si>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</si>
  <si>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</si>
  <si>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</si>
  <si>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How Green Was My Valley 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</si>
  <si>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</si>
  <si>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</si>
  <si>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</si>
  <si>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</si>
  <si>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</si>
  <si>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</si>
  <si>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</si>
  <si>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Felicia Pearson</t>
  </si>
  <si>
    <t>Da Sweet Blood of Jesus 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</si>
  <si>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</si>
  <si>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</si>
  <si>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</si>
  <si>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</si>
  <si>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</si>
  <si>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</si>
  <si>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</si>
  <si>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</si>
  <si>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</si>
  <si>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</si>
  <si>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</si>
  <si>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</si>
  <si>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</si>
  <si>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</si>
  <si>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</si>
  <si>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The Algerian </t>
  </si>
  <si>
    <t>algeria|algerian|los angeles california|muslim</t>
  </si>
  <si>
    <t>http://www.imdb.com/title/tt1681370/?ref_=fn_tt_tt_1</t>
  </si>
  <si>
    <t>Claudia Sainte-Luce</t>
  </si>
  <si>
    <t>Ximena Ayala</t>
  </si>
  <si>
    <t>Vera Wilson</t>
  </si>
  <si>
    <t>José Manuel Orozco Angulo</t>
  </si>
  <si>
    <t>The Amazing Catfish 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</si>
  <si>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</si>
  <si>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</si>
  <si>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</si>
  <si>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</si>
  <si>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</si>
  <si>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</si>
  <si>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</si>
  <si>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</si>
  <si>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</si>
  <si>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</si>
  <si>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</si>
  <si>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</si>
  <si>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</si>
  <si>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</si>
  <si>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</si>
  <si>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</si>
  <si>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</si>
  <si>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</si>
  <si>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</si>
  <si>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</si>
  <si>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</si>
  <si>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</si>
  <si>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</si>
  <si>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</si>
  <si>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Spring Byington</t>
  </si>
  <si>
    <t>Nigel Bruce</t>
  </si>
  <si>
    <t>Gale Sondergaard</t>
  </si>
  <si>
    <t>The Blue Bird </t>
  </si>
  <si>
    <t>1800s|bird|blue bird of happiness|foreign language adaptation|past</t>
  </si>
  <si>
    <t>http://www.imdb.com/title/tt0032264/?ref_=fn_tt_tt_1</t>
  </si>
  <si>
    <t>Luigi Pistilli</t>
  </si>
  <si>
    <t>Enzo Petito</t>
  </si>
  <si>
    <t>The Good, the Bad and the Ugly </t>
  </si>
  <si>
    <t>civil war|hitman|outlaw|shootout|spaghetti western</t>
  </si>
  <si>
    <t>http://www.imdb.com/title/tt0060196/?ref_=fn_tt_tt_1</t>
  </si>
  <si>
    <t>Anna Muylaert</t>
  </si>
  <si>
    <t>Alex Huszar</t>
  </si>
  <si>
    <t>Regina Casé</t>
  </si>
  <si>
    <t>Luis Miranda</t>
  </si>
  <si>
    <t>The Second Mother 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</si>
  <si>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</si>
  <si>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</si>
  <si>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</si>
  <si>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</si>
  <si>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</si>
  <si>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Blue Like Jazz </t>
  </si>
  <si>
    <t>church|college|color in title|philosophy|texas</t>
  </si>
  <si>
    <t>http://www.imdb.com/title/tt1758575/?ref_=fn_tt_tt_1</t>
  </si>
  <si>
    <t>Kurt Voss</t>
  </si>
  <si>
    <t>Lemmy</t>
  </si>
  <si>
    <t>Coyote Shivers</t>
  </si>
  <si>
    <t>Zoë Poledouris</t>
  </si>
  <si>
    <t>Down and Out with the Dolls 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</si>
  <si>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</si>
  <si>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</si>
  <si>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</si>
  <si>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</si>
  <si>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</si>
  <si>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</si>
  <si>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</si>
  <si>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</si>
  <si>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</si>
  <si>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</si>
  <si>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Déborah Révy</t>
  </si>
  <si>
    <t>Johnny Amaro</t>
  </si>
  <si>
    <t>Yassine Azzouz</t>
  </si>
  <si>
    <t>Q </t>
  </si>
  <si>
    <t>female explicit nudity|hand job|oral sex|penetration|unsimulated sex</t>
  </si>
  <si>
    <t>http://www.imdb.com/title/tt1879030/?ref_=fn_tt_tt_1</t>
  </si>
  <si>
    <t>Tom Sanchez</t>
  </si>
  <si>
    <t>Nataniel Sánchez</t>
  </si>
  <si>
    <t>Antonio Arrué</t>
  </si>
  <si>
    <t>Juan Carlos Montoya</t>
  </si>
  <si>
    <t>The Knife of Don Juan </t>
  </si>
  <si>
    <t>http://www.imdb.com/title/tt1349485/?ref_=fn_tt_tt_1</t>
  </si>
  <si>
    <t>David Caffrey</t>
  </si>
  <si>
    <t>Jim Cody Williams</t>
  </si>
  <si>
    <t>Grand Theft Parsons 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</si>
  <si>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</si>
  <si>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</si>
  <si>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</si>
  <si>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</si>
  <si>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</si>
  <si>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</si>
  <si>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</si>
  <si>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</si>
  <si>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</si>
  <si>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</si>
  <si>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</si>
  <si>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</si>
  <si>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</si>
  <si>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</si>
  <si>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</si>
  <si>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Below Zero </t>
  </si>
  <si>
    <t>http://www.imdb.com/title/tt1641388/?ref_=fn_tt_tt_1</t>
  </si>
  <si>
    <t>Brenton Spencer</t>
  </si>
  <si>
    <t>Action|Horror|Mystery|Thriller</t>
  </si>
  <si>
    <t>Christie Burke</t>
  </si>
  <si>
    <t>Victor Zinck Jr.</t>
  </si>
  <si>
    <t>Chelsey Reist</t>
  </si>
  <si>
    <t>Crowsnest </t>
  </si>
  <si>
    <t>forest|found footage|lost|murder|road trip</t>
  </si>
  <si>
    <t>http://www.imdb.com/title/tt2180333/?ref_=fn_tt_tt_1</t>
  </si>
  <si>
    <t>Adventure|Comedy|Sport</t>
  </si>
  <si>
    <t>Brittney Powell</t>
  </si>
  <si>
    <t>Airborne </t>
  </si>
  <si>
    <t>cincinnati ohio|high school|hockey|jock strap|zoologist</t>
  </si>
  <si>
    <t>http://www.imdb.com/title/tt0106233/?ref_=fn_tt_tt_1</t>
  </si>
  <si>
    <t>Redd Foxx</t>
  </si>
  <si>
    <t>Cleavon Little</t>
  </si>
  <si>
    <t>Calvin Lockhart</t>
  </si>
  <si>
    <t>Cotton Comes to Harlem 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</si>
  <si>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</si>
  <si>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</si>
  <si>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</si>
  <si>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</si>
  <si>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</si>
  <si>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</si>
  <si>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</si>
  <si>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Seregon O'Dassey</t>
  </si>
  <si>
    <t>Deirdre Lorenz</t>
  </si>
  <si>
    <t>Dustin Diamond</t>
  </si>
  <si>
    <t>Bleeding Hearts 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</si>
  <si>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</si>
  <si>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</si>
  <si>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</si>
  <si>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</si>
  <si>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</si>
  <si>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</si>
  <si>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George Newton</t>
  </si>
  <si>
    <t>Dead Man's Shoes </t>
  </si>
  <si>
    <t>anger|army veteran|independent film|revenge|sex scene</t>
  </si>
  <si>
    <t>http://www.imdb.com/title/tt0419677/?ref_=fn_tt_tt_1</t>
  </si>
  <si>
    <t>Richard Cawthorne</t>
  </si>
  <si>
    <t>John Jarratt</t>
  </si>
  <si>
    <t>Wolf Creek </t>
  </si>
  <si>
    <t>based on true story|blood|serial killer|slasher|tv mini series</t>
  </si>
  <si>
    <t>http://www.imdb.com/title/tt4460878/?ref_=fn_tt_tt_1</t>
  </si>
  <si>
    <t>Jeff Burr</t>
  </si>
  <si>
    <t>Susan Tyrrell</t>
  </si>
  <si>
    <t>From a Whisper to a Scream 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</si>
  <si>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</si>
  <si>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</si>
  <si>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</si>
  <si>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</si>
  <si>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</si>
  <si>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</si>
  <si>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</si>
  <si>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Comedy|Horror|Musical</t>
  </si>
  <si>
    <t>Sarah Murphy-Dyson</t>
  </si>
  <si>
    <t>CindyMarie Small</t>
  </si>
  <si>
    <t>Brent Neale</t>
  </si>
  <si>
    <t>Dracula: Pages from a Virgin's Diary </t>
  </si>
  <si>
    <t>ballet|cult film|dance|dracula|gothic</t>
  </si>
  <si>
    <t>http://www.imdb.com/title/tt0293113/?ref_=fn_tt_tt_1</t>
  </si>
  <si>
    <t>Regardt van den Bergh</t>
  </si>
  <si>
    <t>Sean Cameron Michael</t>
  </si>
  <si>
    <t>Frank Rautenbach</t>
  </si>
  <si>
    <t>Jeanne Neilson</t>
  </si>
  <si>
    <t>Faith Like Potatoes </t>
  </si>
  <si>
    <t>food|food in title|potato</t>
  </si>
  <si>
    <t>http://www.imdb.com/title/tt0850667/?ref_=fn_tt_tt_1</t>
  </si>
  <si>
    <t>Panos Cosmatos</t>
  </si>
  <si>
    <t>Marilyn Norry</t>
  </si>
  <si>
    <t>Eva Bourne</t>
  </si>
  <si>
    <t>Beyond the Black Rainbow </t>
  </si>
  <si>
    <t>exploitation|four word title|hallucinogen|lynchian|telepathy</t>
  </si>
  <si>
    <t>http://www.imdb.com/title/tt1534085/?ref_=fn_tt_tt_1</t>
  </si>
  <si>
    <t>Gareth Evans</t>
  </si>
  <si>
    <t>Iko Uwais</t>
  </si>
  <si>
    <t>Yayan Ruhian</t>
  </si>
  <si>
    <t>Donny Alamsyah</t>
  </si>
  <si>
    <t>The Raid: Redemption 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</si>
  <si>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</si>
  <si>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</si>
  <si>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</si>
  <si>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</si>
  <si>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</si>
  <si>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</si>
  <si>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</si>
  <si>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</si>
  <si>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</si>
  <si>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Piero Maggiò</t>
  </si>
  <si>
    <t>Anella Vastola</t>
  </si>
  <si>
    <t>The Vatican Exorcisms </t>
  </si>
  <si>
    <t>http://www.imdb.com/title/tt3043194/?ref_=fn_tt_tt_1</t>
  </si>
  <si>
    <t>Conrad Veidt</t>
  </si>
  <si>
    <t>Casablanca </t>
  </si>
  <si>
    <t>american expatriate|casablanca morocco|gestapo|police|visa</t>
  </si>
  <si>
    <t>http://www.imdb.com/title/tt0034583/?ref_=fn_tt_tt_1</t>
  </si>
  <si>
    <t>Joel Anderson</t>
  </si>
  <si>
    <t>Talia Zucker</t>
  </si>
  <si>
    <t>Rosie Traynor</t>
  </si>
  <si>
    <t>Martin Sharpe</t>
  </si>
  <si>
    <t>Lake Mungo 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</si>
  <si>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</si>
  <si>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</si>
  <si>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</si>
  <si>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</si>
  <si>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</si>
  <si>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Rocket Singh: Salesman of the Year </t>
  </si>
  <si>
    <t>boss|computer|honesty|sales|salesman</t>
  </si>
  <si>
    <t>http://www.imdb.com/title/tt1434447/?ref_=fn_tt_tt_1</t>
  </si>
  <si>
    <t>Douglas Trumbull</t>
  </si>
  <si>
    <t>Jesse Vint</t>
  </si>
  <si>
    <t>Silent Running 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</si>
  <si>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</si>
  <si>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</si>
  <si>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</si>
  <si>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</si>
  <si>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</si>
  <si>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</si>
  <si>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</si>
  <si>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</si>
  <si>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The Sleepwalker </t>
  </si>
  <si>
    <t>female nudity|male nudity|male rear nudity|nudity</t>
  </si>
  <si>
    <t>http://www.imdb.com/title/tt2723576/?ref_=fn_tt_tt_1</t>
  </si>
  <si>
    <t>Adventure|Comedy|History</t>
  </si>
  <si>
    <t>Hugh Griffith</t>
  </si>
  <si>
    <t>Tom Jones 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</si>
  <si>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</si>
  <si>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</si>
  <si>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</si>
  <si>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</si>
  <si>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</si>
  <si>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Unfriended 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</si>
  <si>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</si>
  <si>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</si>
  <si>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</si>
  <si>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</si>
  <si>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</si>
  <si>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</si>
  <si>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</si>
  <si>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</si>
  <si>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Ursula Andress</t>
  </si>
  <si>
    <t>Jack Lord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</si>
  <si>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</si>
  <si>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</si>
  <si>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</si>
  <si>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</si>
  <si>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</si>
  <si>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</si>
  <si>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</si>
  <si>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</si>
  <si>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Andrew Robinson</t>
  </si>
  <si>
    <t>Ashley Laurence</t>
  </si>
  <si>
    <t>Clare Higgins</t>
  </si>
  <si>
    <t>Hellraiser </t>
  </si>
  <si>
    <t>blood|cenobites|creature|demon|male full frontal nudity</t>
  </si>
  <si>
    <t>http://www.imdb.com/title/tt0093177/?ref_=fn_tt_tt_1</t>
  </si>
  <si>
    <t>Harold Cronk</t>
  </si>
  <si>
    <t>Benjamin A. Onyango</t>
  </si>
  <si>
    <t>Robin Givens</t>
  </si>
  <si>
    <t>Maria Canals-Barrera</t>
  </si>
  <si>
    <t>God's Not Dead 2 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</si>
  <si>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</si>
  <si>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</si>
  <si>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</si>
  <si>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</si>
  <si>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</si>
  <si>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</si>
  <si>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Hiroshi Abe</t>
  </si>
  <si>
    <t>Naomi Nishida</t>
  </si>
  <si>
    <t>Sakae Kimura</t>
  </si>
  <si>
    <t>Godzilla 2000 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</si>
  <si>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</si>
  <si>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</si>
  <si>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</si>
  <si>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</si>
  <si>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</si>
  <si>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</si>
  <si>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</si>
  <si>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Transamerica </t>
  </si>
  <si>
    <t>bail|male full frontal nudity|sex change|stepfather|transsexual</t>
  </si>
  <si>
    <t>http://www.imdb.com/title/tt0407265/?ref_=fn_tt_tt_1</t>
  </si>
  <si>
    <t>Fernanda Andrade</t>
  </si>
  <si>
    <t>Claudiu Trandafir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</si>
  <si>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</si>
  <si>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</si>
  <si>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</si>
  <si>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</si>
  <si>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</si>
  <si>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</si>
  <si>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Beyond the Valley of the Dolls </t>
  </si>
  <si>
    <t>band|drugs|friendship|hollywood|satire</t>
  </si>
  <si>
    <t>http://www.imdb.com/title/tt0065466/?ref_=fn_tt_tt_1</t>
  </si>
  <si>
    <t>Robert D. Webb</t>
  </si>
  <si>
    <t>James Drury</t>
  </si>
  <si>
    <t>Neville Brand</t>
  </si>
  <si>
    <t>Debra Paget</t>
  </si>
  <si>
    <t>Love Me Tender 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</si>
  <si>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</si>
  <si>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</si>
  <si>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</si>
  <si>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</si>
  <si>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</si>
  <si>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</si>
  <si>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</si>
  <si>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Action|Drama|Romance|War</t>
  </si>
  <si>
    <t>James Brown</t>
  </si>
  <si>
    <t>Richard Jaeckel</t>
  </si>
  <si>
    <t>Forrest Tucker</t>
  </si>
  <si>
    <t>Sands of Iwo Jima </t>
  </si>
  <si>
    <t>battle|combat|heroic military|sergeant|tarawa</t>
  </si>
  <si>
    <t>http://www.imdb.com/title/tt0041841/?ref_=fn_tt_tt_1</t>
  </si>
  <si>
    <t>Biography|Documentary|Music</t>
  </si>
  <si>
    <t>Mick Jagger</t>
  </si>
  <si>
    <t>Keith Richards</t>
  </si>
  <si>
    <t>Albert Maysles</t>
  </si>
  <si>
    <t>Shine a Light </t>
  </si>
  <si>
    <t>band|concert footage|new york city|rolling stones|three word title</t>
  </si>
  <si>
    <t>http://www.imdb.com/title/tt0893382/?ref_=fn_tt_tt_1</t>
  </si>
  <si>
    <t>Magda Apanowicz</t>
  </si>
  <si>
    <t>The Green Inferno 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</si>
  <si>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</si>
  <si>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</si>
  <si>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</si>
  <si>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</si>
  <si>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</si>
  <si>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Departure </t>
  </si>
  <si>
    <t>france|gay|language|male masturbation|masturbation</t>
  </si>
  <si>
    <t>http://www.imdb.com/title/tt2248739/?ref_=fn_tt_tt_1</t>
  </si>
  <si>
    <t>Ben Lewin</t>
  </si>
  <si>
    <t>Rhea Perlman</t>
  </si>
  <si>
    <t>The Sessions </t>
  </si>
  <si>
    <t>falling in love|iron lung|priest|sex surrogate|therapist</t>
  </si>
  <si>
    <t>http://www.imdb.com/title/tt1866249/?ref_=fn_tt_tt_1</t>
  </si>
  <si>
    <t>Robert Kenner</t>
  </si>
  <si>
    <t>Michael Pollan</t>
  </si>
  <si>
    <t>Eric Schlosser</t>
  </si>
  <si>
    <t>Barbara Kowalcyk</t>
  </si>
  <si>
    <t>Food, Inc. </t>
  </si>
  <si>
    <t>farming|flesh eating|food|food industry|gluttony</t>
  </si>
  <si>
    <t>http://www.imdb.com/title/tt1286537/?ref_=fn_tt_tt_1</t>
  </si>
  <si>
    <t>Robert Amaya</t>
  </si>
  <si>
    <t>Jason Burkey</t>
  </si>
  <si>
    <t>October Baby 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</si>
  <si>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</si>
  <si>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</si>
  <si>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</si>
  <si>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</si>
  <si>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</si>
  <si>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</si>
  <si>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Kathleen Rose Perkins</t>
  </si>
  <si>
    <t>The Skeleton Twins 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</si>
  <si>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</si>
  <si>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</si>
  <si>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</si>
  <si>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</si>
  <si>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</si>
  <si>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</si>
  <si>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</si>
  <si>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</si>
  <si>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</si>
  <si>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</si>
  <si>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Obvious Child 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</si>
  <si>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</si>
  <si>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</si>
  <si>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</si>
  <si>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</si>
  <si>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</si>
  <si>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Frozen River 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</si>
  <si>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</si>
  <si>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</si>
  <si>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</si>
  <si>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</si>
  <si>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</si>
  <si>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20 Feet from Stardom 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</si>
  <si>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</si>
  <si>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</si>
  <si>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</si>
  <si>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</si>
  <si>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Two Girls and a Guy 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</si>
  <si>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</si>
  <si>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</si>
  <si>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</si>
  <si>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</si>
  <si>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</si>
  <si>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</si>
  <si>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</si>
  <si>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</si>
  <si>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Who Killed the Electric Car? 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</si>
  <si>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</si>
  <si>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</si>
  <si>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</si>
  <si>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</si>
  <si>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</si>
  <si>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</si>
  <si>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</si>
  <si>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Ella Joyce</t>
  </si>
  <si>
    <t>Bubba Ho-Tep 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</si>
  <si>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</si>
  <si>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</si>
  <si>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</si>
  <si>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</si>
  <si>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</si>
  <si>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Slam 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</si>
  <si>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</si>
  <si>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</si>
  <si>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</si>
  <si>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</si>
  <si>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</si>
  <si>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Brigham City 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</si>
  <si>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</si>
  <si>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</si>
  <si>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</si>
  <si>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</si>
  <si>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</si>
  <si>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Fiza </t>
  </si>
  <si>
    <t>mumbai riots|politician|riot|suicide|tragic event</t>
  </si>
  <si>
    <t>http://www.imdb.com/title/tt0248012/?ref_=fn_tt_tt_1</t>
  </si>
  <si>
    <t>Dian Bachar</t>
  </si>
  <si>
    <t>Matt Stone</t>
  </si>
  <si>
    <t>Orgazmo 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</si>
  <si>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</si>
  <si>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</si>
  <si>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</si>
  <si>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</si>
  <si>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</si>
  <si>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</si>
  <si>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</si>
  <si>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</si>
  <si>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</si>
  <si>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</si>
  <si>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</si>
  <si>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</si>
  <si>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</si>
  <si>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</si>
  <si>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</si>
  <si>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</si>
  <si>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</si>
  <si>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Olivia Crocicchia</t>
  </si>
  <si>
    <t>Palo Alto 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</si>
  <si>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</si>
  <si>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</si>
  <si>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</si>
  <si>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</si>
  <si>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</si>
  <si>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Ajami 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</si>
  <si>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</si>
  <si>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</si>
  <si>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</si>
  <si>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</si>
  <si>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</si>
  <si>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</si>
  <si>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</si>
  <si>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</si>
  <si>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</si>
  <si>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I Origins 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</si>
  <si>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</si>
  <si>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</si>
  <si>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</si>
  <si>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</si>
  <si>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</si>
  <si>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</si>
  <si>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</si>
  <si>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Biography|Crime|Documentary|History</t>
  </si>
  <si>
    <t>Anwar Congo</t>
  </si>
  <si>
    <t>Herman Koto</t>
  </si>
  <si>
    <t>Syamsul Arifin</t>
  </si>
  <si>
    <t>The Act of Killing 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</si>
  <si>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</si>
  <si>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</si>
  <si>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</si>
  <si>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</si>
  <si>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Taxi to the Dark Side </t>
  </si>
  <si>
    <t>afghanistan|detainee|guantanamo bay|taxi|torture</t>
  </si>
  <si>
    <t>http://www.imdb.com/title/tt0854678/?ref_=fn_tt_tt_1</t>
  </si>
  <si>
    <t>Paul Crowder</t>
  </si>
  <si>
    <t>Pelé</t>
  </si>
  <si>
    <t>Marv Albert</t>
  </si>
  <si>
    <t>Ahmet Ertegun</t>
  </si>
  <si>
    <t>Once in a Lifetime: The Extraordinary Story of the New York Cosmos </t>
  </si>
  <si>
    <t>new york|new york cosmos|professional sports|soccer|soccer team</t>
  </si>
  <si>
    <t>http://www.imdb.com/title/tt0489247/?ref_=fn_tt_tt_1</t>
  </si>
  <si>
    <t>Rohit Jagessar</t>
  </si>
  <si>
    <t>Kumar Gaurav</t>
  </si>
  <si>
    <t>Rufus Graham</t>
  </si>
  <si>
    <t>Aasheekaa Bathija</t>
  </si>
  <si>
    <t>Guiana 1838 </t>
  </si>
  <si>
    <t>bare chested male|discipline|imperialism|whipping|white slavery</t>
  </si>
  <si>
    <t>http://www.imdb.com/title/tt0428609/?ref_=fn_tt_tt_1</t>
  </si>
  <si>
    <t>Melissa Gilbert</t>
  </si>
  <si>
    <t>Lisa Picard Is Famous </t>
  </si>
  <si>
    <t>actress|fame|inside joke|new york|one man show</t>
  </si>
  <si>
    <t>http://www.imdb.com/title/tt0233699/?ref_=fn_tt_tt_1</t>
  </si>
  <si>
    <t>Anthony Powell</t>
  </si>
  <si>
    <t>Adventure|Biography|Documentary|Drama</t>
  </si>
  <si>
    <t>Josh Swanson</t>
  </si>
  <si>
    <t>Tom Hamann</t>
  </si>
  <si>
    <t>Antarctica: A Year on Ice </t>
  </si>
  <si>
    <t>antarctica</t>
  </si>
  <si>
    <t>http://www.imdb.com/title/tt2361700/?ref_=fn_tt_tt_1</t>
  </si>
  <si>
    <t>Kief Davidson</t>
  </si>
  <si>
    <t>G.W. Krauss</t>
  </si>
  <si>
    <t>Brian Whitaker</t>
  </si>
  <si>
    <t>A Lego Brickumentary </t>
  </si>
  <si>
    <t>artist|denmark|lego|toy|toy company</t>
  </si>
  <si>
    <t>http://www.imdb.com/title/tt3214286/?ref_=fn_tt_tt_1</t>
  </si>
  <si>
    <t>Johnny Remo</t>
  </si>
  <si>
    <t>Raquel Elizabeth Ames</t>
  </si>
  <si>
    <t>Hardflip 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</si>
  <si>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</si>
  <si>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</si>
  <si>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</si>
  <si>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</si>
  <si>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</si>
  <si>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Chocolate: Deep Dark Secrets 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</si>
  <si>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</si>
  <si>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</si>
  <si>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</si>
  <si>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</si>
  <si>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</si>
  <si>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</si>
  <si>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</si>
  <si>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</si>
  <si>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</si>
  <si>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</si>
  <si>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</si>
  <si>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</si>
  <si>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</si>
  <si>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</si>
  <si>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</si>
  <si>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Patrick Renna</t>
  </si>
  <si>
    <t>Patsy Kensit</t>
  </si>
  <si>
    <t>Adrienne Frantz</t>
  </si>
  <si>
    <t>Speedway Junky </t>
  </si>
  <si>
    <t>car racing|crush|hustler|scam|watching television</t>
  </si>
  <si>
    <t>http://www.imdb.com/title/tt0155197/?ref_=fn_tt_tt_1</t>
  </si>
  <si>
    <t>Dan Zukovic</t>
  </si>
  <si>
    <t>Yul Vazquez</t>
  </si>
  <si>
    <t>Louis Mustillo</t>
  </si>
  <si>
    <t>James Lorinz</t>
  </si>
  <si>
    <t>The Last Big Thing 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</si>
  <si>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</si>
  <si>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</si>
  <si>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</si>
  <si>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</si>
  <si>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</si>
  <si>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</si>
  <si>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Will Rothhaar</t>
  </si>
  <si>
    <t>Emily Baldoni</t>
  </si>
  <si>
    <t>Hallee Hirsh</t>
  </si>
  <si>
    <t>16 to Life 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</si>
  <si>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</si>
  <si>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</si>
  <si>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</si>
  <si>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</si>
  <si>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</si>
  <si>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Alone with Her 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</si>
  <si>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</si>
  <si>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</si>
  <si>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</si>
  <si>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</si>
  <si>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</si>
  <si>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Creative Control 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</si>
  <si>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</si>
  <si>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</si>
  <si>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</si>
  <si>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</si>
  <si>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</si>
  <si>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Special 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</si>
  <si>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</si>
  <si>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</si>
  <si>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</si>
  <si>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</si>
  <si>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</si>
  <si>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</si>
  <si>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Action|Adventure|Comedy|Fantasy|Sci-Fi</t>
  </si>
  <si>
    <t>Scott Levy</t>
  </si>
  <si>
    <t>Vanilla Ice</t>
  </si>
  <si>
    <t>Jennifer Sky</t>
  </si>
  <si>
    <t>The Helix... Loaded 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</si>
  <si>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</si>
  <si>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</si>
  <si>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</si>
  <si>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</si>
  <si>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In Her Line of Fire </t>
  </si>
  <si>
    <t>camp|die hard scenario|female protagonist|island|vice president</t>
  </si>
  <si>
    <t>http://www.imdb.com/title/tt0487156/?ref_=fn_tt_tt_1</t>
  </si>
  <si>
    <t>Heather Bucha</t>
  </si>
  <si>
    <t>The Jimmy Show </t>
  </si>
  <si>
    <t>based on play|character name in title</t>
  </si>
  <si>
    <t>http://www.imdb.com/title/tt0271020/?ref_=fn_tt_tt_1</t>
  </si>
  <si>
    <t>Amat Escalante</t>
  </si>
  <si>
    <t>Kenny Johnston</t>
  </si>
  <si>
    <t>Andrea Vergara</t>
  </si>
  <si>
    <t>Gabriel Reyes</t>
  </si>
  <si>
    <t>Heli </t>
  </si>
  <si>
    <t>corrupt police|drug cartel|drugs|mexico|police</t>
  </si>
  <si>
    <t>http://www.imdb.com/title/tt2852376/?ref_=fn_tt_tt_1</t>
  </si>
  <si>
    <t>Wajahat Rauf</t>
  </si>
  <si>
    <t>Rasheed Naz</t>
  </si>
  <si>
    <t>Ayesha Omar</t>
  </si>
  <si>
    <t>Javed Sheikh</t>
  </si>
  <si>
    <t>Karachi se Lahore 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</si>
  <si>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</si>
  <si>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</si>
  <si>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</si>
  <si>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</si>
  <si>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</si>
  <si>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</si>
  <si>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</si>
  <si>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Loving Annabelle 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</si>
  <si>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</si>
  <si>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</si>
  <si>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</si>
  <si>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</si>
  <si>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</si>
  <si>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</si>
  <si>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</si>
  <si>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</si>
  <si>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</si>
  <si>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Jimmy and Judy 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</si>
  <si>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</si>
  <si>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</si>
  <si>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</si>
  <si>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</si>
  <si>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</si>
  <si>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Frat Party </t>
  </si>
  <si>
    <t>erotica|masseuse|sister sister relationship|temptation|threesome</t>
  </si>
  <si>
    <t>http://www.imdb.com/title/tt1414361/?ref_=fn_tt_tt_1</t>
  </si>
  <si>
    <t>Louise Sorel</t>
  </si>
  <si>
    <t>The Party's Over </t>
  </si>
  <si>
    <t>beatnik|businessman|necrophilia|party|partying</t>
  </si>
  <si>
    <t>http://www.imdb.com/title/tt0060816/?ref_=fn_tt_tt_1</t>
  </si>
  <si>
    <t>Mary Pat Kelly</t>
  </si>
  <si>
    <t>Janet Hubert</t>
  </si>
  <si>
    <t>Proud 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</si>
  <si>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</si>
  <si>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</si>
  <si>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</si>
  <si>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</si>
  <si>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</si>
  <si>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Diane Venora</t>
  </si>
  <si>
    <t>Childless </t>
  </si>
  <si>
    <t>http://www.imdb.com/title/tt0867270/?ref_=fn_tt_tt_1</t>
  </si>
  <si>
    <t>Kevin Hamedani</t>
  </si>
  <si>
    <t>Russell Hodgkinson</t>
  </si>
  <si>
    <t>Janette Armand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</si>
  <si>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</si>
  <si>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</si>
  <si>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</si>
  <si>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</si>
  <si>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</si>
  <si>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</si>
  <si>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Snow White: A Deadly Summer </t>
  </si>
  <si>
    <t>reference to snow white|sleeping bag|stepmother stepdaughter relationship|strangulation|totem pole</t>
  </si>
  <si>
    <t>http://www.imdb.com/title/tt2149137/?ref_=fn_tt_tt_1</t>
  </si>
  <si>
    <t>Mikel Rueda</t>
  </si>
  <si>
    <t>Álex Angulo</t>
  </si>
  <si>
    <t>Germán Alcarazu</t>
  </si>
  <si>
    <t>Joseba Ugalde</t>
  </si>
  <si>
    <t>Hidden Away 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</si>
  <si>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</si>
  <si>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</si>
  <si>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</si>
  <si>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</si>
  <si>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</si>
  <si>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</si>
  <si>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</si>
  <si>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</si>
  <si>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</si>
  <si>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Steppin: The Movie </t>
  </si>
  <si>
    <t>http://www.imdb.com/title/tt0826751/?ref_=fn_tt_tt_1</t>
  </si>
  <si>
    <t>Randy Jay Burrell</t>
  </si>
  <si>
    <t>Doc Holliday's Revenge </t>
  </si>
  <si>
    <t>1880s|cowboy|low budget film|shoot out|wild west</t>
  </si>
  <si>
    <t>http://www.imdb.com/title/tt3359872/?ref_=fn_tt_tt_1</t>
  </si>
  <si>
    <t>Anslem Richardson</t>
  </si>
  <si>
    <t>Jay Paulson</t>
  </si>
  <si>
    <t>Black Rock </t>
  </si>
  <si>
    <t>bare breasts|female frontal nudity|hunter|island|weekend</t>
  </si>
  <si>
    <t>http://www.imdb.com/title/tt1930294/?ref_=fn_tt_tt_1</t>
  </si>
  <si>
    <t>Robert Heath</t>
  </si>
  <si>
    <t>David Oakes</t>
  </si>
  <si>
    <t>Alexander Vlahos</t>
  </si>
  <si>
    <t>Jennie Jacques</t>
  </si>
  <si>
    <t>Truth or Die </t>
  </si>
  <si>
    <t>cabin in the woods|drinking acid|introvert|lesbian kiss|truth or dare</t>
  </si>
  <si>
    <t>http://www.imdb.com/title/tt1838722/?ref_=fn_tt_tt_1</t>
  </si>
  <si>
    <t>D. Stevens</t>
  </si>
  <si>
    <t>Magi Avila</t>
  </si>
  <si>
    <t>Pierre Dulat</t>
  </si>
  <si>
    <t>Summer Napoles</t>
  </si>
  <si>
    <t>The Pet </t>
  </si>
  <si>
    <t>dominance submissiveness|female nudity|human branding|human pet|power exchange</t>
  </si>
  <si>
    <t>http://www.imdb.com/title/tt0825728/?ref_=fn_tt_tt_1</t>
  </si>
  <si>
    <t>Jeffrey St. Jules</t>
  </si>
  <si>
    <t>Drama|Musical|Sci-Fi</t>
  </si>
  <si>
    <t>Chloe Rose</t>
  </si>
  <si>
    <t>Kristian Bruun</t>
  </si>
  <si>
    <t>Bang Bang Baby </t>
  </si>
  <si>
    <t>http://www.imdb.com/title/tt2655734/?ref_=fn_tt_tt_1</t>
  </si>
  <si>
    <t>Robert Hall</t>
  </si>
  <si>
    <t>Angelina Armani</t>
  </si>
  <si>
    <t>Fiona Dourif</t>
  </si>
  <si>
    <t>Fear Clinic </t>
  </si>
  <si>
    <t>bare breasts|based on web series|claustrophobia|doctor|phobia</t>
  </si>
  <si>
    <t>http://www.imdb.com/title/tt2165765/?ref_=fn_tt_tt_1</t>
  </si>
  <si>
    <t>K. King</t>
  </si>
  <si>
    <t>Jason K. Wixom</t>
  </si>
  <si>
    <t>Shona Kay</t>
  </si>
  <si>
    <t>Jarrod Phillips</t>
  </si>
  <si>
    <t>Zombie Hunter 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</si>
  <si>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</si>
  <si>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</si>
  <si>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</si>
  <si>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</si>
  <si>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</si>
  <si>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</si>
  <si>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</si>
  <si>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Claire Bloom</t>
  </si>
  <si>
    <t>Charly 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</si>
  <si>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</si>
  <si>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</si>
  <si>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</si>
  <si>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</si>
  <si>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</si>
  <si>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Banshee Chapter </t>
  </si>
  <si>
    <t>experiment|lsd|missing friend|mk ultra|radio broadcast</t>
  </si>
  <si>
    <t>http://www.imdb.com/title/tt2011276/?ref_=fn_tt_tt_1</t>
  </si>
  <si>
    <t>David DeLuise</t>
  </si>
  <si>
    <t>Bruno Campos</t>
  </si>
  <si>
    <t>Jesse 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</si>
  <si>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</si>
  <si>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</si>
  <si>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</si>
  <si>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</si>
  <si>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</si>
  <si>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</si>
  <si>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</si>
  <si>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</si>
  <si>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</si>
  <si>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</si>
  <si>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</si>
  <si>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</si>
  <si>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Documentary|News</t>
  </si>
  <si>
    <t>Alma Martinez</t>
  </si>
  <si>
    <t>Robert Kennedy Jr.</t>
  </si>
  <si>
    <t>Eve Ensler</t>
  </si>
  <si>
    <t>Food Chains 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</si>
  <si>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</si>
  <si>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</si>
  <si>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</si>
  <si>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</si>
  <si>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</si>
  <si>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</si>
  <si>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</si>
  <si>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</si>
  <si>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</si>
  <si>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</si>
  <si>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Anamaria Marinca</t>
  </si>
  <si>
    <t>Vlad Ivanov</t>
  </si>
  <si>
    <t>Alexandru Potocean</t>
  </si>
  <si>
    <t>4 Months, 3 Weeks and 2 Days 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</si>
  <si>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</si>
  <si>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</si>
  <si>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</si>
  <si>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</si>
  <si>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</si>
  <si>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</si>
  <si>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</si>
  <si>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Odessa Rae</t>
  </si>
  <si>
    <t>G.J. Echternkamp</t>
  </si>
  <si>
    <t>Patrick Wilson</t>
  </si>
  <si>
    <t>Hard Candy 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</si>
  <si>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</si>
  <si>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</si>
  <si>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</si>
  <si>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</si>
  <si>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</si>
  <si>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</si>
  <si>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Sarah Kazemy</t>
  </si>
  <si>
    <t>Reza Sixo Safai</t>
  </si>
  <si>
    <t>Sina Amedson</t>
  </si>
  <si>
    <t>Circumstance 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</si>
  <si>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</si>
  <si>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</si>
  <si>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</si>
  <si>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</si>
  <si>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</si>
  <si>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Fruitvale Station 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</si>
  <si>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</si>
  <si>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</si>
  <si>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</si>
  <si>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</si>
  <si>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</si>
  <si>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</si>
  <si>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</si>
  <si>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Animation|Drama|Family</t>
  </si>
  <si>
    <t>Sam Edwards</t>
  </si>
  <si>
    <t>Donnie Dunagan</t>
  </si>
  <si>
    <t>Ann Gillis</t>
  </si>
  <si>
    <t>Bambi 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</si>
  <si>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</si>
  <si>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</si>
  <si>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</si>
  <si>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</si>
  <si>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</si>
  <si>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</si>
  <si>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</si>
  <si>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</si>
  <si>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</si>
  <si>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</si>
  <si>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</si>
  <si>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Stana Roumillac</t>
  </si>
  <si>
    <t>Christophe Cherki</t>
  </si>
  <si>
    <t>Teddy Doloir</t>
  </si>
  <si>
    <t>Elza 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</si>
  <si>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</si>
  <si>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</si>
  <si>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</si>
  <si>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</si>
  <si>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</si>
  <si>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</si>
  <si>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</si>
  <si>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</si>
  <si>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</si>
  <si>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</si>
  <si>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</si>
  <si>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</si>
  <si>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</si>
  <si>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</si>
  <si>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</si>
  <si>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Drama|Fantasy|Sci-Fi</t>
  </si>
  <si>
    <t>D. David Morin</t>
  </si>
  <si>
    <t>Hal Linden</t>
  </si>
  <si>
    <t>Time Changer 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</si>
  <si>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</si>
  <si>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</si>
  <si>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</si>
  <si>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</si>
  <si>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</si>
  <si>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</si>
  <si>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Action|Comedy|Drama|Sci-Fi</t>
  </si>
  <si>
    <t>Christopher Berry</t>
  </si>
  <si>
    <t>Michelle Tabora</t>
  </si>
  <si>
    <t>American Hero 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</si>
  <si>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</si>
  <si>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</si>
  <si>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</si>
  <si>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</si>
  <si>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</si>
  <si>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</si>
  <si>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</si>
  <si>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Shahab Hosseini</t>
  </si>
  <si>
    <t>Leila Hatami</t>
  </si>
  <si>
    <t>Peyman Moaadi</t>
  </si>
  <si>
    <t>A Separation </t>
  </si>
  <si>
    <t>alzheimer's disease|caregiver|divorce|iran|iranian</t>
  </si>
  <si>
    <t>http://www.imdb.com/title/tt1832382/?ref_=fn_tt_tt_1</t>
  </si>
  <si>
    <t>Justin Molotnikov</t>
  </si>
  <si>
    <t>Jo Hartley</t>
  </si>
  <si>
    <t>Stephen McCole</t>
  </si>
  <si>
    <t>Joe Cassidy</t>
  </si>
  <si>
    <t>Crying with Laughter </t>
  </si>
  <si>
    <t>cocaine|edinburgh scotland|stand up comedian</t>
  </si>
  <si>
    <t>http://www.imdb.com/title/tt1349478/?ref_=fn_tt_tt_1</t>
  </si>
  <si>
    <t>Ken Leung</t>
  </si>
  <si>
    <t>Christina Vidal</t>
  </si>
  <si>
    <t>Welcome to the Dollhouse </t>
  </si>
  <si>
    <t>bully|first crush|school|social outcast|taunting</t>
  </si>
  <si>
    <t>http://www.imdb.com/title/tt0114906/?ref_=fn_tt_tt_1</t>
  </si>
  <si>
    <t>Allison Dean</t>
  </si>
  <si>
    <t>Dorothy Lyman</t>
  </si>
  <si>
    <t>Ruby in Paradise </t>
  </si>
  <si>
    <t>desire|florida|identity|resort town|sales</t>
  </si>
  <si>
    <t>http://www.imdb.com/title/tt0108000/?ref_=fn_tt_tt_1</t>
  </si>
  <si>
    <t>Victor Rasuk</t>
  </si>
  <si>
    <t>Judy Marte</t>
  </si>
  <si>
    <t>Raising Victor Vargas </t>
  </si>
  <si>
    <t>based on short film|manhattan new york city|urination|vomiting|watching television</t>
  </si>
  <si>
    <t>http://www.imdb.com/title/tt0316188/?ref_=fn_tt_tt_1</t>
  </si>
  <si>
    <t>Georg Wilhelm Pabst</t>
  </si>
  <si>
    <t>Louise Brooks</t>
  </si>
  <si>
    <t>Francis Lederer</t>
  </si>
  <si>
    <t>Fritz Kortner</t>
  </si>
  <si>
    <t>Pandora's Box 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</si>
  <si>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</si>
  <si>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</si>
  <si>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</si>
  <si>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</si>
  <si>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</si>
  <si>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Harrison Montgomery </t>
  </si>
  <si>
    <t>abusive relationship|character name in title|magic|san francisco california|tenderloin san francisco</t>
  </si>
  <si>
    <t>http://www.imdb.com/title/tt0870118/?ref_=fn_tt_tt_1</t>
  </si>
  <si>
    <t>Jorge Gaggero</t>
  </si>
  <si>
    <t>Norma Aleandro</t>
  </si>
  <si>
    <t>Hilda Bernard</t>
  </si>
  <si>
    <t>Claudia Lapacó</t>
  </si>
  <si>
    <t>Live-In Maid 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</si>
  <si>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</si>
  <si>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</si>
  <si>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</si>
  <si>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</si>
  <si>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</si>
  <si>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</si>
  <si>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</si>
  <si>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</si>
  <si>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</si>
  <si>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</si>
  <si>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</si>
  <si>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Arly Jover</t>
  </si>
  <si>
    <t>The Young Unknowns </t>
  </si>
  <si>
    <t>based on play|independent film</t>
  </si>
  <si>
    <t>http://www.imdb.com/title/tt0186719/?ref_=fn_tt_tt_1</t>
  </si>
  <si>
    <t>Shane Dawson</t>
  </si>
  <si>
    <t>Kurt Angle</t>
  </si>
  <si>
    <t>Cherami Leigh</t>
  </si>
  <si>
    <t>Not Cool </t>
  </si>
  <si>
    <t>http://www.imdb.com/title/tt3569356/?ref_=fn_tt_tt_1</t>
  </si>
  <si>
    <t>Stig Frode Henriksen</t>
  </si>
  <si>
    <t>Ane Dahl Torp</t>
  </si>
  <si>
    <t>Dead Snow 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</si>
  <si>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</si>
  <si>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</si>
  <si>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</si>
  <si>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</si>
  <si>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</si>
  <si>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</si>
  <si>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</si>
  <si>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</si>
  <si>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</si>
  <si>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Horror|Sci-Fi|Short|Thriller</t>
  </si>
  <si>
    <t>Taylor Pigeon</t>
  </si>
  <si>
    <t>Alan Pietruszewski</t>
  </si>
  <si>
    <t>Whit Spurgeon</t>
  </si>
  <si>
    <t>Vessel </t>
  </si>
  <si>
    <t>alien|flight attendant|monster|pilot|tentacle</t>
  </si>
  <si>
    <t>http://www.imdb.com/title/tt2164708/?ref_=fn_tt_tt_1</t>
  </si>
  <si>
    <t>Mackenzie Phillips</t>
  </si>
  <si>
    <t>American Graffiti </t>
  </si>
  <si>
    <t>california|car|drag racing|high school|rock 'n' roll</t>
  </si>
  <si>
    <t>http://www.imdb.com/title/tt0069704/?ref_=fn_tt_tt_1</t>
  </si>
  <si>
    <t>Scott Helvenston</t>
  </si>
  <si>
    <t>Katy Helvenston-Wettengal</t>
  </si>
  <si>
    <t>Donna Zovko</t>
  </si>
  <si>
    <t>Iraq for Sale: The War Profiteers 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</si>
  <si>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</si>
  <si>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</si>
  <si>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</si>
  <si>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</si>
  <si>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</si>
  <si>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</si>
  <si>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</si>
  <si>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</si>
  <si>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</si>
  <si>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</si>
  <si>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</si>
  <si>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Jeanette Branch</t>
  </si>
  <si>
    <t>Kevin Hart: Laugh at My Pain 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</si>
  <si>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</si>
  <si>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</si>
  <si>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</si>
  <si>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</si>
  <si>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</si>
  <si>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</si>
  <si>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</si>
  <si>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</si>
  <si>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The Innkeepers 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</si>
  <si>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</si>
  <si>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</si>
  <si>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</si>
  <si>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</si>
  <si>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The Conformist </t>
  </si>
  <si>
    <t>fascist|gun|italy|nudity|sexuality</t>
  </si>
  <si>
    <t>http://www.imdb.com/title/tt0065571/?ref_=fn_tt_tt_1</t>
  </si>
  <si>
    <t>Raymond J. Barry</t>
  </si>
  <si>
    <t>Christel Khalil</t>
  </si>
  <si>
    <t>Renee Faia</t>
  </si>
  <si>
    <t>Interview with the Assassin 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</si>
  <si>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</si>
  <si>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</si>
  <si>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</si>
  <si>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</si>
  <si>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</si>
  <si>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</si>
  <si>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</si>
  <si>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</si>
  <si>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All the Boys Love Mandy Lane 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</si>
  <si>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</si>
  <si>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</si>
  <si>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</si>
  <si>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</si>
  <si>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</si>
  <si>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Bled </t>
  </si>
  <si>
    <t>artist|blood|drug|tree sap|vampire</t>
  </si>
  <si>
    <t>http://www.imdb.com/title/tt0997143/?ref_=fn_tt_tt_1</t>
  </si>
  <si>
    <t>Thriller|Western</t>
  </si>
  <si>
    <t>Lon Chaney Jr.</t>
  </si>
  <si>
    <t>High Noon </t>
  </si>
  <si>
    <t>appeasement|frontier justice|justice|one against many|street shootout</t>
  </si>
  <si>
    <t>http://www.imdb.com/title/tt0044706/?ref_=fn_tt_tt_1</t>
  </si>
  <si>
    <t>Documentary|Drama|Sport</t>
  </si>
  <si>
    <t>William Gates</t>
  </si>
  <si>
    <t>Arthur Agee</t>
  </si>
  <si>
    <t>Isiah Thomas</t>
  </si>
  <si>
    <t>Hoop Dreams </t>
  </si>
  <si>
    <t>athlete|basketball|high school|high school student|school</t>
  </si>
  <si>
    <t>http://www.imdb.com/title/tt0110057/?ref_=fn_tt_tt_1</t>
  </si>
  <si>
    <t>David LaChapelle</t>
  </si>
  <si>
    <t>Kevin Scott Richardson</t>
  </si>
  <si>
    <t>Christopher Toler</t>
  </si>
  <si>
    <t>Tommy the Clown</t>
  </si>
  <si>
    <t>Rize 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</si>
  <si>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</si>
  <si>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</si>
  <si>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</si>
  <si>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</si>
  <si>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</si>
  <si>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Walter Masterson</t>
  </si>
  <si>
    <t>L.I.E. </t>
  </si>
  <si>
    <t>ephebophile|pederasty|pedophilia|playing hooky|shaving</t>
  </si>
  <si>
    <t>http://www.imdb.com/title/tt0242587/?ref_=fn_tt_tt_1</t>
  </si>
  <si>
    <t>Caryn Waechter</t>
  </si>
  <si>
    <t>Laura Fraser</t>
  </si>
  <si>
    <t>Kara Hayward</t>
  </si>
  <si>
    <t>Louis Ozawa Changchien</t>
  </si>
  <si>
    <t>The Sisterhood of Night 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</si>
  <si>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</si>
  <si>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</si>
  <si>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</si>
  <si>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</si>
  <si>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</si>
  <si>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</si>
  <si>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</si>
  <si>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Jeff Lima</t>
  </si>
  <si>
    <t>Half Nelson 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</si>
  <si>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</si>
  <si>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</si>
  <si>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</si>
  <si>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</si>
  <si>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</si>
  <si>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Naturally Native 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</si>
  <si>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</si>
  <si>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</si>
  <si>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</si>
  <si>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</si>
  <si>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</si>
  <si>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Hav Plenty 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</si>
  <si>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</si>
  <si>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</si>
  <si>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</si>
  <si>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</si>
  <si>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</si>
  <si>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Adulterers </t>
  </si>
  <si>
    <t>cheating husband|female nudity|male nudity|male rear nudity|revenge</t>
  </si>
  <si>
    <t>http://www.imdb.com/title/tt4044464/?ref_=fn_tt_tt_1</t>
  </si>
  <si>
    <t>Randy Moore</t>
  </si>
  <si>
    <t>Trey Loney</t>
  </si>
  <si>
    <t>Lee Armstrong</t>
  </si>
  <si>
    <t>Amy Lucas</t>
  </si>
  <si>
    <t>Escape from Tomorrow 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</si>
  <si>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</si>
  <si>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</si>
  <si>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</si>
  <si>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</si>
  <si>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</si>
  <si>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</si>
  <si>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</si>
  <si>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</si>
  <si>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</si>
  <si>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</si>
  <si>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</si>
  <si>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</si>
  <si>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</si>
  <si>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</si>
  <si>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After 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</si>
  <si>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</si>
  <si>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</si>
  <si>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</si>
  <si>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</si>
  <si>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</si>
  <si>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</si>
  <si>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</si>
  <si>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</si>
  <si>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</si>
  <si>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</si>
  <si>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</si>
  <si>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</si>
  <si>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Ginger Rogers</t>
  </si>
  <si>
    <t>Edward Everett Horton</t>
  </si>
  <si>
    <t>Eric Blore</t>
  </si>
  <si>
    <t>Top Hat </t>
  </si>
  <si>
    <t>dance|dancer|dancing|horse|tap dancing</t>
  </si>
  <si>
    <t>http://www.imdb.com/title/tt0027125/?ref_=fn_tt_tt_1</t>
  </si>
  <si>
    <t>Daniel Myrick</t>
  </si>
  <si>
    <t>Heather Donahue</t>
  </si>
  <si>
    <t>Joshua Leonard</t>
  </si>
  <si>
    <t>Michael C. Williams</t>
  </si>
  <si>
    <t>The Blair Witch Project </t>
  </si>
  <si>
    <t>found footage|looking at the camera|lost in the woods|maryland|screaming in horror</t>
  </si>
  <si>
    <t>http://www.imdb.com/title/tt0185937/?ref_=fn_tt_tt_1</t>
  </si>
  <si>
    <t>Michael Wadleigh</t>
  </si>
  <si>
    <t>Documentary|History|Music</t>
  </si>
  <si>
    <t>Joe Cocker</t>
  </si>
  <si>
    <t>Jimi Hendrix</t>
  </si>
  <si>
    <t>Joan Baez</t>
  </si>
  <si>
    <t>Woodstock </t>
  </si>
  <si>
    <t>drugs|hippie|music festival|the who|woodstock</t>
  </si>
  <si>
    <t>http://www.imdb.com/title/tt0066580/?ref_=fn_tt_tt_1</t>
  </si>
  <si>
    <t>Barry Dennen</t>
  </si>
  <si>
    <t>Tara Strohmeier</t>
  </si>
  <si>
    <t>The Kentucky Fried Movie </t>
  </si>
  <si>
    <t>fake commercial|fake newscast|fake trailer|parody|spoof</t>
  </si>
  <si>
    <t>http://www.imdb.com/title/tt0076257/?ref_=fn_tt_tt_1</t>
  </si>
  <si>
    <t>David A.R. White</t>
  </si>
  <si>
    <t>Cynthia Watros</t>
  </si>
  <si>
    <t>Mercy Streets </t>
  </si>
  <si>
    <t>church|cigarette smoking|deacon|twin brother|twins</t>
  </si>
  <si>
    <t>http://www.imdb.com/title/tt0243415/?ref_=fn_tt_tt_1</t>
  </si>
  <si>
    <t>Gene Teigland</t>
  </si>
  <si>
    <t>Kendyl Joi</t>
  </si>
  <si>
    <t>Matthew Feeney</t>
  </si>
  <si>
    <t>Tac Fitzgerald</t>
  </si>
  <si>
    <t>Arnolds Park </t>
  </si>
  <si>
    <t>http://www.imdb.com/title/tt1074931/?ref_=fn_tt_tt_1</t>
  </si>
  <si>
    <t>Scott Ziehl</t>
  </si>
  <si>
    <t>Brent David Fraser</t>
  </si>
  <si>
    <t>Broken Vessels 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</si>
  <si>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</si>
  <si>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</si>
  <si>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</si>
  <si>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</si>
  <si>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</si>
  <si>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Water &amp; Power </t>
  </si>
  <si>
    <t>http://www.imdb.com/title/tt2052015/?ref_=fn_tt_tt_1</t>
  </si>
  <si>
    <t>Johanna Schwartz</t>
  </si>
  <si>
    <t>Aliou Touré</t>
  </si>
  <si>
    <t>Garba Touré</t>
  </si>
  <si>
    <t>Khaira Arby</t>
  </si>
  <si>
    <t>They Will Have to Kill Us First </t>
  </si>
  <si>
    <t>http://www.imdb.com/title/tt4333662/?ref_=fn_tt_tt_1</t>
  </si>
  <si>
    <t>William Gazecki</t>
  </si>
  <si>
    <t>Karen Alexander</t>
  </si>
  <si>
    <t>Colin Andrews</t>
  </si>
  <si>
    <t>Francine Blake</t>
  </si>
  <si>
    <t>Crop Circles: Quest for Truth </t>
  </si>
  <si>
    <t>crop circle|intelligence|paranormal|phenomenon|universe</t>
  </si>
  <si>
    <t>http://www.imdb.com/title/tt0331225/?ref_=fn_tt_tt_1</t>
  </si>
  <si>
    <t>Lance McDaniel</t>
  </si>
  <si>
    <t>Lymari Nadal</t>
  </si>
  <si>
    <t>Light from the Darkroom </t>
  </si>
  <si>
    <t>china|faith|panama|photography|suspense</t>
  </si>
  <si>
    <t>http://www.imdb.com/title/tt3130704/?ref_=fn_tt_tt_1</t>
  </si>
  <si>
    <t>Thomas Lilti</t>
  </si>
  <si>
    <t>Félix Moati</t>
  </si>
  <si>
    <t>Marianne Denicourt</t>
  </si>
  <si>
    <t>Irreplaceable </t>
  </si>
  <si>
    <t>doctor|hospital|mayor|no opening credits|title at the end</t>
  </si>
  <si>
    <t>http://www.imdb.com/title/tt5078326/?ref_=fn_tt_tt_1</t>
  </si>
  <si>
    <t>Michael Walker</t>
  </si>
  <si>
    <t>John Brodsky</t>
  </si>
  <si>
    <t>The Maid's Room </t>
  </si>
  <si>
    <t>http://www.imdb.com/title/tt2263814/?ref_=fn_tt_tt_1</t>
  </si>
  <si>
    <t>Paul McCartney</t>
  </si>
  <si>
    <t>Ringo Starr</t>
  </si>
  <si>
    <t>George Harrison</t>
  </si>
  <si>
    <t>A Hard Day's Night 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</si>
  <si>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</si>
  <si>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</si>
  <si>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</si>
  <si>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</si>
  <si>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</si>
  <si>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</si>
  <si>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</si>
  <si>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</si>
  <si>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</si>
  <si>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</si>
  <si>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</si>
  <si>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Dario Nozic Serini</t>
  </si>
  <si>
    <t>Spela Colja</t>
  </si>
  <si>
    <t>Andrej Nahtigal</t>
  </si>
  <si>
    <t>Julija in alfa Romeo </t>
  </si>
  <si>
    <t>http://www.imdb.com/title/tt4374230/?ref_=fn_tt_tt_1</t>
  </si>
  <si>
    <t>Slovenian</t>
  </si>
  <si>
    <t>Slovenia</t>
  </si>
  <si>
    <t>Kirk Cameron</t>
  </si>
  <si>
    <t>Ken Bevel</t>
  </si>
  <si>
    <t>Erin Bethea</t>
  </si>
  <si>
    <t>Fireproof </t>
  </si>
  <si>
    <t>christian film|dare|firefighter|internet pornography|marriage</t>
  </si>
  <si>
    <t>http://www.imdb.com/title/tt1129423/?ref_=fn_tt_tt_1</t>
  </si>
  <si>
    <t>Pan Nalin</t>
  </si>
  <si>
    <t>Biography|Documentary|Drama</t>
  </si>
  <si>
    <t>Bhole Baba</t>
  </si>
  <si>
    <t>Pant Shirt Baba</t>
  </si>
  <si>
    <t>Shriman Umeshanad Brahmachari</t>
  </si>
  <si>
    <t>Faith Connections </t>
  </si>
  <si>
    <t>faith|ganja|kumbh mela|little boy|orphan</t>
  </si>
  <si>
    <t>http://www.imdb.com/title/tt2768766/?ref_=fn_tt_tt_1</t>
  </si>
  <si>
    <t>Joe Camp</t>
  </si>
  <si>
    <t>Adventure|Family|Romance</t>
  </si>
  <si>
    <t>Frances Bavier</t>
  </si>
  <si>
    <t>Peter Breck</t>
  </si>
  <si>
    <t>Edgar Buchanan</t>
  </si>
  <si>
    <t>Benji </t>
  </si>
  <si>
    <t>animal abuse|cat|dog|dog movie|tween girl</t>
  </si>
  <si>
    <t>http://www.imdb.com/title/tt0071206/?ref_=fn_tt_tt_1</t>
  </si>
  <si>
    <t>Adventure|Biography|Drama|Horror|Thriller</t>
  </si>
  <si>
    <t>Blanchard Ryan</t>
  </si>
  <si>
    <t>Saul Stein</t>
  </si>
  <si>
    <t>Daniel Travis</t>
  </si>
  <si>
    <t>Open Water </t>
  </si>
  <si>
    <t>bare chested male|female full frontal nudity|hairy chest|male full frontal nudity|nude with glasses</t>
  </si>
  <si>
    <t>http://www.imdb.com/title/tt0374102/?ref_=fn_tt_tt_1</t>
  </si>
  <si>
    <t>Abby Elliott</t>
  </si>
  <si>
    <t>High Road </t>
  </si>
  <si>
    <t>http://www.imdb.com/title/tt1692084/?ref_=fn_tt_tt_1</t>
  </si>
  <si>
    <t>John 'Bud' Cardos</t>
  </si>
  <si>
    <t>Hoke Howell</t>
  </si>
  <si>
    <t>Tiffany Bolling</t>
  </si>
  <si>
    <t>Kingdom of the Spiders </t>
  </si>
  <si>
    <t>death|farm|hotel|spider|tarantula</t>
  </si>
  <si>
    <t>http://www.imdb.com/title/tt0076271/?ref_=fn_tt_tt_1</t>
  </si>
  <si>
    <t>Marilyn Agrelo</t>
  </si>
  <si>
    <t>Documentary|Family|Music</t>
  </si>
  <si>
    <t>Heather Berman</t>
  </si>
  <si>
    <t>Eva Carrozza</t>
  </si>
  <si>
    <t>Paul Daggett</t>
  </si>
  <si>
    <t>Mad Hot Ballroom 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</si>
  <si>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</si>
  <si>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</si>
  <si>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</si>
  <si>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</si>
  <si>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</si>
  <si>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</si>
  <si>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</si>
  <si>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</si>
  <si>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</si>
  <si>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</si>
  <si>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</si>
  <si>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</si>
  <si>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Wordplay </t>
  </si>
  <si>
    <t>comedian|crossword puzzle|editor|new york times|puzzle</t>
  </si>
  <si>
    <t>http://www.imdb.com/title/tt0492506/?ref_=fn_tt_tt_1</t>
  </si>
  <si>
    <t>Barry W. Blaustein</t>
  </si>
  <si>
    <t>Biography|Documentary|Sport</t>
  </si>
  <si>
    <t>Terry Funk</t>
  </si>
  <si>
    <t>Vince McMahon</t>
  </si>
  <si>
    <t>Mick Foley</t>
  </si>
  <si>
    <t>Beyond the Mat 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</si>
  <si>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</si>
  <si>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</si>
  <si>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</si>
  <si>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</si>
  <si>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</si>
  <si>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The Singles Ward </t>
  </si>
  <si>
    <t>church|love|marriage|mormon|single</t>
  </si>
  <si>
    <t>http://www.imdb.com/title/tt0306069/?ref_=fn_tt_tt_1</t>
  </si>
  <si>
    <t>Siddiq Barmak</t>
  </si>
  <si>
    <t>Marina Golbahari</t>
  </si>
  <si>
    <t>Zubaida Sahar</t>
  </si>
  <si>
    <t>Mohamad Haref Harati</t>
  </si>
  <si>
    <t>Osama 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</si>
  <si>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</si>
  <si>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</si>
  <si>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</si>
  <si>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</si>
  <si>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</si>
  <si>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</si>
  <si>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Sholem Aleichem: Laughing in the Darkness </t>
  </si>
  <si>
    <t>jewish identity</t>
  </si>
  <si>
    <t>http://www.imdb.com/title/tt1976608/?ref_=fn_tt_tt_1</t>
  </si>
  <si>
    <t>Greg Harrison</t>
  </si>
  <si>
    <t>Ari Gold</t>
  </si>
  <si>
    <t>Denny Kirkwood</t>
  </si>
  <si>
    <t>Groove </t>
  </si>
  <si>
    <t>dj|ecstasy the drug|rave|raver|warehouse</t>
  </si>
  <si>
    <t>http://www.imdb.com/title/tt0212974/?ref_=fn_tt_tt_1</t>
  </si>
  <si>
    <t>Big Budah</t>
  </si>
  <si>
    <t>Curt Doussett</t>
  </si>
  <si>
    <t>The R.M. 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</si>
  <si>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</si>
  <si>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</si>
  <si>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</si>
  <si>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</si>
  <si>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</si>
  <si>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</si>
  <si>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</si>
  <si>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</si>
  <si>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</si>
  <si>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</si>
  <si>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</si>
  <si>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</si>
  <si>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</si>
  <si>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</si>
  <si>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</si>
  <si>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</si>
  <si>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</si>
  <si>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</si>
  <si>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</si>
  <si>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</si>
  <si>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</si>
  <si>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</si>
  <si>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</si>
  <si>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</si>
  <si>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</si>
  <si>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</si>
  <si>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</si>
  <si>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</si>
  <si>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</si>
  <si>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</si>
  <si>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</si>
  <si>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Deceptive Practice: The Mysteries and Mentors of Ricky Jay </t>
  </si>
  <si>
    <t>stage magician</t>
  </si>
  <si>
    <t>http://www.imdb.com/title/tt2654360/?ref_=fn_tt_tt_1</t>
  </si>
  <si>
    <t>Takashi Shimura</t>
  </si>
  <si>
    <t>Minoru Chiaki</t>
  </si>
  <si>
    <t>Kamatari Fujiwara</t>
  </si>
  <si>
    <t>Seven Samurai </t>
  </si>
  <si>
    <t>16th century|battle|japan|practice|samurai</t>
  </si>
  <si>
    <t>http://www.imdb.com/title/tt0047478/?ref_=fn_tt_tt_1</t>
  </si>
  <si>
    <t>Marius A. Markevicius</t>
  </si>
  <si>
    <t>Tommy Sheppard</t>
  </si>
  <si>
    <t>Greg Speirs</t>
  </si>
  <si>
    <t>Mickey Hart</t>
  </si>
  <si>
    <t>The Other Dream Team 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</si>
  <si>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</si>
  <si>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</si>
  <si>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</si>
  <si>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</si>
  <si>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</si>
  <si>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Johnny Suede </t>
  </si>
  <si>
    <t>idol|musician|vomiting|watching television|wyoming</t>
  </si>
  <si>
    <t>http://www.imdb.com/title/tt0104567/?ref_=fn_tt_tt_1</t>
  </si>
  <si>
    <t>Jake Sandvig</t>
  </si>
  <si>
    <t>Joe McQueen</t>
  </si>
  <si>
    <t>Finishing the Game: The Search for a New Bruce Lee </t>
  </si>
  <si>
    <t>bruce lee|jeet kune do|karate|satire|spoof</t>
  </si>
  <si>
    <t>http://www.imdb.com/title/tt0843850/?ref_=fn_tt_tt_1</t>
  </si>
  <si>
    <t>Quentin Dupieux</t>
  </si>
  <si>
    <t>Cecelia Antoinette</t>
  </si>
  <si>
    <t>Rubber </t>
  </si>
  <si>
    <t>desert|dump|show|spectator|tire</t>
  </si>
  <si>
    <t>http://www.imdb.com/title/tt1612774/?ref_=fn_tt_tt_1</t>
  </si>
  <si>
    <t>Tori Spelling</t>
  </si>
  <si>
    <t>Amber Benson</t>
  </si>
  <si>
    <t>Garrett M. Brown</t>
  </si>
  <si>
    <t>Kiss the Bride </t>
  </si>
  <si>
    <t>best friend|high school|love|secret|wedding</t>
  </si>
  <si>
    <t>http://www.imdb.com/title/tt0893346/?ref_=fn_tt_tt_1</t>
  </si>
  <si>
    <t>Alex Smith</t>
  </si>
  <si>
    <t>Eddie Spears</t>
  </si>
  <si>
    <t>The Slaughter Rule 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</si>
  <si>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</si>
  <si>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</si>
  <si>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</si>
  <si>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</si>
  <si>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Monsters 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</si>
  <si>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</si>
  <si>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</si>
  <si>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</si>
  <si>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</si>
  <si>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</si>
  <si>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</si>
  <si>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</si>
  <si>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Matthew Cowles</t>
  </si>
  <si>
    <t>The Living Wake </t>
  </si>
  <si>
    <t>artist|black comedy</t>
  </si>
  <si>
    <t>http://www.imdb.com/title/tt0489212/?ref_=fn_tt_tt_1</t>
  </si>
  <si>
    <t>Alex Craig Mann</t>
  </si>
  <si>
    <t>Max Adler</t>
  </si>
  <si>
    <t>Detention of the Dead </t>
  </si>
  <si>
    <t>based on play|blood|independent film|teenager|zombie</t>
  </si>
  <si>
    <t>http://www.imdb.com/title/tt1865346/?ref_=fn_tt_tt_1</t>
  </si>
  <si>
    <t>Zhonghua Chen</t>
  </si>
  <si>
    <t>Crazy Stone </t>
  </si>
  <si>
    <t>bankruptcy|crystal|father son relationship|heist|shower</t>
  </si>
  <si>
    <t>http://www.imdb.com/title/tt0843270/?ref_=fn_tt_tt_1</t>
  </si>
  <si>
    <t>Stephen Kijak</t>
  </si>
  <si>
    <t>Brian Eno</t>
  </si>
  <si>
    <t>Jacques Brel</t>
  </si>
  <si>
    <t>Damon Albarn</t>
  </si>
  <si>
    <t>Scott Walker: 30 Century Man 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</si>
  <si>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</si>
  <si>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</si>
  <si>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</si>
  <si>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</si>
  <si>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</si>
  <si>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Stafford Douglas</t>
  </si>
  <si>
    <t>Good Kill 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</si>
  <si>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</si>
  <si>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</si>
  <si>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</si>
  <si>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</si>
  <si>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</si>
  <si>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Insomnia Manica </t>
  </si>
  <si>
    <t>http://www.imdb.com/title/tt0455556/?ref_=fn_tt_tt_1</t>
  </si>
  <si>
    <t>Carol Channing</t>
  </si>
  <si>
    <t>Bruce Vilanch</t>
  </si>
  <si>
    <t>Tony Bennett</t>
  </si>
  <si>
    <t>The Outrageous Sophie Tucker 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</si>
  <si>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</si>
  <si>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</si>
  <si>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</si>
  <si>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</si>
  <si>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</si>
  <si>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Vincent Chimato</t>
  </si>
  <si>
    <t>John McGlothlin</t>
  </si>
  <si>
    <t>Al Sapienza</t>
  </si>
  <si>
    <t>Girls Gone Dead 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</si>
  <si>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</si>
  <si>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</si>
  <si>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</si>
  <si>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</si>
  <si>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</si>
  <si>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</si>
  <si>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</si>
  <si>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</si>
  <si>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Tom Stedham</t>
  </si>
  <si>
    <t>Subconscious </t>
  </si>
  <si>
    <t>military|submarine|suspense|time travel|world war two</t>
  </si>
  <si>
    <t>http://www.imdb.com/title/tt2909932/?ref_=fn_tt_tt_1</t>
  </si>
  <si>
    <t>Jack Heller</t>
  </si>
  <si>
    <t>Christopher Denham</t>
  </si>
  <si>
    <t>Enter Nowhere 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</si>
  <si>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</si>
  <si>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</si>
  <si>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</si>
  <si>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</si>
  <si>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Lalí</t>
  </si>
  <si>
    <t>The King of Najayo 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</si>
  <si>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</si>
  <si>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</si>
  <si>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</si>
  <si>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</si>
  <si>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</si>
  <si>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 to the Finish </t>
  </si>
  <si>
    <t>fighting|karate</t>
  </si>
  <si>
    <t>http://www.imdb.com/title/tt3152288/?ref_=fn_tt_tt_1</t>
  </si>
  <si>
    <t>Horror|Musical</t>
  </si>
  <si>
    <t>Terrance Zdunich</t>
  </si>
  <si>
    <t>Alleluia! The Devil's Carnival </t>
  </si>
  <si>
    <t>carnival|devil|redemption|reference to god</t>
  </si>
  <si>
    <t>http://www.imdb.com/title/tt3892618/?ref_=fn_tt_tt_1</t>
  </si>
  <si>
    <t>Justin Paul Miller</t>
  </si>
  <si>
    <t>Comedy|Mystery|Thriller</t>
  </si>
  <si>
    <t>Mary Kate Wiles</t>
  </si>
  <si>
    <t>Jennifer Landa</t>
  </si>
  <si>
    <t>Felix Avitia</t>
  </si>
  <si>
    <t>The Sound and the Shadow </t>
  </si>
  <si>
    <t>http://www.imdb.com/title/tt2190180/?ref_=fn_tt_tt_1</t>
  </si>
  <si>
    <t>Joel Paul Reisig</t>
  </si>
  <si>
    <t>Carrie Bradstreet</t>
  </si>
  <si>
    <t>Yassie Hawkes</t>
  </si>
  <si>
    <t>Rodeo Girl </t>
  </si>
  <si>
    <t>http://www.imdb.com/title/tt4062896/?ref_=fn_tt_tt_1</t>
  </si>
  <si>
    <t>Catherine Gund</t>
  </si>
  <si>
    <t>Action|Biography|Documentary|Sport</t>
  </si>
  <si>
    <t>Elizabeth Streb</t>
  </si>
  <si>
    <t>Sarah Callan</t>
  </si>
  <si>
    <t>Laura Flanders</t>
  </si>
  <si>
    <t>Born to Fly: Elizabeth Streb vs. Gravity </t>
  </si>
  <si>
    <t>three word title</t>
  </si>
  <si>
    <t>http://www.imdb.com/title/tt2246526/?ref_=fn_tt_tt_1</t>
  </si>
  <si>
    <t>Luke Dye</t>
  </si>
  <si>
    <t>Mike Stanley</t>
  </si>
  <si>
    <t>Jeff Delaney</t>
  </si>
  <si>
    <t>Jamison Stalsworth</t>
  </si>
  <si>
    <t>The Little Ponderosa Zoo </t>
  </si>
  <si>
    <t>http://www.imdb.com/title/tt3846442/?ref_=fn_tt_tt_1</t>
  </si>
  <si>
    <t>Mark Torgl</t>
  </si>
  <si>
    <t>Pat Ryan</t>
  </si>
  <si>
    <t>The Toxic Avenger 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</si>
  <si>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</si>
  <si>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</si>
  <si>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</si>
  <si>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</si>
  <si>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</si>
  <si>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</si>
  <si>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</si>
  <si>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</si>
  <si>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Bloody Sunday </t>
  </si>
  <si>
    <t>civil rights|irish|march|northern ireland|protest march</t>
  </si>
  <si>
    <t>http://www.imdb.com/title/tt0280491/?ref_=fn_tt_tt_1</t>
  </si>
  <si>
    <t>Alec Asten</t>
  </si>
  <si>
    <t>Luis Sanchez</t>
  </si>
  <si>
    <t>Dennis L.A. White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</si>
  <si>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</si>
  <si>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</si>
  <si>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</si>
  <si>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</si>
  <si>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</si>
  <si>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</si>
  <si>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</si>
  <si>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</si>
  <si>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</si>
  <si>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</si>
  <si>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Poultrygeist: Night of the Chicken Dead </t>
  </si>
  <si>
    <t>castration|chicken|fast food|indian burial ground|protest</t>
  </si>
  <si>
    <t>http://www.imdb.com/title/tt0462485/?ref_=fn_tt_tt_1</t>
  </si>
  <si>
    <t>Matthew Watts</t>
  </si>
  <si>
    <t>Jennifer Lafleur</t>
  </si>
  <si>
    <t>Cheyenne Jackson</t>
  </si>
  <si>
    <t>Michael Stahl-David</t>
  </si>
  <si>
    <t>Mutual Friends 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</si>
  <si>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</si>
  <si>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</si>
  <si>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</si>
  <si>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</si>
  <si>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</si>
  <si>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42nd Street </t>
  </si>
  <si>
    <t>chorus girl|chorus line|director|gala premiere|song</t>
  </si>
  <si>
    <t>http://www.imdb.com/title/tt0024034/?ref_=fn_tt_tt_1</t>
  </si>
  <si>
    <t>Joe Kenemore</t>
  </si>
  <si>
    <t>Bob Proctor</t>
  </si>
  <si>
    <t>Jack Canfield</t>
  </si>
  <si>
    <t>Eric Worre</t>
  </si>
  <si>
    <t>Rise of the Entrepreneur: The Search for a Better Way </t>
  </si>
  <si>
    <t>business|entrepreneur|network marketing</t>
  </si>
  <si>
    <t>http://www.imdb.com/title/tt4273494/?ref_=fn_tt_tt_1</t>
  </si>
  <si>
    <t>Chris Eigeman</t>
  </si>
  <si>
    <t>Taylor Nichols</t>
  </si>
  <si>
    <t>Ellia Thompson</t>
  </si>
  <si>
    <t>Metropolitan </t>
  </si>
  <si>
    <t>apartment|dancing|debutante|new york|upper class</t>
  </si>
  <si>
    <t>http://www.imdb.com/title/tt0100142/?ref_=fn_tt_tt_1</t>
  </si>
  <si>
    <t>Kay Pollak</t>
  </si>
  <si>
    <t>Frida Hallgren</t>
  </si>
  <si>
    <t>Nils-Anders Vallgårda</t>
  </si>
  <si>
    <t>As It Is in Heaven </t>
  </si>
  <si>
    <t>amazing grace the hymn|choir|heart attack|hometown|skidding truck</t>
  </si>
  <si>
    <t>http://www.imdb.com/title/tt0382330/?ref_=fn_tt_tt_1</t>
  </si>
  <si>
    <t>Eric England</t>
  </si>
  <si>
    <t>Jack E. Curenton</t>
  </si>
  <si>
    <t>Ace Marrero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</si>
  <si>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</si>
  <si>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</si>
  <si>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</si>
  <si>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</si>
  <si>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</si>
  <si>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</si>
  <si>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</si>
  <si>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Amy Hargreaves</t>
  </si>
  <si>
    <t>Blue Ruin </t>
  </si>
  <si>
    <t>blood splatter|car|neo noir|vengeance|vomiting</t>
  </si>
  <si>
    <t>http://www.imdb.com/title/tt2359024/?ref_=fn_tt_tt_1</t>
  </si>
  <si>
    <t>Ashley Palmer</t>
  </si>
  <si>
    <t>Amber Armstrong</t>
  </si>
  <si>
    <t>Paranormal Activity </t>
  </si>
  <si>
    <t>dark force|entity|evil force|found footage|paranormal phenomenon</t>
  </si>
  <si>
    <t>http://www.imdb.com/title/tt1179904/?ref_=fn_tt_tt_1</t>
  </si>
  <si>
    <t>Tony Alva</t>
  </si>
  <si>
    <t>Jay Adams</t>
  </si>
  <si>
    <t>Jeff Ament</t>
  </si>
  <si>
    <t>Dogtown and Z-Boys </t>
  </si>
  <si>
    <t>california|drought|playground|skateboarding|surfer</t>
  </si>
  <si>
    <t>http://www.imdb.com/title/tt0275309/?ref_=fn_tt_tt_1</t>
  </si>
  <si>
    <t>Terry Jones</t>
  </si>
  <si>
    <t>Monty Python and the Holy Grail </t>
  </si>
  <si>
    <t>camelot|holy grail|king arthur|knight|lancelot</t>
  </si>
  <si>
    <t>http://www.imdb.com/title/tt0071853/?ref_=fn_tt_tt_1</t>
  </si>
  <si>
    <t>Emily Rios</t>
  </si>
  <si>
    <t>Alicia Sixtos</t>
  </si>
  <si>
    <t>Quinceañera 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</si>
  <si>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</si>
  <si>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</si>
  <si>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</si>
  <si>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</si>
  <si>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</si>
  <si>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</si>
  <si>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Gory Gory Hallelujah 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</si>
  <si>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</si>
  <si>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</si>
  <si>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</si>
  <si>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</si>
  <si>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</si>
  <si>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</si>
  <si>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</si>
  <si>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</si>
  <si>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</si>
  <si>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</si>
  <si>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Tarnation </t>
  </si>
  <si>
    <t>answering machine|home movie|lithium|schizophrenic|video diary</t>
  </si>
  <si>
    <t>http://www.imdb.com/title/tt0390538/?ref_=fn_tt_tt_1</t>
  </si>
  <si>
    <t>Ray Griggs</t>
  </si>
  <si>
    <t>Bill Farmer</t>
  </si>
  <si>
    <t>Chris Cox</t>
  </si>
  <si>
    <t>Mike Huckabee</t>
  </si>
  <si>
    <t>I Want Your Money </t>
  </si>
  <si>
    <t>http://www.imdb.com/title/tt1560957/?ref_=fn_tt_tt_1</t>
  </si>
  <si>
    <t>Matt Jackson</t>
  </si>
  <si>
    <t>Paul Elia</t>
  </si>
  <si>
    <t>Alex Sanborn</t>
  </si>
  <si>
    <t>Love in the Time of Monsters </t>
  </si>
  <si>
    <t>bigfoot|love|monster|sasquatch|tourist</t>
  </si>
  <si>
    <t>http://www.imdb.com/title/tt2403415/?ref_=fn_tt_tt_1</t>
  </si>
  <si>
    <t>Lucio Fulci</t>
  </si>
  <si>
    <t>Catriona MacColl</t>
  </si>
  <si>
    <t>David Warbeck</t>
  </si>
  <si>
    <t>Al Cliver</t>
  </si>
  <si>
    <t>The Beyond </t>
  </si>
  <si>
    <t>doctor|hell|hotel|painter|plumber</t>
  </si>
  <si>
    <t>http://www.imdb.com/title/tt0082307/?ref_=fn_tt_tt_1</t>
  </si>
  <si>
    <t>Brendon Small</t>
  </si>
  <si>
    <t>Ron Lynch</t>
  </si>
  <si>
    <t>Melissa Bardin Galsky</t>
  </si>
  <si>
    <t>Home Movies </t>
  </si>
  <si>
    <t>coach|friend|school|series|tv series</t>
  </si>
  <si>
    <t>http://www.imdb.com/title/tt0197159/?ref_=fn_tt_tt_1</t>
  </si>
  <si>
    <t>Michelle Krusiec</t>
  </si>
  <si>
    <t>What Happens in Vegas </t>
  </si>
  <si>
    <t>casino|father son relationship|jackpot|judge|wedding</t>
  </si>
  <si>
    <t>http://www.imdb.com/title/tt1033643/?ref_=fn_tt_tt_1</t>
  </si>
  <si>
    <t>Paul Fox</t>
  </si>
  <si>
    <t>Dov Tiefenbach</t>
  </si>
  <si>
    <t>Jeff Seymour</t>
  </si>
  <si>
    <t>Gordon Currie</t>
  </si>
  <si>
    <t>The Dark Hours </t>
  </si>
  <si>
    <t>brain tumor|champagne|game|psychiatrist|weekend</t>
  </si>
  <si>
    <t>http://www.imdb.com/title/tt0402249/?ref_=fn_tt_tt_1</t>
  </si>
  <si>
    <t>Roshan Seth</t>
  </si>
  <si>
    <t>Garry Cooper</t>
  </si>
  <si>
    <t>My Beautiful Laundrette 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</si>
  <si>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</si>
  <si>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</si>
  <si>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</si>
  <si>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</si>
  <si>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</si>
  <si>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Fabled </t>
  </si>
  <si>
    <t>http://www.imdb.com/title/tt0299863/?ref_=fn_tt_tt_1</t>
  </si>
  <si>
    <t>Cassandra Nicolaou</t>
  </si>
  <si>
    <t>Gabriel Hogan</t>
  </si>
  <si>
    <t>Show Me 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</si>
  <si>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</si>
  <si>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</si>
  <si>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</si>
  <si>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</si>
  <si>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</si>
  <si>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Cries &amp; Whispers 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</si>
  <si>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</si>
  <si>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</si>
  <si>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</si>
  <si>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</si>
  <si>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</si>
  <si>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Intolerance: Love's Struggle Throughout the Ages 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</si>
  <si>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</si>
  <si>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</si>
  <si>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</si>
  <si>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</si>
  <si>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</si>
  <si>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Trekkies </t>
  </si>
  <si>
    <t>autograph|dentist|outer space|star trek|telephone call</t>
  </si>
  <si>
    <t>http://www.imdb.com/title/tt0120370/?ref_=fn_tt_tt_1</t>
  </si>
  <si>
    <t>Harry Beaumont</t>
  </si>
  <si>
    <t>Anita Page</t>
  </si>
  <si>
    <t>Bessie Love</t>
  </si>
  <si>
    <t>Charles King</t>
  </si>
  <si>
    <t>The Broadway Melody 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</si>
  <si>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</si>
  <si>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</si>
  <si>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</si>
  <si>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</si>
  <si>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</si>
  <si>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</si>
  <si>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</si>
  <si>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America Olivo</t>
  </si>
  <si>
    <t>Nora Arnezeder</t>
  </si>
  <si>
    <t>Liane Balaban</t>
  </si>
  <si>
    <t>Maniac 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</si>
  <si>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</si>
  <si>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</si>
  <si>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</si>
  <si>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</si>
  <si>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</si>
  <si>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</si>
  <si>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</si>
  <si>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Mark Zupan</t>
  </si>
  <si>
    <t>Joe Bishop</t>
  </si>
  <si>
    <t>Andy Cohn</t>
  </si>
  <si>
    <t>Murderball </t>
  </si>
  <si>
    <t>paralympics|quad rugby|rugby|team|wheelchair</t>
  </si>
  <si>
    <t>http://www.imdb.com/title/tt0436613/?ref_=fn_tt_tt_1</t>
  </si>
  <si>
    <t>Sam Firstenberg</t>
  </si>
  <si>
    <t>Larry Poindexter</t>
  </si>
  <si>
    <t>American Ninja 2: The Confrontation </t>
  </si>
  <si>
    <t>blood splatter|island|motorboat|ninja|sequel to cult film</t>
  </si>
  <si>
    <t>http://www.imdb.com/title/tt0092548/?ref_=fn_tt_tt_1</t>
  </si>
  <si>
    <t>Doug Block</t>
  </si>
  <si>
    <t>Carol Block</t>
  </si>
  <si>
    <t>Ellen Block</t>
  </si>
  <si>
    <t>Mike Block</t>
  </si>
  <si>
    <t>51 Birch Street 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</si>
  <si>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</si>
  <si>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</si>
  <si>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</si>
  <si>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</si>
  <si>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</si>
  <si>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</si>
  <si>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</si>
  <si>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Tom E. Nicholson</t>
  </si>
  <si>
    <t>Natalie Welch</t>
  </si>
  <si>
    <t>Christian Kapper</t>
  </si>
  <si>
    <t>Rotor DR1 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</si>
  <si>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</si>
  <si>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</si>
  <si>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</si>
  <si>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</si>
  <si>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</si>
  <si>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</si>
  <si>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</si>
  <si>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</si>
  <si>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</si>
  <si>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</si>
  <si>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</si>
  <si>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Walter Connolly</t>
  </si>
  <si>
    <t>It Happened One Night </t>
  </si>
  <si>
    <t>bus|detective|love|money|reporter</t>
  </si>
  <si>
    <t>http://www.imdb.com/title/tt0025316/?ref_=fn_tt_tt_1</t>
  </si>
  <si>
    <t>Yorgos Lanthimos</t>
  </si>
  <si>
    <t>Angeliki Papoulia</t>
  </si>
  <si>
    <t>Mary Tsoni</t>
  </si>
  <si>
    <t>Sissy Petropoulou</t>
  </si>
  <si>
    <t>Dogtooth 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</si>
  <si>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</si>
  <si>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</si>
  <si>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</si>
  <si>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</si>
  <si>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</si>
  <si>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</si>
  <si>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Tupac: Resurrection 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</si>
  <si>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</si>
  <si>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</si>
  <si>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</si>
  <si>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</si>
  <si>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</si>
  <si>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</si>
  <si>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</si>
  <si>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</si>
  <si>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</si>
  <si>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</si>
  <si>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</si>
  <si>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Jane Bradbury</t>
  </si>
  <si>
    <t>When the Cat's Away 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</si>
  <si>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</si>
  <si>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</si>
  <si>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</si>
  <si>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</si>
  <si>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</si>
  <si>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</si>
  <si>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Kevin Howarth</t>
  </si>
  <si>
    <t>Mark Caven</t>
  </si>
  <si>
    <t>Thierry Harcourt</t>
  </si>
  <si>
    <t>The Big Swap </t>
  </si>
  <si>
    <t>breasts|female frontal nudity|jealousy|male full frontal nudity|male nudity</t>
  </si>
  <si>
    <t>http://www.imdb.com/title/tt0118717/?ref_=fn_tt_tt_1</t>
  </si>
  <si>
    <t>Daniel London</t>
  </si>
  <si>
    <t>Lucy</t>
  </si>
  <si>
    <t>Will Oldham</t>
  </si>
  <si>
    <t>Old Joy 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</si>
  <si>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</si>
  <si>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</si>
  <si>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</si>
  <si>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</si>
  <si>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</si>
  <si>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</si>
  <si>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</si>
  <si>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</si>
  <si>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</si>
  <si>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</si>
  <si>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</si>
  <si>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Graziella Galvani</t>
  </si>
  <si>
    <t>Pierrot le Fou </t>
  </si>
  <si>
    <t>beach|money|on the run|party|smuggling</t>
  </si>
  <si>
    <t>http://www.imdb.com/title/tt0059592/?ref_=fn_tt_tt_1</t>
  </si>
  <si>
    <t>Florence Ayisi</t>
  </si>
  <si>
    <t>Vera Ngassa</t>
  </si>
  <si>
    <t>Beatrice Ntuba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</si>
  <si>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</si>
  <si>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</si>
  <si>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</si>
  <si>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</si>
  <si>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</si>
  <si>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</si>
  <si>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</si>
  <si>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Ivan Dixon</t>
  </si>
  <si>
    <t>Nothing But a Man 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</si>
  <si>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</si>
  <si>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</si>
  <si>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</si>
  <si>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</si>
  <si>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</si>
  <si>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</si>
  <si>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</si>
  <si>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</si>
  <si>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</si>
  <si>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Fighting Tommy Riley </t>
  </si>
  <si>
    <t>older man younger man relationship|punching bag|school teacher|undressing|unrequited love</t>
  </si>
  <si>
    <t>http://www.imdb.com/title/tt0366444/?ref_=fn_tt_tt_1</t>
  </si>
  <si>
    <t>Babar Ahmed</t>
  </si>
  <si>
    <t>Lalaine</t>
  </si>
  <si>
    <t>Alexander Wraith</t>
  </si>
  <si>
    <t>Darren Kendrick</t>
  </si>
  <si>
    <t>Royal Kill </t>
  </si>
  <si>
    <t>assassin|female assassin|kingdom|martial arts|mission</t>
  </si>
  <si>
    <t>http://www.imdb.com/title/tt0421237/?ref_=fn_tt_tt_1</t>
  </si>
  <si>
    <t>John D. Hancock</t>
  </si>
  <si>
    <t>Trish Basinger</t>
  </si>
  <si>
    <t>Elizabeth Stenholt</t>
  </si>
  <si>
    <t>Mary Norwood</t>
  </si>
  <si>
    <t>The Looking Glass 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</si>
  <si>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</si>
  <si>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</si>
  <si>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</si>
  <si>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</si>
  <si>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</si>
  <si>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</si>
  <si>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</si>
  <si>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</si>
  <si>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</si>
  <si>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</si>
  <si>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</si>
  <si>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Michael Des Barres</t>
  </si>
  <si>
    <t>Wilhelm von Homburg</t>
  </si>
  <si>
    <t>Thom Mathews</t>
  </si>
  <si>
    <t>Midnight Cabaret 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</si>
  <si>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</si>
  <si>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</si>
  <si>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</si>
  <si>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</si>
  <si>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</si>
  <si>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Anderson's Cross </t>
  </si>
  <si>
    <t>divorce|marriage|mother daughter relationship|sex|teenage boy</t>
  </si>
  <si>
    <t>http://www.imdb.com/title/tt0393049/?ref_=fn_tt_tt_1</t>
  </si>
  <si>
    <t>Étienne Faure</t>
  </si>
  <si>
    <t>Rumi Missabu</t>
  </si>
  <si>
    <t>Pierre Prieur</t>
  </si>
  <si>
    <t>Raquel Nave</t>
  </si>
  <si>
    <t>Bizarre 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</si>
  <si>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</si>
  <si>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</si>
  <si>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</si>
  <si>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</si>
  <si>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Graduation Day 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</si>
  <si>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</si>
  <si>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</si>
  <si>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</si>
  <si>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</si>
  <si>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</si>
  <si>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Some Guy Who Kills People </t>
  </si>
  <si>
    <t>http://www.imdb.com/title/tt1568341/?ref_=fn_tt_tt_1</t>
  </si>
  <si>
    <t>Craig Zobel</t>
  </si>
  <si>
    <t>James McCaffrey</t>
  </si>
  <si>
    <t>Compliance 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</si>
  <si>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</si>
  <si>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</si>
  <si>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</si>
  <si>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</si>
  <si>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</si>
  <si>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Raven Goodwin</t>
  </si>
  <si>
    <t>Lovely &amp; Amazing 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</si>
  <si>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</si>
  <si>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</si>
  <si>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</si>
  <si>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</si>
  <si>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</si>
  <si>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Roggé</t>
  </si>
  <si>
    <t>Death Calls </t>
  </si>
  <si>
    <t>murder|oppression|rebirth|reincarnation|revenge</t>
  </si>
  <si>
    <t>http://www.imdb.com/title/tt1328873/?ref_=fn_tt_tt_1</t>
  </si>
  <si>
    <t>Parry Shen</t>
  </si>
  <si>
    <t>Jason Tobin</t>
  </si>
  <si>
    <t>Collin Kahey</t>
  </si>
  <si>
    <t>Better Luck Tomorrow </t>
  </si>
  <si>
    <t>asian american|high school|overachiever|pubic hair|vomiting</t>
  </si>
  <si>
    <t>http://www.imdb.com/title/tt0280477/?ref_=fn_tt_tt_1</t>
  </si>
  <si>
    <t>Maria Maggenti</t>
  </si>
  <si>
    <t>Stephanie Berry</t>
  </si>
  <si>
    <t>The Incredibly True Adventure of Two Girls in Love 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</si>
  <si>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</si>
  <si>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</si>
  <si>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</si>
  <si>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</si>
  <si>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</si>
  <si>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</si>
  <si>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Purva Bedi</t>
  </si>
  <si>
    <t>Rizwan Manji</t>
  </si>
  <si>
    <t>Anil Kumar</t>
  </si>
  <si>
    <t>American Desi </t>
  </si>
  <si>
    <t>college|desi|heritage|india|indian american</t>
  </si>
  <si>
    <t>http://www.imdb.com/title/tt0203289/?ref_=fn_tt_tt_1</t>
  </si>
  <si>
    <t>Daniel Columbie</t>
  </si>
  <si>
    <t>Keri Maletto</t>
  </si>
  <si>
    <t>Nicholas Simmons</t>
  </si>
  <si>
    <t>Barbie Castro</t>
  </si>
  <si>
    <t>Amidst the Devil's Wings 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</si>
  <si>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</si>
  <si>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</si>
  <si>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</si>
  <si>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</si>
  <si>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</si>
  <si>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Matt Day</t>
  </si>
  <si>
    <t>Love and Other Catastrophes </t>
  </si>
  <si>
    <t>film school|love|medical student|student|university</t>
  </si>
  <si>
    <t>http://www.imdb.com/title/tt0116931/?ref_=fn_tt_tt_1</t>
  </si>
  <si>
    <t>Bill Plympton</t>
  </si>
  <si>
    <t>Animation|Comedy|Drama|Fantasy|Sci-Fi</t>
  </si>
  <si>
    <t>Charis Michelsen</t>
  </si>
  <si>
    <t>Bill Martone</t>
  </si>
  <si>
    <t>Richard Spore</t>
  </si>
  <si>
    <t>I Married a Strange Person! 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</si>
  <si>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</si>
  <si>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</si>
  <si>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</si>
  <si>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</si>
  <si>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</si>
  <si>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</si>
  <si>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</si>
  <si>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</si>
  <si>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</si>
  <si>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Like Crazy 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</si>
  <si>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</si>
  <si>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</si>
  <si>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</si>
  <si>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</si>
  <si>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</si>
  <si>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Teeth and Blood 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</si>
  <si>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</si>
  <si>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</si>
  <si>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</si>
  <si>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</si>
  <si>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</si>
  <si>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</si>
  <si>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Samantha Futerman</t>
  </si>
  <si>
    <t>Clint Jordan</t>
  </si>
  <si>
    <t>Jackie Nova</t>
  </si>
  <si>
    <t>The Motel </t>
  </si>
  <si>
    <t>absent father|asian american|friendship between men|motel|mother son relationship</t>
  </si>
  <si>
    <t>http://www.imdb.com/title/tt0436607/?ref_=fn_tt_tt_1</t>
  </si>
  <si>
    <t>James Deen</t>
  </si>
  <si>
    <t>The Canyons </t>
  </si>
  <si>
    <t>cocaine|homosexual|penis|psychopath|pubic hair</t>
  </si>
  <si>
    <t>http://www.imdb.com/title/tt2292959/?ref_=fn_tt_tt_1</t>
  </si>
  <si>
    <t>James Norton</t>
  </si>
  <si>
    <t>Sarah Lancashire</t>
  </si>
  <si>
    <t>Happy Valley 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</si>
  <si>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</si>
  <si>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</si>
  <si>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</si>
  <si>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</si>
  <si>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Colón</t>
  </si>
  <si>
    <t>On the Outs </t>
  </si>
  <si>
    <t>dominican|drug dealer|prison|single mother|teenage pregnancy</t>
  </si>
  <si>
    <t>http://www.imdb.com/title/tt0389235/?ref_=fn_tt_tt_1</t>
  </si>
  <si>
    <t>Michael Abbott Jr.</t>
  </si>
  <si>
    <t>Natalie Canerday</t>
  </si>
  <si>
    <t>Travis Smith</t>
  </si>
  <si>
    <t>Shotgun Stories 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</si>
  <si>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</si>
  <si>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</si>
  <si>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</si>
  <si>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</si>
  <si>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Exam 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</si>
  <si>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</si>
  <si>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</si>
  <si>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</si>
  <si>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</si>
  <si>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</si>
  <si>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The Sticky Fingers of Time 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</si>
  <si>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</si>
  <si>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</si>
  <si>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</si>
  <si>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</si>
  <si>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</si>
  <si>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Sunday School Musical </t>
  </si>
  <si>
    <t>church|competition|high school|new school|pastor</t>
  </si>
  <si>
    <t>http://www.imdb.com/title/tt1270792/?ref_=fn_tt_tt_1</t>
  </si>
  <si>
    <t>Lorne Cardinal</t>
  </si>
  <si>
    <t>Kirsten Collins</t>
  </si>
  <si>
    <t>Rust </t>
  </si>
  <si>
    <t>http://www.imdb.com/title/tt1360826/?ref_=fn_tt_tt_1</t>
  </si>
  <si>
    <t>Jamin Winans</t>
  </si>
  <si>
    <t>Action|Drama|Fantasy|Sci-Fi</t>
  </si>
  <si>
    <t>Eme Ikwuakor</t>
  </si>
  <si>
    <t>Marty Lindsey</t>
  </si>
  <si>
    <t>Jessica Duffy</t>
  </si>
  <si>
    <t>Ink </t>
  </si>
  <si>
    <t>dream|self destructiveness|storyteller|time paradox|workaholic</t>
  </si>
  <si>
    <t>http://www.imdb.com/title/tt1071804/?ref_=fn_tt_tt_1</t>
  </si>
  <si>
    <t>Tom Seidman</t>
  </si>
  <si>
    <t>Florence Henderson</t>
  </si>
  <si>
    <t>Derek Brandon</t>
  </si>
  <si>
    <t>Charles Irving Beale</t>
  </si>
  <si>
    <t>The Christmas Bunny </t>
  </si>
  <si>
    <t>animal in title|christmas|farm|michigan|rabbit</t>
  </si>
  <si>
    <t>http://www.imdb.com/title/tt1640714/?ref_=fn_tt_tt_1</t>
  </si>
  <si>
    <t>Jason Naumann</t>
  </si>
  <si>
    <t>Comedy|Short</t>
  </si>
  <si>
    <t>Victoria Jackson</t>
  </si>
  <si>
    <t>Kate Flannery</t>
  </si>
  <si>
    <t>Tim Bagley</t>
  </si>
  <si>
    <t>Jesus People </t>
  </si>
  <si>
    <t>mockumentary|single camera|subtle comedy</t>
  </si>
  <si>
    <t>http://www.imdb.com/title/tt1003002/?ref_=fn_tt_tt_1</t>
  </si>
  <si>
    <t>Matt Cimber</t>
  </si>
  <si>
    <t>Stuart Whitman</t>
  </si>
  <si>
    <t>Butterfly </t>
  </si>
  <si>
    <t>breasts|female frontal nudity|female rear nudity|incest|voyeur</t>
  </si>
  <si>
    <t>http://www.imdb.com/title/tt0082122/?ref_=fn_tt_tt_1</t>
  </si>
  <si>
    <t>Sam Martin</t>
  </si>
  <si>
    <t>Sam Adams</t>
  </si>
  <si>
    <t>Steve Duin</t>
  </si>
  <si>
    <t>Jeff Jacob</t>
  </si>
  <si>
    <t>UnDivided </t>
  </si>
  <si>
    <t>http://www.imdb.com/title/tt3564748/?ref_=fn_tt_tt_1</t>
  </si>
  <si>
    <t>Andrew Hyatt</t>
  </si>
  <si>
    <t>Brit Morgan</t>
  </si>
  <si>
    <t>Sedona James</t>
  </si>
  <si>
    <t>The Frozen </t>
  </si>
  <si>
    <t>http://www.imdb.com/title/tt2363439/?ref_=fn_tt_tt_1</t>
  </si>
  <si>
    <t>Joshua Ray Bell</t>
  </si>
  <si>
    <t>Dana Blackstone</t>
  </si>
  <si>
    <t>Annelyse Ahmad</t>
  </si>
  <si>
    <t>Horse Camp 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</si>
  <si>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</si>
  <si>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</si>
  <si>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</si>
  <si>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</si>
  <si>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</si>
  <si>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John Gilbert</t>
  </si>
  <si>
    <t>Renée Adorée</t>
  </si>
  <si>
    <t>Claire Adams</t>
  </si>
  <si>
    <t>The Big Parade 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</si>
  <si>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</si>
  <si>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</si>
  <si>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</si>
  <si>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</si>
  <si>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</si>
  <si>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Little Big Top </t>
  </si>
  <si>
    <t>amateur|circus|clown|unconsciousness|urination</t>
  </si>
  <si>
    <t>http://www.imdb.com/title/tt0469690/?ref_=fn_tt_tt_1</t>
  </si>
  <si>
    <t>Zoran Lisinac</t>
  </si>
  <si>
    <t>Matthew Emerick</t>
  </si>
  <si>
    <t>Brock Baker</t>
  </si>
  <si>
    <t>Sheldon Bailey</t>
  </si>
  <si>
    <t>Along the Roadside </t>
  </si>
  <si>
    <t>http://www.imdb.com/title/tt2290113/?ref_=fn_tt_tt_1</t>
  </si>
  <si>
    <t>James Lance</t>
  </si>
  <si>
    <t>Matt King</t>
  </si>
  <si>
    <t>Bronson </t>
  </si>
  <si>
    <t>male full frontal nudity|prison|prisoner|solitary confinement|violence</t>
  </si>
  <si>
    <t>http://www.imdb.com/title/tt1172570/?ref_=fn_tt_tt_1</t>
  </si>
  <si>
    <t>James O'Brien</t>
  </si>
  <si>
    <t>Adventure|Drama|Fantasy|Thriller|Western</t>
  </si>
  <si>
    <t>Mark Fantasia</t>
  </si>
  <si>
    <t>Vivian Lamolli</t>
  </si>
  <si>
    <t>Greg Jackson</t>
  </si>
  <si>
    <t>Western Religion </t>
  </si>
  <si>
    <t>arizona|gambling|gunfighter|poker game|year 1879</t>
  </si>
  <si>
    <t>http://www.imdb.com/title/tt3210710/?ref_=fn_tt_tt_1</t>
  </si>
  <si>
    <t>Tom Putnam</t>
  </si>
  <si>
    <t>Brendan Doogie Milewski</t>
  </si>
  <si>
    <t>Donald Austin</t>
  </si>
  <si>
    <t>Craig Dougherty</t>
  </si>
  <si>
    <t>Burn </t>
  </si>
  <si>
    <t>abandoned building|detroit michigan|firefighter|michigan|urban setting</t>
  </si>
  <si>
    <t>http://www.imdb.com/title/tt1781784/?ref_=fn_tt_tt_1</t>
  </si>
  <si>
    <t>Jon Shear</t>
  </si>
  <si>
    <t>Matt Keeslar</t>
  </si>
  <si>
    <t>Urbania </t>
  </si>
  <si>
    <t>hot dog bun|needle|new york|rat|tourist</t>
  </si>
  <si>
    <t>http://www.imdb.com/title/tt0182508/?ref_=fn_tt_tt_1</t>
  </si>
  <si>
    <t>Al Silliman Jr.</t>
  </si>
  <si>
    <t>Christina Hart</t>
  </si>
  <si>
    <t>Nancy Ison</t>
  </si>
  <si>
    <t>William Condos</t>
  </si>
  <si>
    <t>The Stewardesses </t>
  </si>
  <si>
    <t>female frontal nudity|female nudity|lesbian sex|lesbianism|sex</t>
  </si>
  <si>
    <t>http://www.imdb.com/title/tt0168192/?ref_=fn_tt_tt_1</t>
  </si>
  <si>
    <t>Eugène Lourié</t>
  </si>
  <si>
    <t>Adventure|Horror|Sci-Fi</t>
  </si>
  <si>
    <t>Kenneth Tobey</t>
  </si>
  <si>
    <t>Cecil Kellaway</t>
  </si>
  <si>
    <t>Ross Elliott</t>
  </si>
  <si>
    <t>The Beast from 20,000 Fathoms </t>
  </si>
  <si>
    <t>arctic|beast|dinosaur|monster|rhedosaurus</t>
  </si>
  <si>
    <t>http://www.imdb.com/title/tt0045546/?ref_=fn_tt_tt_1</t>
  </si>
  <si>
    <t>Hugh Keays-Byrne</t>
  </si>
  <si>
    <t>Joanne Samuel</t>
  </si>
  <si>
    <t>Mad Max </t>
  </si>
  <si>
    <t>biker|motorcycle|motorcycle gang|post apocalypse|woman wearing only a man's shirt</t>
  </si>
  <si>
    <t>http://www.imdb.com/title/tt0079501/?ref_=fn_tt_tt_1</t>
  </si>
  <si>
    <t>Alex Désert</t>
  </si>
  <si>
    <t>Blake Lindsley</t>
  </si>
  <si>
    <t>Swingers </t>
  </si>
  <si>
    <t>actor|black panties|cult film|friend|upskirt</t>
  </si>
  <si>
    <t>http://www.imdb.com/title/tt0117802/?ref_=fn_tt_tt_1</t>
  </si>
  <si>
    <t>Gian Maria Volontè</t>
  </si>
  <si>
    <t>Aldo Sambrell</t>
  </si>
  <si>
    <t>A Fistful of Dollars </t>
  </si>
  <si>
    <t>balladeer|bar|drifter|mexican|revenge</t>
  </si>
  <si>
    <t>http://www.imdb.com/title/tt0058461/?ref_=fn_tt_tt_1</t>
  </si>
  <si>
    <t>Lowell Sherman</t>
  </si>
  <si>
    <t>Comedy|Drama|History|Musical|Romance</t>
  </si>
  <si>
    <t>Mae West</t>
  </si>
  <si>
    <t>Gilbert Roland</t>
  </si>
  <si>
    <t>Louise Beavers</t>
  </si>
  <si>
    <t>She Done Him Wrong </t>
  </si>
  <si>
    <t>captain|marriage proposal|saloon|saloon singer|singer</t>
  </si>
  <si>
    <t>http://www.imdb.com/title/tt0024548/?ref_=fn_tt_tt_1</t>
  </si>
  <si>
    <t>Maurizio Benazzo</t>
  </si>
  <si>
    <t>The Dalai Lama</t>
  </si>
  <si>
    <t>Jasper Johal</t>
  </si>
  <si>
    <t>Swami Krishnanad</t>
  </si>
  <si>
    <t>Short Cut to Nirvana: Kumbh Mela </t>
  </si>
  <si>
    <t>http://www.imdb.com/title/tt0420723/?ref_=fn_tt_tt_1</t>
  </si>
  <si>
    <t>David G. Evans</t>
  </si>
  <si>
    <t>Michael Joiner</t>
  </si>
  <si>
    <t>Chris Thomas</t>
  </si>
  <si>
    <t>Michael Higgenbottom</t>
  </si>
  <si>
    <t>The Grace Card </t>
  </si>
  <si>
    <t>christian film|forgiveness|hospital|pastor|police</t>
  </si>
  <si>
    <t>http://www.imdb.com/title/tt1544600/?ref_=fn_tt_tt_1</t>
  </si>
  <si>
    <t>Lorraine Toussaint</t>
  </si>
  <si>
    <t>Middle of Nowhere </t>
  </si>
  <si>
    <t>http://www.imdb.com/title/tt1211890/?ref_=fn_tt_tt_1</t>
  </si>
  <si>
    <t>Devid Striesow</t>
  </si>
  <si>
    <t>Sebastian Schipper</t>
  </si>
  <si>
    <t>Sophie Rois</t>
  </si>
  <si>
    <t>3 </t>
  </si>
  <si>
    <t>female nudity|full frontal female nudity|male frontal nudity|menage a trois|pubic hair</t>
  </si>
  <si>
    <t>http://www.imdb.com/title/tt1517177/?ref_=fn_tt_tt_1</t>
  </si>
  <si>
    <t>Sherman Alexie</t>
  </si>
  <si>
    <t>William Joseph Elk III</t>
  </si>
  <si>
    <t>Leo Rossi</t>
  </si>
  <si>
    <t>Cynthia Geary</t>
  </si>
  <si>
    <t>The Business of Fancydancing </t>
  </si>
  <si>
    <t>funeral|gay|native american protagonist|poet|reservation</t>
  </si>
  <si>
    <t>http://www.imdb.com/title/tt0303313/?ref_=fn_tt_tt_1</t>
  </si>
  <si>
    <t>Justin Dillon</t>
  </si>
  <si>
    <t>Matisyahu</t>
  </si>
  <si>
    <t>Natasha Bedingfield</t>
  </si>
  <si>
    <t>Madeleine Albright</t>
  </si>
  <si>
    <t>Call + Response </t>
  </si>
  <si>
    <t>fair trade|human trafficking|non profit|rockumentary|slavery</t>
  </si>
  <si>
    <t>http://www.imdb.com/title/tt1301130/?ref_=fn_tt_tt_1</t>
  </si>
  <si>
    <t>Stevan Mena</t>
  </si>
  <si>
    <t>Richard Glover</t>
  </si>
  <si>
    <t>Malevolence </t>
  </si>
  <si>
    <t>abandoned house|bank|robber|swing|witness</t>
  </si>
  <si>
    <t>http://www.imdb.com/title/tt0388230/?ref_=fn_tt_tt_1</t>
  </si>
  <si>
    <t>Marri Savinar</t>
  </si>
  <si>
    <t>Bethany Blakey</t>
  </si>
  <si>
    <t>Shooting the Warwicks </t>
  </si>
  <si>
    <t>family relationships|husband wife relationship|nudity|reality|reality spoof</t>
  </si>
  <si>
    <t>http://www.imdb.com/title/tt2690560/?ref_=fn_tt_tt_1</t>
  </si>
  <si>
    <t>Melanie Papalia</t>
  </si>
  <si>
    <t>Ryan Kennedy</t>
  </si>
  <si>
    <t>John Reardon</t>
  </si>
  <si>
    <t>Super Hybrid </t>
  </si>
  <si>
    <t>based on comic book|blue bra and panties|female protagonist|girl in bra and panties|killer car</t>
  </si>
  <si>
    <t>http://www.imdb.com/title/tt1152827/?ref_=fn_tt_tt_1</t>
  </si>
  <si>
    <t>Elise Muller</t>
  </si>
  <si>
    <t>Baghead </t>
  </si>
  <si>
    <t>actor|cabin|california|paper bag|vomiting</t>
  </si>
  <si>
    <t>http://www.imdb.com/title/tt0923600/?ref_=fn_tt_tt_1</t>
  </si>
  <si>
    <t>Livingston Oden</t>
  </si>
  <si>
    <t>Comedy|Horror|Mystery|Thriller</t>
  </si>
  <si>
    <t>Susan Chambers</t>
  </si>
  <si>
    <t>Victoria Lachelle</t>
  </si>
  <si>
    <t>Ali Daniels</t>
  </si>
  <si>
    <t>Solitude </t>
  </si>
  <si>
    <t>http://www.imdb.com/title/tt3565836/?ref_=fn_tt_tt_1</t>
  </si>
  <si>
    <t>Chris Marker</t>
  </si>
  <si>
    <t>Marina Vlady</t>
  </si>
  <si>
    <t>Bertrand Cantat</t>
  </si>
  <si>
    <t>Léon Schwartzenberg</t>
  </si>
  <si>
    <t>The Case of the Grinning Cat </t>
  </si>
  <si>
    <t>http://www.imdb.com/title/tt0437123/?ref_=fn_tt_tt_1</t>
  </si>
  <si>
    <t>Carl Theodor Dreyer</t>
  </si>
  <si>
    <t>Hanne Aagesen</t>
  </si>
  <si>
    <t>Sylvia Eckhausen</t>
  </si>
  <si>
    <t>Ejner Federspiel</t>
  </si>
  <si>
    <t>Ordet 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</si>
  <si>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</si>
  <si>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</si>
  <si>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</si>
  <si>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</si>
  <si>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</si>
  <si>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</si>
  <si>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David Lee Smith</t>
  </si>
  <si>
    <t>The Man from Earth </t>
  </si>
  <si>
    <t>cro magnon|dialogue driven storyline|single set production|single setting|storytelling</t>
  </si>
  <si>
    <t>http://www.imdb.com/title/tt0756683/?ref_=fn_tt_tt_1</t>
  </si>
  <si>
    <t>Ricki Stern</t>
  </si>
  <si>
    <t>Darryl Hunt</t>
  </si>
  <si>
    <t>Evelyn Jefferson</t>
  </si>
  <si>
    <t>John Reeves</t>
  </si>
  <si>
    <t>The Trials of Darryl Hunt 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</si>
  <si>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</si>
  <si>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</si>
  <si>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</si>
  <si>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</si>
  <si>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</si>
  <si>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An American Girl Holiday </t>
  </si>
  <si>
    <t>courtship|friend|girl|servant|sister</t>
  </si>
  <si>
    <t>http://www.imdb.com/title/tt0412366/?ref_=fn_tt_tt_1</t>
  </si>
  <si>
    <t>James Kerwin</t>
  </si>
  <si>
    <t>Drama|Music|Mystery|Romance|Sci-Fi</t>
  </si>
  <si>
    <t>John Newton</t>
  </si>
  <si>
    <t>Chase Masterson</t>
  </si>
  <si>
    <t>H.M. Wynant</t>
  </si>
  <si>
    <t>Yesterday Was a Lie </t>
  </si>
  <si>
    <t>claim in title|jazz|jazz singer|sexy woman|time manipulation</t>
  </si>
  <si>
    <t>http://www.imdb.com/title/tt0448182/?ref_=fn_tt_tt_1</t>
  </si>
  <si>
    <t>C. Fraser Press</t>
  </si>
  <si>
    <t>Elaine Bromka</t>
  </si>
  <si>
    <t>Robert Turano</t>
  </si>
  <si>
    <t>Matthew Gumley</t>
  </si>
  <si>
    <t>Theresa Is a Mother </t>
  </si>
  <si>
    <t>http://www.imdb.com/title/tt1989646/?ref_=fn_tt_tt_1</t>
  </si>
  <si>
    <t>Rania Attieh</t>
  </si>
  <si>
    <t>Paul Hickert</t>
  </si>
  <si>
    <t>Robin Bartlett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</si>
  <si>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</si>
  <si>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</si>
  <si>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</si>
  <si>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</si>
  <si>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</si>
  <si>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</si>
  <si>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</si>
  <si>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Bahare Seddiqi</t>
  </si>
  <si>
    <t>Amir Farrokh Hashemian</t>
  </si>
  <si>
    <t>Mohammad Amir Naji</t>
  </si>
  <si>
    <t>Children of Heaven 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</si>
  <si>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</si>
  <si>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</si>
  <si>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</si>
  <si>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</si>
  <si>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</si>
  <si>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Weekend </t>
  </si>
  <si>
    <t>coming out|fellatio|male in bathtub|male nudity|nudity</t>
  </si>
  <si>
    <t>http://www.imdb.com/title/tt1714210/?ref_=fn_tt_tt_1</t>
  </si>
  <si>
    <t>Joie Lee</t>
  </si>
  <si>
    <t>Tracy Camilla Johns</t>
  </si>
  <si>
    <t>She's Gotta Have It </t>
  </si>
  <si>
    <t>female nudity|male model|nudity|rite of passage|sex</t>
  </si>
  <si>
    <t>http://www.imdb.com/title/tt0091939/?ref_=fn_tt_tt_1</t>
  </si>
  <si>
    <t>Cary Bell</t>
  </si>
  <si>
    <t>Abigail Evans</t>
  </si>
  <si>
    <t>Stacie Evans</t>
  </si>
  <si>
    <t>Emily Gorell</t>
  </si>
  <si>
    <t>Butterfly Girl </t>
  </si>
  <si>
    <t>http://www.imdb.com/title/tt2421956/?ref_=fn_tt_tt_1</t>
  </si>
  <si>
    <t>Nicolae Constantin Tanase</t>
  </si>
  <si>
    <t>Iulia Ciochina</t>
  </si>
  <si>
    <t>Ana Maria Guran</t>
  </si>
  <si>
    <t>Ana Vatamanu</t>
  </si>
  <si>
    <t>The World Is Mine </t>
  </si>
  <si>
    <t>http://www.imdb.com/title/tt4707756/?ref_=fn_tt_tt_1</t>
  </si>
  <si>
    <t>Robin Lord Taylor</t>
  </si>
  <si>
    <t>Flint Beverage</t>
  </si>
  <si>
    <t>Another Earth 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</si>
  <si>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</si>
  <si>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</si>
  <si>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</si>
  <si>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</si>
  <si>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</si>
  <si>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</si>
  <si>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</si>
  <si>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Charla Cochran</t>
  </si>
  <si>
    <t>Joe Lev</t>
  </si>
  <si>
    <t>Sienna Beckman</t>
  </si>
  <si>
    <t>Perfect Cowboy 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</si>
  <si>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</si>
  <si>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</si>
  <si>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</si>
  <si>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</si>
  <si>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</si>
  <si>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Glen Hansard</t>
  </si>
  <si>
    <t>Markéta Irglová</t>
  </si>
  <si>
    <t>Darren Healy</t>
  </si>
  <si>
    <t>Once </t>
  </si>
  <si>
    <t>immigrant|independent film|song|street|vacuum cleaner</t>
  </si>
  <si>
    <t>http://www.imdb.com/title/tt0907657/?ref_=fn_tt_tt_1</t>
  </si>
  <si>
    <t>Robinson Devor</t>
  </si>
  <si>
    <t>Marilyn Rising</t>
  </si>
  <si>
    <t>Eugene Roche</t>
  </si>
  <si>
    <t>Max Kerstein</t>
  </si>
  <si>
    <t>The Woman Chaser </t>
  </si>
  <si>
    <t>car salesman|filmmaking|pulp fiction|santa claus suit|truck driver</t>
  </si>
  <si>
    <t>http://www.imdb.com/title/tt0217894/?ref_=fn_tt_tt_1</t>
  </si>
  <si>
    <t>Michel Orion Scott</t>
  </si>
  <si>
    <t>Temple Grandin</t>
  </si>
  <si>
    <t>Rowan Isaacson</t>
  </si>
  <si>
    <t>Simon Baron-Cohen</t>
  </si>
  <si>
    <t>The Horse Boy </t>
  </si>
  <si>
    <t>horse|journey|mongolia|shaman|travel</t>
  </si>
  <si>
    <t>http://www.imdb.com/title/tt1333668/?ref_=fn_tt_tt_1</t>
  </si>
  <si>
    <t>Pat Holden</t>
  </si>
  <si>
    <t>Alan Brent</t>
  </si>
  <si>
    <t>Martin Compston</t>
  </si>
  <si>
    <t>Kate Ashfield</t>
  </si>
  <si>
    <t>When the Lights Went Out </t>
  </si>
  <si>
    <t>father daughter relationship|poltergeist|spirit|stairway|urination</t>
  </si>
  <si>
    <t>http://www.imdb.com/title/tt1743993/?ref_=fn_tt_tt_1</t>
  </si>
  <si>
    <t>Eric Bugbee</t>
  </si>
  <si>
    <t>Joel Moody</t>
  </si>
  <si>
    <t>Bill Allen</t>
  </si>
  <si>
    <t>Lia Tucker</t>
  </si>
  <si>
    <t>Heroes of Dirt </t>
  </si>
  <si>
    <t>bike|bmx|drugs|troubled teen|youth</t>
  </si>
  <si>
    <t>http://www.imdb.com/title/tt1934172/?ref_=fn_tt_tt_1</t>
  </si>
  <si>
    <t>Peter Robbins</t>
  </si>
  <si>
    <t>Christopher Shea</t>
  </si>
  <si>
    <t>A Charlie Brown Christmas </t>
  </si>
  <si>
    <t>christmas|christmas tree|commercialism|meaning of christmas|tree</t>
  </si>
  <si>
    <t>http://www.imdb.com/title/tt0059026/?ref_=fn_tt_tt_1</t>
  </si>
  <si>
    <t>Dena Seidel</t>
  </si>
  <si>
    <t>Adventure|Documentary</t>
  </si>
  <si>
    <t>Naderev Sano</t>
  </si>
  <si>
    <t>Hugh Ducklow</t>
  </si>
  <si>
    <t>Mike Brett</t>
  </si>
  <si>
    <t>Antarctic Edge: 70° South </t>
  </si>
  <si>
    <t>http://www.imdb.com/title/tt2780714/?ref_=fn_tt_tt_1</t>
  </si>
  <si>
    <t>Deborah Anderson</t>
  </si>
  <si>
    <t>Lisa Ann</t>
  </si>
  <si>
    <t>Jesse Jane</t>
  </si>
  <si>
    <t>Kayden Kross</t>
  </si>
  <si>
    <t>Aroused </t>
  </si>
  <si>
    <t>aroused|photography|pornography documentary|pornstar</t>
  </si>
  <si>
    <t>http://www.imdb.com/title/tt2403815/?ref_=fn_tt_tt_1</t>
  </si>
  <si>
    <t>Sara Newens</t>
  </si>
  <si>
    <t>Ariel Hsing</t>
  </si>
  <si>
    <t>Xinhua Jiang</t>
  </si>
  <si>
    <t>Michael Landers</t>
  </si>
  <si>
    <t>Top Spin </t>
  </si>
  <si>
    <t>http://www.imdb.com/title/tt4219836/?ref_=fn_tt_tt_1</t>
  </si>
  <si>
    <t>Pat Boone</t>
  </si>
  <si>
    <t>Bob Eubanks</t>
  </si>
  <si>
    <t>Roger &amp; Me </t>
  </si>
  <si>
    <t>factory|flint michigan|general motors|michigan|quest</t>
  </si>
  <si>
    <t>http://www.imdb.com/title/tt0098213/?ref_=fn_tt_tt_1</t>
  </si>
  <si>
    <t>Sai Varadan</t>
  </si>
  <si>
    <t>J.D. Williams</t>
  </si>
  <si>
    <t>Hassan Johnson</t>
  </si>
  <si>
    <t>Samantha Esteban</t>
  </si>
  <si>
    <t>An American in Hollywood </t>
  </si>
  <si>
    <t>place name in title</t>
  </si>
  <si>
    <t>http://www.imdb.com/title/tt2125430/?ref_=fn_tt_tt_1</t>
  </si>
  <si>
    <t>Constance Wu</t>
  </si>
  <si>
    <t>Sound of My Voice 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</si>
  <si>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</si>
  <si>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</si>
  <si>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</si>
  <si>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</si>
  <si>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</si>
  <si>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</si>
  <si>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</si>
  <si>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</si>
  <si>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</si>
  <si>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</si>
  <si>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</si>
  <si>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</si>
  <si>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</si>
  <si>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</si>
  <si>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</si>
  <si>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Your Sister's Sister 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</si>
  <si>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</si>
  <si>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</si>
  <si>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</si>
  <si>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</si>
  <si>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</si>
  <si>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</si>
  <si>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</si>
  <si>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</si>
  <si>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</si>
  <si>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Philippe Leroy</t>
  </si>
  <si>
    <t>Macha Méril</t>
  </si>
  <si>
    <t>Rita Maiden</t>
  </si>
  <si>
    <t>Une Femme Mariée 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</si>
  <si>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</si>
  <si>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</si>
  <si>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</si>
  <si>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</si>
  <si>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</si>
  <si>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</si>
  <si>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</si>
  <si>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Christopher Robin Miller</t>
  </si>
  <si>
    <t>The Work and the Story </t>
  </si>
  <si>
    <t>latter day saints|lds film|mock documentary|mormon|mormonism</t>
  </si>
  <si>
    <t>http://www.imdb.com/title/tt0339921/?ref_=fn_tt_tt_1</t>
  </si>
  <si>
    <t>Shannen Fields</t>
  </si>
  <si>
    <t>Facing the Giants </t>
  </si>
  <si>
    <t>christian|coach|faith|football|football team</t>
  </si>
  <si>
    <t>http://www.imdb.com/title/tt0805526/?ref_=fn_tt_tt_1</t>
  </si>
  <si>
    <t>Travis Cluff</t>
  </si>
  <si>
    <t>Pfeifer Brown</t>
  </si>
  <si>
    <t>Cassidy Gifford</t>
  </si>
  <si>
    <t>Reese Mishler</t>
  </si>
  <si>
    <t>The Gallows </t>
  </si>
  <si>
    <t>breaking and entering|gallows|hanging|high school|stage</t>
  </si>
  <si>
    <t>http://www.imdb.com/title/tt2309260/?ref_=fn_tt_tt_1</t>
  </si>
  <si>
    <t>Jack Nance</t>
  </si>
  <si>
    <t>Charlotte Stewart</t>
  </si>
  <si>
    <t>Eraserhead </t>
  </si>
  <si>
    <t>apartment|baby|deformed baby|factory|surrealism</t>
  </si>
  <si>
    <t>http://www.imdb.com/title/tt0074486/?ref_=fn_tt_tt_1</t>
  </si>
  <si>
    <t>Harry F. Millarde</t>
  </si>
  <si>
    <t>Stephen Carr</t>
  </si>
  <si>
    <t>Johnnie Walker</t>
  </si>
  <si>
    <t>Mary Carr</t>
  </si>
  <si>
    <t>Over the Hill to the Poorhouse 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</si>
  <si>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</si>
  <si>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</si>
  <si>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</si>
  <si>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</si>
  <si>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</si>
  <si>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</si>
  <si>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</si>
  <si>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</si>
  <si>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</si>
  <si>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Leon Isaac Kennedy</t>
  </si>
  <si>
    <t>Chuck Mitchell</t>
  </si>
  <si>
    <t>Wilbur 'Hi-Fi' White</t>
  </si>
  <si>
    <t>Penitentiary </t>
  </si>
  <si>
    <t>blaxploitation|boxing|convict|drifter|false accusation</t>
  </si>
  <si>
    <t>http://www.imdb.com/title/tt0079709/?ref_=fn_tt_tt_1</t>
  </si>
  <si>
    <t>Larry Blamire</t>
  </si>
  <si>
    <t>Fay Masterson</t>
  </si>
  <si>
    <t>Brian Howe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</si>
  <si>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</si>
  <si>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</si>
  <si>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</si>
  <si>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</si>
  <si>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Kevin P. Farley</t>
  </si>
  <si>
    <t>Gabriela Castillo</t>
  </si>
  <si>
    <t>Brandon Middleton</t>
  </si>
  <si>
    <t>Dude, Where's My Dog?! </t>
  </si>
  <si>
    <t>http://www.imdb.com/title/tt3109200/?ref_=fn_tt_tt_1</t>
  </si>
  <si>
    <t>E.L. Katz</t>
  </si>
  <si>
    <t>Comedy|Crime|Drama|Horror|Thriller</t>
  </si>
  <si>
    <t>Elissa Dowling</t>
  </si>
  <si>
    <t>Cheap Thrills </t>
  </si>
  <si>
    <t>cocaine|extramarital affair|sex|shooting|violence</t>
  </si>
  <si>
    <t>http://www.imdb.com/title/tt2389182/?ref_=fn_tt_tt_1</t>
  </si>
  <si>
    <t>Lisanne Pajot</t>
  </si>
  <si>
    <t>Jonathan Blow</t>
  </si>
  <si>
    <t>Edmund McMillen</t>
  </si>
  <si>
    <t>Phil Fish</t>
  </si>
  <si>
    <t>Indie Game: The Movie 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</si>
  <si>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</si>
  <si>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</si>
  <si>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</si>
  <si>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</si>
  <si>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</si>
  <si>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</si>
  <si>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</si>
  <si>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</si>
  <si>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</si>
  <si>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</si>
  <si>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Open Secret </t>
  </si>
  <si>
    <t>anti semitism|gangster</t>
  </si>
  <si>
    <t>http://www.imdb.com/title/tt0040671/?ref_=fn_tt_tt_1</t>
  </si>
  <si>
    <t>Patrick Ryan Sims</t>
  </si>
  <si>
    <t>Claire Gordon-Harper</t>
  </si>
  <si>
    <t>Hugh Mun</t>
  </si>
  <si>
    <t>Johnathan Hurley</t>
  </si>
  <si>
    <t>Echo Dr. 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</si>
  <si>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</si>
  <si>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</si>
  <si>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</si>
  <si>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</si>
  <si>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</si>
  <si>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The Night Visitor </t>
  </si>
  <si>
    <t>escape|independent film|mental illness|prison|revenge</t>
  </si>
  <si>
    <t>http://www.imdb.com/title/tt0066141/?ref_=fn_tt_tt_1</t>
  </si>
  <si>
    <t>Jason Miller</t>
  </si>
  <si>
    <t>Jon Brion</t>
  </si>
  <si>
    <t>Dottie Alexander</t>
  </si>
  <si>
    <t>David Barnes</t>
  </si>
  <si>
    <t>The Past is a Grotesque Animal 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</si>
  <si>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</si>
  <si>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</si>
  <si>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</si>
  <si>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</si>
  <si>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</si>
  <si>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Peace, Propaganda &amp; the Promised Land </t>
  </si>
  <si>
    <t>arab israeli conflict|israel|media|middle east|palestine</t>
  </si>
  <si>
    <t>http://www.imdb.com/title/tt0428959/?ref_=fn_tt_tt_1</t>
  </si>
  <si>
    <t>Clint Mansell</t>
  </si>
  <si>
    <t>Stanley B. Herman</t>
  </si>
  <si>
    <t>Pi 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</si>
  <si>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</si>
  <si>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</si>
  <si>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</si>
  <si>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</si>
  <si>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</si>
  <si>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I Love You, Don't Touch Me! 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</si>
  <si>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</si>
  <si>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</si>
  <si>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</si>
  <si>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</si>
  <si>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</si>
  <si>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20 Dates </t>
  </si>
  <si>
    <t>fake documentary|hidden camera|mockumentary|narrative|reality show</t>
  </si>
  <si>
    <t>http://www.imdb.com/title/tt0138987/?ref_=fn_tt_tt_1</t>
  </si>
  <si>
    <t>Brett Piper</t>
  </si>
  <si>
    <t>Michelle Simone Miller</t>
  </si>
  <si>
    <t>Steve Diasparra</t>
  </si>
  <si>
    <t>A.J. DeLucia</t>
  </si>
  <si>
    <t>Queen Crab </t>
  </si>
  <si>
    <t>http://www.imdb.com/title/tt2319456/?ref_=fn_tt_tt_1</t>
  </si>
  <si>
    <t>Comedy|Documentary|Drama</t>
  </si>
  <si>
    <t>Chemeeka Walker</t>
  </si>
  <si>
    <t>Amanda Kearsan</t>
  </si>
  <si>
    <t>Amelia Giancarlo</t>
  </si>
  <si>
    <t>Super Size Me 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</si>
  <si>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</si>
  <si>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</si>
  <si>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</si>
  <si>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</si>
  <si>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</si>
  <si>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The FP 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</si>
  <si>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</si>
  <si>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</si>
  <si>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</si>
  <si>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</si>
  <si>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</si>
  <si>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</si>
  <si>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Virginia Leith</t>
  </si>
  <si>
    <t>Jason Evers</t>
  </si>
  <si>
    <t>Bruce Kerr</t>
  </si>
  <si>
    <t>The Brain That Wouldn't Die </t>
  </si>
  <si>
    <t>brain|fiance|laboratory|surgeon|surgery</t>
  </si>
  <si>
    <t>http://www.imdb.com/title/tt0052646/?ref_=fn_tt_tt_1</t>
  </si>
  <si>
    <t>Wade Gasque</t>
  </si>
  <si>
    <t>Ty Parker</t>
  </si>
  <si>
    <t>Vincent Duvall</t>
  </si>
  <si>
    <t>Loanne Bishop</t>
  </si>
  <si>
    <t>Tiger Orange 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</si>
  <si>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</si>
  <si>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</si>
  <si>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</si>
  <si>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</si>
  <si>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</si>
  <si>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</si>
  <si>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Justin Gordon</t>
  </si>
  <si>
    <t>Courtney Bell</t>
  </si>
  <si>
    <t>Erin Cipolletti</t>
  </si>
  <si>
    <t>Absentia </t>
  </si>
  <si>
    <t>anticipate|dead in absentia|foetus|tunnel|unreliable narration</t>
  </si>
  <si>
    <t>http://www.imdb.com/title/tt1610996/?ref_=fn_tt_tt_1</t>
  </si>
  <si>
    <t>Shari Albert</t>
  </si>
  <si>
    <t>Maxine Bahns</t>
  </si>
  <si>
    <t>The Brothers McMullen </t>
  </si>
  <si>
    <t>abusive father|critically acclaimed|loss of father|love|true love</t>
  </si>
  <si>
    <t>http://www.imdb.com/title/tt0112585/?ref_=fn_tt_tt_1</t>
  </si>
  <si>
    <t>Matt Johnson</t>
  </si>
  <si>
    <t>Paul Daniel Ayotte</t>
  </si>
  <si>
    <t>Shailene Garnett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</si>
  <si>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</si>
  <si>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</si>
  <si>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</si>
  <si>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</si>
  <si>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</si>
  <si>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</si>
  <si>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Gabriela </t>
  </si>
  <si>
    <t>based on novel|brazil|female underarm hair|sex in a window|star appears nude</t>
  </si>
  <si>
    <t>http://www.imdb.com/title/tt0085575/?ref_=fn_tt_tt_1</t>
  </si>
  <si>
    <t>Jemima Kirke</t>
  </si>
  <si>
    <t>Tiny Furniture </t>
  </si>
  <si>
    <t>adult returns home|girl with glasses|hipster|shower|title directed by female</t>
  </si>
  <si>
    <t>http://www.imdb.com/title/tt1570989/?ref_=fn_tt_tt_1</t>
  </si>
  <si>
    <t>Terron R. Parsons</t>
  </si>
  <si>
    <t>Crime|Drama|Horror</t>
  </si>
  <si>
    <t>Jeremy Sande</t>
  </si>
  <si>
    <t>Corlandos Scott</t>
  </si>
  <si>
    <t>Hayride </t>
  </si>
  <si>
    <t>http://www.imdb.com/title/tt1861343/?ref_=fn_tt_tt_1</t>
  </si>
  <si>
    <t>Daniel Mellitz</t>
  </si>
  <si>
    <t>Chelse Swain</t>
  </si>
  <si>
    <t>Amanda MacDonald</t>
  </si>
  <si>
    <t>The Naked Ape 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</si>
  <si>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</si>
  <si>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</si>
  <si>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</si>
  <si>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</si>
  <si>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</si>
  <si>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</si>
  <si>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</si>
  <si>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Dan Novy</t>
  </si>
  <si>
    <t>David Mersault</t>
  </si>
  <si>
    <t>Barry Lynch</t>
  </si>
  <si>
    <t>The Call of Cthulhu 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</si>
  <si>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</si>
  <si>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</si>
  <si>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</si>
  <si>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</si>
  <si>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</si>
  <si>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</si>
  <si>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</si>
  <si>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</si>
  <si>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Beau Knapp</t>
  </si>
  <si>
    <t>The Signal </t>
  </si>
  <si>
    <t>computer hacker|girlfriend in a coma|nosebleed|prosthetic leg|road trip</t>
  </si>
  <si>
    <t>http://www.imdb.com/title/tt2910814/?ref_=fn_tt_tt_1</t>
  </si>
  <si>
    <t>Patrick Meaney</t>
  </si>
  <si>
    <t>Taliesin Jaffe</t>
  </si>
  <si>
    <t>Greg Aronowitz</t>
  </si>
  <si>
    <t>Jeff Dowd</t>
  </si>
  <si>
    <t>The Image Revolution </t>
  </si>
  <si>
    <t>comic book|comic book history|comics|spawn|walking dead</t>
  </si>
  <si>
    <t>http://www.imdb.com/title/tt2294916/?ref_=fn_tt_tt_1</t>
  </si>
  <si>
    <t>Chad Hartigan</t>
  </si>
  <si>
    <t>Jan Haley</t>
  </si>
  <si>
    <t>Paul Eenhoorn</t>
  </si>
  <si>
    <t>Demetrius Grosse</t>
  </si>
  <si>
    <t>This Is Martin Bonner </t>
  </si>
  <si>
    <t>estranged daughter|friendship|nevada|prisoner|unlikely friendship</t>
  </si>
  <si>
    <t>http://www.imdb.com/title/tt1798291/?ref_=fn_tt_tt_1</t>
  </si>
  <si>
    <t>Kelen Coleman</t>
  </si>
  <si>
    <t>A True Story </t>
  </si>
  <si>
    <t>ellipsis in title|long title|period in title|punctuation in title|title ends with period</t>
  </si>
  <si>
    <t>http://www.imdb.com/title/tt1524083/?ref_=fn_tt_tt_1</t>
  </si>
  <si>
    <t>Damian Jewan Lee</t>
  </si>
  <si>
    <t>George Washington 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</si>
  <si>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</si>
  <si>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</si>
  <si>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</si>
  <si>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</si>
  <si>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</si>
  <si>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Smiling Fish &amp; Goat on Fire 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</si>
  <si>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</si>
  <si>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</si>
  <si>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</si>
  <si>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</si>
  <si>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</si>
  <si>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Dawn of the Crescent Moon </t>
  </si>
  <si>
    <t>http://www.imdb.com/title/tt3157318/?ref_=fn_tt_tt_1</t>
  </si>
  <si>
    <t>Travis Legge</t>
  </si>
  <si>
    <t>Patricia Raven</t>
  </si>
  <si>
    <t>Lindsay Felton</t>
  </si>
  <si>
    <t>Raymond Did It 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</si>
  <si>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</si>
  <si>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</si>
  <si>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</si>
  <si>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</si>
  <si>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</si>
  <si>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</si>
  <si>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Julianne Gabert</t>
  </si>
  <si>
    <t>Thomas Brophy</t>
  </si>
  <si>
    <t>Ronee Collins</t>
  </si>
  <si>
    <t>Run, Hide, Die </t>
  </si>
  <si>
    <t>http://www.imdb.com/title/tt2442662/?ref_=fn_tt_tt_1</t>
  </si>
  <si>
    <t>Bradley Rust Gray</t>
  </si>
  <si>
    <t>Jordan Scovel</t>
  </si>
  <si>
    <t>The Exploding Girl </t>
  </si>
  <si>
    <t>friend|hospital|low budget film|ring|stoned</t>
  </si>
  <si>
    <t>http://www.imdb.com/title/tt1294161/?ref_=fn_tt_tt_1</t>
  </si>
  <si>
    <t>Mike Bruce</t>
  </si>
  <si>
    <t>Joseph Campanella</t>
  </si>
  <si>
    <t>Kirpatrick Thomas</t>
  </si>
  <si>
    <t>Christian Anderson</t>
  </si>
  <si>
    <t>The Legend of God's Gun </t>
  </si>
  <si>
    <t>http://www.imdb.com/title/tt1073221/?ref_=fn_tt_tt_1</t>
  </si>
  <si>
    <t>Andrew Bujalski</t>
  </si>
  <si>
    <t>Kate Dollenmayer</t>
  </si>
  <si>
    <t>Justin Rice</t>
  </si>
  <si>
    <t>Mutual Appreciation </t>
  </si>
  <si>
    <t>friendship|guitarist|mumblecore|musician|new york</t>
  </si>
  <si>
    <t>http://www.imdb.com/title/tt0446747/?ref_=fn_tt_tt_1</t>
  </si>
  <si>
    <t>Damir Catic</t>
  </si>
  <si>
    <t>Nichole Ceballos</t>
  </si>
  <si>
    <t>Ron Gelner</t>
  </si>
  <si>
    <t>Parker Riggs</t>
  </si>
  <si>
    <t>Her Cry: La Llorona Investigation </t>
  </si>
  <si>
    <t>la llorona|weeping</t>
  </si>
  <si>
    <t>http://www.imdb.com/title/tt2469216/?ref_=fn_tt_tt_1</t>
  </si>
  <si>
    <t>Tony Way</t>
  </si>
  <si>
    <t>David Schaal</t>
  </si>
  <si>
    <t>Down Terrace 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</si>
  <si>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</si>
  <si>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</si>
  <si>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</si>
  <si>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</si>
  <si>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</si>
  <si>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</si>
  <si>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Don Brooks</t>
  </si>
  <si>
    <t>Bobby Kendall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</si>
  <si>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</si>
  <si>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</si>
  <si>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</si>
  <si>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</si>
  <si>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</si>
  <si>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</si>
  <si>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</si>
  <si>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Jason Dixie</t>
  </si>
  <si>
    <t>In the Company of Men </t>
  </si>
  <si>
    <t>business trip|love|misogynist|office|secretary</t>
  </si>
  <si>
    <t>http://www.imdb.com/title/tt0119361/?ref_=fn_tt_tt_1</t>
  </si>
  <si>
    <t>Eric Eason</t>
  </si>
  <si>
    <t>Panchito Gómez</t>
  </si>
  <si>
    <t>Casper Martinez</t>
  </si>
  <si>
    <t>Manito 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</si>
  <si>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</si>
  <si>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</si>
  <si>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</si>
  <si>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</si>
  <si>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</si>
  <si>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</si>
  <si>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Jean Caffeine</t>
  </si>
  <si>
    <t>Slacker </t>
  </si>
  <si>
    <t>austin texas|moon|pap smear|texas|twenty something</t>
  </si>
  <si>
    <t>http://www.imdb.com/title/tt0102943/?ref_=fn_tt_tt_1</t>
  </si>
  <si>
    <t>Joseph Mazzella</t>
  </si>
  <si>
    <t>Tjasa Ferme</t>
  </si>
  <si>
    <t>Mikaal Bates</t>
  </si>
  <si>
    <t>Damon Owlia</t>
  </si>
  <si>
    <t>Dutch Kills </t>
  </si>
  <si>
    <t>http://www.imdb.com/title/tt2759066/?ref_=fn_tt_tt_1</t>
  </si>
  <si>
    <t>Kristen Seavey</t>
  </si>
  <si>
    <t>Suzi Lorraine</t>
  </si>
  <si>
    <t>Dry Spell </t>
  </si>
  <si>
    <t>anti romantic comedy|dating|divorce|sex comedy|sex scene</t>
  </si>
  <si>
    <t>http://www.imdb.com/title/tt2375036/?ref_=fn_tt_tt_1</t>
  </si>
  <si>
    <t>Lisa Arnold</t>
  </si>
  <si>
    <t>Janet Lee Dapper</t>
  </si>
  <si>
    <t>Flywheel 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</si>
  <si>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</si>
  <si>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</si>
  <si>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</si>
  <si>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</si>
  <si>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</si>
  <si>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Exeter </t>
  </si>
  <si>
    <t>asylum|demon|party|secret|teenager</t>
  </si>
  <si>
    <t>http://www.imdb.com/title/tt1945044/?ref_=fn_tt_tt_1</t>
  </si>
  <si>
    <t>Brandon Landers</t>
  </si>
  <si>
    <t>Robbie Barnes</t>
  </si>
  <si>
    <t>Alana Kaniewski</t>
  </si>
  <si>
    <t>The Ridges </t>
  </si>
  <si>
    <t>avatar|college|death|tron|university</t>
  </si>
  <si>
    <t>http://www.imdb.com/title/tt1781935/?ref_=fn_tt_tt_1</t>
  </si>
  <si>
    <t>Bari Hyman</t>
  </si>
  <si>
    <t>The Puffy Chair </t>
  </si>
  <si>
    <t>birthday|gift|motel|new york city|upholsterer</t>
  </si>
  <si>
    <t>http://www.imdb.com/title/tt0436689/?ref_=fn_tt_tt_1</t>
  </si>
  <si>
    <t>Jim Chuchu</t>
  </si>
  <si>
    <t>Paul Ogola</t>
  </si>
  <si>
    <t>Olwenya Maina</t>
  </si>
  <si>
    <t>Mugambi Nthiga</t>
  </si>
  <si>
    <t>Stories of Our Lives 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</si>
  <si>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</si>
  <si>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</si>
  <si>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</si>
  <si>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</si>
  <si>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</si>
  <si>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</si>
  <si>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</si>
  <si>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</si>
  <si>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Nick Principe</t>
  </si>
  <si>
    <t>All Superheroes Must Die </t>
  </si>
  <si>
    <t>arch villain|game of death|kidnapping|superhero</t>
  </si>
  <si>
    <t>http://www.imdb.com/title/tt1836212/?ref_=fn_tt_tt_1</t>
  </si>
  <si>
    <t>Comedy|Crime|Horror</t>
  </si>
  <si>
    <t>Divine</t>
  </si>
  <si>
    <t>Mink Stole</t>
  </si>
  <si>
    <t>Edith Massey</t>
  </si>
  <si>
    <t>Pink Flamingos 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</si>
  <si>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</si>
  <si>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</si>
  <si>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</si>
  <si>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</si>
  <si>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</si>
  <si>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</si>
  <si>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</si>
  <si>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Fereshteh Sadre Orafaiy</t>
  </si>
  <si>
    <t>Nargess Mamizadeh</t>
  </si>
  <si>
    <t>Mojgan Faramarzi</t>
  </si>
  <si>
    <t>The Circle </t>
  </si>
  <si>
    <t>abortion|bus|hospital|prison|prostitution</t>
  </si>
  <si>
    <t>http://www.imdb.com/title/tt0255094/?ref_=fn_tt_tt_1</t>
  </si>
  <si>
    <t>Ivan Kavanagh</t>
  </si>
  <si>
    <t>Patrick O'Donnell</t>
  </si>
  <si>
    <t>Michael Parle</t>
  </si>
  <si>
    <t>Emma Eliza Regan</t>
  </si>
  <si>
    <t>Tin Can Man </t>
  </si>
  <si>
    <t>http://www.imdb.com/title/tt1235811/?ref_=fn_tt_tt_1</t>
  </si>
  <si>
    <t>Kiyoshi Kurosawa</t>
  </si>
  <si>
    <t>Kôji Yakusho</t>
  </si>
  <si>
    <t>Anna Nakagawa</t>
  </si>
  <si>
    <t>Denden</t>
  </si>
  <si>
    <t>The Cure </t>
  </si>
  <si>
    <t>breasts|interrogation|investigation|murder|watching television</t>
  </si>
  <si>
    <t>http://www.imdb.com/title/tt0123948/?ref_=fn_tt_tt_1</t>
  </si>
  <si>
    <t>Tadeo Garcia</t>
  </si>
  <si>
    <t>Tatiana Suarez-Pico</t>
  </si>
  <si>
    <t>Michael Cortez</t>
  </si>
  <si>
    <t>Eric Ambriz</t>
  </si>
  <si>
    <t>On the Downlow </t>
  </si>
  <si>
    <t>gang initiation|gunplay|hazing|latino|shakespeare's romeo and juliet</t>
  </si>
  <si>
    <t>http://www.imdb.com/title/tt0390323/?ref_=fn_tt_tt_1</t>
  </si>
  <si>
    <t>Thomas L. Phillips</t>
  </si>
  <si>
    <t>Julianna Pitt</t>
  </si>
  <si>
    <t>Joe Coffey</t>
  </si>
  <si>
    <t>John Lucas</t>
  </si>
  <si>
    <t>Sanctuary; Quite a Conundrum </t>
  </si>
  <si>
    <t>nudity|party|pirate|swimsuit|three word title</t>
  </si>
  <si>
    <t>http://www.imdb.com/title/tt2049518/?ref_=fn_tt_tt_1</t>
  </si>
  <si>
    <t>Ash Baron-Cohen</t>
  </si>
  <si>
    <t>James Noble</t>
  </si>
  <si>
    <t>Bang 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</si>
  <si>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</si>
  <si>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</si>
  <si>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</si>
  <si>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</si>
  <si>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</si>
  <si>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Primer </t>
  </si>
  <si>
    <t>changing the future|independent film|invention|nonlinear timeline|time travel</t>
  </si>
  <si>
    <t>http://www.imdb.com/title/tt0390384/?ref_=fn_tt_tt_1</t>
  </si>
  <si>
    <t>Neill Dela Llana</t>
  </si>
  <si>
    <t>Ian Gamazon</t>
  </si>
  <si>
    <t>Edgar Tancangco</t>
  </si>
  <si>
    <t>Quynn Ton</t>
  </si>
  <si>
    <t>Cavite </t>
  </si>
  <si>
    <t>jihad|mindanao|philippines|security guard|squatter</t>
  </si>
  <si>
    <t>http://www.imdb.com/title/tt0428303/?ref_=fn_tt_tt_1</t>
  </si>
  <si>
    <t>Philippines</t>
  </si>
  <si>
    <t>Carlos Gallardo</t>
  </si>
  <si>
    <t>Peter Marquardt</t>
  </si>
  <si>
    <t>Consuelo Gómez</t>
  </si>
  <si>
    <t>El Mariachi </t>
  </si>
  <si>
    <t>assassin|death|guitar|gun|mariachi</t>
  </si>
  <si>
    <t>http://www.imdb.com/title/tt0104815/?ref_=fn_tt_tt_1</t>
  </si>
  <si>
    <t>Anthony Vallone</t>
  </si>
  <si>
    <t>Richard Jewell</t>
  </si>
  <si>
    <t>John Considine</t>
  </si>
  <si>
    <t>Sara Stepnicka</t>
  </si>
  <si>
    <t>The Mongol King </t>
  </si>
  <si>
    <t>jewell|mongol|nostradamus|stepnicka|vallone</t>
  </si>
  <si>
    <t>http://www.imdb.com/title/tt0430371/?ref_=fn_tt_tt_1</t>
  </si>
  <si>
    <t>Kerry Bishé</t>
  </si>
  <si>
    <t>Caitlin FitzGerald</t>
  </si>
  <si>
    <t>Daniella Pineda</t>
  </si>
  <si>
    <t>Newlyweds 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</si>
  <si>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</si>
  <si>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</si>
  <si>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</si>
  <si>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</si>
  <si>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</si>
  <si>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</si>
  <si>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</si>
  <si>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Natalie Zea</t>
  </si>
  <si>
    <t>Valorie Curry</t>
  </si>
  <si>
    <t>Sam Underwood</t>
  </si>
  <si>
    <t>The Following </t>
  </si>
  <si>
    <t>cult|fbi|hideout|prison escape|serial killer</t>
  </si>
  <si>
    <t>http://www.imdb.com/title/tt2071645/?ref_=fn_tt_tt_1</t>
  </si>
  <si>
    <t>Benjamin Roberds</t>
  </si>
  <si>
    <t>Eva Boehnke</t>
  </si>
  <si>
    <t>Maxwell Moody</t>
  </si>
  <si>
    <t>David Chandler</t>
  </si>
  <si>
    <t>A Plague So Pleasant </t>
  </si>
  <si>
    <t>http://www.imdb.com/title/tt2107644/?ref_=fn_tt_tt_1</t>
  </si>
  <si>
    <t>Daniel Hsia</t>
  </si>
  <si>
    <t>Shanghai Calling </t>
  </si>
  <si>
    <t>http://www.imdb.com/title/tt2070597/?ref_=fn_tt_tt_1</t>
  </si>
  <si>
    <t>John August</t>
  </si>
  <si>
    <t>Brian Herzlinger</t>
  </si>
  <si>
    <t>My Date with Drew </t>
  </si>
  <si>
    <t>actress name in title|crush|date|four word title|video camera</t>
  </si>
  <si>
    <t>http://www.imdb.com/title/tt0378407/?ref_=fn_tt_tt_1</t>
  </si>
  <si>
    <t>COUNTA of movie_title</t>
  </si>
  <si>
    <t>SUM of duration</t>
  </si>
  <si>
    <t>AVERAGE of imdb_score</t>
  </si>
  <si>
    <t>SUM of gross</t>
  </si>
  <si>
    <t>AVERAGE of duration</t>
  </si>
  <si>
    <t>(blank)</t>
  </si>
  <si>
    <t>Director_Name</t>
  </si>
  <si>
    <t>Average Rating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</si>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</sst>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29B475"/>
        <bgColor rgb="FF29B475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8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15" fillId="7" borderId="11" applyNumberFormat="0" applyAlignment="0" applyProtection="0">
      <alignment vertical="center"/>
    </xf>
    <xf numFmtId="0" fontId="16" fillId="8" borderId="13" applyNumberFormat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17">
    <xf numFmtId="0" fontId="0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1" fillId="0" borderId="0" xfId="0" applyFo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1" fillId="0" borderId="0" xfId="0" applyFont="1" applyAlignment="1"/>
    <xf numFmtId="0" fontId="2" fillId="2" borderId="0" xfId="0" applyFont="1" applyFill="1" applyAlignment="1"/>
    <xf numFmtId="0" fontId="1" fillId="3" borderId="0" xfId="0" applyFont="1" applyFill="1" applyAlignment="1"/>
    <xf numFmtId="0" fontId="1" fillId="4" borderId="0" xfId="0" applyFont="1" applyFill="1" applyAlignment="1"/>
    <xf numFmtId="0" fontId="1" fillId="3" borderId="0" xfId="0" applyFont="1" applyFill="1"/>
    <xf numFmtId="0" fontId="3" fillId="3" borderId="0" xfId="0" applyFont="1" applyFill="1" applyAlignment="1"/>
    <xf numFmtId="0" fontId="3" fillId="4" borderId="0" xfId="0" applyFont="1" applyFill="1" applyAlignment="1"/>
    <xf numFmtId="0" fontId="1" fillId="4" borderId="0" xfId="0" applyFon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GB" sz="18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chemeClr val="accent3"/>
                </a:solidFill>
                <a:latin typeface="+mn-lt"/>
              </a:rPr>
              <a:t>Movie by Duration</a:t>
            </a:r>
            <a:endParaRPr b="0">
              <a:solidFill>
                <a:schemeClr val="accent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lineChart>
        <c:grouping val="none"/>
        <c:varyColors val="0"/>
        <c:ser>
          <c:idx val="0"/>
          <c:order val="0"/>
          <c:tx>
            <c:strRef>
              <c:f>'Visulaize movie by Duration'!$B$1</c:f>
              <c:strCache>
                <c:ptCount val="1"/>
                <c:pt idx="0">
                  <c:v>SUM of duration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strRef>
              <c:f>'Visulaize movie by Duration'!$A$2:$A$4917</c:f>
              <c:strCache>
                <c:ptCount val="4916"/>
                <c:pt idx="0">
                  <c:v>#Horror </c:v>
                </c:pt>
                <c:pt idx="1">
                  <c:v>[Rec] 2 </c:v>
                </c:pt>
                <c:pt idx="2">
                  <c:v>[Rec] </c:v>
                </c:pt>
                <c:pt idx="3">
                  <c:v>10 Cloverfield Lane </c:v>
                </c:pt>
                <c:pt idx="4">
                  <c:v>10 Days in a Madhouse </c:v>
                </c:pt>
                <c:pt idx="5">
                  <c:v>10 Things I Hate About You </c:v>
                </c:pt>
                <c:pt idx="6">
                  <c:v>10,000 B.C.             </c:v>
                </c:pt>
                <c:pt idx="7">
                  <c:v>102 Dalmatians </c:v>
                </c:pt>
                <c:pt idx="8">
                  <c:v>10th &amp; Wolf </c:v>
                </c:pt>
                <c:pt idx="9">
                  <c:v>11:14 </c:v>
                </c:pt>
                <c:pt idx="10">
                  <c:v>12 Angry Men </c:v>
                </c:pt>
                <c:pt idx="11">
                  <c:v>12 Monkeys </c:v>
                </c:pt>
                <c:pt idx="12">
                  <c:v>12 Rounds </c:v>
                </c:pt>
                <c:pt idx="13">
                  <c:v>12 Years a Slave </c:v>
                </c:pt>
                <c:pt idx="14">
                  <c:v>127 Hours </c:v>
                </c:pt>
                <c:pt idx="15">
                  <c:v>13 Going on 30 </c:v>
                </c:pt>
                <c:pt idx="16">
                  <c:v>13 Hours </c:v>
                </c:pt>
                <c:pt idx="17">
                  <c:v>1408 </c:v>
                </c:pt>
                <c:pt idx="18">
                  <c:v>15 Minutes </c:v>
                </c:pt>
                <c:pt idx="19">
                  <c:v>16 Blocks </c:v>
                </c:pt>
                <c:pt idx="20">
                  <c:v>16 to Life </c:v>
                </c:pt>
                <c:pt idx="21">
                  <c:v>17 Again </c:v>
                </c:pt>
                <c:pt idx="22">
                  <c:v>1776 </c:v>
                </c:pt>
                <c:pt idx="23">
                  <c:v>1911 </c:v>
                </c:pt>
                <c:pt idx="24">
                  <c:v>1941 </c:v>
                </c:pt>
                <c:pt idx="25">
                  <c:v>1982 </c:v>
                </c:pt>
                <c:pt idx="26">
                  <c:v>2 Fast 2 Furious </c:v>
                </c:pt>
                <c:pt idx="27">
                  <c:v>2 Guns </c:v>
                </c:pt>
                <c:pt idx="28">
                  <c:v>2:13 </c:v>
                </c:pt>
                <c:pt idx="29">
                  <c:v>20 Dates </c:v>
                </c:pt>
                <c:pt idx="30">
                  <c:v>20 Feet from Stardom </c:v>
                </c:pt>
                <c:pt idx="31">
                  <c:v>20,000 Leagues Under the Sea </c:v>
                </c:pt>
                <c:pt idx="32">
                  <c:v>200 Cigarettes </c:v>
                </c:pt>
                <c:pt idx="33">
                  <c:v>2001: A Space Odyssey </c:v>
                </c:pt>
                <c:pt idx="34">
                  <c:v>2012 </c:v>
                </c:pt>
                <c:pt idx="35">
                  <c:v>2016: Obama's America </c:v>
                </c:pt>
                <c:pt idx="36">
                  <c:v>2046 </c:v>
                </c:pt>
                <c:pt idx="37">
                  <c:v>21 &amp; Over </c:v>
                </c:pt>
                <c:pt idx="38">
                  <c:v>21 Grams </c:v>
                </c:pt>
                <c:pt idx="39">
                  <c:v>21 Jump Street </c:v>
                </c:pt>
                <c:pt idx="40">
                  <c:v>21 </c:v>
                </c:pt>
                <c:pt idx="41">
                  <c:v>22 Jump Street </c:v>
                </c:pt>
                <c:pt idx="42">
                  <c:v>24 7: Twenty Four Seven </c:v>
                </c:pt>
                <c:pt idx="43">
                  <c:v>25th Hour </c:v>
                </c:pt>
                <c:pt idx="44">
                  <c:v>27 Dresses </c:v>
                </c:pt>
                <c:pt idx="45">
                  <c:v>28 Days Later... </c:v>
                </c:pt>
                <c:pt idx="46">
                  <c:v>28 Days </c:v>
                </c:pt>
                <c:pt idx="47">
                  <c:v>28 Weeks Later </c:v>
                </c:pt>
                <c:pt idx="48">
                  <c:v>3 Backyards </c:v>
                </c:pt>
                <c:pt idx="49">
                  <c:v>3 Days to Kill </c:v>
                </c:pt>
                <c:pt idx="50">
                  <c:v>3 Men and a Baby </c:v>
                </c:pt>
                <c:pt idx="51">
                  <c:v>3 Ninjas Kick Back </c:v>
                </c:pt>
                <c:pt idx="52">
                  <c:v>3 Strikes </c:v>
                </c:pt>
                <c:pt idx="53">
                  <c:v>3 </c:v>
                </c:pt>
                <c:pt idx="54">
                  <c:v>3:10 to Yuma </c:v>
                </c:pt>
                <c:pt idx="55">
                  <c:v>30 Days of Night </c:v>
                </c:pt>
                <c:pt idx="56">
                  <c:v>30 Minutes or Less </c:v>
                </c:pt>
                <c:pt idx="57">
                  <c:v>30 Nights of Paranormal Activity with the Devil Inside the Girl with the Dragon Tattoo </c:v>
                </c:pt>
                <c:pt idx="58">
                  <c:v>300 </c:v>
                </c:pt>
                <c:pt idx="59">
                  <c:v>300: Rise of an Empire </c:v>
                </c:pt>
                <c:pt idx="60">
                  <c:v>3000 Miles to Graceland </c:v>
                </c:pt>
                <c:pt idx="61">
                  <c:v>3rd Rock from the Sun </c:v>
                </c:pt>
                <c:pt idx="62">
                  <c:v>4 Months, 3 Weeks and 2 Days </c:v>
                </c:pt>
                <c:pt idx="63">
                  <c:v>40 Days and 40 Nights </c:v>
                </c:pt>
                <c:pt idx="64">
                  <c:v>42 </c:v>
                </c:pt>
                <c:pt idx="65">
                  <c:v>42nd Street </c:v>
                </c:pt>
                <c:pt idx="66">
                  <c:v>47 Ronin </c:v>
                </c:pt>
                <c:pt idx="67">
                  <c:v>5 Days of War </c:v>
                </c:pt>
                <c:pt idx="68">
                  <c:v>50 First Dates </c:v>
                </c:pt>
                <c:pt idx="69">
                  <c:v>50/50 </c:v>
                </c:pt>
                <c:pt idx="70">
                  <c:v>500 Days of Summer </c:v>
                </c:pt>
                <c:pt idx="71">
                  <c:v>51 Birch Street </c:v>
                </c:pt>
                <c:pt idx="72">
                  <c:v>54 </c:v>
                </c:pt>
                <c:pt idx="73">
                  <c:v>55 Days at Peking </c:v>
                </c:pt>
                <c:pt idx="74">
                  <c:v>8 Days </c:v>
                </c:pt>
                <c:pt idx="75">
                  <c:v>8 Heads in a Duffel Bag </c:v>
                </c:pt>
                <c:pt idx="76">
                  <c:v>8 Mile </c:v>
                </c:pt>
                <c:pt idx="77">
                  <c:v>8 Women </c:v>
                </c:pt>
                <c:pt idx="78">
                  <c:v>8: The Mormon Proposition </c:v>
                </c:pt>
                <c:pt idx="79">
                  <c:v>88 Minutes </c:v>
                </c:pt>
                <c:pt idx="80">
                  <c:v>8MM </c:v>
                </c:pt>
                <c:pt idx="81">
                  <c:v>9 </c:v>
                </c:pt>
                <c:pt idx="82">
                  <c:v>90 Minutes in Heaven </c:v>
                </c:pt>
                <c:pt idx="83">
                  <c:v>9½ Weeks </c:v>
                </c:pt>
                <c:pt idx="84">
                  <c:v>A Beautiful Mind </c:v>
                </c:pt>
                <c:pt idx="85">
                  <c:v>A Beginner's Guide to Snuff </c:v>
                </c:pt>
                <c:pt idx="86">
                  <c:v>A Better Life </c:v>
                </c:pt>
                <c:pt idx="87">
                  <c:v>A Bridge Too Far </c:v>
                </c:pt>
                <c:pt idx="88">
                  <c:v>A Bug's Life </c:v>
                </c:pt>
                <c:pt idx="89">
                  <c:v>A Charlie Brown Christmas </c:v>
                </c:pt>
                <c:pt idx="90">
                  <c:v>A Christmas Carol </c:v>
                </c:pt>
                <c:pt idx="91">
                  <c:v>A Christmas Story </c:v>
                </c:pt>
                <c:pt idx="92">
                  <c:v>A Cinderella Story </c:v>
                </c:pt>
                <c:pt idx="93">
                  <c:v>A Civil Action </c:v>
                </c:pt>
                <c:pt idx="94">
                  <c:v>A Dangerous Method </c:v>
                </c:pt>
                <c:pt idx="95">
                  <c:v>A Dog of Flanders </c:v>
                </c:pt>
                <c:pt idx="96">
                  <c:v>A Dog's Breakfast </c:v>
                </c:pt>
                <c:pt idx="97">
                  <c:v>A Farewell to Arms </c:v>
                </c:pt>
                <c:pt idx="98">
                  <c:v>A Few Good Men </c:v>
                </c:pt>
                <c:pt idx="99">
                  <c:v>A Fine Step </c:v>
                </c:pt>
                <c:pt idx="100">
                  <c:v>A Fistful of Dollars </c:v>
                </c:pt>
                <c:pt idx="101">
                  <c:v>A Funny Thing Happened on the Way to the Forum </c:v>
                </c:pt>
                <c:pt idx="102">
                  <c:v>A Good Day to Die Hard </c:v>
                </c:pt>
                <c:pt idx="103">
                  <c:v>A Good Year </c:v>
                </c:pt>
                <c:pt idx="104">
                  <c:v>A Guy Named Joe </c:v>
                </c:pt>
                <c:pt idx="105">
                  <c:v>A Guy Thing </c:v>
                </c:pt>
                <c:pt idx="106">
                  <c:v>A Hard Day's Night </c:v>
                </c:pt>
                <c:pt idx="107">
                  <c:v>A Haunted House 2 </c:v>
                </c:pt>
                <c:pt idx="108">
                  <c:v>A Haunted House </c:v>
                </c:pt>
                <c:pt idx="109">
                  <c:v>A History of Violence </c:v>
                </c:pt>
                <c:pt idx="110">
                  <c:v>A Home at the End of the World </c:v>
                </c:pt>
                <c:pt idx="111">
                  <c:v>A Knight's Tale </c:v>
                </c:pt>
                <c:pt idx="112">
                  <c:v>A League of Their Own </c:v>
                </c:pt>
                <c:pt idx="113">
                  <c:v>A Lego Brickumentary </c:v>
                </c:pt>
                <c:pt idx="114">
                  <c:v>A Lonely Place to Die </c:v>
                </c:pt>
                <c:pt idx="115">
                  <c:v>A Lot Like Love </c:v>
                </c:pt>
                <c:pt idx="116">
                  <c:v>A Low Down Dirty Shame </c:v>
                </c:pt>
                <c:pt idx="117">
                  <c:v>A Madea Christmas </c:v>
                </c:pt>
                <c:pt idx="118">
                  <c:v>A Man Apart </c:v>
                </c:pt>
                <c:pt idx="119">
                  <c:v>A Man for All Seasons </c:v>
                </c:pt>
                <c:pt idx="120">
                  <c:v>A Mighty Heart </c:v>
                </c:pt>
                <c:pt idx="121">
                  <c:v>A Mighty Wind </c:v>
                </c:pt>
                <c:pt idx="122">
                  <c:v>A Million Ways to Die in the West </c:v>
                </c:pt>
                <c:pt idx="123">
                  <c:v>A Monster in Paris </c:v>
                </c:pt>
                <c:pt idx="124">
                  <c:v>A Most Violent Year </c:v>
                </c:pt>
                <c:pt idx="125">
                  <c:v>A Most Wanted Man </c:v>
                </c:pt>
                <c:pt idx="126">
                  <c:v>A Night at the Roxbury </c:v>
                </c:pt>
                <c:pt idx="127">
                  <c:v>A Nightmare on Elm Street 2: Freddy's Revenge </c:v>
                </c:pt>
                <c:pt idx="128">
                  <c:v>A Nightmare on Elm Street 3: Dream Warriors </c:v>
                </c:pt>
                <c:pt idx="129">
                  <c:v>A Nightmare on Elm Street 4: The Dream Master </c:v>
                </c:pt>
                <c:pt idx="130">
                  <c:v>A Nightmare on Elm Street 5: The Dream Child </c:v>
                </c:pt>
                <c:pt idx="131">
                  <c:v>A Nightmare on Elm Street </c:v>
                </c:pt>
                <c:pt idx="132">
                  <c:v>A Passage to India </c:v>
                </c:pt>
                <c:pt idx="133">
                  <c:v>A Perfect Getaway </c:v>
                </c:pt>
                <c:pt idx="134">
                  <c:v>A Perfect Plan </c:v>
                </c:pt>
                <c:pt idx="135">
                  <c:v>A Plague So Pleasant </c:v>
                </c:pt>
                <c:pt idx="136">
                  <c:v>A Prairie Home Companion </c:v>
                </c:pt>
                <c:pt idx="137">
                  <c:v>A Room for Romeo Brass </c:v>
                </c:pt>
                <c:pt idx="138">
                  <c:v>A Room with a View </c:v>
                </c:pt>
                <c:pt idx="139">
                  <c:v>A Scanner Darkly </c:v>
                </c:pt>
                <c:pt idx="140">
                  <c:v>A Separation </c:v>
                </c:pt>
                <c:pt idx="141">
                  <c:v>A Serious Man </c:v>
                </c:pt>
                <c:pt idx="142">
                  <c:v>A Shine of Rainbows </c:v>
                </c:pt>
                <c:pt idx="143">
                  <c:v>A Simple Plan </c:v>
                </c:pt>
                <c:pt idx="144">
                  <c:v>A Simple Wish </c:v>
                </c:pt>
                <c:pt idx="145">
                  <c:v>A Single Man </c:v>
                </c:pt>
                <c:pt idx="146">
                  <c:v>A Sound of Thunder </c:v>
                </c:pt>
                <c:pt idx="147">
                  <c:v>A Streetcar Named Desire </c:v>
                </c:pt>
                <c:pt idx="148">
                  <c:v>A Tale of Three Cities </c:v>
                </c:pt>
                <c:pt idx="149">
                  <c:v>A Thin Line Between Love and Hate </c:v>
                </c:pt>
                <c:pt idx="150">
                  <c:v>A Thousand Words </c:v>
                </c:pt>
                <c:pt idx="151">
                  <c:v>A Time to Kill </c:v>
                </c:pt>
                <c:pt idx="152">
                  <c:v>A Touch of Frost </c:v>
                </c:pt>
                <c:pt idx="153">
                  <c:v>A True Story </c:v>
                </c:pt>
                <c:pt idx="154">
                  <c:v>A Turtle's Tale: Sammy's Adventures </c:v>
                </c:pt>
                <c:pt idx="155">
                  <c:v>A Very Harold &amp; Kumar 3D Christmas </c:v>
                </c:pt>
                <c:pt idx="156">
                  <c:v>A Very Long Engagement </c:v>
                </c:pt>
                <c:pt idx="157">
                  <c:v>A View to a Kill </c:v>
                </c:pt>
                <c:pt idx="158">
                  <c:v>A Walk Among the Tombstones </c:v>
                </c:pt>
                <c:pt idx="159">
                  <c:v>A Walk on the Moon </c:v>
                </c:pt>
                <c:pt idx="160">
                  <c:v>A Walk to Remember </c:v>
                </c:pt>
                <c:pt idx="161">
                  <c:v>A Warrior's Tail </c:v>
                </c:pt>
                <c:pt idx="162">
                  <c:v>A Woman, a Gun and a Noodle Shop </c:v>
                </c:pt>
                <c:pt idx="163">
                  <c:v>A.I. Artificial Intelligence </c:v>
                </c:pt>
                <c:pt idx="164">
                  <c:v>Abandon </c:v>
                </c:pt>
                <c:pt idx="165">
                  <c:v>Abandoned </c:v>
                </c:pt>
                <c:pt idx="166">
                  <c:v>ABCD (Any Body Can Dance) </c:v>
                </c:pt>
                <c:pt idx="167">
                  <c:v>Abduction </c:v>
                </c:pt>
                <c:pt idx="168">
                  <c:v>Aberdeen </c:v>
                </c:pt>
                <c:pt idx="169">
                  <c:v>About a Boy </c:v>
                </c:pt>
                <c:pt idx="170">
                  <c:v>About Last Night </c:v>
                </c:pt>
                <c:pt idx="171">
                  <c:v>About Schmidt </c:v>
                </c:pt>
                <c:pt idx="172">
                  <c:v>About Time </c:v>
                </c:pt>
                <c:pt idx="173">
                  <c:v>Abraham Lincoln: Vampire Hunter </c:v>
                </c:pt>
                <c:pt idx="174">
                  <c:v>Absentia </c:v>
                </c:pt>
                <c:pt idx="175">
                  <c:v>Absolute Power </c:v>
                </c:pt>
                <c:pt idx="176">
                  <c:v>Accidental Love </c:v>
                </c:pt>
                <c:pt idx="177">
                  <c:v>Ace Ventura: Pet Detective </c:v>
                </c:pt>
                <c:pt idx="178">
                  <c:v>Ace Ventura: When Nature Calls </c:v>
                </c:pt>
                <c:pt idx="179">
                  <c:v>Across the Universe </c:v>
                </c:pt>
                <c:pt idx="180">
                  <c:v>Act of Valor </c:v>
                </c:pt>
                <c:pt idx="181">
                  <c:v>Action Jackson </c:v>
                </c:pt>
                <c:pt idx="182">
                  <c:v>Adam Resurrected </c:v>
                </c:pt>
                <c:pt idx="183">
                  <c:v>Adam </c:v>
                </c:pt>
                <c:pt idx="184">
                  <c:v>Adaptation. </c:v>
                </c:pt>
                <c:pt idx="185">
                  <c:v>Addicted </c:v>
                </c:pt>
                <c:pt idx="186">
                  <c:v>Admission </c:v>
                </c:pt>
                <c:pt idx="187">
                  <c:v>Adore </c:v>
                </c:pt>
                <c:pt idx="188">
                  <c:v>Adulterers </c:v>
                </c:pt>
                <c:pt idx="189">
                  <c:v>Adventureland </c:v>
                </c:pt>
                <c:pt idx="190">
                  <c:v>Æon Flux </c:v>
                </c:pt>
                <c:pt idx="191">
                  <c:v>After Earth </c:v>
                </c:pt>
                <c:pt idx="192">
                  <c:v>After the Sunset </c:v>
                </c:pt>
                <c:pt idx="193">
                  <c:v>After </c:v>
                </c:pt>
                <c:pt idx="194">
                  <c:v>After.Life </c:v>
                </c:pt>
                <c:pt idx="195">
                  <c:v>Against the Ropes </c:v>
                </c:pt>
                <c:pt idx="196">
                  <c:v>Against the Wild </c:v>
                </c:pt>
                <c:pt idx="197">
                  <c:v>Agent Cody Banks 2: Destination London </c:v>
                </c:pt>
                <c:pt idx="198">
                  <c:v>Agent Cody Banks </c:v>
                </c:pt>
                <c:pt idx="199">
                  <c:v>Agora </c:v>
                </c:pt>
                <c:pt idx="200">
                  <c:v>Aimee &amp; Jaguar </c:v>
                </c:pt>
                <c:pt idx="201">
                  <c:v>Air Bud </c:v>
                </c:pt>
                <c:pt idx="202">
                  <c:v>Air Force One </c:v>
                </c:pt>
                <c:pt idx="203">
                  <c:v>Airborne </c:v>
                </c:pt>
                <c:pt idx="204">
                  <c:v>Airlift </c:v>
                </c:pt>
                <c:pt idx="205">
                  <c:v>Airplane! </c:v>
                </c:pt>
                <c:pt idx="206">
                  <c:v>Ajami </c:v>
                </c:pt>
                <c:pt idx="207">
                  <c:v>Akeelah and the Bee </c:v>
                </c:pt>
                <c:pt idx="208">
                  <c:v>Akira </c:v>
                </c:pt>
                <c:pt idx="209">
                  <c:v>Aladdin </c:v>
                </c:pt>
                <c:pt idx="210">
                  <c:v>Albert Nobbs </c:v>
                </c:pt>
                <c:pt idx="211">
                  <c:v>Albino Alligator </c:v>
                </c:pt>
                <c:pt idx="212">
                  <c:v>Alex &amp; Emma </c:v>
                </c:pt>
                <c:pt idx="213">
                  <c:v>Alex Cross </c:v>
                </c:pt>
                <c:pt idx="214">
                  <c:v>Alex Rider: Operation Stormbreaker </c:v>
                </c:pt>
                <c:pt idx="215">
                  <c:v>Alexander and the Terrible, Horrible, No Good, Very Bad Day </c:v>
                </c:pt>
                <c:pt idx="216">
                  <c:v>Alexander </c:v>
                </c:pt>
                <c:pt idx="217">
                  <c:v>Alexander's Ragtime Band </c:v>
                </c:pt>
                <c:pt idx="218">
                  <c:v>Alfie </c:v>
                </c:pt>
                <c:pt idx="219">
                  <c:v>Ali </c:v>
                </c:pt>
                <c:pt idx="220">
                  <c:v>Alias Betty </c:v>
                </c:pt>
                <c:pt idx="221">
                  <c:v>Alice in Wonderland </c:v>
                </c:pt>
                <c:pt idx="222">
                  <c:v>Alice Through the Looking Glass </c:v>
                </c:pt>
                <c:pt idx="223">
                  <c:v>Alien 3 </c:v>
                </c:pt>
                <c:pt idx="224">
                  <c:v>Alien Uprising </c:v>
                </c:pt>
                <c:pt idx="225">
                  <c:v>Alien Zone </c:v>
                </c:pt>
                <c:pt idx="226">
                  <c:v>Alien </c:v>
                </c:pt>
                <c:pt idx="227">
                  <c:v>Alien: Resurrection </c:v>
                </c:pt>
                <c:pt idx="228">
                  <c:v>Aliens in the Attic </c:v>
                </c:pt>
                <c:pt idx="229">
                  <c:v>Aliens vs. Predator: Requiem </c:v>
                </c:pt>
                <c:pt idx="230">
                  <c:v>Aliens </c:v>
                </c:pt>
                <c:pt idx="231">
                  <c:v>Alive </c:v>
                </c:pt>
                <c:pt idx="232">
                  <c:v>All About Steve </c:v>
                </c:pt>
                <c:pt idx="233">
                  <c:v>All About the Benjamins </c:v>
                </c:pt>
                <c:pt idx="234">
                  <c:v>All Good Things </c:v>
                </c:pt>
                <c:pt idx="235">
                  <c:v>All Hat </c:v>
                </c:pt>
                <c:pt idx="236">
                  <c:v>All Is Bright </c:v>
                </c:pt>
                <c:pt idx="237">
                  <c:v>All Is Lost </c:v>
                </c:pt>
                <c:pt idx="238">
                  <c:v>All or Nothing </c:v>
                </c:pt>
                <c:pt idx="239">
                  <c:v>All Superheroes Must Die </c:v>
                </c:pt>
                <c:pt idx="240">
                  <c:v>All That Jazz </c:v>
                </c:pt>
                <c:pt idx="241">
                  <c:v>All the Boys Love Mandy Lane </c:v>
                </c:pt>
                <c:pt idx="242">
                  <c:v>All the King's Men </c:v>
                </c:pt>
                <c:pt idx="243">
                  <c:v>All the Pretty Horses </c:v>
                </c:pt>
                <c:pt idx="244">
                  <c:v>All the Queen's Men </c:v>
                </c:pt>
                <c:pt idx="245">
                  <c:v>All the Real Girls </c:v>
                </c:pt>
                <c:pt idx="246">
                  <c:v>Allegiant </c:v>
                </c:pt>
                <c:pt idx="247">
                  <c:v>Alleluia! The Devil's Carnival </c:v>
                </c:pt>
                <c:pt idx="248">
                  <c:v>Almost Famous </c:v>
                </c:pt>
                <c:pt idx="249">
                  <c:v>Aloft </c:v>
                </c:pt>
                <c:pt idx="250">
                  <c:v>Aloha </c:v>
                </c:pt>
                <c:pt idx="251">
                  <c:v>Alone in the Dark </c:v>
                </c:pt>
                <c:pt idx="252">
                  <c:v>Alone with Her </c:v>
                </c:pt>
                <c:pt idx="253">
                  <c:v>Along Came a Spider </c:v>
                </c:pt>
                <c:pt idx="254">
                  <c:v>Along Came Polly </c:v>
                </c:pt>
                <c:pt idx="255">
                  <c:v>Along the Roadside </c:v>
                </c:pt>
                <c:pt idx="256">
                  <c:v>Alpha and Omega 4: The Legend of the Saw Toothed Cave </c:v>
                </c:pt>
                <c:pt idx="257">
                  <c:v>Alpha and Omega </c:v>
                </c:pt>
                <c:pt idx="258">
                  <c:v>Alvin and the Chipmunks </c:v>
                </c:pt>
                <c:pt idx="259">
                  <c:v>Alvin and the Chipmunks: Chipwrecked </c:v>
                </c:pt>
                <c:pt idx="260">
                  <c:v>Alvin and the Chipmunks: The Road Chip </c:v>
                </c:pt>
                <c:pt idx="261">
                  <c:v>Alvin and the Chipmunks: The Squeakquel </c:v>
                </c:pt>
                <c:pt idx="262">
                  <c:v>Always Woodstock </c:v>
                </c:pt>
                <c:pt idx="263">
                  <c:v>Amadeus </c:v>
                </c:pt>
                <c:pt idx="264">
                  <c:v>Amélie </c:v>
                </c:pt>
                <c:pt idx="265">
                  <c:v>Amen. </c:v>
                </c:pt>
                <c:pt idx="266">
                  <c:v>America Is Still the Place </c:v>
                </c:pt>
                <c:pt idx="267">
                  <c:v>American Beauty </c:v>
                </c:pt>
                <c:pt idx="268">
                  <c:v>American Desi </c:v>
                </c:pt>
                <c:pt idx="269">
                  <c:v>American Dreamz </c:v>
                </c:pt>
                <c:pt idx="270">
                  <c:v>American Gangster </c:v>
                </c:pt>
                <c:pt idx="271">
                  <c:v>American Graffiti </c:v>
                </c:pt>
                <c:pt idx="272">
                  <c:v>American Heist </c:v>
                </c:pt>
                <c:pt idx="273">
                  <c:v>American Hero </c:v>
                </c:pt>
                <c:pt idx="274">
                  <c:v>American History X </c:v>
                </c:pt>
                <c:pt idx="275">
                  <c:v>American Hustle </c:v>
                </c:pt>
                <c:pt idx="276">
                  <c:v>American Ninja 2: The Confrontation </c:v>
                </c:pt>
                <c:pt idx="277">
                  <c:v>American Outlaws </c:v>
                </c:pt>
                <c:pt idx="278">
                  <c:v>American Pie 2 </c:v>
                </c:pt>
                <c:pt idx="279">
                  <c:v>American Pie </c:v>
                </c:pt>
                <c:pt idx="280">
                  <c:v>American Psycho </c:v>
                </c:pt>
                <c:pt idx="281">
                  <c:v>American Reunion </c:v>
                </c:pt>
                <c:pt idx="282">
                  <c:v>American Sniper </c:v>
                </c:pt>
                <c:pt idx="283">
                  <c:v>American Splendor </c:v>
                </c:pt>
                <c:pt idx="284">
                  <c:v>American Wedding </c:v>
                </c:pt>
                <c:pt idx="285">
                  <c:v>America's Sweethearts </c:v>
                </c:pt>
                <c:pt idx="286">
                  <c:v>Amidst the Devil's Wings </c:v>
                </c:pt>
                <c:pt idx="287">
                  <c:v>Amigo </c:v>
                </c:pt>
                <c:pt idx="288">
                  <c:v>Amistad </c:v>
                </c:pt>
                <c:pt idx="289">
                  <c:v>Amnesiac </c:v>
                </c:pt>
                <c:pt idx="290">
                  <c:v>Among Giants </c:v>
                </c:pt>
                <c:pt idx="291">
                  <c:v>Amores Perros </c:v>
                </c:pt>
                <c:pt idx="292">
                  <c:v>Amour </c:v>
                </c:pt>
                <c:pt idx="293">
                  <c:v>An Alan Smithee Film: Burn Hollywood Burn </c:v>
                </c:pt>
                <c:pt idx="294">
                  <c:v>An American Carol </c:v>
                </c:pt>
                <c:pt idx="295">
                  <c:v>An American Girl Holiday </c:v>
                </c:pt>
                <c:pt idx="296">
                  <c:v>An American Haunting </c:v>
                </c:pt>
                <c:pt idx="297">
                  <c:v>An American in Hollywood </c:v>
                </c:pt>
                <c:pt idx="298">
                  <c:v>An Education </c:v>
                </c:pt>
                <c:pt idx="299">
                  <c:v>An Everlasting Piece </c:v>
                </c:pt>
                <c:pt idx="300">
                  <c:v>An Ideal Husband </c:v>
                </c:pt>
                <c:pt idx="301">
                  <c:v>An Inconvenient Truth </c:v>
                </c:pt>
                <c:pt idx="302">
                  <c:v>An Unfinished Life </c:v>
                </c:pt>
                <c:pt idx="303">
                  <c:v>Anaconda </c:v>
                </c:pt>
                <c:pt idx="304">
                  <c:v>Anacondas: The Hunt for the Blood Orchid </c:v>
                </c:pt>
                <c:pt idx="305">
                  <c:v>Analyze That </c:v>
                </c:pt>
                <c:pt idx="306">
                  <c:v>Analyze This </c:v>
                </c:pt>
                <c:pt idx="307">
                  <c:v>Anastasia </c:v>
                </c:pt>
                <c:pt idx="308">
                  <c:v>Anatomy </c:v>
                </c:pt>
                <c:pt idx="309">
                  <c:v>Anchorman 2: The Legend Continues </c:v>
                </c:pt>
                <c:pt idx="310">
                  <c:v>Anchorman: The Legend of Ron Burgundy </c:v>
                </c:pt>
                <c:pt idx="311">
                  <c:v>And So It Goes </c:v>
                </c:pt>
                <c:pt idx="312">
                  <c:v>And Then Came Love </c:v>
                </c:pt>
                <c:pt idx="313">
                  <c:v>Anderson's Cross </c:v>
                </c:pt>
                <c:pt idx="314">
                  <c:v>Angel Eyes </c:v>
                </c:pt>
                <c:pt idx="315">
                  <c:v>Angela's Ashes </c:v>
                </c:pt>
                <c:pt idx="316">
                  <c:v>Angels &amp; Demons </c:v>
                </c:pt>
                <c:pt idx="317">
                  <c:v>Anger Management </c:v>
                </c:pt>
                <c:pt idx="318">
                  <c:v>Animal House </c:v>
                </c:pt>
                <c:pt idx="319">
                  <c:v>Animal Kingdom </c:v>
                </c:pt>
                <c:pt idx="320">
                  <c:v>Animal Kingdom: Let's go Ape </c:v>
                </c:pt>
                <c:pt idx="321">
                  <c:v>Animals United </c:v>
                </c:pt>
                <c:pt idx="322">
                  <c:v>Animals </c:v>
                </c:pt>
                <c:pt idx="323">
                  <c:v>Anna and the King </c:v>
                </c:pt>
                <c:pt idx="324">
                  <c:v>Anna Karenina </c:v>
                </c:pt>
                <c:pt idx="325">
                  <c:v>Annabelle </c:v>
                </c:pt>
                <c:pt idx="326">
                  <c:v>Anne of Green Gables </c:v>
                </c:pt>
                <c:pt idx="327">
                  <c:v>Annie Get Your Gun </c:v>
                </c:pt>
                <c:pt idx="328">
                  <c:v>Annie Hall </c:v>
                </c:pt>
                <c:pt idx="329">
                  <c:v>Annie </c:v>
                </c:pt>
                <c:pt idx="330">
                  <c:v>Anomalisa </c:v>
                </c:pt>
                <c:pt idx="331">
                  <c:v>Anonymous </c:v>
                </c:pt>
                <c:pt idx="332">
                  <c:v>Another Earth </c:v>
                </c:pt>
                <c:pt idx="333">
                  <c:v>Another Happy Day </c:v>
                </c:pt>
                <c:pt idx="334">
                  <c:v>Another Year </c:v>
                </c:pt>
                <c:pt idx="335">
                  <c:v>Antarctic Edge: 70° South </c:v>
                </c:pt>
                <c:pt idx="336">
                  <c:v>Antarctica: A Year on Ice </c:v>
                </c:pt>
                <c:pt idx="337">
                  <c:v>Antibirth </c:v>
                </c:pt>
                <c:pt idx="338">
                  <c:v>Antitrust </c:v>
                </c:pt>
                <c:pt idx="339">
                  <c:v>Antiviral </c:v>
                </c:pt>
                <c:pt idx="340">
                  <c:v>Ant-Man </c:v>
                </c:pt>
                <c:pt idx="341">
                  <c:v>Antwone Fisher </c:v>
                </c:pt>
                <c:pt idx="342">
                  <c:v>Antz </c:v>
                </c:pt>
                <c:pt idx="343">
                  <c:v>Any Given Sunday </c:v>
                </c:pt>
                <c:pt idx="344">
                  <c:v>Anything Else </c:v>
                </c:pt>
                <c:pt idx="345">
                  <c:v>Anywhere But Here </c:v>
                </c:pt>
                <c:pt idx="346">
                  <c:v>Apocalypse Now </c:v>
                </c:pt>
                <c:pt idx="347">
                  <c:v>Apocalypto </c:v>
                </c:pt>
                <c:pt idx="348">
                  <c:v>Apollo 13 </c:v>
                </c:pt>
                <c:pt idx="349">
                  <c:v>Apollo 18 </c:v>
                </c:pt>
                <c:pt idx="350">
                  <c:v>Appaloosa </c:v>
                </c:pt>
                <c:pt idx="351">
                  <c:v>April Fool's Day </c:v>
                </c:pt>
                <c:pt idx="352">
                  <c:v>Aqua Teen Hunger Force Colon Movie Film for Theaters </c:v>
                </c:pt>
                <c:pt idx="353">
                  <c:v>Aquamarine </c:v>
                </c:pt>
                <c:pt idx="354">
                  <c:v>Arachnophobia </c:v>
                </c:pt>
                <c:pt idx="355">
                  <c:v>Ararat </c:v>
                </c:pt>
                <c:pt idx="356">
                  <c:v>Arbitrage </c:v>
                </c:pt>
                <c:pt idx="357">
                  <c:v>Archaeology of a Woman </c:v>
                </c:pt>
                <c:pt idx="358">
                  <c:v>Are We There Yet? </c:v>
                </c:pt>
                <c:pt idx="359">
                  <c:v>Area 51 </c:v>
                </c:pt>
                <c:pt idx="360">
                  <c:v>Argo </c:v>
                </c:pt>
                <c:pt idx="361">
                  <c:v>Arlington Road </c:v>
                </c:pt>
                <c:pt idx="362">
                  <c:v>Armageddon </c:v>
                </c:pt>
                <c:pt idx="363">
                  <c:v>Armored </c:v>
                </c:pt>
                <c:pt idx="364">
                  <c:v>Army of Darkness </c:v>
                </c:pt>
                <c:pt idx="365">
                  <c:v>Arn: The Knight Templar </c:v>
                </c:pt>
                <c:pt idx="366">
                  <c:v>Arnolds Park </c:v>
                </c:pt>
                <c:pt idx="367">
                  <c:v>Around the World in 80 Days </c:v>
                </c:pt>
                <c:pt idx="368">
                  <c:v>Aroused </c:v>
                </c:pt>
                <c:pt idx="369">
                  <c:v>Arthur and the Invisibles </c:v>
                </c:pt>
                <c:pt idx="370">
                  <c:v>Arthur Christmas </c:v>
                </c:pt>
                <c:pt idx="371">
                  <c:v>Arthur </c:v>
                </c:pt>
                <c:pt idx="372">
                  <c:v>As Above, So Below </c:v>
                </c:pt>
                <c:pt idx="373">
                  <c:v>As Good as It Gets </c:v>
                </c:pt>
                <c:pt idx="374">
                  <c:v>As It Is in Heaven </c:v>
                </c:pt>
                <c:pt idx="375">
                  <c:v>Ask Me Anything </c:v>
                </c:pt>
                <c:pt idx="376">
                  <c:v>Assassins </c:v>
                </c:pt>
                <c:pt idx="377">
                  <c:v>Assault on Precinct 13 </c:v>
                </c:pt>
                <c:pt idx="378">
                  <c:v>Asterix at the Olympic Games </c:v>
                </c:pt>
                <c:pt idx="379">
                  <c:v>Astro Boy </c:v>
                </c:pt>
                <c:pt idx="380">
                  <c:v>At First Sight </c:v>
                </c:pt>
                <c:pt idx="381">
                  <c:v>ATL </c:v>
                </c:pt>
                <c:pt idx="382">
                  <c:v>Atlantis: The Lost Empire </c:v>
                </c:pt>
                <c:pt idx="383">
                  <c:v>Atlas Shrugged II: The Strike </c:v>
                </c:pt>
                <c:pt idx="384">
                  <c:v>Atlas Shrugged: Who Is John Galt? </c:v>
                </c:pt>
                <c:pt idx="385">
                  <c:v>Atonement </c:v>
                </c:pt>
                <c:pt idx="386">
                  <c:v>Attack the Block </c:v>
                </c:pt>
                <c:pt idx="387">
                  <c:v>August Rush </c:v>
                </c:pt>
                <c:pt idx="388">
                  <c:v>August </c:v>
                </c:pt>
                <c:pt idx="389">
                  <c:v>August: Osage County </c:v>
                </c:pt>
                <c:pt idx="390">
                  <c:v>Austin Powers in Goldmember </c:v>
                </c:pt>
                <c:pt idx="391">
                  <c:v>Austin Powers: International Man of Mystery </c:v>
                </c:pt>
                <c:pt idx="392">
                  <c:v>Austin Powers: The Spy Who Shagged Me </c:v>
                </c:pt>
                <c:pt idx="393">
                  <c:v>Australia </c:v>
                </c:pt>
                <c:pt idx="394">
                  <c:v>Auto Focus </c:v>
                </c:pt>
                <c:pt idx="395">
                  <c:v>Automata </c:v>
                </c:pt>
                <c:pt idx="396">
                  <c:v>Autumn in New York </c:v>
                </c:pt>
                <c:pt idx="397">
                  <c:v>Avatar </c:v>
                </c:pt>
                <c:pt idx="398">
                  <c:v>Avengers: Age of Ultron </c:v>
                </c:pt>
                <c:pt idx="399">
                  <c:v>AVP: Alien vs. Predator </c:v>
                </c:pt>
                <c:pt idx="400">
                  <c:v>Awake </c:v>
                </c:pt>
                <c:pt idx="401">
                  <c:v>Away We Go </c:v>
                </c:pt>
                <c:pt idx="402">
                  <c:v>AWOL-72 </c:v>
                </c:pt>
                <c:pt idx="403">
                  <c:v>Ayurveda: Art of Being </c:v>
                </c:pt>
                <c:pt idx="404">
                  <c:v>Baahubali: The Beginning </c:v>
                </c:pt>
                <c:pt idx="405">
                  <c:v>Babe </c:v>
                </c:pt>
                <c:pt idx="406">
                  <c:v>Babe: Pig in the City </c:v>
                </c:pt>
                <c:pt idx="407">
                  <c:v>Babel </c:v>
                </c:pt>
                <c:pt idx="408">
                  <c:v>Baby Boy </c:v>
                </c:pt>
                <c:pt idx="409">
                  <c:v>Baby Geniuses </c:v>
                </c:pt>
                <c:pt idx="410">
                  <c:v>Baby Mama </c:v>
                </c:pt>
                <c:pt idx="411">
                  <c:v>Babylon A.D. </c:v>
                </c:pt>
                <c:pt idx="412">
                  <c:v>Baby's Day Out </c:v>
                </c:pt>
                <c:pt idx="413">
                  <c:v>Bachelorette </c:v>
                </c:pt>
                <c:pt idx="414">
                  <c:v>Back to the Future Part II </c:v>
                </c:pt>
                <c:pt idx="415">
                  <c:v>Back to the Future Part III </c:v>
                </c:pt>
                <c:pt idx="416">
                  <c:v>Back to the Future </c:v>
                </c:pt>
                <c:pt idx="417">
                  <c:v>Bad Boys II </c:v>
                </c:pt>
                <c:pt idx="418">
                  <c:v>Bad Boys </c:v>
                </c:pt>
                <c:pt idx="419">
                  <c:v>Bad Company </c:v>
                </c:pt>
                <c:pt idx="420">
                  <c:v>Bad Grandpa </c:v>
                </c:pt>
                <c:pt idx="421">
                  <c:v>Bad Lieutenant: Port of Call New Orleans </c:v>
                </c:pt>
                <c:pt idx="422">
                  <c:v>Bad Moms </c:v>
                </c:pt>
                <c:pt idx="423">
                  <c:v>Bad Santa </c:v>
                </c:pt>
                <c:pt idx="424">
                  <c:v>Bad Teacher </c:v>
                </c:pt>
                <c:pt idx="425">
                  <c:v>Bad Words </c:v>
                </c:pt>
                <c:pt idx="426">
                  <c:v>Baggage Claim </c:v>
                </c:pt>
                <c:pt idx="427">
                  <c:v>Baghead </c:v>
                </c:pt>
                <c:pt idx="428">
                  <c:v>Bait </c:v>
                </c:pt>
                <c:pt idx="429">
                  <c:v>Ballistic: Ecks vs. Sever </c:v>
                </c:pt>
                <c:pt idx="430">
                  <c:v>Bambi </c:v>
                </c:pt>
                <c:pt idx="431">
                  <c:v>Bamboozled </c:v>
                </c:pt>
                <c:pt idx="432">
                  <c:v>Bananas </c:v>
                </c:pt>
                <c:pt idx="433">
                  <c:v>Bandidas </c:v>
                </c:pt>
                <c:pt idx="434">
                  <c:v>Bandits </c:v>
                </c:pt>
                <c:pt idx="435">
                  <c:v>Bandslam </c:v>
                </c:pt>
                <c:pt idx="436">
                  <c:v>Bang Bang Baby </c:v>
                </c:pt>
                <c:pt idx="437">
                  <c:v>Bang </c:v>
                </c:pt>
                <c:pt idx="438">
                  <c:v>Bangkok Dangerous </c:v>
                </c:pt>
                <c:pt idx="439">
                  <c:v>Banshee Chapter </c:v>
                </c:pt>
                <c:pt idx="440">
                  <c:v>Barbarella </c:v>
                </c:pt>
                <c:pt idx="441">
                  <c:v>Barbecue </c:v>
                </c:pt>
                <c:pt idx="442">
                  <c:v>Barbershop 2: Back in Business </c:v>
                </c:pt>
                <c:pt idx="443">
                  <c:v>Barbershop </c:v>
                </c:pt>
                <c:pt idx="444">
                  <c:v>Barfi </c:v>
                </c:pt>
                <c:pt idx="445">
                  <c:v>Barney's Great Adventure </c:v>
                </c:pt>
                <c:pt idx="446">
                  <c:v>Barney's Version </c:v>
                </c:pt>
                <c:pt idx="447">
                  <c:v>Barnyard </c:v>
                </c:pt>
                <c:pt idx="448">
                  <c:v>Barry Lyndon </c:v>
                </c:pt>
                <c:pt idx="449">
                  <c:v>Barry Munday </c:v>
                </c:pt>
                <c:pt idx="450">
                  <c:v>Basic Instinct 2 </c:v>
                </c:pt>
                <c:pt idx="451">
                  <c:v>Basic </c:v>
                </c:pt>
                <c:pt idx="452">
                  <c:v>Basquiat </c:v>
                </c:pt>
                <c:pt idx="453">
                  <c:v>Bathing Beauty </c:v>
                </c:pt>
                <c:pt idx="454">
                  <c:v>Bathory: Countess of Blood </c:v>
                </c:pt>
                <c:pt idx="455">
                  <c:v>Batman &amp; Robin </c:v>
                </c:pt>
                <c:pt idx="456">
                  <c:v>Batman Begins </c:v>
                </c:pt>
                <c:pt idx="457">
                  <c:v>Batman Forever </c:v>
                </c:pt>
                <c:pt idx="458">
                  <c:v>Batman Returns </c:v>
                </c:pt>
                <c:pt idx="459">
                  <c:v>Batman v Superman: Dawn of Justice </c:v>
                </c:pt>
                <c:pt idx="460">
                  <c:v>Batman </c:v>
                </c:pt>
                <c:pt idx="461">
                  <c:v>Batman: The Dark Knight Returns, Part 2 </c:v>
                </c:pt>
                <c:pt idx="462">
                  <c:v>Batman: The Movie </c:v>
                </c:pt>
                <c:pt idx="463">
                  <c:v>Bats </c:v>
                </c:pt>
                <c:pt idx="464">
                  <c:v>Battle for the Planet of the Apes </c:v>
                </c:pt>
                <c:pt idx="465">
                  <c:v>Battle Los Angeles </c:v>
                </c:pt>
                <c:pt idx="466">
                  <c:v>Battle of the Year </c:v>
                </c:pt>
                <c:pt idx="467">
                  <c:v>Battlefield Earth </c:v>
                </c:pt>
                <c:pt idx="468">
                  <c:v>Battleship </c:v>
                </c:pt>
                <c:pt idx="469">
                  <c:v>Be Cool </c:v>
                </c:pt>
                <c:pt idx="470">
                  <c:v>Be Kind Rewind </c:v>
                </c:pt>
                <c:pt idx="471">
                  <c:v>Beastly </c:v>
                </c:pt>
                <c:pt idx="472">
                  <c:v>Beastmaster 2: Through the Portal of Time </c:v>
                </c:pt>
                <c:pt idx="473">
                  <c:v>Beasts of the Southern Wild </c:v>
                </c:pt>
                <c:pt idx="474">
                  <c:v>Beautiful Creatures </c:v>
                </c:pt>
                <c:pt idx="475">
                  <c:v>Beauty Shop </c:v>
                </c:pt>
                <c:pt idx="476">
                  <c:v>Beavis and Butt-Head Do America </c:v>
                </c:pt>
                <c:pt idx="477">
                  <c:v>Because I Said So </c:v>
                </c:pt>
                <c:pt idx="478">
                  <c:v>Because of Winn-Dixie </c:v>
                </c:pt>
                <c:pt idx="479">
                  <c:v>Becoming Jane </c:v>
                </c:pt>
                <c:pt idx="480">
                  <c:v>Bedazzled </c:v>
                </c:pt>
                <c:pt idx="481">
                  <c:v>Bedtime Stories </c:v>
                </c:pt>
                <c:pt idx="482">
                  <c:v>Bee Movie </c:v>
                </c:pt>
                <c:pt idx="483">
                  <c:v>Beer League </c:v>
                </c:pt>
                <c:pt idx="484">
                  <c:v>Beerfest </c:v>
                </c:pt>
                <c:pt idx="485">
                  <c:v>Beetlejuice </c:v>
                </c:pt>
                <c:pt idx="486">
                  <c:v>Before I Go to Sleep </c:v>
                </c:pt>
                <c:pt idx="487">
                  <c:v>Before Midnight </c:v>
                </c:pt>
                <c:pt idx="488">
                  <c:v>Before Sunrise </c:v>
                </c:pt>
                <c:pt idx="489">
                  <c:v>Before Sunset </c:v>
                </c:pt>
                <c:pt idx="490">
                  <c:v>Begin Again </c:v>
                </c:pt>
                <c:pt idx="491">
                  <c:v>Beginners </c:v>
                </c:pt>
                <c:pt idx="492">
                  <c:v>Behind Enemy Lines </c:v>
                </c:pt>
                <c:pt idx="493">
                  <c:v>Being John Malkovich </c:v>
                </c:pt>
                <c:pt idx="494">
                  <c:v>Being Julia </c:v>
                </c:pt>
                <c:pt idx="495">
                  <c:v>Bella </c:v>
                </c:pt>
                <c:pt idx="496">
                  <c:v>Beloved </c:v>
                </c:pt>
                <c:pt idx="497">
                  <c:v>Below Zero </c:v>
                </c:pt>
                <c:pt idx="498">
                  <c:v>Bend It Like Beckham </c:v>
                </c:pt>
                <c:pt idx="499">
                  <c:v>Bending Steel </c:v>
                </c:pt>
                <c:pt idx="500">
                  <c:v>Beneath Hill 60 </c:v>
                </c:pt>
                <c:pt idx="501">
                  <c:v>Beneath the Planet of the Apes </c:v>
                </c:pt>
                <c:pt idx="502">
                  <c:v>Ben-Hur </c:v>
                </c:pt>
                <c:pt idx="503">
                  <c:v>Benji </c:v>
                </c:pt>
                <c:pt idx="504">
                  <c:v>Beowulf </c:v>
                </c:pt>
                <c:pt idx="505">
                  <c:v>Bernie </c:v>
                </c:pt>
                <c:pt idx="506">
                  <c:v>Best in Show </c:v>
                </c:pt>
                <c:pt idx="507">
                  <c:v>Better Luck Tomorrow </c:v>
                </c:pt>
                <c:pt idx="508">
                  <c:v>Beverly Hills Chihuahua </c:v>
                </c:pt>
                <c:pt idx="509">
                  <c:v>Beverly Hills Cop II </c:v>
                </c:pt>
                <c:pt idx="510">
                  <c:v>Beverly Hills Cop III </c:v>
                </c:pt>
                <c:pt idx="511">
                  <c:v>Beverly Hills Cop </c:v>
                </c:pt>
                <c:pt idx="512">
                  <c:v>Bewitched </c:v>
                </c:pt>
                <c:pt idx="513">
                  <c:v>Beyond Borders </c:v>
                </c:pt>
                <c:pt idx="514">
                  <c:v>Beyond the Black Rainbow </c:v>
                </c:pt>
                <c:pt idx="515">
                  <c:v>Beyond the Lights </c:v>
                </c:pt>
                <c:pt idx="516">
                  <c:v>Beyond the Mat </c:v>
                </c:pt>
                <c:pt idx="517">
                  <c:v>Beyond the Sea </c:v>
                </c:pt>
                <c:pt idx="518">
                  <c:v>Beyond the Valley of the Dolls </c:v>
                </c:pt>
                <c:pt idx="519">
                  <c:v>B-Girl </c:v>
                </c:pt>
                <c:pt idx="520">
                  <c:v>Bicentennial Man </c:v>
                </c:pt>
                <c:pt idx="521">
                  <c:v>Big Daddy </c:v>
                </c:pt>
                <c:pt idx="522">
                  <c:v>Big Eyes </c:v>
                </c:pt>
                <c:pt idx="523">
                  <c:v>Big Fat Liar </c:v>
                </c:pt>
                <c:pt idx="524">
                  <c:v>Big Fish </c:v>
                </c:pt>
                <c:pt idx="525">
                  <c:v>Big Hero 6 </c:v>
                </c:pt>
                <c:pt idx="526">
                  <c:v>Big Miracle </c:v>
                </c:pt>
                <c:pt idx="527">
                  <c:v>Big Momma's House 2 </c:v>
                </c:pt>
                <c:pt idx="528">
                  <c:v>Big Momma's House </c:v>
                </c:pt>
                <c:pt idx="529">
                  <c:v>Big Mommas: Like Father, Like Son </c:v>
                </c:pt>
                <c:pt idx="530">
                  <c:v>Big Trouble in Little China </c:v>
                </c:pt>
                <c:pt idx="531">
                  <c:v>Big Trouble </c:v>
                </c:pt>
                <c:pt idx="532">
                  <c:v>Big </c:v>
                </c:pt>
                <c:pt idx="533">
                  <c:v>Bill &amp; Ted's Bogus Journey </c:v>
                </c:pt>
                <c:pt idx="534">
                  <c:v>Bill &amp; Ted's Excellent Adventure </c:v>
                </c:pt>
                <c:pt idx="535">
                  <c:v>Billy Elliot </c:v>
                </c:pt>
                <c:pt idx="536">
                  <c:v>Birdman or (The Unexpected Virtue of Ignorance) </c:v>
                </c:pt>
                <c:pt idx="537">
                  <c:v>Birth </c:v>
                </c:pt>
                <c:pt idx="538">
                  <c:v>Birthday Girl </c:v>
                </c:pt>
                <c:pt idx="539">
                  <c:v>Biutiful </c:v>
                </c:pt>
                <c:pt idx="540">
                  <c:v>Bizarre </c:v>
                </c:pt>
                <c:pt idx="541">
                  <c:v>Black Book </c:v>
                </c:pt>
                <c:pt idx="542">
                  <c:v>Black Christmas </c:v>
                </c:pt>
                <c:pt idx="543">
                  <c:v>Black Hawk Down </c:v>
                </c:pt>
                <c:pt idx="544">
                  <c:v>Black Knight </c:v>
                </c:pt>
                <c:pt idx="545">
                  <c:v>Black Mass </c:v>
                </c:pt>
                <c:pt idx="546">
                  <c:v>Black Nativity </c:v>
                </c:pt>
                <c:pt idx="547">
                  <c:v>Black November </c:v>
                </c:pt>
                <c:pt idx="548">
                  <c:v>Black or White </c:v>
                </c:pt>
                <c:pt idx="549">
                  <c:v>Black Rain </c:v>
                </c:pt>
                <c:pt idx="550">
                  <c:v>Black Rock </c:v>
                </c:pt>
                <c:pt idx="551">
                  <c:v>Black Snake Moan </c:v>
                </c:pt>
                <c:pt idx="552">
                  <c:v>Black Swan </c:v>
                </c:pt>
                <c:pt idx="553">
                  <c:v>Black Water Transit </c:v>
                </c:pt>
                <c:pt idx="554">
                  <c:v>Blackhat </c:v>
                </c:pt>
                <c:pt idx="555">
                  <c:v>Blackthorn </c:v>
                </c:pt>
                <c:pt idx="556">
                  <c:v>Blade II </c:v>
                </c:pt>
                <c:pt idx="557">
                  <c:v>Blade Runner </c:v>
                </c:pt>
                <c:pt idx="558">
                  <c:v>Blade </c:v>
                </c:pt>
                <c:pt idx="559">
                  <c:v>Blade: Trinity </c:v>
                </c:pt>
                <c:pt idx="560">
                  <c:v>Blades of Glory </c:v>
                </c:pt>
                <c:pt idx="561">
                  <c:v>Blast from the Past </c:v>
                </c:pt>
                <c:pt idx="562">
                  <c:v>Blazing Saddles </c:v>
                </c:pt>
                <c:pt idx="563">
                  <c:v>Bled </c:v>
                </c:pt>
                <c:pt idx="564">
                  <c:v>Bleeding Hearts </c:v>
                </c:pt>
                <c:pt idx="565">
                  <c:v>Blended </c:v>
                </c:pt>
                <c:pt idx="566">
                  <c:v>Bless the Child </c:v>
                </c:pt>
                <c:pt idx="567">
                  <c:v>Blindness </c:v>
                </c:pt>
                <c:pt idx="568">
                  <c:v>Blonde Ambition </c:v>
                </c:pt>
                <c:pt idx="569">
                  <c:v>Blood and Chocolate </c:v>
                </c:pt>
                <c:pt idx="570">
                  <c:v>Blood and Wine </c:v>
                </c:pt>
                <c:pt idx="571">
                  <c:v>Blood Diamond </c:v>
                </c:pt>
                <c:pt idx="572">
                  <c:v>Blood Done Sign My Name </c:v>
                </c:pt>
                <c:pt idx="573">
                  <c:v>Blood In, Blood Out </c:v>
                </c:pt>
                <c:pt idx="574">
                  <c:v>Blood Ties </c:v>
                </c:pt>
                <c:pt idx="575">
                  <c:v>Blood Work </c:v>
                </c:pt>
                <c:pt idx="576">
                  <c:v>BloodRayne </c:v>
                </c:pt>
                <c:pt idx="577">
                  <c:v>Bloodsport </c:v>
                </c:pt>
                <c:pt idx="578">
                  <c:v>Bloody Sunday </c:v>
                </c:pt>
                <c:pt idx="579">
                  <c:v>Blow Out </c:v>
                </c:pt>
                <c:pt idx="580">
                  <c:v>Blow </c:v>
                </c:pt>
                <c:pt idx="581">
                  <c:v>Blue Car </c:v>
                </c:pt>
                <c:pt idx="582">
                  <c:v>Blue Crush </c:v>
                </c:pt>
                <c:pt idx="583">
                  <c:v>Blue Jasmine </c:v>
                </c:pt>
                <c:pt idx="584">
                  <c:v>Blue Like Jazz </c:v>
                </c:pt>
                <c:pt idx="585">
                  <c:v>Blue Ruin </c:v>
                </c:pt>
                <c:pt idx="586">
                  <c:v>Blue Streak </c:v>
                </c:pt>
                <c:pt idx="587">
                  <c:v>Blue Valentine </c:v>
                </c:pt>
                <c:pt idx="588">
                  <c:v>Boat Trip </c:v>
                </c:pt>
                <c:pt idx="589">
                  <c:v>Bobby Jones: Stroke of Genius </c:v>
                </c:pt>
                <c:pt idx="590">
                  <c:v>Bobby </c:v>
                </c:pt>
                <c:pt idx="591">
                  <c:v>Body Double </c:v>
                </c:pt>
                <c:pt idx="592">
                  <c:v>Body of Lies </c:v>
                </c:pt>
                <c:pt idx="593">
                  <c:v>Bodyguards and Assassins </c:v>
                </c:pt>
                <c:pt idx="594">
                  <c:v>Bogus </c:v>
                </c:pt>
                <c:pt idx="595">
                  <c:v>Boiler Room </c:v>
                </c:pt>
                <c:pt idx="596">
                  <c:v>Bolt </c:v>
                </c:pt>
                <c:pt idx="597">
                  <c:v>Bon Cop Bad Cop </c:v>
                </c:pt>
                <c:pt idx="598">
                  <c:v>Bon voyage </c:v>
                </c:pt>
                <c:pt idx="599">
                  <c:v>Bones </c:v>
                </c:pt>
                <c:pt idx="600">
                  <c:v>Boogeyman </c:v>
                </c:pt>
                <c:pt idx="601">
                  <c:v>Boogie Nights </c:v>
                </c:pt>
                <c:pt idx="602">
                  <c:v>Book of Shadows: Blair Witch 2 </c:v>
                </c:pt>
                <c:pt idx="603">
                  <c:v>Boom Town </c:v>
                </c:pt>
                <c:pt idx="604">
                  <c:v>Boomerang </c:v>
                </c:pt>
                <c:pt idx="605">
                  <c:v>Borat: Cultural Learnings of America for Make Benefit Glorious Nation of Kazakhstan </c:v>
                </c:pt>
                <c:pt idx="606">
                  <c:v>Born of War </c:v>
                </c:pt>
                <c:pt idx="607">
                  <c:v>Born on the Fourth of July </c:v>
                </c:pt>
                <c:pt idx="608">
                  <c:v>Born to Fly: Elizabeth Streb vs. Gravity </c:v>
                </c:pt>
                <c:pt idx="609">
                  <c:v>Bottle Rocket </c:v>
                </c:pt>
                <c:pt idx="610">
                  <c:v>Bottle Shock </c:v>
                </c:pt>
                <c:pt idx="611">
                  <c:v>Bound </c:v>
                </c:pt>
                <c:pt idx="612">
                  <c:v>Bowfinger </c:v>
                </c:pt>
                <c:pt idx="613">
                  <c:v>Bowling for Columbine </c:v>
                </c:pt>
                <c:pt idx="614">
                  <c:v>Boyhood </c:v>
                </c:pt>
                <c:pt idx="615">
                  <c:v>Boynton Beach Club </c:v>
                </c:pt>
                <c:pt idx="616">
                  <c:v>Boys and Girls </c:v>
                </c:pt>
                <c:pt idx="617">
                  <c:v>Boys Don't Cry </c:v>
                </c:pt>
                <c:pt idx="618">
                  <c:v>Boyz n the Hood </c:v>
                </c:pt>
                <c:pt idx="619">
                  <c:v>BrainDead </c:v>
                </c:pt>
                <c:pt idx="620">
                  <c:v>Bram Stoker's Dracula </c:v>
                </c:pt>
                <c:pt idx="621">
                  <c:v>Bran Nue Dae </c:v>
                </c:pt>
                <c:pt idx="622">
                  <c:v>Brave New Girl </c:v>
                </c:pt>
                <c:pt idx="623">
                  <c:v>Brave </c:v>
                </c:pt>
                <c:pt idx="624">
                  <c:v>Braveheart </c:v>
                </c:pt>
                <c:pt idx="625">
                  <c:v>Brazil </c:v>
                </c:pt>
                <c:pt idx="626">
                  <c:v>Breakdown </c:v>
                </c:pt>
                <c:pt idx="627">
                  <c:v>Breakfast of Champions </c:v>
                </c:pt>
                <c:pt idx="628">
                  <c:v>Breakin' All the Rules </c:v>
                </c:pt>
                <c:pt idx="629">
                  <c:v>Breaking Upwards </c:v>
                </c:pt>
                <c:pt idx="630">
                  <c:v>Brick Lane </c:v>
                </c:pt>
                <c:pt idx="631">
                  <c:v>Brick Mansions </c:v>
                </c:pt>
                <c:pt idx="632">
                  <c:v>Bride &amp; Prejudice </c:v>
                </c:pt>
                <c:pt idx="633">
                  <c:v>Bride of Chucky </c:v>
                </c:pt>
                <c:pt idx="634">
                  <c:v>Bride Wars </c:v>
                </c:pt>
                <c:pt idx="635">
                  <c:v>Bridesmaids </c:v>
                </c:pt>
                <c:pt idx="636">
                  <c:v>Bridge of Spies </c:v>
                </c:pt>
                <c:pt idx="637">
                  <c:v>Bridge to Terabithia </c:v>
                </c:pt>
                <c:pt idx="638">
                  <c:v>Bridget Jones: The Edge of Reason </c:v>
                </c:pt>
                <c:pt idx="639">
                  <c:v>Bridget Jones's Diary </c:v>
                </c:pt>
                <c:pt idx="640">
                  <c:v>Brigham City </c:v>
                </c:pt>
                <c:pt idx="641">
                  <c:v>Bright Lights, Big City </c:v>
                </c:pt>
                <c:pt idx="642">
                  <c:v>Bright Star </c:v>
                </c:pt>
                <c:pt idx="643">
                  <c:v>Brighton Rock </c:v>
                </c:pt>
                <c:pt idx="644">
                  <c:v>Bring It On </c:v>
                </c:pt>
                <c:pt idx="645">
                  <c:v>Bringing Down the House </c:v>
                </c:pt>
                <c:pt idx="646">
                  <c:v>Bringing Out the Dead </c:v>
                </c:pt>
                <c:pt idx="647">
                  <c:v>Brokeback Mountain </c:v>
                </c:pt>
                <c:pt idx="648">
                  <c:v>Brokedown Palace </c:v>
                </c:pt>
                <c:pt idx="649">
                  <c:v>Broken Arrow </c:v>
                </c:pt>
                <c:pt idx="650">
                  <c:v>Broken City </c:v>
                </c:pt>
                <c:pt idx="651">
                  <c:v>Broken Horses </c:v>
                </c:pt>
                <c:pt idx="652">
                  <c:v>Broken Vessels </c:v>
                </c:pt>
                <c:pt idx="653">
                  <c:v>Bronson </c:v>
                </c:pt>
                <c:pt idx="654">
                  <c:v>Brooklyn Rules </c:v>
                </c:pt>
                <c:pt idx="655">
                  <c:v>Brooklyn </c:v>
                </c:pt>
                <c:pt idx="656">
                  <c:v>Brooklyn's Finest </c:v>
                </c:pt>
                <c:pt idx="657">
                  <c:v>Brother </c:v>
                </c:pt>
                <c:pt idx="658">
                  <c:v>Brotherly Love </c:v>
                </c:pt>
                <c:pt idx="659">
                  <c:v>Brothers </c:v>
                </c:pt>
                <c:pt idx="660">
                  <c:v>Brown Sugar </c:v>
                </c:pt>
                <c:pt idx="661">
                  <c:v>Bruce Almighty </c:v>
                </c:pt>
                <c:pt idx="662">
                  <c:v>Brüno </c:v>
                </c:pt>
                <c:pt idx="663">
                  <c:v>Bubba Ho-Tep </c:v>
                </c:pt>
                <c:pt idx="664">
                  <c:v>Bubble Boy </c:v>
                </c:pt>
                <c:pt idx="665">
                  <c:v>Bucky Larson: Born to Be a Star </c:v>
                </c:pt>
                <c:pt idx="666">
                  <c:v>Buen Día, Ramón </c:v>
                </c:pt>
                <c:pt idx="667">
                  <c:v>Buffalo '66 </c:v>
                </c:pt>
                <c:pt idx="668">
                  <c:v>Buffalo Soldiers </c:v>
                </c:pt>
                <c:pt idx="669">
                  <c:v>Buffy the Vampire Slayer </c:v>
                </c:pt>
                <c:pt idx="670">
                  <c:v>Bullet to the Head </c:v>
                </c:pt>
                <c:pt idx="671">
                  <c:v>Bulletproof Monk </c:v>
                </c:pt>
                <c:pt idx="672">
                  <c:v>Bullets Over Broadway </c:v>
                </c:pt>
                <c:pt idx="673">
                  <c:v>Bully </c:v>
                </c:pt>
                <c:pt idx="674">
                  <c:v>Bulworth </c:v>
                </c:pt>
                <c:pt idx="675">
                  <c:v>Buried </c:v>
                </c:pt>
                <c:pt idx="676">
                  <c:v>Burlesque </c:v>
                </c:pt>
                <c:pt idx="677">
                  <c:v>Burn After Reading </c:v>
                </c:pt>
                <c:pt idx="678">
                  <c:v>Burn </c:v>
                </c:pt>
                <c:pt idx="679">
                  <c:v>Burnt </c:v>
                </c:pt>
                <c:pt idx="680">
                  <c:v>But I'm a Cheerleader </c:v>
                </c:pt>
                <c:pt idx="681">
                  <c:v>Butch Cassidy and the Sundance Kid </c:v>
                </c:pt>
                <c:pt idx="682">
                  <c:v>Butterfly Girl </c:v>
                </c:pt>
                <c:pt idx="683">
                  <c:v>Butterfly </c:v>
                </c:pt>
                <c:pt idx="684">
                  <c:v>By the Sea </c:v>
                </c:pt>
                <c:pt idx="685">
                  <c:v>C.H.U.D. </c:v>
                </c:pt>
                <c:pt idx="686">
                  <c:v>Ca$h </c:v>
                </c:pt>
                <c:pt idx="687">
                  <c:v>Cabin Fever </c:v>
                </c:pt>
                <c:pt idx="688">
                  <c:v>Caddyshack </c:v>
                </c:pt>
                <c:pt idx="689">
                  <c:v>Cadillac Records </c:v>
                </c:pt>
                <c:pt idx="690">
                  <c:v>Call + Response </c:v>
                </c:pt>
                <c:pt idx="691">
                  <c:v>Camping sauvage </c:v>
                </c:pt>
                <c:pt idx="692">
                  <c:v>Can't Hardly Wait </c:v>
                </c:pt>
                <c:pt idx="693">
                  <c:v>Can't Stop the Music </c:v>
                </c:pt>
                <c:pt idx="694">
                  <c:v>Cape Fear </c:v>
                </c:pt>
                <c:pt idx="695">
                  <c:v>Capitalism: A Love Story </c:v>
                </c:pt>
                <c:pt idx="696">
                  <c:v>Capote </c:v>
                </c:pt>
                <c:pt idx="697">
                  <c:v>Capricorn One </c:v>
                </c:pt>
                <c:pt idx="698">
                  <c:v>Captain Alatriste: The Spanish Musketeer </c:v>
                </c:pt>
                <c:pt idx="699">
                  <c:v>Captain America: Civil War </c:v>
                </c:pt>
                <c:pt idx="700">
                  <c:v>Captain America: The First Avenger </c:v>
                </c:pt>
                <c:pt idx="701">
                  <c:v>Captain America: The Winter Soldier </c:v>
                </c:pt>
                <c:pt idx="702">
                  <c:v>Captain Corelli's Mandolin </c:v>
                </c:pt>
                <c:pt idx="703">
                  <c:v>Captain Phillips </c:v>
                </c:pt>
                <c:pt idx="704">
                  <c:v>Captive </c:v>
                </c:pt>
                <c:pt idx="705">
                  <c:v>Caramel </c:v>
                </c:pt>
                <c:pt idx="706">
                  <c:v>Caravans </c:v>
                </c:pt>
                <c:pt idx="707">
                  <c:v>Cargo </c:v>
                </c:pt>
                <c:pt idx="708">
                  <c:v>Carlos </c:v>
                </c:pt>
                <c:pt idx="709">
                  <c:v>Carnage </c:v>
                </c:pt>
                <c:pt idx="710">
                  <c:v>Carrie </c:v>
                </c:pt>
                <c:pt idx="711">
                  <c:v>Carriers </c:v>
                </c:pt>
                <c:pt idx="712">
                  <c:v>Cars 2 </c:v>
                </c:pt>
                <c:pt idx="713">
                  <c:v>Cars </c:v>
                </c:pt>
                <c:pt idx="714">
                  <c:v>Casa de mi Padre </c:v>
                </c:pt>
                <c:pt idx="715">
                  <c:v>Casablanca </c:v>
                </c:pt>
                <c:pt idx="716">
                  <c:v>Case 39 </c:v>
                </c:pt>
                <c:pt idx="717">
                  <c:v>Casino Jack </c:v>
                </c:pt>
                <c:pt idx="718">
                  <c:v>Casino Royale </c:v>
                </c:pt>
                <c:pt idx="719">
                  <c:v>Casino </c:v>
                </c:pt>
                <c:pt idx="720">
                  <c:v>Casper </c:v>
                </c:pt>
                <c:pt idx="721">
                  <c:v>Cast Away </c:v>
                </c:pt>
                <c:pt idx="722">
                  <c:v>Cat on a Hot Tin Roof </c:v>
                </c:pt>
                <c:pt idx="723">
                  <c:v>Cat People </c:v>
                </c:pt>
                <c:pt idx="724">
                  <c:v>Catch a Fire </c:v>
                </c:pt>
                <c:pt idx="725">
                  <c:v>Catch Me If You Can </c:v>
                </c:pt>
                <c:pt idx="726">
                  <c:v>Catch That Kid </c:v>
                </c:pt>
                <c:pt idx="727">
                  <c:v>Catch-22 </c:v>
                </c:pt>
                <c:pt idx="728">
                  <c:v>Cats &amp; Dogs </c:v>
                </c:pt>
                <c:pt idx="729">
                  <c:v>Cats &amp; Dogs: The Revenge of Kitty Galore </c:v>
                </c:pt>
                <c:pt idx="730">
                  <c:v>Cats Don't Dance </c:v>
                </c:pt>
                <c:pt idx="731">
                  <c:v>Catwoman </c:v>
                </c:pt>
                <c:pt idx="732">
                  <c:v>Cavite </c:v>
                </c:pt>
                <c:pt idx="733">
                  <c:v>Cecil B. DeMented </c:v>
                </c:pt>
                <c:pt idx="734">
                  <c:v>Cedar Rapids </c:v>
                </c:pt>
                <c:pt idx="735">
                  <c:v>Celebrity </c:v>
                </c:pt>
                <c:pt idx="736">
                  <c:v>Celeste &amp; Jesse Forever </c:v>
                </c:pt>
                <c:pt idx="737">
                  <c:v>Cellular </c:v>
                </c:pt>
                <c:pt idx="738">
                  <c:v>Censored Voices </c:v>
                </c:pt>
                <c:pt idx="739">
                  <c:v>Center Stage </c:v>
                </c:pt>
                <c:pt idx="740">
                  <c:v>Central Intelligence </c:v>
                </c:pt>
                <c:pt idx="741">
                  <c:v>Central Station </c:v>
                </c:pt>
                <c:pt idx="742">
                  <c:v>Centurion </c:v>
                </c:pt>
                <c:pt idx="743">
                  <c:v>Certifiably Jonathan </c:v>
                </c:pt>
                <c:pt idx="744">
                  <c:v>Chain Letter </c:v>
                </c:pt>
                <c:pt idx="745">
                  <c:v>Chain of Command </c:v>
                </c:pt>
                <c:pt idx="746">
                  <c:v>Chain Reaction </c:v>
                </c:pt>
                <c:pt idx="747">
                  <c:v>Chairman of the Board </c:v>
                </c:pt>
                <c:pt idx="748">
                  <c:v>Changeling </c:v>
                </c:pt>
                <c:pt idx="749">
                  <c:v>Changing Lanes </c:v>
                </c:pt>
                <c:pt idx="750">
                  <c:v>Chappie </c:v>
                </c:pt>
                <c:pt idx="751">
                  <c:v>Character </c:v>
                </c:pt>
                <c:pt idx="752">
                  <c:v>Chariots of Fire </c:v>
                </c:pt>
                <c:pt idx="753">
                  <c:v>Charlie and the Chocolate Factory </c:v>
                </c:pt>
                <c:pt idx="754">
                  <c:v>Charlie Bartlett </c:v>
                </c:pt>
                <c:pt idx="755">
                  <c:v>Charlie St. Cloud </c:v>
                </c:pt>
                <c:pt idx="756">
                  <c:v>Charlie Wilson's War </c:v>
                </c:pt>
                <c:pt idx="757">
                  <c:v>Charlie's Angels </c:v>
                </c:pt>
                <c:pt idx="758">
                  <c:v>Charlie's Angels: Full Throttle </c:v>
                </c:pt>
                <c:pt idx="759">
                  <c:v>Charlotte's Web </c:v>
                </c:pt>
                <c:pt idx="760">
                  <c:v>Charly </c:v>
                </c:pt>
                <c:pt idx="761">
                  <c:v>Chasing Amy </c:v>
                </c:pt>
                <c:pt idx="762">
                  <c:v>Chasing Liberty </c:v>
                </c:pt>
                <c:pt idx="763">
                  <c:v>Chasing Mavericks </c:v>
                </c:pt>
                <c:pt idx="764">
                  <c:v>Chasing Papi </c:v>
                </c:pt>
                <c:pt idx="765">
                  <c:v>Cheap Thrills </c:v>
                </c:pt>
                <c:pt idx="766">
                  <c:v>Cheaper by the Dozen 2 </c:v>
                </c:pt>
                <c:pt idx="767">
                  <c:v>Cheaper by the Dozen </c:v>
                </c:pt>
                <c:pt idx="768">
                  <c:v>Checkmate </c:v>
                </c:pt>
                <c:pt idx="769">
                  <c:v>Chéri </c:v>
                </c:pt>
                <c:pt idx="770">
                  <c:v>Chernobyl Diaries </c:v>
                </c:pt>
                <c:pt idx="771">
                  <c:v>Chiamatemi Francesco - Il Papa della gente </c:v>
                </c:pt>
                <c:pt idx="772">
                  <c:v>Chicago Overcoat </c:v>
                </c:pt>
                <c:pt idx="773">
                  <c:v>Chicago </c:v>
                </c:pt>
                <c:pt idx="774">
                  <c:v>Chicken Little </c:v>
                </c:pt>
                <c:pt idx="775">
                  <c:v>Chicken Run </c:v>
                </c:pt>
                <c:pt idx="776">
                  <c:v>Chicken Tikka Masala </c:v>
                </c:pt>
                <c:pt idx="777">
                  <c:v>Child 44 </c:v>
                </c:pt>
                <c:pt idx="778">
                  <c:v>Childless </c:v>
                </c:pt>
                <c:pt idx="779">
                  <c:v>Children of Heaven </c:v>
                </c:pt>
                <c:pt idx="780">
                  <c:v>Children of Men </c:v>
                </c:pt>
                <c:pt idx="781">
                  <c:v>Child's Play 2 </c:v>
                </c:pt>
                <c:pt idx="782">
                  <c:v>Child's Play </c:v>
                </c:pt>
                <c:pt idx="783">
                  <c:v>Chill Factor </c:v>
                </c:pt>
                <c:pt idx="784">
                  <c:v>Chloe </c:v>
                </c:pt>
                <c:pt idx="785">
                  <c:v>Chocolat </c:v>
                </c:pt>
                <c:pt idx="786">
                  <c:v>Chocolate: Deep Dark Secrets </c:v>
                </c:pt>
                <c:pt idx="787">
                  <c:v>Choke </c:v>
                </c:pt>
                <c:pt idx="788">
                  <c:v>Christmas Eve </c:v>
                </c:pt>
                <c:pt idx="789">
                  <c:v>Christmas Mail </c:v>
                </c:pt>
                <c:pt idx="790">
                  <c:v>Christmas with the Kranks </c:v>
                </c:pt>
                <c:pt idx="791">
                  <c:v>Chronicle </c:v>
                </c:pt>
                <c:pt idx="792">
                  <c:v>Chuck &amp; Buck </c:v>
                </c:pt>
                <c:pt idx="793">
                  <c:v>Cinco de Mayo, La Batalla </c:v>
                </c:pt>
                <c:pt idx="794">
                  <c:v>Cinderella Man </c:v>
                </c:pt>
                <c:pt idx="795">
                  <c:v>Cinderella </c:v>
                </c:pt>
                <c:pt idx="796">
                  <c:v>Circle </c:v>
                </c:pt>
                <c:pt idx="797">
                  <c:v>Circumstance </c:v>
                </c:pt>
                <c:pt idx="798">
                  <c:v>Cirque du Freak: The Vampire's Assistant </c:v>
                </c:pt>
                <c:pt idx="799">
                  <c:v>Cirque du Soleil: Worlds Away </c:v>
                </c:pt>
                <c:pt idx="800">
                  <c:v>City by the Sea </c:v>
                </c:pt>
                <c:pt idx="801">
                  <c:v>City Hall </c:v>
                </c:pt>
                <c:pt idx="802">
                  <c:v>City Island </c:v>
                </c:pt>
                <c:pt idx="803">
                  <c:v>City of Angels </c:v>
                </c:pt>
                <c:pt idx="804">
                  <c:v>City of Ember </c:v>
                </c:pt>
                <c:pt idx="805">
                  <c:v>City of Ghosts </c:v>
                </c:pt>
                <c:pt idx="806">
                  <c:v>City of God </c:v>
                </c:pt>
                <c:pt idx="807">
                  <c:v>City of Life and Death </c:v>
                </c:pt>
                <c:pt idx="808">
                  <c:v>Civil Brand </c:v>
                </c:pt>
                <c:pt idx="809">
                  <c:v>CJ7 </c:v>
                </c:pt>
                <c:pt idx="810">
                  <c:v>Clash of the Titans </c:v>
                </c:pt>
                <c:pt idx="811">
                  <c:v>Class of 1984 </c:v>
                </c:pt>
                <c:pt idx="812">
                  <c:v>Clay Pigeons </c:v>
                </c:pt>
                <c:pt idx="813">
                  <c:v>Clean </c:v>
                </c:pt>
                <c:pt idx="814">
                  <c:v>Clear and Present Danger </c:v>
                </c:pt>
                <c:pt idx="815">
                  <c:v>Cleopatra </c:v>
                </c:pt>
                <c:pt idx="816">
                  <c:v>Clerks II </c:v>
                </c:pt>
                <c:pt idx="817">
                  <c:v>Clerks </c:v>
                </c:pt>
                <c:pt idx="818">
                  <c:v>Click </c:v>
                </c:pt>
                <c:pt idx="819">
                  <c:v>Cliffhanger </c:v>
                </c:pt>
                <c:pt idx="820">
                  <c:v>Clockstoppers </c:v>
                </c:pt>
                <c:pt idx="821">
                  <c:v>Clockwatchers </c:v>
                </c:pt>
                <c:pt idx="822">
                  <c:v>Close Encounters of the Third Kind </c:v>
                </c:pt>
                <c:pt idx="823">
                  <c:v>Close Range </c:v>
                </c:pt>
                <c:pt idx="824">
                  <c:v>Closer to the Moon </c:v>
                </c:pt>
                <c:pt idx="825">
                  <c:v>Closer </c:v>
                </c:pt>
                <c:pt idx="826">
                  <c:v>Closure </c:v>
                </c:pt>
                <c:pt idx="827">
                  <c:v>Cloud Atlas </c:v>
                </c:pt>
                <c:pt idx="828">
                  <c:v>Cloudy with a Chance of Meatballs 2 </c:v>
                </c:pt>
                <c:pt idx="829">
                  <c:v>Cloudy with a Chance of Meatballs </c:v>
                </c:pt>
                <c:pt idx="830">
                  <c:v>Cloverfield </c:v>
                </c:pt>
                <c:pt idx="831">
                  <c:v>Club Dread </c:v>
                </c:pt>
                <c:pt idx="832">
                  <c:v>Clueless </c:v>
                </c:pt>
                <c:pt idx="833">
                  <c:v>Coach Carter </c:v>
                </c:pt>
                <c:pt idx="834">
                  <c:v>Coal Miner's Daughter </c:v>
                </c:pt>
                <c:pt idx="835">
                  <c:v>Coco Before Chanel </c:v>
                </c:pt>
                <c:pt idx="836">
                  <c:v>Code 46 </c:v>
                </c:pt>
                <c:pt idx="837">
                  <c:v>Code Name: The Cleaner </c:v>
                </c:pt>
                <c:pt idx="838">
                  <c:v>Code of Honor </c:v>
                </c:pt>
                <c:pt idx="839">
                  <c:v>Coffee Town </c:v>
                </c:pt>
                <c:pt idx="840">
                  <c:v>Cold Mountain </c:v>
                </c:pt>
                <c:pt idx="841">
                  <c:v>Collateral Damage </c:v>
                </c:pt>
                <c:pt idx="842">
                  <c:v>Collateral </c:v>
                </c:pt>
                <c:pt idx="843">
                  <c:v>College </c:v>
                </c:pt>
                <c:pt idx="844">
                  <c:v>Colombiana </c:v>
                </c:pt>
                <c:pt idx="845">
                  <c:v>Come Early Morning </c:v>
                </c:pt>
                <c:pt idx="846">
                  <c:v>Coming Home </c:v>
                </c:pt>
                <c:pt idx="847">
                  <c:v>Commando </c:v>
                </c:pt>
                <c:pt idx="848">
                  <c:v>Compadres </c:v>
                </c:pt>
                <c:pt idx="849">
                  <c:v>Compliance </c:v>
                </c:pt>
                <c:pt idx="850">
                  <c:v>Con Air </c:v>
                </c:pt>
                <c:pt idx="851">
                  <c:v>Conan the Barbarian </c:v>
                </c:pt>
                <c:pt idx="852">
                  <c:v>Conan the Destroyer </c:v>
                </c:pt>
                <c:pt idx="853">
                  <c:v>Concussion </c:v>
                </c:pt>
                <c:pt idx="854">
                  <c:v>Confessions of a Dangerous Mind </c:v>
                </c:pt>
                <c:pt idx="855">
                  <c:v>Confessions of a Teenage Drama Queen </c:v>
                </c:pt>
                <c:pt idx="856">
                  <c:v>Confidence </c:v>
                </c:pt>
                <c:pt idx="857">
                  <c:v>Congo </c:v>
                </c:pt>
                <c:pt idx="858">
                  <c:v>Connie and Carla </c:v>
                </c:pt>
                <c:pt idx="859">
                  <c:v>Conquest of the Planet of the Apes </c:v>
                </c:pt>
                <c:pt idx="860">
                  <c:v>Conspiracy Theory </c:v>
                </c:pt>
                <c:pt idx="861">
                  <c:v>Constantine </c:v>
                </c:pt>
                <c:pt idx="862">
                  <c:v>Contact </c:v>
                </c:pt>
                <c:pt idx="863">
                  <c:v>Contagion </c:v>
                </c:pt>
                <c:pt idx="864">
                  <c:v>Containment </c:v>
                </c:pt>
                <c:pt idx="865">
                  <c:v>Contraband </c:v>
                </c:pt>
                <c:pt idx="866">
                  <c:v>Control </c:v>
                </c:pt>
                <c:pt idx="867">
                  <c:v>Conversations with Other Women </c:v>
                </c:pt>
                <c:pt idx="868">
                  <c:v>Cool Runnings </c:v>
                </c:pt>
                <c:pt idx="869">
                  <c:v>Cop Land </c:v>
                </c:pt>
                <c:pt idx="870">
                  <c:v>Cop Out </c:v>
                </c:pt>
                <c:pt idx="871">
                  <c:v>Copycat </c:v>
                </c:pt>
                <c:pt idx="872">
                  <c:v>Copying Beethoven </c:v>
                </c:pt>
                <c:pt idx="873">
                  <c:v>Coraline </c:v>
                </c:pt>
                <c:pt idx="874">
                  <c:v>Coriolanus </c:v>
                </c:pt>
                <c:pt idx="875">
                  <c:v>Corky Romano </c:v>
                </c:pt>
                <c:pt idx="876">
                  <c:v>Corpse Bride </c:v>
                </c:pt>
                <c:pt idx="877">
                  <c:v>Cotton Comes to Harlem </c:v>
                </c:pt>
                <c:pt idx="878">
                  <c:v>Counting </c:v>
                </c:pt>
                <c:pt idx="879">
                  <c:v>Country Strong </c:v>
                </c:pt>
                <c:pt idx="880">
                  <c:v>Couples Retreat </c:v>
                </c:pt>
                <c:pt idx="881">
                  <c:v>Courage Under Fire </c:v>
                </c:pt>
                <c:pt idx="882">
                  <c:v>Courage </c:v>
                </c:pt>
                <c:pt idx="883">
                  <c:v>Courageous </c:v>
                </c:pt>
                <c:pt idx="884">
                  <c:v>Coyote Ugly </c:v>
                </c:pt>
                <c:pt idx="885">
                  <c:v>Cradle 2 the Grave </c:v>
                </c:pt>
                <c:pt idx="886">
                  <c:v>Cradle Will Rock </c:v>
                </c:pt>
                <c:pt idx="887">
                  <c:v>Crank </c:v>
                </c:pt>
                <c:pt idx="888">
                  <c:v>Crank: High Voltage </c:v>
                </c:pt>
                <c:pt idx="889">
                  <c:v>Crash </c:v>
                </c:pt>
                <c:pt idx="890">
                  <c:v>Crazy Heart </c:v>
                </c:pt>
                <c:pt idx="891">
                  <c:v>Crazy in Alabama </c:v>
                </c:pt>
                <c:pt idx="892">
                  <c:v>Crazy Stone </c:v>
                </c:pt>
                <c:pt idx="893">
                  <c:v>Crazy, Stupid, Love. </c:v>
                </c:pt>
                <c:pt idx="894">
                  <c:v>Crazy/Beautiful </c:v>
                </c:pt>
                <c:pt idx="895">
                  <c:v>Creative Control </c:v>
                </c:pt>
                <c:pt idx="896">
                  <c:v>Creature </c:v>
                </c:pt>
                <c:pt idx="897">
                  <c:v>Creed </c:v>
                </c:pt>
                <c:pt idx="898">
                  <c:v>Creepshow 2 </c:v>
                </c:pt>
                <c:pt idx="899">
                  <c:v>Creepshow </c:v>
                </c:pt>
                <c:pt idx="900">
                  <c:v>Cries &amp; Whispers </c:v>
                </c:pt>
                <c:pt idx="901">
                  <c:v>Criminal Activities </c:v>
                </c:pt>
                <c:pt idx="902">
                  <c:v>Criminal </c:v>
                </c:pt>
                <c:pt idx="903">
                  <c:v>Crimson Tide </c:v>
                </c:pt>
                <c:pt idx="904">
                  <c:v>Critical Care </c:v>
                </c:pt>
                <c:pt idx="905">
                  <c:v>Crocodile Dundee II </c:v>
                </c:pt>
                <c:pt idx="906">
                  <c:v>Crocodile Dundee in Los Angeles </c:v>
                </c:pt>
                <c:pt idx="907">
                  <c:v>Crocodile Dundee </c:v>
                </c:pt>
                <c:pt idx="908">
                  <c:v>Crooklyn </c:v>
                </c:pt>
                <c:pt idx="909">
                  <c:v>Crop Circles: Quest for Truth </c:v>
                </c:pt>
                <c:pt idx="910">
                  <c:v>Crossover </c:v>
                </c:pt>
                <c:pt idx="911">
                  <c:v>Crossroads </c:v>
                </c:pt>
                <c:pt idx="912">
                  <c:v>Crouching Tiger, Hidden Dragon </c:v>
                </c:pt>
                <c:pt idx="913">
                  <c:v>Crowsnest </c:v>
                </c:pt>
                <c:pt idx="914">
                  <c:v>Cruel Intentions </c:v>
                </c:pt>
                <c:pt idx="915">
                  <c:v>Cry Freedom </c:v>
                </c:pt>
                <c:pt idx="916">
                  <c:v>Cry_Wolf </c:v>
                </c:pt>
                <c:pt idx="917">
                  <c:v>Crying with Laughter </c:v>
                </c:pt>
                <c:pt idx="918">
                  <c:v>Cube </c:v>
                </c:pt>
                <c:pt idx="919">
                  <c:v>Curious George </c:v>
                </c:pt>
                <c:pt idx="920">
                  <c:v>Curse of the Golden Flower </c:v>
                </c:pt>
                <c:pt idx="921">
                  <c:v>Cursed </c:v>
                </c:pt>
                <c:pt idx="922">
                  <c:v>Cutthroat Island </c:v>
                </c:pt>
                <c:pt idx="923">
                  <c:v>Cypher </c:v>
                </c:pt>
                <c:pt idx="924">
                  <c:v>Cyrus </c:v>
                </c:pt>
                <c:pt idx="925">
                  <c:v>D.E.B.S. </c:v>
                </c:pt>
                <c:pt idx="926">
                  <c:v>Da Sweet Blood of Jesus </c:v>
                </c:pt>
                <c:pt idx="927">
                  <c:v>Daddy Day Camp </c:v>
                </c:pt>
                <c:pt idx="928">
                  <c:v>Daddy Day Care </c:v>
                </c:pt>
                <c:pt idx="929">
                  <c:v>Daddy's Home </c:v>
                </c:pt>
                <c:pt idx="930">
                  <c:v>Dallas Buyers Club </c:v>
                </c:pt>
                <c:pt idx="931">
                  <c:v>Damnation Alley </c:v>
                </c:pt>
                <c:pt idx="932">
                  <c:v>Damsels in Distress </c:v>
                </c:pt>
                <c:pt idx="933">
                  <c:v>Dance Flick </c:v>
                </c:pt>
                <c:pt idx="934">
                  <c:v>Dancer in the Dark </c:v>
                </c:pt>
                <c:pt idx="935">
                  <c:v>Dancer, Texas Pop. 81 </c:v>
                </c:pt>
                <c:pt idx="936">
                  <c:v>Dances with Wolves </c:v>
                </c:pt>
                <c:pt idx="937">
                  <c:v>Dancin' It's On </c:v>
                </c:pt>
                <c:pt idx="938">
                  <c:v>Dangerous Liaisons </c:v>
                </c:pt>
                <c:pt idx="939">
                  <c:v>Danny Collins </c:v>
                </c:pt>
                <c:pt idx="940">
                  <c:v>Dante's Peak </c:v>
                </c:pt>
                <c:pt idx="941">
                  <c:v>Daredevil </c:v>
                </c:pt>
                <c:pt idx="942">
                  <c:v>Dark Angel </c:v>
                </c:pt>
                <c:pt idx="943">
                  <c:v>Dark Blue </c:v>
                </c:pt>
                <c:pt idx="944">
                  <c:v>Dark City </c:v>
                </c:pt>
                <c:pt idx="945">
                  <c:v>Dark Shadows </c:v>
                </c:pt>
                <c:pt idx="946">
                  <c:v>Dark Water </c:v>
                </c:pt>
                <c:pt idx="947">
                  <c:v>Darkness Falls </c:v>
                </c:pt>
                <c:pt idx="948">
                  <c:v>Darkness </c:v>
                </c:pt>
                <c:pt idx="949">
                  <c:v>Darling Companion </c:v>
                </c:pt>
                <c:pt idx="950">
                  <c:v>Darling Lili </c:v>
                </c:pt>
                <c:pt idx="951">
                  <c:v>Das Boot </c:v>
                </c:pt>
                <c:pt idx="952">
                  <c:v>Date Movie </c:v>
                </c:pt>
                <c:pt idx="953">
                  <c:v>Date Night </c:v>
                </c:pt>
                <c:pt idx="954">
                  <c:v>Dave Chappelle's Block Party </c:v>
                </c:pt>
                <c:pt idx="955">
                  <c:v>Dawn of the Crescent Moon </c:v>
                </c:pt>
                <c:pt idx="956">
                  <c:v>Dawn of the Dead </c:v>
                </c:pt>
                <c:pt idx="957">
                  <c:v>Dawn of the Planet of the Apes </c:v>
                </c:pt>
                <c:pt idx="958">
                  <c:v>Dawn Patrol </c:v>
                </c:pt>
                <c:pt idx="959">
                  <c:v>Day of the Dead </c:v>
                </c:pt>
                <c:pt idx="960">
                  <c:v>Day One </c:v>
                </c:pt>
                <c:pt idx="961">
                  <c:v>Daybreakers </c:v>
                </c:pt>
                <c:pt idx="962">
                  <c:v>Daylight </c:v>
                </c:pt>
                <c:pt idx="963">
                  <c:v>Days of Heaven </c:v>
                </c:pt>
                <c:pt idx="964">
                  <c:v>Days of Thunder </c:v>
                </c:pt>
                <c:pt idx="965">
                  <c:v>Dazed and Confused </c:v>
                </c:pt>
                <c:pt idx="966">
                  <c:v>Dead Like Me: Life After Death </c:v>
                </c:pt>
                <c:pt idx="967">
                  <c:v>Dead Man Down </c:v>
                </c:pt>
                <c:pt idx="968">
                  <c:v>Dead Man on Campus </c:v>
                </c:pt>
                <c:pt idx="969">
                  <c:v>Dead Man Walking </c:v>
                </c:pt>
                <c:pt idx="970">
                  <c:v>Dead Man's Shoes </c:v>
                </c:pt>
                <c:pt idx="971">
                  <c:v>Dead Poets Society </c:v>
                </c:pt>
                <c:pt idx="972">
                  <c:v>Dead Snow </c:v>
                </c:pt>
                <c:pt idx="973">
                  <c:v>Deadfall </c:v>
                </c:pt>
                <c:pt idx="974">
                  <c:v>Deadline - U.S.A. </c:v>
                </c:pt>
                <c:pt idx="975">
                  <c:v>Deadline Gallipoli </c:v>
                </c:pt>
                <c:pt idx="976">
                  <c:v>Deadpool </c:v>
                </c:pt>
                <c:pt idx="977">
                  <c:v>Dear Frankie </c:v>
                </c:pt>
                <c:pt idx="978">
                  <c:v>Dear John </c:v>
                </c:pt>
                <c:pt idx="979">
                  <c:v>Dear Wendy </c:v>
                </c:pt>
                <c:pt idx="980">
                  <c:v>Death at a Funeral </c:v>
                </c:pt>
                <c:pt idx="981">
                  <c:v>Death Becomes Her </c:v>
                </c:pt>
                <c:pt idx="982">
                  <c:v>Death Calls </c:v>
                </c:pt>
                <c:pt idx="983">
                  <c:v>Death Race 2000 </c:v>
                </c:pt>
                <c:pt idx="984">
                  <c:v>Death Race </c:v>
                </c:pt>
                <c:pt idx="985">
                  <c:v>Death Sentence </c:v>
                </c:pt>
                <c:pt idx="986">
                  <c:v>Death to Smoochy </c:v>
                </c:pt>
                <c:pt idx="987">
                  <c:v>Deceptive Practice: The Mysteries and Mentors of Ricky Jay </c:v>
                </c:pt>
                <c:pt idx="988">
                  <c:v>Deck the Halls </c:v>
                </c:pt>
                <c:pt idx="989">
                  <c:v>Deconstructing Harry </c:v>
                </c:pt>
                <c:pt idx="990">
                  <c:v>Decoys </c:v>
                </c:pt>
                <c:pt idx="991">
                  <c:v>Deep Blue Sea </c:v>
                </c:pt>
                <c:pt idx="992">
                  <c:v>Deep Impact </c:v>
                </c:pt>
                <c:pt idx="993">
                  <c:v>Deep Rising </c:v>
                </c:pt>
                <c:pt idx="994">
                  <c:v>Def-Con 4 </c:v>
                </c:pt>
                <c:pt idx="995">
                  <c:v>Defendor </c:v>
                </c:pt>
                <c:pt idx="996">
                  <c:v>Defiance </c:v>
                </c:pt>
                <c:pt idx="997">
                  <c:v>Definitely, Maybe </c:v>
                </c:pt>
                <c:pt idx="998">
                  <c:v>Déjà Vu </c:v>
                </c:pt>
                <c:pt idx="999">
                  <c:v>Dekalog </c:v>
                </c:pt>
                <c:pt idx="1000">
                  <c:v>Del 1 - Män som hatar kvinnor </c:v>
                </c:pt>
                <c:pt idx="1001">
                  <c:v>Delgo </c:v>
                </c:pt>
                <c:pt idx="1002">
                  <c:v>Deliver Us from Evil </c:v>
                </c:pt>
                <c:pt idx="1003">
                  <c:v>Delivery Man </c:v>
                </c:pt>
                <c:pt idx="1004">
                  <c:v>De-Lovely </c:v>
                </c:pt>
                <c:pt idx="1005">
                  <c:v>Demonic </c:v>
                </c:pt>
                <c:pt idx="1006">
                  <c:v>Departure </c:v>
                </c:pt>
                <c:pt idx="1007">
                  <c:v>Derailed </c:v>
                </c:pt>
                <c:pt idx="1008">
                  <c:v>Desert Blue </c:v>
                </c:pt>
                <c:pt idx="1009">
                  <c:v>Desert Dancer </c:v>
                </c:pt>
                <c:pt idx="1010">
                  <c:v>Desperado </c:v>
                </c:pt>
                <c:pt idx="1011">
                  <c:v>Despicable Me 2 </c:v>
                </c:pt>
                <c:pt idx="1012">
                  <c:v>Despicable Me </c:v>
                </c:pt>
                <c:pt idx="1013">
                  <c:v>Destiny </c:v>
                </c:pt>
                <c:pt idx="1014">
                  <c:v>Detention of the Dead </c:v>
                </c:pt>
                <c:pt idx="1015">
                  <c:v>Detention </c:v>
                </c:pt>
                <c:pt idx="1016">
                  <c:v>Deterrence </c:v>
                </c:pt>
                <c:pt idx="1017">
                  <c:v>Detroit Rock City </c:v>
                </c:pt>
                <c:pt idx="1018">
                  <c:v>Deuce Bigalow: European Gigolo </c:v>
                </c:pt>
                <c:pt idx="1019">
                  <c:v>Deuce Bigalow: Male Gigolo </c:v>
                </c:pt>
                <c:pt idx="1020">
                  <c:v>Deuces Wild </c:v>
                </c:pt>
                <c:pt idx="1021">
                  <c:v>Devil </c:v>
                </c:pt>
                <c:pt idx="1022">
                  <c:v>Devil's Due </c:v>
                </c:pt>
                <c:pt idx="1023">
                  <c:v>Diamond Ruff </c:v>
                </c:pt>
                <c:pt idx="1024">
                  <c:v>Diamonds Are Forever </c:v>
                </c:pt>
                <c:pt idx="1025">
                  <c:v>Diary of a Mad Black Woman </c:v>
                </c:pt>
                <c:pt idx="1026">
                  <c:v>Diary of a Wimpy Kid </c:v>
                </c:pt>
                <c:pt idx="1027">
                  <c:v>Diary of a Wimpy Kid: Dog Days </c:v>
                </c:pt>
                <c:pt idx="1028">
                  <c:v>Diary of a Wimpy Kid: Rodrick Rules </c:v>
                </c:pt>
                <c:pt idx="1029">
                  <c:v>Diary of the Dead </c:v>
                </c:pt>
                <c:pt idx="1030">
                  <c:v>Dick Tracy </c:v>
                </c:pt>
                <c:pt idx="1031">
                  <c:v>Dick </c:v>
                </c:pt>
                <c:pt idx="1032">
                  <c:v>Dickie Roberts: Former Child Star </c:v>
                </c:pt>
                <c:pt idx="1033">
                  <c:v>Did You Hear About the Morgans? </c:v>
                </c:pt>
                <c:pt idx="1034">
                  <c:v>Die Another Day </c:v>
                </c:pt>
                <c:pt idx="1035">
                  <c:v>Die Hard 2 </c:v>
                </c:pt>
                <c:pt idx="1036">
                  <c:v>Die Hard with a Vengeance </c:v>
                </c:pt>
                <c:pt idx="1037">
                  <c:v>Die Hard </c:v>
                </c:pt>
                <c:pt idx="1038">
                  <c:v>Digimon: The Movie </c:v>
                </c:pt>
                <c:pt idx="1039">
                  <c:v>Dil Jo Bhi Kahey... </c:v>
                </c:pt>
                <c:pt idx="1040">
                  <c:v>Diner </c:v>
                </c:pt>
                <c:pt idx="1041">
                  <c:v>Dinner for Schmucks </c:v>
                </c:pt>
                <c:pt idx="1042">
                  <c:v>Dinner Rush </c:v>
                </c:pt>
                <c:pt idx="1043">
                  <c:v>Dinosaur </c:v>
                </c:pt>
                <c:pt idx="1044">
                  <c:v>Dirty Grandpa </c:v>
                </c:pt>
                <c:pt idx="1045">
                  <c:v>Dirty Pretty Things </c:v>
                </c:pt>
                <c:pt idx="1046">
                  <c:v>Dirty Work </c:v>
                </c:pt>
                <c:pt idx="1047">
                  <c:v>Disaster Movie </c:v>
                </c:pt>
                <c:pt idx="1048">
                  <c:v>Disclosure </c:v>
                </c:pt>
                <c:pt idx="1049">
                  <c:v>District 9 </c:v>
                </c:pt>
                <c:pt idx="1050">
                  <c:v>District B13 </c:v>
                </c:pt>
                <c:pt idx="1051">
                  <c:v>Disturbia </c:v>
                </c:pt>
                <c:pt idx="1052">
                  <c:v>Disturbing Behavior </c:v>
                </c:pt>
                <c:pt idx="1053">
                  <c:v>Divergent </c:v>
                </c:pt>
                <c:pt idx="1054">
                  <c:v>Divine Secrets of the Ya-Ya Sisterhood </c:v>
                </c:pt>
                <c:pt idx="1055">
                  <c:v>Django Unchained </c:v>
                </c:pt>
                <c:pt idx="1056">
                  <c:v>Do the Right Thing </c:v>
                </c:pt>
                <c:pt idx="1057">
                  <c:v>Do You Believe? </c:v>
                </c:pt>
                <c:pt idx="1058">
                  <c:v>DOA: Dead or Alive </c:v>
                </c:pt>
                <c:pt idx="1059">
                  <c:v>Doc Holliday's Revenge </c:v>
                </c:pt>
                <c:pt idx="1060">
                  <c:v>Doctor Dolittle </c:v>
                </c:pt>
                <c:pt idx="1061">
                  <c:v>Doctor Zhivago </c:v>
                </c:pt>
                <c:pt idx="1062">
                  <c:v>Dodgeball: A True Underdog Story </c:v>
                </c:pt>
                <c:pt idx="1063">
                  <c:v>Dogma </c:v>
                </c:pt>
                <c:pt idx="1064">
                  <c:v>Dogtooth </c:v>
                </c:pt>
                <c:pt idx="1065">
                  <c:v>Dogtown and Z-Boys </c:v>
                </c:pt>
                <c:pt idx="1066">
                  <c:v>Dolphin Tale 2 </c:v>
                </c:pt>
                <c:pt idx="1067">
                  <c:v>Dolphin Tale </c:v>
                </c:pt>
                <c:pt idx="1068">
                  <c:v>Dolphins and Whales 3D: Tribes of the Ocean </c:v>
                </c:pt>
                <c:pt idx="1069">
                  <c:v>Dom Hemingway </c:v>
                </c:pt>
                <c:pt idx="1070">
                  <c:v>Domestic Disturbance </c:v>
                </c:pt>
                <c:pt idx="1071">
                  <c:v>Domino </c:v>
                </c:pt>
                <c:pt idx="1072">
                  <c:v>Don Jon </c:v>
                </c:pt>
                <c:pt idx="1073">
                  <c:v>Don Juan DeMarco </c:v>
                </c:pt>
                <c:pt idx="1074">
                  <c:v>Don McKay </c:v>
                </c:pt>
                <c:pt idx="1075">
                  <c:v>Donkey Punch </c:v>
                </c:pt>
                <c:pt idx="1076">
                  <c:v>Donnie Brasco </c:v>
                </c:pt>
                <c:pt idx="1077">
                  <c:v>Donnie Darko </c:v>
                </c:pt>
                <c:pt idx="1078">
                  <c:v>Donovan's Reef </c:v>
                </c:pt>
                <c:pt idx="1079">
                  <c:v>Don't Be Afraid of the Dark </c:v>
                </c:pt>
                <c:pt idx="1080">
                  <c:v>Don't Say a Word </c:v>
                </c:pt>
                <c:pt idx="1081">
                  <c:v>Doogal </c:v>
                </c:pt>
                <c:pt idx="1082">
                  <c:v>Doom </c:v>
                </c:pt>
                <c:pt idx="1083">
                  <c:v>Doomsday </c:v>
                </c:pt>
                <c:pt idx="1084">
                  <c:v>Dope </c:v>
                </c:pt>
                <c:pt idx="1085">
                  <c:v>Double Impact </c:v>
                </c:pt>
                <c:pt idx="1086">
                  <c:v>Double Jeopardy </c:v>
                </c:pt>
                <c:pt idx="1087">
                  <c:v>Double Take </c:v>
                </c:pt>
                <c:pt idx="1088">
                  <c:v>Doubt </c:v>
                </c:pt>
                <c:pt idx="1089">
                  <c:v>Doug's 1st Movie </c:v>
                </c:pt>
                <c:pt idx="1090">
                  <c:v>Down and Out with the Dolls </c:v>
                </c:pt>
                <c:pt idx="1091">
                  <c:v>Down for Life </c:v>
                </c:pt>
                <c:pt idx="1092">
                  <c:v>Down in the Valley </c:v>
                </c:pt>
                <c:pt idx="1093">
                  <c:v>Down Terrace </c:v>
                </c:pt>
                <c:pt idx="1094">
                  <c:v>Down to Earth </c:v>
                </c:pt>
                <c:pt idx="1095">
                  <c:v>Down to You </c:v>
                </c:pt>
                <c:pt idx="1096">
                  <c:v>Downfall </c:v>
                </c:pt>
                <c:pt idx="1097">
                  <c:v>Dr. Dolittle 2 </c:v>
                </c:pt>
                <c:pt idx="1098">
                  <c:v>Dr. No </c:v>
                </c:pt>
                <c:pt idx="1099">
                  <c:v>Dr. Strangelove or: How I Learned to Stop Worrying and Love the Bomb </c:v>
                </c:pt>
                <c:pt idx="1100">
                  <c:v>Dracula 2000 </c:v>
                </c:pt>
                <c:pt idx="1101">
                  <c:v>Dracula Untold </c:v>
                </c:pt>
                <c:pt idx="1102">
                  <c:v>Dracula: Pages from a Virgin's Diary </c:v>
                </c:pt>
                <c:pt idx="1103">
                  <c:v>Draft Day </c:v>
                </c:pt>
                <c:pt idx="1104">
                  <c:v>Drag Me to Hell </c:v>
                </c:pt>
                <c:pt idx="1105">
                  <c:v>Dragon Blade </c:v>
                </c:pt>
                <c:pt idx="1106">
                  <c:v>Dragon Hunters </c:v>
                </c:pt>
                <c:pt idx="1107">
                  <c:v>Dragon Nest: Warriors' Dawn </c:v>
                </c:pt>
                <c:pt idx="1108">
                  <c:v>Dragon Wars: D-War </c:v>
                </c:pt>
                <c:pt idx="1109">
                  <c:v>Dragonball: Evolution </c:v>
                </c:pt>
                <c:pt idx="1110">
                  <c:v>Dragonfly </c:v>
                </c:pt>
                <c:pt idx="1111">
                  <c:v>DragonHeart </c:v>
                </c:pt>
                <c:pt idx="1112">
                  <c:v>Dragonslayer </c:v>
                </c:pt>
                <c:pt idx="1113">
                  <c:v>Dream House </c:v>
                </c:pt>
                <c:pt idx="1114">
                  <c:v>Dream with the Fishes </c:v>
                </c:pt>
                <c:pt idx="1115">
                  <c:v>Dreamcatcher </c:v>
                </c:pt>
                <c:pt idx="1116">
                  <c:v>Dreamer: Inspired by a True Story </c:v>
                </c:pt>
                <c:pt idx="1117">
                  <c:v>Dreamgirls </c:v>
                </c:pt>
                <c:pt idx="1118">
                  <c:v>Dreaming of Joseph Lees </c:v>
                </c:pt>
                <c:pt idx="1119">
                  <c:v>Dredd </c:v>
                </c:pt>
                <c:pt idx="1120">
                  <c:v>Dressed to Kill </c:v>
                </c:pt>
                <c:pt idx="1121">
                  <c:v>Drillbit Taylor </c:v>
                </c:pt>
                <c:pt idx="1122">
                  <c:v>Drinking Buddies </c:v>
                </c:pt>
                <c:pt idx="1123">
                  <c:v>Drive Angry </c:v>
                </c:pt>
                <c:pt idx="1124">
                  <c:v>Drive Hard </c:v>
                </c:pt>
                <c:pt idx="1125">
                  <c:v>Drive Me Crazy </c:v>
                </c:pt>
                <c:pt idx="1126">
                  <c:v>Drive </c:v>
                </c:pt>
                <c:pt idx="1127">
                  <c:v>Driven </c:v>
                </c:pt>
                <c:pt idx="1128">
                  <c:v>Driving Lessons </c:v>
                </c:pt>
                <c:pt idx="1129">
                  <c:v>Driving Miss Daisy </c:v>
                </c:pt>
                <c:pt idx="1130">
                  <c:v>Drop Dead Gorgeous </c:v>
                </c:pt>
                <c:pt idx="1131">
                  <c:v>Drowning Mona </c:v>
                </c:pt>
                <c:pt idx="1132">
                  <c:v>Drumline </c:v>
                </c:pt>
                <c:pt idx="1133">
                  <c:v>Dry Spell </c:v>
                </c:pt>
                <c:pt idx="1134">
                  <c:v>Dude, Where's My Car? </c:v>
                </c:pt>
                <c:pt idx="1135">
                  <c:v>Dude, Where's My Dog?! </c:v>
                </c:pt>
                <c:pt idx="1136">
                  <c:v>Dudley Do-Right </c:v>
                </c:pt>
                <c:pt idx="1137">
                  <c:v>Due Date </c:v>
                </c:pt>
                <c:pt idx="1138">
                  <c:v>Duel in the Sun </c:v>
                </c:pt>
                <c:pt idx="1139">
                  <c:v>Duets </c:v>
                </c:pt>
                <c:pt idx="1140">
                  <c:v>Dum Maaro Dum </c:v>
                </c:pt>
                <c:pt idx="1141">
                  <c:v>Duma </c:v>
                </c:pt>
                <c:pt idx="1142">
                  <c:v>Dumb &amp; Dumber </c:v>
                </c:pt>
                <c:pt idx="1143">
                  <c:v>Dumb and Dumber To </c:v>
                </c:pt>
                <c:pt idx="1144">
                  <c:v>Dumb and Dumberer: When Harry Met Lloyd </c:v>
                </c:pt>
                <c:pt idx="1145">
                  <c:v>Dune </c:v>
                </c:pt>
                <c:pt idx="1146">
                  <c:v>Dungeons &amp; Dragons: Wrath of the Dragon God </c:v>
                </c:pt>
                <c:pt idx="1147">
                  <c:v>Duplex </c:v>
                </c:pt>
                <c:pt idx="1148">
                  <c:v>Duplicity </c:v>
                </c:pt>
                <c:pt idx="1149">
                  <c:v>Dutch Kills </c:v>
                </c:pt>
                <c:pt idx="1150">
                  <c:v>Dwegons and Leprechauns </c:v>
                </c:pt>
                <c:pt idx="1151">
                  <c:v>Dying of the Light </c:v>
                </c:pt>
                <c:pt idx="1152">
                  <c:v>Dylan Dog: Dead of Night </c:v>
                </c:pt>
                <c:pt idx="1153">
                  <c:v>Dysfunctional Friends </c:v>
                </c:pt>
                <c:pt idx="1154">
                  <c:v>DysFunktional Family </c:v>
                </c:pt>
                <c:pt idx="1155">
                  <c:v>E.T. the Extra-Terrestrial </c:v>
                </c:pt>
                <c:pt idx="1156">
                  <c:v>Eagle Eye </c:v>
                </c:pt>
                <c:pt idx="1157">
                  <c:v>Earth to Echo </c:v>
                </c:pt>
                <c:pt idx="1158">
                  <c:v>Earth </c:v>
                </c:pt>
                <c:pt idx="1159">
                  <c:v>East Is East </c:v>
                </c:pt>
                <c:pt idx="1160">
                  <c:v>Eastern Promises </c:v>
                </c:pt>
                <c:pt idx="1161">
                  <c:v>Easy A </c:v>
                </c:pt>
                <c:pt idx="1162">
                  <c:v>Easy Money </c:v>
                </c:pt>
                <c:pt idx="1163">
                  <c:v>Easy Virtue </c:v>
                </c:pt>
                <c:pt idx="1164">
                  <c:v>Eat Pray Love </c:v>
                </c:pt>
                <c:pt idx="1165">
                  <c:v>Echo Dr. </c:v>
                </c:pt>
                <c:pt idx="1166">
                  <c:v>Ed and His Dead Mother </c:v>
                </c:pt>
                <c:pt idx="1167">
                  <c:v>Ed Wood </c:v>
                </c:pt>
                <c:pt idx="1168">
                  <c:v>Eddie the Eagle </c:v>
                </c:pt>
                <c:pt idx="1169">
                  <c:v>Eddie: The Sleepwalking Cannibal </c:v>
                </c:pt>
                <c:pt idx="1170">
                  <c:v>Eden Lake </c:v>
                </c:pt>
                <c:pt idx="1171">
                  <c:v>Eden </c:v>
                </c:pt>
                <c:pt idx="1172">
                  <c:v>Edge of Darkness </c:v>
                </c:pt>
                <c:pt idx="1173">
                  <c:v>Edge of Tomorrow </c:v>
                </c:pt>
                <c:pt idx="1174">
                  <c:v>Edmond </c:v>
                </c:pt>
                <c:pt idx="1175">
                  <c:v>Edtv </c:v>
                </c:pt>
                <c:pt idx="1176">
                  <c:v>Edward Scissorhands </c:v>
                </c:pt>
                <c:pt idx="1177">
                  <c:v>Eight Below </c:v>
                </c:pt>
                <c:pt idx="1178">
                  <c:v>Eight Legged Freaks </c:v>
                </c:pt>
                <c:pt idx="1179">
                  <c:v>El crimen del padre Amaro </c:v>
                </c:pt>
                <c:pt idx="1180">
                  <c:v>El Mariachi </c:v>
                </c:pt>
                <c:pt idx="1181">
                  <c:v>Election </c:v>
                </c:pt>
                <c:pt idx="1182">
                  <c:v>Elektra </c:v>
                </c:pt>
                <c:pt idx="1183">
                  <c:v>Elf </c:v>
                </c:pt>
                <c:pt idx="1184">
                  <c:v>Elite Squad </c:v>
                </c:pt>
                <c:pt idx="1185">
                  <c:v>Elizabeth </c:v>
                </c:pt>
                <c:pt idx="1186">
                  <c:v>Elizabeth: The Golden Age </c:v>
                </c:pt>
                <c:pt idx="1187">
                  <c:v>Elizabethtown </c:v>
                </c:pt>
                <c:pt idx="1188">
                  <c:v>Ella Enchanted </c:v>
                </c:pt>
                <c:pt idx="1189">
                  <c:v>Elling </c:v>
                </c:pt>
                <c:pt idx="1190">
                  <c:v>Elmer Gantry </c:v>
                </c:pt>
                <c:pt idx="1191">
                  <c:v>Elsa &amp; Fred </c:v>
                </c:pt>
                <c:pt idx="1192">
                  <c:v>Elysium </c:v>
                </c:pt>
                <c:pt idx="1193">
                  <c:v>Elza </c:v>
                </c:pt>
                <c:pt idx="1194">
                  <c:v>Emma </c:v>
                </c:pt>
                <c:pt idx="1195">
                  <c:v>Empire </c:v>
                </c:pt>
                <c:pt idx="1196">
                  <c:v>Employee of the Month </c:v>
                </c:pt>
                <c:pt idx="1197">
                  <c:v>Enchanted </c:v>
                </c:pt>
                <c:pt idx="1198">
                  <c:v>End of Days </c:v>
                </c:pt>
                <c:pt idx="1199">
                  <c:v>End of the Spear </c:v>
                </c:pt>
                <c:pt idx="1200">
                  <c:v>End of Watch </c:v>
                </c:pt>
                <c:pt idx="1201">
                  <c:v>Ender's Game </c:v>
                </c:pt>
                <c:pt idx="1202">
                  <c:v>Endless Love </c:v>
                </c:pt>
                <c:pt idx="1203">
                  <c:v>Enemy at the Gates </c:v>
                </c:pt>
                <c:pt idx="1204">
                  <c:v>Enemy of the State </c:v>
                </c:pt>
                <c:pt idx="1205">
                  <c:v>Enough Said </c:v>
                </c:pt>
                <c:pt idx="1206">
                  <c:v>Enough </c:v>
                </c:pt>
                <c:pt idx="1207">
                  <c:v>Enter Nowhere </c:v>
                </c:pt>
                <c:pt idx="1208">
                  <c:v>Enter the Dangerous Mind </c:v>
                </c:pt>
                <c:pt idx="1209">
                  <c:v>Enter the Void </c:v>
                </c:pt>
                <c:pt idx="1210">
                  <c:v>Entourage </c:v>
                </c:pt>
                <c:pt idx="1211">
                  <c:v>Entrapment </c:v>
                </c:pt>
                <c:pt idx="1212">
                  <c:v>Envy </c:v>
                </c:pt>
                <c:pt idx="1213">
                  <c:v>Epic Movie </c:v>
                </c:pt>
                <c:pt idx="1214">
                  <c:v>Epic </c:v>
                </c:pt>
                <c:pt idx="1215">
                  <c:v>Equilibrium </c:v>
                </c:pt>
                <c:pt idx="1216">
                  <c:v>Eragon </c:v>
                </c:pt>
                <c:pt idx="1217">
                  <c:v>Eraser </c:v>
                </c:pt>
                <c:pt idx="1218">
                  <c:v>Eraserhead </c:v>
                </c:pt>
                <c:pt idx="1219">
                  <c:v>Erin Brockovich </c:v>
                </c:pt>
                <c:pt idx="1220">
                  <c:v>Ernest &amp; Celestine </c:v>
                </c:pt>
                <c:pt idx="1221">
                  <c:v>Escape from Alcatraz </c:v>
                </c:pt>
                <c:pt idx="1222">
                  <c:v>Escape from L.A. </c:v>
                </c:pt>
                <c:pt idx="1223">
                  <c:v>Escape from New York </c:v>
                </c:pt>
                <c:pt idx="1224">
                  <c:v>Escape from Planet Earth </c:v>
                </c:pt>
                <c:pt idx="1225">
                  <c:v>Escape from the Planet of the Apes </c:v>
                </c:pt>
                <c:pt idx="1226">
                  <c:v>Escape from Tomorrow </c:v>
                </c:pt>
                <c:pt idx="1227">
                  <c:v>Escape Plan </c:v>
                </c:pt>
                <c:pt idx="1228">
                  <c:v>Escobar: Paradise Lost </c:v>
                </c:pt>
                <c:pt idx="1229">
                  <c:v>Eternal Sunshine of the Spotless Mind </c:v>
                </c:pt>
                <c:pt idx="1230">
                  <c:v>Eulogy </c:v>
                </c:pt>
                <c:pt idx="1231">
                  <c:v>Eureka </c:v>
                </c:pt>
                <c:pt idx="1232">
                  <c:v>EuroTrip </c:v>
                </c:pt>
                <c:pt idx="1233">
                  <c:v>Evan Almighty </c:v>
                </c:pt>
                <c:pt idx="1234">
                  <c:v>Event Horizon </c:v>
                </c:pt>
                <c:pt idx="1235">
                  <c:v>Ever After: A Cinderella Story </c:v>
                </c:pt>
                <c:pt idx="1236">
                  <c:v>Everest </c:v>
                </c:pt>
                <c:pt idx="1237">
                  <c:v>Everybody's Fine </c:v>
                </c:pt>
                <c:pt idx="1238">
                  <c:v>Everyone Says I Love You </c:v>
                </c:pt>
                <c:pt idx="1239">
                  <c:v>Everything Must Go </c:v>
                </c:pt>
                <c:pt idx="1240">
                  <c:v>Everything Put Together </c:v>
                </c:pt>
                <c:pt idx="1241">
                  <c:v>Everything You Always Wanted to Know About Sex * But Were Afraid to Ask </c:v>
                </c:pt>
                <c:pt idx="1242">
                  <c:v>Eve's Bayou </c:v>
                </c:pt>
                <c:pt idx="1243">
                  <c:v>Evil Dead II </c:v>
                </c:pt>
                <c:pt idx="1244">
                  <c:v>Evil Dead </c:v>
                </c:pt>
                <c:pt idx="1245">
                  <c:v>Evita </c:v>
                </c:pt>
                <c:pt idx="1246">
                  <c:v>Evolution </c:v>
                </c:pt>
                <c:pt idx="1247">
                  <c:v>Ex Machina </c:v>
                </c:pt>
                <c:pt idx="1248">
                  <c:v>Exam </c:v>
                </c:pt>
                <c:pt idx="1249">
                  <c:v>Excessive Force </c:v>
                </c:pt>
                <c:pt idx="1250">
                  <c:v>Executive Decision </c:v>
                </c:pt>
                <c:pt idx="1251">
                  <c:v>Exeter </c:v>
                </c:pt>
                <c:pt idx="1252">
                  <c:v>Exiled </c:v>
                </c:pt>
                <c:pt idx="1253">
                  <c:v>eXistenZ </c:v>
                </c:pt>
                <c:pt idx="1254">
                  <c:v>Exit Wounds </c:v>
                </c:pt>
                <c:pt idx="1255">
                  <c:v>Exodus: Gods and Kings </c:v>
                </c:pt>
                <c:pt idx="1256">
                  <c:v>Exorcist II: The Heretic </c:v>
                </c:pt>
                <c:pt idx="1257">
                  <c:v>Exorcist: The Beginning </c:v>
                </c:pt>
                <c:pt idx="1258">
                  <c:v>Exotica </c:v>
                </c:pt>
                <c:pt idx="1259">
                  <c:v>Extract </c:v>
                </c:pt>
                <c:pt idx="1260">
                  <c:v>Extraordinary Measures </c:v>
                </c:pt>
                <c:pt idx="1261">
                  <c:v>Extreme Measures </c:v>
                </c:pt>
                <c:pt idx="1262">
                  <c:v>Extreme Movie </c:v>
                </c:pt>
                <c:pt idx="1263">
                  <c:v>Extreme Ops </c:v>
                </c:pt>
                <c:pt idx="1264">
                  <c:v>Extremely Loud &amp; Incredibly Close </c:v>
                </c:pt>
                <c:pt idx="1265">
                  <c:v>Eye for an Eye </c:v>
                </c:pt>
                <c:pt idx="1266">
                  <c:v>Eye of the Beholder </c:v>
                </c:pt>
                <c:pt idx="1267">
                  <c:v>Eye of the Dolphin </c:v>
                </c:pt>
                <c:pt idx="1268">
                  <c:v>Eye See You </c:v>
                </c:pt>
                <c:pt idx="1269">
                  <c:v>Eyes Wide Shut </c:v>
                </c:pt>
                <c:pt idx="1270">
                  <c:v>F.I.S.T. </c:v>
                </c:pt>
                <c:pt idx="1271">
                  <c:v>Fabled </c:v>
                </c:pt>
                <c:pt idx="1272">
                  <c:v>Face/Off </c:v>
                </c:pt>
                <c:pt idx="1273">
                  <c:v>Facing the Giants </c:v>
                </c:pt>
                <c:pt idx="1274">
                  <c:v>Factory Girl </c:v>
                </c:pt>
                <c:pt idx="1275">
                  <c:v>Fahrenheit 9/11 </c:v>
                </c:pt>
                <c:pt idx="1276">
                  <c:v>Failure to Launch </c:v>
                </c:pt>
                <c:pt idx="1277">
                  <c:v>Fair Game </c:v>
                </c:pt>
                <c:pt idx="1278">
                  <c:v>Faith Connections </c:v>
                </c:pt>
                <c:pt idx="1279">
                  <c:v>Faith Like Potatoes </c:v>
                </c:pt>
                <c:pt idx="1280">
                  <c:v>Faithful </c:v>
                </c:pt>
                <c:pt idx="1281">
                  <c:v>Falcon Rising </c:v>
                </c:pt>
                <c:pt idx="1282">
                  <c:v>Fame </c:v>
                </c:pt>
                <c:pt idx="1283">
                  <c:v>Family Plot </c:v>
                </c:pt>
                <c:pt idx="1284">
                  <c:v>Fantasia 2000 </c:v>
                </c:pt>
                <c:pt idx="1285">
                  <c:v>Fantasia </c:v>
                </c:pt>
                <c:pt idx="1286">
                  <c:v>Fantastic 4: Rise of the Silver Surfer </c:v>
                </c:pt>
                <c:pt idx="1287">
                  <c:v>Fantastic Four </c:v>
                </c:pt>
                <c:pt idx="1288">
                  <c:v>Fantastic Mr. Fox </c:v>
                </c:pt>
                <c:pt idx="1289">
                  <c:v>Far from Heaven </c:v>
                </c:pt>
                <c:pt idx="1290">
                  <c:v>Far from Men </c:v>
                </c:pt>
                <c:pt idx="1291">
                  <c:v>Farce of the Penguins </c:v>
                </c:pt>
                <c:pt idx="1292">
                  <c:v>Fargo </c:v>
                </c:pt>
                <c:pt idx="1293">
                  <c:v>Fascination </c:v>
                </c:pt>
                <c:pt idx="1294">
                  <c:v>Fast Five </c:v>
                </c:pt>
                <c:pt idx="1295">
                  <c:v>Fast Times at Ridgemont High </c:v>
                </c:pt>
                <c:pt idx="1296">
                  <c:v>Faster </c:v>
                </c:pt>
                <c:pt idx="1297">
                  <c:v>Fat Albert </c:v>
                </c:pt>
                <c:pt idx="1298">
                  <c:v>Fat, Sick &amp; Nearly Dead </c:v>
                </c:pt>
                <c:pt idx="1299">
                  <c:v>Fatal Attraction </c:v>
                </c:pt>
                <c:pt idx="1300">
                  <c:v>Fateless </c:v>
                </c:pt>
                <c:pt idx="1301">
                  <c:v>Fear and Loathing in Las Vegas </c:v>
                </c:pt>
                <c:pt idx="1302">
                  <c:v>Fear Clinic </c:v>
                </c:pt>
                <c:pt idx="1303">
                  <c:v>Feardotcom </c:v>
                </c:pt>
                <c:pt idx="1304">
                  <c:v>Feast </c:v>
                </c:pt>
                <c:pt idx="1305">
                  <c:v>Felicia's Journey </c:v>
                </c:pt>
                <c:pt idx="1306">
                  <c:v>Femme Fatale </c:v>
                </c:pt>
                <c:pt idx="1307">
                  <c:v>Fetching Cody </c:v>
                </c:pt>
                <c:pt idx="1308">
                  <c:v>Fever Pitch </c:v>
                </c:pt>
                <c:pt idx="1309">
                  <c:v>Fiddler on the Roof </c:v>
                </c:pt>
                <c:pt idx="1310">
                  <c:v>Fido </c:v>
                </c:pt>
                <c:pt idx="1311">
                  <c:v>Fifty Dead Men Walking </c:v>
                </c:pt>
                <c:pt idx="1312">
                  <c:v>Fifty Shades of Black </c:v>
                </c:pt>
                <c:pt idx="1313">
                  <c:v>Fifty Shades of Grey </c:v>
                </c:pt>
                <c:pt idx="1314">
                  <c:v>Fight Club </c:v>
                </c:pt>
                <c:pt idx="1315">
                  <c:v>Fight to the Finish </c:v>
                </c:pt>
                <c:pt idx="1316">
                  <c:v>Fight Valley </c:v>
                </c:pt>
                <c:pt idx="1317">
                  <c:v>Fighting Tommy Riley </c:v>
                </c:pt>
                <c:pt idx="1318">
                  <c:v>Filly Brown </c:v>
                </c:pt>
                <c:pt idx="1319">
                  <c:v>Final Destination 2 </c:v>
                </c:pt>
                <c:pt idx="1320">
                  <c:v>Final Destination 3 </c:v>
                </c:pt>
                <c:pt idx="1321">
                  <c:v>Final Destination 5 </c:v>
                </c:pt>
                <c:pt idx="1322">
                  <c:v>Final Destination </c:v>
                </c:pt>
                <c:pt idx="1323">
                  <c:v>Final Fantasy: The Spirits Within </c:v>
                </c:pt>
                <c:pt idx="1324">
                  <c:v>Find Me Guilty </c:v>
                </c:pt>
                <c:pt idx="1325">
                  <c:v>Finding Forrester </c:v>
                </c:pt>
                <c:pt idx="1326">
                  <c:v>Finding Nemo </c:v>
                </c:pt>
                <c:pt idx="1327">
                  <c:v>Finding Neverland </c:v>
                </c:pt>
                <c:pt idx="1328">
                  <c:v>Finishing the Game: The Search for a New Bruce Lee </c:v>
                </c:pt>
                <c:pt idx="1329">
                  <c:v>Fired Up </c:v>
                </c:pt>
                <c:pt idx="1330">
                  <c:v>Firefox </c:v>
                </c:pt>
                <c:pt idx="1331">
                  <c:v>Fireproof </c:v>
                </c:pt>
                <c:pt idx="1332">
                  <c:v>Firestarter </c:v>
                </c:pt>
                <c:pt idx="1333">
                  <c:v>Firestorm </c:v>
                </c:pt>
                <c:pt idx="1334">
                  <c:v>Firewall </c:v>
                </c:pt>
                <c:pt idx="1335">
                  <c:v>First Blood </c:v>
                </c:pt>
                <c:pt idx="1336">
                  <c:v>First Knight </c:v>
                </c:pt>
                <c:pt idx="1337">
                  <c:v>First Love, Last Rites </c:v>
                </c:pt>
                <c:pt idx="1338">
                  <c:v>Fish Tank </c:v>
                </c:pt>
                <c:pt idx="1339">
                  <c:v>Fiza </c:v>
                </c:pt>
                <c:pt idx="1340">
                  <c:v>Flags of Our Fathers </c:v>
                </c:pt>
                <c:pt idx="1341">
                  <c:v>Flame and Citron </c:v>
                </c:pt>
                <c:pt idx="1342">
                  <c:v>Flash Gordon </c:v>
                </c:pt>
                <c:pt idx="1343">
                  <c:v>Flash of Genius </c:v>
                </c:pt>
                <c:pt idx="1344">
                  <c:v>Flashdance </c:v>
                </c:pt>
                <c:pt idx="1345">
                  <c:v>Flatliners </c:v>
                </c:pt>
                <c:pt idx="1346">
                  <c:v>Flawless </c:v>
                </c:pt>
                <c:pt idx="1347">
                  <c:v>Fled </c:v>
                </c:pt>
                <c:pt idx="1348">
                  <c:v>Flicka </c:v>
                </c:pt>
                <c:pt idx="1349">
                  <c:v>Flight of the Intruder </c:v>
                </c:pt>
                <c:pt idx="1350">
                  <c:v>Flight of the Phoenix </c:v>
                </c:pt>
                <c:pt idx="1351">
                  <c:v>Flight </c:v>
                </c:pt>
                <c:pt idx="1352">
                  <c:v>Flightplan </c:v>
                </c:pt>
                <c:pt idx="1353">
                  <c:v>Flipped </c:v>
                </c:pt>
                <c:pt idx="1354">
                  <c:v>Flipper </c:v>
                </c:pt>
                <c:pt idx="1355">
                  <c:v>Flirting with Disaster </c:v>
                </c:pt>
                <c:pt idx="1356">
                  <c:v>Florence Foster Jenkins </c:v>
                </c:pt>
                <c:pt idx="1357">
                  <c:v>Flubber </c:v>
                </c:pt>
                <c:pt idx="1358">
                  <c:v>Flushed Away </c:v>
                </c:pt>
                <c:pt idx="1359">
                  <c:v>Flyboys </c:v>
                </c:pt>
                <c:pt idx="1360">
                  <c:v>Flying By </c:v>
                </c:pt>
                <c:pt idx="1361">
                  <c:v>Flywheel </c:v>
                </c:pt>
                <c:pt idx="1362">
                  <c:v>Focus </c:v>
                </c:pt>
                <c:pt idx="1363">
                  <c:v>Food Chains </c:v>
                </c:pt>
                <c:pt idx="1364">
                  <c:v>Food, Inc. </c:v>
                </c:pt>
                <c:pt idx="1365">
                  <c:v>Foodfight! </c:v>
                </c:pt>
                <c:pt idx="1366">
                  <c:v>Foolish </c:v>
                </c:pt>
                <c:pt idx="1367">
                  <c:v>Fool's Gold </c:v>
                </c:pt>
                <c:pt idx="1368">
                  <c:v>Footloose </c:v>
                </c:pt>
                <c:pt idx="1369">
                  <c:v>For a Good Time, Call... </c:v>
                </c:pt>
                <c:pt idx="1370">
                  <c:v>For Colored Girls </c:v>
                </c:pt>
                <c:pt idx="1371">
                  <c:v>For Greater Glory: The True Story of Cristiada </c:v>
                </c:pt>
                <c:pt idx="1372">
                  <c:v>For Love of the Game </c:v>
                </c:pt>
                <c:pt idx="1373">
                  <c:v>For Your Consideration </c:v>
                </c:pt>
                <c:pt idx="1374">
                  <c:v>For Your Eyes Only </c:v>
                </c:pt>
                <c:pt idx="1375">
                  <c:v>Force 10 from Navarone </c:v>
                </c:pt>
                <c:pt idx="1376">
                  <c:v>Forget Me Not </c:v>
                </c:pt>
                <c:pt idx="1377">
                  <c:v>Forgetting Sarah Marshall </c:v>
                </c:pt>
                <c:pt idx="1378">
                  <c:v>Formula 51 </c:v>
                </c:pt>
                <c:pt idx="1379">
                  <c:v>Forrest Gump </c:v>
                </c:pt>
                <c:pt idx="1380">
                  <c:v>Forsaken </c:v>
                </c:pt>
                <c:pt idx="1381">
                  <c:v>Fort McCoy </c:v>
                </c:pt>
                <c:pt idx="1382">
                  <c:v>Fortress </c:v>
                </c:pt>
                <c:pt idx="1383">
                  <c:v>Forty Shades of Blue </c:v>
                </c:pt>
                <c:pt idx="1384">
                  <c:v>Four Brothers </c:v>
                </c:pt>
                <c:pt idx="1385">
                  <c:v>Four Christmases </c:v>
                </c:pt>
                <c:pt idx="1386">
                  <c:v>Four Lions </c:v>
                </c:pt>
                <c:pt idx="1387">
                  <c:v>Four Rooms </c:v>
                </c:pt>
                <c:pt idx="1388">
                  <c:v>Four Single Fathers </c:v>
                </c:pt>
                <c:pt idx="1389">
                  <c:v>Four Weddings and a Funeral </c:v>
                </c:pt>
                <c:pt idx="1390">
                  <c:v>Frailty </c:v>
                </c:pt>
                <c:pt idx="1391">
                  <c:v>Frances Ha </c:v>
                </c:pt>
                <c:pt idx="1392">
                  <c:v>Frankenweenie </c:v>
                </c:pt>
                <c:pt idx="1393">
                  <c:v>Frat Party </c:v>
                </c:pt>
                <c:pt idx="1394">
                  <c:v>Freakonomics </c:v>
                </c:pt>
                <c:pt idx="1395">
                  <c:v>Freaky Deaky </c:v>
                </c:pt>
                <c:pt idx="1396">
                  <c:v>Freaky Friday </c:v>
                </c:pt>
                <c:pt idx="1397">
                  <c:v>Freddy Got Fingered </c:v>
                </c:pt>
                <c:pt idx="1398">
                  <c:v>Freddy vs. Jason </c:v>
                </c:pt>
                <c:pt idx="1399">
                  <c:v>Freddy's Dead: The Final Nightmare </c:v>
                </c:pt>
                <c:pt idx="1400">
                  <c:v>Free Birds </c:v>
                </c:pt>
                <c:pt idx="1401">
                  <c:v>Free State of Jones </c:v>
                </c:pt>
                <c:pt idx="1402">
                  <c:v>Free Style </c:v>
                </c:pt>
                <c:pt idx="1403">
                  <c:v>Freedom Writers </c:v>
                </c:pt>
                <c:pt idx="1404">
                  <c:v>Freedom </c:v>
                </c:pt>
                <c:pt idx="1405">
                  <c:v>Freeheld </c:v>
                </c:pt>
                <c:pt idx="1406">
                  <c:v>Freeway </c:v>
                </c:pt>
                <c:pt idx="1407">
                  <c:v>Freeze Frame </c:v>
                </c:pt>
                <c:pt idx="1408">
                  <c:v>Frenzy </c:v>
                </c:pt>
                <c:pt idx="1409">
                  <c:v>Frequency </c:v>
                </c:pt>
                <c:pt idx="1410">
                  <c:v>Frida </c:v>
                </c:pt>
                <c:pt idx="1411">
                  <c:v>Friday After Next </c:v>
                </c:pt>
                <c:pt idx="1412">
                  <c:v>Friday Night Lights </c:v>
                </c:pt>
                <c:pt idx="1413">
                  <c:v>Friday the 13th Part 2 </c:v>
                </c:pt>
                <c:pt idx="1414">
                  <c:v>Friday the 13th Part III </c:v>
                </c:pt>
                <c:pt idx="1415">
                  <c:v>Friday the 13th Part VII: The New Blood </c:v>
                </c:pt>
                <c:pt idx="1416">
                  <c:v>Friday the 13th Part VIII: Jason Takes Manhattan </c:v>
                </c:pt>
                <c:pt idx="1417">
                  <c:v>Friday the 13th: A New Beginning </c:v>
                </c:pt>
                <c:pt idx="1418">
                  <c:v>Friday the 13th: The Final Chapter </c:v>
                </c:pt>
                <c:pt idx="1419">
                  <c:v>Friday </c:v>
                </c:pt>
                <c:pt idx="1420">
                  <c:v>Friends with Benefits </c:v>
                </c:pt>
                <c:pt idx="1421">
                  <c:v>Friends with Money </c:v>
                </c:pt>
                <c:pt idx="1422">
                  <c:v>Fright Night </c:v>
                </c:pt>
                <c:pt idx="1423">
                  <c:v>From a Whisper to a Scream </c:v>
                </c:pt>
                <c:pt idx="1424">
                  <c:v>From Dusk Till Dawn </c:v>
                </c:pt>
                <c:pt idx="1425">
                  <c:v>From Hell </c:v>
                </c:pt>
                <c:pt idx="1426">
                  <c:v>From Here to Eternity </c:v>
                </c:pt>
                <c:pt idx="1427">
                  <c:v>From Justin to Kelly </c:v>
                </c:pt>
                <c:pt idx="1428">
                  <c:v>From Paris with Love </c:v>
                </c:pt>
                <c:pt idx="1429">
                  <c:v>From Russia with Love </c:v>
                </c:pt>
                <c:pt idx="1430">
                  <c:v>Frost/Nixon </c:v>
                </c:pt>
                <c:pt idx="1431">
                  <c:v>Frozen River </c:v>
                </c:pt>
                <c:pt idx="1432">
                  <c:v>Frozen </c:v>
                </c:pt>
                <c:pt idx="1433">
                  <c:v>Fruitvale Station </c:v>
                </c:pt>
                <c:pt idx="1434">
                  <c:v>Fuel </c:v>
                </c:pt>
                <c:pt idx="1435">
                  <c:v>Fugly </c:v>
                </c:pt>
                <c:pt idx="1436">
                  <c:v>Full Frontal </c:v>
                </c:pt>
                <c:pt idx="1437">
                  <c:v>Fun Size </c:v>
                </c:pt>
                <c:pt idx="1438">
                  <c:v>Fun with Dick and Jane </c:v>
                </c:pt>
                <c:pt idx="1439">
                  <c:v>Funny Games </c:v>
                </c:pt>
                <c:pt idx="1440">
                  <c:v>Funny Ha Ha </c:v>
                </c:pt>
                <c:pt idx="1441">
                  <c:v>Funny People </c:v>
                </c:pt>
                <c:pt idx="1442">
                  <c:v>Fur: An Imaginary Portrait of Diane Arbus </c:v>
                </c:pt>
                <c:pt idx="1443">
                  <c:v>Furious 7 </c:v>
                </c:pt>
                <c:pt idx="1444">
                  <c:v>Furry Vengeance </c:v>
                </c:pt>
                <c:pt idx="1445">
                  <c:v>Fury </c:v>
                </c:pt>
                <c:pt idx="1446">
                  <c:v>Futuro Beach </c:v>
                </c:pt>
                <c:pt idx="1447">
                  <c:v>G.I. Jane </c:v>
                </c:pt>
                <c:pt idx="1448">
                  <c:v>G.I. Joe: Retaliation </c:v>
                </c:pt>
                <c:pt idx="1449">
                  <c:v>G.I. Joe: The Rise of Cobra </c:v>
                </c:pt>
                <c:pt idx="1450">
                  <c:v>Gabriela </c:v>
                </c:pt>
                <c:pt idx="1451">
                  <c:v>Galaxina </c:v>
                </c:pt>
                <c:pt idx="1452">
                  <c:v>Galaxy Quest </c:v>
                </c:pt>
                <c:pt idx="1453">
                  <c:v>Gamer </c:v>
                </c:pt>
                <c:pt idx="1454">
                  <c:v>Gandhi </c:v>
                </c:pt>
                <c:pt idx="1455">
                  <c:v>Gandhi, My Father </c:v>
                </c:pt>
                <c:pt idx="1456">
                  <c:v>Gangs of New York </c:v>
                </c:pt>
                <c:pt idx="1457">
                  <c:v>Gangster Squad </c:v>
                </c:pt>
                <c:pt idx="1458">
                  <c:v>Gangster's Paradise: Jerusalema </c:v>
                </c:pt>
                <c:pt idx="1459">
                  <c:v>Garden State </c:v>
                </c:pt>
                <c:pt idx="1460">
                  <c:v>Garfield 2 </c:v>
                </c:pt>
                <c:pt idx="1461">
                  <c:v>Garfield </c:v>
                </c:pt>
                <c:pt idx="1462">
                  <c:v>Gattaca </c:v>
                </c:pt>
                <c:pt idx="1463">
                  <c:v>Gentleman's Agreement </c:v>
                </c:pt>
                <c:pt idx="1464">
                  <c:v>Gentlemen Broncos </c:v>
                </c:pt>
                <c:pt idx="1465">
                  <c:v>George and the Dragon </c:v>
                </c:pt>
                <c:pt idx="1466">
                  <c:v>George of the Jungle </c:v>
                </c:pt>
                <c:pt idx="1467">
                  <c:v>George Washington </c:v>
                </c:pt>
                <c:pt idx="1468">
                  <c:v>Georgia Rule </c:v>
                </c:pt>
                <c:pt idx="1469">
                  <c:v>Gerry </c:v>
                </c:pt>
                <c:pt idx="1470">
                  <c:v>Get Carter </c:v>
                </c:pt>
                <c:pt idx="1471">
                  <c:v>Get Hard </c:v>
                </c:pt>
                <c:pt idx="1472">
                  <c:v>Get Him to the Greek </c:v>
                </c:pt>
                <c:pt idx="1473">
                  <c:v>Get Low </c:v>
                </c:pt>
                <c:pt idx="1474">
                  <c:v>Get on the Bus </c:v>
                </c:pt>
                <c:pt idx="1475">
                  <c:v>Get on Up </c:v>
                </c:pt>
                <c:pt idx="1476">
                  <c:v>Get Over It </c:v>
                </c:pt>
                <c:pt idx="1477">
                  <c:v>Get Real </c:v>
                </c:pt>
                <c:pt idx="1478">
                  <c:v>Get Rich or Die Tryin' </c:v>
                </c:pt>
                <c:pt idx="1479">
                  <c:v>Get Shorty </c:v>
                </c:pt>
                <c:pt idx="1480">
                  <c:v>Get Smart </c:v>
                </c:pt>
                <c:pt idx="1481">
                  <c:v>Getaway </c:v>
                </c:pt>
                <c:pt idx="1482">
                  <c:v>Gettysburg </c:v>
                </c:pt>
                <c:pt idx="1483">
                  <c:v>G-Force </c:v>
                </c:pt>
                <c:pt idx="1484">
                  <c:v>Ghost Dog: The Way of the Samurai </c:v>
                </c:pt>
                <c:pt idx="1485">
                  <c:v>Ghost Hunters </c:v>
                </c:pt>
                <c:pt idx="1486">
                  <c:v>Ghost Rider </c:v>
                </c:pt>
                <c:pt idx="1487">
                  <c:v>Ghost Rider: Spirit of Vengeance </c:v>
                </c:pt>
                <c:pt idx="1488">
                  <c:v>Ghost Ship </c:v>
                </c:pt>
                <c:pt idx="1489">
                  <c:v>Ghost Town </c:v>
                </c:pt>
                <c:pt idx="1490">
                  <c:v>Ghost World </c:v>
                </c:pt>
                <c:pt idx="1491">
                  <c:v>Ghost </c:v>
                </c:pt>
                <c:pt idx="1492">
                  <c:v>Ghostbusters </c:v>
                </c:pt>
                <c:pt idx="1493">
                  <c:v>Ghosts of Mars </c:v>
                </c:pt>
                <c:pt idx="1494">
                  <c:v>Ghosts of Mississippi </c:v>
                </c:pt>
                <c:pt idx="1495">
                  <c:v>Gigli </c:v>
                </c:pt>
                <c:pt idx="1496">
                  <c:v>Girl 6 </c:v>
                </c:pt>
                <c:pt idx="1497">
                  <c:v>Girl House </c:v>
                </c:pt>
                <c:pt idx="1498">
                  <c:v>Girl with a Pearl Earring </c:v>
                </c:pt>
                <c:pt idx="1499">
                  <c:v>Girl, Interrupted </c:v>
                </c:pt>
                <c:pt idx="1500">
                  <c:v>Girls Gone Dead </c:v>
                </c:pt>
                <c:pt idx="1501">
                  <c:v>Give Me Shelter </c:v>
                </c:pt>
                <c:pt idx="1502">
                  <c:v>Gladiator </c:v>
                </c:pt>
                <c:pt idx="1503">
                  <c:v>Glee: The 3D Concert Movie </c:v>
                </c:pt>
                <c:pt idx="1504">
                  <c:v>Glengarry Glen Ross </c:v>
                </c:pt>
                <c:pt idx="1505">
                  <c:v>Glitter </c:v>
                </c:pt>
                <c:pt idx="1506">
                  <c:v>Glory Road </c:v>
                </c:pt>
                <c:pt idx="1507">
                  <c:v>Glory </c:v>
                </c:pt>
                <c:pt idx="1508">
                  <c:v>Go for It! </c:v>
                </c:pt>
                <c:pt idx="1509">
                  <c:v>Go </c:v>
                </c:pt>
                <c:pt idx="1510">
                  <c:v>Goal! The Dream Begins </c:v>
                </c:pt>
                <c:pt idx="1511">
                  <c:v>Goddess of Love </c:v>
                </c:pt>
                <c:pt idx="1512">
                  <c:v>Gods and Generals </c:v>
                </c:pt>
                <c:pt idx="1513">
                  <c:v>Gods and Monsters </c:v>
                </c:pt>
                <c:pt idx="1514">
                  <c:v>God's Not Dead 2 </c:v>
                </c:pt>
                <c:pt idx="1515">
                  <c:v>Gods of Egypt </c:v>
                </c:pt>
                <c:pt idx="1516">
                  <c:v>Godsend </c:v>
                </c:pt>
                <c:pt idx="1517">
                  <c:v>Godzilla 2000 </c:v>
                </c:pt>
                <c:pt idx="1518">
                  <c:v>Godzilla Resurgence </c:v>
                </c:pt>
                <c:pt idx="1519">
                  <c:v>Going the Distance </c:v>
                </c:pt>
                <c:pt idx="1520">
                  <c:v>GoldenEye </c:v>
                </c:pt>
                <c:pt idx="1521">
                  <c:v>Goldfinger </c:v>
                </c:pt>
                <c:pt idx="1522">
                  <c:v>Gomorrah </c:v>
                </c:pt>
                <c:pt idx="1523">
                  <c:v>Gone Girl </c:v>
                </c:pt>
                <c:pt idx="1524">
                  <c:v>Gone in Sixty Seconds </c:v>
                </c:pt>
                <c:pt idx="1525">
                  <c:v>Gone with the Wind </c:v>
                </c:pt>
                <c:pt idx="1526">
                  <c:v>Gone, Baby, Gone             </c:v>
                </c:pt>
                <c:pt idx="1527">
                  <c:v>Good Boy! </c:v>
                </c:pt>
                <c:pt idx="1528">
                  <c:v>Good Bye Lenin! </c:v>
                </c:pt>
                <c:pt idx="1529">
                  <c:v>Good Deeds </c:v>
                </c:pt>
                <c:pt idx="1530">
                  <c:v>Good Dick </c:v>
                </c:pt>
                <c:pt idx="1531">
                  <c:v>Good Intentions </c:v>
                </c:pt>
                <c:pt idx="1532">
                  <c:v>Good Kill </c:v>
                </c:pt>
                <c:pt idx="1533">
                  <c:v>Good Luck Chuck </c:v>
                </c:pt>
                <c:pt idx="1534">
                  <c:v>Good Morning, Vietnam </c:v>
                </c:pt>
                <c:pt idx="1535">
                  <c:v>Good Night, and Good Luck. </c:v>
                </c:pt>
                <c:pt idx="1536">
                  <c:v>Good Will Hunting </c:v>
                </c:pt>
                <c:pt idx="1537">
                  <c:v>Good </c:v>
                </c:pt>
                <c:pt idx="1538">
                  <c:v>Goodfellas </c:v>
                </c:pt>
                <c:pt idx="1539">
                  <c:v>Goosebumps </c:v>
                </c:pt>
                <c:pt idx="1540">
                  <c:v>Gory Gory Hallelujah </c:v>
                </c:pt>
                <c:pt idx="1541">
                  <c:v>Gosford Park </c:v>
                </c:pt>
                <c:pt idx="1542">
                  <c:v>Gossip </c:v>
                </c:pt>
                <c:pt idx="1543">
                  <c:v>Gothika </c:v>
                </c:pt>
                <c:pt idx="1544">
                  <c:v>Grabbers </c:v>
                </c:pt>
                <c:pt idx="1545">
                  <c:v>Grace of Monaco </c:v>
                </c:pt>
                <c:pt idx="1546">
                  <c:v>Grace Unplugged </c:v>
                </c:pt>
                <c:pt idx="1547">
                  <c:v>Gracie </c:v>
                </c:pt>
                <c:pt idx="1548">
                  <c:v>Graduation Day </c:v>
                </c:pt>
                <c:pt idx="1549">
                  <c:v>Gran Torino </c:v>
                </c:pt>
                <c:pt idx="1550">
                  <c:v>Grand Theft Parsons </c:v>
                </c:pt>
                <c:pt idx="1551">
                  <c:v>Grandma's Boy </c:v>
                </c:pt>
                <c:pt idx="1552">
                  <c:v>Grave Encounters </c:v>
                </c:pt>
                <c:pt idx="1553">
                  <c:v>Gravity </c:v>
                </c:pt>
                <c:pt idx="1554">
                  <c:v>Grease </c:v>
                </c:pt>
                <c:pt idx="1555">
                  <c:v>Green Lantern </c:v>
                </c:pt>
                <c:pt idx="1556">
                  <c:v>Green Room </c:v>
                </c:pt>
                <c:pt idx="1557">
                  <c:v>Green Street 3: Never Back Down </c:v>
                </c:pt>
                <c:pt idx="1558">
                  <c:v>Green Zone </c:v>
                </c:pt>
                <c:pt idx="1559">
                  <c:v>Gremlins 2: The New Batch </c:v>
                </c:pt>
                <c:pt idx="1560">
                  <c:v>Gremlins </c:v>
                </c:pt>
                <c:pt idx="1561">
                  <c:v>Gridiron Gang </c:v>
                </c:pt>
                <c:pt idx="1562">
                  <c:v>Griff the Invisible </c:v>
                </c:pt>
                <c:pt idx="1563">
                  <c:v>Grindhouse </c:v>
                </c:pt>
                <c:pt idx="1564">
                  <c:v>Groove </c:v>
                </c:pt>
                <c:pt idx="1565">
                  <c:v>Grosse Pointe Blank </c:v>
                </c:pt>
                <c:pt idx="1566">
                  <c:v>Groundhog Day </c:v>
                </c:pt>
                <c:pt idx="1567">
                  <c:v>Growing Up Smith </c:v>
                </c:pt>
                <c:pt idx="1568">
                  <c:v>Grown Ups 2 </c:v>
                </c:pt>
                <c:pt idx="1569">
                  <c:v>Grown Ups </c:v>
                </c:pt>
                <c:pt idx="1570">
                  <c:v>Grudge Match </c:v>
                </c:pt>
                <c:pt idx="1571">
                  <c:v>Guardians of the Galaxy </c:v>
                </c:pt>
                <c:pt idx="1572">
                  <c:v>Guess Who </c:v>
                </c:pt>
                <c:pt idx="1573">
                  <c:v>Guiana 1838 </c:v>
                </c:pt>
                <c:pt idx="1574">
                  <c:v>Gulliver's Travels </c:v>
                </c:pt>
                <c:pt idx="1575">
                  <c:v>Gun Shy </c:v>
                </c:pt>
                <c:pt idx="1576">
                  <c:v>Gunless </c:v>
                </c:pt>
                <c:pt idx="1577">
                  <c:v>H. </c:v>
                </c:pt>
                <c:pt idx="1578">
                  <c:v>Hachi: A Dog's Tale </c:v>
                </c:pt>
                <c:pt idx="1579">
                  <c:v>Hackers </c:v>
                </c:pt>
                <c:pt idx="1580">
                  <c:v>Hail, Caesar! </c:v>
                </c:pt>
                <c:pt idx="1581">
                  <c:v>Hairspray </c:v>
                </c:pt>
                <c:pt idx="1582">
                  <c:v>Half Baked </c:v>
                </c:pt>
                <c:pt idx="1583">
                  <c:v>Half Nelson </c:v>
                </c:pt>
                <c:pt idx="1584">
                  <c:v>Half Past Dead </c:v>
                </c:pt>
                <c:pt idx="1585">
                  <c:v>Hall Pass </c:v>
                </c:pt>
                <c:pt idx="1586">
                  <c:v>Halloween 4: The Return of Michael Myers </c:v>
                </c:pt>
                <c:pt idx="1587">
                  <c:v>Halloween 5 </c:v>
                </c:pt>
                <c:pt idx="1588">
                  <c:v>Halloween II </c:v>
                </c:pt>
                <c:pt idx="1589">
                  <c:v>Halloween III: Season of the Witch </c:v>
                </c:pt>
                <c:pt idx="1590">
                  <c:v>Halloween </c:v>
                </c:pt>
                <c:pt idx="1591">
                  <c:v>Halloween: Resurrection </c:v>
                </c:pt>
                <c:pt idx="1592">
                  <c:v>Halloween: The Curse of Michael Myers </c:v>
                </c:pt>
                <c:pt idx="1593">
                  <c:v>Hamlet 2 </c:v>
                </c:pt>
                <c:pt idx="1594">
                  <c:v>Hamlet </c:v>
                </c:pt>
                <c:pt idx="1595">
                  <c:v>Hancock </c:v>
                </c:pt>
                <c:pt idx="1596">
                  <c:v>Hands of Stone </c:v>
                </c:pt>
                <c:pt idx="1597">
                  <c:v>Hang 'Em High </c:v>
                </c:pt>
                <c:pt idx="1598">
                  <c:v>Hanging Up </c:v>
                </c:pt>
                <c:pt idx="1599">
                  <c:v>Hanna </c:v>
                </c:pt>
                <c:pt idx="1600">
                  <c:v>Hannah Montana: The Movie </c:v>
                </c:pt>
                <c:pt idx="1601">
                  <c:v>Hannibal Rising </c:v>
                </c:pt>
                <c:pt idx="1602">
                  <c:v>Hannibal </c:v>
                </c:pt>
                <c:pt idx="1603">
                  <c:v>Hansel &amp; Gretel Get Baked </c:v>
                </c:pt>
                <c:pt idx="1604">
                  <c:v>Hansel &amp; Gretel: Witch Hunters </c:v>
                </c:pt>
                <c:pt idx="1605">
                  <c:v>Happily N'Ever After </c:v>
                </c:pt>
                <c:pt idx="1606">
                  <c:v>Happiness </c:v>
                </c:pt>
                <c:pt idx="1607">
                  <c:v>Happy Christmas </c:v>
                </c:pt>
                <c:pt idx="1608">
                  <c:v>Happy Feet 2 </c:v>
                </c:pt>
                <c:pt idx="1609">
                  <c:v>Happy Feet </c:v>
                </c:pt>
                <c:pt idx="1610">
                  <c:v>Happy Gilmore </c:v>
                </c:pt>
                <c:pt idx="1611">
                  <c:v>Happy Valley </c:v>
                </c:pt>
                <c:pt idx="1612">
                  <c:v>Happy, Texas </c:v>
                </c:pt>
                <c:pt idx="1613">
                  <c:v>Hard Candy </c:v>
                </c:pt>
                <c:pt idx="1614">
                  <c:v>Hard Rain </c:v>
                </c:pt>
                <c:pt idx="1615">
                  <c:v>Hard to Be a God </c:v>
                </c:pt>
                <c:pt idx="1616">
                  <c:v>Hardball </c:v>
                </c:pt>
                <c:pt idx="1617">
                  <c:v>Hardflip </c:v>
                </c:pt>
                <c:pt idx="1618">
                  <c:v>Harley Davidson and the Marlboro Man </c:v>
                </c:pt>
                <c:pt idx="1619">
                  <c:v>Harlock: Space Pirate </c:v>
                </c:pt>
                <c:pt idx="1620">
                  <c:v>Harold &amp; Kumar Escape from Guantanamo Bay </c:v>
                </c:pt>
                <c:pt idx="1621">
                  <c:v>Harold &amp; Kumar Go to White Castle </c:v>
                </c:pt>
                <c:pt idx="1622">
                  <c:v>Harper </c:v>
                </c:pt>
                <c:pt idx="1623">
                  <c:v>Harriet the Spy </c:v>
                </c:pt>
                <c:pt idx="1624">
                  <c:v>Harrison Montgomery </c:v>
                </c:pt>
                <c:pt idx="1625">
                  <c:v>Harry Brown </c:v>
                </c:pt>
                <c:pt idx="1626">
                  <c:v>Harry Potter and the Chamber of Secrets </c:v>
                </c:pt>
                <c:pt idx="1627">
                  <c:v>Harry Potter and the Deathly Hallows: Part I </c:v>
                </c:pt>
                <c:pt idx="1628">
                  <c:v>Harry Potter and the Deathly Hallows: Part II </c:v>
                </c:pt>
                <c:pt idx="1629">
                  <c:v>Harry Potter and the Goblet of Fire </c:v>
                </c:pt>
                <c:pt idx="1630">
                  <c:v>Harry Potter and the Half-Blood Prince </c:v>
                </c:pt>
                <c:pt idx="1631">
                  <c:v>Harry Potter and the Order of the Phoenix </c:v>
                </c:pt>
                <c:pt idx="1632">
                  <c:v>Harry Potter and the Prisoner of Azkaban </c:v>
                </c:pt>
                <c:pt idx="1633">
                  <c:v>Harry Potter and the Sorcerer's Stone </c:v>
                </c:pt>
                <c:pt idx="1634">
                  <c:v>Harsh Times </c:v>
                </c:pt>
                <c:pt idx="1635">
                  <c:v>Hart's War </c:v>
                </c:pt>
                <c:pt idx="1636">
                  <c:v>Harvard Man </c:v>
                </c:pt>
                <c:pt idx="1637">
                  <c:v>Hatchet </c:v>
                </c:pt>
                <c:pt idx="1638">
                  <c:v>Hav Plenty </c:v>
                </c:pt>
                <c:pt idx="1639">
                  <c:v>Hayride </c:v>
                </c:pt>
                <c:pt idx="1640">
                  <c:v>Haywire </c:v>
                </c:pt>
                <c:pt idx="1641">
                  <c:v>He Got Game </c:v>
                </c:pt>
                <c:pt idx="1642">
                  <c:v>Head of State </c:v>
                </c:pt>
                <c:pt idx="1643">
                  <c:v>Head Over Heels </c:v>
                </c:pt>
                <c:pt idx="1644">
                  <c:v>Headhunters </c:v>
                </c:pt>
                <c:pt idx="1645">
                  <c:v>Heartbeeps </c:v>
                </c:pt>
                <c:pt idx="1646">
                  <c:v>Heartbreakers </c:v>
                </c:pt>
                <c:pt idx="1647">
                  <c:v>Hearts in Atlantis </c:v>
                </c:pt>
                <c:pt idx="1648">
                  <c:v>Heaven Is for Real </c:v>
                </c:pt>
                <c:pt idx="1649">
                  <c:v>Heavenly Creatures </c:v>
                </c:pt>
                <c:pt idx="1650">
                  <c:v>Heaven's Gate </c:v>
                </c:pt>
                <c:pt idx="1651">
                  <c:v>Heavy Metal </c:v>
                </c:pt>
                <c:pt idx="1652">
                  <c:v>Hedwig and the Angry Inch </c:v>
                </c:pt>
                <c:pt idx="1653">
                  <c:v>Heist </c:v>
                </c:pt>
                <c:pt idx="1654">
                  <c:v>Held Up </c:v>
                </c:pt>
                <c:pt idx="1655">
                  <c:v>Heli </c:v>
                </c:pt>
                <c:pt idx="1656">
                  <c:v>Hellboy II: The Golden Army </c:v>
                </c:pt>
                <c:pt idx="1657">
                  <c:v>Hellboy </c:v>
                </c:pt>
                <c:pt idx="1658">
                  <c:v>Hellraiser </c:v>
                </c:pt>
                <c:pt idx="1659">
                  <c:v>Hell's Angels </c:v>
                </c:pt>
                <c:pt idx="1660">
                  <c:v>Henry &amp; Me </c:v>
                </c:pt>
                <c:pt idx="1661">
                  <c:v>Henry V </c:v>
                </c:pt>
                <c:pt idx="1662">
                  <c:v>Her Cry: La Llorona Investigation </c:v>
                </c:pt>
                <c:pt idx="1663">
                  <c:v>Her </c:v>
                </c:pt>
                <c:pt idx="1664">
                  <c:v>Herbie Fully Loaded </c:v>
                </c:pt>
                <c:pt idx="1665">
                  <c:v>Hercules </c:v>
                </c:pt>
                <c:pt idx="1666">
                  <c:v>Here Comes the Boom </c:v>
                </c:pt>
                <c:pt idx="1667">
                  <c:v>Here on Earth </c:v>
                </c:pt>
                <c:pt idx="1668">
                  <c:v>Hereafter </c:v>
                </c:pt>
                <c:pt idx="1669">
                  <c:v>Hero </c:v>
                </c:pt>
                <c:pt idx="1670">
                  <c:v>Heroes of Dirt </c:v>
                </c:pt>
                <c:pt idx="1671">
                  <c:v>Heroes </c:v>
                </c:pt>
                <c:pt idx="1672">
                  <c:v>He's Just Not That Into You </c:v>
                </c:pt>
                <c:pt idx="1673">
                  <c:v>Hesher </c:v>
                </c:pt>
                <c:pt idx="1674">
                  <c:v>Hey Arnold! The Movie </c:v>
                </c:pt>
                <c:pt idx="1675">
                  <c:v>Hidalgo </c:v>
                </c:pt>
                <c:pt idx="1676">
                  <c:v>Hidden Away </c:v>
                </c:pt>
                <c:pt idx="1677">
                  <c:v>Hide and Seek </c:v>
                </c:pt>
                <c:pt idx="1678">
                  <c:v>High Anxiety </c:v>
                </c:pt>
                <c:pt idx="1679">
                  <c:v>High Crimes </c:v>
                </c:pt>
                <c:pt idx="1680">
                  <c:v>High Fidelity </c:v>
                </c:pt>
                <c:pt idx="1681">
                  <c:v>High Heels and Low Lifes </c:v>
                </c:pt>
                <c:pt idx="1682">
                  <c:v>High Noon </c:v>
                </c:pt>
                <c:pt idx="1683">
                  <c:v>High Plains Drifter </c:v>
                </c:pt>
                <c:pt idx="1684">
                  <c:v>High Road </c:v>
                </c:pt>
                <c:pt idx="1685">
                  <c:v>High School Musical 2 </c:v>
                </c:pt>
                <c:pt idx="1686">
                  <c:v>High School Musical 3: Senior Year </c:v>
                </c:pt>
                <c:pt idx="1687">
                  <c:v>High School Musical </c:v>
                </c:pt>
                <c:pt idx="1688">
                  <c:v>High Tension </c:v>
                </c:pt>
                <c:pt idx="1689">
                  <c:v>Higher Ground </c:v>
                </c:pt>
                <c:pt idx="1690">
                  <c:v>Highlander </c:v>
                </c:pt>
                <c:pt idx="1691">
                  <c:v>Highlander: Endgame </c:v>
                </c:pt>
                <c:pt idx="1692">
                  <c:v>Highlander: The Final Dimension </c:v>
                </c:pt>
                <c:pt idx="1693">
                  <c:v>Highway </c:v>
                </c:pt>
                <c:pt idx="1694">
                  <c:v>History of the World: Part I </c:v>
                </c:pt>
                <c:pt idx="1695">
                  <c:v>Hit and Run </c:v>
                </c:pt>
                <c:pt idx="1696">
                  <c:v>Hit the Floor </c:v>
                </c:pt>
                <c:pt idx="1697">
                  <c:v>Hitch </c:v>
                </c:pt>
                <c:pt idx="1698">
                  <c:v>Hitman </c:v>
                </c:pt>
                <c:pt idx="1699">
                  <c:v>Hits </c:v>
                </c:pt>
                <c:pt idx="1700">
                  <c:v>Hobo with a Shotgun </c:v>
                </c:pt>
                <c:pt idx="1701">
                  <c:v>Hocus Pocus </c:v>
                </c:pt>
                <c:pt idx="1702">
                  <c:v>Hoffa </c:v>
                </c:pt>
                <c:pt idx="1703">
                  <c:v>Holes </c:v>
                </c:pt>
                <c:pt idx="1704">
                  <c:v>Hollow Man </c:v>
                </c:pt>
                <c:pt idx="1705">
                  <c:v>Hollywood Ending </c:v>
                </c:pt>
                <c:pt idx="1706">
                  <c:v>Hollywood Homicide </c:v>
                </c:pt>
                <c:pt idx="1707">
                  <c:v>Hollywood Shuffle </c:v>
                </c:pt>
                <c:pt idx="1708">
                  <c:v>Holy Man </c:v>
                </c:pt>
                <c:pt idx="1709">
                  <c:v>Holy Motors </c:v>
                </c:pt>
                <c:pt idx="1710">
                  <c:v>Home Alone 2: Lost in New York </c:v>
                </c:pt>
                <c:pt idx="1711">
                  <c:v>Home Alone </c:v>
                </c:pt>
                <c:pt idx="1712">
                  <c:v>Home for the Holidays </c:v>
                </c:pt>
                <c:pt idx="1713">
                  <c:v>Home Fries </c:v>
                </c:pt>
                <c:pt idx="1714">
                  <c:v>Home Movies </c:v>
                </c:pt>
                <c:pt idx="1715">
                  <c:v>Home on the Range </c:v>
                </c:pt>
                <c:pt idx="1716">
                  <c:v>Home Run </c:v>
                </c:pt>
                <c:pt idx="1717">
                  <c:v>Home </c:v>
                </c:pt>
                <c:pt idx="1718">
                  <c:v>Homefront </c:v>
                </c:pt>
                <c:pt idx="1719">
                  <c:v>Honey </c:v>
                </c:pt>
                <c:pt idx="1720">
                  <c:v>Hoodwinked Too! Hood vs. Evil </c:v>
                </c:pt>
                <c:pt idx="1721">
                  <c:v>Hoodwinked! </c:v>
                </c:pt>
                <c:pt idx="1722">
                  <c:v>Hook </c:v>
                </c:pt>
                <c:pt idx="1723">
                  <c:v>Hoop Dreams </c:v>
                </c:pt>
                <c:pt idx="1724">
                  <c:v>Hoot </c:v>
                </c:pt>
                <c:pt idx="1725">
                  <c:v>Hop </c:v>
                </c:pt>
                <c:pt idx="1726">
                  <c:v>Hope Floats </c:v>
                </c:pt>
                <c:pt idx="1727">
                  <c:v>Hope Springs </c:v>
                </c:pt>
                <c:pt idx="1728">
                  <c:v>Horrible Bosses 2 </c:v>
                </c:pt>
                <c:pt idx="1729">
                  <c:v>Horrible Bosses </c:v>
                </c:pt>
                <c:pt idx="1730">
                  <c:v>Horse Camp </c:v>
                </c:pt>
                <c:pt idx="1731">
                  <c:v>Hostage </c:v>
                </c:pt>
                <c:pt idx="1732">
                  <c:v>Hostel </c:v>
                </c:pt>
                <c:pt idx="1733">
                  <c:v>Hostel: Part II </c:v>
                </c:pt>
                <c:pt idx="1734">
                  <c:v>Hot Fuzz </c:v>
                </c:pt>
                <c:pt idx="1735">
                  <c:v>Hot Pursuit </c:v>
                </c:pt>
                <c:pt idx="1736">
                  <c:v>Hot Rod </c:v>
                </c:pt>
                <c:pt idx="1737">
                  <c:v>Hot Tub Time Machine 2 </c:v>
                </c:pt>
                <c:pt idx="1738">
                  <c:v>Hot Tub Time Machine </c:v>
                </c:pt>
                <c:pt idx="1739">
                  <c:v>Hotel for Dogs </c:v>
                </c:pt>
                <c:pt idx="1740">
                  <c:v>Hotel Rwanda </c:v>
                </c:pt>
                <c:pt idx="1741">
                  <c:v>Hotel Transylvania 2 </c:v>
                </c:pt>
                <c:pt idx="1742">
                  <c:v>Hotel Transylvania </c:v>
                </c:pt>
                <c:pt idx="1743">
                  <c:v>House at the End of the Drive </c:v>
                </c:pt>
                <c:pt idx="1744">
                  <c:v>House at the End of the Street </c:v>
                </c:pt>
                <c:pt idx="1745">
                  <c:v>House of 1000 Corpses </c:v>
                </c:pt>
                <c:pt idx="1746">
                  <c:v>House of D </c:v>
                </c:pt>
                <c:pt idx="1747">
                  <c:v>House of Flying Daggers </c:v>
                </c:pt>
                <c:pt idx="1748">
                  <c:v>House of Sand and Fog </c:v>
                </c:pt>
                <c:pt idx="1749">
                  <c:v>House of Sand </c:v>
                </c:pt>
                <c:pt idx="1750">
                  <c:v>House of Wax </c:v>
                </c:pt>
                <c:pt idx="1751">
                  <c:v>House on Haunted Hill </c:v>
                </c:pt>
                <c:pt idx="1752">
                  <c:v>House Party 2 </c:v>
                </c:pt>
                <c:pt idx="1753">
                  <c:v>Housebound </c:v>
                </c:pt>
                <c:pt idx="1754">
                  <c:v>Housefull </c:v>
                </c:pt>
                <c:pt idx="1755">
                  <c:v>How Do You Know </c:v>
                </c:pt>
                <c:pt idx="1756">
                  <c:v>How Green Was My Valley </c:v>
                </c:pt>
                <c:pt idx="1757">
                  <c:v>How High </c:v>
                </c:pt>
                <c:pt idx="1758">
                  <c:v>How She Move </c:v>
                </c:pt>
                <c:pt idx="1759">
                  <c:v>How Stella Got Her Groove Back </c:v>
                </c:pt>
                <c:pt idx="1760">
                  <c:v>How the Grinch Stole Christmas </c:v>
                </c:pt>
                <c:pt idx="1761">
                  <c:v>How to Be a Player </c:v>
                </c:pt>
                <c:pt idx="1762">
                  <c:v>How to Be Single </c:v>
                </c:pt>
                <c:pt idx="1763">
                  <c:v>How to Deal </c:v>
                </c:pt>
                <c:pt idx="1764">
                  <c:v>How to Fall in Love </c:v>
                </c:pt>
                <c:pt idx="1765">
                  <c:v>How to Lose a Guy in 10 Days </c:v>
                </c:pt>
                <c:pt idx="1766">
                  <c:v>How to Lose Friends &amp; Alienate People </c:v>
                </c:pt>
                <c:pt idx="1767">
                  <c:v>How to Train Your Dragon 2 </c:v>
                </c:pt>
                <c:pt idx="1768">
                  <c:v>How to Train Your Dragon </c:v>
                </c:pt>
                <c:pt idx="1769">
                  <c:v>Howard the Duck </c:v>
                </c:pt>
                <c:pt idx="1770">
                  <c:v>Howards End </c:v>
                </c:pt>
                <c:pt idx="1771">
                  <c:v>Howl's Moving Castle </c:v>
                </c:pt>
                <c:pt idx="1772">
                  <c:v>Hud </c:v>
                </c:pt>
                <c:pt idx="1773">
                  <c:v>Hudson Hawk </c:v>
                </c:pt>
                <c:pt idx="1774">
                  <c:v>Hugo </c:v>
                </c:pt>
                <c:pt idx="1775">
                  <c:v>Hulk </c:v>
                </c:pt>
                <c:pt idx="1776">
                  <c:v>Hum To Mohabbat Karega </c:v>
                </c:pt>
                <c:pt idx="1777">
                  <c:v>Human Traffic </c:v>
                </c:pt>
                <c:pt idx="1778">
                  <c:v>Hurricane Streets </c:v>
                </c:pt>
                <c:pt idx="1779">
                  <c:v>Hustle &amp; Flow </c:v>
                </c:pt>
                <c:pt idx="1780">
                  <c:v>I Am Legend </c:v>
                </c:pt>
                <c:pt idx="1781">
                  <c:v>I Am Love </c:v>
                </c:pt>
                <c:pt idx="1782">
                  <c:v>I Am Number Four </c:v>
                </c:pt>
                <c:pt idx="1783">
                  <c:v>I Am Sam </c:v>
                </c:pt>
                <c:pt idx="1784">
                  <c:v>I Am Wrath </c:v>
                </c:pt>
                <c:pt idx="1785">
                  <c:v>I Can Do Bad All by Myself </c:v>
                </c:pt>
                <c:pt idx="1786">
                  <c:v>I Come with the Rain </c:v>
                </c:pt>
                <c:pt idx="1787">
                  <c:v>I Don't Know How She Does It </c:v>
                </c:pt>
                <c:pt idx="1788">
                  <c:v>I Dreamed of Africa </c:v>
                </c:pt>
                <c:pt idx="1789">
                  <c:v>I Got the Hook Up </c:v>
                </c:pt>
                <c:pt idx="1790">
                  <c:v>I Heart Huckabees </c:v>
                </c:pt>
                <c:pt idx="1791">
                  <c:v>I Hope They Serve Beer in Hell </c:v>
                </c:pt>
                <c:pt idx="1792">
                  <c:v>I Know What You Did Last Summer </c:v>
                </c:pt>
                <c:pt idx="1793">
                  <c:v>I Love You Phillip Morris </c:v>
                </c:pt>
                <c:pt idx="1794">
                  <c:v>I Love You, Beth Cooper </c:v>
                </c:pt>
                <c:pt idx="1795">
                  <c:v>I Love You, Don't Touch Me! </c:v>
                </c:pt>
                <c:pt idx="1796">
                  <c:v>I Love You, Man </c:v>
                </c:pt>
                <c:pt idx="1797">
                  <c:v>I Love Your Work </c:v>
                </c:pt>
                <c:pt idx="1798">
                  <c:v>I Married a Strange Person! </c:v>
                </c:pt>
                <c:pt idx="1799">
                  <c:v>I Origins </c:v>
                </c:pt>
                <c:pt idx="1800">
                  <c:v>I Served the King of England </c:v>
                </c:pt>
                <c:pt idx="1801">
                  <c:v>I Spit on Your Grave </c:v>
                </c:pt>
                <c:pt idx="1802">
                  <c:v>I Spy </c:v>
                </c:pt>
                <c:pt idx="1803">
                  <c:v>I Still Know What You Did Last Summer </c:v>
                </c:pt>
                <c:pt idx="1804">
                  <c:v>I Think I Love My Wife </c:v>
                </c:pt>
                <c:pt idx="1805">
                  <c:v>I Want Someone to Eat Cheese With </c:v>
                </c:pt>
                <c:pt idx="1806">
                  <c:v>I Want Your Money </c:v>
                </c:pt>
                <c:pt idx="1807">
                  <c:v>I, Frankenstein </c:v>
                </c:pt>
                <c:pt idx="1808">
                  <c:v>I, Robot </c:v>
                </c:pt>
                <c:pt idx="1809">
                  <c:v>Ice Age </c:v>
                </c:pt>
                <c:pt idx="1810">
                  <c:v>Ice Age: Continental Drift </c:v>
                </c:pt>
                <c:pt idx="1811">
                  <c:v>Ice Age: Dawn of the Dinosaurs </c:v>
                </c:pt>
                <c:pt idx="1812">
                  <c:v>Ice Age: The Meltdown </c:v>
                </c:pt>
                <c:pt idx="1813">
                  <c:v>Ice Princess </c:v>
                </c:pt>
                <c:pt idx="1814">
                  <c:v>Ida </c:v>
                </c:pt>
                <c:pt idx="1815">
                  <c:v>Identity Thief </c:v>
                </c:pt>
                <c:pt idx="1816">
                  <c:v>Identity </c:v>
                </c:pt>
                <c:pt idx="1817">
                  <c:v>Idiocracy </c:v>
                </c:pt>
                <c:pt idx="1818">
                  <c:v>Idle Hands </c:v>
                </c:pt>
                <c:pt idx="1819">
                  <c:v>Idlewild </c:v>
                </c:pt>
                <c:pt idx="1820">
                  <c:v>If I Stay </c:v>
                </c:pt>
                <c:pt idx="1821">
                  <c:v>Igby Goes Down </c:v>
                </c:pt>
                <c:pt idx="1822">
                  <c:v>Iguana </c:v>
                </c:pt>
                <c:pt idx="1823">
                  <c:v>Illuminata </c:v>
                </c:pt>
                <c:pt idx="1824">
                  <c:v>I'm Not There. </c:v>
                </c:pt>
                <c:pt idx="1825">
                  <c:v>Imaginary Heroes </c:v>
                </c:pt>
                <c:pt idx="1826">
                  <c:v>Imagine Me &amp; You </c:v>
                </c:pt>
                <c:pt idx="1827">
                  <c:v>Imagine That </c:v>
                </c:pt>
                <c:pt idx="1828">
                  <c:v>Immortals </c:v>
                </c:pt>
                <c:pt idx="1829">
                  <c:v>Impact Point </c:v>
                </c:pt>
                <c:pt idx="1830">
                  <c:v>Impostor </c:v>
                </c:pt>
                <c:pt idx="1831">
                  <c:v>In &amp; Out </c:v>
                </c:pt>
                <c:pt idx="1832">
                  <c:v>In Bruges </c:v>
                </c:pt>
                <c:pt idx="1833">
                  <c:v>In Cold Blood </c:v>
                </c:pt>
                <c:pt idx="1834">
                  <c:v>In Dreams </c:v>
                </c:pt>
                <c:pt idx="1835">
                  <c:v>In Good Company </c:v>
                </c:pt>
                <c:pt idx="1836">
                  <c:v>In Her Line of Fire </c:v>
                </c:pt>
                <c:pt idx="1837">
                  <c:v>In the Bedroom </c:v>
                </c:pt>
                <c:pt idx="1838">
                  <c:v>In the Company of Men </c:v>
                </c:pt>
                <c:pt idx="1839">
                  <c:v>In the Cut </c:v>
                </c:pt>
                <c:pt idx="1840">
                  <c:v>In the Heart of the Sea </c:v>
                </c:pt>
                <c:pt idx="1841">
                  <c:v>In the Heat of the Night </c:v>
                </c:pt>
                <c:pt idx="1842">
                  <c:v>In the Land of Blood and Honey </c:v>
                </c:pt>
                <c:pt idx="1843">
                  <c:v>In the Land of Women </c:v>
                </c:pt>
                <c:pt idx="1844">
                  <c:v>In the Name of the King: A Dungeon Siege Tale </c:v>
                </c:pt>
                <c:pt idx="1845">
                  <c:v>In the Name of the King: The Last Job </c:v>
                </c:pt>
                <c:pt idx="1846">
                  <c:v>In the Shadow of the Moon </c:v>
                </c:pt>
                <c:pt idx="1847">
                  <c:v>In the Valley of Elah </c:v>
                </c:pt>
                <c:pt idx="1848">
                  <c:v>In Time </c:v>
                </c:pt>
                <c:pt idx="1849">
                  <c:v>In Too Deep </c:v>
                </c:pt>
                <c:pt idx="1850">
                  <c:v>Incendies </c:v>
                </c:pt>
                <c:pt idx="1851">
                  <c:v>Inception </c:v>
                </c:pt>
                <c:pt idx="1852">
                  <c:v>Inchon </c:v>
                </c:pt>
                <c:pt idx="1853">
                  <c:v>Incident at Loch Ness </c:v>
                </c:pt>
                <c:pt idx="1854">
                  <c:v>Independence Day </c:v>
                </c:pt>
                <c:pt idx="1855">
                  <c:v>Independence Day: Resurgence </c:v>
                </c:pt>
                <c:pt idx="1856">
                  <c:v>Independence Daysaster </c:v>
                </c:pt>
                <c:pt idx="1857">
                  <c:v>Indiana Jones and the Kingdom of the Crystal Skull </c:v>
                </c:pt>
                <c:pt idx="1858">
                  <c:v>Indiana Jones and the Last Crusade </c:v>
                </c:pt>
                <c:pt idx="1859">
                  <c:v>Indiana Jones and the Temple of Doom </c:v>
                </c:pt>
                <c:pt idx="1860">
                  <c:v>Indie Game: The Movie </c:v>
                </c:pt>
                <c:pt idx="1861">
                  <c:v>Indignation </c:v>
                </c:pt>
                <c:pt idx="1862">
                  <c:v>Inescapable </c:v>
                </c:pt>
                <c:pt idx="1863">
                  <c:v>Infamous </c:v>
                </c:pt>
                <c:pt idx="1864">
                  <c:v>Inglourious Basterds </c:v>
                </c:pt>
                <c:pt idx="1865">
                  <c:v>Inherent Vice </c:v>
                </c:pt>
                <c:pt idx="1866">
                  <c:v>Ink </c:v>
                </c:pt>
                <c:pt idx="1867">
                  <c:v>Inkheart </c:v>
                </c:pt>
                <c:pt idx="1868">
                  <c:v>Inside Deep Throat </c:v>
                </c:pt>
                <c:pt idx="1869">
                  <c:v>Inside Job </c:v>
                </c:pt>
                <c:pt idx="1870">
                  <c:v>Inside Llewyn Davis </c:v>
                </c:pt>
                <c:pt idx="1871">
                  <c:v>Inside Man </c:v>
                </c:pt>
                <c:pt idx="1872">
                  <c:v>Inside Out </c:v>
                </c:pt>
                <c:pt idx="1873">
                  <c:v>Insidious </c:v>
                </c:pt>
                <c:pt idx="1874">
                  <c:v>Insidious: Chapter 2 </c:v>
                </c:pt>
                <c:pt idx="1875">
                  <c:v>Insidious: Chapter 3 </c:v>
                </c:pt>
                <c:pt idx="1876">
                  <c:v>Insomnia Manica </c:v>
                </c:pt>
                <c:pt idx="1877">
                  <c:v>Insomnia </c:v>
                </c:pt>
                <c:pt idx="1878">
                  <c:v>Inspector Gadget </c:v>
                </c:pt>
                <c:pt idx="1879">
                  <c:v>Instinct </c:v>
                </c:pt>
                <c:pt idx="1880">
                  <c:v>Instructions Not Included </c:v>
                </c:pt>
                <c:pt idx="1881">
                  <c:v>Insurgent </c:v>
                </c:pt>
                <c:pt idx="1882">
                  <c:v>Interstellar </c:v>
                </c:pt>
                <c:pt idx="1883">
                  <c:v>Interview with the Assassin </c:v>
                </c:pt>
                <c:pt idx="1884">
                  <c:v>Interview with the Vampire: The Vampire Chronicles </c:v>
                </c:pt>
                <c:pt idx="1885">
                  <c:v>Into the Blue </c:v>
                </c:pt>
                <c:pt idx="1886">
                  <c:v>Into the Grizzly Maze </c:v>
                </c:pt>
                <c:pt idx="1887">
                  <c:v>Into the Storm </c:v>
                </c:pt>
                <c:pt idx="1888">
                  <c:v>Into the Wild </c:v>
                </c:pt>
                <c:pt idx="1889">
                  <c:v>Into the Woods </c:v>
                </c:pt>
                <c:pt idx="1890">
                  <c:v>Intolerable Cruelty </c:v>
                </c:pt>
                <c:pt idx="1891">
                  <c:v>Intolerance: Love's Struggle Throughout the Ages </c:v>
                </c:pt>
                <c:pt idx="1892">
                  <c:v>Invaders from Mars </c:v>
                </c:pt>
                <c:pt idx="1893">
                  <c:v>Invasion U.S.A. </c:v>
                </c:pt>
                <c:pt idx="1894">
                  <c:v>Invictus </c:v>
                </c:pt>
                <c:pt idx="1895">
                  <c:v>Ip Man 3 </c:v>
                </c:pt>
                <c:pt idx="1896">
                  <c:v>Ira &amp; Abby </c:v>
                </c:pt>
                <c:pt idx="1897">
                  <c:v>Iraq for Sale: The War Profiteers </c:v>
                </c:pt>
                <c:pt idx="1898">
                  <c:v>Iris </c:v>
                </c:pt>
                <c:pt idx="1899">
                  <c:v>Iron Man 2 </c:v>
                </c:pt>
                <c:pt idx="1900">
                  <c:v>Iron Man 3 </c:v>
                </c:pt>
                <c:pt idx="1901">
                  <c:v>Iron Man </c:v>
                </c:pt>
                <c:pt idx="1902">
                  <c:v>Ironclad </c:v>
                </c:pt>
                <c:pt idx="1903">
                  <c:v>Irreplaceable </c:v>
                </c:pt>
                <c:pt idx="1904">
                  <c:v>Irreversible </c:v>
                </c:pt>
                <c:pt idx="1905">
                  <c:v>Ishtar </c:v>
                </c:pt>
                <c:pt idx="1906">
                  <c:v>Isn't She Great </c:v>
                </c:pt>
                <c:pt idx="1907">
                  <c:v>It Follows </c:v>
                </c:pt>
                <c:pt idx="1908">
                  <c:v>It Happened One Night </c:v>
                </c:pt>
                <c:pt idx="1909">
                  <c:v>It's a Mad, Mad, Mad, Mad World </c:v>
                </c:pt>
                <c:pt idx="1910">
                  <c:v>It's a Wonderful Afterlife </c:v>
                </c:pt>
                <c:pt idx="1911">
                  <c:v>It's a Wonderful Life </c:v>
                </c:pt>
                <c:pt idx="1912">
                  <c:v>It's All Gone Pete Tong </c:v>
                </c:pt>
                <c:pt idx="1913">
                  <c:v>It's Always Sunny in Philadelphia </c:v>
                </c:pt>
                <c:pt idx="1914">
                  <c:v>It's Complicated </c:v>
                </c:pt>
                <c:pt idx="1915">
                  <c:v>It's Kind of a Funny Story </c:v>
                </c:pt>
                <c:pt idx="1916">
                  <c:v>J. Edgar </c:v>
                </c:pt>
                <c:pt idx="1917">
                  <c:v>Jab Tak Hai Jaan </c:v>
                </c:pt>
                <c:pt idx="1918">
                  <c:v>Jack and Jill </c:v>
                </c:pt>
                <c:pt idx="1919">
                  <c:v>Jack Brooks: Monster Slayer </c:v>
                </c:pt>
                <c:pt idx="1920">
                  <c:v>Jack Reacher </c:v>
                </c:pt>
                <c:pt idx="1921">
                  <c:v>Jack Ryan: Shadow Recruit </c:v>
                </c:pt>
                <c:pt idx="1922">
                  <c:v>Jack the Giant Slayer </c:v>
                </c:pt>
                <c:pt idx="1923">
                  <c:v>Jackass 3D </c:v>
                </c:pt>
                <c:pt idx="1924">
                  <c:v>Jackass Number Two </c:v>
                </c:pt>
                <c:pt idx="1925">
                  <c:v>Jackass: The Movie </c:v>
                </c:pt>
                <c:pt idx="1926">
                  <c:v>Jackie Brown </c:v>
                </c:pt>
                <c:pt idx="1927">
                  <c:v>Jade </c:v>
                </c:pt>
                <c:pt idx="1928">
                  <c:v>Jakob the Liar </c:v>
                </c:pt>
                <c:pt idx="1929">
                  <c:v>Jane Got a Gun </c:v>
                </c:pt>
                <c:pt idx="1930">
                  <c:v>Jarhead </c:v>
                </c:pt>
                <c:pt idx="1931">
                  <c:v>Jason Bourne </c:v>
                </c:pt>
                <c:pt idx="1932">
                  <c:v>Jason Goes to Hell: The Final Friday </c:v>
                </c:pt>
                <c:pt idx="1933">
                  <c:v>Jason Lives: Friday the 13th Part VI </c:v>
                </c:pt>
                <c:pt idx="1934">
                  <c:v>Jason X </c:v>
                </c:pt>
                <c:pt idx="1935">
                  <c:v>Jawbreaker </c:v>
                </c:pt>
                <c:pt idx="1936">
                  <c:v>Jaws 2 </c:v>
                </c:pt>
                <c:pt idx="1937">
                  <c:v>Jaws </c:v>
                </c:pt>
                <c:pt idx="1938">
                  <c:v>Jaws: The Revenge </c:v>
                </c:pt>
                <c:pt idx="1939">
                  <c:v>Jay and Silent Bob Strike Back </c:v>
                </c:pt>
                <c:pt idx="1940">
                  <c:v>Jeepers Creepers II </c:v>
                </c:pt>
                <c:pt idx="1941">
                  <c:v>Jeepers Creepers </c:v>
                </c:pt>
                <c:pt idx="1942">
                  <c:v>Jeff, Who Lives at Home </c:v>
                </c:pt>
                <c:pt idx="1943">
                  <c:v>Jefferson in Paris </c:v>
                </c:pt>
                <c:pt idx="1944">
                  <c:v>Jekyll and Hyde... Together Again </c:v>
                </c:pt>
                <c:pt idx="1945">
                  <c:v>Jennifer's Body </c:v>
                </c:pt>
                <c:pt idx="1946">
                  <c:v>Jerry Maguire </c:v>
                </c:pt>
                <c:pt idx="1947">
                  <c:v>Jersey Boys </c:v>
                </c:pt>
                <c:pt idx="1948">
                  <c:v>Jersey Girl </c:v>
                </c:pt>
                <c:pt idx="1949">
                  <c:v>Jesse </c:v>
                </c:pt>
                <c:pt idx="1950">
                  <c:v>Jesus People </c:v>
                </c:pt>
                <c:pt idx="1951">
                  <c:v>Jesus' Son </c:v>
                </c:pt>
                <c:pt idx="1952">
                  <c:v>JFK </c:v>
                </c:pt>
                <c:pt idx="1953">
                  <c:v>Jimmy and Judy </c:v>
                </c:pt>
                <c:pt idx="1954">
                  <c:v>Jimmy Neutron: Boy Genius </c:v>
                </c:pt>
                <c:pt idx="1955">
                  <c:v>Jindabyne </c:v>
                </c:pt>
                <c:pt idx="1956">
                  <c:v>Jingle All the Way </c:v>
                </c:pt>
                <c:pt idx="1957">
                  <c:v>Joe Dirt </c:v>
                </c:pt>
                <c:pt idx="1958">
                  <c:v>Joe Somebody </c:v>
                </c:pt>
                <c:pt idx="1959">
                  <c:v>Joe </c:v>
                </c:pt>
                <c:pt idx="1960">
                  <c:v>John Carter </c:v>
                </c:pt>
                <c:pt idx="1961">
                  <c:v>John Q </c:v>
                </c:pt>
                <c:pt idx="1962">
                  <c:v>Johnny English Reborn </c:v>
                </c:pt>
                <c:pt idx="1963">
                  <c:v>Johnny English </c:v>
                </c:pt>
                <c:pt idx="1964">
                  <c:v>Johnny Suede </c:v>
                </c:pt>
                <c:pt idx="1965">
                  <c:v>Johnson Family Vacation </c:v>
                </c:pt>
                <c:pt idx="1966">
                  <c:v>Jonah Hex </c:v>
                </c:pt>
                <c:pt idx="1967">
                  <c:v>Jonah: A VeggieTales Movie </c:v>
                </c:pt>
                <c:pt idx="1968">
                  <c:v>Josie and the Pussycats </c:v>
                </c:pt>
                <c:pt idx="1969">
                  <c:v>Journey 2: The Mysterious Island </c:v>
                </c:pt>
                <c:pt idx="1970">
                  <c:v>Journey from the Fall </c:v>
                </c:pt>
                <c:pt idx="1971">
                  <c:v>Journey to Saturn </c:v>
                </c:pt>
                <c:pt idx="1972">
                  <c:v>Journey to the Center of the Earth </c:v>
                </c:pt>
                <c:pt idx="1973">
                  <c:v>Joy Ride </c:v>
                </c:pt>
                <c:pt idx="1974">
                  <c:v>Joy </c:v>
                </c:pt>
                <c:pt idx="1975">
                  <c:v>Joyeux Noel </c:v>
                </c:pt>
                <c:pt idx="1976">
                  <c:v>Joyful Noise </c:v>
                </c:pt>
                <c:pt idx="1977">
                  <c:v>Judgment at Nuremberg </c:v>
                </c:pt>
                <c:pt idx="1978">
                  <c:v>Julia </c:v>
                </c:pt>
                <c:pt idx="1979">
                  <c:v>Julie &amp; Julia </c:v>
                </c:pt>
                <c:pt idx="1980">
                  <c:v>Julija in alfa Romeo </c:v>
                </c:pt>
                <c:pt idx="1981">
                  <c:v>Jumper </c:v>
                </c:pt>
                <c:pt idx="1982">
                  <c:v>Jumping the Broom </c:v>
                </c:pt>
                <c:pt idx="1983">
                  <c:v>Jungle Shuffle </c:v>
                </c:pt>
                <c:pt idx="1984">
                  <c:v>Juno </c:v>
                </c:pt>
                <c:pt idx="1985">
                  <c:v>Jupiter Ascending </c:v>
                </c:pt>
                <c:pt idx="1986">
                  <c:v>Jurassic Park III </c:v>
                </c:pt>
                <c:pt idx="1987">
                  <c:v>Jurassic Park </c:v>
                </c:pt>
                <c:pt idx="1988">
                  <c:v>Jurassic World </c:v>
                </c:pt>
                <c:pt idx="1989">
                  <c:v>Just Go with It </c:v>
                </c:pt>
                <c:pt idx="1990">
                  <c:v>Just Like Heaven </c:v>
                </c:pt>
                <c:pt idx="1991">
                  <c:v>Just Looking </c:v>
                </c:pt>
                <c:pt idx="1992">
                  <c:v>Just Married </c:v>
                </c:pt>
                <c:pt idx="1993">
                  <c:v>Just My Luck </c:v>
                </c:pt>
                <c:pt idx="1994">
                  <c:v>Just Visiting </c:v>
                </c:pt>
                <c:pt idx="1995">
                  <c:v>Just Wright </c:v>
                </c:pt>
                <c:pt idx="1996">
                  <c:v>Justin Bieber: Never Say Never </c:v>
                </c:pt>
                <c:pt idx="1997">
                  <c:v>Juwanna Mann </c:v>
                </c:pt>
                <c:pt idx="1998">
                  <c:v>K-19: The Widowmaker </c:v>
                </c:pt>
                <c:pt idx="1999">
                  <c:v>Kabhi Alvida Naa Kehna </c:v>
                </c:pt>
                <c:pt idx="2000">
                  <c:v>Kama Sutra: A Tale of Love </c:v>
                </c:pt>
                <c:pt idx="2001">
                  <c:v>Kangaroo Jack </c:v>
                </c:pt>
                <c:pt idx="2002">
                  <c:v>Kansas City </c:v>
                </c:pt>
                <c:pt idx="2003">
                  <c:v>Karachi se Lahore </c:v>
                </c:pt>
                <c:pt idx="2004">
                  <c:v>Kate &amp; Leopold </c:v>
                </c:pt>
                <c:pt idx="2005">
                  <c:v>Katy Perry: Part of Me </c:v>
                </c:pt>
                <c:pt idx="2006">
                  <c:v>Keanu </c:v>
                </c:pt>
                <c:pt idx="2007">
                  <c:v>Keeping the Faith </c:v>
                </c:pt>
                <c:pt idx="2008">
                  <c:v>Keeping Up with the Steins </c:v>
                </c:pt>
                <c:pt idx="2009">
                  <c:v>Kevin Hart: Laugh at My Pain </c:v>
                </c:pt>
                <c:pt idx="2010">
                  <c:v>Kevin Hart: Let Me Explain </c:v>
                </c:pt>
                <c:pt idx="2011">
                  <c:v>Khiladi 786 </c:v>
                </c:pt>
                <c:pt idx="2012">
                  <c:v>Khumba </c:v>
                </c:pt>
                <c:pt idx="2013">
                  <c:v>Kick-Ass 2 </c:v>
                </c:pt>
                <c:pt idx="2014">
                  <c:v>Kick-Ass </c:v>
                </c:pt>
                <c:pt idx="2015">
                  <c:v>Kickboxer: Vengeance </c:v>
                </c:pt>
                <c:pt idx="2016">
                  <c:v>Kicking &amp; Screaming </c:v>
                </c:pt>
                <c:pt idx="2017">
                  <c:v>Kicks </c:v>
                </c:pt>
                <c:pt idx="2018">
                  <c:v>Kids </c:v>
                </c:pt>
                <c:pt idx="2019">
                  <c:v>Kill Bill: Vol. 1 </c:v>
                </c:pt>
                <c:pt idx="2020">
                  <c:v>Kill Bill: Vol. 2 </c:v>
                </c:pt>
                <c:pt idx="2021">
                  <c:v>Kill List </c:v>
                </c:pt>
                <c:pt idx="2022">
                  <c:v>Kill the Messenger </c:v>
                </c:pt>
                <c:pt idx="2023">
                  <c:v>Killer Elite </c:v>
                </c:pt>
                <c:pt idx="2024">
                  <c:v>Killer Joe </c:v>
                </c:pt>
                <c:pt idx="2025">
                  <c:v>Killers </c:v>
                </c:pt>
                <c:pt idx="2026">
                  <c:v>Killing Them Softly </c:v>
                </c:pt>
                <c:pt idx="2027">
                  <c:v>Killing Zoe </c:v>
                </c:pt>
                <c:pt idx="2028">
                  <c:v>Kindergarten Cop </c:v>
                </c:pt>
                <c:pt idx="2029">
                  <c:v>King Kong </c:v>
                </c:pt>
                <c:pt idx="2030">
                  <c:v>Kingdom of Heaven </c:v>
                </c:pt>
                <c:pt idx="2031">
                  <c:v>Kingdom of the Spiders </c:v>
                </c:pt>
                <c:pt idx="2032">
                  <c:v>Kingpin </c:v>
                </c:pt>
                <c:pt idx="2033">
                  <c:v>King's Ransom </c:v>
                </c:pt>
                <c:pt idx="2034">
                  <c:v>Kinsey </c:v>
                </c:pt>
                <c:pt idx="2035">
                  <c:v>Kiss Kiss Bang Bang </c:v>
                </c:pt>
                <c:pt idx="2036">
                  <c:v>Kiss of Death </c:v>
                </c:pt>
                <c:pt idx="2037">
                  <c:v>Kiss of the Dragon </c:v>
                </c:pt>
                <c:pt idx="2038">
                  <c:v>Kiss the Bride </c:v>
                </c:pt>
                <c:pt idx="2039">
                  <c:v>Kiss the Girls </c:v>
                </c:pt>
                <c:pt idx="2040">
                  <c:v>Kissing Jessica Stein </c:v>
                </c:pt>
                <c:pt idx="2041">
                  <c:v>Kit Kittredge: An American Girl </c:v>
                </c:pt>
                <c:pt idx="2042">
                  <c:v>Kites </c:v>
                </c:pt>
                <c:pt idx="2043">
                  <c:v>Knight and Day </c:v>
                </c:pt>
                <c:pt idx="2044">
                  <c:v>Knock Off </c:v>
                </c:pt>
                <c:pt idx="2045">
                  <c:v>Knockaround Guys </c:v>
                </c:pt>
                <c:pt idx="2046">
                  <c:v>Knocked Up </c:v>
                </c:pt>
                <c:pt idx="2047">
                  <c:v>Knowing </c:v>
                </c:pt>
                <c:pt idx="2048">
                  <c:v>K-PAX </c:v>
                </c:pt>
                <c:pt idx="2049">
                  <c:v>Krampus </c:v>
                </c:pt>
                <c:pt idx="2050">
                  <c:v>Krrish </c:v>
                </c:pt>
                <c:pt idx="2051">
                  <c:v>Krull </c:v>
                </c:pt>
                <c:pt idx="2052">
                  <c:v>Krush Groove </c:v>
                </c:pt>
                <c:pt idx="2053">
                  <c:v>Kundun </c:v>
                </c:pt>
                <c:pt idx="2054">
                  <c:v>Kung Fu Hustle </c:v>
                </c:pt>
                <c:pt idx="2055">
                  <c:v>Kung Fu Killer </c:v>
                </c:pt>
                <c:pt idx="2056">
                  <c:v>Kung Fu Panda 2 </c:v>
                </c:pt>
                <c:pt idx="2057">
                  <c:v>Kung Fu Panda 3 </c:v>
                </c:pt>
                <c:pt idx="2058">
                  <c:v>Kung Fu Panda </c:v>
                </c:pt>
                <c:pt idx="2059">
                  <c:v>Kung Pow: Enter the Fist </c:v>
                </c:pt>
                <c:pt idx="2060">
                  <c:v>L!fe Happens </c:v>
                </c:pt>
                <c:pt idx="2061">
                  <c:v>L.A. Confidential </c:v>
                </c:pt>
                <c:pt idx="2062">
                  <c:v>L.I.E. </c:v>
                </c:pt>
                <c:pt idx="2063">
                  <c:v>La Bamba </c:v>
                </c:pt>
                <c:pt idx="2064">
                  <c:v>La Famille Bélier </c:v>
                </c:pt>
                <c:pt idx="2065">
                  <c:v>La otra conquista </c:v>
                </c:pt>
                <c:pt idx="2066">
                  <c:v>Labor Day </c:v>
                </c:pt>
                <c:pt idx="2067">
                  <c:v>Ladder 49 </c:v>
                </c:pt>
                <c:pt idx="2068">
                  <c:v>Lady in the Water </c:v>
                </c:pt>
                <c:pt idx="2069">
                  <c:v>Lady in White </c:v>
                </c:pt>
                <c:pt idx="2070">
                  <c:v>Lady Vengeance </c:v>
                </c:pt>
                <c:pt idx="2071">
                  <c:v>Ladyhawke </c:v>
                </c:pt>
                <c:pt idx="2072">
                  <c:v>Lage Raho Munna Bhai </c:v>
                </c:pt>
                <c:pt idx="2073">
                  <c:v>Lake Mungo </c:v>
                </c:pt>
                <c:pt idx="2074">
                  <c:v>Lake of Fire </c:v>
                </c:pt>
                <c:pt idx="2075">
                  <c:v>Lake Placid </c:v>
                </c:pt>
                <c:pt idx="2076">
                  <c:v>Lakeview Terrace </c:v>
                </c:pt>
                <c:pt idx="2077">
                  <c:v>Land of the Dead </c:v>
                </c:pt>
                <c:pt idx="2078">
                  <c:v>Land of the Lost </c:v>
                </c:pt>
                <c:pt idx="2079">
                  <c:v>Lara Croft Tomb Raider: The Cradle of Life </c:v>
                </c:pt>
                <c:pt idx="2080">
                  <c:v>Lara Croft: Tomb Raider </c:v>
                </c:pt>
                <c:pt idx="2081">
                  <c:v>Larry Crowne </c:v>
                </c:pt>
                <c:pt idx="2082">
                  <c:v>Larry the Cable Guy: Health Inspector </c:v>
                </c:pt>
                <c:pt idx="2083">
                  <c:v>Lars and the Real Girl </c:v>
                </c:pt>
                <c:pt idx="2084">
                  <c:v>Last Action Hero </c:v>
                </c:pt>
                <c:pt idx="2085">
                  <c:v>Last Holiday </c:v>
                </c:pt>
                <c:pt idx="2086">
                  <c:v>Last Man Standing </c:v>
                </c:pt>
                <c:pt idx="2087">
                  <c:v>Last Orders </c:v>
                </c:pt>
                <c:pt idx="2088">
                  <c:v>Last Vegas </c:v>
                </c:pt>
                <c:pt idx="2089">
                  <c:v>Latter Days </c:v>
                </c:pt>
                <c:pt idx="2090">
                  <c:v>L'auberge espagnole </c:v>
                </c:pt>
                <c:pt idx="2091">
                  <c:v>Law Abiding Citizen </c:v>
                </c:pt>
                <c:pt idx="2092">
                  <c:v>Lawrence of Arabia </c:v>
                </c:pt>
                <c:pt idx="2093">
                  <c:v>Laws of Attraction </c:v>
                </c:pt>
                <c:pt idx="2094">
                  <c:v>Layer Cake </c:v>
                </c:pt>
                <c:pt idx="2095">
                  <c:v>Le Havre </c:v>
                </c:pt>
                <c:pt idx="2096">
                  <c:v>Leap Year </c:v>
                </c:pt>
                <c:pt idx="2097">
                  <c:v>Leatherheads </c:v>
                </c:pt>
                <c:pt idx="2098">
                  <c:v>Leaving Las Vegas </c:v>
                </c:pt>
                <c:pt idx="2099">
                  <c:v>Lee Daniels' The Butler </c:v>
                </c:pt>
                <c:pt idx="2100">
                  <c:v>Left Behind </c:v>
                </c:pt>
                <c:pt idx="2101">
                  <c:v>Legal Eagles </c:v>
                </c:pt>
                <c:pt idx="2102">
                  <c:v>Legally Blonde 2: Red, White &amp; Blonde </c:v>
                </c:pt>
                <c:pt idx="2103">
                  <c:v>Legally Blonde </c:v>
                </c:pt>
                <c:pt idx="2104">
                  <c:v>Legend of Kung Fu Rabbit </c:v>
                </c:pt>
                <c:pt idx="2105">
                  <c:v>Legend of the Guardians: The Owls of Ga'Hoole </c:v>
                </c:pt>
                <c:pt idx="2106">
                  <c:v>Legend </c:v>
                </c:pt>
                <c:pt idx="2107">
                  <c:v>Legends of Oz: Dorothy's Return </c:v>
                </c:pt>
                <c:pt idx="2108">
                  <c:v>Legends of the Fall </c:v>
                </c:pt>
                <c:pt idx="2109">
                  <c:v>Legion </c:v>
                </c:pt>
                <c:pt idx="2110">
                  <c:v>Les couloirs du temps: Les visiteurs II </c:v>
                </c:pt>
                <c:pt idx="2111">
                  <c:v>Les Misérables </c:v>
                </c:pt>
                <c:pt idx="2112">
                  <c:v>Les visiteurs </c:v>
                </c:pt>
                <c:pt idx="2113">
                  <c:v>Let Me In </c:v>
                </c:pt>
                <c:pt idx="2114">
                  <c:v>Lethal Weapon 3 </c:v>
                </c:pt>
                <c:pt idx="2115">
                  <c:v>Lethal Weapon 4 </c:v>
                </c:pt>
                <c:pt idx="2116">
                  <c:v>Let's Be Cops </c:v>
                </c:pt>
                <c:pt idx="2117">
                  <c:v>Let's Go to Prison </c:v>
                </c:pt>
                <c:pt idx="2118">
                  <c:v>Let's Kill Ward's Wife </c:v>
                </c:pt>
                <c:pt idx="2119">
                  <c:v>Letters from Iwo Jima </c:v>
                </c:pt>
                <c:pt idx="2120">
                  <c:v>Letters to God </c:v>
                </c:pt>
                <c:pt idx="2121">
                  <c:v>Letters to Juliet </c:v>
                </c:pt>
                <c:pt idx="2122">
                  <c:v>Liar Liar </c:v>
                </c:pt>
                <c:pt idx="2123">
                  <c:v>Licence to Kill </c:v>
                </c:pt>
                <c:pt idx="2124">
                  <c:v>License to Wed </c:v>
                </c:pt>
                <c:pt idx="2125">
                  <c:v>Lies in Plain Sight </c:v>
                </c:pt>
                <c:pt idx="2126">
                  <c:v>Life as a House </c:v>
                </c:pt>
                <c:pt idx="2127">
                  <c:v>Life During Wartime </c:v>
                </c:pt>
                <c:pt idx="2128">
                  <c:v>Life of Pi </c:v>
                </c:pt>
                <c:pt idx="2129">
                  <c:v>Life or Something Like It </c:v>
                </c:pt>
                <c:pt idx="2130">
                  <c:v>Life </c:v>
                </c:pt>
                <c:pt idx="2131">
                  <c:v>Lifeforce </c:v>
                </c:pt>
                <c:pt idx="2132">
                  <c:v>Light from the Darkroom </c:v>
                </c:pt>
                <c:pt idx="2133">
                  <c:v>Light It Up </c:v>
                </c:pt>
                <c:pt idx="2134">
                  <c:v>Light Sleeper </c:v>
                </c:pt>
                <c:pt idx="2135">
                  <c:v>Lights Out </c:v>
                </c:pt>
                <c:pt idx="2136">
                  <c:v>Like Crazy </c:v>
                </c:pt>
                <c:pt idx="2137">
                  <c:v>Like Mike </c:v>
                </c:pt>
                <c:pt idx="2138">
                  <c:v>Lilo &amp; Stitch </c:v>
                </c:pt>
                <c:pt idx="2139">
                  <c:v>Lilya 4-Ever </c:v>
                </c:pt>
                <c:pt idx="2140">
                  <c:v>Lilyhammer </c:v>
                </c:pt>
                <c:pt idx="2141">
                  <c:v>Limbo </c:v>
                </c:pt>
                <c:pt idx="2142">
                  <c:v>Limitless </c:v>
                </c:pt>
                <c:pt idx="2143">
                  <c:v>Lincoln </c:v>
                </c:pt>
                <c:pt idx="2144">
                  <c:v>Lion of the Desert </c:v>
                </c:pt>
                <c:pt idx="2145">
                  <c:v>Lions for Lambs </c:v>
                </c:pt>
                <c:pt idx="2146">
                  <c:v>Lisa Picard Is Famous </c:v>
                </c:pt>
                <c:pt idx="2147">
                  <c:v>Listening </c:v>
                </c:pt>
                <c:pt idx="2148">
                  <c:v>Little Big Top </c:v>
                </c:pt>
                <c:pt idx="2149">
                  <c:v>Little Black Book </c:v>
                </c:pt>
                <c:pt idx="2150">
                  <c:v>Little Boy </c:v>
                </c:pt>
                <c:pt idx="2151">
                  <c:v>Little Children </c:v>
                </c:pt>
                <c:pt idx="2152">
                  <c:v>Little Fockers </c:v>
                </c:pt>
                <c:pt idx="2153">
                  <c:v>Little Miss Sunshine </c:v>
                </c:pt>
                <c:pt idx="2154">
                  <c:v>Little Nicholas </c:v>
                </c:pt>
                <c:pt idx="2155">
                  <c:v>Little Nicky </c:v>
                </c:pt>
                <c:pt idx="2156">
                  <c:v>Little Shop of Horrors </c:v>
                </c:pt>
                <c:pt idx="2157">
                  <c:v>Little Voice </c:v>
                </c:pt>
                <c:pt idx="2158">
                  <c:v>Little White Lies </c:v>
                </c:pt>
                <c:pt idx="2159">
                  <c:v>Little Women </c:v>
                </c:pt>
                <c:pt idx="2160">
                  <c:v>Littleman </c:v>
                </c:pt>
                <c:pt idx="2161">
                  <c:v>Live and Let Die </c:v>
                </c:pt>
                <c:pt idx="2162">
                  <c:v>Live Free or Die Hard </c:v>
                </c:pt>
                <c:pt idx="2163">
                  <c:v>Live-In Maid </c:v>
                </c:pt>
                <c:pt idx="2164">
                  <c:v>Living Dark: The Story of Ted the Caver </c:v>
                </c:pt>
                <c:pt idx="2165">
                  <c:v>Living Out Loud </c:v>
                </c:pt>
                <c:pt idx="2166">
                  <c:v>Loaded Weapon 1 </c:v>
                </c:pt>
                <c:pt idx="2167">
                  <c:v>Lock, Stock and Two Smoking Barrels </c:v>
                </c:pt>
                <c:pt idx="2168">
                  <c:v>Locker 13 </c:v>
                </c:pt>
                <c:pt idx="2169">
                  <c:v>Lockout </c:v>
                </c:pt>
                <c:pt idx="2170">
                  <c:v>Logan's Run </c:v>
                </c:pt>
                <c:pt idx="2171">
                  <c:v>LOL </c:v>
                </c:pt>
                <c:pt idx="2172">
                  <c:v>Lolita </c:v>
                </c:pt>
                <c:pt idx="2173">
                  <c:v>London Has Fallen </c:v>
                </c:pt>
                <c:pt idx="2174">
                  <c:v>London to Brighton </c:v>
                </c:pt>
                <c:pt idx="2175">
                  <c:v>London </c:v>
                </c:pt>
                <c:pt idx="2176">
                  <c:v>Lone Star </c:v>
                </c:pt>
                <c:pt idx="2177">
                  <c:v>Lone Survivor </c:v>
                </c:pt>
                <c:pt idx="2178">
                  <c:v>Lone Wolf McQuade </c:v>
                </c:pt>
                <c:pt idx="2179">
                  <c:v>Lonesome Jim </c:v>
                </c:pt>
                <c:pt idx="2180">
                  <c:v>Looney Tunes: Back in Action </c:v>
                </c:pt>
                <c:pt idx="2181">
                  <c:v>Looper </c:v>
                </c:pt>
                <c:pt idx="2182">
                  <c:v>Loose Cannons </c:v>
                </c:pt>
                <c:pt idx="2183">
                  <c:v>Lord of War </c:v>
                </c:pt>
                <c:pt idx="2184">
                  <c:v>Lords of Dogtown </c:v>
                </c:pt>
                <c:pt idx="2185">
                  <c:v>Lords of London </c:v>
                </c:pt>
                <c:pt idx="2186">
                  <c:v>Loser </c:v>
                </c:pt>
                <c:pt idx="2187">
                  <c:v>Losin' It </c:v>
                </c:pt>
                <c:pt idx="2188">
                  <c:v>Lost in Space </c:v>
                </c:pt>
                <c:pt idx="2189">
                  <c:v>Lost in Translation </c:v>
                </c:pt>
                <c:pt idx="2190">
                  <c:v>Lost Souls </c:v>
                </c:pt>
                <c:pt idx="2191">
                  <c:v>Lottery Ticket </c:v>
                </c:pt>
                <c:pt idx="2192">
                  <c:v>Love &amp; Basketball </c:v>
                </c:pt>
                <c:pt idx="2193">
                  <c:v>Love &amp; Other Drugs </c:v>
                </c:pt>
                <c:pt idx="2194">
                  <c:v>Love Actually </c:v>
                </c:pt>
                <c:pt idx="2195">
                  <c:v>Love and Death on Long Island </c:v>
                </c:pt>
                <c:pt idx="2196">
                  <c:v>Love and Other Catastrophes </c:v>
                </c:pt>
                <c:pt idx="2197">
                  <c:v>Love Happens </c:v>
                </c:pt>
                <c:pt idx="2198">
                  <c:v>Love in the Time of Cholera </c:v>
                </c:pt>
                <c:pt idx="2199">
                  <c:v>Love in the Time of Monsters </c:v>
                </c:pt>
                <c:pt idx="2200">
                  <c:v>Love Jones </c:v>
                </c:pt>
                <c:pt idx="2201">
                  <c:v>Love Letters </c:v>
                </c:pt>
                <c:pt idx="2202">
                  <c:v>Love Me Tender </c:v>
                </c:pt>
                <c:pt idx="2203">
                  <c:v>Love Ranch </c:v>
                </c:pt>
                <c:pt idx="2204">
                  <c:v>Love Stinks </c:v>
                </c:pt>
                <c:pt idx="2205">
                  <c:v>Love the Coopers </c:v>
                </c:pt>
                <c:pt idx="2206">
                  <c:v>Lovely &amp; Amazing </c:v>
                </c:pt>
                <c:pt idx="2207">
                  <c:v>Lovely, Still </c:v>
                </c:pt>
                <c:pt idx="2208">
                  <c:v>Love's Abiding Joy </c:v>
                </c:pt>
                <c:pt idx="2209">
                  <c:v>Lovesick </c:v>
                </c:pt>
                <c:pt idx="2210">
                  <c:v>Loving Annabelle </c:v>
                </c:pt>
                <c:pt idx="2211">
                  <c:v>Lucky Break </c:v>
                </c:pt>
                <c:pt idx="2212">
                  <c:v>Lucky Number Slevin </c:v>
                </c:pt>
                <c:pt idx="2213">
                  <c:v>Lucky Numbers </c:v>
                </c:pt>
                <c:pt idx="2214">
                  <c:v>Lucky You </c:v>
                </c:pt>
                <c:pt idx="2215">
                  <c:v>Lucy </c:v>
                </c:pt>
                <c:pt idx="2216">
                  <c:v>Luminarias </c:v>
                </c:pt>
                <c:pt idx="2217">
                  <c:v>Luther </c:v>
                </c:pt>
                <c:pt idx="2218">
                  <c:v>M*A*S*H </c:v>
                </c:pt>
                <c:pt idx="2219">
                  <c:v>MacGruber </c:v>
                </c:pt>
                <c:pt idx="2220">
                  <c:v>Machete Kills </c:v>
                </c:pt>
                <c:pt idx="2221">
                  <c:v>Machete </c:v>
                </c:pt>
                <c:pt idx="2222">
                  <c:v>Machine Gun McCain </c:v>
                </c:pt>
                <c:pt idx="2223">
                  <c:v>Machine Gun Preacher </c:v>
                </c:pt>
                <c:pt idx="2224">
                  <c:v>Mad City </c:v>
                </c:pt>
                <c:pt idx="2225">
                  <c:v>Mad Hot Ballroom </c:v>
                </c:pt>
                <c:pt idx="2226">
                  <c:v>Mad Max 2: The Road Warrior </c:v>
                </c:pt>
                <c:pt idx="2227">
                  <c:v>Mad Max Beyond Thunderdome </c:v>
                </c:pt>
                <c:pt idx="2228">
                  <c:v>Mad Max </c:v>
                </c:pt>
                <c:pt idx="2229">
                  <c:v>Mad Max: Fury Road </c:v>
                </c:pt>
                <c:pt idx="2230">
                  <c:v>Mad Money </c:v>
                </c:pt>
                <c:pt idx="2231">
                  <c:v>Madadayo </c:v>
                </c:pt>
                <c:pt idx="2232">
                  <c:v>Madagascar 3: Europe's Most Wanted </c:v>
                </c:pt>
                <c:pt idx="2233">
                  <c:v>Madagascar </c:v>
                </c:pt>
                <c:pt idx="2234">
                  <c:v>Madagascar: Escape 2 Africa </c:v>
                </c:pt>
                <c:pt idx="2235">
                  <c:v>Made in Dagenham </c:v>
                </c:pt>
                <c:pt idx="2236">
                  <c:v>Made of Honor </c:v>
                </c:pt>
                <c:pt idx="2237">
                  <c:v>Made </c:v>
                </c:pt>
                <c:pt idx="2238">
                  <c:v>Madea Goes to Jail </c:v>
                </c:pt>
                <c:pt idx="2239">
                  <c:v>Madea's Family Reunion </c:v>
                </c:pt>
                <c:pt idx="2240">
                  <c:v>Madea's Witness Protection </c:v>
                </c:pt>
                <c:pt idx="2241">
                  <c:v>Madison </c:v>
                </c:pt>
                <c:pt idx="2242">
                  <c:v>Maggie </c:v>
                </c:pt>
                <c:pt idx="2243">
                  <c:v>Magic Mike XXL </c:v>
                </c:pt>
                <c:pt idx="2244">
                  <c:v>Magic Mike </c:v>
                </c:pt>
                <c:pt idx="2245">
                  <c:v>Magnolia </c:v>
                </c:pt>
                <c:pt idx="2246">
                  <c:v>Maid in Manhattan </c:v>
                </c:pt>
                <c:pt idx="2247">
                  <c:v>Major Dundee </c:v>
                </c:pt>
                <c:pt idx="2248">
                  <c:v>Major League </c:v>
                </c:pt>
                <c:pt idx="2249">
                  <c:v>Malcolm X </c:v>
                </c:pt>
                <c:pt idx="2250">
                  <c:v>Maleficent </c:v>
                </c:pt>
                <c:pt idx="2251">
                  <c:v>Malevolence </c:v>
                </c:pt>
                <c:pt idx="2252">
                  <c:v>Malibu's Most Wanted </c:v>
                </c:pt>
                <c:pt idx="2253">
                  <c:v>Mallrats </c:v>
                </c:pt>
                <c:pt idx="2254">
                  <c:v>Malone </c:v>
                </c:pt>
                <c:pt idx="2255">
                  <c:v>Mama </c:v>
                </c:pt>
                <c:pt idx="2256">
                  <c:v>Mambo Italiano </c:v>
                </c:pt>
                <c:pt idx="2257">
                  <c:v>Mamma Mia! </c:v>
                </c:pt>
                <c:pt idx="2258">
                  <c:v>Man of Steel </c:v>
                </c:pt>
                <c:pt idx="2259">
                  <c:v>Man of the House </c:v>
                </c:pt>
                <c:pt idx="2260">
                  <c:v>Man of the Year </c:v>
                </c:pt>
                <c:pt idx="2261">
                  <c:v>Man on a Ledge </c:v>
                </c:pt>
                <c:pt idx="2262">
                  <c:v>Man on Fire </c:v>
                </c:pt>
                <c:pt idx="2263">
                  <c:v>Man on the Moon </c:v>
                </c:pt>
                <c:pt idx="2264">
                  <c:v>Man on Wire </c:v>
                </c:pt>
                <c:pt idx="2265">
                  <c:v>Mandela: Long Walk to Freedom </c:v>
                </c:pt>
                <c:pt idx="2266">
                  <c:v>Manderlay </c:v>
                </c:pt>
                <c:pt idx="2267">
                  <c:v>Maniac </c:v>
                </c:pt>
                <c:pt idx="2268">
                  <c:v>Manito </c:v>
                </c:pt>
                <c:pt idx="2269">
                  <c:v>Mao's Last Dancer </c:v>
                </c:pt>
                <c:pt idx="2270">
                  <c:v>March of the Penguins </c:v>
                </c:pt>
                <c:pt idx="2271">
                  <c:v>March or Die </c:v>
                </c:pt>
                <c:pt idx="2272">
                  <c:v>Marci X </c:v>
                </c:pt>
                <c:pt idx="2273">
                  <c:v>Margaret </c:v>
                </c:pt>
                <c:pt idx="2274">
                  <c:v>Margin Call </c:v>
                </c:pt>
                <c:pt idx="2275">
                  <c:v>Maria Full of Grace </c:v>
                </c:pt>
                <c:pt idx="2276">
                  <c:v>Marie Antoinette </c:v>
                </c:pt>
                <c:pt idx="2277">
                  <c:v>Marilyn Hotchkiss' Ballroom Dancing and Charm School </c:v>
                </c:pt>
                <c:pt idx="2278">
                  <c:v>Marley &amp; Me </c:v>
                </c:pt>
                <c:pt idx="2279">
                  <c:v>Marmaduke </c:v>
                </c:pt>
                <c:pt idx="2280">
                  <c:v>Married Life </c:v>
                </c:pt>
                <c:pt idx="2281">
                  <c:v>Mars Attacks! </c:v>
                </c:pt>
                <c:pt idx="2282">
                  <c:v>Mars Needs Moms </c:v>
                </c:pt>
                <c:pt idx="2283">
                  <c:v>Martha Marcy May Marlene </c:v>
                </c:pt>
                <c:pt idx="2284">
                  <c:v>Martian Child </c:v>
                </c:pt>
                <c:pt idx="2285">
                  <c:v>Martin Lawrence Live: Runteldat </c:v>
                </c:pt>
                <c:pt idx="2286">
                  <c:v>Marvin's Room </c:v>
                </c:pt>
                <c:pt idx="2287">
                  <c:v>Mary Poppins </c:v>
                </c:pt>
                <c:pt idx="2288">
                  <c:v>Mary Reilly </c:v>
                </c:pt>
                <c:pt idx="2289">
                  <c:v>Masked and Anonymous </c:v>
                </c:pt>
                <c:pt idx="2290">
                  <c:v>Master and Commander: The Far Side of the World </c:v>
                </c:pt>
                <c:pt idx="2291">
                  <c:v>Match Point </c:v>
                </c:pt>
                <c:pt idx="2292">
                  <c:v>Maurice </c:v>
                </c:pt>
                <c:pt idx="2293">
                  <c:v>Max Keeble's Big Move </c:v>
                </c:pt>
                <c:pt idx="2294">
                  <c:v>Max Payne </c:v>
                </c:pt>
                <c:pt idx="2295">
                  <c:v>Max </c:v>
                </c:pt>
                <c:pt idx="2296">
                  <c:v>Maximum Risk </c:v>
                </c:pt>
                <c:pt idx="2297">
                  <c:v>May </c:v>
                </c:pt>
                <c:pt idx="2298">
                  <c:v>McFarland, USA </c:v>
                </c:pt>
                <c:pt idx="2299">
                  <c:v>McHale's Navy </c:v>
                </c:pt>
                <c:pt idx="2300">
                  <c:v>Me and Orson Welles </c:v>
                </c:pt>
                <c:pt idx="2301">
                  <c:v>Me and You and Everyone We Know </c:v>
                </c:pt>
                <c:pt idx="2302">
                  <c:v>Me Before You </c:v>
                </c:pt>
                <c:pt idx="2303">
                  <c:v>Me You and Five Bucks </c:v>
                </c:pt>
                <c:pt idx="2304">
                  <c:v>Me, Myself &amp; Irene </c:v>
                </c:pt>
                <c:pt idx="2305">
                  <c:v>Mean Creek </c:v>
                </c:pt>
                <c:pt idx="2306">
                  <c:v>Mean Girls </c:v>
                </c:pt>
                <c:pt idx="2307">
                  <c:v>Mean Machine </c:v>
                </c:pt>
                <c:pt idx="2308">
                  <c:v>Mean Streets </c:v>
                </c:pt>
                <c:pt idx="2309">
                  <c:v>Medicine Man </c:v>
                </c:pt>
                <c:pt idx="2310">
                  <c:v>Meek's Cutoff </c:v>
                </c:pt>
                <c:pt idx="2311">
                  <c:v>Meet Dave </c:v>
                </c:pt>
                <c:pt idx="2312">
                  <c:v>Meet Joe Black </c:v>
                </c:pt>
                <c:pt idx="2313">
                  <c:v>Meet the Browns </c:v>
                </c:pt>
                <c:pt idx="2314">
                  <c:v>Meet the Deedles </c:v>
                </c:pt>
                <c:pt idx="2315">
                  <c:v>Meet the Fockers </c:v>
                </c:pt>
                <c:pt idx="2316">
                  <c:v>Meet the Parents </c:v>
                </c:pt>
                <c:pt idx="2317">
                  <c:v>Meet the Spartans </c:v>
                </c:pt>
                <c:pt idx="2318">
                  <c:v>Megaforce </c:v>
                </c:pt>
                <c:pt idx="2319">
                  <c:v>Megamind </c:v>
                </c:pt>
                <c:pt idx="2320">
                  <c:v>Megiddo: The Omega Code 2 </c:v>
                </c:pt>
                <c:pt idx="2321">
                  <c:v>Melancholia </c:v>
                </c:pt>
                <c:pt idx="2322">
                  <c:v>Memento </c:v>
                </c:pt>
                <c:pt idx="2323">
                  <c:v>Memoirs of a Geisha </c:v>
                </c:pt>
                <c:pt idx="2324">
                  <c:v>Memoirs of an Invisible Man </c:v>
                </c:pt>
                <c:pt idx="2325">
                  <c:v>Men in Black 3 </c:v>
                </c:pt>
                <c:pt idx="2326">
                  <c:v>Men in Black II </c:v>
                </c:pt>
                <c:pt idx="2327">
                  <c:v>Men in Black </c:v>
                </c:pt>
                <c:pt idx="2328">
                  <c:v>Men of Honor </c:v>
                </c:pt>
                <c:pt idx="2329">
                  <c:v>Men of War </c:v>
                </c:pt>
                <c:pt idx="2330">
                  <c:v>Men with Brooms </c:v>
                </c:pt>
                <c:pt idx="2331">
                  <c:v>Menace II Society </c:v>
                </c:pt>
                <c:pt idx="2332">
                  <c:v>Mercury Rising </c:v>
                </c:pt>
                <c:pt idx="2333">
                  <c:v>Mercy Streets </c:v>
                </c:pt>
                <c:pt idx="2334">
                  <c:v>Message in a Bottle </c:v>
                </c:pt>
                <c:pt idx="2335">
                  <c:v>Metallica Through the Never </c:v>
                </c:pt>
                <c:pt idx="2336">
                  <c:v>Meteor </c:v>
                </c:pt>
                <c:pt idx="2337">
                  <c:v>Metropolis </c:v>
                </c:pt>
                <c:pt idx="2338">
                  <c:v>Metropolitan </c:v>
                </c:pt>
                <c:pt idx="2339">
                  <c:v>Mi America </c:v>
                </c:pt>
                <c:pt idx="2340">
                  <c:v>Miami Vice </c:v>
                </c:pt>
                <c:pt idx="2341">
                  <c:v>Michael Clayton </c:v>
                </c:pt>
                <c:pt idx="2342">
                  <c:v>Michael Collins </c:v>
                </c:pt>
                <c:pt idx="2343">
                  <c:v>Michael Jordan to the Max </c:v>
                </c:pt>
                <c:pt idx="2344">
                  <c:v>Mickey Blue Eyes </c:v>
                </c:pt>
                <c:pt idx="2345">
                  <c:v>Micmacs </c:v>
                </c:pt>
                <c:pt idx="2346">
                  <c:v>Middle of Nowhere </c:v>
                </c:pt>
                <c:pt idx="2347">
                  <c:v>Midnight Cabaret </c:v>
                </c:pt>
                <c:pt idx="2348">
                  <c:v>Midnight Cowboy </c:v>
                </c:pt>
                <c:pt idx="2349">
                  <c:v>Midnight in Paris </c:v>
                </c:pt>
                <c:pt idx="2350">
                  <c:v>Midnight in the Garden of Good and Evil </c:v>
                </c:pt>
                <c:pt idx="2351">
                  <c:v>Midnight Run </c:v>
                </c:pt>
                <c:pt idx="2352">
                  <c:v>Midnight Special </c:v>
                </c:pt>
                <c:pt idx="2353">
                  <c:v>Mighty Joe Young </c:v>
                </c:pt>
                <c:pt idx="2354">
                  <c:v>Milk </c:v>
                </c:pt>
                <c:pt idx="2355">
                  <c:v>Million Dollar Arm </c:v>
                </c:pt>
                <c:pt idx="2356">
                  <c:v>Million Dollar Baby </c:v>
                </c:pt>
                <c:pt idx="2357">
                  <c:v>Mindhunters </c:v>
                </c:pt>
                <c:pt idx="2358">
                  <c:v>Minions </c:v>
                </c:pt>
                <c:pt idx="2359">
                  <c:v>Minority Report </c:v>
                </c:pt>
                <c:pt idx="2360">
                  <c:v>Miracle at St. Anna </c:v>
                </c:pt>
                <c:pt idx="2361">
                  <c:v>Miracle </c:v>
                </c:pt>
                <c:pt idx="2362">
                  <c:v>Miracles from Heaven </c:v>
                </c:pt>
                <c:pt idx="2363">
                  <c:v>Mirror Mirror </c:v>
                </c:pt>
                <c:pt idx="2364">
                  <c:v>Mirrormask </c:v>
                </c:pt>
                <c:pt idx="2365">
                  <c:v>Mirrors </c:v>
                </c:pt>
                <c:pt idx="2366">
                  <c:v>Misconduct </c:v>
                </c:pt>
                <c:pt idx="2367">
                  <c:v>Miss Congeniality 2: Armed and Fabulous </c:v>
                </c:pt>
                <c:pt idx="2368">
                  <c:v>Miss Congeniality </c:v>
                </c:pt>
                <c:pt idx="2369">
                  <c:v>Miss Julie </c:v>
                </c:pt>
                <c:pt idx="2370">
                  <c:v>Miss March </c:v>
                </c:pt>
                <c:pt idx="2371">
                  <c:v>Miss Potter </c:v>
                </c:pt>
                <c:pt idx="2372">
                  <c:v>Mission to Mars </c:v>
                </c:pt>
                <c:pt idx="2373">
                  <c:v>Mission: Impossible - Ghost Protocol </c:v>
                </c:pt>
                <c:pt idx="2374">
                  <c:v>Mission: Impossible - Rogue Nation </c:v>
                </c:pt>
                <c:pt idx="2375">
                  <c:v>Mission: Impossible II </c:v>
                </c:pt>
                <c:pt idx="2376">
                  <c:v>Mission: Impossible III </c:v>
                </c:pt>
                <c:pt idx="2377">
                  <c:v>Mission: Impossible </c:v>
                </c:pt>
                <c:pt idx="2378">
                  <c:v>Mississippi Mermaid </c:v>
                </c:pt>
                <c:pt idx="2379">
                  <c:v>Mo' Better Blues </c:v>
                </c:pt>
                <c:pt idx="2380">
                  <c:v>Moby Dick </c:v>
                </c:pt>
                <c:pt idx="2381">
                  <c:v>Modern Problems </c:v>
                </c:pt>
                <c:pt idx="2382">
                  <c:v>Modern Times </c:v>
                </c:pt>
                <c:pt idx="2383">
                  <c:v>Molière </c:v>
                </c:pt>
                <c:pt idx="2384">
                  <c:v>Molly </c:v>
                </c:pt>
                <c:pt idx="2385">
                  <c:v>Mommie Dearest </c:v>
                </c:pt>
                <c:pt idx="2386">
                  <c:v>Moms' Night Out </c:v>
                </c:pt>
                <c:pt idx="2387">
                  <c:v>Mona Lisa Smile </c:v>
                </c:pt>
                <c:pt idx="2388">
                  <c:v>Mondays in the Sun </c:v>
                </c:pt>
                <c:pt idx="2389">
                  <c:v>Money Monster </c:v>
                </c:pt>
                <c:pt idx="2390">
                  <c:v>Money Talks </c:v>
                </c:pt>
                <c:pt idx="2391">
                  <c:v>Money Train </c:v>
                </c:pt>
                <c:pt idx="2392">
                  <c:v>Moneyball </c:v>
                </c:pt>
                <c:pt idx="2393">
                  <c:v>Mongol: The Rise of Genghis Khan </c:v>
                </c:pt>
                <c:pt idx="2394">
                  <c:v>Monkeybone </c:v>
                </c:pt>
                <c:pt idx="2395">
                  <c:v>Monsoon Wedding </c:v>
                </c:pt>
                <c:pt idx="2396">
                  <c:v>Monster House </c:v>
                </c:pt>
                <c:pt idx="2397">
                  <c:v>Monster </c:v>
                </c:pt>
                <c:pt idx="2398">
                  <c:v>Monster-in-Law </c:v>
                </c:pt>
                <c:pt idx="2399">
                  <c:v>Monster's Ball </c:v>
                </c:pt>
                <c:pt idx="2400">
                  <c:v>Monsters University </c:v>
                </c:pt>
                <c:pt idx="2401">
                  <c:v>Monsters vs. Aliens </c:v>
                </c:pt>
                <c:pt idx="2402">
                  <c:v>Monsters </c:v>
                </c:pt>
                <c:pt idx="2403">
                  <c:v>Monsters, Inc. </c:v>
                </c:pt>
                <c:pt idx="2404">
                  <c:v>Monte Carlo </c:v>
                </c:pt>
                <c:pt idx="2405">
                  <c:v>Monty Python and the Holy Grail </c:v>
                </c:pt>
                <c:pt idx="2406">
                  <c:v>Moon </c:v>
                </c:pt>
                <c:pt idx="2407">
                  <c:v>Moonlight Mile </c:v>
                </c:pt>
                <c:pt idx="2408">
                  <c:v>Moonraker </c:v>
                </c:pt>
                <c:pt idx="2409">
                  <c:v>Moonrise Kingdom </c:v>
                </c:pt>
                <c:pt idx="2410">
                  <c:v>Mooz-Lum </c:v>
                </c:pt>
                <c:pt idx="2411">
                  <c:v>Morning Glory </c:v>
                </c:pt>
                <c:pt idx="2412">
                  <c:v>Mortal Kombat </c:v>
                </c:pt>
                <c:pt idx="2413">
                  <c:v>Mortal Kombat: Annihilation </c:v>
                </c:pt>
                <c:pt idx="2414">
                  <c:v>Mortdecai </c:v>
                </c:pt>
                <c:pt idx="2415">
                  <c:v>Morvern Callar </c:v>
                </c:pt>
                <c:pt idx="2416">
                  <c:v>Mother and Child </c:v>
                </c:pt>
                <c:pt idx="2417">
                  <c:v>Motherhood </c:v>
                </c:pt>
                <c:pt idx="2418">
                  <c:v>Moulin Rouge! </c:v>
                </c:pt>
                <c:pt idx="2419">
                  <c:v>Movie 43 </c:v>
                </c:pt>
                <c:pt idx="2420">
                  <c:v>Mozart's Sister </c:v>
                </c:pt>
                <c:pt idx="2421">
                  <c:v>Mr 3000 </c:v>
                </c:pt>
                <c:pt idx="2422">
                  <c:v>Mr. &amp; Mrs. Smith </c:v>
                </c:pt>
                <c:pt idx="2423">
                  <c:v>Mr. Bean's Holiday </c:v>
                </c:pt>
                <c:pt idx="2424">
                  <c:v>Mr. Church </c:v>
                </c:pt>
                <c:pt idx="2425">
                  <c:v>Mr. Deeds </c:v>
                </c:pt>
                <c:pt idx="2426">
                  <c:v>Mr. Holland's Opus </c:v>
                </c:pt>
                <c:pt idx="2427">
                  <c:v>Mr. Nice Guy </c:v>
                </c:pt>
                <c:pt idx="2428">
                  <c:v>Mr. Peabody &amp; Sherman </c:v>
                </c:pt>
                <c:pt idx="2429">
                  <c:v>Mr. Popper's Penguins </c:v>
                </c:pt>
                <c:pt idx="2430">
                  <c:v>Mr. Smith Goes to Washington </c:v>
                </c:pt>
                <c:pt idx="2431">
                  <c:v>Mr. Turner </c:v>
                </c:pt>
                <c:pt idx="2432">
                  <c:v>Mrs Henderson Presents </c:v>
                </c:pt>
                <c:pt idx="2433">
                  <c:v>Mrs. Doubtfire </c:v>
                </c:pt>
                <c:pt idx="2434">
                  <c:v>Mrs. Winterbourne </c:v>
                </c:pt>
                <c:pt idx="2435">
                  <c:v>Much Ado About Nothing </c:v>
                </c:pt>
                <c:pt idx="2436">
                  <c:v>Mud </c:v>
                </c:pt>
                <c:pt idx="2437">
                  <c:v>Mulan </c:v>
                </c:pt>
                <c:pt idx="2438">
                  <c:v>Mulholland Drive </c:v>
                </c:pt>
                <c:pt idx="2439">
                  <c:v>Multiplicity </c:v>
                </c:pt>
                <c:pt idx="2440">
                  <c:v>Mumford </c:v>
                </c:pt>
                <c:pt idx="2441">
                  <c:v>Munich </c:v>
                </c:pt>
                <c:pt idx="2442">
                  <c:v>Muppets from Space </c:v>
                </c:pt>
                <c:pt idx="2443">
                  <c:v>Muppets Most Wanted </c:v>
                </c:pt>
                <c:pt idx="2444">
                  <c:v>Murder by Numbers </c:v>
                </c:pt>
                <c:pt idx="2445">
                  <c:v>Murderball </c:v>
                </c:pt>
                <c:pt idx="2446">
                  <c:v>Music and Lyrics </c:v>
                </c:pt>
                <c:pt idx="2447">
                  <c:v>Must Love Dogs </c:v>
                </c:pt>
                <c:pt idx="2448">
                  <c:v>Mutant World </c:v>
                </c:pt>
                <c:pt idx="2449">
                  <c:v>Mutual Appreciation </c:v>
                </c:pt>
                <c:pt idx="2450">
                  <c:v>Mutual Friends </c:v>
                </c:pt>
                <c:pt idx="2451">
                  <c:v>My Baby's Daddy </c:v>
                </c:pt>
                <c:pt idx="2452">
                  <c:v>My Beautiful Laundrette </c:v>
                </c:pt>
                <c:pt idx="2453">
                  <c:v>My Best Friend's Girl </c:v>
                </c:pt>
                <c:pt idx="2454">
                  <c:v>My Best Friend's Wedding </c:v>
                </c:pt>
                <c:pt idx="2455">
                  <c:v>My Big Fat Greek Wedding 2 </c:v>
                </c:pt>
                <c:pt idx="2456">
                  <c:v>My Big Fat Greek Wedding </c:v>
                </c:pt>
                <c:pt idx="2457">
                  <c:v>My Big Fat Independent Movie </c:v>
                </c:pt>
                <c:pt idx="2458">
                  <c:v>My Bloody Valentine </c:v>
                </c:pt>
                <c:pt idx="2459">
                  <c:v>My Blueberry Nights </c:v>
                </c:pt>
                <c:pt idx="2460">
                  <c:v>My Boss's Daughter </c:v>
                </c:pt>
                <c:pt idx="2461">
                  <c:v>My Cousin Vinny </c:v>
                </c:pt>
                <c:pt idx="2462">
                  <c:v>My Date with Drew </c:v>
                </c:pt>
                <c:pt idx="2463">
                  <c:v>My Dog Skip </c:v>
                </c:pt>
                <c:pt idx="2464">
                  <c:v>My Dog Tulip </c:v>
                </c:pt>
                <c:pt idx="2465">
                  <c:v>My Fair Lady </c:v>
                </c:pt>
                <c:pt idx="2466">
                  <c:v>My Favorite Martian </c:v>
                </c:pt>
                <c:pt idx="2467">
                  <c:v>My Fellow Americans </c:v>
                </c:pt>
                <c:pt idx="2468">
                  <c:v>My Girl </c:v>
                </c:pt>
                <c:pt idx="2469">
                  <c:v>My Last Day Without You </c:v>
                </c:pt>
                <c:pt idx="2470">
                  <c:v>My Life in Ruins </c:v>
                </c:pt>
                <c:pt idx="2471">
                  <c:v>My Life Without Me </c:v>
                </c:pt>
                <c:pt idx="2472">
                  <c:v>My Lucky Star </c:v>
                </c:pt>
                <c:pt idx="2473">
                  <c:v>My Name Is Bruce </c:v>
                </c:pt>
                <c:pt idx="2474">
                  <c:v>My Name Is Khan </c:v>
                </c:pt>
                <c:pt idx="2475">
                  <c:v>My Own Private Idaho </c:v>
                </c:pt>
                <c:pt idx="2476">
                  <c:v>My Sister's Keeper </c:v>
                </c:pt>
                <c:pt idx="2477">
                  <c:v>My Soul to Take </c:v>
                </c:pt>
                <c:pt idx="2478">
                  <c:v>My Stepmother Is an Alien </c:v>
                </c:pt>
                <c:pt idx="2479">
                  <c:v>My Summer of Love </c:v>
                </c:pt>
                <c:pt idx="2480">
                  <c:v>My Super Ex-Girlfriend </c:v>
                </c:pt>
                <c:pt idx="2481">
                  <c:v>My Week with Marilyn </c:v>
                </c:pt>
                <c:pt idx="2482">
                  <c:v>Mystery Men </c:v>
                </c:pt>
                <c:pt idx="2483">
                  <c:v>Mystery, Alaska </c:v>
                </c:pt>
                <c:pt idx="2484">
                  <c:v>Mystic Pizza </c:v>
                </c:pt>
                <c:pt idx="2485">
                  <c:v>Mystic River </c:v>
                </c:pt>
                <c:pt idx="2486">
                  <c:v>Nacho Libre </c:v>
                </c:pt>
                <c:pt idx="2487">
                  <c:v>Naked Gun 33 1/3: The Final Insult </c:v>
                </c:pt>
                <c:pt idx="2488">
                  <c:v>Namastey London </c:v>
                </c:pt>
                <c:pt idx="2489">
                  <c:v>Nancy Drew </c:v>
                </c:pt>
                <c:pt idx="2490">
                  <c:v>Nanny McPhee Returns </c:v>
                </c:pt>
                <c:pt idx="2491">
                  <c:v>Nanny McPhee </c:v>
                </c:pt>
                <c:pt idx="2492">
                  <c:v>Napoleon Dynamite </c:v>
                </c:pt>
                <c:pt idx="2493">
                  <c:v>Narc </c:v>
                </c:pt>
                <c:pt idx="2494">
                  <c:v>National Lampoon's Vacation </c:v>
                </c:pt>
                <c:pt idx="2495">
                  <c:v>National Treasure </c:v>
                </c:pt>
                <c:pt idx="2496">
                  <c:v>Naturally Native </c:v>
                </c:pt>
                <c:pt idx="2497">
                  <c:v>Navy Seals vs. Zombies </c:v>
                </c:pt>
                <c:pt idx="2498">
                  <c:v>Neal 'N' Nikki </c:v>
                </c:pt>
                <c:pt idx="2499">
                  <c:v>Nebraska </c:v>
                </c:pt>
                <c:pt idx="2500">
                  <c:v>Need for Speed </c:v>
                </c:pt>
                <c:pt idx="2501">
                  <c:v>Neighbors 2: Sorority Rising </c:v>
                </c:pt>
                <c:pt idx="2502">
                  <c:v>Neighbors </c:v>
                </c:pt>
                <c:pt idx="2503">
                  <c:v>Nerve </c:v>
                </c:pt>
                <c:pt idx="2504">
                  <c:v>Network </c:v>
                </c:pt>
                <c:pt idx="2505">
                  <c:v>Never Again </c:v>
                </c:pt>
                <c:pt idx="2506">
                  <c:v>Never Back Down 2: The Beatdown </c:v>
                </c:pt>
                <c:pt idx="2507">
                  <c:v>Never Back Down </c:v>
                </c:pt>
                <c:pt idx="2508">
                  <c:v>Never Let Me Go </c:v>
                </c:pt>
                <c:pt idx="2509">
                  <c:v>Never Say Never Again </c:v>
                </c:pt>
                <c:pt idx="2510">
                  <c:v>New in Town </c:v>
                </c:pt>
                <c:pt idx="2511">
                  <c:v>New Nightmare </c:v>
                </c:pt>
                <c:pt idx="2512">
                  <c:v>New Year's Eve </c:v>
                </c:pt>
                <c:pt idx="2513">
                  <c:v>New York Minute </c:v>
                </c:pt>
                <c:pt idx="2514">
                  <c:v>New York Stories </c:v>
                </c:pt>
                <c:pt idx="2515">
                  <c:v>New York, New York </c:v>
                </c:pt>
                <c:pt idx="2516">
                  <c:v>Newlyweds </c:v>
                </c:pt>
                <c:pt idx="2517">
                  <c:v>Next Day Air </c:v>
                </c:pt>
                <c:pt idx="2518">
                  <c:v>Next Friday </c:v>
                </c:pt>
                <c:pt idx="2519">
                  <c:v>Next Stop Wonderland </c:v>
                </c:pt>
                <c:pt idx="2520">
                  <c:v>Niagara </c:v>
                </c:pt>
                <c:pt idx="2521">
                  <c:v>Nicholas Nickleby </c:v>
                </c:pt>
                <c:pt idx="2522">
                  <c:v>Nick and Norah's Infinite Playlist </c:v>
                </c:pt>
                <c:pt idx="2523">
                  <c:v>Night at the Museum </c:v>
                </c:pt>
                <c:pt idx="2524">
                  <c:v>Night at the Museum: Battle of the Smithsonian </c:v>
                </c:pt>
                <c:pt idx="2525">
                  <c:v>Night at the Museum: Secret of the Tomb </c:v>
                </c:pt>
                <c:pt idx="2526">
                  <c:v>Night of the Living Dead </c:v>
                </c:pt>
                <c:pt idx="2527">
                  <c:v>Night Watch </c:v>
                </c:pt>
                <c:pt idx="2528">
                  <c:v>Nightcrawler </c:v>
                </c:pt>
                <c:pt idx="2529">
                  <c:v>Nighthawks </c:v>
                </c:pt>
                <c:pt idx="2530">
                  <c:v>Nikita </c:v>
                </c:pt>
                <c:pt idx="2531">
                  <c:v>Nim's Island </c:v>
                </c:pt>
                <c:pt idx="2532">
                  <c:v>Nine Dead </c:v>
                </c:pt>
                <c:pt idx="2533">
                  <c:v>Nine Queens </c:v>
                </c:pt>
                <c:pt idx="2534">
                  <c:v>Nine </c:v>
                </c:pt>
                <c:pt idx="2535">
                  <c:v>Ninja Assassin </c:v>
                </c:pt>
                <c:pt idx="2536">
                  <c:v>Nixon </c:v>
                </c:pt>
                <c:pt idx="2537">
                  <c:v>No Country for Old Men </c:v>
                </c:pt>
                <c:pt idx="2538">
                  <c:v>No End in Sight </c:v>
                </c:pt>
                <c:pt idx="2539">
                  <c:v>No Escape </c:v>
                </c:pt>
                <c:pt idx="2540">
                  <c:v>No Good Deed </c:v>
                </c:pt>
                <c:pt idx="2541">
                  <c:v>No Man's Land: The Rise of Reeker </c:v>
                </c:pt>
                <c:pt idx="2542">
                  <c:v>No Reservations </c:v>
                </c:pt>
                <c:pt idx="2543">
                  <c:v>No Strings Attached </c:v>
                </c:pt>
                <c:pt idx="2544">
                  <c:v>No Vacancy </c:v>
                </c:pt>
                <c:pt idx="2545">
                  <c:v>Noah </c:v>
                </c:pt>
                <c:pt idx="2546">
                  <c:v>Nomad: The Warrior </c:v>
                </c:pt>
                <c:pt idx="2547">
                  <c:v>Non-Stop </c:v>
                </c:pt>
                <c:pt idx="2548">
                  <c:v>North Country </c:v>
                </c:pt>
                <c:pt idx="2549">
                  <c:v>Northfork </c:v>
                </c:pt>
                <c:pt idx="2550">
                  <c:v>Not Another Teen Movie </c:v>
                </c:pt>
                <c:pt idx="2551">
                  <c:v>Not Cool </c:v>
                </c:pt>
                <c:pt idx="2552">
                  <c:v>Not Easily Broken </c:v>
                </c:pt>
                <c:pt idx="2553">
                  <c:v>Notes on a Scandal </c:v>
                </c:pt>
                <c:pt idx="2554">
                  <c:v>Nothing But a Man </c:v>
                </c:pt>
                <c:pt idx="2555">
                  <c:v>Nothing to Lose </c:v>
                </c:pt>
                <c:pt idx="2556">
                  <c:v>Nothing </c:v>
                </c:pt>
                <c:pt idx="2557">
                  <c:v>Notting Hill </c:v>
                </c:pt>
                <c:pt idx="2558">
                  <c:v>November </c:v>
                </c:pt>
                <c:pt idx="2559">
                  <c:v>Novocaine </c:v>
                </c:pt>
                <c:pt idx="2560">
                  <c:v>Now Is Good </c:v>
                </c:pt>
                <c:pt idx="2561">
                  <c:v>Now You See Me 2 </c:v>
                </c:pt>
                <c:pt idx="2562">
                  <c:v>Now You See Me </c:v>
                </c:pt>
                <c:pt idx="2563">
                  <c:v>Nowhere Boy </c:v>
                </c:pt>
                <c:pt idx="2564">
                  <c:v>Nowhere in Africa </c:v>
                </c:pt>
                <c:pt idx="2565">
                  <c:v>Nowhere to Run </c:v>
                </c:pt>
                <c:pt idx="2566">
                  <c:v>N-Secure </c:v>
                </c:pt>
                <c:pt idx="2567">
                  <c:v>Nurse 3D </c:v>
                </c:pt>
                <c:pt idx="2568">
                  <c:v>Nurse Betty </c:v>
                </c:pt>
                <c:pt idx="2569">
                  <c:v>Nutty Professor II: The Klumps </c:v>
                </c:pt>
                <c:pt idx="2570">
                  <c:v>O Brother, Where Art Thou? </c:v>
                </c:pt>
                <c:pt idx="2571">
                  <c:v>O </c:v>
                </c:pt>
                <c:pt idx="2572">
                  <c:v>Obitaemyy ostrov </c:v>
                </c:pt>
                <c:pt idx="2573">
                  <c:v>Oblivion </c:v>
                </c:pt>
                <c:pt idx="2574">
                  <c:v>Observe and Report </c:v>
                </c:pt>
                <c:pt idx="2575">
                  <c:v>Obvious Child </c:v>
                </c:pt>
                <c:pt idx="2576">
                  <c:v>Ocean's Eleven </c:v>
                </c:pt>
                <c:pt idx="2577">
                  <c:v>Ocean's Thirteen </c:v>
                </c:pt>
                <c:pt idx="2578">
                  <c:v>Ocean's Twelve </c:v>
                </c:pt>
                <c:pt idx="2579">
                  <c:v>Oceans </c:v>
                </c:pt>
                <c:pt idx="2580">
                  <c:v>October Baby </c:v>
                </c:pt>
                <c:pt idx="2581">
                  <c:v>Octopussy </c:v>
                </c:pt>
                <c:pt idx="2582">
                  <c:v>Oculus </c:v>
                </c:pt>
                <c:pt idx="2583">
                  <c:v>Of Gods and Men </c:v>
                </c:pt>
                <c:pt idx="2584">
                  <c:v>Of Horses and Men </c:v>
                </c:pt>
                <c:pt idx="2585">
                  <c:v>Office Space </c:v>
                </c:pt>
                <c:pt idx="2586">
                  <c:v>Old Dogs </c:v>
                </c:pt>
                <c:pt idx="2587">
                  <c:v>Old Joy </c:v>
                </c:pt>
                <c:pt idx="2588">
                  <c:v>Old School </c:v>
                </c:pt>
                <c:pt idx="2589">
                  <c:v>Oldboy </c:v>
                </c:pt>
                <c:pt idx="2590">
                  <c:v>Oliver Twist </c:v>
                </c:pt>
                <c:pt idx="2591">
                  <c:v>Oliver! </c:v>
                </c:pt>
                <c:pt idx="2592">
                  <c:v>Olympus Has Fallen </c:v>
                </c:pt>
                <c:pt idx="2593">
                  <c:v>On Deadly Ground </c:v>
                </c:pt>
                <c:pt idx="2594">
                  <c:v>On Her Majesty's Secret Service </c:v>
                </c:pt>
                <c:pt idx="2595">
                  <c:v>On the Downlow </c:v>
                </c:pt>
                <c:pt idx="2596">
                  <c:v>On the Line </c:v>
                </c:pt>
                <c:pt idx="2597">
                  <c:v>On the Outs </c:v>
                </c:pt>
                <c:pt idx="2598">
                  <c:v>On the Road </c:v>
                </c:pt>
                <c:pt idx="2599">
                  <c:v>On the Waterfront </c:v>
                </c:pt>
                <c:pt idx="2600">
                  <c:v>Once in a Lifetime: The Extraordinary Story of the New York Cosmos </c:v>
                </c:pt>
                <c:pt idx="2601">
                  <c:v>Once Upon a Time in America </c:v>
                </c:pt>
                <c:pt idx="2602">
                  <c:v>Once Upon a Time in Mexico </c:v>
                </c:pt>
                <c:pt idx="2603">
                  <c:v>Once Upon a Time in Queens </c:v>
                </c:pt>
                <c:pt idx="2604">
                  <c:v>Once Upon a Time in the West </c:v>
                </c:pt>
                <c:pt idx="2605">
                  <c:v>Once </c:v>
                </c:pt>
                <c:pt idx="2606">
                  <c:v>Ondine </c:v>
                </c:pt>
                <c:pt idx="2607">
                  <c:v>One Day </c:v>
                </c:pt>
                <c:pt idx="2608">
                  <c:v>One Direction: This Is Us </c:v>
                </c:pt>
                <c:pt idx="2609">
                  <c:v>One Flew Over the Cuckoo's Nest </c:v>
                </c:pt>
                <c:pt idx="2610">
                  <c:v>One for the Money </c:v>
                </c:pt>
                <c:pt idx="2611">
                  <c:v>One Hour Photo </c:v>
                </c:pt>
                <c:pt idx="2612">
                  <c:v>One Man's Hero </c:v>
                </c:pt>
                <c:pt idx="2613">
                  <c:v>One Missed Call </c:v>
                </c:pt>
                <c:pt idx="2614">
                  <c:v>One Night with the King </c:v>
                </c:pt>
                <c:pt idx="2615">
                  <c:v>One to Another </c:v>
                </c:pt>
                <c:pt idx="2616">
                  <c:v>One True Thing </c:v>
                </c:pt>
                <c:pt idx="2617">
                  <c:v>Ong-bak 2 </c:v>
                </c:pt>
                <c:pt idx="2618">
                  <c:v>Only God Forgives </c:v>
                </c:pt>
                <c:pt idx="2619">
                  <c:v>Only the Strong </c:v>
                </c:pt>
                <c:pt idx="2620">
                  <c:v>Opal Dream </c:v>
                </c:pt>
                <c:pt idx="2621">
                  <c:v>Open Range </c:v>
                </c:pt>
                <c:pt idx="2622">
                  <c:v>Open Road </c:v>
                </c:pt>
                <c:pt idx="2623">
                  <c:v>Open Season </c:v>
                </c:pt>
                <c:pt idx="2624">
                  <c:v>Open Secret </c:v>
                </c:pt>
                <c:pt idx="2625">
                  <c:v>Open Water </c:v>
                </c:pt>
                <c:pt idx="2626">
                  <c:v>Operation Chromite </c:v>
                </c:pt>
                <c:pt idx="2627">
                  <c:v>Ordet </c:v>
                </c:pt>
                <c:pt idx="2628">
                  <c:v>Ordinary People </c:v>
                </c:pt>
                <c:pt idx="2629">
                  <c:v>Orgazmo </c:v>
                </c:pt>
                <c:pt idx="2630">
                  <c:v>Original Sin </c:v>
                </c:pt>
                <c:pt idx="2631">
                  <c:v>Orphan </c:v>
                </c:pt>
                <c:pt idx="2632">
                  <c:v>Osama </c:v>
                </c:pt>
                <c:pt idx="2633">
                  <c:v>Oscar and Lucinda </c:v>
                </c:pt>
                <c:pt idx="2634">
                  <c:v>Osmosis Jones </c:v>
                </c:pt>
                <c:pt idx="2635">
                  <c:v>Ouija </c:v>
                </c:pt>
                <c:pt idx="2636">
                  <c:v>Our Brand Is Crisis </c:v>
                </c:pt>
                <c:pt idx="2637">
                  <c:v>Our Family Wedding </c:v>
                </c:pt>
                <c:pt idx="2638">
                  <c:v>Our Idiot Brother </c:v>
                </c:pt>
                <c:pt idx="2639">
                  <c:v>Our Kind of Traitor </c:v>
                </c:pt>
                <c:pt idx="2640">
                  <c:v>Out Cold </c:v>
                </c:pt>
                <c:pt idx="2641">
                  <c:v>Out of Africa </c:v>
                </c:pt>
                <c:pt idx="2642">
                  <c:v>Out of Inferno </c:v>
                </c:pt>
                <c:pt idx="2643">
                  <c:v>Out of Sight </c:v>
                </c:pt>
                <c:pt idx="2644">
                  <c:v>Out of the Blue </c:v>
                </c:pt>
                <c:pt idx="2645">
                  <c:v>Out of the Dark </c:v>
                </c:pt>
                <c:pt idx="2646">
                  <c:v>Out of the Furnace </c:v>
                </c:pt>
                <c:pt idx="2647">
                  <c:v>Out of Time </c:v>
                </c:pt>
                <c:pt idx="2648">
                  <c:v>Outbreak </c:v>
                </c:pt>
                <c:pt idx="2649">
                  <c:v>Outlander </c:v>
                </c:pt>
                <c:pt idx="2650">
                  <c:v>Outside Bet </c:v>
                </c:pt>
                <c:pt idx="2651">
                  <c:v>Outside Providence </c:v>
                </c:pt>
                <c:pt idx="2652">
                  <c:v>Over Her Dead Body </c:v>
                </c:pt>
                <c:pt idx="2653">
                  <c:v>Over the Hedge </c:v>
                </c:pt>
                <c:pt idx="2654">
                  <c:v>Over the Hill to the Poorhouse </c:v>
                </c:pt>
                <c:pt idx="2655">
                  <c:v>Owning Mahowny </c:v>
                </c:pt>
                <c:pt idx="2656">
                  <c:v>Oz the Great and Powerful </c:v>
                </c:pt>
                <c:pt idx="2657">
                  <c:v>P.S. I Love You </c:v>
                </c:pt>
                <c:pt idx="2658">
                  <c:v>Paa </c:v>
                </c:pt>
                <c:pt idx="2659">
                  <c:v>Pacific Rim </c:v>
                </c:pt>
                <c:pt idx="2660">
                  <c:v>Paddington </c:v>
                </c:pt>
                <c:pt idx="2661">
                  <c:v>Pain &amp; Gain </c:v>
                </c:pt>
                <c:pt idx="2662">
                  <c:v>Paint Your Wagon </c:v>
                </c:pt>
                <c:pt idx="2663">
                  <c:v>Pale Rider </c:v>
                </c:pt>
                <c:pt idx="2664">
                  <c:v>Palo Alto </c:v>
                </c:pt>
                <c:pt idx="2665">
                  <c:v>Pan </c:v>
                </c:pt>
                <c:pt idx="2666">
                  <c:v>Pandaemonium </c:v>
                </c:pt>
                <c:pt idx="2667">
                  <c:v>Pandora's Box </c:v>
                </c:pt>
                <c:pt idx="2668">
                  <c:v>Pandorum </c:v>
                </c:pt>
                <c:pt idx="2669">
                  <c:v>Panic Room </c:v>
                </c:pt>
                <c:pt idx="2670">
                  <c:v>Pan's Labyrinth </c:v>
                </c:pt>
                <c:pt idx="2671">
                  <c:v>Paparazzi </c:v>
                </c:pt>
                <c:pt idx="2672">
                  <c:v>Paper Towns </c:v>
                </c:pt>
                <c:pt idx="2673">
                  <c:v>Paranormal Activity 2 </c:v>
                </c:pt>
                <c:pt idx="2674">
                  <c:v>Paranormal Activity 3 </c:v>
                </c:pt>
                <c:pt idx="2675">
                  <c:v>Paranormal Activity 4 </c:v>
                </c:pt>
                <c:pt idx="2676">
                  <c:v>Paranormal Activity </c:v>
                </c:pt>
                <c:pt idx="2677">
                  <c:v>Paranormal Activity: The Marked Ones </c:v>
                </c:pt>
                <c:pt idx="2678">
                  <c:v>ParaNorman </c:v>
                </c:pt>
                <c:pt idx="2679">
                  <c:v>Parental Guidance </c:v>
                </c:pt>
                <c:pt idx="2680">
                  <c:v>Paris, je t'aime </c:v>
                </c:pt>
                <c:pt idx="2681">
                  <c:v>Parker </c:v>
                </c:pt>
                <c:pt idx="2682">
                  <c:v>Partition </c:v>
                </c:pt>
                <c:pt idx="2683">
                  <c:v>Party Monster </c:v>
                </c:pt>
                <c:pt idx="2684">
                  <c:v>Passchendaele </c:v>
                </c:pt>
                <c:pt idx="2685">
                  <c:v>Pat Garrett &amp; Billy the Kid </c:v>
                </c:pt>
                <c:pt idx="2686">
                  <c:v>Patch Adams </c:v>
                </c:pt>
                <c:pt idx="2687">
                  <c:v>Pathology </c:v>
                </c:pt>
                <c:pt idx="2688">
                  <c:v>Patriot Games </c:v>
                </c:pt>
                <c:pt idx="2689">
                  <c:v>Patton </c:v>
                </c:pt>
                <c:pt idx="2690">
                  <c:v>Paul Blart: Mall Cop 2 </c:v>
                </c:pt>
                <c:pt idx="2691">
                  <c:v>Paul Blart: Mall Cop </c:v>
                </c:pt>
                <c:pt idx="2692">
                  <c:v>Paul </c:v>
                </c:pt>
                <c:pt idx="2693">
                  <c:v>Pay It Forward </c:v>
                </c:pt>
                <c:pt idx="2694">
                  <c:v>Payback </c:v>
                </c:pt>
                <c:pt idx="2695">
                  <c:v>Paycheck </c:v>
                </c:pt>
                <c:pt idx="2696">
                  <c:v>PCU </c:v>
                </c:pt>
                <c:pt idx="2697">
                  <c:v>Peace, Propaganda &amp; the Promised Land </c:v>
                </c:pt>
                <c:pt idx="2698">
                  <c:v>Peaceful Warrior </c:v>
                </c:pt>
                <c:pt idx="2699">
                  <c:v>Pearl Harbor </c:v>
                </c:pt>
                <c:pt idx="2700">
                  <c:v>Peeples </c:v>
                </c:pt>
                <c:pt idx="2701">
                  <c:v>Peggy Sue Got Married </c:v>
                </c:pt>
                <c:pt idx="2702">
                  <c:v>Penguins of Madagascar </c:v>
                </c:pt>
                <c:pt idx="2703">
                  <c:v>Penitentiary </c:v>
                </c:pt>
                <c:pt idx="2704">
                  <c:v>People I Know </c:v>
                </c:pt>
                <c:pt idx="2705">
                  <c:v>Perception </c:v>
                </c:pt>
                <c:pt idx="2706">
                  <c:v>Percy Jackson &amp; the Olympians: The Lightning Thief </c:v>
                </c:pt>
                <c:pt idx="2707">
                  <c:v>Percy Jackson: Sea of Monsters </c:v>
                </c:pt>
                <c:pt idx="2708">
                  <c:v>Perfect Cowboy </c:v>
                </c:pt>
                <c:pt idx="2709">
                  <c:v>Perfume: The Story of a Murderer </c:v>
                </c:pt>
                <c:pt idx="2710">
                  <c:v>Perrier's Bounty </c:v>
                </c:pt>
                <c:pt idx="2711">
                  <c:v>Persepolis </c:v>
                </c:pt>
                <c:pt idx="2712">
                  <c:v>Pet Sematary </c:v>
                </c:pt>
                <c:pt idx="2713">
                  <c:v>Pete's Dragon </c:v>
                </c:pt>
                <c:pt idx="2714">
                  <c:v>Phantasm II </c:v>
                </c:pt>
                <c:pt idx="2715">
                  <c:v>Phat Girlz </c:v>
                </c:pt>
                <c:pt idx="2716">
                  <c:v>Phenomenon </c:v>
                </c:pt>
                <c:pt idx="2717">
                  <c:v>Philadelphia </c:v>
                </c:pt>
                <c:pt idx="2718">
                  <c:v>Philomena </c:v>
                </c:pt>
                <c:pt idx="2719">
                  <c:v>Phone Booth </c:v>
                </c:pt>
                <c:pt idx="2720">
                  <c:v>Pi </c:v>
                </c:pt>
                <c:pt idx="2721">
                  <c:v>Pieces of April </c:v>
                </c:pt>
                <c:pt idx="2722">
                  <c:v>Pierrot le Fou </c:v>
                </c:pt>
                <c:pt idx="2723">
                  <c:v>Pineapple Express </c:v>
                </c:pt>
                <c:pt idx="2724">
                  <c:v>Pink Flamingos </c:v>
                </c:pt>
                <c:pt idx="2725">
                  <c:v>Pink Narcissus </c:v>
                </c:pt>
                <c:pt idx="2726">
                  <c:v>Pink Ribbons, Inc. </c:v>
                </c:pt>
                <c:pt idx="2727">
                  <c:v>Pinocchio </c:v>
                </c:pt>
                <c:pt idx="2728">
                  <c:v>Piranha 3D </c:v>
                </c:pt>
                <c:pt idx="2729">
                  <c:v>Pirate Radio </c:v>
                </c:pt>
                <c:pt idx="2730">
                  <c:v>Pirates of the Caribbean: At World's End </c:v>
                </c:pt>
                <c:pt idx="2731">
                  <c:v>Pirates of the Caribbean: Dead Man's Chest </c:v>
                </c:pt>
                <c:pt idx="2732">
                  <c:v>Pirates of the Caribbean: On Stranger Tides </c:v>
                </c:pt>
                <c:pt idx="2733">
                  <c:v>Pirates of the Caribbean: The Curse of the Black Pearl </c:v>
                </c:pt>
                <c:pt idx="2734">
                  <c:v>Pitch Black </c:v>
                </c:pt>
                <c:pt idx="2735">
                  <c:v>Pitch Perfect 2 </c:v>
                </c:pt>
                <c:pt idx="2736">
                  <c:v>Pitch Perfect </c:v>
                </c:pt>
                <c:pt idx="2737">
                  <c:v>Pixels </c:v>
                </c:pt>
                <c:pt idx="2738">
                  <c:v>Planet 51 </c:v>
                </c:pt>
                <c:pt idx="2739">
                  <c:v>Planet of the Apes </c:v>
                </c:pt>
                <c:pt idx="2740">
                  <c:v>Plastic </c:v>
                </c:pt>
                <c:pt idx="2741">
                  <c:v>Platoon </c:v>
                </c:pt>
                <c:pt idx="2742">
                  <c:v>Play It to the Bone </c:v>
                </c:pt>
                <c:pt idx="2743">
                  <c:v>Playing for Keeps </c:v>
                </c:pt>
                <c:pt idx="2744">
                  <c:v>Please Give </c:v>
                </c:pt>
                <c:pt idx="2745">
                  <c:v>Plush </c:v>
                </c:pt>
                <c:pt idx="2746">
                  <c:v>Pocahontas </c:v>
                </c:pt>
                <c:pt idx="2747">
                  <c:v>Pocketful of Miracles </c:v>
                </c:pt>
                <c:pt idx="2748">
                  <c:v>Poetic Justice </c:v>
                </c:pt>
                <c:pt idx="2749">
                  <c:v>Point Blank </c:v>
                </c:pt>
                <c:pt idx="2750">
                  <c:v>Point Break </c:v>
                </c:pt>
                <c:pt idx="2751">
                  <c:v>Pokémon 3: The Movie </c:v>
                </c:pt>
                <c:pt idx="2752">
                  <c:v>Police Academy </c:v>
                </c:pt>
                <c:pt idx="2753">
                  <c:v>Police Academy: Mission to Moscow </c:v>
                </c:pt>
                <c:pt idx="2754">
                  <c:v>Polisse </c:v>
                </c:pt>
                <c:pt idx="2755">
                  <c:v>Pollock </c:v>
                </c:pt>
                <c:pt idx="2756">
                  <c:v>Poltergeist III </c:v>
                </c:pt>
                <c:pt idx="2757">
                  <c:v>Poltergeist </c:v>
                </c:pt>
                <c:pt idx="2758">
                  <c:v>Pompeii </c:v>
                </c:pt>
                <c:pt idx="2759">
                  <c:v>Pontypool </c:v>
                </c:pt>
                <c:pt idx="2760">
                  <c:v>Ponyo </c:v>
                </c:pt>
                <c:pt idx="2761">
                  <c:v>Pooh's Heffalump Movie </c:v>
                </c:pt>
                <c:pt idx="2762">
                  <c:v>Poolhall Junkies </c:v>
                </c:pt>
                <c:pt idx="2763">
                  <c:v>Pootie Tang </c:v>
                </c:pt>
                <c:pt idx="2764">
                  <c:v>Porky's </c:v>
                </c:pt>
                <c:pt idx="2765">
                  <c:v>Poseidon </c:v>
                </c:pt>
                <c:pt idx="2766">
                  <c:v>Post Grad </c:v>
                </c:pt>
                <c:pt idx="2767">
                  <c:v>Poultrygeist: Night of the Chicken Dead </c:v>
                </c:pt>
                <c:pt idx="2768">
                  <c:v>Pound of Flesh </c:v>
                </c:pt>
                <c:pt idx="2769">
                  <c:v>Practical Magic </c:v>
                </c:pt>
                <c:pt idx="2770">
                  <c:v>Preacher </c:v>
                </c:pt>
                <c:pt idx="2771">
                  <c:v>Precious </c:v>
                </c:pt>
                <c:pt idx="2772">
                  <c:v>Predator 2 </c:v>
                </c:pt>
                <c:pt idx="2773">
                  <c:v>Predator </c:v>
                </c:pt>
                <c:pt idx="2774">
                  <c:v>Predators </c:v>
                </c:pt>
                <c:pt idx="2775">
                  <c:v>Prefontaine </c:v>
                </c:pt>
                <c:pt idx="2776">
                  <c:v>Premium Rush </c:v>
                </c:pt>
                <c:pt idx="2777">
                  <c:v>Premonition </c:v>
                </c:pt>
                <c:pt idx="2778">
                  <c:v>Pretty Woman </c:v>
                </c:pt>
                <c:pt idx="2779">
                  <c:v>Pride &amp; Prejudice </c:v>
                </c:pt>
                <c:pt idx="2780">
                  <c:v>Pride and Glory </c:v>
                </c:pt>
                <c:pt idx="2781">
                  <c:v>Pride and Prejudice and Zombies </c:v>
                </c:pt>
                <c:pt idx="2782">
                  <c:v>Priest </c:v>
                </c:pt>
                <c:pt idx="2783">
                  <c:v>Primary Colors </c:v>
                </c:pt>
                <c:pt idx="2784">
                  <c:v>Primer </c:v>
                </c:pt>
                <c:pt idx="2785">
                  <c:v>Prince of Persia: The Sands of Time </c:v>
                </c:pt>
                <c:pt idx="2786">
                  <c:v>Princess Kaiulani </c:v>
                </c:pt>
                <c:pt idx="2787">
                  <c:v>Princess Mononoke </c:v>
                </c:pt>
                <c:pt idx="2788">
                  <c:v>Prison </c:v>
                </c:pt>
                <c:pt idx="2789">
                  <c:v>Prisoners </c:v>
                </c:pt>
                <c:pt idx="2790">
                  <c:v>Private Benjamin </c:v>
                </c:pt>
                <c:pt idx="2791">
                  <c:v>Project Almanac </c:v>
                </c:pt>
                <c:pt idx="2792">
                  <c:v>Project X </c:v>
                </c:pt>
                <c:pt idx="2793">
                  <c:v>Prom Night </c:v>
                </c:pt>
                <c:pt idx="2794">
                  <c:v>Prom </c:v>
                </c:pt>
                <c:pt idx="2795">
                  <c:v>Prometheus </c:v>
                </c:pt>
                <c:pt idx="2796">
                  <c:v>Promised Land </c:v>
                </c:pt>
                <c:pt idx="2797">
                  <c:v>Proof of Life </c:v>
                </c:pt>
                <c:pt idx="2798">
                  <c:v>Prophecy </c:v>
                </c:pt>
                <c:pt idx="2799">
                  <c:v>Proud </c:v>
                </c:pt>
                <c:pt idx="2800">
                  <c:v>Psych </c:v>
                </c:pt>
                <c:pt idx="2801">
                  <c:v>Psycho Beach Party </c:v>
                </c:pt>
                <c:pt idx="2802">
                  <c:v>Psycho </c:v>
                </c:pt>
                <c:pt idx="2803">
                  <c:v>Public Enemies </c:v>
                </c:pt>
                <c:pt idx="2804">
                  <c:v>Pulp Fiction </c:v>
                </c:pt>
                <c:pt idx="2805">
                  <c:v>Pulse </c:v>
                </c:pt>
                <c:pt idx="2806">
                  <c:v>Punch-Drunk Love </c:v>
                </c:pt>
                <c:pt idx="2807">
                  <c:v>Punisher: War Zone </c:v>
                </c:pt>
                <c:pt idx="2808">
                  <c:v>Purple Violets </c:v>
                </c:pt>
                <c:pt idx="2809">
                  <c:v>Pushing Tin </c:v>
                </c:pt>
                <c:pt idx="2810">
                  <c:v>Puss in Boots </c:v>
                </c:pt>
                <c:pt idx="2811">
                  <c:v>Q </c:v>
                </c:pt>
                <c:pt idx="2812">
                  <c:v>Quantum of Solace </c:v>
                </c:pt>
                <c:pt idx="2813">
                  <c:v>Quarantine </c:v>
                </c:pt>
                <c:pt idx="2814">
                  <c:v>Quartet </c:v>
                </c:pt>
                <c:pt idx="2815">
                  <c:v>Queen Crab </c:v>
                </c:pt>
                <c:pt idx="2816">
                  <c:v>Queen of the Damned </c:v>
                </c:pt>
                <c:pt idx="2817">
                  <c:v>Queen of the Mountains </c:v>
                </c:pt>
                <c:pt idx="2818">
                  <c:v>Quest for Fire </c:v>
                </c:pt>
                <c:pt idx="2819">
                  <c:v>Quigley Down Under </c:v>
                </c:pt>
                <c:pt idx="2820">
                  <c:v>Quills </c:v>
                </c:pt>
                <c:pt idx="2821">
                  <c:v>Quinceañera </c:v>
                </c:pt>
                <c:pt idx="2822">
                  <c:v>Quo Vadis </c:v>
                </c:pt>
                <c:pt idx="2823">
                  <c:v>R.I.P.D. </c:v>
                </c:pt>
                <c:pt idx="2824">
                  <c:v>R.L. Stine's Monsterville: The Cabinet of Souls </c:v>
                </c:pt>
                <c:pt idx="2825">
                  <c:v>R100 </c:v>
                </c:pt>
                <c:pt idx="2826">
                  <c:v>Rabbit Hole </c:v>
                </c:pt>
                <c:pt idx="2827">
                  <c:v>Rabbit-Proof Fence </c:v>
                </c:pt>
                <c:pt idx="2828">
                  <c:v>Race to Witch Mountain </c:v>
                </c:pt>
                <c:pt idx="2829">
                  <c:v>Race </c:v>
                </c:pt>
                <c:pt idx="2830">
                  <c:v>Rachel Getting Married </c:v>
                </c:pt>
                <c:pt idx="2831">
                  <c:v>Racing Stripes </c:v>
                </c:pt>
                <c:pt idx="2832">
                  <c:v>Radio Days </c:v>
                </c:pt>
                <c:pt idx="2833">
                  <c:v>Radio Flyer </c:v>
                </c:pt>
                <c:pt idx="2834">
                  <c:v>Radio </c:v>
                </c:pt>
                <c:pt idx="2835">
                  <c:v>Raging Bull </c:v>
                </c:pt>
                <c:pt idx="2836">
                  <c:v>Raiders of the Lost Ark </c:v>
                </c:pt>
                <c:pt idx="2837">
                  <c:v>Rain Man </c:v>
                </c:pt>
                <c:pt idx="2838">
                  <c:v>Raise the Titanic </c:v>
                </c:pt>
                <c:pt idx="2839">
                  <c:v>Raise Your Voice </c:v>
                </c:pt>
                <c:pt idx="2840">
                  <c:v>Raising Cain </c:v>
                </c:pt>
                <c:pt idx="2841">
                  <c:v>Raising Helen </c:v>
                </c:pt>
                <c:pt idx="2842">
                  <c:v>Raising Victor Vargas </c:v>
                </c:pt>
                <c:pt idx="2843">
                  <c:v>Ramanujan </c:v>
                </c:pt>
                <c:pt idx="2844">
                  <c:v>Rambo III </c:v>
                </c:pt>
                <c:pt idx="2845">
                  <c:v>Rambo: First Blood Part II </c:v>
                </c:pt>
                <c:pt idx="2846">
                  <c:v>Ramona and Beezus </c:v>
                </c:pt>
                <c:pt idx="2847">
                  <c:v>Rampage </c:v>
                </c:pt>
                <c:pt idx="2848">
                  <c:v>Random Hearts </c:v>
                </c:pt>
                <c:pt idx="2849">
                  <c:v>Rang De Basanti </c:v>
                </c:pt>
                <c:pt idx="2850">
                  <c:v>Rango </c:v>
                </c:pt>
                <c:pt idx="2851">
                  <c:v>Ransom </c:v>
                </c:pt>
                <c:pt idx="2852">
                  <c:v>Rapa Nui </c:v>
                </c:pt>
                <c:pt idx="2853">
                  <c:v>Rat Race </c:v>
                </c:pt>
                <c:pt idx="2854">
                  <c:v>Ratatouille </c:v>
                </c:pt>
                <c:pt idx="2855">
                  <c:v>Ravenous </c:v>
                </c:pt>
                <c:pt idx="2856">
                  <c:v>Ray </c:v>
                </c:pt>
                <c:pt idx="2857">
                  <c:v>Raymond Did It </c:v>
                </c:pt>
                <c:pt idx="2858">
                  <c:v>Ready to Rumble </c:v>
                </c:pt>
                <c:pt idx="2859">
                  <c:v>Real Steel </c:v>
                </c:pt>
                <c:pt idx="2860">
                  <c:v>Real Women Have Curves </c:v>
                </c:pt>
                <c:pt idx="2861">
                  <c:v>Rebecca </c:v>
                </c:pt>
                <c:pt idx="2862">
                  <c:v>Recess: School's Out </c:v>
                </c:pt>
                <c:pt idx="2863">
                  <c:v>RED 2 </c:v>
                </c:pt>
                <c:pt idx="2864">
                  <c:v>Red Cliff </c:v>
                </c:pt>
                <c:pt idx="2865">
                  <c:v>Red Dawn </c:v>
                </c:pt>
                <c:pt idx="2866">
                  <c:v>Red Dog </c:v>
                </c:pt>
                <c:pt idx="2867">
                  <c:v>Red Dragon </c:v>
                </c:pt>
                <c:pt idx="2868">
                  <c:v>Red Eye </c:v>
                </c:pt>
                <c:pt idx="2869">
                  <c:v>Red Lights </c:v>
                </c:pt>
                <c:pt idx="2870">
                  <c:v>Red Planet </c:v>
                </c:pt>
                <c:pt idx="2871">
                  <c:v>Red Riding Hood </c:v>
                </c:pt>
                <c:pt idx="2872">
                  <c:v>Red Riding: In the Year of Our Lord 1974 </c:v>
                </c:pt>
                <c:pt idx="2873">
                  <c:v>Red River </c:v>
                </c:pt>
                <c:pt idx="2874">
                  <c:v>Red Sky </c:v>
                </c:pt>
                <c:pt idx="2875">
                  <c:v>Red Sonja </c:v>
                </c:pt>
                <c:pt idx="2876">
                  <c:v>Red State </c:v>
                </c:pt>
                <c:pt idx="2877">
                  <c:v>Red Tails </c:v>
                </c:pt>
                <c:pt idx="2878">
                  <c:v>RED </c:v>
                </c:pt>
                <c:pt idx="2879">
                  <c:v>Redacted </c:v>
                </c:pt>
                <c:pt idx="2880">
                  <c:v>Redbelt </c:v>
                </c:pt>
                <c:pt idx="2881">
                  <c:v>Redemption Road </c:v>
                </c:pt>
                <c:pt idx="2882">
                  <c:v>Reds </c:v>
                </c:pt>
                <c:pt idx="2883">
                  <c:v>Regression </c:v>
                </c:pt>
                <c:pt idx="2884">
                  <c:v>Reign of Assassins </c:v>
                </c:pt>
                <c:pt idx="2885">
                  <c:v>Reign of Fire </c:v>
                </c:pt>
                <c:pt idx="2886">
                  <c:v>Reign Over Me </c:v>
                </c:pt>
                <c:pt idx="2887">
                  <c:v>Reindeer Games </c:v>
                </c:pt>
                <c:pt idx="2888">
                  <c:v>Re-Kill </c:v>
                </c:pt>
                <c:pt idx="2889">
                  <c:v>Religulous </c:v>
                </c:pt>
                <c:pt idx="2890">
                  <c:v>Remember Me </c:v>
                </c:pt>
                <c:pt idx="2891">
                  <c:v>Remember Me, My Love </c:v>
                </c:pt>
                <c:pt idx="2892">
                  <c:v>Remember the Titans </c:v>
                </c:pt>
                <c:pt idx="2893">
                  <c:v>Renaissance Man </c:v>
                </c:pt>
                <c:pt idx="2894">
                  <c:v>Renaissance </c:v>
                </c:pt>
                <c:pt idx="2895">
                  <c:v>Rendition </c:v>
                </c:pt>
                <c:pt idx="2896">
                  <c:v>Reno 911!: Miami </c:v>
                </c:pt>
                <c:pt idx="2897">
                  <c:v>Rent </c:v>
                </c:pt>
                <c:pt idx="2898">
                  <c:v>Repo Man </c:v>
                </c:pt>
                <c:pt idx="2899">
                  <c:v>Repo Men </c:v>
                </c:pt>
                <c:pt idx="2900">
                  <c:v>Repo! The Genetic Opera </c:v>
                </c:pt>
                <c:pt idx="2901">
                  <c:v>Requiem for a Dream </c:v>
                </c:pt>
                <c:pt idx="2902">
                  <c:v>Rescue Dawn </c:v>
                </c:pt>
                <c:pt idx="2903">
                  <c:v>Reservoir Dogs </c:v>
                </c:pt>
                <c:pt idx="2904">
                  <c:v>Resident Evil </c:v>
                </c:pt>
                <c:pt idx="2905">
                  <c:v>Resident Evil: Afterlife </c:v>
                </c:pt>
                <c:pt idx="2906">
                  <c:v>Resident Evil: Apocalypse </c:v>
                </c:pt>
                <c:pt idx="2907">
                  <c:v>Resident Evil: Extinction </c:v>
                </c:pt>
                <c:pt idx="2908">
                  <c:v>Resident Evil: Retribution </c:v>
                </c:pt>
                <c:pt idx="2909">
                  <c:v>Restless </c:v>
                </c:pt>
                <c:pt idx="2910">
                  <c:v>Restoration </c:v>
                </c:pt>
                <c:pt idx="2911">
                  <c:v>Resurrecting the Champ </c:v>
                </c:pt>
                <c:pt idx="2912">
                  <c:v>Return of the Living Dead III </c:v>
                </c:pt>
                <c:pt idx="2913">
                  <c:v>Return to Me </c:v>
                </c:pt>
                <c:pt idx="2914">
                  <c:v>Return to Never Land </c:v>
                </c:pt>
                <c:pt idx="2915">
                  <c:v>Return to Oz </c:v>
                </c:pt>
                <c:pt idx="2916">
                  <c:v>Return to the Blue Lagoon </c:v>
                </c:pt>
                <c:pt idx="2917">
                  <c:v>Revolution </c:v>
                </c:pt>
                <c:pt idx="2918">
                  <c:v>Revolutionary Road </c:v>
                </c:pt>
                <c:pt idx="2919">
                  <c:v>Ri¢hie Ri¢h </c:v>
                </c:pt>
                <c:pt idx="2920">
                  <c:v>Richard III </c:v>
                </c:pt>
                <c:pt idx="2921">
                  <c:v>Riddick </c:v>
                </c:pt>
                <c:pt idx="2922">
                  <c:v>Ride Along 2 </c:v>
                </c:pt>
                <c:pt idx="2923">
                  <c:v>Ride Along </c:v>
                </c:pt>
                <c:pt idx="2924">
                  <c:v>Ride with the Devil </c:v>
                </c:pt>
                <c:pt idx="2925">
                  <c:v>Riding Giants </c:v>
                </c:pt>
                <c:pt idx="2926">
                  <c:v>Riding in Cars with Boys </c:v>
                </c:pt>
                <c:pt idx="2927">
                  <c:v>Righteous Kill </c:v>
                </c:pt>
                <c:pt idx="2928">
                  <c:v>Rio 2 </c:v>
                </c:pt>
                <c:pt idx="2929">
                  <c:v>Rio </c:v>
                </c:pt>
                <c:pt idx="2930">
                  <c:v>Ripley's Game </c:v>
                </c:pt>
                <c:pt idx="2931">
                  <c:v>Rise of the Entrepreneur: The Search for a Better Way </c:v>
                </c:pt>
                <c:pt idx="2932">
                  <c:v>Rise of the Guardians </c:v>
                </c:pt>
                <c:pt idx="2933">
                  <c:v>Rise of the Planet of the Apes </c:v>
                </c:pt>
                <c:pt idx="2934">
                  <c:v>Risen </c:v>
                </c:pt>
                <c:pt idx="2935">
                  <c:v>River's Edge </c:v>
                </c:pt>
                <c:pt idx="2936">
                  <c:v>Rize </c:v>
                </c:pt>
                <c:pt idx="2937">
                  <c:v>Road Hard </c:v>
                </c:pt>
                <c:pt idx="2938">
                  <c:v>Road House </c:v>
                </c:pt>
                <c:pt idx="2939">
                  <c:v>Road to Perdition </c:v>
                </c:pt>
                <c:pt idx="2940">
                  <c:v>Road Trip </c:v>
                </c:pt>
                <c:pt idx="2941">
                  <c:v>Roadside Romeo </c:v>
                </c:pt>
                <c:pt idx="2942">
                  <c:v>Roadside </c:v>
                </c:pt>
                <c:pt idx="2943">
                  <c:v>Roar </c:v>
                </c:pt>
                <c:pt idx="2944">
                  <c:v>Rob Roy </c:v>
                </c:pt>
                <c:pt idx="2945">
                  <c:v>Robin and Marian </c:v>
                </c:pt>
                <c:pt idx="2946">
                  <c:v>Robin Hood </c:v>
                </c:pt>
                <c:pt idx="2947">
                  <c:v>Robin Hood: Prince of Thieves </c:v>
                </c:pt>
                <c:pt idx="2948">
                  <c:v>RoboCop 3 </c:v>
                </c:pt>
                <c:pt idx="2949">
                  <c:v>RoboCop </c:v>
                </c:pt>
                <c:pt idx="2950">
                  <c:v>Robot &amp; Frank </c:v>
                </c:pt>
                <c:pt idx="2951">
                  <c:v>Robot Chicken </c:v>
                </c:pt>
                <c:pt idx="2952">
                  <c:v>Robots </c:v>
                </c:pt>
                <c:pt idx="2953">
                  <c:v>Rock of Ages </c:v>
                </c:pt>
                <c:pt idx="2954">
                  <c:v>Rock Star </c:v>
                </c:pt>
                <c:pt idx="2955">
                  <c:v>Rockaway </c:v>
                </c:pt>
                <c:pt idx="2956">
                  <c:v>Rocket Singh: Salesman of the Year </c:v>
                </c:pt>
                <c:pt idx="2957">
                  <c:v>RocknRolla </c:v>
                </c:pt>
                <c:pt idx="2958">
                  <c:v>Rocky Balboa </c:v>
                </c:pt>
                <c:pt idx="2959">
                  <c:v>Rocky </c:v>
                </c:pt>
                <c:pt idx="2960">
                  <c:v>Rodeo Girl </c:v>
                </c:pt>
                <c:pt idx="2961">
                  <c:v>Roger &amp; Me </c:v>
                </c:pt>
                <c:pt idx="2962">
                  <c:v>Rogue </c:v>
                </c:pt>
                <c:pt idx="2963">
                  <c:v>Role Models </c:v>
                </c:pt>
                <c:pt idx="2964">
                  <c:v>Roll Bounce </c:v>
                </c:pt>
                <c:pt idx="2965">
                  <c:v>Rollerball </c:v>
                </c:pt>
                <c:pt idx="2966">
                  <c:v>Romance &amp; Cigarettes </c:v>
                </c:pt>
                <c:pt idx="2967">
                  <c:v>Romantic Schemer </c:v>
                </c:pt>
                <c:pt idx="2968">
                  <c:v>Romeo + Juliet </c:v>
                </c:pt>
                <c:pt idx="2969">
                  <c:v>Romeo Is Bleeding </c:v>
                </c:pt>
                <c:pt idx="2970">
                  <c:v>Romeo Must Die </c:v>
                </c:pt>
                <c:pt idx="2971">
                  <c:v>Ronin </c:v>
                </c:pt>
                <c:pt idx="2972">
                  <c:v>Room </c:v>
                </c:pt>
                <c:pt idx="2973">
                  <c:v>Rosemary's Baby </c:v>
                </c:pt>
                <c:pt idx="2974">
                  <c:v>Rosewater </c:v>
                </c:pt>
                <c:pt idx="2975">
                  <c:v>Rotor DR1 </c:v>
                </c:pt>
                <c:pt idx="2976">
                  <c:v>Rounders </c:v>
                </c:pt>
                <c:pt idx="2977">
                  <c:v>Royal Kill </c:v>
                </c:pt>
                <c:pt idx="2978">
                  <c:v>Rubber </c:v>
                </c:pt>
                <c:pt idx="2979">
                  <c:v>Ruby in Paradise </c:v>
                </c:pt>
                <c:pt idx="2980">
                  <c:v>Rudderless </c:v>
                </c:pt>
                <c:pt idx="2981">
                  <c:v>Rugrats Go Wild </c:v>
                </c:pt>
                <c:pt idx="2982">
                  <c:v>Rugrats in Paris: The Movie </c:v>
                </c:pt>
                <c:pt idx="2983">
                  <c:v>Rules of Engagement </c:v>
                </c:pt>
                <c:pt idx="2984">
                  <c:v>Rumble in the Bronx </c:v>
                </c:pt>
                <c:pt idx="2985">
                  <c:v>Run All Night </c:v>
                </c:pt>
                <c:pt idx="2986">
                  <c:v>Run Lola Run </c:v>
                </c:pt>
                <c:pt idx="2987">
                  <c:v>Run, Fatboy, Run </c:v>
                </c:pt>
                <c:pt idx="2988">
                  <c:v>Run, Hide, Die </c:v>
                </c:pt>
                <c:pt idx="2989">
                  <c:v>Runaway Bride </c:v>
                </c:pt>
                <c:pt idx="2990">
                  <c:v>Runner Runner </c:v>
                </c:pt>
                <c:pt idx="2991">
                  <c:v>Running Forever </c:v>
                </c:pt>
                <c:pt idx="2992">
                  <c:v>Running Scared </c:v>
                </c:pt>
                <c:pt idx="2993">
                  <c:v>Running with Scissors </c:v>
                </c:pt>
                <c:pt idx="2994">
                  <c:v>Rush Hour 2 </c:v>
                </c:pt>
                <c:pt idx="2995">
                  <c:v>Rush Hour 3 </c:v>
                </c:pt>
                <c:pt idx="2996">
                  <c:v>Rush Hour </c:v>
                </c:pt>
                <c:pt idx="2997">
                  <c:v>Rush </c:v>
                </c:pt>
                <c:pt idx="2998">
                  <c:v>Rushmore </c:v>
                </c:pt>
                <c:pt idx="2999">
                  <c:v>Rust </c:v>
                </c:pt>
                <c:pt idx="3000">
                  <c:v>S.W.A.T. </c:v>
                </c:pt>
                <c:pt idx="3001">
                  <c:v>Sabotage </c:v>
                </c:pt>
                <c:pt idx="3002">
                  <c:v>Sabrina, the Teenage Witch             </c:v>
                </c:pt>
                <c:pt idx="3003">
                  <c:v>Safe Haven </c:v>
                </c:pt>
                <c:pt idx="3004">
                  <c:v>Safe House </c:v>
                </c:pt>
                <c:pt idx="3005">
                  <c:v>Safe Men </c:v>
                </c:pt>
                <c:pt idx="3006">
                  <c:v>Safe </c:v>
                </c:pt>
                <c:pt idx="3007">
                  <c:v>Safety Not Guaranteed </c:v>
                </c:pt>
                <c:pt idx="3008">
                  <c:v>Sahara </c:v>
                </c:pt>
                <c:pt idx="3009">
                  <c:v>Saint John of Las Vegas </c:v>
                </c:pt>
                <c:pt idx="3010">
                  <c:v>Saint Ralph </c:v>
                </c:pt>
                <c:pt idx="3011">
                  <c:v>Saints and Soldiers </c:v>
                </c:pt>
                <c:pt idx="3012">
                  <c:v>Salt </c:v>
                </c:pt>
                <c:pt idx="3013">
                  <c:v>Salvador </c:v>
                </c:pt>
                <c:pt idx="3014">
                  <c:v>Salvation Boulevard </c:v>
                </c:pt>
                <c:pt idx="3015">
                  <c:v>Samsara </c:v>
                </c:pt>
                <c:pt idx="3016">
                  <c:v>San Andreas </c:v>
                </c:pt>
                <c:pt idx="3017">
                  <c:v>Sanctuary; Quite a Conundrum </c:v>
                </c:pt>
                <c:pt idx="3018">
                  <c:v>Sanctum </c:v>
                </c:pt>
                <c:pt idx="3019">
                  <c:v>Sands of Iwo Jima </c:v>
                </c:pt>
                <c:pt idx="3020">
                  <c:v>Sarah's Key </c:v>
                </c:pt>
                <c:pt idx="3021">
                  <c:v>Sardaar Ji </c:v>
                </c:pt>
                <c:pt idx="3022">
                  <c:v>Sausage Party </c:v>
                </c:pt>
                <c:pt idx="3023">
                  <c:v>Savage Grace </c:v>
                </c:pt>
                <c:pt idx="3024">
                  <c:v>Savages </c:v>
                </c:pt>
                <c:pt idx="3025">
                  <c:v>Save the Last Dance </c:v>
                </c:pt>
                <c:pt idx="3026">
                  <c:v>Saved! </c:v>
                </c:pt>
                <c:pt idx="3027">
                  <c:v>Saving Face </c:v>
                </c:pt>
                <c:pt idx="3028">
                  <c:v>Saving Grace </c:v>
                </c:pt>
                <c:pt idx="3029">
                  <c:v>Saving Mr. Banks </c:v>
                </c:pt>
                <c:pt idx="3030">
                  <c:v>Saving Private Perez </c:v>
                </c:pt>
                <c:pt idx="3031">
                  <c:v>Saving Private Ryan </c:v>
                </c:pt>
                <c:pt idx="3032">
                  <c:v>Saving Silverman </c:v>
                </c:pt>
                <c:pt idx="3033">
                  <c:v>Saw 3D: The Final Chapter </c:v>
                </c:pt>
                <c:pt idx="3034">
                  <c:v>Saw II </c:v>
                </c:pt>
                <c:pt idx="3035">
                  <c:v>Saw III </c:v>
                </c:pt>
                <c:pt idx="3036">
                  <c:v>Saw IV </c:v>
                </c:pt>
                <c:pt idx="3037">
                  <c:v>Saw V </c:v>
                </c:pt>
                <c:pt idx="3038">
                  <c:v>Saw VI </c:v>
                </c:pt>
                <c:pt idx="3039">
                  <c:v>Saw </c:v>
                </c:pt>
                <c:pt idx="3040">
                  <c:v>Say It Isn't So </c:v>
                </c:pt>
                <c:pt idx="3041">
                  <c:v>Scarface </c:v>
                </c:pt>
                <c:pt idx="3042">
                  <c:v>Scary Movie 2 </c:v>
                </c:pt>
                <c:pt idx="3043">
                  <c:v>Scary Movie 3 </c:v>
                </c:pt>
                <c:pt idx="3044">
                  <c:v>Scary Movie 4 </c:v>
                </c:pt>
                <c:pt idx="3045">
                  <c:v>Scary Movie 5 </c:v>
                </c:pt>
                <c:pt idx="3046">
                  <c:v>Schindler's List </c:v>
                </c:pt>
                <c:pt idx="3047">
                  <c:v>School Daze </c:v>
                </c:pt>
                <c:pt idx="3048">
                  <c:v>School for Scoundrels </c:v>
                </c:pt>
                <c:pt idx="3049">
                  <c:v>School of Rock </c:v>
                </c:pt>
                <c:pt idx="3050">
                  <c:v>Scooby-Doo 2: Monsters Unleashed </c:v>
                </c:pt>
                <c:pt idx="3051">
                  <c:v>Scooby-Doo </c:v>
                </c:pt>
                <c:pt idx="3052">
                  <c:v>Scoop </c:v>
                </c:pt>
                <c:pt idx="3053">
                  <c:v>Scott Pilgrim vs. the World </c:v>
                </c:pt>
                <c:pt idx="3054">
                  <c:v>Scott Walker: 30 Century Man </c:v>
                </c:pt>
                <c:pt idx="3055">
                  <c:v>Scream 2 </c:v>
                </c:pt>
                <c:pt idx="3056">
                  <c:v>Scream 3 </c:v>
                </c:pt>
                <c:pt idx="3057">
                  <c:v>Scream 4 </c:v>
                </c:pt>
                <c:pt idx="3058">
                  <c:v>Scream </c:v>
                </c:pt>
                <c:pt idx="3059">
                  <c:v>Scream: The TV Series </c:v>
                </c:pt>
                <c:pt idx="3060">
                  <c:v>Screwed </c:v>
                </c:pt>
                <c:pt idx="3061">
                  <c:v>Scrooged </c:v>
                </c:pt>
                <c:pt idx="3062">
                  <c:v>Se7en </c:v>
                </c:pt>
                <c:pt idx="3063">
                  <c:v>Sea of Love </c:v>
                </c:pt>
                <c:pt idx="3064">
                  <c:v>Sea Rex 3D: Journey to a Prehistoric World </c:v>
                </c:pt>
                <c:pt idx="3065">
                  <c:v>Seabiscuit </c:v>
                </c:pt>
                <c:pt idx="3066">
                  <c:v>Secondhand Lions </c:v>
                </c:pt>
                <c:pt idx="3067">
                  <c:v>Secret in Their Eyes </c:v>
                </c:pt>
                <c:pt idx="3068">
                  <c:v>Secret Window </c:v>
                </c:pt>
                <c:pt idx="3069">
                  <c:v>Secretariat </c:v>
                </c:pt>
                <c:pt idx="3070">
                  <c:v>Secretary </c:v>
                </c:pt>
                <c:pt idx="3071">
                  <c:v>Secrets and Lies </c:v>
                </c:pt>
                <c:pt idx="3072">
                  <c:v>See Spot Run </c:v>
                </c:pt>
                <c:pt idx="3073">
                  <c:v>Seed of Chucky </c:v>
                </c:pt>
                <c:pt idx="3074">
                  <c:v>Seeking a Friend for the End of the World </c:v>
                </c:pt>
                <c:pt idx="3075">
                  <c:v>Selena </c:v>
                </c:pt>
                <c:pt idx="3076">
                  <c:v>Self/less </c:v>
                </c:pt>
                <c:pt idx="3077">
                  <c:v>Selma </c:v>
                </c:pt>
                <c:pt idx="3078">
                  <c:v>Semi-Pro </c:v>
                </c:pt>
                <c:pt idx="3079">
                  <c:v>Sense and Sensibility </c:v>
                </c:pt>
                <c:pt idx="3080">
                  <c:v>September Dawn </c:v>
                </c:pt>
                <c:pt idx="3081">
                  <c:v>Serendipity </c:v>
                </c:pt>
                <c:pt idx="3082">
                  <c:v>Serenity </c:v>
                </c:pt>
                <c:pt idx="3083">
                  <c:v>Serial Mom </c:v>
                </c:pt>
                <c:pt idx="3084">
                  <c:v>Serving Sara </c:v>
                </c:pt>
                <c:pt idx="3085">
                  <c:v>Session 9 </c:v>
                </c:pt>
                <c:pt idx="3086">
                  <c:v>Set It Off </c:v>
                </c:pt>
                <c:pt idx="3087">
                  <c:v>Seven Pounds </c:v>
                </c:pt>
                <c:pt idx="3088">
                  <c:v>Seven Psychopaths </c:v>
                </c:pt>
                <c:pt idx="3089">
                  <c:v>Seven Samurai </c:v>
                </c:pt>
                <c:pt idx="3090">
                  <c:v>Seven Years in Tibet </c:v>
                </c:pt>
                <c:pt idx="3091">
                  <c:v>Seventh Son </c:v>
                </c:pt>
                <c:pt idx="3092">
                  <c:v>Severance </c:v>
                </c:pt>
                <c:pt idx="3093">
                  <c:v>Sex and the City 2 </c:v>
                </c:pt>
                <c:pt idx="3094">
                  <c:v>Sex and the City </c:v>
                </c:pt>
                <c:pt idx="3095">
                  <c:v>Sex Drive </c:v>
                </c:pt>
                <c:pt idx="3096">
                  <c:v>Sex Tape </c:v>
                </c:pt>
                <c:pt idx="3097">
                  <c:v>Sex with Strangers </c:v>
                </c:pt>
                <c:pt idx="3098">
                  <c:v>Sex, Lies, and Videotape </c:v>
                </c:pt>
                <c:pt idx="3099">
                  <c:v>Sexy Beast </c:v>
                </c:pt>
                <c:pt idx="3100">
                  <c:v>Sgt. Bilko </c:v>
                </c:pt>
                <c:pt idx="3101">
                  <c:v>Shade </c:v>
                </c:pt>
                <c:pt idx="3102">
                  <c:v>Shadow Conspiracy </c:v>
                </c:pt>
                <c:pt idx="3103">
                  <c:v>Shadow of the Vampire </c:v>
                </c:pt>
                <c:pt idx="3104">
                  <c:v>Shadowlands </c:v>
                </c:pt>
                <c:pt idx="3105">
                  <c:v>Shaft </c:v>
                </c:pt>
                <c:pt idx="3106">
                  <c:v>Shakespeare in Love </c:v>
                </c:pt>
                <c:pt idx="3107">
                  <c:v>Shalako </c:v>
                </c:pt>
                <c:pt idx="3108">
                  <c:v>Shall We Dance </c:v>
                </c:pt>
                <c:pt idx="3109">
                  <c:v>Shallow Hal </c:v>
                </c:pt>
                <c:pt idx="3110">
                  <c:v>Shame </c:v>
                </c:pt>
                <c:pt idx="3111">
                  <c:v>Shanghai Calling </c:v>
                </c:pt>
                <c:pt idx="3112">
                  <c:v>Shanghai Knights </c:v>
                </c:pt>
                <c:pt idx="3113">
                  <c:v>Shanghai Noon </c:v>
                </c:pt>
                <c:pt idx="3114">
                  <c:v>Shanghai Surprise </c:v>
                </c:pt>
                <c:pt idx="3115">
                  <c:v>Shaolin Soccer </c:v>
                </c:pt>
                <c:pt idx="3116">
                  <c:v>Shark Lake </c:v>
                </c:pt>
                <c:pt idx="3117">
                  <c:v>Shark Night 3D </c:v>
                </c:pt>
                <c:pt idx="3118">
                  <c:v>Shark Tale </c:v>
                </c:pt>
                <c:pt idx="3119">
                  <c:v>Sharknado </c:v>
                </c:pt>
                <c:pt idx="3120">
                  <c:v>Sharkskin </c:v>
                </c:pt>
                <c:pt idx="3121">
                  <c:v>Shattered Glass </c:v>
                </c:pt>
                <c:pt idx="3122">
                  <c:v>Shattered </c:v>
                </c:pt>
                <c:pt idx="3123">
                  <c:v>Shaun of the Dead </c:v>
                </c:pt>
                <c:pt idx="3124">
                  <c:v>Shaun the Sheep </c:v>
                </c:pt>
                <c:pt idx="3125">
                  <c:v>She Done Him Wrong </c:v>
                </c:pt>
                <c:pt idx="3126">
                  <c:v>She Wore a Yellow Ribbon </c:v>
                </c:pt>
                <c:pt idx="3127">
                  <c:v>Sheena </c:v>
                </c:pt>
                <c:pt idx="3128">
                  <c:v>Sherlock Holmes </c:v>
                </c:pt>
                <c:pt idx="3129">
                  <c:v>Sherlock Holmes: A Game of Shadows </c:v>
                </c:pt>
                <c:pt idx="3130">
                  <c:v>Sherrybaby </c:v>
                </c:pt>
                <c:pt idx="3131">
                  <c:v>She's All That </c:v>
                </c:pt>
                <c:pt idx="3132">
                  <c:v>She's Gotta Have It </c:v>
                </c:pt>
                <c:pt idx="3133">
                  <c:v>She's Out of My League </c:v>
                </c:pt>
                <c:pt idx="3134">
                  <c:v>She's the Man </c:v>
                </c:pt>
                <c:pt idx="3135">
                  <c:v>She's the One </c:v>
                </c:pt>
                <c:pt idx="3136">
                  <c:v>Shine a Light </c:v>
                </c:pt>
                <c:pt idx="3137">
                  <c:v>Shine </c:v>
                </c:pt>
                <c:pt idx="3138">
                  <c:v>Shinjuku Incident </c:v>
                </c:pt>
                <c:pt idx="3139">
                  <c:v>Shipwrecked </c:v>
                </c:pt>
                <c:pt idx="3140">
                  <c:v>Sholem Aleichem: Laughing in the Darkness </c:v>
                </c:pt>
                <c:pt idx="3141">
                  <c:v>Shooter </c:v>
                </c:pt>
                <c:pt idx="3142">
                  <c:v>Shooting Fish </c:v>
                </c:pt>
                <c:pt idx="3143">
                  <c:v>Shooting the Warwicks </c:v>
                </c:pt>
                <c:pt idx="3144">
                  <c:v>Shopgirl </c:v>
                </c:pt>
                <c:pt idx="3145">
                  <c:v>Short Cut to Nirvana: Kumbh Mela </c:v>
                </c:pt>
                <c:pt idx="3146">
                  <c:v>Shortbus </c:v>
                </c:pt>
                <c:pt idx="3147">
                  <c:v>Shorts </c:v>
                </c:pt>
                <c:pt idx="3148">
                  <c:v>Shotgun Stories </c:v>
                </c:pt>
                <c:pt idx="3149">
                  <c:v>Should've Been Romeo </c:v>
                </c:pt>
                <c:pt idx="3150">
                  <c:v>Show Boat </c:v>
                </c:pt>
                <c:pt idx="3151">
                  <c:v>Show Me </c:v>
                </c:pt>
                <c:pt idx="3152">
                  <c:v>Showdown in Little Tokyo </c:v>
                </c:pt>
                <c:pt idx="3153">
                  <c:v>Showgirls </c:v>
                </c:pt>
                <c:pt idx="3154">
                  <c:v>Shrek 2 </c:v>
                </c:pt>
                <c:pt idx="3155">
                  <c:v>Shrek Forever After </c:v>
                </c:pt>
                <c:pt idx="3156">
                  <c:v>Shrek the Third </c:v>
                </c:pt>
                <c:pt idx="3157">
                  <c:v>Shrek </c:v>
                </c:pt>
                <c:pt idx="3158">
                  <c:v>Shutter Island </c:v>
                </c:pt>
                <c:pt idx="3159">
                  <c:v>Shutter </c:v>
                </c:pt>
                <c:pt idx="3160">
                  <c:v>Sicario </c:v>
                </c:pt>
                <c:pt idx="3161">
                  <c:v>Sicko </c:v>
                </c:pt>
                <c:pt idx="3162">
                  <c:v>Side Effects </c:v>
                </c:pt>
                <c:pt idx="3163">
                  <c:v>Sideways </c:v>
                </c:pt>
                <c:pt idx="3164">
                  <c:v>Signed Sealed Delivered </c:v>
                </c:pt>
                <c:pt idx="3165">
                  <c:v>Signs </c:v>
                </c:pt>
                <c:pt idx="3166">
                  <c:v>Silent Hill </c:v>
                </c:pt>
                <c:pt idx="3167">
                  <c:v>Silent Hill: Revelation 3D </c:v>
                </c:pt>
                <c:pt idx="3168">
                  <c:v>Silent House </c:v>
                </c:pt>
                <c:pt idx="3169">
                  <c:v>Silent Movie </c:v>
                </c:pt>
                <c:pt idx="3170">
                  <c:v>Silent Running </c:v>
                </c:pt>
                <c:pt idx="3171">
                  <c:v>Silent Trigger </c:v>
                </c:pt>
                <c:pt idx="3172">
                  <c:v>Silmido </c:v>
                </c:pt>
                <c:pt idx="3173">
                  <c:v>Silver Linings Playbook </c:v>
                </c:pt>
                <c:pt idx="3174">
                  <c:v>Silver Medallist </c:v>
                </c:pt>
                <c:pt idx="3175">
                  <c:v>Silverado </c:v>
                </c:pt>
                <c:pt idx="3176">
                  <c:v>Simon Birch </c:v>
                </c:pt>
                <c:pt idx="3177">
                  <c:v>Simply Irresistible </c:v>
                </c:pt>
                <c:pt idx="3178">
                  <c:v>Sin City </c:v>
                </c:pt>
                <c:pt idx="3179">
                  <c:v>Sin City: A Dame to Kill For </c:v>
                </c:pt>
                <c:pt idx="3180">
                  <c:v>Sinbad: Legend of the Seven Seas </c:v>
                </c:pt>
                <c:pt idx="3181">
                  <c:v>Singin' in the Rain </c:v>
                </c:pt>
                <c:pt idx="3182">
                  <c:v>Sinister 2 </c:v>
                </c:pt>
                <c:pt idx="3183">
                  <c:v>Sinister </c:v>
                </c:pt>
                <c:pt idx="3184">
                  <c:v>Sisters in Law </c:v>
                </c:pt>
                <c:pt idx="3185">
                  <c:v>Six Days Seven Nights </c:v>
                </c:pt>
                <c:pt idx="3186">
                  <c:v>Six-String Samurai </c:v>
                </c:pt>
                <c:pt idx="3187">
                  <c:v>Skin Trade </c:v>
                </c:pt>
                <c:pt idx="3188">
                  <c:v>Sky Captain and the World of Tomorrow </c:v>
                </c:pt>
                <c:pt idx="3189">
                  <c:v>Sky High </c:v>
                </c:pt>
                <c:pt idx="3190">
                  <c:v>Skyfall </c:v>
                </c:pt>
                <c:pt idx="3191">
                  <c:v>Skyline </c:v>
                </c:pt>
                <c:pt idx="3192">
                  <c:v>Slacker Uprising </c:v>
                </c:pt>
                <c:pt idx="3193">
                  <c:v>Slacker </c:v>
                </c:pt>
                <c:pt idx="3194">
                  <c:v>Slackers </c:v>
                </c:pt>
                <c:pt idx="3195">
                  <c:v>Slam </c:v>
                </c:pt>
                <c:pt idx="3196">
                  <c:v>Sleep Dealer </c:v>
                </c:pt>
                <c:pt idx="3197">
                  <c:v>Sleep Tight </c:v>
                </c:pt>
                <c:pt idx="3198">
                  <c:v>Sleeper </c:v>
                </c:pt>
                <c:pt idx="3199">
                  <c:v>Sleepers </c:v>
                </c:pt>
                <c:pt idx="3200">
                  <c:v>Sleepover </c:v>
                </c:pt>
                <c:pt idx="3201">
                  <c:v>Sleepy Hollow </c:v>
                </c:pt>
                <c:pt idx="3202">
                  <c:v>Sliding Doors </c:v>
                </c:pt>
                <c:pt idx="3203">
                  <c:v>Sling Blade </c:v>
                </c:pt>
                <c:pt idx="3204">
                  <c:v>Slither </c:v>
                </c:pt>
                <c:pt idx="3205">
                  <c:v>Slow Burn </c:v>
                </c:pt>
                <c:pt idx="3206">
                  <c:v>Slow West </c:v>
                </c:pt>
                <c:pt idx="3207">
                  <c:v>Slumdog Millionaire </c:v>
                </c:pt>
                <c:pt idx="3208">
                  <c:v>Slums of Beverly Hills </c:v>
                </c:pt>
                <c:pt idx="3209">
                  <c:v>Small Apartments </c:v>
                </c:pt>
                <c:pt idx="3210">
                  <c:v>Small Soldiers </c:v>
                </c:pt>
                <c:pt idx="3211">
                  <c:v>Small Time Crooks </c:v>
                </c:pt>
                <c:pt idx="3212">
                  <c:v>Smiling Fish &amp; Goat on Fire </c:v>
                </c:pt>
                <c:pt idx="3213">
                  <c:v>Smilla's Sense of Snow </c:v>
                </c:pt>
                <c:pt idx="3214">
                  <c:v>Smoke Signals </c:v>
                </c:pt>
                <c:pt idx="3215">
                  <c:v>Smokin' Aces </c:v>
                </c:pt>
                <c:pt idx="3216">
                  <c:v>Snake Eyes </c:v>
                </c:pt>
                <c:pt idx="3217">
                  <c:v>Snakes on a Plane </c:v>
                </c:pt>
                <c:pt idx="3218">
                  <c:v>Snatch </c:v>
                </c:pt>
                <c:pt idx="3219">
                  <c:v>Snitch </c:v>
                </c:pt>
                <c:pt idx="3220">
                  <c:v>Snow Angels </c:v>
                </c:pt>
                <c:pt idx="3221">
                  <c:v>Snow Day </c:v>
                </c:pt>
                <c:pt idx="3222">
                  <c:v>Snow Dogs </c:v>
                </c:pt>
                <c:pt idx="3223">
                  <c:v>Snow Falling on Cedars </c:v>
                </c:pt>
                <c:pt idx="3224">
                  <c:v>Snow Flower and the Secret Fan </c:v>
                </c:pt>
                <c:pt idx="3225">
                  <c:v>Snow Queen </c:v>
                </c:pt>
                <c:pt idx="3226">
                  <c:v>Snow White and the Huntsman </c:v>
                </c:pt>
                <c:pt idx="3227">
                  <c:v>Snow White and the Seven Dwarfs </c:v>
                </c:pt>
                <c:pt idx="3228">
                  <c:v>Snow White: A Deadly Summer </c:v>
                </c:pt>
                <c:pt idx="3229">
                  <c:v>Snow White: A Tale of Terror </c:v>
                </c:pt>
                <c:pt idx="3230">
                  <c:v>Snowpiercer </c:v>
                </c:pt>
                <c:pt idx="3231">
                  <c:v>Solaris </c:v>
                </c:pt>
                <c:pt idx="3232">
                  <c:v>Soldier </c:v>
                </c:pt>
                <c:pt idx="3233">
                  <c:v>Solitary Man </c:v>
                </c:pt>
                <c:pt idx="3234">
                  <c:v>Solitude </c:v>
                </c:pt>
                <c:pt idx="3235">
                  <c:v>Solomon and Sheba </c:v>
                </c:pt>
                <c:pt idx="3236">
                  <c:v>Some Guy Who Kills People </c:v>
                </c:pt>
                <c:pt idx="3237">
                  <c:v>Some Like It Hot </c:v>
                </c:pt>
                <c:pt idx="3238">
                  <c:v>Someone Like You... </c:v>
                </c:pt>
                <c:pt idx="3239">
                  <c:v>Something Borrowed </c:v>
                </c:pt>
                <c:pt idx="3240">
                  <c:v>Something Wicked </c:v>
                </c:pt>
                <c:pt idx="3241">
                  <c:v>Something's Gotta Give </c:v>
                </c:pt>
                <c:pt idx="3242">
                  <c:v>Somewhere in Time </c:v>
                </c:pt>
                <c:pt idx="3243">
                  <c:v>Somewhere </c:v>
                </c:pt>
                <c:pt idx="3244">
                  <c:v>Son of God </c:v>
                </c:pt>
                <c:pt idx="3245">
                  <c:v>Son of the Mask </c:v>
                </c:pt>
                <c:pt idx="3246">
                  <c:v>Song One </c:v>
                </c:pt>
                <c:pt idx="3247">
                  <c:v>Songcatcher </c:v>
                </c:pt>
                <c:pt idx="3248">
                  <c:v>Sonny with a Chance </c:v>
                </c:pt>
                <c:pt idx="3249">
                  <c:v>Sorcerer </c:v>
                </c:pt>
                <c:pt idx="3250">
                  <c:v>Sorority Boys </c:v>
                </c:pt>
                <c:pt idx="3251">
                  <c:v>Sorority Row </c:v>
                </c:pt>
                <c:pt idx="3252">
                  <c:v>Soul Food </c:v>
                </c:pt>
                <c:pt idx="3253">
                  <c:v>Soul Kitchen </c:v>
                </c:pt>
                <c:pt idx="3254">
                  <c:v>Soul Men </c:v>
                </c:pt>
                <c:pt idx="3255">
                  <c:v>Soul Plane </c:v>
                </c:pt>
                <c:pt idx="3256">
                  <c:v>Soul Surfer </c:v>
                </c:pt>
                <c:pt idx="3257">
                  <c:v>Soul Survivors </c:v>
                </c:pt>
                <c:pt idx="3258">
                  <c:v>Sound of My Voice </c:v>
                </c:pt>
                <c:pt idx="3259">
                  <c:v>Source Code </c:v>
                </c:pt>
                <c:pt idx="3260">
                  <c:v>South Park: Bigger Longer &amp; Uncut </c:v>
                </c:pt>
                <c:pt idx="3261">
                  <c:v>Southland Tales </c:v>
                </c:pt>
                <c:pt idx="3262">
                  <c:v>Southpaw </c:v>
                </c:pt>
                <c:pt idx="3263">
                  <c:v>Space Battleship Yamato </c:v>
                </c:pt>
                <c:pt idx="3264">
                  <c:v>Space Chimps </c:v>
                </c:pt>
                <c:pt idx="3265">
                  <c:v>Space Cowboys </c:v>
                </c:pt>
                <c:pt idx="3266">
                  <c:v>Space Dogs </c:v>
                </c:pt>
                <c:pt idx="3267">
                  <c:v>Space Jam </c:v>
                </c:pt>
                <c:pt idx="3268">
                  <c:v>Space: Above and Beyond </c:v>
                </c:pt>
                <c:pt idx="3269">
                  <c:v>Spaceballs </c:v>
                </c:pt>
                <c:pt idx="3270">
                  <c:v>Spaced Invaders </c:v>
                </c:pt>
                <c:pt idx="3271">
                  <c:v>Spanglish </c:v>
                </c:pt>
                <c:pt idx="3272">
                  <c:v>Sparkle </c:v>
                </c:pt>
                <c:pt idx="3273">
                  <c:v>Sparkler </c:v>
                </c:pt>
                <c:pt idx="3274">
                  <c:v>Spartacus: War of the Damned </c:v>
                </c:pt>
                <c:pt idx="3275">
                  <c:v>Spawn </c:v>
                </c:pt>
                <c:pt idx="3276">
                  <c:v>Special </c:v>
                </c:pt>
                <c:pt idx="3277">
                  <c:v>Species </c:v>
                </c:pt>
                <c:pt idx="3278">
                  <c:v>Spectre </c:v>
                </c:pt>
                <c:pt idx="3279">
                  <c:v>Speed 2: Cruise Control </c:v>
                </c:pt>
                <c:pt idx="3280">
                  <c:v>Speed Racer </c:v>
                </c:pt>
                <c:pt idx="3281">
                  <c:v>Speed </c:v>
                </c:pt>
                <c:pt idx="3282">
                  <c:v>Speedway Junky </c:v>
                </c:pt>
                <c:pt idx="3283">
                  <c:v>Spellbound </c:v>
                </c:pt>
                <c:pt idx="3284">
                  <c:v>Sphere </c:v>
                </c:pt>
                <c:pt idx="3285">
                  <c:v>Sphinx </c:v>
                </c:pt>
                <c:pt idx="3286">
                  <c:v>Spice World </c:v>
                </c:pt>
                <c:pt idx="3287">
                  <c:v>Spider </c:v>
                </c:pt>
                <c:pt idx="3288">
                  <c:v>Spider-Man 2 </c:v>
                </c:pt>
                <c:pt idx="3289">
                  <c:v>Spider-Man 3 </c:v>
                </c:pt>
                <c:pt idx="3290">
                  <c:v>Spider-Man </c:v>
                </c:pt>
                <c:pt idx="3291">
                  <c:v>Spirit: Stallion of the Cimarron </c:v>
                </c:pt>
                <c:pt idx="3292">
                  <c:v>Spirited Away </c:v>
                </c:pt>
                <c:pt idx="3293">
                  <c:v>Splash </c:v>
                </c:pt>
                <c:pt idx="3294">
                  <c:v>Splice </c:v>
                </c:pt>
                <c:pt idx="3295">
                  <c:v>Split Second </c:v>
                </c:pt>
                <c:pt idx="3296">
                  <c:v>Spotlight </c:v>
                </c:pt>
                <c:pt idx="3297">
                  <c:v>Spring Breakers </c:v>
                </c:pt>
                <c:pt idx="3298">
                  <c:v>Spun </c:v>
                </c:pt>
                <c:pt idx="3299">
                  <c:v>Spy Game </c:v>
                </c:pt>
                <c:pt idx="3300">
                  <c:v>Spy Hard </c:v>
                </c:pt>
                <c:pt idx="3301">
                  <c:v>Spy Kids 2: Island of Lost Dreams </c:v>
                </c:pt>
                <c:pt idx="3302">
                  <c:v>Spy Kids 3-D: Game Over </c:v>
                </c:pt>
                <c:pt idx="3303">
                  <c:v>Spy Kids </c:v>
                </c:pt>
                <c:pt idx="3304">
                  <c:v>Spy Kids: All the Time in the World in 4D </c:v>
                </c:pt>
                <c:pt idx="3305">
                  <c:v>St. Trinian's </c:v>
                </c:pt>
                <c:pt idx="3306">
                  <c:v>St. Vincent </c:v>
                </c:pt>
                <c:pt idx="3307">
                  <c:v>Stake Land </c:v>
                </c:pt>
                <c:pt idx="3308">
                  <c:v>Stan Helsing </c:v>
                </c:pt>
                <c:pt idx="3309">
                  <c:v>Stand by Me </c:v>
                </c:pt>
                <c:pt idx="3310">
                  <c:v>Standard Operating Procedure </c:v>
                </c:pt>
                <c:pt idx="3311">
                  <c:v>Standing Ovation </c:v>
                </c:pt>
                <c:pt idx="3312">
                  <c:v>Star Trek Beyond </c:v>
                </c:pt>
                <c:pt idx="3313">
                  <c:v>Star Trek II: The Wrath of Khan </c:v>
                </c:pt>
                <c:pt idx="3314">
                  <c:v>Star Trek III: The Search for Spock </c:v>
                </c:pt>
                <c:pt idx="3315">
                  <c:v>Star Trek Into Darkness </c:v>
                </c:pt>
                <c:pt idx="3316">
                  <c:v>Star Trek IV: The Voyage Home </c:v>
                </c:pt>
                <c:pt idx="3317">
                  <c:v>Star Trek V: The Final Frontier </c:v>
                </c:pt>
                <c:pt idx="3318">
                  <c:v>Star Trek VI: The Undiscovered Country </c:v>
                </c:pt>
                <c:pt idx="3319">
                  <c:v>Star Trek </c:v>
                </c:pt>
                <c:pt idx="3320">
                  <c:v>Star Trek: First Contact </c:v>
                </c:pt>
                <c:pt idx="3321">
                  <c:v>Star Trek: Generations </c:v>
                </c:pt>
                <c:pt idx="3322">
                  <c:v>Star Trek: Insurrection </c:v>
                </c:pt>
                <c:pt idx="3323">
                  <c:v>Star Trek: Nemesis </c:v>
                </c:pt>
                <c:pt idx="3324">
                  <c:v>Star Trek: The Motion Picture </c:v>
                </c:pt>
                <c:pt idx="3325">
                  <c:v>Star Wars: Episode I - The Phantom Menace </c:v>
                </c:pt>
                <c:pt idx="3326">
                  <c:v>Star Wars: Episode II - Attack of the Clones </c:v>
                </c:pt>
                <c:pt idx="3327">
                  <c:v>Star Wars: Episode III - Revenge of the Sith </c:v>
                </c:pt>
                <c:pt idx="3328">
                  <c:v>Star Wars: Episode IV - A New Hope </c:v>
                </c:pt>
                <c:pt idx="3329">
                  <c:v>Star Wars: Episode V - The Empire Strikes Back </c:v>
                </c:pt>
                <c:pt idx="3330">
                  <c:v>Star Wars: Episode VI - Return of the Jedi </c:v>
                </c:pt>
                <c:pt idx="3331">
                  <c:v>Star Wars: Episode VII - The Force Awakens </c:v>
                </c:pt>
                <c:pt idx="3332">
                  <c:v>Star Wars: The Clone Wars </c:v>
                </c:pt>
                <c:pt idx="3333">
                  <c:v>Stardust </c:v>
                </c:pt>
                <c:pt idx="3334">
                  <c:v>Stargate SG-1 </c:v>
                </c:pt>
                <c:pt idx="3335">
                  <c:v>Stargate: The Ark of Truth </c:v>
                </c:pt>
                <c:pt idx="3336">
                  <c:v>Starship Troopers </c:v>
                </c:pt>
                <c:pt idx="3337">
                  <c:v>Starsky &amp; Hutch </c:v>
                </c:pt>
                <c:pt idx="3338">
                  <c:v>Starsuckers </c:v>
                </c:pt>
                <c:pt idx="3339">
                  <c:v>State Fair </c:v>
                </c:pt>
                <c:pt idx="3340">
                  <c:v>State of Play </c:v>
                </c:pt>
                <c:pt idx="3341">
                  <c:v>Stay Alive </c:v>
                </c:pt>
                <c:pt idx="3342">
                  <c:v>Stealing Harvard </c:v>
                </c:pt>
                <c:pt idx="3343">
                  <c:v>Stealth </c:v>
                </c:pt>
                <c:pt idx="3344">
                  <c:v>Steamboy </c:v>
                </c:pt>
                <c:pt idx="3345">
                  <c:v>Steel </c:v>
                </c:pt>
                <c:pt idx="3346">
                  <c:v>Step Brothers </c:v>
                </c:pt>
                <c:pt idx="3347">
                  <c:v>Step Up 2: The Streets </c:v>
                </c:pt>
                <c:pt idx="3348">
                  <c:v>Step Up 3D </c:v>
                </c:pt>
                <c:pt idx="3349">
                  <c:v>Step Up Revolution </c:v>
                </c:pt>
                <c:pt idx="3350">
                  <c:v>Step Up </c:v>
                </c:pt>
                <c:pt idx="3351">
                  <c:v>Stepmom </c:v>
                </c:pt>
                <c:pt idx="3352">
                  <c:v>Steppin: The Movie </c:v>
                </c:pt>
                <c:pt idx="3353">
                  <c:v>Steve Jobs </c:v>
                </c:pt>
                <c:pt idx="3354">
                  <c:v>Stick It </c:v>
                </c:pt>
                <c:pt idx="3355">
                  <c:v>Stiff Upper Lips </c:v>
                </c:pt>
                <c:pt idx="3356">
                  <c:v>Stigmata </c:v>
                </c:pt>
                <c:pt idx="3357">
                  <c:v>Still Alice </c:v>
                </c:pt>
                <c:pt idx="3358">
                  <c:v>Stir of Echoes </c:v>
                </c:pt>
                <c:pt idx="3359">
                  <c:v>Stitches </c:v>
                </c:pt>
                <c:pt idx="3360">
                  <c:v>Stoker </c:v>
                </c:pt>
                <c:pt idx="3361">
                  <c:v>Stolen Summer </c:v>
                </c:pt>
                <c:pt idx="3362">
                  <c:v>Stolen </c:v>
                </c:pt>
                <c:pt idx="3363">
                  <c:v>Stomp the Yard </c:v>
                </c:pt>
                <c:pt idx="3364">
                  <c:v>Stone Cold </c:v>
                </c:pt>
                <c:pt idx="3365">
                  <c:v>Stone </c:v>
                </c:pt>
                <c:pt idx="3366">
                  <c:v>Stonewall </c:v>
                </c:pt>
                <c:pt idx="3367">
                  <c:v>Stop-Loss </c:v>
                </c:pt>
                <c:pt idx="3368">
                  <c:v>Stories of Our Lives </c:v>
                </c:pt>
                <c:pt idx="3369">
                  <c:v>Straight A's </c:v>
                </c:pt>
                <c:pt idx="3370">
                  <c:v>Straight Out of Brooklyn </c:v>
                </c:pt>
                <c:pt idx="3371">
                  <c:v>Straight Outta Compton </c:v>
                </c:pt>
                <c:pt idx="3372">
                  <c:v>Strange Wilderness </c:v>
                </c:pt>
                <c:pt idx="3373">
                  <c:v>Stranger Than Fiction </c:v>
                </c:pt>
                <c:pt idx="3374">
                  <c:v>Strangerland </c:v>
                </c:pt>
                <c:pt idx="3375">
                  <c:v>Strangers with Candy </c:v>
                </c:pt>
                <c:pt idx="3376">
                  <c:v>Straw Dogs </c:v>
                </c:pt>
                <c:pt idx="3377">
                  <c:v>Street Fighter </c:v>
                </c:pt>
                <c:pt idx="3378">
                  <c:v>Street Fighter: The Legend of Chun-Li </c:v>
                </c:pt>
                <c:pt idx="3379">
                  <c:v>Street Kings </c:v>
                </c:pt>
                <c:pt idx="3380">
                  <c:v>Stripes </c:v>
                </c:pt>
                <c:pt idx="3381">
                  <c:v>Striptease </c:v>
                </c:pt>
                <c:pt idx="3382">
                  <c:v>Stuart Little 2 </c:v>
                </c:pt>
                <c:pt idx="3383">
                  <c:v>Stuart Little </c:v>
                </c:pt>
                <c:pt idx="3384">
                  <c:v>Stuck on You </c:v>
                </c:pt>
                <c:pt idx="3385">
                  <c:v>Stung </c:v>
                </c:pt>
                <c:pt idx="3386">
                  <c:v>Subconscious </c:v>
                </c:pt>
                <c:pt idx="3387">
                  <c:v>Sublime </c:v>
                </c:pt>
                <c:pt idx="3388">
                  <c:v>Submarine </c:v>
                </c:pt>
                <c:pt idx="3389">
                  <c:v>Subway </c:v>
                </c:pt>
                <c:pt idx="3390">
                  <c:v>Sucker Punch </c:v>
                </c:pt>
                <c:pt idx="3391">
                  <c:v>Sugar Hill </c:v>
                </c:pt>
                <c:pt idx="3392">
                  <c:v>Sugar Town </c:v>
                </c:pt>
                <c:pt idx="3393">
                  <c:v>Suicide Squad </c:v>
                </c:pt>
                <c:pt idx="3394">
                  <c:v>Summer Catch </c:v>
                </c:pt>
                <c:pt idx="3395">
                  <c:v>Summer of Sam </c:v>
                </c:pt>
                <c:pt idx="3396">
                  <c:v>Summer Storm </c:v>
                </c:pt>
                <c:pt idx="3397">
                  <c:v>Sunday School Musical </c:v>
                </c:pt>
                <c:pt idx="3398">
                  <c:v>Sunshine Cleaning </c:v>
                </c:pt>
                <c:pt idx="3399">
                  <c:v>Sunshine State </c:v>
                </c:pt>
                <c:pt idx="3400">
                  <c:v>Sunshine </c:v>
                </c:pt>
                <c:pt idx="3401">
                  <c:v>Super 8 </c:v>
                </c:pt>
                <c:pt idx="3402">
                  <c:v>Super Hybrid </c:v>
                </c:pt>
                <c:pt idx="3403">
                  <c:v>Super Mario Bros. </c:v>
                </c:pt>
                <c:pt idx="3404">
                  <c:v>Super Size Me </c:v>
                </c:pt>
                <c:pt idx="3405">
                  <c:v>Super Troopers </c:v>
                </c:pt>
                <c:pt idx="3406">
                  <c:v>Super </c:v>
                </c:pt>
                <c:pt idx="3407">
                  <c:v>Superbabies: Baby Geniuses 2 </c:v>
                </c:pt>
                <c:pt idx="3408">
                  <c:v>Superbad </c:v>
                </c:pt>
                <c:pt idx="3409">
                  <c:v>Supercapitalist </c:v>
                </c:pt>
                <c:pt idx="3410">
                  <c:v>Supercross </c:v>
                </c:pt>
                <c:pt idx="3411">
                  <c:v>Superhero Movie </c:v>
                </c:pt>
                <c:pt idx="3412">
                  <c:v>Superman II </c:v>
                </c:pt>
                <c:pt idx="3413">
                  <c:v>Superman III </c:v>
                </c:pt>
                <c:pt idx="3414">
                  <c:v>Superman IV: The Quest for Peace </c:v>
                </c:pt>
                <c:pt idx="3415">
                  <c:v>Superman Returns </c:v>
                </c:pt>
                <c:pt idx="3416">
                  <c:v>Superman </c:v>
                </c:pt>
                <c:pt idx="3417">
                  <c:v>Supernova </c:v>
                </c:pt>
                <c:pt idx="3418">
                  <c:v>Superstar </c:v>
                </c:pt>
                <c:pt idx="3419">
                  <c:v>Supporting Characters </c:v>
                </c:pt>
                <c:pt idx="3420">
                  <c:v>Sur le seuil </c:v>
                </c:pt>
                <c:pt idx="3421">
                  <c:v>Surfer, Dude </c:v>
                </c:pt>
                <c:pt idx="3422">
                  <c:v>Surf's Up </c:v>
                </c:pt>
                <c:pt idx="3423">
                  <c:v>Surrogates </c:v>
                </c:pt>
                <c:pt idx="3424">
                  <c:v>Survival of the Dead </c:v>
                </c:pt>
                <c:pt idx="3425">
                  <c:v>Survivor </c:v>
                </c:pt>
                <c:pt idx="3426">
                  <c:v>Suspect Zero </c:v>
                </c:pt>
                <c:pt idx="3427">
                  <c:v>Sweet Charity </c:v>
                </c:pt>
                <c:pt idx="3428">
                  <c:v>Sweet Home Alabama </c:v>
                </c:pt>
                <c:pt idx="3429">
                  <c:v>Sweet November </c:v>
                </c:pt>
                <c:pt idx="3430">
                  <c:v>Sweet Sweetback's Baadasssss Song </c:v>
                </c:pt>
                <c:pt idx="3431">
                  <c:v>Swelter </c:v>
                </c:pt>
                <c:pt idx="3432">
                  <c:v>Swept Away </c:v>
                </c:pt>
                <c:pt idx="3433">
                  <c:v>Swimfan </c:v>
                </c:pt>
                <c:pt idx="3434">
                  <c:v>Swimming Pool </c:v>
                </c:pt>
                <c:pt idx="3435">
                  <c:v>Swing Vote </c:v>
                </c:pt>
                <c:pt idx="3436">
                  <c:v>Swingers </c:v>
                </c:pt>
                <c:pt idx="3437">
                  <c:v>Switchback </c:v>
                </c:pt>
                <c:pt idx="3438">
                  <c:v>Swordfish </c:v>
                </c:pt>
                <c:pt idx="3439">
                  <c:v>Sydney White </c:v>
                </c:pt>
                <c:pt idx="3440">
                  <c:v>Synecdoche, New York </c:v>
                </c:pt>
                <c:pt idx="3441">
                  <c:v>Syriana </c:v>
                </c:pt>
                <c:pt idx="3442">
                  <c:v>Ta Ra Rum Pum </c:v>
                </c:pt>
                <c:pt idx="3443">
                  <c:v>Tadpole </c:v>
                </c:pt>
                <c:pt idx="3444">
                  <c:v>Tae Guk Gi: The Brotherhood of War </c:v>
                </c:pt>
                <c:pt idx="3445">
                  <c:v>Take Me Home Tonight </c:v>
                </c:pt>
                <c:pt idx="3446">
                  <c:v>Take Shelter </c:v>
                </c:pt>
                <c:pt idx="3447">
                  <c:v>Take the Lead </c:v>
                </c:pt>
                <c:pt idx="3448">
                  <c:v>Taken 2 </c:v>
                </c:pt>
                <c:pt idx="3449">
                  <c:v>Taken 3 </c:v>
                </c:pt>
                <c:pt idx="3450">
                  <c:v>Taken </c:v>
                </c:pt>
                <c:pt idx="3451">
                  <c:v>Takers </c:v>
                </c:pt>
                <c:pt idx="3452">
                  <c:v>Taking Woodstock </c:v>
                </c:pt>
                <c:pt idx="3453">
                  <c:v>Tales from the Crypt: Demon Knight </c:v>
                </c:pt>
                <c:pt idx="3454">
                  <c:v>Tales from the Hood </c:v>
                </c:pt>
                <c:pt idx="3455">
                  <c:v>Talk Radio </c:v>
                </c:pt>
                <c:pt idx="3456">
                  <c:v>Talladega Nights: The Ballad of Ricky Bobby </c:v>
                </c:pt>
                <c:pt idx="3457">
                  <c:v>Tammy </c:v>
                </c:pt>
                <c:pt idx="3458">
                  <c:v>Tangled </c:v>
                </c:pt>
                <c:pt idx="3459">
                  <c:v>Tango &amp; Cash </c:v>
                </c:pt>
                <c:pt idx="3460">
                  <c:v>Tango </c:v>
                </c:pt>
                <c:pt idx="3461">
                  <c:v>Tank Girl </c:v>
                </c:pt>
                <c:pt idx="3462">
                  <c:v>Tanner Hall </c:v>
                </c:pt>
                <c:pt idx="3463">
                  <c:v>Tarnation </c:v>
                </c:pt>
                <c:pt idx="3464">
                  <c:v>Taxi Driver </c:v>
                </c:pt>
                <c:pt idx="3465">
                  <c:v>Taxi to the Dark Side </c:v>
                </c:pt>
                <c:pt idx="3466">
                  <c:v>Taxman </c:v>
                </c:pt>
                <c:pt idx="3467">
                  <c:v>Tea with Mussolini </c:v>
                </c:pt>
                <c:pt idx="3468">
                  <c:v>Teacher's Pet </c:v>
                </c:pt>
                <c:pt idx="3469">
                  <c:v>Team America: World Police </c:v>
                </c:pt>
                <c:pt idx="3470">
                  <c:v>Tears of the Sun </c:v>
                </c:pt>
                <c:pt idx="3471">
                  <c:v>Ted 2 </c:v>
                </c:pt>
                <c:pt idx="3472">
                  <c:v>Ted </c:v>
                </c:pt>
                <c:pt idx="3473">
                  <c:v>Teen Wolf Too </c:v>
                </c:pt>
                <c:pt idx="3474">
                  <c:v>Teenage Mutant Ninja Turtles II: The Secret of the Ooze </c:v>
                </c:pt>
                <c:pt idx="3475">
                  <c:v>Teenage Mutant Ninja Turtles III </c:v>
                </c:pt>
                <c:pt idx="3476">
                  <c:v>Teenage Mutant Ninja Turtles </c:v>
                </c:pt>
                <c:pt idx="3477">
                  <c:v>Teenage Mutant Ninja Turtles: Out of the Shadows </c:v>
                </c:pt>
                <c:pt idx="3478">
                  <c:v>Teeth and Blood </c:v>
                </c:pt>
                <c:pt idx="3479">
                  <c:v>Teeth </c:v>
                </c:pt>
                <c:pt idx="3480">
                  <c:v>Terminator 2: Judgment Day </c:v>
                </c:pt>
                <c:pt idx="3481">
                  <c:v>Terminator 3: Rise of the Machines </c:v>
                </c:pt>
                <c:pt idx="3482">
                  <c:v>Terminator Genisys </c:v>
                </c:pt>
                <c:pt idx="3483">
                  <c:v>Terminator Salvation </c:v>
                </c:pt>
                <c:pt idx="3484">
                  <c:v>Texas Chainsaw 3D </c:v>
                </c:pt>
                <c:pt idx="3485">
                  <c:v>Texas Rangers </c:v>
                </c:pt>
                <c:pt idx="3486">
                  <c:v>Thank You for Smoking </c:v>
                </c:pt>
                <c:pt idx="3487">
                  <c:v>That Awkward Moment </c:v>
                </c:pt>
                <c:pt idx="3488">
                  <c:v>That Thing You Do! </c:v>
                </c:pt>
                <c:pt idx="3489">
                  <c:v>That's My Boy </c:v>
                </c:pt>
                <c:pt idx="3490">
                  <c:v>The 13th Warrior </c:v>
                </c:pt>
                <c:pt idx="3491">
                  <c:v>The 33 </c:v>
                </c:pt>
                <c:pt idx="3492">
                  <c:v>The 40-Year-Old Virgin </c:v>
                </c:pt>
                <c:pt idx="3493">
                  <c:v>The 41-Year-Old Virgin Who Knocked Up Sarah Marshall and Felt Superbad About It </c:v>
                </c:pt>
                <c:pt idx="3494">
                  <c:v>The 5th Quarter </c:v>
                </c:pt>
                <c:pt idx="3495">
                  <c:v>The 5th Wave </c:v>
                </c:pt>
                <c:pt idx="3496">
                  <c:v>The 6th Day </c:v>
                </c:pt>
                <c:pt idx="3497">
                  <c:v>The Abyss </c:v>
                </c:pt>
                <c:pt idx="3498">
                  <c:v>The Act of Killing </c:v>
                </c:pt>
                <c:pt idx="3499">
                  <c:v>The Addams Family </c:v>
                </c:pt>
                <c:pt idx="3500">
                  <c:v>The Adjustment Bureau </c:v>
                </c:pt>
                <c:pt idx="3501">
                  <c:v>The Adventurer: The Curse of the Midas Box </c:v>
                </c:pt>
                <c:pt idx="3502">
                  <c:v>The Adventures of Elmo in Grouchland </c:v>
                </c:pt>
                <c:pt idx="3503">
                  <c:v>The Adventures of Ford Fairlane </c:v>
                </c:pt>
                <c:pt idx="3504">
                  <c:v>The Adventures of Huck Finn </c:v>
                </c:pt>
                <c:pt idx="3505">
                  <c:v>The Adventures of Pinocchio </c:v>
                </c:pt>
                <c:pt idx="3506">
                  <c:v>The Adventures of Pluto Nash </c:v>
                </c:pt>
                <c:pt idx="3507">
                  <c:v>The Adventures of Rocky &amp; Bullwinkle </c:v>
                </c:pt>
                <c:pt idx="3508">
                  <c:v>The Adventures of Sharkboy and Lavagirl 3-D </c:v>
                </c:pt>
                <c:pt idx="3509">
                  <c:v>The Adventures of Tintin </c:v>
                </c:pt>
                <c:pt idx="3510">
                  <c:v>The Age of Adaline </c:v>
                </c:pt>
                <c:pt idx="3511">
                  <c:v>The Age of Innocence </c:v>
                </c:pt>
                <c:pt idx="3512">
                  <c:v>The Alamo </c:v>
                </c:pt>
                <c:pt idx="3513">
                  <c:v>The Algerian </c:v>
                </c:pt>
                <c:pt idx="3514">
                  <c:v>The Amazing Catfish </c:v>
                </c:pt>
                <c:pt idx="3515">
                  <c:v>The Amazing Spider-Man 2 </c:v>
                </c:pt>
                <c:pt idx="3516">
                  <c:v>The Amazing Spider-Man </c:v>
                </c:pt>
                <c:pt idx="3517">
                  <c:v>The American President </c:v>
                </c:pt>
                <c:pt idx="3518">
                  <c:v>The American </c:v>
                </c:pt>
                <c:pt idx="3519">
                  <c:v>The Amityville Horror </c:v>
                </c:pt>
                <c:pt idx="3520">
                  <c:v>The Andromeda Strain </c:v>
                </c:pt>
                <c:pt idx="3521">
                  <c:v>The Angry Birds Movie </c:v>
                </c:pt>
                <c:pt idx="3522">
                  <c:v>The Animal </c:v>
                </c:pt>
                <c:pt idx="3523">
                  <c:v>The Ant Bully </c:v>
                </c:pt>
                <c:pt idx="3524">
                  <c:v>The Apartment </c:v>
                </c:pt>
                <c:pt idx="3525">
                  <c:v>The Apostle </c:v>
                </c:pt>
                <c:pt idx="3526">
                  <c:v>The Apparition </c:v>
                </c:pt>
                <c:pt idx="3527">
                  <c:v>The Art of Getting By </c:v>
                </c:pt>
                <c:pt idx="3528">
                  <c:v>The Art of War </c:v>
                </c:pt>
                <c:pt idx="3529">
                  <c:v>The Artist </c:v>
                </c:pt>
                <c:pt idx="3530">
                  <c:v>The Assassin </c:v>
                </c:pt>
                <c:pt idx="3531">
                  <c:v>The Assassination of Jesse James by the Coward Robert Ford </c:v>
                </c:pt>
                <c:pt idx="3532">
                  <c:v>The Astronaut Farmer </c:v>
                </c:pt>
                <c:pt idx="3533">
                  <c:v>The Astronaut's Wife </c:v>
                </c:pt>
                <c:pt idx="3534">
                  <c:v>The A-Team </c:v>
                </c:pt>
                <c:pt idx="3535">
                  <c:v>The Avengers </c:v>
                </c:pt>
                <c:pt idx="3536">
                  <c:v>The Aviator </c:v>
                </c:pt>
                <c:pt idx="3537">
                  <c:v>The Awakening </c:v>
                </c:pt>
                <c:pt idx="3538">
                  <c:v>The Baader Meinhof Complex </c:v>
                </c:pt>
                <c:pt idx="3539">
                  <c:v>The Bachelor </c:v>
                </c:pt>
                <c:pt idx="3540">
                  <c:v>The Back-up Plan </c:v>
                </c:pt>
                <c:pt idx="3541">
                  <c:v>The Bad News Bears </c:v>
                </c:pt>
                <c:pt idx="3542">
                  <c:v>The Ballad of Cable Hogue </c:v>
                </c:pt>
                <c:pt idx="3543">
                  <c:v>The Ballad of Gregorio Cortez </c:v>
                </c:pt>
                <c:pt idx="3544">
                  <c:v>The Ballad of Jack and Rose </c:v>
                </c:pt>
                <c:pt idx="3545">
                  <c:v>The Banger Sisters </c:v>
                </c:pt>
                <c:pt idx="3546">
                  <c:v>The Bank Job </c:v>
                </c:pt>
                <c:pt idx="3547">
                  <c:v>The Barbarian Invasions </c:v>
                </c:pt>
                <c:pt idx="3548">
                  <c:v>The Barbarians </c:v>
                </c:pt>
                <c:pt idx="3549">
                  <c:v>The Basket </c:v>
                </c:pt>
                <c:pt idx="3550">
                  <c:v>The Battle of Shaker Heights </c:v>
                </c:pt>
                <c:pt idx="3551">
                  <c:v>The Beach </c:v>
                </c:pt>
                <c:pt idx="3552">
                  <c:v>The Beast from 20,000 Fathoms </c:v>
                </c:pt>
                <c:pt idx="3553">
                  <c:v>The Beastmaster </c:v>
                </c:pt>
                <c:pt idx="3554">
                  <c:v>The Beaver </c:v>
                </c:pt>
                <c:pt idx="3555">
                  <c:v>The Believer </c:v>
                </c:pt>
                <c:pt idx="3556">
                  <c:v>The Benchwarmers </c:v>
                </c:pt>
                <c:pt idx="3557">
                  <c:v>The Best Exotic Marigold Hotel </c:v>
                </c:pt>
                <c:pt idx="3558">
                  <c:v>The Best Little Whorehouse in Texas </c:v>
                </c:pt>
                <c:pt idx="3559">
                  <c:v>The Best Man Holiday </c:v>
                </c:pt>
                <c:pt idx="3560">
                  <c:v>The Best Man </c:v>
                </c:pt>
                <c:pt idx="3561">
                  <c:v>The Best of Me </c:v>
                </c:pt>
                <c:pt idx="3562">
                  <c:v>The Best Offer </c:v>
                </c:pt>
                <c:pt idx="3563">
                  <c:v>The Best Years of Our Lives </c:v>
                </c:pt>
                <c:pt idx="3564">
                  <c:v>The Betrayed </c:v>
                </c:pt>
                <c:pt idx="3565">
                  <c:v>The Beyond </c:v>
                </c:pt>
                <c:pt idx="3566">
                  <c:v>The BFG </c:v>
                </c:pt>
                <c:pt idx="3567">
                  <c:v>The Big Bounce </c:v>
                </c:pt>
                <c:pt idx="3568">
                  <c:v>The Big Hit </c:v>
                </c:pt>
                <c:pt idx="3569">
                  <c:v>The Big Lebowski </c:v>
                </c:pt>
                <c:pt idx="3570">
                  <c:v>The Big Parade </c:v>
                </c:pt>
                <c:pt idx="3571">
                  <c:v>The Big Short </c:v>
                </c:pt>
                <c:pt idx="3572">
                  <c:v>The Big Swap </c:v>
                </c:pt>
                <c:pt idx="3573">
                  <c:v>The Big Tease </c:v>
                </c:pt>
                <c:pt idx="3574">
                  <c:v>The Big Wedding </c:v>
                </c:pt>
                <c:pt idx="3575">
                  <c:v>The Big Year </c:v>
                </c:pt>
                <c:pt idx="3576">
                  <c:v>The Birth of a Nation </c:v>
                </c:pt>
                <c:pt idx="3577">
                  <c:v>The Black Dahlia </c:v>
                </c:pt>
                <c:pt idx="3578">
                  <c:v>The Black Hole </c:v>
                </c:pt>
                <c:pt idx="3579">
                  <c:v>The Black Stallion </c:v>
                </c:pt>
                <c:pt idx="3580">
                  <c:v>The Blair Witch Project </c:v>
                </c:pt>
                <c:pt idx="3581">
                  <c:v>The Blind Side </c:v>
                </c:pt>
                <c:pt idx="3582">
                  <c:v>The Blood of Heroes </c:v>
                </c:pt>
                <c:pt idx="3583">
                  <c:v>The Blood of My Brother </c:v>
                </c:pt>
                <c:pt idx="3584">
                  <c:v>The Blue Bird </c:v>
                </c:pt>
                <c:pt idx="3585">
                  <c:v>The Blue Butterfly </c:v>
                </c:pt>
                <c:pt idx="3586">
                  <c:v>The Blue Lagoon </c:v>
                </c:pt>
                <c:pt idx="3587">
                  <c:v>The Blue Room </c:v>
                </c:pt>
                <c:pt idx="3588">
                  <c:v>The Blues Brothers </c:v>
                </c:pt>
                <c:pt idx="3589">
                  <c:v>The Bodyguard </c:v>
                </c:pt>
                <c:pt idx="3590">
                  <c:v>The Bold and the Beautiful </c:v>
                </c:pt>
                <c:pt idx="3591">
                  <c:v>The Bone Collector </c:v>
                </c:pt>
                <c:pt idx="3592">
                  <c:v>The Book of Eli </c:v>
                </c:pt>
                <c:pt idx="3593">
                  <c:v>The Book of Life </c:v>
                </c:pt>
                <c:pt idx="3594">
                  <c:v>The Book of Mormon Movie, Volume 1: The Journey </c:v>
                </c:pt>
                <c:pt idx="3595">
                  <c:v>The Book Thief </c:v>
                </c:pt>
                <c:pt idx="3596">
                  <c:v>The Boondock Saints II: All Saints Day </c:v>
                </c:pt>
                <c:pt idx="3597">
                  <c:v>The Boondock Saints </c:v>
                </c:pt>
                <c:pt idx="3598">
                  <c:v>The Border </c:v>
                </c:pt>
                <c:pt idx="3599">
                  <c:v>The Borrowers </c:v>
                </c:pt>
                <c:pt idx="3600">
                  <c:v>The Boss </c:v>
                </c:pt>
                <c:pt idx="3601">
                  <c:v>The Bounty Hunter </c:v>
                </c:pt>
                <c:pt idx="3602">
                  <c:v>The Bounty </c:v>
                </c:pt>
                <c:pt idx="3603">
                  <c:v>The Bourne Identity </c:v>
                </c:pt>
                <c:pt idx="3604">
                  <c:v>The Bourne Legacy </c:v>
                </c:pt>
                <c:pt idx="3605">
                  <c:v>The Bourne Supremacy </c:v>
                </c:pt>
                <c:pt idx="3606">
                  <c:v>The Bourne Ultimatum </c:v>
                </c:pt>
                <c:pt idx="3607">
                  <c:v>The Box </c:v>
                </c:pt>
                <c:pt idx="3608">
                  <c:v>The Boxtrolls </c:v>
                </c:pt>
                <c:pt idx="3609">
                  <c:v>The Boy in the Striped Pajamas </c:v>
                </c:pt>
                <c:pt idx="3610">
                  <c:v>The Boy Next Door </c:v>
                </c:pt>
                <c:pt idx="3611">
                  <c:v>The Boy </c:v>
                </c:pt>
                <c:pt idx="3612">
                  <c:v>The Boys from Brazil </c:v>
                </c:pt>
                <c:pt idx="3613">
                  <c:v>The Brain That Sings </c:v>
                </c:pt>
                <c:pt idx="3614">
                  <c:v>The Brain That Wouldn't Die </c:v>
                </c:pt>
                <c:pt idx="3615">
                  <c:v>The Brass Teapot </c:v>
                </c:pt>
                <c:pt idx="3616">
                  <c:v>The Brave Little Toaster </c:v>
                </c:pt>
                <c:pt idx="3617">
                  <c:v>The Break-Up </c:v>
                </c:pt>
                <c:pt idx="3618">
                  <c:v>The Bridge of San Luis Rey </c:v>
                </c:pt>
                <c:pt idx="3619">
                  <c:v>The Bridge on the River Kwai </c:v>
                </c:pt>
                <c:pt idx="3620">
                  <c:v>The Bridges of Madison County </c:v>
                </c:pt>
                <c:pt idx="3621">
                  <c:v>The Broadway Melody </c:v>
                </c:pt>
                <c:pt idx="3622">
                  <c:v>The Broken Hearts Club: A Romantic Comedy </c:v>
                </c:pt>
                <c:pt idx="3623">
                  <c:v>The Brothers Bloom </c:v>
                </c:pt>
                <c:pt idx="3624">
                  <c:v>The Brothers Grimm </c:v>
                </c:pt>
                <c:pt idx="3625">
                  <c:v>The Brothers McMullen </c:v>
                </c:pt>
                <c:pt idx="3626">
                  <c:v>The Brothers Solomon </c:v>
                </c:pt>
                <c:pt idx="3627">
                  <c:v>The Brothers </c:v>
                </c:pt>
                <c:pt idx="3628">
                  <c:v>The Brown Bunny </c:v>
                </c:pt>
                <c:pt idx="3629">
                  <c:v>The Bubble </c:v>
                </c:pt>
                <c:pt idx="3630">
                  <c:v>The Bucket List </c:v>
                </c:pt>
                <c:pt idx="3631">
                  <c:v>The Business of Fancydancing </c:v>
                </c:pt>
                <c:pt idx="3632">
                  <c:v>The Business of Strangers </c:v>
                </c:pt>
                <c:pt idx="3633">
                  <c:v>The Butterfly Effect </c:v>
                </c:pt>
                <c:pt idx="3634">
                  <c:v>The Cabin in the Woods </c:v>
                </c:pt>
                <c:pt idx="3635">
                  <c:v>The Cable Guy </c:v>
                </c:pt>
                <c:pt idx="3636">
                  <c:v>The Californians </c:v>
                </c:pt>
                <c:pt idx="3637">
                  <c:v>The Call of Cthulhu </c:v>
                </c:pt>
                <c:pt idx="3638">
                  <c:v>The Call </c:v>
                </c:pt>
                <c:pt idx="3639">
                  <c:v>The Calling </c:v>
                </c:pt>
                <c:pt idx="3640">
                  <c:v>The Campaign </c:v>
                </c:pt>
                <c:pt idx="3641">
                  <c:v>The Canyons </c:v>
                </c:pt>
                <c:pt idx="3642">
                  <c:v>The Case of the Grinning Cat </c:v>
                </c:pt>
                <c:pt idx="3643">
                  <c:v>The Cat in the Hat </c:v>
                </c:pt>
                <c:pt idx="3644">
                  <c:v>The Cave </c:v>
                </c:pt>
                <c:pt idx="3645">
                  <c:v>The Caveman's Valentine </c:v>
                </c:pt>
                <c:pt idx="3646">
                  <c:v>The Celebration </c:v>
                </c:pt>
                <c:pt idx="3647">
                  <c:v>The Cell </c:v>
                </c:pt>
                <c:pt idx="3648">
                  <c:v>The Chambermaid on the Titanic </c:v>
                </c:pt>
                <c:pt idx="3649">
                  <c:v>The Change-Up </c:v>
                </c:pt>
                <c:pt idx="3650">
                  <c:v>The Charge of the Light Brigade </c:v>
                </c:pt>
                <c:pt idx="3651">
                  <c:v>The Children of Huang Shi </c:v>
                </c:pt>
                <c:pt idx="3652">
                  <c:v>The Chorus </c:v>
                </c:pt>
                <c:pt idx="3653">
                  <c:v>The Christmas Bunny </c:v>
                </c:pt>
                <c:pt idx="3654">
                  <c:v>The Christmas Candle </c:v>
                </c:pt>
                <c:pt idx="3655">
                  <c:v>The Chronicles of Narnia: Prince Caspian </c:v>
                </c:pt>
                <c:pt idx="3656">
                  <c:v>The Chronicles of Narnia: The Lion, the Witch and the Wardrobe </c:v>
                </c:pt>
                <c:pt idx="3657">
                  <c:v>The Chronicles of Narnia: The Voyage of the Dawn Treader </c:v>
                </c:pt>
                <c:pt idx="3658">
                  <c:v>The Chronicles of Riddick </c:v>
                </c:pt>
                <c:pt idx="3659">
                  <c:v>The Chumscrubber </c:v>
                </c:pt>
                <c:pt idx="3660">
                  <c:v>The Circle </c:v>
                </c:pt>
                <c:pt idx="3661">
                  <c:v>The City of Your Final Destination </c:v>
                </c:pt>
                <c:pt idx="3662">
                  <c:v>The Claim </c:v>
                </c:pt>
                <c:pt idx="3663">
                  <c:v>The Clan of the Cave Bear </c:v>
                </c:pt>
                <c:pt idx="3664">
                  <c:v>The Class </c:v>
                </c:pt>
                <c:pt idx="3665">
                  <c:v>The Client </c:v>
                </c:pt>
                <c:pt idx="3666">
                  <c:v>The Cold Light of Day </c:v>
                </c:pt>
                <c:pt idx="3667">
                  <c:v>The Collection </c:v>
                </c:pt>
                <c:pt idx="3668">
                  <c:v>The Color of Freedom </c:v>
                </c:pt>
                <c:pt idx="3669">
                  <c:v>The Color of Money </c:v>
                </c:pt>
                <c:pt idx="3670">
                  <c:v>The Color Purple </c:v>
                </c:pt>
                <c:pt idx="3671">
                  <c:v>The Company </c:v>
                </c:pt>
                <c:pt idx="3672">
                  <c:v>The Conformist </c:v>
                </c:pt>
                <c:pt idx="3673">
                  <c:v>The Conjuring 2 </c:v>
                </c:pt>
                <c:pt idx="3674">
                  <c:v>The Conjuring </c:v>
                </c:pt>
                <c:pt idx="3675">
                  <c:v>The Conspirator </c:v>
                </c:pt>
                <c:pt idx="3676">
                  <c:v>The Constant Gardener </c:v>
                </c:pt>
                <c:pt idx="3677">
                  <c:v>The Contender </c:v>
                </c:pt>
                <c:pt idx="3678">
                  <c:v>The Conversation </c:v>
                </c:pt>
                <c:pt idx="3679">
                  <c:v>The Cookout </c:v>
                </c:pt>
                <c:pt idx="3680">
                  <c:v>The Cooler </c:v>
                </c:pt>
                <c:pt idx="3681">
                  <c:v>The Core </c:v>
                </c:pt>
                <c:pt idx="3682">
                  <c:v>The Corruptor </c:v>
                </c:pt>
                <c:pt idx="3683">
                  <c:v>The Cottage </c:v>
                </c:pt>
                <c:pt idx="3684">
                  <c:v>The Cotton Club </c:v>
                </c:pt>
                <c:pt idx="3685">
                  <c:v>The Counselor </c:v>
                </c:pt>
                <c:pt idx="3686">
                  <c:v>The Count of Monte Cristo </c:v>
                </c:pt>
                <c:pt idx="3687">
                  <c:v>The Country Bears </c:v>
                </c:pt>
                <c:pt idx="3688">
                  <c:v>The Covenant </c:v>
                </c:pt>
                <c:pt idx="3689">
                  <c:v>The Craft </c:v>
                </c:pt>
                <c:pt idx="3690">
                  <c:v>The Crazies </c:v>
                </c:pt>
                <c:pt idx="3691">
                  <c:v>The Crew </c:v>
                </c:pt>
                <c:pt idx="3692">
                  <c:v>The Crocodile Hunter: Collision Course </c:v>
                </c:pt>
                <c:pt idx="3693">
                  <c:v>The Croods </c:v>
                </c:pt>
                <c:pt idx="3694">
                  <c:v>The Crow </c:v>
                </c:pt>
                <c:pt idx="3695">
                  <c:v>The Cry of the Owl </c:v>
                </c:pt>
                <c:pt idx="3696">
                  <c:v>The Crying Game </c:v>
                </c:pt>
                <c:pt idx="3697">
                  <c:v>The Cure </c:v>
                </c:pt>
                <c:pt idx="3698">
                  <c:v>The Curious Case of Benjamin Button </c:v>
                </c:pt>
                <c:pt idx="3699">
                  <c:v>The Curse of Downers Grove </c:v>
                </c:pt>
                <c:pt idx="3700">
                  <c:v>The Curse of the Jade Scorpion </c:v>
                </c:pt>
                <c:pt idx="3701">
                  <c:v>The Curse of the Were-Rabbit </c:v>
                </c:pt>
                <c:pt idx="3702">
                  <c:v>The Da Vinci Code </c:v>
                </c:pt>
                <c:pt idx="3703">
                  <c:v>The Damned United </c:v>
                </c:pt>
                <c:pt idx="3704">
                  <c:v>The Dangerous Lives of Altar Boys </c:v>
                </c:pt>
                <c:pt idx="3705">
                  <c:v>The Dark Hours </c:v>
                </c:pt>
                <c:pt idx="3706">
                  <c:v>The Dark Knight Rises </c:v>
                </c:pt>
                <c:pt idx="3707">
                  <c:v>The Dark Knight </c:v>
                </c:pt>
                <c:pt idx="3708">
                  <c:v>The Darkest Hour </c:v>
                </c:pt>
                <c:pt idx="3709">
                  <c:v>The Day After Tomorrow </c:v>
                </c:pt>
                <c:pt idx="3710">
                  <c:v>The Day the Earth Stood Still </c:v>
                </c:pt>
                <c:pt idx="3711">
                  <c:v>The Dead Girl </c:v>
                </c:pt>
                <c:pt idx="3712">
                  <c:v>The Dead Undead </c:v>
                </c:pt>
                <c:pt idx="3713">
                  <c:v>The Dead Zone </c:v>
                </c:pt>
                <c:pt idx="3714">
                  <c:v>The Death and Life of Bobby Z </c:v>
                </c:pt>
                <c:pt idx="3715">
                  <c:v>The Debt </c:v>
                </c:pt>
                <c:pt idx="3716">
                  <c:v>The Deep End of the Ocean </c:v>
                </c:pt>
                <c:pt idx="3717">
                  <c:v>The Deer Hunter </c:v>
                </c:pt>
                <c:pt idx="3718">
                  <c:v>The Departed </c:v>
                </c:pt>
                <c:pt idx="3719">
                  <c:v>The Deported </c:v>
                </c:pt>
                <c:pt idx="3720">
                  <c:v>The Descendants </c:v>
                </c:pt>
                <c:pt idx="3721">
                  <c:v>The Descent </c:v>
                </c:pt>
                <c:pt idx="3722">
                  <c:v>The Devil Inside </c:v>
                </c:pt>
                <c:pt idx="3723">
                  <c:v>The Devil Wears Prada </c:v>
                </c:pt>
                <c:pt idx="3724">
                  <c:v>The Devil's Advocate </c:v>
                </c:pt>
                <c:pt idx="3725">
                  <c:v>The Devil's Double </c:v>
                </c:pt>
                <c:pt idx="3726">
                  <c:v>The Devil's Own </c:v>
                </c:pt>
                <c:pt idx="3727">
                  <c:v>The Devil's Rejects </c:v>
                </c:pt>
                <c:pt idx="3728">
                  <c:v>The Devil's Tomb </c:v>
                </c:pt>
                <c:pt idx="3729">
                  <c:v>The Diary of a Teenage Girl </c:v>
                </c:pt>
                <c:pt idx="3730">
                  <c:v>The Dictator </c:v>
                </c:pt>
                <c:pt idx="3731">
                  <c:v>The Dilemma </c:v>
                </c:pt>
                <c:pt idx="3732">
                  <c:v>The Dirties </c:v>
                </c:pt>
                <c:pt idx="3733">
                  <c:v>The Divide </c:v>
                </c:pt>
                <c:pt idx="3734">
                  <c:v>The Diving Bell and the Butterfly </c:v>
                </c:pt>
                <c:pt idx="3735">
                  <c:v>The Dog Lover </c:v>
                </c:pt>
                <c:pt idx="3736">
                  <c:v>The Doombolt Chase </c:v>
                </c:pt>
                <c:pt idx="3737">
                  <c:v>The Doors </c:v>
                </c:pt>
                <c:pt idx="3738">
                  <c:v>The Dress </c:v>
                </c:pt>
                <c:pt idx="3739">
                  <c:v>The Duchess </c:v>
                </c:pt>
                <c:pt idx="3740">
                  <c:v>The DUFF </c:v>
                </c:pt>
                <c:pt idx="3741">
                  <c:v>The Dukes of Hazzard </c:v>
                </c:pt>
                <c:pt idx="3742">
                  <c:v>The East </c:v>
                </c:pt>
                <c:pt idx="3743">
                  <c:v>The Eclipse </c:v>
                </c:pt>
                <c:pt idx="3744">
                  <c:v>The Edge </c:v>
                </c:pt>
                <c:pt idx="3745">
                  <c:v>The Egyptian </c:v>
                </c:pt>
                <c:pt idx="3746">
                  <c:v>The Elephant Man </c:v>
                </c:pt>
                <c:pt idx="3747">
                  <c:v>The Emperor's Club </c:v>
                </c:pt>
                <c:pt idx="3748">
                  <c:v>The Emperor's New Groove </c:v>
                </c:pt>
                <c:pt idx="3749">
                  <c:v>The End of the Affair </c:v>
                </c:pt>
                <c:pt idx="3750">
                  <c:v>The English Patient </c:v>
                </c:pt>
                <c:pt idx="3751">
                  <c:v>The Equalizer </c:v>
                </c:pt>
                <c:pt idx="3752">
                  <c:v>The Evil Dead </c:v>
                </c:pt>
                <c:pt idx="3753">
                  <c:v>The Exorcism of Emily Rose </c:v>
                </c:pt>
                <c:pt idx="3754">
                  <c:v>The Exorcist </c:v>
                </c:pt>
                <c:pt idx="3755">
                  <c:v>The Expendables 2 </c:v>
                </c:pt>
                <c:pt idx="3756">
                  <c:v>The Expendables 3 </c:v>
                </c:pt>
                <c:pt idx="3757">
                  <c:v>The Expendables </c:v>
                </c:pt>
                <c:pt idx="3758">
                  <c:v>The Exploding Girl </c:v>
                </c:pt>
                <c:pt idx="3759">
                  <c:v>The Express </c:v>
                </c:pt>
                <c:pt idx="3760">
                  <c:v>The Extra Man </c:v>
                </c:pt>
                <c:pt idx="3761">
                  <c:v>The Eye </c:v>
                </c:pt>
                <c:pt idx="3762">
                  <c:v>The Face of an Angel </c:v>
                </c:pt>
                <c:pt idx="3763">
                  <c:v>The Faculty </c:v>
                </c:pt>
                <c:pt idx="3764">
                  <c:v>The Fall of the Roman Empire </c:v>
                </c:pt>
                <c:pt idx="3765">
                  <c:v>The Family Man </c:v>
                </c:pt>
                <c:pt idx="3766">
                  <c:v>The Family Stone </c:v>
                </c:pt>
                <c:pt idx="3767">
                  <c:v>The Family </c:v>
                </c:pt>
                <c:pt idx="3768">
                  <c:v>The Fan </c:v>
                </c:pt>
                <c:pt idx="3769">
                  <c:v>The Fast and the Furious </c:v>
                </c:pt>
                <c:pt idx="3770">
                  <c:v>The Fast and the Furious: Tokyo Drift </c:v>
                </c:pt>
                <c:pt idx="3771">
                  <c:v>The Fault in Our Stars </c:v>
                </c:pt>
                <c:pt idx="3772">
                  <c:v>The Fifth Element </c:v>
                </c:pt>
                <c:pt idx="3773">
                  <c:v>The Fifth Estate </c:v>
                </c:pt>
                <c:pt idx="3774">
                  <c:v>The Fighter </c:v>
                </c:pt>
                <c:pt idx="3775">
                  <c:v>The Final Destination </c:v>
                </c:pt>
                <c:pt idx="3776">
                  <c:v>The Finest Hours </c:v>
                </c:pt>
                <c:pt idx="3777">
                  <c:v>The Firm </c:v>
                </c:pt>
                <c:pt idx="3778">
                  <c:v>The First Wives Club </c:v>
                </c:pt>
                <c:pt idx="3779">
                  <c:v>The Fisher King </c:v>
                </c:pt>
                <c:pt idx="3780">
                  <c:v>The Five-Year Engagement </c:v>
                </c:pt>
                <c:pt idx="3781">
                  <c:v>The Flintstones in Viva Rock Vegas </c:v>
                </c:pt>
                <c:pt idx="3782">
                  <c:v>The Flintstones </c:v>
                </c:pt>
                <c:pt idx="3783">
                  <c:v>The Flower of Evil </c:v>
                </c:pt>
                <c:pt idx="3784">
                  <c:v>The Flowers of War </c:v>
                </c:pt>
                <c:pt idx="3785">
                  <c:v>The Fog </c:v>
                </c:pt>
                <c:pt idx="3786">
                  <c:v>The Following </c:v>
                </c:pt>
                <c:pt idx="3787">
                  <c:v>The Forbidden Kingdom </c:v>
                </c:pt>
                <c:pt idx="3788">
                  <c:v>The Forest </c:v>
                </c:pt>
                <c:pt idx="3789">
                  <c:v>The Forsaken </c:v>
                </c:pt>
                <c:pt idx="3790">
                  <c:v>The Fountain </c:v>
                </c:pt>
                <c:pt idx="3791">
                  <c:v>The Four Feathers </c:v>
                </c:pt>
                <c:pt idx="3792">
                  <c:v>The Four Seasons </c:v>
                </c:pt>
                <c:pt idx="3793">
                  <c:v>The Fourth Kind </c:v>
                </c:pt>
                <c:pt idx="3794">
                  <c:v>The FP </c:v>
                </c:pt>
                <c:pt idx="3795">
                  <c:v>The French Connection </c:v>
                </c:pt>
                <c:pt idx="3796">
                  <c:v>The Front Page </c:v>
                </c:pt>
                <c:pt idx="3797">
                  <c:v>The Frozen Ground </c:v>
                </c:pt>
                <c:pt idx="3798">
                  <c:v>The Frozen </c:v>
                </c:pt>
                <c:pt idx="3799">
                  <c:v>The Fugitive </c:v>
                </c:pt>
                <c:pt idx="3800">
                  <c:v>The Full Monty </c:v>
                </c:pt>
                <c:pt idx="3801">
                  <c:v>The Funeral </c:v>
                </c:pt>
                <c:pt idx="3802">
                  <c:v>The Gallows </c:v>
                </c:pt>
                <c:pt idx="3803">
                  <c:v>The Gambler </c:v>
                </c:pt>
                <c:pt idx="3804">
                  <c:v>The Game of Their Lives </c:v>
                </c:pt>
                <c:pt idx="3805">
                  <c:v>The Game Plan </c:v>
                </c:pt>
                <c:pt idx="3806">
                  <c:v>The Game </c:v>
                </c:pt>
                <c:pt idx="3807">
                  <c:v>The Gatekeepers </c:v>
                </c:pt>
                <c:pt idx="3808">
                  <c:v>The General's Daughter </c:v>
                </c:pt>
                <c:pt idx="3809">
                  <c:v>The Geographer Drank His Globe Away </c:v>
                </c:pt>
                <c:pt idx="3810">
                  <c:v>The Ghastly Love of Johnny X </c:v>
                </c:pt>
                <c:pt idx="3811">
                  <c:v>The Ghost and the Darkness </c:v>
                </c:pt>
                <c:pt idx="3812">
                  <c:v>The Ghost Writer </c:v>
                </c:pt>
                <c:pt idx="3813">
                  <c:v>The Gift </c:v>
                </c:pt>
                <c:pt idx="3814">
                  <c:v>The Girl Next Door </c:v>
                </c:pt>
                <c:pt idx="3815">
                  <c:v>The Girl on the Train </c:v>
                </c:pt>
                <c:pt idx="3816">
                  <c:v>The Girl with the Dragon Tattoo </c:v>
                </c:pt>
                <c:pt idx="3817">
                  <c:v>The Girlfriend Experience </c:v>
                </c:pt>
                <c:pt idx="3818">
                  <c:v>The Giver </c:v>
                </c:pt>
                <c:pt idx="3819">
                  <c:v>The Glass House </c:v>
                </c:pt>
                <c:pt idx="3820">
                  <c:v>The Glimmer Man </c:v>
                </c:pt>
                <c:pt idx="3821">
                  <c:v>The Godfather </c:v>
                </c:pt>
                <c:pt idx="3822">
                  <c:v>The Godfather: Part II </c:v>
                </c:pt>
                <c:pt idx="3823">
                  <c:v>The Godfather: Part III </c:v>
                </c:pt>
                <c:pt idx="3824">
                  <c:v>The Golden Child </c:v>
                </c:pt>
                <c:pt idx="3825">
                  <c:v>The Golden Compass </c:v>
                </c:pt>
                <c:pt idx="3826">
                  <c:v>The Good Dinosaur </c:v>
                </c:pt>
                <c:pt idx="3827">
                  <c:v>The Good German </c:v>
                </c:pt>
                <c:pt idx="3828">
                  <c:v>The Good Girl </c:v>
                </c:pt>
                <c:pt idx="3829">
                  <c:v>The Good Guy </c:v>
                </c:pt>
                <c:pt idx="3830">
                  <c:v>The Good Heart </c:v>
                </c:pt>
                <c:pt idx="3831">
                  <c:v>The Good Night </c:v>
                </c:pt>
                <c:pt idx="3832">
                  <c:v>The Good Thief </c:v>
                </c:pt>
                <c:pt idx="3833">
                  <c:v>The Good, the Bad and the Ugly </c:v>
                </c:pt>
                <c:pt idx="3834">
                  <c:v>The Good, the Bad, the Weird </c:v>
                </c:pt>
                <c:pt idx="3835">
                  <c:v>The Goods: Live Hard, Sell Hard </c:v>
                </c:pt>
                <c:pt idx="3836">
                  <c:v>The Grace Card </c:v>
                </c:pt>
                <c:pt idx="3837">
                  <c:v>The Grand Budapest Hotel </c:v>
                </c:pt>
                <c:pt idx="3838">
                  <c:v>The Grand </c:v>
                </c:pt>
                <c:pt idx="3839">
                  <c:v>The Grandmaster </c:v>
                </c:pt>
                <c:pt idx="3840">
                  <c:v>The Great Beauty </c:v>
                </c:pt>
                <c:pt idx="3841">
                  <c:v>The Great Debaters </c:v>
                </c:pt>
                <c:pt idx="3842">
                  <c:v>The Great Escape </c:v>
                </c:pt>
                <c:pt idx="3843">
                  <c:v>The Great Gatsby </c:v>
                </c:pt>
                <c:pt idx="3844">
                  <c:v>The Great Raid </c:v>
                </c:pt>
                <c:pt idx="3845">
                  <c:v>The Great Train Robbery </c:v>
                </c:pt>
                <c:pt idx="3846">
                  <c:v>The Greatest Game Ever Played </c:v>
                </c:pt>
                <c:pt idx="3847">
                  <c:v>The Greatest Movie Ever Sold </c:v>
                </c:pt>
                <c:pt idx="3848">
                  <c:v>The Greatest Show on Earth </c:v>
                </c:pt>
                <c:pt idx="3849">
                  <c:v>The Greatest Story Ever Told </c:v>
                </c:pt>
                <c:pt idx="3850">
                  <c:v>The Greatest </c:v>
                </c:pt>
                <c:pt idx="3851">
                  <c:v>The Green Hornet </c:v>
                </c:pt>
                <c:pt idx="3852">
                  <c:v>The Green Inferno </c:v>
                </c:pt>
                <c:pt idx="3853">
                  <c:v>The Green Mile </c:v>
                </c:pt>
                <c:pt idx="3854">
                  <c:v>The Grey </c:v>
                </c:pt>
                <c:pt idx="3855">
                  <c:v>The Grudge 2 </c:v>
                </c:pt>
                <c:pt idx="3856">
                  <c:v>The Grudge </c:v>
                </c:pt>
                <c:pt idx="3857">
                  <c:v>The Guard </c:v>
                </c:pt>
                <c:pt idx="3858">
                  <c:v>The Guilt Trip </c:v>
                </c:pt>
                <c:pt idx="3859">
                  <c:v>The Gunman </c:v>
                </c:pt>
                <c:pt idx="3860">
                  <c:v>The Guru </c:v>
                </c:pt>
                <c:pt idx="3861">
                  <c:v>The Hadza: Last of the First </c:v>
                </c:pt>
                <c:pt idx="3862">
                  <c:v>The Hammer </c:v>
                </c:pt>
                <c:pt idx="3863">
                  <c:v>The Hangover Part II </c:v>
                </c:pt>
                <c:pt idx="3864">
                  <c:v>The Hangover </c:v>
                </c:pt>
                <c:pt idx="3865">
                  <c:v>The Happening </c:v>
                </c:pt>
                <c:pt idx="3866">
                  <c:v>The Harvest/La Cosecha </c:v>
                </c:pt>
                <c:pt idx="3867">
                  <c:v>The Hateful Eight </c:v>
                </c:pt>
                <c:pt idx="3868">
                  <c:v>The Haunted Mansion </c:v>
                </c:pt>
                <c:pt idx="3869">
                  <c:v>The Haunting in Connecticut 2: Ghosts of Georgia </c:v>
                </c:pt>
                <c:pt idx="3870">
                  <c:v>The Haunting of Molly Hartley </c:v>
                </c:pt>
                <c:pt idx="3871">
                  <c:v>The Haunting </c:v>
                </c:pt>
                <c:pt idx="3872">
                  <c:v>The Heart of Me </c:v>
                </c:pt>
                <c:pt idx="3873">
                  <c:v>The Heat </c:v>
                </c:pt>
                <c:pt idx="3874">
                  <c:v>The Hebrew Hammer </c:v>
                </c:pt>
                <c:pt idx="3875">
                  <c:v>The Helix... Loaded </c:v>
                </c:pt>
                <c:pt idx="3876">
                  <c:v>The Help </c:v>
                </c:pt>
                <c:pt idx="3877">
                  <c:v>The Hills Have Eyes II </c:v>
                </c:pt>
                <c:pt idx="3878">
                  <c:v>The Hills Have Eyes </c:v>
                </c:pt>
                <c:pt idx="3879">
                  <c:v>The History Boys </c:v>
                </c:pt>
                <c:pt idx="3880">
                  <c:v>The Hit List </c:v>
                </c:pt>
                <c:pt idx="3881">
                  <c:v>The Hitchhiker's Guide to the Galaxy </c:v>
                </c:pt>
                <c:pt idx="3882">
                  <c:v>The Hoax </c:v>
                </c:pt>
                <c:pt idx="3883">
                  <c:v>The Hobbit: An Unexpected Journey </c:v>
                </c:pt>
                <c:pt idx="3884">
                  <c:v>The Hobbit: The Battle of the Five Armies </c:v>
                </c:pt>
                <c:pt idx="3885">
                  <c:v>The Hobbit: The Desolation of Smaug </c:v>
                </c:pt>
                <c:pt idx="3886">
                  <c:v>The Hole </c:v>
                </c:pt>
                <c:pt idx="3887">
                  <c:v>The Holiday </c:v>
                </c:pt>
                <c:pt idx="3888">
                  <c:v>The Holy Girl </c:v>
                </c:pt>
                <c:pt idx="3889">
                  <c:v>The Homesman </c:v>
                </c:pt>
                <c:pt idx="3890">
                  <c:v>The Honeymooners </c:v>
                </c:pt>
                <c:pt idx="3891">
                  <c:v>The Horror Network Vol. 1 </c:v>
                </c:pt>
                <c:pt idx="3892">
                  <c:v>The Horse Boy </c:v>
                </c:pt>
                <c:pt idx="3893">
                  <c:v>The Horse Whisperer </c:v>
                </c:pt>
                <c:pt idx="3894">
                  <c:v>The Horseman on the Roof </c:v>
                </c:pt>
                <c:pt idx="3895">
                  <c:v>The Host </c:v>
                </c:pt>
                <c:pt idx="3896">
                  <c:v>The Hotel New Hampshire </c:v>
                </c:pt>
                <c:pt idx="3897">
                  <c:v>The Hours </c:v>
                </c:pt>
                <c:pt idx="3898">
                  <c:v>The House Bunny </c:v>
                </c:pt>
                <c:pt idx="3899">
                  <c:v>The House of Mirth </c:v>
                </c:pt>
                <c:pt idx="3900">
                  <c:v>The House of the Devil </c:v>
                </c:pt>
                <c:pt idx="3901">
                  <c:v>The Howling </c:v>
                </c:pt>
                <c:pt idx="3902">
                  <c:v>The Hudsucker Proxy </c:v>
                </c:pt>
                <c:pt idx="3903">
                  <c:v>The Hunchback of Notre Dame </c:v>
                </c:pt>
                <c:pt idx="3904">
                  <c:v>The Hundred-Foot Journey </c:v>
                </c:pt>
                <c:pt idx="3905">
                  <c:v>The Hunger Games </c:v>
                </c:pt>
                <c:pt idx="3906">
                  <c:v>The Hunger Games: Catching Fire </c:v>
                </c:pt>
                <c:pt idx="3907">
                  <c:v>The Hunger Games: Mockingjay - Part 1 </c:v>
                </c:pt>
                <c:pt idx="3908">
                  <c:v>The Hunger Games: Mockingjay - Part 2 </c:v>
                </c:pt>
                <c:pt idx="3909">
                  <c:v>The Hunt for Red October </c:v>
                </c:pt>
                <c:pt idx="3910">
                  <c:v>The Hunt </c:v>
                </c:pt>
                <c:pt idx="3911">
                  <c:v>The Hunted </c:v>
                </c:pt>
                <c:pt idx="3912">
                  <c:v>The Hunting Party </c:v>
                </c:pt>
                <c:pt idx="3913">
                  <c:v>The Huntsman: Winter's War </c:v>
                </c:pt>
                <c:pt idx="3914">
                  <c:v>The Hurricane </c:v>
                </c:pt>
                <c:pt idx="3915">
                  <c:v>The Hurt Locker </c:v>
                </c:pt>
                <c:pt idx="3916">
                  <c:v>The Hustler </c:v>
                </c:pt>
                <c:pt idx="3917">
                  <c:v>The I Inside </c:v>
                </c:pt>
                <c:pt idx="3918">
                  <c:v>The Ice Pirates </c:v>
                </c:pt>
                <c:pt idx="3919">
                  <c:v>The Ice Storm </c:v>
                </c:pt>
                <c:pt idx="3920">
                  <c:v>The Iceman </c:v>
                </c:pt>
                <c:pt idx="3921">
                  <c:v>The Ides of March </c:v>
                </c:pt>
                <c:pt idx="3922">
                  <c:v>The Illusionist </c:v>
                </c:pt>
                <c:pt idx="3923">
                  <c:v>The Image Revolution </c:v>
                </c:pt>
                <c:pt idx="3924">
                  <c:v>The Imaginarium of Doctor Parnassus </c:v>
                </c:pt>
                <c:pt idx="3925">
                  <c:v>The Imitation Game </c:v>
                </c:pt>
                <c:pt idx="3926">
                  <c:v>The Immigrant </c:v>
                </c:pt>
                <c:pt idx="3927">
                  <c:v>The Importance of Being Earnest </c:v>
                </c:pt>
                <c:pt idx="3928">
                  <c:v>The Impossible </c:v>
                </c:pt>
                <c:pt idx="3929">
                  <c:v>The In Crowd </c:v>
                </c:pt>
                <c:pt idx="3930">
                  <c:v>The Inbetweeners </c:v>
                </c:pt>
                <c:pt idx="3931">
                  <c:v>The Incredible Burt Wonderstone </c:v>
                </c:pt>
                <c:pt idx="3932">
                  <c:v>The Incredible Hulk </c:v>
                </c:pt>
                <c:pt idx="3933">
                  <c:v>The Incredibles </c:v>
                </c:pt>
                <c:pt idx="3934">
                  <c:v>The Incredibly True Adventure of Two Girls in Love </c:v>
                </c:pt>
                <c:pt idx="3935">
                  <c:v>The Indian in the Cupboard </c:v>
                </c:pt>
                <c:pt idx="3936">
                  <c:v>The Infiltrator </c:v>
                </c:pt>
                <c:pt idx="3937">
                  <c:v>The Informant! </c:v>
                </c:pt>
                <c:pt idx="3938">
                  <c:v>The Informers </c:v>
                </c:pt>
                <c:pt idx="3939">
                  <c:v>The Inkwell </c:v>
                </c:pt>
                <c:pt idx="3940">
                  <c:v>The Innkeepers </c:v>
                </c:pt>
                <c:pt idx="3941">
                  <c:v>The Insider </c:v>
                </c:pt>
                <c:pt idx="3942">
                  <c:v>The Intern </c:v>
                </c:pt>
                <c:pt idx="3943">
                  <c:v>The International </c:v>
                </c:pt>
                <c:pt idx="3944">
                  <c:v>The Internship </c:v>
                </c:pt>
                <c:pt idx="3945">
                  <c:v>The Interpreter </c:v>
                </c:pt>
                <c:pt idx="3946">
                  <c:v>The Interview </c:v>
                </c:pt>
                <c:pt idx="3947">
                  <c:v>The Invasion </c:v>
                </c:pt>
                <c:pt idx="3948">
                  <c:v>The Invention of Lying </c:v>
                </c:pt>
                <c:pt idx="3949">
                  <c:v>The Iron Giant </c:v>
                </c:pt>
                <c:pt idx="3950">
                  <c:v>The Iron Lady </c:v>
                </c:pt>
                <c:pt idx="3951">
                  <c:v>The Island of Dr. Moreau </c:v>
                </c:pt>
                <c:pt idx="3952">
                  <c:v>The Island </c:v>
                </c:pt>
                <c:pt idx="3953">
                  <c:v>The Italian Job </c:v>
                </c:pt>
                <c:pt idx="3954">
                  <c:v>The Jackal </c:v>
                </c:pt>
                <c:pt idx="3955">
                  <c:v>The Jacket </c:v>
                </c:pt>
                <c:pt idx="3956">
                  <c:v>The Janky Promoters </c:v>
                </c:pt>
                <c:pt idx="3957">
                  <c:v>The Jerky Boys </c:v>
                </c:pt>
                <c:pt idx="3958">
                  <c:v>The Jimmy Show </c:v>
                </c:pt>
                <c:pt idx="3959">
                  <c:v>The Joneses </c:v>
                </c:pt>
                <c:pt idx="3960">
                  <c:v>The Judge </c:v>
                </c:pt>
                <c:pt idx="3961">
                  <c:v>The Jungle Book 2 </c:v>
                </c:pt>
                <c:pt idx="3962">
                  <c:v>The Jungle Book </c:v>
                </c:pt>
                <c:pt idx="3963">
                  <c:v>The Juror </c:v>
                </c:pt>
                <c:pt idx="3964">
                  <c:v>The Karate Kid </c:v>
                </c:pt>
                <c:pt idx="3965">
                  <c:v>The Kentucky Fried Movie </c:v>
                </c:pt>
                <c:pt idx="3966">
                  <c:v>The Kid </c:v>
                </c:pt>
                <c:pt idx="3967">
                  <c:v>The Kids Are All Right </c:v>
                </c:pt>
                <c:pt idx="3968">
                  <c:v>The Killer Inside Me </c:v>
                </c:pt>
                <c:pt idx="3969">
                  <c:v>The King of Najayo </c:v>
                </c:pt>
                <c:pt idx="3970">
                  <c:v>The Kingdom </c:v>
                </c:pt>
                <c:pt idx="3971">
                  <c:v>The King's Speech </c:v>
                </c:pt>
                <c:pt idx="3972">
                  <c:v>The Kite Runner </c:v>
                </c:pt>
                <c:pt idx="3973">
                  <c:v>The Knife of Don Juan </c:v>
                </c:pt>
                <c:pt idx="3974">
                  <c:v>The Ladies Man </c:v>
                </c:pt>
                <c:pt idx="3975">
                  <c:v>The Lady from Shanghai </c:v>
                </c:pt>
                <c:pt idx="3976">
                  <c:v>The Ladykillers </c:v>
                </c:pt>
                <c:pt idx="3977">
                  <c:v>The Lake House </c:v>
                </c:pt>
                <c:pt idx="3978">
                  <c:v>The Land Before Time </c:v>
                </c:pt>
                <c:pt idx="3979">
                  <c:v>The Land Girls </c:v>
                </c:pt>
                <c:pt idx="3980">
                  <c:v>The Last Airbender </c:v>
                </c:pt>
                <c:pt idx="3981">
                  <c:v>The Last Big Thing </c:v>
                </c:pt>
                <c:pt idx="3982">
                  <c:v>The Last Castle </c:v>
                </c:pt>
                <c:pt idx="3983">
                  <c:v>The Last Days on Mars </c:v>
                </c:pt>
                <c:pt idx="3984">
                  <c:v>The Last Dragon </c:v>
                </c:pt>
                <c:pt idx="3985">
                  <c:v>The Last Emperor </c:v>
                </c:pt>
                <c:pt idx="3986">
                  <c:v>The Last Exorcism Part II </c:v>
                </c:pt>
                <c:pt idx="3987">
                  <c:v>The Last Exorcism </c:v>
                </c:pt>
                <c:pt idx="3988">
                  <c:v>The Last Five Years </c:v>
                </c:pt>
                <c:pt idx="3989">
                  <c:v>The Last Godfather </c:v>
                </c:pt>
                <c:pt idx="3990">
                  <c:v>The Last House on the Left </c:v>
                </c:pt>
                <c:pt idx="3991">
                  <c:v>The Last King of Scotland </c:v>
                </c:pt>
                <c:pt idx="3992">
                  <c:v>The Last Legion </c:v>
                </c:pt>
                <c:pt idx="3993">
                  <c:v>The Last of the Mohicans </c:v>
                </c:pt>
                <c:pt idx="3994">
                  <c:v>The Last Samurai </c:v>
                </c:pt>
                <c:pt idx="3995">
                  <c:v>The Last Shot </c:v>
                </c:pt>
                <c:pt idx="3996">
                  <c:v>The Last Sin Eater </c:v>
                </c:pt>
                <c:pt idx="3997">
                  <c:v>The Last Song </c:v>
                </c:pt>
                <c:pt idx="3998">
                  <c:v>The Last Stand </c:v>
                </c:pt>
                <c:pt idx="3999">
                  <c:v>The Last Station </c:v>
                </c:pt>
                <c:pt idx="4000">
                  <c:v>The Last Temptation of Christ </c:v>
                </c:pt>
                <c:pt idx="4001">
                  <c:v>The Last Time I Committed Suicide </c:v>
                </c:pt>
                <c:pt idx="4002">
                  <c:v>The Last Waltz </c:v>
                </c:pt>
                <c:pt idx="4003">
                  <c:v>The Last Witch Hunter </c:v>
                </c:pt>
                <c:pt idx="4004">
                  <c:v>The Lawnmower Man </c:v>
                </c:pt>
                <c:pt idx="4005">
                  <c:v>The Lazarus Effect </c:v>
                </c:pt>
                <c:pt idx="4006">
                  <c:v>The League of Extraordinary Gentlemen </c:v>
                </c:pt>
                <c:pt idx="4007">
                  <c:v>The Legend of Bagger Vance </c:v>
                </c:pt>
                <c:pt idx="4008">
                  <c:v>The Legend of Drunken Master </c:v>
                </c:pt>
                <c:pt idx="4009">
                  <c:v>The Legend of God's Gun </c:v>
                </c:pt>
                <c:pt idx="4010">
                  <c:v>The Legend of Hell's Gate: An American Conspiracy </c:v>
                </c:pt>
                <c:pt idx="4011">
                  <c:v>The Legend of Hercules </c:v>
                </c:pt>
                <c:pt idx="4012">
                  <c:v>The Legend of Suriyothai </c:v>
                </c:pt>
                <c:pt idx="4013">
                  <c:v>The Legend of Tarzan </c:v>
                </c:pt>
                <c:pt idx="4014">
                  <c:v>The Legend of the Lone Ranger </c:v>
                </c:pt>
                <c:pt idx="4015">
                  <c:v>The Legend of Zorro </c:v>
                </c:pt>
                <c:pt idx="4016">
                  <c:v>The Lego Movie </c:v>
                </c:pt>
                <c:pt idx="4017">
                  <c:v>The Libertine </c:v>
                </c:pt>
                <c:pt idx="4018">
                  <c:v>The Life Aquatic with Steve Zissou </c:v>
                </c:pt>
                <c:pt idx="4019">
                  <c:v>The Life Before Her Eyes </c:v>
                </c:pt>
                <c:pt idx="4020">
                  <c:v>The Life of David Gale </c:v>
                </c:pt>
                <c:pt idx="4021">
                  <c:v>The Limey </c:v>
                </c:pt>
                <c:pt idx="4022">
                  <c:v>The Lincoln Lawyer </c:v>
                </c:pt>
                <c:pt idx="4023">
                  <c:v>The Lion King </c:v>
                </c:pt>
                <c:pt idx="4024">
                  <c:v>The Lion of Judah </c:v>
                </c:pt>
                <c:pt idx="4025">
                  <c:v>The Little Ponderosa Zoo </c:v>
                </c:pt>
                <c:pt idx="4026">
                  <c:v>The Little Prince </c:v>
                </c:pt>
                <c:pt idx="4027">
                  <c:v>The Little Vampire </c:v>
                </c:pt>
                <c:pt idx="4028">
                  <c:v>The Lives of Others </c:v>
                </c:pt>
                <c:pt idx="4029">
                  <c:v>The Living Daylights </c:v>
                </c:pt>
                <c:pt idx="4030">
                  <c:v>The Living Wake </c:v>
                </c:pt>
                <c:pt idx="4031">
                  <c:v>The Lizzie McGuire Movie </c:v>
                </c:pt>
                <c:pt idx="4032">
                  <c:v>The Lone Ranger </c:v>
                </c:pt>
                <c:pt idx="4033">
                  <c:v>The Long Kiss Goodnight </c:v>
                </c:pt>
                <c:pt idx="4034">
                  <c:v>The Long Riders </c:v>
                </c:pt>
                <c:pt idx="4035">
                  <c:v>The Longest Day </c:v>
                </c:pt>
                <c:pt idx="4036">
                  <c:v>The Longest Ride </c:v>
                </c:pt>
                <c:pt idx="4037">
                  <c:v>The Longest Yard </c:v>
                </c:pt>
                <c:pt idx="4038">
                  <c:v>The Longshots </c:v>
                </c:pt>
                <c:pt idx="4039">
                  <c:v>The Looking Glass </c:v>
                </c:pt>
                <c:pt idx="4040">
                  <c:v>The Lord of the Rings: The Fellowship of the Ring </c:v>
                </c:pt>
                <c:pt idx="4041">
                  <c:v>The Lord of the Rings: The Return of the King </c:v>
                </c:pt>
                <c:pt idx="4042">
                  <c:v>The Lord of the Rings: The Two Towers </c:v>
                </c:pt>
                <c:pt idx="4043">
                  <c:v>The Lords of Salem </c:v>
                </c:pt>
                <c:pt idx="4044">
                  <c:v>The Losers </c:v>
                </c:pt>
                <c:pt idx="4045">
                  <c:v>The Loss of Sexual Innocence </c:v>
                </c:pt>
                <c:pt idx="4046">
                  <c:v>The Lost Boys </c:v>
                </c:pt>
                <c:pt idx="4047">
                  <c:v>The Lost City </c:v>
                </c:pt>
                <c:pt idx="4048">
                  <c:v>The Lost Medallion: The Adventures of Billy Stone </c:v>
                </c:pt>
                <c:pt idx="4049">
                  <c:v>The Lost Skeleton of Cadavra </c:v>
                </c:pt>
                <c:pt idx="4050">
                  <c:v>The Lost Weekend </c:v>
                </c:pt>
                <c:pt idx="4051">
                  <c:v>The Lost World: Jurassic Park </c:v>
                </c:pt>
                <c:pt idx="4052">
                  <c:v>The Love Guru </c:v>
                </c:pt>
                <c:pt idx="4053">
                  <c:v>The Love Letter </c:v>
                </c:pt>
                <c:pt idx="4054">
                  <c:v>The Loved Ones </c:v>
                </c:pt>
                <c:pt idx="4055">
                  <c:v>The Lovely Bones </c:v>
                </c:pt>
                <c:pt idx="4056">
                  <c:v>The Lovers </c:v>
                </c:pt>
                <c:pt idx="4057">
                  <c:v>The Lucky One </c:v>
                </c:pt>
                <c:pt idx="4058">
                  <c:v>The Lucky Ones </c:v>
                </c:pt>
                <c:pt idx="4059">
                  <c:v>The Lunchbox </c:v>
                </c:pt>
                <c:pt idx="4060">
                  <c:v>The Machinist </c:v>
                </c:pt>
                <c:pt idx="4061">
                  <c:v>The Magic Flute </c:v>
                </c:pt>
                <c:pt idx="4062">
                  <c:v>The Magic Sword: Quest for Camelot </c:v>
                </c:pt>
                <c:pt idx="4063">
                  <c:v>The Maid's Room </c:v>
                </c:pt>
                <c:pt idx="4064">
                  <c:v>The Majestic </c:v>
                </c:pt>
                <c:pt idx="4065">
                  <c:v>The Man from Earth </c:v>
                </c:pt>
                <c:pt idx="4066">
                  <c:v>The Man from Snowy River </c:v>
                </c:pt>
                <c:pt idx="4067">
                  <c:v>The Man from U.N.C.L.E. </c:v>
                </c:pt>
                <c:pt idx="4068">
                  <c:v>The Man in the Iron Mask </c:v>
                </c:pt>
                <c:pt idx="4069">
                  <c:v>The Man Who Knew Too Little </c:v>
                </c:pt>
                <c:pt idx="4070">
                  <c:v>The Man Who Shot Liberty Valance </c:v>
                </c:pt>
                <c:pt idx="4071">
                  <c:v>The Man with the Golden Gun </c:v>
                </c:pt>
                <c:pt idx="4072">
                  <c:v>The Man with the Iron Fists </c:v>
                </c:pt>
                <c:pt idx="4073">
                  <c:v>The Man </c:v>
                </c:pt>
                <c:pt idx="4074">
                  <c:v>The Manchurian Candidate </c:v>
                </c:pt>
                <c:pt idx="4075">
                  <c:v>The Marine 4: Moving Target </c:v>
                </c:pt>
                <c:pt idx="4076">
                  <c:v>The Marine </c:v>
                </c:pt>
                <c:pt idx="4077">
                  <c:v>The Martian </c:v>
                </c:pt>
                <c:pt idx="4078">
                  <c:v>The Mask of Zorro </c:v>
                </c:pt>
                <c:pt idx="4079">
                  <c:v>The Mask </c:v>
                </c:pt>
                <c:pt idx="4080">
                  <c:v>The Masked Saint </c:v>
                </c:pt>
                <c:pt idx="4081">
                  <c:v>The Master of Disguise </c:v>
                </c:pt>
                <c:pt idx="4082">
                  <c:v>The Master </c:v>
                </c:pt>
                <c:pt idx="4083">
                  <c:v>The Matador </c:v>
                </c:pt>
                <c:pt idx="4084">
                  <c:v>The Matrix Reloaded </c:v>
                </c:pt>
                <c:pt idx="4085">
                  <c:v>The Matrix Revolutions </c:v>
                </c:pt>
                <c:pt idx="4086">
                  <c:v>The Matrix </c:v>
                </c:pt>
                <c:pt idx="4087">
                  <c:v>The Maze Runner </c:v>
                </c:pt>
                <c:pt idx="4088">
                  <c:v>The Mechanic </c:v>
                </c:pt>
                <c:pt idx="4089">
                  <c:v>The Medallion </c:v>
                </c:pt>
                <c:pt idx="4090">
                  <c:v>The Men Who Stare at Goats </c:v>
                </c:pt>
                <c:pt idx="4091">
                  <c:v>The Merchant of Venice </c:v>
                </c:pt>
                <c:pt idx="4092">
                  <c:v>The Messenger </c:v>
                </c:pt>
                <c:pt idx="4093">
                  <c:v>The Messenger: The Story of Joan of Arc </c:v>
                </c:pt>
                <c:pt idx="4094">
                  <c:v>The Messengers </c:v>
                </c:pt>
                <c:pt idx="4095">
                  <c:v>The Mexican </c:v>
                </c:pt>
                <c:pt idx="4096">
                  <c:v>The Midnight Meat Train </c:v>
                </c:pt>
                <c:pt idx="4097">
                  <c:v>The Mighty Ducks </c:v>
                </c:pt>
                <c:pt idx="4098">
                  <c:v>The Mighty Macs </c:v>
                </c:pt>
                <c:pt idx="4099">
                  <c:v>The Mighty </c:v>
                </c:pt>
                <c:pt idx="4100">
                  <c:v>The Mirror Has Two Faces </c:v>
                </c:pt>
                <c:pt idx="4101">
                  <c:v>The Misfits </c:v>
                </c:pt>
                <c:pt idx="4102">
                  <c:v>The Missing Person </c:v>
                </c:pt>
                <c:pt idx="4103">
                  <c:v>The Missing </c:v>
                </c:pt>
                <c:pt idx="4104">
                  <c:v>The Mist </c:v>
                </c:pt>
                <c:pt idx="4105">
                  <c:v>The Molly Maguires </c:v>
                </c:pt>
                <c:pt idx="4106">
                  <c:v>The Mongol King </c:v>
                </c:pt>
                <c:pt idx="4107">
                  <c:v>The Monuments Men </c:v>
                </c:pt>
                <c:pt idx="4108">
                  <c:v>The Mortal Instruments: City of Bones </c:v>
                </c:pt>
                <c:pt idx="4109">
                  <c:v>The Motel </c:v>
                </c:pt>
                <c:pt idx="4110">
                  <c:v>The Mothman Prophecies </c:v>
                </c:pt>
                <c:pt idx="4111">
                  <c:v>The Mudge Boy </c:v>
                </c:pt>
                <c:pt idx="4112">
                  <c:v>The Mummy Returns </c:v>
                </c:pt>
                <c:pt idx="4113">
                  <c:v>The Mummy: Tomb of the Dragon Emperor </c:v>
                </c:pt>
                <c:pt idx="4114">
                  <c:v>The Muppet Christmas Carol </c:v>
                </c:pt>
                <c:pt idx="4115">
                  <c:v>The Muppet Movie </c:v>
                </c:pt>
                <c:pt idx="4116">
                  <c:v>The Muppets </c:v>
                </c:pt>
                <c:pt idx="4117">
                  <c:v>The Muse </c:v>
                </c:pt>
                <c:pt idx="4118">
                  <c:v>The Musketeer </c:v>
                </c:pt>
                <c:pt idx="4119">
                  <c:v>The Naked Ape </c:v>
                </c:pt>
                <c:pt idx="4120">
                  <c:v>The Naked Gun 2½: The Smell of Fear </c:v>
                </c:pt>
                <c:pt idx="4121">
                  <c:v>The Names of Love </c:v>
                </c:pt>
                <c:pt idx="4122">
                  <c:v>The Namesake </c:v>
                </c:pt>
                <c:pt idx="4123">
                  <c:v>The Nativity Story </c:v>
                </c:pt>
                <c:pt idx="4124">
                  <c:v>The Negotiator </c:v>
                </c:pt>
                <c:pt idx="4125">
                  <c:v>The Neon Demon </c:v>
                </c:pt>
                <c:pt idx="4126">
                  <c:v>The Net </c:v>
                </c:pt>
                <c:pt idx="4127">
                  <c:v>The NeverEnding Story </c:v>
                </c:pt>
                <c:pt idx="4128">
                  <c:v>The New Guy </c:v>
                </c:pt>
                <c:pt idx="4129">
                  <c:v>The New World </c:v>
                </c:pt>
                <c:pt idx="4130">
                  <c:v>The Newton Boys </c:v>
                </c:pt>
                <c:pt idx="4131">
                  <c:v>The Next Best Thing </c:v>
                </c:pt>
                <c:pt idx="4132">
                  <c:v>The Next Three Days </c:v>
                </c:pt>
                <c:pt idx="4133">
                  <c:v>The Night Listener </c:v>
                </c:pt>
                <c:pt idx="4134">
                  <c:v>The Night Visitor </c:v>
                </c:pt>
                <c:pt idx="4135">
                  <c:v>The Ninth Gate </c:v>
                </c:pt>
                <c:pt idx="4136">
                  <c:v>The Notebook </c:v>
                </c:pt>
                <c:pt idx="4137">
                  <c:v>The November Man </c:v>
                </c:pt>
                <c:pt idx="4138">
                  <c:v>The Number 23 </c:v>
                </c:pt>
                <c:pt idx="4139">
                  <c:v>The Nun's Story </c:v>
                </c:pt>
                <c:pt idx="4140">
                  <c:v>The Nut Job </c:v>
                </c:pt>
                <c:pt idx="4141">
                  <c:v>The Nutcracker in 3D </c:v>
                </c:pt>
                <c:pt idx="4142">
                  <c:v>The Nutcracker </c:v>
                </c:pt>
                <c:pt idx="4143">
                  <c:v>The Nutty Professor </c:v>
                </c:pt>
                <c:pt idx="4144">
                  <c:v>The O.C. </c:v>
                </c:pt>
                <c:pt idx="4145">
                  <c:v>The Object of My Affection </c:v>
                </c:pt>
                <c:pt idx="4146">
                  <c:v>The Odd Life of Timothy Green </c:v>
                </c:pt>
                <c:pt idx="4147">
                  <c:v>The Oh in Ohio </c:v>
                </c:pt>
                <c:pt idx="4148">
                  <c:v>The Omega Code </c:v>
                </c:pt>
                <c:pt idx="4149">
                  <c:v>The Omen </c:v>
                </c:pt>
                <c:pt idx="4150">
                  <c:v>The One </c:v>
                </c:pt>
                <c:pt idx="4151">
                  <c:v>The Oogieloves in the Big Balloon Adventure </c:v>
                </c:pt>
                <c:pt idx="4152">
                  <c:v>The Open Road </c:v>
                </c:pt>
                <c:pt idx="4153">
                  <c:v>The Opposite Sex </c:v>
                </c:pt>
                <c:pt idx="4154">
                  <c:v>The Order </c:v>
                </c:pt>
                <c:pt idx="4155">
                  <c:v>The Original Kings of Comedy </c:v>
                </c:pt>
                <c:pt idx="4156">
                  <c:v>The Orphanage </c:v>
                </c:pt>
                <c:pt idx="4157">
                  <c:v>The Other Boleyn Girl </c:v>
                </c:pt>
                <c:pt idx="4158">
                  <c:v>The Other Dream Team </c:v>
                </c:pt>
                <c:pt idx="4159">
                  <c:v>The Other End of the Line </c:v>
                </c:pt>
                <c:pt idx="4160">
                  <c:v>The Other Guys </c:v>
                </c:pt>
                <c:pt idx="4161">
                  <c:v>The Other Side of Heaven </c:v>
                </c:pt>
                <c:pt idx="4162">
                  <c:v>The Other Woman </c:v>
                </c:pt>
                <c:pt idx="4163">
                  <c:v>The Others </c:v>
                </c:pt>
                <c:pt idx="4164">
                  <c:v>The Out-of-Towners </c:v>
                </c:pt>
                <c:pt idx="4165">
                  <c:v>The Outrageous Sophie Tucker </c:v>
                </c:pt>
                <c:pt idx="4166">
                  <c:v>The Outsiders </c:v>
                </c:pt>
                <c:pt idx="4167">
                  <c:v>The Oxford Murders </c:v>
                </c:pt>
                <c:pt idx="4168">
                  <c:v>The Pacifier </c:v>
                </c:pt>
                <c:pt idx="4169">
                  <c:v>The Painted Veil </c:v>
                </c:pt>
                <c:pt idx="4170">
                  <c:v>The Pallbearer </c:v>
                </c:pt>
                <c:pt idx="4171">
                  <c:v>The Party's Over </c:v>
                </c:pt>
                <c:pt idx="4172">
                  <c:v>The Passion of the Christ </c:v>
                </c:pt>
                <c:pt idx="4173">
                  <c:v>The Past is a Grotesque Animal </c:v>
                </c:pt>
                <c:pt idx="4174">
                  <c:v>The Patriot </c:v>
                </c:pt>
                <c:pt idx="4175">
                  <c:v>The Peacemaker </c:v>
                </c:pt>
                <c:pt idx="4176">
                  <c:v>The Peanuts Movie </c:v>
                </c:pt>
                <c:pt idx="4177">
                  <c:v>The Pelican Brief </c:v>
                </c:pt>
                <c:pt idx="4178">
                  <c:v>The Perez Family </c:v>
                </c:pt>
                <c:pt idx="4179">
                  <c:v>The Perfect Game </c:v>
                </c:pt>
                <c:pt idx="4180">
                  <c:v>The Perfect Host </c:v>
                </c:pt>
                <c:pt idx="4181">
                  <c:v>The Perfect Man </c:v>
                </c:pt>
                <c:pt idx="4182">
                  <c:v>The Perfect Match </c:v>
                </c:pt>
                <c:pt idx="4183">
                  <c:v>The Perfect Storm </c:v>
                </c:pt>
                <c:pt idx="4184">
                  <c:v>The Perfect Wave </c:v>
                </c:pt>
                <c:pt idx="4185">
                  <c:v>The Perks of Being a Wallflower </c:v>
                </c:pt>
                <c:pt idx="4186">
                  <c:v>The Pet </c:v>
                </c:pt>
                <c:pt idx="4187">
                  <c:v>The Phantom of the Opera </c:v>
                </c:pt>
                <c:pt idx="4188">
                  <c:v>The Phantom </c:v>
                </c:pt>
                <c:pt idx="4189">
                  <c:v>The Pianist </c:v>
                </c:pt>
                <c:pt idx="4190">
                  <c:v>The Piano </c:v>
                </c:pt>
                <c:pt idx="4191">
                  <c:v>The Pink Panther </c:v>
                </c:pt>
                <c:pt idx="4192">
                  <c:v>The Pirate </c:v>
                </c:pt>
                <c:pt idx="4193">
                  <c:v>The Pirates Who Don't Do Anything: A VeggieTales Movie </c:v>
                </c:pt>
                <c:pt idx="4194">
                  <c:v>The Pirates! Band of Misfits </c:v>
                </c:pt>
                <c:pt idx="4195">
                  <c:v>The Place Beyond the Pines </c:v>
                </c:pt>
                <c:pt idx="4196">
                  <c:v>The Player </c:v>
                </c:pt>
                <c:pt idx="4197">
                  <c:v>The Players Club </c:v>
                </c:pt>
                <c:pt idx="4198">
                  <c:v>The Pledge </c:v>
                </c:pt>
                <c:pt idx="4199">
                  <c:v>The Poker House </c:v>
                </c:pt>
                <c:pt idx="4200">
                  <c:v>The Polar Express </c:v>
                </c:pt>
                <c:pt idx="4201">
                  <c:v>The Possession </c:v>
                </c:pt>
                <c:pt idx="4202">
                  <c:v>The Postman Always Rings Twice </c:v>
                </c:pt>
                <c:pt idx="4203">
                  <c:v>The Postman </c:v>
                </c:pt>
                <c:pt idx="4204">
                  <c:v>The Powerpuff Girls </c:v>
                </c:pt>
                <c:pt idx="4205">
                  <c:v>The Prestige </c:v>
                </c:pt>
                <c:pt idx="4206">
                  <c:v>The Prince and Me </c:v>
                </c:pt>
                <c:pt idx="4207">
                  <c:v>The Prince of Egypt </c:v>
                </c:pt>
                <c:pt idx="4208">
                  <c:v>The Prince of Tides </c:v>
                </c:pt>
                <c:pt idx="4209">
                  <c:v>The Prince </c:v>
                </c:pt>
                <c:pt idx="4210">
                  <c:v>The Princess and the Cobbler </c:v>
                </c:pt>
                <c:pt idx="4211">
                  <c:v>The Princess and the Frog </c:v>
                </c:pt>
                <c:pt idx="4212">
                  <c:v>The Princess Bride </c:v>
                </c:pt>
                <c:pt idx="4213">
                  <c:v>The Princess Diaries 2: Royal Engagement </c:v>
                </c:pt>
                <c:pt idx="4214">
                  <c:v>The Princess Diaries </c:v>
                </c:pt>
                <c:pt idx="4215">
                  <c:v>The Prisoner of Zenda </c:v>
                </c:pt>
                <c:pt idx="4216">
                  <c:v>The Producers </c:v>
                </c:pt>
                <c:pt idx="4217">
                  <c:v>The Promise </c:v>
                </c:pt>
                <c:pt idx="4218">
                  <c:v>The Prophecy </c:v>
                </c:pt>
                <c:pt idx="4219">
                  <c:v>The Proposal </c:v>
                </c:pt>
                <c:pt idx="4220">
                  <c:v>The Proposition </c:v>
                </c:pt>
                <c:pt idx="4221">
                  <c:v>The Protector </c:v>
                </c:pt>
                <c:pt idx="4222">
                  <c:v>The Puffy Chair </c:v>
                </c:pt>
                <c:pt idx="4223">
                  <c:v>The Punisher </c:v>
                </c:pt>
                <c:pt idx="4224">
                  <c:v>The Purge </c:v>
                </c:pt>
                <c:pt idx="4225">
                  <c:v>The Purge: Anarchy </c:v>
                </c:pt>
                <c:pt idx="4226">
                  <c:v>The Purge: Election Year </c:v>
                </c:pt>
                <c:pt idx="4227">
                  <c:v>The Pursuit of D.B. Cooper </c:v>
                </c:pt>
                <c:pt idx="4228">
                  <c:v>The Pursuit of Happyness </c:v>
                </c:pt>
                <c:pt idx="4229">
                  <c:v>The Queen </c:v>
                </c:pt>
                <c:pt idx="4230">
                  <c:v>The Quick and the Dead </c:v>
                </c:pt>
                <c:pt idx="4231">
                  <c:v>The Quiet American </c:v>
                </c:pt>
                <c:pt idx="4232">
                  <c:v>The Quiet </c:v>
                </c:pt>
                <c:pt idx="4233">
                  <c:v>The R.M. </c:v>
                </c:pt>
                <c:pt idx="4234">
                  <c:v>The Rage: Carrie 2 </c:v>
                </c:pt>
                <c:pt idx="4235">
                  <c:v>The Raid: Redemption </c:v>
                </c:pt>
                <c:pt idx="4236">
                  <c:v>The Railway Man </c:v>
                </c:pt>
                <c:pt idx="4237">
                  <c:v>The Rainmaker </c:v>
                </c:pt>
                <c:pt idx="4238">
                  <c:v>The Raven </c:v>
                </c:pt>
                <c:pt idx="4239">
                  <c:v>The Reader </c:v>
                </c:pt>
                <c:pt idx="4240">
                  <c:v>The Real Cancun </c:v>
                </c:pt>
                <c:pt idx="4241">
                  <c:v>The Reaping </c:v>
                </c:pt>
                <c:pt idx="4242">
                  <c:v>The Red Violin </c:v>
                </c:pt>
                <c:pt idx="4243">
                  <c:v>The Reef </c:v>
                </c:pt>
                <c:pt idx="4244">
                  <c:v>The Relic </c:v>
                </c:pt>
                <c:pt idx="4245">
                  <c:v>The Remains of the Day </c:v>
                </c:pt>
                <c:pt idx="4246">
                  <c:v>The Replacement Killers </c:v>
                </c:pt>
                <c:pt idx="4247">
                  <c:v>The Replacements </c:v>
                </c:pt>
                <c:pt idx="4248">
                  <c:v>The Return of the Living Dead </c:v>
                </c:pt>
                <c:pt idx="4249">
                  <c:v>The Return of the Pink Panther </c:v>
                </c:pt>
                <c:pt idx="4250">
                  <c:v>The Return </c:v>
                </c:pt>
                <c:pt idx="4251">
                  <c:v>The Returned </c:v>
                </c:pt>
                <c:pt idx="4252">
                  <c:v>The Revenant </c:v>
                </c:pt>
                <c:pt idx="4253">
                  <c:v>The Ridges </c:v>
                </c:pt>
                <c:pt idx="4254">
                  <c:v>The Ridiculous 6 </c:v>
                </c:pt>
                <c:pt idx="4255">
                  <c:v>The Right Stuff </c:v>
                </c:pt>
                <c:pt idx="4256">
                  <c:v>The Ring Two </c:v>
                </c:pt>
                <c:pt idx="4257">
                  <c:v>The Rise of the Krays </c:v>
                </c:pt>
                <c:pt idx="4258">
                  <c:v>The Rite </c:v>
                </c:pt>
                <c:pt idx="4259">
                  <c:v>The River Wild </c:v>
                </c:pt>
                <c:pt idx="4260">
                  <c:v>The Road to El Dorado </c:v>
                </c:pt>
                <c:pt idx="4261">
                  <c:v>The Road </c:v>
                </c:pt>
                <c:pt idx="4262">
                  <c:v>The Robe </c:v>
                </c:pt>
                <c:pt idx="4263">
                  <c:v>The Rock </c:v>
                </c:pt>
                <c:pt idx="4264">
                  <c:v>The Rocker </c:v>
                </c:pt>
                <c:pt idx="4265">
                  <c:v>The Rocket: The Legend of Rocket Richard </c:v>
                </c:pt>
                <c:pt idx="4266">
                  <c:v>The Rookie </c:v>
                </c:pt>
                <c:pt idx="4267">
                  <c:v>The Roommate </c:v>
                </c:pt>
                <c:pt idx="4268">
                  <c:v>The Rose </c:v>
                </c:pt>
                <c:pt idx="4269">
                  <c:v>The Royal Tenenbaums </c:v>
                </c:pt>
                <c:pt idx="4270">
                  <c:v>The Rugrats Movie </c:v>
                </c:pt>
                <c:pt idx="4271">
                  <c:v>The Ruins </c:v>
                </c:pt>
                <c:pt idx="4272">
                  <c:v>The Rules of Attraction </c:v>
                </c:pt>
                <c:pt idx="4273">
                  <c:v>The Runaways </c:v>
                </c:pt>
                <c:pt idx="4274">
                  <c:v>The Rundown </c:v>
                </c:pt>
                <c:pt idx="4275">
                  <c:v>The Running Man </c:v>
                </c:pt>
                <c:pt idx="4276">
                  <c:v>The Saint </c:v>
                </c:pt>
                <c:pt idx="4277">
                  <c:v>The Salon </c:v>
                </c:pt>
                <c:pt idx="4278">
                  <c:v>The Salton Sea </c:v>
                </c:pt>
                <c:pt idx="4279">
                  <c:v>The Santa Clause 2 </c:v>
                </c:pt>
                <c:pt idx="4280">
                  <c:v>The Santa Clause </c:v>
                </c:pt>
                <c:pt idx="4281">
                  <c:v>The Savages </c:v>
                </c:pt>
                <c:pt idx="4282">
                  <c:v>The Scarlet Letter </c:v>
                </c:pt>
                <c:pt idx="4283">
                  <c:v>The Scorch Trials </c:v>
                </c:pt>
                <c:pt idx="4284">
                  <c:v>The Score </c:v>
                </c:pt>
                <c:pt idx="4285">
                  <c:v>The Scorpion King </c:v>
                </c:pt>
                <c:pt idx="4286">
                  <c:v>The Sea Inside </c:v>
                </c:pt>
                <c:pt idx="4287">
                  <c:v>The Second Best Exotic Marigold Hotel </c:v>
                </c:pt>
                <c:pt idx="4288">
                  <c:v>The Second Mother </c:v>
                </c:pt>
                <c:pt idx="4289">
                  <c:v>The Secret in Their Eyes </c:v>
                </c:pt>
                <c:pt idx="4290">
                  <c:v>The Secret Life of Bees </c:v>
                </c:pt>
                <c:pt idx="4291">
                  <c:v>The Secret Life of Pets </c:v>
                </c:pt>
                <c:pt idx="4292">
                  <c:v>The Secret Life of Walter Mitty </c:v>
                </c:pt>
                <c:pt idx="4293">
                  <c:v>The Secret of Kells </c:v>
                </c:pt>
                <c:pt idx="4294">
                  <c:v>The Secret </c:v>
                </c:pt>
                <c:pt idx="4295">
                  <c:v>The Sentinel </c:v>
                </c:pt>
                <c:pt idx="4296">
                  <c:v>The Sessions </c:v>
                </c:pt>
                <c:pt idx="4297">
                  <c:v>The Shadow </c:v>
                </c:pt>
                <c:pt idx="4298">
                  <c:v>The Shaggy Dog </c:v>
                </c:pt>
                <c:pt idx="4299">
                  <c:v>The Shallows </c:v>
                </c:pt>
                <c:pt idx="4300">
                  <c:v>The Shawshank Redemption </c:v>
                </c:pt>
                <c:pt idx="4301">
                  <c:v>The Shining </c:v>
                </c:pt>
                <c:pt idx="4302">
                  <c:v>The Shipping News </c:v>
                </c:pt>
                <c:pt idx="4303">
                  <c:v>The Siege </c:v>
                </c:pt>
                <c:pt idx="4304">
                  <c:v>The Signal </c:v>
                </c:pt>
                <c:pt idx="4305">
                  <c:v>The Silence of the Lambs </c:v>
                </c:pt>
                <c:pt idx="4306">
                  <c:v>The Simpsons Movie </c:v>
                </c:pt>
                <c:pt idx="4307">
                  <c:v>The Singing Detective </c:v>
                </c:pt>
                <c:pt idx="4308">
                  <c:v>The Singles Ward </c:v>
                </c:pt>
                <c:pt idx="4309">
                  <c:v>The Sisterhood of Night </c:v>
                </c:pt>
                <c:pt idx="4310">
                  <c:v>The Sisterhood of the Traveling Pants 2 </c:v>
                </c:pt>
                <c:pt idx="4311">
                  <c:v>The Sisterhood of the Traveling Pants </c:v>
                </c:pt>
                <c:pt idx="4312">
                  <c:v>The Sitter </c:v>
                </c:pt>
                <c:pt idx="4313">
                  <c:v>The Sixth Sense </c:v>
                </c:pt>
                <c:pt idx="4314">
                  <c:v>The Skeleton Key </c:v>
                </c:pt>
                <c:pt idx="4315">
                  <c:v>The Skeleton Twins </c:v>
                </c:pt>
                <c:pt idx="4316">
                  <c:v>The Skulls </c:v>
                </c:pt>
                <c:pt idx="4317">
                  <c:v>The Slaughter Rule </c:v>
                </c:pt>
                <c:pt idx="4318">
                  <c:v>The Sleepwalker </c:v>
                </c:pt>
                <c:pt idx="4319">
                  <c:v>The Smurfs 2 </c:v>
                </c:pt>
                <c:pt idx="4320">
                  <c:v>The Smurfs </c:v>
                </c:pt>
                <c:pt idx="4321">
                  <c:v>The Social Network </c:v>
                </c:pt>
                <c:pt idx="4322">
                  <c:v>The Soloist </c:v>
                </c:pt>
                <c:pt idx="4323">
                  <c:v>The Son of No One </c:v>
                </c:pt>
                <c:pt idx="4324">
                  <c:v>The Sorcerer's Apprentice </c:v>
                </c:pt>
                <c:pt idx="4325">
                  <c:v>The Sound and the Shadow </c:v>
                </c:pt>
                <c:pt idx="4326">
                  <c:v>The Sound of Music </c:v>
                </c:pt>
                <c:pt idx="4327">
                  <c:v>The Spanish Prisoner </c:v>
                </c:pt>
                <c:pt idx="4328">
                  <c:v>The Specialist </c:v>
                </c:pt>
                <c:pt idx="4329">
                  <c:v>The Specials </c:v>
                </c:pt>
                <c:pt idx="4330">
                  <c:v>The Spectacular Now </c:v>
                </c:pt>
                <c:pt idx="4331">
                  <c:v>The Spiderwick Chronicles </c:v>
                </c:pt>
                <c:pt idx="4332">
                  <c:v>The Spirit </c:v>
                </c:pt>
                <c:pt idx="4333">
                  <c:v>The SpongeBob Movie: Sponge Out of Water </c:v>
                </c:pt>
                <c:pt idx="4334">
                  <c:v>The SpongeBob SquarePants Movie </c:v>
                </c:pt>
                <c:pt idx="4335">
                  <c:v>The Spy Next Door </c:v>
                </c:pt>
                <c:pt idx="4336">
                  <c:v>The Spy Who Loved Me </c:v>
                </c:pt>
                <c:pt idx="4337">
                  <c:v>The Square </c:v>
                </c:pt>
                <c:pt idx="4338">
                  <c:v>The Squid and the Whale </c:v>
                </c:pt>
                <c:pt idx="4339">
                  <c:v>The Statement </c:v>
                </c:pt>
                <c:pt idx="4340">
                  <c:v>The Station Agent </c:v>
                </c:pt>
                <c:pt idx="4341">
                  <c:v>The Stepfather </c:v>
                </c:pt>
                <c:pt idx="4342">
                  <c:v>The Stepford Wives </c:v>
                </c:pt>
                <c:pt idx="4343">
                  <c:v>The Stewardesses </c:v>
                </c:pt>
                <c:pt idx="4344">
                  <c:v>The Sticky Fingers of Time </c:v>
                </c:pt>
                <c:pt idx="4345">
                  <c:v>The Sting </c:v>
                </c:pt>
                <c:pt idx="4346">
                  <c:v>The Story of Us </c:v>
                </c:pt>
                <c:pt idx="4347">
                  <c:v>The Straight Story </c:v>
                </c:pt>
                <c:pt idx="4348">
                  <c:v>The Streets of San Francisco </c:v>
                </c:pt>
                <c:pt idx="4349">
                  <c:v>The Sum of All Fears </c:v>
                </c:pt>
                <c:pt idx="4350">
                  <c:v>The Sweeney </c:v>
                </c:pt>
                <c:pt idx="4351">
                  <c:v>The Sweet Hereafter </c:v>
                </c:pt>
                <c:pt idx="4352">
                  <c:v>The Sweetest Thing </c:v>
                </c:pt>
                <c:pt idx="4353">
                  <c:v>The Swindle </c:v>
                </c:pt>
                <c:pt idx="4354">
                  <c:v>The Switch </c:v>
                </c:pt>
                <c:pt idx="4355">
                  <c:v>The Tailor of Panama </c:v>
                </c:pt>
                <c:pt idx="4356">
                  <c:v>The Taking of Pelham 1 2 3 </c:v>
                </c:pt>
                <c:pt idx="4357">
                  <c:v>The Tale of Despereaux </c:v>
                </c:pt>
                <c:pt idx="4358">
                  <c:v>The Talented Mr. Ripley </c:v>
                </c:pt>
                <c:pt idx="4359">
                  <c:v>The Tempest </c:v>
                </c:pt>
                <c:pt idx="4360">
                  <c:v>The Ten </c:v>
                </c:pt>
                <c:pt idx="4361">
                  <c:v>The Terminal </c:v>
                </c:pt>
                <c:pt idx="4362">
                  <c:v>The Terminator </c:v>
                </c:pt>
                <c:pt idx="4363">
                  <c:v>The Texas Chain Saw Massacre </c:v>
                </c:pt>
                <c:pt idx="4364">
                  <c:v>The Texas Chainsaw Massacre 2 </c:v>
                </c:pt>
                <c:pt idx="4365">
                  <c:v>The Texas Chainsaw Massacre: The Beginning </c:v>
                </c:pt>
                <c:pt idx="4366">
                  <c:v>The Theory of Everything </c:v>
                </c:pt>
                <c:pt idx="4367">
                  <c:v>The Thin Red Line </c:v>
                </c:pt>
                <c:pt idx="4368">
                  <c:v>The Thing </c:v>
                </c:pt>
                <c:pt idx="4369">
                  <c:v>The Thirteenth Floor </c:v>
                </c:pt>
                <c:pt idx="4370">
                  <c:v>The Thomas Crown Affair </c:v>
                </c:pt>
                <c:pt idx="4371">
                  <c:v>The Three Musketeers </c:v>
                </c:pt>
                <c:pt idx="4372">
                  <c:v>The Three Stooges </c:v>
                </c:pt>
                <c:pt idx="4373">
                  <c:v>The Tigger Movie </c:v>
                </c:pt>
                <c:pt idx="4374">
                  <c:v>The Timber </c:v>
                </c:pt>
                <c:pt idx="4375">
                  <c:v>The Time Machine </c:v>
                </c:pt>
                <c:pt idx="4376">
                  <c:v>The Time Traveler's Wife </c:v>
                </c:pt>
                <c:pt idx="4377">
                  <c:v>The To Do List </c:v>
                </c:pt>
                <c:pt idx="4378">
                  <c:v>The Tooth Fairy </c:v>
                </c:pt>
                <c:pt idx="4379">
                  <c:v>The Torture Chamber of Dr. Sadism </c:v>
                </c:pt>
                <c:pt idx="4380">
                  <c:v>The Touch </c:v>
                </c:pt>
                <c:pt idx="4381">
                  <c:v>The Tourist </c:v>
                </c:pt>
                <c:pt idx="4382">
                  <c:v>The Town </c:v>
                </c:pt>
                <c:pt idx="4383">
                  <c:v>The Toxic Avenger Part II </c:v>
                </c:pt>
                <c:pt idx="4384">
                  <c:v>The Toxic Avenger </c:v>
                </c:pt>
                <c:pt idx="4385">
                  <c:v>The Train </c:v>
                </c:pt>
                <c:pt idx="4386">
                  <c:v>The Transporter Refueled </c:v>
                </c:pt>
                <c:pt idx="4387">
                  <c:v>The Transporter </c:v>
                </c:pt>
                <c:pt idx="4388">
                  <c:v>The Tree of Life </c:v>
                </c:pt>
                <c:pt idx="4389">
                  <c:v>The Trials of Darryl Hunt </c:v>
                </c:pt>
                <c:pt idx="4390">
                  <c:v>The Triplets of Belleville </c:v>
                </c:pt>
                <c:pt idx="4391">
                  <c:v>The Trouble with Harry </c:v>
                </c:pt>
                <c:pt idx="4392">
                  <c:v>The True Story of Puss'N Boots </c:v>
                </c:pt>
                <c:pt idx="4393">
                  <c:v>The Truman Show </c:v>
                </c:pt>
                <c:pt idx="4394">
                  <c:v>The Tuxedo </c:v>
                </c:pt>
                <c:pt idx="4395">
                  <c:v>The Twilight Saga: Breaking Dawn - Part 2 </c:v>
                </c:pt>
                <c:pt idx="4396">
                  <c:v>The Twilight Saga: Eclipse </c:v>
                </c:pt>
                <c:pt idx="4397">
                  <c:v>The Twilight Saga: New Moon </c:v>
                </c:pt>
                <c:pt idx="4398">
                  <c:v>The Ugly Truth </c:v>
                </c:pt>
                <c:pt idx="4399">
                  <c:v>The Ultimate Gift </c:v>
                </c:pt>
                <c:pt idx="4400">
                  <c:v>The Unborn </c:v>
                </c:pt>
                <c:pt idx="4401">
                  <c:v>The Untouchables </c:v>
                </c:pt>
                <c:pt idx="4402">
                  <c:v>The Upside of Anger </c:v>
                </c:pt>
                <c:pt idx="4403">
                  <c:v>The Usual Suspects </c:v>
                </c:pt>
                <c:pt idx="4404">
                  <c:v>The Valley of Decision </c:v>
                </c:pt>
                <c:pt idx="4405">
                  <c:v>The Vatican Exorcisms </c:v>
                </c:pt>
                <c:pt idx="4406">
                  <c:v>The Vatican Tapes </c:v>
                </c:pt>
                <c:pt idx="4407">
                  <c:v>The Veil </c:v>
                </c:pt>
                <c:pt idx="4408">
                  <c:v>The Velocity of Gary </c:v>
                </c:pt>
                <c:pt idx="4409">
                  <c:v>The Verdict </c:v>
                </c:pt>
                <c:pt idx="4410">
                  <c:v>The Village </c:v>
                </c:pt>
                <c:pt idx="4411">
                  <c:v>The Virgin Suicides </c:v>
                </c:pt>
                <c:pt idx="4412">
                  <c:v>The Virginity Hit </c:v>
                </c:pt>
                <c:pt idx="4413">
                  <c:v>The Visit </c:v>
                </c:pt>
                <c:pt idx="4414">
                  <c:v>The Visual Bible: The Gospel of John </c:v>
                </c:pt>
                <c:pt idx="4415">
                  <c:v>The Vow </c:v>
                </c:pt>
                <c:pt idx="4416">
                  <c:v>The Wackness </c:v>
                </c:pt>
                <c:pt idx="4417">
                  <c:v>The Wailing </c:v>
                </c:pt>
                <c:pt idx="4418">
                  <c:v>The Walk </c:v>
                </c:pt>
                <c:pt idx="4419">
                  <c:v>The Walking Deceased </c:v>
                </c:pt>
                <c:pt idx="4420">
                  <c:v>The Warlords </c:v>
                </c:pt>
                <c:pt idx="4421">
                  <c:v>The Warrior's Way </c:v>
                </c:pt>
                <c:pt idx="4422">
                  <c:v>The Wash </c:v>
                </c:pt>
                <c:pt idx="4423">
                  <c:v>The Watch </c:v>
                </c:pt>
                <c:pt idx="4424">
                  <c:v>The Watcher </c:v>
                </c:pt>
                <c:pt idx="4425">
                  <c:v>The Water Diviner </c:v>
                </c:pt>
                <c:pt idx="4426">
                  <c:v>The Waterboy </c:v>
                </c:pt>
                <c:pt idx="4427">
                  <c:v>The Wave </c:v>
                </c:pt>
                <c:pt idx="4428">
                  <c:v>The Way of the Gun </c:v>
                </c:pt>
                <c:pt idx="4429">
                  <c:v>The Way Way Back </c:v>
                </c:pt>
                <c:pt idx="4430">
                  <c:v>The Weather Man </c:v>
                </c:pt>
                <c:pt idx="4431">
                  <c:v>The Wedding Date </c:v>
                </c:pt>
                <c:pt idx="4432">
                  <c:v>The Wedding Planner </c:v>
                </c:pt>
                <c:pt idx="4433">
                  <c:v>The Wendell Baker Story </c:v>
                </c:pt>
                <c:pt idx="4434">
                  <c:v>The White Countess </c:v>
                </c:pt>
                <c:pt idx="4435">
                  <c:v>The White Ribbon </c:v>
                </c:pt>
                <c:pt idx="4436">
                  <c:v>The Whole Nine Yards </c:v>
                </c:pt>
                <c:pt idx="4437">
                  <c:v>The Whole Ten Yards </c:v>
                </c:pt>
                <c:pt idx="4438">
                  <c:v>The Wicked Lady </c:v>
                </c:pt>
                <c:pt idx="4439">
                  <c:v>The Wicked Within </c:v>
                </c:pt>
                <c:pt idx="4440">
                  <c:v>The Widow of Saint-Pierre </c:v>
                </c:pt>
                <c:pt idx="4441">
                  <c:v>The Wild Bunch </c:v>
                </c:pt>
                <c:pt idx="4442">
                  <c:v>The Wild Thornberrys Movie </c:v>
                </c:pt>
                <c:pt idx="4443">
                  <c:v>The Wind That Shakes the Barley </c:v>
                </c:pt>
                <c:pt idx="4444">
                  <c:v>The Witch </c:v>
                </c:pt>
                <c:pt idx="4445">
                  <c:v>The Wiz </c:v>
                </c:pt>
                <c:pt idx="4446">
                  <c:v>The Wizard of Oz </c:v>
                </c:pt>
                <c:pt idx="4447">
                  <c:v>The Wolf of Wall Street </c:v>
                </c:pt>
                <c:pt idx="4448">
                  <c:v>The Wolfman </c:v>
                </c:pt>
                <c:pt idx="4449">
                  <c:v>The Wolverine </c:v>
                </c:pt>
                <c:pt idx="4450">
                  <c:v>The Woman Chaser </c:v>
                </c:pt>
                <c:pt idx="4451">
                  <c:v>The Woman in Black </c:v>
                </c:pt>
                <c:pt idx="4452">
                  <c:v>The Women </c:v>
                </c:pt>
                <c:pt idx="4453">
                  <c:v>The Wood </c:v>
                </c:pt>
                <c:pt idx="4454">
                  <c:v>The Words </c:v>
                </c:pt>
                <c:pt idx="4455">
                  <c:v>The Work and the Glory II: American Zion </c:v>
                </c:pt>
                <c:pt idx="4456">
                  <c:v>The Work and the Glory </c:v>
                </c:pt>
                <c:pt idx="4457">
                  <c:v>The Work and the Story </c:v>
                </c:pt>
                <c:pt idx="4458">
                  <c:v>The World Is Mine </c:v>
                </c:pt>
                <c:pt idx="4459">
                  <c:v>The World Is Not Enough </c:v>
                </c:pt>
                <c:pt idx="4460">
                  <c:v>The World's End </c:v>
                </c:pt>
                <c:pt idx="4461">
                  <c:v>The World's Fastest Indian </c:v>
                </c:pt>
                <c:pt idx="4462">
                  <c:v>The Wraith </c:v>
                </c:pt>
                <c:pt idx="4463">
                  <c:v>The Wrestler </c:v>
                </c:pt>
                <c:pt idx="4464">
                  <c:v>The X Files </c:v>
                </c:pt>
                <c:pt idx="4465">
                  <c:v>The X Files: I Want to Believe </c:v>
                </c:pt>
                <c:pt idx="4466">
                  <c:v>The Yards </c:v>
                </c:pt>
                <c:pt idx="4467">
                  <c:v>The Yellow Handkerchief </c:v>
                </c:pt>
                <c:pt idx="4468">
                  <c:v>The Young and Prodigious T.S. Spivet </c:v>
                </c:pt>
                <c:pt idx="4469">
                  <c:v>The Young Messiah </c:v>
                </c:pt>
                <c:pt idx="4470">
                  <c:v>The Young Unknowns </c:v>
                </c:pt>
                <c:pt idx="4471">
                  <c:v>The Young Victoria </c:v>
                </c:pt>
                <c:pt idx="4472">
                  <c:v>There Be Dragons </c:v>
                </c:pt>
                <c:pt idx="4473">
                  <c:v>There Goes My Baby </c:v>
                </c:pt>
                <c:pt idx="4474">
                  <c:v>There Will Be Blood </c:v>
                </c:pt>
                <c:pt idx="4475">
                  <c:v>There's Something About Mary </c:v>
                </c:pt>
                <c:pt idx="4476">
                  <c:v>Theresa Is a Mother </c:v>
                </c:pt>
                <c:pt idx="4477">
                  <c:v>They Came Together </c:v>
                </c:pt>
                <c:pt idx="4478">
                  <c:v>They Live </c:v>
                </c:pt>
                <c:pt idx="4479">
                  <c:v>They Will Have to Kill Us First </c:v>
                </c:pt>
                <c:pt idx="4480">
                  <c:v>They </c:v>
                </c:pt>
                <c:pt idx="4481">
                  <c:v>Things to Do in Denver When You're Dead </c:v>
                </c:pt>
                <c:pt idx="4482">
                  <c:v>Things We Lost in the Fire </c:v>
                </c:pt>
                <c:pt idx="4483">
                  <c:v>Think Like a Man Too </c:v>
                </c:pt>
                <c:pt idx="4484">
                  <c:v>Think Like a Man </c:v>
                </c:pt>
                <c:pt idx="4485">
                  <c:v>Thinner </c:v>
                </c:pt>
                <c:pt idx="4486">
                  <c:v>Thir13en Ghosts </c:v>
                </c:pt>
                <c:pt idx="4487">
                  <c:v>Thirteen Conversations About One Thing </c:v>
                </c:pt>
                <c:pt idx="4488">
                  <c:v>Thirteen Days </c:v>
                </c:pt>
                <c:pt idx="4489">
                  <c:v>Thirteen </c:v>
                </c:pt>
                <c:pt idx="4490">
                  <c:v>This Christmas </c:v>
                </c:pt>
                <c:pt idx="4491">
                  <c:v>This Is 40 </c:v>
                </c:pt>
                <c:pt idx="4492">
                  <c:v>This Is England </c:v>
                </c:pt>
                <c:pt idx="4493">
                  <c:v>This Is It </c:v>
                </c:pt>
                <c:pt idx="4494">
                  <c:v>This Is Martin Bonner </c:v>
                </c:pt>
                <c:pt idx="4495">
                  <c:v>This Is the End </c:v>
                </c:pt>
                <c:pt idx="4496">
                  <c:v>This Is Where I Leave You </c:v>
                </c:pt>
                <c:pt idx="4497">
                  <c:v>This Means War </c:v>
                </c:pt>
                <c:pt idx="4498">
                  <c:v>This Thing of Ours </c:v>
                </c:pt>
                <c:pt idx="4499">
                  <c:v>Thomas and the Magic Railroad </c:v>
                </c:pt>
                <c:pt idx="4500">
                  <c:v>Thor </c:v>
                </c:pt>
                <c:pt idx="4501">
                  <c:v>Thor: The Dark World </c:v>
                </c:pt>
                <c:pt idx="4502">
                  <c:v>Thr3e </c:v>
                </c:pt>
                <c:pt idx="4503">
                  <c:v>Three Burials </c:v>
                </c:pt>
                <c:pt idx="4504">
                  <c:v>Three Kingdoms: Resurrection of the Dragon </c:v>
                </c:pt>
                <c:pt idx="4505">
                  <c:v>Three Kings </c:v>
                </c:pt>
                <c:pt idx="4506">
                  <c:v>Three to Tango </c:v>
                </c:pt>
                <c:pt idx="4507">
                  <c:v>Thumbsucker </c:v>
                </c:pt>
                <c:pt idx="4508">
                  <c:v>Thunder and the House of Magic </c:v>
                </c:pt>
                <c:pt idx="4509">
                  <c:v>Thunderball </c:v>
                </c:pt>
                <c:pt idx="4510">
                  <c:v>Thunderbirds </c:v>
                </c:pt>
                <c:pt idx="4511">
                  <c:v>Tidal Wave </c:v>
                </c:pt>
                <c:pt idx="4512">
                  <c:v>Tiger Orange </c:v>
                </c:pt>
                <c:pt idx="4513">
                  <c:v>Tim and Eric's Billion Dollar Movie </c:v>
                </c:pt>
                <c:pt idx="4514">
                  <c:v>Timber Falls </c:v>
                </c:pt>
                <c:pt idx="4515">
                  <c:v>Time Bandits </c:v>
                </c:pt>
                <c:pt idx="4516">
                  <c:v>Time Changer </c:v>
                </c:pt>
                <c:pt idx="4517">
                  <c:v>Time to Choose </c:v>
                </c:pt>
                <c:pt idx="4518">
                  <c:v>Timecop </c:v>
                </c:pt>
                <c:pt idx="4519">
                  <c:v>Timecrimes </c:v>
                </c:pt>
                <c:pt idx="4520">
                  <c:v>Timeline </c:v>
                </c:pt>
                <c:pt idx="4521">
                  <c:v>Tin Can Man </c:v>
                </c:pt>
                <c:pt idx="4522">
                  <c:v>Tin Cup </c:v>
                </c:pt>
                <c:pt idx="4523">
                  <c:v>Tinker Tailor Soldier Spy </c:v>
                </c:pt>
                <c:pt idx="4524">
                  <c:v>Tiny Furniture </c:v>
                </c:pt>
                <c:pt idx="4525">
                  <c:v>Titan A.E. </c:v>
                </c:pt>
                <c:pt idx="4526">
                  <c:v>Titanic </c:v>
                </c:pt>
                <c:pt idx="4527">
                  <c:v>TMNT </c:v>
                </c:pt>
                <c:pt idx="4528">
                  <c:v>To Be Frank, Sinatra at 100 </c:v>
                </c:pt>
                <c:pt idx="4529">
                  <c:v>To Die For </c:v>
                </c:pt>
                <c:pt idx="4530">
                  <c:v>To Kill a Mockingbird </c:v>
                </c:pt>
                <c:pt idx="4531">
                  <c:v>To Rome with Love </c:v>
                </c:pt>
                <c:pt idx="4532">
                  <c:v>To Save a Life </c:v>
                </c:pt>
                <c:pt idx="4533">
                  <c:v>Tom Jones </c:v>
                </c:pt>
                <c:pt idx="4534">
                  <c:v>Tombstone </c:v>
                </c:pt>
                <c:pt idx="4535">
                  <c:v>Tomcats </c:v>
                </c:pt>
                <c:pt idx="4536">
                  <c:v>Tomorrow Never Dies </c:v>
                </c:pt>
                <c:pt idx="4537">
                  <c:v>Tomorrowland </c:v>
                </c:pt>
                <c:pt idx="4538">
                  <c:v>Tootsie </c:v>
                </c:pt>
                <c:pt idx="4539">
                  <c:v>Top Cat Begins </c:v>
                </c:pt>
                <c:pt idx="4540">
                  <c:v>Top Five </c:v>
                </c:pt>
                <c:pt idx="4541">
                  <c:v>Top Gun </c:v>
                </c:pt>
                <c:pt idx="4542">
                  <c:v>Top Hat </c:v>
                </c:pt>
                <c:pt idx="4543">
                  <c:v>Top Spin </c:v>
                </c:pt>
                <c:pt idx="4544">
                  <c:v>Topaz </c:v>
                </c:pt>
                <c:pt idx="4545">
                  <c:v>Topsy-Turvy </c:v>
                </c:pt>
                <c:pt idx="4546">
                  <c:v>Tora! Tora! Tora! </c:v>
                </c:pt>
                <c:pt idx="4547">
                  <c:v>Torn Curtain </c:v>
                </c:pt>
                <c:pt idx="4548">
                  <c:v>Torque </c:v>
                </c:pt>
                <c:pt idx="4549">
                  <c:v>Total Recall </c:v>
                </c:pt>
                <c:pt idx="4550">
                  <c:v>Touching the Void </c:v>
                </c:pt>
                <c:pt idx="4551">
                  <c:v>Tower Heist </c:v>
                </c:pt>
                <c:pt idx="4552">
                  <c:v>Towering Inferno </c:v>
                </c:pt>
                <c:pt idx="4553">
                  <c:v>Town &amp; Country </c:v>
                </c:pt>
                <c:pt idx="4554">
                  <c:v>Toy Story 2 </c:v>
                </c:pt>
                <c:pt idx="4555">
                  <c:v>Toy Story 3 </c:v>
                </c:pt>
                <c:pt idx="4556">
                  <c:v>Toy Story </c:v>
                </c:pt>
                <c:pt idx="4557">
                  <c:v>Tracker </c:v>
                </c:pt>
                <c:pt idx="4558">
                  <c:v>Trade of Innocents </c:v>
                </c:pt>
                <c:pt idx="4559">
                  <c:v>Trade </c:v>
                </c:pt>
                <c:pt idx="4560">
                  <c:v>Trading Places </c:v>
                </c:pt>
                <c:pt idx="4561">
                  <c:v>Traffic </c:v>
                </c:pt>
                <c:pt idx="4562">
                  <c:v>Train </c:v>
                </c:pt>
                <c:pt idx="4563">
                  <c:v>Training Day </c:v>
                </c:pt>
                <c:pt idx="4564">
                  <c:v>Trainspotting </c:v>
                </c:pt>
                <c:pt idx="4565">
                  <c:v>Trainwreck </c:v>
                </c:pt>
                <c:pt idx="4566">
                  <c:v>Trance </c:v>
                </c:pt>
                <c:pt idx="4567">
                  <c:v>Transamerica </c:v>
                </c:pt>
                <c:pt idx="4568">
                  <c:v>Transcendence </c:v>
                </c:pt>
                <c:pt idx="4569">
                  <c:v>Transformers </c:v>
                </c:pt>
                <c:pt idx="4570">
                  <c:v>Transformers: Age of Extinction </c:v>
                </c:pt>
                <c:pt idx="4571">
                  <c:v>Transformers: Dark of the Moon </c:v>
                </c:pt>
                <c:pt idx="4572">
                  <c:v>Transformers: Revenge of the Fallen </c:v>
                </c:pt>
                <c:pt idx="4573">
                  <c:v>Transporter 2 </c:v>
                </c:pt>
                <c:pt idx="4574">
                  <c:v>Transsiberian </c:v>
                </c:pt>
                <c:pt idx="4575">
                  <c:v>Trapeze </c:v>
                </c:pt>
                <c:pt idx="4576">
                  <c:v>Trapped </c:v>
                </c:pt>
                <c:pt idx="4577">
                  <c:v>Trash </c:v>
                </c:pt>
                <c:pt idx="4578">
                  <c:v>Travelers and Magicians </c:v>
                </c:pt>
                <c:pt idx="4579">
                  <c:v>Treachery </c:v>
                </c:pt>
                <c:pt idx="4580">
                  <c:v>Treading Water </c:v>
                </c:pt>
                <c:pt idx="4581">
                  <c:v>Treasure Planet </c:v>
                </c:pt>
                <c:pt idx="4582">
                  <c:v>Trees Lounge </c:v>
                </c:pt>
                <c:pt idx="4583">
                  <c:v>Trekkies </c:v>
                </c:pt>
                <c:pt idx="4584">
                  <c:v>Tremors </c:v>
                </c:pt>
                <c:pt idx="4585">
                  <c:v>Triangle </c:v>
                </c:pt>
                <c:pt idx="4586">
                  <c:v>Triple 9 </c:v>
                </c:pt>
                <c:pt idx="4587">
                  <c:v>Trippin' </c:v>
                </c:pt>
                <c:pt idx="4588">
                  <c:v>Tristram Shandy: A Cock and Bull Story </c:v>
                </c:pt>
                <c:pt idx="4589">
                  <c:v>Trollhunter </c:v>
                </c:pt>
                <c:pt idx="4590">
                  <c:v>TRON: Legacy </c:v>
                </c:pt>
                <c:pt idx="4591">
                  <c:v>Troop Beverly Hills </c:v>
                </c:pt>
                <c:pt idx="4592">
                  <c:v>Tropic Thunder </c:v>
                </c:pt>
                <c:pt idx="4593">
                  <c:v>Trouble with the Curve </c:v>
                </c:pt>
                <c:pt idx="4594">
                  <c:v>Troy </c:v>
                </c:pt>
                <c:pt idx="4595">
                  <c:v>Trucker </c:v>
                </c:pt>
                <c:pt idx="4596">
                  <c:v>True Grit </c:v>
                </c:pt>
                <c:pt idx="4597">
                  <c:v>True Lies </c:v>
                </c:pt>
                <c:pt idx="4598">
                  <c:v>True Romance </c:v>
                </c:pt>
                <c:pt idx="4599">
                  <c:v>Trust the Man </c:v>
                </c:pt>
                <c:pt idx="4600">
                  <c:v>Trust </c:v>
                </c:pt>
                <c:pt idx="4601">
                  <c:v>Truth or Die </c:v>
                </c:pt>
                <c:pt idx="4602">
                  <c:v>Tsotsi </c:v>
                </c:pt>
                <c:pt idx="4603">
                  <c:v>Tuck Everlasting </c:v>
                </c:pt>
                <c:pt idx="4604">
                  <c:v>Tucker and Dale vs Evil </c:v>
                </c:pt>
                <c:pt idx="4605">
                  <c:v>Tumbleweeds </c:v>
                </c:pt>
                <c:pt idx="4606">
                  <c:v>Tupac: Resurrection </c:v>
                </c:pt>
                <c:pt idx="4607">
                  <c:v>Turbo </c:v>
                </c:pt>
                <c:pt idx="4608">
                  <c:v>Turbulence </c:v>
                </c:pt>
                <c:pt idx="4609">
                  <c:v>Tusk </c:v>
                </c:pt>
                <c:pt idx="4610">
                  <c:v>Twilight Zone: The Movie </c:v>
                </c:pt>
                <c:pt idx="4611">
                  <c:v>Twilight </c:v>
                </c:pt>
                <c:pt idx="4612">
                  <c:v>Twin Falls Idaho </c:v>
                </c:pt>
                <c:pt idx="4613">
                  <c:v>Twins </c:v>
                </c:pt>
                <c:pt idx="4614">
                  <c:v>Twisted </c:v>
                </c:pt>
                <c:pt idx="4615">
                  <c:v>Twister </c:v>
                </c:pt>
                <c:pt idx="4616">
                  <c:v>Twixt </c:v>
                </c:pt>
                <c:pt idx="4617">
                  <c:v>Two Brothers </c:v>
                </c:pt>
                <c:pt idx="4618">
                  <c:v>Two Can Play That Game </c:v>
                </c:pt>
                <c:pt idx="4619">
                  <c:v>Two Evil Eyes </c:v>
                </c:pt>
                <c:pt idx="4620">
                  <c:v>Two Girls and a Guy </c:v>
                </c:pt>
                <c:pt idx="4621">
                  <c:v>Two Lovers and a Bear </c:v>
                </c:pt>
                <c:pt idx="4622">
                  <c:v>Two Lovers </c:v>
                </c:pt>
                <c:pt idx="4623">
                  <c:v>Two Weeks Notice </c:v>
                </c:pt>
                <c:pt idx="4624">
                  <c:v>Tycoon </c:v>
                </c:pt>
                <c:pt idx="4625">
                  <c:v>U2 3D </c:v>
                </c:pt>
                <c:pt idx="4626">
                  <c:v>U-571 </c:v>
                </c:pt>
                <c:pt idx="4627">
                  <c:v>UHF </c:v>
                </c:pt>
                <c:pt idx="4628">
                  <c:v>Ulee's Gold </c:v>
                </c:pt>
                <c:pt idx="4629">
                  <c:v>Ultramarines: A Warhammer 40,000 Movie </c:v>
                </c:pt>
                <c:pt idx="4630">
                  <c:v>Ultraviolet </c:v>
                </c:pt>
                <c:pt idx="4631">
                  <c:v>Unaccompanied Minors </c:v>
                </c:pt>
                <c:pt idx="4632">
                  <c:v>Unbreakable </c:v>
                </c:pt>
                <c:pt idx="4633">
                  <c:v>Unbroken </c:v>
                </c:pt>
                <c:pt idx="4634">
                  <c:v>Under Siege 2: Dark Territory </c:v>
                </c:pt>
                <c:pt idx="4635">
                  <c:v>Under the Rainbow </c:v>
                </c:pt>
                <c:pt idx="4636">
                  <c:v>Under the Same Moon </c:v>
                </c:pt>
                <c:pt idx="4637">
                  <c:v>Under the Skin </c:v>
                </c:pt>
                <c:pt idx="4638">
                  <c:v>Under the Tuscan Sun </c:v>
                </c:pt>
                <c:pt idx="4639">
                  <c:v>Underclassman </c:v>
                </c:pt>
                <c:pt idx="4640">
                  <c:v>Undercover Brother </c:v>
                </c:pt>
                <c:pt idx="4641">
                  <c:v>Underdogs </c:v>
                </c:pt>
                <c:pt idx="4642">
                  <c:v>Underworld </c:v>
                </c:pt>
                <c:pt idx="4643">
                  <c:v>Underworld: Awakening </c:v>
                </c:pt>
                <c:pt idx="4644">
                  <c:v>Underworld: Evolution </c:v>
                </c:pt>
                <c:pt idx="4645">
                  <c:v>Underworld: Rise of the Lycans </c:v>
                </c:pt>
                <c:pt idx="4646">
                  <c:v>Undiscovered </c:v>
                </c:pt>
                <c:pt idx="4647">
                  <c:v>Undisputed </c:v>
                </c:pt>
                <c:pt idx="4648">
                  <c:v>UnDivided </c:v>
                </c:pt>
                <c:pt idx="4649">
                  <c:v>Une Femme Mariée </c:v>
                </c:pt>
                <c:pt idx="4650">
                  <c:v>Unfaithful </c:v>
                </c:pt>
                <c:pt idx="4651">
                  <c:v>Unfinished Business </c:v>
                </c:pt>
                <c:pt idx="4652">
                  <c:v>Unforgettable </c:v>
                </c:pt>
                <c:pt idx="4653">
                  <c:v>Unforgiven </c:v>
                </c:pt>
                <c:pt idx="4654">
                  <c:v>Unforgotten </c:v>
                </c:pt>
                <c:pt idx="4655">
                  <c:v>Unfriended </c:v>
                </c:pt>
                <c:pt idx="4656">
                  <c:v>United 93 </c:v>
                </c:pt>
                <c:pt idx="4657">
                  <c:v>United Passions </c:v>
                </c:pt>
                <c:pt idx="4658">
                  <c:v>Universal Soldier: The Return </c:v>
                </c:pt>
                <c:pt idx="4659">
                  <c:v>Unknown </c:v>
                </c:pt>
                <c:pt idx="4660">
                  <c:v>Unleashed </c:v>
                </c:pt>
                <c:pt idx="4661">
                  <c:v>Unnatural </c:v>
                </c:pt>
                <c:pt idx="4662">
                  <c:v>Unstoppable </c:v>
                </c:pt>
                <c:pt idx="4663">
                  <c:v>Unsullied </c:v>
                </c:pt>
                <c:pt idx="4664">
                  <c:v>Untraceable </c:v>
                </c:pt>
                <c:pt idx="4665">
                  <c:v>Up Close &amp; Personal </c:v>
                </c:pt>
                <c:pt idx="4666">
                  <c:v>Up in the Air </c:v>
                </c:pt>
                <c:pt idx="4667">
                  <c:v>Up </c:v>
                </c:pt>
                <c:pt idx="4668">
                  <c:v>Urban Legend </c:v>
                </c:pt>
                <c:pt idx="4669">
                  <c:v>Urban Legends: Final Cut </c:v>
                </c:pt>
                <c:pt idx="4670">
                  <c:v>Urbania </c:v>
                </c:pt>
                <c:pt idx="4671">
                  <c:v>V for Vendetta </c:v>
                </c:pt>
                <c:pt idx="4672">
                  <c:v>Vaalu </c:v>
                </c:pt>
                <c:pt idx="4673">
                  <c:v>Vacation </c:v>
                </c:pt>
                <c:pt idx="4674">
                  <c:v>Valentine </c:v>
                </c:pt>
                <c:pt idx="4675">
                  <c:v>Valentine's Day </c:v>
                </c:pt>
                <c:pt idx="4676">
                  <c:v>Valiant </c:v>
                </c:pt>
                <c:pt idx="4677">
                  <c:v>Valkyrie </c:v>
                </c:pt>
                <c:pt idx="4678">
                  <c:v>Valley of the Heart's Delight </c:v>
                </c:pt>
                <c:pt idx="4679">
                  <c:v>Valley of the Wolves: Iraq </c:v>
                </c:pt>
                <c:pt idx="4680">
                  <c:v>Vampire in Brooklyn </c:v>
                </c:pt>
                <c:pt idx="4681">
                  <c:v>Vampire Killers </c:v>
                </c:pt>
                <c:pt idx="4682">
                  <c:v>Vampires Suck </c:v>
                </c:pt>
                <c:pt idx="4683">
                  <c:v>Vampires </c:v>
                </c:pt>
                <c:pt idx="4684">
                  <c:v>Vamps </c:v>
                </c:pt>
                <c:pt idx="4685">
                  <c:v>Van Wilder: Party Liaison </c:v>
                </c:pt>
                <c:pt idx="4686">
                  <c:v>Vanilla Sky </c:v>
                </c:pt>
                <c:pt idx="4687">
                  <c:v>Vanity Fair </c:v>
                </c:pt>
                <c:pt idx="4688">
                  <c:v>Vantage Point </c:v>
                </c:pt>
                <c:pt idx="4689">
                  <c:v>Varsity Blues </c:v>
                </c:pt>
                <c:pt idx="4690">
                  <c:v>Veer-Zaara </c:v>
                </c:pt>
                <c:pt idx="4691">
                  <c:v>Velvet Goldmine </c:v>
                </c:pt>
                <c:pt idx="4692">
                  <c:v>Vera Drake </c:v>
                </c:pt>
                <c:pt idx="4693">
                  <c:v>Veronica Guerin </c:v>
                </c:pt>
                <c:pt idx="4694">
                  <c:v>Veronica Mars </c:v>
                </c:pt>
                <c:pt idx="4695">
                  <c:v>Veronika Decides to Die </c:v>
                </c:pt>
                <c:pt idx="4696">
                  <c:v>Vertical Limit </c:v>
                </c:pt>
                <c:pt idx="4697">
                  <c:v>Very Bad Things </c:v>
                </c:pt>
                <c:pt idx="4698">
                  <c:v>Vessel </c:v>
                </c:pt>
                <c:pt idx="4699">
                  <c:v>Vicky Cristina Barcelona </c:v>
                </c:pt>
                <c:pt idx="4700">
                  <c:v>Victor Frankenstein </c:v>
                </c:pt>
                <c:pt idx="4701">
                  <c:v>Videodrome </c:v>
                </c:pt>
                <c:pt idx="4702">
                  <c:v>Virgin Territory </c:v>
                </c:pt>
                <c:pt idx="4703">
                  <c:v>Virtuosity </c:v>
                </c:pt>
                <c:pt idx="4704">
                  <c:v>Viy </c:v>
                </c:pt>
                <c:pt idx="4705">
                  <c:v>Volcano </c:v>
                </c:pt>
                <c:pt idx="4706">
                  <c:v>Volver </c:v>
                </c:pt>
                <c:pt idx="4707">
                  <c:v>W. </c:v>
                </c:pt>
                <c:pt idx="4708">
                  <c:v>Wag the Dog </c:v>
                </c:pt>
                <c:pt idx="4709">
                  <c:v>Wah-Wah </c:v>
                </c:pt>
                <c:pt idx="4710">
                  <c:v>Waiting for Guffman </c:v>
                </c:pt>
                <c:pt idx="4711">
                  <c:v>Waiting... </c:v>
                </c:pt>
                <c:pt idx="4712">
                  <c:v>Waitress </c:v>
                </c:pt>
                <c:pt idx="4713">
                  <c:v>Waking Ned Devine </c:v>
                </c:pt>
                <c:pt idx="4714">
                  <c:v>Walk Hard: The Dewey Cox Story </c:v>
                </c:pt>
                <c:pt idx="4715">
                  <c:v>Walk the Line </c:v>
                </c:pt>
                <c:pt idx="4716">
                  <c:v>Walking and Talking </c:v>
                </c:pt>
                <c:pt idx="4717">
                  <c:v>Walking Tall </c:v>
                </c:pt>
                <c:pt idx="4718">
                  <c:v>Walking with Dinosaurs 3D </c:v>
                </c:pt>
                <c:pt idx="4719">
                  <c:v>Wall Street </c:v>
                </c:pt>
                <c:pt idx="4720">
                  <c:v>Wall Street: Money Never Sleeps </c:v>
                </c:pt>
                <c:pt idx="4721">
                  <c:v>WALL·E </c:v>
                </c:pt>
                <c:pt idx="4722">
                  <c:v>Wal-Mart: The High Cost of Low Price </c:v>
                </c:pt>
                <c:pt idx="4723">
                  <c:v>Walter </c:v>
                </c:pt>
                <c:pt idx="4724">
                  <c:v>Waltz with Bashir </c:v>
                </c:pt>
                <c:pt idx="4725">
                  <c:v>Wanderlust </c:v>
                </c:pt>
                <c:pt idx="4726">
                  <c:v>Wanted </c:v>
                </c:pt>
                <c:pt idx="4727">
                  <c:v>War &amp; Peace </c:v>
                </c:pt>
                <c:pt idx="4728">
                  <c:v>War Horse </c:v>
                </c:pt>
                <c:pt idx="4729">
                  <c:v>War of the Worlds </c:v>
                </c:pt>
                <c:pt idx="4730">
                  <c:v>War </c:v>
                </c:pt>
                <c:pt idx="4731">
                  <c:v>War, Inc. </c:v>
                </c:pt>
                <c:pt idx="4732">
                  <c:v>Warcraft </c:v>
                </c:pt>
                <c:pt idx="4733">
                  <c:v>WarGames </c:v>
                </c:pt>
                <c:pt idx="4734">
                  <c:v>Warlock </c:v>
                </c:pt>
                <c:pt idx="4735">
                  <c:v>Warlock: The Armageddon </c:v>
                </c:pt>
                <c:pt idx="4736">
                  <c:v>Warm Bodies </c:v>
                </c:pt>
                <c:pt idx="4737">
                  <c:v>Warrior </c:v>
                </c:pt>
                <c:pt idx="4738">
                  <c:v>Warriors of Virtue </c:v>
                </c:pt>
                <c:pt idx="4739">
                  <c:v>Wasabi </c:v>
                </c:pt>
                <c:pt idx="4740">
                  <c:v>Watchmen </c:v>
                </c:pt>
                <c:pt idx="4741">
                  <c:v>Water &amp; Power </c:v>
                </c:pt>
                <c:pt idx="4742">
                  <c:v>Water for Elephants </c:v>
                </c:pt>
                <c:pt idx="4743">
                  <c:v>Water </c:v>
                </c:pt>
                <c:pt idx="4744">
                  <c:v>Waterloo </c:v>
                </c:pt>
                <c:pt idx="4745">
                  <c:v>Waterworld </c:v>
                </c:pt>
                <c:pt idx="4746">
                  <c:v>Wayne's World </c:v>
                </c:pt>
                <c:pt idx="4747">
                  <c:v>We Are Marshall </c:v>
                </c:pt>
                <c:pt idx="4748">
                  <c:v>We Are Your Friends </c:v>
                </c:pt>
                <c:pt idx="4749">
                  <c:v>We Bought a Zoo </c:v>
                </c:pt>
                <c:pt idx="4750">
                  <c:v>We Have Your Husband </c:v>
                </c:pt>
                <c:pt idx="4751">
                  <c:v>We Need to Talk About Kevin </c:v>
                </c:pt>
                <c:pt idx="4752">
                  <c:v>We Own the Night </c:v>
                </c:pt>
                <c:pt idx="4753">
                  <c:v>We Were Soldiers </c:v>
                </c:pt>
                <c:pt idx="4754">
                  <c:v>Weekend </c:v>
                </c:pt>
                <c:pt idx="4755">
                  <c:v>Welcome Home, Roscoe Jenkins </c:v>
                </c:pt>
                <c:pt idx="4756">
                  <c:v>Welcome to Collinwood </c:v>
                </c:pt>
                <c:pt idx="4757">
                  <c:v>Welcome to Mooseport </c:v>
                </c:pt>
                <c:pt idx="4758">
                  <c:v>Welcome to the Dollhouse </c:v>
                </c:pt>
                <c:pt idx="4759">
                  <c:v>Welcome to the Rileys </c:v>
                </c:pt>
                <c:pt idx="4760">
                  <c:v>Welcome to the Sticks </c:v>
                </c:pt>
                <c:pt idx="4761">
                  <c:v>Wendy and Lucy </c:v>
                </c:pt>
                <c:pt idx="4762">
                  <c:v>We're No Angels </c:v>
                </c:pt>
                <c:pt idx="4763">
                  <c:v>We're the Millers </c:v>
                </c:pt>
                <c:pt idx="4764">
                  <c:v>West Side Story </c:v>
                </c:pt>
                <c:pt idx="4765">
                  <c:v>Western Religion </c:v>
                </c:pt>
                <c:pt idx="4766">
                  <c:v>Whale Rider </c:v>
                </c:pt>
                <c:pt idx="4767">
                  <c:v>What a Girl Wants </c:v>
                </c:pt>
                <c:pt idx="4768">
                  <c:v>What Dreams May Come </c:v>
                </c:pt>
                <c:pt idx="4769">
                  <c:v>What Happens in Vegas </c:v>
                </c:pt>
                <c:pt idx="4770">
                  <c:v>What Just Happened </c:v>
                </c:pt>
                <c:pt idx="4771">
                  <c:v>What Lies Beneath </c:v>
                </c:pt>
                <c:pt idx="4772">
                  <c:v>What Planet Are You From? </c:v>
                </c:pt>
                <c:pt idx="4773">
                  <c:v>What the #$*! Do We (K)now!? </c:v>
                </c:pt>
                <c:pt idx="4774">
                  <c:v>What to Expect When You're Expecting </c:v>
                </c:pt>
                <c:pt idx="4775">
                  <c:v>What Women Want </c:v>
                </c:pt>
                <c:pt idx="4776">
                  <c:v>Whatever It Takes </c:v>
                </c:pt>
                <c:pt idx="4777">
                  <c:v>Whatever Works </c:v>
                </c:pt>
                <c:pt idx="4778">
                  <c:v>What's Eating Gilbert Grape </c:v>
                </c:pt>
                <c:pt idx="4779">
                  <c:v>What's Love Got to Do with It </c:v>
                </c:pt>
                <c:pt idx="4780">
                  <c:v>What's the Worst That Could Happen? </c:v>
                </c:pt>
                <c:pt idx="4781">
                  <c:v>What's Your Number? </c:v>
                </c:pt>
                <c:pt idx="4782">
                  <c:v>When a Stranger Calls </c:v>
                </c:pt>
                <c:pt idx="4783">
                  <c:v>When Did You Last See Your Father? </c:v>
                </c:pt>
                <c:pt idx="4784">
                  <c:v>When Harry Met Sally... </c:v>
                </c:pt>
                <c:pt idx="4785">
                  <c:v>When the Cat's Away </c:v>
                </c:pt>
                <c:pt idx="4786">
                  <c:v>When the Game Stands Tall </c:v>
                </c:pt>
                <c:pt idx="4787">
                  <c:v>When the Lights Went Out </c:v>
                </c:pt>
                <c:pt idx="4788">
                  <c:v>Where the Heart Is </c:v>
                </c:pt>
                <c:pt idx="4789">
                  <c:v>Where the Truth Lies </c:v>
                </c:pt>
                <c:pt idx="4790">
                  <c:v>Where the Wild Things Are </c:v>
                </c:pt>
                <c:pt idx="4791">
                  <c:v>While We're Young </c:v>
                </c:pt>
                <c:pt idx="4792">
                  <c:v>Whip It </c:v>
                </c:pt>
                <c:pt idx="4793">
                  <c:v>Whiplash </c:v>
                </c:pt>
                <c:pt idx="4794">
                  <c:v>Whipped </c:v>
                </c:pt>
                <c:pt idx="4795">
                  <c:v>White Chicks </c:v>
                </c:pt>
                <c:pt idx="4796">
                  <c:v>White Fang </c:v>
                </c:pt>
                <c:pt idx="4797">
                  <c:v>White House Down </c:v>
                </c:pt>
                <c:pt idx="4798">
                  <c:v>White Noise 2: The Light </c:v>
                </c:pt>
                <c:pt idx="4799">
                  <c:v>White Noise </c:v>
                </c:pt>
                <c:pt idx="4800">
                  <c:v>White Oleander </c:v>
                </c:pt>
                <c:pt idx="4801">
                  <c:v>White Squall </c:v>
                </c:pt>
                <c:pt idx="4802">
                  <c:v>Whiteout </c:v>
                </c:pt>
                <c:pt idx="4803">
                  <c:v>Who Killed the Electric Car? </c:v>
                </c:pt>
                <c:pt idx="4804">
                  <c:v>Who's Your Caddy? </c:v>
                </c:pt>
                <c:pt idx="4805">
                  <c:v>Why Did I Get Married Too? </c:v>
                </c:pt>
                <c:pt idx="4806">
                  <c:v>Why Did I Get Married? </c:v>
                </c:pt>
                <c:pt idx="4807">
                  <c:v>Wicked Blood </c:v>
                </c:pt>
                <c:pt idx="4808">
                  <c:v>Wicker Park </c:v>
                </c:pt>
                <c:pt idx="4809">
                  <c:v>Wild Card </c:v>
                </c:pt>
                <c:pt idx="4810">
                  <c:v>Wild Grass </c:v>
                </c:pt>
                <c:pt idx="4811">
                  <c:v>Wild Hogs </c:v>
                </c:pt>
                <c:pt idx="4812">
                  <c:v>Wild Target </c:v>
                </c:pt>
                <c:pt idx="4813">
                  <c:v>Wild Things </c:v>
                </c:pt>
                <c:pt idx="4814">
                  <c:v>Wild Wild West </c:v>
                </c:pt>
                <c:pt idx="4815">
                  <c:v>Wild </c:v>
                </c:pt>
                <c:pt idx="4816">
                  <c:v>Willard </c:v>
                </c:pt>
                <c:pt idx="4817">
                  <c:v>Willy Wonka &amp; the Chocolate Factory </c:v>
                </c:pt>
                <c:pt idx="4818">
                  <c:v>Wimbledon </c:v>
                </c:pt>
                <c:pt idx="4819">
                  <c:v>Win a Date with Tad Hamilton! </c:v>
                </c:pt>
                <c:pt idx="4820">
                  <c:v>Wind Walkers </c:v>
                </c:pt>
                <c:pt idx="4821">
                  <c:v>Windsor Drive </c:v>
                </c:pt>
                <c:pt idx="4822">
                  <c:v>Windtalkers </c:v>
                </c:pt>
                <c:pt idx="4823">
                  <c:v>Wing Commander </c:v>
                </c:pt>
                <c:pt idx="4824">
                  <c:v>Winged Migration </c:v>
                </c:pt>
                <c:pt idx="4825">
                  <c:v>Wings </c:v>
                </c:pt>
                <c:pt idx="4826">
                  <c:v>Winnie Mandela </c:v>
                </c:pt>
                <c:pt idx="4827">
                  <c:v>Winnie the Pooh </c:v>
                </c:pt>
                <c:pt idx="4828">
                  <c:v>Winter in Wartime </c:v>
                </c:pt>
                <c:pt idx="4829">
                  <c:v>Winter Passing </c:v>
                </c:pt>
                <c:pt idx="4830">
                  <c:v>Winter's Bone </c:v>
                </c:pt>
                <c:pt idx="4831">
                  <c:v>Winter's Tale </c:v>
                </c:pt>
                <c:pt idx="4832">
                  <c:v>Wish I Was Here </c:v>
                </c:pt>
                <c:pt idx="4833">
                  <c:v>Witchboard </c:v>
                </c:pt>
                <c:pt idx="4834">
                  <c:v>Without a Paddle </c:v>
                </c:pt>
                <c:pt idx="4835">
                  <c:v>Without Limits </c:v>
                </c:pt>
                <c:pt idx="4836">
                  <c:v>Without Men </c:v>
                </c:pt>
                <c:pt idx="4837">
                  <c:v>Witless Protection </c:v>
                </c:pt>
                <c:pt idx="4838">
                  <c:v>Witness </c:v>
                </c:pt>
                <c:pt idx="4839">
                  <c:v>Wolf Creek </c:v>
                </c:pt>
                <c:pt idx="4840">
                  <c:v>Wolf </c:v>
                </c:pt>
                <c:pt idx="4841">
                  <c:v>Wolves </c:v>
                </c:pt>
                <c:pt idx="4842">
                  <c:v>Woman in Gold </c:v>
                </c:pt>
                <c:pt idx="4843">
                  <c:v>Woman on Top </c:v>
                </c:pt>
                <c:pt idx="4844">
                  <c:v>Woman Thou Art Loosed </c:v>
                </c:pt>
                <c:pt idx="4845">
                  <c:v>Womb </c:v>
                </c:pt>
                <c:pt idx="4846">
                  <c:v>Wonder Boys </c:v>
                </c:pt>
                <c:pt idx="4847">
                  <c:v>Wonderland </c:v>
                </c:pt>
                <c:pt idx="4848">
                  <c:v>Won't Back Down </c:v>
                </c:pt>
                <c:pt idx="4849">
                  <c:v>Woo </c:v>
                </c:pt>
                <c:pt idx="4850">
                  <c:v>Woodstock </c:v>
                </c:pt>
                <c:pt idx="4851">
                  <c:v>Wordplay </c:v>
                </c:pt>
                <c:pt idx="4852">
                  <c:v>World Trade Center </c:v>
                </c:pt>
                <c:pt idx="4853">
                  <c:v>World War Z </c:v>
                </c:pt>
                <c:pt idx="4854">
                  <c:v>World's Greatest Dad </c:v>
                </c:pt>
                <c:pt idx="4855">
                  <c:v>Wrath of the Titans </c:v>
                </c:pt>
                <c:pt idx="4856">
                  <c:v>Wreck-It Ralph </c:v>
                </c:pt>
                <c:pt idx="4857">
                  <c:v>Wristcutters: A Love Story </c:v>
                </c:pt>
                <c:pt idx="4858">
                  <c:v>Wrong Turn </c:v>
                </c:pt>
                <c:pt idx="4859">
                  <c:v>Wuthering Heights </c:v>
                </c:pt>
                <c:pt idx="4860">
                  <c:v>Wyatt Earp </c:v>
                </c:pt>
                <c:pt idx="4861">
                  <c:v>Xi you ji zhi: Sun Wukong san da Baigu Jing </c:v>
                </c:pt>
                <c:pt idx="4862">
                  <c:v>X-Men 2 </c:v>
                </c:pt>
                <c:pt idx="4863">
                  <c:v>X-Men Origins: Wolverine </c:v>
                </c:pt>
                <c:pt idx="4864">
                  <c:v>X-Men </c:v>
                </c:pt>
                <c:pt idx="4865">
                  <c:v>X-Men: Apocalypse </c:v>
                </c:pt>
                <c:pt idx="4866">
                  <c:v>X-Men: Days of Future Past </c:v>
                </c:pt>
                <c:pt idx="4867">
                  <c:v>X-Men: First Class </c:v>
                </c:pt>
                <c:pt idx="4868">
                  <c:v>X-Men: The Last Stand </c:v>
                </c:pt>
                <c:pt idx="4869">
                  <c:v>xXx </c:v>
                </c:pt>
                <c:pt idx="4870">
                  <c:v>xXx: State of the Union </c:v>
                </c:pt>
                <c:pt idx="4871">
                  <c:v>Y Tu Mamá También </c:v>
                </c:pt>
                <c:pt idx="4872">
                  <c:v>Year One </c:v>
                </c:pt>
                <c:pt idx="4873">
                  <c:v>Yeh Jawaani Hai Deewani </c:v>
                </c:pt>
                <c:pt idx="4874">
                  <c:v>Yentl </c:v>
                </c:pt>
                <c:pt idx="4875">
                  <c:v>Yes Man </c:v>
                </c:pt>
                <c:pt idx="4876">
                  <c:v>Yes </c:v>
                </c:pt>
                <c:pt idx="4877">
                  <c:v>Yesterday Was a Lie </c:v>
                </c:pt>
                <c:pt idx="4878">
                  <c:v>Yoga Hosers </c:v>
                </c:pt>
                <c:pt idx="4879">
                  <c:v>Yogi Bear </c:v>
                </c:pt>
                <c:pt idx="4880">
                  <c:v>You Again </c:v>
                </c:pt>
                <c:pt idx="4881">
                  <c:v>You Can Count on Me </c:v>
                </c:pt>
                <c:pt idx="4882">
                  <c:v>You Can't Take It with You </c:v>
                </c:pt>
                <c:pt idx="4883">
                  <c:v>You Don't Mess with the Zohan </c:v>
                </c:pt>
                <c:pt idx="4884">
                  <c:v>You Got Served </c:v>
                </c:pt>
                <c:pt idx="4885">
                  <c:v>You Got Served: Beat the World </c:v>
                </c:pt>
                <c:pt idx="4886">
                  <c:v>You Kill Me </c:v>
                </c:pt>
                <c:pt idx="4887">
                  <c:v>You Only Live Twice </c:v>
                </c:pt>
                <c:pt idx="4888">
                  <c:v>You Will Meet a Tall Dark Stranger </c:v>
                </c:pt>
                <c:pt idx="4889">
                  <c:v>You, Me and Dupree </c:v>
                </c:pt>
                <c:pt idx="4890">
                  <c:v>Young Adult </c:v>
                </c:pt>
                <c:pt idx="4891">
                  <c:v>Young Frankenstein </c:v>
                </c:pt>
                <c:pt idx="4892">
                  <c:v>Young Guns </c:v>
                </c:pt>
                <c:pt idx="4893">
                  <c:v>Young Sherlock Holmes </c:v>
                </c:pt>
                <c:pt idx="4894">
                  <c:v>Your Highness </c:v>
                </c:pt>
                <c:pt idx="4895">
                  <c:v>Your Sister's Sister </c:v>
                </c:pt>
                <c:pt idx="4896">
                  <c:v>Yours, Mine and Ours </c:v>
                </c:pt>
                <c:pt idx="4897">
                  <c:v>Youth in Revolt </c:v>
                </c:pt>
                <c:pt idx="4898">
                  <c:v>You've Got Mail </c:v>
                </c:pt>
                <c:pt idx="4899">
                  <c:v>Yu-Gi-Oh! Duel Monsters </c:v>
                </c:pt>
                <c:pt idx="4900">
                  <c:v>Z Storm </c:v>
                </c:pt>
                <c:pt idx="4901">
                  <c:v>Zack and Miri Make a Porno </c:v>
                </c:pt>
                <c:pt idx="4902">
                  <c:v>Zambezia </c:v>
                </c:pt>
                <c:pt idx="4903">
                  <c:v>Zathura: A Space Adventure </c:v>
                </c:pt>
                <c:pt idx="4904">
                  <c:v>Zero Dark Thirty </c:v>
                </c:pt>
                <c:pt idx="4905">
                  <c:v>Zero Effect </c:v>
                </c:pt>
                <c:pt idx="4906">
                  <c:v>Zipper </c:v>
                </c:pt>
                <c:pt idx="4907">
                  <c:v>ZMD: Zombies of Mass Destruction </c:v>
                </c:pt>
                <c:pt idx="4908">
                  <c:v>Zodiac </c:v>
                </c:pt>
                <c:pt idx="4909">
                  <c:v>Zombie Hunter </c:v>
                </c:pt>
                <c:pt idx="4910">
                  <c:v>Zombieland </c:v>
                </c:pt>
                <c:pt idx="4911">
                  <c:v>Zookeeper </c:v>
                </c:pt>
                <c:pt idx="4912">
                  <c:v>Zoolander 2 </c:v>
                </c:pt>
                <c:pt idx="4913">
                  <c:v>Zoolander </c:v>
                </c:pt>
                <c:pt idx="4914">
                  <c:v>Zoom </c:v>
                </c:pt>
                <c:pt idx="4915">
                  <c:v>Zulu </c:v>
                </c:pt>
              </c:strCache>
            </c:strRef>
          </c:cat>
          <c:val>
            <c:numRef>
              <c:f>'Visulaize movie by Duration'!$B$2:$B$4917</c:f>
              <c:numCache>
                <c:formatCode>General</c:formatCode>
                <c:ptCount val="4916"/>
                <c:pt idx="0">
                  <c:v>101</c:v>
                </c:pt>
                <c:pt idx="1">
                  <c:v>85</c:v>
                </c:pt>
                <c:pt idx="2">
                  <c:v>78</c:v>
                </c:pt>
                <c:pt idx="3">
                  <c:v>104</c:v>
                </c:pt>
                <c:pt idx="4">
                  <c:v>111</c:v>
                </c:pt>
                <c:pt idx="5">
                  <c:v>97</c:v>
                </c:pt>
                <c:pt idx="6">
                  <c:v>22</c:v>
                </c:pt>
                <c:pt idx="7">
                  <c:v>100</c:v>
                </c:pt>
                <c:pt idx="8">
                  <c:v>107</c:v>
                </c:pt>
                <c:pt idx="9">
                  <c:v>85</c:v>
                </c:pt>
                <c:pt idx="10">
                  <c:v>96</c:v>
                </c:pt>
                <c:pt idx="11">
                  <c:v>42</c:v>
                </c:pt>
                <c:pt idx="12">
                  <c:v>108</c:v>
                </c:pt>
                <c:pt idx="13">
                  <c:v>134</c:v>
                </c:pt>
                <c:pt idx="14">
                  <c:v>94</c:v>
                </c:pt>
                <c:pt idx="15">
                  <c:v>98</c:v>
                </c:pt>
                <c:pt idx="16">
                  <c:v>144</c:v>
                </c:pt>
                <c:pt idx="17">
                  <c:v>114</c:v>
                </c:pt>
                <c:pt idx="18">
                  <c:v>120</c:v>
                </c:pt>
                <c:pt idx="19">
                  <c:v>102</c:v>
                </c:pt>
                <c:pt idx="20">
                  <c:v>89</c:v>
                </c:pt>
                <c:pt idx="21">
                  <c:v>102</c:v>
                </c:pt>
                <c:pt idx="22">
                  <c:v>168</c:v>
                </c:pt>
                <c:pt idx="23">
                  <c:v>121</c:v>
                </c:pt>
                <c:pt idx="24">
                  <c:v>142</c:v>
                </c:pt>
                <c:pt idx="25">
                  <c:v>90</c:v>
                </c:pt>
                <c:pt idx="26">
                  <c:v>107</c:v>
                </c:pt>
                <c:pt idx="27">
                  <c:v>109</c:v>
                </c:pt>
                <c:pt idx="28">
                  <c:v>96</c:v>
                </c:pt>
                <c:pt idx="29">
                  <c:v>87</c:v>
                </c:pt>
                <c:pt idx="30">
                  <c:v>91</c:v>
                </c:pt>
                <c:pt idx="31">
                  <c:v>254</c:v>
                </c:pt>
                <c:pt idx="32">
                  <c:v>101</c:v>
                </c:pt>
                <c:pt idx="33">
                  <c:v>161</c:v>
                </c:pt>
                <c:pt idx="34">
                  <c:v>158</c:v>
                </c:pt>
                <c:pt idx="35">
                  <c:v>87</c:v>
                </c:pt>
                <c:pt idx="36">
                  <c:v>129</c:v>
                </c:pt>
                <c:pt idx="37">
                  <c:v>93</c:v>
                </c:pt>
                <c:pt idx="38">
                  <c:v>124</c:v>
                </c:pt>
                <c:pt idx="39">
                  <c:v>109</c:v>
                </c:pt>
                <c:pt idx="40">
                  <c:v>123</c:v>
                </c:pt>
                <c:pt idx="41">
                  <c:v>112</c:v>
                </c:pt>
                <c:pt idx="42">
                  <c:v>96</c:v>
                </c:pt>
                <c:pt idx="43">
                  <c:v>108</c:v>
                </c:pt>
                <c:pt idx="44">
                  <c:v>111</c:v>
                </c:pt>
                <c:pt idx="45">
                  <c:v>113</c:v>
                </c:pt>
                <c:pt idx="46">
                  <c:v>103</c:v>
                </c:pt>
                <c:pt idx="47">
                  <c:v>100</c:v>
                </c:pt>
                <c:pt idx="48">
                  <c:v>88</c:v>
                </c:pt>
                <c:pt idx="49">
                  <c:v>123</c:v>
                </c:pt>
                <c:pt idx="50">
                  <c:v>102</c:v>
                </c:pt>
                <c:pt idx="51">
                  <c:v>93</c:v>
                </c:pt>
                <c:pt idx="52">
                  <c:v>82</c:v>
                </c:pt>
                <c:pt idx="53">
                  <c:v>119</c:v>
                </c:pt>
                <c:pt idx="54">
                  <c:v>122</c:v>
                </c:pt>
                <c:pt idx="55">
                  <c:v>113</c:v>
                </c:pt>
                <c:pt idx="56">
                  <c:v>83</c:v>
                </c:pt>
                <c:pt idx="57">
                  <c:v>80</c:v>
                </c:pt>
                <c:pt idx="58">
                  <c:v>117</c:v>
                </c:pt>
                <c:pt idx="59">
                  <c:v>102</c:v>
                </c:pt>
                <c:pt idx="60">
                  <c:v>125</c:v>
                </c:pt>
                <c:pt idx="61">
                  <c:v>60</c:v>
                </c:pt>
                <c:pt idx="62">
                  <c:v>113</c:v>
                </c:pt>
                <c:pt idx="63">
                  <c:v>96</c:v>
                </c:pt>
                <c:pt idx="64">
                  <c:v>128</c:v>
                </c:pt>
                <c:pt idx="65">
                  <c:v>89</c:v>
                </c:pt>
                <c:pt idx="66">
                  <c:v>128</c:v>
                </c:pt>
                <c:pt idx="67">
                  <c:v>113</c:v>
                </c:pt>
                <c:pt idx="68">
                  <c:v>99</c:v>
                </c:pt>
                <c:pt idx="69">
                  <c:v>100</c:v>
                </c:pt>
                <c:pt idx="70">
                  <c:v>95</c:v>
                </c:pt>
                <c:pt idx="71">
                  <c:v>90</c:v>
                </c:pt>
                <c:pt idx="72">
                  <c:v>121</c:v>
                </c:pt>
                <c:pt idx="73">
                  <c:v>154</c:v>
                </c:pt>
                <c:pt idx="74">
                  <c:v>90</c:v>
                </c:pt>
                <c:pt idx="75">
                  <c:v>95</c:v>
                </c:pt>
                <c:pt idx="76">
                  <c:v>110</c:v>
                </c:pt>
                <c:pt idx="77">
                  <c:v>111</c:v>
                </c:pt>
                <c:pt idx="78">
                  <c:v>80</c:v>
                </c:pt>
                <c:pt idx="79">
                  <c:v>108</c:v>
                </c:pt>
                <c:pt idx="80">
                  <c:v>123</c:v>
                </c:pt>
                <c:pt idx="81">
                  <c:v>79</c:v>
                </c:pt>
                <c:pt idx="82">
                  <c:v>121</c:v>
                </c:pt>
                <c:pt idx="83">
                  <c:v>112</c:v>
                </c:pt>
                <c:pt idx="84">
                  <c:v>135</c:v>
                </c:pt>
                <c:pt idx="85">
                  <c:v>87</c:v>
                </c:pt>
                <c:pt idx="86">
                  <c:v>98</c:v>
                </c:pt>
                <c:pt idx="87">
                  <c:v>175</c:v>
                </c:pt>
                <c:pt idx="88">
                  <c:v>95</c:v>
                </c:pt>
                <c:pt idx="89">
                  <c:v>25</c:v>
                </c:pt>
                <c:pt idx="90">
                  <c:v>96</c:v>
                </c:pt>
                <c:pt idx="91">
                  <c:v>94</c:v>
                </c:pt>
                <c:pt idx="92">
                  <c:v>95</c:v>
                </c:pt>
                <c:pt idx="93">
                  <c:v>115</c:v>
                </c:pt>
                <c:pt idx="94">
                  <c:v>99</c:v>
                </c:pt>
                <c:pt idx="95">
                  <c:v>100</c:v>
                </c:pt>
                <c:pt idx="96">
                  <c:v>176</c:v>
                </c:pt>
                <c:pt idx="97">
                  <c:v>79</c:v>
                </c:pt>
                <c:pt idx="98">
                  <c:v>138</c:v>
                </c:pt>
                <c:pt idx="99">
                  <c:v>111</c:v>
                </c:pt>
                <c:pt idx="100">
                  <c:v>99</c:v>
                </c:pt>
                <c:pt idx="101">
                  <c:v>99</c:v>
                </c:pt>
                <c:pt idx="102">
                  <c:v>101</c:v>
                </c:pt>
                <c:pt idx="103">
                  <c:v>117</c:v>
                </c:pt>
                <c:pt idx="104">
                  <c:v>122</c:v>
                </c:pt>
                <c:pt idx="105">
                  <c:v>101</c:v>
                </c:pt>
                <c:pt idx="106">
                  <c:v>87</c:v>
                </c:pt>
                <c:pt idx="107">
                  <c:v>86</c:v>
                </c:pt>
                <c:pt idx="108">
                  <c:v>86</c:v>
                </c:pt>
                <c:pt idx="109">
                  <c:v>96</c:v>
                </c:pt>
                <c:pt idx="110">
                  <c:v>97</c:v>
                </c:pt>
                <c:pt idx="111">
                  <c:v>144</c:v>
                </c:pt>
                <c:pt idx="112">
                  <c:v>128</c:v>
                </c:pt>
                <c:pt idx="113">
                  <c:v>93</c:v>
                </c:pt>
                <c:pt idx="114">
                  <c:v>99</c:v>
                </c:pt>
                <c:pt idx="115">
                  <c:v>107</c:v>
                </c:pt>
                <c:pt idx="116">
                  <c:v>100</c:v>
                </c:pt>
                <c:pt idx="117">
                  <c:v>100</c:v>
                </c:pt>
                <c:pt idx="118">
                  <c:v>109</c:v>
                </c:pt>
                <c:pt idx="119">
                  <c:v>120</c:v>
                </c:pt>
                <c:pt idx="120">
                  <c:v>108</c:v>
                </c:pt>
                <c:pt idx="121">
                  <c:v>91</c:v>
                </c:pt>
                <c:pt idx="122">
                  <c:v>136</c:v>
                </c:pt>
                <c:pt idx="123">
                  <c:v>90</c:v>
                </c:pt>
                <c:pt idx="124">
                  <c:v>125</c:v>
                </c:pt>
                <c:pt idx="125">
                  <c:v>122</c:v>
                </c:pt>
                <c:pt idx="126">
                  <c:v>82</c:v>
                </c:pt>
                <c:pt idx="127">
                  <c:v>87</c:v>
                </c:pt>
                <c:pt idx="128">
                  <c:v>88</c:v>
                </c:pt>
                <c:pt idx="129">
                  <c:v>99</c:v>
                </c:pt>
                <c:pt idx="130">
                  <c:v>89</c:v>
                </c:pt>
                <c:pt idx="131">
                  <c:v>202</c:v>
                </c:pt>
                <c:pt idx="132">
                  <c:v>164</c:v>
                </c:pt>
                <c:pt idx="133">
                  <c:v>108</c:v>
                </c:pt>
                <c:pt idx="134">
                  <c:v>104</c:v>
                </c:pt>
                <c:pt idx="135">
                  <c:v>76</c:v>
                </c:pt>
                <c:pt idx="136">
                  <c:v>105</c:v>
                </c:pt>
                <c:pt idx="137">
                  <c:v>90</c:v>
                </c:pt>
                <c:pt idx="138">
                  <c:v>117</c:v>
                </c:pt>
                <c:pt idx="139">
                  <c:v>100</c:v>
                </c:pt>
                <c:pt idx="140">
                  <c:v>123</c:v>
                </c:pt>
                <c:pt idx="141">
                  <c:v>106</c:v>
                </c:pt>
                <c:pt idx="142">
                  <c:v>101</c:v>
                </c:pt>
                <c:pt idx="143">
                  <c:v>121</c:v>
                </c:pt>
                <c:pt idx="144">
                  <c:v>89</c:v>
                </c:pt>
                <c:pt idx="145">
                  <c:v>99</c:v>
                </c:pt>
                <c:pt idx="146">
                  <c:v>102</c:v>
                </c:pt>
                <c:pt idx="147">
                  <c:v>125</c:v>
                </c:pt>
                <c:pt idx="148">
                  <c:v>130</c:v>
                </c:pt>
                <c:pt idx="149">
                  <c:v>108</c:v>
                </c:pt>
                <c:pt idx="150">
                  <c:v>91</c:v>
                </c:pt>
                <c:pt idx="151">
                  <c:v>149</c:v>
                </c:pt>
                <c:pt idx="152">
                  <c:v>105</c:v>
                </c:pt>
                <c:pt idx="153">
                  <c:v>96</c:v>
                </c:pt>
                <c:pt idx="154">
                  <c:v>88</c:v>
                </c:pt>
                <c:pt idx="155">
                  <c:v>90</c:v>
                </c:pt>
                <c:pt idx="156">
                  <c:v>133</c:v>
                </c:pt>
                <c:pt idx="157">
                  <c:v>131</c:v>
                </c:pt>
                <c:pt idx="158">
                  <c:v>114</c:v>
                </c:pt>
                <c:pt idx="159">
                  <c:v>107</c:v>
                </c:pt>
                <c:pt idx="160">
                  <c:v>101</c:v>
                </c:pt>
                <c:pt idx="161">
                  <c:v>85</c:v>
                </c:pt>
                <c:pt idx="162">
                  <c:v>190</c:v>
                </c:pt>
                <c:pt idx="163">
                  <c:v>146</c:v>
                </c:pt>
                <c:pt idx="164">
                  <c:v>99</c:v>
                </c:pt>
                <c:pt idx="165">
                  <c:v>86</c:v>
                </c:pt>
                <c:pt idx="166">
                  <c:v>160</c:v>
                </c:pt>
                <c:pt idx="167">
                  <c:v>106</c:v>
                </c:pt>
                <c:pt idx="168">
                  <c:v>106</c:v>
                </c:pt>
                <c:pt idx="169">
                  <c:v>101</c:v>
                </c:pt>
                <c:pt idx="170">
                  <c:v>100</c:v>
                </c:pt>
                <c:pt idx="171">
                  <c:v>125</c:v>
                </c:pt>
                <c:pt idx="172">
                  <c:v>123</c:v>
                </c:pt>
                <c:pt idx="173">
                  <c:v>105</c:v>
                </c:pt>
                <c:pt idx="174">
                  <c:v>87</c:v>
                </c:pt>
                <c:pt idx="175">
                  <c:v>121</c:v>
                </c:pt>
                <c:pt idx="176">
                  <c:v>100</c:v>
                </c:pt>
                <c:pt idx="177">
                  <c:v>78</c:v>
                </c:pt>
                <c:pt idx="178">
                  <c:v>90</c:v>
                </c:pt>
                <c:pt idx="179">
                  <c:v>266</c:v>
                </c:pt>
                <c:pt idx="180">
                  <c:v>110</c:v>
                </c:pt>
                <c:pt idx="181">
                  <c:v>96</c:v>
                </c:pt>
                <c:pt idx="182">
                  <c:v>106</c:v>
                </c:pt>
                <c:pt idx="183">
                  <c:v>99</c:v>
                </c:pt>
                <c:pt idx="184">
                  <c:v>81</c:v>
                </c:pt>
                <c:pt idx="185">
                  <c:v>106</c:v>
                </c:pt>
                <c:pt idx="186">
                  <c:v>107</c:v>
                </c:pt>
                <c:pt idx="187">
                  <c:v>112</c:v>
                </c:pt>
                <c:pt idx="188">
                  <c:v>91</c:v>
                </c:pt>
                <c:pt idx="189">
                  <c:v>107</c:v>
                </c:pt>
                <c:pt idx="190">
                  <c:v>93</c:v>
                </c:pt>
                <c:pt idx="191">
                  <c:v>100</c:v>
                </c:pt>
                <c:pt idx="192">
                  <c:v>97</c:v>
                </c:pt>
                <c:pt idx="193">
                  <c:v>90</c:v>
                </c:pt>
                <c:pt idx="194">
                  <c:v>104</c:v>
                </c:pt>
                <c:pt idx="195">
                  <c:v>110</c:v>
                </c:pt>
                <c:pt idx="196">
                  <c:v>90</c:v>
                </c:pt>
                <c:pt idx="197">
                  <c:v>100</c:v>
                </c:pt>
                <c:pt idx="198">
                  <c:v>102</c:v>
                </c:pt>
                <c:pt idx="199">
                  <c:v>141</c:v>
                </c:pt>
                <c:pt idx="200">
                  <c:v>125</c:v>
                </c:pt>
                <c:pt idx="201">
                  <c:v>98</c:v>
                </c:pt>
                <c:pt idx="202">
                  <c:v>124</c:v>
                </c:pt>
                <c:pt idx="203">
                  <c:v>91</c:v>
                </c:pt>
                <c:pt idx="204">
                  <c:v>130</c:v>
                </c:pt>
                <c:pt idx="205">
                  <c:v>88</c:v>
                </c:pt>
                <c:pt idx="206">
                  <c:v>124</c:v>
                </c:pt>
                <c:pt idx="207">
                  <c:v>112</c:v>
                </c:pt>
                <c:pt idx="208">
                  <c:v>124</c:v>
                </c:pt>
                <c:pt idx="209">
                  <c:v>90</c:v>
                </c:pt>
                <c:pt idx="210">
                  <c:v>113</c:v>
                </c:pt>
                <c:pt idx="211">
                  <c:v>97</c:v>
                </c:pt>
                <c:pt idx="212">
                  <c:v>96</c:v>
                </c:pt>
                <c:pt idx="213">
                  <c:v>101</c:v>
                </c:pt>
                <c:pt idx="214">
                  <c:v>93</c:v>
                </c:pt>
                <c:pt idx="215">
                  <c:v>81</c:v>
                </c:pt>
                <c:pt idx="216">
                  <c:v>206</c:v>
                </c:pt>
                <c:pt idx="217">
                  <c:v>106</c:v>
                </c:pt>
                <c:pt idx="218">
                  <c:v>103</c:v>
                </c:pt>
                <c:pt idx="219">
                  <c:v>165</c:v>
                </c:pt>
                <c:pt idx="220">
                  <c:v>103</c:v>
                </c:pt>
                <c:pt idx="221">
                  <c:v>216</c:v>
                </c:pt>
                <c:pt idx="222">
                  <c:v>113</c:v>
                </c:pt>
                <c:pt idx="223">
                  <c:v>145</c:v>
                </c:pt>
                <c:pt idx="224">
                  <c:v>101</c:v>
                </c:pt>
                <c:pt idx="225">
                  <c:v>79</c:v>
                </c:pt>
                <c:pt idx="226">
                  <c:v>116</c:v>
                </c:pt>
                <c:pt idx="227">
                  <c:v>116</c:v>
                </c:pt>
                <c:pt idx="228">
                  <c:v>86</c:v>
                </c:pt>
                <c:pt idx="229">
                  <c:v>102</c:v>
                </c:pt>
                <c:pt idx="230">
                  <c:v>154</c:v>
                </c:pt>
                <c:pt idx="231">
                  <c:v>120</c:v>
                </c:pt>
                <c:pt idx="232">
                  <c:v>99</c:v>
                </c:pt>
                <c:pt idx="233">
                  <c:v>95</c:v>
                </c:pt>
                <c:pt idx="234">
                  <c:v>101</c:v>
                </c:pt>
                <c:pt idx="235">
                  <c:v>89</c:v>
                </c:pt>
                <c:pt idx="236">
                  <c:v>107</c:v>
                </c:pt>
                <c:pt idx="237">
                  <c:v>106</c:v>
                </c:pt>
                <c:pt idx="238">
                  <c:v>121</c:v>
                </c:pt>
                <c:pt idx="239">
                  <c:v>78</c:v>
                </c:pt>
                <c:pt idx="240">
                  <c:v>123</c:v>
                </c:pt>
                <c:pt idx="241">
                  <c:v>90</c:v>
                </c:pt>
                <c:pt idx="242">
                  <c:v>128</c:v>
                </c:pt>
                <c:pt idx="243">
                  <c:v>220</c:v>
                </c:pt>
                <c:pt idx="244">
                  <c:v>105</c:v>
                </c:pt>
                <c:pt idx="245">
                  <c:v>108</c:v>
                </c:pt>
                <c:pt idx="246">
                  <c:v>120</c:v>
                </c:pt>
                <c:pt idx="247">
                  <c:v>97</c:v>
                </c:pt>
                <c:pt idx="248">
                  <c:v>152</c:v>
                </c:pt>
                <c:pt idx="249">
                  <c:v>97</c:v>
                </c:pt>
                <c:pt idx="250">
                  <c:v>210</c:v>
                </c:pt>
                <c:pt idx="251">
                  <c:v>94</c:v>
                </c:pt>
                <c:pt idx="252">
                  <c:v>78</c:v>
                </c:pt>
                <c:pt idx="253">
                  <c:v>104</c:v>
                </c:pt>
                <c:pt idx="254">
                  <c:v>90</c:v>
                </c:pt>
                <c:pt idx="255">
                  <c:v>108</c:v>
                </c:pt>
                <c:pt idx="256">
                  <c:v>45</c:v>
                </c:pt>
                <c:pt idx="257">
                  <c:v>90</c:v>
                </c:pt>
                <c:pt idx="258">
                  <c:v>92</c:v>
                </c:pt>
                <c:pt idx="259">
                  <c:v>87</c:v>
                </c:pt>
                <c:pt idx="260">
                  <c:v>92</c:v>
                </c:pt>
                <c:pt idx="261">
                  <c:v>88</c:v>
                </c:pt>
                <c:pt idx="262">
                  <c:v>97</c:v>
                </c:pt>
                <c:pt idx="263">
                  <c:v>180</c:v>
                </c:pt>
                <c:pt idx="264">
                  <c:v>122</c:v>
                </c:pt>
                <c:pt idx="265">
                  <c:v>132</c:v>
                </c:pt>
                <c:pt idx="266">
                  <c:v>90</c:v>
                </c:pt>
                <c:pt idx="267">
                  <c:v>122</c:v>
                </c:pt>
                <c:pt idx="268">
                  <c:v>100</c:v>
                </c:pt>
                <c:pt idx="269">
                  <c:v>107</c:v>
                </c:pt>
                <c:pt idx="270">
                  <c:v>176</c:v>
                </c:pt>
                <c:pt idx="271">
                  <c:v>112</c:v>
                </c:pt>
                <c:pt idx="272">
                  <c:v>94</c:v>
                </c:pt>
                <c:pt idx="273">
                  <c:v>86</c:v>
                </c:pt>
                <c:pt idx="274">
                  <c:v>101</c:v>
                </c:pt>
                <c:pt idx="275">
                  <c:v>138</c:v>
                </c:pt>
                <c:pt idx="276">
                  <c:v>90</c:v>
                </c:pt>
                <c:pt idx="277">
                  <c:v>94</c:v>
                </c:pt>
                <c:pt idx="278">
                  <c:v>108</c:v>
                </c:pt>
                <c:pt idx="279">
                  <c:v>95</c:v>
                </c:pt>
                <c:pt idx="280">
                  <c:v>102</c:v>
                </c:pt>
                <c:pt idx="281">
                  <c:v>113</c:v>
                </c:pt>
                <c:pt idx="282">
                  <c:v>133</c:v>
                </c:pt>
                <c:pt idx="283">
                  <c:v>101</c:v>
                </c:pt>
                <c:pt idx="284">
                  <c:v>74</c:v>
                </c:pt>
                <c:pt idx="285">
                  <c:v>102</c:v>
                </c:pt>
                <c:pt idx="286">
                  <c:v>90</c:v>
                </c:pt>
                <c:pt idx="287">
                  <c:v>124</c:v>
                </c:pt>
                <c:pt idx="288">
                  <c:v>155</c:v>
                </c:pt>
                <c:pt idx="289">
                  <c:v>90</c:v>
                </c:pt>
                <c:pt idx="290">
                  <c:v>93</c:v>
                </c:pt>
                <c:pt idx="291">
                  <c:v>115</c:v>
                </c:pt>
                <c:pt idx="292">
                  <c:v>127</c:v>
                </c:pt>
                <c:pt idx="293">
                  <c:v>86</c:v>
                </c:pt>
                <c:pt idx="294">
                  <c:v>83</c:v>
                </c:pt>
                <c:pt idx="295">
                  <c:v>86</c:v>
                </c:pt>
                <c:pt idx="296">
                  <c:v>91</c:v>
                </c:pt>
                <c:pt idx="297">
                  <c:v>89</c:v>
                </c:pt>
                <c:pt idx="298">
                  <c:v>100</c:v>
                </c:pt>
                <c:pt idx="299">
                  <c:v>103</c:v>
                </c:pt>
                <c:pt idx="300">
                  <c:v>97</c:v>
                </c:pt>
                <c:pt idx="301">
                  <c:v>96</c:v>
                </c:pt>
                <c:pt idx="302">
                  <c:v>108</c:v>
                </c:pt>
                <c:pt idx="303">
                  <c:v>89</c:v>
                </c:pt>
                <c:pt idx="304">
                  <c:v>97</c:v>
                </c:pt>
                <c:pt idx="305">
                  <c:v>96</c:v>
                </c:pt>
                <c:pt idx="306">
                  <c:v>103</c:v>
                </c:pt>
                <c:pt idx="307">
                  <c:v>94</c:v>
                </c:pt>
                <c:pt idx="308">
                  <c:v>103</c:v>
                </c:pt>
                <c:pt idx="309">
                  <c:v>143</c:v>
                </c:pt>
                <c:pt idx="310">
                  <c:v>98</c:v>
                </c:pt>
                <c:pt idx="311">
                  <c:v>94</c:v>
                </c:pt>
                <c:pt idx="312">
                  <c:v>90</c:v>
                </c:pt>
                <c:pt idx="313">
                  <c:v>98</c:v>
                </c:pt>
                <c:pt idx="314">
                  <c:v>102</c:v>
                </c:pt>
                <c:pt idx="315">
                  <c:v>145</c:v>
                </c:pt>
                <c:pt idx="316">
                  <c:v>146</c:v>
                </c:pt>
                <c:pt idx="317">
                  <c:v>22</c:v>
                </c:pt>
                <c:pt idx="318">
                  <c:v>109</c:v>
                </c:pt>
                <c:pt idx="319">
                  <c:v>60</c:v>
                </c:pt>
                <c:pt idx="320">
                  <c:v>101</c:v>
                </c:pt>
                <c:pt idx="321">
                  <c:v>93</c:v>
                </c:pt>
                <c:pt idx="322">
                  <c:v>90</c:v>
                </c:pt>
                <c:pt idx="323">
                  <c:v>148</c:v>
                </c:pt>
                <c:pt idx="324">
                  <c:v>129</c:v>
                </c:pt>
                <c:pt idx="325">
                  <c:v>99</c:v>
                </c:pt>
                <c:pt idx="326">
                  <c:v>199</c:v>
                </c:pt>
                <c:pt idx="327">
                  <c:v>107</c:v>
                </c:pt>
                <c:pt idx="328">
                  <c:v>93</c:v>
                </c:pt>
                <c:pt idx="329">
                  <c:v>118</c:v>
                </c:pt>
                <c:pt idx="330">
                  <c:v>90</c:v>
                </c:pt>
                <c:pt idx="331">
                  <c:v>130</c:v>
                </c:pt>
                <c:pt idx="332">
                  <c:v>92</c:v>
                </c:pt>
                <c:pt idx="333">
                  <c:v>119</c:v>
                </c:pt>
                <c:pt idx="334">
                  <c:v>129</c:v>
                </c:pt>
                <c:pt idx="335">
                  <c:v>72</c:v>
                </c:pt>
                <c:pt idx="336">
                  <c:v>91</c:v>
                </c:pt>
                <c:pt idx="337">
                  <c:v>94</c:v>
                </c:pt>
                <c:pt idx="338">
                  <c:v>109</c:v>
                </c:pt>
                <c:pt idx="339">
                  <c:v>108</c:v>
                </c:pt>
                <c:pt idx="340">
                  <c:v>117</c:v>
                </c:pt>
                <c:pt idx="341">
                  <c:v>117</c:v>
                </c:pt>
                <c:pt idx="342">
                  <c:v>83</c:v>
                </c:pt>
                <c:pt idx="343">
                  <c:v>156</c:v>
                </c:pt>
                <c:pt idx="344">
                  <c:v>108</c:v>
                </c:pt>
                <c:pt idx="345">
                  <c:v>114</c:v>
                </c:pt>
                <c:pt idx="346">
                  <c:v>289</c:v>
                </c:pt>
                <c:pt idx="347">
                  <c:v>139</c:v>
                </c:pt>
                <c:pt idx="348">
                  <c:v>140</c:v>
                </c:pt>
                <c:pt idx="349">
                  <c:v>86</c:v>
                </c:pt>
                <c:pt idx="350">
                  <c:v>115</c:v>
                </c:pt>
                <c:pt idx="351">
                  <c:v>89</c:v>
                </c:pt>
                <c:pt idx="352">
                  <c:v>86</c:v>
                </c:pt>
                <c:pt idx="353">
                  <c:v>104</c:v>
                </c:pt>
                <c:pt idx="354">
                  <c:v>103</c:v>
                </c:pt>
                <c:pt idx="355">
                  <c:v>115</c:v>
                </c:pt>
                <c:pt idx="356">
                  <c:v>107</c:v>
                </c:pt>
                <c:pt idx="357">
                  <c:v>94</c:v>
                </c:pt>
                <c:pt idx="358">
                  <c:v>95</c:v>
                </c:pt>
                <c:pt idx="359">
                  <c:v>91</c:v>
                </c:pt>
                <c:pt idx="360">
                  <c:v>130</c:v>
                </c:pt>
                <c:pt idx="361">
                  <c:v>117</c:v>
                </c:pt>
                <c:pt idx="362">
                  <c:v>153</c:v>
                </c:pt>
                <c:pt idx="363">
                  <c:v>88</c:v>
                </c:pt>
                <c:pt idx="364">
                  <c:v>88</c:v>
                </c:pt>
                <c:pt idx="365">
                  <c:v>270</c:v>
                </c:pt>
                <c:pt idx="366">
                  <c:v>103</c:v>
                </c:pt>
                <c:pt idx="367">
                  <c:v>240</c:v>
                </c:pt>
                <c:pt idx="368">
                  <c:v>66</c:v>
                </c:pt>
                <c:pt idx="369">
                  <c:v>94</c:v>
                </c:pt>
                <c:pt idx="370">
                  <c:v>97</c:v>
                </c:pt>
                <c:pt idx="371">
                  <c:v>30</c:v>
                </c:pt>
                <c:pt idx="372">
                  <c:v>93</c:v>
                </c:pt>
                <c:pt idx="373">
                  <c:v>139</c:v>
                </c:pt>
                <c:pt idx="374">
                  <c:v>133</c:v>
                </c:pt>
                <c:pt idx="375">
                  <c:v>100</c:v>
                </c:pt>
                <c:pt idx="376">
                  <c:v>132</c:v>
                </c:pt>
                <c:pt idx="377">
                  <c:v>109</c:v>
                </c:pt>
                <c:pt idx="378">
                  <c:v>116</c:v>
                </c:pt>
                <c:pt idx="379">
                  <c:v>94</c:v>
                </c:pt>
                <c:pt idx="380">
                  <c:v>128</c:v>
                </c:pt>
                <c:pt idx="381">
                  <c:v>105</c:v>
                </c:pt>
                <c:pt idx="382">
                  <c:v>95</c:v>
                </c:pt>
                <c:pt idx="383">
                  <c:v>111</c:v>
                </c:pt>
                <c:pt idx="384">
                  <c:v>99</c:v>
                </c:pt>
                <c:pt idx="385">
                  <c:v>123</c:v>
                </c:pt>
                <c:pt idx="386">
                  <c:v>88</c:v>
                </c:pt>
                <c:pt idx="387">
                  <c:v>114</c:v>
                </c:pt>
                <c:pt idx="388">
                  <c:v>99</c:v>
                </c:pt>
                <c:pt idx="389">
                  <c:v>121</c:v>
                </c:pt>
                <c:pt idx="390">
                  <c:v>94</c:v>
                </c:pt>
                <c:pt idx="391">
                  <c:v>68</c:v>
                </c:pt>
                <c:pt idx="392">
                  <c:v>95</c:v>
                </c:pt>
                <c:pt idx="393">
                  <c:v>165</c:v>
                </c:pt>
                <c:pt idx="394">
                  <c:v>105</c:v>
                </c:pt>
                <c:pt idx="395">
                  <c:v>109</c:v>
                </c:pt>
                <c:pt idx="396">
                  <c:v>103</c:v>
                </c:pt>
                <c:pt idx="397">
                  <c:v>178</c:v>
                </c:pt>
                <c:pt idx="398">
                  <c:v>141</c:v>
                </c:pt>
                <c:pt idx="399">
                  <c:v>109</c:v>
                </c:pt>
                <c:pt idx="400">
                  <c:v>84</c:v>
                </c:pt>
                <c:pt idx="401">
                  <c:v>98</c:v>
                </c:pt>
                <c:pt idx="402">
                  <c:v>82</c:v>
                </c:pt>
                <c:pt idx="403">
                  <c:v>102</c:v>
                </c:pt>
                <c:pt idx="404">
                  <c:v>159</c:v>
                </c:pt>
                <c:pt idx="405">
                  <c:v>91</c:v>
                </c:pt>
                <c:pt idx="406">
                  <c:v>97</c:v>
                </c:pt>
                <c:pt idx="407">
                  <c:v>143</c:v>
                </c:pt>
                <c:pt idx="408">
                  <c:v>130</c:v>
                </c:pt>
                <c:pt idx="409">
                  <c:v>97</c:v>
                </c:pt>
                <c:pt idx="410">
                  <c:v>99</c:v>
                </c:pt>
                <c:pt idx="411">
                  <c:v>101</c:v>
                </c:pt>
                <c:pt idx="412">
                  <c:v>99</c:v>
                </c:pt>
                <c:pt idx="413">
                  <c:v>87</c:v>
                </c:pt>
                <c:pt idx="414">
                  <c:v>108</c:v>
                </c:pt>
                <c:pt idx="415">
                  <c:v>118</c:v>
                </c:pt>
                <c:pt idx="416">
                  <c:v>116</c:v>
                </c:pt>
                <c:pt idx="417">
                  <c:v>147</c:v>
                </c:pt>
                <c:pt idx="418">
                  <c:v>119</c:v>
                </c:pt>
                <c:pt idx="419">
                  <c:v>116</c:v>
                </c:pt>
                <c:pt idx="420">
                  <c:v>102</c:v>
                </c:pt>
                <c:pt idx="421">
                  <c:v>122</c:v>
                </c:pt>
                <c:pt idx="422">
                  <c:v>200</c:v>
                </c:pt>
                <c:pt idx="423">
                  <c:v>98</c:v>
                </c:pt>
                <c:pt idx="424">
                  <c:v>97</c:v>
                </c:pt>
                <c:pt idx="425">
                  <c:v>89</c:v>
                </c:pt>
                <c:pt idx="426">
                  <c:v>96</c:v>
                </c:pt>
                <c:pt idx="427">
                  <c:v>84</c:v>
                </c:pt>
                <c:pt idx="428">
                  <c:v>93</c:v>
                </c:pt>
                <c:pt idx="429">
                  <c:v>91</c:v>
                </c:pt>
                <c:pt idx="430">
                  <c:v>70</c:v>
                </c:pt>
                <c:pt idx="431">
                  <c:v>135</c:v>
                </c:pt>
                <c:pt idx="432">
                  <c:v>82</c:v>
                </c:pt>
                <c:pt idx="433">
                  <c:v>93</c:v>
                </c:pt>
                <c:pt idx="434">
                  <c:v>123</c:v>
                </c:pt>
                <c:pt idx="435">
                  <c:v>111</c:v>
                </c:pt>
                <c:pt idx="436">
                  <c:v>90</c:v>
                </c:pt>
                <c:pt idx="437">
                  <c:v>98</c:v>
                </c:pt>
                <c:pt idx="438">
                  <c:v>99</c:v>
                </c:pt>
                <c:pt idx="439">
                  <c:v>87</c:v>
                </c:pt>
                <c:pt idx="440">
                  <c:v>98</c:v>
                </c:pt>
                <c:pt idx="441">
                  <c:v>98</c:v>
                </c:pt>
                <c:pt idx="442">
                  <c:v>106</c:v>
                </c:pt>
                <c:pt idx="443">
                  <c:v>102</c:v>
                </c:pt>
                <c:pt idx="445">
                  <c:v>76</c:v>
                </c:pt>
                <c:pt idx="446">
                  <c:v>134</c:v>
                </c:pt>
                <c:pt idx="447">
                  <c:v>90</c:v>
                </c:pt>
                <c:pt idx="448">
                  <c:v>184</c:v>
                </c:pt>
                <c:pt idx="449">
                  <c:v>95</c:v>
                </c:pt>
                <c:pt idx="450">
                  <c:v>116</c:v>
                </c:pt>
                <c:pt idx="451">
                  <c:v>98</c:v>
                </c:pt>
                <c:pt idx="452">
                  <c:v>108</c:v>
                </c:pt>
                <c:pt idx="453">
                  <c:v>101</c:v>
                </c:pt>
                <c:pt idx="454">
                  <c:v>141</c:v>
                </c:pt>
                <c:pt idx="455">
                  <c:v>125</c:v>
                </c:pt>
                <c:pt idx="456">
                  <c:v>128</c:v>
                </c:pt>
                <c:pt idx="457">
                  <c:v>121</c:v>
                </c:pt>
                <c:pt idx="458">
                  <c:v>126</c:v>
                </c:pt>
                <c:pt idx="459">
                  <c:v>183</c:v>
                </c:pt>
                <c:pt idx="460">
                  <c:v>126</c:v>
                </c:pt>
                <c:pt idx="461">
                  <c:v>148</c:v>
                </c:pt>
                <c:pt idx="462">
                  <c:v>105</c:v>
                </c:pt>
                <c:pt idx="463">
                  <c:v>91</c:v>
                </c:pt>
                <c:pt idx="464">
                  <c:v>96</c:v>
                </c:pt>
                <c:pt idx="465">
                  <c:v>116</c:v>
                </c:pt>
                <c:pt idx="466">
                  <c:v>110</c:v>
                </c:pt>
                <c:pt idx="467">
                  <c:v>119</c:v>
                </c:pt>
                <c:pt idx="468">
                  <c:v>131</c:v>
                </c:pt>
                <c:pt idx="469">
                  <c:v>118</c:v>
                </c:pt>
                <c:pt idx="470">
                  <c:v>102</c:v>
                </c:pt>
                <c:pt idx="471">
                  <c:v>86</c:v>
                </c:pt>
                <c:pt idx="472">
                  <c:v>107</c:v>
                </c:pt>
                <c:pt idx="473">
                  <c:v>93</c:v>
                </c:pt>
                <c:pt idx="474">
                  <c:v>124</c:v>
                </c:pt>
                <c:pt idx="475">
                  <c:v>105</c:v>
                </c:pt>
                <c:pt idx="476">
                  <c:v>81</c:v>
                </c:pt>
                <c:pt idx="477">
                  <c:v>102</c:v>
                </c:pt>
                <c:pt idx="478">
                  <c:v>106</c:v>
                </c:pt>
                <c:pt idx="479">
                  <c:v>120</c:v>
                </c:pt>
                <c:pt idx="480">
                  <c:v>93</c:v>
                </c:pt>
                <c:pt idx="481">
                  <c:v>99</c:v>
                </c:pt>
                <c:pt idx="482">
                  <c:v>91</c:v>
                </c:pt>
                <c:pt idx="483">
                  <c:v>86</c:v>
                </c:pt>
                <c:pt idx="484">
                  <c:v>110</c:v>
                </c:pt>
                <c:pt idx="485">
                  <c:v>92</c:v>
                </c:pt>
                <c:pt idx="486">
                  <c:v>92</c:v>
                </c:pt>
                <c:pt idx="487">
                  <c:v>109</c:v>
                </c:pt>
                <c:pt idx="488">
                  <c:v>105</c:v>
                </c:pt>
                <c:pt idx="489">
                  <c:v>80</c:v>
                </c:pt>
                <c:pt idx="490">
                  <c:v>104</c:v>
                </c:pt>
                <c:pt idx="491">
                  <c:v>105</c:v>
                </c:pt>
                <c:pt idx="492">
                  <c:v>106</c:v>
                </c:pt>
                <c:pt idx="493">
                  <c:v>112</c:v>
                </c:pt>
                <c:pt idx="494">
                  <c:v>104</c:v>
                </c:pt>
                <c:pt idx="495">
                  <c:v>91</c:v>
                </c:pt>
                <c:pt idx="496">
                  <c:v>172</c:v>
                </c:pt>
                <c:pt idx="497">
                  <c:v>99</c:v>
                </c:pt>
                <c:pt idx="498">
                  <c:v>112</c:v>
                </c:pt>
                <c:pt idx="499">
                  <c:v>92</c:v>
                </c:pt>
                <c:pt idx="500">
                  <c:v>122</c:v>
                </c:pt>
                <c:pt idx="501">
                  <c:v>95</c:v>
                </c:pt>
                <c:pt idx="502">
                  <c:v>423</c:v>
                </c:pt>
                <c:pt idx="503">
                  <c:v>86</c:v>
                </c:pt>
                <c:pt idx="504">
                  <c:v>115</c:v>
                </c:pt>
                <c:pt idx="505">
                  <c:v>99</c:v>
                </c:pt>
                <c:pt idx="506">
                  <c:v>90</c:v>
                </c:pt>
                <c:pt idx="507">
                  <c:v>98</c:v>
                </c:pt>
                <c:pt idx="508">
                  <c:v>91</c:v>
                </c:pt>
                <c:pt idx="509">
                  <c:v>100</c:v>
                </c:pt>
                <c:pt idx="510">
                  <c:v>104</c:v>
                </c:pt>
                <c:pt idx="511">
                  <c:v>105</c:v>
                </c:pt>
                <c:pt idx="512">
                  <c:v>25</c:v>
                </c:pt>
                <c:pt idx="513">
                  <c:v>127</c:v>
                </c:pt>
                <c:pt idx="514">
                  <c:v>110</c:v>
                </c:pt>
                <c:pt idx="515">
                  <c:v>116</c:v>
                </c:pt>
                <c:pt idx="516">
                  <c:v>108</c:v>
                </c:pt>
                <c:pt idx="517">
                  <c:v>118</c:v>
                </c:pt>
                <c:pt idx="518">
                  <c:v>109</c:v>
                </c:pt>
                <c:pt idx="519">
                  <c:v>88</c:v>
                </c:pt>
                <c:pt idx="520">
                  <c:v>132</c:v>
                </c:pt>
                <c:pt idx="521">
                  <c:v>93</c:v>
                </c:pt>
                <c:pt idx="522">
                  <c:v>106</c:v>
                </c:pt>
                <c:pt idx="523">
                  <c:v>176</c:v>
                </c:pt>
                <c:pt idx="524">
                  <c:v>125</c:v>
                </c:pt>
                <c:pt idx="525">
                  <c:v>102</c:v>
                </c:pt>
                <c:pt idx="526">
                  <c:v>107</c:v>
                </c:pt>
                <c:pt idx="527">
                  <c:v>99</c:v>
                </c:pt>
                <c:pt idx="528">
                  <c:v>99</c:v>
                </c:pt>
                <c:pt idx="529">
                  <c:v>113</c:v>
                </c:pt>
                <c:pt idx="530">
                  <c:v>99</c:v>
                </c:pt>
                <c:pt idx="531">
                  <c:v>74</c:v>
                </c:pt>
                <c:pt idx="532">
                  <c:v>130</c:v>
                </c:pt>
                <c:pt idx="533">
                  <c:v>93</c:v>
                </c:pt>
                <c:pt idx="534">
                  <c:v>90</c:v>
                </c:pt>
                <c:pt idx="535">
                  <c:v>110</c:v>
                </c:pt>
                <c:pt idx="536">
                  <c:v>119</c:v>
                </c:pt>
                <c:pt idx="537">
                  <c:v>100</c:v>
                </c:pt>
                <c:pt idx="538">
                  <c:v>93</c:v>
                </c:pt>
                <c:pt idx="539">
                  <c:v>148</c:v>
                </c:pt>
                <c:pt idx="540">
                  <c:v>98</c:v>
                </c:pt>
                <c:pt idx="541">
                  <c:v>145</c:v>
                </c:pt>
                <c:pt idx="542">
                  <c:v>94</c:v>
                </c:pt>
                <c:pt idx="543">
                  <c:v>152</c:v>
                </c:pt>
                <c:pt idx="544">
                  <c:v>95</c:v>
                </c:pt>
                <c:pt idx="545">
                  <c:v>123</c:v>
                </c:pt>
                <c:pt idx="546">
                  <c:v>93</c:v>
                </c:pt>
                <c:pt idx="547">
                  <c:v>95</c:v>
                </c:pt>
                <c:pt idx="548">
                  <c:v>121</c:v>
                </c:pt>
                <c:pt idx="549">
                  <c:v>125</c:v>
                </c:pt>
                <c:pt idx="550">
                  <c:v>83</c:v>
                </c:pt>
                <c:pt idx="551">
                  <c:v>116</c:v>
                </c:pt>
                <c:pt idx="552">
                  <c:v>108</c:v>
                </c:pt>
                <c:pt idx="554">
                  <c:v>133</c:v>
                </c:pt>
                <c:pt idx="555">
                  <c:v>102</c:v>
                </c:pt>
                <c:pt idx="556">
                  <c:v>117</c:v>
                </c:pt>
                <c:pt idx="557">
                  <c:v>117</c:v>
                </c:pt>
                <c:pt idx="558">
                  <c:v>110</c:v>
                </c:pt>
                <c:pt idx="559">
                  <c:v>122</c:v>
                </c:pt>
                <c:pt idx="560">
                  <c:v>93</c:v>
                </c:pt>
                <c:pt idx="561">
                  <c:v>112</c:v>
                </c:pt>
                <c:pt idx="562">
                  <c:v>93</c:v>
                </c:pt>
                <c:pt idx="563">
                  <c:v>95</c:v>
                </c:pt>
                <c:pt idx="564">
                  <c:v>100</c:v>
                </c:pt>
                <c:pt idx="565">
                  <c:v>117</c:v>
                </c:pt>
                <c:pt idx="566">
                  <c:v>107</c:v>
                </c:pt>
                <c:pt idx="567">
                  <c:v>121</c:v>
                </c:pt>
                <c:pt idx="568">
                  <c:v>93</c:v>
                </c:pt>
                <c:pt idx="569">
                  <c:v>98</c:v>
                </c:pt>
                <c:pt idx="570">
                  <c:v>101</c:v>
                </c:pt>
                <c:pt idx="571">
                  <c:v>143</c:v>
                </c:pt>
                <c:pt idx="572">
                  <c:v>128</c:v>
                </c:pt>
                <c:pt idx="573">
                  <c:v>330</c:v>
                </c:pt>
                <c:pt idx="574">
                  <c:v>144</c:v>
                </c:pt>
                <c:pt idx="575">
                  <c:v>110</c:v>
                </c:pt>
                <c:pt idx="576">
                  <c:v>92</c:v>
                </c:pt>
                <c:pt idx="577">
                  <c:v>92</c:v>
                </c:pt>
                <c:pt idx="578">
                  <c:v>107</c:v>
                </c:pt>
                <c:pt idx="579">
                  <c:v>107</c:v>
                </c:pt>
                <c:pt idx="580">
                  <c:v>124</c:v>
                </c:pt>
                <c:pt idx="581">
                  <c:v>88</c:v>
                </c:pt>
                <c:pt idx="582">
                  <c:v>104</c:v>
                </c:pt>
                <c:pt idx="583">
                  <c:v>98</c:v>
                </c:pt>
                <c:pt idx="584">
                  <c:v>108</c:v>
                </c:pt>
                <c:pt idx="585">
                  <c:v>90</c:v>
                </c:pt>
                <c:pt idx="586">
                  <c:v>93</c:v>
                </c:pt>
                <c:pt idx="587">
                  <c:v>112</c:v>
                </c:pt>
                <c:pt idx="588">
                  <c:v>97</c:v>
                </c:pt>
                <c:pt idx="589">
                  <c:v>128</c:v>
                </c:pt>
                <c:pt idx="590">
                  <c:v>112</c:v>
                </c:pt>
                <c:pt idx="591">
                  <c:v>114</c:v>
                </c:pt>
                <c:pt idx="592">
                  <c:v>128</c:v>
                </c:pt>
                <c:pt idx="593">
                  <c:v>139</c:v>
                </c:pt>
                <c:pt idx="594">
                  <c:v>110</c:v>
                </c:pt>
                <c:pt idx="595">
                  <c:v>120</c:v>
                </c:pt>
                <c:pt idx="596">
                  <c:v>96</c:v>
                </c:pt>
                <c:pt idx="597">
                  <c:v>116</c:v>
                </c:pt>
                <c:pt idx="598">
                  <c:v>114</c:v>
                </c:pt>
                <c:pt idx="599">
                  <c:v>40</c:v>
                </c:pt>
                <c:pt idx="600">
                  <c:v>89</c:v>
                </c:pt>
                <c:pt idx="601">
                  <c:v>155</c:v>
                </c:pt>
                <c:pt idx="602">
                  <c:v>90</c:v>
                </c:pt>
                <c:pt idx="603">
                  <c:v>119</c:v>
                </c:pt>
                <c:pt idx="604">
                  <c:v>117</c:v>
                </c:pt>
                <c:pt idx="605">
                  <c:v>82</c:v>
                </c:pt>
                <c:pt idx="606">
                  <c:v>109</c:v>
                </c:pt>
                <c:pt idx="607">
                  <c:v>145</c:v>
                </c:pt>
                <c:pt idx="608">
                  <c:v>82</c:v>
                </c:pt>
                <c:pt idx="609">
                  <c:v>91</c:v>
                </c:pt>
                <c:pt idx="610">
                  <c:v>110</c:v>
                </c:pt>
                <c:pt idx="611">
                  <c:v>109</c:v>
                </c:pt>
                <c:pt idx="612">
                  <c:v>85</c:v>
                </c:pt>
                <c:pt idx="613">
                  <c:v>120</c:v>
                </c:pt>
                <c:pt idx="614">
                  <c:v>165</c:v>
                </c:pt>
                <c:pt idx="615">
                  <c:v>105</c:v>
                </c:pt>
                <c:pt idx="616">
                  <c:v>94</c:v>
                </c:pt>
                <c:pt idx="617">
                  <c:v>118</c:v>
                </c:pt>
                <c:pt idx="618">
                  <c:v>112</c:v>
                </c:pt>
                <c:pt idx="619">
                  <c:v>44</c:v>
                </c:pt>
                <c:pt idx="620">
                  <c:v>155</c:v>
                </c:pt>
                <c:pt idx="621">
                  <c:v>88</c:v>
                </c:pt>
                <c:pt idx="622">
                  <c:v>120</c:v>
                </c:pt>
                <c:pt idx="623">
                  <c:v>93</c:v>
                </c:pt>
                <c:pt idx="624">
                  <c:v>178</c:v>
                </c:pt>
                <c:pt idx="625">
                  <c:v>142</c:v>
                </c:pt>
                <c:pt idx="626">
                  <c:v>93</c:v>
                </c:pt>
                <c:pt idx="627">
                  <c:v>110</c:v>
                </c:pt>
                <c:pt idx="628">
                  <c:v>85</c:v>
                </c:pt>
                <c:pt idx="629">
                  <c:v>88</c:v>
                </c:pt>
                <c:pt idx="630">
                  <c:v>101</c:v>
                </c:pt>
                <c:pt idx="631">
                  <c:v>100</c:v>
                </c:pt>
                <c:pt idx="632">
                  <c:v>122</c:v>
                </c:pt>
                <c:pt idx="633">
                  <c:v>89</c:v>
                </c:pt>
                <c:pt idx="634">
                  <c:v>89</c:v>
                </c:pt>
                <c:pt idx="635">
                  <c:v>131</c:v>
                </c:pt>
                <c:pt idx="636">
                  <c:v>142</c:v>
                </c:pt>
                <c:pt idx="637">
                  <c:v>96</c:v>
                </c:pt>
                <c:pt idx="638">
                  <c:v>108</c:v>
                </c:pt>
                <c:pt idx="639">
                  <c:v>97</c:v>
                </c:pt>
                <c:pt idx="640">
                  <c:v>119</c:v>
                </c:pt>
                <c:pt idx="641">
                  <c:v>107</c:v>
                </c:pt>
                <c:pt idx="642">
                  <c:v>119</c:v>
                </c:pt>
                <c:pt idx="643">
                  <c:v>111</c:v>
                </c:pt>
                <c:pt idx="644">
                  <c:v>98</c:v>
                </c:pt>
                <c:pt idx="645">
                  <c:v>105</c:v>
                </c:pt>
                <c:pt idx="646">
                  <c:v>121</c:v>
                </c:pt>
                <c:pt idx="647">
                  <c:v>134</c:v>
                </c:pt>
                <c:pt idx="648">
                  <c:v>100</c:v>
                </c:pt>
                <c:pt idx="649">
                  <c:v>108</c:v>
                </c:pt>
                <c:pt idx="650">
                  <c:v>109</c:v>
                </c:pt>
                <c:pt idx="651">
                  <c:v>101</c:v>
                </c:pt>
                <c:pt idx="652">
                  <c:v>90</c:v>
                </c:pt>
                <c:pt idx="653">
                  <c:v>92</c:v>
                </c:pt>
                <c:pt idx="654">
                  <c:v>99</c:v>
                </c:pt>
                <c:pt idx="655">
                  <c:v>111</c:v>
                </c:pt>
                <c:pt idx="656">
                  <c:v>132</c:v>
                </c:pt>
                <c:pt idx="657">
                  <c:v>114</c:v>
                </c:pt>
                <c:pt idx="658">
                  <c:v>89</c:v>
                </c:pt>
                <c:pt idx="659">
                  <c:v>210</c:v>
                </c:pt>
                <c:pt idx="660">
                  <c:v>109</c:v>
                </c:pt>
                <c:pt idx="661">
                  <c:v>101</c:v>
                </c:pt>
                <c:pt idx="662">
                  <c:v>81</c:v>
                </c:pt>
                <c:pt idx="663">
                  <c:v>92</c:v>
                </c:pt>
                <c:pt idx="664">
                  <c:v>84</c:v>
                </c:pt>
                <c:pt idx="665">
                  <c:v>97</c:v>
                </c:pt>
                <c:pt idx="666">
                  <c:v>120</c:v>
                </c:pt>
                <c:pt idx="667">
                  <c:v>110</c:v>
                </c:pt>
                <c:pt idx="668">
                  <c:v>98</c:v>
                </c:pt>
                <c:pt idx="669">
                  <c:v>44</c:v>
                </c:pt>
                <c:pt idx="670">
                  <c:v>92</c:v>
                </c:pt>
                <c:pt idx="671">
                  <c:v>104</c:v>
                </c:pt>
                <c:pt idx="672">
                  <c:v>98</c:v>
                </c:pt>
                <c:pt idx="673">
                  <c:v>115</c:v>
                </c:pt>
                <c:pt idx="674">
                  <c:v>108</c:v>
                </c:pt>
                <c:pt idx="675">
                  <c:v>95</c:v>
                </c:pt>
                <c:pt idx="676">
                  <c:v>119</c:v>
                </c:pt>
                <c:pt idx="677">
                  <c:v>96</c:v>
                </c:pt>
                <c:pt idx="678">
                  <c:v>86</c:v>
                </c:pt>
                <c:pt idx="679">
                  <c:v>101</c:v>
                </c:pt>
                <c:pt idx="680">
                  <c:v>85</c:v>
                </c:pt>
                <c:pt idx="681">
                  <c:v>110</c:v>
                </c:pt>
                <c:pt idx="682">
                  <c:v>78</c:v>
                </c:pt>
                <c:pt idx="683">
                  <c:v>108</c:v>
                </c:pt>
                <c:pt idx="684">
                  <c:v>122</c:v>
                </c:pt>
                <c:pt idx="685">
                  <c:v>96</c:v>
                </c:pt>
                <c:pt idx="686">
                  <c:v>118</c:v>
                </c:pt>
                <c:pt idx="687">
                  <c:v>99</c:v>
                </c:pt>
                <c:pt idx="688">
                  <c:v>98</c:v>
                </c:pt>
                <c:pt idx="689">
                  <c:v>109</c:v>
                </c:pt>
                <c:pt idx="690">
                  <c:v>86</c:v>
                </c:pt>
                <c:pt idx="691">
                  <c:v>79</c:v>
                </c:pt>
                <c:pt idx="692">
                  <c:v>100</c:v>
                </c:pt>
                <c:pt idx="693">
                  <c:v>124</c:v>
                </c:pt>
                <c:pt idx="694">
                  <c:v>128</c:v>
                </c:pt>
                <c:pt idx="695">
                  <c:v>105</c:v>
                </c:pt>
                <c:pt idx="696">
                  <c:v>110</c:v>
                </c:pt>
                <c:pt idx="697">
                  <c:v>130</c:v>
                </c:pt>
                <c:pt idx="698">
                  <c:v>145</c:v>
                </c:pt>
                <c:pt idx="699">
                  <c:v>147</c:v>
                </c:pt>
                <c:pt idx="700">
                  <c:v>124</c:v>
                </c:pt>
                <c:pt idx="701">
                  <c:v>136</c:v>
                </c:pt>
                <c:pt idx="702">
                  <c:v>131</c:v>
                </c:pt>
                <c:pt idx="703">
                  <c:v>134</c:v>
                </c:pt>
                <c:pt idx="704">
                  <c:v>97</c:v>
                </c:pt>
                <c:pt idx="705">
                  <c:v>95</c:v>
                </c:pt>
                <c:pt idx="706">
                  <c:v>127</c:v>
                </c:pt>
                <c:pt idx="707">
                  <c:v>112</c:v>
                </c:pt>
                <c:pt idx="708">
                  <c:v>334</c:v>
                </c:pt>
                <c:pt idx="709">
                  <c:v>80</c:v>
                </c:pt>
                <c:pt idx="710">
                  <c:v>200</c:v>
                </c:pt>
                <c:pt idx="711">
                  <c:v>84</c:v>
                </c:pt>
                <c:pt idx="712">
                  <c:v>106</c:v>
                </c:pt>
                <c:pt idx="713">
                  <c:v>117</c:v>
                </c:pt>
                <c:pt idx="714">
                  <c:v>84</c:v>
                </c:pt>
                <c:pt idx="715">
                  <c:v>82</c:v>
                </c:pt>
                <c:pt idx="716">
                  <c:v>109</c:v>
                </c:pt>
                <c:pt idx="717">
                  <c:v>108</c:v>
                </c:pt>
                <c:pt idx="718">
                  <c:v>288</c:v>
                </c:pt>
                <c:pt idx="719">
                  <c:v>178</c:v>
                </c:pt>
                <c:pt idx="720">
                  <c:v>100</c:v>
                </c:pt>
                <c:pt idx="721">
                  <c:v>143</c:v>
                </c:pt>
                <c:pt idx="722">
                  <c:v>108</c:v>
                </c:pt>
                <c:pt idx="723">
                  <c:v>186</c:v>
                </c:pt>
                <c:pt idx="724">
                  <c:v>98</c:v>
                </c:pt>
                <c:pt idx="725">
                  <c:v>141</c:v>
                </c:pt>
                <c:pt idx="726">
                  <c:v>91</c:v>
                </c:pt>
                <c:pt idx="727">
                  <c:v>122</c:v>
                </c:pt>
                <c:pt idx="728">
                  <c:v>87</c:v>
                </c:pt>
                <c:pt idx="729">
                  <c:v>82</c:v>
                </c:pt>
                <c:pt idx="730">
                  <c:v>75</c:v>
                </c:pt>
                <c:pt idx="731">
                  <c:v>87</c:v>
                </c:pt>
                <c:pt idx="732">
                  <c:v>80</c:v>
                </c:pt>
                <c:pt idx="733">
                  <c:v>87</c:v>
                </c:pt>
                <c:pt idx="734">
                  <c:v>87</c:v>
                </c:pt>
                <c:pt idx="735">
                  <c:v>113</c:v>
                </c:pt>
                <c:pt idx="736">
                  <c:v>92</c:v>
                </c:pt>
                <c:pt idx="737">
                  <c:v>94</c:v>
                </c:pt>
                <c:pt idx="738">
                  <c:v>84</c:v>
                </c:pt>
                <c:pt idx="739">
                  <c:v>115</c:v>
                </c:pt>
                <c:pt idx="740">
                  <c:v>107</c:v>
                </c:pt>
                <c:pt idx="741">
                  <c:v>113</c:v>
                </c:pt>
                <c:pt idx="742">
                  <c:v>97</c:v>
                </c:pt>
                <c:pt idx="743">
                  <c:v>85</c:v>
                </c:pt>
                <c:pt idx="744">
                  <c:v>88</c:v>
                </c:pt>
                <c:pt idx="745">
                  <c:v>88</c:v>
                </c:pt>
                <c:pt idx="746">
                  <c:v>107</c:v>
                </c:pt>
                <c:pt idx="747">
                  <c:v>95</c:v>
                </c:pt>
                <c:pt idx="748">
                  <c:v>141</c:v>
                </c:pt>
                <c:pt idx="749">
                  <c:v>91</c:v>
                </c:pt>
                <c:pt idx="750">
                  <c:v>120</c:v>
                </c:pt>
                <c:pt idx="751">
                  <c:v>122</c:v>
                </c:pt>
                <c:pt idx="752">
                  <c:v>125</c:v>
                </c:pt>
                <c:pt idx="753">
                  <c:v>115</c:v>
                </c:pt>
                <c:pt idx="754">
                  <c:v>97</c:v>
                </c:pt>
                <c:pt idx="755">
                  <c:v>99</c:v>
                </c:pt>
                <c:pt idx="756">
                  <c:v>102</c:v>
                </c:pt>
                <c:pt idx="757">
                  <c:v>94</c:v>
                </c:pt>
                <c:pt idx="758">
                  <c:v>107</c:v>
                </c:pt>
                <c:pt idx="759">
                  <c:v>97</c:v>
                </c:pt>
                <c:pt idx="760">
                  <c:v>103</c:v>
                </c:pt>
                <c:pt idx="761">
                  <c:v>113</c:v>
                </c:pt>
                <c:pt idx="762">
                  <c:v>202</c:v>
                </c:pt>
                <c:pt idx="763">
                  <c:v>116</c:v>
                </c:pt>
                <c:pt idx="764">
                  <c:v>76</c:v>
                </c:pt>
                <c:pt idx="765">
                  <c:v>88</c:v>
                </c:pt>
                <c:pt idx="766">
                  <c:v>94</c:v>
                </c:pt>
                <c:pt idx="767">
                  <c:v>94</c:v>
                </c:pt>
                <c:pt idx="768">
                  <c:v>97</c:v>
                </c:pt>
                <c:pt idx="769">
                  <c:v>100</c:v>
                </c:pt>
                <c:pt idx="770">
                  <c:v>86</c:v>
                </c:pt>
                <c:pt idx="771">
                  <c:v>98</c:v>
                </c:pt>
                <c:pt idx="772">
                  <c:v>94</c:v>
                </c:pt>
                <c:pt idx="773">
                  <c:v>113</c:v>
                </c:pt>
                <c:pt idx="774">
                  <c:v>81</c:v>
                </c:pt>
                <c:pt idx="775">
                  <c:v>84</c:v>
                </c:pt>
                <c:pt idx="776">
                  <c:v>90</c:v>
                </c:pt>
                <c:pt idx="777">
                  <c:v>137</c:v>
                </c:pt>
                <c:pt idx="778">
                  <c:v>90</c:v>
                </c:pt>
                <c:pt idx="779">
                  <c:v>89</c:v>
                </c:pt>
                <c:pt idx="780">
                  <c:v>109</c:v>
                </c:pt>
                <c:pt idx="781">
                  <c:v>72</c:v>
                </c:pt>
                <c:pt idx="782">
                  <c:v>87</c:v>
                </c:pt>
                <c:pt idx="783">
                  <c:v>102</c:v>
                </c:pt>
                <c:pt idx="784">
                  <c:v>96</c:v>
                </c:pt>
                <c:pt idx="785">
                  <c:v>121</c:v>
                </c:pt>
                <c:pt idx="786">
                  <c:v>160</c:v>
                </c:pt>
                <c:pt idx="787">
                  <c:v>92</c:v>
                </c:pt>
                <c:pt idx="788">
                  <c:v>95</c:v>
                </c:pt>
                <c:pt idx="789">
                  <c:v>89</c:v>
                </c:pt>
                <c:pt idx="790">
                  <c:v>99</c:v>
                </c:pt>
                <c:pt idx="791">
                  <c:v>89</c:v>
                </c:pt>
                <c:pt idx="792">
                  <c:v>96</c:v>
                </c:pt>
                <c:pt idx="793">
                  <c:v>125</c:v>
                </c:pt>
                <c:pt idx="794">
                  <c:v>144</c:v>
                </c:pt>
                <c:pt idx="795">
                  <c:v>210</c:v>
                </c:pt>
                <c:pt idx="796">
                  <c:v>87</c:v>
                </c:pt>
                <c:pt idx="797">
                  <c:v>107</c:v>
                </c:pt>
                <c:pt idx="798">
                  <c:v>109</c:v>
                </c:pt>
                <c:pt idx="799">
                  <c:v>91</c:v>
                </c:pt>
                <c:pt idx="800">
                  <c:v>108</c:v>
                </c:pt>
                <c:pt idx="801">
                  <c:v>111</c:v>
                </c:pt>
                <c:pt idx="802">
                  <c:v>104</c:v>
                </c:pt>
                <c:pt idx="803">
                  <c:v>114</c:v>
                </c:pt>
                <c:pt idx="804">
                  <c:v>90</c:v>
                </c:pt>
                <c:pt idx="805">
                  <c:v>116</c:v>
                </c:pt>
                <c:pt idx="806">
                  <c:v>135</c:v>
                </c:pt>
                <c:pt idx="807">
                  <c:v>132</c:v>
                </c:pt>
                <c:pt idx="808">
                  <c:v>91</c:v>
                </c:pt>
                <c:pt idx="809">
                  <c:v>86</c:v>
                </c:pt>
                <c:pt idx="810">
                  <c:v>212</c:v>
                </c:pt>
                <c:pt idx="811">
                  <c:v>98</c:v>
                </c:pt>
                <c:pt idx="812">
                  <c:v>104</c:v>
                </c:pt>
                <c:pt idx="813">
                  <c:v>110</c:v>
                </c:pt>
                <c:pt idx="814">
                  <c:v>141</c:v>
                </c:pt>
                <c:pt idx="815">
                  <c:v>251</c:v>
                </c:pt>
                <c:pt idx="816">
                  <c:v>97</c:v>
                </c:pt>
                <c:pt idx="817">
                  <c:v>102</c:v>
                </c:pt>
                <c:pt idx="818">
                  <c:v>107</c:v>
                </c:pt>
                <c:pt idx="819">
                  <c:v>124</c:v>
                </c:pt>
                <c:pt idx="820">
                  <c:v>94</c:v>
                </c:pt>
                <c:pt idx="821">
                  <c:v>96</c:v>
                </c:pt>
                <c:pt idx="822">
                  <c:v>135</c:v>
                </c:pt>
                <c:pt idx="823">
                  <c:v>80</c:v>
                </c:pt>
                <c:pt idx="824">
                  <c:v>112</c:v>
                </c:pt>
                <c:pt idx="825">
                  <c:v>98</c:v>
                </c:pt>
                <c:pt idx="826">
                  <c:v>80</c:v>
                </c:pt>
                <c:pt idx="827">
                  <c:v>172</c:v>
                </c:pt>
                <c:pt idx="828">
                  <c:v>95</c:v>
                </c:pt>
                <c:pt idx="829">
                  <c:v>90</c:v>
                </c:pt>
                <c:pt idx="830">
                  <c:v>85</c:v>
                </c:pt>
                <c:pt idx="831">
                  <c:v>119</c:v>
                </c:pt>
                <c:pt idx="832">
                  <c:v>97</c:v>
                </c:pt>
                <c:pt idx="833">
                  <c:v>136</c:v>
                </c:pt>
                <c:pt idx="834">
                  <c:v>124</c:v>
                </c:pt>
                <c:pt idx="835">
                  <c:v>111</c:v>
                </c:pt>
                <c:pt idx="836">
                  <c:v>93</c:v>
                </c:pt>
                <c:pt idx="837">
                  <c:v>91</c:v>
                </c:pt>
                <c:pt idx="838">
                  <c:v>106</c:v>
                </c:pt>
                <c:pt idx="839">
                  <c:v>87</c:v>
                </c:pt>
                <c:pt idx="840">
                  <c:v>154</c:v>
                </c:pt>
                <c:pt idx="841">
                  <c:v>108</c:v>
                </c:pt>
                <c:pt idx="842">
                  <c:v>120</c:v>
                </c:pt>
                <c:pt idx="843">
                  <c:v>94</c:v>
                </c:pt>
                <c:pt idx="844">
                  <c:v>112</c:v>
                </c:pt>
                <c:pt idx="845">
                  <c:v>97</c:v>
                </c:pt>
                <c:pt idx="846">
                  <c:v>109</c:v>
                </c:pt>
                <c:pt idx="847">
                  <c:v>75</c:v>
                </c:pt>
                <c:pt idx="848">
                  <c:v>101</c:v>
                </c:pt>
                <c:pt idx="849">
                  <c:v>90</c:v>
                </c:pt>
                <c:pt idx="850">
                  <c:v>123</c:v>
                </c:pt>
                <c:pt idx="851">
                  <c:v>258</c:v>
                </c:pt>
                <c:pt idx="852">
                  <c:v>103</c:v>
                </c:pt>
                <c:pt idx="853">
                  <c:v>123</c:v>
                </c:pt>
                <c:pt idx="854">
                  <c:v>113</c:v>
                </c:pt>
                <c:pt idx="855">
                  <c:v>89</c:v>
                </c:pt>
                <c:pt idx="856">
                  <c:v>97</c:v>
                </c:pt>
                <c:pt idx="857">
                  <c:v>109</c:v>
                </c:pt>
                <c:pt idx="858">
                  <c:v>108</c:v>
                </c:pt>
                <c:pt idx="859">
                  <c:v>88</c:v>
                </c:pt>
                <c:pt idx="860">
                  <c:v>135</c:v>
                </c:pt>
                <c:pt idx="861">
                  <c:v>43</c:v>
                </c:pt>
                <c:pt idx="862">
                  <c:v>150</c:v>
                </c:pt>
                <c:pt idx="863">
                  <c:v>106</c:v>
                </c:pt>
                <c:pt idx="864">
                  <c:v>77</c:v>
                </c:pt>
                <c:pt idx="865">
                  <c:v>109</c:v>
                </c:pt>
                <c:pt idx="866">
                  <c:v>122</c:v>
                </c:pt>
                <c:pt idx="867">
                  <c:v>84</c:v>
                </c:pt>
                <c:pt idx="868">
                  <c:v>98</c:v>
                </c:pt>
                <c:pt idx="869">
                  <c:v>120</c:v>
                </c:pt>
                <c:pt idx="870">
                  <c:v>107</c:v>
                </c:pt>
                <c:pt idx="871">
                  <c:v>123</c:v>
                </c:pt>
                <c:pt idx="872">
                  <c:v>104</c:v>
                </c:pt>
                <c:pt idx="873">
                  <c:v>100</c:v>
                </c:pt>
                <c:pt idx="874">
                  <c:v>123</c:v>
                </c:pt>
                <c:pt idx="875">
                  <c:v>86</c:v>
                </c:pt>
                <c:pt idx="876">
                  <c:v>77</c:v>
                </c:pt>
                <c:pt idx="877">
                  <c:v>97</c:v>
                </c:pt>
                <c:pt idx="878">
                  <c:v>111</c:v>
                </c:pt>
                <c:pt idx="879">
                  <c:v>117</c:v>
                </c:pt>
                <c:pt idx="880">
                  <c:v>113</c:v>
                </c:pt>
                <c:pt idx="881">
                  <c:v>116</c:v>
                </c:pt>
                <c:pt idx="882">
                  <c:v>118</c:v>
                </c:pt>
                <c:pt idx="883">
                  <c:v>129</c:v>
                </c:pt>
                <c:pt idx="884">
                  <c:v>107</c:v>
                </c:pt>
                <c:pt idx="885">
                  <c:v>101</c:v>
                </c:pt>
                <c:pt idx="886">
                  <c:v>132</c:v>
                </c:pt>
                <c:pt idx="887">
                  <c:v>93</c:v>
                </c:pt>
                <c:pt idx="888">
                  <c:v>96</c:v>
                </c:pt>
                <c:pt idx="889">
                  <c:v>230</c:v>
                </c:pt>
                <c:pt idx="890">
                  <c:v>112</c:v>
                </c:pt>
                <c:pt idx="891">
                  <c:v>111</c:v>
                </c:pt>
                <c:pt idx="892">
                  <c:v>98</c:v>
                </c:pt>
                <c:pt idx="893">
                  <c:v>118</c:v>
                </c:pt>
                <c:pt idx="894">
                  <c:v>135</c:v>
                </c:pt>
                <c:pt idx="895">
                  <c:v>97</c:v>
                </c:pt>
                <c:pt idx="896">
                  <c:v>173</c:v>
                </c:pt>
                <c:pt idx="897">
                  <c:v>133</c:v>
                </c:pt>
                <c:pt idx="898">
                  <c:v>85</c:v>
                </c:pt>
                <c:pt idx="899">
                  <c:v>260</c:v>
                </c:pt>
                <c:pt idx="900">
                  <c:v>91</c:v>
                </c:pt>
                <c:pt idx="901">
                  <c:v>94</c:v>
                </c:pt>
                <c:pt idx="902">
                  <c:v>113</c:v>
                </c:pt>
                <c:pt idx="903">
                  <c:v>123</c:v>
                </c:pt>
                <c:pt idx="904">
                  <c:v>107</c:v>
                </c:pt>
                <c:pt idx="905">
                  <c:v>108</c:v>
                </c:pt>
                <c:pt idx="906">
                  <c:v>92</c:v>
                </c:pt>
                <c:pt idx="907">
                  <c:v>93</c:v>
                </c:pt>
                <c:pt idx="908">
                  <c:v>115</c:v>
                </c:pt>
                <c:pt idx="909">
                  <c:v>115</c:v>
                </c:pt>
                <c:pt idx="910">
                  <c:v>95</c:v>
                </c:pt>
                <c:pt idx="911">
                  <c:v>186</c:v>
                </c:pt>
                <c:pt idx="912">
                  <c:v>120</c:v>
                </c:pt>
                <c:pt idx="913">
                  <c:v>84</c:v>
                </c:pt>
                <c:pt idx="914">
                  <c:v>97</c:v>
                </c:pt>
                <c:pt idx="915">
                  <c:v>147</c:v>
                </c:pt>
                <c:pt idx="916">
                  <c:v>90</c:v>
                </c:pt>
                <c:pt idx="917">
                  <c:v>93</c:v>
                </c:pt>
                <c:pt idx="918">
                  <c:v>90</c:v>
                </c:pt>
                <c:pt idx="919">
                  <c:v>78</c:v>
                </c:pt>
                <c:pt idx="920">
                  <c:v>114</c:v>
                </c:pt>
                <c:pt idx="921">
                  <c:v>99</c:v>
                </c:pt>
                <c:pt idx="922">
                  <c:v>124</c:v>
                </c:pt>
                <c:pt idx="923">
                  <c:v>95</c:v>
                </c:pt>
                <c:pt idx="924">
                  <c:v>91</c:v>
                </c:pt>
                <c:pt idx="925">
                  <c:v>91</c:v>
                </c:pt>
                <c:pt idx="926">
                  <c:v>123</c:v>
                </c:pt>
                <c:pt idx="927">
                  <c:v>89</c:v>
                </c:pt>
                <c:pt idx="928">
                  <c:v>92</c:v>
                </c:pt>
                <c:pt idx="929">
                  <c:v>96</c:v>
                </c:pt>
                <c:pt idx="930">
                  <c:v>117</c:v>
                </c:pt>
                <c:pt idx="931">
                  <c:v>91</c:v>
                </c:pt>
                <c:pt idx="932">
                  <c:v>99</c:v>
                </c:pt>
                <c:pt idx="933">
                  <c:v>88</c:v>
                </c:pt>
                <c:pt idx="934">
                  <c:v>140</c:v>
                </c:pt>
                <c:pt idx="935">
                  <c:v>97</c:v>
                </c:pt>
                <c:pt idx="936">
                  <c:v>236</c:v>
                </c:pt>
                <c:pt idx="937">
                  <c:v>89</c:v>
                </c:pt>
                <c:pt idx="938">
                  <c:v>238</c:v>
                </c:pt>
                <c:pt idx="939">
                  <c:v>106</c:v>
                </c:pt>
                <c:pt idx="940">
                  <c:v>108</c:v>
                </c:pt>
                <c:pt idx="941">
                  <c:v>54</c:v>
                </c:pt>
                <c:pt idx="942">
                  <c:v>60</c:v>
                </c:pt>
                <c:pt idx="943">
                  <c:v>118</c:v>
                </c:pt>
                <c:pt idx="944">
                  <c:v>111</c:v>
                </c:pt>
                <c:pt idx="945">
                  <c:v>113</c:v>
                </c:pt>
                <c:pt idx="946">
                  <c:v>103</c:v>
                </c:pt>
                <c:pt idx="947">
                  <c:v>96</c:v>
                </c:pt>
                <c:pt idx="948">
                  <c:v>103</c:v>
                </c:pt>
                <c:pt idx="949">
                  <c:v>103</c:v>
                </c:pt>
                <c:pt idx="950">
                  <c:v>143</c:v>
                </c:pt>
                <c:pt idx="951">
                  <c:v>293</c:v>
                </c:pt>
                <c:pt idx="952">
                  <c:v>85</c:v>
                </c:pt>
                <c:pt idx="953">
                  <c:v>101</c:v>
                </c:pt>
                <c:pt idx="954">
                  <c:v>100</c:v>
                </c:pt>
                <c:pt idx="955">
                  <c:v>95</c:v>
                </c:pt>
                <c:pt idx="956">
                  <c:v>220</c:v>
                </c:pt>
                <c:pt idx="957">
                  <c:v>130</c:v>
                </c:pt>
                <c:pt idx="958">
                  <c:v>88</c:v>
                </c:pt>
                <c:pt idx="959">
                  <c:v>174</c:v>
                </c:pt>
                <c:pt idx="960">
                  <c:v>102</c:v>
                </c:pt>
                <c:pt idx="961">
                  <c:v>98</c:v>
                </c:pt>
                <c:pt idx="962">
                  <c:v>114</c:v>
                </c:pt>
                <c:pt idx="963">
                  <c:v>94</c:v>
                </c:pt>
                <c:pt idx="964">
                  <c:v>107</c:v>
                </c:pt>
                <c:pt idx="965">
                  <c:v>102</c:v>
                </c:pt>
                <c:pt idx="966">
                  <c:v>87</c:v>
                </c:pt>
                <c:pt idx="967">
                  <c:v>118</c:v>
                </c:pt>
                <c:pt idx="968">
                  <c:v>96</c:v>
                </c:pt>
                <c:pt idx="969">
                  <c:v>122</c:v>
                </c:pt>
                <c:pt idx="970">
                  <c:v>90</c:v>
                </c:pt>
                <c:pt idx="971">
                  <c:v>128</c:v>
                </c:pt>
                <c:pt idx="972">
                  <c:v>91</c:v>
                </c:pt>
                <c:pt idx="973">
                  <c:v>95</c:v>
                </c:pt>
                <c:pt idx="974">
                  <c:v>87</c:v>
                </c:pt>
                <c:pt idx="975">
                  <c:v>197</c:v>
                </c:pt>
                <c:pt idx="976">
                  <c:v>108</c:v>
                </c:pt>
                <c:pt idx="977">
                  <c:v>105</c:v>
                </c:pt>
                <c:pt idx="978">
                  <c:v>108</c:v>
                </c:pt>
                <c:pt idx="979">
                  <c:v>102</c:v>
                </c:pt>
                <c:pt idx="980">
                  <c:v>174</c:v>
                </c:pt>
                <c:pt idx="981">
                  <c:v>104</c:v>
                </c:pt>
                <c:pt idx="982">
                  <c:v>90</c:v>
                </c:pt>
                <c:pt idx="983">
                  <c:v>80</c:v>
                </c:pt>
                <c:pt idx="984">
                  <c:v>111</c:v>
                </c:pt>
                <c:pt idx="985">
                  <c:v>111</c:v>
                </c:pt>
                <c:pt idx="986">
                  <c:v>109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95</c:v>
                </c:pt>
                <c:pt idx="991">
                  <c:v>105</c:v>
                </c:pt>
                <c:pt idx="992">
                  <c:v>120</c:v>
                </c:pt>
                <c:pt idx="993">
                  <c:v>106</c:v>
                </c:pt>
                <c:pt idx="994">
                  <c:v>88</c:v>
                </c:pt>
                <c:pt idx="995">
                  <c:v>95</c:v>
                </c:pt>
                <c:pt idx="996">
                  <c:v>43</c:v>
                </c:pt>
                <c:pt idx="997">
                  <c:v>112</c:v>
                </c:pt>
                <c:pt idx="998">
                  <c:v>117</c:v>
                </c:pt>
                <c:pt idx="999">
                  <c:v>110</c:v>
                </c:pt>
                <c:pt idx="1000">
                  <c:v>88</c:v>
                </c:pt>
                <c:pt idx="1001">
                  <c:v>94</c:v>
                </c:pt>
                <c:pt idx="1002">
                  <c:v>118</c:v>
                </c:pt>
                <c:pt idx="1003">
                  <c:v>105</c:v>
                </c:pt>
                <c:pt idx="1004">
                  <c:v>125</c:v>
                </c:pt>
                <c:pt idx="1005">
                  <c:v>83</c:v>
                </c:pt>
                <c:pt idx="1006">
                  <c:v>109</c:v>
                </c:pt>
                <c:pt idx="1007">
                  <c:v>112</c:v>
                </c:pt>
                <c:pt idx="1008">
                  <c:v>90</c:v>
                </c:pt>
                <c:pt idx="1009">
                  <c:v>104</c:v>
                </c:pt>
                <c:pt idx="1010">
                  <c:v>104</c:v>
                </c:pt>
                <c:pt idx="1011">
                  <c:v>98</c:v>
                </c:pt>
                <c:pt idx="1012">
                  <c:v>87</c:v>
                </c:pt>
                <c:pt idx="1014">
                  <c:v>87</c:v>
                </c:pt>
                <c:pt idx="1015">
                  <c:v>93</c:v>
                </c:pt>
                <c:pt idx="1016">
                  <c:v>104</c:v>
                </c:pt>
                <c:pt idx="1017">
                  <c:v>95</c:v>
                </c:pt>
                <c:pt idx="1018">
                  <c:v>83</c:v>
                </c:pt>
                <c:pt idx="1019">
                  <c:v>88</c:v>
                </c:pt>
                <c:pt idx="1020">
                  <c:v>96</c:v>
                </c:pt>
                <c:pt idx="1021">
                  <c:v>80</c:v>
                </c:pt>
                <c:pt idx="1022">
                  <c:v>89</c:v>
                </c:pt>
                <c:pt idx="1023">
                  <c:v>82</c:v>
                </c:pt>
                <c:pt idx="1024">
                  <c:v>120</c:v>
                </c:pt>
                <c:pt idx="1025">
                  <c:v>116</c:v>
                </c:pt>
                <c:pt idx="1026">
                  <c:v>94</c:v>
                </c:pt>
                <c:pt idx="1027">
                  <c:v>94</c:v>
                </c:pt>
                <c:pt idx="1028">
                  <c:v>99</c:v>
                </c:pt>
                <c:pt idx="1029">
                  <c:v>95</c:v>
                </c:pt>
                <c:pt idx="1030">
                  <c:v>105</c:v>
                </c:pt>
                <c:pt idx="1031">
                  <c:v>94</c:v>
                </c:pt>
                <c:pt idx="1032">
                  <c:v>98</c:v>
                </c:pt>
                <c:pt idx="1033">
                  <c:v>103</c:v>
                </c:pt>
                <c:pt idx="1034">
                  <c:v>133</c:v>
                </c:pt>
                <c:pt idx="1035">
                  <c:v>124</c:v>
                </c:pt>
                <c:pt idx="1036">
                  <c:v>128</c:v>
                </c:pt>
                <c:pt idx="1037">
                  <c:v>131</c:v>
                </c:pt>
                <c:pt idx="1038">
                  <c:v>82</c:v>
                </c:pt>
                <c:pt idx="1040">
                  <c:v>110</c:v>
                </c:pt>
                <c:pt idx="1041">
                  <c:v>114</c:v>
                </c:pt>
                <c:pt idx="1042">
                  <c:v>99</c:v>
                </c:pt>
                <c:pt idx="1043">
                  <c:v>82</c:v>
                </c:pt>
                <c:pt idx="1044">
                  <c:v>109</c:v>
                </c:pt>
                <c:pt idx="1045">
                  <c:v>97</c:v>
                </c:pt>
                <c:pt idx="1046">
                  <c:v>82</c:v>
                </c:pt>
                <c:pt idx="1047">
                  <c:v>88</c:v>
                </c:pt>
                <c:pt idx="1048">
                  <c:v>128</c:v>
                </c:pt>
                <c:pt idx="1049">
                  <c:v>112</c:v>
                </c:pt>
                <c:pt idx="1050">
                  <c:v>84</c:v>
                </c:pt>
                <c:pt idx="1051">
                  <c:v>210</c:v>
                </c:pt>
                <c:pt idx="1052">
                  <c:v>84</c:v>
                </c:pt>
                <c:pt idx="1053">
                  <c:v>139</c:v>
                </c:pt>
                <c:pt idx="1054">
                  <c:v>116</c:v>
                </c:pt>
                <c:pt idx="1055">
                  <c:v>165</c:v>
                </c:pt>
                <c:pt idx="1056">
                  <c:v>120</c:v>
                </c:pt>
                <c:pt idx="1057">
                  <c:v>120</c:v>
                </c:pt>
                <c:pt idx="1058">
                  <c:v>87</c:v>
                </c:pt>
                <c:pt idx="1059">
                  <c:v>84</c:v>
                </c:pt>
                <c:pt idx="1060">
                  <c:v>85</c:v>
                </c:pt>
                <c:pt idx="1061">
                  <c:v>200</c:v>
                </c:pt>
                <c:pt idx="1062">
                  <c:v>184</c:v>
                </c:pt>
                <c:pt idx="1063">
                  <c:v>130</c:v>
                </c:pt>
                <c:pt idx="1064">
                  <c:v>94</c:v>
                </c:pt>
                <c:pt idx="1065">
                  <c:v>91</c:v>
                </c:pt>
                <c:pt idx="1066">
                  <c:v>107</c:v>
                </c:pt>
                <c:pt idx="1067">
                  <c:v>113</c:v>
                </c:pt>
                <c:pt idx="1068">
                  <c:v>42</c:v>
                </c:pt>
                <c:pt idx="1069">
                  <c:v>93</c:v>
                </c:pt>
                <c:pt idx="1070">
                  <c:v>89</c:v>
                </c:pt>
                <c:pt idx="1071">
                  <c:v>127</c:v>
                </c:pt>
                <c:pt idx="1072">
                  <c:v>90</c:v>
                </c:pt>
                <c:pt idx="1073">
                  <c:v>97</c:v>
                </c:pt>
                <c:pt idx="1074">
                  <c:v>87</c:v>
                </c:pt>
                <c:pt idx="1075">
                  <c:v>99</c:v>
                </c:pt>
                <c:pt idx="1076">
                  <c:v>147</c:v>
                </c:pt>
                <c:pt idx="1077">
                  <c:v>133</c:v>
                </c:pt>
                <c:pt idx="1078">
                  <c:v>109</c:v>
                </c:pt>
                <c:pt idx="1079">
                  <c:v>99</c:v>
                </c:pt>
                <c:pt idx="1080">
                  <c:v>113</c:v>
                </c:pt>
                <c:pt idx="1081">
                  <c:v>77</c:v>
                </c:pt>
                <c:pt idx="1082">
                  <c:v>113</c:v>
                </c:pt>
                <c:pt idx="1083">
                  <c:v>113</c:v>
                </c:pt>
                <c:pt idx="1084">
                  <c:v>103</c:v>
                </c:pt>
                <c:pt idx="1085">
                  <c:v>110</c:v>
                </c:pt>
                <c:pt idx="1086">
                  <c:v>105</c:v>
                </c:pt>
                <c:pt idx="1087">
                  <c:v>88</c:v>
                </c:pt>
                <c:pt idx="1088">
                  <c:v>104</c:v>
                </c:pt>
                <c:pt idx="1089">
                  <c:v>77</c:v>
                </c:pt>
                <c:pt idx="1090">
                  <c:v>88</c:v>
                </c:pt>
                <c:pt idx="1091">
                  <c:v>92</c:v>
                </c:pt>
                <c:pt idx="1092">
                  <c:v>108</c:v>
                </c:pt>
                <c:pt idx="1093">
                  <c:v>93</c:v>
                </c:pt>
                <c:pt idx="1094">
                  <c:v>87</c:v>
                </c:pt>
                <c:pt idx="1095">
                  <c:v>91</c:v>
                </c:pt>
                <c:pt idx="1096">
                  <c:v>178</c:v>
                </c:pt>
                <c:pt idx="1097">
                  <c:v>87</c:v>
                </c:pt>
                <c:pt idx="1098">
                  <c:v>110</c:v>
                </c:pt>
                <c:pt idx="1099">
                  <c:v>95</c:v>
                </c:pt>
                <c:pt idx="1100">
                  <c:v>99</c:v>
                </c:pt>
                <c:pt idx="1101">
                  <c:v>92</c:v>
                </c:pt>
                <c:pt idx="1102">
                  <c:v>73</c:v>
                </c:pt>
                <c:pt idx="1103">
                  <c:v>110</c:v>
                </c:pt>
                <c:pt idx="1104">
                  <c:v>99</c:v>
                </c:pt>
                <c:pt idx="1105">
                  <c:v>103</c:v>
                </c:pt>
                <c:pt idx="1106">
                  <c:v>80</c:v>
                </c:pt>
                <c:pt idx="1107">
                  <c:v>88</c:v>
                </c:pt>
                <c:pt idx="1108">
                  <c:v>107</c:v>
                </c:pt>
                <c:pt idx="1109">
                  <c:v>100</c:v>
                </c:pt>
                <c:pt idx="1110">
                  <c:v>104</c:v>
                </c:pt>
                <c:pt idx="1111">
                  <c:v>103</c:v>
                </c:pt>
                <c:pt idx="1112">
                  <c:v>108</c:v>
                </c:pt>
                <c:pt idx="1113">
                  <c:v>84</c:v>
                </c:pt>
                <c:pt idx="1114">
                  <c:v>97</c:v>
                </c:pt>
                <c:pt idx="1115">
                  <c:v>136</c:v>
                </c:pt>
                <c:pt idx="1116">
                  <c:v>98</c:v>
                </c:pt>
                <c:pt idx="1117">
                  <c:v>130</c:v>
                </c:pt>
                <c:pt idx="1118">
                  <c:v>92</c:v>
                </c:pt>
                <c:pt idx="1119">
                  <c:v>190</c:v>
                </c:pt>
                <c:pt idx="1120">
                  <c:v>104</c:v>
                </c:pt>
                <c:pt idx="1121">
                  <c:v>102</c:v>
                </c:pt>
                <c:pt idx="1122">
                  <c:v>90</c:v>
                </c:pt>
                <c:pt idx="1123">
                  <c:v>104</c:v>
                </c:pt>
                <c:pt idx="1124">
                  <c:v>92</c:v>
                </c:pt>
                <c:pt idx="1125">
                  <c:v>91</c:v>
                </c:pt>
                <c:pt idx="1126">
                  <c:v>100</c:v>
                </c:pt>
                <c:pt idx="1127">
                  <c:v>116</c:v>
                </c:pt>
                <c:pt idx="1128">
                  <c:v>98</c:v>
                </c:pt>
                <c:pt idx="1129">
                  <c:v>99</c:v>
                </c:pt>
                <c:pt idx="1130">
                  <c:v>97</c:v>
                </c:pt>
                <c:pt idx="1131">
                  <c:v>96</c:v>
                </c:pt>
                <c:pt idx="1132">
                  <c:v>118</c:v>
                </c:pt>
                <c:pt idx="1133">
                  <c:v>90</c:v>
                </c:pt>
                <c:pt idx="1134">
                  <c:v>83</c:v>
                </c:pt>
                <c:pt idx="1135">
                  <c:v>82</c:v>
                </c:pt>
                <c:pt idx="1136">
                  <c:v>77</c:v>
                </c:pt>
                <c:pt idx="1137">
                  <c:v>95</c:v>
                </c:pt>
                <c:pt idx="1138">
                  <c:v>144</c:v>
                </c:pt>
                <c:pt idx="1139">
                  <c:v>112</c:v>
                </c:pt>
                <c:pt idx="1140">
                  <c:v>128</c:v>
                </c:pt>
                <c:pt idx="1141">
                  <c:v>100</c:v>
                </c:pt>
                <c:pt idx="1142">
                  <c:v>113</c:v>
                </c:pt>
                <c:pt idx="1143">
                  <c:v>109</c:v>
                </c:pt>
                <c:pt idx="1144">
                  <c:v>85</c:v>
                </c:pt>
                <c:pt idx="1145">
                  <c:v>177</c:v>
                </c:pt>
                <c:pt idx="1146">
                  <c:v>105</c:v>
                </c:pt>
                <c:pt idx="1147">
                  <c:v>89</c:v>
                </c:pt>
                <c:pt idx="1148">
                  <c:v>125</c:v>
                </c:pt>
                <c:pt idx="1149">
                  <c:v>90</c:v>
                </c:pt>
                <c:pt idx="1150">
                  <c:v>98</c:v>
                </c:pt>
                <c:pt idx="1151">
                  <c:v>94</c:v>
                </c:pt>
                <c:pt idx="1152">
                  <c:v>107</c:v>
                </c:pt>
                <c:pt idx="1153">
                  <c:v>111</c:v>
                </c:pt>
                <c:pt idx="1154">
                  <c:v>89</c:v>
                </c:pt>
                <c:pt idx="1155">
                  <c:v>120</c:v>
                </c:pt>
                <c:pt idx="1156">
                  <c:v>118</c:v>
                </c:pt>
                <c:pt idx="1157">
                  <c:v>91</c:v>
                </c:pt>
                <c:pt idx="1158">
                  <c:v>110</c:v>
                </c:pt>
                <c:pt idx="1159">
                  <c:v>96</c:v>
                </c:pt>
                <c:pt idx="1160">
                  <c:v>96</c:v>
                </c:pt>
                <c:pt idx="1161">
                  <c:v>92</c:v>
                </c:pt>
                <c:pt idx="1162">
                  <c:v>124</c:v>
                </c:pt>
                <c:pt idx="1163">
                  <c:v>97</c:v>
                </c:pt>
                <c:pt idx="1164">
                  <c:v>140</c:v>
                </c:pt>
                <c:pt idx="1165">
                  <c:v>81</c:v>
                </c:pt>
                <c:pt idx="1166">
                  <c:v>93</c:v>
                </c:pt>
                <c:pt idx="1167">
                  <c:v>127</c:v>
                </c:pt>
                <c:pt idx="1168">
                  <c:v>212</c:v>
                </c:pt>
                <c:pt idx="1169">
                  <c:v>83</c:v>
                </c:pt>
                <c:pt idx="1170">
                  <c:v>91</c:v>
                </c:pt>
                <c:pt idx="1171">
                  <c:v>90</c:v>
                </c:pt>
                <c:pt idx="1172">
                  <c:v>117</c:v>
                </c:pt>
                <c:pt idx="1173">
                  <c:v>113</c:v>
                </c:pt>
                <c:pt idx="1174">
                  <c:v>82</c:v>
                </c:pt>
                <c:pt idx="1175">
                  <c:v>122</c:v>
                </c:pt>
                <c:pt idx="1176">
                  <c:v>105</c:v>
                </c:pt>
                <c:pt idx="1177">
                  <c:v>120</c:v>
                </c:pt>
                <c:pt idx="1178">
                  <c:v>99</c:v>
                </c:pt>
                <c:pt idx="1179">
                  <c:v>118</c:v>
                </c:pt>
                <c:pt idx="1180">
                  <c:v>81</c:v>
                </c:pt>
                <c:pt idx="1181">
                  <c:v>103</c:v>
                </c:pt>
                <c:pt idx="1182">
                  <c:v>100</c:v>
                </c:pt>
                <c:pt idx="1183">
                  <c:v>97</c:v>
                </c:pt>
                <c:pt idx="1184">
                  <c:v>115</c:v>
                </c:pt>
                <c:pt idx="1185">
                  <c:v>124</c:v>
                </c:pt>
                <c:pt idx="1186">
                  <c:v>114</c:v>
                </c:pt>
                <c:pt idx="1187">
                  <c:v>123</c:v>
                </c:pt>
                <c:pt idx="1188">
                  <c:v>96</c:v>
                </c:pt>
                <c:pt idx="1189">
                  <c:v>89</c:v>
                </c:pt>
                <c:pt idx="1190">
                  <c:v>146</c:v>
                </c:pt>
                <c:pt idx="1191">
                  <c:v>97</c:v>
                </c:pt>
                <c:pt idx="1192">
                  <c:v>109</c:v>
                </c:pt>
                <c:pt idx="1193">
                  <c:v>78</c:v>
                </c:pt>
                <c:pt idx="1194">
                  <c:v>240</c:v>
                </c:pt>
                <c:pt idx="1195">
                  <c:v>42</c:v>
                </c:pt>
                <c:pt idx="1196">
                  <c:v>103</c:v>
                </c:pt>
                <c:pt idx="1197">
                  <c:v>107</c:v>
                </c:pt>
                <c:pt idx="1198">
                  <c:v>121</c:v>
                </c:pt>
                <c:pt idx="1199">
                  <c:v>108</c:v>
                </c:pt>
                <c:pt idx="1200">
                  <c:v>109</c:v>
                </c:pt>
                <c:pt idx="1201">
                  <c:v>114</c:v>
                </c:pt>
                <c:pt idx="1202">
                  <c:v>104</c:v>
                </c:pt>
                <c:pt idx="1203">
                  <c:v>131</c:v>
                </c:pt>
                <c:pt idx="1204">
                  <c:v>140</c:v>
                </c:pt>
                <c:pt idx="1205">
                  <c:v>93</c:v>
                </c:pt>
                <c:pt idx="1206">
                  <c:v>115</c:v>
                </c:pt>
                <c:pt idx="1207">
                  <c:v>90</c:v>
                </c:pt>
                <c:pt idx="1208">
                  <c:v>88</c:v>
                </c:pt>
                <c:pt idx="1209">
                  <c:v>161</c:v>
                </c:pt>
                <c:pt idx="1210">
                  <c:v>28</c:v>
                </c:pt>
                <c:pt idx="1211">
                  <c:v>113</c:v>
                </c:pt>
                <c:pt idx="1212">
                  <c:v>99</c:v>
                </c:pt>
                <c:pt idx="1213">
                  <c:v>93</c:v>
                </c:pt>
                <c:pt idx="1214">
                  <c:v>102</c:v>
                </c:pt>
                <c:pt idx="1215">
                  <c:v>107</c:v>
                </c:pt>
                <c:pt idx="1216">
                  <c:v>104</c:v>
                </c:pt>
                <c:pt idx="1217">
                  <c:v>115</c:v>
                </c:pt>
                <c:pt idx="1218">
                  <c:v>89</c:v>
                </c:pt>
                <c:pt idx="1219">
                  <c:v>131</c:v>
                </c:pt>
                <c:pt idx="1220">
                  <c:v>80</c:v>
                </c:pt>
                <c:pt idx="1221">
                  <c:v>112</c:v>
                </c:pt>
                <c:pt idx="1222">
                  <c:v>101</c:v>
                </c:pt>
                <c:pt idx="1223">
                  <c:v>106</c:v>
                </c:pt>
                <c:pt idx="1224">
                  <c:v>89</c:v>
                </c:pt>
                <c:pt idx="1225">
                  <c:v>98</c:v>
                </c:pt>
                <c:pt idx="1226">
                  <c:v>90</c:v>
                </c:pt>
                <c:pt idx="1227">
                  <c:v>115</c:v>
                </c:pt>
                <c:pt idx="1228">
                  <c:v>120</c:v>
                </c:pt>
                <c:pt idx="1229">
                  <c:v>108</c:v>
                </c:pt>
                <c:pt idx="1230">
                  <c:v>85</c:v>
                </c:pt>
                <c:pt idx="1231">
                  <c:v>60</c:v>
                </c:pt>
                <c:pt idx="1232">
                  <c:v>93</c:v>
                </c:pt>
                <c:pt idx="1233">
                  <c:v>96</c:v>
                </c:pt>
                <c:pt idx="1234">
                  <c:v>130</c:v>
                </c:pt>
                <c:pt idx="1235">
                  <c:v>121</c:v>
                </c:pt>
                <c:pt idx="1236">
                  <c:v>121</c:v>
                </c:pt>
                <c:pt idx="1237">
                  <c:v>99</c:v>
                </c:pt>
                <c:pt idx="1238">
                  <c:v>101</c:v>
                </c:pt>
                <c:pt idx="1239">
                  <c:v>97</c:v>
                </c:pt>
                <c:pt idx="1240">
                  <c:v>87</c:v>
                </c:pt>
                <c:pt idx="1241">
                  <c:v>88</c:v>
                </c:pt>
                <c:pt idx="1242">
                  <c:v>109</c:v>
                </c:pt>
                <c:pt idx="1243">
                  <c:v>37</c:v>
                </c:pt>
                <c:pt idx="1244">
                  <c:v>96</c:v>
                </c:pt>
                <c:pt idx="1245">
                  <c:v>135</c:v>
                </c:pt>
                <c:pt idx="1246">
                  <c:v>81</c:v>
                </c:pt>
                <c:pt idx="1247">
                  <c:v>108</c:v>
                </c:pt>
                <c:pt idx="1248">
                  <c:v>101</c:v>
                </c:pt>
                <c:pt idx="1249">
                  <c:v>87</c:v>
                </c:pt>
                <c:pt idx="1250">
                  <c:v>133</c:v>
                </c:pt>
                <c:pt idx="1251">
                  <c:v>91</c:v>
                </c:pt>
                <c:pt idx="1252">
                  <c:v>110</c:v>
                </c:pt>
                <c:pt idx="1253">
                  <c:v>115</c:v>
                </c:pt>
                <c:pt idx="1254">
                  <c:v>101</c:v>
                </c:pt>
                <c:pt idx="1255">
                  <c:v>300</c:v>
                </c:pt>
                <c:pt idx="1256">
                  <c:v>118</c:v>
                </c:pt>
                <c:pt idx="1257">
                  <c:v>125</c:v>
                </c:pt>
                <c:pt idx="1258">
                  <c:v>103</c:v>
                </c:pt>
                <c:pt idx="1259">
                  <c:v>92</c:v>
                </c:pt>
                <c:pt idx="1260">
                  <c:v>106</c:v>
                </c:pt>
                <c:pt idx="1261">
                  <c:v>118</c:v>
                </c:pt>
                <c:pt idx="1262">
                  <c:v>76</c:v>
                </c:pt>
                <c:pt idx="1263">
                  <c:v>93</c:v>
                </c:pt>
                <c:pt idx="1264">
                  <c:v>129</c:v>
                </c:pt>
                <c:pt idx="1265">
                  <c:v>101</c:v>
                </c:pt>
                <c:pt idx="1266">
                  <c:v>109</c:v>
                </c:pt>
                <c:pt idx="1267">
                  <c:v>100</c:v>
                </c:pt>
                <c:pt idx="1268">
                  <c:v>96</c:v>
                </c:pt>
                <c:pt idx="1269">
                  <c:v>159</c:v>
                </c:pt>
                <c:pt idx="1270">
                  <c:v>145</c:v>
                </c:pt>
                <c:pt idx="1271">
                  <c:v>84</c:v>
                </c:pt>
                <c:pt idx="1272">
                  <c:v>138</c:v>
                </c:pt>
                <c:pt idx="1273">
                  <c:v>111</c:v>
                </c:pt>
                <c:pt idx="1274">
                  <c:v>99</c:v>
                </c:pt>
                <c:pt idx="1275">
                  <c:v>122</c:v>
                </c:pt>
                <c:pt idx="1276">
                  <c:v>95</c:v>
                </c:pt>
                <c:pt idx="1277">
                  <c:v>108</c:v>
                </c:pt>
                <c:pt idx="1278">
                  <c:v>115</c:v>
                </c:pt>
                <c:pt idx="1279">
                  <c:v>116</c:v>
                </c:pt>
                <c:pt idx="1280">
                  <c:v>91</c:v>
                </c:pt>
                <c:pt idx="1281">
                  <c:v>103</c:v>
                </c:pt>
                <c:pt idx="1282">
                  <c:v>123</c:v>
                </c:pt>
                <c:pt idx="1283">
                  <c:v>120</c:v>
                </c:pt>
                <c:pt idx="1284">
                  <c:v>74</c:v>
                </c:pt>
                <c:pt idx="1285">
                  <c:v>120</c:v>
                </c:pt>
                <c:pt idx="1286">
                  <c:v>92</c:v>
                </c:pt>
                <c:pt idx="1287">
                  <c:v>200</c:v>
                </c:pt>
                <c:pt idx="1288">
                  <c:v>87</c:v>
                </c:pt>
                <c:pt idx="1289">
                  <c:v>107</c:v>
                </c:pt>
                <c:pt idx="1290">
                  <c:v>101</c:v>
                </c:pt>
                <c:pt idx="1291">
                  <c:v>80</c:v>
                </c:pt>
                <c:pt idx="1292">
                  <c:v>53</c:v>
                </c:pt>
                <c:pt idx="1293">
                  <c:v>103</c:v>
                </c:pt>
                <c:pt idx="1294">
                  <c:v>132</c:v>
                </c:pt>
                <c:pt idx="1295">
                  <c:v>90</c:v>
                </c:pt>
                <c:pt idx="1296">
                  <c:v>98</c:v>
                </c:pt>
                <c:pt idx="1297">
                  <c:v>93</c:v>
                </c:pt>
                <c:pt idx="1298">
                  <c:v>97</c:v>
                </c:pt>
                <c:pt idx="1299">
                  <c:v>119</c:v>
                </c:pt>
                <c:pt idx="1300">
                  <c:v>134</c:v>
                </c:pt>
                <c:pt idx="1301">
                  <c:v>118</c:v>
                </c:pt>
                <c:pt idx="1302">
                  <c:v>95</c:v>
                </c:pt>
                <c:pt idx="1303">
                  <c:v>101</c:v>
                </c:pt>
                <c:pt idx="1304">
                  <c:v>95</c:v>
                </c:pt>
                <c:pt idx="1305">
                  <c:v>116</c:v>
                </c:pt>
                <c:pt idx="1306">
                  <c:v>114</c:v>
                </c:pt>
                <c:pt idx="1307">
                  <c:v>87</c:v>
                </c:pt>
                <c:pt idx="1308">
                  <c:v>104</c:v>
                </c:pt>
                <c:pt idx="1309">
                  <c:v>181</c:v>
                </c:pt>
                <c:pt idx="1310">
                  <c:v>93</c:v>
                </c:pt>
                <c:pt idx="1311">
                  <c:v>117</c:v>
                </c:pt>
                <c:pt idx="1312">
                  <c:v>92</c:v>
                </c:pt>
                <c:pt idx="1313">
                  <c:v>129</c:v>
                </c:pt>
                <c:pt idx="1314">
                  <c:v>151</c:v>
                </c:pt>
                <c:pt idx="1315">
                  <c:v>94</c:v>
                </c:pt>
                <c:pt idx="1316">
                  <c:v>90</c:v>
                </c:pt>
                <c:pt idx="1317">
                  <c:v>109</c:v>
                </c:pt>
                <c:pt idx="1318">
                  <c:v>80</c:v>
                </c:pt>
                <c:pt idx="1319">
                  <c:v>90</c:v>
                </c:pt>
                <c:pt idx="1320">
                  <c:v>86</c:v>
                </c:pt>
                <c:pt idx="1321">
                  <c:v>92</c:v>
                </c:pt>
                <c:pt idx="1322">
                  <c:v>98</c:v>
                </c:pt>
                <c:pt idx="1323">
                  <c:v>106</c:v>
                </c:pt>
                <c:pt idx="1324">
                  <c:v>125</c:v>
                </c:pt>
                <c:pt idx="1325">
                  <c:v>136</c:v>
                </c:pt>
                <c:pt idx="1326">
                  <c:v>100</c:v>
                </c:pt>
                <c:pt idx="1327">
                  <c:v>101</c:v>
                </c:pt>
                <c:pt idx="1328">
                  <c:v>84</c:v>
                </c:pt>
                <c:pt idx="1329">
                  <c:v>30</c:v>
                </c:pt>
                <c:pt idx="1330">
                  <c:v>136</c:v>
                </c:pt>
                <c:pt idx="1331">
                  <c:v>122</c:v>
                </c:pt>
                <c:pt idx="1332">
                  <c:v>114</c:v>
                </c:pt>
                <c:pt idx="1333">
                  <c:v>118</c:v>
                </c:pt>
                <c:pt idx="1334">
                  <c:v>105</c:v>
                </c:pt>
                <c:pt idx="1335">
                  <c:v>186</c:v>
                </c:pt>
                <c:pt idx="1336">
                  <c:v>134</c:v>
                </c:pt>
                <c:pt idx="1337">
                  <c:v>94</c:v>
                </c:pt>
                <c:pt idx="1338">
                  <c:v>123</c:v>
                </c:pt>
                <c:pt idx="1339">
                  <c:v>167</c:v>
                </c:pt>
                <c:pt idx="1340">
                  <c:v>135</c:v>
                </c:pt>
                <c:pt idx="1341">
                  <c:v>45</c:v>
                </c:pt>
                <c:pt idx="1342">
                  <c:v>111</c:v>
                </c:pt>
                <c:pt idx="1343">
                  <c:v>119</c:v>
                </c:pt>
                <c:pt idx="1344">
                  <c:v>95</c:v>
                </c:pt>
                <c:pt idx="1345">
                  <c:v>115</c:v>
                </c:pt>
                <c:pt idx="1346">
                  <c:v>112</c:v>
                </c:pt>
                <c:pt idx="1347">
                  <c:v>105</c:v>
                </c:pt>
                <c:pt idx="1348">
                  <c:v>95</c:v>
                </c:pt>
                <c:pt idx="1349">
                  <c:v>115</c:v>
                </c:pt>
                <c:pt idx="1350">
                  <c:v>113</c:v>
                </c:pt>
                <c:pt idx="1351">
                  <c:v>138</c:v>
                </c:pt>
                <c:pt idx="1352">
                  <c:v>98</c:v>
                </c:pt>
                <c:pt idx="1353">
                  <c:v>90</c:v>
                </c:pt>
                <c:pt idx="1354">
                  <c:v>95</c:v>
                </c:pt>
                <c:pt idx="1355">
                  <c:v>92</c:v>
                </c:pt>
                <c:pt idx="1356">
                  <c:v>110</c:v>
                </c:pt>
                <c:pt idx="1357">
                  <c:v>90</c:v>
                </c:pt>
                <c:pt idx="1358">
                  <c:v>85</c:v>
                </c:pt>
                <c:pt idx="1359">
                  <c:v>140</c:v>
                </c:pt>
                <c:pt idx="1360">
                  <c:v>90</c:v>
                </c:pt>
                <c:pt idx="1361">
                  <c:v>120</c:v>
                </c:pt>
                <c:pt idx="1362">
                  <c:v>105</c:v>
                </c:pt>
                <c:pt idx="1363">
                  <c:v>83</c:v>
                </c:pt>
                <c:pt idx="1364">
                  <c:v>94</c:v>
                </c:pt>
                <c:pt idx="1365">
                  <c:v>91</c:v>
                </c:pt>
                <c:pt idx="1366">
                  <c:v>84</c:v>
                </c:pt>
                <c:pt idx="1367">
                  <c:v>112</c:v>
                </c:pt>
                <c:pt idx="1368">
                  <c:v>214</c:v>
                </c:pt>
                <c:pt idx="1369">
                  <c:v>88</c:v>
                </c:pt>
                <c:pt idx="1370">
                  <c:v>133</c:v>
                </c:pt>
                <c:pt idx="1371">
                  <c:v>145</c:v>
                </c:pt>
                <c:pt idx="1372">
                  <c:v>137</c:v>
                </c:pt>
                <c:pt idx="1373">
                  <c:v>86</c:v>
                </c:pt>
                <c:pt idx="1374">
                  <c:v>127</c:v>
                </c:pt>
                <c:pt idx="1375">
                  <c:v>126</c:v>
                </c:pt>
                <c:pt idx="1376">
                  <c:v>103</c:v>
                </c:pt>
                <c:pt idx="1377">
                  <c:v>118</c:v>
                </c:pt>
                <c:pt idx="1378">
                  <c:v>93</c:v>
                </c:pt>
                <c:pt idx="1379">
                  <c:v>142</c:v>
                </c:pt>
                <c:pt idx="1380">
                  <c:v>180</c:v>
                </c:pt>
                <c:pt idx="1381">
                  <c:v>100</c:v>
                </c:pt>
                <c:pt idx="1382">
                  <c:v>95</c:v>
                </c:pt>
                <c:pt idx="1383">
                  <c:v>108</c:v>
                </c:pt>
                <c:pt idx="1384">
                  <c:v>109</c:v>
                </c:pt>
                <c:pt idx="1385">
                  <c:v>88</c:v>
                </c:pt>
                <c:pt idx="1386">
                  <c:v>97</c:v>
                </c:pt>
                <c:pt idx="1387">
                  <c:v>110</c:v>
                </c:pt>
                <c:pt idx="1388">
                  <c:v>100</c:v>
                </c:pt>
                <c:pt idx="1389">
                  <c:v>117</c:v>
                </c:pt>
                <c:pt idx="1390">
                  <c:v>100</c:v>
                </c:pt>
                <c:pt idx="1391">
                  <c:v>86</c:v>
                </c:pt>
                <c:pt idx="1392">
                  <c:v>87</c:v>
                </c:pt>
                <c:pt idx="1393">
                  <c:v>90</c:v>
                </c:pt>
                <c:pt idx="1394">
                  <c:v>93</c:v>
                </c:pt>
                <c:pt idx="1395">
                  <c:v>90</c:v>
                </c:pt>
                <c:pt idx="1396">
                  <c:v>97</c:v>
                </c:pt>
                <c:pt idx="1397">
                  <c:v>87</c:v>
                </c:pt>
                <c:pt idx="1398">
                  <c:v>97</c:v>
                </c:pt>
                <c:pt idx="1399">
                  <c:v>93</c:v>
                </c:pt>
                <c:pt idx="1400">
                  <c:v>91</c:v>
                </c:pt>
                <c:pt idx="1401">
                  <c:v>139</c:v>
                </c:pt>
                <c:pt idx="1402">
                  <c:v>94</c:v>
                </c:pt>
                <c:pt idx="1403">
                  <c:v>123</c:v>
                </c:pt>
                <c:pt idx="1404">
                  <c:v>94</c:v>
                </c:pt>
                <c:pt idx="1405">
                  <c:v>103</c:v>
                </c:pt>
                <c:pt idx="1406">
                  <c:v>102</c:v>
                </c:pt>
                <c:pt idx="1407">
                  <c:v>99</c:v>
                </c:pt>
                <c:pt idx="1408">
                  <c:v>116</c:v>
                </c:pt>
                <c:pt idx="1409">
                  <c:v>118</c:v>
                </c:pt>
                <c:pt idx="1410">
                  <c:v>123</c:v>
                </c:pt>
                <c:pt idx="1411">
                  <c:v>85</c:v>
                </c:pt>
                <c:pt idx="1412">
                  <c:v>44</c:v>
                </c:pt>
                <c:pt idx="1413">
                  <c:v>87</c:v>
                </c:pt>
                <c:pt idx="1414">
                  <c:v>91</c:v>
                </c:pt>
                <c:pt idx="1415">
                  <c:v>88</c:v>
                </c:pt>
                <c:pt idx="1416">
                  <c:v>100</c:v>
                </c:pt>
                <c:pt idx="1417">
                  <c:v>92</c:v>
                </c:pt>
                <c:pt idx="1418">
                  <c:v>97</c:v>
                </c:pt>
                <c:pt idx="1419">
                  <c:v>97</c:v>
                </c:pt>
                <c:pt idx="1420">
                  <c:v>109</c:v>
                </c:pt>
                <c:pt idx="1421">
                  <c:v>88</c:v>
                </c:pt>
                <c:pt idx="1422">
                  <c:v>106</c:v>
                </c:pt>
                <c:pt idx="1423">
                  <c:v>92</c:v>
                </c:pt>
                <c:pt idx="1424">
                  <c:v>108</c:v>
                </c:pt>
                <c:pt idx="1425">
                  <c:v>244</c:v>
                </c:pt>
                <c:pt idx="1426">
                  <c:v>118</c:v>
                </c:pt>
                <c:pt idx="1427">
                  <c:v>90</c:v>
                </c:pt>
                <c:pt idx="1428">
                  <c:v>92</c:v>
                </c:pt>
                <c:pt idx="1429">
                  <c:v>115</c:v>
                </c:pt>
                <c:pt idx="1430">
                  <c:v>122</c:v>
                </c:pt>
                <c:pt idx="1431">
                  <c:v>97</c:v>
                </c:pt>
                <c:pt idx="1432">
                  <c:v>102</c:v>
                </c:pt>
                <c:pt idx="1433">
                  <c:v>85</c:v>
                </c:pt>
                <c:pt idx="1434">
                  <c:v>112</c:v>
                </c:pt>
                <c:pt idx="1435">
                  <c:v>134</c:v>
                </c:pt>
                <c:pt idx="1436">
                  <c:v>101</c:v>
                </c:pt>
                <c:pt idx="1437">
                  <c:v>86</c:v>
                </c:pt>
                <c:pt idx="1438">
                  <c:v>90</c:v>
                </c:pt>
                <c:pt idx="1439">
                  <c:v>111</c:v>
                </c:pt>
                <c:pt idx="1440">
                  <c:v>85</c:v>
                </c:pt>
                <c:pt idx="1441">
                  <c:v>153</c:v>
                </c:pt>
                <c:pt idx="1442">
                  <c:v>122</c:v>
                </c:pt>
                <c:pt idx="1443">
                  <c:v>140</c:v>
                </c:pt>
                <c:pt idx="1444">
                  <c:v>92</c:v>
                </c:pt>
                <c:pt idx="1445">
                  <c:v>134</c:v>
                </c:pt>
                <c:pt idx="1446">
                  <c:v>106</c:v>
                </c:pt>
                <c:pt idx="1447">
                  <c:v>125</c:v>
                </c:pt>
                <c:pt idx="1448">
                  <c:v>122</c:v>
                </c:pt>
                <c:pt idx="1449">
                  <c:v>118</c:v>
                </c:pt>
                <c:pt idx="1450">
                  <c:v>99</c:v>
                </c:pt>
                <c:pt idx="1451">
                  <c:v>95</c:v>
                </c:pt>
                <c:pt idx="1452">
                  <c:v>102</c:v>
                </c:pt>
                <c:pt idx="1453">
                  <c:v>95</c:v>
                </c:pt>
                <c:pt idx="1454">
                  <c:v>240</c:v>
                </c:pt>
                <c:pt idx="1455">
                  <c:v>136</c:v>
                </c:pt>
                <c:pt idx="1456">
                  <c:v>216</c:v>
                </c:pt>
                <c:pt idx="1457">
                  <c:v>113</c:v>
                </c:pt>
                <c:pt idx="1458">
                  <c:v>119</c:v>
                </c:pt>
                <c:pt idx="1459">
                  <c:v>102</c:v>
                </c:pt>
                <c:pt idx="1460">
                  <c:v>86</c:v>
                </c:pt>
                <c:pt idx="1461">
                  <c:v>80</c:v>
                </c:pt>
                <c:pt idx="1462">
                  <c:v>106</c:v>
                </c:pt>
                <c:pt idx="1463">
                  <c:v>118</c:v>
                </c:pt>
                <c:pt idx="1464">
                  <c:v>89</c:v>
                </c:pt>
                <c:pt idx="1465">
                  <c:v>93</c:v>
                </c:pt>
                <c:pt idx="1466">
                  <c:v>92</c:v>
                </c:pt>
                <c:pt idx="1467">
                  <c:v>90</c:v>
                </c:pt>
                <c:pt idx="1468">
                  <c:v>113</c:v>
                </c:pt>
                <c:pt idx="1469">
                  <c:v>103</c:v>
                </c:pt>
                <c:pt idx="1470">
                  <c:v>102</c:v>
                </c:pt>
                <c:pt idx="1471">
                  <c:v>107</c:v>
                </c:pt>
                <c:pt idx="1472">
                  <c:v>114</c:v>
                </c:pt>
                <c:pt idx="1473">
                  <c:v>100</c:v>
                </c:pt>
                <c:pt idx="1474">
                  <c:v>120</c:v>
                </c:pt>
                <c:pt idx="1475">
                  <c:v>139</c:v>
                </c:pt>
                <c:pt idx="1476">
                  <c:v>87</c:v>
                </c:pt>
                <c:pt idx="1477">
                  <c:v>60</c:v>
                </c:pt>
                <c:pt idx="1478">
                  <c:v>117</c:v>
                </c:pt>
                <c:pt idx="1479">
                  <c:v>105</c:v>
                </c:pt>
                <c:pt idx="1480">
                  <c:v>110</c:v>
                </c:pt>
                <c:pt idx="1481">
                  <c:v>90</c:v>
                </c:pt>
                <c:pt idx="1482">
                  <c:v>271</c:v>
                </c:pt>
                <c:pt idx="1483">
                  <c:v>88</c:v>
                </c:pt>
                <c:pt idx="1484">
                  <c:v>116</c:v>
                </c:pt>
                <c:pt idx="1485">
                  <c:v>60</c:v>
                </c:pt>
                <c:pt idx="1486">
                  <c:v>123</c:v>
                </c:pt>
                <c:pt idx="1487">
                  <c:v>96</c:v>
                </c:pt>
                <c:pt idx="1488">
                  <c:v>91</c:v>
                </c:pt>
                <c:pt idx="1489">
                  <c:v>102</c:v>
                </c:pt>
                <c:pt idx="1490">
                  <c:v>111</c:v>
                </c:pt>
                <c:pt idx="1491">
                  <c:v>127</c:v>
                </c:pt>
                <c:pt idx="1492">
                  <c:v>232</c:v>
                </c:pt>
                <c:pt idx="1493">
                  <c:v>98</c:v>
                </c:pt>
                <c:pt idx="1494">
                  <c:v>130</c:v>
                </c:pt>
                <c:pt idx="1495">
                  <c:v>121</c:v>
                </c:pt>
                <c:pt idx="1496">
                  <c:v>108</c:v>
                </c:pt>
                <c:pt idx="1497">
                  <c:v>99</c:v>
                </c:pt>
                <c:pt idx="1498">
                  <c:v>100</c:v>
                </c:pt>
                <c:pt idx="1499">
                  <c:v>127</c:v>
                </c:pt>
                <c:pt idx="1500">
                  <c:v>104</c:v>
                </c:pt>
                <c:pt idx="1501">
                  <c:v>90</c:v>
                </c:pt>
                <c:pt idx="1502">
                  <c:v>171</c:v>
                </c:pt>
                <c:pt idx="1503">
                  <c:v>84</c:v>
                </c:pt>
                <c:pt idx="1504">
                  <c:v>100</c:v>
                </c:pt>
                <c:pt idx="1505">
                  <c:v>104</c:v>
                </c:pt>
                <c:pt idx="1506">
                  <c:v>118</c:v>
                </c:pt>
                <c:pt idx="1507">
                  <c:v>244</c:v>
                </c:pt>
                <c:pt idx="1508">
                  <c:v>105</c:v>
                </c:pt>
                <c:pt idx="1509">
                  <c:v>102</c:v>
                </c:pt>
                <c:pt idx="1510">
                  <c:v>118</c:v>
                </c:pt>
                <c:pt idx="1511">
                  <c:v>93</c:v>
                </c:pt>
                <c:pt idx="1512">
                  <c:v>280</c:v>
                </c:pt>
                <c:pt idx="1513">
                  <c:v>105</c:v>
                </c:pt>
                <c:pt idx="1514">
                  <c:v>120</c:v>
                </c:pt>
                <c:pt idx="1515">
                  <c:v>126</c:v>
                </c:pt>
                <c:pt idx="1516">
                  <c:v>102</c:v>
                </c:pt>
                <c:pt idx="1517">
                  <c:v>99</c:v>
                </c:pt>
                <c:pt idx="1518">
                  <c:v>240</c:v>
                </c:pt>
                <c:pt idx="1519">
                  <c:v>102</c:v>
                </c:pt>
                <c:pt idx="1520">
                  <c:v>130</c:v>
                </c:pt>
                <c:pt idx="1521">
                  <c:v>110</c:v>
                </c:pt>
                <c:pt idx="1522">
                  <c:v>55</c:v>
                </c:pt>
                <c:pt idx="1523">
                  <c:v>149</c:v>
                </c:pt>
                <c:pt idx="1524">
                  <c:v>127</c:v>
                </c:pt>
                <c:pt idx="1525">
                  <c:v>226</c:v>
                </c:pt>
                <c:pt idx="1526">
                  <c:v>43</c:v>
                </c:pt>
                <c:pt idx="1527">
                  <c:v>87</c:v>
                </c:pt>
                <c:pt idx="1528">
                  <c:v>121</c:v>
                </c:pt>
                <c:pt idx="1529">
                  <c:v>110</c:v>
                </c:pt>
                <c:pt idx="1530">
                  <c:v>86</c:v>
                </c:pt>
                <c:pt idx="1531">
                  <c:v>84</c:v>
                </c:pt>
                <c:pt idx="1532">
                  <c:v>102</c:v>
                </c:pt>
                <c:pt idx="1533">
                  <c:v>101</c:v>
                </c:pt>
                <c:pt idx="1534">
                  <c:v>121</c:v>
                </c:pt>
                <c:pt idx="1535">
                  <c:v>93</c:v>
                </c:pt>
                <c:pt idx="1536">
                  <c:v>126</c:v>
                </c:pt>
                <c:pt idx="1537">
                  <c:v>92</c:v>
                </c:pt>
                <c:pt idx="1538">
                  <c:v>146</c:v>
                </c:pt>
                <c:pt idx="1539">
                  <c:v>206</c:v>
                </c:pt>
                <c:pt idx="1540">
                  <c:v>96</c:v>
                </c:pt>
                <c:pt idx="1541">
                  <c:v>131</c:v>
                </c:pt>
                <c:pt idx="1542">
                  <c:v>90</c:v>
                </c:pt>
                <c:pt idx="1543">
                  <c:v>98</c:v>
                </c:pt>
                <c:pt idx="1544">
                  <c:v>94</c:v>
                </c:pt>
                <c:pt idx="1545">
                  <c:v>103</c:v>
                </c:pt>
                <c:pt idx="1546">
                  <c:v>102</c:v>
                </c:pt>
                <c:pt idx="1547">
                  <c:v>95</c:v>
                </c:pt>
                <c:pt idx="1548">
                  <c:v>96</c:v>
                </c:pt>
                <c:pt idx="1549">
                  <c:v>116</c:v>
                </c:pt>
                <c:pt idx="1550">
                  <c:v>88</c:v>
                </c:pt>
                <c:pt idx="1551">
                  <c:v>90</c:v>
                </c:pt>
                <c:pt idx="1552">
                  <c:v>92</c:v>
                </c:pt>
                <c:pt idx="1553">
                  <c:v>91</c:v>
                </c:pt>
                <c:pt idx="1554">
                  <c:v>110</c:v>
                </c:pt>
                <c:pt idx="1555">
                  <c:v>123</c:v>
                </c:pt>
                <c:pt idx="1556">
                  <c:v>95</c:v>
                </c:pt>
                <c:pt idx="1557">
                  <c:v>93</c:v>
                </c:pt>
                <c:pt idx="1558">
                  <c:v>115</c:v>
                </c:pt>
                <c:pt idx="1559">
                  <c:v>106</c:v>
                </c:pt>
                <c:pt idx="1560">
                  <c:v>106</c:v>
                </c:pt>
                <c:pt idx="1561">
                  <c:v>125</c:v>
                </c:pt>
                <c:pt idx="1562">
                  <c:v>90</c:v>
                </c:pt>
                <c:pt idx="1563">
                  <c:v>189</c:v>
                </c:pt>
                <c:pt idx="1564">
                  <c:v>86</c:v>
                </c:pt>
                <c:pt idx="1565">
                  <c:v>107</c:v>
                </c:pt>
                <c:pt idx="1566">
                  <c:v>101</c:v>
                </c:pt>
                <c:pt idx="1567">
                  <c:v>102</c:v>
                </c:pt>
                <c:pt idx="1568">
                  <c:v>101</c:v>
                </c:pt>
                <c:pt idx="1569">
                  <c:v>102</c:v>
                </c:pt>
                <c:pt idx="1570">
                  <c:v>113</c:v>
                </c:pt>
                <c:pt idx="1571">
                  <c:v>121</c:v>
                </c:pt>
                <c:pt idx="1572">
                  <c:v>105</c:v>
                </c:pt>
                <c:pt idx="1573">
                  <c:v>120</c:v>
                </c:pt>
                <c:pt idx="1574">
                  <c:v>85</c:v>
                </c:pt>
                <c:pt idx="1575">
                  <c:v>101</c:v>
                </c:pt>
                <c:pt idx="1576">
                  <c:v>89</c:v>
                </c:pt>
                <c:pt idx="1577">
                  <c:v>93</c:v>
                </c:pt>
                <c:pt idx="1578">
                  <c:v>93</c:v>
                </c:pt>
                <c:pt idx="1579">
                  <c:v>107</c:v>
                </c:pt>
                <c:pt idx="1580">
                  <c:v>106</c:v>
                </c:pt>
                <c:pt idx="1581">
                  <c:v>117</c:v>
                </c:pt>
                <c:pt idx="1582">
                  <c:v>82</c:v>
                </c:pt>
                <c:pt idx="1583">
                  <c:v>106</c:v>
                </c:pt>
                <c:pt idx="1584">
                  <c:v>98</c:v>
                </c:pt>
                <c:pt idx="1585">
                  <c:v>111</c:v>
                </c:pt>
                <c:pt idx="1586">
                  <c:v>88</c:v>
                </c:pt>
                <c:pt idx="1587">
                  <c:v>96</c:v>
                </c:pt>
                <c:pt idx="1588">
                  <c:v>238</c:v>
                </c:pt>
                <c:pt idx="1589">
                  <c:v>98</c:v>
                </c:pt>
                <c:pt idx="1590">
                  <c:v>303</c:v>
                </c:pt>
                <c:pt idx="1591">
                  <c:v>94</c:v>
                </c:pt>
                <c:pt idx="1592">
                  <c:v>93</c:v>
                </c:pt>
                <c:pt idx="1593">
                  <c:v>92</c:v>
                </c:pt>
                <c:pt idx="1594">
                  <c:v>300</c:v>
                </c:pt>
                <c:pt idx="1595">
                  <c:v>102</c:v>
                </c:pt>
                <c:pt idx="1596">
                  <c:v>105</c:v>
                </c:pt>
                <c:pt idx="1597">
                  <c:v>114</c:v>
                </c:pt>
                <c:pt idx="1598">
                  <c:v>94</c:v>
                </c:pt>
                <c:pt idx="1599">
                  <c:v>111</c:v>
                </c:pt>
                <c:pt idx="1600">
                  <c:v>102</c:v>
                </c:pt>
                <c:pt idx="1601">
                  <c:v>131</c:v>
                </c:pt>
                <c:pt idx="1602">
                  <c:v>44</c:v>
                </c:pt>
                <c:pt idx="1603">
                  <c:v>86</c:v>
                </c:pt>
                <c:pt idx="1604">
                  <c:v>98</c:v>
                </c:pt>
                <c:pt idx="1605">
                  <c:v>75</c:v>
                </c:pt>
                <c:pt idx="1606">
                  <c:v>134</c:v>
                </c:pt>
                <c:pt idx="1607">
                  <c:v>82</c:v>
                </c:pt>
                <c:pt idx="1608">
                  <c:v>100</c:v>
                </c:pt>
                <c:pt idx="1609">
                  <c:v>108</c:v>
                </c:pt>
                <c:pt idx="1610">
                  <c:v>92</c:v>
                </c:pt>
                <c:pt idx="1611">
                  <c:v>58</c:v>
                </c:pt>
                <c:pt idx="1612">
                  <c:v>98</c:v>
                </c:pt>
                <c:pt idx="1613">
                  <c:v>104</c:v>
                </c:pt>
                <c:pt idx="1614">
                  <c:v>97</c:v>
                </c:pt>
                <c:pt idx="1615">
                  <c:v>177</c:v>
                </c:pt>
                <c:pt idx="1616">
                  <c:v>106</c:v>
                </c:pt>
                <c:pt idx="1617">
                  <c:v>112</c:v>
                </c:pt>
                <c:pt idx="1618">
                  <c:v>98</c:v>
                </c:pt>
                <c:pt idx="1619">
                  <c:v>115</c:v>
                </c:pt>
                <c:pt idx="1620">
                  <c:v>102</c:v>
                </c:pt>
                <c:pt idx="1621">
                  <c:v>88</c:v>
                </c:pt>
                <c:pt idx="1622">
                  <c:v>121</c:v>
                </c:pt>
                <c:pt idx="1623">
                  <c:v>100</c:v>
                </c:pt>
                <c:pt idx="1624">
                  <c:v>95</c:v>
                </c:pt>
                <c:pt idx="1625">
                  <c:v>97</c:v>
                </c:pt>
                <c:pt idx="1626">
                  <c:v>174</c:v>
                </c:pt>
                <c:pt idx="1629">
                  <c:v>157</c:v>
                </c:pt>
                <c:pt idx="1630">
                  <c:v>153</c:v>
                </c:pt>
                <c:pt idx="1631">
                  <c:v>138</c:v>
                </c:pt>
                <c:pt idx="1632">
                  <c:v>142</c:v>
                </c:pt>
                <c:pt idx="1633">
                  <c:v>159</c:v>
                </c:pt>
                <c:pt idx="1634">
                  <c:v>116</c:v>
                </c:pt>
                <c:pt idx="1635">
                  <c:v>125</c:v>
                </c:pt>
                <c:pt idx="1636">
                  <c:v>99</c:v>
                </c:pt>
                <c:pt idx="1637">
                  <c:v>93</c:v>
                </c:pt>
                <c:pt idx="1638">
                  <c:v>84</c:v>
                </c:pt>
                <c:pt idx="1639">
                  <c:v>93</c:v>
                </c:pt>
                <c:pt idx="1640">
                  <c:v>93</c:v>
                </c:pt>
                <c:pt idx="1641">
                  <c:v>136</c:v>
                </c:pt>
                <c:pt idx="1642">
                  <c:v>95</c:v>
                </c:pt>
                <c:pt idx="1643">
                  <c:v>86</c:v>
                </c:pt>
                <c:pt idx="1644">
                  <c:v>100</c:v>
                </c:pt>
                <c:pt idx="1645">
                  <c:v>78</c:v>
                </c:pt>
                <c:pt idx="1646">
                  <c:v>123</c:v>
                </c:pt>
                <c:pt idx="1647">
                  <c:v>101</c:v>
                </c:pt>
                <c:pt idx="1648">
                  <c:v>99</c:v>
                </c:pt>
                <c:pt idx="1649">
                  <c:v>108</c:v>
                </c:pt>
                <c:pt idx="1650">
                  <c:v>325</c:v>
                </c:pt>
                <c:pt idx="1651">
                  <c:v>90</c:v>
                </c:pt>
                <c:pt idx="1652">
                  <c:v>95</c:v>
                </c:pt>
                <c:pt idx="1653">
                  <c:v>186</c:v>
                </c:pt>
                <c:pt idx="1654">
                  <c:v>89</c:v>
                </c:pt>
                <c:pt idx="1655">
                  <c:v>105</c:v>
                </c:pt>
                <c:pt idx="1656">
                  <c:v>120</c:v>
                </c:pt>
                <c:pt idx="1657">
                  <c:v>132</c:v>
                </c:pt>
                <c:pt idx="1658">
                  <c:v>86</c:v>
                </c:pt>
                <c:pt idx="1659">
                  <c:v>96</c:v>
                </c:pt>
                <c:pt idx="1660">
                  <c:v>67</c:v>
                </c:pt>
                <c:pt idx="1661">
                  <c:v>137</c:v>
                </c:pt>
                <c:pt idx="1662">
                  <c:v>89</c:v>
                </c:pt>
                <c:pt idx="1663">
                  <c:v>126</c:v>
                </c:pt>
                <c:pt idx="1664">
                  <c:v>101</c:v>
                </c:pt>
                <c:pt idx="1665">
                  <c:v>202</c:v>
                </c:pt>
                <c:pt idx="1666">
                  <c:v>105</c:v>
                </c:pt>
                <c:pt idx="1667">
                  <c:v>96</c:v>
                </c:pt>
                <c:pt idx="1668">
                  <c:v>129</c:v>
                </c:pt>
                <c:pt idx="1669">
                  <c:v>160</c:v>
                </c:pt>
                <c:pt idx="1670">
                  <c:v>98</c:v>
                </c:pt>
                <c:pt idx="1671">
                  <c:v>60</c:v>
                </c:pt>
                <c:pt idx="1672">
                  <c:v>129</c:v>
                </c:pt>
                <c:pt idx="1673">
                  <c:v>106</c:v>
                </c:pt>
                <c:pt idx="1674">
                  <c:v>76</c:v>
                </c:pt>
                <c:pt idx="1675">
                  <c:v>136</c:v>
                </c:pt>
                <c:pt idx="1676">
                  <c:v>96</c:v>
                </c:pt>
                <c:pt idx="1677">
                  <c:v>101</c:v>
                </c:pt>
                <c:pt idx="1678">
                  <c:v>94</c:v>
                </c:pt>
                <c:pt idx="1679">
                  <c:v>115</c:v>
                </c:pt>
                <c:pt idx="1680">
                  <c:v>113</c:v>
                </c:pt>
                <c:pt idx="1681">
                  <c:v>86</c:v>
                </c:pt>
                <c:pt idx="1682">
                  <c:v>85</c:v>
                </c:pt>
                <c:pt idx="1683">
                  <c:v>105</c:v>
                </c:pt>
                <c:pt idx="1684">
                  <c:v>87</c:v>
                </c:pt>
                <c:pt idx="1685">
                  <c:v>111</c:v>
                </c:pt>
                <c:pt idx="1686">
                  <c:v>112</c:v>
                </c:pt>
                <c:pt idx="1687">
                  <c:v>98</c:v>
                </c:pt>
                <c:pt idx="1688">
                  <c:v>89</c:v>
                </c:pt>
                <c:pt idx="1689">
                  <c:v>109</c:v>
                </c:pt>
                <c:pt idx="1690">
                  <c:v>110</c:v>
                </c:pt>
                <c:pt idx="1691">
                  <c:v>101</c:v>
                </c:pt>
                <c:pt idx="1692">
                  <c:v>99</c:v>
                </c:pt>
                <c:pt idx="1693">
                  <c:v>97</c:v>
                </c:pt>
                <c:pt idx="1694">
                  <c:v>184</c:v>
                </c:pt>
                <c:pt idx="1695">
                  <c:v>100</c:v>
                </c:pt>
                <c:pt idx="1696">
                  <c:v>60</c:v>
                </c:pt>
                <c:pt idx="1697">
                  <c:v>118</c:v>
                </c:pt>
                <c:pt idx="1698">
                  <c:v>94</c:v>
                </c:pt>
                <c:pt idx="1699">
                  <c:v>96</c:v>
                </c:pt>
                <c:pt idx="1700">
                  <c:v>86</c:v>
                </c:pt>
                <c:pt idx="1701">
                  <c:v>96</c:v>
                </c:pt>
                <c:pt idx="1702">
                  <c:v>140</c:v>
                </c:pt>
                <c:pt idx="1703">
                  <c:v>117</c:v>
                </c:pt>
                <c:pt idx="1704">
                  <c:v>119</c:v>
                </c:pt>
                <c:pt idx="1705">
                  <c:v>112</c:v>
                </c:pt>
                <c:pt idx="1706">
                  <c:v>116</c:v>
                </c:pt>
                <c:pt idx="1707">
                  <c:v>81</c:v>
                </c:pt>
                <c:pt idx="1708">
                  <c:v>114</c:v>
                </c:pt>
                <c:pt idx="1709">
                  <c:v>115</c:v>
                </c:pt>
                <c:pt idx="1710">
                  <c:v>120</c:v>
                </c:pt>
                <c:pt idx="1711">
                  <c:v>103</c:v>
                </c:pt>
                <c:pt idx="1712">
                  <c:v>103</c:v>
                </c:pt>
                <c:pt idx="1713">
                  <c:v>91</c:v>
                </c:pt>
                <c:pt idx="1714">
                  <c:v>22</c:v>
                </c:pt>
                <c:pt idx="1715">
                  <c:v>76</c:v>
                </c:pt>
                <c:pt idx="1716">
                  <c:v>113</c:v>
                </c:pt>
                <c:pt idx="1717">
                  <c:v>282</c:v>
                </c:pt>
                <c:pt idx="1718">
                  <c:v>100</c:v>
                </c:pt>
                <c:pt idx="1719">
                  <c:v>94</c:v>
                </c:pt>
                <c:pt idx="1720">
                  <c:v>86</c:v>
                </c:pt>
                <c:pt idx="1721">
                  <c:v>80</c:v>
                </c:pt>
                <c:pt idx="1722">
                  <c:v>142</c:v>
                </c:pt>
                <c:pt idx="1723">
                  <c:v>170</c:v>
                </c:pt>
                <c:pt idx="1724">
                  <c:v>91</c:v>
                </c:pt>
                <c:pt idx="1725">
                  <c:v>95</c:v>
                </c:pt>
                <c:pt idx="1726">
                  <c:v>114</c:v>
                </c:pt>
                <c:pt idx="1727">
                  <c:v>100</c:v>
                </c:pt>
                <c:pt idx="1728">
                  <c:v>116</c:v>
                </c:pt>
                <c:pt idx="1729">
                  <c:v>106</c:v>
                </c:pt>
                <c:pt idx="1730">
                  <c:v>108</c:v>
                </c:pt>
                <c:pt idx="1731">
                  <c:v>113</c:v>
                </c:pt>
                <c:pt idx="1732">
                  <c:v>93</c:v>
                </c:pt>
                <c:pt idx="1733">
                  <c:v>94</c:v>
                </c:pt>
                <c:pt idx="1734">
                  <c:v>121</c:v>
                </c:pt>
                <c:pt idx="1735">
                  <c:v>87</c:v>
                </c:pt>
                <c:pt idx="1736">
                  <c:v>88</c:v>
                </c:pt>
                <c:pt idx="1737">
                  <c:v>99</c:v>
                </c:pt>
                <c:pt idx="1738">
                  <c:v>101</c:v>
                </c:pt>
                <c:pt idx="1739">
                  <c:v>100</c:v>
                </c:pt>
                <c:pt idx="1740">
                  <c:v>121</c:v>
                </c:pt>
                <c:pt idx="1741">
                  <c:v>89</c:v>
                </c:pt>
                <c:pt idx="1742">
                  <c:v>91</c:v>
                </c:pt>
                <c:pt idx="1743">
                  <c:v>91</c:v>
                </c:pt>
                <c:pt idx="1744">
                  <c:v>101</c:v>
                </c:pt>
                <c:pt idx="1745">
                  <c:v>105</c:v>
                </c:pt>
                <c:pt idx="1746">
                  <c:v>96</c:v>
                </c:pt>
                <c:pt idx="1747">
                  <c:v>119</c:v>
                </c:pt>
                <c:pt idx="1748">
                  <c:v>126</c:v>
                </c:pt>
                <c:pt idx="1749">
                  <c:v>115</c:v>
                </c:pt>
                <c:pt idx="1750">
                  <c:v>216</c:v>
                </c:pt>
                <c:pt idx="1751">
                  <c:v>93</c:v>
                </c:pt>
                <c:pt idx="1752">
                  <c:v>94</c:v>
                </c:pt>
                <c:pt idx="1753">
                  <c:v>107</c:v>
                </c:pt>
                <c:pt idx="1754">
                  <c:v>144</c:v>
                </c:pt>
                <c:pt idx="1755">
                  <c:v>121</c:v>
                </c:pt>
                <c:pt idx="1756">
                  <c:v>118</c:v>
                </c:pt>
                <c:pt idx="1757">
                  <c:v>93</c:v>
                </c:pt>
                <c:pt idx="1758">
                  <c:v>94</c:v>
                </c:pt>
                <c:pt idx="1759">
                  <c:v>124</c:v>
                </c:pt>
                <c:pt idx="1760">
                  <c:v>110</c:v>
                </c:pt>
                <c:pt idx="1761">
                  <c:v>93</c:v>
                </c:pt>
                <c:pt idx="1762">
                  <c:v>110</c:v>
                </c:pt>
                <c:pt idx="1763">
                  <c:v>101</c:v>
                </c:pt>
                <c:pt idx="1764">
                  <c:v>84</c:v>
                </c:pt>
                <c:pt idx="1765">
                  <c:v>116</c:v>
                </c:pt>
                <c:pt idx="1766">
                  <c:v>110</c:v>
                </c:pt>
                <c:pt idx="1767">
                  <c:v>102</c:v>
                </c:pt>
                <c:pt idx="1768">
                  <c:v>98</c:v>
                </c:pt>
                <c:pt idx="1769">
                  <c:v>110</c:v>
                </c:pt>
                <c:pt idx="1770">
                  <c:v>140</c:v>
                </c:pt>
                <c:pt idx="1771">
                  <c:v>119</c:v>
                </c:pt>
                <c:pt idx="1772">
                  <c:v>112</c:v>
                </c:pt>
                <c:pt idx="1773">
                  <c:v>100</c:v>
                </c:pt>
                <c:pt idx="1774">
                  <c:v>126</c:v>
                </c:pt>
                <c:pt idx="1775">
                  <c:v>138</c:v>
                </c:pt>
                <c:pt idx="1777">
                  <c:v>99</c:v>
                </c:pt>
                <c:pt idx="1778">
                  <c:v>86</c:v>
                </c:pt>
                <c:pt idx="1779">
                  <c:v>116</c:v>
                </c:pt>
                <c:pt idx="1780">
                  <c:v>104</c:v>
                </c:pt>
                <c:pt idx="1781">
                  <c:v>120</c:v>
                </c:pt>
                <c:pt idx="1782">
                  <c:v>109</c:v>
                </c:pt>
                <c:pt idx="1783">
                  <c:v>132</c:v>
                </c:pt>
                <c:pt idx="1784">
                  <c:v>92</c:v>
                </c:pt>
                <c:pt idx="1785">
                  <c:v>113</c:v>
                </c:pt>
                <c:pt idx="1786">
                  <c:v>114</c:v>
                </c:pt>
                <c:pt idx="1787">
                  <c:v>89</c:v>
                </c:pt>
                <c:pt idx="1788">
                  <c:v>114</c:v>
                </c:pt>
                <c:pt idx="1789">
                  <c:v>93</c:v>
                </c:pt>
                <c:pt idx="1790">
                  <c:v>107</c:v>
                </c:pt>
                <c:pt idx="1791">
                  <c:v>105</c:v>
                </c:pt>
                <c:pt idx="1792">
                  <c:v>99</c:v>
                </c:pt>
                <c:pt idx="1793">
                  <c:v>102</c:v>
                </c:pt>
                <c:pt idx="1794">
                  <c:v>102</c:v>
                </c:pt>
                <c:pt idx="1795">
                  <c:v>86</c:v>
                </c:pt>
                <c:pt idx="1796">
                  <c:v>105</c:v>
                </c:pt>
                <c:pt idx="1797">
                  <c:v>111</c:v>
                </c:pt>
                <c:pt idx="1798">
                  <c:v>75</c:v>
                </c:pt>
                <c:pt idx="1799">
                  <c:v>106</c:v>
                </c:pt>
                <c:pt idx="1800">
                  <c:v>113</c:v>
                </c:pt>
                <c:pt idx="1801">
                  <c:v>105</c:v>
                </c:pt>
                <c:pt idx="1802">
                  <c:v>97</c:v>
                </c:pt>
                <c:pt idx="1803">
                  <c:v>100</c:v>
                </c:pt>
                <c:pt idx="1804">
                  <c:v>94</c:v>
                </c:pt>
                <c:pt idx="1805">
                  <c:v>80</c:v>
                </c:pt>
                <c:pt idx="1806">
                  <c:v>92</c:v>
                </c:pt>
                <c:pt idx="1807">
                  <c:v>92</c:v>
                </c:pt>
                <c:pt idx="1808">
                  <c:v>115</c:v>
                </c:pt>
                <c:pt idx="1809">
                  <c:v>103</c:v>
                </c:pt>
                <c:pt idx="1810">
                  <c:v>88</c:v>
                </c:pt>
                <c:pt idx="1811">
                  <c:v>94</c:v>
                </c:pt>
                <c:pt idx="1812">
                  <c:v>115</c:v>
                </c:pt>
                <c:pt idx="1813">
                  <c:v>98</c:v>
                </c:pt>
                <c:pt idx="1814">
                  <c:v>82</c:v>
                </c:pt>
                <c:pt idx="1815">
                  <c:v>120</c:v>
                </c:pt>
                <c:pt idx="1816">
                  <c:v>91</c:v>
                </c:pt>
                <c:pt idx="1817">
                  <c:v>84</c:v>
                </c:pt>
                <c:pt idx="1818">
                  <c:v>92</c:v>
                </c:pt>
                <c:pt idx="1819">
                  <c:v>121</c:v>
                </c:pt>
                <c:pt idx="1820">
                  <c:v>107</c:v>
                </c:pt>
                <c:pt idx="1821">
                  <c:v>99</c:v>
                </c:pt>
                <c:pt idx="1822">
                  <c:v>97</c:v>
                </c:pt>
                <c:pt idx="1823">
                  <c:v>119</c:v>
                </c:pt>
                <c:pt idx="1824">
                  <c:v>135</c:v>
                </c:pt>
                <c:pt idx="1825">
                  <c:v>111</c:v>
                </c:pt>
                <c:pt idx="1826">
                  <c:v>90</c:v>
                </c:pt>
                <c:pt idx="1827">
                  <c:v>107</c:v>
                </c:pt>
                <c:pt idx="1828">
                  <c:v>110</c:v>
                </c:pt>
                <c:pt idx="1829">
                  <c:v>90</c:v>
                </c:pt>
                <c:pt idx="1830">
                  <c:v>102</c:v>
                </c:pt>
                <c:pt idx="1831">
                  <c:v>90</c:v>
                </c:pt>
                <c:pt idx="1832">
                  <c:v>107</c:v>
                </c:pt>
                <c:pt idx="1833">
                  <c:v>134</c:v>
                </c:pt>
                <c:pt idx="1834">
                  <c:v>100</c:v>
                </c:pt>
                <c:pt idx="1835">
                  <c:v>109</c:v>
                </c:pt>
                <c:pt idx="1836">
                  <c:v>88</c:v>
                </c:pt>
                <c:pt idx="1837">
                  <c:v>138</c:v>
                </c:pt>
                <c:pt idx="1838">
                  <c:v>97</c:v>
                </c:pt>
                <c:pt idx="1839">
                  <c:v>113</c:v>
                </c:pt>
                <c:pt idx="1840">
                  <c:v>122</c:v>
                </c:pt>
                <c:pt idx="1841">
                  <c:v>60</c:v>
                </c:pt>
                <c:pt idx="1842">
                  <c:v>127</c:v>
                </c:pt>
                <c:pt idx="1843">
                  <c:v>97</c:v>
                </c:pt>
                <c:pt idx="1844">
                  <c:v>156</c:v>
                </c:pt>
                <c:pt idx="1845">
                  <c:v>86</c:v>
                </c:pt>
                <c:pt idx="1846">
                  <c:v>100</c:v>
                </c:pt>
                <c:pt idx="1847">
                  <c:v>121</c:v>
                </c:pt>
                <c:pt idx="1848">
                  <c:v>109</c:v>
                </c:pt>
                <c:pt idx="1849">
                  <c:v>95</c:v>
                </c:pt>
                <c:pt idx="1850">
                  <c:v>139</c:v>
                </c:pt>
                <c:pt idx="1851">
                  <c:v>148</c:v>
                </c:pt>
                <c:pt idx="1852">
                  <c:v>140</c:v>
                </c:pt>
                <c:pt idx="1853">
                  <c:v>94</c:v>
                </c:pt>
                <c:pt idx="1854">
                  <c:v>154</c:v>
                </c:pt>
                <c:pt idx="1855">
                  <c:v>120</c:v>
                </c:pt>
                <c:pt idx="1856">
                  <c:v>90</c:v>
                </c:pt>
                <c:pt idx="1857">
                  <c:v>122</c:v>
                </c:pt>
                <c:pt idx="1858">
                  <c:v>127</c:v>
                </c:pt>
                <c:pt idx="1859">
                  <c:v>118</c:v>
                </c:pt>
                <c:pt idx="1860">
                  <c:v>103</c:v>
                </c:pt>
                <c:pt idx="1861">
                  <c:v>110</c:v>
                </c:pt>
                <c:pt idx="1862">
                  <c:v>93</c:v>
                </c:pt>
                <c:pt idx="1863">
                  <c:v>118</c:v>
                </c:pt>
                <c:pt idx="1864">
                  <c:v>153</c:v>
                </c:pt>
                <c:pt idx="1865">
                  <c:v>148</c:v>
                </c:pt>
                <c:pt idx="1866">
                  <c:v>107</c:v>
                </c:pt>
                <c:pt idx="1867">
                  <c:v>106</c:v>
                </c:pt>
                <c:pt idx="1868">
                  <c:v>89</c:v>
                </c:pt>
                <c:pt idx="1869">
                  <c:v>105</c:v>
                </c:pt>
                <c:pt idx="1870">
                  <c:v>104</c:v>
                </c:pt>
                <c:pt idx="1871">
                  <c:v>129</c:v>
                </c:pt>
                <c:pt idx="1872">
                  <c:v>95</c:v>
                </c:pt>
                <c:pt idx="1873">
                  <c:v>103</c:v>
                </c:pt>
                <c:pt idx="1874">
                  <c:v>106</c:v>
                </c:pt>
                <c:pt idx="1875">
                  <c:v>97</c:v>
                </c:pt>
                <c:pt idx="1876">
                  <c:v>127</c:v>
                </c:pt>
                <c:pt idx="1877">
                  <c:v>118</c:v>
                </c:pt>
                <c:pt idx="1878">
                  <c:v>110</c:v>
                </c:pt>
                <c:pt idx="1879">
                  <c:v>126</c:v>
                </c:pt>
                <c:pt idx="1880">
                  <c:v>115</c:v>
                </c:pt>
                <c:pt idx="1881">
                  <c:v>119</c:v>
                </c:pt>
                <c:pt idx="1882">
                  <c:v>169</c:v>
                </c:pt>
                <c:pt idx="1883">
                  <c:v>88</c:v>
                </c:pt>
                <c:pt idx="1884">
                  <c:v>123</c:v>
                </c:pt>
                <c:pt idx="1885">
                  <c:v>110</c:v>
                </c:pt>
                <c:pt idx="1886">
                  <c:v>94</c:v>
                </c:pt>
                <c:pt idx="1887">
                  <c:v>89</c:v>
                </c:pt>
                <c:pt idx="1888">
                  <c:v>148</c:v>
                </c:pt>
                <c:pt idx="1889">
                  <c:v>125</c:v>
                </c:pt>
                <c:pt idx="1890">
                  <c:v>100</c:v>
                </c:pt>
                <c:pt idx="1891">
                  <c:v>123</c:v>
                </c:pt>
                <c:pt idx="1892">
                  <c:v>100</c:v>
                </c:pt>
                <c:pt idx="1893">
                  <c:v>107</c:v>
                </c:pt>
                <c:pt idx="1894">
                  <c:v>134</c:v>
                </c:pt>
                <c:pt idx="1895">
                  <c:v>105</c:v>
                </c:pt>
                <c:pt idx="1896">
                  <c:v>101</c:v>
                </c:pt>
                <c:pt idx="1897">
                  <c:v>75</c:v>
                </c:pt>
                <c:pt idx="1898">
                  <c:v>91</c:v>
                </c:pt>
                <c:pt idx="1899">
                  <c:v>124</c:v>
                </c:pt>
                <c:pt idx="1900">
                  <c:v>195</c:v>
                </c:pt>
                <c:pt idx="1901">
                  <c:v>126</c:v>
                </c:pt>
                <c:pt idx="1902">
                  <c:v>121</c:v>
                </c:pt>
                <c:pt idx="1903">
                  <c:v>102</c:v>
                </c:pt>
                <c:pt idx="1904">
                  <c:v>99</c:v>
                </c:pt>
                <c:pt idx="1905">
                  <c:v>107</c:v>
                </c:pt>
                <c:pt idx="1906">
                  <c:v>95</c:v>
                </c:pt>
                <c:pt idx="1907">
                  <c:v>100</c:v>
                </c:pt>
                <c:pt idx="1908">
                  <c:v>65</c:v>
                </c:pt>
                <c:pt idx="1909">
                  <c:v>197</c:v>
                </c:pt>
                <c:pt idx="1910">
                  <c:v>100</c:v>
                </c:pt>
                <c:pt idx="1911">
                  <c:v>118</c:v>
                </c:pt>
                <c:pt idx="1912">
                  <c:v>90</c:v>
                </c:pt>
                <c:pt idx="1913">
                  <c:v>22</c:v>
                </c:pt>
                <c:pt idx="1914">
                  <c:v>120</c:v>
                </c:pt>
                <c:pt idx="1915">
                  <c:v>101</c:v>
                </c:pt>
                <c:pt idx="1916">
                  <c:v>137</c:v>
                </c:pt>
                <c:pt idx="1917">
                  <c:v>176</c:v>
                </c:pt>
                <c:pt idx="1918">
                  <c:v>91</c:v>
                </c:pt>
                <c:pt idx="1919">
                  <c:v>90</c:v>
                </c:pt>
                <c:pt idx="1920">
                  <c:v>260</c:v>
                </c:pt>
                <c:pt idx="1921">
                  <c:v>105</c:v>
                </c:pt>
                <c:pt idx="1922">
                  <c:v>114</c:v>
                </c:pt>
                <c:pt idx="1923">
                  <c:v>101</c:v>
                </c:pt>
                <c:pt idx="1924">
                  <c:v>92</c:v>
                </c:pt>
                <c:pt idx="1925">
                  <c:v>87</c:v>
                </c:pt>
                <c:pt idx="1926">
                  <c:v>154</c:v>
                </c:pt>
                <c:pt idx="1927">
                  <c:v>107</c:v>
                </c:pt>
                <c:pt idx="1928">
                  <c:v>120</c:v>
                </c:pt>
                <c:pt idx="1929">
                  <c:v>98</c:v>
                </c:pt>
                <c:pt idx="1930">
                  <c:v>125</c:v>
                </c:pt>
                <c:pt idx="1931">
                  <c:v>123</c:v>
                </c:pt>
                <c:pt idx="1932">
                  <c:v>91</c:v>
                </c:pt>
                <c:pt idx="1933">
                  <c:v>86</c:v>
                </c:pt>
                <c:pt idx="1934">
                  <c:v>85</c:v>
                </c:pt>
                <c:pt idx="1935">
                  <c:v>87</c:v>
                </c:pt>
                <c:pt idx="1936">
                  <c:v>131</c:v>
                </c:pt>
                <c:pt idx="1937">
                  <c:v>130</c:v>
                </c:pt>
                <c:pt idx="1938">
                  <c:v>92</c:v>
                </c:pt>
                <c:pt idx="1939">
                  <c:v>104</c:v>
                </c:pt>
                <c:pt idx="1940">
                  <c:v>104</c:v>
                </c:pt>
                <c:pt idx="1941">
                  <c:v>90</c:v>
                </c:pt>
                <c:pt idx="1942">
                  <c:v>83</c:v>
                </c:pt>
                <c:pt idx="1943">
                  <c:v>139</c:v>
                </c:pt>
                <c:pt idx="1944">
                  <c:v>87</c:v>
                </c:pt>
                <c:pt idx="1945">
                  <c:v>107</c:v>
                </c:pt>
                <c:pt idx="1946">
                  <c:v>139</c:v>
                </c:pt>
                <c:pt idx="1947">
                  <c:v>134</c:v>
                </c:pt>
                <c:pt idx="1948">
                  <c:v>102</c:v>
                </c:pt>
                <c:pt idx="1949">
                  <c:v>30</c:v>
                </c:pt>
                <c:pt idx="1950">
                  <c:v>35</c:v>
                </c:pt>
                <c:pt idx="1951">
                  <c:v>107</c:v>
                </c:pt>
                <c:pt idx="1952">
                  <c:v>206</c:v>
                </c:pt>
                <c:pt idx="1953">
                  <c:v>99</c:v>
                </c:pt>
                <c:pt idx="1954">
                  <c:v>82</c:v>
                </c:pt>
                <c:pt idx="1955">
                  <c:v>118</c:v>
                </c:pt>
                <c:pt idx="1956">
                  <c:v>94</c:v>
                </c:pt>
                <c:pt idx="1957">
                  <c:v>91</c:v>
                </c:pt>
                <c:pt idx="1958">
                  <c:v>98</c:v>
                </c:pt>
                <c:pt idx="1959">
                  <c:v>117</c:v>
                </c:pt>
                <c:pt idx="1960">
                  <c:v>132</c:v>
                </c:pt>
                <c:pt idx="1961">
                  <c:v>116</c:v>
                </c:pt>
                <c:pt idx="1962">
                  <c:v>101</c:v>
                </c:pt>
                <c:pt idx="1963">
                  <c:v>87</c:v>
                </c:pt>
                <c:pt idx="1964">
                  <c:v>97</c:v>
                </c:pt>
                <c:pt idx="1965">
                  <c:v>97</c:v>
                </c:pt>
                <c:pt idx="1966">
                  <c:v>81</c:v>
                </c:pt>
                <c:pt idx="1967">
                  <c:v>82</c:v>
                </c:pt>
                <c:pt idx="1968">
                  <c:v>98</c:v>
                </c:pt>
                <c:pt idx="1969">
                  <c:v>94</c:v>
                </c:pt>
                <c:pt idx="1970">
                  <c:v>135</c:v>
                </c:pt>
                <c:pt idx="1971">
                  <c:v>90</c:v>
                </c:pt>
                <c:pt idx="1972">
                  <c:v>93</c:v>
                </c:pt>
                <c:pt idx="1973">
                  <c:v>97</c:v>
                </c:pt>
                <c:pt idx="1974">
                  <c:v>124</c:v>
                </c:pt>
                <c:pt idx="1975">
                  <c:v>116</c:v>
                </c:pt>
                <c:pt idx="1976">
                  <c:v>118</c:v>
                </c:pt>
                <c:pt idx="1977">
                  <c:v>186</c:v>
                </c:pt>
                <c:pt idx="1978">
                  <c:v>117</c:v>
                </c:pt>
                <c:pt idx="1979">
                  <c:v>123</c:v>
                </c:pt>
                <c:pt idx="1980">
                  <c:v>83</c:v>
                </c:pt>
                <c:pt idx="1981">
                  <c:v>88</c:v>
                </c:pt>
                <c:pt idx="1982">
                  <c:v>112</c:v>
                </c:pt>
                <c:pt idx="1983">
                  <c:v>85</c:v>
                </c:pt>
                <c:pt idx="1984">
                  <c:v>192</c:v>
                </c:pt>
                <c:pt idx="1985">
                  <c:v>127</c:v>
                </c:pt>
                <c:pt idx="1986">
                  <c:v>92</c:v>
                </c:pt>
                <c:pt idx="1987">
                  <c:v>127</c:v>
                </c:pt>
                <c:pt idx="1988">
                  <c:v>124</c:v>
                </c:pt>
                <c:pt idx="1989">
                  <c:v>117</c:v>
                </c:pt>
                <c:pt idx="1990">
                  <c:v>95</c:v>
                </c:pt>
                <c:pt idx="1991">
                  <c:v>97</c:v>
                </c:pt>
                <c:pt idx="1992">
                  <c:v>95</c:v>
                </c:pt>
                <c:pt idx="1993">
                  <c:v>103</c:v>
                </c:pt>
                <c:pt idx="1994">
                  <c:v>84</c:v>
                </c:pt>
                <c:pt idx="1995">
                  <c:v>100</c:v>
                </c:pt>
                <c:pt idx="1996">
                  <c:v>115</c:v>
                </c:pt>
                <c:pt idx="1997">
                  <c:v>91</c:v>
                </c:pt>
                <c:pt idx="1998">
                  <c:v>138</c:v>
                </c:pt>
                <c:pt idx="1999">
                  <c:v>193</c:v>
                </c:pt>
                <c:pt idx="2000">
                  <c:v>109</c:v>
                </c:pt>
                <c:pt idx="2001">
                  <c:v>89</c:v>
                </c:pt>
                <c:pt idx="2002">
                  <c:v>116</c:v>
                </c:pt>
                <c:pt idx="2004">
                  <c:v>123</c:v>
                </c:pt>
                <c:pt idx="2005">
                  <c:v>93</c:v>
                </c:pt>
                <c:pt idx="2006">
                  <c:v>100</c:v>
                </c:pt>
                <c:pt idx="2007">
                  <c:v>128</c:v>
                </c:pt>
                <c:pt idx="2008">
                  <c:v>90</c:v>
                </c:pt>
                <c:pt idx="2009">
                  <c:v>89</c:v>
                </c:pt>
                <c:pt idx="2010">
                  <c:v>75</c:v>
                </c:pt>
                <c:pt idx="2011">
                  <c:v>141</c:v>
                </c:pt>
                <c:pt idx="2012">
                  <c:v>85</c:v>
                </c:pt>
                <c:pt idx="2013">
                  <c:v>103</c:v>
                </c:pt>
                <c:pt idx="2014">
                  <c:v>117</c:v>
                </c:pt>
                <c:pt idx="2015">
                  <c:v>90</c:v>
                </c:pt>
                <c:pt idx="2016">
                  <c:v>95</c:v>
                </c:pt>
                <c:pt idx="2017">
                  <c:v>80</c:v>
                </c:pt>
                <c:pt idx="2018">
                  <c:v>91</c:v>
                </c:pt>
                <c:pt idx="2019">
                  <c:v>111</c:v>
                </c:pt>
                <c:pt idx="2020">
                  <c:v>137</c:v>
                </c:pt>
                <c:pt idx="2021">
                  <c:v>95</c:v>
                </c:pt>
                <c:pt idx="2022">
                  <c:v>112</c:v>
                </c:pt>
                <c:pt idx="2023">
                  <c:v>116</c:v>
                </c:pt>
                <c:pt idx="2024">
                  <c:v>98</c:v>
                </c:pt>
                <c:pt idx="2025">
                  <c:v>100</c:v>
                </c:pt>
                <c:pt idx="2026">
                  <c:v>97</c:v>
                </c:pt>
                <c:pt idx="2027">
                  <c:v>99</c:v>
                </c:pt>
                <c:pt idx="2028">
                  <c:v>111</c:v>
                </c:pt>
                <c:pt idx="2029">
                  <c:v>603</c:v>
                </c:pt>
                <c:pt idx="2030">
                  <c:v>194</c:v>
                </c:pt>
                <c:pt idx="2031">
                  <c:v>97</c:v>
                </c:pt>
                <c:pt idx="2032">
                  <c:v>117</c:v>
                </c:pt>
                <c:pt idx="2033">
                  <c:v>95</c:v>
                </c:pt>
                <c:pt idx="2034">
                  <c:v>118</c:v>
                </c:pt>
                <c:pt idx="2035">
                  <c:v>103</c:v>
                </c:pt>
                <c:pt idx="2036">
                  <c:v>101</c:v>
                </c:pt>
                <c:pt idx="2037">
                  <c:v>98</c:v>
                </c:pt>
                <c:pt idx="2038">
                  <c:v>100</c:v>
                </c:pt>
                <c:pt idx="2039">
                  <c:v>115</c:v>
                </c:pt>
                <c:pt idx="2040">
                  <c:v>97</c:v>
                </c:pt>
                <c:pt idx="2041">
                  <c:v>101</c:v>
                </c:pt>
                <c:pt idx="2042">
                  <c:v>90</c:v>
                </c:pt>
                <c:pt idx="2043">
                  <c:v>117</c:v>
                </c:pt>
                <c:pt idx="2044">
                  <c:v>91</c:v>
                </c:pt>
                <c:pt idx="2045">
                  <c:v>92</c:v>
                </c:pt>
                <c:pt idx="2046">
                  <c:v>133</c:v>
                </c:pt>
                <c:pt idx="2047">
                  <c:v>121</c:v>
                </c:pt>
                <c:pt idx="2048">
                  <c:v>120</c:v>
                </c:pt>
                <c:pt idx="2049">
                  <c:v>98</c:v>
                </c:pt>
                <c:pt idx="2050">
                  <c:v>168</c:v>
                </c:pt>
                <c:pt idx="2051">
                  <c:v>116</c:v>
                </c:pt>
                <c:pt idx="2052">
                  <c:v>97</c:v>
                </c:pt>
                <c:pt idx="2053">
                  <c:v>134</c:v>
                </c:pt>
                <c:pt idx="2054">
                  <c:v>99</c:v>
                </c:pt>
                <c:pt idx="2055">
                  <c:v>100</c:v>
                </c:pt>
                <c:pt idx="2056">
                  <c:v>90</c:v>
                </c:pt>
                <c:pt idx="2057">
                  <c:v>95</c:v>
                </c:pt>
                <c:pt idx="2058">
                  <c:v>92</c:v>
                </c:pt>
                <c:pt idx="2059">
                  <c:v>81</c:v>
                </c:pt>
                <c:pt idx="2060">
                  <c:v>100</c:v>
                </c:pt>
                <c:pt idx="2061">
                  <c:v>138</c:v>
                </c:pt>
                <c:pt idx="2062">
                  <c:v>97</c:v>
                </c:pt>
                <c:pt idx="2063">
                  <c:v>108</c:v>
                </c:pt>
                <c:pt idx="2064">
                  <c:v>106</c:v>
                </c:pt>
                <c:pt idx="2065">
                  <c:v>106</c:v>
                </c:pt>
                <c:pt idx="2066">
                  <c:v>111</c:v>
                </c:pt>
                <c:pt idx="2067">
                  <c:v>115</c:v>
                </c:pt>
                <c:pt idx="2068">
                  <c:v>110</c:v>
                </c:pt>
                <c:pt idx="2069">
                  <c:v>118</c:v>
                </c:pt>
                <c:pt idx="2070">
                  <c:v>112</c:v>
                </c:pt>
                <c:pt idx="2071">
                  <c:v>121</c:v>
                </c:pt>
                <c:pt idx="2072">
                  <c:v>144</c:v>
                </c:pt>
                <c:pt idx="2073">
                  <c:v>89</c:v>
                </c:pt>
                <c:pt idx="2074">
                  <c:v>152</c:v>
                </c:pt>
                <c:pt idx="2075">
                  <c:v>82</c:v>
                </c:pt>
                <c:pt idx="2076">
                  <c:v>110</c:v>
                </c:pt>
                <c:pt idx="2077">
                  <c:v>97</c:v>
                </c:pt>
                <c:pt idx="2078">
                  <c:v>102</c:v>
                </c:pt>
                <c:pt idx="2079">
                  <c:v>117</c:v>
                </c:pt>
                <c:pt idx="2080">
                  <c:v>100</c:v>
                </c:pt>
                <c:pt idx="2081">
                  <c:v>98</c:v>
                </c:pt>
                <c:pt idx="2082">
                  <c:v>89</c:v>
                </c:pt>
                <c:pt idx="2083">
                  <c:v>106</c:v>
                </c:pt>
                <c:pt idx="2084">
                  <c:v>130</c:v>
                </c:pt>
                <c:pt idx="2085">
                  <c:v>112</c:v>
                </c:pt>
                <c:pt idx="2086">
                  <c:v>30</c:v>
                </c:pt>
                <c:pt idx="2087">
                  <c:v>109</c:v>
                </c:pt>
                <c:pt idx="2088">
                  <c:v>105</c:v>
                </c:pt>
                <c:pt idx="2089">
                  <c:v>107</c:v>
                </c:pt>
                <c:pt idx="2090">
                  <c:v>111</c:v>
                </c:pt>
                <c:pt idx="2091">
                  <c:v>118</c:v>
                </c:pt>
                <c:pt idx="2092">
                  <c:v>227</c:v>
                </c:pt>
                <c:pt idx="2093">
                  <c:v>90</c:v>
                </c:pt>
                <c:pt idx="2094">
                  <c:v>105</c:v>
                </c:pt>
                <c:pt idx="2095">
                  <c:v>93</c:v>
                </c:pt>
                <c:pt idx="2096">
                  <c:v>100</c:v>
                </c:pt>
                <c:pt idx="2097">
                  <c:v>114</c:v>
                </c:pt>
                <c:pt idx="2098">
                  <c:v>111</c:v>
                </c:pt>
                <c:pt idx="2099">
                  <c:v>132</c:v>
                </c:pt>
                <c:pt idx="2100">
                  <c:v>220</c:v>
                </c:pt>
                <c:pt idx="2101">
                  <c:v>116</c:v>
                </c:pt>
                <c:pt idx="2102">
                  <c:v>95</c:v>
                </c:pt>
                <c:pt idx="2103">
                  <c:v>96</c:v>
                </c:pt>
                <c:pt idx="2104">
                  <c:v>89</c:v>
                </c:pt>
                <c:pt idx="2105">
                  <c:v>101</c:v>
                </c:pt>
                <c:pt idx="2106">
                  <c:v>132</c:v>
                </c:pt>
                <c:pt idx="2107">
                  <c:v>88</c:v>
                </c:pt>
                <c:pt idx="2108">
                  <c:v>133</c:v>
                </c:pt>
                <c:pt idx="2109">
                  <c:v>100</c:v>
                </c:pt>
                <c:pt idx="2110">
                  <c:v>118</c:v>
                </c:pt>
                <c:pt idx="2111">
                  <c:v>158</c:v>
                </c:pt>
                <c:pt idx="2112">
                  <c:v>107</c:v>
                </c:pt>
                <c:pt idx="2113">
                  <c:v>116</c:v>
                </c:pt>
                <c:pt idx="2114">
                  <c:v>121</c:v>
                </c:pt>
                <c:pt idx="2115">
                  <c:v>127</c:v>
                </c:pt>
                <c:pt idx="2116">
                  <c:v>104</c:v>
                </c:pt>
                <c:pt idx="2117">
                  <c:v>90</c:v>
                </c:pt>
                <c:pt idx="2118">
                  <c:v>82</c:v>
                </c:pt>
                <c:pt idx="2119">
                  <c:v>141</c:v>
                </c:pt>
                <c:pt idx="2120">
                  <c:v>110</c:v>
                </c:pt>
                <c:pt idx="2121">
                  <c:v>105</c:v>
                </c:pt>
                <c:pt idx="2122">
                  <c:v>86</c:v>
                </c:pt>
                <c:pt idx="2123">
                  <c:v>133</c:v>
                </c:pt>
                <c:pt idx="2124">
                  <c:v>91</c:v>
                </c:pt>
                <c:pt idx="2125">
                  <c:v>89</c:v>
                </c:pt>
                <c:pt idx="2126">
                  <c:v>125</c:v>
                </c:pt>
                <c:pt idx="2127">
                  <c:v>98</c:v>
                </c:pt>
                <c:pt idx="2128">
                  <c:v>127</c:v>
                </c:pt>
                <c:pt idx="2129">
                  <c:v>103</c:v>
                </c:pt>
                <c:pt idx="2130">
                  <c:v>45</c:v>
                </c:pt>
                <c:pt idx="2131">
                  <c:v>101</c:v>
                </c:pt>
                <c:pt idx="2132">
                  <c:v>90</c:v>
                </c:pt>
                <c:pt idx="2133">
                  <c:v>99</c:v>
                </c:pt>
                <c:pt idx="2134">
                  <c:v>103</c:v>
                </c:pt>
                <c:pt idx="2135">
                  <c:v>81</c:v>
                </c:pt>
                <c:pt idx="2136">
                  <c:v>90</c:v>
                </c:pt>
                <c:pt idx="2137">
                  <c:v>99</c:v>
                </c:pt>
                <c:pt idx="2138">
                  <c:v>85</c:v>
                </c:pt>
                <c:pt idx="2139">
                  <c:v>109</c:v>
                </c:pt>
                <c:pt idx="2140">
                  <c:v>45</c:v>
                </c:pt>
                <c:pt idx="2141">
                  <c:v>126</c:v>
                </c:pt>
                <c:pt idx="2142">
                  <c:v>42</c:v>
                </c:pt>
                <c:pt idx="2143">
                  <c:v>150</c:v>
                </c:pt>
                <c:pt idx="2144">
                  <c:v>156</c:v>
                </c:pt>
                <c:pt idx="2145">
                  <c:v>92</c:v>
                </c:pt>
                <c:pt idx="2146">
                  <c:v>90</c:v>
                </c:pt>
                <c:pt idx="2147">
                  <c:v>100</c:v>
                </c:pt>
                <c:pt idx="2148">
                  <c:v>83</c:v>
                </c:pt>
                <c:pt idx="2149">
                  <c:v>105</c:v>
                </c:pt>
                <c:pt idx="2150">
                  <c:v>106</c:v>
                </c:pt>
                <c:pt idx="2151">
                  <c:v>137</c:v>
                </c:pt>
                <c:pt idx="2152">
                  <c:v>98</c:v>
                </c:pt>
                <c:pt idx="2153">
                  <c:v>101</c:v>
                </c:pt>
                <c:pt idx="2154">
                  <c:v>91</c:v>
                </c:pt>
                <c:pt idx="2155">
                  <c:v>90</c:v>
                </c:pt>
                <c:pt idx="2156">
                  <c:v>102</c:v>
                </c:pt>
                <c:pt idx="2157">
                  <c:v>97</c:v>
                </c:pt>
                <c:pt idx="2158">
                  <c:v>134</c:v>
                </c:pt>
                <c:pt idx="2159">
                  <c:v>115</c:v>
                </c:pt>
                <c:pt idx="2160">
                  <c:v>98</c:v>
                </c:pt>
                <c:pt idx="2161">
                  <c:v>121</c:v>
                </c:pt>
                <c:pt idx="2162">
                  <c:v>129</c:v>
                </c:pt>
                <c:pt idx="2163">
                  <c:v>83</c:v>
                </c:pt>
                <c:pt idx="2164">
                  <c:v>112</c:v>
                </c:pt>
                <c:pt idx="2165">
                  <c:v>100</c:v>
                </c:pt>
                <c:pt idx="2166">
                  <c:v>84</c:v>
                </c:pt>
                <c:pt idx="2167">
                  <c:v>120</c:v>
                </c:pt>
                <c:pt idx="2168">
                  <c:v>95</c:v>
                </c:pt>
                <c:pt idx="2169">
                  <c:v>95</c:v>
                </c:pt>
                <c:pt idx="2170">
                  <c:v>119</c:v>
                </c:pt>
                <c:pt idx="2171">
                  <c:v>97</c:v>
                </c:pt>
                <c:pt idx="2172">
                  <c:v>304</c:v>
                </c:pt>
                <c:pt idx="2173">
                  <c:v>99</c:v>
                </c:pt>
                <c:pt idx="2174">
                  <c:v>85</c:v>
                </c:pt>
                <c:pt idx="2175">
                  <c:v>92</c:v>
                </c:pt>
                <c:pt idx="2176">
                  <c:v>135</c:v>
                </c:pt>
                <c:pt idx="2177">
                  <c:v>121</c:v>
                </c:pt>
                <c:pt idx="2178">
                  <c:v>107</c:v>
                </c:pt>
                <c:pt idx="2179">
                  <c:v>91</c:v>
                </c:pt>
                <c:pt idx="2180">
                  <c:v>91</c:v>
                </c:pt>
                <c:pt idx="2181">
                  <c:v>119</c:v>
                </c:pt>
                <c:pt idx="2182">
                  <c:v>110</c:v>
                </c:pt>
                <c:pt idx="2183">
                  <c:v>122</c:v>
                </c:pt>
                <c:pt idx="2184">
                  <c:v>107</c:v>
                </c:pt>
                <c:pt idx="2185">
                  <c:v>90</c:v>
                </c:pt>
                <c:pt idx="2186">
                  <c:v>98</c:v>
                </c:pt>
                <c:pt idx="2187">
                  <c:v>100</c:v>
                </c:pt>
                <c:pt idx="2188">
                  <c:v>130</c:v>
                </c:pt>
                <c:pt idx="2189">
                  <c:v>101</c:v>
                </c:pt>
                <c:pt idx="2190">
                  <c:v>97</c:v>
                </c:pt>
                <c:pt idx="2191">
                  <c:v>99</c:v>
                </c:pt>
                <c:pt idx="2192">
                  <c:v>124</c:v>
                </c:pt>
                <c:pt idx="2193">
                  <c:v>112</c:v>
                </c:pt>
                <c:pt idx="2194">
                  <c:v>129</c:v>
                </c:pt>
                <c:pt idx="2195">
                  <c:v>93</c:v>
                </c:pt>
                <c:pt idx="2196">
                  <c:v>76</c:v>
                </c:pt>
                <c:pt idx="2197">
                  <c:v>109</c:v>
                </c:pt>
                <c:pt idx="2198">
                  <c:v>139</c:v>
                </c:pt>
                <c:pt idx="2199">
                  <c:v>97</c:v>
                </c:pt>
                <c:pt idx="2200">
                  <c:v>104</c:v>
                </c:pt>
                <c:pt idx="2201">
                  <c:v>88</c:v>
                </c:pt>
                <c:pt idx="2202">
                  <c:v>89</c:v>
                </c:pt>
                <c:pt idx="2203">
                  <c:v>117</c:v>
                </c:pt>
                <c:pt idx="2204">
                  <c:v>94</c:v>
                </c:pt>
                <c:pt idx="2205">
                  <c:v>107</c:v>
                </c:pt>
                <c:pt idx="2206">
                  <c:v>91</c:v>
                </c:pt>
                <c:pt idx="2207">
                  <c:v>90</c:v>
                </c:pt>
                <c:pt idx="2208">
                  <c:v>87</c:v>
                </c:pt>
                <c:pt idx="2209">
                  <c:v>24</c:v>
                </c:pt>
                <c:pt idx="2210">
                  <c:v>76</c:v>
                </c:pt>
                <c:pt idx="2211">
                  <c:v>107</c:v>
                </c:pt>
                <c:pt idx="2212">
                  <c:v>220</c:v>
                </c:pt>
                <c:pt idx="2213">
                  <c:v>105</c:v>
                </c:pt>
                <c:pt idx="2214">
                  <c:v>124</c:v>
                </c:pt>
                <c:pt idx="2215">
                  <c:v>89</c:v>
                </c:pt>
                <c:pt idx="2216">
                  <c:v>100</c:v>
                </c:pt>
                <c:pt idx="2217">
                  <c:v>60</c:v>
                </c:pt>
                <c:pt idx="2218">
                  <c:v>25</c:v>
                </c:pt>
                <c:pt idx="2219">
                  <c:v>95</c:v>
                </c:pt>
                <c:pt idx="2220">
                  <c:v>107</c:v>
                </c:pt>
                <c:pt idx="2221">
                  <c:v>105</c:v>
                </c:pt>
                <c:pt idx="2222">
                  <c:v>96</c:v>
                </c:pt>
                <c:pt idx="2223">
                  <c:v>129</c:v>
                </c:pt>
                <c:pt idx="2224">
                  <c:v>115</c:v>
                </c:pt>
                <c:pt idx="2225">
                  <c:v>105</c:v>
                </c:pt>
                <c:pt idx="2226">
                  <c:v>87</c:v>
                </c:pt>
                <c:pt idx="2227">
                  <c:v>107</c:v>
                </c:pt>
                <c:pt idx="2228">
                  <c:v>93</c:v>
                </c:pt>
                <c:pt idx="2229">
                  <c:v>120</c:v>
                </c:pt>
                <c:pt idx="2230">
                  <c:v>104</c:v>
                </c:pt>
                <c:pt idx="2231">
                  <c:v>134</c:v>
                </c:pt>
                <c:pt idx="2232">
                  <c:v>93</c:v>
                </c:pt>
                <c:pt idx="2233">
                  <c:v>86</c:v>
                </c:pt>
                <c:pt idx="2234">
                  <c:v>89</c:v>
                </c:pt>
                <c:pt idx="2235">
                  <c:v>113</c:v>
                </c:pt>
                <c:pt idx="2236">
                  <c:v>101</c:v>
                </c:pt>
                <c:pt idx="2237">
                  <c:v>95</c:v>
                </c:pt>
                <c:pt idx="2238">
                  <c:v>103</c:v>
                </c:pt>
                <c:pt idx="2239">
                  <c:v>107</c:v>
                </c:pt>
                <c:pt idx="2240">
                  <c:v>114</c:v>
                </c:pt>
                <c:pt idx="2241">
                  <c:v>94</c:v>
                </c:pt>
                <c:pt idx="2242">
                  <c:v>95</c:v>
                </c:pt>
                <c:pt idx="2243">
                  <c:v>115</c:v>
                </c:pt>
                <c:pt idx="2244">
                  <c:v>110</c:v>
                </c:pt>
                <c:pt idx="2245">
                  <c:v>188</c:v>
                </c:pt>
                <c:pt idx="2246">
                  <c:v>105</c:v>
                </c:pt>
                <c:pt idx="2247">
                  <c:v>152</c:v>
                </c:pt>
                <c:pt idx="2248">
                  <c:v>107</c:v>
                </c:pt>
                <c:pt idx="2249">
                  <c:v>202</c:v>
                </c:pt>
                <c:pt idx="2250">
                  <c:v>97</c:v>
                </c:pt>
                <c:pt idx="2251">
                  <c:v>90</c:v>
                </c:pt>
                <c:pt idx="2252">
                  <c:v>86</c:v>
                </c:pt>
                <c:pt idx="2253">
                  <c:v>123</c:v>
                </c:pt>
                <c:pt idx="2254">
                  <c:v>92</c:v>
                </c:pt>
                <c:pt idx="2255">
                  <c:v>100</c:v>
                </c:pt>
                <c:pt idx="2256">
                  <c:v>92</c:v>
                </c:pt>
                <c:pt idx="2257">
                  <c:v>108</c:v>
                </c:pt>
                <c:pt idx="2258">
                  <c:v>143</c:v>
                </c:pt>
                <c:pt idx="2259">
                  <c:v>100</c:v>
                </c:pt>
                <c:pt idx="2260">
                  <c:v>115</c:v>
                </c:pt>
                <c:pt idx="2261">
                  <c:v>102</c:v>
                </c:pt>
                <c:pt idx="2262">
                  <c:v>146</c:v>
                </c:pt>
                <c:pt idx="2263">
                  <c:v>118</c:v>
                </c:pt>
                <c:pt idx="2264">
                  <c:v>90</c:v>
                </c:pt>
                <c:pt idx="2265">
                  <c:v>141</c:v>
                </c:pt>
                <c:pt idx="2266">
                  <c:v>139</c:v>
                </c:pt>
                <c:pt idx="2267">
                  <c:v>89</c:v>
                </c:pt>
                <c:pt idx="2268">
                  <c:v>79</c:v>
                </c:pt>
                <c:pt idx="2269">
                  <c:v>117</c:v>
                </c:pt>
                <c:pt idx="2270">
                  <c:v>80</c:v>
                </c:pt>
                <c:pt idx="2271">
                  <c:v>107</c:v>
                </c:pt>
                <c:pt idx="2272">
                  <c:v>80</c:v>
                </c:pt>
                <c:pt idx="2273">
                  <c:v>186</c:v>
                </c:pt>
                <c:pt idx="2274">
                  <c:v>107</c:v>
                </c:pt>
                <c:pt idx="2275">
                  <c:v>101</c:v>
                </c:pt>
                <c:pt idx="2276">
                  <c:v>123</c:v>
                </c:pt>
                <c:pt idx="2277">
                  <c:v>34</c:v>
                </c:pt>
                <c:pt idx="2278">
                  <c:v>115</c:v>
                </c:pt>
                <c:pt idx="2279">
                  <c:v>87</c:v>
                </c:pt>
                <c:pt idx="2280">
                  <c:v>91</c:v>
                </c:pt>
                <c:pt idx="2281">
                  <c:v>106</c:v>
                </c:pt>
                <c:pt idx="2282">
                  <c:v>88</c:v>
                </c:pt>
                <c:pt idx="2283">
                  <c:v>102</c:v>
                </c:pt>
                <c:pt idx="2284">
                  <c:v>106</c:v>
                </c:pt>
                <c:pt idx="2285">
                  <c:v>113</c:v>
                </c:pt>
                <c:pt idx="2286">
                  <c:v>98</c:v>
                </c:pt>
                <c:pt idx="2287">
                  <c:v>139</c:v>
                </c:pt>
                <c:pt idx="2288">
                  <c:v>108</c:v>
                </c:pt>
                <c:pt idx="2289">
                  <c:v>112</c:v>
                </c:pt>
                <c:pt idx="2290">
                  <c:v>138</c:v>
                </c:pt>
                <c:pt idx="2291">
                  <c:v>119</c:v>
                </c:pt>
                <c:pt idx="2292">
                  <c:v>140</c:v>
                </c:pt>
                <c:pt idx="2293">
                  <c:v>91</c:v>
                </c:pt>
                <c:pt idx="2294">
                  <c:v>103</c:v>
                </c:pt>
                <c:pt idx="2295">
                  <c:v>111</c:v>
                </c:pt>
                <c:pt idx="2296">
                  <c:v>101</c:v>
                </c:pt>
                <c:pt idx="2297">
                  <c:v>93</c:v>
                </c:pt>
                <c:pt idx="2298">
                  <c:v>129</c:v>
                </c:pt>
                <c:pt idx="2299">
                  <c:v>30</c:v>
                </c:pt>
                <c:pt idx="2300">
                  <c:v>107</c:v>
                </c:pt>
                <c:pt idx="2301">
                  <c:v>91</c:v>
                </c:pt>
                <c:pt idx="2302">
                  <c:v>110</c:v>
                </c:pt>
                <c:pt idx="2303">
                  <c:v>93</c:v>
                </c:pt>
                <c:pt idx="2304">
                  <c:v>116</c:v>
                </c:pt>
                <c:pt idx="2305">
                  <c:v>90</c:v>
                </c:pt>
                <c:pt idx="2306">
                  <c:v>97</c:v>
                </c:pt>
                <c:pt idx="2307">
                  <c:v>99</c:v>
                </c:pt>
                <c:pt idx="2308">
                  <c:v>112</c:v>
                </c:pt>
                <c:pt idx="2309">
                  <c:v>106</c:v>
                </c:pt>
                <c:pt idx="2310">
                  <c:v>104</c:v>
                </c:pt>
                <c:pt idx="2311">
                  <c:v>90</c:v>
                </c:pt>
                <c:pt idx="2312">
                  <c:v>178</c:v>
                </c:pt>
                <c:pt idx="2313">
                  <c:v>30</c:v>
                </c:pt>
                <c:pt idx="2314">
                  <c:v>93</c:v>
                </c:pt>
                <c:pt idx="2315">
                  <c:v>106</c:v>
                </c:pt>
                <c:pt idx="2316">
                  <c:v>108</c:v>
                </c:pt>
                <c:pt idx="2317">
                  <c:v>86</c:v>
                </c:pt>
                <c:pt idx="2318">
                  <c:v>99</c:v>
                </c:pt>
                <c:pt idx="2319">
                  <c:v>95</c:v>
                </c:pt>
                <c:pt idx="2320">
                  <c:v>104</c:v>
                </c:pt>
                <c:pt idx="2321">
                  <c:v>130</c:v>
                </c:pt>
                <c:pt idx="2322">
                  <c:v>113</c:v>
                </c:pt>
                <c:pt idx="2323">
                  <c:v>145</c:v>
                </c:pt>
                <c:pt idx="2324">
                  <c:v>99</c:v>
                </c:pt>
                <c:pt idx="2325">
                  <c:v>106</c:v>
                </c:pt>
                <c:pt idx="2326">
                  <c:v>88</c:v>
                </c:pt>
                <c:pt idx="2327">
                  <c:v>98</c:v>
                </c:pt>
                <c:pt idx="2328">
                  <c:v>129</c:v>
                </c:pt>
                <c:pt idx="2329">
                  <c:v>76</c:v>
                </c:pt>
                <c:pt idx="2330">
                  <c:v>102</c:v>
                </c:pt>
                <c:pt idx="2331">
                  <c:v>97</c:v>
                </c:pt>
                <c:pt idx="2332">
                  <c:v>222</c:v>
                </c:pt>
                <c:pt idx="2333">
                  <c:v>106</c:v>
                </c:pt>
                <c:pt idx="2334">
                  <c:v>131</c:v>
                </c:pt>
                <c:pt idx="2335">
                  <c:v>93</c:v>
                </c:pt>
                <c:pt idx="2336">
                  <c:v>108</c:v>
                </c:pt>
                <c:pt idx="2337">
                  <c:v>145</c:v>
                </c:pt>
                <c:pt idx="2338">
                  <c:v>98</c:v>
                </c:pt>
                <c:pt idx="2339">
                  <c:v>125</c:v>
                </c:pt>
                <c:pt idx="2340">
                  <c:v>60</c:v>
                </c:pt>
                <c:pt idx="2341">
                  <c:v>119</c:v>
                </c:pt>
                <c:pt idx="2342">
                  <c:v>133</c:v>
                </c:pt>
                <c:pt idx="2343">
                  <c:v>46</c:v>
                </c:pt>
                <c:pt idx="2344">
                  <c:v>102</c:v>
                </c:pt>
                <c:pt idx="2345">
                  <c:v>105</c:v>
                </c:pt>
                <c:pt idx="2346">
                  <c:v>97</c:v>
                </c:pt>
                <c:pt idx="2347">
                  <c:v>94</c:v>
                </c:pt>
                <c:pt idx="2348">
                  <c:v>113</c:v>
                </c:pt>
                <c:pt idx="2349">
                  <c:v>94</c:v>
                </c:pt>
                <c:pt idx="2350">
                  <c:v>155</c:v>
                </c:pt>
                <c:pt idx="2351">
                  <c:v>126</c:v>
                </c:pt>
                <c:pt idx="2352">
                  <c:v>112</c:v>
                </c:pt>
                <c:pt idx="2353">
                  <c:v>114</c:v>
                </c:pt>
                <c:pt idx="2354">
                  <c:v>128</c:v>
                </c:pt>
                <c:pt idx="2355">
                  <c:v>124</c:v>
                </c:pt>
                <c:pt idx="2356">
                  <c:v>132</c:v>
                </c:pt>
                <c:pt idx="2357">
                  <c:v>101</c:v>
                </c:pt>
                <c:pt idx="2358">
                  <c:v>91</c:v>
                </c:pt>
                <c:pt idx="2359">
                  <c:v>145</c:v>
                </c:pt>
                <c:pt idx="2360">
                  <c:v>160</c:v>
                </c:pt>
                <c:pt idx="2361">
                  <c:v>135</c:v>
                </c:pt>
                <c:pt idx="2362">
                  <c:v>109</c:v>
                </c:pt>
                <c:pt idx="2363">
                  <c:v>106</c:v>
                </c:pt>
                <c:pt idx="2364">
                  <c:v>101</c:v>
                </c:pt>
                <c:pt idx="2365">
                  <c:v>112</c:v>
                </c:pt>
                <c:pt idx="2366">
                  <c:v>106</c:v>
                </c:pt>
                <c:pt idx="2367">
                  <c:v>115</c:v>
                </c:pt>
                <c:pt idx="2368">
                  <c:v>109</c:v>
                </c:pt>
                <c:pt idx="2369">
                  <c:v>129</c:v>
                </c:pt>
                <c:pt idx="2370">
                  <c:v>90</c:v>
                </c:pt>
                <c:pt idx="2371">
                  <c:v>88</c:v>
                </c:pt>
                <c:pt idx="2372">
                  <c:v>114</c:v>
                </c:pt>
                <c:pt idx="2373">
                  <c:v>133</c:v>
                </c:pt>
                <c:pt idx="2374">
                  <c:v>131</c:v>
                </c:pt>
                <c:pt idx="2375">
                  <c:v>123</c:v>
                </c:pt>
                <c:pt idx="2376">
                  <c:v>124</c:v>
                </c:pt>
                <c:pt idx="2377">
                  <c:v>110</c:v>
                </c:pt>
                <c:pt idx="2378">
                  <c:v>123</c:v>
                </c:pt>
                <c:pt idx="2379">
                  <c:v>129</c:v>
                </c:pt>
                <c:pt idx="2380">
                  <c:v>115</c:v>
                </c:pt>
                <c:pt idx="2381">
                  <c:v>93</c:v>
                </c:pt>
                <c:pt idx="2382">
                  <c:v>87</c:v>
                </c:pt>
                <c:pt idx="2383">
                  <c:v>120</c:v>
                </c:pt>
                <c:pt idx="2384">
                  <c:v>102</c:v>
                </c:pt>
                <c:pt idx="2385">
                  <c:v>129</c:v>
                </c:pt>
                <c:pt idx="2386">
                  <c:v>98</c:v>
                </c:pt>
                <c:pt idx="2387">
                  <c:v>117</c:v>
                </c:pt>
                <c:pt idx="2388">
                  <c:v>113</c:v>
                </c:pt>
                <c:pt idx="2389">
                  <c:v>98</c:v>
                </c:pt>
                <c:pt idx="2390">
                  <c:v>97</c:v>
                </c:pt>
                <c:pt idx="2391">
                  <c:v>105</c:v>
                </c:pt>
                <c:pt idx="2392">
                  <c:v>133</c:v>
                </c:pt>
                <c:pt idx="2393">
                  <c:v>126</c:v>
                </c:pt>
                <c:pt idx="2394">
                  <c:v>93</c:v>
                </c:pt>
                <c:pt idx="2395">
                  <c:v>114</c:v>
                </c:pt>
                <c:pt idx="2396">
                  <c:v>91</c:v>
                </c:pt>
                <c:pt idx="2397">
                  <c:v>109</c:v>
                </c:pt>
                <c:pt idx="2398">
                  <c:v>101</c:v>
                </c:pt>
                <c:pt idx="2399">
                  <c:v>112</c:v>
                </c:pt>
                <c:pt idx="2400">
                  <c:v>104</c:v>
                </c:pt>
                <c:pt idx="2401">
                  <c:v>94</c:v>
                </c:pt>
                <c:pt idx="2402">
                  <c:v>94</c:v>
                </c:pt>
                <c:pt idx="2403">
                  <c:v>92</c:v>
                </c:pt>
                <c:pt idx="2404">
                  <c:v>109</c:v>
                </c:pt>
                <c:pt idx="2405">
                  <c:v>91</c:v>
                </c:pt>
                <c:pt idx="2406">
                  <c:v>97</c:v>
                </c:pt>
                <c:pt idx="2407">
                  <c:v>112</c:v>
                </c:pt>
                <c:pt idx="2408">
                  <c:v>126</c:v>
                </c:pt>
                <c:pt idx="2409">
                  <c:v>94</c:v>
                </c:pt>
                <c:pt idx="2410">
                  <c:v>94</c:v>
                </c:pt>
                <c:pt idx="2411">
                  <c:v>107</c:v>
                </c:pt>
                <c:pt idx="2412">
                  <c:v>101</c:v>
                </c:pt>
                <c:pt idx="2413">
                  <c:v>95</c:v>
                </c:pt>
                <c:pt idx="2414">
                  <c:v>107</c:v>
                </c:pt>
                <c:pt idx="2415">
                  <c:v>97</c:v>
                </c:pt>
                <c:pt idx="2416">
                  <c:v>125</c:v>
                </c:pt>
                <c:pt idx="2417">
                  <c:v>90</c:v>
                </c:pt>
                <c:pt idx="2418">
                  <c:v>127</c:v>
                </c:pt>
                <c:pt idx="2419">
                  <c:v>94</c:v>
                </c:pt>
                <c:pt idx="2420">
                  <c:v>120</c:v>
                </c:pt>
                <c:pt idx="2421">
                  <c:v>104</c:v>
                </c:pt>
                <c:pt idx="2422">
                  <c:v>126</c:v>
                </c:pt>
                <c:pt idx="2423">
                  <c:v>90</c:v>
                </c:pt>
                <c:pt idx="2424">
                  <c:v>104</c:v>
                </c:pt>
                <c:pt idx="2425">
                  <c:v>96</c:v>
                </c:pt>
                <c:pt idx="2426">
                  <c:v>143</c:v>
                </c:pt>
                <c:pt idx="2427">
                  <c:v>86</c:v>
                </c:pt>
                <c:pt idx="2428">
                  <c:v>92</c:v>
                </c:pt>
                <c:pt idx="2429">
                  <c:v>94</c:v>
                </c:pt>
                <c:pt idx="2430">
                  <c:v>120</c:v>
                </c:pt>
                <c:pt idx="2431">
                  <c:v>150</c:v>
                </c:pt>
                <c:pt idx="2432">
                  <c:v>103</c:v>
                </c:pt>
                <c:pt idx="2433">
                  <c:v>125</c:v>
                </c:pt>
                <c:pt idx="2434">
                  <c:v>105</c:v>
                </c:pt>
                <c:pt idx="2435">
                  <c:v>111</c:v>
                </c:pt>
                <c:pt idx="2436">
                  <c:v>130</c:v>
                </c:pt>
                <c:pt idx="2437">
                  <c:v>88</c:v>
                </c:pt>
                <c:pt idx="2438">
                  <c:v>147</c:v>
                </c:pt>
                <c:pt idx="2439">
                  <c:v>117</c:v>
                </c:pt>
                <c:pt idx="2440">
                  <c:v>112</c:v>
                </c:pt>
                <c:pt idx="2441">
                  <c:v>163</c:v>
                </c:pt>
                <c:pt idx="2442">
                  <c:v>87</c:v>
                </c:pt>
                <c:pt idx="2443">
                  <c:v>119</c:v>
                </c:pt>
                <c:pt idx="2444">
                  <c:v>230</c:v>
                </c:pt>
                <c:pt idx="2445">
                  <c:v>88</c:v>
                </c:pt>
                <c:pt idx="2446">
                  <c:v>95</c:v>
                </c:pt>
                <c:pt idx="2447">
                  <c:v>98</c:v>
                </c:pt>
                <c:pt idx="2448">
                  <c:v>82</c:v>
                </c:pt>
                <c:pt idx="2449">
                  <c:v>109</c:v>
                </c:pt>
                <c:pt idx="2450">
                  <c:v>86</c:v>
                </c:pt>
                <c:pt idx="2451">
                  <c:v>86</c:v>
                </c:pt>
                <c:pt idx="2452">
                  <c:v>97</c:v>
                </c:pt>
                <c:pt idx="2453">
                  <c:v>112</c:v>
                </c:pt>
                <c:pt idx="2454">
                  <c:v>105</c:v>
                </c:pt>
                <c:pt idx="2455">
                  <c:v>94</c:v>
                </c:pt>
                <c:pt idx="2456">
                  <c:v>95</c:v>
                </c:pt>
                <c:pt idx="2457">
                  <c:v>80</c:v>
                </c:pt>
                <c:pt idx="2458">
                  <c:v>101</c:v>
                </c:pt>
                <c:pt idx="2459">
                  <c:v>95</c:v>
                </c:pt>
                <c:pt idx="2460">
                  <c:v>90</c:v>
                </c:pt>
                <c:pt idx="2461">
                  <c:v>120</c:v>
                </c:pt>
                <c:pt idx="2462">
                  <c:v>90</c:v>
                </c:pt>
                <c:pt idx="2463">
                  <c:v>95</c:v>
                </c:pt>
                <c:pt idx="2464">
                  <c:v>83</c:v>
                </c:pt>
                <c:pt idx="2465">
                  <c:v>170</c:v>
                </c:pt>
                <c:pt idx="2466">
                  <c:v>94</c:v>
                </c:pt>
                <c:pt idx="2467">
                  <c:v>101</c:v>
                </c:pt>
                <c:pt idx="2468">
                  <c:v>102</c:v>
                </c:pt>
                <c:pt idx="2469">
                  <c:v>90</c:v>
                </c:pt>
                <c:pt idx="2470">
                  <c:v>98</c:v>
                </c:pt>
                <c:pt idx="2471">
                  <c:v>106</c:v>
                </c:pt>
                <c:pt idx="2472">
                  <c:v>114</c:v>
                </c:pt>
                <c:pt idx="2473">
                  <c:v>84</c:v>
                </c:pt>
                <c:pt idx="2474">
                  <c:v>128</c:v>
                </c:pt>
                <c:pt idx="2475">
                  <c:v>104</c:v>
                </c:pt>
                <c:pt idx="2476">
                  <c:v>109</c:v>
                </c:pt>
                <c:pt idx="2477">
                  <c:v>214</c:v>
                </c:pt>
                <c:pt idx="2478">
                  <c:v>105</c:v>
                </c:pt>
                <c:pt idx="2479">
                  <c:v>86</c:v>
                </c:pt>
                <c:pt idx="2480">
                  <c:v>95</c:v>
                </c:pt>
                <c:pt idx="2481">
                  <c:v>99</c:v>
                </c:pt>
                <c:pt idx="2482">
                  <c:v>121</c:v>
                </c:pt>
                <c:pt idx="2483">
                  <c:v>119</c:v>
                </c:pt>
                <c:pt idx="2484">
                  <c:v>104</c:v>
                </c:pt>
                <c:pt idx="2485">
                  <c:v>138</c:v>
                </c:pt>
                <c:pt idx="2486">
                  <c:v>92</c:v>
                </c:pt>
                <c:pt idx="2487">
                  <c:v>83</c:v>
                </c:pt>
                <c:pt idx="2488">
                  <c:v>128</c:v>
                </c:pt>
                <c:pt idx="2489">
                  <c:v>99</c:v>
                </c:pt>
                <c:pt idx="2490">
                  <c:v>109</c:v>
                </c:pt>
                <c:pt idx="2491">
                  <c:v>97</c:v>
                </c:pt>
                <c:pt idx="2492">
                  <c:v>92</c:v>
                </c:pt>
                <c:pt idx="2493">
                  <c:v>105</c:v>
                </c:pt>
                <c:pt idx="2494">
                  <c:v>98</c:v>
                </c:pt>
                <c:pt idx="2495">
                  <c:v>131</c:v>
                </c:pt>
                <c:pt idx="2496">
                  <c:v>107</c:v>
                </c:pt>
                <c:pt idx="2497">
                  <c:v>97</c:v>
                </c:pt>
                <c:pt idx="2498">
                  <c:v>97</c:v>
                </c:pt>
                <c:pt idx="2499">
                  <c:v>115</c:v>
                </c:pt>
                <c:pt idx="2500">
                  <c:v>132</c:v>
                </c:pt>
                <c:pt idx="2501">
                  <c:v>92</c:v>
                </c:pt>
                <c:pt idx="2502">
                  <c:v>97</c:v>
                </c:pt>
                <c:pt idx="2503">
                  <c:v>96</c:v>
                </c:pt>
                <c:pt idx="2504">
                  <c:v>121</c:v>
                </c:pt>
                <c:pt idx="2505">
                  <c:v>98</c:v>
                </c:pt>
                <c:pt idx="2506">
                  <c:v>90</c:v>
                </c:pt>
                <c:pt idx="2507">
                  <c:v>110</c:v>
                </c:pt>
                <c:pt idx="2508">
                  <c:v>103</c:v>
                </c:pt>
                <c:pt idx="2509">
                  <c:v>121</c:v>
                </c:pt>
                <c:pt idx="2510">
                  <c:v>97</c:v>
                </c:pt>
                <c:pt idx="2511">
                  <c:v>107</c:v>
                </c:pt>
                <c:pt idx="2512">
                  <c:v>113</c:v>
                </c:pt>
                <c:pt idx="2513">
                  <c:v>91</c:v>
                </c:pt>
                <c:pt idx="2514">
                  <c:v>124</c:v>
                </c:pt>
                <c:pt idx="2515">
                  <c:v>136</c:v>
                </c:pt>
                <c:pt idx="2516">
                  <c:v>95</c:v>
                </c:pt>
                <c:pt idx="2517">
                  <c:v>84</c:v>
                </c:pt>
                <c:pt idx="2518">
                  <c:v>98</c:v>
                </c:pt>
                <c:pt idx="2519">
                  <c:v>104</c:v>
                </c:pt>
                <c:pt idx="2520">
                  <c:v>92</c:v>
                </c:pt>
                <c:pt idx="2521">
                  <c:v>132</c:v>
                </c:pt>
                <c:pt idx="2522">
                  <c:v>90</c:v>
                </c:pt>
                <c:pt idx="2523">
                  <c:v>108</c:v>
                </c:pt>
                <c:pt idx="2524">
                  <c:v>105</c:v>
                </c:pt>
                <c:pt idx="2525">
                  <c:v>98</c:v>
                </c:pt>
                <c:pt idx="2526">
                  <c:v>192</c:v>
                </c:pt>
                <c:pt idx="2527">
                  <c:v>104</c:v>
                </c:pt>
                <c:pt idx="2528">
                  <c:v>117</c:v>
                </c:pt>
                <c:pt idx="2529">
                  <c:v>99</c:v>
                </c:pt>
                <c:pt idx="2530">
                  <c:v>60</c:v>
                </c:pt>
                <c:pt idx="2531">
                  <c:v>96</c:v>
                </c:pt>
                <c:pt idx="2532">
                  <c:v>83</c:v>
                </c:pt>
                <c:pt idx="2533">
                  <c:v>114</c:v>
                </c:pt>
                <c:pt idx="2534">
                  <c:v>118</c:v>
                </c:pt>
                <c:pt idx="2535">
                  <c:v>99</c:v>
                </c:pt>
                <c:pt idx="2536">
                  <c:v>212</c:v>
                </c:pt>
                <c:pt idx="2537">
                  <c:v>122</c:v>
                </c:pt>
                <c:pt idx="2538">
                  <c:v>102</c:v>
                </c:pt>
                <c:pt idx="2539">
                  <c:v>103</c:v>
                </c:pt>
                <c:pt idx="2540">
                  <c:v>84</c:v>
                </c:pt>
                <c:pt idx="2541">
                  <c:v>88</c:v>
                </c:pt>
                <c:pt idx="2542">
                  <c:v>104</c:v>
                </c:pt>
                <c:pt idx="2543">
                  <c:v>108</c:v>
                </c:pt>
                <c:pt idx="2544">
                  <c:v>81</c:v>
                </c:pt>
                <c:pt idx="2545">
                  <c:v>138</c:v>
                </c:pt>
                <c:pt idx="2546">
                  <c:v>112</c:v>
                </c:pt>
                <c:pt idx="2547">
                  <c:v>106</c:v>
                </c:pt>
                <c:pt idx="2548">
                  <c:v>126</c:v>
                </c:pt>
                <c:pt idx="2549">
                  <c:v>103</c:v>
                </c:pt>
                <c:pt idx="2550">
                  <c:v>99</c:v>
                </c:pt>
                <c:pt idx="2551">
                  <c:v>93</c:v>
                </c:pt>
                <c:pt idx="2552">
                  <c:v>99</c:v>
                </c:pt>
                <c:pt idx="2553">
                  <c:v>92</c:v>
                </c:pt>
                <c:pt idx="2554">
                  <c:v>95</c:v>
                </c:pt>
                <c:pt idx="2555">
                  <c:v>98</c:v>
                </c:pt>
                <c:pt idx="2556">
                  <c:v>90</c:v>
                </c:pt>
                <c:pt idx="2557">
                  <c:v>124</c:v>
                </c:pt>
                <c:pt idx="2558">
                  <c:v>78</c:v>
                </c:pt>
                <c:pt idx="2559">
                  <c:v>95</c:v>
                </c:pt>
                <c:pt idx="2560">
                  <c:v>103</c:v>
                </c:pt>
                <c:pt idx="2561">
                  <c:v>129</c:v>
                </c:pt>
                <c:pt idx="2562">
                  <c:v>125</c:v>
                </c:pt>
                <c:pt idx="2563">
                  <c:v>98</c:v>
                </c:pt>
                <c:pt idx="2564">
                  <c:v>141</c:v>
                </c:pt>
                <c:pt idx="2565">
                  <c:v>94</c:v>
                </c:pt>
                <c:pt idx="2567">
                  <c:v>84</c:v>
                </c:pt>
                <c:pt idx="2568">
                  <c:v>110</c:v>
                </c:pt>
                <c:pt idx="2569">
                  <c:v>109</c:v>
                </c:pt>
                <c:pt idx="2570">
                  <c:v>107</c:v>
                </c:pt>
                <c:pt idx="2571">
                  <c:v>190</c:v>
                </c:pt>
                <c:pt idx="2572">
                  <c:v>115</c:v>
                </c:pt>
                <c:pt idx="2573">
                  <c:v>124</c:v>
                </c:pt>
                <c:pt idx="2574">
                  <c:v>86</c:v>
                </c:pt>
                <c:pt idx="2575">
                  <c:v>84</c:v>
                </c:pt>
                <c:pt idx="2576">
                  <c:v>116</c:v>
                </c:pt>
                <c:pt idx="2577">
                  <c:v>122</c:v>
                </c:pt>
                <c:pt idx="2578">
                  <c:v>125</c:v>
                </c:pt>
                <c:pt idx="2579">
                  <c:v>104</c:v>
                </c:pt>
                <c:pt idx="2580">
                  <c:v>107</c:v>
                </c:pt>
                <c:pt idx="2581">
                  <c:v>131</c:v>
                </c:pt>
                <c:pt idx="2582">
                  <c:v>104</c:v>
                </c:pt>
                <c:pt idx="2583">
                  <c:v>122</c:v>
                </c:pt>
                <c:pt idx="2584">
                  <c:v>81</c:v>
                </c:pt>
                <c:pt idx="2585">
                  <c:v>89</c:v>
                </c:pt>
                <c:pt idx="2586">
                  <c:v>88</c:v>
                </c:pt>
                <c:pt idx="2587">
                  <c:v>76</c:v>
                </c:pt>
                <c:pt idx="2588">
                  <c:v>88</c:v>
                </c:pt>
                <c:pt idx="2589">
                  <c:v>120</c:v>
                </c:pt>
                <c:pt idx="2590">
                  <c:v>130</c:v>
                </c:pt>
                <c:pt idx="2591">
                  <c:v>153</c:v>
                </c:pt>
                <c:pt idx="2592">
                  <c:v>119</c:v>
                </c:pt>
                <c:pt idx="2593">
                  <c:v>101</c:v>
                </c:pt>
                <c:pt idx="2594">
                  <c:v>142</c:v>
                </c:pt>
                <c:pt idx="2595">
                  <c:v>84</c:v>
                </c:pt>
                <c:pt idx="2596">
                  <c:v>85</c:v>
                </c:pt>
                <c:pt idx="2597">
                  <c:v>86</c:v>
                </c:pt>
                <c:pt idx="2598">
                  <c:v>137</c:v>
                </c:pt>
                <c:pt idx="2599">
                  <c:v>108</c:v>
                </c:pt>
                <c:pt idx="2600">
                  <c:v>97</c:v>
                </c:pt>
                <c:pt idx="2601">
                  <c:v>251</c:v>
                </c:pt>
                <c:pt idx="2602">
                  <c:v>102</c:v>
                </c:pt>
                <c:pt idx="2603">
                  <c:v>98</c:v>
                </c:pt>
                <c:pt idx="2604">
                  <c:v>145</c:v>
                </c:pt>
                <c:pt idx="2605">
                  <c:v>85</c:v>
                </c:pt>
                <c:pt idx="2606">
                  <c:v>111</c:v>
                </c:pt>
                <c:pt idx="2607">
                  <c:v>107</c:v>
                </c:pt>
                <c:pt idx="2608">
                  <c:v>106</c:v>
                </c:pt>
                <c:pt idx="2609">
                  <c:v>133</c:v>
                </c:pt>
                <c:pt idx="2610">
                  <c:v>91</c:v>
                </c:pt>
                <c:pt idx="2611">
                  <c:v>96</c:v>
                </c:pt>
                <c:pt idx="2612">
                  <c:v>121</c:v>
                </c:pt>
                <c:pt idx="2613">
                  <c:v>87</c:v>
                </c:pt>
                <c:pt idx="2614">
                  <c:v>123</c:v>
                </c:pt>
                <c:pt idx="2615">
                  <c:v>95</c:v>
                </c:pt>
                <c:pt idx="2616">
                  <c:v>127</c:v>
                </c:pt>
                <c:pt idx="2617">
                  <c:v>110</c:v>
                </c:pt>
                <c:pt idx="2618">
                  <c:v>90</c:v>
                </c:pt>
                <c:pt idx="2619">
                  <c:v>99</c:v>
                </c:pt>
                <c:pt idx="2620">
                  <c:v>86</c:v>
                </c:pt>
                <c:pt idx="2621">
                  <c:v>139</c:v>
                </c:pt>
                <c:pt idx="2622">
                  <c:v>85</c:v>
                </c:pt>
                <c:pt idx="2623">
                  <c:v>83</c:v>
                </c:pt>
                <c:pt idx="2624">
                  <c:v>68</c:v>
                </c:pt>
                <c:pt idx="2625">
                  <c:v>79</c:v>
                </c:pt>
                <c:pt idx="2626">
                  <c:v>115</c:v>
                </c:pt>
                <c:pt idx="2627">
                  <c:v>126</c:v>
                </c:pt>
                <c:pt idx="2628">
                  <c:v>124</c:v>
                </c:pt>
                <c:pt idx="2629">
                  <c:v>92</c:v>
                </c:pt>
                <c:pt idx="2630">
                  <c:v>118</c:v>
                </c:pt>
                <c:pt idx="2631">
                  <c:v>123</c:v>
                </c:pt>
                <c:pt idx="2632">
                  <c:v>83</c:v>
                </c:pt>
                <c:pt idx="2633">
                  <c:v>132</c:v>
                </c:pt>
                <c:pt idx="2634">
                  <c:v>95</c:v>
                </c:pt>
                <c:pt idx="2635">
                  <c:v>89</c:v>
                </c:pt>
                <c:pt idx="2636">
                  <c:v>107</c:v>
                </c:pt>
                <c:pt idx="2637">
                  <c:v>103</c:v>
                </c:pt>
                <c:pt idx="2638">
                  <c:v>90</c:v>
                </c:pt>
                <c:pt idx="2639">
                  <c:v>108</c:v>
                </c:pt>
                <c:pt idx="2640">
                  <c:v>89</c:v>
                </c:pt>
                <c:pt idx="2641">
                  <c:v>161</c:v>
                </c:pt>
                <c:pt idx="2642">
                  <c:v>107</c:v>
                </c:pt>
                <c:pt idx="2643">
                  <c:v>123</c:v>
                </c:pt>
                <c:pt idx="2644">
                  <c:v>194</c:v>
                </c:pt>
                <c:pt idx="2645">
                  <c:v>92</c:v>
                </c:pt>
                <c:pt idx="2646">
                  <c:v>116</c:v>
                </c:pt>
                <c:pt idx="2647">
                  <c:v>114</c:v>
                </c:pt>
                <c:pt idx="2648">
                  <c:v>127</c:v>
                </c:pt>
                <c:pt idx="2649">
                  <c:v>64</c:v>
                </c:pt>
                <c:pt idx="2650">
                  <c:v>101</c:v>
                </c:pt>
                <c:pt idx="2651">
                  <c:v>96</c:v>
                </c:pt>
                <c:pt idx="2652">
                  <c:v>95</c:v>
                </c:pt>
                <c:pt idx="2653">
                  <c:v>83</c:v>
                </c:pt>
                <c:pt idx="2654">
                  <c:v>110</c:v>
                </c:pt>
                <c:pt idx="2655">
                  <c:v>104</c:v>
                </c:pt>
                <c:pt idx="2656">
                  <c:v>260</c:v>
                </c:pt>
                <c:pt idx="2657">
                  <c:v>126</c:v>
                </c:pt>
                <c:pt idx="2658">
                  <c:v>133</c:v>
                </c:pt>
                <c:pt idx="2659">
                  <c:v>131</c:v>
                </c:pt>
                <c:pt idx="2660">
                  <c:v>95</c:v>
                </c:pt>
                <c:pt idx="2661">
                  <c:v>129</c:v>
                </c:pt>
                <c:pt idx="2662">
                  <c:v>158</c:v>
                </c:pt>
                <c:pt idx="2663">
                  <c:v>115</c:v>
                </c:pt>
                <c:pt idx="2664">
                  <c:v>100</c:v>
                </c:pt>
                <c:pt idx="2665">
                  <c:v>333</c:v>
                </c:pt>
                <c:pt idx="2666">
                  <c:v>124</c:v>
                </c:pt>
                <c:pt idx="2667">
                  <c:v>110</c:v>
                </c:pt>
                <c:pt idx="2668">
                  <c:v>108</c:v>
                </c:pt>
                <c:pt idx="2669">
                  <c:v>112</c:v>
                </c:pt>
                <c:pt idx="2670">
                  <c:v>112</c:v>
                </c:pt>
                <c:pt idx="2671">
                  <c:v>84</c:v>
                </c:pt>
                <c:pt idx="2672">
                  <c:v>109</c:v>
                </c:pt>
                <c:pt idx="2673">
                  <c:v>98</c:v>
                </c:pt>
                <c:pt idx="2674">
                  <c:v>94</c:v>
                </c:pt>
                <c:pt idx="2675">
                  <c:v>96</c:v>
                </c:pt>
                <c:pt idx="2676">
                  <c:v>84</c:v>
                </c:pt>
                <c:pt idx="2677">
                  <c:v>101</c:v>
                </c:pt>
                <c:pt idx="2678">
                  <c:v>92</c:v>
                </c:pt>
                <c:pt idx="2679">
                  <c:v>105</c:v>
                </c:pt>
                <c:pt idx="2680">
                  <c:v>120</c:v>
                </c:pt>
                <c:pt idx="2681">
                  <c:v>118</c:v>
                </c:pt>
                <c:pt idx="2682">
                  <c:v>116</c:v>
                </c:pt>
                <c:pt idx="2683">
                  <c:v>98</c:v>
                </c:pt>
                <c:pt idx="2684">
                  <c:v>114</c:v>
                </c:pt>
                <c:pt idx="2685">
                  <c:v>106</c:v>
                </c:pt>
                <c:pt idx="2686">
                  <c:v>115</c:v>
                </c:pt>
                <c:pt idx="2687">
                  <c:v>95</c:v>
                </c:pt>
                <c:pt idx="2688">
                  <c:v>117</c:v>
                </c:pt>
                <c:pt idx="2689">
                  <c:v>172</c:v>
                </c:pt>
                <c:pt idx="2690">
                  <c:v>94</c:v>
                </c:pt>
                <c:pt idx="2691">
                  <c:v>91</c:v>
                </c:pt>
                <c:pt idx="2692">
                  <c:v>109</c:v>
                </c:pt>
                <c:pt idx="2693">
                  <c:v>123</c:v>
                </c:pt>
                <c:pt idx="2694">
                  <c:v>90</c:v>
                </c:pt>
                <c:pt idx="2695">
                  <c:v>119</c:v>
                </c:pt>
                <c:pt idx="2696">
                  <c:v>79</c:v>
                </c:pt>
                <c:pt idx="2697">
                  <c:v>80</c:v>
                </c:pt>
                <c:pt idx="2698">
                  <c:v>120</c:v>
                </c:pt>
                <c:pt idx="2699">
                  <c:v>184</c:v>
                </c:pt>
                <c:pt idx="2700">
                  <c:v>95</c:v>
                </c:pt>
                <c:pt idx="2701">
                  <c:v>103</c:v>
                </c:pt>
                <c:pt idx="2702">
                  <c:v>92</c:v>
                </c:pt>
                <c:pt idx="2703">
                  <c:v>99</c:v>
                </c:pt>
                <c:pt idx="2704">
                  <c:v>100</c:v>
                </c:pt>
                <c:pt idx="2705">
                  <c:v>42</c:v>
                </c:pt>
                <c:pt idx="2706">
                  <c:v>118</c:v>
                </c:pt>
                <c:pt idx="2707">
                  <c:v>106</c:v>
                </c:pt>
                <c:pt idx="2708">
                  <c:v>109</c:v>
                </c:pt>
                <c:pt idx="2709">
                  <c:v>147</c:v>
                </c:pt>
                <c:pt idx="2710">
                  <c:v>88</c:v>
                </c:pt>
                <c:pt idx="2711">
                  <c:v>89</c:v>
                </c:pt>
                <c:pt idx="2712">
                  <c:v>103</c:v>
                </c:pt>
                <c:pt idx="2713">
                  <c:v>102</c:v>
                </c:pt>
                <c:pt idx="2714">
                  <c:v>97</c:v>
                </c:pt>
                <c:pt idx="2715">
                  <c:v>99</c:v>
                </c:pt>
                <c:pt idx="2716">
                  <c:v>123</c:v>
                </c:pt>
                <c:pt idx="2717">
                  <c:v>125</c:v>
                </c:pt>
                <c:pt idx="2718">
                  <c:v>98</c:v>
                </c:pt>
                <c:pt idx="2719">
                  <c:v>81</c:v>
                </c:pt>
                <c:pt idx="2720">
                  <c:v>84</c:v>
                </c:pt>
                <c:pt idx="2721">
                  <c:v>80</c:v>
                </c:pt>
                <c:pt idx="2722">
                  <c:v>110</c:v>
                </c:pt>
                <c:pt idx="2723">
                  <c:v>117</c:v>
                </c:pt>
                <c:pt idx="2724">
                  <c:v>108</c:v>
                </c:pt>
                <c:pt idx="2725">
                  <c:v>65</c:v>
                </c:pt>
                <c:pt idx="2726">
                  <c:v>97</c:v>
                </c:pt>
                <c:pt idx="2727">
                  <c:v>88</c:v>
                </c:pt>
                <c:pt idx="2728">
                  <c:v>88</c:v>
                </c:pt>
                <c:pt idx="2729">
                  <c:v>135</c:v>
                </c:pt>
                <c:pt idx="2730">
                  <c:v>169</c:v>
                </c:pt>
                <c:pt idx="2731">
                  <c:v>151</c:v>
                </c:pt>
                <c:pt idx="2732">
                  <c:v>136</c:v>
                </c:pt>
                <c:pt idx="2733">
                  <c:v>143</c:v>
                </c:pt>
                <c:pt idx="2734">
                  <c:v>112</c:v>
                </c:pt>
                <c:pt idx="2735">
                  <c:v>115</c:v>
                </c:pt>
                <c:pt idx="2736">
                  <c:v>112</c:v>
                </c:pt>
                <c:pt idx="2737">
                  <c:v>106</c:v>
                </c:pt>
                <c:pt idx="2738">
                  <c:v>91</c:v>
                </c:pt>
                <c:pt idx="2739">
                  <c:v>238</c:v>
                </c:pt>
                <c:pt idx="2740">
                  <c:v>102</c:v>
                </c:pt>
                <c:pt idx="2741">
                  <c:v>120</c:v>
                </c:pt>
                <c:pt idx="2742">
                  <c:v>124</c:v>
                </c:pt>
                <c:pt idx="2743">
                  <c:v>105</c:v>
                </c:pt>
                <c:pt idx="2744">
                  <c:v>90</c:v>
                </c:pt>
                <c:pt idx="2745">
                  <c:v>99</c:v>
                </c:pt>
                <c:pt idx="2746">
                  <c:v>84</c:v>
                </c:pt>
                <c:pt idx="2747">
                  <c:v>136</c:v>
                </c:pt>
                <c:pt idx="2748">
                  <c:v>109</c:v>
                </c:pt>
                <c:pt idx="2749">
                  <c:v>92</c:v>
                </c:pt>
                <c:pt idx="2750">
                  <c:v>228</c:v>
                </c:pt>
                <c:pt idx="2751">
                  <c:v>93</c:v>
                </c:pt>
                <c:pt idx="2752">
                  <c:v>96</c:v>
                </c:pt>
                <c:pt idx="2753">
                  <c:v>83</c:v>
                </c:pt>
                <c:pt idx="2754">
                  <c:v>127</c:v>
                </c:pt>
                <c:pt idx="2755">
                  <c:v>122</c:v>
                </c:pt>
                <c:pt idx="2756">
                  <c:v>98</c:v>
                </c:pt>
                <c:pt idx="2757">
                  <c:v>240</c:v>
                </c:pt>
                <c:pt idx="2758">
                  <c:v>105</c:v>
                </c:pt>
                <c:pt idx="2759">
                  <c:v>95</c:v>
                </c:pt>
                <c:pt idx="2760">
                  <c:v>101</c:v>
                </c:pt>
                <c:pt idx="2761">
                  <c:v>68</c:v>
                </c:pt>
                <c:pt idx="2762">
                  <c:v>99</c:v>
                </c:pt>
                <c:pt idx="2763">
                  <c:v>81</c:v>
                </c:pt>
                <c:pt idx="2764">
                  <c:v>94</c:v>
                </c:pt>
                <c:pt idx="2765">
                  <c:v>98</c:v>
                </c:pt>
                <c:pt idx="2766">
                  <c:v>88</c:v>
                </c:pt>
                <c:pt idx="2767">
                  <c:v>103</c:v>
                </c:pt>
                <c:pt idx="2768">
                  <c:v>104</c:v>
                </c:pt>
                <c:pt idx="2769">
                  <c:v>104</c:v>
                </c:pt>
                <c:pt idx="2770">
                  <c:v>60</c:v>
                </c:pt>
                <c:pt idx="2771">
                  <c:v>218</c:v>
                </c:pt>
                <c:pt idx="2772">
                  <c:v>103</c:v>
                </c:pt>
                <c:pt idx="2773">
                  <c:v>107</c:v>
                </c:pt>
                <c:pt idx="2774">
                  <c:v>107</c:v>
                </c:pt>
                <c:pt idx="2775">
                  <c:v>106</c:v>
                </c:pt>
                <c:pt idx="2776">
                  <c:v>91</c:v>
                </c:pt>
                <c:pt idx="2777">
                  <c:v>96</c:v>
                </c:pt>
                <c:pt idx="2778">
                  <c:v>125</c:v>
                </c:pt>
                <c:pt idx="2779">
                  <c:v>135</c:v>
                </c:pt>
                <c:pt idx="2780">
                  <c:v>130</c:v>
                </c:pt>
                <c:pt idx="2781">
                  <c:v>108</c:v>
                </c:pt>
                <c:pt idx="2782">
                  <c:v>87</c:v>
                </c:pt>
                <c:pt idx="2783">
                  <c:v>143</c:v>
                </c:pt>
                <c:pt idx="2784">
                  <c:v>77</c:v>
                </c:pt>
                <c:pt idx="2785">
                  <c:v>116</c:v>
                </c:pt>
                <c:pt idx="2786">
                  <c:v>97</c:v>
                </c:pt>
                <c:pt idx="2787">
                  <c:v>134</c:v>
                </c:pt>
                <c:pt idx="2788">
                  <c:v>102</c:v>
                </c:pt>
                <c:pt idx="2789">
                  <c:v>153</c:v>
                </c:pt>
                <c:pt idx="2790">
                  <c:v>109</c:v>
                </c:pt>
                <c:pt idx="2791">
                  <c:v>106</c:v>
                </c:pt>
                <c:pt idx="2792">
                  <c:v>93</c:v>
                </c:pt>
                <c:pt idx="2793">
                  <c:v>89</c:v>
                </c:pt>
                <c:pt idx="2794">
                  <c:v>104</c:v>
                </c:pt>
                <c:pt idx="2795">
                  <c:v>124</c:v>
                </c:pt>
                <c:pt idx="2796">
                  <c:v>106</c:v>
                </c:pt>
                <c:pt idx="2797">
                  <c:v>135</c:v>
                </c:pt>
                <c:pt idx="2798">
                  <c:v>102</c:v>
                </c:pt>
                <c:pt idx="2799">
                  <c:v>87</c:v>
                </c:pt>
                <c:pt idx="2800">
                  <c:v>44</c:v>
                </c:pt>
                <c:pt idx="2801">
                  <c:v>85</c:v>
                </c:pt>
                <c:pt idx="2802">
                  <c:v>108</c:v>
                </c:pt>
                <c:pt idx="2803">
                  <c:v>140</c:v>
                </c:pt>
                <c:pt idx="2804">
                  <c:v>178</c:v>
                </c:pt>
                <c:pt idx="2805">
                  <c:v>90</c:v>
                </c:pt>
                <c:pt idx="2806">
                  <c:v>95</c:v>
                </c:pt>
                <c:pt idx="2807">
                  <c:v>103</c:v>
                </c:pt>
                <c:pt idx="2808">
                  <c:v>103</c:v>
                </c:pt>
                <c:pt idx="2809">
                  <c:v>124</c:v>
                </c:pt>
                <c:pt idx="2810">
                  <c:v>90</c:v>
                </c:pt>
                <c:pt idx="2811">
                  <c:v>103</c:v>
                </c:pt>
                <c:pt idx="2812">
                  <c:v>106</c:v>
                </c:pt>
                <c:pt idx="2813">
                  <c:v>89</c:v>
                </c:pt>
                <c:pt idx="2814">
                  <c:v>98</c:v>
                </c:pt>
                <c:pt idx="2815">
                  <c:v>80</c:v>
                </c:pt>
                <c:pt idx="2816">
                  <c:v>101</c:v>
                </c:pt>
                <c:pt idx="2817">
                  <c:v>135</c:v>
                </c:pt>
                <c:pt idx="2818">
                  <c:v>100</c:v>
                </c:pt>
                <c:pt idx="2819">
                  <c:v>119</c:v>
                </c:pt>
                <c:pt idx="2820">
                  <c:v>124</c:v>
                </c:pt>
                <c:pt idx="2821">
                  <c:v>90</c:v>
                </c:pt>
                <c:pt idx="2822">
                  <c:v>171</c:v>
                </c:pt>
                <c:pt idx="2823">
                  <c:v>96</c:v>
                </c:pt>
                <c:pt idx="2824">
                  <c:v>85</c:v>
                </c:pt>
                <c:pt idx="2825">
                  <c:v>99</c:v>
                </c:pt>
                <c:pt idx="2826">
                  <c:v>91</c:v>
                </c:pt>
                <c:pt idx="2827">
                  <c:v>94</c:v>
                </c:pt>
                <c:pt idx="2828">
                  <c:v>98</c:v>
                </c:pt>
                <c:pt idx="2829">
                  <c:v>134</c:v>
                </c:pt>
                <c:pt idx="2830">
                  <c:v>113</c:v>
                </c:pt>
                <c:pt idx="2831">
                  <c:v>102</c:v>
                </c:pt>
                <c:pt idx="2832">
                  <c:v>88</c:v>
                </c:pt>
                <c:pt idx="2833">
                  <c:v>114</c:v>
                </c:pt>
                <c:pt idx="2834">
                  <c:v>109</c:v>
                </c:pt>
                <c:pt idx="2835">
                  <c:v>121</c:v>
                </c:pt>
                <c:pt idx="2836">
                  <c:v>115</c:v>
                </c:pt>
                <c:pt idx="2837">
                  <c:v>133</c:v>
                </c:pt>
                <c:pt idx="2838">
                  <c:v>119</c:v>
                </c:pt>
                <c:pt idx="2839">
                  <c:v>103</c:v>
                </c:pt>
                <c:pt idx="2840">
                  <c:v>91</c:v>
                </c:pt>
                <c:pt idx="2841">
                  <c:v>119</c:v>
                </c:pt>
                <c:pt idx="2842">
                  <c:v>88</c:v>
                </c:pt>
                <c:pt idx="2843">
                  <c:v>153</c:v>
                </c:pt>
                <c:pt idx="2844">
                  <c:v>87</c:v>
                </c:pt>
                <c:pt idx="2845">
                  <c:v>96</c:v>
                </c:pt>
                <c:pt idx="2846">
                  <c:v>103</c:v>
                </c:pt>
                <c:pt idx="2847">
                  <c:v>80</c:v>
                </c:pt>
                <c:pt idx="2848">
                  <c:v>133</c:v>
                </c:pt>
                <c:pt idx="2849">
                  <c:v>157</c:v>
                </c:pt>
                <c:pt idx="2850">
                  <c:v>107</c:v>
                </c:pt>
                <c:pt idx="2851">
                  <c:v>139</c:v>
                </c:pt>
                <c:pt idx="2852">
                  <c:v>107</c:v>
                </c:pt>
                <c:pt idx="2853">
                  <c:v>112</c:v>
                </c:pt>
                <c:pt idx="2854">
                  <c:v>111</c:v>
                </c:pt>
                <c:pt idx="2855">
                  <c:v>101</c:v>
                </c:pt>
                <c:pt idx="2856">
                  <c:v>178</c:v>
                </c:pt>
                <c:pt idx="2857">
                  <c:v>83</c:v>
                </c:pt>
                <c:pt idx="2858">
                  <c:v>107</c:v>
                </c:pt>
                <c:pt idx="2859">
                  <c:v>127</c:v>
                </c:pt>
                <c:pt idx="2860">
                  <c:v>90</c:v>
                </c:pt>
                <c:pt idx="2861">
                  <c:v>130</c:v>
                </c:pt>
                <c:pt idx="2862">
                  <c:v>82</c:v>
                </c:pt>
                <c:pt idx="2863">
                  <c:v>116</c:v>
                </c:pt>
                <c:pt idx="2864">
                  <c:v>150</c:v>
                </c:pt>
                <c:pt idx="2865">
                  <c:v>114</c:v>
                </c:pt>
                <c:pt idx="2866">
                  <c:v>92</c:v>
                </c:pt>
                <c:pt idx="2867">
                  <c:v>124</c:v>
                </c:pt>
                <c:pt idx="2868">
                  <c:v>85</c:v>
                </c:pt>
                <c:pt idx="2869">
                  <c:v>114</c:v>
                </c:pt>
                <c:pt idx="2870">
                  <c:v>106</c:v>
                </c:pt>
                <c:pt idx="2871">
                  <c:v>100</c:v>
                </c:pt>
                <c:pt idx="2872">
                  <c:v>102</c:v>
                </c:pt>
                <c:pt idx="2873">
                  <c:v>126</c:v>
                </c:pt>
                <c:pt idx="2874">
                  <c:v>100</c:v>
                </c:pt>
                <c:pt idx="2875">
                  <c:v>89</c:v>
                </c:pt>
                <c:pt idx="2876">
                  <c:v>88</c:v>
                </c:pt>
                <c:pt idx="2877">
                  <c:v>125</c:v>
                </c:pt>
                <c:pt idx="2878">
                  <c:v>111</c:v>
                </c:pt>
                <c:pt idx="2879">
                  <c:v>90</c:v>
                </c:pt>
                <c:pt idx="2880">
                  <c:v>99</c:v>
                </c:pt>
                <c:pt idx="2881">
                  <c:v>95</c:v>
                </c:pt>
                <c:pt idx="2882">
                  <c:v>195</c:v>
                </c:pt>
                <c:pt idx="2883">
                  <c:v>106</c:v>
                </c:pt>
                <c:pt idx="2884">
                  <c:v>117</c:v>
                </c:pt>
                <c:pt idx="2885">
                  <c:v>101</c:v>
                </c:pt>
                <c:pt idx="2886">
                  <c:v>124</c:v>
                </c:pt>
                <c:pt idx="2887">
                  <c:v>124</c:v>
                </c:pt>
                <c:pt idx="2888">
                  <c:v>88</c:v>
                </c:pt>
                <c:pt idx="2889">
                  <c:v>101</c:v>
                </c:pt>
                <c:pt idx="2890">
                  <c:v>113</c:v>
                </c:pt>
                <c:pt idx="2891">
                  <c:v>125</c:v>
                </c:pt>
                <c:pt idx="2892">
                  <c:v>120</c:v>
                </c:pt>
                <c:pt idx="2893">
                  <c:v>128</c:v>
                </c:pt>
                <c:pt idx="2894">
                  <c:v>105</c:v>
                </c:pt>
                <c:pt idx="2895">
                  <c:v>122</c:v>
                </c:pt>
                <c:pt idx="2896">
                  <c:v>84</c:v>
                </c:pt>
                <c:pt idx="2897">
                  <c:v>135</c:v>
                </c:pt>
                <c:pt idx="2898">
                  <c:v>92</c:v>
                </c:pt>
                <c:pt idx="2899">
                  <c:v>119</c:v>
                </c:pt>
                <c:pt idx="2900">
                  <c:v>150</c:v>
                </c:pt>
                <c:pt idx="2901">
                  <c:v>102</c:v>
                </c:pt>
                <c:pt idx="2902">
                  <c:v>120</c:v>
                </c:pt>
                <c:pt idx="2903">
                  <c:v>99</c:v>
                </c:pt>
                <c:pt idx="2904">
                  <c:v>100</c:v>
                </c:pt>
                <c:pt idx="2905">
                  <c:v>97</c:v>
                </c:pt>
                <c:pt idx="2906">
                  <c:v>98</c:v>
                </c:pt>
                <c:pt idx="2907">
                  <c:v>94</c:v>
                </c:pt>
                <c:pt idx="2908">
                  <c:v>96</c:v>
                </c:pt>
                <c:pt idx="2909">
                  <c:v>180</c:v>
                </c:pt>
                <c:pt idx="2910">
                  <c:v>92</c:v>
                </c:pt>
                <c:pt idx="2911">
                  <c:v>112</c:v>
                </c:pt>
                <c:pt idx="2912">
                  <c:v>97</c:v>
                </c:pt>
                <c:pt idx="2913">
                  <c:v>115</c:v>
                </c:pt>
                <c:pt idx="2914">
                  <c:v>72</c:v>
                </c:pt>
                <c:pt idx="2915">
                  <c:v>109</c:v>
                </c:pt>
                <c:pt idx="2916">
                  <c:v>102</c:v>
                </c:pt>
                <c:pt idx="2917">
                  <c:v>43</c:v>
                </c:pt>
                <c:pt idx="2918">
                  <c:v>119</c:v>
                </c:pt>
                <c:pt idx="2919">
                  <c:v>95</c:v>
                </c:pt>
                <c:pt idx="2920">
                  <c:v>104</c:v>
                </c:pt>
                <c:pt idx="2921">
                  <c:v>127</c:v>
                </c:pt>
                <c:pt idx="2922">
                  <c:v>102</c:v>
                </c:pt>
                <c:pt idx="2923">
                  <c:v>99</c:v>
                </c:pt>
                <c:pt idx="2924">
                  <c:v>148</c:v>
                </c:pt>
                <c:pt idx="2925">
                  <c:v>105</c:v>
                </c:pt>
                <c:pt idx="2926">
                  <c:v>132</c:v>
                </c:pt>
                <c:pt idx="2927">
                  <c:v>101</c:v>
                </c:pt>
                <c:pt idx="2928">
                  <c:v>101</c:v>
                </c:pt>
                <c:pt idx="2929">
                  <c:v>96</c:v>
                </c:pt>
                <c:pt idx="2930">
                  <c:v>110</c:v>
                </c:pt>
                <c:pt idx="2931">
                  <c:v>52</c:v>
                </c:pt>
                <c:pt idx="2932">
                  <c:v>97</c:v>
                </c:pt>
                <c:pt idx="2933">
                  <c:v>105</c:v>
                </c:pt>
                <c:pt idx="2934">
                  <c:v>107</c:v>
                </c:pt>
                <c:pt idx="2935">
                  <c:v>99</c:v>
                </c:pt>
                <c:pt idx="2936">
                  <c:v>86</c:v>
                </c:pt>
                <c:pt idx="2937">
                  <c:v>98</c:v>
                </c:pt>
                <c:pt idx="2938">
                  <c:v>114</c:v>
                </c:pt>
                <c:pt idx="2939">
                  <c:v>117</c:v>
                </c:pt>
                <c:pt idx="2940">
                  <c:v>94</c:v>
                </c:pt>
                <c:pt idx="2941">
                  <c:v>93</c:v>
                </c:pt>
                <c:pt idx="2942">
                  <c:v>81</c:v>
                </c:pt>
                <c:pt idx="2943">
                  <c:v>102</c:v>
                </c:pt>
                <c:pt idx="2944">
                  <c:v>139</c:v>
                </c:pt>
                <c:pt idx="2945">
                  <c:v>106</c:v>
                </c:pt>
                <c:pt idx="2946">
                  <c:v>156</c:v>
                </c:pt>
                <c:pt idx="2947">
                  <c:v>155</c:v>
                </c:pt>
                <c:pt idx="2948">
                  <c:v>104</c:v>
                </c:pt>
                <c:pt idx="2949">
                  <c:v>234</c:v>
                </c:pt>
                <c:pt idx="2950">
                  <c:v>89</c:v>
                </c:pt>
                <c:pt idx="2951">
                  <c:v>11</c:v>
                </c:pt>
                <c:pt idx="2952">
                  <c:v>91</c:v>
                </c:pt>
                <c:pt idx="2953">
                  <c:v>136</c:v>
                </c:pt>
                <c:pt idx="2954">
                  <c:v>105</c:v>
                </c:pt>
                <c:pt idx="2955">
                  <c:v>90</c:v>
                </c:pt>
                <c:pt idx="2956">
                  <c:v>150</c:v>
                </c:pt>
                <c:pt idx="2957">
                  <c:v>114</c:v>
                </c:pt>
                <c:pt idx="2958">
                  <c:v>139</c:v>
                </c:pt>
                <c:pt idx="2959">
                  <c:v>145</c:v>
                </c:pt>
                <c:pt idx="2960">
                  <c:v>108</c:v>
                </c:pt>
                <c:pt idx="2961">
                  <c:v>91</c:v>
                </c:pt>
                <c:pt idx="2962">
                  <c:v>50</c:v>
                </c:pt>
                <c:pt idx="2963">
                  <c:v>101</c:v>
                </c:pt>
                <c:pt idx="2964">
                  <c:v>112</c:v>
                </c:pt>
                <c:pt idx="2965">
                  <c:v>98</c:v>
                </c:pt>
                <c:pt idx="2966">
                  <c:v>105</c:v>
                </c:pt>
                <c:pt idx="2968">
                  <c:v>120</c:v>
                </c:pt>
                <c:pt idx="2969">
                  <c:v>100</c:v>
                </c:pt>
                <c:pt idx="2970">
                  <c:v>115</c:v>
                </c:pt>
                <c:pt idx="2971">
                  <c:v>122</c:v>
                </c:pt>
                <c:pt idx="2972">
                  <c:v>118</c:v>
                </c:pt>
                <c:pt idx="2973">
                  <c:v>136</c:v>
                </c:pt>
                <c:pt idx="2974">
                  <c:v>103</c:v>
                </c:pt>
                <c:pt idx="2975">
                  <c:v>98</c:v>
                </c:pt>
                <c:pt idx="2976">
                  <c:v>121</c:v>
                </c:pt>
                <c:pt idx="2977">
                  <c:v>90</c:v>
                </c:pt>
                <c:pt idx="2978">
                  <c:v>82</c:v>
                </c:pt>
                <c:pt idx="2979">
                  <c:v>114</c:v>
                </c:pt>
                <c:pt idx="2980">
                  <c:v>105</c:v>
                </c:pt>
                <c:pt idx="2981">
                  <c:v>80</c:v>
                </c:pt>
                <c:pt idx="2982">
                  <c:v>78</c:v>
                </c:pt>
                <c:pt idx="2983">
                  <c:v>22</c:v>
                </c:pt>
                <c:pt idx="2984">
                  <c:v>89</c:v>
                </c:pt>
                <c:pt idx="2985">
                  <c:v>114</c:v>
                </c:pt>
                <c:pt idx="2986">
                  <c:v>81</c:v>
                </c:pt>
                <c:pt idx="2987">
                  <c:v>100</c:v>
                </c:pt>
                <c:pt idx="2988">
                  <c:v>75</c:v>
                </c:pt>
                <c:pt idx="2989">
                  <c:v>116</c:v>
                </c:pt>
                <c:pt idx="2990">
                  <c:v>88</c:v>
                </c:pt>
                <c:pt idx="2991">
                  <c:v>88</c:v>
                </c:pt>
                <c:pt idx="2992">
                  <c:v>122</c:v>
                </c:pt>
                <c:pt idx="2993">
                  <c:v>122</c:v>
                </c:pt>
                <c:pt idx="2994">
                  <c:v>90</c:v>
                </c:pt>
                <c:pt idx="2995">
                  <c:v>91</c:v>
                </c:pt>
                <c:pt idx="2996">
                  <c:v>43</c:v>
                </c:pt>
                <c:pt idx="2997">
                  <c:v>123</c:v>
                </c:pt>
                <c:pt idx="2998">
                  <c:v>93</c:v>
                </c:pt>
                <c:pt idx="2999">
                  <c:v>95</c:v>
                </c:pt>
                <c:pt idx="3000">
                  <c:v>117</c:v>
                </c:pt>
                <c:pt idx="3001">
                  <c:v>218</c:v>
                </c:pt>
                <c:pt idx="3002">
                  <c:v>22</c:v>
                </c:pt>
                <c:pt idx="3003">
                  <c:v>115</c:v>
                </c:pt>
                <c:pt idx="3004">
                  <c:v>115</c:v>
                </c:pt>
                <c:pt idx="3005">
                  <c:v>88</c:v>
                </c:pt>
                <c:pt idx="3006">
                  <c:v>94</c:v>
                </c:pt>
                <c:pt idx="3007">
                  <c:v>86</c:v>
                </c:pt>
                <c:pt idx="3008">
                  <c:v>124</c:v>
                </c:pt>
                <c:pt idx="3009">
                  <c:v>85</c:v>
                </c:pt>
                <c:pt idx="3010">
                  <c:v>98</c:v>
                </c:pt>
                <c:pt idx="3011">
                  <c:v>90</c:v>
                </c:pt>
                <c:pt idx="3012">
                  <c:v>101</c:v>
                </c:pt>
                <c:pt idx="3013">
                  <c:v>122</c:v>
                </c:pt>
                <c:pt idx="3014">
                  <c:v>96</c:v>
                </c:pt>
                <c:pt idx="3015">
                  <c:v>102</c:v>
                </c:pt>
                <c:pt idx="3016">
                  <c:v>114</c:v>
                </c:pt>
                <c:pt idx="3017">
                  <c:v>82</c:v>
                </c:pt>
                <c:pt idx="3018">
                  <c:v>108</c:v>
                </c:pt>
                <c:pt idx="3019">
                  <c:v>109</c:v>
                </c:pt>
                <c:pt idx="3020">
                  <c:v>111</c:v>
                </c:pt>
                <c:pt idx="3021">
                  <c:v>141</c:v>
                </c:pt>
                <c:pt idx="3022">
                  <c:v>89</c:v>
                </c:pt>
                <c:pt idx="3023">
                  <c:v>97</c:v>
                </c:pt>
                <c:pt idx="3024">
                  <c:v>141</c:v>
                </c:pt>
                <c:pt idx="3025">
                  <c:v>112</c:v>
                </c:pt>
                <c:pt idx="3026">
                  <c:v>92</c:v>
                </c:pt>
                <c:pt idx="3027">
                  <c:v>96</c:v>
                </c:pt>
                <c:pt idx="3028">
                  <c:v>120</c:v>
                </c:pt>
                <c:pt idx="3029">
                  <c:v>125</c:v>
                </c:pt>
                <c:pt idx="3030">
                  <c:v>105</c:v>
                </c:pt>
                <c:pt idx="3031">
                  <c:v>169</c:v>
                </c:pt>
                <c:pt idx="3032">
                  <c:v>96</c:v>
                </c:pt>
                <c:pt idx="3033">
                  <c:v>90</c:v>
                </c:pt>
                <c:pt idx="3034">
                  <c:v>95</c:v>
                </c:pt>
                <c:pt idx="3035">
                  <c:v>121</c:v>
                </c:pt>
                <c:pt idx="3036">
                  <c:v>96</c:v>
                </c:pt>
                <c:pt idx="3037">
                  <c:v>95</c:v>
                </c:pt>
                <c:pt idx="3038">
                  <c:v>92</c:v>
                </c:pt>
                <c:pt idx="3039">
                  <c:v>103</c:v>
                </c:pt>
                <c:pt idx="3040">
                  <c:v>95</c:v>
                </c:pt>
                <c:pt idx="3041">
                  <c:v>142</c:v>
                </c:pt>
                <c:pt idx="3042">
                  <c:v>83</c:v>
                </c:pt>
                <c:pt idx="3043">
                  <c:v>84</c:v>
                </c:pt>
                <c:pt idx="3044">
                  <c:v>89</c:v>
                </c:pt>
                <c:pt idx="3045">
                  <c:v>88</c:v>
                </c:pt>
                <c:pt idx="3046">
                  <c:v>185</c:v>
                </c:pt>
                <c:pt idx="3047">
                  <c:v>121</c:v>
                </c:pt>
                <c:pt idx="3048">
                  <c:v>108</c:v>
                </c:pt>
                <c:pt idx="3049">
                  <c:v>108</c:v>
                </c:pt>
                <c:pt idx="3050">
                  <c:v>93</c:v>
                </c:pt>
                <c:pt idx="3051">
                  <c:v>86</c:v>
                </c:pt>
                <c:pt idx="3052">
                  <c:v>96</c:v>
                </c:pt>
                <c:pt idx="3053">
                  <c:v>112</c:v>
                </c:pt>
                <c:pt idx="3054">
                  <c:v>95</c:v>
                </c:pt>
                <c:pt idx="3055">
                  <c:v>120</c:v>
                </c:pt>
                <c:pt idx="3056">
                  <c:v>116</c:v>
                </c:pt>
                <c:pt idx="3057">
                  <c:v>111</c:v>
                </c:pt>
                <c:pt idx="3058">
                  <c:v>103</c:v>
                </c:pt>
                <c:pt idx="3059">
                  <c:v>45</c:v>
                </c:pt>
                <c:pt idx="3060">
                  <c:v>81</c:v>
                </c:pt>
                <c:pt idx="3061">
                  <c:v>101</c:v>
                </c:pt>
                <c:pt idx="3062">
                  <c:v>127</c:v>
                </c:pt>
                <c:pt idx="3063">
                  <c:v>113</c:v>
                </c:pt>
                <c:pt idx="3064">
                  <c:v>41</c:v>
                </c:pt>
                <c:pt idx="3065">
                  <c:v>140</c:v>
                </c:pt>
                <c:pt idx="3066">
                  <c:v>111</c:v>
                </c:pt>
                <c:pt idx="3067">
                  <c:v>111</c:v>
                </c:pt>
                <c:pt idx="3068">
                  <c:v>96</c:v>
                </c:pt>
                <c:pt idx="3069">
                  <c:v>123</c:v>
                </c:pt>
                <c:pt idx="3070">
                  <c:v>104</c:v>
                </c:pt>
                <c:pt idx="3071">
                  <c:v>43</c:v>
                </c:pt>
                <c:pt idx="3072">
                  <c:v>94</c:v>
                </c:pt>
                <c:pt idx="3073">
                  <c:v>88</c:v>
                </c:pt>
                <c:pt idx="3074">
                  <c:v>101</c:v>
                </c:pt>
                <c:pt idx="3075">
                  <c:v>127</c:v>
                </c:pt>
                <c:pt idx="3076">
                  <c:v>117</c:v>
                </c:pt>
                <c:pt idx="3077">
                  <c:v>128</c:v>
                </c:pt>
                <c:pt idx="3078">
                  <c:v>99</c:v>
                </c:pt>
                <c:pt idx="3079">
                  <c:v>136</c:v>
                </c:pt>
                <c:pt idx="3080">
                  <c:v>111</c:v>
                </c:pt>
                <c:pt idx="3081">
                  <c:v>82</c:v>
                </c:pt>
                <c:pt idx="3082">
                  <c:v>119</c:v>
                </c:pt>
                <c:pt idx="3083">
                  <c:v>95</c:v>
                </c:pt>
                <c:pt idx="3084">
                  <c:v>99</c:v>
                </c:pt>
                <c:pt idx="3085">
                  <c:v>100</c:v>
                </c:pt>
                <c:pt idx="3086">
                  <c:v>123</c:v>
                </c:pt>
                <c:pt idx="3087">
                  <c:v>123</c:v>
                </c:pt>
                <c:pt idx="3088">
                  <c:v>110</c:v>
                </c:pt>
                <c:pt idx="3089">
                  <c:v>202</c:v>
                </c:pt>
                <c:pt idx="3090">
                  <c:v>136</c:v>
                </c:pt>
                <c:pt idx="3091">
                  <c:v>102</c:v>
                </c:pt>
                <c:pt idx="3092">
                  <c:v>90</c:v>
                </c:pt>
                <c:pt idx="3093">
                  <c:v>146</c:v>
                </c:pt>
                <c:pt idx="3094">
                  <c:v>30</c:v>
                </c:pt>
                <c:pt idx="3095">
                  <c:v>129</c:v>
                </c:pt>
                <c:pt idx="3096">
                  <c:v>94</c:v>
                </c:pt>
                <c:pt idx="3097">
                  <c:v>105</c:v>
                </c:pt>
                <c:pt idx="3098">
                  <c:v>100</c:v>
                </c:pt>
                <c:pt idx="3099">
                  <c:v>89</c:v>
                </c:pt>
                <c:pt idx="3100">
                  <c:v>93</c:v>
                </c:pt>
                <c:pt idx="3101">
                  <c:v>101</c:v>
                </c:pt>
                <c:pt idx="3102">
                  <c:v>103</c:v>
                </c:pt>
                <c:pt idx="3103">
                  <c:v>92</c:v>
                </c:pt>
                <c:pt idx="3104">
                  <c:v>115</c:v>
                </c:pt>
                <c:pt idx="3105">
                  <c:v>99</c:v>
                </c:pt>
                <c:pt idx="3106">
                  <c:v>123</c:v>
                </c:pt>
                <c:pt idx="3107">
                  <c:v>113</c:v>
                </c:pt>
                <c:pt idx="3108">
                  <c:v>106</c:v>
                </c:pt>
                <c:pt idx="3109">
                  <c:v>114</c:v>
                </c:pt>
                <c:pt idx="3110">
                  <c:v>101</c:v>
                </c:pt>
                <c:pt idx="3111">
                  <c:v>100</c:v>
                </c:pt>
                <c:pt idx="3112">
                  <c:v>114</c:v>
                </c:pt>
                <c:pt idx="3113">
                  <c:v>110</c:v>
                </c:pt>
                <c:pt idx="3114">
                  <c:v>97</c:v>
                </c:pt>
                <c:pt idx="3115">
                  <c:v>85</c:v>
                </c:pt>
                <c:pt idx="3116">
                  <c:v>92</c:v>
                </c:pt>
                <c:pt idx="3117">
                  <c:v>90</c:v>
                </c:pt>
                <c:pt idx="3118">
                  <c:v>90</c:v>
                </c:pt>
                <c:pt idx="3119">
                  <c:v>97</c:v>
                </c:pt>
                <c:pt idx="3120">
                  <c:v>100</c:v>
                </c:pt>
                <c:pt idx="3121">
                  <c:v>99</c:v>
                </c:pt>
                <c:pt idx="3122">
                  <c:v>98</c:v>
                </c:pt>
                <c:pt idx="3123">
                  <c:v>99</c:v>
                </c:pt>
                <c:pt idx="3124">
                  <c:v>7</c:v>
                </c:pt>
                <c:pt idx="3125">
                  <c:v>66</c:v>
                </c:pt>
                <c:pt idx="3126">
                  <c:v>103</c:v>
                </c:pt>
                <c:pt idx="3127">
                  <c:v>117</c:v>
                </c:pt>
                <c:pt idx="3128">
                  <c:v>128</c:v>
                </c:pt>
                <c:pt idx="3129">
                  <c:v>129</c:v>
                </c:pt>
                <c:pt idx="3130">
                  <c:v>96</c:v>
                </c:pt>
                <c:pt idx="3131">
                  <c:v>95</c:v>
                </c:pt>
                <c:pt idx="3132">
                  <c:v>88</c:v>
                </c:pt>
                <c:pt idx="3133">
                  <c:v>104</c:v>
                </c:pt>
                <c:pt idx="3134">
                  <c:v>105</c:v>
                </c:pt>
                <c:pt idx="3135">
                  <c:v>96</c:v>
                </c:pt>
                <c:pt idx="3136">
                  <c:v>122</c:v>
                </c:pt>
                <c:pt idx="3137">
                  <c:v>105</c:v>
                </c:pt>
                <c:pt idx="3138">
                  <c:v>119</c:v>
                </c:pt>
                <c:pt idx="3139">
                  <c:v>92</c:v>
                </c:pt>
                <c:pt idx="3140">
                  <c:v>93</c:v>
                </c:pt>
                <c:pt idx="3141">
                  <c:v>124</c:v>
                </c:pt>
                <c:pt idx="3142">
                  <c:v>99</c:v>
                </c:pt>
                <c:pt idx="3143">
                  <c:v>95</c:v>
                </c:pt>
                <c:pt idx="3144">
                  <c:v>106</c:v>
                </c:pt>
                <c:pt idx="3145">
                  <c:v>85</c:v>
                </c:pt>
                <c:pt idx="3146">
                  <c:v>101</c:v>
                </c:pt>
                <c:pt idx="3147">
                  <c:v>89</c:v>
                </c:pt>
                <c:pt idx="3148">
                  <c:v>92</c:v>
                </c:pt>
                <c:pt idx="3150">
                  <c:v>108</c:v>
                </c:pt>
                <c:pt idx="3151">
                  <c:v>97</c:v>
                </c:pt>
                <c:pt idx="3152">
                  <c:v>79</c:v>
                </c:pt>
                <c:pt idx="3153">
                  <c:v>131</c:v>
                </c:pt>
                <c:pt idx="3154">
                  <c:v>93</c:v>
                </c:pt>
                <c:pt idx="3155">
                  <c:v>93</c:v>
                </c:pt>
                <c:pt idx="3156">
                  <c:v>93</c:v>
                </c:pt>
                <c:pt idx="3157">
                  <c:v>90</c:v>
                </c:pt>
                <c:pt idx="3158">
                  <c:v>138</c:v>
                </c:pt>
                <c:pt idx="3159">
                  <c:v>90</c:v>
                </c:pt>
                <c:pt idx="3160">
                  <c:v>121</c:v>
                </c:pt>
                <c:pt idx="3161">
                  <c:v>123</c:v>
                </c:pt>
                <c:pt idx="3162">
                  <c:v>212</c:v>
                </c:pt>
                <c:pt idx="3163">
                  <c:v>126</c:v>
                </c:pt>
                <c:pt idx="3164">
                  <c:v>87</c:v>
                </c:pt>
                <c:pt idx="3165">
                  <c:v>106</c:v>
                </c:pt>
                <c:pt idx="3166">
                  <c:v>132</c:v>
                </c:pt>
                <c:pt idx="3167">
                  <c:v>95</c:v>
                </c:pt>
                <c:pt idx="3168">
                  <c:v>86</c:v>
                </c:pt>
                <c:pt idx="3169">
                  <c:v>87</c:v>
                </c:pt>
                <c:pt idx="3170">
                  <c:v>89</c:v>
                </c:pt>
                <c:pt idx="3171">
                  <c:v>88</c:v>
                </c:pt>
                <c:pt idx="3172">
                  <c:v>135</c:v>
                </c:pt>
                <c:pt idx="3173">
                  <c:v>122</c:v>
                </c:pt>
                <c:pt idx="3174">
                  <c:v>99</c:v>
                </c:pt>
                <c:pt idx="3175">
                  <c:v>133</c:v>
                </c:pt>
                <c:pt idx="3176">
                  <c:v>114</c:v>
                </c:pt>
                <c:pt idx="3177">
                  <c:v>96</c:v>
                </c:pt>
                <c:pt idx="3178">
                  <c:v>147</c:v>
                </c:pt>
                <c:pt idx="3179">
                  <c:v>102</c:v>
                </c:pt>
                <c:pt idx="3180">
                  <c:v>85</c:v>
                </c:pt>
                <c:pt idx="3181">
                  <c:v>103</c:v>
                </c:pt>
                <c:pt idx="3182">
                  <c:v>97</c:v>
                </c:pt>
                <c:pt idx="3183">
                  <c:v>110</c:v>
                </c:pt>
                <c:pt idx="3184">
                  <c:v>104</c:v>
                </c:pt>
                <c:pt idx="3185">
                  <c:v>98</c:v>
                </c:pt>
                <c:pt idx="3186">
                  <c:v>91</c:v>
                </c:pt>
                <c:pt idx="3187">
                  <c:v>96</c:v>
                </c:pt>
                <c:pt idx="3188">
                  <c:v>106</c:v>
                </c:pt>
                <c:pt idx="3189">
                  <c:v>100</c:v>
                </c:pt>
                <c:pt idx="3190">
                  <c:v>286</c:v>
                </c:pt>
                <c:pt idx="3191">
                  <c:v>97</c:v>
                </c:pt>
                <c:pt idx="3192">
                  <c:v>102</c:v>
                </c:pt>
                <c:pt idx="3193">
                  <c:v>100</c:v>
                </c:pt>
                <c:pt idx="3194">
                  <c:v>86</c:v>
                </c:pt>
                <c:pt idx="3195">
                  <c:v>100</c:v>
                </c:pt>
                <c:pt idx="3196">
                  <c:v>90</c:v>
                </c:pt>
                <c:pt idx="3197">
                  <c:v>102</c:v>
                </c:pt>
                <c:pt idx="3198">
                  <c:v>89</c:v>
                </c:pt>
                <c:pt idx="3199">
                  <c:v>147</c:v>
                </c:pt>
                <c:pt idx="3200">
                  <c:v>89</c:v>
                </c:pt>
                <c:pt idx="3201">
                  <c:v>45</c:v>
                </c:pt>
                <c:pt idx="3202">
                  <c:v>99</c:v>
                </c:pt>
                <c:pt idx="3203">
                  <c:v>148</c:v>
                </c:pt>
                <c:pt idx="3204">
                  <c:v>95</c:v>
                </c:pt>
                <c:pt idx="3205">
                  <c:v>93</c:v>
                </c:pt>
                <c:pt idx="3206">
                  <c:v>84</c:v>
                </c:pt>
                <c:pt idx="3207">
                  <c:v>120</c:v>
                </c:pt>
                <c:pt idx="3208">
                  <c:v>91</c:v>
                </c:pt>
                <c:pt idx="3209">
                  <c:v>96</c:v>
                </c:pt>
                <c:pt idx="3210">
                  <c:v>108</c:v>
                </c:pt>
                <c:pt idx="3211">
                  <c:v>94</c:v>
                </c:pt>
                <c:pt idx="3212">
                  <c:v>90</c:v>
                </c:pt>
                <c:pt idx="3213">
                  <c:v>121</c:v>
                </c:pt>
                <c:pt idx="3214">
                  <c:v>89</c:v>
                </c:pt>
                <c:pt idx="3215">
                  <c:v>109</c:v>
                </c:pt>
                <c:pt idx="3216">
                  <c:v>98</c:v>
                </c:pt>
                <c:pt idx="3217">
                  <c:v>210</c:v>
                </c:pt>
                <c:pt idx="3218">
                  <c:v>208</c:v>
                </c:pt>
                <c:pt idx="3219">
                  <c:v>224</c:v>
                </c:pt>
                <c:pt idx="3220">
                  <c:v>107</c:v>
                </c:pt>
                <c:pt idx="3221">
                  <c:v>89</c:v>
                </c:pt>
                <c:pt idx="3222">
                  <c:v>99</c:v>
                </c:pt>
                <c:pt idx="3223">
                  <c:v>127</c:v>
                </c:pt>
                <c:pt idx="3224">
                  <c:v>104</c:v>
                </c:pt>
                <c:pt idx="3225">
                  <c:v>80</c:v>
                </c:pt>
                <c:pt idx="3226">
                  <c:v>132</c:v>
                </c:pt>
                <c:pt idx="3227">
                  <c:v>83</c:v>
                </c:pt>
                <c:pt idx="3228">
                  <c:v>83</c:v>
                </c:pt>
                <c:pt idx="3229">
                  <c:v>100</c:v>
                </c:pt>
                <c:pt idx="3230">
                  <c:v>126</c:v>
                </c:pt>
                <c:pt idx="3231">
                  <c:v>115</c:v>
                </c:pt>
                <c:pt idx="3232">
                  <c:v>99</c:v>
                </c:pt>
                <c:pt idx="3233">
                  <c:v>90</c:v>
                </c:pt>
                <c:pt idx="3234">
                  <c:v>89</c:v>
                </c:pt>
                <c:pt idx="3235">
                  <c:v>141</c:v>
                </c:pt>
                <c:pt idx="3236">
                  <c:v>97</c:v>
                </c:pt>
                <c:pt idx="3237">
                  <c:v>120</c:v>
                </c:pt>
                <c:pt idx="3238">
                  <c:v>97</c:v>
                </c:pt>
                <c:pt idx="3239">
                  <c:v>112</c:v>
                </c:pt>
                <c:pt idx="3240">
                  <c:v>95</c:v>
                </c:pt>
                <c:pt idx="3241">
                  <c:v>128</c:v>
                </c:pt>
                <c:pt idx="3242">
                  <c:v>103</c:v>
                </c:pt>
                <c:pt idx="3243">
                  <c:v>97</c:v>
                </c:pt>
                <c:pt idx="3244">
                  <c:v>170</c:v>
                </c:pt>
                <c:pt idx="3245">
                  <c:v>94</c:v>
                </c:pt>
                <c:pt idx="3246">
                  <c:v>86</c:v>
                </c:pt>
                <c:pt idx="3247">
                  <c:v>109</c:v>
                </c:pt>
                <c:pt idx="3248">
                  <c:v>23</c:v>
                </c:pt>
                <c:pt idx="3249">
                  <c:v>92</c:v>
                </c:pt>
                <c:pt idx="3250">
                  <c:v>93</c:v>
                </c:pt>
                <c:pt idx="3251">
                  <c:v>101</c:v>
                </c:pt>
                <c:pt idx="3252">
                  <c:v>115</c:v>
                </c:pt>
                <c:pt idx="3253">
                  <c:v>99</c:v>
                </c:pt>
                <c:pt idx="3254">
                  <c:v>100</c:v>
                </c:pt>
                <c:pt idx="3255">
                  <c:v>92</c:v>
                </c:pt>
                <c:pt idx="3256">
                  <c:v>106</c:v>
                </c:pt>
                <c:pt idx="3257">
                  <c:v>84</c:v>
                </c:pt>
                <c:pt idx="3258">
                  <c:v>85</c:v>
                </c:pt>
                <c:pt idx="3259">
                  <c:v>93</c:v>
                </c:pt>
                <c:pt idx="3260">
                  <c:v>81</c:v>
                </c:pt>
                <c:pt idx="3261">
                  <c:v>160</c:v>
                </c:pt>
                <c:pt idx="3262">
                  <c:v>124</c:v>
                </c:pt>
                <c:pt idx="3263">
                  <c:v>138</c:v>
                </c:pt>
                <c:pt idx="3264">
                  <c:v>81</c:v>
                </c:pt>
                <c:pt idx="3265">
                  <c:v>130</c:v>
                </c:pt>
                <c:pt idx="3266">
                  <c:v>85</c:v>
                </c:pt>
                <c:pt idx="3267">
                  <c:v>88</c:v>
                </c:pt>
                <c:pt idx="3268">
                  <c:v>60</c:v>
                </c:pt>
                <c:pt idx="3269">
                  <c:v>96</c:v>
                </c:pt>
                <c:pt idx="3270">
                  <c:v>100</c:v>
                </c:pt>
                <c:pt idx="3271">
                  <c:v>131</c:v>
                </c:pt>
                <c:pt idx="3272">
                  <c:v>116</c:v>
                </c:pt>
                <c:pt idx="3273">
                  <c:v>90</c:v>
                </c:pt>
                <c:pt idx="3274">
                  <c:v>55</c:v>
                </c:pt>
                <c:pt idx="3275">
                  <c:v>98</c:v>
                </c:pt>
                <c:pt idx="3276">
                  <c:v>81</c:v>
                </c:pt>
                <c:pt idx="3277">
                  <c:v>108</c:v>
                </c:pt>
                <c:pt idx="3278">
                  <c:v>148</c:v>
                </c:pt>
                <c:pt idx="3279">
                  <c:v>121</c:v>
                </c:pt>
                <c:pt idx="3280">
                  <c:v>135</c:v>
                </c:pt>
                <c:pt idx="3281">
                  <c:v>116</c:v>
                </c:pt>
                <c:pt idx="3282">
                  <c:v>105</c:v>
                </c:pt>
                <c:pt idx="3283">
                  <c:v>95</c:v>
                </c:pt>
                <c:pt idx="3284">
                  <c:v>134</c:v>
                </c:pt>
                <c:pt idx="3285">
                  <c:v>118</c:v>
                </c:pt>
                <c:pt idx="3286">
                  <c:v>93</c:v>
                </c:pt>
                <c:pt idx="3287">
                  <c:v>98</c:v>
                </c:pt>
                <c:pt idx="3288">
                  <c:v>135</c:v>
                </c:pt>
                <c:pt idx="3289">
                  <c:v>312</c:v>
                </c:pt>
                <c:pt idx="3290">
                  <c:v>121</c:v>
                </c:pt>
                <c:pt idx="3291">
                  <c:v>83</c:v>
                </c:pt>
                <c:pt idx="3292">
                  <c:v>125</c:v>
                </c:pt>
                <c:pt idx="3293">
                  <c:v>111</c:v>
                </c:pt>
                <c:pt idx="3294">
                  <c:v>104</c:v>
                </c:pt>
                <c:pt idx="3295">
                  <c:v>96</c:v>
                </c:pt>
                <c:pt idx="3296">
                  <c:v>128</c:v>
                </c:pt>
                <c:pt idx="3297">
                  <c:v>94</c:v>
                </c:pt>
                <c:pt idx="3298">
                  <c:v>106</c:v>
                </c:pt>
                <c:pt idx="3299">
                  <c:v>114</c:v>
                </c:pt>
                <c:pt idx="3300">
                  <c:v>81</c:v>
                </c:pt>
                <c:pt idx="3301">
                  <c:v>100</c:v>
                </c:pt>
                <c:pt idx="3302">
                  <c:v>84</c:v>
                </c:pt>
                <c:pt idx="3303">
                  <c:v>88</c:v>
                </c:pt>
                <c:pt idx="3304">
                  <c:v>89</c:v>
                </c:pt>
                <c:pt idx="3305">
                  <c:v>100</c:v>
                </c:pt>
                <c:pt idx="3306">
                  <c:v>102</c:v>
                </c:pt>
                <c:pt idx="3307">
                  <c:v>98</c:v>
                </c:pt>
                <c:pt idx="3308">
                  <c:v>90</c:v>
                </c:pt>
                <c:pt idx="3309">
                  <c:v>89</c:v>
                </c:pt>
                <c:pt idx="3310">
                  <c:v>118</c:v>
                </c:pt>
                <c:pt idx="3311">
                  <c:v>105</c:v>
                </c:pt>
                <c:pt idx="3312">
                  <c:v>122</c:v>
                </c:pt>
                <c:pt idx="3313">
                  <c:v>116</c:v>
                </c:pt>
                <c:pt idx="3314">
                  <c:v>105</c:v>
                </c:pt>
                <c:pt idx="3315">
                  <c:v>132</c:v>
                </c:pt>
                <c:pt idx="3316">
                  <c:v>119</c:v>
                </c:pt>
                <c:pt idx="3317">
                  <c:v>107</c:v>
                </c:pt>
                <c:pt idx="3318">
                  <c:v>110</c:v>
                </c:pt>
                <c:pt idx="3319">
                  <c:v>127</c:v>
                </c:pt>
                <c:pt idx="3320">
                  <c:v>111</c:v>
                </c:pt>
                <c:pt idx="3321">
                  <c:v>118</c:v>
                </c:pt>
                <c:pt idx="3322">
                  <c:v>103</c:v>
                </c:pt>
                <c:pt idx="3323">
                  <c:v>116</c:v>
                </c:pt>
                <c:pt idx="3324">
                  <c:v>143</c:v>
                </c:pt>
                <c:pt idx="3325">
                  <c:v>136</c:v>
                </c:pt>
                <c:pt idx="3326">
                  <c:v>142</c:v>
                </c:pt>
                <c:pt idx="3327">
                  <c:v>140</c:v>
                </c:pt>
                <c:pt idx="3328">
                  <c:v>125</c:v>
                </c:pt>
                <c:pt idx="3329">
                  <c:v>127</c:v>
                </c:pt>
                <c:pt idx="3330">
                  <c:v>134</c:v>
                </c:pt>
                <c:pt idx="3332">
                  <c:v>23</c:v>
                </c:pt>
                <c:pt idx="3333">
                  <c:v>127</c:v>
                </c:pt>
                <c:pt idx="3334">
                  <c:v>44</c:v>
                </c:pt>
                <c:pt idx="3335">
                  <c:v>97</c:v>
                </c:pt>
                <c:pt idx="3336">
                  <c:v>129</c:v>
                </c:pt>
                <c:pt idx="3337">
                  <c:v>101</c:v>
                </c:pt>
                <c:pt idx="3338">
                  <c:v>103</c:v>
                </c:pt>
                <c:pt idx="3339">
                  <c:v>100</c:v>
                </c:pt>
                <c:pt idx="3340">
                  <c:v>127</c:v>
                </c:pt>
                <c:pt idx="3341">
                  <c:v>75</c:v>
                </c:pt>
                <c:pt idx="3342">
                  <c:v>170</c:v>
                </c:pt>
                <c:pt idx="3343">
                  <c:v>121</c:v>
                </c:pt>
                <c:pt idx="3344">
                  <c:v>103</c:v>
                </c:pt>
                <c:pt idx="3345">
                  <c:v>97</c:v>
                </c:pt>
                <c:pt idx="3346">
                  <c:v>106</c:v>
                </c:pt>
                <c:pt idx="3347">
                  <c:v>98</c:v>
                </c:pt>
                <c:pt idx="3348">
                  <c:v>107</c:v>
                </c:pt>
                <c:pt idx="3349">
                  <c:v>99</c:v>
                </c:pt>
                <c:pt idx="3350">
                  <c:v>104</c:v>
                </c:pt>
                <c:pt idx="3351">
                  <c:v>124</c:v>
                </c:pt>
                <c:pt idx="3352">
                  <c:v>138</c:v>
                </c:pt>
                <c:pt idx="3353">
                  <c:v>122</c:v>
                </c:pt>
                <c:pt idx="3354">
                  <c:v>103</c:v>
                </c:pt>
                <c:pt idx="3355">
                  <c:v>94</c:v>
                </c:pt>
                <c:pt idx="3356">
                  <c:v>103</c:v>
                </c:pt>
                <c:pt idx="3357">
                  <c:v>101</c:v>
                </c:pt>
                <c:pt idx="3358">
                  <c:v>99</c:v>
                </c:pt>
                <c:pt idx="3359">
                  <c:v>86</c:v>
                </c:pt>
                <c:pt idx="3360">
                  <c:v>99</c:v>
                </c:pt>
                <c:pt idx="3361">
                  <c:v>91</c:v>
                </c:pt>
                <c:pt idx="3362">
                  <c:v>96</c:v>
                </c:pt>
                <c:pt idx="3363">
                  <c:v>109</c:v>
                </c:pt>
                <c:pt idx="3364">
                  <c:v>88</c:v>
                </c:pt>
                <c:pt idx="3365">
                  <c:v>105</c:v>
                </c:pt>
                <c:pt idx="3366">
                  <c:v>129</c:v>
                </c:pt>
                <c:pt idx="3367">
                  <c:v>112</c:v>
                </c:pt>
                <c:pt idx="3368">
                  <c:v>60</c:v>
                </c:pt>
                <c:pt idx="3369">
                  <c:v>91</c:v>
                </c:pt>
                <c:pt idx="3370">
                  <c:v>91</c:v>
                </c:pt>
                <c:pt idx="3371">
                  <c:v>167</c:v>
                </c:pt>
                <c:pt idx="3372">
                  <c:v>87</c:v>
                </c:pt>
                <c:pt idx="3373">
                  <c:v>113</c:v>
                </c:pt>
                <c:pt idx="3374">
                  <c:v>112</c:v>
                </c:pt>
                <c:pt idx="3375">
                  <c:v>22</c:v>
                </c:pt>
                <c:pt idx="3376">
                  <c:v>110</c:v>
                </c:pt>
                <c:pt idx="3377">
                  <c:v>102</c:v>
                </c:pt>
                <c:pt idx="3378">
                  <c:v>96</c:v>
                </c:pt>
                <c:pt idx="3379">
                  <c:v>109</c:v>
                </c:pt>
                <c:pt idx="3380">
                  <c:v>117</c:v>
                </c:pt>
                <c:pt idx="3381">
                  <c:v>117</c:v>
                </c:pt>
                <c:pt idx="3382">
                  <c:v>77</c:v>
                </c:pt>
                <c:pt idx="3383">
                  <c:v>84</c:v>
                </c:pt>
                <c:pt idx="3384">
                  <c:v>118</c:v>
                </c:pt>
                <c:pt idx="3385">
                  <c:v>87</c:v>
                </c:pt>
                <c:pt idx="3386">
                  <c:v>122</c:v>
                </c:pt>
                <c:pt idx="3387">
                  <c:v>113</c:v>
                </c:pt>
                <c:pt idx="3388">
                  <c:v>97</c:v>
                </c:pt>
                <c:pt idx="3389">
                  <c:v>98</c:v>
                </c:pt>
                <c:pt idx="3390">
                  <c:v>128</c:v>
                </c:pt>
                <c:pt idx="3391">
                  <c:v>123</c:v>
                </c:pt>
                <c:pt idx="3392">
                  <c:v>92</c:v>
                </c:pt>
                <c:pt idx="3393">
                  <c:v>123</c:v>
                </c:pt>
                <c:pt idx="3394">
                  <c:v>108</c:v>
                </c:pt>
                <c:pt idx="3395">
                  <c:v>142</c:v>
                </c:pt>
                <c:pt idx="3396">
                  <c:v>98</c:v>
                </c:pt>
                <c:pt idx="3397">
                  <c:v>93</c:v>
                </c:pt>
                <c:pt idx="3398">
                  <c:v>91</c:v>
                </c:pt>
                <c:pt idx="3399">
                  <c:v>141</c:v>
                </c:pt>
                <c:pt idx="3400">
                  <c:v>107</c:v>
                </c:pt>
                <c:pt idx="3401">
                  <c:v>112</c:v>
                </c:pt>
                <c:pt idx="3402">
                  <c:v>94</c:v>
                </c:pt>
                <c:pt idx="3403">
                  <c:v>104</c:v>
                </c:pt>
                <c:pt idx="3404">
                  <c:v>100</c:v>
                </c:pt>
                <c:pt idx="3405">
                  <c:v>100</c:v>
                </c:pt>
                <c:pt idx="3406">
                  <c:v>96</c:v>
                </c:pt>
                <c:pt idx="3407">
                  <c:v>88</c:v>
                </c:pt>
                <c:pt idx="3408">
                  <c:v>119</c:v>
                </c:pt>
                <c:pt idx="3409">
                  <c:v>102</c:v>
                </c:pt>
                <c:pt idx="3410">
                  <c:v>80</c:v>
                </c:pt>
                <c:pt idx="3411">
                  <c:v>82</c:v>
                </c:pt>
                <c:pt idx="3412">
                  <c:v>116</c:v>
                </c:pt>
                <c:pt idx="3413">
                  <c:v>125</c:v>
                </c:pt>
                <c:pt idx="3414">
                  <c:v>134</c:v>
                </c:pt>
                <c:pt idx="3415">
                  <c:v>169</c:v>
                </c:pt>
                <c:pt idx="3416">
                  <c:v>188</c:v>
                </c:pt>
                <c:pt idx="3417">
                  <c:v>91</c:v>
                </c:pt>
                <c:pt idx="3418">
                  <c:v>81</c:v>
                </c:pt>
                <c:pt idx="3419">
                  <c:v>87</c:v>
                </c:pt>
                <c:pt idx="3420">
                  <c:v>99</c:v>
                </c:pt>
                <c:pt idx="3421">
                  <c:v>85</c:v>
                </c:pt>
                <c:pt idx="3422">
                  <c:v>85</c:v>
                </c:pt>
                <c:pt idx="3423">
                  <c:v>89</c:v>
                </c:pt>
                <c:pt idx="3424">
                  <c:v>90</c:v>
                </c:pt>
                <c:pt idx="3425">
                  <c:v>96</c:v>
                </c:pt>
                <c:pt idx="3426">
                  <c:v>99</c:v>
                </c:pt>
                <c:pt idx="3427">
                  <c:v>154</c:v>
                </c:pt>
                <c:pt idx="3428">
                  <c:v>108</c:v>
                </c:pt>
                <c:pt idx="3429">
                  <c:v>119</c:v>
                </c:pt>
                <c:pt idx="3430">
                  <c:v>97</c:v>
                </c:pt>
                <c:pt idx="3431">
                  <c:v>96</c:v>
                </c:pt>
                <c:pt idx="3432">
                  <c:v>89</c:v>
                </c:pt>
                <c:pt idx="3433">
                  <c:v>85</c:v>
                </c:pt>
                <c:pt idx="3434">
                  <c:v>102</c:v>
                </c:pt>
                <c:pt idx="3435">
                  <c:v>120</c:v>
                </c:pt>
                <c:pt idx="3436">
                  <c:v>96</c:v>
                </c:pt>
                <c:pt idx="3437">
                  <c:v>118</c:v>
                </c:pt>
                <c:pt idx="3438">
                  <c:v>99</c:v>
                </c:pt>
                <c:pt idx="3439">
                  <c:v>108</c:v>
                </c:pt>
                <c:pt idx="3440">
                  <c:v>124</c:v>
                </c:pt>
                <c:pt idx="3441">
                  <c:v>256</c:v>
                </c:pt>
                <c:pt idx="3442">
                  <c:v>153</c:v>
                </c:pt>
                <c:pt idx="3443">
                  <c:v>78</c:v>
                </c:pt>
                <c:pt idx="3444">
                  <c:v>148</c:v>
                </c:pt>
                <c:pt idx="3445">
                  <c:v>97</c:v>
                </c:pt>
                <c:pt idx="3446">
                  <c:v>121</c:v>
                </c:pt>
                <c:pt idx="3447">
                  <c:v>118</c:v>
                </c:pt>
                <c:pt idx="3448">
                  <c:v>98</c:v>
                </c:pt>
                <c:pt idx="3449">
                  <c:v>115</c:v>
                </c:pt>
                <c:pt idx="3450">
                  <c:v>93</c:v>
                </c:pt>
                <c:pt idx="3451">
                  <c:v>107</c:v>
                </c:pt>
                <c:pt idx="3452">
                  <c:v>120</c:v>
                </c:pt>
                <c:pt idx="3453">
                  <c:v>92</c:v>
                </c:pt>
                <c:pt idx="3454">
                  <c:v>98</c:v>
                </c:pt>
                <c:pt idx="3455">
                  <c:v>110</c:v>
                </c:pt>
                <c:pt idx="3456">
                  <c:v>122</c:v>
                </c:pt>
                <c:pt idx="3457">
                  <c:v>100</c:v>
                </c:pt>
                <c:pt idx="3458">
                  <c:v>100</c:v>
                </c:pt>
                <c:pt idx="3459">
                  <c:v>97</c:v>
                </c:pt>
                <c:pt idx="3460">
                  <c:v>115</c:v>
                </c:pt>
                <c:pt idx="3461">
                  <c:v>104</c:v>
                </c:pt>
                <c:pt idx="3462">
                  <c:v>96</c:v>
                </c:pt>
                <c:pt idx="3463">
                  <c:v>88</c:v>
                </c:pt>
                <c:pt idx="3464">
                  <c:v>110</c:v>
                </c:pt>
                <c:pt idx="3465">
                  <c:v>53</c:v>
                </c:pt>
                <c:pt idx="3466">
                  <c:v>104</c:v>
                </c:pt>
                <c:pt idx="3467">
                  <c:v>117</c:v>
                </c:pt>
                <c:pt idx="3468">
                  <c:v>74</c:v>
                </c:pt>
                <c:pt idx="3469">
                  <c:v>98</c:v>
                </c:pt>
                <c:pt idx="3470">
                  <c:v>142</c:v>
                </c:pt>
                <c:pt idx="3471">
                  <c:v>125</c:v>
                </c:pt>
                <c:pt idx="3472">
                  <c:v>112</c:v>
                </c:pt>
                <c:pt idx="3473">
                  <c:v>95</c:v>
                </c:pt>
                <c:pt idx="3474">
                  <c:v>88</c:v>
                </c:pt>
                <c:pt idx="3475">
                  <c:v>96</c:v>
                </c:pt>
                <c:pt idx="3476">
                  <c:v>202</c:v>
                </c:pt>
                <c:pt idx="3477">
                  <c:v>112</c:v>
                </c:pt>
                <c:pt idx="3478">
                  <c:v>96</c:v>
                </c:pt>
                <c:pt idx="3479">
                  <c:v>94</c:v>
                </c:pt>
                <c:pt idx="3480">
                  <c:v>153</c:v>
                </c:pt>
                <c:pt idx="3481">
                  <c:v>109</c:v>
                </c:pt>
                <c:pt idx="3482">
                  <c:v>126</c:v>
                </c:pt>
                <c:pt idx="3483">
                  <c:v>118</c:v>
                </c:pt>
                <c:pt idx="3484">
                  <c:v>92</c:v>
                </c:pt>
                <c:pt idx="3485">
                  <c:v>110</c:v>
                </c:pt>
                <c:pt idx="3486">
                  <c:v>92</c:v>
                </c:pt>
                <c:pt idx="3487">
                  <c:v>94</c:v>
                </c:pt>
                <c:pt idx="3488">
                  <c:v>149</c:v>
                </c:pt>
                <c:pt idx="3489">
                  <c:v>116</c:v>
                </c:pt>
                <c:pt idx="3490">
                  <c:v>102</c:v>
                </c:pt>
                <c:pt idx="3491">
                  <c:v>127</c:v>
                </c:pt>
                <c:pt idx="3492">
                  <c:v>133</c:v>
                </c:pt>
                <c:pt idx="3493">
                  <c:v>82</c:v>
                </c:pt>
                <c:pt idx="3494">
                  <c:v>90</c:v>
                </c:pt>
                <c:pt idx="3495">
                  <c:v>112</c:v>
                </c:pt>
                <c:pt idx="3496">
                  <c:v>123</c:v>
                </c:pt>
                <c:pt idx="3497">
                  <c:v>171</c:v>
                </c:pt>
                <c:pt idx="3498">
                  <c:v>96</c:v>
                </c:pt>
                <c:pt idx="3499">
                  <c:v>99</c:v>
                </c:pt>
                <c:pt idx="3500">
                  <c:v>106</c:v>
                </c:pt>
                <c:pt idx="3501">
                  <c:v>100</c:v>
                </c:pt>
                <c:pt idx="3502">
                  <c:v>73</c:v>
                </c:pt>
                <c:pt idx="3503">
                  <c:v>104</c:v>
                </c:pt>
                <c:pt idx="3504">
                  <c:v>108</c:v>
                </c:pt>
                <c:pt idx="3505">
                  <c:v>90</c:v>
                </c:pt>
                <c:pt idx="3506">
                  <c:v>95</c:v>
                </c:pt>
                <c:pt idx="3507">
                  <c:v>92</c:v>
                </c:pt>
                <c:pt idx="3508">
                  <c:v>93</c:v>
                </c:pt>
                <c:pt idx="3509">
                  <c:v>107</c:v>
                </c:pt>
                <c:pt idx="3510">
                  <c:v>112</c:v>
                </c:pt>
                <c:pt idx="3511">
                  <c:v>139</c:v>
                </c:pt>
                <c:pt idx="3512">
                  <c:v>274</c:v>
                </c:pt>
                <c:pt idx="3513">
                  <c:v>99</c:v>
                </c:pt>
                <c:pt idx="3514">
                  <c:v>89</c:v>
                </c:pt>
                <c:pt idx="3515">
                  <c:v>142</c:v>
                </c:pt>
                <c:pt idx="3516">
                  <c:v>153</c:v>
                </c:pt>
                <c:pt idx="3517">
                  <c:v>114</c:v>
                </c:pt>
                <c:pt idx="3518">
                  <c:v>105</c:v>
                </c:pt>
                <c:pt idx="3519">
                  <c:v>90</c:v>
                </c:pt>
                <c:pt idx="3520">
                  <c:v>115</c:v>
                </c:pt>
                <c:pt idx="3521">
                  <c:v>97</c:v>
                </c:pt>
                <c:pt idx="3522">
                  <c:v>84</c:v>
                </c:pt>
                <c:pt idx="3523">
                  <c:v>88</c:v>
                </c:pt>
                <c:pt idx="3524">
                  <c:v>125</c:v>
                </c:pt>
                <c:pt idx="3525">
                  <c:v>134</c:v>
                </c:pt>
                <c:pt idx="3526">
                  <c:v>83</c:v>
                </c:pt>
                <c:pt idx="3527">
                  <c:v>83</c:v>
                </c:pt>
                <c:pt idx="3528">
                  <c:v>116</c:v>
                </c:pt>
                <c:pt idx="3529">
                  <c:v>100</c:v>
                </c:pt>
                <c:pt idx="3530">
                  <c:v>105</c:v>
                </c:pt>
                <c:pt idx="3531">
                  <c:v>160</c:v>
                </c:pt>
                <c:pt idx="3532">
                  <c:v>104</c:v>
                </c:pt>
                <c:pt idx="3533">
                  <c:v>218</c:v>
                </c:pt>
                <c:pt idx="3534">
                  <c:v>60</c:v>
                </c:pt>
                <c:pt idx="3535">
                  <c:v>346</c:v>
                </c:pt>
                <c:pt idx="3536">
                  <c:v>170</c:v>
                </c:pt>
                <c:pt idx="3537">
                  <c:v>107</c:v>
                </c:pt>
                <c:pt idx="3538">
                  <c:v>184</c:v>
                </c:pt>
                <c:pt idx="3539">
                  <c:v>60</c:v>
                </c:pt>
                <c:pt idx="3540">
                  <c:v>104</c:v>
                </c:pt>
                <c:pt idx="3541">
                  <c:v>102</c:v>
                </c:pt>
                <c:pt idx="3542">
                  <c:v>121</c:v>
                </c:pt>
                <c:pt idx="3543">
                  <c:v>105</c:v>
                </c:pt>
                <c:pt idx="3544">
                  <c:v>112</c:v>
                </c:pt>
                <c:pt idx="3545">
                  <c:v>98</c:v>
                </c:pt>
                <c:pt idx="3546">
                  <c:v>111</c:v>
                </c:pt>
                <c:pt idx="3547">
                  <c:v>112</c:v>
                </c:pt>
                <c:pt idx="3548">
                  <c:v>87</c:v>
                </c:pt>
                <c:pt idx="3549">
                  <c:v>105</c:v>
                </c:pt>
                <c:pt idx="3550">
                  <c:v>79</c:v>
                </c:pt>
                <c:pt idx="3551">
                  <c:v>119</c:v>
                </c:pt>
                <c:pt idx="3552">
                  <c:v>80</c:v>
                </c:pt>
                <c:pt idx="3553">
                  <c:v>90</c:v>
                </c:pt>
                <c:pt idx="3554">
                  <c:v>91</c:v>
                </c:pt>
                <c:pt idx="3555">
                  <c:v>98</c:v>
                </c:pt>
                <c:pt idx="3556">
                  <c:v>75</c:v>
                </c:pt>
                <c:pt idx="3557">
                  <c:v>124</c:v>
                </c:pt>
                <c:pt idx="3558">
                  <c:v>114</c:v>
                </c:pt>
                <c:pt idx="3559">
                  <c:v>123</c:v>
                </c:pt>
                <c:pt idx="3560">
                  <c:v>120</c:v>
                </c:pt>
                <c:pt idx="3561">
                  <c:v>118</c:v>
                </c:pt>
                <c:pt idx="3562">
                  <c:v>131</c:v>
                </c:pt>
                <c:pt idx="3563">
                  <c:v>172</c:v>
                </c:pt>
                <c:pt idx="3564">
                  <c:v>98</c:v>
                </c:pt>
                <c:pt idx="3565">
                  <c:v>82</c:v>
                </c:pt>
                <c:pt idx="3566">
                  <c:v>117</c:v>
                </c:pt>
                <c:pt idx="3567">
                  <c:v>88</c:v>
                </c:pt>
                <c:pt idx="3568">
                  <c:v>91</c:v>
                </c:pt>
                <c:pt idx="3569">
                  <c:v>117</c:v>
                </c:pt>
                <c:pt idx="3570">
                  <c:v>151</c:v>
                </c:pt>
                <c:pt idx="3571">
                  <c:v>130</c:v>
                </c:pt>
                <c:pt idx="3572">
                  <c:v>114</c:v>
                </c:pt>
                <c:pt idx="3573">
                  <c:v>86</c:v>
                </c:pt>
                <c:pt idx="3574">
                  <c:v>89</c:v>
                </c:pt>
                <c:pt idx="3575">
                  <c:v>100</c:v>
                </c:pt>
                <c:pt idx="3576">
                  <c:v>120</c:v>
                </c:pt>
                <c:pt idx="3577">
                  <c:v>121</c:v>
                </c:pt>
                <c:pt idx="3578">
                  <c:v>98</c:v>
                </c:pt>
                <c:pt idx="3579">
                  <c:v>118</c:v>
                </c:pt>
                <c:pt idx="3580">
                  <c:v>81</c:v>
                </c:pt>
                <c:pt idx="3581">
                  <c:v>129</c:v>
                </c:pt>
                <c:pt idx="3582">
                  <c:v>90</c:v>
                </c:pt>
                <c:pt idx="3583">
                  <c:v>90</c:v>
                </c:pt>
                <c:pt idx="3584">
                  <c:v>83</c:v>
                </c:pt>
                <c:pt idx="3585">
                  <c:v>97</c:v>
                </c:pt>
                <c:pt idx="3586">
                  <c:v>104</c:v>
                </c:pt>
                <c:pt idx="3587">
                  <c:v>76</c:v>
                </c:pt>
                <c:pt idx="3588">
                  <c:v>148</c:v>
                </c:pt>
                <c:pt idx="3589">
                  <c:v>129</c:v>
                </c:pt>
                <c:pt idx="3590">
                  <c:v>30</c:v>
                </c:pt>
                <c:pt idx="3591">
                  <c:v>118</c:v>
                </c:pt>
                <c:pt idx="3592">
                  <c:v>118</c:v>
                </c:pt>
                <c:pt idx="3593">
                  <c:v>95</c:v>
                </c:pt>
                <c:pt idx="3594">
                  <c:v>120</c:v>
                </c:pt>
                <c:pt idx="3595">
                  <c:v>131</c:v>
                </c:pt>
                <c:pt idx="3596">
                  <c:v>138</c:v>
                </c:pt>
                <c:pt idx="3597">
                  <c:v>102</c:v>
                </c:pt>
                <c:pt idx="3598">
                  <c:v>41</c:v>
                </c:pt>
                <c:pt idx="3599">
                  <c:v>89</c:v>
                </c:pt>
                <c:pt idx="3600">
                  <c:v>99</c:v>
                </c:pt>
                <c:pt idx="3601">
                  <c:v>110</c:v>
                </c:pt>
                <c:pt idx="3602">
                  <c:v>132</c:v>
                </c:pt>
                <c:pt idx="3603">
                  <c:v>119</c:v>
                </c:pt>
                <c:pt idx="3604">
                  <c:v>135</c:v>
                </c:pt>
                <c:pt idx="3605">
                  <c:v>108</c:v>
                </c:pt>
                <c:pt idx="3606">
                  <c:v>115</c:v>
                </c:pt>
                <c:pt idx="3607">
                  <c:v>115</c:v>
                </c:pt>
                <c:pt idx="3608">
                  <c:v>96</c:v>
                </c:pt>
                <c:pt idx="3609">
                  <c:v>94</c:v>
                </c:pt>
                <c:pt idx="3610">
                  <c:v>91</c:v>
                </c:pt>
                <c:pt idx="3611">
                  <c:v>97</c:v>
                </c:pt>
                <c:pt idx="3612">
                  <c:v>125</c:v>
                </c:pt>
                <c:pt idx="3613">
                  <c:v>62</c:v>
                </c:pt>
                <c:pt idx="3614">
                  <c:v>70</c:v>
                </c:pt>
                <c:pt idx="3615">
                  <c:v>101</c:v>
                </c:pt>
                <c:pt idx="3616">
                  <c:v>90</c:v>
                </c:pt>
                <c:pt idx="3617">
                  <c:v>106</c:v>
                </c:pt>
                <c:pt idx="3618">
                  <c:v>120</c:v>
                </c:pt>
                <c:pt idx="3619">
                  <c:v>161</c:v>
                </c:pt>
                <c:pt idx="3620">
                  <c:v>135</c:v>
                </c:pt>
                <c:pt idx="3621">
                  <c:v>100</c:v>
                </c:pt>
                <c:pt idx="3622">
                  <c:v>94</c:v>
                </c:pt>
                <c:pt idx="3623">
                  <c:v>114</c:v>
                </c:pt>
                <c:pt idx="3624">
                  <c:v>118</c:v>
                </c:pt>
                <c:pt idx="3625">
                  <c:v>98</c:v>
                </c:pt>
                <c:pt idx="3626">
                  <c:v>93</c:v>
                </c:pt>
                <c:pt idx="3627">
                  <c:v>106</c:v>
                </c:pt>
                <c:pt idx="3628">
                  <c:v>93</c:v>
                </c:pt>
                <c:pt idx="3629">
                  <c:v>90</c:v>
                </c:pt>
                <c:pt idx="3630">
                  <c:v>97</c:v>
                </c:pt>
                <c:pt idx="3631">
                  <c:v>103</c:v>
                </c:pt>
                <c:pt idx="3632">
                  <c:v>84</c:v>
                </c:pt>
                <c:pt idx="3633">
                  <c:v>120</c:v>
                </c:pt>
                <c:pt idx="3634">
                  <c:v>95</c:v>
                </c:pt>
                <c:pt idx="3635">
                  <c:v>96</c:v>
                </c:pt>
                <c:pt idx="3636">
                  <c:v>87</c:v>
                </c:pt>
                <c:pt idx="3637">
                  <c:v>47</c:v>
                </c:pt>
                <c:pt idx="3638">
                  <c:v>94</c:v>
                </c:pt>
                <c:pt idx="3639">
                  <c:v>216</c:v>
                </c:pt>
                <c:pt idx="3640">
                  <c:v>85</c:v>
                </c:pt>
                <c:pt idx="3641">
                  <c:v>99</c:v>
                </c:pt>
                <c:pt idx="3642">
                  <c:v>59</c:v>
                </c:pt>
                <c:pt idx="3643">
                  <c:v>82</c:v>
                </c:pt>
                <c:pt idx="3644">
                  <c:v>93</c:v>
                </c:pt>
                <c:pt idx="3645">
                  <c:v>105</c:v>
                </c:pt>
                <c:pt idx="3646">
                  <c:v>105</c:v>
                </c:pt>
                <c:pt idx="3647">
                  <c:v>109</c:v>
                </c:pt>
                <c:pt idx="3648">
                  <c:v>101</c:v>
                </c:pt>
                <c:pt idx="3649">
                  <c:v>118</c:v>
                </c:pt>
                <c:pt idx="3650">
                  <c:v>100</c:v>
                </c:pt>
                <c:pt idx="3651">
                  <c:v>125</c:v>
                </c:pt>
                <c:pt idx="3652">
                  <c:v>97</c:v>
                </c:pt>
                <c:pt idx="3653">
                  <c:v>98</c:v>
                </c:pt>
                <c:pt idx="3654">
                  <c:v>100</c:v>
                </c:pt>
                <c:pt idx="3655">
                  <c:v>150</c:v>
                </c:pt>
                <c:pt idx="3656">
                  <c:v>150</c:v>
                </c:pt>
                <c:pt idx="3657">
                  <c:v>113</c:v>
                </c:pt>
                <c:pt idx="3658">
                  <c:v>134</c:v>
                </c:pt>
                <c:pt idx="3659">
                  <c:v>108</c:v>
                </c:pt>
                <c:pt idx="3660">
                  <c:v>90</c:v>
                </c:pt>
                <c:pt idx="3661">
                  <c:v>117</c:v>
                </c:pt>
                <c:pt idx="3662">
                  <c:v>230</c:v>
                </c:pt>
                <c:pt idx="3663">
                  <c:v>98</c:v>
                </c:pt>
                <c:pt idx="3664">
                  <c:v>128</c:v>
                </c:pt>
                <c:pt idx="3665">
                  <c:v>119</c:v>
                </c:pt>
                <c:pt idx="3666">
                  <c:v>93</c:v>
                </c:pt>
                <c:pt idx="3667">
                  <c:v>82</c:v>
                </c:pt>
                <c:pt idx="3668">
                  <c:v>118</c:v>
                </c:pt>
                <c:pt idx="3669">
                  <c:v>119</c:v>
                </c:pt>
                <c:pt idx="3670">
                  <c:v>154</c:v>
                </c:pt>
                <c:pt idx="3671">
                  <c:v>286</c:v>
                </c:pt>
                <c:pt idx="3672">
                  <c:v>106</c:v>
                </c:pt>
                <c:pt idx="3673">
                  <c:v>134</c:v>
                </c:pt>
                <c:pt idx="3674">
                  <c:v>112</c:v>
                </c:pt>
                <c:pt idx="3675">
                  <c:v>122</c:v>
                </c:pt>
                <c:pt idx="3676">
                  <c:v>129</c:v>
                </c:pt>
                <c:pt idx="3677">
                  <c:v>126</c:v>
                </c:pt>
                <c:pt idx="3678">
                  <c:v>113</c:v>
                </c:pt>
                <c:pt idx="3679">
                  <c:v>97</c:v>
                </c:pt>
                <c:pt idx="3680">
                  <c:v>101</c:v>
                </c:pt>
                <c:pt idx="3681">
                  <c:v>135</c:v>
                </c:pt>
                <c:pt idx="3682">
                  <c:v>110</c:v>
                </c:pt>
                <c:pt idx="3683">
                  <c:v>92</c:v>
                </c:pt>
                <c:pt idx="3684">
                  <c:v>123</c:v>
                </c:pt>
                <c:pt idx="3685">
                  <c:v>138</c:v>
                </c:pt>
                <c:pt idx="3686">
                  <c:v>131</c:v>
                </c:pt>
                <c:pt idx="3687">
                  <c:v>88</c:v>
                </c:pt>
                <c:pt idx="3688">
                  <c:v>97</c:v>
                </c:pt>
                <c:pt idx="3689">
                  <c:v>101</c:v>
                </c:pt>
                <c:pt idx="3690">
                  <c:v>101</c:v>
                </c:pt>
                <c:pt idx="3691">
                  <c:v>88</c:v>
                </c:pt>
                <c:pt idx="3692">
                  <c:v>90</c:v>
                </c:pt>
                <c:pt idx="3693">
                  <c:v>98</c:v>
                </c:pt>
                <c:pt idx="3694">
                  <c:v>98</c:v>
                </c:pt>
                <c:pt idx="3695">
                  <c:v>100</c:v>
                </c:pt>
                <c:pt idx="3696">
                  <c:v>112</c:v>
                </c:pt>
                <c:pt idx="3697">
                  <c:v>111</c:v>
                </c:pt>
                <c:pt idx="3698">
                  <c:v>166</c:v>
                </c:pt>
                <c:pt idx="3699">
                  <c:v>89</c:v>
                </c:pt>
                <c:pt idx="3700">
                  <c:v>103</c:v>
                </c:pt>
                <c:pt idx="3701">
                  <c:v>85</c:v>
                </c:pt>
                <c:pt idx="3702">
                  <c:v>174</c:v>
                </c:pt>
                <c:pt idx="3703">
                  <c:v>98</c:v>
                </c:pt>
                <c:pt idx="3704">
                  <c:v>104</c:v>
                </c:pt>
                <c:pt idx="3705">
                  <c:v>80</c:v>
                </c:pt>
                <c:pt idx="3706">
                  <c:v>164</c:v>
                </c:pt>
                <c:pt idx="3707">
                  <c:v>152</c:v>
                </c:pt>
                <c:pt idx="3708">
                  <c:v>89</c:v>
                </c:pt>
                <c:pt idx="3709">
                  <c:v>124</c:v>
                </c:pt>
                <c:pt idx="3710">
                  <c:v>208</c:v>
                </c:pt>
                <c:pt idx="3711">
                  <c:v>93</c:v>
                </c:pt>
                <c:pt idx="3712">
                  <c:v>89</c:v>
                </c:pt>
                <c:pt idx="3713">
                  <c:v>163</c:v>
                </c:pt>
                <c:pt idx="3714">
                  <c:v>97</c:v>
                </c:pt>
                <c:pt idx="3715">
                  <c:v>113</c:v>
                </c:pt>
                <c:pt idx="3716">
                  <c:v>106</c:v>
                </c:pt>
                <c:pt idx="3717">
                  <c:v>183</c:v>
                </c:pt>
                <c:pt idx="3718">
                  <c:v>151</c:v>
                </c:pt>
                <c:pt idx="3719">
                  <c:v>90</c:v>
                </c:pt>
                <c:pt idx="3720">
                  <c:v>115</c:v>
                </c:pt>
                <c:pt idx="3721">
                  <c:v>100</c:v>
                </c:pt>
                <c:pt idx="3722">
                  <c:v>83</c:v>
                </c:pt>
                <c:pt idx="3723">
                  <c:v>109</c:v>
                </c:pt>
                <c:pt idx="3724">
                  <c:v>136</c:v>
                </c:pt>
                <c:pt idx="3725">
                  <c:v>109</c:v>
                </c:pt>
                <c:pt idx="3726">
                  <c:v>111</c:v>
                </c:pt>
                <c:pt idx="3727">
                  <c:v>109</c:v>
                </c:pt>
                <c:pt idx="3728">
                  <c:v>90</c:v>
                </c:pt>
                <c:pt idx="3729">
                  <c:v>102</c:v>
                </c:pt>
                <c:pt idx="3730">
                  <c:v>99</c:v>
                </c:pt>
                <c:pt idx="3731">
                  <c:v>111</c:v>
                </c:pt>
                <c:pt idx="3732">
                  <c:v>83</c:v>
                </c:pt>
                <c:pt idx="3733">
                  <c:v>122</c:v>
                </c:pt>
                <c:pt idx="3734">
                  <c:v>112</c:v>
                </c:pt>
                <c:pt idx="3735">
                  <c:v>101</c:v>
                </c:pt>
                <c:pt idx="3736">
                  <c:v>30</c:v>
                </c:pt>
                <c:pt idx="3737">
                  <c:v>140</c:v>
                </c:pt>
                <c:pt idx="3738">
                  <c:v>95</c:v>
                </c:pt>
                <c:pt idx="3739">
                  <c:v>110</c:v>
                </c:pt>
                <c:pt idx="3740">
                  <c:v>101</c:v>
                </c:pt>
                <c:pt idx="3741">
                  <c:v>107</c:v>
                </c:pt>
                <c:pt idx="3742">
                  <c:v>116</c:v>
                </c:pt>
                <c:pt idx="3743">
                  <c:v>86</c:v>
                </c:pt>
                <c:pt idx="3744">
                  <c:v>117</c:v>
                </c:pt>
                <c:pt idx="3745">
                  <c:v>139</c:v>
                </c:pt>
                <c:pt idx="3746">
                  <c:v>124</c:v>
                </c:pt>
                <c:pt idx="3747">
                  <c:v>109</c:v>
                </c:pt>
                <c:pt idx="3748">
                  <c:v>78</c:v>
                </c:pt>
                <c:pt idx="3749">
                  <c:v>102</c:v>
                </c:pt>
                <c:pt idx="3750">
                  <c:v>162</c:v>
                </c:pt>
                <c:pt idx="3751">
                  <c:v>132</c:v>
                </c:pt>
                <c:pt idx="3752">
                  <c:v>96</c:v>
                </c:pt>
                <c:pt idx="3753">
                  <c:v>122</c:v>
                </c:pt>
                <c:pt idx="3754">
                  <c:v>132</c:v>
                </c:pt>
                <c:pt idx="3755">
                  <c:v>103</c:v>
                </c:pt>
                <c:pt idx="3756">
                  <c:v>131</c:v>
                </c:pt>
                <c:pt idx="3757">
                  <c:v>113</c:v>
                </c:pt>
                <c:pt idx="3758">
                  <c:v>79</c:v>
                </c:pt>
                <c:pt idx="3759">
                  <c:v>130</c:v>
                </c:pt>
                <c:pt idx="3760">
                  <c:v>108</c:v>
                </c:pt>
                <c:pt idx="3761">
                  <c:v>92</c:v>
                </c:pt>
                <c:pt idx="3762">
                  <c:v>101</c:v>
                </c:pt>
                <c:pt idx="3763">
                  <c:v>104</c:v>
                </c:pt>
                <c:pt idx="3764">
                  <c:v>172</c:v>
                </c:pt>
                <c:pt idx="3765">
                  <c:v>125</c:v>
                </c:pt>
                <c:pt idx="3766">
                  <c:v>103</c:v>
                </c:pt>
                <c:pt idx="3767">
                  <c:v>60</c:v>
                </c:pt>
                <c:pt idx="3768">
                  <c:v>116</c:v>
                </c:pt>
                <c:pt idx="3769">
                  <c:v>318</c:v>
                </c:pt>
                <c:pt idx="3770">
                  <c:v>104</c:v>
                </c:pt>
                <c:pt idx="3771">
                  <c:v>133</c:v>
                </c:pt>
                <c:pt idx="3772">
                  <c:v>126</c:v>
                </c:pt>
                <c:pt idx="3773">
                  <c:v>128</c:v>
                </c:pt>
                <c:pt idx="3774">
                  <c:v>116</c:v>
                </c:pt>
                <c:pt idx="3775">
                  <c:v>82</c:v>
                </c:pt>
                <c:pt idx="3776">
                  <c:v>117</c:v>
                </c:pt>
                <c:pt idx="3777">
                  <c:v>154</c:v>
                </c:pt>
                <c:pt idx="3778">
                  <c:v>103</c:v>
                </c:pt>
                <c:pt idx="3779">
                  <c:v>137</c:v>
                </c:pt>
                <c:pt idx="3780">
                  <c:v>131</c:v>
                </c:pt>
                <c:pt idx="3781">
                  <c:v>90</c:v>
                </c:pt>
                <c:pt idx="3782">
                  <c:v>91</c:v>
                </c:pt>
                <c:pt idx="3783">
                  <c:v>104</c:v>
                </c:pt>
                <c:pt idx="3784">
                  <c:v>146</c:v>
                </c:pt>
                <c:pt idx="3785">
                  <c:v>178</c:v>
                </c:pt>
                <c:pt idx="3786">
                  <c:v>43</c:v>
                </c:pt>
                <c:pt idx="3787">
                  <c:v>104</c:v>
                </c:pt>
                <c:pt idx="3788">
                  <c:v>93</c:v>
                </c:pt>
                <c:pt idx="3789">
                  <c:v>90</c:v>
                </c:pt>
                <c:pt idx="3790">
                  <c:v>96</c:v>
                </c:pt>
                <c:pt idx="3791">
                  <c:v>125</c:v>
                </c:pt>
                <c:pt idx="3792">
                  <c:v>107</c:v>
                </c:pt>
                <c:pt idx="3793">
                  <c:v>98</c:v>
                </c:pt>
                <c:pt idx="3794">
                  <c:v>82</c:v>
                </c:pt>
                <c:pt idx="3795">
                  <c:v>208</c:v>
                </c:pt>
                <c:pt idx="3796">
                  <c:v>105</c:v>
                </c:pt>
                <c:pt idx="3797">
                  <c:v>105</c:v>
                </c:pt>
                <c:pt idx="3798">
                  <c:v>95</c:v>
                </c:pt>
                <c:pt idx="3799">
                  <c:v>130</c:v>
                </c:pt>
                <c:pt idx="3800">
                  <c:v>182</c:v>
                </c:pt>
                <c:pt idx="3801">
                  <c:v>99</c:v>
                </c:pt>
                <c:pt idx="3802">
                  <c:v>81</c:v>
                </c:pt>
                <c:pt idx="3803">
                  <c:v>222</c:v>
                </c:pt>
                <c:pt idx="3804">
                  <c:v>101</c:v>
                </c:pt>
                <c:pt idx="3805">
                  <c:v>110</c:v>
                </c:pt>
                <c:pt idx="3806">
                  <c:v>129</c:v>
                </c:pt>
                <c:pt idx="3807">
                  <c:v>101</c:v>
                </c:pt>
                <c:pt idx="3808">
                  <c:v>116</c:v>
                </c:pt>
                <c:pt idx="3809">
                  <c:v>120</c:v>
                </c:pt>
                <c:pt idx="3810">
                  <c:v>106</c:v>
                </c:pt>
                <c:pt idx="3811">
                  <c:v>110</c:v>
                </c:pt>
                <c:pt idx="3812">
                  <c:v>128</c:v>
                </c:pt>
                <c:pt idx="3813">
                  <c:v>216</c:v>
                </c:pt>
                <c:pt idx="3814">
                  <c:v>110</c:v>
                </c:pt>
                <c:pt idx="3815">
                  <c:v>105</c:v>
                </c:pt>
                <c:pt idx="3816">
                  <c:v>158</c:v>
                </c:pt>
                <c:pt idx="3817">
                  <c:v>27</c:v>
                </c:pt>
                <c:pt idx="3818">
                  <c:v>97</c:v>
                </c:pt>
                <c:pt idx="3819">
                  <c:v>106</c:v>
                </c:pt>
                <c:pt idx="3820">
                  <c:v>91</c:v>
                </c:pt>
                <c:pt idx="3821">
                  <c:v>175</c:v>
                </c:pt>
                <c:pt idx="3822">
                  <c:v>220</c:v>
                </c:pt>
                <c:pt idx="3823">
                  <c:v>170</c:v>
                </c:pt>
                <c:pt idx="3824">
                  <c:v>94</c:v>
                </c:pt>
                <c:pt idx="3825">
                  <c:v>113</c:v>
                </c:pt>
                <c:pt idx="3826">
                  <c:v>93</c:v>
                </c:pt>
                <c:pt idx="3827">
                  <c:v>105</c:v>
                </c:pt>
                <c:pt idx="3828">
                  <c:v>93</c:v>
                </c:pt>
                <c:pt idx="3829">
                  <c:v>90</c:v>
                </c:pt>
                <c:pt idx="3830">
                  <c:v>99</c:v>
                </c:pt>
                <c:pt idx="3831">
                  <c:v>93</c:v>
                </c:pt>
                <c:pt idx="3832">
                  <c:v>109</c:v>
                </c:pt>
                <c:pt idx="3833">
                  <c:v>142</c:v>
                </c:pt>
                <c:pt idx="3834">
                  <c:v>135</c:v>
                </c:pt>
                <c:pt idx="3835">
                  <c:v>89</c:v>
                </c:pt>
                <c:pt idx="3836">
                  <c:v>101</c:v>
                </c:pt>
                <c:pt idx="3837">
                  <c:v>99</c:v>
                </c:pt>
                <c:pt idx="3838">
                  <c:v>60</c:v>
                </c:pt>
                <c:pt idx="3839">
                  <c:v>122</c:v>
                </c:pt>
                <c:pt idx="3840">
                  <c:v>172</c:v>
                </c:pt>
                <c:pt idx="3841">
                  <c:v>126</c:v>
                </c:pt>
                <c:pt idx="3842">
                  <c:v>172</c:v>
                </c:pt>
                <c:pt idx="3843">
                  <c:v>286</c:v>
                </c:pt>
                <c:pt idx="3844">
                  <c:v>132</c:v>
                </c:pt>
                <c:pt idx="3845">
                  <c:v>110</c:v>
                </c:pt>
                <c:pt idx="3846">
                  <c:v>120</c:v>
                </c:pt>
                <c:pt idx="3847">
                  <c:v>90</c:v>
                </c:pt>
                <c:pt idx="3848">
                  <c:v>152</c:v>
                </c:pt>
                <c:pt idx="3849">
                  <c:v>225</c:v>
                </c:pt>
                <c:pt idx="3850">
                  <c:v>96</c:v>
                </c:pt>
                <c:pt idx="3851">
                  <c:v>119</c:v>
                </c:pt>
                <c:pt idx="3852">
                  <c:v>100</c:v>
                </c:pt>
                <c:pt idx="3853">
                  <c:v>189</c:v>
                </c:pt>
                <c:pt idx="3854">
                  <c:v>117</c:v>
                </c:pt>
                <c:pt idx="3855">
                  <c:v>137</c:v>
                </c:pt>
                <c:pt idx="3856">
                  <c:v>98</c:v>
                </c:pt>
                <c:pt idx="3857">
                  <c:v>96</c:v>
                </c:pt>
                <c:pt idx="3858">
                  <c:v>95</c:v>
                </c:pt>
                <c:pt idx="3859">
                  <c:v>115</c:v>
                </c:pt>
                <c:pt idx="3860">
                  <c:v>94</c:v>
                </c:pt>
                <c:pt idx="3861">
                  <c:v>71</c:v>
                </c:pt>
                <c:pt idx="3862">
                  <c:v>88</c:v>
                </c:pt>
                <c:pt idx="3863">
                  <c:v>102</c:v>
                </c:pt>
                <c:pt idx="3864">
                  <c:v>108</c:v>
                </c:pt>
                <c:pt idx="3865">
                  <c:v>91</c:v>
                </c:pt>
                <c:pt idx="3866">
                  <c:v>80</c:v>
                </c:pt>
                <c:pt idx="3867">
                  <c:v>187</c:v>
                </c:pt>
                <c:pt idx="3868">
                  <c:v>88</c:v>
                </c:pt>
                <c:pt idx="3869">
                  <c:v>101</c:v>
                </c:pt>
                <c:pt idx="3870">
                  <c:v>82</c:v>
                </c:pt>
                <c:pt idx="3871">
                  <c:v>113</c:v>
                </c:pt>
                <c:pt idx="3872">
                  <c:v>96</c:v>
                </c:pt>
                <c:pt idx="3873">
                  <c:v>123</c:v>
                </c:pt>
                <c:pt idx="3874">
                  <c:v>87</c:v>
                </c:pt>
                <c:pt idx="3875">
                  <c:v>97</c:v>
                </c:pt>
                <c:pt idx="3876">
                  <c:v>146</c:v>
                </c:pt>
                <c:pt idx="3877">
                  <c:v>89</c:v>
                </c:pt>
                <c:pt idx="3878">
                  <c:v>108</c:v>
                </c:pt>
                <c:pt idx="3879">
                  <c:v>109</c:v>
                </c:pt>
                <c:pt idx="3880">
                  <c:v>90</c:v>
                </c:pt>
                <c:pt idx="3881">
                  <c:v>109</c:v>
                </c:pt>
                <c:pt idx="3882">
                  <c:v>116</c:v>
                </c:pt>
                <c:pt idx="3883">
                  <c:v>182</c:v>
                </c:pt>
                <c:pt idx="3884">
                  <c:v>164</c:v>
                </c:pt>
                <c:pt idx="3885">
                  <c:v>186</c:v>
                </c:pt>
                <c:pt idx="3886">
                  <c:v>92</c:v>
                </c:pt>
                <c:pt idx="3887">
                  <c:v>138</c:v>
                </c:pt>
                <c:pt idx="3888">
                  <c:v>106</c:v>
                </c:pt>
                <c:pt idx="3889">
                  <c:v>122</c:v>
                </c:pt>
                <c:pt idx="3890">
                  <c:v>30</c:v>
                </c:pt>
                <c:pt idx="3891">
                  <c:v>97</c:v>
                </c:pt>
                <c:pt idx="3892">
                  <c:v>93</c:v>
                </c:pt>
                <c:pt idx="3893">
                  <c:v>170</c:v>
                </c:pt>
                <c:pt idx="3894">
                  <c:v>135</c:v>
                </c:pt>
                <c:pt idx="3895">
                  <c:v>235</c:v>
                </c:pt>
                <c:pt idx="3896">
                  <c:v>109</c:v>
                </c:pt>
                <c:pt idx="3897">
                  <c:v>114</c:v>
                </c:pt>
                <c:pt idx="3898">
                  <c:v>97</c:v>
                </c:pt>
                <c:pt idx="3899">
                  <c:v>135</c:v>
                </c:pt>
                <c:pt idx="3900">
                  <c:v>95</c:v>
                </c:pt>
                <c:pt idx="3901">
                  <c:v>91</c:v>
                </c:pt>
                <c:pt idx="3902">
                  <c:v>111</c:v>
                </c:pt>
                <c:pt idx="3903">
                  <c:v>91</c:v>
                </c:pt>
                <c:pt idx="3904">
                  <c:v>122</c:v>
                </c:pt>
                <c:pt idx="3905">
                  <c:v>142</c:v>
                </c:pt>
                <c:pt idx="3906">
                  <c:v>146</c:v>
                </c:pt>
                <c:pt idx="3907">
                  <c:v>123</c:v>
                </c:pt>
                <c:pt idx="3908">
                  <c:v>137</c:v>
                </c:pt>
                <c:pt idx="3909">
                  <c:v>135</c:v>
                </c:pt>
                <c:pt idx="3910">
                  <c:v>115</c:v>
                </c:pt>
                <c:pt idx="3911">
                  <c:v>94</c:v>
                </c:pt>
                <c:pt idx="3912">
                  <c:v>101</c:v>
                </c:pt>
                <c:pt idx="3913">
                  <c:v>120</c:v>
                </c:pt>
                <c:pt idx="3914">
                  <c:v>146</c:v>
                </c:pt>
                <c:pt idx="3915">
                  <c:v>131</c:v>
                </c:pt>
                <c:pt idx="3916">
                  <c:v>134</c:v>
                </c:pt>
                <c:pt idx="3917">
                  <c:v>90</c:v>
                </c:pt>
                <c:pt idx="3918">
                  <c:v>91</c:v>
                </c:pt>
                <c:pt idx="3919">
                  <c:v>112</c:v>
                </c:pt>
                <c:pt idx="3920">
                  <c:v>106</c:v>
                </c:pt>
                <c:pt idx="3921">
                  <c:v>101</c:v>
                </c:pt>
                <c:pt idx="3922">
                  <c:v>220</c:v>
                </c:pt>
                <c:pt idx="3923">
                  <c:v>81</c:v>
                </c:pt>
                <c:pt idx="3924">
                  <c:v>123</c:v>
                </c:pt>
                <c:pt idx="3925">
                  <c:v>114</c:v>
                </c:pt>
                <c:pt idx="3926">
                  <c:v>120</c:v>
                </c:pt>
                <c:pt idx="3927">
                  <c:v>97</c:v>
                </c:pt>
                <c:pt idx="3928">
                  <c:v>114</c:v>
                </c:pt>
                <c:pt idx="3929">
                  <c:v>105</c:v>
                </c:pt>
                <c:pt idx="3930">
                  <c:v>25</c:v>
                </c:pt>
                <c:pt idx="3931">
                  <c:v>100</c:v>
                </c:pt>
                <c:pt idx="3932">
                  <c:v>135</c:v>
                </c:pt>
                <c:pt idx="3933">
                  <c:v>115</c:v>
                </c:pt>
                <c:pt idx="3934">
                  <c:v>94</c:v>
                </c:pt>
                <c:pt idx="3935">
                  <c:v>96</c:v>
                </c:pt>
                <c:pt idx="3936">
                  <c:v>127</c:v>
                </c:pt>
                <c:pt idx="3937">
                  <c:v>108</c:v>
                </c:pt>
                <c:pt idx="3938">
                  <c:v>98</c:v>
                </c:pt>
                <c:pt idx="3939">
                  <c:v>110</c:v>
                </c:pt>
                <c:pt idx="3940">
                  <c:v>101</c:v>
                </c:pt>
                <c:pt idx="3941">
                  <c:v>157</c:v>
                </c:pt>
                <c:pt idx="3942">
                  <c:v>121</c:v>
                </c:pt>
                <c:pt idx="3943">
                  <c:v>118</c:v>
                </c:pt>
                <c:pt idx="3944">
                  <c:v>125</c:v>
                </c:pt>
                <c:pt idx="3945">
                  <c:v>128</c:v>
                </c:pt>
                <c:pt idx="3946">
                  <c:v>112</c:v>
                </c:pt>
                <c:pt idx="3947">
                  <c:v>99</c:v>
                </c:pt>
                <c:pt idx="3948">
                  <c:v>100</c:v>
                </c:pt>
                <c:pt idx="3949">
                  <c:v>90</c:v>
                </c:pt>
                <c:pt idx="3950">
                  <c:v>105</c:v>
                </c:pt>
                <c:pt idx="3951">
                  <c:v>99</c:v>
                </c:pt>
                <c:pt idx="3952">
                  <c:v>272</c:v>
                </c:pt>
                <c:pt idx="3953">
                  <c:v>111</c:v>
                </c:pt>
                <c:pt idx="3954">
                  <c:v>124</c:v>
                </c:pt>
                <c:pt idx="3955">
                  <c:v>94</c:v>
                </c:pt>
                <c:pt idx="3956">
                  <c:v>85</c:v>
                </c:pt>
                <c:pt idx="3957">
                  <c:v>82</c:v>
                </c:pt>
                <c:pt idx="3958">
                  <c:v>96</c:v>
                </c:pt>
                <c:pt idx="3959">
                  <c:v>96</c:v>
                </c:pt>
                <c:pt idx="3960">
                  <c:v>141</c:v>
                </c:pt>
                <c:pt idx="3961">
                  <c:v>72</c:v>
                </c:pt>
                <c:pt idx="3962">
                  <c:v>212</c:v>
                </c:pt>
                <c:pt idx="3963">
                  <c:v>118</c:v>
                </c:pt>
                <c:pt idx="3964">
                  <c:v>252</c:v>
                </c:pt>
                <c:pt idx="3965">
                  <c:v>83</c:v>
                </c:pt>
                <c:pt idx="3966">
                  <c:v>104</c:v>
                </c:pt>
                <c:pt idx="3967">
                  <c:v>106</c:v>
                </c:pt>
                <c:pt idx="3968">
                  <c:v>109</c:v>
                </c:pt>
                <c:pt idx="3969">
                  <c:v>101</c:v>
                </c:pt>
                <c:pt idx="3970">
                  <c:v>110</c:v>
                </c:pt>
                <c:pt idx="3971">
                  <c:v>118</c:v>
                </c:pt>
                <c:pt idx="3972">
                  <c:v>128</c:v>
                </c:pt>
                <c:pt idx="3973">
                  <c:v>110</c:v>
                </c:pt>
                <c:pt idx="3974">
                  <c:v>84</c:v>
                </c:pt>
                <c:pt idx="3975">
                  <c:v>92</c:v>
                </c:pt>
                <c:pt idx="3976">
                  <c:v>104</c:v>
                </c:pt>
                <c:pt idx="3977">
                  <c:v>99</c:v>
                </c:pt>
                <c:pt idx="3978">
                  <c:v>69</c:v>
                </c:pt>
                <c:pt idx="3979">
                  <c:v>111</c:v>
                </c:pt>
                <c:pt idx="3980">
                  <c:v>103</c:v>
                </c:pt>
                <c:pt idx="3981">
                  <c:v>98</c:v>
                </c:pt>
                <c:pt idx="3982">
                  <c:v>131</c:v>
                </c:pt>
                <c:pt idx="3983">
                  <c:v>98</c:v>
                </c:pt>
                <c:pt idx="3984">
                  <c:v>109</c:v>
                </c:pt>
                <c:pt idx="3985">
                  <c:v>219</c:v>
                </c:pt>
                <c:pt idx="3986">
                  <c:v>93</c:v>
                </c:pt>
                <c:pt idx="3987">
                  <c:v>87</c:v>
                </c:pt>
                <c:pt idx="3988">
                  <c:v>94</c:v>
                </c:pt>
                <c:pt idx="3989">
                  <c:v>100</c:v>
                </c:pt>
                <c:pt idx="3990">
                  <c:v>228</c:v>
                </c:pt>
                <c:pt idx="3991">
                  <c:v>121</c:v>
                </c:pt>
                <c:pt idx="3992">
                  <c:v>102</c:v>
                </c:pt>
                <c:pt idx="3993">
                  <c:v>117</c:v>
                </c:pt>
                <c:pt idx="3994">
                  <c:v>154</c:v>
                </c:pt>
                <c:pt idx="3995">
                  <c:v>93</c:v>
                </c:pt>
                <c:pt idx="3996">
                  <c:v>117</c:v>
                </c:pt>
                <c:pt idx="3997">
                  <c:v>107</c:v>
                </c:pt>
                <c:pt idx="3998">
                  <c:v>107</c:v>
                </c:pt>
                <c:pt idx="3999">
                  <c:v>112</c:v>
                </c:pt>
                <c:pt idx="4000">
                  <c:v>164</c:v>
                </c:pt>
                <c:pt idx="4001">
                  <c:v>92</c:v>
                </c:pt>
                <c:pt idx="4002">
                  <c:v>117</c:v>
                </c:pt>
                <c:pt idx="4003">
                  <c:v>106</c:v>
                </c:pt>
                <c:pt idx="4004">
                  <c:v>140</c:v>
                </c:pt>
                <c:pt idx="4005">
                  <c:v>83</c:v>
                </c:pt>
                <c:pt idx="4006">
                  <c:v>110</c:v>
                </c:pt>
                <c:pt idx="4007">
                  <c:v>126</c:v>
                </c:pt>
                <c:pt idx="4008">
                  <c:v>102</c:v>
                </c:pt>
                <c:pt idx="4009">
                  <c:v>78</c:v>
                </c:pt>
                <c:pt idx="4010">
                  <c:v>108</c:v>
                </c:pt>
                <c:pt idx="4011">
                  <c:v>99</c:v>
                </c:pt>
                <c:pt idx="4012">
                  <c:v>300</c:v>
                </c:pt>
                <c:pt idx="4013">
                  <c:v>220</c:v>
                </c:pt>
                <c:pt idx="4014">
                  <c:v>98</c:v>
                </c:pt>
                <c:pt idx="4015">
                  <c:v>129</c:v>
                </c:pt>
                <c:pt idx="4016">
                  <c:v>100</c:v>
                </c:pt>
                <c:pt idx="4017">
                  <c:v>114</c:v>
                </c:pt>
                <c:pt idx="4018">
                  <c:v>119</c:v>
                </c:pt>
                <c:pt idx="4019">
                  <c:v>90</c:v>
                </c:pt>
                <c:pt idx="4020">
                  <c:v>130</c:v>
                </c:pt>
                <c:pt idx="4021">
                  <c:v>89</c:v>
                </c:pt>
                <c:pt idx="4022">
                  <c:v>118</c:v>
                </c:pt>
                <c:pt idx="4023">
                  <c:v>73</c:v>
                </c:pt>
                <c:pt idx="4024">
                  <c:v>87</c:v>
                </c:pt>
                <c:pt idx="4025">
                  <c:v>84</c:v>
                </c:pt>
                <c:pt idx="4026">
                  <c:v>108</c:v>
                </c:pt>
                <c:pt idx="4027">
                  <c:v>95</c:v>
                </c:pt>
                <c:pt idx="4028">
                  <c:v>137</c:v>
                </c:pt>
                <c:pt idx="4029">
                  <c:v>130</c:v>
                </c:pt>
                <c:pt idx="4030">
                  <c:v>91</c:v>
                </c:pt>
                <c:pt idx="4031">
                  <c:v>94</c:v>
                </c:pt>
                <c:pt idx="4032">
                  <c:v>150</c:v>
                </c:pt>
                <c:pt idx="4033">
                  <c:v>121</c:v>
                </c:pt>
                <c:pt idx="4034">
                  <c:v>100</c:v>
                </c:pt>
                <c:pt idx="4035">
                  <c:v>178</c:v>
                </c:pt>
                <c:pt idx="4036">
                  <c:v>128</c:v>
                </c:pt>
                <c:pt idx="4037">
                  <c:v>113</c:v>
                </c:pt>
                <c:pt idx="4038">
                  <c:v>94</c:v>
                </c:pt>
                <c:pt idx="4039">
                  <c:v>110</c:v>
                </c:pt>
                <c:pt idx="4040">
                  <c:v>171</c:v>
                </c:pt>
                <c:pt idx="4041">
                  <c:v>192</c:v>
                </c:pt>
                <c:pt idx="4042">
                  <c:v>172</c:v>
                </c:pt>
                <c:pt idx="4043">
                  <c:v>101</c:v>
                </c:pt>
                <c:pt idx="4044">
                  <c:v>97</c:v>
                </c:pt>
                <c:pt idx="4045">
                  <c:v>106</c:v>
                </c:pt>
                <c:pt idx="4046">
                  <c:v>97</c:v>
                </c:pt>
                <c:pt idx="4047">
                  <c:v>144</c:v>
                </c:pt>
                <c:pt idx="4048">
                  <c:v>97</c:v>
                </c:pt>
                <c:pt idx="4049">
                  <c:v>90</c:v>
                </c:pt>
                <c:pt idx="4050">
                  <c:v>101</c:v>
                </c:pt>
                <c:pt idx="4051">
                  <c:v>129</c:v>
                </c:pt>
                <c:pt idx="4052">
                  <c:v>87</c:v>
                </c:pt>
                <c:pt idx="4053">
                  <c:v>198</c:v>
                </c:pt>
                <c:pt idx="4054">
                  <c:v>84</c:v>
                </c:pt>
                <c:pt idx="4055">
                  <c:v>270</c:v>
                </c:pt>
                <c:pt idx="4056">
                  <c:v>218</c:v>
                </c:pt>
                <c:pt idx="4057">
                  <c:v>101</c:v>
                </c:pt>
                <c:pt idx="4058">
                  <c:v>115</c:v>
                </c:pt>
                <c:pt idx="4059">
                  <c:v>104</c:v>
                </c:pt>
                <c:pt idx="4060">
                  <c:v>94</c:v>
                </c:pt>
                <c:pt idx="4061">
                  <c:v>135</c:v>
                </c:pt>
                <c:pt idx="4062">
                  <c:v>86</c:v>
                </c:pt>
                <c:pt idx="4063">
                  <c:v>98</c:v>
                </c:pt>
                <c:pt idx="4064">
                  <c:v>152</c:v>
                </c:pt>
                <c:pt idx="4065">
                  <c:v>87</c:v>
                </c:pt>
                <c:pt idx="4066">
                  <c:v>102</c:v>
                </c:pt>
                <c:pt idx="4067">
                  <c:v>116</c:v>
                </c:pt>
                <c:pt idx="4068">
                  <c:v>132</c:v>
                </c:pt>
                <c:pt idx="4069">
                  <c:v>94</c:v>
                </c:pt>
                <c:pt idx="4070">
                  <c:v>113</c:v>
                </c:pt>
                <c:pt idx="4071">
                  <c:v>125</c:v>
                </c:pt>
                <c:pt idx="4072">
                  <c:v>107</c:v>
                </c:pt>
                <c:pt idx="4073">
                  <c:v>83</c:v>
                </c:pt>
                <c:pt idx="4074">
                  <c:v>129</c:v>
                </c:pt>
                <c:pt idx="4075">
                  <c:v>90</c:v>
                </c:pt>
                <c:pt idx="4076">
                  <c:v>92</c:v>
                </c:pt>
                <c:pt idx="4077">
                  <c:v>151</c:v>
                </c:pt>
                <c:pt idx="4078">
                  <c:v>136</c:v>
                </c:pt>
                <c:pt idx="4079">
                  <c:v>114</c:v>
                </c:pt>
                <c:pt idx="4080">
                  <c:v>105</c:v>
                </c:pt>
                <c:pt idx="4081">
                  <c:v>80</c:v>
                </c:pt>
                <c:pt idx="4082">
                  <c:v>144</c:v>
                </c:pt>
                <c:pt idx="4083">
                  <c:v>96</c:v>
                </c:pt>
                <c:pt idx="4084">
                  <c:v>138</c:v>
                </c:pt>
                <c:pt idx="4085">
                  <c:v>129</c:v>
                </c:pt>
                <c:pt idx="4086">
                  <c:v>136</c:v>
                </c:pt>
                <c:pt idx="4087">
                  <c:v>113</c:v>
                </c:pt>
                <c:pt idx="4088">
                  <c:v>93</c:v>
                </c:pt>
                <c:pt idx="4089">
                  <c:v>108</c:v>
                </c:pt>
                <c:pt idx="4090">
                  <c:v>94</c:v>
                </c:pt>
                <c:pt idx="4091">
                  <c:v>131</c:v>
                </c:pt>
                <c:pt idx="4092">
                  <c:v>105</c:v>
                </c:pt>
                <c:pt idx="4093">
                  <c:v>158</c:v>
                </c:pt>
                <c:pt idx="4094">
                  <c:v>60</c:v>
                </c:pt>
                <c:pt idx="4095">
                  <c:v>123</c:v>
                </c:pt>
                <c:pt idx="4096">
                  <c:v>103</c:v>
                </c:pt>
                <c:pt idx="4097">
                  <c:v>100</c:v>
                </c:pt>
                <c:pt idx="4098">
                  <c:v>99</c:v>
                </c:pt>
                <c:pt idx="4099">
                  <c:v>100</c:v>
                </c:pt>
                <c:pt idx="4100">
                  <c:v>122</c:v>
                </c:pt>
                <c:pt idx="4101">
                  <c:v>120</c:v>
                </c:pt>
                <c:pt idx="4102">
                  <c:v>95</c:v>
                </c:pt>
                <c:pt idx="4103">
                  <c:v>60</c:v>
                </c:pt>
                <c:pt idx="4104">
                  <c:v>126</c:v>
                </c:pt>
                <c:pt idx="4105">
                  <c:v>124</c:v>
                </c:pt>
                <c:pt idx="4106">
                  <c:v>84</c:v>
                </c:pt>
                <c:pt idx="4107">
                  <c:v>118</c:v>
                </c:pt>
                <c:pt idx="4108">
                  <c:v>130</c:v>
                </c:pt>
                <c:pt idx="4109">
                  <c:v>75</c:v>
                </c:pt>
                <c:pt idx="4110">
                  <c:v>119</c:v>
                </c:pt>
                <c:pt idx="4111">
                  <c:v>94</c:v>
                </c:pt>
                <c:pt idx="4112">
                  <c:v>130</c:v>
                </c:pt>
                <c:pt idx="4113">
                  <c:v>112</c:v>
                </c:pt>
                <c:pt idx="4114">
                  <c:v>89</c:v>
                </c:pt>
                <c:pt idx="4115">
                  <c:v>95</c:v>
                </c:pt>
                <c:pt idx="4116">
                  <c:v>103</c:v>
                </c:pt>
                <c:pt idx="4117">
                  <c:v>97</c:v>
                </c:pt>
                <c:pt idx="4118">
                  <c:v>104</c:v>
                </c:pt>
                <c:pt idx="4120">
                  <c:v>85</c:v>
                </c:pt>
                <c:pt idx="4121">
                  <c:v>100</c:v>
                </c:pt>
                <c:pt idx="4122">
                  <c:v>122</c:v>
                </c:pt>
                <c:pt idx="4123">
                  <c:v>101</c:v>
                </c:pt>
                <c:pt idx="4124">
                  <c:v>140</c:v>
                </c:pt>
                <c:pt idx="4125">
                  <c:v>118</c:v>
                </c:pt>
                <c:pt idx="4126">
                  <c:v>114</c:v>
                </c:pt>
                <c:pt idx="4127">
                  <c:v>94</c:v>
                </c:pt>
                <c:pt idx="4128">
                  <c:v>92</c:v>
                </c:pt>
                <c:pt idx="4129">
                  <c:v>150</c:v>
                </c:pt>
                <c:pt idx="4130">
                  <c:v>123</c:v>
                </c:pt>
                <c:pt idx="4131">
                  <c:v>99</c:v>
                </c:pt>
                <c:pt idx="4132">
                  <c:v>133</c:v>
                </c:pt>
                <c:pt idx="4133">
                  <c:v>81</c:v>
                </c:pt>
                <c:pt idx="4134">
                  <c:v>106</c:v>
                </c:pt>
                <c:pt idx="4135">
                  <c:v>133</c:v>
                </c:pt>
                <c:pt idx="4136">
                  <c:v>123</c:v>
                </c:pt>
                <c:pt idx="4137">
                  <c:v>108</c:v>
                </c:pt>
                <c:pt idx="4138">
                  <c:v>98</c:v>
                </c:pt>
                <c:pt idx="4139">
                  <c:v>149</c:v>
                </c:pt>
                <c:pt idx="4140">
                  <c:v>85</c:v>
                </c:pt>
                <c:pt idx="4141">
                  <c:v>110</c:v>
                </c:pt>
                <c:pt idx="4142">
                  <c:v>92</c:v>
                </c:pt>
                <c:pt idx="4143">
                  <c:v>95</c:v>
                </c:pt>
                <c:pt idx="4144">
                  <c:v>44</c:v>
                </c:pt>
                <c:pt idx="4145">
                  <c:v>111</c:v>
                </c:pt>
                <c:pt idx="4146">
                  <c:v>105</c:v>
                </c:pt>
                <c:pt idx="4147">
                  <c:v>88</c:v>
                </c:pt>
                <c:pt idx="4148">
                  <c:v>100</c:v>
                </c:pt>
                <c:pt idx="4149">
                  <c:v>214</c:v>
                </c:pt>
                <c:pt idx="4150">
                  <c:v>85</c:v>
                </c:pt>
                <c:pt idx="4151">
                  <c:v>88</c:v>
                </c:pt>
                <c:pt idx="4152">
                  <c:v>91</c:v>
                </c:pt>
                <c:pt idx="4153">
                  <c:v>97</c:v>
                </c:pt>
                <c:pt idx="4154">
                  <c:v>102</c:v>
                </c:pt>
                <c:pt idx="4155">
                  <c:v>115</c:v>
                </c:pt>
                <c:pt idx="4156">
                  <c:v>105</c:v>
                </c:pt>
                <c:pt idx="4157">
                  <c:v>115</c:v>
                </c:pt>
                <c:pt idx="4158">
                  <c:v>89</c:v>
                </c:pt>
                <c:pt idx="4159">
                  <c:v>106</c:v>
                </c:pt>
                <c:pt idx="4160">
                  <c:v>116</c:v>
                </c:pt>
                <c:pt idx="4161">
                  <c:v>113</c:v>
                </c:pt>
                <c:pt idx="4162">
                  <c:v>109</c:v>
                </c:pt>
                <c:pt idx="4163">
                  <c:v>101</c:v>
                </c:pt>
                <c:pt idx="4164">
                  <c:v>90</c:v>
                </c:pt>
                <c:pt idx="4165">
                  <c:v>96</c:v>
                </c:pt>
                <c:pt idx="4166">
                  <c:v>114</c:v>
                </c:pt>
                <c:pt idx="4167">
                  <c:v>104</c:v>
                </c:pt>
                <c:pt idx="4168">
                  <c:v>95</c:v>
                </c:pt>
                <c:pt idx="4169">
                  <c:v>125</c:v>
                </c:pt>
                <c:pt idx="4170">
                  <c:v>98</c:v>
                </c:pt>
                <c:pt idx="4171">
                  <c:v>94</c:v>
                </c:pt>
                <c:pt idx="4172">
                  <c:v>120</c:v>
                </c:pt>
                <c:pt idx="4173">
                  <c:v>77</c:v>
                </c:pt>
                <c:pt idx="4174">
                  <c:v>142</c:v>
                </c:pt>
                <c:pt idx="4175">
                  <c:v>124</c:v>
                </c:pt>
                <c:pt idx="4176">
                  <c:v>88</c:v>
                </c:pt>
                <c:pt idx="4177">
                  <c:v>141</c:v>
                </c:pt>
                <c:pt idx="4178">
                  <c:v>113</c:v>
                </c:pt>
                <c:pt idx="4179">
                  <c:v>118</c:v>
                </c:pt>
                <c:pt idx="4180">
                  <c:v>93</c:v>
                </c:pt>
                <c:pt idx="4181">
                  <c:v>100</c:v>
                </c:pt>
                <c:pt idx="4182">
                  <c:v>96</c:v>
                </c:pt>
                <c:pt idx="4183">
                  <c:v>130</c:v>
                </c:pt>
                <c:pt idx="4184">
                  <c:v>94</c:v>
                </c:pt>
                <c:pt idx="4185">
                  <c:v>102</c:v>
                </c:pt>
                <c:pt idx="4186">
                  <c:v>94</c:v>
                </c:pt>
                <c:pt idx="4187">
                  <c:v>143</c:v>
                </c:pt>
                <c:pt idx="4188">
                  <c:v>100</c:v>
                </c:pt>
                <c:pt idx="4189">
                  <c:v>150</c:v>
                </c:pt>
                <c:pt idx="4190">
                  <c:v>121</c:v>
                </c:pt>
                <c:pt idx="4191">
                  <c:v>93</c:v>
                </c:pt>
                <c:pt idx="4192">
                  <c:v>102</c:v>
                </c:pt>
                <c:pt idx="4193">
                  <c:v>85</c:v>
                </c:pt>
                <c:pt idx="4194">
                  <c:v>88</c:v>
                </c:pt>
                <c:pt idx="4195">
                  <c:v>140</c:v>
                </c:pt>
                <c:pt idx="4196">
                  <c:v>60</c:v>
                </c:pt>
                <c:pt idx="4197">
                  <c:v>104</c:v>
                </c:pt>
                <c:pt idx="4198">
                  <c:v>124</c:v>
                </c:pt>
                <c:pt idx="4199">
                  <c:v>93</c:v>
                </c:pt>
                <c:pt idx="4200">
                  <c:v>100</c:v>
                </c:pt>
                <c:pt idx="4201">
                  <c:v>184</c:v>
                </c:pt>
                <c:pt idx="4202">
                  <c:v>122</c:v>
                </c:pt>
                <c:pt idx="4203">
                  <c:v>177</c:v>
                </c:pt>
                <c:pt idx="4204">
                  <c:v>30</c:v>
                </c:pt>
                <c:pt idx="4205">
                  <c:v>130</c:v>
                </c:pt>
                <c:pt idx="4206">
                  <c:v>111</c:v>
                </c:pt>
                <c:pt idx="4207">
                  <c:v>99</c:v>
                </c:pt>
                <c:pt idx="4208">
                  <c:v>132</c:v>
                </c:pt>
                <c:pt idx="4209">
                  <c:v>93</c:v>
                </c:pt>
                <c:pt idx="4210">
                  <c:v>80</c:v>
                </c:pt>
                <c:pt idx="4211">
                  <c:v>97</c:v>
                </c:pt>
                <c:pt idx="4212">
                  <c:v>98</c:v>
                </c:pt>
                <c:pt idx="4213">
                  <c:v>113</c:v>
                </c:pt>
                <c:pt idx="4214">
                  <c:v>111</c:v>
                </c:pt>
                <c:pt idx="4215">
                  <c:v>101</c:v>
                </c:pt>
                <c:pt idx="4216">
                  <c:v>134</c:v>
                </c:pt>
                <c:pt idx="4217">
                  <c:v>103</c:v>
                </c:pt>
                <c:pt idx="4218">
                  <c:v>98</c:v>
                </c:pt>
                <c:pt idx="4219">
                  <c:v>108</c:v>
                </c:pt>
                <c:pt idx="4220">
                  <c:v>104</c:v>
                </c:pt>
                <c:pt idx="4221">
                  <c:v>111</c:v>
                </c:pt>
                <c:pt idx="4222">
                  <c:v>85</c:v>
                </c:pt>
                <c:pt idx="4223">
                  <c:v>140</c:v>
                </c:pt>
                <c:pt idx="4224">
                  <c:v>85</c:v>
                </c:pt>
                <c:pt idx="4225">
                  <c:v>103</c:v>
                </c:pt>
                <c:pt idx="4226">
                  <c:v>109</c:v>
                </c:pt>
                <c:pt idx="4227">
                  <c:v>100</c:v>
                </c:pt>
                <c:pt idx="4228">
                  <c:v>117</c:v>
                </c:pt>
                <c:pt idx="4229">
                  <c:v>94</c:v>
                </c:pt>
                <c:pt idx="4230">
                  <c:v>107</c:v>
                </c:pt>
                <c:pt idx="4231">
                  <c:v>101</c:v>
                </c:pt>
                <c:pt idx="4232">
                  <c:v>91</c:v>
                </c:pt>
                <c:pt idx="4233">
                  <c:v>101</c:v>
                </c:pt>
                <c:pt idx="4234">
                  <c:v>104</c:v>
                </c:pt>
                <c:pt idx="4235">
                  <c:v>102</c:v>
                </c:pt>
                <c:pt idx="4236">
                  <c:v>116</c:v>
                </c:pt>
                <c:pt idx="4237">
                  <c:v>135</c:v>
                </c:pt>
                <c:pt idx="4238">
                  <c:v>110</c:v>
                </c:pt>
                <c:pt idx="4239">
                  <c:v>124</c:v>
                </c:pt>
                <c:pt idx="4240">
                  <c:v>96</c:v>
                </c:pt>
                <c:pt idx="4241">
                  <c:v>99</c:v>
                </c:pt>
                <c:pt idx="4242">
                  <c:v>130</c:v>
                </c:pt>
                <c:pt idx="4243">
                  <c:v>94</c:v>
                </c:pt>
                <c:pt idx="4244">
                  <c:v>110</c:v>
                </c:pt>
                <c:pt idx="4245">
                  <c:v>134</c:v>
                </c:pt>
                <c:pt idx="4246">
                  <c:v>96</c:v>
                </c:pt>
                <c:pt idx="4247">
                  <c:v>118</c:v>
                </c:pt>
                <c:pt idx="4248">
                  <c:v>216</c:v>
                </c:pt>
                <c:pt idx="4249">
                  <c:v>113</c:v>
                </c:pt>
                <c:pt idx="4250">
                  <c:v>99</c:v>
                </c:pt>
                <c:pt idx="4251">
                  <c:v>52</c:v>
                </c:pt>
                <c:pt idx="4252">
                  <c:v>156</c:v>
                </c:pt>
                <c:pt idx="4253">
                  <c:v>143</c:v>
                </c:pt>
                <c:pt idx="4254">
                  <c:v>119</c:v>
                </c:pt>
                <c:pt idx="4255">
                  <c:v>193</c:v>
                </c:pt>
                <c:pt idx="4256">
                  <c:v>128</c:v>
                </c:pt>
                <c:pt idx="4257">
                  <c:v>110</c:v>
                </c:pt>
                <c:pt idx="4258">
                  <c:v>114</c:v>
                </c:pt>
                <c:pt idx="4259">
                  <c:v>111</c:v>
                </c:pt>
                <c:pt idx="4260">
                  <c:v>89</c:v>
                </c:pt>
                <c:pt idx="4261">
                  <c:v>111</c:v>
                </c:pt>
                <c:pt idx="4262">
                  <c:v>135</c:v>
                </c:pt>
                <c:pt idx="4263">
                  <c:v>136</c:v>
                </c:pt>
                <c:pt idx="4264">
                  <c:v>102</c:v>
                </c:pt>
                <c:pt idx="4265">
                  <c:v>124</c:v>
                </c:pt>
                <c:pt idx="4266">
                  <c:v>127</c:v>
                </c:pt>
                <c:pt idx="4267">
                  <c:v>91</c:v>
                </c:pt>
                <c:pt idx="4268">
                  <c:v>125</c:v>
                </c:pt>
                <c:pt idx="4269">
                  <c:v>110</c:v>
                </c:pt>
                <c:pt idx="4270">
                  <c:v>83</c:v>
                </c:pt>
                <c:pt idx="4271">
                  <c:v>93</c:v>
                </c:pt>
                <c:pt idx="4272">
                  <c:v>110</c:v>
                </c:pt>
                <c:pt idx="4273">
                  <c:v>106</c:v>
                </c:pt>
                <c:pt idx="4274">
                  <c:v>104</c:v>
                </c:pt>
                <c:pt idx="4275">
                  <c:v>101</c:v>
                </c:pt>
                <c:pt idx="4276">
                  <c:v>116</c:v>
                </c:pt>
                <c:pt idx="4277">
                  <c:v>90</c:v>
                </c:pt>
                <c:pt idx="4278">
                  <c:v>103</c:v>
                </c:pt>
                <c:pt idx="4279">
                  <c:v>104</c:v>
                </c:pt>
                <c:pt idx="4280">
                  <c:v>97</c:v>
                </c:pt>
                <c:pt idx="4281">
                  <c:v>114</c:v>
                </c:pt>
                <c:pt idx="4282">
                  <c:v>135</c:v>
                </c:pt>
                <c:pt idx="4283">
                  <c:v>132</c:v>
                </c:pt>
                <c:pt idx="4284">
                  <c:v>124</c:v>
                </c:pt>
                <c:pt idx="4285">
                  <c:v>100</c:v>
                </c:pt>
                <c:pt idx="4286">
                  <c:v>125</c:v>
                </c:pt>
                <c:pt idx="4287">
                  <c:v>122</c:v>
                </c:pt>
                <c:pt idx="4288">
                  <c:v>112</c:v>
                </c:pt>
                <c:pt idx="4289">
                  <c:v>129</c:v>
                </c:pt>
                <c:pt idx="4290">
                  <c:v>110</c:v>
                </c:pt>
                <c:pt idx="4291">
                  <c:v>87</c:v>
                </c:pt>
                <c:pt idx="4292">
                  <c:v>114</c:v>
                </c:pt>
                <c:pt idx="4293">
                  <c:v>75</c:v>
                </c:pt>
                <c:pt idx="4294">
                  <c:v>45</c:v>
                </c:pt>
                <c:pt idx="4295">
                  <c:v>107</c:v>
                </c:pt>
                <c:pt idx="4296">
                  <c:v>95</c:v>
                </c:pt>
                <c:pt idx="4297">
                  <c:v>93</c:v>
                </c:pt>
                <c:pt idx="4298">
                  <c:v>98</c:v>
                </c:pt>
                <c:pt idx="4299">
                  <c:v>86</c:v>
                </c:pt>
                <c:pt idx="4300">
                  <c:v>142</c:v>
                </c:pt>
                <c:pt idx="4301">
                  <c:v>146</c:v>
                </c:pt>
                <c:pt idx="4302">
                  <c:v>111</c:v>
                </c:pt>
                <c:pt idx="4303">
                  <c:v>116</c:v>
                </c:pt>
                <c:pt idx="4304">
                  <c:v>97</c:v>
                </c:pt>
                <c:pt idx="4305">
                  <c:v>138</c:v>
                </c:pt>
                <c:pt idx="4306">
                  <c:v>87</c:v>
                </c:pt>
                <c:pt idx="4307">
                  <c:v>109</c:v>
                </c:pt>
                <c:pt idx="4308">
                  <c:v>102</c:v>
                </c:pt>
                <c:pt idx="4309">
                  <c:v>104</c:v>
                </c:pt>
                <c:pt idx="4310">
                  <c:v>119</c:v>
                </c:pt>
                <c:pt idx="4311">
                  <c:v>119</c:v>
                </c:pt>
                <c:pt idx="4312">
                  <c:v>87</c:v>
                </c:pt>
                <c:pt idx="4313">
                  <c:v>107</c:v>
                </c:pt>
                <c:pt idx="4314">
                  <c:v>104</c:v>
                </c:pt>
                <c:pt idx="4315">
                  <c:v>93</c:v>
                </c:pt>
                <c:pt idx="4316">
                  <c:v>106</c:v>
                </c:pt>
                <c:pt idx="4317">
                  <c:v>112</c:v>
                </c:pt>
                <c:pt idx="4318">
                  <c:v>91</c:v>
                </c:pt>
                <c:pt idx="4319">
                  <c:v>105</c:v>
                </c:pt>
                <c:pt idx="4320">
                  <c:v>103</c:v>
                </c:pt>
                <c:pt idx="4321">
                  <c:v>120</c:v>
                </c:pt>
                <c:pt idx="4322">
                  <c:v>117</c:v>
                </c:pt>
                <c:pt idx="4323">
                  <c:v>90</c:v>
                </c:pt>
                <c:pt idx="4324">
                  <c:v>109</c:v>
                </c:pt>
                <c:pt idx="4325">
                  <c:v>90</c:v>
                </c:pt>
                <c:pt idx="4326">
                  <c:v>174</c:v>
                </c:pt>
                <c:pt idx="4327">
                  <c:v>110</c:v>
                </c:pt>
                <c:pt idx="4328">
                  <c:v>110</c:v>
                </c:pt>
                <c:pt idx="4329">
                  <c:v>82</c:v>
                </c:pt>
                <c:pt idx="4330">
                  <c:v>95</c:v>
                </c:pt>
                <c:pt idx="4331">
                  <c:v>107</c:v>
                </c:pt>
                <c:pt idx="4332">
                  <c:v>103</c:v>
                </c:pt>
                <c:pt idx="4333">
                  <c:v>92</c:v>
                </c:pt>
                <c:pt idx="4334">
                  <c:v>87</c:v>
                </c:pt>
                <c:pt idx="4335">
                  <c:v>94</c:v>
                </c:pt>
                <c:pt idx="4336">
                  <c:v>123</c:v>
                </c:pt>
                <c:pt idx="4337">
                  <c:v>108</c:v>
                </c:pt>
                <c:pt idx="4338">
                  <c:v>88</c:v>
                </c:pt>
                <c:pt idx="4339">
                  <c:v>120</c:v>
                </c:pt>
                <c:pt idx="4340">
                  <c:v>89</c:v>
                </c:pt>
                <c:pt idx="4341">
                  <c:v>101</c:v>
                </c:pt>
                <c:pt idx="4342">
                  <c:v>93</c:v>
                </c:pt>
                <c:pt idx="4343">
                  <c:v>93</c:v>
                </c:pt>
                <c:pt idx="4344">
                  <c:v>81</c:v>
                </c:pt>
                <c:pt idx="4345">
                  <c:v>129</c:v>
                </c:pt>
                <c:pt idx="4346">
                  <c:v>95</c:v>
                </c:pt>
                <c:pt idx="4347">
                  <c:v>112</c:v>
                </c:pt>
                <c:pt idx="4348">
                  <c:v>120</c:v>
                </c:pt>
                <c:pt idx="4349">
                  <c:v>124</c:v>
                </c:pt>
                <c:pt idx="4350">
                  <c:v>112</c:v>
                </c:pt>
                <c:pt idx="4351">
                  <c:v>112</c:v>
                </c:pt>
                <c:pt idx="4352">
                  <c:v>90</c:v>
                </c:pt>
                <c:pt idx="4353">
                  <c:v>101</c:v>
                </c:pt>
                <c:pt idx="4354">
                  <c:v>101</c:v>
                </c:pt>
                <c:pt idx="4355">
                  <c:v>109</c:v>
                </c:pt>
                <c:pt idx="4356">
                  <c:v>106</c:v>
                </c:pt>
                <c:pt idx="4357">
                  <c:v>93</c:v>
                </c:pt>
                <c:pt idx="4358">
                  <c:v>139</c:v>
                </c:pt>
                <c:pt idx="4359">
                  <c:v>110</c:v>
                </c:pt>
                <c:pt idx="4360">
                  <c:v>96</c:v>
                </c:pt>
                <c:pt idx="4361">
                  <c:v>128</c:v>
                </c:pt>
                <c:pt idx="4362">
                  <c:v>107</c:v>
                </c:pt>
                <c:pt idx="4363">
                  <c:v>176</c:v>
                </c:pt>
                <c:pt idx="4364">
                  <c:v>101</c:v>
                </c:pt>
                <c:pt idx="4365">
                  <c:v>83</c:v>
                </c:pt>
                <c:pt idx="4366">
                  <c:v>123</c:v>
                </c:pt>
                <c:pt idx="4367">
                  <c:v>215</c:v>
                </c:pt>
                <c:pt idx="4368">
                  <c:v>109</c:v>
                </c:pt>
                <c:pt idx="4369">
                  <c:v>100</c:v>
                </c:pt>
                <c:pt idx="4370">
                  <c:v>113</c:v>
                </c:pt>
                <c:pt idx="4371">
                  <c:v>110</c:v>
                </c:pt>
                <c:pt idx="4372">
                  <c:v>92</c:v>
                </c:pt>
                <c:pt idx="4373">
                  <c:v>77</c:v>
                </c:pt>
                <c:pt idx="4374">
                  <c:v>81</c:v>
                </c:pt>
                <c:pt idx="4375">
                  <c:v>96</c:v>
                </c:pt>
                <c:pt idx="4376">
                  <c:v>107</c:v>
                </c:pt>
                <c:pt idx="4377">
                  <c:v>104</c:v>
                </c:pt>
                <c:pt idx="4378">
                  <c:v>89</c:v>
                </c:pt>
                <c:pt idx="4379">
                  <c:v>80</c:v>
                </c:pt>
                <c:pt idx="4380">
                  <c:v>7</c:v>
                </c:pt>
                <c:pt idx="4381">
                  <c:v>206</c:v>
                </c:pt>
                <c:pt idx="4382">
                  <c:v>150</c:v>
                </c:pt>
                <c:pt idx="4383">
                  <c:v>96</c:v>
                </c:pt>
                <c:pt idx="4384">
                  <c:v>91</c:v>
                </c:pt>
                <c:pt idx="4385">
                  <c:v>133</c:v>
                </c:pt>
                <c:pt idx="4386">
                  <c:v>96</c:v>
                </c:pt>
                <c:pt idx="4387">
                  <c:v>92</c:v>
                </c:pt>
                <c:pt idx="4388">
                  <c:v>139</c:v>
                </c:pt>
                <c:pt idx="4389">
                  <c:v>106</c:v>
                </c:pt>
                <c:pt idx="4390">
                  <c:v>80</c:v>
                </c:pt>
                <c:pt idx="4391">
                  <c:v>99</c:v>
                </c:pt>
                <c:pt idx="4392">
                  <c:v>80</c:v>
                </c:pt>
                <c:pt idx="4393">
                  <c:v>103</c:v>
                </c:pt>
                <c:pt idx="4394">
                  <c:v>98</c:v>
                </c:pt>
                <c:pt idx="4395">
                  <c:v>230</c:v>
                </c:pt>
                <c:pt idx="4396">
                  <c:v>124</c:v>
                </c:pt>
                <c:pt idx="4397">
                  <c:v>130</c:v>
                </c:pt>
                <c:pt idx="4398">
                  <c:v>96</c:v>
                </c:pt>
                <c:pt idx="4399">
                  <c:v>114</c:v>
                </c:pt>
                <c:pt idx="4400">
                  <c:v>178</c:v>
                </c:pt>
                <c:pt idx="4401">
                  <c:v>119</c:v>
                </c:pt>
                <c:pt idx="4402">
                  <c:v>118</c:v>
                </c:pt>
                <c:pt idx="4403">
                  <c:v>106</c:v>
                </c:pt>
                <c:pt idx="4404">
                  <c:v>119</c:v>
                </c:pt>
                <c:pt idx="4405">
                  <c:v>76</c:v>
                </c:pt>
                <c:pt idx="4406">
                  <c:v>91</c:v>
                </c:pt>
                <c:pt idx="4407">
                  <c:v>93</c:v>
                </c:pt>
                <c:pt idx="4408">
                  <c:v>100</c:v>
                </c:pt>
                <c:pt idx="4409">
                  <c:v>129</c:v>
                </c:pt>
                <c:pt idx="4410">
                  <c:v>108</c:v>
                </c:pt>
                <c:pt idx="4411">
                  <c:v>90</c:v>
                </c:pt>
                <c:pt idx="4412">
                  <c:v>86</c:v>
                </c:pt>
                <c:pt idx="4413">
                  <c:v>94</c:v>
                </c:pt>
                <c:pt idx="4414">
                  <c:v>125</c:v>
                </c:pt>
                <c:pt idx="4415">
                  <c:v>104</c:v>
                </c:pt>
                <c:pt idx="4416">
                  <c:v>99</c:v>
                </c:pt>
                <c:pt idx="4417">
                  <c:v>156</c:v>
                </c:pt>
                <c:pt idx="4418">
                  <c:v>123</c:v>
                </c:pt>
                <c:pt idx="4419">
                  <c:v>88</c:v>
                </c:pt>
                <c:pt idx="4420">
                  <c:v>113</c:v>
                </c:pt>
                <c:pt idx="4421">
                  <c:v>100</c:v>
                </c:pt>
                <c:pt idx="4422">
                  <c:v>93</c:v>
                </c:pt>
                <c:pt idx="4423">
                  <c:v>204</c:v>
                </c:pt>
                <c:pt idx="4424">
                  <c:v>97</c:v>
                </c:pt>
                <c:pt idx="4425">
                  <c:v>111</c:v>
                </c:pt>
                <c:pt idx="4426">
                  <c:v>90</c:v>
                </c:pt>
                <c:pt idx="4427">
                  <c:v>107</c:v>
                </c:pt>
                <c:pt idx="4428">
                  <c:v>119</c:v>
                </c:pt>
                <c:pt idx="4429">
                  <c:v>103</c:v>
                </c:pt>
                <c:pt idx="4430">
                  <c:v>102</c:v>
                </c:pt>
                <c:pt idx="4431">
                  <c:v>90</c:v>
                </c:pt>
                <c:pt idx="4432">
                  <c:v>103</c:v>
                </c:pt>
                <c:pt idx="4433">
                  <c:v>99</c:v>
                </c:pt>
                <c:pt idx="4434">
                  <c:v>135</c:v>
                </c:pt>
                <c:pt idx="4435">
                  <c:v>144</c:v>
                </c:pt>
                <c:pt idx="4436">
                  <c:v>98</c:v>
                </c:pt>
                <c:pt idx="4437">
                  <c:v>98</c:v>
                </c:pt>
                <c:pt idx="4438">
                  <c:v>98</c:v>
                </c:pt>
                <c:pt idx="4439">
                  <c:v>84</c:v>
                </c:pt>
                <c:pt idx="4440">
                  <c:v>112</c:v>
                </c:pt>
                <c:pt idx="4441">
                  <c:v>144</c:v>
                </c:pt>
                <c:pt idx="4442">
                  <c:v>85</c:v>
                </c:pt>
                <c:pt idx="4443">
                  <c:v>127</c:v>
                </c:pt>
                <c:pt idx="4444">
                  <c:v>92</c:v>
                </c:pt>
                <c:pt idx="4445">
                  <c:v>118</c:v>
                </c:pt>
                <c:pt idx="4446">
                  <c:v>102</c:v>
                </c:pt>
                <c:pt idx="4447">
                  <c:v>240</c:v>
                </c:pt>
                <c:pt idx="4448">
                  <c:v>119</c:v>
                </c:pt>
                <c:pt idx="4449">
                  <c:v>138</c:v>
                </c:pt>
                <c:pt idx="4450">
                  <c:v>88</c:v>
                </c:pt>
                <c:pt idx="4451">
                  <c:v>95</c:v>
                </c:pt>
                <c:pt idx="4452">
                  <c:v>114</c:v>
                </c:pt>
                <c:pt idx="4453">
                  <c:v>106</c:v>
                </c:pt>
                <c:pt idx="4454">
                  <c:v>102</c:v>
                </c:pt>
                <c:pt idx="4455">
                  <c:v>100</c:v>
                </c:pt>
                <c:pt idx="4456">
                  <c:v>118</c:v>
                </c:pt>
                <c:pt idx="4457">
                  <c:v>77</c:v>
                </c:pt>
                <c:pt idx="4458">
                  <c:v>104</c:v>
                </c:pt>
                <c:pt idx="4459">
                  <c:v>128</c:v>
                </c:pt>
                <c:pt idx="4460">
                  <c:v>109</c:v>
                </c:pt>
                <c:pt idx="4461">
                  <c:v>127</c:v>
                </c:pt>
                <c:pt idx="4462">
                  <c:v>93</c:v>
                </c:pt>
                <c:pt idx="4463">
                  <c:v>109</c:v>
                </c:pt>
                <c:pt idx="4464">
                  <c:v>121</c:v>
                </c:pt>
                <c:pt idx="4465">
                  <c:v>108</c:v>
                </c:pt>
                <c:pt idx="4466">
                  <c:v>115</c:v>
                </c:pt>
                <c:pt idx="4467">
                  <c:v>102</c:v>
                </c:pt>
                <c:pt idx="4468">
                  <c:v>105</c:v>
                </c:pt>
                <c:pt idx="4469">
                  <c:v>111</c:v>
                </c:pt>
                <c:pt idx="4470">
                  <c:v>87</c:v>
                </c:pt>
                <c:pt idx="4471">
                  <c:v>100</c:v>
                </c:pt>
                <c:pt idx="4472">
                  <c:v>102</c:v>
                </c:pt>
                <c:pt idx="4473">
                  <c:v>99</c:v>
                </c:pt>
                <c:pt idx="4474">
                  <c:v>158</c:v>
                </c:pt>
                <c:pt idx="4475">
                  <c:v>107</c:v>
                </c:pt>
                <c:pt idx="4476">
                  <c:v>105</c:v>
                </c:pt>
                <c:pt idx="4477">
                  <c:v>83</c:v>
                </c:pt>
                <c:pt idx="4478">
                  <c:v>93</c:v>
                </c:pt>
                <c:pt idx="4479">
                  <c:v>105</c:v>
                </c:pt>
                <c:pt idx="4480">
                  <c:v>89</c:v>
                </c:pt>
                <c:pt idx="4481">
                  <c:v>115</c:v>
                </c:pt>
                <c:pt idx="4482">
                  <c:v>118</c:v>
                </c:pt>
                <c:pt idx="4483">
                  <c:v>106</c:v>
                </c:pt>
                <c:pt idx="4484">
                  <c:v>122</c:v>
                </c:pt>
                <c:pt idx="4485">
                  <c:v>93</c:v>
                </c:pt>
                <c:pt idx="4486">
                  <c:v>91</c:v>
                </c:pt>
                <c:pt idx="4487">
                  <c:v>104</c:v>
                </c:pt>
                <c:pt idx="4488">
                  <c:v>145</c:v>
                </c:pt>
                <c:pt idx="4489">
                  <c:v>100</c:v>
                </c:pt>
                <c:pt idx="4490">
                  <c:v>117</c:v>
                </c:pt>
                <c:pt idx="4491">
                  <c:v>134</c:v>
                </c:pt>
                <c:pt idx="4492">
                  <c:v>101</c:v>
                </c:pt>
                <c:pt idx="4493">
                  <c:v>111</c:v>
                </c:pt>
                <c:pt idx="4494">
                  <c:v>83</c:v>
                </c:pt>
                <c:pt idx="4495">
                  <c:v>107</c:v>
                </c:pt>
                <c:pt idx="4496">
                  <c:v>103</c:v>
                </c:pt>
                <c:pt idx="4497">
                  <c:v>103</c:v>
                </c:pt>
                <c:pt idx="4498">
                  <c:v>100</c:v>
                </c:pt>
                <c:pt idx="4499">
                  <c:v>85</c:v>
                </c:pt>
                <c:pt idx="4500">
                  <c:v>115</c:v>
                </c:pt>
                <c:pt idx="4501">
                  <c:v>112</c:v>
                </c:pt>
                <c:pt idx="4502">
                  <c:v>101</c:v>
                </c:pt>
                <c:pt idx="4503">
                  <c:v>107</c:v>
                </c:pt>
                <c:pt idx="4504">
                  <c:v>102</c:v>
                </c:pt>
                <c:pt idx="4505">
                  <c:v>114</c:v>
                </c:pt>
                <c:pt idx="4506">
                  <c:v>98</c:v>
                </c:pt>
                <c:pt idx="4507">
                  <c:v>96</c:v>
                </c:pt>
                <c:pt idx="4508">
                  <c:v>85</c:v>
                </c:pt>
                <c:pt idx="4509">
                  <c:v>130</c:v>
                </c:pt>
                <c:pt idx="4510">
                  <c:v>95</c:v>
                </c:pt>
                <c:pt idx="4511">
                  <c:v>103</c:v>
                </c:pt>
                <c:pt idx="4512">
                  <c:v>75</c:v>
                </c:pt>
                <c:pt idx="4513">
                  <c:v>93</c:v>
                </c:pt>
                <c:pt idx="4514">
                  <c:v>100</c:v>
                </c:pt>
                <c:pt idx="4515">
                  <c:v>103</c:v>
                </c:pt>
                <c:pt idx="4516">
                  <c:v>95</c:v>
                </c:pt>
                <c:pt idx="4517">
                  <c:v>100</c:v>
                </c:pt>
                <c:pt idx="4518">
                  <c:v>99</c:v>
                </c:pt>
                <c:pt idx="4519">
                  <c:v>66</c:v>
                </c:pt>
                <c:pt idx="4520">
                  <c:v>116</c:v>
                </c:pt>
                <c:pt idx="4521">
                  <c:v>83</c:v>
                </c:pt>
                <c:pt idx="4522">
                  <c:v>135</c:v>
                </c:pt>
                <c:pt idx="4523">
                  <c:v>127</c:v>
                </c:pt>
                <c:pt idx="4524">
                  <c:v>98</c:v>
                </c:pt>
                <c:pt idx="4525">
                  <c:v>94</c:v>
                </c:pt>
                <c:pt idx="4526">
                  <c:v>194</c:v>
                </c:pt>
                <c:pt idx="4527">
                  <c:v>87</c:v>
                </c:pt>
                <c:pt idx="4528">
                  <c:v>81</c:v>
                </c:pt>
                <c:pt idx="4529">
                  <c:v>106</c:v>
                </c:pt>
                <c:pt idx="4530">
                  <c:v>129</c:v>
                </c:pt>
                <c:pt idx="4531">
                  <c:v>112</c:v>
                </c:pt>
                <c:pt idx="4532">
                  <c:v>120</c:v>
                </c:pt>
                <c:pt idx="4533">
                  <c:v>121</c:v>
                </c:pt>
                <c:pt idx="4534">
                  <c:v>134</c:v>
                </c:pt>
                <c:pt idx="4535">
                  <c:v>95</c:v>
                </c:pt>
                <c:pt idx="4536">
                  <c:v>119</c:v>
                </c:pt>
                <c:pt idx="4537">
                  <c:v>130</c:v>
                </c:pt>
                <c:pt idx="4538">
                  <c:v>116</c:v>
                </c:pt>
                <c:pt idx="4539">
                  <c:v>89</c:v>
                </c:pt>
                <c:pt idx="4540">
                  <c:v>102</c:v>
                </c:pt>
                <c:pt idx="4541">
                  <c:v>110</c:v>
                </c:pt>
                <c:pt idx="4542">
                  <c:v>81</c:v>
                </c:pt>
                <c:pt idx="4543">
                  <c:v>80</c:v>
                </c:pt>
                <c:pt idx="4544">
                  <c:v>127</c:v>
                </c:pt>
                <c:pt idx="4545">
                  <c:v>154</c:v>
                </c:pt>
                <c:pt idx="4546">
                  <c:v>160</c:v>
                </c:pt>
                <c:pt idx="4547">
                  <c:v>128</c:v>
                </c:pt>
                <c:pt idx="4548">
                  <c:v>84</c:v>
                </c:pt>
                <c:pt idx="4549">
                  <c:v>226</c:v>
                </c:pt>
                <c:pt idx="4550">
                  <c:v>106</c:v>
                </c:pt>
                <c:pt idx="4551">
                  <c:v>104</c:v>
                </c:pt>
                <c:pt idx="4552">
                  <c:v>65</c:v>
                </c:pt>
                <c:pt idx="4553">
                  <c:v>104</c:v>
                </c:pt>
                <c:pt idx="4554">
                  <c:v>82</c:v>
                </c:pt>
                <c:pt idx="4555">
                  <c:v>103</c:v>
                </c:pt>
                <c:pt idx="4556">
                  <c:v>74</c:v>
                </c:pt>
                <c:pt idx="4557">
                  <c:v>102</c:v>
                </c:pt>
                <c:pt idx="4558">
                  <c:v>88</c:v>
                </c:pt>
                <c:pt idx="4559">
                  <c:v>120</c:v>
                </c:pt>
                <c:pt idx="4560">
                  <c:v>116</c:v>
                </c:pt>
                <c:pt idx="4561">
                  <c:v>190</c:v>
                </c:pt>
                <c:pt idx="4562">
                  <c:v>94</c:v>
                </c:pt>
                <c:pt idx="4563">
                  <c:v>122</c:v>
                </c:pt>
                <c:pt idx="4564">
                  <c:v>94</c:v>
                </c:pt>
                <c:pt idx="4565">
                  <c:v>129</c:v>
                </c:pt>
                <c:pt idx="4566">
                  <c:v>202</c:v>
                </c:pt>
                <c:pt idx="4567">
                  <c:v>103</c:v>
                </c:pt>
                <c:pt idx="4568">
                  <c:v>119</c:v>
                </c:pt>
                <c:pt idx="4569">
                  <c:v>144</c:v>
                </c:pt>
                <c:pt idx="4570">
                  <c:v>165</c:v>
                </c:pt>
                <c:pt idx="4571">
                  <c:v>154</c:v>
                </c:pt>
                <c:pt idx="4572">
                  <c:v>150</c:v>
                </c:pt>
                <c:pt idx="4573">
                  <c:v>87</c:v>
                </c:pt>
                <c:pt idx="4574">
                  <c:v>111</c:v>
                </c:pt>
                <c:pt idx="4575">
                  <c:v>105</c:v>
                </c:pt>
                <c:pt idx="4576">
                  <c:v>511</c:v>
                </c:pt>
                <c:pt idx="4577">
                  <c:v>114</c:v>
                </c:pt>
                <c:pt idx="4578">
                  <c:v>108</c:v>
                </c:pt>
                <c:pt idx="4579">
                  <c:v>67</c:v>
                </c:pt>
                <c:pt idx="4580">
                  <c:v>92</c:v>
                </c:pt>
                <c:pt idx="4581">
                  <c:v>95</c:v>
                </c:pt>
                <c:pt idx="4582">
                  <c:v>95</c:v>
                </c:pt>
                <c:pt idx="4583">
                  <c:v>86</c:v>
                </c:pt>
                <c:pt idx="4584">
                  <c:v>96</c:v>
                </c:pt>
                <c:pt idx="4585">
                  <c:v>99</c:v>
                </c:pt>
                <c:pt idx="4586">
                  <c:v>115</c:v>
                </c:pt>
                <c:pt idx="4587">
                  <c:v>94</c:v>
                </c:pt>
                <c:pt idx="4588">
                  <c:v>94</c:v>
                </c:pt>
                <c:pt idx="4589">
                  <c:v>103</c:v>
                </c:pt>
                <c:pt idx="4590">
                  <c:v>250</c:v>
                </c:pt>
                <c:pt idx="4591">
                  <c:v>105</c:v>
                </c:pt>
                <c:pt idx="4592">
                  <c:v>121</c:v>
                </c:pt>
                <c:pt idx="4593">
                  <c:v>111</c:v>
                </c:pt>
                <c:pt idx="4594">
                  <c:v>196</c:v>
                </c:pt>
                <c:pt idx="4595">
                  <c:v>90</c:v>
                </c:pt>
                <c:pt idx="4596">
                  <c:v>110</c:v>
                </c:pt>
                <c:pt idx="4597">
                  <c:v>141</c:v>
                </c:pt>
                <c:pt idx="4598">
                  <c:v>121</c:v>
                </c:pt>
                <c:pt idx="4599">
                  <c:v>103</c:v>
                </c:pt>
                <c:pt idx="4600">
                  <c:v>106</c:v>
                </c:pt>
                <c:pt idx="4601">
                  <c:v>96</c:v>
                </c:pt>
                <c:pt idx="4602">
                  <c:v>94</c:v>
                </c:pt>
                <c:pt idx="4603">
                  <c:v>90</c:v>
                </c:pt>
                <c:pt idx="4604">
                  <c:v>89</c:v>
                </c:pt>
                <c:pt idx="4605">
                  <c:v>102</c:v>
                </c:pt>
                <c:pt idx="4606">
                  <c:v>112</c:v>
                </c:pt>
                <c:pt idx="4607">
                  <c:v>96</c:v>
                </c:pt>
                <c:pt idx="4608">
                  <c:v>100</c:v>
                </c:pt>
                <c:pt idx="4609">
                  <c:v>102</c:v>
                </c:pt>
                <c:pt idx="4610">
                  <c:v>101</c:v>
                </c:pt>
                <c:pt idx="4611">
                  <c:v>244</c:v>
                </c:pt>
                <c:pt idx="4612">
                  <c:v>111</c:v>
                </c:pt>
                <c:pt idx="4613">
                  <c:v>107</c:v>
                </c:pt>
                <c:pt idx="4614">
                  <c:v>60</c:v>
                </c:pt>
                <c:pt idx="4615">
                  <c:v>113</c:v>
                </c:pt>
                <c:pt idx="4616">
                  <c:v>88</c:v>
                </c:pt>
                <c:pt idx="4617">
                  <c:v>109</c:v>
                </c:pt>
                <c:pt idx="4618">
                  <c:v>90</c:v>
                </c:pt>
                <c:pt idx="4619">
                  <c:v>120</c:v>
                </c:pt>
                <c:pt idx="4620">
                  <c:v>84</c:v>
                </c:pt>
                <c:pt idx="4621">
                  <c:v>96</c:v>
                </c:pt>
                <c:pt idx="4622">
                  <c:v>110</c:v>
                </c:pt>
                <c:pt idx="4623">
                  <c:v>101</c:v>
                </c:pt>
                <c:pt idx="4624">
                  <c:v>95</c:v>
                </c:pt>
                <c:pt idx="4625">
                  <c:v>85</c:v>
                </c:pt>
                <c:pt idx="4626">
                  <c:v>116</c:v>
                </c:pt>
                <c:pt idx="4627">
                  <c:v>150</c:v>
                </c:pt>
                <c:pt idx="4628">
                  <c:v>113</c:v>
                </c:pt>
                <c:pt idx="4629">
                  <c:v>76</c:v>
                </c:pt>
                <c:pt idx="4630">
                  <c:v>94</c:v>
                </c:pt>
                <c:pt idx="4631">
                  <c:v>90</c:v>
                </c:pt>
                <c:pt idx="4632">
                  <c:v>106</c:v>
                </c:pt>
                <c:pt idx="4633">
                  <c:v>274</c:v>
                </c:pt>
                <c:pt idx="4634">
                  <c:v>92</c:v>
                </c:pt>
                <c:pt idx="4635">
                  <c:v>98</c:v>
                </c:pt>
                <c:pt idx="4636">
                  <c:v>106</c:v>
                </c:pt>
                <c:pt idx="4637">
                  <c:v>108</c:v>
                </c:pt>
                <c:pt idx="4638">
                  <c:v>113</c:v>
                </c:pt>
                <c:pt idx="4639">
                  <c:v>95</c:v>
                </c:pt>
                <c:pt idx="4640">
                  <c:v>86</c:v>
                </c:pt>
                <c:pt idx="4641">
                  <c:v>106</c:v>
                </c:pt>
                <c:pt idx="4642">
                  <c:v>133</c:v>
                </c:pt>
                <c:pt idx="4643">
                  <c:v>88</c:v>
                </c:pt>
                <c:pt idx="4644">
                  <c:v>102</c:v>
                </c:pt>
                <c:pt idx="4645">
                  <c:v>92</c:v>
                </c:pt>
                <c:pt idx="4646">
                  <c:v>97</c:v>
                </c:pt>
                <c:pt idx="4647">
                  <c:v>94</c:v>
                </c:pt>
                <c:pt idx="4648">
                  <c:v>66</c:v>
                </c:pt>
                <c:pt idx="4649">
                  <c:v>94</c:v>
                </c:pt>
                <c:pt idx="4650">
                  <c:v>124</c:v>
                </c:pt>
                <c:pt idx="4651">
                  <c:v>91</c:v>
                </c:pt>
                <c:pt idx="4652">
                  <c:v>60</c:v>
                </c:pt>
                <c:pt idx="4653">
                  <c:v>131</c:v>
                </c:pt>
                <c:pt idx="4654">
                  <c:v>45</c:v>
                </c:pt>
                <c:pt idx="4655">
                  <c:v>83</c:v>
                </c:pt>
                <c:pt idx="4656">
                  <c:v>111</c:v>
                </c:pt>
                <c:pt idx="4657">
                  <c:v>110</c:v>
                </c:pt>
                <c:pt idx="4658">
                  <c:v>83</c:v>
                </c:pt>
                <c:pt idx="4659">
                  <c:v>226</c:v>
                </c:pt>
                <c:pt idx="4660">
                  <c:v>103</c:v>
                </c:pt>
                <c:pt idx="4661">
                  <c:v>89</c:v>
                </c:pt>
                <c:pt idx="4662">
                  <c:v>98</c:v>
                </c:pt>
                <c:pt idx="4663">
                  <c:v>93</c:v>
                </c:pt>
                <c:pt idx="4664">
                  <c:v>101</c:v>
                </c:pt>
                <c:pt idx="4665">
                  <c:v>124</c:v>
                </c:pt>
                <c:pt idx="4666">
                  <c:v>108</c:v>
                </c:pt>
                <c:pt idx="4667">
                  <c:v>96</c:v>
                </c:pt>
                <c:pt idx="4668">
                  <c:v>99</c:v>
                </c:pt>
                <c:pt idx="4669">
                  <c:v>97</c:v>
                </c:pt>
                <c:pt idx="4670">
                  <c:v>106</c:v>
                </c:pt>
                <c:pt idx="4671">
                  <c:v>132</c:v>
                </c:pt>
                <c:pt idx="4672">
                  <c:v>155</c:v>
                </c:pt>
                <c:pt idx="4673">
                  <c:v>99</c:v>
                </c:pt>
                <c:pt idx="4674">
                  <c:v>96</c:v>
                </c:pt>
                <c:pt idx="4675">
                  <c:v>125</c:v>
                </c:pt>
                <c:pt idx="4676">
                  <c:v>76</c:v>
                </c:pt>
                <c:pt idx="4677">
                  <c:v>121</c:v>
                </c:pt>
                <c:pt idx="4678">
                  <c:v>100</c:v>
                </c:pt>
                <c:pt idx="4679">
                  <c:v>122</c:v>
                </c:pt>
                <c:pt idx="4680">
                  <c:v>100</c:v>
                </c:pt>
                <c:pt idx="4681">
                  <c:v>88</c:v>
                </c:pt>
                <c:pt idx="4682">
                  <c:v>82</c:v>
                </c:pt>
                <c:pt idx="4683">
                  <c:v>104</c:v>
                </c:pt>
                <c:pt idx="4684">
                  <c:v>92</c:v>
                </c:pt>
                <c:pt idx="4685">
                  <c:v>94</c:v>
                </c:pt>
                <c:pt idx="4686">
                  <c:v>141</c:v>
                </c:pt>
                <c:pt idx="4687">
                  <c:v>141</c:v>
                </c:pt>
                <c:pt idx="4688">
                  <c:v>90</c:v>
                </c:pt>
                <c:pt idx="4689">
                  <c:v>106</c:v>
                </c:pt>
                <c:pt idx="4690">
                  <c:v>192</c:v>
                </c:pt>
                <c:pt idx="4691">
                  <c:v>124</c:v>
                </c:pt>
                <c:pt idx="4692">
                  <c:v>125</c:v>
                </c:pt>
                <c:pt idx="4693">
                  <c:v>98</c:v>
                </c:pt>
                <c:pt idx="4694">
                  <c:v>44</c:v>
                </c:pt>
                <c:pt idx="4695">
                  <c:v>103</c:v>
                </c:pt>
                <c:pt idx="4696">
                  <c:v>124</c:v>
                </c:pt>
                <c:pt idx="4697">
                  <c:v>100</c:v>
                </c:pt>
                <c:pt idx="4698">
                  <c:v>14</c:v>
                </c:pt>
                <c:pt idx="4699">
                  <c:v>96</c:v>
                </c:pt>
                <c:pt idx="4700">
                  <c:v>330</c:v>
                </c:pt>
                <c:pt idx="4701">
                  <c:v>89</c:v>
                </c:pt>
                <c:pt idx="4702">
                  <c:v>97</c:v>
                </c:pt>
                <c:pt idx="4703">
                  <c:v>106</c:v>
                </c:pt>
                <c:pt idx="4704">
                  <c:v>107</c:v>
                </c:pt>
                <c:pt idx="4705">
                  <c:v>104</c:v>
                </c:pt>
                <c:pt idx="4706">
                  <c:v>121</c:v>
                </c:pt>
                <c:pt idx="4707">
                  <c:v>129</c:v>
                </c:pt>
                <c:pt idx="4708">
                  <c:v>97</c:v>
                </c:pt>
                <c:pt idx="4709">
                  <c:v>97</c:v>
                </c:pt>
                <c:pt idx="4710">
                  <c:v>84</c:v>
                </c:pt>
                <c:pt idx="4711">
                  <c:v>94</c:v>
                </c:pt>
                <c:pt idx="4712">
                  <c:v>108</c:v>
                </c:pt>
                <c:pt idx="4713">
                  <c:v>91</c:v>
                </c:pt>
                <c:pt idx="4714">
                  <c:v>120</c:v>
                </c:pt>
                <c:pt idx="4715">
                  <c:v>153</c:v>
                </c:pt>
                <c:pt idx="4716">
                  <c:v>86</c:v>
                </c:pt>
                <c:pt idx="4717">
                  <c:v>86</c:v>
                </c:pt>
                <c:pt idx="4718">
                  <c:v>87</c:v>
                </c:pt>
                <c:pt idx="4719">
                  <c:v>126</c:v>
                </c:pt>
                <c:pt idx="4720">
                  <c:v>136</c:v>
                </c:pt>
                <c:pt idx="4721">
                  <c:v>98</c:v>
                </c:pt>
                <c:pt idx="4722">
                  <c:v>20</c:v>
                </c:pt>
                <c:pt idx="4723">
                  <c:v>94</c:v>
                </c:pt>
                <c:pt idx="4724">
                  <c:v>90</c:v>
                </c:pt>
                <c:pt idx="4725">
                  <c:v>98</c:v>
                </c:pt>
                <c:pt idx="4726">
                  <c:v>110</c:v>
                </c:pt>
                <c:pt idx="4728">
                  <c:v>146</c:v>
                </c:pt>
                <c:pt idx="4729">
                  <c:v>116</c:v>
                </c:pt>
                <c:pt idx="4730">
                  <c:v>103</c:v>
                </c:pt>
                <c:pt idx="4731">
                  <c:v>107</c:v>
                </c:pt>
                <c:pt idx="4732">
                  <c:v>123</c:v>
                </c:pt>
                <c:pt idx="4733">
                  <c:v>114</c:v>
                </c:pt>
                <c:pt idx="4734">
                  <c:v>103</c:v>
                </c:pt>
                <c:pt idx="4735">
                  <c:v>98</c:v>
                </c:pt>
                <c:pt idx="4736">
                  <c:v>98</c:v>
                </c:pt>
                <c:pt idx="4737">
                  <c:v>140</c:v>
                </c:pt>
                <c:pt idx="4738">
                  <c:v>101</c:v>
                </c:pt>
                <c:pt idx="4739">
                  <c:v>94</c:v>
                </c:pt>
                <c:pt idx="4740">
                  <c:v>215</c:v>
                </c:pt>
                <c:pt idx="4741">
                  <c:v>88</c:v>
                </c:pt>
                <c:pt idx="4742">
                  <c:v>120</c:v>
                </c:pt>
                <c:pt idx="4743">
                  <c:v>117</c:v>
                </c:pt>
                <c:pt idx="4744">
                  <c:v>134</c:v>
                </c:pt>
                <c:pt idx="4745">
                  <c:v>176</c:v>
                </c:pt>
                <c:pt idx="4746">
                  <c:v>94</c:v>
                </c:pt>
                <c:pt idx="4747">
                  <c:v>131</c:v>
                </c:pt>
                <c:pt idx="4748">
                  <c:v>96</c:v>
                </c:pt>
                <c:pt idx="4749">
                  <c:v>124</c:v>
                </c:pt>
                <c:pt idx="4750">
                  <c:v>87</c:v>
                </c:pt>
                <c:pt idx="4751">
                  <c:v>112</c:v>
                </c:pt>
                <c:pt idx="4752">
                  <c:v>117</c:v>
                </c:pt>
                <c:pt idx="4753">
                  <c:v>124</c:v>
                </c:pt>
                <c:pt idx="4754">
                  <c:v>97</c:v>
                </c:pt>
                <c:pt idx="4755">
                  <c:v>114</c:v>
                </c:pt>
                <c:pt idx="4756">
                  <c:v>86</c:v>
                </c:pt>
                <c:pt idx="4757">
                  <c:v>110</c:v>
                </c:pt>
                <c:pt idx="4758">
                  <c:v>88</c:v>
                </c:pt>
                <c:pt idx="4759">
                  <c:v>110</c:v>
                </c:pt>
                <c:pt idx="4760">
                  <c:v>106</c:v>
                </c:pt>
                <c:pt idx="4761">
                  <c:v>80</c:v>
                </c:pt>
                <c:pt idx="4762">
                  <c:v>106</c:v>
                </c:pt>
                <c:pt idx="4763">
                  <c:v>118</c:v>
                </c:pt>
                <c:pt idx="4764">
                  <c:v>152</c:v>
                </c:pt>
                <c:pt idx="4765">
                  <c:v>105</c:v>
                </c:pt>
                <c:pt idx="4766">
                  <c:v>101</c:v>
                </c:pt>
                <c:pt idx="4767">
                  <c:v>105</c:v>
                </c:pt>
                <c:pt idx="4768">
                  <c:v>113</c:v>
                </c:pt>
                <c:pt idx="4769">
                  <c:v>101</c:v>
                </c:pt>
                <c:pt idx="4770">
                  <c:v>104</c:v>
                </c:pt>
                <c:pt idx="4771">
                  <c:v>130</c:v>
                </c:pt>
                <c:pt idx="4772">
                  <c:v>87</c:v>
                </c:pt>
                <c:pt idx="4773">
                  <c:v>109</c:v>
                </c:pt>
                <c:pt idx="4774">
                  <c:v>110</c:v>
                </c:pt>
                <c:pt idx="4775">
                  <c:v>127</c:v>
                </c:pt>
                <c:pt idx="4776">
                  <c:v>94</c:v>
                </c:pt>
                <c:pt idx="4777">
                  <c:v>92</c:v>
                </c:pt>
                <c:pt idx="4778">
                  <c:v>118</c:v>
                </c:pt>
                <c:pt idx="4779">
                  <c:v>118</c:v>
                </c:pt>
                <c:pt idx="4780">
                  <c:v>94</c:v>
                </c:pt>
                <c:pt idx="4781">
                  <c:v>117</c:v>
                </c:pt>
                <c:pt idx="4782">
                  <c:v>87</c:v>
                </c:pt>
                <c:pt idx="4783">
                  <c:v>92</c:v>
                </c:pt>
                <c:pt idx="4784">
                  <c:v>89</c:v>
                </c:pt>
                <c:pt idx="4785">
                  <c:v>91</c:v>
                </c:pt>
                <c:pt idx="4786">
                  <c:v>115</c:v>
                </c:pt>
                <c:pt idx="4787">
                  <c:v>86</c:v>
                </c:pt>
                <c:pt idx="4788">
                  <c:v>120</c:v>
                </c:pt>
                <c:pt idx="4789">
                  <c:v>107</c:v>
                </c:pt>
                <c:pt idx="4790">
                  <c:v>101</c:v>
                </c:pt>
                <c:pt idx="4791">
                  <c:v>97</c:v>
                </c:pt>
                <c:pt idx="4792">
                  <c:v>111</c:v>
                </c:pt>
                <c:pt idx="4793">
                  <c:v>107</c:v>
                </c:pt>
                <c:pt idx="4794">
                  <c:v>82</c:v>
                </c:pt>
                <c:pt idx="4795">
                  <c:v>109</c:v>
                </c:pt>
                <c:pt idx="4796">
                  <c:v>107</c:v>
                </c:pt>
                <c:pt idx="4797">
                  <c:v>131</c:v>
                </c:pt>
                <c:pt idx="4798">
                  <c:v>99</c:v>
                </c:pt>
                <c:pt idx="4799">
                  <c:v>101</c:v>
                </c:pt>
                <c:pt idx="4800">
                  <c:v>109</c:v>
                </c:pt>
                <c:pt idx="4801">
                  <c:v>129</c:v>
                </c:pt>
                <c:pt idx="4802">
                  <c:v>101</c:v>
                </c:pt>
                <c:pt idx="4803">
                  <c:v>92</c:v>
                </c:pt>
                <c:pt idx="4804">
                  <c:v>93</c:v>
                </c:pt>
                <c:pt idx="4805">
                  <c:v>121</c:v>
                </c:pt>
                <c:pt idx="4806">
                  <c:v>113</c:v>
                </c:pt>
                <c:pt idx="4807">
                  <c:v>92</c:v>
                </c:pt>
                <c:pt idx="4808">
                  <c:v>228</c:v>
                </c:pt>
                <c:pt idx="4809">
                  <c:v>92</c:v>
                </c:pt>
                <c:pt idx="4810">
                  <c:v>104</c:v>
                </c:pt>
                <c:pt idx="4811">
                  <c:v>100</c:v>
                </c:pt>
                <c:pt idx="4812">
                  <c:v>98</c:v>
                </c:pt>
                <c:pt idx="4813">
                  <c:v>115</c:v>
                </c:pt>
                <c:pt idx="4814">
                  <c:v>106</c:v>
                </c:pt>
                <c:pt idx="4815">
                  <c:v>115</c:v>
                </c:pt>
                <c:pt idx="4816">
                  <c:v>100</c:v>
                </c:pt>
                <c:pt idx="4817">
                  <c:v>89</c:v>
                </c:pt>
                <c:pt idx="4818">
                  <c:v>98</c:v>
                </c:pt>
                <c:pt idx="4819">
                  <c:v>95</c:v>
                </c:pt>
                <c:pt idx="4820">
                  <c:v>93</c:v>
                </c:pt>
                <c:pt idx="4821">
                  <c:v>90</c:v>
                </c:pt>
                <c:pt idx="4822">
                  <c:v>153</c:v>
                </c:pt>
                <c:pt idx="4823">
                  <c:v>100</c:v>
                </c:pt>
                <c:pt idx="4824">
                  <c:v>81</c:v>
                </c:pt>
                <c:pt idx="4825">
                  <c:v>30</c:v>
                </c:pt>
                <c:pt idx="4826">
                  <c:v>104</c:v>
                </c:pt>
                <c:pt idx="4827">
                  <c:v>63</c:v>
                </c:pt>
                <c:pt idx="4828">
                  <c:v>103</c:v>
                </c:pt>
                <c:pt idx="4829">
                  <c:v>98</c:v>
                </c:pt>
                <c:pt idx="4830">
                  <c:v>100</c:v>
                </c:pt>
                <c:pt idx="4831">
                  <c:v>118</c:v>
                </c:pt>
                <c:pt idx="4832">
                  <c:v>106</c:v>
                </c:pt>
                <c:pt idx="4833">
                  <c:v>98</c:v>
                </c:pt>
                <c:pt idx="4834">
                  <c:v>95</c:v>
                </c:pt>
                <c:pt idx="4835">
                  <c:v>117</c:v>
                </c:pt>
                <c:pt idx="4836">
                  <c:v>87</c:v>
                </c:pt>
                <c:pt idx="4837">
                  <c:v>97</c:v>
                </c:pt>
                <c:pt idx="4838">
                  <c:v>112</c:v>
                </c:pt>
                <c:pt idx="4840">
                  <c:v>125</c:v>
                </c:pt>
                <c:pt idx="4841">
                  <c:v>91</c:v>
                </c:pt>
                <c:pt idx="4842">
                  <c:v>109</c:v>
                </c:pt>
                <c:pt idx="4843">
                  <c:v>92</c:v>
                </c:pt>
                <c:pt idx="4844">
                  <c:v>94</c:v>
                </c:pt>
                <c:pt idx="4845">
                  <c:v>111</c:v>
                </c:pt>
                <c:pt idx="4846">
                  <c:v>107</c:v>
                </c:pt>
                <c:pt idx="4847">
                  <c:v>104</c:v>
                </c:pt>
                <c:pt idx="4848">
                  <c:v>121</c:v>
                </c:pt>
                <c:pt idx="4849">
                  <c:v>84</c:v>
                </c:pt>
                <c:pt idx="4850">
                  <c:v>215</c:v>
                </c:pt>
                <c:pt idx="4851">
                  <c:v>94</c:v>
                </c:pt>
                <c:pt idx="4852">
                  <c:v>129</c:v>
                </c:pt>
                <c:pt idx="4853">
                  <c:v>123</c:v>
                </c:pt>
                <c:pt idx="4854">
                  <c:v>99</c:v>
                </c:pt>
                <c:pt idx="4855">
                  <c:v>99</c:v>
                </c:pt>
                <c:pt idx="4856">
                  <c:v>101</c:v>
                </c:pt>
                <c:pt idx="4857">
                  <c:v>88</c:v>
                </c:pt>
                <c:pt idx="4858">
                  <c:v>84</c:v>
                </c:pt>
                <c:pt idx="4859">
                  <c:v>142</c:v>
                </c:pt>
                <c:pt idx="4860">
                  <c:v>212</c:v>
                </c:pt>
                <c:pt idx="4861">
                  <c:v>119</c:v>
                </c:pt>
                <c:pt idx="4862">
                  <c:v>134</c:v>
                </c:pt>
                <c:pt idx="4863">
                  <c:v>119</c:v>
                </c:pt>
                <c:pt idx="4864">
                  <c:v>104</c:v>
                </c:pt>
                <c:pt idx="4865">
                  <c:v>144</c:v>
                </c:pt>
                <c:pt idx="4866">
                  <c:v>149</c:v>
                </c:pt>
                <c:pt idx="4867">
                  <c:v>132</c:v>
                </c:pt>
                <c:pt idx="4868">
                  <c:v>104</c:v>
                </c:pt>
                <c:pt idx="4869">
                  <c:v>132</c:v>
                </c:pt>
                <c:pt idx="4870">
                  <c:v>101</c:v>
                </c:pt>
                <c:pt idx="4871">
                  <c:v>106</c:v>
                </c:pt>
                <c:pt idx="4872">
                  <c:v>100</c:v>
                </c:pt>
                <c:pt idx="4873">
                  <c:v>160</c:v>
                </c:pt>
                <c:pt idx="4874">
                  <c:v>132</c:v>
                </c:pt>
                <c:pt idx="4875">
                  <c:v>104</c:v>
                </c:pt>
                <c:pt idx="4876">
                  <c:v>100</c:v>
                </c:pt>
                <c:pt idx="4877">
                  <c:v>89</c:v>
                </c:pt>
                <c:pt idx="4878">
                  <c:v>88</c:v>
                </c:pt>
                <c:pt idx="4879">
                  <c:v>80</c:v>
                </c:pt>
                <c:pt idx="4880">
                  <c:v>105</c:v>
                </c:pt>
                <c:pt idx="4881">
                  <c:v>111</c:v>
                </c:pt>
                <c:pt idx="4882">
                  <c:v>126</c:v>
                </c:pt>
                <c:pt idx="4883">
                  <c:v>113</c:v>
                </c:pt>
                <c:pt idx="4884">
                  <c:v>95</c:v>
                </c:pt>
                <c:pt idx="4885">
                  <c:v>91</c:v>
                </c:pt>
                <c:pt idx="4886">
                  <c:v>93</c:v>
                </c:pt>
                <c:pt idx="4887">
                  <c:v>117</c:v>
                </c:pt>
                <c:pt idx="4888">
                  <c:v>98</c:v>
                </c:pt>
                <c:pt idx="4889">
                  <c:v>110</c:v>
                </c:pt>
                <c:pt idx="4890">
                  <c:v>94</c:v>
                </c:pt>
                <c:pt idx="4891">
                  <c:v>106</c:v>
                </c:pt>
                <c:pt idx="4892">
                  <c:v>107</c:v>
                </c:pt>
                <c:pt idx="4893">
                  <c:v>109</c:v>
                </c:pt>
                <c:pt idx="4894">
                  <c:v>102</c:v>
                </c:pt>
                <c:pt idx="4895">
                  <c:v>90</c:v>
                </c:pt>
                <c:pt idx="4896">
                  <c:v>111</c:v>
                </c:pt>
                <c:pt idx="4897">
                  <c:v>90</c:v>
                </c:pt>
                <c:pt idx="4898">
                  <c:v>119</c:v>
                </c:pt>
                <c:pt idx="4899">
                  <c:v>24</c:v>
                </c:pt>
                <c:pt idx="4900">
                  <c:v>92</c:v>
                </c:pt>
                <c:pt idx="4901">
                  <c:v>101</c:v>
                </c:pt>
                <c:pt idx="4902">
                  <c:v>83</c:v>
                </c:pt>
                <c:pt idx="4903">
                  <c:v>101</c:v>
                </c:pt>
                <c:pt idx="4904">
                  <c:v>157</c:v>
                </c:pt>
                <c:pt idx="4905">
                  <c:v>116</c:v>
                </c:pt>
                <c:pt idx="4906">
                  <c:v>103</c:v>
                </c:pt>
                <c:pt idx="4907">
                  <c:v>89</c:v>
                </c:pt>
                <c:pt idx="4908">
                  <c:v>162</c:v>
                </c:pt>
                <c:pt idx="4909">
                  <c:v>93</c:v>
                </c:pt>
                <c:pt idx="4910">
                  <c:v>88</c:v>
                </c:pt>
                <c:pt idx="4911">
                  <c:v>102</c:v>
                </c:pt>
                <c:pt idx="4912">
                  <c:v>102</c:v>
                </c:pt>
                <c:pt idx="4913">
                  <c:v>90</c:v>
                </c:pt>
                <c:pt idx="4914">
                  <c:v>83</c:v>
                </c:pt>
                <c:pt idx="4915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81108106"/>
        <c:axId val="127178545"/>
      </c:lineChart>
      <c:catAx>
        <c:axId val="108110810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movie_title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127178545"/>
        <c:crosses val="autoZero"/>
        <c:auto val="1"/>
        <c:lblAlgn val="ctr"/>
        <c:lblOffset val="100"/>
        <c:noMultiLvlLbl val="0"/>
      </c:catAx>
      <c:valAx>
        <c:axId val="12717854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chemeClr val="accent3"/>
                    </a:solidFill>
                    <a:latin typeface="+mn-lt"/>
                  </a:rPr>
                  <a:t>Duration</a:t>
                </a:r>
                <a:endParaRPr b="0">
                  <a:solidFill>
                    <a:schemeClr val="accent3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108110810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000000"/>
    </a:solidFill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GB" sz="18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chemeClr val="accent3"/>
                </a:solidFill>
                <a:latin typeface="+mn-lt"/>
              </a:rPr>
              <a:t> Number of Movies per Year </a:t>
            </a:r>
            <a:endParaRPr b="0">
              <a:solidFill>
                <a:schemeClr val="accent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lineChart>
        <c:grouping val="none"/>
        <c:varyColors val="0"/>
        <c:ser>
          <c:idx val="0"/>
          <c:order val="0"/>
          <c:tx>
            <c:strRef>
              <c:f>' Trend of number of movies rele'!$B$1</c:f>
              <c:strCache>
                <c:ptCount val="1"/>
                <c:pt idx="0">
                  <c:v>COUNTA of movie_title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strRef>
              <c:f>' Trend of number of movies rele'!$A$2:$A$93</c:f>
              <c:strCache>
                <c:ptCount val="92"/>
                <c:pt idx="0">
                  <c:v>1916</c:v>
                </c:pt>
                <c:pt idx="1">
                  <c:v>1920</c:v>
                </c:pt>
                <c:pt idx="2">
                  <c:v>1925</c:v>
                </c:pt>
                <c:pt idx="3">
                  <c:v>1927</c:v>
                </c:pt>
                <c:pt idx="4">
                  <c:v>1929</c:v>
                </c:pt>
                <c:pt idx="5">
                  <c:v>1930</c:v>
                </c:pt>
                <c:pt idx="6">
                  <c:v>1932</c:v>
                </c:pt>
                <c:pt idx="7">
                  <c:v>1933</c:v>
                </c:pt>
                <c:pt idx="8">
                  <c:v>1934</c:v>
                </c:pt>
                <c:pt idx="9">
                  <c:v>1935</c:v>
                </c:pt>
                <c:pt idx="10">
                  <c:v>1936</c:v>
                </c:pt>
                <c:pt idx="11">
                  <c:v>1937</c:v>
                </c:pt>
                <c:pt idx="12">
                  <c:v>1938</c:v>
                </c:pt>
                <c:pt idx="13">
                  <c:v>1939</c:v>
                </c:pt>
                <c:pt idx="14">
                  <c:v>1940</c:v>
                </c:pt>
                <c:pt idx="15">
                  <c:v>1941</c:v>
                </c:pt>
                <c:pt idx="16">
                  <c:v>1942</c:v>
                </c:pt>
                <c:pt idx="17">
                  <c:v>1943</c:v>
                </c:pt>
                <c:pt idx="18">
                  <c:v>1944</c:v>
                </c:pt>
                <c:pt idx="19">
                  <c:v>1945</c:v>
                </c:pt>
                <c:pt idx="20">
                  <c:v>1946</c:v>
                </c:pt>
                <c:pt idx="21">
                  <c:v>1947</c:v>
                </c:pt>
                <c:pt idx="22">
                  <c:v>1948</c:v>
                </c:pt>
                <c:pt idx="23">
                  <c:v>1949</c:v>
                </c:pt>
                <c:pt idx="24">
                  <c:v>1950</c:v>
                </c:pt>
                <c:pt idx="25">
                  <c:v>1951</c:v>
                </c:pt>
                <c:pt idx="26">
                  <c:v>1952</c:v>
                </c:pt>
                <c:pt idx="27">
                  <c:v>1953</c:v>
                </c:pt>
                <c:pt idx="28">
                  <c:v>1954</c:v>
                </c:pt>
                <c:pt idx="29">
                  <c:v>1955</c:v>
                </c:pt>
                <c:pt idx="30">
                  <c:v>1956</c:v>
                </c:pt>
                <c:pt idx="31">
                  <c:v>1957</c:v>
                </c:pt>
                <c:pt idx="32">
                  <c:v>1958</c:v>
                </c:pt>
                <c:pt idx="33">
                  <c:v>1959</c:v>
                </c:pt>
                <c:pt idx="34">
                  <c:v>1960</c:v>
                </c:pt>
                <c:pt idx="35">
                  <c:v>1961</c:v>
                </c:pt>
                <c:pt idx="36">
                  <c:v>1962</c:v>
                </c:pt>
                <c:pt idx="37">
                  <c:v>1963</c:v>
                </c:pt>
                <c:pt idx="38">
                  <c:v>1964</c:v>
                </c:pt>
                <c:pt idx="39">
                  <c:v>1965</c:v>
                </c:pt>
                <c:pt idx="40">
                  <c:v>1966</c:v>
                </c:pt>
                <c:pt idx="41">
                  <c:v>1967</c:v>
                </c:pt>
                <c:pt idx="42">
                  <c:v>1968</c:v>
                </c:pt>
                <c:pt idx="43">
                  <c:v>1969</c:v>
                </c:pt>
                <c:pt idx="44">
                  <c:v>1970</c:v>
                </c:pt>
                <c:pt idx="45">
                  <c:v>1971</c:v>
                </c:pt>
                <c:pt idx="46">
                  <c:v>1972</c:v>
                </c:pt>
                <c:pt idx="47">
                  <c:v>1973</c:v>
                </c:pt>
                <c:pt idx="48">
                  <c:v>1974</c:v>
                </c:pt>
                <c:pt idx="49">
                  <c:v>1975</c:v>
                </c:pt>
                <c:pt idx="50">
                  <c:v>1976</c:v>
                </c:pt>
                <c:pt idx="51">
                  <c:v>1977</c:v>
                </c:pt>
                <c:pt idx="52">
                  <c:v>1978</c:v>
                </c:pt>
                <c:pt idx="53">
                  <c:v>1979</c:v>
                </c:pt>
                <c:pt idx="54">
                  <c:v>1980</c:v>
                </c:pt>
                <c:pt idx="55">
                  <c:v>1981</c:v>
                </c:pt>
                <c:pt idx="56">
                  <c:v>1982</c:v>
                </c:pt>
                <c:pt idx="57">
                  <c:v>1983</c:v>
                </c:pt>
                <c:pt idx="58">
                  <c:v>1984</c:v>
                </c:pt>
                <c:pt idx="59">
                  <c:v>1985</c:v>
                </c:pt>
                <c:pt idx="60">
                  <c:v>1986</c:v>
                </c:pt>
                <c:pt idx="61">
                  <c:v>1987</c:v>
                </c:pt>
                <c:pt idx="62">
                  <c:v>1988</c:v>
                </c:pt>
                <c:pt idx="63">
                  <c:v>1989</c:v>
                </c:pt>
                <c:pt idx="64">
                  <c:v>1990</c:v>
                </c:pt>
                <c:pt idx="65">
                  <c:v>1991</c:v>
                </c:pt>
                <c:pt idx="66">
                  <c:v>1992</c:v>
                </c:pt>
                <c:pt idx="67">
                  <c:v>1993</c:v>
                </c:pt>
                <c:pt idx="68">
                  <c:v>1994</c:v>
                </c:pt>
                <c:pt idx="69">
                  <c:v>1995</c:v>
                </c:pt>
                <c:pt idx="70">
                  <c:v>1996</c:v>
                </c:pt>
                <c:pt idx="71">
                  <c:v>1997</c:v>
                </c:pt>
                <c:pt idx="72">
                  <c:v>1998</c:v>
                </c:pt>
                <c:pt idx="73">
                  <c:v>1999</c:v>
                </c:pt>
                <c:pt idx="74">
                  <c:v>2000</c:v>
                </c:pt>
                <c:pt idx="75">
                  <c:v>2001</c:v>
                </c:pt>
                <c:pt idx="76">
                  <c:v>2002</c:v>
                </c:pt>
                <c:pt idx="77">
                  <c:v>2003</c:v>
                </c:pt>
                <c:pt idx="78">
                  <c:v>2004</c:v>
                </c:pt>
                <c:pt idx="79">
                  <c:v>2005</c:v>
                </c:pt>
                <c:pt idx="80">
                  <c:v>2006</c:v>
                </c:pt>
                <c:pt idx="81">
                  <c:v>2007</c:v>
                </c:pt>
                <c:pt idx="82">
                  <c:v>2008</c:v>
                </c:pt>
                <c:pt idx="83">
                  <c:v>2009</c:v>
                </c:pt>
                <c:pt idx="84">
                  <c:v>2010</c:v>
                </c:pt>
                <c:pt idx="85">
                  <c:v>2011</c:v>
                </c:pt>
                <c:pt idx="86">
                  <c:v>2012</c:v>
                </c:pt>
                <c:pt idx="87">
                  <c:v>2013</c:v>
                </c:pt>
                <c:pt idx="88">
                  <c:v>2014</c:v>
                </c:pt>
                <c:pt idx="89">
                  <c:v>2015</c:v>
                </c:pt>
                <c:pt idx="90">
                  <c:v>2016</c:v>
                </c:pt>
                <c:pt idx="91">
                  <c:v>(blank)</c:v>
                </c:pt>
              </c:strCache>
            </c:strRef>
          </c:cat>
          <c:val>
            <c:numRef>
              <c:f>' Trend of number of movies rele'!$B$2:$B$93</c:f>
              <c:numCache>
                <c:formatCode>General</c:formatCode>
                <c:ptCount val="9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5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8</c:v>
                </c:pt>
                <c:pt idx="37">
                  <c:v>8</c:v>
                </c:pt>
                <c:pt idx="38">
                  <c:v>10</c:v>
                </c:pt>
                <c:pt idx="39">
                  <c:v>8</c:v>
                </c:pt>
                <c:pt idx="40">
                  <c:v>6</c:v>
                </c:pt>
                <c:pt idx="41">
                  <c:v>4</c:v>
                </c:pt>
                <c:pt idx="42">
                  <c:v>11</c:v>
                </c:pt>
                <c:pt idx="43">
                  <c:v>10</c:v>
                </c:pt>
                <c:pt idx="44">
                  <c:v>12</c:v>
                </c:pt>
                <c:pt idx="45">
                  <c:v>11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6</c:v>
                </c:pt>
                <c:pt idx="50">
                  <c:v>10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24</c:v>
                </c:pt>
                <c:pt idx="55">
                  <c:v>33</c:v>
                </c:pt>
                <c:pt idx="56">
                  <c:v>30</c:v>
                </c:pt>
                <c:pt idx="57">
                  <c:v>22</c:v>
                </c:pt>
                <c:pt idx="58">
                  <c:v>31</c:v>
                </c:pt>
                <c:pt idx="59">
                  <c:v>29</c:v>
                </c:pt>
                <c:pt idx="60">
                  <c:v>26</c:v>
                </c:pt>
                <c:pt idx="61">
                  <c:v>32</c:v>
                </c:pt>
                <c:pt idx="62">
                  <c:v>31</c:v>
                </c:pt>
                <c:pt idx="63">
                  <c:v>33</c:v>
                </c:pt>
                <c:pt idx="64">
                  <c:v>30</c:v>
                </c:pt>
                <c:pt idx="65">
                  <c:v>31</c:v>
                </c:pt>
                <c:pt idx="66">
                  <c:v>34</c:v>
                </c:pt>
                <c:pt idx="67">
                  <c:v>48</c:v>
                </c:pt>
                <c:pt idx="68">
                  <c:v>54</c:v>
                </c:pt>
                <c:pt idx="69">
                  <c:v>70</c:v>
                </c:pt>
                <c:pt idx="70">
                  <c:v>99</c:v>
                </c:pt>
                <c:pt idx="71">
                  <c:v>118</c:v>
                </c:pt>
                <c:pt idx="72">
                  <c:v>134</c:v>
                </c:pt>
                <c:pt idx="73">
                  <c:v>168</c:v>
                </c:pt>
                <c:pt idx="74">
                  <c:v>171</c:v>
                </c:pt>
                <c:pt idx="75">
                  <c:v>188</c:v>
                </c:pt>
                <c:pt idx="76">
                  <c:v>209</c:v>
                </c:pt>
                <c:pt idx="77">
                  <c:v>169</c:v>
                </c:pt>
                <c:pt idx="78">
                  <c:v>214</c:v>
                </c:pt>
                <c:pt idx="79">
                  <c:v>221</c:v>
                </c:pt>
                <c:pt idx="80">
                  <c:v>239</c:v>
                </c:pt>
                <c:pt idx="81">
                  <c:v>204</c:v>
                </c:pt>
                <c:pt idx="82">
                  <c:v>225</c:v>
                </c:pt>
                <c:pt idx="83">
                  <c:v>260</c:v>
                </c:pt>
                <c:pt idx="84">
                  <c:v>230</c:v>
                </c:pt>
                <c:pt idx="85">
                  <c:v>225</c:v>
                </c:pt>
                <c:pt idx="86">
                  <c:v>221</c:v>
                </c:pt>
                <c:pt idx="87">
                  <c:v>237</c:v>
                </c:pt>
                <c:pt idx="88">
                  <c:v>252</c:v>
                </c:pt>
                <c:pt idx="89">
                  <c:v>226</c:v>
                </c:pt>
                <c:pt idx="90">
                  <c:v>106</c:v>
                </c:pt>
                <c:pt idx="91">
                  <c:v>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703447"/>
        <c:axId val="521164071"/>
      </c:lineChart>
      <c:catAx>
        <c:axId val="894703447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chemeClr val="accent3"/>
                    </a:solidFill>
                    <a:latin typeface="+mn-lt"/>
                  </a:rPr>
                  <a:t>Year</a:t>
                </a:r>
                <a:endParaRPr b="0">
                  <a:solidFill>
                    <a:schemeClr val="accent3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521164071"/>
        <c:crosses val="autoZero"/>
        <c:auto val="1"/>
        <c:lblAlgn val="ctr"/>
        <c:lblOffset val="100"/>
        <c:noMultiLvlLbl val="0"/>
      </c:catAx>
      <c:valAx>
        <c:axId val="52116407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chemeClr val="accent3"/>
                    </a:solidFill>
                    <a:latin typeface="+mn-lt"/>
                  </a:rPr>
                  <a:t>Movie_title</a:t>
                </a:r>
                <a:endParaRPr b="0">
                  <a:solidFill>
                    <a:schemeClr val="accent3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894703447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dk1"/>
    </a:solidFill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GB" sz="18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chemeClr val="accent3"/>
                </a:solidFill>
                <a:latin typeface="+mn-lt"/>
              </a:rPr>
              <a:t>Distribution of Movies across different Countries</a:t>
            </a:r>
            <a:endParaRPr b="0">
              <a:solidFill>
                <a:schemeClr val="accent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'Understand the distribution of '!$B$1</c:f>
              <c:strCache>
                <c:ptCount val="1"/>
                <c:pt idx="0">
                  <c:v>COUNTA of movie_title</c:v>
                </c:pt>
              </c:strCache>
            </c:strRef>
          </c:tx>
          <c:spPr>
            <a:solidFill>
              <a:schemeClr val="accent3">
                <a:alpha val="30000"/>
              </a:schemeClr>
            </a:solidFill>
            <a:ln cmpd="sng">
              <a:solidFill>
                <a:schemeClr val="accent3"/>
              </a:solidFill>
            </a:ln>
          </c:spPr>
          <c:dLbls>
            <c:delete val="1"/>
          </c:dLbls>
          <c:cat>
            <c:strRef>
              <c:f>'Understand the distribution of '!$A$2:$A$67</c:f>
              <c:strCache>
                <c:ptCount val="66"/>
                <c:pt idx="0">
                  <c:v>Afghanistan</c:v>
                </c:pt>
                <c:pt idx="1">
                  <c:v>Argentina</c:v>
                </c:pt>
                <c:pt idx="2">
                  <c:v>Aruba</c:v>
                </c:pt>
                <c:pt idx="3">
                  <c:v>Australia</c:v>
                </c:pt>
                <c:pt idx="4">
                  <c:v>Bahamas</c:v>
                </c:pt>
                <c:pt idx="5">
                  <c:v>Belgium</c:v>
                </c:pt>
                <c:pt idx="6">
                  <c:v>Brazil</c:v>
                </c:pt>
                <c:pt idx="7">
                  <c:v>Bulgaria</c:v>
                </c:pt>
                <c:pt idx="8">
                  <c:v>Cambodia</c:v>
                </c:pt>
                <c:pt idx="9">
                  <c:v>Cameroon</c:v>
                </c:pt>
                <c:pt idx="10">
                  <c:v>Canada</c:v>
                </c:pt>
                <c:pt idx="11">
                  <c:v>Chile</c:v>
                </c:pt>
                <c:pt idx="12">
                  <c:v>China</c:v>
                </c:pt>
                <c:pt idx="13">
                  <c:v>Colombia</c:v>
                </c:pt>
                <c:pt idx="14">
                  <c:v>Czech Republic</c:v>
                </c:pt>
                <c:pt idx="15">
                  <c:v>Denmark</c:v>
                </c:pt>
                <c:pt idx="16">
                  <c:v>Dominican Republic</c:v>
                </c:pt>
                <c:pt idx="17">
                  <c:v>Egypt</c:v>
                </c:pt>
                <c:pt idx="18">
                  <c:v>Finland</c:v>
                </c:pt>
                <c:pt idx="19">
                  <c:v>France</c:v>
                </c:pt>
                <c:pt idx="20">
                  <c:v>Georgia</c:v>
                </c:pt>
                <c:pt idx="21">
                  <c:v>Germany</c:v>
                </c:pt>
                <c:pt idx="22">
                  <c:v>Greece</c:v>
                </c:pt>
                <c:pt idx="23">
                  <c:v>Hong Kong</c:v>
                </c:pt>
                <c:pt idx="24">
                  <c:v>Hungary</c:v>
                </c:pt>
                <c:pt idx="25">
                  <c:v>Iceland</c:v>
                </c:pt>
                <c:pt idx="26">
                  <c:v>India</c:v>
                </c:pt>
                <c:pt idx="27">
                  <c:v>Indonesia</c:v>
                </c:pt>
                <c:pt idx="28">
                  <c:v>Iran</c:v>
                </c:pt>
                <c:pt idx="29">
                  <c:v>Ireland</c:v>
                </c:pt>
                <c:pt idx="30">
                  <c:v>Israel</c:v>
                </c:pt>
                <c:pt idx="31">
                  <c:v>Italy</c:v>
                </c:pt>
                <c:pt idx="32">
                  <c:v>Japan</c:v>
                </c:pt>
                <c:pt idx="33">
                  <c:v>Kenya</c:v>
                </c:pt>
                <c:pt idx="34">
                  <c:v>Kyrgyzstan</c:v>
                </c:pt>
                <c:pt idx="35">
                  <c:v>Libya</c:v>
                </c:pt>
                <c:pt idx="36">
                  <c:v>Mexico</c:v>
                </c:pt>
                <c:pt idx="37">
                  <c:v>Netherlands</c:v>
                </c:pt>
                <c:pt idx="38">
                  <c:v>New Line</c:v>
                </c:pt>
                <c:pt idx="39">
                  <c:v>New Zealand</c:v>
                </c:pt>
                <c:pt idx="40">
                  <c:v>Nigeria</c:v>
                </c:pt>
                <c:pt idx="41">
                  <c:v>Norway</c:v>
                </c:pt>
                <c:pt idx="42">
                  <c:v>Official site</c:v>
                </c:pt>
                <c:pt idx="43">
                  <c:v>Pakistan</c:v>
                </c:pt>
                <c:pt idx="44">
                  <c:v>Panama</c:v>
                </c:pt>
                <c:pt idx="45">
                  <c:v>Peru</c:v>
                </c:pt>
                <c:pt idx="46">
                  <c:v>Philippines</c:v>
                </c:pt>
                <c:pt idx="47">
                  <c:v>Poland</c:v>
                </c:pt>
                <c:pt idx="48">
                  <c:v>Romania</c:v>
                </c:pt>
                <c:pt idx="49">
                  <c:v>Russia</c:v>
                </c:pt>
                <c:pt idx="50">
                  <c:v>Slovakia</c:v>
                </c:pt>
                <c:pt idx="51">
                  <c:v>Slovenia</c:v>
                </c:pt>
                <c:pt idx="52">
                  <c:v>South Africa</c:v>
                </c:pt>
                <c:pt idx="53">
                  <c:v>South Korea</c:v>
                </c:pt>
                <c:pt idx="54">
                  <c:v>Soviet Union</c:v>
                </c:pt>
                <c:pt idx="55">
                  <c:v>Spain</c:v>
                </c:pt>
                <c:pt idx="56">
                  <c:v>Sweden</c:v>
                </c:pt>
                <c:pt idx="57">
                  <c:v>Switzerland</c:v>
                </c:pt>
                <c:pt idx="58">
                  <c:v>Taiwan</c:v>
                </c:pt>
                <c:pt idx="59">
                  <c:v>Thailand</c:v>
                </c:pt>
                <c:pt idx="60">
                  <c:v>Turkey</c:v>
                </c:pt>
                <c:pt idx="61">
                  <c:v>UK</c:v>
                </c:pt>
                <c:pt idx="62">
                  <c:v>United Arab Emirates</c:v>
                </c:pt>
                <c:pt idx="63">
                  <c:v>USA</c:v>
                </c:pt>
                <c:pt idx="64">
                  <c:v>West Germany</c:v>
                </c:pt>
                <c:pt idx="65">
                  <c:v>(blank)</c:v>
                </c:pt>
              </c:strCache>
            </c:strRef>
          </c:cat>
          <c:val>
            <c:numRef>
              <c:f>'Understand the distribution of '!$B$2:$B$67</c:f>
              <c:numCache>
                <c:formatCode>General</c:formatCode>
                <c:ptCount val="66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55</c:v>
                </c:pt>
                <c:pt idx="4">
                  <c:v>1</c:v>
                </c:pt>
                <c:pt idx="5">
                  <c:v>4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126</c:v>
                </c:pt>
                <c:pt idx="11">
                  <c:v>1</c:v>
                </c:pt>
                <c:pt idx="12">
                  <c:v>30</c:v>
                </c:pt>
                <c:pt idx="13">
                  <c:v>1</c:v>
                </c:pt>
                <c:pt idx="14">
                  <c:v>3</c:v>
                </c:pt>
                <c:pt idx="15">
                  <c:v>11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154</c:v>
                </c:pt>
                <c:pt idx="20">
                  <c:v>1</c:v>
                </c:pt>
                <c:pt idx="21">
                  <c:v>97</c:v>
                </c:pt>
                <c:pt idx="22">
                  <c:v>2</c:v>
                </c:pt>
                <c:pt idx="23">
                  <c:v>17</c:v>
                </c:pt>
                <c:pt idx="24">
                  <c:v>2</c:v>
                </c:pt>
                <c:pt idx="25">
                  <c:v>3</c:v>
                </c:pt>
                <c:pt idx="26">
                  <c:v>34</c:v>
                </c:pt>
                <c:pt idx="27">
                  <c:v>1</c:v>
                </c:pt>
                <c:pt idx="28">
                  <c:v>4</c:v>
                </c:pt>
                <c:pt idx="29">
                  <c:v>12</c:v>
                </c:pt>
                <c:pt idx="30">
                  <c:v>4</c:v>
                </c:pt>
                <c:pt idx="31">
                  <c:v>23</c:v>
                </c:pt>
                <c:pt idx="32">
                  <c:v>23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17</c:v>
                </c:pt>
                <c:pt idx="37">
                  <c:v>5</c:v>
                </c:pt>
                <c:pt idx="38">
                  <c:v>1</c:v>
                </c:pt>
                <c:pt idx="39">
                  <c:v>15</c:v>
                </c:pt>
                <c:pt idx="40">
                  <c:v>1</c:v>
                </c:pt>
                <c:pt idx="41">
                  <c:v>8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5</c:v>
                </c:pt>
                <c:pt idx="48">
                  <c:v>4</c:v>
                </c:pt>
                <c:pt idx="49">
                  <c:v>11</c:v>
                </c:pt>
                <c:pt idx="50">
                  <c:v>1</c:v>
                </c:pt>
                <c:pt idx="51">
                  <c:v>1</c:v>
                </c:pt>
                <c:pt idx="52">
                  <c:v>8</c:v>
                </c:pt>
                <c:pt idx="53">
                  <c:v>14</c:v>
                </c:pt>
                <c:pt idx="54">
                  <c:v>1</c:v>
                </c:pt>
                <c:pt idx="55">
                  <c:v>33</c:v>
                </c:pt>
                <c:pt idx="56">
                  <c:v>6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1</c:v>
                </c:pt>
                <c:pt idx="61">
                  <c:v>448</c:v>
                </c:pt>
                <c:pt idx="62">
                  <c:v>1</c:v>
                </c:pt>
                <c:pt idx="63">
                  <c:v>3807</c:v>
                </c:pt>
                <c:pt idx="64">
                  <c:v>3</c:v>
                </c:pt>
                <c:pt idx="6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20087"/>
        <c:axId val="1128870657"/>
      </c:areaChart>
      <c:catAx>
        <c:axId val="473420087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chemeClr val="accent3"/>
                    </a:solidFill>
                    <a:latin typeface="+mn-lt"/>
                  </a:rPr>
                  <a:t>country</a:t>
                </a:r>
                <a:endParaRPr b="0">
                  <a:solidFill>
                    <a:schemeClr val="accent3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1128870657"/>
        <c:crosses val="autoZero"/>
        <c:auto val="1"/>
        <c:lblAlgn val="ctr"/>
        <c:lblOffset val="100"/>
        <c:noMultiLvlLbl val="0"/>
      </c:catAx>
      <c:valAx>
        <c:axId val="1128870657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chemeClr val="accent3"/>
                    </a:solidFill>
                    <a:latin typeface="+mn-lt"/>
                  </a:rPr>
                  <a:t>Count of movies</a:t>
                </a:r>
                <a:endParaRPr b="0">
                  <a:solidFill>
                    <a:schemeClr val="accent3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473420087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000000"/>
    </a:solidFill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GB" sz="18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chemeClr val="accent3"/>
                </a:solidFill>
                <a:latin typeface="+mn-lt"/>
              </a:rPr>
              <a:t>Top 5 Actors with Highest Gross</a:t>
            </a:r>
            <a:endParaRPr b="0">
              <a:solidFill>
                <a:schemeClr val="accent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explosion val="0"/>
          <c:dPt>
            <c:idx val="0"/>
            <c:bubble3D val="0"/>
            <c:spPr>
              <a:solidFill>
                <a:srgbClr val="4285F4"/>
              </a:solidFill>
            </c:spPr>
          </c:dPt>
          <c:dPt>
            <c:idx val="1"/>
            <c:bubble3D val="0"/>
            <c:spPr>
              <a:solidFill>
                <a:srgbClr val="EA4335"/>
              </a:solidFill>
            </c:spPr>
          </c:dPt>
          <c:dPt>
            <c:idx val="2"/>
            <c:bubble3D val="0"/>
            <c:spPr>
              <a:solidFill>
                <a:srgbClr val="FBBC04"/>
              </a:solidFill>
            </c:spPr>
          </c:dPt>
          <c:dPt>
            <c:idx val="3"/>
            <c:bubble3D val="0"/>
            <c:spPr>
              <a:solidFill>
                <a:srgbClr val="34A853"/>
              </a:solidFill>
            </c:spPr>
          </c:dPt>
          <c:dPt>
            <c:idx val="4"/>
            <c:bubble3D val="0"/>
            <c:spPr>
              <a:solidFill>
                <a:srgbClr val="FF6D01"/>
              </a:solidFill>
            </c:spPr>
          </c:dPt>
          <c:dLbls>
            <c:delete val="1"/>
          </c:dLbls>
          <c:cat>
            <c:strRef>
              <c:f>' Top 5 actor with highest gross'!$J$4:$J$8</c:f>
              <c:strCache>
                <c:ptCount val="5"/>
                <c:pt idx="0">
                  <c:v>CCH Pounder</c:v>
                </c:pt>
                <c:pt idx="1">
                  <c:v>Scarlett Johansson</c:v>
                </c:pt>
                <c:pt idx="2">
                  <c:v>Rupert Grint</c:v>
                </c:pt>
                <c:pt idx="3">
                  <c:v>Roger Rees</c:v>
                </c:pt>
                <c:pt idx="4">
                  <c:v>Polly Walker</c:v>
                </c:pt>
              </c:strCache>
            </c:strRef>
          </c:cat>
          <c:val>
            <c:numRef>
              <c:f>' Top 5 actor with highest gross'!$K$4:$K$8</c:f>
              <c:numCache>
                <c:formatCode>General</c:formatCode>
                <c:ptCount val="5"/>
                <c:pt idx="0">
                  <c:v>760505847</c:v>
                </c:pt>
                <c:pt idx="1">
                  <c:v>658672302</c:v>
                </c:pt>
                <c:pt idx="2">
                  <c:v>652177271</c:v>
                </c:pt>
                <c:pt idx="3">
                  <c:v>623279547</c:v>
                </c:pt>
                <c:pt idx="4">
                  <c:v>623279547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accent3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000000"/>
    </a:solidFill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GB" sz="18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chemeClr val="accent3"/>
                </a:solidFill>
                <a:latin typeface="+mn-lt"/>
              </a:rPr>
              <a:t>Movies by Duration and Gross</a:t>
            </a:r>
            <a:endParaRPr b="0">
              <a:solidFill>
                <a:schemeClr val="accent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lineChart>
        <c:grouping val="none"/>
        <c:varyColors val="0"/>
        <c:ser>
          <c:idx val="0"/>
          <c:order val="0"/>
          <c:tx>
            <c:strRef>
              <c:f>"Gross"</c:f>
              <c:strCache>
                <c:ptCount val="1"/>
                <c:pt idx="0">
                  <c:v>Gross</c:v>
                </c:pt>
              </c:strCache>
            </c:strRef>
          </c:tx>
          <c:spPr>
            <a:ln w="19050" cap="rnd" cmpd="sng" algn="ctr">
              <a:solidFill>
                <a:srgbClr val="4285F4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strRef>
              <c:f>' Visualize the movie by duratio'!$A$2:$A$4917</c:f>
              <c:strCache>
                <c:ptCount val="4916"/>
                <c:pt idx="0">
                  <c:v>#Horror </c:v>
                </c:pt>
                <c:pt idx="1">
                  <c:v>[Rec] 2 </c:v>
                </c:pt>
                <c:pt idx="2">
                  <c:v>[Rec] </c:v>
                </c:pt>
                <c:pt idx="3">
                  <c:v>10 Cloverfield Lane </c:v>
                </c:pt>
                <c:pt idx="4">
                  <c:v>10 Days in a Madhouse </c:v>
                </c:pt>
                <c:pt idx="5">
                  <c:v>10 Things I Hate About You </c:v>
                </c:pt>
                <c:pt idx="6">
                  <c:v>10,000 B.C.             </c:v>
                </c:pt>
                <c:pt idx="7">
                  <c:v>102 Dalmatians </c:v>
                </c:pt>
                <c:pt idx="8">
                  <c:v>10th &amp; Wolf </c:v>
                </c:pt>
                <c:pt idx="9">
                  <c:v>11:14 </c:v>
                </c:pt>
                <c:pt idx="10">
                  <c:v>12 Angry Men </c:v>
                </c:pt>
                <c:pt idx="11">
                  <c:v>12 Monkeys </c:v>
                </c:pt>
                <c:pt idx="12">
                  <c:v>12 Rounds </c:v>
                </c:pt>
                <c:pt idx="13">
                  <c:v>12 Years a Slave </c:v>
                </c:pt>
                <c:pt idx="14">
                  <c:v>127 Hours </c:v>
                </c:pt>
                <c:pt idx="15">
                  <c:v>13 Going on 30 </c:v>
                </c:pt>
                <c:pt idx="16">
                  <c:v>13 Hours </c:v>
                </c:pt>
                <c:pt idx="17">
                  <c:v>1408 </c:v>
                </c:pt>
                <c:pt idx="18">
                  <c:v>15 Minutes </c:v>
                </c:pt>
                <c:pt idx="19">
                  <c:v>16 Blocks </c:v>
                </c:pt>
                <c:pt idx="20">
                  <c:v>16 to Life </c:v>
                </c:pt>
                <c:pt idx="21">
                  <c:v>17 Again </c:v>
                </c:pt>
                <c:pt idx="22">
                  <c:v>1776 </c:v>
                </c:pt>
                <c:pt idx="23">
                  <c:v>1911 </c:v>
                </c:pt>
                <c:pt idx="24">
                  <c:v>1941 </c:v>
                </c:pt>
                <c:pt idx="25">
                  <c:v>1982 </c:v>
                </c:pt>
                <c:pt idx="26">
                  <c:v>2 Fast 2 Furious </c:v>
                </c:pt>
                <c:pt idx="27">
                  <c:v>2 Guns </c:v>
                </c:pt>
                <c:pt idx="28">
                  <c:v>2:13 </c:v>
                </c:pt>
                <c:pt idx="29">
                  <c:v>20 Dates </c:v>
                </c:pt>
                <c:pt idx="30">
                  <c:v>20 Feet from Stardom </c:v>
                </c:pt>
                <c:pt idx="31">
                  <c:v>20,000 Leagues Under the Sea </c:v>
                </c:pt>
                <c:pt idx="32">
                  <c:v>200 Cigarettes </c:v>
                </c:pt>
                <c:pt idx="33">
                  <c:v>2001: A Space Odyssey </c:v>
                </c:pt>
                <c:pt idx="34">
                  <c:v>2012 </c:v>
                </c:pt>
                <c:pt idx="35">
                  <c:v>2016: Obama's America </c:v>
                </c:pt>
                <c:pt idx="36">
                  <c:v>2046 </c:v>
                </c:pt>
                <c:pt idx="37">
                  <c:v>21 &amp; Over </c:v>
                </c:pt>
                <c:pt idx="38">
                  <c:v>21 Grams </c:v>
                </c:pt>
                <c:pt idx="39">
                  <c:v>21 Jump Street </c:v>
                </c:pt>
                <c:pt idx="40">
                  <c:v>21 </c:v>
                </c:pt>
                <c:pt idx="41">
                  <c:v>22 Jump Street </c:v>
                </c:pt>
                <c:pt idx="42">
                  <c:v>24 7: Twenty Four Seven </c:v>
                </c:pt>
                <c:pt idx="43">
                  <c:v>25th Hour </c:v>
                </c:pt>
                <c:pt idx="44">
                  <c:v>27 Dresses </c:v>
                </c:pt>
                <c:pt idx="45">
                  <c:v>28 Days Later... </c:v>
                </c:pt>
                <c:pt idx="46">
                  <c:v>28 Days </c:v>
                </c:pt>
                <c:pt idx="47">
                  <c:v>28 Weeks Later </c:v>
                </c:pt>
                <c:pt idx="48">
                  <c:v>3 Backyards </c:v>
                </c:pt>
                <c:pt idx="49">
                  <c:v>3 Days to Kill </c:v>
                </c:pt>
                <c:pt idx="50">
                  <c:v>3 Men and a Baby </c:v>
                </c:pt>
                <c:pt idx="51">
                  <c:v>3 Ninjas Kick Back </c:v>
                </c:pt>
                <c:pt idx="52">
                  <c:v>3 Strikes </c:v>
                </c:pt>
                <c:pt idx="53">
                  <c:v>3 </c:v>
                </c:pt>
                <c:pt idx="54">
                  <c:v>3:10 to Yuma </c:v>
                </c:pt>
                <c:pt idx="55">
                  <c:v>30 Days of Night </c:v>
                </c:pt>
                <c:pt idx="56">
                  <c:v>30 Minutes or Less </c:v>
                </c:pt>
                <c:pt idx="57">
                  <c:v>30 Nights of Paranormal Activity with the Devil Inside the Girl with the Dragon Tattoo </c:v>
                </c:pt>
                <c:pt idx="58">
                  <c:v>300 </c:v>
                </c:pt>
                <c:pt idx="59">
                  <c:v>300: Rise of an Empire </c:v>
                </c:pt>
                <c:pt idx="60">
                  <c:v>3000 Miles to Graceland </c:v>
                </c:pt>
                <c:pt idx="61">
                  <c:v>3rd Rock from the Sun </c:v>
                </c:pt>
                <c:pt idx="62">
                  <c:v>4 Months, 3 Weeks and 2 Days </c:v>
                </c:pt>
                <c:pt idx="63">
                  <c:v>40 Days and 40 Nights </c:v>
                </c:pt>
                <c:pt idx="64">
                  <c:v>42 </c:v>
                </c:pt>
                <c:pt idx="65">
                  <c:v>42nd Street </c:v>
                </c:pt>
                <c:pt idx="66">
                  <c:v>47 Ronin </c:v>
                </c:pt>
                <c:pt idx="67">
                  <c:v>5 Days of War </c:v>
                </c:pt>
                <c:pt idx="68">
                  <c:v>50 First Dates </c:v>
                </c:pt>
                <c:pt idx="69">
                  <c:v>50/50 </c:v>
                </c:pt>
                <c:pt idx="70">
                  <c:v>500 Days of Summer </c:v>
                </c:pt>
                <c:pt idx="71">
                  <c:v>51 Birch Street </c:v>
                </c:pt>
                <c:pt idx="72">
                  <c:v>54 </c:v>
                </c:pt>
                <c:pt idx="73">
                  <c:v>55 Days at Peking </c:v>
                </c:pt>
                <c:pt idx="74">
                  <c:v>8 Days </c:v>
                </c:pt>
                <c:pt idx="75">
                  <c:v>8 Heads in a Duffel Bag </c:v>
                </c:pt>
                <c:pt idx="76">
                  <c:v>8 Mile </c:v>
                </c:pt>
                <c:pt idx="77">
                  <c:v>8 Women </c:v>
                </c:pt>
                <c:pt idx="78">
                  <c:v>8: The Mormon Proposition </c:v>
                </c:pt>
                <c:pt idx="79">
                  <c:v>88 Minutes </c:v>
                </c:pt>
                <c:pt idx="80">
                  <c:v>8MM </c:v>
                </c:pt>
                <c:pt idx="81">
                  <c:v>9 </c:v>
                </c:pt>
                <c:pt idx="82">
                  <c:v>90 Minutes in Heaven </c:v>
                </c:pt>
                <c:pt idx="83">
                  <c:v>9½ Weeks </c:v>
                </c:pt>
                <c:pt idx="84">
                  <c:v>A Beautiful Mind </c:v>
                </c:pt>
                <c:pt idx="85">
                  <c:v>A Beginner's Guide to Snuff </c:v>
                </c:pt>
                <c:pt idx="86">
                  <c:v>A Better Life </c:v>
                </c:pt>
                <c:pt idx="87">
                  <c:v>A Bridge Too Far </c:v>
                </c:pt>
                <c:pt idx="88">
                  <c:v>A Bug's Life </c:v>
                </c:pt>
                <c:pt idx="89">
                  <c:v>A Charlie Brown Christmas </c:v>
                </c:pt>
                <c:pt idx="90">
                  <c:v>A Christmas Carol </c:v>
                </c:pt>
                <c:pt idx="91">
                  <c:v>A Christmas Story </c:v>
                </c:pt>
                <c:pt idx="92">
                  <c:v>A Cinderella Story </c:v>
                </c:pt>
                <c:pt idx="93">
                  <c:v>A Civil Action </c:v>
                </c:pt>
                <c:pt idx="94">
                  <c:v>A Dangerous Method </c:v>
                </c:pt>
                <c:pt idx="95">
                  <c:v>A Dog of Flanders </c:v>
                </c:pt>
                <c:pt idx="96">
                  <c:v>A Dog's Breakfast </c:v>
                </c:pt>
                <c:pt idx="97">
                  <c:v>A Farewell to Arms </c:v>
                </c:pt>
                <c:pt idx="98">
                  <c:v>A Few Good Men </c:v>
                </c:pt>
                <c:pt idx="99">
                  <c:v>A Fine Step </c:v>
                </c:pt>
                <c:pt idx="100">
                  <c:v>A Fistful of Dollars </c:v>
                </c:pt>
                <c:pt idx="101">
                  <c:v>A Funny Thing Happened on the Way to the Forum </c:v>
                </c:pt>
                <c:pt idx="102">
                  <c:v>A Good Day to Die Hard </c:v>
                </c:pt>
                <c:pt idx="103">
                  <c:v>A Good Year </c:v>
                </c:pt>
                <c:pt idx="104">
                  <c:v>A Guy Named Joe </c:v>
                </c:pt>
                <c:pt idx="105">
                  <c:v>A Guy Thing </c:v>
                </c:pt>
                <c:pt idx="106">
                  <c:v>A Hard Day's Night </c:v>
                </c:pt>
                <c:pt idx="107">
                  <c:v>A Haunted House 2 </c:v>
                </c:pt>
                <c:pt idx="108">
                  <c:v>A Haunted House </c:v>
                </c:pt>
                <c:pt idx="109">
                  <c:v>A History of Violence </c:v>
                </c:pt>
                <c:pt idx="110">
                  <c:v>A Home at the End of the World </c:v>
                </c:pt>
                <c:pt idx="111">
                  <c:v>A Knight's Tale </c:v>
                </c:pt>
                <c:pt idx="112">
                  <c:v>A League of Their Own </c:v>
                </c:pt>
                <c:pt idx="113">
                  <c:v>A Lego Brickumentary </c:v>
                </c:pt>
                <c:pt idx="114">
                  <c:v>A Lonely Place to Die </c:v>
                </c:pt>
                <c:pt idx="115">
                  <c:v>A Lot Like Love </c:v>
                </c:pt>
                <c:pt idx="116">
                  <c:v>A Low Down Dirty Shame </c:v>
                </c:pt>
                <c:pt idx="117">
                  <c:v>A Madea Christmas </c:v>
                </c:pt>
                <c:pt idx="118">
                  <c:v>A Man Apart </c:v>
                </c:pt>
                <c:pt idx="119">
                  <c:v>A Man for All Seasons </c:v>
                </c:pt>
                <c:pt idx="120">
                  <c:v>A Mighty Heart </c:v>
                </c:pt>
                <c:pt idx="121">
                  <c:v>A Mighty Wind </c:v>
                </c:pt>
                <c:pt idx="122">
                  <c:v>A Million Ways to Die in the West </c:v>
                </c:pt>
                <c:pt idx="123">
                  <c:v>A Monster in Paris </c:v>
                </c:pt>
                <c:pt idx="124">
                  <c:v>A Most Violent Year </c:v>
                </c:pt>
                <c:pt idx="125">
                  <c:v>A Most Wanted Man </c:v>
                </c:pt>
                <c:pt idx="126">
                  <c:v>A Night at the Roxbury </c:v>
                </c:pt>
                <c:pt idx="127">
                  <c:v>A Nightmare on Elm Street 2: Freddy's Revenge </c:v>
                </c:pt>
                <c:pt idx="128">
                  <c:v>A Nightmare on Elm Street 3: Dream Warriors </c:v>
                </c:pt>
                <c:pt idx="129">
                  <c:v>A Nightmare on Elm Street 4: The Dream Master </c:v>
                </c:pt>
                <c:pt idx="130">
                  <c:v>A Nightmare on Elm Street 5: The Dream Child </c:v>
                </c:pt>
                <c:pt idx="131">
                  <c:v>A Nightmare on Elm Street </c:v>
                </c:pt>
                <c:pt idx="132">
                  <c:v>A Passage to India </c:v>
                </c:pt>
                <c:pt idx="133">
                  <c:v>A Perfect Getaway </c:v>
                </c:pt>
                <c:pt idx="134">
                  <c:v>A Perfect Plan </c:v>
                </c:pt>
                <c:pt idx="135">
                  <c:v>A Plague So Pleasant </c:v>
                </c:pt>
                <c:pt idx="136">
                  <c:v>A Prairie Home Companion </c:v>
                </c:pt>
                <c:pt idx="137">
                  <c:v>A Room for Romeo Brass </c:v>
                </c:pt>
                <c:pt idx="138">
                  <c:v>A Room with a View </c:v>
                </c:pt>
                <c:pt idx="139">
                  <c:v>A Scanner Darkly </c:v>
                </c:pt>
                <c:pt idx="140">
                  <c:v>A Separation </c:v>
                </c:pt>
                <c:pt idx="141">
                  <c:v>A Serious Man </c:v>
                </c:pt>
                <c:pt idx="142">
                  <c:v>A Shine of Rainbows </c:v>
                </c:pt>
                <c:pt idx="143">
                  <c:v>A Simple Plan </c:v>
                </c:pt>
                <c:pt idx="144">
                  <c:v>A Simple Wish </c:v>
                </c:pt>
                <c:pt idx="145">
                  <c:v>A Single Man </c:v>
                </c:pt>
                <c:pt idx="146">
                  <c:v>A Sound of Thunder </c:v>
                </c:pt>
                <c:pt idx="147">
                  <c:v>A Streetcar Named Desire </c:v>
                </c:pt>
                <c:pt idx="148">
                  <c:v>A Tale of Three Cities </c:v>
                </c:pt>
                <c:pt idx="149">
                  <c:v>A Thin Line Between Love and Hate </c:v>
                </c:pt>
                <c:pt idx="150">
                  <c:v>A Thousand Words </c:v>
                </c:pt>
                <c:pt idx="151">
                  <c:v>A Time to Kill </c:v>
                </c:pt>
                <c:pt idx="152">
                  <c:v>A Touch of Frost </c:v>
                </c:pt>
                <c:pt idx="153">
                  <c:v>A True Story </c:v>
                </c:pt>
                <c:pt idx="154">
                  <c:v>A Turtle's Tale: Sammy's Adventures </c:v>
                </c:pt>
                <c:pt idx="155">
                  <c:v>A Very Harold &amp; Kumar 3D Christmas </c:v>
                </c:pt>
                <c:pt idx="156">
                  <c:v>A Very Long Engagement </c:v>
                </c:pt>
                <c:pt idx="157">
                  <c:v>A View to a Kill </c:v>
                </c:pt>
                <c:pt idx="158">
                  <c:v>A Walk Among the Tombstones </c:v>
                </c:pt>
                <c:pt idx="159">
                  <c:v>A Walk on the Moon </c:v>
                </c:pt>
                <c:pt idx="160">
                  <c:v>A Walk to Remember </c:v>
                </c:pt>
                <c:pt idx="161">
                  <c:v>A Warrior's Tail </c:v>
                </c:pt>
                <c:pt idx="162">
                  <c:v>A Woman, a Gun and a Noodle Shop </c:v>
                </c:pt>
                <c:pt idx="163">
                  <c:v>A.I. Artificial Intelligence </c:v>
                </c:pt>
                <c:pt idx="164">
                  <c:v>Abandon </c:v>
                </c:pt>
                <c:pt idx="165">
                  <c:v>Abandoned </c:v>
                </c:pt>
                <c:pt idx="166">
                  <c:v>ABCD (Any Body Can Dance) </c:v>
                </c:pt>
                <c:pt idx="167">
                  <c:v>Abduction </c:v>
                </c:pt>
                <c:pt idx="168">
                  <c:v>Aberdeen </c:v>
                </c:pt>
                <c:pt idx="169">
                  <c:v>About a Boy </c:v>
                </c:pt>
                <c:pt idx="170">
                  <c:v>About Last Night </c:v>
                </c:pt>
                <c:pt idx="171">
                  <c:v>About Schmidt </c:v>
                </c:pt>
                <c:pt idx="172">
                  <c:v>About Time </c:v>
                </c:pt>
                <c:pt idx="173">
                  <c:v>Abraham Lincoln: Vampire Hunter </c:v>
                </c:pt>
                <c:pt idx="174">
                  <c:v>Absentia </c:v>
                </c:pt>
                <c:pt idx="175">
                  <c:v>Absolute Power </c:v>
                </c:pt>
                <c:pt idx="176">
                  <c:v>Accidental Love </c:v>
                </c:pt>
                <c:pt idx="177">
                  <c:v>Ace Ventura: Pet Detective </c:v>
                </c:pt>
                <c:pt idx="178">
                  <c:v>Ace Ventura: When Nature Calls </c:v>
                </c:pt>
                <c:pt idx="179">
                  <c:v>Across the Universe </c:v>
                </c:pt>
                <c:pt idx="180">
                  <c:v>Act of Valor </c:v>
                </c:pt>
                <c:pt idx="181">
                  <c:v>Action Jackson </c:v>
                </c:pt>
                <c:pt idx="182">
                  <c:v>Adam Resurrected </c:v>
                </c:pt>
                <c:pt idx="183">
                  <c:v>Adam </c:v>
                </c:pt>
                <c:pt idx="184">
                  <c:v>Adaptation. </c:v>
                </c:pt>
                <c:pt idx="185">
                  <c:v>Addicted </c:v>
                </c:pt>
                <c:pt idx="186">
                  <c:v>Admission </c:v>
                </c:pt>
                <c:pt idx="187">
                  <c:v>Adore </c:v>
                </c:pt>
                <c:pt idx="188">
                  <c:v>Adulterers </c:v>
                </c:pt>
                <c:pt idx="189">
                  <c:v>Adventureland </c:v>
                </c:pt>
                <c:pt idx="190">
                  <c:v>Æon Flux </c:v>
                </c:pt>
                <c:pt idx="191">
                  <c:v>After Earth </c:v>
                </c:pt>
                <c:pt idx="192">
                  <c:v>After the Sunset </c:v>
                </c:pt>
                <c:pt idx="193">
                  <c:v>After </c:v>
                </c:pt>
                <c:pt idx="194">
                  <c:v>After.Life </c:v>
                </c:pt>
                <c:pt idx="195">
                  <c:v>Against the Ropes </c:v>
                </c:pt>
                <c:pt idx="196">
                  <c:v>Against the Wild </c:v>
                </c:pt>
                <c:pt idx="197">
                  <c:v>Agent Cody Banks 2: Destination London </c:v>
                </c:pt>
                <c:pt idx="198">
                  <c:v>Agent Cody Banks </c:v>
                </c:pt>
                <c:pt idx="199">
                  <c:v>Agora </c:v>
                </c:pt>
                <c:pt idx="200">
                  <c:v>Aimee &amp; Jaguar </c:v>
                </c:pt>
                <c:pt idx="201">
                  <c:v>Air Bud </c:v>
                </c:pt>
                <c:pt idx="202">
                  <c:v>Air Force One </c:v>
                </c:pt>
                <c:pt idx="203">
                  <c:v>Airborne </c:v>
                </c:pt>
                <c:pt idx="204">
                  <c:v>Airlift </c:v>
                </c:pt>
                <c:pt idx="205">
                  <c:v>Airplane! </c:v>
                </c:pt>
                <c:pt idx="206">
                  <c:v>Ajami </c:v>
                </c:pt>
                <c:pt idx="207">
                  <c:v>Akeelah and the Bee </c:v>
                </c:pt>
                <c:pt idx="208">
                  <c:v>Akira </c:v>
                </c:pt>
                <c:pt idx="209">
                  <c:v>Aladdin </c:v>
                </c:pt>
                <c:pt idx="210">
                  <c:v>Albert Nobbs </c:v>
                </c:pt>
                <c:pt idx="211">
                  <c:v>Albino Alligator </c:v>
                </c:pt>
                <c:pt idx="212">
                  <c:v>Alex &amp; Emma </c:v>
                </c:pt>
                <c:pt idx="213">
                  <c:v>Alex Cross </c:v>
                </c:pt>
                <c:pt idx="214">
                  <c:v>Alex Rider: Operation Stormbreaker </c:v>
                </c:pt>
                <c:pt idx="215">
                  <c:v>Alexander and the Terrible, Horrible, No Good, Very Bad Day </c:v>
                </c:pt>
                <c:pt idx="216">
                  <c:v>Alexander </c:v>
                </c:pt>
                <c:pt idx="217">
                  <c:v>Alexander's Ragtime Band </c:v>
                </c:pt>
                <c:pt idx="218">
                  <c:v>Alfie </c:v>
                </c:pt>
                <c:pt idx="219">
                  <c:v>Ali </c:v>
                </c:pt>
                <c:pt idx="220">
                  <c:v>Alias Betty </c:v>
                </c:pt>
                <c:pt idx="221">
                  <c:v>Alice in Wonderland </c:v>
                </c:pt>
                <c:pt idx="222">
                  <c:v>Alice Through the Looking Glass </c:v>
                </c:pt>
                <c:pt idx="223">
                  <c:v>Alien 3 </c:v>
                </c:pt>
                <c:pt idx="224">
                  <c:v>Alien Uprising </c:v>
                </c:pt>
                <c:pt idx="225">
                  <c:v>Alien Zone </c:v>
                </c:pt>
                <c:pt idx="226">
                  <c:v>Alien </c:v>
                </c:pt>
                <c:pt idx="227">
                  <c:v>Alien: Resurrection </c:v>
                </c:pt>
                <c:pt idx="228">
                  <c:v>Aliens in the Attic </c:v>
                </c:pt>
                <c:pt idx="229">
                  <c:v>Aliens vs. Predator: Requiem </c:v>
                </c:pt>
                <c:pt idx="230">
                  <c:v>Aliens </c:v>
                </c:pt>
                <c:pt idx="231">
                  <c:v>Alive </c:v>
                </c:pt>
                <c:pt idx="232">
                  <c:v>All About Steve </c:v>
                </c:pt>
                <c:pt idx="233">
                  <c:v>All About the Benjamins </c:v>
                </c:pt>
                <c:pt idx="234">
                  <c:v>All Good Things </c:v>
                </c:pt>
                <c:pt idx="235">
                  <c:v>All Hat </c:v>
                </c:pt>
                <c:pt idx="236">
                  <c:v>All Is Bright </c:v>
                </c:pt>
                <c:pt idx="237">
                  <c:v>All Is Lost </c:v>
                </c:pt>
                <c:pt idx="238">
                  <c:v>All or Nothing </c:v>
                </c:pt>
                <c:pt idx="239">
                  <c:v>All Superheroes Must Die </c:v>
                </c:pt>
                <c:pt idx="240">
                  <c:v>All That Jazz </c:v>
                </c:pt>
                <c:pt idx="241">
                  <c:v>All the Boys Love Mandy Lane </c:v>
                </c:pt>
                <c:pt idx="242">
                  <c:v>All the King's Men </c:v>
                </c:pt>
                <c:pt idx="243">
                  <c:v>All the Pretty Horses </c:v>
                </c:pt>
                <c:pt idx="244">
                  <c:v>All the Queen's Men </c:v>
                </c:pt>
                <c:pt idx="245">
                  <c:v>All the Real Girls </c:v>
                </c:pt>
                <c:pt idx="246">
                  <c:v>Allegiant </c:v>
                </c:pt>
                <c:pt idx="247">
                  <c:v>Alleluia! The Devil's Carnival </c:v>
                </c:pt>
                <c:pt idx="248">
                  <c:v>Almost Famous </c:v>
                </c:pt>
                <c:pt idx="249">
                  <c:v>Aloft </c:v>
                </c:pt>
                <c:pt idx="250">
                  <c:v>Aloha </c:v>
                </c:pt>
                <c:pt idx="251">
                  <c:v>Alone in the Dark </c:v>
                </c:pt>
                <c:pt idx="252">
                  <c:v>Alone with Her </c:v>
                </c:pt>
                <c:pt idx="253">
                  <c:v>Along Came a Spider </c:v>
                </c:pt>
                <c:pt idx="254">
                  <c:v>Along Came Polly </c:v>
                </c:pt>
                <c:pt idx="255">
                  <c:v>Along the Roadside </c:v>
                </c:pt>
                <c:pt idx="256">
                  <c:v>Alpha and Omega 4: The Legend of the Saw Toothed Cave </c:v>
                </c:pt>
                <c:pt idx="257">
                  <c:v>Alpha and Omega </c:v>
                </c:pt>
                <c:pt idx="258">
                  <c:v>Alvin and the Chipmunks </c:v>
                </c:pt>
                <c:pt idx="259">
                  <c:v>Alvin and the Chipmunks: Chipwrecked </c:v>
                </c:pt>
                <c:pt idx="260">
                  <c:v>Alvin and the Chipmunks: The Road Chip </c:v>
                </c:pt>
                <c:pt idx="261">
                  <c:v>Alvin and the Chipmunks: The Squeakquel </c:v>
                </c:pt>
                <c:pt idx="262">
                  <c:v>Always Woodstock </c:v>
                </c:pt>
                <c:pt idx="263">
                  <c:v>Amadeus </c:v>
                </c:pt>
                <c:pt idx="264">
                  <c:v>Amélie </c:v>
                </c:pt>
                <c:pt idx="265">
                  <c:v>Amen. </c:v>
                </c:pt>
                <c:pt idx="266">
                  <c:v>America Is Still the Place </c:v>
                </c:pt>
                <c:pt idx="267">
                  <c:v>American Beauty </c:v>
                </c:pt>
                <c:pt idx="268">
                  <c:v>American Desi </c:v>
                </c:pt>
                <c:pt idx="269">
                  <c:v>American Dreamz </c:v>
                </c:pt>
                <c:pt idx="270">
                  <c:v>American Gangster </c:v>
                </c:pt>
                <c:pt idx="271">
                  <c:v>American Graffiti </c:v>
                </c:pt>
                <c:pt idx="272">
                  <c:v>American Heist </c:v>
                </c:pt>
                <c:pt idx="273">
                  <c:v>American Hero </c:v>
                </c:pt>
                <c:pt idx="274">
                  <c:v>American History X </c:v>
                </c:pt>
                <c:pt idx="275">
                  <c:v>American Hustle </c:v>
                </c:pt>
                <c:pt idx="276">
                  <c:v>American Ninja 2: The Confrontation </c:v>
                </c:pt>
                <c:pt idx="277">
                  <c:v>American Outlaws </c:v>
                </c:pt>
                <c:pt idx="278">
                  <c:v>American Pie 2 </c:v>
                </c:pt>
                <c:pt idx="279">
                  <c:v>American Pie </c:v>
                </c:pt>
                <c:pt idx="280">
                  <c:v>American Psycho </c:v>
                </c:pt>
                <c:pt idx="281">
                  <c:v>American Reunion </c:v>
                </c:pt>
                <c:pt idx="282">
                  <c:v>American Sniper </c:v>
                </c:pt>
                <c:pt idx="283">
                  <c:v>American Splendor </c:v>
                </c:pt>
                <c:pt idx="284">
                  <c:v>American Wedding </c:v>
                </c:pt>
                <c:pt idx="285">
                  <c:v>America's Sweethearts </c:v>
                </c:pt>
                <c:pt idx="286">
                  <c:v>Amidst the Devil's Wings </c:v>
                </c:pt>
                <c:pt idx="287">
                  <c:v>Amigo </c:v>
                </c:pt>
                <c:pt idx="288">
                  <c:v>Amistad </c:v>
                </c:pt>
                <c:pt idx="289">
                  <c:v>Amnesiac </c:v>
                </c:pt>
                <c:pt idx="290">
                  <c:v>Among Giants </c:v>
                </c:pt>
                <c:pt idx="291">
                  <c:v>Amores Perros </c:v>
                </c:pt>
                <c:pt idx="292">
                  <c:v>Amour </c:v>
                </c:pt>
                <c:pt idx="293">
                  <c:v>An Alan Smithee Film: Burn Hollywood Burn </c:v>
                </c:pt>
                <c:pt idx="294">
                  <c:v>An American Carol </c:v>
                </c:pt>
                <c:pt idx="295">
                  <c:v>An American Girl Holiday </c:v>
                </c:pt>
                <c:pt idx="296">
                  <c:v>An American Haunting </c:v>
                </c:pt>
                <c:pt idx="297">
                  <c:v>An American in Hollywood </c:v>
                </c:pt>
                <c:pt idx="298">
                  <c:v>An Education </c:v>
                </c:pt>
                <c:pt idx="299">
                  <c:v>An Everlasting Piece </c:v>
                </c:pt>
                <c:pt idx="300">
                  <c:v>An Ideal Husband </c:v>
                </c:pt>
                <c:pt idx="301">
                  <c:v>An Inconvenient Truth </c:v>
                </c:pt>
                <c:pt idx="302">
                  <c:v>An Unfinished Life </c:v>
                </c:pt>
                <c:pt idx="303">
                  <c:v>Anaconda </c:v>
                </c:pt>
                <c:pt idx="304">
                  <c:v>Anacondas: The Hunt for the Blood Orchid </c:v>
                </c:pt>
                <c:pt idx="305">
                  <c:v>Analyze That </c:v>
                </c:pt>
                <c:pt idx="306">
                  <c:v>Analyze This </c:v>
                </c:pt>
                <c:pt idx="307">
                  <c:v>Anastasia </c:v>
                </c:pt>
                <c:pt idx="308">
                  <c:v>Anatomy </c:v>
                </c:pt>
                <c:pt idx="309">
                  <c:v>Anchorman 2: The Legend Continues </c:v>
                </c:pt>
                <c:pt idx="310">
                  <c:v>Anchorman: The Legend of Ron Burgundy </c:v>
                </c:pt>
                <c:pt idx="311">
                  <c:v>And So It Goes </c:v>
                </c:pt>
                <c:pt idx="312">
                  <c:v>And Then Came Love </c:v>
                </c:pt>
                <c:pt idx="313">
                  <c:v>Anderson's Cross </c:v>
                </c:pt>
                <c:pt idx="314">
                  <c:v>Angel Eyes </c:v>
                </c:pt>
                <c:pt idx="315">
                  <c:v>Angela's Ashes </c:v>
                </c:pt>
                <c:pt idx="316">
                  <c:v>Angels &amp; Demons </c:v>
                </c:pt>
                <c:pt idx="317">
                  <c:v>Anger Management </c:v>
                </c:pt>
                <c:pt idx="318">
                  <c:v>Animal House </c:v>
                </c:pt>
                <c:pt idx="319">
                  <c:v>Animal Kingdom </c:v>
                </c:pt>
                <c:pt idx="320">
                  <c:v>Animal Kingdom: Let's go Ape </c:v>
                </c:pt>
                <c:pt idx="321">
                  <c:v>Animals United </c:v>
                </c:pt>
                <c:pt idx="322">
                  <c:v>Animals </c:v>
                </c:pt>
                <c:pt idx="323">
                  <c:v>Anna and the King </c:v>
                </c:pt>
                <c:pt idx="324">
                  <c:v>Anna Karenina </c:v>
                </c:pt>
                <c:pt idx="325">
                  <c:v>Annabelle </c:v>
                </c:pt>
                <c:pt idx="326">
                  <c:v>Anne of Green Gables </c:v>
                </c:pt>
                <c:pt idx="327">
                  <c:v>Annie Get Your Gun </c:v>
                </c:pt>
                <c:pt idx="328">
                  <c:v>Annie Hall </c:v>
                </c:pt>
                <c:pt idx="329">
                  <c:v>Annie </c:v>
                </c:pt>
                <c:pt idx="330">
                  <c:v>Anomalisa </c:v>
                </c:pt>
                <c:pt idx="331">
                  <c:v>Anonymous </c:v>
                </c:pt>
                <c:pt idx="332">
                  <c:v>Another Earth </c:v>
                </c:pt>
                <c:pt idx="333">
                  <c:v>Another Happy Day </c:v>
                </c:pt>
                <c:pt idx="334">
                  <c:v>Another Year </c:v>
                </c:pt>
                <c:pt idx="335">
                  <c:v>Antarctic Edge: 70° South </c:v>
                </c:pt>
                <c:pt idx="336">
                  <c:v>Antarctica: A Year on Ice </c:v>
                </c:pt>
                <c:pt idx="337">
                  <c:v>Antibirth </c:v>
                </c:pt>
                <c:pt idx="338">
                  <c:v>Antitrust </c:v>
                </c:pt>
                <c:pt idx="339">
                  <c:v>Antiviral </c:v>
                </c:pt>
                <c:pt idx="340">
                  <c:v>Ant-Man </c:v>
                </c:pt>
                <c:pt idx="341">
                  <c:v>Antwone Fisher </c:v>
                </c:pt>
                <c:pt idx="342">
                  <c:v>Antz </c:v>
                </c:pt>
                <c:pt idx="343">
                  <c:v>Any Given Sunday </c:v>
                </c:pt>
                <c:pt idx="344">
                  <c:v>Anything Else </c:v>
                </c:pt>
                <c:pt idx="345">
                  <c:v>Anywhere But Here </c:v>
                </c:pt>
                <c:pt idx="346">
                  <c:v>Apocalypse Now </c:v>
                </c:pt>
                <c:pt idx="347">
                  <c:v>Apocalypto </c:v>
                </c:pt>
                <c:pt idx="348">
                  <c:v>Apollo 13 </c:v>
                </c:pt>
                <c:pt idx="349">
                  <c:v>Apollo 18 </c:v>
                </c:pt>
                <c:pt idx="350">
                  <c:v>Appaloosa </c:v>
                </c:pt>
                <c:pt idx="351">
                  <c:v>April Fool's Day </c:v>
                </c:pt>
                <c:pt idx="352">
                  <c:v>Aqua Teen Hunger Force Colon Movie Film for Theaters </c:v>
                </c:pt>
                <c:pt idx="353">
                  <c:v>Aquamarine </c:v>
                </c:pt>
                <c:pt idx="354">
                  <c:v>Arachnophobia </c:v>
                </c:pt>
                <c:pt idx="355">
                  <c:v>Ararat </c:v>
                </c:pt>
                <c:pt idx="356">
                  <c:v>Arbitrage </c:v>
                </c:pt>
                <c:pt idx="357">
                  <c:v>Archaeology of a Woman </c:v>
                </c:pt>
                <c:pt idx="358">
                  <c:v>Are We There Yet? </c:v>
                </c:pt>
                <c:pt idx="359">
                  <c:v>Area 51 </c:v>
                </c:pt>
                <c:pt idx="360">
                  <c:v>Argo </c:v>
                </c:pt>
                <c:pt idx="361">
                  <c:v>Arlington Road </c:v>
                </c:pt>
                <c:pt idx="362">
                  <c:v>Armageddon </c:v>
                </c:pt>
                <c:pt idx="363">
                  <c:v>Armored </c:v>
                </c:pt>
                <c:pt idx="364">
                  <c:v>Army of Darkness </c:v>
                </c:pt>
                <c:pt idx="365">
                  <c:v>Arn: The Knight Templar </c:v>
                </c:pt>
                <c:pt idx="366">
                  <c:v>Arnolds Park </c:v>
                </c:pt>
                <c:pt idx="367">
                  <c:v>Around the World in 80 Days </c:v>
                </c:pt>
                <c:pt idx="368">
                  <c:v>Aroused </c:v>
                </c:pt>
                <c:pt idx="369">
                  <c:v>Arthur and the Invisibles </c:v>
                </c:pt>
                <c:pt idx="370">
                  <c:v>Arthur Christmas </c:v>
                </c:pt>
                <c:pt idx="371">
                  <c:v>Arthur </c:v>
                </c:pt>
                <c:pt idx="372">
                  <c:v>As Above, So Below </c:v>
                </c:pt>
                <c:pt idx="373">
                  <c:v>As Good as It Gets </c:v>
                </c:pt>
                <c:pt idx="374">
                  <c:v>As It Is in Heaven </c:v>
                </c:pt>
                <c:pt idx="375">
                  <c:v>Ask Me Anything </c:v>
                </c:pt>
                <c:pt idx="376">
                  <c:v>Assassins </c:v>
                </c:pt>
                <c:pt idx="377">
                  <c:v>Assault on Precinct 13 </c:v>
                </c:pt>
                <c:pt idx="378">
                  <c:v>Asterix at the Olympic Games </c:v>
                </c:pt>
                <c:pt idx="379">
                  <c:v>Astro Boy </c:v>
                </c:pt>
                <c:pt idx="380">
                  <c:v>At First Sight </c:v>
                </c:pt>
                <c:pt idx="381">
                  <c:v>ATL </c:v>
                </c:pt>
                <c:pt idx="382">
                  <c:v>Atlantis: The Lost Empire </c:v>
                </c:pt>
                <c:pt idx="383">
                  <c:v>Atlas Shrugged II: The Strike </c:v>
                </c:pt>
                <c:pt idx="384">
                  <c:v>Atlas Shrugged: Who Is John Galt? </c:v>
                </c:pt>
                <c:pt idx="385">
                  <c:v>Atonement </c:v>
                </c:pt>
                <c:pt idx="386">
                  <c:v>Attack the Block </c:v>
                </c:pt>
                <c:pt idx="387">
                  <c:v>August Rush </c:v>
                </c:pt>
                <c:pt idx="388">
                  <c:v>August </c:v>
                </c:pt>
                <c:pt idx="389">
                  <c:v>August: Osage County </c:v>
                </c:pt>
                <c:pt idx="390">
                  <c:v>Austin Powers in Goldmember </c:v>
                </c:pt>
                <c:pt idx="391">
                  <c:v>Austin Powers: International Man of Mystery </c:v>
                </c:pt>
                <c:pt idx="392">
                  <c:v>Austin Powers: The Spy Who Shagged Me </c:v>
                </c:pt>
                <c:pt idx="393">
                  <c:v>Australia </c:v>
                </c:pt>
                <c:pt idx="394">
                  <c:v>Auto Focus </c:v>
                </c:pt>
                <c:pt idx="395">
                  <c:v>Automata </c:v>
                </c:pt>
                <c:pt idx="396">
                  <c:v>Autumn in New York </c:v>
                </c:pt>
                <c:pt idx="397">
                  <c:v>Avatar </c:v>
                </c:pt>
                <c:pt idx="398">
                  <c:v>Avengers: Age of Ultron </c:v>
                </c:pt>
                <c:pt idx="399">
                  <c:v>AVP: Alien vs. Predator </c:v>
                </c:pt>
                <c:pt idx="400">
                  <c:v>Awake </c:v>
                </c:pt>
                <c:pt idx="401">
                  <c:v>Away We Go </c:v>
                </c:pt>
                <c:pt idx="402">
                  <c:v>AWOL-72 </c:v>
                </c:pt>
                <c:pt idx="403">
                  <c:v>Ayurveda: Art of Being </c:v>
                </c:pt>
                <c:pt idx="404">
                  <c:v>Baahubali: The Beginning </c:v>
                </c:pt>
                <c:pt idx="405">
                  <c:v>Babe </c:v>
                </c:pt>
                <c:pt idx="406">
                  <c:v>Babe: Pig in the City </c:v>
                </c:pt>
                <c:pt idx="407">
                  <c:v>Babel </c:v>
                </c:pt>
                <c:pt idx="408">
                  <c:v>Baby Boy </c:v>
                </c:pt>
                <c:pt idx="409">
                  <c:v>Baby Geniuses </c:v>
                </c:pt>
                <c:pt idx="410">
                  <c:v>Baby Mama </c:v>
                </c:pt>
                <c:pt idx="411">
                  <c:v>Babylon A.D. </c:v>
                </c:pt>
                <c:pt idx="412">
                  <c:v>Baby's Day Out </c:v>
                </c:pt>
                <c:pt idx="413">
                  <c:v>Bachelorette </c:v>
                </c:pt>
                <c:pt idx="414">
                  <c:v>Back to the Future Part II </c:v>
                </c:pt>
                <c:pt idx="415">
                  <c:v>Back to the Future Part III </c:v>
                </c:pt>
                <c:pt idx="416">
                  <c:v>Back to the Future </c:v>
                </c:pt>
                <c:pt idx="417">
                  <c:v>Bad Boys II </c:v>
                </c:pt>
                <c:pt idx="418">
                  <c:v>Bad Boys </c:v>
                </c:pt>
                <c:pt idx="419">
                  <c:v>Bad Company </c:v>
                </c:pt>
                <c:pt idx="420">
                  <c:v>Bad Grandpa </c:v>
                </c:pt>
                <c:pt idx="421">
                  <c:v>Bad Lieutenant: Port of Call New Orleans </c:v>
                </c:pt>
                <c:pt idx="422">
                  <c:v>Bad Moms </c:v>
                </c:pt>
                <c:pt idx="423">
                  <c:v>Bad Santa </c:v>
                </c:pt>
                <c:pt idx="424">
                  <c:v>Bad Teacher </c:v>
                </c:pt>
                <c:pt idx="425">
                  <c:v>Bad Words </c:v>
                </c:pt>
                <c:pt idx="426">
                  <c:v>Baggage Claim </c:v>
                </c:pt>
                <c:pt idx="427">
                  <c:v>Baghead </c:v>
                </c:pt>
                <c:pt idx="428">
                  <c:v>Bait </c:v>
                </c:pt>
                <c:pt idx="429">
                  <c:v>Ballistic: Ecks vs. Sever </c:v>
                </c:pt>
                <c:pt idx="430">
                  <c:v>Bambi </c:v>
                </c:pt>
                <c:pt idx="431">
                  <c:v>Bamboozled </c:v>
                </c:pt>
                <c:pt idx="432">
                  <c:v>Bananas </c:v>
                </c:pt>
                <c:pt idx="433">
                  <c:v>Bandidas </c:v>
                </c:pt>
                <c:pt idx="434">
                  <c:v>Bandits </c:v>
                </c:pt>
                <c:pt idx="435">
                  <c:v>Bandslam </c:v>
                </c:pt>
                <c:pt idx="436">
                  <c:v>Bang Bang Baby </c:v>
                </c:pt>
                <c:pt idx="437">
                  <c:v>Bang </c:v>
                </c:pt>
                <c:pt idx="438">
                  <c:v>Bangkok Dangerous </c:v>
                </c:pt>
                <c:pt idx="439">
                  <c:v>Banshee Chapter </c:v>
                </c:pt>
                <c:pt idx="440">
                  <c:v>Barbarella </c:v>
                </c:pt>
                <c:pt idx="441">
                  <c:v>Barbecue </c:v>
                </c:pt>
                <c:pt idx="442">
                  <c:v>Barbershop 2: Back in Business </c:v>
                </c:pt>
                <c:pt idx="443">
                  <c:v>Barbershop </c:v>
                </c:pt>
                <c:pt idx="444">
                  <c:v>Barfi </c:v>
                </c:pt>
                <c:pt idx="445">
                  <c:v>Barney's Great Adventure </c:v>
                </c:pt>
                <c:pt idx="446">
                  <c:v>Barney's Version </c:v>
                </c:pt>
                <c:pt idx="447">
                  <c:v>Barnyard </c:v>
                </c:pt>
                <c:pt idx="448">
                  <c:v>Barry Lyndon </c:v>
                </c:pt>
                <c:pt idx="449">
                  <c:v>Barry Munday </c:v>
                </c:pt>
                <c:pt idx="450">
                  <c:v>Basic Instinct 2 </c:v>
                </c:pt>
                <c:pt idx="451">
                  <c:v>Basic </c:v>
                </c:pt>
                <c:pt idx="452">
                  <c:v>Basquiat </c:v>
                </c:pt>
                <c:pt idx="453">
                  <c:v>Bathing Beauty </c:v>
                </c:pt>
                <c:pt idx="454">
                  <c:v>Bathory: Countess of Blood </c:v>
                </c:pt>
                <c:pt idx="455">
                  <c:v>Batman &amp; Robin </c:v>
                </c:pt>
                <c:pt idx="456">
                  <c:v>Batman Begins </c:v>
                </c:pt>
                <c:pt idx="457">
                  <c:v>Batman Forever </c:v>
                </c:pt>
                <c:pt idx="458">
                  <c:v>Batman Returns </c:v>
                </c:pt>
                <c:pt idx="459">
                  <c:v>Batman v Superman: Dawn of Justice </c:v>
                </c:pt>
                <c:pt idx="460">
                  <c:v>Batman </c:v>
                </c:pt>
                <c:pt idx="461">
                  <c:v>Batman: The Dark Knight Returns, Part 2 </c:v>
                </c:pt>
                <c:pt idx="462">
                  <c:v>Batman: The Movie </c:v>
                </c:pt>
                <c:pt idx="463">
                  <c:v>Bats </c:v>
                </c:pt>
                <c:pt idx="464">
                  <c:v>Battle for the Planet of the Apes </c:v>
                </c:pt>
                <c:pt idx="465">
                  <c:v>Battle Los Angeles </c:v>
                </c:pt>
                <c:pt idx="466">
                  <c:v>Battle of the Year </c:v>
                </c:pt>
                <c:pt idx="467">
                  <c:v>Battlefield Earth </c:v>
                </c:pt>
                <c:pt idx="468">
                  <c:v>Battleship </c:v>
                </c:pt>
                <c:pt idx="469">
                  <c:v>Be Cool </c:v>
                </c:pt>
                <c:pt idx="470">
                  <c:v>Be Kind Rewind </c:v>
                </c:pt>
                <c:pt idx="471">
                  <c:v>Beastly </c:v>
                </c:pt>
                <c:pt idx="472">
                  <c:v>Beastmaster 2: Through the Portal of Time </c:v>
                </c:pt>
                <c:pt idx="473">
                  <c:v>Beasts of the Southern Wild </c:v>
                </c:pt>
                <c:pt idx="474">
                  <c:v>Beautiful Creatures </c:v>
                </c:pt>
                <c:pt idx="475">
                  <c:v>Beauty Shop </c:v>
                </c:pt>
                <c:pt idx="476">
                  <c:v>Beavis and Butt-Head Do America </c:v>
                </c:pt>
                <c:pt idx="477">
                  <c:v>Because I Said So </c:v>
                </c:pt>
                <c:pt idx="478">
                  <c:v>Because of Winn-Dixie </c:v>
                </c:pt>
                <c:pt idx="479">
                  <c:v>Becoming Jane </c:v>
                </c:pt>
                <c:pt idx="480">
                  <c:v>Bedazzled </c:v>
                </c:pt>
                <c:pt idx="481">
                  <c:v>Bedtime Stories </c:v>
                </c:pt>
                <c:pt idx="482">
                  <c:v>Bee Movie </c:v>
                </c:pt>
                <c:pt idx="483">
                  <c:v>Beer League </c:v>
                </c:pt>
                <c:pt idx="484">
                  <c:v>Beerfest </c:v>
                </c:pt>
                <c:pt idx="485">
                  <c:v>Beetlejuice </c:v>
                </c:pt>
                <c:pt idx="486">
                  <c:v>Before I Go to Sleep </c:v>
                </c:pt>
                <c:pt idx="487">
                  <c:v>Before Midnight </c:v>
                </c:pt>
                <c:pt idx="488">
                  <c:v>Before Sunrise </c:v>
                </c:pt>
                <c:pt idx="489">
                  <c:v>Before Sunset </c:v>
                </c:pt>
                <c:pt idx="490">
                  <c:v>Begin Again </c:v>
                </c:pt>
                <c:pt idx="491">
                  <c:v>Beginners </c:v>
                </c:pt>
                <c:pt idx="492">
                  <c:v>Behind Enemy Lines </c:v>
                </c:pt>
                <c:pt idx="493">
                  <c:v>Being John Malkovich </c:v>
                </c:pt>
                <c:pt idx="494">
                  <c:v>Being Julia </c:v>
                </c:pt>
                <c:pt idx="495">
                  <c:v>Bella </c:v>
                </c:pt>
                <c:pt idx="496">
                  <c:v>Beloved </c:v>
                </c:pt>
                <c:pt idx="497">
                  <c:v>Below Zero </c:v>
                </c:pt>
                <c:pt idx="498">
                  <c:v>Bend It Like Beckham </c:v>
                </c:pt>
                <c:pt idx="499">
                  <c:v>Bending Steel </c:v>
                </c:pt>
                <c:pt idx="500">
                  <c:v>Beneath Hill 60 </c:v>
                </c:pt>
                <c:pt idx="501">
                  <c:v>Beneath the Planet of the Apes </c:v>
                </c:pt>
                <c:pt idx="502">
                  <c:v>Ben-Hur </c:v>
                </c:pt>
                <c:pt idx="503">
                  <c:v>Benji </c:v>
                </c:pt>
                <c:pt idx="504">
                  <c:v>Beowulf </c:v>
                </c:pt>
                <c:pt idx="505">
                  <c:v>Bernie </c:v>
                </c:pt>
                <c:pt idx="506">
                  <c:v>Best in Show </c:v>
                </c:pt>
                <c:pt idx="507">
                  <c:v>Better Luck Tomorrow </c:v>
                </c:pt>
                <c:pt idx="508">
                  <c:v>Beverly Hills Chihuahua </c:v>
                </c:pt>
                <c:pt idx="509">
                  <c:v>Beverly Hills Cop II </c:v>
                </c:pt>
                <c:pt idx="510">
                  <c:v>Beverly Hills Cop III </c:v>
                </c:pt>
                <c:pt idx="511">
                  <c:v>Beverly Hills Cop </c:v>
                </c:pt>
                <c:pt idx="512">
                  <c:v>Bewitched </c:v>
                </c:pt>
                <c:pt idx="513">
                  <c:v>Beyond Borders </c:v>
                </c:pt>
                <c:pt idx="514">
                  <c:v>Beyond the Black Rainbow </c:v>
                </c:pt>
                <c:pt idx="515">
                  <c:v>Beyond the Lights </c:v>
                </c:pt>
                <c:pt idx="516">
                  <c:v>Beyond the Mat </c:v>
                </c:pt>
                <c:pt idx="517">
                  <c:v>Beyond the Sea </c:v>
                </c:pt>
                <c:pt idx="518">
                  <c:v>Beyond the Valley of the Dolls </c:v>
                </c:pt>
                <c:pt idx="519">
                  <c:v>B-Girl </c:v>
                </c:pt>
                <c:pt idx="520">
                  <c:v>Bicentennial Man </c:v>
                </c:pt>
                <c:pt idx="521">
                  <c:v>Big Daddy </c:v>
                </c:pt>
                <c:pt idx="522">
                  <c:v>Big Eyes </c:v>
                </c:pt>
                <c:pt idx="523">
                  <c:v>Big Fat Liar </c:v>
                </c:pt>
                <c:pt idx="524">
                  <c:v>Big Fish </c:v>
                </c:pt>
                <c:pt idx="525">
                  <c:v>Big Hero 6 </c:v>
                </c:pt>
                <c:pt idx="526">
                  <c:v>Big Miracle </c:v>
                </c:pt>
                <c:pt idx="527">
                  <c:v>Big Momma's House 2 </c:v>
                </c:pt>
                <c:pt idx="528">
                  <c:v>Big Momma's House </c:v>
                </c:pt>
                <c:pt idx="529">
                  <c:v>Big Mommas: Like Father, Like Son </c:v>
                </c:pt>
                <c:pt idx="530">
                  <c:v>Big Trouble in Little China </c:v>
                </c:pt>
                <c:pt idx="531">
                  <c:v>Big Trouble </c:v>
                </c:pt>
                <c:pt idx="532">
                  <c:v>Big </c:v>
                </c:pt>
                <c:pt idx="533">
                  <c:v>Bill &amp; Ted's Bogus Journey </c:v>
                </c:pt>
                <c:pt idx="534">
                  <c:v>Bill &amp; Ted's Excellent Adventure </c:v>
                </c:pt>
                <c:pt idx="535">
                  <c:v>Billy Elliot </c:v>
                </c:pt>
                <c:pt idx="536">
                  <c:v>Birdman or (The Unexpected Virtue of Ignorance) </c:v>
                </c:pt>
                <c:pt idx="537">
                  <c:v>Birth </c:v>
                </c:pt>
                <c:pt idx="538">
                  <c:v>Birthday Girl </c:v>
                </c:pt>
                <c:pt idx="539">
                  <c:v>Biutiful </c:v>
                </c:pt>
                <c:pt idx="540">
                  <c:v>Bizarre </c:v>
                </c:pt>
                <c:pt idx="541">
                  <c:v>Black Book </c:v>
                </c:pt>
                <c:pt idx="542">
                  <c:v>Black Christmas </c:v>
                </c:pt>
                <c:pt idx="543">
                  <c:v>Black Hawk Down </c:v>
                </c:pt>
                <c:pt idx="544">
                  <c:v>Black Knight </c:v>
                </c:pt>
                <c:pt idx="545">
                  <c:v>Black Mass </c:v>
                </c:pt>
                <c:pt idx="546">
                  <c:v>Black Nativity </c:v>
                </c:pt>
                <c:pt idx="547">
                  <c:v>Black November </c:v>
                </c:pt>
                <c:pt idx="548">
                  <c:v>Black or White </c:v>
                </c:pt>
                <c:pt idx="549">
                  <c:v>Black Rain </c:v>
                </c:pt>
                <c:pt idx="550">
                  <c:v>Black Rock </c:v>
                </c:pt>
                <c:pt idx="551">
                  <c:v>Black Snake Moan </c:v>
                </c:pt>
                <c:pt idx="552">
                  <c:v>Black Swan </c:v>
                </c:pt>
                <c:pt idx="553">
                  <c:v>Black Water Transit </c:v>
                </c:pt>
                <c:pt idx="554">
                  <c:v>Blackhat </c:v>
                </c:pt>
                <c:pt idx="555">
                  <c:v>Blackthorn </c:v>
                </c:pt>
                <c:pt idx="556">
                  <c:v>Blade II </c:v>
                </c:pt>
                <c:pt idx="557">
                  <c:v>Blade Runner </c:v>
                </c:pt>
                <c:pt idx="558">
                  <c:v>Blade </c:v>
                </c:pt>
                <c:pt idx="559">
                  <c:v>Blade: Trinity </c:v>
                </c:pt>
                <c:pt idx="560">
                  <c:v>Blades of Glory </c:v>
                </c:pt>
                <c:pt idx="561">
                  <c:v>Blast from the Past </c:v>
                </c:pt>
                <c:pt idx="562">
                  <c:v>Blazing Saddles </c:v>
                </c:pt>
                <c:pt idx="563">
                  <c:v>Bled </c:v>
                </c:pt>
                <c:pt idx="564">
                  <c:v>Bleeding Hearts </c:v>
                </c:pt>
                <c:pt idx="565">
                  <c:v>Blended </c:v>
                </c:pt>
                <c:pt idx="566">
                  <c:v>Bless the Child </c:v>
                </c:pt>
                <c:pt idx="567">
                  <c:v>Blindness </c:v>
                </c:pt>
                <c:pt idx="568">
                  <c:v>Blonde Ambition </c:v>
                </c:pt>
                <c:pt idx="569">
                  <c:v>Blood and Chocolate </c:v>
                </c:pt>
                <c:pt idx="570">
                  <c:v>Blood and Wine </c:v>
                </c:pt>
                <c:pt idx="571">
                  <c:v>Blood Diamond </c:v>
                </c:pt>
                <c:pt idx="572">
                  <c:v>Blood Done Sign My Name </c:v>
                </c:pt>
                <c:pt idx="573">
                  <c:v>Blood In, Blood Out </c:v>
                </c:pt>
                <c:pt idx="574">
                  <c:v>Blood Ties </c:v>
                </c:pt>
                <c:pt idx="575">
                  <c:v>Blood Work </c:v>
                </c:pt>
                <c:pt idx="576">
                  <c:v>BloodRayne </c:v>
                </c:pt>
                <c:pt idx="577">
                  <c:v>Bloodsport </c:v>
                </c:pt>
                <c:pt idx="578">
                  <c:v>Bloody Sunday </c:v>
                </c:pt>
                <c:pt idx="579">
                  <c:v>Blow Out </c:v>
                </c:pt>
                <c:pt idx="580">
                  <c:v>Blow </c:v>
                </c:pt>
                <c:pt idx="581">
                  <c:v>Blue Car </c:v>
                </c:pt>
                <c:pt idx="582">
                  <c:v>Blue Crush </c:v>
                </c:pt>
                <c:pt idx="583">
                  <c:v>Blue Jasmine </c:v>
                </c:pt>
                <c:pt idx="584">
                  <c:v>Blue Like Jazz </c:v>
                </c:pt>
                <c:pt idx="585">
                  <c:v>Blue Ruin </c:v>
                </c:pt>
                <c:pt idx="586">
                  <c:v>Blue Streak </c:v>
                </c:pt>
                <c:pt idx="587">
                  <c:v>Blue Valentine </c:v>
                </c:pt>
                <c:pt idx="588">
                  <c:v>Boat Trip </c:v>
                </c:pt>
                <c:pt idx="589">
                  <c:v>Bobby Jones: Stroke of Genius </c:v>
                </c:pt>
                <c:pt idx="590">
                  <c:v>Bobby </c:v>
                </c:pt>
                <c:pt idx="591">
                  <c:v>Body Double </c:v>
                </c:pt>
                <c:pt idx="592">
                  <c:v>Body of Lies </c:v>
                </c:pt>
                <c:pt idx="593">
                  <c:v>Bodyguards and Assassins </c:v>
                </c:pt>
                <c:pt idx="594">
                  <c:v>Bogus </c:v>
                </c:pt>
                <c:pt idx="595">
                  <c:v>Boiler Room </c:v>
                </c:pt>
                <c:pt idx="596">
                  <c:v>Bolt </c:v>
                </c:pt>
                <c:pt idx="597">
                  <c:v>Bon Cop Bad Cop </c:v>
                </c:pt>
                <c:pt idx="598">
                  <c:v>Bon voyage </c:v>
                </c:pt>
                <c:pt idx="599">
                  <c:v>Bones </c:v>
                </c:pt>
                <c:pt idx="600">
                  <c:v>Boogeyman </c:v>
                </c:pt>
                <c:pt idx="601">
                  <c:v>Boogie Nights </c:v>
                </c:pt>
                <c:pt idx="602">
                  <c:v>Book of Shadows: Blair Witch 2 </c:v>
                </c:pt>
                <c:pt idx="603">
                  <c:v>Boom Town </c:v>
                </c:pt>
                <c:pt idx="604">
                  <c:v>Boomerang </c:v>
                </c:pt>
                <c:pt idx="605">
                  <c:v>Borat: Cultural Learnings of America for Make Benefit Glorious Nation of Kazakhstan </c:v>
                </c:pt>
                <c:pt idx="606">
                  <c:v>Born of War </c:v>
                </c:pt>
                <c:pt idx="607">
                  <c:v>Born on the Fourth of July </c:v>
                </c:pt>
                <c:pt idx="608">
                  <c:v>Born to Fly: Elizabeth Streb vs. Gravity </c:v>
                </c:pt>
                <c:pt idx="609">
                  <c:v>Bottle Rocket </c:v>
                </c:pt>
                <c:pt idx="610">
                  <c:v>Bottle Shock </c:v>
                </c:pt>
                <c:pt idx="611">
                  <c:v>Bound </c:v>
                </c:pt>
                <c:pt idx="612">
                  <c:v>Bowfinger </c:v>
                </c:pt>
                <c:pt idx="613">
                  <c:v>Bowling for Columbine </c:v>
                </c:pt>
                <c:pt idx="614">
                  <c:v>Boyhood </c:v>
                </c:pt>
                <c:pt idx="615">
                  <c:v>Boynton Beach Club </c:v>
                </c:pt>
                <c:pt idx="616">
                  <c:v>Boys and Girls </c:v>
                </c:pt>
                <c:pt idx="617">
                  <c:v>Boys Don't Cry </c:v>
                </c:pt>
                <c:pt idx="618">
                  <c:v>Boyz n the Hood </c:v>
                </c:pt>
                <c:pt idx="619">
                  <c:v>BrainDead </c:v>
                </c:pt>
                <c:pt idx="620">
                  <c:v>Bram Stoker's Dracula </c:v>
                </c:pt>
                <c:pt idx="621">
                  <c:v>Bran Nue Dae </c:v>
                </c:pt>
                <c:pt idx="622">
                  <c:v>Brave New Girl </c:v>
                </c:pt>
                <c:pt idx="623">
                  <c:v>Brave </c:v>
                </c:pt>
                <c:pt idx="624">
                  <c:v>Braveheart </c:v>
                </c:pt>
                <c:pt idx="625">
                  <c:v>Brazil </c:v>
                </c:pt>
                <c:pt idx="626">
                  <c:v>Breakdown </c:v>
                </c:pt>
                <c:pt idx="627">
                  <c:v>Breakfast of Champions </c:v>
                </c:pt>
                <c:pt idx="628">
                  <c:v>Breakin' All the Rules </c:v>
                </c:pt>
                <c:pt idx="629">
                  <c:v>Breaking Upwards </c:v>
                </c:pt>
                <c:pt idx="630">
                  <c:v>Brick Lane </c:v>
                </c:pt>
                <c:pt idx="631">
                  <c:v>Brick Mansions </c:v>
                </c:pt>
                <c:pt idx="632">
                  <c:v>Bride &amp; Prejudice </c:v>
                </c:pt>
                <c:pt idx="633">
                  <c:v>Bride of Chucky </c:v>
                </c:pt>
                <c:pt idx="634">
                  <c:v>Bride Wars </c:v>
                </c:pt>
                <c:pt idx="635">
                  <c:v>Bridesmaids </c:v>
                </c:pt>
                <c:pt idx="636">
                  <c:v>Bridge of Spies </c:v>
                </c:pt>
                <c:pt idx="637">
                  <c:v>Bridge to Terabithia </c:v>
                </c:pt>
                <c:pt idx="638">
                  <c:v>Bridget Jones: The Edge of Reason </c:v>
                </c:pt>
                <c:pt idx="639">
                  <c:v>Bridget Jones's Diary </c:v>
                </c:pt>
                <c:pt idx="640">
                  <c:v>Brigham City </c:v>
                </c:pt>
                <c:pt idx="641">
                  <c:v>Bright Lights, Big City </c:v>
                </c:pt>
                <c:pt idx="642">
                  <c:v>Bright Star </c:v>
                </c:pt>
                <c:pt idx="643">
                  <c:v>Brighton Rock </c:v>
                </c:pt>
                <c:pt idx="644">
                  <c:v>Bring It On </c:v>
                </c:pt>
                <c:pt idx="645">
                  <c:v>Bringing Down the House </c:v>
                </c:pt>
                <c:pt idx="646">
                  <c:v>Bringing Out the Dead </c:v>
                </c:pt>
                <c:pt idx="647">
                  <c:v>Brokeback Mountain </c:v>
                </c:pt>
                <c:pt idx="648">
                  <c:v>Brokedown Palace </c:v>
                </c:pt>
                <c:pt idx="649">
                  <c:v>Broken Arrow </c:v>
                </c:pt>
                <c:pt idx="650">
                  <c:v>Broken City </c:v>
                </c:pt>
                <c:pt idx="651">
                  <c:v>Broken Horses </c:v>
                </c:pt>
                <c:pt idx="652">
                  <c:v>Broken Vessels </c:v>
                </c:pt>
                <c:pt idx="653">
                  <c:v>Bronson </c:v>
                </c:pt>
                <c:pt idx="654">
                  <c:v>Brooklyn Rules </c:v>
                </c:pt>
                <c:pt idx="655">
                  <c:v>Brooklyn </c:v>
                </c:pt>
                <c:pt idx="656">
                  <c:v>Brooklyn's Finest </c:v>
                </c:pt>
                <c:pt idx="657">
                  <c:v>Brother </c:v>
                </c:pt>
                <c:pt idx="658">
                  <c:v>Brotherly Love </c:v>
                </c:pt>
                <c:pt idx="659">
                  <c:v>Brothers </c:v>
                </c:pt>
                <c:pt idx="660">
                  <c:v>Brown Sugar </c:v>
                </c:pt>
                <c:pt idx="661">
                  <c:v>Bruce Almighty </c:v>
                </c:pt>
                <c:pt idx="662">
                  <c:v>Brüno </c:v>
                </c:pt>
                <c:pt idx="663">
                  <c:v>Bubba Ho-Tep </c:v>
                </c:pt>
                <c:pt idx="664">
                  <c:v>Bubble Boy </c:v>
                </c:pt>
                <c:pt idx="665">
                  <c:v>Bucky Larson: Born to Be a Star </c:v>
                </c:pt>
                <c:pt idx="666">
                  <c:v>Buen Día, Ramón </c:v>
                </c:pt>
                <c:pt idx="667">
                  <c:v>Buffalo '66 </c:v>
                </c:pt>
                <c:pt idx="668">
                  <c:v>Buffalo Soldiers </c:v>
                </c:pt>
                <c:pt idx="669">
                  <c:v>Buffy the Vampire Slayer </c:v>
                </c:pt>
                <c:pt idx="670">
                  <c:v>Bullet to the Head </c:v>
                </c:pt>
                <c:pt idx="671">
                  <c:v>Bulletproof Monk </c:v>
                </c:pt>
                <c:pt idx="672">
                  <c:v>Bullets Over Broadway </c:v>
                </c:pt>
                <c:pt idx="673">
                  <c:v>Bully </c:v>
                </c:pt>
                <c:pt idx="674">
                  <c:v>Bulworth </c:v>
                </c:pt>
                <c:pt idx="675">
                  <c:v>Buried </c:v>
                </c:pt>
                <c:pt idx="676">
                  <c:v>Burlesque </c:v>
                </c:pt>
                <c:pt idx="677">
                  <c:v>Burn After Reading </c:v>
                </c:pt>
                <c:pt idx="678">
                  <c:v>Burn </c:v>
                </c:pt>
                <c:pt idx="679">
                  <c:v>Burnt </c:v>
                </c:pt>
                <c:pt idx="680">
                  <c:v>But I'm a Cheerleader </c:v>
                </c:pt>
                <c:pt idx="681">
                  <c:v>Butch Cassidy and the Sundance Kid </c:v>
                </c:pt>
                <c:pt idx="682">
                  <c:v>Butterfly Girl </c:v>
                </c:pt>
                <c:pt idx="683">
                  <c:v>Butterfly </c:v>
                </c:pt>
                <c:pt idx="684">
                  <c:v>By the Sea </c:v>
                </c:pt>
                <c:pt idx="685">
                  <c:v>C.H.U.D. </c:v>
                </c:pt>
                <c:pt idx="686">
                  <c:v>Ca$h </c:v>
                </c:pt>
                <c:pt idx="687">
                  <c:v>Cabin Fever </c:v>
                </c:pt>
                <c:pt idx="688">
                  <c:v>Caddyshack </c:v>
                </c:pt>
                <c:pt idx="689">
                  <c:v>Cadillac Records </c:v>
                </c:pt>
                <c:pt idx="690">
                  <c:v>Call + Response </c:v>
                </c:pt>
                <c:pt idx="691">
                  <c:v>Camping sauvage </c:v>
                </c:pt>
                <c:pt idx="692">
                  <c:v>Can't Hardly Wait </c:v>
                </c:pt>
                <c:pt idx="693">
                  <c:v>Can't Stop the Music </c:v>
                </c:pt>
                <c:pt idx="694">
                  <c:v>Cape Fear </c:v>
                </c:pt>
                <c:pt idx="695">
                  <c:v>Capitalism: A Love Story </c:v>
                </c:pt>
                <c:pt idx="696">
                  <c:v>Capote </c:v>
                </c:pt>
                <c:pt idx="697">
                  <c:v>Capricorn One </c:v>
                </c:pt>
                <c:pt idx="698">
                  <c:v>Captain Alatriste: The Spanish Musketeer </c:v>
                </c:pt>
                <c:pt idx="699">
                  <c:v>Captain America: Civil War </c:v>
                </c:pt>
                <c:pt idx="700">
                  <c:v>Captain America: The First Avenger </c:v>
                </c:pt>
                <c:pt idx="701">
                  <c:v>Captain America: The Winter Soldier </c:v>
                </c:pt>
                <c:pt idx="702">
                  <c:v>Captain Corelli's Mandolin </c:v>
                </c:pt>
                <c:pt idx="703">
                  <c:v>Captain Phillips </c:v>
                </c:pt>
                <c:pt idx="704">
                  <c:v>Captive </c:v>
                </c:pt>
                <c:pt idx="705">
                  <c:v>Caramel </c:v>
                </c:pt>
                <c:pt idx="706">
                  <c:v>Caravans </c:v>
                </c:pt>
                <c:pt idx="707">
                  <c:v>Cargo </c:v>
                </c:pt>
                <c:pt idx="708">
                  <c:v>Carlos </c:v>
                </c:pt>
                <c:pt idx="709">
                  <c:v>Carnage </c:v>
                </c:pt>
                <c:pt idx="710">
                  <c:v>Carrie </c:v>
                </c:pt>
                <c:pt idx="711">
                  <c:v>Carriers </c:v>
                </c:pt>
                <c:pt idx="712">
                  <c:v>Cars 2 </c:v>
                </c:pt>
                <c:pt idx="713">
                  <c:v>Cars </c:v>
                </c:pt>
                <c:pt idx="714">
                  <c:v>Casa de mi Padre </c:v>
                </c:pt>
                <c:pt idx="715">
                  <c:v>Casablanca </c:v>
                </c:pt>
                <c:pt idx="716">
                  <c:v>Case 39 </c:v>
                </c:pt>
                <c:pt idx="717">
                  <c:v>Casino Jack </c:v>
                </c:pt>
                <c:pt idx="718">
                  <c:v>Casino Royale </c:v>
                </c:pt>
                <c:pt idx="719">
                  <c:v>Casino </c:v>
                </c:pt>
                <c:pt idx="720">
                  <c:v>Casper </c:v>
                </c:pt>
                <c:pt idx="721">
                  <c:v>Cast Away </c:v>
                </c:pt>
                <c:pt idx="722">
                  <c:v>Cat on a Hot Tin Roof </c:v>
                </c:pt>
                <c:pt idx="723">
                  <c:v>Cat People </c:v>
                </c:pt>
                <c:pt idx="724">
                  <c:v>Catch a Fire </c:v>
                </c:pt>
                <c:pt idx="725">
                  <c:v>Catch Me If You Can </c:v>
                </c:pt>
                <c:pt idx="726">
                  <c:v>Catch That Kid </c:v>
                </c:pt>
                <c:pt idx="727">
                  <c:v>Catch-22 </c:v>
                </c:pt>
                <c:pt idx="728">
                  <c:v>Cats &amp; Dogs </c:v>
                </c:pt>
                <c:pt idx="729">
                  <c:v>Cats &amp; Dogs: The Revenge of Kitty Galore </c:v>
                </c:pt>
                <c:pt idx="730">
                  <c:v>Cats Don't Dance </c:v>
                </c:pt>
                <c:pt idx="731">
                  <c:v>Catwoman </c:v>
                </c:pt>
                <c:pt idx="732">
                  <c:v>Cavite </c:v>
                </c:pt>
                <c:pt idx="733">
                  <c:v>Cecil B. DeMented </c:v>
                </c:pt>
                <c:pt idx="734">
                  <c:v>Cedar Rapids </c:v>
                </c:pt>
                <c:pt idx="735">
                  <c:v>Celebrity </c:v>
                </c:pt>
                <c:pt idx="736">
                  <c:v>Celeste &amp; Jesse Forever </c:v>
                </c:pt>
                <c:pt idx="737">
                  <c:v>Cellular </c:v>
                </c:pt>
                <c:pt idx="738">
                  <c:v>Censored Voices </c:v>
                </c:pt>
                <c:pt idx="739">
                  <c:v>Center Stage </c:v>
                </c:pt>
                <c:pt idx="740">
                  <c:v>Central Intelligence </c:v>
                </c:pt>
                <c:pt idx="741">
                  <c:v>Central Station </c:v>
                </c:pt>
                <c:pt idx="742">
                  <c:v>Centurion </c:v>
                </c:pt>
                <c:pt idx="743">
                  <c:v>Certifiably Jonathan </c:v>
                </c:pt>
                <c:pt idx="744">
                  <c:v>Chain Letter </c:v>
                </c:pt>
                <c:pt idx="745">
                  <c:v>Chain of Command </c:v>
                </c:pt>
                <c:pt idx="746">
                  <c:v>Chain Reaction </c:v>
                </c:pt>
                <c:pt idx="747">
                  <c:v>Chairman of the Board </c:v>
                </c:pt>
                <c:pt idx="748">
                  <c:v>Changeling </c:v>
                </c:pt>
                <c:pt idx="749">
                  <c:v>Changing Lanes </c:v>
                </c:pt>
                <c:pt idx="750">
                  <c:v>Chappie </c:v>
                </c:pt>
                <c:pt idx="751">
                  <c:v>Character </c:v>
                </c:pt>
                <c:pt idx="752">
                  <c:v>Chariots of Fire </c:v>
                </c:pt>
                <c:pt idx="753">
                  <c:v>Charlie and the Chocolate Factory </c:v>
                </c:pt>
                <c:pt idx="754">
                  <c:v>Charlie Bartlett </c:v>
                </c:pt>
                <c:pt idx="755">
                  <c:v>Charlie St. Cloud </c:v>
                </c:pt>
                <c:pt idx="756">
                  <c:v>Charlie Wilson's War </c:v>
                </c:pt>
                <c:pt idx="757">
                  <c:v>Charlie's Angels </c:v>
                </c:pt>
                <c:pt idx="758">
                  <c:v>Charlie's Angels: Full Throttle </c:v>
                </c:pt>
                <c:pt idx="759">
                  <c:v>Charlotte's Web </c:v>
                </c:pt>
                <c:pt idx="760">
                  <c:v>Charly </c:v>
                </c:pt>
                <c:pt idx="761">
                  <c:v>Chasing Amy </c:v>
                </c:pt>
                <c:pt idx="762">
                  <c:v>Chasing Liberty </c:v>
                </c:pt>
                <c:pt idx="763">
                  <c:v>Chasing Mavericks </c:v>
                </c:pt>
                <c:pt idx="764">
                  <c:v>Chasing Papi </c:v>
                </c:pt>
                <c:pt idx="765">
                  <c:v>Cheap Thrills </c:v>
                </c:pt>
                <c:pt idx="766">
                  <c:v>Cheaper by the Dozen 2 </c:v>
                </c:pt>
                <c:pt idx="767">
                  <c:v>Cheaper by the Dozen </c:v>
                </c:pt>
                <c:pt idx="768">
                  <c:v>Checkmate </c:v>
                </c:pt>
                <c:pt idx="769">
                  <c:v>Chéri </c:v>
                </c:pt>
                <c:pt idx="770">
                  <c:v>Chernobyl Diaries </c:v>
                </c:pt>
                <c:pt idx="771">
                  <c:v>Chiamatemi Francesco - Il Papa della gente </c:v>
                </c:pt>
                <c:pt idx="772">
                  <c:v>Chicago Overcoat </c:v>
                </c:pt>
                <c:pt idx="773">
                  <c:v>Chicago </c:v>
                </c:pt>
                <c:pt idx="774">
                  <c:v>Chicken Little </c:v>
                </c:pt>
                <c:pt idx="775">
                  <c:v>Chicken Run </c:v>
                </c:pt>
                <c:pt idx="776">
                  <c:v>Chicken Tikka Masala </c:v>
                </c:pt>
                <c:pt idx="777">
                  <c:v>Child 44 </c:v>
                </c:pt>
                <c:pt idx="778">
                  <c:v>Childless </c:v>
                </c:pt>
                <c:pt idx="779">
                  <c:v>Children of Heaven </c:v>
                </c:pt>
                <c:pt idx="780">
                  <c:v>Children of Men </c:v>
                </c:pt>
                <c:pt idx="781">
                  <c:v>Child's Play 2 </c:v>
                </c:pt>
                <c:pt idx="782">
                  <c:v>Child's Play </c:v>
                </c:pt>
                <c:pt idx="783">
                  <c:v>Chill Factor </c:v>
                </c:pt>
                <c:pt idx="784">
                  <c:v>Chloe </c:v>
                </c:pt>
                <c:pt idx="785">
                  <c:v>Chocolat </c:v>
                </c:pt>
                <c:pt idx="786">
                  <c:v>Chocolate: Deep Dark Secrets </c:v>
                </c:pt>
                <c:pt idx="787">
                  <c:v>Choke </c:v>
                </c:pt>
                <c:pt idx="788">
                  <c:v>Christmas Eve </c:v>
                </c:pt>
                <c:pt idx="789">
                  <c:v>Christmas Mail </c:v>
                </c:pt>
                <c:pt idx="790">
                  <c:v>Christmas with the Kranks </c:v>
                </c:pt>
                <c:pt idx="791">
                  <c:v>Chronicle </c:v>
                </c:pt>
                <c:pt idx="792">
                  <c:v>Chuck &amp; Buck </c:v>
                </c:pt>
                <c:pt idx="793">
                  <c:v>Cinco de Mayo, La Batalla </c:v>
                </c:pt>
                <c:pt idx="794">
                  <c:v>Cinderella Man </c:v>
                </c:pt>
                <c:pt idx="795">
                  <c:v>Cinderella </c:v>
                </c:pt>
                <c:pt idx="796">
                  <c:v>Circle </c:v>
                </c:pt>
                <c:pt idx="797">
                  <c:v>Circumstance </c:v>
                </c:pt>
                <c:pt idx="798">
                  <c:v>Cirque du Freak: The Vampire's Assistant </c:v>
                </c:pt>
                <c:pt idx="799">
                  <c:v>Cirque du Soleil: Worlds Away </c:v>
                </c:pt>
                <c:pt idx="800">
                  <c:v>City by the Sea </c:v>
                </c:pt>
                <c:pt idx="801">
                  <c:v>City Hall </c:v>
                </c:pt>
                <c:pt idx="802">
                  <c:v>City Island </c:v>
                </c:pt>
                <c:pt idx="803">
                  <c:v>City of Angels </c:v>
                </c:pt>
                <c:pt idx="804">
                  <c:v>City of Ember </c:v>
                </c:pt>
                <c:pt idx="805">
                  <c:v>City of Ghosts </c:v>
                </c:pt>
                <c:pt idx="806">
                  <c:v>City of God </c:v>
                </c:pt>
                <c:pt idx="807">
                  <c:v>City of Life and Death </c:v>
                </c:pt>
                <c:pt idx="808">
                  <c:v>Civil Brand </c:v>
                </c:pt>
                <c:pt idx="809">
                  <c:v>CJ7 </c:v>
                </c:pt>
                <c:pt idx="810">
                  <c:v>Clash of the Titans </c:v>
                </c:pt>
                <c:pt idx="811">
                  <c:v>Class of 1984 </c:v>
                </c:pt>
                <c:pt idx="812">
                  <c:v>Clay Pigeons </c:v>
                </c:pt>
                <c:pt idx="813">
                  <c:v>Clean </c:v>
                </c:pt>
                <c:pt idx="814">
                  <c:v>Clear and Present Danger </c:v>
                </c:pt>
                <c:pt idx="815">
                  <c:v>Cleopatra </c:v>
                </c:pt>
                <c:pt idx="816">
                  <c:v>Clerks II </c:v>
                </c:pt>
                <c:pt idx="817">
                  <c:v>Clerks </c:v>
                </c:pt>
                <c:pt idx="818">
                  <c:v>Click </c:v>
                </c:pt>
                <c:pt idx="819">
                  <c:v>Cliffhanger </c:v>
                </c:pt>
                <c:pt idx="820">
                  <c:v>Clockstoppers </c:v>
                </c:pt>
                <c:pt idx="821">
                  <c:v>Clockwatchers </c:v>
                </c:pt>
                <c:pt idx="822">
                  <c:v>Close Encounters of the Third Kind </c:v>
                </c:pt>
                <c:pt idx="823">
                  <c:v>Close Range </c:v>
                </c:pt>
                <c:pt idx="824">
                  <c:v>Closer to the Moon </c:v>
                </c:pt>
                <c:pt idx="825">
                  <c:v>Closer </c:v>
                </c:pt>
                <c:pt idx="826">
                  <c:v>Closure </c:v>
                </c:pt>
                <c:pt idx="827">
                  <c:v>Cloud Atlas </c:v>
                </c:pt>
                <c:pt idx="828">
                  <c:v>Cloudy with a Chance of Meatballs 2 </c:v>
                </c:pt>
                <c:pt idx="829">
                  <c:v>Cloudy with a Chance of Meatballs </c:v>
                </c:pt>
                <c:pt idx="830">
                  <c:v>Cloverfield </c:v>
                </c:pt>
                <c:pt idx="831">
                  <c:v>Club Dread </c:v>
                </c:pt>
                <c:pt idx="832">
                  <c:v>Clueless </c:v>
                </c:pt>
                <c:pt idx="833">
                  <c:v>Coach Carter </c:v>
                </c:pt>
                <c:pt idx="834">
                  <c:v>Coal Miner's Daughter </c:v>
                </c:pt>
                <c:pt idx="835">
                  <c:v>Coco Before Chanel </c:v>
                </c:pt>
                <c:pt idx="836">
                  <c:v>Code 46 </c:v>
                </c:pt>
                <c:pt idx="837">
                  <c:v>Code Name: The Cleaner </c:v>
                </c:pt>
                <c:pt idx="838">
                  <c:v>Code of Honor </c:v>
                </c:pt>
                <c:pt idx="839">
                  <c:v>Coffee Town </c:v>
                </c:pt>
                <c:pt idx="840">
                  <c:v>Cold Mountain </c:v>
                </c:pt>
                <c:pt idx="841">
                  <c:v>Collateral Damage </c:v>
                </c:pt>
                <c:pt idx="842">
                  <c:v>Collateral </c:v>
                </c:pt>
                <c:pt idx="843">
                  <c:v>College </c:v>
                </c:pt>
                <c:pt idx="844">
                  <c:v>Colombiana </c:v>
                </c:pt>
                <c:pt idx="845">
                  <c:v>Come Early Morning </c:v>
                </c:pt>
                <c:pt idx="846">
                  <c:v>Coming Home </c:v>
                </c:pt>
                <c:pt idx="847">
                  <c:v>Commando </c:v>
                </c:pt>
                <c:pt idx="848">
                  <c:v>Compadres </c:v>
                </c:pt>
                <c:pt idx="849">
                  <c:v>Compliance </c:v>
                </c:pt>
                <c:pt idx="850">
                  <c:v>Con Air </c:v>
                </c:pt>
                <c:pt idx="851">
                  <c:v>Conan the Barbarian </c:v>
                </c:pt>
                <c:pt idx="852">
                  <c:v>Conan the Destroyer </c:v>
                </c:pt>
                <c:pt idx="853">
                  <c:v>Concussion </c:v>
                </c:pt>
                <c:pt idx="854">
                  <c:v>Confessions of a Dangerous Mind </c:v>
                </c:pt>
                <c:pt idx="855">
                  <c:v>Confessions of a Teenage Drama Queen </c:v>
                </c:pt>
                <c:pt idx="856">
                  <c:v>Confidence </c:v>
                </c:pt>
                <c:pt idx="857">
                  <c:v>Congo </c:v>
                </c:pt>
                <c:pt idx="858">
                  <c:v>Connie and Carla </c:v>
                </c:pt>
                <c:pt idx="859">
                  <c:v>Conquest of the Planet of the Apes </c:v>
                </c:pt>
                <c:pt idx="860">
                  <c:v>Conspiracy Theory </c:v>
                </c:pt>
                <c:pt idx="861">
                  <c:v>Constantine </c:v>
                </c:pt>
                <c:pt idx="862">
                  <c:v>Contact </c:v>
                </c:pt>
                <c:pt idx="863">
                  <c:v>Contagion </c:v>
                </c:pt>
                <c:pt idx="864">
                  <c:v>Containment </c:v>
                </c:pt>
                <c:pt idx="865">
                  <c:v>Contraband </c:v>
                </c:pt>
                <c:pt idx="866">
                  <c:v>Control </c:v>
                </c:pt>
                <c:pt idx="867">
                  <c:v>Conversations with Other Women </c:v>
                </c:pt>
                <c:pt idx="868">
                  <c:v>Cool Runnings </c:v>
                </c:pt>
                <c:pt idx="869">
                  <c:v>Cop Land </c:v>
                </c:pt>
                <c:pt idx="870">
                  <c:v>Cop Out </c:v>
                </c:pt>
                <c:pt idx="871">
                  <c:v>Copycat </c:v>
                </c:pt>
                <c:pt idx="872">
                  <c:v>Copying Beethoven </c:v>
                </c:pt>
                <c:pt idx="873">
                  <c:v>Coraline </c:v>
                </c:pt>
                <c:pt idx="874">
                  <c:v>Coriolanus </c:v>
                </c:pt>
                <c:pt idx="875">
                  <c:v>Corky Romano </c:v>
                </c:pt>
                <c:pt idx="876">
                  <c:v>Corpse Bride </c:v>
                </c:pt>
                <c:pt idx="877">
                  <c:v>Cotton Comes to Harlem </c:v>
                </c:pt>
                <c:pt idx="878">
                  <c:v>Counting </c:v>
                </c:pt>
                <c:pt idx="879">
                  <c:v>Country Strong </c:v>
                </c:pt>
                <c:pt idx="880">
                  <c:v>Couples Retreat </c:v>
                </c:pt>
                <c:pt idx="881">
                  <c:v>Courage Under Fire </c:v>
                </c:pt>
                <c:pt idx="882">
                  <c:v>Courage </c:v>
                </c:pt>
                <c:pt idx="883">
                  <c:v>Courageous </c:v>
                </c:pt>
                <c:pt idx="884">
                  <c:v>Coyote Ugly </c:v>
                </c:pt>
                <c:pt idx="885">
                  <c:v>Cradle 2 the Grave </c:v>
                </c:pt>
                <c:pt idx="886">
                  <c:v>Cradle Will Rock </c:v>
                </c:pt>
                <c:pt idx="887">
                  <c:v>Crank </c:v>
                </c:pt>
                <c:pt idx="888">
                  <c:v>Crank: High Voltage </c:v>
                </c:pt>
                <c:pt idx="889">
                  <c:v>Crash </c:v>
                </c:pt>
                <c:pt idx="890">
                  <c:v>Crazy Heart </c:v>
                </c:pt>
                <c:pt idx="891">
                  <c:v>Crazy in Alabama </c:v>
                </c:pt>
                <c:pt idx="892">
                  <c:v>Crazy Stone </c:v>
                </c:pt>
                <c:pt idx="893">
                  <c:v>Crazy, Stupid, Love. </c:v>
                </c:pt>
                <c:pt idx="894">
                  <c:v>Crazy/Beautiful </c:v>
                </c:pt>
                <c:pt idx="895">
                  <c:v>Creative Control </c:v>
                </c:pt>
                <c:pt idx="896">
                  <c:v>Creature </c:v>
                </c:pt>
                <c:pt idx="897">
                  <c:v>Creed </c:v>
                </c:pt>
                <c:pt idx="898">
                  <c:v>Creepshow 2 </c:v>
                </c:pt>
                <c:pt idx="899">
                  <c:v>Creepshow </c:v>
                </c:pt>
                <c:pt idx="900">
                  <c:v>Cries &amp; Whispers </c:v>
                </c:pt>
                <c:pt idx="901">
                  <c:v>Criminal Activities </c:v>
                </c:pt>
                <c:pt idx="902">
                  <c:v>Criminal </c:v>
                </c:pt>
                <c:pt idx="903">
                  <c:v>Crimson Tide </c:v>
                </c:pt>
                <c:pt idx="904">
                  <c:v>Critical Care </c:v>
                </c:pt>
                <c:pt idx="905">
                  <c:v>Crocodile Dundee II </c:v>
                </c:pt>
                <c:pt idx="906">
                  <c:v>Crocodile Dundee in Los Angeles </c:v>
                </c:pt>
                <c:pt idx="907">
                  <c:v>Crocodile Dundee </c:v>
                </c:pt>
                <c:pt idx="908">
                  <c:v>Crooklyn </c:v>
                </c:pt>
                <c:pt idx="909">
                  <c:v>Crop Circles: Quest for Truth </c:v>
                </c:pt>
                <c:pt idx="910">
                  <c:v>Crossover </c:v>
                </c:pt>
                <c:pt idx="911">
                  <c:v>Crossroads </c:v>
                </c:pt>
                <c:pt idx="912">
                  <c:v>Crouching Tiger, Hidden Dragon </c:v>
                </c:pt>
                <c:pt idx="913">
                  <c:v>Crowsnest </c:v>
                </c:pt>
                <c:pt idx="914">
                  <c:v>Cruel Intentions </c:v>
                </c:pt>
                <c:pt idx="915">
                  <c:v>Cry Freedom </c:v>
                </c:pt>
                <c:pt idx="916">
                  <c:v>Cry_Wolf </c:v>
                </c:pt>
                <c:pt idx="917">
                  <c:v>Crying with Laughter </c:v>
                </c:pt>
                <c:pt idx="918">
                  <c:v>Cube </c:v>
                </c:pt>
                <c:pt idx="919">
                  <c:v>Curious George </c:v>
                </c:pt>
                <c:pt idx="920">
                  <c:v>Curse of the Golden Flower </c:v>
                </c:pt>
                <c:pt idx="921">
                  <c:v>Cursed </c:v>
                </c:pt>
                <c:pt idx="922">
                  <c:v>Cutthroat Island </c:v>
                </c:pt>
                <c:pt idx="923">
                  <c:v>Cypher </c:v>
                </c:pt>
                <c:pt idx="924">
                  <c:v>Cyrus </c:v>
                </c:pt>
                <c:pt idx="925">
                  <c:v>D.E.B.S. </c:v>
                </c:pt>
                <c:pt idx="926">
                  <c:v>Da Sweet Blood of Jesus </c:v>
                </c:pt>
                <c:pt idx="927">
                  <c:v>Daddy Day Camp </c:v>
                </c:pt>
                <c:pt idx="928">
                  <c:v>Daddy Day Care </c:v>
                </c:pt>
                <c:pt idx="929">
                  <c:v>Daddy's Home </c:v>
                </c:pt>
                <c:pt idx="930">
                  <c:v>Dallas Buyers Club </c:v>
                </c:pt>
                <c:pt idx="931">
                  <c:v>Damnation Alley </c:v>
                </c:pt>
                <c:pt idx="932">
                  <c:v>Damsels in Distress </c:v>
                </c:pt>
                <c:pt idx="933">
                  <c:v>Dance Flick </c:v>
                </c:pt>
                <c:pt idx="934">
                  <c:v>Dancer in the Dark </c:v>
                </c:pt>
                <c:pt idx="935">
                  <c:v>Dancer, Texas Pop. 81 </c:v>
                </c:pt>
                <c:pt idx="936">
                  <c:v>Dances with Wolves </c:v>
                </c:pt>
                <c:pt idx="937">
                  <c:v>Dancin' It's On </c:v>
                </c:pt>
                <c:pt idx="938">
                  <c:v>Dangerous Liaisons </c:v>
                </c:pt>
                <c:pt idx="939">
                  <c:v>Danny Collins </c:v>
                </c:pt>
                <c:pt idx="940">
                  <c:v>Dante's Peak </c:v>
                </c:pt>
                <c:pt idx="941">
                  <c:v>Daredevil </c:v>
                </c:pt>
                <c:pt idx="942">
                  <c:v>Dark Angel </c:v>
                </c:pt>
                <c:pt idx="943">
                  <c:v>Dark Blue </c:v>
                </c:pt>
                <c:pt idx="944">
                  <c:v>Dark City </c:v>
                </c:pt>
                <c:pt idx="945">
                  <c:v>Dark Shadows </c:v>
                </c:pt>
                <c:pt idx="946">
                  <c:v>Dark Water </c:v>
                </c:pt>
                <c:pt idx="947">
                  <c:v>Darkness Falls </c:v>
                </c:pt>
                <c:pt idx="948">
                  <c:v>Darkness </c:v>
                </c:pt>
                <c:pt idx="949">
                  <c:v>Darling Companion </c:v>
                </c:pt>
                <c:pt idx="950">
                  <c:v>Darling Lili </c:v>
                </c:pt>
                <c:pt idx="951">
                  <c:v>Das Boot </c:v>
                </c:pt>
                <c:pt idx="952">
                  <c:v>Date Movie </c:v>
                </c:pt>
                <c:pt idx="953">
                  <c:v>Date Night </c:v>
                </c:pt>
                <c:pt idx="954">
                  <c:v>Dave Chappelle's Block Party </c:v>
                </c:pt>
                <c:pt idx="955">
                  <c:v>Dawn of the Crescent Moon </c:v>
                </c:pt>
                <c:pt idx="956">
                  <c:v>Dawn of the Dead </c:v>
                </c:pt>
                <c:pt idx="957">
                  <c:v>Dawn of the Planet of the Apes </c:v>
                </c:pt>
                <c:pt idx="958">
                  <c:v>Dawn Patrol </c:v>
                </c:pt>
                <c:pt idx="959">
                  <c:v>Day of the Dead </c:v>
                </c:pt>
                <c:pt idx="960">
                  <c:v>Day One </c:v>
                </c:pt>
                <c:pt idx="961">
                  <c:v>Daybreakers </c:v>
                </c:pt>
                <c:pt idx="962">
                  <c:v>Daylight </c:v>
                </c:pt>
                <c:pt idx="963">
                  <c:v>Days of Heaven </c:v>
                </c:pt>
                <c:pt idx="964">
                  <c:v>Days of Thunder </c:v>
                </c:pt>
                <c:pt idx="965">
                  <c:v>Dazed and Confused </c:v>
                </c:pt>
                <c:pt idx="966">
                  <c:v>Dead Like Me: Life After Death </c:v>
                </c:pt>
                <c:pt idx="967">
                  <c:v>Dead Man Down </c:v>
                </c:pt>
                <c:pt idx="968">
                  <c:v>Dead Man on Campus </c:v>
                </c:pt>
                <c:pt idx="969">
                  <c:v>Dead Man Walking </c:v>
                </c:pt>
                <c:pt idx="970">
                  <c:v>Dead Man's Shoes </c:v>
                </c:pt>
                <c:pt idx="971">
                  <c:v>Dead Poets Society </c:v>
                </c:pt>
                <c:pt idx="972">
                  <c:v>Dead Snow </c:v>
                </c:pt>
                <c:pt idx="973">
                  <c:v>Deadfall </c:v>
                </c:pt>
                <c:pt idx="974">
                  <c:v>Deadline - U.S.A. </c:v>
                </c:pt>
                <c:pt idx="975">
                  <c:v>Deadline Gallipoli </c:v>
                </c:pt>
                <c:pt idx="976">
                  <c:v>Deadpool </c:v>
                </c:pt>
                <c:pt idx="977">
                  <c:v>Dear Frankie </c:v>
                </c:pt>
                <c:pt idx="978">
                  <c:v>Dear John </c:v>
                </c:pt>
                <c:pt idx="979">
                  <c:v>Dear Wendy </c:v>
                </c:pt>
                <c:pt idx="980">
                  <c:v>Death at a Funeral </c:v>
                </c:pt>
                <c:pt idx="981">
                  <c:v>Death Becomes Her </c:v>
                </c:pt>
                <c:pt idx="982">
                  <c:v>Death Calls </c:v>
                </c:pt>
                <c:pt idx="983">
                  <c:v>Death Race 2000 </c:v>
                </c:pt>
                <c:pt idx="984">
                  <c:v>Death Race </c:v>
                </c:pt>
                <c:pt idx="985">
                  <c:v>Death Sentence </c:v>
                </c:pt>
                <c:pt idx="986">
                  <c:v>Death to Smoochy </c:v>
                </c:pt>
                <c:pt idx="987">
                  <c:v>Deceptive Practice: The Mysteries and Mentors of Ricky Jay </c:v>
                </c:pt>
                <c:pt idx="988">
                  <c:v>Deck the Halls </c:v>
                </c:pt>
                <c:pt idx="989">
                  <c:v>Deconstructing Harry </c:v>
                </c:pt>
                <c:pt idx="990">
                  <c:v>Decoys </c:v>
                </c:pt>
                <c:pt idx="991">
                  <c:v>Deep Blue Sea </c:v>
                </c:pt>
                <c:pt idx="992">
                  <c:v>Deep Impact </c:v>
                </c:pt>
                <c:pt idx="993">
                  <c:v>Deep Rising </c:v>
                </c:pt>
                <c:pt idx="994">
                  <c:v>Def-Con 4 </c:v>
                </c:pt>
                <c:pt idx="995">
                  <c:v>Defendor </c:v>
                </c:pt>
                <c:pt idx="996">
                  <c:v>Defiance </c:v>
                </c:pt>
                <c:pt idx="997">
                  <c:v>Definitely, Maybe </c:v>
                </c:pt>
                <c:pt idx="998">
                  <c:v>Déjà Vu </c:v>
                </c:pt>
                <c:pt idx="999">
                  <c:v>Dekalog </c:v>
                </c:pt>
                <c:pt idx="1000">
                  <c:v>Del 1 - Män som hatar kvinnor </c:v>
                </c:pt>
                <c:pt idx="1001">
                  <c:v>Delgo </c:v>
                </c:pt>
                <c:pt idx="1002">
                  <c:v>Deliver Us from Evil </c:v>
                </c:pt>
                <c:pt idx="1003">
                  <c:v>Delivery Man </c:v>
                </c:pt>
                <c:pt idx="1004">
                  <c:v>De-Lovely </c:v>
                </c:pt>
                <c:pt idx="1005">
                  <c:v>Demonic </c:v>
                </c:pt>
                <c:pt idx="1006">
                  <c:v>Departure </c:v>
                </c:pt>
                <c:pt idx="1007">
                  <c:v>Derailed </c:v>
                </c:pt>
                <c:pt idx="1008">
                  <c:v>Desert Blue </c:v>
                </c:pt>
                <c:pt idx="1009">
                  <c:v>Desert Dancer </c:v>
                </c:pt>
                <c:pt idx="1010">
                  <c:v>Desperado </c:v>
                </c:pt>
                <c:pt idx="1011">
                  <c:v>Despicable Me 2 </c:v>
                </c:pt>
                <c:pt idx="1012">
                  <c:v>Despicable Me </c:v>
                </c:pt>
                <c:pt idx="1013">
                  <c:v>Destiny </c:v>
                </c:pt>
                <c:pt idx="1014">
                  <c:v>Detention of the Dead </c:v>
                </c:pt>
                <c:pt idx="1015">
                  <c:v>Detention </c:v>
                </c:pt>
                <c:pt idx="1016">
                  <c:v>Deterrence </c:v>
                </c:pt>
                <c:pt idx="1017">
                  <c:v>Detroit Rock City </c:v>
                </c:pt>
                <c:pt idx="1018">
                  <c:v>Deuce Bigalow: European Gigolo </c:v>
                </c:pt>
                <c:pt idx="1019">
                  <c:v>Deuce Bigalow: Male Gigolo </c:v>
                </c:pt>
                <c:pt idx="1020">
                  <c:v>Deuces Wild </c:v>
                </c:pt>
                <c:pt idx="1021">
                  <c:v>Devil </c:v>
                </c:pt>
                <c:pt idx="1022">
                  <c:v>Devil's Due </c:v>
                </c:pt>
                <c:pt idx="1023">
                  <c:v>Diamond Ruff </c:v>
                </c:pt>
                <c:pt idx="1024">
                  <c:v>Diamonds Are Forever </c:v>
                </c:pt>
                <c:pt idx="1025">
                  <c:v>Diary of a Mad Black Woman </c:v>
                </c:pt>
                <c:pt idx="1026">
                  <c:v>Diary of a Wimpy Kid </c:v>
                </c:pt>
                <c:pt idx="1027">
                  <c:v>Diary of a Wimpy Kid: Dog Days </c:v>
                </c:pt>
                <c:pt idx="1028">
                  <c:v>Diary of a Wimpy Kid: Rodrick Rules </c:v>
                </c:pt>
                <c:pt idx="1029">
                  <c:v>Diary of the Dead </c:v>
                </c:pt>
                <c:pt idx="1030">
                  <c:v>Dick Tracy </c:v>
                </c:pt>
                <c:pt idx="1031">
                  <c:v>Dick </c:v>
                </c:pt>
                <c:pt idx="1032">
                  <c:v>Dickie Roberts: Former Child Star </c:v>
                </c:pt>
                <c:pt idx="1033">
                  <c:v>Did You Hear About the Morgans? </c:v>
                </c:pt>
                <c:pt idx="1034">
                  <c:v>Die Another Day </c:v>
                </c:pt>
                <c:pt idx="1035">
                  <c:v>Die Hard 2 </c:v>
                </c:pt>
                <c:pt idx="1036">
                  <c:v>Die Hard with a Vengeance </c:v>
                </c:pt>
                <c:pt idx="1037">
                  <c:v>Die Hard </c:v>
                </c:pt>
                <c:pt idx="1038">
                  <c:v>Digimon: The Movie </c:v>
                </c:pt>
                <c:pt idx="1039">
                  <c:v>Dil Jo Bhi Kahey... </c:v>
                </c:pt>
                <c:pt idx="1040">
                  <c:v>Diner </c:v>
                </c:pt>
                <c:pt idx="1041">
                  <c:v>Dinner for Schmucks </c:v>
                </c:pt>
                <c:pt idx="1042">
                  <c:v>Dinner Rush </c:v>
                </c:pt>
                <c:pt idx="1043">
                  <c:v>Dinosaur </c:v>
                </c:pt>
                <c:pt idx="1044">
                  <c:v>Dirty Grandpa </c:v>
                </c:pt>
                <c:pt idx="1045">
                  <c:v>Dirty Pretty Things </c:v>
                </c:pt>
                <c:pt idx="1046">
                  <c:v>Dirty Work </c:v>
                </c:pt>
                <c:pt idx="1047">
                  <c:v>Disaster Movie </c:v>
                </c:pt>
                <c:pt idx="1048">
                  <c:v>Disclosure </c:v>
                </c:pt>
                <c:pt idx="1049">
                  <c:v>District 9 </c:v>
                </c:pt>
                <c:pt idx="1050">
                  <c:v>District B13 </c:v>
                </c:pt>
                <c:pt idx="1051">
                  <c:v>Disturbia </c:v>
                </c:pt>
                <c:pt idx="1052">
                  <c:v>Disturbing Behavior </c:v>
                </c:pt>
                <c:pt idx="1053">
                  <c:v>Divergent </c:v>
                </c:pt>
                <c:pt idx="1054">
                  <c:v>Divine Secrets of the Ya-Ya Sisterhood </c:v>
                </c:pt>
                <c:pt idx="1055">
                  <c:v>Django Unchained </c:v>
                </c:pt>
                <c:pt idx="1056">
                  <c:v>Do the Right Thing </c:v>
                </c:pt>
                <c:pt idx="1057">
                  <c:v>Do You Believe? </c:v>
                </c:pt>
                <c:pt idx="1058">
                  <c:v>DOA: Dead or Alive </c:v>
                </c:pt>
                <c:pt idx="1059">
                  <c:v>Doc Holliday's Revenge </c:v>
                </c:pt>
                <c:pt idx="1060">
                  <c:v>Doctor Dolittle </c:v>
                </c:pt>
                <c:pt idx="1061">
                  <c:v>Doctor Zhivago </c:v>
                </c:pt>
                <c:pt idx="1062">
                  <c:v>Dodgeball: A True Underdog Story </c:v>
                </c:pt>
                <c:pt idx="1063">
                  <c:v>Dogma </c:v>
                </c:pt>
                <c:pt idx="1064">
                  <c:v>Dogtooth </c:v>
                </c:pt>
                <c:pt idx="1065">
                  <c:v>Dogtown and Z-Boys </c:v>
                </c:pt>
                <c:pt idx="1066">
                  <c:v>Dolphin Tale 2 </c:v>
                </c:pt>
                <c:pt idx="1067">
                  <c:v>Dolphin Tale </c:v>
                </c:pt>
                <c:pt idx="1068">
                  <c:v>Dolphins and Whales 3D: Tribes of the Ocean </c:v>
                </c:pt>
                <c:pt idx="1069">
                  <c:v>Dom Hemingway </c:v>
                </c:pt>
                <c:pt idx="1070">
                  <c:v>Domestic Disturbance </c:v>
                </c:pt>
                <c:pt idx="1071">
                  <c:v>Domino </c:v>
                </c:pt>
                <c:pt idx="1072">
                  <c:v>Don Jon </c:v>
                </c:pt>
                <c:pt idx="1073">
                  <c:v>Don Juan DeMarco </c:v>
                </c:pt>
                <c:pt idx="1074">
                  <c:v>Don McKay </c:v>
                </c:pt>
                <c:pt idx="1075">
                  <c:v>Donkey Punch </c:v>
                </c:pt>
                <c:pt idx="1076">
                  <c:v>Donnie Brasco </c:v>
                </c:pt>
                <c:pt idx="1077">
                  <c:v>Donnie Darko </c:v>
                </c:pt>
                <c:pt idx="1078">
                  <c:v>Donovan's Reef </c:v>
                </c:pt>
                <c:pt idx="1079">
                  <c:v>Don't Be Afraid of the Dark </c:v>
                </c:pt>
                <c:pt idx="1080">
                  <c:v>Don't Say a Word </c:v>
                </c:pt>
                <c:pt idx="1081">
                  <c:v>Doogal </c:v>
                </c:pt>
                <c:pt idx="1082">
                  <c:v>Doom </c:v>
                </c:pt>
                <c:pt idx="1083">
                  <c:v>Doomsday </c:v>
                </c:pt>
                <c:pt idx="1084">
                  <c:v>Dope </c:v>
                </c:pt>
                <c:pt idx="1085">
                  <c:v>Double Impact </c:v>
                </c:pt>
                <c:pt idx="1086">
                  <c:v>Double Jeopardy </c:v>
                </c:pt>
                <c:pt idx="1087">
                  <c:v>Double Take </c:v>
                </c:pt>
                <c:pt idx="1088">
                  <c:v>Doubt </c:v>
                </c:pt>
                <c:pt idx="1089">
                  <c:v>Doug's 1st Movie </c:v>
                </c:pt>
                <c:pt idx="1090">
                  <c:v>Down and Out with the Dolls </c:v>
                </c:pt>
                <c:pt idx="1091">
                  <c:v>Down for Life </c:v>
                </c:pt>
                <c:pt idx="1092">
                  <c:v>Down in the Valley </c:v>
                </c:pt>
                <c:pt idx="1093">
                  <c:v>Down Terrace </c:v>
                </c:pt>
                <c:pt idx="1094">
                  <c:v>Down to Earth </c:v>
                </c:pt>
                <c:pt idx="1095">
                  <c:v>Down to You </c:v>
                </c:pt>
                <c:pt idx="1096">
                  <c:v>Downfall </c:v>
                </c:pt>
                <c:pt idx="1097">
                  <c:v>Dr. Dolittle 2 </c:v>
                </c:pt>
                <c:pt idx="1098">
                  <c:v>Dr. No </c:v>
                </c:pt>
                <c:pt idx="1099">
                  <c:v>Dr. Strangelove or: How I Learned to Stop Worrying and Love the Bomb </c:v>
                </c:pt>
                <c:pt idx="1100">
                  <c:v>Dracula 2000 </c:v>
                </c:pt>
                <c:pt idx="1101">
                  <c:v>Dracula Untold </c:v>
                </c:pt>
                <c:pt idx="1102">
                  <c:v>Dracula: Pages from a Virgin's Diary </c:v>
                </c:pt>
                <c:pt idx="1103">
                  <c:v>Draft Day </c:v>
                </c:pt>
                <c:pt idx="1104">
                  <c:v>Drag Me to Hell </c:v>
                </c:pt>
                <c:pt idx="1105">
                  <c:v>Dragon Blade </c:v>
                </c:pt>
                <c:pt idx="1106">
                  <c:v>Dragon Hunters </c:v>
                </c:pt>
                <c:pt idx="1107">
                  <c:v>Dragon Nest: Warriors' Dawn </c:v>
                </c:pt>
                <c:pt idx="1108">
                  <c:v>Dragon Wars: D-War </c:v>
                </c:pt>
                <c:pt idx="1109">
                  <c:v>Dragonball: Evolution </c:v>
                </c:pt>
                <c:pt idx="1110">
                  <c:v>Dragonfly </c:v>
                </c:pt>
                <c:pt idx="1111">
                  <c:v>DragonHeart </c:v>
                </c:pt>
                <c:pt idx="1112">
                  <c:v>Dragonslayer </c:v>
                </c:pt>
                <c:pt idx="1113">
                  <c:v>Dream House </c:v>
                </c:pt>
                <c:pt idx="1114">
                  <c:v>Dream with the Fishes </c:v>
                </c:pt>
                <c:pt idx="1115">
                  <c:v>Dreamcatcher </c:v>
                </c:pt>
                <c:pt idx="1116">
                  <c:v>Dreamer: Inspired by a True Story </c:v>
                </c:pt>
                <c:pt idx="1117">
                  <c:v>Dreamgirls </c:v>
                </c:pt>
                <c:pt idx="1118">
                  <c:v>Dreaming of Joseph Lees </c:v>
                </c:pt>
                <c:pt idx="1119">
                  <c:v>Dredd </c:v>
                </c:pt>
                <c:pt idx="1120">
                  <c:v>Dressed to Kill </c:v>
                </c:pt>
                <c:pt idx="1121">
                  <c:v>Drillbit Taylor </c:v>
                </c:pt>
                <c:pt idx="1122">
                  <c:v>Drinking Buddies </c:v>
                </c:pt>
                <c:pt idx="1123">
                  <c:v>Drive Angry </c:v>
                </c:pt>
                <c:pt idx="1124">
                  <c:v>Drive Hard </c:v>
                </c:pt>
                <c:pt idx="1125">
                  <c:v>Drive Me Crazy </c:v>
                </c:pt>
                <c:pt idx="1126">
                  <c:v>Drive </c:v>
                </c:pt>
                <c:pt idx="1127">
                  <c:v>Driven </c:v>
                </c:pt>
                <c:pt idx="1128">
                  <c:v>Driving Lessons </c:v>
                </c:pt>
                <c:pt idx="1129">
                  <c:v>Driving Miss Daisy </c:v>
                </c:pt>
                <c:pt idx="1130">
                  <c:v>Drop Dead Gorgeous </c:v>
                </c:pt>
                <c:pt idx="1131">
                  <c:v>Drowning Mona </c:v>
                </c:pt>
                <c:pt idx="1132">
                  <c:v>Drumline </c:v>
                </c:pt>
                <c:pt idx="1133">
                  <c:v>Dry Spell </c:v>
                </c:pt>
                <c:pt idx="1134">
                  <c:v>Dude, Where's My Car? </c:v>
                </c:pt>
                <c:pt idx="1135">
                  <c:v>Dude, Where's My Dog?! </c:v>
                </c:pt>
                <c:pt idx="1136">
                  <c:v>Dudley Do-Right </c:v>
                </c:pt>
                <c:pt idx="1137">
                  <c:v>Due Date </c:v>
                </c:pt>
                <c:pt idx="1138">
                  <c:v>Duel in the Sun </c:v>
                </c:pt>
                <c:pt idx="1139">
                  <c:v>Duets </c:v>
                </c:pt>
                <c:pt idx="1140">
                  <c:v>Dum Maaro Dum </c:v>
                </c:pt>
                <c:pt idx="1141">
                  <c:v>Duma </c:v>
                </c:pt>
                <c:pt idx="1142">
                  <c:v>Dumb &amp; Dumber </c:v>
                </c:pt>
                <c:pt idx="1143">
                  <c:v>Dumb and Dumber To </c:v>
                </c:pt>
                <c:pt idx="1144">
                  <c:v>Dumb and Dumberer: When Harry Met Lloyd </c:v>
                </c:pt>
                <c:pt idx="1145">
                  <c:v>Dune </c:v>
                </c:pt>
                <c:pt idx="1146">
                  <c:v>Dungeons &amp; Dragons: Wrath of the Dragon God </c:v>
                </c:pt>
                <c:pt idx="1147">
                  <c:v>Duplex </c:v>
                </c:pt>
                <c:pt idx="1148">
                  <c:v>Duplicity </c:v>
                </c:pt>
                <c:pt idx="1149">
                  <c:v>Dutch Kills </c:v>
                </c:pt>
                <c:pt idx="1150">
                  <c:v>Dwegons and Leprechauns </c:v>
                </c:pt>
                <c:pt idx="1151">
                  <c:v>Dying of the Light </c:v>
                </c:pt>
                <c:pt idx="1152">
                  <c:v>Dylan Dog: Dead of Night </c:v>
                </c:pt>
                <c:pt idx="1153">
                  <c:v>Dysfunctional Friends </c:v>
                </c:pt>
                <c:pt idx="1154">
                  <c:v>DysFunktional Family </c:v>
                </c:pt>
                <c:pt idx="1155">
                  <c:v>E.T. the Extra-Terrestrial </c:v>
                </c:pt>
                <c:pt idx="1156">
                  <c:v>Eagle Eye </c:v>
                </c:pt>
                <c:pt idx="1157">
                  <c:v>Earth to Echo </c:v>
                </c:pt>
                <c:pt idx="1158">
                  <c:v>Earth </c:v>
                </c:pt>
                <c:pt idx="1159">
                  <c:v>East Is East </c:v>
                </c:pt>
                <c:pt idx="1160">
                  <c:v>Eastern Promises </c:v>
                </c:pt>
                <c:pt idx="1161">
                  <c:v>Easy A </c:v>
                </c:pt>
                <c:pt idx="1162">
                  <c:v>Easy Money </c:v>
                </c:pt>
                <c:pt idx="1163">
                  <c:v>Easy Virtue </c:v>
                </c:pt>
                <c:pt idx="1164">
                  <c:v>Eat Pray Love </c:v>
                </c:pt>
                <c:pt idx="1165">
                  <c:v>Echo Dr. </c:v>
                </c:pt>
                <c:pt idx="1166">
                  <c:v>Ed and His Dead Mother </c:v>
                </c:pt>
                <c:pt idx="1167">
                  <c:v>Ed Wood </c:v>
                </c:pt>
                <c:pt idx="1168">
                  <c:v>Eddie the Eagle </c:v>
                </c:pt>
                <c:pt idx="1169">
                  <c:v>Eddie: The Sleepwalking Cannibal </c:v>
                </c:pt>
                <c:pt idx="1170">
                  <c:v>Eden Lake </c:v>
                </c:pt>
                <c:pt idx="1171">
                  <c:v>Eden </c:v>
                </c:pt>
                <c:pt idx="1172">
                  <c:v>Edge of Darkness </c:v>
                </c:pt>
                <c:pt idx="1173">
                  <c:v>Edge of Tomorrow </c:v>
                </c:pt>
                <c:pt idx="1174">
                  <c:v>Edmond </c:v>
                </c:pt>
                <c:pt idx="1175">
                  <c:v>Edtv </c:v>
                </c:pt>
                <c:pt idx="1176">
                  <c:v>Edward Scissorhands </c:v>
                </c:pt>
                <c:pt idx="1177">
                  <c:v>Eight Below </c:v>
                </c:pt>
                <c:pt idx="1178">
                  <c:v>Eight Legged Freaks </c:v>
                </c:pt>
                <c:pt idx="1179">
                  <c:v>El crimen del padre Amaro </c:v>
                </c:pt>
                <c:pt idx="1180">
                  <c:v>El Mariachi </c:v>
                </c:pt>
                <c:pt idx="1181">
                  <c:v>Election </c:v>
                </c:pt>
                <c:pt idx="1182">
                  <c:v>Elektra </c:v>
                </c:pt>
                <c:pt idx="1183">
                  <c:v>Elf </c:v>
                </c:pt>
                <c:pt idx="1184">
                  <c:v>Elite Squad </c:v>
                </c:pt>
                <c:pt idx="1185">
                  <c:v>Elizabeth </c:v>
                </c:pt>
                <c:pt idx="1186">
                  <c:v>Elizabeth: The Golden Age </c:v>
                </c:pt>
                <c:pt idx="1187">
                  <c:v>Elizabethtown </c:v>
                </c:pt>
                <c:pt idx="1188">
                  <c:v>Ella Enchanted </c:v>
                </c:pt>
                <c:pt idx="1189">
                  <c:v>Elling </c:v>
                </c:pt>
                <c:pt idx="1190">
                  <c:v>Elmer Gantry </c:v>
                </c:pt>
                <c:pt idx="1191">
                  <c:v>Elsa &amp; Fred </c:v>
                </c:pt>
                <c:pt idx="1192">
                  <c:v>Elysium </c:v>
                </c:pt>
                <c:pt idx="1193">
                  <c:v>Elza </c:v>
                </c:pt>
                <c:pt idx="1194">
                  <c:v>Emma </c:v>
                </c:pt>
                <c:pt idx="1195">
                  <c:v>Empire </c:v>
                </c:pt>
                <c:pt idx="1196">
                  <c:v>Employee of the Month </c:v>
                </c:pt>
                <c:pt idx="1197">
                  <c:v>Enchanted </c:v>
                </c:pt>
                <c:pt idx="1198">
                  <c:v>End of Days </c:v>
                </c:pt>
                <c:pt idx="1199">
                  <c:v>End of the Spear </c:v>
                </c:pt>
                <c:pt idx="1200">
                  <c:v>End of Watch </c:v>
                </c:pt>
                <c:pt idx="1201">
                  <c:v>Ender's Game </c:v>
                </c:pt>
                <c:pt idx="1202">
                  <c:v>Endless Love </c:v>
                </c:pt>
                <c:pt idx="1203">
                  <c:v>Enemy at the Gates </c:v>
                </c:pt>
                <c:pt idx="1204">
                  <c:v>Enemy of the State </c:v>
                </c:pt>
                <c:pt idx="1205">
                  <c:v>Enough Said </c:v>
                </c:pt>
                <c:pt idx="1206">
                  <c:v>Enough </c:v>
                </c:pt>
                <c:pt idx="1207">
                  <c:v>Enter Nowhere </c:v>
                </c:pt>
                <c:pt idx="1208">
                  <c:v>Enter the Dangerous Mind </c:v>
                </c:pt>
                <c:pt idx="1209">
                  <c:v>Enter the Void </c:v>
                </c:pt>
                <c:pt idx="1210">
                  <c:v>Entourage </c:v>
                </c:pt>
                <c:pt idx="1211">
                  <c:v>Entrapment </c:v>
                </c:pt>
                <c:pt idx="1212">
                  <c:v>Envy </c:v>
                </c:pt>
                <c:pt idx="1213">
                  <c:v>Epic Movie </c:v>
                </c:pt>
                <c:pt idx="1214">
                  <c:v>Epic </c:v>
                </c:pt>
                <c:pt idx="1215">
                  <c:v>Equilibrium </c:v>
                </c:pt>
                <c:pt idx="1216">
                  <c:v>Eragon </c:v>
                </c:pt>
                <c:pt idx="1217">
                  <c:v>Eraser </c:v>
                </c:pt>
                <c:pt idx="1218">
                  <c:v>Eraserhead </c:v>
                </c:pt>
                <c:pt idx="1219">
                  <c:v>Erin Brockovich </c:v>
                </c:pt>
                <c:pt idx="1220">
                  <c:v>Ernest &amp; Celestine </c:v>
                </c:pt>
                <c:pt idx="1221">
                  <c:v>Escape from Alcatraz </c:v>
                </c:pt>
                <c:pt idx="1222">
                  <c:v>Escape from L.A. </c:v>
                </c:pt>
                <c:pt idx="1223">
                  <c:v>Escape from New York </c:v>
                </c:pt>
                <c:pt idx="1224">
                  <c:v>Escape from Planet Earth </c:v>
                </c:pt>
                <c:pt idx="1225">
                  <c:v>Escape from the Planet of the Apes </c:v>
                </c:pt>
                <c:pt idx="1226">
                  <c:v>Escape from Tomorrow </c:v>
                </c:pt>
                <c:pt idx="1227">
                  <c:v>Escape Plan </c:v>
                </c:pt>
                <c:pt idx="1228">
                  <c:v>Escobar: Paradise Lost </c:v>
                </c:pt>
                <c:pt idx="1229">
                  <c:v>Eternal Sunshine of the Spotless Mind </c:v>
                </c:pt>
                <c:pt idx="1230">
                  <c:v>Eulogy </c:v>
                </c:pt>
                <c:pt idx="1231">
                  <c:v>Eureka </c:v>
                </c:pt>
                <c:pt idx="1232">
                  <c:v>EuroTrip </c:v>
                </c:pt>
                <c:pt idx="1233">
                  <c:v>Evan Almighty </c:v>
                </c:pt>
                <c:pt idx="1234">
                  <c:v>Event Horizon </c:v>
                </c:pt>
                <c:pt idx="1235">
                  <c:v>Ever After: A Cinderella Story </c:v>
                </c:pt>
                <c:pt idx="1236">
                  <c:v>Everest </c:v>
                </c:pt>
                <c:pt idx="1237">
                  <c:v>Everybody's Fine </c:v>
                </c:pt>
                <c:pt idx="1238">
                  <c:v>Everyone Says I Love You </c:v>
                </c:pt>
                <c:pt idx="1239">
                  <c:v>Everything Must Go </c:v>
                </c:pt>
                <c:pt idx="1240">
                  <c:v>Everything Put Together </c:v>
                </c:pt>
                <c:pt idx="1241">
                  <c:v>Everything You Always Wanted to Know About Sex * But Were Afraid to Ask </c:v>
                </c:pt>
                <c:pt idx="1242">
                  <c:v>Eve's Bayou </c:v>
                </c:pt>
                <c:pt idx="1243">
                  <c:v>Evil Dead II </c:v>
                </c:pt>
                <c:pt idx="1244">
                  <c:v>Evil Dead </c:v>
                </c:pt>
                <c:pt idx="1245">
                  <c:v>Evita </c:v>
                </c:pt>
                <c:pt idx="1246">
                  <c:v>Evolution </c:v>
                </c:pt>
                <c:pt idx="1247">
                  <c:v>Ex Machina </c:v>
                </c:pt>
                <c:pt idx="1248">
                  <c:v>Exam </c:v>
                </c:pt>
                <c:pt idx="1249">
                  <c:v>Excessive Force </c:v>
                </c:pt>
                <c:pt idx="1250">
                  <c:v>Executive Decision </c:v>
                </c:pt>
                <c:pt idx="1251">
                  <c:v>Exeter </c:v>
                </c:pt>
                <c:pt idx="1252">
                  <c:v>Exiled </c:v>
                </c:pt>
                <c:pt idx="1253">
                  <c:v>eXistenZ </c:v>
                </c:pt>
                <c:pt idx="1254">
                  <c:v>Exit Wounds </c:v>
                </c:pt>
                <c:pt idx="1255">
                  <c:v>Exodus: Gods and Kings </c:v>
                </c:pt>
                <c:pt idx="1256">
                  <c:v>Exorcist II: The Heretic </c:v>
                </c:pt>
                <c:pt idx="1257">
                  <c:v>Exorcist: The Beginning </c:v>
                </c:pt>
                <c:pt idx="1258">
                  <c:v>Exotica </c:v>
                </c:pt>
                <c:pt idx="1259">
                  <c:v>Extract </c:v>
                </c:pt>
                <c:pt idx="1260">
                  <c:v>Extraordinary Measures </c:v>
                </c:pt>
                <c:pt idx="1261">
                  <c:v>Extreme Measures </c:v>
                </c:pt>
                <c:pt idx="1262">
                  <c:v>Extreme Movie </c:v>
                </c:pt>
                <c:pt idx="1263">
                  <c:v>Extreme Ops </c:v>
                </c:pt>
                <c:pt idx="1264">
                  <c:v>Extremely Loud &amp; Incredibly Close </c:v>
                </c:pt>
                <c:pt idx="1265">
                  <c:v>Eye for an Eye </c:v>
                </c:pt>
                <c:pt idx="1266">
                  <c:v>Eye of the Beholder </c:v>
                </c:pt>
                <c:pt idx="1267">
                  <c:v>Eye of the Dolphin </c:v>
                </c:pt>
                <c:pt idx="1268">
                  <c:v>Eye See You </c:v>
                </c:pt>
                <c:pt idx="1269">
                  <c:v>Eyes Wide Shut </c:v>
                </c:pt>
                <c:pt idx="1270">
                  <c:v>F.I.S.T. </c:v>
                </c:pt>
                <c:pt idx="1271">
                  <c:v>Fabled </c:v>
                </c:pt>
                <c:pt idx="1272">
                  <c:v>Face/Off </c:v>
                </c:pt>
                <c:pt idx="1273">
                  <c:v>Facing the Giants </c:v>
                </c:pt>
                <c:pt idx="1274">
                  <c:v>Factory Girl </c:v>
                </c:pt>
                <c:pt idx="1275">
                  <c:v>Fahrenheit 9/11 </c:v>
                </c:pt>
                <c:pt idx="1276">
                  <c:v>Failure to Launch </c:v>
                </c:pt>
                <c:pt idx="1277">
                  <c:v>Fair Game </c:v>
                </c:pt>
                <c:pt idx="1278">
                  <c:v>Faith Connections </c:v>
                </c:pt>
                <c:pt idx="1279">
                  <c:v>Faith Like Potatoes </c:v>
                </c:pt>
                <c:pt idx="1280">
                  <c:v>Faithful </c:v>
                </c:pt>
                <c:pt idx="1281">
                  <c:v>Falcon Rising </c:v>
                </c:pt>
                <c:pt idx="1282">
                  <c:v>Fame </c:v>
                </c:pt>
                <c:pt idx="1283">
                  <c:v>Family Plot </c:v>
                </c:pt>
                <c:pt idx="1284">
                  <c:v>Fantasia 2000 </c:v>
                </c:pt>
                <c:pt idx="1285">
                  <c:v>Fantasia </c:v>
                </c:pt>
                <c:pt idx="1286">
                  <c:v>Fantastic 4: Rise of the Silver Surfer </c:v>
                </c:pt>
                <c:pt idx="1287">
                  <c:v>Fantastic Four </c:v>
                </c:pt>
                <c:pt idx="1288">
                  <c:v>Fantastic Mr. Fox </c:v>
                </c:pt>
                <c:pt idx="1289">
                  <c:v>Far from Heaven </c:v>
                </c:pt>
                <c:pt idx="1290">
                  <c:v>Far from Men </c:v>
                </c:pt>
                <c:pt idx="1291">
                  <c:v>Farce of the Penguins </c:v>
                </c:pt>
                <c:pt idx="1292">
                  <c:v>Fargo </c:v>
                </c:pt>
                <c:pt idx="1293">
                  <c:v>Fascination </c:v>
                </c:pt>
                <c:pt idx="1294">
                  <c:v>Fast Five </c:v>
                </c:pt>
                <c:pt idx="1295">
                  <c:v>Fast Times at Ridgemont High </c:v>
                </c:pt>
                <c:pt idx="1296">
                  <c:v>Faster </c:v>
                </c:pt>
                <c:pt idx="1297">
                  <c:v>Fat Albert </c:v>
                </c:pt>
                <c:pt idx="1298">
                  <c:v>Fat, Sick &amp; Nearly Dead </c:v>
                </c:pt>
                <c:pt idx="1299">
                  <c:v>Fatal Attraction </c:v>
                </c:pt>
                <c:pt idx="1300">
                  <c:v>Fateless </c:v>
                </c:pt>
                <c:pt idx="1301">
                  <c:v>Fear and Loathing in Las Vegas </c:v>
                </c:pt>
                <c:pt idx="1302">
                  <c:v>Fear Clinic </c:v>
                </c:pt>
                <c:pt idx="1303">
                  <c:v>Feardotcom </c:v>
                </c:pt>
                <c:pt idx="1304">
                  <c:v>Feast </c:v>
                </c:pt>
                <c:pt idx="1305">
                  <c:v>Felicia's Journey </c:v>
                </c:pt>
                <c:pt idx="1306">
                  <c:v>Femme Fatale </c:v>
                </c:pt>
                <c:pt idx="1307">
                  <c:v>Fetching Cody </c:v>
                </c:pt>
                <c:pt idx="1308">
                  <c:v>Fever Pitch </c:v>
                </c:pt>
                <c:pt idx="1309">
                  <c:v>Fiddler on the Roof </c:v>
                </c:pt>
                <c:pt idx="1310">
                  <c:v>Fido </c:v>
                </c:pt>
                <c:pt idx="1311">
                  <c:v>Fifty Dead Men Walking </c:v>
                </c:pt>
                <c:pt idx="1312">
                  <c:v>Fifty Shades of Black </c:v>
                </c:pt>
                <c:pt idx="1313">
                  <c:v>Fifty Shades of Grey </c:v>
                </c:pt>
                <c:pt idx="1314">
                  <c:v>Fight Club </c:v>
                </c:pt>
                <c:pt idx="1315">
                  <c:v>Fight to the Finish </c:v>
                </c:pt>
                <c:pt idx="1316">
                  <c:v>Fight Valley </c:v>
                </c:pt>
                <c:pt idx="1317">
                  <c:v>Fighting Tommy Riley </c:v>
                </c:pt>
                <c:pt idx="1318">
                  <c:v>Filly Brown </c:v>
                </c:pt>
                <c:pt idx="1319">
                  <c:v>Final Destination 2 </c:v>
                </c:pt>
                <c:pt idx="1320">
                  <c:v>Final Destination 3 </c:v>
                </c:pt>
                <c:pt idx="1321">
                  <c:v>Final Destination 5 </c:v>
                </c:pt>
                <c:pt idx="1322">
                  <c:v>Final Destination </c:v>
                </c:pt>
                <c:pt idx="1323">
                  <c:v>Final Fantasy: The Spirits Within </c:v>
                </c:pt>
                <c:pt idx="1324">
                  <c:v>Find Me Guilty </c:v>
                </c:pt>
                <c:pt idx="1325">
                  <c:v>Finding Forrester </c:v>
                </c:pt>
                <c:pt idx="1326">
                  <c:v>Finding Nemo </c:v>
                </c:pt>
                <c:pt idx="1327">
                  <c:v>Finding Neverland </c:v>
                </c:pt>
                <c:pt idx="1328">
                  <c:v>Finishing the Game: The Search for a New Bruce Lee </c:v>
                </c:pt>
                <c:pt idx="1329">
                  <c:v>Fired Up </c:v>
                </c:pt>
                <c:pt idx="1330">
                  <c:v>Firefox </c:v>
                </c:pt>
                <c:pt idx="1331">
                  <c:v>Fireproof </c:v>
                </c:pt>
                <c:pt idx="1332">
                  <c:v>Firestarter </c:v>
                </c:pt>
                <c:pt idx="1333">
                  <c:v>Firestorm </c:v>
                </c:pt>
                <c:pt idx="1334">
                  <c:v>Firewall </c:v>
                </c:pt>
                <c:pt idx="1335">
                  <c:v>First Blood </c:v>
                </c:pt>
                <c:pt idx="1336">
                  <c:v>First Knight </c:v>
                </c:pt>
                <c:pt idx="1337">
                  <c:v>First Love, Last Rites </c:v>
                </c:pt>
                <c:pt idx="1338">
                  <c:v>Fish Tank </c:v>
                </c:pt>
                <c:pt idx="1339">
                  <c:v>Fiza </c:v>
                </c:pt>
                <c:pt idx="1340">
                  <c:v>Flags of Our Fathers </c:v>
                </c:pt>
                <c:pt idx="1341">
                  <c:v>Flame and Citron </c:v>
                </c:pt>
                <c:pt idx="1342">
                  <c:v>Flash Gordon </c:v>
                </c:pt>
                <c:pt idx="1343">
                  <c:v>Flash of Genius </c:v>
                </c:pt>
                <c:pt idx="1344">
                  <c:v>Flashdance </c:v>
                </c:pt>
                <c:pt idx="1345">
                  <c:v>Flatliners </c:v>
                </c:pt>
                <c:pt idx="1346">
                  <c:v>Flawless </c:v>
                </c:pt>
                <c:pt idx="1347">
                  <c:v>Fled </c:v>
                </c:pt>
                <c:pt idx="1348">
                  <c:v>Flicka </c:v>
                </c:pt>
                <c:pt idx="1349">
                  <c:v>Flight of the Intruder </c:v>
                </c:pt>
                <c:pt idx="1350">
                  <c:v>Flight of the Phoenix </c:v>
                </c:pt>
                <c:pt idx="1351">
                  <c:v>Flight </c:v>
                </c:pt>
                <c:pt idx="1352">
                  <c:v>Flightplan </c:v>
                </c:pt>
                <c:pt idx="1353">
                  <c:v>Flipped </c:v>
                </c:pt>
                <c:pt idx="1354">
                  <c:v>Flipper </c:v>
                </c:pt>
                <c:pt idx="1355">
                  <c:v>Flirting with Disaster </c:v>
                </c:pt>
                <c:pt idx="1356">
                  <c:v>Florence Foster Jenkins </c:v>
                </c:pt>
                <c:pt idx="1357">
                  <c:v>Flubber </c:v>
                </c:pt>
                <c:pt idx="1358">
                  <c:v>Flushed Away </c:v>
                </c:pt>
                <c:pt idx="1359">
                  <c:v>Flyboys </c:v>
                </c:pt>
                <c:pt idx="1360">
                  <c:v>Flying By </c:v>
                </c:pt>
                <c:pt idx="1361">
                  <c:v>Flywheel </c:v>
                </c:pt>
                <c:pt idx="1362">
                  <c:v>Focus </c:v>
                </c:pt>
                <c:pt idx="1363">
                  <c:v>Food Chains </c:v>
                </c:pt>
                <c:pt idx="1364">
                  <c:v>Food, Inc. </c:v>
                </c:pt>
                <c:pt idx="1365">
                  <c:v>Foodfight! </c:v>
                </c:pt>
                <c:pt idx="1366">
                  <c:v>Foolish </c:v>
                </c:pt>
                <c:pt idx="1367">
                  <c:v>Fool's Gold </c:v>
                </c:pt>
                <c:pt idx="1368">
                  <c:v>Footloose </c:v>
                </c:pt>
                <c:pt idx="1369">
                  <c:v>For a Good Time, Call... </c:v>
                </c:pt>
                <c:pt idx="1370">
                  <c:v>For Colored Girls </c:v>
                </c:pt>
                <c:pt idx="1371">
                  <c:v>For Greater Glory: The True Story of Cristiada </c:v>
                </c:pt>
                <c:pt idx="1372">
                  <c:v>For Love of the Game </c:v>
                </c:pt>
                <c:pt idx="1373">
                  <c:v>For Your Consideration </c:v>
                </c:pt>
                <c:pt idx="1374">
                  <c:v>For Your Eyes Only </c:v>
                </c:pt>
                <c:pt idx="1375">
                  <c:v>Force 10 from Navarone </c:v>
                </c:pt>
                <c:pt idx="1376">
                  <c:v>Forget Me Not </c:v>
                </c:pt>
                <c:pt idx="1377">
                  <c:v>Forgetting Sarah Marshall </c:v>
                </c:pt>
                <c:pt idx="1378">
                  <c:v>Formula 51 </c:v>
                </c:pt>
                <c:pt idx="1379">
                  <c:v>Forrest Gump </c:v>
                </c:pt>
                <c:pt idx="1380">
                  <c:v>Forsaken </c:v>
                </c:pt>
                <c:pt idx="1381">
                  <c:v>Fort McCoy </c:v>
                </c:pt>
                <c:pt idx="1382">
                  <c:v>Fortress </c:v>
                </c:pt>
                <c:pt idx="1383">
                  <c:v>Forty Shades of Blue </c:v>
                </c:pt>
                <c:pt idx="1384">
                  <c:v>Four Brothers </c:v>
                </c:pt>
                <c:pt idx="1385">
                  <c:v>Four Christmases </c:v>
                </c:pt>
                <c:pt idx="1386">
                  <c:v>Four Lions </c:v>
                </c:pt>
                <c:pt idx="1387">
                  <c:v>Four Rooms </c:v>
                </c:pt>
                <c:pt idx="1388">
                  <c:v>Four Single Fathers </c:v>
                </c:pt>
                <c:pt idx="1389">
                  <c:v>Four Weddings and a Funeral </c:v>
                </c:pt>
                <c:pt idx="1390">
                  <c:v>Frailty </c:v>
                </c:pt>
                <c:pt idx="1391">
                  <c:v>Frances Ha </c:v>
                </c:pt>
                <c:pt idx="1392">
                  <c:v>Frankenweenie </c:v>
                </c:pt>
                <c:pt idx="1393">
                  <c:v>Frat Party </c:v>
                </c:pt>
                <c:pt idx="1394">
                  <c:v>Freakonomics </c:v>
                </c:pt>
                <c:pt idx="1395">
                  <c:v>Freaky Deaky </c:v>
                </c:pt>
                <c:pt idx="1396">
                  <c:v>Freaky Friday </c:v>
                </c:pt>
                <c:pt idx="1397">
                  <c:v>Freddy Got Fingered </c:v>
                </c:pt>
                <c:pt idx="1398">
                  <c:v>Freddy vs. Jason </c:v>
                </c:pt>
                <c:pt idx="1399">
                  <c:v>Freddy's Dead: The Final Nightmare </c:v>
                </c:pt>
                <c:pt idx="1400">
                  <c:v>Free Birds </c:v>
                </c:pt>
                <c:pt idx="1401">
                  <c:v>Free State of Jones </c:v>
                </c:pt>
                <c:pt idx="1402">
                  <c:v>Free Style </c:v>
                </c:pt>
                <c:pt idx="1403">
                  <c:v>Freedom Writers </c:v>
                </c:pt>
                <c:pt idx="1404">
                  <c:v>Freedom </c:v>
                </c:pt>
                <c:pt idx="1405">
                  <c:v>Freeheld </c:v>
                </c:pt>
                <c:pt idx="1406">
                  <c:v>Freeway </c:v>
                </c:pt>
                <c:pt idx="1407">
                  <c:v>Freeze Frame </c:v>
                </c:pt>
                <c:pt idx="1408">
                  <c:v>Frenzy </c:v>
                </c:pt>
                <c:pt idx="1409">
                  <c:v>Frequency </c:v>
                </c:pt>
                <c:pt idx="1410">
                  <c:v>Frida </c:v>
                </c:pt>
                <c:pt idx="1411">
                  <c:v>Friday After Next </c:v>
                </c:pt>
                <c:pt idx="1412">
                  <c:v>Friday Night Lights </c:v>
                </c:pt>
                <c:pt idx="1413">
                  <c:v>Friday the 13th Part 2 </c:v>
                </c:pt>
                <c:pt idx="1414">
                  <c:v>Friday the 13th Part III </c:v>
                </c:pt>
                <c:pt idx="1415">
                  <c:v>Friday the 13th Part VII: The New Blood </c:v>
                </c:pt>
                <c:pt idx="1416">
                  <c:v>Friday the 13th Part VIII: Jason Takes Manhattan </c:v>
                </c:pt>
                <c:pt idx="1417">
                  <c:v>Friday the 13th: A New Beginning </c:v>
                </c:pt>
                <c:pt idx="1418">
                  <c:v>Friday the 13th: The Final Chapter </c:v>
                </c:pt>
                <c:pt idx="1419">
                  <c:v>Friday </c:v>
                </c:pt>
                <c:pt idx="1420">
                  <c:v>Friends with Benefits </c:v>
                </c:pt>
                <c:pt idx="1421">
                  <c:v>Friends with Money </c:v>
                </c:pt>
                <c:pt idx="1422">
                  <c:v>Fright Night </c:v>
                </c:pt>
                <c:pt idx="1423">
                  <c:v>From a Whisper to a Scream </c:v>
                </c:pt>
                <c:pt idx="1424">
                  <c:v>From Dusk Till Dawn </c:v>
                </c:pt>
                <c:pt idx="1425">
                  <c:v>From Hell </c:v>
                </c:pt>
                <c:pt idx="1426">
                  <c:v>From Here to Eternity </c:v>
                </c:pt>
                <c:pt idx="1427">
                  <c:v>From Justin to Kelly </c:v>
                </c:pt>
                <c:pt idx="1428">
                  <c:v>From Paris with Love </c:v>
                </c:pt>
                <c:pt idx="1429">
                  <c:v>From Russia with Love </c:v>
                </c:pt>
                <c:pt idx="1430">
                  <c:v>Frost/Nixon </c:v>
                </c:pt>
                <c:pt idx="1431">
                  <c:v>Frozen River </c:v>
                </c:pt>
                <c:pt idx="1432">
                  <c:v>Frozen </c:v>
                </c:pt>
                <c:pt idx="1433">
                  <c:v>Fruitvale Station </c:v>
                </c:pt>
                <c:pt idx="1434">
                  <c:v>Fuel </c:v>
                </c:pt>
                <c:pt idx="1435">
                  <c:v>Fugly </c:v>
                </c:pt>
                <c:pt idx="1436">
                  <c:v>Full Frontal </c:v>
                </c:pt>
                <c:pt idx="1437">
                  <c:v>Fun Size </c:v>
                </c:pt>
                <c:pt idx="1438">
                  <c:v>Fun with Dick and Jane </c:v>
                </c:pt>
                <c:pt idx="1439">
                  <c:v>Funny Games </c:v>
                </c:pt>
                <c:pt idx="1440">
                  <c:v>Funny Ha Ha </c:v>
                </c:pt>
                <c:pt idx="1441">
                  <c:v>Funny People </c:v>
                </c:pt>
                <c:pt idx="1442">
                  <c:v>Fur: An Imaginary Portrait of Diane Arbus </c:v>
                </c:pt>
                <c:pt idx="1443">
                  <c:v>Furious 7 </c:v>
                </c:pt>
                <c:pt idx="1444">
                  <c:v>Furry Vengeance </c:v>
                </c:pt>
                <c:pt idx="1445">
                  <c:v>Fury </c:v>
                </c:pt>
                <c:pt idx="1446">
                  <c:v>Futuro Beach </c:v>
                </c:pt>
                <c:pt idx="1447">
                  <c:v>G.I. Jane </c:v>
                </c:pt>
                <c:pt idx="1448">
                  <c:v>G.I. Joe: Retaliation </c:v>
                </c:pt>
                <c:pt idx="1449">
                  <c:v>G.I. Joe: The Rise of Cobra </c:v>
                </c:pt>
                <c:pt idx="1450">
                  <c:v>Gabriela </c:v>
                </c:pt>
                <c:pt idx="1451">
                  <c:v>Galaxina </c:v>
                </c:pt>
                <c:pt idx="1452">
                  <c:v>Galaxy Quest </c:v>
                </c:pt>
                <c:pt idx="1453">
                  <c:v>Gamer </c:v>
                </c:pt>
                <c:pt idx="1454">
                  <c:v>Gandhi </c:v>
                </c:pt>
                <c:pt idx="1455">
                  <c:v>Gandhi, My Father </c:v>
                </c:pt>
                <c:pt idx="1456">
                  <c:v>Gangs of New York </c:v>
                </c:pt>
                <c:pt idx="1457">
                  <c:v>Gangster Squad </c:v>
                </c:pt>
                <c:pt idx="1458">
                  <c:v>Gangster's Paradise: Jerusalema </c:v>
                </c:pt>
                <c:pt idx="1459">
                  <c:v>Garden State </c:v>
                </c:pt>
                <c:pt idx="1460">
                  <c:v>Garfield 2 </c:v>
                </c:pt>
                <c:pt idx="1461">
                  <c:v>Garfield </c:v>
                </c:pt>
                <c:pt idx="1462">
                  <c:v>Gattaca </c:v>
                </c:pt>
                <c:pt idx="1463">
                  <c:v>Gentleman's Agreement </c:v>
                </c:pt>
                <c:pt idx="1464">
                  <c:v>Gentlemen Broncos </c:v>
                </c:pt>
                <c:pt idx="1465">
                  <c:v>George and the Dragon </c:v>
                </c:pt>
                <c:pt idx="1466">
                  <c:v>George of the Jungle </c:v>
                </c:pt>
                <c:pt idx="1467">
                  <c:v>George Washington </c:v>
                </c:pt>
                <c:pt idx="1468">
                  <c:v>Georgia Rule </c:v>
                </c:pt>
                <c:pt idx="1469">
                  <c:v>Gerry </c:v>
                </c:pt>
                <c:pt idx="1470">
                  <c:v>Get Carter </c:v>
                </c:pt>
                <c:pt idx="1471">
                  <c:v>Get Hard </c:v>
                </c:pt>
                <c:pt idx="1472">
                  <c:v>Get Him to the Greek </c:v>
                </c:pt>
                <c:pt idx="1473">
                  <c:v>Get Low </c:v>
                </c:pt>
                <c:pt idx="1474">
                  <c:v>Get on the Bus </c:v>
                </c:pt>
                <c:pt idx="1475">
                  <c:v>Get on Up </c:v>
                </c:pt>
                <c:pt idx="1476">
                  <c:v>Get Over It </c:v>
                </c:pt>
                <c:pt idx="1477">
                  <c:v>Get Real </c:v>
                </c:pt>
                <c:pt idx="1478">
                  <c:v>Get Rich or Die Tryin' </c:v>
                </c:pt>
                <c:pt idx="1479">
                  <c:v>Get Shorty </c:v>
                </c:pt>
                <c:pt idx="1480">
                  <c:v>Get Smart </c:v>
                </c:pt>
                <c:pt idx="1481">
                  <c:v>Getaway </c:v>
                </c:pt>
                <c:pt idx="1482">
                  <c:v>Gettysburg </c:v>
                </c:pt>
                <c:pt idx="1483">
                  <c:v>G-Force </c:v>
                </c:pt>
                <c:pt idx="1484">
                  <c:v>Ghost Dog: The Way of the Samurai </c:v>
                </c:pt>
                <c:pt idx="1485">
                  <c:v>Ghost Hunters </c:v>
                </c:pt>
                <c:pt idx="1486">
                  <c:v>Ghost Rider </c:v>
                </c:pt>
                <c:pt idx="1487">
                  <c:v>Ghost Rider: Spirit of Vengeance </c:v>
                </c:pt>
                <c:pt idx="1488">
                  <c:v>Ghost Ship </c:v>
                </c:pt>
                <c:pt idx="1489">
                  <c:v>Ghost Town </c:v>
                </c:pt>
                <c:pt idx="1490">
                  <c:v>Ghost World </c:v>
                </c:pt>
                <c:pt idx="1491">
                  <c:v>Ghost </c:v>
                </c:pt>
                <c:pt idx="1492">
                  <c:v>Ghostbusters </c:v>
                </c:pt>
                <c:pt idx="1493">
                  <c:v>Ghosts of Mars </c:v>
                </c:pt>
                <c:pt idx="1494">
                  <c:v>Ghosts of Mississippi </c:v>
                </c:pt>
                <c:pt idx="1495">
                  <c:v>Gigli </c:v>
                </c:pt>
                <c:pt idx="1496">
                  <c:v>Girl 6 </c:v>
                </c:pt>
                <c:pt idx="1497">
                  <c:v>Girl House </c:v>
                </c:pt>
                <c:pt idx="1498">
                  <c:v>Girl with a Pearl Earring </c:v>
                </c:pt>
                <c:pt idx="1499">
                  <c:v>Girl, Interrupted </c:v>
                </c:pt>
                <c:pt idx="1500">
                  <c:v>Girls Gone Dead </c:v>
                </c:pt>
                <c:pt idx="1501">
                  <c:v>Give Me Shelter </c:v>
                </c:pt>
                <c:pt idx="1502">
                  <c:v>Gladiator </c:v>
                </c:pt>
                <c:pt idx="1503">
                  <c:v>Glee: The 3D Concert Movie </c:v>
                </c:pt>
                <c:pt idx="1504">
                  <c:v>Glengarry Glen Ross </c:v>
                </c:pt>
                <c:pt idx="1505">
                  <c:v>Glitter </c:v>
                </c:pt>
                <c:pt idx="1506">
                  <c:v>Glory Road </c:v>
                </c:pt>
                <c:pt idx="1507">
                  <c:v>Glory </c:v>
                </c:pt>
                <c:pt idx="1508">
                  <c:v>Go for It! </c:v>
                </c:pt>
                <c:pt idx="1509">
                  <c:v>Go </c:v>
                </c:pt>
                <c:pt idx="1510">
                  <c:v>Goal! The Dream Begins </c:v>
                </c:pt>
                <c:pt idx="1511">
                  <c:v>Goddess of Love </c:v>
                </c:pt>
                <c:pt idx="1512">
                  <c:v>Gods and Generals </c:v>
                </c:pt>
                <c:pt idx="1513">
                  <c:v>Gods and Monsters </c:v>
                </c:pt>
                <c:pt idx="1514">
                  <c:v>God's Not Dead 2 </c:v>
                </c:pt>
                <c:pt idx="1515">
                  <c:v>Gods of Egypt </c:v>
                </c:pt>
                <c:pt idx="1516">
                  <c:v>Godsend </c:v>
                </c:pt>
                <c:pt idx="1517">
                  <c:v>Godzilla 2000 </c:v>
                </c:pt>
                <c:pt idx="1518">
                  <c:v>Godzilla Resurgence </c:v>
                </c:pt>
                <c:pt idx="1519">
                  <c:v>Going the Distance </c:v>
                </c:pt>
                <c:pt idx="1520">
                  <c:v>GoldenEye </c:v>
                </c:pt>
                <c:pt idx="1521">
                  <c:v>Goldfinger </c:v>
                </c:pt>
                <c:pt idx="1522">
                  <c:v>Gomorrah </c:v>
                </c:pt>
                <c:pt idx="1523">
                  <c:v>Gone Girl </c:v>
                </c:pt>
                <c:pt idx="1524">
                  <c:v>Gone in Sixty Seconds </c:v>
                </c:pt>
                <c:pt idx="1525">
                  <c:v>Gone with the Wind </c:v>
                </c:pt>
                <c:pt idx="1526">
                  <c:v>Gone, Baby, Gone             </c:v>
                </c:pt>
                <c:pt idx="1527">
                  <c:v>Good Boy! </c:v>
                </c:pt>
                <c:pt idx="1528">
                  <c:v>Good Bye Lenin! </c:v>
                </c:pt>
                <c:pt idx="1529">
                  <c:v>Good Deeds </c:v>
                </c:pt>
                <c:pt idx="1530">
                  <c:v>Good Dick </c:v>
                </c:pt>
                <c:pt idx="1531">
                  <c:v>Good Intentions </c:v>
                </c:pt>
                <c:pt idx="1532">
                  <c:v>Good Kill </c:v>
                </c:pt>
                <c:pt idx="1533">
                  <c:v>Good Luck Chuck </c:v>
                </c:pt>
                <c:pt idx="1534">
                  <c:v>Good Morning, Vietnam </c:v>
                </c:pt>
                <c:pt idx="1535">
                  <c:v>Good Night, and Good Luck. </c:v>
                </c:pt>
                <c:pt idx="1536">
                  <c:v>Good Will Hunting </c:v>
                </c:pt>
                <c:pt idx="1537">
                  <c:v>Good </c:v>
                </c:pt>
                <c:pt idx="1538">
                  <c:v>Goodfellas </c:v>
                </c:pt>
                <c:pt idx="1539">
                  <c:v>Goosebumps </c:v>
                </c:pt>
                <c:pt idx="1540">
                  <c:v>Gory Gory Hallelujah </c:v>
                </c:pt>
                <c:pt idx="1541">
                  <c:v>Gosford Park </c:v>
                </c:pt>
                <c:pt idx="1542">
                  <c:v>Gossip </c:v>
                </c:pt>
                <c:pt idx="1543">
                  <c:v>Gothika </c:v>
                </c:pt>
                <c:pt idx="1544">
                  <c:v>Grabbers </c:v>
                </c:pt>
                <c:pt idx="1545">
                  <c:v>Grace of Monaco </c:v>
                </c:pt>
                <c:pt idx="1546">
                  <c:v>Grace Unplugged </c:v>
                </c:pt>
                <c:pt idx="1547">
                  <c:v>Gracie </c:v>
                </c:pt>
                <c:pt idx="1548">
                  <c:v>Graduation Day </c:v>
                </c:pt>
                <c:pt idx="1549">
                  <c:v>Gran Torino </c:v>
                </c:pt>
                <c:pt idx="1550">
                  <c:v>Grand Theft Parsons </c:v>
                </c:pt>
                <c:pt idx="1551">
                  <c:v>Grandma's Boy </c:v>
                </c:pt>
                <c:pt idx="1552">
                  <c:v>Grave Encounters </c:v>
                </c:pt>
                <c:pt idx="1553">
                  <c:v>Gravity </c:v>
                </c:pt>
                <c:pt idx="1554">
                  <c:v>Grease </c:v>
                </c:pt>
                <c:pt idx="1555">
                  <c:v>Green Lantern </c:v>
                </c:pt>
                <c:pt idx="1556">
                  <c:v>Green Room </c:v>
                </c:pt>
                <c:pt idx="1557">
                  <c:v>Green Street 3: Never Back Down </c:v>
                </c:pt>
                <c:pt idx="1558">
                  <c:v>Green Zone </c:v>
                </c:pt>
                <c:pt idx="1559">
                  <c:v>Gremlins 2: The New Batch </c:v>
                </c:pt>
                <c:pt idx="1560">
                  <c:v>Gremlins </c:v>
                </c:pt>
                <c:pt idx="1561">
                  <c:v>Gridiron Gang </c:v>
                </c:pt>
                <c:pt idx="1562">
                  <c:v>Griff the Invisible </c:v>
                </c:pt>
                <c:pt idx="1563">
                  <c:v>Grindhouse </c:v>
                </c:pt>
                <c:pt idx="1564">
                  <c:v>Groove </c:v>
                </c:pt>
                <c:pt idx="1565">
                  <c:v>Grosse Pointe Blank </c:v>
                </c:pt>
                <c:pt idx="1566">
                  <c:v>Groundhog Day </c:v>
                </c:pt>
                <c:pt idx="1567">
                  <c:v>Growing Up Smith </c:v>
                </c:pt>
                <c:pt idx="1568">
                  <c:v>Grown Ups 2 </c:v>
                </c:pt>
                <c:pt idx="1569">
                  <c:v>Grown Ups </c:v>
                </c:pt>
                <c:pt idx="1570">
                  <c:v>Grudge Match </c:v>
                </c:pt>
                <c:pt idx="1571">
                  <c:v>Guardians of the Galaxy </c:v>
                </c:pt>
                <c:pt idx="1572">
                  <c:v>Guess Who </c:v>
                </c:pt>
                <c:pt idx="1573">
                  <c:v>Guiana 1838 </c:v>
                </c:pt>
                <c:pt idx="1574">
                  <c:v>Gulliver's Travels </c:v>
                </c:pt>
                <c:pt idx="1575">
                  <c:v>Gun Shy </c:v>
                </c:pt>
                <c:pt idx="1576">
                  <c:v>Gunless </c:v>
                </c:pt>
                <c:pt idx="1577">
                  <c:v>H. </c:v>
                </c:pt>
                <c:pt idx="1578">
                  <c:v>Hachi: A Dog's Tale </c:v>
                </c:pt>
                <c:pt idx="1579">
                  <c:v>Hackers </c:v>
                </c:pt>
                <c:pt idx="1580">
                  <c:v>Hail, Caesar! </c:v>
                </c:pt>
                <c:pt idx="1581">
                  <c:v>Hairspray </c:v>
                </c:pt>
                <c:pt idx="1582">
                  <c:v>Half Baked </c:v>
                </c:pt>
                <c:pt idx="1583">
                  <c:v>Half Nelson </c:v>
                </c:pt>
                <c:pt idx="1584">
                  <c:v>Half Past Dead </c:v>
                </c:pt>
                <c:pt idx="1585">
                  <c:v>Hall Pass </c:v>
                </c:pt>
                <c:pt idx="1586">
                  <c:v>Halloween 4: The Return of Michael Myers </c:v>
                </c:pt>
                <c:pt idx="1587">
                  <c:v>Halloween 5 </c:v>
                </c:pt>
                <c:pt idx="1588">
                  <c:v>Halloween II </c:v>
                </c:pt>
                <c:pt idx="1589">
                  <c:v>Halloween III: Season of the Witch </c:v>
                </c:pt>
                <c:pt idx="1590">
                  <c:v>Halloween </c:v>
                </c:pt>
                <c:pt idx="1591">
                  <c:v>Halloween: Resurrection </c:v>
                </c:pt>
                <c:pt idx="1592">
                  <c:v>Halloween: The Curse of Michael Myers </c:v>
                </c:pt>
                <c:pt idx="1593">
                  <c:v>Hamlet 2 </c:v>
                </c:pt>
                <c:pt idx="1594">
                  <c:v>Hamlet </c:v>
                </c:pt>
                <c:pt idx="1595">
                  <c:v>Hancock </c:v>
                </c:pt>
                <c:pt idx="1596">
                  <c:v>Hands of Stone </c:v>
                </c:pt>
                <c:pt idx="1597">
                  <c:v>Hang 'Em High </c:v>
                </c:pt>
                <c:pt idx="1598">
                  <c:v>Hanging Up </c:v>
                </c:pt>
                <c:pt idx="1599">
                  <c:v>Hanna </c:v>
                </c:pt>
                <c:pt idx="1600">
                  <c:v>Hannah Montana: The Movie </c:v>
                </c:pt>
                <c:pt idx="1601">
                  <c:v>Hannibal Rising </c:v>
                </c:pt>
                <c:pt idx="1602">
                  <c:v>Hannibal </c:v>
                </c:pt>
                <c:pt idx="1603">
                  <c:v>Hansel &amp; Gretel Get Baked </c:v>
                </c:pt>
                <c:pt idx="1604">
                  <c:v>Hansel &amp; Gretel: Witch Hunters </c:v>
                </c:pt>
                <c:pt idx="1605">
                  <c:v>Happily N'Ever After </c:v>
                </c:pt>
                <c:pt idx="1606">
                  <c:v>Happiness </c:v>
                </c:pt>
                <c:pt idx="1607">
                  <c:v>Happy Christmas </c:v>
                </c:pt>
                <c:pt idx="1608">
                  <c:v>Happy Feet 2 </c:v>
                </c:pt>
                <c:pt idx="1609">
                  <c:v>Happy Feet </c:v>
                </c:pt>
                <c:pt idx="1610">
                  <c:v>Happy Gilmore </c:v>
                </c:pt>
                <c:pt idx="1611">
                  <c:v>Happy Valley </c:v>
                </c:pt>
                <c:pt idx="1612">
                  <c:v>Happy, Texas </c:v>
                </c:pt>
                <c:pt idx="1613">
                  <c:v>Hard Candy </c:v>
                </c:pt>
                <c:pt idx="1614">
                  <c:v>Hard Rain </c:v>
                </c:pt>
                <c:pt idx="1615">
                  <c:v>Hard to Be a God </c:v>
                </c:pt>
                <c:pt idx="1616">
                  <c:v>Hardball </c:v>
                </c:pt>
                <c:pt idx="1617">
                  <c:v>Hardflip </c:v>
                </c:pt>
                <c:pt idx="1618">
                  <c:v>Harley Davidson and the Marlboro Man </c:v>
                </c:pt>
                <c:pt idx="1619">
                  <c:v>Harlock: Space Pirate </c:v>
                </c:pt>
                <c:pt idx="1620">
                  <c:v>Harold &amp; Kumar Escape from Guantanamo Bay </c:v>
                </c:pt>
                <c:pt idx="1621">
                  <c:v>Harold &amp; Kumar Go to White Castle </c:v>
                </c:pt>
                <c:pt idx="1622">
                  <c:v>Harper </c:v>
                </c:pt>
                <c:pt idx="1623">
                  <c:v>Harriet the Spy </c:v>
                </c:pt>
                <c:pt idx="1624">
                  <c:v>Harrison Montgomery </c:v>
                </c:pt>
                <c:pt idx="1625">
                  <c:v>Harry Brown </c:v>
                </c:pt>
                <c:pt idx="1626">
                  <c:v>Harry Potter and the Chamber of Secrets </c:v>
                </c:pt>
                <c:pt idx="1627">
                  <c:v>Harry Potter and the Deathly Hallows: Part I </c:v>
                </c:pt>
                <c:pt idx="1628">
                  <c:v>Harry Potter and the Deathly Hallows: Part II </c:v>
                </c:pt>
                <c:pt idx="1629">
                  <c:v>Harry Potter and the Goblet of Fire </c:v>
                </c:pt>
                <c:pt idx="1630">
                  <c:v>Harry Potter and the Half-Blood Prince </c:v>
                </c:pt>
                <c:pt idx="1631">
                  <c:v>Harry Potter and the Order of the Phoenix </c:v>
                </c:pt>
                <c:pt idx="1632">
                  <c:v>Harry Potter and the Prisoner of Azkaban </c:v>
                </c:pt>
                <c:pt idx="1633">
                  <c:v>Harry Potter and the Sorcerer's Stone </c:v>
                </c:pt>
                <c:pt idx="1634">
                  <c:v>Harsh Times </c:v>
                </c:pt>
                <c:pt idx="1635">
                  <c:v>Hart's War </c:v>
                </c:pt>
                <c:pt idx="1636">
                  <c:v>Harvard Man </c:v>
                </c:pt>
                <c:pt idx="1637">
                  <c:v>Hatchet </c:v>
                </c:pt>
                <c:pt idx="1638">
                  <c:v>Hav Plenty </c:v>
                </c:pt>
                <c:pt idx="1639">
                  <c:v>Hayride </c:v>
                </c:pt>
                <c:pt idx="1640">
                  <c:v>Haywire </c:v>
                </c:pt>
                <c:pt idx="1641">
                  <c:v>He Got Game </c:v>
                </c:pt>
                <c:pt idx="1642">
                  <c:v>Head of State </c:v>
                </c:pt>
                <c:pt idx="1643">
                  <c:v>Head Over Heels </c:v>
                </c:pt>
                <c:pt idx="1644">
                  <c:v>Headhunters </c:v>
                </c:pt>
                <c:pt idx="1645">
                  <c:v>Heartbeeps </c:v>
                </c:pt>
                <c:pt idx="1646">
                  <c:v>Heartbreakers </c:v>
                </c:pt>
                <c:pt idx="1647">
                  <c:v>Hearts in Atlantis </c:v>
                </c:pt>
                <c:pt idx="1648">
                  <c:v>Heaven Is for Real </c:v>
                </c:pt>
                <c:pt idx="1649">
                  <c:v>Heavenly Creatures </c:v>
                </c:pt>
                <c:pt idx="1650">
                  <c:v>Heaven's Gate </c:v>
                </c:pt>
                <c:pt idx="1651">
                  <c:v>Heavy Metal </c:v>
                </c:pt>
                <c:pt idx="1652">
                  <c:v>Hedwig and the Angry Inch </c:v>
                </c:pt>
                <c:pt idx="1653">
                  <c:v>Heist </c:v>
                </c:pt>
                <c:pt idx="1654">
                  <c:v>Held Up </c:v>
                </c:pt>
                <c:pt idx="1655">
                  <c:v>Heli </c:v>
                </c:pt>
                <c:pt idx="1656">
                  <c:v>Hellboy II: The Golden Army </c:v>
                </c:pt>
                <c:pt idx="1657">
                  <c:v>Hellboy </c:v>
                </c:pt>
                <c:pt idx="1658">
                  <c:v>Hellraiser </c:v>
                </c:pt>
                <c:pt idx="1659">
                  <c:v>Hell's Angels </c:v>
                </c:pt>
                <c:pt idx="1660">
                  <c:v>Henry &amp; Me </c:v>
                </c:pt>
                <c:pt idx="1661">
                  <c:v>Henry V </c:v>
                </c:pt>
                <c:pt idx="1662">
                  <c:v>Her Cry: La Llorona Investigation </c:v>
                </c:pt>
                <c:pt idx="1663">
                  <c:v>Her </c:v>
                </c:pt>
                <c:pt idx="1664">
                  <c:v>Herbie Fully Loaded </c:v>
                </c:pt>
                <c:pt idx="1665">
                  <c:v>Hercules </c:v>
                </c:pt>
                <c:pt idx="1666">
                  <c:v>Here Comes the Boom </c:v>
                </c:pt>
                <c:pt idx="1667">
                  <c:v>Here on Earth </c:v>
                </c:pt>
                <c:pt idx="1668">
                  <c:v>Hereafter </c:v>
                </c:pt>
                <c:pt idx="1669">
                  <c:v>Hero </c:v>
                </c:pt>
                <c:pt idx="1670">
                  <c:v>Heroes of Dirt </c:v>
                </c:pt>
                <c:pt idx="1671">
                  <c:v>Heroes </c:v>
                </c:pt>
                <c:pt idx="1672">
                  <c:v>He's Just Not That Into You </c:v>
                </c:pt>
                <c:pt idx="1673">
                  <c:v>Hesher </c:v>
                </c:pt>
                <c:pt idx="1674">
                  <c:v>Hey Arnold! The Movie </c:v>
                </c:pt>
                <c:pt idx="1675">
                  <c:v>Hidalgo </c:v>
                </c:pt>
                <c:pt idx="1676">
                  <c:v>Hidden Away </c:v>
                </c:pt>
                <c:pt idx="1677">
                  <c:v>Hide and Seek </c:v>
                </c:pt>
                <c:pt idx="1678">
                  <c:v>High Anxiety </c:v>
                </c:pt>
                <c:pt idx="1679">
                  <c:v>High Crimes </c:v>
                </c:pt>
                <c:pt idx="1680">
                  <c:v>High Fidelity </c:v>
                </c:pt>
                <c:pt idx="1681">
                  <c:v>High Heels and Low Lifes </c:v>
                </c:pt>
                <c:pt idx="1682">
                  <c:v>High Noon </c:v>
                </c:pt>
                <c:pt idx="1683">
                  <c:v>High Plains Drifter </c:v>
                </c:pt>
                <c:pt idx="1684">
                  <c:v>High Road </c:v>
                </c:pt>
                <c:pt idx="1685">
                  <c:v>High School Musical 2 </c:v>
                </c:pt>
                <c:pt idx="1686">
                  <c:v>High School Musical 3: Senior Year </c:v>
                </c:pt>
                <c:pt idx="1687">
                  <c:v>High School Musical </c:v>
                </c:pt>
                <c:pt idx="1688">
                  <c:v>High Tension </c:v>
                </c:pt>
                <c:pt idx="1689">
                  <c:v>Higher Ground </c:v>
                </c:pt>
                <c:pt idx="1690">
                  <c:v>Highlander </c:v>
                </c:pt>
                <c:pt idx="1691">
                  <c:v>Highlander: Endgame </c:v>
                </c:pt>
                <c:pt idx="1692">
                  <c:v>Highlander: The Final Dimension </c:v>
                </c:pt>
                <c:pt idx="1693">
                  <c:v>Highway </c:v>
                </c:pt>
                <c:pt idx="1694">
                  <c:v>History of the World: Part I </c:v>
                </c:pt>
                <c:pt idx="1695">
                  <c:v>Hit and Run </c:v>
                </c:pt>
                <c:pt idx="1696">
                  <c:v>Hit the Floor </c:v>
                </c:pt>
                <c:pt idx="1697">
                  <c:v>Hitch </c:v>
                </c:pt>
                <c:pt idx="1698">
                  <c:v>Hitman </c:v>
                </c:pt>
                <c:pt idx="1699">
                  <c:v>Hits </c:v>
                </c:pt>
                <c:pt idx="1700">
                  <c:v>Hobo with a Shotgun </c:v>
                </c:pt>
                <c:pt idx="1701">
                  <c:v>Hocus Pocus </c:v>
                </c:pt>
                <c:pt idx="1702">
                  <c:v>Hoffa </c:v>
                </c:pt>
                <c:pt idx="1703">
                  <c:v>Holes </c:v>
                </c:pt>
                <c:pt idx="1704">
                  <c:v>Hollow Man </c:v>
                </c:pt>
                <c:pt idx="1705">
                  <c:v>Hollywood Ending </c:v>
                </c:pt>
                <c:pt idx="1706">
                  <c:v>Hollywood Homicide </c:v>
                </c:pt>
                <c:pt idx="1707">
                  <c:v>Hollywood Shuffle </c:v>
                </c:pt>
                <c:pt idx="1708">
                  <c:v>Holy Man </c:v>
                </c:pt>
                <c:pt idx="1709">
                  <c:v>Holy Motors </c:v>
                </c:pt>
                <c:pt idx="1710">
                  <c:v>Home Alone 2: Lost in New York </c:v>
                </c:pt>
                <c:pt idx="1711">
                  <c:v>Home Alone </c:v>
                </c:pt>
                <c:pt idx="1712">
                  <c:v>Home for the Holidays </c:v>
                </c:pt>
                <c:pt idx="1713">
                  <c:v>Home Fries </c:v>
                </c:pt>
                <c:pt idx="1714">
                  <c:v>Home Movies </c:v>
                </c:pt>
                <c:pt idx="1715">
                  <c:v>Home on the Range </c:v>
                </c:pt>
                <c:pt idx="1716">
                  <c:v>Home Run </c:v>
                </c:pt>
                <c:pt idx="1717">
                  <c:v>Home </c:v>
                </c:pt>
                <c:pt idx="1718">
                  <c:v>Homefront </c:v>
                </c:pt>
                <c:pt idx="1719">
                  <c:v>Honey </c:v>
                </c:pt>
                <c:pt idx="1720">
                  <c:v>Hoodwinked Too! Hood vs. Evil </c:v>
                </c:pt>
                <c:pt idx="1721">
                  <c:v>Hoodwinked! </c:v>
                </c:pt>
                <c:pt idx="1722">
                  <c:v>Hook </c:v>
                </c:pt>
                <c:pt idx="1723">
                  <c:v>Hoop Dreams </c:v>
                </c:pt>
                <c:pt idx="1724">
                  <c:v>Hoot </c:v>
                </c:pt>
                <c:pt idx="1725">
                  <c:v>Hop </c:v>
                </c:pt>
                <c:pt idx="1726">
                  <c:v>Hope Floats </c:v>
                </c:pt>
                <c:pt idx="1727">
                  <c:v>Hope Springs </c:v>
                </c:pt>
                <c:pt idx="1728">
                  <c:v>Horrible Bosses 2 </c:v>
                </c:pt>
                <c:pt idx="1729">
                  <c:v>Horrible Bosses </c:v>
                </c:pt>
                <c:pt idx="1730">
                  <c:v>Horse Camp </c:v>
                </c:pt>
                <c:pt idx="1731">
                  <c:v>Hostage </c:v>
                </c:pt>
                <c:pt idx="1732">
                  <c:v>Hostel </c:v>
                </c:pt>
                <c:pt idx="1733">
                  <c:v>Hostel: Part II </c:v>
                </c:pt>
                <c:pt idx="1734">
                  <c:v>Hot Fuzz </c:v>
                </c:pt>
                <c:pt idx="1735">
                  <c:v>Hot Pursuit </c:v>
                </c:pt>
                <c:pt idx="1736">
                  <c:v>Hot Rod </c:v>
                </c:pt>
                <c:pt idx="1737">
                  <c:v>Hot Tub Time Machine 2 </c:v>
                </c:pt>
                <c:pt idx="1738">
                  <c:v>Hot Tub Time Machine </c:v>
                </c:pt>
                <c:pt idx="1739">
                  <c:v>Hotel for Dogs </c:v>
                </c:pt>
                <c:pt idx="1740">
                  <c:v>Hotel Rwanda </c:v>
                </c:pt>
                <c:pt idx="1741">
                  <c:v>Hotel Transylvania 2 </c:v>
                </c:pt>
                <c:pt idx="1742">
                  <c:v>Hotel Transylvania </c:v>
                </c:pt>
                <c:pt idx="1743">
                  <c:v>House at the End of the Drive </c:v>
                </c:pt>
                <c:pt idx="1744">
                  <c:v>House at the End of the Street </c:v>
                </c:pt>
                <c:pt idx="1745">
                  <c:v>House of 1000 Corpses </c:v>
                </c:pt>
                <c:pt idx="1746">
                  <c:v>House of D </c:v>
                </c:pt>
                <c:pt idx="1747">
                  <c:v>House of Flying Daggers </c:v>
                </c:pt>
                <c:pt idx="1748">
                  <c:v>House of Sand and Fog </c:v>
                </c:pt>
                <c:pt idx="1749">
                  <c:v>House of Sand </c:v>
                </c:pt>
                <c:pt idx="1750">
                  <c:v>House of Wax </c:v>
                </c:pt>
                <c:pt idx="1751">
                  <c:v>House on Haunted Hill </c:v>
                </c:pt>
                <c:pt idx="1752">
                  <c:v>House Party 2 </c:v>
                </c:pt>
                <c:pt idx="1753">
                  <c:v>Housebound </c:v>
                </c:pt>
                <c:pt idx="1754">
                  <c:v>Housefull </c:v>
                </c:pt>
                <c:pt idx="1755">
                  <c:v>How Do You Know </c:v>
                </c:pt>
                <c:pt idx="1756">
                  <c:v>How Green Was My Valley </c:v>
                </c:pt>
                <c:pt idx="1757">
                  <c:v>How High </c:v>
                </c:pt>
                <c:pt idx="1758">
                  <c:v>How She Move </c:v>
                </c:pt>
                <c:pt idx="1759">
                  <c:v>How Stella Got Her Groove Back </c:v>
                </c:pt>
                <c:pt idx="1760">
                  <c:v>How the Grinch Stole Christmas </c:v>
                </c:pt>
                <c:pt idx="1761">
                  <c:v>How to Be a Player </c:v>
                </c:pt>
                <c:pt idx="1762">
                  <c:v>How to Be Single </c:v>
                </c:pt>
                <c:pt idx="1763">
                  <c:v>How to Deal </c:v>
                </c:pt>
                <c:pt idx="1764">
                  <c:v>How to Fall in Love </c:v>
                </c:pt>
                <c:pt idx="1765">
                  <c:v>How to Lose a Guy in 10 Days </c:v>
                </c:pt>
                <c:pt idx="1766">
                  <c:v>How to Lose Friends &amp; Alienate People </c:v>
                </c:pt>
                <c:pt idx="1767">
                  <c:v>How to Train Your Dragon 2 </c:v>
                </c:pt>
                <c:pt idx="1768">
                  <c:v>How to Train Your Dragon </c:v>
                </c:pt>
                <c:pt idx="1769">
                  <c:v>Howard the Duck </c:v>
                </c:pt>
                <c:pt idx="1770">
                  <c:v>Howards End </c:v>
                </c:pt>
                <c:pt idx="1771">
                  <c:v>Howl's Moving Castle </c:v>
                </c:pt>
                <c:pt idx="1772">
                  <c:v>Hud </c:v>
                </c:pt>
                <c:pt idx="1773">
                  <c:v>Hudson Hawk </c:v>
                </c:pt>
                <c:pt idx="1774">
                  <c:v>Hugo </c:v>
                </c:pt>
                <c:pt idx="1775">
                  <c:v>Hulk </c:v>
                </c:pt>
                <c:pt idx="1776">
                  <c:v>Hum To Mohabbat Karega </c:v>
                </c:pt>
                <c:pt idx="1777">
                  <c:v>Human Traffic </c:v>
                </c:pt>
                <c:pt idx="1778">
                  <c:v>Hurricane Streets </c:v>
                </c:pt>
                <c:pt idx="1779">
                  <c:v>Hustle &amp; Flow </c:v>
                </c:pt>
                <c:pt idx="1780">
                  <c:v>I Am Legend </c:v>
                </c:pt>
                <c:pt idx="1781">
                  <c:v>I Am Love </c:v>
                </c:pt>
                <c:pt idx="1782">
                  <c:v>I Am Number Four </c:v>
                </c:pt>
                <c:pt idx="1783">
                  <c:v>I Am Sam </c:v>
                </c:pt>
                <c:pt idx="1784">
                  <c:v>I Am Wrath </c:v>
                </c:pt>
                <c:pt idx="1785">
                  <c:v>I Can Do Bad All by Myself </c:v>
                </c:pt>
                <c:pt idx="1786">
                  <c:v>I Come with the Rain </c:v>
                </c:pt>
                <c:pt idx="1787">
                  <c:v>I Don't Know How She Does It </c:v>
                </c:pt>
                <c:pt idx="1788">
                  <c:v>I Dreamed of Africa </c:v>
                </c:pt>
                <c:pt idx="1789">
                  <c:v>I Got the Hook Up </c:v>
                </c:pt>
                <c:pt idx="1790">
                  <c:v>I Heart Huckabees </c:v>
                </c:pt>
                <c:pt idx="1791">
                  <c:v>I Hope They Serve Beer in Hell </c:v>
                </c:pt>
                <c:pt idx="1792">
                  <c:v>I Know What You Did Last Summer </c:v>
                </c:pt>
                <c:pt idx="1793">
                  <c:v>I Love You Phillip Morris </c:v>
                </c:pt>
                <c:pt idx="1794">
                  <c:v>I Love You, Beth Cooper </c:v>
                </c:pt>
                <c:pt idx="1795">
                  <c:v>I Love You, Don't Touch Me! </c:v>
                </c:pt>
                <c:pt idx="1796">
                  <c:v>I Love You, Man </c:v>
                </c:pt>
                <c:pt idx="1797">
                  <c:v>I Love Your Work </c:v>
                </c:pt>
                <c:pt idx="1798">
                  <c:v>I Married a Strange Person! </c:v>
                </c:pt>
                <c:pt idx="1799">
                  <c:v>I Origins </c:v>
                </c:pt>
                <c:pt idx="1800">
                  <c:v>I Served the King of England </c:v>
                </c:pt>
                <c:pt idx="1801">
                  <c:v>I Spit on Your Grave </c:v>
                </c:pt>
                <c:pt idx="1802">
                  <c:v>I Spy </c:v>
                </c:pt>
                <c:pt idx="1803">
                  <c:v>I Still Know What You Did Last Summer </c:v>
                </c:pt>
                <c:pt idx="1804">
                  <c:v>I Think I Love My Wife </c:v>
                </c:pt>
                <c:pt idx="1805">
                  <c:v>I Want Someone to Eat Cheese With </c:v>
                </c:pt>
                <c:pt idx="1806">
                  <c:v>I Want Your Money </c:v>
                </c:pt>
                <c:pt idx="1807">
                  <c:v>I, Frankenstein </c:v>
                </c:pt>
                <c:pt idx="1808">
                  <c:v>I, Robot </c:v>
                </c:pt>
                <c:pt idx="1809">
                  <c:v>Ice Age </c:v>
                </c:pt>
                <c:pt idx="1810">
                  <c:v>Ice Age: Continental Drift </c:v>
                </c:pt>
                <c:pt idx="1811">
                  <c:v>Ice Age: Dawn of the Dinosaurs </c:v>
                </c:pt>
                <c:pt idx="1812">
                  <c:v>Ice Age: The Meltdown </c:v>
                </c:pt>
                <c:pt idx="1813">
                  <c:v>Ice Princess </c:v>
                </c:pt>
                <c:pt idx="1814">
                  <c:v>Ida </c:v>
                </c:pt>
                <c:pt idx="1815">
                  <c:v>Identity Thief </c:v>
                </c:pt>
                <c:pt idx="1816">
                  <c:v>Identity </c:v>
                </c:pt>
                <c:pt idx="1817">
                  <c:v>Idiocracy </c:v>
                </c:pt>
                <c:pt idx="1818">
                  <c:v>Idle Hands </c:v>
                </c:pt>
                <c:pt idx="1819">
                  <c:v>Idlewild </c:v>
                </c:pt>
                <c:pt idx="1820">
                  <c:v>If I Stay </c:v>
                </c:pt>
                <c:pt idx="1821">
                  <c:v>Igby Goes Down </c:v>
                </c:pt>
                <c:pt idx="1822">
                  <c:v>Iguana </c:v>
                </c:pt>
                <c:pt idx="1823">
                  <c:v>Illuminata </c:v>
                </c:pt>
                <c:pt idx="1824">
                  <c:v>I'm Not There. </c:v>
                </c:pt>
                <c:pt idx="1825">
                  <c:v>Imaginary Heroes </c:v>
                </c:pt>
                <c:pt idx="1826">
                  <c:v>Imagine Me &amp; You </c:v>
                </c:pt>
                <c:pt idx="1827">
                  <c:v>Imagine That </c:v>
                </c:pt>
                <c:pt idx="1828">
                  <c:v>Immortals </c:v>
                </c:pt>
                <c:pt idx="1829">
                  <c:v>Impact Point </c:v>
                </c:pt>
                <c:pt idx="1830">
                  <c:v>Impostor </c:v>
                </c:pt>
                <c:pt idx="1831">
                  <c:v>In &amp; Out </c:v>
                </c:pt>
                <c:pt idx="1832">
                  <c:v>In Bruges </c:v>
                </c:pt>
                <c:pt idx="1833">
                  <c:v>In Cold Blood </c:v>
                </c:pt>
                <c:pt idx="1834">
                  <c:v>In Dreams </c:v>
                </c:pt>
                <c:pt idx="1835">
                  <c:v>In Good Company </c:v>
                </c:pt>
                <c:pt idx="1836">
                  <c:v>In Her Line of Fire </c:v>
                </c:pt>
                <c:pt idx="1837">
                  <c:v>In the Bedroom </c:v>
                </c:pt>
                <c:pt idx="1838">
                  <c:v>In the Company of Men </c:v>
                </c:pt>
                <c:pt idx="1839">
                  <c:v>In the Cut </c:v>
                </c:pt>
                <c:pt idx="1840">
                  <c:v>In the Heart of the Sea </c:v>
                </c:pt>
                <c:pt idx="1841">
                  <c:v>In the Heat of the Night </c:v>
                </c:pt>
                <c:pt idx="1842">
                  <c:v>In the Land of Blood and Honey </c:v>
                </c:pt>
                <c:pt idx="1843">
                  <c:v>In the Land of Women </c:v>
                </c:pt>
                <c:pt idx="1844">
                  <c:v>In the Name of the King: A Dungeon Siege Tale </c:v>
                </c:pt>
                <c:pt idx="1845">
                  <c:v>In the Name of the King: The Last Job </c:v>
                </c:pt>
                <c:pt idx="1846">
                  <c:v>In the Shadow of the Moon </c:v>
                </c:pt>
                <c:pt idx="1847">
                  <c:v>In the Valley of Elah </c:v>
                </c:pt>
                <c:pt idx="1848">
                  <c:v>In Time </c:v>
                </c:pt>
                <c:pt idx="1849">
                  <c:v>In Too Deep </c:v>
                </c:pt>
                <c:pt idx="1850">
                  <c:v>Incendies </c:v>
                </c:pt>
                <c:pt idx="1851">
                  <c:v>Inception </c:v>
                </c:pt>
                <c:pt idx="1852">
                  <c:v>Inchon </c:v>
                </c:pt>
                <c:pt idx="1853">
                  <c:v>Incident at Loch Ness </c:v>
                </c:pt>
                <c:pt idx="1854">
                  <c:v>Independence Day </c:v>
                </c:pt>
                <c:pt idx="1855">
                  <c:v>Independence Day: Resurgence </c:v>
                </c:pt>
                <c:pt idx="1856">
                  <c:v>Independence Daysaster </c:v>
                </c:pt>
                <c:pt idx="1857">
                  <c:v>Indiana Jones and the Kingdom of the Crystal Skull </c:v>
                </c:pt>
                <c:pt idx="1858">
                  <c:v>Indiana Jones and the Last Crusade </c:v>
                </c:pt>
                <c:pt idx="1859">
                  <c:v>Indiana Jones and the Temple of Doom </c:v>
                </c:pt>
                <c:pt idx="1860">
                  <c:v>Indie Game: The Movie </c:v>
                </c:pt>
                <c:pt idx="1861">
                  <c:v>Indignation </c:v>
                </c:pt>
                <c:pt idx="1862">
                  <c:v>Inescapable </c:v>
                </c:pt>
                <c:pt idx="1863">
                  <c:v>Infamous </c:v>
                </c:pt>
                <c:pt idx="1864">
                  <c:v>Inglourious Basterds </c:v>
                </c:pt>
                <c:pt idx="1865">
                  <c:v>Inherent Vice </c:v>
                </c:pt>
                <c:pt idx="1866">
                  <c:v>Ink </c:v>
                </c:pt>
                <c:pt idx="1867">
                  <c:v>Inkheart </c:v>
                </c:pt>
                <c:pt idx="1868">
                  <c:v>Inside Deep Throat </c:v>
                </c:pt>
                <c:pt idx="1869">
                  <c:v>Inside Job </c:v>
                </c:pt>
                <c:pt idx="1870">
                  <c:v>Inside Llewyn Davis </c:v>
                </c:pt>
                <c:pt idx="1871">
                  <c:v>Inside Man </c:v>
                </c:pt>
                <c:pt idx="1872">
                  <c:v>Inside Out </c:v>
                </c:pt>
                <c:pt idx="1873">
                  <c:v>Insidious </c:v>
                </c:pt>
                <c:pt idx="1874">
                  <c:v>Insidious: Chapter 2 </c:v>
                </c:pt>
                <c:pt idx="1875">
                  <c:v>Insidious: Chapter 3 </c:v>
                </c:pt>
                <c:pt idx="1876">
                  <c:v>Insomnia Manica </c:v>
                </c:pt>
                <c:pt idx="1877">
                  <c:v>Insomnia </c:v>
                </c:pt>
                <c:pt idx="1878">
                  <c:v>Inspector Gadget </c:v>
                </c:pt>
                <c:pt idx="1879">
                  <c:v>Instinct </c:v>
                </c:pt>
                <c:pt idx="1880">
                  <c:v>Instructions Not Included </c:v>
                </c:pt>
                <c:pt idx="1881">
                  <c:v>Insurgent </c:v>
                </c:pt>
                <c:pt idx="1882">
                  <c:v>Interstellar </c:v>
                </c:pt>
                <c:pt idx="1883">
                  <c:v>Interview with the Assassin </c:v>
                </c:pt>
                <c:pt idx="1884">
                  <c:v>Interview with the Vampire: The Vampire Chronicles </c:v>
                </c:pt>
                <c:pt idx="1885">
                  <c:v>Into the Blue </c:v>
                </c:pt>
                <c:pt idx="1886">
                  <c:v>Into the Grizzly Maze </c:v>
                </c:pt>
                <c:pt idx="1887">
                  <c:v>Into the Storm </c:v>
                </c:pt>
                <c:pt idx="1888">
                  <c:v>Into the Wild </c:v>
                </c:pt>
                <c:pt idx="1889">
                  <c:v>Into the Woods </c:v>
                </c:pt>
                <c:pt idx="1890">
                  <c:v>Intolerable Cruelty </c:v>
                </c:pt>
                <c:pt idx="1891">
                  <c:v>Intolerance: Love's Struggle Throughout the Ages </c:v>
                </c:pt>
                <c:pt idx="1892">
                  <c:v>Invaders from Mars </c:v>
                </c:pt>
                <c:pt idx="1893">
                  <c:v>Invasion U.S.A. </c:v>
                </c:pt>
                <c:pt idx="1894">
                  <c:v>Invictus </c:v>
                </c:pt>
                <c:pt idx="1895">
                  <c:v>Ip Man 3 </c:v>
                </c:pt>
                <c:pt idx="1896">
                  <c:v>Ira &amp; Abby </c:v>
                </c:pt>
                <c:pt idx="1897">
                  <c:v>Iraq for Sale: The War Profiteers </c:v>
                </c:pt>
                <c:pt idx="1898">
                  <c:v>Iris </c:v>
                </c:pt>
                <c:pt idx="1899">
                  <c:v>Iron Man 2 </c:v>
                </c:pt>
                <c:pt idx="1900">
                  <c:v>Iron Man 3 </c:v>
                </c:pt>
                <c:pt idx="1901">
                  <c:v>Iron Man </c:v>
                </c:pt>
                <c:pt idx="1902">
                  <c:v>Ironclad </c:v>
                </c:pt>
                <c:pt idx="1903">
                  <c:v>Irreplaceable </c:v>
                </c:pt>
                <c:pt idx="1904">
                  <c:v>Irreversible </c:v>
                </c:pt>
                <c:pt idx="1905">
                  <c:v>Ishtar </c:v>
                </c:pt>
                <c:pt idx="1906">
                  <c:v>Isn't She Great </c:v>
                </c:pt>
                <c:pt idx="1907">
                  <c:v>It Follows </c:v>
                </c:pt>
                <c:pt idx="1908">
                  <c:v>It Happened One Night </c:v>
                </c:pt>
                <c:pt idx="1909">
                  <c:v>It's a Mad, Mad, Mad, Mad World </c:v>
                </c:pt>
                <c:pt idx="1910">
                  <c:v>It's a Wonderful Afterlife </c:v>
                </c:pt>
                <c:pt idx="1911">
                  <c:v>It's a Wonderful Life </c:v>
                </c:pt>
                <c:pt idx="1912">
                  <c:v>It's All Gone Pete Tong </c:v>
                </c:pt>
                <c:pt idx="1913">
                  <c:v>It's Always Sunny in Philadelphia </c:v>
                </c:pt>
                <c:pt idx="1914">
                  <c:v>It's Complicated </c:v>
                </c:pt>
                <c:pt idx="1915">
                  <c:v>It's Kind of a Funny Story </c:v>
                </c:pt>
                <c:pt idx="1916">
                  <c:v>J. Edgar </c:v>
                </c:pt>
                <c:pt idx="1917">
                  <c:v>Jab Tak Hai Jaan </c:v>
                </c:pt>
                <c:pt idx="1918">
                  <c:v>Jack and Jill </c:v>
                </c:pt>
                <c:pt idx="1919">
                  <c:v>Jack Brooks: Monster Slayer </c:v>
                </c:pt>
                <c:pt idx="1920">
                  <c:v>Jack Reacher </c:v>
                </c:pt>
                <c:pt idx="1921">
                  <c:v>Jack Ryan: Shadow Recruit </c:v>
                </c:pt>
                <c:pt idx="1922">
                  <c:v>Jack the Giant Slayer </c:v>
                </c:pt>
                <c:pt idx="1923">
                  <c:v>Jackass 3D </c:v>
                </c:pt>
                <c:pt idx="1924">
                  <c:v>Jackass Number Two </c:v>
                </c:pt>
                <c:pt idx="1925">
                  <c:v>Jackass: The Movie </c:v>
                </c:pt>
                <c:pt idx="1926">
                  <c:v>Jackie Brown </c:v>
                </c:pt>
                <c:pt idx="1927">
                  <c:v>Jade </c:v>
                </c:pt>
                <c:pt idx="1928">
                  <c:v>Jakob the Liar </c:v>
                </c:pt>
                <c:pt idx="1929">
                  <c:v>Jane Got a Gun </c:v>
                </c:pt>
                <c:pt idx="1930">
                  <c:v>Jarhead </c:v>
                </c:pt>
                <c:pt idx="1931">
                  <c:v>Jason Bourne </c:v>
                </c:pt>
                <c:pt idx="1932">
                  <c:v>Jason Goes to Hell: The Final Friday </c:v>
                </c:pt>
                <c:pt idx="1933">
                  <c:v>Jason Lives: Friday the 13th Part VI </c:v>
                </c:pt>
                <c:pt idx="1934">
                  <c:v>Jason X </c:v>
                </c:pt>
                <c:pt idx="1935">
                  <c:v>Jawbreaker </c:v>
                </c:pt>
                <c:pt idx="1936">
                  <c:v>Jaws 2 </c:v>
                </c:pt>
                <c:pt idx="1937">
                  <c:v>Jaws </c:v>
                </c:pt>
                <c:pt idx="1938">
                  <c:v>Jaws: The Revenge </c:v>
                </c:pt>
                <c:pt idx="1939">
                  <c:v>Jay and Silent Bob Strike Back </c:v>
                </c:pt>
                <c:pt idx="1940">
                  <c:v>Jeepers Creepers II </c:v>
                </c:pt>
                <c:pt idx="1941">
                  <c:v>Jeepers Creepers </c:v>
                </c:pt>
                <c:pt idx="1942">
                  <c:v>Jeff, Who Lives at Home </c:v>
                </c:pt>
                <c:pt idx="1943">
                  <c:v>Jefferson in Paris </c:v>
                </c:pt>
                <c:pt idx="1944">
                  <c:v>Jekyll and Hyde... Together Again </c:v>
                </c:pt>
                <c:pt idx="1945">
                  <c:v>Jennifer's Body </c:v>
                </c:pt>
                <c:pt idx="1946">
                  <c:v>Jerry Maguire </c:v>
                </c:pt>
                <c:pt idx="1947">
                  <c:v>Jersey Boys </c:v>
                </c:pt>
                <c:pt idx="1948">
                  <c:v>Jersey Girl </c:v>
                </c:pt>
                <c:pt idx="1949">
                  <c:v>Jesse </c:v>
                </c:pt>
                <c:pt idx="1950">
                  <c:v>Jesus People </c:v>
                </c:pt>
                <c:pt idx="1951">
                  <c:v>Jesus' Son </c:v>
                </c:pt>
                <c:pt idx="1952">
                  <c:v>JFK </c:v>
                </c:pt>
                <c:pt idx="1953">
                  <c:v>Jimmy and Judy </c:v>
                </c:pt>
                <c:pt idx="1954">
                  <c:v>Jimmy Neutron: Boy Genius </c:v>
                </c:pt>
                <c:pt idx="1955">
                  <c:v>Jindabyne </c:v>
                </c:pt>
                <c:pt idx="1956">
                  <c:v>Jingle All the Way </c:v>
                </c:pt>
                <c:pt idx="1957">
                  <c:v>Joe Dirt </c:v>
                </c:pt>
                <c:pt idx="1958">
                  <c:v>Joe Somebody </c:v>
                </c:pt>
                <c:pt idx="1959">
                  <c:v>Joe </c:v>
                </c:pt>
                <c:pt idx="1960">
                  <c:v>John Carter </c:v>
                </c:pt>
                <c:pt idx="1961">
                  <c:v>John Q </c:v>
                </c:pt>
                <c:pt idx="1962">
                  <c:v>Johnny English Reborn </c:v>
                </c:pt>
                <c:pt idx="1963">
                  <c:v>Johnny English </c:v>
                </c:pt>
                <c:pt idx="1964">
                  <c:v>Johnny Suede </c:v>
                </c:pt>
                <c:pt idx="1965">
                  <c:v>Johnson Family Vacation </c:v>
                </c:pt>
                <c:pt idx="1966">
                  <c:v>Jonah Hex </c:v>
                </c:pt>
                <c:pt idx="1967">
                  <c:v>Jonah: A VeggieTales Movie </c:v>
                </c:pt>
                <c:pt idx="1968">
                  <c:v>Josie and the Pussycats </c:v>
                </c:pt>
                <c:pt idx="1969">
                  <c:v>Journey 2: The Mysterious Island </c:v>
                </c:pt>
                <c:pt idx="1970">
                  <c:v>Journey from the Fall </c:v>
                </c:pt>
                <c:pt idx="1971">
                  <c:v>Journey to Saturn </c:v>
                </c:pt>
                <c:pt idx="1972">
                  <c:v>Journey to the Center of the Earth </c:v>
                </c:pt>
                <c:pt idx="1973">
                  <c:v>Joy Ride </c:v>
                </c:pt>
                <c:pt idx="1974">
                  <c:v>Joy </c:v>
                </c:pt>
                <c:pt idx="1975">
                  <c:v>Joyeux Noel </c:v>
                </c:pt>
                <c:pt idx="1976">
                  <c:v>Joyful Noise </c:v>
                </c:pt>
                <c:pt idx="1977">
                  <c:v>Judgment at Nuremberg </c:v>
                </c:pt>
                <c:pt idx="1978">
                  <c:v>Julia </c:v>
                </c:pt>
                <c:pt idx="1979">
                  <c:v>Julie &amp; Julia </c:v>
                </c:pt>
                <c:pt idx="1980">
                  <c:v>Julija in alfa Romeo </c:v>
                </c:pt>
                <c:pt idx="1981">
                  <c:v>Jumper </c:v>
                </c:pt>
                <c:pt idx="1982">
                  <c:v>Jumping the Broom </c:v>
                </c:pt>
                <c:pt idx="1983">
                  <c:v>Jungle Shuffle </c:v>
                </c:pt>
                <c:pt idx="1984">
                  <c:v>Juno </c:v>
                </c:pt>
                <c:pt idx="1985">
                  <c:v>Jupiter Ascending </c:v>
                </c:pt>
                <c:pt idx="1986">
                  <c:v>Jurassic Park III </c:v>
                </c:pt>
                <c:pt idx="1987">
                  <c:v>Jurassic Park </c:v>
                </c:pt>
                <c:pt idx="1988">
                  <c:v>Jurassic World </c:v>
                </c:pt>
                <c:pt idx="1989">
                  <c:v>Just Go with It </c:v>
                </c:pt>
                <c:pt idx="1990">
                  <c:v>Just Like Heaven </c:v>
                </c:pt>
                <c:pt idx="1991">
                  <c:v>Just Looking </c:v>
                </c:pt>
                <c:pt idx="1992">
                  <c:v>Just Married </c:v>
                </c:pt>
                <c:pt idx="1993">
                  <c:v>Just My Luck </c:v>
                </c:pt>
                <c:pt idx="1994">
                  <c:v>Just Visiting </c:v>
                </c:pt>
                <c:pt idx="1995">
                  <c:v>Just Wright </c:v>
                </c:pt>
                <c:pt idx="1996">
                  <c:v>Justin Bieber: Never Say Never </c:v>
                </c:pt>
                <c:pt idx="1997">
                  <c:v>Juwanna Mann </c:v>
                </c:pt>
                <c:pt idx="1998">
                  <c:v>K-19: The Widowmaker </c:v>
                </c:pt>
                <c:pt idx="1999">
                  <c:v>Kabhi Alvida Naa Kehna </c:v>
                </c:pt>
                <c:pt idx="2000">
                  <c:v>Kama Sutra: A Tale of Love </c:v>
                </c:pt>
                <c:pt idx="2001">
                  <c:v>Kangaroo Jack </c:v>
                </c:pt>
                <c:pt idx="2002">
                  <c:v>Kansas City </c:v>
                </c:pt>
                <c:pt idx="2003">
                  <c:v>Karachi se Lahore </c:v>
                </c:pt>
                <c:pt idx="2004">
                  <c:v>Kate &amp; Leopold </c:v>
                </c:pt>
                <c:pt idx="2005">
                  <c:v>Katy Perry: Part of Me </c:v>
                </c:pt>
                <c:pt idx="2006">
                  <c:v>Keanu </c:v>
                </c:pt>
                <c:pt idx="2007">
                  <c:v>Keeping the Faith </c:v>
                </c:pt>
                <c:pt idx="2008">
                  <c:v>Keeping Up with the Steins </c:v>
                </c:pt>
                <c:pt idx="2009">
                  <c:v>Kevin Hart: Laugh at My Pain </c:v>
                </c:pt>
                <c:pt idx="2010">
                  <c:v>Kevin Hart: Let Me Explain </c:v>
                </c:pt>
                <c:pt idx="2011">
                  <c:v>Khiladi 786 </c:v>
                </c:pt>
                <c:pt idx="2012">
                  <c:v>Khumba </c:v>
                </c:pt>
                <c:pt idx="2013">
                  <c:v>Kick-Ass 2 </c:v>
                </c:pt>
                <c:pt idx="2014">
                  <c:v>Kick-Ass </c:v>
                </c:pt>
                <c:pt idx="2015">
                  <c:v>Kickboxer: Vengeance </c:v>
                </c:pt>
                <c:pt idx="2016">
                  <c:v>Kicking &amp; Screaming </c:v>
                </c:pt>
                <c:pt idx="2017">
                  <c:v>Kicks </c:v>
                </c:pt>
                <c:pt idx="2018">
                  <c:v>Kids </c:v>
                </c:pt>
                <c:pt idx="2019">
                  <c:v>Kill Bill: Vol. 1 </c:v>
                </c:pt>
                <c:pt idx="2020">
                  <c:v>Kill Bill: Vol. 2 </c:v>
                </c:pt>
                <c:pt idx="2021">
                  <c:v>Kill List </c:v>
                </c:pt>
                <c:pt idx="2022">
                  <c:v>Kill the Messenger </c:v>
                </c:pt>
                <c:pt idx="2023">
                  <c:v>Killer Elite </c:v>
                </c:pt>
                <c:pt idx="2024">
                  <c:v>Killer Joe </c:v>
                </c:pt>
                <c:pt idx="2025">
                  <c:v>Killers </c:v>
                </c:pt>
                <c:pt idx="2026">
                  <c:v>Killing Them Softly </c:v>
                </c:pt>
                <c:pt idx="2027">
                  <c:v>Killing Zoe </c:v>
                </c:pt>
                <c:pt idx="2028">
                  <c:v>Kindergarten Cop </c:v>
                </c:pt>
                <c:pt idx="2029">
                  <c:v>King Kong </c:v>
                </c:pt>
                <c:pt idx="2030">
                  <c:v>Kingdom of Heaven </c:v>
                </c:pt>
                <c:pt idx="2031">
                  <c:v>Kingdom of the Spiders </c:v>
                </c:pt>
                <c:pt idx="2032">
                  <c:v>Kingpin </c:v>
                </c:pt>
                <c:pt idx="2033">
                  <c:v>King's Ransom </c:v>
                </c:pt>
                <c:pt idx="2034">
                  <c:v>Kinsey </c:v>
                </c:pt>
                <c:pt idx="2035">
                  <c:v>Kiss Kiss Bang Bang </c:v>
                </c:pt>
                <c:pt idx="2036">
                  <c:v>Kiss of Death </c:v>
                </c:pt>
                <c:pt idx="2037">
                  <c:v>Kiss of the Dragon </c:v>
                </c:pt>
                <c:pt idx="2038">
                  <c:v>Kiss the Bride </c:v>
                </c:pt>
                <c:pt idx="2039">
                  <c:v>Kiss the Girls </c:v>
                </c:pt>
                <c:pt idx="2040">
                  <c:v>Kissing Jessica Stein </c:v>
                </c:pt>
                <c:pt idx="2041">
                  <c:v>Kit Kittredge: An American Girl </c:v>
                </c:pt>
                <c:pt idx="2042">
                  <c:v>Kites </c:v>
                </c:pt>
                <c:pt idx="2043">
                  <c:v>Knight and Day </c:v>
                </c:pt>
                <c:pt idx="2044">
                  <c:v>Knock Off </c:v>
                </c:pt>
                <c:pt idx="2045">
                  <c:v>Knockaround Guys </c:v>
                </c:pt>
                <c:pt idx="2046">
                  <c:v>Knocked Up </c:v>
                </c:pt>
                <c:pt idx="2047">
                  <c:v>Knowing </c:v>
                </c:pt>
                <c:pt idx="2048">
                  <c:v>K-PAX </c:v>
                </c:pt>
                <c:pt idx="2049">
                  <c:v>Krampus </c:v>
                </c:pt>
                <c:pt idx="2050">
                  <c:v>Krrish </c:v>
                </c:pt>
                <c:pt idx="2051">
                  <c:v>Krull </c:v>
                </c:pt>
                <c:pt idx="2052">
                  <c:v>Krush Groove </c:v>
                </c:pt>
                <c:pt idx="2053">
                  <c:v>Kundun </c:v>
                </c:pt>
                <c:pt idx="2054">
                  <c:v>Kung Fu Hustle </c:v>
                </c:pt>
                <c:pt idx="2055">
                  <c:v>Kung Fu Killer </c:v>
                </c:pt>
                <c:pt idx="2056">
                  <c:v>Kung Fu Panda 2 </c:v>
                </c:pt>
                <c:pt idx="2057">
                  <c:v>Kung Fu Panda 3 </c:v>
                </c:pt>
                <c:pt idx="2058">
                  <c:v>Kung Fu Panda </c:v>
                </c:pt>
                <c:pt idx="2059">
                  <c:v>Kung Pow: Enter the Fist </c:v>
                </c:pt>
                <c:pt idx="2060">
                  <c:v>L!fe Happens </c:v>
                </c:pt>
                <c:pt idx="2061">
                  <c:v>L.A. Confidential </c:v>
                </c:pt>
                <c:pt idx="2062">
                  <c:v>L.I.E. </c:v>
                </c:pt>
                <c:pt idx="2063">
                  <c:v>La Bamba </c:v>
                </c:pt>
                <c:pt idx="2064">
                  <c:v>La Famille Bélier </c:v>
                </c:pt>
                <c:pt idx="2065">
                  <c:v>La otra conquista </c:v>
                </c:pt>
                <c:pt idx="2066">
                  <c:v>Labor Day </c:v>
                </c:pt>
                <c:pt idx="2067">
                  <c:v>Ladder 49 </c:v>
                </c:pt>
                <c:pt idx="2068">
                  <c:v>Lady in the Water </c:v>
                </c:pt>
                <c:pt idx="2069">
                  <c:v>Lady in White </c:v>
                </c:pt>
                <c:pt idx="2070">
                  <c:v>Lady Vengeance </c:v>
                </c:pt>
                <c:pt idx="2071">
                  <c:v>Ladyhawke </c:v>
                </c:pt>
                <c:pt idx="2072">
                  <c:v>Lage Raho Munna Bhai </c:v>
                </c:pt>
                <c:pt idx="2073">
                  <c:v>Lake Mungo </c:v>
                </c:pt>
                <c:pt idx="2074">
                  <c:v>Lake of Fire </c:v>
                </c:pt>
                <c:pt idx="2075">
                  <c:v>Lake Placid </c:v>
                </c:pt>
                <c:pt idx="2076">
                  <c:v>Lakeview Terrace </c:v>
                </c:pt>
                <c:pt idx="2077">
                  <c:v>Land of the Dead </c:v>
                </c:pt>
                <c:pt idx="2078">
                  <c:v>Land of the Lost </c:v>
                </c:pt>
                <c:pt idx="2079">
                  <c:v>Lara Croft Tomb Raider: The Cradle of Life </c:v>
                </c:pt>
                <c:pt idx="2080">
                  <c:v>Lara Croft: Tomb Raider </c:v>
                </c:pt>
                <c:pt idx="2081">
                  <c:v>Larry Crowne </c:v>
                </c:pt>
                <c:pt idx="2082">
                  <c:v>Larry the Cable Guy: Health Inspector </c:v>
                </c:pt>
                <c:pt idx="2083">
                  <c:v>Lars and the Real Girl </c:v>
                </c:pt>
                <c:pt idx="2084">
                  <c:v>Last Action Hero </c:v>
                </c:pt>
                <c:pt idx="2085">
                  <c:v>Last Holiday </c:v>
                </c:pt>
                <c:pt idx="2086">
                  <c:v>Last Man Standing </c:v>
                </c:pt>
                <c:pt idx="2087">
                  <c:v>Last Orders </c:v>
                </c:pt>
                <c:pt idx="2088">
                  <c:v>Last Vegas </c:v>
                </c:pt>
                <c:pt idx="2089">
                  <c:v>Latter Days </c:v>
                </c:pt>
                <c:pt idx="2090">
                  <c:v>L'auberge espagnole </c:v>
                </c:pt>
                <c:pt idx="2091">
                  <c:v>Law Abiding Citizen </c:v>
                </c:pt>
                <c:pt idx="2092">
                  <c:v>Lawrence of Arabia </c:v>
                </c:pt>
                <c:pt idx="2093">
                  <c:v>Laws of Attraction </c:v>
                </c:pt>
                <c:pt idx="2094">
                  <c:v>Layer Cake </c:v>
                </c:pt>
                <c:pt idx="2095">
                  <c:v>Le Havre </c:v>
                </c:pt>
                <c:pt idx="2096">
                  <c:v>Leap Year </c:v>
                </c:pt>
                <c:pt idx="2097">
                  <c:v>Leatherheads </c:v>
                </c:pt>
                <c:pt idx="2098">
                  <c:v>Leaving Las Vegas </c:v>
                </c:pt>
                <c:pt idx="2099">
                  <c:v>Lee Daniels' The Butler </c:v>
                </c:pt>
                <c:pt idx="2100">
                  <c:v>Left Behind </c:v>
                </c:pt>
                <c:pt idx="2101">
                  <c:v>Legal Eagles </c:v>
                </c:pt>
                <c:pt idx="2102">
                  <c:v>Legally Blonde 2: Red, White &amp; Blonde </c:v>
                </c:pt>
                <c:pt idx="2103">
                  <c:v>Legally Blonde </c:v>
                </c:pt>
                <c:pt idx="2104">
                  <c:v>Legend of Kung Fu Rabbit </c:v>
                </c:pt>
                <c:pt idx="2105">
                  <c:v>Legend of the Guardians: The Owls of Ga'Hoole </c:v>
                </c:pt>
                <c:pt idx="2106">
                  <c:v>Legend </c:v>
                </c:pt>
                <c:pt idx="2107">
                  <c:v>Legends of Oz: Dorothy's Return </c:v>
                </c:pt>
                <c:pt idx="2108">
                  <c:v>Legends of the Fall </c:v>
                </c:pt>
                <c:pt idx="2109">
                  <c:v>Legion </c:v>
                </c:pt>
                <c:pt idx="2110">
                  <c:v>Les couloirs du temps: Les visiteurs II </c:v>
                </c:pt>
                <c:pt idx="2111">
                  <c:v>Les Misérables </c:v>
                </c:pt>
                <c:pt idx="2112">
                  <c:v>Les visiteurs </c:v>
                </c:pt>
                <c:pt idx="2113">
                  <c:v>Let Me In </c:v>
                </c:pt>
                <c:pt idx="2114">
                  <c:v>Lethal Weapon 3 </c:v>
                </c:pt>
                <c:pt idx="2115">
                  <c:v>Lethal Weapon 4 </c:v>
                </c:pt>
                <c:pt idx="2116">
                  <c:v>Let's Be Cops </c:v>
                </c:pt>
                <c:pt idx="2117">
                  <c:v>Let's Go to Prison </c:v>
                </c:pt>
                <c:pt idx="2118">
                  <c:v>Let's Kill Ward's Wife </c:v>
                </c:pt>
                <c:pt idx="2119">
                  <c:v>Letters from Iwo Jima </c:v>
                </c:pt>
                <c:pt idx="2120">
                  <c:v>Letters to God </c:v>
                </c:pt>
                <c:pt idx="2121">
                  <c:v>Letters to Juliet </c:v>
                </c:pt>
                <c:pt idx="2122">
                  <c:v>Liar Liar </c:v>
                </c:pt>
                <c:pt idx="2123">
                  <c:v>Licence to Kill </c:v>
                </c:pt>
                <c:pt idx="2124">
                  <c:v>License to Wed </c:v>
                </c:pt>
                <c:pt idx="2125">
                  <c:v>Lies in Plain Sight </c:v>
                </c:pt>
                <c:pt idx="2126">
                  <c:v>Life as a House </c:v>
                </c:pt>
                <c:pt idx="2127">
                  <c:v>Life During Wartime </c:v>
                </c:pt>
                <c:pt idx="2128">
                  <c:v>Life of Pi </c:v>
                </c:pt>
                <c:pt idx="2129">
                  <c:v>Life or Something Like It </c:v>
                </c:pt>
                <c:pt idx="2130">
                  <c:v>Life </c:v>
                </c:pt>
                <c:pt idx="2131">
                  <c:v>Lifeforce </c:v>
                </c:pt>
                <c:pt idx="2132">
                  <c:v>Light from the Darkroom </c:v>
                </c:pt>
                <c:pt idx="2133">
                  <c:v>Light It Up </c:v>
                </c:pt>
                <c:pt idx="2134">
                  <c:v>Light Sleeper </c:v>
                </c:pt>
                <c:pt idx="2135">
                  <c:v>Lights Out </c:v>
                </c:pt>
                <c:pt idx="2136">
                  <c:v>Like Crazy </c:v>
                </c:pt>
                <c:pt idx="2137">
                  <c:v>Like Mike </c:v>
                </c:pt>
                <c:pt idx="2138">
                  <c:v>Lilo &amp; Stitch </c:v>
                </c:pt>
                <c:pt idx="2139">
                  <c:v>Lilya 4-Ever </c:v>
                </c:pt>
                <c:pt idx="2140">
                  <c:v>Lilyhammer </c:v>
                </c:pt>
                <c:pt idx="2141">
                  <c:v>Limbo </c:v>
                </c:pt>
                <c:pt idx="2142">
                  <c:v>Limitless </c:v>
                </c:pt>
                <c:pt idx="2143">
                  <c:v>Lincoln </c:v>
                </c:pt>
                <c:pt idx="2144">
                  <c:v>Lion of the Desert </c:v>
                </c:pt>
                <c:pt idx="2145">
                  <c:v>Lions for Lambs </c:v>
                </c:pt>
                <c:pt idx="2146">
                  <c:v>Lisa Picard Is Famous </c:v>
                </c:pt>
                <c:pt idx="2147">
                  <c:v>Listening </c:v>
                </c:pt>
                <c:pt idx="2148">
                  <c:v>Little Big Top </c:v>
                </c:pt>
                <c:pt idx="2149">
                  <c:v>Little Black Book </c:v>
                </c:pt>
                <c:pt idx="2150">
                  <c:v>Little Boy </c:v>
                </c:pt>
                <c:pt idx="2151">
                  <c:v>Little Children </c:v>
                </c:pt>
                <c:pt idx="2152">
                  <c:v>Little Fockers </c:v>
                </c:pt>
                <c:pt idx="2153">
                  <c:v>Little Miss Sunshine </c:v>
                </c:pt>
                <c:pt idx="2154">
                  <c:v>Little Nicholas </c:v>
                </c:pt>
                <c:pt idx="2155">
                  <c:v>Little Nicky </c:v>
                </c:pt>
                <c:pt idx="2156">
                  <c:v>Little Shop of Horrors </c:v>
                </c:pt>
                <c:pt idx="2157">
                  <c:v>Little Voice </c:v>
                </c:pt>
                <c:pt idx="2158">
                  <c:v>Little White Lies </c:v>
                </c:pt>
                <c:pt idx="2159">
                  <c:v>Little Women </c:v>
                </c:pt>
                <c:pt idx="2160">
                  <c:v>Littleman </c:v>
                </c:pt>
                <c:pt idx="2161">
                  <c:v>Live and Let Die </c:v>
                </c:pt>
                <c:pt idx="2162">
                  <c:v>Live Free or Die Hard </c:v>
                </c:pt>
                <c:pt idx="2163">
                  <c:v>Live-In Maid </c:v>
                </c:pt>
                <c:pt idx="2164">
                  <c:v>Living Dark: The Story of Ted the Caver </c:v>
                </c:pt>
                <c:pt idx="2165">
                  <c:v>Living Out Loud </c:v>
                </c:pt>
                <c:pt idx="2166">
                  <c:v>Loaded Weapon 1 </c:v>
                </c:pt>
                <c:pt idx="2167">
                  <c:v>Lock, Stock and Two Smoking Barrels </c:v>
                </c:pt>
                <c:pt idx="2168">
                  <c:v>Locker 13 </c:v>
                </c:pt>
                <c:pt idx="2169">
                  <c:v>Lockout </c:v>
                </c:pt>
                <c:pt idx="2170">
                  <c:v>Logan's Run </c:v>
                </c:pt>
                <c:pt idx="2171">
                  <c:v>LOL </c:v>
                </c:pt>
                <c:pt idx="2172">
                  <c:v>Lolita </c:v>
                </c:pt>
                <c:pt idx="2173">
                  <c:v>London Has Fallen </c:v>
                </c:pt>
                <c:pt idx="2174">
                  <c:v>London to Brighton </c:v>
                </c:pt>
                <c:pt idx="2175">
                  <c:v>London </c:v>
                </c:pt>
                <c:pt idx="2176">
                  <c:v>Lone Star </c:v>
                </c:pt>
                <c:pt idx="2177">
                  <c:v>Lone Survivor </c:v>
                </c:pt>
                <c:pt idx="2178">
                  <c:v>Lone Wolf McQuade </c:v>
                </c:pt>
                <c:pt idx="2179">
                  <c:v>Lonesome Jim </c:v>
                </c:pt>
                <c:pt idx="2180">
                  <c:v>Looney Tunes: Back in Action </c:v>
                </c:pt>
                <c:pt idx="2181">
                  <c:v>Looper </c:v>
                </c:pt>
                <c:pt idx="2182">
                  <c:v>Loose Cannons </c:v>
                </c:pt>
                <c:pt idx="2183">
                  <c:v>Lord of War </c:v>
                </c:pt>
                <c:pt idx="2184">
                  <c:v>Lords of Dogtown </c:v>
                </c:pt>
                <c:pt idx="2185">
                  <c:v>Lords of London </c:v>
                </c:pt>
                <c:pt idx="2186">
                  <c:v>Loser </c:v>
                </c:pt>
                <c:pt idx="2187">
                  <c:v>Losin' It </c:v>
                </c:pt>
                <c:pt idx="2188">
                  <c:v>Lost in Space </c:v>
                </c:pt>
                <c:pt idx="2189">
                  <c:v>Lost in Translation </c:v>
                </c:pt>
                <c:pt idx="2190">
                  <c:v>Lost Souls </c:v>
                </c:pt>
                <c:pt idx="2191">
                  <c:v>Lottery Ticket </c:v>
                </c:pt>
                <c:pt idx="2192">
                  <c:v>Love &amp; Basketball </c:v>
                </c:pt>
                <c:pt idx="2193">
                  <c:v>Love &amp; Other Drugs </c:v>
                </c:pt>
                <c:pt idx="2194">
                  <c:v>Love Actually </c:v>
                </c:pt>
                <c:pt idx="2195">
                  <c:v>Love and Death on Long Island </c:v>
                </c:pt>
                <c:pt idx="2196">
                  <c:v>Love and Other Catastrophes </c:v>
                </c:pt>
                <c:pt idx="2197">
                  <c:v>Love Happens </c:v>
                </c:pt>
                <c:pt idx="2198">
                  <c:v>Love in the Time of Cholera </c:v>
                </c:pt>
                <c:pt idx="2199">
                  <c:v>Love in the Time of Monsters </c:v>
                </c:pt>
                <c:pt idx="2200">
                  <c:v>Love Jones </c:v>
                </c:pt>
                <c:pt idx="2201">
                  <c:v>Love Letters </c:v>
                </c:pt>
                <c:pt idx="2202">
                  <c:v>Love Me Tender </c:v>
                </c:pt>
                <c:pt idx="2203">
                  <c:v>Love Ranch </c:v>
                </c:pt>
                <c:pt idx="2204">
                  <c:v>Love Stinks </c:v>
                </c:pt>
                <c:pt idx="2205">
                  <c:v>Love the Coopers </c:v>
                </c:pt>
                <c:pt idx="2206">
                  <c:v>Lovely &amp; Amazing </c:v>
                </c:pt>
                <c:pt idx="2207">
                  <c:v>Lovely, Still </c:v>
                </c:pt>
                <c:pt idx="2208">
                  <c:v>Love's Abiding Joy </c:v>
                </c:pt>
                <c:pt idx="2209">
                  <c:v>Lovesick </c:v>
                </c:pt>
                <c:pt idx="2210">
                  <c:v>Loving Annabelle </c:v>
                </c:pt>
                <c:pt idx="2211">
                  <c:v>Lucky Break </c:v>
                </c:pt>
                <c:pt idx="2212">
                  <c:v>Lucky Number Slevin </c:v>
                </c:pt>
                <c:pt idx="2213">
                  <c:v>Lucky Numbers </c:v>
                </c:pt>
                <c:pt idx="2214">
                  <c:v>Lucky You </c:v>
                </c:pt>
                <c:pt idx="2215">
                  <c:v>Lucy </c:v>
                </c:pt>
                <c:pt idx="2216">
                  <c:v>Luminarias </c:v>
                </c:pt>
                <c:pt idx="2217">
                  <c:v>Luther </c:v>
                </c:pt>
                <c:pt idx="2218">
                  <c:v>M*A*S*H </c:v>
                </c:pt>
                <c:pt idx="2219">
                  <c:v>MacGruber </c:v>
                </c:pt>
                <c:pt idx="2220">
                  <c:v>Machete Kills </c:v>
                </c:pt>
                <c:pt idx="2221">
                  <c:v>Machete </c:v>
                </c:pt>
                <c:pt idx="2222">
                  <c:v>Machine Gun McCain </c:v>
                </c:pt>
                <c:pt idx="2223">
                  <c:v>Machine Gun Preacher </c:v>
                </c:pt>
                <c:pt idx="2224">
                  <c:v>Mad City </c:v>
                </c:pt>
                <c:pt idx="2225">
                  <c:v>Mad Hot Ballroom </c:v>
                </c:pt>
                <c:pt idx="2226">
                  <c:v>Mad Max 2: The Road Warrior </c:v>
                </c:pt>
                <c:pt idx="2227">
                  <c:v>Mad Max Beyond Thunderdome </c:v>
                </c:pt>
                <c:pt idx="2228">
                  <c:v>Mad Max </c:v>
                </c:pt>
                <c:pt idx="2229">
                  <c:v>Mad Max: Fury Road </c:v>
                </c:pt>
                <c:pt idx="2230">
                  <c:v>Mad Money </c:v>
                </c:pt>
                <c:pt idx="2231">
                  <c:v>Madadayo </c:v>
                </c:pt>
                <c:pt idx="2232">
                  <c:v>Madagascar 3: Europe's Most Wanted </c:v>
                </c:pt>
                <c:pt idx="2233">
                  <c:v>Madagascar </c:v>
                </c:pt>
                <c:pt idx="2234">
                  <c:v>Madagascar: Escape 2 Africa </c:v>
                </c:pt>
                <c:pt idx="2235">
                  <c:v>Made in Dagenham </c:v>
                </c:pt>
                <c:pt idx="2236">
                  <c:v>Made of Honor </c:v>
                </c:pt>
                <c:pt idx="2237">
                  <c:v>Made </c:v>
                </c:pt>
                <c:pt idx="2238">
                  <c:v>Madea Goes to Jail </c:v>
                </c:pt>
                <c:pt idx="2239">
                  <c:v>Madea's Family Reunion </c:v>
                </c:pt>
                <c:pt idx="2240">
                  <c:v>Madea's Witness Protection </c:v>
                </c:pt>
                <c:pt idx="2241">
                  <c:v>Madison </c:v>
                </c:pt>
                <c:pt idx="2242">
                  <c:v>Maggie </c:v>
                </c:pt>
                <c:pt idx="2243">
                  <c:v>Magic Mike XXL </c:v>
                </c:pt>
                <c:pt idx="2244">
                  <c:v>Magic Mike </c:v>
                </c:pt>
                <c:pt idx="2245">
                  <c:v>Magnolia </c:v>
                </c:pt>
                <c:pt idx="2246">
                  <c:v>Maid in Manhattan </c:v>
                </c:pt>
                <c:pt idx="2247">
                  <c:v>Major Dundee </c:v>
                </c:pt>
                <c:pt idx="2248">
                  <c:v>Major League </c:v>
                </c:pt>
                <c:pt idx="2249">
                  <c:v>Malcolm X </c:v>
                </c:pt>
                <c:pt idx="2250">
                  <c:v>Maleficent </c:v>
                </c:pt>
                <c:pt idx="2251">
                  <c:v>Malevolence </c:v>
                </c:pt>
                <c:pt idx="2252">
                  <c:v>Malibu's Most Wanted </c:v>
                </c:pt>
                <c:pt idx="2253">
                  <c:v>Mallrats </c:v>
                </c:pt>
                <c:pt idx="2254">
                  <c:v>Malone </c:v>
                </c:pt>
                <c:pt idx="2255">
                  <c:v>Mama </c:v>
                </c:pt>
                <c:pt idx="2256">
                  <c:v>Mambo Italiano </c:v>
                </c:pt>
                <c:pt idx="2257">
                  <c:v>Mamma Mia! </c:v>
                </c:pt>
                <c:pt idx="2258">
                  <c:v>Man of Steel </c:v>
                </c:pt>
                <c:pt idx="2259">
                  <c:v>Man of the House </c:v>
                </c:pt>
                <c:pt idx="2260">
                  <c:v>Man of the Year </c:v>
                </c:pt>
                <c:pt idx="2261">
                  <c:v>Man on a Ledge </c:v>
                </c:pt>
                <c:pt idx="2262">
                  <c:v>Man on Fire </c:v>
                </c:pt>
                <c:pt idx="2263">
                  <c:v>Man on the Moon </c:v>
                </c:pt>
                <c:pt idx="2264">
                  <c:v>Man on Wire </c:v>
                </c:pt>
                <c:pt idx="2265">
                  <c:v>Mandela: Long Walk to Freedom </c:v>
                </c:pt>
                <c:pt idx="2266">
                  <c:v>Manderlay </c:v>
                </c:pt>
                <c:pt idx="2267">
                  <c:v>Maniac </c:v>
                </c:pt>
                <c:pt idx="2268">
                  <c:v>Manito </c:v>
                </c:pt>
                <c:pt idx="2269">
                  <c:v>Mao's Last Dancer </c:v>
                </c:pt>
                <c:pt idx="2270">
                  <c:v>March of the Penguins </c:v>
                </c:pt>
                <c:pt idx="2271">
                  <c:v>March or Die </c:v>
                </c:pt>
                <c:pt idx="2272">
                  <c:v>Marci X </c:v>
                </c:pt>
                <c:pt idx="2273">
                  <c:v>Margaret </c:v>
                </c:pt>
                <c:pt idx="2274">
                  <c:v>Margin Call </c:v>
                </c:pt>
                <c:pt idx="2275">
                  <c:v>Maria Full of Grace </c:v>
                </c:pt>
                <c:pt idx="2276">
                  <c:v>Marie Antoinette </c:v>
                </c:pt>
                <c:pt idx="2277">
                  <c:v>Marilyn Hotchkiss' Ballroom Dancing and Charm School </c:v>
                </c:pt>
                <c:pt idx="2278">
                  <c:v>Marley &amp; Me </c:v>
                </c:pt>
                <c:pt idx="2279">
                  <c:v>Marmaduke </c:v>
                </c:pt>
                <c:pt idx="2280">
                  <c:v>Married Life </c:v>
                </c:pt>
                <c:pt idx="2281">
                  <c:v>Mars Attacks! </c:v>
                </c:pt>
                <c:pt idx="2282">
                  <c:v>Mars Needs Moms </c:v>
                </c:pt>
                <c:pt idx="2283">
                  <c:v>Martha Marcy May Marlene </c:v>
                </c:pt>
                <c:pt idx="2284">
                  <c:v>Martian Child </c:v>
                </c:pt>
                <c:pt idx="2285">
                  <c:v>Martin Lawrence Live: Runteldat </c:v>
                </c:pt>
                <c:pt idx="2286">
                  <c:v>Marvin's Room </c:v>
                </c:pt>
                <c:pt idx="2287">
                  <c:v>Mary Poppins </c:v>
                </c:pt>
                <c:pt idx="2288">
                  <c:v>Mary Reilly </c:v>
                </c:pt>
                <c:pt idx="2289">
                  <c:v>Masked and Anonymous </c:v>
                </c:pt>
                <c:pt idx="2290">
                  <c:v>Master and Commander: The Far Side of the World </c:v>
                </c:pt>
                <c:pt idx="2291">
                  <c:v>Match Point </c:v>
                </c:pt>
                <c:pt idx="2292">
                  <c:v>Maurice </c:v>
                </c:pt>
                <c:pt idx="2293">
                  <c:v>Max Keeble's Big Move </c:v>
                </c:pt>
                <c:pt idx="2294">
                  <c:v>Max Payne </c:v>
                </c:pt>
                <c:pt idx="2295">
                  <c:v>Max </c:v>
                </c:pt>
                <c:pt idx="2296">
                  <c:v>Maximum Risk </c:v>
                </c:pt>
                <c:pt idx="2297">
                  <c:v>May </c:v>
                </c:pt>
                <c:pt idx="2298">
                  <c:v>McFarland, USA </c:v>
                </c:pt>
                <c:pt idx="2299">
                  <c:v>McHale's Navy </c:v>
                </c:pt>
                <c:pt idx="2300">
                  <c:v>Me and Orson Welles </c:v>
                </c:pt>
                <c:pt idx="2301">
                  <c:v>Me and You and Everyone We Know </c:v>
                </c:pt>
                <c:pt idx="2302">
                  <c:v>Me Before You </c:v>
                </c:pt>
                <c:pt idx="2303">
                  <c:v>Me You and Five Bucks </c:v>
                </c:pt>
                <c:pt idx="2304">
                  <c:v>Me, Myself &amp; Irene </c:v>
                </c:pt>
                <c:pt idx="2305">
                  <c:v>Mean Creek </c:v>
                </c:pt>
                <c:pt idx="2306">
                  <c:v>Mean Girls </c:v>
                </c:pt>
                <c:pt idx="2307">
                  <c:v>Mean Machine </c:v>
                </c:pt>
                <c:pt idx="2308">
                  <c:v>Mean Streets </c:v>
                </c:pt>
                <c:pt idx="2309">
                  <c:v>Medicine Man </c:v>
                </c:pt>
                <c:pt idx="2310">
                  <c:v>Meek's Cutoff </c:v>
                </c:pt>
                <c:pt idx="2311">
                  <c:v>Meet Dave </c:v>
                </c:pt>
                <c:pt idx="2312">
                  <c:v>Meet Joe Black </c:v>
                </c:pt>
                <c:pt idx="2313">
                  <c:v>Meet the Browns </c:v>
                </c:pt>
                <c:pt idx="2314">
                  <c:v>Meet the Deedles </c:v>
                </c:pt>
                <c:pt idx="2315">
                  <c:v>Meet the Fockers </c:v>
                </c:pt>
                <c:pt idx="2316">
                  <c:v>Meet the Parents </c:v>
                </c:pt>
                <c:pt idx="2317">
                  <c:v>Meet the Spartans </c:v>
                </c:pt>
                <c:pt idx="2318">
                  <c:v>Megaforce </c:v>
                </c:pt>
                <c:pt idx="2319">
                  <c:v>Megamind </c:v>
                </c:pt>
                <c:pt idx="2320">
                  <c:v>Megiddo: The Omega Code 2 </c:v>
                </c:pt>
                <c:pt idx="2321">
                  <c:v>Melancholia </c:v>
                </c:pt>
                <c:pt idx="2322">
                  <c:v>Memento </c:v>
                </c:pt>
                <c:pt idx="2323">
                  <c:v>Memoirs of a Geisha </c:v>
                </c:pt>
                <c:pt idx="2324">
                  <c:v>Memoirs of an Invisible Man </c:v>
                </c:pt>
                <c:pt idx="2325">
                  <c:v>Men in Black 3 </c:v>
                </c:pt>
                <c:pt idx="2326">
                  <c:v>Men in Black II </c:v>
                </c:pt>
                <c:pt idx="2327">
                  <c:v>Men in Black </c:v>
                </c:pt>
                <c:pt idx="2328">
                  <c:v>Men of Honor </c:v>
                </c:pt>
                <c:pt idx="2329">
                  <c:v>Men of War </c:v>
                </c:pt>
                <c:pt idx="2330">
                  <c:v>Men with Brooms </c:v>
                </c:pt>
                <c:pt idx="2331">
                  <c:v>Menace II Society </c:v>
                </c:pt>
                <c:pt idx="2332">
                  <c:v>Mercury Rising </c:v>
                </c:pt>
                <c:pt idx="2333">
                  <c:v>Mercy Streets </c:v>
                </c:pt>
                <c:pt idx="2334">
                  <c:v>Message in a Bottle </c:v>
                </c:pt>
                <c:pt idx="2335">
                  <c:v>Metallica Through the Never </c:v>
                </c:pt>
                <c:pt idx="2336">
                  <c:v>Meteor </c:v>
                </c:pt>
                <c:pt idx="2337">
                  <c:v>Metropolis </c:v>
                </c:pt>
                <c:pt idx="2338">
                  <c:v>Metropolitan </c:v>
                </c:pt>
                <c:pt idx="2339">
                  <c:v>Mi America </c:v>
                </c:pt>
                <c:pt idx="2340">
                  <c:v>Miami Vice </c:v>
                </c:pt>
                <c:pt idx="2341">
                  <c:v>Michael Clayton </c:v>
                </c:pt>
                <c:pt idx="2342">
                  <c:v>Michael Collins </c:v>
                </c:pt>
                <c:pt idx="2343">
                  <c:v>Michael Jordan to the Max </c:v>
                </c:pt>
                <c:pt idx="2344">
                  <c:v>Mickey Blue Eyes </c:v>
                </c:pt>
                <c:pt idx="2345">
                  <c:v>Micmacs </c:v>
                </c:pt>
                <c:pt idx="2346">
                  <c:v>Middle of Nowhere </c:v>
                </c:pt>
                <c:pt idx="2347">
                  <c:v>Midnight Cabaret </c:v>
                </c:pt>
                <c:pt idx="2348">
                  <c:v>Midnight Cowboy </c:v>
                </c:pt>
                <c:pt idx="2349">
                  <c:v>Midnight in Paris </c:v>
                </c:pt>
                <c:pt idx="2350">
                  <c:v>Midnight in the Garden of Good and Evil </c:v>
                </c:pt>
                <c:pt idx="2351">
                  <c:v>Midnight Run </c:v>
                </c:pt>
                <c:pt idx="2352">
                  <c:v>Midnight Special </c:v>
                </c:pt>
                <c:pt idx="2353">
                  <c:v>Mighty Joe Young </c:v>
                </c:pt>
                <c:pt idx="2354">
                  <c:v>Milk </c:v>
                </c:pt>
                <c:pt idx="2355">
                  <c:v>Million Dollar Arm </c:v>
                </c:pt>
                <c:pt idx="2356">
                  <c:v>Million Dollar Baby </c:v>
                </c:pt>
                <c:pt idx="2357">
                  <c:v>Mindhunters </c:v>
                </c:pt>
                <c:pt idx="2358">
                  <c:v>Minions </c:v>
                </c:pt>
                <c:pt idx="2359">
                  <c:v>Minority Report </c:v>
                </c:pt>
                <c:pt idx="2360">
                  <c:v>Miracle at St. Anna </c:v>
                </c:pt>
                <c:pt idx="2361">
                  <c:v>Miracle </c:v>
                </c:pt>
                <c:pt idx="2362">
                  <c:v>Miracles from Heaven </c:v>
                </c:pt>
                <c:pt idx="2363">
                  <c:v>Mirror Mirror </c:v>
                </c:pt>
                <c:pt idx="2364">
                  <c:v>Mirrormask </c:v>
                </c:pt>
                <c:pt idx="2365">
                  <c:v>Mirrors </c:v>
                </c:pt>
                <c:pt idx="2366">
                  <c:v>Misconduct </c:v>
                </c:pt>
                <c:pt idx="2367">
                  <c:v>Miss Congeniality 2: Armed and Fabulous </c:v>
                </c:pt>
                <c:pt idx="2368">
                  <c:v>Miss Congeniality </c:v>
                </c:pt>
                <c:pt idx="2369">
                  <c:v>Miss Julie </c:v>
                </c:pt>
                <c:pt idx="2370">
                  <c:v>Miss March </c:v>
                </c:pt>
                <c:pt idx="2371">
                  <c:v>Miss Potter </c:v>
                </c:pt>
                <c:pt idx="2372">
                  <c:v>Mission to Mars </c:v>
                </c:pt>
                <c:pt idx="2373">
                  <c:v>Mission: Impossible - Ghost Protocol </c:v>
                </c:pt>
                <c:pt idx="2374">
                  <c:v>Mission: Impossible - Rogue Nation </c:v>
                </c:pt>
                <c:pt idx="2375">
                  <c:v>Mission: Impossible II </c:v>
                </c:pt>
                <c:pt idx="2376">
                  <c:v>Mission: Impossible III </c:v>
                </c:pt>
                <c:pt idx="2377">
                  <c:v>Mission: Impossible </c:v>
                </c:pt>
                <c:pt idx="2378">
                  <c:v>Mississippi Mermaid </c:v>
                </c:pt>
                <c:pt idx="2379">
                  <c:v>Mo' Better Blues </c:v>
                </c:pt>
                <c:pt idx="2380">
                  <c:v>Moby Dick </c:v>
                </c:pt>
                <c:pt idx="2381">
                  <c:v>Modern Problems </c:v>
                </c:pt>
                <c:pt idx="2382">
                  <c:v>Modern Times </c:v>
                </c:pt>
                <c:pt idx="2383">
                  <c:v>Molière </c:v>
                </c:pt>
                <c:pt idx="2384">
                  <c:v>Molly </c:v>
                </c:pt>
                <c:pt idx="2385">
                  <c:v>Mommie Dearest </c:v>
                </c:pt>
                <c:pt idx="2386">
                  <c:v>Moms' Night Out </c:v>
                </c:pt>
                <c:pt idx="2387">
                  <c:v>Mona Lisa Smile </c:v>
                </c:pt>
                <c:pt idx="2388">
                  <c:v>Mondays in the Sun </c:v>
                </c:pt>
                <c:pt idx="2389">
                  <c:v>Money Monster </c:v>
                </c:pt>
                <c:pt idx="2390">
                  <c:v>Money Talks </c:v>
                </c:pt>
                <c:pt idx="2391">
                  <c:v>Money Train </c:v>
                </c:pt>
                <c:pt idx="2392">
                  <c:v>Moneyball </c:v>
                </c:pt>
                <c:pt idx="2393">
                  <c:v>Mongol: The Rise of Genghis Khan </c:v>
                </c:pt>
                <c:pt idx="2394">
                  <c:v>Monkeybone </c:v>
                </c:pt>
                <c:pt idx="2395">
                  <c:v>Monsoon Wedding </c:v>
                </c:pt>
                <c:pt idx="2396">
                  <c:v>Monster House </c:v>
                </c:pt>
                <c:pt idx="2397">
                  <c:v>Monster </c:v>
                </c:pt>
                <c:pt idx="2398">
                  <c:v>Monster-in-Law </c:v>
                </c:pt>
                <c:pt idx="2399">
                  <c:v>Monster's Ball </c:v>
                </c:pt>
                <c:pt idx="2400">
                  <c:v>Monsters University </c:v>
                </c:pt>
                <c:pt idx="2401">
                  <c:v>Monsters vs. Aliens </c:v>
                </c:pt>
                <c:pt idx="2402">
                  <c:v>Monsters </c:v>
                </c:pt>
                <c:pt idx="2403">
                  <c:v>Monsters, Inc. </c:v>
                </c:pt>
                <c:pt idx="2404">
                  <c:v>Monte Carlo </c:v>
                </c:pt>
                <c:pt idx="2405">
                  <c:v>Monty Python and the Holy Grail </c:v>
                </c:pt>
                <c:pt idx="2406">
                  <c:v>Moon </c:v>
                </c:pt>
                <c:pt idx="2407">
                  <c:v>Moonlight Mile </c:v>
                </c:pt>
                <c:pt idx="2408">
                  <c:v>Moonraker </c:v>
                </c:pt>
                <c:pt idx="2409">
                  <c:v>Moonrise Kingdom </c:v>
                </c:pt>
                <c:pt idx="2410">
                  <c:v>Mooz-Lum </c:v>
                </c:pt>
                <c:pt idx="2411">
                  <c:v>Morning Glory </c:v>
                </c:pt>
                <c:pt idx="2412">
                  <c:v>Mortal Kombat </c:v>
                </c:pt>
                <c:pt idx="2413">
                  <c:v>Mortal Kombat: Annihilation </c:v>
                </c:pt>
                <c:pt idx="2414">
                  <c:v>Mortdecai </c:v>
                </c:pt>
                <c:pt idx="2415">
                  <c:v>Morvern Callar </c:v>
                </c:pt>
                <c:pt idx="2416">
                  <c:v>Mother and Child </c:v>
                </c:pt>
                <c:pt idx="2417">
                  <c:v>Motherhood </c:v>
                </c:pt>
                <c:pt idx="2418">
                  <c:v>Moulin Rouge! </c:v>
                </c:pt>
                <c:pt idx="2419">
                  <c:v>Movie 43 </c:v>
                </c:pt>
                <c:pt idx="2420">
                  <c:v>Mozart's Sister </c:v>
                </c:pt>
                <c:pt idx="2421">
                  <c:v>Mr 3000 </c:v>
                </c:pt>
                <c:pt idx="2422">
                  <c:v>Mr. &amp; Mrs. Smith </c:v>
                </c:pt>
                <c:pt idx="2423">
                  <c:v>Mr. Bean's Holiday </c:v>
                </c:pt>
                <c:pt idx="2424">
                  <c:v>Mr. Church </c:v>
                </c:pt>
                <c:pt idx="2425">
                  <c:v>Mr. Deeds </c:v>
                </c:pt>
                <c:pt idx="2426">
                  <c:v>Mr. Holland's Opus </c:v>
                </c:pt>
                <c:pt idx="2427">
                  <c:v>Mr. Nice Guy </c:v>
                </c:pt>
                <c:pt idx="2428">
                  <c:v>Mr. Peabody &amp; Sherman </c:v>
                </c:pt>
                <c:pt idx="2429">
                  <c:v>Mr. Popper's Penguins </c:v>
                </c:pt>
                <c:pt idx="2430">
                  <c:v>Mr. Smith Goes to Washington </c:v>
                </c:pt>
                <c:pt idx="2431">
                  <c:v>Mr. Turner </c:v>
                </c:pt>
                <c:pt idx="2432">
                  <c:v>Mrs Henderson Presents </c:v>
                </c:pt>
                <c:pt idx="2433">
                  <c:v>Mrs. Doubtfire </c:v>
                </c:pt>
                <c:pt idx="2434">
                  <c:v>Mrs. Winterbourne </c:v>
                </c:pt>
                <c:pt idx="2435">
                  <c:v>Much Ado About Nothing </c:v>
                </c:pt>
                <c:pt idx="2436">
                  <c:v>Mud </c:v>
                </c:pt>
                <c:pt idx="2437">
                  <c:v>Mulan </c:v>
                </c:pt>
                <c:pt idx="2438">
                  <c:v>Mulholland Drive </c:v>
                </c:pt>
                <c:pt idx="2439">
                  <c:v>Multiplicity </c:v>
                </c:pt>
                <c:pt idx="2440">
                  <c:v>Mumford </c:v>
                </c:pt>
                <c:pt idx="2441">
                  <c:v>Munich </c:v>
                </c:pt>
                <c:pt idx="2442">
                  <c:v>Muppets from Space </c:v>
                </c:pt>
                <c:pt idx="2443">
                  <c:v>Muppets Most Wanted </c:v>
                </c:pt>
                <c:pt idx="2444">
                  <c:v>Murder by Numbers </c:v>
                </c:pt>
                <c:pt idx="2445">
                  <c:v>Murderball </c:v>
                </c:pt>
                <c:pt idx="2446">
                  <c:v>Music and Lyrics </c:v>
                </c:pt>
                <c:pt idx="2447">
                  <c:v>Must Love Dogs </c:v>
                </c:pt>
                <c:pt idx="2448">
                  <c:v>Mutant World </c:v>
                </c:pt>
                <c:pt idx="2449">
                  <c:v>Mutual Appreciation </c:v>
                </c:pt>
                <c:pt idx="2450">
                  <c:v>Mutual Friends </c:v>
                </c:pt>
                <c:pt idx="2451">
                  <c:v>My Baby's Daddy </c:v>
                </c:pt>
                <c:pt idx="2452">
                  <c:v>My Beautiful Laundrette </c:v>
                </c:pt>
                <c:pt idx="2453">
                  <c:v>My Best Friend's Girl </c:v>
                </c:pt>
                <c:pt idx="2454">
                  <c:v>My Best Friend's Wedding </c:v>
                </c:pt>
                <c:pt idx="2455">
                  <c:v>My Big Fat Greek Wedding 2 </c:v>
                </c:pt>
                <c:pt idx="2456">
                  <c:v>My Big Fat Greek Wedding </c:v>
                </c:pt>
                <c:pt idx="2457">
                  <c:v>My Big Fat Independent Movie </c:v>
                </c:pt>
                <c:pt idx="2458">
                  <c:v>My Bloody Valentine </c:v>
                </c:pt>
                <c:pt idx="2459">
                  <c:v>My Blueberry Nights </c:v>
                </c:pt>
                <c:pt idx="2460">
                  <c:v>My Boss's Daughter </c:v>
                </c:pt>
                <c:pt idx="2461">
                  <c:v>My Cousin Vinny </c:v>
                </c:pt>
                <c:pt idx="2462">
                  <c:v>My Date with Drew </c:v>
                </c:pt>
                <c:pt idx="2463">
                  <c:v>My Dog Skip </c:v>
                </c:pt>
                <c:pt idx="2464">
                  <c:v>My Dog Tulip </c:v>
                </c:pt>
                <c:pt idx="2465">
                  <c:v>My Fair Lady </c:v>
                </c:pt>
                <c:pt idx="2466">
                  <c:v>My Favorite Martian </c:v>
                </c:pt>
                <c:pt idx="2467">
                  <c:v>My Fellow Americans </c:v>
                </c:pt>
                <c:pt idx="2468">
                  <c:v>My Girl </c:v>
                </c:pt>
                <c:pt idx="2469">
                  <c:v>My Last Day Without You </c:v>
                </c:pt>
                <c:pt idx="2470">
                  <c:v>My Life in Ruins </c:v>
                </c:pt>
                <c:pt idx="2471">
                  <c:v>My Life Without Me </c:v>
                </c:pt>
                <c:pt idx="2472">
                  <c:v>My Lucky Star </c:v>
                </c:pt>
                <c:pt idx="2473">
                  <c:v>My Name Is Bruce </c:v>
                </c:pt>
                <c:pt idx="2474">
                  <c:v>My Name Is Khan </c:v>
                </c:pt>
                <c:pt idx="2475">
                  <c:v>My Own Private Idaho </c:v>
                </c:pt>
                <c:pt idx="2476">
                  <c:v>My Sister's Keeper </c:v>
                </c:pt>
                <c:pt idx="2477">
                  <c:v>My Soul to Take </c:v>
                </c:pt>
                <c:pt idx="2478">
                  <c:v>My Stepmother Is an Alien </c:v>
                </c:pt>
                <c:pt idx="2479">
                  <c:v>My Summer of Love </c:v>
                </c:pt>
                <c:pt idx="2480">
                  <c:v>My Super Ex-Girlfriend </c:v>
                </c:pt>
                <c:pt idx="2481">
                  <c:v>My Week with Marilyn </c:v>
                </c:pt>
                <c:pt idx="2482">
                  <c:v>Mystery Men </c:v>
                </c:pt>
                <c:pt idx="2483">
                  <c:v>Mystery, Alaska </c:v>
                </c:pt>
                <c:pt idx="2484">
                  <c:v>Mystic Pizza </c:v>
                </c:pt>
                <c:pt idx="2485">
                  <c:v>Mystic River </c:v>
                </c:pt>
                <c:pt idx="2486">
                  <c:v>Nacho Libre </c:v>
                </c:pt>
                <c:pt idx="2487">
                  <c:v>Naked Gun 33 1/3: The Final Insult </c:v>
                </c:pt>
                <c:pt idx="2488">
                  <c:v>Namastey London </c:v>
                </c:pt>
                <c:pt idx="2489">
                  <c:v>Nancy Drew </c:v>
                </c:pt>
                <c:pt idx="2490">
                  <c:v>Nanny McPhee Returns </c:v>
                </c:pt>
                <c:pt idx="2491">
                  <c:v>Nanny McPhee </c:v>
                </c:pt>
                <c:pt idx="2492">
                  <c:v>Napoleon Dynamite </c:v>
                </c:pt>
                <c:pt idx="2493">
                  <c:v>Narc </c:v>
                </c:pt>
                <c:pt idx="2494">
                  <c:v>National Lampoon's Vacation </c:v>
                </c:pt>
                <c:pt idx="2495">
                  <c:v>National Treasure </c:v>
                </c:pt>
                <c:pt idx="2496">
                  <c:v>Naturally Native </c:v>
                </c:pt>
                <c:pt idx="2497">
                  <c:v>Navy Seals vs. Zombies </c:v>
                </c:pt>
                <c:pt idx="2498">
                  <c:v>Neal 'N' Nikki </c:v>
                </c:pt>
                <c:pt idx="2499">
                  <c:v>Nebraska </c:v>
                </c:pt>
                <c:pt idx="2500">
                  <c:v>Need for Speed </c:v>
                </c:pt>
                <c:pt idx="2501">
                  <c:v>Neighbors 2: Sorority Rising </c:v>
                </c:pt>
                <c:pt idx="2502">
                  <c:v>Neighbors </c:v>
                </c:pt>
                <c:pt idx="2503">
                  <c:v>Nerve </c:v>
                </c:pt>
                <c:pt idx="2504">
                  <c:v>Network </c:v>
                </c:pt>
                <c:pt idx="2505">
                  <c:v>Never Again </c:v>
                </c:pt>
                <c:pt idx="2506">
                  <c:v>Never Back Down 2: The Beatdown </c:v>
                </c:pt>
                <c:pt idx="2507">
                  <c:v>Never Back Down </c:v>
                </c:pt>
                <c:pt idx="2508">
                  <c:v>Never Let Me Go </c:v>
                </c:pt>
                <c:pt idx="2509">
                  <c:v>Never Say Never Again </c:v>
                </c:pt>
                <c:pt idx="2510">
                  <c:v>New in Town </c:v>
                </c:pt>
                <c:pt idx="2511">
                  <c:v>New Nightmare </c:v>
                </c:pt>
                <c:pt idx="2512">
                  <c:v>New Year's Eve </c:v>
                </c:pt>
                <c:pt idx="2513">
                  <c:v>New York Minute </c:v>
                </c:pt>
                <c:pt idx="2514">
                  <c:v>New York Stories </c:v>
                </c:pt>
                <c:pt idx="2515">
                  <c:v>New York, New York </c:v>
                </c:pt>
                <c:pt idx="2516">
                  <c:v>Newlyweds </c:v>
                </c:pt>
                <c:pt idx="2517">
                  <c:v>Next Day Air </c:v>
                </c:pt>
                <c:pt idx="2518">
                  <c:v>Next Friday </c:v>
                </c:pt>
                <c:pt idx="2519">
                  <c:v>Next Stop Wonderland </c:v>
                </c:pt>
                <c:pt idx="2520">
                  <c:v>Niagara </c:v>
                </c:pt>
                <c:pt idx="2521">
                  <c:v>Nicholas Nickleby </c:v>
                </c:pt>
                <c:pt idx="2522">
                  <c:v>Nick and Norah's Infinite Playlist </c:v>
                </c:pt>
                <c:pt idx="2523">
                  <c:v>Night at the Museum </c:v>
                </c:pt>
                <c:pt idx="2524">
                  <c:v>Night at the Museum: Battle of the Smithsonian </c:v>
                </c:pt>
                <c:pt idx="2525">
                  <c:v>Night at the Museum: Secret of the Tomb </c:v>
                </c:pt>
                <c:pt idx="2526">
                  <c:v>Night of the Living Dead </c:v>
                </c:pt>
                <c:pt idx="2527">
                  <c:v>Night Watch </c:v>
                </c:pt>
                <c:pt idx="2528">
                  <c:v>Nightcrawler </c:v>
                </c:pt>
                <c:pt idx="2529">
                  <c:v>Nighthawks </c:v>
                </c:pt>
                <c:pt idx="2530">
                  <c:v>Nikita </c:v>
                </c:pt>
                <c:pt idx="2531">
                  <c:v>Nim's Island </c:v>
                </c:pt>
                <c:pt idx="2532">
                  <c:v>Nine Dead </c:v>
                </c:pt>
                <c:pt idx="2533">
                  <c:v>Nine Queens </c:v>
                </c:pt>
                <c:pt idx="2534">
                  <c:v>Nine </c:v>
                </c:pt>
                <c:pt idx="2535">
                  <c:v>Ninja Assassin </c:v>
                </c:pt>
                <c:pt idx="2536">
                  <c:v>Nixon </c:v>
                </c:pt>
                <c:pt idx="2537">
                  <c:v>No Country for Old Men </c:v>
                </c:pt>
                <c:pt idx="2538">
                  <c:v>No End in Sight </c:v>
                </c:pt>
                <c:pt idx="2539">
                  <c:v>No Escape </c:v>
                </c:pt>
                <c:pt idx="2540">
                  <c:v>No Good Deed </c:v>
                </c:pt>
                <c:pt idx="2541">
                  <c:v>No Man's Land: The Rise of Reeker </c:v>
                </c:pt>
                <c:pt idx="2542">
                  <c:v>No Reservations </c:v>
                </c:pt>
                <c:pt idx="2543">
                  <c:v>No Strings Attached </c:v>
                </c:pt>
                <c:pt idx="2544">
                  <c:v>No Vacancy </c:v>
                </c:pt>
                <c:pt idx="2545">
                  <c:v>Noah </c:v>
                </c:pt>
                <c:pt idx="2546">
                  <c:v>Nomad: The Warrior </c:v>
                </c:pt>
                <c:pt idx="2547">
                  <c:v>Non-Stop </c:v>
                </c:pt>
                <c:pt idx="2548">
                  <c:v>North Country </c:v>
                </c:pt>
                <c:pt idx="2549">
                  <c:v>Northfork </c:v>
                </c:pt>
                <c:pt idx="2550">
                  <c:v>Not Another Teen Movie </c:v>
                </c:pt>
                <c:pt idx="2551">
                  <c:v>Not Cool </c:v>
                </c:pt>
                <c:pt idx="2552">
                  <c:v>Not Easily Broken </c:v>
                </c:pt>
                <c:pt idx="2553">
                  <c:v>Notes on a Scandal </c:v>
                </c:pt>
                <c:pt idx="2554">
                  <c:v>Nothing But a Man </c:v>
                </c:pt>
                <c:pt idx="2555">
                  <c:v>Nothing to Lose </c:v>
                </c:pt>
                <c:pt idx="2556">
                  <c:v>Nothing </c:v>
                </c:pt>
                <c:pt idx="2557">
                  <c:v>Notting Hill </c:v>
                </c:pt>
                <c:pt idx="2558">
                  <c:v>November </c:v>
                </c:pt>
                <c:pt idx="2559">
                  <c:v>Novocaine </c:v>
                </c:pt>
                <c:pt idx="2560">
                  <c:v>Now Is Good </c:v>
                </c:pt>
                <c:pt idx="2561">
                  <c:v>Now You See Me 2 </c:v>
                </c:pt>
                <c:pt idx="2562">
                  <c:v>Now You See Me </c:v>
                </c:pt>
                <c:pt idx="2563">
                  <c:v>Nowhere Boy </c:v>
                </c:pt>
                <c:pt idx="2564">
                  <c:v>Nowhere in Africa </c:v>
                </c:pt>
                <c:pt idx="2565">
                  <c:v>Nowhere to Run </c:v>
                </c:pt>
                <c:pt idx="2566">
                  <c:v>N-Secure </c:v>
                </c:pt>
                <c:pt idx="2567">
                  <c:v>Nurse 3D </c:v>
                </c:pt>
                <c:pt idx="2568">
                  <c:v>Nurse Betty </c:v>
                </c:pt>
                <c:pt idx="2569">
                  <c:v>Nutty Professor II: The Klumps </c:v>
                </c:pt>
                <c:pt idx="2570">
                  <c:v>O Brother, Where Art Thou? </c:v>
                </c:pt>
                <c:pt idx="2571">
                  <c:v>O </c:v>
                </c:pt>
                <c:pt idx="2572">
                  <c:v>Obitaemyy ostrov </c:v>
                </c:pt>
                <c:pt idx="2573">
                  <c:v>Oblivion </c:v>
                </c:pt>
                <c:pt idx="2574">
                  <c:v>Observe and Report </c:v>
                </c:pt>
                <c:pt idx="2575">
                  <c:v>Obvious Child </c:v>
                </c:pt>
                <c:pt idx="2576">
                  <c:v>Ocean's Eleven </c:v>
                </c:pt>
                <c:pt idx="2577">
                  <c:v>Ocean's Thirteen </c:v>
                </c:pt>
                <c:pt idx="2578">
                  <c:v>Ocean's Twelve </c:v>
                </c:pt>
                <c:pt idx="2579">
                  <c:v>Oceans </c:v>
                </c:pt>
                <c:pt idx="2580">
                  <c:v>October Baby </c:v>
                </c:pt>
                <c:pt idx="2581">
                  <c:v>Octopussy </c:v>
                </c:pt>
                <c:pt idx="2582">
                  <c:v>Oculus </c:v>
                </c:pt>
                <c:pt idx="2583">
                  <c:v>Of Gods and Men </c:v>
                </c:pt>
                <c:pt idx="2584">
                  <c:v>Of Horses and Men </c:v>
                </c:pt>
                <c:pt idx="2585">
                  <c:v>Office Space </c:v>
                </c:pt>
                <c:pt idx="2586">
                  <c:v>Old Dogs </c:v>
                </c:pt>
                <c:pt idx="2587">
                  <c:v>Old Joy </c:v>
                </c:pt>
                <c:pt idx="2588">
                  <c:v>Old School </c:v>
                </c:pt>
                <c:pt idx="2589">
                  <c:v>Oldboy </c:v>
                </c:pt>
                <c:pt idx="2590">
                  <c:v>Oliver Twist </c:v>
                </c:pt>
                <c:pt idx="2591">
                  <c:v>Oliver! </c:v>
                </c:pt>
                <c:pt idx="2592">
                  <c:v>Olympus Has Fallen </c:v>
                </c:pt>
                <c:pt idx="2593">
                  <c:v>On Deadly Ground </c:v>
                </c:pt>
                <c:pt idx="2594">
                  <c:v>On Her Majesty's Secret Service </c:v>
                </c:pt>
                <c:pt idx="2595">
                  <c:v>On the Downlow </c:v>
                </c:pt>
                <c:pt idx="2596">
                  <c:v>On the Line </c:v>
                </c:pt>
                <c:pt idx="2597">
                  <c:v>On the Outs </c:v>
                </c:pt>
                <c:pt idx="2598">
                  <c:v>On the Road </c:v>
                </c:pt>
                <c:pt idx="2599">
                  <c:v>On the Waterfront </c:v>
                </c:pt>
                <c:pt idx="2600">
                  <c:v>Once in a Lifetime: The Extraordinary Story of the New York Cosmos </c:v>
                </c:pt>
                <c:pt idx="2601">
                  <c:v>Once Upon a Time in America </c:v>
                </c:pt>
                <c:pt idx="2602">
                  <c:v>Once Upon a Time in Mexico </c:v>
                </c:pt>
                <c:pt idx="2603">
                  <c:v>Once Upon a Time in Queens </c:v>
                </c:pt>
                <c:pt idx="2604">
                  <c:v>Once Upon a Time in the West </c:v>
                </c:pt>
                <c:pt idx="2605">
                  <c:v>Once </c:v>
                </c:pt>
                <c:pt idx="2606">
                  <c:v>Ondine </c:v>
                </c:pt>
                <c:pt idx="2607">
                  <c:v>One Day </c:v>
                </c:pt>
                <c:pt idx="2608">
                  <c:v>One Direction: This Is Us </c:v>
                </c:pt>
                <c:pt idx="2609">
                  <c:v>One Flew Over the Cuckoo's Nest </c:v>
                </c:pt>
                <c:pt idx="2610">
                  <c:v>One for the Money </c:v>
                </c:pt>
                <c:pt idx="2611">
                  <c:v>One Hour Photo </c:v>
                </c:pt>
                <c:pt idx="2612">
                  <c:v>One Man's Hero </c:v>
                </c:pt>
                <c:pt idx="2613">
                  <c:v>One Missed Call </c:v>
                </c:pt>
                <c:pt idx="2614">
                  <c:v>One Night with the King </c:v>
                </c:pt>
                <c:pt idx="2615">
                  <c:v>One to Another </c:v>
                </c:pt>
                <c:pt idx="2616">
                  <c:v>One True Thing </c:v>
                </c:pt>
                <c:pt idx="2617">
                  <c:v>Ong-bak 2 </c:v>
                </c:pt>
                <c:pt idx="2618">
                  <c:v>Only God Forgives </c:v>
                </c:pt>
                <c:pt idx="2619">
                  <c:v>Only the Strong </c:v>
                </c:pt>
                <c:pt idx="2620">
                  <c:v>Opal Dream </c:v>
                </c:pt>
                <c:pt idx="2621">
                  <c:v>Open Range </c:v>
                </c:pt>
                <c:pt idx="2622">
                  <c:v>Open Road </c:v>
                </c:pt>
                <c:pt idx="2623">
                  <c:v>Open Season </c:v>
                </c:pt>
                <c:pt idx="2624">
                  <c:v>Open Secret </c:v>
                </c:pt>
                <c:pt idx="2625">
                  <c:v>Open Water </c:v>
                </c:pt>
                <c:pt idx="2626">
                  <c:v>Operation Chromite </c:v>
                </c:pt>
                <c:pt idx="2627">
                  <c:v>Ordet </c:v>
                </c:pt>
                <c:pt idx="2628">
                  <c:v>Ordinary People </c:v>
                </c:pt>
                <c:pt idx="2629">
                  <c:v>Orgazmo </c:v>
                </c:pt>
                <c:pt idx="2630">
                  <c:v>Original Sin </c:v>
                </c:pt>
                <c:pt idx="2631">
                  <c:v>Orphan </c:v>
                </c:pt>
                <c:pt idx="2632">
                  <c:v>Osama </c:v>
                </c:pt>
                <c:pt idx="2633">
                  <c:v>Oscar and Lucinda </c:v>
                </c:pt>
                <c:pt idx="2634">
                  <c:v>Osmosis Jones </c:v>
                </c:pt>
                <c:pt idx="2635">
                  <c:v>Ouija </c:v>
                </c:pt>
                <c:pt idx="2636">
                  <c:v>Our Brand Is Crisis </c:v>
                </c:pt>
                <c:pt idx="2637">
                  <c:v>Our Family Wedding </c:v>
                </c:pt>
                <c:pt idx="2638">
                  <c:v>Our Idiot Brother </c:v>
                </c:pt>
                <c:pt idx="2639">
                  <c:v>Our Kind of Traitor </c:v>
                </c:pt>
                <c:pt idx="2640">
                  <c:v>Out Cold </c:v>
                </c:pt>
                <c:pt idx="2641">
                  <c:v>Out of Africa </c:v>
                </c:pt>
                <c:pt idx="2642">
                  <c:v>Out of Inferno </c:v>
                </c:pt>
                <c:pt idx="2643">
                  <c:v>Out of Sight </c:v>
                </c:pt>
                <c:pt idx="2644">
                  <c:v>Out of the Blue </c:v>
                </c:pt>
                <c:pt idx="2645">
                  <c:v>Out of the Dark </c:v>
                </c:pt>
                <c:pt idx="2646">
                  <c:v>Out of the Furnace </c:v>
                </c:pt>
                <c:pt idx="2647">
                  <c:v>Out of Time </c:v>
                </c:pt>
                <c:pt idx="2648">
                  <c:v>Outbreak </c:v>
                </c:pt>
                <c:pt idx="2649">
                  <c:v>Outlander </c:v>
                </c:pt>
                <c:pt idx="2650">
                  <c:v>Outside Bet </c:v>
                </c:pt>
                <c:pt idx="2651">
                  <c:v>Outside Providence </c:v>
                </c:pt>
                <c:pt idx="2652">
                  <c:v>Over Her Dead Body </c:v>
                </c:pt>
                <c:pt idx="2653">
                  <c:v>Over the Hedge </c:v>
                </c:pt>
                <c:pt idx="2654">
                  <c:v>Over the Hill to the Poorhouse </c:v>
                </c:pt>
                <c:pt idx="2655">
                  <c:v>Owning Mahowny </c:v>
                </c:pt>
                <c:pt idx="2656">
                  <c:v>Oz the Great and Powerful </c:v>
                </c:pt>
                <c:pt idx="2657">
                  <c:v>P.S. I Love You </c:v>
                </c:pt>
                <c:pt idx="2658">
                  <c:v>Paa </c:v>
                </c:pt>
                <c:pt idx="2659">
                  <c:v>Pacific Rim </c:v>
                </c:pt>
                <c:pt idx="2660">
                  <c:v>Paddington </c:v>
                </c:pt>
                <c:pt idx="2661">
                  <c:v>Pain &amp; Gain </c:v>
                </c:pt>
                <c:pt idx="2662">
                  <c:v>Paint Your Wagon </c:v>
                </c:pt>
                <c:pt idx="2663">
                  <c:v>Pale Rider </c:v>
                </c:pt>
                <c:pt idx="2664">
                  <c:v>Palo Alto </c:v>
                </c:pt>
                <c:pt idx="2665">
                  <c:v>Pan </c:v>
                </c:pt>
                <c:pt idx="2666">
                  <c:v>Pandaemonium </c:v>
                </c:pt>
                <c:pt idx="2667">
                  <c:v>Pandora's Box </c:v>
                </c:pt>
                <c:pt idx="2668">
                  <c:v>Pandorum </c:v>
                </c:pt>
                <c:pt idx="2669">
                  <c:v>Panic Room </c:v>
                </c:pt>
                <c:pt idx="2670">
                  <c:v>Pan's Labyrinth </c:v>
                </c:pt>
                <c:pt idx="2671">
                  <c:v>Paparazzi </c:v>
                </c:pt>
                <c:pt idx="2672">
                  <c:v>Paper Towns </c:v>
                </c:pt>
                <c:pt idx="2673">
                  <c:v>Paranormal Activity 2 </c:v>
                </c:pt>
                <c:pt idx="2674">
                  <c:v>Paranormal Activity 3 </c:v>
                </c:pt>
                <c:pt idx="2675">
                  <c:v>Paranormal Activity 4 </c:v>
                </c:pt>
                <c:pt idx="2676">
                  <c:v>Paranormal Activity </c:v>
                </c:pt>
                <c:pt idx="2677">
                  <c:v>Paranormal Activity: The Marked Ones </c:v>
                </c:pt>
                <c:pt idx="2678">
                  <c:v>ParaNorman </c:v>
                </c:pt>
                <c:pt idx="2679">
                  <c:v>Parental Guidance </c:v>
                </c:pt>
                <c:pt idx="2680">
                  <c:v>Paris, je t'aime </c:v>
                </c:pt>
                <c:pt idx="2681">
                  <c:v>Parker </c:v>
                </c:pt>
                <c:pt idx="2682">
                  <c:v>Partition </c:v>
                </c:pt>
                <c:pt idx="2683">
                  <c:v>Party Monster </c:v>
                </c:pt>
                <c:pt idx="2684">
                  <c:v>Passchendaele </c:v>
                </c:pt>
                <c:pt idx="2685">
                  <c:v>Pat Garrett &amp; Billy the Kid </c:v>
                </c:pt>
                <c:pt idx="2686">
                  <c:v>Patch Adams </c:v>
                </c:pt>
                <c:pt idx="2687">
                  <c:v>Pathology </c:v>
                </c:pt>
                <c:pt idx="2688">
                  <c:v>Patriot Games </c:v>
                </c:pt>
                <c:pt idx="2689">
                  <c:v>Patton </c:v>
                </c:pt>
                <c:pt idx="2690">
                  <c:v>Paul Blart: Mall Cop 2 </c:v>
                </c:pt>
                <c:pt idx="2691">
                  <c:v>Paul Blart: Mall Cop </c:v>
                </c:pt>
                <c:pt idx="2692">
                  <c:v>Paul </c:v>
                </c:pt>
                <c:pt idx="2693">
                  <c:v>Pay It Forward </c:v>
                </c:pt>
                <c:pt idx="2694">
                  <c:v>Payback </c:v>
                </c:pt>
                <c:pt idx="2695">
                  <c:v>Paycheck </c:v>
                </c:pt>
                <c:pt idx="2696">
                  <c:v>PCU </c:v>
                </c:pt>
                <c:pt idx="2697">
                  <c:v>Peace, Propaganda &amp; the Promised Land </c:v>
                </c:pt>
                <c:pt idx="2698">
                  <c:v>Peaceful Warrior </c:v>
                </c:pt>
                <c:pt idx="2699">
                  <c:v>Pearl Harbor </c:v>
                </c:pt>
                <c:pt idx="2700">
                  <c:v>Peeples </c:v>
                </c:pt>
                <c:pt idx="2701">
                  <c:v>Peggy Sue Got Married </c:v>
                </c:pt>
                <c:pt idx="2702">
                  <c:v>Penguins of Madagascar </c:v>
                </c:pt>
                <c:pt idx="2703">
                  <c:v>Penitentiary </c:v>
                </c:pt>
                <c:pt idx="2704">
                  <c:v>People I Know </c:v>
                </c:pt>
                <c:pt idx="2705">
                  <c:v>Perception </c:v>
                </c:pt>
                <c:pt idx="2706">
                  <c:v>Percy Jackson &amp; the Olympians: The Lightning Thief </c:v>
                </c:pt>
                <c:pt idx="2707">
                  <c:v>Percy Jackson: Sea of Monsters </c:v>
                </c:pt>
                <c:pt idx="2708">
                  <c:v>Perfect Cowboy </c:v>
                </c:pt>
                <c:pt idx="2709">
                  <c:v>Perfume: The Story of a Murderer </c:v>
                </c:pt>
                <c:pt idx="2710">
                  <c:v>Perrier's Bounty </c:v>
                </c:pt>
                <c:pt idx="2711">
                  <c:v>Persepolis </c:v>
                </c:pt>
                <c:pt idx="2712">
                  <c:v>Pet Sematary </c:v>
                </c:pt>
                <c:pt idx="2713">
                  <c:v>Pete's Dragon </c:v>
                </c:pt>
                <c:pt idx="2714">
                  <c:v>Phantasm II </c:v>
                </c:pt>
                <c:pt idx="2715">
                  <c:v>Phat Girlz </c:v>
                </c:pt>
                <c:pt idx="2716">
                  <c:v>Phenomenon </c:v>
                </c:pt>
                <c:pt idx="2717">
                  <c:v>Philadelphia </c:v>
                </c:pt>
                <c:pt idx="2718">
                  <c:v>Philomena </c:v>
                </c:pt>
                <c:pt idx="2719">
                  <c:v>Phone Booth </c:v>
                </c:pt>
                <c:pt idx="2720">
                  <c:v>Pi </c:v>
                </c:pt>
                <c:pt idx="2721">
                  <c:v>Pieces of April </c:v>
                </c:pt>
                <c:pt idx="2722">
                  <c:v>Pierrot le Fou </c:v>
                </c:pt>
                <c:pt idx="2723">
                  <c:v>Pineapple Express </c:v>
                </c:pt>
                <c:pt idx="2724">
                  <c:v>Pink Flamingos </c:v>
                </c:pt>
                <c:pt idx="2725">
                  <c:v>Pink Narcissus </c:v>
                </c:pt>
                <c:pt idx="2726">
                  <c:v>Pink Ribbons, Inc. </c:v>
                </c:pt>
                <c:pt idx="2727">
                  <c:v>Pinocchio </c:v>
                </c:pt>
                <c:pt idx="2728">
                  <c:v>Piranha 3D </c:v>
                </c:pt>
                <c:pt idx="2729">
                  <c:v>Pirate Radio </c:v>
                </c:pt>
                <c:pt idx="2730">
                  <c:v>Pirates of the Caribbean: At World's End </c:v>
                </c:pt>
                <c:pt idx="2731">
                  <c:v>Pirates of the Caribbean: Dead Man's Chest </c:v>
                </c:pt>
                <c:pt idx="2732">
                  <c:v>Pirates of the Caribbean: On Stranger Tides </c:v>
                </c:pt>
                <c:pt idx="2733">
                  <c:v>Pirates of the Caribbean: The Curse of the Black Pearl </c:v>
                </c:pt>
                <c:pt idx="2734">
                  <c:v>Pitch Black </c:v>
                </c:pt>
                <c:pt idx="2735">
                  <c:v>Pitch Perfect 2 </c:v>
                </c:pt>
                <c:pt idx="2736">
                  <c:v>Pitch Perfect </c:v>
                </c:pt>
                <c:pt idx="2737">
                  <c:v>Pixels </c:v>
                </c:pt>
                <c:pt idx="2738">
                  <c:v>Planet 51 </c:v>
                </c:pt>
                <c:pt idx="2739">
                  <c:v>Planet of the Apes </c:v>
                </c:pt>
                <c:pt idx="2740">
                  <c:v>Plastic </c:v>
                </c:pt>
                <c:pt idx="2741">
                  <c:v>Platoon </c:v>
                </c:pt>
                <c:pt idx="2742">
                  <c:v>Play It to the Bone </c:v>
                </c:pt>
                <c:pt idx="2743">
                  <c:v>Playing for Keeps </c:v>
                </c:pt>
                <c:pt idx="2744">
                  <c:v>Please Give </c:v>
                </c:pt>
                <c:pt idx="2745">
                  <c:v>Plush </c:v>
                </c:pt>
                <c:pt idx="2746">
                  <c:v>Pocahontas </c:v>
                </c:pt>
                <c:pt idx="2747">
                  <c:v>Pocketful of Miracles </c:v>
                </c:pt>
                <c:pt idx="2748">
                  <c:v>Poetic Justice </c:v>
                </c:pt>
                <c:pt idx="2749">
                  <c:v>Point Blank </c:v>
                </c:pt>
                <c:pt idx="2750">
                  <c:v>Point Break </c:v>
                </c:pt>
                <c:pt idx="2751">
                  <c:v>Pokémon 3: The Movie </c:v>
                </c:pt>
                <c:pt idx="2752">
                  <c:v>Police Academy </c:v>
                </c:pt>
                <c:pt idx="2753">
                  <c:v>Police Academy: Mission to Moscow </c:v>
                </c:pt>
                <c:pt idx="2754">
                  <c:v>Polisse </c:v>
                </c:pt>
                <c:pt idx="2755">
                  <c:v>Pollock </c:v>
                </c:pt>
                <c:pt idx="2756">
                  <c:v>Poltergeist III </c:v>
                </c:pt>
                <c:pt idx="2757">
                  <c:v>Poltergeist </c:v>
                </c:pt>
                <c:pt idx="2758">
                  <c:v>Pompeii </c:v>
                </c:pt>
                <c:pt idx="2759">
                  <c:v>Pontypool </c:v>
                </c:pt>
                <c:pt idx="2760">
                  <c:v>Ponyo </c:v>
                </c:pt>
                <c:pt idx="2761">
                  <c:v>Pooh's Heffalump Movie </c:v>
                </c:pt>
                <c:pt idx="2762">
                  <c:v>Poolhall Junkies </c:v>
                </c:pt>
                <c:pt idx="2763">
                  <c:v>Pootie Tang </c:v>
                </c:pt>
                <c:pt idx="2764">
                  <c:v>Porky's </c:v>
                </c:pt>
                <c:pt idx="2765">
                  <c:v>Poseidon </c:v>
                </c:pt>
                <c:pt idx="2766">
                  <c:v>Post Grad </c:v>
                </c:pt>
                <c:pt idx="2767">
                  <c:v>Poultrygeist: Night of the Chicken Dead </c:v>
                </c:pt>
                <c:pt idx="2768">
                  <c:v>Pound of Flesh </c:v>
                </c:pt>
                <c:pt idx="2769">
                  <c:v>Practical Magic </c:v>
                </c:pt>
                <c:pt idx="2770">
                  <c:v>Preacher </c:v>
                </c:pt>
                <c:pt idx="2771">
                  <c:v>Precious </c:v>
                </c:pt>
                <c:pt idx="2772">
                  <c:v>Predator 2 </c:v>
                </c:pt>
                <c:pt idx="2773">
                  <c:v>Predator </c:v>
                </c:pt>
                <c:pt idx="2774">
                  <c:v>Predators </c:v>
                </c:pt>
                <c:pt idx="2775">
                  <c:v>Prefontaine </c:v>
                </c:pt>
                <c:pt idx="2776">
                  <c:v>Premium Rush </c:v>
                </c:pt>
                <c:pt idx="2777">
                  <c:v>Premonition </c:v>
                </c:pt>
                <c:pt idx="2778">
                  <c:v>Pretty Woman </c:v>
                </c:pt>
                <c:pt idx="2779">
                  <c:v>Pride &amp; Prejudice </c:v>
                </c:pt>
                <c:pt idx="2780">
                  <c:v>Pride and Glory </c:v>
                </c:pt>
                <c:pt idx="2781">
                  <c:v>Pride and Prejudice and Zombies </c:v>
                </c:pt>
                <c:pt idx="2782">
                  <c:v>Priest </c:v>
                </c:pt>
                <c:pt idx="2783">
                  <c:v>Primary Colors </c:v>
                </c:pt>
                <c:pt idx="2784">
                  <c:v>Primer </c:v>
                </c:pt>
                <c:pt idx="2785">
                  <c:v>Prince of Persia: The Sands of Time </c:v>
                </c:pt>
                <c:pt idx="2786">
                  <c:v>Princess Kaiulani </c:v>
                </c:pt>
                <c:pt idx="2787">
                  <c:v>Princess Mononoke </c:v>
                </c:pt>
                <c:pt idx="2788">
                  <c:v>Prison </c:v>
                </c:pt>
                <c:pt idx="2789">
                  <c:v>Prisoners </c:v>
                </c:pt>
                <c:pt idx="2790">
                  <c:v>Private Benjamin </c:v>
                </c:pt>
                <c:pt idx="2791">
                  <c:v>Project Almanac </c:v>
                </c:pt>
                <c:pt idx="2792">
                  <c:v>Project X </c:v>
                </c:pt>
                <c:pt idx="2793">
                  <c:v>Prom Night </c:v>
                </c:pt>
                <c:pt idx="2794">
                  <c:v>Prom </c:v>
                </c:pt>
                <c:pt idx="2795">
                  <c:v>Prometheus </c:v>
                </c:pt>
                <c:pt idx="2796">
                  <c:v>Promised Land </c:v>
                </c:pt>
                <c:pt idx="2797">
                  <c:v>Proof of Life </c:v>
                </c:pt>
                <c:pt idx="2798">
                  <c:v>Prophecy </c:v>
                </c:pt>
                <c:pt idx="2799">
                  <c:v>Proud </c:v>
                </c:pt>
                <c:pt idx="2800">
                  <c:v>Psych </c:v>
                </c:pt>
                <c:pt idx="2801">
                  <c:v>Psycho Beach Party </c:v>
                </c:pt>
                <c:pt idx="2802">
                  <c:v>Psycho </c:v>
                </c:pt>
                <c:pt idx="2803">
                  <c:v>Public Enemies </c:v>
                </c:pt>
                <c:pt idx="2804">
                  <c:v>Pulp Fiction </c:v>
                </c:pt>
                <c:pt idx="2805">
                  <c:v>Pulse </c:v>
                </c:pt>
                <c:pt idx="2806">
                  <c:v>Punch-Drunk Love </c:v>
                </c:pt>
                <c:pt idx="2807">
                  <c:v>Punisher: War Zone </c:v>
                </c:pt>
                <c:pt idx="2808">
                  <c:v>Purple Violets </c:v>
                </c:pt>
                <c:pt idx="2809">
                  <c:v>Pushing Tin </c:v>
                </c:pt>
                <c:pt idx="2810">
                  <c:v>Puss in Boots </c:v>
                </c:pt>
                <c:pt idx="2811">
                  <c:v>Q </c:v>
                </c:pt>
                <c:pt idx="2812">
                  <c:v>Quantum of Solace </c:v>
                </c:pt>
                <c:pt idx="2813">
                  <c:v>Quarantine </c:v>
                </c:pt>
                <c:pt idx="2814">
                  <c:v>Quartet </c:v>
                </c:pt>
                <c:pt idx="2815">
                  <c:v>Queen Crab </c:v>
                </c:pt>
                <c:pt idx="2816">
                  <c:v>Queen of the Damned </c:v>
                </c:pt>
                <c:pt idx="2817">
                  <c:v>Queen of the Mountains </c:v>
                </c:pt>
                <c:pt idx="2818">
                  <c:v>Quest for Fire </c:v>
                </c:pt>
                <c:pt idx="2819">
                  <c:v>Quigley Down Under </c:v>
                </c:pt>
                <c:pt idx="2820">
                  <c:v>Quills </c:v>
                </c:pt>
                <c:pt idx="2821">
                  <c:v>Quinceañera </c:v>
                </c:pt>
                <c:pt idx="2822">
                  <c:v>Quo Vadis </c:v>
                </c:pt>
                <c:pt idx="2823">
                  <c:v>R.I.P.D. </c:v>
                </c:pt>
                <c:pt idx="2824">
                  <c:v>R.L. Stine's Monsterville: The Cabinet of Souls </c:v>
                </c:pt>
                <c:pt idx="2825">
                  <c:v>R100 </c:v>
                </c:pt>
                <c:pt idx="2826">
                  <c:v>Rabbit Hole </c:v>
                </c:pt>
                <c:pt idx="2827">
                  <c:v>Rabbit-Proof Fence </c:v>
                </c:pt>
                <c:pt idx="2828">
                  <c:v>Race to Witch Mountain </c:v>
                </c:pt>
                <c:pt idx="2829">
                  <c:v>Race </c:v>
                </c:pt>
                <c:pt idx="2830">
                  <c:v>Rachel Getting Married </c:v>
                </c:pt>
                <c:pt idx="2831">
                  <c:v>Racing Stripes </c:v>
                </c:pt>
                <c:pt idx="2832">
                  <c:v>Radio Days </c:v>
                </c:pt>
                <c:pt idx="2833">
                  <c:v>Radio Flyer </c:v>
                </c:pt>
                <c:pt idx="2834">
                  <c:v>Radio </c:v>
                </c:pt>
                <c:pt idx="2835">
                  <c:v>Raging Bull </c:v>
                </c:pt>
                <c:pt idx="2836">
                  <c:v>Raiders of the Lost Ark </c:v>
                </c:pt>
                <c:pt idx="2837">
                  <c:v>Rain Man </c:v>
                </c:pt>
                <c:pt idx="2838">
                  <c:v>Raise the Titanic </c:v>
                </c:pt>
                <c:pt idx="2839">
                  <c:v>Raise Your Voice </c:v>
                </c:pt>
                <c:pt idx="2840">
                  <c:v>Raising Cain </c:v>
                </c:pt>
                <c:pt idx="2841">
                  <c:v>Raising Helen </c:v>
                </c:pt>
                <c:pt idx="2842">
                  <c:v>Raising Victor Vargas </c:v>
                </c:pt>
                <c:pt idx="2843">
                  <c:v>Ramanujan </c:v>
                </c:pt>
                <c:pt idx="2844">
                  <c:v>Rambo III </c:v>
                </c:pt>
                <c:pt idx="2845">
                  <c:v>Rambo: First Blood Part II </c:v>
                </c:pt>
                <c:pt idx="2846">
                  <c:v>Ramona and Beezus </c:v>
                </c:pt>
                <c:pt idx="2847">
                  <c:v>Rampage </c:v>
                </c:pt>
                <c:pt idx="2848">
                  <c:v>Random Hearts </c:v>
                </c:pt>
                <c:pt idx="2849">
                  <c:v>Rang De Basanti </c:v>
                </c:pt>
                <c:pt idx="2850">
                  <c:v>Rango </c:v>
                </c:pt>
                <c:pt idx="2851">
                  <c:v>Ransom </c:v>
                </c:pt>
                <c:pt idx="2852">
                  <c:v>Rapa Nui </c:v>
                </c:pt>
                <c:pt idx="2853">
                  <c:v>Rat Race </c:v>
                </c:pt>
                <c:pt idx="2854">
                  <c:v>Ratatouille </c:v>
                </c:pt>
                <c:pt idx="2855">
                  <c:v>Ravenous </c:v>
                </c:pt>
                <c:pt idx="2856">
                  <c:v>Ray </c:v>
                </c:pt>
                <c:pt idx="2857">
                  <c:v>Raymond Did It </c:v>
                </c:pt>
                <c:pt idx="2858">
                  <c:v>Ready to Rumble </c:v>
                </c:pt>
                <c:pt idx="2859">
                  <c:v>Real Steel </c:v>
                </c:pt>
                <c:pt idx="2860">
                  <c:v>Real Women Have Curves </c:v>
                </c:pt>
                <c:pt idx="2861">
                  <c:v>Rebecca </c:v>
                </c:pt>
                <c:pt idx="2862">
                  <c:v>Recess: School's Out </c:v>
                </c:pt>
                <c:pt idx="2863">
                  <c:v>RED 2 </c:v>
                </c:pt>
                <c:pt idx="2864">
                  <c:v>Red Cliff </c:v>
                </c:pt>
                <c:pt idx="2865">
                  <c:v>Red Dawn </c:v>
                </c:pt>
                <c:pt idx="2866">
                  <c:v>Red Dog </c:v>
                </c:pt>
                <c:pt idx="2867">
                  <c:v>Red Dragon </c:v>
                </c:pt>
                <c:pt idx="2868">
                  <c:v>Red Eye </c:v>
                </c:pt>
                <c:pt idx="2869">
                  <c:v>Red Lights </c:v>
                </c:pt>
                <c:pt idx="2870">
                  <c:v>Red Planet </c:v>
                </c:pt>
                <c:pt idx="2871">
                  <c:v>Red Riding Hood </c:v>
                </c:pt>
                <c:pt idx="2872">
                  <c:v>Red Riding: In the Year of Our Lord 1974 </c:v>
                </c:pt>
                <c:pt idx="2873">
                  <c:v>Red River </c:v>
                </c:pt>
                <c:pt idx="2874">
                  <c:v>Red Sky </c:v>
                </c:pt>
                <c:pt idx="2875">
                  <c:v>Red Sonja </c:v>
                </c:pt>
                <c:pt idx="2876">
                  <c:v>Red State </c:v>
                </c:pt>
                <c:pt idx="2877">
                  <c:v>Red Tails </c:v>
                </c:pt>
                <c:pt idx="2878">
                  <c:v>RED </c:v>
                </c:pt>
                <c:pt idx="2879">
                  <c:v>Redacted </c:v>
                </c:pt>
                <c:pt idx="2880">
                  <c:v>Redbelt </c:v>
                </c:pt>
                <c:pt idx="2881">
                  <c:v>Redemption Road </c:v>
                </c:pt>
                <c:pt idx="2882">
                  <c:v>Reds </c:v>
                </c:pt>
                <c:pt idx="2883">
                  <c:v>Regression </c:v>
                </c:pt>
                <c:pt idx="2884">
                  <c:v>Reign of Assassins </c:v>
                </c:pt>
                <c:pt idx="2885">
                  <c:v>Reign of Fire </c:v>
                </c:pt>
                <c:pt idx="2886">
                  <c:v>Reign Over Me </c:v>
                </c:pt>
                <c:pt idx="2887">
                  <c:v>Reindeer Games </c:v>
                </c:pt>
                <c:pt idx="2888">
                  <c:v>Re-Kill </c:v>
                </c:pt>
                <c:pt idx="2889">
                  <c:v>Religulous </c:v>
                </c:pt>
                <c:pt idx="2890">
                  <c:v>Remember Me </c:v>
                </c:pt>
                <c:pt idx="2891">
                  <c:v>Remember Me, My Love </c:v>
                </c:pt>
                <c:pt idx="2892">
                  <c:v>Remember the Titans </c:v>
                </c:pt>
                <c:pt idx="2893">
                  <c:v>Renaissance Man </c:v>
                </c:pt>
                <c:pt idx="2894">
                  <c:v>Renaissance </c:v>
                </c:pt>
                <c:pt idx="2895">
                  <c:v>Rendition </c:v>
                </c:pt>
                <c:pt idx="2896">
                  <c:v>Reno 911!: Miami </c:v>
                </c:pt>
                <c:pt idx="2897">
                  <c:v>Rent </c:v>
                </c:pt>
                <c:pt idx="2898">
                  <c:v>Repo Man </c:v>
                </c:pt>
                <c:pt idx="2899">
                  <c:v>Repo Men </c:v>
                </c:pt>
                <c:pt idx="2900">
                  <c:v>Repo! The Genetic Opera </c:v>
                </c:pt>
                <c:pt idx="2901">
                  <c:v>Requiem for a Dream </c:v>
                </c:pt>
                <c:pt idx="2902">
                  <c:v>Rescue Dawn </c:v>
                </c:pt>
                <c:pt idx="2903">
                  <c:v>Reservoir Dogs </c:v>
                </c:pt>
                <c:pt idx="2904">
                  <c:v>Resident Evil </c:v>
                </c:pt>
                <c:pt idx="2905">
                  <c:v>Resident Evil: Afterlife </c:v>
                </c:pt>
                <c:pt idx="2906">
                  <c:v>Resident Evil: Apocalypse </c:v>
                </c:pt>
                <c:pt idx="2907">
                  <c:v>Resident Evil: Extinction </c:v>
                </c:pt>
                <c:pt idx="2908">
                  <c:v>Resident Evil: Retribution </c:v>
                </c:pt>
                <c:pt idx="2909">
                  <c:v>Restless </c:v>
                </c:pt>
                <c:pt idx="2910">
                  <c:v>Restoration </c:v>
                </c:pt>
                <c:pt idx="2911">
                  <c:v>Resurrecting the Champ </c:v>
                </c:pt>
                <c:pt idx="2912">
                  <c:v>Return of the Living Dead III </c:v>
                </c:pt>
                <c:pt idx="2913">
                  <c:v>Return to Me </c:v>
                </c:pt>
                <c:pt idx="2914">
                  <c:v>Return to Never Land </c:v>
                </c:pt>
                <c:pt idx="2915">
                  <c:v>Return to Oz </c:v>
                </c:pt>
                <c:pt idx="2916">
                  <c:v>Return to the Blue Lagoon </c:v>
                </c:pt>
                <c:pt idx="2917">
                  <c:v>Revolution </c:v>
                </c:pt>
                <c:pt idx="2918">
                  <c:v>Revolutionary Road </c:v>
                </c:pt>
                <c:pt idx="2919">
                  <c:v>Ri¢hie Ri¢h </c:v>
                </c:pt>
                <c:pt idx="2920">
                  <c:v>Richard III </c:v>
                </c:pt>
                <c:pt idx="2921">
                  <c:v>Riddick </c:v>
                </c:pt>
                <c:pt idx="2922">
                  <c:v>Ride Along 2 </c:v>
                </c:pt>
                <c:pt idx="2923">
                  <c:v>Ride Along </c:v>
                </c:pt>
                <c:pt idx="2924">
                  <c:v>Ride with the Devil </c:v>
                </c:pt>
                <c:pt idx="2925">
                  <c:v>Riding Giants </c:v>
                </c:pt>
                <c:pt idx="2926">
                  <c:v>Riding in Cars with Boys </c:v>
                </c:pt>
                <c:pt idx="2927">
                  <c:v>Righteous Kill </c:v>
                </c:pt>
                <c:pt idx="2928">
                  <c:v>Rio 2 </c:v>
                </c:pt>
                <c:pt idx="2929">
                  <c:v>Rio </c:v>
                </c:pt>
                <c:pt idx="2930">
                  <c:v>Ripley's Game </c:v>
                </c:pt>
                <c:pt idx="2931">
                  <c:v>Rise of the Entrepreneur: The Search for a Better Way </c:v>
                </c:pt>
                <c:pt idx="2932">
                  <c:v>Rise of the Guardians </c:v>
                </c:pt>
                <c:pt idx="2933">
                  <c:v>Rise of the Planet of the Apes </c:v>
                </c:pt>
                <c:pt idx="2934">
                  <c:v>Risen </c:v>
                </c:pt>
                <c:pt idx="2935">
                  <c:v>River's Edge </c:v>
                </c:pt>
                <c:pt idx="2936">
                  <c:v>Rize </c:v>
                </c:pt>
                <c:pt idx="2937">
                  <c:v>Road Hard </c:v>
                </c:pt>
                <c:pt idx="2938">
                  <c:v>Road House </c:v>
                </c:pt>
                <c:pt idx="2939">
                  <c:v>Road to Perdition </c:v>
                </c:pt>
                <c:pt idx="2940">
                  <c:v>Road Trip </c:v>
                </c:pt>
                <c:pt idx="2941">
                  <c:v>Roadside Romeo </c:v>
                </c:pt>
                <c:pt idx="2942">
                  <c:v>Roadside </c:v>
                </c:pt>
                <c:pt idx="2943">
                  <c:v>Roar </c:v>
                </c:pt>
                <c:pt idx="2944">
                  <c:v>Rob Roy </c:v>
                </c:pt>
                <c:pt idx="2945">
                  <c:v>Robin and Marian </c:v>
                </c:pt>
                <c:pt idx="2946">
                  <c:v>Robin Hood </c:v>
                </c:pt>
                <c:pt idx="2947">
                  <c:v>Robin Hood: Prince of Thieves </c:v>
                </c:pt>
                <c:pt idx="2948">
                  <c:v>RoboCop 3 </c:v>
                </c:pt>
                <c:pt idx="2949">
                  <c:v>RoboCop </c:v>
                </c:pt>
                <c:pt idx="2950">
                  <c:v>Robot &amp; Frank </c:v>
                </c:pt>
                <c:pt idx="2951">
                  <c:v>Robot Chicken </c:v>
                </c:pt>
                <c:pt idx="2952">
                  <c:v>Robots </c:v>
                </c:pt>
                <c:pt idx="2953">
                  <c:v>Rock of Ages </c:v>
                </c:pt>
                <c:pt idx="2954">
                  <c:v>Rock Star </c:v>
                </c:pt>
                <c:pt idx="2955">
                  <c:v>Rockaway </c:v>
                </c:pt>
                <c:pt idx="2956">
                  <c:v>Rocket Singh: Salesman of the Year </c:v>
                </c:pt>
                <c:pt idx="2957">
                  <c:v>RocknRolla </c:v>
                </c:pt>
                <c:pt idx="2958">
                  <c:v>Rocky Balboa </c:v>
                </c:pt>
                <c:pt idx="2959">
                  <c:v>Rocky </c:v>
                </c:pt>
                <c:pt idx="2960">
                  <c:v>Rodeo Girl </c:v>
                </c:pt>
                <c:pt idx="2961">
                  <c:v>Roger &amp; Me </c:v>
                </c:pt>
                <c:pt idx="2962">
                  <c:v>Rogue </c:v>
                </c:pt>
                <c:pt idx="2963">
                  <c:v>Role Models </c:v>
                </c:pt>
                <c:pt idx="2964">
                  <c:v>Roll Bounce </c:v>
                </c:pt>
                <c:pt idx="2965">
                  <c:v>Rollerball </c:v>
                </c:pt>
                <c:pt idx="2966">
                  <c:v>Romance &amp; Cigarettes </c:v>
                </c:pt>
                <c:pt idx="2967">
                  <c:v>Romantic Schemer </c:v>
                </c:pt>
                <c:pt idx="2968">
                  <c:v>Romeo + Juliet </c:v>
                </c:pt>
                <c:pt idx="2969">
                  <c:v>Romeo Is Bleeding </c:v>
                </c:pt>
                <c:pt idx="2970">
                  <c:v>Romeo Must Die </c:v>
                </c:pt>
                <c:pt idx="2971">
                  <c:v>Ronin </c:v>
                </c:pt>
                <c:pt idx="2972">
                  <c:v>Room </c:v>
                </c:pt>
                <c:pt idx="2973">
                  <c:v>Rosemary's Baby </c:v>
                </c:pt>
                <c:pt idx="2974">
                  <c:v>Rosewater </c:v>
                </c:pt>
                <c:pt idx="2975">
                  <c:v>Rotor DR1 </c:v>
                </c:pt>
                <c:pt idx="2976">
                  <c:v>Rounders </c:v>
                </c:pt>
                <c:pt idx="2977">
                  <c:v>Royal Kill </c:v>
                </c:pt>
                <c:pt idx="2978">
                  <c:v>Rubber </c:v>
                </c:pt>
                <c:pt idx="2979">
                  <c:v>Ruby in Paradise </c:v>
                </c:pt>
                <c:pt idx="2980">
                  <c:v>Rudderless </c:v>
                </c:pt>
                <c:pt idx="2981">
                  <c:v>Rugrats Go Wild </c:v>
                </c:pt>
                <c:pt idx="2982">
                  <c:v>Rugrats in Paris: The Movie </c:v>
                </c:pt>
                <c:pt idx="2983">
                  <c:v>Rules of Engagement </c:v>
                </c:pt>
                <c:pt idx="2984">
                  <c:v>Rumble in the Bronx </c:v>
                </c:pt>
                <c:pt idx="2985">
                  <c:v>Run All Night </c:v>
                </c:pt>
                <c:pt idx="2986">
                  <c:v>Run Lola Run </c:v>
                </c:pt>
                <c:pt idx="2987">
                  <c:v>Run, Fatboy, Run </c:v>
                </c:pt>
                <c:pt idx="2988">
                  <c:v>Run, Hide, Die </c:v>
                </c:pt>
                <c:pt idx="2989">
                  <c:v>Runaway Bride </c:v>
                </c:pt>
                <c:pt idx="2990">
                  <c:v>Runner Runner </c:v>
                </c:pt>
                <c:pt idx="2991">
                  <c:v>Running Forever </c:v>
                </c:pt>
                <c:pt idx="2992">
                  <c:v>Running Scared </c:v>
                </c:pt>
                <c:pt idx="2993">
                  <c:v>Running with Scissors </c:v>
                </c:pt>
                <c:pt idx="2994">
                  <c:v>Rush Hour 2 </c:v>
                </c:pt>
                <c:pt idx="2995">
                  <c:v>Rush Hour 3 </c:v>
                </c:pt>
                <c:pt idx="2996">
                  <c:v>Rush Hour </c:v>
                </c:pt>
                <c:pt idx="2997">
                  <c:v>Rush </c:v>
                </c:pt>
                <c:pt idx="2998">
                  <c:v>Rushmore </c:v>
                </c:pt>
                <c:pt idx="2999">
                  <c:v>Rust </c:v>
                </c:pt>
                <c:pt idx="3000">
                  <c:v>S.W.A.T. </c:v>
                </c:pt>
                <c:pt idx="3001">
                  <c:v>Sabotage </c:v>
                </c:pt>
                <c:pt idx="3002">
                  <c:v>Sabrina, the Teenage Witch             </c:v>
                </c:pt>
                <c:pt idx="3003">
                  <c:v>Safe Haven </c:v>
                </c:pt>
                <c:pt idx="3004">
                  <c:v>Safe House </c:v>
                </c:pt>
                <c:pt idx="3005">
                  <c:v>Safe Men </c:v>
                </c:pt>
                <c:pt idx="3006">
                  <c:v>Safe </c:v>
                </c:pt>
                <c:pt idx="3007">
                  <c:v>Safety Not Guaranteed </c:v>
                </c:pt>
                <c:pt idx="3008">
                  <c:v>Sahara </c:v>
                </c:pt>
                <c:pt idx="3009">
                  <c:v>Saint John of Las Vegas </c:v>
                </c:pt>
                <c:pt idx="3010">
                  <c:v>Saint Ralph </c:v>
                </c:pt>
                <c:pt idx="3011">
                  <c:v>Saints and Soldiers </c:v>
                </c:pt>
                <c:pt idx="3012">
                  <c:v>Salt </c:v>
                </c:pt>
                <c:pt idx="3013">
                  <c:v>Salvador </c:v>
                </c:pt>
                <c:pt idx="3014">
                  <c:v>Salvation Boulevard </c:v>
                </c:pt>
                <c:pt idx="3015">
                  <c:v>Samsara </c:v>
                </c:pt>
                <c:pt idx="3016">
                  <c:v>San Andreas </c:v>
                </c:pt>
                <c:pt idx="3017">
                  <c:v>Sanctuary; Quite a Conundrum </c:v>
                </c:pt>
                <c:pt idx="3018">
                  <c:v>Sanctum </c:v>
                </c:pt>
                <c:pt idx="3019">
                  <c:v>Sands of Iwo Jima </c:v>
                </c:pt>
                <c:pt idx="3020">
                  <c:v>Sarah's Key </c:v>
                </c:pt>
                <c:pt idx="3021">
                  <c:v>Sardaar Ji </c:v>
                </c:pt>
                <c:pt idx="3022">
                  <c:v>Sausage Party </c:v>
                </c:pt>
                <c:pt idx="3023">
                  <c:v>Savage Grace </c:v>
                </c:pt>
                <c:pt idx="3024">
                  <c:v>Savages </c:v>
                </c:pt>
                <c:pt idx="3025">
                  <c:v>Save the Last Dance </c:v>
                </c:pt>
                <c:pt idx="3026">
                  <c:v>Saved! </c:v>
                </c:pt>
                <c:pt idx="3027">
                  <c:v>Saving Face </c:v>
                </c:pt>
                <c:pt idx="3028">
                  <c:v>Saving Grace </c:v>
                </c:pt>
                <c:pt idx="3029">
                  <c:v>Saving Mr. Banks </c:v>
                </c:pt>
                <c:pt idx="3030">
                  <c:v>Saving Private Perez </c:v>
                </c:pt>
                <c:pt idx="3031">
                  <c:v>Saving Private Ryan </c:v>
                </c:pt>
                <c:pt idx="3032">
                  <c:v>Saving Silverman </c:v>
                </c:pt>
                <c:pt idx="3033">
                  <c:v>Saw 3D: The Final Chapter </c:v>
                </c:pt>
                <c:pt idx="3034">
                  <c:v>Saw II </c:v>
                </c:pt>
                <c:pt idx="3035">
                  <c:v>Saw III </c:v>
                </c:pt>
                <c:pt idx="3036">
                  <c:v>Saw IV </c:v>
                </c:pt>
                <c:pt idx="3037">
                  <c:v>Saw V </c:v>
                </c:pt>
                <c:pt idx="3038">
                  <c:v>Saw VI </c:v>
                </c:pt>
                <c:pt idx="3039">
                  <c:v>Saw </c:v>
                </c:pt>
                <c:pt idx="3040">
                  <c:v>Say It Isn't So </c:v>
                </c:pt>
                <c:pt idx="3041">
                  <c:v>Scarface </c:v>
                </c:pt>
                <c:pt idx="3042">
                  <c:v>Scary Movie 2 </c:v>
                </c:pt>
                <c:pt idx="3043">
                  <c:v>Scary Movie 3 </c:v>
                </c:pt>
                <c:pt idx="3044">
                  <c:v>Scary Movie 4 </c:v>
                </c:pt>
                <c:pt idx="3045">
                  <c:v>Scary Movie 5 </c:v>
                </c:pt>
                <c:pt idx="3046">
                  <c:v>Schindler's List </c:v>
                </c:pt>
                <c:pt idx="3047">
                  <c:v>School Daze </c:v>
                </c:pt>
                <c:pt idx="3048">
                  <c:v>School for Scoundrels </c:v>
                </c:pt>
                <c:pt idx="3049">
                  <c:v>School of Rock </c:v>
                </c:pt>
                <c:pt idx="3050">
                  <c:v>Scooby-Doo 2: Monsters Unleashed </c:v>
                </c:pt>
                <c:pt idx="3051">
                  <c:v>Scooby-Doo </c:v>
                </c:pt>
                <c:pt idx="3052">
                  <c:v>Scoop </c:v>
                </c:pt>
                <c:pt idx="3053">
                  <c:v>Scott Pilgrim vs. the World </c:v>
                </c:pt>
                <c:pt idx="3054">
                  <c:v>Scott Walker: 30 Century Man </c:v>
                </c:pt>
                <c:pt idx="3055">
                  <c:v>Scream 2 </c:v>
                </c:pt>
                <c:pt idx="3056">
                  <c:v>Scream 3 </c:v>
                </c:pt>
                <c:pt idx="3057">
                  <c:v>Scream 4 </c:v>
                </c:pt>
                <c:pt idx="3058">
                  <c:v>Scream </c:v>
                </c:pt>
                <c:pt idx="3059">
                  <c:v>Scream: The TV Series </c:v>
                </c:pt>
                <c:pt idx="3060">
                  <c:v>Screwed </c:v>
                </c:pt>
                <c:pt idx="3061">
                  <c:v>Scrooged </c:v>
                </c:pt>
                <c:pt idx="3062">
                  <c:v>Se7en </c:v>
                </c:pt>
                <c:pt idx="3063">
                  <c:v>Sea of Love </c:v>
                </c:pt>
                <c:pt idx="3064">
                  <c:v>Sea Rex 3D: Journey to a Prehistoric World </c:v>
                </c:pt>
                <c:pt idx="3065">
                  <c:v>Seabiscuit </c:v>
                </c:pt>
                <c:pt idx="3066">
                  <c:v>Secondhand Lions </c:v>
                </c:pt>
                <c:pt idx="3067">
                  <c:v>Secret in Their Eyes </c:v>
                </c:pt>
                <c:pt idx="3068">
                  <c:v>Secret Window </c:v>
                </c:pt>
                <c:pt idx="3069">
                  <c:v>Secretariat </c:v>
                </c:pt>
                <c:pt idx="3070">
                  <c:v>Secretary </c:v>
                </c:pt>
                <c:pt idx="3071">
                  <c:v>Secrets and Lies </c:v>
                </c:pt>
                <c:pt idx="3072">
                  <c:v>See Spot Run </c:v>
                </c:pt>
                <c:pt idx="3073">
                  <c:v>Seed of Chucky </c:v>
                </c:pt>
                <c:pt idx="3074">
                  <c:v>Seeking a Friend for the End of the World </c:v>
                </c:pt>
                <c:pt idx="3075">
                  <c:v>Selena </c:v>
                </c:pt>
                <c:pt idx="3076">
                  <c:v>Self/less </c:v>
                </c:pt>
                <c:pt idx="3077">
                  <c:v>Selma </c:v>
                </c:pt>
                <c:pt idx="3078">
                  <c:v>Semi-Pro </c:v>
                </c:pt>
                <c:pt idx="3079">
                  <c:v>Sense and Sensibility </c:v>
                </c:pt>
                <c:pt idx="3080">
                  <c:v>September Dawn </c:v>
                </c:pt>
                <c:pt idx="3081">
                  <c:v>Serendipity </c:v>
                </c:pt>
                <c:pt idx="3082">
                  <c:v>Serenity </c:v>
                </c:pt>
                <c:pt idx="3083">
                  <c:v>Serial Mom </c:v>
                </c:pt>
                <c:pt idx="3084">
                  <c:v>Serving Sara </c:v>
                </c:pt>
                <c:pt idx="3085">
                  <c:v>Session 9 </c:v>
                </c:pt>
                <c:pt idx="3086">
                  <c:v>Set It Off </c:v>
                </c:pt>
                <c:pt idx="3087">
                  <c:v>Seven Pounds </c:v>
                </c:pt>
                <c:pt idx="3088">
                  <c:v>Seven Psychopaths </c:v>
                </c:pt>
                <c:pt idx="3089">
                  <c:v>Seven Samurai </c:v>
                </c:pt>
                <c:pt idx="3090">
                  <c:v>Seven Years in Tibet </c:v>
                </c:pt>
                <c:pt idx="3091">
                  <c:v>Seventh Son </c:v>
                </c:pt>
                <c:pt idx="3092">
                  <c:v>Severance </c:v>
                </c:pt>
                <c:pt idx="3093">
                  <c:v>Sex and the City 2 </c:v>
                </c:pt>
                <c:pt idx="3094">
                  <c:v>Sex and the City </c:v>
                </c:pt>
                <c:pt idx="3095">
                  <c:v>Sex Drive </c:v>
                </c:pt>
                <c:pt idx="3096">
                  <c:v>Sex Tape </c:v>
                </c:pt>
                <c:pt idx="3097">
                  <c:v>Sex with Strangers </c:v>
                </c:pt>
                <c:pt idx="3098">
                  <c:v>Sex, Lies, and Videotape </c:v>
                </c:pt>
                <c:pt idx="3099">
                  <c:v>Sexy Beast </c:v>
                </c:pt>
                <c:pt idx="3100">
                  <c:v>Sgt. Bilko </c:v>
                </c:pt>
                <c:pt idx="3101">
                  <c:v>Shade </c:v>
                </c:pt>
                <c:pt idx="3102">
                  <c:v>Shadow Conspiracy </c:v>
                </c:pt>
                <c:pt idx="3103">
                  <c:v>Shadow of the Vampire </c:v>
                </c:pt>
                <c:pt idx="3104">
                  <c:v>Shadowlands </c:v>
                </c:pt>
                <c:pt idx="3105">
                  <c:v>Shaft </c:v>
                </c:pt>
                <c:pt idx="3106">
                  <c:v>Shakespeare in Love </c:v>
                </c:pt>
                <c:pt idx="3107">
                  <c:v>Shalako </c:v>
                </c:pt>
                <c:pt idx="3108">
                  <c:v>Shall We Dance </c:v>
                </c:pt>
                <c:pt idx="3109">
                  <c:v>Shallow Hal </c:v>
                </c:pt>
                <c:pt idx="3110">
                  <c:v>Shame </c:v>
                </c:pt>
                <c:pt idx="3111">
                  <c:v>Shanghai Calling </c:v>
                </c:pt>
                <c:pt idx="3112">
                  <c:v>Shanghai Knights </c:v>
                </c:pt>
                <c:pt idx="3113">
                  <c:v>Shanghai Noon </c:v>
                </c:pt>
                <c:pt idx="3114">
                  <c:v>Shanghai Surprise </c:v>
                </c:pt>
                <c:pt idx="3115">
                  <c:v>Shaolin Soccer </c:v>
                </c:pt>
                <c:pt idx="3116">
                  <c:v>Shark Lake </c:v>
                </c:pt>
                <c:pt idx="3117">
                  <c:v>Shark Night 3D </c:v>
                </c:pt>
                <c:pt idx="3118">
                  <c:v>Shark Tale </c:v>
                </c:pt>
                <c:pt idx="3119">
                  <c:v>Sharknado </c:v>
                </c:pt>
                <c:pt idx="3120">
                  <c:v>Sharkskin </c:v>
                </c:pt>
                <c:pt idx="3121">
                  <c:v>Shattered Glass </c:v>
                </c:pt>
                <c:pt idx="3122">
                  <c:v>Shattered </c:v>
                </c:pt>
                <c:pt idx="3123">
                  <c:v>Shaun of the Dead </c:v>
                </c:pt>
                <c:pt idx="3124">
                  <c:v>Shaun the Sheep </c:v>
                </c:pt>
                <c:pt idx="3125">
                  <c:v>She Done Him Wrong </c:v>
                </c:pt>
                <c:pt idx="3126">
                  <c:v>She Wore a Yellow Ribbon </c:v>
                </c:pt>
                <c:pt idx="3127">
                  <c:v>Sheena </c:v>
                </c:pt>
                <c:pt idx="3128">
                  <c:v>Sherlock Holmes </c:v>
                </c:pt>
                <c:pt idx="3129">
                  <c:v>Sherlock Holmes: A Game of Shadows </c:v>
                </c:pt>
                <c:pt idx="3130">
                  <c:v>Sherrybaby </c:v>
                </c:pt>
                <c:pt idx="3131">
                  <c:v>She's All That </c:v>
                </c:pt>
                <c:pt idx="3132">
                  <c:v>She's Gotta Have It </c:v>
                </c:pt>
                <c:pt idx="3133">
                  <c:v>She's Out of My League </c:v>
                </c:pt>
                <c:pt idx="3134">
                  <c:v>She's the Man </c:v>
                </c:pt>
                <c:pt idx="3135">
                  <c:v>She's the One </c:v>
                </c:pt>
                <c:pt idx="3136">
                  <c:v>Shine a Light </c:v>
                </c:pt>
                <c:pt idx="3137">
                  <c:v>Shine </c:v>
                </c:pt>
                <c:pt idx="3138">
                  <c:v>Shinjuku Incident </c:v>
                </c:pt>
                <c:pt idx="3139">
                  <c:v>Shipwrecked </c:v>
                </c:pt>
                <c:pt idx="3140">
                  <c:v>Sholem Aleichem: Laughing in the Darkness </c:v>
                </c:pt>
                <c:pt idx="3141">
                  <c:v>Shooter </c:v>
                </c:pt>
                <c:pt idx="3142">
                  <c:v>Shooting Fish </c:v>
                </c:pt>
                <c:pt idx="3143">
                  <c:v>Shooting the Warwicks </c:v>
                </c:pt>
                <c:pt idx="3144">
                  <c:v>Shopgirl </c:v>
                </c:pt>
                <c:pt idx="3145">
                  <c:v>Short Cut to Nirvana: Kumbh Mela </c:v>
                </c:pt>
                <c:pt idx="3146">
                  <c:v>Shortbus </c:v>
                </c:pt>
                <c:pt idx="3147">
                  <c:v>Shorts </c:v>
                </c:pt>
                <c:pt idx="3148">
                  <c:v>Shotgun Stories </c:v>
                </c:pt>
                <c:pt idx="3149">
                  <c:v>Should've Been Romeo </c:v>
                </c:pt>
                <c:pt idx="3150">
                  <c:v>Show Boat </c:v>
                </c:pt>
                <c:pt idx="3151">
                  <c:v>Show Me </c:v>
                </c:pt>
                <c:pt idx="3152">
                  <c:v>Showdown in Little Tokyo </c:v>
                </c:pt>
                <c:pt idx="3153">
                  <c:v>Showgirls </c:v>
                </c:pt>
                <c:pt idx="3154">
                  <c:v>Shrek 2 </c:v>
                </c:pt>
                <c:pt idx="3155">
                  <c:v>Shrek Forever After </c:v>
                </c:pt>
                <c:pt idx="3156">
                  <c:v>Shrek the Third </c:v>
                </c:pt>
                <c:pt idx="3157">
                  <c:v>Shrek </c:v>
                </c:pt>
                <c:pt idx="3158">
                  <c:v>Shutter Island </c:v>
                </c:pt>
                <c:pt idx="3159">
                  <c:v>Shutter </c:v>
                </c:pt>
                <c:pt idx="3160">
                  <c:v>Sicario </c:v>
                </c:pt>
                <c:pt idx="3161">
                  <c:v>Sicko </c:v>
                </c:pt>
                <c:pt idx="3162">
                  <c:v>Side Effects </c:v>
                </c:pt>
                <c:pt idx="3163">
                  <c:v>Sideways </c:v>
                </c:pt>
                <c:pt idx="3164">
                  <c:v>Signed Sealed Delivered </c:v>
                </c:pt>
                <c:pt idx="3165">
                  <c:v>Signs </c:v>
                </c:pt>
                <c:pt idx="3166">
                  <c:v>Silent Hill </c:v>
                </c:pt>
                <c:pt idx="3167">
                  <c:v>Silent Hill: Revelation 3D </c:v>
                </c:pt>
                <c:pt idx="3168">
                  <c:v>Silent House </c:v>
                </c:pt>
                <c:pt idx="3169">
                  <c:v>Silent Movie </c:v>
                </c:pt>
                <c:pt idx="3170">
                  <c:v>Silent Running </c:v>
                </c:pt>
                <c:pt idx="3171">
                  <c:v>Silent Trigger </c:v>
                </c:pt>
                <c:pt idx="3172">
                  <c:v>Silmido </c:v>
                </c:pt>
                <c:pt idx="3173">
                  <c:v>Silver Linings Playbook </c:v>
                </c:pt>
                <c:pt idx="3174">
                  <c:v>Silver Medallist </c:v>
                </c:pt>
                <c:pt idx="3175">
                  <c:v>Silverado </c:v>
                </c:pt>
                <c:pt idx="3176">
                  <c:v>Simon Birch </c:v>
                </c:pt>
                <c:pt idx="3177">
                  <c:v>Simply Irresistible </c:v>
                </c:pt>
                <c:pt idx="3178">
                  <c:v>Sin City </c:v>
                </c:pt>
                <c:pt idx="3179">
                  <c:v>Sin City: A Dame to Kill For </c:v>
                </c:pt>
                <c:pt idx="3180">
                  <c:v>Sinbad: Legend of the Seven Seas </c:v>
                </c:pt>
                <c:pt idx="3181">
                  <c:v>Singin' in the Rain </c:v>
                </c:pt>
                <c:pt idx="3182">
                  <c:v>Sinister 2 </c:v>
                </c:pt>
                <c:pt idx="3183">
                  <c:v>Sinister </c:v>
                </c:pt>
                <c:pt idx="3184">
                  <c:v>Sisters in Law </c:v>
                </c:pt>
                <c:pt idx="3185">
                  <c:v>Six Days Seven Nights </c:v>
                </c:pt>
                <c:pt idx="3186">
                  <c:v>Six-String Samurai </c:v>
                </c:pt>
                <c:pt idx="3187">
                  <c:v>Skin Trade </c:v>
                </c:pt>
                <c:pt idx="3188">
                  <c:v>Sky Captain and the World of Tomorrow </c:v>
                </c:pt>
                <c:pt idx="3189">
                  <c:v>Sky High </c:v>
                </c:pt>
                <c:pt idx="3190">
                  <c:v>Skyfall </c:v>
                </c:pt>
                <c:pt idx="3191">
                  <c:v>Skyline </c:v>
                </c:pt>
                <c:pt idx="3192">
                  <c:v>Slacker Uprising </c:v>
                </c:pt>
                <c:pt idx="3193">
                  <c:v>Slacker </c:v>
                </c:pt>
                <c:pt idx="3194">
                  <c:v>Slackers </c:v>
                </c:pt>
                <c:pt idx="3195">
                  <c:v>Slam </c:v>
                </c:pt>
                <c:pt idx="3196">
                  <c:v>Sleep Dealer </c:v>
                </c:pt>
                <c:pt idx="3197">
                  <c:v>Sleep Tight </c:v>
                </c:pt>
                <c:pt idx="3198">
                  <c:v>Sleeper </c:v>
                </c:pt>
                <c:pt idx="3199">
                  <c:v>Sleepers </c:v>
                </c:pt>
                <c:pt idx="3200">
                  <c:v>Sleepover </c:v>
                </c:pt>
                <c:pt idx="3201">
                  <c:v>Sleepy Hollow </c:v>
                </c:pt>
                <c:pt idx="3202">
                  <c:v>Sliding Doors </c:v>
                </c:pt>
                <c:pt idx="3203">
                  <c:v>Sling Blade </c:v>
                </c:pt>
                <c:pt idx="3204">
                  <c:v>Slither </c:v>
                </c:pt>
                <c:pt idx="3205">
                  <c:v>Slow Burn </c:v>
                </c:pt>
                <c:pt idx="3206">
                  <c:v>Slow West </c:v>
                </c:pt>
                <c:pt idx="3207">
                  <c:v>Slumdog Millionaire </c:v>
                </c:pt>
                <c:pt idx="3208">
                  <c:v>Slums of Beverly Hills </c:v>
                </c:pt>
                <c:pt idx="3209">
                  <c:v>Small Apartments </c:v>
                </c:pt>
                <c:pt idx="3210">
                  <c:v>Small Soldiers </c:v>
                </c:pt>
                <c:pt idx="3211">
                  <c:v>Small Time Crooks </c:v>
                </c:pt>
                <c:pt idx="3212">
                  <c:v>Smiling Fish &amp; Goat on Fire </c:v>
                </c:pt>
                <c:pt idx="3213">
                  <c:v>Smilla's Sense of Snow </c:v>
                </c:pt>
                <c:pt idx="3214">
                  <c:v>Smoke Signals </c:v>
                </c:pt>
                <c:pt idx="3215">
                  <c:v>Smokin' Aces </c:v>
                </c:pt>
                <c:pt idx="3216">
                  <c:v>Snake Eyes </c:v>
                </c:pt>
                <c:pt idx="3217">
                  <c:v>Snakes on a Plane </c:v>
                </c:pt>
                <c:pt idx="3218">
                  <c:v>Snatch </c:v>
                </c:pt>
                <c:pt idx="3219">
                  <c:v>Snitch </c:v>
                </c:pt>
                <c:pt idx="3220">
                  <c:v>Snow Angels </c:v>
                </c:pt>
                <c:pt idx="3221">
                  <c:v>Snow Day </c:v>
                </c:pt>
                <c:pt idx="3222">
                  <c:v>Snow Dogs </c:v>
                </c:pt>
                <c:pt idx="3223">
                  <c:v>Snow Falling on Cedars </c:v>
                </c:pt>
                <c:pt idx="3224">
                  <c:v>Snow Flower and the Secret Fan </c:v>
                </c:pt>
                <c:pt idx="3225">
                  <c:v>Snow Queen </c:v>
                </c:pt>
                <c:pt idx="3226">
                  <c:v>Snow White and the Huntsman </c:v>
                </c:pt>
                <c:pt idx="3227">
                  <c:v>Snow White and the Seven Dwarfs </c:v>
                </c:pt>
                <c:pt idx="3228">
                  <c:v>Snow White: A Deadly Summer </c:v>
                </c:pt>
                <c:pt idx="3229">
                  <c:v>Snow White: A Tale of Terror </c:v>
                </c:pt>
                <c:pt idx="3230">
                  <c:v>Snowpiercer </c:v>
                </c:pt>
                <c:pt idx="3231">
                  <c:v>Solaris </c:v>
                </c:pt>
                <c:pt idx="3232">
                  <c:v>Soldier </c:v>
                </c:pt>
                <c:pt idx="3233">
                  <c:v>Solitary Man </c:v>
                </c:pt>
                <c:pt idx="3234">
                  <c:v>Solitude </c:v>
                </c:pt>
                <c:pt idx="3235">
                  <c:v>Solomon and Sheba </c:v>
                </c:pt>
                <c:pt idx="3236">
                  <c:v>Some Guy Who Kills People </c:v>
                </c:pt>
                <c:pt idx="3237">
                  <c:v>Some Like It Hot </c:v>
                </c:pt>
                <c:pt idx="3238">
                  <c:v>Someone Like You... </c:v>
                </c:pt>
                <c:pt idx="3239">
                  <c:v>Something Borrowed </c:v>
                </c:pt>
                <c:pt idx="3240">
                  <c:v>Something Wicked </c:v>
                </c:pt>
                <c:pt idx="3241">
                  <c:v>Something's Gotta Give </c:v>
                </c:pt>
                <c:pt idx="3242">
                  <c:v>Somewhere in Time </c:v>
                </c:pt>
                <c:pt idx="3243">
                  <c:v>Somewhere </c:v>
                </c:pt>
                <c:pt idx="3244">
                  <c:v>Son of God </c:v>
                </c:pt>
                <c:pt idx="3245">
                  <c:v>Son of the Mask </c:v>
                </c:pt>
                <c:pt idx="3246">
                  <c:v>Song One </c:v>
                </c:pt>
                <c:pt idx="3247">
                  <c:v>Songcatcher </c:v>
                </c:pt>
                <c:pt idx="3248">
                  <c:v>Sonny with a Chance </c:v>
                </c:pt>
                <c:pt idx="3249">
                  <c:v>Sorcerer </c:v>
                </c:pt>
                <c:pt idx="3250">
                  <c:v>Sorority Boys </c:v>
                </c:pt>
                <c:pt idx="3251">
                  <c:v>Sorority Row </c:v>
                </c:pt>
                <c:pt idx="3252">
                  <c:v>Soul Food </c:v>
                </c:pt>
                <c:pt idx="3253">
                  <c:v>Soul Kitchen </c:v>
                </c:pt>
                <c:pt idx="3254">
                  <c:v>Soul Men </c:v>
                </c:pt>
                <c:pt idx="3255">
                  <c:v>Soul Plane </c:v>
                </c:pt>
                <c:pt idx="3256">
                  <c:v>Soul Surfer </c:v>
                </c:pt>
                <c:pt idx="3257">
                  <c:v>Soul Survivors </c:v>
                </c:pt>
                <c:pt idx="3258">
                  <c:v>Sound of My Voice </c:v>
                </c:pt>
                <c:pt idx="3259">
                  <c:v>Source Code </c:v>
                </c:pt>
                <c:pt idx="3260">
                  <c:v>South Park: Bigger Longer &amp; Uncut </c:v>
                </c:pt>
                <c:pt idx="3261">
                  <c:v>Southland Tales </c:v>
                </c:pt>
                <c:pt idx="3262">
                  <c:v>Southpaw </c:v>
                </c:pt>
                <c:pt idx="3263">
                  <c:v>Space Battleship Yamato </c:v>
                </c:pt>
                <c:pt idx="3264">
                  <c:v>Space Chimps </c:v>
                </c:pt>
                <c:pt idx="3265">
                  <c:v>Space Cowboys </c:v>
                </c:pt>
                <c:pt idx="3266">
                  <c:v>Space Dogs </c:v>
                </c:pt>
                <c:pt idx="3267">
                  <c:v>Space Jam </c:v>
                </c:pt>
                <c:pt idx="3268">
                  <c:v>Space: Above and Beyond </c:v>
                </c:pt>
                <c:pt idx="3269">
                  <c:v>Spaceballs </c:v>
                </c:pt>
                <c:pt idx="3270">
                  <c:v>Spaced Invaders </c:v>
                </c:pt>
                <c:pt idx="3271">
                  <c:v>Spanglish </c:v>
                </c:pt>
                <c:pt idx="3272">
                  <c:v>Sparkle </c:v>
                </c:pt>
                <c:pt idx="3273">
                  <c:v>Sparkler </c:v>
                </c:pt>
                <c:pt idx="3274">
                  <c:v>Spartacus: War of the Damned </c:v>
                </c:pt>
                <c:pt idx="3275">
                  <c:v>Spawn </c:v>
                </c:pt>
                <c:pt idx="3276">
                  <c:v>Special </c:v>
                </c:pt>
                <c:pt idx="3277">
                  <c:v>Species </c:v>
                </c:pt>
                <c:pt idx="3278">
                  <c:v>Spectre </c:v>
                </c:pt>
                <c:pt idx="3279">
                  <c:v>Speed 2: Cruise Control </c:v>
                </c:pt>
                <c:pt idx="3280">
                  <c:v>Speed Racer </c:v>
                </c:pt>
                <c:pt idx="3281">
                  <c:v>Speed </c:v>
                </c:pt>
                <c:pt idx="3282">
                  <c:v>Speedway Junky </c:v>
                </c:pt>
                <c:pt idx="3283">
                  <c:v>Spellbound </c:v>
                </c:pt>
                <c:pt idx="3284">
                  <c:v>Sphere </c:v>
                </c:pt>
                <c:pt idx="3285">
                  <c:v>Sphinx </c:v>
                </c:pt>
                <c:pt idx="3286">
                  <c:v>Spice World </c:v>
                </c:pt>
                <c:pt idx="3287">
                  <c:v>Spider </c:v>
                </c:pt>
                <c:pt idx="3288">
                  <c:v>Spider-Man 2 </c:v>
                </c:pt>
                <c:pt idx="3289">
                  <c:v>Spider-Man 3 </c:v>
                </c:pt>
                <c:pt idx="3290">
                  <c:v>Spider-Man </c:v>
                </c:pt>
                <c:pt idx="3291">
                  <c:v>Spirit: Stallion of the Cimarron </c:v>
                </c:pt>
                <c:pt idx="3292">
                  <c:v>Spirited Away </c:v>
                </c:pt>
                <c:pt idx="3293">
                  <c:v>Splash </c:v>
                </c:pt>
                <c:pt idx="3294">
                  <c:v>Splice </c:v>
                </c:pt>
                <c:pt idx="3295">
                  <c:v>Split Second </c:v>
                </c:pt>
                <c:pt idx="3296">
                  <c:v>Spotlight </c:v>
                </c:pt>
                <c:pt idx="3297">
                  <c:v>Spring Breakers </c:v>
                </c:pt>
                <c:pt idx="3298">
                  <c:v>Spun </c:v>
                </c:pt>
                <c:pt idx="3299">
                  <c:v>Spy Game </c:v>
                </c:pt>
                <c:pt idx="3300">
                  <c:v>Spy Hard </c:v>
                </c:pt>
                <c:pt idx="3301">
                  <c:v>Spy Kids 2: Island of Lost Dreams </c:v>
                </c:pt>
                <c:pt idx="3302">
                  <c:v>Spy Kids 3-D: Game Over </c:v>
                </c:pt>
                <c:pt idx="3303">
                  <c:v>Spy Kids </c:v>
                </c:pt>
                <c:pt idx="3304">
                  <c:v>Spy Kids: All the Time in the World in 4D </c:v>
                </c:pt>
                <c:pt idx="3305">
                  <c:v>St. Trinian's </c:v>
                </c:pt>
                <c:pt idx="3306">
                  <c:v>St. Vincent </c:v>
                </c:pt>
                <c:pt idx="3307">
                  <c:v>Stake Land </c:v>
                </c:pt>
                <c:pt idx="3308">
                  <c:v>Stan Helsing </c:v>
                </c:pt>
                <c:pt idx="3309">
                  <c:v>Stand by Me </c:v>
                </c:pt>
                <c:pt idx="3310">
                  <c:v>Standard Operating Procedure </c:v>
                </c:pt>
                <c:pt idx="3311">
                  <c:v>Standing Ovation </c:v>
                </c:pt>
                <c:pt idx="3312">
                  <c:v>Star Trek Beyond </c:v>
                </c:pt>
                <c:pt idx="3313">
                  <c:v>Star Trek II: The Wrath of Khan </c:v>
                </c:pt>
                <c:pt idx="3314">
                  <c:v>Star Trek III: The Search for Spock </c:v>
                </c:pt>
                <c:pt idx="3315">
                  <c:v>Star Trek Into Darkness </c:v>
                </c:pt>
                <c:pt idx="3316">
                  <c:v>Star Trek IV: The Voyage Home </c:v>
                </c:pt>
                <c:pt idx="3317">
                  <c:v>Star Trek V: The Final Frontier </c:v>
                </c:pt>
                <c:pt idx="3318">
                  <c:v>Star Trek VI: The Undiscovered Country </c:v>
                </c:pt>
                <c:pt idx="3319">
                  <c:v>Star Trek </c:v>
                </c:pt>
                <c:pt idx="3320">
                  <c:v>Star Trek: First Contact </c:v>
                </c:pt>
                <c:pt idx="3321">
                  <c:v>Star Trek: Generations </c:v>
                </c:pt>
                <c:pt idx="3322">
                  <c:v>Star Trek: Insurrection </c:v>
                </c:pt>
                <c:pt idx="3323">
                  <c:v>Star Trek: Nemesis </c:v>
                </c:pt>
                <c:pt idx="3324">
                  <c:v>Star Trek: The Motion Picture </c:v>
                </c:pt>
                <c:pt idx="3325">
                  <c:v>Star Wars: Episode I - The Phantom Menace </c:v>
                </c:pt>
                <c:pt idx="3326">
                  <c:v>Star Wars: Episode II - Attack of the Clones </c:v>
                </c:pt>
                <c:pt idx="3327">
                  <c:v>Star Wars: Episode III - Revenge of the Sith </c:v>
                </c:pt>
                <c:pt idx="3328">
                  <c:v>Star Wars: Episode IV - A New Hope </c:v>
                </c:pt>
                <c:pt idx="3329">
                  <c:v>Star Wars: Episode V - The Empire Strikes Back </c:v>
                </c:pt>
                <c:pt idx="3330">
                  <c:v>Star Wars: Episode VI - Return of the Jedi </c:v>
                </c:pt>
                <c:pt idx="3331">
                  <c:v>Star Wars: Episode VII - The Force Awakens </c:v>
                </c:pt>
                <c:pt idx="3332">
                  <c:v>Star Wars: The Clone Wars </c:v>
                </c:pt>
                <c:pt idx="3333">
                  <c:v>Stardust </c:v>
                </c:pt>
                <c:pt idx="3334">
                  <c:v>Stargate SG-1 </c:v>
                </c:pt>
                <c:pt idx="3335">
                  <c:v>Stargate: The Ark of Truth </c:v>
                </c:pt>
                <c:pt idx="3336">
                  <c:v>Starship Troopers </c:v>
                </c:pt>
                <c:pt idx="3337">
                  <c:v>Starsky &amp; Hutch </c:v>
                </c:pt>
                <c:pt idx="3338">
                  <c:v>Starsuckers </c:v>
                </c:pt>
                <c:pt idx="3339">
                  <c:v>State Fair </c:v>
                </c:pt>
                <c:pt idx="3340">
                  <c:v>State of Play </c:v>
                </c:pt>
                <c:pt idx="3341">
                  <c:v>Stay Alive </c:v>
                </c:pt>
                <c:pt idx="3342">
                  <c:v>Stealing Harvard </c:v>
                </c:pt>
                <c:pt idx="3343">
                  <c:v>Stealth </c:v>
                </c:pt>
                <c:pt idx="3344">
                  <c:v>Steamboy </c:v>
                </c:pt>
                <c:pt idx="3345">
                  <c:v>Steel </c:v>
                </c:pt>
                <c:pt idx="3346">
                  <c:v>Step Brothers </c:v>
                </c:pt>
                <c:pt idx="3347">
                  <c:v>Step Up 2: The Streets </c:v>
                </c:pt>
                <c:pt idx="3348">
                  <c:v>Step Up 3D </c:v>
                </c:pt>
                <c:pt idx="3349">
                  <c:v>Step Up Revolution </c:v>
                </c:pt>
                <c:pt idx="3350">
                  <c:v>Step Up </c:v>
                </c:pt>
                <c:pt idx="3351">
                  <c:v>Stepmom </c:v>
                </c:pt>
                <c:pt idx="3352">
                  <c:v>Steppin: The Movie </c:v>
                </c:pt>
                <c:pt idx="3353">
                  <c:v>Steve Jobs </c:v>
                </c:pt>
                <c:pt idx="3354">
                  <c:v>Stick It </c:v>
                </c:pt>
                <c:pt idx="3355">
                  <c:v>Stiff Upper Lips </c:v>
                </c:pt>
                <c:pt idx="3356">
                  <c:v>Stigmata </c:v>
                </c:pt>
                <c:pt idx="3357">
                  <c:v>Still Alice </c:v>
                </c:pt>
                <c:pt idx="3358">
                  <c:v>Stir of Echoes </c:v>
                </c:pt>
                <c:pt idx="3359">
                  <c:v>Stitches </c:v>
                </c:pt>
                <c:pt idx="3360">
                  <c:v>Stoker </c:v>
                </c:pt>
                <c:pt idx="3361">
                  <c:v>Stolen Summer </c:v>
                </c:pt>
                <c:pt idx="3362">
                  <c:v>Stolen </c:v>
                </c:pt>
                <c:pt idx="3363">
                  <c:v>Stomp the Yard </c:v>
                </c:pt>
                <c:pt idx="3364">
                  <c:v>Stone Cold </c:v>
                </c:pt>
                <c:pt idx="3365">
                  <c:v>Stone </c:v>
                </c:pt>
                <c:pt idx="3366">
                  <c:v>Stonewall </c:v>
                </c:pt>
                <c:pt idx="3367">
                  <c:v>Stop-Loss </c:v>
                </c:pt>
                <c:pt idx="3368">
                  <c:v>Stories of Our Lives </c:v>
                </c:pt>
                <c:pt idx="3369">
                  <c:v>Straight A's </c:v>
                </c:pt>
                <c:pt idx="3370">
                  <c:v>Straight Out of Brooklyn </c:v>
                </c:pt>
                <c:pt idx="3371">
                  <c:v>Straight Outta Compton </c:v>
                </c:pt>
                <c:pt idx="3372">
                  <c:v>Strange Wilderness </c:v>
                </c:pt>
                <c:pt idx="3373">
                  <c:v>Stranger Than Fiction </c:v>
                </c:pt>
                <c:pt idx="3374">
                  <c:v>Strangerland </c:v>
                </c:pt>
                <c:pt idx="3375">
                  <c:v>Strangers with Candy </c:v>
                </c:pt>
                <c:pt idx="3376">
                  <c:v>Straw Dogs </c:v>
                </c:pt>
                <c:pt idx="3377">
                  <c:v>Street Fighter </c:v>
                </c:pt>
                <c:pt idx="3378">
                  <c:v>Street Fighter: The Legend of Chun-Li </c:v>
                </c:pt>
                <c:pt idx="3379">
                  <c:v>Street Kings </c:v>
                </c:pt>
                <c:pt idx="3380">
                  <c:v>Stripes </c:v>
                </c:pt>
                <c:pt idx="3381">
                  <c:v>Striptease </c:v>
                </c:pt>
                <c:pt idx="3382">
                  <c:v>Stuart Little 2 </c:v>
                </c:pt>
                <c:pt idx="3383">
                  <c:v>Stuart Little </c:v>
                </c:pt>
                <c:pt idx="3384">
                  <c:v>Stuck on You </c:v>
                </c:pt>
                <c:pt idx="3385">
                  <c:v>Stung </c:v>
                </c:pt>
                <c:pt idx="3386">
                  <c:v>Subconscious </c:v>
                </c:pt>
                <c:pt idx="3387">
                  <c:v>Sublime </c:v>
                </c:pt>
                <c:pt idx="3388">
                  <c:v>Submarine </c:v>
                </c:pt>
                <c:pt idx="3389">
                  <c:v>Subway </c:v>
                </c:pt>
                <c:pt idx="3390">
                  <c:v>Sucker Punch </c:v>
                </c:pt>
                <c:pt idx="3391">
                  <c:v>Sugar Hill </c:v>
                </c:pt>
                <c:pt idx="3392">
                  <c:v>Sugar Town </c:v>
                </c:pt>
                <c:pt idx="3393">
                  <c:v>Suicide Squad </c:v>
                </c:pt>
                <c:pt idx="3394">
                  <c:v>Summer Catch </c:v>
                </c:pt>
                <c:pt idx="3395">
                  <c:v>Summer of Sam </c:v>
                </c:pt>
                <c:pt idx="3396">
                  <c:v>Summer Storm </c:v>
                </c:pt>
                <c:pt idx="3397">
                  <c:v>Sunday School Musical </c:v>
                </c:pt>
                <c:pt idx="3398">
                  <c:v>Sunshine Cleaning </c:v>
                </c:pt>
                <c:pt idx="3399">
                  <c:v>Sunshine State </c:v>
                </c:pt>
                <c:pt idx="3400">
                  <c:v>Sunshine </c:v>
                </c:pt>
                <c:pt idx="3401">
                  <c:v>Super 8 </c:v>
                </c:pt>
                <c:pt idx="3402">
                  <c:v>Super Hybrid </c:v>
                </c:pt>
                <c:pt idx="3403">
                  <c:v>Super Mario Bros. </c:v>
                </c:pt>
                <c:pt idx="3404">
                  <c:v>Super Size Me </c:v>
                </c:pt>
                <c:pt idx="3405">
                  <c:v>Super Troopers </c:v>
                </c:pt>
                <c:pt idx="3406">
                  <c:v>Super </c:v>
                </c:pt>
                <c:pt idx="3407">
                  <c:v>Superbabies: Baby Geniuses 2 </c:v>
                </c:pt>
                <c:pt idx="3408">
                  <c:v>Superbad </c:v>
                </c:pt>
                <c:pt idx="3409">
                  <c:v>Supercapitalist </c:v>
                </c:pt>
                <c:pt idx="3410">
                  <c:v>Supercross </c:v>
                </c:pt>
                <c:pt idx="3411">
                  <c:v>Superhero Movie </c:v>
                </c:pt>
                <c:pt idx="3412">
                  <c:v>Superman II </c:v>
                </c:pt>
                <c:pt idx="3413">
                  <c:v>Superman III </c:v>
                </c:pt>
                <c:pt idx="3414">
                  <c:v>Superman IV: The Quest for Peace </c:v>
                </c:pt>
                <c:pt idx="3415">
                  <c:v>Superman Returns </c:v>
                </c:pt>
                <c:pt idx="3416">
                  <c:v>Superman </c:v>
                </c:pt>
                <c:pt idx="3417">
                  <c:v>Supernova </c:v>
                </c:pt>
                <c:pt idx="3418">
                  <c:v>Superstar </c:v>
                </c:pt>
                <c:pt idx="3419">
                  <c:v>Supporting Characters </c:v>
                </c:pt>
                <c:pt idx="3420">
                  <c:v>Sur le seuil </c:v>
                </c:pt>
                <c:pt idx="3421">
                  <c:v>Surfer, Dude </c:v>
                </c:pt>
                <c:pt idx="3422">
                  <c:v>Surf's Up </c:v>
                </c:pt>
                <c:pt idx="3423">
                  <c:v>Surrogates </c:v>
                </c:pt>
                <c:pt idx="3424">
                  <c:v>Survival of the Dead </c:v>
                </c:pt>
                <c:pt idx="3425">
                  <c:v>Survivor </c:v>
                </c:pt>
                <c:pt idx="3426">
                  <c:v>Suspect Zero </c:v>
                </c:pt>
                <c:pt idx="3427">
                  <c:v>Sweet Charity </c:v>
                </c:pt>
                <c:pt idx="3428">
                  <c:v>Sweet Home Alabama </c:v>
                </c:pt>
                <c:pt idx="3429">
                  <c:v>Sweet November </c:v>
                </c:pt>
                <c:pt idx="3430">
                  <c:v>Sweet Sweetback's Baadasssss Song </c:v>
                </c:pt>
                <c:pt idx="3431">
                  <c:v>Swelter </c:v>
                </c:pt>
                <c:pt idx="3432">
                  <c:v>Swept Away </c:v>
                </c:pt>
                <c:pt idx="3433">
                  <c:v>Swimfan </c:v>
                </c:pt>
                <c:pt idx="3434">
                  <c:v>Swimming Pool </c:v>
                </c:pt>
                <c:pt idx="3435">
                  <c:v>Swing Vote </c:v>
                </c:pt>
                <c:pt idx="3436">
                  <c:v>Swingers </c:v>
                </c:pt>
                <c:pt idx="3437">
                  <c:v>Switchback </c:v>
                </c:pt>
                <c:pt idx="3438">
                  <c:v>Swordfish </c:v>
                </c:pt>
                <c:pt idx="3439">
                  <c:v>Sydney White </c:v>
                </c:pt>
                <c:pt idx="3440">
                  <c:v>Synecdoche, New York </c:v>
                </c:pt>
                <c:pt idx="3441">
                  <c:v>Syriana </c:v>
                </c:pt>
                <c:pt idx="3442">
                  <c:v>Ta Ra Rum Pum </c:v>
                </c:pt>
                <c:pt idx="3443">
                  <c:v>Tadpole </c:v>
                </c:pt>
                <c:pt idx="3444">
                  <c:v>Tae Guk Gi: The Brotherhood of War </c:v>
                </c:pt>
                <c:pt idx="3445">
                  <c:v>Take Me Home Tonight </c:v>
                </c:pt>
                <c:pt idx="3446">
                  <c:v>Take Shelter </c:v>
                </c:pt>
                <c:pt idx="3447">
                  <c:v>Take the Lead </c:v>
                </c:pt>
                <c:pt idx="3448">
                  <c:v>Taken 2 </c:v>
                </c:pt>
                <c:pt idx="3449">
                  <c:v>Taken 3 </c:v>
                </c:pt>
                <c:pt idx="3450">
                  <c:v>Taken </c:v>
                </c:pt>
                <c:pt idx="3451">
                  <c:v>Takers </c:v>
                </c:pt>
                <c:pt idx="3452">
                  <c:v>Taking Woodstock </c:v>
                </c:pt>
                <c:pt idx="3453">
                  <c:v>Tales from the Crypt: Demon Knight </c:v>
                </c:pt>
                <c:pt idx="3454">
                  <c:v>Tales from the Hood </c:v>
                </c:pt>
                <c:pt idx="3455">
                  <c:v>Talk Radio </c:v>
                </c:pt>
                <c:pt idx="3456">
                  <c:v>Talladega Nights: The Ballad of Ricky Bobby </c:v>
                </c:pt>
                <c:pt idx="3457">
                  <c:v>Tammy </c:v>
                </c:pt>
                <c:pt idx="3458">
                  <c:v>Tangled </c:v>
                </c:pt>
                <c:pt idx="3459">
                  <c:v>Tango &amp; Cash </c:v>
                </c:pt>
                <c:pt idx="3460">
                  <c:v>Tango </c:v>
                </c:pt>
                <c:pt idx="3461">
                  <c:v>Tank Girl </c:v>
                </c:pt>
                <c:pt idx="3462">
                  <c:v>Tanner Hall </c:v>
                </c:pt>
                <c:pt idx="3463">
                  <c:v>Tarnation </c:v>
                </c:pt>
                <c:pt idx="3464">
                  <c:v>Taxi Driver </c:v>
                </c:pt>
                <c:pt idx="3465">
                  <c:v>Taxi to the Dark Side </c:v>
                </c:pt>
                <c:pt idx="3466">
                  <c:v>Taxman </c:v>
                </c:pt>
                <c:pt idx="3467">
                  <c:v>Tea with Mussolini </c:v>
                </c:pt>
                <c:pt idx="3468">
                  <c:v>Teacher's Pet </c:v>
                </c:pt>
                <c:pt idx="3469">
                  <c:v>Team America: World Police </c:v>
                </c:pt>
                <c:pt idx="3470">
                  <c:v>Tears of the Sun </c:v>
                </c:pt>
                <c:pt idx="3471">
                  <c:v>Ted 2 </c:v>
                </c:pt>
                <c:pt idx="3472">
                  <c:v>Ted </c:v>
                </c:pt>
                <c:pt idx="3473">
                  <c:v>Teen Wolf Too </c:v>
                </c:pt>
                <c:pt idx="3474">
                  <c:v>Teenage Mutant Ninja Turtles II: The Secret of the Ooze </c:v>
                </c:pt>
                <c:pt idx="3475">
                  <c:v>Teenage Mutant Ninja Turtles III </c:v>
                </c:pt>
                <c:pt idx="3476">
                  <c:v>Teenage Mutant Ninja Turtles </c:v>
                </c:pt>
                <c:pt idx="3477">
                  <c:v>Teenage Mutant Ninja Turtles: Out of the Shadows </c:v>
                </c:pt>
                <c:pt idx="3478">
                  <c:v>Teeth and Blood </c:v>
                </c:pt>
                <c:pt idx="3479">
                  <c:v>Teeth </c:v>
                </c:pt>
                <c:pt idx="3480">
                  <c:v>Terminator 2: Judgment Day </c:v>
                </c:pt>
                <c:pt idx="3481">
                  <c:v>Terminator 3: Rise of the Machines </c:v>
                </c:pt>
                <c:pt idx="3482">
                  <c:v>Terminator Genisys </c:v>
                </c:pt>
                <c:pt idx="3483">
                  <c:v>Terminator Salvation </c:v>
                </c:pt>
                <c:pt idx="3484">
                  <c:v>Texas Chainsaw 3D </c:v>
                </c:pt>
                <c:pt idx="3485">
                  <c:v>Texas Rangers </c:v>
                </c:pt>
                <c:pt idx="3486">
                  <c:v>Thank You for Smoking </c:v>
                </c:pt>
                <c:pt idx="3487">
                  <c:v>That Awkward Moment </c:v>
                </c:pt>
                <c:pt idx="3488">
                  <c:v>That Thing You Do! </c:v>
                </c:pt>
                <c:pt idx="3489">
                  <c:v>That's My Boy </c:v>
                </c:pt>
                <c:pt idx="3490">
                  <c:v>The 13th Warrior </c:v>
                </c:pt>
                <c:pt idx="3491">
                  <c:v>The 33 </c:v>
                </c:pt>
                <c:pt idx="3492">
                  <c:v>The 40-Year-Old Virgin </c:v>
                </c:pt>
                <c:pt idx="3493">
                  <c:v>The 41-Year-Old Virgin Who Knocked Up Sarah Marshall and Felt Superbad About It </c:v>
                </c:pt>
                <c:pt idx="3494">
                  <c:v>The 5th Quarter </c:v>
                </c:pt>
                <c:pt idx="3495">
                  <c:v>The 5th Wave </c:v>
                </c:pt>
                <c:pt idx="3496">
                  <c:v>The 6th Day </c:v>
                </c:pt>
                <c:pt idx="3497">
                  <c:v>The Abyss </c:v>
                </c:pt>
                <c:pt idx="3498">
                  <c:v>The Act of Killing </c:v>
                </c:pt>
                <c:pt idx="3499">
                  <c:v>The Addams Family </c:v>
                </c:pt>
                <c:pt idx="3500">
                  <c:v>The Adjustment Bureau </c:v>
                </c:pt>
                <c:pt idx="3501">
                  <c:v>The Adventurer: The Curse of the Midas Box </c:v>
                </c:pt>
                <c:pt idx="3502">
                  <c:v>The Adventures of Elmo in Grouchland </c:v>
                </c:pt>
                <c:pt idx="3503">
                  <c:v>The Adventures of Ford Fairlane </c:v>
                </c:pt>
                <c:pt idx="3504">
                  <c:v>The Adventures of Huck Finn </c:v>
                </c:pt>
                <c:pt idx="3505">
                  <c:v>The Adventures of Pinocchio </c:v>
                </c:pt>
                <c:pt idx="3506">
                  <c:v>The Adventures of Pluto Nash </c:v>
                </c:pt>
                <c:pt idx="3507">
                  <c:v>The Adventures of Rocky &amp; Bullwinkle </c:v>
                </c:pt>
                <c:pt idx="3508">
                  <c:v>The Adventures of Sharkboy and Lavagirl 3-D </c:v>
                </c:pt>
                <c:pt idx="3509">
                  <c:v>The Adventures of Tintin </c:v>
                </c:pt>
                <c:pt idx="3510">
                  <c:v>The Age of Adaline </c:v>
                </c:pt>
                <c:pt idx="3511">
                  <c:v>The Age of Innocence </c:v>
                </c:pt>
                <c:pt idx="3512">
                  <c:v>The Alamo </c:v>
                </c:pt>
                <c:pt idx="3513">
                  <c:v>The Algerian </c:v>
                </c:pt>
                <c:pt idx="3514">
                  <c:v>The Amazing Catfish </c:v>
                </c:pt>
                <c:pt idx="3515">
                  <c:v>The Amazing Spider-Man 2 </c:v>
                </c:pt>
                <c:pt idx="3516">
                  <c:v>The Amazing Spider-Man </c:v>
                </c:pt>
                <c:pt idx="3517">
                  <c:v>The American President </c:v>
                </c:pt>
                <c:pt idx="3518">
                  <c:v>The American </c:v>
                </c:pt>
                <c:pt idx="3519">
                  <c:v>The Amityville Horror </c:v>
                </c:pt>
                <c:pt idx="3520">
                  <c:v>The Andromeda Strain </c:v>
                </c:pt>
                <c:pt idx="3521">
                  <c:v>The Angry Birds Movie </c:v>
                </c:pt>
                <c:pt idx="3522">
                  <c:v>The Animal </c:v>
                </c:pt>
                <c:pt idx="3523">
                  <c:v>The Ant Bully </c:v>
                </c:pt>
                <c:pt idx="3524">
                  <c:v>The Apartment </c:v>
                </c:pt>
                <c:pt idx="3525">
                  <c:v>The Apostle </c:v>
                </c:pt>
                <c:pt idx="3526">
                  <c:v>The Apparition </c:v>
                </c:pt>
                <c:pt idx="3527">
                  <c:v>The Art of Getting By </c:v>
                </c:pt>
                <c:pt idx="3528">
                  <c:v>The Art of War </c:v>
                </c:pt>
                <c:pt idx="3529">
                  <c:v>The Artist </c:v>
                </c:pt>
                <c:pt idx="3530">
                  <c:v>The Assassin </c:v>
                </c:pt>
                <c:pt idx="3531">
                  <c:v>The Assassination of Jesse James by the Coward Robert Ford </c:v>
                </c:pt>
                <c:pt idx="3532">
                  <c:v>The Astronaut Farmer </c:v>
                </c:pt>
                <c:pt idx="3533">
                  <c:v>The Astronaut's Wife </c:v>
                </c:pt>
                <c:pt idx="3534">
                  <c:v>The A-Team </c:v>
                </c:pt>
                <c:pt idx="3535">
                  <c:v>The Avengers </c:v>
                </c:pt>
                <c:pt idx="3536">
                  <c:v>The Aviator </c:v>
                </c:pt>
                <c:pt idx="3537">
                  <c:v>The Awakening </c:v>
                </c:pt>
                <c:pt idx="3538">
                  <c:v>The Baader Meinhof Complex </c:v>
                </c:pt>
                <c:pt idx="3539">
                  <c:v>The Bachelor </c:v>
                </c:pt>
                <c:pt idx="3540">
                  <c:v>The Back-up Plan </c:v>
                </c:pt>
                <c:pt idx="3541">
                  <c:v>The Bad News Bears </c:v>
                </c:pt>
                <c:pt idx="3542">
                  <c:v>The Ballad of Cable Hogue </c:v>
                </c:pt>
                <c:pt idx="3543">
                  <c:v>The Ballad of Gregorio Cortez </c:v>
                </c:pt>
                <c:pt idx="3544">
                  <c:v>The Ballad of Jack and Rose </c:v>
                </c:pt>
                <c:pt idx="3545">
                  <c:v>The Banger Sisters </c:v>
                </c:pt>
                <c:pt idx="3546">
                  <c:v>The Bank Job </c:v>
                </c:pt>
                <c:pt idx="3547">
                  <c:v>The Barbarian Invasions </c:v>
                </c:pt>
                <c:pt idx="3548">
                  <c:v>The Barbarians </c:v>
                </c:pt>
                <c:pt idx="3549">
                  <c:v>The Basket </c:v>
                </c:pt>
                <c:pt idx="3550">
                  <c:v>The Battle of Shaker Heights </c:v>
                </c:pt>
                <c:pt idx="3551">
                  <c:v>The Beach </c:v>
                </c:pt>
                <c:pt idx="3552">
                  <c:v>The Beast from 20,000 Fathoms </c:v>
                </c:pt>
                <c:pt idx="3553">
                  <c:v>The Beastmaster </c:v>
                </c:pt>
                <c:pt idx="3554">
                  <c:v>The Beaver </c:v>
                </c:pt>
                <c:pt idx="3555">
                  <c:v>The Believer </c:v>
                </c:pt>
                <c:pt idx="3556">
                  <c:v>The Benchwarmers </c:v>
                </c:pt>
                <c:pt idx="3557">
                  <c:v>The Best Exotic Marigold Hotel </c:v>
                </c:pt>
                <c:pt idx="3558">
                  <c:v>The Best Little Whorehouse in Texas </c:v>
                </c:pt>
                <c:pt idx="3559">
                  <c:v>The Best Man Holiday </c:v>
                </c:pt>
                <c:pt idx="3560">
                  <c:v>The Best Man </c:v>
                </c:pt>
                <c:pt idx="3561">
                  <c:v>The Best of Me </c:v>
                </c:pt>
                <c:pt idx="3562">
                  <c:v>The Best Offer </c:v>
                </c:pt>
                <c:pt idx="3563">
                  <c:v>The Best Years of Our Lives </c:v>
                </c:pt>
                <c:pt idx="3564">
                  <c:v>The Betrayed </c:v>
                </c:pt>
                <c:pt idx="3565">
                  <c:v>The Beyond </c:v>
                </c:pt>
                <c:pt idx="3566">
                  <c:v>The BFG </c:v>
                </c:pt>
                <c:pt idx="3567">
                  <c:v>The Big Bounce </c:v>
                </c:pt>
                <c:pt idx="3568">
                  <c:v>The Big Hit </c:v>
                </c:pt>
                <c:pt idx="3569">
                  <c:v>The Big Lebowski </c:v>
                </c:pt>
                <c:pt idx="3570">
                  <c:v>The Big Parade </c:v>
                </c:pt>
                <c:pt idx="3571">
                  <c:v>The Big Short </c:v>
                </c:pt>
                <c:pt idx="3572">
                  <c:v>The Big Swap </c:v>
                </c:pt>
                <c:pt idx="3573">
                  <c:v>The Big Tease </c:v>
                </c:pt>
                <c:pt idx="3574">
                  <c:v>The Big Wedding </c:v>
                </c:pt>
                <c:pt idx="3575">
                  <c:v>The Big Year </c:v>
                </c:pt>
                <c:pt idx="3576">
                  <c:v>The Birth of a Nation </c:v>
                </c:pt>
                <c:pt idx="3577">
                  <c:v>The Black Dahlia </c:v>
                </c:pt>
                <c:pt idx="3578">
                  <c:v>The Black Hole </c:v>
                </c:pt>
                <c:pt idx="3579">
                  <c:v>The Black Stallion </c:v>
                </c:pt>
                <c:pt idx="3580">
                  <c:v>The Blair Witch Project </c:v>
                </c:pt>
                <c:pt idx="3581">
                  <c:v>The Blind Side </c:v>
                </c:pt>
                <c:pt idx="3582">
                  <c:v>The Blood of Heroes </c:v>
                </c:pt>
                <c:pt idx="3583">
                  <c:v>The Blood of My Brother </c:v>
                </c:pt>
                <c:pt idx="3584">
                  <c:v>The Blue Bird </c:v>
                </c:pt>
                <c:pt idx="3585">
                  <c:v>The Blue Butterfly </c:v>
                </c:pt>
                <c:pt idx="3586">
                  <c:v>The Blue Lagoon </c:v>
                </c:pt>
                <c:pt idx="3587">
                  <c:v>The Blue Room </c:v>
                </c:pt>
                <c:pt idx="3588">
                  <c:v>The Blues Brothers </c:v>
                </c:pt>
                <c:pt idx="3589">
                  <c:v>The Bodyguard </c:v>
                </c:pt>
                <c:pt idx="3590">
                  <c:v>The Bold and the Beautiful </c:v>
                </c:pt>
                <c:pt idx="3591">
                  <c:v>The Bone Collector </c:v>
                </c:pt>
                <c:pt idx="3592">
                  <c:v>The Book of Eli </c:v>
                </c:pt>
                <c:pt idx="3593">
                  <c:v>The Book of Life </c:v>
                </c:pt>
                <c:pt idx="3594">
                  <c:v>The Book of Mormon Movie, Volume 1: The Journey </c:v>
                </c:pt>
                <c:pt idx="3595">
                  <c:v>The Book Thief </c:v>
                </c:pt>
                <c:pt idx="3596">
                  <c:v>The Boondock Saints II: All Saints Day </c:v>
                </c:pt>
                <c:pt idx="3597">
                  <c:v>The Boondock Saints </c:v>
                </c:pt>
                <c:pt idx="3598">
                  <c:v>The Border </c:v>
                </c:pt>
                <c:pt idx="3599">
                  <c:v>The Borrowers </c:v>
                </c:pt>
                <c:pt idx="3600">
                  <c:v>The Boss </c:v>
                </c:pt>
                <c:pt idx="3601">
                  <c:v>The Bounty Hunter </c:v>
                </c:pt>
                <c:pt idx="3602">
                  <c:v>The Bounty </c:v>
                </c:pt>
                <c:pt idx="3603">
                  <c:v>The Bourne Identity </c:v>
                </c:pt>
                <c:pt idx="3604">
                  <c:v>The Bourne Legacy </c:v>
                </c:pt>
                <c:pt idx="3605">
                  <c:v>The Bourne Supremacy </c:v>
                </c:pt>
                <c:pt idx="3606">
                  <c:v>The Bourne Ultimatum </c:v>
                </c:pt>
                <c:pt idx="3607">
                  <c:v>The Box </c:v>
                </c:pt>
                <c:pt idx="3608">
                  <c:v>The Boxtrolls </c:v>
                </c:pt>
                <c:pt idx="3609">
                  <c:v>The Boy in the Striped Pajamas </c:v>
                </c:pt>
                <c:pt idx="3610">
                  <c:v>The Boy Next Door </c:v>
                </c:pt>
                <c:pt idx="3611">
                  <c:v>The Boy </c:v>
                </c:pt>
                <c:pt idx="3612">
                  <c:v>The Boys from Brazil </c:v>
                </c:pt>
                <c:pt idx="3613">
                  <c:v>The Brain That Sings </c:v>
                </c:pt>
                <c:pt idx="3614">
                  <c:v>The Brain That Wouldn't Die </c:v>
                </c:pt>
                <c:pt idx="3615">
                  <c:v>The Brass Teapot </c:v>
                </c:pt>
                <c:pt idx="3616">
                  <c:v>The Brave Little Toaster </c:v>
                </c:pt>
                <c:pt idx="3617">
                  <c:v>The Break-Up </c:v>
                </c:pt>
                <c:pt idx="3618">
                  <c:v>The Bridge of San Luis Rey </c:v>
                </c:pt>
                <c:pt idx="3619">
                  <c:v>The Bridge on the River Kwai </c:v>
                </c:pt>
                <c:pt idx="3620">
                  <c:v>The Bridges of Madison County </c:v>
                </c:pt>
                <c:pt idx="3621">
                  <c:v>The Broadway Melody </c:v>
                </c:pt>
                <c:pt idx="3622">
                  <c:v>The Broken Hearts Club: A Romantic Comedy </c:v>
                </c:pt>
                <c:pt idx="3623">
                  <c:v>The Brothers Bloom </c:v>
                </c:pt>
                <c:pt idx="3624">
                  <c:v>The Brothers Grimm </c:v>
                </c:pt>
                <c:pt idx="3625">
                  <c:v>The Brothers McMullen </c:v>
                </c:pt>
                <c:pt idx="3626">
                  <c:v>The Brothers Solomon </c:v>
                </c:pt>
                <c:pt idx="3627">
                  <c:v>The Brothers </c:v>
                </c:pt>
                <c:pt idx="3628">
                  <c:v>The Brown Bunny </c:v>
                </c:pt>
                <c:pt idx="3629">
                  <c:v>The Bubble </c:v>
                </c:pt>
                <c:pt idx="3630">
                  <c:v>The Bucket List </c:v>
                </c:pt>
                <c:pt idx="3631">
                  <c:v>The Business of Fancydancing </c:v>
                </c:pt>
                <c:pt idx="3632">
                  <c:v>The Business of Strangers </c:v>
                </c:pt>
                <c:pt idx="3633">
                  <c:v>The Butterfly Effect </c:v>
                </c:pt>
                <c:pt idx="3634">
                  <c:v>The Cabin in the Woods </c:v>
                </c:pt>
                <c:pt idx="3635">
                  <c:v>The Cable Guy </c:v>
                </c:pt>
                <c:pt idx="3636">
                  <c:v>The Californians </c:v>
                </c:pt>
                <c:pt idx="3637">
                  <c:v>The Call of Cthulhu </c:v>
                </c:pt>
                <c:pt idx="3638">
                  <c:v>The Call </c:v>
                </c:pt>
                <c:pt idx="3639">
                  <c:v>The Calling </c:v>
                </c:pt>
                <c:pt idx="3640">
                  <c:v>The Campaign </c:v>
                </c:pt>
                <c:pt idx="3641">
                  <c:v>The Canyons </c:v>
                </c:pt>
                <c:pt idx="3642">
                  <c:v>The Case of the Grinning Cat </c:v>
                </c:pt>
                <c:pt idx="3643">
                  <c:v>The Cat in the Hat </c:v>
                </c:pt>
                <c:pt idx="3644">
                  <c:v>The Cave </c:v>
                </c:pt>
                <c:pt idx="3645">
                  <c:v>The Caveman's Valentine </c:v>
                </c:pt>
                <c:pt idx="3646">
                  <c:v>The Celebration </c:v>
                </c:pt>
                <c:pt idx="3647">
                  <c:v>The Cell </c:v>
                </c:pt>
                <c:pt idx="3648">
                  <c:v>The Chambermaid on the Titanic </c:v>
                </c:pt>
                <c:pt idx="3649">
                  <c:v>The Change-Up </c:v>
                </c:pt>
                <c:pt idx="3650">
                  <c:v>The Charge of the Light Brigade </c:v>
                </c:pt>
                <c:pt idx="3651">
                  <c:v>The Children of Huang Shi </c:v>
                </c:pt>
                <c:pt idx="3652">
                  <c:v>The Chorus </c:v>
                </c:pt>
                <c:pt idx="3653">
                  <c:v>The Christmas Bunny </c:v>
                </c:pt>
                <c:pt idx="3654">
                  <c:v>The Christmas Candle </c:v>
                </c:pt>
                <c:pt idx="3655">
                  <c:v>The Chronicles of Narnia: Prince Caspian </c:v>
                </c:pt>
                <c:pt idx="3656">
                  <c:v>The Chronicles of Narnia: The Lion, the Witch and the Wardrobe </c:v>
                </c:pt>
                <c:pt idx="3657">
                  <c:v>The Chronicles of Narnia: The Voyage of the Dawn Treader </c:v>
                </c:pt>
                <c:pt idx="3658">
                  <c:v>The Chronicles of Riddick </c:v>
                </c:pt>
                <c:pt idx="3659">
                  <c:v>The Chumscrubber </c:v>
                </c:pt>
                <c:pt idx="3660">
                  <c:v>The Circle </c:v>
                </c:pt>
                <c:pt idx="3661">
                  <c:v>The City of Your Final Destination </c:v>
                </c:pt>
                <c:pt idx="3662">
                  <c:v>The Claim </c:v>
                </c:pt>
                <c:pt idx="3663">
                  <c:v>The Clan of the Cave Bear </c:v>
                </c:pt>
                <c:pt idx="3664">
                  <c:v>The Class </c:v>
                </c:pt>
                <c:pt idx="3665">
                  <c:v>The Client </c:v>
                </c:pt>
                <c:pt idx="3666">
                  <c:v>The Cold Light of Day </c:v>
                </c:pt>
                <c:pt idx="3667">
                  <c:v>The Collection </c:v>
                </c:pt>
                <c:pt idx="3668">
                  <c:v>The Color of Freedom </c:v>
                </c:pt>
                <c:pt idx="3669">
                  <c:v>The Color of Money </c:v>
                </c:pt>
                <c:pt idx="3670">
                  <c:v>The Color Purple </c:v>
                </c:pt>
                <c:pt idx="3671">
                  <c:v>The Company </c:v>
                </c:pt>
                <c:pt idx="3672">
                  <c:v>The Conformist </c:v>
                </c:pt>
                <c:pt idx="3673">
                  <c:v>The Conjuring 2 </c:v>
                </c:pt>
                <c:pt idx="3674">
                  <c:v>The Conjuring </c:v>
                </c:pt>
                <c:pt idx="3675">
                  <c:v>The Conspirator </c:v>
                </c:pt>
                <c:pt idx="3676">
                  <c:v>The Constant Gardener </c:v>
                </c:pt>
                <c:pt idx="3677">
                  <c:v>The Contender </c:v>
                </c:pt>
                <c:pt idx="3678">
                  <c:v>The Conversation </c:v>
                </c:pt>
                <c:pt idx="3679">
                  <c:v>The Cookout </c:v>
                </c:pt>
                <c:pt idx="3680">
                  <c:v>The Cooler </c:v>
                </c:pt>
                <c:pt idx="3681">
                  <c:v>The Core </c:v>
                </c:pt>
                <c:pt idx="3682">
                  <c:v>The Corruptor </c:v>
                </c:pt>
                <c:pt idx="3683">
                  <c:v>The Cottage </c:v>
                </c:pt>
                <c:pt idx="3684">
                  <c:v>The Cotton Club </c:v>
                </c:pt>
                <c:pt idx="3685">
                  <c:v>The Counselor </c:v>
                </c:pt>
                <c:pt idx="3686">
                  <c:v>The Count of Monte Cristo </c:v>
                </c:pt>
                <c:pt idx="3687">
                  <c:v>The Country Bears </c:v>
                </c:pt>
                <c:pt idx="3688">
                  <c:v>The Covenant </c:v>
                </c:pt>
                <c:pt idx="3689">
                  <c:v>The Craft </c:v>
                </c:pt>
                <c:pt idx="3690">
                  <c:v>The Crazies </c:v>
                </c:pt>
                <c:pt idx="3691">
                  <c:v>The Crew </c:v>
                </c:pt>
                <c:pt idx="3692">
                  <c:v>The Crocodile Hunter: Collision Course </c:v>
                </c:pt>
                <c:pt idx="3693">
                  <c:v>The Croods </c:v>
                </c:pt>
                <c:pt idx="3694">
                  <c:v>The Crow </c:v>
                </c:pt>
                <c:pt idx="3695">
                  <c:v>The Cry of the Owl </c:v>
                </c:pt>
                <c:pt idx="3696">
                  <c:v>The Crying Game </c:v>
                </c:pt>
                <c:pt idx="3697">
                  <c:v>The Cure </c:v>
                </c:pt>
                <c:pt idx="3698">
                  <c:v>The Curious Case of Benjamin Button </c:v>
                </c:pt>
                <c:pt idx="3699">
                  <c:v>The Curse of Downers Grove </c:v>
                </c:pt>
                <c:pt idx="3700">
                  <c:v>The Curse of the Jade Scorpion </c:v>
                </c:pt>
                <c:pt idx="3701">
                  <c:v>The Curse of the Were-Rabbit </c:v>
                </c:pt>
                <c:pt idx="3702">
                  <c:v>The Da Vinci Code </c:v>
                </c:pt>
                <c:pt idx="3703">
                  <c:v>The Damned United </c:v>
                </c:pt>
                <c:pt idx="3704">
                  <c:v>The Dangerous Lives of Altar Boys </c:v>
                </c:pt>
                <c:pt idx="3705">
                  <c:v>The Dark Hours </c:v>
                </c:pt>
                <c:pt idx="3706">
                  <c:v>The Dark Knight Rises </c:v>
                </c:pt>
                <c:pt idx="3707">
                  <c:v>The Dark Knight </c:v>
                </c:pt>
                <c:pt idx="3708">
                  <c:v>The Darkest Hour </c:v>
                </c:pt>
                <c:pt idx="3709">
                  <c:v>The Day After Tomorrow </c:v>
                </c:pt>
                <c:pt idx="3710">
                  <c:v>The Day the Earth Stood Still </c:v>
                </c:pt>
                <c:pt idx="3711">
                  <c:v>The Dead Girl </c:v>
                </c:pt>
                <c:pt idx="3712">
                  <c:v>The Dead Undead </c:v>
                </c:pt>
                <c:pt idx="3713">
                  <c:v>The Dead Zone </c:v>
                </c:pt>
                <c:pt idx="3714">
                  <c:v>The Death and Life of Bobby Z </c:v>
                </c:pt>
                <c:pt idx="3715">
                  <c:v>The Debt </c:v>
                </c:pt>
                <c:pt idx="3716">
                  <c:v>The Deep End of the Ocean </c:v>
                </c:pt>
                <c:pt idx="3717">
                  <c:v>The Deer Hunter </c:v>
                </c:pt>
                <c:pt idx="3718">
                  <c:v>The Departed </c:v>
                </c:pt>
                <c:pt idx="3719">
                  <c:v>The Deported </c:v>
                </c:pt>
                <c:pt idx="3720">
                  <c:v>The Descendants </c:v>
                </c:pt>
                <c:pt idx="3721">
                  <c:v>The Descent </c:v>
                </c:pt>
                <c:pt idx="3722">
                  <c:v>The Devil Inside </c:v>
                </c:pt>
                <c:pt idx="3723">
                  <c:v>The Devil Wears Prada </c:v>
                </c:pt>
                <c:pt idx="3724">
                  <c:v>The Devil's Advocate </c:v>
                </c:pt>
                <c:pt idx="3725">
                  <c:v>The Devil's Double </c:v>
                </c:pt>
                <c:pt idx="3726">
                  <c:v>The Devil's Own </c:v>
                </c:pt>
                <c:pt idx="3727">
                  <c:v>The Devil's Rejects </c:v>
                </c:pt>
                <c:pt idx="3728">
                  <c:v>The Devil's Tomb </c:v>
                </c:pt>
                <c:pt idx="3729">
                  <c:v>The Diary of a Teenage Girl </c:v>
                </c:pt>
                <c:pt idx="3730">
                  <c:v>The Dictator </c:v>
                </c:pt>
                <c:pt idx="3731">
                  <c:v>The Dilemma </c:v>
                </c:pt>
                <c:pt idx="3732">
                  <c:v>The Dirties </c:v>
                </c:pt>
                <c:pt idx="3733">
                  <c:v>The Divide </c:v>
                </c:pt>
                <c:pt idx="3734">
                  <c:v>The Diving Bell and the Butterfly </c:v>
                </c:pt>
                <c:pt idx="3735">
                  <c:v>The Dog Lover </c:v>
                </c:pt>
                <c:pt idx="3736">
                  <c:v>The Doombolt Chase </c:v>
                </c:pt>
                <c:pt idx="3737">
                  <c:v>The Doors </c:v>
                </c:pt>
                <c:pt idx="3738">
                  <c:v>The Dress </c:v>
                </c:pt>
                <c:pt idx="3739">
                  <c:v>The Duchess </c:v>
                </c:pt>
                <c:pt idx="3740">
                  <c:v>The DUFF </c:v>
                </c:pt>
                <c:pt idx="3741">
                  <c:v>The Dukes of Hazzard </c:v>
                </c:pt>
                <c:pt idx="3742">
                  <c:v>The East </c:v>
                </c:pt>
                <c:pt idx="3743">
                  <c:v>The Eclipse </c:v>
                </c:pt>
                <c:pt idx="3744">
                  <c:v>The Edge </c:v>
                </c:pt>
                <c:pt idx="3745">
                  <c:v>The Egyptian </c:v>
                </c:pt>
                <c:pt idx="3746">
                  <c:v>The Elephant Man </c:v>
                </c:pt>
                <c:pt idx="3747">
                  <c:v>The Emperor's Club </c:v>
                </c:pt>
                <c:pt idx="3748">
                  <c:v>The Emperor's New Groove </c:v>
                </c:pt>
                <c:pt idx="3749">
                  <c:v>The End of the Affair </c:v>
                </c:pt>
                <c:pt idx="3750">
                  <c:v>The English Patient </c:v>
                </c:pt>
                <c:pt idx="3751">
                  <c:v>The Equalizer </c:v>
                </c:pt>
                <c:pt idx="3752">
                  <c:v>The Evil Dead </c:v>
                </c:pt>
                <c:pt idx="3753">
                  <c:v>The Exorcism of Emily Rose </c:v>
                </c:pt>
                <c:pt idx="3754">
                  <c:v>The Exorcist </c:v>
                </c:pt>
                <c:pt idx="3755">
                  <c:v>The Expendables 2 </c:v>
                </c:pt>
                <c:pt idx="3756">
                  <c:v>The Expendables 3 </c:v>
                </c:pt>
                <c:pt idx="3757">
                  <c:v>The Expendables </c:v>
                </c:pt>
                <c:pt idx="3758">
                  <c:v>The Exploding Girl </c:v>
                </c:pt>
                <c:pt idx="3759">
                  <c:v>The Express </c:v>
                </c:pt>
                <c:pt idx="3760">
                  <c:v>The Extra Man </c:v>
                </c:pt>
                <c:pt idx="3761">
                  <c:v>The Eye </c:v>
                </c:pt>
                <c:pt idx="3762">
                  <c:v>The Face of an Angel </c:v>
                </c:pt>
                <c:pt idx="3763">
                  <c:v>The Faculty </c:v>
                </c:pt>
                <c:pt idx="3764">
                  <c:v>The Fall of the Roman Empire </c:v>
                </c:pt>
                <c:pt idx="3765">
                  <c:v>The Family Man </c:v>
                </c:pt>
                <c:pt idx="3766">
                  <c:v>The Family Stone </c:v>
                </c:pt>
                <c:pt idx="3767">
                  <c:v>The Family </c:v>
                </c:pt>
                <c:pt idx="3768">
                  <c:v>The Fan </c:v>
                </c:pt>
                <c:pt idx="3769">
                  <c:v>The Fast and the Furious </c:v>
                </c:pt>
                <c:pt idx="3770">
                  <c:v>The Fast and the Furious: Tokyo Drift </c:v>
                </c:pt>
                <c:pt idx="3771">
                  <c:v>The Fault in Our Stars </c:v>
                </c:pt>
                <c:pt idx="3772">
                  <c:v>The Fifth Element </c:v>
                </c:pt>
                <c:pt idx="3773">
                  <c:v>The Fifth Estate </c:v>
                </c:pt>
                <c:pt idx="3774">
                  <c:v>The Fighter </c:v>
                </c:pt>
                <c:pt idx="3775">
                  <c:v>The Final Destination </c:v>
                </c:pt>
                <c:pt idx="3776">
                  <c:v>The Finest Hours </c:v>
                </c:pt>
                <c:pt idx="3777">
                  <c:v>The Firm </c:v>
                </c:pt>
                <c:pt idx="3778">
                  <c:v>The First Wives Club </c:v>
                </c:pt>
                <c:pt idx="3779">
                  <c:v>The Fisher King </c:v>
                </c:pt>
                <c:pt idx="3780">
                  <c:v>The Five-Year Engagement </c:v>
                </c:pt>
                <c:pt idx="3781">
                  <c:v>The Flintstones in Viva Rock Vegas </c:v>
                </c:pt>
                <c:pt idx="3782">
                  <c:v>The Flintstones </c:v>
                </c:pt>
                <c:pt idx="3783">
                  <c:v>The Flower of Evil </c:v>
                </c:pt>
                <c:pt idx="3784">
                  <c:v>The Flowers of War </c:v>
                </c:pt>
                <c:pt idx="3785">
                  <c:v>The Fog </c:v>
                </c:pt>
                <c:pt idx="3786">
                  <c:v>The Following </c:v>
                </c:pt>
                <c:pt idx="3787">
                  <c:v>The Forbidden Kingdom </c:v>
                </c:pt>
                <c:pt idx="3788">
                  <c:v>The Forest </c:v>
                </c:pt>
                <c:pt idx="3789">
                  <c:v>The Forsaken </c:v>
                </c:pt>
                <c:pt idx="3790">
                  <c:v>The Fountain </c:v>
                </c:pt>
                <c:pt idx="3791">
                  <c:v>The Four Feathers </c:v>
                </c:pt>
                <c:pt idx="3792">
                  <c:v>The Four Seasons </c:v>
                </c:pt>
                <c:pt idx="3793">
                  <c:v>The Fourth Kind </c:v>
                </c:pt>
                <c:pt idx="3794">
                  <c:v>The FP </c:v>
                </c:pt>
                <c:pt idx="3795">
                  <c:v>The French Connection </c:v>
                </c:pt>
                <c:pt idx="3796">
                  <c:v>The Front Page </c:v>
                </c:pt>
                <c:pt idx="3797">
                  <c:v>The Frozen Ground </c:v>
                </c:pt>
                <c:pt idx="3798">
                  <c:v>The Frozen </c:v>
                </c:pt>
                <c:pt idx="3799">
                  <c:v>The Fugitive </c:v>
                </c:pt>
                <c:pt idx="3800">
                  <c:v>The Full Monty </c:v>
                </c:pt>
                <c:pt idx="3801">
                  <c:v>The Funeral </c:v>
                </c:pt>
                <c:pt idx="3802">
                  <c:v>The Gallows </c:v>
                </c:pt>
                <c:pt idx="3803">
                  <c:v>The Gambler </c:v>
                </c:pt>
                <c:pt idx="3804">
                  <c:v>The Game of Their Lives </c:v>
                </c:pt>
                <c:pt idx="3805">
                  <c:v>The Game Plan </c:v>
                </c:pt>
                <c:pt idx="3806">
                  <c:v>The Game </c:v>
                </c:pt>
                <c:pt idx="3807">
                  <c:v>The Gatekeepers </c:v>
                </c:pt>
                <c:pt idx="3808">
                  <c:v>The General's Daughter </c:v>
                </c:pt>
                <c:pt idx="3809">
                  <c:v>The Geographer Drank His Globe Away </c:v>
                </c:pt>
                <c:pt idx="3810">
                  <c:v>The Ghastly Love of Johnny X </c:v>
                </c:pt>
                <c:pt idx="3811">
                  <c:v>The Ghost and the Darkness </c:v>
                </c:pt>
                <c:pt idx="3812">
                  <c:v>The Ghost Writer </c:v>
                </c:pt>
                <c:pt idx="3813">
                  <c:v>The Gift </c:v>
                </c:pt>
                <c:pt idx="3814">
                  <c:v>The Girl Next Door </c:v>
                </c:pt>
                <c:pt idx="3815">
                  <c:v>The Girl on the Train </c:v>
                </c:pt>
                <c:pt idx="3816">
                  <c:v>The Girl with the Dragon Tattoo </c:v>
                </c:pt>
                <c:pt idx="3817">
                  <c:v>The Girlfriend Experience </c:v>
                </c:pt>
                <c:pt idx="3818">
                  <c:v>The Giver </c:v>
                </c:pt>
                <c:pt idx="3819">
                  <c:v>The Glass House </c:v>
                </c:pt>
                <c:pt idx="3820">
                  <c:v>The Glimmer Man </c:v>
                </c:pt>
                <c:pt idx="3821">
                  <c:v>The Godfather </c:v>
                </c:pt>
                <c:pt idx="3822">
                  <c:v>The Godfather: Part II </c:v>
                </c:pt>
                <c:pt idx="3823">
                  <c:v>The Godfather: Part III </c:v>
                </c:pt>
                <c:pt idx="3824">
                  <c:v>The Golden Child </c:v>
                </c:pt>
                <c:pt idx="3825">
                  <c:v>The Golden Compass </c:v>
                </c:pt>
                <c:pt idx="3826">
                  <c:v>The Good Dinosaur </c:v>
                </c:pt>
                <c:pt idx="3827">
                  <c:v>The Good German </c:v>
                </c:pt>
                <c:pt idx="3828">
                  <c:v>The Good Girl </c:v>
                </c:pt>
                <c:pt idx="3829">
                  <c:v>The Good Guy </c:v>
                </c:pt>
                <c:pt idx="3830">
                  <c:v>The Good Heart </c:v>
                </c:pt>
                <c:pt idx="3831">
                  <c:v>The Good Night </c:v>
                </c:pt>
                <c:pt idx="3832">
                  <c:v>The Good Thief </c:v>
                </c:pt>
                <c:pt idx="3833">
                  <c:v>The Good, the Bad and the Ugly </c:v>
                </c:pt>
                <c:pt idx="3834">
                  <c:v>The Good, the Bad, the Weird </c:v>
                </c:pt>
                <c:pt idx="3835">
                  <c:v>The Goods: Live Hard, Sell Hard </c:v>
                </c:pt>
                <c:pt idx="3836">
                  <c:v>The Grace Card </c:v>
                </c:pt>
                <c:pt idx="3837">
                  <c:v>The Grand Budapest Hotel </c:v>
                </c:pt>
                <c:pt idx="3838">
                  <c:v>The Grand </c:v>
                </c:pt>
                <c:pt idx="3839">
                  <c:v>The Grandmaster </c:v>
                </c:pt>
                <c:pt idx="3840">
                  <c:v>The Great Beauty </c:v>
                </c:pt>
                <c:pt idx="3841">
                  <c:v>The Great Debaters </c:v>
                </c:pt>
                <c:pt idx="3842">
                  <c:v>The Great Escape </c:v>
                </c:pt>
                <c:pt idx="3843">
                  <c:v>The Great Gatsby </c:v>
                </c:pt>
                <c:pt idx="3844">
                  <c:v>The Great Raid </c:v>
                </c:pt>
                <c:pt idx="3845">
                  <c:v>The Great Train Robbery </c:v>
                </c:pt>
                <c:pt idx="3846">
                  <c:v>The Greatest Game Ever Played </c:v>
                </c:pt>
                <c:pt idx="3847">
                  <c:v>The Greatest Movie Ever Sold </c:v>
                </c:pt>
                <c:pt idx="3848">
                  <c:v>The Greatest Show on Earth </c:v>
                </c:pt>
                <c:pt idx="3849">
                  <c:v>The Greatest Story Ever Told </c:v>
                </c:pt>
                <c:pt idx="3850">
                  <c:v>The Greatest </c:v>
                </c:pt>
                <c:pt idx="3851">
                  <c:v>The Green Hornet </c:v>
                </c:pt>
                <c:pt idx="3852">
                  <c:v>The Green Inferno </c:v>
                </c:pt>
                <c:pt idx="3853">
                  <c:v>The Green Mile </c:v>
                </c:pt>
                <c:pt idx="3854">
                  <c:v>The Grey </c:v>
                </c:pt>
                <c:pt idx="3855">
                  <c:v>The Grudge 2 </c:v>
                </c:pt>
                <c:pt idx="3856">
                  <c:v>The Grudge </c:v>
                </c:pt>
                <c:pt idx="3857">
                  <c:v>The Guard </c:v>
                </c:pt>
                <c:pt idx="3858">
                  <c:v>The Guilt Trip </c:v>
                </c:pt>
                <c:pt idx="3859">
                  <c:v>The Gunman </c:v>
                </c:pt>
                <c:pt idx="3860">
                  <c:v>The Guru </c:v>
                </c:pt>
                <c:pt idx="3861">
                  <c:v>The Hadza: Last of the First </c:v>
                </c:pt>
                <c:pt idx="3862">
                  <c:v>The Hammer </c:v>
                </c:pt>
                <c:pt idx="3863">
                  <c:v>The Hangover Part II </c:v>
                </c:pt>
                <c:pt idx="3864">
                  <c:v>The Hangover </c:v>
                </c:pt>
                <c:pt idx="3865">
                  <c:v>The Happening </c:v>
                </c:pt>
                <c:pt idx="3866">
                  <c:v>The Harvest/La Cosecha </c:v>
                </c:pt>
                <c:pt idx="3867">
                  <c:v>The Hateful Eight </c:v>
                </c:pt>
                <c:pt idx="3868">
                  <c:v>The Haunted Mansion </c:v>
                </c:pt>
                <c:pt idx="3869">
                  <c:v>The Haunting in Connecticut 2: Ghosts of Georgia </c:v>
                </c:pt>
                <c:pt idx="3870">
                  <c:v>The Haunting of Molly Hartley </c:v>
                </c:pt>
                <c:pt idx="3871">
                  <c:v>The Haunting </c:v>
                </c:pt>
                <c:pt idx="3872">
                  <c:v>The Heart of Me </c:v>
                </c:pt>
                <c:pt idx="3873">
                  <c:v>The Heat </c:v>
                </c:pt>
                <c:pt idx="3874">
                  <c:v>The Hebrew Hammer </c:v>
                </c:pt>
                <c:pt idx="3875">
                  <c:v>The Helix... Loaded </c:v>
                </c:pt>
                <c:pt idx="3876">
                  <c:v>The Help </c:v>
                </c:pt>
                <c:pt idx="3877">
                  <c:v>The Hills Have Eyes II </c:v>
                </c:pt>
                <c:pt idx="3878">
                  <c:v>The Hills Have Eyes </c:v>
                </c:pt>
                <c:pt idx="3879">
                  <c:v>The History Boys </c:v>
                </c:pt>
                <c:pt idx="3880">
                  <c:v>The Hit List </c:v>
                </c:pt>
                <c:pt idx="3881">
                  <c:v>The Hitchhiker's Guide to the Galaxy </c:v>
                </c:pt>
                <c:pt idx="3882">
                  <c:v>The Hoax </c:v>
                </c:pt>
                <c:pt idx="3883">
                  <c:v>The Hobbit: An Unexpected Journey </c:v>
                </c:pt>
                <c:pt idx="3884">
                  <c:v>The Hobbit: The Battle of the Five Armies </c:v>
                </c:pt>
                <c:pt idx="3885">
                  <c:v>The Hobbit: The Desolation of Smaug </c:v>
                </c:pt>
                <c:pt idx="3886">
                  <c:v>The Hole </c:v>
                </c:pt>
                <c:pt idx="3887">
                  <c:v>The Holiday </c:v>
                </c:pt>
                <c:pt idx="3888">
                  <c:v>The Holy Girl </c:v>
                </c:pt>
                <c:pt idx="3889">
                  <c:v>The Homesman </c:v>
                </c:pt>
                <c:pt idx="3890">
                  <c:v>The Honeymooners </c:v>
                </c:pt>
                <c:pt idx="3891">
                  <c:v>The Horror Network Vol. 1 </c:v>
                </c:pt>
                <c:pt idx="3892">
                  <c:v>The Horse Boy </c:v>
                </c:pt>
                <c:pt idx="3893">
                  <c:v>The Horse Whisperer </c:v>
                </c:pt>
                <c:pt idx="3894">
                  <c:v>The Horseman on the Roof </c:v>
                </c:pt>
                <c:pt idx="3895">
                  <c:v>The Host </c:v>
                </c:pt>
                <c:pt idx="3896">
                  <c:v>The Hotel New Hampshire </c:v>
                </c:pt>
                <c:pt idx="3897">
                  <c:v>The Hours </c:v>
                </c:pt>
                <c:pt idx="3898">
                  <c:v>The House Bunny </c:v>
                </c:pt>
                <c:pt idx="3899">
                  <c:v>The House of Mirth </c:v>
                </c:pt>
                <c:pt idx="3900">
                  <c:v>The House of the Devil </c:v>
                </c:pt>
                <c:pt idx="3901">
                  <c:v>The Howling </c:v>
                </c:pt>
                <c:pt idx="3902">
                  <c:v>The Hudsucker Proxy </c:v>
                </c:pt>
                <c:pt idx="3903">
                  <c:v>The Hunchback of Notre Dame </c:v>
                </c:pt>
                <c:pt idx="3904">
                  <c:v>The Hundred-Foot Journey </c:v>
                </c:pt>
                <c:pt idx="3905">
                  <c:v>The Hunger Games </c:v>
                </c:pt>
                <c:pt idx="3906">
                  <c:v>The Hunger Games: Catching Fire </c:v>
                </c:pt>
                <c:pt idx="3907">
                  <c:v>The Hunger Games: Mockingjay - Part 1 </c:v>
                </c:pt>
                <c:pt idx="3908">
                  <c:v>The Hunger Games: Mockingjay - Part 2 </c:v>
                </c:pt>
                <c:pt idx="3909">
                  <c:v>The Hunt for Red October </c:v>
                </c:pt>
                <c:pt idx="3910">
                  <c:v>The Hunt </c:v>
                </c:pt>
                <c:pt idx="3911">
                  <c:v>The Hunted </c:v>
                </c:pt>
                <c:pt idx="3912">
                  <c:v>The Hunting Party </c:v>
                </c:pt>
                <c:pt idx="3913">
                  <c:v>The Huntsman: Winter's War </c:v>
                </c:pt>
                <c:pt idx="3914">
                  <c:v>The Hurricane </c:v>
                </c:pt>
                <c:pt idx="3915">
                  <c:v>The Hurt Locker </c:v>
                </c:pt>
                <c:pt idx="3916">
                  <c:v>The Hustler </c:v>
                </c:pt>
                <c:pt idx="3917">
                  <c:v>The I Inside </c:v>
                </c:pt>
                <c:pt idx="3918">
                  <c:v>The Ice Pirates </c:v>
                </c:pt>
                <c:pt idx="3919">
                  <c:v>The Ice Storm </c:v>
                </c:pt>
                <c:pt idx="3920">
                  <c:v>The Iceman </c:v>
                </c:pt>
                <c:pt idx="3921">
                  <c:v>The Ides of March </c:v>
                </c:pt>
                <c:pt idx="3922">
                  <c:v>The Illusionist </c:v>
                </c:pt>
                <c:pt idx="3923">
                  <c:v>The Image Revolution </c:v>
                </c:pt>
                <c:pt idx="3924">
                  <c:v>The Imaginarium of Doctor Parnassus </c:v>
                </c:pt>
                <c:pt idx="3925">
                  <c:v>The Imitation Game </c:v>
                </c:pt>
                <c:pt idx="3926">
                  <c:v>The Immigrant </c:v>
                </c:pt>
                <c:pt idx="3927">
                  <c:v>The Importance of Being Earnest </c:v>
                </c:pt>
                <c:pt idx="3928">
                  <c:v>The Impossible </c:v>
                </c:pt>
                <c:pt idx="3929">
                  <c:v>The In Crowd </c:v>
                </c:pt>
                <c:pt idx="3930">
                  <c:v>The Inbetweeners </c:v>
                </c:pt>
                <c:pt idx="3931">
                  <c:v>The Incredible Burt Wonderstone </c:v>
                </c:pt>
                <c:pt idx="3932">
                  <c:v>The Incredible Hulk </c:v>
                </c:pt>
                <c:pt idx="3933">
                  <c:v>The Incredibles </c:v>
                </c:pt>
                <c:pt idx="3934">
                  <c:v>The Incredibly True Adventure of Two Girls in Love </c:v>
                </c:pt>
                <c:pt idx="3935">
                  <c:v>The Indian in the Cupboard </c:v>
                </c:pt>
                <c:pt idx="3936">
                  <c:v>The Infiltrator </c:v>
                </c:pt>
                <c:pt idx="3937">
                  <c:v>The Informant! </c:v>
                </c:pt>
                <c:pt idx="3938">
                  <c:v>The Informers </c:v>
                </c:pt>
                <c:pt idx="3939">
                  <c:v>The Inkwell </c:v>
                </c:pt>
                <c:pt idx="3940">
                  <c:v>The Innkeepers </c:v>
                </c:pt>
                <c:pt idx="3941">
                  <c:v>The Insider </c:v>
                </c:pt>
                <c:pt idx="3942">
                  <c:v>The Intern </c:v>
                </c:pt>
                <c:pt idx="3943">
                  <c:v>The International </c:v>
                </c:pt>
                <c:pt idx="3944">
                  <c:v>The Internship </c:v>
                </c:pt>
                <c:pt idx="3945">
                  <c:v>The Interpreter </c:v>
                </c:pt>
                <c:pt idx="3946">
                  <c:v>The Interview </c:v>
                </c:pt>
                <c:pt idx="3947">
                  <c:v>The Invasion </c:v>
                </c:pt>
                <c:pt idx="3948">
                  <c:v>The Invention of Lying </c:v>
                </c:pt>
                <c:pt idx="3949">
                  <c:v>The Iron Giant </c:v>
                </c:pt>
                <c:pt idx="3950">
                  <c:v>The Iron Lady </c:v>
                </c:pt>
                <c:pt idx="3951">
                  <c:v>The Island of Dr. Moreau </c:v>
                </c:pt>
                <c:pt idx="3952">
                  <c:v>The Island </c:v>
                </c:pt>
                <c:pt idx="3953">
                  <c:v>The Italian Job </c:v>
                </c:pt>
                <c:pt idx="3954">
                  <c:v>The Jackal </c:v>
                </c:pt>
                <c:pt idx="3955">
                  <c:v>The Jacket </c:v>
                </c:pt>
                <c:pt idx="3956">
                  <c:v>The Janky Promoters </c:v>
                </c:pt>
                <c:pt idx="3957">
                  <c:v>The Jerky Boys </c:v>
                </c:pt>
                <c:pt idx="3958">
                  <c:v>The Jimmy Show </c:v>
                </c:pt>
                <c:pt idx="3959">
                  <c:v>The Joneses </c:v>
                </c:pt>
                <c:pt idx="3960">
                  <c:v>The Judge </c:v>
                </c:pt>
                <c:pt idx="3961">
                  <c:v>The Jungle Book 2 </c:v>
                </c:pt>
                <c:pt idx="3962">
                  <c:v>The Jungle Book </c:v>
                </c:pt>
                <c:pt idx="3963">
                  <c:v>The Juror </c:v>
                </c:pt>
                <c:pt idx="3964">
                  <c:v>The Karate Kid </c:v>
                </c:pt>
                <c:pt idx="3965">
                  <c:v>The Kentucky Fried Movie </c:v>
                </c:pt>
                <c:pt idx="3966">
                  <c:v>The Kid </c:v>
                </c:pt>
                <c:pt idx="3967">
                  <c:v>The Kids Are All Right </c:v>
                </c:pt>
                <c:pt idx="3968">
                  <c:v>The Killer Inside Me </c:v>
                </c:pt>
                <c:pt idx="3969">
                  <c:v>The King of Najayo </c:v>
                </c:pt>
                <c:pt idx="3970">
                  <c:v>The Kingdom </c:v>
                </c:pt>
                <c:pt idx="3971">
                  <c:v>The King's Speech </c:v>
                </c:pt>
                <c:pt idx="3972">
                  <c:v>The Kite Runner </c:v>
                </c:pt>
                <c:pt idx="3973">
                  <c:v>The Knife of Don Juan </c:v>
                </c:pt>
                <c:pt idx="3974">
                  <c:v>The Ladies Man </c:v>
                </c:pt>
                <c:pt idx="3975">
                  <c:v>The Lady from Shanghai </c:v>
                </c:pt>
                <c:pt idx="3976">
                  <c:v>The Ladykillers </c:v>
                </c:pt>
                <c:pt idx="3977">
                  <c:v>The Lake House </c:v>
                </c:pt>
                <c:pt idx="3978">
                  <c:v>The Land Before Time </c:v>
                </c:pt>
                <c:pt idx="3979">
                  <c:v>The Land Girls </c:v>
                </c:pt>
                <c:pt idx="3980">
                  <c:v>The Last Airbender </c:v>
                </c:pt>
                <c:pt idx="3981">
                  <c:v>The Last Big Thing </c:v>
                </c:pt>
                <c:pt idx="3982">
                  <c:v>The Last Castle </c:v>
                </c:pt>
                <c:pt idx="3983">
                  <c:v>The Last Days on Mars </c:v>
                </c:pt>
                <c:pt idx="3984">
                  <c:v>The Last Dragon </c:v>
                </c:pt>
                <c:pt idx="3985">
                  <c:v>The Last Emperor </c:v>
                </c:pt>
                <c:pt idx="3986">
                  <c:v>The Last Exorcism Part II </c:v>
                </c:pt>
                <c:pt idx="3987">
                  <c:v>The Last Exorcism </c:v>
                </c:pt>
                <c:pt idx="3988">
                  <c:v>The Last Five Years </c:v>
                </c:pt>
                <c:pt idx="3989">
                  <c:v>The Last Godfather </c:v>
                </c:pt>
                <c:pt idx="3990">
                  <c:v>The Last House on the Left </c:v>
                </c:pt>
                <c:pt idx="3991">
                  <c:v>The Last King of Scotland </c:v>
                </c:pt>
                <c:pt idx="3992">
                  <c:v>The Last Legion </c:v>
                </c:pt>
                <c:pt idx="3993">
                  <c:v>The Last of the Mohicans </c:v>
                </c:pt>
                <c:pt idx="3994">
                  <c:v>The Last Samurai </c:v>
                </c:pt>
                <c:pt idx="3995">
                  <c:v>The Last Shot </c:v>
                </c:pt>
                <c:pt idx="3996">
                  <c:v>The Last Sin Eater </c:v>
                </c:pt>
                <c:pt idx="3997">
                  <c:v>The Last Song </c:v>
                </c:pt>
                <c:pt idx="3998">
                  <c:v>The Last Stand </c:v>
                </c:pt>
                <c:pt idx="3999">
                  <c:v>The Last Station </c:v>
                </c:pt>
                <c:pt idx="4000">
                  <c:v>The Last Temptation of Christ </c:v>
                </c:pt>
                <c:pt idx="4001">
                  <c:v>The Last Time I Committed Suicide </c:v>
                </c:pt>
                <c:pt idx="4002">
                  <c:v>The Last Waltz </c:v>
                </c:pt>
                <c:pt idx="4003">
                  <c:v>The Last Witch Hunter </c:v>
                </c:pt>
                <c:pt idx="4004">
                  <c:v>The Lawnmower Man </c:v>
                </c:pt>
                <c:pt idx="4005">
                  <c:v>The Lazarus Effect </c:v>
                </c:pt>
                <c:pt idx="4006">
                  <c:v>The League of Extraordinary Gentlemen </c:v>
                </c:pt>
                <c:pt idx="4007">
                  <c:v>The Legend of Bagger Vance </c:v>
                </c:pt>
                <c:pt idx="4008">
                  <c:v>The Legend of Drunken Master </c:v>
                </c:pt>
                <c:pt idx="4009">
                  <c:v>The Legend of God's Gun </c:v>
                </c:pt>
                <c:pt idx="4010">
                  <c:v>The Legend of Hell's Gate: An American Conspiracy </c:v>
                </c:pt>
                <c:pt idx="4011">
                  <c:v>The Legend of Hercules </c:v>
                </c:pt>
                <c:pt idx="4012">
                  <c:v>The Legend of Suriyothai </c:v>
                </c:pt>
                <c:pt idx="4013">
                  <c:v>The Legend of Tarzan </c:v>
                </c:pt>
                <c:pt idx="4014">
                  <c:v>The Legend of the Lone Ranger </c:v>
                </c:pt>
                <c:pt idx="4015">
                  <c:v>The Legend of Zorro </c:v>
                </c:pt>
                <c:pt idx="4016">
                  <c:v>The Lego Movie </c:v>
                </c:pt>
                <c:pt idx="4017">
                  <c:v>The Libertine </c:v>
                </c:pt>
                <c:pt idx="4018">
                  <c:v>The Life Aquatic with Steve Zissou </c:v>
                </c:pt>
                <c:pt idx="4019">
                  <c:v>The Life Before Her Eyes </c:v>
                </c:pt>
                <c:pt idx="4020">
                  <c:v>The Life of David Gale </c:v>
                </c:pt>
                <c:pt idx="4021">
                  <c:v>The Limey </c:v>
                </c:pt>
                <c:pt idx="4022">
                  <c:v>The Lincoln Lawyer </c:v>
                </c:pt>
                <c:pt idx="4023">
                  <c:v>The Lion King </c:v>
                </c:pt>
                <c:pt idx="4024">
                  <c:v>The Lion of Judah </c:v>
                </c:pt>
                <c:pt idx="4025">
                  <c:v>The Little Ponderosa Zoo </c:v>
                </c:pt>
                <c:pt idx="4026">
                  <c:v>The Little Prince </c:v>
                </c:pt>
                <c:pt idx="4027">
                  <c:v>The Little Vampire </c:v>
                </c:pt>
                <c:pt idx="4028">
                  <c:v>The Lives of Others </c:v>
                </c:pt>
                <c:pt idx="4029">
                  <c:v>The Living Daylights </c:v>
                </c:pt>
                <c:pt idx="4030">
                  <c:v>The Living Wake </c:v>
                </c:pt>
                <c:pt idx="4031">
                  <c:v>The Lizzie McGuire Movie </c:v>
                </c:pt>
                <c:pt idx="4032">
                  <c:v>The Lone Ranger </c:v>
                </c:pt>
                <c:pt idx="4033">
                  <c:v>The Long Kiss Goodnight </c:v>
                </c:pt>
                <c:pt idx="4034">
                  <c:v>The Long Riders </c:v>
                </c:pt>
                <c:pt idx="4035">
                  <c:v>The Longest Day </c:v>
                </c:pt>
                <c:pt idx="4036">
                  <c:v>The Longest Ride </c:v>
                </c:pt>
                <c:pt idx="4037">
                  <c:v>The Longest Yard </c:v>
                </c:pt>
                <c:pt idx="4038">
                  <c:v>The Longshots </c:v>
                </c:pt>
                <c:pt idx="4039">
                  <c:v>The Looking Glass </c:v>
                </c:pt>
                <c:pt idx="4040">
                  <c:v>The Lord of the Rings: The Fellowship of the Ring </c:v>
                </c:pt>
                <c:pt idx="4041">
                  <c:v>The Lord of the Rings: The Return of the King </c:v>
                </c:pt>
                <c:pt idx="4042">
                  <c:v>The Lord of the Rings: The Two Towers </c:v>
                </c:pt>
                <c:pt idx="4043">
                  <c:v>The Lords of Salem </c:v>
                </c:pt>
                <c:pt idx="4044">
                  <c:v>The Losers </c:v>
                </c:pt>
                <c:pt idx="4045">
                  <c:v>The Loss of Sexual Innocence </c:v>
                </c:pt>
                <c:pt idx="4046">
                  <c:v>The Lost Boys </c:v>
                </c:pt>
                <c:pt idx="4047">
                  <c:v>The Lost City </c:v>
                </c:pt>
                <c:pt idx="4048">
                  <c:v>The Lost Medallion: The Adventures of Billy Stone </c:v>
                </c:pt>
                <c:pt idx="4049">
                  <c:v>The Lost Skeleton of Cadavra </c:v>
                </c:pt>
                <c:pt idx="4050">
                  <c:v>The Lost Weekend </c:v>
                </c:pt>
                <c:pt idx="4051">
                  <c:v>The Lost World: Jurassic Park </c:v>
                </c:pt>
                <c:pt idx="4052">
                  <c:v>The Love Guru </c:v>
                </c:pt>
                <c:pt idx="4053">
                  <c:v>The Love Letter </c:v>
                </c:pt>
                <c:pt idx="4054">
                  <c:v>The Loved Ones </c:v>
                </c:pt>
                <c:pt idx="4055">
                  <c:v>The Lovely Bones </c:v>
                </c:pt>
                <c:pt idx="4056">
                  <c:v>The Lovers </c:v>
                </c:pt>
                <c:pt idx="4057">
                  <c:v>The Lucky One </c:v>
                </c:pt>
                <c:pt idx="4058">
                  <c:v>The Lucky Ones </c:v>
                </c:pt>
                <c:pt idx="4059">
                  <c:v>The Lunchbox </c:v>
                </c:pt>
                <c:pt idx="4060">
                  <c:v>The Machinist </c:v>
                </c:pt>
                <c:pt idx="4061">
                  <c:v>The Magic Flute </c:v>
                </c:pt>
                <c:pt idx="4062">
                  <c:v>The Magic Sword: Quest for Camelot </c:v>
                </c:pt>
                <c:pt idx="4063">
                  <c:v>The Maid's Room </c:v>
                </c:pt>
                <c:pt idx="4064">
                  <c:v>The Majestic </c:v>
                </c:pt>
                <c:pt idx="4065">
                  <c:v>The Man from Earth </c:v>
                </c:pt>
                <c:pt idx="4066">
                  <c:v>The Man from Snowy River </c:v>
                </c:pt>
                <c:pt idx="4067">
                  <c:v>The Man from U.N.C.L.E. </c:v>
                </c:pt>
                <c:pt idx="4068">
                  <c:v>The Man in the Iron Mask </c:v>
                </c:pt>
                <c:pt idx="4069">
                  <c:v>The Man Who Knew Too Little </c:v>
                </c:pt>
                <c:pt idx="4070">
                  <c:v>The Man Who Shot Liberty Valance </c:v>
                </c:pt>
                <c:pt idx="4071">
                  <c:v>The Man with the Golden Gun </c:v>
                </c:pt>
                <c:pt idx="4072">
                  <c:v>The Man with the Iron Fists </c:v>
                </c:pt>
                <c:pt idx="4073">
                  <c:v>The Man </c:v>
                </c:pt>
                <c:pt idx="4074">
                  <c:v>The Manchurian Candidate </c:v>
                </c:pt>
                <c:pt idx="4075">
                  <c:v>The Marine 4: Moving Target </c:v>
                </c:pt>
                <c:pt idx="4076">
                  <c:v>The Marine </c:v>
                </c:pt>
                <c:pt idx="4077">
                  <c:v>The Martian </c:v>
                </c:pt>
                <c:pt idx="4078">
                  <c:v>The Mask of Zorro </c:v>
                </c:pt>
                <c:pt idx="4079">
                  <c:v>The Mask </c:v>
                </c:pt>
                <c:pt idx="4080">
                  <c:v>The Masked Saint </c:v>
                </c:pt>
                <c:pt idx="4081">
                  <c:v>The Master of Disguise </c:v>
                </c:pt>
                <c:pt idx="4082">
                  <c:v>The Master </c:v>
                </c:pt>
                <c:pt idx="4083">
                  <c:v>The Matador </c:v>
                </c:pt>
                <c:pt idx="4084">
                  <c:v>The Matrix Reloaded </c:v>
                </c:pt>
                <c:pt idx="4085">
                  <c:v>The Matrix Revolutions </c:v>
                </c:pt>
                <c:pt idx="4086">
                  <c:v>The Matrix </c:v>
                </c:pt>
                <c:pt idx="4087">
                  <c:v>The Maze Runner </c:v>
                </c:pt>
                <c:pt idx="4088">
                  <c:v>The Mechanic </c:v>
                </c:pt>
                <c:pt idx="4089">
                  <c:v>The Medallion </c:v>
                </c:pt>
                <c:pt idx="4090">
                  <c:v>The Men Who Stare at Goats </c:v>
                </c:pt>
                <c:pt idx="4091">
                  <c:v>The Merchant of Venice </c:v>
                </c:pt>
                <c:pt idx="4092">
                  <c:v>The Messenger </c:v>
                </c:pt>
                <c:pt idx="4093">
                  <c:v>The Messenger: The Story of Joan of Arc </c:v>
                </c:pt>
                <c:pt idx="4094">
                  <c:v>The Messengers </c:v>
                </c:pt>
                <c:pt idx="4095">
                  <c:v>The Mexican </c:v>
                </c:pt>
                <c:pt idx="4096">
                  <c:v>The Midnight Meat Train </c:v>
                </c:pt>
                <c:pt idx="4097">
                  <c:v>The Mighty Ducks </c:v>
                </c:pt>
                <c:pt idx="4098">
                  <c:v>The Mighty Macs </c:v>
                </c:pt>
                <c:pt idx="4099">
                  <c:v>The Mighty </c:v>
                </c:pt>
                <c:pt idx="4100">
                  <c:v>The Mirror Has Two Faces </c:v>
                </c:pt>
                <c:pt idx="4101">
                  <c:v>The Misfits </c:v>
                </c:pt>
                <c:pt idx="4102">
                  <c:v>The Missing Person </c:v>
                </c:pt>
                <c:pt idx="4103">
                  <c:v>The Missing </c:v>
                </c:pt>
                <c:pt idx="4104">
                  <c:v>The Mist </c:v>
                </c:pt>
                <c:pt idx="4105">
                  <c:v>The Molly Maguires </c:v>
                </c:pt>
                <c:pt idx="4106">
                  <c:v>The Mongol King </c:v>
                </c:pt>
                <c:pt idx="4107">
                  <c:v>The Monuments Men </c:v>
                </c:pt>
                <c:pt idx="4108">
                  <c:v>The Mortal Instruments: City of Bones </c:v>
                </c:pt>
                <c:pt idx="4109">
                  <c:v>The Motel </c:v>
                </c:pt>
                <c:pt idx="4110">
                  <c:v>The Mothman Prophecies </c:v>
                </c:pt>
                <c:pt idx="4111">
                  <c:v>The Mudge Boy </c:v>
                </c:pt>
                <c:pt idx="4112">
                  <c:v>The Mummy Returns </c:v>
                </c:pt>
                <c:pt idx="4113">
                  <c:v>The Mummy: Tomb of the Dragon Emperor </c:v>
                </c:pt>
                <c:pt idx="4114">
                  <c:v>The Muppet Christmas Carol </c:v>
                </c:pt>
                <c:pt idx="4115">
                  <c:v>The Muppet Movie </c:v>
                </c:pt>
                <c:pt idx="4116">
                  <c:v>The Muppets </c:v>
                </c:pt>
                <c:pt idx="4117">
                  <c:v>The Muse </c:v>
                </c:pt>
                <c:pt idx="4118">
                  <c:v>The Musketeer </c:v>
                </c:pt>
                <c:pt idx="4119">
                  <c:v>The Naked Ape </c:v>
                </c:pt>
                <c:pt idx="4120">
                  <c:v>The Naked Gun 2½: The Smell of Fear </c:v>
                </c:pt>
                <c:pt idx="4121">
                  <c:v>The Names of Love </c:v>
                </c:pt>
                <c:pt idx="4122">
                  <c:v>The Namesake </c:v>
                </c:pt>
                <c:pt idx="4123">
                  <c:v>The Nativity Story </c:v>
                </c:pt>
                <c:pt idx="4124">
                  <c:v>The Negotiator </c:v>
                </c:pt>
                <c:pt idx="4125">
                  <c:v>The Neon Demon </c:v>
                </c:pt>
                <c:pt idx="4126">
                  <c:v>The Net </c:v>
                </c:pt>
                <c:pt idx="4127">
                  <c:v>The NeverEnding Story </c:v>
                </c:pt>
                <c:pt idx="4128">
                  <c:v>The New Guy </c:v>
                </c:pt>
                <c:pt idx="4129">
                  <c:v>The New World </c:v>
                </c:pt>
                <c:pt idx="4130">
                  <c:v>The Newton Boys </c:v>
                </c:pt>
                <c:pt idx="4131">
                  <c:v>The Next Best Thing </c:v>
                </c:pt>
                <c:pt idx="4132">
                  <c:v>The Next Three Days </c:v>
                </c:pt>
                <c:pt idx="4133">
                  <c:v>The Night Listener </c:v>
                </c:pt>
                <c:pt idx="4134">
                  <c:v>The Night Visitor </c:v>
                </c:pt>
                <c:pt idx="4135">
                  <c:v>The Ninth Gate </c:v>
                </c:pt>
                <c:pt idx="4136">
                  <c:v>The Notebook </c:v>
                </c:pt>
                <c:pt idx="4137">
                  <c:v>The November Man </c:v>
                </c:pt>
                <c:pt idx="4138">
                  <c:v>The Number 23 </c:v>
                </c:pt>
                <c:pt idx="4139">
                  <c:v>The Nun's Story </c:v>
                </c:pt>
                <c:pt idx="4140">
                  <c:v>The Nut Job </c:v>
                </c:pt>
                <c:pt idx="4141">
                  <c:v>The Nutcracker in 3D </c:v>
                </c:pt>
                <c:pt idx="4142">
                  <c:v>The Nutcracker </c:v>
                </c:pt>
                <c:pt idx="4143">
                  <c:v>The Nutty Professor </c:v>
                </c:pt>
                <c:pt idx="4144">
                  <c:v>The O.C. </c:v>
                </c:pt>
                <c:pt idx="4145">
                  <c:v>The Object of My Affection </c:v>
                </c:pt>
                <c:pt idx="4146">
                  <c:v>The Odd Life of Timothy Green </c:v>
                </c:pt>
                <c:pt idx="4147">
                  <c:v>The Oh in Ohio </c:v>
                </c:pt>
                <c:pt idx="4148">
                  <c:v>The Omega Code </c:v>
                </c:pt>
                <c:pt idx="4149">
                  <c:v>The Omen </c:v>
                </c:pt>
                <c:pt idx="4150">
                  <c:v>The One </c:v>
                </c:pt>
                <c:pt idx="4151">
                  <c:v>The Oogieloves in the Big Balloon Adventure </c:v>
                </c:pt>
                <c:pt idx="4152">
                  <c:v>The Open Road </c:v>
                </c:pt>
                <c:pt idx="4153">
                  <c:v>The Opposite Sex </c:v>
                </c:pt>
                <c:pt idx="4154">
                  <c:v>The Order </c:v>
                </c:pt>
                <c:pt idx="4155">
                  <c:v>The Original Kings of Comedy </c:v>
                </c:pt>
                <c:pt idx="4156">
                  <c:v>The Orphanage </c:v>
                </c:pt>
                <c:pt idx="4157">
                  <c:v>The Other Boleyn Girl </c:v>
                </c:pt>
                <c:pt idx="4158">
                  <c:v>The Other Dream Team </c:v>
                </c:pt>
                <c:pt idx="4159">
                  <c:v>The Other End of the Line </c:v>
                </c:pt>
                <c:pt idx="4160">
                  <c:v>The Other Guys </c:v>
                </c:pt>
                <c:pt idx="4161">
                  <c:v>The Other Side of Heaven </c:v>
                </c:pt>
                <c:pt idx="4162">
                  <c:v>The Other Woman </c:v>
                </c:pt>
                <c:pt idx="4163">
                  <c:v>The Others </c:v>
                </c:pt>
                <c:pt idx="4164">
                  <c:v>The Out-of-Towners </c:v>
                </c:pt>
                <c:pt idx="4165">
                  <c:v>The Outrageous Sophie Tucker </c:v>
                </c:pt>
                <c:pt idx="4166">
                  <c:v>The Outsiders </c:v>
                </c:pt>
                <c:pt idx="4167">
                  <c:v>The Oxford Murders </c:v>
                </c:pt>
                <c:pt idx="4168">
                  <c:v>The Pacifier </c:v>
                </c:pt>
                <c:pt idx="4169">
                  <c:v>The Painted Veil </c:v>
                </c:pt>
                <c:pt idx="4170">
                  <c:v>The Pallbearer </c:v>
                </c:pt>
                <c:pt idx="4171">
                  <c:v>The Party's Over </c:v>
                </c:pt>
                <c:pt idx="4172">
                  <c:v>The Passion of the Christ </c:v>
                </c:pt>
                <c:pt idx="4173">
                  <c:v>The Past is a Grotesque Animal </c:v>
                </c:pt>
                <c:pt idx="4174">
                  <c:v>The Patriot </c:v>
                </c:pt>
                <c:pt idx="4175">
                  <c:v>The Peacemaker </c:v>
                </c:pt>
                <c:pt idx="4176">
                  <c:v>The Peanuts Movie </c:v>
                </c:pt>
                <c:pt idx="4177">
                  <c:v>The Pelican Brief </c:v>
                </c:pt>
                <c:pt idx="4178">
                  <c:v>The Perez Family </c:v>
                </c:pt>
                <c:pt idx="4179">
                  <c:v>The Perfect Game </c:v>
                </c:pt>
                <c:pt idx="4180">
                  <c:v>The Perfect Host </c:v>
                </c:pt>
                <c:pt idx="4181">
                  <c:v>The Perfect Man </c:v>
                </c:pt>
                <c:pt idx="4182">
                  <c:v>The Perfect Match </c:v>
                </c:pt>
                <c:pt idx="4183">
                  <c:v>The Perfect Storm </c:v>
                </c:pt>
                <c:pt idx="4184">
                  <c:v>The Perfect Wave </c:v>
                </c:pt>
                <c:pt idx="4185">
                  <c:v>The Perks of Being a Wallflower </c:v>
                </c:pt>
                <c:pt idx="4186">
                  <c:v>The Pet </c:v>
                </c:pt>
                <c:pt idx="4187">
                  <c:v>The Phantom of the Opera </c:v>
                </c:pt>
                <c:pt idx="4188">
                  <c:v>The Phantom </c:v>
                </c:pt>
                <c:pt idx="4189">
                  <c:v>The Pianist </c:v>
                </c:pt>
                <c:pt idx="4190">
                  <c:v>The Piano </c:v>
                </c:pt>
                <c:pt idx="4191">
                  <c:v>The Pink Panther </c:v>
                </c:pt>
                <c:pt idx="4192">
                  <c:v>The Pirate </c:v>
                </c:pt>
                <c:pt idx="4193">
                  <c:v>The Pirates Who Don't Do Anything: A VeggieTales Movie </c:v>
                </c:pt>
                <c:pt idx="4194">
                  <c:v>The Pirates! Band of Misfits </c:v>
                </c:pt>
                <c:pt idx="4195">
                  <c:v>The Place Beyond the Pines </c:v>
                </c:pt>
                <c:pt idx="4196">
                  <c:v>The Player </c:v>
                </c:pt>
                <c:pt idx="4197">
                  <c:v>The Players Club </c:v>
                </c:pt>
                <c:pt idx="4198">
                  <c:v>The Pledge </c:v>
                </c:pt>
                <c:pt idx="4199">
                  <c:v>The Poker House </c:v>
                </c:pt>
                <c:pt idx="4200">
                  <c:v>The Polar Express </c:v>
                </c:pt>
                <c:pt idx="4201">
                  <c:v>The Possession </c:v>
                </c:pt>
                <c:pt idx="4202">
                  <c:v>The Postman Always Rings Twice </c:v>
                </c:pt>
                <c:pt idx="4203">
                  <c:v>The Postman </c:v>
                </c:pt>
                <c:pt idx="4204">
                  <c:v>The Powerpuff Girls </c:v>
                </c:pt>
                <c:pt idx="4205">
                  <c:v>The Prestige </c:v>
                </c:pt>
                <c:pt idx="4206">
                  <c:v>The Prince and Me </c:v>
                </c:pt>
                <c:pt idx="4207">
                  <c:v>The Prince of Egypt </c:v>
                </c:pt>
                <c:pt idx="4208">
                  <c:v>The Prince of Tides </c:v>
                </c:pt>
                <c:pt idx="4209">
                  <c:v>The Prince </c:v>
                </c:pt>
                <c:pt idx="4210">
                  <c:v>The Princess and the Cobbler </c:v>
                </c:pt>
                <c:pt idx="4211">
                  <c:v>The Princess and the Frog </c:v>
                </c:pt>
                <c:pt idx="4212">
                  <c:v>The Princess Bride </c:v>
                </c:pt>
                <c:pt idx="4213">
                  <c:v>The Princess Diaries 2: Royal Engagement </c:v>
                </c:pt>
                <c:pt idx="4214">
                  <c:v>The Princess Diaries </c:v>
                </c:pt>
                <c:pt idx="4215">
                  <c:v>The Prisoner of Zenda </c:v>
                </c:pt>
                <c:pt idx="4216">
                  <c:v>The Producers </c:v>
                </c:pt>
                <c:pt idx="4217">
                  <c:v>The Promise </c:v>
                </c:pt>
                <c:pt idx="4218">
                  <c:v>The Prophecy </c:v>
                </c:pt>
                <c:pt idx="4219">
                  <c:v>The Proposal </c:v>
                </c:pt>
                <c:pt idx="4220">
                  <c:v>The Proposition </c:v>
                </c:pt>
                <c:pt idx="4221">
                  <c:v>The Protector </c:v>
                </c:pt>
                <c:pt idx="4222">
                  <c:v>The Puffy Chair </c:v>
                </c:pt>
                <c:pt idx="4223">
                  <c:v>The Punisher </c:v>
                </c:pt>
                <c:pt idx="4224">
                  <c:v>The Purge </c:v>
                </c:pt>
                <c:pt idx="4225">
                  <c:v>The Purge: Anarchy </c:v>
                </c:pt>
                <c:pt idx="4226">
                  <c:v>The Purge: Election Year </c:v>
                </c:pt>
                <c:pt idx="4227">
                  <c:v>The Pursuit of D.B. Cooper </c:v>
                </c:pt>
                <c:pt idx="4228">
                  <c:v>The Pursuit of Happyness </c:v>
                </c:pt>
                <c:pt idx="4229">
                  <c:v>The Queen </c:v>
                </c:pt>
                <c:pt idx="4230">
                  <c:v>The Quick and the Dead </c:v>
                </c:pt>
                <c:pt idx="4231">
                  <c:v>The Quiet American </c:v>
                </c:pt>
                <c:pt idx="4232">
                  <c:v>The Quiet </c:v>
                </c:pt>
                <c:pt idx="4233">
                  <c:v>The R.M. </c:v>
                </c:pt>
                <c:pt idx="4234">
                  <c:v>The Rage: Carrie 2 </c:v>
                </c:pt>
                <c:pt idx="4235">
                  <c:v>The Raid: Redemption </c:v>
                </c:pt>
                <c:pt idx="4236">
                  <c:v>The Railway Man </c:v>
                </c:pt>
                <c:pt idx="4237">
                  <c:v>The Rainmaker </c:v>
                </c:pt>
                <c:pt idx="4238">
                  <c:v>The Raven </c:v>
                </c:pt>
                <c:pt idx="4239">
                  <c:v>The Reader </c:v>
                </c:pt>
                <c:pt idx="4240">
                  <c:v>The Real Cancun </c:v>
                </c:pt>
                <c:pt idx="4241">
                  <c:v>The Reaping </c:v>
                </c:pt>
                <c:pt idx="4242">
                  <c:v>The Red Violin </c:v>
                </c:pt>
                <c:pt idx="4243">
                  <c:v>The Reef </c:v>
                </c:pt>
                <c:pt idx="4244">
                  <c:v>The Relic </c:v>
                </c:pt>
                <c:pt idx="4245">
                  <c:v>The Remains of the Day </c:v>
                </c:pt>
                <c:pt idx="4246">
                  <c:v>The Replacement Killers </c:v>
                </c:pt>
                <c:pt idx="4247">
                  <c:v>The Replacements </c:v>
                </c:pt>
                <c:pt idx="4248">
                  <c:v>The Return of the Living Dead </c:v>
                </c:pt>
                <c:pt idx="4249">
                  <c:v>The Return of the Pink Panther </c:v>
                </c:pt>
                <c:pt idx="4250">
                  <c:v>The Return </c:v>
                </c:pt>
                <c:pt idx="4251">
                  <c:v>The Returned </c:v>
                </c:pt>
                <c:pt idx="4252">
                  <c:v>The Revenant </c:v>
                </c:pt>
                <c:pt idx="4253">
                  <c:v>The Ridges </c:v>
                </c:pt>
                <c:pt idx="4254">
                  <c:v>The Ridiculous 6 </c:v>
                </c:pt>
                <c:pt idx="4255">
                  <c:v>The Right Stuff </c:v>
                </c:pt>
                <c:pt idx="4256">
                  <c:v>The Ring Two </c:v>
                </c:pt>
                <c:pt idx="4257">
                  <c:v>The Rise of the Krays </c:v>
                </c:pt>
                <c:pt idx="4258">
                  <c:v>The Rite </c:v>
                </c:pt>
                <c:pt idx="4259">
                  <c:v>The River Wild </c:v>
                </c:pt>
                <c:pt idx="4260">
                  <c:v>The Road to El Dorado </c:v>
                </c:pt>
                <c:pt idx="4261">
                  <c:v>The Road </c:v>
                </c:pt>
                <c:pt idx="4262">
                  <c:v>The Robe </c:v>
                </c:pt>
                <c:pt idx="4263">
                  <c:v>The Rock </c:v>
                </c:pt>
                <c:pt idx="4264">
                  <c:v>The Rocker </c:v>
                </c:pt>
                <c:pt idx="4265">
                  <c:v>The Rocket: The Legend of Rocket Richard </c:v>
                </c:pt>
                <c:pt idx="4266">
                  <c:v>The Rookie </c:v>
                </c:pt>
                <c:pt idx="4267">
                  <c:v>The Roommate </c:v>
                </c:pt>
                <c:pt idx="4268">
                  <c:v>The Rose </c:v>
                </c:pt>
                <c:pt idx="4269">
                  <c:v>The Royal Tenenbaums </c:v>
                </c:pt>
                <c:pt idx="4270">
                  <c:v>The Rugrats Movie </c:v>
                </c:pt>
                <c:pt idx="4271">
                  <c:v>The Ruins </c:v>
                </c:pt>
                <c:pt idx="4272">
                  <c:v>The Rules of Attraction </c:v>
                </c:pt>
                <c:pt idx="4273">
                  <c:v>The Runaways </c:v>
                </c:pt>
                <c:pt idx="4274">
                  <c:v>The Rundown </c:v>
                </c:pt>
                <c:pt idx="4275">
                  <c:v>The Running Man </c:v>
                </c:pt>
                <c:pt idx="4276">
                  <c:v>The Saint </c:v>
                </c:pt>
                <c:pt idx="4277">
                  <c:v>The Salon </c:v>
                </c:pt>
                <c:pt idx="4278">
                  <c:v>The Salton Sea </c:v>
                </c:pt>
                <c:pt idx="4279">
                  <c:v>The Santa Clause 2 </c:v>
                </c:pt>
                <c:pt idx="4280">
                  <c:v>The Santa Clause </c:v>
                </c:pt>
                <c:pt idx="4281">
                  <c:v>The Savages </c:v>
                </c:pt>
                <c:pt idx="4282">
                  <c:v>The Scarlet Letter </c:v>
                </c:pt>
                <c:pt idx="4283">
                  <c:v>The Scorch Trials </c:v>
                </c:pt>
                <c:pt idx="4284">
                  <c:v>The Score </c:v>
                </c:pt>
                <c:pt idx="4285">
                  <c:v>The Scorpion King </c:v>
                </c:pt>
                <c:pt idx="4286">
                  <c:v>The Sea Inside </c:v>
                </c:pt>
                <c:pt idx="4287">
                  <c:v>The Second Best Exotic Marigold Hotel </c:v>
                </c:pt>
                <c:pt idx="4288">
                  <c:v>The Second Mother </c:v>
                </c:pt>
                <c:pt idx="4289">
                  <c:v>The Secret in Their Eyes </c:v>
                </c:pt>
                <c:pt idx="4290">
                  <c:v>The Secret Life of Bees </c:v>
                </c:pt>
                <c:pt idx="4291">
                  <c:v>The Secret Life of Pets </c:v>
                </c:pt>
                <c:pt idx="4292">
                  <c:v>The Secret Life of Walter Mitty </c:v>
                </c:pt>
                <c:pt idx="4293">
                  <c:v>The Secret of Kells </c:v>
                </c:pt>
                <c:pt idx="4294">
                  <c:v>The Secret </c:v>
                </c:pt>
                <c:pt idx="4295">
                  <c:v>The Sentinel </c:v>
                </c:pt>
                <c:pt idx="4296">
                  <c:v>The Sessions </c:v>
                </c:pt>
                <c:pt idx="4297">
                  <c:v>The Shadow </c:v>
                </c:pt>
                <c:pt idx="4298">
                  <c:v>The Shaggy Dog </c:v>
                </c:pt>
                <c:pt idx="4299">
                  <c:v>The Shallows </c:v>
                </c:pt>
                <c:pt idx="4300">
                  <c:v>The Shawshank Redemption </c:v>
                </c:pt>
                <c:pt idx="4301">
                  <c:v>The Shining </c:v>
                </c:pt>
                <c:pt idx="4302">
                  <c:v>The Shipping News </c:v>
                </c:pt>
                <c:pt idx="4303">
                  <c:v>The Siege </c:v>
                </c:pt>
                <c:pt idx="4304">
                  <c:v>The Signal </c:v>
                </c:pt>
                <c:pt idx="4305">
                  <c:v>The Silence of the Lambs </c:v>
                </c:pt>
                <c:pt idx="4306">
                  <c:v>The Simpsons Movie </c:v>
                </c:pt>
                <c:pt idx="4307">
                  <c:v>The Singing Detective </c:v>
                </c:pt>
                <c:pt idx="4308">
                  <c:v>The Singles Ward </c:v>
                </c:pt>
                <c:pt idx="4309">
                  <c:v>The Sisterhood of Night </c:v>
                </c:pt>
                <c:pt idx="4310">
                  <c:v>The Sisterhood of the Traveling Pants 2 </c:v>
                </c:pt>
                <c:pt idx="4311">
                  <c:v>The Sisterhood of the Traveling Pants </c:v>
                </c:pt>
                <c:pt idx="4312">
                  <c:v>The Sitter </c:v>
                </c:pt>
                <c:pt idx="4313">
                  <c:v>The Sixth Sense </c:v>
                </c:pt>
                <c:pt idx="4314">
                  <c:v>The Skeleton Key </c:v>
                </c:pt>
                <c:pt idx="4315">
                  <c:v>The Skeleton Twins </c:v>
                </c:pt>
                <c:pt idx="4316">
                  <c:v>The Skulls </c:v>
                </c:pt>
                <c:pt idx="4317">
                  <c:v>The Slaughter Rule </c:v>
                </c:pt>
                <c:pt idx="4318">
                  <c:v>The Sleepwalker </c:v>
                </c:pt>
                <c:pt idx="4319">
                  <c:v>The Smurfs 2 </c:v>
                </c:pt>
                <c:pt idx="4320">
                  <c:v>The Smurfs </c:v>
                </c:pt>
                <c:pt idx="4321">
                  <c:v>The Social Network </c:v>
                </c:pt>
                <c:pt idx="4322">
                  <c:v>The Soloist </c:v>
                </c:pt>
                <c:pt idx="4323">
                  <c:v>The Son of No One </c:v>
                </c:pt>
                <c:pt idx="4324">
                  <c:v>The Sorcerer's Apprentice </c:v>
                </c:pt>
                <c:pt idx="4325">
                  <c:v>The Sound and the Shadow </c:v>
                </c:pt>
                <c:pt idx="4326">
                  <c:v>The Sound of Music </c:v>
                </c:pt>
                <c:pt idx="4327">
                  <c:v>The Spanish Prisoner </c:v>
                </c:pt>
                <c:pt idx="4328">
                  <c:v>The Specialist </c:v>
                </c:pt>
                <c:pt idx="4329">
                  <c:v>The Specials </c:v>
                </c:pt>
                <c:pt idx="4330">
                  <c:v>The Spectacular Now </c:v>
                </c:pt>
                <c:pt idx="4331">
                  <c:v>The Spiderwick Chronicles </c:v>
                </c:pt>
                <c:pt idx="4332">
                  <c:v>The Spirit </c:v>
                </c:pt>
                <c:pt idx="4333">
                  <c:v>The SpongeBob Movie: Sponge Out of Water </c:v>
                </c:pt>
                <c:pt idx="4334">
                  <c:v>The SpongeBob SquarePants Movie </c:v>
                </c:pt>
                <c:pt idx="4335">
                  <c:v>The Spy Next Door </c:v>
                </c:pt>
                <c:pt idx="4336">
                  <c:v>The Spy Who Loved Me </c:v>
                </c:pt>
                <c:pt idx="4337">
                  <c:v>The Square </c:v>
                </c:pt>
                <c:pt idx="4338">
                  <c:v>The Squid and the Whale </c:v>
                </c:pt>
                <c:pt idx="4339">
                  <c:v>The Statement </c:v>
                </c:pt>
                <c:pt idx="4340">
                  <c:v>The Station Agent </c:v>
                </c:pt>
                <c:pt idx="4341">
                  <c:v>The Stepfather </c:v>
                </c:pt>
                <c:pt idx="4342">
                  <c:v>The Stepford Wives </c:v>
                </c:pt>
                <c:pt idx="4343">
                  <c:v>The Stewardesses </c:v>
                </c:pt>
                <c:pt idx="4344">
                  <c:v>The Sticky Fingers of Time </c:v>
                </c:pt>
                <c:pt idx="4345">
                  <c:v>The Sting </c:v>
                </c:pt>
                <c:pt idx="4346">
                  <c:v>The Story of Us </c:v>
                </c:pt>
                <c:pt idx="4347">
                  <c:v>The Straight Story </c:v>
                </c:pt>
                <c:pt idx="4348">
                  <c:v>The Streets of San Francisco </c:v>
                </c:pt>
                <c:pt idx="4349">
                  <c:v>The Sum of All Fears </c:v>
                </c:pt>
                <c:pt idx="4350">
                  <c:v>The Sweeney </c:v>
                </c:pt>
                <c:pt idx="4351">
                  <c:v>The Sweet Hereafter </c:v>
                </c:pt>
                <c:pt idx="4352">
                  <c:v>The Sweetest Thing </c:v>
                </c:pt>
                <c:pt idx="4353">
                  <c:v>The Swindle </c:v>
                </c:pt>
                <c:pt idx="4354">
                  <c:v>The Switch </c:v>
                </c:pt>
                <c:pt idx="4355">
                  <c:v>The Tailor of Panama </c:v>
                </c:pt>
                <c:pt idx="4356">
                  <c:v>The Taking of Pelham 1 2 3 </c:v>
                </c:pt>
                <c:pt idx="4357">
                  <c:v>The Tale of Despereaux </c:v>
                </c:pt>
                <c:pt idx="4358">
                  <c:v>The Talented Mr. Ripley </c:v>
                </c:pt>
                <c:pt idx="4359">
                  <c:v>The Tempest </c:v>
                </c:pt>
                <c:pt idx="4360">
                  <c:v>The Ten </c:v>
                </c:pt>
                <c:pt idx="4361">
                  <c:v>The Terminal </c:v>
                </c:pt>
                <c:pt idx="4362">
                  <c:v>The Terminator </c:v>
                </c:pt>
                <c:pt idx="4363">
                  <c:v>The Texas Chain Saw Massacre </c:v>
                </c:pt>
                <c:pt idx="4364">
                  <c:v>The Texas Chainsaw Massacre 2 </c:v>
                </c:pt>
                <c:pt idx="4365">
                  <c:v>The Texas Chainsaw Massacre: The Beginning </c:v>
                </c:pt>
                <c:pt idx="4366">
                  <c:v>The Theory of Everything </c:v>
                </c:pt>
                <c:pt idx="4367">
                  <c:v>The Thin Red Line </c:v>
                </c:pt>
                <c:pt idx="4368">
                  <c:v>The Thing </c:v>
                </c:pt>
                <c:pt idx="4369">
                  <c:v>The Thirteenth Floor </c:v>
                </c:pt>
                <c:pt idx="4370">
                  <c:v>The Thomas Crown Affair </c:v>
                </c:pt>
                <c:pt idx="4371">
                  <c:v>The Three Musketeers </c:v>
                </c:pt>
                <c:pt idx="4372">
                  <c:v>The Three Stooges </c:v>
                </c:pt>
                <c:pt idx="4373">
                  <c:v>The Tigger Movie </c:v>
                </c:pt>
                <c:pt idx="4374">
                  <c:v>The Timber </c:v>
                </c:pt>
                <c:pt idx="4375">
                  <c:v>The Time Machine </c:v>
                </c:pt>
                <c:pt idx="4376">
                  <c:v>The Time Traveler's Wife </c:v>
                </c:pt>
                <c:pt idx="4377">
                  <c:v>The To Do List </c:v>
                </c:pt>
                <c:pt idx="4378">
                  <c:v>The Tooth Fairy </c:v>
                </c:pt>
                <c:pt idx="4379">
                  <c:v>The Torture Chamber of Dr. Sadism </c:v>
                </c:pt>
                <c:pt idx="4380">
                  <c:v>The Touch </c:v>
                </c:pt>
                <c:pt idx="4381">
                  <c:v>The Tourist </c:v>
                </c:pt>
                <c:pt idx="4382">
                  <c:v>The Town </c:v>
                </c:pt>
                <c:pt idx="4383">
                  <c:v>The Toxic Avenger Part II </c:v>
                </c:pt>
                <c:pt idx="4384">
                  <c:v>The Toxic Avenger </c:v>
                </c:pt>
                <c:pt idx="4385">
                  <c:v>The Train </c:v>
                </c:pt>
                <c:pt idx="4386">
                  <c:v>The Transporter Refueled </c:v>
                </c:pt>
                <c:pt idx="4387">
                  <c:v>The Transporter </c:v>
                </c:pt>
                <c:pt idx="4388">
                  <c:v>The Tree of Life </c:v>
                </c:pt>
                <c:pt idx="4389">
                  <c:v>The Trials of Darryl Hunt </c:v>
                </c:pt>
                <c:pt idx="4390">
                  <c:v>The Triplets of Belleville </c:v>
                </c:pt>
                <c:pt idx="4391">
                  <c:v>The Trouble with Harry </c:v>
                </c:pt>
                <c:pt idx="4392">
                  <c:v>The True Story of Puss'N Boots </c:v>
                </c:pt>
                <c:pt idx="4393">
                  <c:v>The Truman Show </c:v>
                </c:pt>
                <c:pt idx="4394">
                  <c:v>The Tuxedo </c:v>
                </c:pt>
                <c:pt idx="4395">
                  <c:v>The Twilight Saga: Breaking Dawn - Part 2 </c:v>
                </c:pt>
                <c:pt idx="4396">
                  <c:v>The Twilight Saga: Eclipse </c:v>
                </c:pt>
                <c:pt idx="4397">
                  <c:v>The Twilight Saga: New Moon </c:v>
                </c:pt>
                <c:pt idx="4398">
                  <c:v>The Ugly Truth </c:v>
                </c:pt>
                <c:pt idx="4399">
                  <c:v>The Ultimate Gift </c:v>
                </c:pt>
                <c:pt idx="4400">
                  <c:v>The Unborn </c:v>
                </c:pt>
                <c:pt idx="4401">
                  <c:v>The Untouchables </c:v>
                </c:pt>
                <c:pt idx="4402">
                  <c:v>The Upside of Anger </c:v>
                </c:pt>
                <c:pt idx="4403">
                  <c:v>The Usual Suspects </c:v>
                </c:pt>
                <c:pt idx="4404">
                  <c:v>The Valley of Decision </c:v>
                </c:pt>
                <c:pt idx="4405">
                  <c:v>The Vatican Exorcisms </c:v>
                </c:pt>
                <c:pt idx="4406">
                  <c:v>The Vatican Tapes </c:v>
                </c:pt>
                <c:pt idx="4407">
                  <c:v>The Veil </c:v>
                </c:pt>
                <c:pt idx="4408">
                  <c:v>The Velocity of Gary </c:v>
                </c:pt>
                <c:pt idx="4409">
                  <c:v>The Verdict </c:v>
                </c:pt>
                <c:pt idx="4410">
                  <c:v>The Village </c:v>
                </c:pt>
                <c:pt idx="4411">
                  <c:v>The Virgin Suicides </c:v>
                </c:pt>
                <c:pt idx="4412">
                  <c:v>The Virginity Hit </c:v>
                </c:pt>
                <c:pt idx="4413">
                  <c:v>The Visit </c:v>
                </c:pt>
                <c:pt idx="4414">
                  <c:v>The Visual Bible: The Gospel of John </c:v>
                </c:pt>
                <c:pt idx="4415">
                  <c:v>The Vow </c:v>
                </c:pt>
                <c:pt idx="4416">
                  <c:v>The Wackness </c:v>
                </c:pt>
                <c:pt idx="4417">
                  <c:v>The Wailing </c:v>
                </c:pt>
                <c:pt idx="4418">
                  <c:v>The Walk </c:v>
                </c:pt>
                <c:pt idx="4419">
                  <c:v>The Walking Deceased </c:v>
                </c:pt>
                <c:pt idx="4420">
                  <c:v>The Warlords </c:v>
                </c:pt>
                <c:pt idx="4421">
                  <c:v>The Warrior's Way </c:v>
                </c:pt>
                <c:pt idx="4422">
                  <c:v>The Wash </c:v>
                </c:pt>
                <c:pt idx="4423">
                  <c:v>The Watch </c:v>
                </c:pt>
                <c:pt idx="4424">
                  <c:v>The Watcher </c:v>
                </c:pt>
                <c:pt idx="4425">
                  <c:v>The Water Diviner </c:v>
                </c:pt>
                <c:pt idx="4426">
                  <c:v>The Waterboy </c:v>
                </c:pt>
                <c:pt idx="4427">
                  <c:v>The Wave </c:v>
                </c:pt>
                <c:pt idx="4428">
                  <c:v>The Way of the Gun </c:v>
                </c:pt>
                <c:pt idx="4429">
                  <c:v>The Way Way Back </c:v>
                </c:pt>
                <c:pt idx="4430">
                  <c:v>The Weather Man </c:v>
                </c:pt>
                <c:pt idx="4431">
                  <c:v>The Wedding Date </c:v>
                </c:pt>
                <c:pt idx="4432">
                  <c:v>The Wedding Planner </c:v>
                </c:pt>
                <c:pt idx="4433">
                  <c:v>The Wendell Baker Story </c:v>
                </c:pt>
                <c:pt idx="4434">
                  <c:v>The White Countess </c:v>
                </c:pt>
                <c:pt idx="4435">
                  <c:v>The White Ribbon </c:v>
                </c:pt>
                <c:pt idx="4436">
                  <c:v>The Whole Nine Yards </c:v>
                </c:pt>
                <c:pt idx="4437">
                  <c:v>The Whole Ten Yards </c:v>
                </c:pt>
                <c:pt idx="4438">
                  <c:v>The Wicked Lady </c:v>
                </c:pt>
                <c:pt idx="4439">
                  <c:v>The Wicked Within </c:v>
                </c:pt>
                <c:pt idx="4440">
                  <c:v>The Widow of Saint-Pierre </c:v>
                </c:pt>
                <c:pt idx="4441">
                  <c:v>The Wild Bunch </c:v>
                </c:pt>
                <c:pt idx="4442">
                  <c:v>The Wild Thornberrys Movie </c:v>
                </c:pt>
                <c:pt idx="4443">
                  <c:v>The Wind That Shakes the Barley </c:v>
                </c:pt>
                <c:pt idx="4444">
                  <c:v>The Witch </c:v>
                </c:pt>
                <c:pt idx="4445">
                  <c:v>The Wiz </c:v>
                </c:pt>
                <c:pt idx="4446">
                  <c:v>The Wizard of Oz </c:v>
                </c:pt>
                <c:pt idx="4447">
                  <c:v>The Wolf of Wall Street </c:v>
                </c:pt>
                <c:pt idx="4448">
                  <c:v>The Wolfman </c:v>
                </c:pt>
                <c:pt idx="4449">
                  <c:v>The Wolverine </c:v>
                </c:pt>
                <c:pt idx="4450">
                  <c:v>The Woman Chaser </c:v>
                </c:pt>
                <c:pt idx="4451">
                  <c:v>The Woman in Black </c:v>
                </c:pt>
                <c:pt idx="4452">
                  <c:v>The Women </c:v>
                </c:pt>
                <c:pt idx="4453">
                  <c:v>The Wood </c:v>
                </c:pt>
                <c:pt idx="4454">
                  <c:v>The Words </c:v>
                </c:pt>
                <c:pt idx="4455">
                  <c:v>The Work and the Glory II: American Zion </c:v>
                </c:pt>
                <c:pt idx="4456">
                  <c:v>The Work and the Glory </c:v>
                </c:pt>
                <c:pt idx="4457">
                  <c:v>The Work and the Story </c:v>
                </c:pt>
                <c:pt idx="4458">
                  <c:v>The World Is Mine </c:v>
                </c:pt>
                <c:pt idx="4459">
                  <c:v>The World Is Not Enough </c:v>
                </c:pt>
                <c:pt idx="4460">
                  <c:v>The World's End </c:v>
                </c:pt>
                <c:pt idx="4461">
                  <c:v>The World's Fastest Indian </c:v>
                </c:pt>
                <c:pt idx="4462">
                  <c:v>The Wraith </c:v>
                </c:pt>
                <c:pt idx="4463">
                  <c:v>The Wrestler </c:v>
                </c:pt>
                <c:pt idx="4464">
                  <c:v>The X Files </c:v>
                </c:pt>
                <c:pt idx="4465">
                  <c:v>The X Files: I Want to Believe </c:v>
                </c:pt>
                <c:pt idx="4466">
                  <c:v>The Yards </c:v>
                </c:pt>
                <c:pt idx="4467">
                  <c:v>The Yellow Handkerchief </c:v>
                </c:pt>
                <c:pt idx="4468">
                  <c:v>The Young and Prodigious T.S. Spivet </c:v>
                </c:pt>
                <c:pt idx="4469">
                  <c:v>The Young Messiah </c:v>
                </c:pt>
                <c:pt idx="4470">
                  <c:v>The Young Unknowns </c:v>
                </c:pt>
                <c:pt idx="4471">
                  <c:v>The Young Victoria </c:v>
                </c:pt>
                <c:pt idx="4472">
                  <c:v>There Be Dragons </c:v>
                </c:pt>
                <c:pt idx="4473">
                  <c:v>There Goes My Baby </c:v>
                </c:pt>
                <c:pt idx="4474">
                  <c:v>There Will Be Blood </c:v>
                </c:pt>
                <c:pt idx="4475">
                  <c:v>There's Something About Mary </c:v>
                </c:pt>
                <c:pt idx="4476">
                  <c:v>Theresa Is a Mother </c:v>
                </c:pt>
                <c:pt idx="4477">
                  <c:v>They Came Together </c:v>
                </c:pt>
                <c:pt idx="4478">
                  <c:v>They Live </c:v>
                </c:pt>
                <c:pt idx="4479">
                  <c:v>They Will Have to Kill Us First </c:v>
                </c:pt>
                <c:pt idx="4480">
                  <c:v>They </c:v>
                </c:pt>
                <c:pt idx="4481">
                  <c:v>Things to Do in Denver When You're Dead </c:v>
                </c:pt>
                <c:pt idx="4482">
                  <c:v>Things We Lost in the Fire </c:v>
                </c:pt>
                <c:pt idx="4483">
                  <c:v>Think Like a Man Too </c:v>
                </c:pt>
                <c:pt idx="4484">
                  <c:v>Think Like a Man </c:v>
                </c:pt>
                <c:pt idx="4485">
                  <c:v>Thinner </c:v>
                </c:pt>
                <c:pt idx="4486">
                  <c:v>Thir13en Ghosts </c:v>
                </c:pt>
                <c:pt idx="4487">
                  <c:v>Thirteen Conversations About One Thing </c:v>
                </c:pt>
                <c:pt idx="4488">
                  <c:v>Thirteen Days </c:v>
                </c:pt>
                <c:pt idx="4489">
                  <c:v>Thirteen </c:v>
                </c:pt>
                <c:pt idx="4490">
                  <c:v>This Christmas </c:v>
                </c:pt>
                <c:pt idx="4491">
                  <c:v>This Is 40 </c:v>
                </c:pt>
                <c:pt idx="4492">
                  <c:v>This Is England </c:v>
                </c:pt>
                <c:pt idx="4493">
                  <c:v>This Is It </c:v>
                </c:pt>
                <c:pt idx="4494">
                  <c:v>This Is Martin Bonner </c:v>
                </c:pt>
                <c:pt idx="4495">
                  <c:v>This Is the End </c:v>
                </c:pt>
                <c:pt idx="4496">
                  <c:v>This Is Where I Leave You </c:v>
                </c:pt>
                <c:pt idx="4497">
                  <c:v>This Means War </c:v>
                </c:pt>
                <c:pt idx="4498">
                  <c:v>This Thing of Ours </c:v>
                </c:pt>
                <c:pt idx="4499">
                  <c:v>Thomas and the Magic Railroad </c:v>
                </c:pt>
                <c:pt idx="4500">
                  <c:v>Thor </c:v>
                </c:pt>
                <c:pt idx="4501">
                  <c:v>Thor: The Dark World </c:v>
                </c:pt>
                <c:pt idx="4502">
                  <c:v>Thr3e </c:v>
                </c:pt>
                <c:pt idx="4503">
                  <c:v>Three Burials </c:v>
                </c:pt>
                <c:pt idx="4504">
                  <c:v>Three Kingdoms: Resurrection of the Dragon </c:v>
                </c:pt>
                <c:pt idx="4505">
                  <c:v>Three Kings </c:v>
                </c:pt>
                <c:pt idx="4506">
                  <c:v>Three to Tango </c:v>
                </c:pt>
                <c:pt idx="4507">
                  <c:v>Thumbsucker </c:v>
                </c:pt>
                <c:pt idx="4508">
                  <c:v>Thunder and the House of Magic </c:v>
                </c:pt>
                <c:pt idx="4509">
                  <c:v>Thunderball </c:v>
                </c:pt>
                <c:pt idx="4510">
                  <c:v>Thunderbirds </c:v>
                </c:pt>
                <c:pt idx="4511">
                  <c:v>Tidal Wave </c:v>
                </c:pt>
                <c:pt idx="4512">
                  <c:v>Tiger Orange </c:v>
                </c:pt>
                <c:pt idx="4513">
                  <c:v>Tim and Eric's Billion Dollar Movie </c:v>
                </c:pt>
                <c:pt idx="4514">
                  <c:v>Timber Falls </c:v>
                </c:pt>
                <c:pt idx="4515">
                  <c:v>Time Bandits </c:v>
                </c:pt>
                <c:pt idx="4516">
                  <c:v>Time Changer </c:v>
                </c:pt>
                <c:pt idx="4517">
                  <c:v>Time to Choose </c:v>
                </c:pt>
                <c:pt idx="4518">
                  <c:v>Timecop </c:v>
                </c:pt>
                <c:pt idx="4519">
                  <c:v>Timecrimes </c:v>
                </c:pt>
                <c:pt idx="4520">
                  <c:v>Timeline </c:v>
                </c:pt>
                <c:pt idx="4521">
                  <c:v>Tin Can Man </c:v>
                </c:pt>
                <c:pt idx="4522">
                  <c:v>Tin Cup </c:v>
                </c:pt>
                <c:pt idx="4523">
                  <c:v>Tinker Tailor Soldier Spy </c:v>
                </c:pt>
                <c:pt idx="4524">
                  <c:v>Tiny Furniture </c:v>
                </c:pt>
                <c:pt idx="4525">
                  <c:v>Titan A.E. </c:v>
                </c:pt>
                <c:pt idx="4526">
                  <c:v>Titanic </c:v>
                </c:pt>
                <c:pt idx="4527">
                  <c:v>TMNT </c:v>
                </c:pt>
                <c:pt idx="4528">
                  <c:v>To Be Frank, Sinatra at 100 </c:v>
                </c:pt>
                <c:pt idx="4529">
                  <c:v>To Die For </c:v>
                </c:pt>
                <c:pt idx="4530">
                  <c:v>To Kill a Mockingbird </c:v>
                </c:pt>
                <c:pt idx="4531">
                  <c:v>To Rome with Love </c:v>
                </c:pt>
                <c:pt idx="4532">
                  <c:v>To Save a Life </c:v>
                </c:pt>
                <c:pt idx="4533">
                  <c:v>Tom Jones </c:v>
                </c:pt>
                <c:pt idx="4534">
                  <c:v>Tombstone </c:v>
                </c:pt>
                <c:pt idx="4535">
                  <c:v>Tomcats </c:v>
                </c:pt>
                <c:pt idx="4536">
                  <c:v>Tomorrow Never Dies </c:v>
                </c:pt>
                <c:pt idx="4537">
                  <c:v>Tomorrowland </c:v>
                </c:pt>
                <c:pt idx="4538">
                  <c:v>Tootsie </c:v>
                </c:pt>
                <c:pt idx="4539">
                  <c:v>Top Cat Begins </c:v>
                </c:pt>
                <c:pt idx="4540">
                  <c:v>Top Five </c:v>
                </c:pt>
                <c:pt idx="4541">
                  <c:v>Top Gun </c:v>
                </c:pt>
                <c:pt idx="4542">
                  <c:v>Top Hat </c:v>
                </c:pt>
                <c:pt idx="4543">
                  <c:v>Top Spin </c:v>
                </c:pt>
                <c:pt idx="4544">
                  <c:v>Topaz </c:v>
                </c:pt>
                <c:pt idx="4545">
                  <c:v>Topsy-Turvy </c:v>
                </c:pt>
                <c:pt idx="4546">
                  <c:v>Tora! Tora! Tora! </c:v>
                </c:pt>
                <c:pt idx="4547">
                  <c:v>Torn Curtain </c:v>
                </c:pt>
                <c:pt idx="4548">
                  <c:v>Torque </c:v>
                </c:pt>
                <c:pt idx="4549">
                  <c:v>Total Recall </c:v>
                </c:pt>
                <c:pt idx="4550">
                  <c:v>Touching the Void </c:v>
                </c:pt>
                <c:pt idx="4551">
                  <c:v>Tower Heist </c:v>
                </c:pt>
                <c:pt idx="4552">
                  <c:v>Towering Inferno </c:v>
                </c:pt>
                <c:pt idx="4553">
                  <c:v>Town &amp; Country </c:v>
                </c:pt>
                <c:pt idx="4554">
                  <c:v>Toy Story 2 </c:v>
                </c:pt>
                <c:pt idx="4555">
                  <c:v>Toy Story 3 </c:v>
                </c:pt>
                <c:pt idx="4556">
                  <c:v>Toy Story </c:v>
                </c:pt>
                <c:pt idx="4557">
                  <c:v>Tracker </c:v>
                </c:pt>
                <c:pt idx="4558">
                  <c:v>Trade of Innocents </c:v>
                </c:pt>
                <c:pt idx="4559">
                  <c:v>Trade </c:v>
                </c:pt>
                <c:pt idx="4560">
                  <c:v>Trading Places </c:v>
                </c:pt>
                <c:pt idx="4561">
                  <c:v>Traffic </c:v>
                </c:pt>
                <c:pt idx="4562">
                  <c:v>Train </c:v>
                </c:pt>
                <c:pt idx="4563">
                  <c:v>Training Day </c:v>
                </c:pt>
                <c:pt idx="4564">
                  <c:v>Trainspotting </c:v>
                </c:pt>
                <c:pt idx="4565">
                  <c:v>Trainwreck </c:v>
                </c:pt>
                <c:pt idx="4566">
                  <c:v>Trance </c:v>
                </c:pt>
                <c:pt idx="4567">
                  <c:v>Transamerica </c:v>
                </c:pt>
                <c:pt idx="4568">
                  <c:v>Transcendence </c:v>
                </c:pt>
                <c:pt idx="4569">
                  <c:v>Transformers </c:v>
                </c:pt>
                <c:pt idx="4570">
                  <c:v>Transformers: Age of Extinction </c:v>
                </c:pt>
                <c:pt idx="4571">
                  <c:v>Transformers: Dark of the Moon </c:v>
                </c:pt>
                <c:pt idx="4572">
                  <c:v>Transformers: Revenge of the Fallen </c:v>
                </c:pt>
                <c:pt idx="4573">
                  <c:v>Transporter 2 </c:v>
                </c:pt>
                <c:pt idx="4574">
                  <c:v>Transsiberian </c:v>
                </c:pt>
                <c:pt idx="4575">
                  <c:v>Trapeze </c:v>
                </c:pt>
                <c:pt idx="4576">
                  <c:v>Trapped </c:v>
                </c:pt>
                <c:pt idx="4577">
                  <c:v>Trash </c:v>
                </c:pt>
                <c:pt idx="4578">
                  <c:v>Travelers and Magicians </c:v>
                </c:pt>
                <c:pt idx="4579">
                  <c:v>Treachery </c:v>
                </c:pt>
                <c:pt idx="4580">
                  <c:v>Treading Water </c:v>
                </c:pt>
                <c:pt idx="4581">
                  <c:v>Treasure Planet </c:v>
                </c:pt>
                <c:pt idx="4582">
                  <c:v>Trees Lounge </c:v>
                </c:pt>
                <c:pt idx="4583">
                  <c:v>Trekkies </c:v>
                </c:pt>
                <c:pt idx="4584">
                  <c:v>Tremors </c:v>
                </c:pt>
                <c:pt idx="4585">
                  <c:v>Triangle </c:v>
                </c:pt>
                <c:pt idx="4586">
                  <c:v>Triple 9 </c:v>
                </c:pt>
                <c:pt idx="4587">
                  <c:v>Trippin' </c:v>
                </c:pt>
                <c:pt idx="4588">
                  <c:v>Tristram Shandy: A Cock and Bull Story </c:v>
                </c:pt>
                <c:pt idx="4589">
                  <c:v>Trollhunter </c:v>
                </c:pt>
                <c:pt idx="4590">
                  <c:v>TRON: Legacy </c:v>
                </c:pt>
                <c:pt idx="4591">
                  <c:v>Troop Beverly Hills </c:v>
                </c:pt>
                <c:pt idx="4592">
                  <c:v>Tropic Thunder </c:v>
                </c:pt>
                <c:pt idx="4593">
                  <c:v>Trouble with the Curve </c:v>
                </c:pt>
                <c:pt idx="4594">
                  <c:v>Troy </c:v>
                </c:pt>
                <c:pt idx="4595">
                  <c:v>Trucker </c:v>
                </c:pt>
                <c:pt idx="4596">
                  <c:v>True Grit </c:v>
                </c:pt>
                <c:pt idx="4597">
                  <c:v>True Lies </c:v>
                </c:pt>
                <c:pt idx="4598">
                  <c:v>True Romance </c:v>
                </c:pt>
                <c:pt idx="4599">
                  <c:v>Trust the Man </c:v>
                </c:pt>
                <c:pt idx="4600">
                  <c:v>Trust </c:v>
                </c:pt>
                <c:pt idx="4601">
                  <c:v>Truth or Die </c:v>
                </c:pt>
                <c:pt idx="4602">
                  <c:v>Tsotsi </c:v>
                </c:pt>
                <c:pt idx="4603">
                  <c:v>Tuck Everlasting </c:v>
                </c:pt>
                <c:pt idx="4604">
                  <c:v>Tucker and Dale vs Evil </c:v>
                </c:pt>
                <c:pt idx="4605">
                  <c:v>Tumbleweeds </c:v>
                </c:pt>
                <c:pt idx="4606">
                  <c:v>Tupac: Resurrection </c:v>
                </c:pt>
                <c:pt idx="4607">
                  <c:v>Turbo </c:v>
                </c:pt>
                <c:pt idx="4608">
                  <c:v>Turbulence </c:v>
                </c:pt>
                <c:pt idx="4609">
                  <c:v>Tusk </c:v>
                </c:pt>
                <c:pt idx="4610">
                  <c:v>Twilight Zone: The Movie </c:v>
                </c:pt>
                <c:pt idx="4611">
                  <c:v>Twilight </c:v>
                </c:pt>
                <c:pt idx="4612">
                  <c:v>Twin Falls Idaho </c:v>
                </c:pt>
                <c:pt idx="4613">
                  <c:v>Twins </c:v>
                </c:pt>
                <c:pt idx="4614">
                  <c:v>Twisted </c:v>
                </c:pt>
                <c:pt idx="4615">
                  <c:v>Twister </c:v>
                </c:pt>
                <c:pt idx="4616">
                  <c:v>Twixt </c:v>
                </c:pt>
                <c:pt idx="4617">
                  <c:v>Two Brothers </c:v>
                </c:pt>
                <c:pt idx="4618">
                  <c:v>Two Can Play That Game </c:v>
                </c:pt>
                <c:pt idx="4619">
                  <c:v>Two Evil Eyes </c:v>
                </c:pt>
                <c:pt idx="4620">
                  <c:v>Two Girls and a Guy </c:v>
                </c:pt>
                <c:pt idx="4621">
                  <c:v>Two Lovers and a Bear </c:v>
                </c:pt>
                <c:pt idx="4622">
                  <c:v>Two Lovers </c:v>
                </c:pt>
                <c:pt idx="4623">
                  <c:v>Two Weeks Notice </c:v>
                </c:pt>
                <c:pt idx="4624">
                  <c:v>Tycoon </c:v>
                </c:pt>
                <c:pt idx="4625">
                  <c:v>U2 3D </c:v>
                </c:pt>
                <c:pt idx="4626">
                  <c:v>U-571 </c:v>
                </c:pt>
                <c:pt idx="4627">
                  <c:v>UHF </c:v>
                </c:pt>
                <c:pt idx="4628">
                  <c:v>Ulee's Gold </c:v>
                </c:pt>
                <c:pt idx="4629">
                  <c:v>Ultramarines: A Warhammer 40,000 Movie </c:v>
                </c:pt>
                <c:pt idx="4630">
                  <c:v>Ultraviolet </c:v>
                </c:pt>
                <c:pt idx="4631">
                  <c:v>Unaccompanied Minors </c:v>
                </c:pt>
                <c:pt idx="4632">
                  <c:v>Unbreakable </c:v>
                </c:pt>
                <c:pt idx="4633">
                  <c:v>Unbroken </c:v>
                </c:pt>
                <c:pt idx="4634">
                  <c:v>Under Siege 2: Dark Territory </c:v>
                </c:pt>
                <c:pt idx="4635">
                  <c:v>Under the Rainbow </c:v>
                </c:pt>
                <c:pt idx="4636">
                  <c:v>Under the Same Moon </c:v>
                </c:pt>
                <c:pt idx="4637">
                  <c:v>Under the Skin </c:v>
                </c:pt>
                <c:pt idx="4638">
                  <c:v>Under the Tuscan Sun </c:v>
                </c:pt>
                <c:pt idx="4639">
                  <c:v>Underclassman </c:v>
                </c:pt>
                <c:pt idx="4640">
                  <c:v>Undercover Brother </c:v>
                </c:pt>
                <c:pt idx="4641">
                  <c:v>Underdogs </c:v>
                </c:pt>
                <c:pt idx="4642">
                  <c:v>Underworld </c:v>
                </c:pt>
                <c:pt idx="4643">
                  <c:v>Underworld: Awakening </c:v>
                </c:pt>
                <c:pt idx="4644">
                  <c:v>Underworld: Evolution </c:v>
                </c:pt>
                <c:pt idx="4645">
                  <c:v>Underworld: Rise of the Lycans </c:v>
                </c:pt>
                <c:pt idx="4646">
                  <c:v>Undiscovered </c:v>
                </c:pt>
                <c:pt idx="4647">
                  <c:v>Undisputed </c:v>
                </c:pt>
                <c:pt idx="4648">
                  <c:v>UnDivided </c:v>
                </c:pt>
                <c:pt idx="4649">
                  <c:v>Une Femme Mariée </c:v>
                </c:pt>
                <c:pt idx="4650">
                  <c:v>Unfaithful </c:v>
                </c:pt>
                <c:pt idx="4651">
                  <c:v>Unfinished Business </c:v>
                </c:pt>
                <c:pt idx="4652">
                  <c:v>Unforgettable </c:v>
                </c:pt>
                <c:pt idx="4653">
                  <c:v>Unforgiven </c:v>
                </c:pt>
                <c:pt idx="4654">
                  <c:v>Unforgotten </c:v>
                </c:pt>
                <c:pt idx="4655">
                  <c:v>Unfriended </c:v>
                </c:pt>
                <c:pt idx="4656">
                  <c:v>United 93 </c:v>
                </c:pt>
                <c:pt idx="4657">
                  <c:v>United Passions </c:v>
                </c:pt>
                <c:pt idx="4658">
                  <c:v>Universal Soldier: The Return </c:v>
                </c:pt>
                <c:pt idx="4659">
                  <c:v>Unknown </c:v>
                </c:pt>
                <c:pt idx="4660">
                  <c:v>Unleashed </c:v>
                </c:pt>
                <c:pt idx="4661">
                  <c:v>Unnatural </c:v>
                </c:pt>
                <c:pt idx="4662">
                  <c:v>Unstoppable </c:v>
                </c:pt>
                <c:pt idx="4663">
                  <c:v>Unsullied </c:v>
                </c:pt>
                <c:pt idx="4664">
                  <c:v>Untraceable </c:v>
                </c:pt>
                <c:pt idx="4665">
                  <c:v>Up Close &amp; Personal </c:v>
                </c:pt>
                <c:pt idx="4666">
                  <c:v>Up in the Air </c:v>
                </c:pt>
                <c:pt idx="4667">
                  <c:v>Up </c:v>
                </c:pt>
                <c:pt idx="4668">
                  <c:v>Urban Legend </c:v>
                </c:pt>
                <c:pt idx="4669">
                  <c:v>Urban Legends: Final Cut </c:v>
                </c:pt>
                <c:pt idx="4670">
                  <c:v>Urbania </c:v>
                </c:pt>
                <c:pt idx="4671">
                  <c:v>V for Vendetta </c:v>
                </c:pt>
                <c:pt idx="4672">
                  <c:v>Vaalu </c:v>
                </c:pt>
                <c:pt idx="4673">
                  <c:v>Vacation </c:v>
                </c:pt>
                <c:pt idx="4674">
                  <c:v>Valentine </c:v>
                </c:pt>
                <c:pt idx="4675">
                  <c:v>Valentine's Day </c:v>
                </c:pt>
                <c:pt idx="4676">
                  <c:v>Valiant </c:v>
                </c:pt>
                <c:pt idx="4677">
                  <c:v>Valkyrie </c:v>
                </c:pt>
                <c:pt idx="4678">
                  <c:v>Valley of the Heart's Delight </c:v>
                </c:pt>
                <c:pt idx="4679">
                  <c:v>Valley of the Wolves: Iraq </c:v>
                </c:pt>
                <c:pt idx="4680">
                  <c:v>Vampire in Brooklyn </c:v>
                </c:pt>
                <c:pt idx="4681">
                  <c:v>Vampire Killers </c:v>
                </c:pt>
                <c:pt idx="4682">
                  <c:v>Vampires Suck </c:v>
                </c:pt>
                <c:pt idx="4683">
                  <c:v>Vampires </c:v>
                </c:pt>
                <c:pt idx="4684">
                  <c:v>Vamps </c:v>
                </c:pt>
                <c:pt idx="4685">
                  <c:v>Van Wilder: Party Liaison </c:v>
                </c:pt>
                <c:pt idx="4686">
                  <c:v>Vanilla Sky </c:v>
                </c:pt>
                <c:pt idx="4687">
                  <c:v>Vanity Fair </c:v>
                </c:pt>
                <c:pt idx="4688">
                  <c:v>Vantage Point </c:v>
                </c:pt>
                <c:pt idx="4689">
                  <c:v>Varsity Blues </c:v>
                </c:pt>
                <c:pt idx="4690">
                  <c:v>Veer-Zaara </c:v>
                </c:pt>
                <c:pt idx="4691">
                  <c:v>Velvet Goldmine </c:v>
                </c:pt>
                <c:pt idx="4692">
                  <c:v>Vera Drake </c:v>
                </c:pt>
                <c:pt idx="4693">
                  <c:v>Veronica Guerin </c:v>
                </c:pt>
                <c:pt idx="4694">
                  <c:v>Veronica Mars </c:v>
                </c:pt>
                <c:pt idx="4695">
                  <c:v>Veronika Decides to Die </c:v>
                </c:pt>
                <c:pt idx="4696">
                  <c:v>Vertical Limit </c:v>
                </c:pt>
                <c:pt idx="4697">
                  <c:v>Very Bad Things </c:v>
                </c:pt>
                <c:pt idx="4698">
                  <c:v>Vessel </c:v>
                </c:pt>
                <c:pt idx="4699">
                  <c:v>Vicky Cristina Barcelona </c:v>
                </c:pt>
                <c:pt idx="4700">
                  <c:v>Victor Frankenstein </c:v>
                </c:pt>
                <c:pt idx="4701">
                  <c:v>Videodrome </c:v>
                </c:pt>
                <c:pt idx="4702">
                  <c:v>Virgin Territory </c:v>
                </c:pt>
                <c:pt idx="4703">
                  <c:v>Virtuosity </c:v>
                </c:pt>
                <c:pt idx="4704">
                  <c:v>Viy </c:v>
                </c:pt>
                <c:pt idx="4705">
                  <c:v>Volcano </c:v>
                </c:pt>
                <c:pt idx="4706">
                  <c:v>Volver </c:v>
                </c:pt>
                <c:pt idx="4707">
                  <c:v>W. </c:v>
                </c:pt>
                <c:pt idx="4708">
                  <c:v>Wag the Dog </c:v>
                </c:pt>
                <c:pt idx="4709">
                  <c:v>Wah-Wah </c:v>
                </c:pt>
                <c:pt idx="4710">
                  <c:v>Waiting for Guffman </c:v>
                </c:pt>
                <c:pt idx="4711">
                  <c:v>Waiting... </c:v>
                </c:pt>
                <c:pt idx="4712">
                  <c:v>Waitress </c:v>
                </c:pt>
                <c:pt idx="4713">
                  <c:v>Waking Ned Devine </c:v>
                </c:pt>
                <c:pt idx="4714">
                  <c:v>Walk Hard: The Dewey Cox Story </c:v>
                </c:pt>
                <c:pt idx="4715">
                  <c:v>Walk the Line </c:v>
                </c:pt>
                <c:pt idx="4716">
                  <c:v>Walking and Talking </c:v>
                </c:pt>
                <c:pt idx="4717">
                  <c:v>Walking Tall </c:v>
                </c:pt>
                <c:pt idx="4718">
                  <c:v>Walking with Dinosaurs 3D </c:v>
                </c:pt>
                <c:pt idx="4719">
                  <c:v>Wall Street </c:v>
                </c:pt>
                <c:pt idx="4720">
                  <c:v>Wall Street: Money Never Sleeps </c:v>
                </c:pt>
                <c:pt idx="4721">
                  <c:v>WALL·E </c:v>
                </c:pt>
                <c:pt idx="4722">
                  <c:v>Wal-Mart: The High Cost of Low Price </c:v>
                </c:pt>
                <c:pt idx="4723">
                  <c:v>Walter </c:v>
                </c:pt>
                <c:pt idx="4724">
                  <c:v>Waltz with Bashir </c:v>
                </c:pt>
                <c:pt idx="4725">
                  <c:v>Wanderlust </c:v>
                </c:pt>
                <c:pt idx="4726">
                  <c:v>Wanted </c:v>
                </c:pt>
                <c:pt idx="4727">
                  <c:v>War &amp; Peace </c:v>
                </c:pt>
                <c:pt idx="4728">
                  <c:v>War Horse </c:v>
                </c:pt>
                <c:pt idx="4729">
                  <c:v>War of the Worlds </c:v>
                </c:pt>
                <c:pt idx="4730">
                  <c:v>War </c:v>
                </c:pt>
                <c:pt idx="4731">
                  <c:v>War, Inc. </c:v>
                </c:pt>
                <c:pt idx="4732">
                  <c:v>Warcraft </c:v>
                </c:pt>
                <c:pt idx="4733">
                  <c:v>WarGames </c:v>
                </c:pt>
                <c:pt idx="4734">
                  <c:v>Warlock </c:v>
                </c:pt>
                <c:pt idx="4735">
                  <c:v>Warlock: The Armageddon </c:v>
                </c:pt>
                <c:pt idx="4736">
                  <c:v>Warm Bodies </c:v>
                </c:pt>
                <c:pt idx="4737">
                  <c:v>Warrior </c:v>
                </c:pt>
                <c:pt idx="4738">
                  <c:v>Warriors of Virtue </c:v>
                </c:pt>
                <c:pt idx="4739">
                  <c:v>Wasabi </c:v>
                </c:pt>
                <c:pt idx="4740">
                  <c:v>Watchmen </c:v>
                </c:pt>
                <c:pt idx="4741">
                  <c:v>Water &amp; Power </c:v>
                </c:pt>
                <c:pt idx="4742">
                  <c:v>Water for Elephants </c:v>
                </c:pt>
                <c:pt idx="4743">
                  <c:v>Water </c:v>
                </c:pt>
                <c:pt idx="4744">
                  <c:v>Waterloo </c:v>
                </c:pt>
                <c:pt idx="4745">
                  <c:v>Waterworld </c:v>
                </c:pt>
                <c:pt idx="4746">
                  <c:v>Wayne's World </c:v>
                </c:pt>
                <c:pt idx="4747">
                  <c:v>We Are Marshall </c:v>
                </c:pt>
                <c:pt idx="4748">
                  <c:v>We Are Your Friends </c:v>
                </c:pt>
                <c:pt idx="4749">
                  <c:v>We Bought a Zoo </c:v>
                </c:pt>
                <c:pt idx="4750">
                  <c:v>We Have Your Husband </c:v>
                </c:pt>
                <c:pt idx="4751">
                  <c:v>We Need to Talk About Kevin </c:v>
                </c:pt>
                <c:pt idx="4752">
                  <c:v>We Own the Night </c:v>
                </c:pt>
                <c:pt idx="4753">
                  <c:v>We Were Soldiers </c:v>
                </c:pt>
                <c:pt idx="4754">
                  <c:v>Weekend </c:v>
                </c:pt>
                <c:pt idx="4755">
                  <c:v>Welcome Home, Roscoe Jenkins </c:v>
                </c:pt>
                <c:pt idx="4756">
                  <c:v>Welcome to Collinwood </c:v>
                </c:pt>
                <c:pt idx="4757">
                  <c:v>Welcome to Mooseport </c:v>
                </c:pt>
                <c:pt idx="4758">
                  <c:v>Welcome to the Dollhouse </c:v>
                </c:pt>
                <c:pt idx="4759">
                  <c:v>Welcome to the Rileys </c:v>
                </c:pt>
                <c:pt idx="4760">
                  <c:v>Welcome to the Sticks </c:v>
                </c:pt>
                <c:pt idx="4761">
                  <c:v>Wendy and Lucy </c:v>
                </c:pt>
                <c:pt idx="4762">
                  <c:v>We're No Angels </c:v>
                </c:pt>
                <c:pt idx="4763">
                  <c:v>We're the Millers </c:v>
                </c:pt>
                <c:pt idx="4764">
                  <c:v>West Side Story </c:v>
                </c:pt>
                <c:pt idx="4765">
                  <c:v>Western Religion </c:v>
                </c:pt>
                <c:pt idx="4766">
                  <c:v>Whale Rider </c:v>
                </c:pt>
                <c:pt idx="4767">
                  <c:v>What a Girl Wants </c:v>
                </c:pt>
                <c:pt idx="4768">
                  <c:v>What Dreams May Come </c:v>
                </c:pt>
                <c:pt idx="4769">
                  <c:v>What Happens in Vegas </c:v>
                </c:pt>
                <c:pt idx="4770">
                  <c:v>What Just Happened </c:v>
                </c:pt>
                <c:pt idx="4771">
                  <c:v>What Lies Beneath </c:v>
                </c:pt>
                <c:pt idx="4772">
                  <c:v>What Planet Are You From? </c:v>
                </c:pt>
                <c:pt idx="4773">
                  <c:v>What the #$*! Do We (K)now!? </c:v>
                </c:pt>
                <c:pt idx="4774">
                  <c:v>What to Expect When You're Expecting </c:v>
                </c:pt>
                <c:pt idx="4775">
                  <c:v>What Women Want </c:v>
                </c:pt>
                <c:pt idx="4776">
                  <c:v>Whatever It Takes </c:v>
                </c:pt>
                <c:pt idx="4777">
                  <c:v>Whatever Works </c:v>
                </c:pt>
                <c:pt idx="4778">
                  <c:v>What's Eating Gilbert Grape </c:v>
                </c:pt>
                <c:pt idx="4779">
                  <c:v>What's Love Got to Do with It </c:v>
                </c:pt>
                <c:pt idx="4780">
                  <c:v>What's the Worst That Could Happen? </c:v>
                </c:pt>
                <c:pt idx="4781">
                  <c:v>What's Your Number? </c:v>
                </c:pt>
                <c:pt idx="4782">
                  <c:v>When a Stranger Calls </c:v>
                </c:pt>
                <c:pt idx="4783">
                  <c:v>When Did You Last See Your Father? </c:v>
                </c:pt>
                <c:pt idx="4784">
                  <c:v>When Harry Met Sally... </c:v>
                </c:pt>
                <c:pt idx="4785">
                  <c:v>When the Cat's Away </c:v>
                </c:pt>
                <c:pt idx="4786">
                  <c:v>When the Game Stands Tall </c:v>
                </c:pt>
                <c:pt idx="4787">
                  <c:v>When the Lights Went Out </c:v>
                </c:pt>
                <c:pt idx="4788">
                  <c:v>Where the Heart Is </c:v>
                </c:pt>
                <c:pt idx="4789">
                  <c:v>Where the Truth Lies </c:v>
                </c:pt>
                <c:pt idx="4790">
                  <c:v>Where the Wild Things Are </c:v>
                </c:pt>
                <c:pt idx="4791">
                  <c:v>While We're Young </c:v>
                </c:pt>
                <c:pt idx="4792">
                  <c:v>Whip It </c:v>
                </c:pt>
                <c:pt idx="4793">
                  <c:v>Whiplash </c:v>
                </c:pt>
                <c:pt idx="4794">
                  <c:v>Whipped </c:v>
                </c:pt>
                <c:pt idx="4795">
                  <c:v>White Chicks </c:v>
                </c:pt>
                <c:pt idx="4796">
                  <c:v>White Fang </c:v>
                </c:pt>
                <c:pt idx="4797">
                  <c:v>White House Down </c:v>
                </c:pt>
                <c:pt idx="4798">
                  <c:v>White Noise 2: The Light </c:v>
                </c:pt>
                <c:pt idx="4799">
                  <c:v>White Noise </c:v>
                </c:pt>
                <c:pt idx="4800">
                  <c:v>White Oleander </c:v>
                </c:pt>
                <c:pt idx="4801">
                  <c:v>White Squall </c:v>
                </c:pt>
                <c:pt idx="4802">
                  <c:v>Whiteout </c:v>
                </c:pt>
                <c:pt idx="4803">
                  <c:v>Who Killed the Electric Car? </c:v>
                </c:pt>
                <c:pt idx="4804">
                  <c:v>Who's Your Caddy? </c:v>
                </c:pt>
                <c:pt idx="4805">
                  <c:v>Why Did I Get Married Too? </c:v>
                </c:pt>
                <c:pt idx="4806">
                  <c:v>Why Did I Get Married? </c:v>
                </c:pt>
                <c:pt idx="4807">
                  <c:v>Wicked Blood </c:v>
                </c:pt>
                <c:pt idx="4808">
                  <c:v>Wicker Park </c:v>
                </c:pt>
                <c:pt idx="4809">
                  <c:v>Wild Card </c:v>
                </c:pt>
                <c:pt idx="4810">
                  <c:v>Wild Grass </c:v>
                </c:pt>
                <c:pt idx="4811">
                  <c:v>Wild Hogs </c:v>
                </c:pt>
                <c:pt idx="4812">
                  <c:v>Wild Target </c:v>
                </c:pt>
                <c:pt idx="4813">
                  <c:v>Wild Things </c:v>
                </c:pt>
                <c:pt idx="4814">
                  <c:v>Wild Wild West </c:v>
                </c:pt>
                <c:pt idx="4815">
                  <c:v>Wild </c:v>
                </c:pt>
                <c:pt idx="4816">
                  <c:v>Willard </c:v>
                </c:pt>
                <c:pt idx="4817">
                  <c:v>Willy Wonka &amp; the Chocolate Factory </c:v>
                </c:pt>
                <c:pt idx="4818">
                  <c:v>Wimbledon </c:v>
                </c:pt>
                <c:pt idx="4819">
                  <c:v>Win a Date with Tad Hamilton! </c:v>
                </c:pt>
                <c:pt idx="4820">
                  <c:v>Wind Walkers </c:v>
                </c:pt>
                <c:pt idx="4821">
                  <c:v>Windsor Drive </c:v>
                </c:pt>
                <c:pt idx="4822">
                  <c:v>Windtalkers </c:v>
                </c:pt>
                <c:pt idx="4823">
                  <c:v>Wing Commander </c:v>
                </c:pt>
                <c:pt idx="4824">
                  <c:v>Winged Migration </c:v>
                </c:pt>
                <c:pt idx="4825">
                  <c:v>Wings </c:v>
                </c:pt>
                <c:pt idx="4826">
                  <c:v>Winnie Mandela </c:v>
                </c:pt>
                <c:pt idx="4827">
                  <c:v>Winnie the Pooh </c:v>
                </c:pt>
                <c:pt idx="4828">
                  <c:v>Winter in Wartime </c:v>
                </c:pt>
                <c:pt idx="4829">
                  <c:v>Winter Passing </c:v>
                </c:pt>
                <c:pt idx="4830">
                  <c:v>Winter's Bone </c:v>
                </c:pt>
                <c:pt idx="4831">
                  <c:v>Winter's Tale </c:v>
                </c:pt>
                <c:pt idx="4832">
                  <c:v>Wish I Was Here </c:v>
                </c:pt>
                <c:pt idx="4833">
                  <c:v>Witchboard </c:v>
                </c:pt>
                <c:pt idx="4834">
                  <c:v>Without a Paddle </c:v>
                </c:pt>
                <c:pt idx="4835">
                  <c:v>Without Limits </c:v>
                </c:pt>
                <c:pt idx="4836">
                  <c:v>Without Men </c:v>
                </c:pt>
                <c:pt idx="4837">
                  <c:v>Witless Protection </c:v>
                </c:pt>
                <c:pt idx="4838">
                  <c:v>Witness </c:v>
                </c:pt>
                <c:pt idx="4839">
                  <c:v>Wolf Creek </c:v>
                </c:pt>
                <c:pt idx="4840">
                  <c:v>Wolf </c:v>
                </c:pt>
                <c:pt idx="4841">
                  <c:v>Wolves </c:v>
                </c:pt>
                <c:pt idx="4842">
                  <c:v>Woman in Gold </c:v>
                </c:pt>
                <c:pt idx="4843">
                  <c:v>Woman on Top </c:v>
                </c:pt>
                <c:pt idx="4844">
                  <c:v>Woman Thou Art Loosed </c:v>
                </c:pt>
                <c:pt idx="4845">
                  <c:v>Womb </c:v>
                </c:pt>
                <c:pt idx="4846">
                  <c:v>Wonder Boys </c:v>
                </c:pt>
                <c:pt idx="4847">
                  <c:v>Wonderland </c:v>
                </c:pt>
                <c:pt idx="4848">
                  <c:v>Won't Back Down </c:v>
                </c:pt>
                <c:pt idx="4849">
                  <c:v>Woo </c:v>
                </c:pt>
                <c:pt idx="4850">
                  <c:v>Woodstock </c:v>
                </c:pt>
                <c:pt idx="4851">
                  <c:v>Wordplay </c:v>
                </c:pt>
                <c:pt idx="4852">
                  <c:v>World Trade Center </c:v>
                </c:pt>
                <c:pt idx="4853">
                  <c:v>World War Z </c:v>
                </c:pt>
                <c:pt idx="4854">
                  <c:v>World's Greatest Dad </c:v>
                </c:pt>
                <c:pt idx="4855">
                  <c:v>Wrath of the Titans </c:v>
                </c:pt>
                <c:pt idx="4856">
                  <c:v>Wreck-It Ralph </c:v>
                </c:pt>
                <c:pt idx="4857">
                  <c:v>Wristcutters: A Love Story </c:v>
                </c:pt>
                <c:pt idx="4858">
                  <c:v>Wrong Turn </c:v>
                </c:pt>
                <c:pt idx="4859">
                  <c:v>Wuthering Heights </c:v>
                </c:pt>
                <c:pt idx="4860">
                  <c:v>Wyatt Earp </c:v>
                </c:pt>
                <c:pt idx="4861">
                  <c:v>Xi you ji zhi: Sun Wukong san da Baigu Jing </c:v>
                </c:pt>
                <c:pt idx="4862">
                  <c:v>X-Men 2 </c:v>
                </c:pt>
                <c:pt idx="4863">
                  <c:v>X-Men Origins: Wolverine </c:v>
                </c:pt>
                <c:pt idx="4864">
                  <c:v>X-Men </c:v>
                </c:pt>
                <c:pt idx="4865">
                  <c:v>X-Men: Apocalypse </c:v>
                </c:pt>
                <c:pt idx="4866">
                  <c:v>X-Men: Days of Future Past </c:v>
                </c:pt>
                <c:pt idx="4867">
                  <c:v>X-Men: First Class </c:v>
                </c:pt>
                <c:pt idx="4868">
                  <c:v>X-Men: The Last Stand </c:v>
                </c:pt>
                <c:pt idx="4869">
                  <c:v>xXx </c:v>
                </c:pt>
                <c:pt idx="4870">
                  <c:v>xXx: State of the Union </c:v>
                </c:pt>
                <c:pt idx="4871">
                  <c:v>Y Tu Mamá También </c:v>
                </c:pt>
                <c:pt idx="4872">
                  <c:v>Year One </c:v>
                </c:pt>
                <c:pt idx="4873">
                  <c:v>Yeh Jawaani Hai Deewani </c:v>
                </c:pt>
                <c:pt idx="4874">
                  <c:v>Yentl </c:v>
                </c:pt>
                <c:pt idx="4875">
                  <c:v>Yes Man </c:v>
                </c:pt>
                <c:pt idx="4876">
                  <c:v>Yes </c:v>
                </c:pt>
                <c:pt idx="4877">
                  <c:v>Yesterday Was a Lie </c:v>
                </c:pt>
                <c:pt idx="4878">
                  <c:v>Yoga Hosers </c:v>
                </c:pt>
                <c:pt idx="4879">
                  <c:v>Yogi Bear </c:v>
                </c:pt>
                <c:pt idx="4880">
                  <c:v>You Again </c:v>
                </c:pt>
                <c:pt idx="4881">
                  <c:v>You Can Count on Me </c:v>
                </c:pt>
                <c:pt idx="4882">
                  <c:v>You Can't Take It with You </c:v>
                </c:pt>
                <c:pt idx="4883">
                  <c:v>You Don't Mess with the Zohan </c:v>
                </c:pt>
                <c:pt idx="4884">
                  <c:v>You Got Served </c:v>
                </c:pt>
                <c:pt idx="4885">
                  <c:v>You Got Served: Beat the World </c:v>
                </c:pt>
                <c:pt idx="4886">
                  <c:v>You Kill Me </c:v>
                </c:pt>
                <c:pt idx="4887">
                  <c:v>You Only Live Twice </c:v>
                </c:pt>
                <c:pt idx="4888">
                  <c:v>You Will Meet a Tall Dark Stranger </c:v>
                </c:pt>
                <c:pt idx="4889">
                  <c:v>You, Me and Dupree </c:v>
                </c:pt>
                <c:pt idx="4890">
                  <c:v>Young Adult </c:v>
                </c:pt>
                <c:pt idx="4891">
                  <c:v>Young Frankenstein </c:v>
                </c:pt>
                <c:pt idx="4892">
                  <c:v>Young Guns </c:v>
                </c:pt>
                <c:pt idx="4893">
                  <c:v>Young Sherlock Holmes </c:v>
                </c:pt>
                <c:pt idx="4894">
                  <c:v>Your Highness </c:v>
                </c:pt>
                <c:pt idx="4895">
                  <c:v>Your Sister's Sister </c:v>
                </c:pt>
                <c:pt idx="4896">
                  <c:v>Yours, Mine and Ours </c:v>
                </c:pt>
                <c:pt idx="4897">
                  <c:v>Youth in Revolt </c:v>
                </c:pt>
                <c:pt idx="4898">
                  <c:v>You've Got Mail </c:v>
                </c:pt>
                <c:pt idx="4899">
                  <c:v>Yu-Gi-Oh! Duel Monsters </c:v>
                </c:pt>
                <c:pt idx="4900">
                  <c:v>Z Storm </c:v>
                </c:pt>
                <c:pt idx="4901">
                  <c:v>Zack and Miri Make a Porno </c:v>
                </c:pt>
                <c:pt idx="4902">
                  <c:v>Zambezia </c:v>
                </c:pt>
                <c:pt idx="4903">
                  <c:v>Zathura: A Space Adventure </c:v>
                </c:pt>
                <c:pt idx="4904">
                  <c:v>Zero Dark Thirty </c:v>
                </c:pt>
                <c:pt idx="4905">
                  <c:v>Zero Effect </c:v>
                </c:pt>
                <c:pt idx="4906">
                  <c:v>Zipper </c:v>
                </c:pt>
                <c:pt idx="4907">
                  <c:v>ZMD: Zombies of Mass Destruction </c:v>
                </c:pt>
                <c:pt idx="4908">
                  <c:v>Zodiac </c:v>
                </c:pt>
                <c:pt idx="4909">
                  <c:v>Zombie Hunter </c:v>
                </c:pt>
                <c:pt idx="4910">
                  <c:v>Zombieland </c:v>
                </c:pt>
                <c:pt idx="4911">
                  <c:v>Zookeeper </c:v>
                </c:pt>
                <c:pt idx="4912">
                  <c:v>Zoolander 2 </c:v>
                </c:pt>
                <c:pt idx="4913">
                  <c:v>Zoolander </c:v>
                </c:pt>
                <c:pt idx="4914">
                  <c:v>Zoom </c:v>
                </c:pt>
                <c:pt idx="4915">
                  <c:v>Zulu </c:v>
                </c:pt>
              </c:strCache>
            </c:strRef>
          </c:cat>
          <c:val>
            <c:numRef>
              <c:f>' Visualize the movie by duratio'!$B$2:$B$4917</c:f>
              <c:numCache>
                <c:formatCode>General</c:formatCode>
                <c:ptCount val="4916"/>
                <c:pt idx="1">
                  <c:v>27024</c:v>
                </c:pt>
                <c:pt idx="3">
                  <c:v>71897215</c:v>
                </c:pt>
                <c:pt idx="4">
                  <c:v>14616</c:v>
                </c:pt>
                <c:pt idx="5">
                  <c:v>38176108</c:v>
                </c:pt>
                <c:pt idx="7">
                  <c:v>66941559</c:v>
                </c:pt>
                <c:pt idx="8">
                  <c:v>53481</c:v>
                </c:pt>
                <c:pt idx="12">
                  <c:v>12232937</c:v>
                </c:pt>
                <c:pt idx="13">
                  <c:v>56667870</c:v>
                </c:pt>
                <c:pt idx="14">
                  <c:v>18329466</c:v>
                </c:pt>
                <c:pt idx="15">
                  <c:v>56044241</c:v>
                </c:pt>
                <c:pt idx="16">
                  <c:v>52822418</c:v>
                </c:pt>
                <c:pt idx="17">
                  <c:v>71975611</c:v>
                </c:pt>
                <c:pt idx="18">
                  <c:v>24375436</c:v>
                </c:pt>
                <c:pt idx="19">
                  <c:v>36883539</c:v>
                </c:pt>
                <c:pt idx="21">
                  <c:v>64149837</c:v>
                </c:pt>
                <c:pt idx="23">
                  <c:v>127437</c:v>
                </c:pt>
                <c:pt idx="26">
                  <c:v>127083765</c:v>
                </c:pt>
                <c:pt idx="27">
                  <c:v>75573300</c:v>
                </c:pt>
                <c:pt idx="29">
                  <c:v>536767</c:v>
                </c:pt>
                <c:pt idx="30">
                  <c:v>4946250</c:v>
                </c:pt>
                <c:pt idx="32">
                  <c:v>6851636</c:v>
                </c:pt>
                <c:pt idx="33">
                  <c:v>56715371</c:v>
                </c:pt>
                <c:pt idx="34">
                  <c:v>166112167</c:v>
                </c:pt>
                <c:pt idx="35">
                  <c:v>33349949</c:v>
                </c:pt>
                <c:pt idx="36">
                  <c:v>261481</c:v>
                </c:pt>
                <c:pt idx="37">
                  <c:v>25675765</c:v>
                </c:pt>
                <c:pt idx="38">
                  <c:v>16248701</c:v>
                </c:pt>
                <c:pt idx="39">
                  <c:v>138447667</c:v>
                </c:pt>
                <c:pt idx="40">
                  <c:v>81159365</c:v>
                </c:pt>
                <c:pt idx="41">
                  <c:v>191616238</c:v>
                </c:pt>
                <c:pt idx="43">
                  <c:v>13060843</c:v>
                </c:pt>
                <c:pt idx="44">
                  <c:v>76806312</c:v>
                </c:pt>
                <c:pt idx="45">
                  <c:v>45063889</c:v>
                </c:pt>
                <c:pt idx="46">
                  <c:v>37035515</c:v>
                </c:pt>
                <c:pt idx="47">
                  <c:v>28637507</c:v>
                </c:pt>
                <c:pt idx="49">
                  <c:v>30688364</c:v>
                </c:pt>
                <c:pt idx="50">
                  <c:v>167780960</c:v>
                </c:pt>
                <c:pt idx="51">
                  <c:v>11784000</c:v>
                </c:pt>
                <c:pt idx="52">
                  <c:v>9821335</c:v>
                </c:pt>
                <c:pt idx="53">
                  <c:v>59774</c:v>
                </c:pt>
                <c:pt idx="54">
                  <c:v>53574088</c:v>
                </c:pt>
                <c:pt idx="55">
                  <c:v>39568996</c:v>
                </c:pt>
                <c:pt idx="56">
                  <c:v>37053924</c:v>
                </c:pt>
                <c:pt idx="58">
                  <c:v>210592590</c:v>
                </c:pt>
                <c:pt idx="59">
                  <c:v>106369117</c:v>
                </c:pt>
                <c:pt idx="60">
                  <c:v>15738632</c:v>
                </c:pt>
                <c:pt idx="62">
                  <c:v>1185783</c:v>
                </c:pt>
                <c:pt idx="63">
                  <c:v>37939782</c:v>
                </c:pt>
                <c:pt idx="64">
                  <c:v>95001343</c:v>
                </c:pt>
                <c:pt idx="65">
                  <c:v>2300000</c:v>
                </c:pt>
                <c:pt idx="66">
                  <c:v>38297305</c:v>
                </c:pt>
                <c:pt idx="67">
                  <c:v>17149</c:v>
                </c:pt>
                <c:pt idx="68">
                  <c:v>120776832</c:v>
                </c:pt>
                <c:pt idx="69">
                  <c:v>34963967</c:v>
                </c:pt>
                <c:pt idx="70">
                  <c:v>32391374</c:v>
                </c:pt>
                <c:pt idx="71">
                  <c:v>84689</c:v>
                </c:pt>
                <c:pt idx="72">
                  <c:v>16574731</c:v>
                </c:pt>
                <c:pt idx="75">
                  <c:v>3559990</c:v>
                </c:pt>
                <c:pt idx="76">
                  <c:v>116724075</c:v>
                </c:pt>
                <c:pt idx="77">
                  <c:v>3076425</c:v>
                </c:pt>
                <c:pt idx="78">
                  <c:v>99851</c:v>
                </c:pt>
                <c:pt idx="79">
                  <c:v>16930884</c:v>
                </c:pt>
                <c:pt idx="80">
                  <c:v>36283504</c:v>
                </c:pt>
                <c:pt idx="81">
                  <c:v>31743332</c:v>
                </c:pt>
                <c:pt idx="82">
                  <c:v>4700361</c:v>
                </c:pt>
                <c:pt idx="83">
                  <c:v>6734844</c:v>
                </c:pt>
                <c:pt idx="84">
                  <c:v>170708996</c:v>
                </c:pt>
                <c:pt idx="86">
                  <c:v>1754319</c:v>
                </c:pt>
                <c:pt idx="87">
                  <c:v>50800000</c:v>
                </c:pt>
                <c:pt idx="88">
                  <c:v>162792677</c:v>
                </c:pt>
                <c:pt idx="90">
                  <c:v>137850096</c:v>
                </c:pt>
                <c:pt idx="92">
                  <c:v>51431160</c:v>
                </c:pt>
                <c:pt idx="93">
                  <c:v>56702901</c:v>
                </c:pt>
                <c:pt idx="94">
                  <c:v>5702083</c:v>
                </c:pt>
                <c:pt idx="95">
                  <c:v>2148212</c:v>
                </c:pt>
                <c:pt idx="98">
                  <c:v>141340178</c:v>
                </c:pt>
                <c:pt idx="100">
                  <c:v>3500000</c:v>
                </c:pt>
                <c:pt idx="102">
                  <c:v>67344392</c:v>
                </c:pt>
                <c:pt idx="103">
                  <c:v>7458269</c:v>
                </c:pt>
                <c:pt idx="105">
                  <c:v>15408822</c:v>
                </c:pt>
                <c:pt idx="106">
                  <c:v>515005</c:v>
                </c:pt>
                <c:pt idx="107">
                  <c:v>17314483</c:v>
                </c:pt>
                <c:pt idx="108">
                  <c:v>40041683</c:v>
                </c:pt>
                <c:pt idx="109">
                  <c:v>31493782</c:v>
                </c:pt>
                <c:pt idx="110">
                  <c:v>1029017</c:v>
                </c:pt>
                <c:pt idx="111">
                  <c:v>56083966</c:v>
                </c:pt>
                <c:pt idx="112">
                  <c:v>107458785</c:v>
                </c:pt>
                <c:pt idx="113">
                  <c:v>100240</c:v>
                </c:pt>
                <c:pt idx="115">
                  <c:v>21835784</c:v>
                </c:pt>
                <c:pt idx="116">
                  <c:v>29392418</c:v>
                </c:pt>
                <c:pt idx="117">
                  <c:v>52528330</c:v>
                </c:pt>
                <c:pt idx="118">
                  <c:v>26183197</c:v>
                </c:pt>
                <c:pt idx="120">
                  <c:v>9172810</c:v>
                </c:pt>
                <c:pt idx="121">
                  <c:v>17508936</c:v>
                </c:pt>
                <c:pt idx="122">
                  <c:v>42615685</c:v>
                </c:pt>
                <c:pt idx="124">
                  <c:v>5749134</c:v>
                </c:pt>
                <c:pt idx="125">
                  <c:v>17237244</c:v>
                </c:pt>
                <c:pt idx="126">
                  <c:v>30324946</c:v>
                </c:pt>
                <c:pt idx="127">
                  <c:v>30000000</c:v>
                </c:pt>
                <c:pt idx="128">
                  <c:v>44793200</c:v>
                </c:pt>
                <c:pt idx="129">
                  <c:v>49369900</c:v>
                </c:pt>
                <c:pt idx="130">
                  <c:v>22168359</c:v>
                </c:pt>
                <c:pt idx="131">
                  <c:v>53010000</c:v>
                </c:pt>
                <c:pt idx="132">
                  <c:v>26400000</c:v>
                </c:pt>
                <c:pt idx="133">
                  <c:v>15483540</c:v>
                </c:pt>
                <c:pt idx="136">
                  <c:v>20338609</c:v>
                </c:pt>
                <c:pt idx="137">
                  <c:v>18434</c:v>
                </c:pt>
                <c:pt idx="138">
                  <c:v>20966644</c:v>
                </c:pt>
                <c:pt idx="139">
                  <c:v>5480996</c:v>
                </c:pt>
                <c:pt idx="140">
                  <c:v>7098492</c:v>
                </c:pt>
                <c:pt idx="141">
                  <c:v>9190525</c:v>
                </c:pt>
                <c:pt idx="143">
                  <c:v>16311763</c:v>
                </c:pt>
                <c:pt idx="144">
                  <c:v>8119205</c:v>
                </c:pt>
                <c:pt idx="145">
                  <c:v>9166863</c:v>
                </c:pt>
                <c:pt idx="146">
                  <c:v>1891821</c:v>
                </c:pt>
                <c:pt idx="149">
                  <c:v>34746109</c:v>
                </c:pt>
                <c:pt idx="150">
                  <c:v>18438149</c:v>
                </c:pt>
                <c:pt idx="151">
                  <c:v>108706165</c:v>
                </c:pt>
                <c:pt idx="155">
                  <c:v>35033759</c:v>
                </c:pt>
                <c:pt idx="156">
                  <c:v>6167817</c:v>
                </c:pt>
                <c:pt idx="157">
                  <c:v>50300000</c:v>
                </c:pt>
                <c:pt idx="158">
                  <c:v>25977365</c:v>
                </c:pt>
                <c:pt idx="159">
                  <c:v>4741987</c:v>
                </c:pt>
                <c:pt idx="160">
                  <c:v>41227069</c:v>
                </c:pt>
                <c:pt idx="162">
                  <c:v>381332</c:v>
                </c:pt>
                <c:pt idx="163">
                  <c:v>78616689</c:v>
                </c:pt>
                <c:pt idx="164">
                  <c:v>10719367</c:v>
                </c:pt>
                <c:pt idx="166">
                  <c:v>95236</c:v>
                </c:pt>
                <c:pt idx="167">
                  <c:v>28064226</c:v>
                </c:pt>
                <c:pt idx="168">
                  <c:v>64148</c:v>
                </c:pt>
                <c:pt idx="169">
                  <c:v>40566655</c:v>
                </c:pt>
                <c:pt idx="170">
                  <c:v>48637684</c:v>
                </c:pt>
                <c:pt idx="171">
                  <c:v>65010106</c:v>
                </c:pt>
                <c:pt idx="172">
                  <c:v>15294553</c:v>
                </c:pt>
                <c:pt idx="173">
                  <c:v>37516013</c:v>
                </c:pt>
                <c:pt idx="175">
                  <c:v>50007168</c:v>
                </c:pt>
                <c:pt idx="177">
                  <c:v>72217000</c:v>
                </c:pt>
                <c:pt idx="178">
                  <c:v>108360000</c:v>
                </c:pt>
                <c:pt idx="179">
                  <c:v>48687346</c:v>
                </c:pt>
                <c:pt idx="180">
                  <c:v>70011073</c:v>
                </c:pt>
                <c:pt idx="181">
                  <c:v>20257000</c:v>
                </c:pt>
                <c:pt idx="183">
                  <c:v>2277396</c:v>
                </c:pt>
                <c:pt idx="184">
                  <c:v>22245861</c:v>
                </c:pt>
                <c:pt idx="185">
                  <c:v>17382982</c:v>
                </c:pt>
                <c:pt idx="186">
                  <c:v>18004225</c:v>
                </c:pt>
                <c:pt idx="187">
                  <c:v>317125</c:v>
                </c:pt>
                <c:pt idx="189">
                  <c:v>16025394</c:v>
                </c:pt>
                <c:pt idx="190">
                  <c:v>25857987</c:v>
                </c:pt>
                <c:pt idx="191">
                  <c:v>60522097</c:v>
                </c:pt>
                <c:pt idx="192">
                  <c:v>28328132</c:v>
                </c:pt>
                <c:pt idx="194">
                  <c:v>108229</c:v>
                </c:pt>
                <c:pt idx="195">
                  <c:v>5881504</c:v>
                </c:pt>
                <c:pt idx="197">
                  <c:v>23222861</c:v>
                </c:pt>
                <c:pt idx="198">
                  <c:v>47285499</c:v>
                </c:pt>
                <c:pt idx="199">
                  <c:v>617840</c:v>
                </c:pt>
                <c:pt idx="200">
                  <c:v>927107</c:v>
                </c:pt>
                <c:pt idx="201">
                  <c:v>24629916</c:v>
                </c:pt>
                <c:pt idx="202">
                  <c:v>172620724</c:v>
                </c:pt>
                <c:pt idx="203">
                  <c:v>2850263</c:v>
                </c:pt>
                <c:pt idx="205">
                  <c:v>83400000</c:v>
                </c:pt>
                <c:pt idx="206">
                  <c:v>621240</c:v>
                </c:pt>
                <c:pt idx="207">
                  <c:v>18811135</c:v>
                </c:pt>
                <c:pt idx="208">
                  <c:v>439162</c:v>
                </c:pt>
                <c:pt idx="209">
                  <c:v>217350219</c:v>
                </c:pt>
                <c:pt idx="210">
                  <c:v>3014541</c:v>
                </c:pt>
                <c:pt idx="211">
                  <c:v>326308</c:v>
                </c:pt>
                <c:pt idx="212">
                  <c:v>14208384</c:v>
                </c:pt>
                <c:pt idx="213">
                  <c:v>25863915</c:v>
                </c:pt>
                <c:pt idx="214">
                  <c:v>652526</c:v>
                </c:pt>
                <c:pt idx="215">
                  <c:v>66950483</c:v>
                </c:pt>
                <c:pt idx="216">
                  <c:v>34293771</c:v>
                </c:pt>
                <c:pt idx="218">
                  <c:v>13395939</c:v>
                </c:pt>
                <c:pt idx="219">
                  <c:v>58183966</c:v>
                </c:pt>
                <c:pt idx="220">
                  <c:v>206400</c:v>
                </c:pt>
                <c:pt idx="221">
                  <c:v>668370412</c:v>
                </c:pt>
                <c:pt idx="222">
                  <c:v>76846624</c:v>
                </c:pt>
                <c:pt idx="223">
                  <c:v>55473600</c:v>
                </c:pt>
                <c:pt idx="226">
                  <c:v>78900000</c:v>
                </c:pt>
                <c:pt idx="227">
                  <c:v>47748610</c:v>
                </c:pt>
                <c:pt idx="228">
                  <c:v>25200412</c:v>
                </c:pt>
                <c:pt idx="229">
                  <c:v>41797066</c:v>
                </c:pt>
                <c:pt idx="230">
                  <c:v>85200000</c:v>
                </c:pt>
                <c:pt idx="231">
                  <c:v>36733909</c:v>
                </c:pt>
                <c:pt idx="232">
                  <c:v>33860010</c:v>
                </c:pt>
                <c:pt idx="233">
                  <c:v>25482931</c:v>
                </c:pt>
                <c:pt idx="234">
                  <c:v>578382</c:v>
                </c:pt>
                <c:pt idx="236">
                  <c:v>4556</c:v>
                </c:pt>
                <c:pt idx="237">
                  <c:v>6262942</c:v>
                </c:pt>
                <c:pt idx="238">
                  <c:v>112935</c:v>
                </c:pt>
                <c:pt idx="242">
                  <c:v>7221458</c:v>
                </c:pt>
                <c:pt idx="243">
                  <c:v>15527125</c:v>
                </c:pt>
                <c:pt idx="244">
                  <c:v>22723</c:v>
                </c:pt>
                <c:pt idx="245">
                  <c:v>548712</c:v>
                </c:pt>
                <c:pt idx="246">
                  <c:v>66002193</c:v>
                </c:pt>
                <c:pt idx="248">
                  <c:v>32522352</c:v>
                </c:pt>
                <c:pt idx="249">
                  <c:v>52961</c:v>
                </c:pt>
                <c:pt idx="250">
                  <c:v>41982994</c:v>
                </c:pt>
                <c:pt idx="251">
                  <c:v>5132655</c:v>
                </c:pt>
                <c:pt idx="252">
                  <c:v>10018</c:v>
                </c:pt>
                <c:pt idx="253">
                  <c:v>74058698</c:v>
                </c:pt>
                <c:pt idx="254">
                  <c:v>87856565</c:v>
                </c:pt>
                <c:pt idx="257">
                  <c:v>25077977</c:v>
                </c:pt>
                <c:pt idx="258">
                  <c:v>217326336</c:v>
                </c:pt>
                <c:pt idx="259">
                  <c:v>133103929</c:v>
                </c:pt>
                <c:pt idx="260">
                  <c:v>85884815</c:v>
                </c:pt>
                <c:pt idx="261">
                  <c:v>219613391</c:v>
                </c:pt>
                <c:pt idx="263">
                  <c:v>51600000</c:v>
                </c:pt>
                <c:pt idx="264">
                  <c:v>33201661</c:v>
                </c:pt>
                <c:pt idx="265">
                  <c:v>274299</c:v>
                </c:pt>
                <c:pt idx="267">
                  <c:v>130058047</c:v>
                </c:pt>
                <c:pt idx="268">
                  <c:v>902835</c:v>
                </c:pt>
                <c:pt idx="269">
                  <c:v>7156725</c:v>
                </c:pt>
                <c:pt idx="270">
                  <c:v>130127620</c:v>
                </c:pt>
                <c:pt idx="271">
                  <c:v>115000000</c:v>
                </c:pt>
                <c:pt idx="274">
                  <c:v>6712241</c:v>
                </c:pt>
                <c:pt idx="275">
                  <c:v>150117807</c:v>
                </c:pt>
                <c:pt idx="276">
                  <c:v>4000000</c:v>
                </c:pt>
                <c:pt idx="277">
                  <c:v>13264986</c:v>
                </c:pt>
                <c:pt idx="278">
                  <c:v>145096820</c:v>
                </c:pt>
                <c:pt idx="279">
                  <c:v>101736215</c:v>
                </c:pt>
                <c:pt idx="280">
                  <c:v>15047419</c:v>
                </c:pt>
                <c:pt idx="281">
                  <c:v>56724080</c:v>
                </c:pt>
                <c:pt idx="282">
                  <c:v>350123553</c:v>
                </c:pt>
                <c:pt idx="283">
                  <c:v>6003587</c:v>
                </c:pt>
                <c:pt idx="284">
                  <c:v>104354205</c:v>
                </c:pt>
                <c:pt idx="285">
                  <c:v>93607673</c:v>
                </c:pt>
                <c:pt idx="287">
                  <c:v>183490</c:v>
                </c:pt>
                <c:pt idx="288">
                  <c:v>44175394</c:v>
                </c:pt>
                <c:pt idx="290">
                  <c:v>64359</c:v>
                </c:pt>
                <c:pt idx="291">
                  <c:v>5383834</c:v>
                </c:pt>
                <c:pt idx="292">
                  <c:v>225377</c:v>
                </c:pt>
                <c:pt idx="293">
                  <c:v>15447</c:v>
                </c:pt>
                <c:pt idx="294">
                  <c:v>7001720</c:v>
                </c:pt>
                <c:pt idx="296">
                  <c:v>16298046</c:v>
                </c:pt>
                <c:pt idx="298">
                  <c:v>12574715</c:v>
                </c:pt>
                <c:pt idx="299">
                  <c:v>75078</c:v>
                </c:pt>
                <c:pt idx="300">
                  <c:v>18535191</c:v>
                </c:pt>
                <c:pt idx="301">
                  <c:v>23808111</c:v>
                </c:pt>
                <c:pt idx="302">
                  <c:v>8535575</c:v>
                </c:pt>
                <c:pt idx="303">
                  <c:v>65557989</c:v>
                </c:pt>
                <c:pt idx="304">
                  <c:v>31526393</c:v>
                </c:pt>
                <c:pt idx="305">
                  <c:v>32122249</c:v>
                </c:pt>
                <c:pt idx="306">
                  <c:v>106694016</c:v>
                </c:pt>
                <c:pt idx="307">
                  <c:v>58297830</c:v>
                </c:pt>
                <c:pt idx="308">
                  <c:v>5725</c:v>
                </c:pt>
                <c:pt idx="309">
                  <c:v>2175312</c:v>
                </c:pt>
                <c:pt idx="310">
                  <c:v>84136909</c:v>
                </c:pt>
                <c:pt idx="311">
                  <c:v>15155772</c:v>
                </c:pt>
                <c:pt idx="314">
                  <c:v>24044532</c:v>
                </c:pt>
                <c:pt idx="315">
                  <c:v>13038660</c:v>
                </c:pt>
                <c:pt idx="316">
                  <c:v>133375846</c:v>
                </c:pt>
                <c:pt idx="318">
                  <c:v>141600000</c:v>
                </c:pt>
                <c:pt idx="323">
                  <c:v>39251128</c:v>
                </c:pt>
                <c:pt idx="324">
                  <c:v>12802907</c:v>
                </c:pt>
                <c:pt idx="325">
                  <c:v>84263837</c:v>
                </c:pt>
                <c:pt idx="327">
                  <c:v>8000000</c:v>
                </c:pt>
                <c:pt idx="328">
                  <c:v>39200000</c:v>
                </c:pt>
                <c:pt idx="329">
                  <c:v>85911262</c:v>
                </c:pt>
                <c:pt idx="330">
                  <c:v>3442820</c:v>
                </c:pt>
                <c:pt idx="331">
                  <c:v>4463292</c:v>
                </c:pt>
                <c:pt idx="332">
                  <c:v>1316074</c:v>
                </c:pt>
                <c:pt idx="334">
                  <c:v>3205244</c:v>
                </c:pt>
                <c:pt idx="335">
                  <c:v>4914</c:v>
                </c:pt>
                <c:pt idx="336">
                  <c:v>287761</c:v>
                </c:pt>
                <c:pt idx="338">
                  <c:v>10965209</c:v>
                </c:pt>
                <c:pt idx="340">
                  <c:v>180191634</c:v>
                </c:pt>
                <c:pt idx="341">
                  <c:v>21078145</c:v>
                </c:pt>
                <c:pt idx="342">
                  <c:v>90646554</c:v>
                </c:pt>
                <c:pt idx="343">
                  <c:v>75530832</c:v>
                </c:pt>
                <c:pt idx="344">
                  <c:v>3203044</c:v>
                </c:pt>
                <c:pt idx="345">
                  <c:v>18653615</c:v>
                </c:pt>
                <c:pt idx="346">
                  <c:v>78800000</c:v>
                </c:pt>
                <c:pt idx="347">
                  <c:v>50859889</c:v>
                </c:pt>
                <c:pt idx="348">
                  <c:v>172071312</c:v>
                </c:pt>
                <c:pt idx="349">
                  <c:v>17683670</c:v>
                </c:pt>
                <c:pt idx="350">
                  <c:v>20207003</c:v>
                </c:pt>
                <c:pt idx="351">
                  <c:v>12947763</c:v>
                </c:pt>
                <c:pt idx="352">
                  <c:v>5518918</c:v>
                </c:pt>
                <c:pt idx="353">
                  <c:v>18595716</c:v>
                </c:pt>
                <c:pt idx="354">
                  <c:v>53133888</c:v>
                </c:pt>
                <c:pt idx="355">
                  <c:v>1554566</c:v>
                </c:pt>
                <c:pt idx="356">
                  <c:v>7918283</c:v>
                </c:pt>
                <c:pt idx="358">
                  <c:v>82301521</c:v>
                </c:pt>
                <c:pt idx="360">
                  <c:v>136019448</c:v>
                </c:pt>
                <c:pt idx="361">
                  <c:v>24362501</c:v>
                </c:pt>
                <c:pt idx="362">
                  <c:v>201573391</c:v>
                </c:pt>
                <c:pt idx="363">
                  <c:v>15988876</c:v>
                </c:pt>
                <c:pt idx="364">
                  <c:v>11501093</c:v>
                </c:pt>
                <c:pt idx="366">
                  <c:v>23616</c:v>
                </c:pt>
                <c:pt idx="367">
                  <c:v>48008318</c:v>
                </c:pt>
                <c:pt idx="369">
                  <c:v>15131330</c:v>
                </c:pt>
                <c:pt idx="370">
                  <c:v>46440491</c:v>
                </c:pt>
                <c:pt idx="372">
                  <c:v>21197315</c:v>
                </c:pt>
                <c:pt idx="373">
                  <c:v>147637474</c:v>
                </c:pt>
                <c:pt idx="374">
                  <c:v>9910</c:v>
                </c:pt>
                <c:pt idx="376">
                  <c:v>30306268</c:v>
                </c:pt>
                <c:pt idx="377">
                  <c:v>19976073</c:v>
                </c:pt>
                <c:pt idx="379">
                  <c:v>19548064</c:v>
                </c:pt>
                <c:pt idx="380">
                  <c:v>22326247</c:v>
                </c:pt>
                <c:pt idx="381">
                  <c:v>21160089</c:v>
                </c:pt>
                <c:pt idx="382">
                  <c:v>84037039</c:v>
                </c:pt>
                <c:pt idx="383">
                  <c:v>3333823</c:v>
                </c:pt>
                <c:pt idx="384">
                  <c:v>830210</c:v>
                </c:pt>
                <c:pt idx="385">
                  <c:v>50921738</c:v>
                </c:pt>
                <c:pt idx="386">
                  <c:v>1024175</c:v>
                </c:pt>
                <c:pt idx="387">
                  <c:v>31655091</c:v>
                </c:pt>
                <c:pt idx="389">
                  <c:v>37738400</c:v>
                </c:pt>
                <c:pt idx="390">
                  <c:v>213079163</c:v>
                </c:pt>
                <c:pt idx="391">
                  <c:v>53868030</c:v>
                </c:pt>
                <c:pt idx="392">
                  <c:v>205399422</c:v>
                </c:pt>
                <c:pt idx="393">
                  <c:v>49551662</c:v>
                </c:pt>
                <c:pt idx="394">
                  <c:v>2062066</c:v>
                </c:pt>
                <c:pt idx="396">
                  <c:v>37752931</c:v>
                </c:pt>
                <c:pt idx="397">
                  <c:v>760505847</c:v>
                </c:pt>
                <c:pt idx="398">
                  <c:v>458991599</c:v>
                </c:pt>
                <c:pt idx="399">
                  <c:v>80281096</c:v>
                </c:pt>
                <c:pt idx="400">
                  <c:v>14373825</c:v>
                </c:pt>
                <c:pt idx="401">
                  <c:v>9430988</c:v>
                </c:pt>
                <c:pt idx="403">
                  <c:v>16892</c:v>
                </c:pt>
                <c:pt idx="404">
                  <c:v>6498000</c:v>
                </c:pt>
                <c:pt idx="405">
                  <c:v>66600000</c:v>
                </c:pt>
                <c:pt idx="406">
                  <c:v>18318000</c:v>
                </c:pt>
                <c:pt idx="407">
                  <c:v>34300771</c:v>
                </c:pt>
                <c:pt idx="408">
                  <c:v>28734552</c:v>
                </c:pt>
                <c:pt idx="409">
                  <c:v>27141959</c:v>
                </c:pt>
                <c:pt idx="410">
                  <c:v>60269340</c:v>
                </c:pt>
                <c:pt idx="411">
                  <c:v>22531698</c:v>
                </c:pt>
                <c:pt idx="412">
                  <c:v>16671505</c:v>
                </c:pt>
                <c:pt idx="413">
                  <c:v>418268</c:v>
                </c:pt>
                <c:pt idx="414">
                  <c:v>118500000</c:v>
                </c:pt>
                <c:pt idx="415">
                  <c:v>87666629</c:v>
                </c:pt>
                <c:pt idx="416">
                  <c:v>210609762</c:v>
                </c:pt>
                <c:pt idx="417">
                  <c:v>138396624</c:v>
                </c:pt>
                <c:pt idx="418">
                  <c:v>65807024</c:v>
                </c:pt>
                <c:pt idx="419">
                  <c:v>30157016</c:v>
                </c:pt>
                <c:pt idx="420">
                  <c:v>101978840</c:v>
                </c:pt>
                <c:pt idx="421">
                  <c:v>1697956</c:v>
                </c:pt>
                <c:pt idx="422">
                  <c:v>110922614</c:v>
                </c:pt>
                <c:pt idx="423">
                  <c:v>60057639</c:v>
                </c:pt>
                <c:pt idx="424">
                  <c:v>100292856</c:v>
                </c:pt>
                <c:pt idx="425">
                  <c:v>7764027</c:v>
                </c:pt>
                <c:pt idx="426">
                  <c:v>21564616</c:v>
                </c:pt>
                <c:pt idx="427">
                  <c:v>140016</c:v>
                </c:pt>
                <c:pt idx="429">
                  <c:v>14294842</c:v>
                </c:pt>
                <c:pt idx="430">
                  <c:v>102797150</c:v>
                </c:pt>
                <c:pt idx="431">
                  <c:v>2185266</c:v>
                </c:pt>
                <c:pt idx="434">
                  <c:v>41523271</c:v>
                </c:pt>
                <c:pt idx="435">
                  <c:v>5205343</c:v>
                </c:pt>
                <c:pt idx="438">
                  <c:v>15279680</c:v>
                </c:pt>
                <c:pt idx="442">
                  <c:v>64955956</c:v>
                </c:pt>
                <c:pt idx="443">
                  <c:v>75074950</c:v>
                </c:pt>
                <c:pt idx="445">
                  <c:v>11144518</c:v>
                </c:pt>
                <c:pt idx="446">
                  <c:v>7501404</c:v>
                </c:pt>
                <c:pt idx="447">
                  <c:v>72601713</c:v>
                </c:pt>
                <c:pt idx="450">
                  <c:v>5851188</c:v>
                </c:pt>
                <c:pt idx="451">
                  <c:v>26536120</c:v>
                </c:pt>
                <c:pt idx="452">
                  <c:v>2961991</c:v>
                </c:pt>
                <c:pt idx="455">
                  <c:v>107285004</c:v>
                </c:pt>
                <c:pt idx="456">
                  <c:v>205343774</c:v>
                </c:pt>
                <c:pt idx="457">
                  <c:v>184031112</c:v>
                </c:pt>
                <c:pt idx="458">
                  <c:v>162831698</c:v>
                </c:pt>
                <c:pt idx="459">
                  <c:v>330249062</c:v>
                </c:pt>
                <c:pt idx="460">
                  <c:v>251188924</c:v>
                </c:pt>
                <c:pt idx="463">
                  <c:v>10149779</c:v>
                </c:pt>
                <c:pt idx="465">
                  <c:v>83552429</c:v>
                </c:pt>
                <c:pt idx="466">
                  <c:v>8888355</c:v>
                </c:pt>
                <c:pt idx="467">
                  <c:v>21471685</c:v>
                </c:pt>
                <c:pt idx="468">
                  <c:v>65173160</c:v>
                </c:pt>
                <c:pt idx="469">
                  <c:v>55808744</c:v>
                </c:pt>
                <c:pt idx="470">
                  <c:v>11169531</c:v>
                </c:pt>
                <c:pt idx="471">
                  <c:v>27854896</c:v>
                </c:pt>
                <c:pt idx="472">
                  <c:v>869325</c:v>
                </c:pt>
                <c:pt idx="473">
                  <c:v>12784397</c:v>
                </c:pt>
                <c:pt idx="474">
                  <c:v>19445217</c:v>
                </c:pt>
                <c:pt idx="475">
                  <c:v>36310118</c:v>
                </c:pt>
                <c:pt idx="476">
                  <c:v>63071133</c:v>
                </c:pt>
                <c:pt idx="477">
                  <c:v>42640890</c:v>
                </c:pt>
                <c:pt idx="478">
                  <c:v>32645546</c:v>
                </c:pt>
                <c:pt idx="479">
                  <c:v>18663911</c:v>
                </c:pt>
                <c:pt idx="480">
                  <c:v>37879996</c:v>
                </c:pt>
                <c:pt idx="481">
                  <c:v>109993847</c:v>
                </c:pt>
                <c:pt idx="482">
                  <c:v>126597121</c:v>
                </c:pt>
                <c:pt idx="483">
                  <c:v>475000</c:v>
                </c:pt>
                <c:pt idx="484">
                  <c:v>19179969</c:v>
                </c:pt>
                <c:pt idx="485">
                  <c:v>73326666</c:v>
                </c:pt>
                <c:pt idx="486">
                  <c:v>2963012</c:v>
                </c:pt>
                <c:pt idx="487">
                  <c:v>8114507</c:v>
                </c:pt>
                <c:pt idx="488">
                  <c:v>5400000</c:v>
                </c:pt>
                <c:pt idx="489">
                  <c:v>5792822</c:v>
                </c:pt>
                <c:pt idx="490">
                  <c:v>16168741</c:v>
                </c:pt>
                <c:pt idx="491">
                  <c:v>5776314</c:v>
                </c:pt>
                <c:pt idx="492">
                  <c:v>59068786</c:v>
                </c:pt>
                <c:pt idx="493">
                  <c:v>22858926</c:v>
                </c:pt>
                <c:pt idx="494">
                  <c:v>7739049</c:v>
                </c:pt>
                <c:pt idx="495">
                  <c:v>8108247</c:v>
                </c:pt>
                <c:pt idx="496">
                  <c:v>22843047</c:v>
                </c:pt>
                <c:pt idx="498">
                  <c:v>32541719</c:v>
                </c:pt>
                <c:pt idx="503">
                  <c:v>39552600</c:v>
                </c:pt>
                <c:pt idx="504">
                  <c:v>82161969</c:v>
                </c:pt>
                <c:pt idx="505">
                  <c:v>9203192</c:v>
                </c:pt>
                <c:pt idx="506">
                  <c:v>18621249</c:v>
                </c:pt>
                <c:pt idx="507">
                  <c:v>3799339</c:v>
                </c:pt>
                <c:pt idx="508">
                  <c:v>94497271</c:v>
                </c:pt>
                <c:pt idx="509">
                  <c:v>153665036</c:v>
                </c:pt>
                <c:pt idx="510">
                  <c:v>42610000</c:v>
                </c:pt>
                <c:pt idx="511">
                  <c:v>234760500</c:v>
                </c:pt>
                <c:pt idx="513">
                  <c:v>4426297</c:v>
                </c:pt>
                <c:pt idx="514">
                  <c:v>56129</c:v>
                </c:pt>
                <c:pt idx="515">
                  <c:v>14612840</c:v>
                </c:pt>
                <c:pt idx="516">
                  <c:v>2047570</c:v>
                </c:pt>
                <c:pt idx="517">
                  <c:v>6144806</c:v>
                </c:pt>
                <c:pt idx="518">
                  <c:v>9000000</c:v>
                </c:pt>
                <c:pt idx="520">
                  <c:v>58220776</c:v>
                </c:pt>
                <c:pt idx="521">
                  <c:v>163479795</c:v>
                </c:pt>
                <c:pt idx="522">
                  <c:v>14479776</c:v>
                </c:pt>
                <c:pt idx="523">
                  <c:v>95622550</c:v>
                </c:pt>
                <c:pt idx="524">
                  <c:v>66257002</c:v>
                </c:pt>
                <c:pt idx="525">
                  <c:v>222487711</c:v>
                </c:pt>
                <c:pt idx="526">
                  <c:v>20113965</c:v>
                </c:pt>
                <c:pt idx="527">
                  <c:v>70163652</c:v>
                </c:pt>
                <c:pt idx="528">
                  <c:v>117559438</c:v>
                </c:pt>
                <c:pt idx="529">
                  <c:v>37911876</c:v>
                </c:pt>
                <c:pt idx="530">
                  <c:v>11100000</c:v>
                </c:pt>
                <c:pt idx="531">
                  <c:v>7262288</c:v>
                </c:pt>
                <c:pt idx="532">
                  <c:v>114968774</c:v>
                </c:pt>
                <c:pt idx="533">
                  <c:v>38037513</c:v>
                </c:pt>
                <c:pt idx="534">
                  <c:v>40485039</c:v>
                </c:pt>
                <c:pt idx="535">
                  <c:v>21994911</c:v>
                </c:pt>
                <c:pt idx="536">
                  <c:v>42335698</c:v>
                </c:pt>
                <c:pt idx="537">
                  <c:v>5005883</c:v>
                </c:pt>
                <c:pt idx="538">
                  <c:v>4919896</c:v>
                </c:pt>
                <c:pt idx="539">
                  <c:v>5100937</c:v>
                </c:pt>
                <c:pt idx="541">
                  <c:v>4398392</c:v>
                </c:pt>
                <c:pt idx="542">
                  <c:v>16235293</c:v>
                </c:pt>
                <c:pt idx="543">
                  <c:v>108638745</c:v>
                </c:pt>
                <c:pt idx="544">
                  <c:v>33422806</c:v>
                </c:pt>
                <c:pt idx="545">
                  <c:v>62563543</c:v>
                </c:pt>
                <c:pt idx="546">
                  <c:v>7017178</c:v>
                </c:pt>
                <c:pt idx="548">
                  <c:v>21569041</c:v>
                </c:pt>
                <c:pt idx="549">
                  <c:v>45645204</c:v>
                </c:pt>
                <c:pt idx="551">
                  <c:v>9396487</c:v>
                </c:pt>
                <c:pt idx="552">
                  <c:v>106952327</c:v>
                </c:pt>
                <c:pt idx="554">
                  <c:v>7097125</c:v>
                </c:pt>
                <c:pt idx="555">
                  <c:v>199652</c:v>
                </c:pt>
                <c:pt idx="556">
                  <c:v>81645152</c:v>
                </c:pt>
                <c:pt idx="557">
                  <c:v>27000000</c:v>
                </c:pt>
                <c:pt idx="558">
                  <c:v>70001065</c:v>
                </c:pt>
                <c:pt idx="559">
                  <c:v>52397389</c:v>
                </c:pt>
                <c:pt idx="560">
                  <c:v>118153533</c:v>
                </c:pt>
                <c:pt idx="561">
                  <c:v>26494611</c:v>
                </c:pt>
                <c:pt idx="562">
                  <c:v>119500000</c:v>
                </c:pt>
                <c:pt idx="565">
                  <c:v>46280507</c:v>
                </c:pt>
                <c:pt idx="566">
                  <c:v>29374178</c:v>
                </c:pt>
                <c:pt idx="567">
                  <c:v>3073392</c:v>
                </c:pt>
                <c:pt idx="568">
                  <c:v>5561</c:v>
                </c:pt>
                <c:pt idx="569">
                  <c:v>3525161</c:v>
                </c:pt>
                <c:pt idx="570">
                  <c:v>1075288</c:v>
                </c:pt>
                <c:pt idx="571">
                  <c:v>57366262</c:v>
                </c:pt>
                <c:pt idx="572">
                  <c:v>82739</c:v>
                </c:pt>
                <c:pt idx="573">
                  <c:v>4496583</c:v>
                </c:pt>
                <c:pt idx="574">
                  <c:v>41229</c:v>
                </c:pt>
                <c:pt idx="575">
                  <c:v>26199517</c:v>
                </c:pt>
                <c:pt idx="576">
                  <c:v>1550000</c:v>
                </c:pt>
                <c:pt idx="577">
                  <c:v>11806119</c:v>
                </c:pt>
                <c:pt idx="578">
                  <c:v>768045</c:v>
                </c:pt>
                <c:pt idx="580">
                  <c:v>52937130</c:v>
                </c:pt>
                <c:pt idx="581">
                  <c:v>464126</c:v>
                </c:pt>
                <c:pt idx="582">
                  <c:v>40118420</c:v>
                </c:pt>
                <c:pt idx="583">
                  <c:v>33404871</c:v>
                </c:pt>
                <c:pt idx="584">
                  <c:v>594904</c:v>
                </c:pt>
                <c:pt idx="585">
                  <c:v>258113</c:v>
                </c:pt>
                <c:pt idx="586">
                  <c:v>68208190</c:v>
                </c:pt>
                <c:pt idx="587">
                  <c:v>9701559</c:v>
                </c:pt>
                <c:pt idx="588">
                  <c:v>8586376</c:v>
                </c:pt>
                <c:pt idx="589">
                  <c:v>2694071</c:v>
                </c:pt>
                <c:pt idx="590">
                  <c:v>11204499</c:v>
                </c:pt>
                <c:pt idx="592">
                  <c:v>39380442</c:v>
                </c:pt>
                <c:pt idx="594">
                  <c:v>4357000</c:v>
                </c:pt>
                <c:pt idx="595">
                  <c:v>16938179</c:v>
                </c:pt>
                <c:pt idx="596">
                  <c:v>114053579</c:v>
                </c:pt>
                <c:pt idx="598">
                  <c:v>2353728</c:v>
                </c:pt>
                <c:pt idx="600">
                  <c:v>46363118</c:v>
                </c:pt>
                <c:pt idx="601">
                  <c:v>26384919</c:v>
                </c:pt>
                <c:pt idx="602">
                  <c:v>26421314</c:v>
                </c:pt>
                <c:pt idx="604">
                  <c:v>70100000</c:v>
                </c:pt>
                <c:pt idx="605">
                  <c:v>128505958</c:v>
                </c:pt>
                <c:pt idx="607">
                  <c:v>70001698</c:v>
                </c:pt>
                <c:pt idx="608">
                  <c:v>21199</c:v>
                </c:pt>
                <c:pt idx="609">
                  <c:v>1040879</c:v>
                </c:pt>
                <c:pt idx="610">
                  <c:v>4040588</c:v>
                </c:pt>
                <c:pt idx="611">
                  <c:v>3798532</c:v>
                </c:pt>
                <c:pt idx="612">
                  <c:v>66365290</c:v>
                </c:pt>
                <c:pt idx="613">
                  <c:v>21244913</c:v>
                </c:pt>
                <c:pt idx="614">
                  <c:v>25359200</c:v>
                </c:pt>
                <c:pt idx="615">
                  <c:v>3123749</c:v>
                </c:pt>
                <c:pt idx="616">
                  <c:v>20627372</c:v>
                </c:pt>
                <c:pt idx="617">
                  <c:v>11533945</c:v>
                </c:pt>
                <c:pt idx="618">
                  <c:v>57504069</c:v>
                </c:pt>
                <c:pt idx="620">
                  <c:v>82522790</c:v>
                </c:pt>
                <c:pt idx="621">
                  <c:v>110029</c:v>
                </c:pt>
                <c:pt idx="623">
                  <c:v>237282182</c:v>
                </c:pt>
                <c:pt idx="624">
                  <c:v>75600000</c:v>
                </c:pt>
                <c:pt idx="625">
                  <c:v>9929000</c:v>
                </c:pt>
                <c:pt idx="626">
                  <c:v>50129186</c:v>
                </c:pt>
                <c:pt idx="627">
                  <c:v>175370</c:v>
                </c:pt>
                <c:pt idx="628">
                  <c:v>11827301</c:v>
                </c:pt>
                <c:pt idx="629">
                  <c:v>76382</c:v>
                </c:pt>
                <c:pt idx="630">
                  <c:v>1094998</c:v>
                </c:pt>
                <c:pt idx="631">
                  <c:v>20285518</c:v>
                </c:pt>
                <c:pt idx="632">
                  <c:v>6601079</c:v>
                </c:pt>
                <c:pt idx="633">
                  <c:v>32368960</c:v>
                </c:pt>
                <c:pt idx="634">
                  <c:v>58715510</c:v>
                </c:pt>
                <c:pt idx="635">
                  <c:v>169076745</c:v>
                </c:pt>
                <c:pt idx="636">
                  <c:v>72306065</c:v>
                </c:pt>
                <c:pt idx="637">
                  <c:v>82234139</c:v>
                </c:pt>
                <c:pt idx="638">
                  <c:v>40203020</c:v>
                </c:pt>
                <c:pt idx="639">
                  <c:v>71500556</c:v>
                </c:pt>
                <c:pt idx="640">
                  <c:v>798341</c:v>
                </c:pt>
                <c:pt idx="641">
                  <c:v>16118077</c:v>
                </c:pt>
                <c:pt idx="642">
                  <c:v>4440055</c:v>
                </c:pt>
                <c:pt idx="644">
                  <c:v>68353550</c:v>
                </c:pt>
                <c:pt idx="645">
                  <c:v>132541238</c:v>
                </c:pt>
                <c:pt idx="646">
                  <c:v>16640210</c:v>
                </c:pt>
                <c:pt idx="647">
                  <c:v>83025853</c:v>
                </c:pt>
                <c:pt idx="648">
                  <c:v>10114315</c:v>
                </c:pt>
                <c:pt idx="649">
                  <c:v>70450000</c:v>
                </c:pt>
                <c:pt idx="650">
                  <c:v>19692608</c:v>
                </c:pt>
                <c:pt idx="652">
                  <c:v>13493</c:v>
                </c:pt>
                <c:pt idx="653">
                  <c:v>104792</c:v>
                </c:pt>
                <c:pt idx="654">
                  <c:v>398420</c:v>
                </c:pt>
                <c:pt idx="655">
                  <c:v>38317535</c:v>
                </c:pt>
                <c:pt idx="656">
                  <c:v>27154426</c:v>
                </c:pt>
                <c:pt idx="657">
                  <c:v>447750</c:v>
                </c:pt>
                <c:pt idx="658">
                  <c:v>444044</c:v>
                </c:pt>
                <c:pt idx="659">
                  <c:v>57003302</c:v>
                </c:pt>
                <c:pt idx="660">
                  <c:v>27362712</c:v>
                </c:pt>
                <c:pt idx="661">
                  <c:v>242589580</c:v>
                </c:pt>
                <c:pt idx="662">
                  <c:v>59992760</c:v>
                </c:pt>
                <c:pt idx="664">
                  <c:v>5002310</c:v>
                </c:pt>
                <c:pt idx="665">
                  <c:v>2331318</c:v>
                </c:pt>
                <c:pt idx="666">
                  <c:v>100412</c:v>
                </c:pt>
                <c:pt idx="667">
                  <c:v>2365931</c:v>
                </c:pt>
                <c:pt idx="668">
                  <c:v>353743</c:v>
                </c:pt>
                <c:pt idx="670">
                  <c:v>9483821</c:v>
                </c:pt>
                <c:pt idx="671">
                  <c:v>23020488</c:v>
                </c:pt>
                <c:pt idx="672">
                  <c:v>13383737</c:v>
                </c:pt>
                <c:pt idx="673">
                  <c:v>510092</c:v>
                </c:pt>
                <c:pt idx="674">
                  <c:v>26525834</c:v>
                </c:pt>
                <c:pt idx="675">
                  <c:v>1028658</c:v>
                </c:pt>
                <c:pt idx="676">
                  <c:v>39440655</c:v>
                </c:pt>
                <c:pt idx="677">
                  <c:v>60338891</c:v>
                </c:pt>
                <c:pt idx="678">
                  <c:v>111300</c:v>
                </c:pt>
                <c:pt idx="679">
                  <c:v>13650738</c:v>
                </c:pt>
                <c:pt idx="680">
                  <c:v>2199853</c:v>
                </c:pt>
                <c:pt idx="681">
                  <c:v>102308900</c:v>
                </c:pt>
                <c:pt idx="684">
                  <c:v>531009</c:v>
                </c:pt>
                <c:pt idx="686">
                  <c:v>46451</c:v>
                </c:pt>
                <c:pt idx="688">
                  <c:v>39800000</c:v>
                </c:pt>
                <c:pt idx="689">
                  <c:v>8134217</c:v>
                </c:pt>
                <c:pt idx="690">
                  <c:v>215185</c:v>
                </c:pt>
                <c:pt idx="692">
                  <c:v>25339117</c:v>
                </c:pt>
                <c:pt idx="693">
                  <c:v>2000000</c:v>
                </c:pt>
                <c:pt idx="694">
                  <c:v>79100000</c:v>
                </c:pt>
                <c:pt idx="695">
                  <c:v>14359793</c:v>
                </c:pt>
                <c:pt idx="696">
                  <c:v>28747570</c:v>
                </c:pt>
                <c:pt idx="699">
                  <c:v>407197282</c:v>
                </c:pt>
                <c:pt idx="700">
                  <c:v>176636816</c:v>
                </c:pt>
                <c:pt idx="701">
                  <c:v>259746958</c:v>
                </c:pt>
                <c:pt idx="702">
                  <c:v>25528495</c:v>
                </c:pt>
                <c:pt idx="703">
                  <c:v>107100855</c:v>
                </c:pt>
                <c:pt idx="704">
                  <c:v>2557668</c:v>
                </c:pt>
                <c:pt idx="705">
                  <c:v>1060591</c:v>
                </c:pt>
                <c:pt idx="706">
                  <c:v>1000000</c:v>
                </c:pt>
                <c:pt idx="708">
                  <c:v>145118</c:v>
                </c:pt>
                <c:pt idx="710">
                  <c:v>70533238</c:v>
                </c:pt>
                <c:pt idx="711">
                  <c:v>90820</c:v>
                </c:pt>
                <c:pt idx="712">
                  <c:v>191450875</c:v>
                </c:pt>
                <c:pt idx="713">
                  <c:v>244052771</c:v>
                </c:pt>
                <c:pt idx="714">
                  <c:v>5895238</c:v>
                </c:pt>
                <c:pt idx="716">
                  <c:v>13248477</c:v>
                </c:pt>
                <c:pt idx="717">
                  <c:v>1039869</c:v>
                </c:pt>
                <c:pt idx="718">
                  <c:v>334014368</c:v>
                </c:pt>
                <c:pt idx="719">
                  <c:v>42438300</c:v>
                </c:pt>
                <c:pt idx="720">
                  <c:v>100328194</c:v>
                </c:pt>
                <c:pt idx="721">
                  <c:v>233630478</c:v>
                </c:pt>
                <c:pt idx="724">
                  <c:v>4291965</c:v>
                </c:pt>
                <c:pt idx="725">
                  <c:v>164435221</c:v>
                </c:pt>
                <c:pt idx="726">
                  <c:v>16702864</c:v>
                </c:pt>
                <c:pt idx="728">
                  <c:v>93375151</c:v>
                </c:pt>
                <c:pt idx="729">
                  <c:v>43575716</c:v>
                </c:pt>
                <c:pt idx="730">
                  <c:v>3562749</c:v>
                </c:pt>
                <c:pt idx="731">
                  <c:v>40198710</c:v>
                </c:pt>
                <c:pt idx="732">
                  <c:v>70071</c:v>
                </c:pt>
                <c:pt idx="733">
                  <c:v>1276984</c:v>
                </c:pt>
                <c:pt idx="734">
                  <c:v>6857503</c:v>
                </c:pt>
                <c:pt idx="735">
                  <c:v>5032496</c:v>
                </c:pt>
                <c:pt idx="736">
                  <c:v>3094687</c:v>
                </c:pt>
                <c:pt idx="737">
                  <c:v>32003620</c:v>
                </c:pt>
                <c:pt idx="738">
                  <c:v>34151</c:v>
                </c:pt>
                <c:pt idx="739">
                  <c:v>17174870</c:v>
                </c:pt>
                <c:pt idx="740">
                  <c:v>126088877</c:v>
                </c:pt>
                <c:pt idx="741">
                  <c:v>5595428</c:v>
                </c:pt>
                <c:pt idx="742">
                  <c:v>122288</c:v>
                </c:pt>
                <c:pt idx="743">
                  <c:v>7826</c:v>
                </c:pt>
                <c:pt idx="744">
                  <c:v>143000</c:v>
                </c:pt>
                <c:pt idx="746">
                  <c:v>20550712</c:v>
                </c:pt>
                <c:pt idx="747">
                  <c:v>306715</c:v>
                </c:pt>
                <c:pt idx="748">
                  <c:v>35707327</c:v>
                </c:pt>
                <c:pt idx="749">
                  <c:v>66790248</c:v>
                </c:pt>
                <c:pt idx="750">
                  <c:v>31569268</c:v>
                </c:pt>
                <c:pt idx="751">
                  <c:v>713413</c:v>
                </c:pt>
                <c:pt idx="752">
                  <c:v>58800000</c:v>
                </c:pt>
                <c:pt idx="753">
                  <c:v>206456431</c:v>
                </c:pt>
                <c:pt idx="754">
                  <c:v>3950294</c:v>
                </c:pt>
                <c:pt idx="755">
                  <c:v>31136950</c:v>
                </c:pt>
                <c:pt idx="756">
                  <c:v>66636385</c:v>
                </c:pt>
                <c:pt idx="757">
                  <c:v>125305545</c:v>
                </c:pt>
                <c:pt idx="758">
                  <c:v>100685880</c:v>
                </c:pt>
                <c:pt idx="759">
                  <c:v>82506325</c:v>
                </c:pt>
                <c:pt idx="761">
                  <c:v>12006514</c:v>
                </c:pt>
                <c:pt idx="762">
                  <c:v>24379028</c:v>
                </c:pt>
                <c:pt idx="763">
                  <c:v>6002756</c:v>
                </c:pt>
                <c:pt idx="764">
                  <c:v>6126237</c:v>
                </c:pt>
                <c:pt idx="765">
                  <c:v>59379</c:v>
                </c:pt>
                <c:pt idx="766">
                  <c:v>82569532</c:v>
                </c:pt>
                <c:pt idx="767">
                  <c:v>138614544</c:v>
                </c:pt>
                <c:pt idx="769">
                  <c:v>2708188</c:v>
                </c:pt>
                <c:pt idx="770">
                  <c:v>18112929</c:v>
                </c:pt>
                <c:pt idx="773">
                  <c:v>170684505</c:v>
                </c:pt>
                <c:pt idx="774">
                  <c:v>135381507</c:v>
                </c:pt>
                <c:pt idx="775">
                  <c:v>106793915</c:v>
                </c:pt>
                <c:pt idx="777">
                  <c:v>1206135</c:v>
                </c:pt>
                <c:pt idx="779">
                  <c:v>925402</c:v>
                </c:pt>
                <c:pt idx="780">
                  <c:v>35286428</c:v>
                </c:pt>
                <c:pt idx="781">
                  <c:v>28501605</c:v>
                </c:pt>
                <c:pt idx="782">
                  <c:v>33244684</c:v>
                </c:pt>
                <c:pt idx="783">
                  <c:v>11227940</c:v>
                </c:pt>
                <c:pt idx="784">
                  <c:v>3074838</c:v>
                </c:pt>
                <c:pt idx="785">
                  <c:v>71309760</c:v>
                </c:pt>
                <c:pt idx="786">
                  <c:v>49000</c:v>
                </c:pt>
                <c:pt idx="787">
                  <c:v>2926565</c:v>
                </c:pt>
                <c:pt idx="790">
                  <c:v>73701902</c:v>
                </c:pt>
                <c:pt idx="791">
                  <c:v>64572496</c:v>
                </c:pt>
                <c:pt idx="792">
                  <c:v>1050600</c:v>
                </c:pt>
                <c:pt idx="793">
                  <c:v>169379</c:v>
                </c:pt>
                <c:pt idx="794">
                  <c:v>61644321</c:v>
                </c:pt>
                <c:pt idx="795">
                  <c:v>402296318</c:v>
                </c:pt>
                <c:pt idx="797">
                  <c:v>439958</c:v>
                </c:pt>
                <c:pt idx="798">
                  <c:v>13838130</c:v>
                </c:pt>
                <c:pt idx="799">
                  <c:v>12495865</c:v>
                </c:pt>
                <c:pt idx="800">
                  <c:v>22433915</c:v>
                </c:pt>
                <c:pt idx="801">
                  <c:v>20300000</c:v>
                </c:pt>
                <c:pt idx="802">
                  <c:v>6670712</c:v>
                </c:pt>
                <c:pt idx="803">
                  <c:v>78745923</c:v>
                </c:pt>
                <c:pt idx="804">
                  <c:v>7871693</c:v>
                </c:pt>
                <c:pt idx="805">
                  <c:v>325491</c:v>
                </c:pt>
                <c:pt idx="806">
                  <c:v>7563397</c:v>
                </c:pt>
                <c:pt idx="807">
                  <c:v>119922</c:v>
                </c:pt>
                <c:pt idx="808">
                  <c:v>243347</c:v>
                </c:pt>
                <c:pt idx="809">
                  <c:v>206678</c:v>
                </c:pt>
                <c:pt idx="810">
                  <c:v>326384228</c:v>
                </c:pt>
                <c:pt idx="812">
                  <c:v>1789892</c:v>
                </c:pt>
                <c:pt idx="813">
                  <c:v>136007</c:v>
                </c:pt>
                <c:pt idx="814">
                  <c:v>122012710</c:v>
                </c:pt>
                <c:pt idx="815">
                  <c:v>57750000</c:v>
                </c:pt>
                <c:pt idx="816">
                  <c:v>24138847</c:v>
                </c:pt>
                <c:pt idx="817">
                  <c:v>3151130</c:v>
                </c:pt>
                <c:pt idx="818">
                  <c:v>137340146</c:v>
                </c:pt>
                <c:pt idx="819">
                  <c:v>84049211</c:v>
                </c:pt>
                <c:pt idx="820">
                  <c:v>36985501</c:v>
                </c:pt>
                <c:pt idx="821">
                  <c:v>444354</c:v>
                </c:pt>
                <c:pt idx="822">
                  <c:v>128300000</c:v>
                </c:pt>
                <c:pt idx="825">
                  <c:v>33987757</c:v>
                </c:pt>
                <c:pt idx="827">
                  <c:v>27098580</c:v>
                </c:pt>
                <c:pt idx="828">
                  <c:v>119793567</c:v>
                </c:pt>
                <c:pt idx="829">
                  <c:v>124870275</c:v>
                </c:pt>
                <c:pt idx="830">
                  <c:v>80034302</c:v>
                </c:pt>
                <c:pt idx="831">
                  <c:v>4992159</c:v>
                </c:pt>
                <c:pt idx="832">
                  <c:v>56631572</c:v>
                </c:pt>
                <c:pt idx="833">
                  <c:v>67253092</c:v>
                </c:pt>
                <c:pt idx="834">
                  <c:v>79900000</c:v>
                </c:pt>
                <c:pt idx="835">
                  <c:v>6109075</c:v>
                </c:pt>
                <c:pt idx="836">
                  <c:v>197148</c:v>
                </c:pt>
                <c:pt idx="837">
                  <c:v>8104069</c:v>
                </c:pt>
                <c:pt idx="840">
                  <c:v>95632614</c:v>
                </c:pt>
                <c:pt idx="841">
                  <c:v>40048332</c:v>
                </c:pt>
                <c:pt idx="842">
                  <c:v>100003492</c:v>
                </c:pt>
                <c:pt idx="843">
                  <c:v>4693919</c:v>
                </c:pt>
                <c:pt idx="844">
                  <c:v>36665854</c:v>
                </c:pt>
                <c:pt idx="845">
                  <c:v>117560</c:v>
                </c:pt>
                <c:pt idx="846">
                  <c:v>377420</c:v>
                </c:pt>
                <c:pt idx="848">
                  <c:v>3105269</c:v>
                </c:pt>
                <c:pt idx="849">
                  <c:v>318622</c:v>
                </c:pt>
                <c:pt idx="850">
                  <c:v>101087161</c:v>
                </c:pt>
                <c:pt idx="851">
                  <c:v>75134880</c:v>
                </c:pt>
                <c:pt idx="852">
                  <c:v>26400000</c:v>
                </c:pt>
                <c:pt idx="853">
                  <c:v>34531832</c:v>
                </c:pt>
                <c:pt idx="855">
                  <c:v>29302097</c:v>
                </c:pt>
                <c:pt idx="856">
                  <c:v>12212417</c:v>
                </c:pt>
                <c:pt idx="857">
                  <c:v>81022333</c:v>
                </c:pt>
                <c:pt idx="858">
                  <c:v>8054280</c:v>
                </c:pt>
                <c:pt idx="860">
                  <c:v>76081498</c:v>
                </c:pt>
                <c:pt idx="862">
                  <c:v>100853835</c:v>
                </c:pt>
                <c:pt idx="863">
                  <c:v>75638743</c:v>
                </c:pt>
                <c:pt idx="865">
                  <c:v>66489425</c:v>
                </c:pt>
                <c:pt idx="866">
                  <c:v>871577</c:v>
                </c:pt>
                <c:pt idx="867">
                  <c:v>379122</c:v>
                </c:pt>
                <c:pt idx="868">
                  <c:v>68856263</c:v>
                </c:pt>
                <c:pt idx="869">
                  <c:v>44886089</c:v>
                </c:pt>
                <c:pt idx="870">
                  <c:v>44867349</c:v>
                </c:pt>
                <c:pt idx="871">
                  <c:v>32051917</c:v>
                </c:pt>
                <c:pt idx="872">
                  <c:v>352786</c:v>
                </c:pt>
                <c:pt idx="873">
                  <c:v>75280058</c:v>
                </c:pt>
                <c:pt idx="874">
                  <c:v>756452</c:v>
                </c:pt>
                <c:pt idx="875">
                  <c:v>23978402</c:v>
                </c:pt>
                <c:pt idx="876">
                  <c:v>53337608</c:v>
                </c:pt>
                <c:pt idx="879">
                  <c:v>20218921</c:v>
                </c:pt>
                <c:pt idx="880">
                  <c:v>109176215</c:v>
                </c:pt>
                <c:pt idx="881">
                  <c:v>58918501</c:v>
                </c:pt>
                <c:pt idx="882">
                  <c:v>2246000</c:v>
                </c:pt>
                <c:pt idx="883">
                  <c:v>34522221</c:v>
                </c:pt>
                <c:pt idx="884">
                  <c:v>60786269</c:v>
                </c:pt>
                <c:pt idx="885">
                  <c:v>34604054</c:v>
                </c:pt>
                <c:pt idx="886">
                  <c:v>2899970</c:v>
                </c:pt>
                <c:pt idx="887">
                  <c:v>27829874</c:v>
                </c:pt>
                <c:pt idx="888">
                  <c:v>13630226</c:v>
                </c:pt>
                <c:pt idx="889">
                  <c:v>109114696</c:v>
                </c:pt>
                <c:pt idx="890">
                  <c:v>39462438</c:v>
                </c:pt>
                <c:pt idx="891">
                  <c:v>1954202</c:v>
                </c:pt>
                <c:pt idx="893">
                  <c:v>84244877</c:v>
                </c:pt>
                <c:pt idx="894">
                  <c:v>16929123</c:v>
                </c:pt>
                <c:pt idx="895">
                  <c:v>62480</c:v>
                </c:pt>
                <c:pt idx="897">
                  <c:v>109712885</c:v>
                </c:pt>
                <c:pt idx="898">
                  <c:v>14000000</c:v>
                </c:pt>
                <c:pt idx="902">
                  <c:v>14268533</c:v>
                </c:pt>
                <c:pt idx="903">
                  <c:v>91400000</c:v>
                </c:pt>
                <c:pt idx="904">
                  <c:v>141853</c:v>
                </c:pt>
                <c:pt idx="905">
                  <c:v>109306210</c:v>
                </c:pt>
                <c:pt idx="906">
                  <c:v>25590119</c:v>
                </c:pt>
                <c:pt idx="907">
                  <c:v>174635000</c:v>
                </c:pt>
                <c:pt idx="908">
                  <c:v>13640000</c:v>
                </c:pt>
                <c:pt idx="910">
                  <c:v>7009668</c:v>
                </c:pt>
                <c:pt idx="911">
                  <c:v>74377334</c:v>
                </c:pt>
                <c:pt idx="912">
                  <c:v>128067808</c:v>
                </c:pt>
                <c:pt idx="914">
                  <c:v>38201895</c:v>
                </c:pt>
                <c:pt idx="915">
                  <c:v>5899797</c:v>
                </c:pt>
                <c:pt idx="916">
                  <c:v>10042266</c:v>
                </c:pt>
                <c:pt idx="918">
                  <c:v>489220</c:v>
                </c:pt>
                <c:pt idx="919">
                  <c:v>58336565</c:v>
                </c:pt>
                <c:pt idx="920">
                  <c:v>6565495</c:v>
                </c:pt>
                <c:pt idx="921">
                  <c:v>19294901</c:v>
                </c:pt>
                <c:pt idx="922">
                  <c:v>11000000</c:v>
                </c:pt>
                <c:pt idx="924">
                  <c:v>7455447</c:v>
                </c:pt>
                <c:pt idx="925">
                  <c:v>96793</c:v>
                </c:pt>
                <c:pt idx="927">
                  <c:v>13235267</c:v>
                </c:pt>
                <c:pt idx="928">
                  <c:v>104148781</c:v>
                </c:pt>
                <c:pt idx="929">
                  <c:v>150315155</c:v>
                </c:pt>
                <c:pt idx="930">
                  <c:v>27296514</c:v>
                </c:pt>
                <c:pt idx="932">
                  <c:v>1007535</c:v>
                </c:pt>
                <c:pt idx="933">
                  <c:v>25615792</c:v>
                </c:pt>
                <c:pt idx="934">
                  <c:v>4157491</c:v>
                </c:pt>
                <c:pt idx="935">
                  <c:v>565592</c:v>
                </c:pt>
                <c:pt idx="936">
                  <c:v>184208848</c:v>
                </c:pt>
                <c:pt idx="938">
                  <c:v>69400000</c:v>
                </c:pt>
                <c:pt idx="939">
                  <c:v>5348317</c:v>
                </c:pt>
                <c:pt idx="940">
                  <c:v>67155742</c:v>
                </c:pt>
                <c:pt idx="943">
                  <c:v>9059588</c:v>
                </c:pt>
                <c:pt idx="944">
                  <c:v>14337579</c:v>
                </c:pt>
                <c:pt idx="945">
                  <c:v>79711678</c:v>
                </c:pt>
                <c:pt idx="946">
                  <c:v>25472967</c:v>
                </c:pt>
                <c:pt idx="947">
                  <c:v>32131483</c:v>
                </c:pt>
                <c:pt idx="948">
                  <c:v>22160085</c:v>
                </c:pt>
                <c:pt idx="949">
                  <c:v>793352</c:v>
                </c:pt>
                <c:pt idx="950">
                  <c:v>5000000</c:v>
                </c:pt>
                <c:pt idx="951">
                  <c:v>11433134</c:v>
                </c:pt>
                <c:pt idx="952">
                  <c:v>48546578</c:v>
                </c:pt>
                <c:pt idx="953">
                  <c:v>98711404</c:v>
                </c:pt>
                <c:pt idx="954">
                  <c:v>11694528</c:v>
                </c:pt>
                <c:pt idx="956">
                  <c:v>117771270</c:v>
                </c:pt>
                <c:pt idx="957">
                  <c:v>208543795</c:v>
                </c:pt>
                <c:pt idx="961">
                  <c:v>29975979</c:v>
                </c:pt>
                <c:pt idx="962">
                  <c:v>32885565</c:v>
                </c:pt>
                <c:pt idx="964">
                  <c:v>82670733</c:v>
                </c:pt>
                <c:pt idx="965">
                  <c:v>7993039</c:v>
                </c:pt>
                <c:pt idx="967">
                  <c:v>10880926</c:v>
                </c:pt>
                <c:pt idx="968">
                  <c:v>15062898</c:v>
                </c:pt>
                <c:pt idx="969">
                  <c:v>39025000</c:v>
                </c:pt>
                <c:pt idx="970">
                  <c:v>6013</c:v>
                </c:pt>
                <c:pt idx="971">
                  <c:v>95860116</c:v>
                </c:pt>
                <c:pt idx="972">
                  <c:v>41709</c:v>
                </c:pt>
                <c:pt idx="973">
                  <c:v>65804</c:v>
                </c:pt>
                <c:pt idx="976">
                  <c:v>363024263</c:v>
                </c:pt>
                <c:pt idx="977">
                  <c:v>1340891</c:v>
                </c:pt>
                <c:pt idx="978">
                  <c:v>80014842</c:v>
                </c:pt>
                <c:pt idx="979">
                  <c:v>23106</c:v>
                </c:pt>
                <c:pt idx="980">
                  <c:v>17159368</c:v>
                </c:pt>
                <c:pt idx="981">
                  <c:v>58422650</c:v>
                </c:pt>
                <c:pt idx="984">
                  <c:v>36064910</c:v>
                </c:pt>
                <c:pt idx="985">
                  <c:v>9525276</c:v>
                </c:pt>
                <c:pt idx="986">
                  <c:v>8355815</c:v>
                </c:pt>
                <c:pt idx="987">
                  <c:v>151389</c:v>
                </c:pt>
                <c:pt idx="988">
                  <c:v>35092918</c:v>
                </c:pt>
                <c:pt idx="989">
                  <c:v>10569071</c:v>
                </c:pt>
                <c:pt idx="991">
                  <c:v>73648142</c:v>
                </c:pt>
                <c:pt idx="992">
                  <c:v>140459099</c:v>
                </c:pt>
                <c:pt idx="993">
                  <c:v>11146409</c:v>
                </c:pt>
                <c:pt idx="995">
                  <c:v>37606</c:v>
                </c:pt>
                <c:pt idx="997">
                  <c:v>31973840</c:v>
                </c:pt>
                <c:pt idx="998">
                  <c:v>821997</c:v>
                </c:pt>
                <c:pt idx="999">
                  <c:v>894186</c:v>
                </c:pt>
                <c:pt idx="1001">
                  <c:v>511920</c:v>
                </c:pt>
                <c:pt idx="1002">
                  <c:v>30523568</c:v>
                </c:pt>
                <c:pt idx="1003">
                  <c:v>30659817</c:v>
                </c:pt>
                <c:pt idx="1004">
                  <c:v>13337299</c:v>
                </c:pt>
                <c:pt idx="1007">
                  <c:v>36020063</c:v>
                </c:pt>
                <c:pt idx="1008">
                  <c:v>99147</c:v>
                </c:pt>
                <c:pt idx="1009">
                  <c:v>143653</c:v>
                </c:pt>
                <c:pt idx="1010">
                  <c:v>25625110</c:v>
                </c:pt>
                <c:pt idx="1011">
                  <c:v>368049635</c:v>
                </c:pt>
                <c:pt idx="1012">
                  <c:v>251501645</c:v>
                </c:pt>
                <c:pt idx="1014">
                  <c:v>1332</c:v>
                </c:pt>
                <c:pt idx="1016">
                  <c:v>144583</c:v>
                </c:pt>
                <c:pt idx="1017">
                  <c:v>4193025</c:v>
                </c:pt>
                <c:pt idx="1018">
                  <c:v>22264487</c:v>
                </c:pt>
                <c:pt idx="1019">
                  <c:v>65535067</c:v>
                </c:pt>
                <c:pt idx="1020">
                  <c:v>6044618</c:v>
                </c:pt>
                <c:pt idx="1021">
                  <c:v>33583175</c:v>
                </c:pt>
                <c:pt idx="1022">
                  <c:v>15818967</c:v>
                </c:pt>
                <c:pt idx="1024">
                  <c:v>43800000</c:v>
                </c:pt>
                <c:pt idx="1025">
                  <c:v>50382128</c:v>
                </c:pt>
                <c:pt idx="1026">
                  <c:v>64001297</c:v>
                </c:pt>
                <c:pt idx="1027">
                  <c:v>49002815</c:v>
                </c:pt>
                <c:pt idx="1028">
                  <c:v>52691009</c:v>
                </c:pt>
                <c:pt idx="1029">
                  <c:v>952620</c:v>
                </c:pt>
                <c:pt idx="1030">
                  <c:v>103738726</c:v>
                </c:pt>
                <c:pt idx="1031">
                  <c:v>6241697</c:v>
                </c:pt>
                <c:pt idx="1032">
                  <c:v>22734486</c:v>
                </c:pt>
                <c:pt idx="1033">
                  <c:v>29580087</c:v>
                </c:pt>
                <c:pt idx="1034">
                  <c:v>160201106</c:v>
                </c:pt>
                <c:pt idx="1035">
                  <c:v>117541000</c:v>
                </c:pt>
                <c:pt idx="1036">
                  <c:v>100012500</c:v>
                </c:pt>
                <c:pt idx="1037">
                  <c:v>81350242</c:v>
                </c:pt>
                <c:pt idx="1038">
                  <c:v>9628751</c:v>
                </c:pt>
                <c:pt idx="1039">
                  <c:v>129319</c:v>
                </c:pt>
                <c:pt idx="1040">
                  <c:v>14100000</c:v>
                </c:pt>
                <c:pt idx="1041">
                  <c:v>72980108</c:v>
                </c:pt>
                <c:pt idx="1042">
                  <c:v>110000</c:v>
                </c:pt>
                <c:pt idx="1043">
                  <c:v>137748063</c:v>
                </c:pt>
                <c:pt idx="1044">
                  <c:v>35537564</c:v>
                </c:pt>
                <c:pt idx="1045">
                  <c:v>8111360</c:v>
                </c:pt>
                <c:pt idx="1046">
                  <c:v>9975684</c:v>
                </c:pt>
                <c:pt idx="1047">
                  <c:v>14174654</c:v>
                </c:pt>
                <c:pt idx="1048">
                  <c:v>83000000</c:v>
                </c:pt>
                <c:pt idx="1049">
                  <c:v>115646235</c:v>
                </c:pt>
                <c:pt idx="1050">
                  <c:v>1197786</c:v>
                </c:pt>
                <c:pt idx="1051">
                  <c:v>160100342</c:v>
                </c:pt>
                <c:pt idx="1052">
                  <c:v>17411331</c:v>
                </c:pt>
                <c:pt idx="1053">
                  <c:v>150832203</c:v>
                </c:pt>
                <c:pt idx="1054">
                  <c:v>69586544</c:v>
                </c:pt>
                <c:pt idx="1055">
                  <c:v>162804648</c:v>
                </c:pt>
                <c:pt idx="1056">
                  <c:v>27545445</c:v>
                </c:pt>
                <c:pt idx="1057">
                  <c:v>12985267</c:v>
                </c:pt>
                <c:pt idx="1058">
                  <c:v>480314</c:v>
                </c:pt>
                <c:pt idx="1060">
                  <c:v>144156464</c:v>
                </c:pt>
                <c:pt idx="1061">
                  <c:v>111722000</c:v>
                </c:pt>
                <c:pt idx="1062">
                  <c:v>228648144</c:v>
                </c:pt>
                <c:pt idx="1063">
                  <c:v>30651422</c:v>
                </c:pt>
                <c:pt idx="1064">
                  <c:v>110197</c:v>
                </c:pt>
                <c:pt idx="1065">
                  <c:v>1293295</c:v>
                </c:pt>
                <c:pt idx="1066">
                  <c:v>42019483</c:v>
                </c:pt>
                <c:pt idx="1067">
                  <c:v>72279690</c:v>
                </c:pt>
                <c:pt idx="1068">
                  <c:v>7518876</c:v>
                </c:pt>
                <c:pt idx="1069">
                  <c:v>518134</c:v>
                </c:pt>
                <c:pt idx="1070">
                  <c:v>45207112</c:v>
                </c:pt>
                <c:pt idx="1071">
                  <c:v>10137232</c:v>
                </c:pt>
                <c:pt idx="1072">
                  <c:v>24475193</c:v>
                </c:pt>
                <c:pt idx="1073">
                  <c:v>22200000</c:v>
                </c:pt>
                <c:pt idx="1075">
                  <c:v>18378</c:v>
                </c:pt>
                <c:pt idx="1076">
                  <c:v>41954997</c:v>
                </c:pt>
                <c:pt idx="1077">
                  <c:v>727883</c:v>
                </c:pt>
                <c:pt idx="1079">
                  <c:v>24042490</c:v>
                </c:pt>
                <c:pt idx="1080">
                  <c:v>54997476</c:v>
                </c:pt>
                <c:pt idx="1081">
                  <c:v>7382993</c:v>
                </c:pt>
                <c:pt idx="1082">
                  <c:v>28031250</c:v>
                </c:pt>
                <c:pt idx="1083">
                  <c:v>10955425</c:v>
                </c:pt>
                <c:pt idx="1084">
                  <c:v>17474107</c:v>
                </c:pt>
                <c:pt idx="1085">
                  <c:v>30102717</c:v>
                </c:pt>
                <c:pt idx="1086">
                  <c:v>116735231</c:v>
                </c:pt>
                <c:pt idx="1087">
                  <c:v>20218</c:v>
                </c:pt>
                <c:pt idx="1088">
                  <c:v>33422556</c:v>
                </c:pt>
                <c:pt idx="1089">
                  <c:v>19421271</c:v>
                </c:pt>
                <c:pt idx="1090">
                  <c:v>58936</c:v>
                </c:pt>
                <c:pt idx="1092">
                  <c:v>568695</c:v>
                </c:pt>
                <c:pt idx="1093">
                  <c:v>9609</c:v>
                </c:pt>
                <c:pt idx="1094">
                  <c:v>64172251</c:v>
                </c:pt>
                <c:pt idx="1095">
                  <c:v>20035310</c:v>
                </c:pt>
                <c:pt idx="1096">
                  <c:v>5501940</c:v>
                </c:pt>
                <c:pt idx="1097">
                  <c:v>112950721</c:v>
                </c:pt>
                <c:pt idx="1098">
                  <c:v>16067035</c:v>
                </c:pt>
                <c:pt idx="1100">
                  <c:v>33000377</c:v>
                </c:pt>
                <c:pt idx="1101">
                  <c:v>55942830</c:v>
                </c:pt>
                <c:pt idx="1102">
                  <c:v>39659</c:v>
                </c:pt>
                <c:pt idx="1103">
                  <c:v>28831145</c:v>
                </c:pt>
                <c:pt idx="1104">
                  <c:v>42057340</c:v>
                </c:pt>
                <c:pt idx="1105">
                  <c:v>72413</c:v>
                </c:pt>
                <c:pt idx="1108">
                  <c:v>10956379</c:v>
                </c:pt>
                <c:pt idx="1109">
                  <c:v>9353573</c:v>
                </c:pt>
                <c:pt idx="1110">
                  <c:v>30063805</c:v>
                </c:pt>
                <c:pt idx="1111">
                  <c:v>51317350</c:v>
                </c:pt>
                <c:pt idx="1112">
                  <c:v>6000000</c:v>
                </c:pt>
                <c:pt idx="1113">
                  <c:v>21283440</c:v>
                </c:pt>
                <c:pt idx="1114">
                  <c:v>464655</c:v>
                </c:pt>
                <c:pt idx="1115">
                  <c:v>33685268</c:v>
                </c:pt>
                <c:pt idx="1116">
                  <c:v>32701088</c:v>
                </c:pt>
                <c:pt idx="1117">
                  <c:v>103338338</c:v>
                </c:pt>
                <c:pt idx="1118">
                  <c:v>7680</c:v>
                </c:pt>
                <c:pt idx="1119">
                  <c:v>26803366</c:v>
                </c:pt>
                <c:pt idx="1120">
                  <c:v>31899000</c:v>
                </c:pt>
                <c:pt idx="1121">
                  <c:v>32853640</c:v>
                </c:pt>
                <c:pt idx="1122">
                  <c:v>342936</c:v>
                </c:pt>
                <c:pt idx="1123">
                  <c:v>10706786</c:v>
                </c:pt>
                <c:pt idx="1125">
                  <c:v>17843379</c:v>
                </c:pt>
                <c:pt idx="1126">
                  <c:v>35054909</c:v>
                </c:pt>
                <c:pt idx="1127">
                  <c:v>32616869</c:v>
                </c:pt>
                <c:pt idx="1128">
                  <c:v>238774</c:v>
                </c:pt>
                <c:pt idx="1129">
                  <c:v>106593296</c:v>
                </c:pt>
                <c:pt idx="1130">
                  <c:v>10561238</c:v>
                </c:pt>
                <c:pt idx="1131">
                  <c:v>15427192</c:v>
                </c:pt>
                <c:pt idx="1132">
                  <c:v>56398162</c:v>
                </c:pt>
                <c:pt idx="1134">
                  <c:v>46729374</c:v>
                </c:pt>
                <c:pt idx="1136">
                  <c:v>9694105</c:v>
                </c:pt>
                <c:pt idx="1137">
                  <c:v>100448498</c:v>
                </c:pt>
                <c:pt idx="1138">
                  <c:v>20400000</c:v>
                </c:pt>
                <c:pt idx="1139">
                  <c:v>4734235</c:v>
                </c:pt>
                <c:pt idx="1140">
                  <c:v>563699</c:v>
                </c:pt>
                <c:pt idx="1141">
                  <c:v>860002</c:v>
                </c:pt>
                <c:pt idx="1142">
                  <c:v>127175354</c:v>
                </c:pt>
                <c:pt idx="1143">
                  <c:v>86208010</c:v>
                </c:pt>
                <c:pt idx="1144">
                  <c:v>26096584</c:v>
                </c:pt>
                <c:pt idx="1145">
                  <c:v>27400000</c:v>
                </c:pt>
                <c:pt idx="1147">
                  <c:v>9652000</c:v>
                </c:pt>
                <c:pt idx="1148">
                  <c:v>40559930</c:v>
                </c:pt>
                <c:pt idx="1152">
                  <c:v>1183354</c:v>
                </c:pt>
                <c:pt idx="1154">
                  <c:v>2223990</c:v>
                </c:pt>
                <c:pt idx="1155">
                  <c:v>434949459</c:v>
                </c:pt>
                <c:pt idx="1156">
                  <c:v>101111837</c:v>
                </c:pt>
                <c:pt idx="1157">
                  <c:v>38916903</c:v>
                </c:pt>
                <c:pt idx="1158">
                  <c:v>528972</c:v>
                </c:pt>
                <c:pt idx="1159">
                  <c:v>4170647</c:v>
                </c:pt>
                <c:pt idx="1160">
                  <c:v>17114882</c:v>
                </c:pt>
                <c:pt idx="1161">
                  <c:v>58401464</c:v>
                </c:pt>
                <c:pt idx="1162">
                  <c:v>188870</c:v>
                </c:pt>
                <c:pt idx="1163">
                  <c:v>2656324</c:v>
                </c:pt>
                <c:pt idx="1164">
                  <c:v>80574010</c:v>
                </c:pt>
                <c:pt idx="1167">
                  <c:v>5887457</c:v>
                </c:pt>
                <c:pt idx="1168">
                  <c:v>31571264</c:v>
                </c:pt>
                <c:pt idx="1169">
                  <c:v>1521</c:v>
                </c:pt>
                <c:pt idx="1170">
                  <c:v>5824</c:v>
                </c:pt>
                <c:pt idx="1172">
                  <c:v>43290977</c:v>
                </c:pt>
                <c:pt idx="1173">
                  <c:v>100189501</c:v>
                </c:pt>
                <c:pt idx="1174">
                  <c:v>131617</c:v>
                </c:pt>
                <c:pt idx="1175">
                  <c:v>22362500</c:v>
                </c:pt>
                <c:pt idx="1176">
                  <c:v>56362352</c:v>
                </c:pt>
                <c:pt idx="1177">
                  <c:v>81593527</c:v>
                </c:pt>
                <c:pt idx="1178">
                  <c:v>17266505</c:v>
                </c:pt>
                <c:pt idx="1179">
                  <c:v>5709616</c:v>
                </c:pt>
                <c:pt idx="1180">
                  <c:v>2040920</c:v>
                </c:pt>
                <c:pt idx="1181">
                  <c:v>14879556</c:v>
                </c:pt>
                <c:pt idx="1182">
                  <c:v>24407944</c:v>
                </c:pt>
                <c:pt idx="1183">
                  <c:v>173381405</c:v>
                </c:pt>
                <c:pt idx="1184">
                  <c:v>8060</c:v>
                </c:pt>
                <c:pt idx="1185">
                  <c:v>30012990</c:v>
                </c:pt>
                <c:pt idx="1186">
                  <c:v>16264475</c:v>
                </c:pt>
                <c:pt idx="1187">
                  <c:v>26838389</c:v>
                </c:pt>
                <c:pt idx="1188">
                  <c:v>22913677</c:v>
                </c:pt>
                <c:pt idx="1189">
                  <c:v>313436</c:v>
                </c:pt>
                <c:pt idx="1192">
                  <c:v>93050117</c:v>
                </c:pt>
                <c:pt idx="1196">
                  <c:v>28435406</c:v>
                </c:pt>
                <c:pt idx="1197">
                  <c:v>127706877</c:v>
                </c:pt>
                <c:pt idx="1198">
                  <c:v>66862068</c:v>
                </c:pt>
                <c:pt idx="1199">
                  <c:v>11703287</c:v>
                </c:pt>
                <c:pt idx="1200">
                  <c:v>40983001</c:v>
                </c:pt>
                <c:pt idx="1201">
                  <c:v>61656849</c:v>
                </c:pt>
                <c:pt idx="1202">
                  <c:v>23393765</c:v>
                </c:pt>
                <c:pt idx="1203">
                  <c:v>51396781</c:v>
                </c:pt>
                <c:pt idx="1204">
                  <c:v>111544445</c:v>
                </c:pt>
                <c:pt idx="1205">
                  <c:v>17536788</c:v>
                </c:pt>
                <c:pt idx="1206">
                  <c:v>39177215</c:v>
                </c:pt>
                <c:pt idx="1209">
                  <c:v>336467</c:v>
                </c:pt>
                <c:pt idx="1211">
                  <c:v>87704396</c:v>
                </c:pt>
                <c:pt idx="1212">
                  <c:v>12181484</c:v>
                </c:pt>
                <c:pt idx="1213">
                  <c:v>39737645</c:v>
                </c:pt>
                <c:pt idx="1214">
                  <c:v>107515297</c:v>
                </c:pt>
                <c:pt idx="1215">
                  <c:v>1190018</c:v>
                </c:pt>
                <c:pt idx="1216">
                  <c:v>75030163</c:v>
                </c:pt>
                <c:pt idx="1217">
                  <c:v>101228120</c:v>
                </c:pt>
                <c:pt idx="1219">
                  <c:v>125548685</c:v>
                </c:pt>
                <c:pt idx="1220">
                  <c:v>71442</c:v>
                </c:pt>
                <c:pt idx="1221">
                  <c:v>36500000</c:v>
                </c:pt>
                <c:pt idx="1222">
                  <c:v>25407250</c:v>
                </c:pt>
                <c:pt idx="1223">
                  <c:v>25244700</c:v>
                </c:pt>
                <c:pt idx="1224">
                  <c:v>57011847</c:v>
                </c:pt>
                <c:pt idx="1226">
                  <c:v>169719</c:v>
                </c:pt>
                <c:pt idx="1227">
                  <c:v>25121291</c:v>
                </c:pt>
                <c:pt idx="1228">
                  <c:v>106869</c:v>
                </c:pt>
                <c:pt idx="1229">
                  <c:v>34126138</c:v>
                </c:pt>
                <c:pt idx="1230">
                  <c:v>70527</c:v>
                </c:pt>
                <c:pt idx="1232">
                  <c:v>17718223</c:v>
                </c:pt>
                <c:pt idx="1233">
                  <c:v>100289690</c:v>
                </c:pt>
                <c:pt idx="1234">
                  <c:v>26616590</c:v>
                </c:pt>
                <c:pt idx="1235">
                  <c:v>65703412</c:v>
                </c:pt>
                <c:pt idx="1236">
                  <c:v>43247140</c:v>
                </c:pt>
                <c:pt idx="1237">
                  <c:v>8855646</c:v>
                </c:pt>
                <c:pt idx="1238">
                  <c:v>9714482</c:v>
                </c:pt>
                <c:pt idx="1239">
                  <c:v>2711210</c:v>
                </c:pt>
                <c:pt idx="1242">
                  <c:v>14821531</c:v>
                </c:pt>
                <c:pt idx="1243">
                  <c:v>5923044</c:v>
                </c:pt>
                <c:pt idx="1244">
                  <c:v>54239856</c:v>
                </c:pt>
                <c:pt idx="1245">
                  <c:v>49994804</c:v>
                </c:pt>
                <c:pt idx="1247">
                  <c:v>25440971</c:v>
                </c:pt>
                <c:pt idx="1249">
                  <c:v>1200000</c:v>
                </c:pt>
                <c:pt idx="1250">
                  <c:v>68750000</c:v>
                </c:pt>
                <c:pt idx="1252">
                  <c:v>49413</c:v>
                </c:pt>
                <c:pt idx="1253">
                  <c:v>2840417</c:v>
                </c:pt>
                <c:pt idx="1254">
                  <c:v>51758599</c:v>
                </c:pt>
                <c:pt idx="1255">
                  <c:v>130014090</c:v>
                </c:pt>
                <c:pt idx="1257">
                  <c:v>41814863</c:v>
                </c:pt>
                <c:pt idx="1258">
                  <c:v>5132222</c:v>
                </c:pt>
                <c:pt idx="1259">
                  <c:v>10814185</c:v>
                </c:pt>
                <c:pt idx="1260">
                  <c:v>11854694</c:v>
                </c:pt>
                <c:pt idx="1261">
                  <c:v>17305211</c:v>
                </c:pt>
                <c:pt idx="1263">
                  <c:v>4835968</c:v>
                </c:pt>
                <c:pt idx="1264">
                  <c:v>31836745</c:v>
                </c:pt>
                <c:pt idx="1265">
                  <c:v>53146000</c:v>
                </c:pt>
                <c:pt idx="1266">
                  <c:v>16459004</c:v>
                </c:pt>
                <c:pt idx="1267">
                  <c:v>71904</c:v>
                </c:pt>
                <c:pt idx="1269">
                  <c:v>55637680</c:v>
                </c:pt>
                <c:pt idx="1271">
                  <c:v>25918</c:v>
                </c:pt>
                <c:pt idx="1272">
                  <c:v>112225777</c:v>
                </c:pt>
                <c:pt idx="1273">
                  <c:v>10174663</c:v>
                </c:pt>
                <c:pt idx="1274">
                  <c:v>1654367</c:v>
                </c:pt>
                <c:pt idx="1275">
                  <c:v>119078393</c:v>
                </c:pt>
                <c:pt idx="1276">
                  <c:v>88658172</c:v>
                </c:pt>
                <c:pt idx="1277">
                  <c:v>9528092</c:v>
                </c:pt>
                <c:pt idx="1280">
                  <c:v>2104000</c:v>
                </c:pt>
                <c:pt idx="1281">
                  <c:v>8691</c:v>
                </c:pt>
                <c:pt idx="1282">
                  <c:v>22452209</c:v>
                </c:pt>
                <c:pt idx="1284">
                  <c:v>60507228</c:v>
                </c:pt>
                <c:pt idx="1285">
                  <c:v>76400000</c:v>
                </c:pt>
                <c:pt idx="1286">
                  <c:v>131920333</c:v>
                </c:pt>
                <c:pt idx="1287">
                  <c:v>112228442</c:v>
                </c:pt>
                <c:pt idx="1288">
                  <c:v>20999103</c:v>
                </c:pt>
                <c:pt idx="1289">
                  <c:v>15854988</c:v>
                </c:pt>
                <c:pt idx="1293">
                  <c:v>16066</c:v>
                </c:pt>
                <c:pt idx="1294">
                  <c:v>209805005</c:v>
                </c:pt>
                <c:pt idx="1296">
                  <c:v>23225911</c:v>
                </c:pt>
                <c:pt idx="1297">
                  <c:v>48114556</c:v>
                </c:pt>
                <c:pt idx="1299">
                  <c:v>156645693</c:v>
                </c:pt>
                <c:pt idx="1300">
                  <c:v>195888</c:v>
                </c:pt>
                <c:pt idx="1301">
                  <c:v>10562387</c:v>
                </c:pt>
                <c:pt idx="1303">
                  <c:v>13208023</c:v>
                </c:pt>
                <c:pt idx="1305">
                  <c:v>819852</c:v>
                </c:pt>
                <c:pt idx="1306">
                  <c:v>6592103</c:v>
                </c:pt>
                <c:pt idx="1308">
                  <c:v>42071069</c:v>
                </c:pt>
                <c:pt idx="1309">
                  <c:v>50000000</c:v>
                </c:pt>
                <c:pt idx="1310">
                  <c:v>298110</c:v>
                </c:pt>
                <c:pt idx="1312">
                  <c:v>11675178</c:v>
                </c:pt>
                <c:pt idx="1313">
                  <c:v>166147885</c:v>
                </c:pt>
                <c:pt idx="1314">
                  <c:v>37023395</c:v>
                </c:pt>
                <c:pt idx="1317">
                  <c:v>5199</c:v>
                </c:pt>
                <c:pt idx="1318">
                  <c:v>2833383</c:v>
                </c:pt>
                <c:pt idx="1319">
                  <c:v>46455802</c:v>
                </c:pt>
                <c:pt idx="1320">
                  <c:v>54098051</c:v>
                </c:pt>
                <c:pt idx="1321">
                  <c:v>42575718</c:v>
                </c:pt>
                <c:pt idx="1322">
                  <c:v>53302314</c:v>
                </c:pt>
                <c:pt idx="1323">
                  <c:v>32131830</c:v>
                </c:pt>
                <c:pt idx="1324">
                  <c:v>1172769</c:v>
                </c:pt>
                <c:pt idx="1325">
                  <c:v>51768623</c:v>
                </c:pt>
                <c:pt idx="1326">
                  <c:v>380838870</c:v>
                </c:pt>
                <c:pt idx="1327">
                  <c:v>51676606</c:v>
                </c:pt>
                <c:pt idx="1328">
                  <c:v>52850</c:v>
                </c:pt>
                <c:pt idx="1330">
                  <c:v>46700000</c:v>
                </c:pt>
                <c:pt idx="1331">
                  <c:v>33451479</c:v>
                </c:pt>
                <c:pt idx="1332">
                  <c:v>15100000</c:v>
                </c:pt>
                <c:pt idx="1334">
                  <c:v>48745150</c:v>
                </c:pt>
                <c:pt idx="1336">
                  <c:v>37600435</c:v>
                </c:pt>
                <c:pt idx="1337">
                  <c:v>40542</c:v>
                </c:pt>
                <c:pt idx="1338">
                  <c:v>373060</c:v>
                </c:pt>
                <c:pt idx="1339">
                  <c:v>610991</c:v>
                </c:pt>
                <c:pt idx="1340">
                  <c:v>33574332</c:v>
                </c:pt>
                <c:pt idx="1341">
                  <c:v>145109</c:v>
                </c:pt>
                <c:pt idx="1343">
                  <c:v>4234040</c:v>
                </c:pt>
                <c:pt idx="1344">
                  <c:v>94900000</c:v>
                </c:pt>
                <c:pt idx="1345">
                  <c:v>61490000</c:v>
                </c:pt>
                <c:pt idx="1346">
                  <c:v>4485485</c:v>
                </c:pt>
                <c:pt idx="1347">
                  <c:v>17100000</c:v>
                </c:pt>
                <c:pt idx="1348">
                  <c:v>20998709</c:v>
                </c:pt>
                <c:pt idx="1349">
                  <c:v>14587732</c:v>
                </c:pt>
                <c:pt idx="1350">
                  <c:v>21009180</c:v>
                </c:pt>
                <c:pt idx="1351">
                  <c:v>93749203</c:v>
                </c:pt>
                <c:pt idx="1352">
                  <c:v>89706988</c:v>
                </c:pt>
                <c:pt idx="1353">
                  <c:v>1752214</c:v>
                </c:pt>
                <c:pt idx="1354">
                  <c:v>20047715</c:v>
                </c:pt>
                <c:pt idx="1355">
                  <c:v>14891000</c:v>
                </c:pt>
                <c:pt idx="1357">
                  <c:v>92969824</c:v>
                </c:pt>
                <c:pt idx="1358">
                  <c:v>64459316</c:v>
                </c:pt>
                <c:pt idx="1359">
                  <c:v>13082288</c:v>
                </c:pt>
                <c:pt idx="1362">
                  <c:v>53846915</c:v>
                </c:pt>
                <c:pt idx="1364">
                  <c:v>4417124</c:v>
                </c:pt>
                <c:pt idx="1366">
                  <c:v>6026908</c:v>
                </c:pt>
                <c:pt idx="1367">
                  <c:v>70224196</c:v>
                </c:pt>
                <c:pt idx="1368">
                  <c:v>160000000</c:v>
                </c:pt>
                <c:pt idx="1369">
                  <c:v>1243961</c:v>
                </c:pt>
                <c:pt idx="1370">
                  <c:v>37721949</c:v>
                </c:pt>
                <c:pt idx="1371">
                  <c:v>5669081</c:v>
                </c:pt>
                <c:pt idx="1372">
                  <c:v>35168395</c:v>
                </c:pt>
                <c:pt idx="1373">
                  <c:v>5542025</c:v>
                </c:pt>
                <c:pt idx="1374">
                  <c:v>62300000</c:v>
                </c:pt>
                <c:pt idx="1377">
                  <c:v>62877175</c:v>
                </c:pt>
                <c:pt idx="1378">
                  <c:v>5204007</c:v>
                </c:pt>
                <c:pt idx="1379">
                  <c:v>329691196</c:v>
                </c:pt>
                <c:pt idx="1381">
                  <c:v>73678</c:v>
                </c:pt>
                <c:pt idx="1382">
                  <c:v>6739141</c:v>
                </c:pt>
                <c:pt idx="1384">
                  <c:v>74484168</c:v>
                </c:pt>
                <c:pt idx="1385">
                  <c:v>120136047</c:v>
                </c:pt>
                <c:pt idx="1386">
                  <c:v>304137</c:v>
                </c:pt>
                <c:pt idx="1387">
                  <c:v>4301331</c:v>
                </c:pt>
                <c:pt idx="1389">
                  <c:v>52700832</c:v>
                </c:pt>
                <c:pt idx="1390">
                  <c:v>13103828</c:v>
                </c:pt>
                <c:pt idx="1391">
                  <c:v>4063238</c:v>
                </c:pt>
                <c:pt idx="1392">
                  <c:v>35287788</c:v>
                </c:pt>
                <c:pt idx="1394">
                  <c:v>100675</c:v>
                </c:pt>
                <c:pt idx="1396">
                  <c:v>110222438</c:v>
                </c:pt>
                <c:pt idx="1397">
                  <c:v>14249005</c:v>
                </c:pt>
                <c:pt idx="1398">
                  <c:v>82163317</c:v>
                </c:pt>
                <c:pt idx="1399">
                  <c:v>34872293</c:v>
                </c:pt>
                <c:pt idx="1400">
                  <c:v>55747724</c:v>
                </c:pt>
                <c:pt idx="1401">
                  <c:v>20389967</c:v>
                </c:pt>
                <c:pt idx="1402">
                  <c:v>140987</c:v>
                </c:pt>
                <c:pt idx="1403">
                  <c:v>36581633</c:v>
                </c:pt>
                <c:pt idx="1405">
                  <c:v>532988</c:v>
                </c:pt>
                <c:pt idx="1409">
                  <c:v>44983704</c:v>
                </c:pt>
                <c:pt idx="1410">
                  <c:v>25776062</c:v>
                </c:pt>
                <c:pt idx="1411">
                  <c:v>32983713</c:v>
                </c:pt>
                <c:pt idx="1413">
                  <c:v>19100000</c:v>
                </c:pt>
                <c:pt idx="1414">
                  <c:v>36200000</c:v>
                </c:pt>
                <c:pt idx="1415">
                  <c:v>19170001</c:v>
                </c:pt>
                <c:pt idx="1416">
                  <c:v>14343976</c:v>
                </c:pt>
                <c:pt idx="1417">
                  <c:v>21300000</c:v>
                </c:pt>
                <c:pt idx="1418">
                  <c:v>32600000</c:v>
                </c:pt>
                <c:pt idx="1419">
                  <c:v>27900000</c:v>
                </c:pt>
                <c:pt idx="1420">
                  <c:v>55802754</c:v>
                </c:pt>
                <c:pt idx="1421">
                  <c:v>13367101</c:v>
                </c:pt>
                <c:pt idx="1422">
                  <c:v>18298649</c:v>
                </c:pt>
                <c:pt idx="1423">
                  <c:v>1400000</c:v>
                </c:pt>
                <c:pt idx="1424">
                  <c:v>25753840</c:v>
                </c:pt>
                <c:pt idx="1425">
                  <c:v>63196616</c:v>
                </c:pt>
                <c:pt idx="1427">
                  <c:v>4922166</c:v>
                </c:pt>
                <c:pt idx="1428">
                  <c:v>23324666</c:v>
                </c:pt>
                <c:pt idx="1429">
                  <c:v>24800000</c:v>
                </c:pt>
                <c:pt idx="1430">
                  <c:v>18593156</c:v>
                </c:pt>
                <c:pt idx="1431">
                  <c:v>2508841</c:v>
                </c:pt>
                <c:pt idx="1432">
                  <c:v>400736600</c:v>
                </c:pt>
                <c:pt idx="1433">
                  <c:v>16097842</c:v>
                </c:pt>
                <c:pt idx="1434">
                  <c:v>173783</c:v>
                </c:pt>
                <c:pt idx="1436">
                  <c:v>2506446</c:v>
                </c:pt>
                <c:pt idx="1437">
                  <c:v>9402410</c:v>
                </c:pt>
                <c:pt idx="1438">
                  <c:v>110332737</c:v>
                </c:pt>
                <c:pt idx="1439">
                  <c:v>1294640</c:v>
                </c:pt>
                <c:pt idx="1441">
                  <c:v>51814190</c:v>
                </c:pt>
                <c:pt idx="1442">
                  <c:v>220914</c:v>
                </c:pt>
                <c:pt idx="1443">
                  <c:v>350034110</c:v>
                </c:pt>
                <c:pt idx="1444">
                  <c:v>17596256</c:v>
                </c:pt>
                <c:pt idx="1445">
                  <c:v>85707116</c:v>
                </c:pt>
                <c:pt idx="1446">
                  <c:v>20262</c:v>
                </c:pt>
                <c:pt idx="1447">
                  <c:v>48154732</c:v>
                </c:pt>
                <c:pt idx="1448">
                  <c:v>122512052</c:v>
                </c:pt>
                <c:pt idx="1449">
                  <c:v>150167630</c:v>
                </c:pt>
                <c:pt idx="1452">
                  <c:v>71423726</c:v>
                </c:pt>
                <c:pt idx="1453">
                  <c:v>20488579</c:v>
                </c:pt>
                <c:pt idx="1455">
                  <c:v>240425</c:v>
                </c:pt>
                <c:pt idx="1456">
                  <c:v>77679638</c:v>
                </c:pt>
                <c:pt idx="1457">
                  <c:v>45996718</c:v>
                </c:pt>
                <c:pt idx="1458">
                  <c:v>4958</c:v>
                </c:pt>
                <c:pt idx="1459">
                  <c:v>26781723</c:v>
                </c:pt>
                <c:pt idx="1460">
                  <c:v>28424210</c:v>
                </c:pt>
                <c:pt idx="1461">
                  <c:v>75367693</c:v>
                </c:pt>
                <c:pt idx="1462">
                  <c:v>12339633</c:v>
                </c:pt>
                <c:pt idx="1464">
                  <c:v>113155</c:v>
                </c:pt>
                <c:pt idx="1466">
                  <c:v>105263257</c:v>
                </c:pt>
                <c:pt idx="1467">
                  <c:v>241816</c:v>
                </c:pt>
                <c:pt idx="1468">
                  <c:v>18882880</c:v>
                </c:pt>
                <c:pt idx="1469">
                  <c:v>236266</c:v>
                </c:pt>
                <c:pt idx="1470">
                  <c:v>14967182</c:v>
                </c:pt>
                <c:pt idx="1471">
                  <c:v>90353764</c:v>
                </c:pt>
                <c:pt idx="1472">
                  <c:v>60923325</c:v>
                </c:pt>
                <c:pt idx="1473">
                  <c:v>9176553</c:v>
                </c:pt>
                <c:pt idx="1474">
                  <c:v>5731103</c:v>
                </c:pt>
                <c:pt idx="1475">
                  <c:v>30513940</c:v>
                </c:pt>
                <c:pt idx="1476">
                  <c:v>11560259</c:v>
                </c:pt>
                <c:pt idx="1478">
                  <c:v>30981850</c:v>
                </c:pt>
                <c:pt idx="1479">
                  <c:v>72077000</c:v>
                </c:pt>
                <c:pt idx="1480">
                  <c:v>130313314</c:v>
                </c:pt>
                <c:pt idx="1481">
                  <c:v>10494494</c:v>
                </c:pt>
                <c:pt idx="1482">
                  <c:v>10769960</c:v>
                </c:pt>
                <c:pt idx="1483">
                  <c:v>119420252</c:v>
                </c:pt>
                <c:pt idx="1484">
                  <c:v>3300230</c:v>
                </c:pt>
                <c:pt idx="1486">
                  <c:v>115802596</c:v>
                </c:pt>
                <c:pt idx="1487">
                  <c:v>51774002</c:v>
                </c:pt>
                <c:pt idx="1488">
                  <c:v>30079316</c:v>
                </c:pt>
                <c:pt idx="1489">
                  <c:v>13214030</c:v>
                </c:pt>
                <c:pt idx="1490">
                  <c:v>6200756</c:v>
                </c:pt>
                <c:pt idx="1491">
                  <c:v>217631306</c:v>
                </c:pt>
                <c:pt idx="1492">
                  <c:v>236199318</c:v>
                </c:pt>
                <c:pt idx="1493">
                  <c:v>8434601</c:v>
                </c:pt>
                <c:pt idx="1494">
                  <c:v>13052741</c:v>
                </c:pt>
                <c:pt idx="1495">
                  <c:v>5660084</c:v>
                </c:pt>
                <c:pt idx="1496">
                  <c:v>4903000</c:v>
                </c:pt>
                <c:pt idx="1498">
                  <c:v>11634362</c:v>
                </c:pt>
                <c:pt idx="1499">
                  <c:v>28871190</c:v>
                </c:pt>
                <c:pt idx="1502">
                  <c:v>187670866</c:v>
                </c:pt>
                <c:pt idx="1503">
                  <c:v>11860839</c:v>
                </c:pt>
                <c:pt idx="1504">
                  <c:v>10725228</c:v>
                </c:pt>
                <c:pt idx="1505">
                  <c:v>4273372</c:v>
                </c:pt>
                <c:pt idx="1506">
                  <c:v>42643187</c:v>
                </c:pt>
                <c:pt idx="1507">
                  <c:v>53660000</c:v>
                </c:pt>
                <c:pt idx="1508">
                  <c:v>178739</c:v>
                </c:pt>
                <c:pt idx="1509">
                  <c:v>16842303</c:v>
                </c:pt>
                <c:pt idx="1510">
                  <c:v>4280577</c:v>
                </c:pt>
                <c:pt idx="1512">
                  <c:v>12870569</c:v>
                </c:pt>
                <c:pt idx="1513">
                  <c:v>6390032</c:v>
                </c:pt>
                <c:pt idx="1514">
                  <c:v>20773070</c:v>
                </c:pt>
                <c:pt idx="1515">
                  <c:v>31141074</c:v>
                </c:pt>
                <c:pt idx="1516">
                  <c:v>14334645</c:v>
                </c:pt>
                <c:pt idx="1517">
                  <c:v>10037390</c:v>
                </c:pt>
                <c:pt idx="1519">
                  <c:v>17797316</c:v>
                </c:pt>
                <c:pt idx="1520">
                  <c:v>106635996</c:v>
                </c:pt>
                <c:pt idx="1521">
                  <c:v>51100000</c:v>
                </c:pt>
                <c:pt idx="1523">
                  <c:v>167735396</c:v>
                </c:pt>
                <c:pt idx="1524">
                  <c:v>101643008</c:v>
                </c:pt>
                <c:pt idx="1525">
                  <c:v>198655278</c:v>
                </c:pt>
                <c:pt idx="1527">
                  <c:v>37566230</c:v>
                </c:pt>
                <c:pt idx="1528">
                  <c:v>4063859</c:v>
                </c:pt>
                <c:pt idx="1529">
                  <c:v>35010192</c:v>
                </c:pt>
                <c:pt idx="1530">
                  <c:v>15542</c:v>
                </c:pt>
                <c:pt idx="1532">
                  <c:v>316842</c:v>
                </c:pt>
                <c:pt idx="1533">
                  <c:v>35000629</c:v>
                </c:pt>
                <c:pt idx="1534">
                  <c:v>123922370</c:v>
                </c:pt>
                <c:pt idx="1535">
                  <c:v>31501218</c:v>
                </c:pt>
                <c:pt idx="1536">
                  <c:v>138339411</c:v>
                </c:pt>
                <c:pt idx="1537">
                  <c:v>23091</c:v>
                </c:pt>
                <c:pt idx="1538">
                  <c:v>46836394</c:v>
                </c:pt>
                <c:pt idx="1539">
                  <c:v>160043480</c:v>
                </c:pt>
                <c:pt idx="1540">
                  <c:v>11798</c:v>
                </c:pt>
                <c:pt idx="1541">
                  <c:v>41300105</c:v>
                </c:pt>
                <c:pt idx="1542">
                  <c:v>5108820</c:v>
                </c:pt>
                <c:pt idx="1543">
                  <c:v>59588068</c:v>
                </c:pt>
                <c:pt idx="1546">
                  <c:v>2507106</c:v>
                </c:pt>
                <c:pt idx="1547">
                  <c:v>2955039</c:v>
                </c:pt>
                <c:pt idx="1549">
                  <c:v>148085755</c:v>
                </c:pt>
                <c:pt idx="1551">
                  <c:v>6088249</c:v>
                </c:pt>
                <c:pt idx="1553">
                  <c:v>274084951</c:v>
                </c:pt>
                <c:pt idx="1554">
                  <c:v>181360000</c:v>
                </c:pt>
                <c:pt idx="1555">
                  <c:v>116593191</c:v>
                </c:pt>
                <c:pt idx="1556">
                  <c:v>3219029</c:v>
                </c:pt>
                <c:pt idx="1558">
                  <c:v>35024475</c:v>
                </c:pt>
                <c:pt idx="1559">
                  <c:v>41482207</c:v>
                </c:pt>
                <c:pt idx="1560">
                  <c:v>148170000</c:v>
                </c:pt>
                <c:pt idx="1561">
                  <c:v>38432823</c:v>
                </c:pt>
                <c:pt idx="1563">
                  <c:v>25031037</c:v>
                </c:pt>
                <c:pt idx="1564">
                  <c:v>1114943</c:v>
                </c:pt>
                <c:pt idx="1565">
                  <c:v>28014536</c:v>
                </c:pt>
                <c:pt idx="1566">
                  <c:v>70906973</c:v>
                </c:pt>
                <c:pt idx="1568">
                  <c:v>133668525</c:v>
                </c:pt>
                <c:pt idx="1569">
                  <c:v>162001186</c:v>
                </c:pt>
                <c:pt idx="1570">
                  <c:v>29802761</c:v>
                </c:pt>
                <c:pt idx="1571">
                  <c:v>333130696</c:v>
                </c:pt>
                <c:pt idx="1572">
                  <c:v>67962333</c:v>
                </c:pt>
                <c:pt idx="1573">
                  <c:v>227241</c:v>
                </c:pt>
                <c:pt idx="1574">
                  <c:v>42776259</c:v>
                </c:pt>
                <c:pt idx="1575">
                  <c:v>1631839</c:v>
                </c:pt>
                <c:pt idx="1579">
                  <c:v>7564000</c:v>
                </c:pt>
                <c:pt idx="1580">
                  <c:v>29997095</c:v>
                </c:pt>
                <c:pt idx="1581">
                  <c:v>118823091</c:v>
                </c:pt>
                <c:pt idx="1582">
                  <c:v>17278980</c:v>
                </c:pt>
                <c:pt idx="1583">
                  <c:v>2694973</c:v>
                </c:pt>
                <c:pt idx="1584">
                  <c:v>15361537</c:v>
                </c:pt>
                <c:pt idx="1585">
                  <c:v>45045037</c:v>
                </c:pt>
                <c:pt idx="1586">
                  <c:v>17768000</c:v>
                </c:pt>
                <c:pt idx="1587">
                  <c:v>11642254</c:v>
                </c:pt>
                <c:pt idx="1588">
                  <c:v>66772256</c:v>
                </c:pt>
                <c:pt idx="1589">
                  <c:v>14400000</c:v>
                </c:pt>
                <c:pt idx="1590">
                  <c:v>141000000</c:v>
                </c:pt>
                <c:pt idx="1591">
                  <c:v>30259652</c:v>
                </c:pt>
                <c:pt idx="1592">
                  <c:v>15126948</c:v>
                </c:pt>
                <c:pt idx="1593">
                  <c:v>4881867</c:v>
                </c:pt>
                <c:pt idx="1594">
                  <c:v>8829070</c:v>
                </c:pt>
                <c:pt idx="1595">
                  <c:v>227946274</c:v>
                </c:pt>
                <c:pt idx="1598">
                  <c:v>36037909</c:v>
                </c:pt>
                <c:pt idx="1599">
                  <c:v>40247512</c:v>
                </c:pt>
                <c:pt idx="1600">
                  <c:v>79566871</c:v>
                </c:pt>
                <c:pt idx="1601">
                  <c:v>27667947</c:v>
                </c:pt>
                <c:pt idx="1604">
                  <c:v>55682070</c:v>
                </c:pt>
                <c:pt idx="1605">
                  <c:v>15519841</c:v>
                </c:pt>
                <c:pt idx="1606">
                  <c:v>3000000</c:v>
                </c:pt>
                <c:pt idx="1607">
                  <c:v>30084</c:v>
                </c:pt>
                <c:pt idx="1608">
                  <c:v>63992328</c:v>
                </c:pt>
                <c:pt idx="1609">
                  <c:v>197992827</c:v>
                </c:pt>
                <c:pt idx="1610">
                  <c:v>38624000</c:v>
                </c:pt>
                <c:pt idx="1612">
                  <c:v>1943649</c:v>
                </c:pt>
                <c:pt idx="1613">
                  <c:v>1007962</c:v>
                </c:pt>
                <c:pt idx="1614">
                  <c:v>19819494</c:v>
                </c:pt>
                <c:pt idx="1616">
                  <c:v>40219708</c:v>
                </c:pt>
                <c:pt idx="1617">
                  <c:v>96734</c:v>
                </c:pt>
                <c:pt idx="1618">
                  <c:v>7434726</c:v>
                </c:pt>
                <c:pt idx="1620">
                  <c:v>38087366</c:v>
                </c:pt>
                <c:pt idx="1621">
                  <c:v>18225165</c:v>
                </c:pt>
                <c:pt idx="1623">
                  <c:v>26539321</c:v>
                </c:pt>
                <c:pt idx="1625">
                  <c:v>1818681</c:v>
                </c:pt>
                <c:pt idx="1626">
                  <c:v>261970615</c:v>
                </c:pt>
                <c:pt idx="1629">
                  <c:v>289994397</c:v>
                </c:pt>
                <c:pt idx="1630">
                  <c:v>301956980</c:v>
                </c:pt>
                <c:pt idx="1631">
                  <c:v>292000866</c:v>
                </c:pt>
                <c:pt idx="1632">
                  <c:v>249358727</c:v>
                </c:pt>
                <c:pt idx="1633">
                  <c:v>317557891</c:v>
                </c:pt>
                <c:pt idx="1634">
                  <c:v>3335839</c:v>
                </c:pt>
                <c:pt idx="1635">
                  <c:v>19076815</c:v>
                </c:pt>
                <c:pt idx="1636">
                  <c:v>56007</c:v>
                </c:pt>
                <c:pt idx="1638">
                  <c:v>2301777</c:v>
                </c:pt>
                <c:pt idx="1640">
                  <c:v>18934858</c:v>
                </c:pt>
                <c:pt idx="1641">
                  <c:v>21554585</c:v>
                </c:pt>
                <c:pt idx="1642">
                  <c:v>37788228</c:v>
                </c:pt>
                <c:pt idx="1643">
                  <c:v>10397365</c:v>
                </c:pt>
                <c:pt idx="1644">
                  <c:v>1196752</c:v>
                </c:pt>
                <c:pt idx="1646">
                  <c:v>40334024</c:v>
                </c:pt>
                <c:pt idx="1647">
                  <c:v>24185781</c:v>
                </c:pt>
                <c:pt idx="1648">
                  <c:v>91443253</c:v>
                </c:pt>
                <c:pt idx="1649">
                  <c:v>3049135</c:v>
                </c:pt>
                <c:pt idx="1650">
                  <c:v>1500000</c:v>
                </c:pt>
                <c:pt idx="1652">
                  <c:v>3029081</c:v>
                </c:pt>
                <c:pt idx="1654">
                  <c:v>4692814</c:v>
                </c:pt>
                <c:pt idx="1656">
                  <c:v>75754670</c:v>
                </c:pt>
                <c:pt idx="1657">
                  <c:v>59035104</c:v>
                </c:pt>
                <c:pt idx="1658">
                  <c:v>14564027</c:v>
                </c:pt>
                <c:pt idx="1661">
                  <c:v>10161099</c:v>
                </c:pt>
                <c:pt idx="1663">
                  <c:v>25556065</c:v>
                </c:pt>
                <c:pt idx="1664">
                  <c:v>66002004</c:v>
                </c:pt>
                <c:pt idx="1665">
                  <c:v>145320058</c:v>
                </c:pt>
                <c:pt idx="1666">
                  <c:v>45290318</c:v>
                </c:pt>
                <c:pt idx="1667">
                  <c:v>10494147</c:v>
                </c:pt>
                <c:pt idx="1668">
                  <c:v>32741596</c:v>
                </c:pt>
                <c:pt idx="1669">
                  <c:v>169922</c:v>
                </c:pt>
                <c:pt idx="1672">
                  <c:v>93952276</c:v>
                </c:pt>
                <c:pt idx="1673">
                  <c:v>382946</c:v>
                </c:pt>
                <c:pt idx="1674">
                  <c:v>13684949</c:v>
                </c:pt>
                <c:pt idx="1675">
                  <c:v>67286731</c:v>
                </c:pt>
                <c:pt idx="1677">
                  <c:v>51097664</c:v>
                </c:pt>
                <c:pt idx="1679">
                  <c:v>41543207</c:v>
                </c:pt>
                <c:pt idx="1680">
                  <c:v>27277055</c:v>
                </c:pt>
                <c:pt idx="1681">
                  <c:v>226792</c:v>
                </c:pt>
                <c:pt idx="1686">
                  <c:v>90556401</c:v>
                </c:pt>
                <c:pt idx="1688">
                  <c:v>3645438</c:v>
                </c:pt>
                <c:pt idx="1689">
                  <c:v>841206</c:v>
                </c:pt>
                <c:pt idx="1690">
                  <c:v>5900000</c:v>
                </c:pt>
                <c:pt idx="1691">
                  <c:v>12801190</c:v>
                </c:pt>
                <c:pt idx="1692">
                  <c:v>13829734</c:v>
                </c:pt>
                <c:pt idx="1695">
                  <c:v>13746550</c:v>
                </c:pt>
                <c:pt idx="1697">
                  <c:v>177575142</c:v>
                </c:pt>
                <c:pt idx="1698">
                  <c:v>39687528</c:v>
                </c:pt>
                <c:pt idx="1700">
                  <c:v>703002</c:v>
                </c:pt>
                <c:pt idx="1701">
                  <c:v>39514713</c:v>
                </c:pt>
                <c:pt idx="1702">
                  <c:v>24276500</c:v>
                </c:pt>
                <c:pt idx="1703">
                  <c:v>67325559</c:v>
                </c:pt>
                <c:pt idx="1704">
                  <c:v>73209340</c:v>
                </c:pt>
                <c:pt idx="1705">
                  <c:v>4839383</c:v>
                </c:pt>
                <c:pt idx="1706">
                  <c:v>30013346</c:v>
                </c:pt>
                <c:pt idx="1707">
                  <c:v>5228617</c:v>
                </c:pt>
                <c:pt idx="1708">
                  <c:v>12065985</c:v>
                </c:pt>
                <c:pt idx="1710">
                  <c:v>173585516</c:v>
                </c:pt>
                <c:pt idx="1711">
                  <c:v>285761243</c:v>
                </c:pt>
                <c:pt idx="1712">
                  <c:v>17518220</c:v>
                </c:pt>
                <c:pt idx="1713">
                  <c:v>10443316</c:v>
                </c:pt>
                <c:pt idx="1715">
                  <c:v>50026353</c:v>
                </c:pt>
                <c:pt idx="1716">
                  <c:v>2859955</c:v>
                </c:pt>
                <c:pt idx="1717">
                  <c:v>532031025</c:v>
                </c:pt>
                <c:pt idx="1718">
                  <c:v>19783777</c:v>
                </c:pt>
                <c:pt idx="1719">
                  <c:v>30222640</c:v>
                </c:pt>
                <c:pt idx="1720">
                  <c:v>10134754</c:v>
                </c:pt>
                <c:pt idx="1721">
                  <c:v>51053787</c:v>
                </c:pt>
                <c:pt idx="1722">
                  <c:v>119654900</c:v>
                </c:pt>
                <c:pt idx="1723">
                  <c:v>7830611</c:v>
                </c:pt>
                <c:pt idx="1724">
                  <c:v>8080116</c:v>
                </c:pt>
                <c:pt idx="1725">
                  <c:v>108012170</c:v>
                </c:pt>
                <c:pt idx="1726">
                  <c:v>60033780</c:v>
                </c:pt>
                <c:pt idx="1727">
                  <c:v>63536011</c:v>
                </c:pt>
                <c:pt idx="1728">
                  <c:v>54414716</c:v>
                </c:pt>
                <c:pt idx="1729">
                  <c:v>117528646</c:v>
                </c:pt>
                <c:pt idx="1731">
                  <c:v>34636443</c:v>
                </c:pt>
                <c:pt idx="1732">
                  <c:v>47277326</c:v>
                </c:pt>
                <c:pt idx="1733">
                  <c:v>17544812</c:v>
                </c:pt>
                <c:pt idx="1734">
                  <c:v>23618786</c:v>
                </c:pt>
                <c:pt idx="1735">
                  <c:v>34507079</c:v>
                </c:pt>
                <c:pt idx="1736">
                  <c:v>13920741</c:v>
                </c:pt>
                <c:pt idx="1737">
                  <c:v>12282677</c:v>
                </c:pt>
                <c:pt idx="1738">
                  <c:v>50213619</c:v>
                </c:pt>
                <c:pt idx="1739">
                  <c:v>73023275</c:v>
                </c:pt>
                <c:pt idx="1740">
                  <c:v>23472900</c:v>
                </c:pt>
                <c:pt idx="1741">
                  <c:v>169692572</c:v>
                </c:pt>
                <c:pt idx="1742">
                  <c:v>148313048</c:v>
                </c:pt>
                <c:pt idx="1744">
                  <c:v>31607598</c:v>
                </c:pt>
                <c:pt idx="1745">
                  <c:v>12583510</c:v>
                </c:pt>
                <c:pt idx="1746">
                  <c:v>371081</c:v>
                </c:pt>
                <c:pt idx="1747">
                  <c:v>11041228</c:v>
                </c:pt>
                <c:pt idx="1748">
                  <c:v>13005485</c:v>
                </c:pt>
                <c:pt idx="1750">
                  <c:v>64097618</c:v>
                </c:pt>
                <c:pt idx="1751">
                  <c:v>40846082</c:v>
                </c:pt>
                <c:pt idx="1752">
                  <c:v>19281235</c:v>
                </c:pt>
                <c:pt idx="1754">
                  <c:v>1165104</c:v>
                </c:pt>
                <c:pt idx="1755">
                  <c:v>30212620</c:v>
                </c:pt>
                <c:pt idx="1757">
                  <c:v>31155435</c:v>
                </c:pt>
                <c:pt idx="1758">
                  <c:v>7070459</c:v>
                </c:pt>
                <c:pt idx="1759">
                  <c:v>37672350</c:v>
                </c:pt>
                <c:pt idx="1760">
                  <c:v>260031035</c:v>
                </c:pt>
                <c:pt idx="1761">
                  <c:v>13960203</c:v>
                </c:pt>
                <c:pt idx="1762">
                  <c:v>46813366</c:v>
                </c:pt>
                <c:pt idx="1763">
                  <c:v>14108518</c:v>
                </c:pt>
                <c:pt idx="1765">
                  <c:v>105807520</c:v>
                </c:pt>
                <c:pt idx="1766">
                  <c:v>2775593</c:v>
                </c:pt>
                <c:pt idx="1767">
                  <c:v>176997107</c:v>
                </c:pt>
                <c:pt idx="1768">
                  <c:v>217387997</c:v>
                </c:pt>
                <c:pt idx="1769">
                  <c:v>16295774</c:v>
                </c:pt>
                <c:pt idx="1770">
                  <c:v>25967000</c:v>
                </c:pt>
                <c:pt idx="1771">
                  <c:v>4710455</c:v>
                </c:pt>
                <c:pt idx="1773">
                  <c:v>17218080</c:v>
                </c:pt>
                <c:pt idx="1774">
                  <c:v>73820094</c:v>
                </c:pt>
                <c:pt idx="1775">
                  <c:v>132122995</c:v>
                </c:pt>
                <c:pt idx="1777">
                  <c:v>104257</c:v>
                </c:pt>
                <c:pt idx="1778">
                  <c:v>334041</c:v>
                </c:pt>
                <c:pt idx="1779">
                  <c:v>22201636</c:v>
                </c:pt>
                <c:pt idx="1780">
                  <c:v>256386216</c:v>
                </c:pt>
                <c:pt idx="1781">
                  <c:v>5004648</c:v>
                </c:pt>
                <c:pt idx="1782">
                  <c:v>55092830</c:v>
                </c:pt>
                <c:pt idx="1783">
                  <c:v>40270895</c:v>
                </c:pt>
                <c:pt idx="1785">
                  <c:v>51697449</c:v>
                </c:pt>
                <c:pt idx="1787">
                  <c:v>9639242</c:v>
                </c:pt>
                <c:pt idx="1788">
                  <c:v>6543194</c:v>
                </c:pt>
                <c:pt idx="1789">
                  <c:v>10305534</c:v>
                </c:pt>
                <c:pt idx="1790">
                  <c:v>12784713</c:v>
                </c:pt>
                <c:pt idx="1791">
                  <c:v>1425993</c:v>
                </c:pt>
                <c:pt idx="1792">
                  <c:v>72219395</c:v>
                </c:pt>
                <c:pt idx="1793">
                  <c:v>2035566</c:v>
                </c:pt>
                <c:pt idx="1794">
                  <c:v>14793904</c:v>
                </c:pt>
                <c:pt idx="1795">
                  <c:v>33598</c:v>
                </c:pt>
                <c:pt idx="1796">
                  <c:v>71347010</c:v>
                </c:pt>
                <c:pt idx="1797">
                  <c:v>2580</c:v>
                </c:pt>
                <c:pt idx="1798">
                  <c:v>203134</c:v>
                </c:pt>
                <c:pt idx="1799">
                  <c:v>334658</c:v>
                </c:pt>
                <c:pt idx="1800">
                  <c:v>617228</c:v>
                </c:pt>
                <c:pt idx="1801">
                  <c:v>92401</c:v>
                </c:pt>
                <c:pt idx="1802">
                  <c:v>33105600</c:v>
                </c:pt>
                <c:pt idx="1803">
                  <c:v>39989008</c:v>
                </c:pt>
                <c:pt idx="1804">
                  <c:v>12550242</c:v>
                </c:pt>
                <c:pt idx="1805">
                  <c:v>194568</c:v>
                </c:pt>
                <c:pt idx="1806">
                  <c:v>425899</c:v>
                </c:pt>
                <c:pt idx="1807">
                  <c:v>19059018</c:v>
                </c:pt>
                <c:pt idx="1808">
                  <c:v>144795350</c:v>
                </c:pt>
                <c:pt idx="1809">
                  <c:v>176387405</c:v>
                </c:pt>
                <c:pt idx="1810">
                  <c:v>161317423</c:v>
                </c:pt>
                <c:pt idx="1811">
                  <c:v>196573705</c:v>
                </c:pt>
                <c:pt idx="1812">
                  <c:v>195329763</c:v>
                </c:pt>
                <c:pt idx="1813">
                  <c:v>24381334</c:v>
                </c:pt>
                <c:pt idx="1814">
                  <c:v>3826455</c:v>
                </c:pt>
                <c:pt idx="1815">
                  <c:v>134455175</c:v>
                </c:pt>
                <c:pt idx="1816">
                  <c:v>51475962</c:v>
                </c:pt>
                <c:pt idx="1817">
                  <c:v>438653</c:v>
                </c:pt>
                <c:pt idx="1818">
                  <c:v>4002955</c:v>
                </c:pt>
                <c:pt idx="1819">
                  <c:v>12549485</c:v>
                </c:pt>
                <c:pt idx="1820">
                  <c:v>50461335</c:v>
                </c:pt>
                <c:pt idx="1821">
                  <c:v>4681503</c:v>
                </c:pt>
                <c:pt idx="1823">
                  <c:v>836641</c:v>
                </c:pt>
                <c:pt idx="1824">
                  <c:v>4001121</c:v>
                </c:pt>
                <c:pt idx="1825">
                  <c:v>228524</c:v>
                </c:pt>
                <c:pt idx="1826">
                  <c:v>671240</c:v>
                </c:pt>
                <c:pt idx="1827">
                  <c:v>16088610</c:v>
                </c:pt>
                <c:pt idx="1828">
                  <c:v>83503161</c:v>
                </c:pt>
                <c:pt idx="1830">
                  <c:v>6114237</c:v>
                </c:pt>
                <c:pt idx="1831">
                  <c:v>63826569</c:v>
                </c:pt>
                <c:pt idx="1832">
                  <c:v>7757130</c:v>
                </c:pt>
                <c:pt idx="1834">
                  <c:v>11900000</c:v>
                </c:pt>
                <c:pt idx="1835">
                  <c:v>45489752</c:v>
                </c:pt>
                <c:pt idx="1836">
                  <c:v>721</c:v>
                </c:pt>
                <c:pt idx="1837">
                  <c:v>35918429</c:v>
                </c:pt>
                <c:pt idx="1838">
                  <c:v>2856622</c:v>
                </c:pt>
                <c:pt idx="1839">
                  <c:v>4717455</c:v>
                </c:pt>
                <c:pt idx="1840">
                  <c:v>24985612</c:v>
                </c:pt>
                <c:pt idx="1842">
                  <c:v>301305</c:v>
                </c:pt>
                <c:pt idx="1843">
                  <c:v>11043445</c:v>
                </c:pt>
                <c:pt idx="1844">
                  <c:v>4535117</c:v>
                </c:pt>
                <c:pt idx="1846">
                  <c:v>1134049</c:v>
                </c:pt>
                <c:pt idx="1847">
                  <c:v>6777589</c:v>
                </c:pt>
                <c:pt idx="1848">
                  <c:v>37553932</c:v>
                </c:pt>
                <c:pt idx="1849">
                  <c:v>14003141</c:v>
                </c:pt>
                <c:pt idx="1850">
                  <c:v>6857096</c:v>
                </c:pt>
                <c:pt idx="1851">
                  <c:v>292568851</c:v>
                </c:pt>
                <c:pt idx="1853">
                  <c:v>36830</c:v>
                </c:pt>
                <c:pt idx="1854">
                  <c:v>306124059</c:v>
                </c:pt>
                <c:pt idx="1855">
                  <c:v>102315545</c:v>
                </c:pt>
                <c:pt idx="1857">
                  <c:v>317011114</c:v>
                </c:pt>
                <c:pt idx="1858">
                  <c:v>197171806</c:v>
                </c:pt>
                <c:pt idx="1859">
                  <c:v>179870271</c:v>
                </c:pt>
                <c:pt idx="1861">
                  <c:v>560512</c:v>
                </c:pt>
                <c:pt idx="1862">
                  <c:v>4063</c:v>
                </c:pt>
                <c:pt idx="1863">
                  <c:v>1150403</c:v>
                </c:pt>
                <c:pt idx="1864">
                  <c:v>120523073</c:v>
                </c:pt>
                <c:pt idx="1865">
                  <c:v>8093318</c:v>
                </c:pt>
                <c:pt idx="1867">
                  <c:v>17281832</c:v>
                </c:pt>
                <c:pt idx="1868">
                  <c:v>653621</c:v>
                </c:pt>
                <c:pt idx="1869">
                  <c:v>4311834</c:v>
                </c:pt>
                <c:pt idx="1870">
                  <c:v>13214255</c:v>
                </c:pt>
                <c:pt idx="1871">
                  <c:v>88504640</c:v>
                </c:pt>
                <c:pt idx="1872">
                  <c:v>356454367</c:v>
                </c:pt>
                <c:pt idx="1873">
                  <c:v>53991137</c:v>
                </c:pt>
                <c:pt idx="1874">
                  <c:v>83574831</c:v>
                </c:pt>
                <c:pt idx="1875">
                  <c:v>52200504</c:v>
                </c:pt>
                <c:pt idx="1877">
                  <c:v>67263182</c:v>
                </c:pt>
                <c:pt idx="1878">
                  <c:v>97360069</c:v>
                </c:pt>
                <c:pt idx="1879">
                  <c:v>34098563</c:v>
                </c:pt>
                <c:pt idx="1880">
                  <c:v>44456509</c:v>
                </c:pt>
                <c:pt idx="1881">
                  <c:v>129995817</c:v>
                </c:pt>
                <c:pt idx="1882">
                  <c:v>187991439</c:v>
                </c:pt>
                <c:pt idx="1883">
                  <c:v>47329</c:v>
                </c:pt>
                <c:pt idx="1884">
                  <c:v>105264608</c:v>
                </c:pt>
                <c:pt idx="1885">
                  <c:v>18472363</c:v>
                </c:pt>
                <c:pt idx="1887">
                  <c:v>47553512</c:v>
                </c:pt>
                <c:pt idx="1888">
                  <c:v>18352454</c:v>
                </c:pt>
                <c:pt idx="1889">
                  <c:v>127997349</c:v>
                </c:pt>
                <c:pt idx="1890">
                  <c:v>35096190</c:v>
                </c:pt>
                <c:pt idx="1892">
                  <c:v>4884663</c:v>
                </c:pt>
                <c:pt idx="1894">
                  <c:v>37479778</c:v>
                </c:pt>
                <c:pt idx="1895">
                  <c:v>2126511</c:v>
                </c:pt>
                <c:pt idx="1896">
                  <c:v>220234</c:v>
                </c:pt>
                <c:pt idx="1898">
                  <c:v>1292119</c:v>
                </c:pt>
                <c:pt idx="1899">
                  <c:v>312057433</c:v>
                </c:pt>
                <c:pt idx="1900">
                  <c:v>408992272</c:v>
                </c:pt>
                <c:pt idx="1901">
                  <c:v>318298180</c:v>
                </c:pt>
                <c:pt idx="1904">
                  <c:v>753501</c:v>
                </c:pt>
                <c:pt idx="1905">
                  <c:v>14375181</c:v>
                </c:pt>
                <c:pt idx="1906">
                  <c:v>2954405</c:v>
                </c:pt>
                <c:pt idx="1907">
                  <c:v>14673301</c:v>
                </c:pt>
                <c:pt idx="1909">
                  <c:v>46300000</c:v>
                </c:pt>
                <c:pt idx="1912">
                  <c:v>120620</c:v>
                </c:pt>
                <c:pt idx="1914">
                  <c:v>112703470</c:v>
                </c:pt>
                <c:pt idx="1915">
                  <c:v>6350058</c:v>
                </c:pt>
                <c:pt idx="1916">
                  <c:v>37304950</c:v>
                </c:pt>
                <c:pt idx="1917">
                  <c:v>3047539</c:v>
                </c:pt>
                <c:pt idx="1918">
                  <c:v>74158157</c:v>
                </c:pt>
                <c:pt idx="1920">
                  <c:v>160067286</c:v>
                </c:pt>
                <c:pt idx="1921">
                  <c:v>50549107</c:v>
                </c:pt>
                <c:pt idx="1922">
                  <c:v>65171860</c:v>
                </c:pt>
                <c:pt idx="1923">
                  <c:v>117224271</c:v>
                </c:pt>
                <c:pt idx="1924">
                  <c:v>72755517</c:v>
                </c:pt>
                <c:pt idx="1925">
                  <c:v>64267897</c:v>
                </c:pt>
                <c:pt idx="1926">
                  <c:v>39647595</c:v>
                </c:pt>
                <c:pt idx="1927">
                  <c:v>9795017</c:v>
                </c:pt>
                <c:pt idx="1928">
                  <c:v>4956401</c:v>
                </c:pt>
                <c:pt idx="1929">
                  <c:v>1512815</c:v>
                </c:pt>
                <c:pt idx="1930">
                  <c:v>62647540</c:v>
                </c:pt>
                <c:pt idx="1931">
                  <c:v>108521835</c:v>
                </c:pt>
                <c:pt idx="1932">
                  <c:v>15935068</c:v>
                </c:pt>
                <c:pt idx="1933">
                  <c:v>19472057</c:v>
                </c:pt>
                <c:pt idx="1934">
                  <c:v>12610731</c:v>
                </c:pt>
                <c:pt idx="1935">
                  <c:v>3071947</c:v>
                </c:pt>
                <c:pt idx="1936">
                  <c:v>102922376</c:v>
                </c:pt>
                <c:pt idx="1937">
                  <c:v>260000000</c:v>
                </c:pt>
                <c:pt idx="1938">
                  <c:v>20763013</c:v>
                </c:pt>
                <c:pt idx="1939">
                  <c:v>30059386</c:v>
                </c:pt>
                <c:pt idx="1940">
                  <c:v>35143332</c:v>
                </c:pt>
                <c:pt idx="1941">
                  <c:v>37470017</c:v>
                </c:pt>
                <c:pt idx="1942">
                  <c:v>4244155</c:v>
                </c:pt>
                <c:pt idx="1943">
                  <c:v>2474000</c:v>
                </c:pt>
                <c:pt idx="1945">
                  <c:v>16204793</c:v>
                </c:pt>
                <c:pt idx="1946">
                  <c:v>153620822</c:v>
                </c:pt>
                <c:pt idx="1947">
                  <c:v>47034272</c:v>
                </c:pt>
                <c:pt idx="1948">
                  <c:v>25266129</c:v>
                </c:pt>
                <c:pt idx="1951">
                  <c:v>1282084</c:v>
                </c:pt>
                <c:pt idx="1952">
                  <c:v>70405498</c:v>
                </c:pt>
                <c:pt idx="1954">
                  <c:v>80920948</c:v>
                </c:pt>
                <c:pt idx="1955">
                  <c:v>399879</c:v>
                </c:pt>
                <c:pt idx="1956">
                  <c:v>60573641</c:v>
                </c:pt>
                <c:pt idx="1957">
                  <c:v>27087695</c:v>
                </c:pt>
                <c:pt idx="1958">
                  <c:v>22770864</c:v>
                </c:pt>
                <c:pt idx="1959">
                  <c:v>371897</c:v>
                </c:pt>
                <c:pt idx="1960">
                  <c:v>73058679</c:v>
                </c:pt>
                <c:pt idx="1961">
                  <c:v>71026631</c:v>
                </c:pt>
                <c:pt idx="1962">
                  <c:v>8129455</c:v>
                </c:pt>
                <c:pt idx="1963">
                  <c:v>27972410</c:v>
                </c:pt>
                <c:pt idx="1965">
                  <c:v>31179516</c:v>
                </c:pt>
                <c:pt idx="1966">
                  <c:v>10539414</c:v>
                </c:pt>
                <c:pt idx="1967">
                  <c:v>25571351</c:v>
                </c:pt>
                <c:pt idx="1968">
                  <c:v>14252830</c:v>
                </c:pt>
                <c:pt idx="1969">
                  <c:v>103812241</c:v>
                </c:pt>
                <c:pt idx="1970">
                  <c:v>638951</c:v>
                </c:pt>
                <c:pt idx="1972">
                  <c:v>101702060</c:v>
                </c:pt>
                <c:pt idx="1973">
                  <c:v>21973182</c:v>
                </c:pt>
                <c:pt idx="1974">
                  <c:v>56443482</c:v>
                </c:pt>
                <c:pt idx="1975">
                  <c:v>1050445</c:v>
                </c:pt>
                <c:pt idx="1976">
                  <c:v>30920167</c:v>
                </c:pt>
                <c:pt idx="1979">
                  <c:v>94125426</c:v>
                </c:pt>
                <c:pt idx="1981">
                  <c:v>80170146</c:v>
                </c:pt>
                <c:pt idx="1982">
                  <c:v>37295394</c:v>
                </c:pt>
                <c:pt idx="1984">
                  <c:v>286985680</c:v>
                </c:pt>
                <c:pt idx="1985">
                  <c:v>47375327</c:v>
                </c:pt>
                <c:pt idx="1986">
                  <c:v>181166115</c:v>
                </c:pt>
                <c:pt idx="1987">
                  <c:v>356784000</c:v>
                </c:pt>
                <c:pt idx="1988">
                  <c:v>652177271</c:v>
                </c:pt>
                <c:pt idx="1989">
                  <c:v>103028109</c:v>
                </c:pt>
                <c:pt idx="1990">
                  <c:v>48291624</c:v>
                </c:pt>
                <c:pt idx="1991">
                  <c:v>39852</c:v>
                </c:pt>
                <c:pt idx="1992">
                  <c:v>56127162</c:v>
                </c:pt>
                <c:pt idx="1993">
                  <c:v>17324744</c:v>
                </c:pt>
                <c:pt idx="1994">
                  <c:v>4777007</c:v>
                </c:pt>
                <c:pt idx="1995">
                  <c:v>21520719</c:v>
                </c:pt>
                <c:pt idx="1996">
                  <c:v>73000942</c:v>
                </c:pt>
                <c:pt idx="1997">
                  <c:v>13571817</c:v>
                </c:pt>
                <c:pt idx="1998">
                  <c:v>35168677</c:v>
                </c:pt>
                <c:pt idx="1999">
                  <c:v>3275443</c:v>
                </c:pt>
                <c:pt idx="2000">
                  <c:v>4109095</c:v>
                </c:pt>
                <c:pt idx="2001">
                  <c:v>66734992</c:v>
                </c:pt>
                <c:pt idx="2002">
                  <c:v>1292527</c:v>
                </c:pt>
                <c:pt idx="2004">
                  <c:v>47095453</c:v>
                </c:pt>
                <c:pt idx="2005">
                  <c:v>25240988</c:v>
                </c:pt>
                <c:pt idx="2006">
                  <c:v>20566327</c:v>
                </c:pt>
                <c:pt idx="2007">
                  <c:v>37036404</c:v>
                </c:pt>
                <c:pt idx="2008">
                  <c:v>4328294</c:v>
                </c:pt>
                <c:pt idx="2009">
                  <c:v>7705974</c:v>
                </c:pt>
                <c:pt idx="2010">
                  <c:v>32230907</c:v>
                </c:pt>
                <c:pt idx="2011">
                  <c:v>352684</c:v>
                </c:pt>
                <c:pt idx="2013">
                  <c:v>28751715</c:v>
                </c:pt>
                <c:pt idx="2014">
                  <c:v>48043505</c:v>
                </c:pt>
                <c:pt idx="2016">
                  <c:v>52580895</c:v>
                </c:pt>
                <c:pt idx="2018">
                  <c:v>7417210</c:v>
                </c:pt>
                <c:pt idx="2019">
                  <c:v>70098138</c:v>
                </c:pt>
                <c:pt idx="2020">
                  <c:v>66207920</c:v>
                </c:pt>
                <c:pt idx="2021">
                  <c:v>26297</c:v>
                </c:pt>
                <c:pt idx="2022">
                  <c:v>2445646</c:v>
                </c:pt>
                <c:pt idx="2023">
                  <c:v>25093607</c:v>
                </c:pt>
                <c:pt idx="2024">
                  <c:v>1987762</c:v>
                </c:pt>
                <c:pt idx="2025">
                  <c:v>47000485</c:v>
                </c:pt>
                <c:pt idx="2026">
                  <c:v>14938570</c:v>
                </c:pt>
                <c:pt idx="2027">
                  <c:v>418953</c:v>
                </c:pt>
                <c:pt idx="2028">
                  <c:v>91457688</c:v>
                </c:pt>
                <c:pt idx="2029">
                  <c:v>654153780</c:v>
                </c:pt>
                <c:pt idx="2030">
                  <c:v>47396698</c:v>
                </c:pt>
                <c:pt idx="2031">
                  <c:v>17000000</c:v>
                </c:pt>
                <c:pt idx="2032">
                  <c:v>24944213</c:v>
                </c:pt>
                <c:pt idx="2033">
                  <c:v>4006906</c:v>
                </c:pt>
                <c:pt idx="2034">
                  <c:v>10214647</c:v>
                </c:pt>
                <c:pt idx="2035">
                  <c:v>4235837</c:v>
                </c:pt>
                <c:pt idx="2036">
                  <c:v>14942422</c:v>
                </c:pt>
                <c:pt idx="2037">
                  <c:v>36833473</c:v>
                </c:pt>
                <c:pt idx="2038">
                  <c:v>31937</c:v>
                </c:pt>
                <c:pt idx="2039">
                  <c:v>60491560</c:v>
                </c:pt>
                <c:pt idx="2040">
                  <c:v>7022940</c:v>
                </c:pt>
                <c:pt idx="2041">
                  <c:v>17655201</c:v>
                </c:pt>
                <c:pt idx="2042">
                  <c:v>1602466</c:v>
                </c:pt>
                <c:pt idx="2043">
                  <c:v>76418654</c:v>
                </c:pt>
                <c:pt idx="2044">
                  <c:v>10076136</c:v>
                </c:pt>
                <c:pt idx="2045">
                  <c:v>11632420</c:v>
                </c:pt>
                <c:pt idx="2046">
                  <c:v>148734225</c:v>
                </c:pt>
                <c:pt idx="2047">
                  <c:v>79948113</c:v>
                </c:pt>
                <c:pt idx="2048">
                  <c:v>50173190</c:v>
                </c:pt>
                <c:pt idx="2049">
                  <c:v>42592530</c:v>
                </c:pt>
                <c:pt idx="2053">
                  <c:v>5532301</c:v>
                </c:pt>
                <c:pt idx="2054">
                  <c:v>17104669</c:v>
                </c:pt>
                <c:pt idx="2055">
                  <c:v>129115</c:v>
                </c:pt>
                <c:pt idx="2056">
                  <c:v>165230261</c:v>
                </c:pt>
                <c:pt idx="2057">
                  <c:v>143523463</c:v>
                </c:pt>
                <c:pt idx="2058">
                  <c:v>215395021</c:v>
                </c:pt>
                <c:pt idx="2059">
                  <c:v>16033556</c:v>
                </c:pt>
                <c:pt idx="2060">
                  <c:v>20186</c:v>
                </c:pt>
                <c:pt idx="2061">
                  <c:v>64604977</c:v>
                </c:pt>
                <c:pt idx="2062">
                  <c:v>1141829</c:v>
                </c:pt>
                <c:pt idx="2063">
                  <c:v>54215416</c:v>
                </c:pt>
                <c:pt idx="2065">
                  <c:v>886410</c:v>
                </c:pt>
                <c:pt idx="2066">
                  <c:v>13362308</c:v>
                </c:pt>
                <c:pt idx="2067">
                  <c:v>74540762</c:v>
                </c:pt>
                <c:pt idx="2068">
                  <c:v>42272747</c:v>
                </c:pt>
                <c:pt idx="2069">
                  <c:v>1705139</c:v>
                </c:pt>
                <c:pt idx="2070">
                  <c:v>211667</c:v>
                </c:pt>
                <c:pt idx="2074">
                  <c:v>23807</c:v>
                </c:pt>
                <c:pt idx="2075">
                  <c:v>31768374</c:v>
                </c:pt>
                <c:pt idx="2076">
                  <c:v>39263506</c:v>
                </c:pt>
                <c:pt idx="2077">
                  <c:v>20433940</c:v>
                </c:pt>
                <c:pt idx="2078">
                  <c:v>49392095</c:v>
                </c:pt>
                <c:pt idx="2079">
                  <c:v>65653758</c:v>
                </c:pt>
                <c:pt idx="2080">
                  <c:v>131144183</c:v>
                </c:pt>
                <c:pt idx="2081">
                  <c:v>35565975</c:v>
                </c:pt>
                <c:pt idx="2082">
                  <c:v>15655665</c:v>
                </c:pt>
                <c:pt idx="2083">
                  <c:v>5949693</c:v>
                </c:pt>
                <c:pt idx="2084">
                  <c:v>50016394</c:v>
                </c:pt>
                <c:pt idx="2085">
                  <c:v>38360195</c:v>
                </c:pt>
                <c:pt idx="2087">
                  <c:v>2326407</c:v>
                </c:pt>
                <c:pt idx="2088">
                  <c:v>63910583</c:v>
                </c:pt>
                <c:pt idx="2089">
                  <c:v>819939</c:v>
                </c:pt>
                <c:pt idx="2090">
                  <c:v>3895664</c:v>
                </c:pt>
                <c:pt idx="2091">
                  <c:v>73343413</c:v>
                </c:pt>
                <c:pt idx="2092">
                  <c:v>6000000</c:v>
                </c:pt>
                <c:pt idx="2093">
                  <c:v>17848322</c:v>
                </c:pt>
                <c:pt idx="2094">
                  <c:v>2338695</c:v>
                </c:pt>
                <c:pt idx="2095">
                  <c:v>611709</c:v>
                </c:pt>
                <c:pt idx="2096">
                  <c:v>12561</c:v>
                </c:pt>
                <c:pt idx="2097">
                  <c:v>31199215</c:v>
                </c:pt>
                <c:pt idx="2098">
                  <c:v>31968347</c:v>
                </c:pt>
                <c:pt idx="2099">
                  <c:v>116631310</c:v>
                </c:pt>
                <c:pt idx="2100">
                  <c:v>27996564</c:v>
                </c:pt>
                <c:pt idx="2101">
                  <c:v>49851591</c:v>
                </c:pt>
                <c:pt idx="2102">
                  <c:v>89808372</c:v>
                </c:pt>
                <c:pt idx="2103">
                  <c:v>95001351</c:v>
                </c:pt>
                <c:pt idx="2105">
                  <c:v>55673333</c:v>
                </c:pt>
                <c:pt idx="2106">
                  <c:v>1865774</c:v>
                </c:pt>
                <c:pt idx="2107">
                  <c:v>8460990</c:v>
                </c:pt>
                <c:pt idx="2108">
                  <c:v>66528842</c:v>
                </c:pt>
                <c:pt idx="2109">
                  <c:v>40168080</c:v>
                </c:pt>
                <c:pt idx="2110">
                  <c:v>146072</c:v>
                </c:pt>
                <c:pt idx="2111">
                  <c:v>148775460</c:v>
                </c:pt>
                <c:pt idx="2112">
                  <c:v>700000</c:v>
                </c:pt>
                <c:pt idx="2113">
                  <c:v>12134420</c:v>
                </c:pt>
                <c:pt idx="2114">
                  <c:v>144731527</c:v>
                </c:pt>
                <c:pt idx="2115">
                  <c:v>129734803</c:v>
                </c:pt>
                <c:pt idx="2116">
                  <c:v>82389560</c:v>
                </c:pt>
                <c:pt idx="2117">
                  <c:v>4613815</c:v>
                </c:pt>
                <c:pt idx="2119">
                  <c:v>13753931</c:v>
                </c:pt>
                <c:pt idx="2120">
                  <c:v>2848578</c:v>
                </c:pt>
                <c:pt idx="2121">
                  <c:v>53021560</c:v>
                </c:pt>
                <c:pt idx="2122">
                  <c:v>181395380</c:v>
                </c:pt>
                <c:pt idx="2123">
                  <c:v>34667015</c:v>
                </c:pt>
                <c:pt idx="2124">
                  <c:v>43792641</c:v>
                </c:pt>
                <c:pt idx="2126">
                  <c:v>15561627</c:v>
                </c:pt>
                <c:pt idx="2127">
                  <c:v>278821</c:v>
                </c:pt>
                <c:pt idx="2128">
                  <c:v>124976634</c:v>
                </c:pt>
                <c:pt idx="2129">
                  <c:v>14448589</c:v>
                </c:pt>
                <c:pt idx="2133">
                  <c:v>5871603</c:v>
                </c:pt>
                <c:pt idx="2134">
                  <c:v>1100000</c:v>
                </c:pt>
                <c:pt idx="2135">
                  <c:v>56536016</c:v>
                </c:pt>
                <c:pt idx="2136">
                  <c:v>3388210</c:v>
                </c:pt>
                <c:pt idx="2137">
                  <c:v>51432423</c:v>
                </c:pt>
                <c:pt idx="2138">
                  <c:v>145771527</c:v>
                </c:pt>
                <c:pt idx="2139">
                  <c:v>181655</c:v>
                </c:pt>
                <c:pt idx="2141">
                  <c:v>1997807</c:v>
                </c:pt>
                <c:pt idx="2143">
                  <c:v>182204440</c:v>
                </c:pt>
                <c:pt idx="2145">
                  <c:v>14998070</c:v>
                </c:pt>
                <c:pt idx="2146">
                  <c:v>112521</c:v>
                </c:pt>
                <c:pt idx="2149">
                  <c:v>20422207</c:v>
                </c:pt>
                <c:pt idx="2150">
                  <c:v>6420319</c:v>
                </c:pt>
                <c:pt idx="2151">
                  <c:v>5459824</c:v>
                </c:pt>
                <c:pt idx="2152">
                  <c:v>148383780</c:v>
                </c:pt>
                <c:pt idx="2153">
                  <c:v>59889948</c:v>
                </c:pt>
                <c:pt idx="2155">
                  <c:v>39442871</c:v>
                </c:pt>
                <c:pt idx="2156">
                  <c:v>38747385</c:v>
                </c:pt>
                <c:pt idx="2157">
                  <c:v>4595000</c:v>
                </c:pt>
                <c:pt idx="2158">
                  <c:v>183662</c:v>
                </c:pt>
                <c:pt idx="2159">
                  <c:v>50003300</c:v>
                </c:pt>
                <c:pt idx="2160">
                  <c:v>58255287</c:v>
                </c:pt>
                <c:pt idx="2161">
                  <c:v>35400000</c:v>
                </c:pt>
                <c:pt idx="2162">
                  <c:v>134520804</c:v>
                </c:pt>
                <c:pt idx="2165">
                  <c:v>12902790</c:v>
                </c:pt>
                <c:pt idx="2166">
                  <c:v>27979400</c:v>
                </c:pt>
                <c:pt idx="2167">
                  <c:v>3650677</c:v>
                </c:pt>
                <c:pt idx="2168">
                  <c:v>2468</c:v>
                </c:pt>
                <c:pt idx="2169">
                  <c:v>14291570</c:v>
                </c:pt>
                <c:pt idx="2170">
                  <c:v>25000000</c:v>
                </c:pt>
                <c:pt idx="2173">
                  <c:v>62401264</c:v>
                </c:pt>
                <c:pt idx="2175">
                  <c:v>12667</c:v>
                </c:pt>
                <c:pt idx="2176">
                  <c:v>13269963</c:v>
                </c:pt>
                <c:pt idx="2177">
                  <c:v>125069696</c:v>
                </c:pt>
                <c:pt idx="2178">
                  <c:v>12200000</c:v>
                </c:pt>
                <c:pt idx="2179">
                  <c:v>154077</c:v>
                </c:pt>
                <c:pt idx="2180">
                  <c:v>20950820</c:v>
                </c:pt>
                <c:pt idx="2181">
                  <c:v>66468315</c:v>
                </c:pt>
                <c:pt idx="2183">
                  <c:v>24127895</c:v>
                </c:pt>
                <c:pt idx="2184">
                  <c:v>11008432</c:v>
                </c:pt>
                <c:pt idx="2186">
                  <c:v>15464026</c:v>
                </c:pt>
                <c:pt idx="2188">
                  <c:v>69102910</c:v>
                </c:pt>
                <c:pt idx="2189">
                  <c:v>44566004</c:v>
                </c:pt>
                <c:pt idx="2190">
                  <c:v>16779636</c:v>
                </c:pt>
                <c:pt idx="2191">
                  <c:v>24708699</c:v>
                </c:pt>
                <c:pt idx="2192">
                  <c:v>27441122</c:v>
                </c:pt>
                <c:pt idx="2193">
                  <c:v>32357532</c:v>
                </c:pt>
                <c:pt idx="2194">
                  <c:v>59365105</c:v>
                </c:pt>
                <c:pt idx="2195">
                  <c:v>2542264</c:v>
                </c:pt>
                <c:pt idx="2196">
                  <c:v>212285</c:v>
                </c:pt>
                <c:pt idx="2197">
                  <c:v>22927390</c:v>
                </c:pt>
                <c:pt idx="2198">
                  <c:v>4584886</c:v>
                </c:pt>
                <c:pt idx="2200">
                  <c:v>12514138</c:v>
                </c:pt>
                <c:pt idx="2203">
                  <c:v>134904</c:v>
                </c:pt>
                <c:pt idx="2204">
                  <c:v>2800000</c:v>
                </c:pt>
                <c:pt idx="2205">
                  <c:v>26284475</c:v>
                </c:pt>
                <c:pt idx="2206">
                  <c:v>4186931</c:v>
                </c:pt>
                <c:pt idx="2207">
                  <c:v>124720</c:v>
                </c:pt>
                <c:pt idx="2208">
                  <c:v>252726</c:v>
                </c:pt>
                <c:pt idx="2211">
                  <c:v>54606</c:v>
                </c:pt>
                <c:pt idx="2212">
                  <c:v>44988974</c:v>
                </c:pt>
                <c:pt idx="2213">
                  <c:v>10014234</c:v>
                </c:pt>
                <c:pt idx="2214">
                  <c:v>5755286</c:v>
                </c:pt>
                <c:pt idx="2215">
                  <c:v>126546825</c:v>
                </c:pt>
                <c:pt idx="2216">
                  <c:v>428535</c:v>
                </c:pt>
                <c:pt idx="2219">
                  <c:v>8460995</c:v>
                </c:pt>
                <c:pt idx="2220">
                  <c:v>7268659</c:v>
                </c:pt>
                <c:pt idx="2221">
                  <c:v>26589953</c:v>
                </c:pt>
                <c:pt idx="2223">
                  <c:v>537580</c:v>
                </c:pt>
                <c:pt idx="2224">
                  <c:v>10556196</c:v>
                </c:pt>
                <c:pt idx="2225">
                  <c:v>8044906</c:v>
                </c:pt>
                <c:pt idx="2226">
                  <c:v>9003011</c:v>
                </c:pt>
                <c:pt idx="2227">
                  <c:v>36200000</c:v>
                </c:pt>
                <c:pt idx="2229">
                  <c:v>153629485</c:v>
                </c:pt>
                <c:pt idx="2230">
                  <c:v>20668843</c:v>
                </c:pt>
                <c:pt idx="2231">
                  <c:v>48856</c:v>
                </c:pt>
                <c:pt idx="2232">
                  <c:v>216366733</c:v>
                </c:pt>
                <c:pt idx="2233">
                  <c:v>193136719</c:v>
                </c:pt>
                <c:pt idx="2234">
                  <c:v>179982968</c:v>
                </c:pt>
                <c:pt idx="2235">
                  <c:v>1094798</c:v>
                </c:pt>
                <c:pt idx="2236">
                  <c:v>46012734</c:v>
                </c:pt>
                <c:pt idx="2237">
                  <c:v>5308707</c:v>
                </c:pt>
                <c:pt idx="2238">
                  <c:v>90485233</c:v>
                </c:pt>
                <c:pt idx="2239">
                  <c:v>63231524</c:v>
                </c:pt>
                <c:pt idx="2240">
                  <c:v>65623128</c:v>
                </c:pt>
                <c:pt idx="2241">
                  <c:v>508867</c:v>
                </c:pt>
                <c:pt idx="2242">
                  <c:v>131175</c:v>
                </c:pt>
                <c:pt idx="2243">
                  <c:v>66009973</c:v>
                </c:pt>
                <c:pt idx="2244">
                  <c:v>113709992</c:v>
                </c:pt>
                <c:pt idx="2245">
                  <c:v>22450975</c:v>
                </c:pt>
                <c:pt idx="2246">
                  <c:v>93815117</c:v>
                </c:pt>
                <c:pt idx="2247">
                  <c:v>14873</c:v>
                </c:pt>
                <c:pt idx="2248">
                  <c:v>49797148</c:v>
                </c:pt>
                <c:pt idx="2249">
                  <c:v>48169908</c:v>
                </c:pt>
                <c:pt idx="2250">
                  <c:v>241407328</c:v>
                </c:pt>
                <c:pt idx="2252">
                  <c:v>34308901</c:v>
                </c:pt>
                <c:pt idx="2253">
                  <c:v>2122561</c:v>
                </c:pt>
                <c:pt idx="2254">
                  <c:v>3060858</c:v>
                </c:pt>
                <c:pt idx="2255">
                  <c:v>71588220</c:v>
                </c:pt>
                <c:pt idx="2256">
                  <c:v>6239558</c:v>
                </c:pt>
                <c:pt idx="2257">
                  <c:v>143704210</c:v>
                </c:pt>
                <c:pt idx="2258">
                  <c:v>291021565</c:v>
                </c:pt>
                <c:pt idx="2259">
                  <c:v>19118247</c:v>
                </c:pt>
                <c:pt idx="2260">
                  <c:v>37442180</c:v>
                </c:pt>
                <c:pt idx="2261">
                  <c:v>18600911</c:v>
                </c:pt>
                <c:pt idx="2262">
                  <c:v>77862546</c:v>
                </c:pt>
                <c:pt idx="2263">
                  <c:v>34580635</c:v>
                </c:pt>
                <c:pt idx="2264">
                  <c:v>2957978</c:v>
                </c:pt>
                <c:pt idx="2265">
                  <c:v>8324748</c:v>
                </c:pt>
                <c:pt idx="2266">
                  <c:v>74205</c:v>
                </c:pt>
                <c:pt idx="2267">
                  <c:v>12843</c:v>
                </c:pt>
                <c:pt idx="2269">
                  <c:v>4806750</c:v>
                </c:pt>
                <c:pt idx="2270">
                  <c:v>77413017</c:v>
                </c:pt>
                <c:pt idx="2271">
                  <c:v>1000000</c:v>
                </c:pt>
                <c:pt idx="2272">
                  <c:v>1646664</c:v>
                </c:pt>
                <c:pt idx="2273">
                  <c:v>46495</c:v>
                </c:pt>
                <c:pt idx="2274">
                  <c:v>5354039</c:v>
                </c:pt>
                <c:pt idx="2275">
                  <c:v>6517198</c:v>
                </c:pt>
                <c:pt idx="2276">
                  <c:v>15962471</c:v>
                </c:pt>
                <c:pt idx="2277">
                  <c:v>333658</c:v>
                </c:pt>
                <c:pt idx="2278">
                  <c:v>143151473</c:v>
                </c:pt>
                <c:pt idx="2279">
                  <c:v>33643461</c:v>
                </c:pt>
                <c:pt idx="2280">
                  <c:v>1506998</c:v>
                </c:pt>
                <c:pt idx="2281">
                  <c:v>37754208</c:v>
                </c:pt>
                <c:pt idx="2282">
                  <c:v>21379315</c:v>
                </c:pt>
                <c:pt idx="2283">
                  <c:v>2981638</c:v>
                </c:pt>
                <c:pt idx="2284">
                  <c:v>7486906</c:v>
                </c:pt>
                <c:pt idx="2285">
                  <c:v>19184015</c:v>
                </c:pt>
                <c:pt idx="2286">
                  <c:v>12782508</c:v>
                </c:pt>
                <c:pt idx="2287">
                  <c:v>102300000</c:v>
                </c:pt>
                <c:pt idx="2288">
                  <c:v>5600000</c:v>
                </c:pt>
                <c:pt idx="2289">
                  <c:v>533344</c:v>
                </c:pt>
                <c:pt idx="2290">
                  <c:v>93926386</c:v>
                </c:pt>
                <c:pt idx="2291">
                  <c:v>23089926</c:v>
                </c:pt>
                <c:pt idx="2292">
                  <c:v>3130592</c:v>
                </c:pt>
                <c:pt idx="2293">
                  <c:v>17292381</c:v>
                </c:pt>
                <c:pt idx="2294">
                  <c:v>40687294</c:v>
                </c:pt>
                <c:pt idx="2295">
                  <c:v>42652003</c:v>
                </c:pt>
                <c:pt idx="2296">
                  <c:v>14095303</c:v>
                </c:pt>
                <c:pt idx="2297">
                  <c:v>145540</c:v>
                </c:pt>
                <c:pt idx="2298">
                  <c:v>44469602</c:v>
                </c:pt>
                <c:pt idx="2300">
                  <c:v>1186957</c:v>
                </c:pt>
                <c:pt idx="2301">
                  <c:v>3885134</c:v>
                </c:pt>
                <c:pt idx="2302">
                  <c:v>56154094</c:v>
                </c:pt>
                <c:pt idx="2304">
                  <c:v>90567722</c:v>
                </c:pt>
                <c:pt idx="2305">
                  <c:v>603943</c:v>
                </c:pt>
                <c:pt idx="2306">
                  <c:v>86049418</c:v>
                </c:pt>
                <c:pt idx="2307">
                  <c:v>92191</c:v>
                </c:pt>
                <c:pt idx="2308">
                  <c:v>32645</c:v>
                </c:pt>
                <c:pt idx="2309">
                  <c:v>45500797</c:v>
                </c:pt>
                <c:pt idx="2310">
                  <c:v>977600</c:v>
                </c:pt>
                <c:pt idx="2311">
                  <c:v>11802056</c:v>
                </c:pt>
                <c:pt idx="2312">
                  <c:v>44606335</c:v>
                </c:pt>
                <c:pt idx="2314">
                  <c:v>4308981</c:v>
                </c:pt>
                <c:pt idx="2315">
                  <c:v>279167575</c:v>
                </c:pt>
                <c:pt idx="2316">
                  <c:v>166225040</c:v>
                </c:pt>
                <c:pt idx="2317">
                  <c:v>38232624</c:v>
                </c:pt>
                <c:pt idx="2318">
                  <c:v>5333658</c:v>
                </c:pt>
                <c:pt idx="2319">
                  <c:v>148337537</c:v>
                </c:pt>
                <c:pt idx="2320">
                  <c:v>5974653</c:v>
                </c:pt>
                <c:pt idx="2321">
                  <c:v>3029870</c:v>
                </c:pt>
                <c:pt idx="2322">
                  <c:v>25530884</c:v>
                </c:pt>
                <c:pt idx="2323">
                  <c:v>57010853</c:v>
                </c:pt>
                <c:pt idx="2324">
                  <c:v>14358033</c:v>
                </c:pt>
                <c:pt idx="2325">
                  <c:v>179020854</c:v>
                </c:pt>
                <c:pt idx="2326">
                  <c:v>190418803</c:v>
                </c:pt>
                <c:pt idx="2327">
                  <c:v>250147615</c:v>
                </c:pt>
                <c:pt idx="2328">
                  <c:v>48814909</c:v>
                </c:pt>
                <c:pt idx="2330">
                  <c:v>4239767</c:v>
                </c:pt>
                <c:pt idx="2331">
                  <c:v>27900000</c:v>
                </c:pt>
                <c:pt idx="2332">
                  <c:v>65881014</c:v>
                </c:pt>
                <c:pt idx="2333">
                  <c:v>171988</c:v>
                </c:pt>
                <c:pt idx="2334">
                  <c:v>52799004</c:v>
                </c:pt>
                <c:pt idx="2335">
                  <c:v>3419967</c:v>
                </c:pt>
                <c:pt idx="2337">
                  <c:v>26435</c:v>
                </c:pt>
                <c:pt idx="2338">
                  <c:v>2938208</c:v>
                </c:pt>
                <c:pt idx="2339">
                  <c:v>3330</c:v>
                </c:pt>
                <c:pt idx="2341">
                  <c:v>49024969</c:v>
                </c:pt>
                <c:pt idx="2342">
                  <c:v>11030963</c:v>
                </c:pt>
                <c:pt idx="2343">
                  <c:v>18642318</c:v>
                </c:pt>
                <c:pt idx="2344">
                  <c:v>33864342</c:v>
                </c:pt>
                <c:pt idx="2345">
                  <c:v>1260917</c:v>
                </c:pt>
                <c:pt idx="2346">
                  <c:v>78030</c:v>
                </c:pt>
                <c:pt idx="2349">
                  <c:v>56816662</c:v>
                </c:pt>
                <c:pt idx="2350">
                  <c:v>25078937</c:v>
                </c:pt>
                <c:pt idx="2351">
                  <c:v>38413606</c:v>
                </c:pt>
                <c:pt idx="2352">
                  <c:v>3707794</c:v>
                </c:pt>
                <c:pt idx="2353">
                  <c:v>50628009</c:v>
                </c:pt>
                <c:pt idx="2354">
                  <c:v>31838002</c:v>
                </c:pt>
                <c:pt idx="2355">
                  <c:v>36447959</c:v>
                </c:pt>
                <c:pt idx="2356">
                  <c:v>100422786</c:v>
                </c:pt>
                <c:pt idx="2357">
                  <c:v>4476235</c:v>
                </c:pt>
                <c:pt idx="2358">
                  <c:v>336029560</c:v>
                </c:pt>
                <c:pt idx="2359">
                  <c:v>132014112</c:v>
                </c:pt>
                <c:pt idx="2360">
                  <c:v>7916887</c:v>
                </c:pt>
                <c:pt idx="2361">
                  <c:v>64371181</c:v>
                </c:pt>
                <c:pt idx="2362">
                  <c:v>61693523</c:v>
                </c:pt>
                <c:pt idx="2363">
                  <c:v>64933670</c:v>
                </c:pt>
                <c:pt idx="2364">
                  <c:v>864959</c:v>
                </c:pt>
                <c:pt idx="2365">
                  <c:v>30691439</c:v>
                </c:pt>
                <c:pt idx="2367">
                  <c:v>48472213</c:v>
                </c:pt>
                <c:pt idx="2368">
                  <c:v>106807667</c:v>
                </c:pt>
                <c:pt idx="2370">
                  <c:v>4542775</c:v>
                </c:pt>
                <c:pt idx="2371">
                  <c:v>2975649</c:v>
                </c:pt>
                <c:pt idx="2372">
                  <c:v>60874615</c:v>
                </c:pt>
                <c:pt idx="2373">
                  <c:v>209364921</c:v>
                </c:pt>
                <c:pt idx="2374">
                  <c:v>195000874</c:v>
                </c:pt>
                <c:pt idx="2375">
                  <c:v>215397307</c:v>
                </c:pt>
                <c:pt idx="2376">
                  <c:v>133382309</c:v>
                </c:pt>
                <c:pt idx="2377">
                  <c:v>180965237</c:v>
                </c:pt>
                <c:pt idx="2378">
                  <c:v>26893</c:v>
                </c:pt>
                <c:pt idx="2379">
                  <c:v>16153600</c:v>
                </c:pt>
                <c:pt idx="2382">
                  <c:v>163245</c:v>
                </c:pt>
                <c:pt idx="2383">
                  <c:v>634277</c:v>
                </c:pt>
                <c:pt idx="2384">
                  <c:v>15593</c:v>
                </c:pt>
                <c:pt idx="2386">
                  <c:v>10429707</c:v>
                </c:pt>
                <c:pt idx="2387">
                  <c:v>63695760</c:v>
                </c:pt>
                <c:pt idx="2388">
                  <c:v>146402</c:v>
                </c:pt>
                <c:pt idx="2389">
                  <c:v>41008532</c:v>
                </c:pt>
                <c:pt idx="2390">
                  <c:v>41067398</c:v>
                </c:pt>
                <c:pt idx="2391">
                  <c:v>35324232</c:v>
                </c:pt>
                <c:pt idx="2392">
                  <c:v>75605492</c:v>
                </c:pt>
                <c:pt idx="2393">
                  <c:v>5701643</c:v>
                </c:pt>
                <c:pt idx="2394">
                  <c:v>5409517</c:v>
                </c:pt>
                <c:pt idx="2395">
                  <c:v>13876974</c:v>
                </c:pt>
                <c:pt idx="2396">
                  <c:v>73661010</c:v>
                </c:pt>
                <c:pt idx="2397">
                  <c:v>34468224</c:v>
                </c:pt>
                <c:pt idx="2398">
                  <c:v>82931301</c:v>
                </c:pt>
                <c:pt idx="2399">
                  <c:v>31252964</c:v>
                </c:pt>
                <c:pt idx="2400">
                  <c:v>268488329</c:v>
                </c:pt>
                <c:pt idx="2401">
                  <c:v>198332128</c:v>
                </c:pt>
                <c:pt idx="2402">
                  <c:v>237301</c:v>
                </c:pt>
                <c:pt idx="2403">
                  <c:v>289907418</c:v>
                </c:pt>
                <c:pt idx="2404">
                  <c:v>23179303</c:v>
                </c:pt>
                <c:pt idx="2405">
                  <c:v>1229197</c:v>
                </c:pt>
                <c:pt idx="2406">
                  <c:v>5009677</c:v>
                </c:pt>
                <c:pt idx="2407">
                  <c:v>6830957</c:v>
                </c:pt>
                <c:pt idx="2408">
                  <c:v>62700000</c:v>
                </c:pt>
                <c:pt idx="2409">
                  <c:v>45507053</c:v>
                </c:pt>
                <c:pt idx="2411">
                  <c:v>30993544</c:v>
                </c:pt>
                <c:pt idx="2412">
                  <c:v>70360285</c:v>
                </c:pt>
                <c:pt idx="2413">
                  <c:v>35927406</c:v>
                </c:pt>
                <c:pt idx="2414">
                  <c:v>7605668</c:v>
                </c:pt>
                <c:pt idx="2415">
                  <c:v>267194</c:v>
                </c:pt>
                <c:pt idx="2416">
                  <c:v>1110286</c:v>
                </c:pt>
                <c:pt idx="2417">
                  <c:v>92900</c:v>
                </c:pt>
                <c:pt idx="2418">
                  <c:v>57386369</c:v>
                </c:pt>
                <c:pt idx="2419">
                  <c:v>8828771</c:v>
                </c:pt>
                <c:pt idx="2420">
                  <c:v>706622</c:v>
                </c:pt>
                <c:pt idx="2421">
                  <c:v>21800302</c:v>
                </c:pt>
                <c:pt idx="2422">
                  <c:v>186336103</c:v>
                </c:pt>
                <c:pt idx="2423">
                  <c:v>32553210</c:v>
                </c:pt>
                <c:pt idx="2425">
                  <c:v>126203320</c:v>
                </c:pt>
                <c:pt idx="2426">
                  <c:v>82528097</c:v>
                </c:pt>
                <c:pt idx="2427">
                  <c:v>12674183</c:v>
                </c:pt>
                <c:pt idx="2428">
                  <c:v>111505642</c:v>
                </c:pt>
                <c:pt idx="2429">
                  <c:v>68218041</c:v>
                </c:pt>
                <c:pt idx="2431">
                  <c:v>3958500</c:v>
                </c:pt>
                <c:pt idx="2432">
                  <c:v>11034436</c:v>
                </c:pt>
                <c:pt idx="2433">
                  <c:v>219200000</c:v>
                </c:pt>
                <c:pt idx="2434">
                  <c:v>10070000</c:v>
                </c:pt>
                <c:pt idx="2435">
                  <c:v>22551000</c:v>
                </c:pt>
                <c:pt idx="2436">
                  <c:v>21589307</c:v>
                </c:pt>
                <c:pt idx="2437">
                  <c:v>120618403</c:v>
                </c:pt>
                <c:pt idx="2438">
                  <c:v>7219578</c:v>
                </c:pt>
                <c:pt idx="2439">
                  <c:v>20101861</c:v>
                </c:pt>
                <c:pt idx="2440">
                  <c:v>4554569</c:v>
                </c:pt>
                <c:pt idx="2441">
                  <c:v>47379090</c:v>
                </c:pt>
                <c:pt idx="2442">
                  <c:v>16290976</c:v>
                </c:pt>
                <c:pt idx="2443">
                  <c:v>51178893</c:v>
                </c:pt>
                <c:pt idx="2444">
                  <c:v>63749738</c:v>
                </c:pt>
                <c:pt idx="2445">
                  <c:v>1523883</c:v>
                </c:pt>
                <c:pt idx="2446">
                  <c:v>50562555</c:v>
                </c:pt>
                <c:pt idx="2447">
                  <c:v>43894863</c:v>
                </c:pt>
                <c:pt idx="2451">
                  <c:v>17321573</c:v>
                </c:pt>
                <c:pt idx="2453">
                  <c:v>19151864</c:v>
                </c:pt>
                <c:pt idx="2454">
                  <c:v>126805112</c:v>
                </c:pt>
                <c:pt idx="2455">
                  <c:v>59573085</c:v>
                </c:pt>
                <c:pt idx="2456">
                  <c:v>241437427</c:v>
                </c:pt>
                <c:pt idx="2458">
                  <c:v>51527787</c:v>
                </c:pt>
                <c:pt idx="2459">
                  <c:v>866778</c:v>
                </c:pt>
                <c:pt idx="2460">
                  <c:v>15549702</c:v>
                </c:pt>
                <c:pt idx="2461">
                  <c:v>52929168</c:v>
                </c:pt>
                <c:pt idx="2462">
                  <c:v>85222</c:v>
                </c:pt>
                <c:pt idx="2463">
                  <c:v>34099640</c:v>
                </c:pt>
                <c:pt idx="2464">
                  <c:v>246574</c:v>
                </c:pt>
                <c:pt idx="2465">
                  <c:v>72000000</c:v>
                </c:pt>
                <c:pt idx="2466">
                  <c:v>36830057</c:v>
                </c:pt>
                <c:pt idx="2467">
                  <c:v>22294341</c:v>
                </c:pt>
                <c:pt idx="2468">
                  <c:v>59847242</c:v>
                </c:pt>
                <c:pt idx="2470">
                  <c:v>8662318</c:v>
                </c:pt>
                <c:pt idx="2471">
                  <c:v>395592</c:v>
                </c:pt>
                <c:pt idx="2472">
                  <c:v>50000</c:v>
                </c:pt>
                <c:pt idx="2473">
                  <c:v>173066</c:v>
                </c:pt>
                <c:pt idx="2474">
                  <c:v>4018695</c:v>
                </c:pt>
                <c:pt idx="2475">
                  <c:v>6401336</c:v>
                </c:pt>
                <c:pt idx="2476">
                  <c:v>49185998</c:v>
                </c:pt>
                <c:pt idx="2477">
                  <c:v>29274980</c:v>
                </c:pt>
                <c:pt idx="2478">
                  <c:v>13854000</c:v>
                </c:pt>
                <c:pt idx="2479">
                  <c:v>992238</c:v>
                </c:pt>
                <c:pt idx="2480">
                  <c:v>22526144</c:v>
                </c:pt>
                <c:pt idx="2481">
                  <c:v>14597405</c:v>
                </c:pt>
                <c:pt idx="2482">
                  <c:v>29655590</c:v>
                </c:pt>
                <c:pt idx="2483">
                  <c:v>8888143</c:v>
                </c:pt>
                <c:pt idx="2484">
                  <c:v>12793213</c:v>
                </c:pt>
                <c:pt idx="2485">
                  <c:v>90135191</c:v>
                </c:pt>
                <c:pt idx="2486">
                  <c:v>80197993</c:v>
                </c:pt>
                <c:pt idx="2487">
                  <c:v>51109400</c:v>
                </c:pt>
                <c:pt idx="2488">
                  <c:v>1207007</c:v>
                </c:pt>
                <c:pt idx="2489">
                  <c:v>25584685</c:v>
                </c:pt>
                <c:pt idx="2490">
                  <c:v>28995450</c:v>
                </c:pt>
                <c:pt idx="2491">
                  <c:v>47124400</c:v>
                </c:pt>
                <c:pt idx="2492">
                  <c:v>44540956</c:v>
                </c:pt>
                <c:pt idx="2493">
                  <c:v>10460089</c:v>
                </c:pt>
                <c:pt idx="2494">
                  <c:v>61400000</c:v>
                </c:pt>
                <c:pt idx="2495">
                  <c:v>173005002</c:v>
                </c:pt>
                <c:pt idx="2496">
                  <c:v>10508</c:v>
                </c:pt>
                <c:pt idx="2498">
                  <c:v>100358</c:v>
                </c:pt>
                <c:pt idx="2499">
                  <c:v>17613460</c:v>
                </c:pt>
                <c:pt idx="2500">
                  <c:v>43568507</c:v>
                </c:pt>
                <c:pt idx="2501">
                  <c:v>55291815</c:v>
                </c:pt>
                <c:pt idx="2502">
                  <c:v>150056505</c:v>
                </c:pt>
                <c:pt idx="2503">
                  <c:v>28876924</c:v>
                </c:pt>
                <c:pt idx="2505">
                  <c:v>295468</c:v>
                </c:pt>
                <c:pt idx="2507">
                  <c:v>24848292</c:v>
                </c:pt>
                <c:pt idx="2508">
                  <c:v>2412045</c:v>
                </c:pt>
                <c:pt idx="2509">
                  <c:v>55500000</c:v>
                </c:pt>
                <c:pt idx="2510">
                  <c:v>16699684</c:v>
                </c:pt>
                <c:pt idx="2511">
                  <c:v>18090181</c:v>
                </c:pt>
                <c:pt idx="2512">
                  <c:v>54540525</c:v>
                </c:pt>
                <c:pt idx="2513">
                  <c:v>14018364</c:v>
                </c:pt>
                <c:pt idx="2514">
                  <c:v>10763469</c:v>
                </c:pt>
                <c:pt idx="2516">
                  <c:v>4584</c:v>
                </c:pt>
                <c:pt idx="2517">
                  <c:v>10017041</c:v>
                </c:pt>
                <c:pt idx="2518">
                  <c:v>57176582</c:v>
                </c:pt>
                <c:pt idx="2519">
                  <c:v>3386698</c:v>
                </c:pt>
                <c:pt idx="2521">
                  <c:v>1309849</c:v>
                </c:pt>
                <c:pt idx="2522">
                  <c:v>31487293</c:v>
                </c:pt>
                <c:pt idx="2523">
                  <c:v>250863268</c:v>
                </c:pt>
                <c:pt idx="2524">
                  <c:v>177243721</c:v>
                </c:pt>
                <c:pt idx="2525">
                  <c:v>113733726</c:v>
                </c:pt>
                <c:pt idx="2527">
                  <c:v>1487477</c:v>
                </c:pt>
                <c:pt idx="2528">
                  <c:v>32279955</c:v>
                </c:pt>
                <c:pt idx="2531">
                  <c:v>48006503</c:v>
                </c:pt>
                <c:pt idx="2533">
                  <c:v>1221261</c:v>
                </c:pt>
                <c:pt idx="2534">
                  <c:v>19673424</c:v>
                </c:pt>
                <c:pt idx="2535">
                  <c:v>38105077</c:v>
                </c:pt>
                <c:pt idx="2536">
                  <c:v>13560960</c:v>
                </c:pt>
                <c:pt idx="2537">
                  <c:v>74273505</c:v>
                </c:pt>
                <c:pt idx="2538">
                  <c:v>1430185</c:v>
                </c:pt>
                <c:pt idx="2539">
                  <c:v>27285953</c:v>
                </c:pt>
                <c:pt idx="2540">
                  <c:v>52543632</c:v>
                </c:pt>
                <c:pt idx="2542">
                  <c:v>43097652</c:v>
                </c:pt>
                <c:pt idx="2543">
                  <c:v>70625986</c:v>
                </c:pt>
                <c:pt idx="2545">
                  <c:v>101160529</c:v>
                </c:pt>
                <c:pt idx="2546">
                  <c:v>77231</c:v>
                </c:pt>
                <c:pt idx="2547">
                  <c:v>91439400</c:v>
                </c:pt>
                <c:pt idx="2548">
                  <c:v>18324242</c:v>
                </c:pt>
                <c:pt idx="2549">
                  <c:v>1420578</c:v>
                </c:pt>
                <c:pt idx="2550">
                  <c:v>37882551</c:v>
                </c:pt>
                <c:pt idx="2551">
                  <c:v>35688</c:v>
                </c:pt>
                <c:pt idx="2552">
                  <c:v>10572742</c:v>
                </c:pt>
                <c:pt idx="2553">
                  <c:v>17508670</c:v>
                </c:pt>
                <c:pt idx="2554">
                  <c:v>12438</c:v>
                </c:pt>
                <c:pt idx="2555">
                  <c:v>44455658</c:v>
                </c:pt>
                <c:pt idx="2557">
                  <c:v>116006080</c:v>
                </c:pt>
                <c:pt idx="2558">
                  <c:v>191309</c:v>
                </c:pt>
                <c:pt idx="2559">
                  <c:v>2025238</c:v>
                </c:pt>
                <c:pt idx="2561">
                  <c:v>64685359</c:v>
                </c:pt>
                <c:pt idx="2562">
                  <c:v>117698894</c:v>
                </c:pt>
                <c:pt idx="2563">
                  <c:v>1445366</c:v>
                </c:pt>
                <c:pt idx="2564">
                  <c:v>6173485</c:v>
                </c:pt>
                <c:pt idx="2565">
                  <c:v>22189039</c:v>
                </c:pt>
                <c:pt idx="2566">
                  <c:v>2592808</c:v>
                </c:pt>
                <c:pt idx="2568">
                  <c:v>25167270</c:v>
                </c:pt>
                <c:pt idx="2569">
                  <c:v>123307945</c:v>
                </c:pt>
                <c:pt idx="2570">
                  <c:v>45506619</c:v>
                </c:pt>
                <c:pt idx="2571">
                  <c:v>32034806</c:v>
                </c:pt>
                <c:pt idx="2573">
                  <c:v>89021735</c:v>
                </c:pt>
                <c:pt idx="2574">
                  <c:v>23993605</c:v>
                </c:pt>
                <c:pt idx="2575">
                  <c:v>3122616</c:v>
                </c:pt>
                <c:pt idx="2576">
                  <c:v>183405771</c:v>
                </c:pt>
                <c:pt idx="2577">
                  <c:v>117144465</c:v>
                </c:pt>
                <c:pt idx="2578">
                  <c:v>125531634</c:v>
                </c:pt>
                <c:pt idx="2579">
                  <c:v>19406406</c:v>
                </c:pt>
                <c:pt idx="2580">
                  <c:v>5355847</c:v>
                </c:pt>
                <c:pt idx="2581">
                  <c:v>67900000</c:v>
                </c:pt>
                <c:pt idx="2582">
                  <c:v>27689474</c:v>
                </c:pt>
                <c:pt idx="2583">
                  <c:v>3950029</c:v>
                </c:pt>
                <c:pt idx="2584">
                  <c:v>11835</c:v>
                </c:pt>
                <c:pt idx="2585">
                  <c:v>10824921</c:v>
                </c:pt>
                <c:pt idx="2586">
                  <c:v>49474048</c:v>
                </c:pt>
                <c:pt idx="2587">
                  <c:v>255352</c:v>
                </c:pt>
                <c:pt idx="2588">
                  <c:v>74608545</c:v>
                </c:pt>
                <c:pt idx="2589">
                  <c:v>2181290</c:v>
                </c:pt>
                <c:pt idx="2590">
                  <c:v>1987287</c:v>
                </c:pt>
                <c:pt idx="2591">
                  <c:v>16800000</c:v>
                </c:pt>
                <c:pt idx="2592">
                  <c:v>98895417</c:v>
                </c:pt>
                <c:pt idx="2593">
                  <c:v>38590500</c:v>
                </c:pt>
                <c:pt idx="2594">
                  <c:v>22800000</c:v>
                </c:pt>
                <c:pt idx="2596">
                  <c:v>4356743</c:v>
                </c:pt>
                <c:pt idx="2598">
                  <c:v>717753</c:v>
                </c:pt>
                <c:pt idx="2599">
                  <c:v>9600000</c:v>
                </c:pt>
                <c:pt idx="2600">
                  <c:v>144431</c:v>
                </c:pt>
                <c:pt idx="2601">
                  <c:v>5300000</c:v>
                </c:pt>
                <c:pt idx="2602">
                  <c:v>55845943</c:v>
                </c:pt>
                <c:pt idx="2605">
                  <c:v>9437933</c:v>
                </c:pt>
                <c:pt idx="2606">
                  <c:v>548934</c:v>
                </c:pt>
                <c:pt idx="2607">
                  <c:v>13766014</c:v>
                </c:pt>
                <c:pt idx="2608">
                  <c:v>28873374</c:v>
                </c:pt>
                <c:pt idx="2609">
                  <c:v>112000000</c:v>
                </c:pt>
                <c:pt idx="2610">
                  <c:v>26404753</c:v>
                </c:pt>
                <c:pt idx="2611">
                  <c:v>31597131</c:v>
                </c:pt>
                <c:pt idx="2612">
                  <c:v>229311</c:v>
                </c:pt>
                <c:pt idx="2613">
                  <c:v>26876529</c:v>
                </c:pt>
                <c:pt idx="2614">
                  <c:v>13391174</c:v>
                </c:pt>
                <c:pt idx="2615">
                  <c:v>18435</c:v>
                </c:pt>
                <c:pt idx="2616">
                  <c:v>23209440</c:v>
                </c:pt>
                <c:pt idx="2617">
                  <c:v>102055</c:v>
                </c:pt>
                <c:pt idx="2618">
                  <c:v>778565</c:v>
                </c:pt>
                <c:pt idx="2619">
                  <c:v>3273588</c:v>
                </c:pt>
                <c:pt idx="2620">
                  <c:v>13751</c:v>
                </c:pt>
                <c:pt idx="2621">
                  <c:v>58328680</c:v>
                </c:pt>
                <c:pt idx="2623">
                  <c:v>84303558</c:v>
                </c:pt>
                <c:pt idx="2625">
                  <c:v>30500882</c:v>
                </c:pt>
                <c:pt idx="2626">
                  <c:v>31662</c:v>
                </c:pt>
                <c:pt idx="2628">
                  <c:v>54800000</c:v>
                </c:pt>
                <c:pt idx="2629">
                  <c:v>582024</c:v>
                </c:pt>
                <c:pt idx="2630">
                  <c:v>16252765</c:v>
                </c:pt>
                <c:pt idx="2631">
                  <c:v>41573740</c:v>
                </c:pt>
                <c:pt idx="2632">
                  <c:v>1127331</c:v>
                </c:pt>
                <c:pt idx="2633">
                  <c:v>1508689</c:v>
                </c:pt>
                <c:pt idx="2634">
                  <c:v>13596911</c:v>
                </c:pt>
                <c:pt idx="2635">
                  <c:v>50820940</c:v>
                </c:pt>
                <c:pt idx="2636">
                  <c:v>6998324</c:v>
                </c:pt>
                <c:pt idx="2637">
                  <c:v>20246959</c:v>
                </c:pt>
                <c:pt idx="2638">
                  <c:v>24809547</c:v>
                </c:pt>
                <c:pt idx="2639">
                  <c:v>3108216</c:v>
                </c:pt>
                <c:pt idx="2640">
                  <c:v>13903262</c:v>
                </c:pt>
                <c:pt idx="2641">
                  <c:v>87100000</c:v>
                </c:pt>
                <c:pt idx="2643">
                  <c:v>37339525</c:v>
                </c:pt>
                <c:pt idx="2644">
                  <c:v>728</c:v>
                </c:pt>
                <c:pt idx="2646">
                  <c:v>11326836</c:v>
                </c:pt>
                <c:pt idx="2647">
                  <c:v>40905277</c:v>
                </c:pt>
                <c:pt idx="2648">
                  <c:v>67823573</c:v>
                </c:pt>
                <c:pt idx="2651">
                  <c:v>7292175</c:v>
                </c:pt>
                <c:pt idx="2652">
                  <c:v>7563670</c:v>
                </c:pt>
                <c:pt idx="2653">
                  <c:v>155019340</c:v>
                </c:pt>
                <c:pt idx="2654">
                  <c:v>3000000</c:v>
                </c:pt>
                <c:pt idx="2655">
                  <c:v>1011054</c:v>
                </c:pt>
                <c:pt idx="2656">
                  <c:v>469806152</c:v>
                </c:pt>
                <c:pt idx="2657">
                  <c:v>53680848</c:v>
                </c:pt>
                <c:pt idx="2658">
                  <c:v>199228</c:v>
                </c:pt>
                <c:pt idx="2659">
                  <c:v>101785482</c:v>
                </c:pt>
                <c:pt idx="2660">
                  <c:v>76137505</c:v>
                </c:pt>
                <c:pt idx="2661">
                  <c:v>49874933</c:v>
                </c:pt>
                <c:pt idx="2663">
                  <c:v>41400000</c:v>
                </c:pt>
                <c:pt idx="2664">
                  <c:v>750100</c:v>
                </c:pt>
                <c:pt idx="2665">
                  <c:v>104894454</c:v>
                </c:pt>
                <c:pt idx="2667">
                  <c:v>9950</c:v>
                </c:pt>
                <c:pt idx="2668">
                  <c:v>10326062</c:v>
                </c:pt>
                <c:pt idx="2669">
                  <c:v>95308367</c:v>
                </c:pt>
                <c:pt idx="2670">
                  <c:v>37623143</c:v>
                </c:pt>
                <c:pt idx="2671">
                  <c:v>15712072</c:v>
                </c:pt>
                <c:pt idx="2672">
                  <c:v>31990064</c:v>
                </c:pt>
                <c:pt idx="2673">
                  <c:v>84749884</c:v>
                </c:pt>
                <c:pt idx="2674">
                  <c:v>104007828</c:v>
                </c:pt>
                <c:pt idx="2675">
                  <c:v>53884821</c:v>
                </c:pt>
                <c:pt idx="2676">
                  <c:v>107917283</c:v>
                </c:pt>
                <c:pt idx="2677">
                  <c:v>32453345</c:v>
                </c:pt>
                <c:pt idx="2678">
                  <c:v>55994557</c:v>
                </c:pt>
                <c:pt idx="2679">
                  <c:v>77264926</c:v>
                </c:pt>
                <c:pt idx="2680">
                  <c:v>4857376</c:v>
                </c:pt>
                <c:pt idx="2681">
                  <c:v>17609982</c:v>
                </c:pt>
                <c:pt idx="2683">
                  <c:v>296665</c:v>
                </c:pt>
                <c:pt idx="2686">
                  <c:v>135014968</c:v>
                </c:pt>
                <c:pt idx="2687">
                  <c:v>108662</c:v>
                </c:pt>
                <c:pt idx="2688">
                  <c:v>83287363</c:v>
                </c:pt>
                <c:pt idx="2690">
                  <c:v>71038190</c:v>
                </c:pt>
                <c:pt idx="2691">
                  <c:v>20819129</c:v>
                </c:pt>
                <c:pt idx="2692">
                  <c:v>37371385</c:v>
                </c:pt>
                <c:pt idx="2693">
                  <c:v>33508922</c:v>
                </c:pt>
                <c:pt idx="2694">
                  <c:v>81517441</c:v>
                </c:pt>
                <c:pt idx="2695">
                  <c:v>53789313</c:v>
                </c:pt>
                <c:pt idx="2696">
                  <c:v>4350774</c:v>
                </c:pt>
                <c:pt idx="2698">
                  <c:v>1055654</c:v>
                </c:pt>
                <c:pt idx="2699">
                  <c:v>198539855</c:v>
                </c:pt>
                <c:pt idx="2700">
                  <c:v>9123834</c:v>
                </c:pt>
                <c:pt idx="2701">
                  <c:v>41382841</c:v>
                </c:pt>
                <c:pt idx="2702">
                  <c:v>83348920</c:v>
                </c:pt>
                <c:pt idx="2704">
                  <c:v>121972</c:v>
                </c:pt>
                <c:pt idx="2706">
                  <c:v>88761720</c:v>
                </c:pt>
                <c:pt idx="2707">
                  <c:v>68558662</c:v>
                </c:pt>
                <c:pt idx="2709">
                  <c:v>2208939</c:v>
                </c:pt>
                <c:pt idx="2710">
                  <c:v>828</c:v>
                </c:pt>
                <c:pt idx="2711">
                  <c:v>4443403</c:v>
                </c:pt>
                <c:pt idx="2712">
                  <c:v>57469179</c:v>
                </c:pt>
                <c:pt idx="2714">
                  <c:v>7282851</c:v>
                </c:pt>
                <c:pt idx="2715">
                  <c:v>7059537</c:v>
                </c:pt>
                <c:pt idx="2716">
                  <c:v>104632573</c:v>
                </c:pt>
                <c:pt idx="2717">
                  <c:v>77324422</c:v>
                </c:pt>
                <c:pt idx="2718">
                  <c:v>37707719</c:v>
                </c:pt>
                <c:pt idx="2719">
                  <c:v>46563158</c:v>
                </c:pt>
                <c:pt idx="2720">
                  <c:v>3216970</c:v>
                </c:pt>
                <c:pt idx="2721">
                  <c:v>2360184</c:v>
                </c:pt>
                <c:pt idx="2723">
                  <c:v>87341380</c:v>
                </c:pt>
                <c:pt idx="2724">
                  <c:v>180483</c:v>
                </c:pt>
                <c:pt idx="2725">
                  <c:v>8231</c:v>
                </c:pt>
                <c:pt idx="2726">
                  <c:v>24784</c:v>
                </c:pt>
                <c:pt idx="2727">
                  <c:v>84300000</c:v>
                </c:pt>
                <c:pt idx="2728">
                  <c:v>25003072</c:v>
                </c:pt>
                <c:pt idx="2729">
                  <c:v>7994115</c:v>
                </c:pt>
                <c:pt idx="2730">
                  <c:v>309404152</c:v>
                </c:pt>
                <c:pt idx="2731">
                  <c:v>423032628</c:v>
                </c:pt>
                <c:pt idx="2732">
                  <c:v>241063875</c:v>
                </c:pt>
                <c:pt idx="2733">
                  <c:v>305388685</c:v>
                </c:pt>
                <c:pt idx="2734">
                  <c:v>39235088</c:v>
                </c:pt>
                <c:pt idx="2735">
                  <c:v>183436380</c:v>
                </c:pt>
                <c:pt idx="2736">
                  <c:v>64998368</c:v>
                </c:pt>
                <c:pt idx="2737">
                  <c:v>78747585</c:v>
                </c:pt>
                <c:pt idx="2738">
                  <c:v>42194060</c:v>
                </c:pt>
                <c:pt idx="2739">
                  <c:v>360023480</c:v>
                </c:pt>
                <c:pt idx="2741">
                  <c:v>137963328</c:v>
                </c:pt>
                <c:pt idx="2742">
                  <c:v>8427204</c:v>
                </c:pt>
                <c:pt idx="2743">
                  <c:v>13101142</c:v>
                </c:pt>
                <c:pt idx="2744">
                  <c:v>4033268</c:v>
                </c:pt>
                <c:pt idx="2745">
                  <c:v>2843</c:v>
                </c:pt>
                <c:pt idx="2746">
                  <c:v>141600000</c:v>
                </c:pt>
                <c:pt idx="2748">
                  <c:v>27515786</c:v>
                </c:pt>
                <c:pt idx="2750">
                  <c:v>57544444</c:v>
                </c:pt>
                <c:pt idx="2752">
                  <c:v>81200000</c:v>
                </c:pt>
                <c:pt idx="2753">
                  <c:v>126247</c:v>
                </c:pt>
                <c:pt idx="2754">
                  <c:v>171320</c:v>
                </c:pt>
                <c:pt idx="2755">
                  <c:v>8596914</c:v>
                </c:pt>
                <c:pt idx="2756">
                  <c:v>14114488</c:v>
                </c:pt>
                <c:pt idx="2757">
                  <c:v>153200000</c:v>
                </c:pt>
                <c:pt idx="2758">
                  <c:v>23219748</c:v>
                </c:pt>
                <c:pt idx="2759">
                  <c:v>3478</c:v>
                </c:pt>
                <c:pt idx="2760">
                  <c:v>15081783</c:v>
                </c:pt>
                <c:pt idx="2761">
                  <c:v>18081626</c:v>
                </c:pt>
                <c:pt idx="2762">
                  <c:v>562059</c:v>
                </c:pt>
                <c:pt idx="2763">
                  <c:v>3293258</c:v>
                </c:pt>
                <c:pt idx="2764">
                  <c:v>105500000</c:v>
                </c:pt>
                <c:pt idx="2765">
                  <c:v>60655503</c:v>
                </c:pt>
                <c:pt idx="2766">
                  <c:v>6373693</c:v>
                </c:pt>
                <c:pt idx="2767">
                  <c:v>23000</c:v>
                </c:pt>
                <c:pt idx="2769">
                  <c:v>46611204</c:v>
                </c:pt>
                <c:pt idx="2771">
                  <c:v>95073918</c:v>
                </c:pt>
                <c:pt idx="2772">
                  <c:v>30669413</c:v>
                </c:pt>
                <c:pt idx="2773">
                  <c:v>59735548</c:v>
                </c:pt>
                <c:pt idx="2774">
                  <c:v>52000688</c:v>
                </c:pt>
                <c:pt idx="2775">
                  <c:v>532190</c:v>
                </c:pt>
                <c:pt idx="2776">
                  <c:v>20275446</c:v>
                </c:pt>
                <c:pt idx="2777">
                  <c:v>47852604</c:v>
                </c:pt>
                <c:pt idx="2778">
                  <c:v>178406268</c:v>
                </c:pt>
                <c:pt idx="2779">
                  <c:v>38372662</c:v>
                </c:pt>
                <c:pt idx="2780">
                  <c:v>15709385</c:v>
                </c:pt>
                <c:pt idx="2781">
                  <c:v>10907291</c:v>
                </c:pt>
                <c:pt idx="2782">
                  <c:v>29136626</c:v>
                </c:pt>
                <c:pt idx="2783">
                  <c:v>38966057</c:v>
                </c:pt>
                <c:pt idx="2784">
                  <c:v>424760</c:v>
                </c:pt>
                <c:pt idx="2785">
                  <c:v>90755643</c:v>
                </c:pt>
                <c:pt idx="2786">
                  <c:v>883887</c:v>
                </c:pt>
                <c:pt idx="2787">
                  <c:v>2298191</c:v>
                </c:pt>
                <c:pt idx="2788">
                  <c:v>354704</c:v>
                </c:pt>
                <c:pt idx="2789">
                  <c:v>60962878</c:v>
                </c:pt>
                <c:pt idx="2790">
                  <c:v>69800000</c:v>
                </c:pt>
                <c:pt idx="2791">
                  <c:v>22331028</c:v>
                </c:pt>
                <c:pt idx="2792">
                  <c:v>54724272</c:v>
                </c:pt>
                <c:pt idx="2793">
                  <c:v>43818159</c:v>
                </c:pt>
                <c:pt idx="2794">
                  <c:v>10106233</c:v>
                </c:pt>
                <c:pt idx="2795">
                  <c:v>126464904</c:v>
                </c:pt>
                <c:pt idx="2796">
                  <c:v>7556708</c:v>
                </c:pt>
                <c:pt idx="2797">
                  <c:v>32598931</c:v>
                </c:pt>
                <c:pt idx="2801">
                  <c:v>265107</c:v>
                </c:pt>
                <c:pt idx="2802">
                  <c:v>32000000</c:v>
                </c:pt>
                <c:pt idx="2803">
                  <c:v>97030725</c:v>
                </c:pt>
                <c:pt idx="2804">
                  <c:v>107930000</c:v>
                </c:pt>
                <c:pt idx="2805">
                  <c:v>20259297</c:v>
                </c:pt>
                <c:pt idx="2806">
                  <c:v>17791031</c:v>
                </c:pt>
                <c:pt idx="2807">
                  <c:v>7948159</c:v>
                </c:pt>
                <c:pt idx="2809">
                  <c:v>8406264</c:v>
                </c:pt>
                <c:pt idx="2810">
                  <c:v>149234747</c:v>
                </c:pt>
                <c:pt idx="2812">
                  <c:v>168368427</c:v>
                </c:pt>
                <c:pt idx="2813">
                  <c:v>31691811</c:v>
                </c:pt>
                <c:pt idx="2814">
                  <c:v>18381787</c:v>
                </c:pt>
                <c:pt idx="2816">
                  <c:v>30307804</c:v>
                </c:pt>
                <c:pt idx="2819">
                  <c:v>21413105</c:v>
                </c:pt>
                <c:pt idx="2820">
                  <c:v>7060876</c:v>
                </c:pt>
                <c:pt idx="2821">
                  <c:v>1689999</c:v>
                </c:pt>
                <c:pt idx="2823">
                  <c:v>33592415</c:v>
                </c:pt>
                <c:pt idx="2825">
                  <c:v>22770</c:v>
                </c:pt>
                <c:pt idx="2826">
                  <c:v>2221809</c:v>
                </c:pt>
                <c:pt idx="2827">
                  <c:v>6165429</c:v>
                </c:pt>
                <c:pt idx="2828">
                  <c:v>67128202</c:v>
                </c:pt>
                <c:pt idx="2829">
                  <c:v>19097994</c:v>
                </c:pt>
                <c:pt idx="2830">
                  <c:v>12796277</c:v>
                </c:pt>
                <c:pt idx="2831">
                  <c:v>49186871</c:v>
                </c:pt>
                <c:pt idx="2832">
                  <c:v>14792779</c:v>
                </c:pt>
                <c:pt idx="2833">
                  <c:v>4651977</c:v>
                </c:pt>
                <c:pt idx="2834">
                  <c:v>52277485</c:v>
                </c:pt>
                <c:pt idx="2835">
                  <c:v>45250</c:v>
                </c:pt>
                <c:pt idx="2836">
                  <c:v>242374454</c:v>
                </c:pt>
                <c:pt idx="2837">
                  <c:v>172825435</c:v>
                </c:pt>
                <c:pt idx="2838">
                  <c:v>7000000</c:v>
                </c:pt>
                <c:pt idx="2839">
                  <c:v>10411980</c:v>
                </c:pt>
                <c:pt idx="2840">
                  <c:v>21370057</c:v>
                </c:pt>
                <c:pt idx="2841">
                  <c:v>37486138</c:v>
                </c:pt>
                <c:pt idx="2842">
                  <c:v>2073984</c:v>
                </c:pt>
                <c:pt idx="2844">
                  <c:v>53715611</c:v>
                </c:pt>
                <c:pt idx="2845">
                  <c:v>150415432</c:v>
                </c:pt>
                <c:pt idx="2846">
                  <c:v>26161406</c:v>
                </c:pt>
                <c:pt idx="2848">
                  <c:v>31054924</c:v>
                </c:pt>
                <c:pt idx="2849">
                  <c:v>2197331</c:v>
                </c:pt>
                <c:pt idx="2850">
                  <c:v>123207194</c:v>
                </c:pt>
                <c:pt idx="2851">
                  <c:v>136448821</c:v>
                </c:pt>
                <c:pt idx="2852">
                  <c:v>305070</c:v>
                </c:pt>
                <c:pt idx="2853">
                  <c:v>56607223</c:v>
                </c:pt>
                <c:pt idx="2854">
                  <c:v>206435493</c:v>
                </c:pt>
                <c:pt idx="2855">
                  <c:v>2060953</c:v>
                </c:pt>
                <c:pt idx="2856">
                  <c:v>75305995</c:v>
                </c:pt>
                <c:pt idx="2858">
                  <c:v>12372410</c:v>
                </c:pt>
                <c:pt idx="2859">
                  <c:v>85463309</c:v>
                </c:pt>
                <c:pt idx="2860">
                  <c:v>5844929</c:v>
                </c:pt>
                <c:pt idx="2862">
                  <c:v>36696761</c:v>
                </c:pt>
                <c:pt idx="2863">
                  <c:v>53215979</c:v>
                </c:pt>
                <c:pt idx="2864">
                  <c:v>626809</c:v>
                </c:pt>
                <c:pt idx="2867">
                  <c:v>92930005</c:v>
                </c:pt>
                <c:pt idx="2868">
                  <c:v>57859105</c:v>
                </c:pt>
                <c:pt idx="2870">
                  <c:v>17473245</c:v>
                </c:pt>
                <c:pt idx="2871">
                  <c:v>37652565</c:v>
                </c:pt>
                <c:pt idx="2877">
                  <c:v>49875589</c:v>
                </c:pt>
                <c:pt idx="2878">
                  <c:v>90356857</c:v>
                </c:pt>
                <c:pt idx="2879">
                  <c:v>65087</c:v>
                </c:pt>
                <c:pt idx="2880">
                  <c:v>2344847</c:v>
                </c:pt>
                <c:pt idx="2881">
                  <c:v>27012</c:v>
                </c:pt>
                <c:pt idx="2883">
                  <c:v>54734</c:v>
                </c:pt>
                <c:pt idx="2885">
                  <c:v>43060566</c:v>
                </c:pt>
                <c:pt idx="2886">
                  <c:v>19661987</c:v>
                </c:pt>
                <c:pt idx="2887">
                  <c:v>23360779</c:v>
                </c:pt>
                <c:pt idx="2889">
                  <c:v>12995673</c:v>
                </c:pt>
                <c:pt idx="2890">
                  <c:v>19057024</c:v>
                </c:pt>
                <c:pt idx="2891">
                  <c:v>223878</c:v>
                </c:pt>
                <c:pt idx="2892">
                  <c:v>115648585</c:v>
                </c:pt>
                <c:pt idx="2893">
                  <c:v>24332324</c:v>
                </c:pt>
                <c:pt idx="2894">
                  <c:v>63260</c:v>
                </c:pt>
                <c:pt idx="2895">
                  <c:v>9664316</c:v>
                </c:pt>
                <c:pt idx="2896">
                  <c:v>20339754</c:v>
                </c:pt>
                <c:pt idx="2897">
                  <c:v>29077547</c:v>
                </c:pt>
                <c:pt idx="2899">
                  <c:v>13763130</c:v>
                </c:pt>
                <c:pt idx="2900">
                  <c:v>140244</c:v>
                </c:pt>
                <c:pt idx="2901">
                  <c:v>3609278</c:v>
                </c:pt>
                <c:pt idx="2902">
                  <c:v>5484375</c:v>
                </c:pt>
                <c:pt idx="2903">
                  <c:v>2812029</c:v>
                </c:pt>
                <c:pt idx="2904">
                  <c:v>39532308</c:v>
                </c:pt>
                <c:pt idx="2905">
                  <c:v>60128566</c:v>
                </c:pt>
                <c:pt idx="2906">
                  <c:v>50740078</c:v>
                </c:pt>
                <c:pt idx="2907">
                  <c:v>50648679</c:v>
                </c:pt>
                <c:pt idx="2908">
                  <c:v>42345531</c:v>
                </c:pt>
                <c:pt idx="2911">
                  <c:v>3169424</c:v>
                </c:pt>
                <c:pt idx="2913">
                  <c:v>32662299</c:v>
                </c:pt>
                <c:pt idx="2914">
                  <c:v>48423368</c:v>
                </c:pt>
                <c:pt idx="2916">
                  <c:v>2807854</c:v>
                </c:pt>
                <c:pt idx="2918">
                  <c:v>22877808</c:v>
                </c:pt>
                <c:pt idx="2919">
                  <c:v>38087756</c:v>
                </c:pt>
                <c:pt idx="2920">
                  <c:v>2600000</c:v>
                </c:pt>
                <c:pt idx="2921">
                  <c:v>41997790</c:v>
                </c:pt>
                <c:pt idx="2922">
                  <c:v>90835030</c:v>
                </c:pt>
                <c:pt idx="2923">
                  <c:v>134141530</c:v>
                </c:pt>
                <c:pt idx="2924">
                  <c:v>630779</c:v>
                </c:pt>
                <c:pt idx="2925">
                  <c:v>2276368</c:v>
                </c:pt>
                <c:pt idx="2926">
                  <c:v>29781453</c:v>
                </c:pt>
                <c:pt idx="2927">
                  <c:v>40076438</c:v>
                </c:pt>
                <c:pt idx="2928">
                  <c:v>131536019</c:v>
                </c:pt>
                <c:pt idx="2929">
                  <c:v>143618384</c:v>
                </c:pt>
                <c:pt idx="2932">
                  <c:v>103400692</c:v>
                </c:pt>
                <c:pt idx="2933">
                  <c:v>176740650</c:v>
                </c:pt>
                <c:pt idx="2934">
                  <c:v>36874745</c:v>
                </c:pt>
                <c:pt idx="2935">
                  <c:v>4600000</c:v>
                </c:pt>
                <c:pt idx="2936">
                  <c:v>3278611</c:v>
                </c:pt>
                <c:pt idx="2937">
                  <c:v>105943</c:v>
                </c:pt>
                <c:pt idx="2938">
                  <c:v>30050028</c:v>
                </c:pt>
                <c:pt idx="2939">
                  <c:v>104054514</c:v>
                </c:pt>
                <c:pt idx="2940">
                  <c:v>68525609</c:v>
                </c:pt>
                <c:pt idx="2941">
                  <c:v>55202</c:v>
                </c:pt>
                <c:pt idx="2943">
                  <c:v>2000000</c:v>
                </c:pt>
                <c:pt idx="2944">
                  <c:v>31600000</c:v>
                </c:pt>
                <c:pt idx="2946">
                  <c:v>105219735</c:v>
                </c:pt>
                <c:pt idx="2947">
                  <c:v>165500000</c:v>
                </c:pt>
                <c:pt idx="2948">
                  <c:v>10696210</c:v>
                </c:pt>
                <c:pt idx="2949">
                  <c:v>117214014</c:v>
                </c:pt>
                <c:pt idx="2950">
                  <c:v>3325638</c:v>
                </c:pt>
                <c:pt idx="2952">
                  <c:v>128200012</c:v>
                </c:pt>
                <c:pt idx="2953">
                  <c:v>38509342</c:v>
                </c:pt>
                <c:pt idx="2954">
                  <c:v>16991902</c:v>
                </c:pt>
                <c:pt idx="2957">
                  <c:v>5694401</c:v>
                </c:pt>
                <c:pt idx="2958">
                  <c:v>70269171</c:v>
                </c:pt>
                <c:pt idx="2959">
                  <c:v>117235247</c:v>
                </c:pt>
                <c:pt idx="2961">
                  <c:v>6706368</c:v>
                </c:pt>
                <c:pt idx="2963">
                  <c:v>67266300</c:v>
                </c:pt>
                <c:pt idx="2964">
                  <c:v>17378977</c:v>
                </c:pt>
                <c:pt idx="2965">
                  <c:v>18990542</c:v>
                </c:pt>
                <c:pt idx="2966">
                  <c:v>540085</c:v>
                </c:pt>
                <c:pt idx="2968">
                  <c:v>46338728</c:v>
                </c:pt>
                <c:pt idx="2969">
                  <c:v>3275585</c:v>
                </c:pt>
                <c:pt idx="2970">
                  <c:v>55973336</c:v>
                </c:pt>
                <c:pt idx="2971">
                  <c:v>41609593</c:v>
                </c:pt>
                <c:pt idx="2972">
                  <c:v>14677654</c:v>
                </c:pt>
                <c:pt idx="2974">
                  <c:v>3093491</c:v>
                </c:pt>
                <c:pt idx="2976">
                  <c:v>22905674</c:v>
                </c:pt>
                <c:pt idx="2978">
                  <c:v>98017</c:v>
                </c:pt>
                <c:pt idx="2979">
                  <c:v>1001437</c:v>
                </c:pt>
                <c:pt idx="2980">
                  <c:v>37440</c:v>
                </c:pt>
                <c:pt idx="2981">
                  <c:v>39399750</c:v>
                </c:pt>
                <c:pt idx="2982">
                  <c:v>76501438</c:v>
                </c:pt>
                <c:pt idx="2984">
                  <c:v>32333860</c:v>
                </c:pt>
                <c:pt idx="2985">
                  <c:v>26442251</c:v>
                </c:pt>
                <c:pt idx="2986">
                  <c:v>7267324</c:v>
                </c:pt>
                <c:pt idx="2987">
                  <c:v>5998971</c:v>
                </c:pt>
                <c:pt idx="2989">
                  <c:v>152149590</c:v>
                </c:pt>
                <c:pt idx="2990">
                  <c:v>19316646</c:v>
                </c:pt>
                <c:pt idx="2992">
                  <c:v>6855137</c:v>
                </c:pt>
                <c:pt idx="2993">
                  <c:v>6754898</c:v>
                </c:pt>
                <c:pt idx="2994">
                  <c:v>226138454</c:v>
                </c:pt>
                <c:pt idx="2995">
                  <c:v>140080850</c:v>
                </c:pt>
                <c:pt idx="2997">
                  <c:v>26903709</c:v>
                </c:pt>
                <c:pt idx="2998">
                  <c:v>17096053</c:v>
                </c:pt>
                <c:pt idx="3000">
                  <c:v>116643346</c:v>
                </c:pt>
                <c:pt idx="3001">
                  <c:v>20999936</c:v>
                </c:pt>
                <c:pt idx="3003">
                  <c:v>71346930</c:v>
                </c:pt>
                <c:pt idx="3004">
                  <c:v>126149655</c:v>
                </c:pt>
                <c:pt idx="3005">
                  <c:v>21210</c:v>
                </c:pt>
                <c:pt idx="3006">
                  <c:v>17120019</c:v>
                </c:pt>
                <c:pt idx="3007">
                  <c:v>4007792</c:v>
                </c:pt>
                <c:pt idx="3008">
                  <c:v>68642452</c:v>
                </c:pt>
                <c:pt idx="3009">
                  <c:v>100669</c:v>
                </c:pt>
                <c:pt idx="3010">
                  <c:v>795126</c:v>
                </c:pt>
                <c:pt idx="3011">
                  <c:v>1310270</c:v>
                </c:pt>
                <c:pt idx="3012">
                  <c:v>118311368</c:v>
                </c:pt>
                <c:pt idx="3014">
                  <c:v>27445</c:v>
                </c:pt>
                <c:pt idx="3015">
                  <c:v>2601847</c:v>
                </c:pt>
                <c:pt idx="3016">
                  <c:v>155181732</c:v>
                </c:pt>
                <c:pt idx="3018">
                  <c:v>23070045</c:v>
                </c:pt>
                <c:pt idx="3020">
                  <c:v>7691700</c:v>
                </c:pt>
                <c:pt idx="3023">
                  <c:v>434417</c:v>
                </c:pt>
                <c:pt idx="3024">
                  <c:v>47307550</c:v>
                </c:pt>
                <c:pt idx="3025">
                  <c:v>91038276</c:v>
                </c:pt>
                <c:pt idx="3026">
                  <c:v>8786715</c:v>
                </c:pt>
                <c:pt idx="3027">
                  <c:v>1186323</c:v>
                </c:pt>
                <c:pt idx="3029">
                  <c:v>83299761</c:v>
                </c:pt>
                <c:pt idx="3030">
                  <c:v>1391770</c:v>
                </c:pt>
                <c:pt idx="3031">
                  <c:v>216119491</c:v>
                </c:pt>
                <c:pt idx="3032">
                  <c:v>19351569</c:v>
                </c:pt>
                <c:pt idx="3033">
                  <c:v>45670855</c:v>
                </c:pt>
                <c:pt idx="3034">
                  <c:v>87025093</c:v>
                </c:pt>
                <c:pt idx="3035">
                  <c:v>80150343</c:v>
                </c:pt>
                <c:pt idx="3036">
                  <c:v>63270259</c:v>
                </c:pt>
                <c:pt idx="3037">
                  <c:v>56729973</c:v>
                </c:pt>
                <c:pt idx="3038">
                  <c:v>27669413</c:v>
                </c:pt>
                <c:pt idx="3039">
                  <c:v>55153403</c:v>
                </c:pt>
                <c:pt idx="3040">
                  <c:v>5516708</c:v>
                </c:pt>
                <c:pt idx="3041">
                  <c:v>44700000</c:v>
                </c:pt>
                <c:pt idx="3042">
                  <c:v>71277420</c:v>
                </c:pt>
                <c:pt idx="3043">
                  <c:v>110000082</c:v>
                </c:pt>
                <c:pt idx="3044">
                  <c:v>90703745</c:v>
                </c:pt>
                <c:pt idx="3045">
                  <c:v>32014289</c:v>
                </c:pt>
                <c:pt idx="3046">
                  <c:v>96067179</c:v>
                </c:pt>
                <c:pt idx="3047">
                  <c:v>14545844</c:v>
                </c:pt>
                <c:pt idx="3048">
                  <c:v>17803796</c:v>
                </c:pt>
                <c:pt idx="3049">
                  <c:v>81257845</c:v>
                </c:pt>
                <c:pt idx="3050">
                  <c:v>84185387</c:v>
                </c:pt>
                <c:pt idx="3051">
                  <c:v>153288182</c:v>
                </c:pt>
                <c:pt idx="3052">
                  <c:v>10515579</c:v>
                </c:pt>
                <c:pt idx="3053">
                  <c:v>31494270</c:v>
                </c:pt>
                <c:pt idx="3055">
                  <c:v>101334374</c:v>
                </c:pt>
                <c:pt idx="3056">
                  <c:v>89138076</c:v>
                </c:pt>
                <c:pt idx="3057">
                  <c:v>38176892</c:v>
                </c:pt>
                <c:pt idx="3058">
                  <c:v>103001286</c:v>
                </c:pt>
                <c:pt idx="3060">
                  <c:v>6982680</c:v>
                </c:pt>
                <c:pt idx="3061">
                  <c:v>60328558</c:v>
                </c:pt>
                <c:pt idx="3062">
                  <c:v>100125340</c:v>
                </c:pt>
                <c:pt idx="3063">
                  <c:v>58571513</c:v>
                </c:pt>
                <c:pt idx="3064">
                  <c:v>4074023</c:v>
                </c:pt>
                <c:pt idx="3065">
                  <c:v>120147445</c:v>
                </c:pt>
                <c:pt idx="3066">
                  <c:v>41407470</c:v>
                </c:pt>
                <c:pt idx="3068">
                  <c:v>47781388</c:v>
                </c:pt>
                <c:pt idx="3069">
                  <c:v>59699513</c:v>
                </c:pt>
                <c:pt idx="3070">
                  <c:v>4046737</c:v>
                </c:pt>
                <c:pt idx="3072">
                  <c:v>33357476</c:v>
                </c:pt>
                <c:pt idx="3073">
                  <c:v>17016190</c:v>
                </c:pt>
                <c:pt idx="3074">
                  <c:v>6619173</c:v>
                </c:pt>
                <c:pt idx="3075">
                  <c:v>35422828</c:v>
                </c:pt>
                <c:pt idx="3076">
                  <c:v>12276810</c:v>
                </c:pt>
                <c:pt idx="3077">
                  <c:v>52066000</c:v>
                </c:pt>
                <c:pt idx="3078">
                  <c:v>33472850</c:v>
                </c:pt>
                <c:pt idx="3079">
                  <c:v>42700000</c:v>
                </c:pt>
                <c:pt idx="3080">
                  <c:v>1066555</c:v>
                </c:pt>
                <c:pt idx="3081">
                  <c:v>49968653</c:v>
                </c:pt>
                <c:pt idx="3082">
                  <c:v>25335935</c:v>
                </c:pt>
                <c:pt idx="3083">
                  <c:v>7881335</c:v>
                </c:pt>
                <c:pt idx="3084">
                  <c:v>16930185</c:v>
                </c:pt>
                <c:pt idx="3085">
                  <c:v>373967</c:v>
                </c:pt>
                <c:pt idx="3086">
                  <c:v>36049108</c:v>
                </c:pt>
                <c:pt idx="3087">
                  <c:v>69951824</c:v>
                </c:pt>
                <c:pt idx="3088">
                  <c:v>14989761</c:v>
                </c:pt>
                <c:pt idx="3089">
                  <c:v>269061</c:v>
                </c:pt>
                <c:pt idx="3090">
                  <c:v>37901509</c:v>
                </c:pt>
                <c:pt idx="3091">
                  <c:v>17176900</c:v>
                </c:pt>
                <c:pt idx="3092">
                  <c:v>136432</c:v>
                </c:pt>
                <c:pt idx="3093">
                  <c:v>95328937</c:v>
                </c:pt>
                <c:pt idx="3095">
                  <c:v>8396942</c:v>
                </c:pt>
                <c:pt idx="3096">
                  <c:v>38543473</c:v>
                </c:pt>
                <c:pt idx="3097">
                  <c:v>247740</c:v>
                </c:pt>
                <c:pt idx="3098">
                  <c:v>24741700</c:v>
                </c:pt>
                <c:pt idx="3099">
                  <c:v>6940281</c:v>
                </c:pt>
                <c:pt idx="3100">
                  <c:v>30400000</c:v>
                </c:pt>
                <c:pt idx="3101">
                  <c:v>10696</c:v>
                </c:pt>
                <c:pt idx="3102">
                  <c:v>2154540</c:v>
                </c:pt>
                <c:pt idx="3103">
                  <c:v>8279017</c:v>
                </c:pt>
                <c:pt idx="3104">
                  <c:v>25842000</c:v>
                </c:pt>
                <c:pt idx="3105">
                  <c:v>70327868</c:v>
                </c:pt>
                <c:pt idx="3106">
                  <c:v>100241322</c:v>
                </c:pt>
                <c:pt idx="3108">
                  <c:v>57887882</c:v>
                </c:pt>
                <c:pt idx="3109">
                  <c:v>70836296</c:v>
                </c:pt>
                <c:pt idx="3110">
                  <c:v>4000304</c:v>
                </c:pt>
                <c:pt idx="3111">
                  <c:v>10443</c:v>
                </c:pt>
                <c:pt idx="3112">
                  <c:v>60470220</c:v>
                </c:pt>
                <c:pt idx="3113">
                  <c:v>56932305</c:v>
                </c:pt>
                <c:pt idx="3114">
                  <c:v>2315683</c:v>
                </c:pt>
                <c:pt idx="3115">
                  <c:v>488872</c:v>
                </c:pt>
                <c:pt idx="3117">
                  <c:v>18860403</c:v>
                </c:pt>
                <c:pt idx="3118">
                  <c:v>160762022</c:v>
                </c:pt>
                <c:pt idx="3121">
                  <c:v>2207975</c:v>
                </c:pt>
                <c:pt idx="3123">
                  <c:v>13464388</c:v>
                </c:pt>
                <c:pt idx="3128">
                  <c:v>209019489</c:v>
                </c:pt>
                <c:pt idx="3129">
                  <c:v>186830669</c:v>
                </c:pt>
                <c:pt idx="3130">
                  <c:v>198407</c:v>
                </c:pt>
                <c:pt idx="3131">
                  <c:v>63319509</c:v>
                </c:pt>
                <c:pt idx="3132">
                  <c:v>7137502</c:v>
                </c:pt>
                <c:pt idx="3133">
                  <c:v>31584722</c:v>
                </c:pt>
                <c:pt idx="3134">
                  <c:v>33687630</c:v>
                </c:pt>
                <c:pt idx="3135">
                  <c:v>9449219</c:v>
                </c:pt>
                <c:pt idx="3136">
                  <c:v>5355376</c:v>
                </c:pt>
                <c:pt idx="3137">
                  <c:v>35811509</c:v>
                </c:pt>
                <c:pt idx="3140">
                  <c:v>906666</c:v>
                </c:pt>
                <c:pt idx="3141">
                  <c:v>46975183</c:v>
                </c:pt>
                <c:pt idx="3142">
                  <c:v>302204</c:v>
                </c:pt>
                <c:pt idx="3144">
                  <c:v>10281585</c:v>
                </c:pt>
                <c:pt idx="3145">
                  <c:v>381225</c:v>
                </c:pt>
                <c:pt idx="3146">
                  <c:v>1984378</c:v>
                </c:pt>
                <c:pt idx="3147">
                  <c:v>20916309</c:v>
                </c:pt>
                <c:pt idx="3148">
                  <c:v>45661</c:v>
                </c:pt>
                <c:pt idx="3152">
                  <c:v>2275557</c:v>
                </c:pt>
                <c:pt idx="3153">
                  <c:v>20302961</c:v>
                </c:pt>
                <c:pt idx="3154">
                  <c:v>436471036</c:v>
                </c:pt>
                <c:pt idx="3155">
                  <c:v>238371987</c:v>
                </c:pt>
                <c:pt idx="3156">
                  <c:v>320706665</c:v>
                </c:pt>
                <c:pt idx="3157">
                  <c:v>267652016</c:v>
                </c:pt>
                <c:pt idx="3158">
                  <c:v>127968405</c:v>
                </c:pt>
                <c:pt idx="3159">
                  <c:v>25926543</c:v>
                </c:pt>
                <c:pt idx="3160">
                  <c:v>46875468</c:v>
                </c:pt>
                <c:pt idx="3161">
                  <c:v>24530513</c:v>
                </c:pt>
                <c:pt idx="3162">
                  <c:v>64308820</c:v>
                </c:pt>
                <c:pt idx="3163">
                  <c:v>71502303</c:v>
                </c:pt>
                <c:pt idx="3165">
                  <c:v>227965690</c:v>
                </c:pt>
                <c:pt idx="3166">
                  <c:v>46982632</c:v>
                </c:pt>
                <c:pt idx="3167">
                  <c:v>17529157</c:v>
                </c:pt>
                <c:pt idx="3168">
                  <c:v>12555230</c:v>
                </c:pt>
                <c:pt idx="3173">
                  <c:v>132088910</c:v>
                </c:pt>
                <c:pt idx="3175">
                  <c:v>33200000</c:v>
                </c:pt>
                <c:pt idx="3176">
                  <c:v>18252684</c:v>
                </c:pt>
                <c:pt idx="3177">
                  <c:v>4394936</c:v>
                </c:pt>
                <c:pt idx="3178">
                  <c:v>74098862</c:v>
                </c:pt>
                <c:pt idx="3179">
                  <c:v>13750556</c:v>
                </c:pt>
                <c:pt idx="3180">
                  <c:v>26288320</c:v>
                </c:pt>
                <c:pt idx="3182">
                  <c:v>27736779</c:v>
                </c:pt>
                <c:pt idx="3183">
                  <c:v>48056940</c:v>
                </c:pt>
                <c:pt idx="3184">
                  <c:v>32631</c:v>
                </c:pt>
                <c:pt idx="3185">
                  <c:v>74329966</c:v>
                </c:pt>
                <c:pt idx="3186">
                  <c:v>124494</c:v>
                </c:pt>
                <c:pt idx="3187">
                  <c:v>162</c:v>
                </c:pt>
                <c:pt idx="3188">
                  <c:v>37760080</c:v>
                </c:pt>
                <c:pt idx="3189">
                  <c:v>63939454</c:v>
                </c:pt>
                <c:pt idx="3190">
                  <c:v>608720554</c:v>
                </c:pt>
                <c:pt idx="3191">
                  <c:v>21371425</c:v>
                </c:pt>
                <c:pt idx="3193">
                  <c:v>1227508</c:v>
                </c:pt>
                <c:pt idx="3194">
                  <c:v>4814244</c:v>
                </c:pt>
                <c:pt idx="3195">
                  <c:v>982214</c:v>
                </c:pt>
                <c:pt idx="3196">
                  <c:v>75727</c:v>
                </c:pt>
                <c:pt idx="3199">
                  <c:v>53300852</c:v>
                </c:pt>
                <c:pt idx="3200">
                  <c:v>8070311</c:v>
                </c:pt>
                <c:pt idx="3202">
                  <c:v>11883495</c:v>
                </c:pt>
                <c:pt idx="3203">
                  <c:v>24475416</c:v>
                </c:pt>
                <c:pt idx="3204">
                  <c:v>7774730</c:v>
                </c:pt>
                <c:pt idx="3205">
                  <c:v>1181197</c:v>
                </c:pt>
                <c:pt idx="3206">
                  <c:v>229094</c:v>
                </c:pt>
                <c:pt idx="3207">
                  <c:v>141319195</c:v>
                </c:pt>
                <c:pt idx="3208">
                  <c:v>5480318</c:v>
                </c:pt>
                <c:pt idx="3210">
                  <c:v>53955614</c:v>
                </c:pt>
                <c:pt idx="3211">
                  <c:v>17071230</c:v>
                </c:pt>
                <c:pt idx="3212">
                  <c:v>277233</c:v>
                </c:pt>
                <c:pt idx="3213">
                  <c:v>2221994</c:v>
                </c:pt>
                <c:pt idx="3214">
                  <c:v>6719300</c:v>
                </c:pt>
                <c:pt idx="3215">
                  <c:v>35635046</c:v>
                </c:pt>
                <c:pt idx="3216">
                  <c:v>55585389</c:v>
                </c:pt>
                <c:pt idx="3217">
                  <c:v>68028796</c:v>
                </c:pt>
                <c:pt idx="3218">
                  <c:v>60186214</c:v>
                </c:pt>
                <c:pt idx="3219">
                  <c:v>85838192</c:v>
                </c:pt>
                <c:pt idx="3220">
                  <c:v>402820</c:v>
                </c:pt>
                <c:pt idx="3221">
                  <c:v>60008303</c:v>
                </c:pt>
                <c:pt idx="3222">
                  <c:v>81150692</c:v>
                </c:pt>
                <c:pt idx="3223">
                  <c:v>14378353</c:v>
                </c:pt>
                <c:pt idx="3224">
                  <c:v>1346503</c:v>
                </c:pt>
                <c:pt idx="3226">
                  <c:v>155111815</c:v>
                </c:pt>
                <c:pt idx="3227">
                  <c:v>184925485</c:v>
                </c:pt>
                <c:pt idx="3230">
                  <c:v>4563029</c:v>
                </c:pt>
                <c:pt idx="3232">
                  <c:v>14567883</c:v>
                </c:pt>
                <c:pt idx="3233">
                  <c:v>4360548</c:v>
                </c:pt>
                <c:pt idx="3237">
                  <c:v>25000000</c:v>
                </c:pt>
                <c:pt idx="3238">
                  <c:v>27338033</c:v>
                </c:pt>
                <c:pt idx="3239">
                  <c:v>39026186</c:v>
                </c:pt>
                <c:pt idx="3241">
                  <c:v>124590960</c:v>
                </c:pt>
                <c:pt idx="3243">
                  <c:v>1768416</c:v>
                </c:pt>
                <c:pt idx="3244">
                  <c:v>59696176</c:v>
                </c:pt>
                <c:pt idx="3245">
                  <c:v>17010646</c:v>
                </c:pt>
                <c:pt idx="3246">
                  <c:v>20200</c:v>
                </c:pt>
                <c:pt idx="3247">
                  <c:v>3050934</c:v>
                </c:pt>
                <c:pt idx="3250">
                  <c:v>10198766</c:v>
                </c:pt>
                <c:pt idx="3251">
                  <c:v>11956207</c:v>
                </c:pt>
                <c:pt idx="3252">
                  <c:v>43490057</c:v>
                </c:pt>
                <c:pt idx="3253">
                  <c:v>274385</c:v>
                </c:pt>
                <c:pt idx="3254">
                  <c:v>12081447</c:v>
                </c:pt>
                <c:pt idx="3255">
                  <c:v>13922211</c:v>
                </c:pt>
                <c:pt idx="3256">
                  <c:v>43853424</c:v>
                </c:pt>
                <c:pt idx="3257">
                  <c:v>3100650</c:v>
                </c:pt>
                <c:pt idx="3258">
                  <c:v>405614</c:v>
                </c:pt>
                <c:pt idx="3259">
                  <c:v>54696902</c:v>
                </c:pt>
                <c:pt idx="3260">
                  <c:v>52008288</c:v>
                </c:pt>
                <c:pt idx="3261">
                  <c:v>273420</c:v>
                </c:pt>
                <c:pt idx="3262">
                  <c:v>52418902</c:v>
                </c:pt>
                <c:pt idx="3264">
                  <c:v>30105968</c:v>
                </c:pt>
                <c:pt idx="3265">
                  <c:v>90454043</c:v>
                </c:pt>
                <c:pt idx="3267">
                  <c:v>90443603</c:v>
                </c:pt>
                <c:pt idx="3269">
                  <c:v>38119483</c:v>
                </c:pt>
                <c:pt idx="3270">
                  <c:v>15369573</c:v>
                </c:pt>
                <c:pt idx="3271">
                  <c:v>42044321</c:v>
                </c:pt>
                <c:pt idx="3272">
                  <c:v>24397469</c:v>
                </c:pt>
                <c:pt idx="3273">
                  <c:v>5494</c:v>
                </c:pt>
                <c:pt idx="3275">
                  <c:v>54967359</c:v>
                </c:pt>
                <c:pt idx="3276">
                  <c:v>6387</c:v>
                </c:pt>
                <c:pt idx="3277">
                  <c:v>60054449</c:v>
                </c:pt>
                <c:pt idx="3278">
                  <c:v>200074175</c:v>
                </c:pt>
                <c:pt idx="3279">
                  <c:v>48068396</c:v>
                </c:pt>
                <c:pt idx="3280">
                  <c:v>43929341</c:v>
                </c:pt>
                <c:pt idx="3281">
                  <c:v>121248145</c:v>
                </c:pt>
                <c:pt idx="3284">
                  <c:v>36976367</c:v>
                </c:pt>
                <c:pt idx="3285">
                  <c:v>800000</c:v>
                </c:pt>
                <c:pt idx="3286">
                  <c:v>29247405</c:v>
                </c:pt>
                <c:pt idx="3287">
                  <c:v>1641788</c:v>
                </c:pt>
                <c:pt idx="3288">
                  <c:v>373377893</c:v>
                </c:pt>
                <c:pt idx="3289">
                  <c:v>673060606</c:v>
                </c:pt>
                <c:pt idx="3290">
                  <c:v>403706375</c:v>
                </c:pt>
                <c:pt idx="3291">
                  <c:v>73215310</c:v>
                </c:pt>
                <c:pt idx="3292">
                  <c:v>10049886</c:v>
                </c:pt>
                <c:pt idx="3293">
                  <c:v>69800000</c:v>
                </c:pt>
                <c:pt idx="3294">
                  <c:v>16999046</c:v>
                </c:pt>
                <c:pt idx="3295">
                  <c:v>5430822</c:v>
                </c:pt>
                <c:pt idx="3296">
                  <c:v>44988180</c:v>
                </c:pt>
                <c:pt idx="3297">
                  <c:v>14123773</c:v>
                </c:pt>
                <c:pt idx="3298">
                  <c:v>410241</c:v>
                </c:pt>
                <c:pt idx="3299">
                  <c:v>26871</c:v>
                </c:pt>
                <c:pt idx="3300">
                  <c:v>26906039</c:v>
                </c:pt>
                <c:pt idx="3301">
                  <c:v>85570368</c:v>
                </c:pt>
                <c:pt idx="3302">
                  <c:v>111760631</c:v>
                </c:pt>
                <c:pt idx="3303">
                  <c:v>112692062</c:v>
                </c:pt>
                <c:pt idx="3304">
                  <c:v>38536376</c:v>
                </c:pt>
                <c:pt idx="3306">
                  <c:v>44134898</c:v>
                </c:pt>
                <c:pt idx="3307">
                  <c:v>18469</c:v>
                </c:pt>
                <c:pt idx="3309">
                  <c:v>52287414</c:v>
                </c:pt>
                <c:pt idx="3310">
                  <c:v>228830</c:v>
                </c:pt>
                <c:pt idx="3311">
                  <c:v>531806</c:v>
                </c:pt>
                <c:pt idx="3312">
                  <c:v>130468626</c:v>
                </c:pt>
                <c:pt idx="3313">
                  <c:v>78900000</c:v>
                </c:pt>
                <c:pt idx="3314">
                  <c:v>76400000</c:v>
                </c:pt>
                <c:pt idx="3315">
                  <c:v>228756232</c:v>
                </c:pt>
                <c:pt idx="3316">
                  <c:v>109713132</c:v>
                </c:pt>
                <c:pt idx="3317">
                  <c:v>55210049</c:v>
                </c:pt>
                <c:pt idx="3318">
                  <c:v>74888996</c:v>
                </c:pt>
                <c:pt idx="3319">
                  <c:v>257704099</c:v>
                </c:pt>
                <c:pt idx="3320">
                  <c:v>92001027</c:v>
                </c:pt>
                <c:pt idx="3321">
                  <c:v>75668868</c:v>
                </c:pt>
                <c:pt idx="3322">
                  <c:v>70117571</c:v>
                </c:pt>
                <c:pt idx="3323">
                  <c:v>43119879</c:v>
                </c:pt>
                <c:pt idx="3324">
                  <c:v>82300000</c:v>
                </c:pt>
                <c:pt idx="3325">
                  <c:v>474544677</c:v>
                </c:pt>
                <c:pt idx="3326">
                  <c:v>310675583</c:v>
                </c:pt>
                <c:pt idx="3327">
                  <c:v>380262555</c:v>
                </c:pt>
                <c:pt idx="3328">
                  <c:v>460935665</c:v>
                </c:pt>
                <c:pt idx="3329">
                  <c:v>290158751</c:v>
                </c:pt>
                <c:pt idx="3330">
                  <c:v>309125409</c:v>
                </c:pt>
                <c:pt idx="3333">
                  <c:v>38345403</c:v>
                </c:pt>
                <c:pt idx="3336">
                  <c:v>54700065</c:v>
                </c:pt>
                <c:pt idx="3337">
                  <c:v>88200225</c:v>
                </c:pt>
                <c:pt idx="3340">
                  <c:v>36965395</c:v>
                </c:pt>
                <c:pt idx="3341">
                  <c:v>23078294</c:v>
                </c:pt>
                <c:pt idx="3342">
                  <c:v>27947064</c:v>
                </c:pt>
                <c:pt idx="3343">
                  <c:v>31704416</c:v>
                </c:pt>
                <c:pt idx="3344">
                  <c:v>410388</c:v>
                </c:pt>
                <c:pt idx="3345">
                  <c:v>1686429</c:v>
                </c:pt>
                <c:pt idx="3346">
                  <c:v>100468793</c:v>
                </c:pt>
                <c:pt idx="3347">
                  <c:v>58006147</c:v>
                </c:pt>
                <c:pt idx="3348">
                  <c:v>42385520</c:v>
                </c:pt>
                <c:pt idx="3349">
                  <c:v>35057332</c:v>
                </c:pt>
                <c:pt idx="3350">
                  <c:v>65269010</c:v>
                </c:pt>
                <c:pt idx="3351">
                  <c:v>91030827</c:v>
                </c:pt>
                <c:pt idx="3353">
                  <c:v>17750583</c:v>
                </c:pt>
                <c:pt idx="3354">
                  <c:v>26870825</c:v>
                </c:pt>
                <c:pt idx="3355">
                  <c:v>69582</c:v>
                </c:pt>
                <c:pt idx="3356">
                  <c:v>50041732</c:v>
                </c:pt>
                <c:pt idx="3357">
                  <c:v>18656400</c:v>
                </c:pt>
                <c:pt idx="3358">
                  <c:v>21133087</c:v>
                </c:pt>
                <c:pt idx="3360">
                  <c:v>1702277</c:v>
                </c:pt>
                <c:pt idx="3361">
                  <c:v>119841</c:v>
                </c:pt>
                <c:pt idx="3362">
                  <c:v>183125</c:v>
                </c:pt>
                <c:pt idx="3363">
                  <c:v>61356221</c:v>
                </c:pt>
                <c:pt idx="3364">
                  <c:v>9286314</c:v>
                </c:pt>
                <c:pt idx="3365">
                  <c:v>1796024</c:v>
                </c:pt>
                <c:pt idx="3366">
                  <c:v>186354</c:v>
                </c:pt>
                <c:pt idx="3367">
                  <c:v>10911750</c:v>
                </c:pt>
                <c:pt idx="3370">
                  <c:v>2712293</c:v>
                </c:pt>
                <c:pt idx="3371">
                  <c:v>161029270</c:v>
                </c:pt>
                <c:pt idx="3372">
                  <c:v>6563357</c:v>
                </c:pt>
                <c:pt idx="3373">
                  <c:v>40137776</c:v>
                </c:pt>
                <c:pt idx="3376">
                  <c:v>10324441</c:v>
                </c:pt>
                <c:pt idx="3377">
                  <c:v>33423521</c:v>
                </c:pt>
                <c:pt idx="3378">
                  <c:v>8742261</c:v>
                </c:pt>
                <c:pt idx="3379">
                  <c:v>26415649</c:v>
                </c:pt>
                <c:pt idx="3380">
                  <c:v>85300000</c:v>
                </c:pt>
                <c:pt idx="3381">
                  <c:v>32800000</c:v>
                </c:pt>
                <c:pt idx="3382">
                  <c:v>64736114</c:v>
                </c:pt>
                <c:pt idx="3383">
                  <c:v>140015224</c:v>
                </c:pt>
                <c:pt idx="3384">
                  <c:v>33828318</c:v>
                </c:pt>
                <c:pt idx="3388">
                  <c:v>466702</c:v>
                </c:pt>
                <c:pt idx="3390">
                  <c:v>36381716</c:v>
                </c:pt>
                <c:pt idx="3391">
                  <c:v>18272447</c:v>
                </c:pt>
                <c:pt idx="3392">
                  <c:v>177840</c:v>
                </c:pt>
                <c:pt idx="3393">
                  <c:v>161087183</c:v>
                </c:pt>
                <c:pt idx="3394">
                  <c:v>19693891</c:v>
                </c:pt>
                <c:pt idx="3395">
                  <c:v>19283782</c:v>
                </c:pt>
                <c:pt idx="3396">
                  <c:v>95016</c:v>
                </c:pt>
                <c:pt idx="3398">
                  <c:v>12055108</c:v>
                </c:pt>
                <c:pt idx="3399">
                  <c:v>3064356</c:v>
                </c:pt>
                <c:pt idx="3400">
                  <c:v>3675072</c:v>
                </c:pt>
                <c:pt idx="3401">
                  <c:v>126975169</c:v>
                </c:pt>
                <c:pt idx="3403">
                  <c:v>20915465</c:v>
                </c:pt>
                <c:pt idx="3404">
                  <c:v>11529368</c:v>
                </c:pt>
                <c:pt idx="3405">
                  <c:v>18488314</c:v>
                </c:pt>
                <c:pt idx="3406">
                  <c:v>322157</c:v>
                </c:pt>
                <c:pt idx="3407">
                  <c:v>9109322</c:v>
                </c:pt>
                <c:pt idx="3408">
                  <c:v>121463226</c:v>
                </c:pt>
                <c:pt idx="3409">
                  <c:v>13220</c:v>
                </c:pt>
                <c:pt idx="3410">
                  <c:v>3101301</c:v>
                </c:pt>
                <c:pt idx="3411">
                  <c:v>25871834</c:v>
                </c:pt>
                <c:pt idx="3412">
                  <c:v>108200000</c:v>
                </c:pt>
                <c:pt idx="3413">
                  <c:v>60000000</c:v>
                </c:pt>
                <c:pt idx="3414">
                  <c:v>15681020</c:v>
                </c:pt>
                <c:pt idx="3415">
                  <c:v>200069408</c:v>
                </c:pt>
                <c:pt idx="3416">
                  <c:v>134218018</c:v>
                </c:pt>
                <c:pt idx="3417">
                  <c:v>14218868</c:v>
                </c:pt>
                <c:pt idx="3418">
                  <c:v>30628981</c:v>
                </c:pt>
                <c:pt idx="3421">
                  <c:v>36497</c:v>
                </c:pt>
                <c:pt idx="3422">
                  <c:v>58867694</c:v>
                </c:pt>
                <c:pt idx="3423">
                  <c:v>38542418</c:v>
                </c:pt>
                <c:pt idx="3424">
                  <c:v>101055</c:v>
                </c:pt>
                <c:pt idx="3426">
                  <c:v>8712564</c:v>
                </c:pt>
                <c:pt idx="3428">
                  <c:v>127214072</c:v>
                </c:pt>
                <c:pt idx="3429">
                  <c:v>25178165</c:v>
                </c:pt>
                <c:pt idx="3430">
                  <c:v>15180000</c:v>
                </c:pt>
                <c:pt idx="3432">
                  <c:v>598645</c:v>
                </c:pt>
                <c:pt idx="3433">
                  <c:v>28563926</c:v>
                </c:pt>
                <c:pt idx="3434">
                  <c:v>10105505</c:v>
                </c:pt>
                <c:pt idx="3435">
                  <c:v>16284360</c:v>
                </c:pt>
                <c:pt idx="3436">
                  <c:v>4505922</c:v>
                </c:pt>
                <c:pt idx="3437">
                  <c:v>6482195</c:v>
                </c:pt>
                <c:pt idx="3438">
                  <c:v>69772969</c:v>
                </c:pt>
                <c:pt idx="3439">
                  <c:v>11702090</c:v>
                </c:pt>
                <c:pt idx="3440">
                  <c:v>3081925</c:v>
                </c:pt>
                <c:pt idx="3441">
                  <c:v>101630576</c:v>
                </c:pt>
                <c:pt idx="3442">
                  <c:v>872643</c:v>
                </c:pt>
                <c:pt idx="3443">
                  <c:v>2882062</c:v>
                </c:pt>
                <c:pt idx="3444">
                  <c:v>1110186</c:v>
                </c:pt>
                <c:pt idx="3445">
                  <c:v>6923891</c:v>
                </c:pt>
                <c:pt idx="3446">
                  <c:v>1729969</c:v>
                </c:pt>
                <c:pt idx="3447">
                  <c:v>34703228</c:v>
                </c:pt>
                <c:pt idx="3448">
                  <c:v>139852971</c:v>
                </c:pt>
                <c:pt idx="3449">
                  <c:v>89253340</c:v>
                </c:pt>
                <c:pt idx="3450">
                  <c:v>145000989</c:v>
                </c:pt>
                <c:pt idx="3451">
                  <c:v>57744720</c:v>
                </c:pt>
                <c:pt idx="3452">
                  <c:v>7443007</c:v>
                </c:pt>
                <c:pt idx="3453">
                  <c:v>21088568</c:v>
                </c:pt>
                <c:pt idx="3454">
                  <c:v>11797927</c:v>
                </c:pt>
                <c:pt idx="3455">
                  <c:v>3468572</c:v>
                </c:pt>
                <c:pt idx="3456">
                  <c:v>148213377</c:v>
                </c:pt>
                <c:pt idx="3457">
                  <c:v>84518155</c:v>
                </c:pt>
                <c:pt idx="3458">
                  <c:v>200807262</c:v>
                </c:pt>
                <c:pt idx="3459">
                  <c:v>63408614</c:v>
                </c:pt>
                <c:pt idx="3460">
                  <c:v>1687311</c:v>
                </c:pt>
                <c:pt idx="3461">
                  <c:v>4064333</c:v>
                </c:pt>
                <c:pt idx="3462">
                  <c:v>5005</c:v>
                </c:pt>
                <c:pt idx="3463">
                  <c:v>592014</c:v>
                </c:pt>
                <c:pt idx="3465">
                  <c:v>274661</c:v>
                </c:pt>
                <c:pt idx="3467">
                  <c:v>14348123</c:v>
                </c:pt>
                <c:pt idx="3468">
                  <c:v>6491350</c:v>
                </c:pt>
                <c:pt idx="3469">
                  <c:v>32774834</c:v>
                </c:pt>
                <c:pt idx="3470">
                  <c:v>43426961</c:v>
                </c:pt>
                <c:pt idx="3471">
                  <c:v>81257500</c:v>
                </c:pt>
                <c:pt idx="3472">
                  <c:v>218628680</c:v>
                </c:pt>
                <c:pt idx="3473">
                  <c:v>7888703</c:v>
                </c:pt>
                <c:pt idx="3474">
                  <c:v>78656813</c:v>
                </c:pt>
                <c:pt idx="3475">
                  <c:v>42660000</c:v>
                </c:pt>
                <c:pt idx="3476">
                  <c:v>381742480</c:v>
                </c:pt>
                <c:pt idx="3477">
                  <c:v>81638674</c:v>
                </c:pt>
                <c:pt idx="3479">
                  <c:v>347578</c:v>
                </c:pt>
                <c:pt idx="3480">
                  <c:v>204843350</c:v>
                </c:pt>
                <c:pt idx="3481">
                  <c:v>150350192</c:v>
                </c:pt>
                <c:pt idx="3482">
                  <c:v>89732035</c:v>
                </c:pt>
                <c:pt idx="3483">
                  <c:v>125320003</c:v>
                </c:pt>
                <c:pt idx="3484">
                  <c:v>34334256</c:v>
                </c:pt>
                <c:pt idx="3485">
                  <c:v>623374</c:v>
                </c:pt>
                <c:pt idx="3486">
                  <c:v>24792061</c:v>
                </c:pt>
                <c:pt idx="3487">
                  <c:v>26049082</c:v>
                </c:pt>
                <c:pt idx="3488">
                  <c:v>25809813</c:v>
                </c:pt>
                <c:pt idx="3489">
                  <c:v>36931089</c:v>
                </c:pt>
                <c:pt idx="3490">
                  <c:v>32694788</c:v>
                </c:pt>
                <c:pt idx="3491">
                  <c:v>12188642</c:v>
                </c:pt>
                <c:pt idx="3492">
                  <c:v>109243478</c:v>
                </c:pt>
                <c:pt idx="3494">
                  <c:v>399611</c:v>
                </c:pt>
                <c:pt idx="3495">
                  <c:v>34912982</c:v>
                </c:pt>
                <c:pt idx="3496">
                  <c:v>34543701</c:v>
                </c:pt>
                <c:pt idx="3497">
                  <c:v>54222000</c:v>
                </c:pt>
                <c:pt idx="3498">
                  <c:v>484221</c:v>
                </c:pt>
                <c:pt idx="3499">
                  <c:v>113502246</c:v>
                </c:pt>
                <c:pt idx="3500">
                  <c:v>62453315</c:v>
                </c:pt>
                <c:pt idx="3501">
                  <c:v>4756</c:v>
                </c:pt>
                <c:pt idx="3502">
                  <c:v>11634458</c:v>
                </c:pt>
                <c:pt idx="3503">
                  <c:v>21413502</c:v>
                </c:pt>
                <c:pt idx="3504">
                  <c:v>24103594</c:v>
                </c:pt>
                <c:pt idx="3505">
                  <c:v>15091542</c:v>
                </c:pt>
                <c:pt idx="3506">
                  <c:v>4411102</c:v>
                </c:pt>
                <c:pt idx="3507">
                  <c:v>26000610</c:v>
                </c:pt>
                <c:pt idx="3508">
                  <c:v>39177541</c:v>
                </c:pt>
                <c:pt idx="3509">
                  <c:v>77564037</c:v>
                </c:pt>
                <c:pt idx="3510">
                  <c:v>42478175</c:v>
                </c:pt>
                <c:pt idx="3511">
                  <c:v>32000000</c:v>
                </c:pt>
                <c:pt idx="3512">
                  <c:v>44812724</c:v>
                </c:pt>
                <c:pt idx="3514">
                  <c:v>11278</c:v>
                </c:pt>
                <c:pt idx="3515">
                  <c:v>202853933</c:v>
                </c:pt>
                <c:pt idx="3516">
                  <c:v>262030663</c:v>
                </c:pt>
                <c:pt idx="3517">
                  <c:v>65000000</c:v>
                </c:pt>
                <c:pt idx="3518">
                  <c:v>35596227</c:v>
                </c:pt>
                <c:pt idx="3519">
                  <c:v>64255243</c:v>
                </c:pt>
                <c:pt idx="3521">
                  <c:v>107225164</c:v>
                </c:pt>
                <c:pt idx="3522">
                  <c:v>55762229</c:v>
                </c:pt>
                <c:pt idx="3523">
                  <c:v>28133159</c:v>
                </c:pt>
                <c:pt idx="3525">
                  <c:v>20733485</c:v>
                </c:pt>
                <c:pt idx="3526">
                  <c:v>4930798</c:v>
                </c:pt>
                <c:pt idx="3527">
                  <c:v>1429260</c:v>
                </c:pt>
                <c:pt idx="3528">
                  <c:v>30199105</c:v>
                </c:pt>
                <c:pt idx="3529">
                  <c:v>44667095</c:v>
                </c:pt>
                <c:pt idx="3530">
                  <c:v>613556</c:v>
                </c:pt>
                <c:pt idx="3531">
                  <c:v>3904982</c:v>
                </c:pt>
                <c:pt idx="3532">
                  <c:v>10996440</c:v>
                </c:pt>
                <c:pt idx="3533">
                  <c:v>21309162</c:v>
                </c:pt>
                <c:pt idx="3535">
                  <c:v>1246559094</c:v>
                </c:pt>
                <c:pt idx="3536">
                  <c:v>102608827</c:v>
                </c:pt>
                <c:pt idx="3538">
                  <c:v>476270</c:v>
                </c:pt>
                <c:pt idx="3540">
                  <c:v>37481242</c:v>
                </c:pt>
                <c:pt idx="3544">
                  <c:v>712294</c:v>
                </c:pt>
                <c:pt idx="3545">
                  <c:v>30306281</c:v>
                </c:pt>
                <c:pt idx="3546">
                  <c:v>30028592</c:v>
                </c:pt>
                <c:pt idx="3547">
                  <c:v>3432342</c:v>
                </c:pt>
                <c:pt idx="3548">
                  <c:v>800000</c:v>
                </c:pt>
                <c:pt idx="3549">
                  <c:v>609042</c:v>
                </c:pt>
                <c:pt idx="3550">
                  <c:v>279282</c:v>
                </c:pt>
                <c:pt idx="3551">
                  <c:v>39778599</c:v>
                </c:pt>
                <c:pt idx="3552">
                  <c:v>5000000</c:v>
                </c:pt>
                <c:pt idx="3554">
                  <c:v>958319</c:v>
                </c:pt>
                <c:pt idx="3555">
                  <c:v>406035</c:v>
                </c:pt>
                <c:pt idx="3556">
                  <c:v>57651794</c:v>
                </c:pt>
                <c:pt idx="3557">
                  <c:v>46377022</c:v>
                </c:pt>
                <c:pt idx="3558">
                  <c:v>69700000</c:v>
                </c:pt>
                <c:pt idx="3559">
                  <c:v>70492685</c:v>
                </c:pt>
                <c:pt idx="3560">
                  <c:v>34074895</c:v>
                </c:pt>
                <c:pt idx="3561">
                  <c:v>26761283</c:v>
                </c:pt>
                <c:pt idx="3562">
                  <c:v>85433</c:v>
                </c:pt>
                <c:pt idx="3563">
                  <c:v>23650000</c:v>
                </c:pt>
                <c:pt idx="3565">
                  <c:v>126387</c:v>
                </c:pt>
                <c:pt idx="3566">
                  <c:v>52792307</c:v>
                </c:pt>
                <c:pt idx="3567">
                  <c:v>6471394</c:v>
                </c:pt>
                <c:pt idx="3568">
                  <c:v>27052167</c:v>
                </c:pt>
                <c:pt idx="3569">
                  <c:v>17439163</c:v>
                </c:pt>
                <c:pt idx="3571">
                  <c:v>70235322</c:v>
                </c:pt>
                <c:pt idx="3573">
                  <c:v>185577</c:v>
                </c:pt>
                <c:pt idx="3574">
                  <c:v>21784432</c:v>
                </c:pt>
                <c:pt idx="3575">
                  <c:v>7204138</c:v>
                </c:pt>
                <c:pt idx="3577">
                  <c:v>22518325</c:v>
                </c:pt>
                <c:pt idx="3580">
                  <c:v>140530114</c:v>
                </c:pt>
                <c:pt idx="3581">
                  <c:v>255950375</c:v>
                </c:pt>
                <c:pt idx="3582">
                  <c:v>882290</c:v>
                </c:pt>
                <c:pt idx="3587">
                  <c:v>231186</c:v>
                </c:pt>
                <c:pt idx="3588">
                  <c:v>54200000</c:v>
                </c:pt>
                <c:pt idx="3589">
                  <c:v>121945720</c:v>
                </c:pt>
                <c:pt idx="3591">
                  <c:v>66488090</c:v>
                </c:pt>
                <c:pt idx="3592">
                  <c:v>94822707</c:v>
                </c:pt>
                <c:pt idx="3593">
                  <c:v>50150619</c:v>
                </c:pt>
                <c:pt idx="3594">
                  <c:v>1098224</c:v>
                </c:pt>
                <c:pt idx="3595">
                  <c:v>21483154</c:v>
                </c:pt>
                <c:pt idx="3596">
                  <c:v>10269307</c:v>
                </c:pt>
                <c:pt idx="3599">
                  <c:v>22359293</c:v>
                </c:pt>
                <c:pt idx="3600">
                  <c:v>63034755</c:v>
                </c:pt>
                <c:pt idx="3601">
                  <c:v>67061228</c:v>
                </c:pt>
                <c:pt idx="3602">
                  <c:v>8600000</c:v>
                </c:pt>
                <c:pt idx="3603">
                  <c:v>121468960</c:v>
                </c:pt>
                <c:pt idx="3604">
                  <c:v>113165635</c:v>
                </c:pt>
                <c:pt idx="3605">
                  <c:v>176049130</c:v>
                </c:pt>
                <c:pt idx="3606">
                  <c:v>227137090</c:v>
                </c:pt>
                <c:pt idx="3607">
                  <c:v>15045676</c:v>
                </c:pt>
                <c:pt idx="3608">
                  <c:v>50807639</c:v>
                </c:pt>
                <c:pt idx="3609">
                  <c:v>9030581</c:v>
                </c:pt>
                <c:pt idx="3610">
                  <c:v>35385560</c:v>
                </c:pt>
                <c:pt idx="3611">
                  <c:v>35794166</c:v>
                </c:pt>
                <c:pt idx="3615">
                  <c:v>6643</c:v>
                </c:pt>
                <c:pt idx="3617">
                  <c:v>118683135</c:v>
                </c:pt>
                <c:pt idx="3618">
                  <c:v>42880</c:v>
                </c:pt>
                <c:pt idx="3619">
                  <c:v>27200000</c:v>
                </c:pt>
                <c:pt idx="3620">
                  <c:v>70960517</c:v>
                </c:pt>
                <c:pt idx="3621">
                  <c:v>2808000</c:v>
                </c:pt>
                <c:pt idx="3622">
                  <c:v>1744858</c:v>
                </c:pt>
                <c:pt idx="3623">
                  <c:v>3519627</c:v>
                </c:pt>
                <c:pt idx="3624">
                  <c:v>37899638</c:v>
                </c:pt>
                <c:pt idx="3625">
                  <c:v>10246600</c:v>
                </c:pt>
                <c:pt idx="3626">
                  <c:v>900926</c:v>
                </c:pt>
                <c:pt idx="3627">
                  <c:v>27457409</c:v>
                </c:pt>
                <c:pt idx="3628">
                  <c:v>365734</c:v>
                </c:pt>
                <c:pt idx="3629">
                  <c:v>155972</c:v>
                </c:pt>
                <c:pt idx="3630">
                  <c:v>93452056</c:v>
                </c:pt>
                <c:pt idx="3631">
                  <c:v>174682</c:v>
                </c:pt>
                <c:pt idx="3632">
                  <c:v>1028337</c:v>
                </c:pt>
                <c:pt idx="3633">
                  <c:v>23947</c:v>
                </c:pt>
                <c:pt idx="3634">
                  <c:v>42043633</c:v>
                </c:pt>
                <c:pt idx="3635">
                  <c:v>60154431</c:v>
                </c:pt>
                <c:pt idx="3638">
                  <c:v>51872378</c:v>
                </c:pt>
                <c:pt idx="3640">
                  <c:v>86897182</c:v>
                </c:pt>
                <c:pt idx="3641">
                  <c:v>49494</c:v>
                </c:pt>
                <c:pt idx="3643">
                  <c:v>100446895</c:v>
                </c:pt>
                <c:pt idx="3644">
                  <c:v>14888028</c:v>
                </c:pt>
                <c:pt idx="3645">
                  <c:v>687081</c:v>
                </c:pt>
                <c:pt idx="3646">
                  <c:v>1647780</c:v>
                </c:pt>
                <c:pt idx="3647">
                  <c:v>61280963</c:v>
                </c:pt>
                <c:pt idx="3648">
                  <c:v>244465</c:v>
                </c:pt>
                <c:pt idx="3649">
                  <c:v>37035845</c:v>
                </c:pt>
                <c:pt idx="3651">
                  <c:v>1027749</c:v>
                </c:pt>
                <c:pt idx="3652">
                  <c:v>3629758</c:v>
                </c:pt>
                <c:pt idx="3654">
                  <c:v>2209479</c:v>
                </c:pt>
                <c:pt idx="3655">
                  <c:v>141614023</c:v>
                </c:pt>
                <c:pt idx="3656">
                  <c:v>291709845</c:v>
                </c:pt>
                <c:pt idx="3657">
                  <c:v>104383624</c:v>
                </c:pt>
                <c:pt idx="3658">
                  <c:v>57637485</c:v>
                </c:pt>
                <c:pt idx="3659">
                  <c:v>49526</c:v>
                </c:pt>
                <c:pt idx="3660">
                  <c:v>673780</c:v>
                </c:pt>
                <c:pt idx="3662">
                  <c:v>807864</c:v>
                </c:pt>
                <c:pt idx="3663">
                  <c:v>1953732</c:v>
                </c:pt>
                <c:pt idx="3664">
                  <c:v>3766595</c:v>
                </c:pt>
                <c:pt idx="3665">
                  <c:v>92115211</c:v>
                </c:pt>
                <c:pt idx="3666">
                  <c:v>3749061</c:v>
                </c:pt>
                <c:pt idx="3667">
                  <c:v>6842058</c:v>
                </c:pt>
                <c:pt idx="3669">
                  <c:v>52293982</c:v>
                </c:pt>
                <c:pt idx="3670">
                  <c:v>94175854</c:v>
                </c:pt>
                <c:pt idx="3673">
                  <c:v>102310175</c:v>
                </c:pt>
                <c:pt idx="3674">
                  <c:v>137387272</c:v>
                </c:pt>
                <c:pt idx="3675">
                  <c:v>11538204</c:v>
                </c:pt>
                <c:pt idx="3676">
                  <c:v>33565375</c:v>
                </c:pt>
                <c:pt idx="3677">
                  <c:v>17804273</c:v>
                </c:pt>
                <c:pt idx="3679">
                  <c:v>11540112</c:v>
                </c:pt>
                <c:pt idx="3680">
                  <c:v>8243880</c:v>
                </c:pt>
                <c:pt idx="3681">
                  <c:v>31111260</c:v>
                </c:pt>
                <c:pt idx="3682">
                  <c:v>15156200</c:v>
                </c:pt>
                <c:pt idx="3684">
                  <c:v>25900000</c:v>
                </c:pt>
                <c:pt idx="3685">
                  <c:v>16969390</c:v>
                </c:pt>
                <c:pt idx="3686">
                  <c:v>54228104</c:v>
                </c:pt>
                <c:pt idx="3687">
                  <c:v>16988996</c:v>
                </c:pt>
                <c:pt idx="3688">
                  <c:v>23292105</c:v>
                </c:pt>
                <c:pt idx="3689">
                  <c:v>24881000</c:v>
                </c:pt>
                <c:pt idx="3690">
                  <c:v>39103378</c:v>
                </c:pt>
                <c:pt idx="3691">
                  <c:v>13019253</c:v>
                </c:pt>
                <c:pt idx="3692">
                  <c:v>28399192</c:v>
                </c:pt>
                <c:pt idx="3693">
                  <c:v>187165546</c:v>
                </c:pt>
                <c:pt idx="3694">
                  <c:v>50693162</c:v>
                </c:pt>
                <c:pt idx="3696">
                  <c:v>62549000</c:v>
                </c:pt>
                <c:pt idx="3697">
                  <c:v>94596</c:v>
                </c:pt>
                <c:pt idx="3698">
                  <c:v>127490802</c:v>
                </c:pt>
                <c:pt idx="3700">
                  <c:v>7496522</c:v>
                </c:pt>
                <c:pt idx="3701">
                  <c:v>56068547</c:v>
                </c:pt>
                <c:pt idx="3702">
                  <c:v>217536138</c:v>
                </c:pt>
                <c:pt idx="3703">
                  <c:v>449558</c:v>
                </c:pt>
                <c:pt idx="3704">
                  <c:v>1779284</c:v>
                </c:pt>
                <c:pt idx="3706">
                  <c:v>448130642</c:v>
                </c:pt>
                <c:pt idx="3707">
                  <c:v>533316061</c:v>
                </c:pt>
                <c:pt idx="3708">
                  <c:v>21426805</c:v>
                </c:pt>
                <c:pt idx="3709">
                  <c:v>186739919</c:v>
                </c:pt>
                <c:pt idx="3710">
                  <c:v>158727570</c:v>
                </c:pt>
                <c:pt idx="3711">
                  <c:v>17311</c:v>
                </c:pt>
                <c:pt idx="3715">
                  <c:v>31146570</c:v>
                </c:pt>
                <c:pt idx="3716">
                  <c:v>13376506</c:v>
                </c:pt>
                <c:pt idx="3718">
                  <c:v>132373442</c:v>
                </c:pt>
                <c:pt idx="3720">
                  <c:v>82624961</c:v>
                </c:pt>
                <c:pt idx="3721">
                  <c:v>26005908</c:v>
                </c:pt>
                <c:pt idx="3722">
                  <c:v>53245055</c:v>
                </c:pt>
                <c:pt idx="3723">
                  <c:v>124732962</c:v>
                </c:pt>
                <c:pt idx="3724">
                  <c:v>60984028</c:v>
                </c:pt>
                <c:pt idx="3725">
                  <c:v>1357042</c:v>
                </c:pt>
                <c:pt idx="3726">
                  <c:v>42877165</c:v>
                </c:pt>
                <c:pt idx="3727">
                  <c:v>16901126</c:v>
                </c:pt>
                <c:pt idx="3729">
                  <c:v>1477002</c:v>
                </c:pt>
                <c:pt idx="3730">
                  <c:v>59617068</c:v>
                </c:pt>
                <c:pt idx="3731">
                  <c:v>48430355</c:v>
                </c:pt>
                <c:pt idx="3733">
                  <c:v>22000</c:v>
                </c:pt>
                <c:pt idx="3734">
                  <c:v>5990075</c:v>
                </c:pt>
                <c:pt idx="3737">
                  <c:v>35183792</c:v>
                </c:pt>
                <c:pt idx="3739">
                  <c:v>13823741</c:v>
                </c:pt>
                <c:pt idx="3740">
                  <c:v>34017854</c:v>
                </c:pt>
                <c:pt idx="3741">
                  <c:v>80270227</c:v>
                </c:pt>
                <c:pt idx="3742">
                  <c:v>2268296</c:v>
                </c:pt>
                <c:pt idx="3743">
                  <c:v>128937</c:v>
                </c:pt>
                <c:pt idx="3744">
                  <c:v>27779888</c:v>
                </c:pt>
                <c:pt idx="3747">
                  <c:v>14060950</c:v>
                </c:pt>
                <c:pt idx="3748">
                  <c:v>89296573</c:v>
                </c:pt>
                <c:pt idx="3749">
                  <c:v>10660147</c:v>
                </c:pt>
                <c:pt idx="3750">
                  <c:v>78651430</c:v>
                </c:pt>
                <c:pt idx="3751">
                  <c:v>101530738</c:v>
                </c:pt>
                <c:pt idx="3753">
                  <c:v>75072454</c:v>
                </c:pt>
                <c:pt idx="3754">
                  <c:v>204565000</c:v>
                </c:pt>
                <c:pt idx="3755">
                  <c:v>85017401</c:v>
                </c:pt>
                <c:pt idx="3756">
                  <c:v>39292022</c:v>
                </c:pt>
                <c:pt idx="3757">
                  <c:v>102981571</c:v>
                </c:pt>
                <c:pt idx="3758">
                  <c:v>24705</c:v>
                </c:pt>
                <c:pt idx="3759">
                  <c:v>9589875</c:v>
                </c:pt>
                <c:pt idx="3760">
                  <c:v>453079</c:v>
                </c:pt>
                <c:pt idx="3761">
                  <c:v>31397498</c:v>
                </c:pt>
                <c:pt idx="3763">
                  <c:v>40064955</c:v>
                </c:pt>
                <c:pt idx="3765">
                  <c:v>75764085</c:v>
                </c:pt>
                <c:pt idx="3766">
                  <c:v>6061759</c:v>
                </c:pt>
                <c:pt idx="3768">
                  <c:v>18573791</c:v>
                </c:pt>
                <c:pt idx="3769">
                  <c:v>433536930</c:v>
                </c:pt>
                <c:pt idx="3770">
                  <c:v>62494975</c:v>
                </c:pt>
                <c:pt idx="3771">
                  <c:v>124868837</c:v>
                </c:pt>
                <c:pt idx="3772">
                  <c:v>63540020</c:v>
                </c:pt>
                <c:pt idx="3773">
                  <c:v>3254172</c:v>
                </c:pt>
                <c:pt idx="3774">
                  <c:v>93571803</c:v>
                </c:pt>
                <c:pt idx="3775">
                  <c:v>66466372</c:v>
                </c:pt>
                <c:pt idx="3776">
                  <c:v>27550735</c:v>
                </c:pt>
                <c:pt idx="3777">
                  <c:v>158348400</c:v>
                </c:pt>
                <c:pt idx="3778">
                  <c:v>105444419</c:v>
                </c:pt>
                <c:pt idx="3779">
                  <c:v>41895491</c:v>
                </c:pt>
                <c:pt idx="3780">
                  <c:v>28644770</c:v>
                </c:pt>
                <c:pt idx="3781">
                  <c:v>35231365</c:v>
                </c:pt>
                <c:pt idx="3782">
                  <c:v>130512915</c:v>
                </c:pt>
                <c:pt idx="3783">
                  <c:v>181798</c:v>
                </c:pt>
                <c:pt idx="3784">
                  <c:v>9213</c:v>
                </c:pt>
                <c:pt idx="3785">
                  <c:v>42756000</c:v>
                </c:pt>
                <c:pt idx="3787">
                  <c:v>25040293</c:v>
                </c:pt>
                <c:pt idx="3788">
                  <c:v>26583369</c:v>
                </c:pt>
                <c:pt idx="3789">
                  <c:v>6755271</c:v>
                </c:pt>
                <c:pt idx="3790">
                  <c:v>10139254</c:v>
                </c:pt>
                <c:pt idx="3791">
                  <c:v>18306166</c:v>
                </c:pt>
                <c:pt idx="3793">
                  <c:v>25464480</c:v>
                </c:pt>
                <c:pt idx="3794">
                  <c:v>40557</c:v>
                </c:pt>
                <c:pt idx="3799">
                  <c:v>183875760</c:v>
                </c:pt>
                <c:pt idx="3800">
                  <c:v>91714906</c:v>
                </c:pt>
                <c:pt idx="3801">
                  <c:v>1227324</c:v>
                </c:pt>
                <c:pt idx="3802">
                  <c:v>22757819</c:v>
                </c:pt>
                <c:pt idx="3803">
                  <c:v>67262442</c:v>
                </c:pt>
                <c:pt idx="3804">
                  <c:v>375474</c:v>
                </c:pt>
                <c:pt idx="3805">
                  <c:v>90636983</c:v>
                </c:pt>
                <c:pt idx="3806">
                  <c:v>48265581</c:v>
                </c:pt>
                <c:pt idx="3807">
                  <c:v>2408553</c:v>
                </c:pt>
                <c:pt idx="3808">
                  <c:v>102678089</c:v>
                </c:pt>
                <c:pt idx="3810">
                  <c:v>2436</c:v>
                </c:pt>
                <c:pt idx="3811">
                  <c:v>38553833</c:v>
                </c:pt>
                <c:pt idx="3812">
                  <c:v>15523168</c:v>
                </c:pt>
                <c:pt idx="3813">
                  <c:v>87542582</c:v>
                </c:pt>
                <c:pt idx="3814">
                  <c:v>14589444</c:v>
                </c:pt>
                <c:pt idx="3815">
                  <c:v>2874</c:v>
                </c:pt>
                <c:pt idx="3816">
                  <c:v>102515793</c:v>
                </c:pt>
                <c:pt idx="3818">
                  <c:v>45089048</c:v>
                </c:pt>
                <c:pt idx="3819">
                  <c:v>17951431</c:v>
                </c:pt>
                <c:pt idx="3820">
                  <c:v>20400913</c:v>
                </c:pt>
                <c:pt idx="3821">
                  <c:v>134821952</c:v>
                </c:pt>
                <c:pt idx="3822">
                  <c:v>57300000</c:v>
                </c:pt>
                <c:pt idx="3823">
                  <c:v>66676062</c:v>
                </c:pt>
                <c:pt idx="3824">
                  <c:v>79817937</c:v>
                </c:pt>
                <c:pt idx="3825">
                  <c:v>70083519</c:v>
                </c:pt>
                <c:pt idx="3826">
                  <c:v>123070338</c:v>
                </c:pt>
                <c:pt idx="3827">
                  <c:v>1304837</c:v>
                </c:pt>
                <c:pt idx="3828">
                  <c:v>14015786</c:v>
                </c:pt>
                <c:pt idx="3829">
                  <c:v>100503</c:v>
                </c:pt>
                <c:pt idx="3830">
                  <c:v>19959</c:v>
                </c:pt>
                <c:pt idx="3831">
                  <c:v>20380</c:v>
                </c:pt>
                <c:pt idx="3832">
                  <c:v>3517797</c:v>
                </c:pt>
                <c:pt idx="3833">
                  <c:v>6100000</c:v>
                </c:pt>
                <c:pt idx="3834">
                  <c:v>128486</c:v>
                </c:pt>
                <c:pt idx="3835">
                  <c:v>15102127</c:v>
                </c:pt>
                <c:pt idx="3836">
                  <c:v>2428241</c:v>
                </c:pt>
                <c:pt idx="3837">
                  <c:v>59073773</c:v>
                </c:pt>
                <c:pt idx="3839">
                  <c:v>6594136</c:v>
                </c:pt>
                <c:pt idx="3840">
                  <c:v>2835886</c:v>
                </c:pt>
                <c:pt idx="3841">
                  <c:v>30226144</c:v>
                </c:pt>
                <c:pt idx="3843">
                  <c:v>289625592</c:v>
                </c:pt>
                <c:pt idx="3844">
                  <c:v>10166502</c:v>
                </c:pt>
                <c:pt idx="3846">
                  <c:v>15331289</c:v>
                </c:pt>
                <c:pt idx="3847">
                  <c:v>638476</c:v>
                </c:pt>
                <c:pt idx="3848">
                  <c:v>36000000</c:v>
                </c:pt>
                <c:pt idx="3849">
                  <c:v>8000000</c:v>
                </c:pt>
                <c:pt idx="3850">
                  <c:v>115862</c:v>
                </c:pt>
                <c:pt idx="3851">
                  <c:v>98780042</c:v>
                </c:pt>
                <c:pt idx="3852">
                  <c:v>7186670</c:v>
                </c:pt>
                <c:pt idx="3853">
                  <c:v>136801374</c:v>
                </c:pt>
                <c:pt idx="3854">
                  <c:v>51533608</c:v>
                </c:pt>
                <c:pt idx="3855">
                  <c:v>39143839</c:v>
                </c:pt>
                <c:pt idx="3856">
                  <c:v>110175871</c:v>
                </c:pt>
                <c:pt idx="3857">
                  <c:v>5359774</c:v>
                </c:pt>
                <c:pt idx="3858">
                  <c:v>37101011</c:v>
                </c:pt>
                <c:pt idx="3859">
                  <c:v>10640645</c:v>
                </c:pt>
                <c:pt idx="3860">
                  <c:v>3034181</c:v>
                </c:pt>
                <c:pt idx="3862">
                  <c:v>442638</c:v>
                </c:pt>
                <c:pt idx="3863">
                  <c:v>254455986</c:v>
                </c:pt>
                <c:pt idx="3864">
                  <c:v>277313371</c:v>
                </c:pt>
                <c:pt idx="3865">
                  <c:v>64505912</c:v>
                </c:pt>
                <c:pt idx="3866">
                  <c:v>2245</c:v>
                </c:pt>
                <c:pt idx="3867">
                  <c:v>54116191</c:v>
                </c:pt>
                <c:pt idx="3868">
                  <c:v>75817994</c:v>
                </c:pt>
                <c:pt idx="3870">
                  <c:v>13350177</c:v>
                </c:pt>
                <c:pt idx="3871">
                  <c:v>91188905</c:v>
                </c:pt>
                <c:pt idx="3872">
                  <c:v>196067</c:v>
                </c:pt>
                <c:pt idx="3873">
                  <c:v>159578352</c:v>
                </c:pt>
                <c:pt idx="3874">
                  <c:v>19539</c:v>
                </c:pt>
                <c:pt idx="3876">
                  <c:v>169705587</c:v>
                </c:pt>
                <c:pt idx="3877">
                  <c:v>20801344</c:v>
                </c:pt>
                <c:pt idx="3878">
                  <c:v>41777564</c:v>
                </c:pt>
                <c:pt idx="3879">
                  <c:v>2706659</c:v>
                </c:pt>
                <c:pt idx="3881">
                  <c:v>51019112</c:v>
                </c:pt>
                <c:pt idx="3882">
                  <c:v>7156933</c:v>
                </c:pt>
                <c:pt idx="3883">
                  <c:v>303001229</c:v>
                </c:pt>
                <c:pt idx="3884">
                  <c:v>255108370</c:v>
                </c:pt>
                <c:pt idx="3885">
                  <c:v>258355354</c:v>
                </c:pt>
                <c:pt idx="3887">
                  <c:v>63224849</c:v>
                </c:pt>
                <c:pt idx="3888">
                  <c:v>304124</c:v>
                </c:pt>
                <c:pt idx="3889">
                  <c:v>2428883</c:v>
                </c:pt>
                <c:pt idx="3892">
                  <c:v>155984</c:v>
                </c:pt>
                <c:pt idx="3893">
                  <c:v>75370763</c:v>
                </c:pt>
                <c:pt idx="3894">
                  <c:v>1877179</c:v>
                </c:pt>
                <c:pt idx="3895">
                  <c:v>28818411</c:v>
                </c:pt>
                <c:pt idx="3896">
                  <c:v>5100000</c:v>
                </c:pt>
                <c:pt idx="3897">
                  <c:v>41597830</c:v>
                </c:pt>
                <c:pt idx="3898">
                  <c:v>48237389</c:v>
                </c:pt>
                <c:pt idx="3899">
                  <c:v>3041803</c:v>
                </c:pt>
                <c:pt idx="3900">
                  <c:v>100659</c:v>
                </c:pt>
                <c:pt idx="3901">
                  <c:v>17986000</c:v>
                </c:pt>
                <c:pt idx="3902">
                  <c:v>2869369</c:v>
                </c:pt>
                <c:pt idx="3903">
                  <c:v>100117603</c:v>
                </c:pt>
                <c:pt idx="3904">
                  <c:v>54235441</c:v>
                </c:pt>
                <c:pt idx="3905">
                  <c:v>407999255</c:v>
                </c:pt>
                <c:pt idx="3906">
                  <c:v>424645577</c:v>
                </c:pt>
                <c:pt idx="3907">
                  <c:v>337103873</c:v>
                </c:pt>
                <c:pt idx="3908">
                  <c:v>281666058</c:v>
                </c:pt>
                <c:pt idx="3909">
                  <c:v>122012643</c:v>
                </c:pt>
                <c:pt idx="3910">
                  <c:v>610968</c:v>
                </c:pt>
                <c:pt idx="3911">
                  <c:v>34238611</c:v>
                </c:pt>
                <c:pt idx="3912">
                  <c:v>876671</c:v>
                </c:pt>
                <c:pt idx="3913">
                  <c:v>47952020</c:v>
                </c:pt>
                <c:pt idx="3914">
                  <c:v>50668906</c:v>
                </c:pt>
                <c:pt idx="3915">
                  <c:v>15700000</c:v>
                </c:pt>
                <c:pt idx="3919">
                  <c:v>7837632</c:v>
                </c:pt>
                <c:pt idx="3920">
                  <c:v>1939441</c:v>
                </c:pt>
                <c:pt idx="3921">
                  <c:v>40962534</c:v>
                </c:pt>
                <c:pt idx="3922">
                  <c:v>79651596</c:v>
                </c:pt>
                <c:pt idx="3924">
                  <c:v>7689458</c:v>
                </c:pt>
                <c:pt idx="3925">
                  <c:v>91121452</c:v>
                </c:pt>
                <c:pt idx="3926">
                  <c:v>1984743</c:v>
                </c:pt>
                <c:pt idx="3927">
                  <c:v>8378141</c:v>
                </c:pt>
                <c:pt idx="3928">
                  <c:v>18996755</c:v>
                </c:pt>
                <c:pt idx="3929">
                  <c:v>5217498</c:v>
                </c:pt>
                <c:pt idx="3931">
                  <c:v>22525921</c:v>
                </c:pt>
                <c:pt idx="3932">
                  <c:v>134518390</c:v>
                </c:pt>
                <c:pt idx="3933">
                  <c:v>261437578</c:v>
                </c:pt>
                <c:pt idx="3934">
                  <c:v>1977544</c:v>
                </c:pt>
                <c:pt idx="3935">
                  <c:v>35617599</c:v>
                </c:pt>
                <c:pt idx="3936">
                  <c:v>14946229</c:v>
                </c:pt>
                <c:pt idx="3937">
                  <c:v>33313582</c:v>
                </c:pt>
                <c:pt idx="3939">
                  <c:v>8880705</c:v>
                </c:pt>
                <c:pt idx="3940">
                  <c:v>77501</c:v>
                </c:pt>
                <c:pt idx="3941">
                  <c:v>28965197</c:v>
                </c:pt>
                <c:pt idx="3942">
                  <c:v>75274748</c:v>
                </c:pt>
                <c:pt idx="3943">
                  <c:v>25450527</c:v>
                </c:pt>
                <c:pt idx="3944">
                  <c:v>44665963</c:v>
                </c:pt>
                <c:pt idx="3945">
                  <c:v>72515360</c:v>
                </c:pt>
                <c:pt idx="3946">
                  <c:v>6105175</c:v>
                </c:pt>
                <c:pt idx="3947">
                  <c:v>15071514</c:v>
                </c:pt>
                <c:pt idx="3948">
                  <c:v>18439082</c:v>
                </c:pt>
                <c:pt idx="3949">
                  <c:v>23159305</c:v>
                </c:pt>
                <c:pt idx="3950">
                  <c:v>29959436</c:v>
                </c:pt>
                <c:pt idx="3951">
                  <c:v>27663982</c:v>
                </c:pt>
                <c:pt idx="3952">
                  <c:v>71598052</c:v>
                </c:pt>
                <c:pt idx="3953">
                  <c:v>106126012</c:v>
                </c:pt>
                <c:pt idx="3954">
                  <c:v>54910560</c:v>
                </c:pt>
                <c:pt idx="3955">
                  <c:v>6301131</c:v>
                </c:pt>
                <c:pt idx="3957">
                  <c:v>7557877</c:v>
                </c:pt>
                <c:pt idx="3958">
                  <c:v>703</c:v>
                </c:pt>
                <c:pt idx="3959">
                  <c:v>1474508</c:v>
                </c:pt>
                <c:pt idx="3960">
                  <c:v>47105085</c:v>
                </c:pt>
                <c:pt idx="3961">
                  <c:v>47887943</c:v>
                </c:pt>
                <c:pt idx="3962">
                  <c:v>725290282</c:v>
                </c:pt>
                <c:pt idx="3963">
                  <c:v>44834712</c:v>
                </c:pt>
                <c:pt idx="3964">
                  <c:v>181600000</c:v>
                </c:pt>
                <c:pt idx="3966">
                  <c:v>69688384</c:v>
                </c:pt>
                <c:pt idx="3967">
                  <c:v>20803237</c:v>
                </c:pt>
                <c:pt idx="3968">
                  <c:v>214966</c:v>
                </c:pt>
                <c:pt idx="3970">
                  <c:v>47456450</c:v>
                </c:pt>
                <c:pt idx="3971">
                  <c:v>138795342</c:v>
                </c:pt>
                <c:pt idx="3972">
                  <c:v>15797907</c:v>
                </c:pt>
                <c:pt idx="3973">
                  <c:v>3830</c:v>
                </c:pt>
                <c:pt idx="3974">
                  <c:v>13592872</c:v>
                </c:pt>
                <c:pt idx="3975">
                  <c:v>7927</c:v>
                </c:pt>
                <c:pt idx="3976">
                  <c:v>39692139</c:v>
                </c:pt>
                <c:pt idx="3977">
                  <c:v>52320979</c:v>
                </c:pt>
                <c:pt idx="3978">
                  <c:v>48092846</c:v>
                </c:pt>
                <c:pt idx="3979">
                  <c:v>146083</c:v>
                </c:pt>
                <c:pt idx="3980">
                  <c:v>131564731</c:v>
                </c:pt>
                <c:pt idx="3981">
                  <c:v>22434</c:v>
                </c:pt>
                <c:pt idx="3982">
                  <c:v>18208078</c:v>
                </c:pt>
                <c:pt idx="3983">
                  <c:v>23838</c:v>
                </c:pt>
                <c:pt idx="3984">
                  <c:v>33000000</c:v>
                </c:pt>
                <c:pt idx="3985">
                  <c:v>43984230</c:v>
                </c:pt>
                <c:pt idx="3986">
                  <c:v>15152879</c:v>
                </c:pt>
                <c:pt idx="3987">
                  <c:v>40990055</c:v>
                </c:pt>
                <c:pt idx="3988">
                  <c:v>137945</c:v>
                </c:pt>
                <c:pt idx="3989">
                  <c:v>163591</c:v>
                </c:pt>
                <c:pt idx="3990">
                  <c:v>65443270</c:v>
                </c:pt>
                <c:pt idx="3991">
                  <c:v>17605861</c:v>
                </c:pt>
                <c:pt idx="3992">
                  <c:v>5932060</c:v>
                </c:pt>
                <c:pt idx="3993">
                  <c:v>72455275</c:v>
                </c:pt>
                <c:pt idx="3994">
                  <c:v>111110575</c:v>
                </c:pt>
                <c:pt idx="3995">
                  <c:v>463730</c:v>
                </c:pt>
                <c:pt idx="3996">
                  <c:v>379643</c:v>
                </c:pt>
                <c:pt idx="3997">
                  <c:v>62933793</c:v>
                </c:pt>
                <c:pt idx="3998">
                  <c:v>12026670</c:v>
                </c:pt>
                <c:pt idx="3999">
                  <c:v>6615578</c:v>
                </c:pt>
                <c:pt idx="4000">
                  <c:v>8373585</c:v>
                </c:pt>
                <c:pt idx="4001">
                  <c:v>12836</c:v>
                </c:pt>
                <c:pt idx="4002">
                  <c:v>321952</c:v>
                </c:pt>
                <c:pt idx="4003">
                  <c:v>27356090</c:v>
                </c:pt>
                <c:pt idx="4004">
                  <c:v>32101000</c:v>
                </c:pt>
                <c:pt idx="4005">
                  <c:v>25799043</c:v>
                </c:pt>
                <c:pt idx="4006">
                  <c:v>66462600</c:v>
                </c:pt>
                <c:pt idx="4007">
                  <c:v>30695227</c:v>
                </c:pt>
                <c:pt idx="4008">
                  <c:v>11546543</c:v>
                </c:pt>
                <c:pt idx="4009">
                  <c:v>243768</c:v>
                </c:pt>
                <c:pt idx="4011">
                  <c:v>18821279</c:v>
                </c:pt>
                <c:pt idx="4012">
                  <c:v>454255</c:v>
                </c:pt>
                <c:pt idx="4013">
                  <c:v>248103518</c:v>
                </c:pt>
                <c:pt idx="4014">
                  <c:v>8000000</c:v>
                </c:pt>
                <c:pt idx="4015">
                  <c:v>45356386</c:v>
                </c:pt>
                <c:pt idx="4016">
                  <c:v>257756197</c:v>
                </c:pt>
                <c:pt idx="4017">
                  <c:v>4829497</c:v>
                </c:pt>
                <c:pt idx="4018">
                  <c:v>24006726</c:v>
                </c:pt>
                <c:pt idx="4019">
                  <c:v>303439</c:v>
                </c:pt>
                <c:pt idx="4020">
                  <c:v>19593740</c:v>
                </c:pt>
                <c:pt idx="4021">
                  <c:v>3193102</c:v>
                </c:pt>
                <c:pt idx="4022">
                  <c:v>57981889</c:v>
                </c:pt>
                <c:pt idx="4023">
                  <c:v>422783777</c:v>
                </c:pt>
                <c:pt idx="4026">
                  <c:v>1339152</c:v>
                </c:pt>
                <c:pt idx="4027">
                  <c:v>13555988</c:v>
                </c:pt>
                <c:pt idx="4028">
                  <c:v>11284657</c:v>
                </c:pt>
                <c:pt idx="4029">
                  <c:v>51185897</c:v>
                </c:pt>
                <c:pt idx="4030">
                  <c:v>12055</c:v>
                </c:pt>
                <c:pt idx="4031">
                  <c:v>42672630</c:v>
                </c:pt>
                <c:pt idx="4032">
                  <c:v>89289910</c:v>
                </c:pt>
                <c:pt idx="4033">
                  <c:v>33328051</c:v>
                </c:pt>
                <c:pt idx="4036">
                  <c:v>37432299</c:v>
                </c:pt>
                <c:pt idx="4037">
                  <c:v>158115031</c:v>
                </c:pt>
                <c:pt idx="4038">
                  <c:v>11508423</c:v>
                </c:pt>
                <c:pt idx="4039">
                  <c:v>1711</c:v>
                </c:pt>
                <c:pt idx="4040">
                  <c:v>313837577</c:v>
                </c:pt>
                <c:pt idx="4041">
                  <c:v>377019252</c:v>
                </c:pt>
                <c:pt idx="4042">
                  <c:v>340478898</c:v>
                </c:pt>
                <c:pt idx="4043">
                  <c:v>1163508</c:v>
                </c:pt>
                <c:pt idx="4044">
                  <c:v>23527955</c:v>
                </c:pt>
                <c:pt idx="4045">
                  <c:v>399793</c:v>
                </c:pt>
                <c:pt idx="4046">
                  <c:v>32222567</c:v>
                </c:pt>
                <c:pt idx="4047">
                  <c:v>2483955</c:v>
                </c:pt>
                <c:pt idx="4048">
                  <c:v>549632</c:v>
                </c:pt>
                <c:pt idx="4049">
                  <c:v>110536</c:v>
                </c:pt>
                <c:pt idx="4051">
                  <c:v>229074524</c:v>
                </c:pt>
                <c:pt idx="4052">
                  <c:v>32178777</c:v>
                </c:pt>
                <c:pt idx="4055">
                  <c:v>87965684</c:v>
                </c:pt>
                <c:pt idx="4057">
                  <c:v>60443237</c:v>
                </c:pt>
                <c:pt idx="4058">
                  <c:v>183088</c:v>
                </c:pt>
                <c:pt idx="4059">
                  <c:v>4231500</c:v>
                </c:pt>
                <c:pt idx="4060">
                  <c:v>1082044</c:v>
                </c:pt>
                <c:pt idx="4062">
                  <c:v>22717758</c:v>
                </c:pt>
                <c:pt idx="4064">
                  <c:v>27796042</c:v>
                </c:pt>
                <c:pt idx="4067">
                  <c:v>45434443</c:v>
                </c:pt>
                <c:pt idx="4068">
                  <c:v>56876365</c:v>
                </c:pt>
                <c:pt idx="4069">
                  <c:v>13801755</c:v>
                </c:pt>
                <c:pt idx="4071">
                  <c:v>21000000</c:v>
                </c:pt>
                <c:pt idx="4072">
                  <c:v>15608545</c:v>
                </c:pt>
                <c:pt idx="4073">
                  <c:v>8326035</c:v>
                </c:pt>
                <c:pt idx="4074">
                  <c:v>65948711</c:v>
                </c:pt>
                <c:pt idx="4076">
                  <c:v>18843314</c:v>
                </c:pt>
                <c:pt idx="4077">
                  <c:v>228430993</c:v>
                </c:pt>
                <c:pt idx="4078">
                  <c:v>93771072</c:v>
                </c:pt>
                <c:pt idx="4079">
                  <c:v>119938730</c:v>
                </c:pt>
                <c:pt idx="4080">
                  <c:v>123777</c:v>
                </c:pt>
                <c:pt idx="4081">
                  <c:v>40363530</c:v>
                </c:pt>
                <c:pt idx="4082">
                  <c:v>16377274</c:v>
                </c:pt>
                <c:pt idx="4083">
                  <c:v>12570442</c:v>
                </c:pt>
                <c:pt idx="4084">
                  <c:v>281492479</c:v>
                </c:pt>
                <c:pt idx="4085">
                  <c:v>139259759</c:v>
                </c:pt>
                <c:pt idx="4086">
                  <c:v>171383253</c:v>
                </c:pt>
                <c:pt idx="4087">
                  <c:v>102413606</c:v>
                </c:pt>
                <c:pt idx="4088">
                  <c:v>29113588</c:v>
                </c:pt>
                <c:pt idx="4089">
                  <c:v>22108977</c:v>
                </c:pt>
                <c:pt idx="4090">
                  <c:v>32416109</c:v>
                </c:pt>
                <c:pt idx="4091">
                  <c:v>3752725</c:v>
                </c:pt>
                <c:pt idx="4092">
                  <c:v>66637</c:v>
                </c:pt>
                <c:pt idx="4093">
                  <c:v>14131298</c:v>
                </c:pt>
                <c:pt idx="4095">
                  <c:v>66808615</c:v>
                </c:pt>
                <c:pt idx="4096">
                  <c:v>73548</c:v>
                </c:pt>
                <c:pt idx="4097">
                  <c:v>50752337</c:v>
                </c:pt>
                <c:pt idx="4098">
                  <c:v>1889522</c:v>
                </c:pt>
                <c:pt idx="4099">
                  <c:v>2643689</c:v>
                </c:pt>
                <c:pt idx="4100">
                  <c:v>41252428</c:v>
                </c:pt>
                <c:pt idx="4102">
                  <c:v>17580</c:v>
                </c:pt>
                <c:pt idx="4104">
                  <c:v>25592632</c:v>
                </c:pt>
                <c:pt idx="4107">
                  <c:v>78031620</c:v>
                </c:pt>
                <c:pt idx="4108">
                  <c:v>31165421</c:v>
                </c:pt>
                <c:pt idx="4109">
                  <c:v>47111</c:v>
                </c:pt>
                <c:pt idx="4110">
                  <c:v>35228696</c:v>
                </c:pt>
                <c:pt idx="4112">
                  <c:v>202007640</c:v>
                </c:pt>
                <c:pt idx="4113">
                  <c:v>102176165</c:v>
                </c:pt>
                <c:pt idx="4114">
                  <c:v>27281507</c:v>
                </c:pt>
                <c:pt idx="4115">
                  <c:v>76657000</c:v>
                </c:pt>
                <c:pt idx="4116">
                  <c:v>88625922</c:v>
                </c:pt>
                <c:pt idx="4117">
                  <c:v>11614236</c:v>
                </c:pt>
                <c:pt idx="4118">
                  <c:v>27053815</c:v>
                </c:pt>
                <c:pt idx="4120">
                  <c:v>86930411</c:v>
                </c:pt>
                <c:pt idx="4121">
                  <c:v>513836</c:v>
                </c:pt>
                <c:pt idx="4122">
                  <c:v>13569248</c:v>
                </c:pt>
                <c:pt idx="4123">
                  <c:v>37617947</c:v>
                </c:pt>
                <c:pt idx="4124">
                  <c:v>44484065</c:v>
                </c:pt>
                <c:pt idx="4125">
                  <c:v>1330827</c:v>
                </c:pt>
                <c:pt idx="4126">
                  <c:v>50728000</c:v>
                </c:pt>
                <c:pt idx="4128">
                  <c:v>28972187</c:v>
                </c:pt>
                <c:pt idx="4129">
                  <c:v>12712093</c:v>
                </c:pt>
                <c:pt idx="4130">
                  <c:v>10297897</c:v>
                </c:pt>
                <c:pt idx="4131">
                  <c:v>14983572</c:v>
                </c:pt>
                <c:pt idx="4132">
                  <c:v>21129348</c:v>
                </c:pt>
                <c:pt idx="4133">
                  <c:v>7825820</c:v>
                </c:pt>
                <c:pt idx="4135">
                  <c:v>18653746</c:v>
                </c:pt>
                <c:pt idx="4136">
                  <c:v>64286</c:v>
                </c:pt>
                <c:pt idx="4137">
                  <c:v>24984868</c:v>
                </c:pt>
                <c:pt idx="4138">
                  <c:v>35063732</c:v>
                </c:pt>
                <c:pt idx="4140">
                  <c:v>64238770</c:v>
                </c:pt>
                <c:pt idx="4141">
                  <c:v>190562</c:v>
                </c:pt>
                <c:pt idx="4142">
                  <c:v>2119994</c:v>
                </c:pt>
                <c:pt idx="4143">
                  <c:v>128769345</c:v>
                </c:pt>
                <c:pt idx="4145">
                  <c:v>29106737</c:v>
                </c:pt>
                <c:pt idx="4146">
                  <c:v>51853450</c:v>
                </c:pt>
                <c:pt idx="4148">
                  <c:v>12610552</c:v>
                </c:pt>
                <c:pt idx="4150">
                  <c:v>43905746</c:v>
                </c:pt>
                <c:pt idx="4151">
                  <c:v>1064277</c:v>
                </c:pt>
                <c:pt idx="4152">
                  <c:v>19348</c:v>
                </c:pt>
                <c:pt idx="4154">
                  <c:v>7659747</c:v>
                </c:pt>
                <c:pt idx="4155">
                  <c:v>38168022</c:v>
                </c:pt>
                <c:pt idx="4156">
                  <c:v>7159147</c:v>
                </c:pt>
                <c:pt idx="4157">
                  <c:v>26814957</c:v>
                </c:pt>
                <c:pt idx="4158">
                  <c:v>133778</c:v>
                </c:pt>
                <c:pt idx="4159">
                  <c:v>115504</c:v>
                </c:pt>
                <c:pt idx="4160">
                  <c:v>119219978</c:v>
                </c:pt>
                <c:pt idx="4161">
                  <c:v>4720371</c:v>
                </c:pt>
                <c:pt idx="4162">
                  <c:v>83906114</c:v>
                </c:pt>
                <c:pt idx="4163">
                  <c:v>96471845</c:v>
                </c:pt>
                <c:pt idx="4164">
                  <c:v>28535768</c:v>
                </c:pt>
                <c:pt idx="4166">
                  <c:v>25600000</c:v>
                </c:pt>
                <c:pt idx="4167">
                  <c:v>3607</c:v>
                </c:pt>
                <c:pt idx="4168">
                  <c:v>113006880</c:v>
                </c:pt>
                <c:pt idx="4169">
                  <c:v>8047690</c:v>
                </c:pt>
                <c:pt idx="4172">
                  <c:v>499263</c:v>
                </c:pt>
                <c:pt idx="4174">
                  <c:v>113330342</c:v>
                </c:pt>
                <c:pt idx="4175">
                  <c:v>41256277</c:v>
                </c:pt>
                <c:pt idx="4176">
                  <c:v>130174897</c:v>
                </c:pt>
                <c:pt idx="4177">
                  <c:v>100768056</c:v>
                </c:pt>
                <c:pt idx="4178">
                  <c:v>2832826</c:v>
                </c:pt>
                <c:pt idx="4179">
                  <c:v>1089445</c:v>
                </c:pt>
                <c:pt idx="4180">
                  <c:v>48430</c:v>
                </c:pt>
                <c:pt idx="4181">
                  <c:v>16247775</c:v>
                </c:pt>
                <c:pt idx="4182">
                  <c:v>9658370</c:v>
                </c:pt>
                <c:pt idx="4183">
                  <c:v>182618434</c:v>
                </c:pt>
                <c:pt idx="4185">
                  <c:v>17738570</c:v>
                </c:pt>
                <c:pt idx="4187">
                  <c:v>51225796</c:v>
                </c:pt>
                <c:pt idx="4188">
                  <c:v>17300889</c:v>
                </c:pt>
                <c:pt idx="4189">
                  <c:v>32519322</c:v>
                </c:pt>
                <c:pt idx="4190">
                  <c:v>40158000</c:v>
                </c:pt>
                <c:pt idx="4191">
                  <c:v>82226474</c:v>
                </c:pt>
                <c:pt idx="4192">
                  <c:v>2956000</c:v>
                </c:pt>
                <c:pt idx="4193">
                  <c:v>12701880</c:v>
                </c:pt>
                <c:pt idx="4194">
                  <c:v>31051126</c:v>
                </c:pt>
                <c:pt idx="4195">
                  <c:v>21383298</c:v>
                </c:pt>
                <c:pt idx="4197">
                  <c:v>23031390</c:v>
                </c:pt>
                <c:pt idx="4198">
                  <c:v>19719930</c:v>
                </c:pt>
                <c:pt idx="4200">
                  <c:v>665426</c:v>
                </c:pt>
                <c:pt idx="4201">
                  <c:v>98244638</c:v>
                </c:pt>
                <c:pt idx="4203">
                  <c:v>17593391</c:v>
                </c:pt>
                <c:pt idx="4205">
                  <c:v>53082743</c:v>
                </c:pt>
                <c:pt idx="4206">
                  <c:v>28165882</c:v>
                </c:pt>
                <c:pt idx="4207">
                  <c:v>101217900</c:v>
                </c:pt>
                <c:pt idx="4208">
                  <c:v>74787599</c:v>
                </c:pt>
                <c:pt idx="4210">
                  <c:v>669276</c:v>
                </c:pt>
                <c:pt idx="4211">
                  <c:v>104374107</c:v>
                </c:pt>
                <c:pt idx="4212">
                  <c:v>30857814</c:v>
                </c:pt>
                <c:pt idx="4213">
                  <c:v>95149435</c:v>
                </c:pt>
                <c:pt idx="4214">
                  <c:v>108244774</c:v>
                </c:pt>
                <c:pt idx="4216">
                  <c:v>19377727</c:v>
                </c:pt>
                <c:pt idx="4217">
                  <c:v>668171</c:v>
                </c:pt>
                <c:pt idx="4218">
                  <c:v>16115878</c:v>
                </c:pt>
                <c:pt idx="4219">
                  <c:v>163947053</c:v>
                </c:pt>
                <c:pt idx="4220">
                  <c:v>1900725</c:v>
                </c:pt>
                <c:pt idx="4221">
                  <c:v>11905519</c:v>
                </c:pt>
                <c:pt idx="4222">
                  <c:v>192467</c:v>
                </c:pt>
                <c:pt idx="4223">
                  <c:v>33682273</c:v>
                </c:pt>
                <c:pt idx="4224">
                  <c:v>64423650</c:v>
                </c:pt>
                <c:pt idx="4225">
                  <c:v>71519230</c:v>
                </c:pt>
                <c:pt idx="4226">
                  <c:v>78845130</c:v>
                </c:pt>
                <c:pt idx="4228">
                  <c:v>162586036</c:v>
                </c:pt>
                <c:pt idx="4229">
                  <c:v>56437947</c:v>
                </c:pt>
                <c:pt idx="4230">
                  <c:v>18636537</c:v>
                </c:pt>
                <c:pt idx="4231">
                  <c:v>12987647</c:v>
                </c:pt>
                <c:pt idx="4232">
                  <c:v>381186</c:v>
                </c:pt>
                <c:pt idx="4233">
                  <c:v>1111615</c:v>
                </c:pt>
                <c:pt idx="4234">
                  <c:v>17757087</c:v>
                </c:pt>
                <c:pt idx="4235">
                  <c:v>4105123</c:v>
                </c:pt>
                <c:pt idx="4236">
                  <c:v>4435083</c:v>
                </c:pt>
                <c:pt idx="4237">
                  <c:v>45856732</c:v>
                </c:pt>
                <c:pt idx="4238">
                  <c:v>16005978</c:v>
                </c:pt>
                <c:pt idx="4239">
                  <c:v>34180954</c:v>
                </c:pt>
                <c:pt idx="4240">
                  <c:v>3713002</c:v>
                </c:pt>
                <c:pt idx="4241">
                  <c:v>25117498</c:v>
                </c:pt>
                <c:pt idx="4242">
                  <c:v>9473382</c:v>
                </c:pt>
                <c:pt idx="4244">
                  <c:v>33927476</c:v>
                </c:pt>
                <c:pt idx="4245">
                  <c:v>22954968</c:v>
                </c:pt>
                <c:pt idx="4246">
                  <c:v>18967571</c:v>
                </c:pt>
                <c:pt idx="4247">
                  <c:v>44737059</c:v>
                </c:pt>
                <c:pt idx="4250">
                  <c:v>502028</c:v>
                </c:pt>
                <c:pt idx="4252">
                  <c:v>183635922</c:v>
                </c:pt>
                <c:pt idx="4255">
                  <c:v>21500000</c:v>
                </c:pt>
                <c:pt idx="4256">
                  <c:v>75888270</c:v>
                </c:pt>
                <c:pt idx="4258">
                  <c:v>33037754</c:v>
                </c:pt>
                <c:pt idx="4259">
                  <c:v>46815748</c:v>
                </c:pt>
                <c:pt idx="4260">
                  <c:v>50802661</c:v>
                </c:pt>
                <c:pt idx="4261">
                  <c:v>56692</c:v>
                </c:pt>
                <c:pt idx="4262">
                  <c:v>36000000</c:v>
                </c:pt>
                <c:pt idx="4263">
                  <c:v>134006721</c:v>
                </c:pt>
                <c:pt idx="4264">
                  <c:v>6409206</c:v>
                </c:pt>
                <c:pt idx="4266">
                  <c:v>75597042</c:v>
                </c:pt>
                <c:pt idx="4267">
                  <c:v>37300107</c:v>
                </c:pt>
                <c:pt idx="4268">
                  <c:v>29200000</c:v>
                </c:pt>
                <c:pt idx="4269">
                  <c:v>52353636</c:v>
                </c:pt>
                <c:pt idx="4270">
                  <c:v>100491683</c:v>
                </c:pt>
                <c:pt idx="4271">
                  <c:v>17427926</c:v>
                </c:pt>
                <c:pt idx="4272">
                  <c:v>6525762</c:v>
                </c:pt>
                <c:pt idx="4273">
                  <c:v>3571735</c:v>
                </c:pt>
                <c:pt idx="4274">
                  <c:v>47592825</c:v>
                </c:pt>
                <c:pt idx="4275">
                  <c:v>38122105</c:v>
                </c:pt>
                <c:pt idx="4276">
                  <c:v>61355436</c:v>
                </c:pt>
                <c:pt idx="4277">
                  <c:v>92362</c:v>
                </c:pt>
                <c:pt idx="4278">
                  <c:v>676698</c:v>
                </c:pt>
                <c:pt idx="4279">
                  <c:v>139225854</c:v>
                </c:pt>
                <c:pt idx="4280">
                  <c:v>144833357</c:v>
                </c:pt>
                <c:pt idx="4281">
                  <c:v>6610326</c:v>
                </c:pt>
                <c:pt idx="4282">
                  <c:v>10400000</c:v>
                </c:pt>
                <c:pt idx="4283">
                  <c:v>81687587</c:v>
                </c:pt>
                <c:pt idx="4284">
                  <c:v>71069884</c:v>
                </c:pt>
                <c:pt idx="4285">
                  <c:v>90341670</c:v>
                </c:pt>
                <c:pt idx="4286">
                  <c:v>2086345</c:v>
                </c:pt>
                <c:pt idx="4287">
                  <c:v>33071558</c:v>
                </c:pt>
                <c:pt idx="4288">
                  <c:v>375723</c:v>
                </c:pt>
                <c:pt idx="4289">
                  <c:v>20167424</c:v>
                </c:pt>
                <c:pt idx="4290">
                  <c:v>37766350</c:v>
                </c:pt>
                <c:pt idx="4291">
                  <c:v>323505540</c:v>
                </c:pt>
                <c:pt idx="4292">
                  <c:v>58229120</c:v>
                </c:pt>
                <c:pt idx="4293">
                  <c:v>686383</c:v>
                </c:pt>
                <c:pt idx="4295">
                  <c:v>36279230</c:v>
                </c:pt>
                <c:pt idx="4296">
                  <c:v>5997134</c:v>
                </c:pt>
                <c:pt idx="4297">
                  <c:v>32055248</c:v>
                </c:pt>
                <c:pt idx="4298">
                  <c:v>61112916</c:v>
                </c:pt>
                <c:pt idx="4299">
                  <c:v>54257433</c:v>
                </c:pt>
                <c:pt idx="4300">
                  <c:v>28341469</c:v>
                </c:pt>
                <c:pt idx="4302">
                  <c:v>11405825</c:v>
                </c:pt>
                <c:pt idx="4303">
                  <c:v>40932372</c:v>
                </c:pt>
                <c:pt idx="4305">
                  <c:v>130727000</c:v>
                </c:pt>
                <c:pt idx="4306">
                  <c:v>183132370</c:v>
                </c:pt>
                <c:pt idx="4307">
                  <c:v>336456</c:v>
                </c:pt>
                <c:pt idx="4308">
                  <c:v>1250798</c:v>
                </c:pt>
                <c:pt idx="4310">
                  <c:v>44087387</c:v>
                </c:pt>
                <c:pt idx="4311">
                  <c:v>39008741</c:v>
                </c:pt>
                <c:pt idx="4312">
                  <c:v>30538669</c:v>
                </c:pt>
                <c:pt idx="4313">
                  <c:v>293501675</c:v>
                </c:pt>
                <c:pt idx="4314">
                  <c:v>47806295</c:v>
                </c:pt>
                <c:pt idx="4315">
                  <c:v>5283379</c:v>
                </c:pt>
                <c:pt idx="4316">
                  <c:v>35007180</c:v>
                </c:pt>
                <c:pt idx="4317">
                  <c:v>13134</c:v>
                </c:pt>
                <c:pt idx="4319">
                  <c:v>71017784</c:v>
                </c:pt>
                <c:pt idx="4320">
                  <c:v>142614158</c:v>
                </c:pt>
                <c:pt idx="4321">
                  <c:v>96917897</c:v>
                </c:pt>
                <c:pt idx="4322">
                  <c:v>31670931</c:v>
                </c:pt>
                <c:pt idx="4323">
                  <c:v>28870</c:v>
                </c:pt>
                <c:pt idx="4324">
                  <c:v>63143812</c:v>
                </c:pt>
                <c:pt idx="4326">
                  <c:v>163214286</c:v>
                </c:pt>
                <c:pt idx="4327">
                  <c:v>10200000</c:v>
                </c:pt>
                <c:pt idx="4328">
                  <c:v>57362581</c:v>
                </c:pt>
                <c:pt idx="4329">
                  <c:v>12996</c:v>
                </c:pt>
                <c:pt idx="4330">
                  <c:v>6851969</c:v>
                </c:pt>
                <c:pt idx="4331">
                  <c:v>71148699</c:v>
                </c:pt>
                <c:pt idx="4332">
                  <c:v>19781879</c:v>
                </c:pt>
                <c:pt idx="4333">
                  <c:v>162495848</c:v>
                </c:pt>
                <c:pt idx="4334">
                  <c:v>85416609</c:v>
                </c:pt>
                <c:pt idx="4335">
                  <c:v>24268828</c:v>
                </c:pt>
                <c:pt idx="4336">
                  <c:v>46800000</c:v>
                </c:pt>
                <c:pt idx="4338">
                  <c:v>7362100</c:v>
                </c:pt>
                <c:pt idx="4339">
                  <c:v>763044</c:v>
                </c:pt>
                <c:pt idx="4340">
                  <c:v>5739376</c:v>
                </c:pt>
                <c:pt idx="4341">
                  <c:v>29062561</c:v>
                </c:pt>
                <c:pt idx="4342">
                  <c:v>59475623</c:v>
                </c:pt>
                <c:pt idx="4344">
                  <c:v>18195</c:v>
                </c:pt>
                <c:pt idx="4345">
                  <c:v>159600000</c:v>
                </c:pt>
                <c:pt idx="4346">
                  <c:v>27067160</c:v>
                </c:pt>
                <c:pt idx="4347">
                  <c:v>6197866</c:v>
                </c:pt>
                <c:pt idx="4349">
                  <c:v>118471320</c:v>
                </c:pt>
                <c:pt idx="4350">
                  <c:v>26345</c:v>
                </c:pt>
                <c:pt idx="4351">
                  <c:v>4306697</c:v>
                </c:pt>
                <c:pt idx="4352">
                  <c:v>24430272</c:v>
                </c:pt>
                <c:pt idx="4353">
                  <c:v>231417</c:v>
                </c:pt>
                <c:pt idx="4354">
                  <c:v>27758465</c:v>
                </c:pt>
                <c:pt idx="4355">
                  <c:v>13491653</c:v>
                </c:pt>
                <c:pt idx="4356">
                  <c:v>65452312</c:v>
                </c:pt>
                <c:pt idx="4357">
                  <c:v>50818750</c:v>
                </c:pt>
                <c:pt idx="4358">
                  <c:v>81292135</c:v>
                </c:pt>
                <c:pt idx="4359">
                  <c:v>263365</c:v>
                </c:pt>
                <c:pt idx="4360">
                  <c:v>766487</c:v>
                </c:pt>
                <c:pt idx="4361">
                  <c:v>77032279</c:v>
                </c:pt>
                <c:pt idx="4362">
                  <c:v>38400000</c:v>
                </c:pt>
                <c:pt idx="4363">
                  <c:v>61718000</c:v>
                </c:pt>
                <c:pt idx="4364">
                  <c:v>8025872</c:v>
                </c:pt>
                <c:pt idx="4365">
                  <c:v>39511038</c:v>
                </c:pt>
                <c:pt idx="4366">
                  <c:v>35887263</c:v>
                </c:pt>
                <c:pt idx="4367">
                  <c:v>36385763</c:v>
                </c:pt>
                <c:pt idx="4368">
                  <c:v>13782838</c:v>
                </c:pt>
                <c:pt idx="4369">
                  <c:v>15500000</c:v>
                </c:pt>
                <c:pt idx="4370">
                  <c:v>69304264</c:v>
                </c:pt>
                <c:pt idx="4371">
                  <c:v>20315324</c:v>
                </c:pt>
                <c:pt idx="4372">
                  <c:v>44328238</c:v>
                </c:pt>
                <c:pt idx="4373">
                  <c:v>45542421</c:v>
                </c:pt>
                <c:pt idx="4375">
                  <c:v>56684819</c:v>
                </c:pt>
                <c:pt idx="4376">
                  <c:v>63411478</c:v>
                </c:pt>
                <c:pt idx="4377">
                  <c:v>3447339</c:v>
                </c:pt>
                <c:pt idx="4381">
                  <c:v>135262314</c:v>
                </c:pt>
                <c:pt idx="4382">
                  <c:v>92173235</c:v>
                </c:pt>
                <c:pt idx="4383">
                  <c:v>792966</c:v>
                </c:pt>
                <c:pt idx="4386">
                  <c:v>16027866</c:v>
                </c:pt>
                <c:pt idx="4387">
                  <c:v>25296447</c:v>
                </c:pt>
                <c:pt idx="4388">
                  <c:v>13303319</c:v>
                </c:pt>
                <c:pt idx="4389">
                  <c:v>1111</c:v>
                </c:pt>
                <c:pt idx="4390">
                  <c:v>7002255</c:v>
                </c:pt>
                <c:pt idx="4393">
                  <c:v>125603360</c:v>
                </c:pt>
                <c:pt idx="4394">
                  <c:v>50189179</c:v>
                </c:pt>
                <c:pt idx="4395">
                  <c:v>584597846</c:v>
                </c:pt>
                <c:pt idx="4396">
                  <c:v>300523113</c:v>
                </c:pt>
                <c:pt idx="4397">
                  <c:v>296623634</c:v>
                </c:pt>
                <c:pt idx="4398">
                  <c:v>88915214</c:v>
                </c:pt>
                <c:pt idx="4399">
                  <c:v>3420871</c:v>
                </c:pt>
                <c:pt idx="4400">
                  <c:v>85276330</c:v>
                </c:pt>
                <c:pt idx="4401">
                  <c:v>76270454</c:v>
                </c:pt>
                <c:pt idx="4402">
                  <c:v>18761993</c:v>
                </c:pt>
                <c:pt idx="4403">
                  <c:v>23272306</c:v>
                </c:pt>
                <c:pt idx="4406">
                  <c:v>1712111</c:v>
                </c:pt>
                <c:pt idx="4409">
                  <c:v>54000000</c:v>
                </c:pt>
                <c:pt idx="4410">
                  <c:v>114195633</c:v>
                </c:pt>
                <c:pt idx="4411">
                  <c:v>4859475</c:v>
                </c:pt>
                <c:pt idx="4412">
                  <c:v>535249</c:v>
                </c:pt>
                <c:pt idx="4413">
                  <c:v>65069140</c:v>
                </c:pt>
                <c:pt idx="4414">
                  <c:v>4068087</c:v>
                </c:pt>
                <c:pt idx="4415">
                  <c:v>125014030</c:v>
                </c:pt>
                <c:pt idx="4416">
                  <c:v>2077046</c:v>
                </c:pt>
                <c:pt idx="4417">
                  <c:v>770629</c:v>
                </c:pt>
                <c:pt idx="4418">
                  <c:v>10137502</c:v>
                </c:pt>
                <c:pt idx="4420">
                  <c:v>128978</c:v>
                </c:pt>
                <c:pt idx="4421">
                  <c:v>5664251</c:v>
                </c:pt>
                <c:pt idx="4422">
                  <c:v>10097096</c:v>
                </c:pt>
                <c:pt idx="4423">
                  <c:v>68701106</c:v>
                </c:pt>
                <c:pt idx="4424">
                  <c:v>28927720</c:v>
                </c:pt>
                <c:pt idx="4425">
                  <c:v>4190530</c:v>
                </c:pt>
                <c:pt idx="4426">
                  <c:v>161487252</c:v>
                </c:pt>
                <c:pt idx="4428">
                  <c:v>6047856</c:v>
                </c:pt>
                <c:pt idx="4429">
                  <c:v>21501098</c:v>
                </c:pt>
                <c:pt idx="4430">
                  <c:v>12469811</c:v>
                </c:pt>
                <c:pt idx="4431">
                  <c:v>31585300</c:v>
                </c:pt>
                <c:pt idx="4432">
                  <c:v>60400856</c:v>
                </c:pt>
                <c:pt idx="4433">
                  <c:v>127144</c:v>
                </c:pt>
                <c:pt idx="4434">
                  <c:v>1666262</c:v>
                </c:pt>
                <c:pt idx="4435">
                  <c:v>2222647</c:v>
                </c:pt>
                <c:pt idx="4436">
                  <c:v>57262492</c:v>
                </c:pt>
                <c:pt idx="4437">
                  <c:v>16323969</c:v>
                </c:pt>
                <c:pt idx="4440">
                  <c:v>3058380</c:v>
                </c:pt>
                <c:pt idx="4442">
                  <c:v>39880476</c:v>
                </c:pt>
                <c:pt idx="4443">
                  <c:v>1829142</c:v>
                </c:pt>
                <c:pt idx="4444">
                  <c:v>25138292</c:v>
                </c:pt>
                <c:pt idx="4445">
                  <c:v>13000000</c:v>
                </c:pt>
                <c:pt idx="4446">
                  <c:v>22202612</c:v>
                </c:pt>
                <c:pt idx="4447">
                  <c:v>116866727</c:v>
                </c:pt>
                <c:pt idx="4448">
                  <c:v>61937495</c:v>
                </c:pt>
                <c:pt idx="4449">
                  <c:v>132550960</c:v>
                </c:pt>
                <c:pt idx="4450">
                  <c:v>110720</c:v>
                </c:pt>
                <c:pt idx="4451">
                  <c:v>54322273</c:v>
                </c:pt>
                <c:pt idx="4452">
                  <c:v>26896744</c:v>
                </c:pt>
                <c:pt idx="4453">
                  <c:v>25047631</c:v>
                </c:pt>
                <c:pt idx="4454">
                  <c:v>11434867</c:v>
                </c:pt>
                <c:pt idx="4455">
                  <c:v>2024854</c:v>
                </c:pt>
                <c:pt idx="4456">
                  <c:v>3347439</c:v>
                </c:pt>
                <c:pt idx="4459">
                  <c:v>126930660</c:v>
                </c:pt>
                <c:pt idx="4460">
                  <c:v>26003149</c:v>
                </c:pt>
                <c:pt idx="4461">
                  <c:v>5128124</c:v>
                </c:pt>
                <c:pt idx="4462">
                  <c:v>3500000</c:v>
                </c:pt>
                <c:pt idx="4463">
                  <c:v>26236603</c:v>
                </c:pt>
                <c:pt idx="4464">
                  <c:v>83892374</c:v>
                </c:pt>
                <c:pt idx="4465">
                  <c:v>20981633</c:v>
                </c:pt>
                <c:pt idx="4466">
                  <c:v>882710</c:v>
                </c:pt>
                <c:pt idx="4467">
                  <c:v>317040</c:v>
                </c:pt>
                <c:pt idx="4468">
                  <c:v>99462</c:v>
                </c:pt>
                <c:pt idx="4469">
                  <c:v>6462576</c:v>
                </c:pt>
                <c:pt idx="4470">
                  <c:v>58163</c:v>
                </c:pt>
                <c:pt idx="4471">
                  <c:v>10991381</c:v>
                </c:pt>
                <c:pt idx="4472">
                  <c:v>1068392</c:v>
                </c:pt>
                <c:pt idx="4473">
                  <c:v>125169</c:v>
                </c:pt>
                <c:pt idx="4474">
                  <c:v>40218903</c:v>
                </c:pt>
                <c:pt idx="4475">
                  <c:v>176483808</c:v>
                </c:pt>
                <c:pt idx="4478">
                  <c:v>13008928</c:v>
                </c:pt>
                <c:pt idx="4480">
                  <c:v>12693621</c:v>
                </c:pt>
                <c:pt idx="4481">
                  <c:v>529766</c:v>
                </c:pt>
                <c:pt idx="4482">
                  <c:v>2849142</c:v>
                </c:pt>
                <c:pt idx="4483">
                  <c:v>65182182</c:v>
                </c:pt>
                <c:pt idx="4484">
                  <c:v>91547205</c:v>
                </c:pt>
                <c:pt idx="4485">
                  <c:v>15171475</c:v>
                </c:pt>
                <c:pt idx="4486">
                  <c:v>41867960</c:v>
                </c:pt>
                <c:pt idx="4487">
                  <c:v>3287435</c:v>
                </c:pt>
                <c:pt idx="4488">
                  <c:v>34566746</c:v>
                </c:pt>
                <c:pt idx="4489">
                  <c:v>4599680</c:v>
                </c:pt>
                <c:pt idx="4490">
                  <c:v>49121934</c:v>
                </c:pt>
                <c:pt idx="4491">
                  <c:v>67523385</c:v>
                </c:pt>
                <c:pt idx="4492">
                  <c:v>327919</c:v>
                </c:pt>
                <c:pt idx="4493">
                  <c:v>71844424</c:v>
                </c:pt>
                <c:pt idx="4495">
                  <c:v>101470202</c:v>
                </c:pt>
                <c:pt idx="4496">
                  <c:v>34290142</c:v>
                </c:pt>
                <c:pt idx="4497">
                  <c:v>54758461</c:v>
                </c:pt>
                <c:pt idx="4499">
                  <c:v>15911333</c:v>
                </c:pt>
                <c:pt idx="4500">
                  <c:v>181015141</c:v>
                </c:pt>
                <c:pt idx="4501">
                  <c:v>206360018</c:v>
                </c:pt>
                <c:pt idx="4502">
                  <c:v>978908</c:v>
                </c:pt>
                <c:pt idx="4503">
                  <c:v>5023275</c:v>
                </c:pt>
                <c:pt idx="4505">
                  <c:v>60652036</c:v>
                </c:pt>
                <c:pt idx="4506">
                  <c:v>10544143</c:v>
                </c:pt>
                <c:pt idx="4507">
                  <c:v>1325073</c:v>
                </c:pt>
                <c:pt idx="4508">
                  <c:v>4091</c:v>
                </c:pt>
                <c:pt idx="4509">
                  <c:v>63600000</c:v>
                </c:pt>
                <c:pt idx="4510">
                  <c:v>6768055</c:v>
                </c:pt>
                <c:pt idx="4513">
                  <c:v>200803</c:v>
                </c:pt>
                <c:pt idx="4515">
                  <c:v>42365600</c:v>
                </c:pt>
                <c:pt idx="4516">
                  <c:v>15278</c:v>
                </c:pt>
                <c:pt idx="4517">
                  <c:v>29233</c:v>
                </c:pt>
                <c:pt idx="4518">
                  <c:v>44450000</c:v>
                </c:pt>
                <c:pt idx="4519">
                  <c:v>38108</c:v>
                </c:pt>
                <c:pt idx="4520">
                  <c:v>19480739</c:v>
                </c:pt>
                <c:pt idx="4522">
                  <c:v>53854588</c:v>
                </c:pt>
                <c:pt idx="4523">
                  <c:v>24104113</c:v>
                </c:pt>
                <c:pt idx="4524">
                  <c:v>389804</c:v>
                </c:pt>
                <c:pt idx="4525">
                  <c:v>22751979</c:v>
                </c:pt>
                <c:pt idx="4526">
                  <c:v>658672302</c:v>
                </c:pt>
                <c:pt idx="4527">
                  <c:v>54132596</c:v>
                </c:pt>
                <c:pt idx="4529">
                  <c:v>21200000</c:v>
                </c:pt>
                <c:pt idx="4531">
                  <c:v>16684352</c:v>
                </c:pt>
                <c:pt idx="4532">
                  <c:v>3773863</c:v>
                </c:pt>
                <c:pt idx="4534">
                  <c:v>56505065</c:v>
                </c:pt>
                <c:pt idx="4535">
                  <c:v>13558739</c:v>
                </c:pt>
                <c:pt idx="4536">
                  <c:v>125332007</c:v>
                </c:pt>
                <c:pt idx="4537">
                  <c:v>93417865</c:v>
                </c:pt>
                <c:pt idx="4538">
                  <c:v>177200000</c:v>
                </c:pt>
                <c:pt idx="4540">
                  <c:v>25277561</c:v>
                </c:pt>
                <c:pt idx="4541">
                  <c:v>176781728</c:v>
                </c:pt>
                <c:pt idx="4542">
                  <c:v>3000000</c:v>
                </c:pt>
                <c:pt idx="4543">
                  <c:v>5858</c:v>
                </c:pt>
                <c:pt idx="4545">
                  <c:v>6201757</c:v>
                </c:pt>
                <c:pt idx="4546">
                  <c:v>14500000</c:v>
                </c:pt>
                <c:pt idx="4548">
                  <c:v>21176322</c:v>
                </c:pt>
                <c:pt idx="4549">
                  <c:v>238825842</c:v>
                </c:pt>
                <c:pt idx="4550">
                  <c:v>4581222</c:v>
                </c:pt>
                <c:pt idx="4551">
                  <c:v>78009155</c:v>
                </c:pt>
                <c:pt idx="4553">
                  <c:v>6712451</c:v>
                </c:pt>
                <c:pt idx="4554">
                  <c:v>245823397</c:v>
                </c:pt>
                <c:pt idx="4555">
                  <c:v>414984497</c:v>
                </c:pt>
                <c:pt idx="4556">
                  <c:v>191796233</c:v>
                </c:pt>
                <c:pt idx="4558">
                  <c:v>15059</c:v>
                </c:pt>
                <c:pt idx="4559">
                  <c:v>214202</c:v>
                </c:pt>
                <c:pt idx="4560">
                  <c:v>90400000</c:v>
                </c:pt>
                <c:pt idx="4561">
                  <c:v>124107476</c:v>
                </c:pt>
                <c:pt idx="4563">
                  <c:v>76261036</c:v>
                </c:pt>
                <c:pt idx="4564">
                  <c:v>16501785</c:v>
                </c:pt>
                <c:pt idx="4565">
                  <c:v>110008260</c:v>
                </c:pt>
                <c:pt idx="4566">
                  <c:v>4638374</c:v>
                </c:pt>
                <c:pt idx="4567">
                  <c:v>9013113</c:v>
                </c:pt>
                <c:pt idx="4568">
                  <c:v>23014504</c:v>
                </c:pt>
                <c:pt idx="4569">
                  <c:v>318759914</c:v>
                </c:pt>
                <c:pt idx="4570">
                  <c:v>245428137</c:v>
                </c:pt>
                <c:pt idx="4571">
                  <c:v>352358779</c:v>
                </c:pt>
                <c:pt idx="4572">
                  <c:v>402076689</c:v>
                </c:pt>
                <c:pt idx="4573">
                  <c:v>43095600</c:v>
                </c:pt>
                <c:pt idx="4574">
                  <c:v>2203641</c:v>
                </c:pt>
                <c:pt idx="4577">
                  <c:v>10230</c:v>
                </c:pt>
                <c:pt idx="4578">
                  <c:v>505295</c:v>
                </c:pt>
                <c:pt idx="4581">
                  <c:v>38120554</c:v>
                </c:pt>
                <c:pt idx="4582">
                  <c:v>695229</c:v>
                </c:pt>
                <c:pt idx="4583">
                  <c:v>617172</c:v>
                </c:pt>
                <c:pt idx="4584">
                  <c:v>16667084</c:v>
                </c:pt>
                <c:pt idx="4586">
                  <c:v>12626905</c:v>
                </c:pt>
                <c:pt idx="4587">
                  <c:v>9016377</c:v>
                </c:pt>
                <c:pt idx="4588">
                  <c:v>1247453</c:v>
                </c:pt>
                <c:pt idx="4589">
                  <c:v>252652</c:v>
                </c:pt>
                <c:pt idx="4590">
                  <c:v>344103574</c:v>
                </c:pt>
                <c:pt idx="4591">
                  <c:v>8508843</c:v>
                </c:pt>
                <c:pt idx="4592">
                  <c:v>110416702</c:v>
                </c:pt>
                <c:pt idx="4593">
                  <c:v>35754555</c:v>
                </c:pt>
                <c:pt idx="4594">
                  <c:v>133228348</c:v>
                </c:pt>
                <c:pt idx="4595">
                  <c:v>52166</c:v>
                </c:pt>
                <c:pt idx="4596">
                  <c:v>171031347</c:v>
                </c:pt>
                <c:pt idx="4597">
                  <c:v>146282411</c:v>
                </c:pt>
                <c:pt idx="4598">
                  <c:v>12281500</c:v>
                </c:pt>
                <c:pt idx="4599">
                  <c:v>1530535</c:v>
                </c:pt>
                <c:pt idx="4600">
                  <c:v>58214</c:v>
                </c:pt>
                <c:pt idx="4602">
                  <c:v>2912363</c:v>
                </c:pt>
                <c:pt idx="4603">
                  <c:v>19158074</c:v>
                </c:pt>
                <c:pt idx="4604">
                  <c:v>223615</c:v>
                </c:pt>
                <c:pt idx="4605">
                  <c:v>1281176</c:v>
                </c:pt>
                <c:pt idx="4606">
                  <c:v>7707563</c:v>
                </c:pt>
                <c:pt idx="4607">
                  <c:v>83024900</c:v>
                </c:pt>
                <c:pt idx="4608">
                  <c:v>11466088</c:v>
                </c:pt>
                <c:pt idx="4609">
                  <c:v>1821983</c:v>
                </c:pt>
                <c:pt idx="4610">
                  <c:v>29500000</c:v>
                </c:pt>
                <c:pt idx="4611">
                  <c:v>382898950</c:v>
                </c:pt>
                <c:pt idx="4612">
                  <c:v>985341</c:v>
                </c:pt>
                <c:pt idx="4613">
                  <c:v>111936400</c:v>
                </c:pt>
                <c:pt idx="4615">
                  <c:v>241688385</c:v>
                </c:pt>
                <c:pt idx="4617">
                  <c:v>18947630</c:v>
                </c:pt>
                <c:pt idx="4618">
                  <c:v>22235901</c:v>
                </c:pt>
                <c:pt idx="4619">
                  <c:v>349618</c:v>
                </c:pt>
                <c:pt idx="4620">
                  <c:v>1950218</c:v>
                </c:pt>
                <c:pt idx="4622">
                  <c:v>3148482</c:v>
                </c:pt>
                <c:pt idx="4623">
                  <c:v>93307796</c:v>
                </c:pt>
                <c:pt idx="4625">
                  <c:v>10353690</c:v>
                </c:pt>
                <c:pt idx="4626">
                  <c:v>77086030</c:v>
                </c:pt>
                <c:pt idx="4627">
                  <c:v>6157157</c:v>
                </c:pt>
                <c:pt idx="4628">
                  <c:v>9054736</c:v>
                </c:pt>
                <c:pt idx="4630">
                  <c:v>18500966</c:v>
                </c:pt>
                <c:pt idx="4631">
                  <c:v>16647384</c:v>
                </c:pt>
                <c:pt idx="4632">
                  <c:v>94999143</c:v>
                </c:pt>
                <c:pt idx="4633">
                  <c:v>231207960</c:v>
                </c:pt>
                <c:pt idx="4634">
                  <c:v>50024083</c:v>
                </c:pt>
                <c:pt idx="4635">
                  <c:v>8500000</c:v>
                </c:pt>
                <c:pt idx="4636">
                  <c:v>12589108</c:v>
                </c:pt>
                <c:pt idx="4637">
                  <c:v>2605039</c:v>
                </c:pt>
                <c:pt idx="4638">
                  <c:v>43601508</c:v>
                </c:pt>
                <c:pt idx="4639">
                  <c:v>5654777</c:v>
                </c:pt>
                <c:pt idx="4640">
                  <c:v>38230435</c:v>
                </c:pt>
                <c:pt idx="4642">
                  <c:v>51483949</c:v>
                </c:pt>
                <c:pt idx="4643">
                  <c:v>62321039</c:v>
                </c:pt>
                <c:pt idx="4644">
                  <c:v>62318875</c:v>
                </c:pt>
                <c:pt idx="4645">
                  <c:v>45802315</c:v>
                </c:pt>
                <c:pt idx="4646">
                  <c:v>1046166</c:v>
                </c:pt>
                <c:pt idx="4647">
                  <c:v>12398628</c:v>
                </c:pt>
                <c:pt idx="4650">
                  <c:v>52752475</c:v>
                </c:pt>
                <c:pt idx="4651">
                  <c:v>10214013</c:v>
                </c:pt>
                <c:pt idx="4653">
                  <c:v>101157447</c:v>
                </c:pt>
                <c:pt idx="4655">
                  <c:v>31537320</c:v>
                </c:pt>
                <c:pt idx="4656">
                  <c:v>31471430</c:v>
                </c:pt>
                <c:pt idx="4658">
                  <c:v>10431220</c:v>
                </c:pt>
                <c:pt idx="4659">
                  <c:v>122189806</c:v>
                </c:pt>
                <c:pt idx="4660">
                  <c:v>24520892</c:v>
                </c:pt>
                <c:pt idx="4662">
                  <c:v>81557479</c:v>
                </c:pt>
                <c:pt idx="4664">
                  <c:v>28687835</c:v>
                </c:pt>
                <c:pt idx="4665">
                  <c:v>51045801</c:v>
                </c:pt>
                <c:pt idx="4666">
                  <c:v>83813460</c:v>
                </c:pt>
                <c:pt idx="4667">
                  <c:v>292979556</c:v>
                </c:pt>
                <c:pt idx="4668">
                  <c:v>38048637</c:v>
                </c:pt>
                <c:pt idx="4669">
                  <c:v>21468807</c:v>
                </c:pt>
                <c:pt idx="4670">
                  <c:v>1027119</c:v>
                </c:pt>
                <c:pt idx="4671">
                  <c:v>70496802</c:v>
                </c:pt>
                <c:pt idx="4673">
                  <c:v>58879132</c:v>
                </c:pt>
                <c:pt idx="4674">
                  <c:v>20384136</c:v>
                </c:pt>
                <c:pt idx="4675">
                  <c:v>110476776</c:v>
                </c:pt>
                <c:pt idx="4676">
                  <c:v>19447478</c:v>
                </c:pt>
                <c:pt idx="4677">
                  <c:v>83077470</c:v>
                </c:pt>
                <c:pt idx="4678">
                  <c:v>118666</c:v>
                </c:pt>
                <c:pt idx="4680">
                  <c:v>19900000</c:v>
                </c:pt>
                <c:pt idx="4682">
                  <c:v>36658108</c:v>
                </c:pt>
                <c:pt idx="4683">
                  <c:v>20241395</c:v>
                </c:pt>
                <c:pt idx="4684">
                  <c:v>2964</c:v>
                </c:pt>
                <c:pt idx="4685">
                  <c:v>21005329</c:v>
                </c:pt>
                <c:pt idx="4686">
                  <c:v>100614858</c:v>
                </c:pt>
                <c:pt idx="4687">
                  <c:v>16123851</c:v>
                </c:pt>
                <c:pt idx="4688">
                  <c:v>72266306</c:v>
                </c:pt>
                <c:pt idx="4689">
                  <c:v>52885587</c:v>
                </c:pt>
                <c:pt idx="4690">
                  <c:v>2921738</c:v>
                </c:pt>
                <c:pt idx="4691">
                  <c:v>1043487</c:v>
                </c:pt>
                <c:pt idx="4692">
                  <c:v>3753806</c:v>
                </c:pt>
                <c:pt idx="4693">
                  <c:v>1569918</c:v>
                </c:pt>
                <c:pt idx="4696">
                  <c:v>68473360</c:v>
                </c:pt>
                <c:pt idx="4697">
                  <c:v>9801782</c:v>
                </c:pt>
                <c:pt idx="4699">
                  <c:v>23213577</c:v>
                </c:pt>
                <c:pt idx="4700">
                  <c:v>17320557</c:v>
                </c:pt>
                <c:pt idx="4703">
                  <c:v>24048000</c:v>
                </c:pt>
                <c:pt idx="4705">
                  <c:v>47474112</c:v>
                </c:pt>
                <c:pt idx="4706">
                  <c:v>12899702</c:v>
                </c:pt>
                <c:pt idx="4707">
                  <c:v>25517500</c:v>
                </c:pt>
                <c:pt idx="4708">
                  <c:v>43022524</c:v>
                </c:pt>
                <c:pt idx="4709">
                  <c:v>233103</c:v>
                </c:pt>
                <c:pt idx="4710">
                  <c:v>2892582</c:v>
                </c:pt>
                <c:pt idx="4711">
                  <c:v>16101109</c:v>
                </c:pt>
                <c:pt idx="4712">
                  <c:v>19067631</c:v>
                </c:pt>
                <c:pt idx="4713">
                  <c:v>24788807</c:v>
                </c:pt>
                <c:pt idx="4714">
                  <c:v>18317151</c:v>
                </c:pt>
                <c:pt idx="4715">
                  <c:v>119518352</c:v>
                </c:pt>
                <c:pt idx="4716">
                  <c:v>1277257</c:v>
                </c:pt>
                <c:pt idx="4717">
                  <c:v>45860039</c:v>
                </c:pt>
                <c:pt idx="4718">
                  <c:v>36073232</c:v>
                </c:pt>
                <c:pt idx="4719">
                  <c:v>43848100</c:v>
                </c:pt>
                <c:pt idx="4720">
                  <c:v>52474616</c:v>
                </c:pt>
                <c:pt idx="4721">
                  <c:v>223806889</c:v>
                </c:pt>
                <c:pt idx="4724">
                  <c:v>2283276</c:v>
                </c:pt>
                <c:pt idx="4725">
                  <c:v>17225675</c:v>
                </c:pt>
                <c:pt idx="4726">
                  <c:v>134568845</c:v>
                </c:pt>
                <c:pt idx="4728">
                  <c:v>79883359</c:v>
                </c:pt>
                <c:pt idx="4729">
                  <c:v>234277056</c:v>
                </c:pt>
                <c:pt idx="4730">
                  <c:v>22466994</c:v>
                </c:pt>
                <c:pt idx="4731">
                  <c:v>578527</c:v>
                </c:pt>
                <c:pt idx="4732">
                  <c:v>46978995</c:v>
                </c:pt>
                <c:pt idx="4733">
                  <c:v>79568000</c:v>
                </c:pt>
                <c:pt idx="4734">
                  <c:v>9094451</c:v>
                </c:pt>
                <c:pt idx="4735">
                  <c:v>3902679</c:v>
                </c:pt>
                <c:pt idx="4736">
                  <c:v>66359959</c:v>
                </c:pt>
                <c:pt idx="4737">
                  <c:v>13651662</c:v>
                </c:pt>
                <c:pt idx="4738">
                  <c:v>6448817</c:v>
                </c:pt>
                <c:pt idx="4739">
                  <c:v>81525</c:v>
                </c:pt>
                <c:pt idx="4740">
                  <c:v>107503316</c:v>
                </c:pt>
                <c:pt idx="4741">
                  <c:v>79043</c:v>
                </c:pt>
                <c:pt idx="4742">
                  <c:v>58700247</c:v>
                </c:pt>
                <c:pt idx="4743">
                  <c:v>3222857</c:v>
                </c:pt>
                <c:pt idx="4745">
                  <c:v>88246220</c:v>
                </c:pt>
                <c:pt idx="4746">
                  <c:v>121697350</c:v>
                </c:pt>
                <c:pt idx="4747">
                  <c:v>43532294</c:v>
                </c:pt>
                <c:pt idx="4748">
                  <c:v>3590010</c:v>
                </c:pt>
                <c:pt idx="4749">
                  <c:v>75621915</c:v>
                </c:pt>
                <c:pt idx="4751">
                  <c:v>1738692</c:v>
                </c:pt>
                <c:pt idx="4752">
                  <c:v>28563179</c:v>
                </c:pt>
                <c:pt idx="4753">
                  <c:v>78120196</c:v>
                </c:pt>
                <c:pt idx="4754">
                  <c:v>469947</c:v>
                </c:pt>
                <c:pt idx="4755">
                  <c:v>42168445</c:v>
                </c:pt>
                <c:pt idx="4756">
                  <c:v>333976</c:v>
                </c:pt>
                <c:pt idx="4757">
                  <c:v>14469428</c:v>
                </c:pt>
                <c:pt idx="4758">
                  <c:v>4771000</c:v>
                </c:pt>
                <c:pt idx="4759">
                  <c:v>152857</c:v>
                </c:pt>
                <c:pt idx="4761">
                  <c:v>856942</c:v>
                </c:pt>
                <c:pt idx="4762">
                  <c:v>10555348</c:v>
                </c:pt>
                <c:pt idx="4763">
                  <c:v>150368971</c:v>
                </c:pt>
                <c:pt idx="4764">
                  <c:v>43650000</c:v>
                </c:pt>
                <c:pt idx="4766">
                  <c:v>20772796</c:v>
                </c:pt>
                <c:pt idx="4767">
                  <c:v>35990505</c:v>
                </c:pt>
                <c:pt idx="4768">
                  <c:v>55350897</c:v>
                </c:pt>
                <c:pt idx="4769">
                  <c:v>80276912</c:v>
                </c:pt>
                <c:pt idx="4770">
                  <c:v>1089365</c:v>
                </c:pt>
                <c:pt idx="4771">
                  <c:v>155370362</c:v>
                </c:pt>
                <c:pt idx="4772">
                  <c:v>6291602</c:v>
                </c:pt>
                <c:pt idx="4773">
                  <c:v>10941801</c:v>
                </c:pt>
                <c:pt idx="4774">
                  <c:v>41102171</c:v>
                </c:pt>
                <c:pt idx="4775">
                  <c:v>182805123</c:v>
                </c:pt>
                <c:pt idx="4776">
                  <c:v>8735529</c:v>
                </c:pt>
                <c:pt idx="4777">
                  <c:v>5306447</c:v>
                </c:pt>
                <c:pt idx="4778">
                  <c:v>9170214</c:v>
                </c:pt>
                <c:pt idx="4779">
                  <c:v>39100956</c:v>
                </c:pt>
                <c:pt idx="4780">
                  <c:v>32095318</c:v>
                </c:pt>
                <c:pt idx="4781">
                  <c:v>13987482</c:v>
                </c:pt>
                <c:pt idx="4782">
                  <c:v>47860214</c:v>
                </c:pt>
                <c:pt idx="4783">
                  <c:v>1071240</c:v>
                </c:pt>
                <c:pt idx="4784">
                  <c:v>92823600</c:v>
                </c:pt>
                <c:pt idx="4785">
                  <c:v>1652472</c:v>
                </c:pt>
                <c:pt idx="4786">
                  <c:v>30127963</c:v>
                </c:pt>
                <c:pt idx="4788">
                  <c:v>33771174</c:v>
                </c:pt>
                <c:pt idx="4789">
                  <c:v>871527</c:v>
                </c:pt>
                <c:pt idx="4790">
                  <c:v>77222184</c:v>
                </c:pt>
                <c:pt idx="4791">
                  <c:v>7574066</c:v>
                </c:pt>
                <c:pt idx="4792">
                  <c:v>13034417</c:v>
                </c:pt>
                <c:pt idx="4793">
                  <c:v>13092000</c:v>
                </c:pt>
                <c:pt idx="4794">
                  <c:v>4142507</c:v>
                </c:pt>
                <c:pt idx="4795">
                  <c:v>69148997</c:v>
                </c:pt>
                <c:pt idx="4796">
                  <c:v>34793160</c:v>
                </c:pt>
                <c:pt idx="4797">
                  <c:v>73103784</c:v>
                </c:pt>
                <c:pt idx="4799">
                  <c:v>55865715</c:v>
                </c:pt>
                <c:pt idx="4800">
                  <c:v>16346122</c:v>
                </c:pt>
                <c:pt idx="4801">
                  <c:v>10300000</c:v>
                </c:pt>
                <c:pt idx="4802">
                  <c:v>10268846</c:v>
                </c:pt>
                <c:pt idx="4803">
                  <c:v>1677838</c:v>
                </c:pt>
                <c:pt idx="4804">
                  <c:v>5694308</c:v>
                </c:pt>
                <c:pt idx="4805">
                  <c:v>60072596</c:v>
                </c:pt>
                <c:pt idx="4806">
                  <c:v>55184721</c:v>
                </c:pt>
                <c:pt idx="4808">
                  <c:v>25662242</c:v>
                </c:pt>
                <c:pt idx="4810">
                  <c:v>403649</c:v>
                </c:pt>
                <c:pt idx="4811">
                  <c:v>168213584</c:v>
                </c:pt>
                <c:pt idx="4812">
                  <c:v>117190</c:v>
                </c:pt>
                <c:pt idx="4813">
                  <c:v>29753944</c:v>
                </c:pt>
                <c:pt idx="4814">
                  <c:v>113745408</c:v>
                </c:pt>
                <c:pt idx="4815">
                  <c:v>37877959</c:v>
                </c:pt>
                <c:pt idx="4816">
                  <c:v>6852144</c:v>
                </c:pt>
                <c:pt idx="4818">
                  <c:v>16831505</c:v>
                </c:pt>
                <c:pt idx="4819">
                  <c:v>16964743</c:v>
                </c:pt>
                <c:pt idx="4822">
                  <c:v>40911830</c:v>
                </c:pt>
                <c:pt idx="4823">
                  <c:v>11576087</c:v>
                </c:pt>
                <c:pt idx="4824">
                  <c:v>10762178</c:v>
                </c:pt>
                <c:pt idx="4827">
                  <c:v>26687172</c:v>
                </c:pt>
                <c:pt idx="4828">
                  <c:v>542860</c:v>
                </c:pt>
                <c:pt idx="4829">
                  <c:v>101228</c:v>
                </c:pt>
                <c:pt idx="4830">
                  <c:v>6531491</c:v>
                </c:pt>
                <c:pt idx="4831">
                  <c:v>22451</c:v>
                </c:pt>
                <c:pt idx="4832">
                  <c:v>3588432</c:v>
                </c:pt>
                <c:pt idx="4833">
                  <c:v>7369373</c:v>
                </c:pt>
                <c:pt idx="4834">
                  <c:v>58156435</c:v>
                </c:pt>
                <c:pt idx="4835">
                  <c:v>777423</c:v>
                </c:pt>
                <c:pt idx="4837">
                  <c:v>4131640</c:v>
                </c:pt>
                <c:pt idx="4838">
                  <c:v>65500000</c:v>
                </c:pt>
                <c:pt idx="4840">
                  <c:v>65012000</c:v>
                </c:pt>
                <c:pt idx="4842">
                  <c:v>33305037</c:v>
                </c:pt>
                <c:pt idx="4843">
                  <c:v>5018450</c:v>
                </c:pt>
                <c:pt idx="4844">
                  <c:v>6879730</c:v>
                </c:pt>
                <c:pt idx="4846">
                  <c:v>19389454</c:v>
                </c:pt>
                <c:pt idx="4847">
                  <c:v>1056102</c:v>
                </c:pt>
                <c:pt idx="4848">
                  <c:v>5308553</c:v>
                </c:pt>
                <c:pt idx="4849">
                  <c:v>8026971</c:v>
                </c:pt>
                <c:pt idx="4850">
                  <c:v>13300000</c:v>
                </c:pt>
                <c:pt idx="4851">
                  <c:v>3117666</c:v>
                </c:pt>
                <c:pt idx="4852">
                  <c:v>70236496</c:v>
                </c:pt>
                <c:pt idx="4853">
                  <c:v>202351611</c:v>
                </c:pt>
                <c:pt idx="4854">
                  <c:v>221210</c:v>
                </c:pt>
                <c:pt idx="4855">
                  <c:v>83640426</c:v>
                </c:pt>
                <c:pt idx="4856">
                  <c:v>189412677</c:v>
                </c:pt>
                <c:pt idx="4857">
                  <c:v>104077</c:v>
                </c:pt>
                <c:pt idx="4858">
                  <c:v>15417771</c:v>
                </c:pt>
                <c:pt idx="4860">
                  <c:v>25052000</c:v>
                </c:pt>
                <c:pt idx="4862">
                  <c:v>214948780</c:v>
                </c:pt>
                <c:pt idx="4863">
                  <c:v>179883016</c:v>
                </c:pt>
                <c:pt idx="4864">
                  <c:v>157299717</c:v>
                </c:pt>
                <c:pt idx="4865">
                  <c:v>154985087</c:v>
                </c:pt>
                <c:pt idx="4866">
                  <c:v>233914986</c:v>
                </c:pt>
                <c:pt idx="4867">
                  <c:v>146405371</c:v>
                </c:pt>
                <c:pt idx="4868">
                  <c:v>234360014</c:v>
                </c:pt>
                <c:pt idx="4869">
                  <c:v>141204016</c:v>
                </c:pt>
                <c:pt idx="4870">
                  <c:v>26082914</c:v>
                </c:pt>
                <c:pt idx="4871">
                  <c:v>13622333</c:v>
                </c:pt>
                <c:pt idx="4872">
                  <c:v>43337279</c:v>
                </c:pt>
                <c:pt idx="4873">
                  <c:v>3827466</c:v>
                </c:pt>
                <c:pt idx="4874">
                  <c:v>30400000</c:v>
                </c:pt>
                <c:pt idx="4875">
                  <c:v>97680195</c:v>
                </c:pt>
                <c:pt idx="4876">
                  <c:v>396035</c:v>
                </c:pt>
                <c:pt idx="4879">
                  <c:v>100169068</c:v>
                </c:pt>
                <c:pt idx="4880">
                  <c:v>25677801</c:v>
                </c:pt>
                <c:pt idx="4881">
                  <c:v>9180275</c:v>
                </c:pt>
                <c:pt idx="4883">
                  <c:v>100018837</c:v>
                </c:pt>
                <c:pt idx="4884">
                  <c:v>40066497</c:v>
                </c:pt>
                <c:pt idx="4886">
                  <c:v>2426851</c:v>
                </c:pt>
                <c:pt idx="4887">
                  <c:v>43100000</c:v>
                </c:pt>
                <c:pt idx="4888">
                  <c:v>3247816</c:v>
                </c:pt>
                <c:pt idx="4889">
                  <c:v>75604320</c:v>
                </c:pt>
                <c:pt idx="4890">
                  <c:v>16300302</c:v>
                </c:pt>
                <c:pt idx="4891">
                  <c:v>86300000</c:v>
                </c:pt>
                <c:pt idx="4892">
                  <c:v>44726644</c:v>
                </c:pt>
                <c:pt idx="4893">
                  <c:v>4250320</c:v>
                </c:pt>
                <c:pt idx="4894">
                  <c:v>21557240</c:v>
                </c:pt>
                <c:pt idx="4895">
                  <c:v>1573712</c:v>
                </c:pt>
                <c:pt idx="4897">
                  <c:v>15281286</c:v>
                </c:pt>
                <c:pt idx="4898">
                  <c:v>115731542</c:v>
                </c:pt>
                <c:pt idx="4901">
                  <c:v>31452765</c:v>
                </c:pt>
                <c:pt idx="4903">
                  <c:v>28045540</c:v>
                </c:pt>
                <c:pt idx="4904">
                  <c:v>95720716</c:v>
                </c:pt>
                <c:pt idx="4905">
                  <c:v>1980338</c:v>
                </c:pt>
                <c:pt idx="4908">
                  <c:v>33048353</c:v>
                </c:pt>
                <c:pt idx="4910">
                  <c:v>75590286</c:v>
                </c:pt>
                <c:pt idx="4911">
                  <c:v>80360866</c:v>
                </c:pt>
                <c:pt idx="4912">
                  <c:v>28837115</c:v>
                </c:pt>
                <c:pt idx="4913">
                  <c:v>45162741</c:v>
                </c:pt>
                <c:pt idx="4914">
                  <c:v>11631245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1881246"/>
        <c:axId val="1087293680"/>
      </c:lineChart>
      <c:catAx>
        <c:axId val="33188124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GB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movie_title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1087293680"/>
        <c:crosses val="autoZero"/>
        <c:auto val="1"/>
        <c:lblAlgn val="ctr"/>
        <c:lblOffset val="100"/>
        <c:noMultiLvlLbl val="0"/>
      </c:catAx>
      <c:valAx>
        <c:axId val="108729368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GB" sz="10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</a:p>
        </c:txPr>
        <c:crossAx val="33188124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accent3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000000"/>
    </a:solidFill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GB" sz="1800" b="0" i="0" u="none" strike="noStrike" kern="1200" baseline="0">
                <a:solidFill>
                  <a:schemeClr val="accent3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chemeClr val="accent3"/>
                </a:solidFill>
                <a:latin typeface="+mn-lt"/>
              </a:rPr>
              <a:t>Top 5 Movie with Highest Gross</a:t>
            </a:r>
            <a:endParaRPr b="0">
              <a:solidFill>
                <a:schemeClr val="accent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explosion val="0"/>
          <c:dPt>
            <c:idx val="0"/>
            <c:bubble3D val="0"/>
            <c:spPr>
              <a:solidFill>
                <a:srgbClr val="4285F4"/>
              </a:solidFill>
            </c:spPr>
          </c:dPt>
          <c:dPt>
            <c:idx val="1"/>
            <c:bubble3D val="0"/>
            <c:spPr>
              <a:solidFill>
                <a:srgbClr val="EA4335"/>
              </a:solidFill>
            </c:spPr>
          </c:dPt>
          <c:dPt>
            <c:idx val="2"/>
            <c:bubble3D val="0"/>
            <c:spPr>
              <a:solidFill>
                <a:srgbClr val="FBBC04"/>
              </a:solidFill>
            </c:spPr>
          </c:dPt>
          <c:dPt>
            <c:idx val="3"/>
            <c:bubble3D val="0"/>
            <c:spPr>
              <a:solidFill>
                <a:srgbClr val="34A853"/>
              </a:solidFill>
            </c:spPr>
          </c:dPt>
          <c:dPt>
            <c:idx val="4"/>
            <c:bubble3D val="0"/>
            <c:spPr>
              <a:solidFill>
                <a:srgbClr val="FF6D01"/>
              </a:solidFill>
            </c:spPr>
          </c:dPt>
          <c:dLbls>
            <c:delete val="1"/>
          </c:dLbls>
          <c:cat>
            <c:strRef>
              <c:f>'Top 5 movies with highest gross'!$I$3:$I$7</c:f>
              <c:strCache>
                <c:ptCount val="5"/>
                <c:pt idx="0">
                  <c:v>The Avengers </c:v>
                </c:pt>
                <c:pt idx="1">
                  <c:v>Avatar </c:v>
                </c:pt>
                <c:pt idx="2">
                  <c:v>The Jungle Book </c:v>
                </c:pt>
                <c:pt idx="3">
                  <c:v>Spider-Man 3 </c:v>
                </c:pt>
                <c:pt idx="4">
                  <c:v>Alice in Wonderland </c:v>
                </c:pt>
              </c:strCache>
            </c:strRef>
          </c:cat>
          <c:val>
            <c:numRef>
              <c:f>'Top 5 movies with highest gross'!$J$3:$J$7</c:f>
              <c:numCache>
                <c:formatCode>General</c:formatCode>
                <c:ptCount val="5"/>
                <c:pt idx="0">
                  <c:v>1246559094</c:v>
                </c:pt>
                <c:pt idx="1">
                  <c:v>760505847</c:v>
                </c:pt>
                <c:pt idx="2">
                  <c:v>725290282</c:v>
                </c:pt>
                <c:pt idx="3">
                  <c:v>673060606</c:v>
                </c:pt>
                <c:pt idx="4">
                  <c:v>668370412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GB" sz="1000" b="0" i="0" u="none" strike="noStrike" kern="1200" baseline="0">
              <a:solidFill>
                <a:schemeClr val="accent3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dk1"/>
    </a:solidFill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4918</xdr:row>
      <xdr:rowOff>152400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983875350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94</xdr:row>
      <xdr:rowOff>171450</xdr:rowOff>
    </xdr:from>
    <xdr:ext cx="6400800" cy="3533775"/>
    <xdr:graphicFrame>
      <xdr:nvGraphicFramePr>
        <xdr:cNvPr id="8" name="Chart 8" title="Chart"/>
        <xdr:cNvGraphicFramePr/>
      </xdr:nvGraphicFramePr>
      <xdr:xfrm>
        <a:off x="0" y="18973800"/>
        <a:ext cx="64008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247650</xdr:colOff>
      <xdr:row>67</xdr:row>
      <xdr:rowOff>114300</xdr:rowOff>
    </xdr:from>
    <xdr:ext cx="6162675" cy="3533775"/>
    <xdr:graphicFrame>
      <xdr:nvGraphicFramePr>
        <xdr:cNvPr id="9" name="Chart 9" title="Chart"/>
        <xdr:cNvGraphicFramePr/>
      </xdr:nvGraphicFramePr>
      <xdr:xfrm>
        <a:off x="247650" y="13515975"/>
        <a:ext cx="6162675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361950</xdr:colOff>
      <xdr:row>9</xdr:row>
      <xdr:rowOff>133350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2960370" y="1933575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447675</xdr:colOff>
      <xdr:row>2951</xdr:row>
      <xdr:rowOff>57150</xdr:rowOff>
    </xdr:from>
    <xdr:ext cx="10410825" cy="3533775"/>
    <xdr:graphicFrame>
      <xdr:nvGraphicFramePr>
        <xdr:cNvPr id="11" name="Chart 11" title="Chart"/>
        <xdr:cNvGraphicFramePr/>
      </xdr:nvGraphicFramePr>
      <xdr:xfrm>
        <a:off x="3945890" y="590330925"/>
        <a:ext cx="10410825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857250</xdr:colOff>
      <xdr:row>8</xdr:row>
      <xdr:rowOff>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4432300" y="1600200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622.6781134259" refreshedBy="mysel" recordCount="5043">
  <cacheSource type="worksheet">
    <worksheetSource ref="A1:AB5044" sheet="movie_metadata"/>
  </cacheSource>
  <cacheFields count="28">
    <cacheField name="color" numFmtId="0">
      <sharedItems containsBlank="1" count="3">
        <s v="Color"/>
        <s v="Black and White"/>
        <m/>
      </sharedItems>
    </cacheField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 count="529">
        <n v="723"/>
        <n v="302"/>
        <n v="602"/>
        <n v="813"/>
        <m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298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10"/>
        <n v="218"/>
        <n v="576"/>
        <n v="226"/>
        <n v="443"/>
        <n v="188"/>
        <n v="286"/>
        <n v="288"/>
        <n v="280"/>
        <n v="653"/>
        <n v="712"/>
        <n v="642"/>
        <n v="1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1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4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33"/>
        <n v="152"/>
        <n v="348"/>
        <n v="738"/>
        <n v="93"/>
        <n v="181"/>
        <n v="369"/>
        <n v="179"/>
        <n v="358"/>
        <n v="160"/>
        <n v="192"/>
        <n v="198"/>
        <n v="263"/>
        <n v="447"/>
        <n v="29"/>
        <n v="172"/>
        <n v="104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103"/>
        <n v="236"/>
        <n v="238"/>
        <n v="107"/>
        <n v="459"/>
        <n v="151"/>
        <n v="229"/>
        <n v="158"/>
        <n v="98"/>
        <n v="393"/>
        <n v="149"/>
        <n v="138"/>
        <n v="345"/>
        <n v="120"/>
        <n v="234"/>
        <n v="134"/>
        <n v="139"/>
        <n v="155"/>
        <n v="204"/>
        <n v="95"/>
        <n v="215"/>
        <n v="325"/>
        <n v="53"/>
        <n v="46"/>
        <n v="147"/>
        <n v="178"/>
        <n v="209"/>
        <n v="19"/>
        <n v="31"/>
        <n v="129"/>
        <n v="124"/>
        <n v="35"/>
        <n v="137"/>
        <n v="121"/>
        <n v="87"/>
        <n v="63"/>
        <n v="113"/>
        <n v="205"/>
        <n v="123"/>
        <n v="272"/>
        <n v="3"/>
        <n v="140"/>
        <n v="150"/>
        <n v="119"/>
        <n v="49"/>
        <n v="177"/>
        <n v="372"/>
        <n v="290"/>
        <n v="164"/>
        <n v="12"/>
        <n v="241"/>
        <n v="161"/>
        <n v="89"/>
        <n v="131"/>
        <n v="67"/>
        <n v="130"/>
        <n v="74"/>
        <n v="435"/>
        <n v="117"/>
        <n v="108"/>
        <n v="176"/>
        <n v="299"/>
        <n v="128"/>
        <n v="88"/>
        <n v="261"/>
        <n v="73"/>
        <n v="75"/>
        <n v="39"/>
        <n v="247"/>
        <n v="59"/>
        <n v="388"/>
        <n v="371"/>
        <n v="76"/>
        <n v="105"/>
        <n v="242"/>
        <n v="360"/>
        <n v="112"/>
        <n v="189"/>
        <n v="92"/>
        <n v="51"/>
        <n v="293"/>
        <n v="40"/>
        <n v="90"/>
        <n v="538"/>
        <n v="307"/>
        <n v="72"/>
        <n v="86"/>
        <n v="279"/>
        <n v="96"/>
        <n v="14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8"/>
        <n v="223"/>
        <n v="111"/>
        <n v="100"/>
        <n v="115"/>
        <n v="54"/>
        <n v="579"/>
        <n v="56"/>
        <n v="20"/>
        <n v="57"/>
        <n v="133"/>
        <n v="26"/>
        <n v="491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2"/>
        <n v="36"/>
        <n v="99"/>
        <n v="259"/>
        <n v="356"/>
        <n v="22"/>
        <n v="214"/>
        <n v="28"/>
        <n v="296"/>
        <n v="30"/>
        <n v="48"/>
        <n v="195"/>
        <n v="32"/>
        <n v="43"/>
        <n v="454"/>
        <n v="398"/>
        <n v="38"/>
        <n v="25"/>
        <n v="23"/>
        <n v="24"/>
        <n v="656"/>
        <n v="270"/>
        <n v="27"/>
        <n v="9"/>
        <n v="433"/>
        <n v="319"/>
        <n v="41"/>
        <n v="374"/>
        <n v="341"/>
        <n v="16"/>
        <n v="420"/>
        <n v="303"/>
        <n v="260"/>
        <n v="335"/>
        <n v="273"/>
        <n v="37"/>
        <n v="546"/>
        <n v="437"/>
        <n v="126"/>
        <n v="5"/>
        <n v="340"/>
        <n v="493"/>
        <n v="332"/>
        <n v="405"/>
        <n v="285"/>
        <n v="13"/>
        <n v="584"/>
        <n v="58"/>
        <n v="52"/>
        <n v="254"/>
        <n v="522"/>
        <n v="441"/>
        <n v="15"/>
        <n v="18"/>
        <n v="449"/>
        <n v="472"/>
        <n v="268"/>
        <n v="452"/>
        <n v="589"/>
        <n v="487"/>
        <n v="305"/>
        <n v="397"/>
        <n v="69"/>
        <n v="634"/>
        <n v="417"/>
        <n v="368"/>
        <n v="7"/>
        <n v="17"/>
        <n v="426"/>
        <n v="309"/>
        <n v="373"/>
        <n v="317"/>
        <n v="336"/>
        <n v="365"/>
        <n v="445"/>
        <n v="574"/>
        <n v="394"/>
        <n v="6"/>
        <n v="423"/>
        <n v="466"/>
        <n v="11"/>
        <n v="549"/>
        <n v="597"/>
        <n v="364"/>
        <n v="282"/>
        <n v="427"/>
        <n v="390"/>
        <n v="182"/>
        <n v="588"/>
        <n v="543"/>
        <n v="479"/>
        <n v="676"/>
        <n v="278"/>
        <n v="414"/>
        <n v="331"/>
        <n v="669"/>
        <n v="489"/>
        <n v="399"/>
        <n v="385"/>
        <n v="363"/>
        <n v="410"/>
        <n v="535"/>
        <n v="386"/>
        <n v="439"/>
        <n v="346"/>
        <n v="534"/>
        <n v="411"/>
        <n v="471"/>
        <n v="444"/>
        <n v="548"/>
        <n v="425"/>
        <n v="337"/>
        <n v="533"/>
        <n v="311"/>
        <n v="663"/>
        <n v="481"/>
        <n v="409"/>
      </sharedItems>
    </cacheField>
    <cacheField name="duration" numFmtId="0">
      <sharedItems containsString="0" containsBlank="1" containsNumber="1" containsInteger="1" minValue="7" maxValue="511" count="192">
        <n v="178"/>
        <n v="169"/>
        <n v="148"/>
        <n v="164"/>
        <m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09"/>
        <n v="128"/>
        <n v="102"/>
        <n v="101"/>
        <n v="120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60"/>
        <n v="117"/>
        <n v="107"/>
        <n v="82"/>
        <n v="159"/>
        <n v="174"/>
        <n v="134"/>
        <n v="77"/>
        <n v="170"/>
        <n v="76"/>
        <n v="171"/>
        <n v="84"/>
        <n v="22"/>
        <n v="145"/>
        <n v="78"/>
        <n v="240"/>
        <n v="172"/>
        <n v="87"/>
        <n v="216"/>
        <n v="192"/>
        <n v="44"/>
        <n v="83"/>
        <n v="139"/>
        <n v="86"/>
        <n v="162"/>
        <n v="54"/>
        <n v="80"/>
        <n v="25"/>
        <n v="74"/>
        <n v="81"/>
        <n v="177"/>
        <n v="73"/>
        <n v="43"/>
        <n v="45"/>
        <n v="163"/>
        <n v="30"/>
        <n v="212"/>
        <n v="187"/>
        <n v="189"/>
        <n v="188"/>
        <n v="280"/>
        <n v="155"/>
        <n v="64"/>
        <n v="190"/>
        <n v="75"/>
        <n v="220"/>
        <n v="160"/>
        <n v="52"/>
        <n v="325"/>
        <n v="251"/>
        <n v="202"/>
        <n v="330"/>
        <n v="289"/>
        <n v="161"/>
        <n v="28"/>
        <n v="79"/>
        <n v="63"/>
        <n v="511"/>
        <n v="42"/>
        <n v="167"/>
        <n v="193"/>
        <n v="175"/>
        <n v="185"/>
        <n v="219"/>
        <n v="7"/>
        <n v="271"/>
        <n v="50"/>
        <n v="72"/>
        <n v="24"/>
        <n v="68"/>
        <n v="225"/>
        <n v="236"/>
        <n v="180"/>
        <n v="334"/>
        <n v="270"/>
        <n v="227"/>
        <n v="286"/>
        <n v="65"/>
        <n v="55"/>
        <n v="41"/>
        <n v="69"/>
        <n v="293"/>
        <n v="200"/>
        <n v="40"/>
        <n v="168"/>
        <n v="197"/>
        <n v="181"/>
        <n v="300"/>
        <n v="23"/>
        <n v="53"/>
        <n v="46"/>
        <n v="67"/>
        <n v="199"/>
        <n v="226"/>
        <n v="37"/>
        <n v="11"/>
        <n v="66"/>
        <n v="34"/>
        <n v="20"/>
        <n v="27"/>
        <n v="70"/>
        <n v="14"/>
        <n v="71"/>
        <n v="58"/>
        <n v="35"/>
        <n v="59"/>
        <n v="62"/>
        <n v="47"/>
      </sharedItems>
    </cacheField>
    <cacheField name="director_facebook_likes" numFmtId="0">
      <sharedItems containsString="0" containsBlank="1" containsNumber="1" containsInteger="1" minValue="0" maxValue="23000" count="436">
        <n v="0"/>
        <n v="563"/>
        <n v="22000"/>
        <n v="131"/>
        <n v="475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113"/>
        <n v="56"/>
        <n v="681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596"/>
        <n v="47"/>
        <n v="31"/>
        <n v="663"/>
        <n v="38"/>
        <n v="66"/>
        <n v="255"/>
        <n v="84"/>
        <n v="571"/>
        <n v="28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m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335"/>
        <n v="221"/>
        <n v="87"/>
        <n v="468"/>
        <n v="378"/>
        <n v="545"/>
        <n v="266"/>
        <n v="36"/>
        <n v="27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92"/>
        <n v="43"/>
        <n v="64"/>
        <n v="287"/>
        <n v="18"/>
        <n v="309"/>
        <n v="45"/>
        <n v="27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162"/>
        <n v="2"/>
        <n v="53"/>
        <n v="39"/>
        <n v="192"/>
        <n v="892"/>
        <n v="3"/>
        <n v="143"/>
        <n v="51"/>
        <n v="83"/>
        <n v="108"/>
        <n v="61"/>
        <n v="317"/>
        <n v="82"/>
        <n v="607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98"/>
        <n v="628"/>
        <n v="118"/>
        <n v="375"/>
        <n v="631"/>
        <n v="270"/>
        <n v="350"/>
        <n v="777"/>
        <n v="49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194"/>
        <n v="6000"/>
        <n v="132"/>
        <n v="136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15"/>
        <n v="710"/>
        <n v="767"/>
        <n v="120"/>
        <n v="144"/>
        <n v="650"/>
        <n v="353"/>
        <n v="187"/>
        <n v="248"/>
        <n v="973"/>
        <n v="68"/>
        <n v="219"/>
        <n v="121"/>
        <n v="214"/>
        <n v="460"/>
        <n v="911"/>
        <n v="535"/>
        <n v="597"/>
        <n v="269"/>
        <n v="18000"/>
        <n v="956"/>
        <n v="300"/>
        <n v="688"/>
        <n v="195"/>
        <n v="406"/>
        <n v="140"/>
        <n v="122"/>
        <n v="310"/>
        <n v="210"/>
        <n v="909"/>
        <n v="329"/>
        <n v="500"/>
        <n v="379"/>
        <n v="337"/>
        <n v="157"/>
        <n v="512"/>
        <n v="847"/>
        <n v="201"/>
        <n v="137"/>
        <n v="405"/>
        <n v="369"/>
        <n v="172"/>
        <n v="929"/>
        <n v="374"/>
        <n v="745"/>
        <n v="561"/>
        <n v="454"/>
        <n v="756"/>
        <n v="141"/>
        <n v="445"/>
        <n v="232"/>
        <n v="752"/>
        <n v="412"/>
        <n v="799"/>
        <n v="139"/>
        <n v="261"/>
        <n v="220"/>
        <n v="60"/>
        <n v="166"/>
        <n v="216"/>
        <n v="319"/>
        <n v="667"/>
        <n v="482"/>
        <n v="434"/>
        <n v="387"/>
        <n v="787"/>
        <n v="324"/>
        <n v="593"/>
        <n v="302"/>
        <n v="800"/>
        <n v="147"/>
        <n v="798"/>
        <n v="930"/>
        <n v="236"/>
        <n v="407"/>
        <n v="548"/>
        <n v="341"/>
        <n v="200"/>
        <n v="346"/>
        <n v="474"/>
        <n v="554"/>
        <n v="228"/>
        <n v="472"/>
        <n v="112"/>
        <n v="735"/>
        <n v="781"/>
        <n v="23000"/>
        <n v="592"/>
        <n v="222"/>
        <n v="440"/>
        <n v="399"/>
        <n v="345"/>
        <n v="520"/>
        <n v="239"/>
        <n v="204"/>
        <n v="766"/>
        <n v="377"/>
        <n v="358"/>
        <n v="450"/>
        <n v="675"/>
        <n v="330"/>
        <n v="227"/>
        <n v="177"/>
        <n v="103"/>
        <n v="104"/>
        <n v="673"/>
        <n v="964"/>
        <n v="393"/>
        <n v="700"/>
        <n v="74"/>
        <n v="355"/>
        <n v="184"/>
        <n v="421"/>
        <n v="589"/>
        <n v="603"/>
        <n v="244"/>
        <n v="531"/>
        <n v="20000"/>
        <n v="191"/>
        <n v="522"/>
        <n v="764"/>
        <n v="135"/>
        <n v="199"/>
        <n v="243"/>
        <n v="923"/>
        <n v="142"/>
        <n v="224"/>
        <n v="247"/>
        <n v="95"/>
        <n v="490"/>
        <n v="217"/>
        <n v="431"/>
        <n v="373"/>
        <n v="686"/>
        <n v="664"/>
        <n v="467"/>
        <n v="969"/>
        <n v="158"/>
        <n v="397"/>
        <n v="291"/>
      </sharedItems>
    </cacheField>
    <cacheField name="actor_3_facebook_likes" numFmtId="0">
      <sharedItems containsString="0" containsBlank="1" containsNumber="1" containsInteger="1" minValue="0" maxValue="23000" count="907">
        <n v="855"/>
        <n v="1000"/>
        <n v="161"/>
        <n v="23000"/>
        <m/>
        <n v="53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113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283"/>
        <n v="982"/>
        <n v="213"/>
        <n v="604"/>
        <n v="562"/>
        <n v="833"/>
        <n v="267"/>
        <n v="535"/>
        <n v="759"/>
        <n v="191"/>
        <n v="6000"/>
        <n v="12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184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159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141"/>
        <n v="617"/>
        <n v="9000"/>
        <n v="429"/>
        <n v="13"/>
        <n v="268"/>
        <n v="799"/>
        <n v="78"/>
        <n v="387"/>
        <n v="350"/>
        <n v="827"/>
        <n v="116"/>
        <n v="741"/>
        <n v="432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416"/>
        <n v="766"/>
        <n v="240"/>
        <n v="968"/>
        <n v="527"/>
        <n v="779"/>
        <n v="330"/>
        <n v="476"/>
        <n v="55"/>
        <n v="810"/>
        <n v="568"/>
        <n v="117"/>
        <n v="484"/>
        <n v="918"/>
        <n v="585"/>
        <n v="489"/>
        <n v="727"/>
        <n v="635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148"/>
        <n v="820"/>
        <n v="439"/>
        <n v="619"/>
        <n v="624"/>
        <n v="29"/>
        <n v="210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852"/>
        <n v="110"/>
        <n v="343"/>
        <n v="163"/>
        <n v="208"/>
        <n v="805"/>
        <n v="818"/>
        <n v="0"/>
        <n v="744"/>
        <n v="915"/>
        <n v="913"/>
        <n v="366"/>
        <n v="38"/>
        <n v="71"/>
        <n v="67"/>
        <n v="697"/>
        <n v="375"/>
        <n v="269"/>
        <n v="427"/>
        <n v="859"/>
        <n v="474"/>
        <n v="62"/>
        <n v="102"/>
        <n v="658"/>
        <n v="871"/>
        <n v="8"/>
        <n v="904"/>
        <n v="41"/>
        <n v="231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328"/>
        <n v="260"/>
        <n v="232"/>
        <n v="218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242"/>
        <n v="48"/>
        <n v="769"/>
        <n v="995"/>
        <n v="726"/>
        <n v="576"/>
        <n v="559"/>
        <n v="841"/>
        <n v="992"/>
        <n v="638"/>
        <n v="17"/>
        <n v="774"/>
        <n v="400"/>
        <n v="150"/>
        <n v="324"/>
        <n v="66"/>
        <n v="407"/>
        <n v="298"/>
        <n v="854"/>
        <n v="301"/>
        <n v="246"/>
        <n v="497"/>
        <n v="580"/>
        <n v="975"/>
        <n v="97"/>
        <n v="334"/>
        <n v="531"/>
        <n v="911"/>
        <n v="359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311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379"/>
        <n v="896"/>
        <n v="230"/>
        <n v="206"/>
        <n v="480"/>
        <n v="906"/>
        <n v="308"/>
        <n v="652"/>
        <n v="569"/>
        <n v="947"/>
        <n v="507"/>
        <n v="68"/>
        <n v="778"/>
        <n v="196"/>
        <n v="437"/>
        <n v="280"/>
        <n v="22"/>
        <n v="361"/>
        <n v="440"/>
        <n v="318"/>
        <n v="543"/>
        <n v="512"/>
        <n v="349"/>
        <n v="839"/>
        <n v="529"/>
        <n v="519"/>
        <n v="479"/>
        <n v="622"/>
        <n v="455"/>
        <n v="58"/>
        <n v="676"/>
        <n v="650"/>
        <n v="348"/>
        <n v="194"/>
        <n v="639"/>
        <n v="752"/>
        <n v="458"/>
        <n v="729"/>
        <n v="186"/>
        <n v="665"/>
        <n v="640"/>
        <n v="72"/>
        <n v="243"/>
        <n v="34"/>
        <n v="594"/>
        <n v="352"/>
        <n v="518"/>
        <n v="287"/>
        <n v="46"/>
        <n v="177"/>
        <n v="534"/>
        <n v="565"/>
        <n v="889"/>
        <n v="420"/>
        <n v="43"/>
        <n v="753"/>
        <n v="303"/>
        <n v="304"/>
        <n v="931"/>
        <n v="634"/>
        <n v="21"/>
        <n v="75"/>
        <n v="79"/>
        <n v="728"/>
        <n v="593"/>
        <n v="597"/>
        <n v="285"/>
        <n v="878"/>
        <n v="828"/>
        <n v="417"/>
        <n v="651"/>
        <n v="584"/>
        <n v="701"/>
        <n v="277"/>
        <n v="293"/>
        <n v="874"/>
        <n v="660"/>
        <n v="132"/>
        <n v="477"/>
        <n v="144"/>
        <n v="414"/>
        <n v="679"/>
        <n v="935"/>
        <n v="368"/>
        <n v="706"/>
        <n v="323"/>
        <n v="158"/>
        <n v="717"/>
        <n v="39"/>
        <n v="5"/>
        <n v="401"/>
        <n v="511"/>
        <n v="764"/>
        <n v="398"/>
        <n v="730"/>
        <n v="795"/>
        <n v="317"/>
        <n v="600"/>
        <n v="897"/>
        <n v="592"/>
        <n v="338"/>
        <n v="830"/>
        <n v="237"/>
        <n v="235"/>
        <n v="261"/>
        <n v="821"/>
        <n v="482"/>
        <n v="23"/>
        <n v="302"/>
        <n v="677"/>
        <n v="319"/>
        <n v="364"/>
        <n v="255"/>
        <n v="628"/>
        <n v="750"/>
        <n v="514"/>
        <n v="548"/>
        <n v="631"/>
        <n v="734"/>
        <n v="501"/>
        <n v="404"/>
        <n v="167"/>
        <n v="252"/>
        <n v="510"/>
        <n v="19"/>
        <n v="10"/>
        <n v="61"/>
        <n v="865"/>
        <n v="50"/>
        <n v="114"/>
        <n v="50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4"/>
        <n v="633"/>
        <n v="119"/>
        <n v="389"/>
        <n v="418"/>
        <n v="823"/>
        <n v="211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259"/>
        <n v="219"/>
        <n v="472"/>
        <n v="2"/>
        <n v="483"/>
        <n v="596"/>
        <n v="100"/>
        <n v="785"/>
        <n v="478"/>
        <n v="494"/>
        <n v="377"/>
        <n v="108"/>
        <n v="736"/>
        <n v="724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6"/>
        <n v="134"/>
        <n v="448"/>
        <n v="115"/>
        <n v="45"/>
        <n v="816"/>
        <n v="239"/>
        <n v="11"/>
        <n v="178"/>
        <n v="504"/>
        <n v="796"/>
        <n v="573"/>
        <n v="355"/>
        <n v="83"/>
        <n v="142"/>
        <n v="245"/>
        <n v="320"/>
        <n v="24"/>
        <n v="670"/>
        <n v="125"/>
        <n v="90"/>
        <n v="781"/>
        <n v="802"/>
        <n v="946"/>
        <n v="360"/>
        <n v="545"/>
        <n v="786"/>
        <n v="940"/>
        <n v="966"/>
        <n v="837"/>
        <n v="37"/>
        <n v="286"/>
        <n v="424"/>
        <n v="468"/>
        <n v="342"/>
        <n v="392"/>
        <n v="273"/>
        <n v="438"/>
        <n v="69"/>
        <n v="431"/>
        <n v="900"/>
        <n v="798"/>
        <n v="843"/>
        <n v="187"/>
        <n v="700"/>
        <n v="313"/>
        <n v="373"/>
        <n v="89"/>
        <n v="250"/>
        <n v="47"/>
        <n v="325"/>
        <n v="902"/>
        <n v="453"/>
        <n v="899"/>
        <n v="228"/>
        <n v="3"/>
        <n v="137"/>
        <n v="17000"/>
        <n v="528"/>
        <n v="155"/>
        <n v="26"/>
        <n v="151"/>
        <n v="711"/>
        <n v="198"/>
        <n v="164"/>
        <n v="662"/>
        <n v="188"/>
        <n v="887"/>
        <n v="917"/>
        <n v="872"/>
        <n v="367"/>
        <n v="742"/>
        <n v="960"/>
        <n v="199"/>
        <n v="743"/>
        <n v="977"/>
        <n v="98"/>
        <n v="376"/>
        <n v="347"/>
        <n v="70"/>
        <n v="399"/>
        <n v="92"/>
        <n v="309"/>
        <n v="42"/>
        <n v="492"/>
        <n v="31"/>
        <n v="611"/>
        <n v="197"/>
        <n v="254"/>
        <n v="382"/>
        <n v="88"/>
        <n v="234"/>
        <n v="86"/>
        <n v="266"/>
        <n v="290"/>
        <n v="216"/>
        <n v="406"/>
        <n v="149"/>
        <n v="220"/>
        <n v="842"/>
        <n v="605"/>
        <n v="85"/>
        <n v="487"/>
        <n v="861"/>
        <n v="109"/>
        <n v="851"/>
        <n v="332"/>
        <n v="101"/>
        <n v="949"/>
        <n v="755"/>
        <n v="587"/>
        <n v="270"/>
        <n v="756"/>
        <n v="806"/>
        <n v="470"/>
        <n v="942"/>
        <n v="905"/>
        <n v="801"/>
        <n v="499"/>
        <n v="153"/>
        <n v="783"/>
        <n v="926"/>
        <n v="181"/>
        <n v="725"/>
        <n v="9"/>
        <n v="53"/>
        <n v="306"/>
        <n v="630"/>
        <n v="356"/>
        <n v="836"/>
        <n v="27"/>
        <n v="985"/>
        <n v="457"/>
        <n v="555"/>
        <n v="606"/>
        <n v="124"/>
        <n v="371"/>
        <n v="238"/>
        <n v="922"/>
        <n v="32"/>
        <n v="757"/>
        <n v="920"/>
        <n v="170"/>
        <n v="598"/>
        <n v="849"/>
        <n v="486"/>
        <n v="583"/>
        <n v="428"/>
        <n v="578"/>
        <n v="316"/>
        <n v="888"/>
        <n v="247"/>
        <n v="305"/>
        <n v="607"/>
        <n v="731"/>
        <n v="649"/>
        <n v="65"/>
        <n v="629"/>
        <n v="782"/>
        <n v="274"/>
        <n v="224"/>
        <n v="386"/>
        <n v="289"/>
        <n v="669"/>
        <n v="121"/>
        <n v="176"/>
        <n v="496"/>
        <n v="654"/>
        <n v="169"/>
        <n v="378"/>
        <n v="93"/>
        <n v="829"/>
        <n v="435"/>
        <n v="147"/>
        <n v="793"/>
        <n v="122"/>
        <n v="696"/>
        <n v="192"/>
        <n v="146"/>
        <n v="411"/>
        <n v="632"/>
        <n v="621"/>
        <n v="647"/>
        <n v="532"/>
        <n v="860"/>
        <n v="901"/>
        <n v="139"/>
        <n v="804"/>
        <n v="536"/>
        <n v="869"/>
        <n v="444"/>
        <n v="688"/>
        <n v="131"/>
        <n v="885"/>
        <n v="875"/>
        <n v="126"/>
        <n v="770"/>
        <n v="200"/>
        <n v="513"/>
        <n v="862"/>
        <n v="908"/>
        <n v="673"/>
        <n v="291"/>
        <n v="710"/>
        <n v="209"/>
        <n v="33"/>
        <n v="189"/>
        <n v="391"/>
        <n v="890"/>
        <n v="76"/>
        <n v="410"/>
        <n v="493"/>
        <n v="689"/>
        <n v="180"/>
        <n v="381"/>
        <n v="546"/>
        <n v="152"/>
        <n v="419"/>
        <n v="694"/>
        <n v="704"/>
        <n v="657"/>
        <n v="498"/>
        <n v="205"/>
        <n v="797"/>
        <n v="556"/>
        <n v="276"/>
        <n v="686"/>
        <n v="601"/>
        <n v="339"/>
        <n v="425"/>
        <n v="712"/>
        <n v="143"/>
        <n v="682"/>
        <n v="739"/>
        <n v="969"/>
        <n v="449"/>
        <n v="469"/>
        <n v="331"/>
        <n v="454"/>
        <n v="315"/>
        <n v="698"/>
        <n v="608"/>
        <n v="166"/>
        <n v="333"/>
        <n v="312"/>
        <n v="128"/>
        <n v="772"/>
        <n v="891"/>
        <n v="396"/>
        <n v="659"/>
        <n v="620"/>
        <n v="321"/>
        <n v="185"/>
        <n v="156"/>
      </sharedItems>
    </cacheField>
    <cacheField name="actor_1_facebook_likes" numFmtId="0">
      <sharedItems containsString="0" containsBlank="1" containsNumber="1" containsInteger="1" minValue="0" maxValue="640000" count="879">
        <n v="1000"/>
        <n v="40000"/>
        <n v="11000"/>
        <n v="27000"/>
        <n v="131"/>
        <n v="64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75"/>
        <n v="2000"/>
        <n v="998"/>
        <n v="268"/>
        <n v="87000"/>
        <n v="711"/>
        <n v="622"/>
        <n v="4000"/>
        <n v="756"/>
        <n v="975"/>
        <n v="890"/>
        <n v="648"/>
        <n v="544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982"/>
        <n v="535"/>
        <n v="688"/>
        <n v="605"/>
        <n v="845"/>
        <n v="920"/>
        <n v="784"/>
        <n v="774"/>
        <n v="886"/>
        <n v="690"/>
        <n v="273"/>
        <n v="936"/>
        <n v="833"/>
        <n v="39"/>
        <n v="650"/>
        <n v="596"/>
        <n v="811"/>
        <n v="480"/>
        <n v="669"/>
        <n v="383"/>
        <n v="681"/>
        <n v="673"/>
        <n v="760"/>
        <n v="852"/>
        <n v="5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813"/>
        <n v="611"/>
        <n v="409"/>
        <n v="875"/>
        <n v="577"/>
        <n v="898"/>
        <n v="340"/>
        <n v="9000"/>
        <n v="23"/>
        <n v="981"/>
        <n v="882"/>
        <n v="743"/>
        <n v="529"/>
        <n v="2"/>
        <n v="563"/>
        <n v="67"/>
        <n v="795"/>
        <n v="163"/>
        <n v="7000"/>
        <n v="610"/>
        <n v="719"/>
        <n v="867"/>
        <n v="912"/>
        <n v="374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788"/>
        <n v="537"/>
        <n v="995"/>
        <n v="901"/>
        <n v="848"/>
        <n v="600"/>
        <n v="509"/>
        <n v="324"/>
        <n v="963"/>
        <n v="177"/>
        <n v="645"/>
        <n v="967"/>
        <n v="524"/>
        <n v="46000"/>
        <n v="419"/>
        <n v="988"/>
        <n v="433"/>
        <n v="658"/>
        <n v="881"/>
        <n v="854"/>
        <n v="366"/>
        <n v="834"/>
        <n v="732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847"/>
        <n v="485"/>
        <n v="534"/>
        <n v="57"/>
        <n v="838"/>
        <n v="939"/>
        <n v="956"/>
        <n v="226"/>
        <n v="617"/>
        <n v="277"/>
        <n v="593"/>
        <n v="117"/>
        <n v="631"/>
        <n v="134"/>
        <n v="211"/>
        <n v="961"/>
        <n v="677"/>
        <n v="145"/>
        <n v="625"/>
        <n v="426"/>
        <n v="154"/>
        <n v="416"/>
        <n v="495"/>
        <n v="992"/>
        <n v="437"/>
        <n v="294"/>
        <n v="627"/>
        <n v="330"/>
        <n v="325"/>
        <n v="45000"/>
        <n v="430"/>
        <n v="629"/>
        <n v="51"/>
        <n v="972"/>
        <n v="984"/>
        <n v="841"/>
        <n v="599"/>
        <n v="598"/>
        <n v="779"/>
        <n v="113"/>
        <n v="678"/>
        <n v="29"/>
        <n v="924"/>
        <n v="807"/>
        <n v="545"/>
        <n v="821"/>
        <n v="521"/>
        <n v="749"/>
        <n v="550"/>
        <n v="427"/>
        <n v="913"/>
        <n v="905"/>
        <n v="723"/>
        <n v="267"/>
        <n v="164"/>
        <n v="849"/>
        <n v="219"/>
        <n v="44"/>
        <n v="405"/>
        <n v="579"/>
        <n v="468"/>
        <n v="683"/>
        <n v="922"/>
        <n v="624"/>
        <n v="326"/>
        <n v="687"/>
        <n v="107"/>
        <n v="734"/>
        <n v="668"/>
        <n v="97"/>
        <n v="855"/>
        <n v="904"/>
        <n v="700"/>
        <n v="164000"/>
        <n v="578"/>
        <n v="836"/>
        <n v="708"/>
        <n v="387"/>
        <n v="954"/>
        <n v="880"/>
        <n v="472"/>
        <n v="176"/>
        <n v="720"/>
        <n v="703"/>
        <n v="787"/>
        <n v="293"/>
        <n v="607"/>
        <n v="964"/>
        <n v="327"/>
        <n v="877"/>
        <n v="978"/>
        <n v="636"/>
        <n v="782"/>
        <n v="976"/>
        <n v="61"/>
        <n v="884"/>
        <n v="499"/>
        <n v="218"/>
        <n v="152"/>
        <n v="747"/>
        <n v="755"/>
        <n v="592"/>
        <n v="643"/>
        <n v="76"/>
        <n v="308"/>
        <n v="628"/>
        <n v="37"/>
        <n v="378"/>
        <n v="786"/>
        <n v="740"/>
        <n v="463"/>
        <n v="551"/>
        <n v="180"/>
        <n v="496"/>
        <n v="746"/>
        <n v="685"/>
        <n v="944"/>
        <n v="541"/>
        <n v="461"/>
        <n v="808"/>
        <n v="768"/>
        <n v="778"/>
        <n v="492"/>
        <n v="947"/>
        <n v="900"/>
        <n v="812"/>
        <n v="826"/>
        <n v="969"/>
        <n v="897"/>
        <n v="288"/>
        <n v="396"/>
        <n v="446"/>
        <n v="775"/>
        <n v="907"/>
        <n v="465"/>
        <n v="553"/>
        <n v="694"/>
        <n v="635"/>
        <n v="695"/>
        <n v="837"/>
        <n v="3"/>
        <n v="30"/>
        <n v="621"/>
        <n v="554"/>
        <n v="372"/>
        <n v="6"/>
        <n v="818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567"/>
        <n v="696"/>
        <n v="455"/>
        <n v="585"/>
        <n v="869"/>
        <n v="581"/>
        <n v="157"/>
        <n v="663"/>
        <n v="759"/>
        <n v="489"/>
        <n v="473"/>
        <n v="448"/>
        <n v="147"/>
        <n v="876"/>
        <n v="295"/>
        <n v="114"/>
        <n v="523"/>
        <n v="757"/>
        <n v="955"/>
        <n v="504"/>
        <n v="559"/>
        <n v="639"/>
        <n v="173"/>
        <n v="11"/>
        <n v="664"/>
        <n v="580"/>
        <n v="943"/>
        <n v="731"/>
        <n v="422"/>
        <n v="497"/>
        <n v="63"/>
        <n v="806"/>
        <n v="738"/>
        <n v="594"/>
        <n v="358"/>
        <n v="386"/>
        <n v="953"/>
        <n v="66"/>
        <n v="491"/>
        <n v="748"/>
        <n v="385"/>
        <n v="332"/>
        <n v="771"/>
        <n v="642"/>
        <n v="260"/>
        <n v="655"/>
        <n v="934"/>
        <n v="264"/>
        <n v="440"/>
        <n v="713"/>
        <n v="640000"/>
        <n v="742"/>
        <n v="272"/>
        <n v="744"/>
        <n v="296"/>
        <n v="328"/>
        <n v="601"/>
        <n v="285"/>
        <n v="469"/>
        <n v="460"/>
        <n v="90"/>
        <n v="618"/>
        <n v="45"/>
        <n v="462"/>
        <n v="902"/>
        <n v="798"/>
        <n v="355"/>
        <n v="985"/>
        <n v="338"/>
        <n v="562"/>
        <n v="400"/>
        <n v="172"/>
        <n v="181"/>
        <n v="941"/>
        <n v="174"/>
        <n v="843"/>
        <n v="927"/>
        <n v="908"/>
        <n v="279"/>
        <n v="79"/>
        <n v="893"/>
        <n v="512"/>
        <n v="721"/>
        <n v="527"/>
        <n v="201"/>
        <n v="805"/>
        <n v="556"/>
        <n v="129"/>
        <n v="329"/>
        <n v="896"/>
        <n v="390"/>
        <n v="150"/>
        <n v="240"/>
        <n v="203"/>
        <n v="809"/>
        <n v="20"/>
        <n v="533"/>
        <n v="98"/>
        <n v="608"/>
        <n v="526"/>
        <n v="304"/>
        <n v="508"/>
        <n v="565"/>
        <n v="860"/>
        <n v="31000"/>
        <n v="141"/>
        <n v="741"/>
        <n v="125"/>
        <n v="646"/>
        <n v="0"/>
        <n v="606"/>
        <n v="991"/>
        <n v="909"/>
        <n v="651"/>
        <n v="302"/>
        <n v="137000"/>
        <n v="346"/>
        <n v="856"/>
        <n v="204"/>
        <n v="997"/>
        <n v="885"/>
        <n v="829"/>
        <n v="572"/>
        <n v="801"/>
        <n v="488"/>
        <n v="699"/>
        <n v="46"/>
        <n v="106"/>
        <n v="403"/>
        <n v="483"/>
        <n v="109"/>
        <n v="729"/>
        <n v="486"/>
        <n v="888"/>
        <n v="500"/>
        <n v="341"/>
        <n v="17"/>
        <n v="948"/>
        <n v="654"/>
        <n v="82"/>
        <n v="727"/>
        <n v="828"/>
        <n v="155"/>
        <n v="946"/>
        <n v="517"/>
        <n v="210"/>
        <n v="712"/>
        <n v="456"/>
        <n v="597"/>
        <n v="364"/>
        <n v="84"/>
        <n v="444"/>
        <n v="923"/>
        <n v="158"/>
        <n v="866"/>
        <n v="549"/>
        <n v="482"/>
        <n v="453"/>
        <n v="715"/>
        <n v="767"/>
        <n v="634"/>
        <n v="214"/>
        <n v="714"/>
        <n v="227"/>
        <n v="996"/>
        <n v="241"/>
        <n v="911"/>
        <n v="861"/>
        <n v="633"/>
        <n v="175"/>
        <n v="555"/>
        <n v="503"/>
        <n v="232"/>
        <n v="235"/>
        <n v="103"/>
        <n v="94"/>
        <n v="816"/>
        <n v="116"/>
        <n v="193"/>
        <n v="471"/>
        <n v="354"/>
        <n v="796"/>
        <n v="595"/>
        <n v="65"/>
        <n v="477"/>
        <n v="857"/>
        <n v="136"/>
        <n v="64"/>
        <n v="825"/>
        <n v="776"/>
        <n v="735"/>
        <n v="179"/>
        <n v="467"/>
        <n v="892"/>
        <n v="706"/>
        <n v="718"/>
        <n v="878"/>
        <n v="413"/>
        <n v="543"/>
        <n v="159"/>
        <n v="423"/>
        <n v="149"/>
        <n v="412"/>
        <n v="380"/>
        <n v="697"/>
        <n v="70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28"/>
        <n v="452"/>
        <n v="347"/>
        <n v="733"/>
        <n v="362"/>
        <n v="525"/>
        <n v="60"/>
        <n v="797"/>
        <n v="9"/>
        <n v="686"/>
        <n v="52"/>
        <n v="399"/>
        <n v="15"/>
        <n v="215"/>
        <n v="785"/>
        <n v="276"/>
        <n v="425"/>
        <n v="917"/>
        <n v="665"/>
        <n v="381"/>
        <n v="564"/>
        <n v="68"/>
        <n v="494"/>
        <n v="726"/>
        <n v="371"/>
        <n v="929"/>
        <n v="220"/>
        <n v="258"/>
        <n v="772"/>
        <n v="24"/>
        <n v="753"/>
        <n v="823"/>
        <n v="402"/>
        <n v="754"/>
        <n v="530"/>
        <n v="307"/>
        <n v="990"/>
        <n v="603"/>
        <n v="478"/>
        <n v="78"/>
        <n v="439"/>
        <n v="122"/>
        <n v="298"/>
        <n v="30000"/>
        <n v="183"/>
        <n v="398"/>
        <n v="764"/>
        <n v="557"/>
        <n v="148"/>
        <n v="187"/>
        <n v="311"/>
        <n v="392"/>
        <n v="702"/>
        <n v="7"/>
        <n v="186"/>
        <n v="679"/>
        <n v="185"/>
        <n v="573"/>
        <n v="949"/>
        <n v="35"/>
        <n v="736"/>
        <n v="205"/>
        <n v="217"/>
        <n v="133"/>
        <n v="389"/>
        <n v="449"/>
        <n v="363"/>
        <n v="484"/>
        <n v="666"/>
        <n v="434"/>
        <n v="977"/>
        <n v="502"/>
        <n v="373"/>
        <n v="71"/>
        <n v="262"/>
        <n v="532"/>
        <n v="225"/>
        <n v="513"/>
        <n v="637"/>
        <n v="246"/>
        <n v="761"/>
        <n v="206"/>
        <n v="474"/>
        <n v="4"/>
        <n v="91"/>
        <n v="99"/>
        <n v="27"/>
        <n v="804"/>
        <n v="435"/>
        <n v="56"/>
        <n v="431"/>
        <n v="18"/>
        <n v="382"/>
        <n v="321"/>
        <n v="937"/>
        <n v="263"/>
        <n v="397"/>
        <n v="682"/>
        <n v="391"/>
        <n v="343"/>
        <n v="229"/>
        <n v="25"/>
        <n v="368"/>
        <n v="31"/>
        <n v="286"/>
        <n v="393"/>
        <n v="208"/>
        <n v="935"/>
        <n v="269"/>
        <n v="520"/>
        <n v="859"/>
        <n v="55"/>
        <n v="75"/>
        <n v="197"/>
        <n v="432"/>
        <n v="331"/>
        <n v="570"/>
        <n v="237"/>
        <n v="74"/>
        <n v="188"/>
        <n v="589"/>
        <n v="274"/>
        <n v="85"/>
        <n v="464"/>
        <n v="110"/>
        <n v="707"/>
        <n v="230"/>
        <n v="522"/>
        <n v="862"/>
        <n v="420"/>
        <n v="48"/>
        <n v="945"/>
        <n v="254"/>
        <n v="762"/>
        <n v="223"/>
        <n v="763"/>
        <n v="166"/>
        <n v="507"/>
        <n v="414"/>
        <n v="119"/>
        <n v="89"/>
        <n v="575"/>
        <n v="255"/>
        <n v="195"/>
        <n v="560"/>
        <n v="632"/>
        <n v="280"/>
        <n v="438"/>
        <n v="942"/>
        <n v="253"/>
        <n v="88"/>
        <n v="516"/>
        <n v="140"/>
        <n v="641"/>
        <n v="674"/>
        <n v="574"/>
        <n v="536"/>
        <n v="40"/>
        <n v="289"/>
        <n v="487"/>
        <n v="231"/>
        <n v="652"/>
        <n v="319"/>
        <n v="216"/>
        <n v="447"/>
        <n v="105"/>
        <n v="481"/>
        <n v="123"/>
        <n v="871"/>
        <n v="50"/>
        <n v="334"/>
        <n v="127"/>
        <n v="586"/>
        <n v="675"/>
        <n v="16"/>
        <n v="72"/>
        <n v="42"/>
        <n v="676"/>
        <n v="128"/>
        <n v="120"/>
        <n v="846"/>
        <n v="314"/>
        <n v="538"/>
        <n v="251"/>
        <n v="265"/>
        <n v="459"/>
        <n v="178"/>
        <n v="168"/>
        <n v="388"/>
        <n v="189"/>
        <n v="33"/>
        <n v="353"/>
        <n v="160"/>
        <n v="121"/>
        <n v="161"/>
        <n v="41"/>
        <n v="647"/>
        <n v="701"/>
        <n v="86"/>
        <n v="281"/>
        <n v="53"/>
        <n v="421"/>
        <n v="260000"/>
        <n v="38"/>
        <n v="199"/>
        <n v="501"/>
        <n v="87"/>
        <n v="282"/>
        <m/>
        <n v="34"/>
        <n v="498"/>
        <n v="511"/>
        <n v="14"/>
        <n v="12"/>
        <n v="266"/>
        <n v="43"/>
        <n v="356"/>
        <n v="202"/>
        <n v="612"/>
        <n v="245"/>
        <n v="406"/>
        <n v="102"/>
        <n v="724"/>
        <n v="590"/>
        <n v="96"/>
        <n v="458"/>
        <n v="224"/>
        <n v="335"/>
        <n v="92"/>
        <n v="657"/>
        <n v="938"/>
        <n v="284"/>
        <n v="418"/>
        <n v="49"/>
        <n v="247"/>
        <n v="312"/>
        <n v="108"/>
        <n v="80"/>
        <n v="602"/>
        <n v="587"/>
        <n v="407"/>
        <n v="196"/>
        <n v="54"/>
        <n v="69"/>
        <n v="980"/>
        <n v="342"/>
        <n v="239"/>
        <n v="322"/>
        <n v="466"/>
        <n v="8"/>
        <n v="22"/>
        <n v="361"/>
        <n v="58"/>
        <n v="59"/>
        <n v="169"/>
        <n v="470"/>
        <n v="615"/>
        <n v="359"/>
        <n v="47"/>
        <n v="19"/>
        <n v="375"/>
        <n v="318"/>
        <n v="644"/>
        <n v="156"/>
        <n v="360"/>
        <n v="250"/>
        <n v="793"/>
        <n v="100"/>
        <n v="135"/>
        <n v="337"/>
        <n v="236"/>
        <n v="81"/>
        <n v="814"/>
        <n v="728"/>
        <n v="77000"/>
        <n v="259"/>
        <n v="138"/>
        <n v="505"/>
        <n v="36"/>
        <n v="270"/>
        <n v="376"/>
        <n v="200"/>
        <n v="830"/>
        <n v="126"/>
        <n v="143"/>
        <n v="238"/>
        <n v="118"/>
        <n v="111"/>
        <n v="26"/>
        <n v="725"/>
        <n v="252"/>
        <n v="32"/>
        <n v="313"/>
        <n v="370"/>
        <n v="630"/>
        <n v="10"/>
        <n v="291"/>
      </sharedItems>
    </cacheField>
    <cacheField name="gross" numFmtId="0">
      <sharedItems containsString="0" containsBlank="1" containsNumber="1" containsInteger="1" minValue="162" maxValue="760505847" count="4036">
        <n v="760505847"/>
        <n v="309404152"/>
        <n v="200074175"/>
        <n v="448130642"/>
        <m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123070338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82506325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821997"/>
        <n v="169692572"/>
        <n v="60507228"/>
        <n v="56684819"/>
        <n v="50628009"/>
        <n v="69772969"/>
        <n v="45356386"/>
        <n v="55350897"/>
        <n v="39442871"/>
        <n v="37899638"/>
        <n v="37754208"/>
        <n v="2777988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90820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27550735"/>
        <n v="39380442"/>
        <n v="72980108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6821358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36965395"/>
        <n v="40559930"/>
        <n v="36830057"/>
        <n v="36279230"/>
        <n v="42194060"/>
        <n v="43119879"/>
        <n v="35096190"/>
        <n v="35754555"/>
        <n v="43290977"/>
        <n v="33927476"/>
        <n v="32122249"/>
        <n v="40076438"/>
        <n v="32940507"/>
        <n v="31670931"/>
        <n v="30695227"/>
        <n v="32522352"/>
        <n v="28424210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35092918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5621915"/>
        <n v="79948113"/>
        <n v="88658172"/>
        <n v="75888270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7994115"/>
        <n v="124107476"/>
        <n v="197171806"/>
        <n v="12802907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528972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60923325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50562555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12081447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463730"/>
        <n v="50693162"/>
        <n v="6498000"/>
        <n v="63411478"/>
        <n v="42640890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1877179"/>
        <n v="630779"/>
        <n v="5100937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225675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49186871"/>
        <n v="50921738"/>
        <n v="53021560"/>
        <n v="45645204"/>
        <n v="44328238"/>
        <n v="53337608"/>
        <n v="42643187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8165882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7501404"/>
        <n v="19316646"/>
        <n v="10965209"/>
        <n v="26830000"/>
        <n v="5300000"/>
        <n v="10880926"/>
        <n v="3752725"/>
        <n v="3517797"/>
        <n v="3101301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44087387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310118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30538669"/>
        <n v="25615792"/>
        <n v="28341469"/>
        <n v="25590119"/>
        <n v="24944213"/>
        <n v="33631221"/>
        <n v="37738400"/>
        <n v="24381334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331289"/>
        <n v="15045676"/>
        <n v="17427926"/>
        <n v="14983572"/>
        <n v="14637490"/>
        <n v="14589444"/>
        <n v="14095303"/>
        <n v="13973532"/>
        <n v="1865774"/>
        <n v="13920741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12495865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777589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3108216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829497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37721949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1573740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29062561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6870825"/>
        <n v="20916309"/>
        <n v="21200000"/>
        <n v="28876924"/>
        <n v="20207003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14359793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578382"/>
        <n v="305070"/>
        <n v="206678"/>
        <n v="146072"/>
        <n v="1183354"/>
        <n v="121972"/>
        <n v="263365"/>
        <n v="54734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5308553"/>
        <n v="2119994"/>
        <n v="1292527"/>
        <n v="560512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4806750"/>
        <n v="3707794"/>
        <n v="3203044"/>
        <n v="4435083"/>
        <n v="2222647"/>
        <n v="3500000"/>
        <n v="676698"/>
        <n v="3419967"/>
        <n v="145118"/>
        <n v="229311"/>
        <n v="63260"/>
        <n v="121463226"/>
        <n v="90485233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24708699"/>
        <n v="21160089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7070459"/>
        <n v="6855137"/>
        <n v="2694071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11540112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554566"/>
        <n v="50886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799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39100956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0353690"/>
        <n v="12801190"/>
        <n v="12549485"/>
        <n v="13766014"/>
        <n v="13034417"/>
        <n v="11632420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525161"/>
        <n v="3247816"/>
        <n v="2412045"/>
        <n v="2203641"/>
        <n v="1953732"/>
        <n v="1954202"/>
        <n v="1294640"/>
        <n v="819852"/>
        <n v="26435"/>
        <n v="1197786"/>
        <n v="529766"/>
        <n v="613556"/>
        <n v="353743"/>
        <n v="502028"/>
        <n v="102055"/>
        <n v="122288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5010192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550242"/>
        <n v="12610731"/>
        <n v="11204499"/>
        <n v="10397365"/>
        <n v="9402410"/>
        <n v="5990075"/>
        <n v="5459824"/>
        <n v="5108820"/>
        <n v="4741987"/>
        <n v="4291965"/>
        <n v="3100650"/>
        <n v="2474000"/>
        <n v="2656324"/>
        <n v="1000000"/>
        <n v="3958500"/>
        <n v="403649"/>
        <n v="274299"/>
        <n v="183088"/>
        <n v="46495"/>
        <n v="1752214"/>
        <n v="83025853"/>
        <n v="56631572"/>
        <n v="15854988"/>
        <n v="12282677"/>
        <n v="447093"/>
        <n v="7060876"/>
        <n v="14989761"/>
        <n v="687081"/>
        <n v="5501940"/>
        <n v="2086345"/>
        <n v="2605039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321573"/>
        <n v="17613460"/>
        <n v="21088568"/>
        <n v="17292381"/>
        <n v="16300302"/>
        <n v="27829874"/>
        <n v="13960203"/>
        <n v="12902790"/>
        <n v="21520719"/>
        <n v="12796277"/>
        <n v="11634362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793352"/>
        <n v="214202"/>
        <n v="195888"/>
        <n v="175370"/>
        <n v="190666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10230"/>
        <n v="90556401"/>
        <n v="93571803"/>
        <n v="72755517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540085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1165104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37897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5102127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857503"/>
        <n v="6712241"/>
        <n v="6842058"/>
        <n v="6491350"/>
        <n v="9473382"/>
        <n v="6197866"/>
        <n v="6044618"/>
        <n v="7764027"/>
        <n v="5998971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836641"/>
        <n v="598645"/>
        <n v="578527"/>
        <n v="488872"/>
        <n v="365734"/>
        <n v="231417"/>
        <n v="3093491"/>
        <n v="244465"/>
        <n v="756452"/>
        <n v="228524"/>
        <n v="226792"/>
        <n v="221210"/>
        <n v="136432"/>
        <n v="131617"/>
        <n v="152857"/>
        <n v="126247"/>
        <n v="82739"/>
        <n v="169379"/>
        <n v="15447"/>
        <n v="19348"/>
        <n v="100503"/>
        <n v="92900"/>
        <n v="140987"/>
        <n v="5561"/>
        <n v="3607"/>
        <n v="70527"/>
        <n v="11835"/>
        <n v="128486"/>
        <n v="16025394"/>
        <n v="2483955"/>
        <n v="57176582"/>
        <n v="43100000"/>
        <n v="225377"/>
        <n v="14114488"/>
        <n v="46300000"/>
        <n v="12899702"/>
        <n v="113155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90400000"/>
        <n v="16235293"/>
        <n v="11827301"/>
        <n v="10161099"/>
        <n v="6610326"/>
        <n v="6126237"/>
        <n v="6047856"/>
        <n v="4681503"/>
        <n v="4350774"/>
        <n v="3420871"/>
        <n v="2955039"/>
        <n v="1530535"/>
        <n v="4881867"/>
        <n v="1043487"/>
        <n v="770629"/>
        <n v="11860839"/>
        <n v="454255"/>
        <n v="349618"/>
        <n v="112935"/>
        <n v="883887"/>
        <n v="13751"/>
        <n v="145109"/>
        <n v="1046166"/>
        <n v="2874"/>
        <n v="174635000"/>
        <n v="171320"/>
        <n v="14373825"/>
        <n v="162"/>
        <n v="32222567"/>
        <n v="39462438"/>
        <n v="29200000"/>
        <n v="21564616"/>
        <n v="14879556"/>
        <n v="13569248"/>
        <n v="34017854"/>
        <n v="4273372"/>
        <n v="4440055"/>
        <n v="4018695"/>
        <n v="6262942"/>
        <n v="1997807"/>
        <n v="1207007"/>
        <n v="1829142"/>
        <n v="3827466"/>
        <n v="140244"/>
        <n v="107930000"/>
        <n v="76657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8811135"/>
        <n v="17278980"/>
        <n v="16699684"/>
        <n v="15047419"/>
        <n v="14015786"/>
        <n v="10269307"/>
        <n v="17536788"/>
        <n v="58401464"/>
        <n v="8880705"/>
        <n v="8279017"/>
        <n v="10106233"/>
        <n v="4692814"/>
        <n v="5018450"/>
        <n v="2596700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146083"/>
        <n v="298110"/>
        <n v="127144"/>
        <n v="117190"/>
        <n v="108662"/>
        <n v="53481"/>
        <n v="23106"/>
        <n v="52961"/>
        <n v="439162"/>
        <n v="50000"/>
        <n v="671240"/>
        <n v="10105505"/>
        <n v="882290"/>
        <n v="106593296"/>
        <n v="43490057"/>
        <n v="32333860"/>
        <n v="24792061"/>
        <n v="17544812"/>
        <n v="12574715"/>
        <n v="10281585"/>
        <n v="5100000"/>
        <n v="10460089"/>
        <n v="4239767"/>
        <n v="4131640"/>
        <n v="3347439"/>
        <n v="10814185"/>
        <n v="533344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1973840"/>
        <n v="37295394"/>
        <n v="31501218"/>
        <n v="28747570"/>
        <n v="25625110"/>
        <n v="25000000"/>
        <n v="21000000"/>
        <n v="20257000"/>
        <n v="26005908"/>
        <n v="1864231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2209479"/>
        <n v="1889522"/>
        <n v="1110286"/>
        <n v="700000"/>
        <n v="1768416"/>
        <n v="1425993"/>
        <n v="306715"/>
        <n v="382946"/>
        <n v="518134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2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674183"/>
        <n v="17508936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95000"/>
        <n v="4542775"/>
        <n v="3588432"/>
        <n v="4394936"/>
        <n v="3029081"/>
        <n v="3273588"/>
        <n v="2207975"/>
        <n v="2025238"/>
        <n v="1028337"/>
        <n v="2077046"/>
        <n v="267194"/>
        <n v="869325"/>
        <n v="399611"/>
        <n v="181798"/>
        <n v="115862"/>
        <n v="1346503"/>
        <n v="117560"/>
        <n v="54606"/>
        <n v="36497"/>
        <n v="23807"/>
        <n v="65804"/>
        <n v="3895664"/>
        <n v="20200"/>
        <n v="542860"/>
        <n v="15059"/>
        <n v="11905519"/>
        <n v="69582"/>
        <n v="32541719"/>
        <n v="3064356"/>
        <n v="7009668"/>
        <n v="352684"/>
        <n v="27024"/>
        <n v="531806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753501"/>
        <n v="22770"/>
        <n v="2197331"/>
        <n v="27445"/>
        <n v="766487"/>
        <n v="18434"/>
        <n v="1196752"/>
        <n v="795126"/>
        <n v="563699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19097994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6088249"/>
        <n v="5480318"/>
        <n v="5308707"/>
        <n v="5009677"/>
        <n v="4328294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240425"/>
        <n v="228830"/>
        <n v="223615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238774"/>
        <n v="8025872"/>
        <n v="778565"/>
        <n v="1340891"/>
        <n v="513836"/>
        <n v="434417"/>
        <n v="728"/>
        <n v="81200000"/>
        <n v="52700832"/>
        <n v="13060843"/>
        <n v="3798532"/>
        <n v="3609278"/>
        <n v="1687311"/>
        <n v="10429707"/>
        <n v="727883"/>
        <n v="1391770"/>
        <n v="713413"/>
        <n v="410241"/>
        <n v="278821"/>
        <n v="211667"/>
        <n v="706622"/>
        <n v="92191"/>
        <n v="49413"/>
        <n v="199652"/>
        <n v="181655"/>
        <n v="108229"/>
        <n v="112000000"/>
        <n v="8691"/>
        <n v="26345"/>
        <n v="6940281"/>
        <n v="188870"/>
        <n v="20772796"/>
        <n v="199228"/>
        <n v="2542264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0941801"/>
        <n v="15152879"/>
        <n v="25359200"/>
        <n v="10515579"/>
        <n v="10097096"/>
        <n v="9821335"/>
        <n v="8243880"/>
        <n v="7825820"/>
        <n v="7557877"/>
        <n v="7159147"/>
        <n v="17314483"/>
        <n v="6525762"/>
        <n v="4613815"/>
        <n v="4301331"/>
        <n v="4046737"/>
        <n v="3713002"/>
        <n v="3468572"/>
        <n v="2892582"/>
        <n v="2800000"/>
        <n v="2426851"/>
        <n v="1325073"/>
        <n v="864959"/>
        <n v="2601847"/>
        <n v="1429260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04137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17311"/>
        <n v="610968"/>
        <n v="8108247"/>
        <n v="7680"/>
        <n v="3766595"/>
        <n v="2277396"/>
        <n v="6517198"/>
        <n v="5776314"/>
        <n v="51100000"/>
        <n v="16501785"/>
        <n v="38168022"/>
        <n v="84749884"/>
        <n v="24788807"/>
        <n v="21244913"/>
        <n v="377420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229094"/>
        <n v="10017041"/>
        <n v="9016377"/>
        <n v="7059537"/>
        <n v="8114507"/>
        <n v="7888703"/>
        <n v="7282851"/>
        <n v="6879730"/>
        <n v="5844929"/>
        <n v="3222857"/>
        <n v="4170647"/>
        <n v="4142507"/>
        <n v="4109095"/>
        <n v="4033268"/>
        <n v="3902679"/>
        <n v="3559990"/>
        <n v="3287435"/>
        <n v="3071947"/>
        <n v="2961991"/>
        <n v="4063238"/>
        <n v="2912363"/>
        <n v="3000000"/>
        <n v="2223990"/>
        <n v="1821983"/>
        <n v="2181290"/>
        <n v="2848578"/>
        <n v="703002"/>
        <n v="3105269"/>
        <n v="252726"/>
        <n v="373060"/>
        <n v="1007535"/>
        <n v="418268"/>
        <n v="200803"/>
        <n v="95016"/>
        <n v="73678"/>
        <n v="143000"/>
        <n v="39852"/>
        <n v="22000"/>
        <n v="128937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826455"/>
        <n v="3130592"/>
        <n v="475000"/>
        <n v="2276368"/>
        <n v="38108"/>
        <n v="40041683"/>
        <n v="33349949"/>
        <n v="25809813"/>
        <n v="14400000"/>
        <n v="32230907"/>
        <n v="6401336"/>
        <n v="26781723"/>
        <n v="5400000"/>
        <n v="1282084"/>
        <n v="1186323"/>
        <n v="1094998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438653"/>
        <n v="327919"/>
        <n v="178739"/>
        <n v="565592"/>
        <n v="27012"/>
        <n v="21300000"/>
        <n v="379643"/>
        <n v="12985267"/>
        <n v="23650000"/>
        <n v="510092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6003587"/>
        <n v="5792822"/>
        <n v="5383834"/>
        <n v="4599680"/>
        <n v="6531491"/>
        <n v="4581222"/>
        <n v="3885134"/>
        <n v="4311834"/>
        <n v="3590010"/>
        <n v="3300230"/>
        <n v="3335839"/>
        <n v="2557668"/>
        <n v="2506446"/>
        <n v="7369373"/>
        <n v="1984378"/>
        <n v="2283276"/>
        <n v="1098224"/>
        <n v="1430185"/>
        <n v="1477002"/>
        <n v="1134049"/>
        <n v="977600"/>
        <n v="653621"/>
        <n v="110000"/>
        <n v="444354"/>
        <n v="535249"/>
        <n v="371081"/>
        <n v="347578"/>
        <n v="124494"/>
        <n v="120620"/>
        <n v="100669"/>
        <n v="186354"/>
        <n v="55202"/>
        <n v="549632"/>
        <n v="137945"/>
        <n v="17580"/>
        <n v="12667"/>
        <n v="198407"/>
        <n v="5824"/>
        <n v="2843"/>
        <n v="4958"/>
        <n v="13220"/>
        <n v="7927"/>
        <n v="2436"/>
        <n v="4556"/>
        <n v="4600000"/>
        <n v="1420578"/>
        <n v="1028658"/>
        <n v="466702"/>
        <n v="18435"/>
        <n v="95236"/>
        <n v="2957978"/>
        <n v="444044"/>
        <n v="40990055"/>
        <n v="1445366"/>
        <n v="5709616"/>
        <n v="12784397"/>
        <n v="3050934"/>
        <n v="841206"/>
        <n v="638476"/>
        <n v="505295"/>
        <n v="7267324"/>
        <n v="145540"/>
        <n v="12589108"/>
        <n v="35918429"/>
        <n v="92401"/>
        <n v="1943649"/>
        <n v="992238"/>
        <n v="4231500"/>
        <n v="396035"/>
        <n v="2507106"/>
        <n v="6026908"/>
        <n v="2592808"/>
        <n v="1060591"/>
        <n v="155972"/>
        <n v="129319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2408553"/>
        <n v="712294"/>
        <n v="3447339"/>
        <n v="418953"/>
        <n v="406035"/>
        <n v="402820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231186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24774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23808111"/>
        <n v="5355376"/>
        <n v="7186670"/>
        <n v="5997134"/>
        <n v="4417124"/>
        <n v="5355847"/>
        <n v="3386698"/>
        <n v="5283379"/>
        <n v="2981638"/>
        <n v="3122616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750100"/>
        <n v="621240"/>
        <n v="104077"/>
        <n v="334658"/>
        <n v="279282"/>
        <n v="484221"/>
        <n v="274661"/>
        <n v="144431"/>
        <n v="227241"/>
        <n v="112521"/>
        <n v="287761"/>
        <n v="100240"/>
        <n v="96734"/>
        <n v="49000"/>
        <n v="100659"/>
        <n v="48430"/>
        <n v="21210"/>
        <n v="22434"/>
        <n v="12996"/>
        <n v="10018"/>
        <n v="62480"/>
        <n v="6387"/>
        <n v="5494"/>
        <n v="721"/>
        <n v="703"/>
        <n v="9600000"/>
        <n v="20186"/>
        <n v="1185783"/>
        <n v="1007962"/>
        <n v="381186"/>
        <n v="439958"/>
        <n v="16097842"/>
        <n v="6643"/>
        <n v="102797150"/>
        <n v="442638"/>
        <n v="819939"/>
        <n v="1243961"/>
        <n v="3094687"/>
        <n v="15278"/>
        <n v="7098492"/>
        <n v="4771000"/>
        <n v="1001437"/>
        <n v="2073984"/>
        <n v="9950"/>
        <n v="144583"/>
        <n v="58163"/>
        <n v="35688"/>
        <n v="41709"/>
        <n v="1310270"/>
        <n v="115000000"/>
        <n v="5518918"/>
        <n v="4007792"/>
        <n v="7705974"/>
        <n v="26297"/>
        <n v="77501"/>
        <n v="47329"/>
        <n v="18378"/>
        <n v="7830611"/>
        <n v="3278611"/>
        <n v="1141829"/>
        <n v="2694973"/>
        <n v="10508"/>
        <n v="2301777"/>
        <n v="169719"/>
        <n v="140530114"/>
        <n v="13300000"/>
        <n v="171988"/>
        <n v="23616"/>
        <n v="13493"/>
        <n v="79043"/>
        <n v="515005"/>
        <n v="2245"/>
        <n v="33451479"/>
        <n v="39552600"/>
        <n v="30500882"/>
        <n v="17000000"/>
        <n v="8044906"/>
        <n v="5739376"/>
        <n v="3773863"/>
        <n v="3117666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342936"/>
        <n v="151389"/>
        <n v="269061"/>
        <n v="133778"/>
        <n v="52850"/>
        <n v="98017"/>
        <n v="31937"/>
        <n v="13134"/>
        <n v="237301"/>
        <n v="12055"/>
        <n v="1332"/>
        <n v="31684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93295"/>
        <n v="1229197"/>
        <n v="1689999"/>
        <n v="11798"/>
        <n v="592014"/>
        <n v="425899"/>
        <n v="126387"/>
        <n v="80276912"/>
        <n v="25918"/>
        <n v="617172"/>
        <n v="2808000"/>
        <n v="12843"/>
        <n v="34151"/>
        <n v="1523883"/>
        <n v="4000000"/>
        <n v="84689"/>
        <n v="246574"/>
        <n v="110197"/>
        <n v="7707563"/>
        <n v="1281176"/>
        <n v="16115878"/>
        <n v="1652472"/>
        <n v="2360184"/>
        <n v="255352"/>
        <n v="856942"/>
        <n v="32631"/>
        <n v="16892"/>
        <n v="12438"/>
        <n v="40542"/>
        <n v="5199"/>
        <n v="1711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7111"/>
        <n v="49494"/>
        <n v="45661"/>
        <n v="18195"/>
        <n v="104792"/>
        <n v="111300"/>
        <n v="1027119"/>
        <n v="4505922"/>
        <n v="381225"/>
        <n v="2428241"/>
        <n v="78030"/>
        <n v="59774"/>
        <n v="174682"/>
        <n v="215185"/>
        <n v="140016"/>
        <n v="15542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405614"/>
        <n v="1573712"/>
        <n v="10174663"/>
        <n v="22757819"/>
        <n v="5228617"/>
        <n v="2643689"/>
        <n v="110536"/>
        <n v="59379"/>
        <n v="3216970"/>
        <n v="33598"/>
        <n v="536767"/>
        <n v="11529368"/>
        <n v="40557"/>
        <n v="30084"/>
        <n v="10246600"/>
        <n v="389804"/>
        <n v="241816"/>
        <n v="277233"/>
        <n v="321952"/>
        <n v="24705"/>
        <n v="243768"/>
        <n v="9609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10443"/>
        <n v="85222"/>
      </sharedItems>
    </cacheField>
    <cacheField name="genres" numFmtId="0">
      <sharedItems count="914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</sharedItems>
    </cacheField>
    <cacheField name="actor_1_name" numFmtId="0">
      <sharedItems containsBlank="1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actor_2_name" numFmtId="0">
      <sharedItems containsBlank="1" count="3033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3_name" numFmtId="0">
      <sharedItems containsBlank="1" count="3522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movie_title" numFmtId="0">
      <sharedItems count="4916"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            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            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            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</sharedItems>
    </cacheField>
    <cacheField name="num_voted_users" numFmtId="0">
      <sharedItems containsSemiMixedTypes="0" containsString="0" containsNumber="1" containsInteger="1" minValue="5" maxValue="1689764" count="4826">
        <n v="886204"/>
        <n v="471220"/>
        <n v="275868"/>
        <n v="1144337"/>
        <n v="8"/>
        <n v="212204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62836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2138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374"/>
        <n v="637246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6769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381"/>
        <n v="67223"/>
        <n v="172754"/>
        <n v="444683"/>
        <n v="91640"/>
        <n v="809474"/>
        <n v="252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20567"/>
        <n v="55994"/>
        <n v="37750"/>
        <n v="167085"/>
        <n v="582917"/>
        <n v="62271"/>
        <n v="17533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5402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6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57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59910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19228"/>
        <n v="70838"/>
        <n v="273921"/>
        <n v="77029"/>
        <n v="39391"/>
        <n v="71424"/>
        <n v="203458"/>
        <n v="246492"/>
        <n v="2993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27838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13483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666"/>
        <n v="56501"/>
        <n v="11427"/>
        <n v="27543"/>
        <n v="103787"/>
        <n v="22955"/>
        <n v="155532"/>
        <n v="71574"/>
        <n v="83560"/>
        <n v="80639"/>
        <n v="98472"/>
        <n v="172217"/>
        <n v="979"/>
        <n v="55913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230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36919"/>
        <n v="16271"/>
        <n v="49536"/>
        <n v="88451"/>
        <n v="132415"/>
        <n v="55901"/>
        <n v="29450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35510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49049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5116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27481"/>
        <n v="174248"/>
        <n v="80338"/>
        <n v="128629"/>
        <n v="88132"/>
        <n v="15114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41776"/>
        <n v="23940"/>
        <n v="104831"/>
        <n v="166610"/>
        <n v="60508"/>
        <n v="49300"/>
        <n v="67707"/>
        <n v="1347461"/>
        <n v="46951"/>
        <n v="8739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99989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26404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113295"/>
        <n v="41727"/>
        <n v="10883"/>
        <n v="42144"/>
        <n v="41259"/>
        <n v="58450"/>
        <n v="76560"/>
        <n v="47954"/>
        <n v="75201"/>
        <n v="19176"/>
        <n v="69319"/>
        <n v="73368"/>
        <n v="54314"/>
        <n v="44099"/>
        <n v="45296"/>
        <n v="207287"/>
        <n v="2751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212"/>
        <n v="18209"/>
        <n v="479047"/>
        <n v="16260"/>
        <n v="325264"/>
        <n v="47968"/>
        <n v="24420"/>
        <n v="82819"/>
        <n v="15517"/>
        <n v="92106"/>
        <n v="27664"/>
        <n v="27019"/>
        <n v="29523"/>
        <n v="159931"/>
        <n v="131447"/>
        <n v="28807"/>
        <n v="80025"/>
        <n v="259519"/>
        <n v="70681"/>
        <n v="78343"/>
        <n v="38298"/>
        <n v="87745"/>
        <n v="28099"/>
        <n v="26992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63982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67822"/>
        <n v="19706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15740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11003"/>
        <n v="186879"/>
        <n v="58412"/>
        <n v="71153"/>
        <n v="375456"/>
        <n v="58961"/>
        <n v="27548"/>
        <n v="283563"/>
        <n v="91176"/>
        <n v="200647"/>
        <n v="43328"/>
        <n v="791783"/>
        <n v="81444"/>
        <n v="182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4438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7945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33535"/>
        <n v="58015"/>
        <n v="9227"/>
        <n v="113483"/>
        <n v="67796"/>
        <n v="34730"/>
        <n v="34964"/>
        <n v="15880"/>
        <n v="8070"/>
        <n v="81800"/>
        <n v="19824"/>
        <n v="77684"/>
        <n v="50391"/>
        <n v="14429"/>
        <n v="90932"/>
        <n v="170684"/>
        <n v="515306"/>
        <n v="70886"/>
        <n v="172965"/>
        <n v="120202"/>
        <n v="206104"/>
        <n v="1263"/>
        <n v="137854"/>
        <n v="40568"/>
        <n v="93367"/>
        <n v="148490"/>
        <n v="64595"/>
        <n v="81888"/>
        <n v="12771"/>
        <n v="237872"/>
        <n v="133436"/>
        <n v="71708"/>
        <n v="122347"/>
        <n v="5639"/>
        <n v="47819"/>
        <n v="73068"/>
        <n v="22447"/>
        <n v="172489"/>
        <n v="54057"/>
        <n v="8693"/>
        <n v="11913"/>
        <n v="98199"/>
        <n v="47573"/>
        <n v="218771"/>
        <n v="97838"/>
        <n v="45729"/>
        <n v="40126"/>
        <n v="220392"/>
        <n v="2581"/>
        <n v="491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5888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03461"/>
        <n v="27648"/>
        <n v="11388"/>
        <n v="23996"/>
        <n v="132423"/>
        <n v="26551"/>
        <n v="15697"/>
        <n v="36455"/>
        <n v="48245"/>
        <n v="17307"/>
        <n v="19114"/>
        <n v="15762"/>
        <n v="3803"/>
        <n v="89568"/>
        <n v="4377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1558"/>
        <n v="24657"/>
        <n v="187181"/>
        <n v="590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147317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81334"/>
        <n v="192462"/>
        <n v="30394"/>
        <n v="104119"/>
        <n v="104564"/>
        <n v="68159"/>
        <n v="84382"/>
        <n v="10132"/>
        <n v="83788"/>
        <n v="29968"/>
        <n v="95860"/>
        <n v="36223"/>
        <n v="8495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7794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5790"/>
        <n v="3789"/>
        <n v="136580"/>
        <n v="62756"/>
        <n v="114925"/>
        <n v="32412"/>
        <n v="272227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38383"/>
        <n v="2169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6691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4387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2185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1641"/>
        <n v="30771"/>
        <n v="16323"/>
        <n v="53115"/>
        <n v="497946"/>
        <n v="8143"/>
        <n v="94456"/>
        <n v="168314"/>
        <n v="102728"/>
        <n v="86205"/>
        <n v="43991"/>
        <n v="105478"/>
        <n v="40964"/>
        <n v="48621"/>
        <n v="38017"/>
        <n v="54346"/>
        <n v="28257"/>
        <n v="31751"/>
        <n v="16193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11482"/>
        <n v="23351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70568"/>
        <n v="10410"/>
        <n v="23181"/>
        <n v="11747"/>
        <n v="28584"/>
        <n v="9852"/>
        <n v="4885"/>
        <n v="11101"/>
        <n v="68885"/>
        <n v="28848"/>
        <n v="219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6255"/>
        <n v="181879"/>
        <n v="27580"/>
        <n v="66941"/>
        <n v="4265"/>
        <n v="49312"/>
        <n v="45394"/>
        <n v="115649"/>
        <n v="22220"/>
        <n v="124242"/>
        <n v="50919"/>
        <n v="83097"/>
        <n v="24826"/>
        <n v="681857"/>
        <n v="62770"/>
        <n v="189812"/>
        <n v="62198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25193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3088"/>
        <n v="450676"/>
        <n v="50523"/>
        <n v="30230"/>
        <n v="17319"/>
        <n v="52339"/>
        <n v="264047"/>
        <n v="69534"/>
        <n v="475518"/>
        <n v="30339"/>
        <n v="50389"/>
        <n v="81866"/>
        <n v="69790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42746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2570"/>
        <n v="192930"/>
        <n v="74630"/>
        <n v="39306"/>
        <n v="25484"/>
        <n v="188785"/>
        <n v="34910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135643"/>
        <n v="33067"/>
        <n v="12466"/>
        <n v="111117"/>
        <n v="148327"/>
        <n v="31984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21086"/>
        <n v="2308"/>
        <n v="52069"/>
        <n v="25558"/>
        <n v="101888"/>
        <n v="221000"/>
        <n v="54147"/>
        <n v="29715"/>
        <n v="9004"/>
        <n v="3926"/>
        <n v="23864"/>
        <n v="8215"/>
        <n v="38503"/>
        <n v="136104"/>
        <n v="4670"/>
        <n v="9214"/>
        <n v="36487"/>
        <n v="52972"/>
        <n v="4599"/>
        <n v="10175"/>
        <n v="3279"/>
        <n v="12410"/>
        <n v="393"/>
        <n v="14618"/>
        <n v="3302"/>
        <n v="97697"/>
        <n v="188637"/>
        <n v="20839"/>
        <n v="44816"/>
        <n v="16222"/>
        <n v="88682"/>
        <n v="71596"/>
        <n v="14315"/>
        <n v="16984"/>
        <n v="9913"/>
        <n v="8134"/>
        <n v="28632"/>
        <n v="92850"/>
        <n v="260939"/>
        <n v="119928"/>
        <n v="329969"/>
        <n v="14005"/>
        <n v="59232"/>
        <n v="2167"/>
        <n v="130094"/>
        <n v="592582"/>
        <n v="195255"/>
        <n v="182983"/>
        <n v="24663"/>
        <n v="36636"/>
        <n v="194422"/>
        <n v="61317"/>
        <n v="822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10369"/>
        <n v="44103"/>
        <n v="22250"/>
        <n v="29971"/>
        <n v="4288"/>
        <n v="43006"/>
        <n v="11476"/>
        <n v="23775"/>
        <n v="21606"/>
        <n v="61269"/>
        <n v="202967"/>
        <n v="10266"/>
        <n v="32103"/>
        <n v="74374"/>
        <n v="298590"/>
        <n v="74476"/>
        <n v="10791"/>
        <n v="12980"/>
        <n v="64625"/>
        <n v="47203"/>
        <n v="38177"/>
        <n v="55513"/>
        <n v="15352"/>
        <n v="106221"/>
        <n v="50653"/>
        <n v="142448"/>
        <n v="22304"/>
        <n v="6476"/>
        <n v="144021"/>
        <n v="42761"/>
        <n v="262153"/>
        <n v="45271"/>
        <n v="34488"/>
        <n v="99557"/>
        <n v="156929"/>
        <n v="61777"/>
        <n v="3446"/>
        <n v="19568"/>
        <n v="8309"/>
        <n v="60555"/>
        <n v="16555"/>
        <n v="17436"/>
        <n v="15866"/>
        <n v="19611"/>
        <n v="42876"/>
        <n v="14612"/>
        <n v="49405"/>
        <n v="23767"/>
        <n v="4257"/>
        <n v="926"/>
        <n v="84209"/>
        <n v="96693"/>
        <n v="313797"/>
        <n v="175524"/>
        <n v="87950"/>
        <n v="107801"/>
        <n v="255257"/>
        <n v="57958"/>
        <n v="54096"/>
        <n v="62037"/>
        <n v="133415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8118"/>
        <n v="31798"/>
        <n v="5006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3170"/>
        <n v="89101"/>
        <n v="2863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80958"/>
        <n v="102861"/>
        <n v="76882"/>
        <n v="110390"/>
        <n v="174591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13194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60202"/>
        <n v="10161"/>
        <n v="1689764"/>
        <n v="19699"/>
        <n v="63459"/>
        <n v="48559"/>
        <n v="19737"/>
        <n v="58297"/>
        <n v="32507"/>
        <n v="36108"/>
        <n v="41310"/>
        <n v="7968"/>
        <n v="104356"/>
        <n v="74691"/>
        <n v="40776"/>
        <n v="72673"/>
        <n v="109855"/>
        <n v="162067"/>
        <n v="12263"/>
        <n v="8398"/>
        <n v="5817"/>
        <n v="4086"/>
        <n v="22289"/>
        <n v="76303"/>
        <n v="60062"/>
        <n v="9361"/>
        <n v="16411"/>
        <n v="171151"/>
        <n v="15814"/>
        <n v="11211"/>
        <n v="87682"/>
        <n v="59900"/>
        <n v="20823"/>
        <n v="16995"/>
        <n v="39357"/>
        <n v="15531"/>
        <n v="23664"/>
        <n v="23696"/>
        <n v="43903"/>
        <n v="21098"/>
        <n v="92464"/>
        <n v="5525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3334"/>
        <n v="4875"/>
        <n v="11375"/>
        <n v="44198"/>
        <n v="115650"/>
        <n v="24790"/>
        <n v="3229"/>
        <n v="59462"/>
        <n v="30628"/>
        <n v="96480"/>
        <n v="14982"/>
        <n v="7100"/>
        <n v="5841"/>
        <n v="9264"/>
        <n v="69676"/>
        <n v="64944"/>
        <n v="5385"/>
        <n v="18395"/>
        <n v="2395"/>
        <n v="753"/>
        <n v="891"/>
        <n v="80861"/>
        <n v="34338"/>
        <n v="5911"/>
        <n v="5900"/>
        <n v="1084"/>
        <n v="52846"/>
        <n v="33107"/>
        <n v="61621"/>
        <n v="162130"/>
        <n v="33958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265"/>
        <n v="2541"/>
        <n v="2919"/>
        <n v="80574"/>
        <n v="214091"/>
        <n v="386217"/>
        <n v="316020"/>
        <n v="119450"/>
        <n v="837759"/>
        <n v="172405"/>
        <n v="83269"/>
        <n v="181058"/>
        <n v="188652"/>
        <n v="193962"/>
        <n v="19709"/>
        <n v="355126"/>
        <n v="32513"/>
        <n v="53415"/>
        <n v="4191"/>
        <n v="14786"/>
        <n v="3914"/>
        <n v="72646"/>
        <n v="30840"/>
        <n v="20163"/>
        <n v="3174"/>
        <n v="17740"/>
        <n v="14473"/>
        <n v="60115"/>
        <n v="32003"/>
        <n v="4693"/>
        <n v="8924"/>
        <n v="1781"/>
        <n v="17373"/>
        <n v="6263"/>
        <n v="209396"/>
        <n v="136667"/>
        <n v="53341"/>
        <n v="154199"/>
        <n v="247289"/>
        <n v="64742"/>
        <n v="26434"/>
        <n v="44021"/>
        <n v="54631"/>
        <n v="47383"/>
        <n v="171726"/>
        <n v="52894"/>
        <n v="48909"/>
        <n v="121937"/>
        <n v="15448"/>
        <n v="208092"/>
        <n v="62584"/>
        <n v="52888"/>
        <n v="13455"/>
        <n v="41239"/>
        <n v="59805"/>
        <n v="2587"/>
        <n v="33287"/>
        <n v="15665"/>
        <n v="31227"/>
        <n v="128593"/>
        <n v="263336"/>
        <n v="25462"/>
        <n v="60926"/>
        <n v="18900"/>
        <n v="82804"/>
        <n v="7242"/>
        <n v="56813"/>
        <n v="35018"/>
        <n v="2253"/>
        <n v="1547"/>
        <n v="8176"/>
        <n v="26767"/>
        <n v="31433"/>
        <n v="59507"/>
        <n v="21394"/>
        <n v="29322"/>
        <n v="16831"/>
        <n v="48873"/>
        <n v="9513"/>
        <n v="34985"/>
        <n v="5166"/>
        <n v="83171"/>
        <n v="133367"/>
        <n v="12278"/>
        <n v="69980"/>
        <n v="6920"/>
        <n v="67893"/>
        <n v="19832"/>
        <n v="162037"/>
        <n v="89547"/>
        <n v="25086"/>
        <n v="22649"/>
        <n v="533607"/>
        <n v="52533"/>
        <n v="6067"/>
        <n v="237248"/>
        <n v="80556"/>
        <n v="13065"/>
        <n v="4398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186984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82476"/>
        <n v="4654"/>
        <n v="50415"/>
        <n v="13324"/>
        <n v="61114"/>
        <n v="11634"/>
        <n v="25960"/>
        <n v="62364"/>
        <n v="13319"/>
        <n v="141663"/>
        <n v="18915"/>
        <n v="1922"/>
        <n v="89687"/>
        <n v="195333"/>
        <n v="40469"/>
        <n v="38658"/>
        <n v="5427"/>
        <n v="49680"/>
        <n v="28005"/>
        <n v="18481"/>
        <n v="79461"/>
        <n v="19126"/>
        <n v="39095"/>
        <n v="243799"/>
        <n v="54242"/>
        <n v="99236"/>
        <n v="136048"/>
        <n v="35131"/>
        <n v="42315"/>
        <n v="50337"/>
        <n v="9352"/>
        <n v="136673"/>
        <n v="12276"/>
        <n v="75920"/>
        <n v="55008"/>
        <n v="90677"/>
        <n v="23424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22604"/>
        <n v="5332"/>
        <n v="34774"/>
        <n v="4303"/>
        <n v="50198"/>
        <n v="42664"/>
        <n v="12417"/>
        <n v="422432"/>
        <n v="36983"/>
        <n v="31323"/>
        <n v="20539"/>
        <n v="2061"/>
        <n v="33597"/>
        <n v="18366"/>
        <n v="426359"/>
        <n v="26100"/>
        <n v="49888"/>
        <n v="219091"/>
        <n v="4180"/>
        <n v="9105"/>
        <n v="99353"/>
        <n v="114"/>
        <n v="3875"/>
        <n v="68119"/>
        <n v="189683"/>
        <n v="13210"/>
        <n v="348010"/>
        <n v="14147"/>
        <n v="23076"/>
        <n v="35137"/>
        <n v="6484"/>
        <n v="20186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3454"/>
        <n v="61935"/>
        <n v="3851"/>
        <n v="7894"/>
        <n v="15612"/>
        <n v="59248"/>
        <n v="15169"/>
        <n v="18571"/>
        <n v="10037"/>
        <n v="15978"/>
        <n v="80617"/>
        <n v="89383"/>
        <n v="24997"/>
        <n v="37626"/>
        <n v="11958"/>
        <n v="29649"/>
        <n v="45799"/>
        <n v="6904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14015"/>
        <n v="7976"/>
        <n v="13727"/>
        <n v="2613"/>
        <n v="41249"/>
        <n v="3843"/>
        <n v="11391"/>
        <n v="7147"/>
        <n v="13026"/>
        <n v="9868"/>
        <n v="18"/>
        <n v="6147"/>
        <n v="20821"/>
        <n v="118"/>
        <n v="5154"/>
        <n v="25450"/>
        <n v="5203"/>
        <n v="102"/>
        <n v="50"/>
        <n v="178"/>
        <n v="21833"/>
        <n v="43879"/>
        <n v="77656"/>
        <n v="29602"/>
        <n v="186485"/>
        <n v="160418"/>
        <n v="30213"/>
        <n v="62861"/>
        <n v="222018"/>
        <n v="65512"/>
        <n v="610333"/>
        <n v="732212"/>
        <n v="45317"/>
        <n v="8346"/>
        <n v="60"/>
        <n v="77987"/>
        <n v="57479"/>
        <n v="53977"/>
        <n v="29"/>
        <n v="2855"/>
        <n v="93272"/>
        <n v="417971"/>
        <n v="1904"/>
        <n v="17982"/>
        <n v="98741"/>
        <n v="72715"/>
        <n v="71276"/>
        <n v="6156"/>
        <n v="43867"/>
        <n v="5147"/>
        <n v="1153"/>
        <n v="3536"/>
        <n v="550"/>
        <n v="80903"/>
        <n v="143251"/>
        <n v="78883"/>
        <n v="625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101889"/>
        <n v="29621"/>
        <n v="46492"/>
        <n v="35514"/>
        <n v="17277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27629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6091"/>
        <n v="31359"/>
        <n v="25165"/>
        <n v="27882"/>
        <n v="12854"/>
        <n v="52958"/>
        <n v="436"/>
        <n v="10082"/>
        <n v="26730"/>
        <n v="13359"/>
        <n v="14324"/>
        <n v="10111"/>
        <n v="899"/>
        <n v="49669"/>
        <n v="4510"/>
        <n v="14325"/>
        <n v="30215"/>
        <n v="48162"/>
        <n v="422606"/>
        <n v="9544"/>
        <n v="5693"/>
        <n v="67653"/>
        <n v="45900"/>
        <n v="264533"/>
        <n v="140780"/>
        <n v="1633"/>
        <n v="13133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264186"/>
        <n v="48458"/>
        <n v="64190"/>
        <n v="129719"/>
        <n v="11815"/>
        <n v="23480"/>
        <n v="7991"/>
        <n v="8522"/>
        <n v="213898"/>
        <n v="12993"/>
        <n v="50656"/>
        <n v="10885"/>
        <n v="9104"/>
        <n v="2045"/>
        <n v="52852"/>
        <n v="4550"/>
        <n v="125016"/>
        <n v="15033"/>
        <n v="22639"/>
        <n v="33570"/>
        <n v="4600"/>
        <n v="88590"/>
        <n v="3222"/>
        <n v="4081"/>
        <n v="295375"/>
        <n v="1275"/>
        <n v="16234"/>
        <n v="13762"/>
        <n v="32671"/>
        <n v="10706"/>
        <n v="370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210"/>
        <n v="7392"/>
        <n v="9566"/>
        <n v="29147"/>
        <n v="41664"/>
        <n v="28736"/>
        <n v="352695"/>
        <n v="16582"/>
        <n v="198111"/>
        <n v="18041"/>
        <n v="13661"/>
        <n v="25549"/>
        <n v="92712"/>
        <n v="11768"/>
        <n v="24256"/>
        <n v="113963"/>
        <n v="21079"/>
        <n v="178731"/>
        <n v="51996"/>
        <n v="2385"/>
        <n v="5237"/>
        <n v="8217"/>
        <n v="21613"/>
        <n v="30682"/>
        <n v="98629"/>
        <n v="24104"/>
        <n v="8687"/>
        <n v="20616"/>
        <n v="5321"/>
        <n v="92640"/>
        <n v="18271"/>
        <n v="30587"/>
        <n v="5664"/>
        <n v="45449"/>
        <n v="7444"/>
        <n v="155249"/>
        <n v="12817"/>
        <n v="21370"/>
        <n v="5312"/>
        <n v="19164"/>
        <n v="8624"/>
        <n v="1033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18058"/>
        <n v="6723"/>
        <n v="60988"/>
        <n v="2659"/>
        <n v="62"/>
        <n v="467613"/>
        <n v="18140"/>
        <n v="12974"/>
        <n v="32002"/>
        <n v="134869"/>
        <n v="71183"/>
        <n v="77724"/>
        <n v="85333"/>
        <n v="189413"/>
        <n v="9811"/>
        <n v="36624"/>
        <n v="139749"/>
        <n v="34711"/>
        <n v="29008"/>
        <n v="232577"/>
        <n v="67604"/>
        <n v="64747"/>
        <n v="29867"/>
        <n v="92074"/>
        <n v="13442"/>
        <n v="69576"/>
        <n v="80305"/>
        <n v="181025"/>
        <n v="39782"/>
        <n v="26846"/>
        <n v="265507"/>
        <n v="15939"/>
        <n v="27044"/>
        <n v="192775"/>
        <n v="36372"/>
        <n v="86664"/>
        <n v="38248"/>
        <n v="26905"/>
        <n v="229687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2673"/>
        <n v="16340"/>
        <n v="4603"/>
        <n v="106111"/>
        <n v="55665"/>
        <n v="19768"/>
        <n v="30643"/>
        <n v="9294"/>
        <n v="9649"/>
        <n v="13692"/>
        <n v="2724"/>
        <n v="53471"/>
        <n v="7159"/>
        <n v="7403"/>
        <n v="152306"/>
        <n v="7122"/>
        <n v="537419"/>
        <n v="52421"/>
        <n v="17261"/>
        <n v="24150"/>
        <n v="8055"/>
        <n v="26598"/>
        <n v="18966"/>
        <n v="1465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15388"/>
        <n v="36145"/>
        <n v="109873"/>
        <n v="3828"/>
        <n v="42792"/>
        <n v="4996"/>
        <n v="69569"/>
        <n v="1933"/>
        <n v="6690"/>
        <n v="111841"/>
        <n v="55928"/>
        <n v="22345"/>
        <n v="9427"/>
        <n v="20730"/>
        <n v="31589"/>
        <n v="24570"/>
        <n v="64777"/>
        <n v="2699"/>
        <n v="47574"/>
        <n v="609"/>
        <n v="2236"/>
        <n v="7519"/>
        <n v="3425"/>
        <n v="4006"/>
        <n v="41638"/>
        <n v="5018"/>
        <n v="80"/>
        <n v="9177"/>
        <n v="695"/>
        <n v="437418"/>
        <n v="38202"/>
        <n v="167750"/>
        <n v="12937"/>
        <n v="993"/>
        <n v="277505"/>
        <n v="18646"/>
        <n v="641997"/>
        <n v="55101"/>
        <n v="213476"/>
        <n v="10"/>
        <n v="44096"/>
        <n v="1554"/>
        <n v="76842"/>
        <n v="69733"/>
        <n v="45603"/>
        <n v="172493"/>
        <n v="19505"/>
        <n v="76477"/>
        <n v="5563"/>
        <n v="47814"/>
        <n v="6352"/>
        <n v="15730"/>
        <n v="15047"/>
        <n v="82327"/>
        <n v="3135"/>
        <n v="8904"/>
        <n v="9693"/>
        <n v="17262"/>
        <n v="16294"/>
        <n v="22207"/>
        <n v="24038"/>
        <n v="56338"/>
        <n v="5721"/>
        <n v="11729"/>
        <n v="9323"/>
        <n v="19805"/>
        <n v="13548"/>
        <n v="6011"/>
        <n v="13866"/>
        <n v="38985"/>
        <n v="38142"/>
        <n v="11693"/>
        <n v="11233"/>
        <n v="89906"/>
        <n v="92781"/>
        <n v="12519"/>
        <n v="6782"/>
        <n v="9334"/>
        <n v="7277"/>
        <n v="2427"/>
        <n v="16444"/>
        <n v="524"/>
        <n v="17933"/>
        <n v="11077"/>
        <n v="11704"/>
        <n v="12053"/>
        <n v="9928"/>
        <n v="60460"/>
        <n v="259837"/>
        <n v="167089"/>
        <n v="123390"/>
        <n v="36542"/>
        <n v="28159"/>
        <n v="12590"/>
        <n v="44795"/>
        <n v="185845"/>
        <n v="5602"/>
        <n v="271"/>
        <n v="248354"/>
        <n v="64556"/>
        <n v="85022"/>
        <n v="98348"/>
        <n v="912"/>
        <n v="74351"/>
        <n v="551363"/>
        <n v="182910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520"/>
        <n v="161288"/>
        <n v="20033"/>
        <n v="21212"/>
        <n v="16059"/>
        <n v="335"/>
        <n v="3116"/>
        <n v="27675"/>
        <n v="25541"/>
        <n v="21530"/>
        <n v="60407"/>
        <n v="63084"/>
        <n v="18442"/>
        <n v="28573"/>
        <n v="4767"/>
        <n v="56264"/>
        <n v="1595"/>
        <n v="88037"/>
        <n v="28068"/>
        <n v="351274"/>
        <n v="922"/>
        <n v="14143"/>
        <n v="5254"/>
        <n v="7199"/>
        <n v="82331"/>
        <n v="31414"/>
        <n v="88241"/>
        <n v="90"/>
        <n v="5663"/>
        <n v="77305"/>
        <n v="16281"/>
        <n v="26493"/>
        <n v="14354"/>
        <n v="163492"/>
        <n v="9957"/>
        <n v="75675"/>
        <n v="28483"/>
        <n v="14193"/>
        <n v="24012"/>
        <n v="3256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76398"/>
        <n v="97938"/>
        <n v="57446"/>
        <n v="44130"/>
        <n v="5928"/>
        <n v="42644"/>
        <n v="33850"/>
        <n v="470501"/>
        <n v="61651"/>
        <n v="12383"/>
        <n v="249688"/>
        <n v="121676"/>
        <n v="21672"/>
        <n v="3000"/>
        <n v="62468"/>
        <n v="173172"/>
        <n v="76094"/>
        <n v="19007"/>
        <n v="20660"/>
        <n v="30462"/>
        <n v="63390"/>
        <n v="3119"/>
        <n v="91082"/>
        <n v="16646"/>
        <n v="5794"/>
        <n v="64682"/>
        <n v="196422"/>
        <n v="2301"/>
        <n v="4052"/>
        <n v="10103"/>
        <n v="41226"/>
        <n v="16764"/>
        <n v="60171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76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2551"/>
        <n v="14831"/>
        <n v="5603"/>
        <n v="6884"/>
        <n v="2410"/>
        <n v="27052"/>
        <n v="8429"/>
        <n v="70133"/>
        <n v="408"/>
        <n v="4899"/>
        <n v="12128"/>
        <n v="64423"/>
        <n v="314"/>
        <n v="21034"/>
        <n v="600996"/>
        <n v="105"/>
        <n v="63855"/>
        <n v="3466"/>
        <n v="3737"/>
        <n v="117"/>
        <n v="142293"/>
        <n v="911097"/>
        <n v="49671"/>
        <n v="55816"/>
        <n v="14437"/>
        <n v="43795"/>
        <n v="275869"/>
        <n v="56595"/>
        <n v="82743"/>
        <n v="83893"/>
        <n v="3104"/>
        <n v="49007"/>
        <n v="18220"/>
        <n v="207934"/>
        <n v="162701"/>
        <n v="73193"/>
        <n v="149222"/>
        <n v="76207"/>
        <n v="36559"/>
        <n v="19440"/>
        <n v="10966"/>
        <n v="9903"/>
        <n v="5561"/>
        <n v="5187"/>
        <n v="73249"/>
        <n v="101627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2603"/>
        <n v="10052"/>
        <n v="11132"/>
        <n v="105448"/>
        <n v="5013"/>
        <n v="88529"/>
        <n v="618"/>
        <n v="45144"/>
        <n v="5772"/>
        <n v="13998"/>
        <n v="28570"/>
        <n v="16747"/>
        <n v="427357"/>
        <n v="281842"/>
        <n v="27689"/>
        <n v="1337"/>
        <n v="859"/>
        <n v="2651"/>
        <n v="8598"/>
        <n v="2618"/>
        <n v="3665"/>
        <n v="15060"/>
        <n v="604904"/>
        <n v="6935"/>
        <n v="142115"/>
        <n v="48629"/>
        <n v="70141"/>
        <n v="17596"/>
        <n v="67115"/>
        <n v="86956"/>
        <n v="111087"/>
        <n v="41763"/>
        <n v="8962"/>
        <n v="57831"/>
        <n v="43270"/>
        <n v="44502"/>
        <n v="115050"/>
        <n v="156143"/>
        <n v="86890"/>
        <n v="85362"/>
        <n v="25303"/>
        <n v="75306"/>
        <n v="6808"/>
        <n v="101840"/>
        <n v="111649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44804"/>
        <n v="25210"/>
        <n v="5161"/>
        <n v="20467"/>
        <n v="63108"/>
        <n v="19655"/>
        <n v="6143"/>
        <n v="5585"/>
        <n v="134458"/>
        <n v="76199"/>
        <n v="22369"/>
        <n v="4719"/>
        <n v="23527"/>
        <n v="8295"/>
        <n v="37901"/>
        <n v="90070"/>
        <n v="87494"/>
        <n v="7322"/>
        <n v="15358"/>
        <n v="135286"/>
        <n v="22161"/>
        <n v="17790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20113"/>
        <n v="35888"/>
        <n v="34848"/>
        <n v="79146"/>
        <n v="176606"/>
        <n v="21268"/>
        <n v="87203"/>
        <n v="32697"/>
        <n v="111506"/>
        <n v="782437"/>
        <n v="36029"/>
        <n v="1231"/>
        <n v="26832"/>
        <n v="63733"/>
        <n v="6200"/>
        <n v="38459"/>
        <n v="58509"/>
        <n v="1040"/>
        <n v="8058"/>
        <n v="3662"/>
        <n v="84641"/>
        <n v="20810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2591"/>
        <n v="12411"/>
        <n v="11403"/>
        <n v="59297"/>
        <n v="33473"/>
        <n v="10585"/>
        <n v="9517"/>
        <n v="44208"/>
        <n v="1402"/>
        <n v="13145"/>
        <n v="20008"/>
        <n v="56923"/>
        <n v="11487"/>
        <n v="1649"/>
        <n v="8307"/>
        <n v="1135"/>
        <n v="27009"/>
        <n v="8708"/>
        <n v="3080"/>
        <n v="31964"/>
        <n v="31890"/>
        <n v="9971"/>
        <n v="19979"/>
        <n v="24958"/>
        <n v="465"/>
        <n v="683"/>
        <n v="2041"/>
        <n v="2971"/>
        <n v="2941"/>
        <n v="7759"/>
        <n v="361"/>
        <n v="5637"/>
        <n v="1097"/>
        <n v="4995"/>
        <n v="22753"/>
        <n v="11950"/>
        <n v="7690"/>
        <n v="11285"/>
        <n v="1642"/>
        <n v="9585"/>
        <n v="162"/>
        <n v="3075"/>
        <n v="1920"/>
        <n v="1250"/>
        <n v="5715"/>
        <n v="2223"/>
        <n v="553"/>
        <n v="26156"/>
        <n v="7286"/>
        <n v="3015"/>
        <n v="131180"/>
        <n v="8369"/>
        <n v="27492"/>
        <n v="12372"/>
        <n v="75280"/>
        <n v="5865"/>
        <n v="70382"/>
        <n v="13190"/>
        <n v="1763"/>
        <n v="29323"/>
        <n v="76681"/>
        <n v="23516"/>
        <n v="9006"/>
        <n v="11612"/>
        <n v="4486"/>
        <n v="9673"/>
        <n v="128729"/>
        <n v="13003"/>
        <n v="42296"/>
        <n v="563827"/>
        <n v="96410"/>
        <n v="39260"/>
        <n v="29839"/>
        <n v="82073"/>
        <n v="12520"/>
        <n v="8667"/>
        <n v="10139"/>
        <n v="6525"/>
        <n v="62038"/>
        <n v="66610"/>
        <n v="92364"/>
        <n v="12324"/>
        <n v="155262"/>
        <n v="20449"/>
        <n v="41313"/>
        <n v="102895"/>
        <n v="19918"/>
        <n v="4247"/>
        <n v="23441"/>
        <n v="32188"/>
        <n v="3419"/>
        <n v="27536"/>
        <n v="29058"/>
        <n v="10476"/>
        <n v="14100"/>
        <n v="5478"/>
        <n v="7767"/>
        <n v="3624"/>
        <n v="7833"/>
        <n v="15200"/>
        <n v="27766"/>
        <n v="2379"/>
        <n v="5156"/>
        <n v="1666"/>
        <n v="4302"/>
        <n v="1673"/>
        <n v="8161"/>
        <n v="1201"/>
        <n v="813"/>
        <n v="16198"/>
        <n v="14247"/>
        <n v="2599"/>
        <n v="9305"/>
        <n v="1219"/>
        <n v="74743"/>
        <n v="4990"/>
        <n v="9296"/>
        <n v="5741"/>
        <n v="10796"/>
        <n v="63216"/>
        <n v="28190"/>
        <n v="5228"/>
        <n v="92924"/>
        <n v="67760"/>
        <n v="6142"/>
        <n v="7098"/>
        <n v="24436"/>
        <n v="1984"/>
        <n v="73640"/>
        <n v="16530"/>
        <n v="51326"/>
        <n v="19412"/>
        <n v="13167"/>
        <n v="3290"/>
        <n v="21360"/>
        <n v="69759"/>
        <n v="59545"/>
        <n v="5158"/>
        <n v="13577"/>
        <n v="36846"/>
        <n v="25122"/>
        <n v="126916"/>
        <n v="9808"/>
        <n v="20419"/>
        <n v="14486"/>
        <n v="1324680"/>
        <n v="25498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29935"/>
        <n v="76791"/>
        <n v="3904"/>
        <n v="59"/>
        <n v="37269"/>
        <n v="59941"/>
        <n v="38191"/>
        <n v="14904"/>
        <n v="15337"/>
        <n v="48225"/>
        <n v="17461"/>
        <n v="109191"/>
        <n v="357275"/>
        <n v="37952"/>
        <n v="8616"/>
        <n v="53251"/>
        <n v="2311"/>
        <n v="49240"/>
        <n v="276746"/>
        <n v="1103"/>
        <n v="34191"/>
        <n v="12702"/>
        <n v="6124"/>
        <n v="2870"/>
        <n v="8546"/>
        <n v="21254"/>
        <n v="22848"/>
        <n v="31489"/>
        <n v="23629"/>
        <n v="23660"/>
        <n v="12561"/>
        <n v="9494"/>
        <n v="106098"/>
        <n v="11158"/>
        <n v="3571"/>
        <n v="5673"/>
        <n v="802"/>
        <n v="22811"/>
        <n v="99430"/>
        <n v="16617"/>
        <n v="5049"/>
        <n v="2098"/>
        <n v="7116"/>
        <n v="1591"/>
        <n v="25055"/>
        <n v="5159"/>
        <n v="29994"/>
        <n v="26849"/>
        <n v="6053"/>
        <n v="5557"/>
        <n v="9003"/>
        <n v="2103"/>
        <n v="106160"/>
        <n v="12078"/>
        <n v="4412"/>
        <n v="1965"/>
        <n v="322"/>
        <n v="23023"/>
        <n v="63"/>
        <n v="35065"/>
        <n v="4792"/>
        <n v="662"/>
        <n v="72324"/>
        <n v="5275"/>
        <n v="29843"/>
        <n v="4035"/>
        <n v="191998"/>
        <n v="69989"/>
        <n v="112138"/>
        <n v="21225"/>
        <n v="6595"/>
        <n v="34098"/>
        <n v="3709"/>
        <n v="5463"/>
        <n v="833"/>
        <n v="37530"/>
        <n v="3972"/>
        <n v="1439"/>
        <n v="18109"/>
        <n v="243"/>
        <n v="19616"/>
        <n v="385"/>
        <n v="2909"/>
        <n v="70194"/>
        <n v="19157"/>
        <n v="9866"/>
        <n v="74435"/>
        <n v="383071"/>
        <n v="4682"/>
        <n v="414335"/>
        <n v="4099"/>
        <n v="74249"/>
        <n v="1155770"/>
        <n v="35172"/>
        <n v="376600"/>
        <n v="63931"/>
        <n v="108843"/>
        <n v="74957"/>
        <n v="16651"/>
        <n v="127760"/>
        <n v="7973"/>
        <n v="362933"/>
        <n v="84070"/>
        <n v="100571"/>
        <n v="138707"/>
        <n v="170055"/>
        <n v="39847"/>
        <n v="73950"/>
        <n v="7569"/>
        <n v="154938"/>
        <n v="1723"/>
        <n v="13913"/>
        <n v="15088"/>
        <n v="76267"/>
        <n v="101902"/>
        <n v="56605"/>
        <n v="4598"/>
        <n v="522048"/>
        <n v="60709"/>
        <n v="440"/>
        <n v="102125"/>
        <n v="19147"/>
        <n v="11668"/>
        <n v="11191"/>
        <n v="83182"/>
        <n v="39680"/>
        <n v="7736"/>
        <n v="23486"/>
        <n v="13815"/>
        <n v="8391"/>
        <n v="42402"/>
        <n v="3203"/>
        <n v="25329"/>
        <n v="34449"/>
        <n v="18561"/>
        <n v="29967"/>
        <n v="781"/>
        <n v="11387"/>
        <n v="18355"/>
        <n v="95529"/>
        <n v="844"/>
        <n v="1119"/>
        <n v="3114"/>
        <n v="9727"/>
        <n v="2215"/>
        <n v="24438"/>
        <n v="35848"/>
        <n v="7412"/>
        <n v="5143"/>
        <n v="43965"/>
        <n v="21243"/>
        <n v="15104"/>
        <n v="1966"/>
        <n v="5863"/>
        <n v="4124"/>
        <n v="2518"/>
        <n v="7663"/>
        <n v="2670"/>
        <n v="197845"/>
        <n v="383"/>
        <n v="8589"/>
        <n v="1159"/>
        <n v="192"/>
        <n v="39451"/>
        <n v="15862"/>
        <n v="120036"/>
        <n v="39786"/>
        <n v="33"/>
        <n v="5255"/>
        <n v="5153"/>
        <n v="16299"/>
        <n v="10771"/>
        <n v="58366"/>
        <n v="80429"/>
        <n v="3548"/>
        <n v="5133"/>
        <n v="81644"/>
        <n v="81699"/>
        <n v="1388"/>
        <n v="94139"/>
        <n v="21409"/>
        <n v="3157"/>
        <n v="23986"/>
        <n v="6384"/>
        <n v="59474"/>
        <n v="19715"/>
        <n v="25857"/>
        <n v="8294"/>
        <n v="10672"/>
        <n v="145395"/>
        <n v="134070"/>
        <n v="564"/>
        <n v="41856"/>
        <n v="12049"/>
        <n v="2601"/>
        <n v="29608"/>
        <n v="2892"/>
        <n v="51353"/>
        <n v="600266"/>
        <n v="114407"/>
        <n v="32307"/>
        <n v="39856"/>
        <n v="9638"/>
        <n v="99033"/>
        <n v="170027"/>
        <n v="291603"/>
        <n v="113152"/>
        <n v="152089"/>
        <n v="107408"/>
        <n v="35130"/>
        <n v="68722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9774"/>
        <n v="22408"/>
        <n v="18286"/>
        <n v="9277"/>
        <n v="4582"/>
        <n v="145580"/>
        <n v="22929"/>
        <n v="45396"/>
        <n v="172"/>
        <n v="13010"/>
        <n v="59637"/>
        <n v="17169"/>
        <n v="27301"/>
        <n v="64794"/>
        <n v="11011"/>
        <n v="116910"/>
        <n v="13892"/>
        <n v="18313"/>
        <n v="29341"/>
        <n v="11439"/>
        <n v="55524"/>
        <n v="26300"/>
        <n v="4195"/>
        <n v="522"/>
        <n v="28855"/>
        <n v="9589"/>
        <n v="3413"/>
        <n v="63192"/>
        <n v="27266"/>
        <n v="11623"/>
        <n v="6906"/>
        <n v="2281"/>
        <n v="1245"/>
        <n v="2591"/>
        <n v="7394"/>
        <n v="3024"/>
        <n v="2330"/>
        <n v="1940"/>
        <n v="7367"/>
        <n v="2143"/>
        <n v="38273"/>
        <n v="2989"/>
        <n v="2050"/>
        <n v="32512"/>
        <n v="1696"/>
        <n v="10196"/>
        <n v="10388"/>
        <n v="60522"/>
        <n v="34383"/>
        <n v="6797"/>
        <n v="43575"/>
        <n v="9230"/>
        <n v="6741"/>
        <n v="10119"/>
        <n v="748"/>
        <n v="30210"/>
        <n v="867"/>
        <n v="55987"/>
        <n v="89806"/>
        <n v="3433"/>
        <n v="8707"/>
        <n v="4633"/>
        <n v="55597"/>
        <n v="548"/>
        <n v="175607"/>
        <n v="40511"/>
        <n v="10472"/>
        <n v="43013"/>
        <n v="190494"/>
        <n v="36381"/>
        <n v="96129"/>
        <n v="1955"/>
        <n v="44151"/>
        <n v="5548"/>
        <n v="18792"/>
        <n v="59524"/>
        <n v="3754"/>
        <n v="15267"/>
        <n v="87244"/>
        <n v="1658"/>
        <n v="70233"/>
        <n v="605"/>
        <n v="3788"/>
        <n v="15315"/>
        <n v="4471"/>
        <n v="79353"/>
        <n v="13227"/>
        <n v="4976"/>
        <n v="2894"/>
        <n v="21049"/>
        <n v="3266"/>
        <n v="109214"/>
        <n v="188679"/>
        <n v="126893"/>
        <n v="67992"/>
        <n v="13523"/>
        <n v="76828"/>
        <n v="31915"/>
        <n v="49820"/>
        <n v="79916"/>
        <n v="22105"/>
        <n v="51204"/>
        <n v="6359"/>
        <n v="19596"/>
        <n v="30765"/>
        <n v="105568"/>
        <n v="22123"/>
        <n v="31791"/>
        <n v="161972"/>
        <n v="326494"/>
        <n v="28513"/>
        <n v="845580"/>
        <n v="85688"/>
        <n v="114797"/>
        <n v="98354"/>
        <n v="115813"/>
        <n v="5894"/>
        <n v="2448"/>
        <n v="11622"/>
        <n v="10564"/>
        <n v="74875"/>
        <n v="11744"/>
        <n v="4345"/>
        <n v="49948"/>
        <n v="5975"/>
        <n v="6915"/>
        <n v="86077"/>
        <n v="2498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15345"/>
        <n v="2017"/>
        <n v="9509"/>
        <n v="2326"/>
        <n v="3519"/>
        <n v="1180"/>
        <n v="5164"/>
        <n v="40274"/>
        <n v="24921"/>
        <n v="8930"/>
        <n v="7319"/>
        <n v="13587"/>
        <n v="21416"/>
        <n v="67853"/>
        <n v="216005"/>
        <n v="15053"/>
        <n v="260607"/>
        <n v="2719"/>
        <n v="296"/>
        <n v="26720"/>
        <n v="12233"/>
        <n v="881"/>
        <n v="50197"/>
        <n v="2047"/>
        <n v="40305"/>
        <n v="12366"/>
        <n v="281649"/>
        <n v="32382"/>
        <n v="40618"/>
        <n v="12675"/>
        <n v="28845"/>
        <n v="5494"/>
        <n v="1900"/>
        <n v="54478"/>
        <n v="6632"/>
        <n v="1311"/>
        <n v="3329"/>
        <n v="1599"/>
        <n v="127842"/>
        <n v="1560"/>
        <n v="989"/>
        <n v="1884"/>
        <n v="4041"/>
        <n v="65299"/>
        <n v="8824"/>
        <n v="1207"/>
        <n v="3852"/>
        <n v="7888"/>
        <n v="23756"/>
        <n v="10056"/>
        <n v="10734"/>
        <n v="4322"/>
        <n v="215"/>
        <n v="67315"/>
        <n v="12672"/>
        <n v="83"/>
        <n v="1091"/>
        <n v="216"/>
        <n v="6964"/>
        <n v="237"/>
        <n v="15988"/>
        <n v="38"/>
        <n v="849"/>
        <n v="928"/>
        <n v="6183"/>
        <n v="29203"/>
        <n v="72443"/>
        <n v="46347"/>
        <n v="138814"/>
        <n v="11202"/>
        <n v="68211"/>
        <n v="4695"/>
        <n v="9611"/>
        <n v="19234"/>
        <n v="13467"/>
        <n v="83234"/>
        <n v="262"/>
        <n v="18940"/>
        <n v="421"/>
        <n v="8867"/>
        <n v="2776"/>
        <n v="87739"/>
        <n v="50125"/>
        <n v="107923"/>
        <n v="71217"/>
        <n v="13474"/>
        <n v="149528"/>
        <n v="6762"/>
        <n v="41138"/>
        <n v="573541"/>
        <n v="2756"/>
        <n v="2412"/>
        <n v="15175"/>
        <n v="10483"/>
        <n v="580999"/>
        <n v="1592"/>
        <n v="9171"/>
        <n v="32357"/>
        <n v="5465"/>
        <n v="53508"/>
        <n v="1213"/>
        <n v="29463"/>
        <n v="6919"/>
        <n v="7390"/>
        <n v="35464"/>
        <n v="30836"/>
        <n v="680041"/>
        <n v="917"/>
        <n v="12666"/>
        <n v="30977"/>
        <n v="14251"/>
        <n v="4952"/>
        <n v="16445"/>
        <n v="43135"/>
        <n v="13443"/>
        <n v="34232"/>
        <n v="7295"/>
        <n v="15780"/>
        <n v="39975"/>
        <n v="59254"/>
        <n v="3673"/>
        <n v="47097"/>
        <n v="41361"/>
        <n v="31260"/>
        <n v="17478"/>
        <n v="87978"/>
        <n v="321283"/>
        <n v="192940"/>
        <n v="9456"/>
        <n v="128694"/>
        <n v="71495"/>
        <n v="30219"/>
        <n v="93894"/>
        <n v="2806"/>
        <n v="39857"/>
        <n v="9007"/>
        <n v="27198"/>
        <n v="3102"/>
        <n v="110616"/>
        <n v="73501"/>
        <n v="165638"/>
        <n v="12059"/>
        <n v="13506"/>
        <n v="266020"/>
        <n v="66840"/>
        <n v="177729"/>
        <n v="1415"/>
        <n v="28714"/>
        <n v="12981"/>
        <n v="13086"/>
        <n v="2129"/>
        <n v="120189"/>
        <n v="14621"/>
        <n v="44339"/>
        <n v="12677"/>
        <n v="19622"/>
        <n v="78241"/>
        <n v="67949"/>
        <n v="3611"/>
        <n v="10073"/>
        <n v="22697"/>
        <n v="16224"/>
        <n v="18762"/>
        <n v="53342"/>
        <n v="20275"/>
        <n v="22457"/>
        <n v="45293"/>
        <n v="4091"/>
        <n v="8535"/>
        <n v="2877"/>
        <n v="29440"/>
        <n v="36494"/>
        <n v="6705"/>
        <n v="2705"/>
        <n v="4617"/>
        <n v="2133"/>
        <n v="2112"/>
        <n v="34224"/>
        <n v="1398"/>
        <n v="811"/>
        <n v="23334"/>
        <n v="1555"/>
        <n v="34263"/>
        <n v="7673"/>
        <n v="1686"/>
        <n v="1738"/>
        <n v="3297"/>
        <n v="5137"/>
        <n v="2488"/>
        <n v="6303"/>
        <n v="2086"/>
        <n v="3753"/>
        <n v="2727"/>
        <n v="4146"/>
        <n v="27781"/>
        <n v="1561"/>
        <n v="1929"/>
        <n v="724"/>
        <n v="67"/>
        <n v="23713"/>
        <n v="103493"/>
        <n v="215340"/>
        <n v="1177"/>
        <n v="5294"/>
        <n v="257"/>
        <n v="3167"/>
        <n v="55982"/>
        <n v="2650"/>
        <n v="31836"/>
        <n v="3258"/>
        <n v="3579"/>
        <n v="17770"/>
        <n v="210548"/>
        <n v="36265"/>
        <n v="76616"/>
        <n v="82232"/>
        <n v="160281"/>
        <n v="801"/>
        <n v="74626"/>
        <n v="39508"/>
        <n v="27418"/>
        <n v="15956"/>
        <n v="6350"/>
        <n v="19026"/>
        <n v="7071"/>
        <n v="5941"/>
        <n v="30982"/>
        <n v="66483"/>
        <n v="1721"/>
        <n v="13949"/>
        <n v="24977"/>
        <n v="131831"/>
        <n v="49672"/>
        <n v="4790"/>
        <n v="113451"/>
        <n v="11399"/>
        <n v="34532"/>
        <n v="1024"/>
        <n v="54104"/>
        <n v="1950"/>
        <n v="104072"/>
        <n v="7228"/>
        <n v="12188"/>
        <n v="342"/>
        <n v="1634"/>
        <n v="372"/>
        <n v="653"/>
        <n v="961"/>
        <n v="30434"/>
        <n v="75"/>
        <n v="1285"/>
        <n v="1928"/>
        <n v="455"/>
        <n v="610"/>
        <n v="15115"/>
        <n v="45984"/>
        <n v="92599"/>
        <n v="1262"/>
        <n v="399138"/>
        <n v="533200"/>
        <n v="19194"/>
        <n v="2116"/>
        <n v="12304"/>
        <n v="170155"/>
        <n v="104908"/>
        <n v="9607"/>
        <n v="6549"/>
        <n v="557"/>
        <n v="704"/>
        <n v="29248"/>
        <n v="140527"/>
        <n v="53741"/>
        <n v="29239"/>
        <n v="30474"/>
        <n v="73349"/>
        <n v="25542"/>
        <n v="90177"/>
        <n v="139432"/>
        <n v="9356"/>
        <n v="275720"/>
        <n v="469561"/>
        <n v="4687"/>
        <n v="82133"/>
        <n v="21245"/>
        <n v="123090"/>
        <n v="2789"/>
        <n v="43485"/>
        <n v="29610"/>
        <n v="139329"/>
        <n v="155153"/>
        <n v="1466"/>
        <n v="33741"/>
        <n v="32378"/>
        <n v="12942"/>
        <n v="9066"/>
        <n v="25332"/>
        <n v="149444"/>
        <n v="2580"/>
        <n v="15293"/>
        <n v="109335"/>
        <n v="19331"/>
        <n v="18656"/>
        <n v="7721"/>
        <n v="27650"/>
        <n v="1361"/>
        <n v="8265"/>
        <n v="7998"/>
        <n v="44457"/>
        <n v="1004"/>
        <n v="32923"/>
        <n v="21316"/>
        <n v="8279"/>
        <n v="95362"/>
        <n v="8465"/>
        <n v="9502"/>
        <n v="806"/>
        <n v="6000"/>
        <n v="299"/>
        <n v="12560"/>
        <n v="14548"/>
        <n v="8239"/>
        <n v="128334"/>
        <n v="3943"/>
        <n v="8005"/>
        <n v="37594"/>
        <n v="8603"/>
        <n v="18711"/>
        <n v="15885"/>
        <n v="43982"/>
        <n v="25063"/>
        <n v="55329"/>
        <n v="761"/>
        <n v="31089"/>
        <n v="356181"/>
        <n v="3942"/>
        <n v="37495"/>
        <n v="368"/>
        <n v="22246"/>
        <n v="1289"/>
        <n v="47385"/>
        <n v="7625"/>
        <n v="2011"/>
        <n v="37156"/>
        <n v="2948"/>
        <n v="758"/>
        <n v="7988"/>
        <n v="48562"/>
        <n v="437"/>
        <n v="11074"/>
        <n v="266"/>
        <n v="4122"/>
        <n v="1238"/>
        <n v="30511"/>
        <n v="2437"/>
        <n v="7358"/>
        <n v="1257"/>
        <n v="306336"/>
        <n v="2280"/>
        <n v="1370"/>
        <n v="16987"/>
        <n v="2978"/>
        <n v="13599"/>
        <n v="13640"/>
        <n v="976"/>
        <n v="520"/>
        <n v="240"/>
        <n v="103749"/>
        <n v="706"/>
        <n v="3443"/>
        <n v="28951"/>
        <n v="4313"/>
        <n v="2425"/>
        <n v="746"/>
        <n v="2157"/>
        <n v="5695"/>
        <n v="80961"/>
        <n v="55040"/>
        <n v="4173"/>
        <n v="33567"/>
        <n v="175196"/>
        <n v="21359"/>
        <n v="291875"/>
        <n v="112671"/>
        <n v="40800"/>
        <n v="27569"/>
        <n v="5744"/>
        <n v="8856"/>
        <n v="745"/>
        <n v="1828"/>
        <n v="5786"/>
        <n v="1470"/>
        <n v="1553"/>
        <n v="95294"/>
        <n v="29488"/>
        <n v="34643"/>
        <n v="10755"/>
        <n v="6930"/>
        <n v="45500"/>
        <n v="3849"/>
        <n v="40878"/>
        <n v="1418"/>
        <n v="5012"/>
        <n v="150020"/>
        <n v="6429"/>
        <n v="34620"/>
        <n v="9010"/>
        <n v="50311"/>
        <n v="28589"/>
        <n v="23546"/>
        <n v="15277"/>
        <n v="6062"/>
        <n v="36996"/>
        <n v="187595"/>
        <n v="183288"/>
        <n v="1003"/>
        <n v="6221"/>
        <n v="7776"/>
        <n v="2560"/>
        <n v="52509"/>
        <n v="21202"/>
        <n v="105591"/>
        <n v="97"/>
        <n v="52286"/>
        <n v="578"/>
        <n v="91"/>
        <n v="185345"/>
        <n v="1138"/>
        <n v="4820"/>
        <n v="10220"/>
        <n v="5699"/>
        <n v="61787"/>
        <n v="858"/>
        <n v="4100"/>
        <n v="4057"/>
        <n v="108052"/>
        <n v="1510"/>
        <n v="99177"/>
        <n v="2753"/>
        <n v="1079"/>
        <n v="1015"/>
        <n v="3538"/>
        <n v="6025"/>
        <n v="19650"/>
        <n v="71321"/>
        <n v="44"/>
        <n v="31952"/>
        <n v="22521"/>
        <n v="1573"/>
        <n v="4977"/>
        <n v="1118"/>
        <n v="1314"/>
        <n v="1351"/>
        <n v="480"/>
        <n v="485"/>
        <n v="40359"/>
        <n v="29424"/>
        <n v="12244"/>
        <n v="22"/>
        <n v="131462"/>
        <n v="544"/>
        <n v="1355"/>
        <n v="1274"/>
        <n v="89403"/>
        <n v="4663"/>
        <n v="2258"/>
        <n v="33335"/>
        <n v="112899"/>
        <n v="31077"/>
        <n v="215086"/>
        <n v="133966"/>
        <n v="34520"/>
        <n v="67825"/>
        <n v="77551"/>
        <n v="18566"/>
        <n v="259379"/>
        <n v="15401"/>
        <n v="62860"/>
        <n v="2269"/>
        <n v="42462"/>
        <n v="8224"/>
        <n v="41999"/>
        <n v="168398"/>
        <n v="173551"/>
        <n v="68222"/>
        <n v="111658"/>
        <n v="26926"/>
        <n v="1381"/>
        <n v="31130"/>
        <n v="55382"/>
        <n v="20885"/>
        <n v="70084"/>
        <n v="54657"/>
        <n v="3911"/>
        <n v="8662"/>
        <n v="4181"/>
        <n v="27346"/>
        <n v="46107"/>
        <n v="397"/>
        <n v="7314"/>
        <n v="16645"/>
        <n v="415"/>
        <n v="5475"/>
        <n v="8204"/>
        <n v="5615"/>
        <n v="4359"/>
        <n v="4049"/>
        <n v="3467"/>
        <n v="11031"/>
        <n v="7479"/>
        <n v="34556"/>
        <n v="5613"/>
        <n v="275"/>
        <n v="16828"/>
        <n v="2522"/>
        <n v="2081"/>
        <n v="1758"/>
        <n v="39559"/>
        <n v="508"/>
        <n v="1278"/>
        <n v="6223"/>
        <n v="1268"/>
        <n v="10182"/>
        <n v="19336"/>
        <n v="10282"/>
        <n v="13279"/>
        <n v="57811"/>
        <n v="2895"/>
        <n v="17296"/>
        <n v="9689"/>
        <n v="2588"/>
        <n v="40380"/>
        <n v="9280"/>
        <n v="7"/>
        <n v="27646"/>
        <n v="289"/>
        <n v="355"/>
        <n v="7646"/>
        <n v="19236"/>
        <n v="2701"/>
        <n v="5182"/>
        <n v="5732"/>
        <n v="4204"/>
        <n v="344"/>
        <n v="4478"/>
        <n v="952"/>
        <n v="3605"/>
        <n v="6804"/>
        <n v="2242"/>
        <n v="583"/>
        <n v="2348"/>
        <n v="838"/>
        <n v="11763"/>
        <n v="4894"/>
        <n v="2032"/>
        <n v="118684"/>
        <n v="65877"/>
        <n v="6678"/>
        <n v="1010"/>
        <n v="108248"/>
        <n v="149293"/>
        <n v="40481"/>
        <n v="333"/>
        <n v="744"/>
        <n v="41509"/>
        <n v="29019"/>
        <n v="78454"/>
        <n v="342585"/>
        <n v="11088"/>
        <n v="70336"/>
        <n v="22764"/>
        <n v="2794"/>
        <n v="563"/>
        <n v="13223"/>
        <n v="1435"/>
        <n v="1747"/>
        <n v="25472"/>
        <n v="1756"/>
        <n v="6267"/>
        <n v="13"/>
        <n v="686"/>
        <n v="161471"/>
        <n v="26773"/>
        <n v="840"/>
        <n v="28"/>
        <n v="5526"/>
        <n v="23268"/>
        <n v="32415"/>
        <n v="56402"/>
        <n v="8697"/>
        <n v="16349"/>
        <n v="30479"/>
        <n v="2725"/>
        <n v="17799"/>
        <n v="33987"/>
        <n v="11920"/>
        <n v="2561"/>
        <n v="536"/>
        <n v="9750"/>
        <n v="2621"/>
        <n v="4702"/>
        <n v="74651"/>
        <n v="4391"/>
        <n v="1618"/>
        <n v="3313"/>
        <n v="194426"/>
        <n v="37714"/>
        <n v="57578"/>
        <n v="77392"/>
        <n v="59041"/>
        <n v="60295"/>
        <n v="14018"/>
        <n v="246"/>
        <n v="32927"/>
        <n v="14112"/>
        <n v="36657"/>
        <n v="202800"/>
        <n v="38215"/>
        <n v="4547"/>
        <n v="9408"/>
        <n v="29517"/>
        <n v="17322"/>
        <n v="30314"/>
        <n v="10896"/>
        <n v="95"/>
        <n v="43839"/>
        <n v="2963"/>
        <n v="919"/>
        <n v="23349"/>
        <n v="143086"/>
        <n v="2419"/>
        <n v="21379"/>
        <n v="444"/>
        <n v="1134"/>
        <n v="463"/>
        <n v="22212"/>
        <n v="2792"/>
        <n v="20376"/>
        <n v="23323"/>
        <n v="4120"/>
        <n v="1232"/>
        <n v="291"/>
        <n v="2841"/>
        <n v="459"/>
        <n v="108"/>
        <n v="735"/>
        <n v="226583"/>
        <n v="133"/>
        <n v="133348"/>
        <n v="2720"/>
        <n v="1978"/>
        <n v="3291"/>
        <n v="4948"/>
        <n v="2082"/>
        <n v="330"/>
        <n v="22975"/>
        <n v="414976"/>
        <n v="39"/>
        <n v="3405"/>
        <n v="65951"/>
        <n v="11369"/>
        <n v="775"/>
        <n v="449"/>
        <n v="54316"/>
        <n v="6381"/>
        <n v="3144"/>
        <n v="1339"/>
        <n v="4182"/>
        <n v="1167"/>
        <n v="5579"/>
        <n v="4866"/>
        <n v="87424"/>
        <n v="39690"/>
        <n v="24959"/>
        <n v="7528"/>
        <n v="910"/>
        <n v="458"/>
        <n v="11047"/>
        <n v="15840"/>
        <n v="3282"/>
        <n v="794"/>
        <n v="37785"/>
        <n v="299127"/>
        <n v="76151"/>
        <n v="101"/>
        <n v="1229"/>
        <n v="139426"/>
        <n v="19397"/>
        <n v="22145"/>
        <n v="24891"/>
        <n v="262160"/>
        <n v="2417"/>
        <n v="664719"/>
        <n v="1047"/>
        <n v="503509"/>
        <n v="7025"/>
        <n v="2582"/>
        <n v="591"/>
        <n v="132"/>
        <n v="4068"/>
        <n v="27"/>
        <n v="2953"/>
        <n v="9560"/>
        <n v="3418"/>
        <n v="652"/>
        <n v="1321"/>
        <n v="5061"/>
        <n v="1172"/>
        <n v="742"/>
        <n v="71"/>
        <n v="76467"/>
        <n v="39929"/>
        <n v="726"/>
        <n v="1324"/>
        <n v="285"/>
        <n v="6555"/>
        <n v="148221"/>
        <n v="737"/>
        <n v="332"/>
        <n v="387508"/>
        <n v="9465"/>
        <n v="11010"/>
        <n v="20678"/>
        <n v="375240"/>
        <n v="512"/>
        <n v="46493"/>
        <n v="8508"/>
        <n v="44329"/>
        <n v="507063"/>
        <n v="22773"/>
        <n v="116642"/>
        <n v="52642"/>
        <n v="76407"/>
        <n v="4501"/>
        <n v="23021"/>
        <n v="5442"/>
        <n v="141425"/>
        <n v="36321"/>
        <n v="30570"/>
        <n v="7584"/>
        <n v="2636"/>
        <n v="67654"/>
        <n v="7346"/>
        <n v="21468"/>
        <n v="42389"/>
        <n v="6110"/>
        <n v="414345"/>
        <n v="31254"/>
        <n v="40425"/>
        <n v="16594"/>
        <n v="21746"/>
        <n v="9540"/>
        <n v="5933"/>
        <n v="2629"/>
        <n v="11283"/>
        <n v="6084"/>
        <n v="38893"/>
        <n v="47988"/>
        <n v="1976"/>
        <n v="983"/>
        <n v="2715"/>
        <n v="30396"/>
        <n v="9233"/>
        <n v="1524"/>
        <n v="3142"/>
        <n v="505"/>
        <n v="19752"/>
        <n v="4999"/>
        <n v="46076"/>
        <n v="75633"/>
        <n v="3806"/>
        <n v="125114"/>
        <n v="23836"/>
        <n v="1290"/>
        <n v="56"/>
        <n v="2482"/>
        <n v="1220"/>
        <n v="606"/>
        <n v="30160"/>
        <n v="20176"/>
        <n v="2735"/>
        <n v="1434"/>
        <n v="334"/>
        <n v="1938"/>
        <n v="3228"/>
        <n v="1048"/>
        <n v="4862"/>
        <n v="377"/>
        <n v="534"/>
        <n v="783"/>
        <n v="3499"/>
        <n v="876"/>
        <n v="9190"/>
        <n v="1359"/>
        <n v="1420"/>
        <n v="1612"/>
        <n v="340"/>
        <n v="3650"/>
        <n v="634"/>
        <n v="955"/>
        <n v="982"/>
        <n v="293"/>
        <n v="93"/>
        <n v="6531"/>
        <n v="6513"/>
        <n v="425"/>
        <n v="137"/>
        <n v="6256"/>
        <n v="2057"/>
        <n v="207"/>
        <n v="4998"/>
        <n v="6265"/>
        <n v="954"/>
        <n v="7870"/>
        <n v="443"/>
        <n v="265"/>
        <n v="100890"/>
        <n v="44763"/>
        <n v="139"/>
        <n v="131969"/>
        <n v="13485"/>
        <n v="6277"/>
        <n v="53919"/>
        <n v="11965"/>
        <n v="94225"/>
        <n v="5489"/>
        <n v="64748"/>
        <n v="14580"/>
        <n v="19"/>
        <n v="122"/>
        <n v="13421"/>
        <n v="24391"/>
        <n v="1742"/>
        <n v="7308"/>
        <n v="2706"/>
        <n v="169"/>
        <n v="190"/>
        <n v="26513"/>
        <n v="2039"/>
        <n v="4743"/>
        <n v="7431"/>
        <n v="772"/>
        <n v="2256"/>
        <n v="3480"/>
        <n v="4167"/>
        <n v="54601"/>
        <n v="17725"/>
        <n v="292"/>
        <n v="1477"/>
        <n v="12160"/>
        <n v="101287"/>
        <n v="3543"/>
        <n v="25750"/>
        <n v="27260"/>
        <n v="42183"/>
        <n v="17813"/>
        <n v="1661"/>
        <n v="9376"/>
        <n v="25951"/>
        <n v="851"/>
        <n v="80193"/>
        <n v="18980"/>
        <n v="3089"/>
        <n v="8509"/>
        <n v="1354"/>
        <n v="551"/>
        <n v="316027"/>
        <n v="94463"/>
        <n v="70885"/>
        <n v="103"/>
        <n v="819"/>
        <n v="514"/>
        <n v="7384"/>
        <n v="474"/>
        <n v="5"/>
        <n v="3699"/>
        <n v="1432"/>
        <n v="13269"/>
        <n v="186786"/>
        <n v="12631"/>
        <n v="13915"/>
        <n v="448"/>
        <n v="94"/>
        <n v="531"/>
        <n v="85"/>
        <n v="74"/>
        <n v="204"/>
        <n v="389"/>
        <n v="719"/>
        <n v="31429"/>
        <n v="487"/>
        <n v="86"/>
        <n v="17068"/>
        <n v="113"/>
        <n v="3411"/>
        <n v="42256"/>
        <n v="1305"/>
        <n v="3274"/>
        <n v="3156"/>
        <n v="58260"/>
        <n v="4583"/>
        <n v="3394"/>
        <n v="6790"/>
        <n v="1099"/>
        <n v="7559"/>
        <n v="154"/>
        <n v="3562"/>
        <n v="651"/>
        <n v="3479"/>
        <n v="26407"/>
        <n v="1038"/>
        <n v="709"/>
        <n v="45928"/>
        <n v="774"/>
        <n v="229012"/>
        <n v="3086"/>
        <n v="3013"/>
        <n v="1656"/>
        <n v="26185"/>
        <n v="70136"/>
        <n v="1358"/>
        <n v="2004"/>
        <n v="75669"/>
        <n v="739"/>
        <n v="2038"/>
        <n v="2097"/>
        <n v="1006"/>
        <n v="601"/>
        <n v="15756"/>
        <n v="16"/>
        <n v="26863"/>
        <n v="2012"/>
        <n v="5025"/>
        <n v="197"/>
        <n v="259"/>
        <n v="30"/>
        <n v="40"/>
        <n v="15"/>
        <n v="175413"/>
        <n v="19253"/>
        <n v="475"/>
        <n v="19732"/>
        <n v="53"/>
        <n v="10143"/>
        <n v="5931"/>
        <n v="64"/>
        <n v="7921"/>
        <n v="78"/>
        <n v="7143"/>
        <n v="13543"/>
        <n v="268"/>
        <n v="161448"/>
        <n v="42678"/>
        <n v="184824"/>
        <n v="10366"/>
        <n v="382240"/>
        <n v="3675"/>
        <n v="179"/>
        <n v="202115"/>
        <n v="5709"/>
        <n v="1123"/>
        <n v="143"/>
        <n v="14985"/>
        <n v="7458"/>
        <n v="140740"/>
        <n v="4788"/>
        <n v="10577"/>
        <n v="191"/>
        <n v="369"/>
        <n v="19964"/>
        <n v="10718"/>
        <n v="4407"/>
        <n v="4546"/>
        <n v="141219"/>
        <n v="27297"/>
        <n v="186"/>
        <n v="9037"/>
        <n v="6046"/>
        <n v="72017"/>
        <n v="209"/>
        <n v="157863"/>
        <n v="447785"/>
        <n v="1272"/>
        <n v="64888"/>
        <n v="44864"/>
        <n v="7687"/>
        <n v="2932"/>
        <n v="2843"/>
        <n v="18035"/>
        <n v="270"/>
        <n v="4423"/>
        <n v="12241"/>
        <n v="554"/>
        <n v="19386"/>
        <n v="341"/>
        <n v="294"/>
        <n v="720"/>
        <n v="476"/>
        <n v="91863"/>
        <n v="82"/>
        <n v="19875"/>
        <n v="241"/>
        <n v="47"/>
        <n v="569"/>
        <n v="1905"/>
        <n v="24668"/>
        <n v="114070"/>
        <n v="6041"/>
        <n v="8000"/>
        <n v="3513"/>
        <n v="4662"/>
        <n v="1489"/>
        <n v="160511"/>
        <n v="1727"/>
        <n v="1428"/>
        <n v="2787"/>
        <n v="46813"/>
        <n v="24"/>
        <n v="708"/>
        <n v="1227"/>
        <n v="8511"/>
        <n v="12848"/>
        <n v="603"/>
        <n v="7148"/>
        <n v="70076"/>
        <n v="336"/>
        <n v="602"/>
        <n v="300"/>
        <n v="18486"/>
        <n v="450"/>
        <n v="31"/>
        <n v="870"/>
        <n v="1488"/>
        <n v="25"/>
        <n v="37"/>
        <n v="4849"/>
        <n v="110"/>
        <n v="84817"/>
        <n v="146"/>
        <n v="575"/>
        <n v="2742"/>
        <n v="161"/>
        <n v="4812"/>
        <n v="22124"/>
        <n v="152232"/>
        <n v="63951"/>
        <n v="147566"/>
        <n v="4152"/>
        <n v="131"/>
        <n v="2099"/>
        <n v="1034"/>
        <n v="4212"/>
        <n v="460"/>
        <n v="48"/>
        <n v="148334"/>
        <n v="2413"/>
        <n v="81"/>
        <n v="1328"/>
        <n v="3507"/>
        <n v="352"/>
        <n v="6689"/>
        <n v="129799"/>
        <n v="771"/>
        <n v="1338"/>
        <n v="19846"/>
        <n v="4769"/>
        <n v="354"/>
        <n v="71387"/>
        <n v="3340"/>
        <n v="5178"/>
        <n v="90827"/>
        <n v="586"/>
        <n v="3813"/>
        <n v="96411"/>
        <n v="21826"/>
        <n v="123"/>
        <n v="502"/>
        <n v="260"/>
        <n v="22800"/>
        <n v="100"/>
        <n v="15775"/>
        <n v="21618"/>
        <n v="3262"/>
        <n v="1962"/>
        <n v="1197"/>
        <n v="98"/>
        <n v="13521"/>
        <n v="69831"/>
        <n v="2770"/>
        <n v="10499"/>
        <n v="509"/>
        <n v="4117"/>
        <n v="73"/>
        <n v="12796"/>
        <n v="16701"/>
        <n v="5747"/>
        <n v="67824"/>
        <n v="496"/>
        <n v="142619"/>
        <n v="405"/>
        <n v="1622"/>
        <n v="85028"/>
        <n v="1389"/>
        <n v="5507"/>
        <n v="4752"/>
        <n v="760"/>
        <n v="6375"/>
        <n v="3885"/>
        <n v="712"/>
        <n v="11816"/>
        <n v="128"/>
        <n v="61"/>
        <n v="6261"/>
        <n v="48236"/>
        <n v="66"/>
        <n v="733"/>
        <n v="181"/>
        <n v="6246"/>
        <n v="2631"/>
        <n v="34"/>
        <n v="12611"/>
        <n v="106"/>
        <n v="1516"/>
        <n v="1578"/>
        <n v="23"/>
        <n v="2646"/>
        <n v="181749"/>
        <n v="803"/>
        <n v="1894"/>
        <n v="11550"/>
        <n v="47502"/>
        <n v="493"/>
        <n v="15091"/>
        <n v="15103"/>
        <n v="2986"/>
        <n v="3836"/>
        <n v="125"/>
        <n v="4067"/>
        <n v="70"/>
        <n v="1194"/>
        <n v="1771"/>
        <n v="16792"/>
        <n v="4555"/>
        <n v="6318"/>
        <n v="156"/>
        <n v="438"/>
        <n v="72639"/>
        <n v="589"/>
        <n v="52055"/>
        <n v="36"/>
        <n v="629"/>
        <n v="73839"/>
        <n v="1255"/>
        <n v="4285"/>
      </sharedItems>
    </cacheField>
    <cacheField name="cast_total_facebook_likes" numFmtId="0">
      <sharedItems containsSemiMixedTypes="0" containsString="0" containsNumber="1" containsInteger="1" minValue="0" maxValue="656730" count="3978">
        <n v="4834"/>
        <n v="48350"/>
        <n v="11700"/>
        <n v="106759"/>
        <n v="143"/>
        <n v="1873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696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1982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699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687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11036"/>
        <n v="53587"/>
        <n v="46120"/>
        <n v="13191"/>
        <n v="31549"/>
        <n v="48184"/>
        <n v="14719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609"/>
        <n v="15046"/>
        <n v="46719"/>
        <n v="2690"/>
        <n v="87"/>
        <n v="1569"/>
        <n v="8306"/>
        <n v="1261"/>
        <n v="55486"/>
        <n v="16718"/>
        <n v="2958"/>
        <n v="19454"/>
        <n v="19359"/>
        <n v="22722"/>
        <n v="22622"/>
        <n v="34582"/>
        <n v="1173"/>
        <n v="13391"/>
        <n v="1655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5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3379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996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476"/>
        <n v="11454"/>
        <n v="12687"/>
        <n v="1439"/>
        <n v="2818"/>
        <n v="6355"/>
        <n v="578"/>
        <n v="12700"/>
        <n v="2662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3907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581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1753"/>
        <n v="26839"/>
        <n v="2614"/>
        <n v="814"/>
        <n v="1919"/>
        <n v="10731"/>
        <n v="25942"/>
        <n v="2864"/>
        <n v="49631"/>
        <n v="25190"/>
        <n v="27114"/>
        <n v="22590"/>
        <n v="54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370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1990"/>
        <n v="5174"/>
        <n v="3424"/>
        <n v="60646"/>
        <n v="63165"/>
        <n v="2856"/>
        <n v="504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4368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430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6946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3524"/>
        <n v="29824"/>
        <n v="10419"/>
        <n v="8281"/>
        <n v="1302"/>
        <n v="2465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3860"/>
        <n v="1409"/>
        <n v="17913"/>
        <n v="28643"/>
        <n v="1531"/>
        <n v="1013"/>
        <n v="32232"/>
        <n v="13209"/>
        <n v="12088"/>
        <n v="3537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1412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64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9776"/>
        <n v="10623"/>
        <n v="2151"/>
        <n v="1352"/>
        <n v="22668"/>
        <n v="31224"/>
        <n v="1395"/>
        <n v="17871"/>
        <n v="7053"/>
        <n v="22889"/>
        <n v="38809"/>
        <n v="16536"/>
        <n v="23745"/>
        <n v="34774"/>
        <n v="36897"/>
        <n v="14918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026"/>
        <n v="12133"/>
        <n v="18239"/>
        <n v="2367"/>
        <n v="16277"/>
        <n v="5497"/>
        <n v="2433"/>
        <n v="2876"/>
        <n v="6299"/>
        <n v="14574"/>
        <n v="589"/>
        <n v="36167"/>
        <n v="3150"/>
        <n v="5081"/>
        <n v="16098"/>
        <n v="4416"/>
        <n v="45271"/>
        <n v="16484"/>
        <n v="2710"/>
        <n v="9814"/>
        <n v="16121"/>
        <n v="23325"/>
        <n v="411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2287"/>
        <n v="3888"/>
        <n v="13905"/>
        <n v="3983"/>
        <n v="22458"/>
        <n v="1359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403"/>
        <n v="15803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5468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36873"/>
        <n v="13421"/>
        <n v="37967"/>
        <n v="10163"/>
        <n v="57426"/>
        <n v="13430"/>
        <n v="6729"/>
        <n v="53094"/>
        <n v="30383"/>
        <n v="16967"/>
        <n v="14007"/>
        <n v="22417"/>
        <n v="428"/>
        <n v="1816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44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2758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381"/>
        <n v="5702"/>
        <n v="5461"/>
        <n v="29926"/>
        <n v="52885"/>
        <n v="24107"/>
        <n v="11972"/>
        <n v="3954"/>
        <n v="16481"/>
        <n v="1385"/>
        <n v="32831"/>
        <n v="1863"/>
        <n v="2795"/>
        <n v="24316"/>
        <n v="1418"/>
        <n v="12884"/>
        <n v="2035"/>
        <n v="23051"/>
        <n v="29748"/>
        <n v="18141"/>
        <n v="2353"/>
        <n v="3743"/>
        <n v="27666"/>
        <n v="1823"/>
        <n v="33615"/>
        <n v="22209"/>
        <n v="5390"/>
        <n v="18793"/>
        <n v="33548"/>
        <n v="3718"/>
        <n v="371"/>
        <n v="2096"/>
        <n v="4660"/>
        <n v="15192"/>
        <n v="95"/>
        <n v="6863"/>
        <n v="8349"/>
        <n v="12344"/>
        <n v="9176"/>
        <n v="15658"/>
        <n v="6315"/>
        <n v="14619"/>
        <n v="33233"/>
        <n v="2070"/>
        <n v="2104"/>
        <n v="2704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7493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654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610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091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2787"/>
        <n v="390"/>
        <n v="1070"/>
        <n v="4486"/>
        <n v="12970"/>
        <n v="3044"/>
        <n v="1488"/>
        <n v="1238"/>
        <n v="3074"/>
        <n v="23920"/>
        <n v="1827"/>
        <n v="108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4103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2612"/>
        <n v="6267"/>
        <n v="2115"/>
        <n v="12286"/>
        <n v="3243"/>
        <n v="5240"/>
        <n v="2630"/>
        <n v="554"/>
        <n v="568"/>
        <n v="1930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5160"/>
        <n v="196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4900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599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2255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3438"/>
        <n v="2643"/>
        <n v="677"/>
        <n v="5443"/>
        <n v="1075"/>
        <n v="966"/>
        <n v="2178"/>
        <n v="28027"/>
        <n v="36258"/>
        <n v="3185"/>
        <n v="3001"/>
        <n v="4722"/>
        <n v="3612"/>
        <n v="5709"/>
        <n v="2603"/>
        <n v="3592"/>
        <n v="2471"/>
        <n v="19689"/>
        <n v="24154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1361"/>
        <n v="14744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3823"/>
        <n v="4334"/>
        <n v="3227"/>
        <n v="3125"/>
        <n v="1005"/>
        <n v="1573"/>
        <n v="1508"/>
        <n v="50"/>
        <n v="1980"/>
        <n v="5377"/>
        <n v="3874"/>
        <n v="1783"/>
        <n v="1564"/>
        <n v="1068"/>
        <n v="24640"/>
        <n v="14978"/>
        <n v="13"/>
        <n v="3386"/>
        <n v="52621"/>
        <n v="1778"/>
        <n v="23122"/>
        <n v="301"/>
        <n v="2291"/>
        <n v="5942"/>
        <n v="1790"/>
        <n v="369"/>
        <n v="843"/>
        <n v="4863"/>
        <n v="2604"/>
        <n v="18688"/>
        <n v="2114"/>
        <n v="2859"/>
        <n v="27759"/>
        <n v="13093"/>
        <n v="13649"/>
        <n v="391"/>
        <n v="14504"/>
        <n v="4151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20201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1073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341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910"/>
        <n v="20499"/>
        <n v="1748"/>
        <n v="6137"/>
        <n v="60683"/>
        <n v="2577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3295"/>
        <n v="2266"/>
        <n v="16827"/>
        <n v="20051"/>
        <n v="3797"/>
        <n v="286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307"/>
        <n v="5706"/>
        <n v="1297"/>
        <n v="32930"/>
        <n v="24719"/>
        <n v="4253"/>
        <n v="16252"/>
        <n v="21519"/>
        <n v="1518"/>
        <n v="4473"/>
        <n v="22516"/>
        <n v="1887"/>
        <n v="545"/>
        <n v="29773"/>
        <n v="19620"/>
        <n v="3095"/>
        <n v="2806"/>
        <n v="229"/>
        <n v="1831"/>
        <n v="15795"/>
        <n v="13159"/>
        <n v="1383"/>
        <n v="3309"/>
        <n v="5404"/>
        <n v="810"/>
        <n v="4169"/>
        <n v="23562"/>
        <n v="18855"/>
        <n v="17873"/>
        <n v="2567"/>
        <n v="5085"/>
        <n v="52970"/>
        <n v="2702"/>
        <n v="11898"/>
        <n v="17109"/>
        <n v="11534"/>
        <n v="46186"/>
        <n v="40585"/>
        <n v="3400"/>
        <n v="57308"/>
        <n v="1500"/>
        <n v="1845"/>
        <n v="10438"/>
        <n v="17533"/>
        <n v="386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66"/>
        <n v="3211"/>
        <n v="2171"/>
        <n v="3436"/>
        <n v="5535"/>
        <n v="28867"/>
        <n v="3944"/>
        <n v="4710"/>
        <n v="4"/>
        <n v="858"/>
        <n v="19168"/>
        <n v="11669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525"/>
        <n v="3313"/>
        <n v="26451"/>
        <n v="6341"/>
        <n v="2452"/>
        <n v="1560"/>
        <n v="4696"/>
        <n v="6420"/>
        <n v="812"/>
        <n v="11969"/>
        <n v="15790"/>
        <n v="1721"/>
        <n v="2495"/>
        <n v="4311"/>
        <n v="10894"/>
        <n v="46022"/>
        <n v="4186"/>
        <n v="71973"/>
        <n v="3286"/>
        <n v="24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2170"/>
        <n v="12534"/>
        <n v="19068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1166"/>
        <n v="4692"/>
        <n v="1041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673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3535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3850"/>
        <n v="4378"/>
        <n v="13495"/>
        <n v="1315"/>
        <n v="16937"/>
        <n v="3784"/>
        <n v="39690"/>
        <n v="235"/>
        <n v="1095"/>
        <n v="21195"/>
        <n v="37315"/>
        <n v="52122"/>
        <n v="19945"/>
        <n v="12841"/>
        <n v="3744"/>
        <n v="33565"/>
        <n v="11994"/>
        <n v="14180"/>
        <n v="1855"/>
        <n v="4431"/>
        <n v="3067"/>
        <n v="1217"/>
        <n v="1749"/>
        <n v="2498"/>
        <n v="2537"/>
        <n v="911"/>
        <n v="1634"/>
        <n v="3065"/>
        <n v="27659"/>
        <n v="2062"/>
        <n v="4952"/>
        <n v="1282"/>
        <n v="2346"/>
        <n v="21163"/>
        <n v="16651"/>
        <n v="2230"/>
        <n v="896"/>
        <n v="210"/>
        <n v="29692"/>
        <n v="48482"/>
        <n v="2107"/>
        <n v="43560"/>
        <n v="28987"/>
        <n v="582"/>
        <n v="5023"/>
        <n v="11431"/>
        <n v="583"/>
        <n v="23566"/>
        <n v="611"/>
        <n v="2165"/>
        <n v="2413"/>
        <n v="12574"/>
        <n v="9662"/>
        <n v="4990"/>
        <n v="142"/>
        <n v="2930"/>
        <n v="25143"/>
        <n v="16090"/>
        <n v="539"/>
        <n v="4351"/>
        <n v="1591"/>
        <n v="5954"/>
        <n v="13809"/>
        <n v="890"/>
        <n v="3204"/>
        <n v="53"/>
        <n v="48"/>
        <n v="27797"/>
        <n v="285"/>
        <n v="2204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4971"/>
        <n v="1523"/>
        <n v="5470"/>
        <n v="5737"/>
        <n v="23689"/>
        <n v="24436"/>
        <n v="1088"/>
        <n v="23769"/>
        <n v="14699"/>
        <n v="24263"/>
        <n v="28011"/>
        <n v="7122"/>
        <n v="13823"/>
        <n v="12643"/>
        <n v="11013"/>
        <n v="3847"/>
        <n v="3345"/>
        <n v="57077"/>
        <n v="16196"/>
        <n v="20798"/>
        <n v="23242"/>
        <n v="2450"/>
        <n v="22040"/>
        <n v="829"/>
        <n v="1509"/>
        <n v="31187"/>
        <n v="63194"/>
        <n v="2453"/>
        <n v="672"/>
        <n v="3671"/>
        <n v="24248"/>
        <n v="735"/>
        <n v="4142"/>
        <n v="365"/>
        <n v="3276"/>
        <n v="1618"/>
        <n v="1059"/>
        <n v="214"/>
        <n v="2936"/>
        <n v="1795"/>
        <n v="3100"/>
        <n v="4664"/>
        <n v="2790"/>
        <n v="6657"/>
        <n v="15170"/>
        <n v="27237"/>
        <n v="1203"/>
        <n v="1943"/>
        <n v="1484"/>
        <n v="1725"/>
        <n v="3152"/>
        <n v="775"/>
        <n v="2019"/>
        <n v="16031"/>
        <n v="13619"/>
        <n v="540"/>
        <n v="3153"/>
        <n v="5386"/>
        <n v="11632"/>
        <n v="34838"/>
        <n v="4239"/>
        <n v="38494"/>
        <n v="3769"/>
        <n v="39989"/>
        <n v="2216"/>
        <n v="8094"/>
        <n v="4221"/>
        <n v="788"/>
        <n v="5568"/>
        <n v="42484"/>
        <n v="2590"/>
        <n v="773"/>
        <n v="15922"/>
        <n v="14617"/>
        <n v="1011"/>
        <n v="37766"/>
        <n v="24134"/>
        <n v="3284"/>
        <n v="4629"/>
        <n v="13576"/>
        <n v="30"/>
        <n v="16805"/>
        <n v="3003"/>
        <n v="24324"/>
        <n v="1254"/>
        <n v="18630"/>
        <n v="72115"/>
        <n v="3994"/>
        <n v="6035"/>
        <n v="27572"/>
        <n v="4089"/>
        <n v="3162"/>
        <n v="98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1196"/>
        <n v="18786"/>
        <n v="6539"/>
        <n v="3402"/>
        <n v="3869"/>
        <n v="4480"/>
        <n v="575"/>
        <n v="88953"/>
        <n v="2851"/>
        <n v="1530"/>
        <n v="4293"/>
        <n v="1058"/>
        <n v="2382"/>
        <n v="5746"/>
        <n v="1660"/>
        <n v="20188"/>
        <n v="52571"/>
        <n v="2110"/>
        <n v="1454"/>
        <n v="1735"/>
        <n v="2898"/>
        <n v="11248"/>
        <n v="4662"/>
        <n v="33903"/>
        <n v="2609"/>
        <n v="1945"/>
        <n v="12338"/>
        <n v="34319"/>
        <n v="17775"/>
        <n v="13189"/>
        <n v="389"/>
        <n v="2462"/>
        <n v="329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14903"/>
        <n v="88422"/>
        <n v="3598"/>
        <n v="1780"/>
        <n v="10507"/>
        <n v="5123"/>
        <n v="0"/>
        <n v="1885"/>
        <n v="18760"/>
        <n v="4039"/>
        <n v="17050"/>
        <n v="18752"/>
        <n v="4374"/>
        <n v="2173"/>
        <n v="23296"/>
        <n v="861"/>
        <n v="25263"/>
        <n v="537"/>
        <n v="1557"/>
        <n v="8189"/>
        <n v="904"/>
        <n v="7567"/>
        <n v="2915"/>
        <n v="44061"/>
        <n v="2698"/>
        <n v="1189"/>
        <n v="2327"/>
        <n v="1934"/>
        <n v="9941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23409"/>
        <n v="1343"/>
        <n v="1019"/>
        <n v="2700"/>
        <n v="707"/>
        <n v="2185"/>
        <n v="3177"/>
        <n v="2240"/>
        <n v="2907"/>
        <n v="2848"/>
        <n v="4218"/>
        <n v="5705"/>
        <n v="39507"/>
        <n v="21200"/>
        <n v="838"/>
        <n v="2295"/>
        <n v="3979"/>
        <n v="3493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1978"/>
        <n v="22319"/>
        <n v="991"/>
        <n v="39515"/>
        <n v="1592"/>
        <n v="82"/>
        <n v="182"/>
        <n v="1577"/>
        <n v="15612"/>
        <n v="3785"/>
        <n v="10982"/>
        <n v="726"/>
        <n v="1113"/>
        <n v="20472"/>
        <n v="15680"/>
        <n v="1092"/>
        <n v="27425"/>
        <n v="17957"/>
        <n v="16355"/>
        <n v="2608"/>
        <n v="1601"/>
        <n v="2398"/>
        <n v="5547"/>
        <n v="15914"/>
        <n v="3092"/>
        <n v="1212"/>
        <n v="3023"/>
        <n v="2560"/>
        <n v="3230"/>
        <n v="2872"/>
        <n v="1465"/>
        <n v="2374"/>
        <n v="1292"/>
        <n v="2020"/>
        <n v="35561"/>
        <n v="2429"/>
        <n v="44"/>
        <n v="635"/>
        <n v="28094"/>
        <n v="1985"/>
        <n v="4094"/>
        <n v="1131"/>
        <n v="5519"/>
        <n v="3260"/>
        <n v="14579"/>
        <n v="8972"/>
        <n v="120797"/>
        <n v="25489"/>
        <n v="1876"/>
        <n v="151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2546"/>
        <n v="14672"/>
        <n v="21668"/>
        <n v="1353"/>
        <n v="313"/>
        <n v="4868"/>
        <n v="2653"/>
        <n v="4877"/>
        <n v="5024"/>
        <n v="2032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1067"/>
        <n v="676"/>
        <n v="1466"/>
        <n v="2368"/>
        <n v="711"/>
        <n v="1263"/>
        <n v="1341"/>
        <n v="56585"/>
        <n v="39307"/>
        <n v="653"/>
        <n v="46944"/>
        <n v="1356"/>
        <n v="1598"/>
        <n v="5671"/>
        <n v="14843"/>
        <n v="39463"/>
        <n v="167"/>
        <n v="1498"/>
        <n v="2319"/>
        <n v="2215"/>
        <n v="1032"/>
        <n v="198"/>
        <n v="3212"/>
        <n v="1243"/>
        <n v="25804"/>
        <n v="17584"/>
        <n v="3699"/>
        <n v="13545"/>
        <n v="816"/>
        <n v="14385"/>
        <n v="2124"/>
        <n v="1373"/>
        <n v="16735"/>
        <n v="245"/>
        <n v="956"/>
        <n v="4228"/>
        <n v="1164"/>
        <n v="50284"/>
        <n v="3627"/>
        <n v="35345"/>
        <n v="4400"/>
        <n v="2164"/>
        <n v="5306"/>
        <n v="19410"/>
        <n v="3294"/>
        <n v="25549"/>
        <n v="17396"/>
        <n v="4500"/>
        <n v="2713"/>
        <n v="952"/>
        <n v="4797"/>
        <n v="1538"/>
        <n v="12676"/>
        <n v="3344"/>
        <n v="2365"/>
        <n v="4060"/>
        <n v="2135"/>
        <n v="6317"/>
        <n v="1567"/>
        <n v="2016"/>
        <n v="5992"/>
        <n v="3007"/>
        <n v="760"/>
        <n v="27381"/>
        <n v="1727"/>
        <n v="805"/>
        <n v="4210"/>
        <n v="409"/>
        <n v="14492"/>
        <n v="2340"/>
        <n v="1364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561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3835"/>
        <n v="12766"/>
        <n v="2518"/>
        <n v="1889"/>
        <n v="11019"/>
        <n v="5056"/>
        <n v="3935"/>
        <n v="329"/>
        <n v="11091"/>
        <n v="5273"/>
        <n v="2896"/>
        <n v="3583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13"/>
        <n v="20295"/>
        <n v="2419"/>
        <n v="2667"/>
        <n v="20154"/>
        <n v="1949"/>
        <n v="3617"/>
        <n v="1018"/>
        <n v="486"/>
        <n v="1953"/>
        <n v="6510"/>
        <n v="29370"/>
        <n v="3707"/>
        <n v="34025"/>
        <n v="29252"/>
        <n v="15800"/>
        <n v="4567"/>
        <n v="12170"/>
        <n v="114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5644"/>
        <n v="1172"/>
        <n v="15209"/>
        <n v="729"/>
        <n v="12685"/>
        <n v="1139"/>
        <n v="2377"/>
        <n v="29475"/>
        <n v="4676"/>
        <n v="981"/>
        <n v="47728"/>
        <n v="5012"/>
        <n v="12178"/>
        <n v="13524"/>
        <n v="3161"/>
        <n v="16502"/>
        <n v="2166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3809"/>
        <n v="1252"/>
        <n v="1351"/>
        <n v="6748"/>
        <n v="527"/>
        <n v="5426"/>
        <n v="203"/>
        <n v="962"/>
        <n v="14889"/>
        <n v="3578"/>
        <n v="134"/>
        <n v="15293"/>
        <n v="1432"/>
        <n v="18639"/>
        <n v="801"/>
        <n v="32814"/>
        <n v="1732"/>
        <n v="1245"/>
        <n v="2528"/>
        <n v="29488"/>
        <n v="363"/>
        <n v="192"/>
        <n v="1585"/>
        <n v="15500"/>
        <n v="38963"/>
        <n v="33791"/>
        <n v="2140"/>
        <n v="994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2226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372"/>
        <n v="15337"/>
        <n v="12776"/>
        <n v="10368"/>
        <n v="678"/>
        <n v="417"/>
        <n v="446"/>
        <n v="16431"/>
        <n v="17250"/>
        <n v="799"/>
        <n v="1429"/>
        <n v="243"/>
        <n v="2243"/>
        <n v="14638"/>
        <n v="2207"/>
        <n v="4377"/>
        <n v="39789"/>
        <n v="1724"/>
        <n v="2447"/>
        <n v="4702"/>
        <n v="25"/>
        <n v="14726"/>
        <n v="4757"/>
        <n v="1767"/>
        <n v="2334"/>
        <n v="529"/>
        <n v="19086"/>
        <n v="50141"/>
        <n v="2895"/>
        <n v="714"/>
        <n v="38072"/>
        <n v="14160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3352"/>
        <n v="2499"/>
        <n v="31005"/>
        <n v="998"/>
        <n v="6485"/>
        <n v="6910"/>
        <n v="18864"/>
        <n v="13208"/>
        <n v="2417"/>
        <n v="14372"/>
        <n v="39473"/>
        <n v="37606"/>
        <n v="13631"/>
        <n v="3474"/>
        <n v="17104"/>
        <n v="7875"/>
        <n v="2011"/>
        <n v="796"/>
        <n v="2812"/>
        <n v="14133"/>
        <n v="1483"/>
        <n v="931"/>
        <n v="20456"/>
        <n v="14347"/>
        <n v="23602"/>
        <n v="9244"/>
        <n v="32288"/>
        <n v="1813"/>
        <n v="3700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1306"/>
        <n v="52138"/>
        <n v="140268"/>
        <n v="18765"/>
        <n v="5006"/>
        <n v="6105"/>
        <n v="7072"/>
        <n v="52"/>
        <n v="10565"/>
        <n v="14890"/>
        <n v="5592"/>
        <n v="6091"/>
        <n v="2376"/>
        <n v="4659"/>
        <n v="3963"/>
        <n v="3646"/>
        <n v="3798"/>
        <n v="3931"/>
        <n v="4551"/>
        <n v="10575"/>
        <n v="28767"/>
        <n v="2939"/>
        <n v="3250"/>
        <n v="3906"/>
        <n v="12274"/>
        <n v="1456"/>
        <n v="34700"/>
        <n v="469"/>
        <n v="1595"/>
        <n v="1244"/>
        <n v="2440"/>
        <n v="1819"/>
        <n v="1141"/>
        <n v="3848"/>
        <n v="4755"/>
        <n v="1291"/>
        <n v="1445"/>
        <n v="4497"/>
        <n v="1540"/>
        <n v="7166"/>
        <n v="4277"/>
        <n v="22577"/>
        <n v="456"/>
        <n v="2378"/>
        <n v="141"/>
        <n v="2126"/>
        <n v="3099"/>
        <n v="3878"/>
        <n v="1952"/>
        <n v="11"/>
        <n v="17417"/>
        <n v="18"/>
        <n v="1501"/>
        <n v="91"/>
        <n v="1854"/>
        <n v="708"/>
        <n v="433"/>
        <n v="2059"/>
        <n v="663"/>
        <n v="39175"/>
        <n v="895"/>
        <n v="2987"/>
        <n v="244"/>
        <n v="2053"/>
        <n v="13485"/>
        <n v="24063"/>
        <n v="1966"/>
        <n v="3507"/>
        <n v="23811"/>
        <n v="1853"/>
        <n v="3280"/>
        <n v="20466"/>
        <n v="179"/>
        <n v="3435"/>
        <n v="3135"/>
        <n v="2562"/>
        <n v="2436"/>
        <n v="903"/>
        <n v="6223"/>
        <n v="3101"/>
        <n v="3376"/>
        <n v="14735"/>
        <n v="1661"/>
        <n v="995"/>
        <n v="1104"/>
        <n v="4291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800"/>
        <n v="28004"/>
        <n v="150"/>
        <n v="3117"/>
        <n v="5286"/>
        <n v="248"/>
        <n v="378"/>
        <n v="10822"/>
        <n v="2640"/>
        <n v="2271"/>
        <n v="1228"/>
        <n v="2811"/>
        <n v="20312"/>
        <n v="2272"/>
        <n v="592"/>
        <n v="1121"/>
        <n v="1526"/>
        <n v="1807"/>
        <n v="175"/>
        <n v="63710"/>
        <n v="27660"/>
        <n v="3189"/>
        <n v="27378"/>
        <n v="5270"/>
        <n v="28734"/>
        <n v="3492"/>
        <n v="2013"/>
        <n v="5264"/>
        <n v="11895"/>
        <n v="3362"/>
        <n v="7461"/>
        <n v="13162"/>
        <n v="20795"/>
        <n v="1593"/>
        <n v="2197"/>
        <n v="1529"/>
        <n v="3192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3691"/>
        <n v="5804"/>
        <n v="2402"/>
        <n v="15251"/>
        <n v="12946"/>
        <n v="2149"/>
        <n v="857"/>
        <n v="7552"/>
        <n v="15716"/>
        <n v="3317"/>
        <n v="4789"/>
        <n v="19065"/>
        <n v="361"/>
        <n v="3119"/>
        <n v="3416"/>
        <n v="6296"/>
        <n v="571"/>
        <n v="13960"/>
        <n v="3973"/>
        <n v="3752"/>
        <n v="17204"/>
        <n v="4053"/>
        <n v="3871"/>
        <n v="3215"/>
        <n v="22485"/>
        <n v="6388"/>
        <n v="12418"/>
        <n v="6046"/>
        <n v="13626"/>
        <n v="1856"/>
        <n v="2618"/>
        <n v="3651"/>
        <n v="7747"/>
        <n v="4769"/>
        <n v="2198"/>
        <n v="3858"/>
        <n v="3818"/>
        <n v="5139"/>
        <n v="29"/>
        <n v="26961"/>
        <n v="2061"/>
        <n v="1022"/>
        <n v="2791"/>
        <n v="3745"/>
        <n v="2446"/>
        <n v="18712"/>
        <n v="474"/>
        <n v="5262"/>
        <n v="13160"/>
        <n v="5732"/>
        <n v="2735"/>
        <n v="1891"/>
        <n v="267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56"/>
        <n v="1283"/>
        <n v="18652"/>
        <n v="768"/>
        <n v="3049"/>
        <n v="50542"/>
        <n v="5761"/>
        <n v="18236"/>
        <n v="17469"/>
        <n v="4579"/>
        <n v="221"/>
        <n v="3465"/>
        <n v="2655"/>
        <n v="16118"/>
        <n v="3124"/>
        <n v="3146"/>
        <n v="2519"/>
        <n v="4725"/>
        <n v="940"/>
        <n v="375"/>
        <n v="14656"/>
        <n v="934"/>
        <n v="964"/>
        <n v="7637"/>
        <n v="31325"/>
        <n v="81"/>
        <n v="2227"/>
        <n v="3937"/>
        <n v="2739"/>
        <n v="569"/>
        <n v="4686"/>
        <n v="18983"/>
        <n v="1674"/>
        <n v="3939"/>
        <n v="9432"/>
        <n v="2127"/>
        <n v="35634"/>
        <n v="3827"/>
        <n v="4109"/>
        <n v="448"/>
        <n v="34398"/>
        <n v="23962"/>
        <n v="1586"/>
        <n v="1836"/>
        <n v="15835"/>
        <n v="1248"/>
        <n v="13762"/>
        <n v="2524"/>
        <n v="1094"/>
        <n v="21711"/>
        <n v="15014"/>
        <n v="3661"/>
        <n v="5420"/>
        <n v="1633"/>
        <n v="6807"/>
        <n v="4409"/>
        <n v="3114"/>
        <n v="25660"/>
        <n v="17336"/>
        <n v="845"/>
        <n v="1611"/>
        <n v="1345"/>
        <n v="23770"/>
        <n v="358"/>
        <n v="2478"/>
        <n v="4908"/>
        <n v="3824"/>
        <n v="639"/>
        <n v="1991"/>
        <n v="2007"/>
        <n v="3767"/>
        <n v="24102"/>
        <n v="4617"/>
        <n v="32"/>
        <n v="2942"/>
        <n v="251"/>
        <n v="1426"/>
        <n v="299"/>
        <n v="1098"/>
        <n v="1835"/>
        <n v="10369"/>
        <n v="6426"/>
        <n v="822"/>
        <n v="2310"/>
        <n v="498"/>
        <n v="1129"/>
        <n v="6954"/>
        <n v="2802"/>
        <n v="4458"/>
        <n v="13172"/>
        <n v="1097"/>
        <n v="8097"/>
        <n v="1510"/>
        <n v="47"/>
        <n v="3516"/>
        <n v="1637"/>
        <n v="36892"/>
        <n v="3164"/>
        <n v="97"/>
        <n v="3279"/>
        <n v="8532"/>
        <n v="823"/>
        <n v="4004"/>
        <n v="128"/>
        <n v="2350"/>
        <n v="4168"/>
        <n v="808"/>
        <n v="16557"/>
        <n v="5673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1455"/>
        <n v="1279"/>
        <n v="37645"/>
        <n v="1760"/>
        <n v="2832"/>
        <n v="2400"/>
        <n v="25792"/>
        <n v="25462"/>
        <n v="27646"/>
        <n v="17524"/>
        <n v="1183"/>
        <n v="16982"/>
        <n v="3293"/>
        <n v="5190"/>
        <n v="3502"/>
        <n v="3291"/>
        <n v="2687"/>
        <n v="13180"/>
        <n v="6034"/>
        <n v="1442"/>
        <n v="2265"/>
        <n v="3543"/>
        <n v="2404"/>
        <n v="2786"/>
        <n v="7692"/>
        <n v="15848"/>
        <n v="75"/>
        <n v="517"/>
        <n v="3921"/>
        <n v="1234"/>
        <n v="6343"/>
        <n v="41645"/>
        <n v="1378"/>
        <n v="786"/>
        <n v="9608"/>
        <n v="11770"/>
        <n v="29196"/>
        <n v="2512"/>
        <n v="326"/>
        <n v="28"/>
        <n v="37457"/>
        <n v="733"/>
        <n v="33858"/>
        <n v="219"/>
        <n v="1546"/>
        <n v="1389"/>
        <n v="2284"/>
        <n v="2741"/>
        <n v="12619"/>
        <n v="4737"/>
        <n v="407"/>
        <n v="10218"/>
        <n v="25092"/>
        <n v="4707"/>
        <n v="4198"/>
        <n v="1871"/>
        <n v="4091"/>
        <n v="41867"/>
        <n v="15396"/>
        <n v="262"/>
        <n v="1176"/>
        <n v="7206"/>
        <n v="4370"/>
        <n v="1754"/>
        <n v="4099"/>
        <n v="19879"/>
        <n v="2428"/>
        <n v="28817"/>
        <n v="835"/>
        <n v="1105"/>
        <n v="28122"/>
        <n v="791"/>
        <n v="54075"/>
        <n v="1051"/>
        <n v="46646"/>
        <n v="2212"/>
        <n v="2515"/>
        <n v="16289"/>
        <n v="5959"/>
        <n v="29769"/>
        <n v="22140"/>
        <n v="33758"/>
        <n v="19949"/>
        <n v="2951"/>
        <n v="17611"/>
        <n v="5282"/>
        <n v="1379"/>
        <n v="13448"/>
        <n v="7970"/>
        <n v="4837"/>
        <n v="345"/>
        <n v="19330"/>
        <n v="3110"/>
        <n v="14816"/>
        <n v="312"/>
        <n v="3128"/>
        <n v="493"/>
        <n v="2352"/>
        <n v="11116"/>
        <n v="12051"/>
        <n v="9984"/>
        <n v="2158"/>
        <n v="6526"/>
        <n v="3547"/>
        <n v="2909"/>
        <n v="2589"/>
        <n v="11059"/>
        <n v="8876"/>
        <n v="2209"/>
        <n v="215"/>
        <n v="684"/>
        <n v="5213"/>
        <n v="44969"/>
        <n v="13000"/>
        <n v="1251"/>
        <n v="9660"/>
        <n v="2029"/>
        <n v="8"/>
        <n v="27756"/>
        <n v="12680"/>
        <n v="218"/>
        <n v="236"/>
        <n v="17209"/>
        <n v="18643"/>
        <n v="3009"/>
        <n v="414"/>
        <n v="17377"/>
        <n v="333"/>
        <n v="2119"/>
        <n v="490"/>
        <n v="35717"/>
        <n v="343"/>
        <n v="666"/>
        <n v="225"/>
        <n v="106"/>
        <n v="936"/>
        <n v="1285"/>
        <n v="2442"/>
        <n v="4840"/>
        <n v="2475"/>
        <n v="1140"/>
        <n v="394"/>
        <n v="1405"/>
        <n v="105"/>
        <n v="15230"/>
        <n v="29277"/>
        <n v="21107"/>
        <n v="846"/>
        <n v="14462"/>
        <n v="1904"/>
        <n v="3582"/>
        <n v="200"/>
        <n v="1163"/>
        <n v="39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844"/>
        <n v="1517"/>
        <n v="2697"/>
        <n v="51355"/>
        <n v="10123"/>
        <n v="3825"/>
        <n v="3569"/>
        <n v="4484"/>
        <n v="7103"/>
        <n v="2103"/>
        <n v="18947"/>
        <n v="5668"/>
        <n v="3318"/>
        <n v="382"/>
        <n v="546"/>
        <n v="8297"/>
        <n v="489"/>
        <n v="1407"/>
        <n v="2379"/>
        <n v="2748"/>
        <n v="297"/>
        <n v="841"/>
        <n v="2000"/>
        <n v="282"/>
        <n v="2163"/>
        <n v="2430"/>
        <n v="1081"/>
        <n v="15604"/>
        <n v="14599"/>
        <n v="2200"/>
        <n v="2152"/>
        <n v="27575"/>
        <n v="1940"/>
        <n v="3469"/>
        <n v="2563"/>
        <n v="477"/>
        <n v="1858"/>
        <n v="12772"/>
        <n v="34605"/>
        <n v="6569"/>
        <n v="502"/>
        <n v="1443"/>
        <n v="2205"/>
        <n v="1477"/>
        <n v="1239"/>
        <n v="2201"/>
        <n v="2584"/>
        <n v="1065"/>
        <n v="73"/>
        <n v="72"/>
        <n v="2387"/>
        <n v="2723"/>
        <n v="888"/>
        <n v="44265"/>
        <n v="17599"/>
        <n v="34106"/>
        <n v="16768"/>
        <n v="396"/>
        <n v="745"/>
        <n v="1033"/>
        <n v="2892"/>
        <n v="6776"/>
        <n v="118"/>
        <n v="1519"/>
        <n v="2030"/>
        <n v="4883"/>
        <n v="6111"/>
        <n v="385"/>
        <n v="1832"/>
        <n v="955"/>
        <n v="631"/>
        <n v="454"/>
        <n v="787"/>
        <n v="4134"/>
        <n v="1770"/>
        <n v="1584"/>
        <n v="688"/>
        <n v="1920"/>
        <n v="42002"/>
        <n v="11736"/>
        <n v="2161"/>
        <n v="13864"/>
        <n v="17738"/>
        <n v="11771"/>
        <n v="2071"/>
        <n v="1122"/>
        <n v="8375"/>
        <n v="854"/>
        <n v="2014"/>
        <n v="15710"/>
        <n v="2410"/>
        <n v="2868"/>
        <n v="1410"/>
        <n v="2840"/>
        <n v="3843"/>
        <n v="19673"/>
        <n v="2112"/>
        <n v="14306"/>
        <n v="12306"/>
        <n v="4856"/>
        <n v="11400"/>
        <n v="1160"/>
        <n v="2383"/>
        <n v="259"/>
        <n v="23714"/>
        <n v="1332"/>
        <n v="2269"/>
        <n v="315"/>
        <n v="1199"/>
        <n v="13591"/>
        <n v="3942"/>
        <n v="5202"/>
        <n v="2691"/>
        <n v="5245"/>
        <n v="19404"/>
        <n v="5900"/>
        <n v="416"/>
        <n v="25676"/>
        <n v="1324"/>
        <n v="6617"/>
        <n v="10517"/>
        <n v="1209"/>
        <n v="24994"/>
        <n v="12897"/>
        <n v="5185"/>
        <n v="1665"/>
        <n v="648"/>
        <n v="13718"/>
        <n v="172"/>
        <n v="6"/>
        <n v="4987"/>
        <n v="3207"/>
        <n v="2984"/>
        <n v="1010"/>
        <n v="408"/>
        <n v="1789"/>
        <n v="5203"/>
        <n v="117"/>
        <n v="526"/>
        <n v="3724"/>
        <n v="10727"/>
        <n v="3217"/>
        <n v="4092"/>
        <n v="1986"/>
        <n v="2509"/>
        <n v="3514"/>
        <n v="1681"/>
        <n v="5191"/>
        <n v="4991"/>
        <n v="3021"/>
        <n v="46115"/>
        <n v="2849"/>
        <n v="92"/>
        <n v="3967"/>
        <n v="2363"/>
        <n v="3690"/>
        <n v="2545"/>
        <n v="11703"/>
        <n v="2469"/>
        <n v="302"/>
        <n v="2409"/>
        <n v="34779"/>
        <n v="18105"/>
        <n v="15093"/>
        <n v="122"/>
        <n v="3113"/>
        <n v="1662"/>
        <n v="1862"/>
        <n v="5002"/>
        <n v="588"/>
        <n v="26050"/>
        <n v="1587"/>
        <n v="3668"/>
        <n v="2235"/>
        <n v="496"/>
        <n v="17040"/>
        <n v="5041"/>
        <n v="907"/>
        <n v="29325"/>
        <n v="398"/>
        <n v="131"/>
        <n v="15860"/>
        <n v="20397"/>
        <n v="3089"/>
        <n v="4810"/>
        <n v="497"/>
        <n v="61"/>
        <n v="21404"/>
        <n v="2553"/>
        <n v="3026"/>
        <n v="938"/>
        <n v="206"/>
        <n v="2412"/>
        <n v="1951"/>
        <n v="403"/>
        <n v="32015"/>
        <n v="12691"/>
        <n v="825"/>
        <n v="26489"/>
        <n v="13707"/>
        <n v="2634"/>
        <n v="1218"/>
        <n v="4807"/>
        <n v="986"/>
        <n v="18645"/>
        <n v="837"/>
        <n v="1785"/>
        <n v="2649"/>
        <n v="46868"/>
        <n v="20132"/>
        <n v="3354"/>
        <n v="1652"/>
        <n v="50831"/>
        <n v="954"/>
        <n v="19928"/>
        <n v="753"/>
        <n v="1566"/>
        <n v="7921"/>
        <n v="972"/>
        <n v="3559"/>
        <n v="776"/>
        <n v="1208"/>
        <n v="4777"/>
        <n v="1215"/>
        <n v="1700"/>
        <n v="3408"/>
        <n v="3130"/>
        <n v="4343"/>
        <n v="1298"/>
        <n v="975"/>
        <n v="11083"/>
        <n v="2805"/>
        <n v="916"/>
        <n v="643"/>
        <n v="25269"/>
        <n v="5796"/>
        <n v="387"/>
        <n v="1038"/>
        <n v="915"/>
        <n v="20135"/>
        <n v="629"/>
        <n v="10984"/>
        <n v="2631"/>
        <n v="183"/>
        <n v="1541"/>
        <n v="242"/>
        <n v="457"/>
        <n v="2651"/>
        <n v="609"/>
        <n v="1932"/>
        <n v="1150"/>
        <n v="5987"/>
        <n v="731"/>
        <n v="1269"/>
        <n v="2658"/>
        <n v="298"/>
        <n v="5977"/>
        <n v="17151"/>
        <n v="2195"/>
        <n v="465"/>
        <n v="2726"/>
        <n v="2886"/>
        <n v="3455"/>
        <n v="3036"/>
        <n v="4337"/>
        <n v="970"/>
        <n v="771"/>
        <n v="987"/>
        <n v="4238"/>
        <n v="836"/>
        <n v="1347"/>
        <n v="2238"/>
        <n v="3075"/>
        <n v="3574"/>
        <n v="20009"/>
        <n v="6380"/>
        <n v="1043"/>
        <n v="668"/>
        <n v="2406"/>
        <n v="2307"/>
        <n v="5526"/>
        <n v="2861"/>
        <n v="11218"/>
        <n v="22834"/>
        <n v="320"/>
        <n v="3608"/>
        <n v="26495"/>
        <n v="1211"/>
        <n v="11860"/>
        <n v="216"/>
        <n v="2076"/>
        <n v="17"/>
        <n v="2997"/>
        <n v="2693"/>
        <n v="308"/>
        <n v="170118"/>
        <n v="3468"/>
        <n v="1198"/>
        <n v="1844"/>
        <n v="1964"/>
        <n v="1965"/>
        <n v="1779"/>
        <n v="900"/>
        <n v="1472"/>
        <n v="3708"/>
        <n v="2239"/>
        <n v="159"/>
        <n v="649"/>
        <n v="1186"/>
        <n v="373"/>
        <n v="1035"/>
        <n v="1328"/>
        <n v="70"/>
        <n v="14696"/>
        <n v="4815"/>
        <n v="1444"/>
        <n v="328"/>
        <n v="2510"/>
        <n v="1616"/>
        <n v="3692"/>
        <n v="1806"/>
        <n v="1363"/>
        <n v="12250"/>
        <n v="9555"/>
        <n v="11459"/>
        <n v="36859"/>
        <n v="43810"/>
        <n v="852"/>
        <n v="1249"/>
        <n v="1663"/>
        <n v="2715"/>
        <n v="13636"/>
        <n v="3149"/>
        <n v="8353"/>
        <n v="1551"/>
        <n v="158"/>
        <n v="1030"/>
        <n v="4920"/>
        <n v="4756"/>
        <n v="3882"/>
        <n v="1929"/>
        <n v="7191"/>
        <n v="3666"/>
        <n v="2890"/>
        <n v="4469"/>
        <n v="3024"/>
        <n v="277"/>
        <n v="1989"/>
        <n v="1231"/>
        <n v="423"/>
        <n v="2305"/>
        <n v="923"/>
        <n v="2703"/>
        <n v="1797"/>
        <n v="681"/>
        <n v="434"/>
        <n v="197"/>
        <n v="2555"/>
        <n v="4701"/>
        <n v="467"/>
        <n v="205"/>
        <n v="239"/>
        <n v="19"/>
        <n v="67"/>
        <n v="3421"/>
        <n v="1111"/>
        <n v="28713"/>
        <n v="19923"/>
        <n v="36"/>
        <n v="79"/>
        <n v="1396"/>
        <n v="10040"/>
        <n v="1967"/>
        <n v="338"/>
        <n v="1064"/>
        <n v="1491"/>
        <n v="1739"/>
        <n v="163"/>
        <n v="862"/>
        <n v="4590"/>
        <n v="3157"/>
        <n v="5963"/>
        <n v="2306"/>
        <n v="1490"/>
        <n v="881"/>
        <n v="3282"/>
        <n v="3132"/>
        <n v="2580"/>
        <n v="3586"/>
        <n v="4385"/>
        <n v="12359"/>
        <n v="16"/>
        <n v="174"/>
        <n v="170"/>
        <n v="6752"/>
        <n v="3799"/>
        <n v="6085"/>
        <n v="558"/>
        <n v="1941"/>
        <n v="155"/>
        <n v="145"/>
        <n v="3873"/>
        <n v="1020"/>
        <n v="99"/>
        <n v="1736"/>
        <n v="11192"/>
        <n v="12034"/>
        <n v="3833"/>
        <n v="1404"/>
        <n v="563"/>
        <n v="2300"/>
        <n v="2290"/>
        <n v="3163"/>
        <n v="14412"/>
        <n v="65"/>
        <n v="2186"/>
        <n v="34446"/>
        <n v="1349"/>
        <n v="13145"/>
        <n v="3013"/>
        <n v="675"/>
        <n v="50313"/>
        <n v="11327"/>
        <n v="901"/>
        <n v="226"/>
        <n v="56"/>
        <n v="359"/>
        <n v="11184"/>
        <n v="11618"/>
        <n v="3427"/>
        <n v="1156"/>
        <n v="3011"/>
        <n v="51441"/>
        <n v="1511"/>
        <n v="613"/>
        <n v="865"/>
        <n v="36885"/>
        <n v="26176"/>
        <n v="4280"/>
        <n v="2522"/>
        <n v="10869"/>
        <n v="2749"/>
        <n v="1362"/>
        <n v="39518"/>
        <n v="774"/>
        <n v="14561"/>
        <n v="86"/>
        <n v="1650"/>
        <n v="322"/>
        <n v="892"/>
        <n v="2395"/>
        <n v="1884"/>
        <n v="1055"/>
        <n v="2620"/>
        <n v="15740"/>
        <n v="3683"/>
        <n v="35796"/>
        <n v="16110"/>
        <n v="15707"/>
        <n v="1425"/>
        <n v="4968"/>
        <n v="13583"/>
        <n v="19649"/>
        <n v="1204"/>
        <n v="17471"/>
        <n v="3275"/>
        <n v="176"/>
        <n v="1182"/>
        <n v="68"/>
        <n v="90"/>
        <n v="4249"/>
        <n v="1958"/>
        <n v="10570"/>
        <n v="2187"/>
        <n v="349"/>
        <n v="32405"/>
        <n v="14620"/>
        <n v="18263"/>
        <n v="2831"/>
        <n v="2439"/>
        <n v="1270"/>
        <n v="984"/>
        <n v="4306"/>
        <n v="623"/>
        <n v="2489"/>
        <n v="139"/>
        <n v="941"/>
        <n v="3970"/>
        <n v="2423"/>
        <n v="2095"/>
        <n v="763"/>
        <n v="2721"/>
        <n v="2247"/>
        <n v="3894"/>
        <n v="2196"/>
        <n v="3137"/>
        <n v="231"/>
        <n v="380"/>
        <n v="137"/>
        <n v="12157"/>
        <n v="622"/>
        <n v="1694"/>
        <n v="2564"/>
        <n v="992"/>
        <n v="1981"/>
        <n v="1168"/>
        <n v="3310"/>
        <n v="479"/>
        <n v="261818"/>
        <n v="4762"/>
        <n v="3030"/>
        <n v="856"/>
        <n v="859"/>
        <n v="33441"/>
        <n v="792"/>
        <n v="3288"/>
        <n v="352"/>
        <n v="3901"/>
        <n v="3138"/>
        <n v="2628"/>
        <n v="1240"/>
        <n v="60"/>
        <n v="721"/>
        <n v="89263"/>
        <n v="5158"/>
        <n v="165"/>
        <n v="596"/>
        <n v="4036"/>
        <n v="967"/>
        <n v="4320"/>
        <n v="2882"/>
        <n v="2870"/>
        <n v="256"/>
        <n v="2072"/>
        <n v="421"/>
        <n v="1159"/>
        <n v="28294"/>
        <n v="821"/>
        <n v="14420"/>
        <n v="83"/>
        <n v="3475"/>
        <n v="16537"/>
        <n v="289"/>
        <n v="6227"/>
        <n v="602"/>
        <n v="1499"/>
        <n v="38121"/>
        <n v="1866"/>
        <n v="2459"/>
        <n v="1961"/>
        <n v="4040"/>
        <n v="1431"/>
        <n v="5161"/>
        <n v="2893"/>
        <n v="20218"/>
        <n v="4288"/>
        <n v="4289"/>
        <n v="2681"/>
        <n v="28994"/>
        <n v="293"/>
        <n v="16089"/>
        <n v="76"/>
        <n v="54484"/>
        <n v="1438"/>
        <n v="1190"/>
        <n v="1621"/>
        <n v="630"/>
        <n v="1581"/>
        <n v="11257"/>
        <n v="1810"/>
        <n v="19957"/>
        <n v="1311"/>
        <n v="1617"/>
        <n v="1329"/>
        <n v="21"/>
        <n v="521"/>
        <n v="645"/>
        <n v="12"/>
        <n v="3442"/>
        <n v="1052"/>
        <n v="1080"/>
        <n v="16094"/>
        <n v="4878"/>
        <n v="1371"/>
        <n v="23525"/>
        <n v="4438"/>
        <n v="2665"/>
        <n v="35941"/>
        <n v="831"/>
        <n v="929"/>
        <n v="510"/>
        <n v="2082"/>
        <n v="283"/>
        <n v="42"/>
        <n v="1147"/>
        <n v="23461"/>
        <n v="21124"/>
        <n v="1447"/>
        <n v="3085"/>
        <n v="295"/>
        <n v="1107"/>
        <n v="12385"/>
        <n v="1692"/>
        <n v="1641"/>
        <n v="2289"/>
        <n v="12234"/>
        <n v="4720"/>
        <n v="7098"/>
        <n v="2369"/>
        <n v="15"/>
        <n v="3258"/>
        <n v="263584"/>
        <n v="1452"/>
        <n v="1042"/>
        <n v="3905"/>
        <n v="1647"/>
        <n v="509"/>
        <n v="928"/>
        <n v="2694"/>
        <n v="1188"/>
        <n v="920"/>
        <n v="351"/>
        <n v="2607"/>
        <n v="997"/>
        <n v="52113"/>
        <n v="1996"/>
        <n v="292"/>
        <n v="1549"/>
        <n v="2116"/>
        <n v="1350"/>
        <n v="11466"/>
        <n v="1226"/>
        <n v="109"/>
        <n v="656"/>
        <n v="2677"/>
        <n v="1713"/>
        <n v="2468"/>
        <n v="2504"/>
        <n v="104"/>
        <n v="11094"/>
        <n v="2924"/>
        <n v="264"/>
        <n v="687"/>
        <n v="4184"/>
        <n v="63"/>
        <n v="897"/>
        <n v="26017"/>
        <n v="5435"/>
        <n v="1751"/>
        <n v="926"/>
        <n v="1278"/>
        <n v="3336"/>
        <n v="1502"/>
        <n v="455"/>
        <n v="1983"/>
        <n v="2359"/>
        <n v="116"/>
        <n v="587"/>
        <n v="14954"/>
        <n v="3071"/>
        <n v="2714"/>
        <n v="548"/>
        <n v="1558"/>
        <n v="1117"/>
        <n v="321"/>
        <n v="26578"/>
        <n v="2476"/>
        <n v="2160"/>
        <n v="33734"/>
        <n v="1763"/>
        <n v="1210"/>
        <n v="2483"/>
        <n v="1683"/>
        <n v="1553"/>
        <n v="283939"/>
        <n v="399"/>
        <n v="778"/>
        <n v="190"/>
        <n v="85"/>
        <n v="553"/>
        <n v="1707"/>
        <n v="2996"/>
        <n v="516"/>
        <n v="24419"/>
        <n v="194"/>
        <n v="161"/>
        <n v="660"/>
        <n v="3166"/>
        <n v="2322"/>
        <n v="24382"/>
        <n v="20480"/>
        <n v="483"/>
        <n v="11839"/>
        <n v="734"/>
        <n v="35294"/>
        <n v="1118"/>
        <n v="1924"/>
        <n v="1047"/>
        <n v="119"/>
        <n v="2099"/>
        <n v="26999"/>
        <n v="2102"/>
        <n v="3359"/>
        <n v="2438"/>
        <n v="254"/>
        <n v="1628"/>
        <n v="976"/>
        <n v="12496"/>
        <n v="2830"/>
        <n v="10"/>
        <n v="3950"/>
        <n v="1528"/>
        <n v="330"/>
        <n v="78"/>
        <n v="168"/>
        <n v="123"/>
        <n v="272"/>
        <n v="260"/>
        <n v="481"/>
        <n v="3"/>
        <n v="872"/>
        <n v="5052"/>
        <n v="199"/>
        <n v="1433"/>
        <n v="1370"/>
        <n v="126"/>
        <n v="102"/>
        <n v="3010"/>
        <n v="460"/>
        <n v="185"/>
        <n v="689"/>
        <n v="14950"/>
        <n v="2048"/>
        <n v="544"/>
        <n v="1545"/>
        <n v="1734"/>
        <n v="15765"/>
        <n v="1330"/>
        <n v="1743"/>
        <n v="7"/>
        <n v="34983"/>
        <n v="1399"/>
        <n v="127"/>
        <n v="2862"/>
        <n v="2123"/>
        <n v="154"/>
        <n v="1056"/>
        <n v="694"/>
        <n v="968"/>
        <n v="1087"/>
        <n v="27507"/>
        <n v="2970"/>
        <n v="16534"/>
        <n v="77046"/>
        <n v="69"/>
        <n v="314"/>
        <n v="279"/>
        <n v="27"/>
        <n v="7144"/>
        <n v="1181"/>
        <n v="828"/>
        <n v="518"/>
        <n v="263"/>
        <n v="100"/>
        <n v="1303"/>
        <n v="1631"/>
        <n v="364"/>
        <n v="1144"/>
        <n v="332"/>
        <n v="62"/>
        <n v="130"/>
        <n v="1796"/>
        <n v="1048"/>
        <n v="942"/>
        <n v="511"/>
        <n v="973"/>
        <n v="2364"/>
        <n v="276"/>
        <n v="2283"/>
        <n v="284"/>
        <n v="1401"/>
        <n v="354"/>
        <n v="459"/>
        <n v="564"/>
        <n v="45"/>
        <n v="103"/>
        <n v="2065"/>
        <n v="138"/>
        <n v="2046"/>
        <n v="11642"/>
        <n v="388"/>
        <n v="147"/>
        <n v="1179"/>
        <n v="1527"/>
        <n v="1077"/>
        <n v="43"/>
        <n v="1922"/>
        <n v="2058"/>
        <n v="642"/>
        <n v="20814"/>
        <n v="2783"/>
        <n v="1054"/>
        <n v="38"/>
        <n v="40"/>
        <n v="366"/>
        <n v="2679"/>
        <n v="770"/>
        <n v="674"/>
        <n v="115"/>
        <n v="368"/>
        <n v="93"/>
        <n v="690"/>
        <n v="2386"/>
      </sharedItems>
    </cacheField>
    <cacheField name="facenumber_in_poster" numFmtId="0">
      <sharedItems containsString="0" containsBlank="1" containsNumber="1" containsInteger="1" minValue="0" maxValue="43" count="20">
        <n v="0"/>
        <n v="1"/>
        <n v="4"/>
        <n v="3"/>
        <n v="2"/>
        <n v="6"/>
        <n v="7"/>
        <n v="5"/>
        <n v="8"/>
        <m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ntainsBlank="1" count="476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 count="4919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</sharedItems>
    </cacheField>
    <cacheField name="num_user_for_reviews" numFmtId="0">
      <sharedItems containsString="0" containsBlank="1" containsNumber="1" containsInteger="1" minValue="1" maxValue="5060" count="955">
        <n v="3054"/>
        <n v="1238"/>
        <n v="994"/>
        <n v="2701"/>
        <m/>
        <n v="738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345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15"/>
        <n v="324"/>
        <n v="742"/>
        <n v="173"/>
        <n v="497"/>
        <n v="433"/>
        <n v="444"/>
        <n v="520"/>
        <n v="492"/>
        <n v="1676"/>
        <n v="1097"/>
        <n v="2725"/>
        <n v="2803"/>
        <n v="13"/>
        <n v="1367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74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2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36"/>
        <n v="454"/>
        <n v="134"/>
        <n v="491"/>
        <n v="1885"/>
        <n v="277"/>
        <n v="115"/>
        <n v="695"/>
        <n v="499"/>
        <n v="328"/>
        <n v="1144"/>
        <n v="627"/>
        <n v="798"/>
        <n v="799"/>
        <n v="121"/>
        <n v="443"/>
        <n v="97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0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146"/>
        <n v="208"/>
        <n v="522"/>
        <n v="466"/>
        <n v="171"/>
        <n v="521"/>
        <n v="588"/>
        <n v="685"/>
        <n v="211"/>
        <n v="63"/>
        <n v="488"/>
        <n v="589"/>
        <n v="604"/>
        <n v="1959"/>
        <n v="402"/>
        <n v="610"/>
        <n v="250"/>
        <n v="367"/>
        <n v="102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40"/>
        <n v="71"/>
        <n v="615"/>
        <n v="543"/>
        <n v="244"/>
        <n v="619"/>
        <n v="237"/>
        <n v="405"/>
        <n v="3"/>
        <n v="182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94"/>
        <n v="57"/>
        <n v="379"/>
        <n v="67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1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54"/>
        <n v="207"/>
        <n v="618"/>
        <n v="313"/>
        <n v="279"/>
        <n v="202"/>
        <n v="568"/>
        <n v="445"/>
        <n v="296"/>
        <n v="62"/>
        <n v="172"/>
        <n v="143"/>
        <n v="87"/>
        <n v="2277"/>
        <n v="467"/>
        <n v="3646"/>
        <n v="556"/>
        <n v="564"/>
        <n v="310"/>
        <n v="1500"/>
        <n v="213"/>
        <n v="2968"/>
        <n v="175"/>
        <n v="28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41"/>
        <n v="256"/>
        <n v="338"/>
        <n v="471"/>
        <n v="569"/>
        <n v="259"/>
        <n v="73"/>
        <n v="72"/>
        <n v="842"/>
        <n v="150"/>
        <n v="165"/>
        <n v="233"/>
        <n v="91"/>
        <n v="857"/>
        <n v="243"/>
        <n v="644"/>
        <n v="247"/>
        <n v="282"/>
        <n v="109"/>
        <n v="188"/>
        <n v="368"/>
        <n v="9"/>
        <n v="183"/>
        <n v="1058"/>
        <n v="916"/>
        <n v="410"/>
        <n v="431"/>
        <n v="198"/>
        <n v="147"/>
        <n v="331"/>
        <n v="220"/>
        <n v="225"/>
        <n v="1398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142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199"/>
        <n v="791"/>
        <n v="292"/>
        <n v="312"/>
        <n v="384"/>
        <n v="2042"/>
        <n v="192"/>
        <n v="304"/>
        <n v="625"/>
        <n v="219"/>
        <n v="306"/>
        <n v="506"/>
        <n v="1740"/>
        <n v="148"/>
        <n v="672"/>
        <n v="140"/>
        <n v="226"/>
        <n v="33"/>
        <n v="65"/>
        <n v="392"/>
        <n v="286"/>
        <n v="260"/>
        <n v="22"/>
        <n v="47"/>
        <n v="420"/>
        <n v="390"/>
        <n v="70"/>
        <n v="93"/>
        <n v="294"/>
        <n v="477"/>
        <n v="397"/>
        <n v="850"/>
        <n v="32"/>
        <n v="185"/>
        <n v="537"/>
        <n v="307"/>
        <n v="55"/>
        <n v="236"/>
        <n v="651"/>
        <n v="107"/>
        <n v="29"/>
        <n v="16"/>
        <n v="461"/>
        <n v="212"/>
        <n v="228"/>
        <n v="633"/>
        <n v="609"/>
        <n v="582"/>
        <n v="350"/>
        <n v="1004"/>
        <n v="317"/>
        <n v="541"/>
        <n v="61"/>
        <n v="1053"/>
        <n v="355"/>
        <n v="305"/>
        <n v="80"/>
        <n v="81"/>
        <n v="531"/>
        <n v="409"/>
        <n v="349"/>
        <n v="135"/>
        <n v="502"/>
        <n v="303"/>
        <n v="75"/>
        <n v="268"/>
        <n v="460"/>
        <n v="396"/>
        <n v="841"/>
        <n v="835"/>
        <n v="18"/>
        <n v="5"/>
        <n v="658"/>
        <n v="336"/>
        <n v="327"/>
        <n v="1360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291"/>
        <n v="334"/>
        <n v="518"/>
        <n v="587"/>
        <n v="43"/>
        <n v="167"/>
        <n v="754"/>
        <n v="105"/>
        <n v="60"/>
        <n v="1314"/>
        <n v="111"/>
        <n v="25"/>
        <n v="801"/>
        <n v="26"/>
        <n v="234"/>
        <n v="1594"/>
        <n v="50"/>
        <n v="638"/>
        <n v="911"/>
        <n v="45"/>
        <n v="266"/>
        <n v="475"/>
        <n v="1437"/>
        <n v="1535"/>
        <n v="21"/>
        <n v="218"/>
        <n v="784"/>
        <n v="817"/>
        <n v="136"/>
        <n v="30"/>
        <n v="724"/>
        <n v="631"/>
        <n v="668"/>
        <n v="677"/>
        <n v="262"/>
        <n v="400"/>
        <n v="11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76"/>
        <n v="915"/>
        <n v="319"/>
        <n v="1033"/>
        <n v="647"/>
        <n v="441"/>
        <n v="485"/>
        <n v="669"/>
        <n v="571"/>
        <n v="1125"/>
        <n v="364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354"/>
        <n v="671"/>
        <n v="38"/>
        <n v="19"/>
        <n v="365"/>
        <n v="27"/>
        <n v="17"/>
        <n v="23"/>
        <n v="7"/>
        <n v="14"/>
        <n v="96"/>
        <n v="51"/>
        <n v="722"/>
        <n v="170"/>
        <n v="1057"/>
        <n v="962"/>
        <n v="714"/>
        <n v="1168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12"/>
        <n v="888"/>
        <n v="37"/>
        <n v="513"/>
        <n v="20"/>
        <n v="48"/>
        <n v="8"/>
        <n v="404"/>
        <n v="330"/>
        <n v="553"/>
        <n v="900"/>
        <n v="748"/>
        <n v="580"/>
        <n v="381"/>
        <n v="517"/>
        <n v="771"/>
        <n v="807"/>
        <n v="46"/>
        <n v="613"/>
        <n v="389"/>
        <n v="908"/>
        <n v="700"/>
        <n v="1514"/>
        <n v="760"/>
        <n v="592"/>
        <n v="6"/>
        <n v="359"/>
        <n v="299"/>
        <n v="570"/>
        <n v="1137"/>
        <n v="869"/>
        <n v="478"/>
        <n v="1320"/>
        <n v="809"/>
        <n v="536"/>
        <n v="902"/>
        <n v="4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1026"/>
        <n v="240"/>
        <n v="614"/>
        <n v="718"/>
        <n v="735"/>
        <n v="876"/>
        <n v="369"/>
        <n v="1028"/>
        <n v="1768"/>
        <n v="413"/>
        <n v="747"/>
        <n v="2254"/>
        <n v="314"/>
        <n v="616"/>
        <n v="1140"/>
        <n v="650"/>
        <n v="1066"/>
        <n v="840"/>
        <n v="578"/>
        <n v="605"/>
        <n v="10"/>
        <n v="726"/>
        <n v="1470"/>
        <n v="749"/>
        <n v="1736"/>
        <n v="682"/>
        <n v="985"/>
        <n v="1015"/>
        <n v="944"/>
        <n v="540"/>
        <n v="1420"/>
        <n v="1624"/>
        <n v="551"/>
        <n v="1110"/>
        <n v="82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272"/>
        <n v="664"/>
        <n v="864"/>
        <n v="2067"/>
        <n v="756"/>
        <n v="561"/>
        <n v="859"/>
        <n v="565"/>
        <n v="1516"/>
        <n v="1916"/>
        <n v="2110"/>
        <n v="1848"/>
        <n v="333"/>
        <n v="486"/>
        <n v="427"/>
        <n v="731"/>
        <n v="978"/>
        <n v="839"/>
        <n v="709"/>
        <n v="1509"/>
        <n v="931"/>
        <n v="780"/>
        <n v="1123"/>
        <n v="542"/>
        <n v="3400"/>
        <n v="451"/>
        <n v="1473"/>
        <n v="1189"/>
        <n v="740"/>
        <n v="500"/>
        <n v="586"/>
      </sharedItems>
    </cacheField>
    <cacheField name="language" numFmtId="0">
      <sharedItems containsBlank="1" count="48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 count="66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 count="19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 minValue="218" maxValue="12215500000" count="440">
        <n v="237000000"/>
        <n v="300000000"/>
        <n v="245000000"/>
        <n v="250000000"/>
        <m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5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78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000000"/>
        <n v="82000000"/>
        <n v="81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16900000"/>
        <n v="43000000"/>
        <n v="64000000"/>
        <n v="42000000"/>
        <n v="48000000"/>
        <n v="30000000"/>
        <n v="68005000"/>
        <n v="58800000"/>
        <n v="3000000"/>
        <n v="57000000"/>
        <n v="56000000"/>
        <n v="54000000"/>
        <n v="1400000"/>
        <n v="71000000"/>
        <n v="47000000"/>
        <n v="2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14000000"/>
        <n v="1000000"/>
        <n v="2500000"/>
        <n v="26000000"/>
        <n v="44500000"/>
        <n v="2600000"/>
        <n v="31115000"/>
        <n v="32000000"/>
        <n v="31000000"/>
        <n v="27000000"/>
        <n v="41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29500000"/>
        <n v="35200000"/>
        <n v="29000000"/>
        <n v="1800000"/>
        <n v="10700000"/>
        <n v="19000000"/>
        <n v="32500000"/>
        <n v="28000000"/>
        <n v="31500000"/>
        <n v="6500000"/>
        <n v="30250000"/>
        <n v="34200000"/>
        <n v="17000000"/>
        <n v="27800000"/>
        <n v="21000000"/>
        <n v="12000000"/>
        <n v="27500000"/>
        <n v="16000000"/>
        <n v="13500000"/>
        <n v="25530000"/>
        <n v="25100000"/>
        <n v="2800000"/>
        <n v="25500000"/>
        <n v="21150000"/>
        <n v="13000000"/>
        <n v="8200000"/>
        <n v="23600000"/>
        <n v="12500000"/>
        <n v="19430000"/>
        <n v="11000000"/>
        <n v="22700000"/>
        <n v="22500000"/>
        <n v="23500000"/>
        <n v="21500000"/>
        <n v="9000000"/>
        <n v="19400870"/>
        <n v="19800000"/>
        <n v="806947"/>
        <n v="19500000"/>
        <n v="8700000"/>
        <n v="2400000000"/>
        <n v="2127519898"/>
        <n v="13000"/>
        <n v="27220000"/>
        <n v="19400000"/>
        <n v="18500000"/>
        <n v="2700000"/>
        <n v="11350000"/>
        <n v="3500000"/>
        <n v="1790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8495000"/>
        <n v="12620000"/>
        <n v="3660000"/>
        <n v="12800000"/>
        <n v="10500000"/>
        <n v="9600000"/>
        <n v="5000000"/>
        <n v="12215500000"/>
        <n v="9200000"/>
        <n v="2500000000"/>
        <n v="7500000"/>
        <n v="11900000"/>
        <n v="10800000"/>
        <n v="700000000"/>
        <n v="10600000"/>
        <n v="10818775"/>
        <n v="13800000"/>
        <n v="12305523"/>
        <n v="12600000"/>
        <n v="6400000"/>
        <n v="6200000"/>
        <n v="9500000"/>
        <n v="8900000"/>
        <n v="9400000"/>
        <n v="9300000"/>
        <n v="600000000"/>
        <n v="7400000"/>
        <n v="7217600"/>
        <n v="83532"/>
        <n v="400000000"/>
        <n v="11400000"/>
        <n v="8800000"/>
        <n v="8600000"/>
        <n v="7623000"/>
        <n v="8300000"/>
        <n v="8550000"/>
        <n v="7200000"/>
        <n v="1100000000"/>
        <n v="7900000"/>
        <n v="7700000"/>
        <n v="4500000"/>
        <n v="7300000"/>
        <n v="6600000"/>
        <n v="2300000"/>
        <n v="350000"/>
        <n v="4825000"/>
        <n v="6900000"/>
        <n v="6800000"/>
        <n v="4800000"/>
        <n v="6244087"/>
        <n v="7840000"/>
        <n v="5952000"/>
        <n v="5300000"/>
        <n v="6700000"/>
        <n v="3500159"/>
        <n v="5600000"/>
        <n v="5500000"/>
        <n v="3850000"/>
        <n v="5250000"/>
        <n v="30300000"/>
        <n v="5100000"/>
        <n v="4900000"/>
        <n v="3300000"/>
        <n v="800000"/>
        <n v="2200000"/>
        <n v="3209000"/>
        <n v="84450000"/>
        <n v="890000"/>
        <n v="4700000"/>
        <n v="4638783"/>
        <n v="4600000"/>
        <n v="4200000000"/>
        <n v="4400000"/>
        <n v="4200000"/>
        <n v="114000"/>
        <n v="3600000"/>
        <n v="3200000"/>
        <n v="3400000"/>
        <n v="1300000"/>
        <n v="650000"/>
        <n v="3950000"/>
        <n v="3800000"/>
        <n v="3977000"/>
        <n v="3768785"/>
        <n v="3700000"/>
        <n v="3716946"/>
        <n v="19900000"/>
        <n v="3440000"/>
        <n v="4300000"/>
        <n v="3180000"/>
        <n v="4490375"/>
        <n v="1900000"/>
        <n v="2900000"/>
        <n v="2883848"/>
        <n v="2686585"/>
        <n v="2650000"/>
        <n v="2627000"/>
        <n v="2540800"/>
        <n v="34000"/>
        <n v="8400000"/>
        <n v="2400000"/>
        <n v="2361000"/>
        <n v="2450000"/>
        <n v="2295429"/>
        <n v="2280000"/>
        <n v="2160000"/>
        <n v="1200000"/>
        <n v="2100000"/>
        <n v="1614000"/>
        <n v="14000"/>
        <n v="100000"/>
        <n v="1250000"/>
        <n v="1950000"/>
        <n v="1750000"/>
        <n v="1700000"/>
        <n v="1644736"/>
        <n v="1650000"/>
        <n v="1600000"/>
        <n v="1100000"/>
        <n v="1696377"/>
        <n v="1455000"/>
        <n v="3150000"/>
        <n v="1377800"/>
        <n v="960000"/>
        <n v="1592000"/>
        <n v="1288000"/>
        <n v="427000"/>
        <n v="1420000"/>
        <n v="695393"/>
        <n v="950000"/>
        <n v="1000000000"/>
        <n v="900000"/>
        <n v="989000"/>
        <n v="913000"/>
        <n v="910000"/>
        <n v="930000"/>
        <n v="590000"/>
        <n v="850000"/>
        <n v="825000"/>
        <n v="990000"/>
        <n v="600000"/>
        <n v="780000"/>
        <n v="777000"/>
        <n v="750000"/>
        <n v="700000"/>
        <n v="400000"/>
        <n v="625000"/>
        <n v="609000"/>
        <n v="60000"/>
        <n v="560000"/>
        <n v="550000"/>
        <n v="46000"/>
        <n v="150000"/>
        <n v="475000"/>
        <n v="450000"/>
        <n v="439000"/>
        <n v="225000"/>
        <n v="1066167"/>
        <n v="15000"/>
        <n v="229575"/>
        <n v="218"/>
        <n v="385907"/>
        <n v="375000"/>
        <n v="379000"/>
        <n v="1750211"/>
        <n v="325000"/>
        <n v="312000"/>
        <n v="200000"/>
        <n v="160000"/>
        <n v="250000"/>
        <n v="270000"/>
        <n v="290000"/>
        <n v="365000"/>
        <n v="245000"/>
        <n v="240000"/>
        <n v="210000"/>
        <n v="180000"/>
        <n v="120000"/>
        <n v="175000"/>
        <n v="168000"/>
        <n v="125000"/>
        <n v="103000"/>
        <n v="20000"/>
        <n v="40000"/>
        <n v="70000"/>
        <n v="75000"/>
        <n v="65000"/>
        <n v="62000"/>
        <n v="25000"/>
        <n v="50000"/>
        <n v="42000"/>
        <n v="45000"/>
        <n v="30000"/>
        <n v="230000"/>
        <n v="27000"/>
        <n v="24000"/>
        <n v="23000"/>
        <n v="22000"/>
        <n v="17350"/>
        <n v="10000"/>
        <n v="4500"/>
        <n v="7000"/>
        <n v="3250"/>
        <n v="9000"/>
        <n v="1400"/>
        <n v="1100"/>
      </sharedItems>
    </cacheField>
    <cacheField name="title_year" numFmtId="0">
      <sharedItems containsString="0" containsBlank="1" containsNumber="1" containsInteger="1" minValue="1916" maxValue="2016" count="92">
        <n v="2009"/>
        <n v="2007"/>
        <n v="2015"/>
        <n v="2012"/>
        <m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79"/>
        <n v="1992"/>
        <n v="1989"/>
        <n v="1984"/>
        <n v="1988"/>
        <n v="1978"/>
        <n v="1962"/>
        <n v="1980"/>
        <n v="1972"/>
        <n v="1981"/>
        <n v="1968"/>
        <n v="1985"/>
        <n v="1940"/>
        <n v="1963"/>
        <n v="1987"/>
        <n v="1986"/>
        <n v="1973"/>
        <n v="1983"/>
        <n v="1976"/>
        <n v="1977"/>
        <n v="1970"/>
        <n v="1971"/>
        <n v="1969"/>
        <n v="1960"/>
        <n v="1965"/>
        <n v="1964"/>
        <n v="1927"/>
        <n v="1974"/>
        <n v="1937"/>
        <n v="1975"/>
        <n v="1967"/>
        <n v="1951"/>
        <n v="1961"/>
        <n v="1946"/>
        <n v="1953"/>
        <n v="1954"/>
        <n v="1959"/>
        <n v="1932"/>
        <n v="1947"/>
        <n v="1956"/>
        <n v="1945"/>
        <n v="1952"/>
        <n v="1930"/>
        <n v="1966"/>
        <n v="1939"/>
        <n v="1950"/>
        <n v="1948"/>
        <n v="1958"/>
        <n v="1957"/>
        <n v="1943"/>
        <n v="1944"/>
        <n v="1938"/>
        <n v="1949"/>
        <n v="1936"/>
        <n v="1941"/>
        <n v="1955"/>
        <n v="1942"/>
        <n v="1929"/>
        <n v="1935"/>
        <n v="1933"/>
        <n v="1916"/>
        <n v="1934"/>
        <n v="1925"/>
        <n v="1920"/>
      </sharedItems>
    </cacheField>
    <cacheField name="actor_2_facebook_likes" numFmtId="0">
      <sharedItems containsString="0" containsBlank="1" containsNumber="1" containsInteger="1" minValue="0" maxValue="137000" count="918">
        <n v="936"/>
        <n v="5000"/>
        <n v="393"/>
        <n v="23000"/>
        <n v="12"/>
        <n v="632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50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525"/>
        <n v="225"/>
        <n v="638"/>
        <n v="719"/>
        <n v="931"/>
        <n v="726"/>
        <n v="812"/>
        <n v="953"/>
        <n v="284"/>
        <n v="27000"/>
        <n v="106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321"/>
        <n v="400"/>
        <n v="881"/>
        <n v="411"/>
        <n v="967"/>
        <n v="898"/>
        <n v="442"/>
        <n v="702"/>
        <n v="871"/>
        <n v="943"/>
        <n v="558"/>
        <n v="570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276"/>
        <n v="836"/>
        <n v="809"/>
        <n v="23"/>
        <n v="293"/>
        <n v="833"/>
        <n v="360"/>
        <n v="8000"/>
        <n v="392"/>
        <n v="554"/>
        <n v="113"/>
        <n v="513"/>
        <n v="929"/>
        <n v="71"/>
        <n v="635"/>
        <n v="743"/>
        <n v="886"/>
        <n v="578"/>
        <n v="801"/>
        <m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183"/>
        <n v="906"/>
        <n v="660"/>
        <n v="650"/>
        <n v="35"/>
        <n v="227"/>
        <n v="579"/>
        <n v="174"/>
        <n v="388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4"/>
        <n v="878"/>
        <n v="982"/>
        <n v="960"/>
        <n v="177"/>
        <n v="137"/>
        <n v="642"/>
        <n v="503"/>
        <n v="243"/>
        <n v="639"/>
        <n v="496"/>
        <n v="277"/>
        <n v="448"/>
        <n v="21"/>
        <n v="274"/>
        <n v="396"/>
        <n v="739"/>
        <n v="48"/>
        <n v="18000"/>
        <n v="674"/>
        <n v="971"/>
        <n v="788"/>
        <n v="0"/>
        <n v="80"/>
        <n v="63"/>
        <n v="307"/>
        <n v="94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130"/>
        <n v="486"/>
        <n v="964"/>
        <n v="970"/>
        <n v="450"/>
        <n v="303"/>
        <n v="103"/>
        <n v="552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63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330"/>
        <n v="147"/>
        <n v="387"/>
        <n v="501"/>
        <n v="617"/>
        <n v="263"/>
        <n v="497"/>
        <n v="976"/>
        <n v="208"/>
        <n v="240"/>
        <n v="257"/>
        <n v="628"/>
        <n v="334"/>
        <n v="884"/>
        <n v="944"/>
        <n v="680"/>
        <n v="720"/>
        <n v="467"/>
        <n v="668"/>
        <n v="301"/>
        <n v="748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367"/>
        <n v="245"/>
        <n v="62"/>
        <n v="637"/>
        <n v="957"/>
        <n v="534"/>
        <n v="568"/>
        <n v="721"/>
        <n v="135"/>
        <n v="50"/>
        <n v="883"/>
        <n v="920"/>
        <n v="818"/>
        <n v="989"/>
        <n v="258"/>
        <n v="131"/>
        <n v="171"/>
        <n v="651"/>
        <n v="912"/>
        <n v="348"/>
        <n v="995"/>
        <n v="822"/>
        <n v="289"/>
        <n v="823"/>
        <n v="414"/>
        <n v="7"/>
        <n v="472"/>
        <n v="455"/>
        <n v="184"/>
        <n v="512"/>
        <n v="923"/>
        <n v="694"/>
        <n v="619"/>
        <n v="940"/>
        <n v="342"/>
        <n v="531"/>
        <n v="844"/>
        <n v="555"/>
        <n v="254"/>
        <n v="629"/>
        <n v="575"/>
        <n v="977"/>
        <n v="954"/>
        <n v="29"/>
        <n v="769"/>
        <n v="115"/>
        <n v="541"/>
        <n v="423"/>
        <n v="623"/>
        <n v="337"/>
        <n v="530"/>
        <n v="949"/>
        <n v="724"/>
        <n v="91"/>
        <n v="807"/>
        <n v="108"/>
        <n v="902"/>
        <n v="279"/>
        <n v="584"/>
        <n v="641"/>
        <n v="706"/>
        <n v="894"/>
        <n v="463"/>
        <n v="304"/>
        <n v="362"/>
        <n v="461"/>
        <n v="484"/>
        <n v="44"/>
        <n v="68"/>
        <n v="202"/>
        <n v="116"/>
        <n v="141"/>
        <n v="611"/>
        <n v="738"/>
        <n v="849"/>
        <n v="28"/>
        <n v="815"/>
        <n v="349"/>
        <n v="922"/>
        <n v="43"/>
        <n v="786"/>
        <n v="489"/>
        <n v="152"/>
        <n v="312"/>
        <n v="81"/>
        <n v="896"/>
        <n v="449"/>
        <n v="157"/>
        <n v="984"/>
        <n v="874"/>
        <n v="876"/>
        <n v="137000"/>
        <n v="835"/>
        <n v="980"/>
        <n v="78"/>
        <n v="244"/>
        <n v="426"/>
        <n v="351"/>
        <n v="689"/>
        <n v="413"/>
        <n v="47"/>
        <n v="741"/>
        <n v="690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133"/>
        <n v="542"/>
        <n v="516"/>
        <n v="285"/>
        <n v="543"/>
        <n v="210"/>
        <n v="316"/>
        <n v="163"/>
        <n v="924"/>
        <n v="476"/>
        <n v="597"/>
        <n v="669"/>
        <n v="744"/>
        <n v="707"/>
        <n v="485"/>
        <n v="521"/>
        <n v="839"/>
        <n v="79"/>
        <n v="645"/>
        <n v="734"/>
        <n v="618"/>
        <n v="398"/>
        <n v="742"/>
        <n v="838"/>
        <n v="338"/>
        <n v="224"/>
        <n v="915"/>
        <n v="648"/>
        <n v="488"/>
        <n v="445"/>
        <n v="175"/>
        <n v="73"/>
        <n v="573"/>
        <n v="328"/>
        <n v="214"/>
        <n v="603"/>
        <n v="206"/>
        <n v="22"/>
        <n v="457"/>
        <n v="2"/>
        <n v="9"/>
        <n v="856"/>
        <n v="774"/>
        <n v="649"/>
        <n v="98"/>
        <n v="15"/>
        <n v="594"/>
        <n v="403"/>
        <n v="945"/>
        <n v="491"/>
        <n v="242"/>
        <n v="917"/>
        <n v="160"/>
        <n v="359"/>
        <n v="23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11"/>
        <n v="409"/>
        <n v="948"/>
        <n v="429"/>
        <n v="59"/>
        <n v="402"/>
        <n v="447"/>
        <n v="763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54"/>
        <n v="146"/>
        <n v="132"/>
        <n v="528"/>
        <n v="264"/>
        <n v="693"/>
        <n v="547"/>
        <n v="232"/>
        <n v="587"/>
        <n v="95"/>
        <n v="252"/>
        <n v="601"/>
        <n v="65"/>
        <n v="213"/>
        <n v="677"/>
        <n v="371"/>
        <n v="139"/>
        <n v="736"/>
        <n v="111"/>
        <n v="377"/>
        <n v="89"/>
        <n v="732"/>
        <n v="673"/>
        <n v="634"/>
        <n v="444"/>
        <n v="837"/>
        <n v="374"/>
        <n v="155"/>
        <n v="246"/>
        <n v="434"/>
        <n v="918"/>
        <n v="499"/>
        <n v="20"/>
        <n v="54"/>
        <n v="30"/>
        <n v="31"/>
        <n v="266"/>
        <n v="234"/>
        <n v="749"/>
        <n v="173"/>
        <n v="870"/>
        <n v="128"/>
        <n v="443"/>
        <n v="295"/>
        <n v="481"/>
        <n v="859"/>
        <n v="83"/>
        <n v="504"/>
        <n v="991"/>
        <n v="228"/>
        <n v="797"/>
        <n v="281"/>
        <n v="86"/>
        <n v="123"/>
        <n v="539"/>
        <n v="25"/>
        <n v="775"/>
        <n v="241"/>
        <n v="201"/>
        <n v="134"/>
        <n v="104"/>
        <n v="226"/>
        <n v="875"/>
        <n v="10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804"/>
        <n v="332"/>
        <n v="92"/>
        <n v="494"/>
        <n v="87"/>
        <n v="41"/>
        <n v="474"/>
        <n v="612"/>
        <n v="384"/>
        <n v="178"/>
        <n v="969"/>
        <n v="532"/>
        <n v="56"/>
        <n v="750"/>
        <n v="867"/>
        <n v="36"/>
        <n v="282"/>
        <n v="471"/>
        <n v="230"/>
        <n v="39"/>
        <n v="424"/>
        <n v="656"/>
        <n v="456"/>
        <n v="144"/>
        <n v="566"/>
        <n v="800"/>
        <n v="262"/>
        <n v="376"/>
        <n v="193"/>
        <n v="341"/>
        <n v="67"/>
        <n v="278"/>
        <n v="306"/>
        <n v="203"/>
        <n v="272"/>
        <n v="636"/>
        <n v="357"/>
        <n v="751"/>
        <n v="122"/>
        <n v="96"/>
        <n v="287"/>
        <n v="118"/>
        <n v="921"/>
        <n v="170"/>
        <n v="57"/>
        <n v="292"/>
        <n v="340"/>
        <n v="38"/>
        <n v="431"/>
        <n v="983"/>
        <n v="511"/>
        <n v="310"/>
        <n v="622"/>
        <n v="646"/>
        <n v="614"/>
        <n v="164"/>
        <n v="66"/>
        <n v="319"/>
        <n v="49"/>
        <n v="397"/>
        <n v="13"/>
        <n v="45"/>
        <n v="353"/>
        <n v="179"/>
        <n v="162"/>
        <n v="355"/>
        <n v="556"/>
        <n v="215"/>
        <n v="469"/>
        <n v="74"/>
        <n v="32"/>
        <n v="114"/>
        <n v="391"/>
        <n v="69"/>
        <n v="125"/>
        <n v="350"/>
        <n v="997"/>
        <n v="842"/>
        <n v="153"/>
        <n v="305"/>
        <n v="238"/>
        <n v="185"/>
        <n v="320"/>
        <n v="188"/>
        <n v="527"/>
        <n v="725"/>
        <n v="483"/>
        <n v="685"/>
        <n v="6"/>
        <n v="544"/>
        <n v="711"/>
        <n v="156"/>
        <n v="29000"/>
        <n v="275"/>
        <n v="446"/>
        <n v="211"/>
        <n v="715"/>
        <n v="186"/>
        <n v="218"/>
        <n v="616"/>
        <n v="296"/>
        <n v="200"/>
        <n v="109"/>
        <n v="136"/>
        <n v="608"/>
        <n v="462"/>
        <n v="432"/>
        <n v="176"/>
        <n v="26"/>
        <n v="318"/>
        <n v="127"/>
        <n v="892"/>
        <n v="197"/>
        <n v="212"/>
        <n v="8"/>
        <n v="209"/>
        <n v="314"/>
        <n v="905"/>
        <n v="524"/>
        <n v="659"/>
        <n v="415"/>
        <n v="479"/>
        <n v="865"/>
        <n v="105"/>
        <n v="259"/>
        <n v="421"/>
        <n v="167"/>
        <n v="112"/>
        <n v="373"/>
        <n v="986"/>
        <n v="51"/>
        <n v="101"/>
        <n v="77"/>
        <n v="288"/>
        <n v="34"/>
        <n v="514"/>
        <n v="323"/>
        <n v="438"/>
        <n v="53"/>
        <n v="407"/>
        <n v="120"/>
        <n v="778"/>
        <n v="572"/>
        <n v="280"/>
        <n v="435"/>
        <n v="699"/>
        <n v="615"/>
        <n v="733"/>
        <n v="480"/>
        <n v="126"/>
        <n v="356"/>
        <n v="222"/>
        <n v="231"/>
        <n v="187"/>
        <n v="665"/>
        <n v="633"/>
        <n v="129"/>
        <n v="64"/>
        <n v="582"/>
        <n v="88"/>
        <n v="16"/>
        <n v="251"/>
        <n v="810"/>
        <n v="813"/>
        <n v="260"/>
        <n v="325"/>
        <n v="124"/>
        <n v="302"/>
        <n v="606"/>
        <n v="747"/>
        <n v="14"/>
        <n v="158"/>
        <n v="247"/>
        <n v="675"/>
        <n v="84"/>
        <n v="379"/>
        <n v="159"/>
        <n v="425"/>
        <n v="354"/>
        <n v="148"/>
        <n v="589"/>
        <n v="752"/>
        <n v="453"/>
        <n v="458"/>
        <n v="70"/>
        <n v="454"/>
        <n v="781"/>
        <n v="24"/>
        <n v="121"/>
        <n v="404"/>
        <n v="420"/>
        <n v="19"/>
        <n v="361"/>
        <n v="395"/>
        <n v="207"/>
        <n v="140"/>
        <n v="502"/>
        <n v="90"/>
        <n v="519"/>
        <n v="492"/>
        <n v="235"/>
        <n v="709"/>
        <n v="487"/>
        <n v="58"/>
        <n v="873"/>
        <n v="375"/>
        <n v="75"/>
        <n v="180"/>
        <n v="166"/>
        <n v="657"/>
        <n v="205"/>
        <n v="470"/>
      </sharedItems>
    </cacheField>
    <cacheField name="imdb_score" numFmtId="0">
      <sharedItems containsSemiMixedTypes="0" containsString="0" containsNumber="1" minValue="1.6" maxValue="9.5" count="78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2"/>
        <n v="5.9"/>
        <n v="6"/>
        <n v="5.7"/>
        <n v="6.4"/>
        <n v="6.3"/>
        <n v="5.6"/>
        <n v="8.3"/>
        <n v="8"/>
        <n v="8.4"/>
        <n v="5.8"/>
        <n v="5.4"/>
        <n v="9"/>
        <n v="4.8"/>
        <n v="5.2"/>
        <n v="7.6"/>
        <n v="4.5"/>
        <n v="5.5"/>
        <n v="8.6"/>
        <n v="8.8"/>
        <n v="5.1"/>
        <n v="7.4"/>
        <n v="4.2"/>
        <n v="5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"/>
        <n v="3.6"/>
        <n v="3.5"/>
        <n v="2.7"/>
        <n v="1.7"/>
        <n v="4"/>
        <n v="2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</sharedItems>
    </cacheField>
    <cacheField name="aspect_ratio" numFmtId="0">
      <sharedItems containsString="0" containsBlank="1" containsNumber="1" minValue="1.18" maxValue="16" count="23">
        <n v="1.78"/>
        <n v="2.35"/>
        <m/>
        <n v="1.85"/>
        <n v="2"/>
        <n v="2.2"/>
        <n v="2.39"/>
        <n v="2.24"/>
        <n v="1.33"/>
        <n v="4"/>
        <n v="1.66"/>
        <n v="1.5"/>
        <n v="16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movie_facebook_likes" numFmtId="0">
      <sharedItems containsSemiMixedTypes="0" containsString="0" containsNumber="1" containsInteger="1" minValue="0" maxValue="349000" count="876">
        <n v="33000"/>
        <n v="0"/>
        <n v="85000"/>
        <n v="164000"/>
        <n v="2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60000"/>
        <n v="41000"/>
        <n v="30000"/>
        <n v="94000"/>
        <n v="129000"/>
        <n v="82000"/>
        <n v="92000"/>
        <n v="22000"/>
        <n v="115000"/>
        <n v="23000"/>
        <n v="46000"/>
        <n v="20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677"/>
        <n v="35000"/>
        <n v="55000"/>
        <n v="67000"/>
        <n v="96000"/>
        <n v="349000"/>
        <n v="175000"/>
        <n v="166000"/>
        <n v="14000"/>
        <n v="38000"/>
        <n v="11000"/>
        <n v="8000"/>
        <n v="15000"/>
        <n v="63000"/>
        <n v="191000"/>
        <n v="19000"/>
        <n v="47000"/>
        <n v="62000"/>
        <n v="3000"/>
        <n v="25000"/>
        <n v="51000"/>
        <n v="190000"/>
        <n v="6000"/>
        <n v="61000"/>
        <n v="71000"/>
        <n v="40"/>
        <n v="25"/>
        <n v="52000"/>
        <n v="31000"/>
        <n v="122000"/>
        <n v="97000"/>
        <n v="459"/>
        <n v="68000"/>
        <n v="28000"/>
        <n v="291"/>
        <n v="147000"/>
        <n v="12000"/>
        <n v="4000"/>
        <n v="304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59000"/>
        <n v="372"/>
        <n v="863"/>
        <n v="49000"/>
        <n v="941"/>
        <n v="374"/>
        <n v="7000"/>
        <n v="57000"/>
        <n v="140000"/>
        <n v="91"/>
        <n v="607"/>
        <n v="951"/>
        <n v="32000"/>
        <n v="257"/>
        <n v="665"/>
        <n v="964"/>
        <n v="995"/>
        <n v="785"/>
        <n v="138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470"/>
        <n v="589"/>
        <n v="791"/>
        <n v="641"/>
        <n v="426"/>
        <n v="117000"/>
        <n v="296"/>
        <n v="112000"/>
        <n v="99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915"/>
        <n v="779"/>
        <n v="697"/>
        <n v="943"/>
        <n v="422"/>
        <n v="288"/>
        <n v="255"/>
        <n v="352"/>
        <n v="828"/>
        <n v="522"/>
        <n v="261"/>
        <n v="616"/>
        <n v="975"/>
        <n v="115"/>
        <n v="86000"/>
        <n v="743"/>
        <n v="593"/>
        <n v="451"/>
        <n v="916"/>
        <n v="652"/>
        <n v="68"/>
        <n v="353"/>
        <n v="748"/>
        <n v="50000"/>
        <n v="455"/>
        <n v="161"/>
        <n v="505"/>
        <n v="101000"/>
        <n v="681"/>
        <n v="663"/>
        <n v="263"/>
        <n v="390"/>
        <n v="445"/>
        <n v="301"/>
        <n v="702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866"/>
        <n v="328"/>
        <n v="401"/>
        <n v="158"/>
        <n v="565"/>
        <n v="211"/>
        <n v="823"/>
        <n v="265"/>
        <n v="89"/>
        <n v="478"/>
        <n v="989"/>
        <n v="689"/>
        <n v="168"/>
        <n v="911"/>
        <n v="389"/>
        <n v="474"/>
        <n v="366"/>
        <n v="240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262"/>
        <n v="633"/>
        <n v="26"/>
        <n v="120"/>
        <n v="314"/>
        <n v="742"/>
        <n v="463"/>
        <n v="783"/>
        <n v="350"/>
        <n v="643"/>
        <n v="625"/>
        <n v="559"/>
        <n v="290"/>
        <n v="149000"/>
        <n v="181"/>
        <n v="883"/>
        <n v="81000"/>
        <n v="75000"/>
        <n v="602"/>
        <n v="78000"/>
        <n v="771"/>
        <n v="592"/>
        <n v="484"/>
        <n v="491"/>
        <n v="999"/>
        <n v="629"/>
        <n v="204"/>
        <n v="462"/>
        <n v="654"/>
        <n v="387"/>
        <n v="287"/>
        <n v="447"/>
        <n v="201"/>
        <n v="209"/>
        <n v="76000"/>
        <n v="418"/>
        <n v="99000"/>
        <n v="517"/>
        <n v="73000"/>
        <n v="464"/>
        <n v="845"/>
        <n v="315"/>
        <n v="817"/>
        <n v="188"/>
        <n v="359"/>
        <n v="736"/>
        <n v="874"/>
        <n v="167"/>
        <n v="260"/>
        <n v="319"/>
        <n v="145"/>
        <n v="826"/>
        <n v="504"/>
        <n v="567"/>
        <n v="488"/>
        <n v="425"/>
        <n v="660"/>
        <n v="542"/>
        <n v="666"/>
        <n v="187"/>
        <n v="329"/>
        <n v="671"/>
        <n v="686"/>
        <n v="657"/>
        <n v="901"/>
        <n v="834"/>
        <n v="564"/>
        <n v="498"/>
        <n v="377"/>
        <n v="246"/>
        <n v="378"/>
        <n v="503"/>
        <n v="215"/>
        <n v="581"/>
        <n v="982"/>
        <n v="348"/>
        <n v="739"/>
        <n v="206"/>
        <n v="83"/>
        <n v="937"/>
        <n v="507"/>
        <n v="942"/>
        <n v="636"/>
        <n v="90"/>
        <n v="200"/>
        <n v="891"/>
        <n v="876"/>
        <n v="619"/>
        <n v="650"/>
        <n v="153"/>
        <n v="839"/>
        <n v="408"/>
        <n v="148000"/>
        <n v="376"/>
        <n v="532"/>
        <n v="767"/>
        <n v="765"/>
        <n v="887"/>
        <n v="804"/>
        <n v="716"/>
        <n v="104"/>
        <n v="272"/>
        <n v="687"/>
        <n v="758"/>
        <n v="897"/>
        <n v="141"/>
        <n v="365"/>
        <n v="284"/>
        <n v="800"/>
        <n v="131000"/>
        <n v="806"/>
        <n v="302"/>
        <n v="227"/>
        <n v="347"/>
        <n v="930"/>
        <n v="613"/>
        <n v="590"/>
        <n v="431"/>
        <n v="124"/>
        <n v="501"/>
        <n v="264"/>
        <n v="4"/>
        <n v="269"/>
        <n v="713"/>
        <n v="983"/>
        <n v="977"/>
        <n v="444"/>
        <n v="311"/>
        <n v="855"/>
        <n v="676"/>
        <n v="233"/>
        <n v="924"/>
        <n v="548"/>
        <n v="346"/>
        <n v="847"/>
        <n v="608"/>
        <n v="971"/>
        <n v="235"/>
        <n v="241"/>
        <n v="831"/>
        <n v="973"/>
        <n v="399"/>
        <n v="136"/>
        <n v="217"/>
        <n v="30"/>
        <n v="58"/>
        <n v="70"/>
        <n v="332"/>
        <n v="560"/>
        <n v="238"/>
        <n v="228"/>
        <n v="599"/>
        <n v="588"/>
        <n v="813"/>
        <n v="562"/>
        <n v="827"/>
        <n v="342"/>
        <n v="271"/>
        <n v="320"/>
        <n v="476"/>
        <n v="814"/>
        <n v="110"/>
        <n v="339"/>
        <n v="419"/>
        <n v="300"/>
        <n v="154"/>
        <n v="903"/>
        <n v="393"/>
        <n v="487"/>
        <n v="492"/>
        <n v="371"/>
        <n v="818"/>
        <n v="392"/>
        <n v="573"/>
        <n v="762"/>
        <n v="356"/>
        <n v="921"/>
        <n v="939"/>
        <n v="824"/>
        <n v="282"/>
        <n v="191"/>
        <n v="558"/>
        <n v="165000"/>
        <n v="896"/>
        <n v="810"/>
        <n v="466"/>
        <n v="243"/>
        <n v="673"/>
        <n v="327"/>
        <n v="175"/>
        <n v="116"/>
        <n v="489"/>
        <n v="566"/>
        <n v="622"/>
        <n v="251"/>
        <n v="436"/>
        <n v="247"/>
        <n v="576"/>
        <n v="923"/>
        <n v="816"/>
        <n v="515"/>
        <n v="647"/>
        <n v="157"/>
        <n v="733"/>
        <n v="843"/>
        <n v="708"/>
        <n v="664"/>
        <n v="193"/>
        <n v="473"/>
        <n v="18"/>
        <n v="821"/>
        <n v="277"/>
        <n v="998"/>
        <n v="373"/>
        <n v="184"/>
        <n v="530"/>
        <n v="889"/>
        <n v="411"/>
        <n v="645"/>
        <n v="932"/>
        <n v="905"/>
        <n v="860"/>
        <n v="231"/>
        <n v="127"/>
        <n v="76"/>
        <n v="512"/>
        <n v="934"/>
        <n v="64"/>
        <n v="502"/>
        <n v="106000"/>
        <n v="833"/>
        <n v="109000"/>
        <n v="862"/>
        <n v="679"/>
        <n v="22"/>
        <n v="618"/>
        <n v="186"/>
        <n v="69"/>
        <n v="107"/>
        <n v="139"/>
        <n v="337"/>
        <n v="344"/>
        <n v="770"/>
        <n v="93000"/>
        <n v="902"/>
        <n v="549"/>
        <n v="151"/>
        <n v="439"/>
        <n v="242"/>
        <n v="656"/>
        <n v="305"/>
        <n v="135"/>
        <n v="423"/>
        <n v="88"/>
        <n v="458"/>
        <n v="784"/>
        <n v="634"/>
        <n v="355"/>
        <n v="443"/>
        <n v="774"/>
        <n v="541"/>
        <n v="745"/>
        <n v="449"/>
        <n v="405"/>
        <n v="550"/>
        <n v="174"/>
        <n v="967"/>
        <n v="85"/>
        <n v="659"/>
        <n v="646"/>
        <n v="119"/>
        <n v="250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533"/>
        <n v="74"/>
        <n v="725"/>
        <n v="952"/>
        <n v="33"/>
        <n v="117"/>
        <n v="661"/>
        <n v="321"/>
        <n v="370"/>
        <n v="546"/>
        <n v="402"/>
        <n v="160"/>
        <n v="695"/>
        <n v="486"/>
        <n v="746"/>
        <n v="850"/>
        <n v="957"/>
        <n v="898"/>
        <n v="580"/>
        <n v="838"/>
        <n v="313"/>
        <n v="375"/>
        <n v="128"/>
        <n v="278"/>
        <n v="196"/>
        <n v="341"/>
        <n v="467"/>
        <n v="495"/>
        <n v="938"/>
        <n v="125"/>
        <n v="77"/>
        <n v="859"/>
        <n v="429"/>
        <n v="79"/>
        <n v="412"/>
        <n v="226"/>
        <n v="434"/>
        <n v="75"/>
        <n v="143"/>
        <n v="294"/>
        <n v="520"/>
        <n v="438"/>
        <n v="81"/>
        <n v="205"/>
        <n v="508"/>
        <n v="140"/>
        <n v="31"/>
        <n v="655"/>
        <n v="223"/>
        <n v="108"/>
        <n v="129"/>
        <n v="978"/>
        <n v="407"/>
        <n v="44"/>
        <n v="446"/>
        <n v="357"/>
        <n v="962"/>
        <n v="122"/>
        <n v="724"/>
        <n v="97"/>
        <n v="55"/>
        <n v="453"/>
        <n v="41"/>
        <n v="586"/>
        <n v="479"/>
        <n v="802"/>
        <n v="19"/>
        <n v="830"/>
        <n v="403"/>
        <n v="256"/>
        <n v="985"/>
        <n v="926"/>
        <n v="28"/>
        <n v="84"/>
        <n v="289"/>
        <n v="29"/>
        <n v="52"/>
        <n v="224"/>
        <n v="570"/>
        <n v="176"/>
        <n v="275"/>
        <n v="543"/>
        <n v="109"/>
        <n v="244"/>
        <n v="113"/>
        <n v="421"/>
        <n v="620"/>
        <n v="963"/>
        <n v="232"/>
        <n v="575"/>
        <n v="270"/>
        <n v="738"/>
        <n v="213"/>
        <n v="740"/>
        <n v="207"/>
        <n v="729"/>
        <n v="249"/>
        <n v="920"/>
        <n v="323"/>
        <n v="225"/>
        <n v="274"/>
        <n v="777"/>
        <n v="639"/>
        <n v="38"/>
        <n v="165"/>
        <n v="190"/>
        <n v="35"/>
        <n v="750"/>
        <n v="864"/>
        <n v="11"/>
        <n v="2"/>
        <n v="199"/>
        <n v="285"/>
        <n v="539"/>
        <n v="528"/>
        <n v="62"/>
        <n v="61"/>
        <n v="283"/>
        <n v="842"/>
        <n v="118"/>
        <n v="414"/>
        <n v="931"/>
        <n v="131"/>
        <n v="987"/>
        <n v="872"/>
        <n v="111"/>
        <n v="614"/>
        <n v="182"/>
        <n v="132"/>
        <n v="98"/>
        <n v="325"/>
        <n v="798"/>
        <n v="170"/>
        <n v="237"/>
        <n v="456"/>
        <n v="385"/>
        <n v="358"/>
        <n v="280"/>
        <n v="360"/>
        <n v="121"/>
        <n v="721"/>
        <n v="482"/>
        <n v="606"/>
        <n v="799"/>
        <n v="100"/>
        <n v="63"/>
        <n v="710"/>
        <n v="609"/>
        <n v="933"/>
        <n v="635"/>
        <n v="545"/>
        <n v="837"/>
        <n v="595"/>
        <n v="367"/>
        <n v="417"/>
        <n v="430"/>
        <n v="47"/>
        <n v="450"/>
        <n v="442"/>
        <n v="48"/>
        <n v="54"/>
        <n v="32"/>
        <n v="406"/>
        <n v="395"/>
        <n v="37"/>
        <n v="229"/>
        <n v="480"/>
        <n v="968"/>
        <n v="369"/>
        <n v="349"/>
        <n v="381"/>
        <n v="50"/>
        <n v="254"/>
        <n v="819"/>
        <n v="39"/>
        <n v="16"/>
        <n v="144"/>
        <n v="79000"/>
        <n v="172"/>
        <n v="870"/>
        <n v="162"/>
        <n v="14"/>
        <n v="380"/>
        <n v="763"/>
        <n v="236"/>
        <n v="60"/>
        <n v="134"/>
        <n v="43"/>
        <n v="166"/>
        <n v="974"/>
        <n v="857"/>
        <n v="10"/>
        <n v="715"/>
        <n v="195"/>
        <n v="825"/>
        <n v="805"/>
        <n v="651"/>
        <n v="728"/>
        <n v="298"/>
        <n v="544"/>
        <n v="511"/>
        <n v="82"/>
        <n v="169"/>
        <n v="8"/>
        <n v="569"/>
        <n v="326"/>
        <n v="73"/>
        <n v="794"/>
        <n v="869"/>
        <n v="844"/>
        <n v="9"/>
        <n v="682"/>
        <n v="415"/>
        <n v="307"/>
        <n v="212"/>
        <n v="216"/>
        <n v="594"/>
        <n v="57"/>
        <n v="400"/>
        <n v="969"/>
        <n v="220"/>
        <n v="66"/>
        <n v="632"/>
        <n v="221"/>
        <n v="756"/>
        <n v="27"/>
        <n v="87"/>
        <n v="477"/>
        <n v="954"/>
        <n v="51"/>
        <n v="234"/>
        <n v="603"/>
        <n v="92"/>
        <n v="571"/>
        <n v="24"/>
        <n v="150"/>
        <n v="587"/>
        <n v="706"/>
        <n v="210"/>
        <n v="793"/>
        <n v="17"/>
        <n v="42"/>
        <n v="259"/>
        <n v="297"/>
        <n v="3"/>
        <n v="936"/>
        <n v="884"/>
        <n v="698"/>
        <n v="409"/>
        <n v="312"/>
        <n v="219"/>
        <n v="130"/>
        <n v="396"/>
        <n v="163"/>
        <n v="420"/>
        <n v="523"/>
        <n v="303"/>
        <n v="102"/>
        <n v="203"/>
        <n v="5"/>
        <n v="12"/>
        <n v="34"/>
        <n v="36"/>
        <n v="7"/>
        <n v="126"/>
        <n v="180"/>
        <n v="86"/>
        <n v="155"/>
        <n v="183"/>
        <n v="23"/>
        <n v="707"/>
        <n v="123"/>
        <n v="460"/>
        <n v="865"/>
        <n v="194"/>
        <n v="526"/>
        <n v="691"/>
        <n v="583"/>
        <n v="379"/>
        <n v="363"/>
        <n v="114"/>
        <n v="46"/>
        <n v="178"/>
        <n v="93"/>
        <n v="67"/>
        <n v="519"/>
        <n v="71"/>
        <n v="72"/>
        <n v="801"/>
        <n v="465"/>
        <n v="96"/>
        <n v="198"/>
        <n v="267"/>
        <n v="142"/>
        <n v="65"/>
        <n v="197"/>
        <n v="667"/>
        <n v="239"/>
        <n v="13"/>
        <n v="535"/>
        <n v="45"/>
        <n v="324"/>
        <n v="171"/>
        <n v="105"/>
        <n v="424"/>
        <n v="2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622.678125" refreshedBy="mysel" recordCount="6256">
  <cacheSource type="worksheet">
    <worksheetSource ref="A1:AD6257" sheet="movie_metadata"/>
  </cacheSource>
  <cacheFields count="30">
    <cacheField name="color" numFmtId="0">
      <sharedItems containsBlank="1" count="3">
        <s v="Color"/>
        <s v="Black and White"/>
        <m/>
      </sharedItems>
    </cacheField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William Bindley"/>
        <s v="Wayne Beach"/>
        <s v="Gérard Krawczyk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 count="529">
        <n v="723"/>
        <n v="302"/>
        <n v="602"/>
        <n v="813"/>
        <m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298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10"/>
        <n v="218"/>
        <n v="576"/>
        <n v="226"/>
        <n v="443"/>
        <n v="188"/>
        <n v="286"/>
        <n v="288"/>
        <n v="280"/>
        <n v="653"/>
        <n v="712"/>
        <n v="642"/>
        <n v="1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1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4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33"/>
        <n v="152"/>
        <n v="348"/>
        <n v="738"/>
        <n v="93"/>
        <n v="181"/>
        <n v="369"/>
        <n v="179"/>
        <n v="358"/>
        <n v="160"/>
        <n v="192"/>
        <n v="198"/>
        <n v="263"/>
        <n v="447"/>
        <n v="29"/>
        <n v="172"/>
        <n v="104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103"/>
        <n v="236"/>
        <n v="238"/>
        <n v="107"/>
        <n v="459"/>
        <n v="151"/>
        <n v="229"/>
        <n v="158"/>
        <n v="98"/>
        <n v="393"/>
        <n v="149"/>
        <n v="138"/>
        <n v="345"/>
        <n v="120"/>
        <n v="234"/>
        <n v="134"/>
        <n v="139"/>
        <n v="155"/>
        <n v="204"/>
        <n v="95"/>
        <n v="215"/>
        <n v="325"/>
        <n v="53"/>
        <n v="46"/>
        <n v="147"/>
        <n v="178"/>
        <n v="209"/>
        <n v="19"/>
        <n v="31"/>
        <n v="129"/>
        <n v="124"/>
        <n v="35"/>
        <n v="137"/>
        <n v="121"/>
        <n v="87"/>
        <n v="63"/>
        <n v="113"/>
        <n v="205"/>
        <n v="123"/>
        <n v="272"/>
        <n v="3"/>
        <n v="140"/>
        <n v="150"/>
        <n v="119"/>
        <n v="49"/>
        <n v="177"/>
        <n v="372"/>
        <n v="290"/>
        <n v="164"/>
        <n v="12"/>
        <n v="241"/>
        <n v="161"/>
        <n v="89"/>
        <n v="131"/>
        <n v="67"/>
        <n v="130"/>
        <n v="74"/>
        <n v="435"/>
        <n v="117"/>
        <n v="108"/>
        <n v="176"/>
        <n v="299"/>
        <n v="128"/>
        <n v="88"/>
        <n v="261"/>
        <n v="73"/>
        <n v="75"/>
        <n v="39"/>
        <n v="247"/>
        <n v="59"/>
        <n v="388"/>
        <n v="371"/>
        <n v="76"/>
        <n v="105"/>
        <n v="242"/>
        <n v="360"/>
        <n v="112"/>
        <n v="189"/>
        <n v="92"/>
        <n v="51"/>
        <n v="293"/>
        <n v="40"/>
        <n v="90"/>
        <n v="538"/>
        <n v="307"/>
        <n v="72"/>
        <n v="86"/>
        <n v="279"/>
        <n v="96"/>
        <n v="14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8"/>
        <n v="223"/>
        <n v="111"/>
        <n v="100"/>
        <n v="115"/>
        <n v="54"/>
        <n v="579"/>
        <n v="56"/>
        <n v="20"/>
        <n v="57"/>
        <n v="133"/>
        <n v="26"/>
        <n v="491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2"/>
        <n v="36"/>
        <n v="99"/>
        <n v="259"/>
        <n v="356"/>
        <n v="22"/>
        <n v="214"/>
        <n v="28"/>
        <n v="296"/>
        <n v="30"/>
        <n v="48"/>
        <n v="195"/>
        <n v="32"/>
        <n v="43"/>
        <n v="454"/>
        <n v="398"/>
        <n v="38"/>
        <n v="25"/>
        <n v="23"/>
        <n v="24"/>
        <n v="656"/>
        <n v="270"/>
        <n v="27"/>
        <n v="9"/>
        <n v="433"/>
        <n v="319"/>
        <n v="41"/>
        <n v="374"/>
        <n v="341"/>
        <n v="16"/>
        <n v="420"/>
        <n v="303"/>
        <n v="260"/>
        <n v="335"/>
        <n v="273"/>
        <n v="37"/>
        <n v="546"/>
        <n v="437"/>
        <n v="126"/>
        <n v="5"/>
        <n v="340"/>
        <n v="493"/>
        <n v="332"/>
        <n v="405"/>
        <n v="285"/>
        <n v="13"/>
        <n v="584"/>
        <n v="58"/>
        <n v="52"/>
        <n v="254"/>
        <n v="522"/>
        <n v="441"/>
        <n v="15"/>
        <n v="18"/>
        <n v="449"/>
        <n v="472"/>
        <n v="268"/>
        <n v="452"/>
        <n v="589"/>
        <n v="487"/>
        <n v="305"/>
        <n v="397"/>
        <n v="69"/>
        <n v="634"/>
        <n v="417"/>
        <n v="368"/>
        <n v="7"/>
        <n v="17"/>
        <n v="426"/>
        <n v="309"/>
        <n v="373"/>
        <n v="317"/>
        <n v="336"/>
        <n v="365"/>
        <n v="445"/>
        <n v="574"/>
        <n v="394"/>
        <n v="6"/>
        <n v="423"/>
        <n v="466"/>
        <n v="11"/>
        <n v="549"/>
        <n v="597"/>
        <n v="364"/>
        <n v="282"/>
        <n v="427"/>
        <n v="390"/>
        <n v="182"/>
        <n v="588"/>
        <n v="543"/>
        <n v="479"/>
        <n v="676"/>
        <n v="278"/>
        <n v="414"/>
        <n v="331"/>
        <n v="669"/>
        <n v="489"/>
        <n v="399"/>
        <n v="385"/>
        <n v="363"/>
        <n v="410"/>
        <n v="535"/>
        <n v="386"/>
        <n v="439"/>
        <n v="346"/>
        <n v="534"/>
        <n v="411"/>
        <n v="471"/>
        <n v="444"/>
        <n v="548"/>
        <n v="425"/>
        <n v="337"/>
        <n v="533"/>
        <n v="311"/>
        <n v="663"/>
        <n v="481"/>
        <n v="409"/>
      </sharedItems>
    </cacheField>
    <cacheField name="duration" numFmtId="0">
      <sharedItems containsString="0" containsBlank="1" containsNumber="1" containsInteger="1" minValue="7" maxValue="511" count="192">
        <n v="178"/>
        <n v="169"/>
        <n v="148"/>
        <n v="164"/>
        <m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09"/>
        <n v="128"/>
        <n v="102"/>
        <n v="101"/>
        <n v="120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60"/>
        <n v="117"/>
        <n v="107"/>
        <n v="82"/>
        <n v="159"/>
        <n v="174"/>
        <n v="134"/>
        <n v="77"/>
        <n v="170"/>
        <n v="76"/>
        <n v="171"/>
        <n v="84"/>
        <n v="22"/>
        <n v="145"/>
        <n v="78"/>
        <n v="240"/>
        <n v="172"/>
        <n v="87"/>
        <n v="216"/>
        <n v="192"/>
        <n v="44"/>
        <n v="83"/>
        <n v="139"/>
        <n v="86"/>
        <n v="162"/>
        <n v="54"/>
        <n v="80"/>
        <n v="25"/>
        <n v="74"/>
        <n v="81"/>
        <n v="177"/>
        <n v="73"/>
        <n v="43"/>
        <n v="45"/>
        <n v="163"/>
        <n v="30"/>
        <n v="212"/>
        <n v="187"/>
        <n v="189"/>
        <n v="188"/>
        <n v="280"/>
        <n v="155"/>
        <n v="64"/>
        <n v="190"/>
        <n v="75"/>
        <n v="220"/>
        <n v="160"/>
        <n v="52"/>
        <n v="325"/>
        <n v="251"/>
        <n v="202"/>
        <n v="330"/>
        <n v="289"/>
        <n v="161"/>
        <n v="28"/>
        <n v="79"/>
        <n v="63"/>
        <n v="511"/>
        <n v="42"/>
        <n v="167"/>
        <n v="193"/>
        <n v="175"/>
        <n v="185"/>
        <n v="219"/>
        <n v="7"/>
        <n v="271"/>
        <n v="50"/>
        <n v="72"/>
        <n v="24"/>
        <n v="68"/>
        <n v="225"/>
        <n v="236"/>
        <n v="180"/>
        <n v="334"/>
        <n v="270"/>
        <n v="227"/>
        <n v="286"/>
        <n v="65"/>
        <n v="55"/>
        <n v="41"/>
        <n v="69"/>
        <n v="293"/>
        <n v="200"/>
        <n v="40"/>
        <n v="168"/>
        <n v="197"/>
        <n v="181"/>
        <n v="300"/>
        <n v="23"/>
        <n v="53"/>
        <n v="46"/>
        <n v="67"/>
        <n v="199"/>
        <n v="226"/>
        <n v="37"/>
        <n v="11"/>
        <n v="66"/>
        <n v="34"/>
        <n v="20"/>
        <n v="27"/>
        <n v="70"/>
        <n v="14"/>
        <n v="71"/>
        <n v="58"/>
        <n v="35"/>
        <n v="59"/>
        <n v="62"/>
        <n v="47"/>
      </sharedItems>
    </cacheField>
    <cacheField name="director_facebook_likes" numFmtId="0">
      <sharedItems containsString="0" containsBlank="1" containsNumber="1" containsInteger="1" minValue="0" maxValue="23000" count="436">
        <n v="0"/>
        <n v="563"/>
        <n v="22000"/>
        <n v="131"/>
        <n v="475"/>
        <n v="15"/>
        <n v="282"/>
        <n v="395"/>
        <n v="80"/>
        <n v="252"/>
        <n v="188"/>
        <n v="464"/>
        <n v="129"/>
        <n v="94"/>
        <n v="532"/>
        <n v="365"/>
        <n v="1000"/>
        <n v="13000"/>
        <n v="420"/>
        <n v="37"/>
        <n v="364"/>
        <n v="487"/>
        <n v="258"/>
        <n v="125"/>
        <n v="368"/>
        <n v="14000"/>
        <n v="179"/>
        <n v="113"/>
        <n v="56"/>
        <n v="681"/>
        <n v="776"/>
        <n v="11"/>
        <n v="4000"/>
        <n v="17000"/>
        <n v="357"/>
        <n v="452"/>
        <n v="293"/>
        <n v="218"/>
        <n v="58"/>
        <n v="208"/>
        <n v="274"/>
        <n v="171"/>
        <n v="198"/>
        <n v="596"/>
        <n v="47"/>
        <n v="31"/>
        <n v="663"/>
        <n v="38"/>
        <n v="66"/>
        <n v="255"/>
        <n v="84"/>
        <n v="571"/>
        <n v="28"/>
        <n v="21000"/>
        <n v="905"/>
        <n v="508"/>
        <n v="226"/>
        <n v="249"/>
        <n v="33"/>
        <n v="50"/>
        <n v="230"/>
        <n v="150"/>
        <n v="35"/>
        <n v="189"/>
        <n v="151"/>
        <n v="69"/>
        <n v="750"/>
        <n v="2000"/>
        <n v="59"/>
        <n v="12"/>
        <n v="473"/>
        <n v="394"/>
        <n v="90"/>
        <n v="25"/>
        <n v="42"/>
        <n v="456"/>
        <n v="93"/>
        <n v="176"/>
        <n v="5"/>
        <n v="52"/>
        <n v="23"/>
        <n v="380"/>
        <n v="295"/>
        <n v="503"/>
        <n v="209"/>
        <n v="6"/>
        <n v="608"/>
        <n v="386"/>
        <m/>
        <n v="13"/>
        <n v="521"/>
        <n v="54"/>
        <n v="235"/>
        <n v="96"/>
        <n v="124"/>
        <n v="107"/>
        <n v="719"/>
        <n v="323"/>
        <n v="541"/>
        <n v="610"/>
        <n v="167"/>
        <n v="160"/>
        <n v="662"/>
        <n v="123"/>
        <n v="294"/>
        <n v="446"/>
        <n v="16"/>
        <n v="19"/>
        <n v="79"/>
        <n v="128"/>
        <n v="62"/>
        <n v="55"/>
        <n v="263"/>
        <n v="67"/>
        <n v="101"/>
        <n v="153"/>
        <n v="34"/>
        <n v="63"/>
        <n v="57"/>
        <n v="12000"/>
        <n v="285"/>
        <n v="16000"/>
        <n v="21"/>
        <n v="10"/>
        <n v="165"/>
        <n v="14"/>
        <n v="77"/>
        <n v="207"/>
        <n v="670"/>
        <n v="26"/>
        <n v="385"/>
        <n v="20"/>
        <n v="342"/>
        <n v="611"/>
        <n v="9"/>
        <n v="116"/>
        <n v="127"/>
        <n v="44"/>
        <n v="81"/>
        <n v="70"/>
        <n v="212"/>
        <n v="102"/>
        <n v="97"/>
        <n v="7"/>
        <n v="335"/>
        <n v="221"/>
        <n v="87"/>
        <n v="468"/>
        <n v="378"/>
        <n v="545"/>
        <n v="266"/>
        <n v="36"/>
        <n v="278"/>
        <n v="168"/>
        <n v="99"/>
        <n v="763"/>
        <n v="88"/>
        <n v="480"/>
        <n v="75"/>
        <n v="91"/>
        <n v="163"/>
        <n v="154"/>
        <n v="333"/>
        <n v="117"/>
        <n v="30"/>
        <n v="301"/>
        <n v="425"/>
        <n v="40"/>
        <n v="438"/>
        <n v="65"/>
        <n v="92"/>
        <n v="43"/>
        <n v="64"/>
        <n v="287"/>
        <n v="18"/>
        <n v="309"/>
        <n v="45"/>
        <n v="275"/>
        <n v="845"/>
        <n v="126"/>
        <n v="27"/>
        <n v="272"/>
        <n v="109"/>
        <n v="72"/>
        <n v="17"/>
        <n v="383"/>
        <n v="41"/>
        <n v="253"/>
        <n v="22"/>
        <n v="488"/>
        <n v="130"/>
        <n v="906"/>
        <n v="24"/>
        <n v="8"/>
        <n v="105"/>
        <n v="29"/>
        <n v="3000"/>
        <n v="448"/>
        <n v="4"/>
        <n v="76"/>
        <n v="759"/>
        <n v="11000"/>
        <n v="119"/>
        <n v="687"/>
        <n v="138"/>
        <n v="436"/>
        <n v="175"/>
        <n v="322"/>
        <n v="708"/>
        <n v="197"/>
        <n v="48"/>
        <n v="32"/>
        <n v="234"/>
        <n v="737"/>
        <n v="181"/>
        <n v="162"/>
        <n v="2"/>
        <n v="53"/>
        <n v="39"/>
        <n v="192"/>
        <n v="892"/>
        <n v="3"/>
        <n v="143"/>
        <n v="51"/>
        <n v="83"/>
        <n v="108"/>
        <n v="61"/>
        <n v="317"/>
        <n v="82"/>
        <n v="607"/>
        <n v="159"/>
        <n v="161"/>
        <n v="422"/>
        <n v="71"/>
        <n v="869"/>
        <n v="180"/>
        <n v="277"/>
        <n v="241"/>
        <n v="155"/>
        <n v="148"/>
        <n v="152"/>
        <n v="174"/>
        <n v="213"/>
        <n v="644"/>
        <n v="73"/>
        <n v="134"/>
        <n v="260"/>
        <n v="98"/>
        <n v="628"/>
        <n v="118"/>
        <n v="375"/>
        <n v="631"/>
        <n v="270"/>
        <n v="350"/>
        <n v="777"/>
        <n v="49"/>
        <n v="85"/>
        <n v="326"/>
        <n v="170"/>
        <n v="517"/>
        <n v="835"/>
        <n v="311"/>
        <n v="89"/>
        <n v="46"/>
        <n v="308"/>
        <n v="133"/>
        <n v="78"/>
        <n v="164"/>
        <n v="415"/>
        <n v="190"/>
        <n v="643"/>
        <n v="584"/>
        <n v="534"/>
        <n v="304"/>
        <n v="883"/>
        <n v="338"/>
        <n v="251"/>
        <n v="529"/>
        <n v="453"/>
        <n v="194"/>
        <n v="6000"/>
        <n v="132"/>
        <n v="136"/>
        <n v="100"/>
        <n v="238"/>
        <n v="655"/>
        <n v="729"/>
        <n v="246"/>
        <n v="343"/>
        <n v="15000"/>
        <n v="549"/>
        <n v="110"/>
        <n v="114"/>
        <n v="149"/>
        <n v="419"/>
        <n v="265"/>
        <n v="115"/>
        <n v="710"/>
        <n v="767"/>
        <n v="120"/>
        <n v="144"/>
        <n v="650"/>
        <n v="353"/>
        <n v="187"/>
        <n v="248"/>
        <n v="973"/>
        <n v="68"/>
        <n v="219"/>
        <n v="121"/>
        <n v="214"/>
        <n v="460"/>
        <n v="911"/>
        <n v="535"/>
        <n v="597"/>
        <n v="269"/>
        <n v="18000"/>
        <n v="956"/>
        <n v="300"/>
        <n v="688"/>
        <n v="195"/>
        <n v="406"/>
        <n v="140"/>
        <n v="122"/>
        <n v="310"/>
        <n v="210"/>
        <n v="909"/>
        <n v="329"/>
        <n v="500"/>
        <n v="379"/>
        <n v="337"/>
        <n v="157"/>
        <n v="512"/>
        <n v="847"/>
        <n v="201"/>
        <n v="137"/>
        <n v="405"/>
        <n v="369"/>
        <n v="172"/>
        <n v="929"/>
        <n v="374"/>
        <n v="745"/>
        <n v="561"/>
        <n v="454"/>
        <n v="756"/>
        <n v="141"/>
        <n v="445"/>
        <n v="232"/>
        <n v="752"/>
        <n v="412"/>
        <n v="799"/>
        <n v="139"/>
        <n v="261"/>
        <n v="220"/>
        <n v="60"/>
        <n v="166"/>
        <n v="216"/>
        <n v="319"/>
        <n v="667"/>
        <n v="482"/>
        <n v="434"/>
        <n v="387"/>
        <n v="787"/>
        <n v="324"/>
        <n v="593"/>
        <n v="302"/>
        <n v="800"/>
        <n v="147"/>
        <n v="798"/>
        <n v="930"/>
        <n v="236"/>
        <n v="407"/>
        <n v="548"/>
        <n v="341"/>
        <n v="200"/>
        <n v="346"/>
        <n v="474"/>
        <n v="554"/>
        <n v="228"/>
        <n v="472"/>
        <n v="112"/>
        <n v="735"/>
        <n v="781"/>
        <n v="23000"/>
        <n v="592"/>
        <n v="222"/>
        <n v="440"/>
        <n v="399"/>
        <n v="345"/>
        <n v="520"/>
        <n v="239"/>
        <n v="204"/>
        <n v="766"/>
        <n v="377"/>
        <n v="358"/>
        <n v="450"/>
        <n v="675"/>
        <n v="330"/>
        <n v="227"/>
        <n v="177"/>
        <n v="103"/>
        <n v="104"/>
        <n v="673"/>
        <n v="964"/>
        <n v="393"/>
        <n v="700"/>
        <n v="74"/>
        <n v="355"/>
        <n v="184"/>
        <n v="421"/>
        <n v="589"/>
        <n v="603"/>
        <n v="244"/>
        <n v="531"/>
        <n v="20000"/>
        <n v="191"/>
        <n v="522"/>
        <n v="764"/>
        <n v="135"/>
        <n v="199"/>
        <n v="243"/>
        <n v="923"/>
        <n v="142"/>
        <n v="224"/>
        <n v="247"/>
        <n v="95"/>
        <n v="490"/>
        <n v="217"/>
        <n v="431"/>
        <n v="373"/>
        <n v="686"/>
        <n v="664"/>
        <n v="467"/>
        <n v="969"/>
        <n v="158"/>
        <n v="397"/>
        <n v="291"/>
      </sharedItems>
    </cacheField>
    <cacheField name="actor_3_facebook_likes" numFmtId="0">
      <sharedItems containsString="0" containsBlank="1" containsNumber="1" containsInteger="1" minValue="0" maxValue="23000" count="907">
        <n v="855"/>
        <n v="1000"/>
        <n v="161"/>
        <n v="23000"/>
        <m/>
        <n v="530"/>
        <n v="4000"/>
        <n v="284"/>
        <n v="19000"/>
        <n v="10000"/>
        <n v="2000"/>
        <n v="903"/>
        <n v="393"/>
        <n v="748"/>
        <n v="201"/>
        <n v="718"/>
        <n v="773"/>
        <n v="963"/>
        <n v="738"/>
        <n v="84"/>
        <n v="794"/>
        <n v="11000"/>
        <n v="627"/>
        <n v="3000"/>
        <n v="560"/>
        <n v="760"/>
        <n v="464"/>
        <n v="808"/>
        <n v="825"/>
        <n v="776"/>
        <n v="326"/>
        <n v="721"/>
        <n v="988"/>
        <n v="14000"/>
        <n v="20000"/>
        <n v="928"/>
        <n v="140"/>
        <n v="77"/>
        <n v="236"/>
        <n v="919"/>
        <n v="581"/>
        <n v="113"/>
        <n v="838"/>
        <n v="105"/>
        <n v="522"/>
        <n v="173"/>
        <n v="310"/>
        <n v="13000"/>
        <n v="103"/>
        <n v="82"/>
        <n v="262"/>
        <n v="459"/>
        <n v="582"/>
        <n v="595"/>
        <n v="329"/>
        <n v="7000"/>
        <n v="509"/>
        <n v="60"/>
        <n v="570"/>
        <n v="384"/>
        <n v="591"/>
        <n v="846"/>
        <n v="884"/>
        <n v="283"/>
        <n v="982"/>
        <n v="213"/>
        <n v="604"/>
        <n v="562"/>
        <n v="833"/>
        <n v="267"/>
        <n v="535"/>
        <n v="759"/>
        <n v="191"/>
        <n v="6000"/>
        <n v="12"/>
        <n v="370"/>
        <n v="702"/>
        <n v="692"/>
        <n v="648"/>
        <n v="59"/>
        <n v="691"/>
        <n v="687"/>
        <n v="979"/>
        <n v="558"/>
        <n v="588"/>
        <n v="954"/>
        <n v="436"/>
        <n v="233"/>
        <n v="490"/>
        <n v="30"/>
        <n v="12000"/>
        <n v="943"/>
        <n v="294"/>
        <n v="699"/>
        <n v="182"/>
        <n v="502"/>
        <n v="16000"/>
        <n v="641"/>
        <n v="162"/>
        <n v="826"/>
        <n v="15"/>
        <n v="346"/>
        <n v="256"/>
        <n v="433"/>
        <n v="586"/>
        <n v="394"/>
        <n v="517"/>
        <n v="844"/>
        <n v="746"/>
        <n v="322"/>
        <n v="537"/>
        <n v="964"/>
        <n v="967"/>
        <n v="690"/>
        <n v="445"/>
        <n v="981"/>
        <n v="953"/>
        <n v="653"/>
        <n v="413"/>
        <n v="91"/>
        <n v="258"/>
        <n v="934"/>
        <n v="848"/>
        <n v="422"/>
        <n v="244"/>
        <n v="168"/>
        <n v="882"/>
        <n v="184"/>
        <n v="358"/>
        <n v="733"/>
        <n v="463"/>
        <n v="939"/>
        <n v="179"/>
        <n v="883"/>
        <n v="680"/>
        <n v="523"/>
        <n v="183"/>
        <n v="807"/>
        <n v="877"/>
        <n v="397"/>
        <n v="282"/>
        <n v="8000"/>
        <n v="845"/>
        <n v="165"/>
        <n v="894"/>
        <n v="388"/>
        <n v="159"/>
        <n v="645"/>
        <n v="362"/>
        <n v="56"/>
        <n v="154"/>
        <n v="850"/>
        <n v="217"/>
        <n v="241"/>
        <n v="602"/>
        <n v="409"/>
        <n v="636"/>
        <n v="812"/>
        <n v="461"/>
        <n v="341"/>
        <n v="402"/>
        <n v="265"/>
        <n v="567"/>
        <n v="87"/>
        <n v="157"/>
        <n v="929"/>
        <n v="141"/>
        <n v="617"/>
        <n v="9000"/>
        <n v="429"/>
        <n v="13"/>
        <n v="268"/>
        <n v="799"/>
        <n v="78"/>
        <n v="387"/>
        <n v="350"/>
        <n v="827"/>
        <n v="116"/>
        <n v="741"/>
        <n v="432"/>
        <n v="111"/>
        <n v="421"/>
        <n v="544"/>
        <n v="40"/>
        <n v="202"/>
        <n v="430"/>
        <n v="297"/>
        <n v="857"/>
        <n v="447"/>
        <n v="780"/>
        <n v="434"/>
        <n v="466"/>
        <n v="195"/>
        <n v="525"/>
        <n v="372"/>
        <n v="695"/>
        <n v="533"/>
        <n v="834"/>
        <n v="539"/>
        <n v="561"/>
        <n v="618"/>
        <n v="385"/>
        <n v="708"/>
        <n v="107"/>
        <n v="383"/>
        <n v="542"/>
        <n v="253"/>
        <n v="203"/>
        <n v="279"/>
        <n v="120"/>
        <n v="452"/>
        <n v="423"/>
        <n v="577"/>
        <n v="566"/>
        <n v="467"/>
        <n v="720"/>
        <n v="526"/>
        <n v="227"/>
        <n v="571"/>
        <n v="683"/>
        <n v="95"/>
        <n v="36"/>
        <n v="28"/>
        <n v="970"/>
        <n v="465"/>
        <n v="557"/>
        <n v="722"/>
        <n v="442"/>
        <n v="916"/>
        <n v="416"/>
        <n v="766"/>
        <n v="240"/>
        <n v="968"/>
        <n v="527"/>
        <n v="779"/>
        <n v="330"/>
        <n v="476"/>
        <n v="55"/>
        <n v="810"/>
        <n v="568"/>
        <n v="117"/>
        <n v="484"/>
        <n v="918"/>
        <n v="585"/>
        <n v="489"/>
        <n v="727"/>
        <n v="635"/>
        <n v="503"/>
        <n v="681"/>
        <n v="441"/>
        <n v="135"/>
        <n v="249"/>
        <n v="886"/>
        <n v="307"/>
        <n v="281"/>
        <n v="957"/>
        <n v="612"/>
        <n v="123"/>
        <n v="554"/>
        <n v="599"/>
        <n v="272"/>
        <n v="971"/>
        <n v="129"/>
        <n v="936"/>
        <n v="471"/>
        <n v="5000"/>
        <n v="118"/>
        <n v="148"/>
        <n v="820"/>
        <n v="439"/>
        <n v="619"/>
        <n v="624"/>
        <n v="29"/>
        <n v="210"/>
        <n v="551"/>
        <n v="172"/>
        <n v="809"/>
        <n v="719"/>
        <n v="106"/>
        <n v="271"/>
        <n v="20"/>
        <n v="615"/>
        <n v="521"/>
        <n v="160"/>
        <n v="495"/>
        <n v="956"/>
        <n v="898"/>
        <n v="575"/>
        <n v="390"/>
        <n v="925"/>
        <n v="443"/>
        <n v="852"/>
        <n v="110"/>
        <n v="343"/>
        <n v="163"/>
        <n v="208"/>
        <n v="805"/>
        <n v="818"/>
        <n v="0"/>
        <n v="744"/>
        <n v="915"/>
        <n v="913"/>
        <n v="366"/>
        <n v="38"/>
        <n v="71"/>
        <n v="67"/>
        <n v="697"/>
        <n v="375"/>
        <n v="269"/>
        <n v="427"/>
        <n v="859"/>
        <n v="474"/>
        <n v="62"/>
        <n v="102"/>
        <n v="658"/>
        <n v="871"/>
        <n v="8"/>
        <n v="904"/>
        <n v="41"/>
        <n v="231"/>
        <n v="14"/>
        <n v="7"/>
        <n v="212"/>
        <n v="74"/>
        <n v="847"/>
        <n v="18"/>
        <n v="876"/>
        <n v="553"/>
        <n v="771"/>
        <n v="327"/>
        <n v="924"/>
        <n v="745"/>
        <n v="933"/>
        <n v="505"/>
        <n v="328"/>
        <n v="260"/>
        <n v="232"/>
        <n v="218"/>
        <n v="446"/>
        <n v="15000"/>
        <n v="412"/>
        <n v="787"/>
        <n v="104"/>
        <n v="138"/>
        <n v="193"/>
        <n v="99"/>
        <n v="222"/>
        <n v="541"/>
        <n v="637"/>
        <n v="215"/>
        <n v="415"/>
        <n v="715"/>
        <n v="130"/>
        <n v="989"/>
        <n v="574"/>
        <n v="403"/>
        <n v="462"/>
        <n v="242"/>
        <n v="48"/>
        <n v="769"/>
        <n v="995"/>
        <n v="726"/>
        <n v="576"/>
        <n v="559"/>
        <n v="841"/>
        <n v="992"/>
        <n v="638"/>
        <n v="17"/>
        <n v="774"/>
        <n v="400"/>
        <n v="150"/>
        <n v="324"/>
        <n v="66"/>
        <n v="407"/>
        <n v="298"/>
        <n v="854"/>
        <n v="301"/>
        <n v="246"/>
        <n v="497"/>
        <n v="580"/>
        <n v="975"/>
        <n v="97"/>
        <n v="334"/>
        <n v="531"/>
        <n v="911"/>
        <n v="359"/>
        <n v="112"/>
        <n v="912"/>
        <n v="835"/>
        <n v="354"/>
        <n v="655"/>
        <n v="552"/>
        <n v="775"/>
        <n v="94"/>
        <n v="369"/>
        <n v="625"/>
        <n v="174"/>
        <n v="520"/>
        <n v="974"/>
        <n v="263"/>
        <n v="506"/>
        <n v="25"/>
        <n v="221"/>
        <n v="16"/>
        <n v="481"/>
        <n v="668"/>
        <n v="672"/>
        <n v="723"/>
        <n v="563"/>
        <n v="867"/>
        <n v="664"/>
        <n v="693"/>
        <n v="311"/>
        <n v="73"/>
        <n v="345"/>
        <n v="475"/>
        <n v="145"/>
        <n v="405"/>
        <n v="754"/>
        <n v="357"/>
        <n v="380"/>
        <n v="579"/>
        <n v="811"/>
        <n v="6"/>
        <n v="175"/>
        <n v="226"/>
        <n v="57"/>
        <n v="751"/>
        <n v="451"/>
        <n v="767"/>
        <n v="626"/>
        <n v="460"/>
        <n v="716"/>
        <n v="488"/>
        <n v="288"/>
        <n v="864"/>
        <n v="295"/>
        <n v="642"/>
        <n v="944"/>
        <n v="300"/>
        <n v="485"/>
        <n v="204"/>
        <n v="379"/>
        <n v="896"/>
        <n v="230"/>
        <n v="206"/>
        <n v="480"/>
        <n v="906"/>
        <n v="308"/>
        <n v="652"/>
        <n v="569"/>
        <n v="947"/>
        <n v="507"/>
        <n v="68"/>
        <n v="778"/>
        <n v="196"/>
        <n v="437"/>
        <n v="280"/>
        <n v="22"/>
        <n v="361"/>
        <n v="440"/>
        <n v="318"/>
        <n v="543"/>
        <n v="512"/>
        <n v="349"/>
        <n v="839"/>
        <n v="529"/>
        <n v="519"/>
        <n v="479"/>
        <n v="622"/>
        <n v="455"/>
        <n v="58"/>
        <n v="676"/>
        <n v="650"/>
        <n v="348"/>
        <n v="194"/>
        <n v="639"/>
        <n v="752"/>
        <n v="458"/>
        <n v="729"/>
        <n v="186"/>
        <n v="665"/>
        <n v="640"/>
        <n v="72"/>
        <n v="243"/>
        <n v="34"/>
        <n v="594"/>
        <n v="352"/>
        <n v="518"/>
        <n v="287"/>
        <n v="46"/>
        <n v="177"/>
        <n v="534"/>
        <n v="565"/>
        <n v="889"/>
        <n v="420"/>
        <n v="43"/>
        <n v="753"/>
        <n v="303"/>
        <n v="304"/>
        <n v="931"/>
        <n v="634"/>
        <n v="21"/>
        <n v="75"/>
        <n v="79"/>
        <n v="728"/>
        <n v="593"/>
        <n v="597"/>
        <n v="285"/>
        <n v="878"/>
        <n v="828"/>
        <n v="417"/>
        <n v="651"/>
        <n v="584"/>
        <n v="701"/>
        <n v="277"/>
        <n v="293"/>
        <n v="874"/>
        <n v="660"/>
        <n v="132"/>
        <n v="477"/>
        <n v="144"/>
        <n v="414"/>
        <n v="679"/>
        <n v="935"/>
        <n v="368"/>
        <n v="706"/>
        <n v="323"/>
        <n v="158"/>
        <n v="717"/>
        <n v="39"/>
        <n v="5"/>
        <n v="401"/>
        <n v="511"/>
        <n v="764"/>
        <n v="398"/>
        <n v="730"/>
        <n v="795"/>
        <n v="317"/>
        <n v="600"/>
        <n v="897"/>
        <n v="592"/>
        <n v="338"/>
        <n v="830"/>
        <n v="237"/>
        <n v="235"/>
        <n v="261"/>
        <n v="821"/>
        <n v="482"/>
        <n v="23"/>
        <n v="302"/>
        <n v="677"/>
        <n v="319"/>
        <n v="364"/>
        <n v="255"/>
        <n v="628"/>
        <n v="750"/>
        <n v="514"/>
        <n v="548"/>
        <n v="631"/>
        <n v="734"/>
        <n v="501"/>
        <n v="404"/>
        <n v="167"/>
        <n v="252"/>
        <n v="510"/>
        <n v="19"/>
        <n v="10"/>
        <n v="61"/>
        <n v="865"/>
        <n v="50"/>
        <n v="114"/>
        <n v="500"/>
        <n v="789"/>
        <n v="893"/>
        <n v="643"/>
        <n v="678"/>
        <n v="225"/>
        <n v="547"/>
        <n v="749"/>
        <n v="491"/>
        <n v="292"/>
        <n v="395"/>
        <n v="275"/>
        <n v="365"/>
        <n v="52"/>
        <n v="996"/>
        <n v="96"/>
        <n v="54"/>
        <n v="296"/>
        <n v="127"/>
        <n v="251"/>
        <n v="336"/>
        <n v="81"/>
        <n v="49"/>
        <n v="923"/>
        <n v="257"/>
        <n v="4"/>
        <n v="633"/>
        <n v="119"/>
        <n v="389"/>
        <n v="418"/>
        <n v="823"/>
        <n v="211"/>
        <n v="473"/>
        <n v="214"/>
        <n v="223"/>
        <n v="64"/>
        <n v="44"/>
        <n v="353"/>
        <n v="674"/>
        <n v="616"/>
        <n v="685"/>
        <n v="351"/>
        <n v="572"/>
        <n v="762"/>
        <n v="171"/>
        <n v="613"/>
        <n v="259"/>
        <n v="219"/>
        <n v="472"/>
        <n v="2"/>
        <n v="483"/>
        <n v="596"/>
        <n v="100"/>
        <n v="785"/>
        <n v="478"/>
        <n v="494"/>
        <n v="377"/>
        <n v="108"/>
        <n v="736"/>
        <n v="724"/>
        <n v="35"/>
        <n v="644"/>
        <n v="133"/>
        <n v="450"/>
        <n v="51"/>
        <n v="538"/>
        <n v="278"/>
        <n v="945"/>
        <n v="80"/>
        <n v="426"/>
        <n v="190"/>
        <n v="646"/>
        <n v="248"/>
        <n v="363"/>
        <n v="374"/>
        <n v="229"/>
        <n v="973"/>
        <n v="63"/>
        <n v="549"/>
        <n v="344"/>
        <n v="663"/>
        <n v="136"/>
        <n v="134"/>
        <n v="448"/>
        <n v="115"/>
        <n v="45"/>
        <n v="816"/>
        <n v="239"/>
        <n v="11"/>
        <n v="178"/>
        <n v="504"/>
        <n v="796"/>
        <n v="573"/>
        <n v="355"/>
        <n v="83"/>
        <n v="142"/>
        <n v="245"/>
        <n v="320"/>
        <n v="24"/>
        <n v="670"/>
        <n v="125"/>
        <n v="90"/>
        <n v="781"/>
        <n v="802"/>
        <n v="946"/>
        <n v="360"/>
        <n v="545"/>
        <n v="786"/>
        <n v="940"/>
        <n v="966"/>
        <n v="837"/>
        <n v="37"/>
        <n v="286"/>
        <n v="424"/>
        <n v="468"/>
        <n v="342"/>
        <n v="392"/>
        <n v="273"/>
        <n v="438"/>
        <n v="69"/>
        <n v="431"/>
        <n v="900"/>
        <n v="798"/>
        <n v="843"/>
        <n v="187"/>
        <n v="700"/>
        <n v="313"/>
        <n v="373"/>
        <n v="89"/>
        <n v="250"/>
        <n v="47"/>
        <n v="325"/>
        <n v="902"/>
        <n v="453"/>
        <n v="899"/>
        <n v="228"/>
        <n v="3"/>
        <n v="137"/>
        <n v="17000"/>
        <n v="528"/>
        <n v="155"/>
        <n v="26"/>
        <n v="151"/>
        <n v="711"/>
        <n v="198"/>
        <n v="164"/>
        <n v="662"/>
        <n v="188"/>
        <n v="887"/>
        <n v="917"/>
        <n v="872"/>
        <n v="367"/>
        <n v="742"/>
        <n v="960"/>
        <n v="199"/>
        <n v="743"/>
        <n v="977"/>
        <n v="98"/>
        <n v="376"/>
        <n v="347"/>
        <n v="70"/>
        <n v="399"/>
        <n v="92"/>
        <n v="309"/>
        <n v="42"/>
        <n v="492"/>
        <n v="31"/>
        <n v="611"/>
        <n v="197"/>
        <n v="254"/>
        <n v="382"/>
        <n v="88"/>
        <n v="234"/>
        <n v="86"/>
        <n v="266"/>
        <n v="290"/>
        <n v="216"/>
        <n v="406"/>
        <n v="149"/>
        <n v="220"/>
        <n v="842"/>
        <n v="605"/>
        <n v="85"/>
        <n v="487"/>
        <n v="861"/>
        <n v="109"/>
        <n v="851"/>
        <n v="332"/>
        <n v="101"/>
        <n v="949"/>
        <n v="755"/>
        <n v="587"/>
        <n v="270"/>
        <n v="756"/>
        <n v="806"/>
        <n v="470"/>
        <n v="942"/>
        <n v="905"/>
        <n v="801"/>
        <n v="499"/>
        <n v="153"/>
        <n v="783"/>
        <n v="926"/>
        <n v="181"/>
        <n v="725"/>
        <n v="9"/>
        <n v="53"/>
        <n v="306"/>
        <n v="630"/>
        <n v="356"/>
        <n v="836"/>
        <n v="27"/>
        <n v="985"/>
        <n v="457"/>
        <n v="555"/>
        <n v="606"/>
        <n v="124"/>
        <n v="371"/>
        <n v="238"/>
        <n v="922"/>
        <n v="32"/>
        <n v="757"/>
        <n v="920"/>
        <n v="170"/>
        <n v="598"/>
        <n v="849"/>
        <n v="486"/>
        <n v="583"/>
        <n v="428"/>
        <n v="578"/>
        <n v="316"/>
        <n v="888"/>
        <n v="247"/>
        <n v="305"/>
        <n v="607"/>
        <n v="731"/>
        <n v="649"/>
        <n v="65"/>
        <n v="629"/>
        <n v="782"/>
        <n v="274"/>
        <n v="224"/>
        <n v="386"/>
        <n v="289"/>
        <n v="669"/>
        <n v="121"/>
        <n v="176"/>
        <n v="496"/>
        <n v="654"/>
        <n v="169"/>
        <n v="378"/>
        <n v="93"/>
        <n v="829"/>
        <n v="435"/>
        <n v="147"/>
        <n v="793"/>
        <n v="122"/>
        <n v="696"/>
        <n v="192"/>
        <n v="146"/>
        <n v="411"/>
        <n v="632"/>
        <n v="621"/>
        <n v="647"/>
        <n v="532"/>
        <n v="860"/>
        <n v="901"/>
        <n v="139"/>
        <n v="804"/>
        <n v="536"/>
        <n v="869"/>
        <n v="444"/>
        <n v="688"/>
        <n v="131"/>
        <n v="885"/>
        <n v="875"/>
        <n v="126"/>
        <n v="770"/>
        <n v="200"/>
        <n v="513"/>
        <n v="862"/>
        <n v="908"/>
        <n v="673"/>
        <n v="291"/>
        <n v="710"/>
        <n v="209"/>
        <n v="33"/>
        <n v="189"/>
        <n v="391"/>
        <n v="890"/>
        <n v="76"/>
        <n v="410"/>
        <n v="493"/>
        <n v="689"/>
        <n v="180"/>
        <n v="381"/>
        <n v="546"/>
        <n v="152"/>
        <n v="419"/>
        <n v="694"/>
        <n v="704"/>
        <n v="657"/>
        <n v="498"/>
        <n v="205"/>
        <n v="797"/>
        <n v="556"/>
        <n v="276"/>
        <n v="686"/>
        <n v="601"/>
        <n v="339"/>
        <n v="425"/>
        <n v="712"/>
        <n v="143"/>
        <n v="682"/>
        <n v="739"/>
        <n v="969"/>
        <n v="449"/>
        <n v="469"/>
        <n v="331"/>
        <n v="454"/>
        <n v="315"/>
        <n v="698"/>
        <n v="608"/>
        <n v="166"/>
        <n v="333"/>
        <n v="312"/>
        <n v="128"/>
        <n v="772"/>
        <n v="891"/>
        <n v="396"/>
        <n v="659"/>
        <n v="620"/>
        <n v="321"/>
        <n v="185"/>
        <n v="156"/>
      </sharedItems>
    </cacheField>
    <cacheField name="actor_1_facebook_likes" numFmtId="0">
      <sharedItems containsString="0" containsBlank="1" containsNumber="1" containsInteger="1" minValue="0" maxValue="640000" count="879">
        <n v="1000"/>
        <n v="40000"/>
        <n v="11000"/>
        <n v="27000"/>
        <n v="131"/>
        <n v="640"/>
        <n v="24000"/>
        <n v="799"/>
        <n v="26000"/>
        <n v="25000"/>
        <n v="15000"/>
        <n v="18000"/>
        <n v="451"/>
        <n v="22000"/>
        <n v="10000"/>
        <n v="5000"/>
        <n v="891"/>
        <n v="16000"/>
        <n v="6000"/>
        <n v="29000"/>
        <n v="21000"/>
        <n v="14000"/>
        <n v="3000"/>
        <n v="883"/>
        <n v="20000"/>
        <n v="12000"/>
        <n v="894"/>
        <n v="974"/>
        <n v="44000"/>
        <n v="23000"/>
        <n v="17000"/>
        <n v="34000"/>
        <n v="19000"/>
        <n v="979"/>
        <n v="275"/>
        <n v="2000"/>
        <n v="998"/>
        <n v="268"/>
        <n v="87000"/>
        <n v="711"/>
        <n v="622"/>
        <n v="4000"/>
        <n v="756"/>
        <n v="975"/>
        <n v="890"/>
        <n v="648"/>
        <n v="544"/>
        <n v="531"/>
        <n v="662"/>
        <n v="49000"/>
        <n v="309"/>
        <n v="234"/>
        <n v="730"/>
        <n v="921"/>
        <n v="851"/>
        <n v="769"/>
        <n v="783"/>
        <n v="13000"/>
        <n v="957"/>
        <n v="820"/>
        <n v="986"/>
        <n v="766"/>
        <n v="613"/>
        <n v="982"/>
        <n v="535"/>
        <n v="688"/>
        <n v="605"/>
        <n v="845"/>
        <n v="920"/>
        <n v="784"/>
        <n v="774"/>
        <n v="886"/>
        <n v="690"/>
        <n v="273"/>
        <n v="936"/>
        <n v="833"/>
        <n v="39"/>
        <n v="650"/>
        <n v="596"/>
        <n v="811"/>
        <n v="480"/>
        <n v="669"/>
        <n v="383"/>
        <n v="681"/>
        <n v="673"/>
        <n v="760"/>
        <n v="852"/>
        <n v="5"/>
        <n v="752"/>
        <n v="780"/>
        <n v="558"/>
        <n v="925"/>
        <n v="660"/>
        <n v="827"/>
        <n v="8000"/>
        <n v="490"/>
        <n v="144"/>
        <n v="623"/>
        <n v="962"/>
        <n v="873"/>
        <n v="693"/>
        <n v="770"/>
        <n v="191"/>
        <n v="835"/>
        <n v="35000"/>
        <n v="691"/>
        <n v="591"/>
        <n v="192"/>
        <n v="919"/>
        <n v="680"/>
        <n v="887"/>
        <n v="283"/>
        <n v="670"/>
        <n v="879"/>
        <n v="584"/>
        <n v="672"/>
        <n v="813"/>
        <n v="611"/>
        <n v="409"/>
        <n v="875"/>
        <n v="577"/>
        <n v="898"/>
        <n v="340"/>
        <n v="9000"/>
        <n v="23"/>
        <n v="981"/>
        <n v="882"/>
        <n v="743"/>
        <n v="529"/>
        <n v="2"/>
        <n v="563"/>
        <n v="67"/>
        <n v="795"/>
        <n v="163"/>
        <n v="7000"/>
        <n v="610"/>
        <n v="719"/>
        <n v="867"/>
        <n v="912"/>
        <n v="374"/>
        <n v="745"/>
        <n v="582"/>
        <n v="933"/>
        <n v="548"/>
        <n v="906"/>
        <n v="940"/>
        <n v="21"/>
        <n v="710"/>
        <n v="692"/>
        <n v="870"/>
        <n v="960"/>
        <n v="443"/>
        <n v="903"/>
        <n v="989"/>
        <n v="394"/>
        <n v="349"/>
        <n v="844"/>
        <n v="576"/>
        <n v="614"/>
        <n v="966"/>
        <n v="788"/>
        <n v="537"/>
        <n v="995"/>
        <n v="901"/>
        <n v="848"/>
        <n v="600"/>
        <n v="509"/>
        <n v="324"/>
        <n v="963"/>
        <n v="177"/>
        <n v="645"/>
        <n v="967"/>
        <n v="524"/>
        <n v="46000"/>
        <n v="419"/>
        <n v="988"/>
        <n v="433"/>
        <n v="658"/>
        <n v="881"/>
        <n v="854"/>
        <n v="366"/>
        <n v="834"/>
        <n v="732"/>
        <n v="789"/>
        <n v="539"/>
        <n v="874"/>
        <n v="33000"/>
        <n v="310"/>
        <n v="436"/>
        <n v="510"/>
        <n v="287"/>
        <n v="865"/>
        <n v="722"/>
        <n v="968"/>
        <n v="889"/>
        <n v="973"/>
        <n v="794"/>
        <n v="970"/>
        <n v="142"/>
        <n v="931"/>
        <n v="926"/>
        <n v="847"/>
        <n v="485"/>
        <n v="534"/>
        <n v="57"/>
        <n v="838"/>
        <n v="939"/>
        <n v="956"/>
        <n v="226"/>
        <n v="617"/>
        <n v="277"/>
        <n v="593"/>
        <n v="117"/>
        <n v="631"/>
        <n v="134"/>
        <n v="211"/>
        <n v="961"/>
        <n v="677"/>
        <n v="145"/>
        <n v="625"/>
        <n v="426"/>
        <n v="154"/>
        <n v="416"/>
        <n v="495"/>
        <n v="992"/>
        <n v="437"/>
        <n v="294"/>
        <n v="627"/>
        <n v="330"/>
        <n v="325"/>
        <n v="45000"/>
        <n v="430"/>
        <n v="629"/>
        <n v="51"/>
        <n v="972"/>
        <n v="984"/>
        <n v="841"/>
        <n v="599"/>
        <n v="598"/>
        <n v="779"/>
        <n v="113"/>
        <n v="678"/>
        <n v="29"/>
        <n v="924"/>
        <n v="807"/>
        <n v="545"/>
        <n v="821"/>
        <n v="521"/>
        <n v="749"/>
        <n v="550"/>
        <n v="427"/>
        <n v="913"/>
        <n v="905"/>
        <n v="723"/>
        <n v="267"/>
        <n v="164"/>
        <n v="849"/>
        <n v="219"/>
        <n v="44"/>
        <n v="405"/>
        <n v="579"/>
        <n v="468"/>
        <n v="683"/>
        <n v="922"/>
        <n v="624"/>
        <n v="326"/>
        <n v="687"/>
        <n v="107"/>
        <n v="734"/>
        <n v="668"/>
        <n v="97"/>
        <n v="855"/>
        <n v="904"/>
        <n v="700"/>
        <n v="164000"/>
        <n v="578"/>
        <n v="836"/>
        <n v="708"/>
        <n v="387"/>
        <n v="954"/>
        <n v="880"/>
        <n v="472"/>
        <n v="176"/>
        <n v="720"/>
        <n v="703"/>
        <n v="787"/>
        <n v="293"/>
        <n v="607"/>
        <n v="964"/>
        <n v="327"/>
        <n v="877"/>
        <n v="978"/>
        <n v="636"/>
        <n v="782"/>
        <n v="976"/>
        <n v="61"/>
        <n v="884"/>
        <n v="499"/>
        <n v="218"/>
        <n v="152"/>
        <n v="747"/>
        <n v="755"/>
        <n v="592"/>
        <n v="643"/>
        <n v="76"/>
        <n v="308"/>
        <n v="628"/>
        <n v="37"/>
        <n v="378"/>
        <n v="786"/>
        <n v="740"/>
        <n v="463"/>
        <n v="551"/>
        <n v="180"/>
        <n v="496"/>
        <n v="746"/>
        <n v="685"/>
        <n v="944"/>
        <n v="541"/>
        <n v="461"/>
        <n v="808"/>
        <n v="768"/>
        <n v="778"/>
        <n v="492"/>
        <n v="947"/>
        <n v="900"/>
        <n v="812"/>
        <n v="826"/>
        <n v="969"/>
        <n v="897"/>
        <n v="288"/>
        <n v="396"/>
        <n v="446"/>
        <n v="775"/>
        <n v="907"/>
        <n v="465"/>
        <n v="553"/>
        <n v="694"/>
        <n v="635"/>
        <n v="695"/>
        <n v="837"/>
        <n v="3"/>
        <n v="30"/>
        <n v="621"/>
        <n v="554"/>
        <n v="372"/>
        <n v="6"/>
        <n v="818"/>
        <n v="165"/>
        <n v="773"/>
        <n v="918"/>
        <n v="344"/>
        <n v="716"/>
        <n v="649"/>
        <n v="638"/>
        <n v="839"/>
        <n v="244"/>
        <n v="616"/>
        <n v="971"/>
        <n v="442"/>
        <n v="303"/>
        <n v="506"/>
        <n v="567"/>
        <n v="696"/>
        <n v="455"/>
        <n v="585"/>
        <n v="869"/>
        <n v="581"/>
        <n v="157"/>
        <n v="663"/>
        <n v="759"/>
        <n v="489"/>
        <n v="473"/>
        <n v="448"/>
        <n v="147"/>
        <n v="876"/>
        <n v="295"/>
        <n v="114"/>
        <n v="523"/>
        <n v="757"/>
        <n v="955"/>
        <n v="504"/>
        <n v="559"/>
        <n v="639"/>
        <n v="173"/>
        <n v="11"/>
        <n v="664"/>
        <n v="580"/>
        <n v="943"/>
        <n v="731"/>
        <n v="422"/>
        <n v="497"/>
        <n v="63"/>
        <n v="806"/>
        <n v="738"/>
        <n v="594"/>
        <n v="358"/>
        <n v="386"/>
        <n v="953"/>
        <n v="66"/>
        <n v="491"/>
        <n v="748"/>
        <n v="385"/>
        <n v="332"/>
        <n v="771"/>
        <n v="642"/>
        <n v="260"/>
        <n v="655"/>
        <n v="934"/>
        <n v="264"/>
        <n v="440"/>
        <n v="713"/>
        <n v="640000"/>
        <n v="742"/>
        <n v="272"/>
        <n v="744"/>
        <n v="296"/>
        <n v="328"/>
        <n v="601"/>
        <n v="285"/>
        <n v="469"/>
        <n v="460"/>
        <n v="90"/>
        <n v="618"/>
        <n v="45"/>
        <n v="462"/>
        <n v="902"/>
        <n v="798"/>
        <n v="355"/>
        <n v="985"/>
        <n v="338"/>
        <n v="562"/>
        <n v="400"/>
        <n v="172"/>
        <n v="181"/>
        <n v="941"/>
        <n v="174"/>
        <n v="843"/>
        <n v="927"/>
        <n v="908"/>
        <n v="279"/>
        <n v="79"/>
        <n v="893"/>
        <n v="512"/>
        <n v="721"/>
        <n v="527"/>
        <n v="201"/>
        <n v="805"/>
        <n v="556"/>
        <n v="129"/>
        <n v="329"/>
        <n v="896"/>
        <n v="390"/>
        <n v="150"/>
        <n v="240"/>
        <n v="203"/>
        <n v="809"/>
        <n v="20"/>
        <n v="533"/>
        <n v="98"/>
        <n v="608"/>
        <n v="526"/>
        <n v="304"/>
        <n v="508"/>
        <n v="565"/>
        <n v="860"/>
        <n v="31000"/>
        <n v="141"/>
        <n v="741"/>
        <n v="125"/>
        <n v="646"/>
        <n v="0"/>
        <n v="606"/>
        <n v="991"/>
        <n v="909"/>
        <n v="651"/>
        <n v="302"/>
        <n v="137000"/>
        <n v="346"/>
        <n v="856"/>
        <n v="204"/>
        <n v="997"/>
        <n v="885"/>
        <n v="829"/>
        <n v="572"/>
        <n v="801"/>
        <n v="488"/>
        <n v="699"/>
        <n v="46"/>
        <n v="106"/>
        <n v="403"/>
        <n v="483"/>
        <n v="109"/>
        <n v="729"/>
        <n v="486"/>
        <n v="888"/>
        <n v="500"/>
        <n v="341"/>
        <n v="17"/>
        <n v="948"/>
        <n v="654"/>
        <n v="82"/>
        <n v="727"/>
        <n v="828"/>
        <n v="155"/>
        <n v="946"/>
        <n v="517"/>
        <n v="210"/>
        <n v="712"/>
        <n v="456"/>
        <n v="597"/>
        <n v="364"/>
        <n v="84"/>
        <n v="444"/>
        <n v="923"/>
        <n v="158"/>
        <n v="866"/>
        <n v="549"/>
        <n v="482"/>
        <n v="453"/>
        <n v="715"/>
        <n v="767"/>
        <n v="634"/>
        <n v="214"/>
        <n v="714"/>
        <n v="227"/>
        <n v="996"/>
        <n v="241"/>
        <n v="911"/>
        <n v="861"/>
        <n v="633"/>
        <n v="175"/>
        <n v="555"/>
        <n v="503"/>
        <n v="232"/>
        <n v="235"/>
        <n v="103"/>
        <n v="94"/>
        <n v="816"/>
        <n v="116"/>
        <n v="193"/>
        <n v="471"/>
        <n v="354"/>
        <n v="796"/>
        <n v="595"/>
        <n v="65"/>
        <n v="477"/>
        <n v="857"/>
        <n v="136"/>
        <n v="64"/>
        <n v="825"/>
        <n v="776"/>
        <n v="735"/>
        <n v="179"/>
        <n v="467"/>
        <n v="892"/>
        <n v="706"/>
        <n v="718"/>
        <n v="878"/>
        <n v="413"/>
        <n v="543"/>
        <n v="159"/>
        <n v="423"/>
        <n v="149"/>
        <n v="412"/>
        <n v="380"/>
        <n v="697"/>
        <n v="70"/>
        <n v="569"/>
        <n v="656"/>
        <n v="130"/>
        <n v="619"/>
        <n v="571"/>
        <n v="899"/>
        <n v="659"/>
        <n v="803"/>
        <n v="552"/>
        <n v="306"/>
        <n v="170"/>
        <n v="77"/>
        <n v="717"/>
        <n v="93"/>
        <n v="28"/>
        <n v="452"/>
        <n v="347"/>
        <n v="733"/>
        <n v="362"/>
        <n v="525"/>
        <n v="60"/>
        <n v="797"/>
        <n v="9"/>
        <n v="686"/>
        <n v="52"/>
        <n v="399"/>
        <n v="15"/>
        <n v="215"/>
        <n v="785"/>
        <n v="276"/>
        <n v="425"/>
        <n v="917"/>
        <n v="665"/>
        <n v="381"/>
        <n v="564"/>
        <n v="68"/>
        <n v="494"/>
        <n v="726"/>
        <n v="371"/>
        <n v="929"/>
        <n v="220"/>
        <n v="258"/>
        <n v="772"/>
        <n v="24"/>
        <n v="753"/>
        <n v="823"/>
        <n v="402"/>
        <n v="754"/>
        <n v="530"/>
        <n v="307"/>
        <n v="990"/>
        <n v="603"/>
        <n v="478"/>
        <n v="78"/>
        <n v="439"/>
        <n v="122"/>
        <n v="298"/>
        <n v="30000"/>
        <n v="183"/>
        <n v="398"/>
        <n v="764"/>
        <n v="557"/>
        <n v="148"/>
        <n v="187"/>
        <n v="311"/>
        <n v="392"/>
        <n v="702"/>
        <n v="7"/>
        <n v="186"/>
        <n v="679"/>
        <n v="185"/>
        <n v="573"/>
        <n v="949"/>
        <n v="35"/>
        <n v="736"/>
        <n v="205"/>
        <n v="217"/>
        <n v="133"/>
        <n v="389"/>
        <n v="449"/>
        <n v="363"/>
        <n v="484"/>
        <n v="666"/>
        <n v="434"/>
        <n v="977"/>
        <n v="502"/>
        <n v="373"/>
        <n v="71"/>
        <n v="262"/>
        <n v="532"/>
        <n v="225"/>
        <n v="513"/>
        <n v="637"/>
        <n v="246"/>
        <n v="761"/>
        <n v="206"/>
        <n v="474"/>
        <n v="4"/>
        <n v="91"/>
        <n v="99"/>
        <n v="27"/>
        <n v="804"/>
        <n v="435"/>
        <n v="56"/>
        <n v="431"/>
        <n v="18"/>
        <n v="382"/>
        <n v="321"/>
        <n v="937"/>
        <n v="263"/>
        <n v="397"/>
        <n v="682"/>
        <n v="391"/>
        <n v="343"/>
        <n v="229"/>
        <n v="25"/>
        <n v="368"/>
        <n v="31"/>
        <n v="286"/>
        <n v="393"/>
        <n v="208"/>
        <n v="935"/>
        <n v="269"/>
        <n v="520"/>
        <n v="859"/>
        <n v="55"/>
        <n v="75"/>
        <n v="197"/>
        <n v="432"/>
        <n v="331"/>
        <n v="570"/>
        <n v="237"/>
        <n v="74"/>
        <n v="188"/>
        <n v="589"/>
        <n v="274"/>
        <n v="85"/>
        <n v="464"/>
        <n v="110"/>
        <n v="707"/>
        <n v="230"/>
        <n v="522"/>
        <n v="862"/>
        <n v="420"/>
        <n v="48"/>
        <n v="945"/>
        <n v="254"/>
        <n v="762"/>
        <n v="223"/>
        <n v="763"/>
        <n v="166"/>
        <n v="507"/>
        <n v="414"/>
        <n v="119"/>
        <n v="89"/>
        <n v="575"/>
        <n v="255"/>
        <n v="195"/>
        <n v="560"/>
        <n v="632"/>
        <n v="280"/>
        <n v="438"/>
        <n v="942"/>
        <n v="253"/>
        <n v="88"/>
        <n v="516"/>
        <n v="140"/>
        <n v="641"/>
        <n v="674"/>
        <n v="574"/>
        <n v="536"/>
        <n v="40"/>
        <n v="289"/>
        <n v="487"/>
        <n v="231"/>
        <n v="652"/>
        <n v="319"/>
        <n v="216"/>
        <n v="447"/>
        <n v="105"/>
        <n v="481"/>
        <n v="123"/>
        <n v="871"/>
        <n v="50"/>
        <n v="334"/>
        <n v="127"/>
        <n v="586"/>
        <n v="675"/>
        <n v="16"/>
        <n v="72"/>
        <n v="42"/>
        <n v="676"/>
        <n v="128"/>
        <n v="120"/>
        <n v="846"/>
        <n v="314"/>
        <n v="538"/>
        <n v="251"/>
        <n v="265"/>
        <n v="459"/>
        <n v="178"/>
        <n v="168"/>
        <n v="388"/>
        <n v="189"/>
        <n v="33"/>
        <n v="353"/>
        <n v="160"/>
        <n v="121"/>
        <n v="161"/>
        <n v="41"/>
        <n v="647"/>
        <n v="701"/>
        <n v="86"/>
        <n v="281"/>
        <n v="53"/>
        <n v="421"/>
        <n v="260000"/>
        <n v="38"/>
        <n v="199"/>
        <n v="501"/>
        <n v="87"/>
        <n v="282"/>
        <m/>
        <n v="34"/>
        <n v="498"/>
        <n v="511"/>
        <n v="14"/>
        <n v="12"/>
        <n v="266"/>
        <n v="43"/>
        <n v="356"/>
        <n v="202"/>
        <n v="612"/>
        <n v="245"/>
        <n v="406"/>
        <n v="102"/>
        <n v="724"/>
        <n v="590"/>
        <n v="96"/>
        <n v="458"/>
        <n v="224"/>
        <n v="335"/>
        <n v="92"/>
        <n v="657"/>
        <n v="938"/>
        <n v="284"/>
        <n v="418"/>
        <n v="49"/>
        <n v="247"/>
        <n v="312"/>
        <n v="108"/>
        <n v="80"/>
        <n v="602"/>
        <n v="587"/>
        <n v="407"/>
        <n v="196"/>
        <n v="54"/>
        <n v="69"/>
        <n v="980"/>
        <n v="342"/>
        <n v="239"/>
        <n v="322"/>
        <n v="466"/>
        <n v="8"/>
        <n v="22"/>
        <n v="361"/>
        <n v="58"/>
        <n v="59"/>
        <n v="169"/>
        <n v="470"/>
        <n v="615"/>
        <n v="359"/>
        <n v="47"/>
        <n v="19"/>
        <n v="375"/>
        <n v="318"/>
        <n v="644"/>
        <n v="156"/>
        <n v="360"/>
        <n v="250"/>
        <n v="793"/>
        <n v="100"/>
        <n v="135"/>
        <n v="337"/>
        <n v="236"/>
        <n v="81"/>
        <n v="814"/>
        <n v="728"/>
        <n v="77000"/>
        <n v="259"/>
        <n v="138"/>
        <n v="505"/>
        <n v="36"/>
        <n v="270"/>
        <n v="376"/>
        <n v="200"/>
        <n v="830"/>
        <n v="126"/>
        <n v="143"/>
        <n v="238"/>
        <n v="118"/>
        <n v="111"/>
        <n v="26"/>
        <n v="725"/>
        <n v="252"/>
        <n v="32"/>
        <n v="313"/>
        <n v="370"/>
        <n v="630"/>
        <n v="10"/>
        <n v="291"/>
      </sharedItems>
    </cacheField>
    <cacheField name="gross" numFmtId="0">
      <sharedItems containsString="0" containsBlank="1" containsNumber="1" containsInteger="1" minValue="162" maxValue="760505847" count="4036">
        <n v="760505847"/>
        <n v="309404152"/>
        <n v="200074175"/>
        <n v="448130642"/>
        <m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123070338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82506325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821997"/>
        <n v="169692572"/>
        <n v="60507228"/>
        <n v="56684819"/>
        <n v="50628009"/>
        <n v="69772969"/>
        <n v="45356386"/>
        <n v="55350897"/>
        <n v="39442871"/>
        <n v="37899638"/>
        <n v="37754208"/>
        <n v="2777988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90820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27550735"/>
        <n v="39380442"/>
        <n v="72980108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6821358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36965395"/>
        <n v="40559930"/>
        <n v="36830057"/>
        <n v="36279230"/>
        <n v="42194060"/>
        <n v="43119879"/>
        <n v="35096190"/>
        <n v="35754555"/>
        <n v="43290977"/>
        <n v="33927476"/>
        <n v="32122249"/>
        <n v="40076438"/>
        <n v="32940507"/>
        <n v="31670931"/>
        <n v="30695227"/>
        <n v="32522352"/>
        <n v="28424210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35092918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5621915"/>
        <n v="79948113"/>
        <n v="88658172"/>
        <n v="75888270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7994115"/>
        <n v="124107476"/>
        <n v="197171806"/>
        <n v="12802907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528972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60923325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50562555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12081447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463730"/>
        <n v="50693162"/>
        <n v="6498000"/>
        <n v="63411478"/>
        <n v="42640890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1877179"/>
        <n v="630779"/>
        <n v="5100937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225675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49186871"/>
        <n v="50921738"/>
        <n v="53021560"/>
        <n v="45645204"/>
        <n v="44328238"/>
        <n v="53337608"/>
        <n v="42643187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8165882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7501404"/>
        <n v="19316646"/>
        <n v="10965209"/>
        <n v="26830000"/>
        <n v="5300000"/>
        <n v="10880926"/>
        <n v="3752725"/>
        <n v="3517797"/>
        <n v="3101301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44087387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310118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30538669"/>
        <n v="25615792"/>
        <n v="28341469"/>
        <n v="25590119"/>
        <n v="24944213"/>
        <n v="33631221"/>
        <n v="37738400"/>
        <n v="24381334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331289"/>
        <n v="15045676"/>
        <n v="17427926"/>
        <n v="14983572"/>
        <n v="14637490"/>
        <n v="14589444"/>
        <n v="14095303"/>
        <n v="13973532"/>
        <n v="1865774"/>
        <n v="13920741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12495865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777589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3108216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829497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37721949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1573740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29062561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6870825"/>
        <n v="20916309"/>
        <n v="21200000"/>
        <n v="28876924"/>
        <n v="20207003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14359793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578382"/>
        <n v="305070"/>
        <n v="206678"/>
        <n v="146072"/>
        <n v="1183354"/>
        <n v="121972"/>
        <n v="263365"/>
        <n v="54734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5308553"/>
        <n v="2119994"/>
        <n v="1292527"/>
        <n v="560512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4806750"/>
        <n v="3707794"/>
        <n v="3203044"/>
        <n v="4435083"/>
        <n v="2222647"/>
        <n v="3500000"/>
        <n v="676698"/>
        <n v="3419967"/>
        <n v="145118"/>
        <n v="229311"/>
        <n v="63260"/>
        <n v="121463226"/>
        <n v="90485233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24708699"/>
        <n v="21160089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7070459"/>
        <n v="6855137"/>
        <n v="2694071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11540112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554566"/>
        <n v="50886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799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39100956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0353690"/>
        <n v="12801190"/>
        <n v="12549485"/>
        <n v="13766014"/>
        <n v="13034417"/>
        <n v="11632420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525161"/>
        <n v="3247816"/>
        <n v="2412045"/>
        <n v="2203641"/>
        <n v="1953732"/>
        <n v="1954202"/>
        <n v="1294640"/>
        <n v="819852"/>
        <n v="26435"/>
        <n v="1197786"/>
        <n v="529766"/>
        <n v="613556"/>
        <n v="353743"/>
        <n v="502028"/>
        <n v="102055"/>
        <n v="122288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5010192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550242"/>
        <n v="12610731"/>
        <n v="11204499"/>
        <n v="10397365"/>
        <n v="9402410"/>
        <n v="5990075"/>
        <n v="5459824"/>
        <n v="5108820"/>
        <n v="4741987"/>
        <n v="4291965"/>
        <n v="3100650"/>
        <n v="2474000"/>
        <n v="2656324"/>
        <n v="1000000"/>
        <n v="3958500"/>
        <n v="403649"/>
        <n v="274299"/>
        <n v="183088"/>
        <n v="46495"/>
        <n v="1752214"/>
        <n v="83025853"/>
        <n v="56631572"/>
        <n v="15854988"/>
        <n v="12282677"/>
        <n v="447093"/>
        <n v="7060876"/>
        <n v="14989761"/>
        <n v="687081"/>
        <n v="5501940"/>
        <n v="2086345"/>
        <n v="2605039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321573"/>
        <n v="17613460"/>
        <n v="21088568"/>
        <n v="17292381"/>
        <n v="16300302"/>
        <n v="27829874"/>
        <n v="13960203"/>
        <n v="12902790"/>
        <n v="21520719"/>
        <n v="12796277"/>
        <n v="11634362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793352"/>
        <n v="214202"/>
        <n v="195888"/>
        <n v="175370"/>
        <n v="190666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10230"/>
        <n v="90556401"/>
        <n v="93571803"/>
        <n v="72755517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540085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1165104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37897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5102127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857503"/>
        <n v="6712241"/>
        <n v="6842058"/>
        <n v="6491350"/>
        <n v="9473382"/>
        <n v="6197866"/>
        <n v="6044618"/>
        <n v="7764027"/>
        <n v="5998971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836641"/>
        <n v="598645"/>
        <n v="578527"/>
        <n v="488872"/>
        <n v="365734"/>
        <n v="231417"/>
        <n v="3093491"/>
        <n v="244465"/>
        <n v="756452"/>
        <n v="228524"/>
        <n v="226792"/>
        <n v="221210"/>
        <n v="136432"/>
        <n v="131617"/>
        <n v="152857"/>
        <n v="126247"/>
        <n v="82739"/>
        <n v="169379"/>
        <n v="15447"/>
        <n v="19348"/>
        <n v="100503"/>
        <n v="92900"/>
        <n v="140987"/>
        <n v="5561"/>
        <n v="3607"/>
        <n v="70527"/>
        <n v="11835"/>
        <n v="128486"/>
        <n v="16025394"/>
        <n v="2483955"/>
        <n v="57176582"/>
        <n v="43100000"/>
        <n v="225377"/>
        <n v="14114488"/>
        <n v="46300000"/>
        <n v="12899702"/>
        <n v="113155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90400000"/>
        <n v="16235293"/>
        <n v="11827301"/>
        <n v="10161099"/>
        <n v="6610326"/>
        <n v="6126237"/>
        <n v="6047856"/>
        <n v="4681503"/>
        <n v="4350774"/>
        <n v="3420871"/>
        <n v="2955039"/>
        <n v="1530535"/>
        <n v="4881867"/>
        <n v="1043487"/>
        <n v="770629"/>
        <n v="11860839"/>
        <n v="454255"/>
        <n v="349618"/>
        <n v="112935"/>
        <n v="883887"/>
        <n v="13751"/>
        <n v="145109"/>
        <n v="1046166"/>
        <n v="2874"/>
        <n v="174635000"/>
        <n v="171320"/>
        <n v="14373825"/>
        <n v="162"/>
        <n v="32222567"/>
        <n v="39462438"/>
        <n v="29200000"/>
        <n v="21564616"/>
        <n v="14879556"/>
        <n v="13569248"/>
        <n v="34017854"/>
        <n v="4273372"/>
        <n v="4440055"/>
        <n v="4018695"/>
        <n v="6262942"/>
        <n v="1997807"/>
        <n v="1207007"/>
        <n v="1829142"/>
        <n v="3827466"/>
        <n v="140244"/>
        <n v="107930000"/>
        <n v="76657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8811135"/>
        <n v="17278980"/>
        <n v="16699684"/>
        <n v="15047419"/>
        <n v="14015786"/>
        <n v="10269307"/>
        <n v="17536788"/>
        <n v="58401464"/>
        <n v="8880705"/>
        <n v="8279017"/>
        <n v="10106233"/>
        <n v="4692814"/>
        <n v="5018450"/>
        <n v="2596700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146083"/>
        <n v="298110"/>
        <n v="127144"/>
        <n v="117190"/>
        <n v="108662"/>
        <n v="53481"/>
        <n v="23106"/>
        <n v="52961"/>
        <n v="439162"/>
        <n v="50000"/>
        <n v="671240"/>
        <n v="10105505"/>
        <n v="882290"/>
        <n v="106593296"/>
        <n v="43490057"/>
        <n v="32333860"/>
        <n v="24792061"/>
        <n v="17544812"/>
        <n v="12574715"/>
        <n v="10281585"/>
        <n v="5100000"/>
        <n v="10460089"/>
        <n v="4239767"/>
        <n v="4131640"/>
        <n v="3347439"/>
        <n v="10814185"/>
        <n v="533344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1973840"/>
        <n v="37295394"/>
        <n v="31501218"/>
        <n v="28747570"/>
        <n v="25625110"/>
        <n v="25000000"/>
        <n v="21000000"/>
        <n v="20257000"/>
        <n v="26005908"/>
        <n v="1864231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2209479"/>
        <n v="1889522"/>
        <n v="1110286"/>
        <n v="700000"/>
        <n v="1768416"/>
        <n v="1425993"/>
        <n v="306715"/>
        <n v="382946"/>
        <n v="518134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2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674183"/>
        <n v="17508936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95000"/>
        <n v="4542775"/>
        <n v="3588432"/>
        <n v="4394936"/>
        <n v="3029081"/>
        <n v="3273588"/>
        <n v="2207975"/>
        <n v="2025238"/>
        <n v="1028337"/>
        <n v="2077046"/>
        <n v="267194"/>
        <n v="869325"/>
        <n v="399611"/>
        <n v="181798"/>
        <n v="115862"/>
        <n v="1346503"/>
        <n v="117560"/>
        <n v="54606"/>
        <n v="36497"/>
        <n v="23807"/>
        <n v="65804"/>
        <n v="3895664"/>
        <n v="20200"/>
        <n v="542860"/>
        <n v="15059"/>
        <n v="11905519"/>
        <n v="69582"/>
        <n v="32541719"/>
        <n v="3064356"/>
        <n v="7009668"/>
        <n v="352684"/>
        <n v="27024"/>
        <n v="531806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753501"/>
        <n v="22770"/>
        <n v="2197331"/>
        <n v="27445"/>
        <n v="766487"/>
        <n v="18434"/>
        <n v="1196752"/>
        <n v="795126"/>
        <n v="563699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19097994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6088249"/>
        <n v="5480318"/>
        <n v="5308707"/>
        <n v="5009677"/>
        <n v="4328294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240425"/>
        <n v="228830"/>
        <n v="223615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238774"/>
        <n v="8025872"/>
        <n v="778565"/>
        <n v="1340891"/>
        <n v="513836"/>
        <n v="434417"/>
        <n v="728"/>
        <n v="81200000"/>
        <n v="52700832"/>
        <n v="13060843"/>
        <n v="3798532"/>
        <n v="3609278"/>
        <n v="1687311"/>
        <n v="10429707"/>
        <n v="727883"/>
        <n v="1391770"/>
        <n v="713413"/>
        <n v="410241"/>
        <n v="278821"/>
        <n v="211667"/>
        <n v="706622"/>
        <n v="92191"/>
        <n v="49413"/>
        <n v="199652"/>
        <n v="181655"/>
        <n v="108229"/>
        <n v="112000000"/>
        <n v="8691"/>
        <n v="26345"/>
        <n v="6940281"/>
        <n v="188870"/>
        <n v="20772796"/>
        <n v="199228"/>
        <n v="2542264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0941801"/>
        <n v="15152879"/>
        <n v="25359200"/>
        <n v="10515579"/>
        <n v="10097096"/>
        <n v="9821335"/>
        <n v="8243880"/>
        <n v="7825820"/>
        <n v="7557877"/>
        <n v="7159147"/>
        <n v="17314483"/>
        <n v="6525762"/>
        <n v="4613815"/>
        <n v="4301331"/>
        <n v="4046737"/>
        <n v="3713002"/>
        <n v="3468572"/>
        <n v="2892582"/>
        <n v="2800000"/>
        <n v="2426851"/>
        <n v="1325073"/>
        <n v="864959"/>
        <n v="2601847"/>
        <n v="1429260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04137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17311"/>
        <n v="610968"/>
        <n v="8108247"/>
        <n v="7680"/>
        <n v="3766595"/>
        <n v="2277396"/>
        <n v="6517198"/>
        <n v="5776314"/>
        <n v="51100000"/>
        <n v="16501785"/>
        <n v="38168022"/>
        <n v="84749884"/>
        <n v="24788807"/>
        <n v="21244913"/>
        <n v="377420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229094"/>
        <n v="10017041"/>
        <n v="9016377"/>
        <n v="7059537"/>
        <n v="8114507"/>
        <n v="7888703"/>
        <n v="7282851"/>
        <n v="6879730"/>
        <n v="5844929"/>
        <n v="3222857"/>
        <n v="4170647"/>
        <n v="4142507"/>
        <n v="4109095"/>
        <n v="4033268"/>
        <n v="3902679"/>
        <n v="3559990"/>
        <n v="3287435"/>
        <n v="3071947"/>
        <n v="2961991"/>
        <n v="4063238"/>
        <n v="2912363"/>
        <n v="3000000"/>
        <n v="2223990"/>
        <n v="1821983"/>
        <n v="2181290"/>
        <n v="2848578"/>
        <n v="703002"/>
        <n v="3105269"/>
        <n v="252726"/>
        <n v="373060"/>
        <n v="1007535"/>
        <n v="418268"/>
        <n v="200803"/>
        <n v="95016"/>
        <n v="73678"/>
        <n v="143000"/>
        <n v="39852"/>
        <n v="22000"/>
        <n v="128937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826455"/>
        <n v="3130592"/>
        <n v="475000"/>
        <n v="2276368"/>
        <n v="38108"/>
        <n v="40041683"/>
        <n v="33349949"/>
        <n v="25809813"/>
        <n v="14400000"/>
        <n v="32230907"/>
        <n v="6401336"/>
        <n v="26781723"/>
        <n v="5400000"/>
        <n v="1282084"/>
        <n v="1186323"/>
        <n v="1094998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438653"/>
        <n v="327919"/>
        <n v="178739"/>
        <n v="565592"/>
        <n v="27012"/>
        <n v="21300000"/>
        <n v="379643"/>
        <n v="12985267"/>
        <n v="23650000"/>
        <n v="510092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6003587"/>
        <n v="5792822"/>
        <n v="5383834"/>
        <n v="4599680"/>
        <n v="6531491"/>
        <n v="4581222"/>
        <n v="3885134"/>
        <n v="4311834"/>
        <n v="3590010"/>
        <n v="3300230"/>
        <n v="3335839"/>
        <n v="2557668"/>
        <n v="2506446"/>
        <n v="7369373"/>
        <n v="1984378"/>
        <n v="2283276"/>
        <n v="1098224"/>
        <n v="1430185"/>
        <n v="1477002"/>
        <n v="1134049"/>
        <n v="977600"/>
        <n v="653621"/>
        <n v="110000"/>
        <n v="444354"/>
        <n v="535249"/>
        <n v="371081"/>
        <n v="347578"/>
        <n v="124494"/>
        <n v="120620"/>
        <n v="100669"/>
        <n v="186354"/>
        <n v="55202"/>
        <n v="549632"/>
        <n v="137945"/>
        <n v="17580"/>
        <n v="12667"/>
        <n v="198407"/>
        <n v="5824"/>
        <n v="2843"/>
        <n v="4958"/>
        <n v="13220"/>
        <n v="7927"/>
        <n v="2436"/>
        <n v="4556"/>
        <n v="4600000"/>
        <n v="1420578"/>
        <n v="1028658"/>
        <n v="466702"/>
        <n v="18435"/>
        <n v="95236"/>
        <n v="2957978"/>
        <n v="444044"/>
        <n v="40990055"/>
        <n v="1445366"/>
        <n v="5709616"/>
        <n v="12784397"/>
        <n v="3050934"/>
        <n v="841206"/>
        <n v="638476"/>
        <n v="505295"/>
        <n v="7267324"/>
        <n v="145540"/>
        <n v="12589108"/>
        <n v="35918429"/>
        <n v="92401"/>
        <n v="1943649"/>
        <n v="992238"/>
        <n v="4231500"/>
        <n v="396035"/>
        <n v="2507106"/>
        <n v="6026908"/>
        <n v="2592808"/>
        <n v="1060591"/>
        <n v="155972"/>
        <n v="129319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2408553"/>
        <n v="712294"/>
        <n v="3447339"/>
        <n v="418953"/>
        <n v="406035"/>
        <n v="402820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231186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24774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23808111"/>
        <n v="5355376"/>
        <n v="7186670"/>
        <n v="5997134"/>
        <n v="4417124"/>
        <n v="5355847"/>
        <n v="3386698"/>
        <n v="5283379"/>
        <n v="2981638"/>
        <n v="3122616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750100"/>
        <n v="621240"/>
        <n v="104077"/>
        <n v="334658"/>
        <n v="279282"/>
        <n v="484221"/>
        <n v="274661"/>
        <n v="144431"/>
        <n v="227241"/>
        <n v="112521"/>
        <n v="287761"/>
        <n v="100240"/>
        <n v="96734"/>
        <n v="49000"/>
        <n v="100659"/>
        <n v="48430"/>
        <n v="21210"/>
        <n v="22434"/>
        <n v="12996"/>
        <n v="10018"/>
        <n v="62480"/>
        <n v="6387"/>
        <n v="5494"/>
        <n v="721"/>
        <n v="703"/>
        <n v="9600000"/>
        <n v="20186"/>
        <n v="1185783"/>
        <n v="1007962"/>
        <n v="381186"/>
        <n v="439958"/>
        <n v="16097842"/>
        <n v="6643"/>
        <n v="102797150"/>
        <n v="442638"/>
        <n v="819939"/>
        <n v="1243961"/>
        <n v="3094687"/>
        <n v="15278"/>
        <n v="7098492"/>
        <n v="4771000"/>
        <n v="1001437"/>
        <n v="2073984"/>
        <n v="9950"/>
        <n v="144583"/>
        <n v="58163"/>
        <n v="35688"/>
        <n v="41709"/>
        <n v="1310270"/>
        <n v="115000000"/>
        <n v="5518918"/>
        <n v="4007792"/>
        <n v="7705974"/>
        <n v="26297"/>
        <n v="77501"/>
        <n v="47329"/>
        <n v="18378"/>
        <n v="7830611"/>
        <n v="3278611"/>
        <n v="1141829"/>
        <n v="2694973"/>
        <n v="10508"/>
        <n v="2301777"/>
        <n v="169719"/>
        <n v="140530114"/>
        <n v="13300000"/>
        <n v="171988"/>
        <n v="23616"/>
        <n v="13493"/>
        <n v="79043"/>
        <n v="515005"/>
        <n v="2245"/>
        <n v="33451479"/>
        <n v="39552600"/>
        <n v="30500882"/>
        <n v="17000000"/>
        <n v="8044906"/>
        <n v="5739376"/>
        <n v="3773863"/>
        <n v="3117666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342936"/>
        <n v="151389"/>
        <n v="269061"/>
        <n v="133778"/>
        <n v="52850"/>
        <n v="98017"/>
        <n v="31937"/>
        <n v="13134"/>
        <n v="237301"/>
        <n v="12055"/>
        <n v="1332"/>
        <n v="31684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93295"/>
        <n v="1229197"/>
        <n v="1689999"/>
        <n v="11798"/>
        <n v="592014"/>
        <n v="425899"/>
        <n v="126387"/>
        <n v="80276912"/>
        <n v="25918"/>
        <n v="617172"/>
        <n v="2808000"/>
        <n v="12843"/>
        <n v="34151"/>
        <n v="1523883"/>
        <n v="4000000"/>
        <n v="84689"/>
        <n v="246574"/>
        <n v="110197"/>
        <n v="7707563"/>
        <n v="1281176"/>
        <n v="16115878"/>
        <n v="1652472"/>
        <n v="2360184"/>
        <n v="255352"/>
        <n v="856942"/>
        <n v="32631"/>
        <n v="16892"/>
        <n v="12438"/>
        <n v="40542"/>
        <n v="5199"/>
        <n v="1711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7111"/>
        <n v="49494"/>
        <n v="45661"/>
        <n v="18195"/>
        <n v="104792"/>
        <n v="111300"/>
        <n v="1027119"/>
        <n v="4505922"/>
        <n v="381225"/>
        <n v="2428241"/>
        <n v="78030"/>
        <n v="59774"/>
        <n v="174682"/>
        <n v="215185"/>
        <n v="140016"/>
        <n v="15542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405614"/>
        <n v="1573712"/>
        <n v="10174663"/>
        <n v="22757819"/>
        <n v="5228617"/>
        <n v="2643689"/>
        <n v="110536"/>
        <n v="59379"/>
        <n v="3216970"/>
        <n v="33598"/>
        <n v="536767"/>
        <n v="11529368"/>
        <n v="40557"/>
        <n v="30084"/>
        <n v="10246600"/>
        <n v="389804"/>
        <n v="241816"/>
        <n v="277233"/>
        <n v="321952"/>
        <n v="24705"/>
        <n v="243768"/>
        <n v="9609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10443"/>
        <n v="85222"/>
      </sharedItems>
    </cacheField>
    <cacheField name="genres" numFmtId="0">
      <sharedItems containsBlank="1" count="915">
        <s v="Action|Adventure|Fantasy|Sci-Fi"/>
        <s v="Action|Adventure|Fantasy"/>
        <s v="Action|Adventure|Thriller"/>
        <s v="Action|Thriller"/>
        <s v="Documentary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ction|Crime|Drama|Mystery|Thriller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Fantasy"/>
        <s v="Action|Animation|Comedy|Family|Sci-Fi"/>
        <s v="Action|Comedy|Fantasy"/>
        <s v="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Adventure|Crime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Comedy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Crime|Drama|Horror|Mystery|Thriller"/>
        <s v="Adventure|Comedy|Family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ction|Adventure|Crime|Drama|Sci-Fi|Thriller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rime|Drama|Mystery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Adventure|Drama|Fantasy|Mystery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Drama|Romance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Drama|Fantasy|Horror|Mystery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Comedy|War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Adventure|Drama|Mystery|Sci-Fi|Thriller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Action|Comedy|Family"/>
        <s v="Action|Horror|Romance"/>
        <s v="Adventure|Drama|History|Romance|Thriller|War"/>
        <s v="Crime|Drama|Sci-Fi|Thrille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Action|Animation|Comedy|Family|Fantasy|Sci-Fi"/>
        <s v="Crime|Drama|History"/>
        <s v="Biography|Drama|Thriller|War"/>
        <s v="Drama|Music|Mystery|Romance|Thriller"/>
        <s v="Action|Adventure|Fantasy|Horror"/>
        <s v="Crime|Drama|Mystery|Romance"/>
        <s v="Action|Adventure|History|Romance"/>
        <s v="Action|Drama|Western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Game-Show|Reality-TV|Romance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Romance|Short"/>
        <s v="Animation"/>
        <s v="Drama|Horror"/>
        <s v="Comedy|Drama|Reality-TV|Romance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Drama|Fantasy|Mystery|Sci-Fi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Action|Adventure|Biography|Drama|History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Action|Adventure|Animation|Drama|Fantasy|Sci-Fi"/>
        <s v="Horror|Musical|Sci-Fi"/>
        <s v="Biography|Drama|Family|Musical|Romance"/>
        <s v="Comedy|Crime|Drama|Romance|Thriller"/>
        <s v="Adventure|Drama|Fantasy|Mystery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Animation|Comedy|Drama|Family|Fantasy|Thriller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Comedy|Drama|Horror|Sci-Fi|Thriller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Action|Crime|Drama|Mystery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Drama|Fantasy|Sci-Fi|Thriller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Documentary|Family"/>
        <s v="Comedy|Crime|Drama|Horror|Thriller"/>
        <s v="Comedy|Documentary|Drama"/>
        <s v="Crime|Drama|Horror"/>
        <s v="Comedy|Crime|Horror"/>
        <m/>
      </sharedItems>
    </cacheField>
    <cacheField name="actor_1_name" numFmtId="0">
      <sharedItems containsBlank="1" count="2098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Á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Annabella Sciorra"/>
        <s v="Ólafur Darri Ó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ño"/>
        <s v="Victor Wong"/>
        <s v="Dany Boon"/>
        <s v="Tom Berenger"/>
        <s v="John Doe"/>
        <s v="Kyra Sedgwick"/>
        <s v="Alexander Skarsgård"/>
        <s v="Brian Bosworth"/>
        <s v="Tanya Roberts"/>
        <s v="Cheech Marin"/>
        <s v="Donald Faison"/>
        <s v="Don McKellar"/>
        <s v="Dallas Barnett"/>
        <s v="Zoe Kazan"/>
        <s v="Fran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ustaf Skarsg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ørensen"/>
        <s v="Bruce Payne"/>
        <s v="Maximilian Dirr"/>
        <s v="Samantha Morton"/>
        <s v="Sharon Leal"/>
        <s v="Anil Kapoor"/>
        <s v="Fred Gwynne"/>
        <s v="Mar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William Kircher"/>
        <s v="Brooke Shields"/>
        <s v="Royal Dano"/>
        <s v="Dan Fogler"/>
        <s v="Dana Andrews"/>
        <s v="M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çois B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öschl"/>
        <s v="Patrick Huard"/>
        <s v="Joan Chen"/>
        <s v="Satish Kaushik"/>
        <s v="Bill Maher"/>
        <s v="Dustin Lance Black"/>
        <s v="Benno F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án Alc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éborah Révy"/>
        <s v="Nataniel S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Á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é"/>
        <s v="Karen Alexander"/>
        <s v="Russell Wong"/>
        <s v="Paula Garc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ôji Yakusho"/>
        <s v="Tatiana Suarez-Pico"/>
        <s v="Julianna Pitt"/>
        <s v="Shane Carruth"/>
        <s v="Ian Gamazon"/>
        <s v="Carlos Gallardo"/>
        <s v="Richard Jewell"/>
        <s v="Kerry Bishé"/>
        <s v="Natalie Zea"/>
        <s v="Eva Boehnke"/>
        <s v="John August"/>
      </sharedItems>
    </cacheField>
    <cacheField name="actor_2_name" numFmtId="0">
      <sharedItems containsBlank="1" count="3033">
        <s v="Joel David Moore"/>
        <s v="Orlando Bloom"/>
        <s v="Rory Kinnear"/>
        <s v="Christian Bale"/>
        <s v="Rob Walker"/>
        <s v="Samantha Morton"/>
        <s v="James Franco"/>
        <s v="Donna Murphy"/>
        <s v="Robert Downey Jr."/>
        <s v="Daniel Radcliffe"/>
        <s v="Lauren Cohan"/>
        <s v="Marlon Brando"/>
        <s v="Mathieu Amalric"/>
        <s v="Ruth Wilson"/>
        <s v="Christopher Meloni"/>
        <s v="Pierfrancesco Favino"/>
        <s v="Sam Claflin"/>
        <s v="Michael Stuhlbarg"/>
        <s v="Adam Brown"/>
        <s v="Andrew Garfield"/>
        <s v="William Hurt"/>
        <s v="Eva Green"/>
        <s v="Thomas Kretschmann"/>
        <s v="Kate Winslet"/>
        <s v="Scarlett Johansson"/>
        <s v="Alexander Skarsgård"/>
        <s v="Judy Greer"/>
        <s v="Helen McCrory"/>
        <s v="Jon Favreau"/>
        <s v="Alan Rickman"/>
        <s v="Kelsey Grammer"/>
        <s v="Tyler Labine"/>
        <s v="Kevin Dunn"/>
        <s v="Sophia Myles"/>
        <s v="Mila Kunis"/>
        <s v="Olivia Wilde"/>
        <s v="Temuera Morrison"/>
        <s v="John Ratzenberger"/>
        <s v="Bryce Dallas Howard"/>
        <s v="Paul Walker"/>
        <s v="Brad Pitt"/>
        <s v="Peter Dinklage"/>
        <s v="Bruce Greenwood"/>
        <s v="Ewen Bremner"/>
        <s v="Elizabeth Debicki"/>
        <s v="Richard Coyle"/>
        <s v="Clifton Collins Jr."/>
        <s v="Lester Speight"/>
        <s v="Ray Winstone"/>
        <s v="Jack McGraw"/>
        <s v="Melissa Roxburgh"/>
        <s v="Fred Willard"/>
        <s v="Dana Ivey"/>
        <s v="Liam James"/>
        <s v="Colin Firth"/>
        <s v="Kiran Shah"/>
        <s v="Michael Fassbender"/>
        <s v="Heath Ledger"/>
        <s v="Delroy Lindo"/>
        <s v="Rainn Wilson"/>
        <s v="Jeff Bridges"/>
        <s v="Christopher Lee"/>
        <s v="Salma Hayek"/>
        <s v="Brendan Fraser"/>
        <s v="Robin Atkin Downes"/>
        <s v="Morgan Freeman"/>
        <s v="Lara Pulver"/>
        <s v="Rick Aviles"/>
        <s v="Dennis Quaid"/>
        <s v="Mindy Kaling"/>
        <s v="Bill Murray"/>
        <s v="Kristen Stewart"/>
        <s v="Sharlto Copley"/>
        <s v="Alice Englert"/>
        <s v="Cary-Hiroyuki Tagawa"/>
        <s v="Chris Evans"/>
        <s v="Kathy Griffin"/>
        <s v="Chris Bauer"/>
        <s v="Daniel Henney"/>
        <s v="Sarah Silverman"/>
        <s v="Eddie Deezen"/>
        <s v="Sela Ward"/>
        <s v="America Ferrera"/>
        <s v="M.C. Gainey"/>
        <s v="Vin Diesel"/>
        <s v="Anne Hathaway"/>
        <s v="Tom Hardy"/>
        <s v="Shin'ya Tsukamoto"/>
        <s v="Jason Flemyng"/>
        <s v="Philip Seymour Hoffman"/>
        <s v="Omar Benson Miller"/>
        <s v="Mike Vogel"/>
        <s v="Eric Idle"/>
        <s v="Callum Rennie"/>
        <s v="Emilia Clarke"/>
        <s v="Shane Rangi"/>
        <s v="Jaime King"/>
        <s v="Michael O'Neill"/>
        <s v="Angelina Jolie Pitt"/>
        <s v="Charlize Theron"/>
        <s v="Alice Braga"/>
        <s v="Liam Neeson"/>
        <s v="Jada Pinkett Smith"/>
        <s v="Rami Malek"/>
        <s v="Ryan Reynolds"/>
        <s v="Collin Chou"/>
        <s v="Maurice LaMarche"/>
        <s v="Daniel Bernhardt"/>
        <s v="Natalie Portman"/>
        <s v="Ayelet Zurer"/>
        <s v="Diedrich Bader"/>
        <s v="Piper Mackenzie Harris"/>
        <s v="Edgar Ramírez"/>
        <s v="Chloë Grace Moretz"/>
        <s v="Jeremy Renner"/>
        <s v="Simon Merrells"/>
        <s v="Oprah Winfrey"/>
        <s v="Gary Oldman"/>
        <s v="Noah Ringer"/>
        <s v="Tom Cruise"/>
        <s v="Jake Weber"/>
        <s v="Dan Fogler"/>
        <s v="Cara Delevingne"/>
        <s v="Zach Callison"/>
        <s v="Martin Short"/>
        <s v="Colin Salmon"/>
        <s v="Kate McKinnon"/>
        <s v="Steve Buscemi"/>
        <s v="Rosario Dawson"/>
        <s v="Anthony Hopkins"/>
        <s v="Kamil McFadden"/>
        <s v="Richard Burgi"/>
        <s v="Tony Goldwyn"/>
        <s v="María Valverde"/>
        <s v="Leonard Nimoy"/>
        <s v="Djimon Hounsou"/>
        <s v="Elodie Yung"/>
        <s v="Joe Morton"/>
        <s v="Billy Crudup"/>
        <s v="Rene Russo"/>
        <s v="Regi Davis"/>
        <s v="Dwayne Johnson"/>
        <s v="Ming-Na Wen"/>
        <s v="Dominic Cooper"/>
        <s v="Maria Grazia Cucinotta"/>
        <s v="Lee Ingleby"/>
        <s v="Peter Mensah"/>
        <s v="Philip Michael Thomas"/>
        <s v="Penelope Wilton"/>
        <s v="Snoop Dogg"/>
        <s v="Annet Mahendru"/>
        <s v="Wayne Knight"/>
        <s v="Hayley Atwell"/>
        <s v="Josh Hutcherson"/>
        <s v="Matt Jones"/>
        <s v="Lisa Ann Walter"/>
        <s v="Henry Rollins"/>
        <s v="Constance Marie"/>
        <s v="Andre Braugher"/>
        <s v="Emma Watson"/>
        <s v="Mackenzie Crook"/>
        <s v="Bryan Brown"/>
        <s v="Zoë Kravitz"/>
        <s v="D.B. Sweeney"/>
        <s v="Dave Legeno"/>
        <s v="Fiona Shaw"/>
        <s v="Toby Jones"/>
        <s v="Seth Gabel"/>
        <s v="Rachel Crow"/>
        <s v="Bruce Davison"/>
        <s v="Eddie Marsan"/>
        <s v="Rachel Ticotin"/>
        <s v="Vladimir Kulich"/>
        <s v="Scott Glenn"/>
        <s v="Vivica A. Fox"/>
        <s v="T.J. Thyne"/>
        <s v="Dougray Scott"/>
        <s v="Mary Elizabeth Mastrantonio"/>
        <s v="Ioan Gruffudd"/>
        <s v="Rafe Spall"/>
        <s v="Matt Long"/>
        <s v="Riz Ahmed"/>
        <s v="Bernie Mac"/>
        <s v="Brad Garrett"/>
        <s v="Alexa Davalos"/>
        <s v="Abbie Cornish"/>
        <s v="Kick Gurry"/>
        <s v="Domenick Lombardozzi"/>
        <s v="Marc Blucas"/>
        <s v="Tao Okamoto"/>
        <s v="Emma Stone"/>
        <s v="Santiago Segura"/>
        <s v="Roger Willie"/>
        <s v="Danny Woodburn"/>
        <s v="Basher Savage"/>
        <s v="Grant Heslov"/>
        <s v="Noel Fisher"/>
        <s v="Reg E. Cathey"/>
        <s v="Adam Baldwin"/>
        <s v="Julia Roberts"/>
        <s v="Theo James"/>
        <s v="Adam Scott"/>
        <s v="Catherine Tate"/>
        <s v="Tom Wilkinson"/>
        <s v="Dirk Benedict"/>
        <s v="Sullivan Stapleton"/>
        <s v="Tim Gunn"/>
        <s v="Roseanne Barr"/>
        <s v="Torey Michael Adkins"/>
        <s v="Nancy O'Dell"/>
        <s v="Moises Arias"/>
        <s v="Jonathan Sadowski"/>
        <s v="Steve Coogan"/>
        <s v="Kelly Preston"/>
        <s v="Nathan Lane"/>
        <s v="Jenifer Lewis"/>
        <s v="Donald Glover"/>
        <m/>
        <s v="Warren Beatty"/>
        <s v="Connie Nielsen"/>
        <s v="Frank Grillo"/>
        <s v="Rupert Grint"/>
        <s v="Tobias Menzies"/>
        <s v="Estella Warren"/>
        <s v="Jenette Goldstein"/>
        <s v="Ruby Dee"/>
        <s v="Tia Carrere"/>
        <s v="Ramon Rodriguez"/>
        <s v="Blythe Danner"/>
        <s v="Will Ferrell"/>
        <s v="James Coburn"/>
        <s v="Christoph Waltz"/>
        <s v="Jason Alexander"/>
        <s v="Wendie Malick"/>
        <s v="Sylvester Stallone"/>
        <s v="Armando Riesco"/>
        <s v="Ed Speleers"/>
        <s v="Ryan Corr"/>
        <s v="Emma Kenney"/>
        <s v="Mark Margolis"/>
        <s v="Matthew McConaughey"/>
        <s v="Rene Auberjonois"/>
        <s v="Patrick Muldoon"/>
        <s v="Jim Sturgess"/>
        <s v="Richard Roxburgh"/>
        <s v="Christopher Heyerdahl"/>
        <s v="Rufus Sewell"/>
        <s v="Anna Friel"/>
        <s v="Traylor Howard"/>
        <s v="Benjamin Walker"/>
        <s v="Randy Quaid"/>
        <s v="Sean Huze"/>
        <s v="Venus Schultheis"/>
        <s v="Felicity Huffman"/>
        <s v="Ni Ni"/>
        <s v="Zooey Deschanel"/>
        <s v="Matthew Broderick"/>
        <s v="Sam Shepard"/>
        <s v="Thomas Middleditch"/>
        <s v="Bruce Willis"/>
        <s v="Liza Minnelli"/>
        <s v="Rosie Perez"/>
        <s v="Josh Gad"/>
        <s v="Derek Jacobi"/>
        <s v="AJ Michalka"/>
        <s v="Stephen Root"/>
        <s v="Billy Boyd"/>
        <s v="Noah Taylor"/>
        <s v="Trevor Morgan"/>
        <s v="David Oyelowo"/>
        <s v="Tod Fennell"/>
        <s v="Cole Hauser"/>
        <s v="Craig T. Nelson"/>
        <s v="Frank Langella"/>
        <s v="Rip Torn"/>
        <s v="John Lone"/>
        <s v="Amber Valletta"/>
        <s v="Bobb'e J. Thompson"/>
        <s v="Maile Flanagan"/>
        <s v="Adrian Martinez"/>
        <s v="LL Cool J"/>
        <s v="Matt Damon"/>
        <s v="Harvey Fierstein"/>
        <s v="Goran Visnjic"/>
        <s v="Aldis Hodge"/>
        <s v="Jim Varney"/>
        <s v="Joshua Mikel"/>
        <s v="Sayed Badreya"/>
        <s v="Adam Sandler"/>
        <s v="Rachael Harris"/>
        <s v="Tom Skerritt"/>
        <s v="Kim Dickens"/>
        <s v="George Harris"/>
        <s v="Leven Rambin"/>
        <s v="Michael Byrne"/>
        <s v="Stephen Dillane"/>
        <s v="Wanda Sykes"/>
        <s v="Oliver Platt"/>
        <s v="Anne Heche"/>
        <s v="Christian Camargo"/>
        <s v="Mako"/>
        <s v="Bruce McGill"/>
        <s v="Michael Angarano"/>
        <s v="Alan Ruck"/>
        <s v="Paul Sanchez"/>
        <s v="Hugh Jackman"/>
        <s v="Joan Allen"/>
        <s v="Logan Lerman"/>
        <s v="Teala Dunn"/>
        <s v="Scott Thompson"/>
        <s v="Gabourey Sidibe"/>
        <s v="Jake Busey"/>
        <s v="Hunter Parrish"/>
        <s v="Debra Messing"/>
        <s v="Gabriel Thomson"/>
        <s v="Tom Noonan"/>
        <s v="Zachery Ty Bryan"/>
        <s v="Imelda Staunton"/>
        <s v="Rick Worthy"/>
        <s v="Ben Vereen"/>
        <s v="Kieran Culkin"/>
        <s v="Tchéky Karyo"/>
        <s v="Janet Jackson"/>
        <s v="Linda Cardellini"/>
        <s v="Jason Cope"/>
        <s v="Cameron Monaghan"/>
        <s v="Hal Holbrook"/>
        <s v="Sean Hayes"/>
        <s v="Hayden Christensen"/>
        <s v="Iván Kamarás"/>
        <s v="Jake Gyllenhaal"/>
        <s v="Michael Rapaport"/>
        <s v="Steve Carell"/>
        <s v="Kristin Scott Thomas"/>
        <s v="Mason Lee"/>
        <s v="Vincent Schiavelli"/>
        <s v="Jason Scott Lee"/>
        <s v="Steve Reevis"/>
        <s v="Jesse McCartney"/>
        <s v="Joseph Sikora"/>
        <s v="Robert Duvall"/>
        <s v="Drew Carey"/>
        <s v="CCH Pounder"/>
        <s v="Carmen Electra"/>
        <s v="Jennifer Jason Leigh"/>
        <s v="Bailee Madison"/>
        <s v="Royce Johnson"/>
        <s v="Monica Potter"/>
        <s v="Ethan Embry"/>
        <s v="Jodi Benson"/>
        <s v="Lili Taylor"/>
        <s v="Henry Czerny"/>
        <s v="Jon Hamm"/>
        <s v="Alex McArthur"/>
        <s v="Tom Cavanagh"/>
        <s v="Charles Napier"/>
        <s v="Leslie Bibb"/>
        <s v="Dorian Missick"/>
        <s v="Agnes Moorehead"/>
        <s v="Penn Jillette"/>
        <s v="Alan Young"/>
        <s v="Mika Boorem"/>
        <s v="Don Cheadle"/>
        <s v="Nick Chinlund"/>
        <s v="Annabella Sciorra"/>
        <s v="Jon Lovitz"/>
        <s v="Roxane Duran"/>
        <s v="Harold Perrineau"/>
        <s v="Devin Ratray"/>
        <s v="Jon Foster"/>
        <s v="Viggo Mortensen"/>
        <s v="Tiya Sircar"/>
        <s v="Jenna Elfman"/>
        <s v="Elio Germano"/>
        <s v="Gerard Butler"/>
        <s v="Brian Anthony Wilson"/>
        <s v="Elizabeth Daily"/>
        <s v="Joseph Gilgun"/>
        <s v="Val Kilmer"/>
        <s v="Adam LeFevre"/>
        <s v="Jacques Perrin"/>
        <s v="Catherine McCormack"/>
        <s v="Currie Graham"/>
        <s v="David Hoffman"/>
        <s v="Austin Pendleton"/>
        <s v="Khamani Griffin"/>
        <s v="Veronica Cartwright"/>
        <s v="Janeane Garofalo"/>
        <s v="Eric Stonestreet"/>
        <s v="Max Ryan"/>
        <s v="Miranda Cosgrove"/>
        <s v="Richard Schiff"/>
        <s v="Cedric the Entertainer"/>
        <s v="Danny Huston"/>
        <s v="Tyler Mane"/>
        <s v="Michael Biehn"/>
        <s v="Ray Romano"/>
        <s v="Peter Dante"/>
        <s v="Elijah Kelley"/>
        <s v="Alan Ford"/>
        <s v="Common"/>
        <s v="Chi McBride"/>
        <s v="Matt Ryan"/>
        <s v="Kevin Dillon"/>
        <s v="Tom Hanks"/>
        <s v="Martin Scorsese"/>
        <s v="Jennifer Hudson"/>
        <s v="Brent Sexton"/>
        <s v="Christina Milian"/>
        <s v="Moritz Bleibtreu"/>
        <s v="Paz Vega"/>
        <s v="Jon Heder"/>
        <s v="Brían F. O'Byrne"/>
        <s v="Ben Cross"/>
        <s v="Geoffrey Palmer"/>
        <s v="Daniel Sharman"/>
        <s v="Sean Pertwee"/>
        <s v="Kiernan Shipka"/>
        <s v="Bridget Fonda"/>
        <s v="Tony Curran"/>
        <s v="Mike Starr"/>
        <s v="James Pickens Jr."/>
        <s v="RZA"/>
        <s v="Frances Fisher"/>
        <s v="Jeffrey Jones"/>
        <s v="Patrick McGoohan"/>
        <s v="Brian Geraghty"/>
        <s v="Yeardley Smith"/>
        <s v="Jean-Claude Dreyfus"/>
        <s v="Raven-Symoné"/>
        <s v="Merritt Wever"/>
        <s v="Jennifer Saunders"/>
        <s v="Cheech Marin"/>
        <s v="Eve"/>
        <s v="Billy West"/>
        <s v="John Amos"/>
        <s v="Josh Charles"/>
        <s v="Katia Winter"/>
        <s v="Ivana Milicevic"/>
        <s v="Freddy Rodríguez"/>
        <s v="Bridgit Mendler"/>
        <s v="Jonathan Frakes"/>
        <s v="Jim Parrack"/>
        <s v="Alison Lohman"/>
        <s v="Peter Gerety"/>
        <s v="Benedict Cumberbatch"/>
        <s v="Todd Graff"/>
        <s v="Sarah Gadon"/>
        <s v="David Kelly"/>
        <s v="Clint Howard"/>
        <s v="Brooke Smith"/>
        <s v="Ben Daniels"/>
        <s v="Phill Lewis"/>
        <s v="Stephen Rea"/>
        <s v="Shane Hartline"/>
        <s v="Robert De Niro"/>
        <s v="Chris Klein"/>
        <s v="Sandrine Holt"/>
        <s v="Minnie Driver"/>
        <s v="Brandy Norwood"/>
        <s v="Archie Kao"/>
        <s v="Laurence Olivier"/>
        <s v="Indira Varma"/>
        <s v="50 Cent"/>
        <s v="Luke Newberry"/>
        <s v="Robert Blake"/>
        <s v="Ashraf Barhom"/>
        <s v="Wes Studi"/>
        <s v="Larry Joe Campbell"/>
        <s v="Abraham Benrubi"/>
        <s v="Simon McBurney"/>
        <s v="Stephanie Szostak"/>
        <s v="Kevin McNally"/>
        <s v="Kaitlyn Dever"/>
        <s v="Mitch Pileggi"/>
        <s v="Nonso Anozie"/>
        <s v="Lisa Edelstein"/>
        <s v="Marcus Chong"/>
        <s v="Miko Hughes"/>
        <s v="Aisha Tyler"/>
        <s v="Eddie Redmayne"/>
        <s v="Jean Stapleton"/>
        <s v="Tony Amendola"/>
        <s v="Jack O'Connell"/>
        <s v="Courtney B. Vance"/>
        <s v="Leon"/>
        <s v="Samantha Mathis"/>
        <s v="Lily Tomlin"/>
        <s v="Jay Hernandez"/>
        <s v="Kirsten Dunst"/>
        <s v="Aasif Mandvi"/>
        <s v="Vinessa Shaw"/>
        <s v="Abigail Spencer"/>
        <s v="Natasha Lyonne"/>
        <s v="Jennifer Grey"/>
        <s v="Adrian Lester"/>
        <s v="Boris Kodjoe"/>
        <s v="Craig Bierko"/>
        <s v="Alun Armstrong"/>
        <s v="Meat Loaf"/>
        <s v="Kimberly Williams-Paisley"/>
        <s v="James Nesbitt"/>
        <s v="Michael Moore"/>
        <s v="Kevin Grevioux"/>
        <s v="Barney Clark"/>
        <s v="Martin Henderson"/>
        <s v="David Calder"/>
        <s v="Josh Zuckerman"/>
        <s v="Ariana Richards"/>
        <s v="Catherine O'Hara"/>
        <s v="Dean Jones"/>
        <s v="Peng Lin"/>
        <s v="Brittany Daniel"/>
        <s v="Romany Malco"/>
        <s v="Bokeem Woodbine"/>
        <s v="Amy Poehler"/>
        <s v="Elizabeth Perkins"/>
        <s v="Kathleen Turner"/>
        <s v="Jeffrey DeMunn"/>
        <s v="Tichina Arnold"/>
        <s v="Josh Hamilton"/>
        <s v="Joe Don Baker"/>
        <s v="Timothy Hutton"/>
        <s v="Noah Emmerich"/>
        <s v="Aria Noelle Curzon"/>
        <s v="Patrick Fischler"/>
        <s v="Alicia Witt"/>
        <s v="Woody Allen"/>
        <s v="Kristin Davis"/>
        <s v="Tom Welling"/>
        <s v="Roger Rees"/>
        <s v="Mekia Cox"/>
        <s v="Monique Gabriela Curnen"/>
        <s v="Dyan Cannon"/>
        <s v="Dawn French"/>
        <s v="Radha Mitchell"/>
        <s v="Harvey Korman"/>
        <s v="Rupert Evans"/>
        <s v="Kathleen Quinlan"/>
        <s v="Kodi Smit-McPhee"/>
        <s v="Stockard Channing"/>
        <s v="Oliver Hudson"/>
        <s v="Debi Mazar"/>
        <s v="Brenda Bakke"/>
        <s v="Michael Wincott"/>
        <s v="Ned Beatty"/>
        <s v="Dee Bradley Baker"/>
        <s v="Dianne Wiest"/>
        <s v="Brandon Molale"/>
        <s v="Harry Lennix"/>
        <s v="Ray Walston"/>
        <s v="David Rasche"/>
        <s v="LeVar Burton"/>
        <s v="Paul Adelstein"/>
        <s v="Ed Lauter"/>
        <s v="Penelope Ann Miller"/>
        <s v="Cathy Moriarty"/>
        <s v="Al Pacino"/>
        <s v="Will Smith"/>
        <s v="Nona Gaye"/>
        <s v="Alan Dale"/>
        <s v="Adriano Giannini"/>
        <s v="Joely Richardson"/>
        <s v="Susanna Thompson"/>
        <s v="Mia Kirshner"/>
        <s v="Wilson Cruz"/>
        <s v="Kevin Zegers"/>
        <s v="Mike O'Malley"/>
        <s v="Camryn Manheim"/>
        <s v="Adam Goldberg"/>
        <s v="Stephen Graham"/>
        <s v="Olivia Munn"/>
        <s v="Mike Dopud"/>
        <s v="Teri Polo"/>
        <s v="Aaron Kwok"/>
        <s v="Clayne Crawford"/>
        <s v="Ed Skrein"/>
        <s v="Morgan Fairchild"/>
        <s v="Leonard Roberts"/>
        <s v="Dylan Minnette"/>
        <s v="Soleil Moon Frye"/>
        <s v="Mark Addy"/>
        <s v="Kurtwood Smith"/>
        <s v="Malcolm Goodwin"/>
        <s v="Kim Shaw"/>
        <s v="Jessica Szohr"/>
        <s v="Nate Parker"/>
        <s v="Leighton Meester"/>
        <s v="Brian Thompson"/>
        <s v="Spencer Wilding"/>
        <s v="Irene Papas"/>
        <s v="Noureen DeWulf"/>
        <s v="Ashley Scott"/>
        <s v="Siobhan Fallon Hogan"/>
        <s v="Beth Riesgraf"/>
        <s v="Frank Welker"/>
        <s v="Margot Kidder"/>
        <s v="Thomas Ian Nicholas"/>
        <s v="Chris Mulkey"/>
        <s v="Fred Rogers"/>
        <s v="Frances Conroy"/>
        <s v="Kurt Fuller"/>
        <s v="Michael Irby"/>
        <s v="Dylan Baker"/>
        <s v="Adam Alexi-Malle"/>
        <s v="Don S. Davis"/>
        <s v="Michael Parks"/>
        <s v="Jack Palance"/>
        <s v="Meryl Streep"/>
        <s v="Jason Connery"/>
        <s v="Ophelia Lovibond"/>
        <s v="Thomas McDonell"/>
        <s v="Carlos Ponce"/>
        <s v="Holt McCallany"/>
        <s v="Jimmy Nail"/>
        <s v="Natascha McElhone"/>
        <s v="Bernard Hill"/>
        <s v="Matt Lucas"/>
        <s v="Nicholas Braun"/>
        <s v="Jenna Boyd"/>
        <s v="Maura Tierney"/>
        <s v="Terence Bernie Hines"/>
        <s v="Russell Tovey"/>
        <s v="Michael Kelly"/>
        <s v="Sophie Okonedo"/>
        <s v="Bruce Boxleitner"/>
        <s v="Lauren Holly"/>
        <s v="Ronny Cox"/>
        <s v="Tina Fey"/>
        <s v="Philip Winchester"/>
        <s v="Peter Gallagher"/>
        <s v="André Dussollier"/>
        <s v="Shelley Winters"/>
        <s v="Tom Berenger"/>
        <s v="Jason Momoa"/>
        <s v="Joe Mantegna"/>
        <s v="Billy Gardell"/>
        <s v="Lenny Venito"/>
        <s v="Vanessa Williams"/>
        <s v="Kylie Minogue"/>
        <s v="Kimberly Elise"/>
        <s v="John Michael Higgins"/>
        <s v="Taylor Lautner"/>
        <s v="Jessica Simpson"/>
        <s v="Miranda Otto"/>
        <s v="Gerry Becker"/>
        <s v="Don Rickles"/>
        <s v="Amber Rose Revah"/>
        <s v="Tony Cox"/>
        <s v="Jorge Garcia"/>
        <s v="Chris Miller"/>
        <s v="Seth MacFarlane"/>
        <s v="Albert Finney"/>
        <s v="Craig Roberts"/>
        <s v="Liam Aiken"/>
        <s v="James Ransone"/>
        <s v="Deborah Kara Unger"/>
        <s v="Ben Mendelsohn"/>
        <s v="Gary Cole"/>
        <s v="Mark Christopher Lawrence"/>
        <s v="Robin Wright"/>
        <s v="Billy Brown"/>
        <s v="Anna-Louise Plowman"/>
        <s v="Gemma Jones"/>
        <s v="Thomas Lennon"/>
        <s v="Jennifer Esposito"/>
        <s v="Derek Mears"/>
        <s v="Erik Per Sullivan"/>
        <s v="Emily Wickersham"/>
        <s v="Amr Waked"/>
        <s v="James Badge Dale"/>
        <s v="Hector Elizondo"/>
        <s v="Harrison Ford"/>
        <s v="Demi Moore"/>
        <s v="Armin Mueller-Stahl"/>
        <s v="Dania Ramirez"/>
        <s v="Michael Cudlitz"/>
        <s v="Alycia Debnam-Carey"/>
        <s v="Jon Tenney"/>
        <s v="Robert Picardo"/>
        <s v="Jim Broadbent"/>
        <s v="Sanaa Lathan"/>
        <s v="Joan Chen"/>
        <s v="Virginie Ledoyen"/>
        <s v="Ben Miles"/>
        <s v="Bruce Alexander"/>
        <s v="Rumer Willis"/>
        <s v="Jay Mohr"/>
        <s v="Chris Penn"/>
        <s v="Stephen Walters"/>
        <s v="Tim Matheson"/>
        <s v="Chandler Canterbury"/>
        <s v="Harry Connick Jr."/>
        <s v="Anjelica Huston"/>
        <s v="Valeria Golino"/>
        <s v="Brittany Curran"/>
        <s v="Donald Watkins"/>
        <s v="Vanessa Ferlito"/>
        <s v="Naomi Watts"/>
        <s v="James Frain"/>
        <s v="David Bailie"/>
        <s v="Gregory Smith"/>
        <s v="Lara Flynn Boyle"/>
        <s v="Ty Burrell"/>
        <s v="Mo'Nique"/>
        <s v="Chazz Palminteri"/>
        <s v="Zoey Deutch"/>
        <s v="Andrew Wilson"/>
        <s v="Linda Fiorentino"/>
        <s v="Billy Burke"/>
        <s v="Robin Shou"/>
        <s v="Jet Li"/>
        <s v="Graham McTavish"/>
        <s v="Gilbert Gottfried"/>
        <s v="Charlie Rowe"/>
        <s v="Jacob Vargas"/>
        <s v="Julian Glover"/>
        <s v="Guro Nagelhus Schia"/>
        <s v="Dwight Yoakam"/>
        <s v="Lochlyn Munro"/>
        <s v="Jamie Kennedy"/>
        <s v="Fares Fares"/>
        <s v="Douglas Haase"/>
        <s v="Frances O'Connor"/>
        <s v="Bob Hoskins"/>
        <s v="Albert Brooks"/>
        <s v="Gulshan Grover"/>
        <s v="Faye Dunaway"/>
        <s v="Adam Garcia"/>
        <s v="Brian Dennehy"/>
        <s v="Anatoliy Solonitsyn"/>
        <s v="George Carlin"/>
        <s v="Bronagh Gallagher"/>
        <s v="Christopher Masterson"/>
        <s v="Alfre Woodard"/>
        <s v="Billy Blair"/>
        <s v="Swoosie Kurtz"/>
        <s v="Amy Ryan"/>
        <s v="Ben Gazzara"/>
        <s v="Luke Grimes"/>
        <s v="Pamela Anderson"/>
        <s v="Wendy Raquel Robinson"/>
        <s v="Anthony LaPaglia"/>
        <s v="Noel Gugliemi"/>
        <s v="Polly Walker"/>
        <s v="Jane Fonda"/>
        <s v="Enrico Colantoni"/>
        <s v="Eric Jacobson"/>
        <s v="Traci Lords"/>
        <s v="Rick Gonzalez"/>
        <s v="Matt Malloy"/>
        <s v="Eric Stoltz"/>
        <s v="Tyra Banks"/>
        <s v="Madeline Kahn"/>
        <s v="Rod Steiger"/>
        <s v="Tom Bosley"/>
        <s v="Kelly Macdonald"/>
        <s v="Nick Zano"/>
        <s v="Mike Epps"/>
        <s v="Glenn Morshower"/>
        <s v="Vincent Kartheiser"/>
        <s v="Shea Whigham"/>
        <s v="Valerie Cruz"/>
        <s v="Natalie Imbruglia"/>
        <s v="Jürgen Prochnow"/>
        <s v="T.V. Carpio"/>
        <s v="David Zayas"/>
        <s v="Charlotte Rampling"/>
        <s v="Bob Gunton"/>
        <s v="Brian Doyle-Murray"/>
        <s v="Carter Jenkins"/>
        <s v="Adrien Dorval"/>
        <s v="Treat Williams"/>
        <s v="Henry Thomas"/>
        <s v="Olivia Williams"/>
        <s v="Omari Hardwick"/>
        <s v="Ye Liu"/>
        <s v="Charlie Yeung"/>
        <s v="Giovanna Mezzogiorno"/>
        <s v="Clotilde Hesme"/>
        <s v="Tim McInnerny"/>
        <s v="Larry Miller"/>
        <s v="Scoot McNairy"/>
        <s v="Daniel Roebuck"/>
        <s v="Julia Nickson"/>
        <s v="Dickie Jones"/>
        <s v="Sam Waterston"/>
        <s v="Rob Brown"/>
        <s v="Lillian Adams"/>
        <s v="Holly Hunter"/>
        <s v="Charlie Tahan"/>
        <s v="Dax Flame"/>
        <s v="Clarke Peters"/>
        <s v="Miranda Richardson"/>
        <s v="Masi Oka"/>
        <s v="Eartha Kitt"/>
        <s v="William Xifaras"/>
        <s v="Richard Burton"/>
        <s v="Reggie Lee"/>
        <s v="Will Patton"/>
        <s v="Elton John"/>
        <s v="Talisa Soto"/>
        <s v="Fisher Stevens"/>
        <s v="Jeremy Crutchley"/>
        <s v="Tony Chiu Wai Leung"/>
        <s v="Debbie Reynolds"/>
        <s v="Randall Park"/>
        <s v="Dong-gun Jang"/>
        <s v="Gavin MacLeod"/>
        <s v="Dany Boon"/>
        <s v="Youssef Hajdi"/>
        <s v="Lee Evans"/>
        <s v="Haley Joel Osment"/>
        <s v="Mandy Gonzalez"/>
        <s v="Kevin Pollak"/>
        <s v="William Zabka"/>
        <s v="Denis O'Hare"/>
        <s v="Annabeth Gish"/>
        <s v="Jeffrey Weissman"/>
        <s v="Alyson Stoner"/>
        <s v="Scott Elrod"/>
        <s v="Lori Petty"/>
        <s v="Dustin Fitzsimons"/>
        <s v="Sabrina Revelle"/>
        <s v="Roger Jackson"/>
        <s v="Alison Brie"/>
        <s v="Mary Lynn Rajskub"/>
        <s v="Nadine Velazquez"/>
        <s v="Terry Kinney"/>
        <s v="Curtis Armstrong"/>
        <s v="Powers Boothe"/>
        <s v="Jay O. Sanders"/>
        <s v="Nia Long"/>
        <s v="Kate Upton"/>
        <s v="Andrew Fiscella"/>
        <s v="Mark Rylance"/>
        <s v="David Keith"/>
        <s v="Mario Lopez"/>
        <s v="Nick Cannon"/>
        <s v="Denis Leary"/>
        <s v="Margarita Levieva"/>
        <s v="Paul Scheer"/>
        <s v="Dalia Hernández"/>
        <s v="Desmond Llewelyn"/>
        <s v="Debra Winger"/>
        <s v="Charles S. Dutton"/>
        <s v="Dylan Walsh"/>
        <s v="Deneen Tyler"/>
        <s v="Odeya Rush"/>
        <s v="Beau Garrett"/>
        <s v="Steve Schirripa"/>
        <s v="Dean Stockwell"/>
        <s v="José Wilker"/>
        <s v="Johnny Lewis"/>
        <s v="John Larroquette"/>
        <s v="Sam Trammell"/>
        <s v="Scott Porter"/>
        <s v="Nelson Ascencio"/>
        <s v="Tom Virtue"/>
        <s v="Aimee Teegarden"/>
        <s v="Celia Weston"/>
        <s v="Jacqueline MacInnes Wood"/>
        <s v="Burt Young"/>
        <s v="KaDee Strickland"/>
        <s v="Melissa Altro"/>
        <s v="Shaun Weiss"/>
        <s v="Peter Boyle"/>
        <s v="Thomas Horn"/>
        <s v="Patti D'Arbanville"/>
        <s v="Bill Duke"/>
        <s v="David Fine"/>
        <s v="Jimmy Smits"/>
        <s v="Valerie Perri"/>
        <s v="Justin Chambers"/>
        <s v="Andrea Frankle"/>
        <s v="David Carradine"/>
        <s v="Cliff Robertson"/>
        <s v="Callum Blue"/>
        <s v="Jaleel White"/>
        <s v="Martin Landau"/>
        <s v="Elizabeth Berkley"/>
        <s v="Shirley Henderson"/>
        <s v="Geraldine Chaplin"/>
        <s v="Michael McKean"/>
        <s v="Jamel Debbouze"/>
        <s v="Bob Saget"/>
        <s v="Tim Blake Nelson"/>
        <s v="Jeffrey Combs"/>
        <s v="Jason Robards"/>
        <s v="Daniel von Bargen"/>
        <s v="Mekhi Phifer"/>
        <s v="Bridgette Wilson-Sampras"/>
        <s v="Matt Ross"/>
        <s v="Benedict Wong"/>
        <s v="Lou Saliba"/>
        <s v="Anne Bancroft"/>
        <s v="Aaron Yoo"/>
        <s v="Zan Marolt"/>
        <s v="Bill Cobbs"/>
        <s v="Takeshi Kaneshiro"/>
        <s v="Kuno Becker"/>
        <s v="Bob Balaban"/>
        <s v="Bai Ling"/>
        <s v="Anushka Shetty"/>
        <s v="Brooklynn Proulx"/>
        <s v="Stephen Collins"/>
        <s v="Sean Maher"/>
        <s v="Robert Vaughn"/>
        <s v="Phil Hartman"/>
        <s v="Alexa PenaVega"/>
        <s v="Hye-kyo Song"/>
        <s v="Bianca Collins"/>
        <s v="Vincent Pastore"/>
        <s v="Jeff Kober"/>
        <s v="Daniella Alonso"/>
        <s v="Shirley Knight"/>
        <s v="Ken Marino"/>
        <s v="Paul Guilfoyle"/>
        <s v="Dagmara Dominczyk"/>
        <s v="Jason Marsden"/>
        <s v="Richard Masur"/>
        <s v="Nolan Gerard Funk"/>
        <s v="Claudia Stedelin"/>
        <s v="Usher Raymond"/>
        <s v="Jeffrey W. Jenkins"/>
        <s v="Ryan Cartwright"/>
        <s v="Nicole Beharie"/>
        <s v="Maggie Siff"/>
        <s v="Phylicia Rashad"/>
        <s v="Anthony Simcoe"/>
        <s v="Neil Flynn"/>
        <s v="Tracy Morgan"/>
        <s v="Damon Wayans Jr."/>
        <s v="Michael Roark"/>
        <s v="Laura Harring"/>
        <s v="Dave Chappelle"/>
        <s v="Molly C. Quinn"/>
        <s v="Fedor Bondarchuk"/>
        <s v="Klaus Maria Brandauer"/>
        <s v="Collette Wolfe"/>
        <s v="Taylor Blackwell"/>
        <s v="Bradley Cooper"/>
        <s v="Virginia Madsen"/>
        <s v="Reeve Carney"/>
        <s v="Colin O'Donoghue"/>
        <s v="Xander Berkeley"/>
        <s v="Kenan Thompson"/>
        <s v="Rob Riggle"/>
        <s v="Lynn Hung"/>
        <s v="Verne Troyer"/>
        <s v="Quinton Aaron"/>
        <s v="Aimee Garcia"/>
        <s v="Lindsay Sloane"/>
        <s v="Nichelle Nichols"/>
        <s v="Robert Mitchum"/>
        <s v="Nicole Sullivan"/>
        <s v="Matt McCoy"/>
        <s v="Wilford Brimley"/>
        <s v="Marg Helgenberger"/>
        <s v="Lin Shaye"/>
        <s v="Anne Parillaud"/>
        <s v="Kevin Connolly"/>
        <s v="Sarah Michelle Gellar"/>
        <s v="Riley Smith"/>
        <s v="Justin Timberlake"/>
        <s v="Ike Barinholtz"/>
        <s v="Maude Apatow"/>
        <s v="Christine Taylor"/>
        <s v="Victor Webster"/>
        <s v="Jaymes Butler"/>
        <s v="Zelda Rubinstein"/>
        <s v="Beau Bridges"/>
        <s v="Steve Howey"/>
        <s v="Marsha Thomason"/>
        <s v="Vic Morrow"/>
        <s v="Raul Julia"/>
        <s v="Frank Finlay"/>
        <s v="Hiam Abbass"/>
        <s v="Paris Hilton"/>
        <s v="Cameron Boyce"/>
        <s v="Lena Olin"/>
        <s v="Robert Davi"/>
        <s v="Jesse Tyler Ferguson"/>
        <s v="Sissy Spacek"/>
        <s v="William Hootkins"/>
        <s v="Chad Lindberg"/>
        <s v="Bill Bailey"/>
        <s v="J.T. Walsh"/>
        <s v="Benjamin J. Cain Jr."/>
        <s v="Portia de Rossi"/>
        <s v="Richard T. Jones"/>
        <s v="Lucy Gordon"/>
        <s v="Brooke Shields"/>
        <s v="Cariba Heine"/>
        <s v="Dann Florek"/>
        <s v="Nat Faxon"/>
        <s v="Bashar Rahal"/>
        <s v="Tye Sheridan"/>
        <s v="Lela Rochon"/>
        <s v="Martin Donovan"/>
        <s v="Soleyman Pierini"/>
        <s v="Lee Arenberg"/>
        <s v="Jesse Borrego"/>
        <s v="Gregg Henry"/>
        <s v="François Cluzet"/>
        <s v="Jeffrey Dover"/>
        <s v="Hanaa Bouchaib"/>
        <s v="Aml Ameen"/>
        <s v="June Diane Raphael"/>
        <s v="Ellen Burstyn"/>
        <s v="Kevin J. O'Connor"/>
        <s v="Mark Valley"/>
        <s v="Yûki Amami"/>
        <s v="Melissa Benoist"/>
        <s v="Eva Marie Saint"/>
        <s v="Fana Mokoena"/>
        <s v="Brianne Brozey"/>
        <s v="Veronika Vernadskaya"/>
        <s v="Stephen Boss"/>
        <s v="Marco St. John"/>
        <s v="Ian McDiarmid"/>
        <s v="David Kross"/>
        <s v="Lauren Ambrose"/>
        <s v="Kyra Sedgwick"/>
        <s v="Wendi McLendon-Covey"/>
        <s v="Cas Anvar"/>
        <s v="Danny Nucci"/>
        <s v="Julian Richings"/>
        <s v="John Belushi"/>
        <s v="Kyle Schmid"/>
        <s v="Pat Hingle"/>
        <s v="Mike Doyle"/>
        <s v="Marc Anthony"/>
        <s v="Nancy Travis"/>
        <s v="Vanessa Redgrave"/>
        <s v="Rollo Weeks"/>
        <s v="Kelli Garner"/>
        <s v="Olympia Dukakis"/>
        <s v="Jordi Mollà"/>
        <s v="Michael Gough"/>
        <s v="Lois Chiles"/>
        <s v="Peter Jason"/>
        <s v="Norman Reedus"/>
        <s v="Chita Rivera"/>
        <s v="Shannon Elizabeth"/>
        <s v="Lucas Bryant"/>
        <s v="Denzel Washington"/>
        <s v="Jed Brophy"/>
        <s v="Bill Fagerbakke"/>
        <s v="Spencer Treat Clark"/>
        <s v="Bern Cohen"/>
        <s v="Casey Kasem"/>
        <s v="Anna Kendrick"/>
        <s v="June Squibb"/>
        <s v="Vincent Leclerc"/>
        <s v="Christine Cavanaugh"/>
        <s v="Jack McBrayer"/>
        <s v="Tony Nappo"/>
        <s v="Scott Adsit"/>
        <s v="Audrey Fleurot"/>
        <s v="Ethan Suplee"/>
        <s v="John Savage"/>
        <s v="Robert Forster"/>
        <s v="Fred Ward"/>
        <s v="Alison Doody"/>
        <s v="Geraldine McEwan"/>
        <s v="Frankie Muniz"/>
        <s v="Alfie Allen"/>
        <s v="Marcia DeBonis"/>
        <s v="Ken Takakura"/>
        <s v="Larry David"/>
        <s v="Austin Nichols"/>
        <s v="Bernardo Saracino"/>
        <s v="Michiel Huisman"/>
        <s v="Christian Stolte"/>
        <s v="Mark Rendall"/>
        <s v="Bradley Whitford"/>
        <s v="Yaphet Kotto"/>
        <s v="Maria Conchita Alonso"/>
        <s v="Jim Belushi"/>
        <s v="Vicky Krieps"/>
        <s v="Yaya DaCosta"/>
        <s v="Jurnee Smollett-Bell"/>
        <s v="Alan Oppenheimer"/>
        <s v="David Costabile"/>
        <s v="Robert Lopez"/>
        <s v="Mimi Rogers"/>
        <s v="Kirk Baltz"/>
        <s v="Josh Hopkins"/>
        <s v="Costas Mandylor"/>
        <s v="Eddie Izzard"/>
        <s v="Rhys Wakefield"/>
        <s v="Kevin Sussman"/>
        <s v="Jacki Weaver"/>
        <s v="Chris Noth"/>
        <s v="Daniel Stern"/>
        <s v="Cameron Bright"/>
        <s v="Drea de Matteo"/>
        <s v="Stephen Baldwin"/>
        <s v="Doug E. Doug"/>
        <s v="Matthew Perry"/>
        <s v="David Hewlett"/>
        <s v="Lobo Sebastian"/>
        <s v="Christopher Cousins"/>
        <s v="Reid Ewing"/>
        <s v="Michael Greyeyes"/>
        <s v="David Suchet"/>
        <s v="Aidan Quinn"/>
        <s v="Texas Battle"/>
        <s v="James Burnett"/>
        <s v="Stark Sands"/>
        <s v="Phil LaMarr"/>
        <s v="Lily Cole"/>
        <s v="Atom Egoyan"/>
        <s v="Ingvar Eggert Sigurðsson"/>
        <s v="John Heard"/>
        <s v="Richard Roundtree"/>
        <s v="Isabelle Huppert"/>
        <s v="Saïd Taghmaoui"/>
        <s v="Bill Paterson"/>
        <s v="Toby Leonard Moore"/>
        <s v="Holly Valance"/>
        <s v="Sandrine Kiberlain"/>
        <s v="Madeline Carroll"/>
        <s v="Patrick Lyster"/>
        <s v="Birgitte Hjort Sørensen"/>
        <s v="Dallas Roberts"/>
        <s v="Kirk Acevedo"/>
        <s v="Milos Forman"/>
        <s v="Bradley Pierce"/>
        <s v="David Julian Hirsh"/>
        <s v="Jerry Stiller"/>
        <s v="Jason Lewis"/>
        <s v="Neil Brown Jr."/>
        <s v="Amrish Puri"/>
        <s v="Cree Summer"/>
        <s v="Nina Arianda"/>
        <s v="Kevin Chamberlin"/>
        <s v="Yû Aoi"/>
        <s v="Rebecca De Mornay"/>
        <s v="Topol"/>
        <s v="David Sparrow"/>
        <s v="Noah Lomax"/>
        <s v="Omri Katz"/>
        <s v="Lily Rabe"/>
        <s v="Deborah Twiss"/>
        <s v="Dilshad Vadsaria"/>
        <s v="Danny Masterson"/>
        <s v="Brenda Blethyn"/>
        <s v="Sean Young"/>
        <s v="Richard Sammel"/>
        <s v="Oleg Taktarov"/>
        <s v="Bob Clendenin"/>
        <s v="Philippe Labro"/>
        <s v="Mary McCormack"/>
        <s v="Francis Capra"/>
        <s v="Clea DuVall"/>
        <s v="Zoe Kazan"/>
        <s v="Bella Heathcote"/>
        <s v="Tulku Jamyang Kunga Tenzin"/>
        <s v="Katherine Parkinson"/>
        <s v="Donald Faison"/>
        <s v="Elena Anaya"/>
        <s v="Robert Maillet"/>
        <s v="Kabir Bedi"/>
        <s v="Martin Starr"/>
        <s v="Sofia Vassilieva"/>
        <s v="Judy Davis"/>
        <s v="Andrew Simpson"/>
        <s v="Fionnula Flanagan"/>
        <s v="Aretha Franklin"/>
        <s v="Jeremy Jordan"/>
        <s v="Christopher Webster"/>
        <s v="Barret Oliver"/>
        <s v="Art Carney"/>
        <s v="Jean Marsh"/>
        <s v="Lew Temple"/>
        <s v="Joel McHale"/>
        <s v="Junix Inocian"/>
        <s v="Amy Carson"/>
        <s v="Adhir Kalyan"/>
        <s v="Julie Gonzalo"/>
        <s v="Martin Clunes"/>
        <s v="Boyd Holbrook"/>
        <s v="Michael Jeter"/>
        <s v="Kaitlin Olson"/>
        <s v="Dirk Bogarde"/>
        <s v="Carl Gilliard"/>
        <s v="Michael Landes"/>
        <s v="Kate Walsh"/>
        <s v="Larry Hankin"/>
        <s v="Paula Garcés"/>
        <s v="Todd Allen"/>
        <s v="Gregory Itzin"/>
        <s v="Kirstie Alley"/>
        <s v="Chelsea Field"/>
        <s v="Derek Luke"/>
        <s v="Maia Morgenstern"/>
        <s v="Mara Wilson"/>
        <s v="Dreama Walker"/>
        <s v="Gerald McRaney"/>
        <s v="Embeth Davidtz"/>
        <s v="Peter Capaldi"/>
        <s v="Igor Jijikine"/>
        <s v="Jason Ritter"/>
        <s v="Ava Acres"/>
        <s v="Rob Paulsen"/>
        <s v="Ben Feldman"/>
        <s v="Paige Turco"/>
        <s v="Billy Drago"/>
        <s v="Tika Sumpter"/>
        <s v="Leslie Caron"/>
        <s v="Gedde Watanabe"/>
        <s v="Greta Gerwig"/>
        <s v="Dana Delany"/>
        <s v="Patrick Troughton"/>
        <s v="Gina Holden"/>
        <s v="Riley Thomas Stewart"/>
        <s v="F. Murray Abraham"/>
        <s v="David O'Hara"/>
        <s v="Paul Sorvino"/>
        <s v="Paul F. Tompkins"/>
        <s v="Flea"/>
        <s v="Eddie Griffin"/>
        <s v="Katharine McPhee"/>
        <s v="Keshia Knight Pulliam"/>
        <s v="Suraj Sharma"/>
        <s v="Oliver James"/>
        <s v="Jonathan Breck"/>
        <s v="Tom Arnold"/>
        <s v="Alexandra Breckenridge"/>
        <s v="Emma de Caunes"/>
        <s v="Salli Richardson-Whitfield"/>
        <s v="Aaron Staton"/>
        <s v="John Gielgud"/>
        <s v="Park Bench"/>
        <s v="Richard Anderson"/>
        <s v="Richard Briers"/>
        <s v="J.B. Smoove"/>
        <s v="Essence Atkins"/>
        <s v="Paul Hogan"/>
        <s v="Cjon Saulsberry"/>
        <s v="Trevor Blumas"/>
        <s v="Tyrone Giordano"/>
        <s v="Taron Egerton"/>
        <s v="Milla Jovovich"/>
        <s v="John Sparkes"/>
        <s v="Jason Patric"/>
        <s v="Emily Watson"/>
        <s v="Scott Mechlowicz"/>
        <s v="Nia Peeples"/>
        <s v="Phoebe Cates"/>
        <s v="Udo Kier"/>
        <s v="Matthew Knight"/>
        <s v="Gillian Jacobs"/>
        <s v="Jonathan Tucker"/>
        <s v="Rupert Everett"/>
        <s v="Emily Meade"/>
        <s v="Timothy Bottoms"/>
        <s v="Zach Grenier"/>
        <s v="Megan Mullally"/>
        <s v="Paul Anderson"/>
        <s v="Jorma Taccone"/>
        <s v="Devon Murray"/>
        <s v="Steve Railsback"/>
        <s v="Jennifer Hale"/>
        <s v="James Brolin"/>
        <s v="Kate Burton"/>
        <s v="Malonn Lévana"/>
        <s v="William Morgan Sheppard"/>
        <s v="Channing Tatum"/>
        <s v="Tom Amandes"/>
        <s v="Madison Davenport"/>
        <s v="Jane Krakowski"/>
        <s v="Laz Alonso"/>
        <s v="Christopher Evan Welch"/>
        <s v="Sam McMurray"/>
        <s v="Donovan Scott"/>
        <s v="Antony Starr"/>
        <s v="Loretta Devine"/>
        <s v="Joe Pingue"/>
        <s v="Erica Linz"/>
        <s v="Aidan McArdle"/>
        <s v="Sean Buchanan"/>
        <s v="Jenny McCarthy"/>
        <s v="Benoît Magimel"/>
        <s v="André Wilms"/>
        <s v="Evgeniy Mironov"/>
        <s v="Dan O'Herlihy"/>
        <s v="Mario Van Peebles"/>
        <s v="Regina Hall"/>
        <s v="Leah Remini"/>
        <s v="David Hyde Pierce"/>
        <s v="Jeff Anderson"/>
        <s v="Pruitt Taylor Vince"/>
        <s v="Diana Ross"/>
        <s v="Ellen Albertini Dow"/>
        <s v="Robert Wagner"/>
        <s v="Busy Philipps"/>
        <s v="Kelly Brook"/>
        <s v="Kenneth Williams"/>
        <s v="Kenny Baker"/>
        <s v="Priscilla Presley"/>
        <s v="Brendan Fehr"/>
        <s v="Ellen Barkin"/>
        <s v="Brian Johnson"/>
        <s v="Jessica Bowman"/>
        <s v="Keeley Hawes"/>
        <s v="Eva Amurri Martino"/>
        <s v="Dan Hedaya"/>
        <s v="Dash Mihok"/>
        <s v="Ian Hart"/>
        <s v="Benoît Poelvoorde"/>
        <s v="Landon Liboiron"/>
        <s v="Iben Hjejle"/>
        <s v="Sarah Carter"/>
        <s v="Roger Lloyd Pack"/>
        <s v="Simon Yam"/>
        <s v="Kim Thomson"/>
        <s v="Dick Van Patten"/>
        <s v="Eric Lloyd"/>
        <s v="Michael Papajohn"/>
        <s v="Charlotte Le Bon"/>
        <s v="Jeremy Northam"/>
        <s v="Bobby Moynihan"/>
        <s v="Pawel Szajda"/>
        <s v="Neil Diamond"/>
        <s v="Bruce Dern"/>
        <s v="Paulo Costanzo"/>
        <s v="Jim Carter"/>
        <s v="Vernon Dobtcheff"/>
        <s v="Alex Rocco"/>
        <s v="Noémie Lenoir"/>
        <s v="Jack Davenport"/>
        <s v="Sebastian Koch"/>
        <s v="Ted Danson"/>
        <s v="Ben Crompton"/>
        <s v="Joe Spinell"/>
        <s v="Ludivine Sagnier"/>
        <s v="Diego Ramos"/>
        <s v="Warren Clarke"/>
        <s v="John Aylward"/>
        <s v="Qi Shu"/>
        <s v="Rachel Blanchard"/>
        <s v="Jim Gaffigan"/>
        <s v="Judge Reinhold"/>
        <s v="Jill Hennessy"/>
        <s v="Cherry Jones"/>
        <s v="Barry Corbin"/>
        <s v="Sarah Polley"/>
        <s v="Karen Allen"/>
        <s v="Teri Garr"/>
        <s v="Kimberly J. Brown"/>
        <s v="Steve-O"/>
        <s v="Murray Hamilton"/>
        <s v="Mark Duplass"/>
        <s v="Nick Krause"/>
        <s v="Zane Holtz"/>
        <s v="Bobby Coleman"/>
        <s v="Cicely Tyson"/>
        <s v="Fernando Rey"/>
        <s v="Phil Collins"/>
        <s v="Skye McCole Bartusiak"/>
        <s v="John Fiedler"/>
        <s v="Joseph Julian Soria"/>
        <s v="David Mann"/>
        <s v="Jamey Sheridan"/>
        <s v="Sarah Roemer"/>
        <s v="Maximilian Schell"/>
        <s v="Thekla Reuten"/>
        <s v="Dave Foley"/>
        <s v="Harriet Walter"/>
        <s v="Keram Malicki-Sánchez"/>
        <s v="Lee Marvin"/>
        <s v="Jan Cornet"/>
        <s v="Ron Eldard"/>
        <s v="Jesper Christensen"/>
        <s v="Jason Beghe"/>
        <s v="Beverly D'Angelo"/>
        <s v="Saffron Burrows"/>
        <s v="James Wolk"/>
        <s v="Thomas Law"/>
        <s v="Damien Garvey"/>
        <s v="Luke Bracey"/>
        <s v="Tom Selleck"/>
        <s v="Vanessa Lengies"/>
        <s v="Leo Howard"/>
        <s v="Marc John Jefferies"/>
        <s v="James Gammon"/>
        <s v="Vera Miles"/>
        <s v="Taran Killam"/>
        <s v="Zachary Gordon"/>
        <s v="Adam Arkin"/>
        <s v="John Wood"/>
        <s v="Jan Hooks"/>
        <s v="Chi Ling Chiu"/>
        <s v="Mark Feuerstein"/>
        <s v="Shaun Toub"/>
        <s v="Tom Hollander"/>
        <s v="Robert Miano"/>
        <s v="Carroll Baker"/>
        <s v="Ari Graynor"/>
        <s v="Vincent Regan"/>
        <s v="Ariel Gade"/>
        <s v="Tiffany Dupont"/>
        <s v="Tzi Ma"/>
        <s v="Hope Davis"/>
        <s v="Dequina Moore"/>
        <s v="Dustin Nguyen"/>
        <s v="Mia Farrow"/>
        <s v="Christopher Guest"/>
        <s v="Lynn Cohen"/>
        <s v="Omar Sy"/>
        <s v="Gaby Hoffmann"/>
        <s v="Vanessa Angel"/>
        <s v="Susie Essman"/>
        <s v="Nia Vardalos"/>
        <s v="Ricardo Montalban"/>
        <s v="Katherine Waterston"/>
        <s v="Caity Lotz"/>
        <s v="Eric McCormack"/>
        <s v="Geoffrey Arend"/>
        <s v="Demián Bichir"/>
        <s v="Ty Olsson"/>
        <s v="Dexter Fletcher"/>
        <s v="Keanu Reeves"/>
        <s v="Darren Shahlavi"/>
        <s v="Charlie Saxton"/>
        <s v="Ashley Williams"/>
        <s v="Bill Lake"/>
        <s v="Peter Coyote"/>
        <s v="Randy Jones"/>
        <s v="Finn Wittrock"/>
        <s v="Guang Li"/>
        <s v="Garrett Clayton"/>
        <s v="Yuqi Zhang"/>
        <s v="Philippe Nahon"/>
        <s v="Laura Spencer"/>
        <s v="George Coulouris"/>
        <s v="Aaron Ashmore"/>
        <s v="Traci Dinwiddie"/>
        <s v="Sammo Kam-Bo Hung"/>
        <s v="Nicholas Lea"/>
        <s v="Michael Lieber"/>
        <s v="Maggie Wheeler"/>
        <s v="Sally Hawkins"/>
        <s v="Alexandra Maria Lara"/>
        <s v="Michael Spears"/>
        <s v="W. Earl Brown"/>
        <s v="Shelley Duvall"/>
        <s v="Thomas F. Wilson"/>
        <s v="Mary J. Blige"/>
        <s v="Erin O'Brien"/>
        <s v="David Agranov"/>
        <s v="Jenni 'Jwoww' Farley"/>
        <s v="Colm Feore"/>
        <s v="Ryûnosuke Kamiki"/>
        <s v="Michael Wong"/>
        <s v="Sophie Nélisse"/>
        <s v="Mel Ferrer"/>
        <s v="Kyra Nichols"/>
        <s v="Shawn Roberts"/>
        <s v="Angelica Lee"/>
        <s v="Carla Gallo"/>
        <s v="Amy Yasbeck"/>
        <s v="Ken Davitian"/>
        <s v="Raquel Welch"/>
        <s v="Lea Thompson"/>
        <s v="Paul Schneider"/>
        <s v="Sean Patrick Thomas"/>
        <s v="Louis Mandylor"/>
        <s v="Lindsay Duncan"/>
        <s v="Melinda Clarke"/>
        <s v="David Alan Basche"/>
        <s v="Barry Bostwick"/>
        <s v="Chris Brochu"/>
        <s v="Olivia d'Abo"/>
        <s v="Sasha Alexander"/>
        <s v="Roger Ashton-Griffiths"/>
        <s v="Kay Panabaker"/>
        <s v="Susan May Pratt"/>
        <s v="Alex Borstein"/>
        <s v="Corbin Bleu"/>
        <s v="Marie Avgeropoulos"/>
        <s v="Richard Farnsworth"/>
        <s v="Jamie Lee Curtis"/>
        <s v="Dennis Franz"/>
        <s v="Paul Freeman"/>
        <s v="Annie Parisse"/>
        <s v="Shelley Long"/>
        <s v="Shaun Evans"/>
        <s v="Karen Young"/>
        <s v="Ralph Richardson"/>
        <s v="Kerry Condon"/>
        <s v="Khulan Chuluun"/>
        <s v="Michael Beck"/>
        <s v="Brian Blessed"/>
        <s v="Suzie Steen"/>
        <s v="Burghart Klaußner"/>
        <s v="Anna Harr"/>
        <s v="Mackenzie Gray"/>
        <s v="Brad Renfro"/>
        <s v="Nora von Waldstätten"/>
        <s v="Simón Andreu"/>
        <s v="Joaquim de Almeida"/>
        <s v="John Amplas"/>
        <s v="Brigitte Nielsen"/>
        <s v="Joe Lo Truglio"/>
        <s v="Mari Koda"/>
        <s v="Shawn Andrews"/>
        <s v="Elaine Cassidy"/>
        <s v="Carrie Henn"/>
        <s v="Rex Harrison"/>
        <s v="Patrick Gallagher"/>
        <s v="Owain Yeoman"/>
        <s v="Donald Pleasence"/>
        <s v="Molly Shannon"/>
        <s v="Chris Kattan"/>
        <s v="Mary-Kate Olsen"/>
        <s v="Greg Nicotero"/>
        <s v="Valente Rodriguez"/>
        <s v="Adam Boyer"/>
        <s v="Hana Mae Lee"/>
        <s v="Larry the Cable Guy"/>
        <s v="Kevin Clash"/>
        <s v="David Niven"/>
        <s v="Elizabeth Blackmore"/>
        <s v="Harland Williams"/>
        <s v="Clé Bennett"/>
        <s v="Melanie Griffith"/>
        <s v="David Murray"/>
        <s v="Brady Corbet"/>
        <s v="Jess Harnell"/>
        <s v="Jan-Michael Vincent"/>
        <s v="Rick Gomez"/>
        <s v="Tamara Tunie"/>
        <s v="Julie Walters"/>
        <s v="Gretchen Palmer"/>
        <s v="James Mason"/>
        <s v="Ron Lester"/>
        <s v="Atticus Shaffer"/>
        <s v="Jordana Brewster"/>
        <s v="Vincent Walsh"/>
        <s v="Maribel Verdú"/>
        <s v="Jessika Van"/>
        <s v="Angus T. Jones"/>
        <s v="Danneel Ackles"/>
        <s v="Alonna Shaw"/>
        <s v="Joe Cornish"/>
        <s v="Michael Nyqvist"/>
        <s v="Amanda Detmer"/>
        <s v="Amy Sedaris"/>
        <s v="Don Pardo"/>
        <s v="Alexandra Holden"/>
        <s v="Alyson Hannigan"/>
        <s v="Karl Malden"/>
        <s v="Marian Seldes"/>
        <s v="Jon Polito"/>
        <s v="Natasha Richardson"/>
        <s v="Kad Merad"/>
        <s v="Jodie Whittaker"/>
        <s v="Emily Alyn Lind"/>
        <s v="Justin Kirk"/>
        <s v="Tanya van Graan"/>
        <s v="Trond Fausa"/>
        <s v="Marie-Josée Croze"/>
        <s v="Jake Lloyd"/>
        <s v="Ryôko Hirosue"/>
        <s v="Sydney Pollack"/>
        <s v="Pei-Pei Cheng"/>
        <s v="Jennifer Ehle"/>
        <s v="Tony Jay"/>
        <s v="Bobby Campo"/>
        <s v="Rae Dawn Chong"/>
        <s v="Ji-won Ha"/>
        <s v="Megan Charpentier"/>
        <s v="Georgina Cates"/>
        <s v="Sylvia Syms"/>
        <s v="Tasha Smith"/>
        <s v="Roger Allam"/>
        <s v="Tessa Thompson"/>
        <s v="Adam Lamberg"/>
        <s v="Conchata Ferrell"/>
        <s v="Virginia Capers"/>
        <s v="JoAnna Garcia Swisher"/>
        <s v="José Ferrer"/>
        <s v="Kevin Rankin"/>
        <s v="Carol Kane"/>
        <s v="Tim Daly"/>
        <s v="Matthew Daddario"/>
        <s v="Luke Benward"/>
        <s v="Katy Mixon"/>
        <s v="Erica Leerhsen"/>
        <s v="Rachel True"/>
        <s v="Mark Gatiss"/>
        <s v="Hutch Dano"/>
        <s v="Peter Vaughan"/>
        <s v="Nicole Ari Parker"/>
        <s v="Rosanna Arquette"/>
        <s v="Danny Pino"/>
        <s v="Joey Lawrence"/>
        <s v="Firass Dirani"/>
        <s v="Will Forte"/>
        <s v="Cinda McCain"/>
        <s v="Akie Kotabe"/>
        <s v="Patrick Bergin"/>
        <s v="George C. Scott"/>
        <s v="Nina Hoss"/>
        <s v="Cam Clarke"/>
        <s v="The Edge"/>
        <s v="Adrian Paul"/>
        <s v="Faizon Love"/>
        <s v="Jimmy Fallon"/>
        <s v="Brian Van Holt"/>
        <s v="Keith Allen"/>
        <s v="Kyla Pratt"/>
        <s v="Nicole de Boer"/>
        <s v="Michael Raymond-James"/>
        <s v="Archie Panjabi"/>
        <s v="Jodi Lyn O'Keefe"/>
        <s v="Campbell Scott"/>
        <s v="Anna Madeley"/>
        <s v="S. Epatha Merkerson"/>
        <s v="Zach Gilford"/>
        <s v="Susan Ward"/>
        <s v="Corbin Bernsen"/>
        <s v="Agnes Bruckner"/>
        <s v="Eduardo Noriega"/>
        <s v="Pamela Reed"/>
        <s v="Kalim Chandler"/>
        <s v="Gustav Fröhlich"/>
        <s v="Cyril Raffaelli"/>
        <s v="Chen Chang"/>
        <s v="Vladimir Garin"/>
        <s v="Petchtai Wongkamlao"/>
        <s v="JJ Feild"/>
        <s v="Gina Bellman"/>
        <s v="Wendy Crewson"/>
        <s v="Gael Le Cornec"/>
        <s v="Hans Matheson"/>
        <s v="Lucy Gaskell"/>
        <s v="Rodrigo De la Serna"/>
        <s v="Daniel Wu"/>
        <s v="Chris Elliott"/>
        <s v="Jeremy Davies"/>
        <s v="Saurabh Shukla"/>
        <s v="Lois Smith"/>
        <s v="Andrea Martin"/>
        <s v="Linda Kozlowski"/>
        <s v="Chris Marquette"/>
        <s v="Steve Gonsalves"/>
        <s v="Elaine Hendrix"/>
        <s v="Mike Nawrocki"/>
        <s v="Khandi Alexander"/>
        <s v="Roger Guenveur Smith"/>
        <s v="James D'Arcy"/>
        <s v="Lance Gross"/>
        <s v="Joan Plowright"/>
        <s v="Bethany Joy Lenz"/>
        <s v="Eliza Coupe"/>
        <s v="Kane Hodder"/>
        <s v="Jackson Nicoll"/>
        <s v="Sharon Lawrence"/>
        <s v="Julie Kavner"/>
        <s v="Terry Pheto"/>
        <s v="Angela Featherstone"/>
        <s v="Todd Boyce"/>
        <s v="Joseph Cotten"/>
        <s v="Ruth Sheen"/>
        <s v="Sara Forestier"/>
        <s v="Mathieu Kassovitz"/>
        <s v="Shawn Yue"/>
        <s v="Katherine LaNasa"/>
        <s v="Olaf Lubaszenko"/>
        <s v="Stephen Marcus"/>
        <s v="Marian Dziedziel"/>
        <s v="Bruno Ganz"/>
        <s v="Lola Dueñas"/>
        <s v="Paul Brannigan"/>
        <s v="Stephanie Danielson"/>
        <s v="Sean Kingston"/>
        <s v="Rodney Eastman"/>
        <s v="Brighton Sharbino"/>
        <s v="Patrick Wayne"/>
        <s v="Brett Cullen"/>
        <s v="Mark Webber"/>
        <s v="Chris Brown"/>
        <s v="Dom DeLuise"/>
        <s v="Elliott Gould"/>
        <s v="Beth Grant"/>
        <s v="Kate del Castillo"/>
        <s v="Sonoya Mizuno"/>
        <s v="Orson Bean"/>
        <s v="Ella Wahlestedt"/>
        <s v="Kazunari Ninomiya"/>
        <s v="Jacob Tremblay"/>
        <s v="Jack Warden"/>
        <s v="David Dencik"/>
        <s v="Josie Loren"/>
        <s v="Kathryn Morris"/>
        <s v="Sarita Choudhury"/>
        <s v="Daniel Auteuil"/>
        <s v="Meghan Heffern"/>
        <s v="Ryan O'Neal"/>
        <s v="Ezra Miller"/>
        <s v="Ian Gomez"/>
        <s v="Isabella Rossellini"/>
        <s v="Luke Treadaway"/>
        <s v="Nikola Djuricko"/>
        <s v="Tara Platt"/>
        <s v="Dean Dawson"/>
        <s v="Aden Young"/>
        <s v="Louis Herthum"/>
        <s v="Everett McGill"/>
        <s v="Matt Smith"/>
        <s v="Margo Harshman"/>
        <s v="Mary Astor"/>
        <s v="Sheila Hancock"/>
        <s v="Vincent Gallo"/>
        <s v="Don Johnson"/>
        <s v="Eric Schweig"/>
        <s v="Gabriel Damon"/>
        <s v="Bin Won"/>
        <s v="Linda Blair"/>
        <s v="Robert Shaw"/>
        <s v="Randall 'Tex' Cobb"/>
        <s v="Jason George"/>
        <s v="Jason Cottle"/>
        <s v="Sid Haig"/>
        <s v="Eric Winter"/>
        <s v="Alex Russell"/>
        <s v="Amy Irving"/>
        <s v="Michael Palin"/>
        <s v="Katherine Boecher"/>
        <s v="Kirby Bliss Blanton"/>
        <s v="Alessandro Nivola"/>
        <s v="Jerry Nelson"/>
        <s v="Ashley Ashida Dixon"/>
        <s v="Richard Dysart"/>
        <s v="Kathryn Erbe"/>
        <s v="Kelvin Taylor"/>
        <s v="Mare Winningham"/>
        <s v="Erika Christensen"/>
        <s v="Anne Meara"/>
        <s v="Joanna 'JoJo' Levesque"/>
        <s v="Patton Oswalt"/>
        <s v="Edi Gathegi"/>
        <s v="Eddie Cibrian"/>
        <s v="Rosemarie DeWitt"/>
        <s v="Michael Lerner"/>
        <s v="Martin Semmelrogge"/>
        <s v="Barry Watson"/>
        <s v="Andy Lau"/>
        <s v="Curtiss Cook"/>
        <s v="Jonny Weston"/>
        <s v="Veronika Dash"/>
        <s v="Aleksa Palladino"/>
        <s v="Joseph Cross"/>
        <s v="Kelly Clarkson"/>
        <s v="Nick Damici"/>
        <s v="Kang-ho Song"/>
        <s v="Megan Park"/>
        <s v="Sabrina Ferilli"/>
        <s v="Michael Harding"/>
        <s v="Alden Ehrenreich"/>
        <s v="Erin Boyes"/>
        <s v="Tatyana Ali"/>
        <s v="Isaiah Washington"/>
        <s v="Péter Fancsikai"/>
        <s v="Ni Yan"/>
        <s v="Yuanyuan Gao"/>
        <s v="Meisa Kuroki"/>
        <s v="Kenneth Cranham"/>
        <s v="Michael Dorman"/>
        <s v="Kelly LeBrock"/>
        <s v="Connor Corum"/>
        <s v="Matt Marr"/>
        <s v="Fred Gwynne"/>
        <s v="Tetsu Watanabe"/>
        <s v="Caroline Dhavernas"/>
        <s v="Ching Wan Lau"/>
        <s v="Harry Carey Jr."/>
        <s v="Peter Cushing"/>
        <s v="Klaus Kinski"/>
        <s v="Selton Mello"/>
        <s v="Matt Prokop"/>
        <s v="Jack McGee"/>
        <s v="Mireille Enos"/>
        <s v="John Enos III"/>
        <s v="Shawnee Smith"/>
        <s v="Sid Caesar"/>
        <s v="Alicia Keys"/>
        <s v="Gabrielle Carteris"/>
        <s v="Bud Cort"/>
        <s v="Fiona Glascott"/>
        <s v="Steven Berkoff"/>
        <s v="Jason London"/>
        <s v="John Witherspoon"/>
        <s v="Sheridan Smith"/>
        <s v="Leonardo DiCaprio"/>
        <s v="Alan Van Sprang"/>
        <s v="Max Casella"/>
        <s v="Andrew Keegan"/>
        <s v="Wayne Pygram"/>
        <s v="Anthony Zerbe"/>
        <s v="David Kennedy"/>
        <s v="Sean Harris"/>
        <s v="Gena Rowlands"/>
        <s v="Lina Esco"/>
        <s v="Deborra-Lee Furness"/>
        <s v="John Abraham"/>
        <s v="Giancarlo Giannini"/>
        <s v="Gary Lockwood"/>
        <s v="Dee Wallace"/>
        <s v="Marc Donato"/>
        <s v="Kelli Williams"/>
        <s v="Johnny Flynn"/>
        <s v="Boman Irani"/>
        <s v="Taylor Handley"/>
        <s v="Eduardo Verástegui"/>
        <s v="Eric Elmosnino"/>
        <s v="Harold Ramis"/>
        <s v="Keegan Connor Tracy"/>
        <s v="Richard Beymer"/>
        <s v="Kevin Nealon"/>
        <s v="Patricia Belcher"/>
        <s v="Ron Moody"/>
        <s v="Andrew Lawrence"/>
        <s v="Bruce Spence"/>
        <s v="Vernon Wells"/>
        <s v="Hayley Kiyoko"/>
        <s v="Vanity"/>
        <s v="Austin O'Brien"/>
        <s v="Alexis Dziena"/>
        <s v="Al Leong"/>
        <s v="Kevin Tighe"/>
        <s v="Shiri Appleby"/>
        <s v="William Smith"/>
        <s v="Oona Laurence"/>
        <s v="Herbert Lom"/>
        <s v="Jessica Capshaw"/>
        <s v="Clarence Williams III"/>
        <s v="Richard Lynch"/>
        <s v="Brandon T. Jackson"/>
        <s v="Celia Imrie"/>
        <s v="Nicholas Turturro"/>
        <s v="Simon Rhee"/>
        <s v="Lindy Booth"/>
        <s v="Paul Ben-Victor"/>
        <s v="Zayn Malik"/>
        <s v="Philip Baker Hall"/>
        <s v="Allison Tolman"/>
        <s v="Chad Allen"/>
        <s v="Mark Moses"/>
        <s v="Johanna Braddy"/>
        <s v="Clotilde Mollet"/>
        <s v="Iddo Goldberg"/>
        <s v="Tamala Jones"/>
        <s v="Toby Huss"/>
        <s v="Jennifer Garner"/>
        <s v="Evan Ross"/>
        <s v="Waris Ahluwalia"/>
        <s v="Lesley Ann Warren"/>
        <s v="Tracey Walter"/>
        <s v="Tim DeKay"/>
        <s v="Stephanie Vogt"/>
        <s v="Maria Dizzia"/>
        <s v="Eddie 'Piolin' Sotelo"/>
        <s v="John Neville"/>
        <s v="Rekha"/>
        <s v="Scott A. Martin"/>
        <s v="Lee Majors"/>
        <s v="Norah Jones"/>
        <s v="Jeanne Tripplehorn"/>
        <s v="Sergej Trifunovic"/>
        <s v="Karen Mok"/>
        <s v="Cheryl Tiegs"/>
        <s v="Claire Foy"/>
        <s v="Aitana Sánchez-Gijón"/>
        <s v="Ryan Donowho"/>
        <s v="Danny Dyer"/>
        <s v="Daryl Sabara"/>
        <s v="Toby Stephens"/>
        <s v="Dulé Hill"/>
        <s v="Ally Sheedy"/>
        <s v="Michael Winslow"/>
        <s v="Andrés Montiel"/>
        <s v="Jared Gilman"/>
        <s v="Harvey Weinstein"/>
        <s v="Reef Ireland"/>
        <s v="Drew Waters"/>
        <s v="Leonor Watling"/>
        <s v="Gyton Grantley"/>
        <s v="Craig Fairbrass"/>
        <s v="Mishael Morgan"/>
        <s v="Charlotte Bøving"/>
        <s v="Jesse Moss"/>
        <s v="Luke Perry"/>
        <s v="Woo-sung Jung"/>
        <s v="Katrina Bowden"/>
        <s v="Victor Rivers"/>
        <s v="Burt Kwouk"/>
        <s v="Emmanuelle Riva"/>
        <s v="Heather O'Rourke"/>
        <s v="Roger Cross"/>
        <s v="Joe Flaherty"/>
        <s v="Michaela McManus"/>
        <s v="Steven Michael Quezada"/>
        <s v="Keisha Castle-Hughes"/>
        <s v="Katrina Kaif"/>
        <s v="Edwin Neal"/>
        <s v="Scout Taylor-Compton"/>
        <s v="Paul Michael Glaser"/>
        <s v="Earl Cameron"/>
        <s v="Shanley Caswell"/>
        <s v="Alessandro Preziosi"/>
        <s v="Alex Vincent"/>
        <s v="Tucker Albrizzi"/>
        <s v="Lauren German"/>
        <s v="Denholm Elliott"/>
        <s v="Crystal Lowe"/>
        <s v="Tate Taylor"/>
        <s v="Nicky Katt"/>
        <s v="Rory Culkin"/>
        <s v="Drew Fuller"/>
        <s v="Katherine Kelly Lang"/>
        <s v="John Carradine"/>
        <s v="John Doman"/>
        <s v="Garry Shandling"/>
        <s v="Jun Kunimura"/>
        <s v="Heather Morris"/>
        <s v="Chatchai Plengpanich"/>
        <s v="Adrienne Barbeau"/>
        <s v="Julie Engelbrecht"/>
        <s v="Vince Colosimo"/>
        <s v="Thure Lindhardt"/>
        <s v="Kip Pardue"/>
        <s v="Ronit Elkabetz"/>
        <s v="Steven Waddington"/>
        <s v="Maïwenn"/>
        <s v="James Arnold Taylor"/>
        <s v="Jami Gertz"/>
        <s v="Frederic Forrest"/>
        <s v="David Hemmings"/>
        <s v="Louisa Milwood-Haigh"/>
        <s v="Max Beesley"/>
        <s v="Sung-kee Ahn"/>
        <s v="Jimmy Shergill"/>
        <s v="Casey Siemaszko"/>
        <s v="Clive Standen"/>
        <s v="Orla Fitzgerald"/>
        <s v="Madhuri Dixit"/>
        <s v="Deborah Kerr"/>
        <s v="Bergüzar Korel"/>
        <s v="Jim Henson"/>
        <s v="Lindsay Price"/>
        <s v="Angela Cartwright"/>
        <s v="Howard Morris"/>
        <s v="Steven Christopher Parker"/>
        <s v="Frances Lee McCain"/>
        <s v="Megan Burns"/>
        <s v="Marques Houston"/>
        <s v="Lynn Whitfield"/>
        <s v="David Denman"/>
        <s v="Lola Glaudini"/>
        <s v="Dabney Coleman"/>
        <s v="Natalie Stephany Aguilar"/>
        <s v="George Lazenby"/>
        <s v="Heather Langenkamp"/>
        <s v="Sean Michael Afable"/>
        <s v="Justin Theroux"/>
        <s v="Richard Howland"/>
        <s v="Julie Benz"/>
        <s v="Omar Metwally"/>
        <s v="Ben Falcone"/>
        <s v="Dan Byrd"/>
        <s v="John de Lancie"/>
        <s v="Vince Vieluf"/>
        <s v="Robbie Kay"/>
        <s v="Laurel Holloman"/>
        <s v="Marina Sirtis"/>
        <s v="Mick Lally"/>
        <s v="Karen Pittman"/>
        <s v="Tony Devon"/>
        <s v="Larry Drake"/>
        <s v="Chris Owen"/>
        <s v="Zen McGrath"/>
        <s v="Takeshi Kusao"/>
        <s v="Roy Dupuis"/>
        <s v="Josh Henderson"/>
        <s v="Ruby Lin"/>
        <s v="Lucy Fry"/>
        <s v="Mark Wingett"/>
        <s v="Helena Mattsson"/>
        <s v="Jessica Tandy"/>
        <s v="Anita Mui"/>
        <s v="Reda Kateb"/>
        <s v="Paul Gross"/>
        <s v="Brenda Strong"/>
        <s v="Edouard Baer"/>
        <s v="Om Puri"/>
        <s v="Jenny Agutter"/>
        <s v="Michael McElhatton"/>
        <s v="Nathin Butler"/>
        <s v="Mary Goggin"/>
        <s v="Elyas M'Barek"/>
        <s v="Aki Aleong"/>
        <s v="Lois Maxwell"/>
        <s v="Cynthia Rhodes"/>
        <s v="Ian Mune"/>
        <s v="Alex Pettyfer"/>
        <s v="Emma Caulfield"/>
        <s v="Geoffrey Holder"/>
        <s v="Sakina Jaffrey"/>
        <s v="Tate Donovan"/>
        <s v="Michael J. Burg"/>
        <s v="Hervé Villechaize"/>
        <s v="Shauna Macdonald"/>
        <s v="Michael Jordan"/>
        <s v="Allison Miller"/>
        <s v="Mary Tyler Moore"/>
        <s v="Ken Foree"/>
        <s v="Rick Fox"/>
        <s v="Omar Epps"/>
        <s v="Matthew McGrory"/>
        <s v="Elizabeth MacRae"/>
        <s v="Fred Melamed"/>
        <s v="Richard E. Grant"/>
        <s v="Teddy Sears"/>
        <s v="Barbara Hershey"/>
        <s v="George Wendt"/>
        <s v="David Gulpilil"/>
        <s v="Nathaniel Lees"/>
        <s v="Preity Zinta"/>
        <s v="Randy Couture"/>
        <s v="Tim Guinee"/>
        <s v="Cheryl Ladd"/>
        <s v="Marley Shelton"/>
        <s v="Terence Hill"/>
        <s v="Isabelle Nanty"/>
        <s v="Chris Pontius"/>
        <s v="Susie Abromeit"/>
        <s v="Casey Affleck"/>
        <s v="Yuriy Tsurilo"/>
        <s v="David Della Rocco"/>
        <s v="Louis Koo"/>
        <s v="Wendee Lee"/>
        <s v="Kate Higgins"/>
        <s v="Christopher Judge"/>
        <s v="Justin Edward Seale"/>
        <s v="Johanna Wokalek"/>
        <s v="Jason Cerbone"/>
        <s v="Mélissa Désormeaux-Poulin"/>
        <s v="Silvio Muccino"/>
        <s v="Brendan Coyle"/>
        <s v="Fernanda Machado"/>
        <s v="Annabelle Wallis"/>
        <s v="Magda Szubanski"/>
        <s v="Lloyd Avery II"/>
        <s v="Rosanna DeSoto"/>
        <s v="Len Cariou"/>
        <s v="David Margulies"/>
        <s v="Marin Hinkle"/>
        <s v="Paula Kelly"/>
        <s v="Juliane Köhler"/>
        <s v="Eric Johnson"/>
        <s v="Julia Ormond"/>
        <s v="Matt Frewer"/>
        <s v="Sara-Marie Maltha"/>
        <s v="Chulpan Khamatova"/>
        <s v="Mark Bazeley"/>
        <s v="Clu Gulager"/>
        <s v="Fortunato Cerlino"/>
        <s v="Jason Mewes"/>
        <s v="Stevie Wonder"/>
        <s v="Ted Cassidy"/>
        <s v="Glynis Johns"/>
        <s v="Elizabeth McGovern"/>
        <s v="George Chakiris"/>
        <s v="Rodney Dangerfield"/>
        <s v="Kelly Jo Minter"/>
        <s v="John D'Leo"/>
        <s v="Lillian Gish"/>
        <s v="Ossie Davis"/>
        <s v="Richard Norton"/>
        <s v="Tuppence Middleton"/>
        <s v="Tamara Glynn"/>
        <s v="Brandon Smith"/>
        <s v="Daryl Hannah"/>
        <s v="Alona Tal"/>
        <s v="Annette Badland"/>
        <s v="Windell Middlebrooks"/>
        <s v="Jason Dohring"/>
        <s v="Miriam Shor"/>
        <s v="Ryan Bollman"/>
        <s v="Monda Scott"/>
        <s v="Lynne Thigpen"/>
        <s v="Warren Oates"/>
        <s v="Michael Elphick"/>
        <s v="Bryan Dick"/>
        <s v="Kari Wuhrer"/>
        <s v="Kendrick Cross"/>
        <s v="Nathalie Baye"/>
        <s v="Russell Wong"/>
        <s v="Diane Ladd"/>
        <s v="Pat Buchanan"/>
        <s v="M. Emmet Walsh"/>
        <s v="Sean Cook"/>
        <s v="Blake Ritson"/>
        <s v="Leslie Carlson"/>
        <s v="Cécile De France"/>
        <s v="Shawn Parsons"/>
        <s v="Tygo Gernandt"/>
        <s v="Michael Jai White"/>
        <s v="Paul Scofield"/>
        <s v="John Billingsley"/>
        <s v="Nathan Jones"/>
        <s v="Belinda Stewart-Wilson"/>
        <s v="Parminder Nagra"/>
        <s v="Edie Falco"/>
        <s v="Wayne Brady"/>
        <s v="Mithun Chakraborty"/>
        <s v="Pablo Rosso"/>
        <s v="Alexis Biesiada"/>
        <s v="Richard Bull"/>
        <s v="Avery Schreiber"/>
        <s v="François Berléand"/>
        <s v="Luke Kirby"/>
        <s v="Louis Lombardi"/>
        <s v="Kati Outinen"/>
        <s v="Albert Dupontel"/>
        <s v="Hitoshi Matsumoto"/>
        <s v="Steven Mackintosh"/>
        <s v="Cree Kelly"/>
        <s v="Paddy Considine"/>
        <s v="Synnøve Macody Lund"/>
        <s v="Adam Butcher"/>
        <s v="Jessica Chastain"/>
        <s v="Bill Erwin"/>
        <s v="Bipasha Basu"/>
        <s v="John Gallagher Jr."/>
        <s v="Amiah Miller"/>
        <s v="Sprague Grayden"/>
        <s v="Shelley Hennig"/>
        <s v="Jessica Lindsey"/>
        <s v="Brendon Eggertsen"/>
        <s v="Jean Simmons"/>
        <s v="Robert J. Wilke"/>
        <s v="Gloria Sandoval"/>
        <s v="Rory Cochrane"/>
        <s v="Gary Lewis"/>
        <s v="Tisha Campbell-Martin"/>
        <s v="Jack Thompson"/>
        <s v="Constance Shulman"/>
        <s v="Monica Calhoun"/>
        <s v="Edwin Hodge"/>
        <s v="Cameron Mills"/>
        <s v="Peter Ustinov"/>
        <s v="Lindsay Wagner"/>
        <s v="Peter Mark Richman"/>
        <s v="Kim Darby"/>
        <s v="Daniel Giménez Cacho"/>
        <s v="Dylan Moran"/>
        <s v="Randy Wayne"/>
        <s v="Clifton James"/>
        <s v="Kathleen Kinmont"/>
        <s v="Deborah Foreman"/>
        <s v="William Sanderson"/>
        <s v="Ryan Robbins"/>
        <s v="Claire Geare"/>
        <s v="George Sanders"/>
        <s v="Helen Hayes"/>
        <s v="Colleen O'Shaughnessey"/>
        <s v="Patrick Fugit"/>
        <s v="Stéphane Rousseau"/>
        <s v="Kerr Smith"/>
        <s v="Carl Weathers"/>
        <s v="Kevin Corrigan"/>
        <s v="Woody Strode"/>
        <s v="Matt Berry"/>
        <s v="Guillaume Denaiffe"/>
        <s v="Michael Lonsdale"/>
        <s v="Tim Thomerson"/>
        <s v="Bobby Batson"/>
        <s v="Scott Takeda"/>
        <s v="Jane Adams"/>
        <s v="Tim Russ"/>
        <s v="Greg Germann"/>
        <s v="Darryl Cox"/>
        <s v="Bhoomika Chawla"/>
        <s v="Megan Ambuhl Graner"/>
        <s v="Don Gordon"/>
        <s v="Paul Fix"/>
        <s v="Marc Trottier"/>
        <s v="Patch Darragh"/>
        <s v="Daniel Stewart Sherman"/>
        <s v="Jacqueline Bisset"/>
        <s v="Sandra Staggs"/>
        <s v="Tony Corvillo"/>
        <s v="Doug Bradley"/>
        <s v="John Stamos"/>
        <s v="Patricia Neal"/>
        <s v="Cyndi Lauper"/>
        <s v="Esai Morales"/>
        <s v="Irène Jacob"/>
        <s v="Sofia Black-D'Elia"/>
        <s v="Natasha Henstridge"/>
        <s v="Cody Howard"/>
        <s v="Michael Dudikoff"/>
        <s v="Ivan Barnev"/>
        <s v="Takashi Miike"/>
        <s v="Lukas Haas"/>
        <s v="Greg Grunberg"/>
        <s v="Lou Perryman"/>
        <s v="Bob Dylan"/>
        <s v="Isild Le Besco"/>
        <s v="Diganth"/>
        <s v="Sharon Small"/>
        <s v="Gary Farmer"/>
        <s v="Jacques Gamblin"/>
        <s v="Douglas Smith"/>
        <s v="Matthew Sunderland"/>
        <s v="Bubba Smith"/>
        <s v="Christopher Atkins"/>
        <s v="James Fleet"/>
        <s v="Richard Basehart"/>
        <s v="Indiana Evans"/>
        <s v="Kevin Michael Richardson"/>
        <s v="Jeanne Crain"/>
        <s v="Juan Luis Galiardo"/>
        <s v="Sarah Drew"/>
        <s v="Mary McDonnell"/>
        <s v="Gerardo Taracena"/>
        <s v="Fedja van Huêt"/>
        <s v="Nicholas Gonzalez"/>
        <s v="Yeong-ae Lee"/>
        <s v="Clovis Fouin"/>
        <s v="Anthony Chau-Sang Wong"/>
        <s v="Dominique McElligott"/>
        <s v="Artyom Bogucharskiy"/>
        <s v="Sana Saeed"/>
        <s v="Michael Berryman"/>
        <s v="Dove Cameron"/>
        <s v="Sameer Ali Khan"/>
        <s v="Jonathan Crombie"/>
        <s v="Michael J. Morris"/>
        <s v="James Fox"/>
        <s v="Rawiri Paratene"/>
        <s v="Abhishek Bachchan"/>
        <s v="Claude-Oliver Rudolph"/>
        <s v="Maury Chaykin"/>
        <s v="Aleksey Chadov"/>
        <s v="Susan Clark"/>
        <s v="Duane Jones"/>
        <s v="Dorothy Lamour"/>
        <s v="J.D. Evermore"/>
        <s v="Harold Gould"/>
        <s v="Hill Harper"/>
        <s v="Katy Jurado"/>
        <s v="Mia Wasikowska"/>
        <s v="Lorelei Linklater"/>
        <s v="Dr. Dre"/>
        <s v="Kevin McCarthy"/>
        <s v="William Hickey"/>
        <s v="Belén Rueda"/>
        <s v="John Vernon"/>
        <s v="Stephen McHattie"/>
        <s v="Alan Taylor"/>
        <s v="Aaron Hughes"/>
        <s v="Lou Taylor Pucci"/>
        <s v="Gina McKee"/>
        <s v="Balinese Tari Legong Dancers"/>
        <s v="Eva LaRue"/>
        <s v="Blair Underwood"/>
        <s v="Ricky Schroder"/>
        <s v="Leos Carax"/>
        <s v="Dan Futterman"/>
        <s v="Lane Smith"/>
        <s v="Kathleen Robertson"/>
        <s v="Adriana Barraza"/>
        <s v="Jordan Trovillion"/>
        <s v="Alan Williams"/>
        <s v="Danny Arroyo"/>
        <s v="Enrique Villén"/>
        <s v="Michael Cerveris"/>
        <s v="Tiffany Thornton"/>
        <s v="Clemens Schick"/>
        <s v="Eamonn Walker"/>
        <s v="Angelo Tsarouchas"/>
        <s v="Elena Lyadova"/>
        <s v="Ken Howard"/>
        <s v="Bonnie Lee Bouman"/>
        <s v="Marian Marsh"/>
        <s v="Shannon Woodward"/>
        <s v="Jessica McNamee"/>
        <s v="Rachel Sterling"/>
        <s v="Susannah York"/>
        <s v="George Reeves"/>
        <s v="Reece Ritchie"/>
        <s v="Slim Pickens"/>
        <s v="Howard Keel"/>
        <s v="Seu Jorge"/>
        <s v="Reginald Owen"/>
        <s v="Susan Blommaert"/>
        <s v="Jamie Farr"/>
        <s v="Barnard Hughes"/>
        <s v="Lloyd Bridges"/>
        <s v="Larenz Tate"/>
        <s v="Peter Finch"/>
        <s v="Kate Dickie"/>
        <s v="Master P"/>
        <s v="Frank Vincent"/>
        <s v="Lynn Redgrave"/>
        <s v="Soledad Villamil"/>
        <s v="Gloria Votsis"/>
        <s v="Dan Hicks"/>
        <s v="Zaide Silvia Gutiérrez"/>
        <s v="Johanna Mørck"/>
        <s v="Geoff Stults"/>
        <s v="Mykel Shannon Jenkins"/>
        <s v="Christian Campbell"/>
        <s v="Ash Cook"/>
        <s v="Jerry Brown"/>
        <s v="Shelly Varod"/>
        <s v="Jeff Fahey"/>
        <s v="Joe Egan"/>
        <s v="Sofie Gråbøl"/>
        <s v="Adrian Gonzalez"/>
        <s v="Matt Gerald"/>
        <s v="John Simm"/>
        <s v="Rus Blackwell"/>
        <s v="Alexandra Rapaport"/>
        <s v="Darren McGavin"/>
        <s v="Perry King"/>
        <s v="Rupert Graves"/>
        <s v="Agame Malembo-Emene"/>
        <s v="Terry Walters"/>
        <s v="Wilson Guerrero"/>
        <s v="Eric Dane"/>
        <s v="Gert Fröbe"/>
        <s v="Lionel Barrymore"/>
        <s v="Molly Ephraim"/>
        <s v="Dick Clark"/>
        <s v="Daoming Chen"/>
        <s v="Robert Rusler"/>
        <s v="Adelaide Kane"/>
        <s v="Victoria Leigh"/>
        <s v="Mikki Padilla"/>
        <s v="Judith Anderson"/>
        <s v="Gregory Sierra"/>
        <s v="Eric Stuart"/>
        <s v="Ron Palillo"/>
        <s v="Sessue Hayakawa"/>
        <s v="Royal Dano"/>
        <s v="Leslie Jordan"/>
        <s v="Lila Kedrova"/>
        <s v="LisaGay Hamilton"/>
        <s v="Montgomery Clift"/>
        <s v="Deon Richmond"/>
        <s v="Seth Green"/>
        <s v="Walter Brennan"/>
        <s v="Jimmy Jean-Louis"/>
        <s v="Ariane Labed"/>
        <s v="Robert Neary"/>
        <s v="A. Michael Baldwin"/>
        <s v="Lupe Ontiveros"/>
        <s v="Jessica De Gouw"/>
        <s v="Lisa Ray"/>
        <s v="Jimi Mistry"/>
        <s v="Jack Albertson"/>
        <s v="Zach Galligan"/>
        <s v="George Hamilton"/>
        <s v="Stuart Margolin"/>
        <s v="Rob McElhenney"/>
        <s v="Grace Gummer"/>
        <s v="Nambitha Mpumlwana"/>
        <s v="Joe Howard"/>
        <s v="Ji-tae Yu"/>
        <s v="Michael Bolten"/>
        <s v="Robb Wells"/>
        <s v="Héctor Jiménez"/>
        <s v="Kevin Gage"/>
        <s v="Harry Treadaway"/>
        <s v="Megalyn Echikunwoke"/>
        <s v="Megan Hilty"/>
        <s v="William Atherton"/>
        <s v="Amanda Mealing"/>
        <s v="Kostja Ullmann"/>
        <s v="Betsy Russell"/>
        <s v="Patti LuPone"/>
        <s v="Darren Keefe Reiher"/>
        <s v="Kristi Clainos"/>
        <s v="Ashley Martin"/>
        <s v="Alex Meraz"/>
        <s v="Angie Dickinson"/>
        <s v="Sarah Rafferty"/>
        <s v="David Bianchi"/>
        <s v="Shantel VanSanten"/>
        <s v="Brooke Newton"/>
        <s v="Jack Taylor"/>
        <s v="Stacy Keach"/>
        <s v="Cybill Shepherd"/>
        <s v="Matheus Nachtergaele"/>
        <s v="Glenn Ford"/>
        <s v="Michael Nouri"/>
        <s v="Patrick Bauchau"/>
        <s v="Patrick Brammall"/>
        <s v="Gregory Cruz"/>
        <s v="Paula Jai Parker"/>
        <s v="Joe E. Brown"/>
        <s v="Terry Kiser"/>
        <s v="Terry"/>
        <s v="Sanjay Dutt"/>
        <s v="Patricia Richardson"/>
        <s v="Kelly Reno"/>
        <s v="Neeru Bajwa"/>
        <s v="Frank Hvam"/>
        <s v="Cesar Romero"/>
        <s v="Ariane Schluter"/>
        <s v="Esther Williams"/>
        <s v="David Huddleston"/>
        <s v="Tom Everett"/>
        <s v="Agata Trzebuchowska"/>
        <s v="Laurie Metcalf"/>
        <s v="Gabrielle Reece"/>
        <s v="Nacho Vigalondo"/>
        <s v="Bo Huang"/>
        <s v="Nick Searcy"/>
        <s v="Joel Fuhrman"/>
        <s v="Alanna Ubach"/>
        <s v="Zackary Steven Graham"/>
        <s v="Melvyn Douglas"/>
        <s v="La'Princess Jackson"/>
        <s v="Michael Weston"/>
        <s v="Hans Weingartner"/>
        <s v="Michel Côté"/>
        <s v="Ato Essandoh"/>
        <s v="Christopher Simpson"/>
        <s v="Joshua Ormond"/>
        <s v="Elden Henson"/>
        <s v="Tal Bachman"/>
        <s v="Sheryl Crow"/>
        <s v="Diana Scarwid"/>
        <s v="Carly Schroeder"/>
        <s v="Emily Pearson"/>
        <s v="Anupam Kher"/>
        <s v="Rüdiger Vogler"/>
        <s v="Cecilia Pillado"/>
        <s v="Emmanuel Kabongo"/>
        <s v="Kevin Leslie"/>
        <s v="Basil Rathbone"/>
        <s v="Ava Gardner"/>
        <s v="Deems Taylor"/>
        <s v="Sebastian Aguilar"/>
        <s v="Dana Kimmell"/>
        <s v="Melanie Kinnaman"/>
        <s v="Louise Fletcher"/>
        <s v="Kayla Ewell"/>
        <s v="Greer Garson"/>
        <s v="Ethan Peck"/>
        <s v="Zohra Segal"/>
        <s v="Daniel Kash"/>
        <s v="Teresa Wright"/>
        <s v="Nick Stahl"/>
        <s v="Per Christian Ellefsen"/>
        <s v="Arturo Castro"/>
        <s v="Martha Higareda"/>
        <s v="David Proval"/>
        <s v="Michael Chapman"/>
        <s v="Maria Doyle Kennedy"/>
        <s v="Daniela Bianchi"/>
        <s v="Jessica Dublin"/>
        <s v="Alan Autry"/>
        <s v="John Beck"/>
        <s v="Ruby Harris"/>
        <s v="Brock Peters"/>
        <s v="Brendan Sexton III"/>
        <s v="Julia Taylor Ross"/>
        <s v="Ulrich Mühe"/>
        <s v="Alex Kendrick"/>
        <s v="Jackie Gleason"/>
        <s v="Spencer Tracy"/>
        <s v="Charles Linton"/>
        <s v="Irene Bedard"/>
        <s v="James Urbaniak"/>
        <s v="Albert Delpy"/>
        <s v="Jorge Salinas"/>
        <s v="Sarah Clarke"/>
        <s v="Celeste Holm"/>
        <s v="Shelley Waggener"/>
        <s v="Brendan Mackey"/>
        <s v="Don Ameche"/>
        <s v="Brad William Henke"/>
        <s v="George W. Bush"/>
        <s v="Emily Ratajkowski"/>
        <s v="Gano Grills"/>
        <s v="Leonor Varela"/>
        <s v="Tawny Kitaen"/>
        <s v="Peter Stickles"/>
        <s v="Ronny Dayag"/>
        <s v="Kirby Heyborne"/>
        <s v="Dick Cheney"/>
        <s v="Buzz Aldrin"/>
        <s v="Bill Maher"/>
        <s v="Manny Perez"/>
        <s v="Krysta Rodriguez"/>
        <s v="Isabelle Adjani"/>
        <s v="Nathan Parsons"/>
        <s v="Stephane Gauger"/>
        <s v="Bobby Deol"/>
        <s v="Neil Maskell"/>
        <s v="Caleb Landry Jones"/>
        <s v="Colin Ferguson"/>
        <s v="Sanjay Mishra"/>
        <s v="Jansen Panettiere"/>
        <s v="Kent McCord"/>
        <s v="Michael McLafferty"/>
        <s v="James Kyson"/>
        <s v="James Corden"/>
        <s v="Kenneth Nkosi"/>
        <s v="Sean Rogerson"/>
        <s v="Tommy Knight"/>
        <s v="William Lee Scott"/>
        <s v="Tim Rice"/>
        <s v="Charlotte Rae"/>
        <s v="Linus Roache"/>
        <s v="Mario Cimarro"/>
        <s v="Everett Sloane"/>
        <s v="Ben Schwartz"/>
        <s v="Lex Barker"/>
        <s v="Zero Mostel"/>
        <s v="Eddie Vedder"/>
        <s v="Kevin Alejandro"/>
        <s v="Wray Crawford"/>
        <s v="Michael Aaron Milligan"/>
        <s v="Anthony Edwards"/>
        <s v="Mike 'The Miz' Mizanin"/>
        <s v="Ahmed Hassan"/>
        <s v="Lizzie Brocheré"/>
        <s v="Remo"/>
        <s v="Philippe Petit"/>
        <s v="Peter Feeney"/>
        <s v="Adam Ratcliffe"/>
        <s v="Ashley Bell"/>
        <s v="Ana Claudia Talancón"/>
        <s v="Gina Montana"/>
        <s v="Paul Williams"/>
        <s v="David Patrick Kelly"/>
        <s v="Bill Irwin"/>
        <s v="T.R. Silambarasan"/>
        <s v="J.J. Abrams"/>
        <s v="Lhakpa Dorji"/>
        <s v="Jim Backus"/>
        <s v="Luke Edwards"/>
        <s v="Keenan Tracey"/>
        <s v="Ludger Pistor"/>
        <s v="Will Estes"/>
        <s v="CJ Adams"/>
        <s v="Chris Cleveland"/>
        <s v="Eugenio Derbez"/>
        <s v="Gordon Jump"/>
        <s v="Illeana Douglas"/>
        <s v="Natalie Press"/>
        <s v="Nimrat Kaur"/>
        <s v="Ann Miller"/>
        <s v="Donna Reed"/>
        <s v="Ben Johnson"/>
        <s v="Michael Welch"/>
        <s v="Clifton Powell"/>
        <s v="Lamman Rucker"/>
        <s v="Adel Karam"/>
        <s v="Pixie Davies"/>
        <s v="Lior Ashkenazi"/>
        <s v="Revathy"/>
        <s v="Jean-Paul Belmondo"/>
        <s v="Marisa Coughlan"/>
        <s v="Gage Golightly"/>
        <s v="Cheryl Hines"/>
        <s v="Donald Gibb"/>
        <s v="Jean Arthur"/>
        <s v="Leo Fitzpatrick"/>
        <s v="Elizabeth Meriwether"/>
        <s v="Jennifer Westfeldt"/>
        <s v="T.J. Storm"/>
        <s v="Rhonda Fleming"/>
        <s v="Gastón Pauls"/>
        <s v="Yuval Diskin"/>
        <s v="Alia Shawkat"/>
        <s v="Salvator Xuereb"/>
        <s v="Theresa Russell"/>
        <s v="Connor Paolo"/>
        <s v="Lisa Brave"/>
        <s v="Jeff Garlin"/>
        <s v="Stanley Blystone"/>
        <s v="Jim O'Heir"/>
        <s v="Jenny O'Hara"/>
        <s v="John Arcilla"/>
        <s v="Georgina Reilly"/>
        <s v="Joey Lauren Adams"/>
        <s v="Jaime Zevallos"/>
        <s v="Bruce Hopkins"/>
        <s v="Jon Hunter"/>
        <s v="Sarah Lind"/>
        <s v="Joe Armstrong"/>
        <s v="Amber Marshall"/>
        <s v="Johnny Messner"/>
        <s v="Balthazar Getty"/>
        <s v="Glen Powell"/>
        <s v="Billy Gilbert"/>
        <s v="Mercedes Morán"/>
        <s v="Gabriel Beristain"/>
        <s v="Christina Moore"/>
        <s v="Adam DiMarco"/>
        <s v="Léa Drucker"/>
        <s v="Jonathan Mangum"/>
        <s v="Michael Douglas"/>
        <s v="Paprika Steen"/>
        <s v="Kieu Chinh"/>
        <s v="Tucker Smallwood"/>
        <s v="Aziz Muradillayev"/>
        <s v="Lenore Zann"/>
        <s v="Uday Chopra"/>
        <s v="Bryan Callen"/>
        <s v="Chloe Bridges"/>
        <s v="Joan Fontaine"/>
        <s v="Adrienne King"/>
        <s v="Jane Wyman"/>
        <s v="Jenni Rivera"/>
        <s v="Jean Peters"/>
        <s v="Walter Pidgeon"/>
        <s v="Riley Keough"/>
        <s v="Elvis Nolasco"/>
        <s v="Laura San Giacomo"/>
        <s v="Vera Wilson"/>
        <s v="Randeep Hooda"/>
        <s v="John Forsythe"/>
        <s v="Nigel Bruce"/>
        <s v="Luigi Pistilli"/>
        <s v="Regina Casé"/>
        <s v="Marshall Allman"/>
        <s v="Coyote Shivers"/>
        <s v="Johnny Amaro"/>
        <s v="Antonio Arrué"/>
        <s v="Denise Boutte"/>
        <s v="Kristin Booth"/>
        <s v="Victor Zinck Jr."/>
        <s v="Cleavon Little"/>
        <s v="Sabrina Carmichael"/>
        <s v="Deirdre Lorenz"/>
        <s v="Dane Cook"/>
        <s v="Gary Stretch"/>
        <s v="John Jarratt"/>
        <s v="CindyMarie Small"/>
        <s v="Frank Rautenbach"/>
        <s v="Marilyn Norry"/>
        <s v="Yayan Ruhian"/>
        <s v="Anella Vastola"/>
        <s v="Claude Rains"/>
        <s v="Rosie Traynor"/>
        <s v="Shazahn Padamsee"/>
        <s v="Ron Rifkin"/>
        <s v="Burgess Meredith"/>
        <s v="Renee Olstead"/>
        <s v="Jack Lord"/>
        <s v="Ingrid Bolsø Berdal"/>
        <s v="Ashley Laurence"/>
        <s v="Robin Givens"/>
        <s v="Naomi Nishida"/>
        <s v="Claudiu Trandafir"/>
        <s v="Cynthia Myers"/>
        <s v="Neville Brand"/>
        <s v="Al Gore"/>
        <s v="Richard Jaeckel"/>
        <s v="Keith Richards"/>
        <s v="Alex Lawther"/>
        <s v="Eric Schlosser"/>
        <s v="Robert Amaya"/>
        <s v="Callie Thorne"/>
        <s v="Julia Garner"/>
        <s v="Jenny Slate"/>
        <s v="Michael O'Keefe"/>
        <s v="Lou Adler"/>
        <s v="Natasha Gregson Wagner"/>
        <s v="Phyllis Diller"/>
        <s v="Saul Williams"/>
        <s v="Frank Gerrish"/>
        <s v="Manoj Bajpayee"/>
        <s v="Dian Bachar"/>
        <s v="Nat Wolff"/>
        <s v="Scandar Copti"/>
        <s v="Cara Seymour"/>
        <s v="Herman Koto"/>
        <s v="Marv Albert"/>
        <s v="Rufus Graham"/>
        <s v="Tom Hamann"/>
        <s v="Brian Whitaker"/>
        <s v="Anil Kapoor"/>
        <s v="Patsy Kensit"/>
        <s v="Louis Mustillo"/>
        <s v="James Gunn"/>
        <s v="Emily Baldoni"/>
        <s v="Alexia Rasmussen"/>
        <s v="Paul Blackthorne"/>
        <s v="Vanilla Ice"/>
        <s v="Mariel Hemingway"/>
        <s v="Frank Whaley"/>
        <s v="Andrea Vergara"/>
        <s v="Ayesha Omar"/>
        <s v="Matt Walsh"/>
        <s v="A.J. Buckley"/>
        <s v="Lauren C. Mayhew"/>
        <s v="Eddie Albert"/>
        <s v="Janette Armand"/>
        <s v="Germán Alcarazu"/>
        <s v="Marlene Forte"/>
        <s v="Sticky Fingaz"/>
        <s v="Anslem Richardson"/>
        <s v="Alexander Vlahos"/>
        <s v="Pierre Dulat"/>
        <s v="Chloe Rose"/>
        <s v="Shona Kay"/>
        <s v="David DeLuise"/>
        <s v="Gia Mantegna"/>
        <s v="Mike Colter"/>
        <s v="Robert Kennedy Jr."/>
        <s v="Vlad Ivanov"/>
        <s v="Brian Dorton"/>
        <s v="G.J. Echternkamp"/>
        <s v="David Gallagher"/>
        <s v="Reza Sixo Safai"/>
        <s v="Melonie Diaz"/>
        <s v="Donnie Dunagan"/>
        <s v="Rian Bishop"/>
        <s v="Christophe Cherki"/>
        <s v="Janel Parrish"/>
        <s v="D. David Morin"/>
        <s v="Johnny Harris"/>
        <s v="Christopher Berry"/>
        <s v="Samaire Armstrong"/>
        <s v="Leila Hatami"/>
        <s v="Stephen McCole"/>
        <s v="Ken Leung"/>
        <s v="Todd Field"/>
        <s v="Francis Lederer"/>
        <s v="Melora Walters"/>
        <s v="Hilda Bernard"/>
        <s v="Tom Guiry"/>
        <s v="Eion Bailey"/>
        <s v="Kurt Angle"/>
        <s v="Stig Frode Henriksen"/>
        <s v="Larry Bagby"/>
        <s v="Alan Pietruszewski"/>
        <s v="Ron Howard"/>
        <s v="Katy Helvenston-Wettengal"/>
        <s v="Fred Armisen"/>
        <s v="Larry King"/>
        <s v="Jake Ryan"/>
        <s v="Stefania Sandrelli"/>
        <s v="Christel Khalil"/>
        <s v="Nichola Burley"/>
        <s v="Jennifer Lee Wiggins"/>
        <s v="Arthur Agee"/>
        <s v="Christopher Toler"/>
        <s v="Bruce Altman"/>
        <s v="Kara Hayward"/>
        <s v="Wesley Jonathan"/>
        <s v="Tristan Mack Wilds"/>
        <s v="Akima"/>
        <s v="Robinne Lee"/>
        <s v="Steffinnie Phrommany"/>
        <s v="Lee Armstrong"/>
        <s v="Dave Fennoy"/>
        <s v="Madison Lintz"/>
        <s v="Lorraine Ziff"/>
        <s v="Edward Everett Horton"/>
        <s v="Joshua Leonard"/>
        <s v="Jimi Hendrix"/>
        <s v="Barry Dennen"/>
        <s v="David A.R. White"/>
        <s v="Matthew Feeney"/>
        <s v="Angela Nordeng"/>
        <s v="Garba Touré"/>
        <s v="Colin Andrews"/>
        <s v="Félix Moati"/>
        <s v="Ringo Starr"/>
        <s v="Sally Kirkland"/>
        <s v="Spela Colja"/>
        <s v="Ken Bevel"/>
        <s v="Pant Shirt Baba"/>
        <s v="Peter Breck"/>
        <s v="Saul Stein"/>
        <s v="Hoke Howell"/>
        <s v="Eva Carrozza"/>
        <s v="Bill Clinton"/>
        <s v="Vince McMahon"/>
        <s v="Lincoln Hoppe"/>
        <s v="Zubaida Sahar"/>
        <s v="Peter Riegert"/>
        <s v="Ari Gold"/>
        <s v="Big Budah"/>
        <s v="William Katt"/>
        <s v="Heather Matarazzo"/>
        <s v="LisaRaye McCoy"/>
        <s v="Seymour Cassel"/>
        <s v="Ricky Jay"/>
        <s v="Minoru Chiaki"/>
        <s v="Greg Speirs"/>
        <s v="Tina Louise"/>
        <s v="Jake Sandvig"/>
        <s v="Jack Plotnick"/>
        <s v="Amber Benson"/>
        <s v="Whitney Able"/>
        <s v="Joanne Whalley"/>
        <s v="Ann Dowd"/>
        <s v="Christa B. Allen"/>
        <s v="Zheng Xu"/>
        <s v="Jacques Brel"/>
        <s v="Rai Alexandra"/>
        <s v="Bruce Vilanch"/>
        <s v="John McGlothlin"/>
        <s v="Tim Abell"/>
        <s v="Christian Alvarez"/>
        <s v="Randy Jay Burrell"/>
        <s v="Jennifer Landa"/>
        <s v="Joel Paul Reisig"/>
        <s v="Sarah Callan"/>
        <s v="Jeff Delaney"/>
        <s v="Mark Torgl"/>
        <s v="George T. Odom"/>
        <s v="Nicholas Farrell"/>
        <s v="Dennis L.A. White"/>
        <s v="Lloyd Kaufman"/>
        <s v="Cheyenne Jackson"/>
        <s v="Dick Powell"/>
        <s v="Jack Canfield"/>
        <s v="Taylor Nichols"/>
        <s v="Frida Hallgren"/>
        <s v="Ace Marrero"/>
        <s v="Eve Plumb"/>
        <s v="Ashley Palmer"/>
        <s v="Jay Adams"/>
        <s v="Jesse Garcia"/>
        <s v="Sue Corcoran"/>
        <s v="Jonathan Caouette"/>
        <s v="Chris Cox"/>
        <s v="Paul Elia"/>
        <s v="David Warbeck"/>
        <s v="Ron Lynch"/>
        <s v="Andrew Daly"/>
        <s v="Jeff Seymour"/>
        <s v="Roshan Seth"/>
        <s v="Michelle Nolden"/>
        <s v="Ingrid Thulin"/>
        <s v="Mae Marsh"/>
        <s v="DeForest Kelley"/>
        <s v="Bessie Love"/>
        <s v="Betsy Baker"/>
        <s v="Nora Arnezeder"/>
        <s v="Joe Bishop"/>
        <s v="Steve James"/>
        <s v="Ellen Block"/>
        <s v="Tracy Spiridakos"/>
        <s v="Natalie Welch"/>
        <s v="Lee J. Cobb"/>
        <s v="Alan Hale"/>
        <s v="Mary Tsoni"/>
        <s v="Gary Coleman"/>
        <s v="Janet McTeer"/>
        <s v="Zinedine Soualem"/>
        <s v="Mark Caven"/>
        <s v="Lucy"/>
        <s v="Anna Karina"/>
        <s v="Beatrice Ntuba"/>
        <s v="Gloria Foster"/>
        <s v="Eli Marienthal"/>
        <s v="Eddie Jones"/>
        <s v="Alexander Wraith"/>
        <s v="Elizabeth Stenholt"/>
        <s v="Wilhelm von Homburg"/>
        <s v="Joanna Cassidy"/>
        <s v="Pierre Prieur"/>
        <s v="Carmen Argenziano"/>
        <s v="Matt Servitto"/>
        <s v="Jason Tobin"/>
        <s v="Mike White"/>
        <s v="Rizwan Manji"/>
        <s v="Nicholas Simmons"/>
        <s v="Bill Martone"/>
        <s v="Anne Archer"/>
        <s v="Charlie Bewley"/>
        <s v="Clint Jordan"/>
        <s v="Gus Van Sant"/>
        <s v="James Norton"/>
        <s v="Flaco Navaja"/>
        <s v="Natalie Canerday"/>
        <s v="Luke Mably"/>
        <s v="Samantha Buck"/>
        <s v="Mark Hengst"/>
        <s v="Lorne Cardinal"/>
        <s v="Marty Lindsey"/>
        <s v="Derek Brandon"/>
        <s v="Kate Flannery"/>
        <s v="June Lockhart"/>
        <s v="Steve Duin"/>
        <s v="Brit Morgan"/>
        <s v="Dana Blackstone"/>
        <s v="Renée Adorée"/>
        <s v="Jacob Zachar"/>
        <s v="Brock Baker"/>
        <s v="James Lance"/>
        <s v="Vivian Lamolli"/>
        <s v="Donald Austin"/>
        <s v="Nancy Ison"/>
        <s v="Cecil Kellaway"/>
        <s v="Steve Bisley"/>
        <s v="Alex Désert"/>
        <s v="Gian Maria Volontè"/>
        <s v="Gilbert Roland"/>
        <s v="Jasper Johal"/>
        <s v="Chris Thomas"/>
        <s v="Sebastian Schipper"/>
        <s v="Leo Rossi"/>
        <s v="Natasha Bedingfield"/>
        <s v="Stevan Mena"/>
        <s v="Adam Rifkin"/>
        <s v="Ryan Kennedy"/>
        <s v="Jennifer Lafleur"/>
        <s v="Victoria Lachelle"/>
        <s v="Bertrand Cantat"/>
        <s v="Sylvia Eckhausen"/>
        <s v="Evelyn Jefferson"/>
        <s v="Jordan Bridges"/>
        <s v="Chase Masterson"/>
        <s v="Robert Turano"/>
        <s v="Robin Bartlett"/>
        <s v="Alex Emanuel"/>
        <s v="Amir Farrokh Hashemian"/>
        <s v="Chris New"/>
        <s v="Joie Lee"/>
        <s v="Stacie Evans"/>
        <s v="Ana Maria Guran"/>
        <s v="William Mapother"/>
        <s v="Joe Lev"/>
        <s v="Aaron Stanford"/>
        <s v="Markéta Irglová"/>
        <s v="Eugene Roche"/>
        <s v="Rowan Isaacson"/>
        <s v="Martin Compston"/>
        <s v="Bill Allen"/>
        <s v="Bill Melendez"/>
        <s v="Hugh Ducklow"/>
        <s v="Jesse Jane"/>
        <s v="Xinhua Jiang"/>
        <s v="Pat Boone"/>
        <s v="Hassan Johnson"/>
        <s v="Mike Birbiglia"/>
        <s v="Valentine"/>
        <s v="Macha Méril"/>
        <s v="Erin Bethea"/>
        <s v="Cassidy Gifford"/>
        <s v="Jack Nance"/>
        <s v="Johnnie Walker"/>
        <s v="Keenen Ivory Wayans"/>
        <s v="Chuck Mitchell"/>
        <s v="Brian Howe"/>
        <s v="Gabriela Castillo"/>
        <s v="Edmund McMillen"/>
        <s v="Adam Rayner"/>
        <s v="John Ireland"/>
        <s v="Hugh Mun"/>
        <s v="Trevor Howard"/>
        <s v="Dottie Alexander"/>
        <s v="Seth Ackerman"/>
        <s v="Clint Mansell"/>
        <s v="Meredith Scott Lynn"/>
        <s v="Tom Ardavany"/>
        <s v="Steve Diasparra"/>
        <s v="Amanda Kearsan"/>
        <s v="Sean Whalen"/>
        <s v="Lena Dunham"/>
        <s v="Jason Evers"/>
        <s v="Vincent Duvall"/>
        <s v="Courtney Bell"/>
        <s v="Michael McGlone"/>
        <s v="Shailene Garnett"/>
        <s v="Sonia Braga"/>
        <s v="Jeremy Sande"/>
        <s v="Chelse Swain"/>
        <s v="David Mersault"/>
        <s v="Olivia Cooke"/>
        <s v="Greg Aronowitz"/>
        <s v="Paul Eenhoorn"/>
        <s v="Jon Gries"/>
        <s v="Eddie Rouse"/>
        <s v="Christa Miller"/>
        <s v="Johnny Walter"/>
        <s v="Patricia Raven"/>
        <s v="Levon Helm"/>
        <s v="Thomas Brophy"/>
        <s v="Kirpatrick Thomas"/>
        <s v="Kate Dollenmayer"/>
        <s v="Ron Gelner"/>
        <s v="Tony Way"/>
        <s v="Brian O'Halloran"/>
        <s v="Bobby Kendall"/>
        <s v="Panchito Gómez"/>
        <s v="Katharine Isabelle"/>
        <s v="Richard Linklater"/>
        <s v="Mikaal Bates"/>
        <s v="Suzi Lorraine"/>
        <s v="Lisa Arnold"/>
        <s v="Alana Kaniewski"/>
        <s v="Katie Aselton"/>
        <s v="Olwenya Maina"/>
        <s v="Heather Burns"/>
        <s v="Jason Trost"/>
        <s v="Mink Stole"/>
        <s v="Béatrice Dalle"/>
        <s v="Nargess Mamizadeh"/>
        <s v="Michael Parle"/>
        <s v="Anna Nakagawa"/>
        <s v="Michael Cortez"/>
        <s v="Joe Coffey"/>
        <s v="Stanley B. Herman"/>
        <s v="David Sullivan"/>
        <s v="Edgar Tancangco"/>
        <s v="Peter Marquardt"/>
        <s v="John Considine"/>
        <s v="Caitlin FitzGerald"/>
        <s v="Daphne Zuniga"/>
        <s v="Valorie Curry"/>
        <s v="Maxwell Moody"/>
        <s v="Brian Herzlinger"/>
      </sharedItems>
    </cacheField>
    <cacheField name="actor_3_name" numFmtId="0">
      <sharedItems containsBlank="1" count="3522">
        <s v="Wes Studi"/>
        <s v="Jack Davenport"/>
        <s v="Stephanie Sigman"/>
        <s v="Joseph Gordon-Levitt"/>
        <m/>
        <s v="Polly Walker"/>
        <s v="Kirsten Dunst"/>
        <s v="M.C. Gainey"/>
        <s v="Scarlett Johansson"/>
        <s v="Rupert Grint"/>
        <s v="Alan D. Purwin"/>
        <s v="Frank Langella"/>
        <s v="Rory Kinnear"/>
        <s v="Tom Wilkinson"/>
        <s v="Harry Lennix"/>
        <s v="Damián Alcázar"/>
        <s v="Stephen Graham"/>
        <s v="Nicole Scherzinger"/>
        <s v="James Nesbitt"/>
        <s v="Chris Zylka"/>
        <s v="Scott Grimes"/>
        <s v="Kristin Scott Thomas"/>
        <s v="Evan Parke"/>
        <s v="Gloria Stuart"/>
        <s v="Chris Evans"/>
        <s v="Tadanobu Asano"/>
        <s v="Omar Sy"/>
        <s v="Don Cheadle"/>
        <s v="Anne Hathaway"/>
        <s v="Daniel Cudmore"/>
        <s v="Sean Hayes"/>
        <s v="Ramon Rodriguez"/>
        <s v="Kelsey Grammer"/>
        <s v="James Franco"/>
        <s v="B.J. Novak"/>
        <s v="James Frain"/>
        <s v="Eddie Izzard"/>
        <s v="Taika Waititi"/>
        <s v="Don Rickles"/>
        <s v="Common"/>
        <s v="Vin Diesel"/>
        <s v="Mireille Enos"/>
        <s v="Hugh Jackman"/>
        <s v="Noel Clarke"/>
        <s v="Ralph Brown"/>
        <s v="Steve Bisley"/>
        <s v="Reece Ritchie"/>
        <s v="Larry Joe Campbell"/>
        <s v="Kevin Dunn"/>
        <s v="Jim Broadbent"/>
        <s v="Peter Sohn"/>
        <s v="Julie Walters"/>
        <s v="Lydia Wilson"/>
        <s v="Jeff Garlin"/>
        <s v="Noémie Lenoir"/>
        <s v="Tom McCarthy"/>
        <s v="Gary Oldman"/>
        <s v="Eddie Redmayne"/>
        <s v="Casper Crump"/>
        <s v="Shane Rangi"/>
        <s v="Tye Sheridan"/>
        <s v="Morgan Freeman"/>
        <s v="Jess Harnell"/>
        <s v="Stephen Colbert"/>
        <s v="Jon Favreau"/>
        <s v="Ray Winstone"/>
        <s v="Bai Ling"/>
        <s v="Russell Wong"/>
        <s v="Ike Barinholtz"/>
        <s v="Steve Carell"/>
        <s v="Noah Taylor"/>
        <s v="Zakes Mokae"/>
        <s v="Leo Howard"/>
        <s v="Phyllis Smith"/>
        <s v="Garry Shandling"/>
        <s v="Sam Claflin"/>
        <s v="Sam Riley"/>
        <s v="Kodi Smit-McPhee"/>
        <s v="Bipasha Basu"/>
        <s v="Jin Akanishi"/>
        <s v="Hayley Atwell"/>
        <s v="Mary Kay Place"/>
        <s v="Thomas Robinson"/>
        <s v="Abraham Benrubi"/>
        <s v="Joe Lo Truglio"/>
        <s v="Peter Scolari"/>
        <s v="Judd Hirsch"/>
        <s v="Craig Ferguson"/>
        <s v="Carolyn Hennesy"/>
        <s v="Djimon Hounsou"/>
        <s v="Mackenzie Foy"/>
        <s v="Atsuko Maeda"/>
        <s v="Jordana Brewster"/>
        <s v="Julia Ormond"/>
        <s v="Oliver Platt"/>
        <s v="Josh Hutcherson"/>
        <s v="Robert Capron"/>
        <s v="Andre Braugher"/>
        <s v="Rupert Everett"/>
        <s v="Ruth Negga"/>
        <s v="Matt Smith"/>
        <s v="Laura Brent"/>
        <s v="Mako"/>
        <s v="Brian Blessed"/>
        <s v="Fiona Shaw"/>
        <s v="Eddie Marsan"/>
        <s v="Willow Smith"/>
        <s v="David Kelly"/>
        <s v="Brian Dennehy"/>
        <s v="Cedric the Entertainer"/>
        <s v="Steve Coogan"/>
        <s v="Dominic Monaghan"/>
        <s v="Nona Gaye"/>
        <s v="Livvy Stubenrauch"/>
        <s v="Helmut Bakaitis"/>
        <s v="Anthony Hopkins"/>
        <s v="Zoë Kravitz"/>
        <s v="Armin Mueller-Stahl"/>
        <s v="James Lipton"/>
        <s v="Niecy Nash"/>
        <s v="Lily James"/>
        <s v="Christopher Lee"/>
        <s v="Sean Harris"/>
        <s v="Art Malik"/>
        <s v="Rip Torn"/>
        <s v="Mike Bell"/>
        <s v="Aasif Mandvi"/>
        <s v="Matt Craven"/>
        <s v="Tom Everett Scott"/>
        <s v="David Suchet"/>
        <s v="Nonso Anozie"/>
        <s v="Karan Brar"/>
        <s v="Julian Glover"/>
        <s v="Rick Yune"/>
        <s v="Zach Woods"/>
        <s v="Will Patton"/>
        <s v="Sebastian Roché"/>
        <s v="Wayne Knight"/>
        <s v="Michael Nyqvist"/>
        <s v="Khamani Griffin"/>
        <s v="David Herman"/>
        <s v="Chad Lindberg"/>
        <s v="Ben Mendelsohn"/>
        <s v="Bruce Greenwood"/>
        <s v="America Ferrera"/>
        <s v="Bryan Brown"/>
        <s v="Richard Roxburgh"/>
        <s v="Stephen McHattie"/>
        <s v="Darlene Love"/>
        <s v="Celia Weston"/>
        <s v="Elodie Yung"/>
        <s v="Delroy Lindo"/>
        <s v="Jean Simmons"/>
        <s v="Desmond Llewelyn"/>
        <s v="David Threlfall"/>
        <s v="Taylor Lautner"/>
        <s v="William Hurt"/>
        <s v="John Diehl"/>
        <s v="Rafe Spall"/>
        <s v="Lukas Haas"/>
        <s v="Ben Schwartz"/>
        <s v="Stephen Root"/>
        <s v="Andy Richter"/>
        <s v="Albert Finney"/>
        <s v="Dan Fogler"/>
        <s v="T.I."/>
        <s v="Sandra Ellis Lafferty"/>
        <s v="April Winchell"/>
        <s v="Rick Gonzalez"/>
        <s v="Jordi Mollà"/>
        <s v="Amy Sedaris"/>
        <s v="August Diehl"/>
        <s v="Logan Lerman"/>
        <s v="Tony Curran"/>
        <s v="Eddie Baroo"/>
        <s v="Glenn Morshower"/>
        <s v="Della Reese"/>
        <s v="Ralph Ineson"/>
        <s v="Will Ferrell"/>
        <s v="Verne Troyer"/>
        <s v="Stephanie Szostak"/>
        <s v="Alfred Enoch"/>
        <s v="Jürgen Prochnow"/>
        <s v="Jeffrey Garcia"/>
        <s v="Aaron Stanford"/>
        <s v="Dwayne Johnson"/>
        <s v="Paul Anderson"/>
        <s v="Alexa Davalos"/>
        <s v="Marshall Bell"/>
        <s v="Clive Russell"/>
        <s v="Stacy Keach"/>
        <s v="John Glover"/>
        <s v="Molly Shannon"/>
        <s v="Sela Ward"/>
        <s v="Bob Gunton"/>
        <s v="Tabu"/>
        <s v="Peter Fonda"/>
        <s v="Ato Essandoh"/>
        <s v="Justin Theroux"/>
        <s v="Melanie Griffith"/>
        <s v="Alice Braga"/>
        <s v="Christina Cox"/>
        <s v="Jennifer Ehle"/>
        <s v="Nicholas Elia"/>
        <s v="Teyonah Parris"/>
        <s v="Zoë Bell"/>
        <s v="Hayden Christensen"/>
        <s v="James Coburn"/>
        <s v="Rila Fukushima"/>
        <s v="Ian McDiarmid"/>
        <s v="Nicolas Cage"/>
        <s v="Vanessa Hessler"/>
        <s v="Noah Emmerich"/>
        <s v="Charlize Theron"/>
        <s v="Jeremy Howard"/>
        <s v="Amy Warren"/>
        <s v="Tzi Ma"/>
        <s v="Brad Garrett"/>
        <s v="Tim Heidecker"/>
        <s v="Archie Panjabi"/>
        <s v="Joe Don Baker"/>
        <s v="Mini Anden"/>
        <s v="Stephanie March"/>
        <s v="Mekhi Phifer"/>
        <s v="Frances Conroy"/>
        <s v="Olly Alexander"/>
        <s v="Chad L. Coleman"/>
        <s v="Dwight Schultz"/>
        <s v="Peter Mensah"/>
        <s v="Madison McKinley"/>
        <s v="G.W. Bailey"/>
        <s v="Olga Fonda"/>
        <s v="Vanessa Matsui"/>
        <s v="Lois Chiles"/>
        <s v="Aramis Knight"/>
        <s v="Cyril Raffaelli"/>
        <s v="Billy Boyd"/>
        <s v="Cécile De France"/>
        <s v="Joe Morton"/>
        <s v="Spencer Breslin"/>
        <s v="Chi McBride"/>
        <s v="Philip Glenister"/>
        <s v="Jeffrey Jones"/>
        <s v="Anika Noni Rose"/>
        <s v="Benedict Wong"/>
        <s v="Robert Duvall"/>
        <s v="Oliver Reed"/>
        <s v="Jessica Capshaw"/>
        <s v="Emma Watson"/>
        <s v="Ivana Milicevic"/>
        <s v="Erick Avari"/>
        <s v="S. Epatha Merkerson"/>
        <s v="RZA"/>
        <s v="Tom Arnold"/>
        <s v="Michael Rispoli"/>
        <s v="Teri Polo"/>
        <s v="Derek Jeter"/>
        <s v="Roma Maffia"/>
        <s v="Bill Fagerbakke"/>
        <s v="John Fiedler"/>
        <s v="Bruce Willis"/>
        <s v="Annie Parisse"/>
        <s v="Gary Lewis"/>
        <s v="Max Records"/>
        <s v="Troy Evans"/>
        <s v="Rufus Sewell"/>
        <s v="Udo Kier"/>
        <s v="Stephen Collins"/>
        <s v="Debi Mazar"/>
        <s v="Seth Gilliam"/>
        <s v="Anthony LaPaglia"/>
        <s v="Alex Borstein"/>
        <s v="Ingrid Bolsø Berdal"/>
        <s v="Michael Wincott"/>
        <s v="Bobb'e J. Thompson"/>
        <s v="Harrison Ford"/>
        <s v="Ben Stein"/>
        <s v="Frank Dillane"/>
        <s v="Burt Young"/>
        <s v="Igal Naor"/>
        <s v="Bill Melendez"/>
        <s v="Campbell Scott"/>
        <s v="Patricia Velasquez"/>
        <s v="Shigeo Kobayashi"/>
        <s v="Jon Heder"/>
        <s v="Roger Bart"/>
        <s v="Ewen Bremner"/>
        <s v="Katherine LaNasa"/>
        <s v="Kristin Davis"/>
        <s v="Elton John"/>
        <s v="Drake"/>
        <s v="Bernard Hill"/>
        <s v="Olivia Williams"/>
        <s v="Chris Barrie"/>
        <s v="Clifton Collins Jr."/>
        <s v="Alessandro Nivola"/>
        <s v="Tyler Labine"/>
        <s v="Joan Plowright"/>
        <s v="Megalyn Echikunwoke"/>
        <s v="Lou Romano"/>
        <s v="Matthew Modine"/>
        <s v="Linda Fiorentino"/>
        <s v="Ethan Suplee"/>
        <s v="Harris Yulin"/>
        <s v="Miranda Otto"/>
        <s v="Al Roker"/>
        <s v="Kelly Keaton"/>
        <s v="Joey Slotnick"/>
        <s v="Kelly Lynch"/>
        <s v="June Foray"/>
        <s v="Brandon T. Jackson"/>
        <s v="Joely Richardson"/>
        <s v="Kevin Chamberlin"/>
        <s v="Robert Maillet"/>
        <s v="Moises Arias"/>
        <s v="Cree Summer"/>
        <s v="Jesse McCartney"/>
        <s v="Thomas Kretschmann"/>
        <s v="Kevin Nealon"/>
        <s v="Josh Gad"/>
        <s v="Kevin Sussman"/>
        <s v="Marc John Jefferies"/>
        <s v="Larry King"/>
        <s v="Michael Wright"/>
        <s v="Sanaa Lathan"/>
        <s v="Velibor Topic"/>
        <s v="Catherine McCormack"/>
        <s v="Kim Delaney"/>
        <s v="Will.i.am"/>
        <s v="John Michael Higgins"/>
        <s v="Gaby Hoffmann"/>
        <s v="Natascha McElhone"/>
        <s v="Lex Shrapnel"/>
        <s v="Sandahl Bergman"/>
        <s v="Rosemarie DeWitt"/>
        <s v="Richard E. Grant"/>
        <s v="Michael O'Neill"/>
        <s v="Jami Gertz"/>
        <s v="Nick Searcy"/>
        <s v="Elizabeth Daily"/>
        <s v="Oksana Akinshina"/>
        <s v="Dean Stockwell"/>
        <s v="Elliott Gould"/>
        <s v="Orlando Bloom"/>
        <s v="Jon Lovitz"/>
        <s v="Fred Tatasciore"/>
        <s v="Hettienne Park"/>
        <s v="Sam Shepard"/>
        <s v="Jim Carter"/>
        <s v="Sarah Parish"/>
        <s v="Lisa Bonet"/>
        <s v="Zoe Kazan"/>
        <s v="Brad Pitt"/>
        <s v="Jane Krakowski"/>
        <s v="Clemens Schick"/>
        <s v="Karl Yune"/>
        <s v="Nikki Griffin"/>
        <s v="Michael Palin"/>
        <s v="Jake Weber"/>
        <s v="Jsu Garcia"/>
        <s v="Max Wright"/>
        <s v="Danny Woodburn"/>
        <s v="Ellen Wong"/>
        <s v="Rekha Sharma"/>
        <s v="Chris Elliott"/>
        <s v="Miguel A. Núñez Jr."/>
        <s v="Rakie Ayola"/>
        <s v="Julie Kavner"/>
        <s v="Adrienne Barbeau"/>
        <s v="Katt Williams"/>
        <s v="Tom Hulce"/>
        <s v="Brian Steele"/>
        <s v="Anthony Edwards"/>
        <s v="Tony Goldwyn"/>
        <s v="Lisa Ann Walter"/>
        <s v="Jet Li"/>
        <s v="Vanessa Redgrave"/>
        <s v="Anthony Reynolds"/>
        <s v="Mike Tyson"/>
        <s v="Andrew Bryniarski"/>
        <s v="Catherine O'Hara"/>
        <s v="David Ogden Stiers"/>
        <s v="Oprah Winfrey"/>
        <s v="Garrick Hagon"/>
        <s v="Dalip Singh"/>
        <s v="Lauren Gottlieb"/>
        <s v="Paul Michael Glaser"/>
        <s v="Nellie Sciutto"/>
        <s v="Katy Mixon"/>
        <s v="Paula Abdul"/>
        <s v="Joan Allen"/>
        <s v="Kathryn Joosten"/>
        <s v="Liam Aiken"/>
        <s v="Charlie Cox"/>
        <s v="Dave Chappelle"/>
        <s v="Cameron Boyce"/>
        <s v="Charlie Hunnam"/>
        <s v="Sam Lloyd"/>
        <s v="Virginia Madsen"/>
        <s v="Michael Jordan"/>
        <s v="William Abadie"/>
        <s v="Juan Riedinger"/>
        <s v="Michael Potts"/>
        <s v="Jim Parrack"/>
        <s v="Josh Robert Thompson"/>
        <s v="Zahn McClarnon"/>
        <s v="Nicholas Turturro"/>
        <s v="June Lockhart"/>
        <s v="Jose Pablo Cantillo"/>
        <s v="Michael Brandon"/>
        <s v="Fran Drescher"/>
        <s v="Dick York"/>
        <s v="Russi Taylor"/>
        <s v="Josh Stamberg"/>
        <s v="David Paymer"/>
        <s v="Adrian Alonso"/>
        <s v="Rosalind Chao"/>
        <s v="Michael McKean"/>
        <s v="Mackenzie Crook"/>
        <s v="Julie-Marie Parmentier"/>
        <s v="Bart the Bear"/>
        <s v="Boris Kodjoe"/>
        <s v="Bruce Thomas"/>
        <s v="Amy Brenneman"/>
        <s v="Madison Rothschild"/>
        <s v="John Topor"/>
        <s v="Heather Locklear"/>
        <s v="Andrea Di Stefano"/>
        <s v="Ethan Embry"/>
        <s v="Larenz Tate"/>
        <s v="Glenne Headly"/>
        <s v="Lotte Verbeek"/>
        <s v="Tom Sizemore"/>
        <s v="Penny Balfour"/>
        <s v="Rie Miyazawa"/>
        <s v="Jemima Rooper"/>
        <s v="Dylan Schombing"/>
        <s v="Ben Diskin"/>
        <s v="Niketa Calame"/>
        <s v="Melissa Sturm"/>
        <s v="Emily Watson"/>
        <s v="Tim Meadows"/>
        <s v="Mo Gallini"/>
        <s v="Jeremy Northam"/>
        <s v="Jonathan Winters"/>
        <s v="Albert Brooks"/>
        <s v="Mary McDonnell"/>
        <s v="Vanessa Lee Chester"/>
        <s v="Rita Davies"/>
        <s v="Bruce Davison"/>
        <s v="Bokeem Woodbine"/>
        <s v="Jay Leno"/>
        <s v="Allen Covert"/>
        <s v="Paul Dooley"/>
        <s v="Izabella Scorupco"/>
        <s v="Michael Kelly"/>
        <s v="Salma Hayek"/>
        <s v="Barry Shabaka Henley"/>
        <s v="Charles Halford"/>
        <s v="Yvette Nicole Brown"/>
        <s v="Jud Tylor"/>
        <s v="Angelina Jolie Pitt"/>
        <s v="Damian Lewis"/>
        <s v="Mathieu Amalric"/>
        <s v="Cole Hauser"/>
        <s v="Christian Berkel"/>
        <s v="Sarah Steele"/>
        <s v="Azura Skye"/>
        <s v="John Gielgud"/>
        <s v="Randall Duk Kim"/>
        <s v="Steve Byers"/>
        <s v="Ransford Doherty"/>
        <s v="Nathan Lane"/>
        <s v="Lena Olin"/>
        <s v="Jason Scott Lee"/>
        <s v="Lou Taylor Pucci"/>
        <s v="Megan Mullally"/>
        <s v="Scott Glenn"/>
        <s v="John Heard"/>
        <s v="Huey Lewis"/>
        <s v="Keegan-Michael Key"/>
        <s v="Alexis Dziena"/>
        <s v="Maude Apatow"/>
        <s v="Tim McGraw"/>
        <s v="Gary Cole"/>
        <s v="Kevin Pollak"/>
        <s v="James Robinson"/>
        <s v="James Morrison"/>
        <s v="Marcia Wallace"/>
        <s v="Jeffrey DeMunn"/>
        <s v="Cristián de la Fuente"/>
        <s v="Oanh Nguyen"/>
        <s v="Peter Boyle"/>
        <s v="Cherry Jones"/>
        <s v="Conrad Vernon"/>
        <s v="George Carlin"/>
        <s v="Hector Elizondo"/>
        <s v="Leila Arcieri"/>
        <s v="Eddie Deezen"/>
        <s v="Rene Russo"/>
        <s v="Christoph Waltz"/>
        <s v="Bob Hoskins"/>
        <s v="Franco Nero"/>
        <s v="LL Cool J"/>
        <s v="Lyndie Greenwood"/>
        <s v="Bob Balaban"/>
        <s v="Raoul Bova"/>
        <s v="Chris Klein"/>
        <s v="Radha Mitchell"/>
        <s v="Michael Dorn"/>
        <s v="Ron Rifkin"/>
        <s v="Mary Elizabeth Mastrantonio"/>
        <s v="John Buffalo Mailer"/>
        <s v="Zach McGowan"/>
        <s v="Mark Valley"/>
        <s v="Nathaniel Parker"/>
        <s v="Victor Wong"/>
        <s v="Chelcie Ross"/>
        <s v="Garcelle Beauvais"/>
        <s v="Dexter Fletcher"/>
        <s v="Tate Taylor"/>
        <s v="Sandrine Holt"/>
        <s v="Celina Beach"/>
        <s v="Rory Cochrane"/>
        <s v="Gregg Henry"/>
        <s v="Randy Quaid"/>
        <s v="David Hyde Pierce"/>
        <s v="Jim Belushi"/>
        <s v="Brandon Molale"/>
        <s v="Neil Maskell"/>
        <s v="Matt Gerald"/>
        <s v="Gaia Weiss"/>
        <s v="Philip Baker Hall"/>
        <s v="Anna Kendrick"/>
        <s v="Gary Farmer"/>
        <s v="Jack McBrayer"/>
        <s v="Aida Turturro"/>
        <s v="Seth MacFarlane"/>
        <s v="Rupert Evans"/>
        <s v="Stephen Merchant"/>
        <s v="Graham McTavish"/>
        <s v="Michael Gaston"/>
        <s v="Benjamin Walker"/>
        <s v="Maury Chaykin"/>
        <s v="Nancy Travis"/>
        <s v="Owen Teale"/>
        <s v="Matt Damon"/>
        <s v="Loretta Devine"/>
        <s v="Denis Leary"/>
        <s v="Reece Thompson"/>
        <s v="Bruce McGill"/>
        <s v="Gloria Foster"/>
        <s v="Kathleen Quinlan"/>
        <s v="Eric Lloyd"/>
        <s v="Andrea Savage"/>
        <s v="Stuart Wilson"/>
        <s v="Matt Walsh"/>
        <s v="Alex Russell"/>
        <s v="William Devane"/>
        <s v="Janine Turner"/>
        <s v="Daniel von Bargen"/>
        <s v="Armando Riesco"/>
        <s v="Marian Seldes"/>
        <s v="Horatio Sanz"/>
        <s v="Sydney Pollack"/>
        <s v="David Zayas"/>
        <s v="Gerald McRaney"/>
        <s v="Warren Christie"/>
        <s v="William Smith"/>
        <s v="Paul Guilfoyle"/>
        <s v="Bingbing Li"/>
        <s v="Yvonne Zima"/>
        <s v="Michael Kitchen"/>
        <s v="Jonah Bobo"/>
        <s v="Eugenie Bondurant"/>
        <s v="Brian Geraghty"/>
        <s v="Frances O'Connor"/>
        <s v="Richard Schiff"/>
        <s v="Tony Noble"/>
        <s v="Goran Visnjic"/>
        <s v="Eva Green"/>
        <s v="Bill Cobbs"/>
        <s v="Tom Goodman-Hill"/>
        <s v="Simon Chandler"/>
        <s v="Robert Wagner"/>
        <s v="Dee Bradley Baker"/>
        <s v="Bob Peck"/>
        <s v="Isabella Rossellini"/>
        <s v="Raymond Cruz"/>
        <s v="Sung-jun Yoo"/>
        <s v="John Witherspoon"/>
        <s v="David Keith"/>
        <s v="Wendie Malick"/>
        <s v="Ice-T"/>
        <s v="Chelsea Handler"/>
        <s v="Vincent Regan"/>
        <s v="Haley Bennett"/>
        <s v="Michael Jeter"/>
        <s v="Drew Sidora"/>
        <s v="Emily Ratajkowski"/>
        <s v="Nicky Naudé"/>
        <s v="Tchéky Karyo"/>
        <s v="Clarence Williams III"/>
        <s v="Peter Krause"/>
        <s v="Eden Riegel"/>
        <s v="Fred Ward"/>
        <s v="Miriam Margolyes"/>
        <s v="Jimmy Shubert"/>
        <s v="Dana Ivey"/>
        <s v="Anne Bancroft"/>
        <s v="Tasha Smith"/>
        <s v="Alyson Stoner"/>
        <s v="Rosa Salazar"/>
        <s v="Billy Crudup"/>
        <s v="Amber Valletta"/>
        <s v="Jaqueline Fleming"/>
        <s v="Jessalyn Gilsig"/>
        <s v="Jacinda Barrett"/>
        <s v="David Oyelowo"/>
        <s v="Saffron Burrows"/>
        <s v="Judith Hill"/>
        <s v="Griffin Kane"/>
        <s v="Bill Hunter"/>
        <s v="John Hodgman"/>
        <s v="Kristen Connolly"/>
        <s v="Giancarlo Giannini"/>
        <s v="Fred Williamson"/>
        <s v="Jake Lloyd"/>
        <s v="Elaine Stritch"/>
        <s v="Sophie Okonedo"/>
        <s v="Callum Rennie"/>
        <s v="Adhir Kalyan"/>
        <s v="Ritchie Coster"/>
        <s v="Patrick Kilpatrick"/>
        <s v="Gemma Chan"/>
        <s v="Bradley Cooper"/>
        <s v="Julian Kostov"/>
        <s v="Louis Ferreira"/>
        <s v="Tracy Morgan"/>
        <s v="Stockard Channing"/>
        <s v="Alison Brie"/>
        <s v="Treat Williams"/>
        <s v="Matthew McConaughey"/>
        <s v="Wade Williams"/>
        <s v="Xander Berkeley"/>
        <s v="Leleti Khumalo"/>
        <s v="Michael Weston"/>
        <s v="Denis O'Hare"/>
        <s v="Michael Lerner"/>
        <s v="Martin Donovan"/>
        <s v="James Corden"/>
        <s v="Jonathan Frakes"/>
        <s v="Julia Duffy"/>
        <s v="Chi Muoi Lo"/>
        <s v="Joe Viterelli"/>
        <s v="50 Cent"/>
        <s v="Carrie Preston"/>
        <s v="Rachael Harris"/>
        <s v="Michael Angarano"/>
        <s v="Ben Falcone"/>
        <s v="Xzibit"/>
        <s v="Jacob Hopkins"/>
        <s v="Timothy West"/>
        <s v="Mike Starr"/>
        <s v="Philip Winchester"/>
        <s v="Michael Irby"/>
        <s v="Vanessa Marshall"/>
        <s v="Kevin Corrigan"/>
        <s v="CCH Pounder"/>
        <s v="Shawn Christian"/>
        <s v="Ariel Gade"/>
        <s v="Clint Howard"/>
        <s v="Jamie Foreman"/>
        <s v="Louis Lombardi"/>
        <s v="Ulrich Thomsen"/>
        <s v="Tania Saulnier"/>
        <s v="Eddie Peng"/>
        <s v="Paolo Montalban"/>
        <s v="Stefan Kapicic"/>
        <s v="Eric McCormack"/>
        <s v="Keir O'Donnell"/>
        <s v="Ken Marino"/>
        <s v="Caroline Rhea"/>
        <s v="Willie Garson"/>
        <s v="Richard Crenna"/>
        <s v="Matt Bushell"/>
        <s v="Kevin Brown"/>
        <s v="Rob Riggle"/>
        <s v="Shawn Roberts"/>
        <s v="Tristan Mack Wilds"/>
        <s v="Cynthia Nixon"/>
        <s v="Will Forte"/>
        <s v="Terry O'Neill"/>
        <s v="Chris Penn"/>
        <s v="Christopher Lambert"/>
        <s v="Mihalis Giannatos"/>
        <s v="Brian Austin Green"/>
        <s v="Tate Donovan"/>
        <s v="Michael Bowen"/>
        <s v="Sam Anderson"/>
        <s v="Matthew Gray Gubler"/>
        <s v="Irene Bedard"/>
        <s v="Ned Beatty"/>
        <s v="Holland Taylor"/>
        <s v="Fred Willard"/>
        <s v="Michael Chernus"/>
        <s v="Cathy Moriarty"/>
        <s v="James Wilcox"/>
        <s v="Natasha Richardson"/>
        <s v="Ricky Schroder"/>
        <s v="James Karen"/>
        <s v="Haley Ramm"/>
        <s v="Colm Feore"/>
        <s v="Chiaki Kuriyama"/>
        <s v="Jamie Kennedy"/>
        <s v="Gary Jones"/>
        <s v="Brion James"/>
        <s v="Kate Luyben"/>
        <s v="J.T. Walsh"/>
        <s v="Paul McGann"/>
        <s v="Peter Polycarpou"/>
        <s v="Michael Lonsdale"/>
        <s v="Om Puri"/>
        <s v="Sally Hawkins"/>
        <s v="Rex Linn"/>
        <s v="John Ashton"/>
        <s v="Seymour Cassel"/>
        <s v="Ellen Barkin"/>
        <s v="Miranda Richardson"/>
        <s v="Paterson Joseph"/>
        <s v="John Castle"/>
        <s v="Hugh Bonneville"/>
        <s v="Brady Corbet"/>
        <s v="David Walton"/>
        <s v="Albert Dupontel"/>
        <s v="Lois Maxwell"/>
        <s v="Charles S. Dutton"/>
        <s v="Madison Pettis"/>
        <s v="Jon Seda"/>
        <s v="Bridget Fonda"/>
        <s v="Judy Greer"/>
        <s v="Amanda Detmer"/>
        <s v="Jackie Cooper"/>
        <s v="David Backus"/>
        <s v="Bernadette Peters"/>
        <s v="Matt O'Leary"/>
        <s v="Adam Scott"/>
        <s v="Hill Harper"/>
        <s v="Kelvin Han Yee"/>
        <s v="Jennifer Garner"/>
        <s v="Parker Sawyers"/>
        <s v="Ann-Margret"/>
        <s v="Dash Mihok"/>
        <s v="Mircea Monroe"/>
        <s v="Tom Dreesen"/>
        <s v="Rebecca Dayan"/>
        <s v="Victoria Smurfit"/>
        <s v="Rob Moran"/>
        <s v="Maurice LaMarche"/>
        <s v="Alia Shawkat"/>
        <s v="Bobby Block"/>
        <s v="Jon Stewart"/>
        <s v="Bonnie Hunt"/>
        <s v="Tom Skerritt"/>
        <s v="Shirley Knight"/>
        <s v="Monica Potter"/>
        <s v="Peter Gallagher"/>
        <s v="Zach Mills"/>
        <s v="Conchata Ferrell"/>
        <s v="Thomas Lennon"/>
        <s v="Amber Stevens West"/>
        <s v="Danny Masterson"/>
        <s v="Megan Park"/>
        <s v="Herbert Russell"/>
        <s v="Mark L. Young"/>
        <s v="Peter Gerety"/>
        <s v="Grant Heslov"/>
        <s v="Chandler Canterbury"/>
        <s v="Zooey Deschanel"/>
        <s v="Sissy Spacek"/>
        <s v="Michael Monks"/>
        <s v="Jake Busey"/>
        <s v="Scoot McNairy"/>
        <s v="Rupert Graves"/>
        <s v="Georgina Chapman"/>
        <s v="Nicola Walker"/>
        <s v="Alexander Gould"/>
        <s v="Cheryl Hines"/>
        <s v="Conrad Goode"/>
        <s v="Chad Lowe"/>
        <s v="Reuben Langdon"/>
        <s v="Kayvan Novak"/>
        <s v="David Costabile"/>
        <s v="Ana de la Reguera"/>
        <s v="Mary Lynn Rajskub"/>
        <s v="Charles Martinet"/>
        <s v="Alice Krige"/>
        <s v="Faizon Love"/>
        <s v="Natasha Lyonne"/>
        <s v="Siobhan Fallon Hogan"/>
        <s v="Scott Lawrence"/>
        <s v="Gilbert R. Hill"/>
        <s v="Phoebe Cates"/>
        <s v="Leighton Meester"/>
        <s v="Marcel Iures"/>
        <s v="Mike Epps"/>
        <s v="Celia Imrie"/>
        <s v="John Billingsley"/>
        <s v="Sven-Ole Thorsen"/>
        <s v="Taylor Dooley"/>
        <s v="Peter Youngblood Hills"/>
        <s v="Rain"/>
        <s v="Carmine Giovinazzo"/>
        <s v="John Lyons"/>
        <s v="Agnes Bruckner"/>
        <s v="Kelly Rowan"/>
        <s v="Richard Brake"/>
        <s v="Rita Wilson"/>
        <s v="Rachel Roberts"/>
        <s v="Tim Daly"/>
        <s v="Rick Hoffman"/>
        <s v="Michelle Forbes"/>
        <s v="Aaron Hill"/>
        <s v="M. Emmet Walsh"/>
        <s v="Jessica Collins"/>
        <s v="Kelli Garner"/>
        <s v="Raza Jaffrey"/>
        <s v="Ashley Scott"/>
        <s v="Rab Affleck"/>
        <s v="Sarah Gadon"/>
        <s v="William Atherton"/>
        <s v="Demi Moore"/>
        <s v="Brooke Smith"/>
        <s v="Grant Bowler"/>
        <s v="Edgar Ramírez"/>
        <s v="Alison Lohman"/>
        <s v="Pruitt Taylor Vince"/>
        <s v="Willie Nelson"/>
        <s v="Josie Ho"/>
        <s v="Stephen Walters"/>
        <s v="David Patrick Kelly"/>
        <s v="Tom Sturridge"/>
        <s v="James Lew"/>
        <s v="Alison Doody"/>
        <s v="Matthew Macfadyen"/>
        <s v="Leland Orser"/>
        <s v="Mel Rodriguez"/>
        <s v="Steve Bacic"/>
        <s v="Mykelti Williamson"/>
        <s v="Michael Nardone"/>
        <s v="Vince Vieluf"/>
        <s v="Alfre Woodard"/>
        <s v="Bradley Whitford"/>
        <s v="Brian Doyle-Murray"/>
        <s v="Fred Gwynne"/>
        <s v="Gretchen Mol"/>
        <s v="Jon Gries"/>
        <s v="Keith Hudson"/>
        <s v="Andy Dick"/>
        <s v="Eric Peterson"/>
        <s v="Alissa Dean"/>
        <s v="Chris Mulkey"/>
        <s v="Natalya Bondarchuk"/>
        <s v="Rob Paulsen"/>
        <s v="George Cole"/>
        <s v="Crystal Lowe"/>
        <s v="Julia Jones"/>
        <s v="Randall 'Tex' Cobb"/>
        <s v="Olympia Dukakis"/>
        <s v="Jacqueline Bisset"/>
        <s v="Harvey Korman"/>
        <s v="D.B. Sweeney"/>
        <s v="Jenny McCarthy"/>
        <s v="Heather Burns"/>
        <s v="Anita Briem"/>
        <s v="Brad Renfro"/>
        <s v="Patrick Bergin"/>
        <s v="Dylan Minnette"/>
        <s v="Tom Berenger"/>
        <s v="Robin Sachs"/>
        <s v="Steve Whitmire"/>
        <s v="Robert Ri'chard"/>
        <s v="Bruce Altman"/>
        <s v="Kari Wuhrer"/>
        <s v="Izabella Miko"/>
        <s v="Kris Marshall"/>
        <s v="John Ratzenberger"/>
        <s v="Ian Richardson"/>
        <s v="Emilio Estefan Jr."/>
        <s v="Tim Matheson"/>
        <s v="Alice Greczyn"/>
        <s v="James Tumminia"/>
        <s v="Joel McHale"/>
        <s v="Timothy Hutton"/>
        <s v="William Lucking"/>
        <s v="Gary Stretch"/>
        <s v="Will Beinbrink"/>
        <s v="Ben Miller"/>
        <s v="Julia Roberts"/>
        <s v="José Ferrer"/>
        <s v="Robert Clohessy"/>
        <s v="Joe Komara"/>
        <s v="Sasha Roiz"/>
        <s v="David Belle"/>
        <s v="Keenen Ivory Wayans"/>
        <s v="Obba Babatundé"/>
        <s v="Nels Lennarson"/>
        <s v="Matthew Broderick"/>
        <s v="Kristy Swanson"/>
        <s v="Laz Alonso"/>
        <s v="Man Li"/>
        <s v="James With"/>
        <s v="Omar Epps"/>
        <s v="Unax Ugalde"/>
        <s v="Céline Sallette"/>
        <s v="Togo Igawa"/>
        <s v="Harvey Fierstein"/>
        <s v="Peter Greene"/>
        <s v="Minnie Driver"/>
        <s v="Martin Kove"/>
        <s v="Anne Heche"/>
        <s v="Cliff Edwards"/>
        <s v="Isabelle Huppert"/>
        <s v="Derek Jacobi"/>
        <s v="Daniel Mays"/>
        <s v="Michael Nouri"/>
        <s v="Elizabeth Perkins"/>
        <s v="Chelsea Bond"/>
        <s v="Wilford Brimley"/>
        <s v="Valerie Tian"/>
        <s v="Dylan Moran"/>
        <s v="Julia Sawalha"/>
        <s v="Debra Messing"/>
        <s v="Geoffrey Holder"/>
        <s v="Demián Bichir"/>
        <s v="Roddy McDowall"/>
        <s v="Charice"/>
        <s v="Mimi Rogers"/>
        <s v="David Eigenberg"/>
        <s v="Slash"/>
        <s v="Anthony Zerbe"/>
        <s v="Jared Burke"/>
        <s v="Maggie Cheung"/>
        <s v="Patrick Fischler"/>
        <s v="Anders Holm"/>
        <s v="Jed Brophy"/>
        <s v="Bob Hastings"/>
        <s v="André Dussollier"/>
        <s v="Evan Jones"/>
        <s v="Mélissa Theuriau"/>
        <s v="Bérénice Bejo"/>
        <s v="Anthony Chau-Sang Wong"/>
        <s v="J. Smith-Cameron"/>
        <s v="JoBeth Williams"/>
        <s v="William Bassett"/>
        <s v="Craig T. Nelson"/>
        <s v="Bruce Campbell"/>
        <s v="Thomas F. Wilson"/>
        <s v="Amr Waked"/>
        <s v="Alexa PenaVega"/>
        <s v="Dan Bilzerian"/>
        <s v="Rosie O'Donnell"/>
        <s v="Robin Atkin Downes"/>
        <s v="Marcella Lentz-Pope"/>
        <s v="Sachiko Ishida"/>
        <s v="Regina Hall"/>
        <s v="Nancy O'Dell"/>
        <s v="Vanessa Ferlito"/>
        <s v="Nicole Beharie"/>
        <s v="Wendy Crewson"/>
        <s v="Eric Schweig"/>
        <s v="Jason Douglas"/>
        <s v="Jane Curtin"/>
        <s v="Susan Ward"/>
        <s v="Cheryl Penland"/>
        <s v="Marisol Nichols"/>
        <s v="David Thornton"/>
        <s v="Shantel VanSanten"/>
        <s v="Amy Ryan"/>
        <s v="Sam Jaeger"/>
        <s v="Lino Facioli"/>
        <s v="Omar Benson Miller"/>
        <s v="Robert Picardo"/>
        <s v="Miko Hughes"/>
        <s v="Frances Fisher"/>
        <s v="Aidan Quinn"/>
        <s v="Lindsay Sloane"/>
        <s v="Jonathan Morgan Heit"/>
        <s v="Jonathan Brewer"/>
        <s v="Derek Mears"/>
        <s v="Roscoe Lee Browne"/>
        <s v="Ebon Moss-Bachrach"/>
        <s v="Joy Bryant"/>
        <s v="Scott Vance"/>
        <s v="Sean Connery"/>
        <s v="Ian Whyte"/>
        <s v="Jonathan Hyde"/>
        <s v="Jeremy Owen"/>
        <s v="Julene Renee"/>
        <s v="Shenae Grimes-Beech"/>
        <s v="Anthony Heald"/>
        <s v="Nat Faxon"/>
        <s v="Jesse James"/>
        <s v="Courtney B. Vance"/>
        <s v="Vincent Pastore"/>
        <s v="Angie Dickinson"/>
        <s v="Ione Skye"/>
        <s v="Daniel Brochu"/>
        <s v="John Kapelos"/>
        <s v="Stephen Henderson"/>
        <s v="Vanessa Aspillaga"/>
        <s v="Anne Archer"/>
        <s v="Jesse L. Martin"/>
        <s v="Angela Bettis"/>
        <s v="Carlease Burke"/>
        <s v="Marco Hofschneider"/>
        <s v="Stephen Rea"/>
        <s v="Benedict Cumberbatch"/>
        <s v="William Ragsdale"/>
        <s v="David Proval"/>
        <s v="Lillo Brancato"/>
        <s v="Jesse Borrego"/>
        <s v="Eric Idle"/>
        <s v="John Doman"/>
        <s v="Steven Weber"/>
        <s v="Christina Milian"/>
        <s v="Robert Davi"/>
        <s v="Lauren Lee Smith"/>
        <s v="Oaklee Pendergast"/>
        <s v="Isabelle Adjani"/>
        <s v="Helen McCrory"/>
        <s v="James Gammon"/>
        <s v="Patricia Heaton"/>
        <s v="Isabelle Nanty"/>
        <s v="Riley Smith"/>
        <s v="Andrew Daly"/>
        <s v="Jonathan Jackson"/>
        <s v="Patrick Fugit"/>
        <s v="Eddie Rouse"/>
        <s v="Tim Guinee"/>
        <s v="John Aylward"/>
        <s v="Troy Garity"/>
        <s v="Greg Collins"/>
        <s v="Kelly Ripa"/>
        <s v="Jasmine Trinca"/>
        <s v="Ashley Walters"/>
        <s v="Lorraine Bracco"/>
        <s v="Ljubomir Kerekes"/>
        <s v="John Mahoney"/>
        <s v="Andy Lau"/>
        <s v="Kang-ho Song"/>
        <s v="François Cluzet"/>
        <s v="Tim Blake Nelson"/>
        <s v="Prabhas"/>
        <s v="Michelle Nolden"/>
        <s v="Atticus Shaffer"/>
        <s v="Michael Hitchcock"/>
        <s v="Oscar Gale"/>
        <s v="Wei Zhao"/>
        <s v="Courtney Gains"/>
        <s v="Eric Winter"/>
        <s v="Max Casella"/>
        <s v="Emily Osment"/>
        <s v="Elvis Tsui"/>
        <s v="Kristen Johnston"/>
        <s v="Jiao Xu"/>
        <s v="Deborah Kara Unger"/>
        <s v="Billy Campbell"/>
        <s v="Eduardo Verástegui"/>
        <s v="Kari Matchett"/>
        <s v="Bill Nunn"/>
        <s v="Matthew Glave"/>
        <s v="Mariah Carey"/>
        <s v="David Clennon"/>
        <s v="Ted Markland"/>
        <s v="Leonor Varela"/>
        <s v="Harry Treadaway"/>
        <s v="Bruce Goodchild"/>
        <s v="David Walliams"/>
        <s v="Nick Robinson"/>
        <s v="Owen Burke"/>
        <s v="Christopher James Baker"/>
        <s v="Alexandra Maria Lara"/>
        <s v="Jim Meskimen"/>
        <s v="Nicholas Braun"/>
        <s v="Harry Connick Jr."/>
        <s v="Tamala Jones"/>
        <s v="Aleksey Serebryakov"/>
        <s v="Barbara Carrera"/>
        <s v="Bill Murray"/>
        <s v="Toby Jones"/>
        <s v="Mason Gamble"/>
        <s v="John Larroquette"/>
        <s v="Omid Abtahi"/>
        <s v="Kwok-Kwan Chan"/>
        <s v="William Hootkins"/>
        <s v="Lily Cole"/>
        <s v="Kim Dickens"/>
        <s v="Daryl Sabara"/>
        <s v="Reginald Ballard"/>
        <s v="Bruce Green"/>
        <s v="Rebecca Mader"/>
        <s v="Walter Koenig"/>
        <s v="Josh Segarra"/>
        <s v="Sherri Shepherd"/>
        <s v="Lauren Ambrose"/>
        <s v="Jordan Lund"/>
        <s v="Amanda Wyss"/>
        <s v="Judith Godrèche"/>
        <s v="Dylan Walsh"/>
        <s v="Debra Winger"/>
        <s v="Masi Oka"/>
        <s v="Kiersey Clemons"/>
        <s v="Al Freeman Jr."/>
        <s v="Mackenzie Aladjem"/>
        <s v="Steven Mackintosh"/>
        <s v="Mindy Kaling"/>
        <s v="Colin Salmon"/>
        <s v="Jamie Hector"/>
        <s v="Justin Timberlake"/>
        <s v="Tom Bosley"/>
        <s v="Kirsten Day"/>
        <s v="Logan Browning"/>
        <s v="Joyce Van Patten"/>
        <s v="Kylie Minogue"/>
        <s v="Ed Stoppard"/>
        <s v="Shaun Toub"/>
        <s v="Brian Van Holt"/>
        <s v="Colin Stinton"/>
        <s v="Kaitlyn Dever"/>
        <s v="Bruce Spence"/>
        <s v="Kevin Peter Hall"/>
        <s v="Joseph Cross"/>
        <s v="Douglas Smith"/>
        <s v="Sam J. Jones"/>
        <s v="Carmen Ejogo"/>
        <s v="Leon Rippy"/>
        <s v="Eros Vlahos"/>
        <s v="Nicki Aycox"/>
        <s v="Joanna Lumley"/>
        <s v="Richard Cetrone"/>
        <s v="Pip Torrens"/>
        <s v="Richard Thomas"/>
        <s v="Marion Ross"/>
        <s v="Michael Beach"/>
        <s v="Michael Mosley"/>
        <s v="Alex Jennings"/>
        <s v="Wendell Pierce"/>
        <s v="Austin Nichols"/>
        <s v="Matt Prokop"/>
        <s v="Richard Brancatisano"/>
        <s v="Lysette Anthony"/>
        <s v="Andrew Garfield"/>
        <s v="Christopher Rich"/>
        <s v="Matt Price"/>
        <s v="Jason Behr"/>
        <s v="Shawn Doyle"/>
        <s v="Ray Nicholas"/>
        <s v="Maurice Compte"/>
        <s v="Benno Fürmann"/>
        <s v="Jade Kindar-Martin"/>
        <s v="Angus Macfadyen"/>
        <s v="Richard Coyle"/>
        <s v="Warren Brown"/>
        <s v="Rie Rasmussen"/>
        <s v="Isabelle Carré"/>
        <s v="Tobey Maguire"/>
        <s v="Eduard Fernández"/>
        <s v="Dwight Yoakam"/>
        <s v="Beverly D'Angelo"/>
        <s v="Jacob Latimore"/>
        <s v="Melissa McMeekin"/>
        <s v="Mark Margolis"/>
        <s v="Hudson Leick"/>
        <s v="Sami Gayle"/>
        <s v="Yuria Nara"/>
        <s v="Hayley Lovitt"/>
        <s v="Clea DuVall"/>
        <s v="Vincent Perez"/>
        <s v="Tony Kgoroge"/>
        <s v="Tichina Arnold"/>
        <s v="Joe Ochman"/>
        <s v="Dato Bakhtadze"/>
        <s v="Misha Gabriel Hamilton"/>
        <s v="Rachel Blanchard"/>
        <s v="Chris Ellis"/>
        <s v="Eddie Jemison"/>
        <s v="Stephen Dillane"/>
        <s v="Robert John Burke"/>
        <s v="Kenny Baker"/>
        <s v="Jeremy Crutchley"/>
        <s v="Susanne Lothar"/>
        <s v="David Gallagher"/>
        <s v="Robert Mitchum"/>
        <s v="Héctor Jiménez"/>
        <s v="Steve Bannos"/>
        <s v="Portia de Rossi"/>
        <s v="Michael Rapaport"/>
        <s v="Jay Hernandez"/>
        <s v="Topher Grace"/>
        <s v="Portia Doubleday"/>
        <s v="Russell Peters"/>
        <s v="Michael DeLorenzo"/>
        <s v="Ed Lauter"/>
        <s v="Judy Davis"/>
        <s v="Holmes Osborne"/>
        <s v="Roberts Blossom"/>
        <s v="Nora Dunn"/>
        <s v="Sonja Sohn"/>
        <s v="Andrea Martin"/>
        <s v="Hal Holbrook"/>
        <s v="Simon Callow"/>
        <s v="Jim Gaffigan"/>
        <s v="Jean Louisa Kelly"/>
        <s v="Doug Cockle"/>
        <s v="Nadine Velazquez"/>
        <s v="F. Murray Abraham"/>
        <s v="Hope Davis"/>
        <s v="Brian McNamara"/>
        <s v="Jayne Eastwood"/>
        <s v="Joey Lauren Adams"/>
        <s v="Jim Varney"/>
        <s v="Dillon Casey"/>
        <s v="Alan Ruck"/>
        <s v="Joel David Moore"/>
        <s v="Carel Struycken"/>
        <s v="Heather Matarazzo"/>
        <s v="Reg E. Cathey"/>
        <s v="Jason Cope"/>
        <s v="Rodger Bumpass"/>
        <s v="Tom Guiry"/>
        <s v="Mike Colter"/>
        <s v="Gena Rowlands"/>
        <s v="Yetta Gottesman"/>
        <s v="Debbie Reynolds"/>
        <s v="Melinda Dillon"/>
        <s v="Chris Lowell"/>
        <s v="Howard Hesseman"/>
        <s v="Daniel Rindress-Kay"/>
        <s v="Tracie Thoms"/>
        <s v="Wanda Sykes"/>
        <s v="Jean Smart"/>
        <s v="Maria Thayer"/>
        <s v="Scott Porter"/>
        <s v="Fionnula Flanagan"/>
        <s v="Romany Malco"/>
        <s v="Candice Bergen"/>
        <s v="Bonnie Somerville"/>
        <s v="Christa B. Allen"/>
        <s v="Nina Arianda"/>
        <s v="Raphael Sbarge"/>
        <s v="Anne Meara"/>
        <s v="Priscilla Presley"/>
        <s v="Tanya Roberts"/>
        <s v="Peter Sallis"/>
        <s v="Nellie McKay"/>
        <s v="Brenda Blethyn"/>
        <s v="Luisa Ranieri"/>
        <s v="Kate Capshaw"/>
        <s v="Derek Luke"/>
        <s v="Daniel Kaluuya"/>
        <s v="Oona Laurence"/>
        <s v="Reggie Lee"/>
        <s v="Ellen Burstyn"/>
        <s v="Emmanuelle Vaugier"/>
        <s v="Facundo Lombard"/>
        <s v="Sanoe Lake"/>
        <s v="Danny Rhodes"/>
        <s v="Megan Franich"/>
        <s v="Method Man"/>
        <s v="Richard Dawson"/>
        <s v="Tisha Campbell-Martin"/>
        <s v="John Macmillan"/>
        <s v="Liam James"/>
        <s v="Robin Shou"/>
        <s v="Randall Park"/>
        <s v="Jasika Nicole"/>
        <s v="Kevin Dillon"/>
        <s v="Tom Kane"/>
        <s v="Katie Lowes"/>
        <s v="Luke Mably"/>
        <s v="Huell Howser"/>
        <s v="Cheri Oteri"/>
        <s v="Graham Beckel"/>
        <s v="Aunjanue Ellis"/>
        <s v="Traci Lords"/>
        <s v="Dave Annable"/>
        <s v="Paul Sorvino"/>
        <s v="Aisha Hinds"/>
        <s v="Nick Chinlund"/>
        <s v="Hugh Dillon"/>
        <s v="Natasha Henstridge"/>
        <s v="Delphine Chanéac"/>
        <s v="Jordan Prentice"/>
        <s v="Frank Grillo"/>
        <s v="Robert Costanzo"/>
        <s v="Mark Camacho"/>
        <s v="Sandra Vergara"/>
        <s v="Christiana Leucas"/>
        <s v="Munro Chambers"/>
        <s v="Terence Maynard"/>
        <s v="Cheech Marin"/>
        <s v="Lynda Boyd"/>
        <s v="Paul Gross"/>
        <s v="Björn Hlynur Haraldsson"/>
        <s v="Ned Bellamy"/>
        <s v="James Biberi"/>
        <s v="Steve Howey"/>
        <s v="Lucy Boynton"/>
        <s v="Nicholas Tse"/>
        <s v="Sarah Carter"/>
        <s v="Jaycee Chan"/>
        <s v="Kad Merad"/>
        <s v="Jason Alexander"/>
        <s v="Kathy Baker"/>
        <s v="Tyrone Keogh"/>
        <s v="Jemima West"/>
        <s v="Sergey Garmash"/>
        <s v="Chiara Caselli"/>
        <s v="Hana Mae Lee"/>
        <s v="Tyler Hilton"/>
        <s v="Tom Noonan"/>
        <s v="Mark Williams"/>
        <s v="Jennifer Hall"/>
        <s v="Penelope Wilton"/>
        <s v="Hannah Spearritt"/>
        <s v="Angel Coulby"/>
        <s v="Scott Weinger"/>
        <s v="R. Marcos Taylor"/>
        <s v="Christine Cavanaugh"/>
        <s v="John Sessions"/>
        <s v="Enrique Iglesias"/>
        <s v="Reginald VelJohnson"/>
        <s v="Charlie Talbert"/>
        <s v="Demetri Martin"/>
        <s v="Kenneth Mitchell"/>
        <s v="Alex Rocco"/>
        <s v="Haruma Miura"/>
        <s v="Ann Talman"/>
        <s v="Gloria Reuben"/>
        <s v="Mimi Kirkland"/>
        <s v="Larry Bagby"/>
        <s v="Jeri Ryan"/>
        <s v="Simon Woods"/>
        <s v="Eric Stoltz"/>
        <s v="Tómas Lemarquis"/>
        <s v="Antoni Corone"/>
        <s v="Ben Chaplin"/>
        <s v="Ron Eldard"/>
        <s v="George Lopez"/>
        <s v="Kathleen Turner"/>
        <s v="Tencho Gyalpo"/>
        <s v="Fenella Woolgar"/>
        <s v="Augustus Prew"/>
        <s v="Eduardo Noriega"/>
        <s v="Steven Berkoff"/>
        <s v="Charlyne Yi"/>
        <s v="Jeffrey Markle"/>
        <s v="Shaun Parkes"/>
        <s v="Meryl Streep"/>
        <s v="Jake McDorman"/>
        <s v="Nichelle Nichols"/>
        <s v="Matthew Settle"/>
        <s v="Tatyana Ali"/>
        <s v="Ray Charles"/>
        <s v="Michael Rady"/>
        <s v="Peter McNicholl"/>
        <s v="Ty Olsson"/>
        <s v="Dorian Missick"/>
        <s v="Alan Oppenheimer"/>
        <s v="Charlotte Rampling"/>
        <s v="Joyce Randolph"/>
        <s v="Tim Rose"/>
        <s v="Vanesa Tomasino"/>
        <s v="William Mapother"/>
        <s v="Chris Bauer"/>
        <s v="Paul Barber"/>
        <s v="Eion Bailey"/>
        <s v="Kristen Stewart"/>
        <s v="John Neville"/>
        <s v="Joseph Kaiser"/>
        <s v="Gerry Bednob"/>
        <s v="David Harbour"/>
        <s v="Penelope Ann Miller"/>
        <s v="Rosie Perez"/>
        <s v="Jeanne Moreau"/>
        <s v="Julian Richings"/>
        <s v="Glenn Howerton"/>
        <s v="Wolfgang Preiss"/>
        <s v="Suzie Plakson"/>
        <s v="Keegan Connor Tracy"/>
        <s v="Dennis Quaid"/>
        <s v="Jason George"/>
        <s v="Brad Leland"/>
        <s v="Bailee Madison"/>
        <s v="Seth Meyers"/>
        <s v="Jack Thompson"/>
        <s v="Kevin McNally"/>
        <s v="Maura Tierney"/>
        <s v="Mario Van Peebles"/>
        <s v="Monica Keena"/>
        <s v="Jessica Wesson"/>
        <s v="Donald Sumpter"/>
        <s v="Hristo Shopov"/>
        <s v="Matthew Lawrence"/>
        <s v="Beth Grant"/>
        <s v="Ahney Her"/>
        <s v="Clarke Peters"/>
        <s v="DeVaughn Nixon"/>
        <s v="Caroline Goodall"/>
        <s v="Mike Vogel"/>
        <s v="Jamie Blackley"/>
        <s v="Agnia Ditkovskite"/>
        <s v="Zack Ward"/>
        <s v="Sara Stewart"/>
        <s v="Liza Lapira"/>
        <s v="Ernie Reyes Jr."/>
        <s v="Charles Martin Smith"/>
        <s v="Barry Corbin"/>
        <s v="Bryan Callen"/>
        <s v="Shirley Henderson"/>
        <s v="Hugh O'Conor"/>
        <s v="Bob Newhart"/>
        <s v="Powers Boothe"/>
        <s v="Aaliyah"/>
        <s v="Billie Whitelaw"/>
        <s v="Jay R. Ferguson"/>
        <s v="Kelly Macdonald"/>
        <s v="Larry the Cable Guy"/>
        <s v="James Badge Dale"/>
        <s v="Chris Gauthier"/>
        <s v="Imelda Staunton"/>
        <s v="Rebecca Gayheart"/>
        <s v="Kevin Breznahan"/>
        <s v="Nancy Cartwright"/>
        <s v="Kyle Schmid"/>
        <s v="Max Ryan"/>
        <s v="LisaRaye McCoy"/>
        <s v="Gregory Alan Williams"/>
        <s v="Alexander Skarsgård"/>
        <s v="Kelly Preston"/>
        <s v="Billy Aaron Brown"/>
        <s v="Chelan Simmons"/>
        <s v="DMX"/>
        <s v="Laura Ramsey"/>
        <s v="Steve Pemberton"/>
        <s v="Johnny Messner"/>
        <s v="Eric Cantona"/>
        <s v="Vince Corazza"/>
        <s v="James Whitmore"/>
        <s v="Victoria Beckham"/>
        <s v="Kylie Bunbury"/>
        <s v="Linda Kozlowski"/>
        <s v="Richard Tyson"/>
        <s v="Griffin Cleveland"/>
        <s v="Amy Stewart"/>
        <s v="James Read"/>
        <s v="Tim McInnerny"/>
        <s v="Rosario Dawson"/>
        <s v="Faye Dunaway"/>
        <s v="Kate Harbour"/>
        <s v="Óscar Jaenada"/>
        <s v="Don McManus"/>
        <s v="Jacob Pitts"/>
        <s v="Tony Plana"/>
        <s v="Swoosie Kurtz"/>
        <s v="Bebe Neuwirth"/>
        <s v="Amanda Tilson"/>
        <s v="Sergio Calderón"/>
        <s v="Illeana Douglas"/>
        <s v="Zena Grey"/>
        <s v="Jacob Young"/>
        <s v="Paul Ben-Victor"/>
        <s v="Tara Fitzgerald"/>
        <s v="Chris Parnell"/>
        <s v="Katharine McPhee"/>
        <s v="Pauline McLynn"/>
        <s v="Patrick St. Esprit"/>
        <s v="Peter Firth"/>
        <s v="Rebecca De Mornay"/>
        <s v="Jacob Vargas"/>
        <s v="Peter Kwong"/>
        <s v="Alice Pol"/>
        <s v="James Patrick Stuart"/>
        <s v="Abbie Cornish"/>
        <s v="Daniel Lapaine"/>
        <s v="Natasha Calis"/>
        <s v="Cathryn de Prume"/>
        <s v="Rhys Coiro"/>
        <s v="Richard Gant"/>
        <s v="Ted Wass"/>
        <s v="Kaylee DeFer"/>
        <s v="Jack Plotnick"/>
        <s v="Craig Hall"/>
        <s v="Jeff Kober"/>
        <s v="Yûsuke Iseya"/>
        <s v="Michael Paré"/>
        <s v="Julie Adams"/>
        <s v="Igor Zaripov"/>
        <s v="James Tupper"/>
        <s v="Liya Kebede"/>
        <s v="Shawn Hatosy"/>
        <s v="Gilles Lellouche"/>
        <s v="Gil Birmingham"/>
        <s v="Jérôme Deschamps"/>
        <s v="Aleksandr Bashirov"/>
        <s v="Jack Hawkins"/>
        <s v="Wai-Keung Lau"/>
        <s v="Kevin Williamson"/>
        <s v="Boyd Holbrook"/>
        <s v="Lori Singer"/>
        <s v="Harry Shearer"/>
        <s v="Jennifer Schwalbach Smith"/>
        <s v="Kathleen Wilhoite"/>
        <s v="David Arquette"/>
        <s v="Theresa Merritt"/>
        <s v="Martin Landau"/>
        <s v="Lolita Davidovich"/>
        <s v="Jessica Szohr"/>
        <s v="A.J. Langer"/>
        <s v="Clive Revill"/>
        <s v="Geraldine Chaplin"/>
        <s v="Derek Graf"/>
        <s v="Peter Dante"/>
        <s v="Anthony Daniels"/>
        <s v="Theresa Randle"/>
        <s v="O.J. Simpson"/>
        <s v="Kerr Smith"/>
        <s v="Catherine Dent"/>
        <s v="Matt Letscher"/>
        <s v="Dell Yount"/>
        <s v="Oliver Stark"/>
        <s v="Lainie Kazan"/>
        <s v="Lynn Whitfield"/>
        <s v="Garrett Morris"/>
        <s v="James Bolam"/>
        <s v="Don Johnson"/>
        <s v="Marie Gillain"/>
        <s v="Gaye Brown"/>
        <s v="Lillete Dubey"/>
        <s v="Alexandra Silber"/>
        <s v="Michael Winslow"/>
        <s v="Steve Bastoni"/>
        <s v="Phil Leeds"/>
        <s v="Angus T. Jones"/>
        <s v="Debra Monk"/>
        <s v="Colleen Haskell"/>
        <s v="Juhi Chawla"/>
        <s v="Ray McKinnon"/>
        <s v="Darwin Shaw"/>
        <s v="Shane Brolly"/>
        <s v="Julian Fellowes"/>
        <s v="Charles Keating"/>
        <s v="Matthew Daddario"/>
        <s v="Grigoriy Dobrygin"/>
        <s v="Kyle Gass"/>
        <s v="Jason Mewes"/>
        <s v="Trevor Morgan"/>
        <s v="Alden Ehrenreich"/>
        <s v="Aries Spears"/>
        <s v="Jeremy Kemp"/>
        <s v="Radivoje Bukvic"/>
        <s v="Beau Bridges"/>
        <s v="Roger Cross"/>
        <s v="Anne-Marie Duff"/>
        <s v="Amidou"/>
        <s v="Fabrice Luchini"/>
        <s v="Dendrie Taylor"/>
        <s v="Gabriel Almirón"/>
        <s v="Alessandra Mastronardi"/>
        <s v="Kenneth Colley"/>
        <s v="Trey Parker"/>
        <s v="Matt Hill"/>
        <s v="DeWayne Warren"/>
        <s v="Kimberly Elise"/>
        <s v="Matt Schulze"/>
        <s v="Leslie Hope"/>
        <s v="Eddie Kaye Thomas"/>
        <s v="Bob Clendenin"/>
        <s v="Sarah Wynter"/>
        <s v="Riley Thomas Stewart"/>
        <s v="Dom DeLuise"/>
        <s v="Devin Ratray"/>
        <s v="Ronny Cox"/>
        <s v="Steve Harris"/>
        <s v="Kurt Fuller"/>
        <s v="Chris Pontius"/>
        <s v="Joseph Mascolo"/>
        <s v="Ali Hillis"/>
        <s v="Hayley McFarland"/>
        <s v="Jay Mohr"/>
        <s v="Mike White"/>
        <s v="Bridgette Wilson-Sampras"/>
        <s v="Brittany Daniel"/>
        <s v="Ski Carr"/>
        <s v="Melissa Ordway"/>
        <s v="Taran Killam"/>
        <s v="Jason Weaver"/>
        <s v="Brendan Coyle"/>
        <s v="Romeo Miller"/>
        <s v="Tony Lo Bianco"/>
        <s v="Jada Pinkett Smith"/>
        <s v="Tony Jay"/>
        <s v="Charles Mesure"/>
        <s v="Marc Macaulay"/>
        <s v="Ken Sansom"/>
        <s v="Aryana Engineer"/>
        <s v="Edgar Arreola"/>
        <s v="Denise Boutte"/>
        <s v="Brian d'Arcy James"/>
        <s v="Robert Pine"/>
        <s v="Matthew Knight"/>
        <s v="Alex Winter"/>
        <s v="Amy Poehler"/>
        <s v="Yvette Mimieux"/>
        <s v="Filippo Timi"/>
        <s v="Anneliese van der Pol"/>
        <s v="Dermot Crowley"/>
        <s v="Jane Fonda"/>
        <s v="Shaun Sipos"/>
        <s v="Ray Walston"/>
        <s v="Lucas Grabeel"/>
        <s v="María Botto"/>
        <s v="Francesca Rettondini"/>
        <s v="Paula Garcés"/>
        <s v="Jeff Perry"/>
        <s v="Skyler Samuels"/>
        <s v="Romi Aboulafia"/>
        <s v="Margaret Cho"/>
        <s v="Christine Lakin"/>
        <s v="Noel Gugliemi"/>
        <s v="Jasper Levine"/>
        <s v="Tiffany Lamb"/>
        <s v="Geoff Stults"/>
        <s v="Brett Cullen"/>
        <s v="Samaire Armstrong"/>
        <s v="Toby Hemingway"/>
        <s v="John Patrick Amedori"/>
        <s v="Jake Short"/>
        <s v="Emily Meade"/>
        <s v="Tom Bower"/>
        <s v="Maximilian Schell"/>
        <s v="John Gavin"/>
        <s v="Riki Lindhome"/>
        <s v="Rhys Wakefield"/>
        <s v="Billy Barty"/>
        <s v="Leo McKern"/>
        <s v="John de Lancie"/>
        <s v="Steve Guttenberg"/>
        <s v="Qiu Yuen"/>
        <s v="Sharon Lawrence"/>
        <s v="Khalid Abdalla"/>
        <s v="Danny Huston"/>
        <s v="Kelly Carlson"/>
        <s v="James Brolin"/>
        <s v="Zak Orth"/>
        <s v="Bernie Sanders"/>
        <s v="Joe Cole"/>
        <s v="Lorna Raver"/>
        <s v="Joanne Whalley"/>
        <s v="Ed Begley Jr."/>
        <s v="Jacky Ido"/>
        <s v="Sam Lerner"/>
        <s v="David Carradine"/>
        <s v="Dianne Wiest"/>
        <s v="Nimrat Kaur"/>
        <s v="Jordan Carlos"/>
        <s v="Nick Gomez"/>
        <s v="Don Stark"/>
        <s v="Melonie Diaz"/>
        <s v="Sarah Solemani"/>
        <s v="David Ramsey"/>
        <s v="Riccardo Scamarcio"/>
        <s v="James Russo"/>
        <s v="Jeff DeRocker"/>
        <s v="Edi Gathegi"/>
        <s v="Brendan Sexton III"/>
        <s v="Peter Wingfield"/>
        <s v="Gigi Rice"/>
        <s v="Ben Vereen"/>
        <s v="Serena Scott Thomas"/>
        <s v="Scott Wolf"/>
        <s v="Gary Coleman"/>
        <s v="Marko Zaror"/>
        <s v="Jackie Burroughs"/>
        <s v="Lesley Manville"/>
        <s v="Leven Rambin"/>
        <s v="Karin Konoval"/>
        <s v="Ryan Donowho"/>
        <s v="Caroline Dhavernas"/>
        <s v="Victoria Learn"/>
        <s v="Tyrone Benskin"/>
        <s v="Nora Zehetner"/>
        <s v="Samantha Morton"/>
        <s v="Virginie Ledoyen"/>
        <s v="Caitlyn Jenner"/>
        <s v="Brent Anderson"/>
        <s v="Sean Pertwee"/>
        <s v="Matthew Walker"/>
        <s v="Toni Braxton"/>
        <s v="Melvil Poupaud"/>
        <s v="Rosalind Ayres"/>
        <s v="Jimmy Jean-Louis"/>
        <s v="Chi Chung Lam"/>
        <s v="Marie-Anne Chazel"/>
        <s v="Mark Webber"/>
        <s v="Ewen Solon"/>
        <s v="Tom Conti"/>
        <s v="Elea Oberon"/>
        <s v="Andy On"/>
        <s v="Noureen DeWulf"/>
        <s v="Kevin McGowan"/>
        <s v="Jacqueline Lovell"/>
        <s v="Robert Forster"/>
        <s v="Jodi Lyn O'Keefe"/>
        <s v="Alan David"/>
        <s v="Martina Gedeck"/>
        <s v="Julie Gonzalo"/>
        <s v="Roger Jackson"/>
        <s v="Joe Turkel"/>
        <s v="J.J. Cohen"/>
        <s v="Hope Olaide Wilson"/>
        <s v="Cabrina Collesides"/>
        <s v="Kelli Barrett"/>
        <s v="David Moscow"/>
        <s v="Ludivine Sagnier"/>
        <s v="Paul 'Pauly D' DelVecchio"/>
        <s v="Miyu Irino"/>
        <s v="Terence Yin"/>
        <s v="Laurence Olivier"/>
        <s v="Roger Allam"/>
        <s v="Dominique McElligott"/>
        <s v="Stephen Boyd"/>
        <s v="Dante Brown"/>
        <s v="Margaret Tracey"/>
        <s v="Tracy Letts"/>
        <s v="Ryan Reynolds"/>
        <s v="Roger Willie"/>
        <s v="Pedro Miguel Arce"/>
        <s v="Ching Wan Lau"/>
        <s v="Martin Starr"/>
        <s v="Chester"/>
        <s v="Alanna Ubach"/>
        <s v="JR Bourne"/>
        <s v="Bree Turner"/>
        <s v="Quinton Aaron"/>
        <s v="Tyrone Giordano"/>
        <s v="Kenan Thompson"/>
        <s v="Joey Fatone"/>
        <s v="Fran Kranz"/>
        <s v="Carl Weathers"/>
        <s v="Collins Pennie"/>
        <s v="Neil Flynn"/>
        <s v="Mario Monicelli"/>
        <s v="Tom Hollander"/>
        <s v="Merritt Wever"/>
        <s v="Andrew Dice Clay"/>
        <s v="Susan Blommaert"/>
        <s v="Nicollette Sheridan"/>
        <s v="Janet Leigh"/>
        <s v="Martin Balsam"/>
        <s v="Dan Bakkedahl"/>
        <s v="Grace Jones"/>
        <s v="Frank Vincent"/>
        <s v="Freddie Jones"/>
        <s v="Kate Burton"/>
        <s v="Ethan Stiefel"/>
        <s v="Timothée Chalamet"/>
        <s v="Kevin G. Schmidt"/>
        <s v="Michael Stuhlbarg"/>
        <s v="Michael Horse"/>
        <s v="John McMartin"/>
        <s v="Bruce Payne"/>
        <s v="Henry Czerny"/>
        <s v="Frankie Valli"/>
        <s v="Kellie Martin"/>
        <s v="Juliet Stevenson"/>
        <s v="Kim Chan"/>
        <s v="Albert Salmi"/>
        <s v="Honglei Sun"/>
        <s v="Henry Silva"/>
        <s v="Richard Briers"/>
        <s v="Aden Young"/>
        <s v="Paul Sparks"/>
        <s v="Fisher Stevens"/>
        <s v="Sam Reid"/>
        <s v="Dallas Roberts"/>
        <s v="Leonie Benesch"/>
        <s v="James Cullen Bressack"/>
        <s v="Nick Cassavetes"/>
        <s v="Lars Ulrich"/>
        <s v="Katharina Schüttler"/>
        <s v="Shawn Yue"/>
        <s v="Mark Moses"/>
        <s v="Joseph Pilato"/>
        <s v="Amanda Schull"/>
        <s v="Kevork Malikyan"/>
        <s v="Craig Roberts"/>
        <s v="Luis Rosado"/>
        <s v="Hakeem Kae-Kazim"/>
        <s v="Vondie Curtis-Hall"/>
        <s v="Jessica Lowndes"/>
        <s v="Rob Campbell"/>
        <s v="Eric Sykes"/>
        <s v="Jenette Goldstein"/>
        <s v="Theodore Bikel"/>
        <s v="James D'Arcy"/>
        <s v="Jay Chandrasekhar"/>
        <s v="P.J. Soles"/>
        <s v="Eddie Cibrian"/>
        <s v="Betsy Russell"/>
        <s v="Paulo Costanzo"/>
        <s v="Dan Hedaya"/>
        <s v="Erik Knudsen"/>
        <s v="Vinessa Shaw"/>
        <s v="Mary McCormack"/>
        <s v="Diana Maria Riva"/>
        <s v="Shad Moss"/>
        <s v="Malika"/>
        <s v="Ben Platt"/>
        <s v="Marc Blucas"/>
        <s v="Megyn Price"/>
        <s v="Caroll Spinney"/>
        <s v="John Ireland"/>
        <s v="Ellen Sandweiss"/>
        <s v="Rachel Dratch"/>
        <s v="Conrad Coates"/>
        <s v="Paul Freeman"/>
        <s v="Clyde Kusatsu"/>
        <s v="Jake Wood"/>
        <s v="Gerard McSorley"/>
        <s v="Carlos Bardem"/>
        <s v="Chris Andrew Ciulla"/>
        <s v="Mary Mouser"/>
        <s v="Paul Winfield"/>
        <s v="Tim Williams"/>
        <s v="Griffin Dunne"/>
        <s v="Matt Servitto"/>
        <s v="Laurence Fox"/>
        <s v="Samm Levine"/>
        <s v="Kurtwood Smith"/>
        <s v="Teri Garr"/>
        <s v="Harley Jane Kozak"/>
        <s v="Jack Warden"/>
        <s v="Mark Walters"/>
        <s v="Rachel Brosnahan"/>
        <s v="Lew Temple"/>
        <s v="Finn Ireland"/>
        <s v="Sergi López"/>
        <s v="Angell Conwell"/>
        <s v="Kamel Krifa"/>
        <s v="Christopher Evan Welch"/>
        <s v="Tsianina Joelson"/>
        <s v="Marc Donato"/>
        <s v="Cynthia Stevenson"/>
        <s v="Tracey Walter"/>
        <s v="Ruby Jerins"/>
        <s v="Trent Ford"/>
        <s v="Jason Robards"/>
        <s v="Brad William Henke"/>
        <s v="Jenifer Lewis"/>
        <s v="Brian Keith"/>
        <s v="Shannon Tweed"/>
        <s v="Robin Weigert"/>
        <s v="Angela Sarafyan"/>
        <s v="Lynn Redgrave"/>
        <s v="Tuppence Middleton"/>
        <s v="Michel Galabru"/>
        <s v="Ivan Sergei"/>
        <s v="Conrad Kemp"/>
        <s v="Tommy Karlsen"/>
        <s v="Charles Aznavour"/>
        <s v="William Shockley"/>
        <s v="Michel Muller"/>
        <s v="Adrian Pasdar"/>
        <s v="Sihung Lung"/>
        <s v="Ara Celi"/>
        <s v="Hugh O'Brian"/>
        <s v="Jason Wiles"/>
        <s v="Kyung-gu Sol"/>
        <s v="Allen Leech"/>
        <s v="Levon Helm"/>
        <s v="Isabelle Nélisse"/>
        <s v="Grasie Mercedes"/>
        <s v="Glenn Shadix"/>
        <s v="Lamman Rucker"/>
        <s v="Jessica Raine"/>
        <s v="Lee Majors"/>
        <s v="John Savage"/>
        <s v="Allison Tolman"/>
        <s v="Dororthy Thorton"/>
        <s v="Janeane Garofalo"/>
        <s v="Mia Kirshner"/>
        <s v="William Petersen"/>
        <s v="Simon McBurney"/>
        <s v="Blair Underwood"/>
        <s v="Margot Kidder"/>
        <s v="Martha MacIsaac"/>
        <s v="Bianca Kajlich"/>
        <s v="André the Giant"/>
        <s v="Russ Tamblyn"/>
        <s v="Kali Rocha"/>
        <s v="Ser'Darius Blain"/>
        <s v="Eva Marie Saint"/>
        <s v="Mitchell Ryan"/>
        <s v="Kurt Loder"/>
        <s v="Brenda Strong"/>
        <s v="Jason Spevack"/>
        <s v="Nina Hartley"/>
        <s v="Joss Ackland"/>
        <s v="Drew Powell"/>
        <s v="Katharine Isabelle"/>
        <s v="Angelo Anthony Pizza"/>
        <s v="Geneviève Bujold"/>
        <s v="Homayoun Ershadi"/>
        <s v="Phil Vischer"/>
        <s v="Larry Mullen Jr."/>
        <s v="Adam Copeland"/>
        <s v="Kevin Gage"/>
        <s v="Sandra Nelson"/>
        <s v="Mia Farrow"/>
        <s v="Shirley Douglas"/>
        <s v="Daniel Wu"/>
        <s v="Shelley Duvall"/>
        <s v="Elaine Hendrix"/>
        <s v="Jason Ritter"/>
        <s v="Chris Bruno"/>
        <s v="Steve Buscemi"/>
        <s v="Michael Michele"/>
        <s v="Dan Futterman"/>
        <s v="Marla Sokoloff"/>
        <s v="Estelle Parsons"/>
        <s v="Eric Godon"/>
        <s v="Diahann Carroll"/>
        <s v="Bobby Coleman"/>
        <s v="Terry Kinney"/>
        <s v="Conleth Hill"/>
        <s v="A.J. Buckley"/>
        <s v="Guillermo Arriaga"/>
        <s v="Larry Miller"/>
        <s v="Elden Henson"/>
        <s v="Laura Harring"/>
        <s v="Chris Geere"/>
        <s v="Mac McDonald"/>
        <s v="Mike Muscat"/>
        <s v="Amber Marie Bollinger"/>
        <s v="Rudolf Klein-Rogge"/>
        <s v="Dany Verissimo-Petit"/>
        <s v="Satoshi Tsumabuki"/>
        <s v="Leon"/>
        <s v="Nataliya Vdovina"/>
        <s v="Sarunyu Wongkrachang"/>
        <s v="Dave Legeno"/>
        <s v="Conrad Dunn"/>
        <s v="Leslie Bibb"/>
        <s v="Aubrey Poo"/>
        <s v="Edward Fox"/>
        <s v="Keith Allen"/>
        <s v="Steven Elder"/>
        <s v="Ferdinando Vetere"/>
        <s v="Yasuaki Kurata"/>
        <s v="Linus Roache"/>
        <s v="Kevin Nash"/>
        <s v="Arben Bajraktaraj"/>
        <s v="Bart Shatto"/>
        <s v="Jean-Marc Barr"/>
        <s v="Ayush Mahesh Khedekar"/>
        <s v="Joe Flaherty"/>
        <s v="John Meillon"/>
        <s v="Chad Bishop"/>
        <s v="Stephen Baldwin"/>
        <s v="Malik Yoba"/>
        <s v="Barbara Bach"/>
        <s v="Jason Hawes"/>
        <s v="Susan Hogan"/>
        <s v="Olivia Colman"/>
        <s v="Shelby Vischer"/>
        <s v="Maya Angelou"/>
        <s v="Gino Salvano"/>
        <s v="Allen Payne"/>
        <s v="Vernon Dobtcheff"/>
        <s v="Marley Shelton"/>
        <s v="Lupe Ontiveros"/>
        <s v="Poppy Montgomery"/>
        <s v="Paolo Seganti"/>
        <s v="Isaiah Washington"/>
        <s v="Lexa Doig"/>
        <s v="China Chow"/>
        <s v="Osric Chau"/>
        <s v="Isaach De Bankolé"/>
        <s v="Jane Adams"/>
        <s v="Noam Jenkins"/>
        <s v="Tovah Feldshuh"/>
        <s v="Bonnie Henna"/>
        <s v="Candace Kroslak"/>
        <s v="Nigel Whitmey"/>
        <s v="Behrouz Vossoughi"/>
        <s v="Karl Johnson"/>
        <s v="Edouard Baer"/>
        <s v="Ulrich Mühe"/>
        <s v="Kelly Lin"/>
        <s v="John Gallagher Jr."/>
        <s v="Diora Baird"/>
        <s v="Elisa Donovan"/>
        <s v="Collette Wolfe"/>
        <s v="Olgierd Lukaszewicz"/>
        <s v="Amelia Warner"/>
        <s v="Jaroslaw Boberek"/>
        <s v="Tamar Novas"/>
        <s v="Alison Chand"/>
        <s v="Bruno Kirby"/>
        <s v="Boys II Men"/>
        <s v="Fredro Starr"/>
        <s v="Brooke Bundy"/>
        <s v="Martin Henderson"/>
        <s v="Andrew Keegan"/>
        <s v="Gene Simmons"/>
        <s v="Sedona Legge"/>
        <s v="Cameron Bright"/>
        <s v="Ruby Dee"/>
        <s v="Antonio Sabato Jr."/>
        <s v="Charlotte Sullivan"/>
        <s v="Greg Germann"/>
        <s v="Henry Simmons"/>
        <s v="Corey Johnson"/>
        <s v="Jason Gray-Stanford"/>
        <s v="Rolando Molina"/>
        <s v="Shidô Nakamura"/>
        <s v="Bruce Dern"/>
        <s v="Cas Anvar"/>
        <s v="Traylor Howard"/>
        <s v="Lena Endre"/>
        <s v="Sarah Wright"/>
        <s v="Catalina Sandino Moreno"/>
        <s v="Peter Coyote"/>
        <s v="Yves Jacques"/>
        <s v="Natalie Lisinska"/>
        <s v="Paul Mazursky"/>
        <s v="Kate Walsh"/>
        <s v="Thomas Ian Griffith"/>
        <s v="Dougray Scott"/>
        <s v="Jodie Whittaker"/>
        <s v="Branko Djuric"/>
        <s v="Jung-jae Lee"/>
        <s v="Annie Golden"/>
        <s v="Gary Schwartz"/>
        <s v="Rob Morrow"/>
        <s v="Hannah Murray"/>
        <s v="Jude Ciccolella"/>
        <s v="Rumer Willis"/>
        <s v="Ronald Colman"/>
        <s v="Paul Schneider"/>
        <s v="Cara Horgan"/>
        <s v="Björk"/>
        <s v="Christian Campbell"/>
        <s v="Bill Erwin"/>
        <s v="Dong-gun Jang"/>
        <s v="Lee J. Cobb"/>
        <s v="Murray Hamilton"/>
        <s v="Lambert Wilson"/>
        <s v="Charlotte Lewis"/>
        <s v="David Margulies"/>
        <s v="Ally Sheedy"/>
        <s v="Rorke Denver"/>
        <s v="Josh Henderson"/>
        <s v="Ashley Hinshaw"/>
        <s v="Steven Hill"/>
        <s v="Dave Allen"/>
        <s v="Oliver Cooper"/>
        <s v="Bill Hickman"/>
        <s v="Connie Nielsen"/>
        <s v="Dania Ramirez"/>
        <s v="T.J. Thyne"/>
        <s v="Valeria Golino"/>
        <s v="Anthony Burrell"/>
        <s v="Nat Wolff"/>
        <s v="J.B. Smoove"/>
        <s v="Robert Foxworth"/>
        <s v="Lusia Strus"/>
        <s v="Viva Bianca"/>
        <s v="Peter Hermann"/>
        <s v="Dichen Lachman"/>
        <s v="Meg Crosbie"/>
        <s v="Lark Voorhies"/>
        <s v="Mehcad Brooks"/>
        <s v="Bill Irwin"/>
        <s v="John Colicos"/>
        <s v="Herbert Grönemeyer"/>
        <s v="Harland Williams"/>
        <s v="Lindsay Duncan"/>
        <s v="Zhengyong Zhang"/>
        <s v="Sofia Black-D'Elia"/>
        <s v="Tammy Blanchard"/>
        <s v="Sherman Hemsley"/>
        <s v="Greg Mottola"/>
        <s v="Dagmara Dominczyk"/>
        <s v="Brian Dietzen"/>
        <s v="Susan Gardner"/>
        <s v="Samantha Ivers"/>
        <s v="JJ Feild"/>
        <s v="Ah-sung Ko"/>
        <s v="Paul Gleason"/>
        <s v="Serena Grandi"/>
        <s v="Jake Richardson"/>
        <s v="Harmony Korine"/>
        <s v="Timothy Webber"/>
        <s v="Alicja Bachleda"/>
        <s v="James Shigeta"/>
        <s v="Andy Davoli"/>
        <s v="Bálint Péntek"/>
        <s v="Dahong Ni"/>
        <s v="Ryu Kohata"/>
        <s v="Rebecca Black"/>
        <s v="Hiroyuki Ikeuchi"/>
        <s v="Ana Imnadze"/>
        <s v="Emma Lung"/>
        <s v="Alexandra Callas"/>
        <s v="Jason Flemyng"/>
        <s v="Ginger Jensen"/>
        <s v="Denise Crosby"/>
        <s v="Akira Terao"/>
        <s v="Hailu Qin"/>
        <s v="Zach Galligan"/>
        <s v="Jason Mantzoukas"/>
        <s v="Daniel Zettel"/>
        <s v="Corbin Bleu"/>
        <s v="Lane Smith"/>
        <s v="Christopher Sommers"/>
        <s v="Tamsin Egerton"/>
        <s v="Richard T. Jones"/>
        <s v="Paz de la Huerta"/>
        <s v="Robert Prosky"/>
        <s v="Eric Mabius"/>
        <s v="George Newbern"/>
        <s v="Jennifer Hudson"/>
        <s v="Peter Berg"/>
        <s v="Rod Steiger"/>
        <s v="Eva Birthistle"/>
        <s v="Hardy Krüger"/>
        <s v="Pauline Collins"/>
        <s v="Elizabeth McGovern"/>
        <s v="Dylan Baker"/>
        <s v="Embeth Davidtz"/>
        <s v="Jim Rash"/>
        <s v="Kevin Tighe"/>
        <s v="Scott Handy"/>
        <s v="Jimi Mistry"/>
        <s v="Vincent Gallo"/>
        <s v="Alex Karpovsky"/>
        <s v="Lisa Pelikan"/>
        <s v="Samantha Eggar"/>
        <s v="Angus Barnett"/>
        <s v="Geoff Bell"/>
        <s v="Scott Patterson"/>
        <s v="Britt Ekland"/>
        <s v="Alix Freihage"/>
        <s v="Max Cullen"/>
        <s v="Preity Zinta"/>
        <s v="Tom Cullen"/>
        <s v="Francesc Pagès"/>
        <s v="Glenn Beck"/>
        <s v="Dustin Milligan"/>
        <s v="Raoul Max Trujillo"/>
        <s v="Hannah Britland"/>
        <s v="Riteish Deshmukh"/>
        <s v="François Damiens"/>
        <s v="Glen Powell"/>
        <s v="Leigh Whannell"/>
        <s v="Judge Reinhold"/>
        <s v="Clare Kramer"/>
        <s v="Kieran Culkin"/>
        <s v="Mike Dopud"/>
        <s v="Eddie Albert"/>
        <s v="Ted Raimi"/>
        <s v="Frances Bay"/>
        <s v="Jonathan Breck"/>
        <s v="Al Leong"/>
        <s v="Jack Wild"/>
        <s v="Dabney Coleman"/>
        <s v="Angelo Rossitto"/>
        <s v="Rae Dawn Chong"/>
        <s v="Stephanie Lemelin"/>
        <s v="Geoffrey Arend"/>
        <s v="Keshia Knight Pulliam"/>
        <s v="Aaron Yoo"/>
        <s v="Sal Lopez"/>
        <s v="Vic Morrow"/>
        <s v="Jessica Simpson"/>
        <s v="Charlie Korsmo"/>
        <s v="Tom Waits"/>
        <s v="Isiah Whitlock Jr."/>
        <s v="Jaden Klein"/>
        <s v="Johnny Whitworth"/>
        <s v="Lily Tomlin"/>
        <s v="Eddie Jones"/>
        <s v="Ronald Pickup"/>
        <s v="Vanessa Lengies"/>
        <s v="Charlie Murphy"/>
        <s v="Jennifer Tung"/>
        <s v="Michael Gross"/>
        <s v="Carlos Alazraqui"/>
        <s v="Niall Horan"/>
        <s v="Charles Napier"/>
        <s v="Jack Guzman"/>
        <s v="Carmen Electra"/>
        <s v="Diedrich Bader"/>
        <s v="Jon Polito"/>
        <s v="Jeanne Tripplehorn"/>
        <s v="Hunter Parrish"/>
        <s v="Wendi McLendon-Covey"/>
        <s v="Rob Huebel"/>
        <s v="Tamara Taylor"/>
        <s v="Lee Tergesen"/>
        <s v="Jerry Stiller"/>
        <s v="Carlo Cecchi"/>
        <s v="Everett McGill"/>
        <s v="Frankie Muniz"/>
        <s v="Patricia Belcher"/>
        <s v="India de Beaufort"/>
        <s v="Christopher Guest"/>
        <s v="Jillian Estell"/>
        <s v="Dave Foley"/>
        <s v="François Chau"/>
        <s v="Melissa Benoist"/>
        <s v="Alba Rohrwacher"/>
        <s v="Esai Morales"/>
        <s v="Jennifer Esposito"/>
        <s v="Dennis Burkley"/>
        <s v="Gen Seto"/>
        <s v="Dree Hemingway"/>
        <s v="Robert Peters"/>
        <s v="Mitch Pileggi"/>
        <s v="Sharat Saxena"/>
        <s v="Carol Sutton"/>
        <s v="Robert Pralgo"/>
        <s v="Adriane Lenox"/>
        <s v="George DiCenzo"/>
        <s v="Anna Vareschi"/>
        <s v="Michel Serrault"/>
        <s v="Haluk Bilginer"/>
        <s v="Romane Bohringer"/>
        <s v="Lubna Azabal"/>
        <s v="Larry Fessenden"/>
        <s v="Laura Harris"/>
        <s v="Jeffrey Combs"/>
        <s v="Kerry Cahill"/>
        <s v="Lee Norris"/>
        <s v="William Miller"/>
        <s v="Ryan O'Neal"/>
        <s v="Ted Danson"/>
        <s v="Sandra Echeverría"/>
        <s v="Sean Keenan"/>
        <s v="Glenn Plummer"/>
        <s v="Danny Sapani"/>
        <s v="Adrienne Pickering"/>
        <s v="Adrian Holmes"/>
        <s v="Chase Armitage"/>
        <s v="Michael McElhatton"/>
        <s v="Amanda Troop"/>
        <s v="Sigríður María Egilsdóttir"/>
        <s v="Shabana Azmi"/>
        <s v="Jason London"/>
        <s v="John Light"/>
        <s v="Dal-su Oh"/>
        <s v="Enrique Murciano"/>
        <s v="Akon"/>
        <s v="Malese Jow"/>
        <s v="Jean-Louis Trintignant"/>
        <s v="Zelda Rubinstein"/>
        <s v="Jesse Garcia"/>
        <s v="Spencer Tracy"/>
        <s v="Antonio de la Torre"/>
        <s v="Don Francks"/>
        <s v="Luisa D'Oliveira"/>
        <s v="Kabir Bedi"/>
        <s v="Luke Ford"/>
        <s v="Vic Waghorn"/>
        <s v="Bolaji Badejo"/>
        <s v="Marilyn Burns"/>
        <s v="Johnny Lewis"/>
        <s v="Rosalind Harris"/>
        <s v="Parker Bagley"/>
        <s v="Lunetta Savino"/>
        <s v="Jarrod Bunch"/>
        <s v="Dinah Manoff"/>
        <s v="Bill Clinton"/>
        <s v="Roberta Valderrama"/>
        <s v="Ralph Bellamy"/>
        <s v="Patrick Cranshaw"/>
        <s v="Danny Webb"/>
        <s v="Gbenga Akinnagbe"/>
        <s v="Maria Conchita Alonso"/>
        <s v="Dylan Kussman"/>
        <s v="Chris Young"/>
        <s v="Hunter Tylo"/>
        <s v="Robert Urich"/>
        <s v="Carly Schroeder"/>
        <s v="Janet McTeer"/>
        <s v="Woo-hee Chun"/>
        <s v="Kevin McHale"/>
        <s v="Mai Charoenpura"/>
        <s v="Sally Kirkland"/>
        <s v="Lionel Abelanski"/>
        <s v="Gary McDonald"/>
        <s v="Shaun Evans"/>
        <s v="Peter Callan"/>
        <s v="Perrey Reeves"/>
        <s v="John Henshaw"/>
        <s v="Émilie Dequenne"/>
        <s v="Jonathan Tucker"/>
        <s v="David Gulpilil"/>
        <s v="Steve Le Marquand"/>
        <s v="Karin Viard"/>
        <s v="Celina Jade"/>
        <s v="Jason Patric"/>
        <s v="Debrianna Mansini"/>
        <s v="Alan Bates"/>
        <s v="Milo O'Shea"/>
        <s v="Stian Smestad"/>
        <s v="Molly Hagan"/>
        <s v="Valarie Pettiford"/>
        <s v="Brad James"/>
        <s v="Samuel Roukin"/>
        <s v="Christopher B. Duncan"/>
        <s v="Vanessa Martinez"/>
        <s v="Martin Lucey"/>
        <s v="Aditya Roy Kapoor"/>
        <s v="Robert Taylor"/>
        <s v="Ghassan Massoud"/>
        <s v="Phil LaMarr"/>
        <s v="James Huang"/>
        <s v="Nicholas Hammond"/>
        <s v="Patrick Cronin"/>
        <s v="Jill Talley"/>
        <s v="Casey Siemaszko"/>
        <s v="David Schneider"/>
        <s v="Steve Harvey"/>
        <s v="Bryce Dallas Howard"/>
        <s v="Daisy Betts"/>
        <s v="Josh Pais"/>
        <s v="Justin Hall"/>
        <s v="Jeff Marlow"/>
        <s v="Tracy Middendorf"/>
        <s v="Keri Lynn Pratt"/>
        <s v="Samantha Mathis"/>
        <s v="Sarain Boylan"/>
        <s v="Diego Velazquez"/>
        <s v="Michaela Watkins"/>
        <s v="Fred Armisen"/>
        <s v="Aimee Teegarden"/>
        <s v="Carol Kane"/>
        <s v="Mark Feuerstein"/>
        <s v="Samuel West"/>
        <s v="David Thewlis"/>
        <s v="Phil Davis"/>
        <s v="Emmanuelle Béart"/>
        <s v="Vernee Watson"/>
        <s v="Kevin Rahm"/>
        <s v="Gina McKee"/>
        <s v="Amy Locane"/>
        <s v="Evan McGuire"/>
        <s v="Mary Catherine Garrison"/>
        <s v="Rory Culkin"/>
        <s v="Alexa Havins"/>
        <s v="Kesun Loder"/>
        <s v="William Shimell"/>
        <s v="Tesshô Genda"/>
        <s v="Julie LeBreton"/>
        <s v="Jack Kao"/>
        <s v="Darren Boyd"/>
        <s v="Natalie Coughlin"/>
        <s v="Jean-Claude Lecas"/>
        <s v="Kacey Clarke"/>
        <s v="Anna Katarina"/>
        <s v="Craig Sheffer"/>
        <s v="Patti LuPone"/>
        <s v="Vivica A. Fox"/>
        <s v="Garvin Cross"/>
        <s v="Ángela Molina"/>
        <s v="Todd Louiso"/>
        <s v="Stanislav Ianevski"/>
        <s v="Ellie Kendrick"/>
        <s v="Nastassja Kinski"/>
        <s v="Alan Van Sprang"/>
        <s v="Richard Bull"/>
        <s v="Tiffany Dupont"/>
        <s v="Roschdy Zem"/>
        <s v="Natalie Mendoza"/>
        <s v="Razaaq Adoti"/>
        <s v="Vic Aviles"/>
        <s v="Danielle Darrieux"/>
        <s v="Jennifer Ulrich"/>
        <s v="Charles Baker"/>
        <s v="Ayla Kell"/>
        <s v="Rainn Wilson"/>
        <s v="Brahim Achabbakhe"/>
        <s v="Jill St. John"/>
        <s v="Lee Ving"/>
        <s v="Geneviève Lemon"/>
        <s v="Angus Sampson"/>
        <s v="Clifton James"/>
        <s v="Cody Linley"/>
        <s v="Paulina Gerzon"/>
        <s v="Kwesi Ameyaw"/>
        <s v="Peter Ustinov"/>
        <s v="Craig Conway"/>
        <s v="Bob Costas"/>
        <s v="Vanessa Ray"/>
        <s v="Emma Caulfield"/>
        <s v="Nia Long"/>
        <s v="Erin Daniels"/>
        <s v="Charles Aidman"/>
        <s v="Peter Breitmayer"/>
        <s v="Darryl Stephens"/>
        <s v="Anupam Kher"/>
        <s v="Deborah Mailman"/>
        <s v="Lil' Wayne"/>
        <s v="Alastair Duncan"/>
        <s v="Miriama Smith"/>
        <s v="Katie Aselton"/>
        <s v="Ashley Gerasimovich"/>
        <s v="Jennifer Butler"/>
        <s v="Rick Rossovich"/>
        <s v="Carla Gallo"/>
        <s v="Jack O'Halloran"/>
        <s v="Valérie Lemercier"/>
        <s v="Erin Wasson"/>
        <s v="Derek Wayne Johnson"/>
        <s v="Richard Graham"/>
        <s v="Eleanor Bron"/>
        <s v="Luke Grimes"/>
        <s v="Valentin Golubenko"/>
        <s v="Paul Sanchez"/>
        <s v="Bob Marley"/>
        <s v="Stephen Au"/>
        <s v="Ivan Okhlobystin"/>
        <s v="Cindy Robinson"/>
        <s v="Sydney Penny"/>
        <s v="Julian Sands"/>
        <s v="Olesya Rulin"/>
        <s v="John Ralston"/>
        <s v="Travis Aaron Wade"/>
        <s v="Maria Schrader"/>
        <s v="Tim DeKay"/>
        <s v="Mark De Alessandro"/>
        <s v="Gil Bellows"/>
        <s v="Ahmad Massad"/>
        <s v="Giulia Michelini"/>
        <s v="André Ramiro"/>
        <s v="Gabriel Bateman"/>
        <s v="Jessica Mauboy"/>
        <s v="Na'Blonka Durden"/>
        <s v="Danielle von Zerneck"/>
        <s v="Sandy Dennis"/>
        <s v="Nancy Allen"/>
        <s v="Jake Cherry"/>
        <s v="Eric Christmas"/>
        <s v="Matthias Habich"/>
        <s v="Stellan Skarsgård"/>
        <s v="Eamonn Walker"/>
        <s v="Temuera Morrison"/>
        <s v="Burghart Klaußner"/>
        <s v="Maurice Roëves"/>
        <s v="Beverly Randolph"/>
        <s v="Marco D'Amore"/>
        <s v="Sid Caesar"/>
        <s v="Ricky Martin"/>
        <s v="Kenneth Mars"/>
        <s v="Elsa Lanchester"/>
        <s v="Richard Beymer"/>
        <s v="Matthew Borlenghi"/>
        <s v="Erik Estrada"/>
        <s v="Ajay Naidu"/>
        <s v="Jennifer Jones"/>
        <s v="Tom Atkins"/>
        <s v="Rachel Blakely"/>
        <s v="John Lynch"/>
        <s v="David Alan Grier"/>
        <s v="Abby Mukiibi Nkaaga"/>
        <s v="Rick Dial"/>
        <s v="Amy Madigan"/>
        <s v="Olivia Wilde"/>
        <s v="Luis E. Carazo"/>
        <s v="Dominik García-Lorido"/>
        <s v="Wale Ojo"/>
        <s v="Raquel Alessi"/>
        <s v="Lawrence Gilliard Jr."/>
        <s v="Enrico Colantoni"/>
        <s v="Todd Susman"/>
        <s v="Alexis Kendra"/>
        <s v="Polly Noonan"/>
        <s v="Frederick Weller"/>
        <s v="L.Q. Jones"/>
        <s v="Pamela Salem"/>
        <s v="Paul Popplewell"/>
        <s v="Marc Singer"/>
        <s v="Sammy Nagi Njuguna"/>
        <s v="Mélanie Doutey"/>
        <s v="Cara Seymour"/>
        <s v="Ji-hyun Jun"/>
        <s v="Ritchie Montgomery"/>
        <s v="Peter McNamara"/>
        <s v="Bill Baird"/>
        <s v="Robert Wahlberg"/>
        <s v="John Bell"/>
        <s v="Reiner Schwarz"/>
        <s v="Iddo Goldberg"/>
        <s v="Li Jun Li"/>
        <s v="Martijn Lakemeier"/>
        <s v="Bill Duke"/>
        <s v="Michel Simon"/>
        <s v="Trieu Tran"/>
        <s v="Johnny Nguyen"/>
        <s v="James Buckley"/>
        <s v="Eva Marcille"/>
        <s v="Johnny Lever"/>
        <s v="Andrea Ros"/>
        <s v="Kayla Raparelli"/>
        <s v="Nicholas Bell"/>
        <s v="Tony Danza"/>
        <s v="John Hillerman"/>
        <s v="Gérard Jugnot"/>
        <s v="Claudia Ferri"/>
        <s v="Franky G"/>
        <s v="Danny Aiello"/>
        <s v="Jean-Pierre Darroussin"/>
        <s v="Jo Prestia"/>
        <s v="Shinobu Terajima"/>
        <s v="Madhavan"/>
        <s v="David Dastmalchian"/>
        <s v="Mike Eshaq"/>
        <s v="Ron Silver"/>
        <s v="Shane Meadows"/>
        <s v="Julie R. Ølgaard"/>
        <s v="Bronagh Gallagher"/>
        <s v="Gordon Pinsent"/>
        <s v="Colin Farrell"/>
        <s v="George Voskovec"/>
        <s v="Prateik"/>
        <s v="Shawnee Smith"/>
        <s v="Sumalee Montano"/>
        <s v="Christopher Nicholas Smith"/>
        <s v="Daren Kagasoff"/>
        <s v="Jennifer Rubin"/>
        <s v="Hugo Stiglitz"/>
        <s v="Alisha Boe"/>
        <s v="Victor Mature"/>
        <s v="Catherine Schell"/>
        <s v="Yaphet Kotto"/>
        <s v="Paul Lukas"/>
        <s v="Molly Ephraim"/>
        <s v="Donald Glover"/>
        <s v="Jorja Fox"/>
        <s v="Garrett Ryan"/>
        <s v="Brian O'Halloran"/>
        <s v="Jamie Draven"/>
        <s v="Helen Martin"/>
        <s v="Tom Burlinson"/>
        <s v="Alice Playten"/>
        <s v="June Carter Cash"/>
        <s v="Diana Scarwid"/>
        <s v="David Kross"/>
        <s v="Chrystale Wilson"/>
        <s v="Perdita Weeks"/>
        <s v="Sharon Leal"/>
        <s v="Persis Khambatta"/>
        <s v="Scott Reeves"/>
        <s v="Rachel Korine"/>
        <s v="María Aura"/>
        <s v="Miriam Colon"/>
        <s v="Ellie Cornell"/>
        <s v="Clayton Rohner"/>
        <s v="Robert Beltran"/>
        <s v="Andrew Airlie"/>
        <s v="Sahajak Boonthanakit"/>
        <s v="Finlay Currie"/>
        <s v="Wood Harris"/>
        <s v="Adolphe Menjou"/>
        <s v="Lauren London"/>
        <s v="Mona Marshall"/>
        <s v="Eva Amurri Martino"/>
        <s v="Marina Hands"/>
        <s v="Nicol Williamson"/>
        <s v="Michael Richards"/>
        <s v="Shirley Jones"/>
        <s v="Jessica Walter"/>
        <s v="Jack Elam"/>
        <s v="Jonathan Silverman"/>
        <s v="Carter Jenkins"/>
        <s v="Chloe Hollings"/>
        <s v="Simon Baker"/>
        <s v="Olivier Rabourdin"/>
        <s v="Bess Armstrong"/>
        <s v="Liz Mullane"/>
        <s v="Cynthia Barrett"/>
        <s v="Angela Featherstone"/>
        <s v="Marilyn Manson"/>
        <s v="Winter Ave Zoli"/>
        <s v="Kristoffer Polaha"/>
        <s v="Lumi Cavazos"/>
        <s v="Darshan Jariwala"/>
        <s v="Ken Davis"/>
        <s v="Jim Byrnes"/>
        <s v="Laraine Day"/>
        <s v="Sara Gilbert"/>
        <s v="Corey Sevier"/>
        <s v="Olivia DeJonge"/>
        <s v="Kel O'Neill"/>
        <s v="Alice Evans"/>
        <s v="Jelena Nik"/>
        <s v="Marta Etura"/>
        <s v="Georgia Groome"/>
        <s v="Katie Leclerc"/>
        <s v="Timothy Omundson"/>
        <s v="David Adam Flannery"/>
        <s v="Nicholas Gonzalez"/>
        <s v="Tomiwa Edun"/>
        <s v="Lisa Kay"/>
        <s v="Costas Mandylor"/>
        <s v="Ed Quinn"/>
        <s v="Milan Lasica"/>
        <s v="Birol Ünel"/>
        <s v="Joseph Mawle"/>
        <s v="Robert Longstreet"/>
        <s v="Katherine Helmond"/>
        <s v="Jim Siedow"/>
        <s v="Yayaying Rhatha Phongam"/>
        <s v="Emmanuelle Bercot"/>
        <s v="Camryn Manheim"/>
        <s v="Dileep Raj"/>
        <s v="Jack McElhone"/>
        <s v="Zinedine Soualem"/>
        <s v="Kim Ly"/>
        <s v="Paul Glover"/>
        <s v="Vincent Schiavelli"/>
        <s v="James Robertson Justice"/>
        <s v="KaDee Strickland"/>
        <s v="Peter Spellos"/>
        <s v="Louise Lasser"/>
        <s v="Frank McHugh"/>
        <s v="Miguel Ángel Solá"/>
        <s v="Juan Fernández"/>
        <s v="James Duval"/>
        <s v="Joaquín Cosio"/>
        <s v="Hans Kesting"/>
        <s v="Debbie Harry"/>
        <s v="Hye-jeong Kang"/>
        <s v="Marie Féret"/>
        <s v="Danny Dyer"/>
        <s v="Lyubov Agapova"/>
        <s v="Dimple Kapadia"/>
        <s v="Louise Fletcher"/>
        <s v="Braeden Lemasters"/>
        <s v="Purab Kohli"/>
        <s v="Megan Follows"/>
        <s v="Lateef Crowder"/>
        <s v="Alan Ford"/>
        <s v="Amanda Redman"/>
        <s v="Matias Varela"/>
        <s v="Tammy Davis"/>
        <s v="Paresh Rawal"/>
        <s v="Anna Katharina Schwabroh"/>
        <s v="Zhanna Friske"/>
        <s v="Tony Ganios"/>
        <s v="Kathleen Munroe"/>
        <s v="S. William Hinzman"/>
        <s v="Catherine Lambert"/>
        <s v="Cornel Wilde"/>
        <s v="Marcus Lyle Brown"/>
        <s v="David A Cole"/>
        <s v="Lochlyn Munro"/>
        <s v="David Wayne"/>
        <s v="Adam Hicks"/>
        <s v="Sidney James"/>
        <s v="Yaya DaCosta"/>
        <s v="George 'Buck' Flower"/>
        <s v="Gordon Jackson"/>
        <s v="Armin Shimerman"/>
        <s v="Ashley Bell"/>
        <s v="Libby Villari"/>
        <s v="DJ Pooh"/>
        <s v="Thelma Ritter"/>
        <s v="Peter Appel"/>
        <s v="Fernando Cayo"/>
        <s v="Gabriel Iglesias"/>
        <s v="Philippe Noiret"/>
        <s v="Amy Hill"/>
        <s v="Lili Taylor"/>
        <s v="Lesley Ann Warren"/>
        <s v="Benjamin Fletcher"/>
        <s v="Bill Johnson"/>
        <s v="Rob Brydon"/>
        <s v="Puti Sri Candra Dewi"/>
        <s v="Richard Lynch"/>
        <s v="Elena Satine"/>
        <s v="Denis Lavant"/>
        <s v="Ronnie Gene Blevins"/>
        <s v="Hal Landon Jr."/>
        <s v="Beth Broderick"/>
        <s v="Arcelia Ramírez"/>
        <s v="Zoe Levin"/>
        <s v="Rob Jarvis"/>
        <s v="Olivia d'Abo"/>
        <s v="Aida Folch"/>
        <s v="Nick Damici"/>
        <s v="Brandon Mychal Smith"/>
        <s v="Jesuíta Barbosa"/>
        <s v="Marie-Josée Croze"/>
        <s v="Eugenia Khirivskaya"/>
        <s v="Howard Caine"/>
        <s v="Fadia Nadda"/>
        <s v="James Hall"/>
        <s v="Peter Jacobson"/>
        <s v="Kira McLean"/>
        <s v="Victoria Thaine"/>
        <s v="Black Thomas"/>
        <s v="Brooke D'Orsay"/>
        <s v="Diana Vickers"/>
        <s v="Paul Scofield"/>
        <s v="William Holden"/>
        <s v="Thomas Mitchell"/>
        <s v="Marama Corlett"/>
        <s v="Warren Oates"/>
        <s v="Betty Hutton"/>
        <s v="Alex Macqueen"/>
        <s v="Fernanda Torres"/>
        <s v="Ellen Ross"/>
        <s v="Mike Farrell"/>
        <s v="John McGiver"/>
        <s v="Lesley Sharp"/>
        <s v="Barbara Billingsley"/>
        <s v="Jon Osbeck"/>
        <s v="Tony Cox"/>
        <s v="Khandi Alexander"/>
        <s v="Dorothy Lamour"/>
        <s v="Will Geer"/>
        <s v="Beatrice Straight"/>
        <s v="Shelley Winters"/>
        <s v="Clive Swift"/>
        <s v="Anthony Johnson"/>
        <s v="Michael McGlone"/>
        <s v="Kevin J. O'Connor"/>
        <s v="Guillermo Francella"/>
        <s v="Derek Magyar"/>
        <s v="Kassie Wesley DePaiva"/>
        <s v="Robert Vaughn"/>
        <s v="Cassandra Scerbo"/>
        <s v="Damián Delgado"/>
        <s v="Glenn Erland Tosterud"/>
        <s v="Lara Jean Chorostecki"/>
        <s v="Blaine Anderson"/>
        <s v="Robert Townsend"/>
        <s v="Genevieve O'Reilly"/>
        <s v="Jere Burns"/>
        <s v="Grey Griffin"/>
        <s v="Peter Agnefjall"/>
        <s v="Ralitsa Paskaleva"/>
        <s v="Glen Murphy"/>
        <s v="Dick Van Patten"/>
        <s v="Ashley Williams"/>
        <s v="Edward Conna"/>
        <s v="Alexandre Rodrigues"/>
        <s v="Luis Antonio"/>
        <s v="Piper Laurie"/>
        <s v="Hana Shuan"/>
        <s v="Scott Schwartz"/>
        <s v="Timothy Van Patten"/>
        <s v="Josh Hopkins"/>
        <s v="Angélica Sancio"/>
        <s v="Charles Grodin"/>
        <s v="Vera Miles"/>
        <s v="Amy Irving"/>
        <s v="Yenny Paola Vega"/>
        <s v="Mary Page Keller"/>
        <s v="Henry Rollins"/>
        <s v="Caleb Landry Jones"/>
        <s v="Micah Sloat"/>
        <s v="Ni Yan"/>
        <s v="Denholm Elliott"/>
        <s v="James Ransone"/>
        <s v="Dayna Devon"/>
        <s v="Jack Carson"/>
        <s v="Victor Buono"/>
        <s v="Lisa Ortiz"/>
        <s v="Vincent Guastaferro"/>
        <s v="Tonya Lee Williams"/>
        <s v="David White"/>
        <s v="Erin Gray"/>
        <s v="David Opatoshu"/>
        <s v="Lauryn Hill"/>
        <s v="Bobby Brown"/>
        <s v="Edward Andrews"/>
        <s v="Countess Vaughn"/>
        <s v="Breckin Meyer"/>
        <s v="Harry Carey Jr."/>
        <s v="Joyful Drake"/>
        <s v="Athina Rachel Tsangari"/>
        <s v="Kim Darby"/>
        <s v="James Le Gros"/>
        <s v="Clifton Powell"/>
        <s v="Seema Biswas"/>
        <s v="David Heyman"/>
        <s v="Rekha"/>
        <s v="Ann Morgan Guilbert"/>
        <s v="Julie Dawn Cole"/>
        <s v="Paula Marshall"/>
        <s v="Dyan Cannon"/>
        <s v="Richard Libertini"/>
        <s v="Jeff Conaway"/>
        <s v="Courtney Love"/>
        <s v="Rapulana Seiphemo"/>
        <s v="Robert Noble"/>
        <s v="Michael Parks"/>
        <s v="Christopher Schmidt"/>
        <s v="Molly Dunsworth"/>
        <s v="Erick Elias"/>
        <s v="Brianna Brown"/>
        <s v="Jason Maza"/>
        <s v="Andrew Rannells"/>
        <s v="Zach Grenier"/>
        <s v="Lindsey Haun"/>
        <s v="Bob Ross"/>
        <s v="Tim Healy"/>
        <s v="Robert Stadlober"/>
        <s v="Brendan Fehr"/>
        <s v="Noah Segan"/>
        <s v="Peter Onorati"/>
        <s v="Rosanna Arquette"/>
        <s v="Jim Norton"/>
        <s v="David Douglas"/>
        <s v="Talia Shire"/>
        <s v="Chris Kattan"/>
        <s v="Emily Nelson"/>
        <s v="Olivia Alexander"/>
        <s v="Jillian Murray"/>
        <s v="Carroll O'Connor"/>
        <s v="Salvatore Santone"/>
        <s v="Jason Priestley"/>
        <s v="John Robinson"/>
        <s v="Brett Wagner"/>
        <s v="Fabio Testi"/>
        <s v="Shea Whigham"/>
        <s v="Othon Bastos"/>
        <s v="Scott Evans"/>
        <s v="Brenda Vaccaro"/>
        <s v="Mia Barron"/>
        <s v="Tempestt Bledsoe"/>
        <s v="Oana Pellea"/>
        <s v="Kelly Paterniti"/>
        <s v="Allegra Carpenter"/>
        <s v="Elise Neal"/>
        <s v="George Raft"/>
        <s v="William Butler"/>
        <s v="Billie Burke"/>
        <s v="Joe Dinicol"/>
        <s v="Jimmy Shergill"/>
        <s v="Vanessa Zima"/>
        <s v="Hoyt Axton"/>
        <s v="Diljit Dosanjh"/>
        <s v="Casper Christensen"/>
        <s v="Henri Garcin"/>
        <s v="Irene Dunne"/>
        <s v="Kimberly Beck"/>
        <s v="Agata Kulesza"/>
        <s v="Laird John Hamilton"/>
        <s v="Bárbara Goenaga"/>
        <s v="Zheng Xu"/>
        <s v="Cyd Charisse"/>
        <s v="Amy Badberg"/>
        <s v="Dinesh D'Souza"/>
        <s v="Nancy Kyes"/>
        <s v="Sal Mineo"/>
        <s v="Whit Bissell"/>
        <s v="Dana Hanna"/>
        <s v="Flea"/>
        <s v="Jill Flint"/>
        <s v="Dominik Castell"/>
        <s v="Jean Pierre Bergeron"/>
        <s v="Jessica Hecht"/>
        <s v="Tannishtha Chatterjee"/>
        <s v="Ana Gasteyer"/>
        <s v="Amanda Plummer"/>
        <s v="Dayo Okeniyi"/>
        <s v="Michael Bower"/>
        <s v="Steve Burg"/>
        <s v="George W. Bush"/>
        <s v="George Harris"/>
        <s v="Gavin Newsom"/>
        <s v="Shriya Saran"/>
        <s v="Sebastian Blomberg"/>
        <s v="Tenoch Huerta"/>
        <s v="Paul T. Taylor"/>
        <s v="David Masterson"/>
        <s v="Justine Waddell"/>
        <s v="Kris Sommerville"/>
        <s v="Jack O'Connell"/>
        <s v="Bianca Brigitte VanDamme"/>
        <s v="Red Skelton"/>
        <s v="Rene Rosado"/>
        <s v="Alexandra Holden"/>
        <s v="Howard Keel"/>
        <s v="Luke Perry"/>
        <s v="Christopher Heyerdahl"/>
        <s v="Mindy Sterling"/>
        <s v="Ivette Alvarez"/>
        <s v="Catherine Parks"/>
        <s v="Dominick Brascia"/>
        <s v="Linden Ashby"/>
        <s v="Lionel Barrymore"/>
        <s v="Brad Schmidt"/>
        <s v="Shobu Kapoor"/>
        <s v="Stefanie Drummond"/>
        <s v="Dana Andrews"/>
        <s v="Sven Nordin"/>
        <s v="Brad Lee Wind"/>
        <s v="Carlos Lasarte"/>
        <s v="Cheyenne Haynes"/>
        <s v="Carmen Argenziano"/>
        <s v="Louise Brealey"/>
        <s v="Shaun O'Hagan"/>
        <s v="Lisa Gaye"/>
        <s v="Crystal R. Fox"/>
        <s v="Mews Small"/>
        <s v="Jake Weary"/>
        <s v="William Windom"/>
        <s v="Kjell Nilsson"/>
        <s v="Ho-Sung Pak"/>
        <s v="Jeannetta Arnette"/>
        <s v="Adam Trese"/>
        <s v="T.C. Stallings"/>
        <s v="Claudette Colbert"/>
        <s v="Béatrice Bonifassi"/>
        <s v="Daniel Tay"/>
        <s v="Marie Pillet"/>
        <s v="Goya Toledo"/>
        <s v="Kip Pardue"/>
        <s v="John Garfield"/>
        <s v="Lauren Sweetser"/>
        <s v="Joe Simpson"/>
        <s v="John Carradine"/>
        <s v="Miranda July"/>
        <s v="Barney Frank"/>
        <s v="Jonny Weston"/>
        <s v="Richard Portnow"/>
        <s v="Sydelle Noel"/>
        <s v="Rose Marie"/>
        <s v="Raphael Barker"/>
        <s v="Zahava Solomon"/>
        <s v="Bruce Newbold"/>
        <s v="Donald Rumsfeld"/>
        <s v="Austin Lyon"/>
        <s v="Debrah Farentino"/>
        <s v="Neil Armstrong"/>
        <s v="Linda Lovelace"/>
        <s v="Zack Pearlman"/>
        <s v="Jean-Hugues Anglade"/>
        <s v="John Hensley"/>
        <s v="Kim De Angelo"/>
        <s v="Shakti Kapoor"/>
        <s v="Kate Magowan"/>
        <s v="Karl Collins"/>
        <s v="Salli Richardson-Whitfield"/>
        <s v="Javed Jaffrey"/>
        <s v="Chuck Zito"/>
        <s v="Tiya Sircar"/>
        <s v="Charly Bivona"/>
        <s v="Paul Adelstein"/>
        <s v="Sarah Douglas"/>
        <s v="Dane Cook"/>
        <s v="Michelle Hurst"/>
        <s v="Kaiwi Lyman-Mersereau"/>
        <s v="Lorraine Stanley"/>
        <s v="Marlene Forte"/>
        <s v="Silvia Colloca"/>
        <s v="Robert Hobbs"/>
        <s v="Ian McNeice"/>
        <s v="Ashleigh Gryzko"/>
        <s v="Jemma Curran"/>
        <s v="Louis Walsh"/>
        <s v="Kathy Uyen"/>
        <s v="Ricardo Chavira"/>
        <s v="Amy Yasbeck"/>
        <s v="Ted de Corsia"/>
        <s v="Mark Rolston"/>
        <s v="Matt Lucas"/>
        <s v="Paul Williams"/>
        <s v="Karin Dor"/>
        <s v="Josh Meyers"/>
        <s v="Phil Silvers"/>
        <s v="Steve Earle"/>
        <s v="Dave Sheridan"/>
        <s v="James Chalke"/>
        <s v="David Lewis"/>
        <s v="Erik Palladino"/>
        <s v="Aida Elkashef"/>
        <s v="Pierre Perrier"/>
        <s v="Prabhudheva"/>
        <s v="Jean-Louis Blondeau"/>
        <s v="Rachel Nash"/>
        <s v="Patrick Fabian"/>
        <s v="Kim Hunter"/>
        <s v="Keenan Wynn"/>
        <s v="Pedro Armendáriz Jr."/>
        <s v="Dwight Henry"/>
        <s v="Claude Akins"/>
        <s v="Brahmanandam"/>
        <s v="Donald Trump"/>
        <s v="Sonam Kinga"/>
        <s v="Alan Hale Jr."/>
        <s v="Bree Williamson"/>
        <s v="Nicholas Carella"/>
        <s v="Armin Rohde"/>
        <s v="Erin Pitt"/>
        <s v="Circus-Szalewski"/>
        <s v="Kate del Castillo"/>
        <s v="John Randolph"/>
        <s v="Karen Allen"/>
        <s v="Daniel Franzese"/>
        <s v="Dean Andrews"/>
        <s v="Stephanie Leonidas"/>
        <s v="Deborah Kerr"/>
        <s v="Victor McLaglen"/>
        <s v="Marla Gibbs"/>
        <s v="Nadine Labaki"/>
        <s v="Alejandro Furth"/>
        <s v="Yousef 'Joe' Sweid"/>
        <s v="Cindy Williams"/>
        <s v="Bhoomika Chawla"/>
        <s v="Michel Bouquet"/>
        <s v="Nicky Katt"/>
        <s v="Samuel Davis"/>
        <s v="Ken Siu"/>
        <s v="Justin Pierce"/>
        <s v="Owen Kline"/>
        <s v="Brian Stepanek"/>
        <s v="Sam Medina"/>
        <s v="Leo G. Carroll"/>
        <s v="Sarah Polley"/>
        <s v="Jan-Michael Vincent"/>
        <s v="Philip Friedman"/>
        <s v="Miguel Sandoval"/>
        <s v="Leticia Brédice"/>
        <s v="Yaakov Peri"/>
        <s v="Ryan McDonald"/>
        <s v="Summer Phoenix"/>
        <s v="Malone Thomas"/>
        <s v="Evan Ross"/>
        <s v="Joel Murray"/>
        <s v="Fred Malatesta"/>
        <s v="Timothy Patrick Quill"/>
        <s v="Darren E. Burrows"/>
        <s v="Ronnie Lazaro"/>
        <s v="Boyd Banks"/>
        <s v="Michael Elian"/>
        <s v="Michael Berryman"/>
        <s v="Cameron Rhodes"/>
        <s v="Matt Hunter"/>
        <s v="Kyla Wise"/>
        <s v="Martin Hancock"/>
        <s v="John DeSantis"/>
        <s v="Lydia Hearst"/>
        <s v="Kiowa Gordon"/>
        <s v="Lucille La Verne"/>
        <s v="María Alche"/>
        <s v="Honor Blackman"/>
        <s v="John Bailey"/>
        <s v="Cullen Douglas"/>
        <s v="Chasty Ballesteros"/>
        <s v="Laurent Poitrenaux"/>
        <s v="Angela Jones"/>
        <s v="Burt Ward"/>
        <s v="Trine Dyrholm"/>
        <s v="Cat Ly"/>
        <s v="Georgina Reilly"/>
        <s v="Kristen Cloke"/>
        <s v="Mirlan Abdulayev"/>
        <s v="Tim Choate"/>
        <s v="Samantha McLeod"/>
        <s v="Matt Crabtree"/>
        <s v="Christopher Atkins"/>
        <s v="George Sanders"/>
        <s v="Amy Steel"/>
        <s v="Frank Faylen"/>
        <s v="Sam McMurray"/>
        <s v="Jorge Diaz"/>
        <s v="Will Wright"/>
        <s v="Barry Fitzgerald"/>
        <s v="Felicia Pearson"/>
        <s v="Steven Brill"/>
        <s v="Ben Youcef"/>
        <s v="José Manuel Orozco Angulo"/>
        <s v="Royal Dano"/>
        <s v="Scott Elrod"/>
        <s v="Gale Sondergaard"/>
        <s v="Enzo Petito"/>
        <s v="Luis Miranda"/>
        <s v="Eric Lange"/>
        <s v="Zoë Poledouris"/>
        <s v="Yassine Azzouz"/>
        <s v="Juan Carlos Montoya"/>
        <s v="Jim Cody Williams"/>
        <s v="Spring Byington"/>
        <s v="Michael Eisner"/>
        <s v="Chelsey Reist"/>
        <s v="Brittney Powell"/>
        <s v="Calvin Lockhart"/>
        <s v="Patrick Muldoon"/>
        <s v="Dustin Diamond"/>
        <s v="George Newton"/>
        <s v="Lucy Fry"/>
        <s v="Susan Tyrrell"/>
        <s v="Brent Neale"/>
        <s v="Jeanne Neilson"/>
        <s v="Eva Bourne"/>
        <s v="Donny Alamsyah"/>
        <s v="Matthew R. Anderson"/>
        <s v="Joe Marino"/>
        <s v="Conrad Veidt"/>
        <s v="Martin Sharpe"/>
        <s v="Gauhar Khan"/>
        <s v="Jesse Vint"/>
        <s v="Gitte Witt"/>
        <s v="Hugh Griffith"/>
        <s v="Heather Sossaman"/>
        <s v="Dee Wallace"/>
        <s v="Jonathan Sadowski"/>
        <s v="Clare Higgins"/>
        <s v="Maria Canals-Barrera"/>
        <s v="Lindy Booth"/>
        <s v="Sakae Kimura"/>
        <s v="Paul Borghese"/>
        <s v="Brian Johnson"/>
        <s v="Harrison Page"/>
        <s v="Debra Paget"/>
        <s v="Forrest Tucker"/>
        <s v="Albert Maysles"/>
        <s v="Magda Apanowicz"/>
        <s v="Niamh Cusack"/>
        <s v="Rhea Perlman"/>
        <s v="Barbara Kowalcyk"/>
        <s v="Jason Burkey"/>
        <s v="Kathleen Rose Perkins"/>
        <s v="Jake Lacy"/>
        <s v="Misty Upham"/>
        <s v="Merry Clayton"/>
        <s v="Angel David"/>
        <s v="Colette Divine"/>
        <s v="Ella Joyce"/>
        <s v="Bonz Malone"/>
        <s v="Rick Macy"/>
        <s v="Jaya Bhaduri"/>
        <s v="Matt Stone"/>
        <s v="Kathryn Erbe"/>
        <s v="Olivia Crocicchia"/>
        <s v="Ranin Karim"/>
        <s v="Chase Ellison"/>
        <s v="Venida Evans"/>
        <s v="Syamsul Arifin"/>
        <s v="Greg D'Agostino"/>
        <s v="Ahmet Ertegun"/>
        <s v="Aasheekaa Bathija"/>
        <s v="Melissa Gilbert"/>
        <s v="Anthony Powell"/>
        <s v="Jason Bateman"/>
        <s v="Raquel Elizabeth Ames"/>
        <s v="Sunil Shetty"/>
        <s v="Adrienne Frantz"/>
        <s v="James Lorinz"/>
        <s v="Hallee Hirsh"/>
        <s v="Jonathon Trent"/>
        <s v="Meredith Hagner"/>
        <s v="Ian Bohen"/>
        <s v="Veronica Cartwright"/>
        <s v="Jennifer Sky"/>
        <s v="Jesse Hutch"/>
        <s v="Heather Bucha"/>
        <s v="Gabriel Reyes"/>
        <s v="Javed Sheikh"/>
        <s v="Laura Breckenridge"/>
        <s v="James Eckhouse"/>
        <s v="Alicia Ziegler"/>
        <s v="Louise Sorel"/>
        <s v="Janet Hubert"/>
        <s v="Diane Venora"/>
        <s v="Kevin Hamedani"/>
        <s v="Tim Abell"/>
        <s v="Joseba Ugalde"/>
        <s v="Chrystee Pharris"/>
        <s v="Randy Jay Burrell"/>
        <s v="Jay Paulson"/>
        <s v="Jennie Jacques"/>
        <s v="Summer Napoles"/>
        <s v="Kristian Bruun"/>
        <s v="Fiona Dourif"/>
        <s v="Jarrod Phillips"/>
        <s v="Claire Bloom"/>
        <s v="Michael McMillian"/>
        <s v="Bruno Campos"/>
        <s v="Eartha Kitt"/>
        <s v="Eve Ensler"/>
        <s v="Alexandru Potocean"/>
        <s v="Jan Cornet"/>
        <s v="Patrick Wilson"/>
        <s v="Edie Falco"/>
        <s v="Sina Amedson"/>
        <s v="Ariana Neal"/>
        <s v="Ann Gillis"/>
        <s v="Adam Carolla"/>
        <s v="Teddy Doloir"/>
        <s v="Nia Vardalos"/>
        <s v="Hal Linden"/>
        <s v="Michelle Tabora"/>
        <s v="Matt Cohen"/>
        <s v="Peyman Moaadi"/>
        <s v="Joe Cassidy"/>
        <s v="Christina Vidal"/>
        <s v="Dorothy Lyman"/>
        <s v="Judy Marte"/>
        <s v="Fritz Kortner"/>
        <s v="Diane Baker"/>
        <s v="Claudia Lapacó"/>
        <s v="Arly Jover"/>
        <s v="Cherami Leigh"/>
        <s v="Ane Dahl Torp"/>
        <s v="Kirby Heyborne"/>
        <s v="Whit Spurgeon"/>
        <s v="Mackenzie Phillips"/>
        <s v="Donna Zovko"/>
        <s v="Jeanette Branch"/>
        <s v="Pat Healy"/>
        <s v="Dominique Sanda"/>
        <s v="Renee Faia"/>
        <s v="Tom Burke"/>
        <s v="Whitney Able"/>
        <s v="Michele Morrow"/>
        <s v="Lon Chaney Jr."/>
        <s v="Isiah Thomas"/>
        <s v="Tommy the Clown"/>
        <s v="Walter Masterson"/>
        <s v="Louis Ozawa Changchien"/>
        <s v="Jeff Lima"/>
        <s v="Max Gail"/>
        <s v="Chenoa Maxwell"/>
        <s v="Danielle Savre"/>
        <s v="Amy Lucas"/>
        <s v="Jane Goodall"/>
        <s v="Karolina Wydra"/>
        <s v="Michael Biehn"/>
        <s v="Eric Blore"/>
        <s v="Michael C. Williams"/>
        <s v="Joan Baez"/>
        <s v="Tara Strohmeier"/>
        <s v="Cynthia Watros"/>
        <s v="Tac Fitzgerald"/>
        <s v="Brent David Fraser"/>
        <s v="Exie Booker"/>
        <s v="Khaira Arby"/>
        <s v="Francine Blake"/>
        <s v="Lymari Nadal"/>
        <s v="Marianne Denicourt"/>
        <s v="John Brodsky"/>
        <s v="George Harrison"/>
        <s v="Andrej Nahtigal"/>
        <s v="Erin Bethea"/>
        <s v="Shriman Umeshanad Brahmachari"/>
        <s v="Edgar Buchanan"/>
        <s v="Daniel Travis"/>
        <s v="Abby Elliott"/>
        <s v="Tiffany Bolling"/>
        <s v="Paul Daggett"/>
        <s v="D. David Morin"/>
        <s v="Bob Dole"/>
        <s v="Mick Foley"/>
        <s v="Daryn Tufts"/>
        <s v="Mohamad Haref Harati"/>
        <s v="Jason Kravits"/>
        <s v="Denny Kirkwood"/>
        <s v="Curt Doussett"/>
        <s v="Lynn Cohen"/>
        <s v="Ti West"/>
        <s v="Dick Cavett"/>
        <s v="Kamatari Fujiwara"/>
        <s v="Mickey Hart"/>
        <s v="Nick Cave"/>
        <s v="Joe McQueen"/>
        <s v="Cecelia Antoinette"/>
        <s v="Garrett M. Brown"/>
        <s v="Eddie Spears"/>
        <s v="Ricky Catter"/>
        <s v="Matthew Cowles"/>
        <s v="Max Adler"/>
        <s v="Zhonghua Chen"/>
        <s v="Damon Albarn"/>
        <s v="Stafford Douglas"/>
        <s v="Chin-Chien Chang"/>
        <s v="Tony Bennett"/>
        <s v="Paddy Considine"/>
        <s v="Al Sapienza"/>
        <s v="Tom Stedham"/>
        <s v="Christopher Denham"/>
        <s v="Claudette Lalí"/>
        <s v="Vincent De Paul"/>
        <s v="Terrance Zdunich"/>
        <s v="Felix Avitia"/>
        <s v="Yassie Hawkes"/>
        <s v="Laura Flanders"/>
        <s v="Jamison Stalsworth"/>
        <s v="Pat Ryan"/>
        <s v="Matty Rich"/>
        <s v="Tim Pigott-Smith"/>
        <s v="Kate Graham"/>
        <s v="Michael Stahl-David"/>
        <s v="George Brent"/>
        <s v="Eric Worre"/>
        <s v="Ellia Thompson"/>
        <s v="Nils-Anders Vallgårda"/>
        <s v="Alan Pietruszewski"/>
        <s v="Amy Hargreaves"/>
        <s v="Amber Armstrong"/>
        <s v="Jeff Ament"/>
        <s v="Terry Jones"/>
        <s v="Alicia Sixtos"/>
        <s v="David Frederick White"/>
        <s v="Greg Grunberg"/>
        <s v="Renee Leblanc"/>
        <s v="Mike Huckabee"/>
        <s v="Alex Sanborn"/>
        <s v="Al Cliver"/>
        <s v="Melissa Bardin Galsky"/>
        <s v="Michelle Krusiec"/>
        <s v="Gordon Currie"/>
        <s v="Garry Cooper"/>
        <s v="Desmond Askew"/>
        <s v="Gabriel Hogan"/>
        <s v="Erland Josephson"/>
        <s v="Walter Long"/>
        <s v="James Doohan"/>
        <s v="Charles King"/>
        <s v="Liane Balaban"/>
        <s v="Andy Cohn"/>
        <s v="Larry Poindexter"/>
        <s v="Mike Block"/>
        <s v="David Lyons"/>
        <s v="Christian Kapper"/>
        <s v="Walter Connolly"/>
        <s v="Sissy Petropoulou"/>
        <s v="Todd Bridges"/>
        <s v="Lois Smith"/>
        <s v="Jane Bradbury"/>
        <s v="Thierry Harcourt"/>
        <s v="Will Oldham"/>
        <s v="Graziella Galvani"/>
        <s v="Ivan Dixon"/>
        <s v="Natasha Gregson Wagner"/>
        <s v="Christina Chambers"/>
        <s v="Darren Kendrick"/>
        <s v="Mary Norwood"/>
        <s v="Thom Mathews"/>
        <s v="Ryan Carnes"/>
        <s v="Raquel Nave"/>
        <s v="Vanna White"/>
        <s v="Ahmed Best"/>
        <s v="James McCaffrey"/>
        <s v="Raven Goodwin"/>
        <s v="Ron Roggé"/>
        <s v="Collin Kahey"/>
        <s v="Stephanie Berry"/>
        <s v="Chris Weitz"/>
        <s v="Anil Kumar"/>
        <s v="Barbie Castro"/>
        <s v="Nicole de Boer"/>
        <s v="Matt Day"/>
        <s v="Richard Spore"/>
        <s v="Finola Hughes"/>
        <s v="Clint Jung"/>
        <s v="John Doe"/>
        <s v="Jackie Nova"/>
        <s v="James Deen"/>
        <s v="Sarah Lancashire"/>
        <s v="Dominic Colón"/>
        <s v="Travis Smith"/>
        <s v="Pollyanna McIntosh"/>
        <s v="Terumi Matthews"/>
        <s v="Debra Lynn Hull"/>
        <s v="Kirsten Collins"/>
        <s v="Jessica Duffy"/>
        <s v="Charles Irving Beale"/>
        <s v="Tim Bagley"/>
        <s v="Stuart Whitman"/>
        <s v="Jeff Jacob"/>
        <s v="Sedona James"/>
        <s v="Annelyse Ahmad"/>
        <s v="Claire Adams"/>
        <s v="Travis Betz"/>
        <s v="Sheldon Bailey"/>
        <s v="Matt King"/>
        <s v="Greg Jackson"/>
        <s v="Craig Dougherty"/>
        <s v="Matt Keeslar"/>
        <s v="William Condos"/>
        <s v="Ross Elliott"/>
        <s v="Joanne Samuel"/>
        <s v="Blake Lindsley"/>
        <s v="Aldo Sambrell"/>
        <s v="Louise Beavers"/>
        <s v="Swami Krishnanad"/>
        <s v="Michael Higgenbottom"/>
        <s v="Lorraine Toussaint"/>
        <s v="Sophie Rois"/>
        <s v="Cynthia Geary"/>
        <s v="Madeleine Albright"/>
        <s v="Richard Glover"/>
        <s v="Bethany Blakey"/>
        <s v="John Reardon"/>
        <s v="Elise Muller"/>
        <s v="Ali Daniels"/>
        <s v="Léon Schwartzenberg"/>
        <s v="Ejner Federspiel"/>
        <s v="David Lee Smith"/>
        <s v="John Reeves"/>
        <s v="Bruce Gooch"/>
        <s v="H.M. Wynant"/>
        <s v="Matthew Gumley"/>
        <s v="Elaine Bromka"/>
        <s v="Mohammad Amir Naji"/>
        <s v="Vauxhall Jermaine"/>
        <s v="Tracy Camilla Johns"/>
        <s v="Emily Gorell"/>
        <s v="Ana Vatamanu"/>
        <s v="Flint Beverage"/>
        <s v="Melvin Van Peebles"/>
        <s v="Sienna Beckman"/>
        <s v="Darren Healy"/>
        <s v="Max Kerstein"/>
        <s v="Simon Baron-Cohen"/>
        <s v="Kate Ashfield"/>
        <s v="Lia Tucker"/>
        <s v="Christopher Shea"/>
        <s v="Mike Brett"/>
        <s v="Kayden Kross"/>
        <s v="Michael Landers"/>
        <s v="Bob Eubanks"/>
        <s v="Samantha Esteban"/>
        <s v="Constance Wu"/>
        <s v="Mel Eslyn"/>
        <s v="Paul McGillion"/>
        <s v="Rita Maiden"/>
        <s v="Christopher Robin Miller"/>
        <s v="Shannen Fields"/>
        <s v="Reese Mishler"/>
        <s v="Charlotte Stewart"/>
        <s v="Mary Carr"/>
        <s v="Wilbur 'Hi-Fi' White"/>
        <s v="Larry Blamire"/>
        <s v="Brandon Middleton"/>
        <s v="Elissa Dowling"/>
        <s v="Phil Fish"/>
        <s v="Arthur O'Connell"/>
        <s v="Johnathan Hurley"/>
        <s v="Andrew Keir"/>
        <s v="David Barnes"/>
        <s v="Arik Ascherman"/>
        <s v="Stanley B. Herman"/>
        <s v="Tim DeZarn"/>
        <s v="Robert McKee"/>
        <s v="A.J. DeLucia"/>
        <s v="Amelia Giancarlo"/>
        <s v="James DeBello"/>
        <s v="Bruce Kerr"/>
        <s v="Loanne Bishop"/>
        <s v="Erin Cipolletti"/>
        <s v="Maxine Bahns"/>
        <s v="Matt Johnson"/>
        <s v="Joffre Soares"/>
        <s v="Jemima Kirke"/>
        <s v="Corlandos Scott"/>
        <s v="Amanda MacDonald"/>
        <s v="Barry Lynch"/>
        <s v="Beau Knapp"/>
        <s v="Jeff Dowd"/>
        <s v="Demetrius Grosse"/>
        <s v="Kelen Coleman"/>
        <s v="Damian Jewan Lee"/>
        <s v="Ion Overman"/>
        <s v="Shiree Nelson"/>
        <s v="Lindsay Felton"/>
        <s v="Bob Dylan"/>
        <s v="Ronee Collins"/>
        <s v="Jordan Scovel"/>
        <s v="Christian Anderson"/>
        <s v="Justin Rice"/>
        <s v="Parker Riggs"/>
        <s v="David Schaal"/>
        <s v="Jeff Anderson"/>
        <s v="Jason Dixie"/>
        <s v="Casper Martinez"/>
        <s v="Jean Caffeine"/>
        <s v="Damon Owlia"/>
        <s v="Travis Legge"/>
        <s v="Janet Lee Dapper"/>
        <s v="Lindsay MacDonald"/>
        <s v="Brandon Landers"/>
        <s v="Bari Hyman"/>
        <s v="Mugambi Nthiga"/>
        <s v="Nick Principe"/>
        <s v="Edith Massey"/>
        <s v="Don McKellar"/>
        <s v="Mojgan Faramarzi"/>
        <s v="Emma Eliza Regan"/>
        <s v="Denden"/>
        <s v="Eric Ambriz"/>
        <s v="John Lucas"/>
        <s v="James Noble"/>
        <s v="Casey Gooden"/>
        <s v="Quynn Ton"/>
        <s v="Consuelo Gómez"/>
        <s v="Sara Stepnicka"/>
        <s v="Daniella Pineda"/>
        <s v="Sam Underwood"/>
        <s v="David Chandler"/>
        <s v="Eliza Coupe"/>
        <s v="Jon Gunn"/>
      </sharedItems>
    </cacheField>
    <cacheField name="movie_title" numFmtId="0">
      <sharedItems containsBlank="1" count="4917">
        <s v="Avatar "/>
        <s v="Pirates of the Caribbean: At World's End "/>
        <s v="Spectre "/>
        <s v="The Dark Knight Rises "/>
        <s v="Star Wars: Episode VII - The Force Awaken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            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à Vu "/>
        <s v="Hotel Transylvania 2 "/>
        <s v="Bewitched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"/>
        <s v="Hotel for Dogs "/>
        <s v="Vertical Limit "/>
        <s v="Charlie Wilson's War "/>
        <s v="Shark Tale "/>
        <s v="Dreamgirls "/>
        <s v="Life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            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"/>
        <s v="The Devil's Advocate "/>
        <s v="That's My Boy "/>
        <s v="DragonHeart "/>
        <s v="After the Sunset "/>
        <s v="Ghost Rider: Spirit of Vengeance "/>
        <s v="Captain Corelli's Mandolin "/>
        <s v="Anger Management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"/>
        <s v="Mortal Kombat: Annihilation "/>
        <s v="Larry Crowne "/>
        <s v="Carrie "/>
        <s v="Take the Lead "/>
        <s v="Entourage 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            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"/>
        <s v="The White Ribbon "/>
        <s v="Restoration "/>
        <s v="The Wraith "/>
        <s v="The Salton Sea "/>
        <s v="Metallica Through the Never "/>
        <s v="The Informers "/>
        <s v="Carlos 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"/>
        <s v="Quills "/>
        <s v="Seven Psychopaths "/>
        <s v="The Caveman's Valentine "/>
        <s v="The Border 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än som hatar kvinnor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"/>
        <s v="The Other Side of Heaven "/>
        <s v="Dark Angel 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"/>
        <s v="Area 51 "/>
        <s v="Sleep Tight "/>
        <s v="The Cottage "/>
        <s v="Dead Like Me: Life After Death "/>
        <s v="Farce of the Penguins "/>
        <s v="Flying By "/>
        <s v="Psych 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"/>
        <s v="Falcon Rising "/>
        <s v="The Sweeney "/>
        <s v="Sexy Beast "/>
        <s v="Easy Money "/>
        <s v="Whale Rider "/>
        <s v="Paa "/>
        <s v="Cargo "/>
        <s v="High School Musical "/>
        <s v="Animal Kingdom 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The Velocity of Gary "/>
        <s v="Mondays in the Sun "/>
        <s v="Stake Land "/>
        <s v="Sonny with a Chance 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"/>
        <s v="Midnight Cowboy "/>
        <s v="The Full Monty "/>
        <s v="Airplane! "/>
        <s v="Chain of Command "/>
        <s v="Friday "/>
        <s v="Menace II Society "/>
        <s v="Empire 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"/>
        <s v="Red River "/>
        <s v="Phat Girlz "/>
        <s v="Before Midnight "/>
        <s v="Teen Wolf Too "/>
        <s v="Phantasm II "/>
        <s v="Woman Thou Art Loosed "/>
        <s v="Real Women Have Curves "/>
        <s v="Deadline Gallipoli 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"/>
        <s v="Bachelorette "/>
        <s v="BrainDead "/>
        <s v="Brave New Girl "/>
        <s v="Tim and Eric's Billion Dollar Movie "/>
        <s v="The Grand 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"/>
        <s v="Shortbus "/>
        <s v="Waltz with Bashir "/>
        <s v="The Book of Mormon Movie, Volume 1: The Journey "/>
        <s v="No End in Sight "/>
        <s v="The Diary of a Teenage Girl "/>
        <s v="Get Real 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"/>
        <s v="The Celebration "/>
        <s v="Trees Lounge "/>
        <s v="Journey from the Fall "/>
        <s v="The Basket "/>
        <s v="Eddie: The Sleepwalking Cannibal "/>
        <s v="Space: Above and Beyond 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ñera "/>
        <s v="Gory Gory Hallelujah "/>
        <s v="Heroes "/>
        <s v="Tarnation "/>
        <s v="I Want Your Money "/>
        <s v="Love in the Time of Monsters "/>
        <s v="The Beyond "/>
        <s v="Home Movies 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"/>
        <s v="A Plague So Pleasant "/>
        <s v="Shanghai Calling "/>
        <s v="My Date with Drew "/>
        <m/>
      </sharedItems>
    </cacheField>
    <cacheField name="num_voted_users" numFmtId="0">
      <sharedItems containsString="0" containsBlank="1" containsNumber="1" containsInteger="1" minValue="5" maxValue="1689764" count="4827">
        <n v="886204"/>
        <n v="471220"/>
        <n v="275868"/>
        <n v="1144337"/>
        <n v="8"/>
        <n v="212204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62836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2138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374"/>
        <n v="637246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6769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381"/>
        <n v="67223"/>
        <n v="172754"/>
        <n v="444683"/>
        <n v="91640"/>
        <n v="809474"/>
        <n v="252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20567"/>
        <n v="55994"/>
        <n v="37750"/>
        <n v="167085"/>
        <n v="582917"/>
        <n v="62271"/>
        <n v="17533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5402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6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57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59910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19228"/>
        <n v="70838"/>
        <n v="273921"/>
        <n v="77029"/>
        <n v="39391"/>
        <n v="71424"/>
        <n v="203458"/>
        <n v="246492"/>
        <n v="2993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27838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13483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666"/>
        <n v="56501"/>
        <n v="11427"/>
        <n v="27543"/>
        <n v="103787"/>
        <n v="22955"/>
        <n v="155532"/>
        <n v="71574"/>
        <n v="83560"/>
        <n v="80639"/>
        <n v="98472"/>
        <n v="172217"/>
        <n v="979"/>
        <n v="55913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230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36919"/>
        <n v="16271"/>
        <n v="49536"/>
        <n v="88451"/>
        <n v="132415"/>
        <n v="55901"/>
        <n v="29450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35510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49049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5116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27481"/>
        <n v="174248"/>
        <n v="80338"/>
        <n v="128629"/>
        <n v="88132"/>
        <n v="15114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41776"/>
        <n v="23940"/>
        <n v="104831"/>
        <n v="166610"/>
        <n v="60508"/>
        <n v="49300"/>
        <n v="67707"/>
        <n v="1347461"/>
        <n v="46951"/>
        <n v="8739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99989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26404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113295"/>
        <n v="41727"/>
        <n v="10883"/>
        <n v="42144"/>
        <n v="41259"/>
        <n v="58450"/>
        <n v="76560"/>
        <n v="47954"/>
        <n v="75201"/>
        <n v="19176"/>
        <n v="69319"/>
        <n v="73368"/>
        <n v="54314"/>
        <n v="44099"/>
        <n v="45296"/>
        <n v="207287"/>
        <n v="2751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212"/>
        <n v="18209"/>
        <n v="479047"/>
        <n v="16260"/>
        <n v="325264"/>
        <n v="47968"/>
        <n v="24420"/>
        <n v="82819"/>
        <n v="15517"/>
        <n v="92106"/>
        <n v="27664"/>
        <n v="27019"/>
        <n v="29523"/>
        <n v="159931"/>
        <n v="131447"/>
        <n v="28807"/>
        <n v="80025"/>
        <n v="259519"/>
        <n v="70681"/>
        <n v="78343"/>
        <n v="38298"/>
        <n v="87745"/>
        <n v="28099"/>
        <n v="26992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63982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67822"/>
        <n v="19706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15740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11003"/>
        <n v="186879"/>
        <n v="58412"/>
        <n v="71153"/>
        <n v="375456"/>
        <n v="58961"/>
        <n v="27548"/>
        <n v="283563"/>
        <n v="91176"/>
        <n v="200647"/>
        <n v="43328"/>
        <n v="791783"/>
        <n v="81444"/>
        <n v="182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4438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7945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33535"/>
        <n v="58015"/>
        <n v="9227"/>
        <n v="113483"/>
        <n v="67796"/>
        <n v="34730"/>
        <n v="34964"/>
        <n v="15880"/>
        <n v="8070"/>
        <n v="81800"/>
        <n v="19824"/>
        <n v="77684"/>
        <n v="50391"/>
        <n v="14429"/>
        <n v="90932"/>
        <n v="170684"/>
        <n v="515306"/>
        <n v="70886"/>
        <n v="172965"/>
        <n v="120202"/>
        <n v="206104"/>
        <n v="1263"/>
        <n v="137854"/>
        <n v="40568"/>
        <n v="93367"/>
        <n v="148490"/>
        <n v="64595"/>
        <n v="81888"/>
        <n v="12771"/>
        <n v="237872"/>
        <n v="133436"/>
        <n v="71708"/>
        <n v="122347"/>
        <n v="5639"/>
        <n v="47819"/>
        <n v="73068"/>
        <n v="22447"/>
        <n v="172489"/>
        <n v="54057"/>
        <n v="8693"/>
        <n v="11913"/>
        <n v="98199"/>
        <n v="47573"/>
        <n v="218771"/>
        <n v="97838"/>
        <n v="45729"/>
        <n v="40126"/>
        <n v="220392"/>
        <n v="2581"/>
        <n v="491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5888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03461"/>
        <n v="27648"/>
        <n v="11388"/>
        <n v="23996"/>
        <n v="132423"/>
        <n v="26551"/>
        <n v="15697"/>
        <n v="36455"/>
        <n v="48245"/>
        <n v="17307"/>
        <n v="19114"/>
        <n v="15762"/>
        <n v="3803"/>
        <n v="89568"/>
        <n v="4377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1558"/>
        <n v="24657"/>
        <n v="187181"/>
        <n v="590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147317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81334"/>
        <n v="192462"/>
        <n v="30394"/>
        <n v="104119"/>
        <n v="104564"/>
        <n v="68159"/>
        <n v="84382"/>
        <n v="10132"/>
        <n v="83788"/>
        <n v="29968"/>
        <n v="95860"/>
        <n v="36223"/>
        <n v="8495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7794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5790"/>
        <n v="3789"/>
        <n v="136580"/>
        <n v="62756"/>
        <n v="114925"/>
        <n v="32412"/>
        <n v="272227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38383"/>
        <n v="2169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6691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4387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2185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1641"/>
        <n v="30771"/>
        <n v="16323"/>
        <n v="53115"/>
        <n v="497946"/>
        <n v="8143"/>
        <n v="94456"/>
        <n v="168314"/>
        <n v="102728"/>
        <n v="86205"/>
        <n v="43991"/>
        <n v="105478"/>
        <n v="40964"/>
        <n v="48621"/>
        <n v="38017"/>
        <n v="54346"/>
        <n v="28257"/>
        <n v="31751"/>
        <n v="16193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11482"/>
        <n v="23351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70568"/>
        <n v="10410"/>
        <n v="23181"/>
        <n v="11747"/>
        <n v="28584"/>
        <n v="9852"/>
        <n v="4885"/>
        <n v="11101"/>
        <n v="68885"/>
        <n v="28848"/>
        <n v="219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6255"/>
        <n v="181879"/>
        <n v="27580"/>
        <n v="66941"/>
        <n v="4265"/>
        <n v="49312"/>
        <n v="45394"/>
        <n v="115649"/>
        <n v="22220"/>
        <n v="124242"/>
        <n v="50919"/>
        <n v="83097"/>
        <n v="24826"/>
        <n v="681857"/>
        <n v="62770"/>
        <n v="189812"/>
        <n v="62198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25193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3088"/>
        <n v="450676"/>
        <n v="50523"/>
        <n v="30230"/>
        <n v="17319"/>
        <n v="52339"/>
        <n v="264047"/>
        <n v="69534"/>
        <n v="475518"/>
        <n v="30339"/>
        <n v="50389"/>
        <n v="81866"/>
        <n v="69790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42746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2570"/>
        <n v="192930"/>
        <n v="74630"/>
        <n v="39306"/>
        <n v="25484"/>
        <n v="188785"/>
        <n v="34910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135643"/>
        <n v="33067"/>
        <n v="12466"/>
        <n v="111117"/>
        <n v="148327"/>
        <n v="31984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21086"/>
        <n v="2308"/>
        <n v="52069"/>
        <n v="25558"/>
        <n v="101888"/>
        <n v="221000"/>
        <n v="54147"/>
        <n v="29715"/>
        <n v="9004"/>
        <n v="3926"/>
        <n v="23864"/>
        <n v="8215"/>
        <n v="38503"/>
        <n v="136104"/>
        <n v="4670"/>
        <n v="9214"/>
        <n v="36487"/>
        <n v="52972"/>
        <n v="4599"/>
        <n v="10175"/>
        <n v="3279"/>
        <n v="12410"/>
        <n v="393"/>
        <n v="14618"/>
        <n v="3302"/>
        <n v="97697"/>
        <n v="188637"/>
        <n v="20839"/>
        <n v="44816"/>
        <n v="16222"/>
        <n v="88682"/>
        <n v="71596"/>
        <n v="14315"/>
        <n v="16984"/>
        <n v="9913"/>
        <n v="8134"/>
        <n v="28632"/>
        <n v="92850"/>
        <n v="260939"/>
        <n v="119928"/>
        <n v="329969"/>
        <n v="14005"/>
        <n v="59232"/>
        <n v="2167"/>
        <n v="130094"/>
        <n v="592582"/>
        <n v="195255"/>
        <n v="182983"/>
        <n v="24663"/>
        <n v="36636"/>
        <n v="194422"/>
        <n v="61317"/>
        <n v="822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10369"/>
        <n v="44103"/>
        <n v="22250"/>
        <n v="29971"/>
        <n v="4288"/>
        <n v="43006"/>
        <n v="11476"/>
        <n v="23775"/>
        <n v="21606"/>
        <n v="61269"/>
        <n v="202967"/>
        <n v="10266"/>
        <n v="32103"/>
        <n v="74374"/>
        <n v="298590"/>
        <n v="74476"/>
        <n v="10791"/>
        <n v="12980"/>
        <n v="64625"/>
        <n v="47203"/>
        <n v="38177"/>
        <n v="55513"/>
        <n v="15352"/>
        <n v="106221"/>
        <n v="50653"/>
        <n v="142448"/>
        <n v="22304"/>
        <n v="6476"/>
        <n v="144021"/>
        <n v="42761"/>
        <n v="262153"/>
        <n v="45271"/>
        <n v="34488"/>
        <n v="99557"/>
        <n v="156929"/>
        <n v="61777"/>
        <n v="3446"/>
        <n v="19568"/>
        <n v="8309"/>
        <n v="60555"/>
        <n v="16555"/>
        <n v="17436"/>
        <n v="15866"/>
        <n v="19611"/>
        <n v="42876"/>
        <n v="14612"/>
        <n v="49405"/>
        <n v="23767"/>
        <n v="4257"/>
        <n v="926"/>
        <n v="84209"/>
        <n v="96693"/>
        <n v="313797"/>
        <n v="175524"/>
        <n v="87950"/>
        <n v="107801"/>
        <n v="255257"/>
        <n v="57958"/>
        <n v="54096"/>
        <n v="62037"/>
        <n v="133415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8118"/>
        <n v="31798"/>
        <n v="5006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3170"/>
        <n v="89101"/>
        <n v="2863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80958"/>
        <n v="102861"/>
        <n v="76882"/>
        <n v="110390"/>
        <n v="174591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13194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60202"/>
        <n v="10161"/>
        <n v="1689764"/>
        <n v="19699"/>
        <n v="63459"/>
        <n v="48559"/>
        <n v="19737"/>
        <n v="58297"/>
        <n v="32507"/>
        <n v="36108"/>
        <n v="41310"/>
        <n v="7968"/>
        <n v="104356"/>
        <n v="74691"/>
        <n v="40776"/>
        <n v="72673"/>
        <n v="109855"/>
        <n v="162067"/>
        <n v="12263"/>
        <n v="8398"/>
        <n v="5817"/>
        <n v="4086"/>
        <n v="22289"/>
        <n v="76303"/>
        <n v="60062"/>
        <n v="9361"/>
        <n v="16411"/>
        <n v="171151"/>
        <n v="15814"/>
        <n v="11211"/>
        <n v="87682"/>
        <n v="59900"/>
        <n v="20823"/>
        <n v="16995"/>
        <n v="39357"/>
        <n v="15531"/>
        <n v="23664"/>
        <n v="23696"/>
        <n v="43903"/>
        <n v="21098"/>
        <n v="92464"/>
        <n v="5525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3334"/>
        <n v="4875"/>
        <n v="11375"/>
        <n v="44198"/>
        <n v="115650"/>
        <n v="24790"/>
        <n v="3229"/>
        <n v="59462"/>
        <n v="30628"/>
        <n v="96480"/>
        <n v="14982"/>
        <n v="7100"/>
        <n v="5841"/>
        <n v="9264"/>
        <n v="69676"/>
        <n v="64944"/>
        <n v="5385"/>
        <n v="18395"/>
        <n v="2395"/>
        <n v="753"/>
        <n v="891"/>
        <n v="80861"/>
        <n v="34338"/>
        <n v="5911"/>
        <n v="5900"/>
        <n v="1084"/>
        <n v="52846"/>
        <n v="33107"/>
        <n v="61621"/>
        <n v="162130"/>
        <n v="33958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265"/>
        <n v="2541"/>
        <n v="2919"/>
        <n v="80574"/>
        <n v="214091"/>
        <n v="386217"/>
        <n v="316020"/>
        <n v="119450"/>
        <n v="837759"/>
        <n v="172405"/>
        <n v="83269"/>
        <n v="181058"/>
        <n v="188652"/>
        <n v="193962"/>
        <n v="19709"/>
        <n v="355126"/>
        <n v="32513"/>
        <n v="53415"/>
        <n v="4191"/>
        <n v="14786"/>
        <n v="3914"/>
        <n v="72646"/>
        <n v="30840"/>
        <n v="20163"/>
        <n v="3174"/>
        <n v="17740"/>
        <n v="14473"/>
        <n v="60115"/>
        <n v="32003"/>
        <n v="4693"/>
        <n v="8924"/>
        <n v="1781"/>
        <n v="17373"/>
        <n v="6263"/>
        <n v="209396"/>
        <n v="136667"/>
        <n v="53341"/>
        <n v="154199"/>
        <n v="247289"/>
        <n v="64742"/>
        <n v="26434"/>
        <n v="44021"/>
        <n v="54631"/>
        <n v="47383"/>
        <n v="171726"/>
        <n v="52894"/>
        <n v="48909"/>
        <n v="121937"/>
        <n v="15448"/>
        <n v="208092"/>
        <n v="62584"/>
        <n v="52888"/>
        <n v="13455"/>
        <n v="41239"/>
        <n v="59805"/>
        <n v="2587"/>
        <n v="33287"/>
        <n v="15665"/>
        <n v="31227"/>
        <n v="128593"/>
        <n v="263336"/>
        <n v="25462"/>
        <n v="60926"/>
        <n v="18900"/>
        <n v="82804"/>
        <n v="7242"/>
        <n v="56813"/>
        <n v="35018"/>
        <n v="2253"/>
        <n v="1547"/>
        <n v="8176"/>
        <n v="26767"/>
        <n v="31433"/>
        <n v="59507"/>
        <n v="21394"/>
        <n v="29322"/>
        <n v="16831"/>
        <n v="48873"/>
        <n v="9513"/>
        <n v="34985"/>
        <n v="5166"/>
        <n v="83171"/>
        <n v="133367"/>
        <n v="12278"/>
        <n v="69980"/>
        <n v="6920"/>
        <n v="67893"/>
        <n v="19832"/>
        <n v="162037"/>
        <n v="89547"/>
        <n v="25086"/>
        <n v="22649"/>
        <n v="533607"/>
        <n v="52533"/>
        <n v="6067"/>
        <n v="237248"/>
        <n v="80556"/>
        <n v="13065"/>
        <n v="4398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186984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82476"/>
        <n v="4654"/>
        <n v="50415"/>
        <n v="13324"/>
        <n v="61114"/>
        <n v="11634"/>
        <n v="25960"/>
        <n v="62364"/>
        <n v="13319"/>
        <n v="141663"/>
        <n v="18915"/>
        <n v="1922"/>
        <n v="89687"/>
        <n v="195333"/>
        <n v="40469"/>
        <n v="38658"/>
        <n v="5427"/>
        <n v="49680"/>
        <n v="28005"/>
        <n v="18481"/>
        <n v="79461"/>
        <n v="19126"/>
        <n v="39095"/>
        <n v="243799"/>
        <n v="54242"/>
        <n v="99236"/>
        <n v="136048"/>
        <n v="35131"/>
        <n v="42315"/>
        <n v="50337"/>
        <n v="9352"/>
        <n v="136673"/>
        <n v="12276"/>
        <n v="75920"/>
        <n v="55008"/>
        <n v="90677"/>
        <n v="23424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22604"/>
        <n v="5332"/>
        <n v="34774"/>
        <n v="4303"/>
        <n v="50198"/>
        <n v="42664"/>
        <n v="12417"/>
        <n v="422432"/>
        <n v="36983"/>
        <n v="31323"/>
        <n v="20539"/>
        <n v="2061"/>
        <n v="33597"/>
        <n v="18366"/>
        <n v="426359"/>
        <n v="26100"/>
        <n v="49888"/>
        <n v="219091"/>
        <n v="4180"/>
        <n v="9105"/>
        <n v="99353"/>
        <n v="114"/>
        <n v="3875"/>
        <n v="68119"/>
        <n v="189683"/>
        <n v="13210"/>
        <n v="348010"/>
        <n v="14147"/>
        <n v="23076"/>
        <n v="35137"/>
        <n v="6484"/>
        <n v="20186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3454"/>
        <n v="61935"/>
        <n v="3851"/>
        <n v="7894"/>
        <n v="15612"/>
        <n v="59248"/>
        <n v="15169"/>
        <n v="18571"/>
        <n v="10037"/>
        <n v="15978"/>
        <n v="80617"/>
        <n v="89383"/>
        <n v="24997"/>
        <n v="37626"/>
        <n v="11958"/>
        <n v="29649"/>
        <n v="45799"/>
        <n v="6904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14015"/>
        <n v="7976"/>
        <n v="13727"/>
        <n v="2613"/>
        <n v="41249"/>
        <n v="3843"/>
        <n v="11391"/>
        <n v="7147"/>
        <n v="13026"/>
        <n v="9868"/>
        <n v="18"/>
        <n v="6147"/>
        <n v="20821"/>
        <n v="118"/>
        <n v="5154"/>
        <n v="25450"/>
        <n v="5203"/>
        <n v="102"/>
        <n v="50"/>
        <n v="178"/>
        <n v="21833"/>
        <n v="43879"/>
        <n v="77656"/>
        <n v="29602"/>
        <n v="186485"/>
        <n v="160418"/>
        <n v="30213"/>
        <n v="62861"/>
        <n v="222018"/>
        <n v="65512"/>
        <n v="610333"/>
        <n v="732212"/>
        <n v="45317"/>
        <n v="8346"/>
        <n v="60"/>
        <n v="77987"/>
        <n v="57479"/>
        <n v="53977"/>
        <n v="29"/>
        <n v="2855"/>
        <n v="93272"/>
        <n v="417971"/>
        <n v="1904"/>
        <n v="17982"/>
        <n v="98741"/>
        <n v="72715"/>
        <n v="71276"/>
        <n v="6156"/>
        <n v="43867"/>
        <n v="5147"/>
        <n v="1153"/>
        <n v="3536"/>
        <n v="550"/>
        <n v="80903"/>
        <n v="143251"/>
        <n v="78883"/>
        <n v="625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101889"/>
        <n v="29621"/>
        <n v="46492"/>
        <n v="35514"/>
        <n v="17277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27629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6091"/>
        <n v="31359"/>
        <n v="25165"/>
        <n v="27882"/>
        <n v="12854"/>
        <n v="52958"/>
        <n v="436"/>
        <n v="10082"/>
        <n v="26730"/>
        <n v="13359"/>
        <n v="14324"/>
        <n v="10111"/>
        <n v="899"/>
        <n v="49669"/>
        <n v="4510"/>
        <n v="14325"/>
        <n v="30215"/>
        <n v="48162"/>
        <n v="422606"/>
        <n v="9544"/>
        <n v="5693"/>
        <n v="67653"/>
        <n v="45900"/>
        <n v="264533"/>
        <n v="140780"/>
        <n v="1633"/>
        <n v="13133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264186"/>
        <n v="48458"/>
        <n v="64190"/>
        <n v="129719"/>
        <n v="11815"/>
        <n v="23480"/>
        <n v="7991"/>
        <n v="8522"/>
        <n v="213898"/>
        <n v="12993"/>
        <n v="50656"/>
        <n v="10885"/>
        <n v="9104"/>
        <n v="2045"/>
        <n v="52852"/>
        <n v="4550"/>
        <n v="125016"/>
        <n v="15033"/>
        <n v="22639"/>
        <n v="33570"/>
        <n v="4600"/>
        <n v="88590"/>
        <n v="3222"/>
        <n v="4081"/>
        <n v="295375"/>
        <n v="1275"/>
        <n v="16234"/>
        <n v="13762"/>
        <n v="32671"/>
        <n v="10706"/>
        <n v="370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210"/>
        <n v="7392"/>
        <n v="9566"/>
        <n v="29147"/>
        <n v="41664"/>
        <n v="28736"/>
        <n v="352695"/>
        <n v="16582"/>
        <n v="198111"/>
        <n v="18041"/>
        <n v="13661"/>
        <n v="25549"/>
        <n v="92712"/>
        <n v="11768"/>
        <n v="24256"/>
        <n v="113963"/>
        <n v="21079"/>
        <n v="178731"/>
        <n v="51996"/>
        <n v="2385"/>
        <n v="5237"/>
        <n v="8217"/>
        <n v="21613"/>
        <n v="30682"/>
        <n v="98629"/>
        <n v="24104"/>
        <n v="8687"/>
        <n v="20616"/>
        <n v="5321"/>
        <n v="92640"/>
        <n v="18271"/>
        <n v="30587"/>
        <n v="5664"/>
        <n v="45449"/>
        <n v="7444"/>
        <n v="155249"/>
        <n v="12817"/>
        <n v="21370"/>
        <n v="5312"/>
        <n v="19164"/>
        <n v="8624"/>
        <n v="1033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18058"/>
        <n v="6723"/>
        <n v="60988"/>
        <n v="2659"/>
        <n v="62"/>
        <n v="467613"/>
        <n v="18140"/>
        <n v="12974"/>
        <n v="32002"/>
        <n v="134869"/>
        <n v="71183"/>
        <n v="77724"/>
        <n v="85333"/>
        <n v="189413"/>
        <n v="9811"/>
        <n v="36624"/>
        <n v="139749"/>
        <n v="34711"/>
        <n v="29008"/>
        <n v="232577"/>
        <n v="67604"/>
        <n v="64747"/>
        <n v="29867"/>
        <n v="92074"/>
        <n v="13442"/>
        <n v="69576"/>
        <n v="80305"/>
        <n v="181025"/>
        <n v="39782"/>
        <n v="26846"/>
        <n v="265507"/>
        <n v="15939"/>
        <n v="27044"/>
        <n v="192775"/>
        <n v="36372"/>
        <n v="86664"/>
        <n v="38248"/>
        <n v="26905"/>
        <n v="229687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2673"/>
        <n v="16340"/>
        <n v="4603"/>
        <n v="106111"/>
        <n v="55665"/>
        <n v="19768"/>
        <n v="30643"/>
        <n v="9294"/>
        <n v="9649"/>
        <n v="13692"/>
        <n v="2724"/>
        <n v="53471"/>
        <n v="7159"/>
        <n v="7403"/>
        <n v="152306"/>
        <n v="7122"/>
        <n v="537419"/>
        <n v="52421"/>
        <n v="17261"/>
        <n v="24150"/>
        <n v="8055"/>
        <n v="26598"/>
        <n v="18966"/>
        <n v="1465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15388"/>
        <n v="36145"/>
        <n v="109873"/>
        <n v="3828"/>
        <n v="42792"/>
        <n v="4996"/>
        <n v="69569"/>
        <n v="1933"/>
        <n v="6690"/>
        <n v="111841"/>
        <n v="55928"/>
        <n v="22345"/>
        <n v="9427"/>
        <n v="20730"/>
        <n v="31589"/>
        <n v="24570"/>
        <n v="64777"/>
        <n v="2699"/>
        <n v="47574"/>
        <n v="609"/>
        <n v="2236"/>
        <n v="7519"/>
        <n v="3425"/>
        <n v="4006"/>
        <n v="41638"/>
        <n v="5018"/>
        <n v="80"/>
        <n v="9177"/>
        <n v="695"/>
        <n v="437418"/>
        <n v="38202"/>
        <n v="167750"/>
        <n v="12937"/>
        <n v="993"/>
        <n v="277505"/>
        <n v="18646"/>
        <n v="641997"/>
        <n v="55101"/>
        <n v="213476"/>
        <n v="10"/>
        <n v="44096"/>
        <n v="1554"/>
        <n v="76842"/>
        <n v="69733"/>
        <n v="45603"/>
        <n v="172493"/>
        <n v="19505"/>
        <n v="76477"/>
        <n v="5563"/>
        <n v="47814"/>
        <n v="6352"/>
        <n v="15730"/>
        <n v="15047"/>
        <n v="82327"/>
        <n v="3135"/>
        <n v="8904"/>
        <n v="9693"/>
        <n v="17262"/>
        <n v="16294"/>
        <n v="22207"/>
        <n v="24038"/>
        <n v="56338"/>
        <n v="5721"/>
        <n v="11729"/>
        <n v="9323"/>
        <n v="19805"/>
        <n v="13548"/>
        <n v="6011"/>
        <n v="13866"/>
        <n v="38985"/>
        <n v="38142"/>
        <n v="11693"/>
        <n v="11233"/>
        <n v="89906"/>
        <n v="92781"/>
        <n v="12519"/>
        <n v="6782"/>
        <n v="9334"/>
        <n v="7277"/>
        <n v="2427"/>
        <n v="16444"/>
        <n v="524"/>
        <n v="17933"/>
        <n v="11077"/>
        <n v="11704"/>
        <n v="12053"/>
        <n v="9928"/>
        <n v="60460"/>
        <n v="259837"/>
        <n v="167089"/>
        <n v="123390"/>
        <n v="36542"/>
        <n v="28159"/>
        <n v="12590"/>
        <n v="44795"/>
        <n v="185845"/>
        <n v="5602"/>
        <n v="271"/>
        <n v="248354"/>
        <n v="64556"/>
        <n v="85022"/>
        <n v="98348"/>
        <n v="912"/>
        <n v="74351"/>
        <n v="551363"/>
        <n v="182910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520"/>
        <n v="161288"/>
        <n v="20033"/>
        <n v="21212"/>
        <n v="16059"/>
        <n v="335"/>
        <n v="3116"/>
        <n v="27675"/>
        <n v="25541"/>
        <n v="21530"/>
        <n v="60407"/>
        <n v="63084"/>
        <n v="18442"/>
        <n v="28573"/>
        <n v="4767"/>
        <n v="56264"/>
        <n v="1595"/>
        <n v="88037"/>
        <n v="28068"/>
        <n v="351274"/>
        <n v="922"/>
        <n v="14143"/>
        <n v="5254"/>
        <n v="7199"/>
        <n v="82331"/>
        <n v="31414"/>
        <n v="88241"/>
        <n v="90"/>
        <n v="5663"/>
        <n v="77305"/>
        <n v="16281"/>
        <n v="26493"/>
        <n v="14354"/>
        <n v="163492"/>
        <n v="9957"/>
        <n v="75675"/>
        <n v="28483"/>
        <n v="14193"/>
        <n v="24012"/>
        <n v="3256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76398"/>
        <n v="97938"/>
        <n v="57446"/>
        <n v="44130"/>
        <n v="5928"/>
        <n v="42644"/>
        <n v="33850"/>
        <n v="470501"/>
        <n v="61651"/>
        <n v="12383"/>
        <n v="249688"/>
        <n v="121676"/>
        <n v="21672"/>
        <n v="3000"/>
        <n v="62468"/>
        <n v="173172"/>
        <n v="76094"/>
        <n v="19007"/>
        <n v="20660"/>
        <n v="30462"/>
        <n v="63390"/>
        <n v="3119"/>
        <n v="91082"/>
        <n v="16646"/>
        <n v="5794"/>
        <n v="64682"/>
        <n v="196422"/>
        <n v="2301"/>
        <n v="4052"/>
        <n v="10103"/>
        <n v="41226"/>
        <n v="16764"/>
        <n v="60171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76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2551"/>
        <n v="14831"/>
        <n v="5603"/>
        <n v="6884"/>
        <n v="2410"/>
        <n v="27052"/>
        <n v="8429"/>
        <n v="70133"/>
        <n v="408"/>
        <n v="4899"/>
        <n v="12128"/>
        <n v="64423"/>
        <n v="314"/>
        <n v="21034"/>
        <n v="600996"/>
        <n v="105"/>
        <n v="63855"/>
        <n v="3466"/>
        <n v="3737"/>
        <n v="117"/>
        <n v="142293"/>
        <n v="911097"/>
        <n v="49671"/>
        <n v="55816"/>
        <n v="14437"/>
        <n v="43795"/>
        <n v="275869"/>
        <n v="56595"/>
        <n v="82743"/>
        <n v="83893"/>
        <n v="3104"/>
        <n v="49007"/>
        <n v="18220"/>
        <n v="207934"/>
        <n v="162701"/>
        <n v="73193"/>
        <n v="149222"/>
        <n v="76207"/>
        <n v="36559"/>
        <n v="19440"/>
        <n v="10966"/>
        <n v="9903"/>
        <n v="5561"/>
        <n v="5187"/>
        <n v="73249"/>
        <n v="101627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2603"/>
        <n v="10052"/>
        <n v="11132"/>
        <n v="105448"/>
        <n v="5013"/>
        <n v="88529"/>
        <n v="618"/>
        <n v="45144"/>
        <n v="5772"/>
        <n v="13998"/>
        <n v="28570"/>
        <n v="16747"/>
        <n v="427357"/>
        <n v="281842"/>
        <n v="27689"/>
        <n v="1337"/>
        <n v="859"/>
        <n v="2651"/>
        <n v="8598"/>
        <n v="2618"/>
        <n v="3665"/>
        <n v="15060"/>
        <n v="604904"/>
        <n v="6935"/>
        <n v="142115"/>
        <n v="48629"/>
        <n v="70141"/>
        <n v="17596"/>
        <n v="67115"/>
        <n v="86956"/>
        <n v="111087"/>
        <n v="41763"/>
        <n v="8962"/>
        <n v="57831"/>
        <n v="43270"/>
        <n v="44502"/>
        <n v="115050"/>
        <n v="156143"/>
        <n v="86890"/>
        <n v="85362"/>
        <n v="25303"/>
        <n v="75306"/>
        <n v="6808"/>
        <n v="101840"/>
        <n v="111649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44804"/>
        <n v="25210"/>
        <n v="5161"/>
        <n v="20467"/>
        <n v="63108"/>
        <n v="19655"/>
        <n v="6143"/>
        <n v="5585"/>
        <n v="134458"/>
        <n v="76199"/>
        <n v="22369"/>
        <n v="4719"/>
        <n v="23527"/>
        <n v="8295"/>
        <n v="37901"/>
        <n v="90070"/>
        <n v="87494"/>
        <n v="7322"/>
        <n v="15358"/>
        <n v="135286"/>
        <n v="22161"/>
        <n v="17790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20113"/>
        <n v="35888"/>
        <n v="34848"/>
        <n v="79146"/>
        <n v="176606"/>
        <n v="21268"/>
        <n v="87203"/>
        <n v="32697"/>
        <n v="111506"/>
        <n v="782437"/>
        <n v="36029"/>
        <n v="1231"/>
        <n v="26832"/>
        <n v="63733"/>
        <n v="6200"/>
        <n v="38459"/>
        <n v="58509"/>
        <n v="1040"/>
        <n v="8058"/>
        <n v="3662"/>
        <n v="84641"/>
        <n v="20810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2591"/>
        <n v="12411"/>
        <n v="11403"/>
        <n v="59297"/>
        <n v="33473"/>
        <n v="10585"/>
        <n v="9517"/>
        <n v="44208"/>
        <n v="1402"/>
        <n v="13145"/>
        <n v="20008"/>
        <n v="56923"/>
        <n v="11487"/>
        <n v="1649"/>
        <n v="8307"/>
        <n v="1135"/>
        <n v="27009"/>
        <n v="8708"/>
        <n v="3080"/>
        <n v="31964"/>
        <n v="31890"/>
        <n v="9971"/>
        <n v="19979"/>
        <n v="24958"/>
        <n v="465"/>
        <n v="683"/>
        <n v="2041"/>
        <n v="2971"/>
        <n v="2941"/>
        <n v="7759"/>
        <n v="361"/>
        <n v="5637"/>
        <n v="1097"/>
        <n v="4995"/>
        <n v="22753"/>
        <n v="11950"/>
        <n v="7690"/>
        <n v="11285"/>
        <n v="1642"/>
        <n v="9585"/>
        <n v="162"/>
        <n v="3075"/>
        <n v="1920"/>
        <n v="1250"/>
        <n v="5715"/>
        <n v="2223"/>
        <n v="553"/>
        <n v="26156"/>
        <n v="7286"/>
        <n v="3015"/>
        <n v="131180"/>
        <n v="8369"/>
        <n v="27492"/>
        <n v="12372"/>
        <n v="75280"/>
        <n v="5865"/>
        <n v="70382"/>
        <n v="13190"/>
        <n v="1763"/>
        <n v="29323"/>
        <n v="76681"/>
        <n v="23516"/>
        <n v="9006"/>
        <n v="11612"/>
        <n v="4486"/>
        <n v="9673"/>
        <n v="128729"/>
        <n v="13003"/>
        <n v="42296"/>
        <n v="563827"/>
        <n v="96410"/>
        <n v="39260"/>
        <n v="29839"/>
        <n v="82073"/>
        <n v="12520"/>
        <n v="8667"/>
        <n v="10139"/>
        <n v="6525"/>
        <n v="62038"/>
        <n v="66610"/>
        <n v="92364"/>
        <n v="12324"/>
        <n v="155262"/>
        <n v="20449"/>
        <n v="41313"/>
        <n v="102895"/>
        <n v="19918"/>
        <n v="4247"/>
        <n v="23441"/>
        <n v="32188"/>
        <n v="3419"/>
        <n v="27536"/>
        <n v="29058"/>
        <n v="10476"/>
        <n v="14100"/>
        <n v="5478"/>
        <n v="7767"/>
        <n v="3624"/>
        <n v="7833"/>
        <n v="15200"/>
        <n v="27766"/>
        <n v="2379"/>
        <n v="5156"/>
        <n v="1666"/>
        <n v="4302"/>
        <n v="1673"/>
        <n v="8161"/>
        <n v="1201"/>
        <n v="813"/>
        <n v="16198"/>
        <n v="14247"/>
        <n v="2599"/>
        <n v="9305"/>
        <n v="1219"/>
        <n v="74743"/>
        <n v="4990"/>
        <n v="9296"/>
        <n v="5741"/>
        <n v="10796"/>
        <n v="63216"/>
        <n v="28190"/>
        <n v="5228"/>
        <n v="92924"/>
        <n v="67760"/>
        <n v="6142"/>
        <n v="7098"/>
        <n v="24436"/>
        <n v="1984"/>
        <n v="73640"/>
        <n v="16530"/>
        <n v="51326"/>
        <n v="19412"/>
        <n v="13167"/>
        <n v="3290"/>
        <n v="21360"/>
        <n v="69759"/>
        <n v="59545"/>
        <n v="5158"/>
        <n v="13577"/>
        <n v="36846"/>
        <n v="25122"/>
        <n v="126916"/>
        <n v="9808"/>
        <n v="20419"/>
        <n v="14486"/>
        <n v="1324680"/>
        <n v="25498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29935"/>
        <n v="76791"/>
        <n v="3904"/>
        <n v="59"/>
        <n v="37269"/>
        <n v="59941"/>
        <n v="38191"/>
        <n v="14904"/>
        <n v="15337"/>
        <n v="48225"/>
        <n v="17461"/>
        <n v="109191"/>
        <n v="357275"/>
        <n v="37952"/>
        <n v="8616"/>
        <n v="53251"/>
        <n v="2311"/>
        <n v="49240"/>
        <n v="276746"/>
        <n v="1103"/>
        <n v="34191"/>
        <n v="12702"/>
        <n v="6124"/>
        <n v="2870"/>
        <n v="8546"/>
        <n v="21254"/>
        <n v="22848"/>
        <n v="31489"/>
        <n v="23629"/>
        <n v="23660"/>
        <n v="12561"/>
        <n v="9494"/>
        <n v="106098"/>
        <n v="11158"/>
        <n v="3571"/>
        <n v="5673"/>
        <n v="802"/>
        <n v="22811"/>
        <n v="99430"/>
        <n v="16617"/>
        <n v="5049"/>
        <n v="2098"/>
        <n v="7116"/>
        <n v="1591"/>
        <n v="25055"/>
        <n v="5159"/>
        <n v="29994"/>
        <n v="26849"/>
        <n v="6053"/>
        <n v="5557"/>
        <n v="9003"/>
        <n v="2103"/>
        <n v="106160"/>
        <n v="12078"/>
        <n v="4412"/>
        <n v="1965"/>
        <n v="322"/>
        <n v="23023"/>
        <n v="63"/>
        <n v="35065"/>
        <n v="4792"/>
        <n v="662"/>
        <n v="72324"/>
        <n v="5275"/>
        <n v="29843"/>
        <n v="4035"/>
        <n v="191998"/>
        <n v="69989"/>
        <n v="112138"/>
        <n v="21225"/>
        <n v="6595"/>
        <n v="34098"/>
        <n v="3709"/>
        <n v="5463"/>
        <n v="833"/>
        <n v="37530"/>
        <n v="3972"/>
        <n v="1439"/>
        <n v="18109"/>
        <n v="243"/>
        <n v="19616"/>
        <n v="385"/>
        <n v="2909"/>
        <n v="70194"/>
        <n v="19157"/>
        <n v="9866"/>
        <n v="74435"/>
        <n v="383071"/>
        <n v="4682"/>
        <n v="414335"/>
        <n v="4099"/>
        <n v="74249"/>
        <n v="1155770"/>
        <n v="35172"/>
        <n v="376600"/>
        <n v="63931"/>
        <n v="108843"/>
        <n v="74957"/>
        <n v="16651"/>
        <n v="127760"/>
        <n v="7973"/>
        <n v="362933"/>
        <n v="84070"/>
        <n v="100571"/>
        <n v="138707"/>
        <n v="170055"/>
        <n v="39847"/>
        <n v="73950"/>
        <n v="7569"/>
        <n v="154938"/>
        <n v="1723"/>
        <n v="13913"/>
        <n v="15088"/>
        <n v="76267"/>
        <n v="101902"/>
        <n v="56605"/>
        <n v="4598"/>
        <n v="522048"/>
        <n v="60709"/>
        <n v="440"/>
        <n v="102125"/>
        <n v="19147"/>
        <n v="11668"/>
        <n v="11191"/>
        <n v="83182"/>
        <n v="39680"/>
        <n v="7736"/>
        <n v="23486"/>
        <n v="13815"/>
        <n v="8391"/>
        <n v="42402"/>
        <n v="3203"/>
        <n v="25329"/>
        <n v="34449"/>
        <n v="18561"/>
        <n v="29967"/>
        <n v="781"/>
        <n v="11387"/>
        <n v="18355"/>
        <n v="95529"/>
        <n v="844"/>
        <n v="1119"/>
        <n v="3114"/>
        <n v="9727"/>
        <n v="2215"/>
        <n v="24438"/>
        <n v="35848"/>
        <n v="7412"/>
        <n v="5143"/>
        <n v="43965"/>
        <n v="21243"/>
        <n v="15104"/>
        <n v="1966"/>
        <n v="5863"/>
        <n v="4124"/>
        <n v="2518"/>
        <n v="7663"/>
        <n v="2670"/>
        <n v="197845"/>
        <n v="383"/>
        <n v="8589"/>
        <n v="1159"/>
        <n v="192"/>
        <n v="39451"/>
        <n v="15862"/>
        <n v="120036"/>
        <n v="39786"/>
        <n v="33"/>
        <n v="5255"/>
        <n v="5153"/>
        <n v="16299"/>
        <n v="10771"/>
        <n v="58366"/>
        <n v="80429"/>
        <n v="3548"/>
        <n v="5133"/>
        <n v="81644"/>
        <n v="81699"/>
        <n v="1388"/>
        <n v="94139"/>
        <n v="21409"/>
        <n v="3157"/>
        <n v="23986"/>
        <n v="6384"/>
        <n v="59474"/>
        <n v="19715"/>
        <n v="25857"/>
        <n v="8294"/>
        <n v="10672"/>
        <n v="145395"/>
        <n v="134070"/>
        <n v="564"/>
        <n v="41856"/>
        <n v="12049"/>
        <n v="2601"/>
        <n v="29608"/>
        <n v="2892"/>
        <n v="51353"/>
        <n v="600266"/>
        <n v="114407"/>
        <n v="32307"/>
        <n v="39856"/>
        <n v="9638"/>
        <n v="99033"/>
        <n v="170027"/>
        <n v="291603"/>
        <n v="113152"/>
        <n v="152089"/>
        <n v="107408"/>
        <n v="35130"/>
        <n v="68722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9774"/>
        <n v="22408"/>
        <n v="18286"/>
        <n v="9277"/>
        <n v="4582"/>
        <n v="145580"/>
        <n v="22929"/>
        <n v="45396"/>
        <n v="172"/>
        <n v="13010"/>
        <n v="59637"/>
        <n v="17169"/>
        <n v="27301"/>
        <n v="64794"/>
        <n v="11011"/>
        <n v="116910"/>
        <n v="13892"/>
        <n v="18313"/>
        <n v="29341"/>
        <n v="11439"/>
        <n v="55524"/>
        <n v="26300"/>
        <n v="4195"/>
        <n v="522"/>
        <n v="28855"/>
        <n v="9589"/>
        <n v="3413"/>
        <n v="63192"/>
        <n v="27266"/>
        <n v="11623"/>
        <n v="6906"/>
        <n v="2281"/>
        <n v="1245"/>
        <n v="2591"/>
        <n v="7394"/>
        <n v="3024"/>
        <n v="2330"/>
        <n v="1940"/>
        <n v="7367"/>
        <n v="2143"/>
        <n v="38273"/>
        <n v="2989"/>
        <n v="2050"/>
        <n v="32512"/>
        <n v="1696"/>
        <n v="10196"/>
        <n v="10388"/>
        <n v="60522"/>
        <n v="34383"/>
        <n v="6797"/>
        <n v="43575"/>
        <n v="9230"/>
        <n v="6741"/>
        <n v="10119"/>
        <n v="748"/>
        <n v="30210"/>
        <n v="867"/>
        <n v="55987"/>
        <n v="89806"/>
        <n v="3433"/>
        <n v="8707"/>
        <n v="4633"/>
        <n v="55597"/>
        <n v="548"/>
        <n v="175607"/>
        <n v="40511"/>
        <n v="10472"/>
        <n v="43013"/>
        <n v="190494"/>
        <n v="36381"/>
        <n v="96129"/>
        <n v="1955"/>
        <n v="44151"/>
        <n v="5548"/>
        <n v="18792"/>
        <n v="59524"/>
        <n v="3754"/>
        <n v="15267"/>
        <n v="87244"/>
        <n v="1658"/>
        <n v="70233"/>
        <n v="605"/>
        <n v="3788"/>
        <n v="15315"/>
        <n v="4471"/>
        <n v="79353"/>
        <n v="13227"/>
        <n v="4976"/>
        <n v="2894"/>
        <n v="21049"/>
        <n v="3266"/>
        <n v="109214"/>
        <n v="188679"/>
        <n v="126893"/>
        <n v="67992"/>
        <n v="13523"/>
        <n v="76828"/>
        <n v="31915"/>
        <n v="49820"/>
        <n v="79916"/>
        <n v="22105"/>
        <n v="51204"/>
        <n v="6359"/>
        <n v="19596"/>
        <n v="30765"/>
        <n v="105568"/>
        <n v="22123"/>
        <n v="31791"/>
        <n v="161972"/>
        <n v="326494"/>
        <n v="28513"/>
        <n v="845580"/>
        <n v="85688"/>
        <n v="114797"/>
        <n v="98354"/>
        <n v="115813"/>
        <n v="5894"/>
        <n v="2448"/>
        <n v="11622"/>
        <n v="10564"/>
        <n v="74875"/>
        <n v="11744"/>
        <n v="4345"/>
        <n v="49948"/>
        <n v="5975"/>
        <n v="6915"/>
        <n v="86077"/>
        <n v="2498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15345"/>
        <n v="2017"/>
        <n v="9509"/>
        <n v="2326"/>
        <n v="3519"/>
        <n v="1180"/>
        <n v="5164"/>
        <n v="40274"/>
        <n v="24921"/>
        <n v="8930"/>
        <n v="7319"/>
        <n v="13587"/>
        <n v="21416"/>
        <n v="67853"/>
        <n v="216005"/>
        <n v="15053"/>
        <n v="260607"/>
        <n v="2719"/>
        <n v="296"/>
        <n v="26720"/>
        <n v="12233"/>
        <n v="881"/>
        <n v="50197"/>
        <n v="2047"/>
        <n v="40305"/>
        <n v="12366"/>
        <n v="281649"/>
        <n v="32382"/>
        <n v="40618"/>
        <n v="12675"/>
        <n v="28845"/>
        <n v="5494"/>
        <n v="1900"/>
        <n v="54478"/>
        <n v="6632"/>
        <n v="1311"/>
        <n v="3329"/>
        <n v="1599"/>
        <n v="127842"/>
        <n v="1560"/>
        <n v="989"/>
        <n v="1884"/>
        <n v="4041"/>
        <n v="65299"/>
        <n v="8824"/>
        <n v="1207"/>
        <n v="3852"/>
        <n v="7888"/>
        <n v="23756"/>
        <n v="10056"/>
        <n v="10734"/>
        <n v="4322"/>
        <n v="215"/>
        <n v="67315"/>
        <n v="12672"/>
        <n v="83"/>
        <n v="1091"/>
        <n v="216"/>
        <n v="6964"/>
        <n v="237"/>
        <n v="15988"/>
        <n v="38"/>
        <n v="849"/>
        <n v="928"/>
        <n v="6183"/>
        <n v="29203"/>
        <n v="72443"/>
        <n v="46347"/>
        <n v="138814"/>
        <n v="11202"/>
        <n v="68211"/>
        <n v="4695"/>
        <n v="9611"/>
        <n v="19234"/>
        <n v="13467"/>
        <n v="83234"/>
        <n v="262"/>
        <n v="18940"/>
        <n v="421"/>
        <n v="8867"/>
        <n v="2776"/>
        <n v="87739"/>
        <n v="50125"/>
        <n v="107923"/>
        <n v="71217"/>
        <n v="13474"/>
        <n v="149528"/>
        <n v="6762"/>
        <n v="41138"/>
        <n v="573541"/>
        <n v="2756"/>
        <n v="2412"/>
        <n v="15175"/>
        <n v="10483"/>
        <n v="580999"/>
        <n v="1592"/>
        <n v="9171"/>
        <n v="32357"/>
        <n v="5465"/>
        <n v="53508"/>
        <n v="1213"/>
        <n v="29463"/>
        <n v="6919"/>
        <n v="7390"/>
        <n v="35464"/>
        <n v="30836"/>
        <n v="680041"/>
        <n v="917"/>
        <n v="12666"/>
        <n v="30977"/>
        <n v="14251"/>
        <n v="4952"/>
        <n v="16445"/>
        <n v="43135"/>
        <n v="13443"/>
        <n v="34232"/>
        <n v="7295"/>
        <n v="15780"/>
        <n v="39975"/>
        <n v="59254"/>
        <n v="3673"/>
        <n v="47097"/>
        <n v="41361"/>
        <n v="31260"/>
        <n v="17478"/>
        <n v="87978"/>
        <n v="321283"/>
        <n v="192940"/>
        <n v="9456"/>
        <n v="128694"/>
        <n v="71495"/>
        <n v="30219"/>
        <n v="93894"/>
        <n v="2806"/>
        <n v="39857"/>
        <n v="9007"/>
        <n v="27198"/>
        <n v="3102"/>
        <n v="110616"/>
        <n v="73501"/>
        <n v="165638"/>
        <n v="12059"/>
        <n v="13506"/>
        <n v="266020"/>
        <n v="66840"/>
        <n v="177729"/>
        <n v="1415"/>
        <n v="28714"/>
        <n v="12981"/>
        <n v="13086"/>
        <n v="2129"/>
        <n v="120189"/>
        <n v="14621"/>
        <n v="44339"/>
        <n v="12677"/>
        <n v="19622"/>
        <n v="78241"/>
        <n v="67949"/>
        <n v="3611"/>
        <n v="10073"/>
        <n v="22697"/>
        <n v="16224"/>
        <n v="18762"/>
        <n v="53342"/>
        <n v="20275"/>
        <n v="22457"/>
        <n v="45293"/>
        <n v="4091"/>
        <n v="8535"/>
        <n v="2877"/>
        <n v="29440"/>
        <n v="36494"/>
        <n v="6705"/>
        <n v="2705"/>
        <n v="4617"/>
        <n v="2133"/>
        <n v="2112"/>
        <n v="34224"/>
        <n v="1398"/>
        <n v="811"/>
        <n v="23334"/>
        <n v="1555"/>
        <n v="34263"/>
        <n v="7673"/>
        <n v="1686"/>
        <n v="1738"/>
        <n v="3297"/>
        <n v="5137"/>
        <n v="2488"/>
        <n v="6303"/>
        <n v="2086"/>
        <n v="3753"/>
        <n v="2727"/>
        <n v="4146"/>
        <n v="27781"/>
        <n v="1561"/>
        <n v="1929"/>
        <n v="724"/>
        <n v="67"/>
        <n v="23713"/>
        <n v="103493"/>
        <n v="215340"/>
        <n v="1177"/>
        <n v="5294"/>
        <n v="257"/>
        <n v="3167"/>
        <n v="55982"/>
        <n v="2650"/>
        <n v="31836"/>
        <n v="3258"/>
        <n v="3579"/>
        <n v="17770"/>
        <n v="210548"/>
        <n v="36265"/>
        <n v="76616"/>
        <n v="82232"/>
        <n v="160281"/>
        <n v="801"/>
        <n v="74626"/>
        <n v="39508"/>
        <n v="27418"/>
        <n v="15956"/>
        <n v="6350"/>
        <n v="19026"/>
        <n v="7071"/>
        <n v="5941"/>
        <n v="30982"/>
        <n v="66483"/>
        <n v="1721"/>
        <n v="13949"/>
        <n v="24977"/>
        <n v="131831"/>
        <n v="49672"/>
        <n v="4790"/>
        <n v="113451"/>
        <n v="11399"/>
        <n v="34532"/>
        <n v="1024"/>
        <n v="54104"/>
        <n v="1950"/>
        <n v="104072"/>
        <n v="7228"/>
        <n v="12188"/>
        <n v="342"/>
        <n v="1634"/>
        <n v="372"/>
        <n v="653"/>
        <n v="961"/>
        <n v="30434"/>
        <n v="75"/>
        <n v="1285"/>
        <n v="1928"/>
        <n v="455"/>
        <n v="610"/>
        <n v="15115"/>
        <n v="45984"/>
        <n v="92599"/>
        <n v="1262"/>
        <n v="399138"/>
        <n v="533200"/>
        <n v="19194"/>
        <n v="2116"/>
        <n v="12304"/>
        <n v="170155"/>
        <n v="104908"/>
        <n v="9607"/>
        <n v="6549"/>
        <n v="557"/>
        <n v="704"/>
        <n v="29248"/>
        <n v="140527"/>
        <n v="53741"/>
        <n v="29239"/>
        <n v="30474"/>
        <n v="73349"/>
        <n v="25542"/>
        <n v="90177"/>
        <n v="139432"/>
        <n v="9356"/>
        <n v="275720"/>
        <n v="469561"/>
        <n v="4687"/>
        <n v="82133"/>
        <n v="21245"/>
        <n v="123090"/>
        <n v="2789"/>
        <n v="43485"/>
        <n v="29610"/>
        <n v="139329"/>
        <n v="155153"/>
        <n v="1466"/>
        <n v="33741"/>
        <n v="32378"/>
        <n v="12942"/>
        <n v="9066"/>
        <n v="25332"/>
        <n v="149444"/>
        <n v="2580"/>
        <n v="15293"/>
        <n v="109335"/>
        <n v="19331"/>
        <n v="18656"/>
        <n v="7721"/>
        <n v="27650"/>
        <n v="1361"/>
        <n v="8265"/>
        <n v="7998"/>
        <n v="44457"/>
        <n v="1004"/>
        <n v="32923"/>
        <n v="21316"/>
        <n v="8279"/>
        <n v="95362"/>
        <n v="8465"/>
        <n v="9502"/>
        <n v="806"/>
        <n v="6000"/>
        <n v="299"/>
        <n v="12560"/>
        <n v="14548"/>
        <n v="8239"/>
        <n v="128334"/>
        <n v="3943"/>
        <n v="8005"/>
        <n v="37594"/>
        <n v="8603"/>
        <n v="18711"/>
        <n v="15885"/>
        <n v="43982"/>
        <n v="25063"/>
        <n v="55329"/>
        <n v="761"/>
        <n v="31089"/>
        <n v="356181"/>
        <n v="3942"/>
        <n v="37495"/>
        <n v="368"/>
        <n v="22246"/>
        <n v="1289"/>
        <n v="47385"/>
        <n v="7625"/>
        <n v="2011"/>
        <n v="37156"/>
        <n v="2948"/>
        <n v="758"/>
        <n v="7988"/>
        <n v="48562"/>
        <n v="437"/>
        <n v="11074"/>
        <n v="266"/>
        <n v="4122"/>
        <n v="1238"/>
        <n v="30511"/>
        <n v="2437"/>
        <n v="7358"/>
        <n v="1257"/>
        <n v="306336"/>
        <n v="2280"/>
        <n v="1370"/>
        <n v="16987"/>
        <n v="2978"/>
        <n v="13599"/>
        <n v="13640"/>
        <n v="976"/>
        <n v="520"/>
        <n v="240"/>
        <n v="103749"/>
        <n v="706"/>
        <n v="3443"/>
        <n v="28951"/>
        <n v="4313"/>
        <n v="2425"/>
        <n v="746"/>
        <n v="2157"/>
        <n v="5695"/>
        <n v="80961"/>
        <n v="55040"/>
        <n v="4173"/>
        <n v="33567"/>
        <n v="175196"/>
        <n v="21359"/>
        <n v="291875"/>
        <n v="112671"/>
        <n v="40800"/>
        <n v="27569"/>
        <n v="5744"/>
        <n v="8856"/>
        <n v="745"/>
        <n v="1828"/>
        <n v="5786"/>
        <n v="1470"/>
        <n v="1553"/>
        <n v="95294"/>
        <n v="29488"/>
        <n v="34643"/>
        <n v="10755"/>
        <n v="6930"/>
        <n v="45500"/>
        <n v="3849"/>
        <n v="40878"/>
        <n v="1418"/>
        <n v="5012"/>
        <n v="150020"/>
        <n v="6429"/>
        <n v="34620"/>
        <n v="9010"/>
        <n v="50311"/>
        <n v="28589"/>
        <n v="23546"/>
        <n v="15277"/>
        <n v="6062"/>
        <n v="36996"/>
        <n v="187595"/>
        <n v="183288"/>
        <n v="1003"/>
        <n v="6221"/>
        <n v="7776"/>
        <n v="2560"/>
        <n v="52509"/>
        <n v="21202"/>
        <n v="105591"/>
        <n v="97"/>
        <n v="52286"/>
        <n v="578"/>
        <n v="91"/>
        <n v="185345"/>
        <n v="1138"/>
        <n v="4820"/>
        <n v="10220"/>
        <n v="5699"/>
        <n v="61787"/>
        <n v="858"/>
        <n v="4100"/>
        <n v="4057"/>
        <n v="108052"/>
        <n v="1510"/>
        <n v="99177"/>
        <n v="2753"/>
        <n v="1079"/>
        <n v="1015"/>
        <n v="3538"/>
        <n v="6025"/>
        <n v="19650"/>
        <n v="71321"/>
        <n v="44"/>
        <n v="31952"/>
        <n v="22521"/>
        <n v="1573"/>
        <n v="4977"/>
        <n v="1118"/>
        <n v="1314"/>
        <n v="1351"/>
        <n v="480"/>
        <n v="485"/>
        <n v="40359"/>
        <n v="29424"/>
        <n v="12244"/>
        <n v="22"/>
        <n v="131462"/>
        <n v="544"/>
        <n v="1355"/>
        <n v="1274"/>
        <n v="89403"/>
        <n v="4663"/>
        <n v="2258"/>
        <n v="33335"/>
        <n v="112899"/>
        <n v="31077"/>
        <n v="215086"/>
        <n v="133966"/>
        <n v="34520"/>
        <n v="67825"/>
        <n v="77551"/>
        <n v="18566"/>
        <n v="259379"/>
        <n v="15401"/>
        <n v="62860"/>
        <n v="2269"/>
        <n v="42462"/>
        <n v="8224"/>
        <n v="41999"/>
        <n v="168398"/>
        <n v="173551"/>
        <n v="68222"/>
        <n v="111658"/>
        <n v="26926"/>
        <n v="1381"/>
        <n v="31130"/>
        <n v="55382"/>
        <n v="20885"/>
        <n v="70084"/>
        <n v="54657"/>
        <n v="3911"/>
        <n v="8662"/>
        <n v="4181"/>
        <n v="27346"/>
        <n v="46107"/>
        <n v="397"/>
        <n v="7314"/>
        <n v="16645"/>
        <n v="415"/>
        <n v="5475"/>
        <n v="8204"/>
        <n v="5615"/>
        <n v="4359"/>
        <n v="4049"/>
        <n v="3467"/>
        <n v="11031"/>
        <n v="7479"/>
        <n v="34556"/>
        <n v="5613"/>
        <n v="275"/>
        <n v="16828"/>
        <n v="2522"/>
        <n v="2081"/>
        <n v="1758"/>
        <n v="39559"/>
        <n v="508"/>
        <n v="1278"/>
        <n v="6223"/>
        <n v="1268"/>
        <n v="10182"/>
        <n v="19336"/>
        <n v="10282"/>
        <n v="13279"/>
        <n v="57811"/>
        <n v="2895"/>
        <n v="17296"/>
        <n v="9689"/>
        <n v="2588"/>
        <n v="40380"/>
        <n v="9280"/>
        <n v="7"/>
        <n v="27646"/>
        <n v="289"/>
        <n v="355"/>
        <n v="7646"/>
        <n v="19236"/>
        <n v="2701"/>
        <n v="5182"/>
        <n v="5732"/>
        <n v="4204"/>
        <n v="344"/>
        <n v="4478"/>
        <n v="952"/>
        <n v="3605"/>
        <n v="6804"/>
        <n v="2242"/>
        <n v="583"/>
        <n v="2348"/>
        <n v="838"/>
        <n v="11763"/>
        <n v="4894"/>
        <n v="2032"/>
        <n v="118684"/>
        <n v="65877"/>
        <n v="6678"/>
        <n v="1010"/>
        <n v="108248"/>
        <n v="149293"/>
        <n v="40481"/>
        <n v="333"/>
        <n v="744"/>
        <n v="41509"/>
        <n v="29019"/>
        <n v="78454"/>
        <n v="342585"/>
        <n v="11088"/>
        <n v="70336"/>
        <n v="22764"/>
        <n v="2794"/>
        <n v="563"/>
        <n v="13223"/>
        <n v="1435"/>
        <n v="1747"/>
        <n v="25472"/>
        <n v="1756"/>
        <n v="6267"/>
        <n v="13"/>
        <n v="686"/>
        <n v="161471"/>
        <n v="26773"/>
        <n v="840"/>
        <n v="28"/>
        <n v="5526"/>
        <n v="23268"/>
        <n v="32415"/>
        <n v="56402"/>
        <n v="8697"/>
        <n v="16349"/>
        <n v="30479"/>
        <n v="2725"/>
        <n v="17799"/>
        <n v="33987"/>
        <n v="11920"/>
        <n v="2561"/>
        <n v="536"/>
        <n v="9750"/>
        <n v="2621"/>
        <n v="4702"/>
        <n v="74651"/>
        <n v="4391"/>
        <n v="1618"/>
        <n v="3313"/>
        <n v="194426"/>
        <n v="37714"/>
        <n v="57578"/>
        <n v="77392"/>
        <n v="59041"/>
        <n v="60295"/>
        <n v="14018"/>
        <n v="246"/>
        <n v="32927"/>
        <n v="14112"/>
        <n v="36657"/>
        <n v="202800"/>
        <n v="38215"/>
        <n v="4547"/>
        <n v="9408"/>
        <n v="29517"/>
        <n v="17322"/>
        <n v="30314"/>
        <n v="10896"/>
        <n v="95"/>
        <n v="43839"/>
        <n v="2963"/>
        <n v="919"/>
        <n v="23349"/>
        <n v="143086"/>
        <n v="2419"/>
        <n v="21379"/>
        <n v="444"/>
        <n v="1134"/>
        <n v="463"/>
        <n v="22212"/>
        <n v="2792"/>
        <n v="20376"/>
        <n v="23323"/>
        <n v="4120"/>
        <n v="1232"/>
        <n v="291"/>
        <n v="2841"/>
        <n v="459"/>
        <n v="108"/>
        <n v="735"/>
        <n v="226583"/>
        <n v="133"/>
        <n v="133348"/>
        <n v="2720"/>
        <n v="1978"/>
        <n v="3291"/>
        <n v="4948"/>
        <n v="2082"/>
        <n v="330"/>
        <n v="22975"/>
        <n v="414976"/>
        <n v="39"/>
        <n v="3405"/>
        <n v="65951"/>
        <n v="11369"/>
        <n v="775"/>
        <n v="449"/>
        <n v="54316"/>
        <n v="6381"/>
        <n v="3144"/>
        <n v="1339"/>
        <n v="4182"/>
        <n v="1167"/>
        <n v="5579"/>
        <n v="4866"/>
        <n v="87424"/>
        <n v="39690"/>
        <n v="24959"/>
        <n v="7528"/>
        <n v="910"/>
        <n v="458"/>
        <n v="11047"/>
        <n v="15840"/>
        <n v="3282"/>
        <n v="794"/>
        <n v="37785"/>
        <n v="299127"/>
        <n v="76151"/>
        <n v="101"/>
        <n v="1229"/>
        <n v="139426"/>
        <n v="19397"/>
        <n v="22145"/>
        <n v="24891"/>
        <n v="262160"/>
        <n v="2417"/>
        <n v="664719"/>
        <n v="1047"/>
        <n v="503509"/>
        <n v="7025"/>
        <n v="2582"/>
        <n v="591"/>
        <n v="132"/>
        <n v="4068"/>
        <n v="27"/>
        <n v="2953"/>
        <n v="9560"/>
        <n v="3418"/>
        <n v="652"/>
        <n v="1321"/>
        <n v="5061"/>
        <n v="1172"/>
        <n v="742"/>
        <n v="71"/>
        <n v="76467"/>
        <n v="39929"/>
        <n v="726"/>
        <n v="1324"/>
        <n v="285"/>
        <n v="6555"/>
        <n v="148221"/>
        <n v="737"/>
        <n v="332"/>
        <n v="387508"/>
        <n v="9465"/>
        <n v="11010"/>
        <n v="20678"/>
        <n v="375240"/>
        <n v="512"/>
        <n v="46493"/>
        <n v="8508"/>
        <n v="44329"/>
        <n v="507063"/>
        <n v="22773"/>
        <n v="116642"/>
        <n v="52642"/>
        <n v="76407"/>
        <n v="4501"/>
        <n v="23021"/>
        <n v="5442"/>
        <n v="141425"/>
        <n v="36321"/>
        <n v="30570"/>
        <n v="7584"/>
        <n v="2636"/>
        <n v="67654"/>
        <n v="7346"/>
        <n v="21468"/>
        <n v="42389"/>
        <n v="6110"/>
        <n v="414345"/>
        <n v="31254"/>
        <n v="40425"/>
        <n v="16594"/>
        <n v="21746"/>
        <n v="9540"/>
        <n v="5933"/>
        <n v="2629"/>
        <n v="11283"/>
        <n v="6084"/>
        <n v="38893"/>
        <n v="47988"/>
        <n v="1976"/>
        <n v="983"/>
        <n v="2715"/>
        <n v="30396"/>
        <n v="9233"/>
        <n v="1524"/>
        <n v="3142"/>
        <n v="505"/>
        <n v="19752"/>
        <n v="4999"/>
        <n v="46076"/>
        <n v="75633"/>
        <n v="3806"/>
        <n v="125114"/>
        <n v="23836"/>
        <n v="1290"/>
        <n v="56"/>
        <n v="2482"/>
        <n v="1220"/>
        <n v="606"/>
        <n v="30160"/>
        <n v="20176"/>
        <n v="2735"/>
        <n v="1434"/>
        <n v="334"/>
        <n v="1938"/>
        <n v="3228"/>
        <n v="1048"/>
        <n v="4862"/>
        <n v="377"/>
        <n v="534"/>
        <n v="783"/>
        <n v="3499"/>
        <n v="876"/>
        <n v="9190"/>
        <n v="1359"/>
        <n v="1420"/>
        <n v="1612"/>
        <n v="340"/>
        <n v="3650"/>
        <n v="634"/>
        <n v="955"/>
        <n v="982"/>
        <n v="293"/>
        <n v="93"/>
        <n v="6531"/>
        <n v="6513"/>
        <n v="425"/>
        <n v="137"/>
        <n v="6256"/>
        <n v="2057"/>
        <n v="207"/>
        <n v="4998"/>
        <n v="6265"/>
        <n v="954"/>
        <n v="7870"/>
        <n v="443"/>
        <n v="265"/>
        <n v="100890"/>
        <n v="44763"/>
        <n v="139"/>
        <n v="131969"/>
        <n v="13485"/>
        <n v="6277"/>
        <n v="53919"/>
        <n v="11965"/>
        <n v="94225"/>
        <n v="5489"/>
        <n v="64748"/>
        <n v="14580"/>
        <n v="19"/>
        <n v="122"/>
        <n v="13421"/>
        <n v="24391"/>
        <n v="1742"/>
        <n v="7308"/>
        <n v="2706"/>
        <n v="169"/>
        <n v="190"/>
        <n v="26513"/>
        <n v="2039"/>
        <n v="4743"/>
        <n v="7431"/>
        <n v="772"/>
        <n v="2256"/>
        <n v="3480"/>
        <n v="4167"/>
        <n v="54601"/>
        <n v="17725"/>
        <n v="292"/>
        <n v="1477"/>
        <n v="12160"/>
        <n v="101287"/>
        <n v="3543"/>
        <n v="25750"/>
        <n v="27260"/>
        <n v="42183"/>
        <n v="17813"/>
        <n v="1661"/>
        <n v="9376"/>
        <n v="25951"/>
        <n v="851"/>
        <n v="80193"/>
        <n v="18980"/>
        <n v="3089"/>
        <n v="8509"/>
        <n v="1354"/>
        <n v="551"/>
        <n v="316027"/>
        <n v="94463"/>
        <n v="70885"/>
        <n v="103"/>
        <n v="819"/>
        <n v="514"/>
        <n v="7384"/>
        <n v="474"/>
        <n v="5"/>
        <n v="3699"/>
        <n v="1432"/>
        <n v="13269"/>
        <n v="186786"/>
        <n v="12631"/>
        <n v="13915"/>
        <n v="448"/>
        <n v="94"/>
        <n v="531"/>
        <n v="85"/>
        <n v="74"/>
        <n v="204"/>
        <n v="389"/>
        <n v="719"/>
        <n v="31429"/>
        <n v="487"/>
        <n v="86"/>
        <n v="17068"/>
        <n v="113"/>
        <n v="3411"/>
        <n v="42256"/>
        <n v="1305"/>
        <n v="3274"/>
        <n v="3156"/>
        <n v="58260"/>
        <n v="4583"/>
        <n v="3394"/>
        <n v="6790"/>
        <n v="1099"/>
        <n v="7559"/>
        <n v="154"/>
        <n v="3562"/>
        <n v="651"/>
        <n v="3479"/>
        <n v="26407"/>
        <n v="1038"/>
        <n v="709"/>
        <n v="45928"/>
        <n v="774"/>
        <n v="229012"/>
        <n v="3086"/>
        <n v="3013"/>
        <n v="1656"/>
        <n v="26185"/>
        <n v="70136"/>
        <n v="1358"/>
        <n v="2004"/>
        <n v="75669"/>
        <n v="739"/>
        <n v="2038"/>
        <n v="2097"/>
        <n v="1006"/>
        <n v="601"/>
        <n v="15756"/>
        <n v="16"/>
        <n v="26863"/>
        <n v="2012"/>
        <n v="5025"/>
        <n v="197"/>
        <n v="259"/>
        <n v="30"/>
        <n v="40"/>
        <n v="15"/>
        <n v="175413"/>
        <n v="19253"/>
        <n v="475"/>
        <n v="19732"/>
        <n v="53"/>
        <n v="10143"/>
        <n v="5931"/>
        <n v="64"/>
        <n v="7921"/>
        <n v="78"/>
        <n v="7143"/>
        <n v="13543"/>
        <n v="268"/>
        <n v="161448"/>
        <n v="42678"/>
        <n v="184824"/>
        <n v="10366"/>
        <n v="382240"/>
        <n v="3675"/>
        <n v="179"/>
        <n v="202115"/>
        <n v="5709"/>
        <n v="1123"/>
        <n v="143"/>
        <n v="14985"/>
        <n v="7458"/>
        <n v="140740"/>
        <n v="4788"/>
        <n v="10577"/>
        <n v="191"/>
        <n v="369"/>
        <n v="19964"/>
        <n v="10718"/>
        <n v="4407"/>
        <n v="4546"/>
        <n v="141219"/>
        <n v="27297"/>
        <n v="186"/>
        <n v="9037"/>
        <n v="6046"/>
        <n v="72017"/>
        <n v="209"/>
        <n v="157863"/>
        <n v="447785"/>
        <n v="1272"/>
        <n v="64888"/>
        <n v="44864"/>
        <n v="7687"/>
        <n v="2932"/>
        <n v="2843"/>
        <n v="18035"/>
        <n v="270"/>
        <n v="4423"/>
        <n v="12241"/>
        <n v="554"/>
        <n v="19386"/>
        <n v="341"/>
        <n v="294"/>
        <n v="720"/>
        <n v="476"/>
        <n v="91863"/>
        <n v="82"/>
        <n v="19875"/>
        <n v="241"/>
        <n v="47"/>
        <n v="569"/>
        <n v="1905"/>
        <n v="24668"/>
        <n v="114070"/>
        <n v="6041"/>
        <n v="8000"/>
        <n v="3513"/>
        <n v="4662"/>
        <n v="1489"/>
        <n v="160511"/>
        <n v="1727"/>
        <n v="1428"/>
        <n v="2787"/>
        <n v="46813"/>
        <n v="24"/>
        <n v="708"/>
        <n v="1227"/>
        <n v="8511"/>
        <n v="12848"/>
        <n v="603"/>
        <n v="7148"/>
        <n v="70076"/>
        <n v="336"/>
        <n v="602"/>
        <n v="300"/>
        <n v="18486"/>
        <n v="450"/>
        <n v="31"/>
        <n v="870"/>
        <n v="1488"/>
        <n v="25"/>
        <n v="37"/>
        <n v="4849"/>
        <n v="110"/>
        <n v="84817"/>
        <n v="146"/>
        <n v="575"/>
        <n v="2742"/>
        <n v="161"/>
        <n v="4812"/>
        <n v="22124"/>
        <n v="152232"/>
        <n v="63951"/>
        <n v="147566"/>
        <n v="4152"/>
        <n v="131"/>
        <n v="2099"/>
        <n v="1034"/>
        <n v="4212"/>
        <n v="460"/>
        <n v="48"/>
        <n v="148334"/>
        <n v="2413"/>
        <n v="81"/>
        <n v="1328"/>
        <n v="3507"/>
        <n v="352"/>
        <n v="6689"/>
        <n v="129799"/>
        <n v="771"/>
        <n v="1338"/>
        <n v="19846"/>
        <n v="4769"/>
        <n v="354"/>
        <n v="71387"/>
        <n v="3340"/>
        <n v="5178"/>
        <n v="90827"/>
        <n v="586"/>
        <n v="3813"/>
        <n v="96411"/>
        <n v="21826"/>
        <n v="123"/>
        <n v="502"/>
        <n v="260"/>
        <n v="22800"/>
        <n v="100"/>
        <n v="15775"/>
        <n v="21618"/>
        <n v="3262"/>
        <n v="1962"/>
        <n v="1197"/>
        <n v="98"/>
        <n v="13521"/>
        <n v="69831"/>
        <n v="2770"/>
        <n v="10499"/>
        <n v="509"/>
        <n v="4117"/>
        <n v="73"/>
        <n v="12796"/>
        <n v="16701"/>
        <n v="5747"/>
        <n v="67824"/>
        <n v="496"/>
        <n v="142619"/>
        <n v="405"/>
        <n v="1622"/>
        <n v="85028"/>
        <n v="1389"/>
        <n v="5507"/>
        <n v="4752"/>
        <n v="760"/>
        <n v="6375"/>
        <n v="3885"/>
        <n v="712"/>
        <n v="11816"/>
        <n v="128"/>
        <n v="61"/>
        <n v="6261"/>
        <n v="48236"/>
        <n v="66"/>
        <n v="733"/>
        <n v="181"/>
        <n v="6246"/>
        <n v="2631"/>
        <n v="34"/>
        <n v="12611"/>
        <n v="106"/>
        <n v="1516"/>
        <n v="1578"/>
        <n v="23"/>
        <n v="2646"/>
        <n v="181749"/>
        <n v="803"/>
        <n v="1894"/>
        <n v="11550"/>
        <n v="47502"/>
        <n v="493"/>
        <n v="15091"/>
        <n v="15103"/>
        <n v="2986"/>
        <n v="3836"/>
        <n v="125"/>
        <n v="4067"/>
        <n v="70"/>
        <n v="1194"/>
        <n v="1771"/>
        <n v="16792"/>
        <n v="4555"/>
        <n v="6318"/>
        <n v="156"/>
        <n v="438"/>
        <n v="72639"/>
        <n v="589"/>
        <n v="52055"/>
        <n v="36"/>
        <n v="629"/>
        <n v="73839"/>
        <n v="1255"/>
        <n v="4285"/>
        <m/>
      </sharedItems>
    </cacheField>
    <cacheField name="cast_total_facebook_likes" numFmtId="0">
      <sharedItems containsString="0" containsBlank="1" containsNumber="1" containsInteger="1" minValue="0" maxValue="656730" count="3979">
        <n v="4834"/>
        <n v="48350"/>
        <n v="11700"/>
        <n v="106759"/>
        <n v="143"/>
        <n v="1873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696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1982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699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687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11036"/>
        <n v="53587"/>
        <n v="46120"/>
        <n v="13191"/>
        <n v="31549"/>
        <n v="48184"/>
        <n v="14719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609"/>
        <n v="15046"/>
        <n v="46719"/>
        <n v="2690"/>
        <n v="87"/>
        <n v="1569"/>
        <n v="8306"/>
        <n v="1261"/>
        <n v="55486"/>
        <n v="16718"/>
        <n v="2958"/>
        <n v="19454"/>
        <n v="19359"/>
        <n v="22722"/>
        <n v="22622"/>
        <n v="34582"/>
        <n v="1173"/>
        <n v="13391"/>
        <n v="1655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5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3379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996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476"/>
        <n v="11454"/>
        <n v="12687"/>
        <n v="1439"/>
        <n v="2818"/>
        <n v="6355"/>
        <n v="578"/>
        <n v="12700"/>
        <n v="2662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3907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581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1753"/>
        <n v="26839"/>
        <n v="2614"/>
        <n v="814"/>
        <n v="1919"/>
        <n v="10731"/>
        <n v="25942"/>
        <n v="2864"/>
        <n v="49631"/>
        <n v="25190"/>
        <n v="27114"/>
        <n v="22590"/>
        <n v="54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370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1990"/>
        <n v="5174"/>
        <n v="3424"/>
        <n v="60646"/>
        <n v="63165"/>
        <n v="2856"/>
        <n v="504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4368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430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6946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3524"/>
        <n v="29824"/>
        <n v="10419"/>
        <n v="8281"/>
        <n v="1302"/>
        <n v="2465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3860"/>
        <n v="1409"/>
        <n v="17913"/>
        <n v="28643"/>
        <n v="1531"/>
        <n v="1013"/>
        <n v="32232"/>
        <n v="13209"/>
        <n v="12088"/>
        <n v="3537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1412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64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9776"/>
        <n v="10623"/>
        <n v="2151"/>
        <n v="1352"/>
        <n v="22668"/>
        <n v="31224"/>
        <n v="1395"/>
        <n v="17871"/>
        <n v="7053"/>
        <n v="22889"/>
        <n v="38809"/>
        <n v="16536"/>
        <n v="23745"/>
        <n v="34774"/>
        <n v="36897"/>
        <n v="14918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026"/>
        <n v="12133"/>
        <n v="18239"/>
        <n v="2367"/>
        <n v="16277"/>
        <n v="5497"/>
        <n v="2433"/>
        <n v="2876"/>
        <n v="6299"/>
        <n v="14574"/>
        <n v="589"/>
        <n v="36167"/>
        <n v="3150"/>
        <n v="5081"/>
        <n v="16098"/>
        <n v="4416"/>
        <n v="45271"/>
        <n v="16484"/>
        <n v="2710"/>
        <n v="9814"/>
        <n v="16121"/>
        <n v="23325"/>
        <n v="411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2287"/>
        <n v="3888"/>
        <n v="13905"/>
        <n v="3983"/>
        <n v="22458"/>
        <n v="1359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403"/>
        <n v="15803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5468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36873"/>
        <n v="13421"/>
        <n v="37967"/>
        <n v="10163"/>
        <n v="57426"/>
        <n v="13430"/>
        <n v="6729"/>
        <n v="53094"/>
        <n v="30383"/>
        <n v="16967"/>
        <n v="14007"/>
        <n v="22417"/>
        <n v="428"/>
        <n v="1816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44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2758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381"/>
        <n v="5702"/>
        <n v="5461"/>
        <n v="29926"/>
        <n v="52885"/>
        <n v="24107"/>
        <n v="11972"/>
        <n v="3954"/>
        <n v="16481"/>
        <n v="1385"/>
        <n v="32831"/>
        <n v="1863"/>
        <n v="2795"/>
        <n v="24316"/>
        <n v="1418"/>
        <n v="12884"/>
        <n v="2035"/>
        <n v="23051"/>
        <n v="29748"/>
        <n v="18141"/>
        <n v="2353"/>
        <n v="3743"/>
        <n v="27666"/>
        <n v="1823"/>
        <n v="33615"/>
        <n v="22209"/>
        <n v="5390"/>
        <n v="18793"/>
        <n v="33548"/>
        <n v="3718"/>
        <n v="371"/>
        <n v="2096"/>
        <n v="4660"/>
        <n v="15192"/>
        <n v="95"/>
        <n v="6863"/>
        <n v="8349"/>
        <n v="12344"/>
        <n v="9176"/>
        <n v="15658"/>
        <n v="6315"/>
        <n v="14619"/>
        <n v="33233"/>
        <n v="2070"/>
        <n v="2104"/>
        <n v="2704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7493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654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610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091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2787"/>
        <n v="390"/>
        <n v="1070"/>
        <n v="4486"/>
        <n v="12970"/>
        <n v="3044"/>
        <n v="1488"/>
        <n v="1238"/>
        <n v="3074"/>
        <n v="23920"/>
        <n v="1827"/>
        <n v="108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4103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2612"/>
        <n v="6267"/>
        <n v="2115"/>
        <n v="12286"/>
        <n v="3243"/>
        <n v="5240"/>
        <n v="2630"/>
        <n v="554"/>
        <n v="568"/>
        <n v="1930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5160"/>
        <n v="196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4900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599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2255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3438"/>
        <n v="2643"/>
        <n v="677"/>
        <n v="5443"/>
        <n v="1075"/>
        <n v="966"/>
        <n v="2178"/>
        <n v="28027"/>
        <n v="36258"/>
        <n v="3185"/>
        <n v="3001"/>
        <n v="4722"/>
        <n v="3612"/>
        <n v="5709"/>
        <n v="2603"/>
        <n v="3592"/>
        <n v="2471"/>
        <n v="19689"/>
        <n v="24154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1361"/>
        <n v="14744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3823"/>
        <n v="4334"/>
        <n v="3227"/>
        <n v="3125"/>
        <n v="1005"/>
        <n v="1573"/>
        <n v="1508"/>
        <n v="50"/>
        <n v="1980"/>
        <n v="5377"/>
        <n v="3874"/>
        <n v="1783"/>
        <n v="1564"/>
        <n v="1068"/>
        <n v="24640"/>
        <n v="14978"/>
        <n v="13"/>
        <n v="3386"/>
        <n v="52621"/>
        <n v="1778"/>
        <n v="23122"/>
        <n v="301"/>
        <n v="2291"/>
        <n v="5942"/>
        <n v="1790"/>
        <n v="369"/>
        <n v="843"/>
        <n v="4863"/>
        <n v="2604"/>
        <n v="18688"/>
        <n v="2114"/>
        <n v="2859"/>
        <n v="27759"/>
        <n v="13093"/>
        <n v="13649"/>
        <n v="391"/>
        <n v="14504"/>
        <n v="4151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20201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1073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341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910"/>
        <n v="20499"/>
        <n v="1748"/>
        <n v="6137"/>
        <n v="60683"/>
        <n v="2577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3295"/>
        <n v="2266"/>
        <n v="16827"/>
        <n v="20051"/>
        <n v="3797"/>
        <n v="286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307"/>
        <n v="5706"/>
        <n v="1297"/>
        <n v="32930"/>
        <n v="24719"/>
        <n v="4253"/>
        <n v="16252"/>
        <n v="21519"/>
        <n v="1518"/>
        <n v="4473"/>
        <n v="22516"/>
        <n v="1887"/>
        <n v="545"/>
        <n v="29773"/>
        <n v="19620"/>
        <n v="3095"/>
        <n v="2806"/>
        <n v="229"/>
        <n v="1831"/>
        <n v="15795"/>
        <n v="13159"/>
        <n v="1383"/>
        <n v="3309"/>
        <n v="5404"/>
        <n v="810"/>
        <n v="4169"/>
        <n v="23562"/>
        <n v="18855"/>
        <n v="17873"/>
        <n v="2567"/>
        <n v="5085"/>
        <n v="52970"/>
        <n v="2702"/>
        <n v="11898"/>
        <n v="17109"/>
        <n v="11534"/>
        <n v="46186"/>
        <n v="40585"/>
        <n v="3400"/>
        <n v="57308"/>
        <n v="1500"/>
        <n v="1845"/>
        <n v="10438"/>
        <n v="17533"/>
        <n v="386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66"/>
        <n v="3211"/>
        <n v="2171"/>
        <n v="3436"/>
        <n v="5535"/>
        <n v="28867"/>
        <n v="3944"/>
        <n v="4710"/>
        <n v="4"/>
        <n v="858"/>
        <n v="19168"/>
        <n v="11669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525"/>
        <n v="3313"/>
        <n v="26451"/>
        <n v="6341"/>
        <n v="2452"/>
        <n v="1560"/>
        <n v="4696"/>
        <n v="6420"/>
        <n v="812"/>
        <n v="11969"/>
        <n v="15790"/>
        <n v="1721"/>
        <n v="2495"/>
        <n v="4311"/>
        <n v="10894"/>
        <n v="46022"/>
        <n v="4186"/>
        <n v="71973"/>
        <n v="3286"/>
        <n v="24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2170"/>
        <n v="12534"/>
        <n v="19068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1166"/>
        <n v="4692"/>
        <n v="1041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673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3535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3850"/>
        <n v="4378"/>
        <n v="13495"/>
        <n v="1315"/>
        <n v="16937"/>
        <n v="3784"/>
        <n v="39690"/>
        <n v="235"/>
        <n v="1095"/>
        <n v="21195"/>
        <n v="37315"/>
        <n v="52122"/>
        <n v="19945"/>
        <n v="12841"/>
        <n v="3744"/>
        <n v="33565"/>
        <n v="11994"/>
        <n v="14180"/>
        <n v="1855"/>
        <n v="4431"/>
        <n v="3067"/>
        <n v="1217"/>
        <n v="1749"/>
        <n v="2498"/>
        <n v="2537"/>
        <n v="911"/>
        <n v="1634"/>
        <n v="3065"/>
        <n v="27659"/>
        <n v="2062"/>
        <n v="4952"/>
        <n v="1282"/>
        <n v="2346"/>
        <n v="21163"/>
        <n v="16651"/>
        <n v="2230"/>
        <n v="896"/>
        <n v="210"/>
        <n v="29692"/>
        <n v="48482"/>
        <n v="2107"/>
        <n v="43560"/>
        <n v="28987"/>
        <n v="582"/>
        <n v="5023"/>
        <n v="11431"/>
        <n v="583"/>
        <n v="23566"/>
        <n v="611"/>
        <n v="2165"/>
        <n v="2413"/>
        <n v="12574"/>
        <n v="9662"/>
        <n v="4990"/>
        <n v="142"/>
        <n v="2930"/>
        <n v="25143"/>
        <n v="16090"/>
        <n v="539"/>
        <n v="4351"/>
        <n v="1591"/>
        <n v="5954"/>
        <n v="13809"/>
        <n v="890"/>
        <n v="3204"/>
        <n v="53"/>
        <n v="48"/>
        <n v="27797"/>
        <n v="285"/>
        <n v="2204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4971"/>
        <n v="1523"/>
        <n v="5470"/>
        <n v="5737"/>
        <n v="23689"/>
        <n v="24436"/>
        <n v="1088"/>
        <n v="23769"/>
        <n v="14699"/>
        <n v="24263"/>
        <n v="28011"/>
        <n v="7122"/>
        <n v="13823"/>
        <n v="12643"/>
        <n v="11013"/>
        <n v="3847"/>
        <n v="3345"/>
        <n v="57077"/>
        <n v="16196"/>
        <n v="20798"/>
        <n v="23242"/>
        <n v="2450"/>
        <n v="22040"/>
        <n v="829"/>
        <n v="1509"/>
        <n v="31187"/>
        <n v="63194"/>
        <n v="2453"/>
        <n v="672"/>
        <n v="3671"/>
        <n v="24248"/>
        <n v="735"/>
        <n v="4142"/>
        <n v="365"/>
        <n v="3276"/>
        <n v="1618"/>
        <n v="1059"/>
        <n v="214"/>
        <n v="2936"/>
        <n v="1795"/>
        <n v="3100"/>
        <n v="4664"/>
        <n v="2790"/>
        <n v="6657"/>
        <n v="15170"/>
        <n v="27237"/>
        <n v="1203"/>
        <n v="1943"/>
        <n v="1484"/>
        <n v="1725"/>
        <n v="3152"/>
        <n v="775"/>
        <n v="2019"/>
        <n v="16031"/>
        <n v="13619"/>
        <n v="540"/>
        <n v="3153"/>
        <n v="5386"/>
        <n v="11632"/>
        <n v="34838"/>
        <n v="4239"/>
        <n v="38494"/>
        <n v="3769"/>
        <n v="39989"/>
        <n v="2216"/>
        <n v="8094"/>
        <n v="4221"/>
        <n v="788"/>
        <n v="5568"/>
        <n v="42484"/>
        <n v="2590"/>
        <n v="773"/>
        <n v="15922"/>
        <n v="14617"/>
        <n v="1011"/>
        <n v="37766"/>
        <n v="24134"/>
        <n v="3284"/>
        <n v="4629"/>
        <n v="13576"/>
        <n v="30"/>
        <n v="16805"/>
        <n v="3003"/>
        <n v="24324"/>
        <n v="1254"/>
        <n v="18630"/>
        <n v="72115"/>
        <n v="3994"/>
        <n v="6035"/>
        <n v="27572"/>
        <n v="4089"/>
        <n v="3162"/>
        <n v="98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1196"/>
        <n v="18786"/>
        <n v="6539"/>
        <n v="3402"/>
        <n v="3869"/>
        <n v="4480"/>
        <n v="575"/>
        <n v="88953"/>
        <n v="2851"/>
        <n v="1530"/>
        <n v="4293"/>
        <n v="1058"/>
        <n v="2382"/>
        <n v="5746"/>
        <n v="1660"/>
        <n v="20188"/>
        <n v="52571"/>
        <n v="2110"/>
        <n v="1454"/>
        <n v="1735"/>
        <n v="2898"/>
        <n v="11248"/>
        <n v="4662"/>
        <n v="33903"/>
        <n v="2609"/>
        <n v="1945"/>
        <n v="12338"/>
        <n v="34319"/>
        <n v="17775"/>
        <n v="13189"/>
        <n v="389"/>
        <n v="2462"/>
        <n v="329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14903"/>
        <n v="88422"/>
        <n v="3598"/>
        <n v="1780"/>
        <n v="10507"/>
        <n v="5123"/>
        <n v="0"/>
        <n v="1885"/>
        <n v="18760"/>
        <n v="4039"/>
        <n v="17050"/>
        <n v="18752"/>
        <n v="4374"/>
        <n v="2173"/>
        <n v="23296"/>
        <n v="861"/>
        <n v="25263"/>
        <n v="537"/>
        <n v="1557"/>
        <n v="8189"/>
        <n v="904"/>
        <n v="7567"/>
        <n v="2915"/>
        <n v="44061"/>
        <n v="2698"/>
        <n v="1189"/>
        <n v="2327"/>
        <n v="1934"/>
        <n v="9941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23409"/>
        <n v="1343"/>
        <n v="1019"/>
        <n v="2700"/>
        <n v="707"/>
        <n v="2185"/>
        <n v="3177"/>
        <n v="2240"/>
        <n v="2907"/>
        <n v="2848"/>
        <n v="4218"/>
        <n v="5705"/>
        <n v="39507"/>
        <n v="21200"/>
        <n v="838"/>
        <n v="2295"/>
        <n v="3979"/>
        <n v="3493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1978"/>
        <n v="22319"/>
        <n v="991"/>
        <n v="39515"/>
        <n v="1592"/>
        <n v="82"/>
        <n v="182"/>
        <n v="1577"/>
        <n v="15612"/>
        <n v="3785"/>
        <n v="10982"/>
        <n v="726"/>
        <n v="1113"/>
        <n v="20472"/>
        <n v="15680"/>
        <n v="1092"/>
        <n v="27425"/>
        <n v="17957"/>
        <n v="16355"/>
        <n v="2608"/>
        <n v="1601"/>
        <n v="2398"/>
        <n v="5547"/>
        <n v="15914"/>
        <n v="3092"/>
        <n v="1212"/>
        <n v="3023"/>
        <n v="2560"/>
        <n v="3230"/>
        <n v="2872"/>
        <n v="1465"/>
        <n v="2374"/>
        <n v="1292"/>
        <n v="2020"/>
        <n v="35561"/>
        <n v="2429"/>
        <n v="44"/>
        <n v="635"/>
        <n v="28094"/>
        <n v="1985"/>
        <n v="4094"/>
        <n v="1131"/>
        <n v="5519"/>
        <n v="3260"/>
        <n v="14579"/>
        <n v="8972"/>
        <n v="120797"/>
        <n v="25489"/>
        <n v="1876"/>
        <n v="151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2546"/>
        <n v="14672"/>
        <n v="21668"/>
        <n v="1353"/>
        <n v="313"/>
        <n v="4868"/>
        <n v="2653"/>
        <n v="4877"/>
        <n v="5024"/>
        <n v="2032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1067"/>
        <n v="676"/>
        <n v="1466"/>
        <n v="2368"/>
        <n v="711"/>
        <n v="1263"/>
        <n v="1341"/>
        <n v="56585"/>
        <n v="39307"/>
        <n v="653"/>
        <n v="46944"/>
        <n v="1356"/>
        <n v="1598"/>
        <n v="5671"/>
        <n v="14843"/>
        <n v="39463"/>
        <n v="167"/>
        <n v="1498"/>
        <n v="2319"/>
        <n v="2215"/>
        <n v="1032"/>
        <n v="198"/>
        <n v="3212"/>
        <n v="1243"/>
        <n v="25804"/>
        <n v="17584"/>
        <n v="3699"/>
        <n v="13545"/>
        <n v="816"/>
        <n v="14385"/>
        <n v="2124"/>
        <n v="1373"/>
        <n v="16735"/>
        <n v="245"/>
        <n v="956"/>
        <n v="4228"/>
        <n v="1164"/>
        <n v="50284"/>
        <n v="3627"/>
        <n v="35345"/>
        <n v="4400"/>
        <n v="2164"/>
        <n v="5306"/>
        <n v="19410"/>
        <n v="3294"/>
        <n v="25549"/>
        <n v="17396"/>
        <n v="4500"/>
        <n v="2713"/>
        <n v="952"/>
        <n v="4797"/>
        <n v="1538"/>
        <n v="12676"/>
        <n v="3344"/>
        <n v="2365"/>
        <n v="4060"/>
        <n v="2135"/>
        <n v="6317"/>
        <n v="1567"/>
        <n v="2016"/>
        <n v="5992"/>
        <n v="3007"/>
        <n v="760"/>
        <n v="27381"/>
        <n v="1727"/>
        <n v="805"/>
        <n v="4210"/>
        <n v="409"/>
        <n v="14492"/>
        <n v="2340"/>
        <n v="1364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561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3835"/>
        <n v="12766"/>
        <n v="2518"/>
        <n v="1889"/>
        <n v="11019"/>
        <n v="5056"/>
        <n v="3935"/>
        <n v="329"/>
        <n v="11091"/>
        <n v="5273"/>
        <n v="2896"/>
        <n v="3583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13"/>
        <n v="20295"/>
        <n v="2419"/>
        <n v="2667"/>
        <n v="20154"/>
        <n v="1949"/>
        <n v="3617"/>
        <n v="1018"/>
        <n v="486"/>
        <n v="1953"/>
        <n v="6510"/>
        <n v="29370"/>
        <n v="3707"/>
        <n v="34025"/>
        <n v="29252"/>
        <n v="15800"/>
        <n v="4567"/>
        <n v="12170"/>
        <n v="114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5644"/>
        <n v="1172"/>
        <n v="15209"/>
        <n v="729"/>
        <n v="12685"/>
        <n v="1139"/>
        <n v="2377"/>
        <n v="29475"/>
        <n v="4676"/>
        <n v="981"/>
        <n v="47728"/>
        <n v="5012"/>
        <n v="12178"/>
        <n v="13524"/>
        <n v="3161"/>
        <n v="16502"/>
        <n v="2166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3809"/>
        <n v="1252"/>
        <n v="1351"/>
        <n v="6748"/>
        <n v="527"/>
        <n v="5426"/>
        <n v="203"/>
        <n v="962"/>
        <n v="14889"/>
        <n v="3578"/>
        <n v="134"/>
        <n v="15293"/>
        <n v="1432"/>
        <n v="18639"/>
        <n v="801"/>
        <n v="32814"/>
        <n v="1732"/>
        <n v="1245"/>
        <n v="2528"/>
        <n v="29488"/>
        <n v="363"/>
        <n v="192"/>
        <n v="1585"/>
        <n v="15500"/>
        <n v="38963"/>
        <n v="33791"/>
        <n v="2140"/>
        <n v="994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2226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372"/>
        <n v="15337"/>
        <n v="12776"/>
        <n v="10368"/>
        <n v="678"/>
        <n v="417"/>
        <n v="446"/>
        <n v="16431"/>
        <n v="17250"/>
        <n v="799"/>
        <n v="1429"/>
        <n v="243"/>
        <n v="2243"/>
        <n v="14638"/>
        <n v="2207"/>
        <n v="4377"/>
        <n v="39789"/>
        <n v="1724"/>
        <n v="2447"/>
        <n v="4702"/>
        <n v="25"/>
        <n v="14726"/>
        <n v="4757"/>
        <n v="1767"/>
        <n v="2334"/>
        <n v="529"/>
        <n v="19086"/>
        <n v="50141"/>
        <n v="2895"/>
        <n v="714"/>
        <n v="38072"/>
        <n v="14160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3352"/>
        <n v="2499"/>
        <n v="31005"/>
        <n v="998"/>
        <n v="6485"/>
        <n v="6910"/>
        <n v="18864"/>
        <n v="13208"/>
        <n v="2417"/>
        <n v="14372"/>
        <n v="39473"/>
        <n v="37606"/>
        <n v="13631"/>
        <n v="3474"/>
        <n v="17104"/>
        <n v="7875"/>
        <n v="2011"/>
        <n v="796"/>
        <n v="2812"/>
        <n v="14133"/>
        <n v="1483"/>
        <n v="931"/>
        <n v="20456"/>
        <n v="14347"/>
        <n v="23602"/>
        <n v="9244"/>
        <n v="32288"/>
        <n v="1813"/>
        <n v="3700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1306"/>
        <n v="52138"/>
        <n v="140268"/>
        <n v="18765"/>
        <n v="5006"/>
        <n v="6105"/>
        <n v="7072"/>
        <n v="52"/>
        <n v="10565"/>
        <n v="14890"/>
        <n v="5592"/>
        <n v="6091"/>
        <n v="2376"/>
        <n v="4659"/>
        <n v="3963"/>
        <n v="3646"/>
        <n v="3798"/>
        <n v="3931"/>
        <n v="4551"/>
        <n v="10575"/>
        <n v="28767"/>
        <n v="2939"/>
        <n v="3250"/>
        <n v="3906"/>
        <n v="12274"/>
        <n v="1456"/>
        <n v="34700"/>
        <n v="469"/>
        <n v="1595"/>
        <n v="1244"/>
        <n v="2440"/>
        <n v="1819"/>
        <n v="1141"/>
        <n v="3848"/>
        <n v="4755"/>
        <n v="1291"/>
        <n v="1445"/>
        <n v="4497"/>
        <n v="1540"/>
        <n v="7166"/>
        <n v="4277"/>
        <n v="22577"/>
        <n v="456"/>
        <n v="2378"/>
        <n v="141"/>
        <n v="2126"/>
        <n v="3099"/>
        <n v="3878"/>
        <n v="1952"/>
        <n v="11"/>
        <n v="17417"/>
        <n v="18"/>
        <n v="1501"/>
        <n v="91"/>
        <n v="1854"/>
        <n v="708"/>
        <n v="433"/>
        <n v="2059"/>
        <n v="663"/>
        <n v="39175"/>
        <n v="895"/>
        <n v="2987"/>
        <n v="244"/>
        <n v="2053"/>
        <n v="13485"/>
        <n v="24063"/>
        <n v="1966"/>
        <n v="3507"/>
        <n v="23811"/>
        <n v="1853"/>
        <n v="3280"/>
        <n v="20466"/>
        <n v="179"/>
        <n v="3435"/>
        <n v="3135"/>
        <n v="2562"/>
        <n v="2436"/>
        <n v="903"/>
        <n v="6223"/>
        <n v="3101"/>
        <n v="3376"/>
        <n v="14735"/>
        <n v="1661"/>
        <n v="995"/>
        <n v="1104"/>
        <n v="4291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800"/>
        <n v="28004"/>
        <n v="150"/>
        <n v="3117"/>
        <n v="5286"/>
        <n v="248"/>
        <n v="378"/>
        <n v="10822"/>
        <n v="2640"/>
        <n v="2271"/>
        <n v="1228"/>
        <n v="2811"/>
        <n v="20312"/>
        <n v="2272"/>
        <n v="592"/>
        <n v="1121"/>
        <n v="1526"/>
        <n v="1807"/>
        <n v="175"/>
        <n v="63710"/>
        <n v="27660"/>
        <n v="3189"/>
        <n v="27378"/>
        <n v="5270"/>
        <n v="28734"/>
        <n v="3492"/>
        <n v="2013"/>
        <n v="5264"/>
        <n v="11895"/>
        <n v="3362"/>
        <n v="7461"/>
        <n v="13162"/>
        <n v="20795"/>
        <n v="1593"/>
        <n v="2197"/>
        <n v="1529"/>
        <n v="3192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3691"/>
        <n v="5804"/>
        <n v="2402"/>
        <n v="15251"/>
        <n v="12946"/>
        <n v="2149"/>
        <n v="857"/>
        <n v="7552"/>
        <n v="15716"/>
        <n v="3317"/>
        <n v="4789"/>
        <n v="19065"/>
        <n v="361"/>
        <n v="3119"/>
        <n v="3416"/>
        <n v="6296"/>
        <n v="571"/>
        <n v="13960"/>
        <n v="3973"/>
        <n v="3752"/>
        <n v="17204"/>
        <n v="4053"/>
        <n v="3871"/>
        <n v="3215"/>
        <n v="22485"/>
        <n v="6388"/>
        <n v="12418"/>
        <n v="6046"/>
        <n v="13626"/>
        <n v="1856"/>
        <n v="2618"/>
        <n v="3651"/>
        <n v="7747"/>
        <n v="4769"/>
        <n v="2198"/>
        <n v="3858"/>
        <n v="3818"/>
        <n v="5139"/>
        <n v="29"/>
        <n v="26961"/>
        <n v="2061"/>
        <n v="1022"/>
        <n v="2791"/>
        <n v="3745"/>
        <n v="2446"/>
        <n v="18712"/>
        <n v="474"/>
        <n v="5262"/>
        <n v="13160"/>
        <n v="5732"/>
        <n v="2735"/>
        <n v="1891"/>
        <n v="267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56"/>
        <n v="1283"/>
        <n v="18652"/>
        <n v="768"/>
        <n v="3049"/>
        <n v="50542"/>
        <n v="5761"/>
        <n v="18236"/>
        <n v="17469"/>
        <n v="4579"/>
        <n v="221"/>
        <n v="3465"/>
        <n v="2655"/>
        <n v="16118"/>
        <n v="3124"/>
        <n v="3146"/>
        <n v="2519"/>
        <n v="4725"/>
        <n v="940"/>
        <n v="375"/>
        <n v="14656"/>
        <n v="934"/>
        <n v="964"/>
        <n v="7637"/>
        <n v="31325"/>
        <n v="81"/>
        <n v="2227"/>
        <n v="3937"/>
        <n v="2739"/>
        <n v="569"/>
        <n v="4686"/>
        <n v="18983"/>
        <n v="1674"/>
        <n v="3939"/>
        <n v="9432"/>
        <n v="2127"/>
        <n v="35634"/>
        <n v="3827"/>
        <n v="4109"/>
        <n v="448"/>
        <n v="34398"/>
        <n v="23962"/>
        <n v="1586"/>
        <n v="1836"/>
        <n v="15835"/>
        <n v="1248"/>
        <n v="13762"/>
        <n v="2524"/>
        <n v="1094"/>
        <n v="21711"/>
        <n v="15014"/>
        <n v="3661"/>
        <n v="5420"/>
        <n v="1633"/>
        <n v="6807"/>
        <n v="4409"/>
        <n v="3114"/>
        <n v="25660"/>
        <n v="17336"/>
        <n v="845"/>
        <n v="1611"/>
        <n v="1345"/>
        <n v="23770"/>
        <n v="358"/>
        <n v="2478"/>
        <n v="4908"/>
        <n v="3824"/>
        <n v="639"/>
        <n v="1991"/>
        <n v="2007"/>
        <n v="3767"/>
        <n v="24102"/>
        <n v="4617"/>
        <n v="32"/>
        <n v="2942"/>
        <n v="251"/>
        <n v="1426"/>
        <n v="299"/>
        <n v="1098"/>
        <n v="1835"/>
        <n v="10369"/>
        <n v="6426"/>
        <n v="822"/>
        <n v="2310"/>
        <n v="498"/>
        <n v="1129"/>
        <n v="6954"/>
        <n v="2802"/>
        <n v="4458"/>
        <n v="13172"/>
        <n v="1097"/>
        <n v="8097"/>
        <n v="1510"/>
        <n v="47"/>
        <n v="3516"/>
        <n v="1637"/>
        <n v="36892"/>
        <n v="3164"/>
        <n v="97"/>
        <n v="3279"/>
        <n v="8532"/>
        <n v="823"/>
        <n v="4004"/>
        <n v="128"/>
        <n v="2350"/>
        <n v="4168"/>
        <n v="808"/>
        <n v="16557"/>
        <n v="5673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1455"/>
        <n v="1279"/>
        <n v="37645"/>
        <n v="1760"/>
        <n v="2832"/>
        <n v="2400"/>
        <n v="25792"/>
        <n v="25462"/>
        <n v="27646"/>
        <n v="17524"/>
        <n v="1183"/>
        <n v="16982"/>
        <n v="3293"/>
        <n v="5190"/>
        <n v="3502"/>
        <n v="3291"/>
        <n v="2687"/>
        <n v="13180"/>
        <n v="6034"/>
        <n v="1442"/>
        <n v="2265"/>
        <n v="3543"/>
        <n v="2404"/>
        <n v="2786"/>
        <n v="7692"/>
        <n v="15848"/>
        <n v="75"/>
        <n v="517"/>
        <n v="3921"/>
        <n v="1234"/>
        <n v="6343"/>
        <n v="41645"/>
        <n v="1378"/>
        <n v="786"/>
        <n v="9608"/>
        <n v="11770"/>
        <n v="29196"/>
        <n v="2512"/>
        <n v="326"/>
        <n v="28"/>
        <n v="37457"/>
        <n v="733"/>
        <n v="33858"/>
        <n v="219"/>
        <n v="1546"/>
        <n v="1389"/>
        <n v="2284"/>
        <n v="2741"/>
        <n v="12619"/>
        <n v="4737"/>
        <n v="407"/>
        <n v="10218"/>
        <n v="25092"/>
        <n v="4707"/>
        <n v="4198"/>
        <n v="1871"/>
        <n v="4091"/>
        <n v="41867"/>
        <n v="15396"/>
        <n v="262"/>
        <n v="1176"/>
        <n v="7206"/>
        <n v="4370"/>
        <n v="1754"/>
        <n v="4099"/>
        <n v="19879"/>
        <n v="2428"/>
        <n v="28817"/>
        <n v="835"/>
        <n v="1105"/>
        <n v="28122"/>
        <n v="791"/>
        <n v="54075"/>
        <n v="1051"/>
        <n v="46646"/>
        <n v="2212"/>
        <n v="2515"/>
        <n v="16289"/>
        <n v="5959"/>
        <n v="29769"/>
        <n v="22140"/>
        <n v="33758"/>
        <n v="19949"/>
        <n v="2951"/>
        <n v="17611"/>
        <n v="5282"/>
        <n v="1379"/>
        <n v="13448"/>
        <n v="7970"/>
        <n v="4837"/>
        <n v="345"/>
        <n v="19330"/>
        <n v="3110"/>
        <n v="14816"/>
        <n v="312"/>
        <n v="3128"/>
        <n v="493"/>
        <n v="2352"/>
        <n v="11116"/>
        <n v="12051"/>
        <n v="9984"/>
        <n v="2158"/>
        <n v="6526"/>
        <n v="3547"/>
        <n v="2909"/>
        <n v="2589"/>
        <n v="11059"/>
        <n v="8876"/>
        <n v="2209"/>
        <n v="215"/>
        <n v="684"/>
        <n v="5213"/>
        <n v="44969"/>
        <n v="13000"/>
        <n v="1251"/>
        <n v="9660"/>
        <n v="2029"/>
        <n v="8"/>
        <n v="27756"/>
        <n v="12680"/>
        <n v="218"/>
        <n v="236"/>
        <n v="17209"/>
        <n v="18643"/>
        <n v="3009"/>
        <n v="414"/>
        <n v="17377"/>
        <n v="333"/>
        <n v="2119"/>
        <n v="490"/>
        <n v="35717"/>
        <n v="343"/>
        <n v="666"/>
        <n v="225"/>
        <n v="106"/>
        <n v="936"/>
        <n v="1285"/>
        <n v="2442"/>
        <n v="4840"/>
        <n v="2475"/>
        <n v="1140"/>
        <n v="394"/>
        <n v="1405"/>
        <n v="105"/>
        <n v="15230"/>
        <n v="29277"/>
        <n v="21107"/>
        <n v="846"/>
        <n v="14462"/>
        <n v="1904"/>
        <n v="3582"/>
        <n v="200"/>
        <n v="1163"/>
        <n v="39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844"/>
        <n v="1517"/>
        <n v="2697"/>
        <n v="51355"/>
        <n v="10123"/>
        <n v="3825"/>
        <n v="3569"/>
        <n v="4484"/>
        <n v="7103"/>
        <n v="2103"/>
        <n v="18947"/>
        <n v="5668"/>
        <n v="3318"/>
        <n v="382"/>
        <n v="546"/>
        <n v="8297"/>
        <n v="489"/>
        <n v="1407"/>
        <n v="2379"/>
        <n v="2748"/>
        <n v="297"/>
        <n v="841"/>
        <n v="2000"/>
        <n v="282"/>
        <n v="2163"/>
        <n v="2430"/>
        <n v="1081"/>
        <n v="15604"/>
        <n v="14599"/>
        <n v="2200"/>
        <n v="2152"/>
        <n v="27575"/>
        <n v="1940"/>
        <n v="3469"/>
        <n v="2563"/>
        <n v="477"/>
        <n v="1858"/>
        <n v="12772"/>
        <n v="34605"/>
        <n v="6569"/>
        <n v="502"/>
        <n v="1443"/>
        <n v="2205"/>
        <n v="1477"/>
        <n v="1239"/>
        <n v="2201"/>
        <n v="2584"/>
        <n v="1065"/>
        <n v="73"/>
        <n v="72"/>
        <n v="2387"/>
        <n v="2723"/>
        <n v="888"/>
        <n v="44265"/>
        <n v="17599"/>
        <n v="34106"/>
        <n v="16768"/>
        <n v="396"/>
        <n v="745"/>
        <n v="1033"/>
        <n v="2892"/>
        <n v="6776"/>
        <n v="118"/>
        <n v="1519"/>
        <n v="2030"/>
        <n v="4883"/>
        <n v="6111"/>
        <n v="385"/>
        <n v="1832"/>
        <n v="955"/>
        <n v="631"/>
        <n v="454"/>
        <n v="787"/>
        <n v="4134"/>
        <n v="1770"/>
        <n v="1584"/>
        <n v="688"/>
        <n v="1920"/>
        <n v="42002"/>
        <n v="11736"/>
        <n v="2161"/>
        <n v="13864"/>
        <n v="17738"/>
        <n v="11771"/>
        <n v="2071"/>
        <n v="1122"/>
        <n v="8375"/>
        <n v="854"/>
        <n v="2014"/>
        <n v="15710"/>
        <n v="2410"/>
        <n v="2868"/>
        <n v="1410"/>
        <n v="2840"/>
        <n v="3843"/>
        <n v="19673"/>
        <n v="2112"/>
        <n v="14306"/>
        <n v="12306"/>
        <n v="4856"/>
        <n v="11400"/>
        <n v="1160"/>
        <n v="2383"/>
        <n v="259"/>
        <n v="23714"/>
        <n v="1332"/>
        <n v="2269"/>
        <n v="315"/>
        <n v="1199"/>
        <n v="13591"/>
        <n v="3942"/>
        <n v="5202"/>
        <n v="2691"/>
        <n v="5245"/>
        <n v="19404"/>
        <n v="5900"/>
        <n v="416"/>
        <n v="25676"/>
        <n v="1324"/>
        <n v="6617"/>
        <n v="10517"/>
        <n v="1209"/>
        <n v="24994"/>
        <n v="12897"/>
        <n v="5185"/>
        <n v="1665"/>
        <n v="648"/>
        <n v="13718"/>
        <n v="172"/>
        <n v="6"/>
        <n v="4987"/>
        <n v="3207"/>
        <n v="2984"/>
        <n v="1010"/>
        <n v="408"/>
        <n v="1789"/>
        <n v="5203"/>
        <n v="117"/>
        <n v="526"/>
        <n v="3724"/>
        <n v="10727"/>
        <n v="3217"/>
        <n v="4092"/>
        <n v="1986"/>
        <n v="2509"/>
        <n v="3514"/>
        <n v="1681"/>
        <n v="5191"/>
        <n v="4991"/>
        <n v="3021"/>
        <n v="46115"/>
        <n v="2849"/>
        <n v="92"/>
        <n v="3967"/>
        <n v="2363"/>
        <n v="3690"/>
        <n v="2545"/>
        <n v="11703"/>
        <n v="2469"/>
        <n v="302"/>
        <n v="2409"/>
        <n v="34779"/>
        <n v="18105"/>
        <n v="15093"/>
        <n v="122"/>
        <n v="3113"/>
        <n v="1662"/>
        <n v="1862"/>
        <n v="5002"/>
        <n v="588"/>
        <n v="26050"/>
        <n v="1587"/>
        <n v="3668"/>
        <n v="2235"/>
        <n v="496"/>
        <n v="17040"/>
        <n v="5041"/>
        <n v="907"/>
        <n v="29325"/>
        <n v="398"/>
        <n v="131"/>
        <n v="15860"/>
        <n v="20397"/>
        <n v="3089"/>
        <n v="4810"/>
        <n v="497"/>
        <n v="61"/>
        <n v="21404"/>
        <n v="2553"/>
        <n v="3026"/>
        <n v="938"/>
        <n v="206"/>
        <n v="2412"/>
        <n v="1951"/>
        <n v="403"/>
        <n v="32015"/>
        <n v="12691"/>
        <n v="825"/>
        <n v="26489"/>
        <n v="13707"/>
        <n v="2634"/>
        <n v="1218"/>
        <n v="4807"/>
        <n v="986"/>
        <n v="18645"/>
        <n v="837"/>
        <n v="1785"/>
        <n v="2649"/>
        <n v="46868"/>
        <n v="20132"/>
        <n v="3354"/>
        <n v="1652"/>
        <n v="50831"/>
        <n v="954"/>
        <n v="19928"/>
        <n v="753"/>
        <n v="1566"/>
        <n v="7921"/>
        <n v="972"/>
        <n v="3559"/>
        <n v="776"/>
        <n v="1208"/>
        <n v="4777"/>
        <n v="1215"/>
        <n v="1700"/>
        <n v="3408"/>
        <n v="3130"/>
        <n v="4343"/>
        <n v="1298"/>
        <n v="975"/>
        <n v="11083"/>
        <n v="2805"/>
        <n v="916"/>
        <n v="643"/>
        <n v="25269"/>
        <n v="5796"/>
        <n v="387"/>
        <n v="1038"/>
        <n v="915"/>
        <n v="20135"/>
        <n v="629"/>
        <n v="10984"/>
        <n v="2631"/>
        <n v="183"/>
        <n v="1541"/>
        <n v="242"/>
        <n v="457"/>
        <n v="2651"/>
        <n v="609"/>
        <n v="1932"/>
        <n v="1150"/>
        <n v="5987"/>
        <n v="731"/>
        <n v="1269"/>
        <n v="2658"/>
        <n v="298"/>
        <n v="5977"/>
        <n v="17151"/>
        <n v="2195"/>
        <n v="465"/>
        <n v="2726"/>
        <n v="2886"/>
        <n v="3455"/>
        <n v="3036"/>
        <n v="4337"/>
        <n v="970"/>
        <n v="771"/>
        <n v="987"/>
        <n v="4238"/>
        <n v="836"/>
        <n v="1347"/>
        <n v="2238"/>
        <n v="3075"/>
        <n v="3574"/>
        <n v="20009"/>
        <n v="6380"/>
        <n v="1043"/>
        <n v="668"/>
        <n v="2406"/>
        <n v="2307"/>
        <n v="5526"/>
        <n v="2861"/>
        <n v="11218"/>
        <n v="22834"/>
        <n v="320"/>
        <n v="3608"/>
        <n v="26495"/>
        <n v="1211"/>
        <n v="11860"/>
        <n v="216"/>
        <n v="2076"/>
        <n v="17"/>
        <n v="2997"/>
        <n v="2693"/>
        <n v="308"/>
        <n v="170118"/>
        <n v="3468"/>
        <n v="1198"/>
        <n v="1844"/>
        <n v="1964"/>
        <n v="1965"/>
        <n v="1779"/>
        <n v="900"/>
        <n v="1472"/>
        <n v="3708"/>
        <n v="2239"/>
        <n v="159"/>
        <n v="649"/>
        <n v="1186"/>
        <n v="373"/>
        <n v="1035"/>
        <n v="1328"/>
        <n v="70"/>
        <n v="14696"/>
        <n v="4815"/>
        <n v="1444"/>
        <n v="328"/>
        <n v="2510"/>
        <n v="1616"/>
        <n v="3692"/>
        <n v="1806"/>
        <n v="1363"/>
        <n v="12250"/>
        <n v="9555"/>
        <n v="11459"/>
        <n v="36859"/>
        <n v="43810"/>
        <n v="852"/>
        <n v="1249"/>
        <n v="1663"/>
        <n v="2715"/>
        <n v="13636"/>
        <n v="3149"/>
        <n v="8353"/>
        <n v="1551"/>
        <n v="158"/>
        <n v="1030"/>
        <n v="4920"/>
        <n v="4756"/>
        <n v="3882"/>
        <n v="1929"/>
        <n v="7191"/>
        <n v="3666"/>
        <n v="2890"/>
        <n v="4469"/>
        <n v="3024"/>
        <n v="277"/>
        <n v="1989"/>
        <n v="1231"/>
        <n v="423"/>
        <n v="2305"/>
        <n v="923"/>
        <n v="2703"/>
        <n v="1797"/>
        <n v="681"/>
        <n v="434"/>
        <n v="197"/>
        <n v="2555"/>
        <n v="4701"/>
        <n v="467"/>
        <n v="205"/>
        <n v="239"/>
        <n v="19"/>
        <n v="67"/>
        <n v="3421"/>
        <n v="1111"/>
        <n v="28713"/>
        <n v="19923"/>
        <n v="36"/>
        <n v="79"/>
        <n v="1396"/>
        <n v="10040"/>
        <n v="1967"/>
        <n v="338"/>
        <n v="1064"/>
        <n v="1491"/>
        <n v="1739"/>
        <n v="163"/>
        <n v="862"/>
        <n v="4590"/>
        <n v="3157"/>
        <n v="5963"/>
        <n v="2306"/>
        <n v="1490"/>
        <n v="881"/>
        <n v="3282"/>
        <n v="3132"/>
        <n v="2580"/>
        <n v="3586"/>
        <n v="4385"/>
        <n v="12359"/>
        <n v="16"/>
        <n v="174"/>
        <n v="170"/>
        <n v="6752"/>
        <n v="3799"/>
        <n v="6085"/>
        <n v="558"/>
        <n v="1941"/>
        <n v="155"/>
        <n v="145"/>
        <n v="3873"/>
        <n v="1020"/>
        <n v="99"/>
        <n v="1736"/>
        <n v="11192"/>
        <n v="12034"/>
        <n v="3833"/>
        <n v="1404"/>
        <n v="563"/>
        <n v="2300"/>
        <n v="2290"/>
        <n v="3163"/>
        <n v="14412"/>
        <n v="65"/>
        <n v="2186"/>
        <n v="34446"/>
        <n v="1349"/>
        <n v="13145"/>
        <n v="3013"/>
        <n v="675"/>
        <n v="50313"/>
        <n v="11327"/>
        <n v="901"/>
        <n v="226"/>
        <n v="56"/>
        <n v="359"/>
        <n v="11184"/>
        <n v="11618"/>
        <n v="3427"/>
        <n v="1156"/>
        <n v="3011"/>
        <n v="51441"/>
        <n v="1511"/>
        <n v="613"/>
        <n v="865"/>
        <n v="36885"/>
        <n v="26176"/>
        <n v="4280"/>
        <n v="2522"/>
        <n v="10869"/>
        <n v="2749"/>
        <n v="1362"/>
        <n v="39518"/>
        <n v="774"/>
        <n v="14561"/>
        <n v="86"/>
        <n v="1650"/>
        <n v="322"/>
        <n v="892"/>
        <n v="2395"/>
        <n v="1884"/>
        <n v="1055"/>
        <n v="2620"/>
        <n v="15740"/>
        <n v="3683"/>
        <n v="35796"/>
        <n v="16110"/>
        <n v="15707"/>
        <n v="1425"/>
        <n v="4968"/>
        <n v="13583"/>
        <n v="19649"/>
        <n v="1204"/>
        <n v="17471"/>
        <n v="3275"/>
        <n v="176"/>
        <n v="1182"/>
        <n v="68"/>
        <n v="90"/>
        <n v="4249"/>
        <n v="1958"/>
        <n v="10570"/>
        <n v="2187"/>
        <n v="349"/>
        <n v="32405"/>
        <n v="14620"/>
        <n v="18263"/>
        <n v="2831"/>
        <n v="2439"/>
        <n v="1270"/>
        <n v="984"/>
        <n v="4306"/>
        <n v="623"/>
        <n v="2489"/>
        <n v="139"/>
        <n v="941"/>
        <n v="3970"/>
        <n v="2423"/>
        <n v="2095"/>
        <n v="763"/>
        <n v="2721"/>
        <n v="2247"/>
        <n v="3894"/>
        <n v="2196"/>
        <n v="3137"/>
        <n v="231"/>
        <n v="380"/>
        <n v="137"/>
        <n v="12157"/>
        <n v="622"/>
        <n v="1694"/>
        <n v="2564"/>
        <n v="992"/>
        <n v="1981"/>
        <n v="1168"/>
        <n v="3310"/>
        <n v="479"/>
        <n v="261818"/>
        <n v="4762"/>
        <n v="3030"/>
        <n v="856"/>
        <n v="859"/>
        <n v="33441"/>
        <n v="792"/>
        <n v="3288"/>
        <n v="352"/>
        <n v="3901"/>
        <n v="3138"/>
        <n v="2628"/>
        <n v="1240"/>
        <n v="60"/>
        <n v="721"/>
        <n v="89263"/>
        <n v="5158"/>
        <n v="165"/>
        <n v="596"/>
        <n v="4036"/>
        <n v="967"/>
        <n v="4320"/>
        <n v="2882"/>
        <n v="2870"/>
        <n v="256"/>
        <n v="2072"/>
        <n v="421"/>
        <n v="1159"/>
        <n v="28294"/>
        <n v="821"/>
        <n v="14420"/>
        <n v="83"/>
        <n v="3475"/>
        <n v="16537"/>
        <n v="289"/>
        <n v="6227"/>
        <n v="602"/>
        <n v="1499"/>
        <n v="38121"/>
        <n v="1866"/>
        <n v="2459"/>
        <n v="1961"/>
        <n v="4040"/>
        <n v="1431"/>
        <n v="5161"/>
        <n v="2893"/>
        <n v="20218"/>
        <n v="4288"/>
        <n v="4289"/>
        <n v="2681"/>
        <n v="28994"/>
        <n v="293"/>
        <n v="16089"/>
        <n v="76"/>
        <n v="54484"/>
        <n v="1438"/>
        <n v="1190"/>
        <n v="1621"/>
        <n v="630"/>
        <n v="1581"/>
        <n v="11257"/>
        <n v="1810"/>
        <n v="19957"/>
        <n v="1311"/>
        <n v="1617"/>
        <n v="1329"/>
        <n v="21"/>
        <n v="521"/>
        <n v="645"/>
        <n v="12"/>
        <n v="3442"/>
        <n v="1052"/>
        <n v="1080"/>
        <n v="16094"/>
        <n v="4878"/>
        <n v="1371"/>
        <n v="23525"/>
        <n v="4438"/>
        <n v="2665"/>
        <n v="35941"/>
        <n v="831"/>
        <n v="929"/>
        <n v="510"/>
        <n v="2082"/>
        <n v="283"/>
        <n v="42"/>
        <n v="1147"/>
        <n v="23461"/>
        <n v="21124"/>
        <n v="1447"/>
        <n v="3085"/>
        <n v="295"/>
        <n v="1107"/>
        <n v="12385"/>
        <n v="1692"/>
        <n v="1641"/>
        <n v="2289"/>
        <n v="12234"/>
        <n v="4720"/>
        <n v="7098"/>
        <n v="2369"/>
        <n v="15"/>
        <n v="3258"/>
        <n v="263584"/>
        <n v="1452"/>
        <n v="1042"/>
        <n v="3905"/>
        <n v="1647"/>
        <n v="509"/>
        <n v="928"/>
        <n v="2694"/>
        <n v="1188"/>
        <n v="920"/>
        <n v="351"/>
        <n v="2607"/>
        <n v="997"/>
        <n v="52113"/>
        <n v="1996"/>
        <n v="292"/>
        <n v="1549"/>
        <n v="2116"/>
        <n v="1350"/>
        <n v="11466"/>
        <n v="1226"/>
        <n v="109"/>
        <n v="656"/>
        <n v="2677"/>
        <n v="1713"/>
        <n v="2468"/>
        <n v="2504"/>
        <n v="104"/>
        <n v="11094"/>
        <n v="2924"/>
        <n v="264"/>
        <n v="687"/>
        <n v="4184"/>
        <n v="63"/>
        <n v="897"/>
        <n v="26017"/>
        <n v="5435"/>
        <n v="1751"/>
        <n v="926"/>
        <n v="1278"/>
        <n v="3336"/>
        <n v="1502"/>
        <n v="455"/>
        <n v="1983"/>
        <n v="2359"/>
        <n v="116"/>
        <n v="587"/>
        <n v="14954"/>
        <n v="3071"/>
        <n v="2714"/>
        <n v="548"/>
        <n v="1558"/>
        <n v="1117"/>
        <n v="321"/>
        <n v="26578"/>
        <n v="2476"/>
        <n v="2160"/>
        <n v="33734"/>
        <n v="1763"/>
        <n v="1210"/>
        <n v="2483"/>
        <n v="1683"/>
        <n v="1553"/>
        <n v="283939"/>
        <n v="399"/>
        <n v="778"/>
        <n v="190"/>
        <n v="85"/>
        <n v="553"/>
        <n v="1707"/>
        <n v="2996"/>
        <n v="516"/>
        <n v="24419"/>
        <n v="194"/>
        <n v="161"/>
        <n v="660"/>
        <n v="3166"/>
        <n v="2322"/>
        <n v="24382"/>
        <n v="20480"/>
        <n v="483"/>
        <n v="11839"/>
        <n v="734"/>
        <n v="35294"/>
        <n v="1118"/>
        <n v="1924"/>
        <n v="1047"/>
        <n v="119"/>
        <n v="2099"/>
        <n v="26999"/>
        <n v="2102"/>
        <n v="3359"/>
        <n v="2438"/>
        <n v="254"/>
        <n v="1628"/>
        <n v="976"/>
        <n v="12496"/>
        <n v="2830"/>
        <n v="10"/>
        <n v="3950"/>
        <n v="1528"/>
        <n v="330"/>
        <n v="78"/>
        <n v="168"/>
        <n v="123"/>
        <n v="272"/>
        <n v="260"/>
        <n v="481"/>
        <n v="3"/>
        <n v="872"/>
        <n v="5052"/>
        <n v="199"/>
        <n v="1433"/>
        <n v="1370"/>
        <n v="126"/>
        <n v="102"/>
        <n v="3010"/>
        <n v="460"/>
        <n v="185"/>
        <n v="689"/>
        <n v="14950"/>
        <n v="2048"/>
        <n v="544"/>
        <n v="1545"/>
        <n v="1734"/>
        <n v="15765"/>
        <n v="1330"/>
        <n v="1743"/>
        <n v="7"/>
        <n v="34983"/>
        <n v="1399"/>
        <n v="127"/>
        <n v="2862"/>
        <n v="2123"/>
        <n v="154"/>
        <n v="1056"/>
        <n v="694"/>
        <n v="968"/>
        <n v="1087"/>
        <n v="27507"/>
        <n v="2970"/>
        <n v="16534"/>
        <n v="77046"/>
        <n v="69"/>
        <n v="314"/>
        <n v="279"/>
        <n v="27"/>
        <n v="7144"/>
        <n v="1181"/>
        <n v="828"/>
        <n v="518"/>
        <n v="263"/>
        <n v="100"/>
        <n v="1303"/>
        <n v="1631"/>
        <n v="364"/>
        <n v="1144"/>
        <n v="332"/>
        <n v="62"/>
        <n v="130"/>
        <n v="1796"/>
        <n v="1048"/>
        <n v="942"/>
        <n v="511"/>
        <n v="973"/>
        <n v="2364"/>
        <n v="276"/>
        <n v="2283"/>
        <n v="284"/>
        <n v="1401"/>
        <n v="354"/>
        <n v="459"/>
        <n v="564"/>
        <n v="45"/>
        <n v="103"/>
        <n v="2065"/>
        <n v="138"/>
        <n v="2046"/>
        <n v="11642"/>
        <n v="388"/>
        <n v="147"/>
        <n v="1179"/>
        <n v="1527"/>
        <n v="1077"/>
        <n v="43"/>
        <n v="1922"/>
        <n v="2058"/>
        <n v="642"/>
        <n v="20814"/>
        <n v="2783"/>
        <n v="1054"/>
        <n v="38"/>
        <n v="40"/>
        <n v="366"/>
        <n v="2679"/>
        <n v="770"/>
        <n v="674"/>
        <n v="115"/>
        <n v="368"/>
        <n v="93"/>
        <n v="690"/>
        <n v="2386"/>
        <m/>
      </sharedItems>
    </cacheField>
    <cacheField name="facenumber_in_poster" numFmtId="0">
      <sharedItems containsString="0" containsBlank="1" containsNumber="1" containsInteger="1" minValue="0" maxValue="43" count="20">
        <n v="0"/>
        <n v="1"/>
        <n v="4"/>
        <n v="3"/>
        <n v="2"/>
        <n v="6"/>
        <n v="7"/>
        <n v="5"/>
        <n v="8"/>
        <m/>
        <n v="10"/>
        <n v="15"/>
        <n v="9"/>
        <n v="11"/>
        <n v="12"/>
        <n v="31"/>
        <n v="14"/>
        <n v="19"/>
        <n v="13"/>
        <n v="43"/>
      </sharedItems>
    </cacheField>
    <cacheField name="plot_keywords" numFmtId="0">
      <sharedItems containsBlank="1" count="4761">
        <s v="avatar|future|marine|native|paraplegic"/>
        <s v="goddess|marriage ceremony|marriage proposal|pirate|singapore"/>
        <s v="bomb|espionage|sequel|spy|terrorist"/>
        <s v="deception|imprisonment|lawlessness|police officer|terrorist plot"/>
        <m/>
        <s v="alien|american civil war|male nipple|mars|princess"/>
        <s v="sandman|spider man|symbiote|venom|villain"/>
        <s v="17th century|based on fairy tale|disney|flower|tower"/>
        <s v="artificial intelligence|based on comic book|captain america|marvel cinematic universe|superhero"/>
        <s v="blood|book|love|potion|professor"/>
        <s v="based on comic book|batman|sequel to a reboot|superhero|superman"/>
        <s v="crystal|epic|lex luthor|lois lane|return to earth"/>
        <s v="action hero|attempted rape|bond girl|official james bond series|revenge"/>
        <s v="box office hit|giant squid|heart|liar's dice|monster"/>
        <s v="horse|outlaw|texas|texas ranger|train"/>
        <s v="based on comic book|british actor playing american character|final battle|origin of hero|reboot"/>
        <s v="brother brother relationship|brother sister relationship|good versus evil|king|narnia"/>
        <s v="alien invasion|assassin|battle|iron man|soldier"/>
        <s v="blackbeard|captain|pirate|revenge|soldier"/>
        <s v="alien|criminal|m.i.b.|maximum security prison|prison"/>
        <s v="army|elf|hobbit|middle earth|orc"/>
        <s v="lizard|outcast|spider|spider man|teenager"/>
        <s v="1190s|archer|england|king of england|robin hood"/>
        <s v="dwarf|elf|lake town|mountain|sword and sorcery"/>
        <s v="children|epic|friend|girl|quest"/>
        <s v="animal name in title|ape abducts a woman|gorilla|island|king kong"/>
        <s v="artist|love|ship|titanic|wet"/>
        <s v="based on comic book|knife|marvel cinematic universe|returning character killed off|superhero"/>
        <s v="box office flop|hawaii|naval|oahu hawaii|ship"/>
        <s v="dinosaur|disaster film|experiment gone wrong|jurassic park|velociraptor"/>
        <s v="brawl|childhood home|computer cracker|intelligence agency|terrorist cell"/>
        <s v="death|doctor|scientist|super villain|tentacle"/>
        <s v="armor|explosion|human bomb|missile attack|terrorist"/>
        <s v="alice in wonderland|mistaking reality for dream|queen|shrinking|shrinking potion"/>
        <s v="battle|mutant|outrage|walking through a wall|x men"/>
        <s v="cheating|fraternity|monster|singing in a car|university"/>
        <s v="autobot|decepticon|machine|sun|symbol"/>
        <s v="blockbuster|bumblebee the character|semi truck and trailer|texas|truck"/>
        <s v="circus|magic|magician|oz|witch"/>
        <s v="costumed hero|death of girlfriend|masked vigilante|returning character killed off|teenager"/>
        <s v="arcade|bridge|disappearance|escape|warrior"/>
        <s v="best friend|car race|conspiracy|gadget car|spy"/>
        <s v="autopsy|lantern|planet|ring|test pilot"/>
        <s v="college|day care|escape|teddy bear|toy"/>
        <s v="death row|future|machine|rescue|skynet"/>
        <s v="car falling off a cliff|hospital|revenge|star died before release|terrorist"/>
        <s v="chaos|disease|infection|pandemic|zombie"/>
        <s v="dystopia|super strength|supernatural power|time paradox|time travel"/>
        <s v="admiral|captain|manhunt|mission|space"/>
        <s v="bean|giant|king|no opening credits|princess"/>
        <s v="ingratitude|mansion|party|title appears in writing|tragedy"/>
        <s v="alamut|dagger|king|persia|princess"/>
        <s v="giant monster|kaiju|pilot|portal|robot"/>
        <s v="autobot|decepticon|job interview|moon|spacecraft"/>
        <s v="cult figure|femme fatale|indiana jones|unsubtitled foreign language|year 1957"/>
        <s v="apatosaurus|asteroid|dinosaur|fear|river"/>
        <s v="archery|coming of age|female warrior|princess|rebellious daughter"/>
        <s v="hatred|sequel|space opera|star trek|third part"/>
        <s v="earth|obesity|plant|robot|soil"/>
        <s v="ambassador|assassination|chinese|french|triad"/>
        <s v="ark|catastrophe|geologist|president|writer"/>
        <s v="charles dickens|christmas|christmas eve|ghost|scrooge"/>
        <s v="box office flop|critically bashed|planet earth|space opera|woman in bra and panties"/>
        <s v="africa|capture|jungle|male objectification|tarzan"/>
        <s v="hide and seek|lion|magic|professor|snow"/>
        <s v="mutant|superhero|superhero team|x men|year 1983"/>
        <s v="based on comic book|dc comics|psychopath|star died before release|urban setting"/>
        <s v="balloon|house|promise|retirement|skeleton"/>
        <s v="alien|alien invasion|alien space craft|giant|giantess"/>
        <s v="afghanistan|billionaire|inventor|playboy|u.s. air force"/>
        <s v="automaton|mechanical|railway station|steampunk|train"/>
        <s v="buddy movie|general|inventor|steampunk|utah"/>
        <s v="army|china|emperor|mummy|shangri la"/>
        <s v="based on comic book|critically bashed|father daughter relationship|reference to superman|super villain"/>
        <s v="ark|change|congressman|depiction of god|flood"/>
        <s v="alien|combat|dying repeatedly|end of the world|time loop"/>
        <s v="future|sail|sea|smoker|water"/>
        <s v="cobra|gi joe|snake|train|warhead"/>
        <s v="anger|joy|memory|running away|sadness"/>
        <s v="fire|jungle|remake|tiger|wolf"/>
        <s v="hammer|military|monaco|revenge|tony stark"/>
        <s v="evil queen|fairy tale|magic|queen|snow white"/>
        <s v="curse|dark fantasy|fairy|king|kingdom"/>
        <s v="ape|dam|leader|post apocalypse|sequel"/>
        <s v="1770s|british india|great barrier reef|india|ring"/>
        <s v="box office flop|ronin|samurai|shogun|tournament"/>
        <s v="conspiracy|heroism|megalomaniac|super soldier|world domination"/>
        <s v="alternate world|fairy tale parody|female warrior|ogre|true love"/>
        <s v="boy genius|futuristic city|inventor|teenage girl|time travel"/>
        <s v="high tech|martial arts|masked man|robot|superhero"/>
        <s v="arcade|candy|glitch|king|medal"/>
        <s v="boy|christmas|christmas eve|north pole|train"/>
        <s v="alien|battle|defense|independence day|mothership"/>
        <s v="dragon|island|training|viking|village"/>
        <s v="drifter|exploding truck|future|machine|skynet"/>
        <s v="bounty hunter|outer space|raccoon|talking animal|tree"/>
        <s v="black hole|father daughter relationship|saving the world|space travel|wormhole"/>
        <s v="ambiguous ending|corporate espionage|dream|subconscious|thief"/>
        <s v="blood|godzilla|monster|sequel"/>
        <s v="dragon|dwarf|hobbit|orc|wizard"/>
        <s v="eighteen wheeler|illegal street racing|truck|trucker|undercover cop"/>
        <s v="deformed baby|diary|lingerie slip|older man younger woman relationship|premature aging"/>
        <s v="cia|cia agent|mutant|nuclear war|professor"/>
        <s v="death of sister|dystopia|execution|rebellion|revolution"/>
        <s v="chosen one|enchanted object|love|spell|training"/>
        <s v="cruise|escape|ocean|passenger|water"/>
        <s v="clock|dark fantasy|mad hatter|queen|sequel"/>
        <s v="disney spoof|fairy tale|prince|princess|tough guy"/>
        <s v="based on video game|fictional language|fictional war|orc|sword and sorcery"/>
        <s v="alternate timeline|cyborg|future|robot|time machine"/>
        <s v="dragon|king|mouse|quest|warrior"/>
        <s v="air raid|black smoke|japanese military|japanese navy|sunday"/>
        <s v="alien contact|autobot|decepticon|robot vs. robot|teenage hero"/>
        <s v="ancient greece|conquest|greek|greek myth|king"/>
        <s v="battle|magic|school|teacher|wizard"/>
        <s v="fire|goblet|magic|tournament|wizard"/>
        <s v="bully comeuppance|destruction|prison|superhero|tough girl"/>
        <s v="new york city|pandemic|post apocalypse|survivalist|virus"/>
        <s v="chocolate|diminution|miniaturization|physical flexability|ticket"/>
        <s v="chef|food|french|rat|restaurant"/>
        <s v="armored car|gangster|gotham|mixed martial arts|social decay"/>
        <s v="africa|madagascar|new york city|sequel|zoo"/>
        <s v="hdtv|motorcycle|museum|security guard|tyrannosaurus rex"/>
        <s v="army|civil war|claw fight|commando|wolverine the character"/>
        <s v="battle|epic|fight|future|machine"/>
        <s v="magic|sister love|sister sister relationship|snow|snowman"/>
        <s v="car motorcycle chase|one against many|oracle|prophecy|stylized violence"/>
        <s v="arrest|portal|thor|warrior|weapon"/>
        <s v="australia|desert|escape|on the run|post apocalypse"/>
        <s v="conclave|illuminati|murder|reference to bernini|reference to raphael"/>
        <s v="battle|marvel cinematic universe|scientist|thor|throne"/>
        <s v="cat|dog|hamster|new york city|superpower"/>
        <s v="fbi director|guinea pig|household appliance|secret agent|talking mouse"/>
        <s v="ares|hades|titan|underworld|zeus"/>
        <s v="camera shot of feet|cartoon on tv|female stockinged feet|female stockinged soles|foot closeup"/>
        <s v="capture|computer hacker|mission|rogue agent|spy"/>
        <s v="asylum|death|full moon|transformation|werewolf"/>
        <s v="bee|dream sequence|egg|scatological humor|squashed bug"/>
        <s v="china|kung fu|panda|peacock|tigress"/>
        <s v="avatar|fire|kingdom|tribe|water"/>
        <s v="arms dealer|fictional government agency|mission|rescue|vatican"/>
        <s v="black u.s. president|president|secret service|tour|white house"/>
        <s v="boy|martian|rescue|robot|sexism"/>
        <s v="boat|frog|rat|sewer|toad"/>
        <s v="1940s|child hero|fantasy world|orphan|reference to peter pan"/>
        <s v="dog|father son relationship|inventor|talking dog|time travel"/>
        <s v="greek|mythology|prince|trojan|troy"/>
        <s v="animal|circus|island name in title|lemur|penguin"/>
        <s v="catfight|clinic|colonel|diamond|patricide"/>
        <s v="ghost|ghostbuster|ghostbusters|male objectification|reboot"/>
        <s v="asteroid|astronaut|bomb|meteorite|outer space"/>
        <s v="alien|lingerie|lingerie model|m.i.b.|pug"/>
        <s v="creature|demon|king|reward|warrior"/>
        <s v="china|kung fu|panda|pig|village"/>
        <s v="dubai|kremlin|race against time|russian|terrorist"/>
        <s v="belief|box office hit|children|new york city|tooth"/>
        <s v="animal abuse|ceo|heist|suburb|unemployment"/>
        <s v="captain|emperor|honor|japan|samurai"/>
        <s v="egypt|exodus|moses|pharaoh|plague"/>
        <s v="box office hit|future|lifted by the throat|star trek|vulcan"/>
        <s v="evil|goblin|spider|spider man|superhero"/>
        <s v="dragon|father son relationship|husband wife relationship|mother son relationship|viking"/>
        <s v="ancient egypt|egypt|egyptian|egyptian god|egyptian goddess"/>
        <s v="artificial intelligence|box office flop|fighter jet|navy|pilot"/>
        <s v="conspiracy|cynicism|false promise of the american dream|male full frontal nudity|male nudity"/>
        <s v="kung fu|lapd|martial arts|private investigator|triad"/>
        <s v="1980s|c 130 hercules|monster|panzer|san francisco california"/>
        <s v="general|gi joe|martial arts|ninja|president"/>
        <s v="beach|civil war|desert|dictator|ship"/>
        <s v="general|military|scientist|soldier|year 2065"/>
        <s v="arctic|captain america|scientist|tesseract|war bond"/>
        <s v="british|oil|scientist|terrorist|tycoon"/>
        <s v="1800s|napoleonic wars|pursuit|royal navy|ship"/>
        <s v="battle|friend|super strength|vampire|vision"/>
        <s v="3d|antarctica|krill|penguin|sequel"/>
        <s v="antidote|cure|hulk|marvel cinematic universe|opening action scene"/>
        <s v="cult tv|detective|drugs|police|undercover"/>
        <s v="cannibal|evil brother|giant|london england|queen"/>
        <s v="bear attack|cauterizing a wound|native american|revenge|survival"/>
        <s v="accident|freak accident|race|snail|underdog"/>
        <s v="chameleon|lizard|sheriff|water|western town"/>
        <s v="little girl|park|spy|statue of liberty|television van"/>
        <s v="action hero|cia|dark past|flashback|memory"/>
        <s v="kung fu|kung fu master|master|panda|snow leopard"/>
        <s v="ant|chinatown san francisco|heist|sabotage|vault"/>
        <s v="president|snow|television|tour|uprising"/>
        <s v="alien friendship|alien invasion|australia|flying car|mother daughter relationship"/>
        <s v="alien|fight|storm|survival|tripod"/>
        <s v="cuba|dea|drugs|money|undercover"/>
        <s v="betrayal|egg|friend|goose|hero"/>
        <s v="cia|on the run|russian|russian spy|strong female lead"/>
        <s v="ark|flood|noah's ark|water|wrath of god"/>
        <s v="captain|morocco|ship|tintin|treasure"/>
        <s v="magic|muggle|serial killer|traitor|wizard"/>
        <s v="australia|cattle|darwin|drover|japanese"/>
        <s v="box office flop|father son team|fear|race against time|real life father and son playing father and son"/>
        <s v="egg|iguanodon|lemur|meteor|nesting grounds"/>
        <s v="museum|museum of natural history manhattan new york city|night watchman|star died before release|tablet"/>
        <s v="battle|city|planet|prison|superhero"/>
        <s v="based on novel|birthday|evil wizard|quidditch|wizard"/>
        <s v="drug dealer|gold|partner|police|undead"/>
        <s v="caribbean|curse|governor|pirate|undead"/>
        <s v="based on young adult novel|manipulation|rebellion|symbol|uprising"/>
        <s v="based on supposedly true story|holy grail|mary magdalene|opus dei|secret"/>
        <s v="amazon|bird|father in law|jungle|no opening credits"/>
        <s v="mutant|prison|professor|school|x men"/>
        <s v="drug lord|drugs|federal agent|heist|police"/>
        <s v="factory|gypsy|investigation|sherlock holmes|train"/>
        <s v="famous line|hand to hand combat|kraken|rape|zeus"/>
        <s v="ambiguous ending|false memory|implanted memory|memory|space colony"/>
        <s v="arab|battle|combat|viking|warrior"/>
        <s v="assassin|cia|drone|pill|wolf"/>
        <s v="butler|critically bashed|cure|freeze|gotham"/>
        <s v="box office hit|christmas|materialism|public humiliation|snowflake"/>
        <s v="climate|end of the world|global warming|natural disaster|weather"/>
        <s v="cure|mission|terrorist|thief|virus"/>
        <s v="death|fish|fishing|sea|storm"/>
        <s v="fantastic four|space|strong female character|strong female lead|superheroine"/>
        <s v="animal|faith|india|journey|tiger"/>
        <s v="blackheart|devil|father|ghost|mephistopheles"/>
        <s v="black ops|chase|cia|cia agent|repeated scene"/>
        <s v="fbi|murder|ring|witness protection|witness protection program"/>
        <s v="cave painting|medical scanner|planet|pregnant with an alien fetus|suspended animation"/>
        <s v="anthropomorphic mouse|falcon|marshmallow|second part|soccer"/>
        <s v="christ figure|class differences|messiah|saviour|social commentary"/>
        <s v="bounty hunter|escape|necromonger|planet|warrior"/>
        <s v="law enforcement|police|robocop|robot|technology"/>
        <s v="based on anime|based on cartoon|gadget car|racer|speed"/>
        <s v="embarrassment|falling in love|love|love triangle|revelation"/>
        <s v="chase|fbi|garage|spy|surveillance"/>
        <s v="cabin in the woods|drone|flying through a thunderstorm|post apocalypse|sex in a pool"/>
        <s v="elongated cry of no|friends become enemies|kicked in the butt|robotic midwife|vision"/>
        <s v="martial arts|murdered before giving protagonist information|part computer animation|prequel|prequel to cult film"/>
        <s v="friend|little girl|monster|rival|scream"/>
        <s v="healing power|marvel comics|mecha|regeneration|self healing"/>
        <s v="alien|character says i have a bad feeling about this|hand to hand combat|seven word title|wilhelm scream"/>
        <s v="cave|caveman|journey|strict father|survival"/>
        <s v="1st century b.c.|lightsaber|local blockbuster|magical potion|potion"/>
        <s v="code|duty|steel helmet|u.s. marine|u.s. soldier"/>
        <s v="based on fairy tale|dark fantasy|fairy tale|second part|sequel"/>
        <s v="18 wheeler|mutant|ninja|sewer|turtle"/>
        <s v="box office hit|long take|sole survivor|space|space station"/>
        <s v="ash|escape|lava|mayor|volcano"/>
        <s v="based on comic book|brother brother relationship|rat|sequel|turtle"/>
        <s v="box office flop|critically bashed|portal|teleportation|troubled production"/>
        <s v="chaos|museum|museum of natural history|night watchman|watchman"/>
        <s v="disaster movie|earthquake|journey|natural disaster|san andreas fault"/>
        <s v="ex boyfriend ex girlfriend relationship|media tycoon|megalomaniac|official james bond series|world war three"/>
        <s v="american revolution|british|french|hero|standoff"/>
        <s v="father daughter relationship|heist|pretending to be pregnant|sequel|thief"/>
        <s v="assassin|marriage|secret agent|suburb|target"/>
        <s v="action heroine|falling from height|mind control|trainhopping|truth serum"/>
        <s v="1920s|aviation|fight|spruce goose|test flight"/>
        <s v="bermuda triangle|box office hit|shipwrecked|travel|travel writer"/>
        <s v="heir|kung fu|party|playboy|superhero"/>
        <s v="1980s|cult tv|famous opening theme|good versus evil|hero for hire"/>
        <s v="army|commander|female rear nudity|greek|navy"/>
        <s v="blue|new york|new york city|no opening credits|smurf"/>
        <s v="cattle|cow|dairy farm|farm|rustler"/>
        <s v="based on young adult novel|dystopia|genetic experimentation|strong female character|strong female lead"/>
        <s v="arena|boxing|boxing movie|robot|robot battle"/>
        <s v="based on cartoon|box office hit|no opening credits|sequel|smurf"/>
        <s v="collision course|computer|cruise|diamonds|ship run aground"/>
        <s v="alien|future|manipulation|simulation|training"/>
        <s v="fbi|hacker|independence day|police|terrorist"/>
        <s v="elf|hobbit|middle earth|quest|ring"/>
        <s v="19th century|around the world|inventor|martial arts|train"/>
        <s v="african american protagonist|african americans|boxing gym|gym|rumble in the jungle"/>
        <s v="based on cult comic book|cat|home alone|imagination|talking cat"/>
        <s v="humanoid robot|man versus machine|prosthetic limb|robot as pathos|robot vs. robot"/>
        <s v="12th century|crusader|jerusalem|knight|medieval times"/>
        <s v="box office hit|cat|first part|mouse|orphanage"/>
        <s v="amphibian|dream|frog|frog prince|waitress"/>
        <s v="astronaut|international cooperation|left for dead|nasa|space habitat"/>
        <s v="clone|environment|escape|island|lottery"/>
        <s v="anniversary|architect|cellist|friend|hardware store"/>
        <s v="auto theft|brother|car|theft|thief"/>
        <s v="battlefield|blood|combat|gladiator|roman empire"/>
        <s v="future|murder|neo noir|washington d.c.|year 2054"/>
        <s v="bildungsroman|flying broom|invisibility cloak|monster|wizardry"/>
        <s v="casino|espionage|free running|james bond|terrorist"/>
        <s v="astronaut|cage|planet|wilhelm scream|year 2029"/>
        <s v="future|liquid metal|multiple cameos|sexy woman|time travel"/>
        <s v="1930s|bank|celebrity criminal|fbi|public enemy number one"/>
        <s v="death|heroin|popcorn|smuggling|vietnam"/>
        <s v="espionage|secret agent|secret mission|spy|spy film"/>
        <s v="hijack|hostage|ransom|subway|train"/>
        <s v="birthday|critically bashed|male nurse|nurse|suspicion"/>
        <s v="capitalist|detective|investigation|new york city|police"/>
        <s v="assassination attempt|corporate crime|rogue agent|witness|witness protection program"/>
        <s v="dynamite|historically inaccurate|ku klux klan|n word|slavery"/>
        <s v="15th century|cathedral|gypsy|paris|victor hugo"/>
        <s v="antidote|disney|emperor|first part|llama"/>
        <s v="church|hostage|mine|plutonium|revenge"/>
        <s v="declaration of independence|secret society|treasure|treasure hunt|treasure hunter"/>
        <s v="dragon|dragon rider|fictional war|sword and fantasy|teenage hero"/>
        <s v="based on children's book|creature|igloo|imagination|king"/>
        <s v="father daughter relationship|forest|miniature person|shrinking|sword and fantasy"/>
        <s v="police surveillance|surveillance van|tailing a suspect|tourist|venice italy"/>
        <s v="atheist|ex cop|female masturbation|female nudity|lucifer"/>
        <s v="diamond|elephant|fisherman|rebel|sierra leone"/>
        <s v="based on true story|fellatio|female rear nudity|sex in an airplane|stockbroker"/>
        <s v="love|necktie|partner|rock music|tuxedo"/>
        <s v="alien|federation|future|military|planet"/>
        <s v="composer|future|letter|nonlinear timeline|nursing home"/>
        <s v="barn owl|escape|owl|ruler|soldier"/>
        <s v="based on cult comic book|bechdel test passed|cat|detective|radical transformation"/>
        <s v="army|greek mythology|hercules|king|mercenary"/>
        <s v="alien|cyborg|pirate|planet|treasure"/>
        <s v="human versus dinosaur|lizard|primate|time travel|tyrannosaurus rex"/>
        <s v="battle|fight|mission|pg 13 sequel to r rated franchise|rescue"/>
        <s v="athlete|extreme sports|fbi|fbi agent|heist"/>
        <s v="baby|cartoon on tv|cartoonist|dog|mask"/>
        <s v="emaciation|ship|starvation|vomiting|whale"/>
        <s v="casino|future|laser gun|moon|nightclub"/>
        <s v="cia|iraq|iraqi|political military conspiracy|weapon of mass destruction"/>
        <s v="dog|girl|imagination|peanuts|red hair"/>
        <s v="brother sister relationship|extradition|fbi|japanese tourist|secret"/>
        <s v="ancient egypt|bracelet|king|scorpion|son"/>
        <s v="butcher|civil war|gangster|new york city|revenge"/>
        <s v="abusive stepfather|attempted rape|food shortage|sexual abuse|starving child"/>
        <s v="chicken|competition|island|penguin|surfing"/>
        <s v="community|connecticut|fem bot|tv producer|writer"/>
        <s v="army|helicopter|somali|somalia|warlord"/>
        <s v="campaigning|congressman|north carolina|title at the end|u.s. congressman"/>
        <s v="1910s|alien|artificially created woman|love|taxi driver"/>
        <s v="abu dhabi|box office hit|muslim|nanny|united arab emirates"/>
        <s v="adventurer|el dorado|gold|high priest|implied sex"/>
        <s v="acorn|herd|iceberg|ocean|pirate"/>
        <s v="dress|duke|fairy godmother|fairy tale|pumpkin"/>
        <s v="1970s|afterlife|heaven|pedophile|rape"/>
        <s v="great barrier reef|protective father|separation from family|shark|short term memory loss"/>
        <s v="battle|epic|king|orc|ring"/>
        <s v="epic|evil wizard|middle earth|ring|wizard"/>
        <s v="apprentice|demon|exorcism|master apprentice relationship|witch"/>
        <s v="illuminati|planetary alignment|time|tomb|tomb raider"/>
        <s v="artificial intelligence|consciousness|power outage|scientist|technology"/>
        <s v="dinosaur|island|jurassic park|paleontologist|search"/>
        <s v="alzheimer's disease|ape|chimpanzee|fire|when animals attack"/>
        <s v="actor playing multiple roles|brownie the creature|closing credits sequence|family relationships|magical creature"/>
        <s v="bomb|cia|courthouse|escape|russian"/>
        <s v="army|dictator|general|texan|texas"/>
        <s v="hero|island|lawsuit|secret|superhero"/>
        <s v="latin|pirate|pirate ship|treasure|treasure map"/>
        <s v="greek|lightning|lightning bolt|poseidon|teenager"/>
        <s v="alien|box office hit|flying saucer|laser gun|wisecrack humor"/>
        <s v="collector|dog|friend|rescue|toy"/>
        <s v="freight train|race against time|runaway train|train|train engineer"/>
        <s v="boat|gang|hong kong|triad|vacation"/>
        <s v="ghost|haunted house|research|secret|vermont"/>
        <s v="food|giant food|mayor|sardine|weather"/>
        <s v="egg|lost world|rescue|squirrel|weasel"/>
        <s v="daydream|life magazine|magazine|photographer|snow leopard"/>
        <s v="booty shake|box office hit|duct tape over mouth|first part|martial arts"/>
        <s v="boston|mole|police|undercover|undercover cop"/>
        <s v="based on poem|based on true story|china|one word title|the huns"/>
        <s v="film director|parody|spoof|vietnam|written and directed by cast member"/>
        <s v="computer hacker|hacker|investigation|journalist|punk"/>
        <s v="bomb|detective|new york city|police|terrorist"/>
        <s v="black magic|bridge construction|professor moriarty|scotland yard inspector|sherlock holmes"/>
        <s v="atlantis|crew|expedition|journal|museum"/>
        <s v="chipmunk|highway travel|on the road|plane|road movie"/>
        <s v="american actor playing foreigner|assassination|conspiracy|military|nazis"/>
        <s v="hair stylist|jew|landlord|muslim|palestinian"/>
        <s v="alien|arcade game|chase|driving in reverse|video gamer"/>
        <s v="affection|boy|fairy|future|robot"/>
        <s v="arachnophobia|crystal ball|ghost|haunted house|thunderstorm"/>
        <s v="message from outer space|religion|religion versus science|scientist|universe"/>
        <s v="experiment|research|scientist|suburb|surrealism"/>
        <s v="african|assassination|dialect|interpreter|threat"/>
        <s v="golden fleece|half brother|magical tree|sea|tree"/>
        <s v="duology|female hero|female lead|orb|pandora's box"/>
        <s v="card trick|london england|magician|rain machine|rooftop"/>
        <s v="cold fusion|disguise|energy|fusion|the saint"/>
        <s v="china|cia|cold war|friendship|retirement"/>
        <s v="astronaut|mars|mars the planet|outer space|zero gravity"/>
        <s v="bird|brazilian|cockatoo|macaw|minnesota"/>
        <s v="23rd century|android|artificial intelligence|dual role|robot"/>
        <s v="earthquake|fire|lava|rescue|volcano"/>
        <s v="friendship|murder|northern ireland|police officer|terrorist"/>
        <s v="courage|radiation sickness|radioactive contamination|sea|test launch"/>
        <s v="actual animal killed|cult|evil sorcerer|gladiator|warlord"/>
        <s v="boxer|boxing|dream|great depression|love"/>
        <s v="box office flop|christmas|christmas eve|critically bashed|toy comes to life"/>
        <s v="horse|horse racing|jockey|limp|seabiscuit"/>
        <s v="device|disaster|divorce|storm|tornado"/>
        <s v="christmas|island|love|survival|talking to inanimate object"/>
        <s v="dance|emperor penguin|friend|penguin|song"/>
        <s v="assassin|car chase|cia|hidden truth|one against many"/>
        <s v="ex soldier|hijacker|hostage|president|terrorist"/>
        <s v="card dealer|casino|criminal mastermind|recruiting|ulcer"/>
        <s v="box office flop|cardinal richelieu|critically bashed|duel|musketeer"/>
        <s v="dracula|hotel|invisible man|monster|transylvania"/>
        <s v="fairy tale|lawyer|love|new york|prince"/>
        <s v="blood|cannibalism|fbi|manipulation|psychiatrist"/>
        <s v="cia|cia agent|consulate|on the run|safe house"/>
        <s v="dog|parole|parole officer|prison|puppy"/>
        <s v="apartment|fbi|fraud|heist|manager"/>
        <s v="book|composer|house|love|self esteem"/>
        <s v="congressman|lawyer|nsa|on the run|surveillance"/>
        <s v="affair|divorce|graduation|vomiting|watching television"/>
        <s v="casino|heist|manmade earthquake|revenge|tunnel boring machine"/>
        <s v="bear|deer|forest|grizzly bear|hunter"/>
        <s v="army|brother sister relationship|dystopia|father son relationship|narrated by character"/>
        <s v="battle|german|russian|sniper|stalingrad"/>
        <s v="amazon|bounty hunter|fight|hunter|jungle"/>
        <s v="action hero|hero|magic|ticket|video store"/>
        <s v="coming of age|geisha|japan|jealousy|love"/>
        <s v="car|challenge|drift racing|drifting|tokyo japan"/>
        <s v="christmas|christmas eve|elf|high tech|resentment"/>
        <s v="birthday|death|death personified|fear of death|wealth"/>
        <s v="bare chested boy|car explosion|colombia|explosion|terrorism"/>
        <s v="dancer|editing|stand up comedian|surgery|vomiting"/>
        <s v="kingdom|prince|princess|queen|snow"/>
        <s v="band|dating|high school|hipster|rock band"/>
        <s v="core|earth|natural disaster|pacemaker|scientist"/>
        <s v="alter ego|marriage|professor|scientist|serum"/>
        <s v="amusement park|island|motorcycle|scooby doo|tough girl"/>
        <s v="brutality|dark humor|female antagonist|female warrior|post apocalypse"/>
        <s v="architect|frozen time|obese man|remote control|stopped time"/>
        <s v="anthology|child abuse|critically acclaimed|death|grindhouse"/>
        <s v="cartoon on tv|cat|dog|kitty|special agent"/>
        <s v="bank|based on novel|ice|teleportation|vault"/>
        <s v="creature|elf|prince|rebellion|superhero"/>
        <s v="cartoonist|reporter|serial killer|zodiac|zodiac killer"/>
        <s v="clone|cloning|future|laser gun|murder"/>
        <s v="answer to prayer|breast expansion|pleading with god|supernatural power|walking on water"/>
        <s v="action hero|assassination attempt|explosion|machine gun|rescue mission"/>
        <s v="disguise|mission|spy|stealing|traitor"/>
        <s v="fight to the death|game|massacre|self survival|suicide attempt"/>
        <s v="hotel|male frontal nudity|pubic hair|thailand|wedding"/>
        <s v="box office hit|dc comics|gotham|mayor|penguin"/>
        <s v="bear|food|forest|raccoon|turtle"/>
        <s v="alien|escape|fugitive|hawaii|social worker"/>
        <s v="barn|pig|piglet|spider|uncle"/>
        <s v="astronomer|comet|mission|president|secretary"/>
        <s v="cia|cia agent|rescue|russian|team"/>
        <s v="coach|convict|football|prison|warden"/>
        <s v="chipmunk|cruise ship|football ball|overboard|tennis ball"/>
        <s v="belching|number in title|party|reference to nicki minaj|sneezing"/>
        <s v="airplane|misunderstanding|obese woman|overweight woman|spy"/>
        <s v="beach|dating|doctor|heart attack|weekend"/>
        <s v="female prisoner|plot twist|self delusion|surprise ending|year 1954"/>
        <s v="airport|christmas|news broadcast|tv broadcast|tv news"/>
        <s v="actor voicing multiple characters|box office hit|coffee|plate|robot"/>
        <s v="death of child|face|face transplant|prison|terrorist"/>
        <s v="2000s|bedtime story|elephant|handyman|tween girl"/>
        <s v="1930s|blood|gun|on the run|revenge"/>
        <s v="chick flick|hawaii|love|plastic surgeon|woman wearing a string bikini"/>
        <s v="corruption|lawyer|partnership|superhero|vigilante"/>
        <s v="army rangers|convict|criminal|escape|prison"/>
        <s v="audio surveillance|death|pentagon|technology|twin brother"/>
        <s v="civil war|mountain|soldier|well|wounded soldier"/>
        <s v="blind|book|long take|post apocalypse|water"/>
        <s v="college|flubber|flying rubber|professor|wedding"/>
        <s v="greenhouse|haunted house|horror movie remake|mansion|old house"/>
        <s v="alien|basketball|basketball game|cult film|monstars"/>
        <s v="diamond|france|investigation|pink panther|soccer"/>
        <s v="alien|earth|giant robot|military|scientist"/>
        <s v="conspiracy|fbi|mk ultra|newsletter|taxi"/>
        <s v="battle|battlefield|brutality|combat|tank"/>
        <s v="airplane|island|pilot|storm|thunderstorm"/>
        <s v="bear|mayor|park|sabotage|yogi bear"/>
        <s v="cavalry|escape|herd|stallion|wild stallion"/>
        <s v="champagne bottle|coca cola|jewelry box|red bull|zoo"/>
        <s v="based on tv series|remake|robot|scientist|spaceship"/>
        <s v="brainwashed assassin|conspiracy|critically acclaimed|mother son relationship|soldier"/>
        <s v="american|love|pin|ruby|stranger"/>
        <s v="california|dracula|hotel|transylvania|vampire"/>
        <s v="connecticut|magic|marriage|witch|witchcraft"/>
        <s v="abstract|ark|disney|fairy tale|piano"/>
        <s v="hunter|scientist|time machine|time travel|time travel romance"/>
        <s v="animal|california|gorilla|hunter|poacher"/>
        <s v="computer|secret agent|terrorism|told in flashback|wearing a sound wire"/>
        <s v="california|fight|hero|mask|zorro"/>
        <s v="heaven|hell|soul|soul mate|suicide"/>
        <s v="angel|devil|flask|hell|the devil"/>
        <s v="creature|curse|exorcism|girl|village"/>
        <s v="alien|general|martian|president|weapon"/>
        <s v="boy|giving birth|nurse|sea|ultrasonography"/>
        <s v="bear|billionaire|crash|survival tactics|wilderness"/>
        <s v="android|fbi agent|future|murder|robot"/>
        <s v="blockade|crisis|cuba|missile|president"/>
        <s v="collapsing tunnel|explosion|new jersey|tunnel|weimaraner"/>
        <s v="brother|dinosaur|head butt|hero|orphan"/>
        <s v="alien|bad acting|pulp fiction|resistance fighter|voyager golden record"/>
        <s v="diamond|duck|monkey|spy|stuntman"/>
        <s v="based on stage musical based on film|child abuse|film director|italian|mistress"/>
        <s v="castle|france|professor|student|time machine"/>
        <s v="drifter|escape|hope|postman|usa"/>
        <s v="animal|farm|farmer|hotel|pig"/>
        <s v="box office flop|burned to death|magic|witch|witch hunter"/>
        <s v="astronaut|mars|robot|robot as menace|survival"/>
        <s v="boy|debt|garden|princess|treasure"/>
        <s v="damselfish|ocean habitat|ocean life|razorfish|spider crab"/>
        <s v="butterfly|hunter|time|time travel|wave"/>
        <s v="arena|lava bomb|mount vesuvius|pompeii|slave"/>
        <s v="conspiracy|cryptography|mathematician|mental illness|nobel prize"/>
        <s v="king|prince|scar|uncle|unnecessary guilt"/>
        <s v="gold|hurricane|island|mountain|mysterious island"/>
        <s v="food|inventor|island|orangutan|scientist"/>
        <s v="criminal profile|fbi agent|madman|tabloid reporter|tragic villain"/>
        <s v="arab|cowboy|horse|race|sheik"/>
        <s v="advertising|advertising executive|commercial|protective male|twins"/>
        <s v="bust|racing|shotgun|street racing|undercover agent"/>
        <s v="aviator|based on book|girl|little girl|the little prince"/>
        <s v="alien|epidemic|psychiatrist|space shuttle|virus"/>
        <s v="deforestation|fbi|lighthouse|moose|squirrel"/>
        <s v="animal control|lost animal|mongrel|pet|terrier"/>
        <s v="box office flop|captain nemo|dorian gray|invisible man|steampunk"/>
        <s v="dating|minion|overprotective father|undercover spy|woman agent"/>
        <s v="alien|area 51|military|spacecraft|spaceship"/>
        <s v="capture|dinosaur|island|jurassic|jurassic park"/>
        <s v="escape|jungle|lemur|madagascar|zoo"/>
        <s v="chaos|england|long take|survival|violence"/>
        <s v="first part|mutant|professor|superhero|superhero team"/>
        <s v="assassin|bobble head doll|femme fatale|rejuvenation|strong female lead"/>
        <s v="alcatraz|fbi|general|hostage|rocket"/>
        <s v="flood|mammoth|no opening credits|squirrel|valley"/>
        <s v="dream|hawaii|hawaiian shirt|short term memory loss|veterinarian"/>
        <s v="audition|best friend|dance|friend|tv dance show"/>
        <s v="archeologist|church|excavation|faith|relic"/>
        <s v="actor playing multiple roles|claw|gadget|inspector|police"/>
        <s v="bank|fbi|heist|interpol|magician"/>
        <s v="basketball|coach|daughter|high school|high school basketball"/>
        <s v="airport|construction site|fish out of water|flight attendant|man without a country"/>
        <s v="based on comic|based on comic book|dc arrowverse|dc comics|supernatural"/>
        <s v="abandoned hotel|dog|foster home|overalls|playing with a dog"/>
        <s v="death|die hard scenario|k2|rescue|urination"/>
        <s v="afghanistan|arms dealer|based on true story|cia|texas"/>
        <s v="anchor|fish|mobster|shark|vegetarian"/>
        <s v="1960s|fire|pop chart|singer|trio"/>
        <s v="cop|murder|partner|police|protective male"/>
        <s v="concert|mobster|russian|sequel|widow"/>
        <s v="arab|black september|israel|jew|munich olympics"/>
        <s v="dictator|doctor|jungle|rebel|refugee"/>
        <s v="hired killer|marriage|neighbor|on the run|store clerk"/>
        <s v="box office flop|cia agent|criminal organization|kgb agent|nuclear bomb"/>
        <s v="chef|college|housekeeper|letter|mexico"/>
        <s v="babysitter|halloween|house|neighbor|suburb"/>
        <s v="bank manager|hypochondriac|love triangle|prison|television"/>
        <s v="battle|king|king arthur|knight|marriage"/>
        <s v="1860s|children|king|schoolteacher|siam"/>
        <s v="burned alive|castration|olympus|torture|torture device"/>
        <s v="california|hostage|hostage negotiator|organized crime|police"/>
        <s v="alien|captain|escape|pilot|scientist"/>
        <s v="audition|kissing while having sex|machismo|murder|sex"/>
        <s v="crash survivor|planet|sergeant|soldier|survivor"/>
        <s v="beach|disease|latex gloves|pandemic|virus"/>
        <s v="carnival|coma|death|monkey|nightmare"/>
        <s v="captain|desert|rescue|stranded|survivor"/>
        <s v="child with gun|comic book|invulnerability|superhero|train crash"/>
        <s v="antarctica|minion|queen|super villain|villain"/>
        <s v="alternate reality|escape|girl gang|prostitution|samurai"/>
        <s v="assassination|boxing|casino|conspiracy|long take"/>
        <s v="manifestation|ocean|spacecraft|spaceship|sphere"/>
        <s v="butt|downward duck|fish|kingfisher|pig"/>
        <s v="debt|rapper|treasure|treasure hunter|yacht"/>
        <s v="breasts|comedian|craigslist|infidelity|stand up comedian"/>
        <s v="al qaeda|bomb making|fbi|saudi arabia|stabbed in the crotch"/>
        <s v="car racing|french|friend|nascar|racing"/>
        <s v="bear|doctor|false accusation|man with glasses|second part"/>
        <s v="14th century|legend|revolt|scotland|tyranny"/>
        <s v="american abroad|gulf war|u.s. military|u.s. soldier|usmc"/>
        <s v="alaska|dome|lake|pig|the simpsons"/>
        <s v="amnesia|california|communist|small town|writer"/>
        <s v="car race|german|race car|race car driver|rookie"/>
        <s v="circus|death of protagonist|jungle|killing an animal|tiger"/>
        <s v="creature|pact|plot twist|village|woods"/>
        <s v="box office hit|doctor|dog|first part|tiger"/>
        <s v="crop circle|faith|farm|glass of water|loss of faith"/>
        <s v="drag queen|physical appearance|princess|queen|sequel"/>
        <s v="car|desert|route 66|tow truck|truck"/>
        <s v="bride|columnist|journalist|maryland|wedding"/>
        <s v="agent|nsa|nsa agent|prague|russian"/>
        <s v="book|magic|pirate|plankton|time machine"/>
        <s v="bounty|fbi|millionaire|money|ransom"/>
        <s v="france|german|nazis|revenge|scalping"/>
        <s v="1990s|caught in a net|children|duel|hero"/>
        <s v="airport|fuel|plane|police|terrorist"/>
        <s v="hostage|police|prison|swat team|training"/>
        <s v="apocalypse|death|husband wife relationship|mother son relationship|murder"/>
        <s v="death|dream|love|lynchian|reality"/>
        <s v="apartment|bedtime story|eagle|stuttering|swimming pool"/>
        <s v="alien|antarctica|predator|pyramid|satellite"/>
        <s v="adidas|chipmunk|hospital|school|waste container"/>
        <s v="air cavalry|battle|major|soldier|vietnamese"/>
        <s v="political thriller|politics|president|speaker of the house|u.s. president"/>
        <s v="alien|captain|commander|conspiracy|planet"/>
        <s v="alien|extraterrestrial|invasion|marine|mission"/>
        <s v="dog saved from a fire|flashback|growing up|multiple narrators|traveling salesman"/>
        <s v="blood|publisher|publishing house|werewolf|wolf"/>
        <s v="barbed wire|british|cavalry|horse|world war one"/>
        <s v="art|art expert|nazi stolen art|soldier|world war two"/>
        <s v="alien|estranged couple|ocean|submarine|underwater"/>
        <s v="corporate greed|crisis|economy|greed|mentor"/>
        <s v="death of wife|dracula|tarantula|turk|vampire"/>
        <s v="abduction|martial law|military|new york city|terrorist"/>
        <s v="king|magic|one word title|pirate|village"/>
        <s v="austria|dalai lama|himalaya|mountain|tibet"/>
        <s v="best friend|friend|investigation|secret|two word title"/>
        <s v="cia|cia agent|terrorist|twin|twin brother"/>
        <s v="commando unit|extra chromosome|first person shooter|special forces|teleportation"/>
        <s v="boxer|espionage|spy|stealth|top secret"/>
        <s v="battle|cryogenics|detective|scientist|vampire"/>
        <s v="concert|love|music industry|panties|pole dancer"/>
        <s v="colonel|honor|lieutenant|pilot|racism"/>
        <s v="australia|death|mentor|revenge|secret society"/>
        <s v="ball|blood|skating|song|year 2005"/>
        <s v="blood splatter|camera shot from inside human body|combat|die hard scenario|fbi"/>
        <s v="dam|flood|money|police|sheriff"/>
        <s v="blood|body|egg|virus|white blood cell"/>
        <s v="jester|kansas|oz|princess|tornado"/>
        <s v="chinese|computer|cybercrime|hacker|one word title"/>
        <s v="captain|pilot|reporter|robot|scientist"/>
        <s v="drugs|murder|psychiatrist|scotland yard|sex"/>
        <s v="cia agent|escape|muslim|prison|ship"/>
        <s v="ancient greece|forbidden love|hercules|king|slavery"/>
        <s v="analyst|cia|nuclear bomb|nuclear weapons|russia"/>
        <s v="friendship|graduation|revenge|vampire|werewolf"/>
        <s v="partner|running|scepter|surveillance|thief"/>
        <s v="girl|minion|moon|pyramid|white picket fence"/>
        <s v="bare breasts|breast|loan shark|subway|train"/>
        <s v="baby|f word|fight|lawyer|marriage"/>
        <s v="christian|love|philosophy|prefect|slave"/>
        <s v="bowling|rajah|sphinx|spleen|superhero"/>
        <s v="drugged food|female frontal nudity|male frontal nudity|male nudity|marriage"/>
        <s v="cbs|cbs news|research|tobacco|whistleblower"/>
        <s v="1950s|coast guard|oil tanker|sinking ship|survival"/>
        <s v="cia|jordan|middle east|spy|terrorist"/>
        <s v="dinner|diorama|idiot|irs|mouse"/>
        <s v="chopping down a tree|hanging upside down|shopkeeper|vampire|vampire hunter"/>
        <s v="art thief|insurance|mask|master thief|reference to iron maiden"/>
        <s v="family relationships|husband wife relationship|live studio audience|sitcom|three word title"/>
        <s v="agent|alien|bomb|fbi|government"/>
        <s v="5th century|boy|capri|roman legion|soldier"/>
        <s v="army|invasion|killed in action|normandy|soldier"/>
        <s v="cross country|custom car|illegal street racing|police officer crushed|street racing"/>
        <s v="advertising|battle of the sexes|ex husband ex wife relationship|pantyhose|telepathy"/>
        <s v="baby|ice|ice age|sleeping|sloth"/>
        <s v="alien|friend|maine|military|woods"/>
        <s v="cultural conflict|politics|president|slavery|u.s. president"/>
        <s v="artificial reality|computer|matrix|questioning reality|simulated reality"/>
        <s v="cape kennedy|news footage|reference to christopher columbus|rocket|trapped in space"/>
        <s v="christmas|magic|santa claus|son|toy"/>
        <s v="barricade|innkeeper|parole|rebellion|student"/>
        <s v="bookstore|competing businesses|instant messaging|new york city|shop owner"/>
        <s v="dream|friendship|karaoke|love|slacker"/>
        <s v="19th century|california|revenge|training|zorro"/>
        <s v="actor|aspiring actor|birth|misadventure|suitcase"/>
        <s v="emaciation|male nudity|plane crash|prisoner of war|torture"/>
        <s v="nasa|old age|satellite|space|space shuttle"/>
        <s v="money|mountain|rocky mountains|snow|suitcase"/>
        <s v="captain|desert|major|park ranger|utah"/>
        <s v="altering history|cartoon on tv|childhood|image consultant|one two combo"/>
        <s v="based on true story|police|rescue|rubble|trapped"/>
        <s v="art|college|school|student|wellesley college"/>
        <s v="dictator|hotel|oil|overalls|sunglasses"/>
        <s v="doctor|orgy|party|pianist|sexual fantasy"/>
        <s v="billionaire|business tycoon|mayoral candidate|penthouse|reference to star trek"/>
        <s v="con artist|con man|deception|rivalry|seduction"/>
        <s v="best friend|cia|cia agent|dating|undercover"/>
        <s v="blade|blood|dracula|vampire hunter|vampire slayer"/>
        <s v="guerrilla|high school|invasion|soviet|wolverine"/>
        <s v="campaigning|candidate|election|governor|president"/>
        <s v="corporation|fight|rescue|umbrella|zombie"/>
        <s v="armored car|car|murder|prison|warden"/>
        <s v="amnesia|chase|foot chase|strong female character|vomiting"/>
        <s v="jungle|pipeline|prisoner|ransom|south america"/>
        <s v="2000s|coke|meeting future self|reference to spongebob squarepants|sony"/>
        <s v="anti establishment|dark humor|fighting|multiple personality disorder|surprise ending"/>
        <s v="coach|football|football team|marshall university|university"/>
        <s v="france|journalist|limp|police detective|reporter"/>
        <s v="blackmail|burglar|critically bashed|leonardo da vinci|prison"/>
        <s v="celebrity|lottery|murder|snowmobile|weatherman"/>
        <s v="army|creature|demon|frankenstein|gargoyle"/>
        <s v="boy|character name in title|orphan|pickpocket|workhouse"/>
        <s v="assassin|battle|heroine|martial arts|spin off"/>
        <s v="box office flop|female frontal nudity|female rear nudity|jackpot|rescue"/>
        <s v="death|plane crash|police|police sergeant|politician"/>
        <s v="blizzard|mount everest|mountain|mountain climbing|snow"/>
        <s v="18th century|perfume|scent|sense of smell|smell"/>
        <s v="fem bot|prison|seductive fembot|spy|time travel"/>
        <s v="betrayal|futuristic|gladiator|robot|scientist"/>
        <s v="dinosaur|jurassic park|survival|theme park|tyrannosaurus rex"/>
        <s v="historically inaccurate|name calling|penis slur|vomiting|wyatt earp"/>
        <s v="cia|colombia|colombian drug cartel|drugs|president"/>
        <s v="child fugitive|final battle|martial art|silk road|sword"/>
        <s v="diamond|infant|parody|spoof|sports violence"/>
        <s v="battle|historically inaccurate|submarine movie|u boat|world war two"/>
        <s v="lobbyist|president|senator|state dinner|widower"/>
        <s v="bloopers during credits|bucket of popcorn|chastity belt|guru|toronto maple leafs"/>
        <s v="casino|elvis impersonator|gun|heist|rascal"/>
        <s v="blizzard|blood vomiting|bounty hunter|murder|shot in the crotch"/>
        <s v="competition|fight|ice|jock strap|nintendo game boy advance"/>
        <s v="drummer|easter|easter bunny|piaggio vespa gtv 250|slacker"/>
        <s v="battle|epic|greece|spartan|warrior"/>
        <s v="bare butt|defecation|father in law son in law relationship|nurse|sexual innuendo in title"/>
        <s v="box office hit|dog|dog movie|florida|pet name in title"/>
        <s v="1930s|death row inmate|healing|prison guard|southern u.s."/>
        <s v="biker gang|friend|motorcycle|new mexico|road trip"/>
        <s v="alien invasion|chicken|fish|friend|panic"/>
        <s v="based on novel|disappearance|missing person|missing wife|murder suspect"/>
        <s v="amnesia|assassin|money|political thriller|three word title"/>
        <s v="agent|cossack|official james bond series|russia|russian"/>
        <s v="army cid|cover up|military|murder|woman in military"/>
        <s v="controlled environment|fictional reality show|hidden camera|innocence lost|simulated reality"/>
        <s v="ancient egypt|hebrew|nudity|pharaoh|title directed by female"/>
        <s v="bloopers during credits|breakfast cereal|department store ride|face painting|sponge bob square pants slippers"/>
        <s v="close up of breasts|female nudity|fugitive|money|undercover"/>
        <s v="cartoon on tv|cat|dog|scientist|secret agent"/>
        <s v="gold|heist|revenge|traffic jam|venice italy"/>
        <s v="developer|divorce|lawyer|love|new york city"/>
        <s v="ant|friend|princess|soldier|worker"/>
        <s v="couple|island|marriage|tropical|voyeurism"/>
        <s v="driver|hot shot|racing|stock car driver|team"/>
        <s v="children|competition|rival|second part|vacation"/>
        <s v="desert|disease|escape|resistance|virus"/>
        <s v="divorce|emotional balance|female protagonist|indonesia|inner peace"/>
        <s v="bowling|christmas|parallel universe|salesman|unfaithfulness"/>
        <s v="cia|female assassin|interrogation|office cubicle|spy"/>
        <s v="breasts|coach|football|in medias res|vomiting"/>
        <s v="grace|groom|horse|montana|western u.s."/>
        <s v="city by night|contract killer|driving at night|los angeles california|taxi"/>
        <s v="desert|king|showdown|sorceress|warrior"/>
        <s v="death of husband|fire|firefighter|funeral|main character dies"/>
        <s v="coma|mysterious villain|police chase|shooting range|sniper"/>
        <s v="alzheimer's disease|experiment|human versus shark|research|underwater headquarters"/>
        <s v="2000s|box office hit|comeback|rehearsal|year 2009"/>
        <s v="contagion|cure|infection|panic|virus"/>
        <s v="australia|body paint|kangaroo|mob|money"/>
        <s v="dream|new home|parallel worlds|scissors|secret door"/>
        <s v="bee|nature|park|school|teacher"/>
        <s v="bodyguard|journalist|kidnapping|mexico|police corruption"/>
        <s v="animal as human|dog movie|elevator|human becoming an animal|sheepdog"/>
        <s v="cocaine|cop|criminal|partner|police"/>
        <s v="action figure|christmas|hero|karate|toy"/>
        <s v="assassin|demon|hero|nazi|superhero"/>
        <s v="1980s|law firm|lawsuit|lawyer|toxic waste"/>
        <s v="curse|ghost|outcast|witch|zombie"/>
        <s v="assassin|fbi|ira|jackal|russian"/>
        <s v="anti hero|babe scientist|engineer|memory|money"/>
        <s v="journalism|news anchor|newscast|newscaster|tv journalism"/>
        <s v="book|darkness|dungeon|princess|rat"/>
        <s v="fiance|fiancee|magazine editor|naivety|womanizer"/>
        <s v="chauffeur|hospital|secret agent|spying|tuxedo"/>
        <s v="colorado|niece|satellite|terrorist|train"/>
        <s v="covert analyst|marine|russian|spy|stock market"/>
        <s v="based on real person|female inventor|mop|sales pitch|woman holding a shotgun"/>
        <s v="british|funeral|good versus evil|mole|sequel"/>
        <s v="alien|blood|breeding|clone|scientist"/>
        <s v="colonel|ethiopia|marksman|on the run|rangefinder"/>
        <s v="chase|puppet animation|red hat|stop motion animation|troll"/>
        <s v="curse|death|island|love|magic"/>
        <s v="based on toy|dual personality|evil businessman|good cop bad cop|lego"/>
        <s v="bodyguard|fbi|fbi agent|female protagonist|undercover"/>
        <s v="castle|dragon|fire breathing dragon|militia|survival"/>
        <s v="good versus evil|machine gun|mobster|police vigilantism|year 1949"/>
        <s v="abraham|hunter|princess|sodom|tribe"/>
        <s v="apartheid|nation|nelson mandela|president|rugby"/>
        <s v="congressman|conspiracy|newspaper|political conspiracy|subway"/>
        <s v="ceo|dubai|product|rivalry|spy"/>
        <s v="alien|hidden camera|martian|reporter|spaceship"/>
        <s v="first lady|framed|investigation|president|secret service"/>
        <s v="alien|alien planet|astronaut|planet|teenager"/>
        <s v="earth|federation|romulan|slave|space"/>
        <s v="attorney|divorce|marriage|real estate|screwball comedy"/>
        <s v="aging|baseball|baseball scout|north carolina|pitcher"/>
        <s v="activist|detective|father daughter relationship|investigation|vigilantism"/>
        <s v="fire|helicopter|museum|police sergeant|relic"/>
        <s v="blonde|mafia|mental illness|prison|second part"/>
        <s v="blood splatter|execution|new york city|nypd|serial killer"/>
        <s v="autistic child|boy|child in danger|fbi|nsa"/>
        <s v="columnist|journalist|los angeles times|musician|wearing a traffic cone as a hat"/>
        <s v="caddy|game|golf|golf course|golfer"/>
        <s v="band|magazine|rolling stone magazine|smoking marijuana|tour"/>
        <s v="cat|england|lti txii|peugeot 206|rover 3 5 litre.coupe p5b"/>
        <s v="coup d'etat|mutiny|president|u.s. navy|washington d.c."/>
        <s v="church|priest|sheriff|vampire|warrior"/>
        <s v="book|framed|goddess|prince|sinbad"/>
        <s v="solar system|space|spaceship|starship|year 2047"/>
        <s v="death|doctor|grave|patient|venezuela"/>
        <s v="black dahlia|boxer|corpse|death|partner"/>
        <s v="american|france|military|pilot|training"/>
        <s v="colonel|general|military|prison|three star general"/>
        <s v="deep space|distress signal|explosion|mining|rescue"/>
        <s v="black and white photograph|drawing with blood|falling through ice|playing piano|red haired woman"/>
        <s v="battle|demon|magic|secret|warrior"/>
        <s v="alien|mutiny|orb|planet|spaceship"/>
        <s v="apartment|hello kitty|school|teacher|water"/>
        <s v="female removes her clothes|one word title|producer|television|video store"/>
        <s v="book|escape|girl|overalls|villain"/>
        <s v="female star appears nude|pants falling down|samurai|white rat|woman in a towel"/>
        <s v="art dealer|fake painting|macguffin|moustache|stolen painting"/>
        <s v="farmer|king|krug|rescue|wizard"/>
        <s v="africa|american|border|doctor|well"/>
        <s v="buddhism|demon|journey to the west|monk|monkey king"/>
        <s v="american|lieutenant colonel|mission|rescue|soldier"/>
        <s v="based on comic book|breaking the fourth wall|mercenary|mutant|self healing"/>
        <s v="1990s|evangelist|professional rivalry|swimming pool|televangelist"/>
        <s v="assassin|death of child|iraq|sniper|sniper rifle"/>
        <s v="based on book|blob|ferris wheel|manuscript|monster"/>
        <s v="female protagonist|hereditary gift of witchcraft|magic|supernatural|witch"/>
        <s v="apartment|architect|coma|doctor|spirit"/>
        <s v="based on tv series|love|prequel|the flintstones|title appears in song"/>
        <s v="afghanistan|colonel|rambo|rescue|soviet"/>
        <s v="college football|fight|football|hero|surrender"/>
        <s v="apache|bank robbery|baseball|half brothers|white raised as indian"/>
        <s v="fbi|murder|witness|witness protection|wyoming"/>
        <s v="actor's picture shown in credits|animated credits|google|internship|still images in end credits"/>
        <s v="alaska|female gunfighter|mutation|ship|siege"/>
        <s v="african american|battle|italy|tuskegee airmen|world war two"/>
        <s v="casual sex|friendship|friendship between women|gay|singles"/>
        <s v="deal with the devil|lawyer|money|reality|supernatural power"/>
        <s v="argument|reference to vanilla ice|statutory rape|teacher student relationship|teacher student sex"/>
        <s v="dragon|england|human dragon relationship|king|knight"/>
        <s v="diamond|fbi|fbi agent|island|thief"/>
        <s v="deal with the devil|devil|eastern europe|ghost rider|monk"/>
        <s v="captain|greek|island|italian|love"/>
        <s v="anger management|argument|irony|sarcasm|therapist"/>
        <s v="bodyguard|death of husband|male nanny|nanny|wrestling match"/>
        <s v="casino|football|sheriff|special forces|violence"/>
        <s v="amputee|love|vietnam|vietnam war|war hero"/>
        <s v="based on cartoon|chipmunk|concert|fart joke|talking animal"/>
        <s v="cat|cia|jewish|male nurse|nurse"/>
        <s v="actor playing multiple roles|love|one word title|unsubtitled foreign language|virginia"/>
        <s v="1970s|clark kent|planet|superhero|year 1978"/>
        <s v="face slap|formula|overweight|professor|teacher"/>
        <s v="advice|friendship|gossip|newspaper|quitting a job"/>
        <s v="animal companion|heiress|hero|jungle|male objectification"/>
        <s v="bachelor party|blow job|breasts|friend|wedding"/>
        <s v="hijacking|hostage|leader|ship|somalia"/>
        <s v="city|new york city|night|reservation|restaurant"/>
        <s v="casper|friendly ghost|ghost|maine|mansion"/>
        <s v="assassin|ex soldier|gangster|hanged man|mysterious past"/>
        <s v="hotel|maid|new york city|place name in title|the bronx"/>
        <s v="alabama|mutiny|order|radio|submarine"/>
        <s v="bus|intern|internship|salesman|stockbroker"/>
        <s v="captain|flight|flight attendant|plane|search"/>
        <s v="computer|marriage|non statutory female on male rape|promotion|sexual harassment"/>
        <s v="angel|doctor|fall|heart surgeon|hospital"/>
        <s v="bride|coma|japan|revenge|sword"/>
        <s v="film within a film|filmmaking|guerrilla filmmaking|making of a movie|scientology parody"/>
        <s v="2000s|21st century|alternate history|message from outer space|military"/>
        <s v="assassin|assassination|bride|death|vengeance"/>
        <s v="1980s|80s action|escape|plea bargain|prison"/>
        <s v="plastic surgeon|rejuvenation|revenge|rival|rivalry"/>
        <s v="19th century|chinese|princess|rescue|travel"/>
        <s v="bomb|hostage|military|plane|terrorist"/>
        <s v="father|penguin|snowglobe|son|winter"/>
        <s v="monkey king|staff|teenager|urination|warrior"/>
        <s v="chipmunk|hunting dog|sabotage|thanksgiving|turkey the bird"/>
        <s v="alien|crash|planet|prison|survivor"/>
        <s v="actress|argentina|military|politics|singer"/>
        <s v="case|ex kgb|ronin|russian|suitcase"/>
        <s v="bridge|engineer|hunter|lion|railway"/>
        <s v="bear|ear wax cleaning|fake newsreel|paddington station london|taxidermist"/>
        <s v="alien|escape|manager|neighborhood watch|ohio"/>
        <s v="capture|combat|fbi|hunter|special forces"/>
        <s v="africa|anthropologist|murder|poacher|psychiatrist"/>
        <s v="actor|conjoined twins|cook|internet|short order cook"/>
        <s v="flint michigan|merger|michigan|nba|team"/>
        <s v="charles darwin|cutlass|pirate|queen victoria|scientist"/>
        <s v="execution by hanging|los angeles police department|miscarriage of justice|missing child|wrongful conviction"/>
        <s v="cold fusion|die hard scenario|man with glasses|on the run|outrunning explosion"/>
        <s v="baseball|fan|obsession|salesman|san francisco giants"/>
        <s v="based on stage musical based on novel|disfigurement|mask|opera|singer"/>
        <s v="court|intrigue|queen|spain|virgin"/>
        <s v="based on cult favorite|disease|female hero|female protagonist|future"/>
        <s v="confederacy|hero|prequel|stonewall jackson|war hero"/>
        <s v="airplane|christmas|marshal|pilot|u.s. marshal"/>
        <s v="blanket|competition|family relationships|feather|sleepover"/>
        <s v="europe|frog|gulag|prison break|puppet"/>
        <s v="astronaut|island|lady penelope|rescue|the hood"/>
        <s v="burlesque|dancer|iowa|small town girl|stage"/>
        <s v="court martial|death|girl|no man's land|soldier"/>
        <s v="lolita|nymphet|older man young girl relationship|professor|writer"/>
        <s v="drill in the eye|eye gouging|hanged woman|murder|peep hole"/>
        <s v="blade the character|cult film|mutation|vampire|warrior"/>
        <s v="boyfriend girlfriend relationship|heart|main character dies|organ donor|redemption"/>
        <s v="bar|bullet|corruption|detective|lawyer"/>
        <s v="1970s|family relationships|mob hit|opera|repeating history"/>
        <s v="flight|flight attendant|kentucky|shoes|travel"/>
        <s v="best friend|foot fetish|houseguest|newlywed|wedding"/>
        <s v="alien invasion|based on comic book|flying superhero|phantom zone|revenge"/>
        <s v="gangster|hospital|lesbian|mob|thug"/>
        <s v="governor|journalist|louisiana|mistress|politician"/>
        <s v="blaxploitation|detective|drugs|shaft|trial"/>
        <s v="amnesia|reference to anastasia romanov|romanov|russia|russian revolution"/>
        <s v="death of main character|eiffel tower paris|jealousy|tragedy|two suitors"/>
        <s v="amateur detective|boat builder|boy|stepfather|witness"/>
        <s v="based on true story|boston massachusetts|fbi agent|gangster|true crime"/>
        <s v="imperial japan|japan|japanese army|japanese soldier|world war two"/>
        <s v="attorney|deal|district attorney|investigation|justice"/>
        <s v="anthropophagus|blood and gore|double feature|real twins playing twins|zombie"/>
        <s v="farm|freedom|ohio|slavery|spirit"/>
        <s v="losing|poker|poker player|reference to frederic chopin|reference to johannes brahms"/>
        <s v="attorney|cat and mouse|fbi|pan am|pilot"/>
        <s v="al qaeda|cia|interrogation|lie|navy seal"/>
        <s v="art|break up|football video game|kitchen|talking to one's self in a mirror"/>
        <s v="bride|greece|island|mediterranean|wedding"/>
        <s v="flower|indian restaurant|tv station|valentine|valentine's day"/>
        <s v="1969 dodge charger|bikini|farm|misogynist|tow truck"/>
        <s v="battle|hill|jungle|multiple perspectives|tropical island"/>
        <s v="best friend|fountain|law firm|lawyer|sex"/>
        <s v="andy kaufman|comedian|eccentric|wrestler|wrestling"/>
        <s v="car bomb|card cheat|cash|casino|gambling syndicate"/>
        <s v="ambassador|cia|dinner|spy|terrorist"/>
        <s v="monastery|monk|scroll|tibetan|tibetan monk"/>
        <s v="dissociative identity disorder|limousine|multiple personality|police|rhode island"/>
        <s v="cow|farmer|howl|howling at the moon|vegetarian"/>
        <s v="christmas|december|holiday|massachusetts|neighbor"/>
        <s v="forks washington|protecting a woman|title same as book|vampire|werewolf"/>
        <s v="donkey|fairy tale|ogre|princess|swamp"/>
        <s v="love at first sight|obscene finger gesture|rain|teleportation|three word title"/>
        <s v="balladeer|crusades|england|king|modern minstrel"/>
        <s v="agent|career|client|fiance|sports agent"/>
        <s v="2010s|car accident|sex scene|teddy bear|testicle"/>
        <s v="dog|friendship|neighbor|unlikely friendship|writer"/>
        <s v="doctor|hospital|mental institution|nurse|student"/>
        <s v="fame|father son relationship|interracial kiss|interracial relationship|interracial sex"/>
        <s v="abbreviation in title|reporter|small town|sudden wealth|unknowing heir"/>
        <s v="deputy|group of friends|time|train|train crash"/>
        <s v="contamination|corporate crime|environmental issue|female protagonist|working single mother"/>
        <s v="advertising executive|diamond|magazine|party|wager"/>
        <s v="college|drugs|hidden camera|tattoo|undercover"/>
        <s v="betrayal|dangerous friend|gothic|monster as victim|vampire"/>
        <s v="best friend|dvd|girlfriend|loan|self help"/>
        <s v="accountant|blooper|espionage|facebook|high school reunion"/>
        <s v="attorney|cancer|custody|fashion photographer|photographer"/>
        <s v="biological father|dad|drinking|product placement|wilhelm scream"/>
        <s v="based on stage musical|cinderella|little red riding hood|singing|witch"/>
        <s v="bank|detective|negotiation|police|robber"/>
        <s v="anti hero|criminal|greed|prostitute|tough guy"/>
        <s v="captain|congo|expedition|laser|lost city"/>
        <s v="blocked road|father son relationship|love at first sight|teenage boy|zookeeper"/>
        <s v="disaster|end of the world|number|student|time capsule"/>
        <s v="friend|intervention|moving|secret|slacker"/>
        <s v="cartoon on tv|foreign language adaptation|second part|videotape|writer"/>
        <s v="bar|divorce|friend|girl|male objectification"/>
        <s v="cat|dog|first part|lasagna|veterinarian"/>
        <s v="act of kindness|christmas|christmas eve|neighbor|vacation"/>
        <s v="baseball|meeting|statistics|strategy|voice over"/>
        <s v="disease|epidemic|monkey|quarantine|virus"/>
        <s v="air marshal|death|passenger|terrorist|transatlantic flight"/>
        <s v="alien|military|mountain|spacecraft|ufo"/>
        <s v="dystopia|freedom|government|revolution|terrorist"/>
        <s v="1880s|arrow|imperial seal|murder|revenge"/>
        <s v="hat|monkey|museum|shrine|yellow"/>
        <s v="automobile racing|car|mechanic|nascar|street racing"/>
        <s v="mental institution|post traumatic stress|psychiatrist|vomiting|voyeur"/>
        <s v="bounty hunter|brother sister team|death of loved one|hansel and gretel|supernatural power"/>
        <s v="erotic thriller|infidelity|marital infidelity|unfaithfulness|wife's lover murdered by husband"/>
        <s v="based on young adult novel|good versus evil|guardian|human alien|ohio"/>
        <s v="cia|hezbollah|lebanon|oil|prince"/>
        <s v="based on true story|cia agent|libya|mercenary|u.s. ambassador"/>
        <s v="afterlife|bullfight|bullfighting|love triangle|mexico"/>
        <s v="architect|bank|cayman islands|meeting|murder"/>
        <s v="death|death of wife|murder|thief|violence"/>
        <s v="feminism|hit in the crotch|kicked in the crotch|kicked in the testicles|navy"/>
        <s v="birthday|falling through a glass roof|game|hitchcockian|suicide"/>
        <s v="gothic|police|police officer|silent hill|sleepwalking"/>
        <s v="coach|football player|misfits|strike|sumo wrestler"/>
        <s v="bikini|female female kiss|high school reunion|outdoor sex|upskirt"/>
        <s v="hostage|innocence|murder|negotiator|police"/>
        <s v="danger|graduation|storm|teenage boy|tornado"/>
        <s v="california|counterfeit|counterfeit money|money|theme park"/>
        <s v="gremlin|horror host|hulk hogan|monster|skyscraper"/>
        <s v="courtroom|dysfunctional family|indiana|lawyer|trial"/>
        <s v="nuclear explosion|nuclear weapon|russia|train|train crash"/>
        <s v="cover up|monster|strong female character|strong female lead|zombie apocalypse"/>
        <s v="american actress playing british character|intern|prison|six word title|thailand"/>
        <s v="cancer|florida|insurance|life insurance policy|small town"/>
        <s v="environmental|murder|oil|oil spill|tribe"/>
        <s v="boy|bully|dream|dream sequence|planet"/>
        <s v="love|map|paradise|thailand|travel"/>
        <s v="fashion show|female protagonist|love|pastor|queens new york city"/>
        <s v="critically bashed|kung fu|martial artist|martial arts|ninja"/>
        <s v="baseball|baseball movie|detroit tigers|perfect game|pitcher"/>
        <s v="cult tv|death|detective inspector|four word title|internal affairs"/>
        <s v="bouncer|breasts|congressman|private dancer|stripper"/>
        <s v="dog|great dane|rivalry|talking animal|talking cat"/>
        <s v="death|france|near death experience|tsunami|twin brother"/>
        <s v="disposing of a dead body|high school student|murder|sociopath|teenage boy"/>
        <s v="assassin|floppy disk|modem|rival|russian"/>
        <s v="aunt|cannibalism|faked death|medical student|revenge"/>
        <s v="four word title|husband wife relationship|male rear nudity|marriage|summer camp"/>
        <s v="alien|alien creature|body snatching|desert|parasite"/>
        <s v="2000s|army|military crime|necklace yanked off|panama"/>
        <s v="boat|heart transplant|murder|serial killer|sister"/>
        <s v="bank|chase|district attorney|interpol|murder"/>
        <s v="escape|island|los angeles california|machismo|president's daughter"/>
        <s v="boy|friend|government agent|maine|robot"/>
        <s v="expedition|oceanographer|sea|shark|team"/>
        <s v="american civil war|civil war|u.s. civil war"/>
        <s v="activist|death|death row|murder|texas"/>
        <s v="cheerleader|cheerleading movie|neo noir|neo western|texas ranger"/>
        <s v="death|drug dealer|limousine|limousine driver|one night"/>
        <s v="male pubic hair|pubic hair|russian|sex scene|turkish bath"/>
        <s v="bahamas|blood splatter|cocaine|hairy chest|shark"/>
        <s v="cathedral|dauphin|france|trial|wartime rape"/>
        <s v="knight|prince|quest|rescue|thong bikini"/>
        <s v="closet|father daughter relationship|psychiatric hospital|real life sisters playing sisters|train"/>
        <s v="hostage|museum|natural history museum|news reporter|reporter"/>
        <s v="baby|baby boy|kidnapping|kidnapping a child|taxi"/>
        <s v="17th century|adultery|letter|pubic hair|swimming"/>
        <s v="bush administration|cia|interview|iraq|new york times"/>
        <s v="alien|alien invasion|planet invasion|post apocalypse|year 2046"/>
        <s v="bounty hunter|fbi|female bounty hunter|female nudity|reality show"/>
        <s v="blackmail|investigation|murder|panties pulled down|prostitution"/>
        <s v="battle|convict|death|mind control|role playing"/>
        <s v="dream|escape|magic|magic spell|small town"/>
        <s v="children|children's tv show|money|revenge|scandal"/>
        <s v="chosen one|fashion|fashion model|model|retired"/>
        <s v="breasts|consensual sex|female nudity|judge|surfer"/>
        <s v="alien|baby|banker|pregnancy|question in title"/>
        <s v="baby|cult|oklahoma|sex scene|waitress"/>
        <s v="chun li|crime fighter|gangster|mobster|rescue"/>
        <s v="fight|multiverse|police|police officer|prison"/>
        <s v="based on novel|clan|scotland|scottish highlands|year 1743"/>
        <s v="detective|groupie|murder|music industry|rock n roll"/>
        <s v="inspired by radio program|inspired by true events|pirate broadcasting|pirate radio|pirate radio station"/>
        <s v="cocaine|drug smuggling|interlinked stories|judge|mexico"/>
        <s v="castle|diary|holy grail|map|nazi"/>
        <s v="dance|infidelity|marriage|russia|russian"/>
        <s v="artificial intelligence|consciousness|future|mind uploading|robot"/>
        <s v="new york city|police|quadriplegic|serial killer|suicide"/>
        <s v="brownstone|burglar|money|panic|panic room"/>
        <s v="bare breasts|genital dismemberment|mulching someone|tooth fairy|woodchipper"/>
        <s v="gold|gulf war|iraq|kuwait|map"/>
        <s v="child murderer|murder|sex|soviet union|woman slaps a man"/>
        <s v="casino|locker|money|museum|race"/>
        <s v="extraterrestrial|hospital|patient|planet|science"/>
        <s v="bridge|brooklyn bridge|falling down an elevator shaft|time travel|time travel romance"/>
        <s v="contract|devil|dream|soul|wish"/>
        <s v="brothers hugging|jazz|jealousy|nudity|parole violation"/>
        <s v="outlaw|rancher|small western town|stagecoach|train"/>
        <s v="betrayal|death|final showdown|murder|on the run"/>
        <s v="heist|neo noir|one last job|opposites attract|u.s. marshal"/>
        <s v="cable guy|foreplay|friend|kissing|television"/>
        <s v="friend|hindu|india|muslim|sikh"/>
        <s v="crime boss|detective|dick tracy|gangster|orphan"/>
        <s v="art|insurance investigator|martinique|painting|trust"/>
        <s v="boy|college|heroin|working class|writer"/>
        <s v="1980s|colonel|deputy|rambo|sheriff"/>
        <s v="hallucination|ocean|psychologist|scientist|space station"/>
        <s v="apostrophe in title|cinderella|first of series|punctuation in title|three word title"/>
        <s v="19th century|butler|housemaid|laboratory|servant"/>
        <s v="best friend|chick flick|male female friendship|promise|wedding"/>
        <s v="actor|love|movie star|press|publicist"/>
        <s v="detective|insomnia|murder|partner|police"/>
        <s v="21st century|borg|borg sphere|captain|sphere"/>
        <s v="confederate|death|independence day|military|terrorist"/>
        <s v="bravery|honor|medal of honor|military life|unreliable flashback"/>
        <s v="birthday|birthday wish|father disappoints child|lie|workaholic"/>
        <s v="1950s|douglas macarthur|general|inchon|invasion"/>
        <s v="1000000 b.c.|box office hit|lawn mowing|product placement|stone age"/>
        <s v="albanian|revenge|revenge motive|teenage daughter|vacation"/>
        <s v="crop circle|farm|orchestral music score|reference to michael jackson|videotape"/>
        <s v="beauty pageant|fbi|female agent|pageant|undercover"/>
        <s v="cave|lost world|missing brother|mountain|venus flytrap"/>
        <s v="coronation|horse|princess|queen|side saddle"/>
        <s v="college professor|fbi|president|professor|supreme court"/>
        <s v="boy|brother|lawyer|mafia|senator"/>
        <s v="billionaire|friend|hospital|list|mechanic"/>
        <s v="analyst|cia|ira|terrorist|terrorist attack"/>
        <s v="breakdown|fight|mother in law|scheme|wedding"/>
        <s v="child abduction|detective|investigation|police|sex offender"/>
        <s v="lapd|narc|narcotics|title spoken by character|training"/>
        <s v="alien|alien race|convention|fan|general"/>
        <s v="blow job|demon|exorcism|priest|professor"/>
        <s v="bel air california|book|friends who live together|the muppets|tribute band"/>
        <s v="1990s|blade|blood|vampire|vampire hunter"/>
        <s v="basketball|basketball coach|coach|contract|high school"/>
        <s v="car accident|feud|lawyer|revenge|road rage"/>
        <s v="amazon|anaconda|boat|jungle|snake"/>
        <s v="girl in panties|lift skirt|sexual attraction|short shorts|songwriter"/>
        <s v="aging rocker|christmas|love at first sight|minister|prime minister"/>
        <s v="ant|circus|grasshopper|misunderstanding|overhearing"/>
        <s v="freemason|jack the ripper|opium|prostitute|victorian era"/>
        <s v="bomb|cia|explosive|explosives expert|miami florida"/>
        <s v="driving range|golf|golfer|tournament|winnebago"/>
        <s v="nurse|parent|sibling|widow|widower"/>
        <s v="book|child|slapstick comedy|soccer|suburb"/>
        <s v="alien|friend|galaxy|hyperspace|spaceship"/>
        <s v="animated sequence|junkyard|love|party|television"/>
        <s v="clone|convoy|crow|desert|satellite"/>
        <s v="blind date|children|date|daughter|son"/>
        <s v="chef|congressman|cook|hotel|senator"/>
        <s v="criminal|rafting|river|robber|white water rafting"/>
        <s v="best friend|birthday|boy|friend|magic"/>
        <s v="arms tied overhead|damsel in distress|dea|marijuana|southern california"/>
        <s v="cell phone|distress signal|family in danger|police|stealing a car"/>
        <s v="british|crown jewels|explosion|funeral|spy"/>
        <s v="ant|miniaturization|punishment|shrinking|sudden change in size"/>
        <s v="desert planet|dune|giant worm|space travel|spice"/>
        <s v="anti war|liverpool|love|protest|song"/>
        <s v="based on novel|children|connecticut|suburb|work"/>
        <s v="alcoholic|courthouse|detective|jail|witness"/>
        <s v="box office flop|convent|mercenary|new york|pregnant"/>
        <s v="detective|heavy rain|murder|partner|serial killer"/>
        <s v="clone|cloning|construction|same actor playing two characters simultaneously on screen|year 1996"/>
        <s v="alien|attic|boyfriend|mind control|nintendo ds"/>
        <s v="nevada|pledge|police|porcupine|search"/>
        <s v="accountant|money|opening night|scheme|swedish"/>
        <s v="ghost|new york city|phantom|skull|superhero"/>
        <s v="1940s|cowboy|mexico|railway station|texas"/>
        <s v="courtship|election|paranoia|president|quaker"/>
        <s v="british prime minister|death|island|memoir|writer"/>
        <s v="creature feature|hijacker|ocean|ship|shot in the leg"/>
        <s v="boy|german soldier|partisan|trapped|village"/>
        <s v="china|chrysanthemum|emperor|empress|prince"/>
        <s v="deaf|hitman|nightclub|pickpocket|rules of profession"/>
        <s v="airport|fbi agent|person in a car trunk|suitcase|suitcase bomb"/>
        <s v="19th century|colombia|love|marriage|widow"/>
        <s v="france|living dead|serial killer|small town|supernatural"/>
        <s v="american president|assassin|conspiracy|president|white house"/>
        <s v="assassin|chinese|conspiracy|gadget|premier"/>
        <s v="femme fatale|food|pun|supermarket|troubled production"/>
        <s v="1970s|cia|f word|u.s. embassy|year 1979"/>
        <s v="hospital|on the run|one armed man|surgeon|u.s. marshal"/>
        <s v="bounty hunter|death|murder|police officer|reporter"/>
        <s v="boy|guard|kicked in the crotch|prank|sexual abuse"/>
        <s v="1980s|mission|prison|rambo|vietnam"/>
        <s v="breasts|mafia|sex scene|temple|woods"/>
        <s v="boy|conscience|fairy|jiminy cricket|pinocchio"/>
        <s v="1890s|hired gun|immigrant|johnson county war|sheriff"/>
        <s v="death|feud|forbidden love|vampire|werewolf"/>
        <s v="assistant|experiment|frankenstein|medical student|scientist"/>
        <s v="basketball|mentor|new york|school|writing"/>
        <s v="12 step program|box office hit|car accident|vomiting|wedding"/>
        <s v="collar|dog|fight|fighting|piano"/>
        <s v="female removes her clothes|roommate|voyeur|voyeurism|wedding"/>
        <s v="bar|fbi|law|law firm|lawyer"/>
        <s v="brother brother relationship|death of brother|ghost|seeing dead people|talking with the dead"/>
        <s v="apprentice|disobeying orders|gas station|hitman|nightclub"/>
        <s v="narcotics|parody|police|remake|undercover cop"/>
        <s v="actress|bookstore|friend|kiss|love"/>
        <s v="chicken|escape|farm|freedom|rooster"/>
        <s v="bride|friend|honeymoon|insurance|insurance company"/>
        <s v="advertising|battle of the sexes|dating|one word title|womanizer"/>
        <s v="drug lord|fbi|fbi agent|hospital|shot in the crotch"/>
        <s v="cleopatra|egypt|epic|queen|roman empire"/>
        <s v="claim in title|high school|mixed martial arts|ultimate fighting championship|underdog"/>
        <s v="defense lawyer|lawyer|marine|murder|villager"/>
        <s v="columbia university|lecture|marriage|professor|sex"/>
        <s v="car accident|death of wife|mothman|point pleasant west virginia|urban legend"/>
        <s v="austrian|fame|fashion|gay lead character|mockumentary"/>
        <s v="drug cartel|drug lord|james bond 007|personal vendetta|vengeance"/>
        <s v="death|forest|love|werewolf|werewolf bite"/>
        <s v="criminal|detective|fire|homicide|media"/>
        <s v="based on video game|dinosaur|king|mario|plumber"/>
        <s v="1980s|arms dealer|immorality|ukrainian|warlord"/>
        <s v="china|flying|king|palace|sword"/>
        <s v="bail bond|bounty hunter|jeans|shot in the butt|title directed by female"/>
        <s v="assassination attempt|communist dictatorship|dictator|exploding helicopter|finger bitten off"/>
        <s v="bullet time|explosion|knife throwing|throwing a knife|violence"/>
        <s v="american soldier|naval uniform|navy|patrol boat|uniform"/>
        <s v="bullet|contortionist|gag humor|human cannonball|revenge"/>
        <s v="competition|contest|friend|self expression|white rapper"/>
        <s v="ape|computer animation|evolution|first person title|reference to louis de funes"/>
        <s v="chaucer|jousting|knight|medieval times|tournament"/>
        <s v="hong kong|interpol|medallion|ship|tough cop"/>
        <s v="able to see the dead|ghost|plot twist|psychic|surprise ending"/>
        <s v="detective|diamond|hotel|police|rooftop"/>
        <s v="alaska|birding|competition|migration|storm"/>
        <s v="apartment|bully|fight|karate|master"/>
        <s v="based on true story|con artist|drunk wife|fbi investigation|scam"/>
        <s v="alaska|deportation|father son relationship|male objectification|sitka alaska"/>
        <s v="blood|murder|sex scene|wrongful arrest|wrongful conviction"/>
        <s v="alternate timeline|same actor playing two characters simultaneously on screen|second part|year 2015|younger version of character"/>
        <s v="brain capacity|drugs|fictional drug|one woman army|tough girl"/>
        <s v="female frontal nudity|female nudity|perversion|sex scene|spanking"/>
        <s v="mission|spy|surfing|trapped|virtual reality"/>
        <s v="african american|court|law|mississippi|trial"/>
        <s v="9 year old|house|illinois|new job|vomiting"/>
        <s v="courage|navy seal|outnumbered|shot multiple times|survival"/>
        <s v="baseball|friend|oregon|rivalry|softball"/>
        <s v="based on supposedly true story|house|paranormal investigating|psychic|second part"/>
        <s v="competitiveness|creator|entrepreneur|facebook|intellectual property"/>
        <s v="advertising|bar|dating|lingerie slip|six word title"/>
        <s v="female nudity|male nudity|parody|reference to myspace|sequel"/>
        <s v="death|ghostface|murder|scream|survivor"/>
        <s v="band|dog|letter|time machine|tombstone"/>
        <s v="camera focus on female butt|gay bar|millionaire|singing in a car|two word title"/>
        <s v="dracula|horror movie remake|maze|monster sex|vampire"/>
        <s v="american|blog|book|cook|cooking"/>
        <s v="baseball|baseball player|brooklyn dodgers|major league baseball|racism"/>
        <s v="1950s|italy|mistaken identity|nudity|sociopath"/>
        <s v="adoption|highway travel|road trip|sequel|stupidity"/>
        <s v="antarctica|dog|siberian husky|sled dog|survival"/>
        <s v="reference to ben affleck|reference to brad pitt|reference to george clooney|reference to jack nicholson|website"/>
        <s v="computer hacker|crime boss|detective|drugs|wedding"/>
        <s v="18th century|based on novel|colonel|french and indian war|revenge"/>
        <s v="1950s|1960s|racism|rhythm and blues|singer"/>
        <s v="anthology|corruption|hearing characters thoughts|neo noir|night"/>
        <s v="explosion|multiple perspectives|president|secret service|shooting"/>
        <s v="bromance|friend|gay brother|homosexual subtext|wedding"/>
        <s v="dying|friend|inner beauty|love|self help guru"/>
        <s v="death|gay slur|homosexuality|investigation|president"/>
        <s v="cheerleading|fbi|fbi agent|nanny|undercover"/>
        <s v="curse|hostage|mexico|pistol|vomiting"/>
        <s v="adult as child|father son relationship|high school student|janitor|school"/>
        <s v="beach house|blonde bombshell|cheating husband|revenge|wife meets mistress"/>
        <s v="attempted suicide|car crash|collapsing scaffold|overflowing bathtub|tooth knocked out"/>
        <s v="cia|cold war|lawyer|negotiation|spy"/>
        <s v="battle|massacre|navigator|navy|rescue"/>
        <s v="concert|drugs|recession|record company|rock star"/>
        <s v="dance|dance competition|dance lesson|love|teacher"/>
        <s v="action figure|battle|computer|military|toy"/>
        <s v="based on comic|based on comic book|dark hero|image comics|superhero"/>
        <s v="count|escape|island|revenge|sailor"/>
        <s v="defense attorney|defense lawyer|lawyer|plot twist|prostitute"/>
        <s v="agriculture|airport|amnesia|nurse|scientist"/>
        <s v="illusion|magician|obsession|rivalry|secret"/>
        <s v="kidnapping|reference to franz beckenbauer|scene during end credits|second part|singing in a car"/>
        <s v="alien|cult film|mission control|product placement|rescue"/>
        <s v="jaguar|mayan|solar eclipse|tribe|village"/>
        <s v="british agent|defection|escape|kgb|soviet general"/>
        <s v="kicked in the face|martial arts|punched in the face|strong female character|woman punching a man"/>
        <s v="judicial|judiciary|lawyer|murder|painting"/>
        <s v="adultery|extramarital affair|infidelity|unfaithfulness|writer"/>
        <s v="house|lake|letter|love across time|parallel time"/>
        <s v="attic|bound and gagged|hoodoo|secret|southern gothic"/>
        <s v="dodgeball|portrait|soccer|soccer game|young love"/>
        <s v="friend|love|maid|maid of honor|marriage"/>
        <s v="band|music group|musical quartet|singer|song"/>
        <s v="courtroom|domestic violence|insurance company|lawyer|underdog"/>
        <s v="memory|murder|patient|psychiatrist|the devil"/>
        <s v="courtroom|mutiny|ship|slave ship|slave trade"/>
        <s v="cancer|environment|gas chromatograph|jungle|nature"/>
        <s v="alien|escape|hunting|hybrid|predator"/>
        <s v="attempted murder|based on comic book|escape from prison|lost at sea|wealth"/>
        <s v="may december romance|new york|new york city|rockefeller center|title directed by female"/>
        <s v="love|lyricist|singer|singing|song"/>
        <s v="alien|geek|nerd|road trip|ufo"/>
        <s v="cross country|love|mother son relationship|on the road|trip"/>
        <s v="author|book|deputy|murder|sheriff"/>
        <s v="investigation|obsession|private eye|private investigator|snuff film"/>
        <s v="death|paris france|rock band|singer|the doors"/>
        <s v="sex in a car|sex video|sexual desire|sexuality|undressing"/>
        <s v="actress|clown costume|magazine|party planner|soap opera actress"/>
        <s v="blood splatter|death|eyeball run over by car|latex gloves|suspension bridge"/>
        <s v="auctioneer|fbi|mafia|mobster|painting"/>
        <s v="alcoholism|boy|good deed|protective male|teacher"/>
        <s v="baltimore orioles|boston red sox|promotion|ups|world series"/>
        <s v="based on children's book|best friend|character name in title|friend|one word title"/>
        <s v="bodyguard|bully|generation y|high school|nerd"/>
        <s v="dancing sheep|fetish|musical scene|racial humor|snake poison"/>
        <s v="1930s|bomb|city|invisibility|the shadow"/>
        <s v="fear|mourning|mute|quest|revelation"/>
        <s v="job offer|roller coaster|slow motion action scene|slow motion sequence|television"/>
        <s v="male frontal nudity|male pubic hair|prison|pubic hair|violence"/>
        <s v="blood splatter|fbi|murder|secretary general|united nations"/>
        <s v="aids|hiv positive|lawyer|new york city|roommate"/>
        <s v="easter|fbi|luminol|nurse|omen"/>
        <s v="job interview|manhattan new york city|new york city|remake|sausage"/>
        <s v="animal experimentation|chimera|island|jungle|mutant"/>
        <s v="guard|king|murder|musketeer|swordsman"/>
        <s v="children|court|king|king henry viii|love"/>
        <s v="advertising|cancer|dog|san francisco california|terminal illness"/>
        <s v="biblical plague|louisiana|missionary|plague|small town"/>
        <s v="bar|catholic guilt|epilepsy|italian american|money"/>
        <s v="army|basic training|reference to shakespeare's hamlet|teacher|u.s. army"/>
        <s v="female in a shower|female nudity|premarital sex|sex scene|woman wearing a miniskirt"/>
        <s v="camelot|dragon|excalibur|knight|sword"/>
        <s v="beach|grandson|murder|new york city|police"/>
        <s v="based on article|blindness|box office flop|massage therapist|regaining sight"/>
        <s v="murder|on the run|security camera|surveillance footage|timebomb"/>
        <s v="drug dealer|mayor|new york city|probation|scandal"/>
        <s v="cult film|lap dance|lap dancing|stripper|striptease"/>
        <s v="austria|cake|france|queen|versailles"/>
        <s v="beard|female nudity|police brutality|stripper|woman in lingerie"/>
        <s v="affair|car crash|enforcer|funeral|murder"/>
        <s v="christmas|resort|thailand|tourist|tsunami"/>
        <s v="cia|emir|hotel|map|morocco"/>
        <s v="cider|farm|farmer|fox|tale"/>
        <s v="football|homeless man|interview|psychic|reporter"/>
        <s v="accident|bar|chase|cia|laboratory"/>
        <s v="cheerfulness|female protagonist|garden gnome|magical realism|waitress"/>
        <s v="dog|new york city|scholarship|senator|twin"/>
        <s v="best friend|commitment|friend|limousine driver|one night stand"/>
        <s v="arctic circle|reporter|small town|volunteer|whale"/>
        <s v="basketball|boy|italian|kidnapping a child|reunion"/>
        <s v="bondage gear|bound and gagged|hung by one's wrists|tied to a chair|tied to a table"/>
        <s v="antidote|based on young adult novel|flyer|spider|vampire"/>
        <s v="christmas|duplex|television|tenant|writer"/>
        <s v="band|masturbation|reunion|singer|tribute"/>
        <s v="military|mineral|ocean|ship|titanic"/>
        <s v="combat|computer|general|military|reporter"/>
        <s v="future|mission|space|spaceship|survival"/>
        <s v="alien|android|bomb|future|weapon"/>
        <s v="commercial|extreme sports|mountain|serbian|terrorist"/>
        <s v="alternate history|alternate timeline|flatulence|future time travel|time travel comedy"/>
        <s v="astronaut|earth|future|icarus|sun"/>
        <s v="box office flop|buddhist|liar|literary agent|magical tree"/>
        <s v="box office flop|computer animation|one word title|surrealism|villainess"/>
        <s v="assassination|blood vomiting|death|hit squad|mercenary"/>
        <s v="14 year old|british|gadget|spy|training"/>
        <s v="binoculars|electronic tag|house arrest|neighbor|watching someone"/>
        <s v="computer|computer virus|cyberpunk|fight the system|sexual fantasy"/>
        <s v="bosnia|cia|fox|hunt|war criminal"/>
        <s v="art deco|board of directors|industry|mail|stock"/>
        <s v="assassination|blood brother|dynasty|general|stabbing a woman"/>
        <s v="1800s|kazakhstan|nomad"/>
        <s v="closed ecological system|perpetual winter|population control|revolt|train"/>
        <s v="belle epoque|city name in title|monster|paris france"/>
        <s v="fbi|movie producer|sting operation|undercover|urination"/>
        <s v="back from the dead|crime boss|crow|gothic|vigilante"/>
        <s v="ancient india|dual role|good versus evil|hindu|kingdom"/>
        <s v="jumping on a bed|kissing while having sex|librarian|male objectification|pregnant woman in bathtub"/>
        <s v="meddling|psychologist|sobbing female|subtitled scene|you can say that again joke"/>
        <s v="dog|life|remake by original director|science|stop motion animation"/>
        <s v="alliance|cannibalism|future|operative|planet"/>
        <s v="boxer|boxing|boxing arena|boxing manager|directed by co star"/>
        <s v="computer|high school|kryptonite|smallville|villain"/>
        <s v="broke|promoter|retirement|trainer|training"/>
        <s v="alliance|battle|china|chinese|strategy"/>
        <s v="alabama|divorce|divorce papers|husband wife relationship|new york city"/>
        <s v="call in|chick flick|date|hot air balloon|show producer"/>
        <s v="greenland|military|revenge|soldier|u.s. soldier"/>
        <s v="island|mad scientist|scientist|sequel|spy"/>
        <s v="23rd century|bare chested male bondage|enterprise the starship|rescue|sacrifice"/>
        <s v="challenge|china|hong kong|martial arts|martial arts master"/>
        <s v="circus|circus vargas|elephant|fear|train"/>
        <s v="alien|digit in title|human form|number 3 in title|talking on a rooftop"/>
        <s v="african american|book|boxer|boxing|murder"/>
        <s v="abusive husband|escape|intimate partner homicide|marriage|woman wearing only a man's shirt"/>
        <s v="bank|infidelity|millionaire|money|scam"/>
        <s v="character name in title|no opening credits|sequel|wilhelm scream"/>
        <s v="apartment|fate|gun|love|mysterious man"/>
        <s v="bully|co worker|divorce|fight|karate"/>
        <s v="bare butt|gnosticism|lucifer|rare book|sex"/>
        <s v="cartoon on tv|doctor|emergency room|hospital|nudity"/>
        <s v="cover band|fired from a job|heavy metal|rock star|tribute band"/>
        <s v="abuse|african american lesbian|lesbian|lesbian couple|school"/>
        <s v="acrophobia|jamaica|male bonding|prostitute|tragedy"/>
        <s v="alien creature|alien life form|antarctica|isolation|paranoia"/>
        <s v="alien|left for dead|mercenary|survival|vomiting"/>
        <s v="deputy|fbi agent|knife held to throat|serial killer|sheriff"/>
        <s v="army|mexican|orphan|texas|texas ranger"/>
        <s v="box|food|mayor|pipeworks|scientist"/>
        <s v="drifter|past life regression|psychological testing|right hand man|scientology"/>
        <s v="breasts|nude nun|plague|russian nobleman|two word title"/>
        <s v="african american|coach|football movie|nonlinear timeline|syracuse university"/>
        <s v="alien|attack|based on novel|based on young adult novel|fear"/>
        <s v="boxing|boxing match|fight|montage|philadelphia"/>
        <s v="bank manager|bank robbery|criminal gang|heist|prison"/>
        <s v="baby|expecting twins|hawaiian shirt|photographer|pregnancy"/>
        <s v="cia|divorce|embassy|gym|memoir"/>
        <s v="author|girl|island|reading|scientist"/>
        <s v="1970s|female rear nudity|formula 1|rivalry|sex with a nurse"/>
        <s v="abusive father|coincidence|fictional game show|fictional quiz show|multiple storyline"/>
        <s v="baseball card|detective|partner|thief|wedding"/>
        <s v="motor scooter|new york city|newborn baby|scooter|single"/>
        <s v="boy|dolphin|prosthetics|tail|trap"/>
        <s v="blood|high school|love|school|vampire"/>
        <s v="health care|heart transplant|hospital|hostage|insurance"/>
        <s v="detective|diamond|jewel|police|thief"/>
        <s v="fake family|male frontal nudity|marijuana|mexico|stripper"/>
        <s v="22nd century|first part|friend|guard|space opera"/>
        <s v="car breakdown|diner|jeep|paranoia|violence"/>
        <s v="british|character says now that you're on the case i hope we're going to have some gratuitous sex and violence|cruise missile|missile|nuclear warhead"/>
        <s v="cheating wife|drug reference|maintenance man|male vomiting|promiscuous woman"/>
        <s v="dolphin|latex gloves|medical scrubs|purple gloves|turtle"/>
        <s v="casino|christmas|christmas season|girlfriend|release from prison"/>
        <s v="bust|dea|drug cartel|justice|tragic hero"/>
        <s v="box office flop|critically bashed|hawaii|one word title|written by director"/>
        <s v="activist|assassin|civil rights|trial|widow"/>
        <s v="fisherman|japanese|love|trial|washington state"/>
        <s v="demon|exorcism|exorcist|faith|seminary"/>
        <s v="accident|future|genetics|mission|police"/>
        <s v="autistic son|cancer|female protagonist|new york city|son"/>
        <s v="astronaut|attacked by a plant|planet|senator|space travel"/>
        <s v="alderman|party|president|presidential candidate|washington d.c."/>
        <s v="drunkenness|female nudity|hangover|hedonism|morning after"/>
        <s v="1950s|cancer|hong kong|martial arts school|wing chun"/>
        <s v="penis joke|phallic image|sexy agent|spy|volcano hideout"/>
        <s v="city|dc comics|gotham|pantyhose|police"/>
        <s v="dying|forgiveness|saint|spanish civil war|starts with narration"/>
        <s v="gangster|gun|internal affairs|police|police officer"/>
        <s v="american football|based on true story|football star|high school football|left tackle"/>
        <s v="brother sister relationship|espionage|rescue|secret agent|spy"/>
        <s v="black comedy|boss|chemical company|dental assistant|murder"/>
        <s v="arkansas|murder|sheriff|texas ranger|u.s. marshal"/>
        <s v="fashion|fashion industry|magazine|new york city|publishing"/>
        <s v="alien|space|space station|spacecraft|warp speed"/>
        <s v="bounty hunter|credit card|cross country|identity|police"/>
        <s v="lawyer|neo noir|prison|rapist|southern gothic"/>
        <s v="based on true story|blackjack|card counting|gambling|massachusetts institute of technology"/>
        <s v="actress playing herself|actress shares first name with character|fired from a job|male nudity|written by star"/>
        <s v="argument|engagement|family relationships|love|undressing"/>
        <s v="church|english|flashback|nurse|patient"/>
        <s v="1950s|call girl|corruption|murder|police detective"/>
        <s v="coming of age|friend|high school|sidekick|superpower"/>
        <s v="academy award|gay|high school|reporter|teacher"/>
        <s v="alien|interspecies sex|scientist|sexual attraction|train"/>
        <s v="freddy krueger|lucid dream|serial killer|slasher|sleep deprivation"/>
        <s v="coma|fbi|race against time|serial killer|strong female lead"/>
        <s v="france|musketeer|three musketeers|twin|twin brother"/>
        <s v="eccentric|horse racing|newspaper clipping|stallion|triple crown"/>
        <s v="martial arts master|monster|new york city|turtle|warrior"/>
        <s v="coach|football|football coach|high school|radio"/>
        <s v="blow job|female rear nudity|girl in panties|male objectification|no panties"/>
        <s v="bare chested male|gay|gay best friend|gay man|gay marriage proposal"/>
        <s v="author|disney|loss of father|reference to walt disney|suppression of emotion"/>
        <s v="african american|black history|civil rights|ku klux klan|nation of islam"/>
        <s v="40th birthday|aging|birthday|sex|viagra"/>
        <s v="best friend|business deal|impulse|public relations|twin"/>
        <s v="battle|slave|vampire|warrior|werewolf"/>
        <s v="box office flop|church|kissing|usa|wedding"/>
        <s v="baseball|baseball team|bully|millionaire|team"/>
        <s v="date|dating|dog|love|teacher"/>
        <s v="fbi|mafia|money|racial slur|singer"/>
        <s v="amnesia|quarantine|special forces|virus|zombie"/>
        <s v="ghost|haunted|haunting|house|paranormal investigator"/>
        <s v="casino|irony of fate|landlady|professor|remake"/>
        <s v="corporation|death|ex partner|hallucination|police detective"/>
        <s v="currency|future|murder|on the run|time"/>
        <s v="artificial insemination|baby|cheese|chick flick|pet shop"/>
        <s v="best friend|crush|law school|lawyer|loud sex"/>
        <s v="affair|hip hop|sex scene"/>
        <s v="14th century|king|knight|sword duel|time travel"/>
        <s v="baseball|california|coach|little league|swimming pool"/>
        <s v="guile|hostage|ransom|soldier|united nations"/>
        <s v="ghetto|holocaust|jewish|piano|warsaw ghetto"/>
        <s v="angel|bethlehem|journey|nazareth|virgin"/>
        <s v="brother sister relationship|group of friends|male nudity|twin|wax"/>
        <s v="cheating wife|film camera|hasselblad camera|leica camera|medium format camera"/>
        <s v="agent|fbi|federal bureau of investigation|gay relationship|secret"/>
        <s v="estranged wife|evil|fire|medication|mirror"/>
        <s v="fatal attraction|interspecies romance|queen|supernatural power|vampire"/>
        <s v="alien|drug lord|gang|hunter|predator"/>
        <s v="cat|fbi agent|murder|serial killer|website"/>
        <s v="1960s|bomb shelter|cuban missile crisis|food|naive man"/>
        <s v="american football|cult film|emperor|flash gordon|mind reading"/>
        <s v="baby|childbirth|death|karma|publicist"/>
        <s v="assassin|detective|partner|police|serial killer"/>
        <s v="graveyard|murder|murder trial|reporter|trial"/>
        <s v="bus|die hard scenario"/>
        <s v="farm|magic|mother daughter relationship|overalls|title directed by female"/>
        <s v="labor|labor union|leader|mafia|union"/>
        <s v="fbi|priest|psychic|psychic vision|staff physician"/>
        <s v="curse|fairy|obedience|prince|strong female character"/>
        <s v="chronic traumatic encephalopathy|concussion|football|football player|pathologist"/>
        <s v="assassin|high school|on the run|teenager|website"/>
        <s v="dove|falcon|nursing|pigeon|psychological torture"/>
        <s v="based on novel|college girl|midlife crisis|pittsburgh pennsylvania|professor"/>
        <s v="dragonfly|hero|high school|soaking wet|supervillian origin"/>
        <s v="election|father son relationship|fellatio|gay slur|title spoken by character"/>
        <s v="creature|death|party|rescue|werewolf"/>
        <s v="chase|courier|delivery|envelope|police"/>
        <s v="danger|drug cartel|female cop|female police officer|fugitive"/>
        <s v="male nudity|naked dead man|nudity|sex|whipping"/>
        <s v="action hero|disguise|hospital|real estate agent|thief"/>
        <s v="career|player|tennis|tennis player|wimbledon"/>
        <s v="animal|bear|land developer|real estate|real estate developer"/>
        <s v="great white shark|shark|supermarket|swimming|tsunami"/>
        <s v="cyclops|fortress|monster|planet|rescue"/>
        <s v="afghanistan|professor|reporter|student|university"/>
        <s v="bombardier|pilot|u.s. navy|vietnam|vietnam war"/>
        <s v="drugs|elvis|musician|singer|the beatles"/>
        <s v="employee employer relationship|husband wife relationship|newspaper|ship|wake"/>
        <s v="legend|old west|outlaw|railroad|stealing from the rich"/>
        <s v="19th century|courtship|female protagonist|princess|queen of england"/>
        <s v="antarctica|geologist|investigation|u.s. marshal|winter"/>
        <s v="1950s|children|ice cube|texas|waco texas"/>
        <s v="cia|hong kong|market|undercover|van"/>
        <s v="dea|drug cartel|kicked in the crotch|strip club|tough girl"/>
        <s v="death|exorcism|heaven|priest|sin eater"/>
        <s v="gun fu|plastic surgery|psychopath|undercover|vigilante"/>
        <s v="bruise|female hero|super strength|superhero|teenage superhero"/>
        <s v="1970s|based on true story|new york city|skyscraper|tightrope walker"/>
        <s v="anthropomorphic animal|football|kangaroo|sword and sorcery|water boy"/>
        <s v="based on novel|inheritance|provence|uncle|wine"/>
        <s v="murder|police|psychopath"/>
        <s v="father son relationship|physical abuse|radio flyer|stepfather|stepfather stepson relationship"/>
        <s v="1970s|1980s|barrio|gang war|mexican"/>
        <s v="boy|greenland|neighbor|roof|snow"/>
        <s v="ambassador|cannes|identity|suicide|thief"/>
        <s v="arab|general|libya|muslim|mussolini"/>
        <s v="austrian|breasts|cholera|police|provence"/>
        <s v="bushwhacker|friend|honor|kansas|raid"/>
        <s v="children|chinese|illegal immigrant|immigrant|male ponytail"/>
        <s v="bank|cleavage|farmer|female gunfighter|mexico"/>
        <s v="based on novel"/>
        <s v="based on novel|concrete wall|maze|open ended|teenage boy"/>
        <s v="business trip|company|glory hole|male frontal nudity|male nudity"/>
        <s v="19th century|countess|lawyer|love|new york"/>
        <s v="eternity|love|mayan|tree|tree of life"/>
        <s v="colonel|ice|ice cream truck|military|u.s. army"/>
        <s v="bank|money|presumed dead|rescue|thief"/>
        <s v="children adventure|magical realism|sea goddess|small town|tsunami"/>
        <s v="1940s|art collector|bull riding|north carolina|student"/>
        <s v="astronaut|electrocuted in bathtub|mission|pilot|sister"/>
        <s v="dream|italian|kenya|ranch|snake"/>
        <s v="coach|soccer|soccer coach|soccer mom|soccer team"/>
        <s v="africa|apartheid|nelson mandela|president|resistance"/>
        <s v="cold war|cold war era|interview|russia|written and directed by cast member"/>
        <s v="cuba|guantanamo|lance corporal|lawyer|murder"/>
        <s v="corrupt cop|drug dealer|drugs|heroin|vice president"/>
        <s v="disguise|fbi|female impersonation|gender disguise|obesity"/>
        <s v="alien|aurora borealis|critically bashed|killing an animal|nightclub"/>
        <s v="3 dimensional|dance|dancer|dancing|flash mob"/>
        <s v="baby rattle|famous line|murder|passenger|snake"/>
        <s v="fbi|murder|scene of the crime|serial killer|therapy"/>
        <s v="death|family reunion|fbi|fbi agent|vigilante"/>
        <s v="barrio|border|newcastle united|party|soccer"/>
        <s v="bodyguard|gang war|russian|russian mafia|triad"/>
        <s v="air traffic control|air traffic controller|female bodybuilder|job|marriage"/>
        <s v="death star|emperor|empire|princess|rebel"/>
        <s v="cure|quarantine|scotland|virus|wall"/>
        <s v="love|reading|teaching oneself to read|trial|war crime"/>
        <s v="childbirth|female frontal nudity|nude protest|nudist|skinny dipping"/>
        <s v="baby|christmas spirit|elf|new york city|north pole"/>
        <s v="brain tumor|genius|psionic power|telekinesis|terminal illness"/>
        <s v="dentist|dog|inheritance|race|sled dog"/>
        <s v="christmas|compassion|executive|ghost|redemption"/>
        <s v="lucha libre|monastery|nun|orphan|wrestling"/>
        <s v="best friend|failure|food|job|partial female nudity"/>
        <s v="apocalypse|celebrity|ensemble cast|party|rapture"/>
        <s v="catholic|priest|stigmata|vatican|wound"/>
        <s v="african american|amputee|navy|racial discrimination|racism"/>
        <s v="armored car|bank|falling out among thieves|heist|planning"/>
        <s v="adoption|divorce|family relationships|farce|wedding"/>
        <s v="fbi agent|murder|performing arts school|scene during end credits|undercover"/>
        <s v="bomber|time|time loop|train|trapped in a time loop"/>
        <s v="andes mountains|crash|death|starvation|stranded"/>
        <s v="destiny|detective|imagination|murder|sex scene"/>
        <s v="3 dimensional|cartographer|punctuation in title|smithsonian|train"/>
        <s v="california|captain|cult film|pearl harbor|submarine"/>
        <s v="colon in title|horse|kentucky|overalls|six word title"/>
        <s v="bar|crotch shot|female full frontal nudity|female pubic hair|robbery"/>
        <s v="driver|french|kidnapping|police|sequel"/>
        <s v="authority figure as villian|gun duel|saved from hanging|showdown|street shootout"/>
        <s v="date|divorce|divorce lawyer|drinking|lawyer"/>
        <s v="ambulance|ghost|hell|paramedic|rescue"/>
        <s v="artificial organ|best friend|enforcer|future|near future"/>
        <s v="antique shop|asian dragon|dragon|korean|reporter"/>
        <s v="box office flop|circus|imaginary friend|magician|one word title"/>
        <s v="magic|magic kit|magician|stage magician|vegas"/>
        <s v="animal|cat|child star|hollywood|star"/>
        <s v="1930s|depression|play|theatre|union"/>
        <s v="american|driver|journalist|russian|secret"/>
        <s v="dragon|knight|love|priest|princess"/>
        <s v="army|green beret|insanity|jungle|vietnam"/>
        <s v="bar|job|long distance relationship|male pubic hair|pubic hair"/>
        <s v="1990s|high school|high school teacher|teacher inspires students|teaching"/>
        <s v="cia|husband wife relationship|memory|tied up while barefoot|violence"/>
        <s v="africa|hunter|love|marriage|plantation"/>
        <s v="airline|flight|flight attendant|lawyer|pilot"/>
        <s v="astronaut|dog|official james bond series|space shuttle|space shuttle transported on a 747"/>
        <s v="first person narration|hotel|lobby boy|mentor protege relationship|painting"/>
        <s v="based on multiple works|bully|kiss|memory|mysterious stranger"/>
        <s v="arachnophobia|death|doctor|small town|spider"/>
        <s v="altering history|alternate history|amateur radio|ham radio|paranormal phenomena"/>
        <s v="amusement park|dysfunctional family|road trip|sequel|vacation"/>
        <s v="debt|loan shark|mobster|movie business|producer"/>
        <s v="fame|jail|jazz age|murder|vaudeville"/>
        <s v="homosexual|law|law school|responsibility|vomiting"/>
        <s v="beach|beach house|college|party|student"/>
        <s v="claw crane|cowboy|jealousy|rivalry|toy"/>
        <s v="bomb|bus|elevator|explosive|rescue"/>
        <s v="car accident|life support|memory loss|trauma|voice recording"/>
        <s v="cure|disease|imagination|race against time|venture capital"/>
        <s v="american football|based on true story|head coach|high school|school"/>
        <s v="analyst|defection|navy|soviet submarine|submarine"/>
        <s v="butler|civil rights|hotel|president|white house"/>
        <s v="dodgeball|gym|las vegas|pirate|ups"/>
        <s v="accountant|loan shark|macabre|uncle|uncle fester"/>
        <s v="africa|bat|hawaiian shirt|pregnancy|pregnant"/>
        <s v="cinderella story|fish out of water|makeover|manners|princess"/>
        <s v="cult film|female therapist|revenge|revenge motive|therapy session"/>
        <s v="detective|police partner|serial killer|serial murder|seven deadly sins"/>
        <s v="alien|ghetto|prawn|refugee|refugee camp"/>
        <s v="based on tv series|crown|dream|king neptune|plankton"/>
        <s v="ballistics|detective|friend|gun|sexual abuse"/>
        <s v="boxing|boxing trainer|death|suicide attempt|women boxing"/>
        <s v="analyst|mafia|patient|psychiatrist|wedding"/>
        <s v="class differences|letter|nursing home|second chance|summer love"/>
        <s v="boss|bridesmaid|friend|love|wedding"/>
        <s v="farm|female protagonist|hannah montana|horseback riding|overalls"/>
        <s v="amusement park|baby|france|paris france|villain"/>
        <s v="new york|psychiatrist|shrimper|south carolina|twins"/>
        <s v="epic|heart|killing an animal|passion|usa"/>
        <s v="airport|business trip|downsizing|on the road|travel"/>
        <s v="highway travel|on the road|retirement|road movie|wedding"/>
        <s v="fight|memory|teenager|undead|zombie"/>
        <s v="chase|future|surprise ending|time loop|time travel"/>
        <s v="angel|butler|heaven|manhattan new york city|reincarnation"/>
        <s v="dog|farmer|pig|sheep|sheepdog"/>
        <s v="couple|intimacy|marriage|marriage counseling|middle age couple"/>
        <s v="breakup|hawaii|hotel|male full frontal nudity|resort"/>
        <s v="football|football coach|high school|small town|texas"/>
        <s v="bare butt|corrupt police|four brothers|funeral|murder"/>
        <s v="baby|book|cartoon on tv|female protagonist|male anorexia"/>
        <s v="best friend|friend|mother daughter relationship|small town|texas"/>
        <s v="best friend|dyed hair|fake tan|rivalry|wedding"/>
        <s v="death|friend|hijacker|river|tree house"/>
        <s v="13 year old|13th birthday|30 year old|wish|year 1987"/>
        <s v="1920s|golden age|midnight|paris france|time travel romance"/>
        <s v="bank robbery|heist|raccoon|rat|squirrel"/>
        <s v="1960s|1970s|california|cocaine|wealth"/>
        <s v="beach|bottle|jogging|letter|love"/>
        <s v="captain|half brother|klingon|planet|vulcan"/>
        <s v="basketball|lightning|nba|orphanage|shoe"/>
        <s v="retirement|spoof|terrorist|transsexual|undercover"/>
        <s v="computer|earthquake|microchip|official james bond series|silicon valley"/>
        <s v="competition|giant vegetable|pest control|stop motion animation|vegetable"/>
        <s v="birthday|friendship|hairy chest|letter|widow"/>
        <s v="farm|horse|kentucky|racehorse|zebra"/>
        <s v="death of sister|dying|loss of virginity|septicemia|sex"/>
        <s v="chick flick|female protagonist|italian stereotype|man in a swimsuit|verona italy"/>
        <s v="counterfeit|detective|japan|police chase|yakuza"/>
        <s v="mule|nun|orphanage|tennis court|the three stooges"/>
        <s v="arranged marriage|bride|corpse|groom|woods"/>
        <s v="coach|college basketball|national championship|ncaa|texas"/>
        <s v="critically acclaimed|drug cartel|juarez mexico|u.s. mexico border|war on drugs"/>
        <s v="boxer|boxing training|death of wife|male in shower|rage"/>
        <s v="evil|fight|hell|psychic|psychologist"/>
        <s v="hit by a pickup truck|immortality|paramedic|resuscitation|san francisco california"/>
        <s v="africa|eyeglasses|money|texas|veteran"/>
        <s v="dance|dance crew|dancer|mortgage|new york city"/>
        <s v="bikini|female surfer|sister sister relationship|surfing contest|swimsuit"/>
        <s v="author|fate|novelist|professor|writer"/>
        <s v="alaska|small town|snow|vampire|winter"/>
        <s v="cabin in the woods|dark humor|hatchet|killed in an elevator|robot"/>
        <s v="king|persian|spartan|training|xerxes"/>
        <s v="accountant|bounty hunter|fbi|mafia|mob"/>
        <s v="game of death|government conspiracy|latina|oppression|police"/>
        <s v="eclipse|florist|nerd|plant|shop"/>
        <s v="assassin|female warrior|martial arts|playground|training"/>
        <s v="family drama|lie|missing child|political campaign|secret"/>
        <s v="alternate reality|battle|martial arts|mortal kombat|warrior"/>
        <s v="bus stop|college|community college|scooter|speech class"/>
        <s v="outcast|prom|self injury|telekinesis|tragic event"/>
        <s v="ballroom|dance|dance teacher|student|teacher"/>
        <s v="actor|fame|friendship between men|hollywood california|sitcom"/>
        <s v="alliterative title|football|football coach|football practice|football team"/>
        <s v="businessman|ring|thief|vulgarity|washington d.c."/>
        <s v="hope|key|machine|number|rag doll"/>
        <s v="clinical trial|female protagonist|neuropharmacology|psychiatrist|side effect"/>
        <s v="denmark|king|love|prince|wisconsin"/>
        <s v="disney|owl|rabbit|sequel|tiger"/>
        <s v="1980s|buddy|high school|prequel to cult favorite|teenager"/>
        <s v="hip hop|liberal|politics|senator|truth"/>
        <s v="1970s|1980s|african american|breaking the fourth wall|mother son relationship"/>
        <s v="cancer|job|love|new york|professor"/>
        <s v="android|ex cop|serial killer|virtual character come to life|virtual reality"/>
        <s v="architect|boyfriend girlfriend relationship|superhero|superhero spoof|supernatural power"/>
        <s v="confession|demonic possession|exorcism|flickering light|priest"/>
        <s v="cave|expedition|panic|rebreather|underwater"/>
        <s v="electronic devices|gynecologist|little black book|plan|set up"/>
        <s v="kissing while having sex|kitchen|reference to princess diana|wedding band|wedding ring"/>
        <s v="baseball|baseball movie|cartoon on tv|dodge viper|retirement"/>
        <s v="argument|evidence|fingerprints|murder|murder weapon"/>
        <s v="boy|disease|hemophagia|speed|vampire"/>
        <s v="criminal|mobster|new year's eve|police|sergeant"/>
        <s v="forger|hitman|passport|police|replacement"/>
        <s v="disk|floppy disk|mafia|prison|prisoner"/>
        <s v="creature feature|human versus spider|spider|spider feature|woman sheriff"/>
        <s v="female nudity|male objectification|pfizer|viagra|zoloft"/>
        <s v="death|fbi|forensics|murder|serial killer"/>
        <s v="based on true story|innocence|lawsuit|mine|sexual harassment"/>
        <s v="dentist|face slap|flashback|hitman|killing an animal"/>
        <s v="dna|experiment|genetics|interspecies sex|scientist"/>
        <s v="alien|duck|laser|planet|singer"/>
        <s v="brother in law|corruption|drug dealer|drugs|police"/>
        <s v="cave|diver|diving|flare|parasite"/>
        <s v="gambling|novel|stenographer|writer|writer's block"/>
        <s v="flashback|flashback within a flashback|multiple perspectives|obsession|split screen"/>
        <s v="neighbor|remake|suburb|teenager|vampire"/>
        <s v="captain|fort|love|native american|trade"/>
        <s v="27th century|fighter pilot|orchestral music score|outer space|space opera"/>
        <s v="dream|mental institution|padded cell|serial killer|suicide attempt"/>
        <s v="bad|dragon|grandfather|orb|warrior"/>
        <s v="deputy|escape|fbi|modern western|sheriff"/>
        <s v="birthday|boy|clone|cloning|doctor"/>
        <s v="first daughter|photographer|prague|president|secret service agent"/>
        <s v="3 dimensional|box office flop|critically bashed|red riding hood|wolf"/>
        <s v="abusive boyfriend|bear|car accident|ranch|wyoming"/>
        <s v="birthday|bridge|midget|rescue|sideshow"/>
        <s v="ex wife|guest|marriage|memory|montreal"/>
        <s v="coastal town|iceland|police|snowstorm|winter storm"/>
        <s v="costa rica|fbi agent|gambling|money|online gambling"/>
        <s v="boss|communications|computer|genius|job"/>
        <s v="army|black soldier|military uniform|prejudice|u.s. civil war"/>
        <s v="1920s|ambiguity|childhood friend|new york|speakeasy"/>
        <s v="crime lord|dead body|dead body in a freezer|new york city|truck explosion"/>
        <s v="debt|jew|loan|merchant|pound of flesh"/>
        <s v="casino|french riviera|gambler|heist|partner"/>
        <s v="one word title|paddock|supercross|swimming pool|winning"/>
        <s v="book|children|friend|illustrator|letter"/>
        <s v="armor|general|king|princess|slave"/>
        <s v="female fighter|island|martial arts|parachute|tournament"/>
        <s v="long title|outlaw|robbery|train|train robbery"/>
        <s v="china|disarming someone|qing dynasty|stabbed with a bayonet|war violence"/>
        <s v="baby|dinner|family relationships|school|three word title"/>
        <s v="bodyguard|criminal|gambling|mob boss|thug"/>
        <s v="africa|biker|church|orphanage|preacher"/>
        <s v="animal|crane the bird|dam|hoover dam|shark"/>
        <s v="african national congress|father daughter relationship|film starts with text|nelson mandela|violence"/>
        <s v="20th century|association|fifa|football|world cup"/>
        <s v="1960s|grace kelly|hollywood star|monaco|prince"/>
        <s v="battle|creature|hyena|monkey|village"/>
        <s v="art forgery|concert|dying|picture framer|villa"/>
        <s v="bread|coarse language|f word|sausage|tricked into lesbian sex"/>
        <s v="2010s|a cappella|box office hit|second part|sequel"/>
        <s v="1960s|accident|concert|guitar|prison"/>
        <s v="epidemic|mission|paradox|plague|virus"/>
        <s v="celibacy|jewish|priest|rabbi|synagogue"/>
        <s v="child's point of view|house|lawyer|real estate|washing machine"/>
        <s v="american president|political drama|scandal|u.s. president|washington post the newspaper"/>
        <s v="broken nose|kgb|marriage proposal|playboy mansion|sistine chapel"/>
        <s v="divorce|divorce papers|new york|process server|texas"/>
        <s v="business|girl scouts|orphanage|overweight woman|quitting a job"/>
        <s v="activist|editor|journalist|newspaper|south africa"/>
        <s v="college|drugs|patient|psychologist|secret"/>
        <s v="actress|killer doll|murder|vixen|vomiting"/>
        <s v="gulf war veteran|morgue|shot in the head|vermont|veteran"/>
        <s v="arab|genie|magic|princess|reference to a thousand and one nights"/>
        <s v="concert|gangsta rap|hip hop|nwa|rap music"/>
        <s v="children|studio logo segues into film|temple|village|white dinner jacket"/>
        <s v="baby|home|hospital|lost|newborn baby"/>
        <s v="kidnapping|partner|ransom|school|secret service"/>
        <s v="heiress|opera singer|platonic marriage|singer|singing"/>
        <s v="agent|cia|mariachi|mexican|president"/>
        <s v="christmas|christmas eve|christmas party|held at gunpoint|hostage"/>
        <s v="absent father|big brother|community service|live action role playing|peter pan syndrome"/>
        <s v="bank|banking|finance|fraud|mortgage"/>
        <s v="female full frontal nudity|female nudity|male frontal nudity|male full frontal nudity|male nudity"/>
        <s v="1980s|hockey|ice hockey|olympics|soviet union"/>
        <s v="mall|mayhem|nurse|rear entry sex|survival horror"/>
        <s v="chick flick|doctor|horseback riding|wedding|wedding planner"/>
        <s v="liberty|space adventure|space opera|time travel|undercover agent"/>
        <s v="brother brother relationship|family relationships|father daughter relationship|genius|thrown through a window"/>
        <s v="dissociative identity disorder|motel room key|murder|storm|stranded"/>
        <s v="bachelor party|bloody mary the drink|bouncer|brooklyn new york city|vegas"/>
        <s v="agent|british|ice skater|ship|spy"/>
        <s v="christmas|destiny|fate|love|serendipity"/>
        <s v="cop|corrupt politician|future|senator|time travel"/>
        <s v="fashion|malaysia|male model|reporter|rival"/>
        <s v="abusive husband|chick flick|north carolina|secret|widower"/>
        <s v="candle|cat|halloween|spell|virgin"/>
        <s v="chef|cooking|guardian|kitchen|restaurant"/>
        <s v="comic book|female killer|hit in the crotch|narrated by character|reference to batman"/>
        <s v="bank heist|bank robbery|heist gone wrong|pizza delivery boy|unlikely criminal"/>
        <s v="dracula|gothic|painting|rescue|van helsing"/>
        <s v="bad day|based on book|birthday|job interview|long title"/>
        <s v="bachelor|england|gentleman|georgian|love"/>
        <s v="artificial intelligence|human android relationship|megacorporation|police detective|tech noir"/>
        <s v="18th century|highlands|scotland|sexual cruelty|sword fight"/>
        <s v="cancer|estranged wife|leather dress|spy|terrorist"/>
        <s v="arrest|drugs|loyalty|raid|violence"/>
        <s v="faith|mental patient|priest|scheme|teacher"/>
        <s v="arctic|bad weather|flight|migration|ocean"/>
        <s v="bad luck|band|kiss|luck|masquerade"/>
        <s v="alaska|male nudity|nudity|sex|small town"/>
        <s v="chinese|cia|single mother|spy|terrorist"/>
        <s v="8 year old|convention|magic|magic wand|male fairy godmother"/>
        <s v="head on a stake|machine gun|martian|nuclear reactor|outer space"/>
        <s v="bolivia|box office flop|inspired by documentary|presidential campaign|year 2002"/>
        <s v="based on novel|damsel in distress|deception|england|zombie"/>
        <s v="chinese|dalai lama|lama|tibet|tibetan"/>
        <s v="celebrity|party|pig|starlet|writer"/>
        <s v="hit in the crotch|kicked in the crotch|punched in the crotch|sparring|superhero"/>
        <s v="desire|fighting|king|spain|trap"/>
        <s v="bare chested male bondage|crime lord|die hard scenario|two word title|undercover"/>
        <s v="agent|egg|faberge egg|general|russian"/>
        <s v="one night stand|pregnancy|slacker|unplanned pregnancy|website"/>
        <s v="hospital|leukemia|oncology|sick child|terminal illness"/>
        <s v="african american protagonist|comma in title|four word title|name in title|talk show host"/>
        <s v="doctor|english|india|magistrate|mosque"/>
        <s v="age difference|school|student|teacher|writing"/>
        <s v="american|bare chested male bondage|cia|detention|interrogation"/>
        <s v="brain capacity|fbi|fictional drug|intelligence|taking a pill"/>
        <s v="captain|explosion|klingon|moon|peace"/>
        <s v="flashback|interview|louisiana|playwright|secret society"/>
        <s v="detective|kidnapping|punching a heavy bag|serial killer|tied to a tree"/>
        <s v="band|catholic|money|parolee|prison"/>
        <s v="actor|drawing|friendship|pregnancy|turkey"/>
        <s v="bare chested male|chips|two word title"/>
        <s v="boy|friend|imaginary son|single father|single mother"/>
        <s v="crocodile|eaten alive|lake|maine|sheriff"/>
        <s v="coroner|death|gay son|love|mistaken identity"/>
        <s v="astronaut|sound barrier|space program|u.s. air force|u.s. space program"/>
        <s v="earl of oxford|play|queen|rebellion|shakespeare play"/>
        <s v="book|dragon|story within the story|talking animal|werewolf"/>
        <s v="memory|murder|neo noir|retrofuturism|tech noir"/>
        <s v="duchess|duke|heir|infidelity|marriage"/>
        <s v="1950s|bus driver|money scheme|poverty|sewer"/>
        <s v="chicken|delusional depression|doctor|king|mysterious girl"/>
        <s v="bank robber|brother brother relationship|crime spree|explosive|train"/>
        <s v="death|fear|hairy chest|social worker|spinning in chair"/>
        <s v="fbi|fbi agent|murder|salesman|serial killer"/>
        <s v="adopted son|adoption|boy|mars the planet|widower"/>
        <s v="2010s|3 dimensional|breath holding contest|child spy|spy"/>
        <s v="death|hostage|money|shot in the chest|shot in the heart"/>
        <s v="american in the uk|drug lord|drugs|gangster|organized crime"/>
        <s v="gay interest|gay lead character|gay republican|homosexual|neighbor"/>
        <s v="fbi|group|island|serial killer|training"/>
        <s v="actor|agent|beard|cannes|hollywood"/>
        <s v="eiffel tower|nazi|police|ritual|stew"/>
        <s v="based on opera|evil|mozart|queen|walking wounded"/>
        <s v="cell phone|hostage|mall|security guard|text messaging"/>
        <s v="body swap|camera shot of feet|foot closeup|reference to keith richards|reference to the rolling stones"/>
        <s v="40 year old|car accident|cheating on girlfriend|collection|porno movie"/>
        <s v="actor|audition|muse|playwright|theater"/>
        <s v="drug dealer|ex cop|murder of wife|revenge|violence"/>
        <s v="astoria|kindergarten|kindergarten teacher|school|teacher"/>
        <s v="murder|paranoia|process server|roach|stoner"/>
        <s v="based on fairy tale|bechdel test passed|cinderella|fairy tale|leonardo da vinci"/>
        <s v="boss|cattle|cowboy|rancher|violence"/>
        <s v="childhood trauma|death|medical student|memory|near death experience"/>
        <s v="alcohol|bad taste humour|crude humor|loser|self obsession"/>
        <s v="airborne troops|allies|operation market garden|panzer|paratrooper"/>
        <s v="airport|flight|hotel|hotel manager|plane"/>
        <s v="car accident|death|freak accident|hospital|premonition"/>
        <s v="baby|bank|blind prophet|convict|sirens"/>
        <s v="angel|diner|faith|human race|religious faith"/>
        <s v="american dream|bodybuilder|money|punch into the camera|reference to julia roberts"/>
        <s v="company|corporate takeover|executive|magazine|new boss"/>
        <s v="frozen time|stopped time|time freeze|watch|wristwatch"/>
        <s v="1880s|kiss|small town|table broken in fight|wild west"/>
        <s v="afghanistan|death of soldier|presumed dead|prisoner|war trauma"/>
        <s v="chase|evil scientist|gadget|mind control|tough girl"/>
        <s v="expecting|kiss|new year|new year's eve|singer"/>
        <s v="delaware|erotica|money|pursuit|sex scene"/>
        <s v="mask|murder|newspaper|poem|serial killer"/>
        <s v="mayor|pink panties|upskirt|white panties|yellow panties"/>
        <s v="cave|highlander|illusion|immortal|japan"/>
        <s v="diamond|necklace|safecracker|wine|wine dealer"/>
        <s v="apple|miner|mirror|necromancy|woods"/>
        <s v="efficiency expert|insurance investigator|magician|scorpion|thief"/>
        <s v="health insurance|long delayed release|nail in the head|waitress|washington d.c."/>
        <s v="dolphin|florida|florida keys|summer|vomiting"/>
        <s v="cancer|elderly man|funeral|medical|transhumanism"/>
        <s v="death|diplomat|doctor|kenya|murder"/>
        <s v="anti semitism|cult film|grindhouse|suffering|torture"/>
        <s v="actor|based on novel|fancy restaurant|male actor playing a female character|party"/>
        <s v="buick|convertible|last will and testament|savant|travel"/>
        <s v="gang|gang rape|hmong|teenager|widower"/>
        <s v="bible|cabinet meeting|dog|drinking|family relationships"/>
        <s v="agent|cia|france|rescue|teenage abduction"/>
        <s v="adultery|based on novel|heart transplant|infidelity|protective male"/>
        <s v="bodyguard|manager|pop singer|secret service agent|singer"/>
        <s v="german|german soldier|jew|jewish|nazi"/>
        <s v="black servant|chocolate pie|jackson mississippi|maid|writing a novel"/>
        <s v="computer hacker|internet|news leak|whistleblowing|wikileaks"/>
        <s v="ghost|masked villain|monster|museum|tv"/>
        <s v="cartographer|creature|foreign language adaptation|sword and sorcery|village"/>
        <s v="elm street|freddy krueger|jason voorhees|serial killer|slasher"/>
        <s v="alien|boy genius|children|genius|rescue"/>
        <s v="brooklyn new york city|found footage|night vision|statue of liberty new york city|subway tunnel"/>
        <s v="chop socky|mutant|ninja|shredder|turtle"/>
        <s v="corrupt judge|tax evasion|tough cop|white suit|year 1930"/>
        <s v="coin toss|desert|sheriff|texas|tracking device"/>
        <s v="gunfight|outrunning explosion|police|security guard|street shootout"/>
        <s v="american actress playing british character|book publishing|calorie counting|employer employee relationship|rabbit costume"/>
        <s v="chocolate|chocolate shop|food|france|village"/>
        <s v="animal rights|congresswoman|doorman|transvestism|washington d.c."/>
        <s v="chores|father figure|helicopter parents|in laws|punishment"/>
        <s v="ex girlfriend|funeral|hospital|male objectification|summer camp"/>
        <s v="cigar smoking|cowboy|duel|outlaw|tombstone arizona"/>
        <s v="death|hong kong|kung fu|prison|waterfront"/>
        <s v="ambassador|death|hospital|priest|stillborn child"/>
        <s v="amusement park|death|fate|premonition|roller coaster"/>
        <s v="arrogance|child in peril|disarming someone|kennel|post traumatic stress disorder"/>
        <s v="bully|friend|imagination|reality|troll"/>
        <s v="boy|inspiration|reference to peter pan|stage play|widow"/>
        <s v="christmas|holiday|madea series|rural setting|stubbornness"/>
        <s v="alaska|leadership|snow|survival|wilderness"/>
        <s v="bathtub|psychologist|pushed out a window|smothered with a pillow|telescope"/>
        <s v="1970s|anchorman|news anchor|newsroom|tv station"/>
        <s v="betrayal|gangster|mafia|organized crime|robbery"/>
        <s v="cia|nanobot|prep school|scientist|teenager"/>
        <s v="father|governess|magic|nanny|widower"/>
        <s v="assassination attempt|capitalism|cocaine|cuban american|cuban refugee"/>
        <s v="boss|ghetto|money|robber|robbery"/>
        <s v="abdication|china|emperor|forbidden city|republic"/>
        <s v="cocaine|contraband|drug lord|prison|smuggling"/>
        <s v="blood splatter|fistfight|murder|police|prison bus"/>
        <s v="alcoholic|alcoholism|money|oil|turn of the century"/>
        <s v="africa|chimpanzee|elephant|safari|shaman"/>
        <s v="kid|oxygen|rugrats|trapped underwater|underwater"/>
        <s v="african american|cadillac|disguise|secret agent|undercover"/>
        <s v="friendship|jeans|pants|summer|vacation"/>
        <s v="action hero|chinese|forced prostitution|one man army|title spoken by character"/>
        <s v="makeover|party|playboy|playboy mansion|sorority"/>
        <s v="client|dentures|false teeth|reference to peter pan|single parent"/>
        <s v="baseball|based on true story|india|sports agent|training"/>
        <s v="black and white segues into color|color|community|dystopia|infanticide"/>
        <s v="american|daughter|england|father|politician"/>
        <s v="cheerleader|farmer|fear|high school basketball|nightmare"/>
        <s v="breasts|leg spreading|mini skirt|sex|sex in bed"/>
        <s v="camera shot from inside human body|diamond|evil man|heist|terrorism"/>
        <s v="housewife|lesbian|novel|party|reading"/>
        <s v="disguise|roommate|school|soccer|twin"/>
        <s v="camcorder|cannes|director|lost passport|train"/>
        <s v="anaconda|blood|borneo|flower|orchid"/>
        <s v="1970s|flashback|love|money|murder"/>
        <s v="baby|cellist|genius|prodigy|rhapsody"/>
        <s v="16th century|british royal family|catholic|queen|queen elizabeth i"/>
        <s v="blood|doll|gore|murder|serial killer"/>
        <s v="attack|hawaii|navy|pearl harbor|u.s. navy"/>
        <s v="bus|concert|live concert|pop group|spice girl"/>
        <s v="babysitting|car crash|child in peril|kicked in the face|reference to craigslist"/>
        <s v="african american|dance|overalls|parody|rap"/>
        <s v="escape from prison|first person narration|prison|prison cell search|wrongful imprisonment"/>
        <s v="boat|crocodile|garbage can|knife|paramount pictures"/>
        <s v="amish|bowling|on the road|rubber hand|tournament"/>
        <s v="dog|gambler|gambling|gangster|professor"/>
        <s v="based on play|incestuous relationship|pedophilia|secret|teenage daughter"/>
        <s v="championship|coach|harvard|physics|zamboni"/>
        <s v="flight|hasselblad camera|los angeles california|love|medium format camera"/>
        <s v="1988 winter olympics|coach|ski jumper|winter|winter olympics"/>
        <s v="basketball|basketball player|female nudity|porn actor in mainstream movie|prison"/>
        <s v="don juan|mental institution|patient|psychiatrist|retirement"/>
        <s v="farmer|mischief|no dialog|sheep|sheepdog"/>
        <s v="army|coin collector|love|surfboard|u.s. army"/>
        <s v="hacking|hijacking|martial arts|revenge|special forces"/>
        <s v="basement|creature|disappearance|interior designer|mansion"/>
        <s v="assassin|betrayal|fbi|fbi agent|yakuza"/>
        <s v="harmonium|love|phone sex|pudding|sister"/>
        <s v="female frontal nudity|male frontal nudity|nudist|nudity|public nudity"/>
        <s v="alcatraz|fbi|gold|prison|undercover"/>
        <s v="airport|black comedy|blizzard|christmas|pennsylvania"/>
        <s v="estranged wife|fashion show|magazine|new york city|writer"/>
        <s v="based on novel|human becoming an animal|slow motion|transformation|young boy"/>
        <s v="champion|golf tournament|golfer|nostalgia|orchestral music score"/>
        <s v="alien|library|moral dilemma|nosebleed|supernatural power"/>
        <s v="bow and arrow|group of friends|horse|rifle|ruins"/>
        <s v="best friend|cartoon on tv|custody battle|gay|gay friend"/>
        <s v="evil|killer|murder|psychopath|serial killer"/>
        <s v="forced to strip|male rear nudity|porn actress|scantily clad female|teenager"/>
        <s v="fbi|fbi agent|mafia|russian mafia|twin"/>
        <s v="black humor|crying during sex|harvard|humor|man with glasses"/>
        <s v="1960s|based on a true story|gangster|identical twins|murder"/>
        <s v="humiliation|man child|moped|neighbor|slacker"/>
        <s v="lake|louisiana|redneck|shark|vacation"/>
        <s v="drink|ira|irish|limerick|prejudice"/>
        <s v="cleveland browns|head coach|linebacker|nfl|team owner"/>
        <s v="alien|halleys comet|life force|space vampire|vampire"/>
        <s v="campy|castle thunder|female hero|female protagonist|monster"/>
        <s v="john wilkes booth|lawyer|lincoln assassination|trial|truth"/>
        <s v="1970s|skateboarder|skateboarding|surf|swimming pool"/>
        <s v="disaster movie|mine|minister|president|trapped in a mine"/>
        <s v="1980s|airport|cb radio|truck|truck driver"/>
        <s v="curse|divorce|marriage|tourism|travel"/>
        <s v="alcoholic|mixed martial arts|return home|tournament|underdog"/>
        <s v="ireland|irish|irish civil war|irish free state|sinn fein"/>
        <s v="american civil war|battle|blood splatter|civil war|irish american"/>
        <s v="friendship|honor|iraq war|soldier|texas"/>
        <s v="college|detective|disappearance|police detective|thesis"/>
        <s v="bangkok|friend|lawyer|smuggling|thailand"/>
        <s v="basketball coach|box|jewish|rabbi|yard sale"/>
        <s v="love|train|train wreck|twin brother|two word title"/>
        <s v="gang rape|panties pulled down|rape|rape victim|sexual humiliation"/>
        <s v="book|fabrication|fake|hoax|manuscript"/>
        <s v="biker|biker gang|fbi|mississippi|undercover"/>
        <s v="apocalypse|boy|food|pistol|survival"/>
        <s v="chimpanzee|elephant|jungle|mercenary|shaman"/>
        <s v="police|private school|shootout|undercover|wigger"/>
        <s v="bestiality|brother sister incest|fisting|hit on the head with a pipe|wedding"/>
        <s v="mortgage|motorcycle|speed|trailer|utah"/>
        <s v="2030s|21st century|desert|jet|tank"/>
        <s v="hit in the crotch|kidnapping|nail gun|police|release from prison"/>
        <s v="blindness|epidemic|hospital|pubic hair|quarantine"/>
        <s v="escape|half human|king|vampire|vampire hunter"/>
        <s v="based on play|meeting|salesman|single set production|whiskey"/>
        <s v="breasts|death|female rear nudity|lesbian cunnilingus|rear entry sex"/>
        <s v="aerialist|circus|cirque du soleil|clown|surrealism"/>
        <s v="car crash|coach|death|oregon|university of oregon"/>
        <s v="high school|mercury theatre|opening night|school|theatre"/>
        <s v="antique|art|heiress|older man younger woman relationship|plot twist"/>
        <s v="drugs|flood|hallucination|lieutenant|murder investigation"/>
        <s v="apostrophe in title|character name in title|punctuation in title|sea turtle"/>
        <s v="friend|restaurant|secret|unrequited love|vacation"/>
        <s v="argentine|brothel|cancer|female full frontal nudity|fight"/>
        <s v="cartoon cat|cat|character name in title|puss in boots|surrealism"/>
        <s v="dog|flea|meteor|space|space dog"/>
        <s v="cunnilingus|drug trafficking|lawyer|no panties|shootout"/>
        <s v="castle|england|king|knight|templar"/>
        <s v="battle|costume drama|final battle|napoleon|napoleon bonaparte"/>
        <s v="fight|kung fu|martial arts|police|wire fu"/>
        <s v="exploding airplane|fighter pilot|hands tied|held at gunpoint|military"/>
        <s v="catholic|corruption|emotional abuse|france|seduction"/>
        <s v="benzedrine|cactus|drugs|poem|year 1949"/>
        <s v="alien probe|humpback whales|probe|time travel|whale"/>
        <s v="boxing|fight|heavyweight champion|restaurant|retired boxer"/>
        <s v="college|ghostface|killer|killing spree|murder"/>
        <s v="brothel|death of husband|ex lover|haunted by the past|redemption"/>
        <s v="african american|imperative in title|las vegas nevada|nevada|wedding"/>
        <s v="adultery|black humor|dentist|hitman|sex in bed"/>
        <s v="church|cowboy boots|dancing|high school dance|teenager"/>
        <s v="college|fraternity|friend|house|party"/>
        <s v="friendship|holy grail|massacre|redemption|video store"/>
        <s v="bahamas|fisherman|hook|island|roommate"/>
        <s v="heart|italian restaurant|restaurant|transplant|waitress"/>
        <s v="actor|friend|male frontal nudity|male full frontal nudity|penis"/>
        <s v="hospital|kansas city|obsession|salesman|soap opera"/>
        <s v="first person narration|general|hampster|reference to loch ness monster|reporter"/>
        <s v="cia|cia agent|fbi|mexico|train"/>
        <s v="1960s|father daughter incest|mental hospital|suicide|suicide attempt"/>
        <s v="best friend|contest|date|small town|west virginia"/>
        <s v="alien|breakfast|escape|rat|ufo"/>
        <s v="melancholy|new york city|sadness|teacher|wizard"/>
        <s v="gay subtext|homoerotic fight|homoeroticism|homosexual subtext|wcw wrestling"/>
        <s v="boxing movie|friendship|highway travel|male rear nudity|road movie"/>
        <s v="black comedy|delivery boy|dinner|gym|punishment"/>
        <s v="bloody water|boat|party|piranha|spring break"/>
        <s v="bobby darin|career|love|marriage|sandra dee"/>
        <s v="accidental kiss|eating a worm|park|worm|yellowstone national park"/>
        <s v="cobbler|desert|gold|princess|thief"/>
        <s v="bridge|friar|inquisition|peru|rope bridge"/>
        <s v="gun|prison|reference to god|reference to jesus christ|vengeance"/>
        <s v="anime|castle|demon|steampunk|witch"/>
        <s v="amusement park|on the road|zombie|zombie apocalypse|zombie spoof"/>
        <s v="coach|college|college football|domineering mother|football"/>
        <s v="duel|famous twist|rebel|rescue|snowy landscape"/>
        <s v="drugs|heroin|murder|police|witness"/>
        <s v="american president|evil industrialist|ex girlfriend|political leader|president"/>
        <s v="dead teenager|death|explosion|premonition|teenager"/>
        <s v="governor|intern|manager|ohio|politics"/>
        <s v="captain|darkness|eclipse|space|survival"/>
        <s v="apartment|girl in panties|roommate|thong panties|upskirt"/>
        <s v="divorce|female frontal nudity|future|loneliness|operating system"/>
        <s v="embarrassing male nudity|embarrassing nudity|male nudity|truck|truck driver"/>
        <s v="based on novel|drowning|hanging from a flagpole|hanging from a rope|magic"/>
        <s v="family relationships|female protagonist|nubile woman|policeman|teenager"/>
        <s v="beach|drug lord|drugs|hotel|stripper"/>
        <s v="die hard scenario|one woman army|rescue|soldier|super soldier"/>
        <s v="banana boat|boat|christmas|sea|shark"/>
        <s v="house|leukemia|mental institution|nursing home|transplant"/>
        <s v="absent father|american football|based on true story|middle school"/>
        <s v="breasts|jealousy|obsession|sex scene|spiritual"/>
        <s v="bar|biker|cowboy|drugs|marlboro"/>
        <s v="detective|iraq|military|murder investigation|police"/>
        <s v="baron|fashion|hat|nickname|orphanage"/>
        <s v="age difference|courtesan|mansion|marriage|prostitute"/>
        <s v="cheating wife|extramarital affair|female lead|undercover|unfaithfulness"/>
        <s v="aristocrat|english|painter|painting|singer"/>
        <s v="giant|hong kong|hook and chain|knife fight|martial artist"/>
        <s v="book|debunking|evil|hotel|paranormal phenomena"/>
        <s v="parody|planet enclosed within shield|sci fi spoof|self referential|winnebago"/>
        <s v="australian|battle|battle of gallipoli|gallipoli|world war one"/>
        <s v="death|film blanc|invisibility|love|unrequited love"/>
        <s v="accident|curtain call|dream girl|high school|prom"/>
        <s v="1990s|christmas|christmas eve|sleigh|surrealism"/>
        <s v="baseball|coach|high school|pitching|texas"/>
        <s v="family relationships|football movie|publicist|sports team|tween girl"/>
        <s v="1960s|bridge|housewife|love|photographer"/>
        <s v="camera focus on a female butt|cartoon on tv|forest|hairy buttocks|seal the animal"/>
        <s v="british|india|indian|muslim|pakistan"/>
        <s v="chef|haute cuisine|indian cuisine|michelin guide|restaurant"/>
        <s v="chat room|computer|computer hacker|identity|identity theft"/>
        <s v="child custody|custody battle|disability|mentally impaired man|single father"/>
        <s v="bare chested male bondage|crucifixion|loincloth|reference to god|resurrection"/>
        <s v="blood|death|hybrid|vampire|werewolf"/>
        <s v="drink|hotel|police|staged rape|thief"/>
        <s v="compulsive liar|fbi|informant|investigation|spy"/>
        <s v="author|book|england|friend|oxford"/>
        <s v="dolphin|gigolo|pimp|serial killer|villain arrested"/>
        <s v="children|identity|lawsuit|lawyer|sperm donor"/>
        <s v="based on novel|male frontal nudity|male nudity|male rear nudity"/>
        <s v="female nudity|friend|kidnapping|love|nun"/>
        <s v="best friend|camping|country club|no opening credits|summer vacation"/>
        <s v="distrust|fear|murder|neighborhood|new york city"/>
        <s v="internet|jay and silent bob|new jersey|orangutan|police"/>
        <s v="car|car accident|death|friend|glass"/>
        <s v="50s|film within a film|hollywood|illegitimate pregnancy|twins"/>
        <s v="based on tv series|fictional band|girl band|music industry|pop band"/>
        <s v="biker|biker gang|dea|dea agent|fight"/>
        <s v="boy|pushed off a cliff|rat|secret passage|vampire"/>
        <s v="coincidence|cult film|overalls|suburb|vomiting"/>
        <s v="android|corporation|ninja|police|robocop"/>
        <s v="armageddon|battle|end times|reference to satan|sequel"/>
        <s v="crepe suzette|french|mata hari spoof|song|spy"/>
        <s v="gold|gold rush|mirror|police officer|singer"/>
        <s v="airfield|car|car stunt|driver|private jet"/>
        <s v="ambassador|charles ii|earl|mistress|poet"/>
        <s v="boat|escape|hiding|nazi|resistance"/>
        <s v="christmas|no man's land|soldier|trench|world war one"/>
        <s v="gay cop|getaway driver|masturbation|penis|witness protection"/>
        <s v="bank|federal reserve bank|money|security guard|shredder"/>
        <s v="amnesia|female nudity|infidelity|nudity|therapist"/>
        <s v="fire|jungle|money|oil drilling|truck"/>
        <s v="arsonist|blood splatter on face|deception|parole|parole officer"/>
        <s v="deathbed|play|playwright|prison|theater"/>
        <s v="ambiguous ending|brother brother relationship|drug dealer|fight club|revenge"/>
        <s v="attorney|debt|fixer|law|law firm"/>
        <s v="gay pride|highway travel|president|road movie|u.s. president"/>
        <s v="death|fbi|fbi agent|neighbor|professor"/>
        <s v="funfair|luna park|table football|toy comes to life|wig"/>
        <s v="architect|celebrity|prostitute|shower|tourist"/>
        <s v="fighter plane|jet fighter|refueling|russia|soviet union"/>
        <s v="boy|canada|hell|misunderstanding|refrence to liza minnelli"/>
        <s v="end credits roll call|four word title|funeral|secret|uncle"/>
        <s v="battle|japan|magic|samurai|turtle"/>
        <s v="coach|gambling|housing project|little league|little league baseball"/>
        <s v="adulterous wife|bipolar disorder|obsessive compulsive personality disorder|unhappy marriage|widow"/>
        <s v="gang violence|high school|journal|marriage|teacher"/>
        <s v="african american protagonist|female protagonist|multi protagonist|poem|three word title"/>
        <s v="bar|gunfight|human trafficking|mixed martial arts|tire iron"/>
        <s v="club|fight|fighting|high school|mixed martial arts"/>
        <s v="high school|party|prom|suicide|teenage girl"/>
        <s v="bachelor|seeking love|single guy|tv host|women rivals for man"/>
        <s v="baby|children|friend|love|road trip"/>
        <s v="ballot|election|new mexico|vote|voting"/>
        <s v="1970s|death|district attorney|fiancee|watching television"/>
        <s v="cold war|hungary|mole|spy|woman on top"/>
        <s v="autism|experimental surgery|female nudity|forename as title|regression"/>
        <s v="beaver puppet|depression|dysfunctional family|puppet|speech"/>
        <s v="chicken|governor|locker room|sheriff|texas"/>
        <s v="assassin|game|game designer|pod|virtual reality"/>
        <s v="archeological dig|archeologist|ark of the covenant|egypt|nazi"/>
        <s v="airport|christmas|florida|new york city|toy store"/>
        <s v="alien|close encounter of the third kind|mothership|ufo|vision"/>
        <s v="cell phone|computer|computer hacker|e mail|technology"/>
        <s v="detective|police|police chief|robbery|tall woman"/>
        <s v="divorce|lawyer|spanking|villain arrested|wrongful conviction"/>
        <s v="case file|fbi agent|psycho thriller|psychopath|serial killer"/>
        <s v="basement|lead actor's first film|long hair|public access|title directed by female"/>
        <s v="full frontal male nudity|man wearing a jock strap|man wearing a thong|rear male nudity|stripped prison uniform"/>
        <s v="great white shark|island|mayor|police chief|shark"/>
        <s v="chihuahua|german shepherd|mexico|potted plant|tijuana mexico"/>
        <s v="based on true story|farmhouse|paranormal investigator|rhode island|supernatural power"/>
        <s v="car fire|children|cockroach|independent film|new year"/>
        <s v="alcoholic|grandmother|highway travel|niagara falls|on the road"/>
        <s v="battle of the bands|rock band|school teacher|substitute teacher|teacher"/>
        <s v="based on video game|island|mortal kombat|tournament|warrior"/>
        <s v="african american|crossdresser|fbi|undercover|vomiting"/>
        <s v="boating accident|daughters|father daughter relationship|hospital|marriage"/>
        <s v="bad luck|camp|curse|digging|hole"/>
        <s v="beach|fire|love|pianist|summer"/>
        <s v="racism|separation from family|social injustice|torture|whipping"/>
        <s v="drumline|drummer|fish out of water|marching band|university"/>
        <s v="question mark in title|returning character killed off|sequel|six word title|writer director"/>
        <s v="creation|inventor|magical realism|scissors|suburb"/>
        <s v="accident|caretaker|economic hardship|quadriplegic|wheelchair"/>
        <s v="critically bashed|culture shock|interracial relationship|madea series|ponzi scheme"/>
        <s v="crime boss|drug smuggling|heroin|mafia boss|organized crime"/>
        <s v="lesbian kiss|mom|pta|reference to mad max|scene during end credits"/>
        <s v="female protagonist|greek|overweight|spoof|wedding planner"/>
        <s v="1940s|gang that lives together|outlaw gang|rescue|sequel"/>
        <s v="civil rights|courage|protest|selma alabama|u.s. politics"/>
        <s v="dog|jungle|shot gun|tiger|village"/>
        <s v="boogeyman|childhood|fear|hometown|uncle"/>
        <s v="car|car accident|housewife|sheriff|suburb"/>
        <s v="cartoon tiger|coming of age|tiger|tigger|title directed by female"/>
        <s v="alcoholism|girl|little girl|orphan|troubled marriage"/>
        <s v="afghanistan|death of marine|dog|dog adoption|man dog relationship"/>
        <s v="african american|character name in title|family relationships|sitcom"/>
        <s v="chocolate|chocolate factory|factory|orphan|student"/>
        <s v="cover up|investigation|journalist|newspaper|sexual abuse"/>
        <s v="interracial couple|lapd|male nudity|neighbor|nudity"/>
        <s v="curse|ghost|haunted house|high school|schoolgirl"/>
        <s v="female protagonist|jamaica|six word title|tragic event|vacation"/>
        <s v="battle of the bands|bill and ted|heaven|hell|robot"/>
        <s v="campaign|election|president|presidential election|satire"/>
        <s v="black hole|escape|palomino|robot|scientist"/>
        <s v="ambush|assassin|priest|prostitute|sweden"/>
        <s v="latin music|marriage|on tour|singer|tejano"/>
        <s v="cat|friend|love|sheriff|teenager"/>
        <s v="american|destiny|mexican border|multiple perspectives|muslim"/>
        <s v="brother sister relationship|childhood home|man child|sibling|vomiting"/>
        <s v="boy|catholic|nun|priest|student"/>
        <s v="actor|arab stereotype|broadway|terrorist|vomiting"/>
        <s v="chainsaw|halloween|mansion|massacre|texas"/>
        <s v="agoraphobia|copycat murder|detective|psychologist|serial killer"/>
        <s v="2010s|ape|ballet|psychic|supernatural"/>
        <s v="california|farmer|gold|mining|prospector"/>
        <s v="california|gay|gay activist|gay pickup|gay rights"/>
        <s v="biblical|crucifixion|judea|resurrection|roman soldier"/>
        <s v="decapitation|ghost ship|passenger|severed head|torso cut in half"/>
        <s v="christmas|christmas tree|fire|new york city|stoner"/>
        <s v="erotic thriller|forbidden sex|lesbian sex|sex with a student|taboo sex"/>
        <s v="head dunked in water|military school|plastic bag|playing a video game|suffocating"/>
        <s v="east berlin|kiev ukraine|mossad|nazi|nazi war criminal"/>
        <s v="employer employee relationship|record store|store|thirty something|vinyl"/>
        <s v="death|lifting someone into the air|telephone|telephone call|voice mail"/>
        <s v="justice|rape|self defense|support group|vigilante"/>
        <s v="chase|heist|london england|mobster|safe deposit"/>
        <s v="borderline personality disorder|loneliness|memory|playing against type|retrograde narrative"/>
        <s v="dancing|dog|flight|hostility|travel"/>
        <s v="captain|lapd|murder|undercover cop|violence"/>
        <s v="alcoholic|doppelganger|group therapy|self mutilation|twin actresses for twin sisters"/>
        <s v="chase|clue|detective|movie star|murder"/>
        <s v="blood|rationing|vampire|vampire society|year 2019"/>
        <s v="airport|airport security|confidence|iphone|love"/>
        <s v="cell phone|hotel|misunderstanding|monte carlo|young woman"/>
        <s v="countess|game reality crossover|ghost|group of friends|tower"/>
        <s v="aborigine|australian|australian aborigine|australian outback|rancher"/>
        <s v="arranged marriage|geese|idaho|national park|park"/>
        <s v="family secret|friendship between men|magic|supernatural power|teenager"/>
        <s v="coach|gymnastics|houston texas|teenager|texas"/>
        <s v="boy|family relationships|rock|twin|two headed person"/>
        <s v="career|fame|murder|new hampshire|television"/>
        <s v="dare|game|knocked out|motorcycle|online game"/>
        <s v="deputy|friend|hanging|rancher|widow"/>
        <s v="cross|relic|team|vampire|vampire hunter"/>
        <s v="anime|based on manga|hero|surrealism|zen"/>
        <s v="money|motel|rain|shower|theft"/>
        <s v="breasts|female rear nudity|jesus crust pizza parlor|thong panties|wedding"/>
        <s v="brother sister relationship|high school graduation|love|sparkler|unfaithful husband"/>
        <s v="alcoholic|rules|secret|summer|teenager"/>
        <s v="assassin|hotel|japanese tourist|secret service|wizard of oz"/>
        <s v="bishop|escape|hawk|lady|thief"/>
        <s v="boy|christmas|christmas pageant|friendship|illegitimate son"/>
        <s v="college|depression|grief|mental breakdown|post september 11 2001"/>
        <s v="alaska|based on true story|male nudity|self discovery|wilderness"/>
        <s v="paintball|paintball gun|pepper spray|tennis|what happened to epilogue"/>
        <s v="18th birthday|alternate reality|introduction|nightmare|on the run"/>
        <s v="brother|human versus vampire|rapist|stripper|vampire"/>
        <s v="creature|forest|mother son relationship|rabbit|winnie the pooh"/>
        <s v="dinner|gay interest|gay sibling|homosexual|thanksgiving"/>
        <s v="1940s|axe|china|gang|sign language"/>
        <s v="sitcom"/>
        <s v="animal in title|bear|box office flop|disney|satire"/>
        <s v="afghanistan|based on novel|boy|friend|kite"/>
        <s v="accident|faith|love|mathematician|nonlinear timeline"/>
        <s v="actor|coma|movie star|paparazzi|revenge"/>
        <s v="bachelor party|climbing a tree|taxi|toilet|wedding"/>
        <s v="college|loser|love|new york city|overdose"/>
        <s v="capitalism|critique of capitalism|investment bank|market economy|plutocracy"/>
        <s v="70mm film|biblical epic|faith|jewish|king herod"/>
        <s v="digging a grave|grave digging|investigator|police|secret"/>
        <s v="disaster|glass|mousetrap|natural disaster|scatological humor"/>
        <s v="armored truck|blood splatter|die hard scenario|guard|heist"/>
        <s v="assassin|bomb|dominatrix|mistaken identity|spy"/>
        <s v="ex boyfriend|morning after|prince charming|quarrel|womanizer"/>
        <s v="bodyguard|maximum security prison|outer space|president|prison"/>
        <s v="best friend|dog|envy|jealousy|neighbor"/>
        <s v="artificial heart|heart|horse penis|prostitute|stripper"/>
        <s v="actress|bodyguard|new york city|play|playwright"/>
        <s v="biblical|book of esther|esther|persia|treachery"/>
        <s v="american|french|saigon|vietnam|vietnamese"/>
        <s v="corndog|failure|funeral in the rain|new york city|weatherman"/>
        <s v="boxing|fight|heavyweight champion|iceman|prison"/>
        <s v="bouquet of roses|bright light|cardiopulmonary resuscitation|ghost|white rose"/>
        <s v="2000s|detective|sadist|terrorism|terrorist"/>
        <s v="blood|boy|night|school|vampire"/>
        <s v="1990s|dagger|japan|mousetrap|stick fight"/>
        <s v="friend|power plant|sabotage|store clerk|video store"/>
        <s v="anti semitism|breasts|chamberlain|friend|theatre"/>
        <s v="betrayal|corrupt cop|heist|murder of a police officer|police detective"/>
        <s v="marriage|novelist|panties pulled down|writer's block|writing"/>
        <s v="architect|award|farce|love|misunderstanding"/>
        <s v="chef|gay kiss|michelin star|restaurant|violent behavior"/>
        <s v="con|convict|escape|police|priest"/>
        <s v="engagement|grandfather|liberal|maid|song"/>
        <s v="blood|death|gang|murder|revenge"/>
        <s v="bus trip|parental love|retirement|surprise visit|train ride"/>
        <s v="computer|good versus evil|mind control|science experiment|sequel"/>
        <s v="buddy comedy|criminal|gun smuggling|mistaken identity|salesman"/>
        <s v="comic violence|hand to hand combat|kung fu|talking to self in mirror|violence"/>
        <s v="box office flop|drag queen|gender disguise|mafia|witness"/>
        <s v="charity|dancer|foreign language adaptation|hope|taxi dancer"/>
        <s v="1960s|based on novel|ex boyfriend ex girlfriend relationship|southern california|voice over narration"/>
        <s v="diamond|lava|magic|mountain|sorcerer"/>
        <s v="3 dimensional|box office flop|critically bashed|dancing"/>
        <s v="arab stereotype|box office flop|documentary filmmaker|filmmaker|terrorist"/>
        <s v="arms dealer|battle|bomb|machete|missile"/>
        <s v="at work|rat|revenge|vermin|work"/>
        <s v="bigfoot|critically bashed|ecuador|friend|tv show"/>
        <s v="19th century|exhibition|gilbert and sullivan|gilbert and sullivan's princess ida|japanese"/>
        <s v="carl jung|patient|psychoanalysis|russian|sigmund freud"/>
        <s v="detective|drugs|substance d|undercover|undercover cop"/>
        <s v="box office flop|no opening credits|surfing|two word title|year 1987"/>
        <s v="artifact|creature|darkness|demon|museum"/>
        <s v="battle of the bands|high school|rock 'n' roll|school|teenager"/>
        <s v="birthday|boy|dead husband|death|widow"/>
        <s v="american dream|immigrant|new york city|oil|violence"/>
        <s v="battle|canadian armed forces|canadian soldier|directed by star|veteran"/>
        <s v="flash of genius|genius|intellectual property|professor|university"/>
        <s v="1960s|actor|horseback riding|reporter|riding the rails"/>
        <s v="driving a car down stairs|duct tape gag|held captive|murder of a police officer|sailing"/>
        <s v="con man|eccentric|heiress|love|revenge"/>
        <s v="actress|director|play|theatre director|warehouse"/>
        <s v="anime|cult film|forest|princess|studio ghibli"/>
        <s v="actress|bordeaux|german|heavy water|nazi"/>
        <s v="male frontal nudity|male full frontal nudity|male nudity|male rear nudity|new york city"/>
        <s v="aborigine|foreboding|gang|hideout|outlaw"/>
        <s v="coach|football|football movie|football team|high school sweethearts"/>
        <s v="female protagonist|hip hop|jewish american princess|rapper|record label"/>
        <s v="cleric|dystopia|fascist|law|neo noir"/>
        <s v="british|communist|journalist|nurse|orphan"/>
        <s v="best friend|corruption|fall to death|female nudity|friend"/>
        <s v="balloon|birthday|box office flop|critically bashed"/>
        <s v="cheating wife|cigarette smoking|male in shower|male nudity|male rear nudity"/>
        <s v="19th century|ball|boy|inventor|steam"/>
        <s v="1950s|brazil|soccer|soccer movie|world cup"/>
        <s v="family business|friend|murder|new york city|trial"/>
        <s v="easter island|location in title|statue|topless female nudity|two word title"/>
        <s v="father son relationship|miracle|school|ufo|written and directed by cast member"/>
        <s v="jewel|knight|magical potion|sequel|time travel comedy"/>
        <s v="close up of eyes|monster|quirkiness|supernatural|vomiting"/>
        <s v="actor|client|new york|protection|scandal"/>
        <s v="banishment|sorcery|spirit|staff|storm at sea"/>
        <s v="inspired by true events|memory|minnesota|police|year 1990"/>
        <s v="lesbian|paris france|period piece|poem|poetess"/>
        <s v="art of war|china|civil war|female warrior|musician"/>
        <s v="daughter|gun|nanny|sociopath|suburb"/>
        <s v="bird|city name in title|falcon|one word title|place name in title"/>
        <s v="ramanujan"/>
        <s v="dwegons"/>
        <s v="boxer|boxing|three word title"/>
        <s v="cigarette lighter|death|fire|on the run|terrorist"/>
        <s v="anchorage alaska|based on true story|pole dancer|serial killer|strip club"/>
        <s v="china|cholera|epidemic|love|marriage"/>
        <s v="bonn germany|failed kidnapping|handcuffs|projectile|terrorist"/>
        <s v="friendship|frontier|honor|outpost|soldier"/>
        <s v="boob job|breast enlargement|breast surgery|cheating on a test|ejaculation"/>
        <s v="detective|love|single|suspect|title from song"/>
        <s v="cinderella story|correspondence|evil step mother|female protagonist|teenage girl"/>
        <s v="mask|mystery killer|slasher|teenage girl|telephone"/>
        <s v="collector|ghost|ghost hunter|glass house|machine"/>
        <s v="breaking down a door|haunted hotel|identical twins|labyrinth|twin sisters"/>
        <s v="clock tower|delorean|future|time travel|time travel comedy"/>
        <s v="billionaire|corpse|eccentric|haunted hospital|haunted house"/>
        <s v="aunt|immigrant|looting|love|nightclub singer"/>
        <s v="artificial insemination|best friend|new york city|sperm|sperm donor"/>
        <s v="fall|honeymoon|love|marriage|newlywed"/>
        <s v="betrayal|debauchery|lust|palace|saddam hussein"/>
        <s v="lifestyle"/>
        <s v="locomotive|magic|mountain|railroad|steam locomotive"/>
        <s v="deputy|iowa|rural setting|sheriff|survival"/>
        <s v="anime|bathhouse|pig|spirit|work"/>
        <s v="die hard scenario|gunfight|hong kong police|police escort attacked|shootout"/>
        <s v="lieutenant|lifeboat|mutiny|sailing ship|ship"/>
        <s v="basement|book|girl|library|track"/>
        <s v="amish|friend|friendship|high school|virgin"/>
        <s v="ireland|irish|journey|tradition|travel"/>
        <s v="2nd century|emperor|european history|loosely based on historical events|roman empire"/>
        <s v="friend|night|party|sex scene|sister"/>
        <s v="children|inner city|parent|school|teacher"/>
        <s v="christmas|lifting female in air|lifting male in air|lifting someone into the air|little girl"/>
        <s v="1930s|election|female frontal nudity|kansas city|politician"/>
        <s v="ghost|haunted house|murder|nightmare|priest"/>
        <s v="book|orchid|screenwriter|thief|twin"/>
        <s v="apocalypse|mercenary|skyscraper|urban setting|zombie apocalypse"/>
        <s v="american dream|convertible|drugs|journalist|lawyer"/>
        <s v="genetics|heaven|lie|screenwriter|truth"/>
        <s v="broken leg|friendship|jewish|topless female nudity|urination"/>
        <s v="bank|bank clerk|gangster|loki|mask"/>
        <s v="friend|job|new york city|toy|wish"/>
        <s v="california|city|kazakhstan|travel|tv reporter"/>
        <s v="blonde|harvard|law|law school|sorority"/>
        <s v="dying planet|planet|regaining one's memory|sacrifice|stabbed to death"/>
        <s v="death|demonic possession|exorcism|lawyer|priest"/>
        <s v="aquarium|fish|fish tank|gigolo|norwegian"/>
        <s v="bible quote|chaos|faith|riot|shrine"/>
        <s v="christmas|cruelty|ring|secret|tension"/>
        <s v="barbecue|barbershop|blaxploitation|marriage|politics"/>
        <s v="bartender|christmas|christmas eve|department store|drink"/>
        <s v="cartoon on tv|reference to frankenstein|reference to jimi hendrix|scene during end credits|surrealism"/>
        <s v="family restaurant|greek|remarriage|suburb|wedding"/>
        <s v="brother|middle school|no opening credits|photograph|school"/>
        <s v="box office hit|commando|death of friend|jungle|severed arm"/>
        <s v="1800s|classical composer|composer|first person narration|opera"/>
        <s v="friend|hotel|killer|murder|prom"/>
        <s v="bully|clique|high school|high school girl|secret"/>
        <s v="author|book|vacation|villa|writer"/>
        <s v="country house|murder|producer|servant|shooting party"/>
        <s v="california|lawyer|love|orange county california|wealth"/>
        <s v="alternate history|alternate timeline|divorce|high school|reunion"/>
        <s v="actor|artist|broadway play|replacement|stage"/>
        <s v="congenital liar|mental breakdown|self deception|snob|talking to oneself"/>
        <s v="flight|passenger|plane|september 11 2001|terrorist"/>
        <s v="choreographer|dance|dancer|dancing|hip hop"/>
        <s v="1990s|dentist|hit with a door|martial arts|museum"/>
        <s v="california|fog|leper|lighthouse|ship"/>
        <s v="christian|christian film|shark|surfer|surfing"/>
        <s v="catch 22|friend|insanity|kneed in the groin|military"/>
        <s v="male pubic hair|mall|police detective|pubic hair|security guard"/>
        <s v="gods|princess|queen|rescue|wizard"/>
        <s v="boxing|domestic violence|hot temper|jealousy|rage"/>
        <s v="florist|motivational speaker|self help guru|seminar|widower"/>
        <s v="cult|death|delusion|girl|sherlock holmes"/>
        <s v="new york|performing arts|school|student|teacher"/>
        <s v="alone|aron ralston|based on autobiography|canyon|survival"/>
        <s v="apartment building|crook|new york city|three word title|written and directed by cast member"/>
        <s v="ballet|dance|dancer|dancing|love"/>
        <s v="christmas|family dinner|husband wife conflict|husband wife kiss|large family"/>
        <s v="caper|computer genius|dog|heist|security chief"/>
        <s v="cancer|construction|house|house construction|neighbor"/>
        <s v="apple computer|box office flop|computer|dialogue driven|father daughter relationship"/>
        <s v="cheerleader|party|popular girl|speech|valedictorian"/>
        <s v="alter ego|boarding school|love|masturbation|teen movie"/>
        <s v="ambush|hero|masked hero|outlaw|texas ranger"/>
        <s v="canal|panama|president|spy|tailor"/>
        <s v="conspiracy|political conspiracy|recording|sound|truth"/>
        <s v="die hard scenario|earth viewed from space|race against time|race car driver|title at the end"/>
        <s v="ice|ice storm|storm|thanksgiving|virgin"/>
        <s v="four word title|grandparent grandchild relationship|reference to facebook|reference to the internet|singer"/>
        <s v="beverly hills hotel|divorce|girl|troop|wilderness"/>
        <s v="diva|marriage|open marriage|revenge|social climber"/>
        <s v="blindfolded woman|control|male dominance|sex game|sex in public"/>
        <s v="apprentice|dragon|king|kingdom|wizard"/>
        <s v="countess|leo tolstoy|russian|wealth|writing"/>
        <s v="1950s|director|friend|friendship|transvestism"/>
        <s v="baseball|baseball practice|escaped convict|neighbor|tied to a chair"/>
        <s v="epic|genghis khan|one word title|slave|starving"/>
        <s v="accountant|finger gun|homosexual|killed in an elevator|painting"/>
        <s v="dictator|electronic music score|one word title|secret headquarters|soldier"/>
        <s v="classic literature|denmark|funeral|madness|prince"/>
        <s v="ballet|beijing|dancer|love|village"/>
        <s v="cult|father son relationship|gas station|on the run|supernatural ability"/>
        <s v="love at first sight|new york city|sex|teacher|writer"/>
        <s v="japanese soldier|physical torture|pow camp|prisoner of war|reference to adolf hitler"/>
        <s v="hyperthymesia|new york city|police"/>
        <s v="children|doctor|mysterious event|pastor|small village"/>
        <s v="arizona|death|gang|police|sheriff"/>
        <s v="male in shower|murder|neighbor neighbor relationship|remote control car|sex scene"/>
        <s v="headbanger|metallica|roadie|song in title|standing on the roof of a car"/>
        <s v="breasts|female nudity|male pubic hair|pubic hair|sex scene"/>
        <s v="opec|pubic hair|revolutionary|terrorism|true crime"/>
        <s v="gangster|hong kong|missing person|missing son|serial killer"/>
        <s v="american|battalion|catholic|mexican|sergeant"/>
        <s v="bunker|experiment|military|research|scientist"/>
        <s v="conspiracy|female scientist|mugging|police detective|tattoo"/>
        <s v="future|kidnapping|missing file|paris france|year 2054"/>
        <s v="cult film|psychotronic|sword and sorcery|talisman|warrior"/>
        <s v="fraud|physicist|psychic|skeptic|tailing"/>
        <s v="black comedy|bromance|party|school|teen comedy"/>
        <s v="adaptation directed by original author|cross dressing|madea series|remake|sequel"/>
        <s v="bar|female nudity|murder|small town|werewolf"/>
        <s v="audition|dance|kissing in the rain|student|subway"/>
        <s v="animal|axe|red riding hood|wolf|woodsman"/>
        <s v="atrocity|central africa|ethnic warfare|united nations peace keeping force|united nations soldier"/>
        <s v="hitman|impersonation|see through dress|topless female nudity|woman on top"/>
        <s v="based on stage musical|based on the bible|christmas|color in title|nativity"/>
        <s v="assassin|fight|mechanic|rescue|rival"/>
        <s v="bag over head|buddhist temple|loss of friend|male bonding|nightclub"/>
        <s v="curtain|haunting|mansion|mute|xeroderma pigmentosum"/>
        <s v="alien|human versus alien|monster|rescue mission|space marine"/>
        <s v="colonel|flower girl|professor|street|wager"/>
        <s v="beach|corpse|fourth of july|overalls|revenge"/>
        <s v="friendship between men|impersonating a police officer|mobster|party|police officer"/>
        <s v="actor|california|teacher|wine|writer"/>
        <s v="beer|competition|germany|oktoberfest|prostitute"/>
        <s v="halloween|masked killer|michael myers|slasher|trick or treat"/>
        <s v="dog|friend|neighborhood|planet|star"/>
        <s v="childbirth|christmas|gay slur|infidelity|punched in the nose"/>
        <s v="casino|fbi|mafia|mob hit|sniper"/>
        <s v="blood splatter|self help guru|sequel|support group|survivor"/>
        <s v="female on male rape|lent|male rear nudity|masturbation|sex"/>
        <s v="1990s|bar|car accident|nightclub|whipped cream"/>
        <s v="love|maid|newscaster|student|tutor"/>
        <s v="desert|horror movie remake|murder of family|rape|slasher"/>
        <s v="dental braces|dental headgear|former child star|panties|white panties"/>
        <s v="coach|high school|place name in title|school|student"/>
        <s v="block party|eurocopter ec120 colibri|fortune cookie|lottery ticket|reverend"/>
        <s v="high school|rollerskating rink|spelman college|twin|voice over narration"/>
        <s v="a cappella|competition|dj|female protagonist|lesbian"/>
        <s v="baseball|baseball player|night|rivalry|summer"/>
        <s v="bag of money|found money|minnesota|screenplay adapted by author|snow"/>
        <s v="darkness|friend|kiss|nightmare|suicide"/>
        <s v="diner|food poisoning|health inspector|restaurant|undercover"/>
        <s v="based on tv series|blanket|box office flop|rescue|sesame street"/>
        <s v="catholic|corrupt cop|new york city|police detective|police officer killed"/>
        <s v="ambassador|boxer rebellion|china|colonialism|peking china"/>
        <s v="book of the dead|demon|h.p. lovecraft|lesbian kiss|promise"/>
        <s v="greece|greek|tour bus|tour guide|tourist"/>
        <s v="chief of staff|contest|president|singing|terrorist"/>
        <s v="box office flop|dc comics|hair|nuclear disarmament|superman"/>
        <s v="dance|dance contest|loss of sister|step dancing|teenager"/>
        <s v="adult child friendship|corrupt cop|fistfight|gangster|thug"/>
        <s v="colon in title|competition|five word title|golf|temper"/>
        <s v="china|missionary|opium|villain|year 1937"/>
        <s v="duchess|illusionist|magician|prince|supernatural power"/>
        <s v="chase|dead man|jungle|killing a lion|killing a tiger"/>
        <s v="criminal|drug lord|gunshot|irish|journalist"/>
        <s v="colombia|dream|love|surfer|village"/>
        <s v="amnesia|boxer|conspiracy|police|porn star"/>
        <s v="cgi film|computer animation|dragon|hunter"/>
        <s v="cockroach|desert|ghost town|giant spider|travel"/>
        <s v="e mail|evil spirit|experiment|fear|supernatural"/>
        <s v="best friend|funeral|girl|overalls|summer"/>
        <s v="character name in title|diane arbus|male full frontal nudity|photographer|pubic hair"/>
        <s v="1980s|argument|critique of capitalism|f word|fired from the job"/>
        <s v="1810s|female protagonist|horseback riding|inheritance|three word title"/>
        <s v="country estate|jane austen|lady|love|writing"/>
        <s v="college|college girl|female protagonist|sorority|sorority house"/>
        <s v="auction|home|house|iranian|marriage"/>
        <s v="education|english teacher|poet|professor|student"/>
        <s v="briefcase full of money|character repeating someone else's dialogue|character says i love you|friendship|reference to cinderella"/>
        <s v="friendship|love|male female friendship|new york|sex"/>
        <s v="archdiocese|court|hospital|lawyer|malpractice"/>
        <s v="blonde|college|friend|highway travel|road trip"/>
        <s v="coach|coyote|popularity|quarterback|texas"/>
        <s v="1920s|jack russell terrier|modern silent movie|movie star|movie studio"/>
        <s v="babysitting|experiment|nightmare|possession|twin"/>
        <s v="1960s|boy scouts|boy scouts camp|coming of age|young love"/>
        <s v="cannibal|car accident|leatherface|psychopath|slaughterhouse"/>
        <s v="disguise|mask|master of disguise|restaurant|waiter"/>
        <s v="fairy|fairy tale|faun|princess|spain"/>
        <s v="boy|fbi|mailman|van|witness protection"/>
        <s v="cartoon on tv|family relationships|physical abuse|single parent|two word title"/>
        <s v="animal abuse(non graphic)|cat killer|college|dead cat|death of cat"/>
        <s v="first part|grand canyon|highway travel|indian|janitor"/>
        <s v="boat|hong kong|murder|tunnel|twins"/>
        <s v="accident|conspiracy|police|police officer|village"/>
        <s v="beauty salon|divorce|fashion|new york|perfume"/>
        <s v="art|artist|painter|sex|summer"/>
        <s v="first part|holy land|knight templar|monastery|sword and shield"/>
        <s v="best friend|break up|friendship|graduation|male in underwear"/>
        <s v="california|foster home|love|oleander|prison"/>
        <s v="cannibalism|cheerleader|condom|hook for hand|satanic ritual"/>
        <s v="crying woman|plot|suspect|waitress|younger man older woman relationship"/>
        <s v="beach|cigarette girl|radio|woman holding a baby|working class"/>
        <s v="binge drinking|new york|new york city|september 11 2001|suicide"/>
        <s v="best friend|high school|mother|sister|wedding"/>
        <s v="alien|earth|female alien|mission|secret"/>
        <s v="aids|city name in title|gay|homophobia|lawyer"/>
        <s v="amnesia|barricade|letter|time|virtual reality"/>
        <s v="flatulence|interracial marriage|marriage"/>
        <s v="asteroid|meteor|nasa|nuclear weapon|satellite"/>
        <s v="convict|karaoke|middle america|salesman|singer"/>
        <s v="blind|director|psychosomatic blindness|self deprecating|studio"/>
        <s v="band|concert|high school|kiss|teenager"/>
        <s v="combat|head cut off|immortal|scotland|swordsman"/>
        <s v="best friend|dinner|garage|narcotics anonymous|recovery"/>
        <s v="fight|gang|junkyard|military|soldier"/>
        <s v="immigrant|immigration|magician|money|prostitution"/>
        <s v="countess|diplomat|japanese|russian|shanghai"/>
        <s v="amnesia|criminal|heist|hypnotherapy|lost painting"/>
        <s v="airline|airplane|bathroom|sex|toilet"/>
        <s v="alcohol|alcoholic drink|drunken man|france|provence"/>
        <s v="censorship|children|corpse|heil hitler|suffering"/>
        <s v="drug deal|drugs|explicit sex|love|stripper"/>
        <s v="murder|new york city|one word title|vampire|vampire slayer"/>
        <s v="dog|human animal relationship|japanese|loyalty|waiting"/>
        <s v="apartheid|corpse|male nudity|murder|police officer"/>
        <s v="abusive marriage|pastor|prison wagon|roast pig|suicide by hanging"/>
        <s v="basketball|dodge viper|hit in the crotch|male nudity|the star spangled banner"/>
        <s v="mafia|mob|norway|steve|van"/>
        <s v="armenian|armenian genocide|customs agent|genocide|prayer"/>
        <s v="boat racing|hydroplane|loyalty|one word title|scolding"/>
        <s v="district attorney|interview|murder|prosecutor|reporter"/>
        <s v="french|inheritance|japan|letter|police detective hero"/>
        <s v="alien|b movie|sex|slug|small town"/>
        <s v="drug dealer|drugs|murder|police brutality|police shootout"/>
        <s v="airport|child protagonist|child swearing|christmas|home alone"/>
        <s v="1980s|baby|heroin|package|questioned by police"/>
        <s v="actor|actress|friend|love|reputation"/>
        <s v="flying|gay subtext|machismo|male objectification|pilot"/>
        <s v="bare midriff|china|magical realism|martial arts|sword"/>
        <s v="domestic violence|drug dealer|homosexuality|midlife crisis|unfaithfulness"/>
        <s v="king|king george vi|speech|speech therapist|throne"/>
        <s v="bare chested male|brother|catholic orphanage|long lost siblings|twins"/>
        <s v="generation y|millennial generation|murder|teenage girl|throat slitting"/>
        <s v="louisiana|overalls|road trip|southern u.s.|teenage boy"/>
        <s v="book strap|girl|racial discrimination|racial tension|stereotype"/>
        <s v="korea|lifeguard|single father|tears|tsunami"/>
        <s v="chariot race|epic|false accusation|jerusalem|slave"/>
        <s v="crossword puzzle|cryptography|enigma code|gay lead character|world war two"/>
        <s v="camera shot of feet|female stockinged feet|loss of husband|pantyhose|suntan pantyhose"/>
        <s v="country music|kissing while having sex|poverty|singer|title based on song"/>
        <s v="cheese|diary|friend|middle school|school"/>
        <s v="aunt|children|death of sister|forest|hiding in a closet"/>
        <s v="amusement park|dog|family vacation|national lampoon series|vacation"/>
        <s v="child beauty pageant|grandson|hidden camera|jackass|road trip"/>
        <s v="monarchy|prime minister|princess diana|queen|speech"/>
        <s v="attic|ghost|surrealism|teenage girl|yuppie"/>
        <s v="marriage|overweight|psychologist|secret|work"/>
        <s v="civil war|female protagonist|post civil war|reference to friedrich schiller|u.s. civil war"/>
        <s v="afterlife|baby boy|bird in a cage|ghost|reunited family"/>
        <s v="babysitting|cell phone|high school|nightmare|teenager"/>
        <s v="brunette|film producer|liar|prank|stunt"/>
        <s v="escape|friend|party|pittsburgh steelers|vietnam"/>
        <s v="death|election|hollywood|president|scandal"/>
        <s v="best friend|roma|singer|spaghetti|teenager"/>
        <s v="cigarette smoking|dea|drugs|inspired by true events|undercover"/>
        <s v="christmas|german|holiday|krampus|santa claus"/>
        <s v="alien|high school|ohio|photographer|water"/>
        <s v="abusive husband|love|singer|tina turner|violence"/>
        <s v="corruption|faked death|falling off a roof|internal affairs|nypd"/>
        <s v="cheerleader|foreign exchange student|incestuous desire|incestuous kiss|prom"/>
        <s v="lapd|police|police officer|south central los angeles|street gang"/>
        <s v="college|friend|ivy league|secret society|suicide"/>
        <s v="based on memoir|cambridge university|husband wife relationship|lou gehrig's disease|physicist"/>
        <s v="los angeles california|person in car trunk|racial impersonation|south asian|street gang"/>
        <s v="birth|oklahoma|photographer|tennessee|wal mart"/>
        <s v="arab|british military|desert|ottoman empire|t.e. lawrence"/>
        <s v="halloween|hospital|michael myers|rampage|vomiting"/>
        <s v="female protagonist|grief|hiking|loss of mother|mother daughter relationship"/>
        <s v="kidnapping|lake|microwave oven|psychopath|woods"/>
        <s v="chick flick|escort|male escort|wedding|wedding date"/>
        <s v="cult film|halloween|killer|michael myers|serial killer"/>
        <s v="fairy tale|giant|pirate|princess|true love"/>
        <s v="college|debate|student|texas|wiley college"/>
        <s v="kissing in an elevator|mythical hero|neo noir|protective male|silent protagonist"/>
        <s v="band|friend|new york city|suburb|teenager"/>
        <s v="baby|dancing|gay|name calling|penis slur"/>
        <s v="paris france|rage|sniper|u.s. army|zombie apocalypse"/>
        <s v="coach|high school football"/>
        <s v="10 year old|dog|florida|girl|supermarket"/>
        <s v="basketball movie|female basketball player|high school|nba|title directed by female"/>
        <s v="assassin|high school|high school reunion|reunion|suburb"/>
        <s v="blind date|crossword puzzle|eccentric|fall|mine shaft"/>
        <s v="convenience store|digit in title|punctuation in title|violence|witch"/>
        <s v="coven|occult|outcast|spell|witch"/>
        <s v="extramarital affair|infidelity|irony of fate|surprise ending|tennis"/>
        <s v="aunt|cat|death of pet|girl|no opening credits"/>
        <s v="butler|housekeeper|manor|servant|service"/>
        <s v="1970s|adult entertainment industry|nightclub|porn industry|san fernando valley california"/>
        <s v="business|escaped convict|farm|motorcycle|widow"/>
        <s v="father son relationship|horse|horse ranch|ranch|wild mustang"/>
        <s v="desert|fight|hill|murder|mutant"/>
        <s v="film set|movie set|sequel|slow motion|urban legend"/>
        <s v="fountain of youth|immortality|secret|woods|young man"/>
        <s v="beating|marine|muscleman|tied up|tough guy"/>
        <s v="car chase|gangsta|gun fight|hitman|kitten"/>
        <s v="country music|panties|pink panties|relapse|songwriter"/>
        <s v="blue ribbon|high school|jacket|jock|yogurt"/>
        <s v="bank|carnival|motorcycle|police|rookie cop"/>
        <s v="critically bashed|premarital sex|sex scene|sex standing up|stripper"/>
        <s v="chicago illinois|false identity|femme fatale|new york city|spying"/>
        <s v="army|bomb|dangerous job|death|iraq"/>
        <s v="captain|experiment|fire|psychic|secret government agency"/>
        <s v="exploding car|hit by a car|poker game|punched in the face|shot to death"/>
        <s v="intelligence|intelligence agency|secret service|surveillance camera|war on terror"/>
        <s v="animator|bamboo cane|cartoonist|sausage|slacker"/>
        <s v="17th century|king|pirate|vegetable|waiter"/>
        <s v="3d in title|digit in title|rock band|rocker|u2"/>
        <s v="battle|explosion|immortal|revenge|sequel to cult film"/>
        <s v="gangster|playing piano|song and dance|speakeasy|written and directed by cast member"/>
        <s v="23 year time span|accidental death|best friend|loss of loved one|male female friendship"/>
        <s v="beauty pageant|friend|pageant|roller derby|texas"/>
        <s v="mob|mobster|money|montana|sheriff"/>
        <s v="con|grifter|lap dance|organized crime|shot in the forehead"/>
        <s v="directed by star|muse|satire|screenwriter|tiffany's"/>
        <s v="cole porter|composer|love|party|tears"/>
        <s v="12 year old|artist|hotel|three word title|written and directed by cast member"/>
        <s v="apostrophe in title|critically bashed|hit on the head with a ball|punctuation in title|tyrannosaurus rex"/>
        <s v="blacksmith|box office flop|chop socky|critically bashed|village"/>
        <s v="baby|infidelity|pilot|pregnant|waitress"/>
        <s v="diner|love|private school|school|small town"/>
        <s v="black comedy|bureaucracy|dream|terrorist|wrongful arrest"/>
        <s v="music school|scholarship|small town|stage fright|three word title"/>
        <s v="psychic|psychic power|psychometry|spin off|supernatural power"/>
        <s v="death|drug|nihilism|rug|white russian"/>
        <s v="breasts|nipples visible through clothing|nudity|rear entry sex|white panties"/>
        <s v="corrupt|criminal|investigation|lapd|police"/>
        <s v="fbi|journalist|missing|pakistan|reporter"/>
        <s v="male objectification|manipulative behavior|modern day adaptation|narcissistic woman|promiscuous woman"/>
        <s v="gay|hot air balloon|rejecting a marriage proposal|talking to a dog|vomiting on someone"/>
        <s v="comedy of manners|false identity|farce|love|period drama"/>
        <s v="antique|desk|letter|love|time travel"/>
        <s v="fight|florida|montana|owl|school"/>
        <s v="bruges|bullet|hope|irish|tourist"/>
        <s v="african american"/>
        <s v="20 years later|drummer|hdtv|rock band|rock star"/>
        <s v="graduation|graduation speech|title directed by female|tv studio|unemployment"/>
        <s v="corporate greed|corporation|natural gas|salesman|small town"/>
        <s v="atheist|limp|quantum mechanics|religion|runaway"/>
        <s v="clique|country club|female protagonist|lip gloss|title directed by female"/>
        <s v="cemetery|friend|journey|mexico|promise"/>
        <s v="german|ghetto|hope|nazi|radio"/>
        <s v="actor|detective sergeant|hotel|nightclub|thief"/>
        <s v="breasts|female frontal nudity|nude woman murdered|slow motion scene|trailer home"/>
        <s v="amnesia|car accident|female protagonist|lesbian sex|loss of memory"/>
        <s v="colorado|love|murder|rocky mountains|werewolf"/>
        <s v="call girl|charlatan|fortune teller|manuscript|writer"/>
        <s v="boarding school|childhood|love|love triangle|organ donation"/>
        <s v="cia|mole|revolution|spy|ussr"/>
        <s v="35 mm digital camera|drugs|murder|train|travel"/>
        <s v="cave bear|cro magnon|neanderthal|survival|tradition"/>
        <s v="abusive husband|alabama|boy|dream|sheriff"/>
        <s v="breaking the fourth wall|looking at the camera|remake|serial killer|violence"/>
        <s v="divorce papers|fainting|mind control|playground|technology"/>
        <s v="caterer|catering|chef|friend|lawn mower"/>
        <s v="art deco|bible quote|dance|silent film|worker"/>
        <s v="bomb|gang|police|sister|undercover cop"/>
        <s v="death|finger gun|video message|what happened to epilogue|wheelchair"/>
        <s v="black magic|china|love|refusal to kill|wuxia"/>
        <s v="berlin wall|germany|murder|soldier|specialist"/>
        <s v="boy|photograph|return|russian|wilderness"/>
        <s v="cult film|elephant|jungle|martial arts|stylized violence"/>
        <s v="mushroom|mute|roman soldier|screaming|wood carving"/>
        <s v="assassin|die hard scenario|rangefinder|soldier|veteran"/>
        <s v="butcher|girlfriend|mute character|photographer|subway"/>
        <s v="character name in title|nelson mandela|one word title|reference to winnie mandela|south africa"/>
        <s v="housing project|letter|man with glasses|murder|subjective camera"/>
        <s v="apostrophe in title|behind enemy lines|box office flop|gay interest|punctuation in title"/>
        <s v="commercial|dream|dreaming|girl|new york city"/>
        <s v="bathory|countess|female protagonist|legend|virgin blood"/>
        <s v="herd|ostrich|waterhole|wildebeest|zebra"/>
        <s v="child hitman|dystopia|future|robot|self repair"/>
        <s v="combat|helmet|martial arts|medieval times|violence"/>
        <s v="chinese|gang|gratitude|immigrant|japan"/>
        <s v="betrayal|french revolution|friendship|poet|revolution"/>
        <s v="cult film|existentialism|groundhog day|time loop|trapped in a time loop"/>
        <s v="male bonding|male friendship|male objectification|muscular|stripper"/>
        <s v="hawaiian shirt|love|shakespeare adaptation|shakespeare play|star crossed lovers"/>
        <s v="apartment|escape|jewish family|journalist|key"/>
        <s v="19th century|christian film|hymn|religion|slave"/>
        <s v="englishman|leaving flowers on a grave|one last job|reputation|visiting wife's grave"/>
        <s v="cotton|female frontal nudity|flogging|gangster|slavery"/>
        <s v="cheating|falling from height|murder|non professional cast|slum"/>
        <s v="borderline personality disorder|killing a pet|madame butterfly|new york|new york city"/>
        <s v="businessman|falling in love with a prostitute|hotel|prostitute|rich man poor woman"/>
        <s v="australia|australian|crime boss|crocodile|gangster"/>
        <s v="desert|drunkenness|religious mother|strict mother|vietnam war"/>
        <s v="bobsled|coach|jamaica|olympic games|olympics"/>
        <s v="coma|death|miner|valentine|valentine's day"/>
        <s v="atlanta georgia|competition|dancer|death|fraternity"/>
        <s v="1970s|cult film|official james bond series|submarine|world war three"/>
        <s v="ghost|paranormal|paranormal research|shaky cam"/>
        <s v="campus|death|friend|professor|urban legend"/>
        <s v="businessman|fight|mean brother|narrated by character|wordplay in title"/>
        <s v="alaska|dog|friendship|gold|yukon"/>
        <s v="dancing|orphan|school|special education|student"/>
        <s v="british prime minister|female prime minister|politics|prime minister|told in flashback"/>
        <s v="anthropomorphism|pirate|pirate ship|tomato|whale"/>
        <s v="african american|mail carrier|poetry|postal worker|south central los angeles"/>
        <s v="black comedy|bounty hunter|diamond|machismo|money"/>
        <s v="blood|destiny|nightmare|partner|vampire"/>
        <s v="demon|exorcism|locust|priest|repressed memory"/>
        <s v="flashback|lifting someone into the air|paranormal phenomena|voice over letter|year 1818"/>
        <s v="boss' daughter|crush|house sitter|housesitting|love interest"/>
        <s v="cliff|hawaii|island|newlywed|waterfall"/>
        <s v="california|love|marriage|wedding|wedding dress"/>
        <s v="college|college roommate|party|roommate|student"/>
        <s v="ambassador|american|art|english|italy"/>
        <s v="death|doctor|gypsy|judge|lawyer"/>
        <s v="love|musician|saxophonist|singer|songwriter"/>
        <s v="argument|birthday|bully|coming of age|semi autobiographical"/>
        <s v="banker|investment|investment banker|marriage|sex"/>
        <s v="jason voorhees|lake|machete|scientist|slasher"/>
        <s v="campaign|chess|friend|hotel|senator"/>
        <s v="apartment|fast motion scene|model|private investigation|suspected murder"/>
        <s v="adult humor|best friend|friend|halloween|teenage girl"/>
        <s v="arc de triomphe paris|based on autobiography|coma|elle magazine|male frontal nudity"/>
        <s v="adulterous wife|bar|dysfunctional marriage|sex offender|suburb"/>
        <s v="college|college campus|gossip|rape|sex"/>
        <s v="adulterous wife|cheating wife|summer|unfaithfulness|woodstock"/>
        <s v="attack|coach|colonel|jail|oil refinery"/>
        <s v="car accident|college|ghost|girl in panties|white panties"/>
        <s v="18th century|ambassador|french revolution|friendship|thomas jefferson"/>
        <s v="estate|female frontal nudity|female nudity|no panties|unhappy marriage"/>
        <s v="afghanistan|caravan|rebel|russian|tribe"/>
        <s v="prism|rented room|scrofula|sketching|sunrise"/>
        <s v="dentist|letter|pilot|skateboard|wallet"/>
        <s v="jesuit|jew|pope|priest|ss"/>
        <s v="martial arts|sword fight|wuxia"/>
        <s v="college tuition|guitar|road trip|soldier|stranded"/>
        <s v="accident|bus|loss of virginity|new york city|virginity"/>
        <s v="dollar bill|double entendre|escaped convict|halloween|striptease"/>
        <s v="apology|falling in love|multiple perspectives|narrated by a girl|younger version of character"/>
        <s v="gay relationship|homosexuality|mountain|ranch|rodeo"/>
        <s v="female protagonist|high school|makeover|matchmaker|popularity"/>
        <s v="african american|catastrophe|family relationships|farewell scene|therapy"/>
        <s v="acid trip|gameshow|hot tub|time lord|time machine"/>
        <s v="meaning of life|moral challenge|morality|search for meaning|ten commandments"/>
        <s v="asylum|lust|male pubic hair|penis|pubic hair"/>
        <s v="dognapping|gangster|misfiring gun|screenwriter|shih tzu"/>
        <s v="chrysler building manhattan new york city|delusion|manhattan new york city|new york city|title directed by female"/>
        <s v="bunker|hitler|nazi|no exit|war ruins"/>
        <s v="dignity|euthanasia|freedom|lawyer|sailor"/>
        <s v="alien|desire|female nudity|male frontal nudity|scotland"/>
        <s v="disc jockey|friendship|radio|vietnam|vietnamese"/>
        <s v="mafia|mafia boss|mafiosi|mafioso|three word title"/>
        <s v="boyhood friend|manager|plasma tv|prodigy|star"/>
        <s v="ballerina|ballet|fear|female protagonist|madness"/>
        <s v="1950s|corrupt politician|lake tahoe nevada|melancholy|revenge"/>
        <s v="dance|dancing|ghetto|hip hop|imperative in title"/>
        <s v="demon|dream|elm street|freddy krueger|nightmare"/>
        <s v="child cancer|christian film|christianity|falling into a hole|inspiring"/>
        <s v="bare chested male|gay kiss|homoeroticism|lesbian kiss|transsexual"/>
        <s v="army|cattle|deputy|new mexico|rancher"/>
        <s v="bullying|grumpy old man|school presentation|stroke|stroke recovery"/>
        <s v="bedroom|boyfriend girlfriend relationship|hug|interrupted sex|urban setting"/>
        <s v="dating|protective father|school|shrew|teen movie"/>
        <s v="cheerleader|geek|high school|prison|reference to janet jackson"/>
        <s v="cookie|detective|microfilm|parody|sergeant"/>
        <s v="beach|island|mexico|prey|trapped"/>
        <s v="blackout|child pornography|memory|surprise ending|time travel"/>
        <s v="meteorologist|snow|snowed in|snowplow|weather"/>
        <s v="christmas|family home|musician|piano|secret"/>
        <s v="baby|boy|science|scientist|toddler"/>
        <s v="hitman|kidnapping|kosher|vhs|video store"/>
        <s v="binoculars|child spy|notebook|secret|spy"/>
        <s v="boy|doll|foster home|killer doll|serial killer"/>
        <s v="home invasion|police officer shot|police officer shot in the chest|psychopath|three word title"/>
        <s v="desperation|fog|giant insect|survival|survival horror"/>
        <s v="artificial intelligence|robot|robot human relationship|turing test|video surveillance"/>
        <s v="body swap|magical realism|portal|puppeteer|surrealism"/>
        <s v="advice|battle of the sexes|lingerie|romantic rivalry|rule"/>
        <s v="alien|bar|construction worker|no opening credits|no title at beginning"/>
        <s v="congressman|high school|latino|pacific palisades|school"/>
        <s v="blood splatter|general|island|japan|world war two"/>
        <s v="bank|fbi|fuel|rocket|space travel"/>
        <s v="blind date|law clerk|love|manhattan new york city|world trade center manhattan new york city"/>
        <s v="based on novel|escape|imprisonment|kidnapping|mother son relationship"/>
        <s v="cult film|gambling debt|job|off screen murder|revenge"/>
        <s v="dentist|housewife|howie scream|murder|perfection"/>
        <s v="political cover up|political satire|teenage girl|white house|witness"/>
        <s v="black cop|die hard scenario|hostage negotiator|police|police brutality"/>
        <s v="angel dust the drug|disco|new york city|quaalude|reference to princess grace of monaco"/>
        <s v="cigarette smoking|hand on butt|niagara falls|plastic bubble|wedding"/>
        <s v="bank|bank clerk|birthday|mail order bride|russian"/>
        <s v="21st birthday|college student|drunken man|pubic hair|standing up to father"/>
        <s v="baby|divorce|oscar wilde|pigalle|tourist"/>
        <s v="boxing|colosseum|homeless man|reporter|writer"/>
        <s v="adoption|female protagonist|princeton university|wedding|working women"/>
        <s v="archipelago|guillotine|island|prison|redemption"/>
        <s v="bare chested boy|doctor|escort|infidelity|prostitute"/>
        <s v="bathroom|bathtub|female protagonist|flashback|kitchen"/>
        <s v="court|drugs|judge|mafia|mobster"/>
        <s v="coming of age|depression|gay|high school|mental illness"/>
        <s v="exercise bicycle|face in food|police|police brutality|policeman"/>
        <s v="blood|book|cold calculation|murder|writer"/>
        <s v="gold|gold mine|miner|railroad|surveyor"/>
        <s v="evil|injury|possession|priest|vatican"/>
        <s v="alien|alien invasion|apartment|creature|gang"/>
        <s v="bosnian war|church|emaciation|soldier|violence"/>
        <s v="911 operator|calling 911|die hard scenario|head held underwater|white villain"/>
        <s v="cia|crocodile|satellite|snake|spider"/>
        <s v="character name in title|con artist|fraud|gay|prison break"/>
        <s v="fire|prehistoric times|primitive|tribe|trio"/>
        <s v="black american|extortion|navy|psychiatrist|sailor"/>
        <s v="classroom|fund raising|headmaster|reunion|roman"/>
        <s v="aspiring actor|cocaine|drugs|pimp|suitcase full of money"/>
        <s v="clone|love|male nudity|medical ethics|virginity"/>
        <s v="office|pressure|real estate|robbery|sales"/>
        <s v="deputy|murder|revenge|sheriff|texas"/>
        <s v="cat|cat people|leopard|love|slip the undergarment"/>
        <s v="prank gone wrong|scantily clad female|shotgun|sorority house|stabbed in the neck"/>
        <s v="coronation|fictitious country|king|princess|swashbuckler"/>
        <s v="in love with an inanimate object|internet|introvert|psychologist|sex doll"/>
        <s v="boy|fence|jew|nazis|poison gas"/>
        <s v="ends with quotation|execution|factory|women's prison|year 1964"/>
        <s v="australia|church|glass|inheritance|wager"/>
        <s v="1930s|madness|murder|new york city|violence"/>
        <s v="aging|hdtv|high definition television|love|marriage"/>
        <s v="machete|mexican|mexico|priest|texas"/>
        <s v="corruption|lobbyist|murder|washington d.c.|washington d.c. lobbyist"/>
        <s v="brontosaurus|classical music|dinosaur|dinosaur feature|earthquake"/>
        <s v="1950s|archeologist|korea|korean war|soldier"/>
        <s v="baseball movie|little league|little league baseball|mexico|three word title"/>
        <s v="demonic possession|exorcism|exorcist|loss of innocence|priest"/>
        <s v="beach|blockbuster|fishing|great white shark|shark"/>
        <s v="1990s|first love|milf|prom|virginity"/>
        <s v="bear|dentist|friendship|mouse|prejudice"/>
        <s v="boy|child|chosen one|demon|detective"/>
        <s v="advice|black romance|hip hop|reading a book|sex scene"/>
        <s v="barber|barbershop|blaxploitation|loan shark|theft"/>
        <s v="jamming communications|planet|space station|taunt|trap"/>
        <s v="detective|dolphin|mascot|nudity|stupidity"/>
        <s v="computer|game|high school|norad|teenager"/>
        <s v="amish|love|murder|police|train"/>
        <s v="mission|navy seal|terrorist|torture|valor"/>
        <s v="dance|dancer|school|showcase|student"/>
        <s v="beavis and butt head|fbi|score|television|television set"/>
        <s v="arms dealer|atf|bail|money|multiple perspectives"/>
        <s v="bong|escape|ex girlfriend|guantanamo bay|texas"/>
        <s v="found footage|high school|subjective camera|teen angst|troubled teen"/>
        <s v="love|study|talmud|wedding|yeshiva"/>
        <s v="cult director|dwarf|robin hood|satire|treasure"/>
        <s v="audition|friendship|graduation|high school graduation|love"/>
        <s v="birthday party|high school|high school senior|millennial generation|party"/>
        <s v="allies|dead soldier|destiny|general|tank"/>
        <s v="insanity|photo lab|photo shop|photography|voyeur"/>
        <s v="apartment building|found footage|television|trapped|virus"/>
        <s v="cellular memory|eye|eye transplant|seeing dead people|violinist"/>
        <s v="cross country|cross country trip|highway travel|on the road|road movie"/>
        <s v="college|drugs|harvard|pot|smoke"/>
        <s v="christmas|christmas eve|miser|muppet|scrooge"/>
        <s v="art|bisexual|marriage|pain|revolutionary"/>
        <s v="female protagonist|reference to britney spears|singer|song|world tour"/>
        <s v="cancer|falling in love|friendship|novel|teenager"/>
        <s v="breasts|cult film|loan shark|poker|reference to christy turlington"/>
        <s v="bare breasts|celebrity|in medias res|reference to planet of the apes|sex talk"/>
        <s v="cabin|monster|monster movie|paper mill|pollution"/>
        <s v="disappearance|hearing voices|hypnosis|post hypnotic suggestion|seeing a ghost"/>
        <s v="female frontal nudity|female full frontal nudity|gladiator|group sex|slave girl"/>
        <s v="catholic|convent|gay love|gay relationship|irish adoption board"/>
        <s v="anger|baseball|drinking|radio|secretary"/>
        <s v="1970s|jew|nazi|nazi hunter|paraguay"/>
        <s v="beach|love|mermaid|storm|swimming"/>
        <s v="based on novel|female neighbor|friendship|travel|trip"/>
        <s v="animal costume|break up|fatherhood|rapper|talking baby"/>
        <s v="aging|billings montana|lincoln nebraska|nebraska|pickup truck"/>
        <s v="blood|blood of christ|demon|key|loud sex"/>
        <s v="bully|moving|principal|revenge|school"/>
        <s v="car damage|computer printer|female band|fingernail polish|narcissism"/>
        <s v="assassin|cult film|doctor|heart|poison"/>
        <s v="breaking the fourth wall|doorman|friend|party|sex"/>
        <s v="brooklyn bridge|divorce|female protagonist|female star appears nude|lingerie slip"/>
        <s v="basketball|basketball player|nba|physical therapist|therapist"/>
        <s v="12 step program|friend|maid of honor|tears|wedding"/>
        <s v="adultery|drifter|lunch wagon|murder|neo noir"/>
        <s v="17th century|girl|maid|painter|painting"/>
        <s v="duty|submarine|submarine movie|tension|u boat"/>
        <s v="college|cruise|drag|female armpit hair|sorority"/>
        <s v="boyfriend girlfriend relationship|lingerie slip|time travel|time travel romance|wedding"/>
        <s v="flying|flying dagger|government|police|secret"/>
        <s v="accidental death|dead woman|dead woman with eyes open|death of mistress|manager"/>
        <s v="found footage|teenager|time machine|time travel|video footage"/>
        <s v="1950s|jazz|jazz music|sex|title directed by female"/>
        <s v="chauffeur|disorganized crime|dog|ransom|slapstick"/>
        <s v="escape|future|population control|prison|prisoner"/>
        <s v="actor|internet|make up|publicist|purim"/>
        <s v="celebrity|journalist|lesbian kiss|strong female character|tv producer"/>
        <s v="alcoholic|fame|therapist|writer|writing"/>
        <s v="bar|florida|love|spring break|waitress"/>
        <s v="actress|neighbor|phone sex|queens new york city|sex addiction"/>
        <s v="blow job|female rear nudity|female removes her clothes|oral sex|three of spades tattoo"/>
        <s v="jewish|love|married man|neighbor|photograph"/>
        <s v="ashes|butcher|friend|friendship|memory"/>
        <s v="daughter|han river|monster|river|seoul"/>
        <s v="escape|jumping from an airplane|money|parachute|ransom"/>
        <s v="based on true story|cannibalism|captain|mexican american war|u.s. frontier"/>
        <s v="drugs|high school|prescription drugs|private school|student"/>
        <s v="genitalia|male frontal nudity|male nudity|old age|party"/>
        <s v="book|boy|catholic|comic book|friend"/>
        <s v="death|hitchcockian|psychopath|sociopath|vomiting"/>
        <s v="number in title|train|woman slaps a man|woman slaps man|written by director"/>
        <s v="bachelor|best friend|divorce|poison|widow"/>
        <s v="africa|bed|boy|cheetah|south africa"/>
        <s v="celtic mythology|cottage|fisherman|irish|selkie"/>
        <s v="gang|gangster|subjective camera|written and directed by cast member|yakuza"/>
        <s v="boxing knockout|heist|implied sex|keys|prison"/>
        <s v="half sister|hospital|latex gloves|medicine|nun"/>
        <s v="best friend|nonlinear timeline|school shooting|self sacrifice|shooting"/>
        <s v="dog|marriage|search|wedding|woods"/>
        <s v="friend|girl|mexico city|new jersey|sex"/>
        <s v="bus|death|gay slur|hatred|jewish"/>
        <s v="breakfast|manitoba|science fiction writer|suicide|writer"/>
        <s v="betrayal|husband wife relationship|murder|noodles|salary"/>
        <s v="brainwashing|corporate espionage|spy|suburb|surprise ending"/>
        <s v="atrocity|battle|chinese|horseback riding|martial arts"/>
        <s v="anthropomorphic animal|china|furry|rabbit"/>
        <s v="alien|battleship|message|radiation|yamato"/>
        <s v="cameraman|epic battle|journalist|south ossetia|street shootout"/>
        <s v="deja vu|lost at sea|ship|time loop|trapped in a time loop"/>
        <s v="based on true story|christ|christian|near death experience|pastor"/>
        <s v="boxer|boxing|diamond|fight|gypsy"/>
        <s v="cat|cemetery|maine|secret|woods"/>
        <s v="air raid|beer|birthday|japan|professor"/>
        <s v="isolated house|promotion|river|small town|stalking"/>
        <s v="bright light|midnight|pet|small town|water"/>
        <s v="death star|empire|galactic war|princess|rebellion"/>
        <s v="female removes her clothes|fondling|voyeur|voyeurism|white panties"/>
        <s v="bolshevik|poet|poetry|russia|russian revolution"/>
        <s v="bible|key|poverty|slum|wallet"/>
        <s v="basketball|curtain call|graduation|high school|high school senior"/>
        <s v="boxer|boxing|boxing match|crack cocaine|lowell massachusetts"/>
        <s v="blindfold|male frontal nudity|male rear nudity|pubic hair|vomiting"/>
        <s v="alabama|jail|judicial system|lawyer|trial"/>
        <s v="car accident|coma|out of body experience|reference to the exploited|teenage girl"/>
        <s v="cleveland indians|league|manager|owner|team"/>
        <s v="2000s|female protagonist|reward|school|st trinian's"/>
        <s v="phone booth|publicist|single set production|sniper|sniper rifle"/>
        <s v="community service|love|punishment|school|student"/>
        <s v="death|execution|nun|solitary confinement|visit"/>
        <s v="bet|revenge|seduction|virgin|wager"/>
        <s v="deception|flash photography|game of death|jigsaw|pig mask"/>
        <s v="french revolution|old testament|part of an unfinished series|reference to john wayne|roman emperor"/>
        <s v="beekeeping|insect in title|racism|sister|south carolina"/>
        <s v="fbi|mafia|mobster|undercover|veterinarian"/>
        <s v="hitchcockian|long tracking shot|psychologist|psychology|wig"/>
        <s v="1930s|driving through a gate|funeral|senator|trade union"/>
        <s v="alien|boy|nurse|school|school nurse"/>
        <s v="1950s|immigrant|irish|irish accent|torn between two worlds"/>
        <s v="18th century|england|rise and fall|rural setting|wealth"/>
        <s v="alaska|mountain|ski resort|snowboard|snowboarding"/>
        <s v="black pantyhose|female stockinged legs|pantyhose|radio|tattoo"/>
        <s v="divorced couple|opera|reference to giuseppe verdi|retirement|senility"/>
        <s v="box office flop|critically bashed|dominatrix|friend|money"/>
        <s v="demon|fbi|fbi agent|murder|religious fanatic"/>
        <s v="art|jewish|justice|nazi|theft"/>
        <s v="professor|research|sex|sexuality|student"/>
        <s v="army of the dead|battle|necronomicon|reluctant hero|skeleton soldier"/>
        <s v="blackmail|fall|love|nerd|scam"/>
        <s v="apostrophe in title|face slap|four word title|grocery store|police"/>
        <s v="1st century|based on the bible|miracle|religion|resurrection"/>
        <s v="1950s|miscarriage|neighbor|pregnancy|tailor"/>
        <s v="bollywood|illegal immigrant|live television|restaurant|waiter"/>
        <s v="immigration|love|political prisoner|reference to john wayne|title directed by female"/>
        <s v="1960s|car hitting an animal|folk singer|friend|singer"/>
        <s v="basketball|basketball player|boarding school|love|shakespeare's othello"/>
        <s v="baby|desert island|island|sequel|teenage girl"/>
        <s v="coal|detective|irish|irish immigrant|pennsylvania"/>
        <s v="anal sex|death|dream|poem|sex"/>
        <s v="music copyist|music student|musical composition|student|symphony"/>
        <s v="brighton|catholic|gang|prayer|waitress"/>
        <s v="blood splatter|jigsaw|nazi|serial killer|swastika tattoo"/>
        <s v="casino|gang violence|robbery|suicide|violence"/>
        <s v="best friend|girl in panties|high school|high school romance|pink panties"/>
        <s v="camp|fishing|fishing trip|river|town"/>
        <s v="extramarital affair|fashion magazine editor|marriage|new york|teacher"/>
        <s v="bachelor|blackmail|character says i love you|flirting|social satire"/>
        <s v="alien infection|astronaut|mars|mission|zombie"/>
        <s v="9 year old|blood|gramophone|house|missing children"/>
        <s v="ancient astronaut|famous line|message from outer space|monolith|star child"/>
        <s v="bicyclist|boy|doll|star wars reference|voice impersonation"/>
        <s v="actress|love|michigan|neighbor|writer"/>
        <s v="butterfly|entomologist|morpho butterfly|rain|rain forest"/>
        <s v="high school|love|police|showdown|surfer"/>
        <s v="blond boy|chlamydia|list|male rear nudity|young couple"/>
        <s v="bad luck|casino|lie|mix up|stutter"/>
        <s v="massacre|mormon|settler|utah|wagon train"/>
        <s v="catholic|hanging|mexico|rebellion|soldier"/>
        <s v="audition|deaf|family relationships|love|singing"/>
        <s v="friend|genius|janitor|loss of wife|professor"/>
        <s v="black panties|lust|sexual attraction|voyeur|voyeurism"/>
        <s v="brutality|female full frontal nudity|female nudity|torture|trap"/>
        <s v="army|boot camp|breasts|graduation|rescue"/>
        <s v="championship|cheerleading|high school|teen comedy|teenage romance"/>
        <s v="cathedral|minister|presidential election|reference to george washington|ritual sacrifice"/>
        <s v="bet|friend|high school|prom|prom queen"/>
        <s v="detective|fbi|rape|rapist|serial rapist"/>
        <s v="architect|grave|obsession|river|voice"/>
        <s v="cross dressing|family reunion|madea series|reflective|sister sister relationship"/>
        <s v="hustler|losing|pool|pool player|tournament"/>
        <s v="allies|d day|invasion|normandy|world war two"/>
        <s v="coach|hockey team|lawyer|respect|team"/>
        <s v="american|curse|japan|nurse|rage"/>
        <s v="golf|golf ball|golfer|grandmother's house|tournament"/>
        <s v="demon|gore|record player|tattoo|wings"/>
        <s v="failing student|high school|payphone|teenager|telephone booth"/>
        <s v="abuse|child|orphan|orphanage|pickpocket"/>
        <s v="hotel|india|marigold|retiree|retirement"/>
        <s v="friend|principal|summer|summer camp|summer vacation"/>
        <s v="arena|desert|fight|mad max|post apocalypse"/>
        <s v="body count|dictator|jumping from an airplane|knife fight|one man army"/>
        <s v="animate doll|doll|england|nanny|surprise ending"/>
        <s v="devil|elevator|hit and run|throat slitting|trapped in an elevator"/>
        <s v="apartment|christmas|christmas present|rent|security guard"/>
        <s v="demon|possession|psychic|supernatural|teenager"/>
        <s v="cult film|kung fu|kung fu classic|martial arts|title spoken by character"/>
        <s v="intelligence|science runs amok|scientist|supernatural power|virtual reality"/>
        <s v="band|gay|gay friend|love|night"/>
        <s v="abortion|abortion clinic|angel|church|clinic"/>
        <s v="bartender|groupie|lawyer|road trip|writer"/>
        <s v="1940s|1960s|bar|kick the can|remake"/>
        <s v="bikini|cult film|fired from the job|martial arts|violence"/>
        <s v="drugs|ex cop|gun fu|machismo|shootout"/>
        <s v="high school|hospital|new jersey|stanford university|swimming"/>
        <s v="competition|date|employee|laser in eyes|slacker"/>
        <s v="graduation|high school|letter|nerd|party"/>
        <s v="dysfunctional family|gang|greaser|holding someone's head underwater|rivalry"/>
        <s v="car accident|coma|evil politician|psychic|vision"/>
        <s v="deputy|farmhouse|nightmare|private investigator|rural"/>
        <s v="1960s|death|girl group|nightclub|sister"/>
        <s v="dance|nosebleed|revenge|valentine|valentine's day"/>
        <s v="abduction|alaska|alien|owl|patient"/>
        <s v="backstage|country music|cowboy|radio|singing"/>
        <s v="african american|harlem manhattan new york city|manhattan new york city|new york city|urination"/>
        <s v="army|nightmare|one man army|rescue|spy"/>
        <s v="1970s|boy|competition|roller skates|tubesocks"/>
        <s v="coming of age|friendship|private school|student|teacher"/>
        <s v="apartment|blue light|drawing|group of friends|light"/>
        <s v="sequel"/>
        <s v="boarding house|girl|great depression|house|ohio"/>
        <s v="e mail|moving|perfect man|secret admirer|suitor"/>
        <s v="comeback|friend|jazz|stage|trumpet"/>
        <s v="chosen one|comic violence|intentionally bad|kung fu|stylized violence"/>
        <s v="desert|giant worm|monster|pipe bomb|small town"/>
        <s v="forest|mountain|road|stupid victim|west virginia"/>
        <s v="bank|breasts|famous score|last man standing|revenge"/>
        <s v="chinatown|illegal immigrant|new york|police|triad"/>
        <s v="14 year old|boat|bounty hunter|boy|river"/>
        <s v="beach|police|sex scene|spring break|vomiting"/>
        <s v="3 dimensional|concert footage|englishman abroad|reference to keith richards|reference to the doors"/>
        <s v="fourth of july|looking at one's self in a mirror|mirror|sex toy|young version of character"/>
        <s v="castle thunder|document|neighborhood|punctuation in title|villain arrested"/>
        <s v="actress|assistant director|blonde bombshell|movie star|wardrobe"/>
        <s v="bar|hitman|luck|mexico|mexico city"/>
        <s v="african american|cult film|ex boyfriend|middle class|sex"/>
        <s v="compulsive liar|fired from a job|gift|rape|substance abuse"/>
        <s v="death|missionary|spear|speared to death|tribe"/>
        <s v="basketball|dancer|high school|love triangle|shakespeare's a midsummer night's dream"/>
        <s v="boss|computer|downsizing|neighbor|office"/>
        <s v="beauty pageant|blonde|cheerleader uniform|small town|upskirt"/>
        <s v="1950s|abusive husband|artist|painting|secret"/>
        <s v="bachelor party|breasts|friend|prostitute|wedding"/>
        <s v="best friend|party|rival|scavenger hunt|sleepover"/>
        <s v="actor|neighbor|police|thief|tunnel"/>
        <s v="colonel|lieutenant|nuclear warhead|team|washington d.c."/>
        <s v="hotel|immigrant|nigerian|surgery|underwear"/>
        <s v="awkwardness|embarrassment|gross out|irreverence|shame"/>
        <s v="accident|diary|ghost|psychic|veterinarian"/>
        <s v="candle|end of the world|letter|record|road trip"/>
        <s v="award|cedar rapids iowa|convention|hotel|insurance"/>
        <s v="anthropologist|fbi|fbi agent|forensics|investigation"/>
        <s v="curb stomping|neo nazi|prison|son dislikes mother's boyfriend|white supremacist"/>
        <s v="booby trap|brainwashing|mercenary|serial killer|trap"/>
        <s v="dog|florida|mad scientist|school|teacher"/>
        <s v="auction|montreal|secret|violin|violinist"/>
        <s v="cane|iowa|lawn mower|tractor|wisconsin"/>
        <s v="1950s|drug overdose|gang|gang war|new york city"/>
        <s v="directed by star|indian american|spelling|spelling bee|two word title"/>
        <s v="blister|gym|marathon|training|wedding"/>
        <s v="escape|fish out of water|love|robot|servant"/>
        <s v="color in title"/>
        <s v="based on short film|chicago illinois|el train|love|train"/>
        <s v="bombing|guard|jungle|laos|prisoner"/>
        <s v="entertainer|inspiration|lost opportunity|pregnant mother|rock star"/>
        <s v="basement|errand|secret admirer|slacker|wrong number"/>
        <s v="chef|friend|italy|restaurant|russian"/>
        <s v="box office flop|critically bashed|government|industrialist|railroad"/>
        <s v="detective|police|protection|russian|sergeant"/>
        <s v="daughter|englishman|ex con|revenge|young woman"/>
        <s v="race relations|racism|racist|social problem|stereotype"/>
        <s v="high society|love|money|reputation|wealth"/>
        <s v="assassin|box office flop|cia|farmer|power"/>
        <s v="college|college athlete|comeback|gymnast|olympics"/>
        <s v="diner|eating a banana|masturbation|porn star|shooting a pornographic movie"/>
        <s v="actor|minstrel show|protest|success|writer"/>
        <s v="forest|japan|suicide|suicide forest|supernatural"/>
        <s v="bat|curse|egyptologist|mummy|murder"/>
        <s v="documentary filmmaker|documentary filmmaking|father in law|generation z|hipster"/>
        <s v="gang|gardener|money|police|truck"/>
        <s v="halfway house|key|reality|schizophrenia|spider"/>
        <s v="colombian|enema|group therapy|murder|nurse"/>
        <s v="boy|boys' school|death|friend|orphan"/>
        <s v="based on true story|contract killer|crime family|murder of a girl|serial murderer"/>
        <s v="breaking the fourth wall|breaking the fourth wall by talking to the audience|computer|mask|singapore"/>
        <s v="actress|drive in|female protagonist|movie star|woman shot in the forehead"/>
        <s v="female nudity|female pubic hair|lingerie|neo noir|pubic hair"/>
        <s v="envy|fake family|gadget|materialism|unhappy marriage"/>
        <s v="bank|bank fraud|bank manager|gambling|toronto"/>
        <s v="antarctica|coma|neighbor|phd|pregnancy"/>
        <s v="blueberry pie|diner|nevada|new york city|pie"/>
        <s v="critic|new york|new york city|playwright|theater critic"/>
        <s v="island|sailor|storm|stranded|vacation"/>
        <s v="assassin|corporation|pop star|reporter|satire"/>
        <s v="cult film|kung fu|martial arts|shaolin|soccer"/>
        <s v="boyfriend girlfriend relationship|erection|female frontal nudity|gang rape|prostitute"/>
        <s v="con|con artist|money|scam|sils maria"/>
        <s v="based on true story|hijab|journalism|prison|reference to mahmoud ahmedinejad"/>
        <s v="foundry|foundry worker|french|friend|titanic"/>
        <s v="modern day adaptation|reference to william shakespeare|shakespeare in modern dress|shakespeare play|shakespeare's coriolanus"/>
        <s v="cat|christmas song|lawn mowing|leave of absence|medication"/>
        <s v="attempted murder|blackmail|diver's watch|nurse|satire"/>
        <s v="black comedy|fictional talk show|high school teacher|phony suicide note|teacher"/>
        <s v="blood splatter|eastern europe|female nudity|pine forest|team building"/>
        <s v="bipolar disorder|sodomy|stabbing|street life|violence"/>
        <s v="businessman|prostitute|street|stripper|travel"/>
        <s v="captain|commandant|mafia|russian mafia|security system"/>
        <s v="based on autobiography|based on novel|based on true story|murder|racism"/>
        <s v="apartment|death of protagonist|follow that car|la dolce vita|love"/>
        <s v="box office flop|critically bashed|director|hollywood|mockumentary"/>
        <s v="american south|baseball|farmland|motel|road trip"/>
        <s v="book club|cheating boyfriend|job promotion|manhattan new york city|new york city"/>
        <s v="birthday|birthday party|delivery man|mother|neighbor"/>
        <s v="australian|desert|mother daughter relationship|mother son relationship|promiscuity"/>
        <s v="bigger dreams|concert promoter|hotel maid|pep talk|rap concert"/>
        <s v="boss|business|career|confidence|female protagonist"/>
        <s v="landlady|lecture|murder|oxford university|symbol"/>
        <s v="boat|great white shark|killing an animal|shark|underwater"/>
        <s v="dysfunctional family|family relationships|family reunion|funeral|twin"/>
        <s v="angry spirit|aura|electronic voice phenomena|electronics|near death experience"/>
        <s v="1980s|ira|near death experience|title directed by female|what happened to epilogue"/>
        <s v="circus|dog|entertainer|holocaust|patient"/>
        <s v="barbed wire|barbed wire fence|horse|nature|snowstorm"/>
        <s v="afterlife|indian|murder|overweight woman|police"/>
        <s v="desert|mercenary|priest|scientist|war veteran"/>
        <s v="india|love|muslim|pakistan|sikh"/>
        <s v="bounty hunter|manchuria|map|train|treasure"/>
        <s v="carnage|female nudity|purple panties|sexual attraction|shaved labia"/>
        <s v="blacksmith|bounty hunter|duel|gunslinger|wild west"/>
        <s v="amusement park|strong female character|summer job|teen movie|teenager"/>
        <s v="1950s|cuba|cuban flag|fidel castro|havana cuba"/>
        <s v="african american|flashback|marijuana joint|porn magazine|suburb"/>
        <s v="bank|critically bashed|heist|mechanic|prison"/>
        <s v="faked death|japan|japanese|poison|secret headquarters"/>
        <s v="credit card fraud|lesbian kiss|miami"/>
        <s v="aging|daughter|old couple|old love|stroke"/>
        <s v="aunt niece relationship|brother sister relationship|building|father daughter relationship|mirror"/>
        <s v="after dark|after dark horrorfest|fictional tv news show|outbreak"/>
        <s v="california|desert|dying words|money|race"/>
        <s v="abusive father|child abuse|death|rape|secret"/>
        <s v="anthology|girl|heavy metal|secretary|segments"/>
        <s v="amateur film|sexual harassment|sexual innuendo|small town|struggling parent"/>
        <s v="1930s|abuse of power|england|king|murder"/>
        <s v="bear|breasts|female nudity|grizzly|wilderness"/>
        <s v="casino|desert|love|suicide|tragic event"/>
        <s v="art director|breasts|depression|outdoor sex|riding a horse"/>
        <s v="australian|based on true events|dog|love|search"/>
        <s v="accident|army|bomb|indian army|love"/>
        <s v="alien|creature|future|outer space|spaceship"/>
        <s v="cannibal|chainsaw|hitchhiker|independent film|leatherface"/>
        <s v="band|box office flop|critically bashed|historically inaccurate|revisionist history"/>
        <s v="immigration|jewish|pogrom|tradition|tradition versus modernity"/>
        <s v="domino|fiery redhead|nassau|official james bond series|underwater battle"/>
        <s v="blood splatter|detention|high school|overalls|reference to c. thomas howell"/>
        <s v="gay|gay friend|grandmother grandson relationship|heart attack|mother son relationship"/>
        <s v="bank|black comedy|main characters killed off|money|robbery"/>
        <s v="african american|bachelor party|brooklyn bridge|family relationships|stripper"/>
        <s v="birthday|doll|murder|serial killer|voodoo"/>
        <s v="canada|cuba|france|guantanamo|hmo"/>
        <s v="held at gunpoint|machete|masked man|sequel|violence"/>
        <s v="artist|cake|college|new york city|student"/>
        <s v="marijuana|police|road trip|stoner|white castle"/>
        <s v="bridge|governor|political thriller|president|vice president"/>
        <s v="career|casino|judge|stock|stock broker"/>
        <s v="interracial relationship|poverty|prostitute|scam|stock market"/>
        <s v="attic|christmas|house|incest|sorority"/>
        <s v="female to male foot in crotch|lingerie slip|love|mistaken identity|writer"/>
        <s v="battle|battle of agincourt|king|shakespeare play|sword and shield"/>
        <s v="arizona|dementia|married man|sun city arizona|writing"/>
        <s v="beauty pageant|bilingual|dating|latino|three women"/>
        <s v="criminal|drifter|gangster|money|surrogate mother"/>
        <s v="boy|mistress|money|schizophrenic|school"/>
        <s v="college|high school senior|meat|protest|university"/>
        <s v="billionaire|grandfather|playboy|trust fund baby|wealth"/>
        <s v="beverly hills california|family relationships|los angeles california|soap opera"/>
        <s v="bar fight|cult film|ice|psychotronic|sword fight"/>
        <s v="boy|girl|soccer|south orange new jersey|teenager"/>
        <s v="actress|lesbianism|manhattan new york city|urination|watching pornography"/>
        <s v="gang banger|sequel|shakespeare's hamlet|student|time machine"/>
        <s v="1970s|glitter|political cover up|reference to katharine hepburn|reference to spencer tracy"/>
        <s v="policeman|stranger|supernatural|village|vomiting"/>
        <s v="concert|live in concert recording|live performance"/>
        <s v="16th century|burmese|invasion|queen|thailand"/>
        <s v="black cat|cat|evil|photographer|undead"/>
        <s v="love|neighbor|single parent|supermarket|working class"/>
        <s v="hawaii|hawaiian|historically inaccurate|princess|tearing up a letter"/>
        <s v="friend|girl|imaginary friend|outback|town"/>
        <s v="danish|double agent|nazi|nazi occupation|resistance"/>
        <s v="bare chested male|box office flop|diner|german shepherd|one word title"/>
        <s v="ejected from a moving vehicle|gun held to head|handcuffs|shot multiple times|strangulation"/>
        <s v="bar mitzvah|lawyer|train|wealth|wrestler"/>
        <s v="boyfriend girlfriend relationship|female protagonist|letter of resignation|mental hospital|sex"/>
        <s v="australian outback|crocodile|female reporter|journalist|new york city"/>
        <s v="grimdark|mutilated corpse|space marine|ultramarines|warhammer 40k"/>
        <s v="2000s|hospital|man in a wheelchair|year 2000|year 2002"/>
        <s v="blue clay|diversion|ends with biographical notes|ends with historical notes|tunnel"/>
        <s v="abusive parent|child molester|child protection|photographer|police"/>
        <s v="anesthetic|anesthetic awareness|heart|heart surgery|surgery"/>
        <s v="begins with narration|female warrior|inbetwequel|jedi knight|war against machines"/>
        <s v="bangkok thailand|detective|human trafficking|revenge|sex slavery"/>
        <s v="1980s|california|death|small town|vampire"/>
        <s v="country music|country western singer|journalist|musician|singer"/>
        <s v="awol|demand|driver|drugs|roses"/>
        <s v="woman wearing only a man's shirt"/>
        <s v="41st century|angel|future|laser gun|space opera"/>
        <s v="boy|island|pirate|ship|treasure"/>
        <s v="female protagonist|high school|self destructiveness|student council president|student government"/>
        <s v="bengali|india|reference to gogol|train|train crash"/>
        <s v="cartoon on tv|generation y|high school|overalls|strong female character"/>
        <s v="cult film|disc jockey|female protagonist|music business|one word title"/>
        <s v="daughter|georgia|mother|slave|trailer"/>
        <s v="based on book|based on true story|rape|title spoken by character"/>
        <s v="19th century|friend|john keats|passion|poet"/>
        <s v="airport|asperger's syndrome|autism|muslim|racial profiling"/>
        <s v="boat|container|sea|shipping container|storm"/>
        <s v="alaska|island|motorboat|singer|wilderness"/>
        <s v="india|london england|marriage|stereotype|sugarcane"/>
        <s v="civil war|colonialism|hatred|independence|rural ireland"/>
        <s v="jealousy|jumping into sea|love|swimming pool|wet clothes"/>
        <s v="christian|emperor|general|hostage|nero"/>
        <s v="future|murder|opera|repossession|surgery"/>
        <s v="abu ghraib|bomb|christian|explosion|iraq"/>
        <s v="black comedy|cunnilingus|neo noir|nonlinear timeline|postmodern"/>
        <s v="friend|frog leg|on the road|restaurant|the muppets"/>
        <s v="employer employee relationship|ethics|journalism|sociopath|tv news"/>
        <s v="beach|island|party|resort|serial killer"/>
        <s v="austria|children|governess|love|orchestral music score"/>
        <s v="cmnf|cmnf scene|mermaid|new york city|public nudity"/>
        <s v="gay|graduate student|sister sister relationship|sprite|uncle nephew relationship"/>
        <s v="friendship|summertime|treehouse|walking on train tracks|woods"/>
        <s v="laboratory|london england|military|virus|zombie apocalypse"/>
        <s v="competition|dance contest|friend|money|street dancing"/>
        <s v="alcatraz|escape|inmate|island|prison"/>
        <s v="basketball|hip hop|rap music|record company|writer"/>
        <s v="african american|dating|independent film|irreverence|revenge"/>
        <s v="best friend|cancer|survival rate|therapist|vomiting"/>
        <s v="car accident|japan|newlywed|photograph|photographer"/>
        <s v="dating|divorce|father daughter relationship|mother daughter relationship|party"/>
        <s v="air traffic controller|nuclear waste|orgasm|telekinesis|voodoo"/>
        <s v="16th century|bachelor|dishonor|masquerade party|wedding"/>
        <s v="bond girl|british|mission|portugal|switzerland"/>
        <s v="bet|friend|pit boss|secret|surveillance"/>
        <s v="earthquake|elm street|freddy krueger|nightmare|sleep"/>
        <s v="centennial|girl|next door neighbor|prom|school"/>
        <s v="national spelling bee|principal|school principal|spelling|spelling bee"/>
        <s v="bail|diabetic|friend|jail|pharmaceutical lab"/>
        <s v="love|manufacturing|minnesota|plant|small town"/>
        <s v="1980s|business card|male rear nudity|materialism|narcissism"/>
        <s v="dysfunctional marriage|marijuana|small town|store|trying to conceive"/>
        <s v="border|hockey|killer|police|tattoo"/>
        <s v="final showdown|ireland|justice|priest|sheep"/>
        <s v="child|student|university|widow|writer"/>
        <s v="dating|divorcee|ex husband|ex wife|party"/>
        <s v="gay|gay interest|high school|school|student"/>
        <s v="fire|marriage|martha's vineyard|teenager|vacation"/>
        <s v="actor|breasts|film actress|nosferatu|vampire"/>
        <s v="decoration|father daughter relationship|high school|prom|teenager"/>
        <s v="bachelor party|directorial debut|funeral|pallbearer|wedding"/>
        <s v="hold up|hostage|stockholm syndrome|swat team|vegetarian"/>
        <s v="cross dresser|food|friend|motion sickness|restaurant"/>
        <s v="england|friendship|prejudice|upper class|working class"/>
        <s v="heaven and hell|preacher|supernatural|vampire|vertigo comics"/>
        <s v="full frontal male nudity|hotel room|multiple characters voiced by same person|one night stand|sex in hotel room"/>
        <s v="autumn|four seasons|friend|looking at one's self in a mirror|unhappiness"/>
        <s v="cook|industrialist|secret|snowstorm|suspect"/>
        <s v="bare chested male|detective|electric torture|japanese american|yakuza"/>
        <s v="breasts|serial killer|small town|vomiting|widow"/>
        <s v="based on novel|depression|psychiatric ward|suicide attempt|therapy"/>
        <s v="equal pay|machinist|minister|protest|sex"/>
        <s v="cancer|children|death|terminal cancer|time"/>
        <s v="long distance runner|olympics|oregon|runner|watching television"/>
        <s v="female nudity|highwayman|nell gwynne|nudity|whipping"/>
        <s v="barbarian|fairy|forest|monastery|unfinished book"/>
        <s v="manhattan new york city|new york city|record label|singer|song"/>
        <s v="beach|cowboy|cowboy hat|neo western|valley"/>
        <s v="1980s|friend|friendship|loyalty|mafia"/>
        <s v="espionage|motel|mother son relationship|murder disguised as suicide|shot in the head"/>
        <s v="detective|detective novel|fantasy sequence|hallucination|writer"/>
        <s v="dorset|farm|friend|love|women's land army"/>
        <s v="decapitation|neighbor|neighborhood|next door neighbor|zombie"/>
        <s v="directorial debut|fantasy sequence|nurse|old age home|prison"/>
        <s v="apprentice|assassin|hitman|kleptomaniac|thief"/>
        <s v="corpse|dark humor|medical school|murder|pathology"/>
        <s v="abuse|love|moor the landscape|revenge|tv mini series"/>
        <s v="desert storm|fbi|fbi agent|fragmentation grenade|woman kills attacker"/>
        <s v="gang|gun|loner|love|outcast"/>
        <s v="based on manga|biker gang|gifted child|post thermonuclear war|science runs amok"/>
        <s v="drug lord|on the run|prison|vegan|vegetarian"/>
        <s v="fan|french canadian|hockey|hockey player|machinist"/>
        <s v="police officer killed|police officer shot in the chest|police officer shot in the forehead|police officer shot in the head|police shootout"/>
        <s v="florist|friend|friendship|lesbian|love"/>
        <s v="luberon|mystery writer|night|publisher|swimming"/>
        <s v="bare breasts|firm|hooliganism|training|west ham supporter"/>
        <s v="battle|blood splatter|combat|game|showdown"/>
        <s v="gun|mayor|nightclub|police|vigilantism"/>
        <s v="1950s|african american|jewish|old age|widow"/>
        <s v="1990s|family relationships|food in title|sister|unity"/>
        <s v="fight|gang|greed|street gang|wedding"/>
        <s v="algerian war|based on short story|hostage|teacher|title at the end"/>
        <s v="cigarette smoking|lobbyist|political satire|reporter|tobacco industry"/>
        <s v="american|hostel|slovakia|torture|train"/>
        <s v="1960s|age difference|france|loss of virginity|oxford"/>
        <s v="artist|depression|gloves|photography|slacker"/>
        <s v="football|hotel|teenage girl|terrorist|wien"/>
        <s v="blood splatter|cover up|murder|police shootout|undercover"/>
        <s v="championship|coach|curling|marriage|rural setting"/>
        <s v="fbi|polo|possum|sheriff|shotgun"/>
        <s v="1830s|baptism|intolerance|mormon church|sibling rivalry"/>
        <s v="freak accident|gigolo|hit in the crotch|nosy neighbor|on the job injury"/>
        <s v="concert|jail|journalist|revolution|singer"/>
        <s v="child|criminal|death|depression|novelist"/>
        <s v="genetics|i.d.|love|sphinx|totalitarian"/>
        <s v="19th century|hotel|painter|waiter|woman pretending to be a man"/>
        <s v="color in title|number in title|two word title"/>
        <s v="comeback|family relationships|marriage|new york|racer"/>
        <s v="dream|girl|iran|islamic revolution|revolution"/>
        <s v="basement|family relationships|hole|no opening credits|slow motion scene"/>
        <s v="autocracy|based on real events|dictatorship|germany|teacher"/>
        <s v="beauty|cannibalism|fashion|lesbian|model"/>
        <s v="bayonet|death|police|self defense|widower"/>
        <s v="code|evil|false accusation|megalomaniac|torah"/>
        <s v="adoption|baby|friend|pregnancy|school"/>
        <s v="fighting|hand to hand combat|jujitsu|kickboxing|organ"/>
        <s v="cat|diamond|ford mustang|james bond 007|yanked off bikini top"/>
        <s v="crime family|mafia|organized crime|patriarch|rise to power"/>
        <s v="ballet school|dance|dancer|overalls|steel worker"/>
        <s v="friend|greeting card|office|summer|true love"/>
        <s v="adultery|daughter|male rear nudity|new zealand|piano"/>
        <s v="bank|male nudity|male objectification|male stripper|stripper"/>
        <s v="boy|darkness|light|tooth|tooth fairy"/>
        <s v="british|cards|heroin|murder|tarot card"/>
        <s v="1940s|dog|mississippi|puppy|veteran"/>
        <s v="college|daughter|girl|sex|wisconsin"/>
        <s v="martha's vineyard|mother|older woman younger man relationship|wedding|weekend"/>
        <s v="cbs|expose|fear|paranoia|reporter"/>
        <s v="book|holcomb kansas|kansas|killer|truman capote"/>
        <s v="crushed by a car|female frontal nudity|female nudity|female rear nudity|one against many"/>
        <s v="anthology|death|insurance salesman|minnesota|police officer"/>
        <s v="cat|computer|cult film|runner|sanctuary"/>
        <s v="assassin|bikini|girl in a bikini|mission|secret agent"/>
        <s v="murder|power|psychotronic|tough cop|union"/>
        <s v="cave|expedition|friendship between women|group of friends|survival horror"/>
        <s v="basketball|basketball player|character name in title|chicago bulls|imax"/>
        <s v="eiffel tower at night|honeymoon|implied insemination|party|taxi driver"/>
        <s v="adoption|armpit fetish|mistaken identity|new mexico|overalls"/>
        <s v="escape|police|road trip|sheriff|texas"/>
        <s v="action heroine|coming of age|destiny|double life|vampire"/>
        <s v="african american|geek|hip hop|party|tomboy"/>
        <s v="cunnilingus|oral sex|police|sex scene|undercover"/>
        <s v="actor playing multiple roles|axe|dark comedy|masked man|sadism"/>
        <s v="affair|child murderer|mortician|strangulation|supernatural power"/>
        <s v="bar mitzvah|jewish|marital breakup|nose job|rabbi"/>
        <s v="funeral|funeral home|hermit|party|secret"/>
        <s v="17th century|book|death|warlock|witch hunter"/>
        <s v="domestic abuse|public humiliation|sex symbol|singer|suicide attempt"/>
        <s v="car accident|male full back nudity|practicing a suicide|public nudity|suicide contemplation"/>
        <s v="carpenter|exorcism|faith|reference to jesus christ|temptation"/>
        <s v="class|cornwall connecticut|dog|friend|pawtucket rhode island"/>
        <s v="bollywood|india|jane austen|london england|travel"/>
        <s v="aborigine|based on true story|colonialism|fence|half caste"/>
        <s v="2000s|golf caddy|golf course|golfer|question mark in title"/>
        <s v="appearing from water|breasts|creature|partner|water"/>
        <s v="assassin|death|female protagonist|rogue|training"/>
        <s v="1950s|idaho|love|missionary|mormon"/>
        <s v="cat burglar|female lead|future|mixed martial arts|post apocalypse"/>
        <s v="fair|pakistan|prison|rescue|stranded"/>
        <s v="bar|debt|fight|instructor|jujitsu"/>
        <s v="21 year old|forename as title|musician|party|rearview mirror"/>
        <s v="artist|box office flop|dog|drawing|flanders"/>
        <s v="friendship|photography|radio|sex addict|video"/>
        <s v="andy warhol|female nudity|public nudity|singer|socialite"/>
        <s v="archery|defiance|mental illness|psychopath|toilet training"/>
        <s v="angel|candle|christmas|miracle|village"/>
        <s v="basketball|catholic|coach|college|nun"/>
        <s v="apostrophe in title|bare breasts|friendship between men|teen sex comedy|two word title"/>
        <s v="adoption|baby|girl|lawyer|sex"/>
        <s v="arab|bare chested male|foreign legion|french foreign legion|morocco"/>
        <s v="distant past|future time travel|nobleman|squire|trapped in the past"/>
        <s v="actor|boredom|luxury hotel|party|trip"/>
        <s v="bachelor party|bare butt|loud sex|sex standing up|topless female nudity"/>
        <s v="box office flop|company|invention|roommate|surfer"/>
        <s v="bully|car|car accident|fire|vomiting"/>
        <s v="male frontal nudity|male nudity|male rear nudity|nudity|sex scene"/>
        <s v="desert|friend|friendship|minimal dialogue|water"/>
        <s v="1930s|car accident|hospital|marital rape|painter"/>
        <s v="cancer|gay bar|lesbian kiss|partner|public hearing"/>
        <s v="co worker|escort|magazine|teacher|writer"/>
        <s v="fictional war|hanging|male full frontal nudity|medieval times|nudity"/>
        <s v="cash|financial problem|heist|land rover|mortgage"/>
        <s v="alcoholic|alcoholic father|stepmother|swaziland|unfaithful wife"/>
        <s v="fbi|fbi agent|friend|irish|mafia"/>
        <s v="ghost|hotel|murder|stake|what happened to epilogue"/>
        <s v="3d"/>
        <s v="blindness|cave|spirit|wolf|wolf cub"/>
        <s v="gold|miner|preacher|prospector|sheriff"/>
        <s v="2000s|evil god|space opera|stargate|wormhole"/>
        <s v="football|hazing|high school|last day of school|pledge"/>
        <s v="2000s|basketball|country club|lifeguard|talent show"/>
        <s v="african american gangster|falling to death|in over one's head|murder|surveillance"/>
        <s v="lesbian mother|lesbian parent|lesbian relationship|lesbian romance|lesbianism"/>
        <s v="chumscrubber|death|friend|pills|school"/>
        <s v="bar|strip club|stripper|texas hold 'em|thong"/>
        <s v="brother sister relationship|death of sister|female protagonist|mother daughter relationship|murder"/>
        <s v="brother sister relationship|family relationships|middle east|mother son relationship|twin brother and sister"/>
        <s v="box office hit|dancer|sex scene|television|underage sex"/>
        <s v="burglary|estranged father|money|neighbor|thug"/>
        <s v="brazil|military police|police|rio de janeiro brazil|slum"/>
        <s v="horror movie prequel|murder|paranormal activity|self sacrifice|suicide"/>
        <s v="australia|journey|love|priest|traveling"/>
        <s v="drugs|escape|football|friend|violence"/>
        <s v="crash|hispanic|interracial relationship|interracial romance|racism"/>
        <s v="directed by star|friendship|reference to isaac newton|skinny dipping|written and directed by cast member"/>
        <s v="apartment|elevator|murder|psychiatrist|sunglasses"/>
        <s v="boy|lesson|mississippi river|river|slave"/>
        <s v="drug deal|drugs|sex|sex on stairs|strip club"/>
        <s v="friend|friendship|marital problem|money problems|nervous breakdown"/>
        <s v="alien|baby|new mexico|satellite|scientist"/>
        <s v="animal attack|bat|creature feature|experiment|mad scientist"/>
        <s v="breasts|farm|jew|kenya|tween girl"/>
        <s v="female frontal nudity|female nudity|male nudity|sex addict|sex addiction"/>
        <s v="cake|cocaine|drugs|pills|serbian"/>
        <s v="estrangement|missouri|mormon|mormon church|mormon temple"/>
        <s v="anarchist|corporation|greedy institution|vomiting|watching television"/>
        <s v="hand job|hugging|long hair|new york city|two men one woman"/>
        <s v="death|ferry|lawyer|norway|vomiting"/>
        <s v="captain|casualty notification|casualty notification team|sergeant|staff sergeant"/>
        <s v="one word title"/>
        <s v="band|employment agency|singer|stage fright|suicide"/>
        <s v="cyborg|future war|robot|shootout in a police station|urban setting"/>
        <s v="coma|east germany|german democratic republic|germany|heart attack"/>
        <s v="cup|derby county|flashback|football|leeds united"/>
        <s v="crematorium|female frontal nudity|naked dead woman|paramedic|poison gas"/>
        <s v="comic|ex girlfriend|jay and silent bob|mall|teenager"/>
        <s v="automobile racing|boyfriend girlfriend relationship|high school|wrestling|year 1959"/>
        <s v="1960s|famous score|hero|vietnam|vietnam war"/>
        <s v="anti war|interview|iraq|paranoia|war on terrorism"/>
        <s v="bolivia|gang|outlaw|posse|train"/>
        <s v="banker|female protagonist|live action and animation|magic|nanny"/>
        <s v="choir|death|friend|suicide|therapy"/>
        <s v="dance|gang|new york city|puerto rican|tragedy"/>
        <s v="caddy|country club|golf course|gopher|nudity"/>
        <s v="african american|commitment|friend|friendship|playboy"/>
        <s v="flashback|friendship|public nudity|shower|wedding"/>
        <s v="criminal|dirty cop|flashback|limping|suspect"/>
        <s v="child|comic book|dream|murderer|nightmare"/>
        <s v="college|love|party|reporter|tuition"/>
        <s v="heart attack|stripper|supermarket|wrestler|wrestling"/>
        <s v="box office hit|half breed|infidelity|shooting|texas"/>
        <s v="dog show|gay|gay character|gay couple|gay interest"/>
        <s v="1990s|police|prison|rescue|year 1997"/>
        <s v="beauty salon|black college|college|fraternity|sorority"/>
        <s v="competition|estranged father|skunk|summer camp|wall"/>
        <s v="chef|cook|drugs|gang|reporter"/>
        <s v="concert|mockumentary|musician|new york city|singer"/>
        <s v="commitment|marriage|pizza|title appears in writing|woman wearing only a man's shirt"/>
        <s v="male frontal nudity|male nudity|tv mini series"/>
        <s v="alternative reality|multiple outcomes|parallel time|serendipity|twist of fate"/>
        <s v="child abuse|death|drugs|ku klux klan|police brutality"/>
        <s v="1970s|assassination|doctor|scottish|ugandan"/>
        <s v="cat|halloween|kitten|michael myers|psychotronic"/>
        <s v="funeral|stockbroker|texas|vacation|widow"/>
        <s v="3d in title|animal in title|digit in title|dolphin|manatee"/>
        <s v="1940s|artist|drinking|life magazine|painter"/>
        <s v="bartender|friend|new year's eve|party|punk"/>
        <s v="american in paris|book|love|novel|writer"/>
        <s v="absurd humor|drug lord|mexico|ranch|spaghetti western"/>
        <s v="anger|family reunion|father son reunion|hugging|movie making"/>
        <s v="boat on fire|drug smuggling|fbi|fbi agent|small town"/>
        <s v="college|face slap|high school|loss of virginity|pierced nipple"/>
        <s v="catholic|five sisters|isolation|school|suicide"/>
        <s v="mother|recluse|shy|singer|talent"/>
        <s v="fellatio|hugh hefner|oral sex|playboy centerfold|topless female nudity"/>
        <s v="actor|dream sequence|genius recluse|jew|religion"/>
        <s v="chef|female chef|love|magic|restaurant"/>
        <s v="best friend|high school|private detective|sheriff|student"/>
        <s v="band|rock band|sex change|song|transsexual"/>
        <s v="capoeira|fight|fighting|martial arts|violence"/>
        <s v="female nudity|hallucination|sex scene|strip club|stripper"/>
        <s v="fabricated facts|journalist|stephen glass|the new republic|writer"/>
        <s v="dentist|drugs|murder|sex|sunflower"/>
        <s v="airport|businesswoman|hotel|revenge|vegetarian"/>
        <s v="friendship|honor|righteous rage|soldier|texas"/>
        <s v="ice cream|marijuana|new york city|summer|therapy"/>
        <s v="bank|gold|key|safe|train"/>
        <s v="breasts|cleavage|female rear nudity|girl in panties|public nudity"/>
        <s v="beast|beastmaster|psychotronic|sword and sorcery|warrior"/>
        <s v="athletic training|football practice|funeral|gymnasium|man crying"/>
        <s v="bordeaux|election|mayor|pamphlet|political thriller"/>
        <s v="car crash|loss|self help group|teenage mother|title directed by female"/>
        <s v="car hitting pedestrian|china|fan|nineteenth century|reversal of fortune"/>
        <s v="church|drink|knocking on a door|love|three word title"/>
        <s v="escape|prison|prison escape|sadism|solitary confinement"/>
        <s v="1930s|female protagonist|nazi|romantic friendship|writer"/>
        <s v="barefoot|endorsement|surfboard|virtual reality|waves"/>
        <s v="abortion|southern accent|title based on the bible|trial|usa"/>
        <s v="convenience store|multiple perspectives|murder|paramedic|van"/>
        <s v="cockney accent|fight|island|machismo|mercenary"/>
        <s v="dead body|dead body in a freezer|dead body wrapped in carpet|person in a car trunk|school janitor"/>
        <s v="police officer|police officer killed|police officer shot|sex scene"/>
        <s v="island|love|new home|orphan|rainbow"/>
        <s v="die hard scenario|engineer|held at gunpoint|race against time|shot to death"/>
        <s v="friendship|love triangle|matchmaker|naivety|opposites attract"/>
        <s v="cyberpunk|hallucination|illegality|snuff film|surrealism"/>
        <s v="apartment|erasmus|language|student|trip"/>
        <s v="musician|number in title|recording|sibling"/>
        <s v="horse|nazi|occupation|resistance movement|uncle nephew relationship"/>
        <s v="black panties|bomb squad|car bomb|dynamite|girl in panties"/>
        <s v="art|french|german|painting|train"/>
        <s v="angkor wat|human trafficking|sex slavery|sex tourism"/>
        <s v="die hard scenario|elephant|long take|police|sydney australia"/>
        <s v="class conflict|edwardian era|england|sexual awakening|spoof"/>
        <s v="black comedy|bully|friend|house|practical joke"/>
        <s v="hinduism|marriage engagement|soccer|team|tradition"/>
        <s v="african american|business|coastline|florida|real estate"/>
        <s v="african american|basketball|basketball movie|critically bashed|tv commercial"/>
        <s v="car crash|impersonating a police officer|long lost brother|marriage bureau|suitor"/>
        <s v="apartment|apartment building|blood sample|crucifix|zombie"/>
        <s v="dance|dream|frog|philadelphia pennsylvania|snake"/>
        <s v="con|con man|courier|long con|murder"/>
        <s v="athlete|jew|missionary|olympic games|race"/>
        <s v="comic relief|diary|kiss|madea series|state flag"/>
        <s v="abuse|australia|concert|pianist|piano"/>
        <s v="camera focus on female butt|cunnilingus|new jersey|oral sex|reference to facebook"/>
        <s v="gravestone|gunfighter|outlaw|revenge|small town"/>
        <s v="art class|diner|friend|graduation|high school"/>
        <s v="alzheimer's disease|book|love|novelist|writer"/>
        <s v="alien|android|fem bot|female android|stars"/>
        <s v="boarding school|boy|choir|school|teacher"/>
        <s v="gay|immigrant|italian|police|police officer"/>
        <s v="murder|police|police investigation|porn star|robbery"/>
        <s v="black militant|frustration|pizza|pizza parlor|pizzeria"/>
        <s v="basketball|cheerleader|college|harvard|philosophy"/>
        <s v="bar|container|illegal immigrant|neighbor|shoe shiner"/>
        <s v="long take|male frontal nudity|revenge|reverse chronology|vengeance"/>
        <s v="coma|one word title|spitting|sushi|swimming pool"/>
        <s v="freedom|friend|india|student|urination"/>
        <s v="drug addict|drug addiction|drug use|drugs|junkie"/>
        <s v="cross|doused with gasoline|pastor|security guard|shower"/>
        <s v="death|mexico|sabbath|surgeon|ten stories"/>
        <s v="betrayal|family relationships|friendship|psychosis|stranger"/>
        <s v="art thief|male frontal nudity|male nudity|male star appears nude|painting"/>
        <s v="bathtub|eaten alive|ferry boat|lobster trap|sprinkler system"/>
        <s v="boston marathon|coma|marathon|miracles|running"/>
        <s v="kissing someone's boot|midsummer|telling someone to shut up|two word title|valet"/>
        <s v="hotel|love|love across time|time travel|time travel romance"/>
        <s v="airport|drugs|loss of loved one|police|title based on song"/>
        <s v="barricading a door|injection in leg|police detective|supernatural|taser"/>
        <s v="death|detective|nerve gas|serial killer|trap"/>
        <s v="alien|bunker|car crash|kidnapping|minimal cast"/>
        <s v="alligator|golf|japan|panda|stunt"/>
        <s v="based on short film|reference to avenged sevenfold|reference to slayer|switching lights on and off|two word title"/>
        <s v="animate object|imaginary friend|reference to macgyver|whispering|woman wearing only a man's shirt"/>
        <s v="death of girlfriend|funeral|ghost|ouija|spirit"/>
        <s v="dream|freddy krueger|killer|nightmare|springwood ohio"/>
        <s v="father daughter relationship"/>
        <s v="boy in a bathtub|demon|laptop computer|pulled underwater|walking in the dark"/>
        <s v="box office hit|crucifixion|nightmare|palestine|robe"/>
        <s v="clouseau|diamond|panther|pink|pink panther"/>
        <s v="dark comedy|dream|freddy krueger|nightmare|serial murder"/>
        <s v="beach|female criminal|hooker|lesbian|prostitute"/>
        <s v="captain|expedition|sea|submarine|whale"/>
        <s v="apartment|blood|demonic possession|neighbor|pentagram"/>
        <s v="curiosity|exploitation|freak|hospital|physical deformity"/>
        <s v="drugs|fda|gay community|hiv|homophobia"/>
        <s v="electrocuted|experiment|hell|serum|university"/>
        <s v="flashback|memory|murder|short term memory|telephone"/>
        <s v="home office|mirror|released from a mental hospital|trauma|video camera"/>
        <s v="fast food|fast food restaurant|new jersey|quick stop|restaurant"/>
        <s v="audition|ballet|boxing|miner|miners strike"/>
        <s v="awkward boy|shy kid|summer|vacation|water park"/>
        <s v="college|misogyny|money|new friend|party"/>
        <s v="australia|brumby|ranch|stallion|twin"/>
        <s v="dance|friend|monster|reference to batman|valentine"/>
        <s v="church|louisiana|minister|preacher|texas"/>
        <s v="abusive mother|adopted daughter|borderline personality disorder|perfection|sadistic cruelty"/>
        <s v="art model|farmer|jail|nude model|three sisters"/>
        <s v="1930s|athlete|nazi germany|olympics|track and field"/>
        <s v="catfight|dominatrix|rape|spanking|stripper"/>
        <s v="archeologist|catacomb|found footage|paris france|philosopher's stone"/>
        <s v="adultery|attraction|lust|obsession|temptation"/>
        <s v="doctor|louisiana|secret|title directed by female|witchcraft"/>
        <s v="alzheimer's disease|bechdel test passed|linguistics professor|new york city|reference to angels in america the play"/>
        <s v="afterlife|egypt|pharaoh|princess|pyramid"/>
        <s v="bomb|new york city|partner|shooting|terrorist"/>
        <s v="cult film|friday the thirteenth|hockey mask|jason voorhees|murder spree"/>
        <s v="baptism|greek|greek restaurant|prejudice|travel agency"/>
        <s v="kissing a dead body|repeated dialogue|sex in pool|spring break|twins"/>
        <s v="halloween|michael myers|nudity|returning character with different actor|slasher flick"/>
        <s v="beach|cleaning a swimming pool|male male kiss|mexico|on the road"/>
        <s v="british horror|pub|record collection|zombie|zombie apocalypse"/>
        <s v="18th birthday|birthday|community center|resurrection|teenager"/>
        <s v="father son relationship|interracial relationship|neo western|sheriff|texas"/>
        <s v="halloween|michael myers|murder|niece|october"/>
        <s v="april fool's day|island|mansion|psycho|secret"/>
        <s v="baltimore colts|diner|marriage|salesman|wedding"/>
        <s v="drugs|martial arts|texas|texas ranger|weapon"/>
        <s v="cosmonaut|footprint|found footage|moon|secret mission"/>
        <s v="business|crime scene cleanup|private school|school|sister sister relationship"/>
        <s v="asia|fictional country|hotel|rebellion|revolution"/>
        <s v="breasts|critically acclaimed|female frontal nudity|psychotronic film|sword and sorcery"/>
        <s v="king|pharaoh|queen|queen of sheba|tribe"/>
        <s v="color in title|parody|reference to cuba gooding jr|reference to netflix|written by star"/>
        <s v="african american protagonist|based on novel|title spoken by character"/>
        <s v="1910s|ambulance driver|italy|lake|nurse"/>
        <s v="based on video game|box office hit|computer|digimon|internet"/>
        <s v="christian|jewish|pastor|school|virginity"/>
        <s v="cancer|dying|friend|money|socialist"/>
        <s v="crusades|friar|robin hood|sheriff|sheriff of nottingham"/>
        <s v="flashing breasts|hitchhiker|vampire|vampire hunter|virus"/>
        <s v="colonel|mission|partisan|spy|traitor"/>
        <s v="gambling|imagination|television|television station|tv show"/>
        <s v="co worker|game tester|loss of virginity|roommate|snack"/>
        <s v="flatulence|menstrual blood|nomad|nursing school|title directed by female"/>
        <s v="gang|gun|harmonica|killing|woman in bathtub"/>
        <s v="friendship|loudmouth|money laundering|new york city|stripper"/>
        <s v="computer|contract|earth|moon|solitude"/>
        <s v="bar mitzvah|carried in a chair|hebrew|party|rite of passage"/>
        <s v="3d|imax|plesiosaur|sea|water"/>
        <s v="anger|bus|child|lawyer|school"/>
        <s v="catholic church|community|monastery|monk|terrorist"/>
        <s v="airport|california|flat tire|overalls|wine"/>
        <s v="breasts growing|coors light|drugs|hospital|spinning in grave"/>
        <s v="fantasy life|friend|friendship|love|teenage crush"/>
        <s v="heaven|hospital|praying|pronounced dead|recovery"/>
        <s v="alcoholic|beer|bicycle|new neighbor|yard sale"/>
        <s v="blackmail|client|private detective|private investigator|tycoon"/>
        <s v="alienation|conscience|insomnia|paranoia|urban gothic"/>
        <s v="bare breasts|drugs|existentialism|new york city|redemption"/>
        <s v="based on true story|cia|cocaine|journalist|smear campaign"/>
        <s v="car|comic book|comic book artist|iphone|memory"/>
        <s v="drug dealer|drugs|gay|homosexual|party"/>
        <s v="murder|neo nazi|punk band|skinhead|suspense"/>
        <s v="marriage|orgasm|school|sex|swimming"/>
        <s v="box office flop|critically bashed|economy|individual versus society|rescue"/>
        <s v="caper|escapade|motel|robbery|texas"/>
        <s v="bar|box office flop|hostage|new orleans louisiana|police"/>
        <s v="africa|hindu|india|muslim|south africa"/>
        <s v="abu ghraib|abuse|prison|slow motion|torture"/>
        <s v="explosion|hitchhiking|punk|trauma|truck driver"/>
        <s v="cabin|chainsaw|college kid|hillbilly|vacation"/>
        <s v="christmas|fable|old man"/>
        <s v="engineer|ethics|mountain|railroad|south america"/>
        <s v="cola|desert|ice cream cone|teenage girl|vomiting"/>
        <s v="breasts|campus|college|tentacle|virginity"/>
        <s v="farm|handheld camera|impostor|rap|rock paper scissors"/>
        <s v="blood splatter|iraq|murder|rape|soldier"/>
        <s v="death|love|marriage|secret|suspicion"/>
        <s v="catholic|death row|inmate|oklahoma city|sexual promiscuity"/>
        <s v="alien|alien abduction|conspiracy|secret base|ufo"/>
        <s v="apartment|concierge|girl|hitchcockian|stalking"/>
        <s v="countryside|deformed|farmer|gangster|kidnapping"/>
        <s v="african american policeman|police|policeman|policewoman|vomiting"/>
        <s v="flatulence|march|penguin|south pole|spoof"/>
        <s v="best friend|friend|police|police department|psychic"/>
        <s v="demo tape|directed by cast member|grieving father|guitar|guitar player"/>
        <s v="bare butt|baseball|children|new york yankees|surrealism"/>
        <s v="abduction|based on true story|mexico"/>
        <s v="cia|individualism|mental illness|religion|revenge"/>
        <s v="fight|mina|murder|revenge|terrorist"/>
        <s v="astronaut|hoax|journalist|mission|nasa"/>
        <s v="part of trilogy|second part"/>
        <s v="building|infection|navy seal|shot through the head|zombie"/>
        <s v="hotel|legs|lingerie|waiter|wealth"/>
        <s v="2000s|burglar|chef|cook|restaurant"/>
        <s v="friend|mental institution|murder|repair shop|small town"/>
        <s v="boarding school|boy|british horror|ghost|school"/>
        <s v="bratislava|hostel|sadistic horror|torture|travel"/>
        <s v="actor playing himself|battle|boots|penis|womb"/>
        <s v="ambiguous ending|firefly|mysterious event|schizophrenia|storm"/>
        <s v="1960s|boy|ghost|murder|small town"/>
        <s v="actress|coming of age|retired actress|teenage boy|vomiting"/>
        <s v="apology|death|group of friends|sex|toilet"/>
        <s v="chainsaw|chainsaw murder|human monster|music score composed by director|obscene finger gesture"/>
        <s v="bare breasts|flogging|human branding|man slaps a woman|manhunt"/>
        <s v="brutal cop|drug dealer|punishment|thai boxing|vengeance"/>
        <s v="cabin|girl fight|jealousy|sailing boat|tent"/>
        <s v="bare chested male|journalist|passion|pregnancy|woman in underwear"/>
        <s v="boy|dock|letter|seaside|stranger"/>
        <s v="contemporary west|cowboy|horse|jockey|neo western"/>
        <s v="activist|promiscuous daughter|promiscuous woman|sex in a bed|voyeurism"/>
        <s v="incest|male nudity|older man younger woman relationship|orgasm|son murders mother"/>
        <s v="true crime"/>
        <s v="misfit|police|police academy|police cadet|police officer"/>
        <s v="coming of age|island|poison|teenage boy|teenage girl"/>
        <s v="1990s|chick flick|funeral|gay relationship|wedding"/>
        <s v="break up|california|high school|surfer|teacher"/>
        <s v="obsession|revenge|ship|whale|whaling"/>
        <s v="bar|dream|drug dealing|nightclub|widower"/>
        <s v="gangster|lesbian|mafia|money|neo noir"/>
        <s v="addiction|diet pill|drug addiction|fast motion scene|heroin"/>
        <s v="fair|farm|iowa|newspaper|state fair"/>
        <s v="dancer|director|love|musical filmmaking|tango"/>
        <s v="1980s|el salvador|political thriller|reagan administration|war journalism"/>
        <s v="blogger|pastor|reference to the shawshank redemption|taser|tasered"/>
        <s v="1980s|death|insanity|parallel universe|time travel"/>
        <s v="conflicted hero|flashback|mission|rescue|rescue mission"/>
        <s v="bailiff|lawyer|office|police|school"/>
        <s v="male nudity|meth|meth lab|nudity|speed freak"/>
        <s v="forgiveness|ghost|new jersey|pedophile|three sisters"/>
        <s v="cake|christian|lesbian sex|oral sex|pregnant schoolgirl"/>
        <s v="mozart|musical prodigy|royal court|singer|talent"/>
        <s v="inmate|prison|prison guard|soccer|soccer star"/>
        <s v="baby|friendship|macau|practical joke|selfie"/>
        <s v="assumed identity|bolivia|butch cassidy|doctor|thief"/>
        <s v="abandoned by mother|poverty|sex trade|teenage prostitution|unpaid bill"/>
        <s v="breath on mirror|buried alive|engagement ring|looking at one's self in a mirror|serial killer"/>
        <s v="1960s|escape|mental institution|nurse|sexuality"/>
        <s v="cabinet|carnival|halloween|soul|temptress"/>
        <s v="black comedy|friend|modern silent movie|silent movie|two word title"/>
        <s v="1990s|businessman|evacuation|historical fiction|kuwait"/>
        <s v="girl|heroine|kindred spirit|orphan|rural setting"/>
        <s v="bank|criminal|detective|flying squad|policewoman"/>
        <s v="boulder|gangster|one last job|spain|villa"/>
        <s v="double life|drugs|financial crisis|first part|serbian"/>
        <s v="girl|maori|new zealand|tradition|whale"/>
        <s v="adult actor playing minor|politician|progeria|reference to spiderman|school"/>
        <s v="23rd century|lucid dream|outer space|space travel|trapped in space"/>
        <s v="audition|basketball|high school|singing|teenager"/>
        <s v="based on film|brother brother relationship|crime family|remake|southern california"/>
        <s v="actor|love|obsession|obsessive love|star"/>
        <s v="battle|bridge|mother son relationship|supernatural power|vampire"/>
        <s v="androgynous|full frontal male nudity|irish republican army|psychological drama|tragic love"/>
        <s v="female full frontal nudity|revenge|school|sheriff|virginity"/>
        <s v="delaware|feud|island|undead|zombie"/>
        <s v="cemetery|farmhouse|radiation|running out of gas|zombie"/>
        <s v="fish out of water|japanese|loneliness|older man younger woman relationship|unlikely friendship"/>
        <s v="breaking the fourth wall|comedian|jewish|neurosis|singer"/>
        <s v="circus|clown|elephant trainer|trapeze|trapeze artist"/>
        <s v="cunnilingus|female frontal nudity|female nudity|interracial sex|rear entry sex"/>
        <s v="father daughter relationship|playing against type|post apocalypse|protective father|zombie apocalypse"/>
        <s v="alcoholic|bar|love|prostitute|sex"/>
        <s v="hansel and gretel|lesbian kiss|marijuana|witch|witchcraft"/>
        <s v="1920s|communist|escape from jail|newspaper|reporter"/>
        <s v="adultery|argument|older woman younger man relationship|oral sex|sex scene"/>
        <s v="acrobat|circus|cripple|trapeze|trapeze artist"/>
        <s v="biological father|college|motorcycle|sperm|sperm donor"/>
        <s v="alien|brainwashing|construction worker|sunglasses|teleportation"/>
        <s v="digging|escape|escape attempt|prisoner|tunnel"/>
        <s v="consciousness|photographer|radical|science|scientist"/>
        <s v="car fire|evil|hospital|hotel|prophecy"/>
        <s v="12 year time span|coming of age|domestic abuse|growing up|separated parents"/>
        <s v="english garden|fake drowning|fake parent|musical instrument|poker the card game"/>
        <s v="african american stereotype|car wash|rent|roommate|threatening telephone call"/>
        <s v="adult diaper|diaper|digit in title|dream|sawed off shotgun"/>
        <s v="female pubic hair|girl in panties|leg spreading|public nudity|sex in bed"/>
        <s v="cowboy|divorce|horse|sexy|wild horse"/>
        <s v="boy|radio show|social worker|telephone|wisconsin"/>
        <s v="critically bashed|mafia|police|telephone|unemployment"/>
        <s v="dead children|ghost|missing child|orphan|orphanage"/>
        <s v="bare breasts|parody|sexual innuendo|slip and fall|squirting orgasm"/>
        <s v="bisexual|college|drug dealer|drugs|student"/>
        <s v="1960s|agent|cuba|intelligence|spy"/>
        <s v="illinois|judge|male full back nudity|revenge|wine tasting"/>
        <s v="bellhop|coven|gangster|hotel|new year's eve"/>
        <s v="bdsm|employer employee relationship|hospital|mental hospital|secretary"/>
        <s v="cancun mexico|mexico|spring break|vacation|wisconsin"/>
        <s v="listener|neo nazi|radio|radio station|radio talk show"/>
        <s v="amateur theater|dentist|missouri|small town|travel agent"/>
        <s v="black comedy|marriage|marriage proposal|not taking no for an answer|obsessive woman"/>
        <s v="alcoholic|buffalo new york|claim in title|embalming|mortuary"/>
        <s v="attention deficit disorder|debate|drugs|psychologist|school"/>
        <s v="atf agent|ball gag|cult leader|pastor|pretending to be dead"/>
        <s v="circus|dark fantasy|dream|dream world|fantasy world"/>
        <s v="hall of mirrors|mont saint michel france|palace of versailles|turkey the country|yellowstone national park"/>
        <s v="bare breasts|comic relief|dragon|gladiator|harem"/>
        <s v="art teacher|artist|high school|homework|principal"/>
        <s v="escort|f word|no opening credits|one word title|prosecutor"/>
        <s v="beating|hustler|jail|money|revenge"/>
        <s v="1950s|italian|murder|tunisia|vomiting"/>
        <s v="boudoir|death|insanity|male full frontal nudity|penis"/>
        <s v="alcoholic|cigarette smoking|father son relationship|teenage boy|woods"/>
        <s v="con artist|money|orphan|scam|secretary"/>
        <s v="electric chair|haunting|prison|prisoner|revenge"/>
        <s v="cliche|exchange student|slasher|spoof|surfing"/>
        <s v="competition|fake documentary|hairdresser|nudity|reference to liberace"/>
        <s v="counselor|fbi|revenge motive|school|teenage girl"/>
        <s v="alopecia|belfast northern ireland|ireland|irish republican army|scalper"/>
        <s v="australian|female armpit hair|friend|sheffield|yorkshire"/>
        <s v="beach|friend|friendship|happiness|neighbor"/>
        <s v="dying|hospital|parenthesis in title|punctuation in title|tears"/>
        <s v="australia|bar|shipyard|siamese twins|tuna"/>
        <s v="canada|post apocalypse|road movie|vampire|vampire hunter"/>
        <s v="cafeteria|female protagonist|rival|teenage girl|teenager"/>
        <s v="1940s|female bare foot|picket fence|tire|vomiting"/>
        <s v="gay|male frontal nudity|male nudity|male rear nudity|nudity"/>
        <s v="countryside|marriage|maryland|usa|wedding"/>
        <s v="kidnapper|mountaineering|scotland|scottish highlands|sniper"/>
        <s v="imagination|one word title|part animation|surrealism|virtual reality"/>
        <s v="rafting|russia|school|student|teacher"/>
        <s v="continental congress|debate|declaration of independence|massachusetts|pennsylvania"/>
        <s v="bomb|bombing mission|munitions|oxford|royal flying corps"/>
        <s v="directed by star|written and directed by cast member"/>
        <s v="documentary crew|mass suicide|survivor|tied feet|tied up while barefoot"/>
        <s v="escape|high school|high school prom|prom|prom king"/>
        <s v="motel|psychopath|psychopathic killer|road trip|vomiting"/>
        <s v="boyfriend girlfriend relationship|friend|praying|surfing|wave"/>
        <s v="catholic|chancellor|divorce|king henry viii|thomas more"/>
        <s v="media|monologue|television|television network|television news"/>
        <s v="battle of the sexes|gallantry|honesty|indifference|scandal"/>
        <s v="dance|dancer|dancing|desert|iran"/>
        <s v="apache|apache indian|confederate|mexico|scout"/>
        <s v="latina|south central los angeles"/>
        <s v="girl|gun|love|sharpshooter|the end"/>
        <s v="accidental shooting|bird|crow|exploding animal|muslim"/>
        <s v="1910s|desert|dunes|goat|slave"/>
        <s v="gun running|organized crime|pimp|superhero|vigilante"/>
        <s v="hoop|horseback riding|love|pirate|singer"/>
        <s v="bar|bartender|death|heart attack|mentor protege relationship"/>
        <s v="gay|headmaster|oxford|school|teacher"/>
        <s v="colonel|doctor|korean war|major|nurse"/>
        <s v="gay|homosexual|homosexuality|hustler|male rear nudity"/>
        <s v="dole|male stripper|northern england|steel worker|unemployment"/>
        <s v="air traffic controller|airplane|airport|pilot|spoof"/>
        <s v="army|michael jai white|ohio|steve austin"/>
        <s v="bully|drug dealer|first part|neighbor|neighborhood"/>
        <s v="1990s|escape|graduation|hustler|street"/>
        <s v="music business|new york city|record executive|record label|singer"/>
        <s v="anthology|hit and run|hit by a car|living statue|melting woman"/>
        <s v="desert|partner|prostitute|stagecoach|water"/>
        <s v="homoeroticism|kansas|murder|police|robbery"/>
        <s v="belgium|congo|convent|nun|nurse"/>
        <s v="kidnapping|los angeles california|neo noir|private detective|ransom"/>
        <s v="penknife|police|rape|serial killer|united kingdom"/>
        <s v="black magic|goat|isolation|naked woman|witch"/>
        <s v="friend|obscenity|scam|vacant lot|van"/>
        <s v="claim in title|infidelity|irish american|love|sex"/>
        <s v="friendship|gardener|gay interest|homosexual|memory"/>
        <s v="investigation|justice|murder|suspect|tension"/>
        <s v="blood splatter|heart ripped out|jock strap|train|vomiting"/>
        <s v="cabin|cabin in the woods|demon|evil dead|woods"/>
        <s v="based on sketch comedy|corporation|cult film|evil corporation|sex"/>
        <s v="cult film|hurricane|school bus|shark|shark feature"/>
        <s v="1520s|aztec|indian|spanish colonization|spanish conquest"/>
        <s v="bear|cameraman|hunter|secret government agency|troll"/>
        <s v="erectile dysfunction|mugger|mugging|subway robbery|therapy"/>
        <s v="love|michigan|musician|novelist|student"/>
        <s v="1959 cadillac|diamonds|female villain|force field|voyeurism"/>
        <s v="blood splatter|ski mask|stolen money|vomiting|warehouse"/>
        <s v="bar|box office flop|dance|one word title|voice over narration"/>
        <s v="adultery|baptist church|dentist|double murder|tv mini series"/>
        <s v="death|forensic|murder|profiler|serial killer"/>
        <s v="batman|joker|mutant|tattoo on breast|the joker"/>
        <s v="castle|dragon|kidnapping|satire|sword and sorcery"/>
        <s v="chess|drugs|love|meth|pawn"/>
        <s v="desert|held at gunpoint|marine|revenge|sex on table"/>
        <s v="gang leader|italian woman|period piece|purgatory|suicide"/>
        <s v="belldon's hysteria|high anxiety|hitchcockian|murder|parody"/>
        <s v="chick|emperor penguin|journey|ocean|penguin"/>
        <s v="capital management|financial crisis|financial disaster|investment fraud|management"/>
        <s v="apartment|gay parent|job interview|male pubic hair|pubic hair"/>
        <s v="choking|friend|hospital|restaurant|scam"/>
        <s v="conservatory|drummer|emotional abuse|music school|obsession"/>
        <s v="coming of age|male frontal nudity|male nudity|photographer|slum"/>
        <s v="friday|friend|hip hop|techno rave|weekend"/>
        <s v="character name in title|depression|drugs|one word title"/>
        <s v="dead girl|girl|granddaughter|morgue|storage unit"/>
        <s v="deer|gun|gunshot|hunt|kindergarten teacher"/>
        <s v="bb gun|boy|bully|christmas|tongue stuck on a pole"/>
        <s v="inter cultural|latino|restaurant|soccer|train"/>
        <s v="back to school|city|high school|sadism|teacher"/>
        <s v="bare breasts"/>
        <s v="love crime|love triangle|lust|sister sister relationship|unrequited love"/>
        <s v="high school|inner city|school|student|teacher"/>
        <s v="devil worship|incubus|paranoia|raped by a demon|satanism"/>
        <s v="friend|funeral|outlaw|pistol|stagecoach"/>
        <s v="apartment|asperger's syndrome|children|teacher|writer"/>
        <s v="colombia|colombian|drug mule|money|stomach"/>
        <s v="actress|cancer|death|french|gay relationship"/>
        <s v="bar|bloody body of child|dead boy|monster|vomiting"/>
        <s v="academic probation|camera shot of feet|fraternity|school expulsion|smashing a guitar"/>
        <s v="bikini|covered in melted gold|fort knox|gold|pilot"/>
        <s v="celebrity|injection|near future|scalpel|stabbed in the mouth"/>
        <s v="angel|bank|guardian angel|second chance|small town life"/>
        <s v="drug culture|drugs|filthy toilet|heroin addict|heroin withdrawal"/>
        <s v="backstage|comedian|concert film|emcee|stand up comedian"/>
        <s v="california|carlsbad california|house|nanny|security camera"/>
        <s v="dead body|death|lottery|small town|village"/>
        <s v="bank|columbine|columbine high school killings|firearm|school shooting"/>
        <s v="amnesia|cultural revolution|husband wife relationship|memory|political prisoner"/>
        <s v="freddy krueger|gay|gay subtext|homoeroticism|jock strap"/>
        <s v="male nudity|male pubic hair|nude bathing|piano|pubic hair"/>
        <s v="class differences|killing spree|one night|suburb|violence"/>
        <s v="book|found footage|research|snuff film|writer"/>
        <s v="actor name in title|colon in title|four word title|live performance|satire"/>
        <s v="cancer|football|homosexuality|marriage|mississippi"/>
        <s v="ape|astronaut|mission|planet|rescue"/>
        <s v="basketball|boy|dog|dog movie|golden retriever"/>
        <s v="ash|father|mother|pokemon|professor"/>
        <s v="actual animal killed|death|jason voorhees|slasher flick|teen horror"/>
        <s v="allies|bridge|construction|jungle|sabotage"/>
        <s v="alien|halloween|killer robot|outer space|wrestler costume"/>
        <s v="actor|diamond|heir|kidnapping|ransom"/>
        <s v="apartment|elevator|elevator girl|love|mistress"/>
        <s v="brutality|evil|jason voorhees|paranormal phenomena|terror"/>
        <s v="defection|east germany|germany|iron curtain|scientist"/>
        <s v="block party|marching band|neighborhood|new york city|tyrannosaurus rex"/>
        <s v="american west|bounty hunter|frontier|horse riding|outlaw"/>
        <s v="actress shares first name with character|bar|car wash|city|d.j."/>
        <s v="cocaine|package|slow motion scene|topless female nudity|wrong address"/>
        <s v="1920s|evangelist|preacher|revival|traveling salesman"/>
        <s v="judge|law|nazi|nuremberg|war crime"/>
        <s v="apostrophe in title|bare breasts|female nudity|nude black woman|prom"/>
        <s v="celebrity|robot|satire|sketch comedy|stop motion animation"/>
        <s v="cattle|cattle drive|cowboy|kansas|texas"/>
        <s v="female protagonist|size positive|thin|title directed by female|wet dream"/>
        <s v="friend|greece|greek|hotel room|twin"/>
        <s v="falling in love|glowing eyes|insult|teenager|three word title"/>
        <s v="cemetery|female nudity|mortuary|sphere|tall man"/>
        <s v="abuse|bishop|death|flashback|poverty"/>
        <s v="education|factory|high school|mexican american|religious icon"/>
        <s v="gallipoli|tv mini series|world war one"/>
        <s v="ashram|india|love|tradition|widow"/>
        <s v="england|marriage|muslim|pakistani|salford"/>
        <s v="dating|diner|masturbation|urination|washington square manhattan new york city"/>
        <s v="courtesan|friend|kama sutra|seduction|wedding"/>
        <s v="apartment|first date|neighbor|new york|new york city"/>
        <s v="candy|chocolate|factory|miniaturization|sudden change in size"/>
        <s v="druid|eclipse|rune|scalping|warlock"/>
        <s v="camera shot of feet|female stockinged feet|female stockinged soles|nude pantyhose|pantyhose"/>
        <s v="farm|farm worker|grasshopper|harvest|wealth"/>
        <s v="attorney|happiness|house cleaner|physics|professor"/>
        <s v="best friend|bitch|friend|popular girl|prom"/>
        <s v="andy warhol|art|artist|friendship|street artist"/>
        <s v="best friend|black and white|father daughter relationship|female protagonist|mother daughter relationship"/>
        <s v="baby|bathing a baby|criminal|slum|vomiting"/>
        <s v="ensemble cast|episodic structure|satire|social satire|suburb"/>
        <s v="african american|family relationships|stand up comedian|stand up comedy"/>
        <s v="canada|human becoming an animal|mad scientist|part of trilogy|walrus"/>
        <s v="brother sister relationship|hypnosis|imprisonment|love|revenge"/>
        <s v="cancer|faith|hope|letter|prayer"/>
        <s v="hobo|pedophile|rampage|shotgun|vigilante"/>
        <s v="freeway|nightmare|police|school|trailer park"/>
        <s v="19th century|faith|mayor|ranch|sheriff"/>
        <s v="15 year old|dancing|essex|little sister|suburb"/>
        <s v="college|college campus|dance craze|depression|fraternity"/>
        <s v="author cameo|family relationships|island|monster|two part tv movie"/>
        <s v="bachelorette party|drug use|high school|overdose|wedding dress"/>
        <s v="brains|exploding head|politician|swarm behavior|washington d.c."/>
        <s v="based on a book|based on a novel|made for tv movie|music school|support"/>
        <s v="film in film|man with glasses|reference to steven spielberg|self referential|shopping mall"/>
        <s v="concierge|front desk|hotel|maid|prostitute"/>
        <s v="friend|friendship|rowing|storm|summer camp"/>
        <s v="blood splatter|chain|murder|mysterious killer|warning"/>
        <s v="1955 chevrolet|nurse|peeping tom|reference to brooklyn dodgers|spying"/>
        <s v="doggystyle sex|rough sex|sodomy|torture|violent sex"/>
        <s v="ghost|irish|kissing|novelist|widower"/>
        <s v="death|detective|house|missing|supernatural"/>
        <s v="independent film|spoof"/>
        <s v="actor|italian american|mexico|orphan|usa"/>
        <s v="boarding school|coming of age|female friendship|lesbian|new england"/>
        <s v="dealer|drugs|killer|police"/>
        <s v="halloween party|new york city|racism|romcom|spoof"/>
        <s v="exorcism|female nudity|haunted house|lesbian kiss|masturbation"/>
        <s v="bad cop|college|second part|sequel|wrestler"/>
        <s v="criminal|gangster|money|revenge|violence"/>
        <s v="number in title|single father"/>
        <s v="dubstep|tied feet"/>
        <s v="eugene oregon|independent film|obsession"/>
        <s v="police officer|police officer taken hostage"/>
        <s v="19th century|based on novel|disfigurement|harpooner|independent film"/>
        <s v="detective|killer|police|shootout|thong"/>
        <s v="doctor|letter|paternity|sex|testicles"/>
        <s v="brazil|letter|rio de janeiro brazil|sertao|teacher"/>
        <s v="1930s|apple|dude|luck|new york city"/>
        <s v="corrupt sheriff|drug cartel|flash drive|niece|sheriff"/>
        <s v="title spoken by character"/>
        <s v="child in peril|electroshock therapy|memory|memory loss|teenage girl"/>
        <s v="cheating|economics|experiment|human nature|sumo wrestling"/>
        <s v="car chase|plot twist|police van|rear ending a car|slasher"/>
        <s v="alter ego|awkwardness|office|scientist|superhero"/>
        <s v="alaska|climate change|global|polar bear|scientific"/>
        <s v="baby|friend|hip hop|pimp|stripper"/>
        <s v="all girl band|band|cross dressing|musician|yacht"/>
        <s v="death|jason voorhees|massacre|slaughter|telekinesis"/>
        <s v="evil witch|tornado|witch|wizard|wizard of oz"/>
        <s v="assistant|castle|experiment|frankenstein's monster|scientist"/>
        <s v="barn|film student|hospital|mummy|video camera"/>
        <s v="love|professor of history|radio|satyagraha|unscrupulous builder"/>
        <s v="beekeeper|bound and gagged|dysfunctional family|man with glasses|tied to a chair"/>
        <s v="black horse|boy horse relationship|horse|rescued by a horse|training"/>
        <s v="crew|cult film|denmark|earth|wristwatch"/>
        <s v="falling into water|medical doctor|priest|roof leak|swimming in the ocean"/>
        <s v="bare breasts|bra|panties|topless female nudity|underwear"/>
        <s v="heaven|pilot|teacher|training|world war two"/>
        <s v="railroad|reference to douglas fairbanks|reference to jesse owens|reference to randolph scott|year 1874"/>
        <s v="friday the thirteenth|hockey mask|jason voorhees|morgue|slasher"/>
        <s v="convent|jew|jewish|nun|poland"/>
        <s v="homosexuality|love|male full frontal nudity|male rear nudity|one word title"/>
        <s v="baseball|baseball movie|beer|slacker|softball"/>
        <s v="beach|surfing|surfing contest|two word title|wave"/>
        <s v="binoculars|hitchcockian|scissors|time machine|woods"/>
        <s v="hiking|voyeur|voyeurism|west virginia|woods"/>
        <s v="actress|chorus girl|fan|friend|love"/>
        <s v="fat|food|health|juice|obese"/>
        <s v="hamburger|parody|priest|psychic|woman in a bikini"/>
        <s v="critically bashed|partisan commentary|political propoganda|punctuation in title|reenactment"/>
        <s v="band|drummer|jazz|pennsylvania|song"/>
        <s v="doctor|factory|halloween|holiday horror|stonehenge"/>
        <s v="ape|fear|future|spacecraft|spaceship"/>
        <s v="alcoholism|forename as title|rancher|rodeo cowboy|texas"/>
        <s v="lying|montreal|reference to twitter|reference to youtube|toronto"/>
        <s v="friend|hustler|italy|narcolepsy|traveling"/>
        <s v="actor|doctor|drugs|home|pain"/>
        <s v="american|conversations|kiss|love|train"/>
        <s v="canadian gothic|hospital|murder|paranormal|supernatural"/>
        <s v="hospital|love|mennonite|shower|song"/>
        <s v="chinese|chinese american|lesbian love|mother daughter relationship|surgeon"/>
        <s v="arranged marriage|bangladesh|buckingham palace|september 11 2001|title directed by female"/>
        <s v="burglary|dementia|near future|robot|thief"/>
        <s v="cancer|death|doctor|drinking|love"/>
        <s v="crying man|high school|high school senior|men's clothing store|party"/>
        <s v="student film|wonder years"/>
        <s v="catholic|christian|jew|muslim|religion"/>
        <s v="alternative energy|energy|fuel|green|oil"/>
        <s v="dolphin|island|research|tourist|town"/>
        <s v="church|marriage|mormon|mormon church|proposition"/>
        <s v="birthday|call center|fiance|hotel|indian"/>
        <s v="dissection|male pubic hair|medical school|medical student|train"/>
        <s v="computer|future|mexican immigrant|network|wilhelm scream"/>
        <s v="drug dealer|superhero|tragedy|tragic hero|tragic love"/>
        <s v="boss|holiday|letter|north pole|santa"/>
        <s v="catering|monster|one word title|party|wasp"/>
        <s v="actor|bus|march|million man march|religion"/>
        <s v="bound with duct tape|flash forward|number|riddle|stalking"/>
        <s v="experiment|future|hibernation|stupidity|top secret"/>
        <s v="england|racism|racist|skinhead|violence"/>
        <s v="acronym in title|period in title|title ends with period"/>
        <s v="college|teacher|theatrical producer|tutu|wedding"/>
        <s v="exclamation point in title|imperative in title|punctuation in title|three word title"/>
        <s v="best friend|friendship|population|state in title|texas"/>
        <s v="gambling|interracial marriage|love|miscegenation|showboat"/>
        <s v="death of loved one|loss of father|loss of loved one|musician|singer"/>
        <s v="bouquet|house fire|praying|serial killer|tied to a chair"/>
        <s v="journey|obsolescence|radio|toaster|vacuum cleaner"/>
        <s v="apprentice|classical music|disney|mouse|orchestra"/>
        <s v="defecation|hockey mask|jason voorhees|lake|serial killer"/>
        <s v="jason voorhees|murder|new jersey|nightmare|teenager"/>
        <s v="1850s|christian film|dark secret|funeral|sin eater"/>
        <s v="belief|faith|pastor|question in title|three word title"/>
        <s v="championship|hit and run|police|police investigation|volleyball"/>
        <s v="immigrant|maid|steel mill|strike|union"/>
        <s v="flare gun|island|plane crash|soccer team|stranded"/>
        <s v="acceptance|coming out to family|gay|large family|wedding"/>
        <s v="claim in title|contraction in title|new york|new york city|woodstock"/>
        <s v="cult film|demon|monster slayer|uncle|vomiting"/>
        <s v="love|pity|readjusting to civilian life|veteran|world war two veteran"/>
        <s v="cruelty|friend|male frontal nudity|male nudity|pubic hair"/>
        <s v="friendship|mental illness|poet|sex obsession|virgin"/>
        <s v="apartment building|character's point of view camera shot|fire station|subjective camera|television reporter"/>
        <s v="hazmat suit"/>
        <s v="assassin|british agent|british secret service|decoder|russian"/>
        <s v="bare breasts|japan|tokyo japan|toxic avenger|troma"/>
        <s v="detective|mississippi|police|police detective|small town"/>
        <s v="frozen|future|health food|leader|police"/>
        <s v="ambiguous ending|being followed|sex scene|supernatural|supernatural being"/>
        <s v="aphrodisiac|court jester|jester|queen|written and directed by cast member"/>
        <s v="1930s|alabama|lawyer|six year old|trial"/>
        <s v="australian|gasoline|post apocalypse|refinery|warrior"/>
        <s v="battle|fight|fighting|martial artist|snake"/>
        <s v="drinking|female dressed as male|love|nebraska|transgender"/>
        <s v="bound and gagged|girl|haunted house|hearing noises|uninterrupted shot"/>
        <s v="east germany|police|secret police|stasi|writer"/>
        <s v="faith|fatherhood|integrity|police|responsibility"/>
        <s v="drink|manager|money|partner|pool hall"/>
        <s v="oil|oil field|oil tycoon|partnership|wildcatter"/>
        <s v="belleville|dog|mafia|tour de france|very little dialogue"/>
        <s v="family abandonment|fire|loss of father|native american protagonist|native american reservation"/>
        <s v="1980s|comic book|dark horse comics|reference to david letterman|robert crumb"/>
        <s v="book|bookstore|love|simultaneity|train"/>
        <s v="animal in title|dog fight|mexico city|multiple perspectives|nonlinear timeline"/>
        <s v="13 year olds|adolescence|friend|peer pressure|teacher"/>
        <s v="bigotry|jewish|prejudice|racism|writer"/>
        <s v="bail|crystal meth|family relationships|female protagonist|search for father"/>
        <s v="bone|climbing|crevasse|partner|rope"/>
        <s v="band|dance|ragtime|singer|violinist"/>
        <s v="fellatio|seven word title|shoe salesman|title directed by female|written by director"/>
        <s v="florida|iceland|interview|new york city new york|recession"/>
        <s v="box office flop|critically bashed|male objectification|narcissism|wannabe dj"/>
        <s v="african american|code|dog|pigeon|samurai"/>
        <s v="blood splatter|friend|lapd|mexican|violence"/>
        <s v="auto theft|based on true story|drug addict|kidnapping|violence"/>
        <s v="birthday|friend|hollywood|party|sex"/>
        <s v="evil spirit|hatchet|ouija|ouija board|psychopathic killer"/>
        <s v="alternative comedy|female protagonist|high school|social satire|three word title"/>
        <s v="controversy|ejaculation|male frontal nudity|oral sex|unsimulated sex"/>
        <s v="bar|dog|interview|lebanon|nightmare"/>
        <s v="jerusalem|journey|promised land|ship|wilderness"/>
        <s v="american politics|iraq|iraq war|occupation|white house"/>
        <s v="1970s|mother's boyfriend|overalls|phone booth|sexual promiscuity"/>
        <s v="breaking the fourth wall|brother brother relationship|high school friends|imperative in title|skateboard"/>
        <s v="1960s|astronaut|moon|nasa|spacecraft accident"/>
        <s v="desert|oregon|survival|trust|water"/>
        <s v="clitoris|deep throat|fellatio|oral sex|porn industry"/>
        <s v="detective|food|gangster|police|restaurant"/>
        <s v="office|office politics|photo booth|snobbery|title directed by female"/>
        <s v="masturbation|porn star|sex lesson from a prostitute|spreadeagle|topless"/>
        <s v="band|blackmail|safe|subway|train"/>
        <s v="artist|butchery|catholic|catholic school|friend"/>
        <s v="high school|purity|stepbrother|temptation|vagina dentata"/>
        <s v="boy|guitar|orphan|rock 'n' roll|sword"/>
        <s v="elevator|news reporter|police|restaurant|waiter"/>
        <s v="deafness|disappearance|ears|ibiza|musician"/>
        <s v="city name in title|male frontal nudity|place name in title"/>
        <s v="fight|gang|hiking|wales|working class"/>
        <s v="box office flop|critically bashed|gay rights|new york city|stonewall riots"/>
        <s v="alternate reality|pacific northwest|small town|small town life|small town sheriff"/>
        <s v="india|love|love at first sight|mumbai india|reference to edward scissorhands"/>
        <s v="gangster|heist|internet|mafia|miami florida"/>
        <s v="cave|cobra|island|medallion|waterfall"/>
        <s v="based on play|number in title"/>
        <s v="cellphone|detective|missing person|private detective|train"/>
        <s v="female nudity|living dead|self mutilation|sequel|zombie"/>
        <s v="bar|coke|drugs|party|snorting"/>
        <s v="ex convict|halfway house|nipples visible through clothing|orgasm|parole officer"/>
        <s v="alien abduction|debate|lesbian|pregnant|spaceship"/>
        <s v="camping|forest|lake|stabbed with glass|vomiting"/>
        <s v="gay interest|guitarist|obsessed fan|seduction|sex scene"/>
        <s v="blood|breasts|female nudity|lesbian|vampire"/>
        <s v="carjacking|drug lord|johannesburg south africa|police|post apartheid"/>
        <s v="alibi|box office flop|newspaper clipping|non statutory female on male rape|profiler"/>
        <s v="ghost|ghost hunting|labyrinth|paranormal|reality show"/>
        <s v="cat killer|death of animal|high heels|kneed in the crotch|kneed in the groin"/>
        <s v="betrayal|car|connection|death|gun"/>
        <s v="fictitious country|latin america|president|rebellion|reference to fidel castro"/>
        <s v="1990s|brother brother relationship|nantucket island|one word title|sister sister relationship"/>
        <s v="law partner|murder|partner|seaman|yacht"/>
        <s v="death|desert|robber|sheriff|waitress"/>
        <s v="1990s|homoeroticism|reference to kurt cobain|road trip|year 1994"/>
        <s v="fire investigator|landlord|suicide|talking to one's self in a mirror|turpentine"/>
        <s v="barista|coffee|coffee shop|fight|insult"/>
        <s v="1950s|independent film|outlaw|trial"/>
        <s v="christmas tree|french canadian|new york|salesman"/>
        <s v="count|drawn and quartered|tied up|torture chamber|torture device"/>
        <s v="addict|paternity|rascal|swimming pool|texas"/>
        <s v="based on stage musical|based on stage musical based on stage play|freedom|historical fiction|virgin"/>
        <s v="character name in title|election campaign|presidential election"/>
        <s v="1800s|doc holliday|robbers|sheriff|texas"/>
        <s v="zombie|zombie spoof"/>
        <s v="blood|daughter|jail|police|shark"/>
        <s v="death|friend|high school|murder|police"/>
        <s v="boy|caretaker|dam|evacuation|orphanage"/>
        <s v="killed in police car|mercenary|police officer shot in the leg|police officer shot through the heart|whistleblower"/>
        <s v="buried alive|coffin|iraq|one person|single set production"/>
        <s v="15 year old|school|teen comedy|teen movie|virginity"/>
        <s v="fellatio|female frontal nudity|male frontal nudity|nude sunbathing|orgy"/>
        <s v="new york city|passion|reenactment|rooftop|tower"/>
        <s v="boat|one word title|sea|storm|survivor"/>
        <s v="basketball|burglary|police|robbery|teenage girl"/>
        <s v="cult film|documentary crew|exorcism|found footage|satanic ritual"/>
        <s v="1960s|childhood|friendship|love|the beatles"/>
        <s v="brother in law sister in law relationship|expectant father|histrionic personality disorder|middle aged woman|off screen rape"/>
        <s v="bomber|doomsday|general|u.s. president|war room"/>
        <s v="church|love|mexico|politics|priest"/>
        <s v="auroch|community|hospital|illness|six year old"/>
        <s v="ape|general|gorilla|outer space|planet of the apes"/>
        <s v="doctor|mountain|musician|song|university"/>
        <s v="1960s|belief in the afterlife|domestic violence|faith|minister"/>
        <s v="advertising|movie in title|product placement"/>
        <s v="based on ed gein|dog|hyperactive|macabre|zombie"/>
        <s v="bhutan|buddhist|monk|storytelling|weaver"/>
        <s v="imperative in title|judge|marshal|murder|vigilante"/>
        <s v="editor|gangster|newspaper|organized crime|press"/>
        <s v="birthday|birthday party|colonoscopy|hospital|surgery"/>
        <s v="fireworks|kiss|to be continued ending|uncle nephew relationship|usaf"/>
        <s v="ex boyfriend ex girlfriend relationship|gossip|inheritance|mansion|reference to howard university"/>
        <s v="bechdel test failed|money|multiple outcomes|repeated event|subway"/>
        <s v="case|doll|dry humor|friend|love"/>
        <s v="cave|salmon"/>
        <s v="brother|cave|caver|dark|funeral"/>
        <s v="12 year old|boy|mexican|mexican immigrant|mexico"/>
        <s v="ape|future|intelligence|revolution|slave revolt"/>
        <s v="doctor|maine|only son|school choir|summer"/>
        <s v="horror movie remake|rape|rape and revenge|rape victim|revenge"/>
        <s v="banker|beauty pageant|escaped convict|gay|pageant"/>
        <s v="female frontal nudity|lesbian relationship|summer|voyeurism|yorkshire"/>
        <s v="delivery|delivery to wrong address|lunchbox|open ended|unconventional romance"/>
        <s v="beach|lebanese|loss|muslim|restaurant"/>
        <s v="eccentric|friend|house|monopoly|stenographer"/>
        <s v="boxing|captain|hawaii|love|sergeant"/>
        <s v="captain|cavalry|fort|retirement|yellow ribbon"/>
        <s v="christianity|love|reference to justin bieber|reference to taylor swift|worship"/>
        <s v="accidental killing|drug humor|profanity|sexual humor|stand up comedy"/>
        <s v="betrayal|family relationships|insecurity|murder|passive aggression"/>
        <s v="caramel|friendship|police|secret|suitor"/>
        <s v="haunted house"/>
        <s v="gay|hairy chest|homosexual|israel|male nudity"/>
        <s v="corruption|neo noir|recording|saxophone|surveillance"/>
        <s v="antibes|hotel|island|reunion|reunion island"/>
        <s v="film student|marriage|mental breakdown|movie star|obsession"/>
        <s v="female rear nudity|flesh eating virus|horror movie remake|remake|topless female nudity"/>
        <s v="domestic violence|pregnancy|unhappy marriage|unwanted pregnancy|waitress"/>
        <s v="hand to hand combat|hong kong|kumite|martial arts|tournament"/>
        <s v="camp|corruption|governor|senate|u.s. senate"/>
        <s v="coming of age|marijuana|rape|virgin|weed"/>
        <s v="boy|divorce|tennis|tennis coach|writer"/>
        <s v="friend|friendship|journalist|new york city|personal ad"/>
        <s v="amnesia|dream analysis|dream sequence|guilt complex|post traumatic stress disorder"/>
        <s v="bird|cult film|egg|nightclub|toronto"/>
        <s v="shower|stripper|tap dancing|underwear|undressing"/>
        <s v="baby|boy|coma|demon|house"/>
        <s v="punk|punk rocker|repossession|televangelist|ufo"/>
        <s v="con artist|hotel|partner|scam|stamp"/>
        <s v="interview|jerusalem|jewish|terrorism|terrorist bombing"/>
        <s v="commune|defecation|environmentalism|fellatio|island"/>
        <s v="feces in a swimming pool|female vomiting|high school|lifeguard|male objectification"/>
        <s v="bank|bastille day|call girl|childhood friend|drugs"/>
        <s v="jew|jewish nazi|nazism|racism|skinhead"/>
        <s v="flashback|football game|school|small town|snow"/>
        <s v="abandoned asylum|abandoned hospital|asbestos|lobotomy|multiple personality"/>
        <s v="cheese|city|ice cream|school|second city"/>
        <s v="bayou|boat|louisiana|swamp|tour"/>
        <s v="actor director writer|invention|machine|music score composed by director|tramp"/>
        <s v="catholic|catholicism|rabbi|school|summer"/>
        <s v="b movie|birthday|chinese|demon|small town"/>
        <s v="girl in panties|panties|red panties|stand up comedy"/>
        <s v="love|music producer|previous marriage|rock 'n' roll|russian"/>
        <s v="american|filipino|friendship|guerrilla army|village"/>
        <s v="blood splatter|talk radio|virus|vomiting blood|zombie apocalypse"/>
        <s v="cancer|cigarette smoking|hospital|one night stand|trucker"/>
        <s v="blood|flashback|radio dj|radio station|vinyl"/>
        <s v="bloody violence|exploding head|haunted house|plot twist|slapstick"/>
        <s v="greed|pollution|slave labor|truth|wal mart"/>
        <s v="death|high school|prostitute|suicide|time travel"/>
        <s v="adolescence|girl next door|growing vegetables|high standards|sent away"/>
        <s v="bullying|cyberbullying|girl|internet|throat slitting"/>
        <s v="after dark horrorfest"/>
        <s v="dwarf|love|princess|queen|snow white"/>
        <s v="16 year old|doctor|hotel|tinnitus|title directed by female"/>
        <s v="bare chested male bondage|european|female frontal nudity|topless woman|war paint"/>
        <s v="boat|director|loch ness|loch ness monster|monster"/>
        <s v="college student|disfigured face|house|suicide|website"/>
        <s v="male pubic hair|manipulative personality|murder of wife|neglected wife|pubic hair"/>
        <s v="ghost story|manson family|paranormal|real life event|reference to sharon tate"/>
        <s v="black cat|catwoman|dc comics|penguin|riddler"/>
        <s v="antique|cockney accent|hatchet|money|shotgun"/>
        <s v="city name in series title|homicide|older man younger man relationship|place in series title|police partner"/>
        <s v="dogme 95|family secret|haunted by the past|secret|speech"/>
        <s v="alcoholic drink|bar|drink|drinking|drunk"/>
        <s v="1970s|1980s|nonlinear timeline|rescue|vietnam war"/>
        <s v="basketball|german immigrant|opera|two word title|war orphan"/>
        <s v="art teacher|cannibal|inspiration|painter|sleepwalking"/>
        <s v="alien|born in vitro|in vitro fertilization|marine|outer space"/>
        <s v="19th century|central asia|mother son relationship|ruler|russian empire"/>
        <s v="canuxploitation|independent film|post apocalypse|remake|survival"/>
        <s v="blaxploitation|hanukkah|jewish|kwanzaa|santa claus"/>
        <s v="interrupted sex|kiss|love|mistaken sex scene|sex in car"/>
        <s v="masturbation|porn actor in mainstream movie|sex|spoof|virginity"/>
        <s v="death|estate|housekeeper|love|monte carlo"/>
        <s v="ice pick|jason voorhees|lake|pitchfork|shack"/>
        <s v="addiction|alcoholic|alcoholism|paranoia|suicidal thoughts"/>
        <s v="bum|city|mutant|new york city|street"/>
        <s v="animal|donkey|lamb|pig|rooster"/>
        <s v="hitchcockian|husband murders wife|murder|niagara falls|overhead shot"/>
        <s v="coal mine|girl|school|village|wales"/>
        <s v="escort|female nudity|friendship|money|sex scene"/>
        <s v="horror movie remake|remake|undead|undead sex|undead sexuality"/>
        <s v="affair|interview|marriage|sex|videotape"/>
        <s v="chained|flashback|killer|serial killer|surprise ending"/>
        <s v="drugs|highway|police|state trooper|vermont"/>
        <s v="algeria|algerian|los angeles california|muslim"/>
        <s v="actress shares first name with character|appendicitis|hospital|loss of mother|supermarket"/>
        <s v="arranged marriage|bride|celebration|marriage|wedding"/>
        <s v="bank|car accident|cheating husband|new york|single mother"/>
        <s v="artist|death|hunting|sheriff|vermont"/>
        <s v="cheerleader|gay|homosexual|lesbian|lesbian relationship"/>
        <s v="addiction|alcoholic|baseball|car accident|reference to god"/>
        <s v="gang|heist|heist gone wrong|nonlinear timeline|robbery"/>
        <s v="1800s|bird|blue bird of happiness|foreign language adaptation|past"/>
        <s v="civil war|hitman|outlaw|shootout|spaghetti western"/>
        <s v="brazil|exam|housekeeper|northeast region of brazil|portuguese language"/>
        <s v="church|college|color in title|philosophy|texas"/>
        <s v="female bassist|female drummer|female guitarist|female singer|portland oregon"/>
        <s v="breast cancer|comma in title|period in title|punctuation in title|three word title"/>
        <s v="las vegas nevada|museum|reference to mr. rogers|reference to vincent van gogh|talking about suicide"/>
        <s v="female explicit nudity|hand job|oral sex|penetration|unsimulated sex"/>
        <s v="guitar|hearse|manager|musician|singer"/>
        <s v="box office flop|female frontal nudity|pink bra and panties|red bra and panties|sex"/>
        <s v="attack|fort|india|lancer|massacre"/>
        <s v="forest|found footage|lost|murder|road trip"/>
        <s v="cincinnati ohio|high school|hockey|jock strap|zoologist"/>
        <s v="black cop|chase|cotton|four word title|new york city"/>
        <s v="bare breasts|bra and panties|nudity|syringe"/>
        <s v="cook|dishwasher|flashing|male frontal nudity|waiter"/>
        <s v="anger|army veteran|independent film|revenge|sex scene"/>
        <s v="based on true story|blood|serial killer|slasher|tv mini series"/>
        <s v="bathtub|cult film|neck breaking|tennessee|wraparound story"/>
        <s v="bisexual|explicit sex|sex|stranger|swing"/>
        <s v="ballet|cult film|dance|dracula|gothic"/>
        <s v="food|food in title|potato"/>
        <s v="exploitation|four word title|hallucinogen|lynchian|telepathy"/>
        <s v="apartment|drug lord|gangster|police|swat team"/>
        <s v="flashback|immortality|rural setting|vampire|zombie"/>
        <s v="american expatriate|casablanca morocco|gestapo|police|visa"/>
        <s v="ghost|lake|parapsychologist|psychic|secret"/>
        <s v="boss|computer|honesty|sales|salesman"/>
        <s v="forest|greenhouse|plant|robot|space"/>
        <s v="boxer|hometown hero|philadelphia pennsylvania|protective male|training"/>
        <s v="female nudity|male nudity|male rear nudity|nudity"/>
        <s v="18th century|rags to riches|secret letter|squire|tutor"/>
        <s v="blender|computer screen|secret|skype|webcam"/>
        <s v="loner|neo noir|night shift|taxi driver|vigilante"/>
        <s v="1980s|forest|lycanthrope|shapeshifting|werewolf transformation"/>
        <s v="british secret service|hand to hand combat|murder|official james bond series|terrorist plot"/>
        <s v="abandoned building|chernobyl disaster|exploration|tour guide|van"/>
        <s v="blood|cenobites|creature|demon|male full frontal nudity"/>
        <s v="alternate universe|christian|christian film|christianity|manipulation"/>
        <s v="e mail|game|school|serial killer|student"/>
        <s v="godzilla|kaiju|monster|orga|ufo"/>
        <s v="dog hit by a car|dysfunctional family|falling in love|female in shower|unhappily married woman"/>
        <s v="bail|male full frontal nudity|sex change|stepfather|transsexual"/>
        <s v="critically bashed|demonic possession|exorcism|exorcist|found footage"/>
        <s v="band|drugs|friendship|hollywood|satire"/>
        <s v="army|civil war|robbery|soldier|train"/>
        <s v="climate|earth|global warming|science|truth"/>
        <s v="battle|combat|heroic military|sergeant|tarawa"/>
        <s v="band|concert footage|new york city|rolling stones|three word title"/>
        <s v="activist|amazon|color in title|rain|rain forest"/>
        <s v="france|gay|language|male masturbation|masturbation"/>
        <s v="falling in love|iron lung|priest|sex surrogate|therapist"/>
        <s v="farming|flesh eating|food|food industry|gluttony"/>
        <s v="abortion|anti choice|christian preach|malpractice|unprofessional conduct"/>
        <s v="love|marine biologist|nurse|personal ad|plumber"/>
        <s v="adultery|brother sister relationship|estrangement|siblings|suicide attempt"/>
        <s v="connecticut|cult|memory|new york|telephone call"/>
        <s v="abortion|divorced parents|one night stand|pregnancy|pregnant"/>
        <s v="border|mohawk|money|new york|river"/>
        <s v="backup singer|band|bechdel test passed|concert footage|singer"/>
        <s v="actor|anilingus|double cross|funeral home|two timing"/>
        <s v="briefs|cancer|cat|cult film|friend"/>
        <s v="california|car|reference to ralph nader|technology|u.s. president"/>
        <s v="friend|gay|lesbian|photographer|restaurant"/>
        <s v="cult film|elvis|elvis presley|nursing home|texas"/>
        <s v="gang|independent film|prison|racial slur|urban setting"/>
        <s v="fbi agent|mormon|prayer|sheriff|utah"/>
        <s v="mumbai riots|politician|riot|suicide|tragic event"/>
        <s v="book of mormon|fight|mormon|ray gun|sidekick"/>
        <s v="best friend|lake|love|small town|womanizer"/>
        <s v="dying|to do list|twenty something|underwear|voyeur"/>
        <s v="contest|poetry|refusing to eat|starving oneself|teenage girl"/>
        <s v="divorce|friend|jewish|lent|restaurant"/>
        <s v="girls' soccer|high school|high school student|soccer coach|teenager"/>
        <s v="arab|christian|israeli|palestinian|violence"/>
        <s v="afterlife|camping|death|hitchhiker|suicide"/>
        <s v="buddhism|evolution|eye|reincarnation|stuck in elevator"/>
        <s v="bully comeuppance|high school|painter|reference to led zeppelin|wetting pants"/>
        <s v="death squad|mass killing|musical number|reference to guantanamo bay|surrealism"/>
        <s v="afghanistan|detainee|guantanamo bay|taxi|torture"/>
        <s v="new york|new york cosmos|professional sports|soccer|soccer team"/>
        <s v="bare chested male|discipline|imperialism|whipping|white slavery"/>
        <s v="actress|fame|inside joke|new york|one man show"/>
        <s v="antarctica"/>
        <s v="artist|denmark|lego|toy|toy company"/>
        <s v="family relationships|loss of mother|san diego california|single mother|suicide attempt"/>
        <s v="chocolate|christmas|christmas eve|death|suspect"/>
        <s v="cult film|eclipse|haunted house|lunar eclipse|secret"/>
        <s v="arm tattoo|bank robbery|cauterizing a wound|dancing on a table|dinner party"/>
        <s v="gangster|organized crime|robbery|rosh hashanah|safecracking"/>
        <s v="car racing|crush|hustler|scam|watching television"/>
        <s v="actor|magazine|model|rock band|suburb"/>
        <s v="action figure|press conference|superhero|superhero team|toy"/>
        <s v="birthday|digit in title|love|masturbation|teenager"/>
        <s v="female nudity|female pubic hair|masturbation|panties|pubic hair"/>
        <s v="art exhibition|augmented reality|cocaine|nervous breakdown|speculative fiction"/>
        <s v="dream sequence|locked in a room|looking at self in mirror|medication|superhero"/>
        <s v="automobile association of america|cheating|psychic|reference to tom jones the singer|trailer park"/>
        <s v="cnn reporter|ellipsis in title|matrix|punctuation in title|secret agent"/>
        <s v="camp|die hard scenario|female protagonist|island|vice president"/>
        <s v="based on play|character name in title"/>
        <s v="corrupt police|drug cartel|drugs|mexico|police"/>
        <s v="pakistan|road trip"/>
        <s v="older woman younger woman relationship|sex with student|teacher|teacher student relationship|title directed by female"/>
        <s v="courtroom|independent film|internet|small town|youtube"/>
        <s v="police|revenge|sex|suburb|video camera"/>
        <s v="erotica|masseuse|sister sister relationship|temptation|threesome"/>
        <s v="beatnik|businessman|necrophilia|party|partying"/>
        <s v="basketball|drug abuse|interracial rape|iowa|tween girl"/>
        <s v="cult|homosexual|island|survival horror|zombie"/>
        <s v="reference to snow white|sleeping bag|stepmother stepdaughter relationship|strangulation|totem pole"/>
        <s v="best friend|deportation|moroccan|unrequited love|xenophobia"/>
        <s v="business trip|german|love|new york|singer songwriter"/>
        <s v="1880s|cowboy|low budget film|shoot out|wild west"/>
        <s v="bare breasts|female frontal nudity|hunter|island|weekend"/>
        <s v="cabin in the woods|drinking acid|introvert|lesbian kiss|truth or dare"/>
        <s v="dominance submissiveness|female nudity|human branding|human pet|power exchange"/>
        <s v="bare breasts|based on web series|claustrophobia|doctor|phobia"/>
        <s v="desert|drifter|seduction|siege|zombie"/>
        <s v="disability|experiment|genius|intelligence|mouse"/>
        <s v="experiment|lsd|missing friend|mk ultra|radio broadcast"/>
        <s v="1990s|brother sister relationship|female protagonist|single mother|sitcom"/>
        <s v="bare breasts|female protagonist"/>
        <s v="facebook|imdb|mediaatlarge.com|mediaatlargellc|sperm donor"/>
        <s v="two word title"/>
        <s v="death|dock|longshoreman|murder|union"/>
        <s v="friendship|los angeles california|one night stand|roommate|single mother"/>
        <s v="female rear nudity|friend|hotel|rainy night|towel"/>
        <s v="anthology"/>
        <s v="chatting|missing person poster|online dating|photographer|sexual predator"/>
        <s v="deaf|death|dysfunctional family|godparent|secret"/>
        <s v="closeted lesbian|iranian|islamophobia|propaganda|teenager"/>
        <s v="22 year old|b.a.r.t.|bay area|birthday|police"/>
        <s v="mini dress|mini skirt|money|voyeur|voyeurism"/>
        <s v="animal|bambi|deer|forest|hunter"/>
        <s v="birthday|boxing|coach|gym|olympics"/>
        <s v="christian|male frontal nudity|mormon|mormon missionary|nudity"/>
        <s v="foreign|french"/>
        <s v="number in title|semi autobiographical"/>
        <s v="friend|friendship|gay|phone sex|sex"/>
        <s v="best friends|friendship|masturbation|reference to matthias steiner|single"/>
        <s v="bible|christian propaganda|christianity|time machine|zealot"/>
        <s v="bathroom|chase|girl|pimp|toilet"/>
        <s v="father son relationship|female nudity|mother daughter relationship|reconciliation|superhero"/>
        <s v="alzheimer's disease|caregiver|divorce|iran|iranian"/>
        <s v="cocaine|edinburgh scotland|stand up comedian"/>
        <s v="bully|first crush|school|social outcast|taunting"/>
        <s v="desire|florida|identity|resort town|sales"/>
        <s v="based on short film|manhattan new york city|urination|vomiting|watching television"/>
        <s v="escape|femme fatale|german expressionism|lust|violence"/>
        <s v="abusive relationship|character name in title|magic|san francisco california|tenderloin san francisco"/>
        <s v="buenos aires argentina|economics|housekeeper|maid|servant"/>
        <s v="colorado|diner|iraq|nuclear missile|president"/>
        <s v="death|farm|fur coat|grief|misfit"/>
        <s v="based on play|independent film"/>
        <s v="medical student|nazi|snow|snowmobile|zombie"/>
        <s v="ardennes forest|battle of the bulge|behind enemy lines|winter|world war two in belgium"/>
        <s v="alien|flight attendant|monster|pilot|tentacle"/>
        <s v="california|car|drag racing|high school|rock 'n' roll"/>
        <s v="american politics|armed forces|political corruption|shady|war profiteer"/>
        <s v="based on cult tv series|critically acclaimed|exercise machine|midnight movie|robot"/>
        <s v="classified ad|intern|magazine|time machine|time travel"/>
        <s v="stand up comedy"/>
        <s v="female full frontal nudity|hitman|knee breaking|male full frontal nudity|sniper"/>
        <s v="bathtub|dead body in a bathtub|dead body in bathtub|hotel|inn"/>
        <s v="fascist|gun|italy|nudity|sexuality"/>
        <s v="conspiracy theory|kennedy assassination|mock documentary|paranoia"/>
        <s v="male frontal nudity|male nudity|male pubic hair|male rear nudity|spain"/>
        <s v="drugs|female nudity|party|voyeur|voyeurism"/>
        <s v="artist|blood|drug|tree sap|vampire"/>
        <s v="appeasement|frontier justice|justice|one against many|street shootout"/>
        <s v="athlete|basketball|high school|high school student|school"/>
        <s v="clown|clowning|dance|gang|south central los angeles"/>
        <s v="first person shooter"/>
        <s v="ephebophile|pederasty|pedophilia|playing hooky|shaving"/>
        <s v="accused of witchcraft|based on short story"/>
        <s v="brooklyn new york city|los angeles california|teacher|trauma|violence"/>
        <s v="bathroom|classroom|dialectics|drugs|student"/>
        <s v="cosmetics|female protagonist|native american|native american protagonist|sister sister relationship"/>
        <s v="friend|new year's eve|screwball|self discovery|social differences"/>
        <s v="cheating husband|female nudity|male nudity|male rear nudity|revenge"/>
        <s v="diarrhea|female nudity|middle aged man|sex scene|sexy nurse"/>
        <s v="celebrity|consumerism|fashion|media manipulation"/>
        <s v="east africa|hunter gatherer|indigenous|rift valley|swahili"/>
        <s v="coma|crash"/>
        <s v="panties|white panties"/>
        <s v="based on short film|based on short story"/>
        <s v="dance|dancer|dancing|horse|tap dancing"/>
        <s v="found footage|looking at the camera|lost in the woods|maryland|screaming in horror"/>
        <s v="drugs|hippie|music festival|the who|woodstock"/>
        <s v="fake commercial|fake newscast|fake trailer|parody|spoof"/>
        <s v="church|cigarette smoking|deacon|twin brother|twins"/>
        <s v="independent film|katana sword|los angeles storm drain"/>
        <s v="crop circle|intelligence|paranormal|phenomenon|universe"/>
        <s v="china|faith|panama|photography|suspense"/>
        <s v="doctor|hospital|mayor|no opening credits|title at the end"/>
        <s v="boy|concert|drummer|manager|television"/>
        <s v="child labor|education|hispanic|labor|migration"/>
        <s v="1980s|affair|female protagonist|radio|woman wearing only a man's shirt"/>
        <s v="christian film|dare|firefighter|internet pornography|marriage"/>
        <s v="faith|ganja|kumbh mela|little boy|orphan"/>
        <s v="animal abuse|cat|dog|dog movie|tween girl"/>
        <s v="bare chested male|female full frontal nudity|hairy chest|male full frontal nudity|nude with glasses"/>
        <s v="death|farm|hotel|spider|tarantula"/>
        <s v="ballroom dancing|new york city|poise|self confidence|teacher"/>
        <s v="abandoned|depot|dwarf|newfoundland new jersey|train"/>
        <s v="basketball|beer pong|childhood friend|christian|suicide"/>
        <s v="comedian|crossword puzzle|editor|new york times|puzzle"/>
        <s v="championship|drugs|three word title|wrestler|wrestling"/>
        <s v="church|love|marriage|mormon|single"/>
        <s v="boy|girl|hair|school|taliban"/>
        <s v="jewish identity"/>
        <s v="dj|ecstasy the drug|rave|raver|warehouse"/>
        <s v="latter day saints|missionary|pickup truck|police|video camera"/>
        <s v="conjoined twins|independent film|low budget film|separation|twin"/>
        <s v="boat|bully|dare|friend|river"/>
        <s v="gang|new mexico|prison|smuggling|theft"/>
        <s v="bar|gay bar|love|mother son relationship|new york"/>
        <s v="abuse of power|friendship|prison|prison guard|title directed by female"/>
        <s v="bail|coma|dart board|indiana|ladder factory"/>
        <s v="brewery|co worker|male female friendship|u haul truck|woman wearing a string bikini"/>
        <s v="stage magician"/>
        <s v="16th century|battle|japan|practice|samurai"/>
        <s v="basketball|basketball team|grateful dead|lithuanian|olympics"/>
        <s v="idol|musician|vomiting|watching television|wyoming"/>
        <s v="bruce lee|jeet kune do|karate|satire|spoof"/>
        <s v="desert|dump|show|spectator|tire"/>
        <s v="best friend|high school|love|secret|wedding"/>
        <s v="cheerleader|father son relationship|football coach|loss of father|mother son relationship"/>
        <s v="alien|alien invasion|destroyed building|destruction|mexico"/>
        <s v="artist|black comedy"/>
        <s v="based on play|blood|independent film|teenager|zombie"/>
        <s v="bankruptcy|crystal|father son relationship|heist|shower"/>
        <s v="avant garde|british pop|character name in title|musician|number in title"/>
        <s v="group of friends|mental breakdown|mental instability|morgue|sudden infant death syndrome"/>
        <s v="cigarette butt|drone|funeral procession|nellis air force base|taliban"/>
        <s v="death|dying|leukemia|teenage girl|terminal illness"/>
        <s v="mini skirt|party|spring break|voyeur|war hammer"/>
        <s v="military|submarine|suspense|time travel|world war two"/>
        <s v="cabin|going in circles|pac man|stranger|woods"/>
        <s v="fighting|karate"/>
        <s v="carnival|devil|redemption|reference to god"/>
        <s v="three word title"/>
        <s v="boy|health club|superhero|toxic waste|troma"/>
        <s v="domestic violence|housing project|new york city|poverty|racism"/>
        <s v="civil rights|irish|march|northern ireland|protest march"/>
        <s v="prison|prisoner|reverend|terminal illness|two word title"/>
        <s v="female frontal nudity|filming a wedding|lingerie slip|memory|wedding"/>
        <s v="castration|chicken|fast food|indian burial ground|protest"/>
        <s v="bromance|manhattan new york city|new york city|photograph|surprise"/>
        <s v="chorus girl|chorus line|director|gala premiere|song"/>
        <s v="business|entrepreneur|network marketing"/>
        <s v="apartment|dancing|debutante|new york|upper class"/>
        <s v="amazing grace the hymn|choir|heart attack|hometown|skidding truck"/>
        <s v="dog|gun|hostage|husband wife relationship|jealousy"/>
        <s v="class president|family relationships|friend|high school|jock"/>
        <s v="blood splatter|car|neo noir|vengeance|vomiting"/>
        <s v="dark force|entity|evil force|found footage|paranormal phenomenon"/>
        <s v="california|drought|playground|skateboarding|surfer"/>
        <s v="camelot|holy grail|king arthur|knight|lancelot"/>
        <s v="15th birthday|birthday|gay|party|security guard"/>
        <s v="conspiracy|feminist|hippie|motorcycle|slapstick comedy"/>
        <s v="father daughter relationship|serial killer|superhero|supernatural power|vision of the future"/>
        <s v="answering machine|home movie|lithium|schizophrenic|video diary"/>
        <s v="bigfoot|love|monster|sasquatch|tourist"/>
        <s v="doctor|hell|hotel|painter|plumber"/>
        <s v="coach|friend|school|series|tv series"/>
        <s v="casino|father son relationship|jackpot|judge|wedding"/>
        <s v="brain tumor|champagne|game|psychiatrist|weekend"/>
        <s v="england|mistress|pakistani|politics|thatcher"/>
        <s v="bathtub|implied incest|lesbian|squeegee|tied to a chair"/>
        <s v="dying|love|mansion|selfishness|turn of the century"/>
        <s v="huguenot|intolerance|medicis|protestant|wedding"/>
        <s v="autograph|dentist|outer space|star trek|telephone call"/>
        <s v="sibling rivalry|singer|sister act|whistling|wisecrack humor"/>
        <s v="cult director|cult film|evil dead|necronomicon|psychotronic film"/>
        <s v="exhibition|mannequin|obsession|oral sex|photographer"/>
        <s v="paralympics|quad rugby|rugby|team|wheelchair"/>
        <s v="blood splatter|island|motorboat|ninja|sequel to cult film"/>
        <s v="address as title|number in title|parents"/>
        <s v="2020s|near future|one word series title|post apocalypse|year 2027"/>
        <s v="drone|playing with gun|post apocalypse|road trip|working class family"/>
        <s v="courtroom|dialogue driven|dialogue driven storyline|jury|murder"/>
        <s v="autobiography|dog movie|german shepherd|memoir|old man"/>
        <s v="bus|detective|love|money|reporter"/>
        <s v="fellatio|isolated house|overprotective father|social isolation|unsimulated sex"/>
        <s v="hip hop|name in title|rap star|rapper|reference to tupac shakur"/>
        <s v="boss|fight|reference to william shakespeare|white trash|written and directed by cast member"/>
        <s v="angel|corpse|girl|heaven|soul"/>
        <s v="cat|homosexual sex|male homosexuality|neighborhood|noisy neighbor"/>
        <s v="apartment|oven|stove|thanksgiving|thanksgiving dinner"/>
        <s v="breasts|female frontal nudity|jealousy|male full frontal nudity|male nudity"/>
        <s v="cell phone|male frontal nudity|oregon|sexual ambiguity|title directed by female"/>
        <s v="car|dog|flip phone|rape threat|vulnerable"/>
        <s v="number in title"/>
        <s v="beach|money|on the run|party|smuggling"/>
        <s v="eastern philosophy|healing|india|life"/>
        <s v="1960s|father|railroad|town|worker"/>
        <s v="listening to music|misfit|panties|red panties|sex"/>
        <s v="older man younger man relationship|punching bag|school teacher|undressing|unrequited love"/>
        <s v="assassin|female assassin|kingdom|martial arts|mission"/>
        <s v="cult director|cult film|drive in classic|psychotronic|race"/>
        <s v="digit in title|latino|life or death|philosophy|supernatural"/>
        <s v="cigarette smoking|death|devil|nightmare|satanic cult"/>
        <s v="divorce|marriage|mother daughter relationship|sex|teenage boy"/>
        <s v="full frontal nudity|group shower|male full frontal nudity|male nudity|shower"/>
        <s v="coach|mask|school principal|team|track"/>
        <s v="authority|boss subordinate relationship|fast food restaurant|gullibility|telephone call"/>
        <s v="comic book|friendship|gay|lesbian|secret"/>
        <s v="african american|dog|homecoming queen|insecurity|surgery"/>
        <s v="murder|oppression|rebirth|reincarnation|revenge"/>
        <s v="asian american|high school|overachiever|pubic hair|vomiting"/>
        <s v="caught having sex|class|friend|lesbian|lesbian sex"/>
        <s v="best friend|bisexuality|friend|gay kiss|sexuality"/>
        <s v="college|desi|heritage|india|indian american"/>
        <s v="escape|labyrinth|maze|red light|trap"/>
        <s v="film school|love|medical student|student|university"/>
        <s v="claim in title|exclamation point in title|punctuation in title|reference to babe ruth|sex"/>
        <s v="female protagonist|murder|photographer|robbery|shot to death"/>
        <s v="girlfriend|immigration|long distance relationship|parents|student visa"/>
        <s v="blood|teeth"/>
        <s v="drugs|music producer|rock music|title directed by female|vegetarian"/>
        <s v="absent father|asian american|friendship between men|motel|mother son relationship"/>
        <s v="cocaine|homosexual|penis|psychopath|pubic hair"/>
        <s v="caravan|police|police sergeant|tied to a chair|yorkshire"/>
        <s v="dominican|drug dealer|prison|single mother|teenage pregnancy"/>
        <s v="bare chested male|half brother|indifference|shotgun|violence"/>
        <s v="band aid|hairpin|one day|single set production|unsubtitled foreign language"/>
        <s v="future|nonlinear timeline|time travel|title directed by female|writer"/>
        <s v="church|competition|high school|new school|pastor"/>
        <s v="dream|self destructiveness|storyteller|time paradox|workaholic"/>
        <s v="animal in title|christmas|farm|michigan|rabbit"/>
        <s v="mockumentary|single camera|subtle comedy"/>
        <s v="breasts|female frontal nudity|female rear nudity|incest|voyeur"/>
        <s v="independent film"/>
        <s v="chewing gum|climbing a tree|france|translation problems|world war one"/>
        <s v="amateur|circus|clown|unconsciousness|urination"/>
        <s v="male full frontal nudity|prison|prisoner|solitary confinement|violence"/>
        <s v="arizona|gambling|gunfighter|poker game|year 1879"/>
        <s v="abandoned building|detroit michigan|firefighter|michigan|urban setting"/>
        <s v="hot dog bun|needle|new york|rat|tourist"/>
        <s v="female frontal nudity|female nudity|lesbian sex|lesbianism|sex"/>
        <s v="arctic|beast|dinosaur|monster|rhedosaurus"/>
        <s v="biker|motorcycle|motorcycle gang|post apocalypse|woman wearing only a man's shirt"/>
        <s v="actor|black panties|cult film|friend|upskirt"/>
        <s v="balladeer|bar|drifter|mexican|revenge"/>
        <s v="captain|marriage proposal|saloon|saloon singer|singer"/>
        <s v="christian film|forgiveness|hospital|pastor|police"/>
        <s v="female nudity|full frontal female nudity|male frontal nudity|menage a trois|pubic hair"/>
        <s v="funeral|gay|native american protagonist|poet|reservation"/>
        <s v="fair trade|human trafficking|non profit|rockumentary|slavery"/>
        <s v="abandoned house|bank|robber|swing|witness"/>
        <s v="family relationships|husband wife relationship|nudity|reality|reality spoof"/>
        <s v="based on comic book|blue bra and panties|female protagonist|girl in bra and panties|killer car"/>
        <s v="actor|cabin|california|paper bag|vomiting"/>
        <s v="august|doctor|faith|patriarch|prayer"/>
        <s v="avoidant personality disorder|emotionally vulnerable|sex|video store|video store clerk"/>
        <s v="cro magnon|dialogue driven storyline|single set production|single setting|storytelling"/>
        <s v="false accusation|murder|north carolina|trial|wrongful conviction"/>
        <s v="courtship|friend|girl|servant|sister"/>
        <s v="claim in title|jazz|jazz singer|sexy woman|time manipulation"/>
        <s v="class|gardening|race|school|shoe"/>
        <s v="coming out|fellatio|male in bathtub|male nudity|nudity"/>
        <s v="female nudity|male model|nudity|rite of passage|sex"/>
        <s v="duplicate earth|janitor|planet|solar system|synchronicity"/>
        <s v="black panther|hells angels|on the run|racist|racist cop"/>
        <s v="country singer|father son relationship|music group"/>
        <s v="best friend|boy|french|friend|love"/>
        <s v="immigrant|independent film|song|street|vacuum cleaner"/>
        <s v="car salesman|filmmaking|pulp fiction|santa claus suit|truck driver"/>
        <s v="horse|journey|mongolia|shaman|travel"/>
        <s v="father daughter relationship|poltergeist|spirit|stairway|urination"/>
        <s v="bike|bmx|drugs|troubled teen|youth"/>
        <s v="christmas|christmas tree|commercialism|meaning of christmas|tree"/>
        <s v="aroused|photography|pornography documentary|pornstar"/>
        <s v="factory|flint michigan|general motors|michigan|quest"/>
        <s v="place name in title"/>
        <s v="cult|cult leader|female nudity|greedy institution|manipulation"/>
        <s v="autism|middle east|music therapy|united arab emirates"/>
        <s v="american|blood|dream|patrol|tank"/>
        <s v="drunken sex|mashed potatoes|pancakes|tequila|title directed by female"/>
        <s v="dog|vegetarian"/>
        <s v="acting|actor|face slap|fashion|magazine"/>
        <s v="latter day saints|lds film|mock documentary|mormon|mormonism"/>
        <s v="christian|coach|faith|football|football team"/>
        <s v="breaking and entering|gallows|hanging|high school|stage"/>
        <s v="apartment|baby|deformed baby|factory|surrealism"/>
        <s v="family relationships|gang|idler|poorhouse|thief"/>
        <s v="actor|african american|dream|two word title|written and directed by cast member"/>
        <s v="book|friendship|knight|learning disability|tutor"/>
        <s v="blaxploitation|boxing|convict|drifter|false accusation"/>
        <s v="alien|cave|husband wife relationship|monster|skeleton"/>
        <s v="cocaine|extramarital affair|sex|shooting|violence"/>
        <s v="movie in title"/>
        <s v="countryside|night|party|rape|scar"/>
        <s v="anti semitism|gangster"/>
        <s v="android|artificial intelligence|home invasion|security system|tech noir"/>
        <s v="escape|independent film|mental illness|prison|revenge"/>
        <s v="artist|band|male rear nudity|sexuality|stage"/>
        <s v="arab israeli conflict|israel|media|middle east|palestine"/>
        <s v="mathematician|nature|numbers|pattern|using a metal detector on a beach"/>
        <s v="female frontal nudity|female rear nudity|title directed by female|virgin|written and directed by cast member"/>
        <s v="fake documentary|hidden camera|mockumentary|narrative|reality show"/>
        <s v="experiment|fast food|food industry|meal|overeating"/>
        <s v="abbreviation in title|based on short film|competition dancing|dystopia|location in title"/>
        <s v="chicago illinois|drink|drinking|filmmaker|writer"/>
        <s v="brain|fiance|laboratory|surgeon|surgery"/>
        <s v="coming out|father son relationship|gay|gay brother|toilet sex"/>
        <s v="film editor|kiss|marriage proposal|movie screening|urination"/>
        <s v="anticipate|dead in absentia|foetus|tunnel|unreliable narration"/>
        <s v="abusive father|critically acclaimed|loss of father|love|true love"/>
        <s v="best friend|bully|friend|revenge|school"/>
        <s v="based on novel|brazil|female underarm hair|sex in a window|star appears nude"/>
        <s v="adult returns home|girl with glasses|hipster|shower|title directed by female"/>
        <s v="coming of age|male nudity|road trip|skinny dipping|teenager"/>
        <s v="city|city symphony|diary|essay|surveillance"/>
        <s v="1920s|cthulhu|dream|sailor|silent film"/>
        <s v="computer hacker|girlfriend in a coma|nosebleed|prosthetic leg|road trip"/>
        <s v="comic book|comic book history|comics|spawn|walking dead"/>
        <s v="estranged daughter|friendship|nevada|prisoner|unlikely friendship"/>
        <s v="ellipsis in title|long title|period in title|punctuation in title|title ends with period"/>
        <s v="cover up|north carolina|redemption|small town|teenager"/>
        <s v="accountant|actor|animal in title|mail carrier|single parent"/>
        <s v="blood|independent film|mutilation|violence"/>
        <s v="band|final concert|guitar|interview|thanksgiving"/>
        <s v="friend|hospital|low budget film|ring|stoned"/>
        <s v="friendship|guitarist|mumblecore|musician|new york"/>
        <s v="la llorona|weeping"/>
        <s v="black comedy"/>
        <s v="clerk|friend|hockey|video|video store"/>
        <s v="male frontal nudity|male pubic hair|male rear nudity|pubic hair|street hustler"/>
        <s v="mumblecore"/>
        <s v="business trip|love|misogynist|office|secretary"/>
        <s v="ex convict|graduation|manhattan new york city|older brother is bad influence|washington heights manhattan new york city"/>
        <s v="death|first part|killing spree|massacre|murder"/>
        <s v="austin texas|moon|pap smear|texas|twenty something"/>
        <s v="anti romantic comedy|dating|divorce|sex comedy|sex scene"/>
        <s v="baby|car salesman|christian film|pregnancy|used car salesman"/>
        <s v="asylum|demon|party|secret|teenager"/>
        <s v="avatar|college|death|tron|university"/>
        <s v="birthday|gift|motel|new york city|upholsterer"/>
        <s v="arch villain|game of death|kidnapping|superhero"/>
        <s v="absurd humor|egg|gross out humor|lesbian|sex"/>
        <s v="jail|junkie|money|motel|singer"/>
        <s v="abortion|bus|hospital|prison|prostitution"/>
        <s v="breasts|interrogation|investigation|murder|watching television"/>
        <s v="gang initiation|gunplay|hazing|latino|shakespeare's romeo and juliet"/>
        <s v="nudity|party|pirate|swimsuit|three word title"/>
        <s v="corruption|homeless|homeless man|motorcycle|urban legend"/>
        <s v="changing the future|independent film|invention|nonlinear timeline|time travel"/>
        <s v="jihad|mindanao|philippines|security guard|squatter"/>
        <s v="assassin|death|guitar|gun|mariachi"/>
        <s v="jewell|mongol|nostradamus|stepnicka|vallone"/>
        <s v="written and directed by cast member"/>
        <s v="fraud|postal worker|prison|theft|trial"/>
        <s v="cult|fbi|hideout|prison escape|serial killer"/>
        <s v="actress name in title|crush|date|four word title|video camera"/>
      </sharedItems>
    </cacheField>
    <cacheField name="movie_imdb_link" numFmtId="0">
      <sharedItems containsBlank="1" count="4920">
        <s v="http://www.imdb.com/title/tt0499549/?ref_=fn_tt_tt_1"/>
        <s v="http://www.imdb.com/title/tt0449088/?ref_=fn_tt_tt_1"/>
        <s v="http://www.imdb.com/title/tt2379713/?ref_=fn_tt_tt_1"/>
        <s v="http://www.imdb.com/title/tt1345836/?ref_=fn_tt_tt_1"/>
        <s v="http://www.imdb.com/title/tt5289954/?ref_=fn_tt_tt_1"/>
        <s v="http://www.imdb.com/title/tt0401729/?ref_=fn_tt_tt_1"/>
        <s v="http://www.imdb.com/title/tt0413300/?ref_=fn_tt_tt_1"/>
        <s v="http://www.imdb.com/title/tt0398286/?ref_=fn_tt_tt_1"/>
        <s v="http://www.imdb.com/title/tt2395427/?ref_=fn_tt_tt_1"/>
        <s v="http://www.imdb.com/title/tt0417741/?ref_=fn_tt_tt_1"/>
        <s v="http://www.imdb.com/title/tt2975590/?ref_=fn_tt_tt_1"/>
        <s v="http://www.imdb.com/title/tt0348150/?ref_=fn_tt_tt_1"/>
        <s v="http://www.imdb.com/title/tt0830515/?ref_=fn_tt_tt_1"/>
        <s v="http://www.imdb.com/title/tt0383574/?ref_=fn_tt_tt_1"/>
        <s v="http://www.imdb.com/title/tt1210819/?ref_=fn_tt_tt_1"/>
        <s v="http://www.imdb.com/title/tt0770828/?ref_=fn_tt_tt_1"/>
        <s v="http://www.imdb.com/title/tt0499448/?ref_=fn_tt_tt_1"/>
        <s v="http://www.imdb.com/title/tt0848228/?ref_=fn_tt_tt_1"/>
        <s v="http://www.imdb.com/title/tt1298650/?ref_=fn_tt_tt_1"/>
        <s v="http://www.imdb.com/title/tt1409024/?ref_=fn_tt_tt_1"/>
        <s v="http://www.imdb.com/title/tt2310332/?ref_=fn_tt_tt_1"/>
        <s v="http://www.imdb.com/title/tt0948470/?ref_=fn_tt_tt_1"/>
        <s v="http://www.imdb.com/title/tt0955308/?ref_=fn_tt_tt_1"/>
        <s v="http://www.imdb.com/title/tt1170358/?ref_=fn_tt_tt_1"/>
        <s v="http://www.imdb.com/title/tt0385752/?ref_=fn_tt_tt_1"/>
        <s v="http://www.imdb.com/title/tt0360717/?ref_=fn_tt_tt_1"/>
        <s v="http://www.imdb.com/title/tt0120338/?ref_=fn_tt_tt_1"/>
        <s v="http://www.imdb.com/title/tt3498820/?ref_=fn_tt_tt_1"/>
        <s v="http://www.imdb.com/title/tt1440129/?ref_=fn_tt_tt_1"/>
        <s v="http://www.imdb.com/title/tt0369610/?ref_=fn_tt_tt_1"/>
        <s v="http://www.imdb.com/title/tt1074638/?ref_=fn_tt_tt_1"/>
        <s v="http://www.imdb.com/title/tt0316654/?ref_=fn_tt_tt_1"/>
        <s v="http://www.imdb.com/title/tt1300854/?ref_=fn_tt_tt_1"/>
        <s v="http://www.imdb.com/title/tt1014759/?ref_=fn_tt_tt_1"/>
        <s v="http://www.imdb.com/title/tt0376994/?ref_=fn_tt_tt_1"/>
        <s v="http://www.imdb.com/title/tt1453405/?ref_=fn_tt_tt_1"/>
        <s v="http://www.imdb.com/title/tt1055369/?ref_=fn_tt_tt_1"/>
        <s v="http://www.imdb.com/title/tt2109248/?ref_=fn_tt_tt_1"/>
        <s v="http://www.imdb.com/title/tt1623205/?ref_=fn_tt_tt_1"/>
        <s v="http://www.imdb.com/title/tt1872181/?ref_=fn_tt_tt_1"/>
        <s v="http://www.imdb.com/title/tt1104001/?ref_=fn_tt_tt_1"/>
        <s v="http://www.imdb.com/title/tt1216475/?ref_=fn_tt_tt_1"/>
        <s v="http://www.imdb.com/title/tt1133985/?ref_=fn_tt_tt_1"/>
        <s v="http://www.imdb.com/title/tt0435761/?ref_=fn_tt_tt_1"/>
        <s v="http://www.imdb.com/title/tt0438488/?ref_=fn_tt_tt_1"/>
        <s v="http://www.imdb.com/title/tt2820852/?ref_=fn_tt_tt_1"/>
        <s v="http://www.imdb.com/title/tt0816711/?ref_=fn_tt_tt_1"/>
        <s v="http://www.imdb.com/title/tt1877832/?ref_=fn_tt_tt_1"/>
        <s v="http://www.imdb.com/title/tt1408101/?ref_=fn_tt_tt_1"/>
        <s v="http://www.imdb.com/title/tt1351685/?ref_=fn_tt_tt_1"/>
        <s v="http://www.imdb.com/title/tt1343092/?ref_=fn_tt_tt_1"/>
        <s v="http://www.imdb.com/title/tt0473075/?ref_=fn_tt_tt_1"/>
        <s v="http://www.imdb.com/title/tt1663662/?ref_=fn_tt_tt_1"/>
        <s v="http://www.imdb.com/title/tt1399103/?ref_=fn_tt_tt_1"/>
        <s v="http://www.imdb.com/title/tt0367882/?ref_=fn_tt_tt_1"/>
        <s v="http://www.imdb.com/title/tt1979388/?ref_=fn_tt_tt_1"/>
        <s v="http://www.imdb.com/title/tt1217209/?ref_=fn_tt_tt_1"/>
        <s v="http://www.imdb.com/title/tt2660888/?ref_=fn_tt_tt_1"/>
        <s v="http://www.imdb.com/title/tt0910970/?ref_=fn_tt_tt_1"/>
        <s v="http://www.imdb.com/title/tt0293564/?ref_=fn_tt_tt_1"/>
        <s v="http://www.imdb.com/title/tt1190080/?ref_=fn_tt_tt_1"/>
        <s v="http://www.imdb.com/title/tt1067106/?ref_=fn_tt_tt_1"/>
        <s v="http://www.imdb.com/title/tt1617661/?ref_=fn_tt_tt_1"/>
        <s v="http://www.imdb.com/title/tt0918940/?ref_=fn_tt_tt_1"/>
        <s v="http://www.imdb.com/title/tt0363771/?ref_=fn_tt_tt_1"/>
        <s v="http://www.imdb.com/title/tt3385516/?ref_=fn_tt_tt_1"/>
        <s v="http://www.imdb.com/title/tt0468569/?ref_=fn_tt_tt_1"/>
        <s v="http://www.imdb.com/title/tt1049413/?ref_=fn_tt_tt_1"/>
        <s v="http://www.imdb.com/title/tt0892782/?ref_=fn_tt_tt_1"/>
        <s v="http://www.imdb.com/title/tt0371746/?ref_=fn_tt_tt_1"/>
        <s v="http://www.imdb.com/title/tt0970179/?ref_=fn_tt_tt_1"/>
        <s v="http://www.imdb.com/title/tt0120891/?ref_=fn_tt_tt_1"/>
        <s v="http://www.imdb.com/title/tt0859163/?ref_=fn_tt_tt_1"/>
        <s v="http://www.imdb.com/title/tt1386697/?ref_=fn_tt_tt_1"/>
        <s v="http://www.imdb.com/title/tt0413099/?ref_=fn_tt_tt_1"/>
        <s v="http://www.imdb.com/title/tt1631867/?ref_=fn_tt_tt_1"/>
        <s v="http://www.imdb.com/title/tt0114898/?ref_=fn_tt_tt_1"/>
        <s v="http://www.imdb.com/title/tt1046173/?ref_=fn_tt_tt_1"/>
        <s v="http://www.imdb.com/title/tt2096673/?ref_=fn_tt_tt_1"/>
        <s v="http://www.imdb.com/title/tt3040964/?ref_=fn_tt_tt_1"/>
        <s v="http://www.imdb.com/title/tt1228705/?ref_=fn_tt_tt_1"/>
        <s v="http://www.imdb.com/title/tt1735898/?ref_=fn_tt_tt_1"/>
        <s v="http://www.imdb.com/title/tt1587310/?ref_=fn_tt_tt_1"/>
        <s v="http://www.imdb.com/title/tt2103281/?ref_=fn_tt_tt_1"/>
        <s v="http://www.imdb.com/title/tt1321869/?ref_=fn_tt_tt_1"/>
        <s v="http://www.imdb.com/title/tt1335975/?ref_=fn_tt_tt_1"/>
        <s v="http://www.imdb.com/title/tt1843866/?ref_=fn_tt_tt_1"/>
        <s v="http://www.imdb.com/title/tt0892791/?ref_=fn_tt_tt_1"/>
        <s v="http://www.imdb.com/title/tt1964418/?ref_=fn_tt_tt_1"/>
        <s v="http://www.imdb.com/title/tt2245084/?ref_=fn_tt_tt_1"/>
        <s v="http://www.imdb.com/title/tt1772341/?ref_=fn_tt_tt_1"/>
        <s v="http://www.imdb.com/title/tt0338348/?ref_=fn_tt_tt_1"/>
        <s v="http://www.imdb.com/title/tt1628841/?ref_=fn_tt_tt_1"/>
        <s v="http://www.imdb.com/title/tt0892769/?ref_=fn_tt_tt_1"/>
        <s v="http://www.imdb.com/title/tt0181852/?ref_=fn_tt_tt_1"/>
        <s v="http://www.imdb.com/title/tt2015381/?ref_=fn_tt_tt_1"/>
        <s v="http://www.imdb.com/title/tt0816692/?ref_=fn_tt_tt_1"/>
        <s v="http://www.imdb.com/title/tt1375666/?ref_=fn_tt_tt_1"/>
        <s v="http://www.imdb.com/title/tt4262980/?ref_=fn_tt_tt_1"/>
        <s v="http://www.imdb.com/title/tt0903624/?ref_=fn_tt_tt_1"/>
        <s v="http://www.imdb.com/title/tt0232500/?ref_=fn_tt_tt_1"/>
        <s v="http://www.imdb.com/title/tt0421715/?ref_=fn_tt_tt_1"/>
        <s v="http://www.imdb.com/title/tt1270798/?ref_=fn_tt_tt_1"/>
        <s v="http://www.imdb.com/title/tt1951266/?ref_=fn_tt_tt_1"/>
        <s v="http://www.imdb.com/title/tt0963966/?ref_=fn_tt_tt_1"/>
        <s v="http://www.imdb.com/title/tt0409182/?ref_=fn_tt_tt_1"/>
        <s v="http://www.imdb.com/title/tt2567026/?ref_=fn_tt_tt_1"/>
        <s v="http://www.imdb.com/title/tt0413267/?ref_=fn_tt_tt_1"/>
        <s v="http://www.imdb.com/title/tt0803096/?ref_=fn_tt_tt_1"/>
        <s v="http://www.imdb.com/title/tt1340138/?ref_=fn_tt_tt_1"/>
        <s v="http://www.imdb.com/title/tt0980970/?ref_=fn_tt_tt_1"/>
        <s v="http://www.imdb.com/title/tt0213149/?ref_=fn_tt_tt_1"/>
        <s v="http://www.imdb.com/title/tt0418279/?ref_=fn_tt_tt_1"/>
        <s v="http://www.imdb.com/title/tt0346491/?ref_=fn_tt_tt_1"/>
        <s v="http://www.imdb.com/title/tt0373889/?ref_=fn_tt_tt_1"/>
        <s v="http://www.imdb.com/title/tt0330373/?ref_=fn_tt_tt_1"/>
        <s v="http://www.imdb.com/title/tt0448157/?ref_=fn_tt_tt_1"/>
        <s v="http://www.imdb.com/title/tt0480249/?ref_=fn_tt_tt_1"/>
        <s v="http://www.imdb.com/title/tt0367594/?ref_=fn_tt_tt_1"/>
        <s v="http://www.imdb.com/title/tt0382932/?ref_=fn_tt_tt_1"/>
        <s v="http://www.imdb.com/title/tt0372784/?ref_=fn_tt_tt_1"/>
        <s v="http://www.imdb.com/title/tt0479952/?ref_=fn_tt_tt_1"/>
        <s v="http://www.imdb.com/title/tt1078912/?ref_=fn_tt_tt_1"/>
        <s v="http://www.imdb.com/title/tt0458525/?ref_=fn_tt_tt_1"/>
        <s v="http://www.imdb.com/title/tt0242653/?ref_=fn_tt_tt_1"/>
        <s v="http://www.imdb.com/title/tt2294629/?ref_=fn_tt_tt_1"/>
        <s v="http://www.imdb.com/title/tt0234215/?ref_=fn_tt_tt_1"/>
        <s v="http://www.imdb.com/title/tt1981115/?ref_=fn_tt_tt_1"/>
        <s v="http://www.imdb.com/title/tt1392190/?ref_=fn_tt_tt_1"/>
        <s v="http://www.imdb.com/title/tt0808151/?ref_=fn_tt_tt_1"/>
        <s v="http://www.imdb.com/title/tt0800369/?ref_=fn_tt_tt_1"/>
        <s v="http://www.imdb.com/title/tt0397892/?ref_=fn_tt_tt_1"/>
        <s v="http://www.imdb.com/title/tt0436339/?ref_=fn_tt_tt_1"/>
        <s v="http://www.imdb.com/title/tt1646987/?ref_=fn_tt_tt_1"/>
        <s v="http://www.imdb.com/title/tt1077368/?ref_=fn_tt_tt_1"/>
        <s v="http://www.imdb.com/title/tt2381249/?ref_=fn_tt_tt_1"/>
        <s v="http://www.imdb.com/title/tt0780653/?ref_=fn_tt_tt_1"/>
        <s v="http://www.imdb.com/title/tt0389790/?ref_=fn_tt_tt_1"/>
        <s v="http://www.imdb.com/title/tt1302011/?ref_=fn_tt_tt_1"/>
        <s v="http://www.imdb.com/title/tt0938283/?ref_=fn_tt_tt_1"/>
        <s v="http://www.imdb.com/title/tt0317919/?ref_=fn_tt_tt_1"/>
        <s v="http://www.imdb.com/title/tt2334879/?ref_=fn_tt_tt_1"/>
        <s v="http://www.imdb.com/title/tt1305591/?ref_=fn_tt_tt_1"/>
        <s v="http://www.imdb.com/title/tt0424095/?ref_=fn_tt_tt_1"/>
        <s v="http://www.imdb.com/title/tt3332064/?ref_=fn_tt_tt_1"/>
        <s v="http://www.imdb.com/title/tt0864835/?ref_=fn_tt_tt_1"/>
        <s v="http://www.imdb.com/title/tt0332452/?ref_=fn_tt_tt_1"/>
        <s v="http://www.imdb.com/title/tt1277953/?ref_=fn_tt_tt_1"/>
        <s v="http://www.imdb.com/title/tt0246460/?ref_=fn_tt_tt_1"/>
        <s v="http://www.imdb.com/title/tt1289401/?ref_=fn_tt_tt_1"/>
        <s v="http://www.imdb.com/title/tt0120591/?ref_=fn_tt_tt_1"/>
        <s v="http://www.imdb.com/title/tt0120912/?ref_=fn_tt_tt_1"/>
        <s v="http://www.imdb.com/title/tt0442933/?ref_=fn_tt_tt_1"/>
        <s v="http://www.imdb.com/title/tt2267968/?ref_=fn_tt_tt_1"/>
        <s v="http://www.imdb.com/title/tt1229238/?ref_=fn_tt_tt_1"/>
        <s v="http://www.imdb.com/title/tt1446192/?ref_=fn_tt_tt_1"/>
        <s v="http://www.imdb.com/title/tt0369441/?ref_=fn_tt_tt_1"/>
        <s v="http://www.imdb.com/title/tt0325710/?ref_=fn_tt_tt_1"/>
        <s v="http://www.imdb.com/title/tt1528100/?ref_=fn_tt_tt_1"/>
        <s v="http://www.imdb.com/title/tt0796366/?ref_=fn_tt_tt_1"/>
        <s v="http://www.imdb.com/title/tt0145487/?ref_=fn_tt_tt_1"/>
        <s v="http://www.imdb.com/title/tt1646971/?ref_=fn_tt_tt_1"/>
        <s v="http://www.imdb.com/title/tt2404233/?ref_=fn_tt_tt_1"/>
        <s v="http://www.imdb.com/title/tt0382992/?ref_=fn_tt_tt_1"/>
        <s v="http://www.imdb.com/title/tt0409459/?ref_=fn_tt_tt_1"/>
        <s v="http://www.imdb.com/title/tt0122151/?ref_=fn_tt_tt_1"/>
        <s v="http://www.imdb.com/title/tt0286716/?ref_=fn_tt_tt_1"/>
        <s v="http://www.imdb.com/title/tt1583421/?ref_=fn_tt_tt_1"/>
        <s v="http://www.imdb.com/title/tt0318649/?ref_=fn_tt_tt_1"/>
        <s v="http://www.imdb.com/title/tt0173840/?ref_=fn_tt_tt_1"/>
        <s v="http://www.imdb.com/title/tt0458339/?ref_=fn_tt_tt_1"/>
        <s v="http://www.imdb.com/title/tt0143145/?ref_=fn_tt_tt_1"/>
        <s v="http://www.imdb.com/title/tt0311113/?ref_=fn_tt_tt_1"/>
        <s v="http://www.imdb.com/title/tt1673434/?ref_=fn_tt_tt_1"/>
        <s v="http://www.imdb.com/title/tt1402488/?ref_=fn_tt_tt_1"/>
        <s v="http://www.imdb.com/title/tt0800080/?ref_=fn_tt_tt_1"/>
        <s v="http://www.imdb.com/title/tt0086759/?ref_=fn_tt_tt_1"/>
        <s v="http://www.imdb.com/title/tt3691740/?ref_=fn_tt_tt_1"/>
        <s v="http://www.imdb.com/title/tt1663202/?ref_=fn_tt_tt_1"/>
        <s v="http://www.imdb.com/title/tt1860353/?ref_=fn_tt_tt_1"/>
        <s v="http://www.imdb.com/title/tt1192628/?ref_=fn_tt_tt_1"/>
        <s v="http://www.imdb.com/title/tt1911658/?ref_=fn_tt_tt_1"/>
        <s v="http://www.imdb.com/title/tt0440963/?ref_=fn_tt_tt_1"/>
        <s v="http://www.imdb.com/title/tt0441773/?ref_=fn_tt_tt_1"/>
        <s v="http://www.imdb.com/title/tt0478970/?ref_=fn_tt_tt_1"/>
        <s v="http://www.imdb.com/title/tt1951264/?ref_=fn_tt_tt_1"/>
        <s v="http://www.imdb.com/title/tt2224026/?ref_=fn_tt_tt_1"/>
        <s v="http://www.imdb.com/title/tt0407304/?ref_=fn_tt_tt_1"/>
        <s v="http://www.imdb.com/title/tt0172156/?ref_=fn_tt_tt_1"/>
        <s v="http://www.imdb.com/title/tt0448694/?ref_=fn_tt_tt_1"/>
        <s v="http://www.imdb.com/title/tt0944835/?ref_=fn_tt_tt_1"/>
        <s v="http://www.imdb.com/title/tt1959490/?ref_=fn_tt_tt_1"/>
        <s v="http://www.imdb.com/title/tt0983193/?ref_=fn_tt_tt_1"/>
        <s v="http://www.imdb.com/title/tt0304141/?ref_=fn_tt_tt_1"/>
        <s v="http://www.imdb.com/title/tt0455824/?ref_=fn_tt_tt_1"/>
        <s v="http://www.imdb.com/title/tt1815862/?ref_=fn_tt_tt_1"/>
        <s v="http://www.imdb.com/title/tt0130623/?ref_=fn_tt_tt_1"/>
        <s v="http://www.imdb.com/title/tt1680310/?ref_=fn_tt_tt_1"/>
        <s v="http://www.imdb.com/title/tt2692250/?ref_=fn_tt_tt_1"/>
        <s v="http://www.imdb.com/title/tt1001526/?ref_=fn_tt_tt_1"/>
        <s v="http://www.imdb.com/title/tt0241527/?ref_=fn_tt_tt_1"/>
        <s v="http://www.imdb.com/title/tt0790736/?ref_=fn_tt_tt_1"/>
        <s v="http://www.imdb.com/title/tt0325980/?ref_=fn_tt_tt_1"/>
        <s v="http://www.imdb.com/title/tt1571403/?ref_=fn_tt_tt_1"/>
        <s v="http://www.imdb.com/title/tt1951265/?ref_=fn_tt_tt_1"/>
        <s v="http://www.imdb.com/title/tt0382625/?ref_=fn_tt_tt_1"/>
        <s v="http://www.imdb.com/title/tt2357291/?ref_=fn_tt_tt_1"/>
        <s v="http://www.imdb.com/title/tt0290334/?ref_=fn_tt_tt_1"/>
        <s v="http://www.imdb.com/title/tt1596343/?ref_=fn_tt_tt_1"/>
        <s v="http://www.imdb.com/title/tt1515091/?ref_=fn_tt_tt_1"/>
        <s v="http://www.imdb.com/title/tt0800320/?ref_=fn_tt_tt_1"/>
        <s v="http://www.imdb.com/title/tt0100802/?ref_=fn_tt_tt_1"/>
        <s v="http://www.imdb.com/title/tt0120657/?ref_=fn_tt_tt_1"/>
        <s v="http://www.imdb.com/title/tt1194173/?ref_=fn_tt_tt_1"/>
        <s v="http://www.imdb.com/title/tt0118688/?ref_=fn_tt_tt_1"/>
        <s v="http://www.imdb.com/title/tt0170016/?ref_=fn_tt_tt_1"/>
        <s v="http://www.imdb.com/title/tt0319262/?ref_=fn_tt_tt_1"/>
        <s v="http://www.imdb.com/title/tt0120755/?ref_=fn_tt_tt_1"/>
        <s v="http://www.imdb.com/title/tt0177971/?ref_=fn_tt_tt_1"/>
        <s v="http://www.imdb.com/title/tt0486576/?ref_=fn_tt_tt_1"/>
        <s v="http://www.imdb.com/title/tt0454876/?ref_=fn_tt_tt_1"/>
        <s v="http://www.imdb.com/title/tt0259324/?ref_=fn_tt_tt_1"/>
        <s v="http://www.imdb.com/title/tt4196776/?ref_=fn_tt_tt_1"/>
        <s v="http://www.imdb.com/title/tt0305357/?ref_=fn_tt_tt_1"/>
        <s v="http://www.imdb.com/title/tt1446714/?ref_=fn_tt_tt_1"/>
        <s v="http://www.imdb.com/title/tt0243585/?ref_=fn_tt_tt_1"/>
        <s v="http://www.imdb.com/title/tt1535108/?ref_=fn_tt_tt_1"/>
        <s v="http://www.imdb.com/title/tt0296572/?ref_=fn_tt_tt_1"/>
        <s v="http://www.imdb.com/title/tt1234721/?ref_=fn_tt_tt_1"/>
        <s v="http://www.imdb.com/title/tt0811080/?ref_=fn_tt_tt_1"/>
        <s v="http://www.imdb.com/title/tt1341188/?ref_=fn_tt_tt_1"/>
        <s v="http://www.imdb.com/title/tt1013743/?ref_=fn_tt_tt_1"/>
        <s v="http://www.imdb.com/title/tt1483013/?ref_=fn_tt_tt_1"/>
        <s v="http://www.imdb.com/title/tt0121766/?ref_=fn_tt_tt_1"/>
        <s v="http://www.imdb.com/title/tt0121765/?ref_=fn_tt_tt_1"/>
        <s v="http://www.imdb.com/title/tt0198781/?ref_=fn_tt_tt_1"/>
        <s v="http://www.imdb.com/title/tt1430132/?ref_=fn_tt_tt_1"/>
        <s v="http://www.imdb.com/title/tt0120915/?ref_=fn_tt_tt_1"/>
        <s v="http://www.imdb.com/title/tt0481499/?ref_=fn_tt_tt_1"/>
        <s v="http://www.imdb.com/title/tt0463872/?ref_=fn_tt_tt_1"/>
        <s v="http://www.imdb.com/title/tt0245562/?ref_=fn_tt_tt_1"/>
        <s v="http://www.imdb.com/title/tt2381991/?ref_=fn_tt_tt_1"/>
        <s v="http://www.imdb.com/title/tt1291150/?ref_=fn_tt_tt_1"/>
        <s v="http://www.imdb.com/title/tt1454468/?ref_=fn_tt_tt_1"/>
        <s v="http://www.imdb.com/title/tt0118928/?ref_=fn_tt_tt_1"/>
        <s v="http://www.imdb.com/title/tt3949660/?ref_=fn_tt_tt_1"/>
        <s v="http://www.imdb.com/title/tt1502712/?ref_=fn_tt_tt_1"/>
        <s v="http://www.imdb.com/title/tt0477347/?ref_=fn_tt_tt_1"/>
        <s v="http://www.imdb.com/title/tt2126355/?ref_=fn_tt_tt_1"/>
        <s v="http://www.imdb.com/title/tt0120347/?ref_=fn_tt_tt_1"/>
        <s v="http://www.imdb.com/title/tt0187393/?ref_=fn_tt_tt_1"/>
        <s v="http://www.imdb.com/title/tt0349903/?ref_=fn_tt_tt_1"/>
        <s v="http://www.imdb.com/title/tt0356910/?ref_=fn_tt_tt_1"/>
        <s v="http://www.imdb.com/title/tt2908446/?ref_=fn_tt_tt_1"/>
        <s v="http://www.imdb.com/title/tt0338751/?ref_=fn_tt_tt_1"/>
        <s v="http://www.imdb.com/title/tt1320261/?ref_=fn_tt_tt_1"/>
        <s v="http://www.imdb.com/title/tt0990407/?ref_=fn_tt_tt_1"/>
        <s v="http://www.imdb.com/title/tt0084967/?ref_=fn_tt_tt_1"/>
        <s v="http://www.imdb.com/title/tt1253863/?ref_=fn_tt_tt_1"/>
        <s v="http://www.imdb.com/title/tt0472181/?ref_=fn_tt_tt_1"/>
        <s v="http://www.imdb.com/title/tt0299172/?ref_=fn_tt_tt_1"/>
        <s v="http://www.imdb.com/title/tt3410834/?ref_=fn_tt_tt_1"/>
        <s v="http://www.imdb.com/title/tt0433035/?ref_=fn_tt_tt_1"/>
        <s v="http://www.imdb.com/title/tt2017020/?ref_=fn_tt_tt_1"/>
        <s v="http://www.imdb.com/title/tt0120179/?ref_=fn_tt_tt_1"/>
        <s v="http://www.imdb.com/title/tt1731141/?ref_=fn_tt_tt_1"/>
        <s v="http://www.imdb.com/title/tt0337978/?ref_=fn_tt_tt_1"/>
        <s v="http://www.imdb.com/title/tt0120737/?ref_=fn_tt_tt_1"/>
        <s v="http://www.imdb.com/title/tt0327437/?ref_=fn_tt_tt_1"/>
        <s v="http://www.imdb.com/title/tt0248667/?ref_=fn_tt_tt_1"/>
        <s v="http://www.imdb.com/title/tt0312528/?ref_=fn_tt_tt_1"/>
        <s v="http://www.imdb.com/title/tt0343818/?ref_=fn_tt_tt_1"/>
        <s v="http://www.imdb.com/title/tt0320661/?ref_=fn_tt_tt_1"/>
        <s v="http://www.imdb.com/title/tt0164912/?ref_=fn_tt_tt_1"/>
        <s v="http://www.imdb.com/title/tt0780521/?ref_=fn_tt_tt_1"/>
        <s v="http://www.imdb.com/title/tt3659388/?ref_=fn_tt_tt_1"/>
        <s v="http://www.imdb.com/title/tt1869849/?ref_=fn_tt_tt_1"/>
        <s v="http://www.imdb.com/title/tt0399201/?ref_=fn_tt_tt_1"/>
        <s v="http://www.imdb.com/title/tt0141907/?ref_=fn_tt_tt_1"/>
        <s v="http://www.imdb.com/title/tt0187078/?ref_=fn_tt_tt_1"/>
        <s v="http://www.imdb.com/title/tt0172495/?ref_=fn_tt_tt_1"/>
        <s v="http://www.imdb.com/title/tt0181689/?ref_=fn_tt_tt_1"/>
        <s v="http://www.imdb.com/title/tt0295297/?ref_=fn_tt_tt_1"/>
        <s v="http://www.imdb.com/title/tt0381061/?ref_=fn_tt_tt_1"/>
        <s v="http://www.imdb.com/title/tt0133152/?ref_=fn_tt_tt_1"/>
        <s v="http://www.imdb.com/title/tt0103064/?ref_=fn_tt_tt_1"/>
        <s v="http://www.imdb.com/title/tt1152836/?ref_=fn_tt_tt_1"/>
        <s v="http://www.imdb.com/title/tt0765429/?ref_=fn_tt_tt_1"/>
        <s v="http://www.imdb.com/title/tt0111503/?ref_=fn_tt_tt_1"/>
        <s v="http://www.imdb.com/title/tt1111422/?ref_=fn_tt_tt_1"/>
        <s v="http://www.imdb.com/title/tt0970866/?ref_=fn_tt_tt_1"/>
        <s v="http://www.imdb.com/title/tt1386588/?ref_=fn_tt_tt_1"/>
        <s v="http://www.imdb.com/title/tt0116213/?ref_=fn_tt_tt_1"/>
        <s v="http://www.imdb.com/title/tt1853728/?ref_=fn_tt_tt_1"/>
        <s v="http://www.imdb.com/title/tt0116583/?ref_=fn_tt_tt_1"/>
        <s v="http://www.imdb.com/title/tt0120917/?ref_=fn_tt_tt_1"/>
        <s v="http://www.imdb.com/title/tt1764651/?ref_=fn_tt_tt_1"/>
        <s v="http://www.imdb.com/title/tt0368891/?ref_=fn_tt_tt_1"/>
        <s v="http://www.imdb.com/title/tt0449010/?ref_=fn_tt_tt_1"/>
        <s v="http://www.imdb.com/title/tt0386117/?ref_=fn_tt_tt_1"/>
        <s v="http://www.imdb.com/title/tt0848537/?ref_=fn_tt_tt_1"/>
        <s v="http://www.imdb.com/title/tt1243957/?ref_=fn_tt_tt_1"/>
        <s v="http://www.imdb.com/title/tt0146675/?ref_=fn_tt_tt_1"/>
        <s v="http://www.imdb.com/title/tt0450259/?ref_=fn_tt_tt_1"/>
        <s v="http://www.imdb.com/title/tt0993846/?ref_=fn_tt_tt_1"/>
        <s v="http://www.imdb.com/title/tt0112462/?ref_=fn_tt_tt_1"/>
        <s v="http://www.imdb.com/title/tt0120201/?ref_=fn_tt_tt_1"/>
        <s v="http://www.imdb.com/title/tt1371111/?ref_=fn_tt_tt_1"/>
        <s v="http://www.imdb.com/title/tt1219342/?ref_=fn_tt_tt_1"/>
        <s v="http://www.imdb.com/title/tt0327554/?ref_=fn_tt_tt_1"/>
        <s v="http://www.imdb.com/title/tt1267297/?ref_=fn_tt_tt_1"/>
        <s v="http://www.imdb.com/title/tt0133240/?ref_=fn_tt_tt_1"/>
        <s v="http://www.imdb.com/title/tt0457400/?ref_=fn_tt_tt_1"/>
        <s v="http://www.imdb.com/title/tt2333784/?ref_=fn_tt_tt_1"/>
        <s v="http://www.imdb.com/title/tt2058673/?ref_=fn_tt_tt_1"/>
        <s v="http://www.imdb.com/title/tt0362165/?ref_=fn_tt_tt_1"/>
        <s v="http://www.imdb.com/title/tt1390411/?ref_=fn_tt_tt_1"/>
        <s v="http://www.imdb.com/title/tt0180052/?ref_=fn_tt_tt_1"/>
        <s v="http://www.imdb.com/title/tt0947810/?ref_=fn_tt_tt_1"/>
        <s v="http://www.imdb.com/title/tt2452042/?ref_=fn_tt_tt_1"/>
        <s v="http://www.imdb.com/title/tt0120176/?ref_=fn_tt_tt_1"/>
        <s v="http://www.imdb.com/title/tt0209163/?ref_=fn_tt_tt_1"/>
        <s v="http://www.imdb.com/title/tt0217505/?ref_=fn_tt_tt_1"/>
        <s v="http://www.imdb.com/title/tt1410063/?ref_=fn_tt_tt_1"/>
        <s v="http://www.imdb.com/title/tt0423294/?ref_=fn_tt_tt_1"/>
        <s v="http://www.imdb.com/title/tt0327162/?ref_=fn_tt_tt_1"/>
        <s v="http://www.imdb.com/title/tt0265086/?ref_=fn_tt_tt_1"/>
        <s v="http://www.imdb.com/title/tt1790886/?ref_=fn_tt_tt_1"/>
        <s v="http://www.imdb.com/title/tt0119116/?ref_=fn_tt_tt_1"/>
        <s v="http://www.imdb.com/title/tt1261945/?ref_=fn_tt_tt_1"/>
        <s v="http://www.imdb.com/title/tt0138749/?ref_=fn_tt_tt_1"/>
        <s v="http://www.imdb.com/title/tt1667889/?ref_=fn_tt_tt_1"/>
        <s v="http://www.imdb.com/title/tt1661199/?ref_=fn_tt_tt_1"/>
        <s v="http://www.imdb.com/title/tt0380510/?ref_=fn_tt_tt_1"/>
        <s v="http://www.imdb.com/title/tt0266543/?ref_=fn_tt_tt_1"/>
        <s v="http://www.imdb.com/title/tt0167260/?ref_=fn_tt_tt_1"/>
        <s v="http://www.imdb.com/title/tt0167261/?ref_=fn_tt_tt_1"/>
        <s v="http://www.imdb.com/title/tt1121096/?ref_=fn_tt_tt_1"/>
        <s v="http://www.imdb.com/title/tt0146316/?ref_=fn_tt_tt_1"/>
        <s v="http://www.imdb.com/title/tt2209764/?ref_=fn_tt_tt_1"/>
        <s v="http://www.imdb.com/title/tt0163025/?ref_=fn_tt_tt_1"/>
        <s v="http://www.imdb.com/title/tt1318514/?ref_=fn_tt_tt_1"/>
        <s v="http://www.imdb.com/title/tt0416236/?ref_=fn_tt_tt_1"/>
        <s v="http://www.imdb.com/title/tt1606378/?ref_=fn_tt_tt_1"/>
        <s v="http://www.imdb.com/title/tt0318974/?ref_=fn_tt_tt_1"/>
        <s v="http://www.imdb.com/title/tt0317705/?ref_=fn_tt_tt_1"/>
        <s v="http://www.imdb.com/title/tt0112760/?ref_=fn_tt_tt_1"/>
        <s v="http://www.imdb.com/title/tt0814255/?ref_=fn_tt_tt_1"/>
        <s v="http://www.imdb.com/title/tt0119654/?ref_=fn_tt_tt_1"/>
        <s v="http://www.imdb.com/title/tt0120363/?ref_=fn_tt_tt_1"/>
        <s v="http://www.imdb.com/title/tt0477080/?ref_=fn_tt_tt_1"/>
        <s v="http://www.imdb.com/title/tt0266915/?ref_=fn_tt_tt_1"/>
        <s v="http://www.imdb.com/title/tt0161081/?ref_=fn_tt_tt_1"/>
        <s v="http://www.imdb.com/title/tt0844471/?ref_=fn_tt_tt_1"/>
        <s v="http://www.imdb.com/title/tt1080016/?ref_=fn_tt_tt_1"/>
        <s v="http://www.imdb.com/title/tt0359950/?ref_=fn_tt_tt_1"/>
        <s v="http://www.imdb.com/title/tt0160127/?ref_=fn_tt_tt_1"/>
        <s v="http://www.imdb.com/title/tt0407887/?ref_=fn_tt_tt_1"/>
        <s v="http://www.imdb.com/title/tt0120762/?ref_=fn_tt_tt_1"/>
        <s v="http://www.imdb.com/title/tt0942385/?ref_=fn_tt_tt_1"/>
        <s v="http://www.imdb.com/title/tt1568346/?ref_=fn_tt_tt_1"/>
        <s v="http://www.imdb.com/title/tt0112864/?ref_=fn_tt_tt_1"/>
        <s v="http://www.imdb.com/title/tt0988045/?ref_=fn_tt_tt_1"/>
        <s v="http://www.imdb.com/title/tt2638144/?ref_=fn_tt_tt_1"/>
        <s v="http://www.imdb.com/title/tt0230011/?ref_=fn_tt_tt_1"/>
        <s v="http://www.imdb.com/title/tt2974918/?ref_=fn_tt_tt_1"/>
        <s v="http://www.imdb.com/title/tt0985699/?ref_=fn_tt_tt_1"/>
        <s v="http://www.imdb.com/title/tt0960144/?ref_=fn_tt_tt_1"/>
        <s v="http://www.imdb.com/title/tt2120120/?ref_=fn_tt_tt_1"/>
        <s v="http://www.imdb.com/title/tt0212720/?ref_=fn_tt_tt_1"/>
        <s v="http://www.imdb.com/title/tt0338094/?ref_=fn_tt_tt_1"/>
        <s v="http://www.imdb.com/title/tt0118884/?ref_=fn_tt_tt_1"/>
        <s v="http://www.imdb.com/title/tt0164052/?ref_=fn_tt_tt_1"/>
        <s v="http://www.imdb.com/title/tt0373926/?ref_=fn_tt_tt_1"/>
        <s v="http://www.imdb.com/title/tt1854564/?ref_=fn_tt_tt_1"/>
        <s v="http://www.imdb.com/title/tt0325703/?ref_=fn_tt_tt_1"/>
        <s v="http://www.imdb.com/title/tt3110958/?ref_=fn_tt_tt_1"/>
        <s v="http://www.imdb.com/title/tt0120053/?ref_=fn_tt_tt_1"/>
        <s v="http://www.imdb.com/title/tt0266987/?ref_=fn_tt_tt_1"/>
        <s v="http://www.imdb.com/title/tt0183523/?ref_=fn_tt_tt_1"/>
        <s v="http://www.imdb.com/title/tt1436562/?ref_=fn_tt_tt_1"/>
        <s v="http://www.imdb.com/title/tt0182789/?ref_=fn_tt_tt_1"/>
        <s v="http://www.imdb.com/title/tt0120461/?ref_=fn_tt_tt_1"/>
        <s v="http://www.imdb.com/title/tt0118972/?ref_=fn_tt_tt_1"/>
        <s v="http://www.imdb.com/title/tt0267626/?ref_=fn_tt_tt_1"/>
        <s v="http://www.imdb.com/title/tt0082198/?ref_=fn_tt_tt_1"/>
        <s v="http://www.imdb.com/title/tt0352248/?ref_=fn_tt_tt_1"/>
        <s v="http://www.imdb.com/title/tt1041804/?ref_=fn_tt_tt_1"/>
        <s v="http://www.imdb.com/title/tt0329575/?ref_=fn_tt_tt_1"/>
        <s v="http://www.imdb.com/title/tt0117998/?ref_=fn_tt_tt_1"/>
        <s v="http://www.imdb.com/title/tt0162222/?ref_=fn_tt_tt_1"/>
        <s v="http://www.imdb.com/title/tt0366548/?ref_=fn_tt_tt_1"/>
        <s v="http://www.imdb.com/title/tt0372183/?ref_=fn_tt_tt_1"/>
        <s v="http://www.imdb.com/title/tt0118571/?ref_=fn_tt_tt_1"/>
        <s v="http://www.imdb.com/title/tt0240772/?ref_=fn_tt_tt_1"/>
        <s v="http://www.imdb.com/title/tt1509767/?ref_=fn_tt_tt_1"/>
        <s v="http://www.imdb.com/title/tt0837562/?ref_=fn_tt_tt_1"/>
        <s v="http://www.imdb.com/title/tt0461770/?ref_=fn_tt_tt_1"/>
        <s v="http://www.imdb.com/title/tt2243973/?ref_=fn_tt_tt_1"/>
        <s v="http://www.imdb.com/title/tt1599348/?ref_=fn_tt_tt_1"/>
        <s v="http://www.imdb.com/title/tt0211181/?ref_=fn_tt_tt_1"/>
        <s v="http://www.imdb.com/title/tt0471042/?ref_=fn_tt_tt_1"/>
        <s v="http://www.imdb.com/title/tt0457939/?ref_=fn_tt_tt_1"/>
        <s v="http://www.imdb.com/title/tt0120660/?ref_=fn_tt_tt_1"/>
        <s v="http://www.imdb.com/title/tt1230414/?ref_=fn_tt_tt_1"/>
        <s v="http://www.imdb.com/title/tt0496806/?ref_=fn_tt_tt_1"/>
        <s v="http://www.imdb.com/title/tt0400717/?ref_=fn_tt_tt_1"/>
        <s v="http://www.imdb.com/title/tt1840309/?ref_=fn_tt_tt_1"/>
        <s v="http://www.imdb.com/title/tt0215750/?ref_=fn_tt_tt_1"/>
        <s v="http://www.imdb.com/title/tt0327850/?ref_=fn_tt_tt_1"/>
        <s v="http://www.imdb.com/title/tt0107362/?ref_=fn_tt_tt_1"/>
        <s v="http://www.imdb.com/title/tt0397535/?ref_=fn_tt_tt_1"/>
        <s v="http://www.imdb.com/title/tt0463985/?ref_=fn_tt_tt_1"/>
        <s v="http://www.imdb.com/title/tt1430607/?ref_=fn_tt_tt_1"/>
        <s v="http://www.imdb.com/title/tt0119643/?ref_=fn_tt_tt_1"/>
        <s v="http://www.imdb.com/title/tt0233469/?ref_=fn_tt_tt_1"/>
        <s v="http://www.imdb.com/title/tt0078754/?ref_=fn_tt_tt_1"/>
        <s v="http://www.imdb.com/title/tt1667353/?ref_=fn_tt_tt_1"/>
        <s v="http://www.imdb.com/title/tt0446029/?ref_=fn_tt_tt_1"/>
        <s v="http://www.imdb.com/title/tt0298814/?ref_=fn_tt_tt_1"/>
        <s v="http://www.imdb.com/title/tt0144528/?ref_=fn_tt_tt_1"/>
        <s v="http://www.imdb.com/title/tt0267913/?ref_=fn_tt_tt_1"/>
        <s v="http://www.imdb.com/title/tt1343727/?ref_=fn_tt_tt_1"/>
        <s v="http://www.imdb.com/title/tt0389860/?ref_=fn_tt_tt_1"/>
        <s v="http://www.imdb.com/title/tt0083767/?ref_=fn_tt_tt_1"/>
        <s v="http://www.imdb.com/title/tt1287468/?ref_=fn_tt_tt_1"/>
        <s v="http://www.imdb.com/title/tt0489099/?ref_=fn_tt_tt_1"/>
        <s v="http://www.imdb.com/title/tt0411477/?ref_=fn_tt_tt_1"/>
        <s v="http://www.imdb.com/title/tt0443706/?ref_=fn_tt_tt_1"/>
        <s v="http://www.imdb.com/title/tt0216216/?ref_=fn_tt_tt_1"/>
        <s v="http://www.imdb.com/title/tt0315327/?ref_=fn_tt_tt_1"/>
        <s v="http://www.imdb.com/title/tt1320253/?ref_=fn_tt_tt_1"/>
        <s v="http://www.imdb.com/title/tt0117060/?ref_=fn_tt_tt_1"/>
        <s v="http://www.imdb.com/title/tt1392170/?ref_=fn_tt_tt_1"/>
        <s v="http://www.imdb.com/title/tt1411697/?ref_=fn_tt_tt_1"/>
        <s v="http://www.imdb.com/title/tt0103776/?ref_=fn_tt_tt_1"/>
        <s v="http://www.imdb.com/title/tt0327084/?ref_=fn_tt_tt_1"/>
        <s v="http://www.imdb.com/title/tt0275847/?ref_=fn_tt_tt_1"/>
        <s v="http://www.imdb.com/title/tt0413895/?ref_=fn_tt_tt_1"/>
        <s v="http://www.imdb.com/title/tt0120647/?ref_=fn_tt_tt_1"/>
        <s v="http://www.imdb.com/title/tt1821694/?ref_=fn_tt_tt_1"/>
        <s v="http://www.imdb.com/title/tt0398165/?ref_=fn_tt_tt_1"/>
        <s v="http://www.imdb.com/title/tt1615918/?ref_=fn_tt_tt_1"/>
        <s v="http://www.imdb.com/title/tt2191701/?ref_=fn_tt_tt_1"/>
        <s v="http://www.imdb.com/title/tt0425061/?ref_=fn_tt_tt_1"/>
        <s v="http://www.imdb.com/title/tt0337741/?ref_=fn_tt_tt_1"/>
        <s v="http://www.imdb.com/title/tt1130884/?ref_=fn_tt_tt_1"/>
        <s v="http://www.imdb.com/title/tt0369436/?ref_=fn_tt_tt_1"/>
        <s v="http://www.imdb.com/title/tt0358082/?ref_=fn_tt_tt_1"/>
        <s v="http://www.imdb.com/title/tt0119094/?ref_=fn_tt_tt_1"/>
        <s v="http://www.imdb.com/title/tt0960731/?ref_=fn_tt_tt_1"/>
        <s v="http://www.imdb.com/title/tt0257044/?ref_=fn_tt_tt_1"/>
        <s v="http://www.imdb.com/title/tt1564367/?ref_=fn_tt_tt_1"/>
        <s v="http://www.imdb.com/title/tt3322312/?ref_=fn_tt_tt_1"/>
        <s v="http://www.imdb.com/title/tt0118880/?ref_=fn_tt_tt_1"/>
        <s v="http://www.imdb.com/title/tt1059786/?ref_=fn_tt_tt_1"/>
        <s v="http://www.imdb.com/title/tt0159365/?ref_=fn_tt_tt_1"/>
        <s v="http://www.imdb.com/title/tt1037705/?ref_=fn_tt_tt_1"/>
        <s v="http://www.imdb.com/title/tt0119137/?ref_=fn_tt_tt_1"/>
        <s v="http://www.imdb.com/title/tt0171363/?ref_=fn_tt_tt_1"/>
        <s v="http://www.imdb.com/title/tt0117705/?ref_=fn_tt_tt_1"/>
        <s v="http://www.imdb.com/title/tt0383216/?ref_=fn_tt_tt_1"/>
        <s v="http://www.imdb.com/title/tt0970416/?ref_=fn_tt_tt_1"/>
        <s v="http://www.imdb.com/title/tt0118883/?ref_=fn_tt_tt_1"/>
        <s v="http://www.imdb.com/title/tt2713180/?ref_=fn_tt_tt_1"/>
        <s v="http://www.imdb.com/title/tt0120828/?ref_=fn_tt_tt_1"/>
        <s v="http://www.imdb.com/title/tt1302067/?ref_=fn_tt_tt_1"/>
        <s v="http://www.imdb.com/title/tt0166813/?ref_=fn_tt_tt_1"/>
        <s v="http://www.imdb.com/title/tt1222817/?ref_=fn_tt_tt_1"/>
        <s v="http://www.imdb.com/title/tt0120738/?ref_=fn_tt_tt_1"/>
        <s v="http://www.imdb.com/title/tt0368008/?ref_=fn_tt_tt_1"/>
        <s v="http://www.imdb.com/title/tt0119033/?ref_=fn_tt_tt_1"/>
        <s v="http://www.imdb.com/title/tt2510894/?ref_=fn_tt_tt_1"/>
        <s v="http://www.imdb.com/title/tt0057733/?ref_=fn_tt_tt_1"/>
        <s v="http://www.imdb.com/title/tt0120910/?ref_=fn_tt_tt_1"/>
        <s v="http://www.imdb.com/title/tt0268695/?ref_=fn_tt_tt_1"/>
        <s v="http://www.imdb.com/title/tt0120751/?ref_=fn_tt_tt_1"/>
        <s v="http://www.imdb.com/title/tt0244244/?ref_=fn_tt_tt_1"/>
        <s v="http://www.imdb.com/title/tt0386140/?ref_=fn_tt_tt_1"/>
        <s v="http://www.imdb.com/title/tt0120889/?ref_=fn_tt_tt_1"/>
        <s v="http://www.imdb.com/title/tt0185431/?ref_=fn_tt_tt_1"/>
        <s v="http://www.imdb.com/title/tt0355295/?ref_=fn_tt_tt_1"/>
        <s v="http://www.imdb.com/title/tt0116996/?ref_=fn_tt_tt_1"/>
        <s v="http://www.imdb.com/title/tt4291590/?ref_=fn_tt_tt_1"/>
        <s v="http://www.imdb.com/title/tt0119051/?ref_=fn_tt_tt_1"/>
        <s v="http://www.imdb.com/title/tt0986263/?ref_=fn_tt_tt_1"/>
        <s v="http://www.imdb.com/title/tt0146309/?ref_=fn_tt_tt_1"/>
        <s v="http://www.imdb.com/title/tt0116040/?ref_=fn_tt_tt_1"/>
        <s v="http://www.imdb.com/title/tt1762399/?ref_=fn_tt_tt_1"/>
        <s v="http://www.imdb.com/title/tt0185183/?ref_=fn_tt_tt_1"/>
        <s v="http://www.imdb.com/title/tt0318155/?ref_=fn_tt_tt_1"/>
        <s v="http://www.imdb.com/title/tt0875034/?ref_=fn_tt_tt_1"/>
        <s v="http://www.imdb.com/title/tt0300556/?ref_=fn_tt_tt_1"/>
        <s v="http://www.imdb.com/title/tt0119925/?ref_=fn_tt_tt_1"/>
        <s v="http://www.imdb.com/title/tt0120595/?ref_=fn_tt_tt_1"/>
        <s v="http://www.imdb.com/title/tt1618442/?ref_=fn_tt_tt_1"/>
        <s v="http://www.imdb.com/title/tt0199753/?ref_=fn_tt_tt_1"/>
        <s v="http://www.imdb.com/title/tt0344854/?ref_=fn_tt_tt_1"/>
        <s v="http://www.imdb.com/title/tt0765128/?ref_=fn_tt_tt_1"/>
        <s v="http://www.imdb.com/title/tt0318081/?ref_=fn_tt_tt_1"/>
        <s v="http://www.imdb.com/title/tt1921064/?ref_=fn_tt_tt_1"/>
        <s v="http://www.imdb.com/title/tt4057916/?ref_=fn_tt_tt_1"/>
        <s v="http://www.imdb.com/title/tt0268978/?ref_=fn_tt_tt_1"/>
        <s v="http://www.imdb.com/title/tt0110357/?ref_=fn_tt_tt_1"/>
        <s v="http://www.imdb.com/title/tt1397514/?ref_=fn_tt_tt_1"/>
        <s v="http://www.imdb.com/title/tt1985966/?ref_=fn_tt_tt_1"/>
        <s v="http://www.imdb.com/title/tt0289765/?ref_=fn_tt_tt_1"/>
        <s v="http://www.imdb.com/title/tt0317648/?ref_=fn_tt_tt_1"/>
        <s v="http://www.imdb.com/title/tt0810913/?ref_=fn_tt_tt_1"/>
        <s v="http://www.imdb.com/title/tt0322259/?ref_=fn_tt_tt_1"/>
        <s v="http://www.imdb.com/title/tt1754656/?ref_=fn_tt_tt_1"/>
        <s v="http://www.imdb.com/title/tt0427392/?ref_=fn_tt_tt_1"/>
        <s v="http://www.imdb.com/title/tt0131704/?ref_=fn_tt_tt_1"/>
        <s v="http://www.imdb.com/title/tt2709768/?ref_=fn_tt_tt_1"/>
        <s v="http://www.imdb.com/title/tt0311429/?ref_=fn_tt_tt_1"/>
        <s v="http://www.imdb.com/title/tt1690953/?ref_=fn_tt_tt_1"/>
        <s v="http://www.imdb.com/title/tt0116629/?ref_=fn_tt_tt_1"/>
        <s v="http://www.imdb.com/title/tt0119567/?ref_=fn_tt_tt_1"/>
        <s v="http://www.imdb.com/title/tt0351283/?ref_=fn_tt_tt_1"/>
        <s v="http://www.imdb.com/title/tt0206634/?ref_=fn_tt_tt_1"/>
        <s v="http://www.imdb.com/title/tt0120903/?ref_=fn_tt_tt_1"/>
        <s v="http://www.imdb.com/title/tt0493464/?ref_=fn_tt_tt_1"/>
        <s v="http://www.imdb.com/title/tt0117500/?ref_=fn_tt_tt_1"/>
        <s v="http://www.imdb.com/title/tt0438097/?ref_=fn_tt_tt_1"/>
        <s v="http://www.imdb.com/title/tt0343660/?ref_=fn_tt_tt_1"/>
        <s v="http://www.imdb.com/title/tt0427327/?ref_=fn_tt_tt_1"/>
        <s v="http://www.imdb.com/title/tt0204313/?ref_=fn_tt_tt_1"/>
        <s v="http://www.imdb.com/title/tt0141369/?ref_=fn_tt_tt_1"/>
        <s v="http://www.imdb.com/title/tt1670345/?ref_=fn_tt_tt_1"/>
        <s v="http://www.imdb.com/title/tt1375670/?ref_=fn_tt_tt_1"/>
        <s v="http://www.imdb.com/title/tt0362227/?ref_=fn_tt_tt_1"/>
        <s v="http://www.imdb.com/title/tt3489184/?ref_=fn_tt_tt_1"/>
        <s v="http://www.imdb.com/title/tt0785006/?ref_=fn_tt_tt_1"/>
        <s v="http://www.imdb.com/title/tt0190865/?ref_=fn_tt_tt_1"/>
        <s v="http://www.imdb.com/title/tt0472062/?ref_=fn_tt_tt_1"/>
        <s v="http://www.imdb.com/title/tt0307453/?ref_=fn_tt_tt_1"/>
        <s v="http://www.imdb.com/title/tt0443489/?ref_=fn_tt_tt_1"/>
        <s v="http://www.imdb.com/title/tt0874936/?ref_=fn_tt_tt_1"/>
        <s v="http://www.imdb.com/title/tt0377471/?ref_=fn_tt_tt_1"/>
        <s v="http://www.imdb.com/title/tt0408306/?ref_=fn_tt_tt_1"/>
        <s v="http://www.imdb.com/title/tt0314353/?ref_=fn_tt_tt_1"/>
        <s v="http://www.imdb.com/title/tt1103153/?ref_=fn_tt_tt_1"/>
        <s v="http://www.imdb.com/title/tt1638355/?ref_=fn_tt_tt_1"/>
        <s v="http://www.imdb.com/title/tt0371246/?ref_=fn_tt_tt_1"/>
        <s v="http://www.imdb.com/title/tt0385880/?ref_=fn_tt_tt_1"/>
        <s v="http://www.imdb.com/title/tt0219965/?ref_=fn_tt_tt_1"/>
        <s v="http://www.imdb.com/title/tt0113071/?ref_=fn_tt_tt_1"/>
        <s v="http://www.imdb.com/title/tt0166485/?ref_=fn_tt_tt_1"/>
        <s v="http://www.imdb.com/title/tt1253864/?ref_=fn_tt_tt_1"/>
        <s v="http://www.imdb.com/title/tt0340163/?ref_=fn_tt_tt_1"/>
        <s v="http://www.imdb.com/title/tt0120913/?ref_=fn_tt_tt_1"/>
        <s v="http://www.imdb.com/title/tt0329717/?ref_=fn_tt_tt_1"/>
        <s v="http://www.imdb.com/title/tt0120157/?ref_=fn_tt_tt_1"/>
        <s v="http://www.imdb.com/title/tt0806203/?ref_=fn_tt_tt_1"/>
        <s v="http://www.imdb.com/title/tt0166276/?ref_=fn_tt_tt_1"/>
        <s v="http://www.imdb.com/title/tt0377062/?ref_=fn_tt_tt_1"/>
        <s v="http://www.imdb.com/title/tt0217869/?ref_=fn_tt_tt_1"/>
        <s v="http://www.imdb.com/title/tt2293640/?ref_=fn_tt_tt_1"/>
        <s v="http://www.imdb.com/title/tt0978764/?ref_=fn_tt_tt_1"/>
        <s v="http://www.imdb.com/title/tt0120832/?ref_=fn_tt_tt_1"/>
        <s v="http://www.imdb.com/title/tt0120184/?ref_=fn_tt_tt_1"/>
        <s v="http://www.imdb.com/title/tt1985949/?ref_=fn_tt_tt_1"/>
        <s v="http://www.imdb.com/title/tt0770752/?ref_=fn_tt_tt_1"/>
        <s v="http://www.imdb.com/title/tt1201167/?ref_=fn_tt_tt_1"/>
        <s v="http://www.imdb.com/title/tt0431197/?ref_=fn_tt_tt_1"/>
        <s v="http://www.imdb.com/title/tt0415306/?ref_=fn_tt_tt_1"/>
        <s v="http://www.imdb.com/title/tt0240462/?ref_=fn_tt_tt_1"/>
        <s v="http://www.imdb.com/title/tt0112573/?ref_=fn_tt_tt_1"/>
        <s v="http://www.imdb.com/title/tt0418763/?ref_=fn_tt_tt_1"/>
        <s v="http://www.imdb.com/title/tt0462538/?ref_=fn_tt_tt_1"/>
        <s v="http://www.imdb.com/title/tt0268995/?ref_=fn_tt_tt_1"/>
        <s v="http://www.imdb.com/title/tt0132245/?ref_=fn_tt_tt_1"/>
        <s v="http://www.imdb.com/title/tt0338512/?ref_=fn_tt_tt_1"/>
        <s v="http://www.imdb.com/title/tt0368447/?ref_=fn_tt_tt_1"/>
        <s v="http://www.imdb.com/title/tt0118998/?ref_=fn_tt_tt_1"/>
        <s v="http://www.imdb.com/title/tt0286106/?ref_=fn_tt_tt_1"/>
        <s v="http://www.imdb.com/title/tt0298148/?ref_=fn_tt_tt_1"/>
        <s v="http://www.imdb.com/title/tt0317219/?ref_=fn_tt_tt_1"/>
        <s v="http://www.imdb.com/title/tt0163187/?ref_=fn_tt_tt_1"/>
        <s v="http://www.imdb.com/title/tt0295701/?ref_=fn_tt_tt_1"/>
        <s v="http://www.imdb.com/title/tt2279373/?ref_=fn_tt_tt_1"/>
        <s v="http://www.imdb.com/title/tt0117438/?ref_=fn_tt_tt_1"/>
        <s v="http://www.imdb.com/title/tt0361748/?ref_=fn_tt_tt_1"/>
        <s v="http://www.imdb.com/title/tt0102057/?ref_=fn_tt_tt_1"/>
        <s v="http://www.imdb.com/title/tt0099423/?ref_=fn_tt_tt_1"/>
        <s v="http://www.imdb.com/title/tt0257076/?ref_=fn_tt_tt_1"/>
        <s v="http://www.imdb.com/title/tt2647544/?ref_=fn_tt_tt_1"/>
        <s v="http://www.imdb.com/title/tt0259711/?ref_=fn_tt_tt_1"/>
        <s v="http://www.imdb.com/title/tt0452637/?ref_=fn_tt_tt_1"/>
        <s v="http://www.imdb.com/title/tt0370263/?ref_=fn_tt_tt_1"/>
        <s v="http://www.imdb.com/title/tt1231580/?ref_=fn_tt_tt_1"/>
        <s v="http://www.imdb.com/title/tt0277434/?ref_=fn_tt_tt_1"/>
        <s v="http://www.imdb.com/title/tt2302755/?ref_=fn_tt_tt_1"/>
        <s v="http://www.imdb.com/title/tt0120844/?ref_=fn_tt_tt_1"/>
        <s v="http://www.imdb.com/title/tt1217613/?ref_=fn_tt_tt_1"/>
        <s v="http://www.imdb.com/title/tt0319061/?ref_=fn_tt_tt_1"/>
        <s v="http://www.imdb.com/title/tt0111742/?ref_=fn_tt_tt_1"/>
        <s v="http://www.imdb.com/title/tt1568911/?ref_=fn_tt_tt_1"/>
        <s v="http://www.imdb.com/title/tt2177771/?ref_=fn_tt_tt_1"/>
        <s v="http://www.imdb.com/title/tt0096754/?ref_=fn_tt_tt_1"/>
        <s v="http://www.imdb.com/title/tt1027718/?ref_=fn_tt_tt_1"/>
        <s v="http://www.imdb.com/title/tt0829150/?ref_=fn_tt_tt_1"/>
        <s v="http://www.imdb.com/title/tt0133952/?ref_=fn_tt_tt_1"/>
        <s v="http://www.imdb.com/title/tt0486655/?ref_=fn_tt_tt_1"/>
        <s v="http://www.imdb.com/title/tt0120102/?ref_=fn_tt_tt_1"/>
        <s v="http://www.imdb.com/title/tt1578275/?ref_=fn_tt_tt_1"/>
        <s v="http://www.imdb.com/title/tt0280486/?ref_=fn_tt_tt_1"/>
        <s v="http://www.imdb.com/title/tt0419706/?ref_=fn_tt_tt_1"/>
        <s v="http://www.imdb.com/title/tt0297181/?ref_=fn_tt_tt_1"/>
        <s v="http://www.imdb.com/title/tt1496025/?ref_=fn_tt_tt_1"/>
        <s v="http://www.imdb.com/title/tt1336608/?ref_=fn_tt_tt_1"/>
        <s v="http://www.imdb.com/title/tt0251114/?ref_=fn_tt_tt_1"/>
        <s v="http://www.imdb.com/title/tt1448755/?ref_=fn_tt_tt_1"/>
        <s v="http://www.imdb.com/title/tt0246894/?ref_=fn_tt_tt_1"/>
        <s v="http://www.imdb.com/title/tt0308208/?ref_=fn_tt_tt_1"/>
        <s v="http://www.imdb.com/title/tt0120696/?ref_=fn_tt_tt_1"/>
        <s v="http://www.imdb.com/title/tt0181739/?ref_=fn_tt_tt_1"/>
        <s v="http://www.imdb.com/title/tt0884726/?ref_=fn_tt_tt_1"/>
        <s v="http://www.imdb.com/title/tt2717822/?ref_=fn_tt_tt_1"/>
        <s v="http://www.imdb.com/title/tt0346156/?ref_=fn_tt_tt_1"/>
        <s v="http://www.imdb.com/title/tt0430912/?ref_=fn_tt_tt_1"/>
        <s v="http://www.imdb.com/title/tt1211956/?ref_=fn_tt_tt_1"/>
        <s v="http://www.imdb.com/title/tt1043726/?ref_=fn_tt_tt_1"/>
        <s v="http://www.imdb.com/title/tt0164184/?ref_=fn_tt_tt_1"/>
        <s v="http://www.imdb.com/title/tt1325004/?ref_=fn_tt_tt_1"/>
        <s v="http://www.imdb.com/title/tt0227445/?ref_=fn_tt_tt_1"/>
        <s v="http://www.imdb.com/title/tt1323594/?ref_=fn_tt_tt_1"/>
        <s v="http://www.imdb.com/title/tt0113845/?ref_=fn_tt_tt_1"/>
        <s v="http://www.imdb.com/title/tt2637276/?ref_=fn_tt_tt_1"/>
        <s v="http://www.imdb.com/title/tt1186830/?ref_=fn_tt_tt_1"/>
        <s v="http://www.imdb.com/title/tt0132347/?ref_=fn_tt_tt_1"/>
        <s v="http://www.imdb.com/title/tt0480687/?ref_=fn_tt_tt_1"/>
        <s v="http://www.imdb.com/title/tt0140352/?ref_=fn_tt_tt_1"/>
        <s v="http://www.imdb.com/title/tt2025690/?ref_=fn_tt_tt_1"/>
        <s v="http://www.imdb.com/title/tt0758774/?ref_=fn_tt_tt_1"/>
        <s v="http://www.imdb.com/title/tt0427152/?ref_=fn_tt_tt_1"/>
        <s v="http://www.imdb.com/title/tt1611224/?ref_=fn_tt_tt_1"/>
        <s v="http://www.imdb.com/title/tt0137494/?ref_=fn_tt_tt_1"/>
        <s v="http://www.imdb.com/title/tt1828327/?ref_=fn_tt_tt_1"/>
        <s v="http://www.imdb.com/title/tt0120902/?ref_=fn_tt_tt_1"/>
        <s v="http://www.imdb.com/title/tt0462396/?ref_=fn_tt_tt_1"/>
        <s v="http://www.imdb.com/title/tt0120815/?ref_=fn_tt_tt_1"/>
        <s v="http://www.imdb.com/title/tt2369135/?ref_=fn_tt_tt_1"/>
        <s v="http://www.imdb.com/title/tt0207201/?ref_=fn_tt_tt_1"/>
        <s v="http://www.imdb.com/title/tt0268380/?ref_=fn_tt_tt_1"/>
        <s v="http://www.imdb.com/title/tt0285531/?ref_=fn_tt_tt_1"/>
        <s v="http://www.imdb.com/title/tt0443272/?ref_=fn_tt_tt_1"/>
        <s v="http://www.imdb.com/title/tt0133093/?ref_=fn_tt_tt_1"/>
        <s v="http://www.imdb.com/title/tt0112384/?ref_=fn_tt_tt_1"/>
        <s v="http://www.imdb.com/title/tt0304669/?ref_=fn_tt_tt_1"/>
        <s v="http://www.imdb.com/title/tt1707386/?ref_=fn_tt_tt_1"/>
        <s v="http://www.imdb.com/title/tt0128853/?ref_=fn_tt_tt_1"/>
        <s v="http://www.imdb.com/title/tt0838283/?ref_=fn_tt_tt_1"/>
        <s v="http://www.imdb.com/title/tt0120746/?ref_=fn_tt_tt_1"/>
        <s v="http://www.imdb.com/title/tt1231583/?ref_=fn_tt_tt_1"/>
        <s v="http://www.imdb.com/title/tt1809398/?ref_=fn_tt_tt_1"/>
        <s v="http://www.imdb.com/title/tt0186566/?ref_=fn_tt_tt_1"/>
        <s v="http://www.imdb.com/title/tt0106582/?ref_=fn_tt_tt_1"/>
        <s v="http://www.imdb.com/title/tt0115759/?ref_=fn_tt_tt_1"/>
        <s v="http://www.imdb.com/title/tt0219854/?ref_=fn_tt_tt_1"/>
        <s v="http://www.imdb.com/title/tt0469641/?ref_=fn_tt_tt_1"/>
        <s v="http://www.imdb.com/title/tt0304415/?ref_=fn_tt_tt_1"/>
        <s v="http://www.imdb.com/title/tt1645170/?ref_=fn_tt_tt_1"/>
        <s v="http://www.imdb.com/title/tt0120663/?ref_=fn_tt_tt_1"/>
        <s v="http://www.imdb.com/title/tt1823664/?ref_=fn_tt_tt_1"/>
        <s v="http://www.imdb.com/title/tt2381941/?ref_=fn_tt_tt_1"/>
        <s v="http://www.imdb.com/title/tt1596350/?ref_=fn_tt_tt_1"/>
        <s v="http://www.imdb.com/title/tt0359013/?ref_=fn_tt_tt_1"/>
        <s v="http://www.imdb.com/title/tt0087985/?ref_=fn_tt_tt_1"/>
        <s v="http://www.imdb.com/title/tt0119942/?ref_=fn_tt_tt_1"/>
        <s v="http://www.imdb.com/title/tt1855325/?ref_=fn_tt_tt_1"/>
        <s v="http://www.imdb.com/title/tt0452608/?ref_=fn_tt_tt_1"/>
        <s v="http://www.imdb.com/title/tt0116908/?ref_=fn_tt_tt_1"/>
        <s v="http://www.imdb.com/title/tt0228750/?ref_=fn_tt_tt_1"/>
        <s v="http://www.imdb.com/title/tt0406375/?ref_=fn_tt_tt_1"/>
        <s v="http://www.imdb.com/title/tt0137523/?ref_=fn_tt_tt_1"/>
        <s v="http://www.imdb.com/title/tt0758794/?ref_=fn_tt_tt_1"/>
        <s v="http://www.imdb.com/title/tt3877200/?ref_=fn_tt_tt_1"/>
        <s v="http://www.imdb.com/title/tt0102070/?ref_=fn_tt_tt_1"/>
        <s v="http://www.imdb.com/title/tt0219952/?ref_=fn_tt_tt_1"/>
        <s v="http://www.imdb.com/title/tt1418377/?ref_=fn_tt_tt_1"/>
        <s v="http://www.imdb.com/title/tt0380599/?ref_=fn_tt_tt_1"/>
        <s v="http://www.imdb.com/title/tt0357277/?ref_=fn_tt_tt_1"/>
        <s v="http://www.imdb.com/title/tt0458481/?ref_=fn_tt_tt_1"/>
        <s v="http://www.imdb.com/title/tt0156934/?ref_=fn_tt_tt_1"/>
        <s v="http://www.imdb.com/title/tt2719848/?ref_=fn_tt_tt_1"/>
        <s v="http://www.imdb.com/title/tt0396171/?ref_=fn_tt_tt_1"/>
        <s v="http://www.imdb.com/title/tt0295178/?ref_=fn_tt_tt_1"/>
        <s v="http://www.imdb.com/title/tt0375568/?ref_=fn_tt_tt_1"/>
        <s v="http://www.imdb.com/title/tt0107290/?ref_=fn_tt_tt_1"/>
        <s v="http://www.imdb.com/title/tt0111756/?ref_=fn_tt_tt_1"/>
        <s v="http://www.imdb.com/title/tt0109444/?ref_=fn_tt_tt_1"/>
        <s v="http://www.imdb.com/title/tt3672840/?ref_=fn_tt_tt_1"/>
        <s v="http://www.imdb.com/title/tt0430304/?ref_=fn_tt_tt_1"/>
        <s v="http://www.imdb.com/title/tt0141926/?ref_=fn_tt_tt_1"/>
        <s v="http://www.imdb.com/title/tt0112346/?ref_=fn_tt_tt_1"/>
        <s v="http://www.imdb.com/title/tt0811138/?ref_=fn_tt_tt_1"/>
        <s v="http://www.imdb.com/title/tt0233142/?ref_=fn_tt_tt_1"/>
        <s v="http://www.imdb.com/title/tt3460252/?ref_=fn_tt_tt_1"/>
        <s v="http://www.imdb.com/title/tt0445934/?ref_=fn_tt_tt_1"/>
        <s v="http://www.imdb.com/title/tt1411704/?ref_=fn_tt_tt_1"/>
        <s v="http://www.imdb.com/title/tt0416449/?ref_=fn_tt_tt_1"/>
        <s v="http://www.imdb.com/title/tt0290002/?ref_=fn_tt_tt_1"/>
        <s v="http://www.imdb.com/title/tt0822832/?ref_=fn_tt_tt_1"/>
        <s v="http://www.imdb.com/title/tt0120689/?ref_=fn_tt_tt_1"/>
        <s v="http://www.imdb.com/title/tt0486946/?ref_=fn_tt_tt_1"/>
        <s v="http://www.imdb.com/title/tt0371606/?ref_=fn_tt_tt_1"/>
        <s v="http://www.imdb.com/title/tt2267998/?ref_=fn_tt_tt_1"/>
        <s v="http://www.imdb.com/title/tt0258463/?ref_=fn_tt_tt_1"/>
        <s v="http://www.imdb.com/title/tt0113189/?ref_=fn_tt_tt_1"/>
        <s v="http://www.imdb.com/title/tt0144214/?ref_=fn_tt_tt_1"/>
        <s v="http://www.imdb.com/title/tt0120382/?ref_=fn_tt_tt_1"/>
        <s v="http://www.imdb.com/title/tt0120794/?ref_=fn_tt_tt_1"/>
        <s v="http://www.imdb.com/title/tt0317303/?ref_=fn_tt_tt_1"/>
        <s v="http://www.imdb.com/title/tt1272878/?ref_=fn_tt_tt_1"/>
        <s v="http://www.imdb.com/title/tt0239395/?ref_=fn_tt_tt_1"/>
        <s v="http://www.imdb.com/title/tt0317740/?ref_=fn_tt_tt_1"/>
        <s v="http://www.imdb.com/title/tt0313737/?ref_=fn_tt_tt_1"/>
        <s v="http://www.imdb.com/title/tt0120587/?ref_=fn_tt_tt_1"/>
        <s v="http://www.imdb.com/title/tt1078940/?ref_=fn_tt_tt_1"/>
        <s v="http://www.imdb.com/title/tt0099371/?ref_=fn_tt_tt_1"/>
        <s v="http://www.imdb.com/title/tt0452598/?ref_=fn_tt_tt_1"/>
        <s v="http://www.imdb.com/title/tt4046784/?ref_=fn_tt_tt_1"/>
        <s v="http://www.imdb.com/title/tt0879870/?ref_=fn_tt_tt_1"/>
        <s v="http://www.imdb.com/title/tt0218967/?ref_=fn_tt_tt_1"/>
        <s v="http://www.imdb.com/title/tt1245526/?ref_=fn_tt_tt_1"/>
        <s v="http://www.imdb.com/title/tt0146838/?ref_=fn_tt_tt_1"/>
        <s v="http://www.imdb.com/title/tt0119314/?ref_=fn_tt_tt_1"/>
        <s v="http://www.imdb.com/title/tt0369339/?ref_=fn_tt_tt_1"/>
        <s v="http://www.imdb.com/title/tt0277296/?ref_=fn_tt_tt_1"/>
        <s v="http://www.imdb.com/title/tt0349710/?ref_=fn_tt_tt_1"/>
        <s v="http://www.imdb.com/title/tt0790724/?ref_=fn_tt_tt_1"/>
        <s v="http://www.imdb.com/title/tt0149261/?ref_=fn_tt_tt_1"/>
        <s v="http://www.imdb.com/title/tt1477715/?ref_=fn_tt_tt_1"/>
        <s v="http://www.imdb.com/title/tt1598778/?ref_=fn_tt_tt_1"/>
        <s v="http://www.imdb.com/title/tt0257568/?ref_=fn_tt_tt_1"/>
        <s v="http://www.imdb.com/title/tt0327597/?ref_=fn_tt_tt_1"/>
        <s v="http://www.imdb.com/title/tt0949731/?ref_=fn_tt_tt_1"/>
        <s v="http://www.imdb.com/title/tt0328107/?ref_=fn_tt_tt_1"/>
        <s v="http://www.imdb.com/title/tt0393735/?ref_=fn_tt_tt_1"/>
        <s v="http://www.imdb.com/title/tt0335438/?ref_=fn_tt_tt_1"/>
        <s v="http://www.imdb.com/title/tt0116705/?ref_=fn_tt_tt_1"/>
        <s v="http://www.imdb.com/title/tt0167190/?ref_=fn_tt_tt_1"/>
        <s v="http://www.imdb.com/title/tt0120633/?ref_=fn_tt_tt_1"/>
        <s v="http://www.imdb.com/title/tt1623288/?ref_=fn_tt_tt_1"/>
        <s v="http://www.imdb.com/title/tt0119395/?ref_=fn_tt_tt_1"/>
        <s v="http://www.imdb.com/title/tt0338337/?ref_=fn_tt_tt_1"/>
        <s v="http://www.imdb.com/title/tt0118055/?ref_=fn_tt_tt_1"/>
        <s v="http://www.imdb.com/title/tt0420238/?ref_=fn_tt_tt_1"/>
        <s v="http://www.imdb.com/title/tt0790772/?ref_=fn_tt_tt_1"/>
        <s v="http://www.imdb.com/title/tt0290095/?ref_=fn_tt_tt_1"/>
        <s v="http://www.imdb.com/title/tt0114781/?ref_=fn_tt_tt_1"/>
        <s v="http://www.imdb.com/title/tt1205537/?ref_=fn_tt_tt_1"/>
        <s v="http://www.imdb.com/title/tt2446980/?ref_=fn_tt_tt_1"/>
        <s v="http://www.imdb.com/title/tt3300542/?ref_=fn_tt_tt_1"/>
        <s v="http://www.imdb.com/title/tt0118583/?ref_=fn_tt_tt_1"/>
        <s v="http://www.imdb.com/title/tt0822854/?ref_=fn_tt_tt_1"/>
        <s v="http://www.imdb.com/title/tt0787474/?ref_=fn_tt_tt_1"/>
        <s v="http://www.imdb.com/title/tt0120791/?ref_=fn_tt_tt_1"/>
        <s v="http://www.imdb.com/title/tt1490017/?ref_=fn_tt_tt_1"/>
        <s v="http://www.imdb.com/title/tt0385307/?ref_=fn_tt_tt_1"/>
        <s v="http://www.imdb.com/title/tt0253556/?ref_=fn_tt_tt_1"/>
        <s v="http://www.imdb.com/title/tt1321870/?ref_=fn_tt_tt_1"/>
        <s v="http://www.imdb.com/title/tt1045778/?ref_=fn_tt_tt_1"/>
        <s v="http://www.imdb.com/title/tt1057500/?ref_=fn_tt_tt_1"/>
        <s v="http://www.imdb.com/title/tt0473705/?ref_=fn_tt_tt_1"/>
        <s v="http://www.imdb.com/title/tt1135487/?ref_=fn_tt_tt_1"/>
        <s v="http://www.imdb.com/title/tt0120764/?ref_=fn_tt_tt_1"/>
        <s v="http://www.imdb.com/title/tt0443632/?ref_=fn_tt_tt_1"/>
        <s v="http://www.imdb.com/title/tt0762125/?ref_=fn_tt_tt_1"/>
        <s v="http://www.imdb.com/title/tt0253754/?ref_=fn_tt_tt_1"/>
        <s v="http://www.imdb.com/title/tt0138524/?ref_=fn_tt_tt_1"/>
        <s v="http://www.imdb.com/title/tt2083383/?ref_=fn_tt_tt_1"/>
        <s v="http://www.imdb.com/title/tt1226273/?ref_=fn_tt_tt_1"/>
        <s v="http://www.imdb.com/title/tt0120004/?ref_=fn_tt_tt_1"/>
        <s v="http://www.imdb.com/title/tt0289848/?ref_=fn_tt_tt_1"/>
        <s v="http://www.imdb.com/title/tt1034331/?ref_=fn_tt_tt_1"/>
        <s v="http://www.imdb.com/title/tt0120749/?ref_=fn_tt_tt_1"/>
        <s v="http://www.imdb.com/title/tt0821642/?ref_=fn_tt_tt_1"/>
        <s v="http://www.imdb.com/title/tt0146984/?ref_=fn_tt_tt_1"/>
        <s v="http://www.imdb.com/title/tt0181875/?ref_=fn_tt_tt_1"/>
        <s v="http://www.imdb.com/title/tt0455499/?ref_=fn_tt_tt_1"/>
        <s v="http://www.imdb.com/title/tt0329774/?ref_=fn_tt_tt_1"/>
        <s v="http://www.imdb.com/title/tt0822847/?ref_=fn_tt_tt_1"/>
        <s v="http://www.imdb.com/title/tt0165982/?ref_=fn_tt_tt_1"/>
        <s v="http://www.imdb.com/title/tt0119081/?ref_=fn_tt_tt_1"/>
        <s v="http://www.imdb.com/title/tt0259288/?ref_=fn_tt_tt_1"/>
        <s v="http://www.imdb.com/title/tt0387877/?ref_=fn_tt_tt_1"/>
        <s v="http://www.imdb.com/title/tt0454824/?ref_=fn_tt_tt_1"/>
        <s v="http://www.imdb.com/title/tt0272020/?ref_=fn_tt_tt_1"/>
        <s v="http://www.imdb.com/title/tt0134983/?ref_=fn_tt_tt_1"/>
        <s v="http://www.imdb.com/title/tt1837709/?ref_=fn_tt_tt_1"/>
        <s v="http://www.imdb.com/title/tt1538403/?ref_=fn_tt_tt_1"/>
        <s v="http://www.imdb.com/title/tt0765476/?ref_=fn_tt_tt_1"/>
        <s v="http://www.imdb.com/title/tt0382628/?ref_=fn_tt_tt_1"/>
        <s v="http://www.imdb.com/title/tt0131369/?ref_=fn_tt_tt_1"/>
        <s v="http://www.imdb.com/title/tt0494238/?ref_=fn_tt_tt_1"/>
        <s v="http://www.imdb.com/title/tt0831887/?ref_=fn_tt_tt_1"/>
        <s v="http://www.imdb.com/title/tt3045616/?ref_=fn_tt_tt_1"/>
        <s v="http://www.imdb.com/title/tt0460780/?ref_=fn_tt_tt_1"/>
        <s v="http://www.imdb.com/title/tt0294357/?ref_=fn_tt_tt_1"/>
        <s v="http://www.imdb.com/title/tt4591310/?ref_=fn_tt_tt_1"/>
        <s v="http://www.imdb.com/title/tt0326905/?ref_=fn_tt_tt_1"/>
        <s v="http://www.imdb.com/title/tt1431045/?ref_=fn_tt_tt_1"/>
        <s v="http://www.imdb.com/title/tt0120701/?ref_=fn_tt_tt_1"/>
        <s v="http://www.imdb.com/title/tt2179136/?ref_=fn_tt_tt_1"/>
        <s v="http://www.imdb.com/title/tt1051904/?ref_=fn_tt_tt_1"/>
        <s v="http://www.imdb.com/title/tt0115341/?ref_=fn_tt_tt_1"/>
        <s v="http://www.imdb.com/title/tt0425123/?ref_=fn_tt_tt_1"/>
        <s v="http://www.imdb.com/title/tt0158622/?ref_=fn_tt_tt_1"/>
        <s v="http://www.imdb.com/title/tt0095956/?ref_=fn_tt_tt_1"/>
        <s v="http://www.imdb.com/title/tt0379865/?ref_=fn_tt_tt_1"/>
        <s v="http://www.imdb.com/title/tt2479478/?ref_=fn_tt_tt_1"/>
        <s v="http://www.imdb.com/title/tt1314228/?ref_=fn_tt_tt_1"/>
        <s v="http://www.imdb.com/title/tt2234155/?ref_=fn_tt_tt_1"/>
        <s v="http://www.imdb.com/title/tt1220634/?ref_=fn_tt_tt_1"/>
        <s v="http://www.imdb.com/title/tt0485985/?ref_=fn_tt_tt_1"/>
        <s v="http://www.imdb.com/title/tt0159206/?ref_=fn_tt_tt_1"/>
        <s v="http://www.imdb.com/title/tt0118971/?ref_=fn_tt_tt_1"/>
        <s v="http://www.imdb.com/title/tt1232200/?ref_=fn_tt_tt_1"/>
        <s v="http://www.imdb.com/title/tt0116136/?ref_=fn_tt_tt_1"/>
        <s v="http://www.imdb.com/title/tt0367479/?ref_=fn_tt_tt_1"/>
        <s v="http://www.imdb.com/title/tt1071875/?ref_=fn_tt_tt_1"/>
        <s v="http://www.imdb.com/title/tt0238112/?ref_=fn_tt_tt_1"/>
        <s v="http://www.imdb.com/title/tt1986770/?ref_=fn_tt_tt_1"/>
        <s v="http://www.imdb.com/title/tt0395699/?ref_=fn_tt_tt_1"/>
        <s v="http://www.imdb.com/title/tt0351977/?ref_=fn_tt_tt_1"/>
        <s v="http://www.imdb.com/title/tt0109830/?ref_=fn_tt_tt_1"/>
        <s v="http://www.imdb.com/title/tt0952640/?ref_=fn_tt_tt_1"/>
        <s v="http://www.imdb.com/title/tt0212338/?ref_=fn_tt_tt_1"/>
        <s v="http://www.imdb.com/title/tt0114148/?ref_=fn_tt_tt_1"/>
        <s v="http://www.imdb.com/title/tt0078346/?ref_=fn_tt_tt_1"/>
        <s v="http://www.imdb.com/title/tt0117218/?ref_=fn_tt_tt_1"/>
        <s v="http://www.imdb.com/title/tt0386588/?ref_=fn_tt_tt_1"/>
        <s v="http://www.imdb.com/title/tt0119190/?ref_=fn_tt_tt_1"/>
        <s v="http://www.imdb.com/title/tt0328828/?ref_=fn_tt_tt_1"/>
        <s v="http://www.imdb.com/title/tt1535109/?ref_=fn_tt_tt_1"/>
        <s v="http://www.imdb.com/title/tt1279935/?ref_=fn_tt_tt_1"/>
        <s v="http://www.imdb.com/title/tt0112642/?ref_=fn_tt_tt_1"/>
        <s v="http://www.imdb.com/title/tt0455944/?ref_=fn_tt_tt_1"/>
        <s v="http://www.imdb.com/title/tt0252076/?ref_=fn_tt_tt_1"/>
        <s v="http://www.imdb.com/title/tt0112740/?ref_=fn_tt_tt_1"/>
        <s v="http://www.imdb.com/title/tt0454921/?ref_=fn_tt_tt_1"/>
        <s v="http://www.imdb.com/title/tt0408790/?ref_=fn_tt_tt_1"/>
        <s v="http://www.imdb.com/title/tt0109635/?ref_=fn_tt_tt_1"/>
        <s v="http://www.imdb.com/title/tt0120632/?ref_=fn_tt_tt_1"/>
        <s v="http://www.imdb.com/title/tt0266697/?ref_=fn_tt_tt_1"/>
        <s v="http://www.imdb.com/title/tt0131325/?ref_=fn_tt_tt_1"/>
        <s v="http://www.imdb.com/title/tt0118480/?ref_=fn_tt_tt_1"/>
        <s v="http://www.imdb.com/title/tt0378194/?ref_=fn_tt_tt_1"/>
        <s v="http://www.imdb.com/title/tt0098439/?ref_=fn_tt_tt_1"/>
        <s v="http://www.imdb.com/title/tt0104070/?ref_=fn_tt_tt_1"/>
        <s v="http://www.imdb.com/title/tt0184894/?ref_=fn_tt_tt_1"/>
        <s v="http://www.imdb.com/title/tt0116253/?ref_=fn_tt_tt_1"/>
        <s v="http://www.imdb.com/title/tt1396218/?ref_=fn_tt_tt_1"/>
        <s v="http://www.imdb.com/title/tt0865556/?ref_=fn_tt_tt_1"/>
        <s v="http://www.imdb.com/title/tt1621039/?ref_=fn_tt_tt_1"/>
        <s v="http://www.imdb.com/title/tt0103644/?ref_=fn_tt_tt_1"/>
        <s v="http://www.imdb.com/title/tt0116250/?ref_=fn_tt_tt_1"/>
        <s v="http://www.imdb.com/title/tt0122690/?ref_=fn_tt_tt_1"/>
        <s v="http://www.imdb.com/title/tt0116409/?ref_=fn_tt_tt_1"/>
        <s v="http://www.imdb.com/title/tt1109624/?ref_=fn_tt_tt_1"/>
        <s v="http://www.imdb.com/title/tt1298649/?ref_=fn_tt_tt_1"/>
        <s v="http://www.imdb.com/title/tt0269347/?ref_=fn_tt_tt_1"/>
        <s v="http://www.imdb.com/title/tt0128278/?ref_=fn_tt_tt_1"/>
        <s v="http://www.imdb.com/title/tt0338466/?ref_=fn_tt_tt_1"/>
        <s v="http://www.imdb.com/title/tt0839980/?ref_=fn_tt_tt_1"/>
        <s v="http://www.imdb.com/title/tt1430626/?ref_=fn_tt_tt_1"/>
        <s v="http://www.imdb.com/title/tt0824747/?ref_=fn_tt_tt_1"/>
        <s v="http://www.imdb.com/title/tt0115857/?ref_=fn_tt_tt_1"/>
        <s v="http://www.imdb.com/title/tt0116277/?ref_=fn_tt_tt_1"/>
        <s v="http://www.imdb.com/title/tt0293508/?ref_=fn_tt_tt_1"/>
        <s v="http://www.imdb.com/title/tt0414055/?ref_=fn_tt_tt_1"/>
        <s v="http://www.imdb.com/title/tt0402022/?ref_=fn_tt_tt_1"/>
        <s v="http://www.imdb.com/title/tt0279111/?ref_=fn_tt_tt_1"/>
        <s v="http://www.imdb.com/title/tt0120390/?ref_=fn_tt_tt_1"/>
        <s v="http://www.imdb.com/title/tt0780567/?ref_=fn_tt_tt_1"/>
        <s v="http://www.imdb.com/title/tt2281587/?ref_=fn_tt_tt_1"/>
        <s v="http://www.imdb.com/title/tt0167456/?ref_=fn_tt_tt_1"/>
        <s v="http://www.imdb.com/title/tt1126591/?ref_=fn_tt_tt_1"/>
        <s v="http://www.imdb.com/title/tt0344510/?ref_=fn_tt_tt_1"/>
        <s v="http://www.imdb.com/title/tt0056193/?ref_=fn_tt_tt_1"/>
        <s v="http://www.imdb.com/title/tt0160184/?ref_=fn_tt_tt_1"/>
        <s v="http://www.imdb.com/title/tt0187738/?ref_=fn_tt_tt_1"/>
        <s v="http://www.imdb.com/title/tt0814314/?ref_=fn_tt_tt_1"/>
        <s v="http://www.imdb.com/title/tt1308729/?ref_=fn_tt_tt_1"/>
        <s v="http://www.imdb.com/title/tt0099674/?ref_=fn_tt_tt_1"/>
        <s v="http://www.imdb.com/title/tt0368709/?ref_=fn_tt_tt_1"/>
        <s v="http://www.imdb.com/title/tt0463034/?ref_=fn_tt_tt_1"/>
        <s v="http://www.imdb.com/title/tt0081573/?ref_=fn_tt_tt_1"/>
        <s v="http://www.imdb.com/title/tt0299930/?ref_=fn_tt_tt_1"/>
        <s v="http://www.imdb.com/title/tt0405676/?ref_=fn_tt_tt_1"/>
        <s v="http://www.imdb.com/title/tt0162650/?ref_=fn_tt_tt_1"/>
        <s v="http://www.imdb.com/title/tt0118617/?ref_=fn_tt_tt_1"/>
        <s v="http://www.imdb.com/title/tt0203009/?ref_=fn_tt_tt_1"/>
        <s v="http://www.imdb.com/title/tt0249478/?ref_=fn_tt_tt_1"/>
        <s v="http://www.imdb.com/title/tt1355683/?ref_=fn_tt_tt_1"/>
        <s v="http://www.imdb.com/title/tt0418689/?ref_=fn_tt_tt_1"/>
        <s v="http://www.imdb.com/title/tt1197624/?ref_=fn_tt_tt_1"/>
        <s v="http://www.imdb.com/title/tt0462322/?ref_=fn_tt_tt_1"/>
        <s v="http://www.imdb.com/title/tt0120603/?ref_=fn_tt_tt_1"/>
        <s v="http://www.imdb.com/title/tt0338216/?ref_=fn_tt_tt_1"/>
        <s v="http://www.imdb.com/title/tt0264464/?ref_=fn_tt_tt_1"/>
        <s v="http://www.imdb.com/title/tt1790885/?ref_=fn_tt_tt_1"/>
        <s v="http://www.imdb.com/title/tt0452594/?ref_=fn_tt_tt_1"/>
        <s v="http://www.imdb.com/title/tt0795421/?ref_=fn_tt_tt_1"/>
        <s v="http://www.imdb.com/title/tt0817230/?ref_=fn_tt_tt_1"/>
        <s v="http://www.imdb.com/title/tt0377818/?ref_=fn_tt_tt_1"/>
        <s v="http://www.imdb.com/title/tt0120863/?ref_=fn_tt_tt_1"/>
        <s v="http://www.imdb.com/title/tt1488555/?ref_=fn_tt_tt_1"/>
        <s v="http://www.imdb.com/title/tt0125664/?ref_=fn_tt_tt_1"/>
        <s v="http://www.imdb.com/title/tt0112641/?ref_=fn_tt_tt_1"/>
        <s v="http://www.imdb.com/title/tt1179034/?ref_=fn_tt_tt_1"/>
        <s v="http://www.imdb.com/title/tt0245803/?ref_=fn_tt_tt_1"/>
        <s v="http://www.imdb.com/title/tt0183505/?ref_=fn_tt_tt_1"/>
        <s v="http://www.imdb.com/title/tt0414853/?ref_=fn_tt_tt_1"/>
        <s v="http://www.imdb.com/title/tt0790604/?ref_=fn_tt_tt_1"/>
        <s v="http://www.imdb.com/title/tt1259571/?ref_=fn_tt_tt_1"/>
        <s v="http://www.imdb.com/title/tt0126029/?ref_=fn_tt_tt_1"/>
        <s v="http://www.imdb.com/title/tt1385826/?ref_=fn_tt_tt_1"/>
        <s v="http://www.imdb.com/title/tt0102798/?ref_=fn_tt_tt_1"/>
        <s v="http://www.imdb.com/title/tt0116695/?ref_=fn_tt_tt_1"/>
        <s v="http://www.imdb.com/title/tt1637725/?ref_=fn_tt_tt_1"/>
        <s v="http://www.imdb.com/title/tt0119822/?ref_=fn_tt_tt_1"/>
        <s v="http://www.imdb.com/title/tt0129290/?ref_=fn_tt_tt_1"/>
        <s v="http://www.imdb.com/title/tt1229340/?ref_=fn_tt_tt_1"/>
        <s v="http://www.imdb.com/title/tt0280590/?ref_=fn_tt_tt_1"/>
        <s v="http://www.imdb.com/title/tt1650062/?ref_=fn_tt_tt_1"/>
        <s v="http://www.imdb.com/title/tt0195685/?ref_=fn_tt_tt_1"/>
        <s v="http://www.imdb.com/title/tt0251127/?ref_=fn_tt_tt_1"/>
        <s v="http://www.imdb.com/title/tt2294449/?ref_=fn_tt_tt_1"/>
        <s v="http://www.imdb.com/title/tt0110148/?ref_=fn_tt_tt_1"/>
        <s v="http://www.imdb.com/title/tt1068680/?ref_=fn_tt_tt_1"/>
        <s v="http://www.imdb.com/title/tt1489889/?ref_=fn_tt_tt_1"/>
        <s v="http://www.imdb.com/title/tt0120686/?ref_=fn_tt_tt_1"/>
        <s v="http://www.imdb.com/title/tt1528854/?ref_=fn_tt_tt_1"/>
        <s v="http://www.imdb.com/title/tt2180411/?ref_=fn_tt_tt_1"/>
        <s v="http://www.imdb.com/title/tt0454848/?ref_=fn_tt_tt_1"/>
        <s v="http://www.imdb.com/title/tt0120784/?ref_=fn_tt_tt_1"/>
        <s v="http://www.imdb.com/title/tt0112715/?ref_=fn_tt_tt_1"/>
        <s v="http://www.imdb.com/title/tt1389137/?ref_=fn_tt_tt_1"/>
        <s v="http://www.imdb.com/title/tt0448011/?ref_=fn_tt_tt_1"/>
        <s v="http://www.imdb.com/title/tt0427229/?ref_=fn_tt_tt_1"/>
        <s v="http://www.imdb.com/title/tt0377109/?ref_=fn_tt_tt_1"/>
        <s v="http://www.imdb.com/title/tt1570728/?ref_=fn_tt_tt_1"/>
        <s v="http://www.imdb.com/title/tt0356634/?ref_=fn_tt_tt_1"/>
        <s v="http://www.imdb.com/title/tt0388419/?ref_=fn_tt_tt_1"/>
        <s v="http://www.imdb.com/title/tt1210166/?ref_=fn_tt_tt_1"/>
        <s v="http://www.imdb.com/title/tt0114069/?ref_=fn_tt_tt_1"/>
        <s v="http://www.imdb.com/title/tt2024469/?ref_=fn_tt_tt_1"/>
        <s v="http://www.imdb.com/title/tt1075417/?ref_=fn_tt_tt_1"/>
        <s v="http://www.imdb.com/title/tt0434409/?ref_=fn_tt_tt_1"/>
        <s v="http://www.imdb.com/title/tt0300471/?ref_=fn_tt_tt_1"/>
        <s v="http://www.imdb.com/title/tt4192812/?ref_=fn_tt_tt_1"/>
        <s v="http://www.imdb.com/title/tt0381971/?ref_=fn_tt_tt_1"/>
        <s v="http://www.imdb.com/title/tt0400497/?ref_=fn_tt_tt_1"/>
        <s v="http://www.imdb.com/title/tt0260866/?ref_=fn_tt_tt_1"/>
        <s v="http://www.imdb.com/title/tt1428538/?ref_=fn_tt_tt_1"/>
        <s v="http://www.imdb.com/title/tt0250797/?ref_=fn_tt_tt_1"/>
        <s v="http://www.imdb.com/title/tt1464540/?ref_=fn_tt_tt_1"/>
        <s v="http://www.imdb.com/title/tt0365737/?ref_=fn_tt_tt_1"/>
        <s v="http://www.imdb.com/title/tt4172430/?ref_=fn_tt_tt_1"/>
        <s v="http://www.imdb.com/title/tt2262227/?ref_=fn_tt_tt_1"/>
        <s v="http://www.imdb.com/title/tt0408345/?ref_=fn_tt_tt_1"/>
        <s v="http://www.imdb.com/title/tt0118548/?ref_=fn_tt_tt_1"/>
        <s v="http://www.imdb.com/title/tt0119173/?ref_=fn_tt_tt_1"/>
        <s v="http://www.imdb.com/title/tt0119174/?ref_=fn_tt_tt_1"/>
        <s v="http://www.imdb.com/title/tt0384537/?ref_=fn_tt_tt_1"/>
        <s v="http://www.imdb.com/title/tt0191397/?ref_=fn_tt_tt_1"/>
        <s v="http://www.imdb.com/title/tt1605630/?ref_=fn_tt_tt_1"/>
        <s v="http://www.imdb.com/title/tt0120768/?ref_=fn_tt_tt_1"/>
        <s v="http://www.imdb.com/title/tt2106361/?ref_=fn_tt_tt_1"/>
        <s v="http://www.imdb.com/title/tt0109254/?ref_=fn_tt_tt_1"/>
        <s v="http://www.imdb.com/title/tt0099700/?ref_=fn_tt_tt_1"/>
        <s v="http://www.imdb.com/title/tt1872194/?ref_=fn_tt_tt_1"/>
        <s v="http://www.imdb.com/title/tt0119874/?ref_=fn_tt_tt_1"/>
        <s v="http://www.imdb.com/title/tt0318627/?ref_=fn_tt_tt_1"/>
        <s v="http://www.imdb.com/title/tt0317198/?ref_=fn_tt_tt_1"/>
        <s v="http://www.imdb.com/title/tt0313443/?ref_=fn_tt_tt_1"/>
        <s v="http://www.imdb.com/title/tt0110725/?ref_=fn_tt_tt_1"/>
        <s v="http://www.imdb.com/title/tt0424774/?ref_=fn_tt_tt_1"/>
        <s v="http://www.imdb.com/title/tt0163978/?ref_=fn_tt_tt_1"/>
        <s v="http://www.imdb.com/title/tt0350028/?ref_=fn_tt_tt_1"/>
        <s v="http://www.imdb.com/title/tt1186367/?ref_=fn_tt_tt_1"/>
        <s v="http://www.imdb.com/title/tt0126916/?ref_=fn_tt_tt_1"/>
        <s v="http://www.imdb.com/title/tt0108967/?ref_=fn_tt_tt_1"/>
        <s v="http://www.imdb.com/title/tt0117765/?ref_=fn_tt_tt_1"/>
        <s v="http://www.imdb.com/title/tt1392197/?ref_=fn_tt_tt_1"/>
        <s v="http://www.imdb.com/title/tt1212419/?ref_=fn_tt_tt_1"/>
        <s v="http://www.imdb.com/title/tt0264935/?ref_=fn_tt_tt_1"/>
        <s v="http://www.imdb.com/title/tt0112401/?ref_=fn_tt_tt_1"/>
        <s v="http://www.imdb.com/title/tt0367959/?ref_=fn_tt_tt_1"/>
        <s v="http://www.imdb.com/title/tt0160916/?ref_=fn_tt_tt_1"/>
        <s v="http://www.imdb.com/title/tt1517260/?ref_=fn_tt_tt_1"/>
        <s v="http://www.imdb.com/title/tt0264395/?ref_=fn_tt_tt_1"/>
        <s v="http://www.imdb.com/title/tt0309377/?ref_=fn_tt_tt_1"/>
        <s v="http://www.imdb.com/title/tt0963178/?ref_=fn_tt_tt_1"/>
        <s v="http://www.imdb.com/title/tt0116225/?ref_=fn_tt_tt_1"/>
        <s v="http://www.imdb.com/title/tt2355844/?ref_=fn_tt_tt_1"/>
        <s v="http://www.imdb.com/title/tt0129167/?ref_=fn_tt_tt_1"/>
        <s v="http://www.imdb.com/title/tt0362270/?ref_=fn_tt_tt_1"/>
        <s v="http://www.imdb.com/title/tt1124037/?ref_=fn_tt_tt_1"/>
        <s v="http://www.imdb.com/title/tt0289992/?ref_=fn_tt_tt_1"/>
        <s v="http://www.imdb.com/title/tt0331933/?ref_=fn_tt_tt_1"/>
        <s v="http://www.imdb.com/title/tt2199571/?ref_=fn_tt_tt_1"/>
        <s v="http://www.imdb.com/title/tt0765443/?ref_=fn_tt_tt_1"/>
        <s v="http://www.imdb.com/title/tt0378109/?ref_=fn_tt_tt_1"/>
        <s v="http://www.imdb.com/title/tt0151137/?ref_=fn_tt_tt_1"/>
        <s v="http://www.imdb.com/title/tt1240982/?ref_=fn_tt_tt_1"/>
        <s v="http://www.imdb.com/title/tt1462041/?ref_=fn_tt_tt_1"/>
        <s v="http://www.imdb.com/title/tt0119592/?ref_=fn_tt_tt_1"/>
        <s v="http://www.imdb.com/title/tt0109190/?ref_=fn_tt_tt_1"/>
        <s v="http://www.imdb.com/title/tt0114345/?ref_=fn_tt_tt_1"/>
        <s v="http://www.imdb.com/title/tt0977855/?ref_=fn_tt_tt_1"/>
        <s v="http://www.imdb.com/title/tt2189221/?ref_=fn_tt_tt_1"/>
        <s v="http://www.imdb.com/title/tt0421054/?ref_=fn_tt_tt_1"/>
        <s v="http://www.imdb.com/title/tt0113451/?ref_=fn_tt_tt_1"/>
        <s v="http://www.imdb.com/title/tt1034032/?ref_=fn_tt_tt_1"/>
        <s v="http://www.imdb.com/title/tt1559547/?ref_=fn_tt_tt_1"/>
        <s v="http://www.imdb.com/title/tt0266452/?ref_=fn_tt_tt_1"/>
        <s v="http://www.imdb.com/title/tt1608290/?ref_=fn_tt_tt_1"/>
        <s v="http://www.imdb.com/title/tt0315824/?ref_=fn_tt_tt_1"/>
        <s v="http://www.imdb.com/title/tt0181151/?ref_=fn_tt_tt_1"/>
        <s v="http://www.imdb.com/title/tt1502404/?ref_=fn_tt_tt_1"/>
        <s v="http://www.imdb.com/title/tt0891592/?ref_=fn_tt_tt_1"/>
        <s v="http://www.imdb.com/title/tt0267804/?ref_=fn_tt_tt_1"/>
        <s v="http://www.imdb.com/title/tt3006802/?ref_=fn_tt_tt_1"/>
        <s v="http://www.imdb.com/title/tt0098987/?ref_=fn_tt_tt_1"/>
        <s v="http://www.imdb.com/title/tt1131729/?ref_=fn_tt_tt_1"/>
        <s v="http://www.imdb.com/title/tt0181865/?ref_=fn_tt_tt_1"/>
        <s v="http://www.imdb.com/title/tt0097576/?ref_=fn_tt_tt_1"/>
        <s v="http://www.imdb.com/title/tt1781769/?ref_=fn_tt_tt_1"/>
        <s v="http://www.imdb.com/title/tt1823672/?ref_=fn_tt_tt_1"/>
        <s v="http://www.imdb.com/title/tt0145681/?ref_=fn_tt_tt_1"/>
        <s v="http://www.imdb.com/title/tt0258000/?ref_=fn_tt_tt_1"/>
        <s v="http://www.imdb.com/title/tt0473553/?ref_=fn_tt_tt_1"/>
        <s v="http://www.imdb.com/title/tt0120188/?ref_=fn_tt_tt_1"/>
        <s v="http://www.imdb.com/title/tt1014763/?ref_=fn_tt_tt_1"/>
        <s v="http://www.imdb.com/title/tt0250687/?ref_=fn_tt_tt_1"/>
        <s v="http://www.imdb.com/title/tt0272152/?ref_=fn_tt_tt_1"/>
        <s v="http://www.imdb.com/title/tt0035423/?ref_=fn_tt_tt_1"/>
        <s v="http://www.imdb.com/title/tt0230030/?ref_=fn_tt_tt_1"/>
        <s v="http://www.imdb.com/title/tt0087089/?ref_=fn_tt_tt_1"/>
        <s v="http://www.imdb.com/title/tt0381849/?ref_=fn_tt_tt_1"/>
        <s v="http://www.imdb.com/title/tt2446042/?ref_=fn_tt_tt_1"/>
        <s v="http://www.imdb.com/title/tt0120780/?ref_=fn_tt_tt_1"/>
        <s v="http://www.imdb.com/title/tt0115798/?ref_=fn_tt_tt_1"/>
        <s v="http://www.imdb.com/title/tt0150433/?ref_=fn_tt_tt_1"/>
        <s v="http://www.imdb.com/title/tt0099422/?ref_=fn_tt_tt_1"/>
        <s v="http://www.imdb.com/title/tt0155267/?ref_=fn_tt_tt_1"/>
        <s v="http://www.imdb.com/title/tt0200027/?ref_=fn_tt_tt_1"/>
        <s v="http://www.imdb.com/title/tt0083944/?ref_=fn_tt_tt_1"/>
        <s v="http://www.imdb.com/title/tt0069293/?ref_=fn_tt_tt_1"/>
        <s v="http://www.imdb.com/title/tt0308353/?ref_=fn_tt_tt_1"/>
        <s v="http://www.imdb.com/title/tt0117002/?ref_=fn_tt_tt_1"/>
        <s v="http://www.imdb.com/title/tt0119738/?ref_=fn_tt_tt_1"/>
        <s v="http://www.imdb.com/title/tt0265029/?ref_=fn_tt_tt_1"/>
        <s v="http://www.imdb.com/title/tt0278504/?ref_=fn_tt_tt_1"/>
        <s v="http://www.imdb.com/title/tt0117731/?ref_=fn_tt_tt_1"/>
        <s v="http://www.imdb.com/title/tt1075747/?ref_=fn_tt_tt_1"/>
        <s v="http://www.imdb.com/title/tt0115956/?ref_=fn_tt_tt_1"/>
        <s v="http://www.imdb.com/title/tt0119528/?ref_=fn_tt_tt_1"/>
        <s v="http://www.imdb.com/title/tt1355631/?ref_=fn_tt_tt_1"/>
        <s v="http://www.imdb.com/title/tt0084132/?ref_=fn_tt_tt_1"/>
        <s v="http://www.imdb.com/title/tt0109813/?ref_=fn_tt_tt_1"/>
        <s v="http://www.imdb.com/title/tt1397280/?ref_=fn_tt_tt_1"/>
        <s v="http://www.imdb.com/title/tt0306047/?ref_=fn_tt_tt_1"/>
        <s v="http://www.imdb.com/title/tt0212346/?ref_=fn_tt_tt_1"/>
        <s v="http://www.imdb.com/title/tt0373051/?ref_=fn_tt_tt_1"/>
        <s v="http://www.imdb.com/title/tt0368933/?ref_=fn_tt_tt_1"/>
        <s v="http://www.imdb.com/title/tt0107798/?ref_=fn_tt_tt_1"/>
        <s v="http://www.imdb.com/title/tt0109446/?ref_=fn_tt_tt_1"/>
        <s v="http://www.imdb.com/title/tt0825232/?ref_=fn_tt_tt_1"/>
        <s v="http://www.imdb.com/title/tt0105112/?ref_=fn_tt_tt_1"/>
        <s v="http://www.imdb.com/title/tt0369735/?ref_=fn_tt_tt_1"/>
        <s v="http://www.imdb.com/title/tt1392214/?ref_=fn_tt_tt_1"/>
        <s v="http://www.imdb.com/title/tt0139654/?ref_=fn_tt_tt_1"/>
        <s v="http://www.imdb.com/title/tt0177789/?ref_=fn_tt_tt_1"/>
        <s v="http://www.imdb.com/title/tt0257106/?ref_=fn_tt_tt_1"/>
        <s v="http://www.imdb.com/title/tt1204342/?ref_=fn_tt_tt_1"/>
        <s v="http://www.imdb.com/title/tt0120611/?ref_=fn_tt_tt_1"/>
        <s v="http://www.imdb.com/title/tt0393162/?ref_=fn_tt_tt_1"/>
        <s v="http://www.imdb.com/title/tt0264472/?ref_=fn_tt_tt_1"/>
        <s v="http://www.imdb.com/title/tt0118615/?ref_=fn_tt_tt_1"/>
        <s v="http://www.imdb.com/title/tt0200550/?ref_=fn_tt_tt_1"/>
        <s v="http://www.imdb.com/title/tt0314331/?ref_=fn_tt_tt_1"/>
        <s v="http://www.imdb.com/title/tt0120623/?ref_=fn_tt_tt_1"/>
        <s v="http://www.imdb.com/title/tt0120681/?ref_=fn_tt_tt_1"/>
        <s v="http://www.imdb.com/title/tt0111255/?ref_=fn_tt_tt_1"/>
        <s v="http://www.imdb.com/title/tt0117918/?ref_=fn_tt_tt_1"/>
        <s v="http://www.imdb.com/title/tt0063829/?ref_=fn_tt_tt_1"/>
        <s v="http://www.imdb.com/title/tt0384642/?ref_=fn_tt_tt_1"/>
        <s v="http://www.imdb.com/title/tt0371724/?ref_=fn_tt_tt_1"/>
        <s v="http://www.imdb.com/title/tt0396592/?ref_=fn_tt_tt_1"/>
        <s v="http://www.imdb.com/title/tt0432021/?ref_=fn_tt_tt_1"/>
        <s v="http://www.imdb.com/title/tt1086772/?ref_=fn_tt_tt_1"/>
        <s v="http://www.imdb.com/title/tt0408985/?ref_=fn_tt_tt_1"/>
        <s v="http://www.imdb.com/title/tt0110997/?ref_=fn_tt_tt_1"/>
        <s v="http://www.imdb.com/title/tt0113419/?ref_=fn_tt_tt_1"/>
        <s v="http://www.imdb.com/title/tt1615065/?ref_=fn_tt_tt_1"/>
        <s v="http://www.imdb.com/title/tt0337921/?ref_=fn_tt_tt_1"/>
        <s v="http://www.imdb.com/title/tt0274166/?ref_=fn_tt_tt_1"/>
        <s v="http://www.imdb.com/title/tt0429589/?ref_=fn_tt_tt_1"/>
        <s v="http://www.imdb.com/title/tt0087182/?ref_=fn_tt_tt_1"/>
        <s v="http://www.imdb.com/title/tt0445922/?ref_=fn_tt_tt_1"/>
        <s v="http://www.imdb.com/title/tt0959337/?ref_=fn_tt_tt_1"/>
        <s v="http://www.imdb.com/title/tt0450232/?ref_=fn_tt_tt_1"/>
        <s v="http://www.imdb.com/title/tt0364970/?ref_=fn_tt_tt_1"/>
        <s v="http://www.imdb.com/title/tt0116421/?ref_=fn_tt_tt_1"/>
        <s v="http://www.imdb.com/title/tt0117108/?ref_=fn_tt_tt_1"/>
        <s v="http://www.imdb.com/title/tt0775552/?ref_=fn_tt_tt_1"/>
        <s v="http://www.imdb.com/title/tt0237572/?ref_=fn_tt_tt_1"/>
        <s v="http://www.imdb.com/title/tt0395251/?ref_=fn_tt_tt_1"/>
        <s v="http://www.imdb.com/title/tt0117331/?ref_=fn_tt_tt_1"/>
        <s v="http://www.imdb.com/title/tt0149624/?ref_=fn_tt_tt_1"/>
        <s v="http://www.imdb.com/title/tt0113987/?ref_=fn_tt_tt_1"/>
        <s v="http://www.imdb.com/title/tt1139328/?ref_=fn_tt_tt_1"/>
        <s v="http://www.imdb.com/title/tt0118956/?ref_=fn_tt_tt_1"/>
        <s v="http://www.imdb.com/title/tt1046997/?ref_=fn_tt_tt_1"/>
        <s v="http://www.imdb.com/title/tt0473444/?ref_=fn_tt_tt_1"/>
        <s v="http://www.imdb.com/title/tt0814022/?ref_=fn_tt_tt_1"/>
        <s v="http://www.imdb.com/title/tt0246464/?ref_=fn_tt_tt_1"/>
        <s v="http://www.imdb.com/title/tt0484740/?ref_=fn_tt_tt_1"/>
        <s v="http://www.imdb.com/title/tt2521668/?ref_=fn_tt_tt_1"/>
        <s v="http://www.imdb.com/title/tt0120107/?ref_=fn_tt_tt_1"/>
        <s v="http://www.imdb.com/title/tt1634122/?ref_=fn_tt_tt_1"/>
        <s v="http://www.imdb.com/title/tt0249516/?ref_=fn_tt_tt_1"/>
        <s v="http://www.imdb.com/title/tt1024648/?ref_=fn_tt_tt_1"/>
        <s v="http://www.imdb.com/title/tt0106977/?ref_=fn_tt_tt_1"/>
        <s v="http://www.imdb.com/title/tt1038919/?ref_=fn_tt_tt_1"/>
        <s v="http://www.imdb.com/title/tt0117665/?ref_=fn_tt_tt_1"/>
        <s v="http://www.imdb.com/title/tt0089880/?ref_=fn_tt_tt_1"/>
        <s v="http://www.imdb.com/title/tt0116731/?ref_=fn_tt_tt_1"/>
        <s v="http://www.imdb.com/title/tt0032910/?ref_=fn_tt_tt_1"/>
        <s v="http://www.imdb.com/title/tt0080855/?ref_=fn_tt_tt_1"/>
        <s v="http://www.imdb.com/title/tt0401855/?ref_=fn_tt_tt_1"/>
        <s v="http://www.imdb.com/title/tt1976009/?ref_=fn_tt_tt_1"/>
        <s v="http://www.imdb.com/title/tt0181536/?ref_=fn_tt_tt_1"/>
        <s v="http://www.imdb.com/title/tt0191754/?ref_=fn_tt_tt_1"/>
        <s v="http://www.imdb.com/title/tt0342258/?ref_=fn_tt_tt_1"/>
        <s v="http://www.imdb.com/title/tt0253867/?ref_=fn_tt_tt_1"/>
        <s v="http://www.imdb.com/title/tt0106918/?ref_=fn_tt_tt_1"/>
        <s v="http://www.imdb.com/title/tt1438254/?ref_=fn_tt_tt_1"/>
        <s v="http://www.imdb.com/title/tt0472399/?ref_=fn_tt_tt_1"/>
        <s v="http://www.imdb.com/title/tt1232829/?ref_=fn_tt_tt_1"/>
        <s v="http://www.imdb.com/title/tt0125439/?ref_=fn_tt_tt_1"/>
        <s v="http://www.imdb.com/title/tt0120630/?ref_=fn_tt_tt_1"/>
        <s v="http://www.imdb.com/title/tt0343135/?ref_=fn_tt_tt_1"/>
        <s v="http://www.imdb.com/title/tt0103859/?ref_=fn_tt_tt_1"/>
        <s v="http://www.imdb.com/title/tt2404463/?ref_=fn_tt_tt_1"/>
        <s v="http://www.imdb.com/title/tt0056937/?ref_=fn_tt_tt_1"/>
        <s v="http://www.imdb.com/title/tt1648179/?ref_=fn_tt_tt_1"/>
        <s v="http://www.imdb.com/title/tt0257756/?ref_=fn_tt_tt_1"/>
        <s v="http://www.imdb.com/title/tt0117057/?ref_=fn_tt_tt_1"/>
        <s v="http://www.imdb.com/title/tt0265349/?ref_=fn_tt_tt_1"/>
        <s v="http://www.imdb.com/title/tt0889583/?ref_=fn_tt_tt_1"/>
        <s v="http://www.imdb.com/title/tt0097742/?ref_=fn_tt_tt_1"/>
        <s v="http://www.imdb.com/title/tt1486185/?ref_=fn_tt_tt_1"/>
        <s v="http://www.imdb.com/title/tt0179626/?ref_=fn_tt_tt_1"/>
        <s v="http://www.imdb.com/title/tt0108255/?ref_=fn_tt_tt_1"/>
        <s v="http://www.imdb.com/title/tt0399295/?ref_=fn_tt_tt_1"/>
        <s v="http://www.imdb.com/title/tt0299977/?ref_=fn_tt_tt_1"/>
        <s v="http://www.imdb.com/title/tt1598828/?ref_=fn_tt_tt_1"/>
        <s v="http://www.imdb.com/title/tt2788710/?ref_=fn_tt_tt_1"/>
        <s v="http://www.imdb.com/title/tt1032751/?ref_=fn_tt_tt_1"/>
        <s v="http://www.imdb.com/title/tt0055689/?ref_=fn_tt_tt_1"/>
        <s v="http://www.imdb.com/title/tt1149361/?ref_=fn_tt_tt_1"/>
        <s v="http://www.imdb.com/title/tt0298203/?ref_=fn_tt_tt_1"/>
        <s v="http://www.imdb.com/title/tt1220911/?ref_=fn_tt_tt_1"/>
        <s v="http://www.imdb.com/title/tt0183790/?ref_=fn_tt_tt_1"/>
        <s v="http://www.imdb.com/title/tt0288045/?ref_=fn_tt_tt_1"/>
        <s v="http://www.imdb.com/title/tt0167404/?ref_=fn_tt_tt_1"/>
        <s v="http://www.imdb.com/title/tt1568338/?ref_=fn_tt_tt_1"/>
        <s v="http://www.imdb.com/title/tt1053810/?ref_=fn_tt_tt_1"/>
        <s v="http://www.imdb.com/title/tt0087538/?ref_=fn_tt_tt_1"/>
        <s v="http://www.imdb.com/title/tt1800241/?ref_=fn_tt_tt_1"/>
        <s v="http://www.imdb.com/title/tt1041829/?ref_=fn_tt_tt_1"/>
        <s v="http://www.imdb.com/title/tt0150377/?ref_=fn_tt_tt_1"/>
        <s v="http://www.imdb.com/title/tt0096874/?ref_=fn_tt_tt_1"/>
        <s v="http://www.imdb.com/title/tt2872732/?ref_=fn_tt_tt_1"/>
        <s v="http://www.imdb.com/title/tt2322441/?ref_=fn_tt_tt_1"/>
        <s v="http://www.imdb.com/title/tt0338459/?ref_=fn_tt_tt_1"/>
        <s v="http://www.imdb.com/title/tt0117913/?ref_=fn_tt_tt_1"/>
        <s v="http://www.imdb.com/title/tt0349205/?ref_=fn_tt_tt_1"/>
        <s v="http://www.imdb.com/title/tt1091191/?ref_=fn_tt_tt_1"/>
        <s v="http://www.imdb.com/title/tt0104694/?ref_=fn_tt_tt_1"/>
        <s v="http://www.imdb.com/title/tt3065204/?ref_=fn_tt_tt_1"/>
        <s v="http://www.imdb.com/title/tt1285016/?ref_=fn_tt_tt_1"/>
        <s v="http://www.imdb.com/title/tt1001508/?ref_=fn_tt_tt_1"/>
        <s v="http://www.imdb.com/title/tt0362120/?ref_=fn_tt_tt_1"/>
        <s v="http://www.imdb.com/title/tt0134084/?ref_=fn_tt_tt_1"/>
        <s v="http://www.imdb.com/title/tt0099088/?ref_=fn_tt_tt_1"/>
        <s v="http://www.imdb.com/title/tt2561572/?ref_=fn_tt_tt_1"/>
        <s v="http://www.imdb.com/title/tt0103874/?ref_=fn_tt_tt_1"/>
        <s v="http://www.imdb.com/title/tt1135503/?ref_=fn_tt_tt_1"/>
        <s v="http://www.imdb.com/title/tt0453562/?ref_=fn_tt_tt_1"/>
        <s v="http://www.imdb.com/title/tt0134119/?ref_=fn_tt_tt_1"/>
        <s v="http://www.imdb.com/title/tt2096672/?ref_=fn_tt_tt_1"/>
        <s v="http://www.imdb.com/title/tt0397313/?ref_=fn_tt_tt_1"/>
        <s v="http://www.imdb.com/title/tt2361509/?ref_=fn_tt_tt_1"/>
        <s v="http://www.imdb.com/title/tt2869728/?ref_=fn_tt_tt_1"/>
        <s v="http://www.imdb.com/title/tt0104691/?ref_=fn_tt_tt_1"/>
        <s v="http://www.imdb.com/title/tt0350258/?ref_=fn_tt_tt_1"/>
        <s v="http://www.imdb.com/title/tt0401792/?ref_=fn_tt_tt_1"/>
        <s v="http://www.imdb.com/title/tt0443274/?ref_=fn_tt_tt_1"/>
        <s v="http://www.imdb.com/title/tt1155056/?ref_=fn_tt_tt_1"/>
        <s v="http://www.imdb.com/title/tt0256380/?ref_=fn_tt_tt_1"/>
        <s v="http://www.imdb.com/title/tt0102138/?ref_=fn_tt_tt_1"/>
        <s v="http://www.imdb.com/title/tt0421729/?ref_=fn_tt_tt_1"/>
        <s v="http://www.imdb.com/title/tt0236493/?ref_=fn_tt_tt_1"/>
        <s v="http://www.imdb.com/title/tt0974661/?ref_=fn_tt_tt_1"/>
        <s v="http://www.imdb.com/title/tt2203939/?ref_=fn_tt_tt_1"/>
        <s v="http://www.imdb.com/title/tt1144884/?ref_=fn_tt_tt_1"/>
        <s v="http://www.imdb.com/title/tt3682448/?ref_=fn_tt_tt_1"/>
        <s v="http://www.imdb.com/title/tt0159273/?ref_=fn_tt_tt_1"/>
        <s v="http://www.imdb.com/title/tt1226229/?ref_=fn_tt_tt_1"/>
        <s v="http://www.imdb.com/title/tt0358135/?ref_=fn_tt_tt_1"/>
        <s v="http://www.imdb.com/title/tt0122718/?ref_=fn_tt_tt_1"/>
        <s v="http://www.imdb.com/title/tt0120177/?ref_=fn_tt_tt_1"/>
        <s v="http://www.imdb.com/title/tt0245844/?ref_=fn_tt_tt_1"/>
        <s v="http://www.imdb.com/title/tt1189340/?ref_=fn_tt_tt_1"/>
        <s v="http://www.imdb.com/title/tt1401152/?ref_=fn_tt_tt_1"/>
        <s v="http://www.imdb.com/title/tt0482571/?ref_=fn_tt_tt_1"/>
        <s v="http://www.imdb.com/title/tt2170439/?ref_=fn_tt_tt_1"/>
        <s v="http://www.imdb.com/title/tt0765446/?ref_=fn_tt_tt_1"/>
        <s v="http://www.imdb.com/title/tt0472043/?ref_=fn_tt_tt_1"/>
        <s v="http://www.imdb.com/title/tt0093428/?ref_=fn_tt_tt_1"/>
        <s v="http://www.imdb.com/title/tt1424381/?ref_=fn_tt_tt_1"/>
        <s v="http://www.imdb.com/title/tt0091396/?ref_=fn_tt_tt_1"/>
        <s v="http://www.imdb.com/title/tt0363988/?ref_=fn_tt_tt_1"/>
        <s v="http://www.imdb.com/title/tt0410297/?ref_=fn_tt_tt_1"/>
        <s v="http://www.imdb.com/title/tt0397101/?ref_=fn_tt_tt_1"/>
        <s v="http://www.imdb.com/title/tt1462769/?ref_=fn_tt_tt_1"/>
        <s v="http://www.imdb.com/title/tt0866439/?ref_=fn_tt_tt_1"/>
        <s v="http://www.imdb.com/title/tt1742044/?ref_=fn_tt_tt_1"/>
        <s v="http://www.imdb.com/title/tt0119978/?ref_=fn_tt_tt_1"/>
        <s v="http://www.imdb.com/title/tt0348836/?ref_=fn_tt_tt_1"/>
        <s v="http://www.imdb.com/title/tt0118607/?ref_=fn_tt_tt_1"/>
        <s v="http://www.imdb.com/title/tt0104839/?ref_=fn_tt_tt_1"/>
        <s v="http://www.imdb.com/title/tt0758730/?ref_=fn_tt_tt_1"/>
        <s v="http://www.imdb.com/title/tt0110989/?ref_=fn_tt_tt_1"/>
        <s v="http://www.imdb.com/title/tt0174480/?ref_=fn_tt_tt_1"/>
        <s v="http://www.imdb.com/title/tt0758766/?ref_=fn_tt_tt_1"/>
        <s v="http://www.imdb.com/title/tt1092026/?ref_=fn_tt_tt_1"/>
        <s v="http://www.imdb.com/title/tt1694020/?ref_=fn_tt_tt_1"/>
        <s v="http://www.imdb.com/title/tt1262416/?ref_=fn_tt_tt_1"/>
        <s v="http://www.imdb.com/title/tt0134273/?ref_=fn_tt_tt_1"/>
        <s v="http://www.imdb.com/title/tt0101761/?ref_=fn_tt_tt_1"/>
        <s v="http://www.imdb.com/title/tt1956620/?ref_=fn_tt_tt_1"/>
        <s v="http://www.imdb.com/title/tt0162983/?ref_=fn_tt_tt_1"/>
        <s v="http://www.imdb.com/title/tt1622979/?ref_=fn_tt_tt_1"/>
        <s v="http://www.imdb.com/title/tt0130121/?ref_=fn_tt_tt_1"/>
        <s v="http://www.imdb.com/title/tt0223897/?ref_=fn_tt_tt_1"/>
        <s v="http://www.imdb.com/title/tt0332047/?ref_=fn_tt_tt_1"/>
        <s v="http://www.imdb.com/title/tt0169414/?ref_=fn_tt_tt_1"/>
        <s v="http://www.imdb.com/title/tt0817538/?ref_=fn_tt_tt_1"/>
        <s v="http://www.imdb.com/title/tt2557490/?ref_=fn_tt_tt_1"/>
        <s v="http://www.imdb.com/title/tt0111143/?ref_=fn_tt_tt_1"/>
        <s v="http://www.imdb.com/title/tt0477302/?ref_=fn_tt_tt_1"/>
        <s v="http://www.imdb.com/title/tt1126618/?ref_=fn_tt_tt_1"/>
        <s v="http://www.imdb.com/title/tt0430308/?ref_=fn_tt_tt_1"/>
        <s v="http://www.imdb.com/title/tt0160009/?ref_=fn_tt_tt_1"/>
        <s v="http://www.imdb.com/title/tt0294870/?ref_=fn_tt_tt_1"/>
        <s v="http://www.imdb.com/title/tt0163983/?ref_=fn_tt_tt_1"/>
        <s v="http://www.imdb.com/title/tt0129280/?ref_=fn_tt_tt_1"/>
        <s v="http://www.imdb.com/title/tt0116654/?ref_=fn_tt_tt_1"/>
        <s v="http://www.imdb.com/title/tt0246544/?ref_=fn_tt_tt_1"/>
        <s v="http://www.imdb.com/title/tt0467200/?ref_=fn_tt_tt_1"/>
        <s v="http://www.imdb.com/title/tt0230838/?ref_=fn_tt_tt_1"/>
        <s v="http://www.imdb.com/title/tt0444682/?ref_=fn_tt_tt_1"/>
        <s v="http://www.imdb.com/title/tt0070379/?ref_=fn_tt_tt_1"/>
        <s v="http://www.imdb.com/title/tt0110971/?ref_=fn_tt_tt_1"/>
        <s v="http://www.imdb.com/title/tt1657507/?ref_=fn_tt_tt_1"/>
        <s v="http://www.imdb.com/title/tt0120800/?ref_=fn_tt_tt_1"/>
        <s v="http://www.imdb.com/title/tt0269095/?ref_=fn_tt_tt_1"/>
        <s v="http://www.imdb.com/title/tt0132512/?ref_=fn_tt_tt_1"/>
        <s v="http://www.imdb.com/title/tt0329691/?ref_=fn_tt_tt_1"/>
        <s v="http://www.imdb.com/title/tt0115907/?ref_=fn_tt_tt_1"/>
        <s v="http://www.imdb.com/title/tt0114436/?ref_=fn_tt_tt_1"/>
        <s v="http://www.imdb.com/title/tt0422720/?ref_=fn_tt_tt_1"/>
        <s v="http://www.imdb.com/title/tt0113552/?ref_=fn_tt_tt_1"/>
        <s v="http://www.imdb.com/title/tt0208988/?ref_=fn_tt_tt_1"/>
        <s v="http://www.imdb.com/title/tt1649419/?ref_=fn_tt_tt_1"/>
        <s v="http://www.imdb.com/title/tt0093278/?ref_=fn_tt_tt_1"/>
        <s v="http://www.imdb.com/title/tt0432283/?ref_=fn_tt_tt_1"/>
        <s v="http://www.imdb.com/title/tt0282687/?ref_=fn_tt_tt_1"/>
        <s v="http://www.imdb.com/title/tt0104850/?ref_=fn_tt_tt_1"/>
        <s v="http://www.imdb.com/title/tt0211915/?ref_=fn_tt_tt_1"/>
        <s v="http://www.imdb.com/title/tt0363282/?ref_=fn_tt_tt_1"/>
        <s v="http://www.imdb.com/title/tt0375173/?ref_=fn_tt_tt_1"/>
        <s v="http://www.imdb.com/title/tt1430615/?ref_=fn_tt_tt_1"/>
        <s v="http://www.imdb.com/title/tt0120646/?ref_=fn_tt_tt_1"/>
        <s v="http://www.imdb.com/title/tt0295254/?ref_=fn_tt_tt_1"/>
        <s v="http://www.imdb.com/title/tt0450405/?ref_=fn_tt_tt_1"/>
        <s v="http://www.imdb.com/title/tt0266489/?ref_=fn_tt_tt_1"/>
        <s v="http://www.imdb.com/title/tt1111948/?ref_=fn_tt_tt_1"/>
        <s v="http://www.imdb.com/title/tt0081400/?ref_=fn_tt_tt_1"/>
        <s v="http://www.imdb.com/title/tt0176269/?ref_=fn_tt_tt_1"/>
        <s v="http://www.imdb.com/title/tt1188729/?ref_=fn_tt_tt_1"/>
        <s v="http://www.imdb.com/title/tt0160399/?ref_=fn_tt_tt_1"/>
        <s v="http://www.imdb.com/title/tt0283160/?ref_=fn_tt_tt_1"/>
        <s v="http://www.imdb.com/title/tt0189192/?ref_=fn_tt_tt_1"/>
        <s v="http://www.imdb.com/title/tt0448134/?ref_=fn_tt_tt_1"/>
        <s v="http://www.imdb.com/title/tt0763831/?ref_=fn_tt_tt_1"/>
        <s v="http://www.imdb.com/title/tt0361500/?ref_=fn_tt_tt_1"/>
        <s v="http://www.imdb.com/title/tt2515034/?ref_=fn_tt_tt_1"/>
        <s v="http://www.imdb.com/title/tt0457495/?ref_=fn_tt_tt_1"/>
        <s v="http://www.imdb.com/title/tt0486822/?ref_=fn_tt_tt_1"/>
        <s v="http://www.imdb.com/title/tt0113243/?ref_=fn_tt_tt_1"/>
        <s v="http://www.imdb.com/title/tt0455782/?ref_=fn_tt_tt_1"/>
        <s v="http://www.imdb.com/title/tt0110074/?ref_=fn_tt_tt_1"/>
        <s v="http://www.imdb.com/title/tt0913968/?ref_=fn_tt_tt_1"/>
        <s v="http://www.imdb.com/title/tt0374089/?ref_=fn_tt_tt_1"/>
        <s v="http://www.imdb.com/title/tt1706620/?ref_=fn_tt_tt_1"/>
        <s v="http://www.imdb.com/title/tt0961097/?ref_=fn_tt_tt_1"/>
        <s v="http://www.imdb.com/title/tt0357054/?ref_=fn_tt_tt_1"/>
        <s v="http://www.imdb.com/title/tt0109506/?ref_=fn_tt_tt_1"/>
        <s v="http://www.imdb.com/title/tt2631186/?ref_=fn_tt_tt_1"/>
        <s v="http://www.imdb.com/title/tt0452694/?ref_=fn_tt_tt_1"/>
        <s v="http://www.imdb.com/title/tt0490084/?ref_=fn_tt_tt_1"/>
        <s v="http://www.imdb.com/title/tt1142977/?ref_=fn_tt_tt_1"/>
        <s v="http://www.imdb.com/title/tt0379786/?ref_=fn_tt_tt_1"/>
        <s v="http://www.imdb.com/title/tt0312329/?ref_=fn_tt_tt_1"/>
        <s v="http://www.imdb.com/title/tt0086393/?ref_=fn_tt_tt_1"/>
        <s v="http://www.imdb.com/title/tt1661382/?ref_=fn_tt_tt_1"/>
        <s v="http://www.imdb.com/title/tt0425637/?ref_=fn_tt_tt_1"/>
        <s v="http://www.imdb.com/title/tt0256415/?ref_=fn_tt_tt_1"/>
        <s v="http://www.imdb.com/title/tt1142988/?ref_=fn_tt_tt_1"/>
        <s v="http://www.imdb.com/title/tt0117608/?ref_=fn_tt_tt_1"/>
        <s v="http://www.imdb.com/title/tt0287717/?ref_=fn_tt_tt_1"/>
        <s v="http://www.imdb.com/title/tt0111280/?ref_=fn_tt_tt_1"/>
        <s v="http://www.imdb.com/title/tt1462900/?ref_=fn_tt_tt_1"/>
        <s v="http://www.imdb.com/title/tt1067583/?ref_=fn_tt_tt_1"/>
        <s v="http://www.imdb.com/title/tt0115082/?ref_=fn_tt_tt_1"/>
        <s v="http://www.imdb.com/title/tt2911342/?ref_=fn_tt_tt_1"/>
        <s v="http://www.imdb.com/title/tt0174856/?ref_=fn_tt_tt_1"/>
        <s v="http://www.imdb.com/title/tt0278435/?ref_=fn_tt_tt_1"/>
        <s v="http://www.imdb.com/title/tt0125022/?ref_=fn_tt_tt_1"/>
        <s v="http://www.imdb.com/title/tt3450650/?ref_=fn_tt_tt_1"/>
        <s v="http://www.imdb.com/title/tt0225071/?ref_=fn_tt_tt_1"/>
        <s v="http://www.imdb.com/title/tt0279889/?ref_=fn_tt_tt_1"/>
        <s v="http://www.imdb.com/title/tt0142688/?ref_=fn_tt_tt_1"/>
        <s v="http://www.imdb.com/title/tt0116259/?ref_=fn_tt_tt_1"/>
        <s v="http://www.imdb.com/title/tt0202470/?ref_=fn_tt_tt_1"/>
        <s v="http://www.imdb.com/title/tt0929632/?ref_=fn_tt_tt_1"/>
        <s v="http://www.imdb.com/title/tt0118158/?ref_=fn_tt_tt_1"/>
        <s v="http://www.imdb.com/title/tt0084787/?ref_=fn_tt_tt_1"/>
        <s v="http://www.imdb.com/title/tt1411250/?ref_=fn_tt_tt_1"/>
        <s v="http://www.imdb.com/title/tt0119210/?ref_=fn_tt_tt_1"/>
        <s v="http://www.imdb.com/title/tt0193560/?ref_=fn_tt_tt_1"/>
        <s v="http://www.imdb.com/title/tt0970411/?ref_=fn_tt_tt_1"/>
        <s v="http://www.imdb.com/title/tt1560747/?ref_=fn_tt_tt_1"/>
        <s v="http://www.imdb.com/title/tt0437954/?ref_=fn_tt_tt_1"/>
        <s v="http://www.imdb.com/title/tt0469903/?ref_=fn_tt_tt_1"/>
        <s v="http://www.imdb.com/title/tt2304933/?ref_=fn_tt_tt_1"/>
        <s v="http://www.imdb.com/title/tt3076658/?ref_=fn_tt_tt_1"/>
        <s v="http://www.imdb.com/title/tt0840361/?ref_=fn_tt_tt_1"/>
        <s v="http://www.imdb.com/title/tt1586265/?ref_=fn_tt_tt_1"/>
        <s v="http://www.imdb.com/title/tt0887883/?ref_=fn_tt_tt_1"/>
        <s v="http://www.imdb.com/title/tt0410377/?ref_=fn_tt_tt_1"/>
        <s v="http://www.imdb.com/title/tt1979320/?ref_=fn_tt_tt_1"/>
        <s v="http://www.imdb.com/title/tt0175880/?ref_=fn_tt_tt_1"/>
        <s v="http://www.imdb.com/title/tt1385867/?ref_=fn_tt_tt_1"/>
        <s v="http://www.imdb.com/title/tt1292566/?ref_=fn_tt_tt_1"/>
        <s v="http://www.imdb.com/title/tt1564349/?ref_=fn_tt_tt_1"/>
        <s v="http://www.imdb.com/title/tt1099212/?ref_=fn_tt_tt_1"/>
        <s v="http://www.imdb.com/title/tt0251160/?ref_=fn_tt_tt_1"/>
        <s v="http://www.imdb.com/title/tt0181316/?ref_=fn_tt_tt_1"/>
        <s v="http://www.imdb.com/title/tt1723121/?ref_=fn_tt_tt_1"/>
        <s v="http://www.imdb.com/title/tt0972558/?ref_=fn_tt_tt_1"/>
        <s v="http://www.imdb.com/title/tt0118771/?ref_=fn_tt_tt_1"/>
        <s v="http://www.imdb.com/title/tt0086006/?ref_=fn_tt_tt_1"/>
        <s v="http://www.imdb.com/title/tt1231587/?ref_=fn_tt_tt_1"/>
        <s v="http://www.imdb.com/title/tt2978462/?ref_=fn_tt_tt_1"/>
        <s v="http://www.imdb.com/title/tt0184858/?ref_=fn_tt_tt_1"/>
        <s v="http://www.imdb.com/title/tt0266465/?ref_=fn_tt_tt_1"/>
        <s v="http://www.imdb.com/title/tt1243974/?ref_=fn_tt_tt_1"/>
        <s v="http://www.imdb.com/title/tt0116410/?ref_=fn_tt_tt_1"/>
        <s v="http://www.imdb.com/title/tt0120834/?ref_=fn_tt_tt_1"/>
        <s v="http://www.imdb.com/title/tt1161864/?ref_=fn_tt_tt_1"/>
        <s v="http://www.imdb.com/title/tt0119177/?ref_=fn_tt_tt_1"/>
        <s v="http://www.imdb.com/title/tt0141399/?ref_=fn_tt_tt_1"/>
        <s v="http://www.imdb.com/title/tt0482603/?ref_=fn_tt_tt_1"/>
        <s v="http://www.imdb.com/title/tt0325537/?ref_=fn_tt_tt_1"/>
        <s v="http://www.imdb.com/title/tt1119646/?ref_=fn_tt_tt_1"/>
        <s v="http://www.imdb.com/title/tt2888046/?ref_=fn_tt_tt_1"/>
        <s v="http://www.imdb.com/title/tt0145660/?ref_=fn_tt_tt_1"/>
        <s v="http://www.imdb.com/title/tt0096895/?ref_=fn_tt_tt_1"/>
        <s v="http://www.imdb.com/title/tt1316616/?ref_=fn_tt_tt_1"/>
        <s v="http://www.imdb.com/title/tt0104714/?ref_=fn_tt_tt_1"/>
        <s v="http://www.imdb.com/title/tt0878804/?ref_=fn_tt_tt_1"/>
        <s v="http://www.imdb.com/title/tt4085584/?ref_=fn_tt_tt_1"/>
        <s v="http://www.imdb.com/title/tt0227538/?ref_=fn_tt_tt_1"/>
        <s v="http://www.imdb.com/title/tt1499658/?ref_=fn_tt_tt_1"/>
        <s v="http://www.imdb.com/title/tt1403865/?ref_=fn_tt_tt_1"/>
        <s v="http://www.imdb.com/title/tt0458352/?ref_=fn_tt_tt_1"/>
        <s v="http://www.imdb.com/title/tt0079945/?ref_=fn_tt_tt_1"/>
        <s v="http://www.imdb.com/title/tt2024432/?ref_=fn_tt_tt_1"/>
        <s v="http://www.imdb.com/title/tt0101540/?ref_=fn_tt_tt_1"/>
        <s v="http://www.imdb.com/title/tt0478087/?ref_=fn_tt_tt_1"/>
        <s v="http://www.imdb.com/title/tt3152624/?ref_=fn_tt_tt_1"/>
        <s v="http://www.imdb.com/title/tt0372237/?ref_=fn_tt_tt_1"/>
        <s v="http://www.imdb.com/title/tt0116209/?ref_=fn_tt_tt_1"/>
        <s v="http://www.imdb.com/title/tt0119488/?ref_=fn_tt_tt_1"/>
        <s v="http://www.imdb.com/title/tt0405325/?ref_=fn_tt_tt_1"/>
        <s v="http://www.imdb.com/title/tt0119360/?ref_=fn_tt_tt_1"/>
        <s v="http://www.imdb.com/title/tt0114508/?ref_=fn_tt_tt_1"/>
        <s v="http://www.imdb.com/title/tt0087800/?ref_=fn_tt_tt_1"/>
        <s v="http://www.imdb.com/title/tt0209958/?ref_=fn_tt_tt_1"/>
        <s v="http://www.imdb.com/title/tt0120744/?ref_=fn_tt_tt_1"/>
        <s v="http://www.imdb.com/title/tt1028576/?ref_=fn_tt_tt_1"/>
        <s v="http://www.imdb.com/title/tt0453556/?ref_=fn_tt_tt_1"/>
        <s v="http://www.imdb.com/title/tt0316465/?ref_=fn_tt_tt_1"/>
        <s v="http://www.imdb.com/title/tt1632708/?ref_=fn_tt_tt_1"/>
        <s v="http://www.imdb.com/title/tt4438848/?ref_=fn_tt_tt_1"/>
        <s v="http://www.imdb.com/title/tt2140373/?ref_=fn_tt_tt_1"/>
        <s v="http://www.imdb.com/title/tt0104797/?ref_=fn_tt_tt_1"/>
        <s v="http://www.imdb.com/title/tt1758830/?ref_=fn_tt_tt_1"/>
        <s v="http://www.imdb.com/title/tt0976238/?ref_=fn_tt_tt_1"/>
        <s v="http://www.imdb.com/title/tt0834001/?ref_=fn_tt_tt_1"/>
        <s v="http://www.imdb.com/title/tt0762114/?ref_=fn_tt_tt_1"/>
        <s v="http://www.imdb.com/title/tt0437863/?ref_=fn_tt_tt_1"/>
        <s v="http://www.imdb.com/title/tt0417001/?ref_=fn_tt_tt_1"/>
        <s v="http://www.imdb.com/title/tt0119008/?ref_=fn_tt_tt_1"/>
        <s v="http://www.imdb.com/title/tt0120804/?ref_=fn_tt_tt_1"/>
        <s v="http://www.imdb.com/title/tt0084516/?ref_=fn_tt_tt_1"/>
        <s v="http://www.imdb.com/title/tt0335245/?ref_=fn_tt_tt_1"/>
        <s v="http://www.imdb.com/title/tt0467197/?ref_=fn_tt_tt_1"/>
        <s v="http://www.imdb.com/title/tt1637688/?ref_=fn_tt_tt_1"/>
        <s v="http://www.imdb.com/title/tt1212436/?ref_=fn_tt_tt_1"/>
        <s v="http://www.imdb.com/title/tt0491152/?ref_=fn_tt_tt_1"/>
        <s v="http://www.imdb.com/title/tt2368645/?ref_=fn_tt_tt_1"/>
        <s v="http://www.imdb.com/title/tt0265087/?ref_=fn_tt_tt_1"/>
        <s v="http://www.imdb.com/title/tt0074174/?ref_=fn_tt_tt_1"/>
        <s v="http://www.imdb.com/title/tt0111301/?ref_=fn_tt_tt_1"/>
        <s v="http://www.imdb.com/title/tt0253474/?ref_=fn_tt_tt_1"/>
        <s v="http://www.imdb.com/title/tt0762121/?ref_=fn_tt_tt_1"/>
        <s v="http://www.imdb.com/title/tt0397065/?ref_=fn_tt_tt_1"/>
        <s v="http://www.imdb.com/title/tt0376541/?ref_=fn_tt_tt_1"/>
        <s v="http://www.imdb.com/title/tt1616195/?ref_=fn_tt_tt_1"/>
        <s v="http://www.imdb.com/title/tt0790686/?ref_=fn_tt_tt_1"/>
        <s v="http://www.imdb.com/title/tt0238546/?ref_=fn_tt_tt_1"/>
        <s v="http://www.imdb.com/title/tt0100403/?ref_=fn_tt_tt_1"/>
        <s v="http://www.imdb.com/title/tt0880578/?ref_=fn_tt_tt_1"/>
        <s v="http://www.imdb.com/title/tt0124298/?ref_=fn_tt_tt_1"/>
        <s v="http://www.imdb.com/title/tt0080745/?ref_=fn_tt_tt_1"/>
        <s v="http://www.imdb.com/title/tt0300051/?ref_=fn_tt_tt_1"/>
        <s v="http://www.imdb.com/title/tt1712170/?ref_=fn_tt_tt_1"/>
        <s v="http://www.imdb.com/title/tt0119668/?ref_=fn_tt_tt_1"/>
        <s v="http://www.imdb.com/title/tt3276924/?ref_=fn_tt_tt_1"/>
        <s v="http://www.imdb.com/title/tt1415283/?ref_=fn_tt_tt_1"/>
        <s v="http://www.imdb.com/title/tt0104427/?ref_=fn_tt_tt_1"/>
        <s v="http://www.imdb.com/title/tt0443701/?ref_=fn_tt_tt_1"/>
        <s v="http://www.imdb.com/title/tt0327679/?ref_=fn_tt_tt_1"/>
        <s v="http://www.imdb.com/title/tt3322364/?ref_=fn_tt_tt_1"/>
        <s v="http://www.imdb.com/title/tt1600195/?ref_=fn_tt_tt_1"/>
        <s v="http://www.imdb.com/title/tt0361089/?ref_=fn_tt_tt_1"/>
        <s v="http://www.imdb.com/title/tt0185014/?ref_=fn_tt_tt_1"/>
        <s v="http://www.imdb.com/title/tt0426592/?ref_=fn_tt_tt_1"/>
        <s v="http://www.imdb.com/title/tt1235522/?ref_=fn_tt_tt_1"/>
        <s v="http://www.imdb.com/title/tt0257516/?ref_=fn_tt_tt_1"/>
        <s v="http://www.imdb.com/title/tt1547234/?ref_=fn_tt_tt_1"/>
        <s v="http://www.imdb.com/title/tt2967224/?ref_=fn_tt_tt_1"/>
        <s v="http://www.imdb.com/title/tt0240510/?ref_=fn_tt_tt_1"/>
        <s v="http://www.imdb.com/title/tt1904996/?ref_=fn_tt_tt_1"/>
        <s v="http://www.imdb.com/title/tt0360201/?ref_=fn_tt_tt_1"/>
        <s v="http://www.imdb.com/title/tt0492389/?ref_=fn_tt_tt_1"/>
        <s v="http://www.imdb.com/title/tt1438173/?ref_=fn_tt_tt_1"/>
        <s v="http://www.imdb.com/title/tt0085811/?ref_=fn_tt_tt_1"/>
        <s v="http://www.imdb.com/title/tt0891527/?ref_=fn_tt_tt_1"/>
        <s v="http://www.imdb.com/title/tt0099587/?ref_=fn_tt_tt_1"/>
        <s v="http://www.imdb.com/title/tt0841046/?ref_=fn_tt_tt_1"/>
        <s v="http://www.imdb.com/title/tt0120824/?ref_=fn_tt_tt_1"/>
        <s v="http://www.imdb.com/title/tt0244000/?ref_=fn_tt_tt_1"/>
        <s v="http://www.imdb.com/title/tt0962736/?ref_=fn_tt_tt_1"/>
        <s v="http://www.imdb.com/title/tt0365929/?ref_=fn_tt_tt_1"/>
        <s v="http://www.imdb.com/title/tt0478304/?ref_=fn_tt_tt_1"/>
        <s v="http://www.imdb.com/title/tt0120724/?ref_=fn_tt_tt_1"/>
        <s v="http://www.imdb.com/title/tt1742334/?ref_=fn_tt_tt_1"/>
        <s v="http://www.imdb.com/title/tt0304711/?ref_=fn_tt_tt_1"/>
        <s v="http://www.imdb.com/title/tt0450314/?ref_=fn_tt_tt_1"/>
        <s v="http://www.imdb.com/title/tt0383060/?ref_=fn_tt_tt_1"/>
        <s v="http://www.imdb.com/title/tt3488710/?ref_=fn_tt_tt_1"/>
        <s v="http://www.imdb.com/title/tt0120479/?ref_=fn_tt_tt_1"/>
        <s v="http://www.imdb.com/title/tt0401445/?ref_=fn_tt_tt_1"/>
        <s v="http://www.imdb.com/title/tt1474684/?ref_=fn_tt_tt_1"/>
        <s v="http://www.imdb.com/title/tt0105211/?ref_=fn_tt_tt_1"/>
        <s v="http://www.imdb.com/title/tt0106469/?ref_=fn_tt_tt_1"/>
        <s v="http://www.imdb.com/title/tt0120152/?ref_=fn_tt_tt_1"/>
        <s v="http://www.imdb.com/title/tt0280665/?ref_=fn_tt_tt_1"/>
        <s v="http://www.imdb.com/title/tt0081059/?ref_=fn_tt_tt_1"/>
        <s v="http://www.imdb.com/title/tt0113362/?ref_=fn_tt_tt_1"/>
        <s v="http://www.imdb.com/title/tt0134154/?ref_=fn_tt_tt_1"/>
        <s v="http://www.imdb.com/title/tt1164999/?ref_=fn_tt_tt_1"/>
        <s v="http://www.imdb.com/title/tt0416496/?ref_=fn_tt_tt_1"/>
        <s v="http://www.imdb.com/title/tt0490087/?ref_=fn_tt_tt_1"/>
        <s v="http://www.imdb.com/title/tt1790864/?ref_=fn_tt_tt_1"/>
        <s v="http://www.imdb.com/title/tt2358925/?ref_=fn_tt_tt_1"/>
        <s v="http://www.imdb.com/title/tt0106226/?ref_=fn_tt_tt_1"/>
        <s v="http://www.imdb.com/title/tt0414993/?ref_=fn_tt_tt_1"/>
        <s v="http://www.imdb.com/title/tt0163579/?ref_=fn_tt_tt_1"/>
        <s v="http://www.imdb.com/title/tt1656186/?ref_=fn_tt_tt_1"/>
        <s v="http://www.imdb.com/title/tt0876563/?ref_=fn_tt_tt_1"/>
        <s v="http://www.imdb.com/title/tt2726560/?ref_=fn_tt_tt_1"/>
        <s v="http://www.imdb.com/title/tt0138304/?ref_=fn_tt_tt_1"/>
        <s v="http://www.imdb.com/title/tt0167203/?ref_=fn_tt_tt_1"/>
        <s v="http://www.imdb.com/title/tt1540128/?ref_=fn_tt_tt_1"/>
        <s v="http://www.imdb.com/title/tt2304771/?ref_=fn_tt_tt_1"/>
        <s v="http://www.imdb.com/title/tt0082979/?ref_=fn_tt_tt_1"/>
        <s v="http://www.imdb.com/title/tt0104257/?ref_=fn_tt_tt_1"/>
        <s v="http://www.imdb.com/title/tt0242445/?ref_=fn_tt_tt_1"/>
        <s v="http://www.imdb.com/title/tt0208003/?ref_=fn_tt_tt_1"/>
        <s v="http://www.imdb.com/title/tt3148834/?ref_=fn_tt_tt_1"/>
        <s v="http://www.imdb.com/title/tt1093357/?ref_=fn_tt_tt_1"/>
        <s v="http://www.imdb.com/title/tt1800741/?ref_=fn_tt_tt_1"/>
        <s v="http://www.imdb.com/title/tt0417148/?ref_=fn_tt_tt_1"/>
        <s v="http://www.imdb.com/title/tt0204626/?ref_=fn_tt_tt_1"/>
        <s v="http://www.imdb.com/title/tt0330793/?ref_=fn_tt_tt_1"/>
        <s v="http://www.imdb.com/title/tt0380389/?ref_=fn_tt_tt_1"/>
        <s v="http://www.imdb.com/title/tt1656190/?ref_=fn_tt_tt_1"/>
        <s v="http://www.imdb.com/title/tt0120797/?ref_=fn_tt_tt_1"/>
        <s v="http://www.imdb.com/title/tt0086190/?ref_=fn_tt_tt_1"/>
        <s v="http://www.imdb.com/title/tt0483607/?ref_=fn_tt_tt_1"/>
        <s v="http://www.imdb.com/title/tt0976051/?ref_=fn_tt_tt_1"/>
        <s v="http://www.imdb.com/title/tt1655460/?ref_=fn_tt_tt_1"/>
        <s v="http://www.imdb.com/title/tt0319343/?ref_=fn_tt_tt_1"/>
        <s v="http://www.imdb.com/title/tt0117333/?ref_=fn_tt_tt_1"/>
        <s v="http://www.imdb.com/title/tt0281373/?ref_=fn_tt_tt_1"/>
        <s v="http://www.imdb.com/title/tt0096061/?ref_=fn_tt_tt_1"/>
        <s v="http://www.imdb.com/title/tt0457510/?ref_=fn_tt_tt_1"/>
        <s v="http://www.imdb.com/title/tt1478338/?ref_=fn_tt_tt_1"/>
        <s v="http://www.imdb.com/title/tt1245492/?ref_=fn_tt_tt_1"/>
        <s v="http://www.imdb.com/title/tt0145531/?ref_=fn_tt_tt_1"/>
        <s v="http://www.imdb.com/title/tt0203019/?ref_=fn_tt_tt_1"/>
        <s v="http://www.imdb.com/title/tt1135084/?ref_=fn_tt_tt_1"/>
        <s v="http://www.imdb.com/title/tt1931435/?ref_=fn_tt_tt_1"/>
        <s v="http://www.imdb.com/title/tt1464174/?ref_=fn_tt_tt_1"/>
        <s v="http://www.imdb.com/title/tt0945513/?ref_=fn_tt_tt_1"/>
        <s v="http://www.imdb.com/title/tt0106246/?ref_=fn_tt_tt_1"/>
        <s v="http://www.imdb.com/title/tt0481369/?ref_=fn_tt_tt_1"/>
        <s v="http://www.imdb.com/title/tt1981107/?ref_=fn_tt_tt_1"/>
        <s v="http://www.imdb.com/title/tt0078723/?ref_=fn_tt_tt_1"/>
        <s v="http://www.imdb.com/title/tt0418647/?ref_=fn_tt_tt_1"/>
        <s v="http://www.imdb.com/title/tt0399146/?ref_=fn_tt_tt_1"/>
        <s v="http://www.imdb.com/title/tt0388482/?ref_=fn_tt_tt_1"/>
        <s v="http://www.imdb.com/title/tt0114214/?ref_=fn_tt_tt_1"/>
        <s v="http://www.imdb.com/title/tt0323033/?ref_=fn_tt_tt_1"/>
        <s v="http://www.imdb.com/title/tt0163988/?ref_=fn_tt_tt_1"/>
        <s v="http://www.imdb.com/title/tt1053424/?ref_=fn_tt_tt_1"/>
        <s v="http://www.imdb.com/title/tt0372873/?ref_=fn_tt_tt_1"/>
        <s v="http://www.imdb.com/title/tt0115725/?ref_=fn_tt_tt_1"/>
        <s v="http://www.imdb.com/title/tt0790628/?ref_=fn_tt_tt_1"/>
        <s v="http://www.imdb.com/title/tt0118829/?ref_=fn_tt_tt_1"/>
        <s v="http://www.imdb.com/title/tt0150216/?ref_=fn_tt_tt_1"/>
        <s v="http://www.imdb.com/title/tt0452624/?ref_=fn_tt_tt_1"/>
        <s v="http://www.imdb.com/title/tt0306892/?ref_=fn_tt_tt_1"/>
        <s v="http://www.imdb.com/title/tt0078788/?ref_=fn_tt_tt_1"/>
        <s v="http://www.imdb.com/title/tt1322312/?ref_=fn_tt_tt_1"/>
        <s v="http://www.imdb.com/title/tt0113862/?ref_=fn_tt_tt_1"/>
        <s v="http://www.imdb.com/title/tt3014866/?ref_=fn_tt_tt_1"/>
        <s v="http://www.imdb.com/title/tt0089755/?ref_=fn_tt_tt_1"/>
        <s v="http://www.imdb.com/title/tt1907668/?ref_=fn_tt_tt_1"/>
        <s v="http://www.imdb.com/title/tt0079574/?ref_=fn_tt_tt_1"/>
        <s v="http://www.imdb.com/title/tt2278388/?ref_=fn_tt_tt_1"/>
        <s v="http://www.imdb.com/title/tt0252501/?ref_=fn_tt_tt_1"/>
        <s v="http://www.imdb.com/title/tt0099052/?ref_=fn_tt_tt_1"/>
        <s v="http://www.imdb.com/title/tt0186151/?ref_=fn_tt_tt_1"/>
        <s v="http://www.imdb.com/title/tt1524930/?ref_=fn_tt_tt_1"/>
        <s v="http://www.imdb.com/title/tt0113161/?ref_=fn_tt_tt_1"/>
        <s v="http://www.imdb.com/title/tt0299658/?ref_=fn_tt_tt_1"/>
        <s v="http://www.imdb.com/title/tt0142342/?ref_=fn_tt_tt_1"/>
        <s v="http://www.imdb.com/title/tt0252866/?ref_=fn_tt_tt_1"/>
        <s v="http://www.imdb.com/title/tt0114709/?ref_=fn_tt_tt_1"/>
        <s v="http://www.imdb.com/title/tt0111257/?ref_=fn_tt_tt_1"/>
        <s v="http://www.imdb.com/title/tt1606389/?ref_=fn_tt_tt_1"/>
        <s v="http://www.imdb.com/title/tt1244659/?ref_=fn_tt_tt_1"/>
        <s v="http://www.imdb.com/title/tt0210945/?ref_=fn_tt_tt_1"/>
        <s v="http://www.imdb.com/title/tt0099810/?ref_=fn_tt_tt_1"/>
        <s v="http://www.imdb.com/title/tt1327773/?ref_=fn_tt_tt_1"/>
        <s v="http://www.imdb.com/title/tt0364725/?ref_=fn_tt_tt_1"/>
        <s v="http://www.imdb.com/title/tt0101272/?ref_=fn_tt_tt_1"/>
        <s v="http://www.imdb.com/title/tt0112281/?ref_=fn_tt_tt_1"/>
        <s v="http://www.imdb.com/title/tt0247638/?ref_=fn_tt_tt_1"/>
        <s v="http://www.imdb.com/title/tt0116313/?ref_=fn_tt_tt_1"/>
        <s v="http://www.imdb.com/title/tt0114369/?ref_=fn_tt_tt_1"/>
        <s v="http://www.imdb.com/title/tt1136608/?ref_=fn_tt_tt_1"/>
        <s v="http://www.imdb.com/title/tt0345950/?ref_=fn_tt_tt_1"/>
        <s v="http://www.imdb.com/title/tt0327056/?ref_=fn_tt_tt_1"/>
        <s v="http://www.imdb.com/title/tt0405159/?ref_=fn_tt_tt_1"/>
        <s v="http://www.imdb.com/title/tt0122933/?ref_=fn_tt_tt_1"/>
        <s v="http://www.imdb.com/title/tt0332280/?ref_=fn_tt_tt_1"/>
        <s v="http://www.imdb.com/title/tt0988595/?ref_=fn_tt_tt_1"/>
        <s v="http://www.imdb.com/title/tt1114677/?ref_=fn_tt_tt_1"/>
        <s v="http://www.imdb.com/title/tt0213203/?ref_=fn_tt_tt_1"/>
        <s v="http://www.imdb.com/title/tt0102713/?ref_=fn_tt_tt_1"/>
        <s v="http://www.imdb.com/title/tt0110322/?ref_=fn_tt_tt_1"/>
        <s v="http://www.imdb.com/title/tt1193138/?ref_=fn_tt_tt_1"/>
        <s v="http://www.imdb.com/title/tt0257360/?ref_=fn_tt_tt_1"/>
        <s v="http://www.imdb.com/title/tt1588173/?ref_=fn_tt_tt_1"/>
        <s v="http://www.imdb.com/title/tt1276104/?ref_=fn_tt_tt_1"/>
        <s v="http://www.imdb.com/title/tt0231775/?ref_=fn_tt_tt_1"/>
        <s v="http://www.imdb.com/title/tt0112431/?ref_=fn_tt_tt_1"/>
        <s v="http://www.imdb.com/title/tt1535438/?ref_=fn_tt_tt_1"/>
        <s v="http://www.imdb.com/title/tt0800039/?ref_=fn_tt_tt_1"/>
        <s v="http://www.imdb.com/title/tt0758745/?ref_=fn_tt_tt_1"/>
        <s v="http://www.imdb.com/title/tt0430105/?ref_=fn_tt_tt_1"/>
        <s v="http://www.imdb.com/title/tt0871426/?ref_=fn_tt_tt_1"/>
        <s v="http://www.imdb.com/title/tt0119313/?ref_=fn_tt_tt_1"/>
        <s v="http://www.imdb.com/title/tt0901476/?ref_=fn_tt_tt_1"/>
        <s v="http://www.imdb.com/title/tt0364751/?ref_=fn_tt_tt_1"/>
        <s v="http://www.imdb.com/title/tt0337563/?ref_=fn_tt_tt_1"/>
        <s v="http://www.imdb.com/title/tt1605783/?ref_=fn_tt_tt_1"/>
        <s v="http://www.imdb.com/title/tt1821658/?ref_=fn_tt_tt_1"/>
        <s v="http://www.imdb.com/title/tt0221027/?ref_=fn_tt_tt_1"/>
        <s v="http://www.imdb.com/title/tt0139462/?ref_=fn_tt_tt_1"/>
        <s v="http://www.imdb.com/title/tt0098382/?ref_=fn_tt_tt_1"/>
        <s v="http://www.imdb.com/title/tt0308506/?ref_=fn_tt_tt_1"/>
        <s v="http://www.imdb.com/title/tt0110622/?ref_=fn_tt_tt_1"/>
        <s v="http://www.imdb.com/title/tt0090264/?ref_=fn_tt_tt_1"/>
        <s v="http://www.imdb.com/title/tt0312004/?ref_=fn_tt_tt_1"/>
        <s v="http://www.imdb.com/title/tt0431308/?ref_=fn_tt_tt_1"/>
        <s v="http://www.imdb.com/title/tt0376105/?ref_=fn_tt_tt_1"/>
        <s v="http://www.imdb.com/title/tt0783233/?ref_=fn_tt_tt_1"/>
        <s v="http://www.imdb.com/title/tt0892318/?ref_=fn_tt_tt_1"/>
        <s v="http://www.imdb.com/title/tt0096933/?ref_=fn_tt_tt_1"/>
        <s v="http://www.imdb.com/title/tt0383010/?ref_=fn_tt_tt_1"/>
        <s v="http://www.imdb.com/title/tt0121164/?ref_=fn_tt_tt_1"/>
        <s v="http://www.imdb.com/title/tt0385726/?ref_=fn_tt_tt_1"/>
        <s v="http://www.imdb.com/title/tt3397884/?ref_=fn_tt_tt_1"/>
        <s v="http://www.imdb.com/title/tt1798684/?ref_=fn_tt_tt_1"/>
        <s v="http://www.imdb.com/title/tt1127180/?ref_=fn_tt_tt_1"/>
        <s v="http://www.imdb.com/title/tt1655441/?ref_=fn_tt_tt_1"/>
        <s v="http://www.imdb.com/title/tt0327137/?ref_=fn_tt_tt_1"/>
        <s v="http://www.imdb.com/title/tt1193631/?ref_=fn_tt_tt_1"/>
        <s v="http://www.imdb.com/title/tt0300532/?ref_=fn_tt_tt_1"/>
        <s v="http://www.imdb.com/title/tt0420223/?ref_=fn_tt_tt_1"/>
        <s v="http://www.imdb.com/title/tt0389722/?ref_=fn_tt_tt_1"/>
        <s v="http://www.imdb.com/title/tt1259521/?ref_=fn_tt_tt_1"/>
        <s v="http://www.imdb.com/title/tt1073498/?ref_=fn_tt_tt_1"/>
        <s v="http://www.imdb.com/title/tt0095631/?ref_=fn_tt_tt_1"/>
        <s v="http://www.imdb.com/title/tt0093894/?ref_=fn_tt_tt_1"/>
        <s v="http://www.imdb.com/title/tt0091419/?ref_=fn_tt_tt_1"/>
        <s v="http://www.imdb.com/title/tt0993842/?ref_=fn_tt_tt_1"/>
        <s v="http://www.imdb.com/title/tt4428038/?ref_=fn_tt_tt_1"/>
        <s v="http://www.imdb.com/title/tt0119707/?ref_=fn_tt_tt_1"/>
        <s v="http://www.imdb.com/title/tt1583420/?ref_=fn_tt_tt_1"/>
        <s v="http://www.imdb.com/title/tt1939659/?ref_=fn_tt_tt_1"/>
        <s v="http://www.imdb.com/title/tt0446046/?ref_=fn_tt_tt_1"/>
        <s v="http://www.imdb.com/title/tt0387199/?ref_=fn_tt_tt_1"/>
        <s v="http://www.imdb.com/title/tt0421206/?ref_=fn_tt_tt_1"/>
        <s v="http://www.imdb.com/title/tt0161083/?ref_=fn_tt_tt_1"/>
        <s v="http://www.imdb.com/title/tt0472033/?ref_=fn_tt_tt_1"/>
        <s v="http://www.imdb.com/title/tt2053463/?ref_=fn_tt_tt_1"/>
        <s v="http://www.imdb.com/title/tt0337697/?ref_=fn_tt_tt_1"/>
        <s v="http://www.imdb.com/title/tt1449283/?ref_=fn_tt_tt_1"/>
        <s v="http://www.imdb.com/title/tt0329028/?ref_=fn_tt_tt_1"/>
        <s v="http://www.imdb.com/title/tt0118798/?ref_=fn_tt_tt_1"/>
        <s v="http://www.imdb.com/title/tt2473602/?ref_=fn_tt_tt_1"/>
        <s v="http://www.imdb.com/title/tt0120776/?ref_=fn_tt_tt_1"/>
        <s v="http://www.imdb.com/title/tt0114857/?ref_=fn_tt_tt_1"/>
        <s v="http://www.imdb.com/title/tt0465624/?ref_=fn_tt_tt_1"/>
        <s v="http://www.imdb.com/title/tt2377322/?ref_=fn_tt_tt_1"/>
        <s v="http://www.imdb.com/title/tt0881320/?ref_=fn_tt_tt_1"/>
        <s v="http://www.imdb.com/title/tt0361841/?ref_=fn_tt_tt_1"/>
        <s v="http://www.imdb.com/title/tt1195478/?ref_=fn_tt_tt_1"/>
        <s v="http://www.imdb.com/title/tt0339412/?ref_=fn_tt_tt_1"/>
        <s v="http://www.imdb.com/title/tt1458175/?ref_=fn_tt_tt_1"/>
        <s v="http://www.imdb.com/title/tt0370032/?ref_=fn_tt_tt_1"/>
        <s v="http://www.imdb.com/title/tt0398712/?ref_=fn_tt_tt_1"/>
        <s v="http://www.imdb.com/title/tt0120008/?ref_=fn_tt_tt_1"/>
        <s v="http://www.imdb.com/title/tt0116320/?ref_=fn_tt_tt_1"/>
        <s v="http://www.imdb.com/title/tt0271367/?ref_=fn_tt_tt_1"/>
        <s v="http://www.imdb.com/title/tt0758752/?ref_=fn_tt_tt_1"/>
        <s v="http://www.imdb.com/title/tt0411061/?ref_=fn_tt_tt_1"/>
        <s v="http://www.imdb.com/title/tt0395972/?ref_=fn_tt_tt_1"/>
        <s v="http://www.imdb.com/title/tt0327247/?ref_=fn_tt_tt_1"/>
        <s v="http://www.imdb.com/title/tt1017460/?ref_=fn_tt_tt_1"/>
        <s v="http://www.imdb.com/title/tt0091225/?ref_=fn_tt_tt_1"/>
        <s v="http://www.imdb.com/title/tt0482572/?ref_=fn_tt_tt_1"/>
        <s v="http://www.imdb.com/title/tt0402901/?ref_=fn_tt_tt_1"/>
        <s v="http://www.imdb.com/title/tt0318283/?ref_=fn_tt_tt_1"/>
        <s v="http://www.imdb.com/title/tt0324554/?ref_=fn_tt_tt_1"/>
        <s v="http://www.imdb.com/title/tt1438176/?ref_=fn_tt_tt_1"/>
        <s v="http://www.imdb.com/title/tt0402399/?ref_=fn_tt_tt_1"/>
        <s v="http://www.imdb.com/title/tt0131646/?ref_=fn_tt_tt_1"/>
        <s v="http://www.imdb.com/title/tt0120710/?ref_=fn_tt_tt_1"/>
        <s v="http://www.imdb.com/title/tt1098327/?ref_=fn_tt_tt_1"/>
        <s v="http://www.imdb.com/title/tt1549920/?ref_=fn_tt_tt_1"/>
        <s v="http://www.imdb.com/title/tt0335121/?ref_=fn_tt_tt_1"/>
        <s v="http://www.imdb.com/title/tt0360139/?ref_=fn_tt_tt_1"/>
        <s v="http://www.imdb.com/title/tt0844993/?ref_=fn_tt_tt_1"/>
        <s v="http://www.imdb.com/title/tt0350261/?ref_=fn_tt_tt_1"/>
        <s v="http://www.imdb.com/title/tt1054606/?ref_=fn_tt_tt_1"/>
        <s v="http://www.imdb.com/title/tt1423894/?ref_=fn_tt_tt_1"/>
        <s v="http://www.imdb.com/title/tt3561180/?ref_=fn_tt_tt_1"/>
        <s v="http://www.imdb.com/title/tt2364841/?ref_=fn_tt_tt_1"/>
        <s v="http://www.imdb.com/title/tt0218817/?ref_=fn_tt_tt_1"/>
        <s v="http://www.imdb.com/title/tt0097441/?ref_=fn_tt_tt_1"/>
        <s v="http://www.imdb.com/title/tt0087843/?ref_=fn_tt_tt_1"/>
        <s v="http://www.imdb.com/title/tt2101341/?ref_=fn_tt_tt_1"/>
        <s v="http://www.imdb.com/title/tt0379889/?ref_=fn_tt_tt_1"/>
        <s v="http://www.imdb.com/title/tt0281820/?ref_=fn_tt_tt_1"/>
        <s v="http://www.imdb.com/title/tt0403016/?ref_=fn_tt_tt_1"/>
        <s v="http://www.imdb.com/title/tt0482546/?ref_=fn_tt_tt_1"/>
        <s v="http://www.imdb.com/title/tt0417976/?ref_=fn_tt_tt_1"/>
        <s v="http://www.imdb.com/title/tt0398913/?ref_=fn_tt_tt_1"/>
        <s v="http://www.imdb.com/title/tt0443680/?ref_=fn_tt_tt_1"/>
        <s v="http://www.imdb.com/title/tt1772230/?ref_=fn_tt_tt_1"/>
        <s v="http://www.imdb.com/title/tt1264904/?ref_=fn_tt_tt_1"/>
        <s v="http://www.imdb.com/title/tt2231253/?ref_=fn_tt_tt_1"/>
        <s v="http://www.imdb.com/title/tt1586752/?ref_=fn_tt_tt_1"/>
        <s v="http://www.imdb.com/title/tt1620449/?ref_=fn_tt_tt_1"/>
        <s v="http://www.imdb.com/title/tt0438859/?ref_=fn_tt_tt_1"/>
        <s v="http://www.imdb.com/title/tt2814362/?ref_=fn_tt_tt_1"/>
        <s v="http://www.imdb.com/title/tt2095649/?ref_=fn_tt_tt_1"/>
        <s v="http://www.imdb.com/title/tt4075322/?ref_=fn_tt_tt_1"/>
        <s v="http://www.imdb.com/title/tt0265651/?ref_=fn_tt_tt_1"/>
        <s v="http://www.imdb.com/title/tt1700841/?ref_=fn_tt_tt_1"/>
        <s v="http://www.imdb.com/title/tt2848292/?ref_=fn_tt_tt_1"/>
        <s v="http://www.imdb.com/title/tt0358273/?ref_=fn_tt_tt_1"/>
        <s v="http://www.imdb.com/title/tt3148266/?ref_=fn_tt_tt_1"/>
        <s v="http://www.imdb.com/title/tt0171433/?ref_=fn_tt_tt_1"/>
        <s v="http://www.imdb.com/title/tt0118755/?ref_=fn_tt_tt_1"/>
        <s v="http://www.imdb.com/title/tt0870111/?ref_=fn_tt_tt_1"/>
        <s v="http://www.imdb.com/title/tt0270288/?ref_=fn_tt_tt_1"/>
        <s v="http://www.imdb.com/title/tt0261289/?ref_=fn_tt_tt_1"/>
        <s v="http://www.imdb.com/title/tt2702724/?ref_=fn_tt_tt_1"/>
        <s v="http://www.imdb.com/title/tt0092804/?ref_=fn_tt_tt_1"/>
        <s v="http://www.imdb.com/title/tt0140397/?ref_=fn_tt_tt_1"/>
        <s v="http://www.imdb.com/title/tt0387575/?ref_=fn_tt_tt_1"/>
        <s v="http://www.imdb.com/title/tt0366627/?ref_=fn_tt_tt_1"/>
        <s v="http://www.imdb.com/title/tt0103639/?ref_=fn_tt_tt_1"/>
        <s v="http://www.imdb.com/title/tt1398426/?ref_=fn_tt_tt_1"/>
        <s v="http://www.imdb.com/title/tt0087469/?ref_=fn_tt_tt_1"/>
        <s v="http://www.imdb.com/title/tt0134067/?ref_=fn_tt_tt_1"/>
        <s v="http://www.imdb.com/title/tt0164334/?ref_=fn_tt_tt_1"/>
        <s v="http://www.imdb.com/title/tt4136084/?ref_=fn_tt_tt_1"/>
        <s v="http://www.imdb.com/title/tt0285823/?ref_=fn_tt_tt_1"/>
        <s v="http://www.imdb.com/title/tt0095016/?ref_=fn_tt_tt_1"/>
        <s v="http://www.imdb.com/title/tt0430922/?ref_=fn_tt_tt_1"/>
        <s v="http://www.imdb.com/title/tt1596363/?ref_=fn_tt_tt_1"/>
        <s v="http://www.imdb.com/title/tt1127896/?ref_=fn_tt_tt_1"/>
        <s v="http://www.imdb.com/title/tt0349825/?ref_=fn_tt_tt_1"/>
        <s v="http://www.imdb.com/title/tt0363547/?ref_=fn_tt_tt_1"/>
        <s v="http://www.imdb.com/title/tt0209475/?ref_=fn_tt_tt_1"/>
        <s v="http://www.imdb.com/title/tt2668134/?ref_=fn_tt_tt_1"/>
        <s v="http://www.imdb.com/title/tt0265666/?ref_=fn_tt_tt_1"/>
        <s v="http://www.imdb.com/title/tt0309698/?ref_=fn_tt_tt_1"/>
        <s v="http://www.imdb.com/title/tt1204975/?ref_=fn_tt_tt_1"/>
        <s v="http://www.imdb.com/title/tt0082398/?ref_=fn_tt_tt_1"/>
        <s v="http://www.imdb.com/title/tt0240890/?ref_=fn_tt_tt_1"/>
        <s v="http://www.imdb.com/title/tt0111438/?ref_=fn_tt_tt_1"/>
        <s v="http://www.imdb.com/title/tt0196229/?ref_=fn_tt_tt_1"/>
        <s v="http://www.imdb.com/title/tt1702439/?ref_=fn_tt_tt_1"/>
        <s v="http://www.imdb.com/title/tt0107120/?ref_=fn_tt_tt_1"/>
        <s v="http://www.imdb.com/title/tt0481141/?ref_=fn_tt_tt_1"/>
        <s v="http://www.imdb.com/title/tt1250777/?ref_=fn_tt_tt_1"/>
        <s v="http://www.imdb.com/title/tt1622547/?ref_=fn_tt_tt_1"/>
        <s v="http://www.imdb.com/title/tt0219653/?ref_=fn_tt_tt_1"/>
        <s v="http://www.imdb.com/title/tt1698641/?ref_=fn_tt_tt_1"/>
        <s v="http://www.imdb.com/title/tt0414387/?ref_=fn_tt_tt_1"/>
        <s v="http://www.imdb.com/title/tt0083658/?ref_=fn_tt_tt_1"/>
        <s v="http://www.imdb.com/title/tt0114287/?ref_=fn_tt_tt_1"/>
        <s v="http://www.imdb.com/title/tt2172934/?ref_=fn_tt_tt_1"/>
        <s v="http://www.imdb.com/title/tt0498399/?ref_=fn_tt_tt_1"/>
        <s v="http://www.imdb.com/title/tt0160484/?ref_=fn_tt_tt_1"/>
        <s v="http://www.imdb.com/title/tt0301727/?ref_=fn_tt_tt_1"/>
        <s v="http://www.imdb.com/title/tt0397078/?ref_=fn_tt_tt_1"/>
        <s v="http://www.imdb.com/title/tt0134618/?ref_=fn_tt_tt_1"/>
        <s v="http://www.imdb.com/title/tt1273678/?ref_=fn_tt_tt_1"/>
        <s v="http://www.imdb.com/title/tt0120133/?ref_=fn_tt_tt_1"/>
        <s v="http://www.imdb.com/title/tt0228333/?ref_=fn_tt_tt_1"/>
        <s v="http://www.imdb.com/title/tt1018765/?ref_=fn_tt_tt_1"/>
        <s v="http://www.imdb.com/title/tt1374989/?ref_=fn_tt_tt_1"/>
        <s v="http://www.imdb.com/title/tt0119485/?ref_=fn_tt_tt_1"/>
        <s v="http://www.imdb.com/title/tt0455538/?ref_=fn_tt_tt_1"/>
        <s v="http://www.imdb.com/title/tt1650554/?ref_=fn_tt_tt_1"/>
        <s v="http://www.imdb.com/title/tt0395119/?ref_=fn_tt_tt_1"/>
        <s v="http://www.imdb.com/title/tt1430612/?ref_=fn_tt_tt_1"/>
        <s v="http://www.imdb.com/title/tt0086034/?ref_=fn_tt_tt_1"/>
        <s v="http://www.imdb.com/title/tt0478311/?ref_=fn_tt_tt_1"/>
        <s v="http://www.imdb.com/title/tt1078588/?ref_=fn_tt_tt_1"/>
        <s v="http://www.imdb.com/title/tt0494652/?ref_=fn_tt_tt_1"/>
        <s v="http://www.imdb.com/title/tt0087892/?ref_=fn_tt_tt_1"/>
        <s v="http://www.imdb.com/title/tt0465551/?ref_=fn_tt_tt_1"/>
        <s v="http://www.imdb.com/title/tt0804522/?ref_=fn_tt_tt_1"/>
        <s v="http://www.imdb.com/title/tt4422836/?ref_=fn_tt_tt_1"/>
        <s v="http://www.imdb.com/title/tt0102975/?ref_=fn_tt_tt_1"/>
        <s v="http://www.imdb.com/title/tt0279778/?ref_=fn_tt_tt_1"/>
        <s v="http://www.imdb.com/title/tt0119468/?ref_=fn_tt_tt_1"/>
        <s v="http://www.imdb.com/title/tt0080455/?ref_=fn_tt_tt_1"/>
        <s v="http://www.imdb.com/title/tt1018785/?ref_=fn_tt_tt_1"/>
        <s v="http://www.imdb.com/title/tt1710396/?ref_=fn_tt_tt_1"/>
        <s v="http://www.imdb.com/title/tt0276751/?ref_=fn_tt_tt_1"/>
        <s v="http://www.imdb.com/title/tt0139414/?ref_=fn_tt_tt_1"/>
        <s v="http://www.imdb.com/title/tt0425210/?ref_=fn_tt_tt_1"/>
        <s v="http://www.imdb.com/title/tt0086197/?ref_=fn_tt_tt_1"/>
        <s v="http://www.imdb.com/title/tt1521197/?ref_=fn_tt_tt_1"/>
        <s v="http://www.imdb.com/title/tt0088323/?ref_=fn_tt_tt_1"/>
        <s v="http://www.imdb.com/title/tt0118929/?ref_=fn_tt_tt_1"/>
        <s v="http://www.imdb.com/title/tt0864761/?ref_=fn_tt_tt_1"/>
        <s v="http://www.imdb.com/title/tt0042114/?ref_=fn_tt_tt_1"/>
        <s v="http://www.imdb.com/title/tt0089908/?ref_=fn_tt_tt_1"/>
        <s v="http://www.imdb.com/title/tt0120769/?ref_=fn_tt_tt_1"/>
        <s v="http://www.imdb.com/title/tt0795351/?ref_=fn_tt_tt_1"/>
        <s v="http://www.imdb.com/title/tt0324127/?ref_=fn_tt_tt_1"/>
        <s v="http://www.imdb.com/title/tt0415965/?ref_=fn_tt_tt_1"/>
        <s v="http://www.imdb.com/title/tt1517489/?ref_=fn_tt_tt_1"/>
        <s v="http://www.imdb.com/title/tt2241351/?ref_=fn_tt_tt_1"/>
        <s v="http://www.imdb.com/title/tt0227984/?ref_=fn_tt_tt_1"/>
        <s v="http://www.imdb.com/title/tt0155711/?ref_=fn_tt_tt_1"/>
        <s v="http://www.imdb.com/title/tt0297284/?ref_=fn_tt_tt_1"/>
        <s v="http://www.imdb.com/title/tt0486674/?ref_=fn_tt_tt_1"/>
        <s v="http://www.imdb.com/title/tt0340376/?ref_=fn_tt_tt_1"/>
        <s v="http://www.imdb.com/title/tt0475331/?ref_=fn_tt_tt_1"/>
        <s v="http://www.imdb.com/title/tt1114740/?ref_=fn_tt_tt_1"/>
        <s v="http://www.imdb.com/title/tt0322330/?ref_=fn_tt_tt_1"/>
        <s v="http://www.imdb.com/title/tt0405422/?ref_=fn_tt_tt_1"/>
        <s v="http://www.imdb.com/title/tt0138097/?ref_=fn_tt_tt_1"/>
        <s v="http://www.imdb.com/title/tt0365907/?ref_=fn_tt_tt_1"/>
        <s v="http://www.imdb.com/title/tt0099938/?ref_=fn_tt_tt_1"/>
        <s v="http://www.imdb.com/title/tt0910936/?ref_=fn_tt_tt_1"/>
        <s v="http://www.imdb.com/title/tt0120631/?ref_=fn_tt_tt_1"/>
        <s v="http://www.imdb.com/title/tt0316356/?ref_=fn_tt_tt_1"/>
        <s v="http://www.imdb.com/title/tt0099582/?ref_=fn_tt_tt_1"/>
        <s v="http://www.imdb.com/title/tt0472954/?ref_=fn_tt_tt_1"/>
        <s v="http://www.imdb.com/title/tt0075784/?ref_=fn_tt_tt_1"/>
        <s v="http://www.imdb.com/title/tt0421239/?ref_=fn_tt_tt_1"/>
        <s v="http://www.imdb.com/title/tt0309593/?ref_=fn_tt_tt_1"/>
        <s v="http://www.imdb.com/title/tt0190590/?ref_=fn_tt_tt_1"/>
        <s v="http://www.imdb.com/title/tt1038686/?ref_=fn_tt_tt_1"/>
        <s v="http://www.imdb.com/title/tt1980209/?ref_=fn_tt_tt_1"/>
        <s v="http://www.imdb.com/title/tt0385267/?ref_=fn_tt_tt_1"/>
        <s v="http://www.imdb.com/title/tt0157472/?ref_=fn_tt_tt_1"/>
        <s v="http://www.imdb.com/title/tt0090022/?ref_=fn_tt_tt_1"/>
        <s v="http://www.imdb.com/title/tt0765010/?ref_=fn_tt_tt_1"/>
        <s v="http://www.imdb.com/title/tt0358349/?ref_=fn_tt_tt_1"/>
        <s v="http://www.imdb.com/title/tt1598822/?ref_=fn_tt_tt_1"/>
        <s v="http://www.imdb.com/title/tt0218922/?ref_=fn_tt_tt_1"/>
        <s v="http://www.imdb.com/title/tt1486192/?ref_=fn_tt_tt_1"/>
        <s v="http://www.imdb.com/title/tt0361925/?ref_=fn_tt_tt_1"/>
        <s v="http://www.imdb.com/title/tt0110027/?ref_=fn_tt_tt_1"/>
        <s v="http://www.imdb.com/title/tt0115710/?ref_=fn_tt_tt_1"/>
        <s v="http://www.imdb.com/title/tt0119227/?ref_=fn_tt_tt_1"/>
        <s v="http://www.imdb.com/title/tt0256524/?ref_=fn_tt_tt_1"/>
        <s v="http://www.imdb.com/title/tt1137470/?ref_=fn_tt_tt_1"/>
        <s v="http://www.imdb.com/title/tt0116322/?ref_=fn_tt_tt_1"/>
        <s v="http://www.imdb.com/title/tt2140379/?ref_=fn_tt_tt_1"/>
        <s v="http://www.imdb.com/title/tt0387131/?ref_=fn_tt_tt_1"/>
        <s v="http://www.imdb.com/title/tt0335345/?ref_=fn_tt_tt_1"/>
        <s v="http://www.imdb.com/title/tt0107614/?ref_=fn_tt_tt_1"/>
        <s v="http://www.imdb.com/title/tt0095953/?ref_=fn_tt_tt_1"/>
        <s v="http://www.imdb.com/title/tt1205489/?ref_=fn_tt_tt_1"/>
        <s v="http://www.imdb.com/title/tt1175491/?ref_=fn_tt_tt_1"/>
        <s v="http://www.imdb.com/title/tt0936501/?ref_=fn_tt_tt_1"/>
        <s v="http://www.imdb.com/title/tt1972779/?ref_=fn_tt_tt_1"/>
        <s v="http://www.imdb.com/title/tt0103855/?ref_=fn_tt_tt_1"/>
        <s v="http://www.imdb.com/title/tt0108052/?ref_=fn_tt_tt_1"/>
        <s v="http://www.imdb.com/title/tt1454029/?ref_=fn_tt_tt_1"/>
        <s v="http://www.imdb.com/title/tt1837703/?ref_=fn_tt_tt_1"/>
        <s v="http://www.imdb.com/title/tt0331632/?ref_=fn_tt_tt_1"/>
        <s v="http://www.imdb.com/title/tt1224378/?ref_=fn_tt_tt_1"/>
        <s v="http://www.imdb.com/title/tt0329101/?ref_=fn_tt_tt_1"/>
        <s v="http://www.imdb.com/title/tt2967008/?ref_=fn_tt_tt_1"/>
        <s v="http://www.imdb.com/title/tt0268397/?ref_=fn_tt_tt_1"/>
        <s v="http://www.imdb.com/title/tt1060277/?ref_=fn_tt_tt_1"/>
        <s v="http://www.imdb.com/title/tt0103060/?ref_=fn_tt_tt_1"/>
        <s v="http://www.imdb.com/title/tt0094226/?ref_=fn_tt_tt_1"/>
        <s v="http://www.imdb.com/title/tt0477348/?ref_=fn_tt_tt_1"/>
        <s v="http://www.imdb.com/title/tt1408253/?ref_=fn_tt_tt_1"/>
        <s v="http://www.imdb.com/title/tt0243155/?ref_=fn_tt_tt_1"/>
        <s v="http://www.imdb.com/title/tt0241303/?ref_=fn_tt_tt_1"/>
        <s v="http://www.imdb.com/title/tt0333780/?ref_=fn_tt_tt_1"/>
        <s v="http://www.imdb.com/title/tt1047540/?ref_=fn_tt_tt_1"/>
        <s v="http://www.imdb.com/title/tt1411238/?ref_=fn_tt_tt_1"/>
        <s v="http://www.imdb.com/title/tt0108358/?ref_=fn_tt_tt_1"/>
        <s v="http://www.imdb.com/title/tt0165929/?ref_=fn_tt_tt_1"/>
        <s v="http://www.imdb.com/title/tt0075005/?ref_=fn_tt_tt_1"/>
        <s v="http://www.imdb.com/title/tt0414982/?ref_=fn_tt_tt_1"/>
        <s v="http://www.imdb.com/title/tt1327194/?ref_=fn_tt_tt_1"/>
        <s v="http://www.imdb.com/title/tt0398808/?ref_=fn_tt_tt_1"/>
        <s v="http://www.imdb.com/title/tt0308644/?ref_=fn_tt_tt_1"/>
        <s v="http://www.imdb.com/title/tt2609758/?ref_=fn_tt_tt_1"/>
        <s v="http://www.imdb.com/title/tt1601913/?ref_=fn_tt_tt_1"/>
        <s v="http://www.imdb.com/title/tt0382077/?ref_=fn_tt_tt_1"/>
        <s v="http://www.imdb.com/title/tt0357413/?ref_=fn_tt_tt_1"/>
        <s v="http://www.imdb.com/title/tt0099685/?ref_=fn_tt_tt_1"/>
        <s v="http://www.imdb.com/title/tt0313911/?ref_=fn_tt_tt_1"/>
        <s v="http://www.imdb.com/title/tt0396752/?ref_=fn_tt_tt_1"/>
        <s v="http://www.imdb.com/title/tt0086250/?ref_=fn_tt_tt_1"/>
        <s v="http://www.imdb.com/title/tt0119807/?ref_=fn_tt_tt_1"/>
        <s v="http://www.imdb.com/title/tt0093389/?ref_=fn_tt_tt_1"/>
        <s v="http://www.imdb.com/title/tt1524137/?ref_=fn_tt_tt_1"/>
        <s v="http://www.imdb.com/title/tt0119695/?ref_=fn_tt_tt_1"/>
        <s v="http://www.imdb.com/title/tt0469494/?ref_=fn_tt_tt_1"/>
        <s v="http://www.imdb.com/title/tt0282120/?ref_=fn_tt_tt_1"/>
        <s v="http://www.imdb.com/title/tt0337711/?ref_=fn_tt_tt_1"/>
        <s v="http://www.imdb.com/title/tt0279493/?ref_=fn_tt_tt_1"/>
        <s v="http://www.imdb.com/title/tt0403508/?ref_=fn_tt_tt_1"/>
        <s v="http://www.imdb.com/title/tt0271027/?ref_=fn_tt_tt_1"/>
        <s v="http://www.imdb.com/title/tt0852713/?ref_=fn_tt_tt_1"/>
        <s v="http://www.imdb.com/title/tt0388500/?ref_=fn_tt_tt_1"/>
        <s v="http://www.imdb.com/title/tt1647668/?ref_=fn_tt_tt_1"/>
        <s v="http://www.imdb.com/title/tt0435651/?ref_=fn_tt_tt_1"/>
        <s v="http://www.imdb.com/title/tt0286788/?ref_=fn_tt_tt_1"/>
        <s v="http://www.imdb.com/title/tt0301470/?ref_=fn_tt_tt_1"/>
        <s v="http://www.imdb.com/title/tt0452625/?ref_=fn_tt_tt_1"/>
        <s v="http://www.imdb.com/title/tt0306685/?ref_=fn_tt_tt_1"/>
        <s v="http://www.imdb.com/title/tt0274558/?ref_=fn_tt_tt_1"/>
        <s v="http://www.imdb.com/title/tt0454945/?ref_=fn_tt_tt_1"/>
        <s v="http://www.imdb.com/title/tt0453451/?ref_=fn_tt_tt_1"/>
        <s v="http://www.imdb.com/title/tt0366174/?ref_=fn_tt_tt_1"/>
        <s v="http://www.imdb.com/title/tt1747958/?ref_=fn_tt_tt_1"/>
        <s v="http://www.imdb.com/title/tt0426931/?ref_=fn_tt_tt_1"/>
        <s v="http://www.imdb.com/title/tt0127536/?ref_=fn_tt_tt_1"/>
        <s v="http://www.imdb.com/title/tt0144120/?ref_=fn_tt_tt_1"/>
        <s v="http://www.imdb.com/title/tt0066473/?ref_=fn_tt_tt_1"/>
        <s v="http://www.imdb.com/title/tt0120185/?ref_=fn_tt_tt_1"/>
        <s v="http://www.imdb.com/title/tt1366344/?ref_=fn_tt_tt_1"/>
        <s v="http://www.imdb.com/title/tt1153706/?ref_=fn_tt_tt_1"/>
        <s v="http://www.imdb.com/title/tt0111161/?ref_=fn_tt_tt_1"/>
        <s v="http://www.imdb.com/title/tt0231402/?ref_=fn_tt_tt_1"/>
        <s v="http://www.imdb.com/title/tt0116778/?ref_=fn_tt_tt_1"/>
        <s v="http://www.imdb.com/title/tt2039393/?ref_=fn_tt_tt_1"/>
        <s v="http://www.imdb.com/title/tt1322269/?ref_=fn_tt_tt_1"/>
        <s v="http://www.imdb.com/title/tt0396652/?ref_=fn_tt_tt_1"/>
        <s v="http://www.imdb.com/title/tt0391304/?ref_=fn_tt_tt_1"/>
        <s v="http://www.imdb.com/title/tt1083452/?ref_=fn_tt_tt_1"/>
        <s v="http://www.imdb.com/title/tt0124718/?ref_=fn_tt_tt_1"/>
        <s v="http://www.imdb.com/title/tt0112883/?ref_=fn_tt_tt_1"/>
        <s v="http://www.imdb.com/title/tt0983983/?ref_=fn_tt_tt_1"/>
        <s v="http://www.imdb.com/title/tt0989757/?ref_=fn_tt_tt_1"/>
        <s v="http://www.imdb.com/title/tt0480255/?ref_=fn_tt_tt_1"/>
        <s v="http://www.imdb.com/title/tt1270761/?ref_=fn_tt_tt_1"/>
        <s v="http://www.imdb.com/title/tt0499556/?ref_=fn_tt_tt_1"/>
        <s v="http://www.imdb.com/title/tt0272338/?ref_=fn_tt_tt_1"/>
        <s v="http://www.imdb.com/title/tt0356150/?ref_=fn_tt_tt_1"/>
        <s v="http://www.imdb.com/title/tt0297162/?ref_=fn_tt_tt_1"/>
        <s v="http://www.imdb.com/title/tt0488658/?ref_=fn_tt_tt_1"/>
        <s v="http://www.imdb.com/title/tt0094799/?ref_=fn_tt_tt_1"/>
        <s v="http://www.imdb.com/title/tt0115472/?ref_=fn_tt_tt_1"/>
        <s v="http://www.imdb.com/title/tt0388980/?ref_=fn_tt_tt_1"/>
        <s v="http://www.imdb.com/title/tt0362478/?ref_=fn_tt_tt_1"/>
        <s v="http://www.imdb.com/title/tt0963794/?ref_=fn_tt_tt_1"/>
        <s v="http://www.imdb.com/title/tt0156841/?ref_=fn_tt_tt_1"/>
        <s v="http://www.imdb.com/title/tt0872230/?ref_=fn_tt_tt_1"/>
        <s v="http://www.imdb.com/title/tt0265208/?ref_=fn_tt_tt_1"/>
        <s v="http://www.imdb.com/title/tt0117011/?ref_=fn_tt_tt_1"/>
        <s v="http://www.imdb.com/title/tt0265808/?ref_=fn_tt_tt_1"/>
        <s v="http://www.imdb.com/title/tt3569230/?ref_=fn_tt_tt_1"/>
        <s v="http://www.imdb.com/title/tt0787475/?ref_=fn_tt_tt_1"/>
        <s v="http://www.imdb.com/title/tt1633356/?ref_=fn_tt_tt_1"/>
        <s v="http://www.imdb.com/title/tt0145653/?ref_=fn_tt_tt_1"/>
        <s v="http://www.imdb.com/title/tt2223990/?ref_=fn_tt_tt_1"/>
        <s v="http://www.imdb.com/title/tt0089489/?ref_=fn_tt_tt_1"/>
        <s v="http://www.imdb.com/title/tt0175058/?ref_=fn_tt_tt_1"/>
        <s v="http://www.imdb.com/title/tt0968264/?ref_=fn_tt_tt_1"/>
        <s v="http://www.imdb.com/title/tt0355702/?ref_=fn_tt_tt_1"/>
        <s v="http://www.imdb.com/title/tt2006295/?ref_=fn_tt_tt_1"/>
        <s v="http://www.imdb.com/title/tt0090728/?ref_=fn_tt_tt_1"/>
        <s v="http://www.imdb.com/title/tt1986843/?ref_=fn_tt_tt_1"/>
        <s v="http://www.imdb.com/title/tt1291584/?ref_=fn_tt_tt_1"/>
        <s v="http://www.imdb.com/title/tt0117039/?ref_=fn_tt_tt_1"/>
        <s v="http://www.imdb.com/title/tt0107007/?ref_=fn_tt_tt_1"/>
        <s v="http://www.imdb.com/title/tt0489281/?ref_=fn_tt_tt_1"/>
        <s v="http://www.imdb.com/title/tt0267248/?ref_=fn_tt_tt_1"/>
        <s v="http://www.imdb.com/title/tt0120620/?ref_=fn_tt_tt_1"/>
        <s v="http://www.imdb.com/title/tt0431021/?ref_=fn_tt_tt_1"/>
        <s v="http://www.imdb.com/title/tt0117104/?ref_=fn_tt_tt_1"/>
        <s v="http://www.imdb.com/title/tt0999913/?ref_=fn_tt_tt_1"/>
        <s v="http://www.imdb.com/title/tt0462338/?ref_=fn_tt_tt_1"/>
        <s v="http://www.imdb.com/title/tt0102984/?ref_=fn_tt_tt_1"/>
        <s v="http://www.imdb.com/title/tt0898367/?ref_=fn_tt_tt_1"/>
        <s v="http://www.imdb.com/title/tt0088103/?ref_=fn_tt_tt_1"/>
        <s v="http://www.imdb.com/title/tt0373416/?ref_=fn_tt_tt_1"/>
        <s v="http://www.imdb.com/title/tt0239949/?ref_=fn_tt_tt_1"/>
        <s v="http://www.imdb.com/title/tt0412080/?ref_=fn_tt_tt_1"/>
        <s v="http://www.imdb.com/title/tt0114614/?ref_=fn_tt_tt_1"/>
        <s v="http://www.imdb.com/title/tt0388183/?ref_=fn_tt_tt_1"/>
        <s v="http://www.imdb.com/title/tt0861689/?ref_=fn_tt_tt_1"/>
        <s v="http://www.imdb.com/title/tt0383222/?ref_=fn_tt_tt_1"/>
        <s v="http://www.imdb.com/title/tt1692486/?ref_=fn_tt_tt_1"/>
        <s v="http://www.imdb.com/title/tt0373450/?ref_=fn_tt_tt_1"/>
        <s v="http://www.imdb.com/title/tt1792647/?ref_=fn_tt_tt_1"/>
        <s v="http://www.imdb.com/title/tt0119934/?ref_=fn_tt_tt_1"/>
        <s v="http://www.imdb.com/title/tt1175506/?ref_=fn_tt_tt_1"/>
        <s v="http://www.imdb.com/title/tt1924396/?ref_=fn_tt_tt_1"/>
        <s v="http://www.imdb.com/title/tt1095217/?ref_=fn_tt_tt_1"/>
        <s v="http://www.imdb.com/title/tt1230204/?ref_=fn_tt_tt_1"/>
        <s v="http://www.imdb.com/title/tt1440232/?ref_=fn_tt_tt_1"/>
        <s v="http://www.imdb.com/title/tt1125929/?ref_=fn_tt_tt_1"/>
        <s v="http://www.imdb.com/title/tt1239462/?ref_=fn_tt_tt_1"/>
        <s v="http://www.imdb.com/title/tt1272051/?ref_=fn_tt_tt_1"/>
        <s v="http://www.imdb.com/title/tt2193215/?ref_=fn_tt_tt_1"/>
        <s v="http://www.imdb.com/title/tt1233301/?ref_=fn_tt_tt_1"/>
        <s v="http://www.imdb.com/title/tt0066549/?ref_=fn_tt_tt_1"/>
        <s v="http://www.imdb.com/title/tt2952602/?ref_=fn_tt_tt_1"/>
        <s v="http://www.imdb.com/title/tt1946381/?ref_=fn_tt_tt_1"/>
        <s v="http://www.imdb.com/title/tt0094947/?ref_=fn_tt_tt_1"/>
        <s v="http://www.imdb.com/title/tt0337692/?ref_=fn_tt_tt_1"/>
        <s v="http://www.imdb.com/title/tt0092007/?ref_=fn_tt_tt_1"/>
        <s v="http://www.imdb.com/title/tt0479143/?ref_=fn_tt_tt_1"/>
        <s v="http://www.imdb.com/title/tt0120082/?ref_=fn_tt_tt_1"/>
        <s v="http://www.imdb.com/title/tt2140037/?ref_=fn_tt_tt_1"/>
        <s v="http://www.imdb.com/title/tt2239832/?ref_=fn_tt_tt_1"/>
        <s v="http://www.imdb.com/title/tt0190138/?ref_=fn_tt_tt_1"/>
        <s v="http://www.imdb.com/title/tt0087277/?ref_=fn_tt_tt_1"/>
        <s v="http://www.imdb.com/title/tt0302886/?ref_=fn_tt_tt_1"/>
        <s v="http://www.imdb.com/title/tt0101889/?ref_=fn_tt_tt_1"/>
        <s v="http://www.imdb.com/title/tt0130018/?ref_=fn_tt_tt_1"/>
        <s v="http://www.imdb.com/title/tt0122459/?ref_=fn_tt_tt_1"/>
        <s v="http://www.imdb.com/title/tt1007028/?ref_=fn_tt_tt_1"/>
        <s v="http://www.imdb.com/title/tt0171580/?ref_=fn_tt_tt_1"/>
        <s v="http://www.imdb.com/title/tt1234548/?ref_=fn_tt_tt_1"/>
        <s v="http://www.imdb.com/title/tt0238948/?ref_=fn_tt_tt_1"/>
        <s v="http://www.imdb.com/title/tt0172493/?ref_=fn_tt_tt_1"/>
        <s v="http://www.imdb.com/title/tt0335559/?ref_=fn_tt_tt_1"/>
        <s v="http://www.imdb.com/title/tt0158811/?ref_=fn_tt_tt_1"/>
        <s v="http://www.imdb.com/title/tt0078504/?ref_=fn_tt_tt_1"/>
        <s v="http://www.imdb.com/title/tt0217756/?ref_=fn_tt_tt_1"/>
        <s v="http://www.imdb.com/title/tt0196857/?ref_=fn_tt_tt_1"/>
        <s v="http://www.imdb.com/title/tt1742650/?ref_=fn_tt_tt_1"/>
        <s v="http://www.imdb.com/title/tt0464154/?ref_=fn_tt_tt_1"/>
        <s v="http://www.imdb.com/title/tt0363473/?ref_=fn_tt_tt_1"/>
        <s v="http://www.imdb.com/title/tt0120645/?ref_=fn_tt_tt_1"/>
        <s v="http://www.imdb.com/title/tt0112389/?ref_=fn_tt_tt_1"/>
        <s v="http://www.imdb.com/title/tt0356443/?ref_=fn_tt_tt_1"/>
        <s v="http://www.imdb.com/title/tt1433108/?ref_=fn_tt_tt_1"/>
        <s v="http://www.imdb.com/title/tt0347149/?ref_=fn_tt_tt_1"/>
        <s v="http://www.imdb.com/title/tt1156398/?ref_=fn_tt_tt_1"/>
        <s v="http://www.imdb.com/title/tt0120484/?ref_=fn_tt_tt_1"/>
        <s v="http://www.imdb.com/title/tt0080684/?ref_=fn_tt_tt_1"/>
        <s v="http://www.imdb.com/title/tt0112442/?ref_=fn_tt_tt_1"/>
        <s v="http://www.imdb.com/title/tt0102510/?ref_=fn_tt_tt_1"/>
        <s v="http://www.imdb.com/title/tt0195714/?ref_=fn_tt_tt_1"/>
        <s v="http://www.imdb.com/title/tt1124035/?ref_=fn_tt_tt_1"/>
        <s v="http://www.imdb.com/title/tt0134847/?ref_=fn_tt_tt_1"/>
        <s v="http://www.imdb.com/title/tt0244970/?ref_=fn_tt_tt_1"/>
        <s v="http://www.imdb.com/title/tt1798709/?ref_=fn_tt_tt_1"/>
        <s v="http://www.imdb.com/title/tt0206314/?ref_=fn_tt_tt_1"/>
        <s v="http://www.imdb.com/title/tt1376213/?ref_=fn_tt_tt_1"/>
        <s v="http://www.imdb.com/title/tt0149691/?ref_=fn_tt_tt_1"/>
        <s v="http://www.imdb.com/title/tt0198386/?ref_=fn_tt_tt_1"/>
        <s v="http://www.imdb.com/title/tt1506999/?ref_=fn_tt_tt_1"/>
        <s v="http://www.imdb.com/title/tt0093300/?ref_=fn_tt_tt_1"/>
        <s v="http://www.imdb.com/title/tt0116999/?ref_=fn_tt_tt_1"/>
        <s v="http://www.imdb.com/title/tt1091751/?ref_=fn_tt_tt_1"/>
        <s v="http://www.imdb.com/title/tt0172396/?ref_=fn_tt_tt_1"/>
        <s v="http://www.imdb.com/title/tt0102005/?ref_=fn_tt_tt_1"/>
        <s v="http://www.imdb.com/title/tt0478134/?ref_=fn_tt_tt_1"/>
        <s v="http://www.imdb.com/title/tt1035736/?ref_=fn_tt_tt_1"/>
        <s v="http://www.imdb.com/title/tt2271563/?ref_=fn_tt_tt_1"/>
        <s v="http://www.imdb.com/title/tt1179258/?ref_=fn_tt_tt_1"/>
        <s v="http://www.imdb.com/title/tt2397255/?ref_=fn_tt_tt_1"/>
        <s v="http://www.imdb.com/title/tt0241025/?ref_=fn_tt_tt_1"/>
        <s v="http://www.imdb.com/title/tt1403130/?ref_=fn_tt_tt_1"/>
        <s v="http://www.imdb.com/title/tt0450385/?ref_=fn_tt_tt_1"/>
        <s v="http://www.imdb.com/title/tt0094012/?ref_=fn_tt_tt_1"/>
        <s v="http://www.imdb.com/title/tt3007512/?ref_=fn_tt_tt_1"/>
        <s v="http://www.imdb.com/title/tt0099653/?ref_=fn_tt_tt_1"/>
        <s v="http://www.imdb.com/title/tt0129387/?ref_=fn_tt_tt_1"/>
        <s v="http://www.imdb.com/title/tt0111070/?ref_=fn_tt_tt_1"/>
        <s v="http://www.imdb.com/title/tt0265662/?ref_=fn_tt_tt_1"/>
        <s v="http://www.imdb.com/title/tt0492956/?ref_=fn_tt_tt_1"/>
        <s v="http://www.imdb.com/title/tt0112579/?ref_=fn_tt_tt_1"/>
        <s v="http://www.imdb.com/title/tt0255798/?ref_=fn_tt_tt_1"/>
        <s v="http://www.imdb.com/title/tt0083987/?ref_=fn_tt_tt_1"/>
        <s v="http://www.imdb.com/title/tt2980648/?ref_=fn_tt_tt_1"/>
        <s v="http://www.imdb.com/title/tt0113957/?ref_=fn_tt_tt_1"/>
        <s v="http://www.imdb.com/title/tt0277027/?ref_=fn_tt_tt_1"/>
        <s v="http://www.imdb.com/title/tt3210686/?ref_=fn_tt_tt_1"/>
        <s v="http://www.imdb.com/title/tt0320691/?ref_=fn_tt_tt_1"/>
        <s v="http://www.imdb.com/title/tt0398017/?ref_=fn_tt_tt_1"/>
        <s v="http://www.imdb.com/title/tt1130080/?ref_=fn_tt_tt_1"/>
        <s v="http://www.imdb.com/title/tt0108101/?ref_=fn_tt_tt_1"/>
        <s v="http://www.imdb.com/title/tt0367652/?ref_=fn_tt_tt_1"/>
        <s v="http://www.imdb.com/title/tt2387559/?ref_=fn_tt_tt_1"/>
        <s v="http://www.imdb.com/title/tt1995390/?ref_=fn_tt_tt_1"/>
        <s v="http://www.imdb.com/title/tt0239948/?ref_=fn_tt_tt_1"/>
        <s v="http://www.imdb.com/title/tt2023453/?ref_=fn_tt_tt_1"/>
        <s v="http://www.imdb.com/title/tt0162677/?ref_=fn_tt_tt_1"/>
        <s v="http://www.imdb.com/title/tt0261392/?ref_=fn_tt_tt_1"/>
        <s v="http://www.imdb.com/title/tt0221218/?ref_=fn_tt_tt_1"/>
        <s v="http://www.imdb.com/title/tt0475290/?ref_=fn_tt_tt_1"/>
        <s v="http://www.imdb.com/title/tt0236348/?ref_=fn_tt_tt_1"/>
        <s v="http://www.imdb.com/title/tt2312718/?ref_=fn_tt_tt_1"/>
        <s v="http://www.imdb.com/title/tt0192255/?ref_=fn_tt_tt_1"/>
        <s v="http://www.imdb.com/title/tt0356721/?ref_=fn_tt_tt_1"/>
        <s v="http://www.imdb.com/title/tt0107978/?ref_=fn_tt_tt_1"/>
        <s v="http://www.imdb.com/title/tt0263728/?ref_=fn_tt_tt_1"/>
        <s v="http://www.imdb.com/title/tt0065611/?ref_=fn_tt_tt_1"/>
        <s v="http://www.imdb.com/title/tt0160236/?ref_=fn_tt_tt_1"/>
        <s v="http://www.imdb.com/title/tt2938956/?ref_=fn_tt_tt_1"/>
        <s v="http://www.imdb.com/title/tt0375920/?ref_=fn_tt_tt_1"/>
        <s v="http://www.imdb.com/title/tt0389557/?ref_=fn_tt_tt_1"/>
        <s v="http://www.imdb.com/title/tt0424205/?ref_=fn_tt_tt_1"/>
        <s v="http://www.imdb.com/title/tt2097307/?ref_=fn_tt_tt_1"/>
        <s v="http://www.imdb.com/title/tt0951216/?ref_=fn_tt_tt_1"/>
        <s v="http://www.imdb.com/title/tt1726592/?ref_=fn_tt_tt_1"/>
        <s v="http://www.imdb.com/title/tt0076740/?ref_=fn_tt_tt_1"/>
        <s v="http://www.imdb.com/title/tt1423995/?ref_=fn_tt_tt_1"/>
        <s v="http://www.imdb.com/title/tt0796335/?ref_=fn_tt_tt_1"/>
        <s v="http://www.imdb.com/title/tt1206543/?ref_=fn_tt_tt_1"/>
        <s v="http://www.imdb.com/title/tt0465538/?ref_=fn_tt_tt_1"/>
        <s v="http://www.imdb.com/title/tt0117119/?ref_=fn_tt_tt_1"/>
        <s v="http://www.imdb.com/title/tt0137363/?ref_=fn_tt_tt_1"/>
        <s v="http://www.imdb.com/title/tt1634003/?ref_=fn_tt_tt_1"/>
        <s v="http://www.imdb.com/title/tt1859650/?ref_=fn_tt_tt_1"/>
        <s v="http://www.imdb.com/title/tt0083943/?ref_=fn_tt_tt_1"/>
        <s v="http://www.imdb.com/title/tt0158983/?ref_=fn_tt_tt_1"/>
        <s v="http://www.imdb.com/title/tt0795368/?ref_=fn_tt_tt_1"/>
        <s v="http://www.imdb.com/title/tt0108308/?ref_=fn_tt_tt_1"/>
        <s v="http://www.imdb.com/title/tt0180734/?ref_=fn_tt_tt_1"/>
        <s v="http://www.imdb.com/title/tt1045658/?ref_=fn_tt_tt_1"/>
        <s v="http://www.imdb.com/title/tt0463998/?ref_=fn_tt_tt_1"/>
        <s v="http://www.imdb.com/title/tt1405500/?ref_=fn_tt_tt_1"/>
        <s v="http://www.imdb.com/title/tt0293662/?ref_=fn_tt_tt_1"/>
        <s v="http://www.imdb.com/title/tt1023111/?ref_=fn_tt_tt_1"/>
        <s v="http://www.imdb.com/title/tt0144814/?ref_=fn_tt_tt_1"/>
        <s v="http://www.imdb.com/title/tt0313038/?ref_=fn_tt_tt_1"/>
        <s v="http://www.imdb.com/title/tt1176740/?ref_=fn_tt_tt_1"/>
        <s v="http://www.imdb.com/title/tt1027862/?ref_=fn_tt_tt_1"/>
        <s v="http://www.imdb.com/title/tt0179098/?ref_=fn_tt_tt_1"/>
        <s v="http://www.imdb.com/title/tt1340800/?ref_=fn_tt_tt_1"/>
        <s v="http://www.imdb.com/title/tt0143746/?ref_=fn_tt_tt_1"/>
        <s v="http://www.imdb.com/title/tt1321860/?ref_=fn_tt_tt_1"/>
        <s v="http://www.imdb.com/title/tt0083642/?ref_=fn_tt_tt_1"/>
        <s v="http://www.imdb.com/title/tt0120907/?ref_=fn_tt_tt_1"/>
        <s v="http://www.imdb.com/title/tt0082971/?ref_=fn_tt_tt_1"/>
        <s v="http://www.imdb.com/title/tt0104431/?ref_=fn_tt_tt_1"/>
        <s v="http://www.imdb.com/title/tt0075860/?ref_=fn_tt_tt_1"/>
        <s v="http://www.imdb.com/title/tt0454919/?ref_=fn_tt_tt_1"/>
        <s v="http://www.imdb.com/title/tt0092644/?ref_=fn_tt_tt_1"/>
        <s v="http://www.imdb.com/title/tt0305669/?ref_=fn_tt_tt_1"/>
        <s v="http://www.imdb.com/title/tt0102926/?ref_=fn_tt_tt_1"/>
        <s v="http://www.imdb.com/title/tt0105793/?ref_=fn_tt_tt_1"/>
        <s v="http://www.imdb.com/title/tt1116184/?ref_=fn_tt_tt_1"/>
        <s v="http://www.imdb.com/title/tt0077766/?ref_=fn_tt_tt_1"/>
        <s v="http://www.imdb.com/title/tt1014775/?ref_=fn_tt_tt_1"/>
        <s v="http://www.imdb.com/title/tt1457767/?ref_=fn_tt_tt_1"/>
        <s v="http://www.imdb.com/title/tt0368578/?ref_=fn_tt_tt_1"/>
        <s v="http://www.imdb.com/title/tt2103254/?ref_=fn_tt_tt_1"/>
        <s v="http://www.imdb.com/title/tt0332379/?ref_=fn_tt_tt_1"/>
        <s v="http://www.imdb.com/title/tt0113855/?ref_=fn_tt_tt_1"/>
        <s v="http://www.imdb.com/title/tt0381707/?ref_=fn_tt_tt_1"/>
        <s v="http://www.imdb.com/title/tt1033575/?ref_=fn_tt_tt_1"/>
        <s v="http://www.imdb.com/title/tt0311289/?ref_=fn_tt_tt_1"/>
        <s v="http://www.imdb.com/title/tt1294226/?ref_=fn_tt_tt_1"/>
        <s v="http://www.imdb.com/title/tt2024544/?ref_=fn_tt_tt_1"/>
        <s v="http://www.imdb.com/title/tt0303933/?ref_=fn_tt_tt_1"/>
        <s v="http://www.imdb.com/title/tt1391137/?ref_=fn_tt_tt_1"/>
        <s v="http://www.imdb.com/title/tt0099487/?ref_=fn_tt_tt_1"/>
        <s v="http://www.imdb.com/title/tt2674426/?ref_=fn_tt_tt_1"/>
        <s v="http://www.imdb.com/title/tt2215285/?ref_=fn_tt_tt_1"/>
        <s v="http://www.imdb.com/title/tt0067116/?ref_=fn_tt_tt_1"/>
        <s v="http://www.imdb.com/title/tt4651520/?ref_=fn_tt_tt_1"/>
        <s v="http://www.imdb.com/title/tt0466342/?ref_=fn_tt_tt_1"/>
        <s v="http://www.imdb.com/title/tt0280030/?ref_=fn_tt_tt_1"/>
        <s v="http://www.imdb.com/title/tt1020072/?ref_=fn_tt_tt_1"/>
        <s v="http://www.imdb.com/title/tt0283426/?ref_=fn_tt_tt_1"/>
        <s v="http://www.imdb.com/title/tt0357507/?ref_=fn_tt_tt_1"/>
        <s v="http://www.imdb.com/title/tt0477071/?ref_=fn_tt_tt_1"/>
        <s v="http://www.imdb.com/title/tt0220099/?ref_=fn_tt_tt_1"/>
        <s v="http://www.imdb.com/title/tt1148204/?ref_=fn_tt_tt_1"/>
        <s v="http://www.imdb.com/title/tt3369806/?ref_=fn_tt_tt_1"/>
        <s v="http://www.imdb.com/title/tt1319598/?ref_=fn_tt_tt_1"/>
        <s v="http://www.imdb.com/title/tt0799949/?ref_=fn_tt_tt_1"/>
        <s v="http://www.imdb.com/title/tt1895587/?ref_=fn_tt_tt_1"/>
        <s v="http://www.imdb.com/title/tt0947802/?ref_=fn_tt_tt_1"/>
        <s v="http://www.imdb.com/title/tt0433386/?ref_=fn_tt_tt_1"/>
        <s v="http://www.imdb.com/title/tt0120703/?ref_=fn_tt_tt_1"/>
        <s v="http://www.imdb.com/title/tt0101452/?ref_=fn_tt_tt_1"/>
        <s v="http://www.imdb.com/title/tt0483726/?ref_=fn_tt_tt_1"/>
        <s v="http://www.imdb.com/title/tt0078869/?ref_=fn_tt_tt_1"/>
        <s v="http://www.imdb.com/title/tt1440728/?ref_=fn_tt_tt_1"/>
        <s v="http://www.imdb.com/title/tt0120094/?ref_=fn_tt_tt_1"/>
        <s v="http://www.imdb.com/title/tt1666186/?ref_=fn_tt_tt_1"/>
        <s v="http://www.imdb.com/title/tt0449467/?ref_=fn_tt_tt_1"/>
        <s v="http://www.imdb.com/title/tt1371150/?ref_=fn_tt_tt_1"/>
        <s v="http://www.imdb.com/title/tt0918927/?ref_=fn_tt_tt_1"/>
        <s v="http://www.imdb.com/title/tt0372588/?ref_=fn_tt_tt_1"/>
        <s v="http://www.imdb.com/title/tt1572315/?ref_=fn_tt_tt_1"/>
        <s v="http://www.imdb.com/title/tt0112722/?ref_=fn_tt_tt_1"/>
        <s v="http://www.imdb.com/title/tt0795461/?ref_=fn_tt_tt_1"/>
        <s v="http://www.imdb.com/title/tt0064782/?ref_=fn_tt_tt_1"/>
        <s v="http://www.imdb.com/title/tt1013753/?ref_=fn_tt_tt_1"/>
        <s v="http://www.imdb.com/title/tt3231054/?ref_=fn_tt_tt_1"/>
        <s v="http://www.imdb.com/title/tt0288477/?ref_=fn_tt_tt_1"/>
        <s v="http://www.imdb.com/title/tt1268799/?ref_=fn_tt_tt_1"/>
        <s v="http://www.imdb.com/title/tt0120890/?ref_=fn_tt_tt_1"/>
        <s v="http://www.imdb.com/title/tt0814335/?ref_=fn_tt_tt_1"/>
        <s v="http://www.imdb.com/title/tt1226753/?ref_=fn_tt_tt_1"/>
        <s v="http://www.imdb.com/title/tt0146882/?ref_=fn_tt_tt_1"/>
        <s v="http://www.imdb.com/title/tt0479968/?ref_=fn_tt_tt_1"/>
        <s v="http://www.imdb.com/title/tt0116260/?ref_=fn_tt_tt_1"/>
        <s v="http://www.imdb.com/title/tt0200465/?ref_=fn_tt_tt_1"/>
        <s v="http://www.imdb.com/title/tt0338013/?ref_=fn_tt_tt_1"/>
        <s v="http://www.imdb.com/title/tt1414382/?ref_=fn_tt_tt_1"/>
        <s v="http://www.imdb.com/title/tt0421073/?ref_=fn_tt_tt_1"/>
        <s v="http://www.imdb.com/title/tt1213663/?ref_=fn_tt_tt_1"/>
        <s v="http://www.imdb.com/title/tt0479500/?ref_=fn_tt_tt_1"/>
        <s v="http://www.imdb.com/title/tt0433362/?ref_=fn_tt_tt_1"/>
        <s v="http://www.imdb.com/title/tt0815236/?ref_=fn_tt_tt_1"/>
        <s v="http://www.imdb.com/title/tt1067774/?ref_=fn_tt_tt_1"/>
        <s v="http://www.imdb.com/title/tt0441796/?ref_=fn_tt_tt_1"/>
        <s v="http://www.imdb.com/title/tt0102744/?ref_=fn_tt_tt_1"/>
        <s v="http://www.imdb.com/title/tt1213012/?ref_=fn_tt_tt_1"/>
        <s v="http://www.imdb.com/title/tt0475944/?ref_=fn_tt_tt_1"/>
        <s v="http://www.imdb.com/title/tt0430634/?ref_=fn_tt_tt_1"/>
        <s v="http://www.imdb.com/title/tt1100119/?ref_=fn_tt_tt_1"/>
        <s v="http://www.imdb.com/title/tt0114681/?ref_=fn_tt_tt_1"/>
        <s v="http://www.imdb.com/title/tt3531824/?ref_=fn_tt_tt_1"/>
        <s v="http://www.imdb.com/title/tt0800308/?ref_=fn_tt_tt_1"/>
        <s v="http://www.imdb.com/title/tt0120877/?ref_=fn_tt_tt_1"/>
        <s v="http://www.imdb.com/title/tt0249327/?ref_=fn_tt_tt_1"/>
        <s v="http://www.imdb.com/title/tt0054215/?ref_=fn_tt_tt_1"/>
        <s v="http://www.imdb.com/title/tt1046163/?ref_=fn_tt_tt_1"/>
        <s v="http://www.imdb.com/title/tt2318092/?ref_=fn_tt_tt_1"/>
        <s v="http://www.imdb.com/title/tt0791304/?ref_=fn_tt_tt_1"/>
        <s v="http://www.imdb.com/title/tt0083254/?ref_=fn_tt_tt_1"/>
        <s v="http://www.imdb.com/title/tt0089457/?ref_=fn_tt_tt_1"/>
        <s v="http://www.imdb.com/title/tt0124879/?ref_=fn_tt_tt_1"/>
        <s v="http://www.imdb.com/title/tt0490204/?ref_=fn_tt_tt_1"/>
        <s v="http://www.imdb.com/title/tt0758758/?ref_=fn_tt_tt_1"/>
        <s v="http://www.imdb.com/title/tt0462519/?ref_=fn_tt_tt_1"/>
        <s v="http://www.imdb.com/title/tt0938330/?ref_=fn_tt_tt_1"/>
        <s v="http://www.imdb.com/title/tt0116367/?ref_=fn_tt_tt_1"/>
        <s v="http://www.imdb.com/title/tt0407121/?ref_=fn_tt_tt_1"/>
        <s v="http://www.imdb.com/title/tt0113321/?ref_=fn_tt_tt_1"/>
        <s v="http://www.imdb.com/title/tt0373074/?ref_=fn_tt_tt_1"/>
        <s v="http://www.imdb.com/title/tt0118315/?ref_=fn_tt_tt_1"/>
        <s v="http://www.imdb.com/title/tt0276033/?ref_=fn_tt_tt_1"/>
        <s v="http://www.imdb.com/title/tt0419887/?ref_=fn_tt_tt_1"/>
        <s v="http://www.imdb.com/title/tt0315733/?ref_=fn_tt_tt_1"/>
        <s v="http://www.imdb.com/title/tt0338325/?ref_=fn_tt_tt_1"/>
        <s v="http://www.imdb.com/title/tt0295289/?ref_=fn_tt_tt_1"/>
        <s v="http://www.imdb.com/title/tt0217630/?ref_=fn_tt_tt_1"/>
        <s v="http://www.imdb.com/title/tt1232207/?ref_=fn_tt_tt_1"/>
        <s v="http://www.imdb.com/title/tt0059245/?ref_=fn_tt_tt_1"/>
        <s v="http://www.imdb.com/title/tt1741273/?ref_=fn_tt_tt_1"/>
        <s v="http://www.imdb.com/title/tt1213644/?ref_=fn_tt_tt_1"/>
        <s v="http://www.imdb.com/title/tt0913354/?ref_=fn_tt_tt_1"/>
        <s v="http://www.imdb.com/title/tt0120483/?ref_=fn_tt_tt_1"/>
        <s v="http://www.imdb.com/title/tt0770703/?ref_=fn_tt_tt_1"/>
        <s v="http://www.imdb.com/title/tt1592525/?ref_=fn_tt_tt_1"/>
        <s v="http://www.imdb.com/title/tt0326856/?ref_=fn_tt_tt_1"/>
        <s v="http://www.imdb.com/title/tt1121931/?ref_=fn_tt_tt_1"/>
        <s v="http://www.imdb.com/title/tt0109348/?ref_=fn_tt_tt_1"/>
        <s v="http://www.imdb.com/title/tt0430431/?ref_=fn_tt_tt_1"/>
        <s v="http://www.imdb.com/title/tt0258068/?ref_=fn_tt_tt_1"/>
        <s v="http://www.imdb.com/title/tt0384680/?ref_=fn_tt_tt_1"/>
        <s v="http://www.imdb.com/title/tt0281322/?ref_=fn_tt_tt_1"/>
        <s v="http://www.imdb.com/title/tt0995039/?ref_=fn_tt_tt_1"/>
        <s v="http://www.imdb.com/title/tt1160368/?ref_=fn_tt_tt_1"/>
        <s v="http://www.imdb.com/title/tt1228987/?ref_=fn_tt_tt_1"/>
        <s v="http://www.imdb.com/title/tt0109015/?ref_=fn_tt_tt_1"/>
        <s v="http://www.imdb.com/title/tt0799934/?ref_=fn_tt_tt_1"/>
        <s v="http://www.imdb.com/title/tt0413015/?ref_=fn_tt_tt_1"/>
        <s v="http://www.imdb.com/title/tt1712261/?ref_=fn_tt_tt_1"/>
        <s v="http://www.imdb.com/title/tt0118954/?ref_=fn_tt_tt_1"/>
        <s v="http://www.imdb.com/title/tt0144640/?ref_=fn_tt_tt_1"/>
        <s v="http://www.imdb.com/title/tt2503944/?ref_=fn_tt_tt_1"/>
        <s v="http://www.imdb.com/title/tt0098625/?ref_=fn_tt_tt_1"/>
        <s v="http://www.imdb.com/title/tt0116242/?ref_=fn_tt_tt_1"/>
        <s v="http://www.imdb.com/title/tt0804461/?ref_=fn_tt_tt_1"/>
        <s v="http://www.imdb.com/title/tt0780511/?ref_=fn_tt_tt_1"/>
        <s v="http://www.imdb.com/title/tt0270846/?ref_=fn_tt_tt_1"/>
        <s v="http://www.imdb.com/title/tt0399327/?ref_=fn_tt_tt_1"/>
        <s v="http://www.imdb.com/title/tt0462229/?ref_=fn_tt_tt_1"/>
        <s v="http://www.imdb.com/title/tt0345074/?ref_=fn_tt_tt_1"/>
        <s v="http://www.imdb.com/title/tt0065054/?ref_=fn_tt_tt_1"/>
        <s v="http://www.imdb.com/title/tt1791528/?ref_=fn_tt_tt_1"/>
        <s v="http://www.imdb.com/title/tt0763304/?ref_=fn_tt_tt_1"/>
        <s v="http://www.imdb.com/title/tt1532958/?ref_=fn_tt_tt_1"/>
        <s v="http://www.imdb.com/title/tt1714204/?ref_=fn_tt_tt_1"/>
        <s v="http://www.imdb.com/title/tt1190617/?ref_=fn_tt_tt_1"/>
        <s v="http://www.imdb.com/title/tt2002718/?ref_=fn_tt_tt_1"/>
        <s v="http://www.imdb.com/title/tt0310357/?ref_=fn_tt_tt_1"/>
        <s v="http://www.imdb.com/title/tt0489282/?ref_=fn_tt_tt_1"/>
        <s v="http://www.imdb.com/title/tt0151568/?ref_=fn_tt_tt_1"/>
        <s v="http://www.imdb.com/title/tt1810683/?ref_=fn_tt_tt_1"/>
        <s v="http://www.imdb.com/title/tt1571222/?ref_=fn_tt_tt_1"/>
        <s v="http://www.imdb.com/title/tt0405296/?ref_=fn_tt_tt_1"/>
        <s v="http://www.imdb.com/title/tt1629757/?ref_=fn_tt_tt_1"/>
        <s v="http://www.imdb.com/title/tt0369226/?ref_=fn_tt_tt_1"/>
        <s v="http://www.imdb.com/title/tt0976222/?ref_=fn_tt_tt_1"/>
        <s v="http://www.imdb.com/title/tt0337876/?ref_=fn_tt_tt_1"/>
        <s v="http://www.imdb.com/title/tt2937898/?ref_=fn_tt_tt_1"/>
        <s v="http://www.imdb.com/title/tt1092082/?ref_=fn_tt_tt_1"/>
        <s v="http://www.imdb.com/title/tt1054588/?ref_=fn_tt_tt_1"/>
        <s v="http://www.imdb.com/title/tt0368794/?ref_=fn_tt_tt_1"/>
        <s v="http://www.imdb.com/title/tt1366365/?ref_=fn_tt_tt_1"/>
        <s v="http://www.imdb.com/title/tt0844286/?ref_=fn_tt_tt_1"/>
        <s v="http://www.imdb.com/title/tt0383028/?ref_=fn_tt_tt_1"/>
        <s v="http://www.imdb.com/title/tt0119698/?ref_=fn_tt_tt_1"/>
        <s v="http://www.imdb.com/title/tt0310778/?ref_=fn_tt_tt_1"/>
        <s v="http://www.imdb.com/title/tt0080492/?ref_=fn_tt_tt_1"/>
        <s v="http://www.imdb.com/title/tt0421238/?ref_=fn_tt_tt_1"/>
        <s v="http://www.imdb.com/title/tt3719896/?ref_=fn_tt_tt_1"/>
        <s v="http://www.imdb.com/title/tt0266747/?ref_=fn_tt_tt_1"/>
        <s v="http://www.imdb.com/title/tt0238380/?ref_=fn_tt_tt_1"/>
        <s v="http://www.imdb.com/title/tt0889588/?ref_=fn_tt_tt_1"/>
        <s v="http://www.imdb.com/title/tt0138946/?ref_=fn_tt_tt_1"/>
        <s v="http://www.imdb.com/title/tt1520498/?ref_=fn_tt_tt_1"/>
        <s v="http://www.imdb.com/title/tt3707106/?ref_=fn_tt_tt_1"/>
        <s v="http://www.imdb.com/title/tt0348121/?ref_=fn_tt_tt_1"/>
        <s v="http://www.imdb.com/title/tt0354595/?ref_=fn_tt_tt_1"/>
        <s v="http://www.imdb.com/title/tt1175709/?ref_=fn_tt_tt_1"/>
        <s v="http://www.imdb.com/title/tt0110944/?ref_=fn_tt_tt_1"/>
        <s v="http://www.imdb.com/title/tt0940709/?ref_=fn_tt_tt_1"/>
        <s v="http://www.imdb.com/title/tt0120882/?ref_=fn_tt_tt_1"/>
        <s v="http://www.imdb.com/title/tt1013860/?ref_=fn_tt_tt_1"/>
        <s v="http://www.imdb.com/title/tt0274711/?ref_=fn_tt_tt_1"/>
        <s v="http://www.imdb.com/title/tt0166038/?ref_=fn_tt_tt_1"/>
        <s v="http://www.imdb.com/title/tt1274300/?ref_=fn_tt_tt_1"/>
        <s v="http://www.imdb.com/title/tt3319920/?ref_=fn_tt_tt_1"/>
        <s v="http://www.imdb.com/title/tt1128219/?ref_=fn_tt_tt_1"/>
        <s v="http://www.imdb.com/title/tt0882978/?ref_=fn_tt_tt_1"/>
        <s v="http://www.imdb.com/title/tt0489664/?ref_=fn_tt_tt_1"/>
        <s v="http://www.imdb.com/title/tt1488181/?ref_=fn_tt_tt_1"/>
        <s v="http://www.imdb.com/title/tt3037162/?ref_=fn_tt_tt_1"/>
        <s v="http://www.imdb.com/title/tt1134666/?ref_=fn_tt_tt_1"/>
        <s v="http://www.imdb.com/title/tt1781827/?ref_=fn_tt_tt_1"/>
        <s v="http://www.imdb.com/title/tt3247714/?ref_=fn_tt_tt_1"/>
        <s v="http://www.imdb.com/title/tt2005374/?ref_=fn_tt_tt_1"/>
        <s v="http://www.imdb.com/title/tt0446755/?ref_=fn_tt_tt_1"/>
        <s v="http://www.imdb.com/title/tt0765432/?ref_=fn_tt_tt_1"/>
        <s v="http://www.imdb.com/title/tt0099348/?ref_=fn_tt_tt_1"/>
        <s v="http://www.imdb.com/title/tt1284575/?ref_=fn_tt_tt_1"/>
        <s v="http://www.imdb.com/title/tt0098273/?ref_=fn_tt_tt_1"/>
        <s v="http://www.imdb.com/title/tt0356470/?ref_=fn_tt_tt_1"/>
        <s v="http://www.imdb.com/title/tt0117571/?ref_=fn_tt_tt_1"/>
        <s v="http://www.imdb.com/title/tt0245674/?ref_=fn_tt_tt_1"/>
        <s v="http://www.imdb.com/title/tt0081505/?ref_=fn_tt_tt_1"/>
        <s v="http://www.imdb.com/title/tt0088763/?ref_=fn_tt_tt_1"/>
        <s v="http://www.imdb.com/title/tt0185371/?ref_=fn_tt_tt_1"/>
        <s v="http://www.imdb.com/title/tt1385912/?ref_=fn_tt_tt_1"/>
        <s v="http://www.imdb.com/title/tt4280822/?ref_=fn_tt_tt_1"/>
        <s v="http://www.imdb.com/title/tt0889573/?ref_=fn_tt_tt_1"/>
        <s v="http://www.imdb.com/title/tt0305711/?ref_=fn_tt_tt_1"/>
        <s v="http://www.imdb.com/title/tt1270262/?ref_=fn_tt_tt_1"/>
        <s v="http://www.imdb.com/title/tt1697237/?ref_=fn_tt_tt_1"/>
        <s v="http://www.imdb.com/title/tt0205461/?ref_=fn_tt_tt_1"/>
        <s v="http://www.imdb.com/title/tt0455407/?ref_=fn_tt_tt_1"/>
        <s v="http://www.imdb.com/title/tt0245429/?ref_=fn_tt_tt_1"/>
        <s v="http://www.imdb.com/title/tt3341072/?ref_=fn_tt_tt_1"/>
        <s v="http://www.imdb.com/title/tt0086993/?ref_=fn_tt_tt_1"/>
        <s v="http://www.imdb.com/title/tt0816442/?ref_=fn_tt_tt_1"/>
        <s v="http://www.imdb.com/title/tt1135985/?ref_=fn_tt_tt_1"/>
        <s v="http://www.imdb.com/title/tt1216492/?ref_=fn_tt_tt_1"/>
        <s v="http://www.imdb.com/title/tt0058085/?ref_=fn_tt_tt_1"/>
        <s v="http://www.imdb.com/title/tt0810922/?ref_=fn_tt_tt_1"/>
        <s v="http://www.imdb.com/title/tt1870529/?ref_=fn_tt_tt_1"/>
        <s v="http://www.imdb.com/title/tt0107719/?ref_=fn_tt_tt_1"/>
        <s v="http://www.imdb.com/title/tt0116745/?ref_=fn_tt_tt_1"/>
        <s v="http://www.imdb.com/title/tt4193394/?ref_=fn_tt_tt_1"/>
        <s v="http://www.imdb.com/title/tt0384806/?ref_=fn_tt_tt_1"/>
        <s v="http://www.imdb.com/title/tt0268126/?ref_=fn_tt_tt_1"/>
        <s v="http://www.imdb.com/title/tt0418819/?ref_=fn_tt_tt_1"/>
        <s v="http://www.imdb.com/title/tt2957680/?ref_=fn_tt_tt_1"/>
        <s v="http://www.imdb.com/title/tt0120669/?ref_=fn_tt_tt_1"/>
        <s v="http://www.imdb.com/title/tt1058017/?ref_=fn_tt_tt_1"/>
        <s v="http://www.imdb.com/title/tt2004420/?ref_=fn_tt_tt_1"/>
        <s v="http://www.imdb.com/title/tt0110475/?ref_=fn_tt_tt_1"/>
        <s v="http://www.imdb.com/title/tt0094737/?ref_=fn_tt_tt_1"/>
        <s v="http://www.imdb.com/title/tt0443453/?ref_=fn_tt_tt_1"/>
        <s v="http://www.imdb.com/title/tt0250494/?ref_=fn_tt_tt_1"/>
        <s v="http://www.imdb.com/title/tt0088170/?ref_=fn_tt_tt_1"/>
        <s v="http://www.imdb.com/title/tt0404032/?ref_=fn_tt_tt_1"/>
        <s v="http://www.imdb.com/title/tt0205000/?ref_=fn_tt_tt_1"/>
        <s v="http://www.imdb.com/title/tt2467046/?ref_=fn_tt_tt_1"/>
        <s v="http://www.imdb.com/title/tt0356680/?ref_=fn_tt_tt_1"/>
        <s v="http://www.imdb.com/title/tt0337579/?ref_=fn_tt_tt_1"/>
        <s v="http://www.imdb.com/title/tt0307987/?ref_=fn_tt_tt_1"/>
        <s v="http://www.imdb.com/title/tt0118655/?ref_=fn_tt_tt_1"/>
        <s v="http://www.imdb.com/title/tt3760922/?ref_=fn_tt_tt_1"/>
        <s v="http://www.imdb.com/title/tt1650043/?ref_=fn_tt_tt_1"/>
        <s v="http://www.imdb.com/title/tt0093773/?ref_=fn_tt_tt_1"/>
        <s v="http://www.imdb.com/title/tt0086879/?ref_=fn_tt_tt_1"/>
        <s v="http://www.imdb.com/title/tt0926129/?ref_=fn_tt_tt_1"/>
        <s v="http://www.imdb.com/title/tt0377092/?ref_=fn_tt_tt_1"/>
        <s v="http://www.imdb.com/title/tt0328589/?ref_=fn_tt_tt_1"/>
        <s v="http://www.imdb.com/title/tt0280707/?ref_=fn_tt_tt_1"/>
        <s v="http://www.imdb.com/title/tt0362359/?ref_=fn_tt_tt_1"/>
        <s v="http://www.imdb.com/title/tt0091738/?ref_=fn_tt_tt_1"/>
        <s v="http://www.imdb.com/title/tt2562232/?ref_=fn_tt_tt_1"/>
        <s v="http://www.imdb.com/title/tt2334873/?ref_=fn_tt_tt_1"/>
        <s v="http://www.imdb.com/title/tt0475276/?ref_=fn_tt_tt_1"/>
        <s v="http://www.imdb.com/title/tt0322589/?ref_=fn_tt_tt_1"/>
        <s v="http://www.imdb.com/title/tt0117723/?ref_=fn_tt_tt_1"/>
        <s v="http://www.imdb.com/title/tt0080749/?ref_=fn_tt_tt_1"/>
        <s v="http://www.imdb.com/title/tt1596346/?ref_=fn_tt_tt_1"/>
        <s v="http://www.imdb.com/title/tt0065528/?ref_=fn_tt_tt_1"/>
        <s v="http://www.imdb.com/title/tt1197628/?ref_=fn_tt_tt_1"/>
        <s v="http://www.imdb.com/title/tt0087078/?ref_=fn_tt_tt_1"/>
        <s v="http://www.imdb.com/title/tt0081398/?ref_=fn_tt_tt_1"/>
        <s v="http://www.imdb.com/title/tt0899106/?ref_=fn_tt_tt_1"/>
        <s v="http://www.imdb.com/title/tt0090357/?ref_=fn_tt_tt_1"/>
        <s v="http://www.imdb.com/title/tt1016075/?ref_=fn_tt_tt_1"/>
        <s v="http://www.imdb.com/title/tt1542344/?ref_=fn_tt_tt_1"/>
        <s v="http://www.imdb.com/title/tt0196216/?ref_=fn_tt_tt_1"/>
        <s v="http://www.imdb.com/title/tt0210616/?ref_=fn_tt_tt_1"/>
        <s v="http://www.imdb.com/title/tt2279339/?ref_=fn_tt_tt_1"/>
        <s v="http://www.imdb.com/title/tt0337917/?ref_=fn_tt_tt_1"/>
        <s v="http://www.imdb.com/title/tt0264796/?ref_=fn_tt_tt_1"/>
        <s v="http://www.imdb.com/title/tt2080374/?ref_=fn_tt_tt_1"/>
        <s v="http://www.imdb.com/title/tt1032815/?ref_=fn_tt_tt_1"/>
        <s v="http://www.imdb.com/title/tt0403702/?ref_=fn_tt_tt_1"/>
        <s v="http://www.imdb.com/title/tt0082648/?ref_=fn_tt_tt_1"/>
        <s v="http://www.imdb.com/title/tt0236784/?ref_=fn_tt_tt_1"/>
        <s v="http://www.imdb.com/title/tt0082085/?ref_=fn_tt_tt_1"/>
        <s v="http://www.imdb.com/title/tt2167202/?ref_=fn_tt_tt_1"/>
        <s v="http://www.imdb.com/title/tt0119349/?ref_=fn_tt_tt_1"/>
        <s v="http://www.imdb.com/title/tt2465146/?ref_=fn_tt_tt_1"/>
        <s v="http://www.imdb.com/title/tt0098519/?ref_=fn_tt_tt_1"/>
        <s v="http://www.imdb.com/title/tt0340012/?ref_=fn_tt_tt_1"/>
        <s v="http://www.imdb.com/title/tt0091635/?ref_=fn_tt_tt_1"/>
        <s v="http://www.imdb.com/title/tt0082288/?ref_=fn_tt_tt_1"/>
        <s v="http://www.imdb.com/title/tt0824758/?ref_=fn_tt_tt_1"/>
        <s v="http://www.imdb.com/title/tt0109707/?ref_=fn_tt_tt_1"/>
        <s v="http://www.imdb.com/title/tt1967545/?ref_=fn_tt_tt_1"/>
        <s v="http://www.imdb.com/title/tt0416044/?ref_=fn_tt_tt_1"/>
        <s v="http://www.imdb.com/title/tt1032755/?ref_=fn_tt_tt_1"/>
        <s v="http://www.imdb.com/title/tt0084316/?ref_=fn_tt_tt_1"/>
        <s v="http://www.imdb.com/title/tt0116477/?ref_=fn_tt_tt_1"/>
        <s v="http://www.imdb.com/title/tt1071812/?ref_=fn_tt_tt_1"/>
        <s v="http://www.imdb.com/title/tt2649554/?ref_=fn_tt_tt_1"/>
        <s v="http://www.imdb.com/title/tt0313792/?ref_=fn_tt_tt_1"/>
        <s v="http://www.imdb.com/title/tt2058107/?ref_=fn_tt_tt_1"/>
        <s v="http://www.imdb.com/title/tt1842530/?ref_=fn_tt_tt_1"/>
        <s v="http://www.imdb.com/title/tt1149362/?ref_=fn_tt_tt_1"/>
        <s v="http://www.imdb.com/title/tt4517738/?ref_=fn_tt_tt_1"/>
        <s v="http://www.imdb.com/title/tt0092240/?ref_=fn_tt_tt_1"/>
        <s v="http://www.imdb.com/title/tt0235737/?ref_=fn_tt_tt_1"/>
        <s v="http://www.imdb.com/title/tt2172935/?ref_=fn_tt_tt_1"/>
        <s v="http://www.imdb.com/title/tt0865554/?ref_=fn_tt_tt_1"/>
        <s v="http://www.imdb.com/title/tt1321865/?ref_=fn_tt_tt_1"/>
        <s v="http://www.imdb.com/title/tt1024744/?ref_=fn_tt_tt_1"/>
        <s v="http://www.imdb.com/title/tt0120775/?ref_=fn_tt_tt_1"/>
        <s v="http://www.imdb.com/title/tt0088993/?ref_=fn_tt_tt_1"/>
        <s v="http://www.imdb.com/title/tt3212232/?ref_=fn_tt_tt_1"/>
        <s v="http://www.imdb.com/title/tt0386741/?ref_=fn_tt_tt_1"/>
        <s v="http://www.imdb.com/title/tt0089893/?ref_=fn_tt_tt_1"/>
        <s v="http://www.imdb.com/title/tt1748179/?ref_=fn_tt_tt_1"/>
        <s v="http://www.imdb.com/title/tt0829482/?ref_=fn_tt_tt_1"/>
        <s v="http://www.imdb.com/title/tt1142800/?ref_=fn_tt_tt_1"/>
        <s v="http://www.imdb.com/title/tt1403241/?ref_=fn_tt_tt_1"/>
        <s v="http://www.imdb.com/title/tt1023481/?ref_=fn_tt_tt_1"/>
        <s v="http://www.imdb.com/title/tt0443536/?ref_=fn_tt_tt_1"/>
        <s v="http://www.imdb.com/title/tt0395169/?ref_=fn_tt_tt_1"/>
        <s v="http://www.imdb.com/title/tt0465494/?ref_=fn_tt_tt_1"/>
        <s v="http://www.imdb.com/title/tt1425922/?ref_=fn_tt_tt_1"/>
        <s v="http://www.imdb.com/title/tt1085492/?ref_=fn_tt_tt_1"/>
        <s v="http://www.imdb.com/title/tt0164003/?ref_=fn_tt_tt_1"/>
        <s v="http://www.imdb.com/title/tt0230600/?ref_=fn_tt_tt_1"/>
        <s v="http://www.imdb.com/title/tt0090605/?ref_=fn_tt_tt_1"/>
        <s v="http://www.imdb.com/title/tt0058385/?ref_=fn_tt_tt_1"/>
        <s v="http://www.imdb.com/title/tt0119345/?ref_=fn_tt_tt_1"/>
        <s v="http://www.imdb.com/title/tt1924435/?ref_=fn_tt_tt_1"/>
        <s v="http://www.imdb.com/title/tt0375063/?ref_=fn_tt_tt_1"/>
        <s v="http://www.imdb.com/title/tt0486551/?ref_=fn_tt_tt_1"/>
        <s v="http://www.imdb.com/title/tt0077651/?ref_=fn_tt_tt_1"/>
        <s v="http://www.imdb.com/title/tt0326900/?ref_=fn_tt_tt_1"/>
        <s v="http://www.imdb.com/title/tt2083355/?ref_=fn_tt_tt_1"/>
        <s v="http://www.imdb.com/title/tt0475394/?ref_=fn_tt_tt_1"/>
        <s v="http://www.imdb.com/title/tt1477076/?ref_=fn_tt_tt_1"/>
        <s v="http://www.imdb.com/title/tt0243736/?ref_=fn_tt_tt_1"/>
        <s v="http://www.imdb.com/title/tt0120770/?ref_=fn_tt_tt_1"/>
        <s v="http://www.imdb.com/title/tt1152398/?ref_=fn_tt_tt_1"/>
        <s v="http://www.imdb.com/title/tt0454841/?ref_=fn_tt_tt_1"/>
        <s v="http://www.imdb.com/title/tt0325258/?ref_=fn_tt_tt_1"/>
        <s v="http://www.imdb.com/title/tt2097298/?ref_=fn_tt_tt_1"/>
        <s v="http://www.imdb.com/title/tt0979434/?ref_=fn_tt_tt_1"/>
        <s v="http://www.imdb.com/title/tt0466856/?ref_=fn_tt_tt_1"/>
        <s v="http://www.imdb.com/title/tt1981677/?ref_=fn_tt_tt_1"/>
        <s v="http://www.imdb.com/title/tt0234829/?ref_=fn_tt_tt_1"/>
        <s v="http://www.imdb.com/title/tt0120324/?ref_=fn_tt_tt_1"/>
        <s v="http://www.imdb.com/title/tt0283632/?ref_=fn_tt_tt_1"/>
        <s v="http://www.imdb.com/title/tt0462395/?ref_=fn_tt_tt_1"/>
        <s v="http://www.imdb.com/title/tt0159421/?ref_=fn_tt_tt_1"/>
        <s v="http://www.imdb.com/title/tt1210042/?ref_=fn_tt_tt_1"/>
        <s v="http://www.imdb.com/title/tt0056800/?ref_=fn_tt_tt_1"/>
        <s v="http://www.imdb.com/title/tt1288558/?ref_=fn_tt_tt_1"/>
        <s v="http://www.imdb.com/title/tt0865559/?ref_=fn_tt_tt_1"/>
        <s v="http://www.imdb.com/title/tt0465142/?ref_=fn_tt_tt_1"/>
        <s v="http://www.imdb.com/title/tt0094074/?ref_=fn_tt_tt_1"/>
        <s v="http://www.imdb.com/title/tt0770810/?ref_=fn_tt_tt_1"/>
        <s v="http://www.imdb.com/title/tt0404390/?ref_=fn_tt_tt_1"/>
        <s v="http://www.imdb.com/title/tt0375104/?ref_=fn_tt_tt_1"/>
        <s v="http://www.imdb.com/title/tt0091934/?ref_=fn_tt_tt_1"/>
        <s v="http://www.imdb.com/title/tt0443543/?ref_=fn_tt_tt_1"/>
        <s v="http://www.imdb.com/title/tt0083001/?ref_=fn_tt_tt_1"/>
        <s v="http://www.imdb.com/title/tt0312549/?ref_=fn_tt_tt_1"/>
        <s v="http://www.imdb.com/title/tt2515030/?ref_=fn_tt_tt_1"/>
        <s v="http://www.imdb.com/title/tt0405336/?ref_=fn_tt_tt_1"/>
        <s v="http://www.imdb.com/title/tt0944834/?ref_=fn_tt_tt_1"/>
        <s v="http://www.imdb.com/title/tt0075909/?ref_=fn_tt_tt_1"/>
        <s v="http://www.imdb.com/title/tt1433822/?ref_=fn_tt_tt_1"/>
        <s v="http://www.imdb.com/title/tt0102492/?ref_=fn_tt_tt_1"/>
        <s v="http://www.imdb.com/title/tt0422295/?ref_=fn_tt_tt_1"/>
        <s v="http://www.imdb.com/title/tt0094291/?ref_=fn_tt_tt_1"/>
        <s v="http://www.imdb.com/title/tt0114388/?ref_=fn_tt_tt_1"/>
        <s v="http://www.imdb.com/title/tt0416508/?ref_=fn_tt_tt_1"/>
        <s v="http://www.imdb.com/title/tt0815244/?ref_=fn_tt_tt_1"/>
        <s v="http://www.imdb.com/title/tt0315983/?ref_=fn_tt_tt_1"/>
        <s v="http://www.imdb.com/title/tt0097165/?ref_=fn_tt_tt_1"/>
        <s v="http://www.imdb.com/title/tt0109686/?ref_=fn_tt_tt_1"/>
        <s v="http://www.imdb.com/title/tt0098635/?ref_=fn_tt_tt_1"/>
        <s v="http://www.imdb.com/title/tt0084855/?ref_=fn_tt_tt_1"/>
        <s v="http://www.imdb.com/title/tt0215129/?ref_=fn_tt_tt_1"/>
        <s v="http://www.imdb.com/title/tt0139699/?ref_=fn_tt_tt_1"/>
        <s v="http://www.imdb.com/title/tt1655442/?ref_=fn_tt_tt_1"/>
        <s v="http://www.imdb.com/title/tt1139668/?ref_=fn_tt_tt_1"/>
        <s v="http://www.imdb.com/title/tt1748122/?ref_=fn_tt_tt_1"/>
        <s v="http://www.imdb.com/title/tt0420294/?ref_=fn_tt_tt_1"/>
        <s v="http://www.imdb.com/title/tt1002563/?ref_=fn_tt_tt_1"/>
        <s v="http://www.imdb.com/title/tt0295427/?ref_=fn_tt_tt_1"/>
        <s v="http://www.imdb.com/title/tt0457430/?ref_=fn_tt_tt_1"/>
        <s v="http://www.imdb.com/title/tt3513704/?ref_=fn_tt_tt_1"/>
        <s v="http://www.imdb.com/title/tt0250720/?ref_=fn_tt_tt_1"/>
        <s v="http://www.imdb.com/title/tt0255819/?ref_=fn_tt_tt_1"/>
        <s v="http://www.imdb.com/title/tt1265990/?ref_=fn_tt_tt_1"/>
        <s v="http://www.imdb.com/title/tt0245686/?ref_=fn_tt_tt_1"/>
        <s v="http://www.imdb.com/title/tt0101764/?ref_=fn_tt_tt_1"/>
        <s v="http://www.imdb.com/title/tt0425112/?ref_=fn_tt_tt_1"/>
        <s v="http://www.imdb.com/title/tt0430770/?ref_=fn_tt_tt_1"/>
        <s v="http://www.imdb.com/title/tt0497465/?ref_=fn_tt_tt_1"/>
        <s v="http://www.imdb.com/title/tt0837106/?ref_=fn_tt_tt_1"/>
        <s v="http://www.imdb.com/title/tt0204175/?ref_=fn_tt_tt_1"/>
        <s v="http://www.imdb.com/title/tt0283139/?ref_=fn_tt_tt_1"/>
        <s v="http://www.imdb.com/title/tt1131734/?ref_=fn_tt_tt_1"/>
        <s v="http://www.imdb.com/title/tt0186045/?ref_=fn_tt_tt_1"/>
        <s v="http://www.imdb.com/title/tt0093818/?ref_=fn_tt_tt_1"/>
        <s v="http://www.imdb.com/title/tt1403981/?ref_=fn_tt_tt_1"/>
        <s v="http://www.imdb.com/title/tt0319524/?ref_=fn_tt_tt_1"/>
        <s v="http://www.imdb.com/title/tt0095687/?ref_=fn_tt_tt_1"/>
        <s v="http://www.imdb.com/title/tt0107818/?ref_=fn_tt_tt_1"/>
        <s v="http://www.imdb.com/title/tt0139809/?ref_=fn_tt_tt_1"/>
        <s v="http://www.imdb.com/title/tt0380277/?ref_=fn_tt_tt_1"/>
        <s v="http://www.imdb.com/title/tt0079550/?ref_=fn_tt_tt_1"/>
        <s v="http://www.imdb.com/title/tt0134630/?ref_=fn_tt_tt_1"/>
        <s v="http://www.imdb.com/title/tt0278823/?ref_=fn_tt_tt_1"/>
        <s v="http://www.imdb.com/title/tt0165710/?ref_=fn_tt_tt_1"/>
        <s v="http://www.imdb.com/title/tt0091203/?ref_=fn_tt_tt_1"/>
        <s v="http://www.imdb.com/title/tt0469623/?ref_=fn_tt_tt_1"/>
        <s v="http://www.imdb.com/title/tt0120207/?ref_=fn_tt_tt_1"/>
        <s v="http://www.imdb.com/title/tt1951181/?ref_=fn_tt_tt_1"/>
        <s v="http://www.imdb.com/title/tt0384686/?ref_=fn_tt_tt_1"/>
        <s v="http://www.imdb.com/title/tt1924429/?ref_=fn_tt_tt_1"/>
        <s v="http://www.imdb.com/title/tt0367085/?ref_=fn_tt_tt_1"/>
        <s v="http://www.imdb.com/title/tt1064932/?ref_=fn_tt_tt_1"/>
        <s v="http://www.imdb.com/title/tt0436364/?ref_=fn_tt_tt_1"/>
        <s v="http://www.imdb.com/title/tt1191111/?ref_=fn_tt_tt_1"/>
        <s v="http://www.imdb.com/title/tt1545106/?ref_=fn_tt_tt_1"/>
        <s v="http://www.imdb.com/title/tt1028532/?ref_=fn_tt_tt_1"/>
        <s v="http://www.imdb.com/title/tt2249221/?ref_=fn_tt_tt_1"/>
        <s v="http://www.imdb.com/title/tt2398231/?ref_=fn_tt_tt_1"/>
        <s v="http://www.imdb.com/title/tt0247444/?ref_=fn_tt_tt_1"/>
        <s v="http://www.imdb.com/title/tt1958961/?ref_=fn_tt_tt_1"/>
        <s v="http://www.imdb.com/title/tt0273435/?ref_=fn_tt_tt_1"/>
        <s v="http://www.imdb.com/title/tt0206113/?ref_=fn_tt_tt_1"/>
        <s v="http://www.imdb.com/title/tt0376196/?ref_=fn_tt_tt_1"/>
        <s v="http://www.imdb.com/title/tt0281364/?ref_=fn_tt_tt_1"/>
        <s v="http://www.imdb.com/title/tt0439815/?ref_=fn_tt_tt_1"/>
        <s v="http://www.imdb.com/title/tt0086960/?ref_=fn_tt_tt_1"/>
        <s v="http://www.imdb.com/title/tt0099785/?ref_=fn_tt_tt_1"/>
        <s v="http://www.imdb.com/title/tt0094137/?ref_=fn_tt_tt_1"/>
        <s v="http://www.imdb.com/title/tt0084805/?ref_=fn_tt_tt_1"/>
        <s v="http://www.imdb.com/title/tt0092099/?ref_=fn_tt_tt_1"/>
        <s v="http://www.imdb.com/title/tt0190332/?ref_=fn_tt_tt_1"/>
        <s v="http://www.imdb.com/title/tt0169547/?ref_=fn_tt_tt_1"/>
        <s v="http://www.imdb.com/title/tt1504320/?ref_=fn_tt_tt_1"/>
        <s v="http://www.imdb.com/title/tt0096320/?ref_=fn_tt_tt_1"/>
        <s v="http://www.imdb.com/title/tt3921180/?ref_=fn_tt_tt_1"/>
        <s v="http://www.imdb.com/title/tt0954990/?ref_=fn_tt_tt_1"/>
        <s v="http://www.imdb.com/title/tt0088939/?ref_=fn_tt_tt_1"/>
        <s v="http://www.imdb.com/title/tt1153040/?ref_=fn_tt_tt_1"/>
        <s v="http://www.imdb.com/title/tt2084970/?ref_=fn_tt_tt_1"/>
        <s v="http://www.imdb.com/title/tt0081375/?ref_=fn_tt_tt_1"/>
        <s v="http://www.imdb.com/title/tt0080549/?ref_=fn_tt_tt_1"/>
        <s v="http://www.imdb.com/title/tt1196141/?ref_=fn_tt_tt_1"/>
        <s v="http://www.imdb.com/title/tt2023587/?ref_=fn_tt_tt_1"/>
        <s v="http://www.imdb.com/title/tt0085995/?ref_=fn_tt_tt_1"/>
        <s v="http://www.imdb.com/title/tt3063516/?ref_=fn_tt_tt_1"/>
        <s v="http://www.imdb.com/title/tt0436697/?ref_=fn_tt_tt_1"/>
        <s v="http://www.imdb.com/title/tt0094721/?ref_=fn_tt_tt_1"/>
        <s v="http://www.imdb.com/title/tt0906108/?ref_=fn_tt_tt_1"/>
        <s v="http://www.imdb.com/title/tt0110367/?ref_=fn_tt_tt_1"/>
        <s v="http://www.imdb.com/title/tt1596365/?ref_=fn_tt_tt_1"/>
        <s v="http://www.imdb.com/title/tt0455857/?ref_=fn_tt_tt_1"/>
        <s v="http://www.imdb.com/title/tt0265298/?ref_=fn_tt_tt_1"/>
        <s v="http://www.imdb.com/title/tt0077416/?ref_=fn_tt_tt_1"/>
        <s v="http://www.imdb.com/title/tt0120885/?ref_=fn_tt_tt_1"/>
        <s v="http://www.imdb.com/title/tt0306841/?ref_=fn_tt_tt_1"/>
        <s v="http://www.imdb.com/title/tt0882977/?ref_=fn_tt_tt_1"/>
        <s v="http://www.imdb.com/title/tt3850590/?ref_=fn_tt_tt_1"/>
        <s v="http://www.imdb.com/title/tt0133751/?ref_=fn_tt_tt_1"/>
        <s v="http://www.imdb.com/title/tt0108551/?ref_=fn_tt_tt_1"/>
        <s v="http://www.imdb.com/title/tt0118887/?ref_=fn_tt_tt_1"/>
        <s v="http://www.imdb.com/title/tt0277371/?ref_=fn_tt_tt_1"/>
        <s v="http://www.imdb.com/title/tt1855199/?ref_=fn_tt_tt_1"/>
        <s v="http://www.imdb.com/title/tt0192614/?ref_=fn_tt_tt_1"/>
        <s v="http://www.imdb.com/title/tt2980516/?ref_=fn_tt_tt_1"/>
        <s v="http://www.imdb.com/title/tt0328099/?ref_=fn_tt_tt_1"/>
        <s v="http://www.imdb.com/title/tt0198021/?ref_=fn_tt_tt_1"/>
        <s v="http://www.imdb.com/title/tt0056172/?ref_=fn_tt_tt_1"/>
        <s v="http://www.imdb.com/title/tt1311067/?ref_=fn_tt_tt_1"/>
        <s v="http://www.imdb.com/title/tt2305051/?ref_=fn_tt_tt_1"/>
        <s v="http://www.imdb.com/title/tt0844708/?ref_=fn_tt_tt_1"/>
        <s v="http://www.imdb.com/title/tt0372532/?ref_=fn_tt_tt_1"/>
        <s v="http://www.imdb.com/title/tt0220506/?ref_=fn_tt_tt_1"/>
        <s v="http://www.imdb.com/title/tt0093779/?ref_=fn_tt_tt_1"/>
        <s v="http://www.imdb.com/title/tt0427309/?ref_=fn_tt_tt_1"/>
        <s v="http://www.imdb.com/title/tt0780504/?ref_=fn_tt_tt_1"/>
        <s v="http://www.imdb.com/title/tt0361467/?ref_=fn_tt_tt_1"/>
        <s v="http://www.imdb.com/title/tt0120772/?ref_=fn_tt_tt_1"/>
        <s v="http://www.imdb.com/title/tt0463854/?ref_=fn_tt_tt_1"/>
        <s v="http://www.imdb.com/title/tt2247476/?ref_=fn_tt_tt_1"/>
        <s v="http://www.imdb.com/title/tt0317132/?ref_=fn_tt_tt_1"/>
        <s v="http://www.imdb.com/title/tt0199725/?ref_=fn_tt_tt_1"/>
        <s v="http://www.imdb.com/title/tt0119229/?ref_=fn_tt_tt_1"/>
        <s v="http://www.imdb.com/title/tt0881891/?ref_=fn_tt_tt_1"/>
        <s v="http://www.imdb.com/title/tt0229260/?ref_=fn_tt_tt_1"/>
        <s v="http://www.imdb.com/title/tt0115963/?ref_=fn_tt_tt_1"/>
        <s v="http://www.imdb.com/title/tt0416320/?ref_=fn_tt_tt_1"/>
        <s v="http://www.imdb.com/title/tt0493949/?ref_=fn_tt_tt_1"/>
        <s v="http://www.imdb.com/title/tt0107943/?ref_=fn_tt_tt_1"/>
        <s v="http://www.imdb.com/title/tt0118749/?ref_=fn_tt_tt_1"/>
        <s v="http://www.imdb.com/title/tt0107711/?ref_=fn_tt_tt_1"/>
        <s v="http://www.imdb.com/title/tt0434215/?ref_=fn_tt_tt_1"/>
        <s v="http://www.imdb.com/title/tt0800069/?ref_=fn_tt_tt_1"/>
        <s v="http://www.imdb.com/title/tt0192731/?ref_=fn_tt_tt_1"/>
        <s v="http://www.imdb.com/title/tt0283084/?ref_=fn_tt_tt_1"/>
        <s v="http://www.imdb.com/title/tt0419946/?ref_=fn_tt_tt_1"/>
        <s v="http://www.imdb.com/title/tt4139124/?ref_=fn_tt_tt_1"/>
        <s v="http://www.imdb.com/title/tt1555064/?ref_=fn_tt_tt_1"/>
        <s v="http://www.imdb.com/title/tt0134619/?ref_=fn_tt_tt_1"/>
        <s v="http://www.imdb.com/title/tt1817273/?ref_=fn_tt_tt_1"/>
        <s v="http://www.imdb.com/title/tt2402157/?ref_=fn_tt_tt_1"/>
        <s v="http://www.imdb.com/title/tt0120662/?ref_=fn_tt_tt_1"/>
        <s v="http://www.imdb.com/title/tt0887912/?ref_=fn_tt_tt_1"/>
        <s v="http://www.imdb.com/title/tt0087262/?ref_=fn_tt_tt_1"/>
        <s v="http://www.imdb.com/title/tt1764234/?ref_=fn_tt_tt_1"/>
        <s v="http://www.imdb.com/title/tt1972571/?ref_=fn_tt_tt_1"/>
        <s v="http://www.imdb.com/title/tt0240515/?ref_=fn_tt_tt_1"/>
        <s v="http://www.imdb.com/title/tt0475998/?ref_=fn_tt_tt_1"/>
        <s v="http://www.imdb.com/title/tt0892375/?ref_=fn_tt_tt_1"/>
        <s v="http://www.imdb.com/title/tt0144964/?ref_=fn_tt_tt_1"/>
        <s v="http://www.imdb.com/title/tt0417225/?ref_=fn_tt_tt_1"/>
        <s v="http://www.imdb.com/title/tt1563738/?ref_=fn_tt_tt_1"/>
        <s v="http://www.imdb.com/title/tt1172233/?ref_=fn_tt_tt_1"/>
        <s v="http://www.imdb.com/title/tt0211465/?ref_=fn_tt_tt_1"/>
        <s v="http://www.imdb.com/title/tt0310910/?ref_=fn_tt_tt_1"/>
        <s v="http://www.imdb.com/title/tt0164108/?ref_=fn_tt_tt_1"/>
        <s v="http://www.imdb.com/title/tt0352277/?ref_=fn_tt_tt_1"/>
        <s v="http://www.imdb.com/title/tt0097965/?ref_=fn_tt_tt_1"/>
        <s v="http://www.imdb.com/title/tt0120598/?ref_=fn_tt_tt_1"/>
        <s v="http://www.imdb.com/title/tt1258972/?ref_=fn_tt_tt_1"/>
        <s v="http://www.imdb.com/title/tt0119304/?ref_=fn_tt_tt_1"/>
        <s v="http://www.imdb.com/title/tt0195778/?ref_=fn_tt_tt_1"/>
        <s v="http://www.imdb.com/title/tt0088846/?ref_=fn_tt_tt_1"/>
        <s v="http://www.imdb.com/title/tt0361696/?ref_=fn_tt_tt_1"/>
        <s v="http://www.imdb.com/title/tt0281432/?ref_=fn_tt_tt_1"/>
        <s v="http://www.imdb.com/title/tt0118715/?ref_=fn_tt_tt_1"/>
        <s v="http://www.imdb.com/title/tt0462200/?ref_=fn_tt_tt_1"/>
        <s v="http://www.imdb.com/title/tt0279331/?ref_=fn_tt_tt_1"/>
        <s v="http://www.imdb.com/title/tt0829459/?ref_=fn_tt_tt_1"/>
        <s v="http://www.imdb.com/title/tt0202402/?ref_=fn_tt_tt_1"/>
        <s v="http://www.imdb.com/title/tt0285462/?ref_=fn_tt_tt_1"/>
        <s v="http://www.imdb.com/title/tt0278500/?ref_=fn_tt_tt_1"/>
        <s v="http://www.imdb.com/title/tt0140340/?ref_=fn_tt_tt_1"/>
        <s v="http://www.imdb.com/title/tt0453494/?ref_=fn_tt_tt_1"/>
        <s v="http://www.imdb.com/title/tt0780536/?ref_=fn_tt_tt_1"/>
        <s v="http://www.imdb.com/title/tt1699755/?ref_=fn_tt_tt_1"/>
        <s v="http://www.imdb.com/title/tt1031969/?ref_=fn_tt_tt_1"/>
        <s v="http://www.imdb.com/title/tt1142433/?ref_=fn_tt_tt_1"/>
        <s v="http://www.imdb.com/title/tt2091473/?ref_=fn_tt_tt_1"/>
        <s v="http://www.imdb.com/title/tt1178663/?ref_=fn_tt_tt_1"/>
        <s v="http://www.imdb.com/title/tt0163676/?ref_=fn_tt_tt_1"/>
        <s v="http://www.imdb.com/title/tt0419294/?ref_=fn_tt_tt_1"/>
        <s v="http://www.imdb.com/title/tt0120716/?ref_=fn_tt_tt_1"/>
        <s v="http://www.imdb.com/title/tt0373469/?ref_=fn_tt_tt_1"/>
        <s v="http://www.imdb.com/title/tt0138510/?ref_=fn_tt_tt_1"/>
        <s v="http://www.imdb.com/title/tt0166924/?ref_=fn_tt_tt_1"/>
        <s v="http://www.imdb.com/title/tt0397044/?ref_=fn_tt_tt_1"/>
        <s v="http://www.imdb.com/title/tt1182350/?ref_=fn_tt_tt_1"/>
        <s v="http://www.imdb.com/title/tt1334260/?ref_=fn_tt_tt_1"/>
        <s v="http://www.imdb.com/title/tt0488352/?ref_=fn_tt_tt_1"/>
        <s v="http://www.imdb.com/title/tt0800241/?ref_=fn_tt_tt_1"/>
        <s v="http://www.imdb.com/title/tt0090848/?ref_=fn_tt_tt_1"/>
        <s v="http://www.imdb.com/title/tt0142201/?ref_=fn_tt_tt_1"/>
        <s v="http://www.imdb.com/title/tt0808279/?ref_=fn_tt_tt_1"/>
        <s v="http://www.imdb.com/title/tt3153582/?ref_=fn_tt_tt_1"/>
        <s v="http://www.imdb.com/title/tt0165773/?ref_=fn_tt_tt_1"/>
        <s v="http://www.imdb.com/title/tt0017136/?ref_=fn_tt_tt_1"/>
        <s v="http://www.imdb.com/title/tt0414852/?ref_=fn_tt_tt_1"/>
        <s v="http://www.imdb.com/title/tt0114660/?ref_=fn_tt_tt_1"/>
        <s v="http://www.imdb.com/title/tt3508840/?ref_=fn_tt_tt_1"/>
        <s v="http://www.imdb.com/title/tt0252299/?ref_=fn_tt_tt_1"/>
        <s v="http://www.imdb.com/title/tt0376968/?ref_=fn_tt_tt_1"/>
        <s v="http://www.imdb.com/title/tt0785035/?ref_=fn_tt_tt_1"/>
        <s v="http://www.imdb.com/title/tt1020558/?ref_=fn_tt_tt_1"/>
        <s v="http://www.imdb.com/title/tt0117653/?ref_=fn_tt_tt_1"/>
        <s v="http://www.imdb.com/title/tt0805570/?ref_=fn_tt_tt_1"/>
        <s v="http://www.imdb.com/title/tt1551641/?ref_=fn_tt_tt_1"/>
        <s v="http://www.imdb.com/title/tt1535612/?ref_=fn_tt_tt_1"/>
        <s v="http://www.imdb.com/title/tt0252223/?ref_=fn_tt_tt_1"/>
        <s v="http://www.imdb.com/title/tt0484111/?ref_=fn_tt_tt_1"/>
        <s v="http://www.imdb.com/title/tt0469640/?ref_=fn_tt_tt_1"/>
        <s v="http://www.imdb.com/title/tt1487931/?ref_=fn_tt_tt_1"/>
        <s v="http://www.imdb.com/title/tt1971325/?ref_=fn_tt_tt_1"/>
        <s v="http://www.imdb.com/title/tt0406728/?ref_=fn_tt_tt_1"/>
        <s v="http://www.imdb.com/title/tt3856124/?ref_=fn_tt_tt_1"/>
        <s v="http://www.imdb.com/title/tt1075419/?ref_=fn_tt_tt_1"/>
        <s v="http://www.imdb.com/title/tt0210217/?ref_=fn_tt_tt_1"/>
        <s v="http://www.imdb.com/title/tt0107048/?ref_=fn_tt_tt_1"/>
        <s v="http://www.imdb.com/title/tt2268016/?ref_=fn_tt_tt_1"/>
        <s v="http://www.imdb.com/title/tt0117509/?ref_=fn_tt_tt_1"/>
        <s v="http://www.imdb.com/title/tt1668200/?ref_=fn_tt_tt_1"/>
        <s v="http://www.imdb.com/title/tt2584018/?ref_=fn_tt_tt_1"/>
        <s v="http://www.imdb.com/title/tt0105695/?ref_=fn_tt_tt_1"/>
        <s v="http://www.imdb.com/title/tt0342735/?ref_=fn_tt_tt_1"/>
        <s v="http://www.imdb.com/title/tt1010048/?ref_=fn_tt_tt_1"/>
        <s v="http://www.imdb.com/title/tt0093010/?ref_=fn_tt_tt_1"/>
        <s v="http://www.imdb.com/title/tt0100405/?ref_=fn_tt_tt_1"/>
        <s v="http://www.imdb.com/title/tt0691996/?ref_=fn_tt_tt_1"/>
        <s v="http://www.imdb.com/title/tt0092493/?ref_=fn_tt_tt_1"/>
        <s v="http://www.imdb.com/title/tt2503954/?ref_=fn_tt_tt_1"/>
        <s v="http://www.imdb.com/title/tt0096969/?ref_=fn_tt_tt_1"/>
        <s v="http://www.imdb.com/title/tt0106611/?ref_=fn_tt_tt_1"/>
        <s v="http://www.imdb.com/title/tt1179891/?ref_=fn_tt_tt_1"/>
        <s v="http://www.imdb.com/title/tt0775539/?ref_=fn_tt_tt_1"/>
        <s v="http://www.imdb.com/title/tt0076752/?ref_=fn_tt_tt_1"/>
        <s v="http://www.imdb.com/title/tt0426697/?ref_=fn_tt_tt_1"/>
        <s v="http://www.imdb.com/title/tt0146336/?ref_=fn_tt_tt_1"/>
        <s v="http://www.imdb.com/title/tt1885265/?ref_=fn_tt_tt_1"/>
        <s v="http://www.imdb.com/title/tt0103247/?ref_=fn_tt_tt_1"/>
        <s v="http://www.imdb.com/title/tt0167427/?ref_=fn_tt_tt_1"/>
        <s v="http://www.imdb.com/title/tt1007029/?ref_=fn_tt_tt_1"/>
        <s v="http://www.imdb.com/title/tt0298388/?ref_=fn_tt_tt_1"/>
        <s v="http://www.imdb.com/title/tt0107840/?ref_=fn_tt_tt_1"/>
        <s v="http://www.imdb.com/title/tt0278295/?ref_=fn_tt_tt_1"/>
        <s v="http://www.imdb.com/title/tt0114825/?ref_=fn_tt_tt_1"/>
        <s v="http://www.imdb.com/title/tt0076009/?ref_=fn_tt_tt_1"/>
        <s v="http://www.imdb.com/title/tt0429573/?ref_=fn_tt_tt_1"/>
        <s v="http://www.imdb.com/title/tt0270980/?ref_=fn_tt_tt_1"/>
        <s v="http://www.imdb.com/title/tt0971209/?ref_=fn_tt_tt_1"/>
        <s v="http://www.imdb.com/title/tt1305583/?ref_=fn_tt_tt_1"/>
        <s v="http://www.imdb.com/title/tt0118301/?ref_=fn_tt_tt_1"/>
        <s v="http://www.imdb.com/title/tt0120857/?ref_=fn_tt_tt_1"/>
        <s v="http://www.imdb.com/title/tt0117894/?ref_=fn_tt_tt_1"/>
        <s v="http://www.imdb.com/title/tt0076451/?ref_=fn_tt_tt_1"/>
        <s v="http://www.imdb.com/title/tt0109504/?ref_=fn_tt_tt_1"/>
        <s v="http://www.imdb.com/title/tt0770772/?ref_=fn_tt_tt_1"/>
        <s v="http://www.imdb.com/title/tt0211443/?ref_=fn_tt_tt_1"/>
        <s v="http://www.imdb.com/title/tt0308055/?ref_=fn_tt_tt_1"/>
        <s v="http://www.imdb.com/title/tt0192111/?ref_=fn_tt_tt_1"/>
        <s v="http://www.imdb.com/title/tt1663143/?ref_=fn_tt_tt_1"/>
        <s v="http://www.imdb.com/title/tt0401383/?ref_=fn_tt_tt_1"/>
        <s v="http://www.imdb.com/title/tt0404203/?ref_=fn_tt_tt_1"/>
        <s v="http://www.imdb.com/title/tt0176783/?ref_=fn_tt_tt_1"/>
        <s v="http://www.imdb.com/title/tt0120613/?ref_=fn_tt_tt_1"/>
        <s v="http://www.imdb.com/title/tt0437232/?ref_=fn_tt_tt_1"/>
        <s v="http://www.imdb.com/title/tt0218619/?ref_=fn_tt_tt_1"/>
        <s v="http://www.imdb.com/title/tt0113463/?ref_=fn_tt_tt_1"/>
        <s v="http://www.imdb.com/title/tt0808244/?ref_=fn_tt_tt_1"/>
        <s v="http://www.imdb.com/title/tt0077296/?ref_=fn_tt_tt_1"/>
        <s v="http://www.imdb.com/title/tt2473794/?ref_=fn_tt_tt_1"/>
        <s v="http://www.imdb.com/title/tt1156143/?ref_=fn_tt_tt_1"/>
        <s v="http://www.imdb.com/title/tt0280653/?ref_=fn_tt_tt_1"/>
        <s v="http://www.imdb.com/title/tt1460743/?ref_=fn_tt_tt_1"/>
        <s v="http://www.imdb.com/title/tt0981072/?ref_=fn_tt_tt_1"/>
        <s v="http://www.imdb.com/title/tt0466893/?ref_=fn_tt_tt_1"/>
        <s v="http://www.imdb.com/title/tt1185266/?ref_=fn_tt_tt_1"/>
        <s v="http://www.imdb.com/title/tt0817177/?ref_=fn_tt_tt_1"/>
        <s v="http://www.imdb.com/title/tt0388795/?ref_=fn_tt_tt_1"/>
        <s v="http://www.imdb.com/title/tt0112697/?ref_=fn_tt_tt_1"/>
        <s v="http://www.imdb.com/title/tt0297884/?ref_=fn_tt_tt_1"/>
        <s v="http://www.imdb.com/title/tt2637294/?ref_=fn_tt_tt_1"/>
        <s v="http://www.imdb.com/title/tt0092337/?ref_=fn_tt_tt_1"/>
        <s v="http://www.imdb.com/title/tt0180073/?ref_=fn_tt_tt_1"/>
        <s v="http://www.imdb.com/title/tt1931533/?ref_=fn_tt_tt_1"/>
        <s v="http://www.imdb.com/title/tt0182000/?ref_=fn_tt_tt_1"/>
        <s v="http://www.imdb.com/title/tt4048942/?ref_=fn_tt_tt_1"/>
        <s v="http://www.imdb.com/title/tt0363163/?ref_=fn_tt_tt_1"/>
        <s v="http://www.imdb.com/title/tt0369702/?ref_=fn_tt_tt_1"/>
        <s v="http://www.imdb.com/title/tt1441395/?ref_=fn_tt_tt_1"/>
        <s v="http://www.imdb.com/title/tt0093105/?ref_=fn_tt_tt_1"/>
        <s v="http://www.imdb.com/title/tt1584131/?ref_=fn_tt_tt_1"/>
        <s v="http://www.imdb.com/title/tt1702443/?ref_=fn_tt_tt_1"/>
        <s v="http://www.imdb.com/title/tt0947798/?ref_=fn_tt_tt_1"/>
        <s v="http://www.imdb.com/title/tt0071562/?ref_=fn_tt_tt_1"/>
        <s v="http://www.imdb.com/title/tt0206275/?ref_=fn_tt_tt_1"/>
        <s v="http://www.imdb.com/title/tt0095742/?ref_=fn_tt_tt_1"/>
        <s v="http://www.imdb.com/title/tt4257926/?ref_=fn_tt_tt_1"/>
        <s v="http://www.imdb.com/title/tt0242423/?ref_=fn_tt_tt_1"/>
        <s v="http://www.imdb.com/title/tt0096487/?ref_=fn_tt_tt_1"/>
        <s v="http://www.imdb.com/title/tt2170593/?ref_=fn_tt_tt_1"/>
        <s v="http://www.imdb.com/title/tt1826590/?ref_=fn_tt_tt_1"/>
        <s v="http://www.imdb.com/title/tt0147800/?ref_=fn_tt_tt_1"/>
        <s v="http://www.imdb.com/title/tt0241760/?ref_=fn_tt_tt_1"/>
        <s v="http://www.imdb.com/title/tt0107659/?ref_=fn_tt_tt_1"/>
        <s v="http://www.imdb.com/title/tt4052882/?ref_=fn_tt_tt_1"/>
        <s v="http://www.imdb.com/title/tt0289879/?ref_=fn_tt_tt_1"/>
        <s v="http://www.imdb.com/title/tt0184907/?ref_=fn_tt_tt_1"/>
        <s v="http://www.imdb.com/title/tt0937375/?ref_=fn_tt_tt_1"/>
        <s v="http://www.imdb.com/title/tt0118665/?ref_=fn_tt_tt_1"/>
        <s v="http://www.imdb.com/title/tt0120609/?ref_=fn_tt_tt_1"/>
        <s v="http://www.imdb.com/title/tt0116493/?ref_=fn_tt_tt_1"/>
        <s v="http://www.imdb.com/title/tt0099253/?ref_=fn_tt_tt_1"/>
        <s v="http://www.imdb.com/title/tt2011159/?ref_=fn_tt_tt_1"/>
        <s v="http://www.imdb.com/title/tt0884328/?ref_=fn_tt_tt_1"/>
        <s v="http://www.imdb.com/title/tt0470752/?ref_=fn_tt_tt_1"/>
        <s v="http://www.imdb.com/title/tt0120601/?ref_=fn_tt_tt_1"/>
        <s v="http://www.imdb.com/title/tt0269341/?ref_=fn_tt_tt_1"/>
        <s v="http://www.imdb.com/title/tt2183034/?ref_=fn_tt_tt_1"/>
        <s v="http://www.imdb.com/title/tt0250224/?ref_=fn_tt_tt_1"/>
        <s v="http://www.imdb.com/title/tt0498380/?ref_=fn_tt_tt_1"/>
        <s v="http://www.imdb.com/title/tt0469263/?ref_=fn_tt_tt_1"/>
        <s v="http://www.imdb.com/title/tt0120531/?ref_=fn_tt_tt_1"/>
        <s v="http://www.imdb.com/title/tt3170832/?ref_=fn_tt_tt_1"/>
        <s v="http://www.imdb.com/title/tt0120654/?ref_=fn_tt_tt_1"/>
        <s v="http://www.imdb.com/title/tt0111127/?ref_=fn_tt_tt_1"/>
        <s v="http://www.imdb.com/title/tt0144168/?ref_=fn_tt_tt_1"/>
        <s v="http://www.imdb.com/title/tt1639008/?ref_=fn_tt_tt_1"/>
        <s v="http://www.imdb.com/title/tt0172726/?ref_=fn_tt_tt_1"/>
        <s v="http://www.imdb.com/title/tt0120577/?ref_=fn_tt_tt_1"/>
        <s v="http://www.imdb.com/title/tt0258470/?ref_=fn_tt_tt_1"/>
        <s v="http://www.imdb.com/title/tt0188453/?ref_=fn_tt_tt_1"/>
        <s v="http://www.imdb.com/title/tt1711425/?ref_=fn_tt_tt_1"/>
        <s v="http://www.imdb.com/title/tt0401711/?ref_=fn_tt_tt_1"/>
        <s v="http://www.imdb.com/title/tt0416185/?ref_=fn_tt_tt_1"/>
        <s v="http://www.imdb.com/title/tt1814621/?ref_=fn_tt_tt_1"/>
        <s v="http://www.imdb.com/title/tt0191636/?ref_=fn_tt_tt_1"/>
        <s v="http://www.imdb.com/title/tt1352824/?ref_=fn_tt_tt_1"/>
        <s v="http://www.imdb.com/title/tt0116269/?ref_=fn_tt_tt_1"/>
        <s v="http://www.imdb.com/title/tt0419749/?ref_=fn_tt_tt_1"/>
        <s v="http://www.imdb.com/title/tt1659337/?ref_=fn_tt_tt_1"/>
        <s v="http://www.imdb.com/title/tt0104215/?ref_=fn_tt_tt_1"/>
        <s v="http://www.imdb.com/title/tt0420609/?ref_=fn_tt_tt_1"/>
        <s v="http://www.imdb.com/title/tt0218378/?ref_=fn_tt_tt_1"/>
        <s v="http://www.imdb.com/title/tt1524575/?ref_=fn_tt_tt_1"/>
        <s v="http://www.imdb.com/title/tt1478964/?ref_=fn_tt_tt_1"/>
        <s v="http://www.imdb.com/title/tt1714209/?ref_=fn_tt_tt_1"/>
        <s v="http://www.imdb.com/title/tt1911644/?ref_=fn_tt_tt_1"/>
        <s v="http://www.imdb.com/title/tt4939066/?ref_=fn_tt_tt_1"/>
        <s v="http://www.imdb.com/title/tt0305396/?ref_=fn_tt_tt_1"/>
        <s v="http://www.imdb.com/title/tt1045772/?ref_=fn_tt_tt_1"/>
        <s v="http://www.imdb.com/title/tt0082484/?ref_=fn_tt_tt_1"/>
        <s v="http://www.imdb.com/title/tt0168786/?ref_=fn_tt_tt_1"/>
        <s v="http://www.imdb.com/title/tt0283530/?ref_=fn_tt_tt_1"/>
        <s v="http://www.imdb.com/title/tt0108399/?ref_=fn_tt_tt_1"/>
        <s v="http://www.imdb.com/title/tt1216520/?ref_=fn_tt_tt_1"/>
        <s v="http://www.imdb.com/title/tt0104348/?ref_=fn_tt_tt_1"/>
        <s v="http://www.imdb.com/title/tt0954947/?ref_=fn_tt_tt_1"/>
        <s v="http://www.imdb.com/title/tt0083722/?ref_=fn_tt_tt_1"/>
        <s v="http://www.imdb.com/title/tt1232783/?ref_=fn_tt_tt_1"/>
        <s v="http://www.imdb.com/title/tt0029442/?ref_=fn_tt_tt_1"/>
        <s v="http://www.imdb.com/title/tt0805564/?ref_=fn_tt_tt_1"/>
        <s v="http://www.imdb.com/title/tt0914798/?ref_=fn_tt_tt_1"/>
        <s v="http://www.imdb.com/title/tt0168629/?ref_=fn_tt_tt_1"/>
        <s v="http://www.imdb.com/title/tt0119843/?ref_=fn_tt_tt_1"/>
        <s v="http://www.imdb.com/title/tt0116378/?ref_=fn_tt_tt_1"/>
        <s v="http://www.imdb.com/title/tt1294213/?ref_=fn_tt_tt_1"/>
        <s v="http://www.imdb.com/title/tt0985694/?ref_=fn_tt_tt_1"/>
        <s v="http://www.imdb.com/title/tt1194417/?ref_=fn_tt_tt_1"/>
        <s v="http://www.imdb.com/title/tt0095489/?ref_=fn_tt_tt_1"/>
        <s v="http://www.imdb.com/title/tt0386064/?ref_=fn_tt_tt_1"/>
        <s v="http://www.imdb.com/title/tt0473102/?ref_=fn_tt_tt_1"/>
        <s v="http://www.imdb.com/title/tt0070047/?ref_=fn_tt_tt_1"/>
        <s v="http://www.imdb.com/title/tt0073195/?ref_=fn_tt_tt_1"/>
        <s v="http://www.imdb.com/title/tt0163651/?ref_=fn_tt_tt_1"/>
        <s v="http://www.imdb.com/title/tt1816518/?ref_=fn_tt_tt_1"/>
        <s v="http://www.imdb.com/title/tt0091129/?ref_=fn_tt_tt_1"/>
        <s v="http://www.imdb.com/title/tt1621045/?ref_=fn_tt_tt_1"/>
        <s v="http://www.imdb.com/title/tt0303714/?ref_=fn_tt_tt_1"/>
        <s v="http://www.imdb.com/title/tt0084726/?ref_=fn_tt_tt_1"/>
        <s v="http://www.imdb.com/title/tt0109040/?ref_=fn_tt_tt_1"/>
        <s v="http://www.imdb.com/title/tt0086567/?ref_=fn_tt_tt_1"/>
        <s v="http://www.imdb.com/title/tt0090329/?ref_=fn_tt_tt_1"/>
        <s v="http://www.imdb.com/title/tt1591479/?ref_=fn_tt_tt_1"/>
        <s v="http://www.imdb.com/title/tt0462590/?ref_=fn_tt_tt_1"/>
        <s v="http://www.imdb.com/title/tt0115641/?ref_=fn_tt_tt_1"/>
        <s v="http://www.imdb.com/title/tt0119396/?ref_=fn_tt_tt_1"/>
        <s v="http://www.imdb.com/title/tt0481536/?ref_=fn_tt_tt_1"/>
        <s v="http://www.imdb.com/title/tt1706593/?ref_=fn_tt_tt_1"/>
        <s v="http://www.imdb.com/title/tt0086619/?ref_=fn_tt_tt_1"/>
        <s v="http://www.imdb.com/title/tt0081633/?ref_=fn_tt_tt_1"/>
        <s v="http://www.imdb.com/title/tt0275022/?ref_=fn_tt_tt_1"/>
        <s v="http://www.imdb.com/title/tt1636826/?ref_=fn_tt_tt_1"/>
        <s v="http://www.imdb.com/title/tt0066206/?ref_=fn_tt_tt_1"/>
        <s v="http://www.imdb.com/title/tt0265459/?ref_=fn_tt_tt_1"/>
        <s v="http://www.imdb.com/title/tt1082868/?ref_=fn_tt_tt_1"/>
        <s v="http://www.imdb.com/title/tt0406759/?ref_=fn_tt_tt_1"/>
        <s v="http://www.imdb.com/title/tt0359517/?ref_=fn_tt_tt_1"/>
        <s v="http://www.imdb.com/title/tt0278488/?ref_=fn_tt_tt_1"/>
        <s v="http://www.imdb.com/title/tt0104940/?ref_=fn_tt_tt_1"/>
        <s v="http://www.imdb.com/title/tt0120679/?ref_=fn_tt_tt_1"/>
        <s v="http://www.imdb.com/title/tt2215719/?ref_=fn_tt_tt_1"/>
        <s v="http://www.imdb.com/title/tt2582846/?ref_=fn_tt_tt_1"/>
        <s v="http://www.imdb.com/title/tt0128442/?ref_=fn_tt_tt_1"/>
        <s v="http://www.imdb.com/title/tt2784678/?ref_=fn_tt_tt_1"/>
        <s v="http://www.imdb.com/title/tt0079758/?ref_=fn_tt_tt_1"/>
        <s v="http://www.imdb.com/title/tt0164181/?ref_=fn_tt_tt_1"/>
        <s v="http://www.imdb.com/title/tt1442449/?ref_=fn_tt_tt_1"/>
        <s v="http://www.imdb.com/title/tt2431286/?ref_=fn_tt_tt_1"/>
        <s v="http://www.imdb.com/title/tt0365885/?ref_=fn_tt_tt_1"/>
        <s v="http://www.imdb.com/title/tt0077269/?ref_=fn_tt_tt_1"/>
        <s v="http://www.imdb.com/title/tt0429591/?ref_=fn_tt_tt_1"/>
        <s v="http://www.imdb.com/title/tt3622592/?ref_=fn_tt_tt_1"/>
        <s v="http://www.imdb.com/title/tt0332712/?ref_=fn_tt_tt_1"/>
        <s v="http://www.imdb.com/title/tt1821549/?ref_=fn_tt_tt_1"/>
        <s v="http://www.imdb.com/title/tt0114608/?ref_=fn_tt_tt_1"/>
        <s v="http://www.imdb.com/title/tt0273799/?ref_=fn_tt_tt_1"/>
        <s v="http://www.imdb.com/title/tt1625346/?ref_=fn_tt_tt_1"/>
        <s v="http://www.imdb.com/title/tt0479884/?ref_=fn_tt_tt_1"/>
        <s v="http://www.imdb.com/title/tt0119326/?ref_=fn_tt_tt_1"/>
        <s v="http://www.imdb.com/title/tt0120722/?ref_=fn_tt_tt_1"/>
        <s v="http://www.imdb.com/title/tt1407061/?ref_=fn_tt_tt_1"/>
        <s v="http://www.imdb.com/title/tt1084950/?ref_=fn_tt_tt_1"/>
        <s v="http://www.imdb.com/title/tt0082934/?ref_=fn_tt_tt_1"/>
        <s v="http://www.imdb.com/title/tt0335119/?ref_=fn_tt_tt_1"/>
        <s v="http://www.imdb.com/title/tt0082096/?ref_=fn_tt_tt_1"/>
        <s v="http://www.imdb.com/title/tt0279781/?ref_=fn_tt_tt_1"/>
        <s v="http://www.imdb.com/title/tt2194499/?ref_=fn_tt_tt_1"/>
        <s v="http://www.imdb.com/title/tt0385004/?ref_=fn_tt_tt_1"/>
        <s v="http://www.imdb.com/title/tt1764183/?ref_=fn_tt_tt_1"/>
        <s v="http://www.imdb.com/title/tt2436386/?ref_=fn_tt_tt_1"/>
        <s v="http://www.imdb.com/title/tt1042877/?ref_=fn_tt_tt_1"/>
        <s v="http://www.imdb.com/title/tt0156323/?ref_=fn_tt_tt_1"/>
        <s v="http://www.imdb.com/title/tt0106950/?ref_=fn_tt_tt_1"/>
        <s v="http://www.imdb.com/title/tt0470765/?ref_=fn_tt_tt_1"/>
        <s v="http://www.imdb.com/title/tt0120533/?ref_=fn_tt_tt_1"/>
        <s v="http://www.imdb.com/title/tt0439289/?ref_=fn_tt_tt_1"/>
        <s v="http://www.imdb.com/title/tt0339034/?ref_=fn_tt_tt_1"/>
        <s v="http://www.imdb.com/title/tt0116414/?ref_=fn_tt_tt_1"/>
        <s v="http://www.imdb.com/title/tt0199626/?ref_=fn_tt_tt_1"/>
        <s v="http://www.imdb.com/title/tt1103275/?ref_=fn_tt_tt_1"/>
        <s v="http://www.imdb.com/title/tt0253200/?ref_=fn_tt_tt_1"/>
        <s v="http://www.imdb.com/title/tt0468492/?ref_=fn_tt_tt_1"/>
        <s v="http://www.imdb.com/title/tt0082958/?ref_=fn_tt_tt_1"/>
        <s v="http://www.imdb.com/title/tt0129332/?ref_=fn_tt_tt_1"/>
        <s v="http://www.imdb.com/title/tt0423977/?ref_=fn_tt_tt_1"/>
        <s v="http://www.imdb.com/title/tt2358891/?ref_=fn_tt_tt_1"/>
        <s v="http://www.imdb.com/title/tt0238924/?ref_=fn_tt_tt_1"/>
        <s v="http://www.imdb.com/title/tt1682180/?ref_=fn_tt_tt_1"/>
        <s v="http://www.imdb.com/title/tt0212712/?ref_=fn_tt_tt_1"/>
        <s v="http://www.imdb.com/title/tt0804505/?ref_=fn_tt_tt_1"/>
        <s v="http://www.imdb.com/title/tt0361715/?ref_=fn_tt_tt_1"/>
        <s v="http://www.imdb.com/title/tt1235796/?ref_=fn_tt_tt_1"/>
        <s v="http://www.imdb.com/title/tt0222851/?ref_=fn_tt_tt_1"/>
        <s v="http://www.imdb.com/title/tt0271259/?ref_=fn_tt_tt_1"/>
        <s v="http://www.imdb.com/title/tt0118901/?ref_=fn_tt_tt_1"/>
        <s v="http://www.imdb.com/title/tt0815178/?ref_=fn_tt_tt_1"/>
        <s v="http://www.imdb.com/title/tt1730687/?ref_=fn_tt_tt_1"/>
        <s v="http://www.imdb.com/title/tt0399095/?ref_=fn_tt_tt_1"/>
        <s v="http://www.imdb.com/title/tt0367082/?ref_=fn_tt_tt_1"/>
        <s v="http://www.imdb.com/title/tt0120618/?ref_=fn_tt_tt_1"/>
        <s v="http://www.imdb.com/title/tt1428556/?ref_=fn_tt_tt_1"/>
        <s v="http://www.imdb.com/title/tt0284978/?ref_=fn_tt_tt_1"/>
        <s v="http://www.imdb.com/title/tt1124052/?ref_=fn_tt_tt_1"/>
        <s v="http://www.imdb.com/title/tt1876517/?ref_=fn_tt_tt_1"/>
        <s v="http://www.imdb.com/title/tt1477109/?ref_=fn_tt_tt_1"/>
        <s v="http://www.imdb.com/title/tt1486193/?ref_=fn_tt_tt_1"/>
        <s v="http://www.imdb.com/title/tt1187064/?ref_=fn_tt_tt_1"/>
        <s v="http://www.imdb.com/title/tt3453052/?ref_=fn_tt_tt_1"/>
        <s v="http://www.imdb.com/title/tt1929263/?ref_=fn_tt_tt_1"/>
        <s v="http://www.imdb.com/title/tt0208092/?ref_=fn_tt_tt_1"/>
        <s v="http://www.imdb.com/title/tt2598580/?ref_=fn_tt_tt_1"/>
        <s v="http://www.imdb.com/title/tt0098084/?ref_=fn_tt_tt_1"/>
        <s v="http://www.imdb.com/title/tt0107474/?ref_=fn_tt_tt_1"/>
        <s v="http://www.imdb.com/title/tt1034302/?ref_=fn_tt_tt_1"/>
        <s v="http://www.imdb.com/title/tt3682770/?ref_=fn_tt_tt_1"/>
        <s v="http://www.imdb.com/title/tt0087363/?ref_=fn_tt_tt_1"/>
        <s v="http://www.imdb.com/title/tt0076759/?ref_=fn_tt_tt_1"/>
        <s v="http://www.imdb.com/title/tt1860213/?ref_=fn_tt_tt_1"/>
        <s v="http://www.imdb.com/title/tt0059113/?ref_=fn_tt_tt_1"/>
        <s v="http://www.imdb.com/title/tt1921149/?ref_=fn_tt_tt_1"/>
        <s v="http://www.imdb.com/title/tt0962726/?ref_=fn_tt_tt_1"/>
        <s v="http://www.imdb.com/title/tt0964517/?ref_=fn_tt_tt_1"/>
        <s v="http://www.imdb.com/title/tt0493430/?ref_=fn_tt_tt_1"/>
        <s v="http://www.imdb.com/title/tt0104952/?ref_=fn_tt_tt_1"/>
        <s v="http://www.imdb.com/title/tt1355630/?ref_=fn_tt_tt_1"/>
        <s v="http://www.imdb.com/title/tt2968804/?ref_=fn_tt_tt_1"/>
        <s v="http://www.imdb.com/title/tt0097815/?ref_=fn_tt_tt_1"/>
        <s v="http://www.imdb.com/title/tt0964587/?ref_=fn_tt_tt_1"/>
        <s v="http://www.imdb.com/title/tt0183649/?ref_=fn_tt_tt_1"/>
        <s v="http://www.imdb.com/title/tt0281358/?ref_=fn_tt_tt_1"/>
        <s v="http://www.imdb.com/title/tt0112818/?ref_=fn_tt_tt_1"/>
        <s v="http://www.imdb.com/title/tt0139134/?ref_=fn_tt_tt_1"/>
        <s v="http://www.imdb.com/title/tt1233227/?ref_=fn_tt_tt_1"/>
        <s v="http://www.imdb.com/title/tt0082517/?ref_=fn_tt_tt_1"/>
        <s v="http://www.imdb.com/title/tt0416212/?ref_=fn_tt_tt_1"/>
        <s v="http://www.imdb.com/title/tt0250310/?ref_=fn_tt_tt_1"/>
        <s v="http://www.imdb.com/title/tt0105217/?ref_=fn_tt_tt_1"/>
        <s v="http://www.imdb.com/title/tt0077531/?ref_=fn_tt_tt_1"/>
        <s v="http://www.imdb.com/title/tt0091276/?ref_=fn_tt_tt_1"/>
        <s v="http://www.imdb.com/title/tt2381111/?ref_=fn_tt_tt_1"/>
        <s v="http://www.imdb.com/title/tt0072684/?ref_=fn_tt_tt_1"/>
        <s v="http://www.imdb.com/title/tt0253798/?ref_=fn_tt_tt_1"/>
        <s v="http://www.imdb.com/title/tt0213790/?ref_=fn_tt_tt_1"/>
        <s v="http://www.imdb.com/title/tt1441951/?ref_=fn_tt_tt_1"/>
        <s v="http://www.imdb.com/title/tt0246989/?ref_=fn_tt_tt_1"/>
        <s v="http://www.imdb.com/title/tt0264616/?ref_=fn_tt_tt_1"/>
        <s v="http://www.imdb.com/title/tt2404425/?ref_=fn_tt_tt_1"/>
        <s v="http://www.imdb.com/title/tt0362269/?ref_=fn_tt_tt_1"/>
        <s v="http://www.imdb.com/title/tt0106308/?ref_=fn_tt_tt_1"/>
        <s v="http://www.imdb.com/title/tt0240900/?ref_=fn_tt_tt_1"/>
        <s v="http://www.imdb.com/title/tt0108550/?ref_=fn_tt_tt_1"/>
        <s v="http://www.imdb.com/title/tt0377992/?ref_=fn_tt_tt_1"/>
        <s v="http://www.imdb.com/title/tt0383694/?ref_=fn_tt_tt_1"/>
        <s v="http://www.imdb.com/title/tt0280720/?ref_=fn_tt_tt_1"/>
        <s v="http://www.imdb.com/title/tt0114113/?ref_=fn_tt_tt_1"/>
        <s v="http://www.imdb.com/title/tt2042568/?ref_=fn_tt_tt_1"/>
        <s v="http://www.imdb.com/title/tt0184791/?ref_=fn_tt_tt_1"/>
        <s v="http://www.imdb.com/title/tt0102782/?ref_=fn_tt_tt_1"/>
        <s v="http://www.imdb.com/title/tt0066090/?ref_=fn_tt_tt_1"/>
        <s v="http://www.imdb.com/title/tt0368222/?ref_=fn_tt_tt_1"/>
        <s v="http://www.imdb.com/title/tt0424908/?ref_=fn_tt_tt_1"/>
        <s v="http://www.imdb.com/title/tt1233192/?ref_=fn_tt_tt_1"/>
        <s v="http://www.imdb.com/title/tt1132626/?ref_=fn_tt_tt_1"/>
        <s v="http://www.imdb.com/title/tt0065895/?ref_=fn_tt_tt_1"/>
        <s v="http://www.imdb.com/title/tt1592873/?ref_=fn_tt_tt_1"/>
        <s v="http://www.imdb.com/title/tt0382765/?ref_=fn_tt_tt_1"/>
        <s v="http://www.imdb.com/title/tt0449999/?ref_=fn_tt_tt_1"/>
        <s v="http://www.imdb.com/title/tt0122541/?ref_=fn_tt_tt_1"/>
        <s v="http://www.imdb.com/title/tt1709143/?ref_=fn_tt_tt_1"/>
        <s v="http://www.imdb.com/title/tt0273517/?ref_=fn_tt_tt_1"/>
        <s v="http://www.imdb.com/title/tt0062622/?ref_=fn_tt_tt_1"/>
        <s v="http://www.imdb.com/title/tt0083866/?ref_=fn_tt_tt_1"/>
        <s v="http://www.imdb.com/title/tt0419843/?ref_=fn_tt_tt_1"/>
        <s v="http://www.imdb.com/title/tt0313300/?ref_=fn_tt_tt_1"/>
        <s v="http://www.imdb.com/title/tt0108320/?ref_=fn_tt_tt_1"/>
        <s v="http://www.imdb.com/title/tt4051832/?ref_=fn_tt_tt_1"/>
        <s v="http://www.imdb.com/title/tt1573072/?ref_=fn_tt_tt_1"/>
        <s v="http://www.imdb.com/title/tt0473700/?ref_=fn_tt_tt_1"/>
        <s v="http://www.imdb.com/title/tt1566501/?ref_=fn_tt_tt_1"/>
        <s v="http://www.imdb.com/title/tt3547740/?ref_=fn_tt_tt_1"/>
        <s v="http://www.imdb.com/title/tt0119217/?ref_=fn_tt_tt_1"/>
        <s v="http://www.imdb.com/title/tt3658772/?ref_=fn_tt_tt_1"/>
        <s v="http://www.imdb.com/title/tt0489270/?ref_=fn_tt_tt_1"/>
        <s v="http://www.imdb.com/title/tt0083131/?ref_=fn_tt_tt_1"/>
        <s v="http://www.imdb.com/title/tt0204946/?ref_=fn_tt_tt_1"/>
        <s v="http://www.imdb.com/title/tt4094724/?ref_=fn_tt_tt_1"/>
        <s v="http://www.imdb.com/title/tt0160862/?ref_=fn_tt_tt_1"/>
        <s v="http://www.imdb.com/title/tt0890870/?ref_=fn_tt_tt_1"/>
        <s v="http://www.imdb.com/title/tt0375210/?ref_=fn_tt_tt_1"/>
        <s v="http://www.imdb.com/title/tt0455612/?ref_=fn_tt_tt_1"/>
        <s v="http://www.imdb.com/title/tt0090863/?ref_=fn_tt_tt_1"/>
        <s v="http://www.imdb.com/title/tt0056197/?ref_=fn_tt_tt_1"/>
        <s v="http://www.imdb.com/title/tt0104868/?ref_=fn_tt_tt_1"/>
        <s v="http://www.imdb.com/title/tt0391198/?ref_=fn_tt_tt_1"/>
        <s v="http://www.imdb.com/title/tt0116483/?ref_=fn_tt_tt_1"/>
        <s v="http://www.imdb.com/title/tt0263488/?ref_=fn_tt_tt_1"/>
        <s v="http://www.imdb.com/title/tt0096928/?ref_=fn_tt_tt_1"/>
        <s v="http://www.imdb.com/title/tt0063385/?ref_=fn_tt_tt_1"/>
        <s v="http://www.imdb.com/title/tt1412386/?ref_=fn_tt_tt_1"/>
        <s v="http://www.imdb.com/title/tt0265632/?ref_=fn_tt_tt_1"/>
        <s v="http://www.imdb.com/title/tt0089530/?ref_=fn_tt_tt_1"/>
        <s v="http://www.imdb.com/title/tt0088944/?ref_=fn_tt_tt_1"/>
        <s v="http://www.imdb.com/title/tt3882082/?ref_=fn_tt_tt_1"/>
        <s v="http://www.imdb.com/title/tt1314655/?ref_=fn_tt_tt_1"/>
        <s v="http://www.imdb.com/title/tt0293815/?ref_=fn_tt_tt_1"/>
        <s v="http://www.imdb.com/title/tt3195644/?ref_=fn_tt_tt_1"/>
        <s v="http://www.imdb.com/title/tt0089461/?ref_=fn_tt_tt_1"/>
        <s v="http://www.imdb.com/title/tt0104692/?ref_=fn_tt_tt_1"/>
        <s v="http://www.imdb.com/title/tt0981227/?ref_=fn_tt_tt_1"/>
        <s v="http://www.imdb.com/title/tt0120655/?ref_=fn_tt_tt_1"/>
        <s v="http://www.imdb.com/title/tt0280460/?ref_=fn_tt_tt_1"/>
        <s v="http://www.imdb.com/title/tt0086491/?ref_=fn_tt_tt_1"/>
        <s v="http://www.imdb.com/title/tt0098206/?ref_=fn_tt_tt_1"/>
        <s v="http://www.imdb.com/title/tt0110399/?ref_=fn_tt_tt_1"/>
        <s v="http://www.imdb.com/title/tt0283026/?ref_=fn_tt_tt_1"/>
        <s v="http://www.imdb.com/title/tt0424993/?ref_=fn_tt_tt_1"/>
        <s v="http://www.imdb.com/title/tt0127723/?ref_=fn_tt_tt_1"/>
        <s v="http://www.imdb.com/title/tt0086066/?ref_=fn_tt_tt_1"/>
        <s v="http://www.imdb.com/title/tt2788732/?ref_=fn_tt_tt_1"/>
        <s v="http://www.imdb.com/title/tt0085407/?ref_=fn_tt_tt_1"/>
        <s v="http://www.imdb.com/title/tt2752772/?ref_=fn_tt_tt_1"/>
        <s v="http://www.imdb.com/title/tt1876451/?ref_=fn_tt_tt_1"/>
        <s v="http://www.imdb.com/title/tt0242998/?ref_=fn_tt_tt_1"/>
        <s v="http://www.imdb.com/title/tt1220198/?ref_=fn_tt_tt_1"/>
        <s v="http://www.imdb.com/title/tt0420087/?ref_=fn_tt_tt_1"/>
        <s v="http://www.imdb.com/title/tt0107079/?ref_=fn_tt_tt_1"/>
        <s v="http://www.imdb.com/title/tt0089348/?ref_=fn_tt_tt_1"/>
        <s v="http://www.imdb.com/title/tt0403455/?ref_=fn_tt_tt_1"/>
        <s v="http://www.imdb.com/title/tt0128445/?ref_=fn_tt_tt_1"/>
        <s v="http://www.imdb.com/title/tt1564585/?ref_=fn_tt_tt_1"/>
        <s v="http://www.imdb.com/title/tt2555736/?ref_=fn_tt_tt_1"/>
        <s v="http://www.imdb.com/title/tt0846308/?ref_=fn_tt_tt_1"/>
        <s v="http://www.imdb.com/title/tt0380623/?ref_=fn_tt_tt_1"/>
        <s v="http://www.imdb.com/title/tt0100168/?ref_=fn_tt_tt_1"/>
        <s v="http://www.imdb.com/title/tt0240468/?ref_=fn_tt_tt_1"/>
        <s v="http://www.imdb.com/title/tt0100814/?ref_=fn_tt_tt_1"/>
        <s v="http://www.imdb.com/title/tt0295700/?ref_=fn_tt_tt_1"/>
        <s v="http://www.imdb.com/title/tt0081071/?ref_=fn_tt_tt_1"/>
        <s v="http://www.imdb.com/title/tt0142192/?ref_=fn_tt_tt_1"/>
        <s v="http://www.imdb.com/title/tt1935179/?ref_=fn_tt_tt_1"/>
        <s v="http://www.imdb.com/title/tt0499554/?ref_=fn_tt_tt_1"/>
        <s v="http://www.imdb.com/title/tt2515086/?ref_=fn_tt_tt_1"/>
        <s v="http://www.imdb.com/title/tt1092633/?ref_=fn_tt_tt_1"/>
        <s v="http://www.imdb.com/title/tt0314166/?ref_=fn_tt_tt_1"/>
        <s v="http://www.imdb.com/title/tt1655420/?ref_=fn_tt_tt_1"/>
        <s v="http://www.imdb.com/title/tt0365485/?ref_=fn_tt_tt_1"/>
        <s v="http://www.imdb.com/title/tt0119572/?ref_=fn_tt_tt_1"/>
        <s v="http://www.imdb.com/title/tt4178092/?ref_=fn_tt_tt_1"/>
        <s v="http://www.imdb.com/title/tt0399862/?ref_=fn_tt_tt_1"/>
        <s v="http://www.imdb.com/title/tt0192071/?ref_=fn_tt_tt_1"/>
        <s v="http://www.imdb.com/title/tt0151804/?ref_=fn_tt_tt_1"/>
        <s v="http://www.imdb.com/title/tt0157503/?ref_=fn_tt_tt_1"/>
        <s v="http://www.imdb.com/title/tt1126590/?ref_=fn_tt_tt_1"/>
        <s v="http://www.imdb.com/title/tt0124198/?ref_=fn_tt_tt_1"/>
        <s v="http://www.imdb.com/title/tt0368975/?ref_=fn_tt_tt_1"/>
        <s v="http://www.imdb.com/title/tt0086984/?ref_=fn_tt_tt_1"/>
        <s v="http://www.imdb.com/title/tt1470023/?ref_=fn_tt_tt_1"/>
        <s v="http://www.imdb.com/title/tt0301199/?ref_=fn_tt_tt_1"/>
        <s v="http://www.imdb.com/title/tt1333125/?ref_=fn_tt_tt_1"/>
        <s v="http://www.imdb.com/title/tt0785007/?ref_=fn_tt_tt_1"/>
        <s v="http://www.imdb.com/title/tt1307068/?ref_=fn_tt_tt_1"/>
        <s v="http://www.imdb.com/title/tt1477837/?ref_=fn_tt_tt_1"/>
        <s v="http://www.imdb.com/title/tt0460627/?ref_=fn_tt_tt_1"/>
        <s v="http://www.imdb.com/title/tt0120586/?ref_=fn_tt_tt_1"/>
        <s v="http://www.imdb.com/title/tt1748227/?ref_=fn_tt_tt_1"/>
        <s v="http://www.imdb.com/title/tt0350194/?ref_=fn_tt_tt_1"/>
        <s v="http://www.imdb.com/title/tt0120802/?ref_=fn_tt_tt_1"/>
        <s v="http://www.imdb.com/title/tt0166896/?ref_=fn_tt_tt_1"/>
        <s v="http://www.imdb.com/title/tt0231448/?ref_=fn_tt_tt_1"/>
        <s v="http://www.imdb.com/title/tt2170299/?ref_=fn_tt_tt_1"/>
        <s v="http://www.imdb.com/title/tt0425413/?ref_=fn_tt_tt_1"/>
        <s v="http://www.imdb.com/title/tt0082507/?ref_=fn_tt_tt_1"/>
        <s v="http://www.imdb.com/title/tt2883434/?ref_=fn_tt_tt_1"/>
        <s v="http://www.imdb.com/title/tt0279286/?ref_=fn_tt_tt_1"/>
        <s v="http://www.imdb.com/title/tt0462504/?ref_=fn_tt_tt_1"/>
        <s v="http://www.imdb.com/title/tt1772288/?ref_=fn_tt_tt_1"/>
        <s v="http://www.imdb.com/title/tt1588334/?ref_=fn_tt_tt_1"/>
        <s v="http://www.imdb.com/title/tt1226236/?ref_=fn_tt_tt_1"/>
        <s v="http://www.imdb.com/title/tt1985017/?ref_=fn_tt_tt_1"/>
        <s v="http://www.imdb.com/title/tt0107983/?ref_=fn_tt_tt_1"/>
        <s v="http://www.imdb.com/title/tt0165854/?ref_=fn_tt_tt_1"/>
        <s v="http://www.imdb.com/title/tt0375679/?ref_=fn_tt_tt_1"/>
        <s v="http://www.imdb.com/title/tt0200720/?ref_=fn_tt_tt_1"/>
        <s v="http://www.imdb.com/title/tt0093483/?ref_=fn_tt_tt_1"/>
        <s v="http://www.imdb.com/title/tt0438315/?ref_=fn_tt_tt_1"/>
        <s v="http://www.imdb.com/title/tt1411664/?ref_=fn_tt_tt_1"/>
        <s v="http://www.imdb.com/title/tt0215545/?ref_=fn_tt_tt_1"/>
        <s v="http://www.imdb.com/title/tt3387542/?ref_=fn_tt_tt_1"/>
        <s v="http://www.imdb.com/title/tt0083113/?ref_=fn_tt_tt_1"/>
        <s v="http://www.imdb.com/title/tt1791682/?ref_=fn_tt_tt_1"/>
        <s v="http://www.imdb.com/title/tt1554091/?ref_=fn_tt_tt_1"/>
        <s v="http://www.imdb.com/title/tt0278731/?ref_=fn_tt_tt_1"/>
        <s v="http://www.imdb.com/title/tt0171356/?ref_=fn_tt_tt_1"/>
        <s v="http://www.imdb.com/title/tt0309912/?ref_=fn_tt_tt_1"/>
        <s v="http://www.imdb.com/title/tt1491044/?ref_=fn_tt_tt_1"/>
        <s v="http://www.imdb.com/title/tt0432637/?ref_=fn_tt_tt_1"/>
        <s v="http://www.imdb.com/title/tt0173716/?ref_=fn_tt_tt_1"/>
        <s v="http://www.imdb.com/title/tt1726669/?ref_=fn_tt_tt_1"/>
        <s v="http://www.imdb.com/title/tt1285309/?ref_=fn_tt_tt_1"/>
        <s v="http://www.imdb.com/title/tt0285861/?ref_=fn_tt_tt_1"/>
        <s v="http://www.imdb.com/title/tt0784972/?ref_=fn_tt_tt_1"/>
        <s v="http://www.imdb.com/title/tt0765120/?ref_=fn_tt_tt_1"/>
        <s v="http://www.imdb.com/title/tt0120709/?ref_=fn_tt_tt_1"/>
        <s v="http://www.imdb.com/title/tt0291502/?ref_=fn_tt_tt_1"/>
        <s v="http://www.imdb.com/title/tt0884224/?ref_=fn_tt_tt_1"/>
        <s v="http://www.imdb.com/title/tt0286112/?ref_=fn_tt_tt_1"/>
        <s v="http://www.imdb.com/title/tt0330099/?ref_=fn_tt_tt_1"/>
        <s v="http://www.imdb.com/title/tt0120018/?ref_=fn_tt_tt_1"/>
        <s v="http://www.imdb.com/title/tt2752688/?ref_=fn_tt_tt_1"/>
        <s v="http://www.imdb.com/title/tt0129923/?ref_=fn_tt_tt_1"/>
        <s v="http://www.imdb.com/title/tt1372686/?ref_=fn_tt_tt_1"/>
        <s v="http://www.imdb.com/title/tt0373024/?ref_=fn_tt_tt_1"/>
        <s v="http://www.imdb.com/title/tt0253126/?ref_=fn_tt_tt_1"/>
        <s v="http://www.imdb.com/title/tt1262981/?ref_=fn_tt_tt_1"/>
        <s v="http://www.imdb.com/title/tt0464196/?ref_=fn_tt_tt_1"/>
        <s v="http://www.imdb.com/title/tt0443496/?ref_=fn_tt_tt_1"/>
        <s v="http://www.imdb.com/title/tt1183923/?ref_=fn_tt_tt_1"/>
        <s v="http://www.imdb.com/title/tt0110857/?ref_=fn_tt_tt_1"/>
        <s v="http://www.imdb.com/title/tt1210039/?ref_=fn_tt_tt_1"/>
        <s v="http://www.imdb.com/title/tt2553908/?ref_=fn_tt_tt_1"/>
        <s v="http://www.imdb.com/title/tt2113659/?ref_=fn_tt_tt_1"/>
        <s v="http://www.imdb.com/title/tt0118577/?ref_=fn_tt_tt_1"/>
        <s v="http://www.imdb.com/title/tt1007018/?ref_=fn_tt_tt_1"/>
        <s v="http://www.imdb.com/title/tt1247662/?ref_=fn_tt_tt_1"/>
        <s v="http://www.imdb.com/title/tt1220220/?ref_=fn_tt_tt_1"/>
        <s v="http://www.imdb.com/title/tt1128071/?ref_=fn_tt_tt_1"/>
        <s v="http://www.imdb.com/title/tt2325977/?ref_=fn_tt_tt_1"/>
        <s v="http://www.imdb.com/title/tt1210071/?ref_=fn_tt_tt_1"/>
        <s v="http://www.imdb.com/title/tt0887719/?ref_=fn_tt_tt_1"/>
        <s v="http://www.imdb.com/title/tt0488604/?ref_=fn_tt_tt_1"/>
        <s v="http://www.imdb.com/title/tt1320291/?ref_=fn_tt_tt_1"/>
        <s v="http://www.imdb.com/title/tt0349416/?ref_=fn_tt_tt_1"/>
        <s v="http://www.imdb.com/title/tt0496436/?ref_=fn_tt_tt_1"/>
        <s v="http://www.imdb.com/title/tt1568139/?ref_=fn_tt_tt_1"/>
        <s v="http://www.imdb.com/title/tt1097643/?ref_=fn_tt_tt_1"/>
        <s v="http://www.imdb.com/title/tt2722786/?ref_=fn_tt_tt_1"/>
        <s v="http://www.imdb.com/title/tt0479341/?ref_=fn_tt_tt_1"/>
        <s v="http://www.imdb.com/title/tt3074732/?ref_=fn_tt_tt_1"/>
        <s v="http://www.imdb.com/title/tt1319716/?ref_=fn_tt_tt_1"/>
        <s v="http://www.imdb.com/title/tt1147687/?ref_=fn_tt_tt_1"/>
        <s v="http://www.imdb.com/title/tt0213985/?ref_=fn_tt_tt_1"/>
        <s v="http://www.imdb.com/title/tt1070781/?ref_=fn_tt_tt_1"/>
        <s v="http://www.imdb.com/title/tt0901487/?ref_=fn_tt_tt_1"/>
        <s v="http://www.imdb.com/title/tt1913166/?ref_=fn_tt_tt_1"/>
        <s v="http://www.imdb.com/title/tt1376195/?ref_=fn_tt_tt_1"/>
        <s v="http://www.imdb.com/title/tt1091722/?ref_=fn_tt_tt_1"/>
        <s v="http://www.imdb.com/title/tt0343996/?ref_=fn_tt_tt_1"/>
        <s v="http://www.imdb.com/title/tt0195945/?ref_=fn_tt_tt_1"/>
        <s v="http://www.imdb.com/title/tt2923316/?ref_=fn_tt_tt_1"/>
        <s v="http://www.imdb.com/title/tt0062512/?ref_=fn_tt_tt_1"/>
        <s v="http://www.imdb.com/title/tt2556874/?ref_=fn_tt_tt_1"/>
        <s v="http://www.imdb.com/title/tt1602620/?ref_=fn_tt_tt_1"/>
        <s v="http://www.imdb.com/title/tt0095889/?ref_=fn_tt_tt_1"/>
        <s v="http://www.imdb.com/title/tt1612319/?ref_=fn_tt_tt_1"/>
        <s v="http://www.imdb.com/title/tt0057193/?ref_=fn_tt_tt_1"/>
        <s v="http://www.imdb.com/title/tt0441909/?ref_=fn_tt_tt_1"/>
        <s v="http://www.imdb.com/title/tt0082509/?ref_=fn_tt_tt_1"/>
        <s v="http://www.imdb.com/title/tt1161418/?ref_=fn_tt_tt_1"/>
        <s v="http://www.imdb.com/title/tt0114279/?ref_=fn_tt_tt_1"/>
        <s v="http://www.imdb.com/title/tt1694021/?ref_=fn_tt_tt_1"/>
        <s v="http://www.imdb.com/title/tt1198101/?ref_=fn_tt_tt_1"/>
        <s v="http://www.imdb.com/title/tt1527186/?ref_=fn_tt_tt_1"/>
        <s v="http://www.imdb.com/title/tt0803061/?ref_=fn_tt_tt_1"/>
        <s v="http://www.imdb.com/title/tt2176013/?ref_=fn_tt_tt_1"/>
        <s v="http://www.imdb.com/title/tt0078748/?ref_=fn_tt_tt_1"/>
        <s v="http://www.imdb.com/title/tt0072271/?ref_=fn_tt_tt_1"/>
        <s v="http://www.imdb.com/title/tt1017451/?ref_=fn_tt_tt_1"/>
        <s v="http://www.imdb.com/title/tt0067093/?ref_=fn_tt_tt_1"/>
        <s v="http://www.imdb.com/title/tt0059800/?ref_=fn_tt_tt_1"/>
        <s v="http://www.imdb.com/title/tt1701990/?ref_=fn_tt_tt_1"/>
        <s v="http://www.imdb.com/title/tt1405810/?ref_=fn_tt_tt_1"/>
        <s v="http://www.imdb.com/title/tt0117603/?ref_=fn_tt_tt_1"/>
        <s v="http://www.imdb.com/title/tt0168501/?ref_=fn_tt_tt_1"/>
        <s v="http://www.imdb.com/title/tt0094862/?ref_=fn_tt_tt_1"/>
        <s v="http://www.imdb.com/title/tt0386032/?ref_=fn_tt_tt_1"/>
        <s v="http://www.imdb.com/title/tt2975578/?ref_=fn_tt_tt_1"/>
        <s v="http://www.imdb.com/title/tt0186975/?ref_=fn_tt_tt_1"/>
        <s v="http://www.imdb.com/title/tt0366551/?ref_=fn_tt_tt_1"/>
        <s v="http://www.imdb.com/title/tt0208874/?ref_=fn_tt_tt_1"/>
        <s v="http://www.imdb.com/title/tt0181984/?ref_=fn_tt_tt_1"/>
        <s v="http://www.imdb.com/title/tt0086465/?ref_=fn_tt_tt_1"/>
        <s v="http://www.imdb.com/title/tt0454082/?ref_=fn_tt_tt_1"/>
        <s v="http://www.imdb.com/title/tt0349169/?ref_=fn_tt_tt_1"/>
        <s v="http://www.imdb.com/title/tt0097499/?ref_=fn_tt_tt_1"/>
        <s v="http://www.imdb.com/title/tt0775529/?ref_=fn_tt_tt_1"/>
        <s v="http://www.imdb.com/title/tt0323572/?ref_=fn_tt_tt_1"/>
        <s v="http://www.imdb.com/title/tt0202677/?ref_=fn_tt_tt_1"/>
        <s v="http://www.imdb.com/title/tt0280760/?ref_=fn_tt_tt_1"/>
        <s v="http://www.imdb.com/title/tt0110759/?ref_=fn_tt_tt_1"/>
        <s v="http://www.imdb.com/title/tt0482629/?ref_=fn_tt_tt_1"/>
        <s v="http://www.imdb.com/title/tt0092325/?ref_=fn_tt_tt_1"/>
        <s v="http://www.imdb.com/title/tt0087451/?ref_=fn_tt_tt_1"/>
        <s v="http://www.imdb.com/title/tt0441007/?ref_=fn_tt_tt_1"/>
        <s v="http://www.imdb.com/title/tt0427968/?ref_=fn_tt_tt_1"/>
        <s v="http://www.imdb.com/title/tt1104733/?ref_=fn_tt_tt_1"/>
        <s v="http://www.imdb.com/title/tt0120879/?ref_=fn_tt_tt_1"/>
        <s v="http://www.imdb.com/title/tt5215952/?ref_=fn_tt_tt_1"/>
        <s v="http://www.imdb.com/title/tt1922612/?ref_=fn_tt_tt_1"/>
        <s v="http://www.imdb.com/title/tt0290879/?ref_=fn_tt_tt_1"/>
        <s v="http://www.imdb.com/title/tt0100827/?ref_=fn_tt_tt_1"/>
        <s v="http://www.imdb.com/title/tt3202120/?ref_=fn_tt_tt_1"/>
        <s v="http://www.imdb.com/title/tt0286261/?ref_=fn_tt_tt_1"/>
        <s v="http://www.imdb.com/title/tt1185344/?ref_=fn_tt_tt_1"/>
        <s v="http://www.imdb.com/title/tt0420835/?ref_=fn_tt_tt_1"/>
        <s v="http://www.imdb.com/title/tt0920458/?ref_=fn_tt_tt_1"/>
        <s v="http://www.imdb.com/title/tt0434424/?ref_=fn_tt_tt_1"/>
        <s v="http://www.imdb.com/title/tt1259574/?ref_=fn_tt_tt_1"/>
        <s v="http://www.imdb.com/title/tt1183672/?ref_=fn_tt_tt_1"/>
        <s v="http://www.imdb.com/title/tt1068678/?ref_=fn_tt_tt_1"/>
        <s v="http://www.imdb.com/title/tt0090555/?ref_=fn_tt_tt_1"/>
        <s v="http://www.imdb.com/title/tt1679332/?ref_=fn_tt_tt_1"/>
        <s v="http://www.imdb.com/title/tt0325596/?ref_=fn_tt_tt_1"/>
        <s v="http://www.imdb.com/title/tt1418646/?ref_=fn_tt_tt_1"/>
        <s v="http://www.imdb.com/title/tt1661420/?ref_=fn_tt_tt_1"/>
        <s v="http://www.imdb.com/title/tt0211933/?ref_=fn_tt_tt_1"/>
        <s v="http://www.imdb.com/title/tt0458290/?ref_=fn_tt_tt_1"/>
        <s v="http://www.imdb.com/title/tt1641841/?ref_=fn_tt_tt_1"/>
        <s v="http://www.imdb.com/title/tt0093437/?ref_=fn_tt_tt_1"/>
        <s v="http://www.imdb.com/title/tt1263670/?ref_=fn_tt_tt_1"/>
        <s v="http://www.imdb.com/title/tt0079826/?ref_=fn_tt_tt_1"/>
        <s v="http://www.imdb.com/title/tt1171222/?ref_=fn_tt_tt_1"/>
        <s v="http://www.imdb.com/title/tt0062711/?ref_=fn_tt_tt_1"/>
        <s v="http://www.imdb.com/title/tt0099816/?ref_=fn_tt_tt_1"/>
        <s v="http://www.imdb.com/title/tt0126886/?ref_=fn_tt_tt_1"/>
        <s v="http://www.imdb.com/title/tt0433416/?ref_=fn_tt_tt_1"/>
        <s v="http://www.imdb.com/title/tt1666801/?ref_=fn_tt_tt_1"/>
        <s v="http://www.imdb.com/title/tt0118589/?ref_=fn_tt_tt_1"/>
        <s v="http://www.imdb.com/title/tt1457765/?ref_=fn_tt_tt_1"/>
        <s v="http://www.imdb.com/title/tt0387596/?ref_=fn_tt_tt_1"/>
        <s v="http://www.imdb.com/title/tt0810784/?ref_=fn_tt_tt_1"/>
        <s v="http://www.imdb.com/title/tt1188996/?ref_=fn_tt_tt_1"/>
        <s v="http://www.imdb.com/title/tt2017038/?ref_=fn_tt_tt_1"/>
        <s v="http://www.imdb.com/title/tt0164085/?ref_=fn_tt_tt_1"/>
        <s v="http://www.imdb.com/title/tt0795434/?ref_=fn_tt_tt_1"/>
        <s v="http://www.imdb.com/title/tt0460989/?ref_=fn_tt_tt_1"/>
        <s v="http://www.imdb.com/title/tt2178470/?ref_=fn_tt_tt_1"/>
        <s v="http://www.imdb.com/title/tt0043949/?ref_=fn_tt_tt_1"/>
        <s v="http://www.imdb.com/title/tt0963194/?ref_=fn_tt_tt_1"/>
        <s v="http://www.imdb.com/title/tt0493264/?ref_=fn_tt_tt_1"/>
        <s v="http://www.imdb.com/title/tt0110912/?ref_=fn_tt_tt_1"/>
        <s v="http://www.imdb.com/title/tt0079588/?ref_=fn_tt_tt_1"/>
        <s v="http://www.imdb.com/title/tt2872718/?ref_=fn_tt_tt_1"/>
        <s v="http://www.imdb.com/title/tt0331953/?ref_=fn_tt_tt_1"/>
        <s v="http://www.imdb.com/title/tt0059742/?ref_=fn_tt_tt_1"/>
        <s v="http://www.imdb.com/title/tt0088161/?ref_=fn_tt_tt_1"/>
        <s v="http://www.imdb.com/title/tt0449059/?ref_=fn_tt_tt_1"/>
        <s v="http://www.imdb.com/title/tt0092005/?ref_=fn_tt_tt_1"/>
        <s v="http://www.imdb.com/title/tt0289043/?ref_=fn_tt_tt_1"/>
        <s v="http://www.imdb.com/title/tt0365957/?ref_=fn_tt_tt_1"/>
        <s v="http://www.imdb.com/title/tt0079116/?ref_=fn_tt_tt_1"/>
        <s v="http://www.imdb.com/title/tt0297037/?ref_=fn_tt_tt_1"/>
        <s v="http://www.imdb.com/title/tt0117891/?ref_=fn_tt_tt_1"/>
        <s v="http://www.imdb.com/title/tt1306980/?ref_=fn_tt_tt_1"/>
        <s v="http://www.imdb.com/title/tt0482599/?ref_=fn_tt_tt_1"/>
        <s v="http://www.imdb.com/title/tt1800246/?ref_=fn_tt_tt_1"/>
        <s v="http://www.imdb.com/title/tt0082763/?ref_=fn_tt_tt_1"/>
        <s v="http://www.imdb.com/title/tt4254584/?ref_=fn_tt_tt_1"/>
        <s v="http://www.imdb.com/title/tt0107616/?ref_=fn_tt_tt_1"/>
        <s v="http://www.imdb.com/title/tt0064757/?ref_=fn_tt_tt_1"/>
        <s v="http://www.imdb.com/title/tt4474310/?ref_=fn_tt_tt_1"/>
        <s v="http://www.imdb.com/title/tt0111686/?ref_=fn_tt_tt_1"/>
        <s v="http://www.imdb.com/title/tt0164114/?ref_=fn_tt_tt_1"/>
        <s v="http://www.imdb.com/title/tt0437800/?ref_=fn_tt_tt_1"/>
        <s v="http://www.imdb.com/title/tt0120693/?ref_=fn_tt_tt_1"/>
        <s v="http://www.imdb.com/title/tt1095174/?ref_=fn_tt_tt_1"/>
        <s v="http://www.imdb.com/title/tt0144084/?ref_=fn_tt_tt_1"/>
        <s v="http://www.imdb.com/title/tt0279113/?ref_=fn_tt_tt_1"/>
        <s v="http://www.imdb.com/title/tt0479647/?ref_=fn_tt_tt_1"/>
        <s v="http://www.imdb.com/title/tt1300851/?ref_=fn_tt_tt_1"/>
        <s v="http://www.imdb.com/title/tt0896923/?ref_=fn_tt_tt_1"/>
        <s v="http://www.imdb.com/title/tt2390361/?ref_=fn_tt_tt_1"/>
        <s v="http://www.imdb.com/title/tt1282140/?ref_=fn_tt_tt_1"/>
        <s v="http://www.imdb.com/title/tt0110137/?ref_=fn_tt_tt_1"/>
        <s v="http://www.imdb.com/title/tt0189998/?ref_=fn_tt_tt_1"/>
        <s v="http://www.imdb.com/title/tt1604171/?ref_=fn_tt_tt_1"/>
        <s v="http://www.imdb.com/title/tt0117283/?ref_=fn_tt_tt_1"/>
        <s v="http://www.imdb.com/title/tt0165831/?ref_=fn_tt_tt_1"/>
        <s v="http://www.imdb.com/title/tt0206420/?ref_=fn_tt_tt_1"/>
        <s v="http://www.imdb.com/title/tt0104454/?ref_=fn_tt_tt_1"/>
        <s v="http://www.imdb.com/title/tt5016504/?ref_=fn_tt_tt_1"/>
        <s v="http://www.imdb.com/title/tt2401878/?ref_=fn_tt_tt_1"/>
        <s v="http://www.imdb.com/title/tt1431181/?ref_=fn_tt_tt_1"/>
        <s v="http://www.imdb.com/title/tt0283832/?ref_=fn_tt_tt_1"/>
        <s v="http://www.imdb.com/title/tt0102915/?ref_=fn_tt_tt_1"/>
        <s v="http://www.imdb.com/title/tt0118863/?ref_=fn_tt_tt_1"/>
        <s v="http://www.imdb.com/title/tt0804497/?ref_=fn_tt_tt_1"/>
        <s v="http://www.imdb.com/title/tt1371155/?ref_=fn_tt_tt_1"/>
        <s v="http://www.imdb.com/title/tt0829098/?ref_=fn_tt_tt_1"/>
        <s v="http://www.imdb.com/title/tt0119937/?ref_=fn_tt_tt_1"/>
        <s v="http://www.imdb.com/title/tt0086582/?ref_=fn_tt_tt_1"/>
        <s v="http://www.imdb.com/title/tt0485601/?ref_=fn_tt_tt_1"/>
        <s v="http://www.imdb.com/title/tt1980929/?ref_=fn_tt_tt_1"/>
        <s v="http://www.imdb.com/title/tt0398027/?ref_=fn_tt_tt_1"/>
        <s v="http://www.imdb.com/title/tt0283503/?ref_=fn_tt_tt_1"/>
        <s v="http://www.imdb.com/title/tt2241676/?ref_=fn_tt_tt_1"/>
        <s v="http://www.imdb.com/title/tt0314676/?ref_=fn_tt_tt_1"/>
        <s v="http://www.imdb.com/title/tt0119494/?ref_=fn_tt_tt_1"/>
        <s v="http://www.imdb.com/title/tt0457572/?ref_=fn_tt_tt_1"/>
        <s v="http://www.imdb.com/title/tt0373445/?ref_=fn_tt_tt_1"/>
        <s v="http://www.imdb.com/title/tt1235189/?ref_=fn_tt_tt_1"/>
        <s v="http://www.imdb.com/title/tt0964539/?ref_=fn_tt_tt_1"/>
        <s v="http://www.imdb.com/title/tt1238834/?ref_=fn_tt_tt_1"/>
        <s v="http://www.imdb.com/title/tt0360323/?ref_=fn_tt_tt_1"/>
        <s v="http://www.imdb.com/title/tt0342272/?ref_=fn_tt_tt_1"/>
        <s v="http://www.imdb.com/title/tt2494384/?ref_=fn_tt_tt_1"/>
        <s v="http://www.imdb.com/title/tt0094625/?ref_=fn_tt_tt_1"/>
        <s v="http://www.imdb.com/title/tt0473188/?ref_=fn_tt_tt_1"/>
        <s v="http://www.imdb.com/title/tt0460505/?ref_=fn_tt_tt_1"/>
        <s v="http://www.imdb.com/title/tt2112277/?ref_=fn_tt_tt_1"/>
        <s v="http://www.imdb.com/title/tt2102502/?ref_=fn_tt_tt_1"/>
        <s v="http://www.imdb.com/title/tt0421994/?ref_=fn_tt_tt_1"/>
        <s v="http://www.imdb.com/title/tt4196848/?ref_=fn_tt_tt_1"/>
        <s v="http://www.imdb.com/title/tt0324133/?ref_=fn_tt_tt_1"/>
        <s v="http://www.imdb.com/title/tt2628316/?ref_=fn_tt_tt_1"/>
        <s v="http://www.imdb.com/title/tt0094764/?ref_=fn_tt_tt_1"/>
        <s v="http://www.imdb.com/title/tt4060866/?ref_=fn_tt_tt_1"/>
        <s v="http://www.imdb.com/title/tt0097239/?ref_=fn_tt_tt_1"/>
        <s v="http://www.imdb.com/title/tt0120169/?ref_=fn_tt_tt_1"/>
        <s v="http://www.imdb.com/title/tt0113326/?ref_=fn_tt_tt_1"/>
        <s v="http://www.imdb.com/title/tt2936180/?ref_=fn_tt_tt_1"/>
        <s v="http://www.imdb.com/title/tt0427944/?ref_=fn_tt_tt_1"/>
        <s v="http://www.imdb.com/title/tt0498353/?ref_=fn_tt_tt_1"/>
        <s v="http://www.imdb.com/title/tt1174732/?ref_=fn_tt_tt_1"/>
        <s v="http://www.imdb.com/title/tt0338427/?ref_=fn_tt_tt_1"/>
        <s v="http://www.imdb.com/title/tt0087428/?ref_=fn_tt_tt_1"/>
        <s v="http://www.imdb.com/title/tt0272207/?ref_=fn_tt_tt_1"/>
        <s v="http://www.imdb.com/title/tt0263734/?ref_=fn_tt_tt_1"/>
        <s v="http://www.imdb.com/title/tt1001562/?ref_=fn_tt_tt_1"/>
        <s v="http://www.imdb.com/title/tt0410454/?ref_=fn_tt_tt_1"/>
        <s v="http://www.imdb.com/title/tt1225822/?ref_=fn_tt_tt_1"/>
        <s v="http://www.imdb.com/title/tt0319829/?ref_=fn_tt_tt_1"/>
        <s v="http://www.imdb.com/title/tt0269329/?ref_=fn_tt_tt_1"/>
        <s v="http://www.imdb.com/title/tt0345061/?ref_=fn_tt_tt_1"/>
        <s v="http://www.imdb.com/title/tt1772422/?ref_=fn_tt_tt_1"/>
        <s v="http://www.imdb.com/title/tt1602098/?ref_=fn_tt_tt_1"/>
        <s v="http://www.imdb.com/title/tt2147225/?ref_=fn_tt_tt_1"/>
        <s v="http://www.imdb.com/title/tt0833553/?ref_=fn_tt_tt_1"/>
        <s v="http://www.imdb.com/title/tt0808417/?ref_=fn_tt_tt_1"/>
        <s v="http://www.imdb.com/title/tt1085779/?ref_=fn_tt_tt_1"/>
        <s v="http://www.imdb.com/title/tt1063669/?ref_=fn_tt_tt_1"/>
        <s v="http://www.imdb.com/title/tt1974419/?ref_=fn_tt_tt_1"/>
        <s v="http://www.imdb.com/title/tt1289406/?ref_=fn_tt_tt_1"/>
        <s v="http://www.imdb.com/title/tt0203408/?ref_=fn_tt_tt_1"/>
        <s v="http://www.imdb.com/title/tt0467406/?ref_=fn_tt_tt_1"/>
        <s v="http://www.imdb.com/title/tt3488328/?ref_=fn_tt_tt_1"/>
        <s v="http://www.imdb.com/title/tt0066995/?ref_=fn_tt_tt_1"/>
        <s v="http://www.imdb.com/title/tt0068646/?ref_=fn_tt_tt_1"/>
        <s v="http://www.imdb.com/title/tt0085549/?ref_=fn_tt_tt_1"/>
        <s v="http://www.imdb.com/title/tt1022603/?ref_=fn_tt_tt_1"/>
        <s v="http://www.imdb.com/title/tt0107822/?ref_=fn_tt_tt_1"/>
        <s v="http://www.imdb.com/title/tt1915581/?ref_=fn_tt_tt_1"/>
        <s v="http://www.imdb.com/title/tt0282209/?ref_=fn_tt_tt_1"/>
        <s v="http://www.imdb.com/title/tt0070328/?ref_=fn_tt_tt_1"/>
        <s v="http://www.imdb.com/title/tt0156812/?ref_=fn_tt_tt_1"/>
        <s v="http://www.imdb.com/title/tt0832266/?ref_=fn_tt_tt_1"/>
        <s v="http://www.imdb.com/title/tt1640484/?ref_=fn_tt_tt_1"/>
        <s v="http://www.imdb.com/title/tt0433383/?ref_=fn_tt_tt_1"/>
        <s v="http://www.imdb.com/title/tt0379725/?ref_=fn_tt_tt_1"/>
        <s v="http://www.imdb.com/title/tt0112851/?ref_=fn_tt_tt_1"/>
        <s v="http://www.imdb.com/title/tt2802850/?ref_=fn_tt_tt_1"/>
        <s v="http://www.imdb.com/title/tt0074812/?ref_=fn_tt_tt_1"/>
        <s v="http://www.imdb.com/title/tt0071807/?ref_=fn_tt_tt_1"/>
        <s v="http://www.imdb.com/title/tt0094612/?ref_=fn_tt_tt_1"/>
        <s v="http://www.imdb.com/title/tt0435625/?ref_=fn_tt_tt_1"/>
        <s v="http://www.imdb.com/title/tt0245280/?ref_=fn_tt_tt_1"/>
        <s v="http://www.imdb.com/title/tt2752758/?ref_=fn_tt_tt_1"/>
        <s v="http://www.imdb.com/title/tt0116324/?ref_=fn_tt_tt_1"/>
        <s v="http://www.imdb.com/title/tt0395584/?ref_=fn_tt_tt_1"/>
        <s v="http://www.imdb.com/title/tt0118276/?ref_=fn_tt_tt_1"/>
        <s v="http://www.imdb.com/title/tt3850214/?ref_=fn_tt_tt_1"/>
        <s v="http://www.imdb.com/title/tt0160401/?ref_=fn_tt_tt_1"/>
        <s v="http://www.imdb.com/title/tt0251736/?ref_=fn_tt_tt_1"/>
        <s v="http://www.imdb.com/title/tt0072626/?ref_=fn_tt_tt_1"/>
        <s v="http://www.imdb.com/title/tt1019452/?ref_=fn_tt_tt_1"/>
        <s v="http://www.imdb.com/title/tt1194263/?ref_=fn_tt_tt_1"/>
        <s v="http://www.imdb.com/title/tt0098622/?ref_=fn_tt_tt_1"/>
        <s v="http://www.imdb.com/title/tt3125324/?ref_=fn_tt_tt_1"/>
        <s v="http://www.imdb.com/title/tt1315981/?ref_=fn_tt_tt_1"/>
        <s v="http://www.imdb.com/title/tt0095497/?ref_=fn_tt_tt_1"/>
        <s v="http://www.imdb.com/title/tt0125971/?ref_=fn_tt_tt_1"/>
        <s v="http://www.imdb.com/title/tt0361411/?ref_=fn_tt_tt_1"/>
        <s v="http://www.imdb.com/title/tt0252444/?ref_=fn_tt_tt_1"/>
        <s v="http://www.imdb.com/title/tt0785077/?ref_=fn_tt_tt_1"/>
        <s v="http://www.imdb.com/title/tt0105459/?ref_=fn_tt_tt_1"/>
        <s v="http://www.imdb.com/title/tt1592154/?ref_=fn_tt_tt_1"/>
        <s v="http://www.imdb.com/title/tt0250371/?ref_=fn_tt_tt_1"/>
        <s v="http://www.imdb.com/title/tt0204993/?ref_=fn_tt_tt_1"/>
        <s v="http://www.imdb.com/title/tt0420332/?ref_=fn_tt_tt_1"/>
        <s v="http://www.imdb.com/title/tt1012804/?ref_=fn_tt_tt_1"/>
        <s v="http://www.imdb.com/title/tt1336617/?ref_=fn_tt_tt_1"/>
        <s v="http://www.imdb.com/title/tt0160216/?ref_=fn_tt_tt_1"/>
        <s v="http://www.imdb.com/title/tt0298744/?ref_=fn_tt_tt_1"/>
        <s v="http://www.imdb.com/title/tt0432402/?ref_=fn_tt_tt_1"/>
        <s v="http://www.imdb.com/title/tt1242460/?ref_=fn_tt_tt_1"/>
        <s v="http://www.imdb.com/title/tt2739338/?ref_=fn_tt_tt_1"/>
        <s v="http://www.imdb.com/title/tt1034324/?ref_=fn_tt_tt_1"/>
        <s v="http://www.imdb.com/title/tt0085868/?ref_=fn_tt_tt_1"/>
        <s v="http://www.imdb.com/title/tt1121977/?ref_=fn_tt_tt_1"/>
        <s v="http://www.imdb.com/title/tt0076175/?ref_=fn_tt_tt_1"/>
        <s v="http://www.imdb.com/title/tt0108500/?ref_=fn_tt_tt_1"/>
        <s v="http://www.imdb.com/title/tt1421051/?ref_=fn_tt_tt_1"/>
        <s v="http://www.imdb.com/title/tt1220628/?ref_=fn_tt_tt_1"/>
        <s v="http://www.imdb.com/title/tt0118836/?ref_=fn_tt_tt_1"/>
        <s v="http://www.imdb.com/title/tt1403177/?ref_=fn_tt_tt_1"/>
        <s v="http://www.imdb.com/title/tt2402105/?ref_=fn_tt_tt_1"/>
        <s v="http://www.imdb.com/title/tt0302674/?ref_=fn_tt_tt_1"/>
        <s v="http://www.imdb.com/title/tt0301390/?ref_=fn_tt_tt_1"/>
        <s v="http://www.imdb.com/title/tt1658801/?ref_=fn_tt_tt_1"/>
        <s v="http://www.imdb.com/title/tt1361313/?ref_=fn_tt_tt_1"/>
        <s v="http://www.imdb.com/title/tt2328813/?ref_=fn_tt_tt_1"/>
        <s v="http://www.imdb.com/title/tt1106860/?ref_=fn_tt_tt_1"/>
        <s v="http://www.imdb.com/title/tt0419256/?ref_=fn_tt_tt_1"/>
        <s v="http://www.imdb.com/title/tt0144117/?ref_=fn_tt_tt_1"/>
        <s v="http://www.imdb.com/title/tt3469440/?ref_=fn_tt_tt_1"/>
        <s v="http://www.imdb.com/title/tt1756851/?ref_=fn_tt_tt_1"/>
        <s v="http://www.imdb.com/title/tt2243621/?ref_=fn_tt_tt_1"/>
        <s v="http://www.imdb.com/title/tt4061848/?ref_=fn_tt_tt_1"/>
        <s v="http://www.imdb.com/title/tt0089767/?ref_=fn_tt_tt_1"/>
        <s v="http://www.imdb.com/title/tt0942903/?ref_=fn_tt_tt_1"/>
        <s v="http://www.imdb.com/title/tt0106677/?ref_=fn_tt_tt_1"/>
        <s v="http://www.imdb.com/title/tt0810900/?ref_=fn_tt_tt_1"/>
        <s v="http://www.imdb.com/title/tt4412528/?ref_=fn_tt_tt_1"/>
        <s v="http://www.imdb.com/title/tt3687310/?ref_=fn_tt_tt_1"/>
        <s v="http://www.imdb.com/title/tt0130444/?ref_=fn_tt_tt_1"/>
        <s v="http://www.imdb.com/title/tt0406650/?ref_=fn_tt_tt_1"/>
        <s v="http://www.imdb.com/title/tt0323939/?ref_=fn_tt_tt_1"/>
        <s v="http://www.imdb.com/title/tt1582507/?ref_=fn_tt_tt_1"/>
        <s v="http://www.imdb.com/title/tt1255953/?ref_=fn_tt_tt_1"/>
        <s v="http://www.imdb.com/title/tt0323807/?ref_=fn_tt_tt_1"/>
        <s v="http://www.imdb.com/title/tt1003034/?ref_=fn_tt_tt_1"/>
        <s v="http://www.imdb.com/title/tt0861739/?ref_=fn_tt_tt_1"/>
        <s v="http://www.imdb.com/title/tt3322940/?ref_=fn_tt_tt_1"/>
        <s v="http://www.imdb.com/title/tt1148165/?ref_=fn_tt_tt_1"/>
        <s v="http://www.imdb.com/title/tt0101507/?ref_=fn_tt_tt_1"/>
        <s v="http://www.imdb.com/title/tt0093378/?ref_=fn_tt_tt_1"/>
        <s v="http://www.imdb.com/title/tt0082405/?ref_=fn_tt_tt_1"/>
        <s v="http://www.imdb.com/title/tt0080661/?ref_=fn_tt_tt_1"/>
        <s v="http://www.imdb.com/title/tt0106223/?ref_=fn_tt_tt_1"/>
        <s v="http://www.imdb.com/title/tt0139239/?ref_=fn_tt_tt_1"/>
        <s v="http://www.imdb.com/title/tt0436331/?ref_=fn_tt_tt_1"/>
        <s v="http://www.imdb.com/title/tt0066769/?ref_=fn_tt_tt_1"/>
        <s v="http://www.imdb.com/title/tt0200469/?ref_=fn_tt_tt_1"/>
        <s v="http://www.imdb.com/title/tt0161860/?ref_=fn_tt_tt_1"/>
        <s v="http://www.imdb.com/title/tt1723811/?ref_=fn_tt_tt_1"/>
        <s v="http://www.imdb.com/title/tt0375912/?ref_=fn_tt_tt_1"/>
        <s v="http://www.imdb.com/title/tt0457530/?ref_=fn_tt_tt_1"/>
        <s v="http://www.imdb.com/title/tt1869716/?ref_=fn_tt_tt_1"/>
        <s v="http://www.imdb.com/title/tt0359423/?ref_=fn_tt_tt_1"/>
        <s v="http://www.imdb.com/title/tt0168446/?ref_=fn_tt_tt_1"/>
        <s v="http://www.imdb.com/title/tt0790712/?ref_=fn_tt_tt_1"/>
        <s v="http://www.imdb.com/title/tt1414378/?ref_=fn_tt_tt_1"/>
        <s v="http://www.imdb.com/title/tt0421082/?ref_=fn_tt_tt_1"/>
        <s v="http://www.imdb.com/title/tt0088247/?ref_=fn_tt_tt_1"/>
        <s v="http://www.imdb.com/title/tt0301357/?ref_=fn_tt_tt_1"/>
        <s v="http://www.imdb.com/title/tt1226271/?ref_=fn_tt_tt_1"/>
        <s v="http://www.imdb.com/title/tt0089907/?ref_=fn_tt_tt_1"/>
        <s v="http://www.imdb.com/title/tt2049116/?ref_=fn_tt_tt_1"/>
        <s v="http://www.imdb.com/title/tt0113749/?ref_=fn_tt_tt_1"/>
        <s v="http://www.imdb.com/title/tt0077631/?ref_=fn_tt_tt_1"/>
        <s v="http://www.imdb.com/title/tt0091763/?ref_=fn_tt_tt_1"/>
        <s v="http://www.imdb.com/title/tt0361596/?ref_=fn_tt_tt_1"/>
        <s v="http://www.imdb.com/title/tt0064115/?ref_=fn_tt_tt_1"/>
        <s v="http://www.imdb.com/title/tt0058331/?ref_=fn_tt_tt_1"/>
        <s v="http://www.imdb.com/title/tt0081283/?ref_=fn_tt_tt_1"/>
        <s v="http://www.imdb.com/title/tt0055614/?ref_=fn_tt_tt_1"/>
        <s v="http://www.imdb.com/title/tt0080487/?ref_=fn_tt_tt_1"/>
        <s v="http://www.imdb.com/title/tt0250274/?ref_=fn_tt_tt_1"/>
        <s v="http://www.imdb.com/title/tt0161100/?ref_=fn_tt_tt_1"/>
        <s v="http://www.imdb.com/title/tt0114814/?ref_=fn_tt_tt_1"/>
        <s v="http://www.imdb.com/title/tt0097981/?ref_=fn_tt_tt_1"/>
        <s v="http://www.imdb.com/title/tt0283111/?ref_=fn_tt_tt_1"/>
        <s v="http://www.imdb.com/title/tt1125849/?ref_=fn_tt_tt_1"/>
        <s v="http://www.imdb.com/title/tt0038499/?ref_=fn_tt_tt_1"/>
        <s v="http://www.imdb.com/title/tt0218839/?ref_=fn_tt_tt_1"/>
        <s v="http://www.imdb.com/title/tt0082340/?ref_=fn_tt_tt_1"/>
        <s v="http://www.imdb.com/title/tt0096054/?ref_=fn_tt_tt_1"/>
        <s v="http://www.imdb.com/title/tt0462244/?ref_=fn_tt_tt_1"/>
        <s v="http://www.imdb.com/title/tt0117786/?ref_=fn_tt_tt_1"/>
        <s v="http://www.imdb.com/title/tt0310281/?ref_=fn_tt_tt_1"/>
        <s v="http://www.imdb.com/title/tt0095690/?ref_=fn_tt_tt_1"/>
        <s v="http://www.imdb.com/title/tt3910804/?ref_=fn_tt_tt_1"/>
        <s v="http://www.imdb.com/title/tt0120148/?ref_=fn_tt_tt_1"/>
        <s v="http://www.imdb.com/title/tt0114609/?ref_=fn_tt_tt_1"/>
        <s v="http://www.imdb.com/title/tt0455590/?ref_=fn_tt_tt_1"/>
        <s v="http://www.imdb.com/title/tt0097474/?ref_=fn_tt_tt_1"/>
        <s v="http://www.imdb.com/title/tt1704573/?ref_=fn_tt_tt_1"/>
        <s v="http://www.imdb.com/title/tt0996382/?ref_=fn_tt_tt_1"/>
        <s v="http://www.imdb.com/title/tt0183659/?ref_=fn_tt_tt_1"/>
        <s v="http://www.imdb.com/title/tt0137338/?ref_=fn_tt_tt_1"/>
        <s v="http://www.imdb.com/title/tt1840417/?ref_=fn_tt_tt_1"/>
        <s v="http://www.imdb.com/title/tt1702425/?ref_=fn_tt_tt_1"/>
        <s v="http://www.imdb.com/title/tt1174730/?ref_=fn_tt_tt_1"/>
        <s v="http://www.imdb.com/title/tt1540133/?ref_=fn_tt_tt_1"/>
        <s v="http://www.imdb.com/title/tt0844671/?ref_=fn_tt_tt_1"/>
        <s v="http://www.imdb.com/title/tt0159097/?ref_=fn_tt_tt_1"/>
        <s v="http://www.imdb.com/title/tt0147004/?ref_=fn_tt_tt_1"/>
        <s v="http://www.imdb.com/title/tt1151922/?ref_=fn_tt_tt_1"/>
        <s v="http://www.imdb.com/title/tt2870708/?ref_=fn_tt_tt_1"/>
        <s v="http://www.imdb.com/title/tt0145893/?ref_=fn_tt_tt_1"/>
        <s v="http://www.imdb.com/title/tt0412253/?ref_=fn_tt_tt_1"/>
        <s v="http://www.imdb.com/title/tt0248845/?ref_=fn_tt_tt_1"/>
        <s v="http://www.imdb.com/title/tt0107750/?ref_=fn_tt_tt_1"/>
        <s v="http://www.imdb.com/title/tt3432552/?ref_=fn_tt_tt_1"/>
        <s v="http://www.imdb.com/title/tt0323944/?ref_=fn_tt_tt_1"/>
        <s v="http://www.imdb.com/title/tt0234354/?ref_=fn_tt_tt_1"/>
        <s v="http://www.imdb.com/title/tt0270259/?ref_=fn_tt_tt_1"/>
        <s v="http://www.imdb.com/title/tt0065214/?ref_=fn_tt_tt_1"/>
        <s v="http://www.imdb.com/title/tt1082886/?ref_=fn_tt_tt_1"/>
        <s v="http://www.imdb.com/title/tt0079240/?ref_=fn_tt_tt_1"/>
        <s v="http://www.imdb.com/title/tt0300214/?ref_=fn_tt_tt_1"/>
        <s v="http://www.imdb.com/title/tt0101412/?ref_=fn_tt_tt_1"/>
        <s v="http://www.imdb.com/title/tt1130964/?ref_=fn_tt_tt_1"/>
        <s v="http://www.imdb.com/title/tt0322289/?ref_=fn_tt_tt_1"/>
        <s v="http://www.imdb.com/title/tt1226232/?ref_=fn_tt_tt_1"/>
        <s v="http://www.imdb.com/title/tt1541995/?ref_=fn_tt_tt_1"/>
        <s v="http://www.imdb.com/title/tt0457308/?ref_=fn_tt_tt_1"/>
        <s v="http://www.imdb.com/title/tt0246134/?ref_=fn_tt_tt_1"/>
        <s v="http://www.imdb.com/title/tt0076245/?ref_=fn_tt_tt_1"/>
        <s v="http://www.imdb.com/title/tt0976247/?ref_=fn_tt_tt_1"/>
        <s v="http://www.imdb.com/title/tt0841119/?ref_=fn_tt_tt_1"/>
        <s v="http://www.imdb.com/title/tt0331811/?ref_=fn_tt_tt_1"/>
        <s v="http://www.imdb.com/title/tt0110490/?ref_=fn_tt_tt_1"/>
        <s v="http://www.imdb.com/title/tt1281374/?ref_=fn_tt_tt_1"/>
        <s v="http://www.imdb.com/title/tt1667310/?ref_=fn_tt_tt_1"/>
        <s v="http://www.imdb.com/title/tt1014774/?ref_=fn_tt_tt_1"/>
        <s v="http://www.imdb.com/title/tt1575694/?ref_=fn_tt_tt_1"/>
        <s v="http://www.imdb.com/title/tt1366312/?ref_=fn_tt_tt_1"/>
        <s v="http://www.imdb.com/title/tt0086541/?ref_=fn_tt_tt_1"/>
        <s v="http://www.imdb.com/title/tt0283900/?ref_=fn_tt_tt_1"/>
        <s v="http://www.imdb.com/title/tt2182972/?ref_=fn_tt_tt_1"/>
        <s v="http://www.imdb.com/title/tt0795441/?ref_=fn_tt_tt_1"/>
        <s v="http://www.imdb.com/title/tt0938305/?ref_=fn_tt_tt_1"/>
        <s v="http://www.imdb.com/title/tt0059825/?ref_=fn_tt_tt_1"/>
        <s v="http://www.imdb.com/title/tt1772408/?ref_=fn_tt_tt_1"/>
        <s v="http://www.imdb.com/title/tt0427954/?ref_=fn_tt_tt_1"/>
        <s v="http://www.imdb.com/title/tt0120210/?ref_=fn_tt_tt_1"/>
        <s v="http://www.imdb.com/title/tt1220617/?ref_=fn_tt_tt_1"/>
        <s v="http://www.imdb.com/title/tt0286499/?ref_=fn_tt_tt_1"/>
        <s v="http://www.imdb.com/title/tt0286179/?ref_=fn_tt_tt_1"/>
        <s v="http://www.imdb.com/title/tt0473024/?ref_=fn_tt_tt_1"/>
        <s v="http://www.imdb.com/title/tt2166214/?ref_=fn_tt_tt_1"/>
        <s v="http://www.imdb.com/title/tt1245112/?ref_=fn_tt_tt_1"/>
        <s v="http://www.imdb.com/title/tt1303803/?ref_=fn_tt_tt_1"/>
        <s v="http://www.imdb.com/title/tt0070735/?ref_=fn_tt_tt_1"/>
        <s v="http://www.imdb.com/title/tt0082158/?ref_=fn_tt_tt_1"/>
        <s v="http://www.imdb.com/title/tt0422093/?ref_=fn_tt_tt_1"/>
        <s v="http://www.imdb.com/title/tt0117631/?ref_=fn_tt_tt_1"/>
        <s v="http://www.imdb.com/title/tt2229499/?ref_=fn_tt_tt_1"/>
        <s v="http://www.imdb.com/title/tt0068699/?ref_=fn_tt_tt_1"/>
        <s v="http://www.imdb.com/title/tt0162346/?ref_=fn_tt_tt_1"/>
        <s v="http://www.imdb.com/title/tt0280778/?ref_=fn_tt_tt_1"/>
        <s v="http://www.imdb.com/title/tt0080771/?ref_=fn_tt_tt_1"/>
        <s v="http://www.imdb.com/title/tt0372824/?ref_=fn_tt_tt_1"/>
        <s v="http://www.imdb.com/title/tt0330602/?ref_=fn_tt_tt_1"/>
        <s v="http://www.imdb.com/title/tt0335563/?ref_=fn_tt_tt_1"/>
        <s v="http://www.imdb.com/title/tt0097216/?ref_=fn_tt_tt_1"/>
        <s v="http://www.imdb.com/title/tt0242508/?ref_=fn_tt_tt_1"/>
        <s v="http://www.imdb.com/title/tt1508675/?ref_=fn_tt_tt_1"/>
        <s v="http://www.imdb.com/title/tt0290673/?ref_=fn_tt_tt_1"/>
        <s v="http://www.imdb.com/title/tt2914838/?ref_=fn_tt_tt_1"/>
        <s v="http://www.imdb.com/title/tt0405508/?ref_=fn_tt_tt_1"/>
        <s v="http://www.imdb.com/title/tt3297554/?ref_=fn_tt_tt_1"/>
        <s v="http://www.imdb.com/title/tt1251743/?ref_=fn_tt_tt_1"/>
        <s v="http://www.imdb.com/title/tt0811106/?ref_=fn_tt_tt_1"/>
        <s v="http://www.imdb.com/title/tt0202559/?ref_=fn_tt_tt_1"/>
        <s v="http://www.imdb.com/title/tt1614989/?ref_=fn_tt_tt_1"/>
        <s v="http://www.imdb.com/title/tt1525366/?ref_=fn_tt_tt_1"/>
        <s v="http://www.imdb.com/title/tt0384488/?ref_=fn_tt_tt_1"/>
        <s v="http://www.imdb.com/title/tt2667960/?ref_=fn_tt_tt_1"/>
        <s v="http://www.imdb.com/title/tt0081534/?ref_=fn_tt_tt_1"/>
        <s v="http://www.imdb.com/title/tt1618430/?ref_=fn_tt_tt_1"/>
        <s v="http://www.imdb.com/title/tt2226417/?ref_=fn_tt_tt_1"/>
        <s v="http://www.imdb.com/title/tt0432348/?ref_=fn_tt_tt_1"/>
        <s v="http://www.imdb.com/title/tt1179933/?ref_=fn_tt_tt_1"/>
        <s v="http://www.imdb.com/title/tt0322802/?ref_=fn_tt_tt_1"/>
        <s v="http://www.imdb.com/title/tt4786282/?ref_=fn_tt_tt_1"/>
        <s v="http://www.imdb.com/title/tt1778304/?ref_=fn_tt_tt_1"/>
        <s v="http://www.imdb.com/title/tt1204977/?ref_=fn_tt_tt_1"/>
        <s v="http://www.imdb.com/title/tt0093629/?ref_=fn_tt_tt_1"/>
        <s v="http://www.imdb.com/title/tt2378281/?ref_=fn_tt_tt_1"/>
        <s v="http://www.imdb.com/title/tt2109184/?ref_=fn_tt_tt_1"/>
        <s v="http://www.imdb.com/title/tt0046247/?ref_=fn_tt_tt_1"/>
        <s v="http://www.imdb.com/title/tt0072081/?ref_=fn_tt_tt_1"/>
        <s v="http://www.imdb.com/title/tt0101917/?ref_=fn_tt_tt_1"/>
        <s v="http://www.imdb.com/title/tt0340855/?ref_=fn_tt_tt_1"/>
        <s v="http://www.imdb.com/title/tt0046672/?ref_=fn_tt_tt_1"/>
        <s v="http://www.imdb.com/title/tt2473682/?ref_=fn_tt_tt_1"/>
        <s v="http://www.imdb.com/title/tt0080678/?ref_=fn_tt_tt_1"/>
        <s v="http://www.imdb.com/title/tt0790636/?ref_=fn_tt_tt_1"/>
        <s v="http://www.imdb.com/title/tt2918436/?ref_=fn_tt_tt_1"/>
        <s v="http://www.imdb.com/title/tt0209144/?ref_=fn_tt_tt_1"/>
        <s v="http://www.imdb.com/title/tt2388715/?ref_=fn_tt_tt_1"/>
        <s v="http://www.imdb.com/title/tt0424345/?ref_=fn_tt_tt_1"/>
        <s v="http://www.imdb.com/title/tt0249462/?ref_=fn_tt_tt_1"/>
        <s v="http://www.imdb.com/title/tt1727388/?ref_=fn_tt_tt_1"/>
        <s v="http://www.imdb.com/title/tt0102065/?ref_=fn_tt_tt_1"/>
        <s v="http://www.imdb.com/title/tt0084296/?ref_=fn_tt_tt_1"/>
        <s v="http://www.imdb.com/title/tt0187819/?ref_=fn_tt_tt_1"/>
        <s v="http://www.imdb.com/title/tt0118632/?ref_=fn_tt_tt_1"/>
        <s v="http://www.imdb.com/title/tt0082766/?ref_=fn_tt_tt_1"/>
        <s v="http://www.imdb.com/title/tt1637706/?ref_=fn_tt_tt_1"/>
        <s v="http://www.imdb.com/title/tt3499096/?ref_=fn_tt_tt_1"/>
        <s v="http://www.imdb.com/title/tt0119905/?ref_=fn_tt_tt_1"/>
        <s v="http://www.imdb.com/title/tt2870612/?ref_=fn_tt_tt_1"/>
        <s v="http://www.imdb.com/title/tt2205401/?ref_=fn_tt_tt_1"/>
        <s v="http://www.imdb.com/title/tt0119080/?ref_=fn_tt_tt_1"/>
        <s v="http://www.imdb.com/title/tt3316960/?ref_=fn_tt_tt_1"/>
        <s v="http://www.imdb.com/title/tt0046949/?ref_=fn_tt_tt_1"/>
        <s v="http://www.imdb.com/title/tt0082817/?ref_=fn_tt_tt_1"/>
        <s v="http://www.imdb.com/title/tt0097388/?ref_=fn_tt_tt_1"/>
        <s v="http://www.imdb.com/title/tt0259446/?ref_=fn_tt_tt_1"/>
        <s v="http://www.imdb.com/title/tt2101441/?ref_=fn_tt_tt_1"/>
        <s v="http://www.imdb.com/title/tt0113253/?ref_=fn_tt_tt_1"/>
        <s v="http://www.imdb.com/title/tt0245574/?ref_=fn_tt_tt_1"/>
        <s v="http://www.imdb.com/title/tt0365748/?ref_=fn_tt_tt_1"/>
        <s v="http://www.imdb.com/title/tt1045655/?ref_=fn_tt_tt_1"/>
        <s v="http://www.imdb.com/title/tt0116905/?ref_=fn_tt_tt_1"/>
        <s v="http://www.imdb.com/title/tt0095271/?ref_=fn_tt_tt_1"/>
        <s v="http://www.imdb.com/title/tt0090655/?ref_=fn_tt_tt_1"/>
        <s v="http://www.imdb.com/title/tt0083833/?ref_=fn_tt_tt_1"/>
        <s v="http://www.imdb.com/title/tt0085862/?ref_=fn_tt_tt_1"/>
        <s v="http://www.imdb.com/title/tt1772240/?ref_=fn_tt_tt_1"/>
        <s v="http://www.imdb.com/title/tt0862846/?ref_=fn_tt_tt_1"/>
        <s v="http://www.imdb.com/title/tt1781922/?ref_=fn_tt_tt_1"/>
        <s v="http://www.imdb.com/title/tt0083630/?ref_=fn_tt_tt_1"/>
        <s v="http://www.imdb.com/title/tt0053290/?ref_=fn_tt_tt_1"/>
        <s v="http://www.imdb.com/title/tt4667094/?ref_=fn_tt_tt_1"/>
        <s v="http://www.imdb.com/title/tt0795438/?ref_=fn_tt_tt_1"/>
        <s v="http://www.imdb.com/title/tt0022879/?ref_=fn_tt_tt_1"/>
        <s v="http://www.imdb.com/title/tt4871980/?ref_=fn_tt_tt_1"/>
        <s v="http://www.imdb.com/title/tt0259974/?ref_=fn_tt_tt_1"/>
        <s v="http://www.imdb.com/title/tt0332375/?ref_=fn_tt_tt_1"/>
        <s v="http://www.imdb.com/title/tt0338135/?ref_=fn_tt_tt_1"/>
        <s v="http://www.imdb.com/title/tt0075147/?ref_=fn_tt_tt_1"/>
        <s v="http://www.imdb.com/title/tt0245120/?ref_=fn_tt_tt_1"/>
        <s v="http://www.imdb.com/title/tt0077572/?ref_=fn_tt_tt_1"/>
        <s v="http://www.imdb.com/title/tt0098546/?ref_=fn_tt_tt_1"/>
        <s v="http://www.imdb.com/title/tt0456554/?ref_=fn_tt_tt_1"/>
        <s v="http://www.imdb.com/title/tt0120831/?ref_=fn_tt_tt_1"/>
        <s v="http://www.imdb.com/title/tt0064116/?ref_=fn_tt_tt_1"/>
        <s v="http://www.imdb.com/title/tt0227005/?ref_=fn_tt_tt_1"/>
        <s v="http://www.imdb.com/title/tt1182345/?ref_=fn_tt_tt_1"/>
        <s v="http://www.imdb.com/title/tt0415949/?ref_=fn_tt_tt_1"/>
        <s v="http://www.imdb.com/title/tt1529567/?ref_=fn_tt_tt_1"/>
        <s v="http://www.imdb.com/title/tt0120255/?ref_=fn_tt_tt_1"/>
        <s v="http://www.imdb.com/title/tt1588337/?ref_=fn_tt_tt_1"/>
        <s v="http://www.imdb.com/title/tt0914797/?ref_=fn_tt_tt_1"/>
        <s v="http://www.imdb.com/title/tt0084171/?ref_=fn_tt_tt_1"/>
        <s v="http://www.imdb.com/title/tt0110005/?ref_=fn_tt_tt_1"/>
        <s v="http://www.imdb.com/title/tt4337690/?ref_=fn_tt_tt_1"/>
        <s v="http://www.imdb.com/title/tt1531663/?ref_=fn_tt_tt_1"/>
        <s v="http://www.imdb.com/title/tt0120906/?ref_=fn_tt_tt_1"/>
        <s v="http://www.imdb.com/title/tt0361862/?ref_=fn_tt_tt_1"/>
        <s v="http://www.imdb.com/title/tt0102307/?ref_=fn_tt_tt_1"/>
        <s v="http://www.imdb.com/title/tt1216491/?ref_=fn_tt_tt_1"/>
        <s v="http://www.imdb.com/title/tt0935075/?ref_=fn_tt_tt_1"/>
        <s v="http://www.imdb.com/title/tt0320244/?ref_=fn_tt_tt_1"/>
        <s v="http://www.imdb.com/title/tt4062536/?ref_=fn_tt_tt_1"/>
        <s v="http://www.imdb.com/title/tt0422861/?ref_=fn_tt_tt_1"/>
        <s v="http://www.imdb.com/title/tt2800038/?ref_=fn_tt_tt_1"/>
        <s v="http://www.imdb.com/title/tt0115734/?ref_=fn_tt_tt_1"/>
        <s v="http://www.imdb.com/title/tt0115495/?ref_=fn_tt_tt_1"/>
        <s v="http://www.imdb.com/title/tt0459293/?ref_=fn_tt_tt_1"/>
        <s v="http://www.imdb.com/title/tt0896866/?ref_=fn_tt_tt_1"/>
        <s v="http://www.imdb.com/title/tt0081291/?ref_=fn_tt_tt_1"/>
        <s v="http://www.imdb.com/title/tt1465522/?ref_=fn_tt_tt_1"/>
        <s v="http://www.imdb.com/title/tt1150947/?ref_=fn_tt_tt_1"/>
        <s v="http://www.imdb.com/title/tt0039927/?ref_=fn_tt_tt_1"/>
        <s v="http://www.imdb.com/title/tt0126261/?ref_=fn_tt_tt_1"/>
        <s v="http://www.imdb.com/title/tt0357585/?ref_=fn_tt_tt_1"/>
        <s v="http://www.imdb.com/title/tt3567288/?ref_=fn_tt_tt_1"/>
        <s v="http://www.imdb.com/title/tt0937237/?ref_=fn_tt_tt_1"/>
        <s v="http://www.imdb.com/title/tt0305632/?ref_=fn_tt_tt_1"/>
        <s v="http://www.imdb.com/title/tt0830900/?ref_=fn_tt_tt_1"/>
        <s v="http://www.imdb.com/title/tt1519461/?ref_=fn_tt_tt_1"/>
        <s v="http://www.imdb.com/title/tt1437358/?ref_=fn_tt_tt_1"/>
        <s v="http://www.imdb.com/title/tt0465430/?ref_=fn_tt_tt_1"/>
        <s v="http://www.imdb.com/title/tt1079444/?ref_=fn_tt_tt_1"/>
        <s v="http://www.imdb.com/title/tt0488539/?ref_=fn_tt_tt_1"/>
        <s v="http://www.imdb.com/title/tt1131732/?ref_=fn_tt_tt_1"/>
        <s v="http://www.imdb.com/title/tt0491738/?ref_=fn_tt_tt_1"/>
        <s v="http://www.imdb.com/title/tt1798243/?ref_=fn_tt_tt_1"/>
        <s v="http://www.imdb.com/title/tt1460798/?ref_=fn_tt_tt_1"/>
        <s v="http://www.imdb.com/title/tt3703148/?ref_=fn_tt_tt_1"/>
        <s v="http://www.imdb.com/title/tt2063015/?ref_=fn_tt_tt_1"/>
        <s v="http://www.imdb.com/title/tt1274586/?ref_=fn_tt_tt_1"/>
        <s v="http://www.imdb.com/title/tt1554921/?ref_=fn_tt_tt_1"/>
        <s v="http://www.imdb.com/title/tt0077294/?ref_=fn_tt_tt_1"/>
        <s v="http://www.imdb.com/title/tt1717210/?ref_=fn_tt_tt_1"/>
        <s v="http://www.imdb.com/title/tt4453560/?ref_=fn_tt_tt_1"/>
        <s v="http://www.imdb.com/title/tt3838992/?ref_=fn_tt_tt_1"/>
        <s v="http://www.imdb.com/title/tt4511566/?ref_=fn_tt_tt_1"/>
        <s v="http://www.imdb.com/title/tt0284363/?ref_=fn_tt_tt_1"/>
        <s v="http://www.imdb.com/title/tt1244668/?ref_=fn_tt_tt_1"/>
        <s v="http://www.imdb.com/title/tt0117666/?ref_=fn_tt_tt_1"/>
        <s v="http://www.imdb.com/title/tt1687901/?ref_=fn_tt_tt_1"/>
        <s v="http://www.imdb.com/title/tt0450278/?ref_=fn_tt_tt_1"/>
        <s v="http://www.imdb.com/title/tt0423409/?ref_=fn_tt_tt_1"/>
        <s v="http://www.imdb.com/title/tt1675192/?ref_=fn_tt_tt_1"/>
        <s v="http://www.imdb.com/title/tt0095484/?ref_=fn_tt_tt_1"/>
        <s v="http://www.imdb.com/title/tt0446687/?ref_=fn_tt_tt_1"/>
        <s v="http://www.imdb.com/title/tt2980708/?ref_=fn_tt_tt_1"/>
        <s v="http://www.imdb.com/title/tt0092076/?ref_=fn_tt_tt_1"/>
        <s v="http://www.imdb.com/title/tt0070518/?ref_=fn_tt_tt_1"/>
        <s v="http://www.imdb.com/title/tt1602613/?ref_=fn_tt_tt_1"/>
        <s v="http://www.imdb.com/title/tt0451673/?ref_=fn_tt_tt_1"/>
        <s v="http://www.imdb.com/title/tt1547090/?ref_=fn_tt_tt_1"/>
        <s v="http://www.imdb.com/title/tt3099638/?ref_=fn_tt_tt_1"/>
        <s v="http://www.imdb.com/title/tt0377752/?ref_=fn_tt_tt_1"/>
        <s v="http://www.imdb.com/title/tt0903131/?ref_=fn_tt_tt_1"/>
        <s v="http://www.imdb.com/title/tt1646974/?ref_=fn_tt_tt_1"/>
        <s v="http://www.imdb.com/title/tt2091427/?ref_=fn_tt_tt_1"/>
        <s v="http://www.imdb.com/title/tt0379976/?ref_=fn_tt_tt_1"/>
        <s v="http://www.imdb.com/title/tt0839938/?ref_=fn_tt_tt_1"/>
        <s v="http://www.imdb.com/title/tt0087928/?ref_=fn_tt_tt_1"/>
        <s v="http://www.imdb.com/title/tt0080453/?ref_=fn_tt_tt_1"/>
        <s v="http://www.imdb.com/title/tt0109831/?ref_=fn_tt_tt_1"/>
        <s v="http://www.imdb.com/title/tt0083929/?ref_=fn_tt_tt_1"/>
        <s v="http://www.imdb.com/title/tt0049513/?ref_=fn_tt_tt_1"/>
        <s v="http://www.imdb.com/title/tt0307901/?ref_=fn_tt_tt_1"/>
        <s v="http://www.imdb.com/title/tt3516878/?ref_=fn_tt_tt_1"/>
        <s v="http://www.imdb.com/title/tt0115736/?ref_=fn_tt_tt_1"/>
        <s v="http://www.imdb.com/title/tt0180093/?ref_=fn_tt_tt_1"/>
        <s v="http://www.imdb.com/title/tt0038116/?ref_=fn_tt_tt_1"/>
        <s v="http://www.imdb.com/title/tt0120274/?ref_=fn_tt_tt_1"/>
        <s v="http://www.imdb.com/title/tt0091886/?ref_=fn_tt_tt_1"/>
        <s v="http://www.imdb.com/title/tt3014666/?ref_=fn_tt_tt_1"/>
        <s v="http://www.imdb.com/title/tt0246578/?ref_=fn_tt_tt_1"/>
        <s v="http://www.imdb.com/title/tt0461336/?ref_=fn_tt_tt_1"/>
        <s v="http://www.imdb.com/title/tt0119448/?ref_=fn_tt_tt_1"/>
        <s v="http://www.imdb.com/title/tt0283003/?ref_=fn_tt_tt_1"/>
        <s v="http://www.imdb.com/title/tt0808526/?ref_=fn_tt_tt_1"/>
        <s v="http://www.imdb.com/title/tt0451094/?ref_=fn_tt_tt_1"/>
        <s v="http://www.imdb.com/title/tt1653911/?ref_=fn_tt_tt_1"/>
        <s v="http://www.imdb.com/title/tt0291341/?ref_=fn_tt_tt_1"/>
        <s v="http://www.imdb.com/title/tt0796212/?ref_=fn_tt_tt_1"/>
        <s v="http://www.imdb.com/title/tt1629705/?ref_=fn_tt_tt_1"/>
        <s v="http://www.imdb.com/title/tt0300140/?ref_=fn_tt_tt_1"/>
        <s v="http://www.imdb.com/title/tt0838247/?ref_=fn_tt_tt_1"/>
        <s v="http://www.imdb.com/title/tt3683702/?ref_=fn_tt_tt_1"/>
        <s v="http://www.imdb.com/title/tt0073486/?ref_=fn_tt_tt_1"/>
        <s v="http://www.imdb.com/title/tt4386242/?ref_=fn_tt_tt_1"/>
        <s v="http://www.imdb.com/title/tt0075222/?ref_=fn_tt_tt_1"/>
        <s v="http://www.imdb.com/title/tt4387040/?ref_=fn_tt_tt_1"/>
        <s v="http://www.imdb.com/title/tt0088727/?ref_=fn_tt_tt_1"/>
        <s v="http://www.imdb.com/title/tt2295722/?ref_=fn_tt_tt_1"/>
        <s v="http://www.imdb.com/title/tt0857190/?ref_=fn_tt_tt_1"/>
        <s v="http://www.imdb.com/title/tt0203119/?ref_=fn_tt_tt_1"/>
        <s v="http://www.imdb.com/title/tt1291652/?ref_=fn_tt_tt_1"/>
        <s v="http://www.imdb.com/title/tt0298228/?ref_=fn_tt_tt_1"/>
        <s v="http://www.imdb.com/title/tt1532957/?ref_=fn_tt_tt_1"/>
        <s v="http://www.imdb.com/title/tt0381940/?ref_=fn_tt_tt_1"/>
        <s v="http://www.imdb.com/title/tt0475293/?ref_=fn_tt_tt_1"/>
        <s v="http://www.imdb.com/title/tt5574490/?ref_=fn_tt_tt_1"/>
        <s v="http://www.imdb.com/title/tt0119574/?ref_=fn_tt_tt_1"/>
        <s v="http://www.imdb.com/title/tt0403358/?ref_=fn_tt_tt_1"/>
        <s v="http://www.imdb.com/title/tt0104036/?ref_=fn_tt_tt_1"/>
        <s v="http://www.imdb.com/title/tt0084522/?ref_=fn_tt_tt_1"/>
        <s v="http://www.imdb.com/title/tt1134854/?ref_=fn_tt_tt_1"/>
        <s v="http://www.imdb.com/title/tt0063350/?ref_=fn_tt_tt_1"/>
        <s v="http://www.imdb.com/title/tt0335266/?ref_=fn_tt_tt_1"/>
        <s v="http://www.imdb.com/title/tt0075686/?ref_=fn_tt_tt_1"/>
        <s v="http://www.imdb.com/title/tt0044672/?ref_=fn_tt_tt_1"/>
        <s v="http://www.imdb.com/title/tt0285742/?ref_=fn_tt_tt_1"/>
        <s v="http://www.imdb.com/title/tt1881002/?ref_=fn_tt_tt_1"/>
        <s v="http://www.imdb.com/title/tt0113627/?ref_=fn_tt_tt_1"/>
        <s v="http://www.imdb.com/title/tt2081194/?ref_=fn_tt_tt_1"/>
        <s v="http://www.imdb.com/title/tt0071524/?ref_=fn_tt_tt_1"/>
        <s v="http://www.imdb.com/title/tt3181822/?ref_=fn_tt_tt_1"/>
        <s v="http://www.imdb.com/title/tt0049875/?ref_=fn_tt_tt_1"/>
        <s v="http://www.imdb.com/title/tt0842926/?ref_=fn_tt_tt_1"/>
        <s v="http://www.imdb.com/title/tt0096256/?ref_=fn_tt_tt_1"/>
        <s v="http://www.imdb.com/title/tt0057115/?ref_=fn_tt_tt_1"/>
        <s v="http://www.imdb.com/title/tt0399877/?ref_=fn_tt_tt_1"/>
        <s v="http://www.imdb.com/title/tt2034139/?ref_=fn_tt_tt_1"/>
        <s v="http://www.imdb.com/title/tt1065073/?ref_=fn_tt_tt_1"/>
        <s v="http://www.imdb.com/title/tt0457513/?ref_=fn_tt_tt_1"/>
        <s v="http://www.imdb.com/title/tt0290332/?ref_=fn_tt_tt_1"/>
        <s v="http://www.imdb.com/title/tt0199290/?ref_=fn_tt_tt_1"/>
        <s v="http://www.imdb.com/title/tt0318374/?ref_=fn_tt_tt_1"/>
        <s v="http://www.imdb.com/title/tt0055184/?ref_=fn_tt_tt_1"/>
        <s v="http://www.imdb.com/title/tt0448075/?ref_=fn_tt_tt_1"/>
        <s v="http://www.imdb.com/title/tt0110189/?ref_=fn_tt_tt_1"/>
        <s v="http://www.imdb.com/title/tt0464141/?ref_=fn_tt_tt_1"/>
        <s v="http://www.imdb.com/title/tt2828996/?ref_=fn_tt_tt_1"/>
        <s v="http://www.imdb.com/title/tt0292644/?ref_=fn_tt_tt_1"/>
        <s v="http://www.imdb.com/title/tt0065112/?ref_=fn_tt_tt_1"/>
        <s v="http://www.imdb.com/title/tt0454987/?ref_=fn_tt_tt_1"/>
        <s v="http://www.imdb.com/title/tt0113101/?ref_=fn_tt_tt_1"/>
        <s v="http://www.imdb.com/title/tt0274812/?ref_=fn_tt_tt_1"/>
        <s v="http://www.imdb.com/title/tt0360916/?ref_=fn_tt_tt_1"/>
        <s v="http://www.imdb.com/title/tt0096219/?ref_=fn_tt_tt_1"/>
        <s v="http://www.imdb.com/title/tt0118111/?ref_=fn_tt_tt_1"/>
        <s v="http://www.imdb.com/title/tt0188863/?ref_=fn_tt_tt_1"/>
        <s v="http://www.imdb.com/title/tt0796375/?ref_=fn_tt_tt_1"/>
        <s v="http://www.imdb.com/title/tt0318761/?ref_=fn_tt_tt_1"/>
        <s v="http://www.imdb.com/title/tt0873886/?ref_=fn_tt_tt_1"/>
        <s v="http://www.imdb.com/title/tt0366780/?ref_=fn_tt_tt_1"/>
        <s v="http://www.imdb.com/title/tt0770802/?ref_=fn_tt_tt_1"/>
        <s v="http://www.imdb.com/title/tt0092615/?ref_=fn_tt_tt_1"/>
        <s v="http://www.imdb.com/title/tt1645080/?ref_=fn_tt_tt_1"/>
        <s v="http://www.imdb.com/title/tt3346224/?ref_=fn_tt_tt_1"/>
        <s v="http://www.imdb.com/title/tt0273982/?ref_=fn_tt_tt_1"/>
        <s v="http://www.imdb.com/title/tt0126859/?ref_=fn_tt_tt_1"/>
        <s v="http://www.imdb.com/title/tt2076220/?ref_=fn_tt_tt_1"/>
        <s v="http://www.imdb.com/title/tt2382396/?ref_=fn_tt_tt_1"/>
        <s v="http://www.imdb.com/title/tt0120122/?ref_=fn_tt_tt_1"/>
        <s v="http://www.imdb.com/title/tt0095904/?ref_=fn_tt_tt_1"/>
        <s v="http://www.imdb.com/title/tt0206226/?ref_=fn_tt_tt_1"/>
        <s v="http://www.imdb.com/title/tt0156639/?ref_=fn_tt_tt_1"/>
        <s v="http://www.imdb.com/title/tt2876428/?ref_=fn_tt_tt_1"/>
        <s v="http://www.imdb.com/title/tt1529572/?ref_=fn_tt_tt_1"/>
        <s v="http://www.imdb.com/title/tt0218182/?ref_=fn_tt_tt_1"/>
        <s v="http://www.imdb.com/title/tt0122906/?ref_=fn_tt_tt_1"/>
        <s v="http://www.imdb.com/title/tt2103267/?ref_=fn_tt_tt_1"/>
        <s v="http://www.imdb.com/title/tt0120878/?ref_=fn_tt_tt_1"/>
        <s v="http://www.imdb.com/title/tt0319769/?ref_=fn_tt_tt_1"/>
        <s v="http://www.imdb.com/title/tt1464580/?ref_=fn_tt_tt_1"/>
        <s v="http://www.imdb.com/title/tt1252374/?ref_=fn_tt_tt_1"/>
        <s v="http://www.imdb.com/title/tt0119502/?ref_=fn_tt_tt_1"/>
        <s v="http://www.imdb.com/title/tt2199543/?ref_=fn_tt_tt_1"/>
        <s v="http://www.imdb.com/title/tt1719071/?ref_=fn_tt_tt_1"/>
        <s v="http://www.imdb.com/title/tt1422136/?ref_=fn_tt_tt_1"/>
        <s v="http://www.imdb.com/title/tt0298482/?ref_=fn_tt_tt_1"/>
        <s v="http://www.imdb.com/title/tt3155604/?ref_=fn_tt_tt_1"/>
        <s v="http://www.imdb.com/title/tt0068156/?ref_=fn_tt_tt_1"/>
        <s v="http://www.imdb.com/title/tt1844203/?ref_=fn_tt_tt_1"/>
        <s v="http://www.imdb.com/title/tt0020960/?ref_=fn_tt_tt_1"/>
        <s v="http://www.imdb.com/title/tt0491109/?ref_=fn_tt_tt_1"/>
        <s v="http://www.imdb.com/title/tt3533916/?ref_=fn_tt_tt_1"/>
        <s v="http://www.imdb.com/title/tt1316536/?ref_=fn_tt_tt_1"/>
        <s v="http://www.imdb.com/title/tt1854582/?ref_=fn_tt_tt_1"/>
        <s v="http://www.imdb.com/title/tt2395247/?ref_=fn_tt_tt_1"/>
        <s v="http://www.imdb.com/title/tt2414822/?ref_=fn_tt_tt_1"/>
        <s v="http://www.imdb.com/title/tt0060665/?ref_=fn_tt_tt_1"/>
        <s v="http://www.imdb.com/title/tt0074958/?ref_=fn_tt_tt_1"/>
        <s v="http://www.imdb.com/title/tt0031381/?ref_=fn_tt_tt_1"/>
        <s v="http://www.imdb.com/title/tt2403393/?ref_=fn_tt_tt_1"/>
        <s v="http://www.imdb.com/title/tt0059418/?ref_=fn_tt_tt_1"/>
        <s v="http://www.imdb.com/title/tt1056477/?ref_=fn_tt_tt_1"/>
        <s v="http://www.imdb.com/title/tt0042200/?ref_=fn_tt_tt_1"/>
        <s v="http://www.imdb.com/title/tt1341167/?ref_=fn_tt_tt_1"/>
        <s v="http://www.imdb.com/title/tt0373747/?ref_=fn_tt_tt_1"/>
        <s v="http://www.imdb.com/title/tt1303828/?ref_=fn_tt_tt_1"/>
        <s v="http://www.imdb.com/title/tt0040694/?ref_=fn_tt_tt_1"/>
        <s v="http://www.imdb.com/title/tt0808285/?ref_=fn_tt_tt_1"/>
        <s v="http://www.imdb.com/title/tt0464049/?ref_=fn_tt_tt_1"/>
        <s v="http://www.imdb.com/title/tt0068098/?ref_=fn_tt_tt_1"/>
        <s v="http://www.imdb.com/title/tt0064665/?ref_=fn_tt_tt_1"/>
        <s v="http://www.imdb.com/title/tt0119164/?ref_=fn_tt_tt_1"/>
        <s v="http://www.imdb.com/title/tt0080339/?ref_=fn_tt_tt_1"/>
        <s v="http://www.imdb.com/title/tt4340720/?ref_=fn_tt_tt_1"/>
        <s v="http://www.imdb.com/title/tt0113118/?ref_=fn_tt_tt_1"/>
        <s v="http://www.imdb.com/title/tt0107554/?ref_=fn_tt_tt_1"/>
        <s v="http://www.imdb.com/title/tt3228904/?ref_=fn_tt_tt_1"/>
        <s v="http://www.imdb.com/title/tt0092796/?ref_=fn_tt_tt_1"/>
        <s v="http://www.imdb.com/title/tt0065446/?ref_=fn_tt_tt_1"/>
        <s v="http://www.imdb.com/title/tt0061809/?ref_=fn_tt_tt_1"/>
        <s v="http://www.imdb.com/title/tt0053131/?ref_=fn_tt_tt_1"/>
        <s v="http://www.imdb.com/title/tt0060490/?ref_=fn_tt_tt_1"/>
        <s v="http://www.imdb.com/title/tt0068611/?ref_=fn_tt_tt_1"/>
        <s v="http://www.imdb.com/title/tt4263482/?ref_=fn_tt_tt_1"/>
        <s v="http://www.imdb.com/title/tt0131436/?ref_=fn_tt_tt_1"/>
        <s v="http://www.imdb.com/title/tt0117628/?ref_=fn_tt_tt_1"/>
        <s v="http://www.imdb.com/title/tt0120684/?ref_=fn_tt_tt_1"/>
        <s v="http://www.imdb.com/title/tt1305806/?ref_=fn_tt_tt_1"/>
        <s v="http://www.imdb.com/title/tt1015474/?ref_=fn_tt_tt_1"/>
        <s v="http://www.imdb.com/title/tt0092991/?ref_=fn_tt_tt_1"/>
        <s v="http://www.imdb.com/title/tt0258038/?ref_=fn_tt_tt_1"/>
        <s v="http://www.imdb.com/title/tt2724064/?ref_=fn_tt_tt_1"/>
        <s v="http://www.imdb.com/title/tt0175996/?ref_=fn_tt_tt_1"/>
        <s v="http://www.imdb.com/title/tt1740707/?ref_=fn_tt_tt_1"/>
        <s v="http://www.imdb.com/title/tt0480251/?ref_=fn_tt_tt_1"/>
        <s v="http://www.imdb.com/title/tt0380817/?ref_=fn_tt_tt_1"/>
        <s v="http://www.imdb.com/title/tt0367631/?ref_=fn_tt_tt_1"/>
        <s v="http://www.imdb.com/title/tt3103166/?ref_=fn_tt_tt_1"/>
        <s v="http://www.imdb.com/title/tt1074191/?ref_=fn_tt_tt_1"/>
        <s v="http://www.imdb.com/title/tt0138862/?ref_=fn_tt_tt_1"/>
        <s v="http://www.imdb.com/title/tt5116280/?ref_=fn_tt_tt_1"/>
        <s v="http://www.imdb.com/title/tt1002561/?ref_=fn_tt_tt_1"/>
        <s v="http://www.imdb.com/title/tt2166834/?ref_=fn_tt_tt_1"/>
        <s v="http://www.imdb.com/title/tt5001130/?ref_=fn_tt_tt_1"/>
        <s v="http://www.imdb.com/title/tt2379386/?ref_=fn_tt_tt_1"/>
        <s v="http://www.imdb.com/title/tt2761578/?ref_=fn_tt_tt_1"/>
        <s v="http://www.imdb.com/title/tt2073661/?ref_=fn_tt_tt_1"/>
        <s v="http://www.imdb.com/title/tt1800337/?ref_=fn_tt_tt_1"/>
        <s v="http://www.imdb.com/title/tt0076141/?ref_=fn_tt_tt_1"/>
        <s v="http://www.imdb.com/title/tt0428803/?ref_=fn_tt_tt_1"/>
        <s v="http://www.imdb.com/title/tt1615147/?ref_=fn_tt_tt_1"/>
        <s v="http://www.imdb.com/title/tt1753460/?ref_=fn_tt_tt_1"/>
        <s v="http://www.imdb.com/title/tt1024715/?ref_=fn_tt_tt_1"/>
        <s v="http://www.imdb.com/title/tt2582802/?ref_=fn_tt_tt_1"/>
        <s v="http://www.imdb.com/title/tt0317248/?ref_=fn_tt_tt_1"/>
        <s v="http://www.imdb.com/title/tt0188674/?ref_=fn_tt_tt_1"/>
        <s v="http://www.imdb.com/title/tt1850418/?ref_=fn_tt_tt_1"/>
        <s v="http://www.imdb.com/title/tt0783238/?ref_=fn_tt_tt_1"/>
        <s v="http://www.imdb.com/title/tt2106476/?ref_=fn_tt_tt_1"/>
        <s v="http://www.imdb.com/title/tt0085334/?ref_=fn_tt_tt_1"/>
        <s v="http://www.imdb.com/title/tt0482463/?ref_=fn_tt_tt_1"/>
        <s v="http://www.imdb.com/title/tt0083739/?ref_=fn_tt_tt_1"/>
        <s v="http://www.imdb.com/title/tt2796678/?ref_=fn_tt_tt_1"/>
        <s v="http://www.imdb.com/title/tt0144178/?ref_=fn_tt_tt_1"/>
        <s v="http://www.imdb.com/title/tt1068646/?ref_=fn_tt_tt_1"/>
        <s v="http://www.imdb.com/title/tt0063522/?ref_=fn_tt_tt_1"/>
        <s v="http://www.imdb.com/title/tt0056217/?ref_=fn_tt_tt_1"/>
        <s v="http://www.imdb.com/title/tt1185836/?ref_=fn_tt_tt_1"/>
        <s v="http://www.imdb.com/title/tt0390221/?ref_=fn_tt_tt_1"/>
        <s v="http://www.imdb.com/title/tt1532503/?ref_=fn_tt_tt_1"/>
        <s v="http://www.imdb.com/title/tt0426459/?ref_=fn_tt_tt_1"/>
        <s v="http://www.imdb.com/title/tt0077975/?ref_=fn_tt_tt_1"/>
        <s v="http://www.imdb.com/title/tt0058150/?ref_=fn_tt_tt_1"/>
        <s v="http://www.imdb.com/title/tt2099556/?ref_=fn_tt_tt_1"/>
        <s v="http://www.imdb.com/title/tt0038650/?ref_=fn_tt_tt_1"/>
        <s v="http://www.imdb.com/title/tt0117951/?ref_=fn_tt_tt_1"/>
        <s v="http://www.imdb.com/title/tt0236388/?ref_=fn_tt_tt_1"/>
        <s v="http://www.imdb.com/title/tt1536044/?ref_=fn_tt_tt_1"/>
        <s v="http://www.imdb.com/title/tt0166396/?ref_=fn_tt_tt_1"/>
        <s v="http://www.imdb.com/title/tt0310793/?ref_=fn_tt_tt_1"/>
        <s v="http://www.imdb.com/title/tt3125472/?ref_=fn_tt_tt_1"/>
        <s v="http://www.imdb.com/title/tt0089686/?ref_=fn_tt_tt_1"/>
        <s v="http://www.imdb.com/title/tt0091867/?ref_=fn_tt_tt_1"/>
        <s v="http://www.imdb.com/title/tt2184339/?ref_=fn_tt_tt_1"/>
        <s v="http://www.imdb.com/title/tt1922777/?ref_=fn_tt_tt_1"/>
        <s v="http://www.imdb.com/title/tt0327036/?ref_=fn_tt_tt_1"/>
        <s v="http://www.imdb.com/title/tt0051459/?ref_=fn_tt_tt_1"/>
        <s v="http://www.imdb.com/title/tt0065462/?ref_=fn_tt_tt_1"/>
        <s v="http://www.imdb.com/title/tt0118570/?ref_=fn_tt_tt_1"/>
        <s v="http://www.imdb.com/title/tt0235679/?ref_=fn_tt_tt_1"/>
        <s v="http://www.imdb.com/title/tt0091080/?ref_=fn_tt_tt_1"/>
        <s v="http://www.imdb.com/title/tt0050212/?ref_=fn_tt_tt_1"/>
        <s v="http://www.imdb.com/title/tt0100666/?ref_=fn_tt_tt_1"/>
        <s v="http://www.imdb.com/title/tt0074512/?ref_=fn_tt_tt_1"/>
        <s v="http://www.imdb.com/title/tt0053604/?ref_=fn_tt_tt_1"/>
        <s v="http://www.imdb.com/title/tt0107254/?ref_=fn_tt_tt_1"/>
        <s v="http://www.imdb.com/title/tt0061107/?ref_=fn_tt_tt_1"/>
        <s v="http://www.imdb.com/title/tt0425598/?ref_=fn_tt_tt_1"/>
        <s v="http://www.imdb.com/title/tt3205376/?ref_=fn_tt_tt_1"/>
        <s v="http://www.imdb.com/title/tt0089444/?ref_=fn_tt_tt_1"/>
        <s v="http://www.imdb.com/title/tt1097013/?ref_=fn_tt_tt_1"/>
        <s v="http://www.imdb.com/title/tt0053793/?ref_=fn_tt_tt_1"/>
        <s v="http://www.imdb.com/title/tt0055031/?ref_=fn_tt_tt_1"/>
        <s v="http://www.imdb.com/title/tt0160298/?ref_=fn_tt_tt_1"/>
        <s v="http://www.imdb.com/title/tt0437745/?ref_=fn_tt_tt_1"/>
        <s v="http://www.imdb.com/title/tt0040724/?ref_=fn_tt_tt_1"/>
        <s v="http://www.imdb.com/title/tt0490196/?ref_=fn_tt_tt_1"/>
        <s v="http://www.imdb.com/title/tt2209418/?ref_=fn_tt_tt_1"/>
        <s v="http://www.imdb.com/title/tt0094118/?ref_=fn_tt_tt_1"/>
        <s v="http://www.imdb.com/title/tt0095863/?ref_=fn_tt_tt_1"/>
        <s v="http://www.imdb.com/title/tt0399901/?ref_=fn_tt_tt_1"/>
        <s v="http://www.imdb.com/title/tt0296166/?ref_=fn_tt_tt_1"/>
        <s v="http://www.imdb.com/title/tt3458030/?ref_=fn_tt_tt_1"/>
        <s v="http://www.imdb.com/title/tt0240200/?ref_=fn_tt_tt_1"/>
        <s v="http://www.imdb.com/title/tt0166175/?ref_=fn_tt_tt_1"/>
        <s v="http://www.imdb.com/title/tt0174336/?ref_=fn_tt_tt_1"/>
        <s v="http://www.imdb.com/title/tt0116743/?ref_=fn_tt_tt_1"/>
        <s v="http://www.imdb.com/title/tt0878835/?ref_=fn_tt_tt_1"/>
        <s v="http://www.imdb.com/title/tt0067992/?ref_=fn_tt_tt_1"/>
        <s v="http://www.imdb.com/title/tt0108517/?ref_=fn_tt_tt_1"/>
        <s v="http://www.imdb.com/title/tt0118541/?ref_=fn_tt_tt_1"/>
        <s v="http://www.imdb.com/title/tt0077405/?ref_=fn_tt_tt_1"/>
        <s v="http://www.imdb.com/title/tt0268690/?ref_=fn_tt_tt_1"/>
        <s v="http://www.imdb.com/title/tt0155776/?ref_=fn_tt_tt_1"/>
        <s v="http://www.imdb.com/title/tt0115632/?ref_=fn_tt_tt_1"/>
        <s v="http://www.imdb.com/title/tt2347569/?ref_=fn_tt_tt_1"/>
        <s v="http://www.imdb.com/title/tt0468565/?ref_=fn_tt_tt_1"/>
        <s v="http://www.imdb.com/title/tt0147612/?ref_=fn_tt_tt_1"/>
        <s v="http://www.imdb.com/title/tt0337996/?ref_=fn_tt_tt_1"/>
        <s v="http://www.imdb.com/title/tt3099498/?ref_=fn_tt_tt_1"/>
        <s v="http://www.imdb.com/title/tt0364569/?ref_=fn_tt_tt_1"/>
        <s v="http://www.imdb.com/title/tt1462054/?ref_=fn_tt_tt_1"/>
        <s v="http://www.imdb.com/title/tt1640459/?ref_=fn_tt_tt_1"/>
        <s v="http://www.imdb.com/title/tt3367294/?ref_=fn_tt_tt_1"/>
        <s v="http://www.imdb.com/title/tt0116361/?ref_=fn_tt_tt_1"/>
        <s v="http://www.imdb.com/title/tt0785025/?ref_=fn_tt_tt_1"/>
        <s v="http://www.imdb.com/title/tt1232776/?ref_=fn_tt_tt_1"/>
        <s v="http://www.imdb.com/title/tt1667307/?ref_=fn_tt_tt_1"/>
        <s v="http://www.imdb.com/title/tt0156205/?ref_=fn_tt_tt_1"/>
        <s v="http://www.imdb.com/title/tt1920849/?ref_=fn_tt_tt_1"/>
        <s v="http://www.imdb.com/title/tt4877736/?ref_=fn_tt_tt_1"/>
        <s v="http://www.imdb.com/title/tt0403118/?ref_=fn_tt_tt_1"/>
        <s v="http://www.imdb.com/title/tt1855401/?ref_=fn_tt_tt_1"/>
        <s v="http://www.imdb.com/title/tt0118327/?ref_=fn_tt_tt_1"/>
        <s v="http://www.imdb.com/title/tt0420206/?ref_=fn_tt_tt_1"/>
        <s v="http://www.imdb.com/title/tt1282046/?ref_=fn_tt_tt_1"/>
        <s v="http://www.imdb.com/title/tt1148200/?ref_=fn_tt_tt_1"/>
        <s v="http://www.imdb.com/title/tt0162236/?ref_=fn_tt_tt_1"/>
        <s v="http://www.imdb.com/title/tt1535616/?ref_=fn_tt_tt_1"/>
        <s v="http://www.imdb.com/title/tt1346961/?ref_=fn_tt_tt_1"/>
        <s v="http://www.imdb.com/title/tt1841642/?ref_=fn_tt_tt_1"/>
        <s v="http://www.imdb.com/title/tt0385890/?ref_=fn_tt_tt_1"/>
        <s v="http://www.imdb.com/title/tt1390404/?ref_=fn_tt_tt_1"/>
        <s v="http://www.imdb.com/title/tt1151410/?ref_=fn_tt_tt_1"/>
        <s v="http://www.imdb.com/title/tt1922679/?ref_=fn_tt_tt_1"/>
        <s v="http://www.imdb.com/title/tt2398249/?ref_=fn_tt_tt_1"/>
        <s v="http://www.imdb.com/title/tt2417650/?ref_=fn_tt_tt_1"/>
        <s v="http://www.imdb.com/title/tt1754264/?ref_=fn_tt_tt_1"/>
        <s v="http://www.imdb.com/title/tt0062138/?ref_=fn_tt_tt_1"/>
        <s v="http://www.imdb.com/title/tt1252289/?ref_=fn_tt_tt_1"/>
        <s v="http://www.imdb.com/title/tt2229377/?ref_=fn_tt_tt_1"/>
        <s v="http://www.imdb.com/title/tt1327601/?ref_=fn_tt_tt_1"/>
        <s v="http://www.imdb.com/title/tt2048865/?ref_=fn_tt_tt_1"/>
        <s v="http://www.imdb.com/title/tt0095354/?ref_=fn_tt_tt_1"/>
        <s v="http://www.imdb.com/title/tt1085382/?ref_=fn_tt_tt_1"/>
        <s v="http://www.imdb.com/title/tt0482461/?ref_=fn_tt_tt_1"/>
        <s v="http://www.imdb.com/title/tt0140888/?ref_=fn_tt_tt_1"/>
        <s v="http://www.imdb.com/title/tt0055312/?ref_=fn_tt_tt_1"/>
        <s v="http://www.imdb.com/title/tt3511596/?ref_=fn_tt_tt_1"/>
        <s v="http://www.imdb.com/title/tt0439478/?ref_=fn_tt_tt_1"/>
        <s v="http://www.imdb.com/title/tt2837336/?ref_=fn_tt_tt_1"/>
        <s v="http://www.imdb.com/title/tt1152822/?ref_=fn_tt_tt_1"/>
        <s v="http://www.imdb.com/title/tt0338095/?ref_=fn_tt_tt_1"/>
        <s v="http://www.imdb.com/title/tt1509803/?ref_=fn_tt_tt_1"/>
        <s v="http://www.imdb.com/title/tt3551400/?ref_=fn_tt_tt_1"/>
        <s v="http://www.imdb.com/title/tt0410097/?ref_=fn_tt_tt_1"/>
        <s v="http://www.imdb.com/title/tt0053291/?ref_=fn_tt_tt_1"/>
        <s v="http://www.imdb.com/title/tt0095179/?ref_=fn_tt_tt_1"/>
        <s v="http://www.imdb.com/title/tt0032138/?ref_=fn_tt_tt_1"/>
        <s v="http://www.imdb.com/title/tt0072431/?ref_=fn_tt_tt_1"/>
        <s v="http://www.imdb.com/title/tt0848557/?ref_=fn_tt_tt_1"/>
        <s v="http://www.imdb.com/title/tt0456144/?ref_=fn_tt_tt_1"/>
        <s v="http://www.imdb.com/title/tt0120402/?ref_=fn_tt_tt_1"/>
        <s v="http://www.imdb.com/title/tt0078872/?ref_=fn_tt_tt_1"/>
        <s v="http://www.imdb.com/title/tt4080386/?ref_=fn_tt_tt_1"/>
        <s v="http://www.imdb.com/title/tt1095423/?ref_=fn_tt_tt_1"/>
        <s v="http://www.imdb.com/title/tt0057007/?ref_=fn_tt_tt_1"/>
        <s v="http://www.imdb.com/title/tt0116729/?ref_=fn_tt_tt_1"/>
        <s v="http://www.imdb.com/title/tt0035959/?ref_=fn_tt_tt_1"/>
        <s v="http://www.imdb.com/title/tt0071230/?ref_=fn_tt_tt_1"/>
        <s v="http://www.imdb.com/title/tt0087298/?ref_=fn_tt_tt_1"/>
        <s v="http://www.imdb.com/title/tt2718492/?ref_=fn_tt_tt_1"/>
        <s v="http://www.imdb.com/title/tt0093512/?ref_=fn_tt_tt_1"/>
        <s v="http://www.imdb.com/title/tt0453453/?ref_=fn_tt_tt_1"/>
        <s v="http://www.imdb.com/title/tt0389326/?ref_=fn_tt_tt_1"/>
        <s v="http://www.imdb.com/title/tt0480669/?ref_=fn_tt_tt_1"/>
        <s v="http://www.imdb.com/title/tt0851515/?ref_=fn_tt_tt_1"/>
        <s v="http://www.imdb.com/title/tt0857295/?ref_=fn_tt_tt_1"/>
        <s v="http://www.imdb.com/title/tt0045152/?ref_=fn_tt_tt_1"/>
        <s v="http://www.imdb.com/title/tt1227378/?ref_=fn_tt_tt_1"/>
        <s v="http://www.imdb.com/title/tt2243537/?ref_=fn_tt_tt_1"/>
        <s v="http://www.imdb.com/title/tt2247692/?ref_=fn_tt_tt_1"/>
        <s v="http://www.imdb.com/title/tt0117887/?ref_=fn_tt_tt_1"/>
        <s v="http://www.imdb.com/title/tt0085636/?ref_=fn_tt_tt_1"/>
        <s v="http://www.imdb.com/title/tt0067065/?ref_=fn_tt_tt_1"/>
        <s v="http://www.imdb.com/title/tt0057163/?ref_=fn_tt_tt_1"/>
        <s v="http://www.imdb.com/title/tt2609912/?ref_=fn_tt_tt_1"/>
        <s v="http://www.imdb.com/title/tt0102494/?ref_=fn_tt_tt_1"/>
        <s v="http://www.imdb.com/title/tt0333766/?ref_=fn_tt_tt_1"/>
        <s v="http://www.imdb.com/title/tt0112471/?ref_=fn_tt_tt_1"/>
        <s v="http://www.imdb.com/title/tt0380732/?ref_=fn_tt_tt_1"/>
        <s v="http://www.imdb.com/title/tt0186253/?ref_=fn_tt_tt_1"/>
        <s v="http://www.imdb.com/title/tt0384504/?ref_=fn_tt_tt_1"/>
        <s v="http://www.imdb.com/title/tt0940585/?ref_=fn_tt_tt_1"/>
        <s v="http://www.imdb.com/title/tt1990314/?ref_=fn_tt_tt_1"/>
        <s v="http://www.imdb.com/title/tt0314412/?ref_=fn_tt_tt_1"/>
        <s v="http://www.imdb.com/title/tt1714206/?ref_=fn_tt_tt_1"/>
        <s v="http://www.imdb.com/title/tt0283465/?ref_=fn_tt_tt_1"/>
        <s v="http://www.imdb.com/title/tt0815241/?ref_=fn_tt_tt_1"/>
        <s v="http://www.imdb.com/title/tt1294164/?ref_=fn_tt_tt_1"/>
        <s v="http://www.imdb.com/title/tt0472200/?ref_=fn_tt_tt_1"/>
        <s v="http://www.imdb.com/title/tt0465407/?ref_=fn_tt_tt_1"/>
        <s v="http://www.imdb.com/title/tt1484522/?ref_=fn_tt_tt_1"/>
        <s v="http://www.imdb.com/title/tt1049405/?ref_=fn_tt_tt_1"/>
        <s v="http://www.imdb.com/title/tt0187696/?ref_=fn_tt_tt_1"/>
        <s v="http://www.imdb.com/title/tt0804529/?ref_=fn_tt_tt_1"/>
        <s v="http://www.imdb.com/title/tt1512235/?ref_=fn_tt_tt_1"/>
        <s v="http://www.imdb.com/title/tt1663628/?ref_=fn_tt_tt_1"/>
        <s v="http://www.imdb.com/title/tt3300572/?ref_=fn_tt_tt_1"/>
        <s v="http://www.imdb.com/title/tt3333870/?ref_=fn_tt_tt_1"/>
        <s v="http://www.imdb.com/title/tt0116404/?ref_=fn_tt_tt_1"/>
        <s v="http://www.imdb.com/title/tt0486028/?ref_=fn_tt_tt_1"/>
        <s v="http://www.imdb.com/title/tt0387808/?ref_=fn_tt_tt_1"/>
        <s v="http://www.imdb.com/title/tt2945796/?ref_=fn_tt_tt_1"/>
        <s v="http://www.imdb.com/title/tt0480025/?ref_=fn_tt_tt_1"/>
        <s v="http://www.imdb.com/title/tt2040578/?ref_=fn_tt_tt_1"/>
        <s v="http://www.imdb.com/title/tt0036628/?ref_=fn_tt_tt_1"/>
        <s v="http://www.imdb.com/title/tt1307926/?ref_=fn_tt_tt_1"/>
        <s v="http://www.imdb.com/title/tt0118925/?ref_=fn_tt_tt_1"/>
        <s v="http://www.imdb.com/title/tt0044030/?ref_=fn_tt_tt_1"/>
        <s v="http://www.imdb.com/title/tt1470020/?ref_=fn_tt_tt_1"/>
        <s v="http://www.imdb.com/title/tt1666335/?ref_=fn_tt_tt_1"/>
        <s v="http://www.imdb.com/title/tt0092695/?ref_=fn_tt_tt_1"/>
        <s v="http://www.imdb.com/title/tt0032455/?ref_=fn_tt_tt_1"/>
        <s v="http://www.imdb.com/title/tt3111864/?ref_=fn_tt_tt_1"/>
        <s v="http://www.imdb.com/title/tt0083972/?ref_=fn_tt_tt_1"/>
        <s v="http://www.imdb.com/title/tt0089173/?ref_=fn_tt_tt_1"/>
        <s v="http://www.imdb.com/title/tt0810928/?ref_=fn_tt_tt_1"/>
        <s v="http://www.imdb.com/title/tt4056738/?ref_=fn_tt_tt_1"/>
        <s v="http://www.imdb.com/title/tt1086841/?ref_=fn_tt_tt_1"/>
        <s v="http://www.imdb.com/title/tt0038213/?ref_=fn_tt_tt_1"/>
        <s v="http://www.imdb.com/title/tt3032282/?ref_=fn_tt_tt_1"/>
        <s v="http://www.imdb.com/title/tt0449000/?ref_=fn_tt_tt_1"/>
        <s v="http://www.imdb.com/title/tt1995477/?ref_=fn_tt_tt_1"/>
        <s v="http://www.imdb.com/title/tt0816539/?ref_=fn_tt_tt_1"/>
        <s v="http://www.imdb.com/title/tt0036868/?ref_=fn_tt_tt_1"/>
        <s v="http://www.imdb.com/title/tt0242193/?ref_=fn_tt_tt_1"/>
        <s v="http://www.imdb.com/title/tt0279064/?ref_=fn_tt_tt_1"/>
        <s v="http://www.imdb.com/title/tt2460506/?ref_=fn_tt_tt_1"/>
        <s v="http://www.imdb.com/title/tt1038988/?ref_=fn_tt_tt_1"/>
        <s v="http://www.imdb.com/title/tt1675312/?ref_=fn_tt_tt_1"/>
        <s v="http://www.imdb.com/title/tt2317796/?ref_=fn_tt_tt_1"/>
        <s v="http://www.imdb.com/title/tt3561236/?ref_=fn_tt_tt_1"/>
        <s v="http://www.imdb.com/title/tt2215673/?ref_=fn_tt_tt_1"/>
        <s v="http://www.imdb.com/title/tt0057076/?ref_=fn_tt_tt_1"/>
        <s v="http://www.imdb.com/title/tt0098503/?ref_=fn_tt_tt_1"/>
        <s v="http://www.imdb.com/title/tt0094484/?ref_=fn_tt_tt_1"/>
        <s v="http://www.imdb.com/title/tt0070707/?ref_=fn_tt_tt_1"/>
        <s v="http://www.imdb.com/title/tt3235888/?ref_=fn_tt_tt_1"/>
        <s v="http://www.imdb.com/title/tt0068555/?ref_=fn_tt_tt_1"/>
        <s v="http://www.imdb.com/title/tt0056592/?ref_=fn_tt_tt_1"/>
        <s v="http://www.imdb.com/title/tt0082694/?ref_=fn_tt_tt_1"/>
        <s v="http://www.imdb.com/title/tt0111512/?ref_=fn_tt_tt_1"/>
        <s v="http://www.imdb.com/title/tt0171804/?ref_=fn_tt_tt_1"/>
        <s v="http://www.imdb.com/title/tt1767382/?ref_=fn_tt_tt_1"/>
        <s v="http://www.imdb.com/title/tt0405094/?ref_=fn_tt_tt_1"/>
        <s v="http://www.imdb.com/title/tt1630036/?ref_=fn_tt_tt_1"/>
        <s v="http://www.imdb.com/title/tt0054997/?ref_=fn_tt_tt_1"/>
        <s v="http://www.imdb.com/title/tt0032273/?ref_=fn_tt_tt_1"/>
        <s v="http://www.imdb.com/title/tt0286244/?ref_=fn_tt_tt_1"/>
        <s v="http://www.imdb.com/title/tt0120321/?ref_=fn_tt_tt_1"/>
        <s v="http://www.imdb.com/title/tt0305206/?ref_=fn_tt_tt_1"/>
        <s v="http://www.imdb.com/title/tt0381681/?ref_=fn_tt_tt_1"/>
        <s v="http://www.imdb.com/title/tt0245712/?ref_=fn_tt_tt_1"/>
        <s v="http://www.imdb.com/title/tt0328538/?ref_=fn_tt_tt_1"/>
        <s v="http://www.imdb.com/title/tt0039416/?ref_=fn_tt_tt_1"/>
        <s v="http://www.imdb.com/title/tt1399683/?ref_=fn_tt_tt_1"/>
        <s v="http://www.imdb.com/title/tt0379557/?ref_=fn_tt_tt_1"/>
        <s v="http://www.imdb.com/title/tt0029852/?ref_=fn_tt_tt_1"/>
        <s v="http://www.imdb.com/title/tt0415978/?ref_=fn_tt_tt_1"/>
        <s v="http://www.imdb.com/title/tt1645089/?ref_=fn_tt_tt_1"/>
        <s v="http://www.imdb.com/title/tt3787590/?ref_=fn_tt_tt_1"/>
        <s v="http://www.imdb.com/title/tt0165798/?ref_=fn_tt_tt_1"/>
        <s v="http://www.imdb.com/title/tt0433387/?ref_=fn_tt_tt_1"/>
        <s v="http://www.imdb.com/title/tt3268668/?ref_=fn_tt_tt_1"/>
        <s v="http://www.imdb.com/title/tt0290212/?ref_=fn_tt_tt_1"/>
        <s v="http://www.imdb.com/title/tt0090327/?ref_=fn_tt_tt_1"/>
        <s v="http://www.imdb.com/title/tt0194624/?ref_=fn_tt_tt_1"/>
        <s v="http://www.imdb.com/title/tt0367027/?ref_=fn_tt_tt_1"/>
        <s v="http://www.imdb.com/title/tt1185616/?ref_=fn_tt_tt_1"/>
        <s v="http://www.imdb.com/title/tt0349159/?ref_=fn_tt_tt_1"/>
        <s v="http://www.imdb.com/title/tt0912593/?ref_=fn_tt_tt_1"/>
        <s v="http://www.imdb.com/title/tt3172532/?ref_=fn_tt_tt_1"/>
        <s v="http://www.imdb.com/title/tt0212662/?ref_=fn_tt_tt_1"/>
        <s v="http://www.imdb.com/title/tt0925248/?ref_=fn_tt_tt_1"/>
        <s v="http://www.imdb.com/title/tt1518812/?ref_=fn_tt_tt_1"/>
        <s v="http://www.imdb.com/title/tt0418753/?ref_=fn_tt_tt_1"/>
        <s v="http://www.imdb.com/title/tt0229340/?ref_=fn_tt_tt_1"/>
        <s v="http://www.imdb.com/title/tt0118866/?ref_=fn_tt_tt_1"/>
        <s v="http://www.imdb.com/title/tt1695994/?ref_=fn_tt_tt_1"/>
        <s v="http://www.imdb.com/title/tt0090095/?ref_=fn_tt_tt_1"/>
        <s v="http://www.imdb.com/title/tt0372334/?ref_=fn_tt_tt_1"/>
        <s v="http://www.imdb.com/title/tt0780622/?ref_=fn_tt_tt_1"/>
        <s v="http://www.imdb.com/title/tt0118736/?ref_=fn_tt_tt_1"/>
        <s v="http://www.imdb.com/title/tt0249588/?ref_=fn_tt_tt_1"/>
        <s v="http://www.imdb.com/title/tt0388139/?ref_=fn_tt_tt_1"/>
        <s v="http://www.imdb.com/title/tt1276105/?ref_=fn_tt_tt_1"/>
        <s v="http://www.imdb.com/title/tt0120391/?ref_=fn_tt_tt_1"/>
        <s v="http://www.imdb.com/title/tt3018070/?ref_=fn_tt_tt_1"/>
        <s v="http://www.imdb.com/title/tt0796264/?ref_=fn_tt_tt_1"/>
        <s v="http://www.imdb.com/title/tt1050739/?ref_=fn_tt_tt_1"/>
        <s v="http://www.imdb.com/title/tt0338497/?ref_=fn_tt_tt_1"/>
        <s v="http://www.imdb.com/title/tt1390539/?ref_=fn_tt_tt_1"/>
        <s v="http://www.imdb.com/title/tt2474024/?ref_=fn_tt_tt_1"/>
        <s v="http://www.imdb.com/title/tt1105512/?ref_=fn_tt_tt_1"/>
        <s v="http://www.imdb.com/title/tt0107953/?ref_=fn_tt_tt_1"/>
        <s v="http://www.imdb.com/title/tt0449061/?ref_=fn_tt_tt_1"/>
        <s v="http://www.imdb.com/title/tt0423169/?ref_=fn_tt_tt_1"/>
        <s v="http://www.imdb.com/title/tt3118452/?ref_=fn_tt_tt_1"/>
        <s v="http://www.imdb.com/title/tt1020530/?ref_=fn_tt_tt_1"/>
        <s v="http://www.imdb.com/title/tt2226519/?ref_=fn_tt_tt_1"/>
        <s v="http://www.imdb.com/title/tt1020885/?ref_=fn_tt_tt_1"/>
        <s v="http://www.imdb.com/title/tt0783532/?ref_=fn_tt_tt_1"/>
        <s v="http://www.imdb.com/title/tt0363095/?ref_=fn_tt_tt_1"/>
        <s v="http://www.imdb.com/title/tt1703199/?ref_=fn_tt_tt_1"/>
        <s v="http://www.imdb.com/title/tt2126362/?ref_=fn_tt_tt_1"/>
        <s v="http://www.imdb.com/title/tt0959329/?ref_=fn_tt_tt_1"/>
        <s v="http://www.imdb.com/title/tt4704314/?ref_=fn_tt_tt_1"/>
        <s v="http://www.imdb.com/title/tt0066808/?ref_=fn_tt_tt_1"/>
        <s v="http://www.imdb.com/title/tt1734586/?ref_=fn_tt_tt_1"/>
        <s v="http://www.imdb.com/title/tt0796355/?ref_=fn_tt_tt_1"/>
        <s v="http://www.imdb.com/title/tt0098948/?ref_=fn_tt_tt_1"/>
        <s v="http://www.imdb.com/title/tt0040525/?ref_=fn_tt_tt_1"/>
        <s v="http://www.imdb.com/title/tt1090671/?ref_=fn_tt_tt_1"/>
        <s v="http://www.imdb.com/title/tt0165361/?ref_=fn_tt_tt_1"/>
        <s v="http://www.imdb.com/title/tt1272886/?ref_=fn_tt_tt_1"/>
        <s v="http://www.imdb.com/title/tt2234025/?ref_=fn_tt_tt_1"/>
        <s v="http://www.imdb.com/title/tt1754633/?ref_=fn_tt_tt_1"/>
        <s v="http://www.imdb.com/title/tt1462901/?ref_=fn_tt_tt_1"/>
        <s v="http://www.imdb.com/title/tt0062235/?ref_=fn_tt_tt_1"/>
        <s v="http://www.imdb.com/title/tt2024506/?ref_=fn_tt_tt_1"/>
        <s v="http://www.imdb.com/title/tt0060438/?ref_=fn_tt_tt_1"/>
        <s v="http://www.imdb.com/title/tt0850669/?ref_=fn_tt_tt_1"/>
        <s v="http://www.imdb.com/title/tt1220217/?ref_=fn_tt_tt_1"/>
        <s v="http://www.imdb.com/title/tt3499458/?ref_=fn_tt_tt_1"/>
        <s v="http://www.imdb.com/title/tt1772261/?ref_=fn_tt_tt_1"/>
        <s v="http://www.imdb.com/title/tt4416518/?ref_=fn_tt_tt_1"/>
        <s v="http://www.imdb.com/title/tt0091860/?ref_=fn_tt_tt_1"/>
        <s v="http://www.imdb.com/title/tt0322659/?ref_=fn_tt_tt_1"/>
        <s v="http://www.imdb.com/title/tt3528666/?ref_=fn_tt_tt_1"/>
        <s v="http://www.imdb.com/title/tt1462758/?ref_=fn_tt_tt_1"/>
        <s v="http://www.imdb.com/title/tt1440292/?ref_=fn_tt_tt_1"/>
        <s v="http://www.imdb.com/title/tt2486682/?ref_=fn_tt_tt_1"/>
        <s v="http://www.imdb.com/title/tt0486751/?ref_=fn_tt_tt_1"/>
        <s v="http://www.imdb.com/title/tt2321163/?ref_=fn_tt_tt_1"/>
        <s v="http://www.imdb.com/title/tt1155592/?ref_=fn_tt_tt_1"/>
        <s v="http://www.imdb.com/title/tt4519006/?ref_=fn_tt_tt_1"/>
        <s v="http://www.imdb.com/title/tt3262990/?ref_=fn_tt_tt_1"/>
        <s v="http://www.imdb.com/title/tt1320244/?ref_=fn_tt_tt_1"/>
        <s v="http://www.imdb.com/title/tt1266029/?ref_=fn_tt_tt_1"/>
        <s v="http://www.imdb.com/title/tt0044081/?ref_=fn_tt_tt_1"/>
        <s v="http://www.imdb.com/title/tt0057012/?ref_=fn_tt_tt_1"/>
        <s v="http://www.imdb.com/title/tt0313196/?ref_=fn_tt_tt_1"/>
        <s v="http://www.imdb.com/title/tt2125435/?ref_=fn_tt_tt_1"/>
        <s v="http://www.imdb.com/title/tt0069768/?ref_=fn_tt_tt_1"/>
        <s v="http://www.imdb.com/title/tt0210299/?ref_=fn_tt_tt_1"/>
        <s v="http://www.imdb.com/title/tt1562568/?ref_=fn_tt_tt_1"/>
        <s v="http://www.imdb.com/title/tt3566698/?ref_=fn_tt_tt_1"/>
        <s v="http://www.imdb.com/title/tt1743720/?ref_=fn_tt_tt_1"/>
        <s v="http://www.imdb.com/title/tt0106792/?ref_=fn_tt_tt_1"/>
        <s v="http://www.imdb.com/title/tt0378906/?ref_=fn_tt_tt_1"/>
        <s v="http://www.imdb.com/title/tt0061747/?ref_=fn_tt_tt_1"/>
        <s v="http://www.imdb.com/title/tt0044533/?ref_=fn_tt_tt_1"/>
        <s v="http://www.imdb.com/title/tt0822858/?ref_=fn_tt_tt_1"/>
        <s v="http://www.imdb.com/title/tt4058122/?ref_=fn_tt_tt_1"/>
        <s v="http://www.imdb.com/title/tt2645670/?ref_=fn_tt_tt_1"/>
        <s v="http://www.imdb.com/title/tt1653002/?ref_=fn_tt_tt_1"/>
        <s v="http://www.imdb.com/title/tt0130827/?ref_=fn_tt_tt_1"/>
        <s v="http://www.imdb.com/title/tt0303361/?ref_=fn_tt_tt_1"/>
        <s v="http://www.imdb.com/title/tt2475846/?ref_=fn_tt_tt_1"/>
        <s v="http://www.imdb.com/title/tt2100573/?ref_=fn_tt_tt_1"/>
        <s v="http://www.imdb.com/title/tt0796307/?ref_=fn_tt_tt_1"/>
        <s v="http://www.imdb.com/title/tt0068408/?ref_=fn_tt_tt_1"/>
        <s v="http://www.imdb.com/title/tt0247425/?ref_=fn_tt_tt_1"/>
        <s v="http://www.imdb.com/title/tt1242432/?ref_=fn_tt_tt_1"/>
        <s v="http://www.imdb.com/title/tt0162360/?ref_=fn_tt_tt_1"/>
        <s v="http://www.imdb.com/title/tt0382189/?ref_=fn_tt_tt_1"/>
        <s v="http://www.imdb.com/title/tt2350496/?ref_=fn_tt_tt_1"/>
        <s v="http://www.imdb.com/title/tt0381717/?ref_=fn_tt_tt_1"/>
        <s v="http://www.imdb.com/title/tt0030993/?ref_=fn_tt_tt_1"/>
        <s v="http://www.imdb.com/title/tt0045793/?ref_=fn_tt_tt_1"/>
        <s v="http://www.imdb.com/title/tt0041866/?ref_=fn_tt_tt_1"/>
        <s v="http://www.imdb.com/title/tt2349460/?ref_=fn_tt_tt_1"/>
        <s v="http://www.imdb.com/title/tt0166195/?ref_=fn_tt_tt_1"/>
        <s v="http://www.imdb.com/title/tt1289419/?ref_=fn_tt_tt_1"/>
        <s v="http://www.imdb.com/title/tt0825236/?ref_=fn_tt_tt_1"/>
        <s v="http://www.imdb.com/title/tt2872724/?ref_=fn_tt_tt_1"/>
        <s v="http://www.imdb.com/title/tt0476643/?ref_=fn_tt_tt_1"/>
        <s v="http://www.imdb.com/title/tt0071360/?ref_=fn_tt_tt_1"/>
        <s v="http://www.imdb.com/title/tt0442764/?ref_=fn_tt_tt_1"/>
        <s v="http://www.imdb.com/title/tt0064990/?ref_=fn_tt_tt_1"/>
        <s v="http://www.imdb.com/title/tt0322700/?ref_=fn_tt_tt_1"/>
        <s v="http://www.imdb.com/title/tt3832096/?ref_=fn_tt_tt_1"/>
        <s v="http://www.imdb.com/title/tt0473308/?ref_=fn_tt_tt_1"/>
        <s v="http://www.imdb.com/title/tt0092675/?ref_=fn_tt_tt_1"/>
        <s v="http://www.imdb.com/title/tt0031679/?ref_=fn_tt_tt_1"/>
        <s v="http://www.imdb.com/title/tt0113540/?ref_=fn_tt_tt_1"/>
        <s v="http://www.imdb.com/title/tt0367089/?ref_=fn_tt_tt_1"/>
        <s v="http://www.imdb.com/title/tt0264761/?ref_=fn_tt_tt_1"/>
        <s v="http://www.imdb.com/title/tt3082898/?ref_=fn_tt_tt_1"/>
        <s v="http://www.imdb.com/title/tt0038109/?ref_=fn_tt_tt_1"/>
        <s v="http://www.imdb.com/title/tt0109759/?ref_=fn_tt_tt_1"/>
        <s v="http://www.imdb.com/title/tt0118789/?ref_=fn_tt_tt_1"/>
        <s v="http://www.imdb.com/title/tt1591095/?ref_=fn_tt_tt_1"/>
        <s v="http://www.imdb.com/title/tt0087995/?ref_=fn_tt_tt_1"/>
        <s v="http://www.imdb.com/title/tt0247586/?ref_=fn_tt_tt_1"/>
        <s v="http://www.imdb.com/title/tt2309788/?ref_=fn_tt_tt_1"/>
        <s v="http://www.imdb.com/title/tt0357110/?ref_=fn_tt_tt_1"/>
        <s v="http://www.imdb.com/title/tt1758795/?ref_=fn_tt_tt_1"/>
        <s v="http://www.imdb.com/title/tt0110265/?ref_=fn_tt_tt_1"/>
        <s v="http://www.imdb.com/title/tt0247199/?ref_=fn_tt_tt_1"/>
        <s v="http://www.imdb.com/title/tt0453548/?ref_=fn_tt_tt_1"/>
        <s v="http://www.imdb.com/title/tt3139764/?ref_=fn_tt_tt_1"/>
        <s v="http://www.imdb.com/title/tt0261983/?ref_=fn_tt_tt_1"/>
        <s v="http://www.imdb.com/title/tt0391229/?ref_=fn_tt_tt_1"/>
        <s v="http://www.imdb.com/title/tt1450328/?ref_=fn_tt_tt_1"/>
        <s v="http://www.imdb.com/title/tt0422401/?ref_=fn_tt_tt_1"/>
        <s v="http://www.imdb.com/title/tt0027977/?ref_=fn_tt_tt_1"/>
        <s v="http://www.imdb.com/title/tt0286162/?ref_=fn_tt_tt_1"/>
        <s v="http://www.imdb.com/title/tt0489235/?ref_=fn_tt_tt_1"/>
        <s v="http://www.imdb.com/title/tt0436742/?ref_=fn_tt_tt_1"/>
        <s v="http://www.imdb.com/title/tt3110770/?ref_=fn_tt_tt_1"/>
        <s v="http://www.imdb.com/title/tt0395543/?ref_=fn_tt_tt_1"/>
        <s v="http://www.imdb.com/title/tt1562847/?ref_=fn_tt_tt_1"/>
        <s v="http://www.imdb.com/title/tt1226681/?ref_=fn_tt_tt_1"/>
        <s v="http://www.imdb.com/title/tt1087527/?ref_=fn_tt_tt_1"/>
        <s v="http://www.imdb.com/title/tt2265431/?ref_=fn_tt_tt_1"/>
        <s v="http://www.imdb.com/title/tt1731697/?ref_=fn_tt_tt_1"/>
        <s v="http://www.imdb.com/title/tt3504048/?ref_=fn_tt_tt_1"/>
        <s v="http://www.imdb.com/title/tt0473107/?ref_=fn_tt_tt_1"/>
        <s v="http://www.imdb.com/title/tt0475271/?ref_=fn_tt_tt_1"/>
        <s v="http://www.imdb.com/title/tt1639397/?ref_=fn_tt_tt_1"/>
        <s v="http://www.imdb.com/title/tt2017486/?ref_=fn_tt_tt_1"/>
        <s v="http://www.imdb.com/title/tt3626436/?ref_=fn_tt_tt_1"/>
        <s v="http://www.imdb.com/title/tt1105355/?ref_=fn_tt_tt_1"/>
        <s v="http://www.imdb.com/title/tt3781616/?ref_=fn_tt_tt_1"/>
        <s v="http://www.imdb.com/title/tt3526286/?ref_=fn_tt_tt_1"/>
        <s v="http://www.imdb.com/title/tt1236254/?ref_=fn_tt_tt_1"/>
        <s v="http://www.imdb.com/title/tt0029583/?ref_=fn_tt_tt_1"/>
        <s v="http://www.imdb.com/title/tt0300270/?ref_=fn_tt_tt_1"/>
        <s v="http://www.imdb.com/title/tt0063592/?ref_=fn_tt_tt_1"/>
        <s v="http://www.imdb.com/title/tt0374639/?ref_=fn_tt_tt_1"/>
        <s v="http://www.imdb.com/title/tt4063178/?ref_=fn_tt_tt_1"/>
        <s v="http://www.imdb.com/title/tt2577172/?ref_=fn_tt_tt_1"/>
        <s v="http://www.imdb.com/title/tt3230082/?ref_=fn_tt_tt_1"/>
        <s v="http://www.imdb.com/title/tt0464054/?ref_=fn_tt_tt_1"/>
        <s v="http://www.imdb.com/title/tt0060153/?ref_=fn_tt_tt_1"/>
        <s v="http://www.imdb.com/title/tt0120735/?ref_=fn_tt_tt_1"/>
        <s v="http://www.imdb.com/title/tt3551840/?ref_=fn_tt_tt_1"/>
        <s v="http://www.imdb.com/title/tt0068135/?ref_=fn_tt_tt_1"/>
        <s v="http://www.imdb.com/title/tt0154420/?ref_=fn_tt_tt_1"/>
        <s v="http://www.imdb.com/title/tt0117958/?ref_=fn_tt_tt_1"/>
        <s v="http://www.imdb.com/title/tt0433398/?ref_=fn_tt_tt_1"/>
        <s v="http://www.imdb.com/title/tt0190255/?ref_=fn_tt_tt_1"/>
        <s v="http://www.imdb.com/title/tt1480658/?ref_=fn_tt_tt_1"/>
        <s v="http://www.imdb.com/title/tt0112173/?ref_=fn_tt_tt_1"/>
        <s v="http://www.imdb.com/title/tt2640460/?ref_=fn_tt_tt_1"/>
        <s v="http://www.imdb.com/title/tt0087130/?ref_=fn_tt_tt_1"/>
        <s v="http://www.imdb.com/title/tt0317640/?ref_=fn_tt_tt_1"/>
        <s v="http://www.imdb.com/title/tt0470869/?ref_=fn_tt_tt_1"/>
        <s v="http://www.imdb.com/title/tt1498870/?ref_=fn_tt_tt_1"/>
        <s v="http://www.imdb.com/title/tt1147684/?ref_=fn_tt_tt_1"/>
        <s v="http://www.imdb.com/title/tt0032976/?ref_=fn_tt_tt_1"/>
        <s v="http://www.imdb.com/title/tt0082418/?ref_=fn_tt_tt_1"/>
        <s v="http://www.imdb.com/title/tt0037884/?ref_=fn_tt_tt_1"/>
        <s v="http://www.imdb.com/title/tt0087015/?ref_=fn_tt_tt_1"/>
        <s v="http://www.imdb.com/title/tt1869425/?ref_=fn_tt_tt_1"/>
        <s v="http://www.imdb.com/title/tt1212022/?ref_=fn_tt_tt_1"/>
        <s v="http://www.imdb.com/title/tt0046126/?ref_=fn_tt_tt_1"/>
        <s v="http://www.imdb.com/title/tt0033729/?ref_=fn_tt_tt_1"/>
        <s v="http://www.imdb.com/title/tt3846642/?ref_=fn_tt_tt_1"/>
        <s v="http://www.imdb.com/title/tt3104930/?ref_=fn_tt_tt_1"/>
        <s v="http://www.imdb.com/title/tt0098724/?ref_=fn_tt_tt_1"/>
        <s v="http://www.imdb.com/title/tt0387564/?ref_=fn_tt_tt_1"/>
        <s v="http://www.imdb.com/title/tt0247745/?ref_=fn_tt_tt_1"/>
        <s v="http://www.imdb.com/title/tt1681370/?ref_=fn_tt_tt_1"/>
        <s v="http://www.imdb.com/title/tt2414046/?ref_=fn_tt_tt_1"/>
        <s v="http://www.imdb.com/title/tt0265343/?ref_=fn_tt_tt_1"/>
        <s v="http://www.imdb.com/title/tt0203230/?ref_=fn_tt_tt_1"/>
        <s v="http://www.imdb.com/title/tt0048750/?ref_=fn_tt_tt_1"/>
        <s v="http://www.imdb.com/title/tt0179116/?ref_=fn_tt_tt_1"/>
        <s v="http://www.imdb.com/title/tt2051894/?ref_=fn_tt_tt_1"/>
        <s v="http://www.imdb.com/title/tt0105236/?ref_=fn_tt_tt_1"/>
        <s v="http://www.imdb.com/title/tt0032264/?ref_=fn_tt_tt_1"/>
        <s v="http://www.imdb.com/title/tt0060196/?ref_=fn_tt_tt_1"/>
        <s v="http://www.imdb.com/title/tt3742378/?ref_=fn_tt_tt_1"/>
        <s v="http://www.imdb.com/title/tt1758575/?ref_=fn_tt_tt_1"/>
        <s v="http://www.imdb.com/title/tt0283323/?ref_=fn_tt_tt_1"/>
        <s v="http://www.imdb.com/title/tt2035599/?ref_=fn_tt_tt_1"/>
        <s v="http://www.imdb.com/title/tt0976025/?ref_=fn_tt_tt_1"/>
        <s v="http://www.imdb.com/title/tt1879030/?ref_=fn_tt_tt_1"/>
        <s v="http://www.imdb.com/title/tt1349485/?ref_=fn_tt_tt_1"/>
        <s v="http://www.imdb.com/title/tt0338075/?ref_=fn_tt_tt_1"/>
        <s v="http://www.imdb.com/title/tt0806147/?ref_=fn_tt_tt_1"/>
        <s v="http://www.imdb.com/title/tt0027438/?ref_=fn_tt_tt_1"/>
        <s v="http://www.imdb.com/title/tt1641388/?ref_=fn_tt_tt_1"/>
        <s v="http://www.imdb.com/title/tt2180333/?ref_=fn_tt_tt_1"/>
        <s v="http://www.imdb.com/title/tt0106233/?ref_=fn_tt_tt_1"/>
        <s v="http://www.imdb.com/title/tt0065579/?ref_=fn_tt_tt_1"/>
        <s v="http://www.imdb.com/title/tt1943014/?ref_=fn_tt_tt_1"/>
        <s v="http://www.imdb.com/title/tt2622294/?ref_=fn_tt_tt_1"/>
        <s v="http://www.imdb.com/title/tt0348333/?ref_=fn_tt_tt_1"/>
        <s v="http://www.imdb.com/title/tt0419677/?ref_=fn_tt_tt_1"/>
        <s v="http://www.imdb.com/title/tt4460878/?ref_=fn_tt_tt_1"/>
        <s v="http://www.imdb.com/title/tt0091671/?ref_=fn_tt_tt_1"/>
        <s v="http://www.imdb.com/title/tt0304692/?ref_=fn_tt_tt_1"/>
        <s v="http://www.imdb.com/title/tt0293113/?ref_=fn_tt_tt_1"/>
        <s v="http://www.imdb.com/title/tt0850667/?ref_=fn_tt_tt_1"/>
        <s v="http://www.imdb.com/title/tt1534085/?ref_=fn_tt_tt_1"/>
        <s v="http://www.imdb.com/title/tt1899353/?ref_=fn_tt_tt_1"/>
        <s v="http://www.imdb.com/title/tt0923653/?ref_=fn_tt_tt_1"/>
        <s v="http://www.imdb.com/title/tt3043194/?ref_=fn_tt_tt_1"/>
        <s v="http://www.imdb.com/title/tt0034583/?ref_=fn_tt_tt_1"/>
        <s v="http://www.imdb.com/title/tt0816556/?ref_=fn_tt_tt_1"/>
        <s v="http://www.imdb.com/title/tt1434447/?ref_=fn_tt_tt_1"/>
        <s v="http://www.imdb.com/title/tt0067756/?ref_=fn_tt_tt_1"/>
        <s v="http://www.imdb.com/title/tt0075148/?ref_=fn_tt_tt_1"/>
        <s v="http://www.imdb.com/title/tt2723576/?ref_=fn_tt_tt_1"/>
        <s v="http://www.imdb.com/title/tt0057590/?ref_=fn_tt_tt_1"/>
        <s v="http://www.imdb.com/title/tt3713166/?ref_=fn_tt_tt_1"/>
        <s v="http://www.imdb.com/title/tt0075314/?ref_=fn_tt_tt_1"/>
        <s v="http://www.imdb.com/title/tt0082533/?ref_=fn_tt_tt_1"/>
        <s v="http://www.imdb.com/title/tt0055928/?ref_=fn_tt_tt_1"/>
        <s v="http://www.imdb.com/title/tt1991245/?ref_=fn_tt_tt_1"/>
        <s v="http://www.imdb.com/title/tt0093177/?ref_=fn_tt_tt_1"/>
        <s v="http://www.imdb.com/title/tt4824308/?ref_=fn_tt_tt_1"/>
        <s v="http://www.imdb.com/title/tt0384286/?ref_=fn_tt_tt_1"/>
        <s v="http://www.imdb.com/title/tt0188640/?ref_=fn_tt_tt_1"/>
        <s v="http://www.imdb.com/title/tt1120985/?ref_=fn_tt_tt_1"/>
        <s v="http://www.imdb.com/title/tt0407265/?ref_=fn_tt_tt_1"/>
        <s v="http://www.imdb.com/title/tt1560985/?ref_=fn_tt_tt_1"/>
        <s v="http://www.imdb.com/title/tt0065466/?ref_=fn_tt_tt_1"/>
        <s v="http://www.imdb.com/title/tt0049452/?ref_=fn_tt_tt_1"/>
        <s v="http://www.imdb.com/title/tt0497116/?ref_=fn_tt_tt_1"/>
        <s v="http://www.imdb.com/title/tt0041841/?ref_=fn_tt_tt_1"/>
        <s v="http://www.imdb.com/title/tt0893382/?ref_=fn_tt_tt_1"/>
        <s v="http://www.imdb.com/title/tt2403021/?ref_=fn_tt_tt_1"/>
        <s v="http://www.imdb.com/title/tt2248739/?ref_=fn_tt_tt_1"/>
        <s v="http://www.imdb.com/title/tt1866249/?ref_=fn_tt_tt_1"/>
        <s v="http://www.imdb.com/title/tt1286537/?ref_=fn_tt_tt_1"/>
        <s v="http://www.imdb.com/title/tt1720182/?ref_=fn_tt_tt_1"/>
        <s v="http://www.imdb.com/title/tt0119778/?ref_=fn_tt_tt_1"/>
        <s v="http://www.imdb.com/title/tt1571249/?ref_=fn_tt_tt_1"/>
        <s v="http://www.imdb.com/title/tt1441326/?ref_=fn_tt_tt_1"/>
        <s v="http://www.imdb.com/title/tt2910274/?ref_=fn_tt_tt_1"/>
        <s v="http://www.imdb.com/title/tt0978759/?ref_=fn_tt_tt_1"/>
        <s v="http://www.imdb.com/title/tt2396566/?ref_=fn_tt_tt_1"/>
        <s v="http://www.imdb.com/title/tt0124179/?ref_=fn_tt_tt_1"/>
        <s v="http://www.imdb.com/title/tt0118113/?ref_=fn_tt_tt_1"/>
        <s v="http://www.imdb.com/title/tt0489037/?ref_=fn_tt_tt_1"/>
        <s v="http://www.imdb.com/title/tt0222850/?ref_=fn_tt_tt_1"/>
        <s v="http://www.imdb.com/title/tt0281686/?ref_=fn_tt_tt_1"/>
        <s v="http://www.imdb.com/title/tt0139615/?ref_=fn_tt_tt_1"/>
        <s v="http://www.imdb.com/title/tt0268200/?ref_=fn_tt_tt_1"/>
        <s v="http://www.imdb.com/title/tt0248012/?ref_=fn_tt_tt_1"/>
        <s v="http://www.imdb.com/title/tt0124819/?ref_=fn_tt_tt_1"/>
        <s v="http://www.imdb.com/title/tt0299458/?ref_=fn_tt_tt_1"/>
        <s v="http://www.imdb.com/title/tt0119019/?ref_=fn_tt_tt_1"/>
        <s v="http://www.imdb.com/title/tt0290145/?ref_=fn_tt_tt_1"/>
        <s v="http://www.imdb.com/title/tt0160498/?ref_=fn_tt_tt_1"/>
        <s v="http://www.imdb.com/title/tt2479800/?ref_=fn_tt_tt_1"/>
        <s v="http://www.imdb.com/title/tt1077262/?ref_=fn_tt_tt_1"/>
        <s v="http://www.imdb.com/title/tt0477139/?ref_=fn_tt_tt_1"/>
        <s v="http://www.imdb.com/title/tt2884206/?ref_=fn_tt_tt_1"/>
        <s v="http://www.imdb.com/title/tt0357470/?ref_=fn_tt_tt_1"/>
        <s v="http://www.imdb.com/title/tt2375605/?ref_=fn_tt_tt_1"/>
        <s v="http://www.imdb.com/title/tt0854678/?ref_=fn_tt_tt_1"/>
        <s v="http://www.imdb.com/title/tt0489247/?ref_=fn_tt_tt_1"/>
        <s v="http://www.imdb.com/title/tt0428609/?ref_=fn_tt_tt_1"/>
        <s v="http://www.imdb.com/title/tt0233699/?ref_=fn_tt_tt_1"/>
        <s v="http://www.imdb.com/title/tt2361700/?ref_=fn_tt_tt_1"/>
        <s v="http://www.imdb.com/title/tt3214286/?ref_=fn_tt_tt_1"/>
        <s v="http://www.imdb.com/title/tt1907639/?ref_=fn_tt_tt_1"/>
        <s v="http://www.imdb.com/title/tt0454431/?ref_=fn_tt_tt_1"/>
        <s v="http://www.imdb.com/title/tt1172994/?ref_=fn_tt_tt_1"/>
        <s v="http://www.imdb.com/title/tt1334553/?ref_=fn_tt_tt_1"/>
        <s v="http://www.imdb.com/title/tt0120813/?ref_=fn_tt_tt_1"/>
        <s v="http://www.imdb.com/title/tt0155197/?ref_=fn_tt_tt_1"/>
        <s v="http://www.imdb.com/title/tt0161743/?ref_=fn_tt_tt_1"/>
        <s v="http://www.imdb.com/title/tt0181836/?ref_=fn_tt_tt_1"/>
        <s v="http://www.imdb.com/title/tt1130087/?ref_=fn_tt_tt_1"/>
        <s v="http://www.imdb.com/title/tt0472259/?ref_=fn_tt_tt_1"/>
        <s v="http://www.imdb.com/title/tt3277624/?ref_=fn_tt_tt_1"/>
        <s v="http://www.imdb.com/title/tt0479162/?ref_=fn_tt_tt_1"/>
        <s v="http://www.imdb.com/title/tt0124137/?ref_=fn_tt_tt_1"/>
        <s v="http://www.imdb.com/title/tt0401462/?ref_=fn_tt_tt_1"/>
        <s v="http://www.imdb.com/title/tt0487156/?ref_=fn_tt_tt_1"/>
        <s v="http://www.imdb.com/title/tt0271020/?ref_=fn_tt_tt_1"/>
        <s v="http://www.imdb.com/title/tt2852376/?ref_=fn_tt_tt_1"/>
        <s v="http://www.imdb.com/title/tt4590482/?ref_=fn_tt_tt_1"/>
        <s v="http://www.imdb.com/title/tt0323120/?ref_=fn_tt_tt_1"/>
        <s v="http://www.imdb.com/title/tt3145220/?ref_=fn_tt_tt_1"/>
        <s v="http://www.imdb.com/title/tt0425151/?ref_=fn_tt_tt_1"/>
        <s v="http://www.imdb.com/title/tt1414361/?ref_=fn_tt_tt_1"/>
        <s v="http://www.imdb.com/title/tt0060816/?ref_=fn_tt_tt_1"/>
        <s v="http://www.imdb.com/title/tt0393616/?ref_=fn_tt_tt_1"/>
        <s v="http://www.imdb.com/title/tt1014806/?ref_=fn_tt_tt_1"/>
        <s v="http://www.imdb.com/title/tt0867270/?ref_=fn_tt_tt_1"/>
        <s v="http://www.imdb.com/title/tt1134674/?ref_=fn_tt_tt_1"/>
        <s v="http://www.imdb.com/title/tt2149137/?ref_=fn_tt_tt_1"/>
        <s v="http://www.imdb.com/title/tt3289362/?ref_=fn_tt_tt_1"/>
        <s v="http://www.imdb.com/title/tt1679248/?ref_=fn_tt_tt_1"/>
        <s v="http://www.imdb.com/title/tt0826751/?ref_=fn_tt_tt_1"/>
        <s v="http://www.imdb.com/title/tt3359872/?ref_=fn_tt_tt_1"/>
        <s v="http://www.imdb.com/title/tt1930294/?ref_=fn_tt_tt_1"/>
        <s v="http://www.imdb.com/title/tt1838722/?ref_=fn_tt_tt_1"/>
        <s v="http://www.imdb.com/title/tt0825728/?ref_=fn_tt_tt_1"/>
        <s v="http://www.imdb.com/title/tt2655734/?ref_=fn_tt_tt_1"/>
        <s v="http://www.imdb.com/title/tt2165765/?ref_=fn_tt_tt_1"/>
        <s v="http://www.imdb.com/title/tt2446502/?ref_=fn_tt_tt_1"/>
        <s v="http://www.imdb.com/title/tt1604100/?ref_=fn_tt_tt_1"/>
        <s v="http://www.imdb.com/title/tt0062794/?ref_=fn_tt_tt_1"/>
        <s v="http://www.imdb.com/title/tt2011276/?ref_=fn_tt_tt_1"/>
        <s v="http://www.imdb.com/title/tt0156196/?ref_=fn_tt_tt_1"/>
        <s v="http://www.imdb.com/title/tt2505294/?ref_=fn_tt_tt_1"/>
        <s v="http://www.imdb.com/title/tt0825346/?ref_=fn_tt_tt_1"/>
        <s v="http://www.imdb.com/title/tt2141739/?ref_=fn_tt_tt_1"/>
        <s v="http://www.imdb.com/title/tt0047296/?ref_=fn_tt_tt_1"/>
        <s v="http://www.imdb.com/title/tt1726589/?ref_=fn_tt_tt_1"/>
        <s v="http://www.imdb.com/title/tt1032846/?ref_=fn_tt_tt_1"/>
        <s v="http://www.imdb.com/title/tt3034146/?ref_=fn_tt_tt_1"/>
        <s v="http://www.imdb.com/title/tt0424136/?ref_=fn_tt_tt_1"/>
        <s v="http://www.imdb.com/title/tt0414951/?ref_=fn_tt_tt_1"/>
        <s v="http://www.imdb.com/title/tt1684628/?ref_=fn_tt_tt_1"/>
        <s v="http://www.imdb.com/title/tt2334649/?ref_=fn_tt_tt_1"/>
        <s v="http://www.imdb.com/title/tt1935902/?ref_=fn_tt_tt_1"/>
        <s v="http://www.imdb.com/title/tt0034492/?ref_=fn_tt_tt_1"/>
        <s v="http://www.imdb.com/title/tt0814130/?ref_=fn_tt_tt_1"/>
        <s v="http://www.imdb.com/title/tt0345551/?ref_=fn_tt_tt_1"/>
        <s v="http://www.imdb.com/title/tt1852001/?ref_=fn_tt_tt_1"/>
        <s v="http://www.imdb.com/title/tt2388621/?ref_=fn_tt_tt_1"/>
        <s v="http://www.imdb.com/title/tt1996264/?ref_=fn_tt_tt_1"/>
        <s v="http://www.imdb.com/title/tt1405365/?ref_=fn_tt_tt_1"/>
        <s v="http://www.imdb.com/title/tt0295725/?ref_=fn_tt_tt_1"/>
        <s v="http://www.imdb.com/title/tt0490166/?ref_=fn_tt_tt_1"/>
        <s v="http://www.imdb.com/title/tt4733536/?ref_=fn_tt_tt_1"/>
        <s v="http://www.imdb.com/title/tt2311428/?ref_=fn_tt_tt_1"/>
        <s v="http://www.imdb.com/title/tt1832382/?ref_=fn_tt_tt_1"/>
        <s v="http://www.imdb.com/title/tt1349478/?ref_=fn_tt_tt_1"/>
        <s v="http://www.imdb.com/title/tt0114906/?ref_=fn_tt_tt_1"/>
        <s v="http://www.imdb.com/title/tt0108000/?ref_=fn_tt_tt_1"/>
        <s v="http://www.imdb.com/title/tt0316188/?ref_=fn_tt_tt_1"/>
        <s v="http://www.imdb.com/title/tt0018737/?ref_=fn_tt_tt_1"/>
        <s v="http://www.imdb.com/title/tt0870118/?ref_=fn_tt_tt_1"/>
        <s v="http://www.imdb.com/title/tt0356453/?ref_=fn_tt_tt_1"/>
        <s v="http://www.imdb.com/title/tt0158583/?ref_=fn_tt_tt_1"/>
        <s v="http://www.imdb.com/title/tt0339419/?ref_=fn_tt_tt_1"/>
        <s v="http://www.imdb.com/title/tt0186719/?ref_=fn_tt_tt_1"/>
        <s v="http://www.imdb.com/title/tt3569356/?ref_=fn_tt_tt_1"/>
        <s v="http://www.imdb.com/title/tt1278340/?ref_=fn_tt_tt_1"/>
        <s v="http://www.imdb.com/title/tt0373283/?ref_=fn_tt_tt_1"/>
        <s v="http://www.imdb.com/title/tt2164708/?ref_=fn_tt_tt_1"/>
        <s v="http://www.imdb.com/title/tt0069704/?ref_=fn_tt_tt_1"/>
        <s v="http://www.imdb.com/title/tt0815181/?ref_=fn_tt_tt_1"/>
        <s v="http://www.imdb.com/title/tt0455326/?ref_=fn_tt_tt_1"/>
        <s v="http://www.imdb.com/title/tt1862079/?ref_=fn_tt_tt_1"/>
        <s v="http://www.imdb.com/title/tt1999192/?ref_=fn_tt_tt_1"/>
        <s v="http://www.imdb.com/title/tt1788391/?ref_=fn_tt_tt_1"/>
        <s v="http://www.imdb.com/title/tt1594562/?ref_=fn_tt_tt_1"/>
        <s v="http://www.imdb.com/title/tt0065571/?ref_=fn_tt_tt_1"/>
        <s v="http://www.imdb.com/title/tt0308411/?ref_=fn_tt_tt_1"/>
        <s v="http://www.imdb.com/title/tt0988849/?ref_=fn_tt_tt_1"/>
        <s v="http://www.imdb.com/title/tt0490076/?ref_=fn_tt_tt_1"/>
        <s v="http://www.imdb.com/title/tt0997143/?ref_=fn_tt_tt_1"/>
        <s v="http://www.imdb.com/title/tt0044706/?ref_=fn_tt_tt_1"/>
        <s v="http://www.imdb.com/title/tt0110057/?ref_=fn_tt_tt_1"/>
        <s v="http://www.imdb.com/title/tt0436724/?ref_=fn_tt_tt_1"/>
        <s v="http://www.imdb.com/title/tt2983582/?ref_=fn_tt_tt_1"/>
        <s v="http://www.imdb.com/title/tt0242587/?ref_=fn_tt_tt_1"/>
        <s v="http://www.imdb.com/title/tt1015471/?ref_=fn_tt_tt_1"/>
        <s v="http://www.imdb.com/title/tt0964179/?ref_=fn_tt_tt_1"/>
        <s v="http://www.imdb.com/title/tt0468489/?ref_=fn_tt_tt_1"/>
        <s v="http://www.imdb.com/title/tt0133117/?ref_=fn_tt_tt_1"/>
        <s v="http://www.imdb.com/title/tt0126938/?ref_=fn_tt_tt_1"/>
        <s v="http://www.imdb.com/title/tt4044464/?ref_=fn_tt_tt_1"/>
        <s v="http://www.imdb.com/title/tt2187884/?ref_=fn_tt_tt_1"/>
        <s v="http://www.imdb.com/title/tt1510934/?ref_=fn_tt_tt_1"/>
        <s v="http://www.imdb.com/title/tt2139721/?ref_=fn_tt_tt_1"/>
        <s v="http://www.imdb.com/title/tt1799508/?ref_=fn_tt_tt_1"/>
        <s v="http://www.imdb.com/title/tt2380301/?ref_=fn_tt_tt_1"/>
        <s v="http://www.imdb.com/title/tt2016335/?ref_=fn_tt_tt_1"/>
        <s v="http://www.imdb.com/title/tt0027125/?ref_=fn_tt_tt_1"/>
        <s v="http://www.imdb.com/title/tt0185937/?ref_=fn_tt_tt_1"/>
        <s v="http://www.imdb.com/title/tt0066580/?ref_=fn_tt_tt_1"/>
        <s v="http://www.imdb.com/title/tt0076257/?ref_=fn_tt_tt_1"/>
        <s v="http://www.imdb.com/title/tt0243415/?ref_=fn_tt_tt_1"/>
        <s v="http://www.imdb.com/title/tt1074931/?ref_=fn_tt_tt_1"/>
        <s v="http://www.imdb.com/title/tt0149964/?ref_=fn_tt_tt_1"/>
        <s v="http://www.imdb.com/title/tt2052015/?ref_=fn_tt_tt_1"/>
        <s v="http://www.imdb.com/title/tt4333662/?ref_=fn_tt_tt_1"/>
        <s v="http://www.imdb.com/title/tt0331225/?ref_=fn_tt_tt_1"/>
        <s v="http://www.imdb.com/title/tt3130704/?ref_=fn_tt_tt_1"/>
        <s v="http://www.imdb.com/title/tt5078326/?ref_=fn_tt_tt_1"/>
        <s v="http://www.imdb.com/title/tt2263814/?ref_=fn_tt_tt_1"/>
        <s v="http://www.imdb.com/title/tt0058182/?ref_=fn_tt_tt_1"/>
        <s v="http://www.imdb.com/title/tt1981703/?ref_=fn_tt_tt_1"/>
        <s v="http://www.imdb.com/title/tt0085871/?ref_=fn_tt_tt_1"/>
        <s v="http://www.imdb.com/title/tt4374230/?ref_=fn_tt_tt_1"/>
        <s v="http://www.imdb.com/title/tt1129423/?ref_=fn_tt_tt_1"/>
        <s v="http://www.imdb.com/title/tt2768766/?ref_=fn_tt_tt_1"/>
        <s v="http://www.imdb.com/title/tt0071206/?ref_=fn_tt_tt_1"/>
        <s v="http://www.imdb.com/title/tt0374102/?ref_=fn_tt_tt_1"/>
        <s v="http://www.imdb.com/title/tt1692084/?ref_=fn_tt_tt_1"/>
        <s v="http://www.imdb.com/title/tt0076271/?ref_=fn_tt_tt_1"/>
        <s v="http://www.imdb.com/title/tt0438205/?ref_=fn_tt_tt_1"/>
        <s v="http://www.imdb.com/title/tt0340377/?ref_=fn_tt_tt_1"/>
        <s v="http://www.imdb.com/title/tt1270286/?ref_=fn_tt_tt_1"/>
        <s v="http://www.imdb.com/title/tt0492506/?ref_=fn_tt_tt_1"/>
        <s v="http://www.imdb.com/title/tt0218043/?ref_=fn_tt_tt_1"/>
        <s v="http://www.imdb.com/title/tt0306069/?ref_=fn_tt_tt_1"/>
        <s v="http://www.imdb.com/title/tt0368913/?ref_=fn_tt_tt_1"/>
        <s v="http://www.imdb.com/title/tt1976608/?ref_=fn_tt_tt_1"/>
        <s v="http://www.imdb.com/title/tt0212974/?ref_=fn_tt_tt_1"/>
        <s v="http://www.imdb.com/title/tt0341540/?ref_=fn_tt_tt_1"/>
        <s v="http://www.imdb.com/title/tt0162830/?ref_=fn_tt_tt_1"/>
        <s v="http://www.imdb.com/title/tt0377091/?ref_=fn_tt_tt_1"/>
        <s v="http://www.imdb.com/title/tt0119338/?ref_=fn_tt_tt_1"/>
        <s v="http://www.imdb.com/title/tt0244094/?ref_=fn_tt_tt_1"/>
        <s v="http://www.imdb.com/title/tt0326806/?ref_=fn_tt_tt_1"/>
        <s v="http://www.imdb.com/title/tt0385056/?ref_=fn_tt_tt_1"/>
        <s v="http://www.imdb.com/title/tt2265398/?ref_=fn_tt_tt_1"/>
        <s v="http://www.imdb.com/title/tt2654360/?ref_=fn_tt_tt_1"/>
        <s v="http://www.imdb.com/title/tt0047478/?ref_=fn_tt_tt_1"/>
        <s v="http://www.imdb.com/title/tt1606829/?ref_=fn_tt_tt_1"/>
        <s v="http://www.imdb.com/title/tt0104567/?ref_=fn_tt_tt_1"/>
        <s v="http://www.imdb.com/title/tt0843850/?ref_=fn_tt_tt_1"/>
        <s v="http://www.imdb.com/title/tt1612774/?ref_=fn_tt_tt_1"/>
        <s v="http://www.imdb.com/title/tt0893346/?ref_=fn_tt_tt_1"/>
        <s v="http://www.imdb.com/title/tt0266971/?ref_=fn_tt_tt_1"/>
        <s v="http://www.imdb.com/title/tt1470827/?ref_=fn_tt_tt_1"/>
        <s v="http://www.imdb.com/title/tt0377043/?ref_=fn_tt_tt_1"/>
        <s v="http://www.imdb.com/title/tt0489212/?ref_=fn_tt_tt_1"/>
        <s v="http://www.imdb.com/title/tt1865346/?ref_=fn_tt_tt_1"/>
        <s v="http://www.imdb.com/title/tt0843270/?ref_=fn_tt_tt_1"/>
        <s v="http://www.imdb.com/title/tt0486541/?ref_=fn_tt_tt_1"/>
        <s v="http://www.imdb.com/title/tt0228277/?ref_=fn_tt_tt_1"/>
        <s v="http://www.imdb.com/title/tt3297330/?ref_=fn_tt_tt_1"/>
        <s v="http://www.imdb.com/title/tt0455556/?ref_=fn_tt_tt_1"/>
        <s v="http://www.imdb.com/title/tt2825768/?ref_=fn_tt_tt_1"/>
        <s v="http://www.imdb.com/title/tt1937264/?ref_=fn_tt_tt_1"/>
        <s v="http://www.imdb.com/title/tt1884318/?ref_=fn_tt_tt_1"/>
        <s v="http://www.imdb.com/title/tt3417110/?ref_=fn_tt_tt_1"/>
        <s v="http://www.imdb.com/title/tt2909932/?ref_=fn_tt_tt_1"/>
        <s v="http://www.imdb.com/title/tt1631707/?ref_=fn_tt_tt_1"/>
        <s v="http://www.imdb.com/title/tt2275671/?ref_=fn_tt_tt_1"/>
        <s v="http://www.imdb.com/title/tt3152288/?ref_=fn_tt_tt_1"/>
        <s v="http://www.imdb.com/title/tt3892618/?ref_=fn_tt_tt_1"/>
        <s v="http://www.imdb.com/title/tt2190180/?ref_=fn_tt_tt_1"/>
        <s v="http://www.imdb.com/title/tt4062896/?ref_=fn_tt_tt_1"/>
        <s v="http://www.imdb.com/title/tt2246526/?ref_=fn_tt_tt_1"/>
        <s v="http://www.imdb.com/title/tt3846442/?ref_=fn_tt_tt_1"/>
        <s v="http://www.imdb.com/title/tt0090190/?ref_=fn_tt_tt_1"/>
        <s v="http://www.imdb.com/title/tt0102989/?ref_=fn_tt_tt_1"/>
        <s v="http://www.imdb.com/title/tt0280491/?ref_=fn_tt_tt_1"/>
        <s v="http://www.imdb.com/title/tt2111292/?ref_=fn_tt_tt_1"/>
        <s v="http://www.imdb.com/title/tt0435623/?ref_=fn_tt_tt_1"/>
        <s v="http://www.imdb.com/title/tt0462485/?ref_=fn_tt_tt_1"/>
        <s v="http://www.imdb.com/title/tt2112209/?ref_=fn_tt_tt_1"/>
        <s v="http://www.imdb.com/title/tt0024034/?ref_=fn_tt_tt_1"/>
        <s v="http://www.imdb.com/title/tt4273494/?ref_=fn_tt_tt_1"/>
        <s v="http://www.imdb.com/title/tt0100142/?ref_=fn_tt_tt_1"/>
        <s v="http://www.imdb.com/title/tt0382330/?ref_=fn_tt_tt_1"/>
        <s v="http://www.imdb.com/title/tt1958007/?ref_=fn_tt_tt_1"/>
        <s v="http://www.imdb.com/title/tt0374900/?ref_=fn_tt_tt_1"/>
        <s v="http://www.imdb.com/title/tt2359024/?ref_=fn_tt_tt_1"/>
        <s v="http://www.imdb.com/title/tt1179904/?ref_=fn_tt_tt_1"/>
        <s v="http://www.imdb.com/title/tt0275309/?ref_=fn_tt_tt_1"/>
        <s v="http://www.imdb.com/title/tt0071853/?ref_=fn_tt_tt_1"/>
        <s v="http://www.imdb.com/title/tt0451176/?ref_=fn_tt_tt_1"/>
        <s v="http://www.imdb.com/title/tt0396041/?ref_=fn_tt_tt_1"/>
        <s v="http://www.imdb.com/title/tt0813715/?ref_=fn_tt_tt_1"/>
        <s v="http://www.imdb.com/title/tt0390538/?ref_=fn_tt_tt_1"/>
        <s v="http://www.imdb.com/title/tt1560957/?ref_=fn_tt_tt_1"/>
        <s v="http://www.imdb.com/title/tt2403415/?ref_=fn_tt_tt_1"/>
        <s v="http://www.imdb.com/title/tt0082307/?ref_=fn_tt_tt_1"/>
        <s v="http://www.imdb.com/title/tt0197159/?ref_=fn_tt_tt_1"/>
        <s v="http://www.imdb.com/title/tt1033643/?ref_=fn_tt_tt_1"/>
        <s v="http://www.imdb.com/title/tt0402249/?ref_=fn_tt_tt_1"/>
        <s v="http://www.imdb.com/title/tt0091578/?ref_=fn_tt_tt_1"/>
        <s v="http://www.imdb.com/title/tt0299863/?ref_=fn_tt_tt_1"/>
        <s v="http://www.imdb.com/title/tt0414510/?ref_=fn_tt_tt_1"/>
        <s v="http://www.imdb.com/title/tt0069467/?ref_=fn_tt_tt_1"/>
        <s v="http://www.imdb.com/title/tt0006864/?ref_=fn_tt_tt_1"/>
        <s v="http://www.imdb.com/title/tt0120370/?ref_=fn_tt_tt_1"/>
        <s v="http://www.imdb.com/title/tt0019729/?ref_=fn_tt_tt_1"/>
        <s v="http://www.imdb.com/title/tt0083907/?ref_=fn_tt_tt_1"/>
        <s v="http://www.imdb.com/title/tt2103217/?ref_=fn_tt_tt_1"/>
        <s v="http://www.imdb.com/title/tt3457376/?ref_=fn_tt_tt_1"/>
        <s v="http://www.imdb.com/title/tt0436613/?ref_=fn_tt_tt_1"/>
        <s v="http://www.imdb.com/title/tt0092548/?ref_=fn_tt_tt_1"/>
        <s v="http://www.imdb.com/title/tt0468442/?ref_=fn_tt_tt_1"/>
        <s v="http://www.imdb.com/title/tt2070791/?ref_=fn_tt_tt_1"/>
        <s v="http://www.imdb.com/title/tt4162992/?ref_=fn_tt_tt_1"/>
        <s v="http://www.imdb.com/title/tt0050083/?ref_=fn_tt_tt_1"/>
        <s v="http://www.imdb.com/title/tt0843358/?ref_=fn_tt_tt_1"/>
        <s v="http://www.imdb.com/title/tt0025316/?ref_=fn_tt_tt_1"/>
        <s v="http://www.imdb.com/title/tt1379182/?ref_=fn_tt_tt_1"/>
        <s v="http://www.imdb.com/title/tt0343121/?ref_=fn_tt_tt_1"/>
        <s v="http://www.imdb.com/title/tt0161023/?ref_=fn_tt_tt_1"/>
        <s v="http://www.imdb.com/title/tt0114194/?ref_=fn_tt_tt_1"/>
        <s v="http://www.imdb.com/title/tt0115856/?ref_=fn_tt_tt_1"/>
        <s v="http://www.imdb.com/title/tt0311648/?ref_=fn_tt_tt_1"/>
        <s v="http://www.imdb.com/title/tt0118717/?ref_=fn_tt_tt_1"/>
        <s v="http://www.imdb.com/title/tt0468526/?ref_=fn_tt_tt_1"/>
        <s v="http://www.imdb.com/title/tt1152850/?ref_=fn_tt_tt_1"/>
        <s v="http://www.imdb.com/title/tt1314190/?ref_=fn_tt_tt_1"/>
        <s v="http://www.imdb.com/title/tt0059592/?ref_=fn_tt_tt_1"/>
        <s v="http://www.imdb.com/title/tt0474361/?ref_=fn_tt_tt_1"/>
        <s v="http://www.imdb.com/title/tt0221809/?ref_=fn_tt_tt_1"/>
        <s v="http://www.imdb.com/title/tt0058414/?ref_=fn_tt_tt_1"/>
        <s v="http://www.imdb.com/title/tt0128214/?ref_=fn_tt_tt_1"/>
        <s v="http://www.imdb.com/title/tt0366444/?ref_=fn_tt_tt_1"/>
        <s v="http://www.imdb.com/title/tt0421237/?ref_=fn_tt_tt_1"/>
        <s v="http://www.imdb.com/title/tt2912776/?ref_=fn_tt_tt_1"/>
        <s v="http://www.imdb.com/title/tt0072856/?ref_=fn_tt_tt_1"/>
        <s v="http://www.imdb.com/title/tt1241226/?ref_=fn_tt_tt_1"/>
        <s v="http://www.imdb.com/title/tt0100146/?ref_=fn_tt_tt_1"/>
        <s v="http://www.imdb.com/title/tt0393049/?ref_=fn_tt_tt_1"/>
        <s v="http://www.imdb.com/title/tt3904272/?ref_=fn_tt_tt_1"/>
        <s v="http://www.imdb.com/title/tt0082467/?ref_=fn_tt_tt_1"/>
        <s v="http://www.imdb.com/title/tt1568341/?ref_=fn_tt_tt_1"/>
        <s v="http://www.imdb.com/title/tt1971352/?ref_=fn_tt_tt_1"/>
        <s v="http://www.imdb.com/title/tt0118842/?ref_=fn_tt_tt_1"/>
        <s v="http://www.imdb.com/title/tt0258273/?ref_=fn_tt_tt_1"/>
        <s v="http://www.imdb.com/title/tt1328873/?ref_=fn_tt_tt_1"/>
        <s v="http://www.imdb.com/title/tt0280477/?ref_=fn_tt_tt_1"/>
        <s v="http://www.imdb.com/title/tt0113416/?ref_=fn_tt_tt_1"/>
        <s v="http://www.imdb.com/title/tt0200530/?ref_=fn_tt_tt_1"/>
        <s v="http://www.imdb.com/title/tt0203289/?ref_=fn_tt_tt_1"/>
        <s v="http://www.imdb.com/title/tt3976258/?ref_=fn_tt_tt_1"/>
        <s v="http://www.imdb.com/title/tt0123755/?ref_=fn_tt_tt_1"/>
        <s v="http://www.imdb.com/title/tt0116931/?ref_=fn_tt_tt_1"/>
        <s v="http://www.imdb.com/title/tt0119346/?ref_=fn_tt_tt_1"/>
        <s v="http://www.imdb.com/title/tt0368089/?ref_=fn_tt_tt_1"/>
        <s v="http://www.imdb.com/title/tt1758692/?ref_=fn_tt_tt_1"/>
        <s v="http://www.imdb.com/title/tt1991199/?ref_=fn_tt_tt_1"/>
        <s v="http://www.imdb.com/title/tt0173390/?ref_=fn_tt_tt_1"/>
        <s v="http://www.imdb.com/title/tt0436607/?ref_=fn_tt_tt_1"/>
        <s v="http://www.imdb.com/title/tt2292959/?ref_=fn_tt_tt_1"/>
        <s v="http://www.imdb.com/title/tt3428912/?ref_=fn_tt_tt_1"/>
        <s v="http://www.imdb.com/title/tt0389235/?ref_=fn_tt_tt_1"/>
        <s v="http://www.imdb.com/title/tt0952682/?ref_=fn_tt_tt_1"/>
        <s v="http://www.imdb.com/title/tt1258197/?ref_=fn_tt_tt_1"/>
        <s v="http://www.imdb.com/title/tt0127302/?ref_=fn_tt_tt_1"/>
        <s v="http://www.imdb.com/title/tt1270792/?ref_=fn_tt_tt_1"/>
        <s v="http://www.imdb.com/title/tt1360826/?ref_=fn_tt_tt_1"/>
        <s v="http://www.imdb.com/title/tt1071804/?ref_=fn_tt_tt_1"/>
        <s v="http://www.imdb.com/title/tt1640714/?ref_=fn_tt_tt_1"/>
        <s v="http://www.imdb.com/title/tt1003002/?ref_=fn_tt_tt_1"/>
        <s v="http://www.imdb.com/title/tt0082122/?ref_=fn_tt_tt_1"/>
        <s v="http://www.imdb.com/title/tt3564748/?ref_=fn_tt_tt_1"/>
        <s v="http://www.imdb.com/title/tt2363439/?ref_=fn_tt_tt_1"/>
        <s v="http://www.imdb.com/title/tt3421204/?ref_=fn_tt_tt_1"/>
        <s v="http://www.imdb.com/title/tt2559658/?ref_=fn_tt_tt_1"/>
        <s v="http://www.imdb.com/title/tt0015624/?ref_=fn_tt_tt_1"/>
        <s v="http://www.imdb.com/title/tt0469690/?ref_=fn_tt_tt_1"/>
        <s v="http://www.imdb.com/title/tt2290113/?ref_=fn_tt_tt_1"/>
        <s v="http://www.imdb.com/title/tt1172570/?ref_=fn_tt_tt_1"/>
        <s v="http://www.imdb.com/title/tt3210710/?ref_=fn_tt_tt_1"/>
        <s v="http://www.imdb.com/title/tt1781784/?ref_=fn_tt_tt_1"/>
        <s v="http://www.imdb.com/title/tt0182508/?ref_=fn_tt_tt_1"/>
        <s v="http://www.imdb.com/title/tt0168192/?ref_=fn_tt_tt_1"/>
        <s v="http://www.imdb.com/title/tt0045546/?ref_=fn_tt_tt_1"/>
        <s v="http://www.imdb.com/title/tt0079501/?ref_=fn_tt_tt_1"/>
        <s v="http://www.imdb.com/title/tt0117802/?ref_=fn_tt_tt_1"/>
        <s v="http://www.imdb.com/title/tt0058461/?ref_=fn_tt_tt_1"/>
        <s v="http://www.imdb.com/title/tt0024548/?ref_=fn_tt_tt_1"/>
        <s v="http://www.imdb.com/title/tt0420723/?ref_=fn_tt_tt_1"/>
        <s v="http://www.imdb.com/title/tt1544600/?ref_=fn_tt_tt_1"/>
        <s v="http://www.imdb.com/title/tt1211890/?ref_=fn_tt_tt_1"/>
        <s v="http://www.imdb.com/title/tt1517177/?ref_=fn_tt_tt_1"/>
        <s v="http://www.imdb.com/title/tt0303313/?ref_=fn_tt_tt_1"/>
        <s v="http://www.imdb.com/title/tt1301130/?ref_=fn_tt_tt_1"/>
        <s v="http://www.imdb.com/title/tt0388230/?ref_=fn_tt_tt_1"/>
        <s v="http://www.imdb.com/title/tt2690560/?ref_=fn_tt_tt_1"/>
        <s v="http://www.imdb.com/title/tt1152827/?ref_=fn_tt_tt_1"/>
        <s v="http://www.imdb.com/title/tt0923600/?ref_=fn_tt_tt_1"/>
        <s v="http://www.imdb.com/title/tt3565836/?ref_=fn_tt_tt_1"/>
        <s v="http://www.imdb.com/title/tt0437123/?ref_=fn_tt_tt_1"/>
        <s v="http://www.imdb.com/title/tt0048452/?ref_=fn_tt_tt_1"/>
        <s v="http://www.imdb.com/title/tt0944101/?ref_=fn_tt_tt_1"/>
        <s v="http://www.imdb.com/title/tt0756683/?ref_=fn_tt_tt_1"/>
        <s v="http://www.imdb.com/title/tt0446055/?ref_=fn_tt_tt_1"/>
        <s v="http://www.imdb.com/title/tt0412366/?ref_=fn_tt_tt_1"/>
        <s v="http://www.imdb.com/title/tt0448182/?ref_=fn_tt_tt_1"/>
        <s v="http://www.imdb.com/title/tt1989646/?ref_=fn_tt_tt_1"/>
        <s v="http://www.imdb.com/title/tt3666210/?ref_=fn_tt_tt_1"/>
        <s v="http://www.imdb.com/title/tt1702455/?ref_=fn_tt_tt_1"/>
        <s v="http://www.imdb.com/title/tt0118849/?ref_=fn_tt_tt_1"/>
        <s v="http://www.imdb.com/title/tt1714210/?ref_=fn_tt_tt_1"/>
        <s v="http://www.imdb.com/title/tt0091939/?ref_=fn_tt_tt_1"/>
        <s v="http://www.imdb.com/title/tt2421956/?ref_=fn_tt_tt_1"/>
        <s v="http://www.imdb.com/title/tt4707756/?ref_=fn_tt_tt_1"/>
        <s v="http://www.imdb.com/title/tt1549572/?ref_=fn_tt_tt_1"/>
        <s v="http://www.imdb.com/title/tt0067810/?ref_=fn_tt_tt_1"/>
        <s v="http://www.imdb.com/title/tt3581098/?ref_=fn_tt_tt_1"/>
        <s v="http://www.imdb.com/title/tt0271219/?ref_=fn_tt_tt_1"/>
        <s v="http://www.imdb.com/title/tt0907657/?ref_=fn_tt_tt_1"/>
        <s v="http://www.imdb.com/title/tt0217894/?ref_=fn_tt_tt_1"/>
        <s v="http://www.imdb.com/title/tt1333668/?ref_=fn_tt_tt_1"/>
        <s v="http://www.imdb.com/title/tt1743993/?ref_=fn_tt_tt_1"/>
        <s v="http://www.imdb.com/title/tt1934172/?ref_=fn_tt_tt_1"/>
        <s v="http://www.imdb.com/title/tt0059026/?ref_=fn_tt_tt_1"/>
        <s v="http://www.imdb.com/title/tt2780714/?ref_=fn_tt_tt_1"/>
        <s v="http://www.imdb.com/title/tt2403815/?ref_=fn_tt_tt_1"/>
        <s v="http://www.imdb.com/title/tt4219836/?ref_=fn_tt_tt_1"/>
        <s v="http://www.imdb.com/title/tt0098213/?ref_=fn_tt_tt_1"/>
        <s v="http://www.imdb.com/title/tt2125430/?ref_=fn_tt_tt_1"/>
        <s v="http://www.imdb.com/title/tt1748207/?ref_=fn_tt_tt_1"/>
        <s v="http://www.imdb.com/title/tt2638024/?ref_=fn_tt_tt_1"/>
        <s v="http://www.imdb.com/title/tt0488873/?ref_=fn_tt_tt_1"/>
        <s v="http://www.imdb.com/title/tt1742336/?ref_=fn_tt_tt_1"/>
        <s v="http://www.imdb.com/title/tt4607906/?ref_=fn_tt_tt_1"/>
        <s v="http://www.imdb.com/title/tt0796314/?ref_=fn_tt_tt_1"/>
        <s v="http://www.imdb.com/title/tt0058701/?ref_=fn_tt_tt_1"/>
        <s v="http://www.imdb.com/title/tt4196450/?ref_=fn_tt_tt_1"/>
        <s v="http://www.imdb.com/title/tt0339921/?ref_=fn_tt_tt_1"/>
        <s v="http://www.imdb.com/title/tt0805526/?ref_=fn_tt_tt_1"/>
        <s v="http://www.imdb.com/title/tt2309260/?ref_=fn_tt_tt_1"/>
        <s v="http://www.imdb.com/title/tt0074486/?ref_=fn_tt_tt_1"/>
        <s v="http://www.imdb.com/title/tt0011549/?ref_=fn_tt_tt_1"/>
        <s v="http://www.imdb.com/title/tt0093200/?ref_=fn_tt_tt_1"/>
        <s v="http://www.imdb.com/title/tt0119670/?ref_=fn_tt_tt_1"/>
        <s v="http://www.imdb.com/title/tt0079709/?ref_=fn_tt_tt_1"/>
        <s v="http://www.imdb.com/title/tt0307109/?ref_=fn_tt_tt_1"/>
        <s v="http://www.imdb.com/title/tt3109200/?ref_=fn_tt_tt_1"/>
        <s v="http://www.imdb.com/title/tt2389182/?ref_=fn_tt_tt_1"/>
        <s v="http://www.imdb.com/title/tt1942884/?ref_=fn_tt_tt_1"/>
        <s v="http://www.imdb.com/title/tt0480011/?ref_=fn_tt_tt_1"/>
        <s v="http://www.imdb.com/title/tt0040671/?ref_=fn_tt_tt_1"/>
        <s v="http://www.imdb.com/title/tt2343473/?ref_=fn_tt_tt_1"/>
        <s v="http://www.imdb.com/title/tt0066141/?ref_=fn_tt_tt_1"/>
        <s v="http://www.imdb.com/title/tt3072636/?ref_=fn_tt_tt_1"/>
        <s v="http://www.imdb.com/title/tt0428959/?ref_=fn_tt_tt_1"/>
        <s v="http://www.imdb.com/title/tt0138704/?ref_=fn_tt_tt_1"/>
        <s v="http://www.imdb.com/title/tt0130019/?ref_=fn_tt_tt_1"/>
        <s v="http://www.imdb.com/title/tt0138987/?ref_=fn_tt_tt_1"/>
        <s v="http://www.imdb.com/title/tt2319456/?ref_=fn_tt_tt_1"/>
        <s v="http://www.imdb.com/title/tt0390521/?ref_=fn_tt_tt_1"/>
        <s v="http://www.imdb.com/title/tt1296373/?ref_=fn_tt_tt_1"/>
        <s v="http://www.imdb.com/title/tt2955096/?ref_=fn_tt_tt_1"/>
        <s v="http://www.imdb.com/title/tt0052646/?ref_=fn_tt_tt_1"/>
        <s v="http://www.imdb.com/title/tt2866824/?ref_=fn_tt_tt_1"/>
        <s v="http://www.imdb.com/title/tt1874789/?ref_=fn_tt_tt_1"/>
        <s v="http://www.imdb.com/title/tt1610996/?ref_=fn_tt_tt_1"/>
        <s v="http://www.imdb.com/title/tt0112585/?ref_=fn_tt_tt_1"/>
        <s v="http://www.imdb.com/title/tt2334896/?ref_=fn_tt_tt_1"/>
        <s v="http://www.imdb.com/title/tt0085575/?ref_=fn_tt_tt_1"/>
        <s v="http://www.imdb.com/title/tt1570989/?ref_=fn_tt_tt_1"/>
        <s v="http://www.imdb.com/title/tt1861343/?ref_=fn_tt_tt_1"/>
        <s v="http://www.imdb.com/title/tt0381053/?ref_=fn_tt_tt_1"/>
        <s v="http://www.imdb.com/title/tt4462082/?ref_=fn_tt_tt_1"/>
        <s v="http://www.imdb.com/title/tt0478988/?ref_=fn_tt_tt_1"/>
        <s v="http://www.imdb.com/title/tt2181837/?ref_=fn_tt_tt_1"/>
        <s v="http://www.imdb.com/title/tt2910814/?ref_=fn_tt_tt_1"/>
        <s v="http://www.imdb.com/title/tt2294916/?ref_=fn_tt_tt_1"/>
        <s v="http://www.imdb.com/title/tt1798291/?ref_=fn_tt_tt_1"/>
        <s v="http://www.imdb.com/title/tt1524083/?ref_=fn_tt_tt_1"/>
        <s v="http://www.imdb.com/title/tt0262432/?ref_=fn_tt_tt_1"/>
        <s v="http://www.imdb.com/title/tt0162348/?ref_=fn_tt_tt_1"/>
        <s v="http://www.imdb.com/title/tt3157318/?ref_=fn_tt_tt_1"/>
        <s v="http://www.imdb.com/title/tt1716760/?ref_=fn_tt_tt_1"/>
        <s v="http://www.imdb.com/title/tt0077838/?ref_=fn_tt_tt_1"/>
        <s v="http://www.imdb.com/title/tt2442662/?ref_=fn_tt_tt_1"/>
        <s v="http://www.imdb.com/title/tt1294161/?ref_=fn_tt_tt_1"/>
        <s v="http://www.imdb.com/title/tt1073221/?ref_=fn_tt_tt_1"/>
        <s v="http://www.imdb.com/title/tt0446747/?ref_=fn_tt_tt_1"/>
        <s v="http://www.imdb.com/title/tt2469216/?ref_=fn_tt_tt_1"/>
        <s v="http://www.imdb.com/title/tt1489167/?ref_=fn_tt_tt_1"/>
        <s v="http://www.imdb.com/title/tt0109445/?ref_=fn_tt_tt_1"/>
        <s v="http://www.imdb.com/title/tt0067580/?ref_=fn_tt_tt_1"/>
        <s v="http://www.imdb.com/title/tt0327753/?ref_=fn_tt_tt_1"/>
        <s v="http://www.imdb.com/title/tt0119361/?ref_=fn_tt_tt_1"/>
        <s v="http://www.imdb.com/title/tt0298050/?ref_=fn_tt_tt_1"/>
        <s v="http://www.imdb.com/title/tt1337057/?ref_=fn_tt_tt_1"/>
        <s v="http://www.imdb.com/title/tt0102943/?ref_=fn_tt_tt_1"/>
        <s v="http://www.imdb.com/title/tt2759066/?ref_=fn_tt_tt_1"/>
        <s v="http://www.imdb.com/title/tt2375036/?ref_=fn_tt_tt_1"/>
        <s v="http://www.imdb.com/title/tt0425027/?ref_=fn_tt_tt_1"/>
        <s v="http://www.imdb.com/title/tt1945044/?ref_=fn_tt_tt_1"/>
        <s v="http://www.imdb.com/title/tt1781935/?ref_=fn_tt_tt_1"/>
        <s v="http://www.imdb.com/title/tt0436689/?ref_=fn_tt_tt_1"/>
        <s v="http://www.imdb.com/title/tt3973612/?ref_=fn_tt_tt_1"/>
        <s v="http://www.imdb.com/title/tt1247644/?ref_=fn_tt_tt_1"/>
        <s v="http://www.imdb.com/title/tt1836212/?ref_=fn_tt_tt_1"/>
        <s v="http://www.imdb.com/title/tt0069089/?ref_=fn_tt_tt_1"/>
        <s v="http://www.imdb.com/title/tt0388838/?ref_=fn_tt_tt_1"/>
        <s v="http://www.imdb.com/title/tt0255094/?ref_=fn_tt_tt_1"/>
        <s v="http://www.imdb.com/title/tt1235811/?ref_=fn_tt_tt_1"/>
        <s v="http://www.imdb.com/title/tt0123948/?ref_=fn_tt_tt_1"/>
        <s v="http://www.imdb.com/title/tt0390323/?ref_=fn_tt_tt_1"/>
        <s v="http://www.imdb.com/title/tt2049518/?ref_=fn_tt_tt_1"/>
        <s v="http://www.imdb.com/title/tt0109266/?ref_=fn_tt_tt_1"/>
        <s v="http://www.imdb.com/title/tt0390384/?ref_=fn_tt_tt_1"/>
        <s v="http://www.imdb.com/title/tt0428303/?ref_=fn_tt_tt_1"/>
        <s v="http://www.imdb.com/title/tt0104815/?ref_=fn_tt_tt_1"/>
        <s v="http://www.imdb.com/title/tt0430371/?ref_=fn_tt_tt_1"/>
        <s v="http://www.imdb.com/title/tt1880418/?ref_=fn_tt_tt_1"/>
        <s v="http://www.imdb.com/title/tt3000844/?ref_=fn_tt_tt_1"/>
        <s v="http://www.imdb.com/title/tt2071645/?ref_=fn_tt_tt_1"/>
        <s v="http://www.imdb.com/title/tt2107644/?ref_=fn_tt_tt_1"/>
        <s v="http://www.imdb.com/title/tt2070597/?ref_=fn_tt_tt_1"/>
        <s v="http://www.imdb.com/title/tt0378407/?ref_=fn_tt_tt_1"/>
        <m/>
      </sharedItems>
    </cacheField>
    <cacheField name="num_user_for_reviews" numFmtId="0">
      <sharedItems containsString="0" containsBlank="1" containsNumber="1" containsInteger="1" minValue="1" maxValue="5060" count="955">
        <n v="3054"/>
        <n v="1238"/>
        <n v="994"/>
        <n v="2701"/>
        <m/>
        <n v="738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345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15"/>
        <n v="324"/>
        <n v="742"/>
        <n v="173"/>
        <n v="497"/>
        <n v="433"/>
        <n v="444"/>
        <n v="520"/>
        <n v="492"/>
        <n v="1676"/>
        <n v="1097"/>
        <n v="2725"/>
        <n v="2803"/>
        <n v="13"/>
        <n v="1367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74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2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36"/>
        <n v="454"/>
        <n v="134"/>
        <n v="491"/>
        <n v="1885"/>
        <n v="277"/>
        <n v="115"/>
        <n v="695"/>
        <n v="499"/>
        <n v="328"/>
        <n v="1144"/>
        <n v="627"/>
        <n v="798"/>
        <n v="799"/>
        <n v="121"/>
        <n v="443"/>
        <n v="97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0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146"/>
        <n v="208"/>
        <n v="522"/>
        <n v="466"/>
        <n v="171"/>
        <n v="521"/>
        <n v="588"/>
        <n v="685"/>
        <n v="211"/>
        <n v="63"/>
        <n v="488"/>
        <n v="589"/>
        <n v="604"/>
        <n v="1959"/>
        <n v="402"/>
        <n v="610"/>
        <n v="250"/>
        <n v="367"/>
        <n v="102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40"/>
        <n v="71"/>
        <n v="615"/>
        <n v="543"/>
        <n v="244"/>
        <n v="619"/>
        <n v="237"/>
        <n v="405"/>
        <n v="3"/>
        <n v="182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94"/>
        <n v="57"/>
        <n v="379"/>
        <n v="67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1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54"/>
        <n v="207"/>
        <n v="618"/>
        <n v="313"/>
        <n v="279"/>
        <n v="202"/>
        <n v="568"/>
        <n v="445"/>
        <n v="296"/>
        <n v="62"/>
        <n v="172"/>
        <n v="143"/>
        <n v="87"/>
        <n v="2277"/>
        <n v="467"/>
        <n v="3646"/>
        <n v="556"/>
        <n v="564"/>
        <n v="310"/>
        <n v="1500"/>
        <n v="213"/>
        <n v="2968"/>
        <n v="175"/>
        <n v="28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41"/>
        <n v="256"/>
        <n v="338"/>
        <n v="471"/>
        <n v="569"/>
        <n v="259"/>
        <n v="73"/>
        <n v="72"/>
        <n v="842"/>
        <n v="150"/>
        <n v="165"/>
        <n v="233"/>
        <n v="91"/>
        <n v="857"/>
        <n v="243"/>
        <n v="644"/>
        <n v="247"/>
        <n v="282"/>
        <n v="109"/>
        <n v="188"/>
        <n v="368"/>
        <n v="9"/>
        <n v="183"/>
        <n v="1058"/>
        <n v="916"/>
        <n v="410"/>
        <n v="431"/>
        <n v="198"/>
        <n v="147"/>
        <n v="331"/>
        <n v="220"/>
        <n v="225"/>
        <n v="1398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142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199"/>
        <n v="791"/>
        <n v="292"/>
        <n v="312"/>
        <n v="384"/>
        <n v="2042"/>
        <n v="192"/>
        <n v="304"/>
        <n v="625"/>
        <n v="219"/>
        <n v="306"/>
        <n v="506"/>
        <n v="1740"/>
        <n v="148"/>
        <n v="672"/>
        <n v="140"/>
        <n v="226"/>
        <n v="33"/>
        <n v="65"/>
        <n v="392"/>
        <n v="286"/>
        <n v="260"/>
        <n v="22"/>
        <n v="47"/>
        <n v="420"/>
        <n v="390"/>
        <n v="70"/>
        <n v="93"/>
        <n v="294"/>
        <n v="477"/>
        <n v="397"/>
        <n v="850"/>
        <n v="32"/>
        <n v="185"/>
        <n v="537"/>
        <n v="307"/>
        <n v="55"/>
        <n v="236"/>
        <n v="651"/>
        <n v="107"/>
        <n v="29"/>
        <n v="16"/>
        <n v="461"/>
        <n v="212"/>
        <n v="228"/>
        <n v="633"/>
        <n v="609"/>
        <n v="582"/>
        <n v="350"/>
        <n v="1004"/>
        <n v="317"/>
        <n v="541"/>
        <n v="61"/>
        <n v="1053"/>
        <n v="355"/>
        <n v="305"/>
        <n v="80"/>
        <n v="81"/>
        <n v="531"/>
        <n v="409"/>
        <n v="349"/>
        <n v="135"/>
        <n v="502"/>
        <n v="303"/>
        <n v="75"/>
        <n v="268"/>
        <n v="460"/>
        <n v="396"/>
        <n v="841"/>
        <n v="835"/>
        <n v="18"/>
        <n v="5"/>
        <n v="658"/>
        <n v="336"/>
        <n v="327"/>
        <n v="1360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291"/>
        <n v="334"/>
        <n v="518"/>
        <n v="587"/>
        <n v="43"/>
        <n v="167"/>
        <n v="754"/>
        <n v="105"/>
        <n v="60"/>
        <n v="1314"/>
        <n v="111"/>
        <n v="25"/>
        <n v="801"/>
        <n v="26"/>
        <n v="234"/>
        <n v="1594"/>
        <n v="50"/>
        <n v="638"/>
        <n v="911"/>
        <n v="45"/>
        <n v="266"/>
        <n v="475"/>
        <n v="1437"/>
        <n v="1535"/>
        <n v="21"/>
        <n v="218"/>
        <n v="784"/>
        <n v="817"/>
        <n v="136"/>
        <n v="30"/>
        <n v="724"/>
        <n v="631"/>
        <n v="668"/>
        <n v="677"/>
        <n v="262"/>
        <n v="400"/>
        <n v="11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76"/>
        <n v="915"/>
        <n v="319"/>
        <n v="1033"/>
        <n v="647"/>
        <n v="441"/>
        <n v="485"/>
        <n v="669"/>
        <n v="571"/>
        <n v="1125"/>
        <n v="364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354"/>
        <n v="671"/>
        <n v="38"/>
        <n v="19"/>
        <n v="365"/>
        <n v="27"/>
        <n v="17"/>
        <n v="23"/>
        <n v="7"/>
        <n v="14"/>
        <n v="96"/>
        <n v="51"/>
        <n v="722"/>
        <n v="170"/>
        <n v="1057"/>
        <n v="962"/>
        <n v="714"/>
        <n v="1168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12"/>
        <n v="888"/>
        <n v="37"/>
        <n v="513"/>
        <n v="20"/>
        <n v="48"/>
        <n v="8"/>
        <n v="404"/>
        <n v="330"/>
        <n v="553"/>
        <n v="900"/>
        <n v="748"/>
        <n v="580"/>
        <n v="381"/>
        <n v="517"/>
        <n v="771"/>
        <n v="807"/>
        <n v="46"/>
        <n v="613"/>
        <n v="389"/>
        <n v="908"/>
        <n v="700"/>
        <n v="1514"/>
        <n v="760"/>
        <n v="592"/>
        <n v="6"/>
        <n v="359"/>
        <n v="299"/>
        <n v="570"/>
        <n v="1137"/>
        <n v="869"/>
        <n v="478"/>
        <n v="1320"/>
        <n v="809"/>
        <n v="536"/>
        <n v="902"/>
        <n v="4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1026"/>
        <n v="240"/>
        <n v="614"/>
        <n v="718"/>
        <n v="735"/>
        <n v="876"/>
        <n v="369"/>
        <n v="1028"/>
        <n v="1768"/>
        <n v="413"/>
        <n v="747"/>
        <n v="2254"/>
        <n v="314"/>
        <n v="616"/>
        <n v="1140"/>
        <n v="650"/>
        <n v="1066"/>
        <n v="840"/>
        <n v="578"/>
        <n v="605"/>
        <n v="10"/>
        <n v="726"/>
        <n v="1470"/>
        <n v="749"/>
        <n v="1736"/>
        <n v="682"/>
        <n v="985"/>
        <n v="1015"/>
        <n v="944"/>
        <n v="540"/>
        <n v="1420"/>
        <n v="1624"/>
        <n v="551"/>
        <n v="1110"/>
        <n v="82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272"/>
        <n v="664"/>
        <n v="864"/>
        <n v="2067"/>
        <n v="756"/>
        <n v="561"/>
        <n v="859"/>
        <n v="565"/>
        <n v="1516"/>
        <n v="1916"/>
        <n v="2110"/>
        <n v="1848"/>
        <n v="333"/>
        <n v="486"/>
        <n v="427"/>
        <n v="731"/>
        <n v="978"/>
        <n v="839"/>
        <n v="709"/>
        <n v="1509"/>
        <n v="931"/>
        <n v="780"/>
        <n v="1123"/>
        <n v="542"/>
        <n v="3400"/>
        <n v="451"/>
        <n v="1473"/>
        <n v="1189"/>
        <n v="740"/>
        <n v="500"/>
        <n v="586"/>
      </sharedItems>
    </cacheField>
    <cacheField name="language" numFmtId="0">
      <sharedItems containsBlank="1" count="48">
        <s v="English"/>
        <m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country" numFmtId="0">
      <sharedItems containsBlank="1" count="66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 count="19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 minValue="218" maxValue="12215500000" count="440">
        <n v="237000000"/>
        <n v="300000000"/>
        <n v="245000000"/>
        <n v="250000000"/>
        <m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5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78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000000"/>
        <n v="82000000"/>
        <n v="81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16900000"/>
        <n v="43000000"/>
        <n v="64000000"/>
        <n v="42000000"/>
        <n v="48000000"/>
        <n v="30000000"/>
        <n v="68005000"/>
        <n v="58800000"/>
        <n v="3000000"/>
        <n v="57000000"/>
        <n v="56000000"/>
        <n v="54000000"/>
        <n v="1400000"/>
        <n v="71000000"/>
        <n v="47000000"/>
        <n v="2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14000000"/>
        <n v="1000000"/>
        <n v="2500000"/>
        <n v="26000000"/>
        <n v="44500000"/>
        <n v="2600000"/>
        <n v="31115000"/>
        <n v="32000000"/>
        <n v="31000000"/>
        <n v="27000000"/>
        <n v="41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29500000"/>
        <n v="35200000"/>
        <n v="29000000"/>
        <n v="1800000"/>
        <n v="10700000"/>
        <n v="19000000"/>
        <n v="32500000"/>
        <n v="28000000"/>
        <n v="31500000"/>
        <n v="6500000"/>
        <n v="30250000"/>
        <n v="34200000"/>
        <n v="17000000"/>
        <n v="27800000"/>
        <n v="21000000"/>
        <n v="12000000"/>
        <n v="27500000"/>
        <n v="16000000"/>
        <n v="13500000"/>
        <n v="25530000"/>
        <n v="25100000"/>
        <n v="2800000"/>
        <n v="25500000"/>
        <n v="21150000"/>
        <n v="13000000"/>
        <n v="8200000"/>
        <n v="23600000"/>
        <n v="12500000"/>
        <n v="19430000"/>
        <n v="11000000"/>
        <n v="22700000"/>
        <n v="22500000"/>
        <n v="23500000"/>
        <n v="21500000"/>
        <n v="9000000"/>
        <n v="19400870"/>
        <n v="19800000"/>
        <n v="806947"/>
        <n v="19500000"/>
        <n v="8700000"/>
        <n v="2400000000"/>
        <n v="2127519898"/>
        <n v="13000"/>
        <n v="27220000"/>
        <n v="19400000"/>
        <n v="18500000"/>
        <n v="2700000"/>
        <n v="11350000"/>
        <n v="3500000"/>
        <n v="1790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8495000"/>
        <n v="12620000"/>
        <n v="3660000"/>
        <n v="12800000"/>
        <n v="10500000"/>
        <n v="9600000"/>
        <n v="5000000"/>
        <n v="12215500000"/>
        <n v="9200000"/>
        <n v="2500000000"/>
        <n v="7500000"/>
        <n v="11900000"/>
        <n v="10800000"/>
        <n v="700000000"/>
        <n v="10600000"/>
        <n v="10818775"/>
        <n v="13800000"/>
        <n v="12305523"/>
        <n v="12600000"/>
        <n v="6400000"/>
        <n v="6200000"/>
        <n v="9500000"/>
        <n v="8900000"/>
        <n v="9400000"/>
        <n v="9300000"/>
        <n v="600000000"/>
        <n v="7400000"/>
        <n v="7217600"/>
        <n v="83532"/>
        <n v="400000000"/>
        <n v="11400000"/>
        <n v="8800000"/>
        <n v="8600000"/>
        <n v="7623000"/>
        <n v="8300000"/>
        <n v="8550000"/>
        <n v="7200000"/>
        <n v="1100000000"/>
        <n v="7900000"/>
        <n v="7700000"/>
        <n v="4500000"/>
        <n v="7300000"/>
        <n v="6600000"/>
        <n v="2300000"/>
        <n v="350000"/>
        <n v="4825000"/>
        <n v="6900000"/>
        <n v="6800000"/>
        <n v="4800000"/>
        <n v="6244087"/>
        <n v="7840000"/>
        <n v="5952000"/>
        <n v="5300000"/>
        <n v="6700000"/>
        <n v="3500159"/>
        <n v="5600000"/>
        <n v="5500000"/>
        <n v="3850000"/>
        <n v="5250000"/>
        <n v="30300000"/>
        <n v="5100000"/>
        <n v="4900000"/>
        <n v="3300000"/>
        <n v="800000"/>
        <n v="2200000"/>
        <n v="3209000"/>
        <n v="84450000"/>
        <n v="890000"/>
        <n v="4700000"/>
        <n v="4638783"/>
        <n v="4600000"/>
        <n v="4200000000"/>
        <n v="4400000"/>
        <n v="4200000"/>
        <n v="114000"/>
        <n v="3600000"/>
        <n v="3200000"/>
        <n v="3400000"/>
        <n v="1300000"/>
        <n v="650000"/>
        <n v="3950000"/>
        <n v="3800000"/>
        <n v="3977000"/>
        <n v="3768785"/>
        <n v="3700000"/>
        <n v="3716946"/>
        <n v="19900000"/>
        <n v="3440000"/>
        <n v="4300000"/>
        <n v="3180000"/>
        <n v="4490375"/>
        <n v="1900000"/>
        <n v="2900000"/>
        <n v="2883848"/>
        <n v="2686585"/>
        <n v="2650000"/>
        <n v="2627000"/>
        <n v="2540800"/>
        <n v="34000"/>
        <n v="8400000"/>
        <n v="2400000"/>
        <n v="2361000"/>
        <n v="2450000"/>
        <n v="2295429"/>
        <n v="2280000"/>
        <n v="2160000"/>
        <n v="1200000"/>
        <n v="2100000"/>
        <n v="1614000"/>
        <n v="14000"/>
        <n v="100000"/>
        <n v="1250000"/>
        <n v="1950000"/>
        <n v="1750000"/>
        <n v="1700000"/>
        <n v="1644736"/>
        <n v="1650000"/>
        <n v="1600000"/>
        <n v="1100000"/>
        <n v="1696377"/>
        <n v="1455000"/>
        <n v="3150000"/>
        <n v="1377800"/>
        <n v="960000"/>
        <n v="1592000"/>
        <n v="1288000"/>
        <n v="427000"/>
        <n v="1420000"/>
        <n v="695393"/>
        <n v="950000"/>
        <n v="1000000000"/>
        <n v="900000"/>
        <n v="989000"/>
        <n v="913000"/>
        <n v="910000"/>
        <n v="930000"/>
        <n v="590000"/>
        <n v="850000"/>
        <n v="825000"/>
        <n v="990000"/>
        <n v="600000"/>
        <n v="780000"/>
        <n v="777000"/>
        <n v="750000"/>
        <n v="700000"/>
        <n v="400000"/>
        <n v="625000"/>
        <n v="609000"/>
        <n v="60000"/>
        <n v="560000"/>
        <n v="550000"/>
        <n v="46000"/>
        <n v="150000"/>
        <n v="475000"/>
        <n v="450000"/>
        <n v="439000"/>
        <n v="225000"/>
        <n v="1066167"/>
        <n v="15000"/>
        <n v="229575"/>
        <n v="218"/>
        <n v="385907"/>
        <n v="375000"/>
        <n v="379000"/>
        <n v="1750211"/>
        <n v="325000"/>
        <n v="312000"/>
        <n v="200000"/>
        <n v="160000"/>
        <n v="250000"/>
        <n v="270000"/>
        <n v="290000"/>
        <n v="365000"/>
        <n v="245000"/>
        <n v="240000"/>
        <n v="210000"/>
        <n v="180000"/>
        <n v="120000"/>
        <n v="175000"/>
        <n v="168000"/>
        <n v="125000"/>
        <n v="103000"/>
        <n v="20000"/>
        <n v="40000"/>
        <n v="70000"/>
        <n v="75000"/>
        <n v="65000"/>
        <n v="62000"/>
        <n v="25000"/>
        <n v="50000"/>
        <n v="42000"/>
        <n v="45000"/>
        <n v="30000"/>
        <n v="230000"/>
        <n v="27000"/>
        <n v="24000"/>
        <n v="23000"/>
        <n v="22000"/>
        <n v="17350"/>
        <n v="10000"/>
        <n v="4500"/>
        <n v="7000"/>
        <n v="3250"/>
        <n v="9000"/>
        <n v="1400"/>
        <n v="1100"/>
      </sharedItems>
    </cacheField>
    <cacheField name="title_year" numFmtId="0">
      <sharedItems containsString="0" containsBlank="1" containsNumber="1" containsInteger="1" minValue="1916" maxValue="2016" count="92">
        <n v="2009"/>
        <n v="2007"/>
        <n v="2015"/>
        <n v="2012"/>
        <m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79"/>
        <n v="1992"/>
        <n v="1989"/>
        <n v="1984"/>
        <n v="1988"/>
        <n v="1978"/>
        <n v="1962"/>
        <n v="1980"/>
        <n v="1972"/>
        <n v="1981"/>
        <n v="1968"/>
        <n v="1985"/>
        <n v="1940"/>
        <n v="1963"/>
        <n v="1987"/>
        <n v="1986"/>
        <n v="1973"/>
        <n v="1983"/>
        <n v="1976"/>
        <n v="1977"/>
        <n v="1970"/>
        <n v="1971"/>
        <n v="1969"/>
        <n v="1960"/>
        <n v="1965"/>
        <n v="1964"/>
        <n v="1927"/>
        <n v="1974"/>
        <n v="1937"/>
        <n v="1975"/>
        <n v="1967"/>
        <n v="1951"/>
        <n v="1961"/>
        <n v="1946"/>
        <n v="1953"/>
        <n v="1954"/>
        <n v="1959"/>
        <n v="1932"/>
        <n v="1947"/>
        <n v="1956"/>
        <n v="1945"/>
        <n v="1952"/>
        <n v="1930"/>
        <n v="1966"/>
        <n v="1939"/>
        <n v="1950"/>
        <n v="1948"/>
        <n v="1958"/>
        <n v="1957"/>
        <n v="1943"/>
        <n v="1944"/>
        <n v="1938"/>
        <n v="1949"/>
        <n v="1936"/>
        <n v="1941"/>
        <n v="1955"/>
        <n v="1942"/>
        <n v="1929"/>
        <n v="1935"/>
        <n v="1933"/>
        <n v="1916"/>
        <n v="1934"/>
        <n v="1925"/>
        <n v="1920"/>
      </sharedItems>
    </cacheField>
    <cacheField name="actor_2_facebook_likes" numFmtId="0">
      <sharedItems containsString="0" containsBlank="1" containsNumber="1" containsInteger="1" minValue="0" maxValue="137000" count="918">
        <n v="936"/>
        <n v="5000"/>
        <n v="393"/>
        <n v="23000"/>
        <n v="12"/>
        <n v="632"/>
        <n v="11000"/>
        <n v="553"/>
        <n v="21000"/>
        <n v="4000"/>
        <n v="10000"/>
        <n v="412"/>
        <n v="2000"/>
        <n v="3000"/>
        <n v="216"/>
        <n v="816"/>
        <n v="972"/>
        <n v="882"/>
        <n v="6000"/>
        <n v="919"/>
        <n v="14000"/>
        <n v="19000"/>
        <n v="563"/>
        <n v="25000"/>
        <n v="808"/>
        <n v="779"/>
        <n v="581"/>
        <n v="956"/>
        <n v="15000"/>
        <n v="368"/>
        <n v="1000"/>
        <n v="22000"/>
        <n v="981"/>
        <n v="557"/>
        <n v="509"/>
        <n v="567"/>
        <n v="968"/>
        <n v="829"/>
        <n v="150"/>
        <n v="119"/>
        <n v="729"/>
        <n v="268"/>
        <n v="468"/>
        <n v="190"/>
        <n v="13000"/>
        <n v="848"/>
        <n v="973"/>
        <n v="12000"/>
        <n v="16000"/>
        <n v="336"/>
        <n v="854"/>
        <n v="60"/>
        <n v="767"/>
        <n v="17000"/>
        <n v="525"/>
        <n v="225"/>
        <n v="638"/>
        <n v="719"/>
        <n v="931"/>
        <n v="726"/>
        <n v="812"/>
        <n v="953"/>
        <n v="284"/>
        <n v="27000"/>
        <n v="106"/>
        <n v="418"/>
        <n v="795"/>
        <n v="716"/>
        <n v="82"/>
        <n v="961"/>
        <n v="599"/>
        <n v="9000"/>
        <n v="851"/>
        <n v="269"/>
        <n v="523"/>
        <n v="198"/>
        <n v="20000"/>
        <n v="745"/>
        <n v="759"/>
        <n v="607"/>
        <n v="897"/>
        <n v="490"/>
        <n v="852"/>
        <n v="756"/>
        <n v="551"/>
        <n v="562"/>
        <n v="548"/>
        <n v="770"/>
        <n v="766"/>
        <n v="370"/>
        <n v="315"/>
        <n v="550"/>
        <n v="893"/>
        <n v="934"/>
        <n v="780"/>
        <n v="300"/>
        <n v="536"/>
        <n v="172"/>
        <n v="321"/>
        <n v="400"/>
        <n v="881"/>
        <n v="411"/>
        <n v="967"/>
        <n v="898"/>
        <n v="442"/>
        <n v="702"/>
        <n v="871"/>
        <n v="943"/>
        <n v="558"/>
        <n v="570"/>
        <n v="687"/>
        <n v="574"/>
        <n v="237"/>
        <n v="505"/>
        <n v="979"/>
        <n v="308"/>
        <n v="372"/>
        <n v="826"/>
        <n v="890"/>
        <n v="722"/>
        <n v="794"/>
        <n v="358"/>
        <n v="701"/>
        <n v="365"/>
        <n v="799"/>
        <n v="850"/>
        <n v="107"/>
        <n v="992"/>
        <n v="276"/>
        <n v="836"/>
        <n v="809"/>
        <n v="23"/>
        <n v="293"/>
        <n v="833"/>
        <n v="360"/>
        <n v="8000"/>
        <n v="392"/>
        <n v="554"/>
        <n v="113"/>
        <n v="513"/>
        <n v="929"/>
        <n v="71"/>
        <n v="635"/>
        <n v="743"/>
        <n v="886"/>
        <n v="578"/>
        <n v="801"/>
        <m/>
        <n v="631"/>
        <n v="933"/>
        <n v="798"/>
        <n v="658"/>
        <n v="604"/>
        <n v="782"/>
        <n v="464"/>
        <n v="713"/>
        <n v="773"/>
        <n v="700"/>
        <n v="452"/>
        <n v="625"/>
        <n v="762"/>
        <n v="151"/>
        <n v="710"/>
        <n v="475"/>
        <n v="653"/>
        <n v="825"/>
        <n v="735"/>
        <n v="294"/>
        <n v="911"/>
        <n v="695"/>
        <n v="537"/>
        <n v="42"/>
        <n v="508"/>
        <n v="196"/>
        <n v="820"/>
        <n v="331"/>
        <n v="740"/>
        <n v="520"/>
        <n v="560"/>
        <n v="939"/>
        <n v="857"/>
        <n v="595"/>
        <n v="419"/>
        <n v="787"/>
        <n v="723"/>
        <n v="903"/>
        <n v="165"/>
        <n v="627"/>
        <n v="526"/>
        <n v="256"/>
        <n v="806"/>
        <n v="500"/>
        <n v="559"/>
        <n v="802"/>
        <n v="600"/>
        <n v="569"/>
        <n v="624"/>
        <n v="249"/>
        <n v="117"/>
        <n v="577"/>
        <n v="643"/>
        <n v="602"/>
        <n v="691"/>
        <n v="655"/>
        <n v="947"/>
        <n v="946"/>
        <n v="410"/>
        <n v="805"/>
        <n v="142"/>
        <n v="183"/>
        <n v="906"/>
        <n v="660"/>
        <n v="650"/>
        <n v="35"/>
        <n v="227"/>
        <n v="579"/>
        <n v="174"/>
        <n v="388"/>
        <n v="345"/>
        <n v="592"/>
        <n v="760"/>
        <n v="169"/>
        <n v="975"/>
        <n v="7000"/>
        <n v="670"/>
        <n v="811"/>
        <n v="533"/>
        <n v="437"/>
        <n v="223"/>
        <n v="311"/>
        <n v="869"/>
        <n v="4"/>
        <n v="878"/>
        <n v="982"/>
        <n v="960"/>
        <n v="177"/>
        <n v="137"/>
        <n v="642"/>
        <n v="503"/>
        <n v="243"/>
        <n v="639"/>
        <n v="496"/>
        <n v="277"/>
        <n v="448"/>
        <n v="21"/>
        <n v="274"/>
        <n v="396"/>
        <n v="739"/>
        <n v="48"/>
        <n v="18000"/>
        <n v="674"/>
        <n v="971"/>
        <n v="788"/>
        <n v="0"/>
        <n v="80"/>
        <n v="63"/>
        <n v="307"/>
        <n v="94"/>
        <n v="161"/>
        <n v="422"/>
        <n v="904"/>
        <n v="872"/>
        <n v="506"/>
        <n v="436"/>
        <n v="430"/>
        <n v="764"/>
        <n v="590"/>
        <n v="427"/>
        <n v="339"/>
        <n v="988"/>
        <n v="466"/>
        <n v="576"/>
        <n v="549"/>
        <n v="130"/>
        <n v="486"/>
        <n v="964"/>
        <n v="970"/>
        <n v="450"/>
        <n v="303"/>
        <n v="103"/>
        <n v="552"/>
        <n v="889"/>
        <n v="845"/>
        <n v="270"/>
        <n v="561"/>
        <n v="692"/>
        <n v="383"/>
        <n v="440"/>
        <n v="17"/>
        <n v="529"/>
        <n v="309"/>
        <n v="843"/>
        <n v="861"/>
        <n v="834"/>
        <n v="697"/>
        <n v="588"/>
        <n v="405"/>
        <n v="585"/>
        <n v="229"/>
        <n v="327"/>
        <n v="217"/>
        <n v="841"/>
        <n v="324"/>
        <n v="326"/>
        <n v="220"/>
        <n v="451"/>
        <n v="855"/>
        <n v="149"/>
        <n v="363"/>
        <n v="394"/>
        <n v="955"/>
        <n v="145"/>
        <n v="793"/>
        <n v="698"/>
        <n v="495"/>
        <n v="730"/>
        <n v="517"/>
        <n v="718"/>
        <n v="346"/>
        <n v="580"/>
        <n v="317"/>
        <n v="380"/>
        <n v="192"/>
        <n v="783"/>
        <n v="909"/>
        <n v="593"/>
        <n v="85"/>
        <n v="27"/>
        <n v="522"/>
        <n v="610"/>
        <n v="925"/>
        <n v="913"/>
        <n v="18"/>
        <n v="862"/>
        <n v="966"/>
        <n v="664"/>
        <n v="899"/>
        <n v="330"/>
        <n v="147"/>
        <n v="387"/>
        <n v="501"/>
        <n v="617"/>
        <n v="263"/>
        <n v="497"/>
        <n v="976"/>
        <n v="208"/>
        <n v="240"/>
        <n v="257"/>
        <n v="628"/>
        <n v="334"/>
        <n v="884"/>
        <n v="944"/>
        <n v="680"/>
        <n v="720"/>
        <n v="467"/>
        <n v="668"/>
        <n v="301"/>
        <n v="748"/>
        <n v="417"/>
        <n v="219"/>
        <n v="399"/>
        <n v="344"/>
        <n v="233"/>
        <n v="441"/>
        <n v="102"/>
        <n v="265"/>
        <n v="290"/>
        <n v="329"/>
        <n v="708"/>
        <n v="298"/>
        <n v="962"/>
        <n v="891"/>
        <n v="935"/>
        <n v="847"/>
        <n v="663"/>
        <n v="864"/>
        <n v="535"/>
        <n v="827"/>
        <n v="507"/>
        <n v="860"/>
        <n v="110"/>
        <n v="591"/>
        <n v="273"/>
        <n v="40"/>
        <n v="416"/>
        <n v="518"/>
        <n v="390"/>
        <n v="796"/>
        <n v="963"/>
        <n v="460"/>
        <n v="640"/>
        <n v="879"/>
        <n v="605"/>
        <n v="828"/>
        <n v="52"/>
        <n v="367"/>
        <n v="245"/>
        <n v="62"/>
        <n v="637"/>
        <n v="957"/>
        <n v="534"/>
        <n v="568"/>
        <n v="721"/>
        <n v="135"/>
        <n v="50"/>
        <n v="883"/>
        <n v="920"/>
        <n v="818"/>
        <n v="989"/>
        <n v="258"/>
        <n v="131"/>
        <n v="171"/>
        <n v="651"/>
        <n v="912"/>
        <n v="348"/>
        <n v="995"/>
        <n v="822"/>
        <n v="289"/>
        <n v="823"/>
        <n v="414"/>
        <n v="7"/>
        <n v="472"/>
        <n v="455"/>
        <n v="184"/>
        <n v="512"/>
        <n v="923"/>
        <n v="694"/>
        <n v="619"/>
        <n v="940"/>
        <n v="342"/>
        <n v="531"/>
        <n v="844"/>
        <n v="555"/>
        <n v="254"/>
        <n v="629"/>
        <n v="575"/>
        <n v="977"/>
        <n v="954"/>
        <n v="29"/>
        <n v="769"/>
        <n v="115"/>
        <n v="541"/>
        <n v="423"/>
        <n v="623"/>
        <n v="337"/>
        <n v="530"/>
        <n v="949"/>
        <n v="724"/>
        <n v="91"/>
        <n v="807"/>
        <n v="108"/>
        <n v="902"/>
        <n v="279"/>
        <n v="584"/>
        <n v="641"/>
        <n v="706"/>
        <n v="894"/>
        <n v="463"/>
        <n v="304"/>
        <n v="362"/>
        <n v="461"/>
        <n v="484"/>
        <n v="44"/>
        <n v="68"/>
        <n v="202"/>
        <n v="116"/>
        <n v="141"/>
        <n v="611"/>
        <n v="738"/>
        <n v="849"/>
        <n v="28"/>
        <n v="815"/>
        <n v="349"/>
        <n v="922"/>
        <n v="43"/>
        <n v="786"/>
        <n v="489"/>
        <n v="152"/>
        <n v="312"/>
        <n v="81"/>
        <n v="896"/>
        <n v="449"/>
        <n v="157"/>
        <n v="984"/>
        <n v="874"/>
        <n v="876"/>
        <n v="137000"/>
        <n v="835"/>
        <n v="980"/>
        <n v="78"/>
        <n v="244"/>
        <n v="426"/>
        <n v="351"/>
        <n v="689"/>
        <n v="413"/>
        <n v="47"/>
        <n v="741"/>
        <n v="690"/>
        <n v="61"/>
        <n v="682"/>
        <n v="683"/>
        <n v="299"/>
        <n v="613"/>
        <n v="941"/>
        <n v="322"/>
        <n v="253"/>
        <n v="926"/>
        <n v="754"/>
        <n v="908"/>
        <n v="887"/>
        <n v="382"/>
        <n v="596"/>
        <n v="545"/>
        <n v="248"/>
        <n v="46"/>
        <n v="3"/>
        <n v="755"/>
        <n v="133"/>
        <n v="542"/>
        <n v="516"/>
        <n v="285"/>
        <n v="543"/>
        <n v="210"/>
        <n v="316"/>
        <n v="163"/>
        <n v="924"/>
        <n v="476"/>
        <n v="597"/>
        <n v="669"/>
        <n v="744"/>
        <n v="707"/>
        <n v="485"/>
        <n v="521"/>
        <n v="839"/>
        <n v="79"/>
        <n v="645"/>
        <n v="734"/>
        <n v="618"/>
        <n v="398"/>
        <n v="742"/>
        <n v="838"/>
        <n v="338"/>
        <n v="224"/>
        <n v="915"/>
        <n v="648"/>
        <n v="488"/>
        <n v="445"/>
        <n v="175"/>
        <n v="73"/>
        <n v="573"/>
        <n v="328"/>
        <n v="214"/>
        <n v="603"/>
        <n v="206"/>
        <n v="22"/>
        <n v="457"/>
        <n v="2"/>
        <n v="9"/>
        <n v="856"/>
        <n v="774"/>
        <n v="649"/>
        <n v="98"/>
        <n v="15"/>
        <n v="594"/>
        <n v="403"/>
        <n v="945"/>
        <n v="491"/>
        <n v="242"/>
        <n v="917"/>
        <n v="160"/>
        <n v="359"/>
        <n v="239"/>
        <n v="877"/>
        <n v="433"/>
        <n v="654"/>
        <n v="204"/>
        <n v="652"/>
        <n v="459"/>
        <n v="439"/>
        <n v="255"/>
        <n v="221"/>
        <n v="189"/>
        <n v="72"/>
        <n v="821"/>
        <n v="571"/>
        <n v="33"/>
        <n v="712"/>
        <n v="271"/>
        <n v="681"/>
        <n v="291"/>
        <n v="199"/>
        <n v="776"/>
        <n v="942"/>
        <n v="401"/>
        <n v="686"/>
        <n v="93"/>
        <n v="343"/>
        <n v="586"/>
        <n v="236"/>
        <n v="143"/>
        <n v="785"/>
        <n v="678"/>
        <n v="378"/>
        <n v="181"/>
        <n v="11"/>
        <n v="409"/>
        <n v="948"/>
        <n v="429"/>
        <n v="59"/>
        <n v="402"/>
        <n v="447"/>
        <n v="763"/>
        <n v="286"/>
        <n v="194"/>
        <n v="347"/>
        <n v="428"/>
        <n v="626"/>
        <n v="937"/>
        <n v="261"/>
        <n v="927"/>
        <n v="727"/>
        <n v="985"/>
        <n v="99"/>
        <n v="482"/>
        <n v="5"/>
        <n v="888"/>
        <n v="154"/>
        <n v="146"/>
        <n v="132"/>
        <n v="528"/>
        <n v="264"/>
        <n v="693"/>
        <n v="547"/>
        <n v="232"/>
        <n v="587"/>
        <n v="95"/>
        <n v="252"/>
        <n v="601"/>
        <n v="65"/>
        <n v="213"/>
        <n v="677"/>
        <n v="371"/>
        <n v="139"/>
        <n v="736"/>
        <n v="111"/>
        <n v="377"/>
        <n v="89"/>
        <n v="732"/>
        <n v="673"/>
        <n v="634"/>
        <n v="444"/>
        <n v="837"/>
        <n v="374"/>
        <n v="155"/>
        <n v="246"/>
        <n v="434"/>
        <n v="918"/>
        <n v="499"/>
        <n v="20"/>
        <n v="54"/>
        <n v="30"/>
        <n v="31"/>
        <n v="266"/>
        <n v="234"/>
        <n v="749"/>
        <n v="173"/>
        <n v="870"/>
        <n v="128"/>
        <n v="443"/>
        <n v="295"/>
        <n v="481"/>
        <n v="859"/>
        <n v="83"/>
        <n v="504"/>
        <n v="991"/>
        <n v="228"/>
        <n v="797"/>
        <n v="281"/>
        <n v="86"/>
        <n v="123"/>
        <n v="539"/>
        <n v="25"/>
        <n v="775"/>
        <n v="241"/>
        <n v="201"/>
        <n v="134"/>
        <n v="104"/>
        <n v="226"/>
        <n v="875"/>
        <n v="10"/>
        <n v="901"/>
        <n v="900"/>
        <n v="366"/>
        <n v="830"/>
        <n v="907"/>
        <n v="465"/>
        <n v="168"/>
        <n v="191"/>
        <n v="333"/>
        <n v="76"/>
        <n v="385"/>
        <n v="100"/>
        <n v="297"/>
        <n v="938"/>
        <n v="55"/>
        <n v="37"/>
        <n v="804"/>
        <n v="332"/>
        <n v="92"/>
        <n v="494"/>
        <n v="87"/>
        <n v="41"/>
        <n v="474"/>
        <n v="612"/>
        <n v="384"/>
        <n v="178"/>
        <n v="969"/>
        <n v="532"/>
        <n v="56"/>
        <n v="750"/>
        <n v="867"/>
        <n v="36"/>
        <n v="282"/>
        <n v="471"/>
        <n v="230"/>
        <n v="39"/>
        <n v="424"/>
        <n v="656"/>
        <n v="456"/>
        <n v="144"/>
        <n v="566"/>
        <n v="800"/>
        <n v="262"/>
        <n v="376"/>
        <n v="193"/>
        <n v="341"/>
        <n v="67"/>
        <n v="278"/>
        <n v="306"/>
        <n v="203"/>
        <n v="272"/>
        <n v="636"/>
        <n v="357"/>
        <n v="751"/>
        <n v="122"/>
        <n v="96"/>
        <n v="287"/>
        <n v="118"/>
        <n v="921"/>
        <n v="170"/>
        <n v="57"/>
        <n v="292"/>
        <n v="340"/>
        <n v="38"/>
        <n v="431"/>
        <n v="983"/>
        <n v="511"/>
        <n v="310"/>
        <n v="622"/>
        <n v="646"/>
        <n v="614"/>
        <n v="164"/>
        <n v="66"/>
        <n v="319"/>
        <n v="49"/>
        <n v="397"/>
        <n v="13"/>
        <n v="45"/>
        <n v="353"/>
        <n v="179"/>
        <n v="162"/>
        <n v="355"/>
        <n v="556"/>
        <n v="215"/>
        <n v="469"/>
        <n v="74"/>
        <n v="32"/>
        <n v="114"/>
        <n v="391"/>
        <n v="69"/>
        <n v="125"/>
        <n v="350"/>
        <n v="997"/>
        <n v="842"/>
        <n v="153"/>
        <n v="305"/>
        <n v="238"/>
        <n v="185"/>
        <n v="320"/>
        <n v="188"/>
        <n v="527"/>
        <n v="725"/>
        <n v="483"/>
        <n v="685"/>
        <n v="6"/>
        <n v="544"/>
        <n v="711"/>
        <n v="156"/>
        <n v="29000"/>
        <n v="275"/>
        <n v="446"/>
        <n v="211"/>
        <n v="715"/>
        <n v="186"/>
        <n v="218"/>
        <n v="616"/>
        <n v="296"/>
        <n v="200"/>
        <n v="109"/>
        <n v="136"/>
        <n v="608"/>
        <n v="462"/>
        <n v="432"/>
        <n v="176"/>
        <n v="26"/>
        <n v="318"/>
        <n v="127"/>
        <n v="892"/>
        <n v="197"/>
        <n v="212"/>
        <n v="8"/>
        <n v="209"/>
        <n v="314"/>
        <n v="905"/>
        <n v="524"/>
        <n v="659"/>
        <n v="415"/>
        <n v="479"/>
        <n v="865"/>
        <n v="105"/>
        <n v="259"/>
        <n v="421"/>
        <n v="167"/>
        <n v="112"/>
        <n v="373"/>
        <n v="986"/>
        <n v="51"/>
        <n v="101"/>
        <n v="77"/>
        <n v="288"/>
        <n v="34"/>
        <n v="514"/>
        <n v="323"/>
        <n v="438"/>
        <n v="53"/>
        <n v="407"/>
        <n v="120"/>
        <n v="778"/>
        <n v="572"/>
        <n v="280"/>
        <n v="435"/>
        <n v="699"/>
        <n v="615"/>
        <n v="733"/>
        <n v="480"/>
        <n v="126"/>
        <n v="356"/>
        <n v="222"/>
        <n v="231"/>
        <n v="187"/>
        <n v="665"/>
        <n v="633"/>
        <n v="129"/>
        <n v="64"/>
        <n v="582"/>
        <n v="88"/>
        <n v="16"/>
        <n v="251"/>
        <n v="810"/>
        <n v="813"/>
        <n v="260"/>
        <n v="325"/>
        <n v="124"/>
        <n v="302"/>
        <n v="606"/>
        <n v="747"/>
        <n v="14"/>
        <n v="158"/>
        <n v="247"/>
        <n v="675"/>
        <n v="84"/>
        <n v="379"/>
        <n v="159"/>
        <n v="425"/>
        <n v="354"/>
        <n v="148"/>
        <n v="589"/>
        <n v="752"/>
        <n v="453"/>
        <n v="458"/>
        <n v="70"/>
        <n v="454"/>
        <n v="781"/>
        <n v="24"/>
        <n v="121"/>
        <n v="404"/>
        <n v="420"/>
        <n v="19"/>
        <n v="361"/>
        <n v="395"/>
        <n v="207"/>
        <n v="140"/>
        <n v="502"/>
        <n v="90"/>
        <n v="519"/>
        <n v="492"/>
        <n v="235"/>
        <n v="709"/>
        <n v="487"/>
        <n v="58"/>
        <n v="873"/>
        <n v="375"/>
        <n v="75"/>
        <n v="180"/>
        <n v="166"/>
        <n v="657"/>
        <n v="205"/>
        <n v="470"/>
      </sharedItems>
    </cacheField>
    <cacheField name="imdb_score" numFmtId="0">
      <sharedItems containsString="0" containsBlank="1" containsNumber="1" minValue="1.6" maxValue="9.5" count="79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2"/>
        <n v="5.9"/>
        <n v="6"/>
        <n v="5.7"/>
        <n v="6.4"/>
        <n v="6.3"/>
        <n v="5.6"/>
        <n v="8.3"/>
        <n v="8"/>
        <n v="8.4"/>
        <n v="5.8"/>
        <n v="5.4"/>
        <n v="9"/>
        <n v="4.8"/>
        <n v="5.2"/>
        <n v="7.6"/>
        <n v="4.5"/>
        <n v="5.5"/>
        <n v="8.6"/>
        <n v="8.8"/>
        <n v="5.1"/>
        <n v="7.4"/>
        <n v="4.2"/>
        <n v="5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"/>
        <n v="3.6"/>
        <n v="3.5"/>
        <n v="2.7"/>
        <n v="1.7"/>
        <n v="4"/>
        <n v="2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  <m/>
      </sharedItems>
    </cacheField>
    <cacheField name="aspect_ratio" numFmtId="0">
      <sharedItems containsString="0" containsBlank="1" containsNumber="1" minValue="1.18" maxValue="16" count="23">
        <n v="1.78"/>
        <n v="2.35"/>
        <m/>
        <n v="1.85"/>
        <n v="2"/>
        <n v="2.2"/>
        <n v="2.39"/>
        <n v="2.24"/>
        <n v="1.33"/>
        <n v="4"/>
        <n v="1.66"/>
        <n v="1.5"/>
        <n v="16"/>
        <n v="1.77"/>
        <n v="2.4"/>
        <n v="1.37"/>
        <n v="2.76"/>
        <n v="1.18"/>
        <n v="1.44"/>
        <n v="2.55"/>
        <n v="1.2"/>
        <n v="1.75"/>
        <n v="1.89"/>
      </sharedItems>
    </cacheField>
    <cacheField name="movie_facebook_likes" numFmtId="0">
      <sharedItems containsString="0" containsBlank="1" containsNumber="1" containsInteger="1" minValue="0" maxValue="349000" count="877">
        <n v="33000"/>
        <n v="0"/>
        <n v="85000"/>
        <n v="164000"/>
        <n v="24000"/>
        <n v="29000"/>
        <n v="118000"/>
        <n v="10000"/>
        <n v="197000"/>
        <n v="5000"/>
        <n v="48000"/>
        <n v="123000"/>
        <n v="58000"/>
        <n v="40000"/>
        <n v="65000"/>
        <n v="56000"/>
        <n v="17000"/>
        <n v="83000"/>
        <n v="26000"/>
        <n v="72000"/>
        <n v="44000"/>
        <n v="150000"/>
        <n v="80000"/>
        <n v="95000"/>
        <n v="60000"/>
        <n v="41000"/>
        <n v="30000"/>
        <n v="94000"/>
        <n v="129000"/>
        <n v="82000"/>
        <n v="92000"/>
        <n v="22000"/>
        <n v="115000"/>
        <n v="23000"/>
        <n v="46000"/>
        <n v="20000"/>
        <n v="39000"/>
        <n v="16000"/>
        <n v="13000"/>
        <n v="54000"/>
        <n v="37000"/>
        <n v="27000"/>
        <n v="42000"/>
        <n v="2000"/>
        <n v="77000"/>
        <n v="18000"/>
        <n v="53000"/>
        <n v="89000"/>
        <n v="45000"/>
        <n v="677"/>
        <n v="35000"/>
        <n v="55000"/>
        <n v="67000"/>
        <n v="96000"/>
        <n v="349000"/>
        <n v="175000"/>
        <n v="166000"/>
        <n v="14000"/>
        <n v="38000"/>
        <n v="11000"/>
        <n v="8000"/>
        <n v="15000"/>
        <n v="63000"/>
        <n v="191000"/>
        <n v="19000"/>
        <n v="47000"/>
        <n v="62000"/>
        <n v="3000"/>
        <n v="25000"/>
        <n v="51000"/>
        <n v="190000"/>
        <n v="6000"/>
        <n v="61000"/>
        <n v="71000"/>
        <n v="40"/>
        <n v="25"/>
        <n v="52000"/>
        <n v="31000"/>
        <n v="122000"/>
        <n v="97000"/>
        <n v="459"/>
        <n v="68000"/>
        <n v="28000"/>
        <n v="291"/>
        <n v="147000"/>
        <n v="12000"/>
        <n v="4000"/>
        <n v="304"/>
        <n v="36000"/>
        <n v="894"/>
        <n v="21000"/>
        <n v="946"/>
        <n v="153000"/>
        <n v="53"/>
        <n v="199000"/>
        <n v="108000"/>
        <n v="138000"/>
        <n v="124000"/>
        <n v="881"/>
        <n v="416"/>
        <n v="578"/>
        <n v="66000"/>
        <n v="701"/>
        <n v="1000"/>
        <n v="9000"/>
        <n v="70000"/>
        <n v="988"/>
        <n v="979"/>
        <n v="788"/>
        <n v="59000"/>
        <n v="372"/>
        <n v="863"/>
        <n v="49000"/>
        <n v="941"/>
        <n v="374"/>
        <n v="7000"/>
        <n v="57000"/>
        <n v="140000"/>
        <n v="91"/>
        <n v="607"/>
        <n v="951"/>
        <n v="32000"/>
        <n v="257"/>
        <n v="665"/>
        <n v="964"/>
        <n v="995"/>
        <n v="785"/>
        <n v="138"/>
        <n v="413"/>
        <n v="893"/>
        <n v="509"/>
        <n v="105000"/>
        <n v="43000"/>
        <n v="648"/>
        <n v="683"/>
        <n v="880"/>
        <n v="266"/>
        <n v="886"/>
        <n v="694"/>
        <n v="34000"/>
        <n v="792"/>
        <n v="531"/>
        <n v="997"/>
        <n v="584"/>
        <n v="391"/>
        <n v="815"/>
        <n v="764"/>
        <n v="617"/>
        <n v="98000"/>
        <n v="144000"/>
        <n v="688"/>
        <n v="892"/>
        <n v="177"/>
        <n v="295"/>
        <n v="114000"/>
        <n v="912"/>
        <n v="146000"/>
        <n v="885"/>
        <n v="781"/>
        <n v="858"/>
        <n v="747"/>
        <n v="829"/>
        <n v="797"/>
        <n v="64000"/>
        <n v="621"/>
        <n v="448"/>
        <n v="690"/>
        <n v="956"/>
        <n v="846"/>
        <n v="470"/>
        <n v="589"/>
        <n v="791"/>
        <n v="641"/>
        <n v="426"/>
        <n v="117000"/>
        <n v="296"/>
        <n v="112000"/>
        <n v="990"/>
        <n v="500"/>
        <n v="472"/>
        <n v="782"/>
        <n v="960"/>
        <n v="953"/>
        <n v="316"/>
        <n v="610"/>
        <n v="437"/>
        <n v="361"/>
        <n v="853"/>
        <n v="672"/>
        <n v="605"/>
        <n v="74000"/>
        <n v="90000"/>
        <n v="795"/>
        <n v="955"/>
        <n v="624"/>
        <n v="970"/>
        <n v="773"/>
        <n v="669"/>
        <n v="812"/>
        <n v="718"/>
        <n v="877"/>
        <n v="705"/>
        <n v="915"/>
        <n v="779"/>
        <n v="697"/>
        <n v="943"/>
        <n v="422"/>
        <n v="288"/>
        <n v="255"/>
        <n v="352"/>
        <n v="828"/>
        <n v="522"/>
        <n v="261"/>
        <n v="616"/>
        <n v="975"/>
        <n v="115"/>
        <n v="86000"/>
        <n v="743"/>
        <n v="593"/>
        <n v="451"/>
        <n v="916"/>
        <n v="652"/>
        <n v="68"/>
        <n v="353"/>
        <n v="748"/>
        <n v="50000"/>
        <n v="455"/>
        <n v="161"/>
        <n v="505"/>
        <n v="101000"/>
        <n v="681"/>
        <n v="663"/>
        <n v="263"/>
        <n v="390"/>
        <n v="445"/>
        <n v="301"/>
        <n v="702"/>
        <n v="394"/>
        <n v="279"/>
        <n v="299"/>
        <n v="680"/>
        <n v="309"/>
        <n v="555"/>
        <n v="604"/>
        <n v="754"/>
        <n v="835"/>
        <n v="630"/>
        <n v="849"/>
        <n v="579"/>
        <n v="612"/>
        <n v="866"/>
        <n v="328"/>
        <n v="401"/>
        <n v="158"/>
        <n v="565"/>
        <n v="211"/>
        <n v="823"/>
        <n v="265"/>
        <n v="89"/>
        <n v="478"/>
        <n v="989"/>
        <n v="689"/>
        <n v="168"/>
        <n v="911"/>
        <n v="389"/>
        <n v="474"/>
        <n v="366"/>
        <n v="240"/>
        <n v="852"/>
        <n v="591"/>
        <n v="133"/>
        <n v="638"/>
        <n v="919"/>
        <n v="913"/>
        <n v="949"/>
        <n v="538"/>
        <n v="452"/>
        <n v="433"/>
        <n v="471"/>
        <n v="704"/>
        <n v="494"/>
        <n v="561"/>
        <n v="675"/>
        <n v="262"/>
        <n v="633"/>
        <n v="26"/>
        <n v="120"/>
        <n v="314"/>
        <n v="742"/>
        <n v="463"/>
        <n v="783"/>
        <n v="350"/>
        <n v="643"/>
        <n v="625"/>
        <n v="559"/>
        <n v="290"/>
        <n v="149000"/>
        <n v="181"/>
        <n v="883"/>
        <n v="81000"/>
        <n v="75000"/>
        <n v="602"/>
        <n v="78000"/>
        <n v="771"/>
        <n v="592"/>
        <n v="484"/>
        <n v="491"/>
        <n v="999"/>
        <n v="629"/>
        <n v="204"/>
        <n v="462"/>
        <n v="654"/>
        <n v="387"/>
        <n v="287"/>
        <n v="447"/>
        <n v="201"/>
        <n v="209"/>
        <n v="76000"/>
        <n v="418"/>
        <n v="99000"/>
        <n v="517"/>
        <n v="73000"/>
        <n v="464"/>
        <n v="845"/>
        <n v="315"/>
        <n v="817"/>
        <n v="188"/>
        <n v="359"/>
        <n v="736"/>
        <n v="874"/>
        <n v="167"/>
        <n v="260"/>
        <n v="319"/>
        <n v="145"/>
        <n v="826"/>
        <n v="504"/>
        <n v="567"/>
        <n v="488"/>
        <n v="425"/>
        <n v="660"/>
        <n v="542"/>
        <n v="666"/>
        <n v="187"/>
        <n v="329"/>
        <n v="671"/>
        <n v="686"/>
        <n v="657"/>
        <n v="901"/>
        <n v="834"/>
        <n v="564"/>
        <n v="498"/>
        <n v="377"/>
        <n v="246"/>
        <n v="378"/>
        <n v="503"/>
        <n v="215"/>
        <n v="581"/>
        <n v="982"/>
        <n v="348"/>
        <n v="739"/>
        <n v="206"/>
        <n v="83"/>
        <n v="937"/>
        <n v="507"/>
        <n v="942"/>
        <n v="636"/>
        <n v="90"/>
        <n v="200"/>
        <n v="891"/>
        <n v="876"/>
        <n v="619"/>
        <n v="650"/>
        <n v="153"/>
        <n v="839"/>
        <n v="408"/>
        <n v="148000"/>
        <n v="376"/>
        <n v="532"/>
        <n v="767"/>
        <n v="765"/>
        <n v="887"/>
        <n v="804"/>
        <n v="716"/>
        <n v="104"/>
        <n v="272"/>
        <n v="687"/>
        <n v="758"/>
        <n v="897"/>
        <n v="141"/>
        <n v="365"/>
        <n v="284"/>
        <n v="800"/>
        <n v="131000"/>
        <n v="806"/>
        <n v="302"/>
        <n v="227"/>
        <n v="347"/>
        <n v="930"/>
        <n v="613"/>
        <n v="590"/>
        <n v="431"/>
        <n v="124"/>
        <n v="501"/>
        <n v="264"/>
        <n v="4"/>
        <n v="269"/>
        <n v="713"/>
        <n v="983"/>
        <n v="977"/>
        <n v="444"/>
        <n v="311"/>
        <n v="855"/>
        <n v="676"/>
        <n v="233"/>
        <n v="924"/>
        <n v="548"/>
        <n v="346"/>
        <n v="847"/>
        <n v="608"/>
        <n v="971"/>
        <n v="235"/>
        <n v="241"/>
        <n v="831"/>
        <n v="973"/>
        <n v="399"/>
        <n v="136"/>
        <n v="217"/>
        <n v="30"/>
        <n v="58"/>
        <n v="70"/>
        <n v="332"/>
        <n v="560"/>
        <n v="238"/>
        <n v="228"/>
        <n v="599"/>
        <n v="588"/>
        <n v="813"/>
        <n v="562"/>
        <n v="827"/>
        <n v="342"/>
        <n v="271"/>
        <n v="320"/>
        <n v="476"/>
        <n v="814"/>
        <n v="110"/>
        <n v="339"/>
        <n v="419"/>
        <n v="300"/>
        <n v="154"/>
        <n v="903"/>
        <n v="393"/>
        <n v="487"/>
        <n v="492"/>
        <n v="371"/>
        <n v="818"/>
        <n v="392"/>
        <n v="573"/>
        <n v="762"/>
        <n v="356"/>
        <n v="921"/>
        <n v="939"/>
        <n v="824"/>
        <n v="282"/>
        <n v="191"/>
        <n v="558"/>
        <n v="165000"/>
        <n v="896"/>
        <n v="810"/>
        <n v="466"/>
        <n v="243"/>
        <n v="673"/>
        <n v="327"/>
        <n v="175"/>
        <n v="116"/>
        <n v="489"/>
        <n v="566"/>
        <n v="622"/>
        <n v="251"/>
        <n v="436"/>
        <n v="247"/>
        <n v="576"/>
        <n v="923"/>
        <n v="816"/>
        <n v="515"/>
        <n v="647"/>
        <n v="157"/>
        <n v="733"/>
        <n v="843"/>
        <n v="708"/>
        <n v="664"/>
        <n v="193"/>
        <n v="473"/>
        <n v="18"/>
        <n v="821"/>
        <n v="277"/>
        <n v="998"/>
        <n v="373"/>
        <n v="184"/>
        <n v="530"/>
        <n v="889"/>
        <n v="411"/>
        <n v="645"/>
        <n v="932"/>
        <n v="905"/>
        <n v="860"/>
        <n v="231"/>
        <n v="127"/>
        <n v="76"/>
        <n v="512"/>
        <n v="934"/>
        <n v="64"/>
        <n v="502"/>
        <n v="106000"/>
        <n v="833"/>
        <n v="109000"/>
        <n v="862"/>
        <n v="679"/>
        <n v="22"/>
        <n v="618"/>
        <n v="186"/>
        <n v="69"/>
        <n v="107"/>
        <n v="139"/>
        <n v="337"/>
        <n v="344"/>
        <n v="770"/>
        <n v="93000"/>
        <n v="902"/>
        <n v="549"/>
        <n v="151"/>
        <n v="439"/>
        <n v="242"/>
        <n v="656"/>
        <n v="305"/>
        <n v="135"/>
        <n v="423"/>
        <n v="88"/>
        <n v="458"/>
        <n v="784"/>
        <n v="634"/>
        <n v="355"/>
        <n v="443"/>
        <n v="774"/>
        <n v="541"/>
        <n v="745"/>
        <n v="449"/>
        <n v="405"/>
        <n v="550"/>
        <n v="174"/>
        <n v="967"/>
        <n v="85"/>
        <n v="659"/>
        <n v="646"/>
        <n v="119"/>
        <n v="250"/>
        <n v="981"/>
        <n v="744"/>
        <n v="368"/>
        <n v="720"/>
        <n v="331"/>
        <n v="851"/>
        <n v="441"/>
        <n v="808"/>
        <n v="518"/>
        <n v="49"/>
        <n v="398"/>
        <n v="944"/>
        <n v="345"/>
        <n v="208"/>
        <n v="106"/>
        <n v="533"/>
        <n v="74"/>
        <n v="725"/>
        <n v="952"/>
        <n v="33"/>
        <n v="117"/>
        <n v="661"/>
        <n v="321"/>
        <n v="370"/>
        <n v="546"/>
        <n v="402"/>
        <n v="160"/>
        <n v="695"/>
        <n v="486"/>
        <n v="746"/>
        <n v="850"/>
        <n v="957"/>
        <n v="898"/>
        <n v="580"/>
        <n v="838"/>
        <n v="313"/>
        <n v="375"/>
        <n v="128"/>
        <n v="278"/>
        <n v="196"/>
        <n v="341"/>
        <n v="467"/>
        <n v="495"/>
        <n v="938"/>
        <n v="125"/>
        <n v="77"/>
        <n v="859"/>
        <n v="429"/>
        <n v="79"/>
        <n v="412"/>
        <n v="226"/>
        <n v="434"/>
        <n v="75"/>
        <n v="143"/>
        <n v="294"/>
        <n v="520"/>
        <n v="438"/>
        <n v="81"/>
        <n v="205"/>
        <n v="508"/>
        <n v="140"/>
        <n v="31"/>
        <n v="655"/>
        <n v="223"/>
        <n v="108"/>
        <n v="129"/>
        <n v="978"/>
        <n v="407"/>
        <n v="44"/>
        <n v="446"/>
        <n v="357"/>
        <n v="962"/>
        <n v="122"/>
        <n v="724"/>
        <n v="97"/>
        <n v="55"/>
        <n v="453"/>
        <n v="41"/>
        <n v="586"/>
        <n v="479"/>
        <n v="802"/>
        <n v="19"/>
        <n v="830"/>
        <n v="403"/>
        <n v="256"/>
        <n v="985"/>
        <n v="926"/>
        <n v="28"/>
        <n v="84"/>
        <n v="289"/>
        <n v="29"/>
        <n v="52"/>
        <n v="224"/>
        <n v="570"/>
        <n v="176"/>
        <n v="275"/>
        <n v="543"/>
        <n v="109"/>
        <n v="244"/>
        <n v="113"/>
        <n v="421"/>
        <n v="620"/>
        <n v="963"/>
        <n v="232"/>
        <n v="575"/>
        <n v="270"/>
        <n v="738"/>
        <n v="213"/>
        <n v="740"/>
        <n v="207"/>
        <n v="729"/>
        <n v="249"/>
        <n v="920"/>
        <n v="323"/>
        <n v="225"/>
        <n v="274"/>
        <n v="777"/>
        <n v="639"/>
        <n v="38"/>
        <n v="165"/>
        <n v="190"/>
        <n v="35"/>
        <n v="750"/>
        <n v="864"/>
        <n v="11"/>
        <n v="2"/>
        <n v="199"/>
        <n v="285"/>
        <n v="539"/>
        <n v="528"/>
        <n v="62"/>
        <n v="61"/>
        <n v="283"/>
        <n v="842"/>
        <n v="118"/>
        <n v="414"/>
        <n v="931"/>
        <n v="131"/>
        <n v="987"/>
        <n v="872"/>
        <n v="111"/>
        <n v="614"/>
        <n v="182"/>
        <n v="132"/>
        <n v="98"/>
        <n v="325"/>
        <n v="798"/>
        <n v="170"/>
        <n v="237"/>
        <n v="456"/>
        <n v="385"/>
        <n v="358"/>
        <n v="280"/>
        <n v="360"/>
        <n v="121"/>
        <n v="721"/>
        <n v="482"/>
        <n v="606"/>
        <n v="799"/>
        <n v="100"/>
        <n v="63"/>
        <n v="710"/>
        <n v="609"/>
        <n v="933"/>
        <n v="635"/>
        <n v="545"/>
        <n v="837"/>
        <n v="595"/>
        <n v="367"/>
        <n v="417"/>
        <n v="430"/>
        <n v="47"/>
        <n v="450"/>
        <n v="442"/>
        <n v="48"/>
        <n v="54"/>
        <n v="32"/>
        <n v="406"/>
        <n v="395"/>
        <n v="37"/>
        <n v="229"/>
        <n v="480"/>
        <n v="968"/>
        <n v="369"/>
        <n v="349"/>
        <n v="381"/>
        <n v="50"/>
        <n v="254"/>
        <n v="819"/>
        <n v="39"/>
        <n v="16"/>
        <n v="144"/>
        <n v="79000"/>
        <n v="172"/>
        <n v="870"/>
        <n v="162"/>
        <n v="14"/>
        <n v="380"/>
        <n v="763"/>
        <n v="236"/>
        <n v="60"/>
        <n v="134"/>
        <n v="43"/>
        <n v="166"/>
        <n v="974"/>
        <n v="857"/>
        <n v="10"/>
        <n v="715"/>
        <n v="195"/>
        <n v="825"/>
        <n v="805"/>
        <n v="651"/>
        <n v="728"/>
        <n v="298"/>
        <n v="544"/>
        <n v="511"/>
        <n v="82"/>
        <n v="169"/>
        <n v="8"/>
        <n v="569"/>
        <n v="326"/>
        <n v="73"/>
        <n v="794"/>
        <n v="869"/>
        <n v="844"/>
        <n v="9"/>
        <n v="682"/>
        <n v="415"/>
        <n v="307"/>
        <n v="212"/>
        <n v="216"/>
        <n v="594"/>
        <n v="57"/>
        <n v="400"/>
        <n v="969"/>
        <n v="220"/>
        <n v="66"/>
        <n v="632"/>
        <n v="221"/>
        <n v="756"/>
        <n v="27"/>
        <n v="87"/>
        <n v="477"/>
        <n v="954"/>
        <n v="51"/>
        <n v="234"/>
        <n v="603"/>
        <n v="92"/>
        <n v="571"/>
        <n v="24"/>
        <n v="150"/>
        <n v="587"/>
        <n v="706"/>
        <n v="210"/>
        <n v="793"/>
        <n v="17"/>
        <n v="42"/>
        <n v="259"/>
        <n v="297"/>
        <n v="3"/>
        <n v="936"/>
        <n v="884"/>
        <n v="698"/>
        <n v="409"/>
        <n v="312"/>
        <n v="219"/>
        <n v="130"/>
        <n v="396"/>
        <n v="163"/>
        <n v="420"/>
        <n v="523"/>
        <n v="303"/>
        <n v="102"/>
        <n v="203"/>
        <n v="5"/>
        <n v="12"/>
        <n v="34"/>
        <n v="36"/>
        <n v="7"/>
        <n v="126"/>
        <n v="180"/>
        <n v="86"/>
        <n v="155"/>
        <n v="183"/>
        <n v="23"/>
        <n v="707"/>
        <n v="123"/>
        <n v="460"/>
        <n v="865"/>
        <n v="194"/>
        <n v="526"/>
        <n v="691"/>
        <n v="583"/>
        <n v="379"/>
        <n v="363"/>
        <n v="114"/>
        <n v="46"/>
        <n v="178"/>
        <n v="93"/>
        <n v="67"/>
        <n v="519"/>
        <n v="71"/>
        <n v="72"/>
        <n v="801"/>
        <n v="465"/>
        <n v="96"/>
        <n v="198"/>
        <n v="267"/>
        <n v="142"/>
        <n v="65"/>
        <n v="197"/>
        <n v="667"/>
        <n v="239"/>
        <n v="13"/>
        <n v="535"/>
        <n v="45"/>
        <n v="324"/>
        <n v="171"/>
        <n v="105"/>
        <n v="424"/>
        <n v="20"/>
        <m/>
      </sharedItems>
    </cacheField>
    <cacheField name=" " numFmtId="0">
      <sharedItems containsString="0" containsBlank="1" containsNonDate="0" count="1">
        <m/>
      </sharedItems>
    </cacheField>
    <cacheField name="Actor" numFmtId="0">
      <sharedItems containsBlank="1" count="6256">
        <s v="CCH Pounder"/>
        <s v="Joel David Moore"/>
        <s v="Wes Studi"/>
        <s v="Johnny Depp"/>
        <s v="Orlando Bloom"/>
        <s v="Jack Davenport"/>
        <s v="Christoph Waltz"/>
        <s v="Rory Kinnear"/>
        <s v="Stephanie Sigman"/>
        <s v="Tom Hardy"/>
        <s v="Christian Bale"/>
        <s v="Joseph Gordon-Levitt"/>
        <s v="Doug Walker"/>
        <s v="Rob Walker"/>
        <m/>
        <s v="Daryl Sabara"/>
        <s v="Samantha Morton"/>
        <s v="Polly Walker"/>
        <s v="J.K. Simmons"/>
        <s v="James Franco"/>
        <s v="Kirsten Dunst"/>
        <s v="Brad Garrett"/>
        <s v="Donna Murphy"/>
        <s v="M.C. Gainey"/>
        <s v="Chris Hemsworth"/>
        <s v="Robert Downey Jr."/>
        <s v="Scarlett Johansson"/>
        <s v="Alan Rickman"/>
        <s v="Daniel Radcliffe"/>
        <s v="Rupert Grint"/>
        <s v="Henry Cavill"/>
        <s v="Lauren Cohan"/>
        <s v="Alan D. Purwin"/>
        <s v="Kevin Spacey"/>
        <s v="Marlon Brando"/>
        <s v="Frank Langella"/>
        <s v="Giancarlo Giannini"/>
        <s v="Mathieu Amalric"/>
        <s v="Ruth Wilson"/>
        <s v="Tom Wilkinson"/>
        <s v="Christopher Meloni"/>
        <s v="Harry Lennix"/>
        <s v="Peter Dinklage"/>
        <s v="Pierfrancesco Favino"/>
        <s v="Damián Alcázar"/>
        <s v="Sam Claflin"/>
        <s v="Stephen Graham"/>
        <s v="Will Smith"/>
        <s v="Michael Stuhlbarg"/>
        <s v="Nicole Scherzinger"/>
        <s v="Aidan Turner"/>
        <s v="Adam Brown"/>
        <s v="James Nesbitt"/>
        <s v="Emma Stone"/>
        <s v="Andrew Garfield"/>
        <s v="Chris Zylka"/>
        <s v="Mark Addy"/>
        <s v="William Hurt"/>
        <s v="Scott Grimes"/>
        <s v="Christopher Lee"/>
        <s v="Eva Green"/>
        <s v="Kristin Scott Thomas"/>
        <s v="Naomi Watts"/>
        <s v="Thomas Kretschmann"/>
        <s v="Evan Parke"/>
        <s v="Leonardo DiCaprio"/>
        <s v="Kate Winslet"/>
        <s v="Gloria Stuart"/>
        <s v="Chris Evans"/>
        <s v="Liam Neeson"/>
        <s v="Alexander Skarsgård"/>
        <s v="Tadanobu Asano"/>
        <s v="Bryce Dallas Howard"/>
        <s v="Judy Greer"/>
        <s v="Omar Sy"/>
        <s v="Albert Finney"/>
        <s v="Helen McCrory"/>
        <s v="Jon Favreau"/>
        <s v="Don Cheadle"/>
        <s v="Anne Hathaway"/>
        <s v="Hugh Jackman"/>
        <s v="Kelsey Grammer"/>
        <s v="Daniel Cudmore"/>
        <s v="Steve Buscemi"/>
        <s v="Tyler Labine"/>
        <s v="Sean Hayes"/>
        <s v="Glenn Morshower"/>
        <s v="Kevin Dunn"/>
        <s v="Ramon Rodriguez"/>
        <s v="Bingbing Li"/>
        <s v="Sophia Myles"/>
        <s v="Tim Holmes"/>
        <s v="Mila Kunis"/>
        <s v="B.J. Novak"/>
        <s v="Jeff Bridges"/>
        <s v="Olivia Wilde"/>
        <s v="James Frain"/>
        <s v="Joe Mantegna"/>
        <s v="Eddie Izzard"/>
        <s v="Ryan Reynolds"/>
        <s v="Temuera Morrison"/>
        <s v="Taika Waititi"/>
        <s v="Tom Hanks"/>
        <s v="John Ratzenberger"/>
        <s v="Don Rickles"/>
        <s v="Common"/>
        <s v="Jason Statham"/>
        <s v="Paul Walker"/>
        <s v="Vin Diesel"/>
        <s v="Peter Capaldi"/>
        <s v="Brad Pitt"/>
        <s v="Mireille Enos"/>
        <s v="Jennifer Lawrence"/>
        <s v="Benedict Cumberbatch"/>
        <s v="Bruce Greenwood"/>
        <s v="Noel Clarke"/>
        <s v="Eddie Marsan"/>
        <s v="Ewen Bremner"/>
        <s v="Ralph Brown"/>
        <s v="Elizabeth Debicki"/>
        <s v="Steve Bisley"/>
        <s v="Jake Gyllenhaal"/>
        <s v="Richard Coyle"/>
        <s v="Reece Ritchie"/>
        <s v="Charlie Hunnam"/>
        <s v="Clifton Collins Jr."/>
        <s v="Larry Joe Campbell"/>
        <s v="Lester Speight"/>
        <s v="Harrison Ford"/>
        <s v="Ray Winstone"/>
        <s v="Jim Broadbent"/>
        <s v="A.J. Buckley"/>
        <s v="Jack McGraw"/>
        <s v="Peter Sohn"/>
        <s v="Kelly Macdonald"/>
        <s v="Julie Walters"/>
        <s v="Sofia Boutella"/>
        <s v="Melissa Roxburgh"/>
        <s v="Lydia Wilson"/>
        <s v="Fred Willard"/>
        <s v="Jeff Garlin"/>
        <s v="Tzi Ma"/>
        <s v="Dana Ivey"/>
        <s v="Noémie Lenoir"/>
        <s v="Oliver Platt"/>
        <s v="Liam James"/>
        <s v="Tom McCarthy"/>
        <s v="Robin Wright"/>
        <s v="Colin Firth"/>
        <s v="Gary Oldman"/>
        <s v="Channing Tatum"/>
        <s v="Eddie Redmayne"/>
        <s v="Casper Crump"/>
        <s v="Kiran Shah"/>
        <s v="Shane Rangi"/>
        <s v="Michael Fassbender"/>
        <s v="Tye Sheridan"/>
        <s v="Heath Ledger"/>
        <s v="Morgan Freeman"/>
        <s v="Delroy Lindo"/>
        <s v="Jess Harnell"/>
        <s v="Amy Poehler"/>
        <s v="Rainn Wilson"/>
        <s v="Stephen Colbert"/>
        <s v="Chloë Grace Moretz"/>
        <s v="Salma Hayek"/>
        <s v="Bai Ling"/>
        <s v="Jet Li"/>
        <s v="Brendan Fraser"/>
        <s v="Russell Wong"/>
        <s v="Robin Atkin Downes"/>
        <s v="Ike Barinholtz"/>
        <s v="Jimmy Bennett"/>
        <s v="Steve Carell"/>
        <s v="Tom Cruise"/>
        <s v="Lara Pulver"/>
        <s v="Noah Taylor"/>
        <s v="Jeanne Tripplehorn"/>
        <s v="Rick Aviles"/>
        <s v="Zakes Mokae"/>
        <s v="Dennis Quaid"/>
        <s v="Leo Howard"/>
        <s v="Mindy Kaling"/>
        <s v="Phyllis Smith"/>
        <s v="Bill Murray"/>
        <s v="Garry Shandling"/>
        <s v="Kristen Stewart"/>
        <s v="Angelina Jolie Pitt"/>
        <s v="Sharlto Copley"/>
        <s v="Sam Riley"/>
        <s v="Kodi Smit-McPhee"/>
        <s v="Tamsin Egerton"/>
        <s v="Alice Englert"/>
        <s v="Bipasha Basu"/>
        <s v="Keanu Reeves"/>
        <s v="Cary-Hiroyuki Tagawa"/>
        <s v="Jin Akanishi"/>
        <s v="Hayley Atwell"/>
        <s v="Jon Hamm"/>
        <s v="Kathy Griffin"/>
        <s v="Mary Kay Place"/>
        <s v="Chris Bauer"/>
        <s v="Thomas Robinson"/>
        <s v="Damon Wayans Jr."/>
        <s v="Daniel Henney"/>
        <s v="Abraham Benrubi"/>
        <s v="Jack McBrayer"/>
        <s v="Sarah Silverman"/>
        <s v="Joe Lo Truglio"/>
        <s v="Eddie Deezen"/>
        <s v="Peter Scolari"/>
        <s v="Vivica A. Fox"/>
        <s v="Sela Ward"/>
        <s v="Judd Hirsch"/>
        <s v="Gerard Butler"/>
        <s v="America Ferrera"/>
        <s v="Craig Ferguson"/>
        <s v="Nick Stahl"/>
        <s v="Carolyn Hennesy"/>
        <s v="Bradley Cooper"/>
        <s v="Djimon Hounsou"/>
        <s v="Matthew McConaughey"/>
        <s v="Mackenzie Foy"/>
        <s v="Mark Chinnery"/>
        <s v="Shin'ya Tsukamoto"/>
        <s v="Atsuko Maeda"/>
        <s v="Jordana Brewster"/>
        <s v="Jason Flemyng"/>
        <s v="Julia Ormond"/>
        <s v="Philip Seymour Hoffman"/>
        <s v="Josh Hutcherson"/>
        <s v="Nicolas Cage"/>
        <s v="Omar Benson Miller"/>
        <s v="Robert Capron"/>
        <s v="Mike Vogel"/>
        <s v="Andre Braugher"/>
        <s v="Justin Timberlake"/>
        <s v="Eric Idle"/>
        <s v="Rupert Everett"/>
        <s v="Dominic Cooper"/>
        <s v="Callum Rennie"/>
        <s v="Ruth Negga"/>
        <s v="Emilia Clarke"/>
        <s v="Matt Smith"/>
        <s v="Bruce Spence"/>
        <s v="Laura Brent"/>
        <s v="Jennifer Garner"/>
        <s v="Jaime King"/>
        <s v="Mako"/>
        <s v="Zack Ward"/>
        <s v="Michael O'Neill"/>
        <s v="Anthony Hopkins"/>
        <s v="Brian Blessed"/>
        <s v="Robert Pattinson"/>
        <s v="Fiona Shaw"/>
        <s v="Charlize Theron"/>
        <s v="Alice Braga"/>
        <s v="Willow Smith"/>
        <s v="David Kelly"/>
        <s v="Janeane Garofalo"/>
        <s v="Brian Dennehy"/>
        <s v="Bernie Mac"/>
        <s v="Jada Pinkett Smith"/>
        <s v="Cedric the Entertainer"/>
        <s v="Robin Williams"/>
        <s v="Rami Malek"/>
        <s v="Steve Coogan"/>
        <s v="Dominic Monaghan"/>
        <s v="Essie Davis"/>
        <s v="Collin Chou"/>
        <s v="Nona Gaye"/>
        <s v="Josh Gad"/>
        <s v="Maurice LaMarche"/>
        <s v="Livvy Stubenrauch"/>
        <s v="Steve Bastoni"/>
        <s v="Daniel Bernhardt"/>
        <s v="Helmut Bakaitis"/>
        <s v="Natalie Portman"/>
        <s v="Zoë Kravitz"/>
        <s v="Ayelet Zurer"/>
        <s v="Armin Mueller-Stahl"/>
        <s v="Diedrich Bader"/>
        <s v="James Lipton"/>
        <s v="Kelli Garner"/>
        <s v="Piper Mackenzie Harris"/>
        <s v="Niecy Nash"/>
        <s v="Edgar Ramírez"/>
        <s v="Lily James"/>
        <s v="Jeremy Renner"/>
        <s v="Sean Harris"/>
        <s v="Simon Merrells"/>
        <s v="Art Malik"/>
        <s v="Matthew Broderick"/>
        <s v="Oprah Winfrey"/>
        <s v="Rip Torn"/>
        <s v="Mike Bell"/>
        <s v="Seychelle Gabriel"/>
        <s v="Noah Ringer"/>
        <s v="Aasif Mandvi"/>
        <s v="Jake Weber"/>
        <s v="Matt Craven"/>
        <s v="Elisabeth Harnois"/>
        <s v="Dan Fogler"/>
        <s v="Tom Everett Scott"/>
        <s v="David Suchet"/>
        <s v="Cara Delevingne"/>
        <s v="Nonso Anozie"/>
        <s v="Ty Burrell"/>
        <s v="Zach Callison"/>
        <s v="Karan Brar"/>
        <s v="Julian Glover"/>
        <s v="Martin Short"/>
        <s v="Toby Stephens"/>
        <s v="Colin Salmon"/>
        <s v="Rick Yune"/>
        <s v="Ed Begley Jr."/>
        <s v="Kate McKinnon"/>
        <s v="Zach Woods"/>
        <s v="Bruce Willis"/>
        <s v="Will Patton"/>
        <s v="Rosario Dawson"/>
        <s v="Sebastian Roché"/>
        <s v="Wayne Knight"/>
        <s v="Michael Nyqvist"/>
        <s v="Kamil McFadden"/>
        <s v="Khamani Griffin"/>
        <s v="John Michael Higgins"/>
        <s v="Richard Burgi"/>
        <s v="David Herman"/>
        <s v="Tony Goldwyn"/>
        <s v="Chad Lindberg"/>
        <s v="María Valverde"/>
        <s v="Ben Mendelsohn"/>
        <s v="Leonard Nimoy"/>
        <s v="Elodie Yung"/>
        <s v="Bryan Brown"/>
        <s v="Sam Shepard"/>
        <s v="Joe Morton"/>
        <s v="Richard Roxburgh"/>
        <s v="Matt Frewer"/>
        <s v="Billy Crudup"/>
        <s v="Stephen McHattie"/>
        <s v="Rene Russo"/>
        <s v="Darlene Love"/>
        <s v="Kevin Rankin"/>
        <s v="Regi Davis"/>
        <s v="Celia Weston"/>
        <s v="Dwayne Johnson"/>
        <s v="Ming-Na Wen"/>
        <s v="Jean Simmons"/>
        <s v="Maria Grazia Cucinotta"/>
        <s v="Desmond Llewelyn"/>
        <s v="James D'Arcy"/>
        <s v="Lee Ingleby"/>
        <s v="David Threlfall"/>
        <s v="Taylor Lautner"/>
        <s v="Peter Mensah"/>
        <s v="Don Johnson"/>
        <s v="Philip Michael Thomas"/>
        <s v="John Diehl"/>
        <s v="Mark Rylance"/>
        <s v="Penelope Wilton"/>
        <s v="Rafe Spall"/>
        <s v="Lukas Haas"/>
        <s v="Snoop Dogg"/>
        <s v="Ben Schwartz"/>
        <s v="Stephen Root"/>
        <s v="Annet Mahendru"/>
        <s v="Andy Richter"/>
        <s v="Matt Damon"/>
        <s v="T.I."/>
        <s v="Sandra Ellis Lafferty"/>
        <s v="Jim Parsons"/>
        <s v="Matt Jones"/>
        <s v="April Winchell"/>
        <s v="Lisa Ann Walter"/>
        <s v="Rick Gonzalez"/>
        <s v="Henry Rollins"/>
        <s v="Jordi Mollà"/>
        <s v="Constance Marie"/>
        <s v="Amy Sedaris"/>
        <s v="August Diehl"/>
        <s v="Emma Watson"/>
        <s v="Logan Lerman"/>
        <s v="Toby Jones"/>
        <s v="Mackenzie Crook"/>
        <s v="Tony Curran"/>
        <s v="Eddie Baroo"/>
        <s v="Alfre Woodard"/>
        <s v="D.B. Sweeney"/>
        <s v="Della Reese"/>
        <s v="Dave Legeno"/>
        <s v="Ralph Ineson"/>
        <s v="Will Ferrell"/>
        <s v="Verne Troyer"/>
        <s v="Stephanie Szostak"/>
        <s v="Alfred Enoch"/>
        <s v="Seth Gabel"/>
        <s v="Jürgen Prochnow"/>
        <s v="Miguel Ferrer"/>
        <s v="Rachel Crow"/>
        <s v="Jeffrey Garcia"/>
        <s v="Bruce Davison"/>
        <s v="Aaron Stanford"/>
        <s v="Paul Anderson"/>
        <s v="Alexa Davalos"/>
        <s v="Ronny Cox"/>
        <s v="Rachel Ticotin"/>
        <s v="Marshall Bell"/>
        <s v="Vladimir Kulich"/>
        <s v="Clive Russell"/>
        <s v="Scott Glenn"/>
        <s v="Stacy Keach"/>
        <s v="Michael Gough"/>
        <s v="John Glover"/>
        <s v="Clint Howard"/>
        <s v="T.J. Thyne"/>
        <s v="Molly Shannon"/>
        <s v="Dougray Scott"/>
        <s v="Karen Allen"/>
        <s v="Mary Elizabeth Mastrantonio"/>
        <s v="Bob Gunton"/>
        <s v="Ioan Gruffudd"/>
        <s v="Suraj Sharma"/>
        <s v="Tabu"/>
        <s v="Matt Long"/>
        <s v="Peter Fonda"/>
        <s v="Riz Ahmed"/>
        <s v="Ato Essandoh"/>
        <s v="Demi Moore"/>
        <s v="Justin Theroux"/>
        <s v="Nathan Lane"/>
        <s v="Melanie Griffith"/>
        <s v="Christina Cox"/>
        <s v="Abbie Cornish"/>
        <s v="Jennifer Ehle"/>
        <s v="Scott Porter"/>
        <s v="Kick Gurry"/>
        <s v="Nicholas Elia"/>
        <s v="Shelley Conn"/>
        <s v="Domenick Lombardozzi"/>
        <s v="Teyonah Parris"/>
        <s v="Marc Blucas"/>
        <s v="Zoë Bell"/>
        <s v="Hayden Christensen"/>
        <s v="James Coburn"/>
        <s v="Tao Okamoto"/>
        <s v="Rila Fukushima"/>
        <s v="Ian McDiarmid"/>
        <s v="Alain Delon"/>
        <s v="Santiago Segura"/>
        <s v="Vanessa Hessler"/>
        <s v="Roger Willie"/>
        <s v="Noah Emmerich"/>
        <s v="Noel Fisher"/>
        <s v="Danny Woodburn"/>
        <s v="Jeremy Howard"/>
        <s v="Phaldut Sharma"/>
        <s v="Basher Savage"/>
        <s v="Amy Warren"/>
        <s v="Jamie Renée Smith"/>
        <s v="Grant Heslov"/>
        <s v="Stephen Amell"/>
        <s v="Tim Blake Nelson"/>
        <s v="Reg E. Cathey"/>
        <s v="Tim Heidecker"/>
        <s v="Archie Panjabi"/>
        <s v="Vincent Schiavelli"/>
        <s v="Joe Don Baker"/>
        <s v="Adam Baldwin"/>
        <s v="Julia Roberts"/>
        <s v="Mini Anden"/>
        <s v="Stephanie March"/>
        <s v="Theo James"/>
        <s v="Mekhi Phifer"/>
        <s v="Adam Scott"/>
        <s v="Frances Conroy"/>
        <s v="James Corden"/>
        <s v="Catherine Tate"/>
        <s v="Olly Alexander"/>
        <s v="Chad L. Coleman"/>
        <s v="George Peppard"/>
        <s v="Dirk Benedict"/>
        <s v="Dwight Schultz"/>
        <s v="Sullivan Stapleton"/>
        <s v="Mahadeo Shivraj"/>
        <s v="Tim Gunn"/>
        <s v="Madison McKinley"/>
        <s v="Roseanne Barr"/>
        <s v="G.W. Bailey"/>
        <s v="Torey Michael Adkins"/>
        <s v="Olga Fonda"/>
        <s v="Jacob Tremblay"/>
        <s v="Nancy O'Dell"/>
        <s v="Vanessa Matsui"/>
        <s v="Jason Patric"/>
        <s v="Lois Chiles"/>
        <s v="Moises Arias"/>
        <s v="Aramis Knight"/>
        <s v="Jonathan Sadowski"/>
        <s v="Cyril Raffaelli"/>
        <s v="Billy Boyd"/>
        <s v="Cécile De France"/>
        <s v="Kelly Preston"/>
        <s v="Spencer Breslin"/>
        <s v="Chi McBride"/>
        <s v="Philip Glenister"/>
        <s v="Chazz Palminteri"/>
        <s v="Jeffrey Jones"/>
        <s v="Jenifer Lewis"/>
        <s v="Anika Noni Rose"/>
        <s v="Donald Glover"/>
        <s v="Benedict Wong"/>
        <s v="Mathew Buck"/>
        <s v="Del Zamora"/>
        <s v="Warren Beatty"/>
        <s v="Robert Duvall"/>
        <s v="Connie Nielsen"/>
        <s v="Oliver Reed"/>
        <s v="Frank Grillo"/>
        <s v="Jessica Capshaw"/>
        <s v="Tobias Menzies"/>
        <s v="Ivana Milicevic"/>
        <s v="Estella Warren"/>
        <s v="Erick Avari"/>
        <s v="Jenette Goldstein"/>
        <s v="S. Epatha Merkerson"/>
        <s v="Denzel Washington"/>
        <s v="Ruby Dee"/>
        <s v="RZA"/>
        <s v="Jamie Lee Curtis"/>
        <s v="Tia Carrere"/>
        <s v="Tom Arnold"/>
        <s v="Michael Rispoli"/>
        <s v="Robert De Niro"/>
        <s v="Blythe Danner"/>
        <s v="Teri Polo"/>
        <s v="Derek Jeter"/>
        <s v="Vanessa Williams"/>
        <s v="Roma Maffia"/>
        <s v="Jason Alexander"/>
        <s v="Bill Fagerbakke"/>
        <s v="Eartha Kitt"/>
        <s v="Wendie Malick"/>
        <s v="John Fiedler"/>
        <s v="Sylvester Stallone"/>
        <s v="Armando Riesco"/>
        <s v="Annie Parisse"/>
        <s v="Ed Speleers"/>
        <s v="Gary Lewis"/>
        <s v="Catherine O'Hara"/>
        <s v="Ryan Corr"/>
        <s v="Max Records"/>
        <s v="Emma Kenney"/>
        <s v="Troy Evans"/>
        <s v="Rufus Sewell"/>
        <s v="Mark Margolis"/>
        <s v="Udo Kier"/>
        <s v="Stephen Collins"/>
        <s v="Rene Auberjonois"/>
        <s v="Debi Mazar"/>
        <s v="Jake Busey"/>
        <s v="Patrick Muldoon"/>
        <s v="Seth Gilliam"/>
        <s v="Jim Sturgess"/>
        <s v="Anthony LaPaglia"/>
        <s v="Christopher Heyerdahl"/>
        <s v="Alex Borstein"/>
        <s v="Ingrid Bolsø Berdal"/>
        <s v="Michael Wincott"/>
        <s v="Anna Friel"/>
        <s v="Bobb'e J. Thompson"/>
        <s v="Jamie Kennedy"/>
        <s v="Traylor Howard"/>
        <s v="Ben Stein"/>
        <s v="Benjamin Walker"/>
        <s v="Frank Dillane"/>
        <s v="Randy Quaid"/>
        <s v="Burt Young"/>
        <s v="Sean Huze"/>
        <s v="Igal Naor"/>
        <s v="Francesca Capaldi"/>
        <s v="Venus Schultheis"/>
        <s v="Bill Melendez"/>
        <s v="Ben Gazzara"/>
        <s v="Felicity Huffman"/>
        <s v="Campbell Scott"/>
        <s v="Patricia Velasquez"/>
        <s v="Ni Ni"/>
        <s v="Shigeo Kobayashi"/>
        <s v="Zooey Deschanel"/>
        <s v="Jon Heder"/>
        <s v="Jon Lovitz"/>
        <s v="Roger Bart"/>
        <s v="Thomas Middleditch"/>
        <s v="Katherine LaNasa"/>
        <s v="Milla Jovovich"/>
        <s v="Chris Noth"/>
        <s v="Liza Minnelli"/>
        <s v="Kristin Davis"/>
        <s v="Frank Welker"/>
        <s v="Rosie Perez"/>
        <s v="Elton John"/>
        <s v="Drake"/>
        <s v="Derek Jacobi"/>
        <s v="Michael Imperioli"/>
        <s v="AJ Michalka"/>
        <s v="Alexander Gould"/>
        <s v="Bernard Hill"/>
        <s v="Olivia Williams"/>
        <s v="Chris Barrie"/>
        <s v="Michael Jeter"/>
        <s v="Trevor Morgan"/>
        <s v="Alessandro Nivola"/>
        <s v="David Oyelowo"/>
        <s v="Tod Fennell"/>
        <s v="Joan Plowright"/>
        <s v="Cole Hauser"/>
        <s v="Megalyn Echikunwoke"/>
        <s v="Holly Hunter"/>
        <s v="Craig T. Nelson"/>
        <s v="Lou Romano"/>
        <s v="Christopher Masterson"/>
        <s v="Matthew Modine"/>
        <s v="Linda Fiorentino"/>
        <s v="Ethan Suplee"/>
        <s v="Mei Melançon"/>
        <s v="John Lone"/>
        <s v="Harris Yulin"/>
        <s v="Amber Valletta"/>
        <s v="Miranda Otto"/>
        <s v="Will Forte"/>
        <s v="Al Roker"/>
        <s v="Denis Leary"/>
        <s v="Maile Flanagan"/>
        <s v="Kelly Keaton"/>
        <s v="Adrian Martinez"/>
        <s v="Joey Slotnick"/>
        <s v="LL Cool J"/>
        <s v="Kelly Lynch"/>
        <s v="Harvey Fierstein"/>
        <s v="June Foray"/>
        <s v="Brandon T. Jackson"/>
        <s v="Goran Visnjic"/>
        <s v="Joely Richardson"/>
        <s v="Aldis Hodge"/>
        <s v="Kevin Chamberlin"/>
        <s v="Robert Maillet"/>
        <s v="Jim Varney"/>
        <s v="Cree Summer"/>
        <s v="Bella Thorne"/>
        <s v="Joshua Mikel"/>
        <s v="Jesse McCartney"/>
        <s v="Adam Sandler"/>
        <s v="Sayed Badreya"/>
        <s v="Kevin Nealon"/>
        <s v="Haley Joel Osment"/>
        <s v="Kevin Sussman"/>
        <s v="Marsha Thomason"/>
        <s v="Rachael Harris"/>
        <s v="Marc John Jefferies"/>
        <s v="Tom Skerritt"/>
        <s v="Larry King"/>
        <s v="Greg Grunberg"/>
        <s v="Kim Dickens"/>
        <s v="Curtiss Cook"/>
        <s v="George Harris"/>
        <s v="Michael Wright"/>
        <s v="Leven Rambin"/>
        <s v="Sanaa Lathan"/>
        <s v="Alun Armstrong"/>
        <s v="Michael Byrne"/>
        <s v="Velibor Topic"/>
        <s v="Stephen Dillane"/>
        <s v="Catherine McCormack"/>
        <s v="Kim Delaney"/>
        <s v="Wanda Sykes"/>
        <s v="Will.i.am"/>
        <s v="Anne Heche"/>
        <s v="Gaby Hoffmann"/>
        <s v="Natascha McElhone"/>
        <s v="Christian Camargo"/>
        <s v="Lex Shrapnel"/>
        <s v="William Smith"/>
        <s v="Sandahl Bergman"/>
        <s v="Paddy Considine"/>
        <s v="Bruce McGill"/>
        <s v="Rosemarie DeWitt"/>
        <s v="Shirley Henderson"/>
        <s v="Richard E. Grant"/>
        <s v="Michael Angarano"/>
        <s v="Alan Ruck"/>
        <s v="Jami Gertz"/>
        <s v="Paul Sanchez"/>
        <s v="Nick Searcy"/>
        <s v="Elizabeth Daily"/>
        <s v="Joan Allen"/>
        <s v="Oksana Akinshina"/>
        <s v="Dean Stockwell"/>
        <s v="Elliott Gould"/>
        <s v="Jeff Bennett"/>
        <s v="Teala Dunn"/>
        <s v="Fred Tatasciore"/>
        <s v="Caroline Dhavernas"/>
        <s v="Scott Thompson"/>
        <s v="Hettienne Park"/>
        <s v="Jim Carter"/>
        <s v="Gabourey Sidibe"/>
        <s v="Sarah Parish"/>
        <s v="Lisa Bonet"/>
        <s v="Meryl Streep"/>
        <s v="Hunter Parrish"/>
        <s v="Zoe Kazan"/>
        <s v="Al Pacino"/>
        <s v="Debra Messing"/>
        <s v="Jane Krakowski"/>
        <s v="Bob Hoskins"/>
        <s v="Gabriel Thomson"/>
        <s v="Clemens Schick"/>
        <s v="F. Murray Abraham"/>
        <s v="Tom Noonan"/>
        <s v="Li Gong"/>
        <s v="Karl Yune"/>
        <s v="Amber Stevens West"/>
        <s v="Zachery Ty Bryan"/>
        <s v="Nikki Griffin"/>
        <s v="Imelda Staunton"/>
        <s v="Michael Palin"/>
        <s v="Raymond Cruz"/>
        <s v="Rick Worthy"/>
        <s v="Jsu Garcia"/>
        <s v="Roy Scheider"/>
        <s v="Ben Vereen"/>
        <s v="Max Wright"/>
        <s v="Anna Kendrick"/>
        <s v="Kieran Culkin"/>
        <s v="Ellen Wong"/>
        <s v="Tchéky Karyo"/>
        <s v="Rekha Sharma"/>
        <s v="Larry Miller"/>
        <s v="Janet Jackson"/>
        <s v="Chris Elliott"/>
        <s v="Sarah Michelle Gellar"/>
        <s v="Linda Cardellini"/>
        <s v="Miguel A. Núñez Jr."/>
        <s v="Wood Harris"/>
        <s v="Jason Cope"/>
        <s v="Rakie Ayola"/>
        <s v="Cameron Monaghan"/>
        <s v="Julie Kavner"/>
        <s v="Ted Danson"/>
        <s v="Hal Holbrook"/>
        <s v="Adrienne Barbeau"/>
        <s v="Katt Williams"/>
        <s v="Tom Hulce"/>
        <s v="Seth MacFarlane"/>
        <s v="Iván Kamarás"/>
        <s v="Brian Steele"/>
        <s v="Anthony Edwards"/>
        <s v="Michael Rapaport"/>
        <s v="Vanessa Redgrave"/>
        <s v="Anthony Reynolds"/>
        <s v="Mason Lee"/>
        <s v="Mike Tyson"/>
        <s v="Andrew Bryniarski"/>
        <s v="Jason Scott Lee"/>
        <s v="David Ogden Stiers"/>
        <s v="Garrick Hagon"/>
        <s v="Steve Reevis"/>
        <s v="Dalip Singh"/>
        <s v="Lauren Gottlieb"/>
        <s v="Paul Michael Glaser"/>
        <s v="Joseph Sikora"/>
        <s v="Nellie Sciutto"/>
        <s v="Katy Mixon"/>
        <s v="Drew Carey"/>
        <s v="Paula Abdul"/>
        <s v="Carmen Electra"/>
        <s v="Kathryn Joosten"/>
        <s v="Jennifer Jason Leigh"/>
        <s v="Liam Aiken"/>
        <s v="Bailee Madison"/>
        <s v="Elden Henson"/>
        <s v="Royce Johnson"/>
        <s v="Charlie Cox"/>
        <s v="Monica Potter"/>
        <s v="Dave Chappelle"/>
        <s v="Ethan Embry"/>
        <s v="Cameron Boyce"/>
        <s v="Jodi Benson"/>
        <s v="Sam Lloyd"/>
        <s v="Lili Taylor"/>
        <s v="Virginia Madsen"/>
        <s v="Michael Jordan"/>
        <s v="Roger Rees"/>
        <s v="Henry Czerny"/>
        <s v="William Abadie"/>
        <s v="Juan Riedinger"/>
        <s v="Alex McArthur"/>
        <s v="Michael Potts"/>
        <s v="Jim Parrack"/>
        <s v="Tom Cavanagh"/>
        <s v="Josh Robert Thompson"/>
        <s v="Charles Napier"/>
        <s v="Zahn McClarnon"/>
        <s v="Leslie Bibb"/>
        <s v="Nicholas Turturro"/>
        <s v="June Lockhart"/>
        <s v="Dorian Missick"/>
        <s v="Jose Pablo Cantillo"/>
        <s v="Michael Brandon"/>
        <s v="Fran Drescher"/>
        <s v="Elizabeth Montgomery"/>
        <s v="Agnes Moorehead"/>
        <s v="Dick York"/>
        <s v="Quincy Jones"/>
        <s v="Penn Jillette"/>
        <s v="Russi Taylor"/>
        <s v="Alan Young"/>
        <s v="Josh Stamberg"/>
        <s v="Mika Boorem"/>
        <s v="David Paymer"/>
        <s v="Michael Emerson"/>
        <s v="Nick Chinlund"/>
        <s v="Adrian Alonso"/>
        <s v="Annabella Sciorra"/>
        <s v="Rosalind Chao"/>
        <s v="Michael McKean"/>
        <s v="Nissim Renard"/>
        <s v="Roxane Duran"/>
        <s v="Julie-Marie Parmentier"/>
        <s v="Harold Perrineau"/>
        <s v="Bart the Bear"/>
        <s v="Devin Ratray"/>
        <s v="Boris Kodjoe"/>
        <s v="Jon Foster"/>
        <s v="Bruce Thomas"/>
        <s v="Viggo Mortensen"/>
        <s v="Amy Brenneman"/>
        <s v="Charlie Rowe"/>
        <s v="Tiya Sircar"/>
        <s v="Madison Rothschild"/>
        <s v="Richard Tyson"/>
        <s v="John Topor"/>
        <s v="Jenna Elfman"/>
        <s v="Heather Locklear"/>
        <s v="Fergie"/>
        <s v="Elio Germano"/>
        <s v="Andrea Di Stefano"/>
        <s v="Brian Anthony Wilson"/>
        <s v="Larenz Tate"/>
        <s v="Adam Goldberg"/>
        <s v="Glenne Headly"/>
        <s v="Joseph Gilgun"/>
        <s v="Lotte Verbeek"/>
        <s v="Bob Neill"/>
        <s v="Val Kilmer"/>
        <s v="Tom Sizemore"/>
        <s v="Mia Farrow"/>
        <s v="Adam LeFevre"/>
        <s v="Penny Balfour"/>
        <s v="Pedro Armendáriz Jr."/>
        <s v="Jacques Perrin"/>
        <s v="Rie Miyazawa"/>
        <s v="Jemima Rooper"/>
        <s v="Sasha Roiz"/>
        <s v="Currie Graham"/>
        <s v="Dylan Schombing"/>
        <s v="Sariann Monaco"/>
        <s v="David Hoffman"/>
        <s v="Ben Diskin"/>
        <s v="Austin Pendleton"/>
        <s v="Niketa Calame"/>
        <s v="Melissa Sturm"/>
        <s v="Emily Watson"/>
        <s v="Tim Meadows"/>
        <s v="Mo Gallini"/>
        <s v="Veronica Cartwright"/>
        <s v="Jeremy Northam"/>
        <s v="Jonathan Winters"/>
        <s v="Eric Stonestreet"/>
        <s v="Albert Brooks"/>
        <s v="Max Ryan"/>
        <s v="Miranda Cosgrove"/>
        <s v="Mary McDonnell"/>
        <s v="Ariana Richards"/>
        <s v="Richard Schiff"/>
        <s v="Vanessa Lee Chester"/>
        <s v="Danny Huston"/>
        <s v="Rita Davies"/>
        <s v="Tyler Mane"/>
        <s v="Michael Biehn"/>
        <s v="Bokeem Woodbine"/>
        <s v="Ray Romano"/>
        <s v="Jay Leno"/>
        <s v="Peter Dante"/>
        <s v="Allen Covert"/>
        <s v="Jerry Stiller"/>
        <s v="Elijah Kelley"/>
        <s v="Paul Dooley"/>
        <s v="Alan Ford"/>
        <s v="Izabella Scorupco"/>
        <s v="Michael Kelly"/>
        <s v="Barry Shabaka Henley"/>
        <s v="Matt Ryan"/>
        <s v="Charles Halford"/>
        <s v="Kevin Dillon"/>
        <s v="Yvette Nicole Brown"/>
        <s v="Nicholas Lea"/>
        <s v="Jud Tylor"/>
        <s v="Martin Scorsese"/>
        <s v="Loretta Devine"/>
        <s v="Jennifer Hudson"/>
        <s v="Adam Arkin"/>
        <s v="Brent Sexton"/>
        <s v="Damian Lewis"/>
        <s v="Christina Milian"/>
        <s v="Moritz Bleibtreu"/>
        <s v="Tom Selleck"/>
        <s v="Christian Berkel"/>
        <s v="Paz Vega"/>
        <s v="Sarah Steele"/>
        <s v="Brían F. O'Byrne"/>
        <s v="Azura Skye"/>
        <s v="Ben Cross"/>
        <s v="John Gielgud"/>
        <s v="Geoffrey Palmer"/>
        <s v="Randall Duk Kim"/>
        <s v="Daniel Sharman"/>
        <s v="Steve Byers"/>
        <s v="Ransford Doherty"/>
        <s v="Lena Olin"/>
        <s v="Sean Pertwee"/>
        <s v="Kiernan Shipka"/>
        <s v="Lou Taylor Pucci"/>
        <s v="Bridget Fonda"/>
        <s v="Megan Mullally"/>
        <s v="Mike Starr"/>
        <s v="John Heard"/>
        <s v="Peter Coyote"/>
        <s v="James Pickens Jr."/>
        <s v="Huey Lewis"/>
        <s v="Keegan-Michael Key"/>
        <s v="Alexis Dziena"/>
        <s v="Maude Apatow"/>
        <s v="Frances Fisher"/>
        <s v="Tim McGraw"/>
        <s v="Gary Cole"/>
        <s v="Raven-Symoné"/>
        <s v="Kevin Pollak"/>
        <s v="Mhairi Calvey"/>
        <s v="Patrick McGoohan"/>
        <s v="James Robinson"/>
        <s v="Brian Geraghty"/>
        <s v="James Morrison"/>
        <s v="Yeardley Smith"/>
        <s v="Marcia Wallace"/>
        <s v="Martin Landau"/>
        <s v="Jeffrey DeMunn"/>
        <s v="Cristián de la Fuente"/>
        <s v="David Gant"/>
        <s v="Jean-Claude Dreyfus"/>
        <s v="Oanh Nguyen"/>
        <s v="Peter Boyle"/>
        <s v="Rory Culkin"/>
        <s v="Merritt Wever"/>
        <s v="Cherry Jones"/>
        <s v="Jennifer Saunders"/>
        <s v="Conrad Vernon"/>
        <s v="Cheech Marin"/>
        <s v="George Carlin"/>
        <s v="Hector Elizondo"/>
        <s v="Eve"/>
        <s v="Leila Arcieri"/>
        <s v="Tim Conway"/>
        <s v="Billy West"/>
        <s v="John Amos"/>
        <s v="Franco Nero"/>
        <s v="Josh Charles"/>
        <s v="Nicole Beharie"/>
        <s v="Katia Winter"/>
        <s v="Lyndie Greenwood"/>
        <s v="Freddy Rodríguez"/>
        <s v="Bob Balaban"/>
        <s v="Raoul Bova"/>
        <s v="Bridgit Mendler"/>
        <s v="Chris Klein"/>
        <s v="Radha Mitchell"/>
        <s v="LeVar Burton"/>
        <s v="Jonathan Frakes"/>
        <s v="Michael Dorn"/>
        <s v="Alison Lohman"/>
        <s v="David Hyde Pierce"/>
        <s v="Peter Gerety"/>
        <s v="Ron Rifkin"/>
        <s v="Jeremy Irvine"/>
        <s v="Todd Graff"/>
        <s v="John Buffalo Mailer"/>
        <s v="Sarah Gadon"/>
        <s v="Zach McGowan"/>
        <s v="Mark Valley"/>
        <s v="Nathaniel Parker"/>
        <s v="Victor Wong"/>
        <s v="Chelcie Ross"/>
        <s v="Brooke Smith"/>
        <s v="Garcelle Beauvais"/>
        <s v="Ben Daniels"/>
        <s v="Dexter Fletcher"/>
        <s v="Phill Lewis"/>
        <s v="Tate Taylor"/>
        <s v="Stephen Rea"/>
        <s v="Sandrine Holt"/>
        <s v="James Martin Kelly"/>
        <s v="Shane Hartline"/>
        <s v="Celina Beach"/>
        <s v="Rory Cochrane"/>
        <s v="Talisa Soto"/>
        <s v="Gregg Henry"/>
        <s v="Minnie Driver"/>
        <s v="Ron Howard"/>
        <s v="Brandy Norwood"/>
        <s v="Lea Michele"/>
        <s v="Jim Belushi"/>
        <s v="Archie Kao"/>
        <s v="Brandon Molale"/>
        <s v="Laurence Olivier"/>
        <s v="Charlotte Rampling"/>
        <s v="Indira Varma"/>
        <s v="Neil Maskell"/>
        <s v="50 Cent"/>
        <s v="Matt Gerald"/>
        <s v="Roxanne McKee"/>
        <s v="Luke Newberry"/>
        <s v="Gaia Weiss"/>
        <s v="Philip Baker Hall"/>
        <s v="Gary Farmer"/>
        <s v="Vincent Pastore"/>
        <s v="Robert Blake"/>
        <s v="Aida Turturro"/>
        <s v="Max Minghella"/>
        <s v="Ashraf Barhom"/>
        <s v="Rupert Evans"/>
        <s v="Jenna Fischer"/>
        <s v="Stephen Merchant"/>
        <s v="Michael Raymond-James"/>
        <s v="Graham McTavish"/>
        <s v="Simon McBurney"/>
        <s v="Michael Gaston"/>
        <s v="Kevin McNally"/>
        <s v="Maury Chaykin"/>
        <s v="Kaitlyn Dever"/>
        <s v="Nancy Travis"/>
        <s v="Mitch Pileggi"/>
        <s v="Owen Teale"/>
        <s v="Lisa Edelstein"/>
        <s v="Reece Thompson"/>
        <s v="Marcus Chong"/>
        <s v="Gloria Foster"/>
        <s v="Miko Hughes"/>
        <s v="Kathleen Quinlan"/>
        <s v="Judge Reinhold"/>
        <s v="Aisha Tyler"/>
        <s v="Eric Lloyd"/>
        <s v="Jean Stapleton"/>
        <s v="Andrea Savage"/>
        <s v="Tony Amendola"/>
        <s v="Stuart Wilson"/>
        <s v="Matt Walsh"/>
        <s v="Finn Wittrock"/>
        <s v="Jack O'Connell"/>
        <s v="Alex Russell"/>
        <s v="Clint Eastwood"/>
        <s v="Courtney B. Vance"/>
        <s v="William Devane"/>
        <s v="Leon"/>
        <s v="Janine Turner"/>
        <s v="Samantha Mathis"/>
        <s v="Lily Tomlin"/>
        <s v="Daniel von Bargen"/>
        <s v="Jay Hernandez"/>
        <s v="Marian Seldes"/>
        <s v="Horatio Sanz"/>
        <s v="Vinessa Shaw"/>
        <s v="Sydney Pollack"/>
        <s v="Quvenzhané Wallis"/>
        <s v="David Zayas"/>
        <s v="Gerald McRaney"/>
        <s v="Abigail Spencer"/>
        <s v="Warren Christie"/>
        <s v="Natasha Lyonne"/>
        <s v="Lea Thompson"/>
        <s v="Jennifer Grey"/>
        <s v="Maura Tierney"/>
        <s v="Adrian Lester"/>
        <s v="Paul Guilfoyle"/>
        <s v="Melina Kanakaredes"/>
        <s v="Craig Bierko"/>
        <s v="Yvonne Zima"/>
        <s v="Pamela Reed"/>
        <s v="Michael Kitchen"/>
        <s v="Jonah Bobo"/>
        <s v="Meat Loaf"/>
        <s v="Eugenie Bondurant"/>
        <s v="Kimberly Williams-Paisley"/>
        <s v="Frances O'Connor"/>
        <s v="Michael Moore"/>
        <s v="Caitlin Stasey"/>
        <s v="Kevin Grevioux"/>
        <s v="Ian McNeice"/>
        <s v="Barney Clark"/>
        <s v="Tony Noble"/>
        <s v="Bill Cobbs"/>
        <s v="Martin Henderson"/>
        <s v="Tom Goodman-Hill"/>
        <s v="Michael Smiley"/>
        <s v="David Calder"/>
        <s v="Simon Chandler"/>
        <s v="Josh Zuckerman"/>
        <s v="Robert Wagner"/>
        <s v="Dee Bradley Baker"/>
        <s v="Bob Peck"/>
        <s v="Isabella Rossellini"/>
        <s v="Dean Jones"/>
        <s v="Si Won Choi"/>
        <s v="Peng Lin"/>
        <s v="Sung-jun Yoo"/>
        <s v="Brittany Daniel"/>
        <s v="John Witherspoon"/>
        <s v="David Keith"/>
        <s v="Shawna Waldron"/>
        <s v="Romany Malco"/>
        <s v="Ice-T"/>
        <s v="Craig Stark"/>
        <s v="Elizabeth Perkins"/>
        <s v="Chelsea Handler"/>
        <s v="Vincent Regan"/>
        <s v="Eric Dane"/>
        <s v="Kathleen Turner"/>
        <s v="Haley Bennett"/>
        <s v="Jill Hennessy"/>
        <s v="Tichina Arnold"/>
        <s v="Drew Sidora"/>
        <s v="Patrick Fugit"/>
        <s v="Emily Ratajkowski"/>
        <s v="Josh Hamilton"/>
        <s v="Nicky Naudé"/>
        <s v="Timothy Hutton"/>
        <s v="Clarence Williams III"/>
        <s v="Peter Krause"/>
        <s v="Aria Noelle Curzon"/>
        <s v="Eden Riegel"/>
        <s v="Anjelica Huston"/>
        <s v="Patrick Fischler"/>
        <s v="Fred Ward"/>
        <s v="Carol Ann Susi"/>
        <s v="Miriam Margolyes"/>
        <s v="Jimmy Shubert"/>
        <s v="Alicia Witt"/>
        <s v="Woody Allen"/>
        <s v="Anne Bancroft"/>
        <s v="Tasha Smith"/>
        <s v="Tom Welling"/>
        <s v="Alyson Stoner"/>
        <s v="Ki Hong Lee"/>
        <s v="Rosa Salazar"/>
        <s v="Jaqueline Fleming"/>
        <s v="Jessalyn Gilsig"/>
        <s v="Billy Burke"/>
        <s v="Jacinda Barrett"/>
        <s v="Saffron Burrows"/>
        <s v="Misha Gabriel Hamilton"/>
        <s v="Mekia Cox"/>
        <s v="Judith Hill"/>
        <s v="Monique Gabriela Curnen"/>
        <s v="Griffin Kane"/>
        <s v="Dyan Cannon"/>
        <s v="Bill Hunter"/>
        <s v="Dawn French"/>
        <s v="John Hodgman"/>
        <s v="Kristen Connolly"/>
        <s v="Fred Williamson"/>
        <s v="Harvey Korman"/>
        <s v="Jake Lloyd"/>
        <s v="James Babson"/>
        <s v="Elaine Stritch"/>
        <s v="Sophie Okonedo"/>
        <s v="Stockard Channing"/>
        <s v="Bianca Kajlich"/>
        <s v="Oliver Hudson"/>
        <s v="Adhir Kalyan"/>
        <s v="Ritchie Coster"/>
        <s v="Peter Greene"/>
        <s v="Brenda Bakke"/>
        <s v="Patrick Kilpatrick"/>
        <s v="Colm Feore"/>
        <s v="Gemma Chan"/>
        <s v="Julian Kostov"/>
        <s v="Gary Dourdan"/>
        <s v="Tate Donovan"/>
        <s v="Ned Beatty"/>
        <s v="Louis Ferreira"/>
        <s v="Isaac Hempstead Wright"/>
        <s v="Tracy Morgan"/>
        <s v="Dianne Wiest"/>
        <s v="Alison Brie"/>
        <s v="Eileen Brennan"/>
        <s v="Treat Williams"/>
        <s v="Ryan Gosling"/>
        <s v="Wade Williams"/>
        <s v="Xander Berkeley"/>
        <s v="Leleti Khumalo"/>
        <s v="Michael Weston"/>
        <s v="Denis O'Hare"/>
        <s v="Steven Anthony Lawrence"/>
        <s v="Ray Walston"/>
        <s v="Michael Lerner"/>
        <s v="Blair Brown"/>
        <s v="David Rasche"/>
        <s v="Martin Donovan"/>
        <s v="Paul Adelstein"/>
        <s v="Julia Duffy"/>
        <s v="Ed Lauter"/>
        <s v="Bojana Novakovic"/>
        <s v="John Kapelos"/>
        <s v="Penelope Ann Miller"/>
        <s v="Chi Muoi Lo"/>
        <s v="Cathy Moriarty"/>
        <s v="Joe Viterelli"/>
        <s v="Carrie Preston"/>
        <s v="Ben Falcone"/>
        <s v="Sunny Mabrey"/>
        <s v="Xzibit"/>
        <s v="Josh Wingate"/>
        <s v="Alan Dale"/>
        <s v="Jacob Hopkins"/>
        <s v="Adriano Giannini"/>
        <s v="Timothy West"/>
        <s v="Susanna Thompson"/>
        <s v="Mia Kirshner"/>
        <s v="Philip Winchester"/>
        <s v="Michael Irby"/>
        <s v="Robert Forster"/>
        <s v="Wilson Cruz"/>
        <s v="Vanessa Marshall"/>
        <s v="Matt Bomer"/>
        <s v="Kevin Corrigan"/>
        <s v="Kevin Zegers"/>
        <s v="Mike O'Malley"/>
        <s v="Shawn Christian"/>
        <s v="Camryn Manheim"/>
        <s v="Ariel Gade"/>
        <s v="Jamie Foreman"/>
        <s v="Louis Lombardi"/>
        <s v="Olivia Munn"/>
        <s v="Ulrich Thomsen"/>
        <s v="Mike Dopud"/>
        <s v="Tania Saulnier"/>
        <s v="Aaron Kwok"/>
        <s v="Eddie Peng"/>
        <s v="Clayne Crawford"/>
        <s v="Paolo Montalban"/>
        <s v="Ed Skrein"/>
        <s v="Stefan Kapicic"/>
        <s v="Morgan Fairchild"/>
        <s v="Eric McCormack"/>
        <s v="Leonard Roberts"/>
        <s v="Keir O'Donnell"/>
        <s v="Odeya Rush"/>
        <s v="Dylan Minnette"/>
        <s v="Ken Marino"/>
        <s v="Nate Richert"/>
        <s v="Soleil Moon Frye"/>
        <s v="Caroline Rhea"/>
        <s v="Willie Garson"/>
        <s v="Taylor Negron"/>
        <s v="Kurtwood Smith"/>
        <s v="Richard Crenna"/>
        <s v="Robert Baker"/>
        <s v="Malcolm Goodwin"/>
        <s v="Matt Bushell"/>
        <s v="Kim Shaw"/>
        <s v="Kevin Brown"/>
        <s v="Jessica Szohr"/>
        <s v="Rob Riggle"/>
        <s v="Shawn Roberts"/>
        <s v="Nate Parker"/>
        <s v="Tristan Mack Wilds"/>
        <s v="Cynthia Nixon"/>
        <s v="Leighton Meester"/>
        <s v="Brian Thompson"/>
        <s v="Terry O'Neill"/>
        <s v="Chris Penn"/>
        <s v="Spencer Wilding"/>
        <s v="Christopher Lambert"/>
        <s v="Irene Papas"/>
        <s v="Mihalis Giannatos"/>
        <s v="Barry Corbin"/>
        <s v="Noureen DeWulf"/>
        <s v="Brian Austin Green"/>
        <s v="Ashley Scott"/>
        <s v="Michael Bowen"/>
        <s v="Siobhan Fallon Hogan"/>
        <s v="Sam Anderson"/>
        <s v="Beth Riesgraf"/>
        <s v="Matthew Gray Gubler"/>
        <s v="Irene Bedard"/>
        <s v="Margot Kidder"/>
        <s v="Holland Taylor"/>
        <s v="Alyson Hannigan"/>
        <s v="Thomas Ian Nicholas"/>
        <s v="Chris Mulkey"/>
        <s v="Michael Chernus"/>
        <s v="Fred Rogers"/>
        <s v="James Wilcox"/>
        <s v="Natasha Richardson"/>
        <s v="Ricky Schroder"/>
        <s v="Kurt Fuller"/>
        <s v="James Karen"/>
        <s v="Erika Christensen"/>
        <s v="Haley Ramm"/>
        <s v="Dylan Baker"/>
        <s v="David Carradine"/>
        <s v="Chiaki Kuriyama"/>
        <s v="Adam Alexi-Malle"/>
        <s v="Christopher Judge"/>
        <s v="Don S. Davis"/>
        <s v="Gary Jones"/>
        <s v="Michael Parks"/>
        <s v="Jack Palance"/>
        <s v="Brion James"/>
        <s v="Jason Connery"/>
        <s v="Kate Luyben"/>
        <s v="J.T. Walsh"/>
        <s v="Madeline Carroll"/>
        <s v="Ophelia Lovibond"/>
        <s v="Thomas McDonell"/>
        <s v="Carlos Ponce"/>
        <s v="Charles S. Dutton"/>
        <s v="Holt McCallany"/>
        <s v="Paul McGann"/>
        <s v="Andrea Corr"/>
        <s v="Jimmy Nail"/>
        <s v="Peter Polycarpou"/>
        <s v="Michael Lonsdale"/>
        <s v="Om Puri"/>
        <s v="Matt Lucas"/>
        <s v="Sally Hawkins"/>
        <s v="Nicholas Braun"/>
        <s v="Jenna Boyd"/>
        <s v="Rex Linn"/>
        <s v="John Ashton"/>
        <s v="Terence Bernie Hines"/>
        <s v="Seymour Cassel"/>
        <s v="Russell Tovey"/>
        <s v="Ellen Barkin"/>
        <s v="Miranda Richardson"/>
        <s v="Paterson Joseph"/>
        <s v="Billy Campbell"/>
        <s v="Bruce Boxleitner"/>
        <s v="John Castle"/>
        <s v="Lauren Holly"/>
        <s v="Tina Fey"/>
        <s v="Hugh Bonneville"/>
        <s v="Brady Corbet"/>
        <s v="Peter Gallagher"/>
        <s v="David Walton"/>
        <s v="Denis Lavant"/>
        <s v="André Dussollier"/>
        <s v="Albert Dupontel"/>
        <s v="James Mason"/>
        <s v="Shelley Winters"/>
        <s v="Lois Maxwell"/>
        <s v="Tom Berenger"/>
        <s v="Norman Reedus"/>
        <s v="Madison Pettis"/>
        <s v="Jason Momoa"/>
        <s v="Jon Seda"/>
        <s v="Todd Stashwick"/>
        <s v="Billy Gardell"/>
        <s v="Amanda Detmer"/>
        <s v="Jackie Cooper"/>
        <s v="Todd Giebenhain"/>
        <s v="Lenny Venito"/>
        <s v="David Backus"/>
        <s v="Bernadette Peters"/>
        <s v="Kylie Minogue"/>
        <s v="Matt O'Leary"/>
        <s v="Quentin Tarantino"/>
        <s v="Kimberly Elise"/>
        <s v="Hill Harper"/>
        <s v="Kelvin Han Yee"/>
        <s v="Parker Sawyers"/>
        <s v="Ann-Margret"/>
        <s v="Alice Greczyn"/>
        <s v="Jessica Simpson"/>
        <s v="Dash Mihok"/>
        <s v="Mircea Monroe"/>
        <s v="Matt Price"/>
        <s v="Gerry Becker"/>
        <s v="Tom Dreesen"/>
        <s v="Kasia Smutniak"/>
        <s v="Amber Rose Revah"/>
        <s v="Rebecca Dayan"/>
        <s v="Victoria Smurfit"/>
        <s v="Tony Cox"/>
        <s v="Rob Moran"/>
        <s v="Rob Paulsen"/>
        <s v="Jorge Garcia"/>
        <s v="Alia Shawkat"/>
        <s v="Kathleen Freeman"/>
        <s v="Chris Miller"/>
        <s v="Bobby Block"/>
        <s v="Jon Stewart"/>
        <s v="Bonnie Hunt"/>
        <s v="Lupe Ontiveros"/>
        <s v="Shirley Knight"/>
        <s v="Joel Courtney"/>
        <s v="Zach Mills"/>
        <s v="Conchata Ferrell"/>
        <s v="Thomas Lennon"/>
        <s v="Craig Roberts"/>
        <s v="Danny Masterson"/>
        <s v="Megan Park"/>
        <s v="Herbert Russell"/>
        <s v="Mark L. Young"/>
        <s v="James Ransone"/>
        <s v="Bill Duke"/>
        <s v="Deborah Kara Unger"/>
        <s v="Dylan Walsh"/>
        <s v="Chandler Canterbury"/>
        <s v="Sissy Spacek"/>
        <s v="Mark Christopher Lawrence"/>
        <s v="Michael Monks"/>
        <s v="Scoot McNairy"/>
        <s v="Billy Brown"/>
        <s v="Rupert Graves"/>
        <s v="Fann Wong"/>
        <s v="Anna-Louise Plowman"/>
        <s v="Georgina Chapman"/>
        <s v="Gemma Jones"/>
        <s v="Nicola Walker"/>
        <s v="Cheryl Hines"/>
        <s v="Jennifer Esposito"/>
        <s v="Conrad Goode"/>
        <s v="Derek Mears"/>
        <s v="Olivier Martinez"/>
        <s v="Erik Per Sullivan"/>
        <s v="Chad Lowe"/>
        <s v="Alex Pettyfer"/>
        <s v="Emily Wickersham"/>
        <s v="Reuben Langdon"/>
        <s v="Amr Waked"/>
        <s v="Kayvan Novak"/>
        <s v="James Badge Dale"/>
        <s v="David Costabile"/>
        <s v="Ana de la Reguera"/>
        <s v="Mary Lynn Rajskub"/>
        <s v="Charles Martinet"/>
        <s v="Alice Krige"/>
        <s v="Faizon Love"/>
        <s v="Dania Ramirez"/>
        <s v="Michael Cudlitz"/>
        <s v="Alycia Debnam-Carey"/>
        <s v="Scott Lawrence"/>
        <s v="Jon Tenney"/>
        <s v="Gilbert R. Hill"/>
        <s v="Robert Picardo"/>
        <s v="Phoebe Cates"/>
        <s v="Marcel Iures"/>
        <s v="Mike Epps"/>
        <s v="Celia Imrie"/>
        <s v="John Billingsley"/>
        <s v="Joan Chen"/>
        <s v="Sven-Ole Thorsen"/>
        <s v="Taylor Dooley"/>
        <s v="Virginie Ledoyen"/>
        <s v="Peter Youngblood Hills"/>
        <s v="Shô Kosugi"/>
        <s v="Ben Miles"/>
        <s v="Rain"/>
        <s v="Carmine Giovinazzo"/>
        <s v="David Jason"/>
        <s v="Bruce Alexander"/>
        <s v="John Lyons"/>
        <s v="Rumer Willis"/>
        <s v="Jay Mohr"/>
        <s v="Agnes Bruckner"/>
        <s v="Muse Watson"/>
        <s v="Kelly Rowan"/>
        <s v="Stephen Walters"/>
        <s v="Richard Brake"/>
        <s v="Tim Matheson"/>
        <s v="Rita Wilson"/>
        <s v="J.D. Evermore"/>
        <s v="Rachel Roberts"/>
        <s v="Harry Connick Jr."/>
        <s v="Tim Daly"/>
        <s v="Rick Hoffman"/>
        <s v="Valeria Golino"/>
        <s v="Michelle Forbes"/>
        <s v="Grey Damon"/>
        <s v="Brittany Curran"/>
        <s v="Aaron Hill"/>
        <s v="M. Emmet Walsh"/>
        <s v="Donald Watkins"/>
        <s v="Jessica Collins"/>
        <s v="Vanessa Ferlito"/>
        <s v="Raza Jaffrey"/>
        <s v="Paul Brooke"/>
        <s v="David Bailie"/>
        <s v="Rab Affleck"/>
        <s v="Gregory Smith"/>
        <s v="William Atherton"/>
        <s v="Lara Flynn Boyle"/>
        <s v="Julie Benz"/>
        <s v="Grant Bowler"/>
        <s v="Ian Ziering"/>
        <s v="Mo'Nique"/>
        <s v="Alden Ehrenreich"/>
        <s v="Zoey Deutch"/>
        <s v="Pruitt Taylor Vince"/>
        <s v="Andrew Wilson"/>
        <s v="Willie Nelson"/>
        <s v="Robin Shou"/>
        <s v="Josie Ho"/>
        <s v="Gilbert Gottfried"/>
        <s v="David Patrick Kelly"/>
        <s v="Tom Sturridge"/>
        <s v="Jacob Vargas"/>
        <s v="James Lew"/>
        <s v="Alison Doody"/>
        <s v="Guro Nagelhus Schia"/>
        <s v="Matthew Macfadyen"/>
        <s v="Leland Orser"/>
        <s v="Dwight Yoakam"/>
        <s v="Mel Rodriguez"/>
        <s v="P.J. Soles"/>
        <s v="Lochlyn Munro"/>
        <s v="Steve Bacic"/>
        <s v="Mykelti Williamson"/>
        <s v="Fares Fares"/>
        <s v="Michael Nardone"/>
        <s v="Corinna Harney"/>
        <s v="Douglas Haase"/>
        <s v="Vince Vieluf"/>
        <s v="Bradley Whitford"/>
        <s v="Brian Doyle-Murray"/>
        <s v="Fred Gwynne"/>
        <s v="Gretchen Mol"/>
        <s v="Jon Gries"/>
        <s v="Keith Hudson"/>
        <s v="Andy Dick"/>
        <s v="Nandita Das"/>
        <s v="Gulshan Grover"/>
        <s v="Eric Peterson"/>
        <s v="Charlie Korsmo"/>
        <s v="Faye Dunaway"/>
        <s v="Adam Garcia"/>
        <s v="Alissa Dean"/>
        <s v="Donatas Banionis"/>
        <s v="Anatoliy Solonitsyn"/>
        <s v="Natalya Bondarchuk"/>
        <s v="Bronagh Gallagher"/>
        <s v="George Cole"/>
        <s v="Crystal Lowe"/>
        <s v="Billy Blair"/>
        <s v="Julia Jones"/>
        <s v="Swoosie Kurtz"/>
        <s v="Randall 'Tex' Cobb"/>
        <s v="Amy Ryan"/>
        <s v="Olympia Dukakis"/>
        <s v="Jacqueline Bisset"/>
        <s v="Luke Grimes"/>
        <s v="Regina Hall"/>
        <s v="Pamela Anderson"/>
        <s v="Jenny McCarthy"/>
        <s v="Candice Bergen"/>
        <s v="Wendy Raquel Robinson"/>
        <s v="Heather Burns"/>
        <s v="Anita Briem"/>
        <s v="Brad Renfro"/>
        <s v="Noel Gugliemi"/>
        <s v="Patrick Bergin"/>
        <s v="Jane Fonda"/>
        <s v="Enrico Colantoni"/>
        <s v="Robin Sachs"/>
        <s v="Eric Jacobson"/>
        <s v="Steve Whitmire"/>
        <s v="Traci Lords"/>
        <s v="Robert Ri'chard"/>
        <s v="Matt Malloy"/>
        <s v="Bruce Altman"/>
        <s v="Eric Stoltz"/>
        <s v="Kari Wuhrer"/>
        <s v="Tyra Banks"/>
        <s v="Izabella Miko"/>
        <s v="Kris Marshall"/>
        <s v="Madeline Kahn"/>
        <s v="Ian Richardson"/>
        <s v="Rod Steiger"/>
        <s v="Emilio Estefan Jr."/>
        <s v="Lucille Ball"/>
        <s v="Tom Bosley"/>
        <s v="Nick Zano"/>
        <s v="James Tumminia"/>
        <s v="Joel McHale"/>
        <s v="William Lucking"/>
        <s v="Vincent Kartheiser"/>
        <s v="Demián Bichir"/>
        <s v="Shea Whigham"/>
        <s v="Gary Stretch"/>
        <s v="Valerie Cruz"/>
        <s v="Will Beinbrink"/>
        <s v="Natalie Imbruglia"/>
        <s v="Ben Miller"/>
        <s v="José Ferrer"/>
        <s v="T.V. Carpio"/>
        <s v="Robert Clohessy"/>
        <s v="Joe Komara"/>
        <s v="David Belle"/>
        <s v="Alexa PenaVega"/>
        <s v="Keenen Ivory Wayans"/>
        <s v="John de Lancie"/>
        <s v="Obba Babatundé"/>
        <s v="Malese Jow"/>
        <s v="Carter Jenkins"/>
        <s v="Costas Mandylor"/>
        <s v="Adrien Dorval"/>
        <s v="Nels Lennarson"/>
        <s v="Kristy Swanson"/>
        <s v="Henry Thomas"/>
        <s v="Omari Hardwick"/>
        <s v="Laz Alonso"/>
        <s v="Ye Liu"/>
        <s v="Man Li"/>
        <s v="Charlie Yeung"/>
        <s v="James With"/>
        <s v="Omar Epps"/>
        <s v="Marcela Mar"/>
        <s v="Giovanna Mezzogiorno"/>
        <s v="Unax Ugalde"/>
        <s v="Pierre Perrier"/>
        <s v="Clotilde Hesme"/>
        <s v="Céline Sallette"/>
        <s v="Sam Waterston"/>
        <s v="Daniel Kaluuya"/>
        <s v="Tim McInnerny"/>
        <s v="Togo Igawa"/>
        <s v="Clea DuVall"/>
        <s v="Daniel Roebuck"/>
        <s v="Julia Nickson"/>
        <s v="Martin Kove"/>
        <s v="Mel Blanc"/>
        <s v="Dickie Jones"/>
        <s v="Cliff Edwards"/>
        <s v="Isabelle Huppert"/>
        <s v="Daniel Mays"/>
        <s v="Rob Brown"/>
        <s v="Michael Nouri"/>
        <s v="Judith Chapman"/>
        <s v="Lillian Adams"/>
        <s v="Chelsea Bond"/>
        <s v="Wilford Brimley"/>
        <s v="Augustus Prew"/>
        <s v="Charlie Tahan"/>
        <s v="Valerie Tian"/>
        <s v="Dax Flame"/>
        <s v="Clarke Peters"/>
        <s v="Dylan Moran"/>
        <s v="Julia Sawalha"/>
        <s v="Masi Oka"/>
        <s v="Geoffrey Holder"/>
        <s v="William Xifaras"/>
        <s v="Richard Burton"/>
        <s v="Roddy McDowall"/>
        <s v="Reggie Lee"/>
        <s v="Charice"/>
        <s v="Mimi Rogers"/>
        <s v="David Eigenberg"/>
        <s v="Bono"/>
        <s v="Slash"/>
        <s v="Robert Davi"/>
        <s v="Anthony Zerbe"/>
        <s v="Fisher Stevens"/>
        <s v="Jeremy Crutchley"/>
        <s v="Jared Burke"/>
        <s v="Tony Chiu Wai Leung"/>
        <s v="Maggie Cheung"/>
        <s v="Debbie Reynolds"/>
        <s v="Randall Park"/>
        <s v="Anders Holm"/>
        <s v="Dong-gun Jang"/>
        <s v="Jed Brophy"/>
        <s v="Gavin MacLeod"/>
        <s v="Bob Hastings"/>
        <s v="Dany Boon"/>
        <s v="Evan Jones"/>
        <s v="Jamel Debbouze"/>
        <s v="Youssef Hajdi"/>
        <s v="Mélissa Theuriau"/>
        <s v="Bérénice Bejo"/>
        <s v="Julian Sands"/>
        <s v="Lee Evans"/>
        <s v="Anthony Chau-Sang Wong"/>
        <s v="Mandy Gonzalez"/>
        <s v="J. Smith-Cameron"/>
        <s v="JoBeth Williams"/>
        <s v="William Zabka"/>
        <s v="William Bassett"/>
        <s v="Annabeth Gish"/>
        <s v="Bruce Campbell"/>
        <s v="Jeffrey Weissman"/>
        <s v="Thomas F. Wilson"/>
        <s v="Jerry Ferrara"/>
        <s v="Scott Elrod"/>
        <s v="Dan Bilzerian"/>
        <s v="Lori Petty"/>
        <s v="Rosie O'Donnell"/>
        <s v="Javier Botet"/>
        <s v="Dustin Fitzsimons"/>
        <s v="Marcella Lentz-Pope"/>
        <s v="Carmen Perez"/>
        <s v="Sabrina Revelle"/>
        <s v="Sachiko Ishida"/>
        <s v="Beau Mirchoff"/>
        <s v="Kelly Rutherford"/>
        <s v="Roger Jackson"/>
        <s v="Wendy Crewson"/>
        <s v="Nadine Velazquez"/>
        <s v="Terry Kinney"/>
        <s v="Eric Schweig"/>
        <s v="Curtis Armstrong"/>
        <s v="Powers Boothe"/>
        <s v="Jason Douglas"/>
        <s v="Jane Curtin"/>
        <s v="Susan Ward"/>
        <s v="Sally Kirkland"/>
        <s v="Jay O. Sanders"/>
        <s v="Cheryl Penland"/>
        <s v="Nia Long"/>
        <s v="Marisol Nichols"/>
        <s v="Matthew Perry"/>
        <s v="Kate Upton"/>
        <s v="David Thornton"/>
        <s v="Krista Allen"/>
        <s v="Andrew Fiscella"/>
        <s v="Shantel VanSanten"/>
        <s v="Joaquim de Almeida"/>
        <s v="Sam Jaeger"/>
        <s v="Pink"/>
        <s v="Mario Lopez"/>
        <s v="Lino Facioli"/>
        <s v="Nick Cannon"/>
        <s v="Michael Jai White"/>
        <s v="Margarita Levieva"/>
        <s v="Aidan Quinn"/>
        <s v="Lindsay Sloane"/>
        <s v="Paul Scheer"/>
        <s v="Jonathan Morgan Heit"/>
        <s v="Rudy Youngblood"/>
        <s v="Dalia Hernández"/>
        <s v="Jonathan Brewer"/>
        <s v="Topher Grace"/>
        <s v="Debra Winger"/>
        <s v="Roscoe Lee Browne"/>
        <s v="Ebon Moss-Bachrach"/>
        <s v="Gena Rowlands"/>
        <s v="Deneen Tyler"/>
        <s v="Joy Bryant"/>
        <s v="Busy Philipps"/>
        <s v="Beau Garrett"/>
        <s v="Johnny Cannizzaro"/>
        <s v="Steve Schirripa"/>
        <s v="Scott Vance"/>
        <s v="Lorraine Bracco"/>
        <s v="José Wilker"/>
        <s v="Sean Connery"/>
        <s v="Sam Trammell"/>
        <s v="Johnny Lewis"/>
        <s v="Ian Whyte"/>
        <s v="Macaulay Culkin"/>
        <s v="John Larroquette"/>
        <s v="Jonathan Hyde"/>
        <s v="Bobby Lee"/>
        <s v="Nelson Ascencio"/>
        <s v="Jeremy Owen"/>
        <s v="Tom Virtue"/>
        <s v="Julene Renee"/>
        <s v="Aimee Teegarden"/>
        <s v="Shenae Grimes-Beech"/>
        <s v="Anthony Heald"/>
        <s v="Nat Faxon"/>
        <s v="Jesse James"/>
        <s v="Emma Bell"/>
        <s v="Jacqueline MacInnes Wood"/>
        <s v="Angie Dickinson"/>
        <s v="Jimmy Fallon"/>
        <s v="KaDee Strickland"/>
        <s v="Ione Skye"/>
        <s v="Bruce Dinsmore"/>
        <s v="Melissa Altro"/>
        <s v="Daniel Brochu"/>
        <s v="Shaun Weiss"/>
        <s v="Thomas Horn"/>
        <s v="Stephen Henderson"/>
        <s v="Noah Bean"/>
        <s v="Patti D'Arbanville"/>
        <s v="Vanessa Aspillaga"/>
        <s v="Anne Archer"/>
        <s v="David Fine"/>
        <s v="Jesse L. Martin"/>
        <s v="Jimmy Smits"/>
        <s v="Angela Bettis"/>
        <s v="Valerie Perri"/>
        <s v="Carlease Burke"/>
        <s v="Marco Hofschneider"/>
        <s v="Catherine Deneuve"/>
        <s v="Justin Chambers"/>
        <s v="Andrea Frankle"/>
        <s v="William Ragsdale"/>
        <s v="David Proval"/>
        <s v="Cliff Robertson"/>
        <s v="Lillo Brancato"/>
        <s v="Callum Blue"/>
        <s v="Jesse Borrego"/>
        <s v="Jaleel White"/>
        <s v="John Doman"/>
        <s v="Mira Sorvino"/>
        <s v="Steven Weber"/>
        <s v="Dane Cook"/>
        <s v="Bobbie Phillips"/>
        <s v="Elizabeth Berkley"/>
        <s v="Lauren Lee Smith"/>
        <s v="Geraldine Chaplin"/>
        <s v="Oaklee Pendergast"/>
        <s v="Carol Kane"/>
        <s v="Isabelle Adjani"/>
        <s v="James Gammon"/>
        <s v="Richard Epcar"/>
        <s v="Patricia Heaton"/>
        <s v="Mathieu Kassovitz"/>
        <s v="Isabelle Nanty"/>
        <s v="Mary-Kate Olsen"/>
        <s v="Bob Saget"/>
        <s v="Riley Smith"/>
        <s v="Andrew Daly"/>
        <s v="Jonathan Jackson"/>
        <s v="Jeffrey Combs"/>
        <s v="Jason Robards"/>
        <s v="Eddie Rouse"/>
        <s v="Tim Guinee"/>
        <s v="Bridgette Wilson-Sampras"/>
        <s v="Matt Ross"/>
        <s v="John Aylward"/>
        <s v="Troy Garity"/>
        <s v="John Gatins"/>
        <s v="Lou Saliba"/>
        <s v="Greg Collins"/>
        <s v="Kelly Ripa"/>
        <s v="Jasmine Trinca"/>
        <s v="Ashley Walters"/>
        <s v="Sarah Roemer"/>
        <s v="Aaron Yoo"/>
        <s v="James Brolin"/>
        <s v="Zan Marolt"/>
        <s v="Ljubomir Kerekes"/>
        <s v="John Mahoney"/>
        <s v="Takeshi Kaneshiro"/>
        <s v="Andy Lau"/>
        <s v="Kuno Becker"/>
        <s v="Kang-ho Song"/>
        <s v="François Cluzet"/>
        <s v="Tamannaah Bhatia"/>
        <s v="Anushka Shetty"/>
        <s v="Prabhas"/>
        <s v="Arliss Howard"/>
        <s v="Brooklynn Proulx"/>
        <s v="Michelle Nolden"/>
        <s v="Colin Ferguson"/>
        <s v="Atticus Shaffer"/>
        <s v="Sean Maher"/>
        <s v="Michael Hitchcock"/>
        <s v="Robert Vaughn"/>
        <s v="Oscar Gale"/>
        <s v="Wei Zhao"/>
        <s v="Courtney Gains"/>
        <s v="Eric Winter"/>
        <s v="Phil Hartman"/>
        <s v="Max Casella"/>
        <s v="Emily Osment"/>
        <s v="Hye-kyo Song"/>
        <s v="Elvis Tsui"/>
        <s v="Kristen Johnston"/>
        <s v="Blythe Auffarth"/>
        <s v="Bianca Collins"/>
        <s v="Jiao Xu"/>
        <s v="Jeff Kober"/>
        <s v="D.B. Woodside"/>
        <s v="Daniella Alonso"/>
        <s v="Eduardo Verástegui"/>
        <s v="Sonia Braga"/>
        <s v="Kari Matchett"/>
        <s v="Bill Nunn"/>
        <s v="Beth Grant"/>
        <s v="Dagmara Dominczyk"/>
        <s v="Matthew Glave"/>
        <s v="Mariah Carey"/>
        <s v="Jason Marsden"/>
        <s v="Richard Masur"/>
        <s v="David Clennon"/>
        <s v="Nolan Gerard Funk"/>
        <s v="Gregory Scott Cummins"/>
        <s v="Claudia Stedelin"/>
        <s v="Ted Markland"/>
        <s v="Usher Raymond"/>
        <s v="Leonor Varela"/>
        <s v="Harry Treadaway"/>
        <s v="Mike Howard"/>
        <s v="Jeffrey W. Jenkins"/>
        <s v="Bruce Goodchild"/>
        <s v="Ryan Cartwright"/>
        <s v="David Walliams"/>
        <s v="Maggie Siff"/>
        <s v="Nick Robinson"/>
        <s v="Phylicia Rashad"/>
        <s v="Owen Burke"/>
        <s v="Anthony Simcoe"/>
        <s v="Christopher James Baker"/>
        <s v="Alexandra Maria Lara"/>
        <s v="Patton Oswalt"/>
        <s v="Neil Flynn"/>
        <s v="Jim Meskimen"/>
        <s v="Michael Roark"/>
        <s v="Laura Harring"/>
        <s v="Tamala Jones"/>
        <s v="Laura-Leigh"/>
        <s v="Molly C. Quinn"/>
        <s v="Yuliya Snigir"/>
        <s v="Fedor Bondarchuk"/>
        <s v="Aleksey Serebryakov"/>
        <s v="Bernie Casey"/>
        <s v="Klaus Maria Brandauer"/>
        <s v="Barbara Carrera"/>
        <s v="Charlie McDermott"/>
        <s v="Collette Wolfe"/>
        <s v="Taylor Blackwell"/>
        <s v="Reeve Carney"/>
        <s v="Colin O'Donoghue"/>
        <s v="Blair Underwood"/>
        <s v="Mason Gamble"/>
        <s v="Kenan Thompson"/>
        <s v="Omid Abtahi"/>
        <s v="Lynn Hung"/>
        <s v="Kwok-Kwan Chan"/>
        <s v="William Hootkins"/>
        <s v="Lily Cole"/>
        <s v="Catherine Dyer"/>
        <s v="Quinton Aaron"/>
        <s v="Jon Foo"/>
        <s v="Aimee Garcia"/>
        <s v="Reginald Ballard"/>
        <s v="Bruce Green"/>
        <s v="Rebecca Mader"/>
        <s v="Nichelle Nichols"/>
        <s v="Walter Koenig"/>
        <s v="Robert Mitchum"/>
        <s v="Amy Schumer"/>
        <s v="Josh Segarra"/>
        <s v="Nicole Sullivan"/>
        <s v="Sherri Shepherd"/>
        <s v="Matt McCoy"/>
        <s v="Lauren Ambrose"/>
        <s v="Natasha Henstridge"/>
        <s v="Marg Helgenberger"/>
        <s v="Jordan Lund"/>
        <s v="Lin Shaye"/>
        <s v="Amanda Wyss"/>
        <s v="Anne Parillaud"/>
        <s v="Judith Godrèche"/>
        <s v="Kevin Connolly"/>
        <s v="Kiersey Clemons"/>
        <s v="Al Freeman Jr."/>
        <s v="Charlyne Yi"/>
        <s v="Mackenzie Aladjem"/>
        <s v="Craig Parker"/>
        <s v="Steven Mackintosh"/>
        <s v="Christine Taylor"/>
        <s v="Victor Webster"/>
        <s v="Jaymes Butler"/>
        <s v="Heather O'Rourke"/>
        <s v="Zelda Rubinstein"/>
        <s v="Beau Bridges"/>
        <s v="Jamie Hector"/>
        <s v="Danneel Ackles"/>
        <s v="Ashley Williams"/>
        <s v="Steve Howey"/>
        <s v="Kirsten Day"/>
        <s v="Jodi Lyn O'Keefe"/>
        <s v="Logan Browning"/>
        <s v="Tatum O'Neal"/>
        <s v="Vic Morrow"/>
        <s v="Joyce Van Patten"/>
        <s v="Raul Julia"/>
        <s v="Emilia Fox"/>
        <s v="Frank Finlay"/>
        <s v="Ed Stoppard"/>
        <s v="Keisha Castle-Hughes"/>
        <s v="Hiam Abbass"/>
        <s v="Shaun Toub"/>
        <s v="Paris Hilton"/>
        <s v="Brian Van Holt"/>
        <s v="Colin Stinton"/>
        <s v="Aaliyah"/>
        <s v="Kevin Peter Hall"/>
        <s v="Jesse Tyler Ferguson"/>
        <s v="Joseph Cross"/>
        <s v="Douglas Smith"/>
        <s v="Sam J. Jones"/>
        <s v="Cicely Tyson"/>
        <s v="Carmen Ejogo"/>
        <s v="Leon Rippy"/>
        <s v="Bill Bailey"/>
        <s v="Eros Vlahos"/>
        <s v="Frank Whaley"/>
        <s v="Nicki Aycox"/>
        <s v="Joanna Lumley"/>
        <s v="Ken Arnold"/>
        <s v="Benjamin J. Cain Jr."/>
        <s v="Richard Cetrone"/>
        <s v="Pip Torrens"/>
        <s v="Richard Thomas"/>
        <s v="Drake Bell"/>
        <s v="Marion Ross"/>
        <s v="Alona Tal"/>
        <s v="Michael Beach"/>
        <s v="Shannon Elizabeth"/>
        <s v="Portia de Rossi"/>
        <s v="Jim Gaffigan"/>
        <s v="Richard T. Jones"/>
        <s v="Michael Mosley"/>
        <s v="Lucy Gordon"/>
        <s v="Alex Jennings"/>
        <s v="Wendell Pierce"/>
        <s v="Austin Nichols"/>
        <s v="Brooke Shields"/>
        <s v="Matt Prokop"/>
        <s v="Cariba Heine"/>
        <s v="Richard Brancatisano"/>
        <s v="Lysette Anthony"/>
        <s v="Rosanna Arquette"/>
        <s v="Dann Florek"/>
        <s v="Christopher Rich"/>
        <s v="Jason Behr"/>
        <s v="Michiel Huisman"/>
        <s v="Bashar Rahal"/>
        <s v="Shawn Doyle"/>
        <s v="Paul Sorvino"/>
        <s v="Lela Rochon"/>
        <s v="Ray Nicholas"/>
        <s v="Maurice Compte"/>
        <s v="Benno Fürmann"/>
        <s v="Soleyman Pierini"/>
        <s v="Jade Kindar-Martin"/>
        <s v="Marley Shelton"/>
        <s v="Lee Arenberg"/>
        <s v="Angus Macfadyen"/>
        <s v="Warren Brown"/>
        <s v="Rie Rasmussen"/>
        <s v="Isabelle Carré"/>
        <s v="Jeremy W. Auman"/>
        <s v="Jeffrey Dover"/>
        <s v="Tobey Maguire"/>
        <s v="Maricel Álvarez"/>
        <s v="Hanaa Bouchaib"/>
        <s v="Eduard Fernández"/>
        <s v="Beverly D'Angelo"/>
        <s v="Aml Ameen"/>
        <s v="Jacob Latimore"/>
        <s v="June Diane Raphael"/>
        <s v="Melissa McMeekin"/>
        <s v="Ellen Burstyn"/>
        <s v="Kevin J. O'Connor"/>
        <s v="Hudson Leick"/>
        <s v="Sami Gayle"/>
        <s v="Rumi Hiiragi"/>
        <s v="Yûki Amami"/>
        <s v="Yuria Nara"/>
        <s v="Tiago Riani"/>
        <s v="Melissa Benoist"/>
        <s v="Hayley Lovitt"/>
        <s v="Eva Marie Saint"/>
        <s v="Vincent Perez"/>
        <s v="Terry Pheto"/>
        <s v="Fana Mokoena"/>
        <s v="Tony Kgoroge"/>
        <s v="Kyle Hebert"/>
        <s v="Brianne Brozey"/>
        <s v="Joe Ochman"/>
        <s v="Veronika Vernadskaya"/>
        <s v="Dato Bakhtadze"/>
        <s v="Ryan Guzman"/>
        <s v="Stephen Boss"/>
        <s v="Rachel Blanchard"/>
        <s v="Chris Ellis"/>
        <s v="Marco St. John"/>
        <s v="Eddie Jemison"/>
        <s v="Robert John Burke"/>
        <s v="Kenny Baker"/>
        <s v="Ryan Kruger"/>
        <s v="David Kross"/>
        <s v="Susanne Lothar"/>
        <s v="Kyra Sedgwick"/>
        <s v="David Gallagher"/>
        <s v="Héctor Jiménez"/>
        <s v="Wendi McLendon-Covey"/>
        <s v="Steve Bannos"/>
        <s v="Portia Doubleday"/>
        <s v="Cas Anvar"/>
        <s v="Russell Peters"/>
        <s v="Illeana Douglas"/>
        <s v="Danny Nucci"/>
        <s v="Michael DeLorenzo"/>
        <s v="Julian Richings"/>
        <s v="Judy Davis"/>
        <s v="John Belushi"/>
        <s v="Ken Howard"/>
        <s v="Holmes Osborne"/>
        <s v="Kyle Schmid"/>
        <s v="Pat Hingle"/>
        <s v="Roberts Blossom"/>
        <s v="Mike Doyle"/>
        <s v="Nora Dunn"/>
        <s v="Marc Anthony"/>
        <s v="Sonja Sohn"/>
        <s v="Andrea Martin"/>
        <s v="George Kennedy"/>
        <s v="Rollo Weeks"/>
        <s v="Simon Callow"/>
        <s v="Jean Louisa Kelly"/>
        <s v="Doug Cockle"/>
        <s v="Hope Davis"/>
        <s v="Peter Jason"/>
        <s v="Brian McNamara"/>
        <s v="Chita Rivera"/>
        <s v="Jayne Eastwood"/>
        <s v="Joey Lauren Adams"/>
        <s v="Lucas Bryant"/>
        <s v="Dillon Casey"/>
        <s v="Carel Struycken"/>
        <s v="Heather Matarazzo"/>
        <s v="Rodger Bumpass"/>
        <s v="Spencer Treat Clark"/>
        <s v="Tom Guiry"/>
        <s v="Mike Colter"/>
        <s v="Bern Cohen"/>
        <s v="Yetta Gottesman"/>
        <s v="Casey Kasem"/>
        <s v="Melinda Dillon"/>
        <s v="Chris Lowell"/>
        <s v="June Squibb"/>
        <s v="Howard Hesseman"/>
        <s v="Cory Hardrict"/>
        <s v="Vincent Leclerc"/>
        <s v="Daniel Rindress-Kay"/>
        <s v="Tracie Thoms"/>
        <s v="Christine Cavanaugh"/>
        <s v="Jean Smart"/>
        <s v="Maria Thayer"/>
        <s v="Zach Gilford"/>
        <s v="Tony Nappo"/>
        <s v="Fionnula Flanagan"/>
        <s v="Antony Starr"/>
        <s v="Scott Adsit"/>
        <s v="Bonnie Somerville"/>
        <s v="Christa B. Allen"/>
        <s v="Audrey Fleurot"/>
        <s v="Nina Arianda"/>
        <s v="John Savage"/>
        <s v="Raphael Sbarge"/>
        <s v="Brenda Song"/>
        <s v="Anne Meara"/>
        <s v="Priscilla Presley"/>
        <s v="Patrick Macnee"/>
        <s v="Tanya Roberts"/>
        <s v="Mark Gatiss"/>
        <s v="Geraldine McEwan"/>
        <s v="Peter Sallis"/>
        <s v="Nellie McKay"/>
        <s v="Frankie Muniz"/>
        <s v="Alfie Allen"/>
        <s v="Brenda Blethyn"/>
        <s v="Marcia DeBonis"/>
        <s v="Luisa Ranieri"/>
        <s v="Ken Takakura"/>
        <s v="Kate Capshaw"/>
        <s v="Larry David"/>
        <s v="Mehcad Brooks"/>
        <s v="Derek Luke"/>
        <s v="Edgar Arreola"/>
        <s v="Bernardo Saracino"/>
        <s v="Oona Laurence"/>
        <s v="Emmanuelle Vaugier"/>
        <s v="Facundo Lombard"/>
        <s v="Sanoe Lake"/>
        <s v="Christian Stolte"/>
        <s v="Danny Rhodes"/>
        <s v="Mark Rendall"/>
        <s v="Megan Franich"/>
        <s v="Method Man"/>
        <s v="Yaphet Kotto"/>
        <s v="Maria Conchita Alonso"/>
        <s v="Richard Dawson"/>
        <s v="Tisha Campbell-Martin"/>
        <s v="Jessica Barden"/>
        <s v="Vicky Krieps"/>
        <s v="John Macmillan"/>
        <s v="Yaya DaCosta"/>
        <s v="Jasika Nicole"/>
        <s v="Jurnee Smollett-Bell"/>
        <s v="Alan Oppenheimer"/>
        <s v="Tom Kane"/>
        <s v="Katie Lowes"/>
        <s v="Luke Mably"/>
        <s v="Robert Lopez"/>
        <s v="Huell Howser"/>
        <s v="Cheri Oteri"/>
        <s v="Kirk Baltz"/>
        <s v="Graham Beckel"/>
        <s v="Tika Sumpter"/>
        <s v="Josh Hopkins"/>
        <s v="Aunjanue Ellis"/>
        <s v="Rhys Wakefield"/>
        <s v="Dave Annable"/>
        <s v="Jacki Weaver"/>
        <s v="Daniel Stern"/>
        <s v="Aisha Hinds"/>
        <s v="Cameron Bright"/>
        <s v="Drea de Matteo"/>
        <s v="Hugh Dillon"/>
        <s v="Stephen Baldwin"/>
        <s v="Doug E. Doug"/>
        <s v="Sarah Polley"/>
        <s v="David Hewlett"/>
        <s v="Delphine Chanéac"/>
        <s v="Jordan Prentice"/>
        <s v="Eddie Cibrian"/>
        <s v="Lobo Sebastian"/>
        <s v="Robert Costanzo"/>
        <s v="Jessica Paré"/>
        <s v="Christopher Cousins"/>
        <s v="Mark Camacho"/>
        <s v="Grace Phipps"/>
        <s v="Reid Ewing"/>
        <s v="Sandra Vergara"/>
        <s v="Michael Greyeyes"/>
        <s v="Texas Battle"/>
        <s v="James Burnett"/>
        <s v="Christiana Leucas"/>
        <s v="Munro Chambers"/>
        <s v="Stark Sands"/>
        <s v="Terence Maynard"/>
        <s v="Phil LaMarr"/>
        <s v="Lynda Boyd"/>
        <s v="Atom Egoyan"/>
        <s v="Paul Gross"/>
        <s v="Ólafur Darri Ólafsson"/>
        <s v="Ingvar Eggert Sigurðsson"/>
        <s v="Björn Hlynur Haraldsson"/>
        <s v="Richard Roundtree"/>
        <s v="Ned Bellamy"/>
        <s v="James Biberi"/>
        <s v="Emir Kusturica"/>
        <s v="Saïd Taghmaoui"/>
        <s v="Bill Paterson"/>
        <s v="Lucy Boynton"/>
        <s v="Toby Leonard Moore"/>
        <s v="Nicholas Tse"/>
        <s v="Holly Valance"/>
        <s v="Sarah Carter"/>
        <s v="Jaycee Chan"/>
        <s v="Louise Bourgoin"/>
        <s v="Sandrine Kiberlain"/>
        <s v="Kad Merad"/>
        <s v="Kathy Baker"/>
        <s v="Patrick Lyster"/>
        <s v="Tyrone Keogh"/>
        <s v="Jemima West"/>
        <s v="Konstantin Khabenskiy"/>
        <s v="Sergey Garmash"/>
        <s v="Chiara Caselli"/>
        <s v="Birgitte Hjort Sørensen"/>
        <s v="Hana Mae Lee"/>
        <s v="Dallas Roberts"/>
        <s v="Tyler Hilton"/>
        <s v="Amanda Schull"/>
        <s v="Kirk Acevedo"/>
        <s v="Milos Forman"/>
        <s v="Bradley Pierce"/>
        <s v="Mark Williams"/>
        <s v="Dick Clark"/>
        <s v="David Julian Hirsh"/>
        <s v="Jennifer Hall"/>
        <s v="Hannah Spearritt"/>
        <s v="Jason Lewis"/>
        <s v="Angel Coulby"/>
        <s v="Scott Weinger"/>
        <s v="Neil Brown Jr."/>
        <s v="R. Marcos Taylor"/>
        <s v="Amrish Puri"/>
        <s v="John Sessions"/>
        <s v="Enrique Iglesias"/>
        <s v="Reginald VelJohnson"/>
        <s v="Charlie Talbert"/>
        <s v="Demetri Martin"/>
        <s v="Eddie Cahill"/>
        <s v="Kenneth Mitchell"/>
        <s v="Alex Rocco"/>
        <s v="Shun Oguri"/>
        <s v="Yû Aoi"/>
        <s v="Haruma Miura"/>
        <s v="Rebecca De Mornay"/>
        <s v="Topol"/>
        <s v="Lilli Lavine"/>
        <s v="David Sparrow"/>
        <s v="Ann Talman"/>
        <s v="Mia Sara"/>
        <s v="Gloria Reuben"/>
        <s v="David Lyons"/>
        <s v="Noah Lomax"/>
        <s v="Mimi Kirkland"/>
        <s v="Omri Katz"/>
        <s v="Larry Bagby"/>
        <s v="Lily Rabe"/>
        <s v="Elizabeth McGovern"/>
        <s v="Deborah Twiss"/>
        <s v="Dilshad Vadsaria"/>
        <s v="Jeri Ryan"/>
        <s v="Talulah Riley"/>
        <s v="Simon Woods"/>
        <s v="Sean Young"/>
        <s v="Richard Sammel"/>
        <s v="Tómas Lemarquis"/>
        <s v="Oleg Taktarov"/>
        <s v="Antoni Corone"/>
        <s v="Bob Clendenin"/>
        <s v="Ben Chaplin"/>
        <s v="Philippe Labro"/>
        <s v="Samaire Armstrong"/>
        <s v="Mary McCormack"/>
        <s v="Ron Eldard"/>
        <s v="George Lopez"/>
        <s v="Mara Wilson"/>
        <s v="Francis Capra"/>
        <s v="Dominic Flores"/>
        <s v="Bella Heathcote"/>
        <s v="Tenzin Thuthob Tsarong"/>
        <s v="Tulku Jamyang Kunga Tenzin"/>
        <s v="Tencho Gyalpo"/>
        <s v="Katherine Parkinson"/>
        <s v="Fenella Woolgar"/>
        <s v="Donald Faison"/>
        <s v="Elena Anaya"/>
        <s v="Eduardo Noriega"/>
        <s v="Louis Jourdan"/>
        <s v="Kabir Bedi"/>
        <s v="Steven Berkoff"/>
        <s v="Harold Ramis"/>
        <s v="Martin Starr"/>
        <s v="Sofia Vassilieva"/>
        <s v="Jeffrey Markle"/>
        <s v="Richard Wilson"/>
        <s v="Phil Davis"/>
        <s v="Andrew Simpson"/>
        <s v="Shaun Parkes"/>
        <s v="Jake McDorman"/>
        <s v="Matthew Settle"/>
        <s v="Tatyana Ali"/>
        <s v="Aretha Franklin"/>
        <s v="Ray Charles"/>
        <s v="Michael Rady"/>
        <s v="Dolly Parton"/>
        <s v="Jeremy Jordan"/>
        <s v="Sharon Small"/>
        <s v="Christopher Webster"/>
        <s v="Peter McNicholl"/>
        <s v="Ty Olsson"/>
        <s v="Barret Oliver"/>
        <s v="Jackie Gleason"/>
        <s v="Art Carney"/>
        <s v="Joyce Randolph"/>
        <s v="Piper Laurie"/>
        <s v="Jean Marsh"/>
        <s v="Tim Rose"/>
        <s v="Lew Temple"/>
        <s v="Vanesa Tomasino"/>
        <s v="William Mapother"/>
        <s v="Junix Inocian"/>
        <s v="Paul Barber"/>
        <s v="Eion Bailey"/>
        <s v="John Neville"/>
        <s v="Kim-Marie Woodhouse"/>
        <s v="Amy Carson"/>
        <s v="Joseph Kaiser"/>
        <s v="Julie Gonzalo"/>
        <s v="Gerry Bednob"/>
        <s v="Martin Clunes"/>
        <s v="Boyd Holbrook"/>
        <s v="David Harbour"/>
        <s v="Jeanne Moreau"/>
        <s v="Rob McElhenney"/>
        <s v="Kaitlin Olson"/>
        <s v="Glenn Howerton"/>
        <s v="Ryan O'Neal"/>
        <s v="Dirk Bogarde"/>
        <s v="Wolfgang Preiss"/>
        <s v="Robert Pine"/>
        <s v="Carl Gilliard"/>
        <s v="Suzie Plakson"/>
        <s v="Michael Landes"/>
        <s v="Keegan Connor Tracy"/>
        <s v="Kate Walsh"/>
        <s v="Larry Hankin"/>
        <s v="Paula Garcés"/>
        <s v="Jason George"/>
        <s v="Todd Allen"/>
        <s v="Brad Leland"/>
        <s v="Seth Meyers"/>
        <s v="Gregory Itzin"/>
        <s v="Jack Thompson"/>
        <s v="Pam Ferris"/>
        <s v="Mario Van Peebles"/>
        <s v="David Conrad"/>
        <s v="Monica Keena"/>
        <s v="Kirstie Alley"/>
        <s v="Paul Hogan"/>
        <s v="Chelsea Field"/>
        <s v="Jessica Wesson"/>
        <s v="Donald Sumpter"/>
        <s v="Christo Jivkov"/>
        <s v="Maia Morgenstern"/>
        <s v="Hristo Shopov"/>
        <s v="Matthew Lawrence"/>
        <s v="Dreama Walker"/>
        <s v="Ahney Her"/>
        <s v="Luke Bracey"/>
        <s v="DeVaughn Nixon"/>
        <s v="Embeth Davidtz"/>
        <s v="Caroline Goodall"/>
        <s v="Jamie Blackley"/>
        <s v="Igor Jijikine"/>
        <s v="Agnia Ditkovskite"/>
        <s v="Katharine Isabelle"/>
        <s v="Jason Ritter"/>
        <s v="Ava Acres"/>
        <s v="Sara Stewart"/>
        <s v="Ben Feldman"/>
        <s v="Liza Lapira"/>
        <s v="Kevin Nash"/>
        <s v="Paige Turco"/>
        <s v="Ernie Reyes Jr."/>
        <s v="Billy Drago"/>
        <s v="Charles Martin Smith"/>
        <s v="Bryan Callen"/>
        <s v="Leslie Caron"/>
        <s v="Hugh O'Conor"/>
        <s v="Bob Newhart"/>
        <s v="Gedde Watanabe"/>
        <s v="Greta Gerwig"/>
        <s v="Dana Delany"/>
        <s v="Lee Remick"/>
        <s v="Patrick Troughton"/>
        <s v="Billie Whitelaw"/>
        <s v="Chelan Simmons"/>
        <s v="Gina Holden"/>
        <s v="Riley Thomas Stewart"/>
        <s v="Jay R. Ferguson"/>
        <s v="Larry the Cable Guy"/>
        <s v="Darcy Donavan"/>
        <s v="Chris Gauthier"/>
        <s v="Rebecca Gayheart"/>
        <s v="David O'Hara"/>
        <s v="Paul F. Tompkins"/>
        <s v="Kevin Breznahan"/>
        <s v="Flea"/>
        <s v="Nancy Cartwright"/>
        <s v="Eddie Griffin"/>
        <s v="Katharine McPhee"/>
        <s v="Keshia Knight Pulliam"/>
        <s v="LisaRaye McCoy"/>
        <s v="Gregory Alan Williams"/>
        <s v="Oliver James"/>
        <s v="Jonathan Breck"/>
        <s v="Billy Aaron Brown"/>
        <s v="DMX"/>
        <s v="Alexandra Breckenridge"/>
        <s v="Laura Ramsey"/>
        <s v="Lily Atkinson"/>
        <s v="Emma de Caunes"/>
        <s v="Steve Pemberton"/>
        <s v="Nicholas Gonzalez"/>
        <s v="Salli Richardson-Whitfield"/>
        <s v="Johnny Messner"/>
        <s v="Aaron Staton"/>
        <s v="Fanny Ardant"/>
        <s v="Eric Cantona"/>
        <s v="Alexis Arquette"/>
        <s v="Park Bench"/>
        <s v="Vince Corazza"/>
        <s v="Joseph Cotten"/>
        <s v="Richard Anderson"/>
        <s v="James Whitmore"/>
        <s v="Richard Briers"/>
        <s v="Victoria Beckham"/>
        <s v="Ari Graynor"/>
        <s v="J.B. Smoove"/>
        <s v="Kylie Bunbury"/>
        <s v="Essence Atkins"/>
        <s v="Jere Burns"/>
        <s v="Linda Kozlowski"/>
        <s v="Cjon Saulsberry"/>
        <s v="Griffin Cleveland"/>
        <s v="Connie Ray"/>
        <s v="Trevor Blumas"/>
        <s v="Amy Stewart"/>
        <s v="Tyrone Giordano"/>
        <s v="James Read"/>
        <s v="Taron Egerton"/>
        <s v="Justin Fletcher"/>
        <s v="John Sparkes"/>
        <s v="Kate Harbour"/>
        <s v="Óscar Jaenada"/>
        <s v="Don McManus"/>
        <s v="Scott Mechlowicz"/>
        <s v="Jacob Pitts"/>
        <s v="Claudia Christian"/>
        <s v="Nia Peeples"/>
        <s v="Tony Plana"/>
        <s v="Tyler James Williams"/>
        <s v="Bebe Neuwirth"/>
        <s v="Matthew Knight"/>
        <s v="Amanda Tilson"/>
        <s v="Gillian Jacobs"/>
        <s v="Jonathan Tucker"/>
        <s v="Sergio Calderón"/>
        <s v="Emily Meade"/>
        <s v="Zena Grey"/>
        <s v="Chris Marquette"/>
        <s v="Timothy Bottoms"/>
        <s v="Jacob Young"/>
        <s v="Zach Grenier"/>
        <s v="Paul Ben-Victor"/>
        <s v="Tara Fitzgerald"/>
        <s v="Jorma Taccone"/>
        <s v="Chris Parnell"/>
        <s v="Devon Murray"/>
        <s v="Pauline McLynn"/>
        <s v="Patrick St. Esprit"/>
        <s v="Steve Railsback"/>
        <s v="Peter Firth"/>
        <s v="Jennifer Hale"/>
        <s v="Marco Treviño"/>
        <s v="Kate Burton"/>
        <s v="Peter Kwong"/>
        <s v="Malonn Lévana"/>
        <s v="Alice Pol"/>
        <s v="William Morgan Sheppard"/>
        <s v="James Patrick Stuart"/>
        <s v="John Doe"/>
        <s v="Tom Amandes"/>
        <s v="Daniel Lapaine"/>
        <s v="Madison Davenport"/>
        <s v="Natasha Calis"/>
        <s v="Cathryn de Prume"/>
        <s v="Rhys Coiro"/>
        <s v="Christopher Evan Welch"/>
        <s v="Brian Bosworth"/>
        <s v="Sam McMurray"/>
        <s v="Richard Gant"/>
        <s v="Donovan Scott"/>
        <s v="Ted Wass"/>
        <s v="Kaylee DeFer"/>
        <s v="Jack Plotnick"/>
        <s v="Craig Hall"/>
        <s v="Don McKellar"/>
        <s v="Joe Pingue"/>
        <s v="Yûsuke Iseya"/>
        <s v="Michael Paré"/>
        <s v="Julie Adams"/>
        <s v="Dallas Barnett"/>
        <s v="Erica Linz"/>
        <s v="Igor Zaripov"/>
        <s v="Aidan McArdle"/>
        <s v="James Tupper"/>
        <s v="Sean Buchanan"/>
        <s v="Liya Kebede"/>
        <s v="Shawn Hatosy"/>
        <s v="Benoît Magimel"/>
        <s v="Gilles Lellouche"/>
        <s v="Scout Taylor-Compton"/>
        <s v="Gil Birmingham"/>
        <s v="Yolande Moreau"/>
        <s v="André Wilms"/>
        <s v="Jérôme Deschamps"/>
        <s v="Evgeniy Mironov"/>
        <s v="Aleksandr Bashirov"/>
        <s v="Dan O'Herlihy"/>
        <s v="Jack Hawkins"/>
        <s v="Siu-Wong Fan"/>
        <s v="Wai-Keung Lau"/>
        <s v="Kevin Williamson"/>
        <s v="Lori Singer"/>
        <s v="Leah Remini"/>
        <s v="Harry Shearer"/>
        <s v="Jeff Anderson"/>
        <s v="Jennifer Schwalbach Smith"/>
        <s v="Kathleen Wilhoite"/>
        <s v="David Arquette"/>
        <s v="Lena Horne"/>
        <s v="Diana Ross"/>
        <s v="Theresa Merritt"/>
        <s v="Ellen Albertini Dow"/>
        <s v="Lolita Davidovich"/>
        <s v="Kelly Brook"/>
        <s v="A.J. Langer"/>
        <s v="Donald Pleasence"/>
        <s v="Kenneth Williams"/>
        <s v="Clive Revill"/>
        <s v="Derek Graf"/>
        <s v="Anthony Daniels"/>
        <s v="Theresa Randle"/>
        <s v="O.J. Simpson"/>
        <s v="Brendan Fehr"/>
        <s v="Kerr Smith"/>
        <s v="Catherine Dent"/>
        <s v="Brian Johnson"/>
        <s v="Matt Letscher"/>
        <s v="Jessica Bowman"/>
        <s v="Dell Yount"/>
        <s v="Keeley Hawes"/>
        <s v="Oliver Stark"/>
        <s v="Eva Amurri Martino"/>
        <s v="Dan Hedaya"/>
        <s v="Lainie Kazan"/>
        <s v="Judith Barsi"/>
        <s v="Lynn Whitfield"/>
        <s v="Garrett Morris"/>
        <s v="Ian Hart"/>
        <s v="James Bolam"/>
        <s v="Benoît Poelvoorde"/>
        <s v="Marie Gillain"/>
        <s v="Landon Liboiron"/>
        <s v="Tom Burke"/>
        <s v="Iben Hjejle"/>
        <s v="Gaye Brown"/>
        <s v="Romola Garai"/>
        <s v="Roger Lloyd Pack"/>
        <s v="Lillete Dubey"/>
        <s v="Bingbing Fan"/>
        <s v="Simon Yam"/>
        <s v="Drew Powell"/>
        <s v="Kim Thomson"/>
        <s v="Alexandra Silber"/>
        <s v="Joan Rivers"/>
        <s v="Dick Van Patten"/>
        <s v="Michael Winslow"/>
        <s v="Cem Yilmaz"/>
        <s v="Phil Leeds"/>
        <s v="Angus T. Jones"/>
        <s v="Debra Monk"/>
        <s v="Michael Papajohn"/>
        <s v="Colleen Haskell"/>
        <s v="Manish Dayal"/>
        <s v="Charlotte Le Bon"/>
        <s v="Juhi Chawla"/>
        <s v="Ray McKinnon"/>
        <s v="Roma Downey"/>
        <s v="Darwin Shaw"/>
        <s v="Shane Brolly"/>
        <s v="Julian Fellowes"/>
        <s v="Charles Keating"/>
        <s v="Jack Reynor"/>
        <s v="Bobby Moynihan"/>
        <s v="Matthew Daddario"/>
        <s v="Radivoje Bukvic"/>
        <s v="Pawel Szajda"/>
        <s v="Grigoriy Dobrygin"/>
        <s v="Neil Diamond"/>
        <s v="Kyle Gass"/>
        <s v="Zachary Gordon"/>
        <s v="Jason Mewes"/>
        <s v="Bruce Dern"/>
        <s v="Paulo Costanzo"/>
        <s v="Aries Spears"/>
        <s v="Rock Hudson"/>
        <s v="Vernon Dobtcheff"/>
        <s v="Jeremy Kemp"/>
        <s v="Sebastian Koch"/>
        <s v="Roger Cross"/>
        <s v="Ben Crompton"/>
        <s v="Anne-Marie Duff"/>
        <s v="Joe Spinell"/>
        <s v="Amidou"/>
        <s v="Romain Duris"/>
        <s v="Ludivine Sagnier"/>
        <s v="Fabrice Luchini"/>
        <s v="Dendrie Taylor"/>
        <s v="Pablo Rago"/>
        <s v="Diego Ramos"/>
        <s v="Gabriel Almirón"/>
        <s v="Ornella Muti"/>
        <s v="Alessandra Mastronardi"/>
        <s v="Warren Clarke"/>
        <s v="Kenneth Colley"/>
        <s v="Trey Parker"/>
        <s v="Matt Hill"/>
        <s v="DeWayne Warren"/>
        <s v="Qi Shu"/>
        <s v="Matt Schulze"/>
        <s v="Leslie Hope"/>
        <s v="Jason London"/>
        <s v="Eddie Kaye Thomas"/>
        <s v="Chris Harrison"/>
        <s v="Elaine Hendrix"/>
        <s v="Sarah Wynter"/>
        <s v="Dom DeLuise"/>
        <s v="Teri Garr"/>
        <s v="Ian Somerhalder"/>
        <s v="Kimberly J. Brown"/>
        <s v="Steve Harris"/>
        <s v="Bam Margera"/>
        <s v="Steve-O"/>
        <s v="Chris Pontius"/>
        <s v="Murray Hamilton"/>
        <s v="Joseph Mascolo"/>
        <s v="Ali Hillis"/>
        <s v="Hayley McFarland"/>
        <s v="Mark Duplass"/>
        <s v="Mike White"/>
        <s v="Shailene Woodley"/>
        <s v="Nick Krause"/>
        <s v="Zane Holtz"/>
        <s v="Ski Carr"/>
        <s v="Bobby Coleman"/>
        <s v="Melissa Ordway"/>
        <s v="Taran Killam"/>
        <s v="Jason Weaver"/>
        <s v="Brendan Coyle"/>
        <s v="Romeo Miller"/>
        <s v="Fernando Rey"/>
        <s v="Tony Lo Bianco"/>
        <s v="Phil Collins"/>
        <s v="Tony Jay"/>
        <s v="Barry Watson"/>
        <s v="Skye McCole Bartusiak"/>
        <s v="Charles Mesure"/>
        <s v="Marc Macaulay"/>
        <s v="Kath Soucie"/>
        <s v="Ken Sansom"/>
        <s v="Aryana Engineer"/>
        <s v="Joseph Julian Soria"/>
        <s v="Lamman Rucker"/>
        <s v="David Mann"/>
        <s v="Denise Boutte"/>
        <s v="Jamey Sheridan"/>
        <s v="Brian d'Arcy James"/>
        <s v="Richard Lawson"/>
        <s v="Alex Winter"/>
        <s v="Maximilian Schell"/>
        <s v="Yvette Mimieux"/>
        <s v="Violante Placido"/>
        <s v="Thekla Reuten"/>
        <s v="Filippo Timi"/>
        <s v="Dave Foley"/>
        <s v="Anneliese van der Pol"/>
        <s v="Harriet Walter"/>
        <s v="Dermot Crowley"/>
        <s v="Jeremy Shada"/>
        <s v="Gunnar Hansen"/>
        <s v="Keram Malicki-Sánchez"/>
        <s v="Shaun Sipos"/>
        <s v="William McNamara"/>
        <s v="Marisa Saks"/>
        <s v="Lee Marvin"/>
        <s v="Lucas Grabeel"/>
        <s v="Jan Cornet"/>
        <s v="María Botto"/>
        <s v="Isaiah Washington"/>
        <s v="Francesca Rettondini"/>
        <s v="Jeff Perry"/>
        <s v="Skyler Samuels"/>
        <s v="Jesper Christensen"/>
        <s v="Romi Aboulafia"/>
        <s v="Jason Beghe"/>
        <s v="Margaret Cho"/>
        <s v="James Wolk"/>
        <s v="Christine Lakin"/>
        <s v="Thomas Law"/>
        <s v="Jasper Levine"/>
        <s v="Kay Panabaker"/>
        <s v="Jay Laga'aia"/>
        <s v="Damien Garvey"/>
        <s v="Tiffany Lamb"/>
        <s v="Geoff Stults"/>
        <s v="Brett Cullen"/>
        <s v="Toby Hemingway"/>
        <s v="Vanessa Lengies"/>
        <s v="John Patrick Amedori"/>
        <s v="Jake Short"/>
        <s v="Samira Wiley"/>
        <s v="Tom Bower"/>
        <s v="Sheryl Lee"/>
        <s v="Pablo Sevilla"/>
        <s v="Janet Leigh"/>
        <s v="Vera Miles"/>
        <s v="John Gavin"/>
        <s v="Riki Lindhome"/>
        <s v="Billy Barty"/>
        <s v="John Wood"/>
        <s v="Leo McKern"/>
        <s v="Jan Hooks"/>
        <s v="Steve Guttenberg"/>
        <s v="Shengyi Huang"/>
        <s v="Chi Ling Chiu"/>
        <s v="Qiu Yuen"/>
        <s v="Mark Feuerstein"/>
        <s v="Sharon Lawrence"/>
        <s v="Mustafa Haidari"/>
        <s v="Khalid Abdalla"/>
        <s v="Tom Hollander"/>
        <s v="Kelly Carlson"/>
        <s v="Robert Miano"/>
        <s v="Zak Orth"/>
        <s v="Ronald Reagan"/>
        <s v="Bernie Sanders"/>
        <s v="Carroll Baker"/>
        <s v="Joe Cole"/>
        <s v="Lorna Raver"/>
        <s v="Joanne Whalley"/>
        <s v="Jacky Ido"/>
        <s v="Sam Lerner"/>
        <s v="James Callis"/>
        <s v="Tiffany Dupont"/>
        <s v="Nimrat Kaur"/>
        <s v="Dequina Moore"/>
        <s v="Jordan Carlos"/>
        <s v="Taylor Cole"/>
        <s v="Nick Gomez"/>
        <s v="Dustin Nguyen"/>
        <s v="Don Stark"/>
        <s v="Melonie Diaz"/>
        <s v="Christopher Guest"/>
        <s v="Sarah Solemani"/>
        <s v="Lynn Cohen"/>
        <s v="David Ramsey"/>
        <s v="Riccardo Scamarcio"/>
        <s v="James Russo"/>
        <s v="Jeff DeRocker"/>
        <s v="Edi Gathegi"/>
        <s v="Brendan Sexton III"/>
        <s v="Scott Baio"/>
        <s v="Vanessa Angel"/>
        <s v="Peter Wingfield"/>
        <s v="Susie Essman"/>
        <s v="Gigi Rice"/>
        <s v="Nia Vardalos"/>
        <s v="Sammy Davis Jr."/>
        <s v="Ricardo Montalban"/>
        <s v="Martin Dew"/>
        <s v="Katherine Waterston"/>
        <s v="Serena Scott Thomas"/>
        <s v="Chris Brown"/>
        <s v="Caity Lotz"/>
        <s v="Scott Wolf"/>
        <s v="Chriss Anglin"/>
        <s v="Geoffrey Arend"/>
        <s v="Gary Coleman"/>
        <s v="Marko Zaror"/>
        <s v="Jackie Burroughs"/>
        <s v="Kevin Alejandro"/>
        <s v="Lesley Manville"/>
        <s v="Catherine Lough Haggquist"/>
        <s v="Darren Shahlavi"/>
        <s v="Karin Konoval"/>
        <s v="Charlie Saxton"/>
        <s v="Ryan Donowho"/>
        <s v="Dylan Authors"/>
        <s v="Bill Lake"/>
        <s v="Victoria Learn"/>
        <s v="Tyrone Benskin"/>
        <s v="Nora Zehetner"/>
        <s v="Randy Jones"/>
        <s v="Caitlyn Jenner"/>
        <s v="Donny Boaz"/>
        <s v="Brent Anderson"/>
        <s v="Damon Wayans"/>
        <s v="Guang Li"/>
        <s v="Matthew Walker"/>
        <s v="Garrett Clayton"/>
        <s v="Toni Braxton"/>
        <s v="Melvil Poupaud"/>
        <s v="Rosalind Ayres"/>
        <s v="Jimmy Jean-Louis"/>
        <s v="Esai Morales"/>
        <s v="Yuqi Zhang"/>
        <s v="Chi Chung Lam"/>
        <s v="Christian Clavier"/>
        <s v="Philippe Nahon"/>
        <s v="Marie-Anne Chazel"/>
        <s v="Laura Spencer"/>
        <s v="Mark Webber"/>
        <s v="Peter Vaughan"/>
        <s v="George Coulouris"/>
        <s v="Ewen Solon"/>
        <s v="Tom Conti"/>
        <s v="Aaron Ashmore"/>
        <s v="Necar Zadegan"/>
        <s v="Traci Dinwiddie"/>
        <s v="Elea Oberon"/>
        <s v="Sammo Kam-Bo Hung"/>
        <s v="Andy On"/>
        <s v="Mani Bharathi"/>
        <s v="Michael Lieber"/>
        <s v="Kevin McGowan"/>
        <s v="Joey D. Vieira"/>
        <s v="Maggie Wheeler"/>
        <s v="Jacqueline Lovell"/>
        <s v="Alan David"/>
        <s v="Martina Gedeck"/>
        <s v="Michael Spears"/>
        <s v="Dan Byrd"/>
        <s v="W. Earl Brown"/>
        <s v="Scatman Crothers"/>
        <s v="Shelley Duvall"/>
        <s v="Joe Turkel"/>
        <s v="J.J. Cohen"/>
        <s v="Eric Mendenhall"/>
        <s v="Mary J. Blige"/>
        <s v="Hope Olaide Wilson"/>
        <s v="Kari J. Kramer"/>
        <s v="Erin O'Brien"/>
        <s v="Cabrina Collesides"/>
        <s v="Kelli Barrett"/>
        <s v="David Agranov"/>
        <s v="David Moscow"/>
        <s v="Mem Ferda"/>
        <s v="Nicole 'Snooki' Polizzi"/>
        <s v="Jenni 'Jwoww' Farley"/>
        <s v="Paul 'Pauly D' DelVecchio"/>
        <s v="Bunta Sugawara"/>
        <s v="Ryûnosuke Kamiki"/>
        <s v="Miyu Irino"/>
        <s v="Michael Wong"/>
        <s v="Terence Yin"/>
        <s v="Sophie Nélisse"/>
        <s v="Roger Allam"/>
        <s v="Katrina Bowden"/>
        <s v="Dominique McElligott"/>
        <s v="Mel Ferrer"/>
        <s v="Stephen Boyd"/>
        <s v="Dante Brown"/>
        <s v="Darci Kistler"/>
        <s v="Kyra Nichols"/>
        <s v="Margaret Tracey"/>
        <s v="Tracy Letts"/>
        <s v="Pedro Miguel Arce"/>
        <s v="Louis Koo"/>
        <s v="Angelica Lee"/>
        <s v="Ching Wan Lau"/>
        <s v="Carla Gallo"/>
        <s v="Amy Yasbeck"/>
        <s v="Luenell"/>
        <s v="Ken Davitian"/>
        <s v="Chester"/>
        <s v="Raquel Welch"/>
        <s v="Alanna Ubach"/>
        <s v="JR Bourne"/>
        <s v="Bree Turner"/>
        <s v="Paul Schneider"/>
        <s v="Sean Patrick Thomas"/>
        <s v="Louis Mandylor"/>
        <s v="Joey Fatone"/>
        <s v="Fran Kranz"/>
        <s v="Shane Black"/>
        <s v="Carl Weathers"/>
        <s v="Collins Pennie"/>
        <s v="Lindsay Duncan"/>
        <s v="Mario Monicelli"/>
        <s v="Melinda Clarke"/>
        <s v="Andrew Dice Clay"/>
        <s v="Christian Clemenson"/>
        <s v="David Alan Basche"/>
        <s v="Susan Blommaert"/>
        <s v="Christian Monzon"/>
        <s v="Hulk Hogan"/>
        <s v="Barry Bostwick"/>
        <s v="Nicollette Sheridan"/>
        <s v="Chris Brochu"/>
        <s v="Martin Balsam"/>
        <s v="Dan Bakkedahl"/>
        <s v="Olivia d'Abo"/>
        <s v="Grace Jones"/>
        <s v="Frank Vincent"/>
        <s v="Sasha Alexander"/>
        <s v="Nicholas Rowe"/>
        <s v="Roger Ashton-Griffiths"/>
        <s v="Freddie Jones"/>
        <s v="Susan May Pratt"/>
        <s v="Ethan Stiefel"/>
        <s v="Timothée Chalamet"/>
        <s v="Corbin Bleu"/>
        <s v="Kevin G. Schmidt"/>
        <s v="Marie Avgeropoulos"/>
        <s v="Richard Farnsworth"/>
        <s v="Michael Horse"/>
        <s v="Nancy Allen"/>
        <s v="Dennis Franz"/>
        <s v="John McMartin"/>
        <s v="Rebecca Budig"/>
        <s v="Paul Freeman"/>
        <s v="Bruce Payne"/>
        <s v="Frankie Valli"/>
        <s v="Shelley Long"/>
        <s v="Kellie Martin"/>
        <s v="Shaun Evans"/>
        <s v="Juliet Stevenson"/>
        <s v="David Margulies"/>
        <s v="Karen Young"/>
        <s v="Kim Chan"/>
        <s v="Ralph Richardson"/>
        <s v="Albert Salmi"/>
        <s v="David Masterson"/>
        <s v="Kerry Condon"/>
        <s v="Khulan Chuluun"/>
        <s v="Honglei Sun"/>
        <s v="Michael Beck"/>
        <s v="Henry Silva"/>
        <s v="Julie Christie"/>
        <s v="Suzie Steen"/>
        <s v="Aden Young"/>
        <s v="Paul Sparks"/>
        <s v="Sam Reid"/>
        <s v="Poppy Montgomery"/>
        <s v="Ulrich Tukur"/>
        <s v="Burghart Klaußner"/>
        <s v="Leonie Benesch"/>
        <s v="Anna Harr"/>
        <s v="James Cullen Bressack"/>
        <s v="Nick Cassavetes"/>
        <s v="James Hetfield"/>
        <s v="Mackenzie Gray"/>
        <s v="Lars Ulrich"/>
        <s v="Nora von Waldstätten"/>
        <s v="Katharina Schüttler"/>
        <s v="Takuya Kimura"/>
        <s v="Simón Andreu"/>
        <s v="Shawn Yue"/>
        <s v="Mark Moses"/>
        <s v="Greg Nicotero"/>
        <s v="John Amplas"/>
        <s v="Joseph Pilato"/>
        <s v="Kevork Malikyan"/>
        <s v="Brigitte Nielsen"/>
        <s v="Cassie Ventura"/>
        <s v="Mari Koda"/>
        <s v="Luis Rosado"/>
        <s v="Hakeem Kae-Kazim"/>
        <s v="Henry Ian Cusick"/>
        <s v="Vondie Curtis-Hall"/>
        <s v="Jessica Lowndes"/>
        <s v="Kirk Fox"/>
        <s v="Shawn Andrews"/>
        <s v="Rob Campbell"/>
        <s v="Elaine Cassidy"/>
        <s v="Eric Sykes"/>
        <s v="Carrie Henn"/>
        <s v="Jeremy Brett"/>
        <s v="Rex Harrison"/>
        <s v="Theodore Bikel"/>
        <s v="Patrick Gallagher"/>
        <s v="Chris Moss"/>
        <s v="Owain Yeoman"/>
        <s v="Jay Chandrasekhar"/>
        <s v="Betsy Russell"/>
        <s v="Chris Kattan"/>
        <s v="Erik Knudsen"/>
        <s v="Morgan Saylor"/>
        <s v="Valente Rodriguez"/>
        <s v="Diana Maria Riva"/>
        <s v="Shad Moss"/>
        <s v="Adam Boyer"/>
        <s v="Malika"/>
        <s v="Ben Platt"/>
        <s v="Megyn Price"/>
        <s v="Kevin Clash"/>
        <s v="Caroll Spinney"/>
        <s v="Ava Gardner"/>
        <s v="David Niven"/>
        <s v="John Ireland"/>
        <s v="Elizabeth Blackmore"/>
        <s v="Ellen Sandweiss"/>
        <s v="Harland Williams"/>
        <s v="Rachel Dratch"/>
        <s v="DeRay Davis"/>
        <s v="Clé Bennett"/>
        <s v="Conrad Coates"/>
        <s v="Clyde Kusatsu"/>
        <s v="Jake Wood"/>
        <s v="Tippi Hedren"/>
        <s v="Brenda Fricker"/>
        <s v="David Murray"/>
        <s v="Gerard McSorley"/>
        <s v="Carlos Bardem"/>
        <s v="Chris Andrew Ciulla"/>
        <s v="Mary Mouser"/>
        <s v="Jan-Michael Vincent"/>
        <s v="Paul Winfield"/>
        <s v="Julianna Guill"/>
        <s v="Rick Gomez"/>
        <s v="Tim Williams"/>
        <s v="Griffin Dunne"/>
        <s v="Matt Servitto"/>
        <s v="Tamara Tunie"/>
        <s v="Laurence Fox"/>
        <s v="Danny Strong"/>
        <s v="Samm Levine"/>
        <s v="Bruno Kirby"/>
        <s v="Gretchen Palmer"/>
        <s v="Harley Jane Kozak"/>
        <s v="Jack Warden"/>
        <s v="Ron Lester"/>
        <s v="Mark Walters"/>
        <s v="Rachel Brosnahan"/>
        <s v="Vincent Walsh"/>
        <s v="Finn Ireland"/>
        <s v="Ivana Baquero"/>
        <s v="Maribel Verdú"/>
        <s v="Sergi López"/>
        <s v="Jessika Van"/>
        <s v="Angell Conwell"/>
        <s v="Bolo Yeung"/>
        <s v="Alonna Shaw"/>
        <s v="Kamel Krifa"/>
        <s v="Joe Cornish"/>
        <s v="Gustaf Skarsgård"/>
        <s v="Tsianina Joelson"/>
        <s v="Marc Donato"/>
        <s v="Cynthia Stevenson"/>
        <s v="Tracey Walter"/>
        <s v="Don Pardo"/>
        <s v="Ruby Jerins"/>
        <s v="Alexandra Holden"/>
        <s v="Trent Ford"/>
        <s v="Brad William Henke"/>
        <s v="Farrah Fawcett"/>
        <s v="Karl Malden"/>
        <s v="Brian Keith"/>
        <s v="Shannon Tweed"/>
        <s v="Jon Polito"/>
        <s v="Robin Weigert"/>
        <s v="Angela Sarafyan"/>
        <s v="Lynn Redgrave"/>
        <s v="Tuppence Middleton"/>
        <s v="Michel Galabru"/>
        <s v="Jodie Whittaker"/>
        <s v="Paz de la Huerta"/>
        <s v="Emily Alyn Lind"/>
        <s v="Justin Kirk"/>
        <s v="Ivan Sergei"/>
        <s v="Tanya van Graan"/>
        <s v="Conrad Kemp"/>
        <s v="Steven Van Zandt"/>
        <s v="Trond Fausa"/>
        <s v="Tommy Karlsen"/>
        <s v="David Alpay"/>
        <s v="Marie-Josée Croze"/>
        <s v="Charles Aznavour"/>
        <s v="William Shockley"/>
        <s v="Carole Bouquet"/>
        <s v="Ryôko Hirosue"/>
        <s v="Michel Muller"/>
        <s v="Dustin Milligan"/>
        <s v="Adrian Pasdar"/>
        <s v="Chen Chang"/>
        <s v="Pei-Pei Cheng"/>
        <s v="Sihung Lung"/>
        <s v="Ara Celi"/>
        <s v="Hugh O'Brian"/>
        <s v="Bex Taylor-Klaus"/>
        <s v="Bobby Campo"/>
        <s v="Jason Wiles"/>
        <s v="Rae Dawn Chong"/>
        <s v="Nicole Dionne"/>
        <s v="Ji-won Ha"/>
        <s v="Kyung-gu Sol"/>
        <s v="Allen Leech"/>
        <s v="Levon Helm"/>
        <s v="Megan Charpentier"/>
        <s v="Isabelle Nélisse"/>
        <s v="Jackson Nicoll"/>
        <s v="Georgina Cates"/>
        <s v="Grasie Mercedes"/>
        <s v="Sylvia Syms"/>
        <s v="Glenn Shadix"/>
        <s v="Jessica Raine"/>
        <s v="Tessa Thompson"/>
        <s v="Lee Majors"/>
        <s v="Clayton Snyder"/>
        <s v="Adam Lamberg"/>
        <s v="Allison Tolman"/>
        <s v="Rae'Ven Kelly"/>
        <s v="Virginia Capers"/>
        <s v="Dororthy Thorton"/>
        <s v="JoAnna Garcia Swisher"/>
        <s v="William Petersen"/>
        <s v="Claude Rains"/>
        <s v="Martha MacIsaac"/>
        <s v="André the Giant"/>
        <s v="Russ Tamblyn"/>
        <s v="Kali Rocha"/>
        <s v="Jessie T. Usher"/>
        <s v="Ser'Darius Blain"/>
        <s v="Luke Benward"/>
        <s v="Mitchell Ryan"/>
        <s v="Kim Director"/>
        <s v="Erica Leerhsen"/>
        <s v="Kurt Loder"/>
        <s v="Rachel True"/>
        <s v="Brenda Strong"/>
        <s v="Sierra McCormick"/>
        <s v="Hutch Dano"/>
        <s v="Jason Spevack"/>
        <s v="Nicole Ari Parker"/>
        <s v="Nina Hartley"/>
        <s v="Joss Ackland"/>
        <s v="Danny Pino"/>
        <s v="Joey Lawrence"/>
        <s v="Firass Dirani"/>
        <s v="Cinda McCain"/>
        <s v="Angelo Anthony Pizza"/>
        <s v="Akie Kotabe"/>
        <s v="Jason Priestley"/>
        <s v="Geneviève Bujold"/>
        <s v="George C. Scott"/>
        <s v="Nina Hoss"/>
        <s v="Homayoun Ershadi"/>
        <s v="Yuri Lowenthal"/>
        <s v="Cam Clarke"/>
        <s v="Phil Vischer"/>
        <s v="The Edge"/>
        <s v="Larry Mullen Jr."/>
        <s v="Adrian Paul"/>
        <s v="Adam Copeland"/>
        <s v="Kevin Gage"/>
        <s v="Keith Allen"/>
        <s v="Sandra Nelson"/>
        <s v="Kyla Pratt"/>
        <s v="Shirley Douglas"/>
        <s v="Daniel Wu"/>
        <s v="Nicole de Boer"/>
        <s v="Chris Bruno"/>
        <s v="Khandi Alexander"/>
        <s v="Michael Michele"/>
        <s v="Dan Futterman"/>
        <s v="Marla Sokoloff"/>
        <s v="Estelle Parsons"/>
        <s v="Elizabeth Berrington"/>
        <s v="Anna Madeley"/>
        <s v="Eric Godon"/>
        <s v="Diahann Carroll"/>
        <s v="Conleth Hill"/>
        <s v="Guillermo Arriaga"/>
        <s v="Corbin Bernsen"/>
        <s v="Chris Geere"/>
        <s v="Anna Silk"/>
        <s v="Mac McDonald"/>
        <s v="Mike Muscat"/>
        <s v="Thomas Stroppel"/>
        <s v="Kalim Chandler"/>
        <s v="Amber Marie Bollinger"/>
        <s v="Brigitte Helm"/>
        <s v="Gustav Fröhlich"/>
        <s v="Rudolf Klein-Rogge"/>
        <s v="Dany Verissimo-Petit"/>
        <s v="Satoshi Tsumabuki"/>
        <s v="Konstantin Lavronenko"/>
        <s v="Vladimir Garin"/>
        <s v="Nataliya Vdovina"/>
        <s v="Nirut Sirichanya"/>
        <s v="Petchtai Wongkamlao"/>
        <s v="Sarunyu Wongkrachang"/>
        <s v="JJ Feild"/>
        <s v="Gina Bellman"/>
        <s v="Conrad Dunn"/>
        <s v="Aubrey Poo"/>
        <s v="Edward Fox"/>
        <s v="Gael Le Cornec"/>
        <s v="Hans Matheson"/>
        <s v="Lucy Gaskell"/>
        <s v="Steven Elder"/>
        <s v="Maximilian Dirr"/>
        <s v="Rodrigo De la Serna"/>
        <s v="Ferdinando Vetere"/>
        <s v="Yasuaki Kurata"/>
        <s v="Linus Roache"/>
        <s v="Arben Bajraktaraj"/>
        <s v="Sharon Leal"/>
        <s v="Bart Shatto"/>
        <s v="Jeremy Davies"/>
        <s v="Jean-Marc Barr"/>
        <s v="Anil Kapoor"/>
        <s v="Saurabh Shukla"/>
        <s v="Ayush Mahesh Khedekar"/>
        <s v="Lois Smith"/>
        <s v="Joe Flaherty"/>
        <s v="John Meillon"/>
        <s v="Chad Bishop"/>
        <s v="Malik Yoba"/>
        <s v="Jensen Ackles"/>
        <s v="Caroline Munro"/>
        <s v="Barbara Bach"/>
        <s v="Amy Bruni"/>
        <s v="Steve Gonsalves"/>
        <s v="Jason Hawes"/>
        <s v="Susan Hogan"/>
        <s v="Olivia Colman"/>
        <s v="Mike Nawrocki"/>
        <s v="Shelby Vischer"/>
        <s v="Maya Angelou"/>
        <s v="Roger Guenveur Smith"/>
        <s v="Gino Salvano"/>
        <s v="Allen Payne"/>
        <s v="Linda Blair"/>
        <s v="Lance Gross"/>
        <s v="Paolo Seganti"/>
        <s v="Bethany Joy Lenz"/>
        <s v="Eliza Coupe"/>
        <s v="Kane Hodder"/>
        <s v="Lexa Doig"/>
        <s v="China Chow"/>
        <s v="Osric Chau"/>
        <s v="Emmanuelle Seigner"/>
        <s v="Isaach De Bankolé"/>
        <s v="Jane Adams"/>
        <s v="Noam Jenkins"/>
        <s v="Tovah Feldshuh"/>
        <s v="Bonnie Henna"/>
        <s v="Melissa Sagemiller"/>
        <s v="Angela Featherstone"/>
        <s v="Candace Kroslak"/>
        <s v="Todd Boyce"/>
        <s v="Nigel Whitmey"/>
        <s v="Behrouz Vossoughi"/>
        <s v="Ruth Sheen"/>
        <s v="Karl Johnson"/>
        <s v="Sara Forestier"/>
        <s v="Edouard Baer"/>
        <s v="Ulrich Mühe"/>
        <s v="Woo-sung Jung"/>
        <s v="Kelly Lin"/>
        <s v="John Gallagher Jr."/>
        <s v="Diora Baird"/>
        <s v="Elisa Donovan"/>
        <s v="Krystyna Janda"/>
        <s v="Olaf Lubaszenko"/>
        <s v="Olgierd Lukaszewicz"/>
        <s v="Stephen Marcus"/>
        <s v="Amelia Warner"/>
        <s v="Jacek Koman"/>
        <s v="Marian Dziedziel"/>
        <s v="Jaroslaw Boberek"/>
        <s v="Bruno Ganz"/>
        <s v="Belén Rueda"/>
        <s v="Lola Dueñas"/>
        <s v="Tamar Novas"/>
        <s v="Paul Brannigan"/>
        <s v="Alison Chand"/>
        <s v="Stephanie Danielson"/>
        <s v="Sean Kingston"/>
        <s v="Boys II Men"/>
        <s v="Fredro Starr"/>
        <s v="Tuesday Knight"/>
        <s v="Rodney Eastman"/>
        <s v="Brooke Bundy"/>
        <s v="Brighton Sharbino"/>
        <s v="Patrick Wayne"/>
        <s v="Andrew Keegan"/>
        <s v="Gene Simmons"/>
        <s v="Sedona Legge"/>
        <s v="Antonio Sabato Jr."/>
        <s v="Charlotte Sullivan"/>
        <s v="Jenny Agutter"/>
        <s v="Greg Germann"/>
        <s v="Kate del Castillo"/>
        <s v="Henry Simmons"/>
        <s v="Elina Alminas"/>
        <s v="Sonoya Mizuno"/>
        <s v="Corey Johnson"/>
        <s v="Orson Bean"/>
        <s v="Teo Halm"/>
        <s v="Ella Wahlestedt"/>
        <s v="Jason Gray-Stanford"/>
        <s v="Rolando Molina"/>
        <s v="Yuki Matsuzaki"/>
        <s v="Kazunari Ninomiya"/>
        <s v="Shidô Nakamura"/>
        <s v="David Dencik"/>
        <s v="Lena Endre"/>
        <s v="Justin Chon"/>
        <s v="Josie Loren"/>
        <s v="Sarah Wright"/>
        <s v="Catalina Sandino Moreno"/>
        <s v="Kathryn Morris"/>
        <s v="Sarita Choudhury"/>
        <s v="Daniel Auteuil"/>
        <s v="Yves Jacques"/>
        <s v="Meghan Heffern"/>
        <s v="Natalie Lisinska"/>
        <s v="Paul Mazursky"/>
        <s v="Ezra Miller"/>
        <s v="Ian Gomez"/>
        <s v="Thomas Ian Griffith"/>
        <s v="John Boyega"/>
        <s v="Luke Treadaway"/>
        <s v="Jelena Jovanova"/>
        <s v="Nikola Djuricko"/>
        <s v="Branko Djuric"/>
        <s v="Tara Platt"/>
        <s v="Dean Dawson"/>
        <s v="Jung-jae Lee"/>
        <s v="Steve Irwin"/>
        <s v="Dameon Clarke"/>
        <s v="Louis Herthum"/>
        <s v="Annie Golden"/>
        <s v="Everett McGill"/>
        <s v="Gary Schwartz"/>
        <s v="Gabriel Millman"/>
        <s v="Rob Morrow"/>
        <s v="Hannah Murray"/>
        <s v="Jude Ciccolella"/>
        <s v="Julian Morris"/>
        <s v="Margo Harshman"/>
        <s v="Mary Astor"/>
        <s v="Ronald Colman"/>
        <s v="Richard Johnson"/>
        <s v="Sheila Hancock"/>
        <s v="Cara Horgan"/>
        <s v="Björk"/>
        <s v="Vincent Gallo"/>
        <s v="Christian Campbell"/>
        <s v="Gabriel Damon"/>
        <s v="Bill Erwin"/>
        <s v="Min-sik Choi"/>
        <s v="Bin Won"/>
        <s v="Lee J. Cobb"/>
        <s v="Robert Shaw"/>
        <s v="Lambert Wilson"/>
        <s v="Charlotte Lewis"/>
        <s v="Ally Sheedy"/>
        <s v="Alex Veadov"/>
        <s v="Jason Cottle"/>
        <s v="Rorke Denver"/>
        <s v="Josh Henderson"/>
        <s v="Sid Haig"/>
        <s v="Ashley Hinshaw"/>
        <s v="Amy Irving"/>
        <s v="Steven Hill"/>
        <s v="Britney Spears"/>
        <s v="Katherine Boecher"/>
        <s v="Dave Allen"/>
        <s v="Kirby Bliss Blanton"/>
        <s v="Oliver Cooper"/>
        <s v="Bill Hickman"/>
        <s v="Jerry Nelson"/>
        <s v="Lexie Contursi"/>
        <s v="Ashley Ashida Dixon"/>
        <s v="Anthony Burrell"/>
        <s v="Nat Wolff"/>
        <s v="Talia Shire"/>
        <s v="Richard Dysart"/>
        <s v="Robert Foxworth"/>
        <s v="Kathryn Erbe"/>
        <s v="Lusia Strus"/>
        <s v="Kelvin Taylor"/>
        <s v="Viva Bianca"/>
        <s v="Mare Winningham"/>
        <s v="Peter Hermann"/>
        <s v="Tammin Sursok"/>
        <s v="Joanna 'JoJo' Levesque"/>
        <s v="Dichen Lachman"/>
        <s v="Meg Crosbie"/>
        <s v="Lark Voorhies"/>
        <s v="Bill Irwin"/>
        <s v="John Colicos"/>
        <s v="Martin Semmelrogge"/>
        <s v="Herbert Grönemeyer"/>
        <s v="Tom Hughes"/>
        <s v="Zhengyong Zhang"/>
        <s v="Gary Weeks"/>
        <s v="Jonny Weston"/>
        <s v="Sofia Black-D'Elia"/>
        <s v="Veronika Dash"/>
        <s v="Tammy Blanchard"/>
        <s v="Sherman Hemsley"/>
        <s v="Aleksa Palladino"/>
        <s v="Greg Mottola"/>
        <s v="Jill Clayburgh"/>
        <s v="Kelly Clarkson"/>
        <s v="Brian Dietzen"/>
        <s v="Nick Damici"/>
        <s v="Susan Gardner"/>
        <s v="Samantha Ivers"/>
        <s v="Doona Bae"/>
        <s v="Ah-sung Ko"/>
        <s v="Paul Gleason"/>
        <s v="Toni Servillo"/>
        <s v="Sabrina Ferilli"/>
        <s v="Serena Grandi"/>
        <s v="Michael Harding"/>
        <s v="Jake Richardson"/>
        <s v="Mia Wasikowska"/>
        <s v="Harmony Korine"/>
        <s v="David Richmond-Peck"/>
        <s v="Erin Boyes"/>
        <s v="Timothy Webber"/>
        <s v="Eamonn Walker"/>
        <s v="Alicja Bachleda"/>
        <s v="James Shigeta"/>
        <s v="Andy Davoli"/>
        <s v="Marcell Nagy"/>
        <s v="Péter Fancsikai"/>
        <s v="Bálint Péntek"/>
        <s v="Ni Yan"/>
        <s v="Dahong Ni"/>
        <s v="Yuanyuan Gao"/>
        <s v="Ryu Kohata"/>
        <s v="Rebecca Black"/>
        <s v="Meisa Kuroki"/>
        <s v="Hiroyuki Ikeuchi"/>
        <s v="Kenneth Cranham"/>
        <s v="Ana Imnadze"/>
        <s v="Rachael Carpani"/>
        <s v="Michael Dorman"/>
        <s v="Emma Lung"/>
        <s v="Kelly LeBrock"/>
        <s v="Alexandra Callas"/>
        <s v="Connor Corum"/>
        <s v="Gary Daniels"/>
        <s v="Matt Marr"/>
        <s v="Ginger Jensen"/>
        <s v="Denise Crosby"/>
        <s v="Tatsuo Matsumura"/>
        <s v="Tetsu Watanabe"/>
        <s v="Akira Terao"/>
        <s v="Wei Tang"/>
        <s v="Hailu Qin"/>
        <s v="Harry Carey Jr."/>
        <s v="Zach Galligan"/>
        <s v="Peter Cushing"/>
        <s v="Jason Mantzoukas"/>
        <s v="Klaus Kinski"/>
        <s v="Wagner Moura"/>
        <s v="Selton Mello"/>
        <s v="Daniel Zettel"/>
        <s v="Jack McGee"/>
        <s v="Lane Smith"/>
        <s v="Zoe Ventoura"/>
        <s v="Christopher Sommers"/>
        <s v="John Enos III"/>
        <s v="Lauren German"/>
        <s v="Robert Prosky"/>
        <s v="Eric Mabius"/>
        <s v="Shawnee Smith"/>
        <s v="George Newbern"/>
        <s v="Sid Caesar"/>
        <s v="Alicia Keys"/>
        <s v="Peter Berg"/>
        <s v="Steven Bauer"/>
        <s v="Gabrielle Carteris"/>
        <s v="Louise Fletcher"/>
        <s v="Bud Cort"/>
        <s v="Fiona Glascott"/>
        <s v="Eva Birthistle"/>
        <s v="Hardy Krüger"/>
        <s v="Sheridan Smith"/>
        <s v="Pauline Collins"/>
        <s v="Patricia Tallman"/>
        <s v="Jim Rash"/>
        <s v="Kevin Tighe"/>
        <s v="Alan Van Sprang"/>
        <s v="Scott Handy"/>
        <s v="Jimi Mistry"/>
        <s v="Alex Karpovsky"/>
        <s v="Wayne Pygram"/>
        <s v="Lisa Pelikan"/>
        <s v="Samantha Eggar"/>
        <s v="Phyllida Law"/>
        <s v="David Kennedy"/>
        <s v="Angus Barnett"/>
        <s v="Geoff Bell"/>
        <s v="Scott Patterson"/>
        <s v="John Cassavetes"/>
        <s v="Britt Ekland"/>
        <s v="Lina Esco"/>
        <s v="Alix Freihage"/>
        <s v="John Howard"/>
        <s v="Deborra-Lee Furness"/>
        <s v="Max Cullen"/>
        <s v="Shah Rukh Khan"/>
        <s v="John Abraham"/>
        <s v="Preity Zinta"/>
        <s v="Tom Cullen"/>
        <s v="Francesc Pagès"/>
        <s v="Keir Dullea"/>
        <s v="Gary Lockwood"/>
        <s v="Glenn Beck"/>
        <s v="Dee Wallace"/>
        <s v="Raoul Max Trujillo"/>
        <s v="Kelli Williams"/>
        <s v="Antonia Thomas"/>
        <s v="Johnny Flynn"/>
        <s v="Hannah Britland"/>
        <s v="Arjun Rampal"/>
        <s v="Boman Irani"/>
        <s v="Riteish Deshmukh"/>
        <s v="Taylor Handley"/>
        <s v="Santiago Cabrera"/>
        <s v="Karin Viard"/>
        <s v="Eric Elmosnino"/>
        <s v="François Damiens"/>
        <s v="Glen Powell"/>
        <s v="Leigh Whannell"/>
        <s v="Clare Kramer"/>
        <s v="Richard Beymer"/>
        <s v="Eddie Albert"/>
        <s v="Ted Raimi"/>
        <s v="Frances Bay"/>
        <s v="Patricia Belcher"/>
        <s v="Al Leong"/>
        <s v="Ron Moody"/>
        <s v="Jack Wild"/>
        <s v="Andrew Lawrence"/>
        <s v="Dabney Coleman"/>
        <s v="Tina Turner"/>
        <s v="Angelo Rossitto"/>
        <s v="Vernon Wells"/>
        <s v="Stephanie Lemelin"/>
        <s v="Hayley Kiyoko"/>
        <s v="Vanity"/>
        <s v="Jeff Fahey"/>
        <s v="Austin O'Brien"/>
        <s v="Sal Lopez"/>
        <s v="Shiri Appleby"/>
        <s v="Tom Waits"/>
        <s v="Isiah Whitlock Jr."/>
        <s v="Herbert Lom"/>
        <s v="Laila Haley"/>
        <s v="Jaden Klein"/>
        <s v="Johnny Whitworth"/>
        <s v="Richard Lynch"/>
        <s v="Eddie Jones"/>
        <s v="Tina Desai"/>
        <s v="Ronald Pickup"/>
        <s v="Charlie Murphy"/>
        <s v="Steve Oedekerk"/>
        <s v="Simon Rhee"/>
        <s v="Jennifer Tung"/>
        <s v="Reba McEntire"/>
        <s v="Michael Gross"/>
        <s v="Lindy Booth"/>
        <s v="Byron Mann"/>
        <s v="Carlos Alazraqui"/>
        <s v="Harry Styles"/>
        <s v="Zayn Malik"/>
        <s v="Niall Horan"/>
        <s v="Chase Ellison"/>
        <s v="Chad Allen"/>
        <s v="Jack Guzman"/>
        <s v="Jasper Cole"/>
        <s v="Rob Huebel"/>
        <s v="Michaela Conlin"/>
        <s v="Tamara Taylor"/>
        <s v="Johanna Braddy"/>
        <s v="Lee Tergesen"/>
        <s v="Johannes Silberschneider"/>
        <s v="Clotilde Mollet"/>
        <s v="Carlo Cecchi"/>
        <s v="Iddo Goldberg"/>
        <s v="India de Beaufort"/>
        <s v="Jillian Estell"/>
        <s v="Toby Huss"/>
        <s v="François Chau"/>
        <s v="Evan Ross"/>
        <s v="Flavio Parenti"/>
        <s v="Waris Ahluwalia"/>
        <s v="Alba Rohrwacher"/>
        <s v="Lesley Ann Warren"/>
        <s v="Dennis Burkley"/>
        <s v="Tim DeKay"/>
        <s v="Gillian White"/>
        <s v="Eoin Macken"/>
        <s v="Stephanie Vogt"/>
        <s v="Gen Seto"/>
        <s v="Maria Dizzia"/>
        <s v="Dree Hemingway"/>
        <s v="Eddie 'Piolin' Sotelo"/>
        <s v="Robert Peters"/>
        <s v="Naseeruddin Shah"/>
        <s v="Rekha"/>
        <s v="Sharat Saxena"/>
        <s v="Scott A. Martin"/>
        <s v="Carol Sutton"/>
        <s v="Robert Pralgo"/>
        <s v="Norah Jones"/>
        <s v="Adriane Lenox"/>
        <s v="George DiCenzo"/>
        <s v="Sergej Trifunovic"/>
        <s v="Karen Mok"/>
        <s v="Cheryl Tiegs"/>
        <s v="Anna Vareschi"/>
        <s v="Michel Serrault"/>
        <s v="Numan Acar"/>
        <s v="Claire Foy"/>
        <s v="Haluk Bilginer"/>
        <s v="Aitana Sánchez-Gijón"/>
        <s v="Romane Bohringer"/>
        <s v="Lubna Azabal"/>
        <s v="Kip Pardue"/>
        <s v="Larry Fessenden"/>
        <s v="Danny Dyer"/>
        <s v="Laura Harris"/>
        <s v="Dulé Hill"/>
        <s v="Kerry Cahill"/>
        <s v="Lee Norris"/>
        <s v="Jorge Luis Moreno"/>
        <s v="Andrés Montiel"/>
        <s v="William Miller"/>
        <s v="Jared Gilman"/>
        <s v="Harvey Weinstein"/>
        <s v="Sandra Echeverría"/>
        <s v="Nicholas Hamilton"/>
        <s v="Reef Ireland"/>
        <s v="Sean Keenan"/>
        <s v="Glenn Plummer"/>
        <s v="Drew Fuller"/>
        <s v="Drew Waters"/>
        <s v="Leonor Watling"/>
        <s v="Danny Sapani"/>
        <s v="Damian Walshe-Howling"/>
        <s v="Gyton Grantley"/>
        <s v="Adrienne Pickering"/>
        <s v="Teryl Rothery"/>
        <s v="Craig Fairbrass"/>
        <s v="Adrian Holmes"/>
        <s v="Shane Pollard"/>
        <s v="Mishael Morgan"/>
        <s v="Chase Armitage"/>
        <s v="Michael McElhatton"/>
        <s v="Amanda Troop"/>
        <s v="Veronica Ferres"/>
        <s v="Charlotte Bøving"/>
        <s v="Sigríður María Egilsdóttir"/>
        <s v="Sendhil Ramamurthy"/>
        <s v="Shabana Azmi"/>
        <s v="Jesse Moss"/>
        <s v="John Light"/>
        <s v="Luke Perry"/>
        <s v="Dal-su Oh"/>
        <s v="Victor Rivers"/>
        <s v="Enrique Murciano"/>
        <s v="Akon"/>
        <s v="Burt Kwouk"/>
        <s v="Emmanuelle Riva"/>
        <s v="Jean-Louis Trintignant"/>
        <s v="Jesse Garcia"/>
        <s v="Spencer Tracy"/>
        <s v="Carmen Maura"/>
        <s v="Antonio de la Torre"/>
        <s v="John Vernon"/>
        <s v="Don Francks"/>
        <s v="Jizelle Jade"/>
        <s v="Michaela McManus"/>
        <s v="Luisa D'Oliveira"/>
        <s v="Bárbara Mori"/>
        <s v="Steven Michael Quezada"/>
        <s v="Luke Ford"/>
        <s v="Katrina Kaif"/>
        <s v="Vic Waghorn"/>
        <s v="Bolaji Badejo"/>
        <s v="Edwin Neal"/>
        <s v="Marilyn Burns"/>
        <s v="Rosalind Harris"/>
        <s v="Earl Cameron"/>
        <s v="Shanley Caswell"/>
        <s v="Parker Bagley"/>
        <s v="Alessandro Preziosi"/>
        <s v="Lunetta Savino"/>
        <s v="Jarrod Bunch"/>
        <s v="Catherine Hicks"/>
        <s v="Alex Vincent"/>
        <s v="Dinah Manoff"/>
        <s v="Tucker Albrizzi"/>
        <s v="Bill Clinton"/>
        <s v="Roberta Valderrama"/>
        <s v="Don Ameche"/>
        <s v="Denholm Elliott"/>
        <s v="Ralph Bellamy"/>
        <s v="Patrick Cranshaw"/>
        <s v="Danny Webb"/>
        <s v="Gbenga Akinnagbe"/>
        <s v="Kristin Lehman"/>
        <s v="Nicky Katt"/>
        <s v="Dylan Kussman"/>
        <s v="Chris Young"/>
        <s v="Ronn Moss"/>
        <s v="Katherine Kelly Lang"/>
        <s v="Hunter Tylo"/>
        <s v="John Carradine"/>
        <s v="Robert Urich"/>
        <s v="Carly Schroeder"/>
        <s v="Janet McTeer"/>
        <s v="Jung-min Hwang"/>
        <s v="Jun Kunimura"/>
        <s v="Woo-hee Chun"/>
        <s v="Heather Morris"/>
        <s v="Kevin McHale"/>
        <s v="Chatchai Plengpanich"/>
        <s v="Mai Charoenpura"/>
        <s v="Julie Engelbrecht"/>
        <s v="Lionel Abelanski"/>
        <s v="Gary McDonald"/>
        <s v="Q'orianka Kilcher"/>
        <s v="Jacqueline McKenzie"/>
        <s v="Vince Colosimo"/>
        <s v="Peter Callan"/>
        <s v="Lars Mikkelsen"/>
        <s v="Thure Lindhardt"/>
        <s v="Perrey Reeves"/>
        <s v="John Henshaw"/>
        <s v="Ronit Elkabetz"/>
        <s v="Émilie Dequenne"/>
        <s v="David Gulpilil"/>
        <s v="Steven Waddington"/>
        <s v="Harrison Gilbertson"/>
        <s v="Steve Le Marquand"/>
        <s v="Maïwenn"/>
        <s v="James Arnold Taylor"/>
        <s v="Celina Jade"/>
        <s v="Debrianna Mansini"/>
        <s v="Frederic Forrest"/>
        <s v="Alan Bates"/>
        <s v="David Hemmings"/>
        <s v="Milo O'Shea"/>
        <s v="Bjørn Sundquist"/>
        <s v="Louisa Milwood-Haigh"/>
        <s v="Stian Smestad"/>
        <s v="Molly Hagan"/>
        <s v="Max Beesley"/>
        <s v="Valarie Pettiford"/>
        <s v="Brad James"/>
        <s v="Yu-mi Jeong"/>
        <s v="Sung-kee Ahn"/>
        <s v="Samuel Roukin"/>
        <s v="Jimmy Shergill"/>
        <s v="Christopher B. Duncan"/>
        <s v="Robert Redford"/>
        <s v="Casey Siemaszko"/>
        <s v="Vanessa Martinez"/>
        <s v="Clive Standen"/>
        <s v="Padraic Delaney"/>
        <s v="Orla Fitzgerald"/>
        <s v="Martin Lucey"/>
        <s v="Ranbir Kapoor"/>
        <s v="Madhuri Dixit"/>
        <s v="Aditya Roy Kapoor"/>
        <s v="Peter Ustinov"/>
        <s v="Deborah Kerr"/>
        <s v="Robert Taylor"/>
        <s v="Necati Sasmaz"/>
        <s v="Bergüzar Korel"/>
        <s v="Ghassan Massoud"/>
        <s v="Jim Henson"/>
        <s v="James Huang"/>
        <s v="Lindsay Price"/>
        <s v="Eleanor Parker"/>
        <s v="Angela Cartwright"/>
        <s v="Nicholas Hammond"/>
        <s v="Howard Morris"/>
        <s v="Patrick Cronin"/>
        <s v="Steven Christopher Parker"/>
        <s v="Jill Talley"/>
        <s v="Frances Lee McCain"/>
        <s v="Noah Huntley"/>
        <s v="Megan Burns"/>
        <s v="David Schneider"/>
        <s v="Jennifer Freeman"/>
        <s v="Marques Houston"/>
        <s v="Steve Harvey"/>
        <s v="James Kyson"/>
        <s v="David Denman"/>
        <s v="Daisy Betts"/>
        <s v="Mackenzie Davis"/>
        <s v="Lola Glaudini"/>
        <s v="Josh Pais"/>
        <s v="Tina Gilton"/>
        <s v="Natalie Stephany Aguilar"/>
        <s v="Justin Hall"/>
        <s v="Telly Savalas"/>
        <s v="George Lazenby"/>
        <s v="Nick Wechsler"/>
        <s v="Jeff Marlow"/>
        <s v="Heather Langenkamp"/>
        <s v="Tracy Middendorf"/>
        <s v="Keri Lynn Pratt"/>
        <s v="Sean Michael Afable"/>
        <s v="Richard Howland"/>
        <s v="Sarain Boylan"/>
        <s v="Omar Metwally"/>
        <s v="Diego Velazquez"/>
        <s v="Christopher Nicholas Smith"/>
        <s v="Michaela Watkins"/>
        <s v="Fred Armisen"/>
        <s v="Samuel West"/>
        <s v="David Thewlis"/>
        <s v="Emmanuelle Béart"/>
        <s v="Vernee Watson"/>
        <s v="Kevin Rahm"/>
        <s v="Robbie Kay"/>
        <s v="Gina McKee"/>
        <s v="Laurel Holloman"/>
        <s v="Amy Locane"/>
        <s v="Marina Sirtis"/>
        <s v="Sean Lennon"/>
        <s v="Mick Lally"/>
        <s v="Evan McGuire"/>
        <s v="Karen Pittman"/>
        <s v="Mary Catherine Garrison"/>
        <s v="Tony Devon"/>
        <s v="Alexa Havins"/>
        <s v="Alexia Fast"/>
        <s v="Kesun Loder"/>
        <s v="Larry Drake"/>
        <s v="Chris Owen"/>
        <s v="Ian Tracey"/>
        <s v="Zen McGrath"/>
        <s v="William Shimell"/>
        <s v="Mitsuo Iwata"/>
        <s v="Takeshi Kusao"/>
        <s v="Tesshô Genda"/>
        <s v="Roy Dupuis"/>
        <s v="Julie LeBreton"/>
        <s v="Rachel Ann Mullins"/>
        <s v="Leehom Wang"/>
        <s v="Ruby Lin"/>
        <s v="Jack Kao"/>
        <s v="Darren Boyd"/>
        <s v="Mckenna Grace"/>
        <s v="Lucy Fry"/>
        <s v="Natalie Coughlin"/>
        <s v="Jean-Claude Lecas"/>
        <s v="Mark Wingett"/>
        <s v="Kacey Clarke"/>
        <s v="Anna Katarina"/>
        <s v="Scott Takeda"/>
        <s v="Helena Mattsson"/>
        <s v="Craig Sheffer"/>
        <s v="Jessica Tandy"/>
        <s v="Patti LuPone"/>
        <s v="Françoise Yip"/>
        <s v="Anita Mui"/>
        <s v="Garvin Cross"/>
        <s v="Reda Kateb"/>
        <s v="Ángela Molina"/>
        <s v="Todd Louiso"/>
        <s v="Stanislav Ianevski"/>
        <s v="Ellie Kendrick"/>
        <s v="Nastassja Kinski"/>
        <s v="Molly Parker"/>
        <s v="Richard Bull"/>
        <s v="Eric Johnson"/>
        <s v="Roschdy Zem"/>
        <s v="Natalie Mendoza"/>
        <s v="Nathin Butler"/>
        <s v="Razaaq Adoti"/>
        <s v="Saif Ali Khan"/>
        <s v="Mary Goggin"/>
        <s v="Vic Aviles"/>
        <s v="Danielle Darrieux"/>
        <s v="Max Riemelt"/>
        <s v="Elyas M'Barek"/>
        <s v="Jennifer Ulrich"/>
        <s v="Charles Baker"/>
        <s v="George Coe"/>
        <s v="Ayla Kell"/>
        <s v="Aki Aleong"/>
        <s v="Brahim Achabbakhe"/>
        <s v="Jill St. John"/>
        <s v="Cynthia Rhodes"/>
        <s v="Lee Ving"/>
        <s v="Ian Mune"/>
        <s v="Geneviève Lemon"/>
        <s v="Emma Caulfield"/>
        <s v="Angus Sampson"/>
        <s v="Clifton James"/>
        <s v="Cody Linley"/>
        <s v="Sakina Jaffrey"/>
        <s v="Paulina Gerzon"/>
        <s v="Michael J. Burg"/>
        <s v="Kwesi Ameyaw"/>
        <s v="Hervé Villechaize"/>
        <s v="MyAnna Buring"/>
        <s v="Shauna Macdonald"/>
        <s v="Craig Conway"/>
        <s v="Bob Costas"/>
        <s v="Allison Miller"/>
        <s v="Vanessa Ray"/>
        <s v="Mary Tyler Moore"/>
        <s v="Ken Foree"/>
        <s v="Rick Fox"/>
        <s v="Matthew McGrory"/>
        <s v="Erin Daniels"/>
        <s v="Bernard Fox"/>
        <s v="Elizabeth MacRae"/>
        <s v="Charles Aidman"/>
        <s v="Fred Melamed"/>
        <s v="Peter Breitmayer"/>
        <s v="Darryl Stephens"/>
        <s v="Teddy Sears"/>
        <s v="Irvin Kershner"/>
        <s v="Barbara Hershey"/>
        <s v="Jonathan Brandis"/>
        <s v="George Wendt"/>
        <s v="Anupam Kher"/>
        <s v="Roy Billing"/>
        <s v="Deborah Mailman"/>
        <s v="Lil' Wayne"/>
        <s v="Michael J. Pollard"/>
        <s v="Alastair Duncan"/>
        <s v="Nathaniel Lees"/>
        <s v="Miriama Smith"/>
        <s v="Randy Couture"/>
        <s v="Katie Aselton"/>
        <s v="Cheryl Ladd"/>
        <s v="Ashley Gerasimovich"/>
        <s v="Samantha Barks"/>
        <s v="Jennifer Butler"/>
        <s v="Rick Rossovich"/>
        <s v="Terence Hill"/>
        <s v="Jack O'Halloran"/>
        <s v="Valérie Lemercier"/>
        <s v="Nathalie Fay"/>
        <s v="Erin Wasson"/>
        <s v="Susie Abromeit"/>
        <s v="Derek Wayne Johnson"/>
        <s v="Richard Graham"/>
        <s v="Casey Affleck"/>
        <s v="Eleanor Bron"/>
        <s v="Leonid Yarmolnik"/>
        <s v="Yuriy Tsurilo"/>
        <s v="Valentin Golubenko"/>
        <s v="David Della Rocco"/>
        <s v="Bob Marley"/>
        <s v="Stephen Au"/>
        <s v="Erin Fitzgerald"/>
        <s v="Wendee Lee"/>
        <s v="Ivan Okhlobystin"/>
        <s v="Debi Derryberry"/>
        <s v="Kate Higgins"/>
        <s v="Cindy Robinson"/>
        <s v="Sydney Penny"/>
        <s v="Ben Browder"/>
        <s v="Olesya Rulin"/>
        <s v="Gordon Pinsent"/>
        <s v="Justin Edward Seale"/>
        <s v="John Ralston"/>
        <s v="Rex Baker"/>
        <s v="Travis Aaron Wade"/>
        <s v="Heike Makatsch"/>
        <s v="Johanna Wokalek"/>
        <s v="Maria Schrader"/>
        <s v="Jason Cerbone"/>
        <s v="Mark De Alessandro"/>
        <s v="Gil Bellows"/>
        <s v="Mélissa Désormeaux-Poulin"/>
        <s v="Ahmad Massad"/>
        <s v="Laura Morante"/>
        <s v="Silvio Muccino"/>
        <s v="Giulia Michelini"/>
        <s v="Fernanda Machado"/>
        <s v="André Ramiro"/>
        <s v="Annabelle Wallis"/>
        <s v="Gabriel Bateman"/>
        <s v="Magda Szubanski"/>
        <s v="Jessica Mauboy"/>
        <s v="John Cothran"/>
        <s v="Lloyd Avery II"/>
        <s v="Na'Blonka Durden"/>
        <s v="Rosanna DeSoto"/>
        <s v="Danielle von Zerneck"/>
        <s v="Rita Moreno"/>
        <s v="Len Cariou"/>
        <s v="Sandy Dennis"/>
        <s v="Marin Hinkle"/>
        <s v="Jake Cherry"/>
        <s v="David Wayne"/>
        <s v="Paula Kelly"/>
        <s v="Eric Christmas"/>
        <s v="Merab Ninidze"/>
        <s v="Juliane Köhler"/>
        <s v="Matthias Habich"/>
        <s v="Emily Podleski"/>
        <s v="Sara-Marie Maltha"/>
        <s v="Stellan Skarsgård"/>
        <s v="Florian Lukas"/>
        <s v="Chulpan Khamatova"/>
        <s v="Mark Bazeley"/>
        <s v="Maurice Roëves"/>
        <s v="Linnea Quigley"/>
        <s v="Clu Gulager"/>
        <s v="Beverly Randolph"/>
        <s v="Maria Pia Calzone"/>
        <s v="Fortunato Cerlino"/>
        <s v="Marco D'Amore"/>
        <s v="Olivia Newton-John"/>
        <s v="Osama bin Laden"/>
        <s v="Stevie Wonder"/>
        <s v="Ricky Martin"/>
        <s v="Katharine Ross"/>
        <s v="Ted Cassidy"/>
        <s v="Kenneth Mars"/>
        <s v="Ed Wynn"/>
        <s v="Glynis Johns"/>
        <s v="Elsa Lanchester"/>
        <s v="George Chakiris"/>
        <s v="Rodney Dangerfield"/>
        <s v="Lisa Wilcox"/>
        <s v="Kelly Jo Minter"/>
        <s v="Matthew Borlenghi"/>
        <s v="Erik Estrada"/>
        <s v="John D'Leo"/>
        <s v="Ajay Naidu"/>
        <s v="Lillian Gish"/>
        <s v="Jennifer Jones"/>
        <s v="Tom Atkins"/>
        <s v="Ossie Davis"/>
        <s v="Richard Norton"/>
        <s v="Rachel Blakely"/>
        <s v="John Lynch"/>
        <s v="David Alan Grier"/>
        <s v="Abby Mukiibi Nkaaga"/>
        <s v="Tamara Glynn"/>
        <s v="Brandon Smith"/>
        <s v="Rick Dial"/>
        <s v="Daryl Hannah"/>
        <s v="Amy Madigan"/>
        <s v="Luis E. Carazo"/>
        <s v="Dominik García-Lorido"/>
        <s v="Wale Ojo"/>
        <s v="Annette Badland"/>
        <s v="Hugh M. Hefner"/>
        <s v="Windell Middlebrooks"/>
        <s v="Raquel Alessi"/>
        <s v="Lawrence Gilliard Jr."/>
        <s v="Jason Dohring"/>
        <s v="John Cameron Mitchell"/>
        <s v="Miriam Shor"/>
        <s v="Ryan Bollman"/>
        <s v="Todd Susman"/>
        <s v="Rachel Alig"/>
        <s v="Monda Scott"/>
        <s v="Alexis Kendra"/>
        <s v="Lynne Thigpen"/>
        <s v="Polly Noonan"/>
        <s v="Frederick Weller"/>
        <s v="William Holden"/>
        <s v="Warren Oates"/>
        <s v="L.Q. Jones"/>
        <s v="Lesley-Anne Down"/>
        <s v="Michael Elphick"/>
        <s v="Pamela Salem"/>
        <s v="Bryan Dick"/>
        <s v="Paul Popplewell"/>
        <s v="Michael Berryman"/>
        <s v="Marc Singer"/>
        <s v="Kendrick Cross"/>
        <s v="Sammy Nagi Njuguna"/>
        <s v="Nathalie Baye"/>
        <s v="Mélanie Doutey"/>
        <s v="Cara Seymour"/>
        <s v="Ji-hyun Jun"/>
        <s v="Diane Ladd"/>
        <s v="Ritchie Montgomery"/>
        <s v="Peter McNamara"/>
        <s v="Noam Chomsky"/>
        <s v="Pat Buchanan"/>
        <s v="Bill Baird"/>
        <s v="Catherine Bell"/>
        <s v="Robert Wahlberg"/>
        <s v="John Bell"/>
        <s v="Sean Cook"/>
        <s v="Blake Ritson"/>
        <s v="Debbie Harry"/>
        <s v="Leslie Carlson"/>
        <s v="Reiner Schwarz"/>
        <s v="Shawn Parsons"/>
        <s v="Li Jun Li"/>
        <s v="Yorick van Wageningen"/>
        <s v="Tygo Gernandt"/>
        <s v="Martijn Lakemeier"/>
        <s v="Paul Scofield"/>
        <s v="Michel Simon"/>
        <s v="Trieu Tran"/>
        <s v="Nathan Jones"/>
        <s v="Johnny Nguyen"/>
        <s v="Simon Bird"/>
        <s v="Belinda Stewart-Wilson"/>
        <s v="James Buckley"/>
        <s v="Parminder Nagra"/>
        <s v="Edie Falco"/>
        <s v="Wesley Jonathan"/>
        <s v="Wayne Brady"/>
        <s v="Eva Marcille"/>
        <s v="Asin"/>
        <s v="Mithun Chakraborty"/>
        <s v="Johnny Lever"/>
        <s v="Jonathan D. Mellor"/>
        <s v="Pablo Rosso"/>
        <s v="Andrea Ros"/>
        <s v="Kayla Jackson"/>
        <s v="Alexis Biesiada"/>
        <s v="Kayla Raparelli"/>
        <s v="Nicholas Bell"/>
        <s v="Tony Danza"/>
        <s v="John Hillerman"/>
        <s v="Stephen Macht"/>
        <s v="Avery Schreiber"/>
        <s v="Jean-Baptiste Maunier"/>
        <s v="François Berléand"/>
        <s v="Gérard Jugnot"/>
        <s v="Luke Kirby"/>
        <s v="Claudia Ferri"/>
        <s v="Franky G"/>
        <s v="Danny Aiello"/>
        <s v="Jean-Pierre Léaud"/>
        <s v="Kati Outinen"/>
        <s v="Jean-Pierre Darroussin"/>
        <s v="Jo Prestia"/>
        <s v="Lindsay Kay Hayward"/>
        <s v="Hitoshi Matsumoto"/>
        <s v="Shinobu Terajima"/>
        <s v="Madhavan"/>
        <s v="David Dastmalchian"/>
        <s v="Cree Kelly"/>
        <s v="Mike Eshaq"/>
        <s v="Ron Silver"/>
        <s v="Shane Meadows"/>
        <s v="Aksel Hennie"/>
        <s v="Synnøve Macody Lund"/>
        <s v="Julie R. Ølgaard"/>
        <s v="Adam Butcher"/>
        <s v="Jessica Chastain"/>
        <s v="Colin Farrell"/>
        <s v="Teresa Wright"/>
        <s v="George Voskovec"/>
        <s v="Abhishek Bachchan"/>
        <s v="Prateik"/>
        <s v="Sumalee Montano"/>
        <s v="Amiah Miller"/>
        <s v="Sprague Grayden"/>
        <s v="Shelley Hennig"/>
        <s v="Daren Kagasoff"/>
        <s v="John Saxon"/>
        <s v="Jennifer Rubin"/>
        <s v="Eugenio Derbez"/>
        <s v="Jessica Lindsey"/>
        <s v="Hugo Stiglitz"/>
        <s v="Matt Shively"/>
        <s v="Brendon Eggertsen"/>
        <s v="Alisha Boe"/>
        <s v="Victor Mature"/>
        <s v="Catherine Schell"/>
        <s v="Robert J. Wilke"/>
        <s v="Paul Lukas"/>
        <s v="Richard Cabral"/>
        <s v="Gloria Sandoval"/>
        <s v="Molly Ephraim"/>
        <s v="Jorja Fox"/>
        <s v="James Lafferty"/>
        <s v="Garrett Ryan"/>
        <s v="Brian O'Halloran"/>
        <s v="Jamie Draven"/>
        <s v="William Schallert"/>
        <s v="Helen Martin"/>
        <s v="Tony Bonner"/>
        <s v="Tom Burlinson"/>
        <s v="Constance Shulman"/>
        <s v="Alice Playten"/>
        <s v="John Beasley"/>
        <s v="June Carter Cash"/>
        <s v="Diana Scarwid"/>
        <s v="Monica Calhoun"/>
        <s v="Chrystale Wilson"/>
        <s v="Edwin Hodge"/>
        <s v="Perdita Weeks"/>
        <s v="Cameron Mills"/>
        <s v="Gene Tierney"/>
        <s v="Lindsay Wagner"/>
        <s v="Persis Khambatta"/>
        <s v="Peter Mark Richman"/>
        <s v="Scott Reeves"/>
        <s v="Rachel Korine"/>
        <s v="Kim Darby"/>
        <s v="Daniel Giménez Cacho"/>
        <s v="María Aura"/>
        <s v="Peter Serafinowicz"/>
        <s v="Randy Wayne"/>
        <s v="Miriam Colon"/>
        <s v="Kathleen Kinmont"/>
        <s v="Ellie Cornell"/>
        <s v="Deborah Foreman"/>
        <s v="Clayton Rohner"/>
        <s v="William Sanderson"/>
        <s v="Robert Beltran"/>
        <s v="Ryan Robbins"/>
        <s v="Andrew Airlie"/>
        <s v="Sterling Jerins"/>
        <s v="Claire Geare"/>
        <s v="Sahajak Boonthanakit"/>
        <s v="Vanna Bonta"/>
        <s v="Gina Lollobrigida"/>
        <s v="George Sanders"/>
        <s v="Finlay Currie"/>
        <s v="Gary Cooper"/>
        <s v="Helen Hayes"/>
        <s v="Adolphe Menjou"/>
        <s v="Lauren London"/>
        <s v="Lara Jill Miller"/>
        <s v="Colleen O'Shaughnessey"/>
        <s v="Mona Marshall"/>
        <s v="Stéphane Rousseau"/>
        <s v="Marina Hands"/>
        <s v="Nicol Williamson"/>
        <s v="Michael Richards"/>
        <s v="Shirley Jones"/>
        <s v="Jessica Walter"/>
        <s v="Claudia Cardinale"/>
        <s v="Woody Strode"/>
        <s v="Jack Elam"/>
        <s v="Jonathan Silverman"/>
        <s v="Matt Berry"/>
        <s v="Norbert Ferrer"/>
        <s v="Guillaume Denaiffe"/>
        <s v="Chloe Hollings"/>
        <s v="Simon Baker"/>
        <s v="Olivier Rabourdin"/>
        <s v="Cassandra Peterson"/>
        <s v="Tim Thomerson"/>
        <s v="Bess Armstrong"/>
        <s v="Liz Mullane"/>
        <s v="Bobby Batson"/>
        <s v="Cynthia Barrett"/>
        <s v="Marilyn Manson"/>
        <s v="Tim Russ"/>
        <s v="Winter Ave Zoli"/>
        <s v="Kristoffer Polaha"/>
        <s v="Darryl Cox"/>
        <s v="Lumi Cavazos"/>
        <s v="Akshaye Khanna"/>
        <s v="Bhoomika Chawla"/>
        <s v="Darshan Jariwala"/>
        <s v="Jeffrey Frost"/>
        <s v="Megan Ambuhl Graner"/>
        <s v="Ken Davis"/>
        <s v="Raymond Burr"/>
        <s v="Don Gordon"/>
        <s v="Jim Byrnes"/>
        <s v="Judith Anderson"/>
        <s v="Paul Fix"/>
        <s v="Laraine Day"/>
        <s v="Sara Gilbert"/>
        <s v="Meghan Ory"/>
        <s v="Marc Trottier"/>
        <s v="Corey Sevier"/>
        <s v="Ocean James"/>
        <s v="Patch Darragh"/>
        <s v="Olivia DeJonge"/>
        <s v="Mike Figueroa"/>
        <s v="Daniel Stewart Sherman"/>
        <s v="Kel O'Neill"/>
        <s v="Alice Evans"/>
        <s v="Glenn Campbell"/>
        <s v="Sandra Staggs"/>
        <s v="Jelena Nik"/>
        <s v="Luis Tosar"/>
        <s v="Tony Corvillo"/>
        <s v="Marta Etura"/>
        <s v="Doug Bradley"/>
        <s v="Georgia Groome"/>
        <s v="John Stamos"/>
        <s v="Patricia Neal"/>
        <s v="Katie Leclerc"/>
        <s v="Timothy Omundson"/>
        <s v="David Adam Flannery"/>
        <s v="Cyndi Lauper"/>
        <s v="Irène Jacob"/>
        <s v="Tomiwa Edun"/>
        <s v="Lisa Kay"/>
        <s v="David Huddleston"/>
        <s v="David Raizor"/>
        <s v="Cody Howard"/>
        <s v="Mikal Vega"/>
        <s v="Michael Dudikoff"/>
        <s v="Ed Quinn"/>
        <s v="Julia Jentsch"/>
        <s v="Ivan Barnev"/>
        <s v="Milan Lasica"/>
        <s v="Birol Ünel"/>
        <s v="Joseph Mawle"/>
        <s v="Takashi Miike"/>
        <s v="Robert Longstreet"/>
        <s v="Katherine Helmond"/>
        <s v="Bill Johnson"/>
        <s v="Lou Perryman"/>
        <s v="Jim Siedow"/>
        <s v="Bob Dylan"/>
        <s v="Yayaying Rhatha Phongam"/>
        <s v="Isild Le Besco"/>
        <s v="Emmanuelle Bercot"/>
        <s v="Bhama"/>
        <s v="Diganth"/>
        <s v="Dileep Raj"/>
        <s v="Jack McElhone"/>
        <s v="Keith Carradine"/>
        <s v="Jacques Gamblin"/>
        <s v="Zinedine Soualem"/>
        <s v="Kim Ly"/>
        <s v="William Kircher"/>
        <s v="Matthew Sunderland"/>
        <s v="Paul Glover"/>
        <s v="Bubba Smith"/>
        <s v="Christopher Atkins"/>
        <s v="James Fleet"/>
        <s v="Royal Dano"/>
        <s v="Richard Basehart"/>
        <s v="James Robertson Justice"/>
        <s v="Indiana Evans"/>
        <s v="Kevin Michael Richardson"/>
        <s v="Peter Spellos"/>
        <s v="Louise Lasser"/>
        <s v="Dana Andrews"/>
        <s v="Jeanne Crain"/>
        <s v="Frank McHugh"/>
        <s v="Mía Maestro"/>
        <s v="Juan Luis Galiardo"/>
        <s v="Miguel Ángel Solá"/>
        <s v="Juan Fernández"/>
        <s v="Alex Kendrick"/>
        <s v="Sarah Drew"/>
        <s v="James Duval"/>
        <s v="Jaime Camil"/>
        <s v="Gerardo Taracena"/>
        <s v="Joaquín Cosio"/>
        <s v="Jan Decleir"/>
        <s v="Fedja van Huêt"/>
        <s v="Hans Kesting"/>
        <s v="Rich Pecci"/>
        <s v="Yeong-ae Lee"/>
        <s v="Hye-jeong Kang"/>
        <s v="Nicolas Giraud"/>
        <s v="Clovis Fouin"/>
        <s v="Marie Féret"/>
        <s v="Artyom Bogucharskiy"/>
        <s v="Lyubov Agapova"/>
        <s v="Sana Saeed"/>
        <s v="Dimple Kapadia"/>
        <s v="Katherine McNamara"/>
        <s v="Dove Cameron"/>
        <s v="Braeden Lemasters"/>
        <s v="Sameer Ali Khan"/>
        <s v="Purab Kohli"/>
        <s v="Jonathan Crombie"/>
        <s v="Megan Follows"/>
        <s v="Michael J. Morris"/>
        <s v="Lateef Crowder"/>
        <s v="James Fox"/>
        <s v="Amanda Redman"/>
        <s v="Fabian Bolin"/>
        <s v="Matias Varela"/>
        <s v="Rawiri Paratene"/>
        <s v="Tammy Davis"/>
        <s v="Vidya Balan"/>
        <s v="Paresh Rawal"/>
        <s v="Yangzom Brauen"/>
        <s v="Claude-Oliver Rudolph"/>
        <s v="Anna Katharina Schwabroh"/>
        <s v="Aleksey Chadov"/>
        <s v="Zhanna Friske"/>
        <s v="Art Hindle"/>
        <s v="Susan Clark"/>
        <s v="Tony Ganios"/>
        <s v="Kathleen Munroe"/>
        <s v="Judith O'Dea"/>
        <s v="Duane Jones"/>
        <s v="S. William Hinzman"/>
        <s v="Catherine Lambert"/>
        <s v="Gloria Grahame"/>
        <s v="Dorothy Lamour"/>
        <s v="Cornel Wilde"/>
        <s v="Marcus Lyle Brown"/>
        <s v="David A Cole"/>
        <s v="Harold Gould"/>
        <s v="Adam Hicks"/>
        <s v="Katy Jurado"/>
        <s v="Sidney James"/>
        <s v="Meg Foster"/>
        <s v="George 'Buck' Flower"/>
        <s v="Gordon Jackson"/>
        <s v="Marlee Matlin"/>
        <s v="Armin Shimerman"/>
        <s v="Ashley Bell"/>
        <s v="Ellar Coltrane"/>
        <s v="Lorelei Linklater"/>
        <s v="Libby Villari"/>
        <s v="Dr. Dre"/>
        <s v="DJ Pooh"/>
        <s v="Montgomery Clift"/>
        <s v="Kevin McCarthy"/>
        <s v="Thelma Ritter"/>
        <s v="William Hickey"/>
        <s v="Peter Appel"/>
        <s v="Fernando Cayo"/>
        <s v="Ashley Rickards"/>
        <s v="Gabriel Iglesias"/>
        <s v="Philippe Noiret"/>
        <s v="Amy Hill"/>
        <s v="Alan Taylor"/>
        <s v="Benjamin Fletcher"/>
        <s v="Aaron Hughes"/>
        <s v="Anna Gunn"/>
        <s v="Stephanie Leonidas"/>
        <s v="Rob Brydon"/>
        <s v="Collin Alfredo St. Dic"/>
        <s v="Balinese Tari Legong Dancers"/>
        <s v="Puti Sri Candra Dewi"/>
        <s v="Eva LaRue"/>
        <s v="Elena Satine"/>
        <s v="Leos Carax"/>
        <s v="Ronnie Gene Blevins"/>
        <s v="Hal Landon Jr."/>
        <s v="Kathleen Robertson"/>
        <s v="Beth Broderick"/>
        <s v="Hector Kotsifakis"/>
        <s v="Adriana Barraza"/>
        <s v="Arcelia Ramírez"/>
        <s v="Jordan Trovillion"/>
        <s v="Zoe Levin"/>
        <s v="Rachel Griffiths"/>
        <s v="Alan Williams"/>
        <s v="Rob Jarvis"/>
        <s v="Danny Arroyo"/>
        <s v="Enrique Villén"/>
        <s v="Aida Folch"/>
        <s v="Connor Paolo"/>
        <s v="Michael Cerveris"/>
        <s v="Doug Brochu"/>
        <s v="Tiffany Thornton"/>
        <s v="Brandon Mychal Smith"/>
        <s v="Jesuíta Barbosa"/>
        <s v="Angelo Tsarouchas"/>
        <s v="Elena Lyadova"/>
        <s v="Eugenia Khirivskaya"/>
        <s v="Howard Caine"/>
        <s v="Saad Siddiqui"/>
        <s v="Bonnie Lee Bouman"/>
        <s v="Fadia Nadda"/>
        <s v="Jean Harlow"/>
        <s v="Marian Marsh"/>
        <s v="James Hall"/>
        <s v="Peter Jacobson"/>
        <s v="Shannon Woodward"/>
        <s v="Kira McLean"/>
        <s v="Robin McLeavy"/>
        <s v="Jessica McNamee"/>
        <s v="Victoria Thaine"/>
        <s v="Kristen Quintrall"/>
        <s v="Rachel Sterling"/>
        <s v="Black Thomas"/>
        <s v="Brooke D'Orsay"/>
        <s v="Rachel Hendrix"/>
        <s v="Diana Vickers"/>
        <s v="Susannah York"/>
        <s v="Hattie McDaniel"/>
        <s v="George Reeves"/>
        <s v="Thomas Mitchell"/>
        <s v="Marama Corlett"/>
        <s v="Slim Pickens"/>
        <s v="Keenan Wynn"/>
        <s v="Howard Keel"/>
        <s v="Betty Hutton"/>
        <s v="Alex Macqueen"/>
        <s v="Fernanda Montenegro"/>
        <s v="Seu Jorge"/>
        <s v="Fernanda Torres"/>
        <s v="Gladys Cooper"/>
        <s v="Reginald Owen"/>
        <s v="Ellen Ross"/>
        <s v="Alice Olivia Clarke"/>
        <s v="Jamie Farr"/>
        <s v="Mike Farrell"/>
        <s v="Brenda Vaccaro"/>
        <s v="Barnard Hughes"/>
        <s v="John McGiver"/>
        <s v="Lesley Sharp"/>
        <s v="Peter Graves"/>
        <s v="Lloyd Bridges"/>
        <s v="Barbara Billingsley"/>
        <s v="Jon Osbeck"/>
        <s v="Ta'Rhonda Jones"/>
        <s v="John Forsythe"/>
        <s v="Will Geer"/>
        <s v="Colleen Dewhurst"/>
        <s v="Peter Finch"/>
        <s v="Beatrice Straight"/>
        <s v="Bernard Cribbins"/>
        <s v="Clive Swift"/>
        <s v="Kate Dickie"/>
        <s v="Joe Estevez"/>
        <s v="Master P"/>
        <s v="Anthony Johnson"/>
        <s v="Michael McGlone"/>
        <s v="Ricardo Darín"/>
        <s v="Soledad Villamil"/>
        <s v="Guillermo Francella"/>
        <s v="Gideon Emery"/>
        <s v="Gloria Votsis"/>
        <s v="Derek Magyar"/>
        <s v="Dan Hicks"/>
        <s v="Kassie Wesley DePaiva"/>
        <s v="Cassandra Scerbo"/>
        <s v="Elpidia Carrillo"/>
        <s v="Zaide Silvia Gutiérrez"/>
        <s v="Damián Delgado"/>
        <s v="Otto Jespersen"/>
        <s v="Johanna Mørck"/>
        <s v="Glenn Erland Tosterud"/>
        <s v="Mykel Shannon Jenkins"/>
        <s v="Lara Jean Chorostecki"/>
        <s v="Blaine Anderson"/>
        <s v="Robert Townsend"/>
        <s v="Ash Cook"/>
        <s v="Genevieve O'Reilly"/>
        <s v="Grey Griffin"/>
        <s v="Jane Goodall"/>
        <s v="Jerry Brown"/>
        <s v="Peter Agnefjall"/>
        <s v="Shelly Varod"/>
        <s v="Ralitsa Paskaleva"/>
        <s v="Joe Egan"/>
        <s v="Glen Murphy"/>
        <s v="Sofie Gråbøl"/>
        <s v="Murray Bartlett"/>
        <s v="Adrian Gonzalez"/>
        <s v="Edward Conna"/>
        <s v="Alexandre Rodrigues"/>
        <s v="John Simm"/>
        <s v="Rus Blackwell"/>
        <s v="Luis Antonio"/>
        <s v="Thomas Bo Larsen"/>
        <s v="Alexandra Rapaport"/>
        <s v="Hana Shuan"/>
        <s v="Darren McGavin"/>
        <s v="Scott Schwartz"/>
        <s v="Perry King"/>
        <s v="Timothy Van Patten"/>
        <s v="François Bégaudeau"/>
        <s v="Agame Malembo-Emene"/>
        <s v="Angélica Sancio"/>
        <s v="Charles Grodin"/>
        <s v="Terry Walters"/>
        <s v="Wilson Guerrero"/>
        <s v="Yenny Paola Vega"/>
        <s v="Mary Page Keller"/>
        <s v="Honor Blackman"/>
        <s v="Gert Fröbe"/>
        <s v="Caleb Landry Jones"/>
        <s v="Donna Reed"/>
        <s v="Lionel Barrymore"/>
        <s v="Micah Sloat"/>
        <s v="Daoming Chen"/>
        <s v="Robert Rusler"/>
        <s v="Adelaide Kane"/>
        <s v="Danielle Kotch"/>
        <s v="Victoria Leigh"/>
        <s v="Mikki Padilla"/>
        <s v="Dayna Devon"/>
        <s v="Burl Ives"/>
        <s v="Jack Carson"/>
        <s v="Linda Harrison"/>
        <s v="Gregory Sierra"/>
        <s v="Victor Buono"/>
        <s v="Veronica Taylor"/>
        <s v="Eric Stuart"/>
        <s v="Lisa Ortiz"/>
        <s v="Ron Palillo"/>
        <s v="Vincent Guastaferro"/>
        <s v="Sessue Hayakawa"/>
        <s v="Tonya Lee Williams"/>
        <s v="Fred MacMurray"/>
        <s v="David White"/>
        <s v="Leslie Jordan"/>
        <s v="Erin Gray"/>
        <s v="Tamara Toumanova"/>
        <s v="Lila Kedrova"/>
        <s v="David Opatoshu"/>
        <s v="Lauryn Hill"/>
        <s v="LisaGay Hamilton"/>
        <s v="Bobby Brown"/>
        <s v="Edward Andrews"/>
        <s v="Deon Richmond"/>
        <s v="Countess Vaughn"/>
        <s v="Matthew Senreich"/>
        <s v="Seth Green"/>
        <s v="Breckin Meyer"/>
        <s v="Walter Brennan"/>
        <s v="Joyful Drake"/>
        <s v="Seamus Davey-Fitzpatrick"/>
        <s v="Ariane Labed"/>
        <s v="Athina Rachel Tsangari"/>
        <s v="John Astin"/>
        <s v="Robert Neary"/>
        <s v="Angus Scrimm"/>
        <s v="A. Michael Baldwin"/>
        <s v="James Le Gros"/>
        <s v="Clifton Powell"/>
        <s v="Jessica De Gouw"/>
        <s v="Lisa Ray"/>
        <s v="Seema Biswas"/>
        <s v="Callie Thorne"/>
        <s v="David Heyman"/>
        <s v="Ann Morgan Guilbert"/>
        <s v="Peter Ostrum"/>
        <s v="Jack Albertson"/>
        <s v="Julie Dawn Cole"/>
        <s v="Paula Marshall"/>
        <s v="George Hamilton"/>
        <s v="Stuart Margolin"/>
        <s v="Richard Libertini"/>
        <s v="Jeff Conaway"/>
        <s v="Courtney Love"/>
        <s v="Grace Gummer"/>
        <s v="Nambitha Mpumlwana"/>
        <s v="Rapulana Seiphemo"/>
        <s v="Joe Howard"/>
        <s v="Robert Noble"/>
        <s v="Ji-tae Yu"/>
        <s v="Robyn Lively"/>
        <s v="Michael Bolten"/>
        <s v="Christopher Schmidt"/>
        <s v="Robb Wells"/>
        <s v="Molly Dunsworth"/>
        <s v="Erick Elias"/>
        <s v="Brianna Brown"/>
        <s v="Jason Maza"/>
        <s v="Andrew Rannells"/>
        <s v="Megan Hilty"/>
        <s v="Lindsey Haun"/>
        <s v="Bob Ross"/>
        <s v="Susan Hampshire"/>
        <s v="Amanda Mealing"/>
        <s v="Tim Healy"/>
        <s v="Kostja Ullmann"/>
        <s v="Robert Stadlober"/>
        <s v="Johnny Pacar"/>
        <s v="Matt Cohen"/>
        <s v="Noah Segan"/>
        <s v="Peter Onorati"/>
        <s v="Jim Norton"/>
        <s v="Neil Hopkins"/>
        <s v="Darren Keefe Reiher"/>
        <s v="David Douglas"/>
        <s v="Kristi Clainos"/>
        <s v="Emily Nelson"/>
        <s v="French Stewart"/>
        <s v="Ashley Martin"/>
        <s v="Olivia Alexander"/>
        <s v="Alex Meraz"/>
        <s v="Jillian Murray"/>
        <s v="Carroll O'Connor"/>
        <s v="Sarah Rafferty"/>
        <s v="Salvatore Santone"/>
        <s v="David Bianchi"/>
        <s v="John Robinson"/>
        <s v="Brooke Newton"/>
        <s v="Brett Wagner"/>
        <s v="Jack Taylor"/>
        <s v="Fabio Testi"/>
        <s v="Cybill Shepherd"/>
        <s v="Matheus Nachtergaele"/>
        <s v="Othon Bastos"/>
        <s v="Glenn Ford"/>
        <s v="Anthony L. Fernandez"/>
        <s v="Scott Evans"/>
        <s v="Olivia Rose Keegan"/>
        <s v="Patrick Bauchau"/>
        <s v="Mia Barron"/>
        <s v="Greg Crowe"/>
        <s v="Tempestt Bledsoe"/>
        <s v="Oana Pellea"/>
        <s v="Maeve Dermody"/>
        <s v="Patrick Brammall"/>
        <s v="Kelly Paterniti"/>
        <s v="Gregory Cruz"/>
        <s v="Allegra Carpenter"/>
        <s v="Isaac Hayes"/>
        <s v="Paula Jai Parker"/>
        <s v="Elise Neal"/>
        <s v="Nehemiah Persoff"/>
        <s v="Joe E. Brown"/>
        <s v="George Raft"/>
        <s v="Terry Kiser"/>
        <s v="William Butler"/>
        <s v="Margaret Hamilton"/>
        <s v="Terry"/>
        <s v="Billie Burke"/>
        <s v="Joe Dinicol"/>
        <s v="Sanjay Dutt"/>
        <s v="Patricia Richardson"/>
        <s v="Vanessa Zima"/>
        <s v="Kelly Reno"/>
        <s v="Hoyt Axton"/>
        <s v="Bhavkhandan Singh Rakhra"/>
        <s v="Neeru Bajwa"/>
        <s v="Diljit Dosanjh"/>
        <s v="Frank Hvam"/>
        <s v="Casper Christensen"/>
        <s v="Cesar Romero"/>
        <s v="Rijk de Gooyer"/>
        <s v="Ariane Schluter"/>
        <s v="Henri Garcin"/>
        <s v="Esther Williams"/>
        <s v="Irene Dunne"/>
        <s v="Judie Aronson"/>
        <s v="Tom Everett"/>
        <s v="Kimberly Beck"/>
        <s v="Joanna Kulig"/>
        <s v="Agata Trzebuchowska"/>
        <s v="Agata Kulesza"/>
        <s v="Laurie Metcalf"/>
        <s v="Gerry Lopez"/>
        <s v="Gabrielle Reece"/>
        <s v="Laird John Hamilton"/>
        <s v="Karra Elejalde"/>
        <s v="Nacho Vigalondo"/>
        <s v="Bárbara Goenaga"/>
        <s v="Bo Huang"/>
        <s v="Zheng Xu"/>
        <s v="Cyd Charisse"/>
        <s v="Joe Cross"/>
        <s v="Joel Fuhrman"/>
        <s v="Amy Badberg"/>
        <s v="Barack Obama"/>
        <s v="Zackary Steven Graham"/>
        <s v="Dinesh D'Souza"/>
        <s v="Nancy Kyes"/>
        <s v="Sal Mineo"/>
        <s v="Melvyn Douglas"/>
        <s v="Whit Bissell"/>
        <s v="David Jason Perez"/>
        <s v="La'Princess Jackson"/>
        <s v="Dana Hanna"/>
        <s v="Jill Flint"/>
        <s v="Hanno Pöschl"/>
        <s v="Hans Weingartner"/>
        <s v="Dominik Castell"/>
        <s v="Patrick Huard"/>
        <s v="Michel Côté"/>
        <s v="Jean Pierre Bergeron"/>
        <s v="Jessica Hecht"/>
        <s v="Satish Kaushik"/>
        <s v="Christopher Simpson"/>
        <s v="Tannishtha Chatterjee"/>
        <s v="Joshua Ormond"/>
        <s v="Ana Gasteyer"/>
        <s v="Amanda Plummer"/>
        <s v="Dayo Okeniyi"/>
        <s v="Michael Bower"/>
        <s v="Bill Maher"/>
        <s v="Tal Bachman"/>
        <s v="Steve Burg"/>
        <s v="Sheryl Crow"/>
        <s v="George W. Bush"/>
        <s v="Dustin Lance Black"/>
        <s v="Emily Pearson"/>
        <s v="Gavin Newsom"/>
        <s v="Shriya Saran"/>
        <s v="Rüdiger Vogler"/>
        <s v="Sebastian Blomberg"/>
        <s v="Tenoch Huerta"/>
        <s v="Paul T. Taylor"/>
        <s v="Cecilia Pillado"/>
        <s v="Emmanuel Kabongo"/>
        <s v="Justine Waddell"/>
        <s v="Anthony 'Citric' Campos"/>
        <s v="Kevin Leslie"/>
        <s v="Kris Sommerville"/>
        <s v="Bianca Brigitte VanDamme"/>
        <s v="Basil Rathbone"/>
        <s v="Red Skelton"/>
        <s v="Jossara Jinaro"/>
        <s v="Rene Rosado"/>
        <s v="Mindy Sterling"/>
        <s v="Leopold Stokowski"/>
        <s v="Deems Taylor"/>
        <s v="Nicole Smolen"/>
        <s v="Sebastian Aguilar"/>
        <s v="Ivette Alvarez"/>
        <s v="Richard Brooker"/>
        <s v="Dana Kimmell"/>
        <s v="Catherine Parks"/>
        <s v="Tiffany Helm"/>
        <s v="Melanie Kinnaman"/>
        <s v="Dominick Brascia"/>
        <s v="Kayla Ewell"/>
        <s v="Linden Ashby"/>
        <s v="Greer Garson"/>
        <s v="Ethan Peck"/>
        <s v="Brad Schmidt"/>
        <s v="Saeed Jaffrey"/>
        <s v="Zohra Segal"/>
        <s v="Shobu Kapoor"/>
        <s v="Rachel Skarsten"/>
        <s v="Daniel Kash"/>
        <s v="Stefanie Drummond"/>
        <s v="Myrna Loy"/>
        <s v="Jørgen Langhelle"/>
        <s v="Per Christian Ellefsen"/>
        <s v="Sven Nordin"/>
        <s v="Michael Derek"/>
        <s v="Arturo Castro"/>
        <s v="Brad Lee Wind"/>
        <s v="Manuela Velasco"/>
        <s v="Carlos Lasarte"/>
        <s v="Martha Higareda"/>
        <s v="Cheyenne Haynes"/>
        <s v="Travis Myers"/>
        <s v="Carmen Argenziano"/>
        <s v="Walter Hendrix III"/>
        <s v="Michael Chapman"/>
        <s v="Louise Brealey"/>
        <s v="Maria Doyle Kennedy"/>
        <s v="Shaun O'Hagan"/>
        <s v="Daniela Bianchi"/>
        <s v="Phoebe Legere"/>
        <s v="Jessica Dublin"/>
        <s v="Lisa Gaye"/>
        <s v="Alan Autry"/>
        <s v="Crystal R. Fox"/>
        <s v="John Beck"/>
        <s v="Mews Small"/>
        <s v="Maika Monroe"/>
        <s v="Ruby Harris"/>
        <s v="Jake Weary"/>
        <s v="Brock Peters"/>
        <s v="William Windom"/>
        <s v="Kjell Nilsson"/>
        <s v="Ho-Sung Pak"/>
        <s v="Alicia Goranson"/>
        <s v="Jeannetta Arnette"/>
        <s v="Eric Sheffer Stevens"/>
        <s v="Julia Taylor Ross"/>
        <s v="Adam Trese"/>
        <s v="Ben Davies"/>
        <s v="T.C. Stallings"/>
        <s v="Hedy Lamarr"/>
        <s v="Claudette Colbert"/>
        <s v="Michel Robin"/>
        <s v="Charles Linton"/>
        <s v="Béatrice Bonifassi"/>
        <s v="James Urbaniak"/>
        <s v="Daniel Tay"/>
        <s v="Albert Delpy"/>
        <s v="Marie Pillet"/>
        <s v="Jorge Salinas"/>
        <s v="Goya Toledo"/>
        <s v="Sarah Clarke"/>
        <s v="Celeste Holm"/>
        <s v="John Garfield"/>
        <s v="Shelley Waggener"/>
        <s v="Lauren Sweetser"/>
        <s v="Nicholas Aaron"/>
        <s v="Brendan Mackey"/>
        <s v="Joe Simpson"/>
        <s v="Tyrone Power"/>
        <s v="Najarra Townsend"/>
        <s v="Miranda July"/>
        <s v="Barney Frank"/>
        <s v="Gano Grills"/>
        <s v="Richard Portnow"/>
        <s v="Sydelle Noel"/>
        <s v="Tawny Kitaen"/>
        <s v="Rose Marie"/>
        <s v="Sook-Yin Lee"/>
        <s v="Peter Stickles"/>
        <s v="Raphael Barker"/>
        <s v="Ari Folman"/>
        <s v="Ronny Dayag"/>
        <s v="Zahava Solomon"/>
        <s v="Noah Danby"/>
        <s v="Kirby Heyborne"/>
        <s v="Bruce Newbold"/>
        <s v="Dick Cheney"/>
        <s v="Donald Rumsfeld"/>
        <s v="Austin Lyon"/>
        <s v="Debrah Farentino"/>
        <s v="John F. Kennedy"/>
        <s v="Buzz Aldrin"/>
        <s v="Neil Armstrong"/>
        <s v="Linda Lovelace"/>
        <s v="Manny Perez"/>
        <s v="Matt Bennett"/>
        <s v="Krysta Rodriguez"/>
        <s v="Zack Pearlman"/>
        <s v="Jean-Hugues Anglade"/>
        <s v="Jess Weixler"/>
        <s v="Nathan Parsons"/>
        <s v="John Hensley"/>
        <s v="Jeffrey Falcon"/>
        <s v="Stephane Gauger"/>
        <s v="Kim De Angelo"/>
        <s v="Karisma Kapoor"/>
        <s v="Bobby Deol"/>
        <s v="Shakti Kapoor"/>
        <s v="Paul Kaye"/>
        <s v="Kate Magowan"/>
        <s v="Karl Collins"/>
        <s v="Sanjay Mishra"/>
        <s v="Javed Jaffrey"/>
        <s v="Chuck Zito"/>
        <s v="Jansen Panettiere"/>
        <s v="Charly Bivona"/>
        <s v="Kent McCord"/>
        <s v="Sarah Douglas"/>
        <s v="Michelle Hurst"/>
        <s v="Jordi Vilasuso"/>
        <s v="Michael McLafferty"/>
        <s v="Kaiwi Lyman-Mersereau"/>
        <s v="Lorraine Stanley"/>
        <s v="Marlene Forte"/>
        <s v="Silvia Colloca"/>
        <s v="Kenneth Nkosi"/>
        <s v="Robert Hobbs"/>
        <s v="Sean Rogerson"/>
        <s v="Ashleigh Gryzko"/>
        <s v="Peter McQuinn"/>
        <s v="Tommy Knight"/>
        <s v="Jemma Curran"/>
        <s v="Daniel Baldwin"/>
        <s v="William Lee Scott"/>
        <s v="Alice Cooper"/>
        <s v="Tim Rice"/>
        <s v="Louis Walsh"/>
        <s v="Charlotte Rae"/>
        <s v="Paul Sheehan"/>
        <s v="Kathy Uyen"/>
        <s v="Mario Cimarro"/>
        <s v="Ricardo Chavira"/>
        <s v="Rita Hayworth"/>
        <s v="Everett Sloane"/>
        <s v="Ted de Corsia"/>
        <s v="Mark Rolston"/>
        <s v="Sunil Narkar"/>
        <s v="Kate Maberly"/>
        <s v="Paul Williams"/>
        <s v="Lex Barker"/>
        <s v="Karin Dor"/>
        <s v="Jon Mack"/>
        <s v="Josh Meyers"/>
        <s v="Buster Keaton"/>
        <s v="Zero Mostel"/>
        <s v="Phil Silvers"/>
        <s v="Eddie Vedder"/>
        <s v="Steve Earle"/>
        <s v="Trenton Rostedt"/>
        <s v="Wray Crawford"/>
        <s v="Dave Sheridan"/>
        <s v="Melissa Bolona"/>
        <s v="Michael Aaron Milligan"/>
        <s v="James Chalke"/>
        <s v="Paul McGillion"/>
        <s v="Mike 'The Miz' Mizanin"/>
        <s v="David Lewis"/>
        <s v="Erik Palladino"/>
        <s v="Ahmed Hassan"/>
        <s v="Aida Elkashef"/>
        <s v="Karl E. Landler"/>
        <s v="Lizzie Brocheré"/>
        <s v="Remo"/>
        <s v="Prabhudheva"/>
        <s v="Paul McGill"/>
        <s v="Philippe Petit"/>
        <s v="Jean-Louis Blondeau"/>
        <s v="Siobhan Marshall"/>
        <s v="Peter Feeney"/>
        <s v="Rachel Nash"/>
        <s v="Adam Ratcliffe"/>
        <s v="Patrick Fabian"/>
        <s v="Kim Hunter"/>
        <s v="Ana Claudia Talancón"/>
        <s v="Gina Montana"/>
        <s v="Dwight Henry"/>
        <s v="Claude Akins"/>
        <s v="Hansika Motwani"/>
        <s v="T.R. Silambarasan"/>
        <s v="Brahmanandam"/>
        <s v="J.J. Abrams"/>
        <s v="Donald Trump"/>
        <s v="Tshewang Dendup"/>
        <s v="Lhakpa Dorji"/>
        <s v="Sonam Kinga"/>
        <s v="Alan Hale Jr."/>
        <s v="Humphrey Bogart"/>
        <s v="Jim Backus"/>
        <s v="Kimberley Crossman"/>
        <s v="Luke Edwards"/>
        <s v="Bree Williamson"/>
        <s v="Keenan Tracey"/>
        <s v="Nicholas Carella"/>
        <s v="Christian Keyes"/>
        <s v="Ludger Pistor"/>
        <s v="Armin Rohde"/>
        <s v="Will Estes"/>
        <s v="CJ Adams"/>
        <s v="Erin Pitt"/>
        <s v="Matthew Alan"/>
        <s v="Chris Cleveland"/>
        <s v="Circus-Szalewski"/>
        <s v="Gordon Jump"/>
        <s v="John Randolph"/>
        <s v="Sarah Butler"/>
        <s v="Daniel Franzese"/>
        <s v="Ally Walker"/>
        <s v="Natalie Press"/>
        <s v="Dean Andrews"/>
        <s v="Nawazuddin Siddiqui"/>
        <s v="Jean Arthur"/>
        <s v="Ann Miller"/>
        <s v="Ben Johnson"/>
        <s v="Victor McLaglen"/>
        <s v="Michael Welch"/>
        <s v="Marla Gibbs"/>
        <s v="Yasmine Al Massri"/>
        <s v="Adel Karam"/>
        <s v="Nadine Labaki"/>
        <s v="Pixie Davies"/>
        <s v="Alejandro Furth"/>
        <s v="Ohad Knoller"/>
        <s v="Lior Ashkenazi"/>
        <s v="Yousef 'Joe' Sweid"/>
        <s v="Cindy Williams"/>
        <s v="Revathy"/>
        <s v="Jean-Paul Belmondo"/>
        <s v="Michel Bouquet"/>
        <s v="Marisa Coughlan"/>
        <s v="Dustin Ingram"/>
        <s v="Gage Golightly"/>
        <s v="Samuel Davis"/>
        <s v="Donald Gibb"/>
        <s v="Ken Siu"/>
        <s v="Leo Fitzpatrick"/>
        <s v="Justin Pierce"/>
        <s v="William Baldwin"/>
        <s v="Elizabeth Meriwether"/>
        <s v="Owen Kline"/>
        <s v="Scott Cohen"/>
        <s v="Jennifer Westfeldt"/>
        <s v="Brian Stepanek"/>
        <s v="Matthew Ziff"/>
        <s v="T.J. Storm"/>
        <s v="Sam Medina"/>
        <s v="Norman Lloyd"/>
        <s v="Rhonda Fleming"/>
        <s v="Leo G. Carroll"/>
        <s v="Philip Friedman"/>
        <s v="Miguel Sandoval"/>
        <s v="Gastón Pauls"/>
        <s v="Leticia Brédice"/>
        <s v="Ami Ayalon"/>
        <s v="Yuval Diskin"/>
        <s v="Yaakov Peri"/>
        <s v="Ryan McDonald"/>
        <s v="Salvator Xuereb"/>
        <s v="Theresa Russell"/>
        <s v="Summer Phoenix"/>
        <s v="Ward G. Smith"/>
        <s v="Lisa Brave"/>
        <s v="Malone Thomas"/>
        <s v="Jessy Schram"/>
        <s v="Joel Murray"/>
        <s v="Paulette Goddard"/>
        <s v="Stanley Blystone"/>
        <s v="Fred Malatesta"/>
        <s v="Timothy Patrick Quill"/>
        <s v="Jim O'Heir"/>
        <s v="Jenny O'Hara"/>
        <s v="Darren E. Burrows"/>
        <s v="Brian Lee Franklin"/>
        <s v="John Arcilla"/>
        <s v="Ronnie Lazaro"/>
        <s v="Georgina Reilly"/>
        <s v="Boyd Banks"/>
        <s v="Jaime Zevallos"/>
        <s v="Michael Elian"/>
        <s v="Morgana O'Reilly"/>
        <s v="Bruce Hopkins"/>
        <s v="Cameron Rhodes"/>
        <s v="Lee Scott"/>
        <s v="Jon Hunter"/>
        <s v="Matt Hunter"/>
        <s v="Nicole Muñoz"/>
        <s v="Sarah Lind"/>
        <s v="Kyla Wise"/>
        <s v="Monica Barladeanu"/>
        <s v="Joe Armstrong"/>
        <s v="Martin Hancock"/>
        <s v="Ashanti"/>
        <s v="Amber Marshall"/>
        <s v="John DeSantis"/>
        <s v="Katrina Law"/>
        <s v="Balthazar Getty"/>
        <s v="Lydia Hearst"/>
        <s v="Kiowa Gordon"/>
        <s v="Adriana Caselotti"/>
        <s v="Billy Gilbert"/>
        <s v="Lucille La Verne"/>
        <s v="Mercedes Morán"/>
        <s v="María Alche"/>
        <s v="Brigitte Bardot"/>
        <s v="Zak Penn"/>
        <s v="Gabriel Beristain"/>
        <s v="John Bailey"/>
        <s v="Christina Moore"/>
        <s v="Cullen Douglas"/>
        <s v="Camren Bicondova"/>
        <s v="Adam DiMarco"/>
        <s v="Chasty Ballesteros"/>
        <s v="Léa Drucker"/>
        <s v="Laurent Poitrenaux"/>
        <s v="Jonathan Mangum"/>
        <s v="Angela Jones"/>
        <s v="Burgess Meredith"/>
        <s v="Burt Ward"/>
        <s v="Michael Douglas"/>
        <s v="Paprika Steen"/>
        <s v="Trine Dyrholm"/>
        <s v="Long Nguyen"/>
        <s v="Kieu Chinh"/>
        <s v="Cat Ly"/>
        <s v="Tucker Smallwood"/>
        <s v="Kristen Cloke"/>
        <s v="Elina Abai Kyzy"/>
        <s v="Aziz Muradillayev"/>
        <s v="Mirlan Abdulayev"/>
        <s v="Lenore Zann"/>
        <s v="Tim Choate"/>
        <s v="Uday Chopra"/>
        <s v="Samantha McLeod"/>
        <s v="Matt Crabtree"/>
        <s v="Chloe Bridges"/>
        <s v="Joan Fontaine"/>
        <s v="Betsy Palmer"/>
        <s v="Adrienne King"/>
        <s v="Amy Steel"/>
        <s v="Ray Milland"/>
        <s v="Jane Wyman"/>
        <s v="Frank Faylen"/>
        <s v="Jenni Rivera"/>
        <s v="Jorge Diaz"/>
        <s v="Vic Mignogna"/>
        <s v="Jean Peters"/>
        <s v="Will Wright"/>
        <s v="Walter Pidgeon"/>
        <s v="Barry Fitzgerald"/>
        <s v="Riley Keough"/>
        <s v="Elvis Nolasco"/>
        <s v="Felicia Pearson"/>
        <s v="Laura San Giacomo"/>
        <s v="Steven Brill"/>
        <s v="Zuhair Haddad"/>
        <s v="Ben Youcef"/>
        <s v="Ximena Ayala"/>
        <s v="Vera Wilson"/>
        <s v="José Manuel Orozco Angulo"/>
        <s v="Randeep Hooda"/>
        <s v="Jerry Mathers"/>
        <s v="Spring Byington"/>
        <s v="Nigel Bruce"/>
        <s v="Gale Sondergaard"/>
        <s v="Luigi Pistilli"/>
        <s v="Enzo Petito"/>
        <s v="Alex Huszar"/>
        <s v="Regina Casé"/>
        <s v="Luis Miranda"/>
        <s v="Marshall Allman"/>
        <s v="Eric Lange"/>
        <s v="Lemmy"/>
        <s v="Coyote Shivers"/>
        <s v="Zoë Poledouris"/>
        <s v="Déborah Révy"/>
        <s v="Johnny Amaro"/>
        <s v="Yassine Azzouz"/>
        <s v="Nataniel Sánchez"/>
        <s v="Antonio Arrué"/>
        <s v="Juan Carlos Montoya"/>
        <s v="Jim Cody Williams"/>
        <s v="Rich Ceraulo"/>
        <s v="Errol Flynn"/>
        <s v="Kristin Booth"/>
        <s v="Michael Eisner"/>
        <s v="Christie Burke"/>
        <s v="Victor Zinck Jr."/>
        <s v="Chelsey Reist"/>
        <s v="Brittney Powell"/>
        <s v="Redd Foxx"/>
        <s v="Cleavon Little"/>
        <s v="Calvin Lockhart"/>
        <s v="Sabrina Carmichael"/>
        <s v="Seregon O'Dassey"/>
        <s v="Deirdre Lorenz"/>
        <s v="Dustin Diamond"/>
        <s v="George Newton"/>
        <s v="Richard Cawthorne"/>
        <s v="John Jarratt"/>
        <s v="Susan Tyrrell"/>
        <s v="Sarah Murphy-Dyson"/>
        <s v="CindyMarie Small"/>
        <s v="Brent Neale"/>
        <s v="Sean Cameron Michael"/>
        <s v="Frank Rautenbach"/>
        <s v="Jeanne Neilson"/>
        <s v="Marilyn Norry"/>
        <s v="Eva Bourne"/>
        <s v="Iko Uwais"/>
        <s v="Yayan Ruhian"/>
        <s v="Donny Alamsyah"/>
        <s v="Matthew R. Anderson"/>
        <s v="Piero Maggiò"/>
        <s v="Anella Vastola"/>
        <s v="Joe Marino"/>
        <s v="Conrad Veidt"/>
        <s v="Talia Zucker"/>
        <s v="Rosie Traynor"/>
        <s v="Martin Sharpe"/>
        <s v="Shazahn Padamsee"/>
        <s v="Gauhar Khan"/>
        <s v="Jesse Vint"/>
        <s v="Christopher Abbott"/>
        <s v="Gitte Witt"/>
        <s v="Hugh Griffith"/>
        <s v="Renee Olstead"/>
        <s v="Heather Sossaman"/>
        <s v="Ursula Andress"/>
        <s v="Jack Lord"/>
        <s v="Andrew Robinson"/>
        <s v="Ashley Laurence"/>
        <s v="Clare Higgins"/>
        <s v="Benjamin A. Onyango"/>
        <s v="Robin Givens"/>
        <s v="Maria Canals-Barrera"/>
        <s v="Hiroshi Abe"/>
        <s v="Naomi Nishida"/>
        <s v="Sakae Kimura"/>
        <s v="Paul Borghese"/>
        <s v="Fernanda Andrade"/>
        <s v="Claudiu Trandafir"/>
        <s v="Cynthia Myers"/>
        <s v="Harrison Page"/>
        <s v="James Drury"/>
        <s v="Neville Brand"/>
        <s v="Debra Paget"/>
        <s v="Al Gore"/>
        <s v="James Brown"/>
        <s v="Richard Jaeckel"/>
        <s v="Forrest Tucker"/>
        <s v="Mick Jagger"/>
        <s v="Keith Richards"/>
        <s v="Albert Maysles"/>
        <s v="Magda Apanowicz"/>
        <s v="Alex Lawther"/>
        <s v="Niamh Cusack"/>
        <s v="Rhea Perlman"/>
        <s v="Michael Pollan"/>
        <s v="Eric Schlosser"/>
        <s v="Barbara Kowalcyk"/>
        <s v="Robert Amaya"/>
        <s v="Jason Burkey"/>
        <s v="Kathleen Rose Perkins"/>
        <s v="Julia Garner"/>
        <s v="Jenny Slate"/>
        <s v="Jake Lacy"/>
        <s v="Michael O'Keefe"/>
        <s v="Misty Upham"/>
        <s v="Lou Adler"/>
        <s v="Merry Clayton"/>
        <s v="Natasha Gregson Wagner"/>
        <s v="Angel David"/>
        <s v="Phyllis Diller"/>
        <s v="Colette Divine"/>
        <s v="Ella Joyce"/>
        <s v="Saul Williams"/>
        <s v="Bonz Malone"/>
        <s v="Frank Gerrish"/>
        <s v="Rick Macy"/>
        <s v="Manoj Bajpayee"/>
        <s v="Jaya Bhaduri"/>
        <s v="Dian Bachar"/>
        <s v="Matt Stone"/>
        <s v="Olivia Crocicchia"/>
        <s v="Shahir Kabaha"/>
        <s v="Scandar Copti"/>
        <s v="Ranin Karim"/>
        <s v="Steven Yeun"/>
        <s v="Venida Evans"/>
        <s v="Anwar Congo"/>
        <s v="Herman Koto"/>
        <s v="Syamsul Arifin"/>
        <s v="Alex Gibney"/>
        <s v="Greg D'Agostino"/>
        <s v="Pelé"/>
        <s v="Marv Albert"/>
        <s v="Ahmet Ertegun"/>
        <s v="Kumar Gaurav"/>
        <s v="Rufus Graham"/>
        <s v="Aasheekaa Bathija"/>
        <s v="Melissa Gilbert"/>
        <s v="Josh Swanson"/>
        <s v="Tom Hamann"/>
        <s v="Anthony Powell"/>
        <s v="G.W. Krauss"/>
        <s v="Brian Whitaker"/>
        <s v="Jason Bateman"/>
        <s v="Raquel Elizabeth Ames"/>
        <s v="Emraan Hashmi"/>
        <s v="Sunil Shetty"/>
        <s v="Lena Dunham"/>
        <s v="Patrick Renna"/>
        <s v="Patsy Kensit"/>
        <s v="Adrienne Frantz"/>
        <s v="Yul Vazquez"/>
        <s v="Louis Mustillo"/>
        <s v="James Lorinz"/>
        <s v="James Gunn"/>
        <s v="Will Rothhaar"/>
        <s v="Emily Baldoni"/>
        <s v="Hallee Hirsh"/>
        <s v="Jordana Spiro"/>
        <s v="Jonathon Trent"/>
        <s v="Alexia Rasmussen"/>
        <s v="Meredith Hagner"/>
        <s v="Paul Blackthorne"/>
        <s v="Ian Bohen"/>
        <s v="Scott Levy"/>
        <s v="Vanilla Ice"/>
        <s v="Jennifer Sky"/>
        <s v="Mariel Hemingway"/>
        <s v="Jesse Hutch"/>
        <s v="Heather Bucha"/>
        <s v="Kenny Johnston"/>
        <s v="Andrea Vergara"/>
        <s v="Gabriel Reyes"/>
        <s v="Rasheed Naz"/>
        <s v="Ayesha Omar"/>
        <s v="Javed Sheikh"/>
        <s v="Ilene Graff"/>
        <s v="Laura Breckenridge"/>
        <s v="Nicole Randall Johnson"/>
        <s v="James Eckhouse"/>
        <s v="Lauren C. Mayhew"/>
        <s v="Alicia Ziegler"/>
        <s v="Louise Sorel"/>
        <s v="Janet Hubert"/>
        <s v="Diane Venora"/>
        <s v="Russell Hodgkinson"/>
        <s v="Janette Armand"/>
        <s v="Kevin Hamedani"/>
        <s v="Maureen McCormick"/>
        <s v="Tim Abell"/>
        <s v="Álex Angulo"/>
        <s v="Germán Alcarazu"/>
        <s v="Joseba Ugalde"/>
        <s v="Sticky Fingaz"/>
        <s v="Chrystee Pharris"/>
        <s v="Randy Jay Burrell"/>
        <s v="Anslem Richardson"/>
        <s v="Jay Paulson"/>
        <s v="David Oakes"/>
        <s v="Alexander Vlahos"/>
        <s v="Jennie Jacques"/>
        <s v="Magi Avila"/>
        <s v="Pierre Dulat"/>
        <s v="Summer Napoles"/>
        <s v="Chloe Rose"/>
        <s v="Kristian Bruun"/>
        <s v="Angelina Armani"/>
        <s v="Fiona Dourif"/>
        <s v="Jason K. Wixom"/>
        <s v="Shona Kay"/>
        <s v="Jarrod Phillips"/>
        <s v="Justin Baldoni"/>
        <s v="Claire Bloom"/>
        <s v="Monique Candelaria"/>
        <s v="Michael McMillian"/>
        <s v="David DeLuise"/>
        <s v="Bruno Campos"/>
        <s v="Gia Mantegna"/>
        <s v="Alma Martinez"/>
        <s v="Robert Kennedy Jr."/>
        <s v="Eve Ensler"/>
        <s v="Anamaria Marinca"/>
        <s v="Vlad Ivanov"/>
        <s v="Alexandru Potocean"/>
        <s v="Brian Dorton"/>
        <s v="Odessa Rae"/>
        <s v="G.J. Echternkamp"/>
        <s v="Patrick Wilson"/>
        <s v="Sarah Kazemy"/>
        <s v="Reza Sixo Safai"/>
        <s v="Sina Amedson"/>
        <s v="Ahna O'Reilly"/>
        <s v="Ariana Neal"/>
        <s v="Sam Edwards"/>
        <s v="Donnie Dunagan"/>
        <s v="Ann Gillis"/>
        <s v="Rian Bishop"/>
        <s v="Adam Carolla"/>
        <s v="Stana Roumillac"/>
        <s v="Christophe Cherki"/>
        <s v="Teddy Doloir"/>
        <s v="Janel Parrish"/>
        <s v="D. David Morin"/>
        <s v="Hal Linden"/>
        <s v="Johnny Harris"/>
        <s v="Christopher Berry"/>
        <s v="Michelle Tabora"/>
        <s v="Tommy O'Reilly"/>
        <s v="Shahab Hosseini"/>
        <s v="Leila Hatami"/>
        <s v="Peyman Moaadi"/>
        <s v="Jo Hartley"/>
        <s v="Stephen McCole"/>
        <s v="Joe Cassidy"/>
        <s v="Ken Leung"/>
        <s v="Christina Vidal"/>
        <s v="Allison Dean"/>
        <s v="Todd Field"/>
        <s v="Dorothy Lyman"/>
        <s v="Victor Rasuk"/>
        <s v="Judy Marte"/>
        <s v="Louise Brooks"/>
        <s v="Francis Lederer"/>
        <s v="Fritz Kortner"/>
        <s v="Melora Walters"/>
        <s v="Diane Baker"/>
        <s v="Norma Aleandro"/>
        <s v="Hilda Bernard"/>
        <s v="Claudia Lapacó"/>
        <s v="Zachary Knighton"/>
        <s v="Arly Jover"/>
        <s v="Shane Dawson"/>
        <s v="Kurt Angle"/>
        <s v="Cherami Leigh"/>
        <s v="Stig Frode Henriksen"/>
        <s v="Ane Dahl Torp"/>
        <s v="Corbin Allred"/>
        <s v="Taylor Pigeon"/>
        <s v="Alan Pietruszewski"/>
        <s v="Whit Spurgeon"/>
        <s v="Mackenzie Phillips"/>
        <s v="Scott Helvenston"/>
        <s v="Katy Helvenston-Wettengal"/>
        <s v="Donna Zovko"/>
        <s v="Isaac C. Singleton Jr."/>
        <s v="Jeanette Branch"/>
        <s v="Jake Ryan"/>
        <s v="Pat Healy"/>
        <s v="Stefania Sandrelli"/>
        <s v="Dominique Sanda"/>
        <s v="Raymond J. Barry"/>
        <s v="Christel Khalil"/>
        <s v="Renee Faia"/>
        <s v="Nichola Burley"/>
        <s v="Whitney Able"/>
        <s v="Jennifer Lee Wiggins"/>
        <s v="Michele Morrow"/>
        <s v="Lon Chaney Jr."/>
        <s v="William Gates"/>
        <s v="Arthur Agee"/>
        <s v="Isiah Thomas"/>
        <s v="Kevin Scott Richardson"/>
        <s v="Christopher Toler"/>
        <s v="Tommy the Clown"/>
        <s v="Walter Masterson"/>
        <s v="Laura Fraser"/>
        <s v="Kara Hayward"/>
        <s v="Louis Ozawa Changchien"/>
        <s v="Jeff Lima"/>
        <s v="Akima"/>
        <s v="Max Gail"/>
        <s v="Robinne Lee"/>
        <s v="Chenoa Maxwell"/>
        <s v="Steffinnie Phrommany"/>
        <s v="Danielle Savre"/>
        <s v="Trey Loney"/>
        <s v="Lee Armstrong"/>
        <s v="Amy Lucas"/>
        <s v="Richard Curtis"/>
        <s v="Dave Fennoy"/>
        <s v="Madison Lintz"/>
        <s v="Karolina Wydra"/>
        <s v="Lorraine Ziff"/>
        <s v="Ginger Rogers"/>
        <s v="Edward Everett Horton"/>
        <s v="Eric Blore"/>
        <s v="Heather Donahue"/>
        <s v="Joshua Leonard"/>
        <s v="Michael C. Williams"/>
        <s v="Joe Cocker"/>
        <s v="Jimi Hendrix"/>
        <s v="Joan Baez"/>
        <s v="David Zucker"/>
        <s v="Barry Dennen"/>
        <s v="Tara Strohmeier"/>
        <s v="David A.R. White"/>
        <s v="Cynthia Watros"/>
        <s v="Kendyl Joi"/>
        <s v="Matthew Feeney"/>
        <s v="Tac Fitzgerald"/>
        <s v="Brent David Fraser"/>
        <s v="Angela Nordeng"/>
        <s v="Exie Booker"/>
        <s v="Aliou Touré"/>
        <s v="Garba Touré"/>
        <s v="Khaira Arby"/>
        <s v="Karen Alexander"/>
        <s v="Colin Andrews"/>
        <s v="Francine Blake"/>
        <s v="Lymari Nadal"/>
        <s v="Félix Moati"/>
        <s v="Marianne Denicourt"/>
        <s v="John Brodsky"/>
        <s v="Paul McCartney"/>
        <s v="Ringo Starr"/>
        <s v="George Harrison"/>
        <s v="Dario Nozic Serini"/>
        <s v="Spela Colja"/>
        <s v="Andrej Nahtigal"/>
        <s v="Kirk Cameron"/>
        <s v="Ken Bevel"/>
        <s v="Erin Bethea"/>
        <s v="Bhole Baba"/>
        <s v="Pant Shirt Baba"/>
        <s v="Shriman Umeshanad Brahmachari"/>
        <s v="Frances Bavier"/>
        <s v="Peter Breck"/>
        <s v="Edgar Buchanan"/>
        <s v="Blanchard Ryan"/>
        <s v="Saul Stein"/>
        <s v="Daniel Travis"/>
        <s v="Abby Elliott"/>
        <s v="Hoke Howell"/>
        <s v="Tiffany Bolling"/>
        <s v="Heather Berman"/>
        <s v="Eva Carrozza"/>
        <s v="Paul Daggett"/>
        <s v="Ken Burns"/>
        <s v="Bob Dole"/>
        <s v="Terry Funk"/>
        <s v="Vince McMahon"/>
        <s v="Mick Foley"/>
        <s v="Lincoln Hoppe"/>
        <s v="Daryn Tufts"/>
        <s v="Marina Golbahari"/>
        <s v="Zubaida Sahar"/>
        <s v="Mohamad Haref Harati"/>
        <s v="Peter Riegert"/>
        <s v="Jason Kravits"/>
        <s v="Ari Gold"/>
        <s v="Denny Kirkwood"/>
        <s v="Big Budah"/>
        <s v="Curt Doussett"/>
        <s v="William Katt"/>
        <s v="Ti West"/>
        <s v="David Mamet"/>
        <s v="Ricky Jay"/>
        <s v="Dick Cavett"/>
        <s v="Takashi Shimura"/>
        <s v="Minoru Chiaki"/>
        <s v="Kamatari Fujiwara"/>
        <s v="Tommy Sheppard"/>
        <s v="Greg Speirs"/>
        <s v="Mickey Hart"/>
        <s v="Tina Louise"/>
        <s v="Nick Cave"/>
        <s v="Jake Sandvig"/>
        <s v="Joe McQueen"/>
        <s v="Cecelia Antoinette"/>
        <s v="Tori Spelling"/>
        <s v="Amber Benson"/>
        <s v="Garrett M. Brown"/>
        <s v="Eddie Spears"/>
        <s v="Ricky Catter"/>
        <s v="Ann Dowd"/>
        <s v="Matthew Cowles"/>
        <s v="Max Adler"/>
        <s v="Zhonghua Chen"/>
        <s v="Brian Eno"/>
        <s v="Jacques Brel"/>
        <s v="Damon Albarn"/>
        <s v="Stafford Douglas"/>
        <s v="Daston Kalili"/>
        <s v="Rai Alexandra"/>
        <s v="Chin-Chien Chang"/>
        <s v="Carol Channing"/>
        <s v="Bruce Vilanch"/>
        <s v="Tony Bennett"/>
        <s v="Vincent Chimato"/>
        <s v="John McGlothlin"/>
        <s v="Al Sapienza"/>
        <s v="Mike Beckingham"/>
        <s v="Tom Stedham"/>
        <s v="Christopher Denham"/>
        <s v="Christian Alvarez"/>
        <s v="Claudette Lalí"/>
        <s v="Vincent De Paul"/>
        <s v="Terrance Zdunich"/>
        <s v="Mary Kate Wiles"/>
        <s v="Jennifer Landa"/>
        <s v="Felix Avitia"/>
        <s v="Carrie Bradstreet"/>
        <s v="Joel Paul Reisig"/>
        <s v="Yassie Hawkes"/>
        <s v="Elizabeth Streb"/>
        <s v="Sarah Callan"/>
        <s v="Laura Flanders"/>
        <s v="Mike Stanley"/>
        <s v="Jeff Delaney"/>
        <s v="Jamison Stalsworth"/>
        <s v="Mark Torgl"/>
        <s v="Pat Ryan"/>
        <s v="George T. Odom"/>
        <s v="Matty Rich"/>
        <s v="Nicholas Farrell"/>
        <s v="Tim Pigott-Smith"/>
        <s v="Luis Sanchez"/>
        <s v="Dennis L.A. White"/>
        <s v="John Karyus"/>
        <s v="Lloyd Kaufman"/>
        <s v="Kate Graham"/>
        <s v="Jennifer Lafleur"/>
        <s v="Cheyenne Jackson"/>
        <s v="Michael Stahl-David"/>
        <s v="Dick Powell"/>
        <s v="George Brent"/>
        <s v="Bob Proctor"/>
        <s v="Jack Canfield"/>
        <s v="Eric Worre"/>
        <s v="Chris Eigeman"/>
        <s v="Taylor Nichols"/>
        <s v="Ellia Thompson"/>
        <s v="Frida Hallgren"/>
        <s v="Nils-Anders Vallgårda"/>
        <s v="Jack E. Curenton"/>
        <s v="Ace Marrero"/>
        <s v="Eve Plumb"/>
        <s v="Amy Hargreaves"/>
        <s v="Ashley Palmer"/>
        <s v="Amber Armstrong"/>
        <s v="Tony Alva"/>
        <s v="Jay Adams"/>
        <s v="Jeff Ament"/>
        <s v="Terry Jones"/>
        <s v="Emily Rios"/>
        <s v="Alicia Sixtos"/>
        <s v="Tony Doupe"/>
        <s v="Sue Corcoran"/>
        <s v="David Frederick White"/>
        <s v="Greg Ayres"/>
        <s v="Jonathan Caouette"/>
        <s v="Renee Leblanc"/>
        <s v="Bill Farmer"/>
        <s v="Chris Cox"/>
        <s v="Mike Huckabee"/>
        <s v="Paul Elia"/>
        <s v="Alex Sanborn"/>
        <s v="Catriona MacColl"/>
        <s v="David Warbeck"/>
        <s v="Al Cliver"/>
        <s v="Brendon Small"/>
        <s v="Ron Lynch"/>
        <s v="Melissa Bardin Galsky"/>
        <s v="Michelle Krusiec"/>
        <s v="Dov Tiefenbach"/>
        <s v="Jeff Seymour"/>
        <s v="Gordon Currie"/>
        <s v="Roshan Seth"/>
        <s v="Garry Cooper"/>
        <s v="R. Brandon Johnson"/>
        <s v="Desmond Askew"/>
        <s v="Gabriel Hogan"/>
        <s v="Liv Ullmann"/>
        <s v="Ingrid Thulin"/>
        <s v="Erland Josephson"/>
        <s v="Mae Marsh"/>
        <s v="Walter Long"/>
        <s v="DeForest Kelley"/>
        <s v="James Doohan"/>
        <s v="Anita Page"/>
        <s v="Bessie Love"/>
        <s v="Charles King"/>
        <s v="Betsy Baker"/>
        <s v="America Olivo"/>
        <s v="Nora Arnezeder"/>
        <s v="Liane Balaban"/>
        <s v="Amos Oz"/>
        <s v="Mark Zupan"/>
        <s v="Joe Bishop"/>
        <s v="Andy Cohn"/>
        <s v="Steve James"/>
        <s v="Larry Poindexter"/>
        <s v="Carol Block"/>
        <s v="Ellen Block"/>
        <s v="Mike Block"/>
        <s v="Tracy Spiridakos"/>
        <s v="Tom E. Nicholson"/>
        <s v="Natalie Welch"/>
        <s v="Christian Kapper"/>
        <s v="Alan Hale"/>
        <s v="Walter Connolly"/>
        <s v="Angeliki Papoulia"/>
        <s v="Mary Tsoni"/>
        <s v="Sissy Petropoulou"/>
        <s v="James Cagney"/>
        <s v="Todd Bridges"/>
        <s v="Simon Abkarian"/>
        <s v="Jane Bradbury"/>
        <s v="Kevin Howarth"/>
        <s v="Mark Caven"/>
        <s v="Thierry Harcourt"/>
        <s v="Daniel London"/>
        <s v="Lucy"/>
        <s v="Will Oldham"/>
        <s v="Anna Karina"/>
        <s v="Graziella Galvani"/>
        <s v="Vera Ngassa"/>
        <s v="Beatrice Ntuba"/>
        <s v="Ivan Dixon"/>
        <s v="Eli Marienthal"/>
        <s v="Don Wallace"/>
        <s v="Christina Chambers"/>
        <s v="Lalaine"/>
        <s v="Alexander Wraith"/>
        <s v="Darren Kendrick"/>
        <s v="Trish Basinger"/>
        <s v="Elizabeth Stenholt"/>
        <s v="Mary Norwood"/>
        <s v="Michael Des Barres"/>
        <s v="Wilhelm von Homburg"/>
        <s v="Thom Mathews"/>
        <s v="Joanna Cassidy"/>
        <s v="Ryan Carnes"/>
        <s v="Rumi Missabu"/>
        <s v="Pierre Prieur"/>
        <s v="Raquel Nave"/>
        <s v="Vanna White"/>
        <s v="Ahmed Best"/>
        <s v="James McCaffrey"/>
        <s v="Raven Goodwin"/>
        <s v="Hector Echavarria"/>
        <s v="Ron Roggé"/>
        <s v="Parry Shen"/>
        <s v="Jason Tobin"/>
        <s v="Collin Kahey"/>
        <s v="Stephanie Berry"/>
        <s v="Chris Weitz"/>
        <s v="Purva Bedi"/>
        <s v="Rizwan Manji"/>
        <s v="Anil Kumar"/>
        <s v="Keri Maletto"/>
        <s v="Nicholas Simmons"/>
        <s v="Barbie Castro"/>
        <s v="Matt Day"/>
        <s v="Charis Michelsen"/>
        <s v="Bill Martone"/>
        <s v="Richard Spore"/>
        <s v="Amir Talai"/>
        <s v="Charlie Bewley"/>
        <s v="Finola Hughes"/>
        <s v="Marshal Hilton"/>
        <s v="Clint Jung"/>
        <s v="Samantha Futerman"/>
        <s v="Clint Jordan"/>
        <s v="Jackie Nova"/>
        <s v="Gus Van Sant"/>
        <s v="James Deen"/>
        <s v="James Norton"/>
        <s v="Sarah Lancashire"/>
        <s v="Flaco Navaja"/>
        <s v="Dominic Colón"/>
        <s v="Michael Abbott Jr."/>
        <s v="Natalie Canerday"/>
        <s v="Travis Smith"/>
        <s v="Pollyanna McIntosh"/>
        <s v="Samantha Buck"/>
        <s v="Terumi Matthews"/>
        <s v="Mark Hengst"/>
        <s v="Debra Lynn Hull"/>
        <s v="Lorne Cardinal"/>
        <s v="Kirsten Collins"/>
        <s v="Eme Ikwuakor"/>
        <s v="Marty Lindsey"/>
        <s v="Jessica Duffy"/>
        <s v="Florence Henderson"/>
        <s v="Derek Brandon"/>
        <s v="Charles Irving Beale"/>
        <s v="Victoria Jackson"/>
        <s v="Kate Flannery"/>
        <s v="Tim Bagley"/>
        <s v="Stuart Whitman"/>
        <s v="Sam Adams"/>
        <s v="Steve Duin"/>
        <s v="Jeff Jacob"/>
        <s v="Brit Morgan"/>
        <s v="Sedona James"/>
        <s v="Joshua Ray Bell"/>
        <s v="Dana Blackstone"/>
        <s v="Annelyse Ahmad"/>
        <s v="John Gilbert"/>
        <s v="Renée Adorée"/>
        <s v="Claire Adams"/>
        <s v="Jacob Zachar"/>
        <s v="Travis Betz"/>
        <s v="Matthew Emerick"/>
        <s v="Brock Baker"/>
        <s v="Sheldon Bailey"/>
        <s v="James Lance"/>
        <s v="Matt King"/>
        <s v="Mark Fantasia"/>
        <s v="Vivian Lamolli"/>
        <s v="Greg Jackson"/>
        <s v="Brendan Doogie Milewski"/>
        <s v="Donald Austin"/>
        <s v="Craig Dougherty"/>
        <s v="Matt Keeslar"/>
        <s v="Christina Hart"/>
        <s v="Nancy Ison"/>
        <s v="William Condos"/>
        <s v="Kenneth Tobey"/>
        <s v="Cecil Kellaway"/>
        <s v="Ross Elliott"/>
        <s v="Hugh Keays-Byrne"/>
        <s v="Joanne Samuel"/>
        <s v="Alex Désert"/>
        <s v="Blake Lindsley"/>
        <s v="Gian Maria Volontè"/>
        <s v="Aldo Sambrell"/>
        <s v="Mae West"/>
        <s v="Gilbert Roland"/>
        <s v="Louise Beavers"/>
        <s v="The Dalai Lama"/>
        <s v="Jasper Johal"/>
        <s v="Swami Krishnanad"/>
        <s v="Michael Joiner"/>
        <s v="Chris Thomas"/>
        <s v="Michael Higgenbottom"/>
        <s v="Lorraine Toussaint"/>
        <s v="Devid Striesow"/>
        <s v="Sebastian Schipper"/>
        <s v="Sophie Rois"/>
        <s v="William Joseph Elk III"/>
        <s v="Leo Rossi"/>
        <s v="Cynthia Geary"/>
        <s v="Matisyahu"/>
        <s v="Natasha Bedingfield"/>
        <s v="Madeleine Albright"/>
        <s v="Stevan Mena"/>
        <s v="Richard Glover"/>
        <s v="Marri Savinar"/>
        <s v="Adam Rifkin"/>
        <s v="Bethany Blakey"/>
        <s v="Melanie Papalia"/>
        <s v="Ryan Kennedy"/>
        <s v="John Reardon"/>
        <s v="Elise Muller"/>
        <s v="Susan Chambers"/>
        <s v="Victoria Lachelle"/>
        <s v="Ali Daniels"/>
        <s v="Marina Vlady"/>
        <s v="Bertrand Cantat"/>
        <s v="Léon Schwartzenberg"/>
        <s v="Hanne Aagesen"/>
        <s v="Sylvia Eckhausen"/>
        <s v="Ejner Federspiel"/>
        <s v="David Lee Smith"/>
        <s v="Darryl Hunt"/>
        <s v="Evelyn Jefferson"/>
        <s v="John Reeves"/>
        <s v="Jordan Bridges"/>
        <s v="Bruce Gooch"/>
        <s v="John Newton"/>
        <s v="Chase Masterson"/>
        <s v="H.M. Wynant"/>
        <s v="Elaine Bromka"/>
        <s v="Robert Turano"/>
        <s v="Matthew Gumley"/>
        <s v="Paul Hickert"/>
        <s v="Robin Bartlett"/>
        <s v="Alex Emanuel"/>
        <s v="Bahare Seddiqi"/>
        <s v="Amir Farrokh Hashemian"/>
        <s v="Mohammad Amir Naji"/>
        <s v="Chris New"/>
        <s v="Vauxhall Jermaine"/>
        <s v="Joie Lee"/>
        <s v="Tracy Camilla Johns"/>
        <s v="Abigail Evans"/>
        <s v="Stacie Evans"/>
        <s v="Emily Gorell"/>
        <s v="Iulia Ciochina"/>
        <s v="Ana Maria Guran"/>
        <s v="Ana Vatamanu"/>
        <s v="Robin Lord Taylor"/>
        <s v="Flint Beverage"/>
        <s v="Melvin Van Peebles"/>
        <s v="Charla Cochran"/>
        <s v="Joe Lev"/>
        <s v="Sienna Beckman"/>
        <s v="Glen Hansard"/>
        <s v="Markéta Irglová"/>
        <s v="Darren Healy"/>
        <s v="Marilyn Rising"/>
        <s v="Eugene Roche"/>
        <s v="Max Kerstein"/>
        <s v="Temple Grandin"/>
        <s v="Rowan Isaacson"/>
        <s v="Simon Baron-Cohen"/>
        <s v="Alan Brent"/>
        <s v="Martin Compston"/>
        <s v="Kate Ashfield"/>
        <s v="Joel Moody"/>
        <s v="Bill Allen"/>
        <s v="Lia Tucker"/>
        <s v="Peter Robbins"/>
        <s v="Christopher Shea"/>
        <s v="Naderev Sano"/>
        <s v="Hugh Ducklow"/>
        <s v="Mike Brett"/>
        <s v="Lisa Ann"/>
        <s v="Jesse Jane"/>
        <s v="Kayden Kross"/>
        <s v="Ariel Hsing"/>
        <s v="Xinhua Jiang"/>
        <s v="Michael Landers"/>
        <s v="Pat Boone"/>
        <s v="Bob Eubanks"/>
        <s v="J.D. Williams"/>
        <s v="Hassan Johnson"/>
        <s v="Samantha Esteban"/>
        <s v="Constance Wu"/>
        <s v="Mike Birbiglia"/>
        <s v="Mel Eslyn"/>
        <s v="Diane Sorrentino"/>
        <s v="Valentine"/>
        <s v="Philippe Leroy"/>
        <s v="Macha Méril"/>
        <s v="Rita Maiden"/>
        <s v="Jason Stuart"/>
        <s v="Richard Moll"/>
        <s v="Christopher Robin Miller"/>
        <s v="Shannen Fields"/>
        <s v="Pfeifer Brown"/>
        <s v="Cassidy Gifford"/>
        <s v="Reese Mishler"/>
        <s v="Jack Nance"/>
        <s v="Charlotte Stewart"/>
        <s v="Stephen Carr"/>
        <s v="Johnnie Walker"/>
        <s v="Mary Carr"/>
        <s v="Leon Isaac Kennedy"/>
        <s v="Chuck Mitchell"/>
        <s v="Wilbur 'Hi-Fi' White"/>
        <s v="Fay Masterson"/>
        <s v="Brian Howe"/>
        <s v="Larry Blamire"/>
        <s v="Kevin P. Farley"/>
        <s v="Gabriela Castillo"/>
        <s v="Brandon Middleton"/>
        <s v="Elissa Dowling"/>
        <s v="Jonathan Blow"/>
        <s v="Edmund McMillen"/>
        <s v="Phil Fish"/>
        <s v="Adam Rayner"/>
        <s v="Sheldon Leonard"/>
        <s v="Arthur O'Connell"/>
        <s v="Claire Gordon-Harper"/>
        <s v="Hugh Mun"/>
        <s v="Johnathan Hurley"/>
        <s v="Trevor Howard"/>
        <s v="Andrew Keir"/>
        <s v="Jon Brion"/>
        <s v="Dottie Alexander"/>
        <s v="David Barnes"/>
        <s v="Seth Ackerman"/>
        <s v="Arik Ascherman"/>
        <s v="Clint Mansell"/>
        <s v="Stanley B. Herman"/>
        <s v="Meredith Scott Lynn"/>
        <s v="Tim DeZarn"/>
        <s v="Tom Ardavany"/>
        <s v="Robert McKee"/>
        <s v="Michelle Simone Miller"/>
        <s v="Steve Diasparra"/>
        <s v="A.J. DeLucia"/>
        <s v="Chemeeka Walker"/>
        <s v="Amanda Kearsan"/>
        <s v="Amelia Giancarlo"/>
        <s v="Sean Whalen"/>
        <s v="James DeBello"/>
        <s v="Virginia Leith"/>
        <s v="Jason Evers"/>
        <s v="Bruce Kerr"/>
        <s v="Ty Parker"/>
        <s v="Vincent Duvall"/>
        <s v="Loanne Bishop"/>
        <s v="Justin Gordon"/>
        <s v="Courtney Bell"/>
        <s v="Erin Cipolletti"/>
        <s v="Shari Albert"/>
        <s v="Maxine Bahns"/>
        <s v="Paul Daniel Ayotte"/>
        <s v="Shailene Garnett"/>
        <s v="Matt Johnson"/>
        <s v="Marcello Mastroianni"/>
        <s v="Joffre Soares"/>
        <s v="Jemima Kirke"/>
        <s v="Jeremy Sande"/>
        <s v="Corlandos Scott"/>
        <s v="Chelse Swain"/>
        <s v="Amanda MacDonald"/>
        <s v="Dan Novy"/>
        <s v="David Mersault"/>
        <s v="Barry Lynch"/>
        <s v="Chris 'Wonder' Schoeck"/>
        <s v="Olivia Cooke"/>
        <s v="Beau Knapp"/>
        <s v="Taliesin Jaffe"/>
        <s v="Greg Aronowitz"/>
        <s v="Jeff Dowd"/>
        <s v="Jan Haley"/>
        <s v="Paul Eenhoorn"/>
        <s v="Demetrius Grosse"/>
        <s v="Kelen Coleman"/>
        <s v="Damian Jewan Lee"/>
        <s v="Derick Martini"/>
        <s v="Christa Miller"/>
        <s v="Ion Overman"/>
        <s v="Johnny Walter"/>
        <s v="Shiree Nelson"/>
        <s v="Patricia Raven"/>
        <s v="Lindsay Felton"/>
        <s v="Julianne Gabert"/>
        <s v="Thomas Brophy"/>
        <s v="Ronee Collins"/>
        <s v="Jordan Scovel"/>
        <s v="Joseph Campanella"/>
        <s v="Kirpatrick Thomas"/>
        <s v="Christian Anderson"/>
        <s v="Andrew Bujalski"/>
        <s v="Kate Dollenmayer"/>
        <s v="Justin Rice"/>
        <s v="Nichole Ceballos"/>
        <s v="Ron Gelner"/>
        <s v="Parker Riggs"/>
        <s v="Tony Way"/>
        <s v="David Schaal"/>
        <s v="Don Brooks"/>
        <s v="Bobby Kendall"/>
        <s v="Stacy Edwards"/>
        <s v="Jason Dixie"/>
        <s v="Panchito Gómez"/>
        <s v="Casper Martinez"/>
        <s v="Tommy Pallotta"/>
        <s v="Richard Linklater"/>
        <s v="Jean Caffeine"/>
        <s v="Tjasa Ferme"/>
        <s v="Mikaal Bates"/>
        <s v="Damon Owlia"/>
        <s v="Kristen Seavey"/>
        <s v="Suzi Lorraine"/>
        <s v="Travis Legge"/>
        <s v="Lisa Arnold"/>
        <s v="Janet Lee Dapper"/>
        <s v="Ashley Tramonte"/>
        <s v="Lindsay MacDonald"/>
        <s v="Robbie Barnes"/>
        <s v="Alana Kaniewski"/>
        <s v="Brandon Landers"/>
        <s v="Bari Hyman"/>
        <s v="Paul Ogola"/>
        <s v="Olwenya Maina"/>
        <s v="Mugambi Nthiga"/>
        <s v="Zoe Lister-Jones"/>
        <s v="Jason Trost"/>
        <s v="Nick Principe"/>
        <s v="Divine"/>
        <s v="Mink Stole"/>
        <s v="Edith Massey"/>
        <s v="Béatrice Dalle"/>
        <s v="Fereshteh Sadre Orafaiy"/>
        <s v="Nargess Mamizadeh"/>
        <s v="Mojgan Faramarzi"/>
        <s v="Patrick O'Donnell"/>
        <s v="Michael Parle"/>
        <s v="Emma Eliza Regan"/>
        <s v="Kôji Yakusho"/>
        <s v="Anna Nakagawa"/>
        <s v="Denden"/>
        <s v="Tatiana Suarez-Pico"/>
        <s v="Michael Cortez"/>
        <s v="Eric Ambriz"/>
        <s v="Julianna Pitt"/>
        <s v="Joe Coffey"/>
        <s v="John Lucas"/>
        <s v="James Noble"/>
        <s v="Shane Carruth"/>
        <s v="David Sullivan"/>
        <s v="Casey Gooden"/>
        <s v="Ian Gamazon"/>
        <s v="Edgar Tancangco"/>
        <s v="Quynn Ton"/>
        <s v="Carlos Gallardo"/>
        <s v="Peter Marquardt"/>
        <s v="Consuelo Gómez"/>
        <s v="Richard Jewell"/>
        <s v="John Considine"/>
        <s v="Sara Stepnicka"/>
        <s v="Kerry Bishé"/>
        <s v="Caitlin FitzGerald"/>
        <s v="Daniella Pineda"/>
        <s v="Daphne Zuniga"/>
        <s v="Natalie Zea"/>
        <s v="Valorie Curry"/>
        <s v="Sam Underwood"/>
        <s v="Eva Boehnke"/>
        <s v="Maxwell Moody"/>
        <s v="David Chandler"/>
        <s v="John August"/>
        <s v="Brian Herzlinger"/>
        <s v="Jon Gunn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</r>
  <r>
    <x v="0"/>
    <x v="4"/>
    <x v="4"/>
    <x v="4"/>
    <x v="3"/>
    <x v="4"/>
    <x v="4"/>
    <x v="4"/>
    <x v="4"/>
    <x v="4"/>
    <x v="4"/>
    <x v="4"/>
    <x v="4"/>
    <x v="4"/>
    <x v="4"/>
    <x v="0"/>
    <x v="4"/>
    <x v="4"/>
    <x v="4"/>
    <x v="1"/>
    <x v="2"/>
    <x v="1"/>
    <x v="4"/>
    <x v="4"/>
    <x v="4"/>
    <x v="1"/>
    <x v="2"/>
    <x v="1"/>
  </r>
  <r>
    <x v="0"/>
    <x v="5"/>
    <x v="5"/>
    <x v="5"/>
    <x v="4"/>
    <x v="5"/>
    <x v="5"/>
    <x v="5"/>
    <x v="5"/>
    <x v="5"/>
    <x v="5"/>
    <x v="5"/>
    <x v="5"/>
    <x v="5"/>
    <x v="5"/>
    <x v="1"/>
    <x v="5"/>
    <x v="5"/>
    <x v="5"/>
    <x v="0"/>
    <x v="0"/>
    <x v="0"/>
    <x v="5"/>
    <x v="3"/>
    <x v="5"/>
    <x v="4"/>
    <x v="1"/>
    <x v="4"/>
  </r>
  <r>
    <x v="0"/>
    <x v="6"/>
    <x v="6"/>
    <x v="6"/>
    <x v="0"/>
    <x v="6"/>
    <x v="6"/>
    <x v="6"/>
    <x v="6"/>
    <x v="6"/>
    <x v="6"/>
    <x v="6"/>
    <x v="6"/>
    <x v="6"/>
    <x v="6"/>
    <x v="0"/>
    <x v="6"/>
    <x v="6"/>
    <x v="6"/>
    <x v="0"/>
    <x v="0"/>
    <x v="0"/>
    <x v="6"/>
    <x v="1"/>
    <x v="6"/>
    <x v="5"/>
    <x v="1"/>
    <x v="1"/>
  </r>
  <r>
    <x v="0"/>
    <x v="7"/>
    <x v="7"/>
    <x v="7"/>
    <x v="5"/>
    <x v="7"/>
    <x v="7"/>
    <x v="7"/>
    <x v="7"/>
    <x v="7"/>
    <x v="7"/>
    <x v="7"/>
    <x v="7"/>
    <x v="7"/>
    <x v="7"/>
    <x v="1"/>
    <x v="7"/>
    <x v="7"/>
    <x v="7"/>
    <x v="0"/>
    <x v="0"/>
    <x v="2"/>
    <x v="7"/>
    <x v="5"/>
    <x v="7"/>
    <x v="6"/>
    <x v="3"/>
    <x v="5"/>
  </r>
  <r>
    <x v="0"/>
    <x v="8"/>
    <x v="8"/>
    <x v="8"/>
    <x v="0"/>
    <x v="8"/>
    <x v="8"/>
    <x v="8"/>
    <x v="5"/>
    <x v="8"/>
    <x v="8"/>
    <x v="8"/>
    <x v="8"/>
    <x v="8"/>
    <x v="8"/>
    <x v="2"/>
    <x v="8"/>
    <x v="8"/>
    <x v="8"/>
    <x v="0"/>
    <x v="0"/>
    <x v="0"/>
    <x v="3"/>
    <x v="2"/>
    <x v="8"/>
    <x v="7"/>
    <x v="1"/>
    <x v="6"/>
  </r>
  <r>
    <x v="0"/>
    <x v="9"/>
    <x v="9"/>
    <x v="9"/>
    <x v="6"/>
    <x v="9"/>
    <x v="9"/>
    <x v="9"/>
    <x v="8"/>
    <x v="9"/>
    <x v="9"/>
    <x v="9"/>
    <x v="9"/>
    <x v="9"/>
    <x v="9"/>
    <x v="3"/>
    <x v="9"/>
    <x v="9"/>
    <x v="9"/>
    <x v="0"/>
    <x v="1"/>
    <x v="2"/>
    <x v="3"/>
    <x v="0"/>
    <x v="6"/>
    <x v="7"/>
    <x v="1"/>
    <x v="7"/>
  </r>
  <r>
    <x v="0"/>
    <x v="10"/>
    <x v="10"/>
    <x v="10"/>
    <x v="0"/>
    <x v="10"/>
    <x v="10"/>
    <x v="10"/>
    <x v="5"/>
    <x v="10"/>
    <x v="10"/>
    <x v="10"/>
    <x v="10"/>
    <x v="10"/>
    <x v="10"/>
    <x v="0"/>
    <x v="10"/>
    <x v="10"/>
    <x v="10"/>
    <x v="0"/>
    <x v="0"/>
    <x v="0"/>
    <x v="3"/>
    <x v="6"/>
    <x v="9"/>
    <x v="8"/>
    <x v="1"/>
    <x v="8"/>
  </r>
  <r>
    <x v="0"/>
    <x v="11"/>
    <x v="11"/>
    <x v="1"/>
    <x v="0"/>
    <x v="11"/>
    <x v="11"/>
    <x v="11"/>
    <x v="5"/>
    <x v="11"/>
    <x v="11"/>
    <x v="11"/>
    <x v="11"/>
    <x v="11"/>
    <x v="11"/>
    <x v="0"/>
    <x v="11"/>
    <x v="11"/>
    <x v="11"/>
    <x v="0"/>
    <x v="0"/>
    <x v="0"/>
    <x v="8"/>
    <x v="7"/>
    <x v="10"/>
    <x v="9"/>
    <x v="1"/>
    <x v="1"/>
  </r>
  <r>
    <x v="0"/>
    <x v="12"/>
    <x v="12"/>
    <x v="11"/>
    <x v="7"/>
    <x v="12"/>
    <x v="12"/>
    <x v="12"/>
    <x v="9"/>
    <x v="12"/>
    <x v="12"/>
    <x v="12"/>
    <x v="12"/>
    <x v="12"/>
    <x v="12"/>
    <x v="1"/>
    <x v="12"/>
    <x v="12"/>
    <x v="12"/>
    <x v="0"/>
    <x v="1"/>
    <x v="0"/>
    <x v="9"/>
    <x v="8"/>
    <x v="11"/>
    <x v="10"/>
    <x v="1"/>
    <x v="1"/>
  </r>
  <r>
    <x v="0"/>
    <x v="1"/>
    <x v="13"/>
    <x v="12"/>
    <x v="1"/>
    <x v="1"/>
    <x v="1"/>
    <x v="13"/>
    <x v="1"/>
    <x v="1"/>
    <x v="1"/>
    <x v="1"/>
    <x v="13"/>
    <x v="13"/>
    <x v="13"/>
    <x v="4"/>
    <x v="13"/>
    <x v="13"/>
    <x v="13"/>
    <x v="0"/>
    <x v="0"/>
    <x v="0"/>
    <x v="10"/>
    <x v="7"/>
    <x v="1"/>
    <x v="11"/>
    <x v="1"/>
    <x v="9"/>
  </r>
  <r>
    <x v="0"/>
    <x v="1"/>
    <x v="14"/>
    <x v="13"/>
    <x v="1"/>
    <x v="1"/>
    <x v="1"/>
    <x v="14"/>
    <x v="10"/>
    <x v="1"/>
    <x v="13"/>
    <x v="13"/>
    <x v="14"/>
    <x v="14"/>
    <x v="14"/>
    <x v="1"/>
    <x v="14"/>
    <x v="14"/>
    <x v="14"/>
    <x v="0"/>
    <x v="0"/>
    <x v="0"/>
    <x v="11"/>
    <x v="9"/>
    <x v="12"/>
    <x v="12"/>
    <x v="1"/>
    <x v="10"/>
  </r>
  <r>
    <x v="0"/>
    <x v="10"/>
    <x v="15"/>
    <x v="14"/>
    <x v="0"/>
    <x v="13"/>
    <x v="10"/>
    <x v="15"/>
    <x v="0"/>
    <x v="10"/>
    <x v="14"/>
    <x v="14"/>
    <x v="15"/>
    <x v="15"/>
    <x v="15"/>
    <x v="0"/>
    <x v="15"/>
    <x v="15"/>
    <x v="15"/>
    <x v="0"/>
    <x v="0"/>
    <x v="0"/>
    <x v="10"/>
    <x v="9"/>
    <x v="13"/>
    <x v="13"/>
    <x v="1"/>
    <x v="6"/>
  </r>
  <r>
    <x v="0"/>
    <x v="13"/>
    <x v="16"/>
    <x v="13"/>
    <x v="8"/>
    <x v="14"/>
    <x v="13"/>
    <x v="16"/>
    <x v="11"/>
    <x v="13"/>
    <x v="15"/>
    <x v="15"/>
    <x v="16"/>
    <x v="16"/>
    <x v="16"/>
    <x v="2"/>
    <x v="16"/>
    <x v="16"/>
    <x v="16"/>
    <x v="0"/>
    <x v="0"/>
    <x v="2"/>
    <x v="10"/>
    <x v="8"/>
    <x v="14"/>
    <x v="4"/>
    <x v="1"/>
    <x v="1"/>
  </r>
  <r>
    <x v="0"/>
    <x v="8"/>
    <x v="17"/>
    <x v="15"/>
    <x v="0"/>
    <x v="8"/>
    <x v="8"/>
    <x v="17"/>
    <x v="5"/>
    <x v="8"/>
    <x v="8"/>
    <x v="8"/>
    <x v="17"/>
    <x v="17"/>
    <x v="17"/>
    <x v="3"/>
    <x v="17"/>
    <x v="17"/>
    <x v="17"/>
    <x v="0"/>
    <x v="0"/>
    <x v="0"/>
    <x v="12"/>
    <x v="3"/>
    <x v="8"/>
    <x v="14"/>
    <x v="3"/>
    <x v="11"/>
  </r>
  <r>
    <x v="0"/>
    <x v="14"/>
    <x v="18"/>
    <x v="16"/>
    <x v="9"/>
    <x v="1"/>
    <x v="1"/>
    <x v="18"/>
    <x v="1"/>
    <x v="1"/>
    <x v="16"/>
    <x v="16"/>
    <x v="18"/>
    <x v="18"/>
    <x v="18"/>
    <x v="2"/>
    <x v="18"/>
    <x v="18"/>
    <x v="18"/>
    <x v="0"/>
    <x v="0"/>
    <x v="0"/>
    <x v="3"/>
    <x v="10"/>
    <x v="6"/>
    <x v="10"/>
    <x v="1"/>
    <x v="12"/>
  </r>
  <r>
    <x v="0"/>
    <x v="15"/>
    <x v="19"/>
    <x v="11"/>
    <x v="10"/>
    <x v="15"/>
    <x v="14"/>
    <x v="19"/>
    <x v="12"/>
    <x v="14"/>
    <x v="17"/>
    <x v="17"/>
    <x v="19"/>
    <x v="19"/>
    <x v="19"/>
    <x v="1"/>
    <x v="19"/>
    <x v="19"/>
    <x v="19"/>
    <x v="0"/>
    <x v="0"/>
    <x v="0"/>
    <x v="10"/>
    <x v="3"/>
    <x v="15"/>
    <x v="2"/>
    <x v="3"/>
    <x v="13"/>
  </r>
  <r>
    <x v="0"/>
    <x v="16"/>
    <x v="20"/>
    <x v="3"/>
    <x v="0"/>
    <x v="16"/>
    <x v="15"/>
    <x v="20"/>
    <x v="13"/>
    <x v="15"/>
    <x v="18"/>
    <x v="18"/>
    <x v="20"/>
    <x v="20"/>
    <x v="20"/>
    <x v="0"/>
    <x v="20"/>
    <x v="20"/>
    <x v="20"/>
    <x v="0"/>
    <x v="3"/>
    <x v="0"/>
    <x v="3"/>
    <x v="11"/>
    <x v="16"/>
    <x v="7"/>
    <x v="1"/>
    <x v="14"/>
  </r>
  <r>
    <x v="0"/>
    <x v="17"/>
    <x v="21"/>
    <x v="9"/>
    <x v="11"/>
    <x v="17"/>
    <x v="10"/>
    <x v="21"/>
    <x v="1"/>
    <x v="16"/>
    <x v="19"/>
    <x v="19"/>
    <x v="21"/>
    <x v="21"/>
    <x v="21"/>
    <x v="0"/>
    <x v="21"/>
    <x v="21"/>
    <x v="21"/>
    <x v="0"/>
    <x v="0"/>
    <x v="0"/>
    <x v="13"/>
    <x v="3"/>
    <x v="10"/>
    <x v="15"/>
    <x v="1"/>
    <x v="15"/>
  </r>
  <r>
    <x v="0"/>
    <x v="18"/>
    <x v="22"/>
    <x v="6"/>
    <x v="0"/>
    <x v="18"/>
    <x v="16"/>
    <x v="22"/>
    <x v="14"/>
    <x v="17"/>
    <x v="20"/>
    <x v="20"/>
    <x v="22"/>
    <x v="22"/>
    <x v="22"/>
    <x v="0"/>
    <x v="22"/>
    <x v="22"/>
    <x v="22"/>
    <x v="0"/>
    <x v="0"/>
    <x v="0"/>
    <x v="9"/>
    <x v="5"/>
    <x v="17"/>
    <x v="10"/>
    <x v="1"/>
    <x v="16"/>
  </r>
  <r>
    <x v="0"/>
    <x v="16"/>
    <x v="23"/>
    <x v="17"/>
    <x v="0"/>
    <x v="16"/>
    <x v="15"/>
    <x v="23"/>
    <x v="13"/>
    <x v="15"/>
    <x v="18"/>
    <x v="18"/>
    <x v="23"/>
    <x v="23"/>
    <x v="20"/>
    <x v="5"/>
    <x v="23"/>
    <x v="23"/>
    <x v="23"/>
    <x v="0"/>
    <x v="0"/>
    <x v="0"/>
    <x v="10"/>
    <x v="9"/>
    <x v="16"/>
    <x v="0"/>
    <x v="1"/>
    <x v="17"/>
  </r>
  <r>
    <x v="0"/>
    <x v="19"/>
    <x v="24"/>
    <x v="18"/>
    <x v="12"/>
    <x v="1"/>
    <x v="17"/>
    <x v="24"/>
    <x v="15"/>
    <x v="18"/>
    <x v="21"/>
    <x v="21"/>
    <x v="24"/>
    <x v="24"/>
    <x v="23"/>
    <x v="4"/>
    <x v="24"/>
    <x v="24"/>
    <x v="24"/>
    <x v="0"/>
    <x v="0"/>
    <x v="0"/>
    <x v="14"/>
    <x v="1"/>
    <x v="18"/>
    <x v="9"/>
    <x v="1"/>
    <x v="1"/>
  </r>
  <r>
    <x v="0"/>
    <x v="16"/>
    <x v="25"/>
    <x v="19"/>
    <x v="0"/>
    <x v="19"/>
    <x v="18"/>
    <x v="25"/>
    <x v="16"/>
    <x v="19"/>
    <x v="22"/>
    <x v="22"/>
    <x v="25"/>
    <x v="25"/>
    <x v="24"/>
    <x v="0"/>
    <x v="25"/>
    <x v="25"/>
    <x v="25"/>
    <x v="0"/>
    <x v="3"/>
    <x v="0"/>
    <x v="15"/>
    <x v="12"/>
    <x v="19"/>
    <x v="13"/>
    <x v="1"/>
    <x v="1"/>
  </r>
  <r>
    <x v="0"/>
    <x v="0"/>
    <x v="26"/>
    <x v="20"/>
    <x v="0"/>
    <x v="20"/>
    <x v="19"/>
    <x v="26"/>
    <x v="17"/>
    <x v="20"/>
    <x v="23"/>
    <x v="23"/>
    <x v="26"/>
    <x v="26"/>
    <x v="25"/>
    <x v="0"/>
    <x v="26"/>
    <x v="26"/>
    <x v="26"/>
    <x v="0"/>
    <x v="0"/>
    <x v="0"/>
    <x v="9"/>
    <x v="13"/>
    <x v="20"/>
    <x v="16"/>
    <x v="1"/>
    <x v="18"/>
  </r>
  <r>
    <x v="0"/>
    <x v="20"/>
    <x v="27"/>
    <x v="21"/>
    <x v="13"/>
    <x v="21"/>
    <x v="20"/>
    <x v="27"/>
    <x v="5"/>
    <x v="21"/>
    <x v="24"/>
    <x v="24"/>
    <x v="27"/>
    <x v="27"/>
    <x v="26"/>
    <x v="0"/>
    <x v="27"/>
    <x v="27"/>
    <x v="27"/>
    <x v="0"/>
    <x v="0"/>
    <x v="0"/>
    <x v="3"/>
    <x v="6"/>
    <x v="21"/>
    <x v="17"/>
    <x v="1"/>
    <x v="19"/>
  </r>
  <r>
    <x v="0"/>
    <x v="21"/>
    <x v="28"/>
    <x v="22"/>
    <x v="14"/>
    <x v="22"/>
    <x v="21"/>
    <x v="28"/>
    <x v="18"/>
    <x v="22"/>
    <x v="25"/>
    <x v="25"/>
    <x v="28"/>
    <x v="28"/>
    <x v="27"/>
    <x v="0"/>
    <x v="28"/>
    <x v="28"/>
    <x v="28"/>
    <x v="0"/>
    <x v="0"/>
    <x v="0"/>
    <x v="8"/>
    <x v="3"/>
    <x v="10"/>
    <x v="18"/>
    <x v="1"/>
    <x v="20"/>
  </r>
  <r>
    <x v="0"/>
    <x v="22"/>
    <x v="29"/>
    <x v="23"/>
    <x v="15"/>
    <x v="1"/>
    <x v="22"/>
    <x v="29"/>
    <x v="18"/>
    <x v="23"/>
    <x v="26"/>
    <x v="26"/>
    <x v="29"/>
    <x v="29"/>
    <x v="28"/>
    <x v="0"/>
    <x v="29"/>
    <x v="29"/>
    <x v="29"/>
    <x v="0"/>
    <x v="0"/>
    <x v="0"/>
    <x v="16"/>
    <x v="2"/>
    <x v="12"/>
    <x v="15"/>
    <x v="4"/>
    <x v="21"/>
  </r>
  <r>
    <x v="0"/>
    <x v="2"/>
    <x v="30"/>
    <x v="14"/>
    <x v="0"/>
    <x v="12"/>
    <x v="23"/>
    <x v="30"/>
    <x v="2"/>
    <x v="24"/>
    <x v="27"/>
    <x v="12"/>
    <x v="30"/>
    <x v="30"/>
    <x v="29"/>
    <x v="0"/>
    <x v="30"/>
    <x v="30"/>
    <x v="30"/>
    <x v="0"/>
    <x v="1"/>
    <x v="0"/>
    <x v="9"/>
    <x v="3"/>
    <x v="22"/>
    <x v="6"/>
    <x v="1"/>
    <x v="22"/>
  </r>
  <r>
    <x v="0"/>
    <x v="6"/>
    <x v="31"/>
    <x v="24"/>
    <x v="0"/>
    <x v="6"/>
    <x v="6"/>
    <x v="31"/>
    <x v="19"/>
    <x v="6"/>
    <x v="6"/>
    <x v="6"/>
    <x v="31"/>
    <x v="31"/>
    <x v="30"/>
    <x v="1"/>
    <x v="31"/>
    <x v="31"/>
    <x v="31"/>
    <x v="0"/>
    <x v="0"/>
    <x v="0"/>
    <x v="9"/>
    <x v="14"/>
    <x v="6"/>
    <x v="11"/>
    <x v="1"/>
    <x v="1"/>
  </r>
  <r>
    <x v="0"/>
    <x v="23"/>
    <x v="32"/>
    <x v="25"/>
    <x v="16"/>
    <x v="23"/>
    <x v="20"/>
    <x v="32"/>
    <x v="5"/>
    <x v="21"/>
    <x v="28"/>
    <x v="27"/>
    <x v="32"/>
    <x v="32"/>
    <x v="31"/>
    <x v="3"/>
    <x v="32"/>
    <x v="32"/>
    <x v="32"/>
    <x v="0"/>
    <x v="0"/>
    <x v="0"/>
    <x v="9"/>
    <x v="9"/>
    <x v="9"/>
    <x v="13"/>
    <x v="1"/>
    <x v="23"/>
  </r>
  <r>
    <x v="0"/>
    <x v="24"/>
    <x v="19"/>
    <x v="26"/>
    <x v="17"/>
    <x v="21"/>
    <x v="1"/>
    <x v="33"/>
    <x v="15"/>
    <x v="1"/>
    <x v="29"/>
    <x v="28"/>
    <x v="33"/>
    <x v="33"/>
    <x v="32"/>
    <x v="0"/>
    <x v="33"/>
    <x v="33"/>
    <x v="33"/>
    <x v="0"/>
    <x v="0"/>
    <x v="2"/>
    <x v="9"/>
    <x v="5"/>
    <x v="23"/>
    <x v="12"/>
    <x v="3"/>
    <x v="4"/>
  </r>
  <r>
    <x v="0"/>
    <x v="25"/>
    <x v="33"/>
    <x v="27"/>
    <x v="18"/>
    <x v="24"/>
    <x v="24"/>
    <x v="34"/>
    <x v="20"/>
    <x v="25"/>
    <x v="30"/>
    <x v="29"/>
    <x v="34"/>
    <x v="34"/>
    <x v="33"/>
    <x v="0"/>
    <x v="34"/>
    <x v="34"/>
    <x v="34"/>
    <x v="0"/>
    <x v="4"/>
    <x v="0"/>
    <x v="17"/>
    <x v="7"/>
    <x v="24"/>
    <x v="2"/>
    <x v="1"/>
    <x v="1"/>
  </r>
  <r>
    <x v="0"/>
    <x v="26"/>
    <x v="34"/>
    <x v="27"/>
    <x v="19"/>
    <x v="25"/>
    <x v="25"/>
    <x v="35"/>
    <x v="21"/>
    <x v="26"/>
    <x v="31"/>
    <x v="30"/>
    <x v="35"/>
    <x v="35"/>
    <x v="34"/>
    <x v="0"/>
    <x v="35"/>
    <x v="35"/>
    <x v="35"/>
    <x v="0"/>
    <x v="0"/>
    <x v="3"/>
    <x v="9"/>
    <x v="9"/>
    <x v="25"/>
    <x v="11"/>
    <x v="3"/>
    <x v="20"/>
  </r>
  <r>
    <x v="0"/>
    <x v="27"/>
    <x v="35"/>
    <x v="13"/>
    <x v="0"/>
    <x v="26"/>
    <x v="26"/>
    <x v="36"/>
    <x v="5"/>
    <x v="27"/>
    <x v="32"/>
    <x v="31"/>
    <x v="36"/>
    <x v="36"/>
    <x v="35"/>
    <x v="0"/>
    <x v="36"/>
    <x v="36"/>
    <x v="36"/>
    <x v="0"/>
    <x v="0"/>
    <x v="0"/>
    <x v="9"/>
    <x v="0"/>
    <x v="26"/>
    <x v="19"/>
    <x v="1"/>
    <x v="1"/>
  </r>
  <r>
    <x v="0"/>
    <x v="27"/>
    <x v="36"/>
    <x v="28"/>
    <x v="0"/>
    <x v="27"/>
    <x v="27"/>
    <x v="37"/>
    <x v="5"/>
    <x v="28"/>
    <x v="33"/>
    <x v="32"/>
    <x v="37"/>
    <x v="37"/>
    <x v="36"/>
    <x v="4"/>
    <x v="37"/>
    <x v="37"/>
    <x v="37"/>
    <x v="0"/>
    <x v="0"/>
    <x v="0"/>
    <x v="17"/>
    <x v="11"/>
    <x v="27"/>
    <x v="20"/>
    <x v="1"/>
    <x v="15"/>
  </r>
  <r>
    <x v="0"/>
    <x v="6"/>
    <x v="37"/>
    <x v="29"/>
    <x v="0"/>
    <x v="21"/>
    <x v="28"/>
    <x v="38"/>
    <x v="15"/>
    <x v="29"/>
    <x v="34"/>
    <x v="33"/>
    <x v="38"/>
    <x v="38"/>
    <x v="37"/>
    <x v="2"/>
    <x v="38"/>
    <x v="38"/>
    <x v="38"/>
    <x v="0"/>
    <x v="0"/>
    <x v="2"/>
    <x v="11"/>
    <x v="9"/>
    <x v="28"/>
    <x v="21"/>
    <x v="1"/>
    <x v="24"/>
  </r>
  <r>
    <x v="0"/>
    <x v="17"/>
    <x v="38"/>
    <x v="30"/>
    <x v="11"/>
    <x v="28"/>
    <x v="10"/>
    <x v="39"/>
    <x v="0"/>
    <x v="16"/>
    <x v="19"/>
    <x v="34"/>
    <x v="39"/>
    <x v="39"/>
    <x v="38"/>
    <x v="0"/>
    <x v="39"/>
    <x v="39"/>
    <x v="39"/>
    <x v="0"/>
    <x v="0"/>
    <x v="0"/>
    <x v="9"/>
    <x v="11"/>
    <x v="10"/>
    <x v="10"/>
    <x v="1"/>
    <x v="25"/>
  </r>
  <r>
    <x v="0"/>
    <x v="28"/>
    <x v="39"/>
    <x v="31"/>
    <x v="20"/>
    <x v="1"/>
    <x v="25"/>
    <x v="40"/>
    <x v="5"/>
    <x v="30"/>
    <x v="35"/>
    <x v="35"/>
    <x v="40"/>
    <x v="40"/>
    <x v="39"/>
    <x v="0"/>
    <x v="40"/>
    <x v="40"/>
    <x v="40"/>
    <x v="0"/>
    <x v="0"/>
    <x v="2"/>
    <x v="18"/>
    <x v="5"/>
    <x v="10"/>
    <x v="2"/>
    <x v="1"/>
    <x v="26"/>
  </r>
  <r>
    <x v="0"/>
    <x v="29"/>
    <x v="40"/>
    <x v="11"/>
    <x v="21"/>
    <x v="29"/>
    <x v="0"/>
    <x v="41"/>
    <x v="22"/>
    <x v="31"/>
    <x v="22"/>
    <x v="36"/>
    <x v="41"/>
    <x v="41"/>
    <x v="40"/>
    <x v="0"/>
    <x v="41"/>
    <x v="41"/>
    <x v="41"/>
    <x v="0"/>
    <x v="0"/>
    <x v="3"/>
    <x v="9"/>
    <x v="10"/>
    <x v="19"/>
    <x v="22"/>
    <x v="1"/>
    <x v="7"/>
  </r>
  <r>
    <x v="0"/>
    <x v="30"/>
    <x v="41"/>
    <x v="32"/>
    <x v="22"/>
    <x v="30"/>
    <x v="17"/>
    <x v="42"/>
    <x v="5"/>
    <x v="32"/>
    <x v="36"/>
    <x v="37"/>
    <x v="42"/>
    <x v="42"/>
    <x v="41"/>
    <x v="4"/>
    <x v="42"/>
    <x v="42"/>
    <x v="42"/>
    <x v="0"/>
    <x v="0"/>
    <x v="0"/>
    <x v="9"/>
    <x v="10"/>
    <x v="29"/>
    <x v="23"/>
    <x v="1"/>
    <x v="4"/>
  </r>
  <r>
    <x v="0"/>
    <x v="31"/>
    <x v="42"/>
    <x v="33"/>
    <x v="23"/>
    <x v="31"/>
    <x v="10"/>
    <x v="43"/>
    <x v="21"/>
    <x v="33"/>
    <x v="37"/>
    <x v="38"/>
    <x v="43"/>
    <x v="43"/>
    <x v="42"/>
    <x v="3"/>
    <x v="43"/>
    <x v="43"/>
    <x v="43"/>
    <x v="0"/>
    <x v="0"/>
    <x v="3"/>
    <x v="9"/>
    <x v="5"/>
    <x v="30"/>
    <x v="24"/>
    <x v="3"/>
    <x v="26"/>
  </r>
  <r>
    <x v="0"/>
    <x v="32"/>
    <x v="20"/>
    <x v="34"/>
    <x v="24"/>
    <x v="32"/>
    <x v="29"/>
    <x v="44"/>
    <x v="5"/>
    <x v="34"/>
    <x v="38"/>
    <x v="39"/>
    <x v="44"/>
    <x v="44"/>
    <x v="43"/>
    <x v="0"/>
    <x v="44"/>
    <x v="44"/>
    <x v="44"/>
    <x v="0"/>
    <x v="0"/>
    <x v="0"/>
    <x v="9"/>
    <x v="0"/>
    <x v="13"/>
    <x v="4"/>
    <x v="1"/>
    <x v="1"/>
  </r>
  <r>
    <x v="0"/>
    <x v="33"/>
    <x v="43"/>
    <x v="35"/>
    <x v="0"/>
    <x v="33"/>
    <x v="8"/>
    <x v="45"/>
    <x v="23"/>
    <x v="35"/>
    <x v="39"/>
    <x v="40"/>
    <x v="45"/>
    <x v="45"/>
    <x v="44"/>
    <x v="0"/>
    <x v="45"/>
    <x v="45"/>
    <x v="45"/>
    <x v="0"/>
    <x v="0"/>
    <x v="0"/>
    <x v="19"/>
    <x v="2"/>
    <x v="3"/>
    <x v="13"/>
    <x v="1"/>
    <x v="27"/>
  </r>
  <r>
    <x v="0"/>
    <x v="12"/>
    <x v="44"/>
    <x v="32"/>
    <x v="7"/>
    <x v="1"/>
    <x v="30"/>
    <x v="46"/>
    <x v="24"/>
    <x v="36"/>
    <x v="40"/>
    <x v="41"/>
    <x v="46"/>
    <x v="46"/>
    <x v="45"/>
    <x v="0"/>
    <x v="46"/>
    <x v="46"/>
    <x v="46"/>
    <x v="0"/>
    <x v="0"/>
    <x v="0"/>
    <x v="19"/>
    <x v="9"/>
    <x v="6"/>
    <x v="15"/>
    <x v="1"/>
    <x v="28"/>
  </r>
  <r>
    <x v="0"/>
    <x v="11"/>
    <x v="45"/>
    <x v="36"/>
    <x v="0"/>
    <x v="34"/>
    <x v="31"/>
    <x v="47"/>
    <x v="20"/>
    <x v="37"/>
    <x v="41"/>
    <x v="42"/>
    <x v="47"/>
    <x v="47"/>
    <x v="46"/>
    <x v="6"/>
    <x v="47"/>
    <x v="47"/>
    <x v="47"/>
    <x v="0"/>
    <x v="0"/>
    <x v="0"/>
    <x v="9"/>
    <x v="11"/>
    <x v="31"/>
    <x v="25"/>
    <x v="1"/>
    <x v="29"/>
  </r>
  <r>
    <x v="0"/>
    <x v="34"/>
    <x v="46"/>
    <x v="5"/>
    <x v="25"/>
    <x v="35"/>
    <x v="32"/>
    <x v="48"/>
    <x v="5"/>
    <x v="38"/>
    <x v="42"/>
    <x v="43"/>
    <x v="48"/>
    <x v="48"/>
    <x v="47"/>
    <x v="0"/>
    <x v="48"/>
    <x v="48"/>
    <x v="48"/>
    <x v="0"/>
    <x v="0"/>
    <x v="0"/>
    <x v="19"/>
    <x v="9"/>
    <x v="32"/>
    <x v="6"/>
    <x v="1"/>
    <x v="30"/>
  </r>
  <r>
    <x v="0"/>
    <x v="11"/>
    <x v="47"/>
    <x v="37"/>
    <x v="0"/>
    <x v="36"/>
    <x v="33"/>
    <x v="49"/>
    <x v="13"/>
    <x v="39"/>
    <x v="43"/>
    <x v="44"/>
    <x v="49"/>
    <x v="49"/>
    <x v="48"/>
    <x v="1"/>
    <x v="49"/>
    <x v="49"/>
    <x v="49"/>
    <x v="0"/>
    <x v="0"/>
    <x v="0"/>
    <x v="20"/>
    <x v="9"/>
    <x v="33"/>
    <x v="22"/>
    <x v="1"/>
    <x v="31"/>
  </r>
  <r>
    <x v="0"/>
    <x v="35"/>
    <x v="48"/>
    <x v="14"/>
    <x v="16"/>
    <x v="37"/>
    <x v="19"/>
    <x v="50"/>
    <x v="17"/>
    <x v="20"/>
    <x v="44"/>
    <x v="45"/>
    <x v="50"/>
    <x v="50"/>
    <x v="49"/>
    <x v="2"/>
    <x v="50"/>
    <x v="50"/>
    <x v="50"/>
    <x v="0"/>
    <x v="5"/>
    <x v="0"/>
    <x v="21"/>
    <x v="9"/>
    <x v="34"/>
    <x v="11"/>
    <x v="1"/>
    <x v="32"/>
  </r>
  <r>
    <x v="0"/>
    <x v="36"/>
    <x v="49"/>
    <x v="38"/>
    <x v="26"/>
    <x v="38"/>
    <x v="10"/>
    <x v="51"/>
    <x v="19"/>
    <x v="40"/>
    <x v="45"/>
    <x v="46"/>
    <x v="51"/>
    <x v="51"/>
    <x v="50"/>
    <x v="4"/>
    <x v="51"/>
    <x v="51"/>
    <x v="51"/>
    <x v="0"/>
    <x v="0"/>
    <x v="0"/>
    <x v="9"/>
    <x v="5"/>
    <x v="35"/>
    <x v="4"/>
    <x v="1"/>
    <x v="33"/>
  </r>
  <r>
    <x v="0"/>
    <x v="37"/>
    <x v="50"/>
    <x v="22"/>
    <x v="0"/>
    <x v="39"/>
    <x v="17"/>
    <x v="52"/>
    <x v="5"/>
    <x v="41"/>
    <x v="46"/>
    <x v="47"/>
    <x v="52"/>
    <x v="52"/>
    <x v="51"/>
    <x v="0"/>
    <x v="52"/>
    <x v="52"/>
    <x v="52"/>
    <x v="0"/>
    <x v="0"/>
    <x v="0"/>
    <x v="19"/>
    <x v="9"/>
    <x v="36"/>
    <x v="15"/>
    <x v="3"/>
    <x v="17"/>
  </r>
  <r>
    <x v="0"/>
    <x v="27"/>
    <x v="51"/>
    <x v="39"/>
    <x v="0"/>
    <x v="40"/>
    <x v="26"/>
    <x v="53"/>
    <x v="5"/>
    <x v="27"/>
    <x v="47"/>
    <x v="48"/>
    <x v="53"/>
    <x v="53"/>
    <x v="52"/>
    <x v="4"/>
    <x v="53"/>
    <x v="53"/>
    <x v="53"/>
    <x v="0"/>
    <x v="0"/>
    <x v="0"/>
    <x v="20"/>
    <x v="10"/>
    <x v="37"/>
    <x v="22"/>
    <x v="1"/>
    <x v="34"/>
  </r>
  <r>
    <x v="0"/>
    <x v="38"/>
    <x v="52"/>
    <x v="40"/>
    <x v="25"/>
    <x v="1"/>
    <x v="2"/>
    <x v="54"/>
    <x v="1"/>
    <x v="42"/>
    <x v="48"/>
    <x v="49"/>
    <x v="54"/>
    <x v="54"/>
    <x v="53"/>
    <x v="4"/>
    <x v="54"/>
    <x v="54"/>
    <x v="54"/>
    <x v="0"/>
    <x v="0"/>
    <x v="0"/>
    <x v="22"/>
    <x v="8"/>
    <x v="30"/>
    <x v="5"/>
    <x v="1"/>
    <x v="9"/>
  </r>
  <r>
    <x v="0"/>
    <x v="39"/>
    <x v="53"/>
    <x v="41"/>
    <x v="27"/>
    <x v="41"/>
    <x v="34"/>
    <x v="55"/>
    <x v="21"/>
    <x v="43"/>
    <x v="49"/>
    <x v="50"/>
    <x v="55"/>
    <x v="55"/>
    <x v="54"/>
    <x v="0"/>
    <x v="55"/>
    <x v="55"/>
    <x v="55"/>
    <x v="0"/>
    <x v="0"/>
    <x v="2"/>
    <x v="4"/>
    <x v="2"/>
    <x v="38"/>
    <x v="2"/>
    <x v="1"/>
    <x v="35"/>
  </r>
  <r>
    <x v="0"/>
    <x v="40"/>
    <x v="54"/>
    <x v="41"/>
    <x v="28"/>
    <x v="42"/>
    <x v="35"/>
    <x v="56"/>
    <x v="21"/>
    <x v="44"/>
    <x v="37"/>
    <x v="51"/>
    <x v="56"/>
    <x v="56"/>
    <x v="55"/>
    <x v="0"/>
    <x v="56"/>
    <x v="56"/>
    <x v="56"/>
    <x v="0"/>
    <x v="0"/>
    <x v="2"/>
    <x v="22"/>
    <x v="3"/>
    <x v="30"/>
    <x v="13"/>
    <x v="1"/>
    <x v="36"/>
  </r>
  <r>
    <x v="0"/>
    <x v="41"/>
    <x v="55"/>
    <x v="40"/>
    <x v="29"/>
    <x v="43"/>
    <x v="36"/>
    <x v="57"/>
    <x v="18"/>
    <x v="45"/>
    <x v="50"/>
    <x v="52"/>
    <x v="57"/>
    <x v="57"/>
    <x v="56"/>
    <x v="2"/>
    <x v="57"/>
    <x v="57"/>
    <x v="57"/>
    <x v="0"/>
    <x v="0"/>
    <x v="0"/>
    <x v="22"/>
    <x v="6"/>
    <x v="39"/>
    <x v="7"/>
    <x v="1"/>
    <x v="26"/>
  </r>
  <r>
    <x v="0"/>
    <x v="5"/>
    <x v="56"/>
    <x v="42"/>
    <x v="4"/>
    <x v="44"/>
    <x v="0"/>
    <x v="58"/>
    <x v="25"/>
    <x v="46"/>
    <x v="51"/>
    <x v="53"/>
    <x v="58"/>
    <x v="58"/>
    <x v="57"/>
    <x v="0"/>
    <x v="58"/>
    <x v="58"/>
    <x v="58"/>
    <x v="0"/>
    <x v="0"/>
    <x v="3"/>
    <x v="14"/>
    <x v="8"/>
    <x v="40"/>
    <x v="26"/>
    <x v="1"/>
    <x v="37"/>
  </r>
  <r>
    <x v="0"/>
    <x v="25"/>
    <x v="57"/>
    <x v="43"/>
    <x v="18"/>
    <x v="45"/>
    <x v="37"/>
    <x v="59"/>
    <x v="26"/>
    <x v="47"/>
    <x v="52"/>
    <x v="54"/>
    <x v="59"/>
    <x v="59"/>
    <x v="58"/>
    <x v="4"/>
    <x v="59"/>
    <x v="59"/>
    <x v="59"/>
    <x v="0"/>
    <x v="0"/>
    <x v="0"/>
    <x v="23"/>
    <x v="1"/>
    <x v="41"/>
    <x v="5"/>
    <x v="1"/>
    <x v="1"/>
  </r>
  <r>
    <x v="0"/>
    <x v="42"/>
    <x v="58"/>
    <x v="44"/>
    <x v="30"/>
    <x v="46"/>
    <x v="0"/>
    <x v="60"/>
    <x v="5"/>
    <x v="48"/>
    <x v="53"/>
    <x v="55"/>
    <x v="60"/>
    <x v="60"/>
    <x v="59"/>
    <x v="0"/>
    <x v="60"/>
    <x v="60"/>
    <x v="60"/>
    <x v="0"/>
    <x v="0"/>
    <x v="0"/>
    <x v="9"/>
    <x v="0"/>
    <x v="42"/>
    <x v="27"/>
    <x v="1"/>
    <x v="38"/>
  </r>
  <r>
    <x v="0"/>
    <x v="43"/>
    <x v="59"/>
    <x v="45"/>
    <x v="0"/>
    <x v="9"/>
    <x v="11"/>
    <x v="61"/>
    <x v="27"/>
    <x v="49"/>
    <x v="54"/>
    <x v="56"/>
    <x v="61"/>
    <x v="61"/>
    <x v="60"/>
    <x v="0"/>
    <x v="61"/>
    <x v="61"/>
    <x v="61"/>
    <x v="0"/>
    <x v="0"/>
    <x v="2"/>
    <x v="9"/>
    <x v="0"/>
    <x v="20"/>
    <x v="2"/>
    <x v="1"/>
    <x v="1"/>
  </r>
  <r>
    <x v="0"/>
    <x v="44"/>
    <x v="60"/>
    <x v="46"/>
    <x v="0"/>
    <x v="47"/>
    <x v="30"/>
    <x v="62"/>
    <x v="5"/>
    <x v="50"/>
    <x v="34"/>
    <x v="57"/>
    <x v="62"/>
    <x v="62"/>
    <x v="61"/>
    <x v="1"/>
    <x v="62"/>
    <x v="62"/>
    <x v="62"/>
    <x v="0"/>
    <x v="0"/>
    <x v="0"/>
    <x v="24"/>
    <x v="2"/>
    <x v="28"/>
    <x v="28"/>
    <x v="1"/>
    <x v="20"/>
  </r>
  <r>
    <x v="0"/>
    <x v="9"/>
    <x v="61"/>
    <x v="47"/>
    <x v="6"/>
    <x v="48"/>
    <x v="2"/>
    <x v="63"/>
    <x v="16"/>
    <x v="2"/>
    <x v="25"/>
    <x v="58"/>
    <x v="63"/>
    <x v="63"/>
    <x v="62"/>
    <x v="4"/>
    <x v="63"/>
    <x v="63"/>
    <x v="63"/>
    <x v="0"/>
    <x v="0"/>
    <x v="0"/>
    <x v="14"/>
    <x v="6"/>
    <x v="10"/>
    <x v="4"/>
    <x v="1"/>
    <x v="5"/>
  </r>
  <r>
    <x v="0"/>
    <x v="13"/>
    <x v="62"/>
    <x v="13"/>
    <x v="8"/>
    <x v="49"/>
    <x v="0"/>
    <x v="64"/>
    <x v="15"/>
    <x v="51"/>
    <x v="55"/>
    <x v="59"/>
    <x v="64"/>
    <x v="64"/>
    <x v="63"/>
    <x v="7"/>
    <x v="64"/>
    <x v="64"/>
    <x v="64"/>
    <x v="0"/>
    <x v="0"/>
    <x v="2"/>
    <x v="14"/>
    <x v="12"/>
    <x v="43"/>
    <x v="8"/>
    <x v="1"/>
    <x v="1"/>
  </r>
  <r>
    <x v="0"/>
    <x v="11"/>
    <x v="63"/>
    <x v="48"/>
    <x v="0"/>
    <x v="1"/>
    <x v="31"/>
    <x v="65"/>
    <x v="5"/>
    <x v="37"/>
    <x v="56"/>
    <x v="60"/>
    <x v="65"/>
    <x v="65"/>
    <x v="64"/>
    <x v="5"/>
    <x v="65"/>
    <x v="65"/>
    <x v="65"/>
    <x v="0"/>
    <x v="0"/>
    <x v="0"/>
    <x v="25"/>
    <x v="6"/>
    <x v="44"/>
    <x v="11"/>
    <x v="1"/>
    <x v="39"/>
  </r>
  <r>
    <x v="0"/>
    <x v="3"/>
    <x v="64"/>
    <x v="49"/>
    <x v="2"/>
    <x v="21"/>
    <x v="29"/>
    <x v="66"/>
    <x v="28"/>
    <x v="34"/>
    <x v="57"/>
    <x v="61"/>
    <x v="66"/>
    <x v="66"/>
    <x v="65"/>
    <x v="0"/>
    <x v="66"/>
    <x v="66"/>
    <x v="66"/>
    <x v="0"/>
    <x v="0"/>
    <x v="0"/>
    <x v="22"/>
    <x v="8"/>
    <x v="44"/>
    <x v="29"/>
    <x v="1"/>
    <x v="40"/>
  </r>
  <r>
    <x v="0"/>
    <x v="45"/>
    <x v="65"/>
    <x v="45"/>
    <x v="0"/>
    <x v="50"/>
    <x v="0"/>
    <x v="67"/>
    <x v="29"/>
    <x v="46"/>
    <x v="58"/>
    <x v="62"/>
    <x v="67"/>
    <x v="67"/>
    <x v="66"/>
    <x v="1"/>
    <x v="67"/>
    <x v="67"/>
    <x v="67"/>
    <x v="0"/>
    <x v="0"/>
    <x v="2"/>
    <x v="26"/>
    <x v="0"/>
    <x v="45"/>
    <x v="24"/>
    <x v="3"/>
    <x v="41"/>
  </r>
  <r>
    <x v="0"/>
    <x v="46"/>
    <x v="66"/>
    <x v="50"/>
    <x v="31"/>
    <x v="51"/>
    <x v="0"/>
    <x v="68"/>
    <x v="30"/>
    <x v="52"/>
    <x v="59"/>
    <x v="63"/>
    <x v="68"/>
    <x v="68"/>
    <x v="67"/>
    <x v="4"/>
    <x v="68"/>
    <x v="68"/>
    <x v="68"/>
    <x v="0"/>
    <x v="0"/>
    <x v="2"/>
    <x v="26"/>
    <x v="0"/>
    <x v="46"/>
    <x v="12"/>
    <x v="1"/>
    <x v="1"/>
  </r>
  <r>
    <x v="0"/>
    <x v="47"/>
    <x v="67"/>
    <x v="51"/>
    <x v="32"/>
    <x v="6"/>
    <x v="20"/>
    <x v="69"/>
    <x v="5"/>
    <x v="21"/>
    <x v="60"/>
    <x v="64"/>
    <x v="69"/>
    <x v="69"/>
    <x v="68"/>
    <x v="3"/>
    <x v="69"/>
    <x v="69"/>
    <x v="60"/>
    <x v="0"/>
    <x v="0"/>
    <x v="0"/>
    <x v="23"/>
    <x v="8"/>
    <x v="47"/>
    <x v="0"/>
    <x v="1"/>
    <x v="7"/>
  </r>
  <r>
    <x v="0"/>
    <x v="48"/>
    <x v="68"/>
    <x v="51"/>
    <x v="33"/>
    <x v="1"/>
    <x v="30"/>
    <x v="70"/>
    <x v="31"/>
    <x v="53"/>
    <x v="61"/>
    <x v="65"/>
    <x v="70"/>
    <x v="70"/>
    <x v="69"/>
    <x v="0"/>
    <x v="70"/>
    <x v="70"/>
    <x v="69"/>
    <x v="0"/>
    <x v="0"/>
    <x v="2"/>
    <x v="18"/>
    <x v="10"/>
    <x v="48"/>
    <x v="7"/>
    <x v="3"/>
    <x v="42"/>
  </r>
  <r>
    <x v="0"/>
    <x v="15"/>
    <x v="69"/>
    <x v="11"/>
    <x v="10"/>
    <x v="52"/>
    <x v="14"/>
    <x v="71"/>
    <x v="32"/>
    <x v="14"/>
    <x v="62"/>
    <x v="66"/>
    <x v="71"/>
    <x v="71"/>
    <x v="70"/>
    <x v="4"/>
    <x v="71"/>
    <x v="71"/>
    <x v="70"/>
    <x v="0"/>
    <x v="0"/>
    <x v="0"/>
    <x v="18"/>
    <x v="15"/>
    <x v="9"/>
    <x v="30"/>
    <x v="3"/>
    <x v="1"/>
  </r>
  <r>
    <x v="0"/>
    <x v="49"/>
    <x v="70"/>
    <x v="52"/>
    <x v="34"/>
    <x v="53"/>
    <x v="15"/>
    <x v="72"/>
    <x v="33"/>
    <x v="54"/>
    <x v="63"/>
    <x v="67"/>
    <x v="72"/>
    <x v="72"/>
    <x v="71"/>
    <x v="4"/>
    <x v="72"/>
    <x v="72"/>
    <x v="71"/>
    <x v="0"/>
    <x v="0"/>
    <x v="0"/>
    <x v="27"/>
    <x v="8"/>
    <x v="13"/>
    <x v="31"/>
    <x v="1"/>
    <x v="1"/>
  </r>
  <r>
    <x v="0"/>
    <x v="50"/>
    <x v="71"/>
    <x v="32"/>
    <x v="35"/>
    <x v="54"/>
    <x v="14"/>
    <x v="73"/>
    <x v="34"/>
    <x v="14"/>
    <x v="64"/>
    <x v="68"/>
    <x v="73"/>
    <x v="73"/>
    <x v="72"/>
    <x v="8"/>
    <x v="73"/>
    <x v="73"/>
    <x v="72"/>
    <x v="0"/>
    <x v="0"/>
    <x v="0"/>
    <x v="26"/>
    <x v="6"/>
    <x v="49"/>
    <x v="8"/>
    <x v="1"/>
    <x v="22"/>
  </r>
  <r>
    <x v="0"/>
    <x v="51"/>
    <x v="72"/>
    <x v="45"/>
    <x v="36"/>
    <x v="55"/>
    <x v="38"/>
    <x v="74"/>
    <x v="35"/>
    <x v="55"/>
    <x v="65"/>
    <x v="69"/>
    <x v="74"/>
    <x v="74"/>
    <x v="73"/>
    <x v="0"/>
    <x v="74"/>
    <x v="74"/>
    <x v="73"/>
    <x v="0"/>
    <x v="0"/>
    <x v="2"/>
    <x v="26"/>
    <x v="1"/>
    <x v="6"/>
    <x v="28"/>
    <x v="1"/>
    <x v="43"/>
  </r>
  <r>
    <x v="0"/>
    <x v="52"/>
    <x v="73"/>
    <x v="18"/>
    <x v="37"/>
    <x v="56"/>
    <x v="14"/>
    <x v="75"/>
    <x v="5"/>
    <x v="56"/>
    <x v="66"/>
    <x v="70"/>
    <x v="75"/>
    <x v="75"/>
    <x v="74"/>
    <x v="1"/>
    <x v="75"/>
    <x v="75"/>
    <x v="74"/>
    <x v="0"/>
    <x v="0"/>
    <x v="0"/>
    <x v="25"/>
    <x v="11"/>
    <x v="50"/>
    <x v="0"/>
    <x v="1"/>
    <x v="44"/>
  </r>
  <r>
    <x v="0"/>
    <x v="53"/>
    <x v="74"/>
    <x v="53"/>
    <x v="38"/>
    <x v="57"/>
    <x v="39"/>
    <x v="76"/>
    <x v="18"/>
    <x v="57"/>
    <x v="67"/>
    <x v="71"/>
    <x v="76"/>
    <x v="76"/>
    <x v="75"/>
    <x v="0"/>
    <x v="76"/>
    <x v="76"/>
    <x v="75"/>
    <x v="0"/>
    <x v="0"/>
    <x v="0"/>
    <x v="26"/>
    <x v="16"/>
    <x v="51"/>
    <x v="9"/>
    <x v="3"/>
    <x v="1"/>
  </r>
  <r>
    <x v="0"/>
    <x v="54"/>
    <x v="75"/>
    <x v="34"/>
    <x v="39"/>
    <x v="58"/>
    <x v="29"/>
    <x v="77"/>
    <x v="18"/>
    <x v="58"/>
    <x v="68"/>
    <x v="72"/>
    <x v="77"/>
    <x v="77"/>
    <x v="76"/>
    <x v="2"/>
    <x v="77"/>
    <x v="77"/>
    <x v="76"/>
    <x v="0"/>
    <x v="0"/>
    <x v="0"/>
    <x v="26"/>
    <x v="0"/>
    <x v="12"/>
    <x v="27"/>
    <x v="1"/>
    <x v="1"/>
  </r>
  <r>
    <x v="0"/>
    <x v="45"/>
    <x v="76"/>
    <x v="54"/>
    <x v="0"/>
    <x v="59"/>
    <x v="0"/>
    <x v="78"/>
    <x v="36"/>
    <x v="52"/>
    <x v="69"/>
    <x v="73"/>
    <x v="78"/>
    <x v="78"/>
    <x v="77"/>
    <x v="1"/>
    <x v="78"/>
    <x v="78"/>
    <x v="77"/>
    <x v="0"/>
    <x v="0"/>
    <x v="2"/>
    <x v="26"/>
    <x v="2"/>
    <x v="52"/>
    <x v="24"/>
    <x v="3"/>
    <x v="6"/>
  </r>
  <r>
    <x v="0"/>
    <x v="47"/>
    <x v="77"/>
    <x v="11"/>
    <x v="32"/>
    <x v="60"/>
    <x v="32"/>
    <x v="79"/>
    <x v="37"/>
    <x v="59"/>
    <x v="70"/>
    <x v="74"/>
    <x v="79"/>
    <x v="79"/>
    <x v="78"/>
    <x v="0"/>
    <x v="79"/>
    <x v="79"/>
    <x v="78"/>
    <x v="0"/>
    <x v="1"/>
    <x v="2"/>
    <x v="26"/>
    <x v="6"/>
    <x v="44"/>
    <x v="6"/>
    <x v="3"/>
    <x v="14"/>
  </r>
  <r>
    <x v="0"/>
    <x v="47"/>
    <x v="42"/>
    <x v="23"/>
    <x v="32"/>
    <x v="6"/>
    <x v="20"/>
    <x v="80"/>
    <x v="5"/>
    <x v="21"/>
    <x v="24"/>
    <x v="64"/>
    <x v="80"/>
    <x v="80"/>
    <x v="79"/>
    <x v="2"/>
    <x v="80"/>
    <x v="80"/>
    <x v="79"/>
    <x v="0"/>
    <x v="0"/>
    <x v="0"/>
    <x v="9"/>
    <x v="5"/>
    <x v="21"/>
    <x v="15"/>
    <x v="1"/>
    <x v="45"/>
  </r>
  <r>
    <x v="0"/>
    <x v="55"/>
    <x v="78"/>
    <x v="5"/>
    <x v="40"/>
    <x v="21"/>
    <x v="8"/>
    <x v="81"/>
    <x v="38"/>
    <x v="8"/>
    <x v="71"/>
    <x v="75"/>
    <x v="81"/>
    <x v="81"/>
    <x v="80"/>
    <x v="0"/>
    <x v="81"/>
    <x v="81"/>
    <x v="80"/>
    <x v="0"/>
    <x v="0"/>
    <x v="0"/>
    <x v="18"/>
    <x v="3"/>
    <x v="53"/>
    <x v="9"/>
    <x v="1"/>
    <x v="46"/>
  </r>
  <r>
    <x v="0"/>
    <x v="56"/>
    <x v="79"/>
    <x v="55"/>
    <x v="41"/>
    <x v="61"/>
    <x v="2"/>
    <x v="82"/>
    <x v="39"/>
    <x v="60"/>
    <x v="72"/>
    <x v="76"/>
    <x v="82"/>
    <x v="82"/>
    <x v="81"/>
    <x v="4"/>
    <x v="82"/>
    <x v="82"/>
    <x v="81"/>
    <x v="0"/>
    <x v="0"/>
    <x v="2"/>
    <x v="14"/>
    <x v="11"/>
    <x v="12"/>
    <x v="15"/>
    <x v="1"/>
    <x v="47"/>
  </r>
  <r>
    <x v="0"/>
    <x v="57"/>
    <x v="80"/>
    <x v="29"/>
    <x v="42"/>
    <x v="62"/>
    <x v="14"/>
    <x v="83"/>
    <x v="40"/>
    <x v="61"/>
    <x v="26"/>
    <x v="77"/>
    <x v="83"/>
    <x v="83"/>
    <x v="82"/>
    <x v="0"/>
    <x v="83"/>
    <x v="83"/>
    <x v="82"/>
    <x v="0"/>
    <x v="0"/>
    <x v="0"/>
    <x v="18"/>
    <x v="11"/>
    <x v="12"/>
    <x v="32"/>
    <x v="3"/>
    <x v="48"/>
  </r>
  <r>
    <x v="0"/>
    <x v="58"/>
    <x v="81"/>
    <x v="56"/>
    <x v="43"/>
    <x v="63"/>
    <x v="40"/>
    <x v="4"/>
    <x v="41"/>
    <x v="62"/>
    <x v="73"/>
    <x v="78"/>
    <x v="84"/>
    <x v="84"/>
    <x v="83"/>
    <x v="3"/>
    <x v="84"/>
    <x v="84"/>
    <x v="83"/>
    <x v="0"/>
    <x v="6"/>
    <x v="4"/>
    <x v="4"/>
    <x v="2"/>
    <x v="54"/>
    <x v="33"/>
    <x v="2"/>
    <x v="49"/>
  </r>
  <r>
    <x v="0"/>
    <x v="59"/>
    <x v="82"/>
    <x v="57"/>
    <x v="44"/>
    <x v="64"/>
    <x v="11"/>
    <x v="84"/>
    <x v="38"/>
    <x v="63"/>
    <x v="74"/>
    <x v="79"/>
    <x v="85"/>
    <x v="85"/>
    <x v="84"/>
    <x v="4"/>
    <x v="85"/>
    <x v="85"/>
    <x v="84"/>
    <x v="0"/>
    <x v="0"/>
    <x v="0"/>
    <x v="26"/>
    <x v="9"/>
    <x v="30"/>
    <x v="22"/>
    <x v="1"/>
    <x v="50"/>
  </r>
  <r>
    <x v="0"/>
    <x v="20"/>
    <x v="83"/>
    <x v="16"/>
    <x v="13"/>
    <x v="10"/>
    <x v="32"/>
    <x v="85"/>
    <x v="5"/>
    <x v="59"/>
    <x v="75"/>
    <x v="80"/>
    <x v="86"/>
    <x v="86"/>
    <x v="85"/>
    <x v="1"/>
    <x v="86"/>
    <x v="86"/>
    <x v="85"/>
    <x v="0"/>
    <x v="0"/>
    <x v="0"/>
    <x v="18"/>
    <x v="11"/>
    <x v="6"/>
    <x v="6"/>
    <x v="1"/>
    <x v="51"/>
  </r>
  <r>
    <x v="0"/>
    <x v="60"/>
    <x v="84"/>
    <x v="41"/>
    <x v="45"/>
    <x v="65"/>
    <x v="41"/>
    <x v="86"/>
    <x v="21"/>
    <x v="64"/>
    <x v="76"/>
    <x v="81"/>
    <x v="87"/>
    <x v="87"/>
    <x v="86"/>
    <x v="4"/>
    <x v="87"/>
    <x v="87"/>
    <x v="86"/>
    <x v="0"/>
    <x v="0"/>
    <x v="2"/>
    <x v="28"/>
    <x v="5"/>
    <x v="55"/>
    <x v="21"/>
    <x v="1"/>
    <x v="1"/>
  </r>
  <r>
    <x v="0"/>
    <x v="61"/>
    <x v="85"/>
    <x v="29"/>
    <x v="46"/>
    <x v="66"/>
    <x v="35"/>
    <x v="87"/>
    <x v="42"/>
    <x v="65"/>
    <x v="77"/>
    <x v="82"/>
    <x v="88"/>
    <x v="88"/>
    <x v="87"/>
    <x v="4"/>
    <x v="88"/>
    <x v="88"/>
    <x v="87"/>
    <x v="0"/>
    <x v="0"/>
    <x v="2"/>
    <x v="19"/>
    <x v="2"/>
    <x v="56"/>
    <x v="12"/>
    <x v="5"/>
    <x v="40"/>
  </r>
  <r>
    <x v="0"/>
    <x v="62"/>
    <x v="60"/>
    <x v="58"/>
    <x v="47"/>
    <x v="67"/>
    <x v="42"/>
    <x v="88"/>
    <x v="43"/>
    <x v="66"/>
    <x v="78"/>
    <x v="83"/>
    <x v="89"/>
    <x v="89"/>
    <x v="88"/>
    <x v="0"/>
    <x v="89"/>
    <x v="89"/>
    <x v="88"/>
    <x v="0"/>
    <x v="0"/>
    <x v="2"/>
    <x v="28"/>
    <x v="11"/>
    <x v="57"/>
    <x v="0"/>
    <x v="6"/>
    <x v="25"/>
  </r>
  <r>
    <x v="0"/>
    <x v="63"/>
    <x v="28"/>
    <x v="59"/>
    <x v="48"/>
    <x v="68"/>
    <x v="43"/>
    <x v="89"/>
    <x v="44"/>
    <x v="67"/>
    <x v="79"/>
    <x v="84"/>
    <x v="90"/>
    <x v="90"/>
    <x v="89"/>
    <x v="1"/>
    <x v="90"/>
    <x v="90"/>
    <x v="55"/>
    <x v="0"/>
    <x v="0"/>
    <x v="2"/>
    <x v="28"/>
    <x v="3"/>
    <x v="58"/>
    <x v="6"/>
    <x v="1"/>
    <x v="13"/>
  </r>
  <r>
    <x v="0"/>
    <x v="43"/>
    <x v="86"/>
    <x v="7"/>
    <x v="0"/>
    <x v="69"/>
    <x v="10"/>
    <x v="90"/>
    <x v="45"/>
    <x v="33"/>
    <x v="80"/>
    <x v="85"/>
    <x v="91"/>
    <x v="91"/>
    <x v="90"/>
    <x v="0"/>
    <x v="91"/>
    <x v="91"/>
    <x v="89"/>
    <x v="0"/>
    <x v="0"/>
    <x v="3"/>
    <x v="28"/>
    <x v="14"/>
    <x v="59"/>
    <x v="4"/>
    <x v="1"/>
    <x v="7"/>
  </r>
  <r>
    <x v="0"/>
    <x v="42"/>
    <x v="87"/>
    <x v="60"/>
    <x v="30"/>
    <x v="70"/>
    <x v="44"/>
    <x v="91"/>
    <x v="5"/>
    <x v="68"/>
    <x v="81"/>
    <x v="86"/>
    <x v="92"/>
    <x v="92"/>
    <x v="91"/>
    <x v="0"/>
    <x v="92"/>
    <x v="92"/>
    <x v="90"/>
    <x v="0"/>
    <x v="0"/>
    <x v="0"/>
    <x v="28"/>
    <x v="6"/>
    <x v="60"/>
    <x v="34"/>
    <x v="1"/>
    <x v="52"/>
  </r>
  <r>
    <x v="0"/>
    <x v="64"/>
    <x v="88"/>
    <x v="42"/>
    <x v="49"/>
    <x v="71"/>
    <x v="11"/>
    <x v="92"/>
    <x v="45"/>
    <x v="69"/>
    <x v="82"/>
    <x v="87"/>
    <x v="93"/>
    <x v="93"/>
    <x v="92"/>
    <x v="0"/>
    <x v="93"/>
    <x v="93"/>
    <x v="91"/>
    <x v="0"/>
    <x v="0"/>
    <x v="2"/>
    <x v="28"/>
    <x v="5"/>
    <x v="61"/>
    <x v="17"/>
    <x v="1"/>
    <x v="0"/>
  </r>
  <r>
    <x v="0"/>
    <x v="65"/>
    <x v="89"/>
    <x v="56"/>
    <x v="50"/>
    <x v="72"/>
    <x v="45"/>
    <x v="93"/>
    <x v="46"/>
    <x v="70"/>
    <x v="83"/>
    <x v="88"/>
    <x v="94"/>
    <x v="94"/>
    <x v="93"/>
    <x v="0"/>
    <x v="94"/>
    <x v="94"/>
    <x v="92"/>
    <x v="0"/>
    <x v="0"/>
    <x v="4"/>
    <x v="9"/>
    <x v="17"/>
    <x v="62"/>
    <x v="21"/>
    <x v="1"/>
    <x v="1"/>
  </r>
  <r>
    <x v="0"/>
    <x v="66"/>
    <x v="90"/>
    <x v="61"/>
    <x v="51"/>
    <x v="23"/>
    <x v="21"/>
    <x v="94"/>
    <x v="5"/>
    <x v="71"/>
    <x v="84"/>
    <x v="89"/>
    <x v="95"/>
    <x v="95"/>
    <x v="94"/>
    <x v="3"/>
    <x v="95"/>
    <x v="95"/>
    <x v="93"/>
    <x v="0"/>
    <x v="0"/>
    <x v="0"/>
    <x v="18"/>
    <x v="11"/>
    <x v="20"/>
    <x v="14"/>
    <x v="1"/>
    <x v="53"/>
  </r>
  <r>
    <x v="0"/>
    <x v="3"/>
    <x v="91"/>
    <x v="1"/>
    <x v="2"/>
    <x v="73"/>
    <x v="2"/>
    <x v="95"/>
    <x v="47"/>
    <x v="72"/>
    <x v="85"/>
    <x v="90"/>
    <x v="96"/>
    <x v="96"/>
    <x v="95"/>
    <x v="1"/>
    <x v="96"/>
    <x v="96"/>
    <x v="94"/>
    <x v="0"/>
    <x v="0"/>
    <x v="0"/>
    <x v="28"/>
    <x v="11"/>
    <x v="6"/>
    <x v="35"/>
    <x v="1"/>
    <x v="54"/>
  </r>
  <r>
    <x v="0"/>
    <x v="3"/>
    <x v="92"/>
    <x v="2"/>
    <x v="2"/>
    <x v="3"/>
    <x v="19"/>
    <x v="96"/>
    <x v="18"/>
    <x v="20"/>
    <x v="86"/>
    <x v="3"/>
    <x v="97"/>
    <x v="97"/>
    <x v="96"/>
    <x v="0"/>
    <x v="97"/>
    <x v="97"/>
    <x v="95"/>
    <x v="0"/>
    <x v="0"/>
    <x v="0"/>
    <x v="29"/>
    <x v="5"/>
    <x v="63"/>
    <x v="36"/>
    <x v="1"/>
    <x v="55"/>
  </r>
  <r>
    <x v="0"/>
    <x v="67"/>
    <x v="93"/>
    <x v="60"/>
    <x v="52"/>
    <x v="74"/>
    <x v="46"/>
    <x v="4"/>
    <x v="48"/>
    <x v="73"/>
    <x v="87"/>
    <x v="91"/>
    <x v="98"/>
    <x v="98"/>
    <x v="97"/>
    <x v="0"/>
    <x v="98"/>
    <x v="98"/>
    <x v="96"/>
    <x v="2"/>
    <x v="7"/>
    <x v="1"/>
    <x v="4"/>
    <x v="6"/>
    <x v="64"/>
    <x v="17"/>
    <x v="1"/>
    <x v="1"/>
  </r>
  <r>
    <x v="0"/>
    <x v="16"/>
    <x v="64"/>
    <x v="62"/>
    <x v="0"/>
    <x v="16"/>
    <x v="15"/>
    <x v="97"/>
    <x v="13"/>
    <x v="15"/>
    <x v="18"/>
    <x v="18"/>
    <x v="99"/>
    <x v="99"/>
    <x v="20"/>
    <x v="9"/>
    <x v="99"/>
    <x v="99"/>
    <x v="97"/>
    <x v="0"/>
    <x v="0"/>
    <x v="0"/>
    <x v="14"/>
    <x v="3"/>
    <x v="16"/>
    <x v="0"/>
    <x v="1"/>
    <x v="56"/>
  </r>
  <r>
    <x v="0"/>
    <x v="49"/>
    <x v="94"/>
    <x v="11"/>
    <x v="34"/>
    <x v="6"/>
    <x v="29"/>
    <x v="98"/>
    <x v="23"/>
    <x v="74"/>
    <x v="84"/>
    <x v="92"/>
    <x v="100"/>
    <x v="100"/>
    <x v="98"/>
    <x v="4"/>
    <x v="100"/>
    <x v="100"/>
    <x v="98"/>
    <x v="0"/>
    <x v="0"/>
    <x v="0"/>
    <x v="30"/>
    <x v="18"/>
    <x v="20"/>
    <x v="10"/>
    <x v="1"/>
    <x v="57"/>
  </r>
  <r>
    <x v="0"/>
    <x v="68"/>
    <x v="95"/>
    <x v="63"/>
    <x v="53"/>
    <x v="39"/>
    <x v="2"/>
    <x v="99"/>
    <x v="49"/>
    <x v="75"/>
    <x v="88"/>
    <x v="93"/>
    <x v="101"/>
    <x v="101"/>
    <x v="99"/>
    <x v="4"/>
    <x v="101"/>
    <x v="101"/>
    <x v="99"/>
    <x v="0"/>
    <x v="0"/>
    <x v="0"/>
    <x v="16"/>
    <x v="8"/>
    <x v="30"/>
    <x v="6"/>
    <x v="1"/>
    <x v="33"/>
  </r>
  <r>
    <x v="0"/>
    <x v="69"/>
    <x v="96"/>
    <x v="5"/>
    <x v="54"/>
    <x v="1"/>
    <x v="31"/>
    <x v="100"/>
    <x v="5"/>
    <x v="37"/>
    <x v="56"/>
    <x v="94"/>
    <x v="102"/>
    <x v="102"/>
    <x v="100"/>
    <x v="3"/>
    <x v="102"/>
    <x v="102"/>
    <x v="100"/>
    <x v="0"/>
    <x v="0"/>
    <x v="0"/>
    <x v="29"/>
    <x v="10"/>
    <x v="44"/>
    <x v="6"/>
    <x v="1"/>
    <x v="39"/>
  </r>
  <r>
    <x v="0"/>
    <x v="70"/>
    <x v="97"/>
    <x v="64"/>
    <x v="55"/>
    <x v="33"/>
    <x v="31"/>
    <x v="101"/>
    <x v="50"/>
    <x v="37"/>
    <x v="89"/>
    <x v="95"/>
    <x v="103"/>
    <x v="103"/>
    <x v="101"/>
    <x v="1"/>
    <x v="103"/>
    <x v="103"/>
    <x v="101"/>
    <x v="0"/>
    <x v="0"/>
    <x v="0"/>
    <x v="29"/>
    <x v="2"/>
    <x v="31"/>
    <x v="4"/>
    <x v="1"/>
    <x v="58"/>
  </r>
  <r>
    <x v="0"/>
    <x v="71"/>
    <x v="98"/>
    <x v="56"/>
    <x v="56"/>
    <x v="75"/>
    <x v="25"/>
    <x v="102"/>
    <x v="11"/>
    <x v="76"/>
    <x v="90"/>
    <x v="96"/>
    <x v="104"/>
    <x v="104"/>
    <x v="102"/>
    <x v="0"/>
    <x v="104"/>
    <x v="104"/>
    <x v="102"/>
    <x v="0"/>
    <x v="0"/>
    <x v="2"/>
    <x v="16"/>
    <x v="5"/>
    <x v="65"/>
    <x v="9"/>
    <x v="1"/>
    <x v="59"/>
  </r>
  <r>
    <x v="0"/>
    <x v="72"/>
    <x v="99"/>
    <x v="42"/>
    <x v="57"/>
    <x v="76"/>
    <x v="38"/>
    <x v="103"/>
    <x v="51"/>
    <x v="55"/>
    <x v="91"/>
    <x v="97"/>
    <x v="105"/>
    <x v="105"/>
    <x v="103"/>
    <x v="0"/>
    <x v="105"/>
    <x v="105"/>
    <x v="103"/>
    <x v="0"/>
    <x v="0"/>
    <x v="0"/>
    <x v="29"/>
    <x v="7"/>
    <x v="12"/>
    <x v="23"/>
    <x v="1"/>
    <x v="1"/>
  </r>
  <r>
    <x v="0"/>
    <x v="73"/>
    <x v="82"/>
    <x v="18"/>
    <x v="58"/>
    <x v="21"/>
    <x v="1"/>
    <x v="104"/>
    <x v="15"/>
    <x v="1"/>
    <x v="29"/>
    <x v="28"/>
    <x v="106"/>
    <x v="106"/>
    <x v="104"/>
    <x v="1"/>
    <x v="106"/>
    <x v="106"/>
    <x v="104"/>
    <x v="0"/>
    <x v="0"/>
    <x v="2"/>
    <x v="18"/>
    <x v="6"/>
    <x v="23"/>
    <x v="21"/>
    <x v="3"/>
    <x v="26"/>
  </r>
  <r>
    <x v="0"/>
    <x v="74"/>
    <x v="100"/>
    <x v="41"/>
    <x v="59"/>
    <x v="77"/>
    <x v="22"/>
    <x v="105"/>
    <x v="21"/>
    <x v="77"/>
    <x v="92"/>
    <x v="98"/>
    <x v="107"/>
    <x v="107"/>
    <x v="105"/>
    <x v="4"/>
    <x v="107"/>
    <x v="107"/>
    <x v="105"/>
    <x v="0"/>
    <x v="0"/>
    <x v="2"/>
    <x v="29"/>
    <x v="1"/>
    <x v="66"/>
    <x v="9"/>
    <x v="3"/>
    <x v="1"/>
  </r>
  <r>
    <x v="0"/>
    <x v="75"/>
    <x v="101"/>
    <x v="32"/>
    <x v="0"/>
    <x v="78"/>
    <x v="22"/>
    <x v="106"/>
    <x v="1"/>
    <x v="78"/>
    <x v="93"/>
    <x v="99"/>
    <x v="108"/>
    <x v="108"/>
    <x v="106"/>
    <x v="0"/>
    <x v="108"/>
    <x v="108"/>
    <x v="106"/>
    <x v="0"/>
    <x v="0"/>
    <x v="0"/>
    <x v="29"/>
    <x v="6"/>
    <x v="67"/>
    <x v="11"/>
    <x v="1"/>
    <x v="47"/>
  </r>
  <r>
    <x v="0"/>
    <x v="76"/>
    <x v="102"/>
    <x v="51"/>
    <x v="60"/>
    <x v="10"/>
    <x v="6"/>
    <x v="107"/>
    <x v="5"/>
    <x v="6"/>
    <x v="94"/>
    <x v="100"/>
    <x v="109"/>
    <x v="109"/>
    <x v="107"/>
    <x v="4"/>
    <x v="109"/>
    <x v="109"/>
    <x v="107"/>
    <x v="0"/>
    <x v="0"/>
    <x v="0"/>
    <x v="31"/>
    <x v="2"/>
    <x v="10"/>
    <x v="4"/>
    <x v="1"/>
    <x v="29"/>
  </r>
  <r>
    <x v="0"/>
    <x v="77"/>
    <x v="103"/>
    <x v="18"/>
    <x v="61"/>
    <x v="79"/>
    <x v="47"/>
    <x v="108"/>
    <x v="15"/>
    <x v="79"/>
    <x v="95"/>
    <x v="101"/>
    <x v="110"/>
    <x v="110"/>
    <x v="108"/>
    <x v="2"/>
    <x v="110"/>
    <x v="110"/>
    <x v="108"/>
    <x v="0"/>
    <x v="0"/>
    <x v="2"/>
    <x v="31"/>
    <x v="5"/>
    <x v="68"/>
    <x v="22"/>
    <x v="0"/>
    <x v="59"/>
  </r>
  <r>
    <x v="1"/>
    <x v="27"/>
    <x v="104"/>
    <x v="65"/>
    <x v="0"/>
    <x v="80"/>
    <x v="22"/>
    <x v="109"/>
    <x v="52"/>
    <x v="80"/>
    <x v="96"/>
    <x v="102"/>
    <x v="111"/>
    <x v="111"/>
    <x v="109"/>
    <x v="0"/>
    <x v="111"/>
    <x v="111"/>
    <x v="109"/>
    <x v="0"/>
    <x v="0"/>
    <x v="0"/>
    <x v="23"/>
    <x v="18"/>
    <x v="69"/>
    <x v="9"/>
    <x v="1"/>
    <x v="1"/>
  </r>
  <r>
    <x v="0"/>
    <x v="27"/>
    <x v="63"/>
    <x v="48"/>
    <x v="0"/>
    <x v="40"/>
    <x v="48"/>
    <x v="110"/>
    <x v="5"/>
    <x v="81"/>
    <x v="97"/>
    <x v="48"/>
    <x v="112"/>
    <x v="112"/>
    <x v="110"/>
    <x v="0"/>
    <x v="112"/>
    <x v="112"/>
    <x v="110"/>
    <x v="0"/>
    <x v="0"/>
    <x v="0"/>
    <x v="16"/>
    <x v="1"/>
    <x v="70"/>
    <x v="1"/>
    <x v="1"/>
    <x v="60"/>
  </r>
  <r>
    <x v="0"/>
    <x v="78"/>
    <x v="61"/>
    <x v="66"/>
    <x v="0"/>
    <x v="60"/>
    <x v="25"/>
    <x v="111"/>
    <x v="53"/>
    <x v="82"/>
    <x v="98"/>
    <x v="103"/>
    <x v="113"/>
    <x v="113"/>
    <x v="111"/>
    <x v="3"/>
    <x v="113"/>
    <x v="113"/>
    <x v="111"/>
    <x v="0"/>
    <x v="8"/>
    <x v="4"/>
    <x v="31"/>
    <x v="14"/>
    <x v="6"/>
    <x v="34"/>
    <x v="1"/>
    <x v="1"/>
  </r>
  <r>
    <x v="0"/>
    <x v="9"/>
    <x v="105"/>
    <x v="67"/>
    <x v="6"/>
    <x v="81"/>
    <x v="20"/>
    <x v="112"/>
    <x v="8"/>
    <x v="83"/>
    <x v="9"/>
    <x v="104"/>
    <x v="114"/>
    <x v="114"/>
    <x v="112"/>
    <x v="3"/>
    <x v="114"/>
    <x v="114"/>
    <x v="112"/>
    <x v="0"/>
    <x v="1"/>
    <x v="0"/>
    <x v="16"/>
    <x v="1"/>
    <x v="6"/>
    <x v="7"/>
    <x v="1"/>
    <x v="1"/>
  </r>
  <r>
    <x v="0"/>
    <x v="36"/>
    <x v="106"/>
    <x v="68"/>
    <x v="26"/>
    <x v="9"/>
    <x v="20"/>
    <x v="113"/>
    <x v="8"/>
    <x v="83"/>
    <x v="9"/>
    <x v="9"/>
    <x v="115"/>
    <x v="115"/>
    <x v="113"/>
    <x v="1"/>
    <x v="115"/>
    <x v="115"/>
    <x v="113"/>
    <x v="0"/>
    <x v="1"/>
    <x v="0"/>
    <x v="16"/>
    <x v="12"/>
    <x v="6"/>
    <x v="32"/>
    <x v="1"/>
    <x v="1"/>
  </r>
  <r>
    <x v="0"/>
    <x v="21"/>
    <x v="107"/>
    <x v="58"/>
    <x v="14"/>
    <x v="82"/>
    <x v="14"/>
    <x v="114"/>
    <x v="54"/>
    <x v="14"/>
    <x v="99"/>
    <x v="105"/>
    <x v="116"/>
    <x v="116"/>
    <x v="114"/>
    <x v="0"/>
    <x v="116"/>
    <x v="116"/>
    <x v="114"/>
    <x v="0"/>
    <x v="0"/>
    <x v="0"/>
    <x v="16"/>
    <x v="8"/>
    <x v="71"/>
    <x v="21"/>
    <x v="1"/>
    <x v="1"/>
  </r>
  <r>
    <x v="0"/>
    <x v="70"/>
    <x v="108"/>
    <x v="27"/>
    <x v="55"/>
    <x v="83"/>
    <x v="14"/>
    <x v="115"/>
    <x v="55"/>
    <x v="14"/>
    <x v="100"/>
    <x v="106"/>
    <x v="117"/>
    <x v="117"/>
    <x v="115"/>
    <x v="0"/>
    <x v="117"/>
    <x v="117"/>
    <x v="115"/>
    <x v="0"/>
    <x v="0"/>
    <x v="0"/>
    <x v="16"/>
    <x v="1"/>
    <x v="30"/>
    <x v="13"/>
    <x v="1"/>
    <x v="59"/>
  </r>
  <r>
    <x v="0"/>
    <x v="24"/>
    <x v="109"/>
    <x v="69"/>
    <x v="17"/>
    <x v="84"/>
    <x v="1"/>
    <x v="116"/>
    <x v="56"/>
    <x v="1"/>
    <x v="61"/>
    <x v="107"/>
    <x v="118"/>
    <x v="118"/>
    <x v="116"/>
    <x v="3"/>
    <x v="118"/>
    <x v="118"/>
    <x v="116"/>
    <x v="0"/>
    <x v="0"/>
    <x v="2"/>
    <x v="16"/>
    <x v="12"/>
    <x v="48"/>
    <x v="10"/>
    <x v="3"/>
    <x v="1"/>
  </r>
  <r>
    <x v="0"/>
    <x v="61"/>
    <x v="107"/>
    <x v="70"/>
    <x v="46"/>
    <x v="85"/>
    <x v="0"/>
    <x v="117"/>
    <x v="57"/>
    <x v="84"/>
    <x v="37"/>
    <x v="108"/>
    <x v="119"/>
    <x v="119"/>
    <x v="117"/>
    <x v="0"/>
    <x v="119"/>
    <x v="119"/>
    <x v="117"/>
    <x v="0"/>
    <x v="0"/>
    <x v="3"/>
    <x v="16"/>
    <x v="1"/>
    <x v="30"/>
    <x v="25"/>
    <x v="1"/>
    <x v="7"/>
  </r>
  <r>
    <x v="0"/>
    <x v="3"/>
    <x v="110"/>
    <x v="57"/>
    <x v="2"/>
    <x v="21"/>
    <x v="29"/>
    <x v="118"/>
    <x v="9"/>
    <x v="34"/>
    <x v="101"/>
    <x v="61"/>
    <x v="120"/>
    <x v="120"/>
    <x v="118"/>
    <x v="0"/>
    <x v="120"/>
    <x v="120"/>
    <x v="118"/>
    <x v="0"/>
    <x v="0"/>
    <x v="0"/>
    <x v="16"/>
    <x v="12"/>
    <x v="20"/>
    <x v="24"/>
    <x v="1"/>
    <x v="61"/>
  </r>
  <r>
    <x v="0"/>
    <x v="79"/>
    <x v="111"/>
    <x v="71"/>
    <x v="62"/>
    <x v="86"/>
    <x v="0"/>
    <x v="119"/>
    <x v="58"/>
    <x v="85"/>
    <x v="102"/>
    <x v="109"/>
    <x v="121"/>
    <x v="121"/>
    <x v="119"/>
    <x v="0"/>
    <x v="121"/>
    <x v="121"/>
    <x v="119"/>
    <x v="0"/>
    <x v="0"/>
    <x v="2"/>
    <x v="16"/>
    <x v="8"/>
    <x v="72"/>
    <x v="10"/>
    <x v="3"/>
    <x v="1"/>
  </r>
  <r>
    <x v="0"/>
    <x v="80"/>
    <x v="112"/>
    <x v="72"/>
    <x v="63"/>
    <x v="1"/>
    <x v="49"/>
    <x v="120"/>
    <x v="56"/>
    <x v="86"/>
    <x v="103"/>
    <x v="110"/>
    <x v="122"/>
    <x v="122"/>
    <x v="120"/>
    <x v="4"/>
    <x v="122"/>
    <x v="122"/>
    <x v="120"/>
    <x v="0"/>
    <x v="0"/>
    <x v="2"/>
    <x v="16"/>
    <x v="0"/>
    <x v="13"/>
    <x v="18"/>
    <x v="1"/>
    <x v="43"/>
  </r>
  <r>
    <x v="0"/>
    <x v="81"/>
    <x v="113"/>
    <x v="73"/>
    <x v="64"/>
    <x v="10"/>
    <x v="24"/>
    <x v="121"/>
    <x v="20"/>
    <x v="25"/>
    <x v="104"/>
    <x v="111"/>
    <x v="123"/>
    <x v="123"/>
    <x v="121"/>
    <x v="0"/>
    <x v="123"/>
    <x v="123"/>
    <x v="121"/>
    <x v="0"/>
    <x v="0"/>
    <x v="0"/>
    <x v="16"/>
    <x v="0"/>
    <x v="48"/>
    <x v="10"/>
    <x v="1"/>
    <x v="1"/>
  </r>
  <r>
    <x v="0"/>
    <x v="44"/>
    <x v="114"/>
    <x v="74"/>
    <x v="0"/>
    <x v="87"/>
    <x v="50"/>
    <x v="122"/>
    <x v="46"/>
    <x v="87"/>
    <x v="105"/>
    <x v="112"/>
    <x v="124"/>
    <x v="124"/>
    <x v="122"/>
    <x v="0"/>
    <x v="124"/>
    <x v="124"/>
    <x v="122"/>
    <x v="0"/>
    <x v="5"/>
    <x v="4"/>
    <x v="16"/>
    <x v="17"/>
    <x v="73"/>
    <x v="10"/>
    <x v="1"/>
    <x v="1"/>
  </r>
  <r>
    <x v="0"/>
    <x v="82"/>
    <x v="115"/>
    <x v="58"/>
    <x v="65"/>
    <x v="88"/>
    <x v="0"/>
    <x v="123"/>
    <x v="59"/>
    <x v="88"/>
    <x v="106"/>
    <x v="113"/>
    <x v="125"/>
    <x v="125"/>
    <x v="123"/>
    <x v="0"/>
    <x v="125"/>
    <x v="125"/>
    <x v="123"/>
    <x v="0"/>
    <x v="0"/>
    <x v="2"/>
    <x v="16"/>
    <x v="9"/>
    <x v="74"/>
    <x v="32"/>
    <x v="7"/>
    <x v="12"/>
  </r>
  <r>
    <x v="0"/>
    <x v="44"/>
    <x v="101"/>
    <x v="67"/>
    <x v="0"/>
    <x v="89"/>
    <x v="51"/>
    <x v="124"/>
    <x v="46"/>
    <x v="89"/>
    <x v="107"/>
    <x v="114"/>
    <x v="126"/>
    <x v="126"/>
    <x v="124"/>
    <x v="0"/>
    <x v="126"/>
    <x v="126"/>
    <x v="124"/>
    <x v="0"/>
    <x v="0"/>
    <x v="4"/>
    <x v="16"/>
    <x v="17"/>
    <x v="75"/>
    <x v="13"/>
    <x v="1"/>
    <x v="1"/>
  </r>
  <r>
    <x v="0"/>
    <x v="76"/>
    <x v="67"/>
    <x v="52"/>
    <x v="60"/>
    <x v="90"/>
    <x v="8"/>
    <x v="125"/>
    <x v="1"/>
    <x v="8"/>
    <x v="108"/>
    <x v="115"/>
    <x v="127"/>
    <x v="127"/>
    <x v="125"/>
    <x v="3"/>
    <x v="127"/>
    <x v="127"/>
    <x v="125"/>
    <x v="0"/>
    <x v="0"/>
    <x v="0"/>
    <x v="18"/>
    <x v="9"/>
    <x v="76"/>
    <x v="1"/>
    <x v="1"/>
    <x v="62"/>
  </r>
  <r>
    <x v="0"/>
    <x v="83"/>
    <x v="116"/>
    <x v="60"/>
    <x v="66"/>
    <x v="91"/>
    <x v="3"/>
    <x v="126"/>
    <x v="18"/>
    <x v="3"/>
    <x v="99"/>
    <x v="116"/>
    <x v="128"/>
    <x v="128"/>
    <x v="126"/>
    <x v="0"/>
    <x v="128"/>
    <x v="128"/>
    <x v="126"/>
    <x v="0"/>
    <x v="5"/>
    <x v="4"/>
    <x v="16"/>
    <x v="2"/>
    <x v="71"/>
    <x v="14"/>
    <x v="1"/>
    <x v="63"/>
  </r>
  <r>
    <x v="0"/>
    <x v="84"/>
    <x v="53"/>
    <x v="75"/>
    <x v="67"/>
    <x v="92"/>
    <x v="10"/>
    <x v="127"/>
    <x v="60"/>
    <x v="33"/>
    <x v="109"/>
    <x v="117"/>
    <x v="129"/>
    <x v="129"/>
    <x v="127"/>
    <x v="4"/>
    <x v="129"/>
    <x v="129"/>
    <x v="127"/>
    <x v="0"/>
    <x v="0"/>
    <x v="0"/>
    <x v="16"/>
    <x v="0"/>
    <x v="77"/>
    <x v="10"/>
    <x v="1"/>
    <x v="1"/>
  </r>
  <r>
    <x v="0"/>
    <x v="85"/>
    <x v="27"/>
    <x v="69"/>
    <x v="0"/>
    <x v="90"/>
    <x v="8"/>
    <x v="128"/>
    <x v="1"/>
    <x v="8"/>
    <x v="108"/>
    <x v="115"/>
    <x v="130"/>
    <x v="130"/>
    <x v="128"/>
    <x v="1"/>
    <x v="130"/>
    <x v="130"/>
    <x v="5"/>
    <x v="0"/>
    <x v="0"/>
    <x v="0"/>
    <x v="16"/>
    <x v="10"/>
    <x v="76"/>
    <x v="15"/>
    <x v="1"/>
    <x v="62"/>
  </r>
  <r>
    <x v="0"/>
    <x v="86"/>
    <x v="117"/>
    <x v="45"/>
    <x v="68"/>
    <x v="93"/>
    <x v="30"/>
    <x v="129"/>
    <x v="61"/>
    <x v="53"/>
    <x v="110"/>
    <x v="118"/>
    <x v="131"/>
    <x v="131"/>
    <x v="129"/>
    <x v="0"/>
    <x v="131"/>
    <x v="131"/>
    <x v="128"/>
    <x v="0"/>
    <x v="0"/>
    <x v="2"/>
    <x v="16"/>
    <x v="8"/>
    <x v="78"/>
    <x v="8"/>
    <x v="3"/>
    <x v="1"/>
  </r>
  <r>
    <x v="0"/>
    <x v="87"/>
    <x v="118"/>
    <x v="76"/>
    <x v="69"/>
    <x v="94"/>
    <x v="52"/>
    <x v="130"/>
    <x v="62"/>
    <x v="90"/>
    <x v="111"/>
    <x v="119"/>
    <x v="132"/>
    <x v="132"/>
    <x v="130"/>
    <x v="0"/>
    <x v="132"/>
    <x v="132"/>
    <x v="129"/>
    <x v="0"/>
    <x v="0"/>
    <x v="2"/>
    <x v="16"/>
    <x v="0"/>
    <x v="79"/>
    <x v="37"/>
    <x v="1"/>
    <x v="1"/>
  </r>
  <r>
    <x v="0"/>
    <x v="88"/>
    <x v="119"/>
    <x v="77"/>
    <x v="70"/>
    <x v="95"/>
    <x v="21"/>
    <x v="131"/>
    <x v="1"/>
    <x v="22"/>
    <x v="112"/>
    <x v="120"/>
    <x v="133"/>
    <x v="133"/>
    <x v="131"/>
    <x v="0"/>
    <x v="133"/>
    <x v="133"/>
    <x v="130"/>
    <x v="0"/>
    <x v="0"/>
    <x v="0"/>
    <x v="16"/>
    <x v="3"/>
    <x v="80"/>
    <x v="27"/>
    <x v="3"/>
    <x v="64"/>
  </r>
  <r>
    <x v="0"/>
    <x v="24"/>
    <x v="120"/>
    <x v="18"/>
    <x v="17"/>
    <x v="96"/>
    <x v="1"/>
    <x v="132"/>
    <x v="63"/>
    <x v="1"/>
    <x v="113"/>
    <x v="121"/>
    <x v="134"/>
    <x v="134"/>
    <x v="132"/>
    <x v="6"/>
    <x v="134"/>
    <x v="134"/>
    <x v="131"/>
    <x v="0"/>
    <x v="0"/>
    <x v="0"/>
    <x v="32"/>
    <x v="3"/>
    <x v="53"/>
    <x v="5"/>
    <x v="3"/>
    <x v="29"/>
  </r>
  <r>
    <x v="0"/>
    <x v="89"/>
    <x v="121"/>
    <x v="22"/>
    <x v="10"/>
    <x v="97"/>
    <x v="14"/>
    <x v="133"/>
    <x v="2"/>
    <x v="56"/>
    <x v="114"/>
    <x v="122"/>
    <x v="135"/>
    <x v="135"/>
    <x v="133"/>
    <x v="0"/>
    <x v="135"/>
    <x v="135"/>
    <x v="132"/>
    <x v="0"/>
    <x v="9"/>
    <x v="0"/>
    <x v="16"/>
    <x v="2"/>
    <x v="10"/>
    <x v="38"/>
    <x v="1"/>
    <x v="65"/>
  </r>
  <r>
    <x v="0"/>
    <x v="90"/>
    <x v="122"/>
    <x v="73"/>
    <x v="71"/>
    <x v="98"/>
    <x v="25"/>
    <x v="134"/>
    <x v="64"/>
    <x v="82"/>
    <x v="115"/>
    <x v="123"/>
    <x v="136"/>
    <x v="136"/>
    <x v="134"/>
    <x v="0"/>
    <x v="136"/>
    <x v="136"/>
    <x v="57"/>
    <x v="0"/>
    <x v="0"/>
    <x v="4"/>
    <x v="16"/>
    <x v="5"/>
    <x v="81"/>
    <x v="27"/>
    <x v="3"/>
    <x v="1"/>
  </r>
  <r>
    <x v="0"/>
    <x v="9"/>
    <x v="61"/>
    <x v="47"/>
    <x v="6"/>
    <x v="48"/>
    <x v="2"/>
    <x v="63"/>
    <x v="16"/>
    <x v="2"/>
    <x v="25"/>
    <x v="58"/>
    <x v="63"/>
    <x v="63"/>
    <x v="62"/>
    <x v="4"/>
    <x v="63"/>
    <x v="63"/>
    <x v="63"/>
    <x v="0"/>
    <x v="0"/>
    <x v="0"/>
    <x v="14"/>
    <x v="6"/>
    <x v="10"/>
    <x v="4"/>
    <x v="1"/>
    <x v="5"/>
  </r>
  <r>
    <x v="0"/>
    <x v="91"/>
    <x v="123"/>
    <x v="43"/>
    <x v="38"/>
    <x v="99"/>
    <x v="35"/>
    <x v="135"/>
    <x v="29"/>
    <x v="91"/>
    <x v="116"/>
    <x v="124"/>
    <x v="137"/>
    <x v="137"/>
    <x v="135"/>
    <x v="0"/>
    <x v="137"/>
    <x v="137"/>
    <x v="133"/>
    <x v="0"/>
    <x v="0"/>
    <x v="2"/>
    <x v="16"/>
    <x v="1"/>
    <x v="82"/>
    <x v="5"/>
    <x v="3"/>
    <x v="1"/>
  </r>
  <r>
    <x v="0"/>
    <x v="92"/>
    <x v="62"/>
    <x v="78"/>
    <x v="72"/>
    <x v="100"/>
    <x v="2"/>
    <x v="136"/>
    <x v="58"/>
    <x v="60"/>
    <x v="117"/>
    <x v="125"/>
    <x v="138"/>
    <x v="138"/>
    <x v="136"/>
    <x v="0"/>
    <x v="138"/>
    <x v="138"/>
    <x v="120"/>
    <x v="0"/>
    <x v="0"/>
    <x v="2"/>
    <x v="16"/>
    <x v="10"/>
    <x v="10"/>
    <x v="11"/>
    <x v="1"/>
    <x v="35"/>
  </r>
  <r>
    <x v="0"/>
    <x v="93"/>
    <x v="89"/>
    <x v="33"/>
    <x v="0"/>
    <x v="101"/>
    <x v="0"/>
    <x v="137"/>
    <x v="11"/>
    <x v="92"/>
    <x v="118"/>
    <x v="126"/>
    <x v="139"/>
    <x v="139"/>
    <x v="137"/>
    <x v="0"/>
    <x v="139"/>
    <x v="139"/>
    <x v="134"/>
    <x v="0"/>
    <x v="0"/>
    <x v="2"/>
    <x v="16"/>
    <x v="5"/>
    <x v="83"/>
    <x v="39"/>
    <x v="1"/>
    <x v="45"/>
  </r>
  <r>
    <x v="0"/>
    <x v="34"/>
    <x v="119"/>
    <x v="23"/>
    <x v="25"/>
    <x v="82"/>
    <x v="13"/>
    <x v="138"/>
    <x v="2"/>
    <x v="93"/>
    <x v="119"/>
    <x v="105"/>
    <x v="140"/>
    <x v="140"/>
    <x v="138"/>
    <x v="0"/>
    <x v="140"/>
    <x v="140"/>
    <x v="135"/>
    <x v="0"/>
    <x v="0"/>
    <x v="0"/>
    <x v="16"/>
    <x v="7"/>
    <x v="10"/>
    <x v="8"/>
    <x v="1"/>
    <x v="1"/>
  </r>
  <r>
    <x v="0"/>
    <x v="42"/>
    <x v="124"/>
    <x v="22"/>
    <x v="30"/>
    <x v="102"/>
    <x v="30"/>
    <x v="139"/>
    <x v="65"/>
    <x v="50"/>
    <x v="120"/>
    <x v="127"/>
    <x v="141"/>
    <x v="141"/>
    <x v="139"/>
    <x v="4"/>
    <x v="141"/>
    <x v="141"/>
    <x v="136"/>
    <x v="0"/>
    <x v="0"/>
    <x v="0"/>
    <x v="16"/>
    <x v="9"/>
    <x v="84"/>
    <x v="21"/>
    <x v="1"/>
    <x v="0"/>
  </r>
  <r>
    <x v="0"/>
    <x v="94"/>
    <x v="125"/>
    <x v="76"/>
    <x v="73"/>
    <x v="103"/>
    <x v="53"/>
    <x v="140"/>
    <x v="30"/>
    <x v="94"/>
    <x v="121"/>
    <x v="128"/>
    <x v="142"/>
    <x v="142"/>
    <x v="140"/>
    <x v="0"/>
    <x v="142"/>
    <x v="142"/>
    <x v="137"/>
    <x v="0"/>
    <x v="0"/>
    <x v="2"/>
    <x v="16"/>
    <x v="10"/>
    <x v="85"/>
    <x v="28"/>
    <x v="1"/>
    <x v="1"/>
  </r>
  <r>
    <x v="0"/>
    <x v="95"/>
    <x v="126"/>
    <x v="79"/>
    <x v="74"/>
    <x v="104"/>
    <x v="24"/>
    <x v="141"/>
    <x v="29"/>
    <x v="25"/>
    <x v="23"/>
    <x v="129"/>
    <x v="143"/>
    <x v="143"/>
    <x v="141"/>
    <x v="0"/>
    <x v="143"/>
    <x v="143"/>
    <x v="138"/>
    <x v="0"/>
    <x v="1"/>
    <x v="2"/>
    <x v="33"/>
    <x v="7"/>
    <x v="20"/>
    <x v="10"/>
    <x v="3"/>
    <x v="1"/>
  </r>
  <r>
    <x v="0"/>
    <x v="96"/>
    <x v="127"/>
    <x v="70"/>
    <x v="75"/>
    <x v="105"/>
    <x v="24"/>
    <x v="142"/>
    <x v="15"/>
    <x v="25"/>
    <x v="122"/>
    <x v="130"/>
    <x v="144"/>
    <x v="144"/>
    <x v="142"/>
    <x v="2"/>
    <x v="144"/>
    <x v="144"/>
    <x v="139"/>
    <x v="0"/>
    <x v="0"/>
    <x v="2"/>
    <x v="16"/>
    <x v="2"/>
    <x v="86"/>
    <x v="27"/>
    <x v="1"/>
    <x v="4"/>
  </r>
  <r>
    <x v="0"/>
    <x v="97"/>
    <x v="128"/>
    <x v="80"/>
    <x v="59"/>
    <x v="106"/>
    <x v="22"/>
    <x v="143"/>
    <x v="44"/>
    <x v="95"/>
    <x v="123"/>
    <x v="131"/>
    <x v="145"/>
    <x v="145"/>
    <x v="143"/>
    <x v="4"/>
    <x v="145"/>
    <x v="145"/>
    <x v="140"/>
    <x v="0"/>
    <x v="0"/>
    <x v="2"/>
    <x v="27"/>
    <x v="11"/>
    <x v="30"/>
    <x v="8"/>
    <x v="3"/>
    <x v="59"/>
  </r>
  <r>
    <x v="0"/>
    <x v="72"/>
    <x v="129"/>
    <x v="81"/>
    <x v="57"/>
    <x v="107"/>
    <x v="2"/>
    <x v="144"/>
    <x v="66"/>
    <x v="75"/>
    <x v="1"/>
    <x v="132"/>
    <x v="146"/>
    <x v="146"/>
    <x v="144"/>
    <x v="4"/>
    <x v="146"/>
    <x v="146"/>
    <x v="141"/>
    <x v="0"/>
    <x v="0"/>
    <x v="4"/>
    <x v="26"/>
    <x v="14"/>
    <x v="1"/>
    <x v="13"/>
    <x v="1"/>
    <x v="1"/>
  </r>
  <r>
    <x v="0"/>
    <x v="79"/>
    <x v="130"/>
    <x v="41"/>
    <x v="62"/>
    <x v="86"/>
    <x v="54"/>
    <x v="145"/>
    <x v="29"/>
    <x v="96"/>
    <x v="124"/>
    <x v="109"/>
    <x v="147"/>
    <x v="147"/>
    <x v="145"/>
    <x v="0"/>
    <x v="147"/>
    <x v="147"/>
    <x v="142"/>
    <x v="0"/>
    <x v="0"/>
    <x v="2"/>
    <x v="27"/>
    <x v="3"/>
    <x v="87"/>
    <x v="8"/>
    <x v="3"/>
    <x v="16"/>
  </r>
  <r>
    <x v="1"/>
    <x v="98"/>
    <x v="70"/>
    <x v="82"/>
    <x v="76"/>
    <x v="108"/>
    <x v="55"/>
    <x v="146"/>
    <x v="2"/>
    <x v="97"/>
    <x v="125"/>
    <x v="133"/>
    <x v="148"/>
    <x v="148"/>
    <x v="146"/>
    <x v="0"/>
    <x v="148"/>
    <x v="148"/>
    <x v="143"/>
    <x v="0"/>
    <x v="1"/>
    <x v="0"/>
    <x v="34"/>
    <x v="19"/>
    <x v="88"/>
    <x v="9"/>
    <x v="1"/>
    <x v="1"/>
  </r>
  <r>
    <x v="0"/>
    <x v="99"/>
    <x v="131"/>
    <x v="38"/>
    <x v="77"/>
    <x v="109"/>
    <x v="56"/>
    <x v="147"/>
    <x v="67"/>
    <x v="98"/>
    <x v="126"/>
    <x v="134"/>
    <x v="149"/>
    <x v="149"/>
    <x v="147"/>
    <x v="2"/>
    <x v="149"/>
    <x v="149"/>
    <x v="144"/>
    <x v="0"/>
    <x v="0"/>
    <x v="0"/>
    <x v="35"/>
    <x v="6"/>
    <x v="89"/>
    <x v="34"/>
    <x v="1"/>
    <x v="66"/>
  </r>
  <r>
    <x v="0"/>
    <x v="27"/>
    <x v="111"/>
    <x v="9"/>
    <x v="0"/>
    <x v="110"/>
    <x v="57"/>
    <x v="148"/>
    <x v="18"/>
    <x v="99"/>
    <x v="127"/>
    <x v="135"/>
    <x v="150"/>
    <x v="150"/>
    <x v="148"/>
    <x v="0"/>
    <x v="150"/>
    <x v="150"/>
    <x v="48"/>
    <x v="0"/>
    <x v="0"/>
    <x v="0"/>
    <x v="23"/>
    <x v="20"/>
    <x v="47"/>
    <x v="4"/>
    <x v="1"/>
    <x v="59"/>
  </r>
  <r>
    <x v="0"/>
    <x v="15"/>
    <x v="132"/>
    <x v="76"/>
    <x v="10"/>
    <x v="99"/>
    <x v="14"/>
    <x v="149"/>
    <x v="68"/>
    <x v="14"/>
    <x v="128"/>
    <x v="124"/>
    <x v="151"/>
    <x v="151"/>
    <x v="149"/>
    <x v="4"/>
    <x v="151"/>
    <x v="151"/>
    <x v="145"/>
    <x v="0"/>
    <x v="0"/>
    <x v="0"/>
    <x v="23"/>
    <x v="19"/>
    <x v="13"/>
    <x v="9"/>
    <x v="3"/>
    <x v="43"/>
  </r>
  <r>
    <x v="0"/>
    <x v="43"/>
    <x v="133"/>
    <x v="69"/>
    <x v="0"/>
    <x v="111"/>
    <x v="11"/>
    <x v="150"/>
    <x v="69"/>
    <x v="49"/>
    <x v="129"/>
    <x v="136"/>
    <x v="152"/>
    <x v="152"/>
    <x v="150"/>
    <x v="1"/>
    <x v="152"/>
    <x v="152"/>
    <x v="146"/>
    <x v="0"/>
    <x v="0"/>
    <x v="0"/>
    <x v="16"/>
    <x v="1"/>
    <x v="47"/>
    <x v="22"/>
    <x v="1"/>
    <x v="67"/>
  </r>
  <r>
    <x v="0"/>
    <x v="100"/>
    <x v="134"/>
    <x v="54"/>
    <x v="78"/>
    <x v="112"/>
    <x v="6"/>
    <x v="151"/>
    <x v="58"/>
    <x v="6"/>
    <x v="98"/>
    <x v="137"/>
    <x v="153"/>
    <x v="153"/>
    <x v="151"/>
    <x v="0"/>
    <x v="153"/>
    <x v="153"/>
    <x v="147"/>
    <x v="0"/>
    <x v="0"/>
    <x v="2"/>
    <x v="27"/>
    <x v="6"/>
    <x v="6"/>
    <x v="13"/>
    <x v="1"/>
    <x v="4"/>
  </r>
  <r>
    <x v="0"/>
    <x v="61"/>
    <x v="135"/>
    <x v="82"/>
    <x v="46"/>
    <x v="113"/>
    <x v="14"/>
    <x v="152"/>
    <x v="2"/>
    <x v="56"/>
    <x v="114"/>
    <x v="138"/>
    <x v="154"/>
    <x v="154"/>
    <x v="152"/>
    <x v="3"/>
    <x v="154"/>
    <x v="154"/>
    <x v="148"/>
    <x v="0"/>
    <x v="0"/>
    <x v="0"/>
    <x v="27"/>
    <x v="10"/>
    <x v="10"/>
    <x v="38"/>
    <x v="1"/>
    <x v="50"/>
  </r>
  <r>
    <x v="0"/>
    <x v="101"/>
    <x v="127"/>
    <x v="55"/>
    <x v="79"/>
    <x v="2"/>
    <x v="24"/>
    <x v="153"/>
    <x v="45"/>
    <x v="25"/>
    <x v="130"/>
    <x v="139"/>
    <x v="155"/>
    <x v="155"/>
    <x v="153"/>
    <x v="0"/>
    <x v="155"/>
    <x v="155"/>
    <x v="149"/>
    <x v="0"/>
    <x v="0"/>
    <x v="2"/>
    <x v="27"/>
    <x v="3"/>
    <x v="90"/>
    <x v="11"/>
    <x v="3"/>
    <x v="68"/>
  </r>
  <r>
    <x v="0"/>
    <x v="102"/>
    <x v="126"/>
    <x v="78"/>
    <x v="80"/>
    <x v="87"/>
    <x v="58"/>
    <x v="154"/>
    <x v="70"/>
    <x v="100"/>
    <x v="131"/>
    <x v="140"/>
    <x v="156"/>
    <x v="156"/>
    <x v="154"/>
    <x v="1"/>
    <x v="156"/>
    <x v="156"/>
    <x v="150"/>
    <x v="0"/>
    <x v="0"/>
    <x v="0"/>
    <x v="32"/>
    <x v="12"/>
    <x v="91"/>
    <x v="9"/>
    <x v="1"/>
    <x v="43"/>
  </r>
  <r>
    <x v="0"/>
    <x v="103"/>
    <x v="136"/>
    <x v="39"/>
    <x v="81"/>
    <x v="114"/>
    <x v="14"/>
    <x v="155"/>
    <x v="71"/>
    <x v="56"/>
    <x v="132"/>
    <x v="141"/>
    <x v="157"/>
    <x v="157"/>
    <x v="155"/>
    <x v="1"/>
    <x v="157"/>
    <x v="157"/>
    <x v="151"/>
    <x v="0"/>
    <x v="0"/>
    <x v="4"/>
    <x v="23"/>
    <x v="17"/>
    <x v="27"/>
    <x v="16"/>
    <x v="1"/>
    <x v="1"/>
  </r>
  <r>
    <x v="0"/>
    <x v="18"/>
    <x v="137"/>
    <x v="13"/>
    <x v="0"/>
    <x v="13"/>
    <x v="29"/>
    <x v="156"/>
    <x v="72"/>
    <x v="34"/>
    <x v="133"/>
    <x v="142"/>
    <x v="158"/>
    <x v="158"/>
    <x v="156"/>
    <x v="0"/>
    <x v="158"/>
    <x v="158"/>
    <x v="45"/>
    <x v="0"/>
    <x v="1"/>
    <x v="0"/>
    <x v="23"/>
    <x v="11"/>
    <x v="92"/>
    <x v="9"/>
    <x v="1"/>
    <x v="69"/>
  </r>
  <r>
    <x v="0"/>
    <x v="34"/>
    <x v="138"/>
    <x v="46"/>
    <x v="25"/>
    <x v="115"/>
    <x v="8"/>
    <x v="157"/>
    <x v="5"/>
    <x v="8"/>
    <x v="134"/>
    <x v="143"/>
    <x v="159"/>
    <x v="159"/>
    <x v="157"/>
    <x v="0"/>
    <x v="159"/>
    <x v="159"/>
    <x v="152"/>
    <x v="0"/>
    <x v="0"/>
    <x v="0"/>
    <x v="16"/>
    <x v="0"/>
    <x v="47"/>
    <x v="25"/>
    <x v="1"/>
    <x v="64"/>
  </r>
  <r>
    <x v="0"/>
    <x v="6"/>
    <x v="139"/>
    <x v="61"/>
    <x v="0"/>
    <x v="6"/>
    <x v="6"/>
    <x v="158"/>
    <x v="19"/>
    <x v="6"/>
    <x v="6"/>
    <x v="6"/>
    <x v="160"/>
    <x v="160"/>
    <x v="158"/>
    <x v="0"/>
    <x v="160"/>
    <x v="160"/>
    <x v="153"/>
    <x v="0"/>
    <x v="0"/>
    <x v="0"/>
    <x v="36"/>
    <x v="19"/>
    <x v="6"/>
    <x v="11"/>
    <x v="3"/>
    <x v="9"/>
  </r>
  <r>
    <x v="0"/>
    <x v="64"/>
    <x v="140"/>
    <x v="58"/>
    <x v="49"/>
    <x v="116"/>
    <x v="11"/>
    <x v="159"/>
    <x v="73"/>
    <x v="69"/>
    <x v="135"/>
    <x v="144"/>
    <x v="161"/>
    <x v="161"/>
    <x v="159"/>
    <x v="7"/>
    <x v="161"/>
    <x v="161"/>
    <x v="154"/>
    <x v="0"/>
    <x v="0"/>
    <x v="2"/>
    <x v="27"/>
    <x v="11"/>
    <x v="13"/>
    <x v="0"/>
    <x v="1"/>
    <x v="34"/>
  </r>
  <r>
    <x v="0"/>
    <x v="104"/>
    <x v="141"/>
    <x v="51"/>
    <x v="82"/>
    <x v="7"/>
    <x v="11"/>
    <x v="160"/>
    <x v="1"/>
    <x v="69"/>
    <x v="136"/>
    <x v="145"/>
    <x v="162"/>
    <x v="162"/>
    <x v="160"/>
    <x v="2"/>
    <x v="162"/>
    <x v="162"/>
    <x v="155"/>
    <x v="0"/>
    <x v="0"/>
    <x v="0"/>
    <x v="23"/>
    <x v="6"/>
    <x v="93"/>
    <x v="34"/>
    <x v="1"/>
    <x v="4"/>
  </r>
  <r>
    <x v="0"/>
    <x v="49"/>
    <x v="118"/>
    <x v="61"/>
    <x v="34"/>
    <x v="117"/>
    <x v="59"/>
    <x v="161"/>
    <x v="18"/>
    <x v="101"/>
    <x v="137"/>
    <x v="146"/>
    <x v="163"/>
    <x v="163"/>
    <x v="161"/>
    <x v="0"/>
    <x v="163"/>
    <x v="163"/>
    <x v="156"/>
    <x v="0"/>
    <x v="0"/>
    <x v="0"/>
    <x v="37"/>
    <x v="12"/>
    <x v="94"/>
    <x v="40"/>
    <x v="1"/>
    <x v="1"/>
  </r>
  <r>
    <x v="0"/>
    <x v="10"/>
    <x v="19"/>
    <x v="83"/>
    <x v="0"/>
    <x v="118"/>
    <x v="60"/>
    <x v="162"/>
    <x v="74"/>
    <x v="102"/>
    <x v="138"/>
    <x v="147"/>
    <x v="164"/>
    <x v="164"/>
    <x v="162"/>
    <x v="1"/>
    <x v="164"/>
    <x v="164"/>
    <x v="157"/>
    <x v="0"/>
    <x v="0"/>
    <x v="4"/>
    <x v="38"/>
    <x v="0"/>
    <x v="77"/>
    <x v="16"/>
    <x v="1"/>
    <x v="45"/>
  </r>
  <r>
    <x v="0"/>
    <x v="105"/>
    <x v="142"/>
    <x v="46"/>
    <x v="83"/>
    <x v="119"/>
    <x v="15"/>
    <x v="163"/>
    <x v="23"/>
    <x v="54"/>
    <x v="139"/>
    <x v="148"/>
    <x v="165"/>
    <x v="165"/>
    <x v="163"/>
    <x v="4"/>
    <x v="165"/>
    <x v="165"/>
    <x v="158"/>
    <x v="0"/>
    <x v="0"/>
    <x v="4"/>
    <x v="23"/>
    <x v="20"/>
    <x v="24"/>
    <x v="4"/>
    <x v="1"/>
    <x v="1"/>
  </r>
  <r>
    <x v="0"/>
    <x v="106"/>
    <x v="143"/>
    <x v="67"/>
    <x v="0"/>
    <x v="120"/>
    <x v="59"/>
    <x v="164"/>
    <x v="46"/>
    <x v="103"/>
    <x v="140"/>
    <x v="149"/>
    <x v="166"/>
    <x v="166"/>
    <x v="164"/>
    <x v="0"/>
    <x v="166"/>
    <x v="166"/>
    <x v="159"/>
    <x v="0"/>
    <x v="0"/>
    <x v="0"/>
    <x v="39"/>
    <x v="17"/>
    <x v="95"/>
    <x v="20"/>
    <x v="3"/>
    <x v="1"/>
  </r>
  <r>
    <x v="0"/>
    <x v="107"/>
    <x v="144"/>
    <x v="40"/>
    <x v="84"/>
    <x v="121"/>
    <x v="30"/>
    <x v="165"/>
    <x v="18"/>
    <x v="50"/>
    <x v="141"/>
    <x v="150"/>
    <x v="167"/>
    <x v="167"/>
    <x v="165"/>
    <x v="5"/>
    <x v="167"/>
    <x v="167"/>
    <x v="160"/>
    <x v="0"/>
    <x v="0"/>
    <x v="0"/>
    <x v="38"/>
    <x v="9"/>
    <x v="47"/>
    <x v="27"/>
    <x v="1"/>
    <x v="42"/>
  </r>
  <r>
    <x v="0"/>
    <x v="108"/>
    <x v="145"/>
    <x v="23"/>
    <x v="74"/>
    <x v="122"/>
    <x v="2"/>
    <x v="166"/>
    <x v="75"/>
    <x v="72"/>
    <x v="59"/>
    <x v="151"/>
    <x v="168"/>
    <x v="168"/>
    <x v="166"/>
    <x v="3"/>
    <x v="168"/>
    <x v="168"/>
    <x v="161"/>
    <x v="0"/>
    <x v="1"/>
    <x v="0"/>
    <x v="38"/>
    <x v="12"/>
    <x v="46"/>
    <x v="19"/>
    <x v="1"/>
    <x v="1"/>
  </r>
  <r>
    <x v="0"/>
    <x v="109"/>
    <x v="146"/>
    <x v="11"/>
    <x v="85"/>
    <x v="123"/>
    <x v="25"/>
    <x v="167"/>
    <x v="76"/>
    <x v="26"/>
    <x v="142"/>
    <x v="152"/>
    <x v="169"/>
    <x v="169"/>
    <x v="167"/>
    <x v="1"/>
    <x v="169"/>
    <x v="169"/>
    <x v="162"/>
    <x v="0"/>
    <x v="0"/>
    <x v="0"/>
    <x v="39"/>
    <x v="18"/>
    <x v="12"/>
    <x v="21"/>
    <x v="3"/>
    <x v="1"/>
  </r>
  <r>
    <x v="0"/>
    <x v="90"/>
    <x v="147"/>
    <x v="23"/>
    <x v="71"/>
    <x v="10"/>
    <x v="2"/>
    <x v="168"/>
    <x v="5"/>
    <x v="104"/>
    <x v="143"/>
    <x v="80"/>
    <x v="170"/>
    <x v="170"/>
    <x v="168"/>
    <x v="0"/>
    <x v="170"/>
    <x v="170"/>
    <x v="163"/>
    <x v="0"/>
    <x v="0"/>
    <x v="0"/>
    <x v="23"/>
    <x v="10"/>
    <x v="13"/>
    <x v="8"/>
    <x v="1"/>
    <x v="34"/>
  </r>
  <r>
    <x v="0"/>
    <x v="77"/>
    <x v="148"/>
    <x v="57"/>
    <x v="61"/>
    <x v="124"/>
    <x v="61"/>
    <x v="169"/>
    <x v="2"/>
    <x v="105"/>
    <x v="144"/>
    <x v="153"/>
    <x v="171"/>
    <x v="171"/>
    <x v="169"/>
    <x v="4"/>
    <x v="171"/>
    <x v="171"/>
    <x v="164"/>
    <x v="0"/>
    <x v="1"/>
    <x v="0"/>
    <x v="37"/>
    <x v="15"/>
    <x v="96"/>
    <x v="21"/>
    <x v="1"/>
    <x v="43"/>
  </r>
  <r>
    <x v="0"/>
    <x v="110"/>
    <x v="149"/>
    <x v="67"/>
    <x v="86"/>
    <x v="125"/>
    <x v="62"/>
    <x v="170"/>
    <x v="77"/>
    <x v="106"/>
    <x v="145"/>
    <x v="154"/>
    <x v="172"/>
    <x v="172"/>
    <x v="170"/>
    <x v="1"/>
    <x v="172"/>
    <x v="172"/>
    <x v="165"/>
    <x v="0"/>
    <x v="0"/>
    <x v="0"/>
    <x v="16"/>
    <x v="17"/>
    <x v="97"/>
    <x v="38"/>
    <x v="1"/>
    <x v="1"/>
  </r>
  <r>
    <x v="0"/>
    <x v="111"/>
    <x v="55"/>
    <x v="69"/>
    <x v="87"/>
    <x v="90"/>
    <x v="20"/>
    <x v="171"/>
    <x v="78"/>
    <x v="83"/>
    <x v="71"/>
    <x v="155"/>
    <x v="173"/>
    <x v="173"/>
    <x v="171"/>
    <x v="3"/>
    <x v="173"/>
    <x v="173"/>
    <x v="166"/>
    <x v="0"/>
    <x v="0"/>
    <x v="0"/>
    <x v="40"/>
    <x v="3"/>
    <x v="53"/>
    <x v="34"/>
    <x v="1"/>
    <x v="14"/>
  </r>
  <r>
    <x v="0"/>
    <x v="83"/>
    <x v="150"/>
    <x v="7"/>
    <x v="66"/>
    <x v="32"/>
    <x v="49"/>
    <x v="172"/>
    <x v="79"/>
    <x v="86"/>
    <x v="40"/>
    <x v="39"/>
    <x v="174"/>
    <x v="174"/>
    <x v="172"/>
    <x v="0"/>
    <x v="174"/>
    <x v="174"/>
    <x v="167"/>
    <x v="0"/>
    <x v="5"/>
    <x v="2"/>
    <x v="37"/>
    <x v="10"/>
    <x v="6"/>
    <x v="18"/>
    <x v="1"/>
    <x v="1"/>
  </r>
  <r>
    <x v="0"/>
    <x v="112"/>
    <x v="151"/>
    <x v="24"/>
    <x v="49"/>
    <x v="126"/>
    <x v="22"/>
    <x v="173"/>
    <x v="5"/>
    <x v="95"/>
    <x v="146"/>
    <x v="156"/>
    <x v="175"/>
    <x v="175"/>
    <x v="173"/>
    <x v="0"/>
    <x v="175"/>
    <x v="175"/>
    <x v="168"/>
    <x v="0"/>
    <x v="0"/>
    <x v="0"/>
    <x v="16"/>
    <x v="8"/>
    <x v="30"/>
    <x v="2"/>
    <x v="1"/>
    <x v="1"/>
  </r>
  <r>
    <x v="0"/>
    <x v="113"/>
    <x v="152"/>
    <x v="84"/>
    <x v="88"/>
    <x v="127"/>
    <x v="63"/>
    <x v="4"/>
    <x v="80"/>
    <x v="107"/>
    <x v="147"/>
    <x v="157"/>
    <x v="176"/>
    <x v="176"/>
    <x v="174"/>
    <x v="4"/>
    <x v="176"/>
    <x v="176"/>
    <x v="169"/>
    <x v="0"/>
    <x v="0"/>
    <x v="5"/>
    <x v="41"/>
    <x v="4"/>
    <x v="98"/>
    <x v="7"/>
    <x v="8"/>
    <x v="1"/>
  </r>
  <r>
    <x v="0"/>
    <x v="38"/>
    <x v="153"/>
    <x v="85"/>
    <x v="25"/>
    <x v="128"/>
    <x v="64"/>
    <x v="174"/>
    <x v="15"/>
    <x v="108"/>
    <x v="148"/>
    <x v="158"/>
    <x v="177"/>
    <x v="177"/>
    <x v="175"/>
    <x v="0"/>
    <x v="177"/>
    <x v="177"/>
    <x v="170"/>
    <x v="0"/>
    <x v="1"/>
    <x v="2"/>
    <x v="23"/>
    <x v="6"/>
    <x v="99"/>
    <x v="2"/>
    <x v="1"/>
    <x v="41"/>
  </r>
  <r>
    <x v="0"/>
    <x v="114"/>
    <x v="154"/>
    <x v="6"/>
    <x v="0"/>
    <x v="129"/>
    <x v="19"/>
    <x v="175"/>
    <x v="81"/>
    <x v="20"/>
    <x v="86"/>
    <x v="159"/>
    <x v="178"/>
    <x v="178"/>
    <x v="176"/>
    <x v="0"/>
    <x v="178"/>
    <x v="178"/>
    <x v="171"/>
    <x v="0"/>
    <x v="0"/>
    <x v="4"/>
    <x v="37"/>
    <x v="2"/>
    <x v="63"/>
    <x v="14"/>
    <x v="1"/>
    <x v="70"/>
  </r>
  <r>
    <x v="0"/>
    <x v="115"/>
    <x v="146"/>
    <x v="45"/>
    <x v="89"/>
    <x v="130"/>
    <x v="17"/>
    <x v="176"/>
    <x v="22"/>
    <x v="32"/>
    <x v="149"/>
    <x v="160"/>
    <x v="179"/>
    <x v="179"/>
    <x v="177"/>
    <x v="0"/>
    <x v="179"/>
    <x v="179"/>
    <x v="129"/>
    <x v="0"/>
    <x v="0"/>
    <x v="2"/>
    <x v="37"/>
    <x v="9"/>
    <x v="100"/>
    <x v="12"/>
    <x v="1"/>
    <x v="38"/>
  </r>
  <r>
    <x v="0"/>
    <x v="1"/>
    <x v="95"/>
    <x v="86"/>
    <x v="1"/>
    <x v="131"/>
    <x v="1"/>
    <x v="177"/>
    <x v="82"/>
    <x v="1"/>
    <x v="48"/>
    <x v="161"/>
    <x v="180"/>
    <x v="180"/>
    <x v="178"/>
    <x v="0"/>
    <x v="180"/>
    <x v="180"/>
    <x v="172"/>
    <x v="0"/>
    <x v="0"/>
    <x v="2"/>
    <x v="37"/>
    <x v="10"/>
    <x v="30"/>
    <x v="13"/>
    <x v="1"/>
    <x v="18"/>
  </r>
  <r>
    <x v="0"/>
    <x v="79"/>
    <x v="155"/>
    <x v="80"/>
    <x v="62"/>
    <x v="132"/>
    <x v="32"/>
    <x v="178"/>
    <x v="29"/>
    <x v="38"/>
    <x v="150"/>
    <x v="162"/>
    <x v="181"/>
    <x v="181"/>
    <x v="179"/>
    <x v="0"/>
    <x v="181"/>
    <x v="181"/>
    <x v="173"/>
    <x v="0"/>
    <x v="0"/>
    <x v="2"/>
    <x v="42"/>
    <x v="11"/>
    <x v="101"/>
    <x v="10"/>
    <x v="3"/>
    <x v="59"/>
  </r>
  <r>
    <x v="0"/>
    <x v="116"/>
    <x v="105"/>
    <x v="69"/>
    <x v="90"/>
    <x v="133"/>
    <x v="57"/>
    <x v="179"/>
    <x v="83"/>
    <x v="109"/>
    <x v="112"/>
    <x v="163"/>
    <x v="182"/>
    <x v="182"/>
    <x v="180"/>
    <x v="0"/>
    <x v="182"/>
    <x v="182"/>
    <x v="174"/>
    <x v="0"/>
    <x v="0"/>
    <x v="0"/>
    <x v="43"/>
    <x v="1"/>
    <x v="80"/>
    <x v="14"/>
    <x v="1"/>
    <x v="1"/>
  </r>
  <r>
    <x v="0"/>
    <x v="117"/>
    <x v="156"/>
    <x v="80"/>
    <x v="91"/>
    <x v="67"/>
    <x v="2"/>
    <x v="180"/>
    <x v="58"/>
    <x v="60"/>
    <x v="151"/>
    <x v="164"/>
    <x v="183"/>
    <x v="183"/>
    <x v="181"/>
    <x v="0"/>
    <x v="183"/>
    <x v="183"/>
    <x v="175"/>
    <x v="0"/>
    <x v="0"/>
    <x v="2"/>
    <x v="38"/>
    <x v="8"/>
    <x v="102"/>
    <x v="32"/>
    <x v="1"/>
    <x v="71"/>
  </r>
  <r>
    <x v="0"/>
    <x v="118"/>
    <x v="157"/>
    <x v="85"/>
    <x v="92"/>
    <x v="134"/>
    <x v="35"/>
    <x v="181"/>
    <x v="34"/>
    <x v="65"/>
    <x v="152"/>
    <x v="165"/>
    <x v="184"/>
    <x v="184"/>
    <x v="182"/>
    <x v="5"/>
    <x v="184"/>
    <x v="184"/>
    <x v="176"/>
    <x v="0"/>
    <x v="0"/>
    <x v="0"/>
    <x v="38"/>
    <x v="2"/>
    <x v="12"/>
    <x v="38"/>
    <x v="3"/>
    <x v="72"/>
  </r>
  <r>
    <x v="0"/>
    <x v="70"/>
    <x v="158"/>
    <x v="75"/>
    <x v="55"/>
    <x v="135"/>
    <x v="31"/>
    <x v="182"/>
    <x v="84"/>
    <x v="37"/>
    <x v="153"/>
    <x v="166"/>
    <x v="185"/>
    <x v="185"/>
    <x v="183"/>
    <x v="1"/>
    <x v="185"/>
    <x v="185"/>
    <x v="177"/>
    <x v="0"/>
    <x v="0"/>
    <x v="0"/>
    <x v="38"/>
    <x v="9"/>
    <x v="20"/>
    <x v="32"/>
    <x v="1"/>
    <x v="29"/>
  </r>
  <r>
    <x v="0"/>
    <x v="111"/>
    <x v="55"/>
    <x v="69"/>
    <x v="87"/>
    <x v="90"/>
    <x v="20"/>
    <x v="171"/>
    <x v="78"/>
    <x v="83"/>
    <x v="71"/>
    <x v="155"/>
    <x v="173"/>
    <x v="173"/>
    <x v="171"/>
    <x v="3"/>
    <x v="173"/>
    <x v="173"/>
    <x v="166"/>
    <x v="0"/>
    <x v="0"/>
    <x v="0"/>
    <x v="40"/>
    <x v="3"/>
    <x v="53"/>
    <x v="34"/>
    <x v="1"/>
    <x v="14"/>
  </r>
  <r>
    <x v="0"/>
    <x v="119"/>
    <x v="159"/>
    <x v="50"/>
    <x v="69"/>
    <x v="136"/>
    <x v="30"/>
    <x v="183"/>
    <x v="85"/>
    <x v="110"/>
    <x v="154"/>
    <x v="167"/>
    <x v="186"/>
    <x v="186"/>
    <x v="184"/>
    <x v="0"/>
    <x v="186"/>
    <x v="186"/>
    <x v="178"/>
    <x v="0"/>
    <x v="0"/>
    <x v="2"/>
    <x v="37"/>
    <x v="2"/>
    <x v="74"/>
    <x v="10"/>
    <x v="3"/>
    <x v="18"/>
  </r>
  <r>
    <x v="0"/>
    <x v="38"/>
    <x v="79"/>
    <x v="38"/>
    <x v="25"/>
    <x v="137"/>
    <x v="14"/>
    <x v="184"/>
    <x v="84"/>
    <x v="56"/>
    <x v="155"/>
    <x v="168"/>
    <x v="187"/>
    <x v="187"/>
    <x v="185"/>
    <x v="0"/>
    <x v="187"/>
    <x v="187"/>
    <x v="179"/>
    <x v="0"/>
    <x v="0"/>
    <x v="0"/>
    <x v="42"/>
    <x v="12"/>
    <x v="30"/>
    <x v="12"/>
    <x v="3"/>
    <x v="1"/>
  </r>
  <r>
    <x v="0"/>
    <x v="27"/>
    <x v="160"/>
    <x v="21"/>
    <x v="0"/>
    <x v="138"/>
    <x v="14"/>
    <x v="185"/>
    <x v="26"/>
    <x v="14"/>
    <x v="156"/>
    <x v="169"/>
    <x v="188"/>
    <x v="188"/>
    <x v="186"/>
    <x v="1"/>
    <x v="188"/>
    <x v="188"/>
    <x v="38"/>
    <x v="0"/>
    <x v="0"/>
    <x v="4"/>
    <x v="38"/>
    <x v="17"/>
    <x v="103"/>
    <x v="4"/>
    <x v="1"/>
    <x v="1"/>
  </r>
  <r>
    <x v="0"/>
    <x v="74"/>
    <x v="161"/>
    <x v="78"/>
    <x v="59"/>
    <x v="139"/>
    <x v="41"/>
    <x v="186"/>
    <x v="73"/>
    <x v="111"/>
    <x v="157"/>
    <x v="170"/>
    <x v="189"/>
    <x v="189"/>
    <x v="87"/>
    <x v="0"/>
    <x v="189"/>
    <x v="189"/>
    <x v="180"/>
    <x v="0"/>
    <x v="0"/>
    <x v="2"/>
    <x v="38"/>
    <x v="10"/>
    <x v="104"/>
    <x v="10"/>
    <x v="1"/>
    <x v="37"/>
  </r>
  <r>
    <x v="0"/>
    <x v="120"/>
    <x v="162"/>
    <x v="59"/>
    <x v="77"/>
    <x v="140"/>
    <x v="2"/>
    <x v="187"/>
    <x v="86"/>
    <x v="60"/>
    <x v="158"/>
    <x v="171"/>
    <x v="190"/>
    <x v="190"/>
    <x v="187"/>
    <x v="1"/>
    <x v="190"/>
    <x v="190"/>
    <x v="181"/>
    <x v="0"/>
    <x v="0"/>
    <x v="0"/>
    <x v="43"/>
    <x v="5"/>
    <x v="105"/>
    <x v="21"/>
    <x v="1"/>
    <x v="33"/>
  </r>
  <r>
    <x v="0"/>
    <x v="121"/>
    <x v="11"/>
    <x v="67"/>
    <x v="0"/>
    <x v="141"/>
    <x v="25"/>
    <x v="188"/>
    <x v="72"/>
    <x v="82"/>
    <x v="159"/>
    <x v="172"/>
    <x v="191"/>
    <x v="191"/>
    <x v="188"/>
    <x v="4"/>
    <x v="191"/>
    <x v="191"/>
    <x v="182"/>
    <x v="0"/>
    <x v="0"/>
    <x v="0"/>
    <x v="44"/>
    <x v="11"/>
    <x v="71"/>
    <x v="27"/>
    <x v="3"/>
    <x v="73"/>
  </r>
  <r>
    <x v="0"/>
    <x v="38"/>
    <x v="163"/>
    <x v="86"/>
    <x v="25"/>
    <x v="142"/>
    <x v="35"/>
    <x v="189"/>
    <x v="87"/>
    <x v="112"/>
    <x v="160"/>
    <x v="173"/>
    <x v="192"/>
    <x v="192"/>
    <x v="189"/>
    <x v="1"/>
    <x v="192"/>
    <x v="192"/>
    <x v="183"/>
    <x v="0"/>
    <x v="0"/>
    <x v="2"/>
    <x v="37"/>
    <x v="10"/>
    <x v="106"/>
    <x v="38"/>
    <x v="1"/>
    <x v="20"/>
  </r>
  <r>
    <x v="0"/>
    <x v="122"/>
    <x v="164"/>
    <x v="30"/>
    <x v="0"/>
    <x v="9"/>
    <x v="2"/>
    <x v="190"/>
    <x v="8"/>
    <x v="113"/>
    <x v="117"/>
    <x v="9"/>
    <x v="193"/>
    <x v="193"/>
    <x v="190"/>
    <x v="3"/>
    <x v="193"/>
    <x v="193"/>
    <x v="184"/>
    <x v="0"/>
    <x v="1"/>
    <x v="2"/>
    <x v="38"/>
    <x v="14"/>
    <x v="10"/>
    <x v="6"/>
    <x v="1"/>
    <x v="59"/>
  </r>
  <r>
    <x v="0"/>
    <x v="35"/>
    <x v="114"/>
    <x v="28"/>
    <x v="16"/>
    <x v="143"/>
    <x v="50"/>
    <x v="191"/>
    <x v="88"/>
    <x v="87"/>
    <x v="161"/>
    <x v="174"/>
    <x v="194"/>
    <x v="194"/>
    <x v="191"/>
    <x v="0"/>
    <x v="194"/>
    <x v="194"/>
    <x v="185"/>
    <x v="0"/>
    <x v="5"/>
    <x v="0"/>
    <x v="38"/>
    <x v="8"/>
    <x v="62"/>
    <x v="4"/>
    <x v="1"/>
    <x v="1"/>
  </r>
  <r>
    <x v="0"/>
    <x v="93"/>
    <x v="165"/>
    <x v="7"/>
    <x v="0"/>
    <x v="144"/>
    <x v="14"/>
    <x v="192"/>
    <x v="5"/>
    <x v="14"/>
    <x v="162"/>
    <x v="175"/>
    <x v="195"/>
    <x v="195"/>
    <x v="192"/>
    <x v="0"/>
    <x v="195"/>
    <x v="195"/>
    <x v="186"/>
    <x v="0"/>
    <x v="0"/>
    <x v="0"/>
    <x v="38"/>
    <x v="9"/>
    <x v="107"/>
    <x v="41"/>
    <x v="1"/>
    <x v="40"/>
  </r>
  <r>
    <x v="0"/>
    <x v="123"/>
    <x v="118"/>
    <x v="87"/>
    <x v="0"/>
    <x v="145"/>
    <x v="0"/>
    <x v="193"/>
    <x v="89"/>
    <x v="114"/>
    <x v="163"/>
    <x v="176"/>
    <x v="196"/>
    <x v="196"/>
    <x v="193"/>
    <x v="1"/>
    <x v="196"/>
    <x v="196"/>
    <x v="187"/>
    <x v="0"/>
    <x v="0"/>
    <x v="2"/>
    <x v="45"/>
    <x v="21"/>
    <x v="108"/>
    <x v="12"/>
    <x v="3"/>
    <x v="1"/>
  </r>
  <r>
    <x v="0"/>
    <x v="124"/>
    <x v="93"/>
    <x v="4"/>
    <x v="0"/>
    <x v="146"/>
    <x v="14"/>
    <x v="4"/>
    <x v="90"/>
    <x v="115"/>
    <x v="164"/>
    <x v="177"/>
    <x v="197"/>
    <x v="197"/>
    <x v="194"/>
    <x v="1"/>
    <x v="4"/>
    <x v="197"/>
    <x v="188"/>
    <x v="0"/>
    <x v="1"/>
    <x v="1"/>
    <x v="4"/>
    <x v="10"/>
    <x v="109"/>
    <x v="7"/>
    <x v="2"/>
    <x v="74"/>
  </r>
  <r>
    <x v="0"/>
    <x v="80"/>
    <x v="166"/>
    <x v="42"/>
    <x v="63"/>
    <x v="1"/>
    <x v="49"/>
    <x v="194"/>
    <x v="56"/>
    <x v="86"/>
    <x v="103"/>
    <x v="110"/>
    <x v="198"/>
    <x v="198"/>
    <x v="195"/>
    <x v="6"/>
    <x v="197"/>
    <x v="198"/>
    <x v="189"/>
    <x v="0"/>
    <x v="0"/>
    <x v="2"/>
    <x v="46"/>
    <x v="11"/>
    <x v="13"/>
    <x v="5"/>
    <x v="3"/>
    <x v="59"/>
  </r>
  <r>
    <x v="0"/>
    <x v="125"/>
    <x v="167"/>
    <x v="54"/>
    <x v="93"/>
    <x v="141"/>
    <x v="6"/>
    <x v="195"/>
    <x v="91"/>
    <x v="6"/>
    <x v="40"/>
    <x v="178"/>
    <x v="199"/>
    <x v="199"/>
    <x v="196"/>
    <x v="3"/>
    <x v="198"/>
    <x v="199"/>
    <x v="68"/>
    <x v="0"/>
    <x v="0"/>
    <x v="2"/>
    <x v="38"/>
    <x v="5"/>
    <x v="6"/>
    <x v="11"/>
    <x v="1"/>
    <x v="38"/>
  </r>
  <r>
    <x v="0"/>
    <x v="126"/>
    <x v="16"/>
    <x v="88"/>
    <x v="0"/>
    <x v="147"/>
    <x v="2"/>
    <x v="196"/>
    <x v="15"/>
    <x v="113"/>
    <x v="165"/>
    <x v="179"/>
    <x v="200"/>
    <x v="200"/>
    <x v="197"/>
    <x v="2"/>
    <x v="199"/>
    <x v="200"/>
    <x v="190"/>
    <x v="0"/>
    <x v="1"/>
    <x v="2"/>
    <x v="44"/>
    <x v="18"/>
    <x v="110"/>
    <x v="7"/>
    <x v="1"/>
    <x v="37"/>
  </r>
  <r>
    <x v="0"/>
    <x v="127"/>
    <x v="132"/>
    <x v="45"/>
    <x v="94"/>
    <x v="1"/>
    <x v="17"/>
    <x v="197"/>
    <x v="92"/>
    <x v="32"/>
    <x v="60"/>
    <x v="180"/>
    <x v="201"/>
    <x v="201"/>
    <x v="198"/>
    <x v="4"/>
    <x v="200"/>
    <x v="201"/>
    <x v="191"/>
    <x v="0"/>
    <x v="0"/>
    <x v="0"/>
    <x v="38"/>
    <x v="9"/>
    <x v="47"/>
    <x v="23"/>
    <x v="1"/>
    <x v="35"/>
  </r>
  <r>
    <x v="0"/>
    <x v="67"/>
    <x v="93"/>
    <x v="60"/>
    <x v="52"/>
    <x v="74"/>
    <x v="46"/>
    <x v="4"/>
    <x v="48"/>
    <x v="73"/>
    <x v="87"/>
    <x v="91"/>
    <x v="98"/>
    <x v="98"/>
    <x v="97"/>
    <x v="0"/>
    <x v="98"/>
    <x v="98"/>
    <x v="96"/>
    <x v="2"/>
    <x v="7"/>
    <x v="1"/>
    <x v="4"/>
    <x v="6"/>
    <x v="64"/>
    <x v="17"/>
    <x v="1"/>
    <x v="1"/>
  </r>
  <r>
    <x v="0"/>
    <x v="1"/>
    <x v="168"/>
    <x v="14"/>
    <x v="1"/>
    <x v="1"/>
    <x v="1"/>
    <x v="198"/>
    <x v="1"/>
    <x v="1"/>
    <x v="1"/>
    <x v="1"/>
    <x v="202"/>
    <x v="202"/>
    <x v="199"/>
    <x v="3"/>
    <x v="201"/>
    <x v="202"/>
    <x v="192"/>
    <x v="0"/>
    <x v="0"/>
    <x v="0"/>
    <x v="23"/>
    <x v="17"/>
    <x v="1"/>
    <x v="14"/>
    <x v="1"/>
    <x v="7"/>
  </r>
  <r>
    <x v="0"/>
    <x v="124"/>
    <x v="169"/>
    <x v="4"/>
    <x v="0"/>
    <x v="1"/>
    <x v="14"/>
    <x v="4"/>
    <x v="93"/>
    <x v="115"/>
    <x v="166"/>
    <x v="181"/>
    <x v="203"/>
    <x v="203"/>
    <x v="200"/>
    <x v="1"/>
    <x v="4"/>
    <x v="203"/>
    <x v="188"/>
    <x v="0"/>
    <x v="1"/>
    <x v="1"/>
    <x v="4"/>
    <x v="5"/>
    <x v="12"/>
    <x v="21"/>
    <x v="2"/>
    <x v="75"/>
  </r>
  <r>
    <x v="0"/>
    <x v="70"/>
    <x v="12"/>
    <x v="32"/>
    <x v="55"/>
    <x v="33"/>
    <x v="31"/>
    <x v="199"/>
    <x v="84"/>
    <x v="37"/>
    <x v="89"/>
    <x v="95"/>
    <x v="204"/>
    <x v="204"/>
    <x v="101"/>
    <x v="1"/>
    <x v="202"/>
    <x v="204"/>
    <x v="193"/>
    <x v="0"/>
    <x v="0"/>
    <x v="0"/>
    <x v="44"/>
    <x v="11"/>
    <x v="31"/>
    <x v="10"/>
    <x v="1"/>
    <x v="76"/>
  </r>
  <r>
    <x v="0"/>
    <x v="84"/>
    <x v="170"/>
    <x v="89"/>
    <x v="67"/>
    <x v="148"/>
    <x v="10"/>
    <x v="200"/>
    <x v="60"/>
    <x v="33"/>
    <x v="167"/>
    <x v="182"/>
    <x v="205"/>
    <x v="205"/>
    <x v="201"/>
    <x v="4"/>
    <x v="203"/>
    <x v="205"/>
    <x v="194"/>
    <x v="0"/>
    <x v="0"/>
    <x v="0"/>
    <x v="44"/>
    <x v="7"/>
    <x v="111"/>
    <x v="4"/>
    <x v="1"/>
    <x v="1"/>
  </r>
  <r>
    <x v="0"/>
    <x v="128"/>
    <x v="171"/>
    <x v="59"/>
    <x v="95"/>
    <x v="149"/>
    <x v="65"/>
    <x v="201"/>
    <x v="94"/>
    <x v="116"/>
    <x v="168"/>
    <x v="183"/>
    <x v="206"/>
    <x v="206"/>
    <x v="202"/>
    <x v="0"/>
    <x v="204"/>
    <x v="206"/>
    <x v="195"/>
    <x v="0"/>
    <x v="0"/>
    <x v="3"/>
    <x v="47"/>
    <x v="11"/>
    <x v="112"/>
    <x v="21"/>
    <x v="1"/>
    <x v="1"/>
  </r>
  <r>
    <x v="0"/>
    <x v="11"/>
    <x v="172"/>
    <x v="90"/>
    <x v="0"/>
    <x v="101"/>
    <x v="24"/>
    <x v="202"/>
    <x v="20"/>
    <x v="25"/>
    <x v="169"/>
    <x v="184"/>
    <x v="207"/>
    <x v="207"/>
    <x v="203"/>
    <x v="2"/>
    <x v="205"/>
    <x v="207"/>
    <x v="60"/>
    <x v="0"/>
    <x v="4"/>
    <x v="0"/>
    <x v="43"/>
    <x v="17"/>
    <x v="113"/>
    <x v="7"/>
    <x v="1"/>
    <x v="1"/>
  </r>
  <r>
    <x v="0"/>
    <x v="41"/>
    <x v="173"/>
    <x v="5"/>
    <x v="29"/>
    <x v="90"/>
    <x v="29"/>
    <x v="203"/>
    <x v="23"/>
    <x v="74"/>
    <x v="84"/>
    <x v="185"/>
    <x v="208"/>
    <x v="208"/>
    <x v="204"/>
    <x v="3"/>
    <x v="206"/>
    <x v="208"/>
    <x v="196"/>
    <x v="0"/>
    <x v="0"/>
    <x v="0"/>
    <x v="44"/>
    <x v="10"/>
    <x v="20"/>
    <x v="11"/>
    <x v="1"/>
    <x v="39"/>
  </r>
  <r>
    <x v="0"/>
    <x v="129"/>
    <x v="174"/>
    <x v="74"/>
    <x v="0"/>
    <x v="150"/>
    <x v="20"/>
    <x v="204"/>
    <x v="95"/>
    <x v="21"/>
    <x v="170"/>
    <x v="186"/>
    <x v="209"/>
    <x v="209"/>
    <x v="205"/>
    <x v="4"/>
    <x v="207"/>
    <x v="209"/>
    <x v="197"/>
    <x v="0"/>
    <x v="0"/>
    <x v="0"/>
    <x v="44"/>
    <x v="10"/>
    <x v="114"/>
    <x v="7"/>
    <x v="1"/>
    <x v="36"/>
  </r>
  <r>
    <x v="0"/>
    <x v="112"/>
    <x v="175"/>
    <x v="11"/>
    <x v="49"/>
    <x v="151"/>
    <x v="21"/>
    <x v="205"/>
    <x v="1"/>
    <x v="22"/>
    <x v="88"/>
    <x v="187"/>
    <x v="210"/>
    <x v="210"/>
    <x v="206"/>
    <x v="0"/>
    <x v="208"/>
    <x v="210"/>
    <x v="198"/>
    <x v="0"/>
    <x v="0"/>
    <x v="0"/>
    <x v="44"/>
    <x v="5"/>
    <x v="30"/>
    <x v="27"/>
    <x v="1"/>
    <x v="61"/>
  </r>
  <r>
    <x v="0"/>
    <x v="130"/>
    <x v="128"/>
    <x v="18"/>
    <x v="96"/>
    <x v="152"/>
    <x v="66"/>
    <x v="206"/>
    <x v="46"/>
    <x v="117"/>
    <x v="171"/>
    <x v="188"/>
    <x v="211"/>
    <x v="211"/>
    <x v="207"/>
    <x v="0"/>
    <x v="209"/>
    <x v="211"/>
    <x v="199"/>
    <x v="0"/>
    <x v="0"/>
    <x v="4"/>
    <x v="48"/>
    <x v="22"/>
    <x v="115"/>
    <x v="7"/>
    <x v="3"/>
    <x v="1"/>
  </r>
  <r>
    <x v="0"/>
    <x v="131"/>
    <x v="69"/>
    <x v="58"/>
    <x v="97"/>
    <x v="153"/>
    <x v="67"/>
    <x v="207"/>
    <x v="96"/>
    <x v="118"/>
    <x v="172"/>
    <x v="189"/>
    <x v="212"/>
    <x v="212"/>
    <x v="208"/>
    <x v="1"/>
    <x v="210"/>
    <x v="212"/>
    <x v="22"/>
    <x v="0"/>
    <x v="0"/>
    <x v="4"/>
    <x v="49"/>
    <x v="15"/>
    <x v="116"/>
    <x v="4"/>
    <x v="1"/>
    <x v="1"/>
  </r>
  <r>
    <x v="0"/>
    <x v="132"/>
    <x v="41"/>
    <x v="24"/>
    <x v="84"/>
    <x v="154"/>
    <x v="14"/>
    <x v="208"/>
    <x v="2"/>
    <x v="119"/>
    <x v="173"/>
    <x v="190"/>
    <x v="213"/>
    <x v="213"/>
    <x v="209"/>
    <x v="0"/>
    <x v="211"/>
    <x v="213"/>
    <x v="200"/>
    <x v="0"/>
    <x v="0"/>
    <x v="0"/>
    <x v="44"/>
    <x v="3"/>
    <x v="117"/>
    <x v="10"/>
    <x v="1"/>
    <x v="77"/>
  </r>
  <r>
    <x v="0"/>
    <x v="133"/>
    <x v="176"/>
    <x v="31"/>
    <x v="98"/>
    <x v="155"/>
    <x v="68"/>
    <x v="209"/>
    <x v="97"/>
    <x v="120"/>
    <x v="174"/>
    <x v="191"/>
    <x v="214"/>
    <x v="214"/>
    <x v="210"/>
    <x v="3"/>
    <x v="212"/>
    <x v="214"/>
    <x v="201"/>
    <x v="0"/>
    <x v="0"/>
    <x v="0"/>
    <x v="44"/>
    <x v="13"/>
    <x v="118"/>
    <x v="42"/>
    <x v="3"/>
    <x v="1"/>
  </r>
  <r>
    <x v="0"/>
    <x v="84"/>
    <x v="177"/>
    <x v="47"/>
    <x v="67"/>
    <x v="156"/>
    <x v="0"/>
    <x v="210"/>
    <x v="35"/>
    <x v="121"/>
    <x v="175"/>
    <x v="192"/>
    <x v="215"/>
    <x v="215"/>
    <x v="211"/>
    <x v="0"/>
    <x v="213"/>
    <x v="215"/>
    <x v="202"/>
    <x v="0"/>
    <x v="0"/>
    <x v="2"/>
    <x v="50"/>
    <x v="21"/>
    <x v="119"/>
    <x v="19"/>
    <x v="3"/>
    <x v="1"/>
  </r>
  <r>
    <x v="0"/>
    <x v="42"/>
    <x v="178"/>
    <x v="23"/>
    <x v="30"/>
    <x v="157"/>
    <x v="10"/>
    <x v="211"/>
    <x v="18"/>
    <x v="40"/>
    <x v="68"/>
    <x v="193"/>
    <x v="216"/>
    <x v="216"/>
    <x v="212"/>
    <x v="0"/>
    <x v="214"/>
    <x v="216"/>
    <x v="203"/>
    <x v="0"/>
    <x v="0"/>
    <x v="0"/>
    <x v="44"/>
    <x v="14"/>
    <x v="12"/>
    <x v="21"/>
    <x v="1"/>
    <x v="64"/>
  </r>
  <r>
    <x v="0"/>
    <x v="134"/>
    <x v="179"/>
    <x v="32"/>
    <x v="99"/>
    <x v="117"/>
    <x v="14"/>
    <x v="212"/>
    <x v="2"/>
    <x v="56"/>
    <x v="176"/>
    <x v="146"/>
    <x v="217"/>
    <x v="217"/>
    <x v="213"/>
    <x v="0"/>
    <x v="215"/>
    <x v="217"/>
    <x v="204"/>
    <x v="0"/>
    <x v="0"/>
    <x v="0"/>
    <x v="44"/>
    <x v="21"/>
    <x v="120"/>
    <x v="9"/>
    <x v="1"/>
    <x v="1"/>
  </r>
  <r>
    <x v="0"/>
    <x v="72"/>
    <x v="99"/>
    <x v="29"/>
    <x v="57"/>
    <x v="158"/>
    <x v="69"/>
    <x v="213"/>
    <x v="51"/>
    <x v="122"/>
    <x v="177"/>
    <x v="194"/>
    <x v="218"/>
    <x v="218"/>
    <x v="214"/>
    <x v="0"/>
    <x v="216"/>
    <x v="218"/>
    <x v="205"/>
    <x v="0"/>
    <x v="0"/>
    <x v="0"/>
    <x v="23"/>
    <x v="21"/>
    <x v="56"/>
    <x v="21"/>
    <x v="1"/>
    <x v="1"/>
  </r>
  <r>
    <x v="0"/>
    <x v="135"/>
    <x v="180"/>
    <x v="80"/>
    <x v="100"/>
    <x v="76"/>
    <x v="2"/>
    <x v="214"/>
    <x v="18"/>
    <x v="104"/>
    <x v="178"/>
    <x v="97"/>
    <x v="219"/>
    <x v="219"/>
    <x v="215"/>
    <x v="3"/>
    <x v="217"/>
    <x v="219"/>
    <x v="206"/>
    <x v="0"/>
    <x v="0"/>
    <x v="2"/>
    <x v="38"/>
    <x v="1"/>
    <x v="12"/>
    <x v="23"/>
    <x v="1"/>
    <x v="1"/>
  </r>
  <r>
    <x v="0"/>
    <x v="106"/>
    <x v="181"/>
    <x v="46"/>
    <x v="0"/>
    <x v="159"/>
    <x v="70"/>
    <x v="215"/>
    <x v="98"/>
    <x v="123"/>
    <x v="179"/>
    <x v="195"/>
    <x v="220"/>
    <x v="220"/>
    <x v="216"/>
    <x v="0"/>
    <x v="218"/>
    <x v="220"/>
    <x v="207"/>
    <x v="0"/>
    <x v="0"/>
    <x v="2"/>
    <x v="40"/>
    <x v="3"/>
    <x v="121"/>
    <x v="25"/>
    <x v="3"/>
    <x v="78"/>
  </r>
  <r>
    <x v="0"/>
    <x v="136"/>
    <x v="109"/>
    <x v="32"/>
    <x v="101"/>
    <x v="160"/>
    <x v="25"/>
    <x v="216"/>
    <x v="99"/>
    <x v="76"/>
    <x v="180"/>
    <x v="196"/>
    <x v="221"/>
    <x v="221"/>
    <x v="217"/>
    <x v="1"/>
    <x v="219"/>
    <x v="221"/>
    <x v="208"/>
    <x v="0"/>
    <x v="0"/>
    <x v="0"/>
    <x v="43"/>
    <x v="1"/>
    <x v="122"/>
    <x v="31"/>
    <x v="1"/>
    <x v="1"/>
  </r>
  <r>
    <x v="0"/>
    <x v="116"/>
    <x v="143"/>
    <x v="32"/>
    <x v="90"/>
    <x v="161"/>
    <x v="57"/>
    <x v="217"/>
    <x v="3"/>
    <x v="109"/>
    <x v="181"/>
    <x v="197"/>
    <x v="222"/>
    <x v="222"/>
    <x v="218"/>
    <x v="0"/>
    <x v="220"/>
    <x v="222"/>
    <x v="209"/>
    <x v="0"/>
    <x v="1"/>
    <x v="0"/>
    <x v="40"/>
    <x v="6"/>
    <x v="123"/>
    <x v="1"/>
    <x v="1"/>
    <x v="77"/>
  </r>
  <r>
    <x v="0"/>
    <x v="32"/>
    <x v="182"/>
    <x v="86"/>
    <x v="24"/>
    <x v="1"/>
    <x v="35"/>
    <x v="218"/>
    <x v="100"/>
    <x v="124"/>
    <x v="182"/>
    <x v="198"/>
    <x v="223"/>
    <x v="223"/>
    <x v="219"/>
    <x v="0"/>
    <x v="221"/>
    <x v="223"/>
    <x v="210"/>
    <x v="0"/>
    <x v="0"/>
    <x v="0"/>
    <x v="40"/>
    <x v="17"/>
    <x v="30"/>
    <x v="30"/>
    <x v="1"/>
    <x v="1"/>
  </r>
  <r>
    <x v="0"/>
    <x v="18"/>
    <x v="183"/>
    <x v="23"/>
    <x v="0"/>
    <x v="97"/>
    <x v="57"/>
    <x v="219"/>
    <x v="101"/>
    <x v="125"/>
    <x v="99"/>
    <x v="122"/>
    <x v="224"/>
    <x v="224"/>
    <x v="220"/>
    <x v="0"/>
    <x v="222"/>
    <x v="224"/>
    <x v="211"/>
    <x v="0"/>
    <x v="0"/>
    <x v="4"/>
    <x v="38"/>
    <x v="3"/>
    <x v="71"/>
    <x v="15"/>
    <x v="1"/>
    <x v="79"/>
  </r>
  <r>
    <x v="0"/>
    <x v="97"/>
    <x v="184"/>
    <x v="91"/>
    <x v="59"/>
    <x v="110"/>
    <x v="71"/>
    <x v="220"/>
    <x v="21"/>
    <x v="126"/>
    <x v="183"/>
    <x v="199"/>
    <x v="225"/>
    <x v="225"/>
    <x v="221"/>
    <x v="0"/>
    <x v="223"/>
    <x v="225"/>
    <x v="212"/>
    <x v="0"/>
    <x v="0"/>
    <x v="2"/>
    <x v="40"/>
    <x v="19"/>
    <x v="124"/>
    <x v="28"/>
    <x v="3"/>
    <x v="80"/>
  </r>
  <r>
    <x v="0"/>
    <x v="137"/>
    <x v="185"/>
    <x v="56"/>
    <x v="102"/>
    <x v="1"/>
    <x v="57"/>
    <x v="221"/>
    <x v="102"/>
    <x v="109"/>
    <x v="72"/>
    <x v="200"/>
    <x v="226"/>
    <x v="226"/>
    <x v="222"/>
    <x v="0"/>
    <x v="224"/>
    <x v="226"/>
    <x v="213"/>
    <x v="0"/>
    <x v="0"/>
    <x v="4"/>
    <x v="51"/>
    <x v="9"/>
    <x v="12"/>
    <x v="4"/>
    <x v="1"/>
    <x v="72"/>
  </r>
  <r>
    <x v="0"/>
    <x v="138"/>
    <x v="186"/>
    <x v="90"/>
    <x v="103"/>
    <x v="162"/>
    <x v="21"/>
    <x v="222"/>
    <x v="18"/>
    <x v="127"/>
    <x v="184"/>
    <x v="201"/>
    <x v="227"/>
    <x v="227"/>
    <x v="223"/>
    <x v="0"/>
    <x v="225"/>
    <x v="227"/>
    <x v="24"/>
    <x v="0"/>
    <x v="0"/>
    <x v="0"/>
    <x v="21"/>
    <x v="14"/>
    <x v="125"/>
    <x v="10"/>
    <x v="1"/>
    <x v="1"/>
  </r>
  <r>
    <x v="0"/>
    <x v="139"/>
    <x v="187"/>
    <x v="85"/>
    <x v="104"/>
    <x v="1"/>
    <x v="14"/>
    <x v="223"/>
    <x v="103"/>
    <x v="61"/>
    <x v="185"/>
    <x v="202"/>
    <x v="228"/>
    <x v="228"/>
    <x v="224"/>
    <x v="0"/>
    <x v="226"/>
    <x v="228"/>
    <x v="214"/>
    <x v="0"/>
    <x v="0"/>
    <x v="0"/>
    <x v="32"/>
    <x v="11"/>
    <x v="12"/>
    <x v="5"/>
    <x v="1"/>
    <x v="24"/>
  </r>
  <r>
    <x v="0"/>
    <x v="44"/>
    <x v="62"/>
    <x v="24"/>
    <x v="0"/>
    <x v="163"/>
    <x v="72"/>
    <x v="224"/>
    <x v="104"/>
    <x v="128"/>
    <x v="186"/>
    <x v="203"/>
    <x v="229"/>
    <x v="229"/>
    <x v="225"/>
    <x v="0"/>
    <x v="227"/>
    <x v="229"/>
    <x v="215"/>
    <x v="0"/>
    <x v="0"/>
    <x v="2"/>
    <x v="40"/>
    <x v="8"/>
    <x v="126"/>
    <x v="9"/>
    <x v="1"/>
    <x v="1"/>
  </r>
  <r>
    <x v="0"/>
    <x v="140"/>
    <x v="188"/>
    <x v="61"/>
    <x v="40"/>
    <x v="164"/>
    <x v="73"/>
    <x v="225"/>
    <x v="105"/>
    <x v="129"/>
    <x v="187"/>
    <x v="204"/>
    <x v="230"/>
    <x v="230"/>
    <x v="226"/>
    <x v="2"/>
    <x v="228"/>
    <x v="230"/>
    <x v="216"/>
    <x v="0"/>
    <x v="0"/>
    <x v="0"/>
    <x v="40"/>
    <x v="5"/>
    <x v="14"/>
    <x v="43"/>
    <x v="3"/>
    <x v="1"/>
  </r>
  <r>
    <x v="0"/>
    <x v="141"/>
    <x v="189"/>
    <x v="85"/>
    <x v="105"/>
    <x v="138"/>
    <x v="14"/>
    <x v="226"/>
    <x v="106"/>
    <x v="56"/>
    <x v="188"/>
    <x v="169"/>
    <x v="231"/>
    <x v="231"/>
    <x v="227"/>
    <x v="0"/>
    <x v="229"/>
    <x v="231"/>
    <x v="217"/>
    <x v="0"/>
    <x v="0"/>
    <x v="0"/>
    <x v="52"/>
    <x v="5"/>
    <x v="46"/>
    <x v="22"/>
    <x v="1"/>
    <x v="59"/>
  </r>
  <r>
    <x v="0"/>
    <x v="28"/>
    <x v="45"/>
    <x v="23"/>
    <x v="20"/>
    <x v="1"/>
    <x v="2"/>
    <x v="227"/>
    <x v="107"/>
    <x v="130"/>
    <x v="119"/>
    <x v="205"/>
    <x v="232"/>
    <x v="232"/>
    <x v="228"/>
    <x v="0"/>
    <x v="230"/>
    <x v="232"/>
    <x v="218"/>
    <x v="0"/>
    <x v="0"/>
    <x v="0"/>
    <x v="40"/>
    <x v="9"/>
    <x v="10"/>
    <x v="15"/>
    <x v="1"/>
    <x v="73"/>
  </r>
  <r>
    <x v="0"/>
    <x v="142"/>
    <x v="190"/>
    <x v="35"/>
    <x v="0"/>
    <x v="6"/>
    <x v="24"/>
    <x v="228"/>
    <x v="0"/>
    <x v="131"/>
    <x v="61"/>
    <x v="206"/>
    <x v="233"/>
    <x v="233"/>
    <x v="229"/>
    <x v="2"/>
    <x v="231"/>
    <x v="233"/>
    <x v="219"/>
    <x v="0"/>
    <x v="0"/>
    <x v="0"/>
    <x v="53"/>
    <x v="12"/>
    <x v="48"/>
    <x v="32"/>
    <x v="1"/>
    <x v="7"/>
  </r>
  <r>
    <x v="0"/>
    <x v="142"/>
    <x v="62"/>
    <x v="30"/>
    <x v="0"/>
    <x v="6"/>
    <x v="24"/>
    <x v="229"/>
    <x v="0"/>
    <x v="131"/>
    <x v="61"/>
    <x v="206"/>
    <x v="234"/>
    <x v="234"/>
    <x v="230"/>
    <x v="3"/>
    <x v="232"/>
    <x v="234"/>
    <x v="220"/>
    <x v="0"/>
    <x v="0"/>
    <x v="2"/>
    <x v="51"/>
    <x v="19"/>
    <x v="48"/>
    <x v="10"/>
    <x v="0"/>
    <x v="1"/>
  </r>
  <r>
    <x v="0"/>
    <x v="45"/>
    <x v="75"/>
    <x v="80"/>
    <x v="0"/>
    <x v="16"/>
    <x v="25"/>
    <x v="230"/>
    <x v="21"/>
    <x v="26"/>
    <x v="37"/>
    <x v="207"/>
    <x v="235"/>
    <x v="235"/>
    <x v="231"/>
    <x v="0"/>
    <x v="233"/>
    <x v="235"/>
    <x v="221"/>
    <x v="0"/>
    <x v="0"/>
    <x v="3"/>
    <x v="51"/>
    <x v="18"/>
    <x v="30"/>
    <x v="14"/>
    <x v="3"/>
    <x v="1"/>
  </r>
  <r>
    <x v="0"/>
    <x v="141"/>
    <x v="163"/>
    <x v="67"/>
    <x v="105"/>
    <x v="165"/>
    <x v="24"/>
    <x v="231"/>
    <x v="18"/>
    <x v="25"/>
    <x v="189"/>
    <x v="208"/>
    <x v="236"/>
    <x v="236"/>
    <x v="232"/>
    <x v="1"/>
    <x v="234"/>
    <x v="236"/>
    <x v="222"/>
    <x v="0"/>
    <x v="0"/>
    <x v="0"/>
    <x v="40"/>
    <x v="9"/>
    <x v="127"/>
    <x v="10"/>
    <x v="1"/>
    <x v="81"/>
  </r>
  <r>
    <x v="0"/>
    <x v="142"/>
    <x v="191"/>
    <x v="16"/>
    <x v="0"/>
    <x v="1"/>
    <x v="24"/>
    <x v="232"/>
    <x v="0"/>
    <x v="131"/>
    <x v="101"/>
    <x v="209"/>
    <x v="237"/>
    <x v="237"/>
    <x v="233"/>
    <x v="1"/>
    <x v="235"/>
    <x v="237"/>
    <x v="223"/>
    <x v="0"/>
    <x v="0"/>
    <x v="2"/>
    <x v="51"/>
    <x v="15"/>
    <x v="20"/>
    <x v="12"/>
    <x v="1"/>
    <x v="38"/>
  </r>
  <r>
    <x v="0"/>
    <x v="143"/>
    <x v="192"/>
    <x v="42"/>
    <x v="106"/>
    <x v="90"/>
    <x v="17"/>
    <x v="233"/>
    <x v="21"/>
    <x v="32"/>
    <x v="190"/>
    <x v="210"/>
    <x v="238"/>
    <x v="238"/>
    <x v="234"/>
    <x v="3"/>
    <x v="236"/>
    <x v="238"/>
    <x v="224"/>
    <x v="0"/>
    <x v="0"/>
    <x v="2"/>
    <x v="37"/>
    <x v="9"/>
    <x v="28"/>
    <x v="11"/>
    <x v="1"/>
    <x v="82"/>
  </r>
  <r>
    <x v="0"/>
    <x v="144"/>
    <x v="193"/>
    <x v="38"/>
    <x v="0"/>
    <x v="166"/>
    <x v="74"/>
    <x v="4"/>
    <x v="56"/>
    <x v="132"/>
    <x v="191"/>
    <x v="211"/>
    <x v="239"/>
    <x v="239"/>
    <x v="235"/>
    <x v="1"/>
    <x v="237"/>
    <x v="239"/>
    <x v="225"/>
    <x v="3"/>
    <x v="10"/>
    <x v="1"/>
    <x v="54"/>
    <x v="8"/>
    <x v="128"/>
    <x v="37"/>
    <x v="1"/>
    <x v="83"/>
  </r>
  <r>
    <x v="0"/>
    <x v="134"/>
    <x v="194"/>
    <x v="9"/>
    <x v="99"/>
    <x v="167"/>
    <x v="25"/>
    <x v="234"/>
    <x v="108"/>
    <x v="76"/>
    <x v="192"/>
    <x v="212"/>
    <x v="240"/>
    <x v="240"/>
    <x v="236"/>
    <x v="0"/>
    <x v="238"/>
    <x v="240"/>
    <x v="226"/>
    <x v="0"/>
    <x v="0"/>
    <x v="4"/>
    <x v="51"/>
    <x v="19"/>
    <x v="129"/>
    <x v="19"/>
    <x v="1"/>
    <x v="1"/>
  </r>
  <r>
    <x v="0"/>
    <x v="145"/>
    <x v="99"/>
    <x v="60"/>
    <x v="107"/>
    <x v="168"/>
    <x v="8"/>
    <x v="235"/>
    <x v="38"/>
    <x v="8"/>
    <x v="16"/>
    <x v="213"/>
    <x v="241"/>
    <x v="241"/>
    <x v="237"/>
    <x v="4"/>
    <x v="239"/>
    <x v="241"/>
    <x v="227"/>
    <x v="0"/>
    <x v="0"/>
    <x v="0"/>
    <x v="51"/>
    <x v="6"/>
    <x v="6"/>
    <x v="9"/>
    <x v="1"/>
    <x v="37"/>
  </r>
  <r>
    <x v="0"/>
    <x v="88"/>
    <x v="195"/>
    <x v="59"/>
    <x v="70"/>
    <x v="169"/>
    <x v="75"/>
    <x v="236"/>
    <x v="34"/>
    <x v="133"/>
    <x v="193"/>
    <x v="214"/>
    <x v="242"/>
    <x v="242"/>
    <x v="238"/>
    <x v="0"/>
    <x v="240"/>
    <x v="242"/>
    <x v="228"/>
    <x v="0"/>
    <x v="0"/>
    <x v="0"/>
    <x v="44"/>
    <x v="11"/>
    <x v="130"/>
    <x v="18"/>
    <x v="1"/>
    <x v="66"/>
  </r>
  <r>
    <x v="0"/>
    <x v="122"/>
    <x v="196"/>
    <x v="43"/>
    <x v="0"/>
    <x v="170"/>
    <x v="76"/>
    <x v="237"/>
    <x v="109"/>
    <x v="134"/>
    <x v="194"/>
    <x v="215"/>
    <x v="243"/>
    <x v="243"/>
    <x v="239"/>
    <x v="0"/>
    <x v="241"/>
    <x v="243"/>
    <x v="229"/>
    <x v="0"/>
    <x v="1"/>
    <x v="0"/>
    <x v="32"/>
    <x v="9"/>
    <x v="131"/>
    <x v="6"/>
    <x v="1"/>
    <x v="84"/>
  </r>
  <r>
    <x v="0"/>
    <x v="146"/>
    <x v="197"/>
    <x v="26"/>
    <x v="108"/>
    <x v="171"/>
    <x v="77"/>
    <x v="238"/>
    <x v="2"/>
    <x v="135"/>
    <x v="195"/>
    <x v="216"/>
    <x v="244"/>
    <x v="244"/>
    <x v="240"/>
    <x v="1"/>
    <x v="242"/>
    <x v="244"/>
    <x v="230"/>
    <x v="0"/>
    <x v="0"/>
    <x v="0"/>
    <x v="55"/>
    <x v="13"/>
    <x v="132"/>
    <x v="27"/>
    <x v="1"/>
    <x v="1"/>
  </r>
  <r>
    <x v="0"/>
    <x v="147"/>
    <x v="198"/>
    <x v="52"/>
    <x v="89"/>
    <x v="172"/>
    <x v="15"/>
    <x v="239"/>
    <x v="34"/>
    <x v="136"/>
    <x v="196"/>
    <x v="217"/>
    <x v="245"/>
    <x v="245"/>
    <x v="241"/>
    <x v="9"/>
    <x v="243"/>
    <x v="245"/>
    <x v="231"/>
    <x v="0"/>
    <x v="0"/>
    <x v="0"/>
    <x v="37"/>
    <x v="6"/>
    <x v="133"/>
    <x v="22"/>
    <x v="1"/>
    <x v="85"/>
  </r>
  <r>
    <x v="0"/>
    <x v="148"/>
    <x v="199"/>
    <x v="7"/>
    <x v="109"/>
    <x v="173"/>
    <x v="78"/>
    <x v="240"/>
    <x v="5"/>
    <x v="137"/>
    <x v="197"/>
    <x v="218"/>
    <x v="246"/>
    <x v="246"/>
    <x v="242"/>
    <x v="3"/>
    <x v="244"/>
    <x v="246"/>
    <x v="232"/>
    <x v="0"/>
    <x v="0"/>
    <x v="0"/>
    <x v="40"/>
    <x v="2"/>
    <x v="134"/>
    <x v="44"/>
    <x v="1"/>
    <x v="25"/>
  </r>
  <r>
    <x v="0"/>
    <x v="80"/>
    <x v="200"/>
    <x v="26"/>
    <x v="63"/>
    <x v="1"/>
    <x v="49"/>
    <x v="241"/>
    <x v="110"/>
    <x v="86"/>
    <x v="103"/>
    <x v="110"/>
    <x v="247"/>
    <x v="247"/>
    <x v="243"/>
    <x v="4"/>
    <x v="245"/>
    <x v="247"/>
    <x v="89"/>
    <x v="0"/>
    <x v="0"/>
    <x v="2"/>
    <x v="43"/>
    <x v="7"/>
    <x v="13"/>
    <x v="21"/>
    <x v="3"/>
    <x v="67"/>
  </r>
  <r>
    <x v="0"/>
    <x v="149"/>
    <x v="201"/>
    <x v="37"/>
    <x v="110"/>
    <x v="62"/>
    <x v="25"/>
    <x v="242"/>
    <x v="51"/>
    <x v="138"/>
    <x v="178"/>
    <x v="219"/>
    <x v="248"/>
    <x v="248"/>
    <x v="244"/>
    <x v="0"/>
    <x v="246"/>
    <x v="248"/>
    <x v="233"/>
    <x v="0"/>
    <x v="0"/>
    <x v="0"/>
    <x v="43"/>
    <x v="2"/>
    <x v="12"/>
    <x v="9"/>
    <x v="1"/>
    <x v="76"/>
  </r>
  <r>
    <x v="0"/>
    <x v="150"/>
    <x v="202"/>
    <x v="73"/>
    <x v="111"/>
    <x v="174"/>
    <x v="79"/>
    <x v="243"/>
    <x v="2"/>
    <x v="139"/>
    <x v="125"/>
    <x v="220"/>
    <x v="249"/>
    <x v="249"/>
    <x v="245"/>
    <x v="3"/>
    <x v="247"/>
    <x v="249"/>
    <x v="234"/>
    <x v="0"/>
    <x v="1"/>
    <x v="0"/>
    <x v="43"/>
    <x v="13"/>
    <x v="88"/>
    <x v="12"/>
    <x v="1"/>
    <x v="1"/>
  </r>
  <r>
    <x v="0"/>
    <x v="42"/>
    <x v="203"/>
    <x v="30"/>
    <x v="30"/>
    <x v="1"/>
    <x v="57"/>
    <x v="244"/>
    <x v="71"/>
    <x v="140"/>
    <x v="198"/>
    <x v="13"/>
    <x v="250"/>
    <x v="250"/>
    <x v="246"/>
    <x v="1"/>
    <x v="248"/>
    <x v="250"/>
    <x v="235"/>
    <x v="0"/>
    <x v="0"/>
    <x v="4"/>
    <x v="43"/>
    <x v="21"/>
    <x v="12"/>
    <x v="1"/>
    <x v="1"/>
    <x v="86"/>
  </r>
  <r>
    <x v="0"/>
    <x v="151"/>
    <x v="204"/>
    <x v="31"/>
    <x v="0"/>
    <x v="175"/>
    <x v="2"/>
    <x v="245"/>
    <x v="111"/>
    <x v="75"/>
    <x v="199"/>
    <x v="221"/>
    <x v="251"/>
    <x v="251"/>
    <x v="247"/>
    <x v="0"/>
    <x v="249"/>
    <x v="251"/>
    <x v="236"/>
    <x v="0"/>
    <x v="0"/>
    <x v="0"/>
    <x v="43"/>
    <x v="14"/>
    <x v="135"/>
    <x v="21"/>
    <x v="1"/>
    <x v="1"/>
  </r>
  <r>
    <x v="0"/>
    <x v="52"/>
    <x v="167"/>
    <x v="51"/>
    <x v="37"/>
    <x v="109"/>
    <x v="2"/>
    <x v="246"/>
    <x v="112"/>
    <x v="75"/>
    <x v="98"/>
    <x v="222"/>
    <x v="252"/>
    <x v="252"/>
    <x v="248"/>
    <x v="4"/>
    <x v="250"/>
    <x v="252"/>
    <x v="237"/>
    <x v="0"/>
    <x v="0"/>
    <x v="0"/>
    <x v="40"/>
    <x v="12"/>
    <x v="6"/>
    <x v="12"/>
    <x v="1"/>
    <x v="1"/>
  </r>
  <r>
    <x v="0"/>
    <x v="127"/>
    <x v="205"/>
    <x v="73"/>
    <x v="94"/>
    <x v="1"/>
    <x v="21"/>
    <x v="247"/>
    <x v="84"/>
    <x v="141"/>
    <x v="200"/>
    <x v="223"/>
    <x v="253"/>
    <x v="253"/>
    <x v="249"/>
    <x v="0"/>
    <x v="251"/>
    <x v="253"/>
    <x v="150"/>
    <x v="0"/>
    <x v="0"/>
    <x v="0"/>
    <x v="43"/>
    <x v="2"/>
    <x v="1"/>
    <x v="22"/>
    <x v="1"/>
    <x v="41"/>
  </r>
  <r>
    <x v="1"/>
    <x v="48"/>
    <x v="143"/>
    <x v="92"/>
    <x v="33"/>
    <x v="176"/>
    <x v="19"/>
    <x v="248"/>
    <x v="113"/>
    <x v="20"/>
    <x v="201"/>
    <x v="224"/>
    <x v="254"/>
    <x v="254"/>
    <x v="250"/>
    <x v="0"/>
    <x v="252"/>
    <x v="254"/>
    <x v="238"/>
    <x v="0"/>
    <x v="0"/>
    <x v="0"/>
    <x v="43"/>
    <x v="14"/>
    <x v="13"/>
    <x v="7"/>
    <x v="1"/>
    <x v="1"/>
  </r>
  <r>
    <x v="0"/>
    <x v="46"/>
    <x v="141"/>
    <x v="79"/>
    <x v="31"/>
    <x v="177"/>
    <x v="80"/>
    <x v="249"/>
    <x v="56"/>
    <x v="142"/>
    <x v="202"/>
    <x v="225"/>
    <x v="255"/>
    <x v="255"/>
    <x v="251"/>
    <x v="1"/>
    <x v="253"/>
    <x v="255"/>
    <x v="239"/>
    <x v="0"/>
    <x v="0"/>
    <x v="2"/>
    <x v="56"/>
    <x v="5"/>
    <x v="136"/>
    <x v="41"/>
    <x v="1"/>
    <x v="1"/>
  </r>
  <r>
    <x v="0"/>
    <x v="152"/>
    <x v="206"/>
    <x v="73"/>
    <x v="16"/>
    <x v="178"/>
    <x v="2"/>
    <x v="250"/>
    <x v="114"/>
    <x v="2"/>
    <x v="203"/>
    <x v="226"/>
    <x v="256"/>
    <x v="256"/>
    <x v="252"/>
    <x v="0"/>
    <x v="254"/>
    <x v="256"/>
    <x v="240"/>
    <x v="0"/>
    <x v="0"/>
    <x v="0"/>
    <x v="40"/>
    <x v="10"/>
    <x v="30"/>
    <x v="27"/>
    <x v="1"/>
    <x v="57"/>
  </r>
  <r>
    <x v="0"/>
    <x v="113"/>
    <x v="207"/>
    <x v="84"/>
    <x v="88"/>
    <x v="179"/>
    <x v="81"/>
    <x v="4"/>
    <x v="115"/>
    <x v="143"/>
    <x v="204"/>
    <x v="227"/>
    <x v="257"/>
    <x v="257"/>
    <x v="253"/>
    <x v="2"/>
    <x v="255"/>
    <x v="257"/>
    <x v="241"/>
    <x v="0"/>
    <x v="0"/>
    <x v="6"/>
    <x v="4"/>
    <x v="4"/>
    <x v="137"/>
    <x v="32"/>
    <x v="9"/>
    <x v="1"/>
  </r>
  <r>
    <x v="0"/>
    <x v="153"/>
    <x v="35"/>
    <x v="58"/>
    <x v="112"/>
    <x v="1"/>
    <x v="18"/>
    <x v="251"/>
    <x v="116"/>
    <x v="144"/>
    <x v="205"/>
    <x v="228"/>
    <x v="258"/>
    <x v="258"/>
    <x v="254"/>
    <x v="0"/>
    <x v="256"/>
    <x v="258"/>
    <x v="242"/>
    <x v="0"/>
    <x v="0"/>
    <x v="4"/>
    <x v="43"/>
    <x v="11"/>
    <x v="30"/>
    <x v="5"/>
    <x v="1"/>
    <x v="73"/>
  </r>
  <r>
    <x v="0"/>
    <x v="154"/>
    <x v="208"/>
    <x v="33"/>
    <x v="113"/>
    <x v="180"/>
    <x v="82"/>
    <x v="252"/>
    <x v="21"/>
    <x v="145"/>
    <x v="206"/>
    <x v="229"/>
    <x v="259"/>
    <x v="259"/>
    <x v="255"/>
    <x v="3"/>
    <x v="257"/>
    <x v="259"/>
    <x v="243"/>
    <x v="0"/>
    <x v="0"/>
    <x v="2"/>
    <x v="43"/>
    <x v="10"/>
    <x v="138"/>
    <x v="34"/>
    <x v="0"/>
    <x v="77"/>
  </r>
  <r>
    <x v="0"/>
    <x v="155"/>
    <x v="209"/>
    <x v="93"/>
    <x v="85"/>
    <x v="181"/>
    <x v="25"/>
    <x v="253"/>
    <x v="117"/>
    <x v="26"/>
    <x v="207"/>
    <x v="230"/>
    <x v="260"/>
    <x v="260"/>
    <x v="256"/>
    <x v="0"/>
    <x v="258"/>
    <x v="260"/>
    <x v="244"/>
    <x v="0"/>
    <x v="0"/>
    <x v="2"/>
    <x v="43"/>
    <x v="14"/>
    <x v="139"/>
    <x v="28"/>
    <x v="0"/>
    <x v="87"/>
  </r>
  <r>
    <x v="0"/>
    <x v="127"/>
    <x v="198"/>
    <x v="60"/>
    <x v="94"/>
    <x v="91"/>
    <x v="18"/>
    <x v="254"/>
    <x v="118"/>
    <x v="19"/>
    <x v="200"/>
    <x v="116"/>
    <x v="261"/>
    <x v="261"/>
    <x v="257"/>
    <x v="3"/>
    <x v="259"/>
    <x v="261"/>
    <x v="245"/>
    <x v="0"/>
    <x v="0"/>
    <x v="0"/>
    <x v="43"/>
    <x v="6"/>
    <x v="1"/>
    <x v="27"/>
    <x v="1"/>
    <x v="85"/>
  </r>
  <r>
    <x v="0"/>
    <x v="80"/>
    <x v="210"/>
    <x v="46"/>
    <x v="63"/>
    <x v="182"/>
    <x v="24"/>
    <x v="255"/>
    <x v="119"/>
    <x v="25"/>
    <x v="208"/>
    <x v="231"/>
    <x v="262"/>
    <x v="262"/>
    <x v="258"/>
    <x v="1"/>
    <x v="260"/>
    <x v="262"/>
    <x v="246"/>
    <x v="0"/>
    <x v="0"/>
    <x v="0"/>
    <x v="43"/>
    <x v="10"/>
    <x v="140"/>
    <x v="1"/>
    <x v="1"/>
    <x v="88"/>
  </r>
  <r>
    <x v="0"/>
    <x v="154"/>
    <x v="211"/>
    <x v="72"/>
    <x v="113"/>
    <x v="183"/>
    <x v="83"/>
    <x v="256"/>
    <x v="21"/>
    <x v="146"/>
    <x v="209"/>
    <x v="232"/>
    <x v="263"/>
    <x v="263"/>
    <x v="259"/>
    <x v="3"/>
    <x v="261"/>
    <x v="263"/>
    <x v="247"/>
    <x v="0"/>
    <x v="0"/>
    <x v="2"/>
    <x v="21"/>
    <x v="9"/>
    <x v="141"/>
    <x v="28"/>
    <x v="3"/>
    <x v="1"/>
  </r>
  <r>
    <x v="0"/>
    <x v="156"/>
    <x v="212"/>
    <x v="61"/>
    <x v="114"/>
    <x v="184"/>
    <x v="84"/>
    <x v="257"/>
    <x v="120"/>
    <x v="147"/>
    <x v="36"/>
    <x v="233"/>
    <x v="264"/>
    <x v="264"/>
    <x v="260"/>
    <x v="0"/>
    <x v="262"/>
    <x v="264"/>
    <x v="248"/>
    <x v="0"/>
    <x v="0"/>
    <x v="0"/>
    <x v="29"/>
    <x v="13"/>
    <x v="29"/>
    <x v="42"/>
    <x v="1"/>
    <x v="89"/>
  </r>
  <r>
    <x v="0"/>
    <x v="81"/>
    <x v="213"/>
    <x v="37"/>
    <x v="64"/>
    <x v="185"/>
    <x v="2"/>
    <x v="258"/>
    <x v="46"/>
    <x v="42"/>
    <x v="210"/>
    <x v="234"/>
    <x v="265"/>
    <x v="265"/>
    <x v="261"/>
    <x v="2"/>
    <x v="263"/>
    <x v="265"/>
    <x v="210"/>
    <x v="0"/>
    <x v="0"/>
    <x v="0"/>
    <x v="43"/>
    <x v="9"/>
    <x v="142"/>
    <x v="10"/>
    <x v="1"/>
    <x v="11"/>
  </r>
  <r>
    <x v="0"/>
    <x v="157"/>
    <x v="151"/>
    <x v="74"/>
    <x v="92"/>
    <x v="186"/>
    <x v="57"/>
    <x v="259"/>
    <x v="2"/>
    <x v="99"/>
    <x v="211"/>
    <x v="235"/>
    <x v="266"/>
    <x v="266"/>
    <x v="262"/>
    <x v="1"/>
    <x v="264"/>
    <x v="266"/>
    <x v="249"/>
    <x v="0"/>
    <x v="0"/>
    <x v="0"/>
    <x v="43"/>
    <x v="1"/>
    <x v="95"/>
    <x v="13"/>
    <x v="1"/>
    <x v="1"/>
  </r>
  <r>
    <x v="0"/>
    <x v="16"/>
    <x v="214"/>
    <x v="94"/>
    <x v="0"/>
    <x v="187"/>
    <x v="17"/>
    <x v="260"/>
    <x v="38"/>
    <x v="18"/>
    <x v="1"/>
    <x v="236"/>
    <x v="267"/>
    <x v="267"/>
    <x v="263"/>
    <x v="4"/>
    <x v="265"/>
    <x v="267"/>
    <x v="250"/>
    <x v="0"/>
    <x v="3"/>
    <x v="0"/>
    <x v="57"/>
    <x v="18"/>
    <x v="1"/>
    <x v="36"/>
    <x v="1"/>
    <x v="90"/>
  </r>
  <r>
    <x v="0"/>
    <x v="158"/>
    <x v="86"/>
    <x v="60"/>
    <x v="115"/>
    <x v="188"/>
    <x v="0"/>
    <x v="261"/>
    <x v="121"/>
    <x v="51"/>
    <x v="212"/>
    <x v="237"/>
    <x v="268"/>
    <x v="268"/>
    <x v="264"/>
    <x v="0"/>
    <x v="266"/>
    <x v="268"/>
    <x v="251"/>
    <x v="0"/>
    <x v="0"/>
    <x v="2"/>
    <x v="43"/>
    <x v="14"/>
    <x v="30"/>
    <x v="27"/>
    <x v="1"/>
    <x v="1"/>
  </r>
  <r>
    <x v="1"/>
    <x v="159"/>
    <x v="215"/>
    <x v="28"/>
    <x v="0"/>
    <x v="189"/>
    <x v="14"/>
    <x v="262"/>
    <x v="122"/>
    <x v="14"/>
    <x v="102"/>
    <x v="238"/>
    <x v="269"/>
    <x v="269"/>
    <x v="265"/>
    <x v="1"/>
    <x v="267"/>
    <x v="269"/>
    <x v="252"/>
    <x v="0"/>
    <x v="0"/>
    <x v="4"/>
    <x v="58"/>
    <x v="18"/>
    <x v="72"/>
    <x v="2"/>
    <x v="1"/>
    <x v="1"/>
  </r>
  <r>
    <x v="0"/>
    <x v="160"/>
    <x v="216"/>
    <x v="87"/>
    <x v="116"/>
    <x v="190"/>
    <x v="85"/>
    <x v="263"/>
    <x v="56"/>
    <x v="148"/>
    <x v="213"/>
    <x v="239"/>
    <x v="270"/>
    <x v="270"/>
    <x v="266"/>
    <x v="1"/>
    <x v="268"/>
    <x v="270"/>
    <x v="253"/>
    <x v="0"/>
    <x v="0"/>
    <x v="2"/>
    <x v="59"/>
    <x v="17"/>
    <x v="143"/>
    <x v="45"/>
    <x v="3"/>
    <x v="91"/>
  </r>
  <r>
    <x v="0"/>
    <x v="104"/>
    <x v="117"/>
    <x v="69"/>
    <x v="82"/>
    <x v="191"/>
    <x v="14"/>
    <x v="264"/>
    <x v="123"/>
    <x v="14"/>
    <x v="42"/>
    <x v="240"/>
    <x v="271"/>
    <x v="271"/>
    <x v="267"/>
    <x v="1"/>
    <x v="269"/>
    <x v="271"/>
    <x v="254"/>
    <x v="0"/>
    <x v="0"/>
    <x v="0"/>
    <x v="40"/>
    <x v="14"/>
    <x v="32"/>
    <x v="1"/>
    <x v="1"/>
    <x v="1"/>
  </r>
  <r>
    <x v="0"/>
    <x v="18"/>
    <x v="178"/>
    <x v="20"/>
    <x v="0"/>
    <x v="192"/>
    <x v="21"/>
    <x v="265"/>
    <x v="77"/>
    <x v="22"/>
    <x v="1"/>
    <x v="241"/>
    <x v="272"/>
    <x v="272"/>
    <x v="268"/>
    <x v="1"/>
    <x v="270"/>
    <x v="272"/>
    <x v="255"/>
    <x v="0"/>
    <x v="0"/>
    <x v="4"/>
    <x v="38"/>
    <x v="12"/>
    <x v="1"/>
    <x v="13"/>
    <x v="1"/>
    <x v="1"/>
  </r>
  <r>
    <x v="0"/>
    <x v="97"/>
    <x v="217"/>
    <x v="95"/>
    <x v="59"/>
    <x v="77"/>
    <x v="33"/>
    <x v="266"/>
    <x v="56"/>
    <x v="149"/>
    <x v="214"/>
    <x v="242"/>
    <x v="273"/>
    <x v="273"/>
    <x v="269"/>
    <x v="0"/>
    <x v="271"/>
    <x v="273"/>
    <x v="256"/>
    <x v="0"/>
    <x v="8"/>
    <x v="2"/>
    <x v="60"/>
    <x v="15"/>
    <x v="144"/>
    <x v="18"/>
    <x v="3"/>
    <x v="1"/>
  </r>
  <r>
    <x v="0"/>
    <x v="161"/>
    <x v="103"/>
    <x v="55"/>
    <x v="117"/>
    <x v="193"/>
    <x v="86"/>
    <x v="267"/>
    <x v="124"/>
    <x v="150"/>
    <x v="215"/>
    <x v="243"/>
    <x v="274"/>
    <x v="274"/>
    <x v="270"/>
    <x v="0"/>
    <x v="272"/>
    <x v="274"/>
    <x v="178"/>
    <x v="0"/>
    <x v="0"/>
    <x v="3"/>
    <x v="21"/>
    <x v="0"/>
    <x v="145"/>
    <x v="1"/>
    <x v="3"/>
    <x v="9"/>
  </r>
  <r>
    <x v="0"/>
    <x v="18"/>
    <x v="218"/>
    <x v="12"/>
    <x v="0"/>
    <x v="194"/>
    <x v="57"/>
    <x v="268"/>
    <x v="47"/>
    <x v="109"/>
    <x v="216"/>
    <x v="244"/>
    <x v="275"/>
    <x v="275"/>
    <x v="271"/>
    <x v="1"/>
    <x v="273"/>
    <x v="275"/>
    <x v="257"/>
    <x v="0"/>
    <x v="0"/>
    <x v="0"/>
    <x v="61"/>
    <x v="2"/>
    <x v="146"/>
    <x v="14"/>
    <x v="1"/>
    <x v="92"/>
  </r>
  <r>
    <x v="2"/>
    <x v="162"/>
    <x v="4"/>
    <x v="96"/>
    <x v="0"/>
    <x v="4"/>
    <x v="87"/>
    <x v="4"/>
    <x v="125"/>
    <x v="151"/>
    <x v="217"/>
    <x v="4"/>
    <x v="276"/>
    <x v="276"/>
    <x v="272"/>
    <x v="0"/>
    <x v="4"/>
    <x v="276"/>
    <x v="4"/>
    <x v="1"/>
    <x v="2"/>
    <x v="1"/>
    <x v="4"/>
    <x v="4"/>
    <x v="147"/>
    <x v="13"/>
    <x v="2"/>
    <x v="1"/>
  </r>
  <r>
    <x v="0"/>
    <x v="27"/>
    <x v="192"/>
    <x v="16"/>
    <x v="0"/>
    <x v="23"/>
    <x v="32"/>
    <x v="269"/>
    <x v="126"/>
    <x v="59"/>
    <x v="127"/>
    <x v="89"/>
    <x v="277"/>
    <x v="277"/>
    <x v="273"/>
    <x v="1"/>
    <x v="274"/>
    <x v="277"/>
    <x v="53"/>
    <x v="0"/>
    <x v="0"/>
    <x v="0"/>
    <x v="62"/>
    <x v="12"/>
    <x v="47"/>
    <x v="8"/>
    <x v="1"/>
    <x v="1"/>
  </r>
  <r>
    <x v="0"/>
    <x v="163"/>
    <x v="219"/>
    <x v="27"/>
    <x v="80"/>
    <x v="60"/>
    <x v="88"/>
    <x v="270"/>
    <x v="127"/>
    <x v="152"/>
    <x v="218"/>
    <x v="74"/>
    <x v="278"/>
    <x v="278"/>
    <x v="274"/>
    <x v="0"/>
    <x v="275"/>
    <x v="278"/>
    <x v="258"/>
    <x v="0"/>
    <x v="11"/>
    <x v="4"/>
    <x v="63"/>
    <x v="18"/>
    <x v="148"/>
    <x v="46"/>
    <x v="3"/>
    <x v="93"/>
  </r>
  <r>
    <x v="0"/>
    <x v="164"/>
    <x v="177"/>
    <x v="46"/>
    <x v="118"/>
    <x v="23"/>
    <x v="25"/>
    <x v="271"/>
    <x v="23"/>
    <x v="76"/>
    <x v="98"/>
    <x v="245"/>
    <x v="279"/>
    <x v="279"/>
    <x v="275"/>
    <x v="1"/>
    <x v="276"/>
    <x v="279"/>
    <x v="259"/>
    <x v="0"/>
    <x v="0"/>
    <x v="0"/>
    <x v="63"/>
    <x v="21"/>
    <x v="6"/>
    <x v="12"/>
    <x v="1"/>
    <x v="1"/>
  </r>
  <r>
    <x v="0"/>
    <x v="18"/>
    <x v="220"/>
    <x v="94"/>
    <x v="0"/>
    <x v="195"/>
    <x v="22"/>
    <x v="272"/>
    <x v="128"/>
    <x v="153"/>
    <x v="219"/>
    <x v="246"/>
    <x v="280"/>
    <x v="280"/>
    <x v="276"/>
    <x v="0"/>
    <x v="277"/>
    <x v="280"/>
    <x v="260"/>
    <x v="0"/>
    <x v="0"/>
    <x v="4"/>
    <x v="47"/>
    <x v="21"/>
    <x v="149"/>
    <x v="3"/>
    <x v="1"/>
    <x v="90"/>
  </r>
  <r>
    <x v="0"/>
    <x v="38"/>
    <x v="153"/>
    <x v="97"/>
    <x v="25"/>
    <x v="196"/>
    <x v="14"/>
    <x v="273"/>
    <x v="123"/>
    <x v="56"/>
    <x v="220"/>
    <x v="247"/>
    <x v="281"/>
    <x v="281"/>
    <x v="277"/>
    <x v="0"/>
    <x v="278"/>
    <x v="281"/>
    <x v="261"/>
    <x v="0"/>
    <x v="0"/>
    <x v="0"/>
    <x v="64"/>
    <x v="19"/>
    <x v="150"/>
    <x v="16"/>
    <x v="1"/>
    <x v="1"/>
  </r>
  <r>
    <x v="0"/>
    <x v="126"/>
    <x v="221"/>
    <x v="89"/>
    <x v="0"/>
    <x v="168"/>
    <x v="2"/>
    <x v="274"/>
    <x v="8"/>
    <x v="113"/>
    <x v="221"/>
    <x v="248"/>
    <x v="282"/>
    <x v="282"/>
    <x v="278"/>
    <x v="1"/>
    <x v="279"/>
    <x v="282"/>
    <x v="262"/>
    <x v="0"/>
    <x v="1"/>
    <x v="2"/>
    <x v="32"/>
    <x v="19"/>
    <x v="10"/>
    <x v="38"/>
    <x v="1"/>
    <x v="1"/>
  </r>
  <r>
    <x v="1"/>
    <x v="30"/>
    <x v="222"/>
    <x v="48"/>
    <x v="22"/>
    <x v="197"/>
    <x v="18"/>
    <x v="275"/>
    <x v="2"/>
    <x v="144"/>
    <x v="222"/>
    <x v="249"/>
    <x v="283"/>
    <x v="283"/>
    <x v="279"/>
    <x v="1"/>
    <x v="280"/>
    <x v="283"/>
    <x v="263"/>
    <x v="0"/>
    <x v="1"/>
    <x v="0"/>
    <x v="16"/>
    <x v="7"/>
    <x v="30"/>
    <x v="25"/>
    <x v="1"/>
    <x v="1"/>
  </r>
  <r>
    <x v="0"/>
    <x v="24"/>
    <x v="223"/>
    <x v="73"/>
    <x v="17"/>
    <x v="162"/>
    <x v="0"/>
    <x v="276"/>
    <x v="18"/>
    <x v="154"/>
    <x v="223"/>
    <x v="250"/>
    <x v="284"/>
    <x v="284"/>
    <x v="280"/>
    <x v="0"/>
    <x v="281"/>
    <x v="284"/>
    <x v="264"/>
    <x v="0"/>
    <x v="0"/>
    <x v="0"/>
    <x v="32"/>
    <x v="18"/>
    <x v="151"/>
    <x v="20"/>
    <x v="1"/>
    <x v="1"/>
  </r>
  <r>
    <x v="0"/>
    <x v="0"/>
    <x v="134"/>
    <x v="9"/>
    <x v="0"/>
    <x v="198"/>
    <x v="89"/>
    <x v="277"/>
    <x v="46"/>
    <x v="155"/>
    <x v="224"/>
    <x v="251"/>
    <x v="285"/>
    <x v="285"/>
    <x v="281"/>
    <x v="0"/>
    <x v="282"/>
    <x v="285"/>
    <x v="265"/>
    <x v="0"/>
    <x v="0"/>
    <x v="4"/>
    <x v="64"/>
    <x v="23"/>
    <x v="152"/>
    <x v="3"/>
    <x v="1"/>
    <x v="38"/>
  </r>
  <r>
    <x v="0"/>
    <x v="159"/>
    <x v="122"/>
    <x v="35"/>
    <x v="0"/>
    <x v="1"/>
    <x v="1"/>
    <x v="278"/>
    <x v="129"/>
    <x v="1"/>
    <x v="3"/>
    <x v="16"/>
    <x v="286"/>
    <x v="286"/>
    <x v="282"/>
    <x v="1"/>
    <x v="283"/>
    <x v="286"/>
    <x v="266"/>
    <x v="0"/>
    <x v="0"/>
    <x v="4"/>
    <x v="32"/>
    <x v="0"/>
    <x v="3"/>
    <x v="15"/>
    <x v="1"/>
    <x v="1"/>
  </r>
  <r>
    <x v="0"/>
    <x v="18"/>
    <x v="31"/>
    <x v="53"/>
    <x v="0"/>
    <x v="199"/>
    <x v="11"/>
    <x v="279"/>
    <x v="130"/>
    <x v="156"/>
    <x v="225"/>
    <x v="252"/>
    <x v="287"/>
    <x v="287"/>
    <x v="283"/>
    <x v="0"/>
    <x v="284"/>
    <x v="287"/>
    <x v="267"/>
    <x v="0"/>
    <x v="0"/>
    <x v="4"/>
    <x v="32"/>
    <x v="1"/>
    <x v="153"/>
    <x v="6"/>
    <x v="3"/>
    <x v="1"/>
  </r>
  <r>
    <x v="0"/>
    <x v="0"/>
    <x v="160"/>
    <x v="8"/>
    <x v="0"/>
    <x v="200"/>
    <x v="35"/>
    <x v="280"/>
    <x v="131"/>
    <x v="157"/>
    <x v="226"/>
    <x v="253"/>
    <x v="288"/>
    <x v="288"/>
    <x v="284"/>
    <x v="0"/>
    <x v="285"/>
    <x v="288"/>
    <x v="268"/>
    <x v="0"/>
    <x v="0"/>
    <x v="4"/>
    <x v="51"/>
    <x v="24"/>
    <x v="30"/>
    <x v="13"/>
    <x v="1"/>
    <x v="1"/>
  </r>
  <r>
    <x v="0"/>
    <x v="165"/>
    <x v="143"/>
    <x v="11"/>
    <x v="119"/>
    <x v="201"/>
    <x v="11"/>
    <x v="281"/>
    <x v="23"/>
    <x v="156"/>
    <x v="227"/>
    <x v="254"/>
    <x v="289"/>
    <x v="289"/>
    <x v="285"/>
    <x v="1"/>
    <x v="286"/>
    <x v="289"/>
    <x v="269"/>
    <x v="0"/>
    <x v="0"/>
    <x v="4"/>
    <x v="32"/>
    <x v="0"/>
    <x v="154"/>
    <x v="21"/>
    <x v="1"/>
    <x v="1"/>
  </r>
  <r>
    <x v="0"/>
    <x v="166"/>
    <x v="224"/>
    <x v="42"/>
    <x v="8"/>
    <x v="202"/>
    <x v="13"/>
    <x v="282"/>
    <x v="127"/>
    <x v="158"/>
    <x v="228"/>
    <x v="255"/>
    <x v="290"/>
    <x v="290"/>
    <x v="286"/>
    <x v="10"/>
    <x v="287"/>
    <x v="290"/>
    <x v="270"/>
    <x v="0"/>
    <x v="0"/>
    <x v="0"/>
    <x v="32"/>
    <x v="5"/>
    <x v="155"/>
    <x v="34"/>
    <x v="3"/>
    <x v="1"/>
  </r>
  <r>
    <x v="0"/>
    <x v="167"/>
    <x v="220"/>
    <x v="38"/>
    <x v="120"/>
    <x v="203"/>
    <x v="25"/>
    <x v="283"/>
    <x v="132"/>
    <x v="138"/>
    <x v="229"/>
    <x v="256"/>
    <x v="291"/>
    <x v="291"/>
    <x v="287"/>
    <x v="4"/>
    <x v="288"/>
    <x v="291"/>
    <x v="271"/>
    <x v="0"/>
    <x v="0"/>
    <x v="0"/>
    <x v="32"/>
    <x v="5"/>
    <x v="135"/>
    <x v="10"/>
    <x v="1"/>
    <x v="37"/>
  </r>
  <r>
    <x v="0"/>
    <x v="168"/>
    <x v="225"/>
    <x v="69"/>
    <x v="111"/>
    <x v="204"/>
    <x v="0"/>
    <x v="284"/>
    <x v="133"/>
    <x v="159"/>
    <x v="230"/>
    <x v="257"/>
    <x v="292"/>
    <x v="292"/>
    <x v="288"/>
    <x v="1"/>
    <x v="289"/>
    <x v="292"/>
    <x v="104"/>
    <x v="0"/>
    <x v="0"/>
    <x v="4"/>
    <x v="32"/>
    <x v="25"/>
    <x v="156"/>
    <x v="9"/>
    <x v="1"/>
    <x v="1"/>
  </r>
  <r>
    <x v="0"/>
    <x v="169"/>
    <x v="226"/>
    <x v="28"/>
    <x v="121"/>
    <x v="161"/>
    <x v="19"/>
    <x v="285"/>
    <x v="134"/>
    <x v="20"/>
    <x v="231"/>
    <x v="197"/>
    <x v="293"/>
    <x v="293"/>
    <x v="289"/>
    <x v="1"/>
    <x v="290"/>
    <x v="293"/>
    <x v="272"/>
    <x v="0"/>
    <x v="0"/>
    <x v="4"/>
    <x v="32"/>
    <x v="3"/>
    <x v="6"/>
    <x v="3"/>
    <x v="1"/>
    <x v="94"/>
  </r>
  <r>
    <x v="0"/>
    <x v="170"/>
    <x v="227"/>
    <x v="43"/>
    <x v="122"/>
    <x v="205"/>
    <x v="35"/>
    <x v="286"/>
    <x v="135"/>
    <x v="124"/>
    <x v="232"/>
    <x v="258"/>
    <x v="294"/>
    <x v="294"/>
    <x v="290"/>
    <x v="0"/>
    <x v="291"/>
    <x v="294"/>
    <x v="273"/>
    <x v="0"/>
    <x v="0"/>
    <x v="3"/>
    <x v="32"/>
    <x v="25"/>
    <x v="157"/>
    <x v="8"/>
    <x v="0"/>
    <x v="1"/>
  </r>
  <r>
    <x v="0"/>
    <x v="171"/>
    <x v="142"/>
    <x v="98"/>
    <x v="123"/>
    <x v="206"/>
    <x v="90"/>
    <x v="287"/>
    <x v="21"/>
    <x v="160"/>
    <x v="233"/>
    <x v="259"/>
    <x v="295"/>
    <x v="295"/>
    <x v="29"/>
    <x v="1"/>
    <x v="292"/>
    <x v="295"/>
    <x v="209"/>
    <x v="0"/>
    <x v="0"/>
    <x v="3"/>
    <x v="32"/>
    <x v="21"/>
    <x v="158"/>
    <x v="11"/>
    <x v="10"/>
    <x v="1"/>
  </r>
  <r>
    <x v="0"/>
    <x v="172"/>
    <x v="228"/>
    <x v="33"/>
    <x v="124"/>
    <x v="47"/>
    <x v="8"/>
    <x v="288"/>
    <x v="2"/>
    <x v="35"/>
    <x v="234"/>
    <x v="260"/>
    <x v="296"/>
    <x v="296"/>
    <x v="291"/>
    <x v="3"/>
    <x v="293"/>
    <x v="296"/>
    <x v="274"/>
    <x v="0"/>
    <x v="0"/>
    <x v="4"/>
    <x v="65"/>
    <x v="3"/>
    <x v="44"/>
    <x v="10"/>
    <x v="1"/>
    <x v="95"/>
  </r>
  <r>
    <x v="0"/>
    <x v="71"/>
    <x v="229"/>
    <x v="22"/>
    <x v="56"/>
    <x v="159"/>
    <x v="25"/>
    <x v="289"/>
    <x v="136"/>
    <x v="76"/>
    <x v="235"/>
    <x v="261"/>
    <x v="297"/>
    <x v="297"/>
    <x v="292"/>
    <x v="0"/>
    <x v="294"/>
    <x v="297"/>
    <x v="275"/>
    <x v="0"/>
    <x v="0"/>
    <x v="2"/>
    <x v="32"/>
    <x v="14"/>
    <x v="159"/>
    <x v="8"/>
    <x v="1"/>
    <x v="1"/>
  </r>
  <r>
    <x v="1"/>
    <x v="173"/>
    <x v="230"/>
    <x v="27"/>
    <x v="125"/>
    <x v="207"/>
    <x v="22"/>
    <x v="290"/>
    <x v="11"/>
    <x v="153"/>
    <x v="236"/>
    <x v="262"/>
    <x v="298"/>
    <x v="298"/>
    <x v="293"/>
    <x v="0"/>
    <x v="295"/>
    <x v="298"/>
    <x v="276"/>
    <x v="0"/>
    <x v="0"/>
    <x v="2"/>
    <x v="32"/>
    <x v="7"/>
    <x v="160"/>
    <x v="37"/>
    <x v="1"/>
    <x v="1"/>
  </r>
  <r>
    <x v="0"/>
    <x v="174"/>
    <x v="231"/>
    <x v="59"/>
    <x v="0"/>
    <x v="208"/>
    <x v="91"/>
    <x v="291"/>
    <x v="37"/>
    <x v="161"/>
    <x v="237"/>
    <x v="263"/>
    <x v="299"/>
    <x v="299"/>
    <x v="294"/>
    <x v="0"/>
    <x v="296"/>
    <x v="299"/>
    <x v="156"/>
    <x v="0"/>
    <x v="8"/>
    <x v="2"/>
    <x v="32"/>
    <x v="0"/>
    <x v="42"/>
    <x v="2"/>
    <x v="1"/>
    <x v="59"/>
  </r>
  <r>
    <x v="0"/>
    <x v="96"/>
    <x v="127"/>
    <x v="70"/>
    <x v="75"/>
    <x v="105"/>
    <x v="24"/>
    <x v="142"/>
    <x v="15"/>
    <x v="25"/>
    <x v="122"/>
    <x v="130"/>
    <x v="144"/>
    <x v="144"/>
    <x v="142"/>
    <x v="2"/>
    <x v="144"/>
    <x v="144"/>
    <x v="139"/>
    <x v="0"/>
    <x v="0"/>
    <x v="2"/>
    <x v="16"/>
    <x v="2"/>
    <x v="86"/>
    <x v="27"/>
    <x v="1"/>
    <x v="4"/>
  </r>
  <r>
    <x v="0"/>
    <x v="175"/>
    <x v="232"/>
    <x v="58"/>
    <x v="126"/>
    <x v="209"/>
    <x v="21"/>
    <x v="292"/>
    <x v="45"/>
    <x v="162"/>
    <x v="238"/>
    <x v="264"/>
    <x v="300"/>
    <x v="300"/>
    <x v="295"/>
    <x v="4"/>
    <x v="297"/>
    <x v="300"/>
    <x v="277"/>
    <x v="0"/>
    <x v="0"/>
    <x v="2"/>
    <x v="32"/>
    <x v="9"/>
    <x v="161"/>
    <x v="10"/>
    <x v="1"/>
    <x v="16"/>
  </r>
  <r>
    <x v="0"/>
    <x v="176"/>
    <x v="233"/>
    <x v="33"/>
    <x v="127"/>
    <x v="23"/>
    <x v="1"/>
    <x v="293"/>
    <x v="137"/>
    <x v="1"/>
    <x v="98"/>
    <x v="265"/>
    <x v="301"/>
    <x v="301"/>
    <x v="296"/>
    <x v="0"/>
    <x v="298"/>
    <x v="301"/>
    <x v="278"/>
    <x v="0"/>
    <x v="0"/>
    <x v="0"/>
    <x v="32"/>
    <x v="5"/>
    <x v="6"/>
    <x v="19"/>
    <x v="1"/>
    <x v="68"/>
  </r>
  <r>
    <x v="0"/>
    <x v="177"/>
    <x v="215"/>
    <x v="61"/>
    <x v="0"/>
    <x v="53"/>
    <x v="0"/>
    <x v="294"/>
    <x v="138"/>
    <x v="0"/>
    <x v="239"/>
    <x v="266"/>
    <x v="302"/>
    <x v="302"/>
    <x v="297"/>
    <x v="0"/>
    <x v="299"/>
    <x v="302"/>
    <x v="279"/>
    <x v="0"/>
    <x v="0"/>
    <x v="4"/>
    <x v="66"/>
    <x v="15"/>
    <x v="30"/>
    <x v="20"/>
    <x v="1"/>
    <x v="43"/>
  </r>
  <r>
    <x v="0"/>
    <x v="103"/>
    <x v="146"/>
    <x v="14"/>
    <x v="81"/>
    <x v="210"/>
    <x v="19"/>
    <x v="295"/>
    <x v="139"/>
    <x v="20"/>
    <x v="135"/>
    <x v="267"/>
    <x v="303"/>
    <x v="303"/>
    <x v="298"/>
    <x v="0"/>
    <x v="300"/>
    <x v="303"/>
    <x v="45"/>
    <x v="0"/>
    <x v="8"/>
    <x v="4"/>
    <x v="32"/>
    <x v="7"/>
    <x v="13"/>
    <x v="25"/>
    <x v="1"/>
    <x v="57"/>
  </r>
  <r>
    <x v="0"/>
    <x v="48"/>
    <x v="234"/>
    <x v="99"/>
    <x v="33"/>
    <x v="6"/>
    <x v="19"/>
    <x v="296"/>
    <x v="140"/>
    <x v="20"/>
    <x v="240"/>
    <x v="64"/>
    <x v="304"/>
    <x v="304"/>
    <x v="299"/>
    <x v="3"/>
    <x v="301"/>
    <x v="304"/>
    <x v="280"/>
    <x v="0"/>
    <x v="0"/>
    <x v="4"/>
    <x v="32"/>
    <x v="9"/>
    <x v="6"/>
    <x v="17"/>
    <x v="1"/>
    <x v="96"/>
  </r>
  <r>
    <x v="0"/>
    <x v="133"/>
    <x v="235"/>
    <x v="61"/>
    <x v="98"/>
    <x v="134"/>
    <x v="68"/>
    <x v="297"/>
    <x v="1"/>
    <x v="120"/>
    <x v="241"/>
    <x v="268"/>
    <x v="305"/>
    <x v="305"/>
    <x v="300"/>
    <x v="2"/>
    <x v="302"/>
    <x v="305"/>
    <x v="281"/>
    <x v="0"/>
    <x v="0"/>
    <x v="0"/>
    <x v="32"/>
    <x v="16"/>
    <x v="162"/>
    <x v="28"/>
    <x v="3"/>
    <x v="1"/>
  </r>
  <r>
    <x v="0"/>
    <x v="130"/>
    <x v="203"/>
    <x v="74"/>
    <x v="96"/>
    <x v="211"/>
    <x v="92"/>
    <x v="298"/>
    <x v="141"/>
    <x v="163"/>
    <x v="242"/>
    <x v="269"/>
    <x v="306"/>
    <x v="306"/>
    <x v="301"/>
    <x v="0"/>
    <x v="303"/>
    <x v="306"/>
    <x v="282"/>
    <x v="0"/>
    <x v="0"/>
    <x v="4"/>
    <x v="21"/>
    <x v="13"/>
    <x v="163"/>
    <x v="13"/>
    <x v="3"/>
    <x v="1"/>
  </r>
  <r>
    <x v="0"/>
    <x v="178"/>
    <x v="236"/>
    <x v="100"/>
    <x v="128"/>
    <x v="1"/>
    <x v="10"/>
    <x v="299"/>
    <x v="142"/>
    <x v="33"/>
    <x v="243"/>
    <x v="49"/>
    <x v="307"/>
    <x v="307"/>
    <x v="302"/>
    <x v="7"/>
    <x v="304"/>
    <x v="307"/>
    <x v="283"/>
    <x v="0"/>
    <x v="8"/>
    <x v="4"/>
    <x v="64"/>
    <x v="3"/>
    <x v="1"/>
    <x v="7"/>
    <x v="1"/>
    <x v="97"/>
  </r>
  <r>
    <x v="0"/>
    <x v="10"/>
    <x v="86"/>
    <x v="59"/>
    <x v="0"/>
    <x v="212"/>
    <x v="35"/>
    <x v="300"/>
    <x v="143"/>
    <x v="164"/>
    <x v="244"/>
    <x v="270"/>
    <x v="308"/>
    <x v="308"/>
    <x v="303"/>
    <x v="1"/>
    <x v="305"/>
    <x v="308"/>
    <x v="284"/>
    <x v="0"/>
    <x v="0"/>
    <x v="2"/>
    <x v="67"/>
    <x v="5"/>
    <x v="164"/>
    <x v="15"/>
    <x v="1"/>
    <x v="37"/>
  </r>
  <r>
    <x v="0"/>
    <x v="179"/>
    <x v="237"/>
    <x v="101"/>
    <x v="129"/>
    <x v="213"/>
    <x v="93"/>
    <x v="301"/>
    <x v="144"/>
    <x v="165"/>
    <x v="245"/>
    <x v="271"/>
    <x v="309"/>
    <x v="309"/>
    <x v="304"/>
    <x v="0"/>
    <x v="306"/>
    <x v="309"/>
    <x v="285"/>
    <x v="0"/>
    <x v="0"/>
    <x v="0"/>
    <x v="32"/>
    <x v="14"/>
    <x v="165"/>
    <x v="47"/>
    <x v="1"/>
    <x v="1"/>
  </r>
  <r>
    <x v="0"/>
    <x v="25"/>
    <x v="114"/>
    <x v="59"/>
    <x v="18"/>
    <x v="214"/>
    <x v="25"/>
    <x v="302"/>
    <x v="9"/>
    <x v="138"/>
    <x v="246"/>
    <x v="272"/>
    <x v="310"/>
    <x v="310"/>
    <x v="305"/>
    <x v="0"/>
    <x v="307"/>
    <x v="310"/>
    <x v="286"/>
    <x v="0"/>
    <x v="0"/>
    <x v="0"/>
    <x v="32"/>
    <x v="11"/>
    <x v="13"/>
    <x v="19"/>
    <x v="1"/>
    <x v="90"/>
  </r>
  <r>
    <x v="0"/>
    <x v="161"/>
    <x v="238"/>
    <x v="54"/>
    <x v="117"/>
    <x v="215"/>
    <x v="29"/>
    <x v="303"/>
    <x v="25"/>
    <x v="58"/>
    <x v="124"/>
    <x v="273"/>
    <x v="311"/>
    <x v="311"/>
    <x v="306"/>
    <x v="0"/>
    <x v="308"/>
    <x v="311"/>
    <x v="287"/>
    <x v="0"/>
    <x v="0"/>
    <x v="2"/>
    <x v="23"/>
    <x v="19"/>
    <x v="87"/>
    <x v="1"/>
    <x v="11"/>
    <x v="1"/>
  </r>
  <r>
    <x v="0"/>
    <x v="180"/>
    <x v="111"/>
    <x v="58"/>
    <x v="79"/>
    <x v="216"/>
    <x v="94"/>
    <x v="304"/>
    <x v="145"/>
    <x v="166"/>
    <x v="247"/>
    <x v="274"/>
    <x v="312"/>
    <x v="312"/>
    <x v="307"/>
    <x v="1"/>
    <x v="309"/>
    <x v="312"/>
    <x v="288"/>
    <x v="0"/>
    <x v="0"/>
    <x v="0"/>
    <x v="32"/>
    <x v="0"/>
    <x v="166"/>
    <x v="28"/>
    <x v="3"/>
    <x v="1"/>
  </r>
  <r>
    <x v="0"/>
    <x v="181"/>
    <x v="191"/>
    <x v="22"/>
    <x v="130"/>
    <x v="21"/>
    <x v="8"/>
    <x v="305"/>
    <x v="2"/>
    <x v="35"/>
    <x v="234"/>
    <x v="275"/>
    <x v="313"/>
    <x v="313"/>
    <x v="308"/>
    <x v="11"/>
    <x v="310"/>
    <x v="313"/>
    <x v="268"/>
    <x v="0"/>
    <x v="0"/>
    <x v="0"/>
    <x v="63"/>
    <x v="11"/>
    <x v="44"/>
    <x v="9"/>
    <x v="1"/>
    <x v="15"/>
  </r>
  <r>
    <x v="0"/>
    <x v="182"/>
    <x v="145"/>
    <x v="37"/>
    <x v="107"/>
    <x v="122"/>
    <x v="0"/>
    <x v="306"/>
    <x v="146"/>
    <x v="167"/>
    <x v="112"/>
    <x v="151"/>
    <x v="314"/>
    <x v="314"/>
    <x v="309"/>
    <x v="1"/>
    <x v="311"/>
    <x v="314"/>
    <x v="289"/>
    <x v="0"/>
    <x v="0"/>
    <x v="0"/>
    <x v="21"/>
    <x v="2"/>
    <x v="80"/>
    <x v="43"/>
    <x v="1"/>
    <x v="40"/>
  </r>
  <r>
    <x v="0"/>
    <x v="183"/>
    <x v="239"/>
    <x v="50"/>
    <x v="85"/>
    <x v="217"/>
    <x v="95"/>
    <x v="307"/>
    <x v="35"/>
    <x v="168"/>
    <x v="248"/>
    <x v="276"/>
    <x v="315"/>
    <x v="315"/>
    <x v="310"/>
    <x v="0"/>
    <x v="312"/>
    <x v="315"/>
    <x v="63"/>
    <x v="0"/>
    <x v="0"/>
    <x v="2"/>
    <x v="68"/>
    <x v="12"/>
    <x v="167"/>
    <x v="48"/>
    <x v="3"/>
    <x v="98"/>
  </r>
  <r>
    <x v="0"/>
    <x v="84"/>
    <x v="172"/>
    <x v="40"/>
    <x v="67"/>
    <x v="218"/>
    <x v="8"/>
    <x v="308"/>
    <x v="147"/>
    <x v="8"/>
    <x v="249"/>
    <x v="277"/>
    <x v="316"/>
    <x v="316"/>
    <x v="311"/>
    <x v="0"/>
    <x v="313"/>
    <x v="316"/>
    <x v="290"/>
    <x v="0"/>
    <x v="0"/>
    <x v="0"/>
    <x v="32"/>
    <x v="2"/>
    <x v="168"/>
    <x v="15"/>
    <x v="3"/>
    <x v="41"/>
  </r>
  <r>
    <x v="0"/>
    <x v="184"/>
    <x v="240"/>
    <x v="54"/>
    <x v="45"/>
    <x v="219"/>
    <x v="22"/>
    <x v="309"/>
    <x v="148"/>
    <x v="169"/>
    <x v="250"/>
    <x v="278"/>
    <x v="317"/>
    <x v="317"/>
    <x v="312"/>
    <x v="1"/>
    <x v="314"/>
    <x v="317"/>
    <x v="291"/>
    <x v="0"/>
    <x v="0"/>
    <x v="0"/>
    <x v="32"/>
    <x v="19"/>
    <x v="169"/>
    <x v="45"/>
    <x v="3"/>
    <x v="99"/>
  </r>
  <r>
    <x v="0"/>
    <x v="116"/>
    <x v="156"/>
    <x v="69"/>
    <x v="90"/>
    <x v="220"/>
    <x v="57"/>
    <x v="310"/>
    <x v="149"/>
    <x v="109"/>
    <x v="251"/>
    <x v="279"/>
    <x v="318"/>
    <x v="318"/>
    <x v="313"/>
    <x v="1"/>
    <x v="315"/>
    <x v="318"/>
    <x v="292"/>
    <x v="0"/>
    <x v="10"/>
    <x v="4"/>
    <x v="32"/>
    <x v="5"/>
    <x v="170"/>
    <x v="8"/>
    <x v="1"/>
    <x v="1"/>
  </r>
  <r>
    <x v="0"/>
    <x v="185"/>
    <x v="132"/>
    <x v="76"/>
    <x v="131"/>
    <x v="221"/>
    <x v="96"/>
    <x v="311"/>
    <x v="29"/>
    <x v="170"/>
    <x v="252"/>
    <x v="280"/>
    <x v="319"/>
    <x v="319"/>
    <x v="314"/>
    <x v="0"/>
    <x v="316"/>
    <x v="319"/>
    <x v="293"/>
    <x v="0"/>
    <x v="0"/>
    <x v="3"/>
    <x v="69"/>
    <x v="2"/>
    <x v="171"/>
    <x v="13"/>
    <x v="3"/>
    <x v="0"/>
  </r>
  <r>
    <x v="0"/>
    <x v="186"/>
    <x v="241"/>
    <x v="47"/>
    <x v="132"/>
    <x v="12"/>
    <x v="97"/>
    <x v="312"/>
    <x v="150"/>
    <x v="171"/>
    <x v="253"/>
    <x v="281"/>
    <x v="320"/>
    <x v="320"/>
    <x v="315"/>
    <x v="0"/>
    <x v="317"/>
    <x v="320"/>
    <x v="294"/>
    <x v="0"/>
    <x v="0"/>
    <x v="2"/>
    <x v="70"/>
    <x v="13"/>
    <x v="172"/>
    <x v="11"/>
    <x v="3"/>
    <x v="100"/>
  </r>
  <r>
    <x v="0"/>
    <x v="54"/>
    <x v="242"/>
    <x v="29"/>
    <x v="39"/>
    <x v="60"/>
    <x v="25"/>
    <x v="313"/>
    <x v="151"/>
    <x v="138"/>
    <x v="63"/>
    <x v="282"/>
    <x v="321"/>
    <x v="321"/>
    <x v="316"/>
    <x v="7"/>
    <x v="318"/>
    <x v="321"/>
    <x v="295"/>
    <x v="0"/>
    <x v="0"/>
    <x v="0"/>
    <x v="71"/>
    <x v="18"/>
    <x v="13"/>
    <x v="22"/>
    <x v="1"/>
    <x v="1"/>
  </r>
  <r>
    <x v="0"/>
    <x v="48"/>
    <x v="167"/>
    <x v="102"/>
    <x v="33"/>
    <x v="1"/>
    <x v="19"/>
    <x v="314"/>
    <x v="152"/>
    <x v="20"/>
    <x v="101"/>
    <x v="49"/>
    <x v="322"/>
    <x v="322"/>
    <x v="317"/>
    <x v="3"/>
    <x v="319"/>
    <x v="322"/>
    <x v="296"/>
    <x v="0"/>
    <x v="0"/>
    <x v="4"/>
    <x v="32"/>
    <x v="19"/>
    <x v="20"/>
    <x v="7"/>
    <x v="1"/>
    <x v="1"/>
  </r>
  <r>
    <x v="0"/>
    <x v="187"/>
    <x v="243"/>
    <x v="75"/>
    <x v="133"/>
    <x v="222"/>
    <x v="29"/>
    <x v="315"/>
    <x v="153"/>
    <x v="34"/>
    <x v="254"/>
    <x v="283"/>
    <x v="323"/>
    <x v="323"/>
    <x v="318"/>
    <x v="4"/>
    <x v="320"/>
    <x v="323"/>
    <x v="140"/>
    <x v="4"/>
    <x v="9"/>
    <x v="4"/>
    <x v="72"/>
    <x v="10"/>
    <x v="173"/>
    <x v="32"/>
    <x v="1"/>
    <x v="38"/>
  </r>
  <r>
    <x v="0"/>
    <x v="188"/>
    <x v="166"/>
    <x v="79"/>
    <x v="134"/>
    <x v="223"/>
    <x v="25"/>
    <x v="316"/>
    <x v="154"/>
    <x v="30"/>
    <x v="255"/>
    <x v="284"/>
    <x v="324"/>
    <x v="324"/>
    <x v="319"/>
    <x v="0"/>
    <x v="321"/>
    <x v="324"/>
    <x v="137"/>
    <x v="0"/>
    <x v="0"/>
    <x v="2"/>
    <x v="32"/>
    <x v="1"/>
    <x v="6"/>
    <x v="2"/>
    <x v="3"/>
    <x v="1"/>
  </r>
  <r>
    <x v="0"/>
    <x v="189"/>
    <x v="244"/>
    <x v="41"/>
    <x v="0"/>
    <x v="224"/>
    <x v="2"/>
    <x v="317"/>
    <x v="155"/>
    <x v="172"/>
    <x v="256"/>
    <x v="285"/>
    <x v="325"/>
    <x v="325"/>
    <x v="320"/>
    <x v="1"/>
    <x v="322"/>
    <x v="325"/>
    <x v="297"/>
    <x v="0"/>
    <x v="0"/>
    <x v="0"/>
    <x v="63"/>
    <x v="14"/>
    <x v="12"/>
    <x v="31"/>
    <x v="3"/>
    <x v="1"/>
  </r>
  <r>
    <x v="0"/>
    <x v="18"/>
    <x v="245"/>
    <x v="49"/>
    <x v="0"/>
    <x v="225"/>
    <x v="35"/>
    <x v="318"/>
    <x v="156"/>
    <x v="173"/>
    <x v="257"/>
    <x v="286"/>
    <x v="326"/>
    <x v="326"/>
    <x v="321"/>
    <x v="0"/>
    <x v="323"/>
    <x v="326"/>
    <x v="298"/>
    <x v="0"/>
    <x v="0"/>
    <x v="4"/>
    <x v="65"/>
    <x v="18"/>
    <x v="174"/>
    <x v="16"/>
    <x v="1"/>
    <x v="7"/>
  </r>
  <r>
    <x v="0"/>
    <x v="190"/>
    <x v="246"/>
    <x v="79"/>
    <x v="135"/>
    <x v="54"/>
    <x v="94"/>
    <x v="319"/>
    <x v="125"/>
    <x v="166"/>
    <x v="258"/>
    <x v="287"/>
    <x v="327"/>
    <x v="327"/>
    <x v="322"/>
    <x v="0"/>
    <x v="324"/>
    <x v="327"/>
    <x v="299"/>
    <x v="0"/>
    <x v="0"/>
    <x v="4"/>
    <x v="73"/>
    <x v="3"/>
    <x v="175"/>
    <x v="5"/>
    <x v="3"/>
    <x v="45"/>
  </r>
  <r>
    <x v="0"/>
    <x v="191"/>
    <x v="247"/>
    <x v="51"/>
    <x v="0"/>
    <x v="9"/>
    <x v="21"/>
    <x v="320"/>
    <x v="5"/>
    <x v="174"/>
    <x v="259"/>
    <x v="56"/>
    <x v="328"/>
    <x v="328"/>
    <x v="323"/>
    <x v="4"/>
    <x v="325"/>
    <x v="328"/>
    <x v="85"/>
    <x v="0"/>
    <x v="10"/>
    <x v="0"/>
    <x v="57"/>
    <x v="13"/>
    <x v="44"/>
    <x v="16"/>
    <x v="1"/>
    <x v="45"/>
  </r>
  <r>
    <x v="0"/>
    <x v="192"/>
    <x v="248"/>
    <x v="75"/>
    <x v="136"/>
    <x v="226"/>
    <x v="98"/>
    <x v="321"/>
    <x v="105"/>
    <x v="175"/>
    <x v="260"/>
    <x v="288"/>
    <x v="329"/>
    <x v="329"/>
    <x v="324"/>
    <x v="2"/>
    <x v="326"/>
    <x v="329"/>
    <x v="300"/>
    <x v="0"/>
    <x v="0"/>
    <x v="4"/>
    <x v="32"/>
    <x v="5"/>
    <x v="176"/>
    <x v="44"/>
    <x v="3"/>
    <x v="1"/>
  </r>
  <r>
    <x v="0"/>
    <x v="193"/>
    <x v="249"/>
    <x v="71"/>
    <x v="123"/>
    <x v="227"/>
    <x v="35"/>
    <x v="322"/>
    <x v="157"/>
    <x v="176"/>
    <x v="261"/>
    <x v="289"/>
    <x v="330"/>
    <x v="330"/>
    <x v="325"/>
    <x v="1"/>
    <x v="327"/>
    <x v="330"/>
    <x v="301"/>
    <x v="0"/>
    <x v="0"/>
    <x v="2"/>
    <x v="73"/>
    <x v="21"/>
    <x v="19"/>
    <x v="8"/>
    <x v="3"/>
    <x v="1"/>
  </r>
  <r>
    <x v="0"/>
    <x v="185"/>
    <x v="167"/>
    <x v="76"/>
    <x v="131"/>
    <x v="228"/>
    <x v="13"/>
    <x v="323"/>
    <x v="29"/>
    <x v="13"/>
    <x v="262"/>
    <x v="290"/>
    <x v="331"/>
    <x v="331"/>
    <x v="326"/>
    <x v="0"/>
    <x v="328"/>
    <x v="331"/>
    <x v="301"/>
    <x v="0"/>
    <x v="0"/>
    <x v="2"/>
    <x v="73"/>
    <x v="3"/>
    <x v="30"/>
    <x v="4"/>
    <x v="1"/>
    <x v="57"/>
  </r>
  <r>
    <x v="0"/>
    <x v="85"/>
    <x v="22"/>
    <x v="72"/>
    <x v="0"/>
    <x v="95"/>
    <x v="35"/>
    <x v="324"/>
    <x v="158"/>
    <x v="177"/>
    <x v="263"/>
    <x v="120"/>
    <x v="332"/>
    <x v="332"/>
    <x v="327"/>
    <x v="1"/>
    <x v="329"/>
    <x v="332"/>
    <x v="302"/>
    <x v="0"/>
    <x v="0"/>
    <x v="2"/>
    <x v="73"/>
    <x v="2"/>
    <x v="177"/>
    <x v="15"/>
    <x v="1"/>
    <x v="15"/>
  </r>
  <r>
    <x v="0"/>
    <x v="16"/>
    <x v="250"/>
    <x v="24"/>
    <x v="0"/>
    <x v="46"/>
    <x v="99"/>
    <x v="325"/>
    <x v="159"/>
    <x v="178"/>
    <x v="264"/>
    <x v="55"/>
    <x v="333"/>
    <x v="333"/>
    <x v="328"/>
    <x v="1"/>
    <x v="330"/>
    <x v="333"/>
    <x v="221"/>
    <x v="0"/>
    <x v="0"/>
    <x v="0"/>
    <x v="48"/>
    <x v="0"/>
    <x v="178"/>
    <x v="10"/>
    <x v="1"/>
    <x v="37"/>
  </r>
  <r>
    <x v="0"/>
    <x v="5"/>
    <x v="251"/>
    <x v="7"/>
    <x v="4"/>
    <x v="172"/>
    <x v="0"/>
    <x v="326"/>
    <x v="29"/>
    <x v="179"/>
    <x v="265"/>
    <x v="217"/>
    <x v="334"/>
    <x v="334"/>
    <x v="329"/>
    <x v="0"/>
    <x v="331"/>
    <x v="334"/>
    <x v="303"/>
    <x v="0"/>
    <x v="0"/>
    <x v="3"/>
    <x v="72"/>
    <x v="17"/>
    <x v="179"/>
    <x v="17"/>
    <x v="3"/>
    <x v="59"/>
  </r>
  <r>
    <x v="0"/>
    <x v="16"/>
    <x v="252"/>
    <x v="103"/>
    <x v="0"/>
    <x v="229"/>
    <x v="15"/>
    <x v="327"/>
    <x v="38"/>
    <x v="180"/>
    <x v="266"/>
    <x v="291"/>
    <x v="335"/>
    <x v="335"/>
    <x v="330"/>
    <x v="4"/>
    <x v="332"/>
    <x v="335"/>
    <x v="304"/>
    <x v="0"/>
    <x v="0"/>
    <x v="0"/>
    <x v="72"/>
    <x v="17"/>
    <x v="180"/>
    <x v="49"/>
    <x v="1"/>
    <x v="37"/>
  </r>
  <r>
    <x v="0"/>
    <x v="16"/>
    <x v="170"/>
    <x v="100"/>
    <x v="0"/>
    <x v="187"/>
    <x v="17"/>
    <x v="328"/>
    <x v="38"/>
    <x v="18"/>
    <x v="1"/>
    <x v="236"/>
    <x v="336"/>
    <x v="336"/>
    <x v="331"/>
    <x v="1"/>
    <x v="333"/>
    <x v="336"/>
    <x v="305"/>
    <x v="0"/>
    <x v="0"/>
    <x v="0"/>
    <x v="72"/>
    <x v="19"/>
    <x v="1"/>
    <x v="50"/>
    <x v="1"/>
    <x v="7"/>
  </r>
  <r>
    <x v="0"/>
    <x v="194"/>
    <x v="177"/>
    <x v="58"/>
    <x v="137"/>
    <x v="230"/>
    <x v="25"/>
    <x v="329"/>
    <x v="1"/>
    <x v="30"/>
    <x v="135"/>
    <x v="292"/>
    <x v="337"/>
    <x v="337"/>
    <x v="332"/>
    <x v="2"/>
    <x v="334"/>
    <x v="337"/>
    <x v="142"/>
    <x v="0"/>
    <x v="0"/>
    <x v="0"/>
    <x v="73"/>
    <x v="11"/>
    <x v="13"/>
    <x v="34"/>
    <x v="1"/>
    <x v="37"/>
  </r>
  <r>
    <x v="0"/>
    <x v="172"/>
    <x v="253"/>
    <x v="7"/>
    <x v="124"/>
    <x v="231"/>
    <x v="2"/>
    <x v="330"/>
    <x v="151"/>
    <x v="60"/>
    <x v="267"/>
    <x v="293"/>
    <x v="338"/>
    <x v="338"/>
    <x v="333"/>
    <x v="1"/>
    <x v="335"/>
    <x v="338"/>
    <x v="306"/>
    <x v="0"/>
    <x v="0"/>
    <x v="0"/>
    <x v="51"/>
    <x v="18"/>
    <x v="34"/>
    <x v="20"/>
    <x v="1"/>
    <x v="1"/>
  </r>
  <r>
    <x v="0"/>
    <x v="195"/>
    <x v="254"/>
    <x v="73"/>
    <x v="0"/>
    <x v="232"/>
    <x v="1"/>
    <x v="331"/>
    <x v="160"/>
    <x v="1"/>
    <x v="65"/>
    <x v="294"/>
    <x v="339"/>
    <x v="339"/>
    <x v="334"/>
    <x v="1"/>
    <x v="336"/>
    <x v="339"/>
    <x v="307"/>
    <x v="0"/>
    <x v="1"/>
    <x v="0"/>
    <x v="32"/>
    <x v="11"/>
    <x v="6"/>
    <x v="22"/>
    <x v="1"/>
    <x v="40"/>
  </r>
  <r>
    <x v="0"/>
    <x v="90"/>
    <x v="204"/>
    <x v="80"/>
    <x v="71"/>
    <x v="233"/>
    <x v="100"/>
    <x v="332"/>
    <x v="18"/>
    <x v="181"/>
    <x v="268"/>
    <x v="295"/>
    <x v="340"/>
    <x v="340"/>
    <x v="335"/>
    <x v="0"/>
    <x v="337"/>
    <x v="340"/>
    <x v="308"/>
    <x v="0"/>
    <x v="0"/>
    <x v="0"/>
    <x v="57"/>
    <x v="18"/>
    <x v="181"/>
    <x v="18"/>
    <x v="3"/>
    <x v="1"/>
  </r>
  <r>
    <x v="0"/>
    <x v="196"/>
    <x v="255"/>
    <x v="72"/>
    <x v="138"/>
    <x v="234"/>
    <x v="2"/>
    <x v="333"/>
    <x v="102"/>
    <x v="182"/>
    <x v="269"/>
    <x v="296"/>
    <x v="341"/>
    <x v="341"/>
    <x v="336"/>
    <x v="0"/>
    <x v="338"/>
    <x v="341"/>
    <x v="309"/>
    <x v="0"/>
    <x v="0"/>
    <x v="0"/>
    <x v="57"/>
    <x v="10"/>
    <x v="30"/>
    <x v="32"/>
    <x v="1"/>
    <x v="65"/>
  </r>
  <r>
    <x v="0"/>
    <x v="197"/>
    <x v="204"/>
    <x v="86"/>
    <x v="139"/>
    <x v="235"/>
    <x v="101"/>
    <x v="334"/>
    <x v="15"/>
    <x v="183"/>
    <x v="270"/>
    <x v="297"/>
    <x v="342"/>
    <x v="342"/>
    <x v="337"/>
    <x v="0"/>
    <x v="339"/>
    <x v="342"/>
    <x v="310"/>
    <x v="0"/>
    <x v="0"/>
    <x v="2"/>
    <x v="63"/>
    <x v="8"/>
    <x v="182"/>
    <x v="4"/>
    <x v="1"/>
    <x v="1"/>
  </r>
  <r>
    <x v="0"/>
    <x v="198"/>
    <x v="256"/>
    <x v="59"/>
    <x v="140"/>
    <x v="236"/>
    <x v="57"/>
    <x v="335"/>
    <x v="3"/>
    <x v="99"/>
    <x v="271"/>
    <x v="298"/>
    <x v="343"/>
    <x v="343"/>
    <x v="338"/>
    <x v="4"/>
    <x v="340"/>
    <x v="343"/>
    <x v="311"/>
    <x v="0"/>
    <x v="0"/>
    <x v="4"/>
    <x v="65"/>
    <x v="9"/>
    <x v="183"/>
    <x v="43"/>
    <x v="3"/>
    <x v="101"/>
  </r>
  <r>
    <x v="0"/>
    <x v="199"/>
    <x v="257"/>
    <x v="64"/>
    <x v="141"/>
    <x v="138"/>
    <x v="35"/>
    <x v="336"/>
    <x v="161"/>
    <x v="184"/>
    <x v="188"/>
    <x v="169"/>
    <x v="344"/>
    <x v="344"/>
    <x v="339"/>
    <x v="0"/>
    <x v="341"/>
    <x v="344"/>
    <x v="312"/>
    <x v="0"/>
    <x v="0"/>
    <x v="0"/>
    <x v="58"/>
    <x v="14"/>
    <x v="46"/>
    <x v="19"/>
    <x v="1"/>
    <x v="102"/>
  </r>
  <r>
    <x v="0"/>
    <x v="61"/>
    <x v="189"/>
    <x v="69"/>
    <x v="46"/>
    <x v="237"/>
    <x v="0"/>
    <x v="337"/>
    <x v="162"/>
    <x v="185"/>
    <x v="272"/>
    <x v="299"/>
    <x v="345"/>
    <x v="345"/>
    <x v="340"/>
    <x v="0"/>
    <x v="342"/>
    <x v="345"/>
    <x v="313"/>
    <x v="0"/>
    <x v="0"/>
    <x v="2"/>
    <x v="65"/>
    <x v="14"/>
    <x v="184"/>
    <x v="25"/>
    <x v="1"/>
    <x v="1"/>
  </r>
  <r>
    <x v="0"/>
    <x v="200"/>
    <x v="258"/>
    <x v="23"/>
    <x v="140"/>
    <x v="238"/>
    <x v="0"/>
    <x v="338"/>
    <x v="121"/>
    <x v="186"/>
    <x v="273"/>
    <x v="300"/>
    <x v="346"/>
    <x v="346"/>
    <x v="341"/>
    <x v="3"/>
    <x v="343"/>
    <x v="346"/>
    <x v="314"/>
    <x v="0"/>
    <x v="0"/>
    <x v="0"/>
    <x v="71"/>
    <x v="16"/>
    <x v="185"/>
    <x v="23"/>
    <x v="1"/>
    <x v="103"/>
  </r>
  <r>
    <x v="0"/>
    <x v="126"/>
    <x v="259"/>
    <x v="34"/>
    <x v="0"/>
    <x v="1"/>
    <x v="94"/>
    <x v="339"/>
    <x v="15"/>
    <x v="187"/>
    <x v="128"/>
    <x v="110"/>
    <x v="347"/>
    <x v="347"/>
    <x v="342"/>
    <x v="0"/>
    <x v="344"/>
    <x v="347"/>
    <x v="315"/>
    <x v="0"/>
    <x v="1"/>
    <x v="2"/>
    <x v="73"/>
    <x v="5"/>
    <x v="13"/>
    <x v="18"/>
    <x v="1"/>
    <x v="104"/>
  </r>
  <r>
    <x v="0"/>
    <x v="15"/>
    <x v="177"/>
    <x v="42"/>
    <x v="10"/>
    <x v="154"/>
    <x v="14"/>
    <x v="340"/>
    <x v="163"/>
    <x v="14"/>
    <x v="274"/>
    <x v="301"/>
    <x v="348"/>
    <x v="348"/>
    <x v="343"/>
    <x v="0"/>
    <x v="345"/>
    <x v="348"/>
    <x v="316"/>
    <x v="0"/>
    <x v="0"/>
    <x v="0"/>
    <x v="63"/>
    <x v="13"/>
    <x v="117"/>
    <x v="11"/>
    <x v="3"/>
    <x v="1"/>
  </r>
  <r>
    <x v="0"/>
    <x v="29"/>
    <x v="104"/>
    <x v="87"/>
    <x v="21"/>
    <x v="112"/>
    <x v="10"/>
    <x v="341"/>
    <x v="21"/>
    <x v="33"/>
    <x v="37"/>
    <x v="137"/>
    <x v="349"/>
    <x v="349"/>
    <x v="344"/>
    <x v="4"/>
    <x v="346"/>
    <x v="349"/>
    <x v="317"/>
    <x v="0"/>
    <x v="0"/>
    <x v="3"/>
    <x v="63"/>
    <x v="15"/>
    <x v="30"/>
    <x v="0"/>
    <x v="3"/>
    <x v="1"/>
  </r>
  <r>
    <x v="0"/>
    <x v="165"/>
    <x v="260"/>
    <x v="42"/>
    <x v="119"/>
    <x v="1"/>
    <x v="11"/>
    <x v="342"/>
    <x v="3"/>
    <x v="156"/>
    <x v="128"/>
    <x v="302"/>
    <x v="350"/>
    <x v="350"/>
    <x v="345"/>
    <x v="1"/>
    <x v="347"/>
    <x v="350"/>
    <x v="105"/>
    <x v="0"/>
    <x v="0"/>
    <x v="0"/>
    <x v="32"/>
    <x v="5"/>
    <x v="13"/>
    <x v="2"/>
    <x v="1"/>
    <x v="45"/>
  </r>
  <r>
    <x v="0"/>
    <x v="25"/>
    <x v="238"/>
    <x v="78"/>
    <x v="18"/>
    <x v="166"/>
    <x v="102"/>
    <x v="343"/>
    <x v="26"/>
    <x v="188"/>
    <x v="275"/>
    <x v="303"/>
    <x v="351"/>
    <x v="351"/>
    <x v="346"/>
    <x v="4"/>
    <x v="348"/>
    <x v="351"/>
    <x v="318"/>
    <x v="0"/>
    <x v="0"/>
    <x v="0"/>
    <x v="63"/>
    <x v="18"/>
    <x v="186"/>
    <x v="4"/>
    <x v="1"/>
    <x v="1"/>
  </r>
  <r>
    <x v="0"/>
    <x v="43"/>
    <x v="112"/>
    <x v="29"/>
    <x v="0"/>
    <x v="239"/>
    <x v="2"/>
    <x v="344"/>
    <x v="164"/>
    <x v="42"/>
    <x v="276"/>
    <x v="304"/>
    <x v="352"/>
    <x v="352"/>
    <x v="347"/>
    <x v="0"/>
    <x v="349"/>
    <x v="352"/>
    <x v="164"/>
    <x v="0"/>
    <x v="0"/>
    <x v="0"/>
    <x v="32"/>
    <x v="21"/>
    <x v="187"/>
    <x v="4"/>
    <x v="1"/>
    <x v="1"/>
  </r>
  <r>
    <x v="0"/>
    <x v="201"/>
    <x v="104"/>
    <x v="78"/>
    <x v="142"/>
    <x v="149"/>
    <x v="40"/>
    <x v="345"/>
    <x v="165"/>
    <x v="189"/>
    <x v="277"/>
    <x v="305"/>
    <x v="353"/>
    <x v="353"/>
    <x v="348"/>
    <x v="1"/>
    <x v="350"/>
    <x v="353"/>
    <x v="319"/>
    <x v="0"/>
    <x v="0"/>
    <x v="2"/>
    <x v="32"/>
    <x v="0"/>
    <x v="188"/>
    <x v="15"/>
    <x v="1"/>
    <x v="1"/>
  </r>
  <r>
    <x v="0"/>
    <x v="128"/>
    <x v="86"/>
    <x v="50"/>
    <x v="95"/>
    <x v="240"/>
    <x v="103"/>
    <x v="346"/>
    <x v="58"/>
    <x v="190"/>
    <x v="278"/>
    <x v="306"/>
    <x v="354"/>
    <x v="354"/>
    <x v="349"/>
    <x v="0"/>
    <x v="351"/>
    <x v="354"/>
    <x v="320"/>
    <x v="0"/>
    <x v="0"/>
    <x v="2"/>
    <x v="63"/>
    <x v="0"/>
    <x v="189"/>
    <x v="15"/>
    <x v="3"/>
    <x v="1"/>
  </r>
  <r>
    <x v="0"/>
    <x v="202"/>
    <x v="95"/>
    <x v="37"/>
    <x v="0"/>
    <x v="211"/>
    <x v="22"/>
    <x v="347"/>
    <x v="166"/>
    <x v="191"/>
    <x v="279"/>
    <x v="307"/>
    <x v="355"/>
    <x v="355"/>
    <x v="350"/>
    <x v="1"/>
    <x v="352"/>
    <x v="355"/>
    <x v="317"/>
    <x v="0"/>
    <x v="0"/>
    <x v="2"/>
    <x v="63"/>
    <x v="9"/>
    <x v="190"/>
    <x v="11"/>
    <x v="1"/>
    <x v="105"/>
  </r>
  <r>
    <x v="0"/>
    <x v="32"/>
    <x v="198"/>
    <x v="50"/>
    <x v="24"/>
    <x v="191"/>
    <x v="57"/>
    <x v="348"/>
    <x v="167"/>
    <x v="192"/>
    <x v="280"/>
    <x v="308"/>
    <x v="356"/>
    <x v="356"/>
    <x v="351"/>
    <x v="0"/>
    <x v="353"/>
    <x v="356"/>
    <x v="168"/>
    <x v="0"/>
    <x v="0"/>
    <x v="0"/>
    <x v="65"/>
    <x v="21"/>
    <x v="30"/>
    <x v="34"/>
    <x v="1"/>
    <x v="1"/>
  </r>
  <r>
    <x v="0"/>
    <x v="48"/>
    <x v="261"/>
    <x v="12"/>
    <x v="33"/>
    <x v="1"/>
    <x v="19"/>
    <x v="349"/>
    <x v="168"/>
    <x v="20"/>
    <x v="281"/>
    <x v="65"/>
    <x v="357"/>
    <x v="357"/>
    <x v="352"/>
    <x v="0"/>
    <x v="354"/>
    <x v="357"/>
    <x v="54"/>
    <x v="0"/>
    <x v="0"/>
    <x v="4"/>
    <x v="63"/>
    <x v="7"/>
    <x v="44"/>
    <x v="3"/>
    <x v="1"/>
    <x v="5"/>
  </r>
  <r>
    <x v="0"/>
    <x v="203"/>
    <x v="262"/>
    <x v="76"/>
    <x v="143"/>
    <x v="241"/>
    <x v="35"/>
    <x v="350"/>
    <x v="169"/>
    <x v="193"/>
    <x v="282"/>
    <x v="309"/>
    <x v="358"/>
    <x v="358"/>
    <x v="353"/>
    <x v="0"/>
    <x v="355"/>
    <x v="358"/>
    <x v="321"/>
    <x v="0"/>
    <x v="0"/>
    <x v="3"/>
    <x v="63"/>
    <x v="20"/>
    <x v="191"/>
    <x v="7"/>
    <x v="10"/>
    <x v="85"/>
  </r>
  <r>
    <x v="0"/>
    <x v="202"/>
    <x v="250"/>
    <x v="61"/>
    <x v="0"/>
    <x v="242"/>
    <x v="20"/>
    <x v="351"/>
    <x v="170"/>
    <x v="21"/>
    <x v="212"/>
    <x v="310"/>
    <x v="359"/>
    <x v="359"/>
    <x v="354"/>
    <x v="3"/>
    <x v="356"/>
    <x v="359"/>
    <x v="322"/>
    <x v="0"/>
    <x v="0"/>
    <x v="4"/>
    <x v="65"/>
    <x v="8"/>
    <x v="30"/>
    <x v="15"/>
    <x v="1"/>
    <x v="1"/>
  </r>
  <r>
    <x v="0"/>
    <x v="68"/>
    <x v="157"/>
    <x v="44"/>
    <x v="53"/>
    <x v="243"/>
    <x v="11"/>
    <x v="352"/>
    <x v="171"/>
    <x v="49"/>
    <x v="283"/>
    <x v="311"/>
    <x v="360"/>
    <x v="360"/>
    <x v="355"/>
    <x v="1"/>
    <x v="357"/>
    <x v="360"/>
    <x v="323"/>
    <x v="0"/>
    <x v="0"/>
    <x v="4"/>
    <x v="63"/>
    <x v="10"/>
    <x v="30"/>
    <x v="6"/>
    <x v="1"/>
    <x v="39"/>
  </r>
  <r>
    <x v="0"/>
    <x v="131"/>
    <x v="263"/>
    <x v="57"/>
    <x v="97"/>
    <x v="244"/>
    <x v="57"/>
    <x v="353"/>
    <x v="2"/>
    <x v="99"/>
    <x v="284"/>
    <x v="312"/>
    <x v="361"/>
    <x v="361"/>
    <x v="356"/>
    <x v="1"/>
    <x v="358"/>
    <x v="361"/>
    <x v="324"/>
    <x v="0"/>
    <x v="0"/>
    <x v="4"/>
    <x v="63"/>
    <x v="16"/>
    <x v="192"/>
    <x v="32"/>
    <x v="1"/>
    <x v="1"/>
  </r>
  <r>
    <x v="0"/>
    <x v="129"/>
    <x v="264"/>
    <x v="57"/>
    <x v="0"/>
    <x v="245"/>
    <x v="20"/>
    <x v="354"/>
    <x v="95"/>
    <x v="21"/>
    <x v="170"/>
    <x v="313"/>
    <x v="362"/>
    <x v="362"/>
    <x v="357"/>
    <x v="3"/>
    <x v="359"/>
    <x v="362"/>
    <x v="325"/>
    <x v="0"/>
    <x v="0"/>
    <x v="0"/>
    <x v="63"/>
    <x v="0"/>
    <x v="114"/>
    <x v="32"/>
    <x v="3"/>
    <x v="35"/>
  </r>
  <r>
    <x v="0"/>
    <x v="204"/>
    <x v="93"/>
    <x v="8"/>
    <x v="144"/>
    <x v="246"/>
    <x v="2"/>
    <x v="4"/>
    <x v="172"/>
    <x v="130"/>
    <x v="109"/>
    <x v="314"/>
    <x v="363"/>
    <x v="363"/>
    <x v="358"/>
    <x v="4"/>
    <x v="4"/>
    <x v="363"/>
    <x v="326"/>
    <x v="0"/>
    <x v="0"/>
    <x v="0"/>
    <x v="4"/>
    <x v="6"/>
    <x v="77"/>
    <x v="9"/>
    <x v="1"/>
    <x v="1"/>
  </r>
  <r>
    <x v="0"/>
    <x v="170"/>
    <x v="265"/>
    <x v="54"/>
    <x v="122"/>
    <x v="247"/>
    <x v="25"/>
    <x v="355"/>
    <x v="173"/>
    <x v="194"/>
    <x v="285"/>
    <x v="315"/>
    <x v="364"/>
    <x v="364"/>
    <x v="359"/>
    <x v="0"/>
    <x v="360"/>
    <x v="364"/>
    <x v="316"/>
    <x v="0"/>
    <x v="0"/>
    <x v="2"/>
    <x v="40"/>
    <x v="18"/>
    <x v="193"/>
    <x v="2"/>
    <x v="1"/>
    <x v="1"/>
  </r>
  <r>
    <x v="0"/>
    <x v="205"/>
    <x v="266"/>
    <x v="80"/>
    <x v="69"/>
    <x v="1"/>
    <x v="104"/>
    <x v="356"/>
    <x v="174"/>
    <x v="195"/>
    <x v="286"/>
    <x v="316"/>
    <x v="365"/>
    <x v="365"/>
    <x v="360"/>
    <x v="0"/>
    <x v="361"/>
    <x v="365"/>
    <x v="327"/>
    <x v="0"/>
    <x v="0"/>
    <x v="2"/>
    <x v="63"/>
    <x v="2"/>
    <x v="30"/>
    <x v="40"/>
    <x v="3"/>
    <x v="1"/>
  </r>
  <r>
    <x v="0"/>
    <x v="11"/>
    <x v="267"/>
    <x v="61"/>
    <x v="0"/>
    <x v="39"/>
    <x v="14"/>
    <x v="357"/>
    <x v="175"/>
    <x v="56"/>
    <x v="203"/>
    <x v="317"/>
    <x v="366"/>
    <x v="366"/>
    <x v="361"/>
    <x v="0"/>
    <x v="362"/>
    <x v="366"/>
    <x v="132"/>
    <x v="0"/>
    <x v="0"/>
    <x v="0"/>
    <x v="74"/>
    <x v="8"/>
    <x v="30"/>
    <x v="1"/>
    <x v="3"/>
    <x v="1"/>
  </r>
  <r>
    <x v="0"/>
    <x v="206"/>
    <x v="204"/>
    <x v="18"/>
    <x v="145"/>
    <x v="247"/>
    <x v="2"/>
    <x v="358"/>
    <x v="170"/>
    <x v="196"/>
    <x v="287"/>
    <x v="318"/>
    <x v="367"/>
    <x v="367"/>
    <x v="362"/>
    <x v="0"/>
    <x v="363"/>
    <x v="367"/>
    <x v="328"/>
    <x v="0"/>
    <x v="0"/>
    <x v="0"/>
    <x v="63"/>
    <x v="8"/>
    <x v="194"/>
    <x v="34"/>
    <x v="3"/>
    <x v="1"/>
  </r>
  <r>
    <x v="0"/>
    <x v="126"/>
    <x v="268"/>
    <x v="11"/>
    <x v="0"/>
    <x v="1"/>
    <x v="13"/>
    <x v="359"/>
    <x v="176"/>
    <x v="13"/>
    <x v="288"/>
    <x v="319"/>
    <x v="368"/>
    <x v="368"/>
    <x v="363"/>
    <x v="0"/>
    <x v="364"/>
    <x v="368"/>
    <x v="329"/>
    <x v="0"/>
    <x v="0"/>
    <x v="0"/>
    <x v="75"/>
    <x v="2"/>
    <x v="6"/>
    <x v="23"/>
    <x v="1"/>
    <x v="36"/>
  </r>
  <r>
    <x v="0"/>
    <x v="38"/>
    <x v="269"/>
    <x v="75"/>
    <x v="25"/>
    <x v="248"/>
    <x v="22"/>
    <x v="360"/>
    <x v="47"/>
    <x v="197"/>
    <x v="20"/>
    <x v="320"/>
    <x v="369"/>
    <x v="369"/>
    <x v="364"/>
    <x v="0"/>
    <x v="365"/>
    <x v="369"/>
    <x v="330"/>
    <x v="0"/>
    <x v="0"/>
    <x v="0"/>
    <x v="32"/>
    <x v="18"/>
    <x v="17"/>
    <x v="1"/>
    <x v="3"/>
    <x v="59"/>
  </r>
  <r>
    <x v="0"/>
    <x v="97"/>
    <x v="270"/>
    <x v="76"/>
    <x v="59"/>
    <x v="249"/>
    <x v="105"/>
    <x v="361"/>
    <x v="177"/>
    <x v="198"/>
    <x v="289"/>
    <x v="321"/>
    <x v="370"/>
    <x v="370"/>
    <x v="365"/>
    <x v="0"/>
    <x v="366"/>
    <x v="370"/>
    <x v="256"/>
    <x v="0"/>
    <x v="0"/>
    <x v="2"/>
    <x v="63"/>
    <x v="17"/>
    <x v="195"/>
    <x v="41"/>
    <x v="1"/>
    <x v="106"/>
  </r>
  <r>
    <x v="0"/>
    <x v="43"/>
    <x v="171"/>
    <x v="13"/>
    <x v="0"/>
    <x v="250"/>
    <x v="2"/>
    <x v="362"/>
    <x v="178"/>
    <x v="72"/>
    <x v="290"/>
    <x v="322"/>
    <x v="371"/>
    <x v="371"/>
    <x v="366"/>
    <x v="4"/>
    <x v="367"/>
    <x v="371"/>
    <x v="331"/>
    <x v="0"/>
    <x v="0"/>
    <x v="2"/>
    <x v="63"/>
    <x v="13"/>
    <x v="30"/>
    <x v="38"/>
    <x v="1"/>
    <x v="61"/>
  </r>
  <r>
    <x v="0"/>
    <x v="130"/>
    <x v="224"/>
    <x v="73"/>
    <x v="96"/>
    <x v="211"/>
    <x v="75"/>
    <x v="363"/>
    <x v="179"/>
    <x v="199"/>
    <x v="291"/>
    <x v="307"/>
    <x v="372"/>
    <x v="372"/>
    <x v="367"/>
    <x v="0"/>
    <x v="368"/>
    <x v="372"/>
    <x v="332"/>
    <x v="0"/>
    <x v="0"/>
    <x v="4"/>
    <x v="73"/>
    <x v="21"/>
    <x v="196"/>
    <x v="20"/>
    <x v="3"/>
    <x v="1"/>
  </r>
  <r>
    <x v="0"/>
    <x v="207"/>
    <x v="100"/>
    <x v="57"/>
    <x v="90"/>
    <x v="251"/>
    <x v="106"/>
    <x v="364"/>
    <x v="180"/>
    <x v="200"/>
    <x v="292"/>
    <x v="323"/>
    <x v="373"/>
    <x v="373"/>
    <x v="368"/>
    <x v="1"/>
    <x v="369"/>
    <x v="373"/>
    <x v="333"/>
    <x v="5"/>
    <x v="1"/>
    <x v="0"/>
    <x v="67"/>
    <x v="12"/>
    <x v="197"/>
    <x v="21"/>
    <x v="1"/>
    <x v="1"/>
  </r>
  <r>
    <x v="0"/>
    <x v="208"/>
    <x v="176"/>
    <x v="11"/>
    <x v="146"/>
    <x v="242"/>
    <x v="94"/>
    <x v="365"/>
    <x v="15"/>
    <x v="187"/>
    <x v="293"/>
    <x v="310"/>
    <x v="374"/>
    <x v="374"/>
    <x v="369"/>
    <x v="0"/>
    <x v="370"/>
    <x v="374"/>
    <x v="334"/>
    <x v="0"/>
    <x v="0"/>
    <x v="2"/>
    <x v="63"/>
    <x v="9"/>
    <x v="27"/>
    <x v="18"/>
    <x v="1"/>
    <x v="82"/>
  </r>
  <r>
    <x v="0"/>
    <x v="156"/>
    <x v="271"/>
    <x v="85"/>
    <x v="114"/>
    <x v="23"/>
    <x v="11"/>
    <x v="366"/>
    <x v="1"/>
    <x v="69"/>
    <x v="98"/>
    <x v="89"/>
    <x v="375"/>
    <x v="375"/>
    <x v="370"/>
    <x v="1"/>
    <x v="371"/>
    <x v="375"/>
    <x v="271"/>
    <x v="0"/>
    <x v="0"/>
    <x v="0"/>
    <x v="73"/>
    <x v="17"/>
    <x v="6"/>
    <x v="34"/>
    <x v="1"/>
    <x v="1"/>
  </r>
  <r>
    <x v="0"/>
    <x v="107"/>
    <x v="128"/>
    <x v="74"/>
    <x v="84"/>
    <x v="252"/>
    <x v="2"/>
    <x v="367"/>
    <x v="181"/>
    <x v="113"/>
    <x v="65"/>
    <x v="324"/>
    <x v="376"/>
    <x v="376"/>
    <x v="371"/>
    <x v="5"/>
    <x v="372"/>
    <x v="376"/>
    <x v="301"/>
    <x v="0"/>
    <x v="0"/>
    <x v="0"/>
    <x v="63"/>
    <x v="6"/>
    <x v="6"/>
    <x v="8"/>
    <x v="1"/>
    <x v="61"/>
  </r>
  <r>
    <x v="0"/>
    <x v="120"/>
    <x v="272"/>
    <x v="38"/>
    <x v="77"/>
    <x v="19"/>
    <x v="107"/>
    <x v="368"/>
    <x v="126"/>
    <x v="201"/>
    <x v="294"/>
    <x v="325"/>
    <x v="377"/>
    <x v="377"/>
    <x v="372"/>
    <x v="0"/>
    <x v="373"/>
    <x v="377"/>
    <x v="335"/>
    <x v="0"/>
    <x v="0"/>
    <x v="0"/>
    <x v="76"/>
    <x v="13"/>
    <x v="198"/>
    <x v="5"/>
    <x v="1"/>
    <x v="1"/>
  </r>
  <r>
    <x v="0"/>
    <x v="165"/>
    <x v="273"/>
    <x v="37"/>
    <x v="119"/>
    <x v="253"/>
    <x v="2"/>
    <x v="369"/>
    <x v="23"/>
    <x v="75"/>
    <x v="295"/>
    <x v="326"/>
    <x v="378"/>
    <x v="378"/>
    <x v="373"/>
    <x v="4"/>
    <x v="374"/>
    <x v="378"/>
    <x v="336"/>
    <x v="0"/>
    <x v="8"/>
    <x v="4"/>
    <x v="65"/>
    <x v="18"/>
    <x v="199"/>
    <x v="15"/>
    <x v="1"/>
    <x v="1"/>
  </r>
  <r>
    <x v="0"/>
    <x v="209"/>
    <x v="198"/>
    <x v="37"/>
    <x v="0"/>
    <x v="254"/>
    <x v="22"/>
    <x v="370"/>
    <x v="84"/>
    <x v="202"/>
    <x v="219"/>
    <x v="327"/>
    <x v="379"/>
    <x v="379"/>
    <x v="374"/>
    <x v="0"/>
    <x v="375"/>
    <x v="379"/>
    <x v="337"/>
    <x v="0"/>
    <x v="0"/>
    <x v="2"/>
    <x v="63"/>
    <x v="21"/>
    <x v="149"/>
    <x v="23"/>
    <x v="1"/>
    <x v="1"/>
  </r>
  <r>
    <x v="0"/>
    <x v="128"/>
    <x v="59"/>
    <x v="45"/>
    <x v="95"/>
    <x v="175"/>
    <x v="2"/>
    <x v="371"/>
    <x v="94"/>
    <x v="203"/>
    <x v="296"/>
    <x v="328"/>
    <x v="380"/>
    <x v="380"/>
    <x v="375"/>
    <x v="0"/>
    <x v="376"/>
    <x v="380"/>
    <x v="139"/>
    <x v="0"/>
    <x v="0"/>
    <x v="3"/>
    <x v="63"/>
    <x v="10"/>
    <x v="178"/>
    <x v="15"/>
    <x v="1"/>
    <x v="64"/>
  </r>
  <r>
    <x v="0"/>
    <x v="126"/>
    <x v="197"/>
    <x v="5"/>
    <x v="0"/>
    <x v="255"/>
    <x v="49"/>
    <x v="372"/>
    <x v="182"/>
    <x v="86"/>
    <x v="297"/>
    <x v="329"/>
    <x v="381"/>
    <x v="381"/>
    <x v="376"/>
    <x v="0"/>
    <x v="377"/>
    <x v="381"/>
    <x v="338"/>
    <x v="0"/>
    <x v="0"/>
    <x v="2"/>
    <x v="32"/>
    <x v="15"/>
    <x v="30"/>
    <x v="2"/>
    <x v="3"/>
    <x v="1"/>
  </r>
  <r>
    <x v="0"/>
    <x v="210"/>
    <x v="274"/>
    <x v="27"/>
    <x v="138"/>
    <x v="256"/>
    <x v="22"/>
    <x v="373"/>
    <x v="102"/>
    <x v="202"/>
    <x v="298"/>
    <x v="330"/>
    <x v="382"/>
    <x v="382"/>
    <x v="377"/>
    <x v="0"/>
    <x v="378"/>
    <x v="382"/>
    <x v="339"/>
    <x v="0"/>
    <x v="0"/>
    <x v="0"/>
    <x v="63"/>
    <x v="13"/>
    <x v="200"/>
    <x v="28"/>
    <x v="3"/>
    <x v="43"/>
  </r>
  <r>
    <x v="0"/>
    <x v="211"/>
    <x v="240"/>
    <x v="70"/>
    <x v="108"/>
    <x v="10"/>
    <x v="2"/>
    <x v="374"/>
    <x v="28"/>
    <x v="42"/>
    <x v="40"/>
    <x v="331"/>
    <x v="383"/>
    <x v="383"/>
    <x v="378"/>
    <x v="0"/>
    <x v="379"/>
    <x v="383"/>
    <x v="340"/>
    <x v="0"/>
    <x v="0"/>
    <x v="4"/>
    <x v="77"/>
    <x v="13"/>
    <x v="6"/>
    <x v="9"/>
    <x v="1"/>
    <x v="107"/>
  </r>
  <r>
    <x v="0"/>
    <x v="212"/>
    <x v="243"/>
    <x v="67"/>
    <x v="0"/>
    <x v="257"/>
    <x v="21"/>
    <x v="375"/>
    <x v="175"/>
    <x v="22"/>
    <x v="299"/>
    <x v="332"/>
    <x v="384"/>
    <x v="384"/>
    <x v="379"/>
    <x v="1"/>
    <x v="380"/>
    <x v="384"/>
    <x v="341"/>
    <x v="0"/>
    <x v="1"/>
    <x v="0"/>
    <x v="32"/>
    <x v="19"/>
    <x v="201"/>
    <x v="10"/>
    <x v="1"/>
    <x v="1"/>
  </r>
  <r>
    <x v="0"/>
    <x v="148"/>
    <x v="199"/>
    <x v="7"/>
    <x v="109"/>
    <x v="173"/>
    <x v="78"/>
    <x v="240"/>
    <x v="5"/>
    <x v="137"/>
    <x v="197"/>
    <x v="218"/>
    <x v="246"/>
    <x v="246"/>
    <x v="242"/>
    <x v="3"/>
    <x v="244"/>
    <x v="246"/>
    <x v="232"/>
    <x v="0"/>
    <x v="0"/>
    <x v="0"/>
    <x v="40"/>
    <x v="2"/>
    <x v="134"/>
    <x v="44"/>
    <x v="1"/>
    <x v="25"/>
  </r>
  <r>
    <x v="0"/>
    <x v="213"/>
    <x v="146"/>
    <x v="74"/>
    <x v="147"/>
    <x v="136"/>
    <x v="108"/>
    <x v="376"/>
    <x v="13"/>
    <x v="204"/>
    <x v="300"/>
    <x v="333"/>
    <x v="385"/>
    <x v="385"/>
    <x v="380"/>
    <x v="0"/>
    <x v="381"/>
    <x v="385"/>
    <x v="172"/>
    <x v="0"/>
    <x v="0"/>
    <x v="4"/>
    <x v="78"/>
    <x v="26"/>
    <x v="202"/>
    <x v="8"/>
    <x v="1"/>
    <x v="1"/>
  </r>
  <r>
    <x v="0"/>
    <x v="84"/>
    <x v="275"/>
    <x v="48"/>
    <x v="67"/>
    <x v="110"/>
    <x v="109"/>
    <x v="377"/>
    <x v="122"/>
    <x v="205"/>
    <x v="301"/>
    <x v="334"/>
    <x v="386"/>
    <x v="386"/>
    <x v="381"/>
    <x v="0"/>
    <x v="382"/>
    <x v="386"/>
    <x v="342"/>
    <x v="0"/>
    <x v="0"/>
    <x v="0"/>
    <x v="75"/>
    <x v="12"/>
    <x v="203"/>
    <x v="25"/>
    <x v="1"/>
    <x v="1"/>
  </r>
  <r>
    <x v="0"/>
    <x v="214"/>
    <x v="276"/>
    <x v="47"/>
    <x v="93"/>
    <x v="258"/>
    <x v="110"/>
    <x v="378"/>
    <x v="183"/>
    <x v="206"/>
    <x v="214"/>
    <x v="335"/>
    <x v="387"/>
    <x v="387"/>
    <x v="382"/>
    <x v="0"/>
    <x v="383"/>
    <x v="387"/>
    <x v="343"/>
    <x v="0"/>
    <x v="1"/>
    <x v="2"/>
    <x v="63"/>
    <x v="5"/>
    <x v="144"/>
    <x v="46"/>
    <x v="1"/>
    <x v="108"/>
  </r>
  <r>
    <x v="1"/>
    <x v="215"/>
    <x v="177"/>
    <x v="35"/>
    <x v="148"/>
    <x v="259"/>
    <x v="25"/>
    <x v="379"/>
    <x v="184"/>
    <x v="30"/>
    <x v="302"/>
    <x v="336"/>
    <x v="388"/>
    <x v="388"/>
    <x v="383"/>
    <x v="0"/>
    <x v="384"/>
    <x v="388"/>
    <x v="344"/>
    <x v="0"/>
    <x v="0"/>
    <x v="0"/>
    <x v="79"/>
    <x v="17"/>
    <x v="204"/>
    <x v="11"/>
    <x v="1"/>
    <x v="1"/>
  </r>
  <r>
    <x v="0"/>
    <x v="156"/>
    <x v="277"/>
    <x v="18"/>
    <x v="114"/>
    <x v="122"/>
    <x v="13"/>
    <x v="380"/>
    <x v="51"/>
    <x v="93"/>
    <x v="303"/>
    <x v="337"/>
    <x v="389"/>
    <x v="389"/>
    <x v="384"/>
    <x v="0"/>
    <x v="385"/>
    <x v="389"/>
    <x v="345"/>
    <x v="0"/>
    <x v="0"/>
    <x v="0"/>
    <x v="65"/>
    <x v="25"/>
    <x v="205"/>
    <x v="22"/>
    <x v="1"/>
    <x v="1"/>
  </r>
  <r>
    <x v="0"/>
    <x v="49"/>
    <x v="94"/>
    <x v="11"/>
    <x v="34"/>
    <x v="6"/>
    <x v="29"/>
    <x v="98"/>
    <x v="23"/>
    <x v="74"/>
    <x v="84"/>
    <x v="92"/>
    <x v="100"/>
    <x v="100"/>
    <x v="98"/>
    <x v="4"/>
    <x v="100"/>
    <x v="100"/>
    <x v="98"/>
    <x v="0"/>
    <x v="0"/>
    <x v="0"/>
    <x v="30"/>
    <x v="18"/>
    <x v="20"/>
    <x v="10"/>
    <x v="1"/>
    <x v="57"/>
  </r>
  <r>
    <x v="0"/>
    <x v="43"/>
    <x v="248"/>
    <x v="14"/>
    <x v="0"/>
    <x v="260"/>
    <x v="10"/>
    <x v="381"/>
    <x v="185"/>
    <x v="33"/>
    <x v="304"/>
    <x v="338"/>
    <x v="390"/>
    <x v="390"/>
    <x v="385"/>
    <x v="1"/>
    <x v="386"/>
    <x v="390"/>
    <x v="346"/>
    <x v="0"/>
    <x v="0"/>
    <x v="0"/>
    <x v="63"/>
    <x v="21"/>
    <x v="206"/>
    <x v="16"/>
    <x v="3"/>
    <x v="33"/>
  </r>
  <r>
    <x v="0"/>
    <x v="83"/>
    <x v="278"/>
    <x v="26"/>
    <x v="66"/>
    <x v="261"/>
    <x v="49"/>
    <x v="382"/>
    <x v="186"/>
    <x v="86"/>
    <x v="305"/>
    <x v="339"/>
    <x v="391"/>
    <x v="391"/>
    <x v="386"/>
    <x v="0"/>
    <x v="387"/>
    <x v="391"/>
    <x v="347"/>
    <x v="0"/>
    <x v="0"/>
    <x v="2"/>
    <x v="32"/>
    <x v="7"/>
    <x v="76"/>
    <x v="12"/>
    <x v="1"/>
    <x v="1"/>
  </r>
  <r>
    <x v="0"/>
    <x v="116"/>
    <x v="178"/>
    <x v="26"/>
    <x v="90"/>
    <x v="262"/>
    <x v="57"/>
    <x v="383"/>
    <x v="83"/>
    <x v="109"/>
    <x v="306"/>
    <x v="340"/>
    <x v="392"/>
    <x v="392"/>
    <x v="224"/>
    <x v="1"/>
    <x v="388"/>
    <x v="392"/>
    <x v="348"/>
    <x v="0"/>
    <x v="0"/>
    <x v="0"/>
    <x v="74"/>
    <x v="14"/>
    <x v="207"/>
    <x v="6"/>
    <x v="1"/>
    <x v="1"/>
  </r>
  <r>
    <x v="0"/>
    <x v="72"/>
    <x v="273"/>
    <x v="23"/>
    <x v="57"/>
    <x v="263"/>
    <x v="2"/>
    <x v="384"/>
    <x v="51"/>
    <x v="42"/>
    <x v="117"/>
    <x v="341"/>
    <x v="393"/>
    <x v="393"/>
    <x v="387"/>
    <x v="1"/>
    <x v="389"/>
    <x v="393"/>
    <x v="349"/>
    <x v="0"/>
    <x v="0"/>
    <x v="4"/>
    <x v="49"/>
    <x v="13"/>
    <x v="10"/>
    <x v="21"/>
    <x v="1"/>
    <x v="1"/>
  </r>
  <r>
    <x v="0"/>
    <x v="151"/>
    <x v="72"/>
    <x v="38"/>
    <x v="0"/>
    <x v="264"/>
    <x v="2"/>
    <x v="385"/>
    <x v="111"/>
    <x v="75"/>
    <x v="182"/>
    <x v="342"/>
    <x v="394"/>
    <x v="394"/>
    <x v="388"/>
    <x v="2"/>
    <x v="390"/>
    <x v="394"/>
    <x v="350"/>
    <x v="0"/>
    <x v="0"/>
    <x v="0"/>
    <x v="49"/>
    <x v="18"/>
    <x v="30"/>
    <x v="6"/>
    <x v="1"/>
    <x v="1"/>
  </r>
  <r>
    <x v="0"/>
    <x v="216"/>
    <x v="103"/>
    <x v="47"/>
    <x v="149"/>
    <x v="265"/>
    <x v="21"/>
    <x v="386"/>
    <x v="6"/>
    <x v="174"/>
    <x v="307"/>
    <x v="343"/>
    <x v="395"/>
    <x v="395"/>
    <x v="389"/>
    <x v="8"/>
    <x v="391"/>
    <x v="395"/>
    <x v="351"/>
    <x v="0"/>
    <x v="8"/>
    <x v="0"/>
    <x v="74"/>
    <x v="10"/>
    <x v="135"/>
    <x v="27"/>
    <x v="1"/>
    <x v="64"/>
  </r>
  <r>
    <x v="0"/>
    <x v="217"/>
    <x v="127"/>
    <x v="43"/>
    <x v="150"/>
    <x v="21"/>
    <x v="25"/>
    <x v="387"/>
    <x v="57"/>
    <x v="26"/>
    <x v="288"/>
    <x v="344"/>
    <x v="396"/>
    <x v="396"/>
    <x v="390"/>
    <x v="4"/>
    <x v="392"/>
    <x v="396"/>
    <x v="352"/>
    <x v="0"/>
    <x v="0"/>
    <x v="2"/>
    <x v="49"/>
    <x v="3"/>
    <x v="6"/>
    <x v="1"/>
    <x v="3"/>
    <x v="82"/>
  </r>
  <r>
    <x v="0"/>
    <x v="218"/>
    <x v="279"/>
    <x v="86"/>
    <x v="151"/>
    <x v="266"/>
    <x v="111"/>
    <x v="388"/>
    <x v="187"/>
    <x v="207"/>
    <x v="308"/>
    <x v="345"/>
    <x v="397"/>
    <x v="397"/>
    <x v="391"/>
    <x v="4"/>
    <x v="393"/>
    <x v="397"/>
    <x v="353"/>
    <x v="0"/>
    <x v="0"/>
    <x v="2"/>
    <x v="49"/>
    <x v="1"/>
    <x v="208"/>
    <x v="1"/>
    <x v="1"/>
    <x v="1"/>
  </r>
  <r>
    <x v="0"/>
    <x v="113"/>
    <x v="280"/>
    <x v="104"/>
    <x v="88"/>
    <x v="267"/>
    <x v="46"/>
    <x v="4"/>
    <x v="188"/>
    <x v="208"/>
    <x v="309"/>
    <x v="346"/>
    <x v="398"/>
    <x v="398"/>
    <x v="392"/>
    <x v="1"/>
    <x v="394"/>
    <x v="398"/>
    <x v="354"/>
    <x v="0"/>
    <x v="0"/>
    <x v="5"/>
    <x v="4"/>
    <x v="4"/>
    <x v="209"/>
    <x v="35"/>
    <x v="0"/>
    <x v="109"/>
  </r>
  <r>
    <x v="0"/>
    <x v="219"/>
    <x v="53"/>
    <x v="69"/>
    <x v="108"/>
    <x v="268"/>
    <x v="11"/>
    <x v="389"/>
    <x v="86"/>
    <x v="156"/>
    <x v="104"/>
    <x v="347"/>
    <x v="399"/>
    <x v="399"/>
    <x v="393"/>
    <x v="1"/>
    <x v="395"/>
    <x v="399"/>
    <x v="355"/>
    <x v="0"/>
    <x v="0"/>
    <x v="4"/>
    <x v="49"/>
    <x v="3"/>
    <x v="48"/>
    <x v="2"/>
    <x v="1"/>
    <x v="64"/>
  </r>
  <r>
    <x v="0"/>
    <x v="218"/>
    <x v="274"/>
    <x v="7"/>
    <x v="151"/>
    <x v="269"/>
    <x v="35"/>
    <x v="390"/>
    <x v="189"/>
    <x v="173"/>
    <x v="92"/>
    <x v="348"/>
    <x v="400"/>
    <x v="400"/>
    <x v="394"/>
    <x v="1"/>
    <x v="396"/>
    <x v="400"/>
    <x v="356"/>
    <x v="0"/>
    <x v="0"/>
    <x v="3"/>
    <x v="49"/>
    <x v="21"/>
    <x v="66"/>
    <x v="30"/>
    <x v="3"/>
    <x v="110"/>
  </r>
  <r>
    <x v="0"/>
    <x v="25"/>
    <x v="281"/>
    <x v="27"/>
    <x v="18"/>
    <x v="70"/>
    <x v="35"/>
    <x v="391"/>
    <x v="132"/>
    <x v="91"/>
    <x v="310"/>
    <x v="86"/>
    <x v="401"/>
    <x v="401"/>
    <x v="395"/>
    <x v="7"/>
    <x v="397"/>
    <x v="401"/>
    <x v="357"/>
    <x v="0"/>
    <x v="0"/>
    <x v="0"/>
    <x v="74"/>
    <x v="10"/>
    <x v="210"/>
    <x v="5"/>
    <x v="1"/>
    <x v="1"/>
  </r>
  <r>
    <x v="0"/>
    <x v="220"/>
    <x v="271"/>
    <x v="67"/>
    <x v="152"/>
    <x v="65"/>
    <x v="21"/>
    <x v="392"/>
    <x v="127"/>
    <x v="141"/>
    <x v="246"/>
    <x v="349"/>
    <x v="402"/>
    <x v="402"/>
    <x v="396"/>
    <x v="3"/>
    <x v="398"/>
    <x v="402"/>
    <x v="358"/>
    <x v="0"/>
    <x v="0"/>
    <x v="0"/>
    <x v="49"/>
    <x v="7"/>
    <x v="13"/>
    <x v="8"/>
    <x v="3"/>
    <x v="64"/>
  </r>
  <r>
    <x v="0"/>
    <x v="165"/>
    <x v="225"/>
    <x v="35"/>
    <x v="119"/>
    <x v="270"/>
    <x v="14"/>
    <x v="393"/>
    <x v="80"/>
    <x v="14"/>
    <x v="311"/>
    <x v="350"/>
    <x v="403"/>
    <x v="403"/>
    <x v="397"/>
    <x v="2"/>
    <x v="399"/>
    <x v="403"/>
    <x v="359"/>
    <x v="0"/>
    <x v="0"/>
    <x v="4"/>
    <x v="63"/>
    <x v="20"/>
    <x v="211"/>
    <x v="11"/>
    <x v="1"/>
    <x v="1"/>
  </r>
  <r>
    <x v="0"/>
    <x v="220"/>
    <x v="94"/>
    <x v="60"/>
    <x v="152"/>
    <x v="17"/>
    <x v="2"/>
    <x v="394"/>
    <x v="105"/>
    <x v="209"/>
    <x v="312"/>
    <x v="351"/>
    <x v="404"/>
    <x v="404"/>
    <x v="398"/>
    <x v="4"/>
    <x v="400"/>
    <x v="404"/>
    <x v="178"/>
    <x v="0"/>
    <x v="0"/>
    <x v="4"/>
    <x v="49"/>
    <x v="0"/>
    <x v="12"/>
    <x v="4"/>
    <x v="3"/>
    <x v="1"/>
  </r>
  <r>
    <x v="0"/>
    <x v="151"/>
    <x v="282"/>
    <x v="40"/>
    <x v="0"/>
    <x v="21"/>
    <x v="21"/>
    <x v="395"/>
    <x v="111"/>
    <x v="210"/>
    <x v="281"/>
    <x v="352"/>
    <x v="405"/>
    <x v="405"/>
    <x v="399"/>
    <x v="3"/>
    <x v="401"/>
    <x v="405"/>
    <x v="160"/>
    <x v="0"/>
    <x v="0"/>
    <x v="0"/>
    <x v="49"/>
    <x v="1"/>
    <x v="44"/>
    <x v="8"/>
    <x v="1"/>
    <x v="1"/>
  </r>
  <r>
    <x v="0"/>
    <x v="221"/>
    <x v="283"/>
    <x v="105"/>
    <x v="52"/>
    <x v="271"/>
    <x v="41"/>
    <x v="396"/>
    <x v="29"/>
    <x v="211"/>
    <x v="313"/>
    <x v="353"/>
    <x v="406"/>
    <x v="406"/>
    <x v="400"/>
    <x v="1"/>
    <x v="402"/>
    <x v="406"/>
    <x v="360"/>
    <x v="0"/>
    <x v="0"/>
    <x v="2"/>
    <x v="49"/>
    <x v="7"/>
    <x v="212"/>
    <x v="5"/>
    <x v="3"/>
    <x v="111"/>
  </r>
  <r>
    <x v="0"/>
    <x v="222"/>
    <x v="284"/>
    <x v="106"/>
    <x v="153"/>
    <x v="1"/>
    <x v="21"/>
    <x v="397"/>
    <x v="101"/>
    <x v="141"/>
    <x v="200"/>
    <x v="223"/>
    <x v="407"/>
    <x v="407"/>
    <x v="401"/>
    <x v="4"/>
    <x v="403"/>
    <x v="407"/>
    <x v="361"/>
    <x v="0"/>
    <x v="0"/>
    <x v="0"/>
    <x v="49"/>
    <x v="11"/>
    <x v="1"/>
    <x v="10"/>
    <x v="1"/>
    <x v="112"/>
  </r>
  <r>
    <x v="0"/>
    <x v="223"/>
    <x v="94"/>
    <x v="22"/>
    <x v="37"/>
    <x v="272"/>
    <x v="15"/>
    <x v="398"/>
    <x v="156"/>
    <x v="212"/>
    <x v="314"/>
    <x v="354"/>
    <x v="408"/>
    <x v="408"/>
    <x v="402"/>
    <x v="1"/>
    <x v="404"/>
    <x v="408"/>
    <x v="362"/>
    <x v="0"/>
    <x v="0"/>
    <x v="4"/>
    <x v="76"/>
    <x v="18"/>
    <x v="213"/>
    <x v="32"/>
    <x v="1"/>
    <x v="1"/>
  </r>
  <r>
    <x v="0"/>
    <x v="21"/>
    <x v="285"/>
    <x v="27"/>
    <x v="14"/>
    <x v="225"/>
    <x v="25"/>
    <x v="399"/>
    <x v="75"/>
    <x v="138"/>
    <x v="128"/>
    <x v="286"/>
    <x v="409"/>
    <x v="409"/>
    <x v="403"/>
    <x v="1"/>
    <x v="405"/>
    <x v="409"/>
    <x v="363"/>
    <x v="0"/>
    <x v="0"/>
    <x v="0"/>
    <x v="49"/>
    <x v="17"/>
    <x v="13"/>
    <x v="10"/>
    <x v="1"/>
    <x v="1"/>
  </r>
  <r>
    <x v="0"/>
    <x v="131"/>
    <x v="227"/>
    <x v="29"/>
    <x v="97"/>
    <x v="235"/>
    <x v="112"/>
    <x v="400"/>
    <x v="190"/>
    <x v="213"/>
    <x v="315"/>
    <x v="297"/>
    <x v="410"/>
    <x v="410"/>
    <x v="404"/>
    <x v="1"/>
    <x v="406"/>
    <x v="410"/>
    <x v="73"/>
    <x v="0"/>
    <x v="0"/>
    <x v="0"/>
    <x v="80"/>
    <x v="27"/>
    <x v="104"/>
    <x v="5"/>
    <x v="1"/>
    <x v="1"/>
  </r>
  <r>
    <x v="0"/>
    <x v="14"/>
    <x v="286"/>
    <x v="97"/>
    <x v="9"/>
    <x v="273"/>
    <x v="113"/>
    <x v="401"/>
    <x v="17"/>
    <x v="214"/>
    <x v="300"/>
    <x v="355"/>
    <x v="411"/>
    <x v="411"/>
    <x v="405"/>
    <x v="1"/>
    <x v="407"/>
    <x v="411"/>
    <x v="347"/>
    <x v="0"/>
    <x v="0"/>
    <x v="0"/>
    <x v="49"/>
    <x v="12"/>
    <x v="202"/>
    <x v="11"/>
    <x v="1"/>
    <x v="1"/>
  </r>
  <r>
    <x v="0"/>
    <x v="41"/>
    <x v="287"/>
    <x v="27"/>
    <x v="29"/>
    <x v="146"/>
    <x v="114"/>
    <x v="402"/>
    <x v="23"/>
    <x v="215"/>
    <x v="316"/>
    <x v="356"/>
    <x v="412"/>
    <x v="412"/>
    <x v="406"/>
    <x v="7"/>
    <x v="408"/>
    <x v="412"/>
    <x v="364"/>
    <x v="0"/>
    <x v="0"/>
    <x v="0"/>
    <x v="49"/>
    <x v="7"/>
    <x v="214"/>
    <x v="19"/>
    <x v="1"/>
    <x v="1"/>
  </r>
  <r>
    <x v="0"/>
    <x v="224"/>
    <x v="136"/>
    <x v="55"/>
    <x v="85"/>
    <x v="199"/>
    <x v="0"/>
    <x v="403"/>
    <x v="21"/>
    <x v="51"/>
    <x v="317"/>
    <x v="357"/>
    <x v="413"/>
    <x v="413"/>
    <x v="407"/>
    <x v="1"/>
    <x v="409"/>
    <x v="413"/>
    <x v="365"/>
    <x v="0"/>
    <x v="1"/>
    <x v="2"/>
    <x v="32"/>
    <x v="10"/>
    <x v="215"/>
    <x v="1"/>
    <x v="3"/>
    <x v="1"/>
  </r>
  <r>
    <x v="0"/>
    <x v="225"/>
    <x v="288"/>
    <x v="0"/>
    <x v="141"/>
    <x v="274"/>
    <x v="25"/>
    <x v="404"/>
    <x v="49"/>
    <x v="82"/>
    <x v="40"/>
    <x v="358"/>
    <x v="414"/>
    <x v="414"/>
    <x v="408"/>
    <x v="0"/>
    <x v="410"/>
    <x v="414"/>
    <x v="366"/>
    <x v="0"/>
    <x v="0"/>
    <x v="0"/>
    <x v="63"/>
    <x v="20"/>
    <x v="6"/>
    <x v="1"/>
    <x v="3"/>
    <x v="7"/>
  </r>
  <r>
    <x v="0"/>
    <x v="226"/>
    <x v="126"/>
    <x v="26"/>
    <x v="154"/>
    <x v="275"/>
    <x v="115"/>
    <x v="405"/>
    <x v="65"/>
    <x v="216"/>
    <x v="318"/>
    <x v="359"/>
    <x v="415"/>
    <x v="415"/>
    <x v="409"/>
    <x v="1"/>
    <x v="411"/>
    <x v="415"/>
    <x v="367"/>
    <x v="0"/>
    <x v="0"/>
    <x v="4"/>
    <x v="49"/>
    <x v="19"/>
    <x v="216"/>
    <x v="34"/>
    <x v="3"/>
    <x v="113"/>
  </r>
  <r>
    <x v="0"/>
    <x v="227"/>
    <x v="274"/>
    <x v="32"/>
    <x v="63"/>
    <x v="163"/>
    <x v="116"/>
    <x v="4"/>
    <x v="191"/>
    <x v="217"/>
    <x v="319"/>
    <x v="360"/>
    <x v="416"/>
    <x v="416"/>
    <x v="410"/>
    <x v="0"/>
    <x v="412"/>
    <x v="416"/>
    <x v="368"/>
    <x v="0"/>
    <x v="0"/>
    <x v="4"/>
    <x v="4"/>
    <x v="28"/>
    <x v="217"/>
    <x v="6"/>
    <x v="3"/>
    <x v="1"/>
  </r>
  <r>
    <x v="0"/>
    <x v="228"/>
    <x v="174"/>
    <x v="11"/>
    <x v="155"/>
    <x v="276"/>
    <x v="94"/>
    <x v="406"/>
    <x v="192"/>
    <x v="218"/>
    <x v="214"/>
    <x v="361"/>
    <x v="417"/>
    <x v="417"/>
    <x v="411"/>
    <x v="1"/>
    <x v="413"/>
    <x v="417"/>
    <x v="369"/>
    <x v="0"/>
    <x v="0"/>
    <x v="2"/>
    <x v="49"/>
    <x v="3"/>
    <x v="144"/>
    <x v="23"/>
    <x v="3"/>
    <x v="45"/>
  </r>
  <r>
    <x v="0"/>
    <x v="229"/>
    <x v="289"/>
    <x v="52"/>
    <x v="16"/>
    <x v="277"/>
    <x v="14"/>
    <x v="407"/>
    <x v="193"/>
    <x v="219"/>
    <x v="320"/>
    <x v="362"/>
    <x v="418"/>
    <x v="418"/>
    <x v="412"/>
    <x v="0"/>
    <x v="414"/>
    <x v="418"/>
    <x v="370"/>
    <x v="0"/>
    <x v="0"/>
    <x v="0"/>
    <x v="81"/>
    <x v="5"/>
    <x v="30"/>
    <x v="7"/>
    <x v="3"/>
    <x v="88"/>
  </r>
  <r>
    <x v="0"/>
    <x v="230"/>
    <x v="290"/>
    <x v="24"/>
    <x v="151"/>
    <x v="278"/>
    <x v="26"/>
    <x v="408"/>
    <x v="18"/>
    <x v="27"/>
    <x v="321"/>
    <x v="363"/>
    <x v="419"/>
    <x v="419"/>
    <x v="413"/>
    <x v="0"/>
    <x v="415"/>
    <x v="419"/>
    <x v="371"/>
    <x v="0"/>
    <x v="0"/>
    <x v="0"/>
    <x v="81"/>
    <x v="17"/>
    <x v="218"/>
    <x v="28"/>
    <x v="1"/>
    <x v="1"/>
  </r>
  <r>
    <x v="0"/>
    <x v="231"/>
    <x v="160"/>
    <x v="56"/>
    <x v="156"/>
    <x v="218"/>
    <x v="117"/>
    <x v="409"/>
    <x v="194"/>
    <x v="220"/>
    <x v="322"/>
    <x v="364"/>
    <x v="420"/>
    <x v="420"/>
    <x v="414"/>
    <x v="1"/>
    <x v="416"/>
    <x v="420"/>
    <x v="372"/>
    <x v="0"/>
    <x v="0"/>
    <x v="0"/>
    <x v="48"/>
    <x v="21"/>
    <x v="219"/>
    <x v="44"/>
    <x v="3"/>
    <x v="114"/>
  </r>
  <r>
    <x v="0"/>
    <x v="154"/>
    <x v="291"/>
    <x v="107"/>
    <x v="113"/>
    <x v="279"/>
    <x v="41"/>
    <x v="410"/>
    <x v="195"/>
    <x v="221"/>
    <x v="323"/>
    <x v="365"/>
    <x v="421"/>
    <x v="421"/>
    <x v="415"/>
    <x v="3"/>
    <x v="417"/>
    <x v="421"/>
    <x v="373"/>
    <x v="0"/>
    <x v="0"/>
    <x v="2"/>
    <x v="68"/>
    <x v="19"/>
    <x v="12"/>
    <x v="41"/>
    <x v="3"/>
    <x v="1"/>
  </r>
  <r>
    <x v="0"/>
    <x v="232"/>
    <x v="135"/>
    <x v="54"/>
    <x v="47"/>
    <x v="280"/>
    <x v="118"/>
    <x v="411"/>
    <x v="46"/>
    <x v="222"/>
    <x v="324"/>
    <x v="366"/>
    <x v="422"/>
    <x v="422"/>
    <x v="416"/>
    <x v="0"/>
    <x v="418"/>
    <x v="422"/>
    <x v="374"/>
    <x v="0"/>
    <x v="1"/>
    <x v="4"/>
    <x v="82"/>
    <x v="3"/>
    <x v="126"/>
    <x v="1"/>
    <x v="1"/>
    <x v="34"/>
  </r>
  <r>
    <x v="0"/>
    <x v="158"/>
    <x v="247"/>
    <x v="86"/>
    <x v="115"/>
    <x v="87"/>
    <x v="2"/>
    <x v="412"/>
    <x v="196"/>
    <x v="196"/>
    <x v="325"/>
    <x v="367"/>
    <x v="423"/>
    <x v="423"/>
    <x v="417"/>
    <x v="1"/>
    <x v="419"/>
    <x v="423"/>
    <x v="375"/>
    <x v="0"/>
    <x v="0"/>
    <x v="0"/>
    <x v="80"/>
    <x v="7"/>
    <x v="30"/>
    <x v="21"/>
    <x v="3"/>
    <x v="115"/>
  </r>
  <r>
    <x v="0"/>
    <x v="233"/>
    <x v="238"/>
    <x v="29"/>
    <x v="0"/>
    <x v="154"/>
    <x v="119"/>
    <x v="4"/>
    <x v="63"/>
    <x v="223"/>
    <x v="326"/>
    <x v="368"/>
    <x v="424"/>
    <x v="424"/>
    <x v="418"/>
    <x v="0"/>
    <x v="420"/>
    <x v="424"/>
    <x v="376"/>
    <x v="0"/>
    <x v="0"/>
    <x v="4"/>
    <x v="83"/>
    <x v="26"/>
    <x v="117"/>
    <x v="8"/>
    <x v="3"/>
    <x v="1"/>
  </r>
  <r>
    <x v="0"/>
    <x v="149"/>
    <x v="74"/>
    <x v="87"/>
    <x v="110"/>
    <x v="281"/>
    <x v="43"/>
    <x v="413"/>
    <x v="197"/>
    <x v="67"/>
    <x v="327"/>
    <x v="369"/>
    <x v="425"/>
    <x v="425"/>
    <x v="419"/>
    <x v="0"/>
    <x v="421"/>
    <x v="425"/>
    <x v="377"/>
    <x v="0"/>
    <x v="0"/>
    <x v="2"/>
    <x v="49"/>
    <x v="5"/>
    <x v="220"/>
    <x v="44"/>
    <x v="3"/>
    <x v="1"/>
  </r>
  <r>
    <x v="0"/>
    <x v="52"/>
    <x v="282"/>
    <x v="76"/>
    <x v="37"/>
    <x v="282"/>
    <x v="30"/>
    <x v="414"/>
    <x v="18"/>
    <x v="224"/>
    <x v="328"/>
    <x v="370"/>
    <x v="426"/>
    <x v="426"/>
    <x v="420"/>
    <x v="0"/>
    <x v="422"/>
    <x v="426"/>
    <x v="378"/>
    <x v="0"/>
    <x v="0"/>
    <x v="0"/>
    <x v="49"/>
    <x v="8"/>
    <x v="9"/>
    <x v="9"/>
    <x v="1"/>
    <x v="1"/>
  </r>
  <r>
    <x v="0"/>
    <x v="37"/>
    <x v="292"/>
    <x v="60"/>
    <x v="0"/>
    <x v="283"/>
    <x v="22"/>
    <x v="415"/>
    <x v="198"/>
    <x v="225"/>
    <x v="329"/>
    <x v="371"/>
    <x v="427"/>
    <x v="427"/>
    <x v="421"/>
    <x v="0"/>
    <x v="423"/>
    <x v="427"/>
    <x v="329"/>
    <x v="0"/>
    <x v="0"/>
    <x v="0"/>
    <x v="49"/>
    <x v="8"/>
    <x v="221"/>
    <x v="15"/>
    <x v="3"/>
    <x v="67"/>
  </r>
  <r>
    <x v="0"/>
    <x v="68"/>
    <x v="28"/>
    <x v="108"/>
    <x v="53"/>
    <x v="284"/>
    <x v="20"/>
    <x v="416"/>
    <x v="199"/>
    <x v="21"/>
    <x v="330"/>
    <x v="372"/>
    <x v="428"/>
    <x v="428"/>
    <x v="422"/>
    <x v="0"/>
    <x v="424"/>
    <x v="428"/>
    <x v="379"/>
    <x v="0"/>
    <x v="0"/>
    <x v="4"/>
    <x v="48"/>
    <x v="1"/>
    <x v="28"/>
    <x v="16"/>
    <x v="1"/>
    <x v="85"/>
  </r>
  <r>
    <x v="0"/>
    <x v="150"/>
    <x v="230"/>
    <x v="32"/>
    <x v="111"/>
    <x v="285"/>
    <x v="22"/>
    <x v="417"/>
    <x v="123"/>
    <x v="226"/>
    <x v="331"/>
    <x v="373"/>
    <x v="429"/>
    <x v="429"/>
    <x v="423"/>
    <x v="1"/>
    <x v="425"/>
    <x v="429"/>
    <x v="316"/>
    <x v="0"/>
    <x v="0"/>
    <x v="0"/>
    <x v="84"/>
    <x v="21"/>
    <x v="222"/>
    <x v="18"/>
    <x v="1"/>
    <x v="1"/>
  </r>
  <r>
    <x v="0"/>
    <x v="51"/>
    <x v="104"/>
    <x v="59"/>
    <x v="36"/>
    <x v="1"/>
    <x v="2"/>
    <x v="418"/>
    <x v="200"/>
    <x v="130"/>
    <x v="332"/>
    <x v="374"/>
    <x v="430"/>
    <x v="430"/>
    <x v="424"/>
    <x v="1"/>
    <x v="426"/>
    <x v="430"/>
    <x v="380"/>
    <x v="0"/>
    <x v="0"/>
    <x v="0"/>
    <x v="85"/>
    <x v="17"/>
    <x v="223"/>
    <x v="10"/>
    <x v="3"/>
    <x v="1"/>
  </r>
  <r>
    <x v="0"/>
    <x v="234"/>
    <x v="43"/>
    <x v="18"/>
    <x v="17"/>
    <x v="265"/>
    <x v="8"/>
    <x v="419"/>
    <x v="2"/>
    <x v="35"/>
    <x v="234"/>
    <x v="375"/>
    <x v="431"/>
    <x v="431"/>
    <x v="425"/>
    <x v="12"/>
    <x v="427"/>
    <x v="431"/>
    <x v="74"/>
    <x v="0"/>
    <x v="0"/>
    <x v="4"/>
    <x v="67"/>
    <x v="5"/>
    <x v="44"/>
    <x v="12"/>
    <x v="1"/>
    <x v="116"/>
  </r>
  <r>
    <x v="0"/>
    <x v="209"/>
    <x v="166"/>
    <x v="47"/>
    <x v="0"/>
    <x v="286"/>
    <x v="14"/>
    <x v="420"/>
    <x v="2"/>
    <x v="56"/>
    <x v="333"/>
    <x v="376"/>
    <x v="432"/>
    <x v="432"/>
    <x v="426"/>
    <x v="0"/>
    <x v="428"/>
    <x v="432"/>
    <x v="364"/>
    <x v="0"/>
    <x v="0"/>
    <x v="0"/>
    <x v="67"/>
    <x v="25"/>
    <x v="30"/>
    <x v="1"/>
    <x v="1"/>
    <x v="1"/>
  </r>
  <r>
    <x v="0"/>
    <x v="215"/>
    <x v="10"/>
    <x v="30"/>
    <x v="148"/>
    <x v="287"/>
    <x v="31"/>
    <x v="421"/>
    <x v="109"/>
    <x v="37"/>
    <x v="153"/>
    <x v="377"/>
    <x v="433"/>
    <x v="433"/>
    <x v="427"/>
    <x v="0"/>
    <x v="429"/>
    <x v="433"/>
    <x v="381"/>
    <x v="0"/>
    <x v="0"/>
    <x v="0"/>
    <x v="54"/>
    <x v="3"/>
    <x v="20"/>
    <x v="11"/>
    <x v="1"/>
    <x v="117"/>
  </r>
  <r>
    <x v="0"/>
    <x v="235"/>
    <x v="228"/>
    <x v="58"/>
    <x v="157"/>
    <x v="158"/>
    <x v="21"/>
    <x v="422"/>
    <x v="125"/>
    <x v="71"/>
    <x v="334"/>
    <x v="378"/>
    <x v="434"/>
    <x v="434"/>
    <x v="428"/>
    <x v="0"/>
    <x v="430"/>
    <x v="434"/>
    <x v="382"/>
    <x v="0"/>
    <x v="0"/>
    <x v="4"/>
    <x v="67"/>
    <x v="10"/>
    <x v="224"/>
    <x v="12"/>
    <x v="1"/>
    <x v="15"/>
  </r>
  <r>
    <x v="0"/>
    <x v="24"/>
    <x v="155"/>
    <x v="51"/>
    <x v="17"/>
    <x v="288"/>
    <x v="68"/>
    <x v="423"/>
    <x v="97"/>
    <x v="120"/>
    <x v="335"/>
    <x v="379"/>
    <x v="435"/>
    <x v="435"/>
    <x v="429"/>
    <x v="0"/>
    <x v="431"/>
    <x v="435"/>
    <x v="383"/>
    <x v="0"/>
    <x v="0"/>
    <x v="0"/>
    <x v="67"/>
    <x v="29"/>
    <x v="225"/>
    <x v="15"/>
    <x v="3"/>
    <x v="1"/>
  </r>
  <r>
    <x v="0"/>
    <x v="119"/>
    <x v="146"/>
    <x v="105"/>
    <x v="69"/>
    <x v="289"/>
    <x v="57"/>
    <x v="424"/>
    <x v="29"/>
    <x v="99"/>
    <x v="332"/>
    <x v="380"/>
    <x v="436"/>
    <x v="436"/>
    <x v="430"/>
    <x v="1"/>
    <x v="432"/>
    <x v="436"/>
    <x v="384"/>
    <x v="0"/>
    <x v="0"/>
    <x v="2"/>
    <x v="67"/>
    <x v="7"/>
    <x v="223"/>
    <x v="2"/>
    <x v="3"/>
    <x v="1"/>
  </r>
  <r>
    <x v="0"/>
    <x v="64"/>
    <x v="224"/>
    <x v="79"/>
    <x v="49"/>
    <x v="290"/>
    <x v="0"/>
    <x v="425"/>
    <x v="201"/>
    <x v="227"/>
    <x v="336"/>
    <x v="381"/>
    <x v="437"/>
    <x v="437"/>
    <x v="431"/>
    <x v="0"/>
    <x v="433"/>
    <x v="437"/>
    <x v="385"/>
    <x v="0"/>
    <x v="0"/>
    <x v="2"/>
    <x v="67"/>
    <x v="19"/>
    <x v="226"/>
    <x v="13"/>
    <x v="10"/>
    <x v="1"/>
  </r>
  <r>
    <x v="0"/>
    <x v="236"/>
    <x v="293"/>
    <x v="55"/>
    <x v="28"/>
    <x v="291"/>
    <x v="25"/>
    <x v="426"/>
    <x v="35"/>
    <x v="26"/>
    <x v="199"/>
    <x v="382"/>
    <x v="438"/>
    <x v="438"/>
    <x v="432"/>
    <x v="0"/>
    <x v="434"/>
    <x v="438"/>
    <x v="386"/>
    <x v="0"/>
    <x v="0"/>
    <x v="3"/>
    <x v="4"/>
    <x v="7"/>
    <x v="135"/>
    <x v="21"/>
    <x v="3"/>
    <x v="1"/>
  </r>
  <r>
    <x v="0"/>
    <x v="237"/>
    <x v="211"/>
    <x v="60"/>
    <x v="158"/>
    <x v="23"/>
    <x v="2"/>
    <x v="427"/>
    <x v="202"/>
    <x v="130"/>
    <x v="28"/>
    <x v="245"/>
    <x v="439"/>
    <x v="439"/>
    <x v="433"/>
    <x v="0"/>
    <x v="435"/>
    <x v="439"/>
    <x v="387"/>
    <x v="0"/>
    <x v="0"/>
    <x v="0"/>
    <x v="74"/>
    <x v="20"/>
    <x v="9"/>
    <x v="9"/>
    <x v="1"/>
    <x v="1"/>
  </r>
  <r>
    <x v="0"/>
    <x v="102"/>
    <x v="294"/>
    <x v="38"/>
    <x v="80"/>
    <x v="292"/>
    <x v="57"/>
    <x v="428"/>
    <x v="26"/>
    <x v="99"/>
    <x v="129"/>
    <x v="383"/>
    <x v="440"/>
    <x v="440"/>
    <x v="434"/>
    <x v="6"/>
    <x v="436"/>
    <x v="440"/>
    <x v="49"/>
    <x v="0"/>
    <x v="0"/>
    <x v="0"/>
    <x v="68"/>
    <x v="9"/>
    <x v="47"/>
    <x v="10"/>
    <x v="1"/>
    <x v="31"/>
  </r>
  <r>
    <x v="0"/>
    <x v="231"/>
    <x v="295"/>
    <x v="18"/>
    <x v="156"/>
    <x v="181"/>
    <x v="2"/>
    <x v="429"/>
    <x v="203"/>
    <x v="196"/>
    <x v="337"/>
    <x v="384"/>
    <x v="441"/>
    <x v="441"/>
    <x v="435"/>
    <x v="13"/>
    <x v="437"/>
    <x v="441"/>
    <x v="271"/>
    <x v="0"/>
    <x v="0"/>
    <x v="0"/>
    <x v="84"/>
    <x v="12"/>
    <x v="227"/>
    <x v="21"/>
    <x v="1"/>
    <x v="1"/>
  </r>
  <r>
    <x v="0"/>
    <x v="60"/>
    <x v="74"/>
    <x v="101"/>
    <x v="45"/>
    <x v="129"/>
    <x v="0"/>
    <x v="430"/>
    <x v="174"/>
    <x v="52"/>
    <x v="338"/>
    <x v="385"/>
    <x v="442"/>
    <x v="442"/>
    <x v="436"/>
    <x v="0"/>
    <x v="438"/>
    <x v="442"/>
    <x v="388"/>
    <x v="0"/>
    <x v="0"/>
    <x v="3"/>
    <x v="74"/>
    <x v="10"/>
    <x v="30"/>
    <x v="46"/>
    <x v="3"/>
    <x v="1"/>
  </r>
  <r>
    <x v="0"/>
    <x v="206"/>
    <x v="296"/>
    <x v="59"/>
    <x v="145"/>
    <x v="21"/>
    <x v="25"/>
    <x v="431"/>
    <x v="125"/>
    <x v="26"/>
    <x v="288"/>
    <x v="344"/>
    <x v="443"/>
    <x v="443"/>
    <x v="437"/>
    <x v="2"/>
    <x v="439"/>
    <x v="443"/>
    <x v="363"/>
    <x v="0"/>
    <x v="0"/>
    <x v="0"/>
    <x v="67"/>
    <x v="9"/>
    <x v="6"/>
    <x v="28"/>
    <x v="3"/>
    <x v="57"/>
  </r>
  <r>
    <x v="0"/>
    <x v="231"/>
    <x v="220"/>
    <x v="47"/>
    <x v="156"/>
    <x v="21"/>
    <x v="57"/>
    <x v="432"/>
    <x v="121"/>
    <x v="192"/>
    <x v="141"/>
    <x v="28"/>
    <x v="444"/>
    <x v="444"/>
    <x v="438"/>
    <x v="1"/>
    <x v="440"/>
    <x v="444"/>
    <x v="328"/>
    <x v="0"/>
    <x v="0"/>
    <x v="0"/>
    <x v="67"/>
    <x v="8"/>
    <x v="47"/>
    <x v="12"/>
    <x v="3"/>
    <x v="1"/>
  </r>
  <r>
    <x v="0"/>
    <x v="220"/>
    <x v="118"/>
    <x v="57"/>
    <x v="152"/>
    <x v="293"/>
    <x v="11"/>
    <x v="433"/>
    <x v="105"/>
    <x v="63"/>
    <x v="28"/>
    <x v="386"/>
    <x v="445"/>
    <x v="445"/>
    <x v="439"/>
    <x v="1"/>
    <x v="441"/>
    <x v="445"/>
    <x v="382"/>
    <x v="0"/>
    <x v="0"/>
    <x v="0"/>
    <x v="67"/>
    <x v="17"/>
    <x v="9"/>
    <x v="10"/>
    <x v="3"/>
    <x v="1"/>
  </r>
  <r>
    <x v="0"/>
    <x v="48"/>
    <x v="48"/>
    <x v="67"/>
    <x v="33"/>
    <x v="294"/>
    <x v="19"/>
    <x v="434"/>
    <x v="60"/>
    <x v="20"/>
    <x v="339"/>
    <x v="387"/>
    <x v="446"/>
    <x v="446"/>
    <x v="440"/>
    <x v="0"/>
    <x v="442"/>
    <x v="446"/>
    <x v="389"/>
    <x v="0"/>
    <x v="0"/>
    <x v="4"/>
    <x v="67"/>
    <x v="5"/>
    <x v="228"/>
    <x v="14"/>
    <x v="1"/>
    <x v="46"/>
  </r>
  <r>
    <x v="0"/>
    <x v="238"/>
    <x v="142"/>
    <x v="76"/>
    <x v="159"/>
    <x v="64"/>
    <x v="41"/>
    <x v="435"/>
    <x v="105"/>
    <x v="211"/>
    <x v="340"/>
    <x v="388"/>
    <x v="447"/>
    <x v="447"/>
    <x v="441"/>
    <x v="4"/>
    <x v="443"/>
    <x v="447"/>
    <x v="390"/>
    <x v="0"/>
    <x v="8"/>
    <x v="0"/>
    <x v="67"/>
    <x v="8"/>
    <x v="13"/>
    <x v="23"/>
    <x v="3"/>
    <x v="1"/>
  </r>
  <r>
    <x v="0"/>
    <x v="175"/>
    <x v="145"/>
    <x v="43"/>
    <x v="126"/>
    <x v="295"/>
    <x v="0"/>
    <x v="436"/>
    <x v="44"/>
    <x v="51"/>
    <x v="341"/>
    <x v="389"/>
    <x v="448"/>
    <x v="448"/>
    <x v="442"/>
    <x v="1"/>
    <x v="444"/>
    <x v="448"/>
    <x v="286"/>
    <x v="0"/>
    <x v="0"/>
    <x v="2"/>
    <x v="74"/>
    <x v="12"/>
    <x v="229"/>
    <x v="22"/>
    <x v="3"/>
    <x v="1"/>
  </r>
  <r>
    <x v="0"/>
    <x v="134"/>
    <x v="297"/>
    <x v="67"/>
    <x v="99"/>
    <x v="296"/>
    <x v="25"/>
    <x v="437"/>
    <x v="103"/>
    <x v="76"/>
    <x v="342"/>
    <x v="390"/>
    <x v="449"/>
    <x v="449"/>
    <x v="443"/>
    <x v="0"/>
    <x v="445"/>
    <x v="449"/>
    <x v="391"/>
    <x v="0"/>
    <x v="0"/>
    <x v="4"/>
    <x v="67"/>
    <x v="13"/>
    <x v="30"/>
    <x v="11"/>
    <x v="1"/>
    <x v="59"/>
  </r>
  <r>
    <x v="0"/>
    <x v="239"/>
    <x v="235"/>
    <x v="77"/>
    <x v="160"/>
    <x v="284"/>
    <x v="2"/>
    <x v="438"/>
    <x v="204"/>
    <x v="196"/>
    <x v="343"/>
    <x v="391"/>
    <x v="450"/>
    <x v="450"/>
    <x v="444"/>
    <x v="0"/>
    <x v="446"/>
    <x v="450"/>
    <x v="392"/>
    <x v="0"/>
    <x v="0"/>
    <x v="2"/>
    <x v="67"/>
    <x v="8"/>
    <x v="230"/>
    <x v="9"/>
    <x v="1"/>
    <x v="1"/>
  </r>
  <r>
    <x v="0"/>
    <x v="2"/>
    <x v="84"/>
    <x v="85"/>
    <x v="0"/>
    <x v="297"/>
    <x v="10"/>
    <x v="439"/>
    <x v="168"/>
    <x v="33"/>
    <x v="344"/>
    <x v="392"/>
    <x v="451"/>
    <x v="451"/>
    <x v="445"/>
    <x v="0"/>
    <x v="447"/>
    <x v="451"/>
    <x v="393"/>
    <x v="0"/>
    <x v="0"/>
    <x v="4"/>
    <x v="67"/>
    <x v="19"/>
    <x v="30"/>
    <x v="16"/>
    <x v="1"/>
    <x v="1"/>
  </r>
  <r>
    <x v="0"/>
    <x v="206"/>
    <x v="298"/>
    <x v="85"/>
    <x v="145"/>
    <x v="247"/>
    <x v="2"/>
    <x v="440"/>
    <x v="127"/>
    <x v="196"/>
    <x v="345"/>
    <x v="318"/>
    <x v="452"/>
    <x v="452"/>
    <x v="446"/>
    <x v="1"/>
    <x v="448"/>
    <x v="452"/>
    <x v="394"/>
    <x v="0"/>
    <x v="0"/>
    <x v="0"/>
    <x v="67"/>
    <x v="10"/>
    <x v="13"/>
    <x v="21"/>
    <x v="3"/>
    <x v="64"/>
  </r>
  <r>
    <x v="2"/>
    <x v="113"/>
    <x v="299"/>
    <x v="109"/>
    <x v="88"/>
    <x v="298"/>
    <x v="120"/>
    <x v="4"/>
    <x v="205"/>
    <x v="228"/>
    <x v="346"/>
    <x v="393"/>
    <x v="453"/>
    <x v="453"/>
    <x v="447"/>
    <x v="0"/>
    <x v="449"/>
    <x v="453"/>
    <x v="318"/>
    <x v="0"/>
    <x v="0"/>
    <x v="7"/>
    <x v="4"/>
    <x v="4"/>
    <x v="231"/>
    <x v="36"/>
    <x v="12"/>
    <x v="51"/>
  </r>
  <r>
    <x v="0"/>
    <x v="172"/>
    <x v="296"/>
    <x v="32"/>
    <x v="124"/>
    <x v="299"/>
    <x v="25"/>
    <x v="441"/>
    <x v="23"/>
    <x v="26"/>
    <x v="347"/>
    <x v="394"/>
    <x v="454"/>
    <x v="454"/>
    <x v="448"/>
    <x v="5"/>
    <x v="450"/>
    <x v="454"/>
    <x v="367"/>
    <x v="0"/>
    <x v="0"/>
    <x v="4"/>
    <x v="74"/>
    <x v="13"/>
    <x v="232"/>
    <x v="2"/>
    <x v="1"/>
    <x v="1"/>
  </r>
  <r>
    <x v="0"/>
    <x v="240"/>
    <x v="300"/>
    <x v="34"/>
    <x v="161"/>
    <x v="300"/>
    <x v="22"/>
    <x v="442"/>
    <x v="83"/>
    <x v="169"/>
    <x v="348"/>
    <x v="395"/>
    <x v="455"/>
    <x v="455"/>
    <x v="449"/>
    <x v="3"/>
    <x v="451"/>
    <x v="455"/>
    <x v="395"/>
    <x v="0"/>
    <x v="0"/>
    <x v="0"/>
    <x v="67"/>
    <x v="8"/>
    <x v="233"/>
    <x v="4"/>
    <x v="1"/>
    <x v="1"/>
  </r>
  <r>
    <x v="0"/>
    <x v="241"/>
    <x v="204"/>
    <x v="39"/>
    <x v="162"/>
    <x v="96"/>
    <x v="13"/>
    <x v="443"/>
    <x v="206"/>
    <x v="93"/>
    <x v="108"/>
    <x v="396"/>
    <x v="456"/>
    <x v="456"/>
    <x v="450"/>
    <x v="3"/>
    <x v="452"/>
    <x v="456"/>
    <x v="396"/>
    <x v="0"/>
    <x v="0"/>
    <x v="4"/>
    <x v="86"/>
    <x v="17"/>
    <x v="76"/>
    <x v="13"/>
    <x v="1"/>
    <x v="1"/>
  </r>
  <r>
    <x v="0"/>
    <x v="242"/>
    <x v="301"/>
    <x v="34"/>
    <x v="163"/>
    <x v="9"/>
    <x v="11"/>
    <x v="444"/>
    <x v="51"/>
    <x v="156"/>
    <x v="34"/>
    <x v="56"/>
    <x v="457"/>
    <x v="457"/>
    <x v="451"/>
    <x v="0"/>
    <x v="453"/>
    <x v="457"/>
    <x v="397"/>
    <x v="0"/>
    <x v="0"/>
    <x v="4"/>
    <x v="67"/>
    <x v="5"/>
    <x v="28"/>
    <x v="8"/>
    <x v="1"/>
    <x v="35"/>
  </r>
  <r>
    <x v="0"/>
    <x v="243"/>
    <x v="302"/>
    <x v="78"/>
    <x v="123"/>
    <x v="146"/>
    <x v="49"/>
    <x v="445"/>
    <x v="207"/>
    <x v="86"/>
    <x v="349"/>
    <x v="397"/>
    <x v="458"/>
    <x v="458"/>
    <x v="452"/>
    <x v="1"/>
    <x v="454"/>
    <x v="458"/>
    <x v="398"/>
    <x v="0"/>
    <x v="0"/>
    <x v="2"/>
    <x v="67"/>
    <x v="13"/>
    <x v="109"/>
    <x v="31"/>
    <x v="3"/>
    <x v="1"/>
  </r>
  <r>
    <x v="0"/>
    <x v="156"/>
    <x v="111"/>
    <x v="18"/>
    <x v="114"/>
    <x v="301"/>
    <x v="21"/>
    <x v="446"/>
    <x v="208"/>
    <x v="22"/>
    <x v="350"/>
    <x v="398"/>
    <x v="459"/>
    <x v="459"/>
    <x v="453"/>
    <x v="0"/>
    <x v="455"/>
    <x v="459"/>
    <x v="399"/>
    <x v="0"/>
    <x v="0"/>
    <x v="0"/>
    <x v="67"/>
    <x v="15"/>
    <x v="234"/>
    <x v="41"/>
    <x v="1"/>
    <x v="1"/>
  </r>
  <r>
    <x v="0"/>
    <x v="244"/>
    <x v="303"/>
    <x v="76"/>
    <x v="164"/>
    <x v="302"/>
    <x v="57"/>
    <x v="447"/>
    <x v="209"/>
    <x v="192"/>
    <x v="151"/>
    <x v="399"/>
    <x v="460"/>
    <x v="460"/>
    <x v="454"/>
    <x v="1"/>
    <x v="456"/>
    <x v="460"/>
    <x v="400"/>
    <x v="0"/>
    <x v="0"/>
    <x v="2"/>
    <x v="67"/>
    <x v="25"/>
    <x v="102"/>
    <x v="22"/>
    <x v="13"/>
    <x v="1"/>
  </r>
  <r>
    <x v="0"/>
    <x v="80"/>
    <x v="304"/>
    <x v="41"/>
    <x v="63"/>
    <x v="303"/>
    <x v="0"/>
    <x v="448"/>
    <x v="210"/>
    <x v="229"/>
    <x v="351"/>
    <x v="400"/>
    <x v="461"/>
    <x v="461"/>
    <x v="455"/>
    <x v="0"/>
    <x v="457"/>
    <x v="461"/>
    <x v="401"/>
    <x v="0"/>
    <x v="0"/>
    <x v="2"/>
    <x v="48"/>
    <x v="7"/>
    <x v="235"/>
    <x v="23"/>
    <x v="3"/>
    <x v="1"/>
  </r>
  <r>
    <x v="0"/>
    <x v="245"/>
    <x v="109"/>
    <x v="27"/>
    <x v="165"/>
    <x v="304"/>
    <x v="11"/>
    <x v="449"/>
    <x v="211"/>
    <x v="63"/>
    <x v="352"/>
    <x v="401"/>
    <x v="462"/>
    <x v="462"/>
    <x v="456"/>
    <x v="0"/>
    <x v="458"/>
    <x v="462"/>
    <x v="100"/>
    <x v="0"/>
    <x v="0"/>
    <x v="0"/>
    <x v="67"/>
    <x v="8"/>
    <x v="9"/>
    <x v="34"/>
    <x v="1"/>
    <x v="1"/>
  </r>
  <r>
    <x v="0"/>
    <x v="105"/>
    <x v="227"/>
    <x v="24"/>
    <x v="83"/>
    <x v="305"/>
    <x v="94"/>
    <x v="450"/>
    <x v="212"/>
    <x v="218"/>
    <x v="353"/>
    <x v="402"/>
    <x v="463"/>
    <x v="463"/>
    <x v="457"/>
    <x v="1"/>
    <x v="459"/>
    <x v="463"/>
    <x v="402"/>
    <x v="0"/>
    <x v="0"/>
    <x v="4"/>
    <x v="74"/>
    <x v="13"/>
    <x v="236"/>
    <x v="10"/>
    <x v="1"/>
    <x v="1"/>
  </r>
  <r>
    <x v="0"/>
    <x v="50"/>
    <x v="115"/>
    <x v="90"/>
    <x v="35"/>
    <x v="306"/>
    <x v="2"/>
    <x v="451"/>
    <x v="108"/>
    <x v="75"/>
    <x v="307"/>
    <x v="403"/>
    <x v="464"/>
    <x v="464"/>
    <x v="458"/>
    <x v="2"/>
    <x v="460"/>
    <x v="464"/>
    <x v="403"/>
    <x v="0"/>
    <x v="0"/>
    <x v="4"/>
    <x v="76"/>
    <x v="11"/>
    <x v="135"/>
    <x v="32"/>
    <x v="1"/>
    <x v="29"/>
  </r>
  <r>
    <x v="0"/>
    <x v="246"/>
    <x v="241"/>
    <x v="42"/>
    <x v="166"/>
    <x v="139"/>
    <x v="2"/>
    <x v="452"/>
    <x v="213"/>
    <x v="42"/>
    <x v="298"/>
    <x v="170"/>
    <x v="465"/>
    <x v="465"/>
    <x v="459"/>
    <x v="4"/>
    <x v="461"/>
    <x v="465"/>
    <x v="291"/>
    <x v="0"/>
    <x v="0"/>
    <x v="0"/>
    <x v="80"/>
    <x v="20"/>
    <x v="200"/>
    <x v="20"/>
    <x v="1"/>
    <x v="1"/>
  </r>
  <r>
    <x v="0"/>
    <x v="247"/>
    <x v="262"/>
    <x v="110"/>
    <x v="167"/>
    <x v="307"/>
    <x v="22"/>
    <x v="453"/>
    <x v="29"/>
    <x v="77"/>
    <x v="354"/>
    <x v="404"/>
    <x v="466"/>
    <x v="466"/>
    <x v="460"/>
    <x v="0"/>
    <x v="462"/>
    <x v="466"/>
    <x v="360"/>
    <x v="0"/>
    <x v="0"/>
    <x v="2"/>
    <x v="67"/>
    <x v="5"/>
    <x v="237"/>
    <x v="51"/>
    <x v="3"/>
    <x v="1"/>
  </r>
  <r>
    <x v="0"/>
    <x v="248"/>
    <x v="257"/>
    <x v="105"/>
    <x v="122"/>
    <x v="284"/>
    <x v="57"/>
    <x v="454"/>
    <x v="214"/>
    <x v="109"/>
    <x v="355"/>
    <x v="405"/>
    <x v="467"/>
    <x v="467"/>
    <x v="461"/>
    <x v="0"/>
    <x v="463"/>
    <x v="467"/>
    <x v="404"/>
    <x v="0"/>
    <x v="0"/>
    <x v="3"/>
    <x v="67"/>
    <x v="19"/>
    <x v="238"/>
    <x v="15"/>
    <x v="1"/>
    <x v="86"/>
  </r>
  <r>
    <x v="0"/>
    <x v="158"/>
    <x v="305"/>
    <x v="58"/>
    <x v="115"/>
    <x v="308"/>
    <x v="22"/>
    <x v="455"/>
    <x v="215"/>
    <x v="169"/>
    <x v="356"/>
    <x v="406"/>
    <x v="468"/>
    <x v="468"/>
    <x v="462"/>
    <x v="1"/>
    <x v="464"/>
    <x v="468"/>
    <x v="405"/>
    <x v="0"/>
    <x v="0"/>
    <x v="2"/>
    <x v="67"/>
    <x v="10"/>
    <x v="30"/>
    <x v="31"/>
    <x v="1"/>
    <x v="1"/>
  </r>
  <r>
    <x v="0"/>
    <x v="249"/>
    <x v="182"/>
    <x v="29"/>
    <x v="138"/>
    <x v="309"/>
    <x v="14"/>
    <x v="456"/>
    <x v="216"/>
    <x v="61"/>
    <x v="20"/>
    <x v="407"/>
    <x v="469"/>
    <x v="469"/>
    <x v="463"/>
    <x v="0"/>
    <x v="465"/>
    <x v="469"/>
    <x v="406"/>
    <x v="0"/>
    <x v="0"/>
    <x v="0"/>
    <x v="67"/>
    <x v="20"/>
    <x v="17"/>
    <x v="37"/>
    <x v="1"/>
    <x v="1"/>
  </r>
  <r>
    <x v="0"/>
    <x v="250"/>
    <x v="306"/>
    <x v="74"/>
    <x v="168"/>
    <x v="95"/>
    <x v="11"/>
    <x v="457"/>
    <x v="178"/>
    <x v="156"/>
    <x v="357"/>
    <x v="408"/>
    <x v="470"/>
    <x v="470"/>
    <x v="464"/>
    <x v="1"/>
    <x v="466"/>
    <x v="470"/>
    <x v="407"/>
    <x v="0"/>
    <x v="0"/>
    <x v="4"/>
    <x v="67"/>
    <x v="14"/>
    <x v="30"/>
    <x v="4"/>
    <x v="3"/>
    <x v="1"/>
  </r>
  <r>
    <x v="0"/>
    <x v="251"/>
    <x v="307"/>
    <x v="85"/>
    <x v="65"/>
    <x v="163"/>
    <x v="121"/>
    <x v="458"/>
    <x v="17"/>
    <x v="230"/>
    <x v="295"/>
    <x v="409"/>
    <x v="471"/>
    <x v="471"/>
    <x v="465"/>
    <x v="0"/>
    <x v="467"/>
    <x v="471"/>
    <x v="408"/>
    <x v="0"/>
    <x v="0"/>
    <x v="0"/>
    <x v="4"/>
    <x v="13"/>
    <x v="199"/>
    <x v="15"/>
    <x v="3"/>
    <x v="118"/>
  </r>
  <r>
    <x v="0"/>
    <x v="217"/>
    <x v="194"/>
    <x v="71"/>
    <x v="150"/>
    <x v="310"/>
    <x v="25"/>
    <x v="459"/>
    <x v="57"/>
    <x v="26"/>
    <x v="288"/>
    <x v="410"/>
    <x v="472"/>
    <x v="472"/>
    <x v="466"/>
    <x v="0"/>
    <x v="468"/>
    <x v="472"/>
    <x v="241"/>
    <x v="0"/>
    <x v="0"/>
    <x v="2"/>
    <x v="67"/>
    <x v="2"/>
    <x v="6"/>
    <x v="10"/>
    <x v="3"/>
    <x v="37"/>
  </r>
  <r>
    <x v="1"/>
    <x v="113"/>
    <x v="308"/>
    <x v="111"/>
    <x v="88"/>
    <x v="311"/>
    <x v="0"/>
    <x v="4"/>
    <x v="35"/>
    <x v="231"/>
    <x v="358"/>
    <x v="411"/>
    <x v="473"/>
    <x v="473"/>
    <x v="467"/>
    <x v="1"/>
    <x v="469"/>
    <x v="473"/>
    <x v="409"/>
    <x v="0"/>
    <x v="0"/>
    <x v="8"/>
    <x v="4"/>
    <x v="4"/>
    <x v="234"/>
    <x v="32"/>
    <x v="9"/>
    <x v="1"/>
  </r>
  <r>
    <x v="0"/>
    <x v="252"/>
    <x v="309"/>
    <x v="112"/>
    <x v="31"/>
    <x v="312"/>
    <x v="122"/>
    <x v="460"/>
    <x v="217"/>
    <x v="232"/>
    <x v="359"/>
    <x v="412"/>
    <x v="474"/>
    <x v="474"/>
    <x v="468"/>
    <x v="0"/>
    <x v="470"/>
    <x v="474"/>
    <x v="139"/>
    <x v="0"/>
    <x v="0"/>
    <x v="3"/>
    <x v="67"/>
    <x v="15"/>
    <x v="239"/>
    <x v="11"/>
    <x v="0"/>
    <x v="119"/>
  </r>
  <r>
    <x v="0"/>
    <x v="94"/>
    <x v="310"/>
    <x v="45"/>
    <x v="73"/>
    <x v="313"/>
    <x v="16"/>
    <x v="461"/>
    <x v="5"/>
    <x v="17"/>
    <x v="360"/>
    <x v="413"/>
    <x v="475"/>
    <x v="475"/>
    <x v="469"/>
    <x v="0"/>
    <x v="471"/>
    <x v="475"/>
    <x v="410"/>
    <x v="0"/>
    <x v="0"/>
    <x v="0"/>
    <x v="67"/>
    <x v="19"/>
    <x v="240"/>
    <x v="18"/>
    <x v="1"/>
    <x v="67"/>
  </r>
  <r>
    <x v="0"/>
    <x v="184"/>
    <x v="311"/>
    <x v="37"/>
    <x v="45"/>
    <x v="194"/>
    <x v="123"/>
    <x v="462"/>
    <x v="218"/>
    <x v="233"/>
    <x v="361"/>
    <x v="414"/>
    <x v="476"/>
    <x v="476"/>
    <x v="470"/>
    <x v="0"/>
    <x v="472"/>
    <x v="476"/>
    <x v="244"/>
    <x v="0"/>
    <x v="0"/>
    <x v="2"/>
    <x v="63"/>
    <x v="20"/>
    <x v="241"/>
    <x v="23"/>
    <x v="3"/>
    <x v="1"/>
  </r>
  <r>
    <x v="0"/>
    <x v="164"/>
    <x v="146"/>
    <x v="77"/>
    <x v="118"/>
    <x v="268"/>
    <x v="24"/>
    <x v="463"/>
    <x v="23"/>
    <x v="25"/>
    <x v="362"/>
    <x v="347"/>
    <x v="477"/>
    <x v="477"/>
    <x v="471"/>
    <x v="2"/>
    <x v="473"/>
    <x v="477"/>
    <x v="411"/>
    <x v="0"/>
    <x v="0"/>
    <x v="4"/>
    <x v="67"/>
    <x v="18"/>
    <x v="13"/>
    <x v="12"/>
    <x v="1"/>
    <x v="1"/>
  </r>
  <r>
    <x v="0"/>
    <x v="30"/>
    <x v="312"/>
    <x v="74"/>
    <x v="22"/>
    <x v="294"/>
    <x v="35"/>
    <x v="464"/>
    <x v="10"/>
    <x v="234"/>
    <x v="363"/>
    <x v="415"/>
    <x v="478"/>
    <x v="478"/>
    <x v="472"/>
    <x v="1"/>
    <x v="474"/>
    <x v="478"/>
    <x v="412"/>
    <x v="6"/>
    <x v="0"/>
    <x v="2"/>
    <x v="74"/>
    <x v="12"/>
    <x v="242"/>
    <x v="18"/>
    <x v="1"/>
    <x v="120"/>
  </r>
  <r>
    <x v="0"/>
    <x v="253"/>
    <x v="313"/>
    <x v="18"/>
    <x v="73"/>
    <x v="262"/>
    <x v="49"/>
    <x v="465"/>
    <x v="49"/>
    <x v="86"/>
    <x v="364"/>
    <x v="416"/>
    <x v="479"/>
    <x v="479"/>
    <x v="473"/>
    <x v="1"/>
    <x v="475"/>
    <x v="479"/>
    <x v="413"/>
    <x v="0"/>
    <x v="0"/>
    <x v="0"/>
    <x v="49"/>
    <x v="20"/>
    <x v="243"/>
    <x v="15"/>
    <x v="1"/>
    <x v="121"/>
  </r>
  <r>
    <x v="0"/>
    <x v="254"/>
    <x v="314"/>
    <x v="78"/>
    <x v="169"/>
    <x v="314"/>
    <x v="2"/>
    <x v="466"/>
    <x v="219"/>
    <x v="196"/>
    <x v="365"/>
    <x v="417"/>
    <x v="480"/>
    <x v="480"/>
    <x v="474"/>
    <x v="0"/>
    <x v="476"/>
    <x v="480"/>
    <x v="414"/>
    <x v="0"/>
    <x v="0"/>
    <x v="0"/>
    <x v="67"/>
    <x v="21"/>
    <x v="6"/>
    <x v="43"/>
    <x v="3"/>
    <x v="1"/>
  </r>
  <r>
    <x v="0"/>
    <x v="255"/>
    <x v="167"/>
    <x v="34"/>
    <x v="0"/>
    <x v="315"/>
    <x v="57"/>
    <x v="467"/>
    <x v="220"/>
    <x v="109"/>
    <x v="57"/>
    <x v="418"/>
    <x v="481"/>
    <x v="481"/>
    <x v="475"/>
    <x v="4"/>
    <x v="477"/>
    <x v="481"/>
    <x v="91"/>
    <x v="0"/>
    <x v="0"/>
    <x v="0"/>
    <x v="75"/>
    <x v="12"/>
    <x v="44"/>
    <x v="18"/>
    <x v="3"/>
    <x v="1"/>
  </r>
  <r>
    <x v="0"/>
    <x v="24"/>
    <x v="125"/>
    <x v="11"/>
    <x v="17"/>
    <x v="129"/>
    <x v="24"/>
    <x v="468"/>
    <x v="148"/>
    <x v="131"/>
    <x v="124"/>
    <x v="159"/>
    <x v="482"/>
    <x v="482"/>
    <x v="476"/>
    <x v="3"/>
    <x v="478"/>
    <x v="482"/>
    <x v="415"/>
    <x v="0"/>
    <x v="0"/>
    <x v="0"/>
    <x v="80"/>
    <x v="25"/>
    <x v="87"/>
    <x v="22"/>
    <x v="1"/>
    <x v="1"/>
  </r>
  <r>
    <x v="0"/>
    <x v="256"/>
    <x v="315"/>
    <x v="113"/>
    <x v="170"/>
    <x v="316"/>
    <x v="124"/>
    <x v="4"/>
    <x v="221"/>
    <x v="235"/>
    <x v="366"/>
    <x v="419"/>
    <x v="483"/>
    <x v="483"/>
    <x v="477"/>
    <x v="0"/>
    <x v="479"/>
    <x v="483"/>
    <x v="416"/>
    <x v="3"/>
    <x v="10"/>
    <x v="1"/>
    <x v="4"/>
    <x v="2"/>
    <x v="244"/>
    <x v="21"/>
    <x v="1"/>
    <x v="122"/>
  </r>
  <r>
    <x v="0"/>
    <x v="98"/>
    <x v="299"/>
    <x v="85"/>
    <x v="76"/>
    <x v="317"/>
    <x v="25"/>
    <x v="469"/>
    <x v="51"/>
    <x v="82"/>
    <x v="367"/>
    <x v="420"/>
    <x v="484"/>
    <x v="484"/>
    <x v="271"/>
    <x v="4"/>
    <x v="480"/>
    <x v="484"/>
    <x v="417"/>
    <x v="0"/>
    <x v="0"/>
    <x v="4"/>
    <x v="4"/>
    <x v="13"/>
    <x v="30"/>
    <x v="8"/>
    <x v="1"/>
    <x v="1"/>
  </r>
  <r>
    <x v="0"/>
    <x v="65"/>
    <x v="16"/>
    <x v="71"/>
    <x v="50"/>
    <x v="1"/>
    <x v="57"/>
    <x v="470"/>
    <x v="222"/>
    <x v="99"/>
    <x v="368"/>
    <x v="421"/>
    <x v="485"/>
    <x v="485"/>
    <x v="478"/>
    <x v="7"/>
    <x v="481"/>
    <x v="485"/>
    <x v="418"/>
    <x v="0"/>
    <x v="0"/>
    <x v="0"/>
    <x v="67"/>
    <x v="0"/>
    <x v="30"/>
    <x v="22"/>
    <x v="1"/>
    <x v="1"/>
  </r>
  <r>
    <x v="0"/>
    <x v="146"/>
    <x v="57"/>
    <x v="97"/>
    <x v="108"/>
    <x v="136"/>
    <x v="125"/>
    <x v="471"/>
    <x v="223"/>
    <x v="236"/>
    <x v="369"/>
    <x v="422"/>
    <x v="486"/>
    <x v="486"/>
    <x v="479"/>
    <x v="1"/>
    <x v="482"/>
    <x v="486"/>
    <x v="419"/>
    <x v="0"/>
    <x v="0"/>
    <x v="0"/>
    <x v="67"/>
    <x v="21"/>
    <x v="245"/>
    <x v="11"/>
    <x v="3"/>
    <x v="1"/>
  </r>
  <r>
    <x v="0"/>
    <x v="49"/>
    <x v="258"/>
    <x v="37"/>
    <x v="34"/>
    <x v="302"/>
    <x v="57"/>
    <x v="472"/>
    <x v="51"/>
    <x v="237"/>
    <x v="370"/>
    <x v="423"/>
    <x v="487"/>
    <x v="487"/>
    <x v="480"/>
    <x v="0"/>
    <x v="483"/>
    <x v="487"/>
    <x v="420"/>
    <x v="0"/>
    <x v="0"/>
    <x v="0"/>
    <x v="67"/>
    <x v="25"/>
    <x v="10"/>
    <x v="27"/>
    <x v="3"/>
    <x v="1"/>
  </r>
  <r>
    <x v="0"/>
    <x v="257"/>
    <x v="316"/>
    <x v="101"/>
    <x v="171"/>
    <x v="273"/>
    <x v="126"/>
    <x v="473"/>
    <x v="224"/>
    <x v="238"/>
    <x v="371"/>
    <x v="424"/>
    <x v="488"/>
    <x v="488"/>
    <x v="481"/>
    <x v="0"/>
    <x v="484"/>
    <x v="488"/>
    <x v="421"/>
    <x v="0"/>
    <x v="0"/>
    <x v="2"/>
    <x v="67"/>
    <x v="9"/>
    <x v="246"/>
    <x v="31"/>
    <x v="1"/>
    <x v="1"/>
  </r>
  <r>
    <x v="0"/>
    <x v="258"/>
    <x v="215"/>
    <x v="73"/>
    <x v="172"/>
    <x v="318"/>
    <x v="127"/>
    <x v="474"/>
    <x v="5"/>
    <x v="239"/>
    <x v="294"/>
    <x v="425"/>
    <x v="489"/>
    <x v="489"/>
    <x v="482"/>
    <x v="0"/>
    <x v="485"/>
    <x v="489"/>
    <x v="422"/>
    <x v="0"/>
    <x v="0"/>
    <x v="0"/>
    <x v="87"/>
    <x v="21"/>
    <x v="198"/>
    <x v="52"/>
    <x v="1"/>
    <x v="1"/>
  </r>
  <r>
    <x v="0"/>
    <x v="259"/>
    <x v="217"/>
    <x v="43"/>
    <x v="173"/>
    <x v="195"/>
    <x v="22"/>
    <x v="475"/>
    <x v="85"/>
    <x v="240"/>
    <x v="372"/>
    <x v="426"/>
    <x v="490"/>
    <x v="490"/>
    <x v="483"/>
    <x v="2"/>
    <x v="486"/>
    <x v="490"/>
    <x v="284"/>
    <x v="0"/>
    <x v="8"/>
    <x v="2"/>
    <x v="67"/>
    <x v="17"/>
    <x v="247"/>
    <x v="20"/>
    <x v="1"/>
    <x v="123"/>
  </r>
  <r>
    <x v="1"/>
    <x v="14"/>
    <x v="317"/>
    <x v="34"/>
    <x v="9"/>
    <x v="89"/>
    <x v="128"/>
    <x v="476"/>
    <x v="225"/>
    <x v="241"/>
    <x v="373"/>
    <x v="427"/>
    <x v="491"/>
    <x v="491"/>
    <x v="484"/>
    <x v="2"/>
    <x v="487"/>
    <x v="491"/>
    <x v="423"/>
    <x v="0"/>
    <x v="0"/>
    <x v="0"/>
    <x v="67"/>
    <x v="0"/>
    <x v="248"/>
    <x v="27"/>
    <x v="1"/>
    <x v="1"/>
  </r>
  <r>
    <x v="0"/>
    <x v="105"/>
    <x v="318"/>
    <x v="38"/>
    <x v="83"/>
    <x v="64"/>
    <x v="29"/>
    <x v="477"/>
    <x v="5"/>
    <x v="74"/>
    <x v="374"/>
    <x v="428"/>
    <x v="492"/>
    <x v="492"/>
    <x v="485"/>
    <x v="0"/>
    <x v="488"/>
    <x v="492"/>
    <x v="424"/>
    <x v="0"/>
    <x v="0"/>
    <x v="0"/>
    <x v="67"/>
    <x v="17"/>
    <x v="249"/>
    <x v="23"/>
    <x v="1"/>
    <x v="1"/>
  </r>
  <r>
    <x v="0"/>
    <x v="260"/>
    <x v="212"/>
    <x v="114"/>
    <x v="0"/>
    <x v="52"/>
    <x v="61"/>
    <x v="478"/>
    <x v="40"/>
    <x v="242"/>
    <x v="375"/>
    <x v="429"/>
    <x v="493"/>
    <x v="493"/>
    <x v="486"/>
    <x v="1"/>
    <x v="489"/>
    <x v="493"/>
    <x v="425"/>
    <x v="0"/>
    <x v="0"/>
    <x v="4"/>
    <x v="67"/>
    <x v="13"/>
    <x v="250"/>
    <x v="19"/>
    <x v="1"/>
    <x v="1"/>
  </r>
  <r>
    <x v="0"/>
    <x v="83"/>
    <x v="258"/>
    <x v="55"/>
    <x v="66"/>
    <x v="319"/>
    <x v="0"/>
    <x v="479"/>
    <x v="192"/>
    <x v="243"/>
    <x v="376"/>
    <x v="430"/>
    <x v="494"/>
    <x v="494"/>
    <x v="487"/>
    <x v="0"/>
    <x v="490"/>
    <x v="494"/>
    <x v="404"/>
    <x v="0"/>
    <x v="5"/>
    <x v="3"/>
    <x v="67"/>
    <x v="20"/>
    <x v="251"/>
    <x v="27"/>
    <x v="3"/>
    <x v="124"/>
  </r>
  <r>
    <x v="0"/>
    <x v="108"/>
    <x v="242"/>
    <x v="11"/>
    <x v="74"/>
    <x v="256"/>
    <x v="21"/>
    <x v="480"/>
    <x v="1"/>
    <x v="127"/>
    <x v="377"/>
    <x v="431"/>
    <x v="495"/>
    <x v="495"/>
    <x v="488"/>
    <x v="0"/>
    <x v="491"/>
    <x v="495"/>
    <x v="426"/>
    <x v="0"/>
    <x v="0"/>
    <x v="0"/>
    <x v="63"/>
    <x v="2"/>
    <x v="252"/>
    <x v="19"/>
    <x v="1"/>
    <x v="90"/>
  </r>
  <r>
    <x v="0"/>
    <x v="261"/>
    <x v="118"/>
    <x v="11"/>
    <x v="125"/>
    <x v="298"/>
    <x v="129"/>
    <x v="481"/>
    <x v="222"/>
    <x v="244"/>
    <x v="378"/>
    <x v="432"/>
    <x v="496"/>
    <x v="496"/>
    <x v="489"/>
    <x v="1"/>
    <x v="492"/>
    <x v="496"/>
    <x v="217"/>
    <x v="0"/>
    <x v="0"/>
    <x v="0"/>
    <x v="80"/>
    <x v="21"/>
    <x v="253"/>
    <x v="20"/>
    <x v="1"/>
    <x v="125"/>
  </r>
  <r>
    <x v="0"/>
    <x v="191"/>
    <x v="217"/>
    <x v="50"/>
    <x v="0"/>
    <x v="320"/>
    <x v="130"/>
    <x v="482"/>
    <x v="45"/>
    <x v="245"/>
    <x v="379"/>
    <x v="433"/>
    <x v="497"/>
    <x v="497"/>
    <x v="490"/>
    <x v="0"/>
    <x v="493"/>
    <x v="497"/>
    <x v="398"/>
    <x v="0"/>
    <x v="10"/>
    <x v="2"/>
    <x v="77"/>
    <x v="7"/>
    <x v="254"/>
    <x v="19"/>
    <x v="1"/>
    <x v="113"/>
  </r>
  <r>
    <x v="0"/>
    <x v="262"/>
    <x v="316"/>
    <x v="27"/>
    <x v="117"/>
    <x v="321"/>
    <x v="131"/>
    <x v="483"/>
    <x v="226"/>
    <x v="246"/>
    <x v="380"/>
    <x v="434"/>
    <x v="498"/>
    <x v="498"/>
    <x v="491"/>
    <x v="0"/>
    <x v="494"/>
    <x v="498"/>
    <x v="427"/>
    <x v="3"/>
    <x v="10"/>
    <x v="3"/>
    <x v="88"/>
    <x v="0"/>
    <x v="255"/>
    <x v="6"/>
    <x v="1"/>
    <x v="1"/>
  </r>
  <r>
    <x v="0"/>
    <x v="177"/>
    <x v="316"/>
    <x v="58"/>
    <x v="0"/>
    <x v="322"/>
    <x v="0"/>
    <x v="484"/>
    <x v="24"/>
    <x v="247"/>
    <x v="381"/>
    <x v="435"/>
    <x v="499"/>
    <x v="499"/>
    <x v="492"/>
    <x v="0"/>
    <x v="495"/>
    <x v="499"/>
    <x v="428"/>
    <x v="0"/>
    <x v="1"/>
    <x v="0"/>
    <x v="89"/>
    <x v="12"/>
    <x v="256"/>
    <x v="39"/>
    <x v="1"/>
    <x v="126"/>
  </r>
  <r>
    <x v="0"/>
    <x v="216"/>
    <x v="319"/>
    <x v="72"/>
    <x v="149"/>
    <x v="323"/>
    <x v="132"/>
    <x v="485"/>
    <x v="227"/>
    <x v="248"/>
    <x v="382"/>
    <x v="436"/>
    <x v="500"/>
    <x v="500"/>
    <x v="493"/>
    <x v="0"/>
    <x v="496"/>
    <x v="500"/>
    <x v="429"/>
    <x v="0"/>
    <x v="4"/>
    <x v="0"/>
    <x v="67"/>
    <x v="11"/>
    <x v="97"/>
    <x v="23"/>
    <x v="1"/>
    <x v="35"/>
  </r>
  <r>
    <x v="0"/>
    <x v="263"/>
    <x v="320"/>
    <x v="71"/>
    <x v="0"/>
    <x v="280"/>
    <x v="133"/>
    <x v="4"/>
    <x v="228"/>
    <x v="249"/>
    <x v="383"/>
    <x v="437"/>
    <x v="501"/>
    <x v="501"/>
    <x v="494"/>
    <x v="0"/>
    <x v="4"/>
    <x v="501"/>
    <x v="326"/>
    <x v="6"/>
    <x v="12"/>
    <x v="2"/>
    <x v="83"/>
    <x v="2"/>
    <x v="257"/>
    <x v="46"/>
    <x v="2"/>
    <x v="127"/>
  </r>
  <r>
    <x v="0"/>
    <x v="84"/>
    <x v="317"/>
    <x v="24"/>
    <x v="67"/>
    <x v="70"/>
    <x v="0"/>
    <x v="486"/>
    <x v="113"/>
    <x v="243"/>
    <x v="384"/>
    <x v="86"/>
    <x v="502"/>
    <x v="502"/>
    <x v="495"/>
    <x v="0"/>
    <x v="497"/>
    <x v="502"/>
    <x v="48"/>
    <x v="0"/>
    <x v="0"/>
    <x v="0"/>
    <x v="90"/>
    <x v="18"/>
    <x v="219"/>
    <x v="17"/>
    <x v="3"/>
    <x v="5"/>
  </r>
  <r>
    <x v="0"/>
    <x v="221"/>
    <x v="72"/>
    <x v="115"/>
    <x v="52"/>
    <x v="324"/>
    <x v="35"/>
    <x v="487"/>
    <x v="229"/>
    <x v="91"/>
    <x v="214"/>
    <x v="438"/>
    <x v="503"/>
    <x v="503"/>
    <x v="496"/>
    <x v="0"/>
    <x v="498"/>
    <x v="503"/>
    <x v="430"/>
    <x v="0"/>
    <x v="0"/>
    <x v="3"/>
    <x v="91"/>
    <x v="24"/>
    <x v="144"/>
    <x v="3"/>
    <x v="10"/>
    <x v="16"/>
  </r>
  <r>
    <x v="0"/>
    <x v="149"/>
    <x v="305"/>
    <x v="50"/>
    <x v="110"/>
    <x v="226"/>
    <x v="21"/>
    <x v="488"/>
    <x v="12"/>
    <x v="162"/>
    <x v="141"/>
    <x v="288"/>
    <x v="504"/>
    <x v="504"/>
    <x v="497"/>
    <x v="3"/>
    <x v="499"/>
    <x v="504"/>
    <x v="431"/>
    <x v="0"/>
    <x v="0"/>
    <x v="2"/>
    <x v="86"/>
    <x v="3"/>
    <x v="47"/>
    <x v="27"/>
    <x v="3"/>
    <x v="1"/>
  </r>
  <r>
    <x v="0"/>
    <x v="264"/>
    <x v="244"/>
    <x v="54"/>
    <x v="174"/>
    <x v="325"/>
    <x v="40"/>
    <x v="489"/>
    <x v="230"/>
    <x v="189"/>
    <x v="385"/>
    <x v="439"/>
    <x v="505"/>
    <x v="505"/>
    <x v="498"/>
    <x v="0"/>
    <x v="500"/>
    <x v="505"/>
    <x v="432"/>
    <x v="0"/>
    <x v="0"/>
    <x v="2"/>
    <x v="54"/>
    <x v="9"/>
    <x v="258"/>
    <x v="12"/>
    <x v="1"/>
    <x v="61"/>
  </r>
  <r>
    <x v="0"/>
    <x v="25"/>
    <x v="134"/>
    <x v="23"/>
    <x v="18"/>
    <x v="326"/>
    <x v="13"/>
    <x v="490"/>
    <x v="168"/>
    <x v="93"/>
    <x v="129"/>
    <x v="440"/>
    <x v="506"/>
    <x v="506"/>
    <x v="499"/>
    <x v="0"/>
    <x v="501"/>
    <x v="506"/>
    <x v="433"/>
    <x v="0"/>
    <x v="8"/>
    <x v="4"/>
    <x v="54"/>
    <x v="19"/>
    <x v="47"/>
    <x v="13"/>
    <x v="1"/>
    <x v="1"/>
  </r>
  <r>
    <x v="0"/>
    <x v="90"/>
    <x v="321"/>
    <x v="16"/>
    <x v="71"/>
    <x v="1"/>
    <x v="6"/>
    <x v="491"/>
    <x v="10"/>
    <x v="6"/>
    <x v="370"/>
    <x v="228"/>
    <x v="507"/>
    <x v="507"/>
    <x v="500"/>
    <x v="1"/>
    <x v="502"/>
    <x v="507"/>
    <x v="55"/>
    <x v="0"/>
    <x v="0"/>
    <x v="0"/>
    <x v="32"/>
    <x v="14"/>
    <x v="10"/>
    <x v="10"/>
    <x v="1"/>
    <x v="1"/>
  </r>
  <r>
    <x v="0"/>
    <x v="206"/>
    <x v="150"/>
    <x v="43"/>
    <x v="145"/>
    <x v="327"/>
    <x v="21"/>
    <x v="492"/>
    <x v="125"/>
    <x v="210"/>
    <x v="288"/>
    <x v="441"/>
    <x v="508"/>
    <x v="508"/>
    <x v="501"/>
    <x v="4"/>
    <x v="503"/>
    <x v="508"/>
    <x v="434"/>
    <x v="0"/>
    <x v="0"/>
    <x v="2"/>
    <x v="86"/>
    <x v="10"/>
    <x v="6"/>
    <x v="53"/>
    <x v="3"/>
    <x v="1"/>
  </r>
  <r>
    <x v="0"/>
    <x v="265"/>
    <x v="322"/>
    <x v="86"/>
    <x v="175"/>
    <x v="328"/>
    <x v="29"/>
    <x v="493"/>
    <x v="23"/>
    <x v="74"/>
    <x v="271"/>
    <x v="442"/>
    <x v="509"/>
    <x v="509"/>
    <x v="502"/>
    <x v="7"/>
    <x v="504"/>
    <x v="509"/>
    <x v="406"/>
    <x v="0"/>
    <x v="0"/>
    <x v="0"/>
    <x v="92"/>
    <x v="17"/>
    <x v="183"/>
    <x v="18"/>
    <x v="1"/>
    <x v="1"/>
  </r>
  <r>
    <x v="0"/>
    <x v="117"/>
    <x v="323"/>
    <x v="26"/>
    <x v="91"/>
    <x v="73"/>
    <x v="25"/>
    <x v="494"/>
    <x v="231"/>
    <x v="30"/>
    <x v="6"/>
    <x v="90"/>
    <x v="510"/>
    <x v="510"/>
    <x v="503"/>
    <x v="1"/>
    <x v="505"/>
    <x v="510"/>
    <x v="398"/>
    <x v="0"/>
    <x v="10"/>
    <x v="2"/>
    <x v="93"/>
    <x v="2"/>
    <x v="6"/>
    <x v="6"/>
    <x v="1"/>
    <x v="77"/>
  </r>
  <r>
    <x v="0"/>
    <x v="266"/>
    <x v="221"/>
    <x v="77"/>
    <x v="114"/>
    <x v="329"/>
    <x v="0"/>
    <x v="495"/>
    <x v="232"/>
    <x v="229"/>
    <x v="386"/>
    <x v="443"/>
    <x v="511"/>
    <x v="511"/>
    <x v="504"/>
    <x v="4"/>
    <x v="506"/>
    <x v="511"/>
    <x v="155"/>
    <x v="0"/>
    <x v="0"/>
    <x v="0"/>
    <x v="67"/>
    <x v="1"/>
    <x v="259"/>
    <x v="18"/>
    <x v="3"/>
    <x v="1"/>
  </r>
  <r>
    <x v="0"/>
    <x v="267"/>
    <x v="324"/>
    <x v="80"/>
    <x v="78"/>
    <x v="330"/>
    <x v="13"/>
    <x v="496"/>
    <x v="21"/>
    <x v="158"/>
    <x v="387"/>
    <x v="444"/>
    <x v="512"/>
    <x v="512"/>
    <x v="505"/>
    <x v="0"/>
    <x v="507"/>
    <x v="512"/>
    <x v="435"/>
    <x v="0"/>
    <x v="0"/>
    <x v="2"/>
    <x v="92"/>
    <x v="21"/>
    <x v="30"/>
    <x v="54"/>
    <x v="3"/>
    <x v="128"/>
  </r>
  <r>
    <x v="0"/>
    <x v="268"/>
    <x v="159"/>
    <x v="101"/>
    <x v="31"/>
    <x v="331"/>
    <x v="0"/>
    <x v="497"/>
    <x v="233"/>
    <x v="250"/>
    <x v="388"/>
    <x v="445"/>
    <x v="513"/>
    <x v="513"/>
    <x v="506"/>
    <x v="0"/>
    <x v="508"/>
    <x v="513"/>
    <x v="293"/>
    <x v="0"/>
    <x v="7"/>
    <x v="2"/>
    <x v="74"/>
    <x v="6"/>
    <x v="260"/>
    <x v="2"/>
    <x v="3"/>
    <x v="88"/>
  </r>
  <r>
    <x v="1"/>
    <x v="269"/>
    <x v="242"/>
    <x v="47"/>
    <x v="176"/>
    <x v="142"/>
    <x v="0"/>
    <x v="498"/>
    <x v="0"/>
    <x v="251"/>
    <x v="389"/>
    <x v="173"/>
    <x v="514"/>
    <x v="514"/>
    <x v="507"/>
    <x v="3"/>
    <x v="509"/>
    <x v="514"/>
    <x v="436"/>
    <x v="0"/>
    <x v="0"/>
    <x v="0"/>
    <x v="54"/>
    <x v="17"/>
    <x v="261"/>
    <x v="27"/>
    <x v="1"/>
    <x v="1"/>
  </r>
  <r>
    <x v="0"/>
    <x v="270"/>
    <x v="49"/>
    <x v="42"/>
    <x v="177"/>
    <x v="1"/>
    <x v="134"/>
    <x v="499"/>
    <x v="165"/>
    <x v="252"/>
    <x v="390"/>
    <x v="110"/>
    <x v="515"/>
    <x v="515"/>
    <x v="508"/>
    <x v="0"/>
    <x v="510"/>
    <x v="515"/>
    <x v="437"/>
    <x v="0"/>
    <x v="0"/>
    <x v="2"/>
    <x v="92"/>
    <x v="9"/>
    <x v="12"/>
    <x v="7"/>
    <x v="3"/>
    <x v="15"/>
  </r>
  <r>
    <x v="0"/>
    <x v="42"/>
    <x v="112"/>
    <x v="39"/>
    <x v="30"/>
    <x v="332"/>
    <x v="14"/>
    <x v="500"/>
    <x v="5"/>
    <x v="14"/>
    <x v="198"/>
    <x v="446"/>
    <x v="516"/>
    <x v="516"/>
    <x v="509"/>
    <x v="0"/>
    <x v="511"/>
    <x v="516"/>
    <x v="438"/>
    <x v="0"/>
    <x v="0"/>
    <x v="0"/>
    <x v="74"/>
    <x v="25"/>
    <x v="12"/>
    <x v="8"/>
    <x v="1"/>
    <x v="37"/>
  </r>
  <r>
    <x v="0"/>
    <x v="38"/>
    <x v="325"/>
    <x v="74"/>
    <x v="25"/>
    <x v="217"/>
    <x v="135"/>
    <x v="501"/>
    <x v="5"/>
    <x v="253"/>
    <x v="391"/>
    <x v="447"/>
    <x v="517"/>
    <x v="517"/>
    <x v="510"/>
    <x v="0"/>
    <x v="512"/>
    <x v="517"/>
    <x v="439"/>
    <x v="0"/>
    <x v="0"/>
    <x v="0"/>
    <x v="94"/>
    <x v="13"/>
    <x v="262"/>
    <x v="12"/>
    <x v="3"/>
    <x v="1"/>
  </r>
  <r>
    <x v="0"/>
    <x v="79"/>
    <x v="198"/>
    <x v="107"/>
    <x v="62"/>
    <x v="132"/>
    <x v="54"/>
    <x v="502"/>
    <x v="29"/>
    <x v="96"/>
    <x v="392"/>
    <x v="162"/>
    <x v="518"/>
    <x v="518"/>
    <x v="511"/>
    <x v="0"/>
    <x v="513"/>
    <x v="518"/>
    <x v="440"/>
    <x v="0"/>
    <x v="0"/>
    <x v="2"/>
    <x v="74"/>
    <x v="12"/>
    <x v="263"/>
    <x v="8"/>
    <x v="3"/>
    <x v="1"/>
  </r>
  <r>
    <x v="0"/>
    <x v="122"/>
    <x v="326"/>
    <x v="56"/>
    <x v="0"/>
    <x v="325"/>
    <x v="17"/>
    <x v="503"/>
    <x v="211"/>
    <x v="41"/>
    <x v="393"/>
    <x v="448"/>
    <x v="519"/>
    <x v="519"/>
    <x v="512"/>
    <x v="0"/>
    <x v="514"/>
    <x v="519"/>
    <x v="441"/>
    <x v="0"/>
    <x v="0"/>
    <x v="4"/>
    <x v="92"/>
    <x v="7"/>
    <x v="264"/>
    <x v="0"/>
    <x v="3"/>
    <x v="16"/>
  </r>
  <r>
    <x v="0"/>
    <x v="11"/>
    <x v="327"/>
    <x v="27"/>
    <x v="0"/>
    <x v="333"/>
    <x v="24"/>
    <x v="504"/>
    <x v="5"/>
    <x v="25"/>
    <x v="394"/>
    <x v="449"/>
    <x v="520"/>
    <x v="520"/>
    <x v="513"/>
    <x v="0"/>
    <x v="515"/>
    <x v="520"/>
    <x v="442"/>
    <x v="0"/>
    <x v="0"/>
    <x v="0"/>
    <x v="74"/>
    <x v="21"/>
    <x v="265"/>
    <x v="38"/>
    <x v="1"/>
    <x v="1"/>
  </r>
  <r>
    <x v="0"/>
    <x v="204"/>
    <x v="260"/>
    <x v="47"/>
    <x v="144"/>
    <x v="32"/>
    <x v="2"/>
    <x v="505"/>
    <x v="234"/>
    <x v="60"/>
    <x v="65"/>
    <x v="39"/>
    <x v="521"/>
    <x v="521"/>
    <x v="514"/>
    <x v="0"/>
    <x v="516"/>
    <x v="521"/>
    <x v="361"/>
    <x v="0"/>
    <x v="0"/>
    <x v="4"/>
    <x v="74"/>
    <x v="8"/>
    <x v="6"/>
    <x v="10"/>
    <x v="1"/>
    <x v="1"/>
  </r>
  <r>
    <x v="0"/>
    <x v="27"/>
    <x v="270"/>
    <x v="16"/>
    <x v="0"/>
    <x v="317"/>
    <x v="25"/>
    <x v="506"/>
    <x v="2"/>
    <x v="76"/>
    <x v="395"/>
    <x v="450"/>
    <x v="522"/>
    <x v="522"/>
    <x v="515"/>
    <x v="1"/>
    <x v="517"/>
    <x v="522"/>
    <x v="359"/>
    <x v="0"/>
    <x v="0"/>
    <x v="4"/>
    <x v="74"/>
    <x v="25"/>
    <x v="12"/>
    <x v="38"/>
    <x v="1"/>
    <x v="69"/>
  </r>
  <r>
    <x v="0"/>
    <x v="128"/>
    <x v="328"/>
    <x v="69"/>
    <x v="95"/>
    <x v="153"/>
    <x v="103"/>
    <x v="507"/>
    <x v="73"/>
    <x v="190"/>
    <x v="396"/>
    <x v="451"/>
    <x v="523"/>
    <x v="523"/>
    <x v="208"/>
    <x v="0"/>
    <x v="518"/>
    <x v="523"/>
    <x v="130"/>
    <x v="0"/>
    <x v="0"/>
    <x v="2"/>
    <x v="67"/>
    <x v="7"/>
    <x v="266"/>
    <x v="8"/>
    <x v="3"/>
    <x v="1"/>
  </r>
  <r>
    <x v="0"/>
    <x v="231"/>
    <x v="304"/>
    <x v="77"/>
    <x v="156"/>
    <x v="334"/>
    <x v="2"/>
    <x v="508"/>
    <x v="127"/>
    <x v="196"/>
    <x v="397"/>
    <x v="452"/>
    <x v="524"/>
    <x v="524"/>
    <x v="516"/>
    <x v="4"/>
    <x v="519"/>
    <x v="524"/>
    <x v="253"/>
    <x v="0"/>
    <x v="0"/>
    <x v="0"/>
    <x v="74"/>
    <x v="14"/>
    <x v="267"/>
    <x v="2"/>
    <x v="1"/>
    <x v="59"/>
  </r>
  <r>
    <x v="0"/>
    <x v="239"/>
    <x v="66"/>
    <x v="85"/>
    <x v="160"/>
    <x v="335"/>
    <x v="136"/>
    <x v="509"/>
    <x v="235"/>
    <x v="254"/>
    <x v="398"/>
    <x v="453"/>
    <x v="525"/>
    <x v="525"/>
    <x v="517"/>
    <x v="12"/>
    <x v="520"/>
    <x v="525"/>
    <x v="443"/>
    <x v="0"/>
    <x v="0"/>
    <x v="2"/>
    <x v="74"/>
    <x v="1"/>
    <x v="268"/>
    <x v="10"/>
    <x v="1"/>
    <x v="1"/>
  </r>
  <r>
    <x v="0"/>
    <x v="200"/>
    <x v="111"/>
    <x v="31"/>
    <x v="140"/>
    <x v="105"/>
    <x v="62"/>
    <x v="510"/>
    <x v="236"/>
    <x v="106"/>
    <x v="399"/>
    <x v="454"/>
    <x v="526"/>
    <x v="526"/>
    <x v="518"/>
    <x v="0"/>
    <x v="521"/>
    <x v="526"/>
    <x v="429"/>
    <x v="0"/>
    <x v="0"/>
    <x v="4"/>
    <x v="95"/>
    <x v="14"/>
    <x v="259"/>
    <x v="37"/>
    <x v="4"/>
    <x v="129"/>
  </r>
  <r>
    <x v="0"/>
    <x v="271"/>
    <x v="266"/>
    <x v="47"/>
    <x v="106"/>
    <x v="77"/>
    <x v="35"/>
    <x v="511"/>
    <x v="237"/>
    <x v="91"/>
    <x v="241"/>
    <x v="98"/>
    <x v="527"/>
    <x v="527"/>
    <x v="519"/>
    <x v="0"/>
    <x v="522"/>
    <x v="527"/>
    <x v="444"/>
    <x v="0"/>
    <x v="0"/>
    <x v="2"/>
    <x v="74"/>
    <x v="15"/>
    <x v="162"/>
    <x v="54"/>
    <x v="3"/>
    <x v="130"/>
  </r>
  <r>
    <x v="0"/>
    <x v="112"/>
    <x v="60"/>
    <x v="31"/>
    <x v="49"/>
    <x v="17"/>
    <x v="2"/>
    <x v="512"/>
    <x v="180"/>
    <x v="130"/>
    <x v="400"/>
    <x v="455"/>
    <x v="528"/>
    <x v="528"/>
    <x v="520"/>
    <x v="5"/>
    <x v="523"/>
    <x v="528"/>
    <x v="103"/>
    <x v="0"/>
    <x v="0"/>
    <x v="0"/>
    <x v="74"/>
    <x v="9"/>
    <x v="269"/>
    <x v="11"/>
    <x v="1"/>
    <x v="131"/>
  </r>
  <r>
    <x v="0"/>
    <x v="206"/>
    <x v="200"/>
    <x v="58"/>
    <x v="145"/>
    <x v="6"/>
    <x v="25"/>
    <x v="513"/>
    <x v="125"/>
    <x v="26"/>
    <x v="288"/>
    <x v="456"/>
    <x v="529"/>
    <x v="529"/>
    <x v="521"/>
    <x v="2"/>
    <x v="524"/>
    <x v="529"/>
    <x v="445"/>
    <x v="0"/>
    <x v="0"/>
    <x v="0"/>
    <x v="67"/>
    <x v="5"/>
    <x v="6"/>
    <x v="19"/>
    <x v="3"/>
    <x v="85"/>
  </r>
  <r>
    <x v="0"/>
    <x v="38"/>
    <x v="285"/>
    <x v="57"/>
    <x v="25"/>
    <x v="336"/>
    <x v="10"/>
    <x v="514"/>
    <x v="200"/>
    <x v="33"/>
    <x v="401"/>
    <x v="457"/>
    <x v="530"/>
    <x v="530"/>
    <x v="522"/>
    <x v="0"/>
    <x v="525"/>
    <x v="530"/>
    <x v="446"/>
    <x v="0"/>
    <x v="0"/>
    <x v="0"/>
    <x v="81"/>
    <x v="14"/>
    <x v="270"/>
    <x v="11"/>
    <x v="3"/>
    <x v="37"/>
  </r>
  <r>
    <x v="0"/>
    <x v="113"/>
    <x v="329"/>
    <x v="116"/>
    <x v="88"/>
    <x v="337"/>
    <x v="0"/>
    <x v="4"/>
    <x v="64"/>
    <x v="255"/>
    <x v="402"/>
    <x v="458"/>
    <x v="531"/>
    <x v="531"/>
    <x v="523"/>
    <x v="1"/>
    <x v="526"/>
    <x v="531"/>
    <x v="447"/>
    <x v="0"/>
    <x v="0"/>
    <x v="5"/>
    <x v="4"/>
    <x v="4"/>
    <x v="178"/>
    <x v="7"/>
    <x v="12"/>
    <x v="7"/>
  </r>
  <r>
    <x v="0"/>
    <x v="208"/>
    <x v="283"/>
    <x v="7"/>
    <x v="146"/>
    <x v="338"/>
    <x v="22"/>
    <x v="515"/>
    <x v="238"/>
    <x v="202"/>
    <x v="403"/>
    <x v="459"/>
    <x v="532"/>
    <x v="532"/>
    <x v="524"/>
    <x v="2"/>
    <x v="527"/>
    <x v="532"/>
    <x v="448"/>
    <x v="0"/>
    <x v="0"/>
    <x v="2"/>
    <x v="82"/>
    <x v="0"/>
    <x v="271"/>
    <x v="28"/>
    <x v="3"/>
    <x v="103"/>
  </r>
  <r>
    <x v="0"/>
    <x v="30"/>
    <x v="295"/>
    <x v="23"/>
    <x v="22"/>
    <x v="13"/>
    <x v="137"/>
    <x v="516"/>
    <x v="51"/>
    <x v="256"/>
    <x v="173"/>
    <x v="142"/>
    <x v="533"/>
    <x v="533"/>
    <x v="525"/>
    <x v="0"/>
    <x v="528"/>
    <x v="533"/>
    <x v="449"/>
    <x v="0"/>
    <x v="0"/>
    <x v="0"/>
    <x v="74"/>
    <x v="21"/>
    <x v="117"/>
    <x v="18"/>
    <x v="3"/>
    <x v="1"/>
  </r>
  <r>
    <x v="0"/>
    <x v="272"/>
    <x v="267"/>
    <x v="58"/>
    <x v="0"/>
    <x v="339"/>
    <x v="13"/>
    <x v="517"/>
    <x v="239"/>
    <x v="93"/>
    <x v="404"/>
    <x v="460"/>
    <x v="534"/>
    <x v="534"/>
    <x v="526"/>
    <x v="1"/>
    <x v="529"/>
    <x v="534"/>
    <x v="316"/>
    <x v="0"/>
    <x v="0"/>
    <x v="4"/>
    <x v="74"/>
    <x v="1"/>
    <x v="28"/>
    <x v="1"/>
    <x v="3"/>
    <x v="1"/>
  </r>
  <r>
    <x v="0"/>
    <x v="193"/>
    <x v="262"/>
    <x v="78"/>
    <x v="123"/>
    <x v="21"/>
    <x v="13"/>
    <x v="518"/>
    <x v="29"/>
    <x v="158"/>
    <x v="405"/>
    <x v="461"/>
    <x v="535"/>
    <x v="535"/>
    <x v="527"/>
    <x v="0"/>
    <x v="530"/>
    <x v="535"/>
    <x v="160"/>
    <x v="0"/>
    <x v="0"/>
    <x v="2"/>
    <x v="74"/>
    <x v="14"/>
    <x v="53"/>
    <x v="19"/>
    <x v="3"/>
    <x v="1"/>
  </r>
  <r>
    <x v="0"/>
    <x v="111"/>
    <x v="330"/>
    <x v="29"/>
    <x v="87"/>
    <x v="193"/>
    <x v="138"/>
    <x v="519"/>
    <x v="240"/>
    <x v="257"/>
    <x v="406"/>
    <x v="243"/>
    <x v="536"/>
    <x v="536"/>
    <x v="528"/>
    <x v="0"/>
    <x v="531"/>
    <x v="536"/>
    <x v="311"/>
    <x v="0"/>
    <x v="0"/>
    <x v="0"/>
    <x v="80"/>
    <x v="7"/>
    <x v="272"/>
    <x v="12"/>
    <x v="1"/>
    <x v="1"/>
  </r>
  <r>
    <x v="0"/>
    <x v="113"/>
    <x v="329"/>
    <x v="117"/>
    <x v="88"/>
    <x v="298"/>
    <x v="139"/>
    <x v="4"/>
    <x v="241"/>
    <x v="258"/>
    <x v="407"/>
    <x v="462"/>
    <x v="537"/>
    <x v="537"/>
    <x v="529"/>
    <x v="1"/>
    <x v="532"/>
    <x v="537"/>
    <x v="450"/>
    <x v="0"/>
    <x v="0"/>
    <x v="1"/>
    <x v="4"/>
    <x v="4"/>
    <x v="273"/>
    <x v="24"/>
    <x v="2"/>
    <x v="1"/>
  </r>
  <r>
    <x v="0"/>
    <x v="273"/>
    <x v="331"/>
    <x v="34"/>
    <x v="70"/>
    <x v="134"/>
    <x v="25"/>
    <x v="520"/>
    <x v="242"/>
    <x v="138"/>
    <x v="408"/>
    <x v="268"/>
    <x v="538"/>
    <x v="538"/>
    <x v="530"/>
    <x v="2"/>
    <x v="533"/>
    <x v="538"/>
    <x v="451"/>
    <x v="0"/>
    <x v="0"/>
    <x v="0"/>
    <x v="96"/>
    <x v="12"/>
    <x v="30"/>
    <x v="20"/>
    <x v="14"/>
    <x v="1"/>
  </r>
  <r>
    <x v="0"/>
    <x v="38"/>
    <x v="53"/>
    <x v="118"/>
    <x v="25"/>
    <x v="340"/>
    <x v="140"/>
    <x v="521"/>
    <x v="223"/>
    <x v="259"/>
    <x v="409"/>
    <x v="463"/>
    <x v="539"/>
    <x v="539"/>
    <x v="531"/>
    <x v="0"/>
    <x v="534"/>
    <x v="539"/>
    <x v="306"/>
    <x v="0"/>
    <x v="10"/>
    <x v="4"/>
    <x v="80"/>
    <x v="12"/>
    <x v="274"/>
    <x v="32"/>
    <x v="1"/>
    <x v="1"/>
  </r>
  <r>
    <x v="0"/>
    <x v="274"/>
    <x v="332"/>
    <x v="30"/>
    <x v="178"/>
    <x v="341"/>
    <x v="57"/>
    <x v="522"/>
    <x v="149"/>
    <x v="99"/>
    <x v="290"/>
    <x v="464"/>
    <x v="540"/>
    <x v="540"/>
    <x v="532"/>
    <x v="1"/>
    <x v="535"/>
    <x v="540"/>
    <x v="318"/>
    <x v="0"/>
    <x v="0"/>
    <x v="4"/>
    <x v="80"/>
    <x v="17"/>
    <x v="30"/>
    <x v="4"/>
    <x v="1"/>
    <x v="1"/>
  </r>
  <r>
    <x v="0"/>
    <x v="275"/>
    <x v="321"/>
    <x v="7"/>
    <x v="179"/>
    <x v="289"/>
    <x v="32"/>
    <x v="523"/>
    <x v="243"/>
    <x v="260"/>
    <x v="155"/>
    <x v="380"/>
    <x v="541"/>
    <x v="541"/>
    <x v="533"/>
    <x v="4"/>
    <x v="536"/>
    <x v="541"/>
    <x v="452"/>
    <x v="0"/>
    <x v="0"/>
    <x v="0"/>
    <x v="74"/>
    <x v="5"/>
    <x v="30"/>
    <x v="28"/>
    <x v="1"/>
    <x v="1"/>
  </r>
  <r>
    <x v="0"/>
    <x v="129"/>
    <x v="95"/>
    <x v="38"/>
    <x v="0"/>
    <x v="342"/>
    <x v="10"/>
    <x v="524"/>
    <x v="121"/>
    <x v="10"/>
    <x v="44"/>
    <x v="465"/>
    <x v="542"/>
    <x v="542"/>
    <x v="534"/>
    <x v="4"/>
    <x v="537"/>
    <x v="542"/>
    <x v="175"/>
    <x v="0"/>
    <x v="0"/>
    <x v="0"/>
    <x v="74"/>
    <x v="2"/>
    <x v="34"/>
    <x v="11"/>
    <x v="1"/>
    <x v="132"/>
  </r>
  <r>
    <x v="0"/>
    <x v="140"/>
    <x v="310"/>
    <x v="22"/>
    <x v="40"/>
    <x v="343"/>
    <x v="2"/>
    <x v="525"/>
    <x v="105"/>
    <x v="196"/>
    <x v="410"/>
    <x v="466"/>
    <x v="543"/>
    <x v="543"/>
    <x v="535"/>
    <x v="4"/>
    <x v="538"/>
    <x v="543"/>
    <x v="329"/>
    <x v="0"/>
    <x v="0"/>
    <x v="0"/>
    <x v="67"/>
    <x v="14"/>
    <x v="275"/>
    <x v="12"/>
    <x v="3"/>
    <x v="1"/>
  </r>
  <r>
    <x v="0"/>
    <x v="276"/>
    <x v="136"/>
    <x v="43"/>
    <x v="180"/>
    <x v="289"/>
    <x v="25"/>
    <x v="526"/>
    <x v="244"/>
    <x v="26"/>
    <x v="411"/>
    <x v="380"/>
    <x v="544"/>
    <x v="544"/>
    <x v="536"/>
    <x v="0"/>
    <x v="539"/>
    <x v="544"/>
    <x v="453"/>
    <x v="0"/>
    <x v="0"/>
    <x v="2"/>
    <x v="74"/>
    <x v="7"/>
    <x v="276"/>
    <x v="4"/>
    <x v="1"/>
    <x v="1"/>
  </r>
  <r>
    <x v="0"/>
    <x v="277"/>
    <x v="125"/>
    <x v="32"/>
    <x v="181"/>
    <x v="344"/>
    <x v="57"/>
    <x v="527"/>
    <x v="245"/>
    <x v="99"/>
    <x v="412"/>
    <x v="467"/>
    <x v="545"/>
    <x v="545"/>
    <x v="537"/>
    <x v="4"/>
    <x v="540"/>
    <x v="545"/>
    <x v="292"/>
    <x v="0"/>
    <x v="0"/>
    <x v="0"/>
    <x v="67"/>
    <x v="18"/>
    <x v="277"/>
    <x v="4"/>
    <x v="1"/>
    <x v="1"/>
  </r>
  <r>
    <x v="0"/>
    <x v="278"/>
    <x v="302"/>
    <x v="90"/>
    <x v="182"/>
    <x v="251"/>
    <x v="108"/>
    <x v="528"/>
    <x v="246"/>
    <x v="261"/>
    <x v="413"/>
    <x v="468"/>
    <x v="546"/>
    <x v="546"/>
    <x v="538"/>
    <x v="3"/>
    <x v="541"/>
    <x v="546"/>
    <x v="454"/>
    <x v="0"/>
    <x v="0"/>
    <x v="0"/>
    <x v="97"/>
    <x v="16"/>
    <x v="278"/>
    <x v="18"/>
    <x v="3"/>
    <x v="1"/>
  </r>
  <r>
    <x v="0"/>
    <x v="279"/>
    <x v="74"/>
    <x v="2"/>
    <x v="183"/>
    <x v="345"/>
    <x v="141"/>
    <x v="529"/>
    <x v="247"/>
    <x v="262"/>
    <x v="414"/>
    <x v="469"/>
    <x v="547"/>
    <x v="547"/>
    <x v="539"/>
    <x v="4"/>
    <x v="542"/>
    <x v="547"/>
    <x v="287"/>
    <x v="0"/>
    <x v="0"/>
    <x v="0"/>
    <x v="74"/>
    <x v="15"/>
    <x v="279"/>
    <x v="10"/>
    <x v="1"/>
    <x v="1"/>
  </r>
  <r>
    <x v="0"/>
    <x v="228"/>
    <x v="62"/>
    <x v="47"/>
    <x v="155"/>
    <x v="346"/>
    <x v="10"/>
    <x v="530"/>
    <x v="248"/>
    <x v="10"/>
    <x v="415"/>
    <x v="470"/>
    <x v="548"/>
    <x v="548"/>
    <x v="540"/>
    <x v="1"/>
    <x v="543"/>
    <x v="548"/>
    <x v="415"/>
    <x v="0"/>
    <x v="0"/>
    <x v="4"/>
    <x v="74"/>
    <x v="10"/>
    <x v="30"/>
    <x v="9"/>
    <x v="3"/>
    <x v="26"/>
  </r>
  <r>
    <x v="0"/>
    <x v="280"/>
    <x v="194"/>
    <x v="18"/>
    <x v="184"/>
    <x v="71"/>
    <x v="38"/>
    <x v="531"/>
    <x v="80"/>
    <x v="55"/>
    <x v="259"/>
    <x v="471"/>
    <x v="549"/>
    <x v="549"/>
    <x v="541"/>
    <x v="0"/>
    <x v="544"/>
    <x v="549"/>
    <x v="160"/>
    <x v="0"/>
    <x v="0"/>
    <x v="4"/>
    <x v="89"/>
    <x v="12"/>
    <x v="44"/>
    <x v="4"/>
    <x v="1"/>
    <x v="1"/>
  </r>
  <r>
    <x v="0"/>
    <x v="281"/>
    <x v="333"/>
    <x v="50"/>
    <x v="185"/>
    <x v="252"/>
    <x v="57"/>
    <x v="532"/>
    <x v="249"/>
    <x v="109"/>
    <x v="387"/>
    <x v="472"/>
    <x v="550"/>
    <x v="550"/>
    <x v="542"/>
    <x v="0"/>
    <x v="545"/>
    <x v="550"/>
    <x v="455"/>
    <x v="0"/>
    <x v="0"/>
    <x v="2"/>
    <x v="74"/>
    <x v="21"/>
    <x v="30"/>
    <x v="4"/>
    <x v="1"/>
    <x v="1"/>
  </r>
  <r>
    <x v="0"/>
    <x v="282"/>
    <x v="125"/>
    <x v="38"/>
    <x v="186"/>
    <x v="347"/>
    <x v="2"/>
    <x v="533"/>
    <x v="26"/>
    <x v="42"/>
    <x v="42"/>
    <x v="473"/>
    <x v="551"/>
    <x v="551"/>
    <x v="543"/>
    <x v="4"/>
    <x v="546"/>
    <x v="551"/>
    <x v="351"/>
    <x v="0"/>
    <x v="0"/>
    <x v="0"/>
    <x v="74"/>
    <x v="17"/>
    <x v="233"/>
    <x v="43"/>
    <x v="1"/>
    <x v="133"/>
  </r>
  <r>
    <x v="0"/>
    <x v="216"/>
    <x v="334"/>
    <x v="77"/>
    <x v="149"/>
    <x v="196"/>
    <x v="142"/>
    <x v="534"/>
    <x v="250"/>
    <x v="263"/>
    <x v="416"/>
    <x v="474"/>
    <x v="552"/>
    <x v="552"/>
    <x v="544"/>
    <x v="1"/>
    <x v="547"/>
    <x v="552"/>
    <x v="456"/>
    <x v="0"/>
    <x v="1"/>
    <x v="4"/>
    <x v="74"/>
    <x v="20"/>
    <x v="119"/>
    <x v="19"/>
    <x v="1"/>
    <x v="1"/>
  </r>
  <r>
    <x v="0"/>
    <x v="283"/>
    <x v="335"/>
    <x v="95"/>
    <x v="123"/>
    <x v="105"/>
    <x v="22"/>
    <x v="535"/>
    <x v="251"/>
    <x v="264"/>
    <x v="417"/>
    <x v="475"/>
    <x v="553"/>
    <x v="553"/>
    <x v="545"/>
    <x v="0"/>
    <x v="548"/>
    <x v="553"/>
    <x v="119"/>
    <x v="0"/>
    <x v="0"/>
    <x v="0"/>
    <x v="4"/>
    <x v="0"/>
    <x v="280"/>
    <x v="19"/>
    <x v="1"/>
    <x v="1"/>
  </r>
  <r>
    <x v="0"/>
    <x v="284"/>
    <x v="336"/>
    <x v="41"/>
    <x v="187"/>
    <x v="348"/>
    <x v="22"/>
    <x v="536"/>
    <x v="252"/>
    <x v="240"/>
    <x v="418"/>
    <x v="476"/>
    <x v="554"/>
    <x v="554"/>
    <x v="546"/>
    <x v="0"/>
    <x v="549"/>
    <x v="554"/>
    <x v="372"/>
    <x v="0"/>
    <x v="0"/>
    <x v="0"/>
    <x v="74"/>
    <x v="18"/>
    <x v="281"/>
    <x v="55"/>
    <x v="3"/>
    <x v="134"/>
  </r>
  <r>
    <x v="0"/>
    <x v="198"/>
    <x v="277"/>
    <x v="18"/>
    <x v="140"/>
    <x v="239"/>
    <x v="35"/>
    <x v="537"/>
    <x v="51"/>
    <x v="184"/>
    <x v="419"/>
    <x v="304"/>
    <x v="555"/>
    <x v="555"/>
    <x v="547"/>
    <x v="2"/>
    <x v="550"/>
    <x v="555"/>
    <x v="321"/>
    <x v="0"/>
    <x v="0"/>
    <x v="0"/>
    <x v="91"/>
    <x v="14"/>
    <x v="282"/>
    <x v="9"/>
    <x v="1"/>
    <x v="103"/>
  </r>
  <r>
    <x v="0"/>
    <x v="93"/>
    <x v="170"/>
    <x v="11"/>
    <x v="0"/>
    <x v="17"/>
    <x v="11"/>
    <x v="538"/>
    <x v="178"/>
    <x v="49"/>
    <x v="259"/>
    <x v="455"/>
    <x v="556"/>
    <x v="556"/>
    <x v="548"/>
    <x v="0"/>
    <x v="551"/>
    <x v="556"/>
    <x v="457"/>
    <x v="0"/>
    <x v="0"/>
    <x v="0"/>
    <x v="74"/>
    <x v="21"/>
    <x v="44"/>
    <x v="13"/>
    <x v="1"/>
    <x v="1"/>
  </r>
  <r>
    <x v="0"/>
    <x v="285"/>
    <x v="250"/>
    <x v="43"/>
    <x v="188"/>
    <x v="1"/>
    <x v="134"/>
    <x v="539"/>
    <x v="91"/>
    <x v="252"/>
    <x v="352"/>
    <x v="110"/>
    <x v="557"/>
    <x v="557"/>
    <x v="549"/>
    <x v="0"/>
    <x v="552"/>
    <x v="557"/>
    <x v="458"/>
    <x v="0"/>
    <x v="0"/>
    <x v="2"/>
    <x v="98"/>
    <x v="2"/>
    <x v="9"/>
    <x v="21"/>
    <x v="3"/>
    <x v="105"/>
  </r>
  <r>
    <x v="0"/>
    <x v="10"/>
    <x v="337"/>
    <x v="57"/>
    <x v="0"/>
    <x v="99"/>
    <x v="41"/>
    <x v="540"/>
    <x v="90"/>
    <x v="64"/>
    <x v="185"/>
    <x v="477"/>
    <x v="558"/>
    <x v="558"/>
    <x v="550"/>
    <x v="2"/>
    <x v="553"/>
    <x v="558"/>
    <x v="37"/>
    <x v="0"/>
    <x v="0"/>
    <x v="0"/>
    <x v="84"/>
    <x v="10"/>
    <x v="12"/>
    <x v="9"/>
    <x v="1"/>
    <x v="42"/>
  </r>
  <r>
    <x v="0"/>
    <x v="209"/>
    <x v="338"/>
    <x v="42"/>
    <x v="0"/>
    <x v="306"/>
    <x v="25"/>
    <x v="541"/>
    <x v="180"/>
    <x v="76"/>
    <x v="420"/>
    <x v="478"/>
    <x v="559"/>
    <x v="559"/>
    <x v="551"/>
    <x v="1"/>
    <x v="554"/>
    <x v="559"/>
    <x v="187"/>
    <x v="0"/>
    <x v="0"/>
    <x v="4"/>
    <x v="99"/>
    <x v="20"/>
    <x v="50"/>
    <x v="18"/>
    <x v="1"/>
    <x v="135"/>
  </r>
  <r>
    <x v="0"/>
    <x v="277"/>
    <x v="339"/>
    <x v="90"/>
    <x v="181"/>
    <x v="349"/>
    <x v="143"/>
    <x v="542"/>
    <x v="178"/>
    <x v="265"/>
    <x v="421"/>
    <x v="479"/>
    <x v="560"/>
    <x v="560"/>
    <x v="552"/>
    <x v="3"/>
    <x v="555"/>
    <x v="560"/>
    <x v="459"/>
    <x v="0"/>
    <x v="0"/>
    <x v="0"/>
    <x v="74"/>
    <x v="20"/>
    <x v="283"/>
    <x v="19"/>
    <x v="1"/>
    <x v="1"/>
  </r>
  <r>
    <x v="0"/>
    <x v="286"/>
    <x v="142"/>
    <x v="55"/>
    <x v="85"/>
    <x v="350"/>
    <x v="13"/>
    <x v="543"/>
    <x v="253"/>
    <x v="13"/>
    <x v="262"/>
    <x v="480"/>
    <x v="561"/>
    <x v="561"/>
    <x v="553"/>
    <x v="0"/>
    <x v="556"/>
    <x v="561"/>
    <x v="189"/>
    <x v="0"/>
    <x v="0"/>
    <x v="2"/>
    <x v="94"/>
    <x v="6"/>
    <x v="30"/>
    <x v="22"/>
    <x v="3"/>
    <x v="57"/>
  </r>
  <r>
    <x v="0"/>
    <x v="279"/>
    <x v="340"/>
    <x v="52"/>
    <x v="183"/>
    <x v="351"/>
    <x v="2"/>
    <x v="544"/>
    <x v="254"/>
    <x v="72"/>
    <x v="48"/>
    <x v="481"/>
    <x v="562"/>
    <x v="562"/>
    <x v="554"/>
    <x v="0"/>
    <x v="557"/>
    <x v="562"/>
    <x v="460"/>
    <x v="0"/>
    <x v="0"/>
    <x v="0"/>
    <x v="80"/>
    <x v="8"/>
    <x v="30"/>
    <x v="23"/>
    <x v="1"/>
    <x v="1"/>
  </r>
  <r>
    <x v="0"/>
    <x v="287"/>
    <x v="223"/>
    <x v="9"/>
    <x v="0"/>
    <x v="352"/>
    <x v="2"/>
    <x v="545"/>
    <x v="200"/>
    <x v="196"/>
    <x v="422"/>
    <x v="482"/>
    <x v="563"/>
    <x v="563"/>
    <x v="555"/>
    <x v="1"/>
    <x v="558"/>
    <x v="563"/>
    <x v="428"/>
    <x v="0"/>
    <x v="0"/>
    <x v="4"/>
    <x v="74"/>
    <x v="0"/>
    <x v="284"/>
    <x v="21"/>
    <x v="3"/>
    <x v="1"/>
  </r>
  <r>
    <x v="0"/>
    <x v="21"/>
    <x v="294"/>
    <x v="47"/>
    <x v="14"/>
    <x v="158"/>
    <x v="22"/>
    <x v="546"/>
    <x v="65"/>
    <x v="80"/>
    <x v="423"/>
    <x v="483"/>
    <x v="564"/>
    <x v="564"/>
    <x v="556"/>
    <x v="1"/>
    <x v="559"/>
    <x v="564"/>
    <x v="316"/>
    <x v="0"/>
    <x v="0"/>
    <x v="4"/>
    <x v="80"/>
    <x v="1"/>
    <x v="56"/>
    <x v="1"/>
    <x v="1"/>
    <x v="1"/>
  </r>
  <r>
    <x v="0"/>
    <x v="167"/>
    <x v="328"/>
    <x v="40"/>
    <x v="120"/>
    <x v="353"/>
    <x v="94"/>
    <x v="547"/>
    <x v="255"/>
    <x v="166"/>
    <x v="356"/>
    <x v="484"/>
    <x v="565"/>
    <x v="565"/>
    <x v="557"/>
    <x v="7"/>
    <x v="560"/>
    <x v="565"/>
    <x v="461"/>
    <x v="0"/>
    <x v="0"/>
    <x v="0"/>
    <x v="94"/>
    <x v="7"/>
    <x v="30"/>
    <x v="4"/>
    <x v="1"/>
    <x v="1"/>
  </r>
  <r>
    <x v="0"/>
    <x v="288"/>
    <x v="74"/>
    <x v="101"/>
    <x v="186"/>
    <x v="354"/>
    <x v="0"/>
    <x v="548"/>
    <x v="35"/>
    <x v="266"/>
    <x v="424"/>
    <x v="485"/>
    <x v="566"/>
    <x v="566"/>
    <x v="558"/>
    <x v="0"/>
    <x v="561"/>
    <x v="566"/>
    <x v="167"/>
    <x v="0"/>
    <x v="0"/>
    <x v="2"/>
    <x v="100"/>
    <x v="18"/>
    <x v="285"/>
    <x v="51"/>
    <x v="1"/>
    <x v="136"/>
  </r>
  <r>
    <x v="0"/>
    <x v="289"/>
    <x v="125"/>
    <x v="0"/>
    <x v="0"/>
    <x v="355"/>
    <x v="144"/>
    <x v="549"/>
    <x v="256"/>
    <x v="267"/>
    <x v="425"/>
    <x v="486"/>
    <x v="567"/>
    <x v="567"/>
    <x v="559"/>
    <x v="1"/>
    <x v="562"/>
    <x v="567"/>
    <x v="462"/>
    <x v="0"/>
    <x v="0"/>
    <x v="4"/>
    <x v="100"/>
    <x v="16"/>
    <x v="270"/>
    <x v="26"/>
    <x v="1"/>
    <x v="16"/>
  </r>
  <r>
    <x v="0"/>
    <x v="2"/>
    <x v="180"/>
    <x v="31"/>
    <x v="0"/>
    <x v="273"/>
    <x v="10"/>
    <x v="550"/>
    <x v="108"/>
    <x v="40"/>
    <x v="426"/>
    <x v="487"/>
    <x v="568"/>
    <x v="568"/>
    <x v="560"/>
    <x v="0"/>
    <x v="563"/>
    <x v="568"/>
    <x v="45"/>
    <x v="0"/>
    <x v="8"/>
    <x v="4"/>
    <x v="80"/>
    <x v="12"/>
    <x v="286"/>
    <x v="1"/>
    <x v="1"/>
    <x v="1"/>
  </r>
  <r>
    <x v="0"/>
    <x v="290"/>
    <x v="341"/>
    <x v="101"/>
    <x v="164"/>
    <x v="103"/>
    <x v="140"/>
    <x v="551"/>
    <x v="257"/>
    <x v="268"/>
    <x v="427"/>
    <x v="488"/>
    <x v="569"/>
    <x v="569"/>
    <x v="561"/>
    <x v="0"/>
    <x v="564"/>
    <x v="569"/>
    <x v="463"/>
    <x v="0"/>
    <x v="0"/>
    <x v="0"/>
    <x v="74"/>
    <x v="1"/>
    <x v="287"/>
    <x v="38"/>
    <x v="1"/>
    <x v="1"/>
  </r>
  <r>
    <x v="0"/>
    <x v="291"/>
    <x v="342"/>
    <x v="49"/>
    <x v="0"/>
    <x v="331"/>
    <x v="145"/>
    <x v="552"/>
    <x v="17"/>
    <x v="269"/>
    <x v="326"/>
    <x v="489"/>
    <x v="570"/>
    <x v="570"/>
    <x v="562"/>
    <x v="1"/>
    <x v="565"/>
    <x v="570"/>
    <x v="425"/>
    <x v="0"/>
    <x v="0"/>
    <x v="2"/>
    <x v="100"/>
    <x v="18"/>
    <x v="117"/>
    <x v="8"/>
    <x v="3"/>
    <x v="1"/>
  </r>
  <r>
    <x v="0"/>
    <x v="200"/>
    <x v="216"/>
    <x v="38"/>
    <x v="140"/>
    <x v="356"/>
    <x v="57"/>
    <x v="553"/>
    <x v="258"/>
    <x v="237"/>
    <x v="223"/>
    <x v="490"/>
    <x v="571"/>
    <x v="571"/>
    <x v="563"/>
    <x v="0"/>
    <x v="566"/>
    <x v="571"/>
    <x v="324"/>
    <x v="0"/>
    <x v="0"/>
    <x v="0"/>
    <x v="100"/>
    <x v="18"/>
    <x v="151"/>
    <x v="33"/>
    <x v="1"/>
    <x v="137"/>
  </r>
  <r>
    <x v="0"/>
    <x v="223"/>
    <x v="343"/>
    <x v="56"/>
    <x v="37"/>
    <x v="316"/>
    <x v="146"/>
    <x v="554"/>
    <x v="259"/>
    <x v="270"/>
    <x v="428"/>
    <x v="491"/>
    <x v="572"/>
    <x v="572"/>
    <x v="564"/>
    <x v="0"/>
    <x v="567"/>
    <x v="572"/>
    <x v="390"/>
    <x v="0"/>
    <x v="10"/>
    <x v="2"/>
    <x v="101"/>
    <x v="14"/>
    <x v="288"/>
    <x v="1"/>
    <x v="1"/>
    <x v="43"/>
  </r>
  <r>
    <x v="0"/>
    <x v="93"/>
    <x v="344"/>
    <x v="26"/>
    <x v="0"/>
    <x v="126"/>
    <x v="22"/>
    <x v="555"/>
    <x v="260"/>
    <x v="23"/>
    <x v="26"/>
    <x v="156"/>
    <x v="573"/>
    <x v="573"/>
    <x v="565"/>
    <x v="0"/>
    <x v="568"/>
    <x v="573"/>
    <x v="464"/>
    <x v="0"/>
    <x v="0"/>
    <x v="0"/>
    <x v="81"/>
    <x v="14"/>
    <x v="12"/>
    <x v="12"/>
    <x v="3"/>
    <x v="1"/>
  </r>
  <r>
    <x v="0"/>
    <x v="292"/>
    <x v="345"/>
    <x v="79"/>
    <x v="50"/>
    <x v="53"/>
    <x v="0"/>
    <x v="556"/>
    <x v="35"/>
    <x v="48"/>
    <x v="429"/>
    <x v="492"/>
    <x v="574"/>
    <x v="574"/>
    <x v="566"/>
    <x v="0"/>
    <x v="569"/>
    <x v="574"/>
    <x v="465"/>
    <x v="0"/>
    <x v="0"/>
    <x v="0"/>
    <x v="102"/>
    <x v="20"/>
    <x v="30"/>
    <x v="43"/>
    <x v="3"/>
    <x v="138"/>
  </r>
  <r>
    <x v="0"/>
    <x v="93"/>
    <x v="132"/>
    <x v="11"/>
    <x v="0"/>
    <x v="357"/>
    <x v="147"/>
    <x v="557"/>
    <x v="211"/>
    <x v="271"/>
    <x v="430"/>
    <x v="493"/>
    <x v="575"/>
    <x v="575"/>
    <x v="567"/>
    <x v="0"/>
    <x v="570"/>
    <x v="575"/>
    <x v="466"/>
    <x v="0"/>
    <x v="0"/>
    <x v="0"/>
    <x v="100"/>
    <x v="19"/>
    <x v="289"/>
    <x v="10"/>
    <x v="3"/>
    <x v="1"/>
  </r>
  <r>
    <x v="0"/>
    <x v="13"/>
    <x v="317"/>
    <x v="41"/>
    <x v="8"/>
    <x v="358"/>
    <x v="148"/>
    <x v="558"/>
    <x v="261"/>
    <x v="272"/>
    <x v="431"/>
    <x v="494"/>
    <x v="576"/>
    <x v="576"/>
    <x v="568"/>
    <x v="1"/>
    <x v="571"/>
    <x v="576"/>
    <x v="358"/>
    <x v="0"/>
    <x v="0"/>
    <x v="2"/>
    <x v="16"/>
    <x v="14"/>
    <x v="290"/>
    <x v="13"/>
    <x v="3"/>
    <x v="1"/>
  </r>
  <r>
    <x v="0"/>
    <x v="29"/>
    <x v="127"/>
    <x v="85"/>
    <x v="21"/>
    <x v="359"/>
    <x v="0"/>
    <x v="559"/>
    <x v="22"/>
    <x v="46"/>
    <x v="432"/>
    <x v="495"/>
    <x v="577"/>
    <x v="577"/>
    <x v="569"/>
    <x v="0"/>
    <x v="572"/>
    <x v="577"/>
    <x v="467"/>
    <x v="0"/>
    <x v="0"/>
    <x v="3"/>
    <x v="40"/>
    <x v="7"/>
    <x v="291"/>
    <x v="13"/>
    <x v="1"/>
    <x v="1"/>
  </r>
  <r>
    <x v="0"/>
    <x v="293"/>
    <x v="280"/>
    <x v="38"/>
    <x v="0"/>
    <x v="360"/>
    <x v="94"/>
    <x v="560"/>
    <x v="127"/>
    <x v="218"/>
    <x v="14"/>
    <x v="496"/>
    <x v="578"/>
    <x v="578"/>
    <x v="570"/>
    <x v="4"/>
    <x v="573"/>
    <x v="578"/>
    <x v="363"/>
    <x v="0"/>
    <x v="0"/>
    <x v="2"/>
    <x v="80"/>
    <x v="15"/>
    <x v="13"/>
    <x v="34"/>
    <x v="1"/>
    <x v="1"/>
  </r>
  <r>
    <x v="0"/>
    <x v="49"/>
    <x v="104"/>
    <x v="5"/>
    <x v="34"/>
    <x v="322"/>
    <x v="21"/>
    <x v="561"/>
    <x v="2"/>
    <x v="127"/>
    <x v="433"/>
    <x v="497"/>
    <x v="579"/>
    <x v="579"/>
    <x v="571"/>
    <x v="0"/>
    <x v="574"/>
    <x v="579"/>
    <x v="468"/>
    <x v="0"/>
    <x v="0"/>
    <x v="0"/>
    <x v="80"/>
    <x v="19"/>
    <x v="228"/>
    <x v="27"/>
    <x v="1"/>
    <x v="7"/>
  </r>
  <r>
    <x v="0"/>
    <x v="294"/>
    <x v="304"/>
    <x v="80"/>
    <x v="78"/>
    <x v="361"/>
    <x v="149"/>
    <x v="562"/>
    <x v="21"/>
    <x v="273"/>
    <x v="434"/>
    <x v="498"/>
    <x v="580"/>
    <x v="580"/>
    <x v="572"/>
    <x v="0"/>
    <x v="575"/>
    <x v="580"/>
    <x v="431"/>
    <x v="0"/>
    <x v="0"/>
    <x v="2"/>
    <x v="98"/>
    <x v="2"/>
    <x v="292"/>
    <x v="19"/>
    <x v="3"/>
    <x v="37"/>
  </r>
  <r>
    <x v="0"/>
    <x v="84"/>
    <x v="212"/>
    <x v="106"/>
    <x v="67"/>
    <x v="27"/>
    <x v="150"/>
    <x v="563"/>
    <x v="111"/>
    <x v="274"/>
    <x v="58"/>
    <x v="499"/>
    <x v="581"/>
    <x v="581"/>
    <x v="573"/>
    <x v="1"/>
    <x v="576"/>
    <x v="581"/>
    <x v="469"/>
    <x v="0"/>
    <x v="0"/>
    <x v="4"/>
    <x v="67"/>
    <x v="25"/>
    <x v="45"/>
    <x v="4"/>
    <x v="3"/>
    <x v="103"/>
  </r>
  <r>
    <x v="0"/>
    <x v="169"/>
    <x v="67"/>
    <x v="9"/>
    <x v="121"/>
    <x v="21"/>
    <x v="57"/>
    <x v="564"/>
    <x v="262"/>
    <x v="125"/>
    <x v="40"/>
    <x v="500"/>
    <x v="582"/>
    <x v="582"/>
    <x v="574"/>
    <x v="1"/>
    <x v="577"/>
    <x v="582"/>
    <x v="470"/>
    <x v="0"/>
    <x v="0"/>
    <x v="4"/>
    <x v="74"/>
    <x v="0"/>
    <x v="6"/>
    <x v="24"/>
    <x v="1"/>
    <x v="42"/>
  </r>
  <r>
    <x v="0"/>
    <x v="38"/>
    <x v="346"/>
    <x v="30"/>
    <x v="25"/>
    <x v="265"/>
    <x v="49"/>
    <x v="565"/>
    <x v="56"/>
    <x v="86"/>
    <x v="199"/>
    <x v="501"/>
    <x v="583"/>
    <x v="583"/>
    <x v="575"/>
    <x v="1"/>
    <x v="578"/>
    <x v="583"/>
    <x v="407"/>
    <x v="0"/>
    <x v="0"/>
    <x v="2"/>
    <x v="80"/>
    <x v="23"/>
    <x v="135"/>
    <x v="10"/>
    <x v="1"/>
    <x v="38"/>
  </r>
  <r>
    <x v="0"/>
    <x v="25"/>
    <x v="114"/>
    <x v="59"/>
    <x v="18"/>
    <x v="214"/>
    <x v="25"/>
    <x v="302"/>
    <x v="9"/>
    <x v="138"/>
    <x v="246"/>
    <x v="272"/>
    <x v="310"/>
    <x v="310"/>
    <x v="305"/>
    <x v="0"/>
    <x v="307"/>
    <x v="310"/>
    <x v="286"/>
    <x v="0"/>
    <x v="0"/>
    <x v="0"/>
    <x v="32"/>
    <x v="11"/>
    <x v="13"/>
    <x v="19"/>
    <x v="1"/>
    <x v="90"/>
  </r>
  <r>
    <x v="0"/>
    <x v="200"/>
    <x v="273"/>
    <x v="23"/>
    <x v="140"/>
    <x v="362"/>
    <x v="57"/>
    <x v="566"/>
    <x v="3"/>
    <x v="99"/>
    <x v="435"/>
    <x v="502"/>
    <x v="584"/>
    <x v="584"/>
    <x v="576"/>
    <x v="0"/>
    <x v="579"/>
    <x v="584"/>
    <x v="271"/>
    <x v="0"/>
    <x v="0"/>
    <x v="4"/>
    <x v="80"/>
    <x v="22"/>
    <x v="233"/>
    <x v="1"/>
    <x v="1"/>
    <x v="1"/>
  </r>
  <r>
    <x v="0"/>
    <x v="295"/>
    <x v="235"/>
    <x v="85"/>
    <x v="65"/>
    <x v="1"/>
    <x v="14"/>
    <x v="567"/>
    <x v="263"/>
    <x v="119"/>
    <x v="436"/>
    <x v="503"/>
    <x v="585"/>
    <x v="585"/>
    <x v="577"/>
    <x v="1"/>
    <x v="580"/>
    <x v="585"/>
    <x v="471"/>
    <x v="0"/>
    <x v="0"/>
    <x v="0"/>
    <x v="67"/>
    <x v="17"/>
    <x v="30"/>
    <x v="19"/>
    <x v="1"/>
    <x v="1"/>
  </r>
  <r>
    <x v="0"/>
    <x v="113"/>
    <x v="347"/>
    <x v="117"/>
    <x v="88"/>
    <x v="283"/>
    <x v="121"/>
    <x v="4"/>
    <x v="264"/>
    <x v="275"/>
    <x v="437"/>
    <x v="504"/>
    <x v="586"/>
    <x v="586"/>
    <x v="578"/>
    <x v="0"/>
    <x v="581"/>
    <x v="586"/>
    <x v="472"/>
    <x v="0"/>
    <x v="0"/>
    <x v="5"/>
    <x v="4"/>
    <x v="4"/>
    <x v="116"/>
    <x v="7"/>
    <x v="12"/>
    <x v="57"/>
  </r>
  <r>
    <x v="0"/>
    <x v="296"/>
    <x v="155"/>
    <x v="8"/>
    <x v="189"/>
    <x v="56"/>
    <x v="14"/>
    <x v="568"/>
    <x v="265"/>
    <x v="56"/>
    <x v="438"/>
    <x v="70"/>
    <x v="587"/>
    <x v="587"/>
    <x v="579"/>
    <x v="1"/>
    <x v="582"/>
    <x v="587"/>
    <x v="473"/>
    <x v="0"/>
    <x v="0"/>
    <x v="4"/>
    <x v="76"/>
    <x v="18"/>
    <x v="293"/>
    <x v="8"/>
    <x v="3"/>
    <x v="1"/>
  </r>
  <r>
    <x v="0"/>
    <x v="93"/>
    <x v="62"/>
    <x v="47"/>
    <x v="0"/>
    <x v="363"/>
    <x v="22"/>
    <x v="569"/>
    <x v="266"/>
    <x v="23"/>
    <x v="439"/>
    <x v="505"/>
    <x v="588"/>
    <x v="588"/>
    <x v="580"/>
    <x v="1"/>
    <x v="583"/>
    <x v="588"/>
    <x v="474"/>
    <x v="0"/>
    <x v="0"/>
    <x v="0"/>
    <x v="80"/>
    <x v="7"/>
    <x v="215"/>
    <x v="23"/>
    <x v="3"/>
    <x v="1"/>
  </r>
  <r>
    <x v="0"/>
    <x v="216"/>
    <x v="348"/>
    <x v="56"/>
    <x v="149"/>
    <x v="245"/>
    <x v="71"/>
    <x v="570"/>
    <x v="179"/>
    <x v="276"/>
    <x v="125"/>
    <x v="506"/>
    <x v="589"/>
    <x v="589"/>
    <x v="581"/>
    <x v="0"/>
    <x v="584"/>
    <x v="589"/>
    <x v="475"/>
    <x v="0"/>
    <x v="0"/>
    <x v="0"/>
    <x v="81"/>
    <x v="14"/>
    <x v="88"/>
    <x v="23"/>
    <x v="1"/>
    <x v="1"/>
  </r>
  <r>
    <x v="0"/>
    <x v="292"/>
    <x v="283"/>
    <x v="76"/>
    <x v="50"/>
    <x v="1"/>
    <x v="0"/>
    <x v="571"/>
    <x v="267"/>
    <x v="52"/>
    <x v="440"/>
    <x v="316"/>
    <x v="590"/>
    <x v="590"/>
    <x v="582"/>
    <x v="0"/>
    <x v="585"/>
    <x v="590"/>
    <x v="465"/>
    <x v="0"/>
    <x v="0"/>
    <x v="2"/>
    <x v="74"/>
    <x v="0"/>
    <x v="30"/>
    <x v="33"/>
    <x v="3"/>
    <x v="43"/>
  </r>
  <r>
    <x v="0"/>
    <x v="297"/>
    <x v="142"/>
    <x v="23"/>
    <x v="190"/>
    <x v="364"/>
    <x v="41"/>
    <x v="572"/>
    <x v="71"/>
    <x v="64"/>
    <x v="188"/>
    <x v="507"/>
    <x v="591"/>
    <x v="591"/>
    <x v="583"/>
    <x v="0"/>
    <x v="586"/>
    <x v="591"/>
    <x v="85"/>
    <x v="0"/>
    <x v="0"/>
    <x v="4"/>
    <x v="74"/>
    <x v="19"/>
    <x v="46"/>
    <x v="1"/>
    <x v="1"/>
    <x v="9"/>
  </r>
  <r>
    <x v="0"/>
    <x v="274"/>
    <x v="201"/>
    <x v="73"/>
    <x v="178"/>
    <x v="365"/>
    <x v="11"/>
    <x v="573"/>
    <x v="3"/>
    <x v="69"/>
    <x v="65"/>
    <x v="508"/>
    <x v="592"/>
    <x v="592"/>
    <x v="584"/>
    <x v="3"/>
    <x v="587"/>
    <x v="592"/>
    <x v="100"/>
    <x v="0"/>
    <x v="0"/>
    <x v="4"/>
    <x v="80"/>
    <x v="9"/>
    <x v="6"/>
    <x v="12"/>
    <x v="1"/>
    <x v="48"/>
  </r>
  <r>
    <x v="0"/>
    <x v="298"/>
    <x v="202"/>
    <x v="33"/>
    <x v="191"/>
    <x v="13"/>
    <x v="0"/>
    <x v="574"/>
    <x v="18"/>
    <x v="277"/>
    <x v="441"/>
    <x v="509"/>
    <x v="593"/>
    <x v="593"/>
    <x v="585"/>
    <x v="0"/>
    <x v="588"/>
    <x v="593"/>
    <x v="317"/>
    <x v="0"/>
    <x v="0"/>
    <x v="2"/>
    <x v="90"/>
    <x v="20"/>
    <x v="210"/>
    <x v="21"/>
    <x v="1"/>
    <x v="103"/>
  </r>
  <r>
    <x v="0"/>
    <x v="88"/>
    <x v="254"/>
    <x v="38"/>
    <x v="70"/>
    <x v="26"/>
    <x v="75"/>
    <x v="575"/>
    <x v="46"/>
    <x v="133"/>
    <x v="442"/>
    <x v="31"/>
    <x v="594"/>
    <x v="594"/>
    <x v="586"/>
    <x v="0"/>
    <x v="589"/>
    <x v="594"/>
    <x v="476"/>
    <x v="0"/>
    <x v="0"/>
    <x v="0"/>
    <x v="80"/>
    <x v="10"/>
    <x v="294"/>
    <x v="27"/>
    <x v="1"/>
    <x v="68"/>
  </r>
  <r>
    <x v="0"/>
    <x v="24"/>
    <x v="98"/>
    <x v="31"/>
    <x v="17"/>
    <x v="133"/>
    <x v="25"/>
    <x v="576"/>
    <x v="98"/>
    <x v="26"/>
    <x v="443"/>
    <x v="163"/>
    <x v="595"/>
    <x v="595"/>
    <x v="587"/>
    <x v="0"/>
    <x v="590"/>
    <x v="595"/>
    <x v="477"/>
    <x v="0"/>
    <x v="0"/>
    <x v="0"/>
    <x v="80"/>
    <x v="17"/>
    <x v="30"/>
    <x v="25"/>
    <x v="15"/>
    <x v="18"/>
  </r>
  <r>
    <x v="0"/>
    <x v="272"/>
    <x v="349"/>
    <x v="31"/>
    <x v="0"/>
    <x v="127"/>
    <x v="151"/>
    <x v="577"/>
    <x v="268"/>
    <x v="278"/>
    <x v="444"/>
    <x v="510"/>
    <x v="596"/>
    <x v="596"/>
    <x v="413"/>
    <x v="1"/>
    <x v="591"/>
    <x v="596"/>
    <x v="180"/>
    <x v="0"/>
    <x v="0"/>
    <x v="4"/>
    <x v="80"/>
    <x v="24"/>
    <x v="242"/>
    <x v="5"/>
    <x v="3"/>
    <x v="1"/>
  </r>
  <r>
    <x v="1"/>
    <x v="38"/>
    <x v="350"/>
    <x v="75"/>
    <x v="25"/>
    <x v="82"/>
    <x v="9"/>
    <x v="578"/>
    <x v="269"/>
    <x v="279"/>
    <x v="445"/>
    <x v="105"/>
    <x v="597"/>
    <x v="597"/>
    <x v="588"/>
    <x v="1"/>
    <x v="592"/>
    <x v="597"/>
    <x v="378"/>
    <x v="0"/>
    <x v="0"/>
    <x v="0"/>
    <x v="103"/>
    <x v="10"/>
    <x v="21"/>
    <x v="13"/>
    <x v="1"/>
    <x v="82"/>
  </r>
  <r>
    <x v="0"/>
    <x v="299"/>
    <x v="351"/>
    <x v="34"/>
    <x v="0"/>
    <x v="363"/>
    <x v="57"/>
    <x v="579"/>
    <x v="269"/>
    <x v="192"/>
    <x v="281"/>
    <x v="505"/>
    <x v="598"/>
    <x v="598"/>
    <x v="589"/>
    <x v="6"/>
    <x v="593"/>
    <x v="598"/>
    <x v="478"/>
    <x v="0"/>
    <x v="0"/>
    <x v="0"/>
    <x v="80"/>
    <x v="11"/>
    <x v="44"/>
    <x v="9"/>
    <x v="1"/>
    <x v="139"/>
  </r>
  <r>
    <x v="0"/>
    <x v="0"/>
    <x v="249"/>
    <x v="94"/>
    <x v="0"/>
    <x v="366"/>
    <x v="35"/>
    <x v="580"/>
    <x v="109"/>
    <x v="280"/>
    <x v="446"/>
    <x v="511"/>
    <x v="599"/>
    <x v="599"/>
    <x v="590"/>
    <x v="0"/>
    <x v="594"/>
    <x v="599"/>
    <x v="328"/>
    <x v="0"/>
    <x v="0"/>
    <x v="0"/>
    <x v="104"/>
    <x v="30"/>
    <x v="212"/>
    <x v="32"/>
    <x v="1"/>
    <x v="1"/>
  </r>
  <r>
    <x v="0"/>
    <x v="78"/>
    <x v="214"/>
    <x v="16"/>
    <x v="0"/>
    <x v="367"/>
    <x v="152"/>
    <x v="581"/>
    <x v="270"/>
    <x v="281"/>
    <x v="384"/>
    <x v="512"/>
    <x v="600"/>
    <x v="600"/>
    <x v="591"/>
    <x v="4"/>
    <x v="595"/>
    <x v="600"/>
    <x v="479"/>
    <x v="0"/>
    <x v="0"/>
    <x v="0"/>
    <x v="80"/>
    <x v="5"/>
    <x v="219"/>
    <x v="22"/>
    <x v="1"/>
    <x v="38"/>
  </r>
  <r>
    <x v="0"/>
    <x v="300"/>
    <x v="344"/>
    <x v="80"/>
    <x v="52"/>
    <x v="211"/>
    <x v="22"/>
    <x v="582"/>
    <x v="271"/>
    <x v="78"/>
    <x v="447"/>
    <x v="513"/>
    <x v="601"/>
    <x v="601"/>
    <x v="592"/>
    <x v="1"/>
    <x v="596"/>
    <x v="601"/>
    <x v="480"/>
    <x v="0"/>
    <x v="0"/>
    <x v="0"/>
    <x v="80"/>
    <x v="11"/>
    <x v="285"/>
    <x v="22"/>
    <x v="1"/>
    <x v="40"/>
  </r>
  <r>
    <x v="0"/>
    <x v="103"/>
    <x v="293"/>
    <x v="38"/>
    <x v="81"/>
    <x v="368"/>
    <x v="11"/>
    <x v="583"/>
    <x v="3"/>
    <x v="156"/>
    <x v="259"/>
    <x v="514"/>
    <x v="602"/>
    <x v="602"/>
    <x v="593"/>
    <x v="0"/>
    <x v="597"/>
    <x v="602"/>
    <x v="481"/>
    <x v="0"/>
    <x v="0"/>
    <x v="4"/>
    <x v="80"/>
    <x v="20"/>
    <x v="44"/>
    <x v="22"/>
    <x v="1"/>
    <x v="1"/>
  </r>
  <r>
    <x v="0"/>
    <x v="69"/>
    <x v="103"/>
    <x v="46"/>
    <x v="54"/>
    <x v="279"/>
    <x v="10"/>
    <x v="584"/>
    <x v="272"/>
    <x v="10"/>
    <x v="448"/>
    <x v="515"/>
    <x v="603"/>
    <x v="603"/>
    <x v="594"/>
    <x v="8"/>
    <x v="598"/>
    <x v="603"/>
    <x v="91"/>
    <x v="0"/>
    <x v="1"/>
    <x v="0"/>
    <x v="80"/>
    <x v="1"/>
    <x v="295"/>
    <x v="16"/>
    <x v="1"/>
    <x v="61"/>
  </r>
  <r>
    <x v="0"/>
    <x v="223"/>
    <x v="352"/>
    <x v="16"/>
    <x v="37"/>
    <x v="369"/>
    <x v="2"/>
    <x v="585"/>
    <x v="273"/>
    <x v="75"/>
    <x v="300"/>
    <x v="516"/>
    <x v="604"/>
    <x v="604"/>
    <x v="595"/>
    <x v="1"/>
    <x v="599"/>
    <x v="604"/>
    <x v="119"/>
    <x v="0"/>
    <x v="0"/>
    <x v="0"/>
    <x v="80"/>
    <x v="13"/>
    <x v="202"/>
    <x v="15"/>
    <x v="1"/>
    <x v="1"/>
  </r>
  <r>
    <x v="0"/>
    <x v="84"/>
    <x v="112"/>
    <x v="70"/>
    <x v="67"/>
    <x v="124"/>
    <x v="30"/>
    <x v="586"/>
    <x v="200"/>
    <x v="50"/>
    <x v="449"/>
    <x v="517"/>
    <x v="605"/>
    <x v="605"/>
    <x v="596"/>
    <x v="4"/>
    <x v="600"/>
    <x v="605"/>
    <x v="482"/>
    <x v="0"/>
    <x v="0"/>
    <x v="0"/>
    <x v="80"/>
    <x v="10"/>
    <x v="30"/>
    <x v="43"/>
    <x v="1"/>
    <x v="1"/>
  </r>
  <r>
    <x v="0"/>
    <x v="133"/>
    <x v="342"/>
    <x v="38"/>
    <x v="98"/>
    <x v="59"/>
    <x v="25"/>
    <x v="587"/>
    <x v="75"/>
    <x v="82"/>
    <x v="450"/>
    <x v="518"/>
    <x v="606"/>
    <x v="606"/>
    <x v="597"/>
    <x v="4"/>
    <x v="601"/>
    <x v="606"/>
    <x v="483"/>
    <x v="0"/>
    <x v="0"/>
    <x v="0"/>
    <x v="80"/>
    <x v="19"/>
    <x v="296"/>
    <x v="23"/>
    <x v="1"/>
    <x v="140"/>
  </r>
  <r>
    <x v="0"/>
    <x v="301"/>
    <x v="179"/>
    <x v="18"/>
    <x v="171"/>
    <x v="210"/>
    <x v="25"/>
    <x v="588"/>
    <x v="274"/>
    <x v="138"/>
    <x v="451"/>
    <x v="519"/>
    <x v="607"/>
    <x v="607"/>
    <x v="598"/>
    <x v="0"/>
    <x v="602"/>
    <x v="607"/>
    <x v="213"/>
    <x v="0"/>
    <x v="1"/>
    <x v="4"/>
    <x v="81"/>
    <x v="12"/>
    <x v="297"/>
    <x v="31"/>
    <x v="1"/>
    <x v="1"/>
  </r>
  <r>
    <x v="0"/>
    <x v="292"/>
    <x v="353"/>
    <x v="55"/>
    <x v="50"/>
    <x v="370"/>
    <x v="153"/>
    <x v="589"/>
    <x v="75"/>
    <x v="282"/>
    <x v="452"/>
    <x v="520"/>
    <x v="608"/>
    <x v="608"/>
    <x v="599"/>
    <x v="1"/>
    <x v="603"/>
    <x v="608"/>
    <x v="482"/>
    <x v="0"/>
    <x v="0"/>
    <x v="0"/>
    <x v="80"/>
    <x v="19"/>
    <x v="298"/>
    <x v="28"/>
    <x v="15"/>
    <x v="141"/>
  </r>
  <r>
    <x v="0"/>
    <x v="302"/>
    <x v="354"/>
    <x v="76"/>
    <x v="192"/>
    <x v="371"/>
    <x v="15"/>
    <x v="590"/>
    <x v="275"/>
    <x v="283"/>
    <x v="453"/>
    <x v="521"/>
    <x v="609"/>
    <x v="609"/>
    <x v="600"/>
    <x v="1"/>
    <x v="604"/>
    <x v="609"/>
    <x v="484"/>
    <x v="0"/>
    <x v="0"/>
    <x v="4"/>
    <x v="80"/>
    <x v="3"/>
    <x v="299"/>
    <x v="21"/>
    <x v="1"/>
    <x v="4"/>
  </r>
  <r>
    <x v="0"/>
    <x v="239"/>
    <x v="355"/>
    <x v="16"/>
    <x v="160"/>
    <x v="372"/>
    <x v="154"/>
    <x v="591"/>
    <x v="276"/>
    <x v="284"/>
    <x v="454"/>
    <x v="522"/>
    <x v="610"/>
    <x v="610"/>
    <x v="601"/>
    <x v="6"/>
    <x v="605"/>
    <x v="610"/>
    <x v="485"/>
    <x v="0"/>
    <x v="0"/>
    <x v="0"/>
    <x v="74"/>
    <x v="3"/>
    <x v="300"/>
    <x v="18"/>
    <x v="1"/>
    <x v="0"/>
  </r>
  <r>
    <x v="0"/>
    <x v="303"/>
    <x v="356"/>
    <x v="31"/>
    <x v="167"/>
    <x v="373"/>
    <x v="57"/>
    <x v="592"/>
    <x v="269"/>
    <x v="99"/>
    <x v="271"/>
    <x v="523"/>
    <x v="611"/>
    <x v="611"/>
    <x v="602"/>
    <x v="0"/>
    <x v="606"/>
    <x v="611"/>
    <x v="216"/>
    <x v="0"/>
    <x v="0"/>
    <x v="4"/>
    <x v="81"/>
    <x v="19"/>
    <x v="183"/>
    <x v="22"/>
    <x v="1"/>
    <x v="142"/>
  </r>
  <r>
    <x v="0"/>
    <x v="304"/>
    <x v="357"/>
    <x v="38"/>
    <x v="78"/>
    <x v="13"/>
    <x v="8"/>
    <x v="593"/>
    <x v="23"/>
    <x v="35"/>
    <x v="455"/>
    <x v="142"/>
    <x v="612"/>
    <x v="612"/>
    <x v="603"/>
    <x v="4"/>
    <x v="607"/>
    <x v="612"/>
    <x v="486"/>
    <x v="0"/>
    <x v="1"/>
    <x v="4"/>
    <x v="82"/>
    <x v="10"/>
    <x v="31"/>
    <x v="12"/>
    <x v="1"/>
    <x v="16"/>
  </r>
  <r>
    <x v="0"/>
    <x v="131"/>
    <x v="285"/>
    <x v="42"/>
    <x v="97"/>
    <x v="288"/>
    <x v="0"/>
    <x v="594"/>
    <x v="277"/>
    <x v="285"/>
    <x v="456"/>
    <x v="379"/>
    <x v="613"/>
    <x v="613"/>
    <x v="604"/>
    <x v="3"/>
    <x v="608"/>
    <x v="613"/>
    <x v="316"/>
    <x v="0"/>
    <x v="0"/>
    <x v="4"/>
    <x v="80"/>
    <x v="19"/>
    <x v="301"/>
    <x v="56"/>
    <x v="1"/>
    <x v="143"/>
  </r>
  <r>
    <x v="0"/>
    <x v="305"/>
    <x v="358"/>
    <x v="43"/>
    <x v="193"/>
    <x v="374"/>
    <x v="155"/>
    <x v="595"/>
    <x v="103"/>
    <x v="286"/>
    <x v="457"/>
    <x v="524"/>
    <x v="614"/>
    <x v="614"/>
    <x v="605"/>
    <x v="1"/>
    <x v="609"/>
    <x v="614"/>
    <x v="230"/>
    <x v="0"/>
    <x v="0"/>
    <x v="4"/>
    <x v="80"/>
    <x v="19"/>
    <x v="302"/>
    <x v="57"/>
    <x v="1"/>
    <x v="144"/>
  </r>
  <r>
    <x v="0"/>
    <x v="306"/>
    <x v="212"/>
    <x v="55"/>
    <x v="89"/>
    <x v="195"/>
    <x v="2"/>
    <x v="596"/>
    <x v="28"/>
    <x v="130"/>
    <x v="458"/>
    <x v="525"/>
    <x v="615"/>
    <x v="615"/>
    <x v="606"/>
    <x v="0"/>
    <x v="610"/>
    <x v="615"/>
    <x v="189"/>
    <x v="0"/>
    <x v="0"/>
    <x v="4"/>
    <x v="80"/>
    <x v="20"/>
    <x v="92"/>
    <x v="27"/>
    <x v="1"/>
    <x v="145"/>
  </r>
  <r>
    <x v="0"/>
    <x v="307"/>
    <x v="225"/>
    <x v="54"/>
    <x v="114"/>
    <x v="290"/>
    <x v="35"/>
    <x v="597"/>
    <x v="278"/>
    <x v="287"/>
    <x v="459"/>
    <x v="526"/>
    <x v="616"/>
    <x v="616"/>
    <x v="607"/>
    <x v="0"/>
    <x v="611"/>
    <x v="616"/>
    <x v="400"/>
    <x v="0"/>
    <x v="0"/>
    <x v="2"/>
    <x v="80"/>
    <x v="18"/>
    <x v="34"/>
    <x v="5"/>
    <x v="1"/>
    <x v="43"/>
  </r>
  <r>
    <x v="0"/>
    <x v="155"/>
    <x v="359"/>
    <x v="76"/>
    <x v="85"/>
    <x v="375"/>
    <x v="35"/>
    <x v="598"/>
    <x v="279"/>
    <x v="288"/>
    <x v="297"/>
    <x v="527"/>
    <x v="617"/>
    <x v="617"/>
    <x v="608"/>
    <x v="1"/>
    <x v="612"/>
    <x v="617"/>
    <x v="487"/>
    <x v="0"/>
    <x v="0"/>
    <x v="2"/>
    <x v="80"/>
    <x v="9"/>
    <x v="30"/>
    <x v="23"/>
    <x v="2"/>
    <x v="9"/>
  </r>
  <r>
    <x v="0"/>
    <x v="159"/>
    <x v="344"/>
    <x v="82"/>
    <x v="0"/>
    <x v="376"/>
    <x v="8"/>
    <x v="599"/>
    <x v="80"/>
    <x v="8"/>
    <x v="460"/>
    <x v="528"/>
    <x v="618"/>
    <x v="618"/>
    <x v="609"/>
    <x v="1"/>
    <x v="613"/>
    <x v="618"/>
    <x v="488"/>
    <x v="0"/>
    <x v="0"/>
    <x v="4"/>
    <x v="80"/>
    <x v="2"/>
    <x v="303"/>
    <x v="28"/>
    <x v="1"/>
    <x v="59"/>
  </r>
  <r>
    <x v="0"/>
    <x v="308"/>
    <x v="148"/>
    <x v="11"/>
    <x v="125"/>
    <x v="52"/>
    <x v="2"/>
    <x v="600"/>
    <x v="118"/>
    <x v="60"/>
    <x v="461"/>
    <x v="66"/>
    <x v="619"/>
    <x v="619"/>
    <x v="610"/>
    <x v="4"/>
    <x v="614"/>
    <x v="619"/>
    <x v="489"/>
    <x v="0"/>
    <x v="0"/>
    <x v="2"/>
    <x v="80"/>
    <x v="14"/>
    <x v="30"/>
    <x v="9"/>
    <x v="3"/>
    <x v="1"/>
  </r>
  <r>
    <x v="0"/>
    <x v="309"/>
    <x v="171"/>
    <x v="38"/>
    <x v="194"/>
    <x v="377"/>
    <x v="156"/>
    <x v="601"/>
    <x v="180"/>
    <x v="289"/>
    <x v="462"/>
    <x v="529"/>
    <x v="620"/>
    <x v="620"/>
    <x v="611"/>
    <x v="1"/>
    <x v="615"/>
    <x v="620"/>
    <x v="490"/>
    <x v="0"/>
    <x v="1"/>
    <x v="4"/>
    <x v="80"/>
    <x v="7"/>
    <x v="40"/>
    <x v="39"/>
    <x v="1"/>
    <x v="146"/>
  </r>
  <r>
    <x v="0"/>
    <x v="310"/>
    <x v="87"/>
    <x v="69"/>
    <x v="114"/>
    <x v="243"/>
    <x v="57"/>
    <x v="602"/>
    <x v="280"/>
    <x v="237"/>
    <x v="463"/>
    <x v="530"/>
    <x v="621"/>
    <x v="621"/>
    <x v="612"/>
    <x v="1"/>
    <x v="616"/>
    <x v="621"/>
    <x v="491"/>
    <x v="0"/>
    <x v="0"/>
    <x v="4"/>
    <x v="95"/>
    <x v="9"/>
    <x v="30"/>
    <x v="10"/>
    <x v="1"/>
    <x v="139"/>
  </r>
  <r>
    <x v="0"/>
    <x v="200"/>
    <x v="150"/>
    <x v="77"/>
    <x v="140"/>
    <x v="94"/>
    <x v="157"/>
    <x v="603"/>
    <x v="1"/>
    <x v="290"/>
    <x v="464"/>
    <x v="531"/>
    <x v="622"/>
    <x v="622"/>
    <x v="613"/>
    <x v="0"/>
    <x v="617"/>
    <x v="622"/>
    <x v="492"/>
    <x v="0"/>
    <x v="0"/>
    <x v="0"/>
    <x v="80"/>
    <x v="11"/>
    <x v="121"/>
    <x v="39"/>
    <x v="1"/>
    <x v="85"/>
  </r>
  <r>
    <x v="0"/>
    <x v="311"/>
    <x v="340"/>
    <x v="23"/>
    <x v="45"/>
    <x v="378"/>
    <x v="2"/>
    <x v="604"/>
    <x v="65"/>
    <x v="130"/>
    <x v="301"/>
    <x v="532"/>
    <x v="623"/>
    <x v="623"/>
    <x v="614"/>
    <x v="0"/>
    <x v="618"/>
    <x v="623"/>
    <x v="493"/>
    <x v="0"/>
    <x v="0"/>
    <x v="0"/>
    <x v="76"/>
    <x v="19"/>
    <x v="203"/>
    <x v="21"/>
    <x v="1"/>
    <x v="1"/>
  </r>
  <r>
    <x v="0"/>
    <x v="312"/>
    <x v="360"/>
    <x v="23"/>
    <x v="41"/>
    <x v="9"/>
    <x v="20"/>
    <x v="605"/>
    <x v="78"/>
    <x v="83"/>
    <x v="71"/>
    <x v="533"/>
    <x v="624"/>
    <x v="624"/>
    <x v="615"/>
    <x v="3"/>
    <x v="619"/>
    <x v="624"/>
    <x v="259"/>
    <x v="0"/>
    <x v="0"/>
    <x v="0"/>
    <x v="76"/>
    <x v="5"/>
    <x v="53"/>
    <x v="41"/>
    <x v="1"/>
    <x v="5"/>
  </r>
  <r>
    <x v="0"/>
    <x v="189"/>
    <x v="142"/>
    <x v="23"/>
    <x v="0"/>
    <x v="379"/>
    <x v="13"/>
    <x v="606"/>
    <x v="168"/>
    <x v="158"/>
    <x v="11"/>
    <x v="534"/>
    <x v="625"/>
    <x v="625"/>
    <x v="616"/>
    <x v="0"/>
    <x v="620"/>
    <x v="625"/>
    <x v="494"/>
    <x v="0"/>
    <x v="0"/>
    <x v="4"/>
    <x v="76"/>
    <x v="18"/>
    <x v="10"/>
    <x v="2"/>
    <x v="1"/>
    <x v="1"/>
  </r>
  <r>
    <x v="0"/>
    <x v="270"/>
    <x v="40"/>
    <x v="101"/>
    <x v="177"/>
    <x v="380"/>
    <x v="134"/>
    <x v="607"/>
    <x v="233"/>
    <x v="252"/>
    <x v="390"/>
    <x v="535"/>
    <x v="626"/>
    <x v="626"/>
    <x v="617"/>
    <x v="0"/>
    <x v="621"/>
    <x v="626"/>
    <x v="495"/>
    <x v="0"/>
    <x v="0"/>
    <x v="2"/>
    <x v="99"/>
    <x v="5"/>
    <x v="12"/>
    <x v="16"/>
    <x v="3"/>
    <x v="77"/>
  </r>
  <r>
    <x v="0"/>
    <x v="313"/>
    <x v="361"/>
    <x v="72"/>
    <x v="195"/>
    <x v="381"/>
    <x v="114"/>
    <x v="608"/>
    <x v="281"/>
    <x v="291"/>
    <x v="465"/>
    <x v="536"/>
    <x v="627"/>
    <x v="627"/>
    <x v="618"/>
    <x v="1"/>
    <x v="622"/>
    <x v="627"/>
    <x v="496"/>
    <x v="0"/>
    <x v="0"/>
    <x v="4"/>
    <x v="76"/>
    <x v="16"/>
    <x v="304"/>
    <x v="23"/>
    <x v="1"/>
    <x v="147"/>
  </r>
  <r>
    <x v="0"/>
    <x v="314"/>
    <x v="89"/>
    <x v="31"/>
    <x v="196"/>
    <x v="23"/>
    <x v="21"/>
    <x v="609"/>
    <x v="125"/>
    <x v="22"/>
    <x v="65"/>
    <x v="537"/>
    <x v="628"/>
    <x v="628"/>
    <x v="619"/>
    <x v="0"/>
    <x v="623"/>
    <x v="628"/>
    <x v="453"/>
    <x v="0"/>
    <x v="0"/>
    <x v="4"/>
    <x v="76"/>
    <x v="2"/>
    <x v="6"/>
    <x v="21"/>
    <x v="1"/>
    <x v="26"/>
  </r>
  <r>
    <x v="0"/>
    <x v="315"/>
    <x v="224"/>
    <x v="8"/>
    <x v="197"/>
    <x v="382"/>
    <x v="158"/>
    <x v="610"/>
    <x v="282"/>
    <x v="292"/>
    <x v="466"/>
    <x v="538"/>
    <x v="629"/>
    <x v="629"/>
    <x v="620"/>
    <x v="4"/>
    <x v="624"/>
    <x v="629"/>
    <x v="497"/>
    <x v="0"/>
    <x v="13"/>
    <x v="4"/>
    <x v="80"/>
    <x v="0"/>
    <x v="305"/>
    <x v="13"/>
    <x v="1"/>
    <x v="5"/>
  </r>
  <r>
    <x v="0"/>
    <x v="316"/>
    <x v="211"/>
    <x v="61"/>
    <x v="174"/>
    <x v="29"/>
    <x v="0"/>
    <x v="611"/>
    <x v="67"/>
    <x v="84"/>
    <x v="467"/>
    <x v="36"/>
    <x v="630"/>
    <x v="630"/>
    <x v="621"/>
    <x v="2"/>
    <x v="625"/>
    <x v="630"/>
    <x v="127"/>
    <x v="0"/>
    <x v="0"/>
    <x v="0"/>
    <x v="48"/>
    <x v="15"/>
    <x v="306"/>
    <x v="19"/>
    <x v="3"/>
    <x v="1"/>
  </r>
  <r>
    <x v="0"/>
    <x v="307"/>
    <x v="179"/>
    <x v="70"/>
    <x v="114"/>
    <x v="248"/>
    <x v="159"/>
    <x v="612"/>
    <x v="127"/>
    <x v="293"/>
    <x v="468"/>
    <x v="539"/>
    <x v="631"/>
    <x v="631"/>
    <x v="622"/>
    <x v="3"/>
    <x v="626"/>
    <x v="631"/>
    <x v="498"/>
    <x v="0"/>
    <x v="0"/>
    <x v="4"/>
    <x v="105"/>
    <x v="10"/>
    <x v="19"/>
    <x v="18"/>
    <x v="1"/>
    <x v="7"/>
  </r>
  <r>
    <x v="0"/>
    <x v="159"/>
    <x v="306"/>
    <x v="68"/>
    <x v="0"/>
    <x v="134"/>
    <x v="21"/>
    <x v="613"/>
    <x v="283"/>
    <x v="210"/>
    <x v="274"/>
    <x v="268"/>
    <x v="632"/>
    <x v="632"/>
    <x v="623"/>
    <x v="1"/>
    <x v="627"/>
    <x v="632"/>
    <x v="373"/>
    <x v="0"/>
    <x v="0"/>
    <x v="4"/>
    <x v="76"/>
    <x v="15"/>
    <x v="117"/>
    <x v="0"/>
    <x v="1"/>
    <x v="1"/>
  </r>
  <r>
    <x v="0"/>
    <x v="317"/>
    <x v="305"/>
    <x v="85"/>
    <x v="137"/>
    <x v="383"/>
    <x v="160"/>
    <x v="614"/>
    <x v="284"/>
    <x v="294"/>
    <x v="469"/>
    <x v="540"/>
    <x v="633"/>
    <x v="633"/>
    <x v="624"/>
    <x v="0"/>
    <x v="628"/>
    <x v="633"/>
    <x v="277"/>
    <x v="0"/>
    <x v="0"/>
    <x v="0"/>
    <x v="4"/>
    <x v="6"/>
    <x v="85"/>
    <x v="2"/>
    <x v="1"/>
    <x v="85"/>
  </r>
  <r>
    <x v="0"/>
    <x v="18"/>
    <x v="282"/>
    <x v="57"/>
    <x v="0"/>
    <x v="250"/>
    <x v="19"/>
    <x v="615"/>
    <x v="65"/>
    <x v="20"/>
    <x v="470"/>
    <x v="541"/>
    <x v="634"/>
    <x v="634"/>
    <x v="625"/>
    <x v="1"/>
    <x v="629"/>
    <x v="634"/>
    <x v="294"/>
    <x v="0"/>
    <x v="0"/>
    <x v="4"/>
    <x v="80"/>
    <x v="8"/>
    <x v="307"/>
    <x v="1"/>
    <x v="1"/>
    <x v="1"/>
  </r>
  <r>
    <x v="0"/>
    <x v="190"/>
    <x v="136"/>
    <x v="37"/>
    <x v="135"/>
    <x v="64"/>
    <x v="134"/>
    <x v="616"/>
    <x v="125"/>
    <x v="252"/>
    <x v="471"/>
    <x v="143"/>
    <x v="635"/>
    <x v="635"/>
    <x v="626"/>
    <x v="4"/>
    <x v="630"/>
    <x v="635"/>
    <x v="434"/>
    <x v="0"/>
    <x v="0"/>
    <x v="0"/>
    <x v="4"/>
    <x v="5"/>
    <x v="30"/>
    <x v="18"/>
    <x v="3"/>
    <x v="1"/>
  </r>
  <r>
    <x v="0"/>
    <x v="204"/>
    <x v="289"/>
    <x v="72"/>
    <x v="144"/>
    <x v="384"/>
    <x v="22"/>
    <x v="617"/>
    <x v="275"/>
    <x v="295"/>
    <x v="143"/>
    <x v="542"/>
    <x v="636"/>
    <x v="636"/>
    <x v="627"/>
    <x v="0"/>
    <x v="631"/>
    <x v="636"/>
    <x v="217"/>
    <x v="0"/>
    <x v="0"/>
    <x v="4"/>
    <x v="99"/>
    <x v="3"/>
    <x v="13"/>
    <x v="18"/>
    <x v="1"/>
    <x v="148"/>
  </r>
  <r>
    <x v="0"/>
    <x v="230"/>
    <x v="291"/>
    <x v="18"/>
    <x v="151"/>
    <x v="336"/>
    <x v="161"/>
    <x v="618"/>
    <x v="120"/>
    <x v="296"/>
    <x v="472"/>
    <x v="543"/>
    <x v="637"/>
    <x v="637"/>
    <x v="628"/>
    <x v="1"/>
    <x v="632"/>
    <x v="637"/>
    <x v="459"/>
    <x v="0"/>
    <x v="0"/>
    <x v="0"/>
    <x v="103"/>
    <x v="15"/>
    <x v="267"/>
    <x v="5"/>
    <x v="1"/>
    <x v="1"/>
  </r>
  <r>
    <x v="0"/>
    <x v="113"/>
    <x v="169"/>
    <x v="119"/>
    <x v="88"/>
    <x v="385"/>
    <x v="162"/>
    <x v="4"/>
    <x v="125"/>
    <x v="297"/>
    <x v="473"/>
    <x v="544"/>
    <x v="638"/>
    <x v="638"/>
    <x v="629"/>
    <x v="1"/>
    <x v="633"/>
    <x v="638"/>
    <x v="499"/>
    <x v="0"/>
    <x v="0"/>
    <x v="6"/>
    <x v="4"/>
    <x v="4"/>
    <x v="308"/>
    <x v="38"/>
    <x v="12"/>
    <x v="1"/>
  </r>
  <r>
    <x v="0"/>
    <x v="318"/>
    <x v="273"/>
    <x v="61"/>
    <x v="47"/>
    <x v="331"/>
    <x v="145"/>
    <x v="619"/>
    <x v="178"/>
    <x v="269"/>
    <x v="474"/>
    <x v="489"/>
    <x v="639"/>
    <x v="639"/>
    <x v="630"/>
    <x v="0"/>
    <x v="634"/>
    <x v="639"/>
    <x v="209"/>
    <x v="0"/>
    <x v="0"/>
    <x v="0"/>
    <x v="103"/>
    <x v="20"/>
    <x v="117"/>
    <x v="15"/>
    <x v="1"/>
    <x v="1"/>
  </r>
  <r>
    <x v="0"/>
    <x v="319"/>
    <x v="362"/>
    <x v="58"/>
    <x v="198"/>
    <x v="386"/>
    <x v="21"/>
    <x v="620"/>
    <x v="285"/>
    <x v="298"/>
    <x v="475"/>
    <x v="545"/>
    <x v="640"/>
    <x v="640"/>
    <x v="631"/>
    <x v="0"/>
    <x v="635"/>
    <x v="640"/>
    <x v="149"/>
    <x v="0"/>
    <x v="1"/>
    <x v="0"/>
    <x v="82"/>
    <x v="1"/>
    <x v="309"/>
    <x v="28"/>
    <x v="1"/>
    <x v="1"/>
  </r>
  <r>
    <x v="0"/>
    <x v="38"/>
    <x v="66"/>
    <x v="1"/>
    <x v="25"/>
    <x v="47"/>
    <x v="10"/>
    <x v="621"/>
    <x v="108"/>
    <x v="33"/>
    <x v="84"/>
    <x v="546"/>
    <x v="641"/>
    <x v="641"/>
    <x v="632"/>
    <x v="4"/>
    <x v="636"/>
    <x v="641"/>
    <x v="500"/>
    <x v="0"/>
    <x v="0"/>
    <x v="4"/>
    <x v="80"/>
    <x v="20"/>
    <x v="20"/>
    <x v="35"/>
    <x v="3"/>
    <x v="31"/>
  </r>
  <r>
    <x v="0"/>
    <x v="320"/>
    <x v="210"/>
    <x v="5"/>
    <x v="199"/>
    <x v="26"/>
    <x v="22"/>
    <x v="622"/>
    <x v="28"/>
    <x v="299"/>
    <x v="143"/>
    <x v="31"/>
    <x v="642"/>
    <x v="642"/>
    <x v="633"/>
    <x v="1"/>
    <x v="637"/>
    <x v="642"/>
    <x v="324"/>
    <x v="0"/>
    <x v="0"/>
    <x v="0"/>
    <x v="103"/>
    <x v="11"/>
    <x v="13"/>
    <x v="12"/>
    <x v="1"/>
    <x v="121"/>
  </r>
  <r>
    <x v="0"/>
    <x v="220"/>
    <x v="290"/>
    <x v="46"/>
    <x v="152"/>
    <x v="387"/>
    <x v="35"/>
    <x v="623"/>
    <x v="286"/>
    <x v="65"/>
    <x v="476"/>
    <x v="547"/>
    <x v="643"/>
    <x v="643"/>
    <x v="634"/>
    <x v="1"/>
    <x v="638"/>
    <x v="643"/>
    <x v="345"/>
    <x v="0"/>
    <x v="0"/>
    <x v="0"/>
    <x v="80"/>
    <x v="21"/>
    <x v="310"/>
    <x v="21"/>
    <x v="15"/>
    <x v="1"/>
  </r>
  <r>
    <x v="0"/>
    <x v="175"/>
    <x v="229"/>
    <x v="33"/>
    <x v="126"/>
    <x v="388"/>
    <x v="0"/>
    <x v="624"/>
    <x v="29"/>
    <x v="300"/>
    <x v="265"/>
    <x v="548"/>
    <x v="644"/>
    <x v="644"/>
    <x v="635"/>
    <x v="0"/>
    <x v="639"/>
    <x v="644"/>
    <x v="501"/>
    <x v="0"/>
    <x v="0"/>
    <x v="2"/>
    <x v="106"/>
    <x v="19"/>
    <x v="179"/>
    <x v="32"/>
    <x v="3"/>
    <x v="67"/>
  </r>
  <r>
    <x v="0"/>
    <x v="321"/>
    <x v="177"/>
    <x v="16"/>
    <x v="200"/>
    <x v="389"/>
    <x v="2"/>
    <x v="625"/>
    <x v="251"/>
    <x v="130"/>
    <x v="97"/>
    <x v="549"/>
    <x v="645"/>
    <x v="645"/>
    <x v="636"/>
    <x v="1"/>
    <x v="640"/>
    <x v="645"/>
    <x v="362"/>
    <x v="0"/>
    <x v="0"/>
    <x v="4"/>
    <x v="76"/>
    <x v="17"/>
    <x v="70"/>
    <x v="34"/>
    <x v="1"/>
    <x v="86"/>
  </r>
  <r>
    <x v="0"/>
    <x v="38"/>
    <x v="363"/>
    <x v="13"/>
    <x v="25"/>
    <x v="390"/>
    <x v="29"/>
    <x v="626"/>
    <x v="256"/>
    <x v="58"/>
    <x v="326"/>
    <x v="550"/>
    <x v="646"/>
    <x v="646"/>
    <x v="637"/>
    <x v="0"/>
    <x v="641"/>
    <x v="646"/>
    <x v="62"/>
    <x v="0"/>
    <x v="0"/>
    <x v="0"/>
    <x v="48"/>
    <x v="3"/>
    <x v="117"/>
    <x v="38"/>
    <x v="1"/>
    <x v="73"/>
  </r>
  <r>
    <x v="0"/>
    <x v="44"/>
    <x v="13"/>
    <x v="16"/>
    <x v="0"/>
    <x v="345"/>
    <x v="11"/>
    <x v="627"/>
    <x v="46"/>
    <x v="63"/>
    <x v="477"/>
    <x v="551"/>
    <x v="647"/>
    <x v="647"/>
    <x v="638"/>
    <x v="3"/>
    <x v="642"/>
    <x v="647"/>
    <x v="502"/>
    <x v="0"/>
    <x v="0"/>
    <x v="4"/>
    <x v="107"/>
    <x v="15"/>
    <x v="311"/>
    <x v="50"/>
    <x v="1"/>
    <x v="68"/>
  </r>
  <r>
    <x v="0"/>
    <x v="84"/>
    <x v="171"/>
    <x v="35"/>
    <x v="67"/>
    <x v="391"/>
    <x v="10"/>
    <x v="628"/>
    <x v="172"/>
    <x v="33"/>
    <x v="478"/>
    <x v="552"/>
    <x v="648"/>
    <x v="648"/>
    <x v="639"/>
    <x v="0"/>
    <x v="643"/>
    <x v="648"/>
    <x v="495"/>
    <x v="0"/>
    <x v="0"/>
    <x v="2"/>
    <x v="108"/>
    <x v="16"/>
    <x v="36"/>
    <x v="32"/>
    <x v="1"/>
    <x v="9"/>
  </r>
  <r>
    <x v="0"/>
    <x v="130"/>
    <x v="128"/>
    <x v="18"/>
    <x v="96"/>
    <x v="152"/>
    <x v="66"/>
    <x v="206"/>
    <x v="46"/>
    <x v="117"/>
    <x v="171"/>
    <x v="188"/>
    <x v="211"/>
    <x v="211"/>
    <x v="207"/>
    <x v="0"/>
    <x v="209"/>
    <x v="211"/>
    <x v="199"/>
    <x v="0"/>
    <x v="0"/>
    <x v="4"/>
    <x v="48"/>
    <x v="22"/>
    <x v="115"/>
    <x v="7"/>
    <x v="3"/>
    <x v="1"/>
  </r>
  <r>
    <x v="0"/>
    <x v="322"/>
    <x v="227"/>
    <x v="27"/>
    <x v="91"/>
    <x v="392"/>
    <x v="163"/>
    <x v="629"/>
    <x v="35"/>
    <x v="301"/>
    <x v="479"/>
    <x v="553"/>
    <x v="649"/>
    <x v="649"/>
    <x v="640"/>
    <x v="0"/>
    <x v="644"/>
    <x v="649"/>
    <x v="392"/>
    <x v="0"/>
    <x v="0"/>
    <x v="3"/>
    <x v="81"/>
    <x v="19"/>
    <x v="180"/>
    <x v="34"/>
    <x v="3"/>
    <x v="103"/>
  </r>
  <r>
    <x v="0"/>
    <x v="323"/>
    <x v="54"/>
    <x v="44"/>
    <x v="0"/>
    <x v="21"/>
    <x v="24"/>
    <x v="630"/>
    <x v="225"/>
    <x v="25"/>
    <x v="480"/>
    <x v="28"/>
    <x v="650"/>
    <x v="650"/>
    <x v="641"/>
    <x v="1"/>
    <x v="645"/>
    <x v="650"/>
    <x v="350"/>
    <x v="0"/>
    <x v="0"/>
    <x v="0"/>
    <x v="109"/>
    <x v="3"/>
    <x v="44"/>
    <x v="32"/>
    <x v="3"/>
    <x v="149"/>
  </r>
  <r>
    <x v="0"/>
    <x v="324"/>
    <x v="155"/>
    <x v="73"/>
    <x v="0"/>
    <x v="299"/>
    <x v="10"/>
    <x v="631"/>
    <x v="105"/>
    <x v="33"/>
    <x v="481"/>
    <x v="394"/>
    <x v="651"/>
    <x v="651"/>
    <x v="642"/>
    <x v="4"/>
    <x v="646"/>
    <x v="651"/>
    <x v="503"/>
    <x v="0"/>
    <x v="0"/>
    <x v="2"/>
    <x v="48"/>
    <x v="20"/>
    <x v="312"/>
    <x v="12"/>
    <x v="3"/>
    <x v="1"/>
  </r>
  <r>
    <x v="0"/>
    <x v="167"/>
    <x v="247"/>
    <x v="11"/>
    <x v="120"/>
    <x v="43"/>
    <x v="94"/>
    <x v="632"/>
    <x v="125"/>
    <x v="166"/>
    <x v="201"/>
    <x v="554"/>
    <x v="652"/>
    <x v="652"/>
    <x v="643"/>
    <x v="4"/>
    <x v="647"/>
    <x v="652"/>
    <x v="230"/>
    <x v="0"/>
    <x v="0"/>
    <x v="4"/>
    <x v="48"/>
    <x v="8"/>
    <x v="13"/>
    <x v="8"/>
    <x v="1"/>
    <x v="1"/>
  </r>
  <r>
    <x v="0"/>
    <x v="30"/>
    <x v="150"/>
    <x v="16"/>
    <x v="22"/>
    <x v="393"/>
    <x v="25"/>
    <x v="633"/>
    <x v="287"/>
    <x v="82"/>
    <x v="482"/>
    <x v="555"/>
    <x v="653"/>
    <x v="653"/>
    <x v="644"/>
    <x v="0"/>
    <x v="648"/>
    <x v="653"/>
    <x v="395"/>
    <x v="0"/>
    <x v="0"/>
    <x v="0"/>
    <x v="48"/>
    <x v="20"/>
    <x v="216"/>
    <x v="10"/>
    <x v="1"/>
    <x v="1"/>
  </r>
  <r>
    <x v="0"/>
    <x v="235"/>
    <x v="364"/>
    <x v="54"/>
    <x v="157"/>
    <x v="88"/>
    <x v="20"/>
    <x v="634"/>
    <x v="200"/>
    <x v="21"/>
    <x v="422"/>
    <x v="556"/>
    <x v="654"/>
    <x v="654"/>
    <x v="645"/>
    <x v="3"/>
    <x v="649"/>
    <x v="654"/>
    <x v="269"/>
    <x v="0"/>
    <x v="0"/>
    <x v="4"/>
    <x v="48"/>
    <x v="5"/>
    <x v="284"/>
    <x v="4"/>
    <x v="1"/>
    <x v="68"/>
  </r>
  <r>
    <x v="0"/>
    <x v="325"/>
    <x v="55"/>
    <x v="64"/>
    <x v="201"/>
    <x v="224"/>
    <x v="55"/>
    <x v="635"/>
    <x v="288"/>
    <x v="302"/>
    <x v="483"/>
    <x v="557"/>
    <x v="655"/>
    <x v="655"/>
    <x v="646"/>
    <x v="0"/>
    <x v="650"/>
    <x v="655"/>
    <x v="268"/>
    <x v="0"/>
    <x v="0"/>
    <x v="0"/>
    <x v="48"/>
    <x v="11"/>
    <x v="313"/>
    <x v="13"/>
    <x v="1"/>
    <x v="50"/>
  </r>
  <r>
    <x v="1"/>
    <x v="326"/>
    <x v="244"/>
    <x v="29"/>
    <x v="121"/>
    <x v="229"/>
    <x v="17"/>
    <x v="636"/>
    <x v="2"/>
    <x v="303"/>
    <x v="484"/>
    <x v="558"/>
    <x v="656"/>
    <x v="656"/>
    <x v="647"/>
    <x v="1"/>
    <x v="651"/>
    <x v="656"/>
    <x v="105"/>
    <x v="0"/>
    <x v="0"/>
    <x v="0"/>
    <x v="48"/>
    <x v="21"/>
    <x v="314"/>
    <x v="21"/>
    <x v="1"/>
    <x v="1"/>
  </r>
  <r>
    <x v="0"/>
    <x v="200"/>
    <x v="336"/>
    <x v="23"/>
    <x v="140"/>
    <x v="394"/>
    <x v="57"/>
    <x v="637"/>
    <x v="2"/>
    <x v="237"/>
    <x v="485"/>
    <x v="559"/>
    <x v="657"/>
    <x v="657"/>
    <x v="648"/>
    <x v="1"/>
    <x v="652"/>
    <x v="657"/>
    <x v="497"/>
    <x v="0"/>
    <x v="0"/>
    <x v="4"/>
    <x v="80"/>
    <x v="27"/>
    <x v="315"/>
    <x v="21"/>
    <x v="1"/>
    <x v="1"/>
  </r>
  <r>
    <x v="0"/>
    <x v="134"/>
    <x v="365"/>
    <x v="26"/>
    <x v="99"/>
    <x v="158"/>
    <x v="164"/>
    <x v="638"/>
    <x v="23"/>
    <x v="304"/>
    <x v="486"/>
    <x v="194"/>
    <x v="658"/>
    <x v="658"/>
    <x v="649"/>
    <x v="4"/>
    <x v="653"/>
    <x v="658"/>
    <x v="483"/>
    <x v="0"/>
    <x v="0"/>
    <x v="4"/>
    <x v="95"/>
    <x v="25"/>
    <x v="316"/>
    <x v="19"/>
    <x v="1"/>
    <x v="1"/>
  </r>
  <r>
    <x v="0"/>
    <x v="71"/>
    <x v="366"/>
    <x v="27"/>
    <x v="56"/>
    <x v="212"/>
    <x v="57"/>
    <x v="639"/>
    <x v="35"/>
    <x v="99"/>
    <x v="487"/>
    <x v="560"/>
    <x v="659"/>
    <x v="659"/>
    <x v="650"/>
    <x v="1"/>
    <x v="654"/>
    <x v="659"/>
    <x v="301"/>
    <x v="0"/>
    <x v="0"/>
    <x v="2"/>
    <x v="81"/>
    <x v="21"/>
    <x v="317"/>
    <x v="9"/>
    <x v="3"/>
    <x v="1"/>
  </r>
  <r>
    <x v="0"/>
    <x v="78"/>
    <x v="354"/>
    <x v="74"/>
    <x v="0"/>
    <x v="395"/>
    <x v="25"/>
    <x v="640"/>
    <x v="223"/>
    <x v="76"/>
    <x v="488"/>
    <x v="561"/>
    <x v="660"/>
    <x v="660"/>
    <x v="651"/>
    <x v="0"/>
    <x v="655"/>
    <x v="660"/>
    <x v="504"/>
    <x v="0"/>
    <x v="0"/>
    <x v="0"/>
    <x v="107"/>
    <x v="7"/>
    <x v="30"/>
    <x v="19"/>
    <x v="3"/>
    <x v="1"/>
  </r>
  <r>
    <x v="0"/>
    <x v="36"/>
    <x v="142"/>
    <x v="85"/>
    <x v="26"/>
    <x v="355"/>
    <x v="94"/>
    <x v="641"/>
    <x v="270"/>
    <x v="218"/>
    <x v="489"/>
    <x v="562"/>
    <x v="661"/>
    <x v="661"/>
    <x v="652"/>
    <x v="1"/>
    <x v="656"/>
    <x v="661"/>
    <x v="434"/>
    <x v="0"/>
    <x v="0"/>
    <x v="0"/>
    <x v="48"/>
    <x v="17"/>
    <x v="9"/>
    <x v="21"/>
    <x v="3"/>
    <x v="1"/>
  </r>
  <r>
    <x v="0"/>
    <x v="327"/>
    <x v="13"/>
    <x v="77"/>
    <x v="202"/>
    <x v="396"/>
    <x v="165"/>
    <x v="642"/>
    <x v="127"/>
    <x v="305"/>
    <x v="490"/>
    <x v="563"/>
    <x v="662"/>
    <x v="662"/>
    <x v="653"/>
    <x v="0"/>
    <x v="657"/>
    <x v="662"/>
    <x v="505"/>
    <x v="0"/>
    <x v="0"/>
    <x v="4"/>
    <x v="48"/>
    <x v="3"/>
    <x v="318"/>
    <x v="21"/>
    <x v="1"/>
    <x v="109"/>
  </r>
  <r>
    <x v="0"/>
    <x v="328"/>
    <x v="89"/>
    <x v="88"/>
    <x v="0"/>
    <x v="282"/>
    <x v="14"/>
    <x v="643"/>
    <x v="150"/>
    <x v="56"/>
    <x v="491"/>
    <x v="564"/>
    <x v="663"/>
    <x v="663"/>
    <x v="654"/>
    <x v="1"/>
    <x v="658"/>
    <x v="663"/>
    <x v="506"/>
    <x v="0"/>
    <x v="1"/>
    <x v="4"/>
    <x v="48"/>
    <x v="15"/>
    <x v="319"/>
    <x v="11"/>
    <x v="10"/>
    <x v="7"/>
  </r>
  <r>
    <x v="0"/>
    <x v="329"/>
    <x v="340"/>
    <x v="34"/>
    <x v="146"/>
    <x v="165"/>
    <x v="35"/>
    <x v="644"/>
    <x v="289"/>
    <x v="306"/>
    <x v="357"/>
    <x v="565"/>
    <x v="664"/>
    <x v="664"/>
    <x v="655"/>
    <x v="5"/>
    <x v="659"/>
    <x v="664"/>
    <x v="507"/>
    <x v="0"/>
    <x v="0"/>
    <x v="2"/>
    <x v="48"/>
    <x v="11"/>
    <x v="30"/>
    <x v="31"/>
    <x v="6"/>
    <x v="37"/>
  </r>
  <r>
    <x v="0"/>
    <x v="330"/>
    <x v="367"/>
    <x v="72"/>
    <x v="171"/>
    <x v="135"/>
    <x v="14"/>
    <x v="645"/>
    <x v="245"/>
    <x v="14"/>
    <x v="279"/>
    <x v="566"/>
    <x v="665"/>
    <x v="665"/>
    <x v="656"/>
    <x v="0"/>
    <x v="660"/>
    <x v="665"/>
    <x v="59"/>
    <x v="0"/>
    <x v="0"/>
    <x v="4"/>
    <x v="110"/>
    <x v="2"/>
    <x v="190"/>
    <x v="4"/>
    <x v="3"/>
    <x v="33"/>
  </r>
  <r>
    <x v="0"/>
    <x v="32"/>
    <x v="330"/>
    <x v="33"/>
    <x v="24"/>
    <x v="397"/>
    <x v="3"/>
    <x v="646"/>
    <x v="106"/>
    <x v="3"/>
    <x v="492"/>
    <x v="567"/>
    <x v="666"/>
    <x v="666"/>
    <x v="657"/>
    <x v="3"/>
    <x v="661"/>
    <x v="666"/>
    <x v="102"/>
    <x v="0"/>
    <x v="0"/>
    <x v="0"/>
    <x v="48"/>
    <x v="3"/>
    <x v="30"/>
    <x v="22"/>
    <x v="1"/>
    <x v="45"/>
  </r>
  <r>
    <x v="0"/>
    <x v="331"/>
    <x v="112"/>
    <x v="40"/>
    <x v="203"/>
    <x v="255"/>
    <x v="17"/>
    <x v="647"/>
    <x v="290"/>
    <x v="32"/>
    <x v="493"/>
    <x v="329"/>
    <x v="667"/>
    <x v="667"/>
    <x v="658"/>
    <x v="0"/>
    <x v="662"/>
    <x v="667"/>
    <x v="181"/>
    <x v="0"/>
    <x v="0"/>
    <x v="4"/>
    <x v="48"/>
    <x v="14"/>
    <x v="30"/>
    <x v="18"/>
    <x v="1"/>
    <x v="1"/>
  </r>
  <r>
    <x v="0"/>
    <x v="213"/>
    <x v="241"/>
    <x v="37"/>
    <x v="147"/>
    <x v="39"/>
    <x v="0"/>
    <x v="4"/>
    <x v="108"/>
    <x v="307"/>
    <x v="494"/>
    <x v="568"/>
    <x v="668"/>
    <x v="668"/>
    <x v="659"/>
    <x v="0"/>
    <x v="663"/>
    <x v="668"/>
    <x v="101"/>
    <x v="0"/>
    <x v="0"/>
    <x v="0"/>
    <x v="111"/>
    <x v="31"/>
    <x v="30"/>
    <x v="21"/>
    <x v="3"/>
    <x v="1"/>
  </r>
  <r>
    <x v="0"/>
    <x v="272"/>
    <x v="338"/>
    <x v="14"/>
    <x v="0"/>
    <x v="273"/>
    <x v="166"/>
    <x v="648"/>
    <x v="200"/>
    <x v="308"/>
    <x v="495"/>
    <x v="569"/>
    <x v="669"/>
    <x v="669"/>
    <x v="660"/>
    <x v="0"/>
    <x v="664"/>
    <x v="669"/>
    <x v="486"/>
    <x v="0"/>
    <x v="10"/>
    <x v="4"/>
    <x v="48"/>
    <x v="20"/>
    <x v="320"/>
    <x v="10"/>
    <x v="1"/>
    <x v="150"/>
  </r>
  <r>
    <x v="0"/>
    <x v="216"/>
    <x v="178"/>
    <x v="45"/>
    <x v="149"/>
    <x v="398"/>
    <x v="21"/>
    <x v="649"/>
    <x v="179"/>
    <x v="174"/>
    <x v="496"/>
    <x v="570"/>
    <x v="670"/>
    <x v="670"/>
    <x v="661"/>
    <x v="0"/>
    <x v="665"/>
    <x v="670"/>
    <x v="480"/>
    <x v="0"/>
    <x v="8"/>
    <x v="4"/>
    <x v="48"/>
    <x v="3"/>
    <x v="30"/>
    <x v="28"/>
    <x v="1"/>
    <x v="121"/>
  </r>
  <r>
    <x v="0"/>
    <x v="216"/>
    <x v="223"/>
    <x v="70"/>
    <x v="149"/>
    <x v="296"/>
    <x v="8"/>
    <x v="650"/>
    <x v="222"/>
    <x v="35"/>
    <x v="389"/>
    <x v="390"/>
    <x v="671"/>
    <x v="671"/>
    <x v="662"/>
    <x v="2"/>
    <x v="666"/>
    <x v="671"/>
    <x v="376"/>
    <x v="0"/>
    <x v="0"/>
    <x v="4"/>
    <x v="91"/>
    <x v="8"/>
    <x v="261"/>
    <x v="21"/>
    <x v="1"/>
    <x v="1"/>
  </r>
  <r>
    <x v="0"/>
    <x v="200"/>
    <x v="160"/>
    <x v="61"/>
    <x v="140"/>
    <x v="399"/>
    <x v="154"/>
    <x v="651"/>
    <x v="80"/>
    <x v="309"/>
    <x v="497"/>
    <x v="571"/>
    <x v="672"/>
    <x v="672"/>
    <x v="663"/>
    <x v="4"/>
    <x v="667"/>
    <x v="672"/>
    <x v="269"/>
    <x v="0"/>
    <x v="0"/>
    <x v="4"/>
    <x v="48"/>
    <x v="25"/>
    <x v="321"/>
    <x v="10"/>
    <x v="1"/>
    <x v="86"/>
  </r>
  <r>
    <x v="0"/>
    <x v="332"/>
    <x v="295"/>
    <x v="24"/>
    <x v="204"/>
    <x v="127"/>
    <x v="167"/>
    <x v="652"/>
    <x v="65"/>
    <x v="310"/>
    <x v="498"/>
    <x v="572"/>
    <x v="673"/>
    <x v="673"/>
    <x v="664"/>
    <x v="1"/>
    <x v="668"/>
    <x v="673"/>
    <x v="35"/>
    <x v="0"/>
    <x v="0"/>
    <x v="4"/>
    <x v="48"/>
    <x v="21"/>
    <x v="322"/>
    <x v="5"/>
    <x v="1"/>
    <x v="151"/>
  </r>
  <r>
    <x v="0"/>
    <x v="47"/>
    <x v="243"/>
    <x v="59"/>
    <x v="32"/>
    <x v="198"/>
    <x v="30"/>
    <x v="653"/>
    <x v="12"/>
    <x v="224"/>
    <x v="153"/>
    <x v="573"/>
    <x v="674"/>
    <x v="674"/>
    <x v="665"/>
    <x v="0"/>
    <x v="669"/>
    <x v="674"/>
    <x v="492"/>
    <x v="0"/>
    <x v="0"/>
    <x v="2"/>
    <x v="48"/>
    <x v="12"/>
    <x v="20"/>
    <x v="9"/>
    <x v="3"/>
    <x v="1"/>
  </r>
  <r>
    <x v="0"/>
    <x v="68"/>
    <x v="26"/>
    <x v="12"/>
    <x v="53"/>
    <x v="348"/>
    <x v="2"/>
    <x v="654"/>
    <x v="270"/>
    <x v="75"/>
    <x v="499"/>
    <x v="574"/>
    <x v="675"/>
    <x v="675"/>
    <x v="666"/>
    <x v="4"/>
    <x v="670"/>
    <x v="675"/>
    <x v="508"/>
    <x v="0"/>
    <x v="0"/>
    <x v="4"/>
    <x v="107"/>
    <x v="15"/>
    <x v="323"/>
    <x v="36"/>
    <x v="1"/>
    <x v="10"/>
  </r>
  <r>
    <x v="0"/>
    <x v="32"/>
    <x v="368"/>
    <x v="22"/>
    <x v="24"/>
    <x v="204"/>
    <x v="2"/>
    <x v="655"/>
    <x v="291"/>
    <x v="72"/>
    <x v="500"/>
    <x v="575"/>
    <x v="676"/>
    <x v="676"/>
    <x v="667"/>
    <x v="0"/>
    <x v="671"/>
    <x v="676"/>
    <x v="509"/>
    <x v="0"/>
    <x v="0"/>
    <x v="2"/>
    <x v="48"/>
    <x v="7"/>
    <x v="289"/>
    <x v="1"/>
    <x v="1"/>
    <x v="1"/>
  </r>
  <r>
    <x v="0"/>
    <x v="113"/>
    <x v="369"/>
    <x v="84"/>
    <x v="88"/>
    <x v="287"/>
    <x v="0"/>
    <x v="4"/>
    <x v="241"/>
    <x v="251"/>
    <x v="501"/>
    <x v="576"/>
    <x v="677"/>
    <x v="677"/>
    <x v="668"/>
    <x v="0"/>
    <x v="672"/>
    <x v="677"/>
    <x v="510"/>
    <x v="0"/>
    <x v="1"/>
    <x v="1"/>
    <x v="4"/>
    <x v="4"/>
    <x v="156"/>
    <x v="14"/>
    <x v="2"/>
    <x v="1"/>
  </r>
  <r>
    <x v="0"/>
    <x v="333"/>
    <x v="370"/>
    <x v="7"/>
    <x v="151"/>
    <x v="258"/>
    <x v="57"/>
    <x v="656"/>
    <x v="121"/>
    <x v="99"/>
    <x v="230"/>
    <x v="335"/>
    <x v="678"/>
    <x v="678"/>
    <x v="669"/>
    <x v="0"/>
    <x v="673"/>
    <x v="678"/>
    <x v="61"/>
    <x v="0"/>
    <x v="0"/>
    <x v="4"/>
    <x v="80"/>
    <x v="23"/>
    <x v="156"/>
    <x v="20"/>
    <x v="3"/>
    <x v="1"/>
  </r>
  <r>
    <x v="0"/>
    <x v="324"/>
    <x v="370"/>
    <x v="72"/>
    <x v="0"/>
    <x v="400"/>
    <x v="43"/>
    <x v="657"/>
    <x v="70"/>
    <x v="311"/>
    <x v="502"/>
    <x v="577"/>
    <x v="679"/>
    <x v="679"/>
    <x v="670"/>
    <x v="1"/>
    <x v="674"/>
    <x v="679"/>
    <x v="212"/>
    <x v="0"/>
    <x v="10"/>
    <x v="4"/>
    <x v="48"/>
    <x v="21"/>
    <x v="324"/>
    <x v="40"/>
    <x v="3"/>
    <x v="152"/>
  </r>
  <r>
    <x v="0"/>
    <x v="334"/>
    <x v="250"/>
    <x v="80"/>
    <x v="183"/>
    <x v="239"/>
    <x v="97"/>
    <x v="658"/>
    <x v="292"/>
    <x v="312"/>
    <x v="503"/>
    <x v="304"/>
    <x v="680"/>
    <x v="680"/>
    <x v="671"/>
    <x v="0"/>
    <x v="675"/>
    <x v="680"/>
    <x v="357"/>
    <x v="0"/>
    <x v="5"/>
    <x v="0"/>
    <x v="48"/>
    <x v="11"/>
    <x v="325"/>
    <x v="37"/>
    <x v="1"/>
    <x v="61"/>
  </r>
  <r>
    <x v="0"/>
    <x v="335"/>
    <x v="238"/>
    <x v="29"/>
    <x v="67"/>
    <x v="401"/>
    <x v="37"/>
    <x v="659"/>
    <x v="152"/>
    <x v="313"/>
    <x v="504"/>
    <x v="578"/>
    <x v="681"/>
    <x v="681"/>
    <x v="672"/>
    <x v="0"/>
    <x v="676"/>
    <x v="681"/>
    <x v="460"/>
    <x v="0"/>
    <x v="1"/>
    <x v="0"/>
    <x v="95"/>
    <x v="12"/>
    <x v="326"/>
    <x v="8"/>
    <x v="1"/>
    <x v="1"/>
  </r>
  <r>
    <x v="0"/>
    <x v="318"/>
    <x v="128"/>
    <x v="7"/>
    <x v="47"/>
    <x v="1"/>
    <x v="22"/>
    <x v="660"/>
    <x v="234"/>
    <x v="80"/>
    <x v="74"/>
    <x v="579"/>
    <x v="682"/>
    <x v="682"/>
    <x v="673"/>
    <x v="0"/>
    <x v="677"/>
    <x v="682"/>
    <x v="328"/>
    <x v="0"/>
    <x v="4"/>
    <x v="0"/>
    <x v="112"/>
    <x v="12"/>
    <x v="30"/>
    <x v="30"/>
    <x v="1"/>
    <x v="1"/>
  </r>
  <r>
    <x v="1"/>
    <x v="336"/>
    <x v="124"/>
    <x v="58"/>
    <x v="205"/>
    <x v="73"/>
    <x v="29"/>
    <x v="661"/>
    <x v="23"/>
    <x v="58"/>
    <x v="259"/>
    <x v="580"/>
    <x v="683"/>
    <x v="683"/>
    <x v="674"/>
    <x v="3"/>
    <x v="678"/>
    <x v="683"/>
    <x v="63"/>
    <x v="0"/>
    <x v="0"/>
    <x v="4"/>
    <x v="48"/>
    <x v="11"/>
    <x v="44"/>
    <x v="12"/>
    <x v="3"/>
    <x v="121"/>
  </r>
  <r>
    <x v="0"/>
    <x v="207"/>
    <x v="368"/>
    <x v="82"/>
    <x v="90"/>
    <x v="223"/>
    <x v="2"/>
    <x v="662"/>
    <x v="293"/>
    <x v="42"/>
    <x v="333"/>
    <x v="581"/>
    <x v="684"/>
    <x v="684"/>
    <x v="675"/>
    <x v="1"/>
    <x v="679"/>
    <x v="684"/>
    <x v="511"/>
    <x v="0"/>
    <x v="0"/>
    <x v="4"/>
    <x v="113"/>
    <x v="15"/>
    <x v="30"/>
    <x v="37"/>
    <x v="3"/>
    <x v="153"/>
  </r>
  <r>
    <x v="0"/>
    <x v="337"/>
    <x v="371"/>
    <x v="61"/>
    <x v="206"/>
    <x v="402"/>
    <x v="168"/>
    <x v="663"/>
    <x v="294"/>
    <x v="314"/>
    <x v="505"/>
    <x v="582"/>
    <x v="685"/>
    <x v="685"/>
    <x v="676"/>
    <x v="0"/>
    <x v="680"/>
    <x v="685"/>
    <x v="35"/>
    <x v="0"/>
    <x v="1"/>
    <x v="0"/>
    <x v="97"/>
    <x v="2"/>
    <x v="319"/>
    <x v="1"/>
    <x v="1"/>
    <x v="13"/>
  </r>
  <r>
    <x v="0"/>
    <x v="178"/>
    <x v="84"/>
    <x v="21"/>
    <x v="128"/>
    <x v="403"/>
    <x v="169"/>
    <x v="664"/>
    <x v="295"/>
    <x v="315"/>
    <x v="506"/>
    <x v="583"/>
    <x v="686"/>
    <x v="686"/>
    <x v="677"/>
    <x v="0"/>
    <x v="681"/>
    <x v="686"/>
    <x v="202"/>
    <x v="0"/>
    <x v="8"/>
    <x v="4"/>
    <x v="95"/>
    <x v="7"/>
    <x v="327"/>
    <x v="7"/>
    <x v="1"/>
    <x v="18"/>
  </r>
  <r>
    <x v="0"/>
    <x v="190"/>
    <x v="123"/>
    <x v="50"/>
    <x v="135"/>
    <x v="404"/>
    <x v="170"/>
    <x v="665"/>
    <x v="132"/>
    <x v="316"/>
    <x v="507"/>
    <x v="584"/>
    <x v="687"/>
    <x v="687"/>
    <x v="678"/>
    <x v="4"/>
    <x v="682"/>
    <x v="687"/>
    <x v="512"/>
    <x v="0"/>
    <x v="0"/>
    <x v="0"/>
    <x v="107"/>
    <x v="19"/>
    <x v="328"/>
    <x v="5"/>
    <x v="1"/>
    <x v="1"/>
  </r>
  <r>
    <x v="0"/>
    <x v="95"/>
    <x v="291"/>
    <x v="50"/>
    <x v="74"/>
    <x v="405"/>
    <x v="25"/>
    <x v="666"/>
    <x v="91"/>
    <x v="76"/>
    <x v="99"/>
    <x v="585"/>
    <x v="688"/>
    <x v="688"/>
    <x v="679"/>
    <x v="1"/>
    <x v="683"/>
    <x v="688"/>
    <x v="356"/>
    <x v="0"/>
    <x v="14"/>
    <x v="2"/>
    <x v="48"/>
    <x v="0"/>
    <x v="71"/>
    <x v="22"/>
    <x v="1"/>
    <x v="1"/>
  </r>
  <r>
    <x v="0"/>
    <x v="38"/>
    <x v="250"/>
    <x v="46"/>
    <x v="25"/>
    <x v="72"/>
    <x v="171"/>
    <x v="667"/>
    <x v="84"/>
    <x v="317"/>
    <x v="508"/>
    <x v="586"/>
    <x v="689"/>
    <x v="689"/>
    <x v="680"/>
    <x v="0"/>
    <x v="684"/>
    <x v="689"/>
    <x v="513"/>
    <x v="0"/>
    <x v="0"/>
    <x v="0"/>
    <x v="107"/>
    <x v="27"/>
    <x v="329"/>
    <x v="14"/>
    <x v="3"/>
    <x v="64"/>
  </r>
  <r>
    <x v="0"/>
    <x v="321"/>
    <x v="361"/>
    <x v="120"/>
    <x v="200"/>
    <x v="157"/>
    <x v="35"/>
    <x v="668"/>
    <x v="296"/>
    <x v="184"/>
    <x v="509"/>
    <x v="587"/>
    <x v="690"/>
    <x v="690"/>
    <x v="681"/>
    <x v="0"/>
    <x v="685"/>
    <x v="690"/>
    <x v="147"/>
    <x v="0"/>
    <x v="0"/>
    <x v="0"/>
    <x v="107"/>
    <x v="24"/>
    <x v="330"/>
    <x v="4"/>
    <x v="1"/>
    <x v="1"/>
  </r>
  <r>
    <x v="0"/>
    <x v="120"/>
    <x v="372"/>
    <x v="8"/>
    <x v="77"/>
    <x v="406"/>
    <x v="2"/>
    <x v="669"/>
    <x v="28"/>
    <x v="42"/>
    <x v="510"/>
    <x v="588"/>
    <x v="691"/>
    <x v="691"/>
    <x v="682"/>
    <x v="1"/>
    <x v="686"/>
    <x v="691"/>
    <x v="431"/>
    <x v="0"/>
    <x v="0"/>
    <x v="0"/>
    <x v="108"/>
    <x v="24"/>
    <x v="331"/>
    <x v="8"/>
    <x v="1"/>
    <x v="1"/>
  </r>
  <r>
    <x v="0"/>
    <x v="338"/>
    <x v="373"/>
    <x v="33"/>
    <x v="123"/>
    <x v="321"/>
    <x v="146"/>
    <x v="670"/>
    <x v="14"/>
    <x v="318"/>
    <x v="511"/>
    <x v="589"/>
    <x v="692"/>
    <x v="692"/>
    <x v="683"/>
    <x v="3"/>
    <x v="687"/>
    <x v="692"/>
    <x v="514"/>
    <x v="4"/>
    <x v="9"/>
    <x v="4"/>
    <x v="48"/>
    <x v="2"/>
    <x v="332"/>
    <x v="9"/>
    <x v="1"/>
    <x v="1"/>
  </r>
  <r>
    <x v="0"/>
    <x v="339"/>
    <x v="239"/>
    <x v="42"/>
    <x v="207"/>
    <x v="407"/>
    <x v="33"/>
    <x v="671"/>
    <x v="70"/>
    <x v="149"/>
    <x v="512"/>
    <x v="590"/>
    <x v="693"/>
    <x v="693"/>
    <x v="684"/>
    <x v="1"/>
    <x v="688"/>
    <x v="693"/>
    <x v="68"/>
    <x v="0"/>
    <x v="0"/>
    <x v="0"/>
    <x v="113"/>
    <x v="7"/>
    <x v="333"/>
    <x v="44"/>
    <x v="3"/>
    <x v="1"/>
  </r>
  <r>
    <x v="0"/>
    <x v="65"/>
    <x v="305"/>
    <x v="38"/>
    <x v="50"/>
    <x v="408"/>
    <x v="2"/>
    <x v="672"/>
    <x v="297"/>
    <x v="72"/>
    <x v="22"/>
    <x v="591"/>
    <x v="694"/>
    <x v="694"/>
    <x v="685"/>
    <x v="0"/>
    <x v="689"/>
    <x v="694"/>
    <x v="515"/>
    <x v="0"/>
    <x v="10"/>
    <x v="0"/>
    <x v="108"/>
    <x v="21"/>
    <x v="19"/>
    <x v="4"/>
    <x v="1"/>
    <x v="1"/>
  </r>
  <r>
    <x v="0"/>
    <x v="340"/>
    <x v="346"/>
    <x v="37"/>
    <x v="0"/>
    <x v="210"/>
    <x v="172"/>
    <x v="673"/>
    <x v="105"/>
    <x v="319"/>
    <x v="486"/>
    <x v="592"/>
    <x v="695"/>
    <x v="695"/>
    <x v="686"/>
    <x v="0"/>
    <x v="690"/>
    <x v="695"/>
    <x v="178"/>
    <x v="0"/>
    <x v="0"/>
    <x v="0"/>
    <x v="108"/>
    <x v="16"/>
    <x v="316"/>
    <x v="2"/>
    <x v="1"/>
    <x v="1"/>
  </r>
  <r>
    <x v="0"/>
    <x v="341"/>
    <x v="322"/>
    <x v="101"/>
    <x v="69"/>
    <x v="147"/>
    <x v="22"/>
    <x v="674"/>
    <x v="298"/>
    <x v="77"/>
    <x v="513"/>
    <x v="179"/>
    <x v="696"/>
    <x v="696"/>
    <x v="687"/>
    <x v="5"/>
    <x v="691"/>
    <x v="696"/>
    <x v="384"/>
    <x v="0"/>
    <x v="0"/>
    <x v="0"/>
    <x v="108"/>
    <x v="8"/>
    <x v="334"/>
    <x v="45"/>
    <x v="1"/>
    <x v="1"/>
  </r>
  <r>
    <x v="0"/>
    <x v="342"/>
    <x v="316"/>
    <x v="31"/>
    <x v="31"/>
    <x v="409"/>
    <x v="2"/>
    <x v="675"/>
    <x v="26"/>
    <x v="172"/>
    <x v="514"/>
    <x v="593"/>
    <x v="697"/>
    <x v="697"/>
    <x v="688"/>
    <x v="4"/>
    <x v="692"/>
    <x v="697"/>
    <x v="353"/>
    <x v="0"/>
    <x v="0"/>
    <x v="4"/>
    <x v="114"/>
    <x v="18"/>
    <x v="260"/>
    <x v="18"/>
    <x v="1"/>
    <x v="1"/>
  </r>
  <r>
    <x v="0"/>
    <x v="169"/>
    <x v="374"/>
    <x v="121"/>
    <x v="121"/>
    <x v="1"/>
    <x v="173"/>
    <x v="676"/>
    <x v="299"/>
    <x v="320"/>
    <x v="344"/>
    <x v="205"/>
    <x v="698"/>
    <x v="698"/>
    <x v="689"/>
    <x v="1"/>
    <x v="693"/>
    <x v="698"/>
    <x v="201"/>
    <x v="0"/>
    <x v="0"/>
    <x v="4"/>
    <x v="87"/>
    <x v="2"/>
    <x v="30"/>
    <x v="0"/>
    <x v="16"/>
    <x v="154"/>
  </r>
  <r>
    <x v="0"/>
    <x v="343"/>
    <x v="104"/>
    <x v="41"/>
    <x v="193"/>
    <x v="223"/>
    <x v="94"/>
    <x v="677"/>
    <x v="300"/>
    <x v="166"/>
    <x v="515"/>
    <x v="284"/>
    <x v="699"/>
    <x v="699"/>
    <x v="690"/>
    <x v="4"/>
    <x v="694"/>
    <x v="699"/>
    <x v="516"/>
    <x v="0"/>
    <x v="0"/>
    <x v="0"/>
    <x v="109"/>
    <x v="1"/>
    <x v="30"/>
    <x v="22"/>
    <x v="3"/>
    <x v="1"/>
  </r>
  <r>
    <x v="0"/>
    <x v="344"/>
    <x v="150"/>
    <x v="54"/>
    <x v="73"/>
    <x v="269"/>
    <x v="153"/>
    <x v="678"/>
    <x v="21"/>
    <x v="282"/>
    <x v="516"/>
    <x v="594"/>
    <x v="700"/>
    <x v="700"/>
    <x v="691"/>
    <x v="0"/>
    <x v="695"/>
    <x v="700"/>
    <x v="517"/>
    <x v="0"/>
    <x v="0"/>
    <x v="2"/>
    <x v="107"/>
    <x v="10"/>
    <x v="335"/>
    <x v="34"/>
    <x v="3"/>
    <x v="1"/>
  </r>
  <r>
    <x v="0"/>
    <x v="10"/>
    <x v="375"/>
    <x v="85"/>
    <x v="0"/>
    <x v="188"/>
    <x v="11"/>
    <x v="679"/>
    <x v="116"/>
    <x v="69"/>
    <x v="56"/>
    <x v="595"/>
    <x v="701"/>
    <x v="701"/>
    <x v="692"/>
    <x v="0"/>
    <x v="696"/>
    <x v="701"/>
    <x v="518"/>
    <x v="0"/>
    <x v="0"/>
    <x v="4"/>
    <x v="48"/>
    <x v="7"/>
    <x v="44"/>
    <x v="16"/>
    <x v="1"/>
    <x v="38"/>
  </r>
  <r>
    <x v="0"/>
    <x v="190"/>
    <x v="142"/>
    <x v="11"/>
    <x v="135"/>
    <x v="202"/>
    <x v="13"/>
    <x v="680"/>
    <x v="127"/>
    <x v="158"/>
    <x v="228"/>
    <x v="255"/>
    <x v="702"/>
    <x v="702"/>
    <x v="693"/>
    <x v="5"/>
    <x v="697"/>
    <x v="702"/>
    <x v="56"/>
    <x v="0"/>
    <x v="0"/>
    <x v="0"/>
    <x v="67"/>
    <x v="14"/>
    <x v="155"/>
    <x v="22"/>
    <x v="3"/>
    <x v="1"/>
  </r>
  <r>
    <x v="0"/>
    <x v="345"/>
    <x v="224"/>
    <x v="69"/>
    <x v="172"/>
    <x v="410"/>
    <x v="35"/>
    <x v="681"/>
    <x v="301"/>
    <x v="321"/>
    <x v="517"/>
    <x v="596"/>
    <x v="703"/>
    <x v="703"/>
    <x v="694"/>
    <x v="0"/>
    <x v="698"/>
    <x v="703"/>
    <x v="519"/>
    <x v="0"/>
    <x v="0"/>
    <x v="2"/>
    <x v="81"/>
    <x v="8"/>
    <x v="336"/>
    <x v="1"/>
    <x v="1"/>
    <x v="59"/>
  </r>
  <r>
    <x v="0"/>
    <x v="291"/>
    <x v="72"/>
    <x v="122"/>
    <x v="0"/>
    <x v="411"/>
    <x v="10"/>
    <x v="682"/>
    <x v="302"/>
    <x v="33"/>
    <x v="518"/>
    <x v="597"/>
    <x v="704"/>
    <x v="704"/>
    <x v="695"/>
    <x v="0"/>
    <x v="699"/>
    <x v="704"/>
    <x v="520"/>
    <x v="0"/>
    <x v="0"/>
    <x v="4"/>
    <x v="81"/>
    <x v="15"/>
    <x v="77"/>
    <x v="3"/>
    <x v="3"/>
    <x v="26"/>
  </r>
  <r>
    <x v="0"/>
    <x v="205"/>
    <x v="325"/>
    <x v="7"/>
    <x v="69"/>
    <x v="412"/>
    <x v="174"/>
    <x v="683"/>
    <x v="121"/>
    <x v="322"/>
    <x v="519"/>
    <x v="598"/>
    <x v="705"/>
    <x v="705"/>
    <x v="696"/>
    <x v="3"/>
    <x v="700"/>
    <x v="705"/>
    <x v="363"/>
    <x v="0"/>
    <x v="0"/>
    <x v="0"/>
    <x v="4"/>
    <x v="1"/>
    <x v="337"/>
    <x v="18"/>
    <x v="1"/>
    <x v="1"/>
  </r>
  <r>
    <x v="0"/>
    <x v="171"/>
    <x v="331"/>
    <x v="113"/>
    <x v="123"/>
    <x v="139"/>
    <x v="91"/>
    <x v="684"/>
    <x v="44"/>
    <x v="161"/>
    <x v="51"/>
    <x v="170"/>
    <x v="706"/>
    <x v="706"/>
    <x v="697"/>
    <x v="0"/>
    <x v="701"/>
    <x v="706"/>
    <x v="521"/>
    <x v="0"/>
    <x v="0"/>
    <x v="3"/>
    <x v="16"/>
    <x v="12"/>
    <x v="40"/>
    <x v="27"/>
    <x v="3"/>
    <x v="155"/>
  </r>
  <r>
    <x v="0"/>
    <x v="68"/>
    <x v="218"/>
    <x v="36"/>
    <x v="53"/>
    <x v="395"/>
    <x v="103"/>
    <x v="685"/>
    <x v="171"/>
    <x v="323"/>
    <x v="81"/>
    <x v="599"/>
    <x v="707"/>
    <x v="707"/>
    <x v="698"/>
    <x v="0"/>
    <x v="702"/>
    <x v="707"/>
    <x v="522"/>
    <x v="0"/>
    <x v="0"/>
    <x v="4"/>
    <x v="109"/>
    <x v="11"/>
    <x v="60"/>
    <x v="14"/>
    <x v="1"/>
    <x v="156"/>
  </r>
  <r>
    <x v="0"/>
    <x v="52"/>
    <x v="376"/>
    <x v="73"/>
    <x v="37"/>
    <x v="413"/>
    <x v="57"/>
    <x v="686"/>
    <x v="83"/>
    <x v="109"/>
    <x v="520"/>
    <x v="600"/>
    <x v="708"/>
    <x v="708"/>
    <x v="699"/>
    <x v="1"/>
    <x v="703"/>
    <x v="708"/>
    <x v="523"/>
    <x v="0"/>
    <x v="0"/>
    <x v="0"/>
    <x v="81"/>
    <x v="19"/>
    <x v="338"/>
    <x v="0"/>
    <x v="1"/>
    <x v="1"/>
  </r>
  <r>
    <x v="0"/>
    <x v="30"/>
    <x v="312"/>
    <x v="29"/>
    <x v="22"/>
    <x v="414"/>
    <x v="154"/>
    <x v="687"/>
    <x v="2"/>
    <x v="324"/>
    <x v="521"/>
    <x v="601"/>
    <x v="709"/>
    <x v="709"/>
    <x v="700"/>
    <x v="4"/>
    <x v="704"/>
    <x v="709"/>
    <x v="524"/>
    <x v="0"/>
    <x v="1"/>
    <x v="0"/>
    <x v="90"/>
    <x v="16"/>
    <x v="339"/>
    <x v="13"/>
    <x v="1"/>
    <x v="1"/>
  </r>
  <r>
    <x v="0"/>
    <x v="172"/>
    <x v="316"/>
    <x v="38"/>
    <x v="124"/>
    <x v="415"/>
    <x v="120"/>
    <x v="688"/>
    <x v="150"/>
    <x v="325"/>
    <x v="522"/>
    <x v="602"/>
    <x v="710"/>
    <x v="710"/>
    <x v="701"/>
    <x v="0"/>
    <x v="705"/>
    <x v="710"/>
    <x v="459"/>
    <x v="0"/>
    <x v="0"/>
    <x v="4"/>
    <x v="73"/>
    <x v="15"/>
    <x v="340"/>
    <x v="22"/>
    <x v="1"/>
    <x v="157"/>
  </r>
  <r>
    <x v="0"/>
    <x v="110"/>
    <x v="377"/>
    <x v="33"/>
    <x v="86"/>
    <x v="362"/>
    <x v="35"/>
    <x v="689"/>
    <x v="182"/>
    <x v="326"/>
    <x v="523"/>
    <x v="603"/>
    <x v="711"/>
    <x v="711"/>
    <x v="702"/>
    <x v="1"/>
    <x v="706"/>
    <x v="711"/>
    <x v="525"/>
    <x v="0"/>
    <x v="0"/>
    <x v="2"/>
    <x v="81"/>
    <x v="20"/>
    <x v="341"/>
    <x v="14"/>
    <x v="3"/>
    <x v="45"/>
  </r>
  <r>
    <x v="0"/>
    <x v="346"/>
    <x v="293"/>
    <x v="77"/>
    <x v="68"/>
    <x v="416"/>
    <x v="101"/>
    <x v="690"/>
    <x v="303"/>
    <x v="183"/>
    <x v="524"/>
    <x v="604"/>
    <x v="712"/>
    <x v="712"/>
    <x v="310"/>
    <x v="4"/>
    <x v="707"/>
    <x v="712"/>
    <x v="526"/>
    <x v="0"/>
    <x v="0"/>
    <x v="2"/>
    <x v="80"/>
    <x v="20"/>
    <x v="342"/>
    <x v="15"/>
    <x v="3"/>
    <x v="1"/>
  </r>
  <r>
    <x v="0"/>
    <x v="288"/>
    <x v="225"/>
    <x v="80"/>
    <x v="186"/>
    <x v="44"/>
    <x v="0"/>
    <x v="691"/>
    <x v="238"/>
    <x v="327"/>
    <x v="476"/>
    <x v="53"/>
    <x v="713"/>
    <x v="713"/>
    <x v="703"/>
    <x v="1"/>
    <x v="708"/>
    <x v="713"/>
    <x v="392"/>
    <x v="0"/>
    <x v="0"/>
    <x v="2"/>
    <x v="81"/>
    <x v="17"/>
    <x v="310"/>
    <x v="34"/>
    <x v="3"/>
    <x v="137"/>
  </r>
  <r>
    <x v="0"/>
    <x v="337"/>
    <x v="220"/>
    <x v="56"/>
    <x v="206"/>
    <x v="51"/>
    <x v="11"/>
    <x v="692"/>
    <x v="281"/>
    <x v="156"/>
    <x v="525"/>
    <x v="605"/>
    <x v="714"/>
    <x v="714"/>
    <x v="704"/>
    <x v="1"/>
    <x v="709"/>
    <x v="714"/>
    <x v="497"/>
    <x v="0"/>
    <x v="0"/>
    <x v="4"/>
    <x v="109"/>
    <x v="9"/>
    <x v="343"/>
    <x v="10"/>
    <x v="1"/>
    <x v="31"/>
  </r>
  <r>
    <x v="0"/>
    <x v="183"/>
    <x v="353"/>
    <x v="101"/>
    <x v="85"/>
    <x v="417"/>
    <x v="22"/>
    <x v="693"/>
    <x v="197"/>
    <x v="328"/>
    <x v="516"/>
    <x v="606"/>
    <x v="715"/>
    <x v="715"/>
    <x v="705"/>
    <x v="0"/>
    <x v="710"/>
    <x v="715"/>
    <x v="527"/>
    <x v="0"/>
    <x v="0"/>
    <x v="2"/>
    <x v="81"/>
    <x v="18"/>
    <x v="335"/>
    <x v="31"/>
    <x v="3"/>
    <x v="1"/>
  </r>
  <r>
    <x v="0"/>
    <x v="273"/>
    <x v="297"/>
    <x v="70"/>
    <x v="70"/>
    <x v="49"/>
    <x v="8"/>
    <x v="694"/>
    <x v="23"/>
    <x v="35"/>
    <x v="99"/>
    <x v="607"/>
    <x v="716"/>
    <x v="716"/>
    <x v="706"/>
    <x v="5"/>
    <x v="711"/>
    <x v="716"/>
    <x v="87"/>
    <x v="0"/>
    <x v="0"/>
    <x v="0"/>
    <x v="81"/>
    <x v="17"/>
    <x v="71"/>
    <x v="15"/>
    <x v="1"/>
    <x v="1"/>
  </r>
  <r>
    <x v="0"/>
    <x v="347"/>
    <x v="378"/>
    <x v="59"/>
    <x v="164"/>
    <x v="171"/>
    <x v="0"/>
    <x v="695"/>
    <x v="127"/>
    <x v="329"/>
    <x v="526"/>
    <x v="608"/>
    <x v="717"/>
    <x v="717"/>
    <x v="707"/>
    <x v="4"/>
    <x v="712"/>
    <x v="717"/>
    <x v="286"/>
    <x v="0"/>
    <x v="0"/>
    <x v="0"/>
    <x v="81"/>
    <x v="19"/>
    <x v="344"/>
    <x v="9"/>
    <x v="3"/>
    <x v="1"/>
  </r>
  <r>
    <x v="0"/>
    <x v="79"/>
    <x v="333"/>
    <x v="105"/>
    <x v="62"/>
    <x v="418"/>
    <x v="57"/>
    <x v="696"/>
    <x v="29"/>
    <x v="237"/>
    <x v="527"/>
    <x v="609"/>
    <x v="718"/>
    <x v="718"/>
    <x v="708"/>
    <x v="0"/>
    <x v="713"/>
    <x v="718"/>
    <x v="316"/>
    <x v="0"/>
    <x v="0"/>
    <x v="2"/>
    <x v="21"/>
    <x v="20"/>
    <x v="6"/>
    <x v="4"/>
    <x v="3"/>
    <x v="1"/>
  </r>
  <r>
    <x v="0"/>
    <x v="348"/>
    <x v="146"/>
    <x v="18"/>
    <x v="0"/>
    <x v="31"/>
    <x v="41"/>
    <x v="697"/>
    <x v="125"/>
    <x v="211"/>
    <x v="528"/>
    <x v="610"/>
    <x v="719"/>
    <x v="719"/>
    <x v="709"/>
    <x v="5"/>
    <x v="714"/>
    <x v="719"/>
    <x v="245"/>
    <x v="0"/>
    <x v="0"/>
    <x v="0"/>
    <x v="81"/>
    <x v="0"/>
    <x v="119"/>
    <x v="34"/>
    <x v="3"/>
    <x v="1"/>
  </r>
  <r>
    <x v="0"/>
    <x v="165"/>
    <x v="370"/>
    <x v="86"/>
    <x v="119"/>
    <x v="195"/>
    <x v="14"/>
    <x v="698"/>
    <x v="258"/>
    <x v="56"/>
    <x v="340"/>
    <x v="525"/>
    <x v="720"/>
    <x v="720"/>
    <x v="710"/>
    <x v="0"/>
    <x v="715"/>
    <x v="720"/>
    <x v="241"/>
    <x v="0"/>
    <x v="0"/>
    <x v="0"/>
    <x v="81"/>
    <x v="22"/>
    <x v="13"/>
    <x v="18"/>
    <x v="1"/>
    <x v="1"/>
  </r>
  <r>
    <x v="0"/>
    <x v="239"/>
    <x v="379"/>
    <x v="50"/>
    <x v="160"/>
    <x v="10"/>
    <x v="25"/>
    <x v="699"/>
    <x v="189"/>
    <x v="330"/>
    <x v="529"/>
    <x v="611"/>
    <x v="721"/>
    <x v="721"/>
    <x v="711"/>
    <x v="5"/>
    <x v="716"/>
    <x v="721"/>
    <x v="528"/>
    <x v="0"/>
    <x v="0"/>
    <x v="2"/>
    <x v="81"/>
    <x v="12"/>
    <x v="13"/>
    <x v="28"/>
    <x v="1"/>
    <x v="158"/>
  </r>
  <r>
    <x v="0"/>
    <x v="349"/>
    <x v="376"/>
    <x v="5"/>
    <x v="44"/>
    <x v="231"/>
    <x v="175"/>
    <x v="700"/>
    <x v="222"/>
    <x v="331"/>
    <x v="350"/>
    <x v="612"/>
    <x v="722"/>
    <x v="722"/>
    <x v="712"/>
    <x v="0"/>
    <x v="717"/>
    <x v="722"/>
    <x v="175"/>
    <x v="0"/>
    <x v="0"/>
    <x v="0"/>
    <x v="109"/>
    <x v="2"/>
    <x v="234"/>
    <x v="21"/>
    <x v="1"/>
    <x v="4"/>
  </r>
  <r>
    <x v="0"/>
    <x v="350"/>
    <x v="377"/>
    <x v="35"/>
    <x v="208"/>
    <x v="331"/>
    <x v="2"/>
    <x v="701"/>
    <x v="17"/>
    <x v="182"/>
    <x v="199"/>
    <x v="613"/>
    <x v="723"/>
    <x v="723"/>
    <x v="713"/>
    <x v="1"/>
    <x v="718"/>
    <x v="723"/>
    <x v="529"/>
    <x v="0"/>
    <x v="0"/>
    <x v="0"/>
    <x v="81"/>
    <x v="5"/>
    <x v="135"/>
    <x v="20"/>
    <x v="3"/>
    <x v="18"/>
  </r>
  <r>
    <x v="0"/>
    <x v="25"/>
    <x v="313"/>
    <x v="31"/>
    <x v="18"/>
    <x v="22"/>
    <x v="25"/>
    <x v="702"/>
    <x v="196"/>
    <x v="76"/>
    <x v="362"/>
    <x v="614"/>
    <x v="724"/>
    <x v="724"/>
    <x v="714"/>
    <x v="1"/>
    <x v="719"/>
    <x v="724"/>
    <x v="302"/>
    <x v="0"/>
    <x v="0"/>
    <x v="0"/>
    <x v="81"/>
    <x v="21"/>
    <x v="13"/>
    <x v="10"/>
    <x v="1"/>
    <x v="1"/>
  </r>
  <r>
    <x v="0"/>
    <x v="127"/>
    <x v="26"/>
    <x v="70"/>
    <x v="94"/>
    <x v="419"/>
    <x v="57"/>
    <x v="703"/>
    <x v="26"/>
    <x v="99"/>
    <x v="65"/>
    <x v="615"/>
    <x v="725"/>
    <x v="725"/>
    <x v="715"/>
    <x v="2"/>
    <x v="720"/>
    <x v="725"/>
    <x v="234"/>
    <x v="0"/>
    <x v="0"/>
    <x v="0"/>
    <x v="90"/>
    <x v="5"/>
    <x v="6"/>
    <x v="1"/>
    <x v="1"/>
    <x v="121"/>
  </r>
  <r>
    <x v="0"/>
    <x v="78"/>
    <x v="380"/>
    <x v="6"/>
    <x v="0"/>
    <x v="1"/>
    <x v="21"/>
    <x v="704"/>
    <x v="291"/>
    <x v="210"/>
    <x v="68"/>
    <x v="503"/>
    <x v="726"/>
    <x v="726"/>
    <x v="716"/>
    <x v="7"/>
    <x v="721"/>
    <x v="726"/>
    <x v="530"/>
    <x v="0"/>
    <x v="0"/>
    <x v="4"/>
    <x v="97"/>
    <x v="15"/>
    <x v="12"/>
    <x v="2"/>
    <x v="1"/>
    <x v="1"/>
  </r>
  <r>
    <x v="0"/>
    <x v="351"/>
    <x v="368"/>
    <x v="92"/>
    <x v="0"/>
    <x v="420"/>
    <x v="32"/>
    <x v="705"/>
    <x v="304"/>
    <x v="59"/>
    <x v="333"/>
    <x v="616"/>
    <x v="727"/>
    <x v="727"/>
    <x v="717"/>
    <x v="0"/>
    <x v="722"/>
    <x v="727"/>
    <x v="294"/>
    <x v="0"/>
    <x v="0"/>
    <x v="0"/>
    <x v="81"/>
    <x v="20"/>
    <x v="30"/>
    <x v="12"/>
    <x v="3"/>
    <x v="1"/>
  </r>
  <r>
    <x v="0"/>
    <x v="159"/>
    <x v="341"/>
    <x v="60"/>
    <x v="0"/>
    <x v="134"/>
    <x v="14"/>
    <x v="706"/>
    <x v="168"/>
    <x v="56"/>
    <x v="102"/>
    <x v="268"/>
    <x v="728"/>
    <x v="728"/>
    <x v="718"/>
    <x v="0"/>
    <x v="723"/>
    <x v="728"/>
    <x v="531"/>
    <x v="0"/>
    <x v="0"/>
    <x v="4"/>
    <x v="48"/>
    <x v="14"/>
    <x v="72"/>
    <x v="32"/>
    <x v="1"/>
    <x v="1"/>
  </r>
  <r>
    <x v="0"/>
    <x v="168"/>
    <x v="111"/>
    <x v="7"/>
    <x v="111"/>
    <x v="229"/>
    <x v="25"/>
    <x v="707"/>
    <x v="151"/>
    <x v="138"/>
    <x v="530"/>
    <x v="291"/>
    <x v="729"/>
    <x v="729"/>
    <x v="719"/>
    <x v="2"/>
    <x v="724"/>
    <x v="729"/>
    <x v="57"/>
    <x v="0"/>
    <x v="0"/>
    <x v="0"/>
    <x v="81"/>
    <x v="19"/>
    <x v="30"/>
    <x v="34"/>
    <x v="1"/>
    <x v="1"/>
  </r>
  <r>
    <x v="0"/>
    <x v="352"/>
    <x v="211"/>
    <x v="69"/>
    <x v="89"/>
    <x v="421"/>
    <x v="35"/>
    <x v="708"/>
    <x v="65"/>
    <x v="332"/>
    <x v="488"/>
    <x v="617"/>
    <x v="730"/>
    <x v="730"/>
    <x v="720"/>
    <x v="4"/>
    <x v="725"/>
    <x v="730"/>
    <x v="451"/>
    <x v="0"/>
    <x v="0"/>
    <x v="0"/>
    <x v="97"/>
    <x v="14"/>
    <x v="30"/>
    <x v="12"/>
    <x v="3"/>
    <x v="1"/>
  </r>
  <r>
    <x v="0"/>
    <x v="89"/>
    <x v="381"/>
    <x v="29"/>
    <x v="10"/>
    <x v="1"/>
    <x v="14"/>
    <x v="709"/>
    <x v="86"/>
    <x v="56"/>
    <x v="340"/>
    <x v="618"/>
    <x v="731"/>
    <x v="731"/>
    <x v="721"/>
    <x v="4"/>
    <x v="726"/>
    <x v="731"/>
    <x v="532"/>
    <x v="0"/>
    <x v="0"/>
    <x v="0"/>
    <x v="81"/>
    <x v="3"/>
    <x v="13"/>
    <x v="15"/>
    <x v="1"/>
    <x v="58"/>
  </r>
  <r>
    <x v="0"/>
    <x v="200"/>
    <x v="253"/>
    <x v="72"/>
    <x v="140"/>
    <x v="422"/>
    <x v="0"/>
    <x v="710"/>
    <x v="222"/>
    <x v="285"/>
    <x v="331"/>
    <x v="619"/>
    <x v="732"/>
    <x v="732"/>
    <x v="722"/>
    <x v="1"/>
    <x v="727"/>
    <x v="732"/>
    <x v="168"/>
    <x v="0"/>
    <x v="0"/>
    <x v="4"/>
    <x v="81"/>
    <x v="15"/>
    <x v="222"/>
    <x v="27"/>
    <x v="1"/>
    <x v="1"/>
  </r>
  <r>
    <x v="0"/>
    <x v="353"/>
    <x v="243"/>
    <x v="70"/>
    <x v="209"/>
    <x v="423"/>
    <x v="176"/>
    <x v="711"/>
    <x v="305"/>
    <x v="333"/>
    <x v="531"/>
    <x v="620"/>
    <x v="733"/>
    <x v="733"/>
    <x v="723"/>
    <x v="0"/>
    <x v="728"/>
    <x v="733"/>
    <x v="533"/>
    <x v="0"/>
    <x v="0"/>
    <x v="2"/>
    <x v="81"/>
    <x v="0"/>
    <x v="345"/>
    <x v="11"/>
    <x v="0"/>
    <x v="1"/>
  </r>
  <r>
    <x v="0"/>
    <x v="151"/>
    <x v="41"/>
    <x v="11"/>
    <x v="0"/>
    <x v="424"/>
    <x v="57"/>
    <x v="712"/>
    <x v="306"/>
    <x v="109"/>
    <x v="532"/>
    <x v="621"/>
    <x v="734"/>
    <x v="734"/>
    <x v="724"/>
    <x v="2"/>
    <x v="729"/>
    <x v="734"/>
    <x v="333"/>
    <x v="0"/>
    <x v="0"/>
    <x v="0"/>
    <x v="81"/>
    <x v="10"/>
    <x v="346"/>
    <x v="4"/>
    <x v="3"/>
    <x v="42"/>
  </r>
  <r>
    <x v="0"/>
    <x v="354"/>
    <x v="345"/>
    <x v="71"/>
    <x v="174"/>
    <x v="425"/>
    <x v="177"/>
    <x v="713"/>
    <x v="100"/>
    <x v="334"/>
    <x v="533"/>
    <x v="622"/>
    <x v="735"/>
    <x v="735"/>
    <x v="725"/>
    <x v="0"/>
    <x v="730"/>
    <x v="735"/>
    <x v="339"/>
    <x v="0"/>
    <x v="0"/>
    <x v="2"/>
    <x v="81"/>
    <x v="17"/>
    <x v="347"/>
    <x v="46"/>
    <x v="1"/>
    <x v="159"/>
  </r>
  <r>
    <x v="1"/>
    <x v="284"/>
    <x v="119"/>
    <x v="7"/>
    <x v="187"/>
    <x v="426"/>
    <x v="50"/>
    <x v="714"/>
    <x v="307"/>
    <x v="335"/>
    <x v="534"/>
    <x v="623"/>
    <x v="736"/>
    <x v="736"/>
    <x v="726"/>
    <x v="1"/>
    <x v="731"/>
    <x v="736"/>
    <x v="491"/>
    <x v="0"/>
    <x v="0"/>
    <x v="2"/>
    <x v="81"/>
    <x v="0"/>
    <x v="298"/>
    <x v="16"/>
    <x v="3"/>
    <x v="7"/>
  </r>
  <r>
    <x v="0"/>
    <x v="93"/>
    <x v="108"/>
    <x v="43"/>
    <x v="0"/>
    <x v="427"/>
    <x v="2"/>
    <x v="715"/>
    <x v="232"/>
    <x v="336"/>
    <x v="303"/>
    <x v="624"/>
    <x v="737"/>
    <x v="737"/>
    <x v="727"/>
    <x v="0"/>
    <x v="732"/>
    <x v="737"/>
    <x v="534"/>
    <x v="0"/>
    <x v="0"/>
    <x v="4"/>
    <x v="115"/>
    <x v="8"/>
    <x v="205"/>
    <x v="40"/>
    <x v="3"/>
    <x v="71"/>
  </r>
  <r>
    <x v="0"/>
    <x v="165"/>
    <x v="380"/>
    <x v="75"/>
    <x v="119"/>
    <x v="428"/>
    <x v="11"/>
    <x v="716"/>
    <x v="28"/>
    <x v="156"/>
    <x v="535"/>
    <x v="625"/>
    <x v="738"/>
    <x v="738"/>
    <x v="728"/>
    <x v="4"/>
    <x v="733"/>
    <x v="738"/>
    <x v="535"/>
    <x v="0"/>
    <x v="0"/>
    <x v="4"/>
    <x v="80"/>
    <x v="14"/>
    <x v="127"/>
    <x v="16"/>
    <x v="1"/>
    <x v="57"/>
  </r>
  <r>
    <x v="0"/>
    <x v="355"/>
    <x v="352"/>
    <x v="42"/>
    <x v="210"/>
    <x v="226"/>
    <x v="20"/>
    <x v="717"/>
    <x v="35"/>
    <x v="21"/>
    <x v="0"/>
    <x v="288"/>
    <x v="739"/>
    <x v="739"/>
    <x v="729"/>
    <x v="0"/>
    <x v="734"/>
    <x v="739"/>
    <x v="536"/>
    <x v="0"/>
    <x v="0"/>
    <x v="2"/>
    <x v="95"/>
    <x v="7"/>
    <x v="0"/>
    <x v="46"/>
    <x v="1"/>
    <x v="160"/>
  </r>
  <r>
    <x v="0"/>
    <x v="235"/>
    <x v="247"/>
    <x v="59"/>
    <x v="157"/>
    <x v="429"/>
    <x v="178"/>
    <x v="718"/>
    <x v="70"/>
    <x v="337"/>
    <x v="343"/>
    <x v="626"/>
    <x v="740"/>
    <x v="740"/>
    <x v="730"/>
    <x v="7"/>
    <x v="735"/>
    <x v="740"/>
    <x v="429"/>
    <x v="0"/>
    <x v="0"/>
    <x v="0"/>
    <x v="81"/>
    <x v="14"/>
    <x v="230"/>
    <x v="9"/>
    <x v="1"/>
    <x v="1"/>
  </r>
  <r>
    <x v="0"/>
    <x v="356"/>
    <x v="225"/>
    <x v="50"/>
    <x v="211"/>
    <x v="430"/>
    <x v="179"/>
    <x v="719"/>
    <x v="238"/>
    <x v="338"/>
    <x v="536"/>
    <x v="627"/>
    <x v="741"/>
    <x v="741"/>
    <x v="731"/>
    <x v="1"/>
    <x v="736"/>
    <x v="741"/>
    <x v="402"/>
    <x v="0"/>
    <x v="0"/>
    <x v="2"/>
    <x v="81"/>
    <x v="25"/>
    <x v="348"/>
    <x v="28"/>
    <x v="3"/>
    <x v="1"/>
  </r>
  <r>
    <x v="0"/>
    <x v="37"/>
    <x v="354"/>
    <x v="5"/>
    <x v="0"/>
    <x v="283"/>
    <x v="180"/>
    <x v="720"/>
    <x v="308"/>
    <x v="339"/>
    <x v="537"/>
    <x v="371"/>
    <x v="742"/>
    <x v="742"/>
    <x v="732"/>
    <x v="1"/>
    <x v="737"/>
    <x v="742"/>
    <x v="537"/>
    <x v="0"/>
    <x v="0"/>
    <x v="0"/>
    <x v="103"/>
    <x v="14"/>
    <x v="349"/>
    <x v="2"/>
    <x v="3"/>
    <x v="1"/>
  </r>
  <r>
    <x v="0"/>
    <x v="357"/>
    <x v="382"/>
    <x v="69"/>
    <x v="212"/>
    <x v="282"/>
    <x v="22"/>
    <x v="721"/>
    <x v="270"/>
    <x v="226"/>
    <x v="538"/>
    <x v="564"/>
    <x v="743"/>
    <x v="743"/>
    <x v="733"/>
    <x v="1"/>
    <x v="738"/>
    <x v="743"/>
    <x v="339"/>
    <x v="0"/>
    <x v="0"/>
    <x v="0"/>
    <x v="81"/>
    <x v="20"/>
    <x v="280"/>
    <x v="12"/>
    <x v="1"/>
    <x v="103"/>
  </r>
  <r>
    <x v="0"/>
    <x v="358"/>
    <x v="252"/>
    <x v="80"/>
    <x v="52"/>
    <x v="104"/>
    <x v="14"/>
    <x v="722"/>
    <x v="21"/>
    <x v="219"/>
    <x v="539"/>
    <x v="628"/>
    <x v="744"/>
    <x v="744"/>
    <x v="734"/>
    <x v="0"/>
    <x v="739"/>
    <x v="744"/>
    <x v="538"/>
    <x v="0"/>
    <x v="0"/>
    <x v="2"/>
    <x v="81"/>
    <x v="3"/>
    <x v="350"/>
    <x v="15"/>
    <x v="1"/>
    <x v="85"/>
  </r>
  <r>
    <x v="0"/>
    <x v="309"/>
    <x v="383"/>
    <x v="23"/>
    <x v="194"/>
    <x v="431"/>
    <x v="6"/>
    <x v="723"/>
    <x v="263"/>
    <x v="6"/>
    <x v="259"/>
    <x v="629"/>
    <x v="745"/>
    <x v="745"/>
    <x v="735"/>
    <x v="0"/>
    <x v="740"/>
    <x v="745"/>
    <x v="108"/>
    <x v="0"/>
    <x v="0"/>
    <x v="4"/>
    <x v="81"/>
    <x v="13"/>
    <x v="44"/>
    <x v="22"/>
    <x v="1"/>
    <x v="1"/>
  </r>
  <r>
    <x v="0"/>
    <x v="134"/>
    <x v="128"/>
    <x v="73"/>
    <x v="99"/>
    <x v="432"/>
    <x v="181"/>
    <x v="724"/>
    <x v="123"/>
    <x v="340"/>
    <x v="137"/>
    <x v="630"/>
    <x v="746"/>
    <x v="746"/>
    <x v="736"/>
    <x v="0"/>
    <x v="741"/>
    <x v="746"/>
    <x v="539"/>
    <x v="0"/>
    <x v="0"/>
    <x v="0"/>
    <x v="81"/>
    <x v="17"/>
    <x v="94"/>
    <x v="22"/>
    <x v="1"/>
    <x v="1"/>
  </r>
  <r>
    <x v="0"/>
    <x v="359"/>
    <x v="384"/>
    <x v="23"/>
    <x v="59"/>
    <x v="406"/>
    <x v="0"/>
    <x v="725"/>
    <x v="17"/>
    <x v="31"/>
    <x v="540"/>
    <x v="588"/>
    <x v="747"/>
    <x v="747"/>
    <x v="737"/>
    <x v="4"/>
    <x v="742"/>
    <x v="747"/>
    <x v="487"/>
    <x v="0"/>
    <x v="0"/>
    <x v="0"/>
    <x v="81"/>
    <x v="25"/>
    <x v="351"/>
    <x v="9"/>
    <x v="3"/>
    <x v="161"/>
  </r>
  <r>
    <x v="0"/>
    <x v="360"/>
    <x v="378"/>
    <x v="41"/>
    <x v="174"/>
    <x v="11"/>
    <x v="123"/>
    <x v="726"/>
    <x v="21"/>
    <x v="341"/>
    <x v="256"/>
    <x v="11"/>
    <x v="748"/>
    <x v="748"/>
    <x v="738"/>
    <x v="0"/>
    <x v="743"/>
    <x v="748"/>
    <x v="170"/>
    <x v="0"/>
    <x v="1"/>
    <x v="3"/>
    <x v="81"/>
    <x v="8"/>
    <x v="12"/>
    <x v="9"/>
    <x v="1"/>
    <x v="1"/>
  </r>
  <r>
    <x v="0"/>
    <x v="113"/>
    <x v="385"/>
    <x v="96"/>
    <x v="88"/>
    <x v="160"/>
    <x v="182"/>
    <x v="4"/>
    <x v="127"/>
    <x v="342"/>
    <x v="541"/>
    <x v="631"/>
    <x v="749"/>
    <x v="749"/>
    <x v="739"/>
    <x v="3"/>
    <x v="744"/>
    <x v="749"/>
    <x v="540"/>
    <x v="0"/>
    <x v="0"/>
    <x v="6"/>
    <x v="4"/>
    <x v="4"/>
    <x v="79"/>
    <x v="11"/>
    <x v="0"/>
    <x v="1"/>
  </r>
  <r>
    <x v="0"/>
    <x v="361"/>
    <x v="225"/>
    <x v="42"/>
    <x v="31"/>
    <x v="203"/>
    <x v="159"/>
    <x v="727"/>
    <x v="148"/>
    <x v="343"/>
    <x v="542"/>
    <x v="632"/>
    <x v="750"/>
    <x v="750"/>
    <x v="740"/>
    <x v="4"/>
    <x v="745"/>
    <x v="750"/>
    <x v="488"/>
    <x v="0"/>
    <x v="0"/>
    <x v="0"/>
    <x v="81"/>
    <x v="19"/>
    <x v="352"/>
    <x v="43"/>
    <x v="3"/>
    <x v="162"/>
  </r>
  <r>
    <x v="0"/>
    <x v="362"/>
    <x v="276"/>
    <x v="80"/>
    <x v="125"/>
    <x v="433"/>
    <x v="183"/>
    <x v="728"/>
    <x v="3"/>
    <x v="344"/>
    <x v="543"/>
    <x v="633"/>
    <x v="751"/>
    <x v="751"/>
    <x v="741"/>
    <x v="1"/>
    <x v="746"/>
    <x v="751"/>
    <x v="189"/>
    <x v="0"/>
    <x v="0"/>
    <x v="4"/>
    <x v="81"/>
    <x v="16"/>
    <x v="177"/>
    <x v="28"/>
    <x v="3"/>
    <x v="103"/>
  </r>
  <r>
    <x v="0"/>
    <x v="85"/>
    <x v="13"/>
    <x v="72"/>
    <x v="0"/>
    <x v="434"/>
    <x v="184"/>
    <x v="729"/>
    <x v="65"/>
    <x v="345"/>
    <x v="475"/>
    <x v="634"/>
    <x v="752"/>
    <x v="752"/>
    <x v="742"/>
    <x v="3"/>
    <x v="747"/>
    <x v="752"/>
    <x v="316"/>
    <x v="0"/>
    <x v="0"/>
    <x v="0"/>
    <x v="81"/>
    <x v="11"/>
    <x v="309"/>
    <x v="5"/>
    <x v="1"/>
    <x v="16"/>
  </r>
  <r>
    <x v="0"/>
    <x v="363"/>
    <x v="26"/>
    <x v="23"/>
    <x v="213"/>
    <x v="33"/>
    <x v="31"/>
    <x v="730"/>
    <x v="309"/>
    <x v="37"/>
    <x v="455"/>
    <x v="635"/>
    <x v="753"/>
    <x v="753"/>
    <x v="743"/>
    <x v="3"/>
    <x v="748"/>
    <x v="753"/>
    <x v="541"/>
    <x v="0"/>
    <x v="0"/>
    <x v="0"/>
    <x v="81"/>
    <x v="2"/>
    <x v="31"/>
    <x v="4"/>
    <x v="3"/>
    <x v="4"/>
  </r>
  <r>
    <x v="0"/>
    <x v="364"/>
    <x v="117"/>
    <x v="77"/>
    <x v="192"/>
    <x v="435"/>
    <x v="11"/>
    <x v="731"/>
    <x v="28"/>
    <x v="69"/>
    <x v="535"/>
    <x v="636"/>
    <x v="754"/>
    <x v="754"/>
    <x v="744"/>
    <x v="3"/>
    <x v="749"/>
    <x v="754"/>
    <x v="451"/>
    <x v="0"/>
    <x v="1"/>
    <x v="4"/>
    <x v="81"/>
    <x v="6"/>
    <x v="127"/>
    <x v="18"/>
    <x v="1"/>
    <x v="82"/>
  </r>
  <r>
    <x v="0"/>
    <x v="365"/>
    <x v="386"/>
    <x v="38"/>
    <x v="0"/>
    <x v="406"/>
    <x v="0"/>
    <x v="732"/>
    <x v="310"/>
    <x v="346"/>
    <x v="544"/>
    <x v="588"/>
    <x v="755"/>
    <x v="755"/>
    <x v="745"/>
    <x v="0"/>
    <x v="750"/>
    <x v="755"/>
    <x v="430"/>
    <x v="0"/>
    <x v="0"/>
    <x v="4"/>
    <x v="74"/>
    <x v="13"/>
    <x v="353"/>
    <x v="22"/>
    <x v="1"/>
    <x v="1"/>
  </r>
  <r>
    <x v="0"/>
    <x v="274"/>
    <x v="204"/>
    <x v="23"/>
    <x v="178"/>
    <x v="436"/>
    <x v="77"/>
    <x v="733"/>
    <x v="80"/>
    <x v="347"/>
    <x v="545"/>
    <x v="637"/>
    <x v="756"/>
    <x v="756"/>
    <x v="746"/>
    <x v="0"/>
    <x v="751"/>
    <x v="756"/>
    <x v="542"/>
    <x v="0"/>
    <x v="0"/>
    <x v="4"/>
    <x v="109"/>
    <x v="1"/>
    <x v="354"/>
    <x v="13"/>
    <x v="1"/>
    <x v="1"/>
  </r>
  <r>
    <x v="0"/>
    <x v="366"/>
    <x v="66"/>
    <x v="45"/>
    <x v="143"/>
    <x v="437"/>
    <x v="185"/>
    <x v="734"/>
    <x v="21"/>
    <x v="348"/>
    <x v="546"/>
    <x v="638"/>
    <x v="757"/>
    <x v="757"/>
    <x v="747"/>
    <x v="3"/>
    <x v="752"/>
    <x v="757"/>
    <x v="138"/>
    <x v="0"/>
    <x v="0"/>
    <x v="2"/>
    <x v="81"/>
    <x v="11"/>
    <x v="355"/>
    <x v="2"/>
    <x v="3"/>
    <x v="59"/>
  </r>
  <r>
    <x v="0"/>
    <x v="367"/>
    <x v="358"/>
    <x v="27"/>
    <x v="124"/>
    <x v="438"/>
    <x v="0"/>
    <x v="735"/>
    <x v="196"/>
    <x v="300"/>
    <x v="547"/>
    <x v="639"/>
    <x v="758"/>
    <x v="758"/>
    <x v="748"/>
    <x v="1"/>
    <x v="753"/>
    <x v="758"/>
    <x v="73"/>
    <x v="0"/>
    <x v="0"/>
    <x v="0"/>
    <x v="115"/>
    <x v="20"/>
    <x v="102"/>
    <x v="9"/>
    <x v="1"/>
    <x v="1"/>
  </r>
  <r>
    <x v="0"/>
    <x v="201"/>
    <x v="337"/>
    <x v="7"/>
    <x v="142"/>
    <x v="10"/>
    <x v="2"/>
    <x v="736"/>
    <x v="73"/>
    <x v="130"/>
    <x v="229"/>
    <x v="640"/>
    <x v="759"/>
    <x v="759"/>
    <x v="749"/>
    <x v="0"/>
    <x v="754"/>
    <x v="759"/>
    <x v="543"/>
    <x v="0"/>
    <x v="5"/>
    <x v="2"/>
    <x v="81"/>
    <x v="11"/>
    <x v="135"/>
    <x v="6"/>
    <x v="1"/>
    <x v="163"/>
  </r>
  <r>
    <x v="0"/>
    <x v="368"/>
    <x v="387"/>
    <x v="69"/>
    <x v="31"/>
    <x v="437"/>
    <x v="0"/>
    <x v="737"/>
    <x v="132"/>
    <x v="349"/>
    <x v="110"/>
    <x v="641"/>
    <x v="760"/>
    <x v="760"/>
    <x v="750"/>
    <x v="4"/>
    <x v="755"/>
    <x v="760"/>
    <x v="319"/>
    <x v="0"/>
    <x v="0"/>
    <x v="0"/>
    <x v="91"/>
    <x v="12"/>
    <x v="78"/>
    <x v="40"/>
    <x v="1"/>
    <x v="164"/>
  </r>
  <r>
    <x v="0"/>
    <x v="318"/>
    <x v="291"/>
    <x v="59"/>
    <x v="47"/>
    <x v="21"/>
    <x v="29"/>
    <x v="738"/>
    <x v="20"/>
    <x v="34"/>
    <x v="374"/>
    <x v="642"/>
    <x v="761"/>
    <x v="761"/>
    <x v="751"/>
    <x v="0"/>
    <x v="756"/>
    <x v="761"/>
    <x v="544"/>
    <x v="0"/>
    <x v="0"/>
    <x v="0"/>
    <x v="81"/>
    <x v="19"/>
    <x v="249"/>
    <x v="5"/>
    <x v="1"/>
    <x v="1"/>
  </r>
  <r>
    <x v="0"/>
    <x v="369"/>
    <x v="264"/>
    <x v="18"/>
    <x v="214"/>
    <x v="439"/>
    <x v="186"/>
    <x v="739"/>
    <x v="28"/>
    <x v="350"/>
    <x v="548"/>
    <x v="643"/>
    <x v="762"/>
    <x v="762"/>
    <x v="752"/>
    <x v="3"/>
    <x v="757"/>
    <x v="762"/>
    <x v="434"/>
    <x v="0"/>
    <x v="0"/>
    <x v="4"/>
    <x v="81"/>
    <x v="9"/>
    <x v="356"/>
    <x v="10"/>
    <x v="1"/>
    <x v="13"/>
  </r>
  <r>
    <x v="0"/>
    <x v="370"/>
    <x v="230"/>
    <x v="7"/>
    <x v="201"/>
    <x v="440"/>
    <x v="14"/>
    <x v="740"/>
    <x v="311"/>
    <x v="351"/>
    <x v="297"/>
    <x v="644"/>
    <x v="763"/>
    <x v="763"/>
    <x v="753"/>
    <x v="4"/>
    <x v="758"/>
    <x v="763"/>
    <x v="394"/>
    <x v="0"/>
    <x v="0"/>
    <x v="0"/>
    <x v="81"/>
    <x v="0"/>
    <x v="30"/>
    <x v="41"/>
    <x v="3"/>
    <x v="1"/>
  </r>
  <r>
    <x v="0"/>
    <x v="326"/>
    <x v="49"/>
    <x v="90"/>
    <x v="121"/>
    <x v="441"/>
    <x v="57"/>
    <x v="741"/>
    <x v="312"/>
    <x v="109"/>
    <x v="65"/>
    <x v="645"/>
    <x v="764"/>
    <x v="764"/>
    <x v="754"/>
    <x v="1"/>
    <x v="759"/>
    <x v="764"/>
    <x v="545"/>
    <x v="0"/>
    <x v="0"/>
    <x v="0"/>
    <x v="81"/>
    <x v="0"/>
    <x v="6"/>
    <x v="38"/>
    <x v="1"/>
    <x v="33"/>
  </r>
  <r>
    <x v="0"/>
    <x v="371"/>
    <x v="153"/>
    <x v="46"/>
    <x v="215"/>
    <x v="442"/>
    <x v="11"/>
    <x v="742"/>
    <x v="171"/>
    <x v="49"/>
    <x v="549"/>
    <x v="646"/>
    <x v="765"/>
    <x v="765"/>
    <x v="755"/>
    <x v="3"/>
    <x v="760"/>
    <x v="765"/>
    <x v="527"/>
    <x v="0"/>
    <x v="0"/>
    <x v="0"/>
    <x v="4"/>
    <x v="0"/>
    <x v="357"/>
    <x v="1"/>
    <x v="1"/>
    <x v="1"/>
  </r>
  <r>
    <x v="0"/>
    <x v="132"/>
    <x v="130"/>
    <x v="31"/>
    <x v="84"/>
    <x v="443"/>
    <x v="94"/>
    <x v="743"/>
    <x v="313"/>
    <x v="218"/>
    <x v="203"/>
    <x v="647"/>
    <x v="766"/>
    <x v="766"/>
    <x v="756"/>
    <x v="0"/>
    <x v="761"/>
    <x v="766"/>
    <x v="335"/>
    <x v="0"/>
    <x v="0"/>
    <x v="0"/>
    <x v="81"/>
    <x v="0"/>
    <x v="30"/>
    <x v="5"/>
    <x v="1"/>
    <x v="1"/>
  </r>
  <r>
    <x v="0"/>
    <x v="372"/>
    <x v="324"/>
    <x v="50"/>
    <x v="8"/>
    <x v="444"/>
    <x v="0"/>
    <x v="744"/>
    <x v="207"/>
    <x v="352"/>
    <x v="550"/>
    <x v="648"/>
    <x v="767"/>
    <x v="767"/>
    <x v="757"/>
    <x v="4"/>
    <x v="762"/>
    <x v="767"/>
    <x v="546"/>
    <x v="0"/>
    <x v="0"/>
    <x v="2"/>
    <x v="48"/>
    <x v="15"/>
    <x v="358"/>
    <x v="41"/>
    <x v="3"/>
    <x v="165"/>
  </r>
  <r>
    <x v="0"/>
    <x v="295"/>
    <x v="331"/>
    <x v="86"/>
    <x v="65"/>
    <x v="445"/>
    <x v="187"/>
    <x v="745"/>
    <x v="23"/>
    <x v="353"/>
    <x v="551"/>
    <x v="649"/>
    <x v="768"/>
    <x v="768"/>
    <x v="758"/>
    <x v="0"/>
    <x v="763"/>
    <x v="768"/>
    <x v="507"/>
    <x v="0"/>
    <x v="0"/>
    <x v="0"/>
    <x v="81"/>
    <x v="7"/>
    <x v="359"/>
    <x v="9"/>
    <x v="1"/>
    <x v="166"/>
  </r>
  <r>
    <x v="0"/>
    <x v="373"/>
    <x v="150"/>
    <x v="43"/>
    <x v="216"/>
    <x v="446"/>
    <x v="25"/>
    <x v="746"/>
    <x v="44"/>
    <x v="138"/>
    <x v="117"/>
    <x v="650"/>
    <x v="769"/>
    <x v="769"/>
    <x v="759"/>
    <x v="1"/>
    <x v="764"/>
    <x v="769"/>
    <x v="547"/>
    <x v="0"/>
    <x v="13"/>
    <x v="2"/>
    <x v="80"/>
    <x v="0"/>
    <x v="10"/>
    <x v="9"/>
    <x v="1"/>
    <x v="1"/>
  </r>
  <r>
    <x v="0"/>
    <x v="374"/>
    <x v="208"/>
    <x v="38"/>
    <x v="217"/>
    <x v="447"/>
    <x v="3"/>
    <x v="747"/>
    <x v="18"/>
    <x v="3"/>
    <x v="552"/>
    <x v="651"/>
    <x v="770"/>
    <x v="770"/>
    <x v="760"/>
    <x v="0"/>
    <x v="765"/>
    <x v="770"/>
    <x v="548"/>
    <x v="0"/>
    <x v="0"/>
    <x v="0"/>
    <x v="81"/>
    <x v="19"/>
    <x v="30"/>
    <x v="21"/>
    <x v="1"/>
    <x v="1"/>
  </r>
  <r>
    <x v="0"/>
    <x v="375"/>
    <x v="331"/>
    <x v="7"/>
    <x v="0"/>
    <x v="273"/>
    <x v="188"/>
    <x v="748"/>
    <x v="314"/>
    <x v="354"/>
    <x v="553"/>
    <x v="652"/>
    <x v="771"/>
    <x v="771"/>
    <x v="761"/>
    <x v="1"/>
    <x v="766"/>
    <x v="771"/>
    <x v="302"/>
    <x v="0"/>
    <x v="0"/>
    <x v="0"/>
    <x v="81"/>
    <x v="17"/>
    <x v="360"/>
    <x v="22"/>
    <x v="3"/>
    <x v="1"/>
  </r>
  <r>
    <x v="0"/>
    <x v="376"/>
    <x v="178"/>
    <x v="70"/>
    <x v="218"/>
    <x v="158"/>
    <x v="17"/>
    <x v="749"/>
    <x v="291"/>
    <x v="303"/>
    <x v="554"/>
    <x v="194"/>
    <x v="772"/>
    <x v="772"/>
    <x v="762"/>
    <x v="0"/>
    <x v="767"/>
    <x v="772"/>
    <x v="549"/>
    <x v="0"/>
    <x v="0"/>
    <x v="0"/>
    <x v="4"/>
    <x v="3"/>
    <x v="80"/>
    <x v="2"/>
    <x v="1"/>
    <x v="59"/>
  </r>
  <r>
    <x v="0"/>
    <x v="30"/>
    <x v="16"/>
    <x v="85"/>
    <x v="22"/>
    <x v="443"/>
    <x v="35"/>
    <x v="750"/>
    <x v="171"/>
    <x v="355"/>
    <x v="48"/>
    <x v="647"/>
    <x v="773"/>
    <x v="773"/>
    <x v="763"/>
    <x v="1"/>
    <x v="768"/>
    <x v="773"/>
    <x v="541"/>
    <x v="0"/>
    <x v="1"/>
    <x v="4"/>
    <x v="67"/>
    <x v="5"/>
    <x v="30"/>
    <x v="4"/>
    <x v="1"/>
    <x v="1"/>
  </r>
  <r>
    <x v="0"/>
    <x v="177"/>
    <x v="299"/>
    <x v="47"/>
    <x v="0"/>
    <x v="448"/>
    <x v="189"/>
    <x v="751"/>
    <x v="315"/>
    <x v="356"/>
    <x v="555"/>
    <x v="653"/>
    <x v="774"/>
    <x v="774"/>
    <x v="559"/>
    <x v="0"/>
    <x v="769"/>
    <x v="774"/>
    <x v="550"/>
    <x v="0"/>
    <x v="1"/>
    <x v="4"/>
    <x v="88"/>
    <x v="13"/>
    <x v="361"/>
    <x v="20"/>
    <x v="1"/>
    <x v="167"/>
  </r>
  <r>
    <x v="0"/>
    <x v="370"/>
    <x v="353"/>
    <x v="45"/>
    <x v="201"/>
    <x v="38"/>
    <x v="13"/>
    <x v="752"/>
    <x v="70"/>
    <x v="158"/>
    <x v="556"/>
    <x v="654"/>
    <x v="775"/>
    <x v="775"/>
    <x v="764"/>
    <x v="1"/>
    <x v="770"/>
    <x v="775"/>
    <x v="460"/>
    <x v="0"/>
    <x v="0"/>
    <x v="4"/>
    <x v="81"/>
    <x v="19"/>
    <x v="309"/>
    <x v="18"/>
    <x v="3"/>
    <x v="168"/>
  </r>
  <r>
    <x v="0"/>
    <x v="359"/>
    <x v="204"/>
    <x v="59"/>
    <x v="59"/>
    <x v="1"/>
    <x v="13"/>
    <x v="753"/>
    <x v="80"/>
    <x v="158"/>
    <x v="557"/>
    <x v="655"/>
    <x v="776"/>
    <x v="776"/>
    <x v="765"/>
    <x v="4"/>
    <x v="771"/>
    <x v="776"/>
    <x v="248"/>
    <x v="0"/>
    <x v="0"/>
    <x v="4"/>
    <x v="81"/>
    <x v="8"/>
    <x v="20"/>
    <x v="19"/>
    <x v="1"/>
    <x v="1"/>
  </r>
  <r>
    <x v="0"/>
    <x v="377"/>
    <x v="212"/>
    <x v="70"/>
    <x v="184"/>
    <x v="449"/>
    <x v="57"/>
    <x v="754"/>
    <x v="28"/>
    <x v="99"/>
    <x v="478"/>
    <x v="656"/>
    <x v="777"/>
    <x v="777"/>
    <x v="766"/>
    <x v="1"/>
    <x v="772"/>
    <x v="777"/>
    <x v="405"/>
    <x v="0"/>
    <x v="0"/>
    <x v="4"/>
    <x v="81"/>
    <x v="20"/>
    <x v="36"/>
    <x v="9"/>
    <x v="1"/>
    <x v="1"/>
  </r>
  <r>
    <x v="0"/>
    <x v="96"/>
    <x v="134"/>
    <x v="85"/>
    <x v="75"/>
    <x v="450"/>
    <x v="20"/>
    <x v="755"/>
    <x v="316"/>
    <x v="21"/>
    <x v="265"/>
    <x v="657"/>
    <x v="778"/>
    <x v="778"/>
    <x v="767"/>
    <x v="0"/>
    <x v="773"/>
    <x v="778"/>
    <x v="498"/>
    <x v="0"/>
    <x v="1"/>
    <x v="0"/>
    <x v="81"/>
    <x v="0"/>
    <x v="179"/>
    <x v="10"/>
    <x v="1"/>
    <x v="1"/>
  </r>
  <r>
    <x v="0"/>
    <x v="351"/>
    <x v="211"/>
    <x v="51"/>
    <x v="0"/>
    <x v="168"/>
    <x v="57"/>
    <x v="756"/>
    <x v="317"/>
    <x v="109"/>
    <x v="558"/>
    <x v="213"/>
    <x v="779"/>
    <x v="779"/>
    <x v="768"/>
    <x v="3"/>
    <x v="774"/>
    <x v="779"/>
    <x v="312"/>
    <x v="0"/>
    <x v="0"/>
    <x v="0"/>
    <x v="81"/>
    <x v="21"/>
    <x v="10"/>
    <x v="10"/>
    <x v="3"/>
    <x v="1"/>
  </r>
  <r>
    <x v="0"/>
    <x v="296"/>
    <x v="290"/>
    <x v="49"/>
    <x v="189"/>
    <x v="451"/>
    <x v="13"/>
    <x v="757"/>
    <x v="318"/>
    <x v="93"/>
    <x v="255"/>
    <x v="658"/>
    <x v="780"/>
    <x v="780"/>
    <x v="769"/>
    <x v="1"/>
    <x v="775"/>
    <x v="780"/>
    <x v="99"/>
    <x v="0"/>
    <x v="0"/>
    <x v="4"/>
    <x v="81"/>
    <x v="21"/>
    <x v="6"/>
    <x v="0"/>
    <x v="3"/>
    <x v="61"/>
  </r>
  <r>
    <x v="0"/>
    <x v="344"/>
    <x v="379"/>
    <x v="107"/>
    <x v="73"/>
    <x v="161"/>
    <x v="57"/>
    <x v="758"/>
    <x v="57"/>
    <x v="192"/>
    <x v="530"/>
    <x v="659"/>
    <x v="781"/>
    <x v="781"/>
    <x v="770"/>
    <x v="0"/>
    <x v="776"/>
    <x v="781"/>
    <x v="169"/>
    <x v="0"/>
    <x v="1"/>
    <x v="2"/>
    <x v="4"/>
    <x v="7"/>
    <x v="30"/>
    <x v="40"/>
    <x v="3"/>
    <x v="169"/>
  </r>
  <r>
    <x v="0"/>
    <x v="98"/>
    <x v="379"/>
    <x v="59"/>
    <x v="76"/>
    <x v="337"/>
    <x v="190"/>
    <x v="759"/>
    <x v="263"/>
    <x v="357"/>
    <x v="559"/>
    <x v="660"/>
    <x v="782"/>
    <x v="782"/>
    <x v="226"/>
    <x v="4"/>
    <x v="777"/>
    <x v="782"/>
    <x v="507"/>
    <x v="0"/>
    <x v="0"/>
    <x v="0"/>
    <x v="79"/>
    <x v="12"/>
    <x v="362"/>
    <x v="44"/>
    <x v="1"/>
    <x v="1"/>
  </r>
  <r>
    <x v="0"/>
    <x v="378"/>
    <x v="117"/>
    <x v="101"/>
    <x v="94"/>
    <x v="37"/>
    <x v="191"/>
    <x v="760"/>
    <x v="319"/>
    <x v="358"/>
    <x v="560"/>
    <x v="661"/>
    <x v="783"/>
    <x v="783"/>
    <x v="771"/>
    <x v="0"/>
    <x v="778"/>
    <x v="783"/>
    <x v="551"/>
    <x v="0"/>
    <x v="0"/>
    <x v="0"/>
    <x v="81"/>
    <x v="10"/>
    <x v="363"/>
    <x v="20"/>
    <x v="1"/>
    <x v="35"/>
  </r>
  <r>
    <x v="0"/>
    <x v="379"/>
    <x v="288"/>
    <x v="79"/>
    <x v="0"/>
    <x v="49"/>
    <x v="2"/>
    <x v="761"/>
    <x v="320"/>
    <x v="75"/>
    <x v="561"/>
    <x v="662"/>
    <x v="784"/>
    <x v="784"/>
    <x v="772"/>
    <x v="0"/>
    <x v="779"/>
    <x v="784"/>
    <x v="552"/>
    <x v="0"/>
    <x v="0"/>
    <x v="2"/>
    <x v="81"/>
    <x v="17"/>
    <x v="364"/>
    <x v="10"/>
    <x v="10"/>
    <x v="135"/>
  </r>
  <r>
    <x v="0"/>
    <x v="216"/>
    <x v="208"/>
    <x v="29"/>
    <x v="149"/>
    <x v="391"/>
    <x v="192"/>
    <x v="762"/>
    <x v="321"/>
    <x v="359"/>
    <x v="562"/>
    <x v="552"/>
    <x v="785"/>
    <x v="785"/>
    <x v="773"/>
    <x v="0"/>
    <x v="780"/>
    <x v="785"/>
    <x v="553"/>
    <x v="0"/>
    <x v="1"/>
    <x v="4"/>
    <x v="81"/>
    <x v="13"/>
    <x v="297"/>
    <x v="10"/>
    <x v="1"/>
    <x v="7"/>
  </r>
  <r>
    <x v="0"/>
    <x v="8"/>
    <x v="17"/>
    <x v="15"/>
    <x v="0"/>
    <x v="8"/>
    <x v="8"/>
    <x v="17"/>
    <x v="5"/>
    <x v="8"/>
    <x v="8"/>
    <x v="8"/>
    <x v="17"/>
    <x v="17"/>
    <x v="17"/>
    <x v="3"/>
    <x v="17"/>
    <x v="17"/>
    <x v="17"/>
    <x v="0"/>
    <x v="0"/>
    <x v="0"/>
    <x v="12"/>
    <x v="3"/>
    <x v="8"/>
    <x v="14"/>
    <x v="3"/>
    <x v="11"/>
  </r>
  <r>
    <x v="0"/>
    <x v="51"/>
    <x v="338"/>
    <x v="27"/>
    <x v="36"/>
    <x v="102"/>
    <x v="89"/>
    <x v="763"/>
    <x v="322"/>
    <x v="155"/>
    <x v="563"/>
    <x v="127"/>
    <x v="786"/>
    <x v="786"/>
    <x v="774"/>
    <x v="0"/>
    <x v="781"/>
    <x v="786"/>
    <x v="554"/>
    <x v="0"/>
    <x v="0"/>
    <x v="0"/>
    <x v="81"/>
    <x v="19"/>
    <x v="365"/>
    <x v="9"/>
    <x v="1"/>
    <x v="1"/>
  </r>
  <r>
    <x v="0"/>
    <x v="209"/>
    <x v="59"/>
    <x v="61"/>
    <x v="0"/>
    <x v="375"/>
    <x v="32"/>
    <x v="764"/>
    <x v="171"/>
    <x v="59"/>
    <x v="564"/>
    <x v="663"/>
    <x v="787"/>
    <x v="787"/>
    <x v="775"/>
    <x v="0"/>
    <x v="782"/>
    <x v="787"/>
    <x v="555"/>
    <x v="0"/>
    <x v="8"/>
    <x v="4"/>
    <x v="95"/>
    <x v="7"/>
    <x v="16"/>
    <x v="23"/>
    <x v="1"/>
    <x v="1"/>
  </r>
  <r>
    <x v="1"/>
    <x v="380"/>
    <x v="318"/>
    <x v="35"/>
    <x v="80"/>
    <x v="421"/>
    <x v="2"/>
    <x v="765"/>
    <x v="323"/>
    <x v="182"/>
    <x v="31"/>
    <x v="664"/>
    <x v="788"/>
    <x v="788"/>
    <x v="776"/>
    <x v="1"/>
    <x v="783"/>
    <x v="788"/>
    <x v="556"/>
    <x v="0"/>
    <x v="1"/>
    <x v="0"/>
    <x v="81"/>
    <x v="7"/>
    <x v="25"/>
    <x v="4"/>
    <x v="1"/>
    <x v="43"/>
  </r>
  <r>
    <x v="0"/>
    <x v="381"/>
    <x v="382"/>
    <x v="22"/>
    <x v="19"/>
    <x v="452"/>
    <x v="193"/>
    <x v="766"/>
    <x v="65"/>
    <x v="360"/>
    <x v="58"/>
    <x v="665"/>
    <x v="789"/>
    <x v="789"/>
    <x v="777"/>
    <x v="3"/>
    <x v="784"/>
    <x v="789"/>
    <x v="481"/>
    <x v="0"/>
    <x v="0"/>
    <x v="4"/>
    <x v="81"/>
    <x v="18"/>
    <x v="45"/>
    <x v="8"/>
    <x v="1"/>
    <x v="1"/>
  </r>
  <r>
    <x v="0"/>
    <x v="382"/>
    <x v="388"/>
    <x v="43"/>
    <x v="71"/>
    <x v="453"/>
    <x v="194"/>
    <x v="767"/>
    <x v="321"/>
    <x v="361"/>
    <x v="565"/>
    <x v="666"/>
    <x v="790"/>
    <x v="790"/>
    <x v="778"/>
    <x v="0"/>
    <x v="785"/>
    <x v="790"/>
    <x v="557"/>
    <x v="0"/>
    <x v="0"/>
    <x v="0"/>
    <x v="48"/>
    <x v="21"/>
    <x v="366"/>
    <x v="30"/>
    <x v="1"/>
    <x v="170"/>
  </r>
  <r>
    <x v="0"/>
    <x v="383"/>
    <x v="357"/>
    <x v="34"/>
    <x v="100"/>
    <x v="454"/>
    <x v="24"/>
    <x v="768"/>
    <x v="324"/>
    <x v="362"/>
    <x v="20"/>
    <x v="667"/>
    <x v="791"/>
    <x v="791"/>
    <x v="779"/>
    <x v="0"/>
    <x v="786"/>
    <x v="791"/>
    <x v="189"/>
    <x v="0"/>
    <x v="0"/>
    <x v="0"/>
    <x v="81"/>
    <x v="11"/>
    <x v="17"/>
    <x v="5"/>
    <x v="1"/>
    <x v="16"/>
  </r>
  <r>
    <x v="0"/>
    <x v="384"/>
    <x v="237"/>
    <x v="29"/>
    <x v="159"/>
    <x v="1"/>
    <x v="15"/>
    <x v="769"/>
    <x v="325"/>
    <x v="15"/>
    <x v="566"/>
    <x v="668"/>
    <x v="792"/>
    <x v="792"/>
    <x v="780"/>
    <x v="3"/>
    <x v="787"/>
    <x v="792"/>
    <x v="424"/>
    <x v="0"/>
    <x v="0"/>
    <x v="0"/>
    <x v="81"/>
    <x v="9"/>
    <x v="12"/>
    <x v="19"/>
    <x v="1"/>
    <x v="20"/>
  </r>
  <r>
    <x v="0"/>
    <x v="355"/>
    <x v="238"/>
    <x v="78"/>
    <x v="210"/>
    <x v="455"/>
    <x v="195"/>
    <x v="770"/>
    <x v="326"/>
    <x v="363"/>
    <x v="567"/>
    <x v="669"/>
    <x v="793"/>
    <x v="793"/>
    <x v="781"/>
    <x v="1"/>
    <x v="788"/>
    <x v="793"/>
    <x v="558"/>
    <x v="0"/>
    <x v="0"/>
    <x v="2"/>
    <x v="81"/>
    <x v="8"/>
    <x v="99"/>
    <x v="41"/>
    <x v="3"/>
    <x v="171"/>
  </r>
  <r>
    <x v="0"/>
    <x v="385"/>
    <x v="128"/>
    <x v="33"/>
    <x v="26"/>
    <x v="163"/>
    <x v="196"/>
    <x v="771"/>
    <x v="327"/>
    <x v="364"/>
    <x v="568"/>
    <x v="670"/>
    <x v="794"/>
    <x v="794"/>
    <x v="782"/>
    <x v="4"/>
    <x v="789"/>
    <x v="794"/>
    <x v="333"/>
    <x v="0"/>
    <x v="0"/>
    <x v="0"/>
    <x v="116"/>
    <x v="12"/>
    <x v="367"/>
    <x v="23"/>
    <x v="1"/>
    <x v="1"/>
  </r>
  <r>
    <x v="0"/>
    <x v="84"/>
    <x v="389"/>
    <x v="40"/>
    <x v="67"/>
    <x v="1"/>
    <x v="2"/>
    <x v="772"/>
    <x v="200"/>
    <x v="72"/>
    <x v="569"/>
    <x v="671"/>
    <x v="795"/>
    <x v="795"/>
    <x v="783"/>
    <x v="0"/>
    <x v="790"/>
    <x v="795"/>
    <x v="224"/>
    <x v="0"/>
    <x v="0"/>
    <x v="0"/>
    <x v="97"/>
    <x v="15"/>
    <x v="30"/>
    <x v="9"/>
    <x v="3"/>
    <x v="172"/>
  </r>
  <r>
    <x v="0"/>
    <x v="386"/>
    <x v="331"/>
    <x v="11"/>
    <x v="116"/>
    <x v="191"/>
    <x v="22"/>
    <x v="773"/>
    <x v="15"/>
    <x v="240"/>
    <x v="570"/>
    <x v="672"/>
    <x v="796"/>
    <x v="796"/>
    <x v="784"/>
    <x v="3"/>
    <x v="791"/>
    <x v="796"/>
    <x v="472"/>
    <x v="0"/>
    <x v="8"/>
    <x v="2"/>
    <x v="81"/>
    <x v="8"/>
    <x v="30"/>
    <x v="9"/>
    <x v="1"/>
    <x v="1"/>
  </r>
  <r>
    <x v="0"/>
    <x v="336"/>
    <x v="386"/>
    <x v="33"/>
    <x v="205"/>
    <x v="456"/>
    <x v="32"/>
    <x v="774"/>
    <x v="234"/>
    <x v="59"/>
    <x v="96"/>
    <x v="673"/>
    <x v="797"/>
    <x v="797"/>
    <x v="785"/>
    <x v="1"/>
    <x v="792"/>
    <x v="797"/>
    <x v="511"/>
    <x v="0"/>
    <x v="0"/>
    <x v="0"/>
    <x v="81"/>
    <x v="8"/>
    <x v="69"/>
    <x v="30"/>
    <x v="1"/>
    <x v="43"/>
  </r>
  <r>
    <x v="0"/>
    <x v="387"/>
    <x v="198"/>
    <x v="86"/>
    <x v="219"/>
    <x v="457"/>
    <x v="1"/>
    <x v="775"/>
    <x v="328"/>
    <x v="1"/>
    <x v="571"/>
    <x v="674"/>
    <x v="798"/>
    <x v="798"/>
    <x v="786"/>
    <x v="4"/>
    <x v="793"/>
    <x v="798"/>
    <x v="559"/>
    <x v="0"/>
    <x v="1"/>
    <x v="4"/>
    <x v="81"/>
    <x v="2"/>
    <x v="12"/>
    <x v="34"/>
    <x v="1"/>
    <x v="85"/>
  </r>
  <r>
    <x v="0"/>
    <x v="388"/>
    <x v="321"/>
    <x v="6"/>
    <x v="220"/>
    <x v="313"/>
    <x v="8"/>
    <x v="776"/>
    <x v="151"/>
    <x v="35"/>
    <x v="572"/>
    <x v="675"/>
    <x v="799"/>
    <x v="799"/>
    <x v="787"/>
    <x v="3"/>
    <x v="794"/>
    <x v="799"/>
    <x v="560"/>
    <x v="0"/>
    <x v="8"/>
    <x v="0"/>
    <x v="81"/>
    <x v="1"/>
    <x v="29"/>
    <x v="45"/>
    <x v="1"/>
    <x v="1"/>
  </r>
  <r>
    <x v="0"/>
    <x v="30"/>
    <x v="390"/>
    <x v="46"/>
    <x v="22"/>
    <x v="167"/>
    <x v="2"/>
    <x v="777"/>
    <x v="88"/>
    <x v="60"/>
    <x v="573"/>
    <x v="212"/>
    <x v="800"/>
    <x v="800"/>
    <x v="788"/>
    <x v="4"/>
    <x v="795"/>
    <x v="800"/>
    <x v="319"/>
    <x v="0"/>
    <x v="0"/>
    <x v="4"/>
    <x v="82"/>
    <x v="17"/>
    <x v="368"/>
    <x v="12"/>
    <x v="1"/>
    <x v="1"/>
  </r>
  <r>
    <x v="0"/>
    <x v="389"/>
    <x v="369"/>
    <x v="73"/>
    <x v="221"/>
    <x v="458"/>
    <x v="113"/>
    <x v="4"/>
    <x v="1"/>
    <x v="214"/>
    <x v="574"/>
    <x v="676"/>
    <x v="801"/>
    <x v="801"/>
    <x v="789"/>
    <x v="1"/>
    <x v="796"/>
    <x v="801"/>
    <x v="561"/>
    <x v="0"/>
    <x v="9"/>
    <x v="1"/>
    <x v="117"/>
    <x v="6"/>
    <x v="126"/>
    <x v="19"/>
    <x v="1"/>
    <x v="173"/>
  </r>
  <r>
    <x v="1"/>
    <x v="390"/>
    <x v="225"/>
    <x v="5"/>
    <x v="3"/>
    <x v="357"/>
    <x v="2"/>
    <x v="778"/>
    <x v="108"/>
    <x v="182"/>
    <x v="575"/>
    <x v="677"/>
    <x v="802"/>
    <x v="802"/>
    <x v="790"/>
    <x v="0"/>
    <x v="797"/>
    <x v="802"/>
    <x v="562"/>
    <x v="7"/>
    <x v="0"/>
    <x v="4"/>
    <x v="67"/>
    <x v="12"/>
    <x v="369"/>
    <x v="10"/>
    <x v="1"/>
    <x v="1"/>
  </r>
  <r>
    <x v="0"/>
    <x v="391"/>
    <x v="391"/>
    <x v="26"/>
    <x v="50"/>
    <x v="459"/>
    <x v="17"/>
    <x v="779"/>
    <x v="329"/>
    <x v="32"/>
    <x v="576"/>
    <x v="678"/>
    <x v="803"/>
    <x v="803"/>
    <x v="791"/>
    <x v="0"/>
    <x v="798"/>
    <x v="803"/>
    <x v="563"/>
    <x v="0"/>
    <x v="0"/>
    <x v="4"/>
    <x v="90"/>
    <x v="6"/>
    <x v="207"/>
    <x v="14"/>
    <x v="1"/>
    <x v="174"/>
  </r>
  <r>
    <x v="0"/>
    <x v="392"/>
    <x v="392"/>
    <x v="37"/>
    <x v="169"/>
    <x v="460"/>
    <x v="127"/>
    <x v="780"/>
    <x v="200"/>
    <x v="365"/>
    <x v="577"/>
    <x v="679"/>
    <x v="804"/>
    <x v="804"/>
    <x v="792"/>
    <x v="1"/>
    <x v="799"/>
    <x v="804"/>
    <x v="244"/>
    <x v="0"/>
    <x v="0"/>
    <x v="2"/>
    <x v="81"/>
    <x v="20"/>
    <x v="315"/>
    <x v="41"/>
    <x v="1"/>
    <x v="175"/>
  </r>
  <r>
    <x v="0"/>
    <x v="326"/>
    <x v="48"/>
    <x v="82"/>
    <x v="121"/>
    <x v="461"/>
    <x v="21"/>
    <x v="781"/>
    <x v="330"/>
    <x v="71"/>
    <x v="578"/>
    <x v="680"/>
    <x v="805"/>
    <x v="805"/>
    <x v="793"/>
    <x v="0"/>
    <x v="800"/>
    <x v="805"/>
    <x v="564"/>
    <x v="0"/>
    <x v="0"/>
    <x v="4"/>
    <x v="118"/>
    <x v="11"/>
    <x v="370"/>
    <x v="11"/>
    <x v="1"/>
    <x v="176"/>
  </r>
  <r>
    <x v="0"/>
    <x v="46"/>
    <x v="82"/>
    <x v="33"/>
    <x v="31"/>
    <x v="462"/>
    <x v="35"/>
    <x v="782"/>
    <x v="331"/>
    <x v="366"/>
    <x v="579"/>
    <x v="681"/>
    <x v="806"/>
    <x v="806"/>
    <x v="794"/>
    <x v="2"/>
    <x v="801"/>
    <x v="806"/>
    <x v="142"/>
    <x v="0"/>
    <x v="0"/>
    <x v="2"/>
    <x v="90"/>
    <x v="2"/>
    <x v="30"/>
    <x v="21"/>
    <x v="1"/>
    <x v="50"/>
  </r>
  <r>
    <x v="0"/>
    <x v="113"/>
    <x v="393"/>
    <x v="96"/>
    <x v="88"/>
    <x v="279"/>
    <x v="149"/>
    <x v="4"/>
    <x v="35"/>
    <x v="367"/>
    <x v="580"/>
    <x v="682"/>
    <x v="807"/>
    <x v="807"/>
    <x v="795"/>
    <x v="1"/>
    <x v="802"/>
    <x v="807"/>
    <x v="447"/>
    <x v="0"/>
    <x v="0"/>
    <x v="8"/>
    <x v="119"/>
    <x v="4"/>
    <x v="108"/>
    <x v="4"/>
    <x v="8"/>
    <x v="177"/>
  </r>
  <r>
    <x v="0"/>
    <x v="197"/>
    <x v="273"/>
    <x v="54"/>
    <x v="139"/>
    <x v="463"/>
    <x v="197"/>
    <x v="783"/>
    <x v="286"/>
    <x v="368"/>
    <x v="438"/>
    <x v="683"/>
    <x v="808"/>
    <x v="808"/>
    <x v="796"/>
    <x v="1"/>
    <x v="803"/>
    <x v="808"/>
    <x v="294"/>
    <x v="0"/>
    <x v="0"/>
    <x v="0"/>
    <x v="90"/>
    <x v="12"/>
    <x v="293"/>
    <x v="10"/>
    <x v="3"/>
    <x v="1"/>
  </r>
  <r>
    <x v="0"/>
    <x v="356"/>
    <x v="394"/>
    <x v="78"/>
    <x v="211"/>
    <x v="276"/>
    <x v="0"/>
    <x v="784"/>
    <x v="332"/>
    <x v="369"/>
    <x v="581"/>
    <x v="361"/>
    <x v="809"/>
    <x v="809"/>
    <x v="797"/>
    <x v="0"/>
    <x v="804"/>
    <x v="809"/>
    <x v="432"/>
    <x v="0"/>
    <x v="0"/>
    <x v="2"/>
    <x v="81"/>
    <x v="21"/>
    <x v="371"/>
    <x v="57"/>
    <x v="3"/>
    <x v="178"/>
  </r>
  <r>
    <x v="0"/>
    <x v="393"/>
    <x v="274"/>
    <x v="101"/>
    <x v="123"/>
    <x v="464"/>
    <x v="57"/>
    <x v="785"/>
    <x v="333"/>
    <x v="237"/>
    <x v="582"/>
    <x v="684"/>
    <x v="810"/>
    <x v="810"/>
    <x v="798"/>
    <x v="1"/>
    <x v="805"/>
    <x v="810"/>
    <x v="372"/>
    <x v="0"/>
    <x v="0"/>
    <x v="4"/>
    <x v="107"/>
    <x v="32"/>
    <x v="30"/>
    <x v="20"/>
    <x v="1"/>
    <x v="43"/>
  </r>
  <r>
    <x v="0"/>
    <x v="299"/>
    <x v="72"/>
    <x v="37"/>
    <x v="0"/>
    <x v="292"/>
    <x v="198"/>
    <x v="786"/>
    <x v="334"/>
    <x v="370"/>
    <x v="583"/>
    <x v="685"/>
    <x v="811"/>
    <x v="811"/>
    <x v="799"/>
    <x v="8"/>
    <x v="806"/>
    <x v="811"/>
    <x v="452"/>
    <x v="0"/>
    <x v="0"/>
    <x v="0"/>
    <x v="90"/>
    <x v="8"/>
    <x v="198"/>
    <x v="19"/>
    <x v="3"/>
    <x v="179"/>
  </r>
  <r>
    <x v="0"/>
    <x v="158"/>
    <x v="302"/>
    <x v="73"/>
    <x v="115"/>
    <x v="21"/>
    <x v="25"/>
    <x v="4"/>
    <x v="335"/>
    <x v="330"/>
    <x v="288"/>
    <x v="344"/>
    <x v="812"/>
    <x v="812"/>
    <x v="800"/>
    <x v="2"/>
    <x v="807"/>
    <x v="812"/>
    <x v="498"/>
    <x v="0"/>
    <x v="0"/>
    <x v="5"/>
    <x v="4"/>
    <x v="2"/>
    <x v="6"/>
    <x v="41"/>
    <x v="1"/>
    <x v="1"/>
  </r>
  <r>
    <x v="0"/>
    <x v="347"/>
    <x v="395"/>
    <x v="33"/>
    <x v="164"/>
    <x v="245"/>
    <x v="168"/>
    <x v="787"/>
    <x v="105"/>
    <x v="314"/>
    <x v="584"/>
    <x v="686"/>
    <x v="813"/>
    <x v="813"/>
    <x v="801"/>
    <x v="4"/>
    <x v="808"/>
    <x v="813"/>
    <x v="239"/>
    <x v="0"/>
    <x v="0"/>
    <x v="0"/>
    <x v="90"/>
    <x v="0"/>
    <x v="372"/>
    <x v="55"/>
    <x v="1"/>
    <x v="1"/>
  </r>
  <r>
    <x v="0"/>
    <x v="80"/>
    <x v="161"/>
    <x v="31"/>
    <x v="63"/>
    <x v="465"/>
    <x v="0"/>
    <x v="788"/>
    <x v="125"/>
    <x v="88"/>
    <x v="585"/>
    <x v="687"/>
    <x v="814"/>
    <x v="814"/>
    <x v="802"/>
    <x v="4"/>
    <x v="809"/>
    <x v="814"/>
    <x v="481"/>
    <x v="0"/>
    <x v="0"/>
    <x v="0"/>
    <x v="90"/>
    <x v="9"/>
    <x v="373"/>
    <x v="22"/>
    <x v="1"/>
    <x v="31"/>
  </r>
  <r>
    <x v="0"/>
    <x v="216"/>
    <x v="268"/>
    <x v="55"/>
    <x v="149"/>
    <x v="466"/>
    <x v="21"/>
    <x v="789"/>
    <x v="274"/>
    <x v="174"/>
    <x v="496"/>
    <x v="688"/>
    <x v="815"/>
    <x v="815"/>
    <x v="803"/>
    <x v="1"/>
    <x v="810"/>
    <x v="815"/>
    <x v="565"/>
    <x v="0"/>
    <x v="8"/>
    <x v="4"/>
    <x v="81"/>
    <x v="5"/>
    <x v="30"/>
    <x v="18"/>
    <x v="1"/>
    <x v="64"/>
  </r>
  <r>
    <x v="0"/>
    <x v="394"/>
    <x v="235"/>
    <x v="31"/>
    <x v="222"/>
    <x v="467"/>
    <x v="0"/>
    <x v="790"/>
    <x v="77"/>
    <x v="247"/>
    <x v="586"/>
    <x v="689"/>
    <x v="816"/>
    <x v="816"/>
    <x v="804"/>
    <x v="0"/>
    <x v="811"/>
    <x v="816"/>
    <x v="155"/>
    <x v="0"/>
    <x v="0"/>
    <x v="0"/>
    <x v="90"/>
    <x v="3"/>
    <x v="335"/>
    <x v="18"/>
    <x v="1"/>
    <x v="1"/>
  </r>
  <r>
    <x v="0"/>
    <x v="113"/>
    <x v="303"/>
    <x v="119"/>
    <x v="88"/>
    <x v="468"/>
    <x v="98"/>
    <x v="4"/>
    <x v="127"/>
    <x v="175"/>
    <x v="528"/>
    <x v="690"/>
    <x v="817"/>
    <x v="817"/>
    <x v="691"/>
    <x v="0"/>
    <x v="812"/>
    <x v="817"/>
    <x v="102"/>
    <x v="0"/>
    <x v="0"/>
    <x v="7"/>
    <x v="4"/>
    <x v="4"/>
    <x v="119"/>
    <x v="15"/>
    <x v="8"/>
    <x v="1"/>
  </r>
  <r>
    <x v="0"/>
    <x v="332"/>
    <x v="338"/>
    <x v="16"/>
    <x v="204"/>
    <x v="168"/>
    <x v="11"/>
    <x v="791"/>
    <x v="150"/>
    <x v="63"/>
    <x v="557"/>
    <x v="213"/>
    <x v="818"/>
    <x v="818"/>
    <x v="805"/>
    <x v="4"/>
    <x v="813"/>
    <x v="818"/>
    <x v="566"/>
    <x v="0"/>
    <x v="0"/>
    <x v="4"/>
    <x v="120"/>
    <x v="13"/>
    <x v="20"/>
    <x v="7"/>
    <x v="1"/>
    <x v="59"/>
  </r>
  <r>
    <x v="0"/>
    <x v="395"/>
    <x v="271"/>
    <x v="38"/>
    <x v="223"/>
    <x v="469"/>
    <x v="2"/>
    <x v="792"/>
    <x v="125"/>
    <x v="196"/>
    <x v="587"/>
    <x v="691"/>
    <x v="819"/>
    <x v="819"/>
    <x v="806"/>
    <x v="4"/>
    <x v="814"/>
    <x v="819"/>
    <x v="567"/>
    <x v="0"/>
    <x v="0"/>
    <x v="4"/>
    <x v="80"/>
    <x v="3"/>
    <x v="13"/>
    <x v="23"/>
    <x v="1"/>
    <x v="85"/>
  </r>
  <r>
    <x v="0"/>
    <x v="49"/>
    <x v="370"/>
    <x v="33"/>
    <x v="34"/>
    <x v="183"/>
    <x v="35"/>
    <x v="793"/>
    <x v="1"/>
    <x v="184"/>
    <x v="588"/>
    <x v="692"/>
    <x v="820"/>
    <x v="820"/>
    <x v="807"/>
    <x v="0"/>
    <x v="815"/>
    <x v="820"/>
    <x v="301"/>
    <x v="0"/>
    <x v="0"/>
    <x v="0"/>
    <x v="120"/>
    <x v="25"/>
    <x v="374"/>
    <x v="21"/>
    <x v="1"/>
    <x v="1"/>
  </r>
  <r>
    <x v="0"/>
    <x v="25"/>
    <x v="338"/>
    <x v="55"/>
    <x v="18"/>
    <x v="470"/>
    <x v="41"/>
    <x v="794"/>
    <x v="336"/>
    <x v="111"/>
    <x v="362"/>
    <x v="693"/>
    <x v="821"/>
    <x v="821"/>
    <x v="808"/>
    <x v="4"/>
    <x v="816"/>
    <x v="821"/>
    <x v="568"/>
    <x v="0"/>
    <x v="0"/>
    <x v="0"/>
    <x v="90"/>
    <x v="14"/>
    <x v="13"/>
    <x v="22"/>
    <x v="1"/>
    <x v="180"/>
  </r>
  <r>
    <x v="0"/>
    <x v="396"/>
    <x v="133"/>
    <x v="45"/>
    <x v="224"/>
    <x v="1"/>
    <x v="25"/>
    <x v="795"/>
    <x v="99"/>
    <x v="76"/>
    <x v="589"/>
    <x v="694"/>
    <x v="822"/>
    <x v="822"/>
    <x v="809"/>
    <x v="1"/>
    <x v="817"/>
    <x v="822"/>
    <x v="569"/>
    <x v="0"/>
    <x v="0"/>
    <x v="0"/>
    <x v="120"/>
    <x v="10"/>
    <x v="30"/>
    <x v="44"/>
    <x v="1"/>
    <x v="45"/>
  </r>
  <r>
    <x v="0"/>
    <x v="397"/>
    <x v="368"/>
    <x v="22"/>
    <x v="225"/>
    <x v="471"/>
    <x v="29"/>
    <x v="796"/>
    <x v="337"/>
    <x v="34"/>
    <x v="590"/>
    <x v="695"/>
    <x v="823"/>
    <x v="823"/>
    <x v="810"/>
    <x v="4"/>
    <x v="818"/>
    <x v="823"/>
    <x v="570"/>
    <x v="0"/>
    <x v="1"/>
    <x v="4"/>
    <x v="120"/>
    <x v="18"/>
    <x v="239"/>
    <x v="18"/>
    <x v="1"/>
    <x v="1"/>
  </r>
  <r>
    <x v="0"/>
    <x v="113"/>
    <x v="396"/>
    <x v="96"/>
    <x v="88"/>
    <x v="472"/>
    <x v="23"/>
    <x v="4"/>
    <x v="127"/>
    <x v="371"/>
    <x v="591"/>
    <x v="696"/>
    <x v="824"/>
    <x v="824"/>
    <x v="811"/>
    <x v="1"/>
    <x v="819"/>
    <x v="824"/>
    <x v="487"/>
    <x v="0"/>
    <x v="0"/>
    <x v="1"/>
    <x v="4"/>
    <x v="4"/>
    <x v="122"/>
    <x v="10"/>
    <x v="12"/>
    <x v="1"/>
  </r>
  <r>
    <x v="0"/>
    <x v="239"/>
    <x v="211"/>
    <x v="54"/>
    <x v="160"/>
    <x v="473"/>
    <x v="21"/>
    <x v="797"/>
    <x v="338"/>
    <x v="127"/>
    <x v="183"/>
    <x v="697"/>
    <x v="825"/>
    <x v="825"/>
    <x v="812"/>
    <x v="0"/>
    <x v="820"/>
    <x v="825"/>
    <x v="571"/>
    <x v="0"/>
    <x v="4"/>
    <x v="2"/>
    <x v="121"/>
    <x v="12"/>
    <x v="124"/>
    <x v="34"/>
    <x v="1"/>
    <x v="1"/>
  </r>
  <r>
    <x v="0"/>
    <x v="398"/>
    <x v="338"/>
    <x v="107"/>
    <x v="123"/>
    <x v="474"/>
    <x v="25"/>
    <x v="798"/>
    <x v="339"/>
    <x v="138"/>
    <x v="592"/>
    <x v="698"/>
    <x v="826"/>
    <x v="826"/>
    <x v="813"/>
    <x v="1"/>
    <x v="821"/>
    <x v="826"/>
    <x v="59"/>
    <x v="0"/>
    <x v="0"/>
    <x v="0"/>
    <x v="121"/>
    <x v="14"/>
    <x v="66"/>
    <x v="5"/>
    <x v="1"/>
    <x v="1"/>
  </r>
  <r>
    <x v="1"/>
    <x v="43"/>
    <x v="290"/>
    <x v="30"/>
    <x v="0"/>
    <x v="475"/>
    <x v="10"/>
    <x v="799"/>
    <x v="200"/>
    <x v="33"/>
    <x v="593"/>
    <x v="699"/>
    <x v="827"/>
    <x v="827"/>
    <x v="814"/>
    <x v="0"/>
    <x v="822"/>
    <x v="827"/>
    <x v="572"/>
    <x v="0"/>
    <x v="0"/>
    <x v="0"/>
    <x v="97"/>
    <x v="24"/>
    <x v="167"/>
    <x v="36"/>
    <x v="1"/>
    <x v="109"/>
  </r>
  <r>
    <x v="0"/>
    <x v="344"/>
    <x v="333"/>
    <x v="80"/>
    <x v="73"/>
    <x v="476"/>
    <x v="0"/>
    <x v="800"/>
    <x v="267"/>
    <x v="372"/>
    <x v="594"/>
    <x v="700"/>
    <x v="828"/>
    <x v="828"/>
    <x v="815"/>
    <x v="0"/>
    <x v="823"/>
    <x v="828"/>
    <x v="368"/>
    <x v="0"/>
    <x v="0"/>
    <x v="2"/>
    <x v="81"/>
    <x v="1"/>
    <x v="317"/>
    <x v="31"/>
    <x v="3"/>
    <x v="1"/>
  </r>
  <r>
    <x v="0"/>
    <x v="190"/>
    <x v="322"/>
    <x v="26"/>
    <x v="135"/>
    <x v="202"/>
    <x v="13"/>
    <x v="801"/>
    <x v="125"/>
    <x v="158"/>
    <x v="228"/>
    <x v="255"/>
    <x v="829"/>
    <x v="829"/>
    <x v="816"/>
    <x v="4"/>
    <x v="824"/>
    <x v="829"/>
    <x v="573"/>
    <x v="0"/>
    <x v="0"/>
    <x v="0"/>
    <x v="97"/>
    <x v="21"/>
    <x v="155"/>
    <x v="15"/>
    <x v="3"/>
    <x v="1"/>
  </r>
  <r>
    <x v="0"/>
    <x v="399"/>
    <x v="358"/>
    <x v="95"/>
    <x v="69"/>
    <x v="477"/>
    <x v="29"/>
    <x v="802"/>
    <x v="340"/>
    <x v="34"/>
    <x v="595"/>
    <x v="701"/>
    <x v="830"/>
    <x v="830"/>
    <x v="817"/>
    <x v="1"/>
    <x v="825"/>
    <x v="830"/>
    <x v="404"/>
    <x v="0"/>
    <x v="0"/>
    <x v="3"/>
    <x v="97"/>
    <x v="16"/>
    <x v="12"/>
    <x v="4"/>
    <x v="0"/>
    <x v="1"/>
  </r>
  <r>
    <x v="0"/>
    <x v="105"/>
    <x v="244"/>
    <x v="123"/>
    <x v="83"/>
    <x v="214"/>
    <x v="14"/>
    <x v="803"/>
    <x v="341"/>
    <x v="373"/>
    <x v="596"/>
    <x v="702"/>
    <x v="831"/>
    <x v="831"/>
    <x v="818"/>
    <x v="0"/>
    <x v="826"/>
    <x v="831"/>
    <x v="87"/>
    <x v="0"/>
    <x v="0"/>
    <x v="2"/>
    <x v="97"/>
    <x v="33"/>
    <x v="325"/>
    <x v="11"/>
    <x v="1"/>
    <x v="1"/>
  </r>
  <r>
    <x v="0"/>
    <x v="51"/>
    <x v="394"/>
    <x v="54"/>
    <x v="36"/>
    <x v="299"/>
    <x v="54"/>
    <x v="804"/>
    <x v="194"/>
    <x v="96"/>
    <x v="230"/>
    <x v="394"/>
    <x v="832"/>
    <x v="832"/>
    <x v="819"/>
    <x v="1"/>
    <x v="827"/>
    <x v="832"/>
    <x v="195"/>
    <x v="0"/>
    <x v="0"/>
    <x v="0"/>
    <x v="122"/>
    <x v="25"/>
    <x v="156"/>
    <x v="23"/>
    <x v="3"/>
    <x v="181"/>
  </r>
  <r>
    <x v="0"/>
    <x v="279"/>
    <x v="380"/>
    <x v="34"/>
    <x v="183"/>
    <x v="248"/>
    <x v="14"/>
    <x v="805"/>
    <x v="127"/>
    <x v="14"/>
    <x v="331"/>
    <x v="320"/>
    <x v="833"/>
    <x v="833"/>
    <x v="820"/>
    <x v="1"/>
    <x v="828"/>
    <x v="833"/>
    <x v="574"/>
    <x v="0"/>
    <x v="0"/>
    <x v="0"/>
    <x v="80"/>
    <x v="12"/>
    <x v="222"/>
    <x v="4"/>
    <x v="1"/>
    <x v="1"/>
  </r>
  <r>
    <x v="0"/>
    <x v="400"/>
    <x v="302"/>
    <x v="80"/>
    <x v="218"/>
    <x v="478"/>
    <x v="22"/>
    <x v="806"/>
    <x v="342"/>
    <x v="240"/>
    <x v="469"/>
    <x v="703"/>
    <x v="834"/>
    <x v="834"/>
    <x v="821"/>
    <x v="0"/>
    <x v="829"/>
    <x v="834"/>
    <x v="575"/>
    <x v="0"/>
    <x v="0"/>
    <x v="2"/>
    <x v="97"/>
    <x v="13"/>
    <x v="85"/>
    <x v="28"/>
    <x v="3"/>
    <x v="9"/>
  </r>
  <r>
    <x v="0"/>
    <x v="401"/>
    <x v="155"/>
    <x v="112"/>
    <x v="38"/>
    <x v="479"/>
    <x v="22"/>
    <x v="807"/>
    <x v="127"/>
    <x v="374"/>
    <x v="597"/>
    <x v="704"/>
    <x v="835"/>
    <x v="835"/>
    <x v="822"/>
    <x v="3"/>
    <x v="830"/>
    <x v="835"/>
    <x v="576"/>
    <x v="0"/>
    <x v="0"/>
    <x v="4"/>
    <x v="97"/>
    <x v="17"/>
    <x v="375"/>
    <x v="22"/>
    <x v="1"/>
    <x v="1"/>
  </r>
  <r>
    <x v="0"/>
    <x v="116"/>
    <x v="397"/>
    <x v="90"/>
    <x v="90"/>
    <x v="480"/>
    <x v="10"/>
    <x v="808"/>
    <x v="283"/>
    <x v="33"/>
    <x v="598"/>
    <x v="705"/>
    <x v="836"/>
    <x v="836"/>
    <x v="823"/>
    <x v="0"/>
    <x v="831"/>
    <x v="836"/>
    <x v="577"/>
    <x v="0"/>
    <x v="0"/>
    <x v="0"/>
    <x v="97"/>
    <x v="9"/>
    <x v="376"/>
    <x v="0"/>
    <x v="1"/>
    <x v="14"/>
  </r>
  <r>
    <x v="0"/>
    <x v="80"/>
    <x v="348"/>
    <x v="59"/>
    <x v="63"/>
    <x v="55"/>
    <x v="10"/>
    <x v="809"/>
    <x v="313"/>
    <x v="375"/>
    <x v="6"/>
    <x v="69"/>
    <x v="837"/>
    <x v="837"/>
    <x v="824"/>
    <x v="4"/>
    <x v="832"/>
    <x v="837"/>
    <x v="488"/>
    <x v="0"/>
    <x v="0"/>
    <x v="0"/>
    <x v="97"/>
    <x v="5"/>
    <x v="6"/>
    <x v="22"/>
    <x v="1"/>
    <x v="1"/>
  </r>
  <r>
    <x v="0"/>
    <x v="180"/>
    <x v="396"/>
    <x v="7"/>
    <x v="79"/>
    <x v="105"/>
    <x v="132"/>
    <x v="810"/>
    <x v="35"/>
    <x v="376"/>
    <x v="599"/>
    <x v="706"/>
    <x v="838"/>
    <x v="838"/>
    <x v="825"/>
    <x v="0"/>
    <x v="833"/>
    <x v="838"/>
    <x v="578"/>
    <x v="0"/>
    <x v="0"/>
    <x v="2"/>
    <x v="95"/>
    <x v="16"/>
    <x v="182"/>
    <x v="19"/>
    <x v="3"/>
    <x v="1"/>
  </r>
  <r>
    <x v="0"/>
    <x v="274"/>
    <x v="140"/>
    <x v="5"/>
    <x v="178"/>
    <x v="219"/>
    <x v="11"/>
    <x v="811"/>
    <x v="23"/>
    <x v="156"/>
    <x v="113"/>
    <x v="707"/>
    <x v="839"/>
    <x v="839"/>
    <x v="826"/>
    <x v="0"/>
    <x v="834"/>
    <x v="839"/>
    <x v="206"/>
    <x v="0"/>
    <x v="0"/>
    <x v="4"/>
    <x v="97"/>
    <x v="11"/>
    <x v="53"/>
    <x v="13"/>
    <x v="1"/>
    <x v="15"/>
  </r>
  <r>
    <x v="0"/>
    <x v="402"/>
    <x v="277"/>
    <x v="72"/>
    <x v="226"/>
    <x v="202"/>
    <x v="15"/>
    <x v="812"/>
    <x v="105"/>
    <x v="212"/>
    <x v="600"/>
    <x v="708"/>
    <x v="840"/>
    <x v="840"/>
    <x v="827"/>
    <x v="4"/>
    <x v="835"/>
    <x v="840"/>
    <x v="579"/>
    <x v="0"/>
    <x v="0"/>
    <x v="0"/>
    <x v="97"/>
    <x v="19"/>
    <x v="377"/>
    <x v="37"/>
    <x v="1"/>
    <x v="1"/>
  </r>
  <r>
    <x v="0"/>
    <x v="165"/>
    <x v="249"/>
    <x v="32"/>
    <x v="119"/>
    <x v="481"/>
    <x v="11"/>
    <x v="813"/>
    <x v="149"/>
    <x v="156"/>
    <x v="370"/>
    <x v="709"/>
    <x v="841"/>
    <x v="841"/>
    <x v="828"/>
    <x v="0"/>
    <x v="836"/>
    <x v="841"/>
    <x v="357"/>
    <x v="0"/>
    <x v="0"/>
    <x v="4"/>
    <x v="96"/>
    <x v="16"/>
    <x v="10"/>
    <x v="11"/>
    <x v="1"/>
    <x v="1"/>
  </r>
  <r>
    <x v="0"/>
    <x v="403"/>
    <x v="275"/>
    <x v="85"/>
    <x v="23"/>
    <x v="125"/>
    <x v="14"/>
    <x v="814"/>
    <x v="113"/>
    <x v="14"/>
    <x v="601"/>
    <x v="710"/>
    <x v="842"/>
    <x v="842"/>
    <x v="194"/>
    <x v="0"/>
    <x v="837"/>
    <x v="842"/>
    <x v="331"/>
    <x v="0"/>
    <x v="0"/>
    <x v="0"/>
    <x v="97"/>
    <x v="7"/>
    <x v="341"/>
    <x v="25"/>
    <x v="1"/>
    <x v="121"/>
  </r>
  <r>
    <x v="0"/>
    <x v="127"/>
    <x v="99"/>
    <x v="42"/>
    <x v="94"/>
    <x v="389"/>
    <x v="199"/>
    <x v="815"/>
    <x v="150"/>
    <x v="377"/>
    <x v="602"/>
    <x v="711"/>
    <x v="843"/>
    <x v="843"/>
    <x v="829"/>
    <x v="1"/>
    <x v="838"/>
    <x v="843"/>
    <x v="580"/>
    <x v="0"/>
    <x v="0"/>
    <x v="0"/>
    <x v="97"/>
    <x v="12"/>
    <x v="378"/>
    <x v="5"/>
    <x v="1"/>
    <x v="1"/>
  </r>
  <r>
    <x v="0"/>
    <x v="277"/>
    <x v="398"/>
    <x v="57"/>
    <x v="181"/>
    <x v="204"/>
    <x v="35"/>
    <x v="816"/>
    <x v="306"/>
    <x v="124"/>
    <x v="603"/>
    <x v="257"/>
    <x v="844"/>
    <x v="844"/>
    <x v="830"/>
    <x v="0"/>
    <x v="839"/>
    <x v="844"/>
    <x v="581"/>
    <x v="0"/>
    <x v="0"/>
    <x v="4"/>
    <x v="97"/>
    <x v="24"/>
    <x v="60"/>
    <x v="19"/>
    <x v="1"/>
    <x v="1"/>
  </r>
  <r>
    <x v="0"/>
    <x v="180"/>
    <x v="382"/>
    <x v="37"/>
    <x v="79"/>
    <x v="198"/>
    <x v="25"/>
    <x v="817"/>
    <x v="49"/>
    <x v="76"/>
    <x v="158"/>
    <x v="712"/>
    <x v="845"/>
    <x v="845"/>
    <x v="831"/>
    <x v="1"/>
    <x v="840"/>
    <x v="845"/>
    <x v="302"/>
    <x v="0"/>
    <x v="8"/>
    <x v="0"/>
    <x v="97"/>
    <x v="20"/>
    <x v="105"/>
    <x v="10"/>
    <x v="1"/>
    <x v="1"/>
  </r>
  <r>
    <x v="1"/>
    <x v="169"/>
    <x v="151"/>
    <x v="70"/>
    <x v="121"/>
    <x v="482"/>
    <x v="200"/>
    <x v="818"/>
    <x v="97"/>
    <x v="378"/>
    <x v="174"/>
    <x v="713"/>
    <x v="846"/>
    <x v="846"/>
    <x v="832"/>
    <x v="0"/>
    <x v="841"/>
    <x v="846"/>
    <x v="582"/>
    <x v="0"/>
    <x v="0"/>
    <x v="4"/>
    <x v="116"/>
    <x v="17"/>
    <x v="118"/>
    <x v="14"/>
    <x v="1"/>
    <x v="38"/>
  </r>
  <r>
    <x v="0"/>
    <x v="189"/>
    <x v="321"/>
    <x v="79"/>
    <x v="0"/>
    <x v="88"/>
    <x v="20"/>
    <x v="819"/>
    <x v="125"/>
    <x v="21"/>
    <x v="604"/>
    <x v="714"/>
    <x v="847"/>
    <x v="847"/>
    <x v="833"/>
    <x v="4"/>
    <x v="842"/>
    <x v="847"/>
    <x v="583"/>
    <x v="0"/>
    <x v="0"/>
    <x v="0"/>
    <x v="97"/>
    <x v="15"/>
    <x v="379"/>
    <x v="21"/>
    <x v="15"/>
    <x v="1"/>
  </r>
  <r>
    <x v="0"/>
    <x v="113"/>
    <x v="379"/>
    <x v="104"/>
    <x v="88"/>
    <x v="483"/>
    <x v="201"/>
    <x v="4"/>
    <x v="40"/>
    <x v="379"/>
    <x v="605"/>
    <x v="715"/>
    <x v="848"/>
    <x v="848"/>
    <x v="834"/>
    <x v="2"/>
    <x v="843"/>
    <x v="848"/>
    <x v="339"/>
    <x v="0"/>
    <x v="0"/>
    <x v="5"/>
    <x v="123"/>
    <x v="4"/>
    <x v="287"/>
    <x v="26"/>
    <x v="8"/>
    <x v="1"/>
  </r>
  <r>
    <x v="1"/>
    <x v="169"/>
    <x v="40"/>
    <x v="64"/>
    <x v="121"/>
    <x v="474"/>
    <x v="44"/>
    <x v="820"/>
    <x v="28"/>
    <x v="68"/>
    <x v="606"/>
    <x v="698"/>
    <x v="849"/>
    <x v="849"/>
    <x v="835"/>
    <x v="0"/>
    <x v="844"/>
    <x v="849"/>
    <x v="584"/>
    <x v="0"/>
    <x v="0"/>
    <x v="4"/>
    <x v="116"/>
    <x v="14"/>
    <x v="339"/>
    <x v="25"/>
    <x v="1"/>
    <x v="1"/>
  </r>
  <r>
    <x v="0"/>
    <x v="214"/>
    <x v="399"/>
    <x v="55"/>
    <x v="93"/>
    <x v="355"/>
    <x v="57"/>
    <x v="821"/>
    <x v="26"/>
    <x v="237"/>
    <x v="607"/>
    <x v="716"/>
    <x v="850"/>
    <x v="850"/>
    <x v="836"/>
    <x v="1"/>
    <x v="845"/>
    <x v="850"/>
    <x v="585"/>
    <x v="0"/>
    <x v="0"/>
    <x v="4"/>
    <x v="97"/>
    <x v="30"/>
    <x v="272"/>
    <x v="22"/>
    <x v="1"/>
    <x v="1"/>
  </r>
  <r>
    <x v="0"/>
    <x v="43"/>
    <x v="324"/>
    <x v="27"/>
    <x v="0"/>
    <x v="157"/>
    <x v="57"/>
    <x v="822"/>
    <x v="63"/>
    <x v="99"/>
    <x v="608"/>
    <x v="587"/>
    <x v="851"/>
    <x v="851"/>
    <x v="837"/>
    <x v="3"/>
    <x v="846"/>
    <x v="851"/>
    <x v="86"/>
    <x v="0"/>
    <x v="0"/>
    <x v="0"/>
    <x v="97"/>
    <x v="29"/>
    <x v="6"/>
    <x v="21"/>
    <x v="3"/>
    <x v="60"/>
  </r>
  <r>
    <x v="0"/>
    <x v="404"/>
    <x v="265"/>
    <x v="47"/>
    <x v="134"/>
    <x v="220"/>
    <x v="202"/>
    <x v="823"/>
    <x v="343"/>
    <x v="380"/>
    <x v="609"/>
    <x v="717"/>
    <x v="852"/>
    <x v="852"/>
    <x v="838"/>
    <x v="4"/>
    <x v="847"/>
    <x v="852"/>
    <x v="300"/>
    <x v="0"/>
    <x v="0"/>
    <x v="0"/>
    <x v="97"/>
    <x v="21"/>
    <x v="380"/>
    <x v="4"/>
    <x v="1"/>
    <x v="1"/>
  </r>
  <r>
    <x v="0"/>
    <x v="374"/>
    <x v="370"/>
    <x v="82"/>
    <x v="217"/>
    <x v="399"/>
    <x v="0"/>
    <x v="824"/>
    <x v="2"/>
    <x v="48"/>
    <x v="137"/>
    <x v="718"/>
    <x v="853"/>
    <x v="853"/>
    <x v="839"/>
    <x v="0"/>
    <x v="848"/>
    <x v="853"/>
    <x v="245"/>
    <x v="0"/>
    <x v="0"/>
    <x v="4"/>
    <x v="97"/>
    <x v="25"/>
    <x v="94"/>
    <x v="21"/>
    <x v="1"/>
    <x v="1"/>
  </r>
  <r>
    <x v="0"/>
    <x v="197"/>
    <x v="357"/>
    <x v="50"/>
    <x v="139"/>
    <x v="378"/>
    <x v="0"/>
    <x v="825"/>
    <x v="35"/>
    <x v="381"/>
    <x v="610"/>
    <x v="532"/>
    <x v="854"/>
    <x v="854"/>
    <x v="840"/>
    <x v="1"/>
    <x v="849"/>
    <x v="854"/>
    <x v="586"/>
    <x v="0"/>
    <x v="0"/>
    <x v="2"/>
    <x v="97"/>
    <x v="10"/>
    <x v="272"/>
    <x v="19"/>
    <x v="3"/>
    <x v="57"/>
  </r>
  <r>
    <x v="0"/>
    <x v="97"/>
    <x v="278"/>
    <x v="27"/>
    <x v="59"/>
    <x v="451"/>
    <x v="15"/>
    <x v="826"/>
    <x v="1"/>
    <x v="54"/>
    <x v="611"/>
    <x v="658"/>
    <x v="855"/>
    <x v="855"/>
    <x v="841"/>
    <x v="0"/>
    <x v="850"/>
    <x v="855"/>
    <x v="491"/>
    <x v="0"/>
    <x v="0"/>
    <x v="0"/>
    <x v="97"/>
    <x v="8"/>
    <x v="370"/>
    <x v="4"/>
    <x v="1"/>
    <x v="1"/>
  </r>
  <r>
    <x v="0"/>
    <x v="405"/>
    <x v="378"/>
    <x v="43"/>
    <x v="218"/>
    <x v="67"/>
    <x v="0"/>
    <x v="827"/>
    <x v="29"/>
    <x v="52"/>
    <x v="612"/>
    <x v="164"/>
    <x v="856"/>
    <x v="856"/>
    <x v="842"/>
    <x v="1"/>
    <x v="851"/>
    <x v="856"/>
    <x v="546"/>
    <x v="0"/>
    <x v="0"/>
    <x v="2"/>
    <x v="97"/>
    <x v="9"/>
    <x v="381"/>
    <x v="18"/>
    <x v="3"/>
    <x v="1"/>
  </r>
  <r>
    <x v="0"/>
    <x v="68"/>
    <x v="134"/>
    <x v="97"/>
    <x v="53"/>
    <x v="484"/>
    <x v="203"/>
    <x v="828"/>
    <x v="310"/>
    <x v="382"/>
    <x v="613"/>
    <x v="719"/>
    <x v="857"/>
    <x v="857"/>
    <x v="843"/>
    <x v="0"/>
    <x v="852"/>
    <x v="857"/>
    <x v="587"/>
    <x v="0"/>
    <x v="0"/>
    <x v="4"/>
    <x v="95"/>
    <x v="29"/>
    <x v="382"/>
    <x v="21"/>
    <x v="1"/>
    <x v="1"/>
  </r>
  <r>
    <x v="0"/>
    <x v="406"/>
    <x v="352"/>
    <x v="24"/>
    <x v="227"/>
    <x v="485"/>
    <x v="204"/>
    <x v="829"/>
    <x v="344"/>
    <x v="383"/>
    <x v="614"/>
    <x v="720"/>
    <x v="858"/>
    <x v="858"/>
    <x v="844"/>
    <x v="1"/>
    <x v="853"/>
    <x v="858"/>
    <x v="357"/>
    <x v="0"/>
    <x v="0"/>
    <x v="2"/>
    <x v="97"/>
    <x v="25"/>
    <x v="383"/>
    <x v="22"/>
    <x v="1"/>
    <x v="1"/>
  </r>
  <r>
    <x v="0"/>
    <x v="407"/>
    <x v="290"/>
    <x v="40"/>
    <x v="173"/>
    <x v="250"/>
    <x v="13"/>
    <x v="830"/>
    <x v="263"/>
    <x v="158"/>
    <x v="615"/>
    <x v="721"/>
    <x v="859"/>
    <x v="859"/>
    <x v="845"/>
    <x v="4"/>
    <x v="854"/>
    <x v="859"/>
    <x v="588"/>
    <x v="0"/>
    <x v="1"/>
    <x v="4"/>
    <x v="97"/>
    <x v="20"/>
    <x v="12"/>
    <x v="11"/>
    <x v="1"/>
    <x v="1"/>
  </r>
  <r>
    <x v="0"/>
    <x v="249"/>
    <x v="219"/>
    <x v="47"/>
    <x v="138"/>
    <x v="294"/>
    <x v="0"/>
    <x v="831"/>
    <x v="345"/>
    <x v="384"/>
    <x v="616"/>
    <x v="722"/>
    <x v="860"/>
    <x v="860"/>
    <x v="846"/>
    <x v="0"/>
    <x v="855"/>
    <x v="860"/>
    <x v="293"/>
    <x v="0"/>
    <x v="0"/>
    <x v="4"/>
    <x v="97"/>
    <x v="25"/>
    <x v="384"/>
    <x v="2"/>
    <x v="1"/>
    <x v="1"/>
  </r>
  <r>
    <x v="0"/>
    <x v="408"/>
    <x v="400"/>
    <x v="54"/>
    <x v="184"/>
    <x v="486"/>
    <x v="205"/>
    <x v="832"/>
    <x v="57"/>
    <x v="385"/>
    <x v="617"/>
    <x v="723"/>
    <x v="861"/>
    <x v="861"/>
    <x v="722"/>
    <x v="0"/>
    <x v="856"/>
    <x v="861"/>
    <x v="149"/>
    <x v="0"/>
    <x v="1"/>
    <x v="2"/>
    <x v="97"/>
    <x v="11"/>
    <x v="119"/>
    <x v="13"/>
    <x v="1"/>
    <x v="26"/>
  </r>
  <r>
    <x v="0"/>
    <x v="409"/>
    <x v="220"/>
    <x v="58"/>
    <x v="228"/>
    <x v="110"/>
    <x v="40"/>
    <x v="833"/>
    <x v="148"/>
    <x v="189"/>
    <x v="618"/>
    <x v="334"/>
    <x v="862"/>
    <x v="862"/>
    <x v="847"/>
    <x v="2"/>
    <x v="857"/>
    <x v="862"/>
    <x v="488"/>
    <x v="0"/>
    <x v="0"/>
    <x v="4"/>
    <x v="76"/>
    <x v="3"/>
    <x v="381"/>
    <x v="20"/>
    <x v="1"/>
    <x v="61"/>
  </r>
  <r>
    <x v="0"/>
    <x v="410"/>
    <x v="126"/>
    <x v="50"/>
    <x v="229"/>
    <x v="349"/>
    <x v="142"/>
    <x v="834"/>
    <x v="28"/>
    <x v="263"/>
    <x v="619"/>
    <x v="724"/>
    <x v="863"/>
    <x v="863"/>
    <x v="848"/>
    <x v="1"/>
    <x v="858"/>
    <x v="863"/>
    <x v="589"/>
    <x v="0"/>
    <x v="0"/>
    <x v="4"/>
    <x v="97"/>
    <x v="17"/>
    <x v="385"/>
    <x v="19"/>
    <x v="3"/>
    <x v="1"/>
  </r>
  <r>
    <x v="0"/>
    <x v="71"/>
    <x v="388"/>
    <x v="51"/>
    <x v="56"/>
    <x v="153"/>
    <x v="25"/>
    <x v="835"/>
    <x v="306"/>
    <x v="82"/>
    <x v="620"/>
    <x v="725"/>
    <x v="864"/>
    <x v="864"/>
    <x v="849"/>
    <x v="1"/>
    <x v="859"/>
    <x v="864"/>
    <x v="423"/>
    <x v="0"/>
    <x v="0"/>
    <x v="4"/>
    <x v="97"/>
    <x v="15"/>
    <x v="34"/>
    <x v="12"/>
    <x v="1"/>
    <x v="1"/>
  </r>
  <r>
    <x v="0"/>
    <x v="307"/>
    <x v="318"/>
    <x v="34"/>
    <x v="114"/>
    <x v="329"/>
    <x v="57"/>
    <x v="836"/>
    <x v="125"/>
    <x v="109"/>
    <x v="621"/>
    <x v="726"/>
    <x v="865"/>
    <x v="865"/>
    <x v="850"/>
    <x v="4"/>
    <x v="860"/>
    <x v="865"/>
    <x v="142"/>
    <x v="0"/>
    <x v="0"/>
    <x v="0"/>
    <x v="97"/>
    <x v="17"/>
    <x v="386"/>
    <x v="27"/>
    <x v="1"/>
    <x v="1"/>
  </r>
  <r>
    <x v="0"/>
    <x v="411"/>
    <x v="328"/>
    <x v="77"/>
    <x v="221"/>
    <x v="88"/>
    <x v="94"/>
    <x v="837"/>
    <x v="300"/>
    <x v="166"/>
    <x v="620"/>
    <x v="556"/>
    <x v="866"/>
    <x v="866"/>
    <x v="851"/>
    <x v="3"/>
    <x v="861"/>
    <x v="866"/>
    <x v="119"/>
    <x v="0"/>
    <x v="0"/>
    <x v="4"/>
    <x v="97"/>
    <x v="8"/>
    <x v="34"/>
    <x v="27"/>
    <x v="1"/>
    <x v="1"/>
  </r>
  <r>
    <x v="0"/>
    <x v="412"/>
    <x v="282"/>
    <x v="76"/>
    <x v="159"/>
    <x v="60"/>
    <x v="41"/>
    <x v="838"/>
    <x v="29"/>
    <x v="111"/>
    <x v="622"/>
    <x v="103"/>
    <x v="867"/>
    <x v="867"/>
    <x v="852"/>
    <x v="0"/>
    <x v="862"/>
    <x v="867"/>
    <x v="420"/>
    <x v="0"/>
    <x v="1"/>
    <x v="2"/>
    <x v="97"/>
    <x v="3"/>
    <x v="387"/>
    <x v="10"/>
    <x v="1"/>
    <x v="1"/>
  </r>
  <r>
    <x v="0"/>
    <x v="326"/>
    <x v="70"/>
    <x v="8"/>
    <x v="121"/>
    <x v="198"/>
    <x v="2"/>
    <x v="839"/>
    <x v="171"/>
    <x v="60"/>
    <x v="623"/>
    <x v="712"/>
    <x v="868"/>
    <x v="868"/>
    <x v="853"/>
    <x v="0"/>
    <x v="863"/>
    <x v="868"/>
    <x v="7"/>
    <x v="0"/>
    <x v="0"/>
    <x v="4"/>
    <x v="97"/>
    <x v="8"/>
    <x v="388"/>
    <x v="6"/>
    <x v="1"/>
    <x v="57"/>
  </r>
  <r>
    <x v="0"/>
    <x v="226"/>
    <x v="276"/>
    <x v="86"/>
    <x v="154"/>
    <x v="40"/>
    <x v="11"/>
    <x v="840"/>
    <x v="102"/>
    <x v="63"/>
    <x v="65"/>
    <x v="48"/>
    <x v="869"/>
    <x v="869"/>
    <x v="854"/>
    <x v="1"/>
    <x v="864"/>
    <x v="869"/>
    <x v="581"/>
    <x v="0"/>
    <x v="0"/>
    <x v="0"/>
    <x v="95"/>
    <x v="25"/>
    <x v="6"/>
    <x v="23"/>
    <x v="3"/>
    <x v="103"/>
  </r>
  <r>
    <x v="0"/>
    <x v="165"/>
    <x v="401"/>
    <x v="38"/>
    <x v="119"/>
    <x v="391"/>
    <x v="13"/>
    <x v="841"/>
    <x v="346"/>
    <x v="158"/>
    <x v="601"/>
    <x v="727"/>
    <x v="870"/>
    <x v="870"/>
    <x v="855"/>
    <x v="3"/>
    <x v="865"/>
    <x v="870"/>
    <x v="258"/>
    <x v="0"/>
    <x v="0"/>
    <x v="4"/>
    <x v="97"/>
    <x v="25"/>
    <x v="341"/>
    <x v="27"/>
    <x v="1"/>
    <x v="1"/>
  </r>
  <r>
    <x v="1"/>
    <x v="133"/>
    <x v="155"/>
    <x v="14"/>
    <x v="98"/>
    <x v="5"/>
    <x v="11"/>
    <x v="842"/>
    <x v="347"/>
    <x v="69"/>
    <x v="458"/>
    <x v="728"/>
    <x v="871"/>
    <x v="871"/>
    <x v="856"/>
    <x v="0"/>
    <x v="866"/>
    <x v="871"/>
    <x v="590"/>
    <x v="0"/>
    <x v="1"/>
    <x v="0"/>
    <x v="80"/>
    <x v="14"/>
    <x v="92"/>
    <x v="38"/>
    <x v="1"/>
    <x v="1"/>
  </r>
  <r>
    <x v="0"/>
    <x v="413"/>
    <x v="242"/>
    <x v="37"/>
    <x v="230"/>
    <x v="138"/>
    <x v="57"/>
    <x v="843"/>
    <x v="256"/>
    <x v="386"/>
    <x v="185"/>
    <x v="169"/>
    <x v="872"/>
    <x v="872"/>
    <x v="857"/>
    <x v="1"/>
    <x v="867"/>
    <x v="872"/>
    <x v="404"/>
    <x v="0"/>
    <x v="1"/>
    <x v="0"/>
    <x v="97"/>
    <x v="1"/>
    <x v="12"/>
    <x v="8"/>
    <x v="3"/>
    <x v="1"/>
  </r>
  <r>
    <x v="0"/>
    <x v="414"/>
    <x v="305"/>
    <x v="41"/>
    <x v="176"/>
    <x v="487"/>
    <x v="123"/>
    <x v="844"/>
    <x v="46"/>
    <x v="233"/>
    <x v="624"/>
    <x v="729"/>
    <x v="873"/>
    <x v="873"/>
    <x v="858"/>
    <x v="0"/>
    <x v="868"/>
    <x v="873"/>
    <x v="125"/>
    <x v="0"/>
    <x v="0"/>
    <x v="0"/>
    <x v="108"/>
    <x v="12"/>
    <x v="389"/>
    <x v="34"/>
    <x v="1"/>
    <x v="1"/>
  </r>
  <r>
    <x v="0"/>
    <x v="415"/>
    <x v="274"/>
    <x v="124"/>
    <x v="58"/>
    <x v="305"/>
    <x v="183"/>
    <x v="845"/>
    <x v="156"/>
    <x v="387"/>
    <x v="625"/>
    <x v="730"/>
    <x v="874"/>
    <x v="874"/>
    <x v="859"/>
    <x v="0"/>
    <x v="869"/>
    <x v="874"/>
    <x v="87"/>
    <x v="0"/>
    <x v="0"/>
    <x v="0"/>
    <x v="121"/>
    <x v="17"/>
    <x v="390"/>
    <x v="22"/>
    <x v="1"/>
    <x v="182"/>
  </r>
  <r>
    <x v="0"/>
    <x v="416"/>
    <x v="402"/>
    <x v="7"/>
    <x v="0"/>
    <x v="331"/>
    <x v="162"/>
    <x v="846"/>
    <x v="3"/>
    <x v="297"/>
    <x v="626"/>
    <x v="489"/>
    <x v="875"/>
    <x v="875"/>
    <x v="860"/>
    <x v="0"/>
    <x v="870"/>
    <x v="875"/>
    <x v="591"/>
    <x v="0"/>
    <x v="0"/>
    <x v="4"/>
    <x v="124"/>
    <x v="13"/>
    <x v="391"/>
    <x v="55"/>
    <x v="1"/>
    <x v="183"/>
  </r>
  <r>
    <x v="0"/>
    <x v="417"/>
    <x v="197"/>
    <x v="86"/>
    <x v="31"/>
    <x v="400"/>
    <x v="206"/>
    <x v="847"/>
    <x v="348"/>
    <x v="388"/>
    <x v="627"/>
    <x v="577"/>
    <x v="876"/>
    <x v="876"/>
    <x v="861"/>
    <x v="4"/>
    <x v="871"/>
    <x v="876"/>
    <x v="592"/>
    <x v="0"/>
    <x v="0"/>
    <x v="2"/>
    <x v="97"/>
    <x v="0"/>
    <x v="392"/>
    <x v="23"/>
    <x v="1"/>
    <x v="184"/>
  </r>
  <r>
    <x v="0"/>
    <x v="73"/>
    <x v="403"/>
    <x v="73"/>
    <x v="58"/>
    <x v="488"/>
    <x v="22"/>
    <x v="848"/>
    <x v="349"/>
    <x v="95"/>
    <x v="628"/>
    <x v="731"/>
    <x v="877"/>
    <x v="877"/>
    <x v="862"/>
    <x v="2"/>
    <x v="872"/>
    <x v="877"/>
    <x v="472"/>
    <x v="0"/>
    <x v="0"/>
    <x v="2"/>
    <x v="95"/>
    <x v="11"/>
    <x v="12"/>
    <x v="21"/>
    <x v="3"/>
    <x v="7"/>
  </r>
  <r>
    <x v="0"/>
    <x v="298"/>
    <x v="352"/>
    <x v="54"/>
    <x v="191"/>
    <x v="489"/>
    <x v="207"/>
    <x v="849"/>
    <x v="237"/>
    <x v="389"/>
    <x v="629"/>
    <x v="732"/>
    <x v="878"/>
    <x v="878"/>
    <x v="863"/>
    <x v="0"/>
    <x v="873"/>
    <x v="878"/>
    <x v="453"/>
    <x v="0"/>
    <x v="1"/>
    <x v="2"/>
    <x v="120"/>
    <x v="14"/>
    <x v="215"/>
    <x v="39"/>
    <x v="3"/>
    <x v="185"/>
  </r>
  <r>
    <x v="0"/>
    <x v="418"/>
    <x v="148"/>
    <x v="73"/>
    <x v="68"/>
    <x v="472"/>
    <x v="35"/>
    <x v="850"/>
    <x v="350"/>
    <x v="321"/>
    <x v="630"/>
    <x v="733"/>
    <x v="879"/>
    <x v="879"/>
    <x v="864"/>
    <x v="1"/>
    <x v="874"/>
    <x v="879"/>
    <x v="321"/>
    <x v="0"/>
    <x v="0"/>
    <x v="0"/>
    <x v="97"/>
    <x v="5"/>
    <x v="393"/>
    <x v="21"/>
    <x v="1"/>
    <x v="64"/>
  </r>
  <r>
    <x v="0"/>
    <x v="365"/>
    <x v="72"/>
    <x v="82"/>
    <x v="0"/>
    <x v="490"/>
    <x v="208"/>
    <x v="851"/>
    <x v="351"/>
    <x v="390"/>
    <x v="631"/>
    <x v="734"/>
    <x v="880"/>
    <x v="880"/>
    <x v="865"/>
    <x v="1"/>
    <x v="875"/>
    <x v="880"/>
    <x v="63"/>
    <x v="3"/>
    <x v="10"/>
    <x v="4"/>
    <x v="125"/>
    <x v="14"/>
    <x v="394"/>
    <x v="16"/>
    <x v="1"/>
    <x v="1"/>
  </r>
  <r>
    <x v="1"/>
    <x v="328"/>
    <x v="280"/>
    <x v="49"/>
    <x v="0"/>
    <x v="491"/>
    <x v="209"/>
    <x v="4"/>
    <x v="352"/>
    <x v="391"/>
    <x v="632"/>
    <x v="735"/>
    <x v="881"/>
    <x v="881"/>
    <x v="866"/>
    <x v="0"/>
    <x v="876"/>
    <x v="881"/>
    <x v="488"/>
    <x v="0"/>
    <x v="1"/>
    <x v="9"/>
    <x v="126"/>
    <x v="34"/>
    <x v="395"/>
    <x v="16"/>
    <x v="10"/>
    <x v="1"/>
  </r>
  <r>
    <x v="0"/>
    <x v="419"/>
    <x v="240"/>
    <x v="45"/>
    <x v="89"/>
    <x v="492"/>
    <x v="57"/>
    <x v="4"/>
    <x v="353"/>
    <x v="237"/>
    <x v="633"/>
    <x v="736"/>
    <x v="882"/>
    <x v="882"/>
    <x v="867"/>
    <x v="1"/>
    <x v="877"/>
    <x v="882"/>
    <x v="593"/>
    <x v="0"/>
    <x v="0"/>
    <x v="4"/>
    <x v="97"/>
    <x v="19"/>
    <x v="50"/>
    <x v="43"/>
    <x v="1"/>
    <x v="165"/>
  </r>
  <r>
    <x v="0"/>
    <x v="37"/>
    <x v="400"/>
    <x v="85"/>
    <x v="0"/>
    <x v="142"/>
    <x v="25"/>
    <x v="852"/>
    <x v="179"/>
    <x v="392"/>
    <x v="22"/>
    <x v="173"/>
    <x v="883"/>
    <x v="883"/>
    <x v="868"/>
    <x v="1"/>
    <x v="878"/>
    <x v="883"/>
    <x v="594"/>
    <x v="0"/>
    <x v="0"/>
    <x v="4"/>
    <x v="122"/>
    <x v="19"/>
    <x v="19"/>
    <x v="10"/>
    <x v="3"/>
    <x v="1"/>
  </r>
  <r>
    <x v="0"/>
    <x v="403"/>
    <x v="242"/>
    <x v="32"/>
    <x v="23"/>
    <x v="388"/>
    <x v="14"/>
    <x v="853"/>
    <x v="17"/>
    <x v="14"/>
    <x v="128"/>
    <x v="737"/>
    <x v="884"/>
    <x v="884"/>
    <x v="869"/>
    <x v="1"/>
    <x v="879"/>
    <x v="884"/>
    <x v="595"/>
    <x v="0"/>
    <x v="0"/>
    <x v="0"/>
    <x v="97"/>
    <x v="8"/>
    <x v="13"/>
    <x v="16"/>
    <x v="1"/>
    <x v="18"/>
  </r>
  <r>
    <x v="0"/>
    <x v="382"/>
    <x v="367"/>
    <x v="80"/>
    <x v="71"/>
    <x v="493"/>
    <x v="57"/>
    <x v="854"/>
    <x v="3"/>
    <x v="237"/>
    <x v="634"/>
    <x v="738"/>
    <x v="885"/>
    <x v="885"/>
    <x v="870"/>
    <x v="3"/>
    <x v="880"/>
    <x v="885"/>
    <x v="104"/>
    <x v="0"/>
    <x v="0"/>
    <x v="4"/>
    <x v="97"/>
    <x v="3"/>
    <x v="6"/>
    <x v="20"/>
    <x v="3"/>
    <x v="7"/>
  </r>
  <r>
    <x v="0"/>
    <x v="420"/>
    <x v="382"/>
    <x v="92"/>
    <x v="0"/>
    <x v="494"/>
    <x v="21"/>
    <x v="855"/>
    <x v="152"/>
    <x v="210"/>
    <x v="635"/>
    <x v="739"/>
    <x v="886"/>
    <x v="886"/>
    <x v="871"/>
    <x v="1"/>
    <x v="881"/>
    <x v="886"/>
    <x v="596"/>
    <x v="0"/>
    <x v="0"/>
    <x v="4"/>
    <x v="122"/>
    <x v="22"/>
    <x v="30"/>
    <x v="32"/>
    <x v="3"/>
    <x v="1"/>
  </r>
  <r>
    <x v="0"/>
    <x v="296"/>
    <x v="136"/>
    <x v="32"/>
    <x v="189"/>
    <x v="10"/>
    <x v="15"/>
    <x v="856"/>
    <x v="105"/>
    <x v="180"/>
    <x v="489"/>
    <x v="740"/>
    <x v="887"/>
    <x v="887"/>
    <x v="417"/>
    <x v="0"/>
    <x v="882"/>
    <x v="887"/>
    <x v="597"/>
    <x v="0"/>
    <x v="0"/>
    <x v="0"/>
    <x v="120"/>
    <x v="12"/>
    <x v="9"/>
    <x v="21"/>
    <x v="3"/>
    <x v="1"/>
  </r>
  <r>
    <x v="0"/>
    <x v="20"/>
    <x v="243"/>
    <x v="47"/>
    <x v="13"/>
    <x v="231"/>
    <x v="210"/>
    <x v="857"/>
    <x v="127"/>
    <x v="393"/>
    <x v="636"/>
    <x v="741"/>
    <x v="888"/>
    <x v="840"/>
    <x v="872"/>
    <x v="1"/>
    <x v="883"/>
    <x v="888"/>
    <x v="224"/>
    <x v="0"/>
    <x v="0"/>
    <x v="0"/>
    <x v="122"/>
    <x v="7"/>
    <x v="396"/>
    <x v="23"/>
    <x v="3"/>
    <x v="1"/>
  </r>
  <r>
    <x v="0"/>
    <x v="421"/>
    <x v="313"/>
    <x v="38"/>
    <x v="137"/>
    <x v="495"/>
    <x v="211"/>
    <x v="858"/>
    <x v="41"/>
    <x v="394"/>
    <x v="545"/>
    <x v="742"/>
    <x v="889"/>
    <x v="888"/>
    <x v="873"/>
    <x v="2"/>
    <x v="884"/>
    <x v="889"/>
    <x v="286"/>
    <x v="0"/>
    <x v="0"/>
    <x v="2"/>
    <x v="122"/>
    <x v="35"/>
    <x v="354"/>
    <x v="2"/>
    <x v="1"/>
    <x v="1"/>
  </r>
  <r>
    <x v="0"/>
    <x v="225"/>
    <x v="333"/>
    <x v="61"/>
    <x v="141"/>
    <x v="496"/>
    <x v="212"/>
    <x v="859"/>
    <x v="314"/>
    <x v="395"/>
    <x v="637"/>
    <x v="743"/>
    <x v="890"/>
    <x v="889"/>
    <x v="874"/>
    <x v="0"/>
    <x v="885"/>
    <x v="890"/>
    <x v="598"/>
    <x v="0"/>
    <x v="0"/>
    <x v="4"/>
    <x v="122"/>
    <x v="17"/>
    <x v="397"/>
    <x v="52"/>
    <x v="1"/>
    <x v="43"/>
  </r>
  <r>
    <x v="1"/>
    <x v="357"/>
    <x v="238"/>
    <x v="57"/>
    <x v="212"/>
    <x v="40"/>
    <x v="21"/>
    <x v="860"/>
    <x v="306"/>
    <x v="141"/>
    <x v="129"/>
    <x v="48"/>
    <x v="891"/>
    <x v="890"/>
    <x v="875"/>
    <x v="0"/>
    <x v="886"/>
    <x v="891"/>
    <x v="128"/>
    <x v="0"/>
    <x v="8"/>
    <x v="0"/>
    <x v="97"/>
    <x v="7"/>
    <x v="47"/>
    <x v="5"/>
    <x v="3"/>
    <x v="1"/>
  </r>
  <r>
    <x v="0"/>
    <x v="265"/>
    <x v="202"/>
    <x v="77"/>
    <x v="175"/>
    <x v="212"/>
    <x v="29"/>
    <x v="861"/>
    <x v="23"/>
    <x v="34"/>
    <x v="638"/>
    <x v="560"/>
    <x v="892"/>
    <x v="891"/>
    <x v="876"/>
    <x v="0"/>
    <x v="887"/>
    <x v="892"/>
    <x v="428"/>
    <x v="0"/>
    <x v="8"/>
    <x v="4"/>
    <x v="127"/>
    <x v="21"/>
    <x v="30"/>
    <x v="18"/>
    <x v="1"/>
    <x v="1"/>
  </r>
  <r>
    <x v="0"/>
    <x v="281"/>
    <x v="239"/>
    <x v="50"/>
    <x v="185"/>
    <x v="497"/>
    <x v="41"/>
    <x v="862"/>
    <x v="354"/>
    <x v="396"/>
    <x v="30"/>
    <x v="744"/>
    <x v="893"/>
    <x v="892"/>
    <x v="877"/>
    <x v="1"/>
    <x v="888"/>
    <x v="893"/>
    <x v="251"/>
    <x v="0"/>
    <x v="0"/>
    <x v="3"/>
    <x v="95"/>
    <x v="13"/>
    <x v="24"/>
    <x v="1"/>
    <x v="1"/>
    <x v="1"/>
  </r>
  <r>
    <x v="1"/>
    <x v="35"/>
    <x v="306"/>
    <x v="46"/>
    <x v="16"/>
    <x v="117"/>
    <x v="0"/>
    <x v="863"/>
    <x v="225"/>
    <x v="51"/>
    <x v="639"/>
    <x v="146"/>
    <x v="894"/>
    <x v="893"/>
    <x v="878"/>
    <x v="1"/>
    <x v="889"/>
    <x v="894"/>
    <x v="599"/>
    <x v="0"/>
    <x v="0"/>
    <x v="0"/>
    <x v="128"/>
    <x v="18"/>
    <x v="202"/>
    <x v="32"/>
    <x v="1"/>
    <x v="7"/>
  </r>
  <r>
    <x v="0"/>
    <x v="377"/>
    <x v="288"/>
    <x v="71"/>
    <x v="184"/>
    <x v="498"/>
    <x v="25"/>
    <x v="864"/>
    <x v="180"/>
    <x v="26"/>
    <x v="573"/>
    <x v="745"/>
    <x v="895"/>
    <x v="894"/>
    <x v="879"/>
    <x v="1"/>
    <x v="890"/>
    <x v="895"/>
    <x v="600"/>
    <x v="0"/>
    <x v="0"/>
    <x v="0"/>
    <x v="96"/>
    <x v="18"/>
    <x v="368"/>
    <x v="34"/>
    <x v="1"/>
    <x v="186"/>
  </r>
  <r>
    <x v="0"/>
    <x v="422"/>
    <x v="404"/>
    <x v="32"/>
    <x v="225"/>
    <x v="23"/>
    <x v="1"/>
    <x v="865"/>
    <x v="130"/>
    <x v="1"/>
    <x v="445"/>
    <x v="746"/>
    <x v="896"/>
    <x v="895"/>
    <x v="880"/>
    <x v="6"/>
    <x v="891"/>
    <x v="896"/>
    <x v="316"/>
    <x v="0"/>
    <x v="0"/>
    <x v="4"/>
    <x v="96"/>
    <x v="2"/>
    <x v="21"/>
    <x v="15"/>
    <x v="1"/>
    <x v="20"/>
  </r>
  <r>
    <x v="0"/>
    <x v="326"/>
    <x v="367"/>
    <x v="24"/>
    <x v="121"/>
    <x v="46"/>
    <x v="29"/>
    <x v="866"/>
    <x v="156"/>
    <x v="74"/>
    <x v="77"/>
    <x v="55"/>
    <x v="897"/>
    <x v="896"/>
    <x v="881"/>
    <x v="0"/>
    <x v="892"/>
    <x v="897"/>
    <x v="359"/>
    <x v="0"/>
    <x v="0"/>
    <x v="4"/>
    <x v="63"/>
    <x v="7"/>
    <x v="56"/>
    <x v="1"/>
    <x v="1"/>
    <x v="1"/>
  </r>
  <r>
    <x v="0"/>
    <x v="273"/>
    <x v="405"/>
    <x v="34"/>
    <x v="70"/>
    <x v="17"/>
    <x v="11"/>
    <x v="867"/>
    <x v="168"/>
    <x v="69"/>
    <x v="356"/>
    <x v="455"/>
    <x v="898"/>
    <x v="897"/>
    <x v="882"/>
    <x v="0"/>
    <x v="893"/>
    <x v="898"/>
    <x v="601"/>
    <x v="0"/>
    <x v="0"/>
    <x v="4"/>
    <x v="95"/>
    <x v="0"/>
    <x v="30"/>
    <x v="38"/>
    <x v="1"/>
    <x v="90"/>
  </r>
  <r>
    <x v="0"/>
    <x v="423"/>
    <x v="75"/>
    <x v="122"/>
    <x v="0"/>
    <x v="1"/>
    <x v="17"/>
    <x v="868"/>
    <x v="355"/>
    <x v="397"/>
    <x v="128"/>
    <x v="205"/>
    <x v="899"/>
    <x v="898"/>
    <x v="883"/>
    <x v="0"/>
    <x v="894"/>
    <x v="899"/>
    <x v="125"/>
    <x v="0"/>
    <x v="0"/>
    <x v="4"/>
    <x v="96"/>
    <x v="1"/>
    <x v="13"/>
    <x v="32"/>
    <x v="1"/>
    <x v="1"/>
  </r>
  <r>
    <x v="0"/>
    <x v="250"/>
    <x v="239"/>
    <x v="100"/>
    <x v="168"/>
    <x v="191"/>
    <x v="86"/>
    <x v="869"/>
    <x v="356"/>
    <x v="150"/>
    <x v="640"/>
    <x v="747"/>
    <x v="900"/>
    <x v="899"/>
    <x v="884"/>
    <x v="1"/>
    <x v="895"/>
    <x v="900"/>
    <x v="488"/>
    <x v="0"/>
    <x v="0"/>
    <x v="4"/>
    <x v="97"/>
    <x v="20"/>
    <x v="398"/>
    <x v="18"/>
    <x v="3"/>
    <x v="187"/>
  </r>
  <r>
    <x v="0"/>
    <x v="424"/>
    <x v="257"/>
    <x v="23"/>
    <x v="231"/>
    <x v="248"/>
    <x v="20"/>
    <x v="870"/>
    <x v="357"/>
    <x v="21"/>
    <x v="340"/>
    <x v="748"/>
    <x v="901"/>
    <x v="900"/>
    <x v="885"/>
    <x v="1"/>
    <x v="896"/>
    <x v="901"/>
    <x v="377"/>
    <x v="0"/>
    <x v="0"/>
    <x v="0"/>
    <x v="97"/>
    <x v="1"/>
    <x v="13"/>
    <x v="18"/>
    <x v="1"/>
    <x v="188"/>
  </r>
  <r>
    <x v="0"/>
    <x v="38"/>
    <x v="123"/>
    <x v="8"/>
    <x v="25"/>
    <x v="23"/>
    <x v="19"/>
    <x v="871"/>
    <x v="130"/>
    <x v="20"/>
    <x v="404"/>
    <x v="749"/>
    <x v="902"/>
    <x v="901"/>
    <x v="886"/>
    <x v="0"/>
    <x v="897"/>
    <x v="902"/>
    <x v="602"/>
    <x v="0"/>
    <x v="0"/>
    <x v="0"/>
    <x v="89"/>
    <x v="19"/>
    <x v="28"/>
    <x v="25"/>
    <x v="3"/>
    <x v="61"/>
  </r>
  <r>
    <x v="0"/>
    <x v="212"/>
    <x v="406"/>
    <x v="68"/>
    <x v="0"/>
    <x v="499"/>
    <x v="0"/>
    <x v="872"/>
    <x v="223"/>
    <x v="398"/>
    <x v="367"/>
    <x v="750"/>
    <x v="903"/>
    <x v="902"/>
    <x v="887"/>
    <x v="0"/>
    <x v="898"/>
    <x v="903"/>
    <x v="603"/>
    <x v="0"/>
    <x v="0"/>
    <x v="4"/>
    <x v="88"/>
    <x v="3"/>
    <x v="30"/>
    <x v="38"/>
    <x v="3"/>
    <x v="36"/>
  </r>
  <r>
    <x v="0"/>
    <x v="118"/>
    <x v="176"/>
    <x v="11"/>
    <x v="92"/>
    <x v="500"/>
    <x v="41"/>
    <x v="873"/>
    <x v="105"/>
    <x v="211"/>
    <x v="641"/>
    <x v="751"/>
    <x v="904"/>
    <x v="903"/>
    <x v="888"/>
    <x v="1"/>
    <x v="899"/>
    <x v="904"/>
    <x v="358"/>
    <x v="0"/>
    <x v="0"/>
    <x v="0"/>
    <x v="89"/>
    <x v="7"/>
    <x v="399"/>
    <x v="27"/>
    <x v="3"/>
    <x v="1"/>
  </r>
  <r>
    <x v="0"/>
    <x v="425"/>
    <x v="282"/>
    <x v="26"/>
    <x v="38"/>
    <x v="42"/>
    <x v="21"/>
    <x v="874"/>
    <x v="358"/>
    <x v="298"/>
    <x v="608"/>
    <x v="51"/>
    <x v="905"/>
    <x v="904"/>
    <x v="889"/>
    <x v="1"/>
    <x v="900"/>
    <x v="905"/>
    <x v="331"/>
    <x v="0"/>
    <x v="0"/>
    <x v="0"/>
    <x v="89"/>
    <x v="8"/>
    <x v="6"/>
    <x v="22"/>
    <x v="1"/>
    <x v="7"/>
  </r>
  <r>
    <x v="0"/>
    <x v="293"/>
    <x v="72"/>
    <x v="31"/>
    <x v="0"/>
    <x v="21"/>
    <x v="21"/>
    <x v="875"/>
    <x v="127"/>
    <x v="71"/>
    <x v="642"/>
    <x v="28"/>
    <x v="906"/>
    <x v="905"/>
    <x v="890"/>
    <x v="14"/>
    <x v="901"/>
    <x v="906"/>
    <x v="376"/>
    <x v="0"/>
    <x v="0"/>
    <x v="0"/>
    <x v="89"/>
    <x v="5"/>
    <x v="47"/>
    <x v="20"/>
    <x v="3"/>
    <x v="104"/>
  </r>
  <r>
    <x v="0"/>
    <x v="426"/>
    <x v="235"/>
    <x v="86"/>
    <x v="232"/>
    <x v="442"/>
    <x v="213"/>
    <x v="876"/>
    <x v="121"/>
    <x v="399"/>
    <x v="643"/>
    <x v="646"/>
    <x v="907"/>
    <x v="906"/>
    <x v="891"/>
    <x v="7"/>
    <x v="902"/>
    <x v="907"/>
    <x v="604"/>
    <x v="0"/>
    <x v="0"/>
    <x v="0"/>
    <x v="95"/>
    <x v="12"/>
    <x v="400"/>
    <x v="37"/>
    <x v="1"/>
    <x v="1"/>
  </r>
  <r>
    <x v="0"/>
    <x v="427"/>
    <x v="150"/>
    <x v="83"/>
    <x v="0"/>
    <x v="130"/>
    <x v="45"/>
    <x v="877"/>
    <x v="269"/>
    <x v="70"/>
    <x v="644"/>
    <x v="752"/>
    <x v="908"/>
    <x v="907"/>
    <x v="892"/>
    <x v="0"/>
    <x v="903"/>
    <x v="908"/>
    <x v="605"/>
    <x v="0"/>
    <x v="0"/>
    <x v="4"/>
    <x v="89"/>
    <x v="20"/>
    <x v="401"/>
    <x v="32"/>
    <x v="1"/>
    <x v="1"/>
  </r>
  <r>
    <x v="0"/>
    <x v="428"/>
    <x v="300"/>
    <x v="34"/>
    <x v="233"/>
    <x v="501"/>
    <x v="17"/>
    <x v="878"/>
    <x v="219"/>
    <x v="32"/>
    <x v="35"/>
    <x v="753"/>
    <x v="909"/>
    <x v="908"/>
    <x v="893"/>
    <x v="4"/>
    <x v="904"/>
    <x v="909"/>
    <x v="585"/>
    <x v="0"/>
    <x v="0"/>
    <x v="4"/>
    <x v="89"/>
    <x v="10"/>
    <x v="10"/>
    <x v="21"/>
    <x v="1"/>
    <x v="38"/>
  </r>
  <r>
    <x v="0"/>
    <x v="429"/>
    <x v="321"/>
    <x v="34"/>
    <x v="234"/>
    <x v="502"/>
    <x v="214"/>
    <x v="879"/>
    <x v="309"/>
    <x v="400"/>
    <x v="645"/>
    <x v="754"/>
    <x v="910"/>
    <x v="909"/>
    <x v="894"/>
    <x v="1"/>
    <x v="905"/>
    <x v="910"/>
    <x v="176"/>
    <x v="0"/>
    <x v="1"/>
    <x v="4"/>
    <x v="89"/>
    <x v="15"/>
    <x v="327"/>
    <x v="38"/>
    <x v="1"/>
    <x v="1"/>
  </r>
  <r>
    <x v="0"/>
    <x v="48"/>
    <x v="395"/>
    <x v="0"/>
    <x v="33"/>
    <x v="354"/>
    <x v="13"/>
    <x v="880"/>
    <x v="130"/>
    <x v="158"/>
    <x v="646"/>
    <x v="485"/>
    <x v="911"/>
    <x v="910"/>
    <x v="895"/>
    <x v="4"/>
    <x v="906"/>
    <x v="911"/>
    <x v="222"/>
    <x v="0"/>
    <x v="0"/>
    <x v="4"/>
    <x v="89"/>
    <x v="16"/>
    <x v="402"/>
    <x v="17"/>
    <x v="1"/>
    <x v="59"/>
  </r>
  <r>
    <x v="0"/>
    <x v="430"/>
    <x v="232"/>
    <x v="80"/>
    <x v="235"/>
    <x v="503"/>
    <x v="215"/>
    <x v="881"/>
    <x v="3"/>
    <x v="401"/>
    <x v="647"/>
    <x v="755"/>
    <x v="912"/>
    <x v="911"/>
    <x v="896"/>
    <x v="1"/>
    <x v="907"/>
    <x v="912"/>
    <x v="376"/>
    <x v="0"/>
    <x v="10"/>
    <x v="4"/>
    <x v="89"/>
    <x v="5"/>
    <x v="403"/>
    <x v="12"/>
    <x v="1"/>
    <x v="1"/>
  </r>
  <r>
    <x v="0"/>
    <x v="431"/>
    <x v="238"/>
    <x v="27"/>
    <x v="89"/>
    <x v="293"/>
    <x v="216"/>
    <x v="882"/>
    <x v="92"/>
    <x v="402"/>
    <x v="300"/>
    <x v="756"/>
    <x v="913"/>
    <x v="912"/>
    <x v="897"/>
    <x v="3"/>
    <x v="908"/>
    <x v="913"/>
    <x v="454"/>
    <x v="0"/>
    <x v="0"/>
    <x v="0"/>
    <x v="89"/>
    <x v="17"/>
    <x v="202"/>
    <x v="34"/>
    <x v="1"/>
    <x v="168"/>
  </r>
  <r>
    <x v="0"/>
    <x v="307"/>
    <x v="297"/>
    <x v="38"/>
    <x v="114"/>
    <x v="504"/>
    <x v="194"/>
    <x v="883"/>
    <x v="125"/>
    <x v="361"/>
    <x v="648"/>
    <x v="757"/>
    <x v="914"/>
    <x v="913"/>
    <x v="898"/>
    <x v="1"/>
    <x v="909"/>
    <x v="914"/>
    <x v="606"/>
    <x v="0"/>
    <x v="0"/>
    <x v="4"/>
    <x v="129"/>
    <x v="21"/>
    <x v="196"/>
    <x v="12"/>
    <x v="3"/>
    <x v="1"/>
  </r>
  <r>
    <x v="0"/>
    <x v="432"/>
    <x v="288"/>
    <x v="78"/>
    <x v="77"/>
    <x v="135"/>
    <x v="217"/>
    <x v="884"/>
    <x v="233"/>
    <x v="403"/>
    <x v="296"/>
    <x v="758"/>
    <x v="915"/>
    <x v="914"/>
    <x v="899"/>
    <x v="1"/>
    <x v="910"/>
    <x v="915"/>
    <x v="293"/>
    <x v="0"/>
    <x v="8"/>
    <x v="2"/>
    <x v="129"/>
    <x v="7"/>
    <x v="178"/>
    <x v="23"/>
    <x v="3"/>
    <x v="189"/>
  </r>
  <r>
    <x v="0"/>
    <x v="433"/>
    <x v="184"/>
    <x v="41"/>
    <x v="125"/>
    <x v="505"/>
    <x v="35"/>
    <x v="885"/>
    <x v="238"/>
    <x v="91"/>
    <x v="649"/>
    <x v="759"/>
    <x v="916"/>
    <x v="915"/>
    <x v="900"/>
    <x v="0"/>
    <x v="911"/>
    <x v="916"/>
    <x v="472"/>
    <x v="0"/>
    <x v="0"/>
    <x v="2"/>
    <x v="4"/>
    <x v="7"/>
    <x v="30"/>
    <x v="41"/>
    <x v="3"/>
    <x v="103"/>
  </r>
  <r>
    <x v="0"/>
    <x v="19"/>
    <x v="341"/>
    <x v="29"/>
    <x v="12"/>
    <x v="90"/>
    <x v="20"/>
    <x v="886"/>
    <x v="78"/>
    <x v="83"/>
    <x v="71"/>
    <x v="155"/>
    <x v="917"/>
    <x v="916"/>
    <x v="901"/>
    <x v="4"/>
    <x v="912"/>
    <x v="917"/>
    <x v="607"/>
    <x v="0"/>
    <x v="0"/>
    <x v="0"/>
    <x v="95"/>
    <x v="0"/>
    <x v="53"/>
    <x v="51"/>
    <x v="1"/>
    <x v="38"/>
  </r>
  <r>
    <x v="0"/>
    <x v="13"/>
    <x v="237"/>
    <x v="78"/>
    <x v="8"/>
    <x v="502"/>
    <x v="218"/>
    <x v="887"/>
    <x v="21"/>
    <x v="404"/>
    <x v="650"/>
    <x v="760"/>
    <x v="918"/>
    <x v="917"/>
    <x v="902"/>
    <x v="1"/>
    <x v="913"/>
    <x v="918"/>
    <x v="608"/>
    <x v="0"/>
    <x v="0"/>
    <x v="2"/>
    <x v="81"/>
    <x v="18"/>
    <x v="404"/>
    <x v="0"/>
    <x v="3"/>
    <x v="1"/>
  </r>
  <r>
    <x v="0"/>
    <x v="434"/>
    <x v="407"/>
    <x v="11"/>
    <x v="217"/>
    <x v="506"/>
    <x v="57"/>
    <x v="888"/>
    <x v="359"/>
    <x v="109"/>
    <x v="623"/>
    <x v="761"/>
    <x v="919"/>
    <x v="918"/>
    <x v="903"/>
    <x v="4"/>
    <x v="914"/>
    <x v="919"/>
    <x v="297"/>
    <x v="0"/>
    <x v="0"/>
    <x v="0"/>
    <x v="130"/>
    <x v="10"/>
    <x v="388"/>
    <x v="1"/>
    <x v="3"/>
    <x v="88"/>
  </r>
  <r>
    <x v="0"/>
    <x v="53"/>
    <x v="334"/>
    <x v="125"/>
    <x v="38"/>
    <x v="215"/>
    <x v="9"/>
    <x v="889"/>
    <x v="16"/>
    <x v="9"/>
    <x v="65"/>
    <x v="273"/>
    <x v="920"/>
    <x v="919"/>
    <x v="904"/>
    <x v="0"/>
    <x v="915"/>
    <x v="920"/>
    <x v="302"/>
    <x v="0"/>
    <x v="0"/>
    <x v="0"/>
    <x v="115"/>
    <x v="23"/>
    <x v="6"/>
    <x v="8"/>
    <x v="3"/>
    <x v="1"/>
  </r>
  <r>
    <x v="0"/>
    <x v="296"/>
    <x v="216"/>
    <x v="106"/>
    <x v="189"/>
    <x v="507"/>
    <x v="14"/>
    <x v="890"/>
    <x v="334"/>
    <x v="56"/>
    <x v="213"/>
    <x v="762"/>
    <x v="921"/>
    <x v="920"/>
    <x v="905"/>
    <x v="0"/>
    <x v="916"/>
    <x v="921"/>
    <x v="395"/>
    <x v="0"/>
    <x v="0"/>
    <x v="4"/>
    <x v="95"/>
    <x v="25"/>
    <x v="143"/>
    <x v="11"/>
    <x v="3"/>
    <x v="1"/>
  </r>
  <r>
    <x v="0"/>
    <x v="314"/>
    <x v="408"/>
    <x v="52"/>
    <x v="196"/>
    <x v="1"/>
    <x v="10"/>
    <x v="891"/>
    <x v="219"/>
    <x v="375"/>
    <x v="651"/>
    <x v="763"/>
    <x v="922"/>
    <x v="921"/>
    <x v="906"/>
    <x v="1"/>
    <x v="917"/>
    <x v="922"/>
    <x v="609"/>
    <x v="0"/>
    <x v="0"/>
    <x v="4"/>
    <x v="95"/>
    <x v="3"/>
    <x v="13"/>
    <x v="15"/>
    <x v="3"/>
    <x v="190"/>
  </r>
  <r>
    <x v="0"/>
    <x v="140"/>
    <x v="150"/>
    <x v="106"/>
    <x v="40"/>
    <x v="508"/>
    <x v="219"/>
    <x v="892"/>
    <x v="105"/>
    <x v="405"/>
    <x v="427"/>
    <x v="764"/>
    <x v="923"/>
    <x v="922"/>
    <x v="907"/>
    <x v="0"/>
    <x v="918"/>
    <x v="923"/>
    <x v="610"/>
    <x v="0"/>
    <x v="0"/>
    <x v="0"/>
    <x v="95"/>
    <x v="13"/>
    <x v="287"/>
    <x v="16"/>
    <x v="3"/>
    <x v="59"/>
  </r>
  <r>
    <x v="0"/>
    <x v="51"/>
    <x v="398"/>
    <x v="69"/>
    <x v="36"/>
    <x v="509"/>
    <x v="49"/>
    <x v="893"/>
    <x v="360"/>
    <x v="86"/>
    <x v="89"/>
    <x v="765"/>
    <x v="924"/>
    <x v="923"/>
    <x v="908"/>
    <x v="1"/>
    <x v="919"/>
    <x v="924"/>
    <x v="611"/>
    <x v="0"/>
    <x v="0"/>
    <x v="0"/>
    <x v="95"/>
    <x v="20"/>
    <x v="31"/>
    <x v="10"/>
    <x v="1"/>
    <x v="1"/>
  </r>
  <r>
    <x v="0"/>
    <x v="167"/>
    <x v="319"/>
    <x v="14"/>
    <x v="120"/>
    <x v="55"/>
    <x v="2"/>
    <x v="894"/>
    <x v="125"/>
    <x v="42"/>
    <x v="229"/>
    <x v="69"/>
    <x v="925"/>
    <x v="924"/>
    <x v="909"/>
    <x v="4"/>
    <x v="920"/>
    <x v="925"/>
    <x v="324"/>
    <x v="0"/>
    <x v="0"/>
    <x v="0"/>
    <x v="95"/>
    <x v="9"/>
    <x v="135"/>
    <x v="22"/>
    <x v="1"/>
    <x v="25"/>
  </r>
  <r>
    <x v="0"/>
    <x v="254"/>
    <x v="338"/>
    <x v="45"/>
    <x v="169"/>
    <x v="510"/>
    <x v="25"/>
    <x v="895"/>
    <x v="127"/>
    <x v="26"/>
    <x v="288"/>
    <x v="766"/>
    <x v="926"/>
    <x v="925"/>
    <x v="910"/>
    <x v="1"/>
    <x v="921"/>
    <x v="926"/>
    <x v="75"/>
    <x v="0"/>
    <x v="0"/>
    <x v="0"/>
    <x v="95"/>
    <x v="19"/>
    <x v="6"/>
    <x v="27"/>
    <x v="3"/>
    <x v="1"/>
  </r>
  <r>
    <x v="0"/>
    <x v="34"/>
    <x v="45"/>
    <x v="52"/>
    <x v="25"/>
    <x v="511"/>
    <x v="0"/>
    <x v="896"/>
    <x v="361"/>
    <x v="406"/>
    <x v="264"/>
    <x v="767"/>
    <x v="927"/>
    <x v="926"/>
    <x v="911"/>
    <x v="0"/>
    <x v="922"/>
    <x v="927"/>
    <x v="523"/>
    <x v="0"/>
    <x v="0"/>
    <x v="0"/>
    <x v="95"/>
    <x v="10"/>
    <x v="178"/>
    <x v="1"/>
    <x v="1"/>
    <x v="40"/>
  </r>
  <r>
    <x v="0"/>
    <x v="151"/>
    <x v="244"/>
    <x v="22"/>
    <x v="0"/>
    <x v="314"/>
    <x v="94"/>
    <x v="897"/>
    <x v="113"/>
    <x v="218"/>
    <x v="652"/>
    <x v="768"/>
    <x v="928"/>
    <x v="927"/>
    <x v="912"/>
    <x v="0"/>
    <x v="923"/>
    <x v="928"/>
    <x v="259"/>
    <x v="0"/>
    <x v="0"/>
    <x v="4"/>
    <x v="89"/>
    <x v="21"/>
    <x v="405"/>
    <x v="11"/>
    <x v="3"/>
    <x v="1"/>
  </r>
  <r>
    <x v="0"/>
    <x v="372"/>
    <x v="321"/>
    <x v="38"/>
    <x v="8"/>
    <x v="512"/>
    <x v="2"/>
    <x v="898"/>
    <x v="127"/>
    <x v="72"/>
    <x v="569"/>
    <x v="769"/>
    <x v="929"/>
    <x v="928"/>
    <x v="913"/>
    <x v="4"/>
    <x v="924"/>
    <x v="929"/>
    <x v="612"/>
    <x v="0"/>
    <x v="0"/>
    <x v="0"/>
    <x v="95"/>
    <x v="17"/>
    <x v="30"/>
    <x v="21"/>
    <x v="3"/>
    <x v="1"/>
  </r>
  <r>
    <x v="0"/>
    <x v="201"/>
    <x v="162"/>
    <x v="52"/>
    <x v="142"/>
    <x v="513"/>
    <x v="30"/>
    <x v="899"/>
    <x v="132"/>
    <x v="50"/>
    <x v="653"/>
    <x v="770"/>
    <x v="930"/>
    <x v="929"/>
    <x v="914"/>
    <x v="4"/>
    <x v="925"/>
    <x v="930"/>
    <x v="302"/>
    <x v="0"/>
    <x v="0"/>
    <x v="4"/>
    <x v="95"/>
    <x v="11"/>
    <x v="406"/>
    <x v="1"/>
    <x v="1"/>
    <x v="4"/>
  </r>
  <r>
    <x v="0"/>
    <x v="435"/>
    <x v="293"/>
    <x v="32"/>
    <x v="236"/>
    <x v="6"/>
    <x v="2"/>
    <x v="900"/>
    <x v="362"/>
    <x v="75"/>
    <x v="119"/>
    <x v="6"/>
    <x v="931"/>
    <x v="930"/>
    <x v="915"/>
    <x v="0"/>
    <x v="926"/>
    <x v="931"/>
    <x v="613"/>
    <x v="0"/>
    <x v="0"/>
    <x v="4"/>
    <x v="81"/>
    <x v="24"/>
    <x v="10"/>
    <x v="32"/>
    <x v="3"/>
    <x v="59"/>
  </r>
  <r>
    <x v="0"/>
    <x v="118"/>
    <x v="136"/>
    <x v="27"/>
    <x v="92"/>
    <x v="1"/>
    <x v="21"/>
    <x v="901"/>
    <x v="127"/>
    <x v="71"/>
    <x v="255"/>
    <x v="771"/>
    <x v="932"/>
    <x v="931"/>
    <x v="916"/>
    <x v="1"/>
    <x v="927"/>
    <x v="932"/>
    <x v="554"/>
    <x v="0"/>
    <x v="0"/>
    <x v="0"/>
    <x v="80"/>
    <x v="8"/>
    <x v="6"/>
    <x v="2"/>
    <x v="1"/>
    <x v="1"/>
  </r>
  <r>
    <x v="0"/>
    <x v="436"/>
    <x v="325"/>
    <x v="86"/>
    <x v="171"/>
    <x v="450"/>
    <x v="25"/>
    <x v="902"/>
    <x v="132"/>
    <x v="138"/>
    <x v="22"/>
    <x v="772"/>
    <x v="933"/>
    <x v="932"/>
    <x v="917"/>
    <x v="4"/>
    <x v="928"/>
    <x v="933"/>
    <x v="472"/>
    <x v="0"/>
    <x v="0"/>
    <x v="0"/>
    <x v="95"/>
    <x v="6"/>
    <x v="19"/>
    <x v="4"/>
    <x v="1"/>
    <x v="7"/>
  </r>
  <r>
    <x v="0"/>
    <x v="126"/>
    <x v="409"/>
    <x v="23"/>
    <x v="0"/>
    <x v="514"/>
    <x v="94"/>
    <x v="903"/>
    <x v="200"/>
    <x v="218"/>
    <x v="654"/>
    <x v="773"/>
    <x v="934"/>
    <x v="933"/>
    <x v="918"/>
    <x v="4"/>
    <x v="929"/>
    <x v="934"/>
    <x v="418"/>
    <x v="0"/>
    <x v="0"/>
    <x v="0"/>
    <x v="95"/>
    <x v="20"/>
    <x v="407"/>
    <x v="10"/>
    <x v="1"/>
    <x v="1"/>
  </r>
  <r>
    <x v="0"/>
    <x v="395"/>
    <x v="118"/>
    <x v="45"/>
    <x v="223"/>
    <x v="109"/>
    <x v="94"/>
    <x v="904"/>
    <x v="238"/>
    <x v="166"/>
    <x v="323"/>
    <x v="774"/>
    <x v="935"/>
    <x v="934"/>
    <x v="919"/>
    <x v="4"/>
    <x v="930"/>
    <x v="935"/>
    <x v="140"/>
    <x v="0"/>
    <x v="0"/>
    <x v="0"/>
    <x v="95"/>
    <x v="2"/>
    <x v="12"/>
    <x v="9"/>
    <x v="3"/>
    <x v="38"/>
  </r>
  <r>
    <x v="0"/>
    <x v="14"/>
    <x v="233"/>
    <x v="31"/>
    <x v="9"/>
    <x v="9"/>
    <x v="1"/>
    <x v="905"/>
    <x v="363"/>
    <x v="1"/>
    <x v="608"/>
    <x v="533"/>
    <x v="936"/>
    <x v="41"/>
    <x v="920"/>
    <x v="1"/>
    <x v="931"/>
    <x v="936"/>
    <x v="205"/>
    <x v="0"/>
    <x v="0"/>
    <x v="2"/>
    <x v="95"/>
    <x v="11"/>
    <x v="6"/>
    <x v="19"/>
    <x v="6"/>
    <x v="191"/>
  </r>
  <r>
    <x v="0"/>
    <x v="437"/>
    <x v="223"/>
    <x v="74"/>
    <x v="0"/>
    <x v="515"/>
    <x v="11"/>
    <x v="906"/>
    <x v="171"/>
    <x v="156"/>
    <x v="655"/>
    <x v="775"/>
    <x v="937"/>
    <x v="935"/>
    <x v="921"/>
    <x v="4"/>
    <x v="932"/>
    <x v="937"/>
    <x v="309"/>
    <x v="0"/>
    <x v="0"/>
    <x v="4"/>
    <x v="91"/>
    <x v="7"/>
    <x v="11"/>
    <x v="32"/>
    <x v="1"/>
    <x v="1"/>
  </r>
  <r>
    <x v="0"/>
    <x v="438"/>
    <x v="262"/>
    <x v="78"/>
    <x v="237"/>
    <x v="229"/>
    <x v="0"/>
    <x v="907"/>
    <x v="28"/>
    <x v="407"/>
    <x v="656"/>
    <x v="558"/>
    <x v="938"/>
    <x v="936"/>
    <x v="922"/>
    <x v="1"/>
    <x v="933"/>
    <x v="938"/>
    <x v="318"/>
    <x v="0"/>
    <x v="0"/>
    <x v="4"/>
    <x v="95"/>
    <x v="15"/>
    <x v="314"/>
    <x v="1"/>
    <x v="1"/>
    <x v="1"/>
  </r>
  <r>
    <x v="0"/>
    <x v="439"/>
    <x v="398"/>
    <x v="56"/>
    <x v="238"/>
    <x v="516"/>
    <x v="220"/>
    <x v="908"/>
    <x v="107"/>
    <x v="408"/>
    <x v="521"/>
    <x v="776"/>
    <x v="939"/>
    <x v="937"/>
    <x v="923"/>
    <x v="0"/>
    <x v="934"/>
    <x v="939"/>
    <x v="568"/>
    <x v="0"/>
    <x v="0"/>
    <x v="0"/>
    <x v="95"/>
    <x v="16"/>
    <x v="339"/>
    <x v="40"/>
    <x v="3"/>
    <x v="1"/>
  </r>
  <r>
    <x v="0"/>
    <x v="296"/>
    <x v="192"/>
    <x v="23"/>
    <x v="189"/>
    <x v="1"/>
    <x v="32"/>
    <x v="909"/>
    <x v="301"/>
    <x v="59"/>
    <x v="281"/>
    <x v="180"/>
    <x v="940"/>
    <x v="938"/>
    <x v="924"/>
    <x v="3"/>
    <x v="935"/>
    <x v="940"/>
    <x v="614"/>
    <x v="0"/>
    <x v="0"/>
    <x v="2"/>
    <x v="4"/>
    <x v="10"/>
    <x v="44"/>
    <x v="1"/>
    <x v="3"/>
    <x v="31"/>
  </r>
  <r>
    <x v="0"/>
    <x v="104"/>
    <x v="367"/>
    <x v="61"/>
    <x v="82"/>
    <x v="54"/>
    <x v="25"/>
    <x v="910"/>
    <x v="178"/>
    <x v="76"/>
    <x v="657"/>
    <x v="777"/>
    <x v="941"/>
    <x v="939"/>
    <x v="925"/>
    <x v="0"/>
    <x v="936"/>
    <x v="941"/>
    <x v="615"/>
    <x v="0"/>
    <x v="0"/>
    <x v="0"/>
    <x v="95"/>
    <x v="0"/>
    <x v="357"/>
    <x v="5"/>
    <x v="1"/>
    <x v="1"/>
  </r>
  <r>
    <x v="0"/>
    <x v="404"/>
    <x v="262"/>
    <x v="54"/>
    <x v="134"/>
    <x v="21"/>
    <x v="21"/>
    <x v="911"/>
    <x v="127"/>
    <x v="71"/>
    <x v="240"/>
    <x v="778"/>
    <x v="942"/>
    <x v="940"/>
    <x v="926"/>
    <x v="4"/>
    <x v="937"/>
    <x v="942"/>
    <x v="579"/>
    <x v="0"/>
    <x v="0"/>
    <x v="0"/>
    <x v="95"/>
    <x v="7"/>
    <x v="6"/>
    <x v="23"/>
    <x v="1"/>
    <x v="43"/>
  </r>
  <r>
    <x v="0"/>
    <x v="440"/>
    <x v="128"/>
    <x v="57"/>
    <x v="110"/>
    <x v="517"/>
    <x v="18"/>
    <x v="912"/>
    <x v="364"/>
    <x v="19"/>
    <x v="658"/>
    <x v="779"/>
    <x v="943"/>
    <x v="941"/>
    <x v="927"/>
    <x v="0"/>
    <x v="938"/>
    <x v="943"/>
    <x v="397"/>
    <x v="0"/>
    <x v="0"/>
    <x v="0"/>
    <x v="4"/>
    <x v="12"/>
    <x v="408"/>
    <x v="28"/>
    <x v="3"/>
    <x v="1"/>
  </r>
  <r>
    <x v="0"/>
    <x v="330"/>
    <x v="119"/>
    <x v="34"/>
    <x v="171"/>
    <x v="55"/>
    <x v="186"/>
    <x v="913"/>
    <x v="105"/>
    <x v="350"/>
    <x v="190"/>
    <x v="69"/>
    <x v="944"/>
    <x v="942"/>
    <x v="928"/>
    <x v="6"/>
    <x v="939"/>
    <x v="944"/>
    <x v="616"/>
    <x v="0"/>
    <x v="0"/>
    <x v="0"/>
    <x v="95"/>
    <x v="10"/>
    <x v="28"/>
    <x v="38"/>
    <x v="6"/>
    <x v="20"/>
  </r>
  <r>
    <x v="0"/>
    <x v="441"/>
    <x v="410"/>
    <x v="110"/>
    <x v="69"/>
    <x v="471"/>
    <x v="57"/>
    <x v="914"/>
    <x v="57"/>
    <x v="192"/>
    <x v="659"/>
    <x v="780"/>
    <x v="945"/>
    <x v="943"/>
    <x v="929"/>
    <x v="0"/>
    <x v="940"/>
    <x v="945"/>
    <x v="423"/>
    <x v="0"/>
    <x v="0"/>
    <x v="2"/>
    <x v="82"/>
    <x v="14"/>
    <x v="409"/>
    <x v="40"/>
    <x v="3"/>
    <x v="192"/>
  </r>
  <r>
    <x v="0"/>
    <x v="442"/>
    <x v="353"/>
    <x v="77"/>
    <x v="239"/>
    <x v="518"/>
    <x v="35"/>
    <x v="915"/>
    <x v="238"/>
    <x v="157"/>
    <x v="432"/>
    <x v="781"/>
    <x v="946"/>
    <x v="944"/>
    <x v="930"/>
    <x v="1"/>
    <x v="941"/>
    <x v="946"/>
    <x v="120"/>
    <x v="0"/>
    <x v="0"/>
    <x v="2"/>
    <x v="81"/>
    <x v="14"/>
    <x v="291"/>
    <x v="31"/>
    <x v="1"/>
    <x v="1"/>
  </r>
  <r>
    <x v="0"/>
    <x v="443"/>
    <x v="411"/>
    <x v="82"/>
    <x v="240"/>
    <x v="21"/>
    <x v="13"/>
    <x v="916"/>
    <x v="122"/>
    <x v="93"/>
    <x v="660"/>
    <x v="352"/>
    <x v="947"/>
    <x v="945"/>
    <x v="931"/>
    <x v="1"/>
    <x v="942"/>
    <x v="947"/>
    <x v="617"/>
    <x v="0"/>
    <x v="0"/>
    <x v="0"/>
    <x v="95"/>
    <x v="10"/>
    <x v="249"/>
    <x v="32"/>
    <x v="3"/>
    <x v="41"/>
  </r>
  <r>
    <x v="0"/>
    <x v="72"/>
    <x v="272"/>
    <x v="46"/>
    <x v="57"/>
    <x v="27"/>
    <x v="11"/>
    <x v="917"/>
    <x v="65"/>
    <x v="11"/>
    <x v="65"/>
    <x v="499"/>
    <x v="948"/>
    <x v="946"/>
    <x v="932"/>
    <x v="3"/>
    <x v="943"/>
    <x v="948"/>
    <x v="140"/>
    <x v="0"/>
    <x v="0"/>
    <x v="4"/>
    <x v="95"/>
    <x v="16"/>
    <x v="6"/>
    <x v="4"/>
    <x v="3"/>
    <x v="1"/>
  </r>
  <r>
    <x v="0"/>
    <x v="444"/>
    <x v="190"/>
    <x v="11"/>
    <x v="241"/>
    <x v="518"/>
    <x v="21"/>
    <x v="918"/>
    <x v="83"/>
    <x v="22"/>
    <x v="586"/>
    <x v="782"/>
    <x v="949"/>
    <x v="947"/>
    <x v="933"/>
    <x v="0"/>
    <x v="944"/>
    <x v="949"/>
    <x v="618"/>
    <x v="0"/>
    <x v="1"/>
    <x v="0"/>
    <x v="95"/>
    <x v="11"/>
    <x v="335"/>
    <x v="15"/>
    <x v="1"/>
    <x v="4"/>
  </r>
  <r>
    <x v="0"/>
    <x v="445"/>
    <x v="146"/>
    <x v="42"/>
    <x v="154"/>
    <x v="103"/>
    <x v="25"/>
    <x v="919"/>
    <x v="365"/>
    <x v="138"/>
    <x v="661"/>
    <x v="128"/>
    <x v="950"/>
    <x v="948"/>
    <x v="934"/>
    <x v="3"/>
    <x v="945"/>
    <x v="950"/>
    <x v="472"/>
    <x v="0"/>
    <x v="0"/>
    <x v="2"/>
    <x v="48"/>
    <x v="0"/>
    <x v="96"/>
    <x v="20"/>
    <x v="1"/>
    <x v="1"/>
  </r>
  <r>
    <x v="0"/>
    <x v="446"/>
    <x v="37"/>
    <x v="5"/>
    <x v="101"/>
    <x v="290"/>
    <x v="24"/>
    <x v="920"/>
    <x v="65"/>
    <x v="131"/>
    <x v="170"/>
    <x v="783"/>
    <x v="951"/>
    <x v="949"/>
    <x v="935"/>
    <x v="1"/>
    <x v="946"/>
    <x v="951"/>
    <x v="619"/>
    <x v="0"/>
    <x v="0"/>
    <x v="4"/>
    <x v="122"/>
    <x v="12"/>
    <x v="114"/>
    <x v="17"/>
    <x v="1"/>
    <x v="10"/>
  </r>
  <r>
    <x v="0"/>
    <x v="428"/>
    <x v="159"/>
    <x v="37"/>
    <x v="233"/>
    <x v="237"/>
    <x v="221"/>
    <x v="921"/>
    <x v="121"/>
    <x v="409"/>
    <x v="662"/>
    <x v="784"/>
    <x v="952"/>
    <x v="950"/>
    <x v="936"/>
    <x v="4"/>
    <x v="947"/>
    <x v="952"/>
    <x v="620"/>
    <x v="0"/>
    <x v="0"/>
    <x v="0"/>
    <x v="95"/>
    <x v="17"/>
    <x v="410"/>
    <x v="5"/>
    <x v="1"/>
    <x v="193"/>
  </r>
  <r>
    <x v="0"/>
    <x v="113"/>
    <x v="412"/>
    <x v="117"/>
    <x v="88"/>
    <x v="519"/>
    <x v="222"/>
    <x v="4"/>
    <x v="152"/>
    <x v="410"/>
    <x v="663"/>
    <x v="785"/>
    <x v="953"/>
    <x v="951"/>
    <x v="937"/>
    <x v="4"/>
    <x v="4"/>
    <x v="953"/>
    <x v="561"/>
    <x v="0"/>
    <x v="1"/>
    <x v="1"/>
    <x v="4"/>
    <x v="4"/>
    <x v="411"/>
    <x v="0"/>
    <x v="2"/>
    <x v="1"/>
  </r>
  <r>
    <x v="0"/>
    <x v="447"/>
    <x v="314"/>
    <x v="98"/>
    <x v="78"/>
    <x v="1"/>
    <x v="94"/>
    <x v="922"/>
    <x v="29"/>
    <x v="166"/>
    <x v="595"/>
    <x v="786"/>
    <x v="954"/>
    <x v="952"/>
    <x v="938"/>
    <x v="0"/>
    <x v="948"/>
    <x v="954"/>
    <x v="173"/>
    <x v="0"/>
    <x v="0"/>
    <x v="3"/>
    <x v="95"/>
    <x v="7"/>
    <x v="12"/>
    <x v="4"/>
    <x v="3"/>
    <x v="194"/>
  </r>
  <r>
    <x v="0"/>
    <x v="448"/>
    <x v="338"/>
    <x v="59"/>
    <x v="80"/>
    <x v="347"/>
    <x v="92"/>
    <x v="923"/>
    <x v="366"/>
    <x v="411"/>
    <x v="664"/>
    <x v="787"/>
    <x v="955"/>
    <x v="953"/>
    <x v="939"/>
    <x v="1"/>
    <x v="949"/>
    <x v="955"/>
    <x v="352"/>
    <x v="0"/>
    <x v="0"/>
    <x v="3"/>
    <x v="95"/>
    <x v="12"/>
    <x v="412"/>
    <x v="55"/>
    <x v="3"/>
    <x v="103"/>
  </r>
  <r>
    <x v="0"/>
    <x v="449"/>
    <x v="316"/>
    <x v="18"/>
    <x v="218"/>
    <x v="520"/>
    <x v="0"/>
    <x v="924"/>
    <x v="171"/>
    <x v="48"/>
    <x v="665"/>
    <x v="788"/>
    <x v="956"/>
    <x v="954"/>
    <x v="940"/>
    <x v="0"/>
    <x v="950"/>
    <x v="956"/>
    <x v="248"/>
    <x v="0"/>
    <x v="0"/>
    <x v="4"/>
    <x v="95"/>
    <x v="18"/>
    <x v="413"/>
    <x v="22"/>
    <x v="1"/>
    <x v="195"/>
  </r>
  <r>
    <x v="0"/>
    <x v="450"/>
    <x v="165"/>
    <x v="42"/>
    <x v="158"/>
    <x v="214"/>
    <x v="14"/>
    <x v="925"/>
    <x v="275"/>
    <x v="119"/>
    <x v="666"/>
    <x v="272"/>
    <x v="957"/>
    <x v="955"/>
    <x v="941"/>
    <x v="4"/>
    <x v="951"/>
    <x v="957"/>
    <x v="621"/>
    <x v="0"/>
    <x v="8"/>
    <x v="4"/>
    <x v="95"/>
    <x v="9"/>
    <x v="177"/>
    <x v="9"/>
    <x v="1"/>
    <x v="48"/>
  </r>
  <r>
    <x v="0"/>
    <x v="451"/>
    <x v="194"/>
    <x v="23"/>
    <x v="242"/>
    <x v="194"/>
    <x v="205"/>
    <x v="926"/>
    <x v="306"/>
    <x v="412"/>
    <x v="667"/>
    <x v="789"/>
    <x v="958"/>
    <x v="956"/>
    <x v="942"/>
    <x v="0"/>
    <x v="952"/>
    <x v="958"/>
    <x v="222"/>
    <x v="0"/>
    <x v="0"/>
    <x v="4"/>
    <x v="95"/>
    <x v="19"/>
    <x v="325"/>
    <x v="10"/>
    <x v="3"/>
    <x v="1"/>
  </r>
  <r>
    <x v="0"/>
    <x v="240"/>
    <x v="88"/>
    <x v="56"/>
    <x v="161"/>
    <x v="521"/>
    <x v="10"/>
    <x v="927"/>
    <x v="18"/>
    <x v="413"/>
    <x v="668"/>
    <x v="790"/>
    <x v="959"/>
    <x v="957"/>
    <x v="943"/>
    <x v="1"/>
    <x v="953"/>
    <x v="959"/>
    <x v="166"/>
    <x v="0"/>
    <x v="0"/>
    <x v="0"/>
    <x v="81"/>
    <x v="10"/>
    <x v="414"/>
    <x v="9"/>
    <x v="3"/>
    <x v="41"/>
  </r>
  <r>
    <x v="0"/>
    <x v="452"/>
    <x v="201"/>
    <x v="57"/>
    <x v="108"/>
    <x v="522"/>
    <x v="57"/>
    <x v="928"/>
    <x v="306"/>
    <x v="109"/>
    <x v="669"/>
    <x v="791"/>
    <x v="960"/>
    <x v="958"/>
    <x v="944"/>
    <x v="0"/>
    <x v="954"/>
    <x v="960"/>
    <x v="622"/>
    <x v="0"/>
    <x v="0"/>
    <x v="4"/>
    <x v="95"/>
    <x v="12"/>
    <x v="185"/>
    <x v="15"/>
    <x v="1"/>
    <x v="1"/>
  </r>
  <r>
    <x v="0"/>
    <x v="27"/>
    <x v="298"/>
    <x v="48"/>
    <x v="0"/>
    <x v="248"/>
    <x v="55"/>
    <x v="929"/>
    <x v="149"/>
    <x v="97"/>
    <x v="670"/>
    <x v="792"/>
    <x v="961"/>
    <x v="959"/>
    <x v="670"/>
    <x v="0"/>
    <x v="955"/>
    <x v="961"/>
    <x v="623"/>
    <x v="0"/>
    <x v="0"/>
    <x v="4"/>
    <x v="95"/>
    <x v="6"/>
    <x v="59"/>
    <x v="38"/>
    <x v="1"/>
    <x v="20"/>
  </r>
  <r>
    <x v="0"/>
    <x v="453"/>
    <x v="150"/>
    <x v="54"/>
    <x v="116"/>
    <x v="523"/>
    <x v="30"/>
    <x v="930"/>
    <x v="261"/>
    <x v="50"/>
    <x v="671"/>
    <x v="793"/>
    <x v="962"/>
    <x v="960"/>
    <x v="945"/>
    <x v="1"/>
    <x v="956"/>
    <x v="962"/>
    <x v="386"/>
    <x v="0"/>
    <x v="0"/>
    <x v="2"/>
    <x v="95"/>
    <x v="11"/>
    <x v="415"/>
    <x v="11"/>
    <x v="1"/>
    <x v="45"/>
  </r>
  <r>
    <x v="0"/>
    <x v="454"/>
    <x v="380"/>
    <x v="72"/>
    <x v="69"/>
    <x v="524"/>
    <x v="38"/>
    <x v="931"/>
    <x v="111"/>
    <x v="55"/>
    <x v="672"/>
    <x v="794"/>
    <x v="963"/>
    <x v="961"/>
    <x v="946"/>
    <x v="1"/>
    <x v="957"/>
    <x v="963"/>
    <x v="624"/>
    <x v="0"/>
    <x v="0"/>
    <x v="0"/>
    <x v="95"/>
    <x v="7"/>
    <x v="6"/>
    <x v="27"/>
    <x v="1"/>
    <x v="196"/>
  </r>
  <r>
    <x v="0"/>
    <x v="326"/>
    <x v="352"/>
    <x v="61"/>
    <x v="121"/>
    <x v="99"/>
    <x v="17"/>
    <x v="932"/>
    <x v="28"/>
    <x v="303"/>
    <x v="239"/>
    <x v="477"/>
    <x v="964"/>
    <x v="962"/>
    <x v="947"/>
    <x v="0"/>
    <x v="958"/>
    <x v="964"/>
    <x v="593"/>
    <x v="0"/>
    <x v="0"/>
    <x v="4"/>
    <x v="95"/>
    <x v="13"/>
    <x v="30"/>
    <x v="10"/>
    <x v="1"/>
    <x v="103"/>
  </r>
  <r>
    <x v="0"/>
    <x v="18"/>
    <x v="241"/>
    <x v="31"/>
    <x v="0"/>
    <x v="255"/>
    <x v="14"/>
    <x v="933"/>
    <x v="108"/>
    <x v="414"/>
    <x v="673"/>
    <x v="329"/>
    <x v="965"/>
    <x v="963"/>
    <x v="948"/>
    <x v="1"/>
    <x v="959"/>
    <x v="965"/>
    <x v="593"/>
    <x v="0"/>
    <x v="0"/>
    <x v="4"/>
    <x v="95"/>
    <x v="13"/>
    <x v="12"/>
    <x v="27"/>
    <x v="1"/>
    <x v="43"/>
  </r>
  <r>
    <x v="0"/>
    <x v="68"/>
    <x v="271"/>
    <x v="74"/>
    <x v="53"/>
    <x v="63"/>
    <x v="223"/>
    <x v="934"/>
    <x v="150"/>
    <x v="415"/>
    <x v="674"/>
    <x v="795"/>
    <x v="966"/>
    <x v="964"/>
    <x v="949"/>
    <x v="1"/>
    <x v="960"/>
    <x v="966"/>
    <x v="625"/>
    <x v="0"/>
    <x v="0"/>
    <x v="4"/>
    <x v="95"/>
    <x v="13"/>
    <x v="167"/>
    <x v="6"/>
    <x v="1"/>
    <x v="68"/>
  </r>
  <r>
    <x v="0"/>
    <x v="455"/>
    <x v="143"/>
    <x v="5"/>
    <x v="59"/>
    <x v="525"/>
    <x v="224"/>
    <x v="935"/>
    <x v="367"/>
    <x v="416"/>
    <x v="656"/>
    <x v="796"/>
    <x v="967"/>
    <x v="965"/>
    <x v="950"/>
    <x v="0"/>
    <x v="961"/>
    <x v="967"/>
    <x v="626"/>
    <x v="0"/>
    <x v="4"/>
    <x v="4"/>
    <x v="95"/>
    <x v="7"/>
    <x v="314"/>
    <x v="4"/>
    <x v="1"/>
    <x v="1"/>
  </r>
  <r>
    <x v="0"/>
    <x v="456"/>
    <x v="378"/>
    <x v="34"/>
    <x v="186"/>
    <x v="243"/>
    <x v="11"/>
    <x v="936"/>
    <x v="300"/>
    <x v="63"/>
    <x v="28"/>
    <x v="797"/>
    <x v="968"/>
    <x v="966"/>
    <x v="951"/>
    <x v="1"/>
    <x v="962"/>
    <x v="968"/>
    <x v="292"/>
    <x v="0"/>
    <x v="0"/>
    <x v="0"/>
    <x v="95"/>
    <x v="21"/>
    <x v="9"/>
    <x v="12"/>
    <x v="3"/>
    <x v="1"/>
  </r>
  <r>
    <x v="0"/>
    <x v="457"/>
    <x v="139"/>
    <x v="18"/>
    <x v="188"/>
    <x v="1"/>
    <x v="22"/>
    <x v="937"/>
    <x v="125"/>
    <x v="374"/>
    <x v="675"/>
    <x v="798"/>
    <x v="969"/>
    <x v="967"/>
    <x v="952"/>
    <x v="6"/>
    <x v="963"/>
    <x v="969"/>
    <x v="339"/>
    <x v="0"/>
    <x v="0"/>
    <x v="4"/>
    <x v="95"/>
    <x v="3"/>
    <x v="30"/>
    <x v="10"/>
    <x v="3"/>
    <x v="36"/>
  </r>
  <r>
    <x v="0"/>
    <x v="273"/>
    <x v="373"/>
    <x v="35"/>
    <x v="70"/>
    <x v="92"/>
    <x v="11"/>
    <x v="938"/>
    <x v="80"/>
    <x v="11"/>
    <x v="676"/>
    <x v="799"/>
    <x v="970"/>
    <x v="968"/>
    <x v="953"/>
    <x v="4"/>
    <x v="964"/>
    <x v="970"/>
    <x v="491"/>
    <x v="0"/>
    <x v="8"/>
    <x v="4"/>
    <x v="95"/>
    <x v="20"/>
    <x v="416"/>
    <x v="11"/>
    <x v="1"/>
    <x v="67"/>
  </r>
  <r>
    <x v="0"/>
    <x v="458"/>
    <x v="103"/>
    <x v="71"/>
    <x v="126"/>
    <x v="146"/>
    <x v="95"/>
    <x v="939"/>
    <x v="3"/>
    <x v="417"/>
    <x v="677"/>
    <x v="800"/>
    <x v="971"/>
    <x v="969"/>
    <x v="954"/>
    <x v="0"/>
    <x v="965"/>
    <x v="971"/>
    <x v="191"/>
    <x v="0"/>
    <x v="0"/>
    <x v="0"/>
    <x v="95"/>
    <x v="11"/>
    <x v="369"/>
    <x v="27"/>
    <x v="3"/>
    <x v="61"/>
  </r>
  <r>
    <x v="0"/>
    <x v="459"/>
    <x v="413"/>
    <x v="27"/>
    <x v="243"/>
    <x v="396"/>
    <x v="225"/>
    <x v="940"/>
    <x v="26"/>
    <x v="418"/>
    <x v="678"/>
    <x v="801"/>
    <x v="972"/>
    <x v="970"/>
    <x v="955"/>
    <x v="1"/>
    <x v="966"/>
    <x v="972"/>
    <x v="340"/>
    <x v="0"/>
    <x v="0"/>
    <x v="4"/>
    <x v="97"/>
    <x v="24"/>
    <x v="417"/>
    <x v="34"/>
    <x v="3"/>
    <x v="197"/>
  </r>
  <r>
    <x v="0"/>
    <x v="259"/>
    <x v="353"/>
    <x v="11"/>
    <x v="173"/>
    <x v="429"/>
    <x v="17"/>
    <x v="941"/>
    <x v="63"/>
    <x v="18"/>
    <x v="679"/>
    <x v="802"/>
    <x v="973"/>
    <x v="971"/>
    <x v="956"/>
    <x v="0"/>
    <x v="967"/>
    <x v="973"/>
    <x v="627"/>
    <x v="0"/>
    <x v="0"/>
    <x v="0"/>
    <x v="95"/>
    <x v="22"/>
    <x v="418"/>
    <x v="22"/>
    <x v="3"/>
    <x v="1"/>
  </r>
  <r>
    <x v="0"/>
    <x v="428"/>
    <x v="109"/>
    <x v="8"/>
    <x v="233"/>
    <x v="23"/>
    <x v="20"/>
    <x v="942"/>
    <x v="152"/>
    <x v="21"/>
    <x v="340"/>
    <x v="803"/>
    <x v="974"/>
    <x v="972"/>
    <x v="957"/>
    <x v="1"/>
    <x v="968"/>
    <x v="974"/>
    <x v="458"/>
    <x v="0"/>
    <x v="0"/>
    <x v="4"/>
    <x v="95"/>
    <x v="11"/>
    <x v="13"/>
    <x v="38"/>
    <x v="1"/>
    <x v="65"/>
  </r>
  <r>
    <x v="0"/>
    <x v="237"/>
    <x v="197"/>
    <x v="23"/>
    <x v="158"/>
    <x v="120"/>
    <x v="226"/>
    <x v="943"/>
    <x v="3"/>
    <x v="419"/>
    <x v="613"/>
    <x v="804"/>
    <x v="975"/>
    <x v="973"/>
    <x v="958"/>
    <x v="4"/>
    <x v="969"/>
    <x v="975"/>
    <x v="319"/>
    <x v="0"/>
    <x v="0"/>
    <x v="4"/>
    <x v="95"/>
    <x v="13"/>
    <x v="382"/>
    <x v="18"/>
    <x v="1"/>
    <x v="1"/>
  </r>
  <r>
    <x v="0"/>
    <x v="460"/>
    <x v="104"/>
    <x v="42"/>
    <x v="47"/>
    <x v="526"/>
    <x v="21"/>
    <x v="944"/>
    <x v="179"/>
    <x v="174"/>
    <x v="22"/>
    <x v="805"/>
    <x v="976"/>
    <x v="974"/>
    <x v="959"/>
    <x v="1"/>
    <x v="970"/>
    <x v="976"/>
    <x v="628"/>
    <x v="0"/>
    <x v="8"/>
    <x v="4"/>
    <x v="91"/>
    <x v="14"/>
    <x v="19"/>
    <x v="5"/>
    <x v="1"/>
    <x v="1"/>
  </r>
  <r>
    <x v="0"/>
    <x v="461"/>
    <x v="262"/>
    <x v="26"/>
    <x v="184"/>
    <x v="480"/>
    <x v="21"/>
    <x v="945"/>
    <x v="105"/>
    <x v="298"/>
    <x v="680"/>
    <x v="806"/>
    <x v="977"/>
    <x v="975"/>
    <x v="960"/>
    <x v="1"/>
    <x v="971"/>
    <x v="977"/>
    <x v="545"/>
    <x v="0"/>
    <x v="1"/>
    <x v="4"/>
    <x v="88"/>
    <x v="14"/>
    <x v="30"/>
    <x v="18"/>
    <x v="1"/>
    <x v="1"/>
  </r>
  <r>
    <x v="0"/>
    <x v="462"/>
    <x v="310"/>
    <x v="37"/>
    <x v="244"/>
    <x v="527"/>
    <x v="11"/>
    <x v="946"/>
    <x v="368"/>
    <x v="156"/>
    <x v="681"/>
    <x v="807"/>
    <x v="978"/>
    <x v="976"/>
    <x v="961"/>
    <x v="3"/>
    <x v="972"/>
    <x v="978"/>
    <x v="486"/>
    <x v="0"/>
    <x v="0"/>
    <x v="4"/>
    <x v="95"/>
    <x v="17"/>
    <x v="144"/>
    <x v="12"/>
    <x v="1"/>
    <x v="103"/>
  </r>
  <r>
    <x v="0"/>
    <x v="463"/>
    <x v="276"/>
    <x v="59"/>
    <x v="0"/>
    <x v="528"/>
    <x v="179"/>
    <x v="947"/>
    <x v="2"/>
    <x v="420"/>
    <x v="682"/>
    <x v="808"/>
    <x v="979"/>
    <x v="977"/>
    <x v="962"/>
    <x v="1"/>
    <x v="973"/>
    <x v="979"/>
    <x v="629"/>
    <x v="0"/>
    <x v="0"/>
    <x v="4"/>
    <x v="95"/>
    <x v="24"/>
    <x v="200"/>
    <x v="46"/>
    <x v="1"/>
    <x v="198"/>
  </r>
  <r>
    <x v="0"/>
    <x v="423"/>
    <x v="240"/>
    <x v="41"/>
    <x v="0"/>
    <x v="529"/>
    <x v="25"/>
    <x v="948"/>
    <x v="11"/>
    <x v="330"/>
    <x v="528"/>
    <x v="809"/>
    <x v="980"/>
    <x v="978"/>
    <x v="963"/>
    <x v="1"/>
    <x v="974"/>
    <x v="980"/>
    <x v="299"/>
    <x v="0"/>
    <x v="0"/>
    <x v="2"/>
    <x v="95"/>
    <x v="12"/>
    <x v="119"/>
    <x v="58"/>
    <x v="3"/>
    <x v="1"/>
  </r>
  <r>
    <x v="0"/>
    <x v="464"/>
    <x v="378"/>
    <x v="73"/>
    <x v="0"/>
    <x v="530"/>
    <x v="19"/>
    <x v="949"/>
    <x v="139"/>
    <x v="20"/>
    <x v="683"/>
    <x v="810"/>
    <x v="981"/>
    <x v="979"/>
    <x v="964"/>
    <x v="0"/>
    <x v="975"/>
    <x v="981"/>
    <x v="347"/>
    <x v="0"/>
    <x v="0"/>
    <x v="4"/>
    <x v="95"/>
    <x v="21"/>
    <x v="419"/>
    <x v="4"/>
    <x v="1"/>
    <x v="1"/>
  </r>
  <r>
    <x v="0"/>
    <x v="293"/>
    <x v="197"/>
    <x v="73"/>
    <x v="0"/>
    <x v="190"/>
    <x v="227"/>
    <x v="950"/>
    <x v="105"/>
    <x v="421"/>
    <x v="253"/>
    <x v="239"/>
    <x v="982"/>
    <x v="980"/>
    <x v="965"/>
    <x v="1"/>
    <x v="976"/>
    <x v="982"/>
    <x v="170"/>
    <x v="0"/>
    <x v="0"/>
    <x v="0"/>
    <x v="95"/>
    <x v="14"/>
    <x v="172"/>
    <x v="19"/>
    <x v="3"/>
    <x v="199"/>
  </r>
  <r>
    <x v="0"/>
    <x v="446"/>
    <x v="98"/>
    <x v="77"/>
    <x v="101"/>
    <x v="483"/>
    <x v="228"/>
    <x v="951"/>
    <x v="23"/>
    <x v="422"/>
    <x v="684"/>
    <x v="811"/>
    <x v="983"/>
    <x v="981"/>
    <x v="966"/>
    <x v="0"/>
    <x v="977"/>
    <x v="983"/>
    <x v="357"/>
    <x v="0"/>
    <x v="0"/>
    <x v="4"/>
    <x v="88"/>
    <x v="0"/>
    <x v="39"/>
    <x v="21"/>
    <x v="1"/>
    <x v="1"/>
  </r>
  <r>
    <x v="0"/>
    <x v="6"/>
    <x v="316"/>
    <x v="64"/>
    <x v="0"/>
    <x v="179"/>
    <x v="6"/>
    <x v="952"/>
    <x v="357"/>
    <x v="6"/>
    <x v="213"/>
    <x v="812"/>
    <x v="984"/>
    <x v="982"/>
    <x v="967"/>
    <x v="0"/>
    <x v="978"/>
    <x v="984"/>
    <x v="630"/>
    <x v="0"/>
    <x v="0"/>
    <x v="0"/>
    <x v="95"/>
    <x v="15"/>
    <x v="143"/>
    <x v="12"/>
    <x v="1"/>
    <x v="1"/>
  </r>
  <r>
    <x v="0"/>
    <x v="113"/>
    <x v="369"/>
    <x v="72"/>
    <x v="88"/>
    <x v="531"/>
    <x v="229"/>
    <x v="4"/>
    <x v="241"/>
    <x v="423"/>
    <x v="685"/>
    <x v="813"/>
    <x v="985"/>
    <x v="983"/>
    <x v="968"/>
    <x v="1"/>
    <x v="979"/>
    <x v="985"/>
    <x v="631"/>
    <x v="0"/>
    <x v="1"/>
    <x v="1"/>
    <x v="4"/>
    <x v="4"/>
    <x v="420"/>
    <x v="6"/>
    <x v="8"/>
    <x v="186"/>
  </r>
  <r>
    <x v="0"/>
    <x v="465"/>
    <x v="359"/>
    <x v="85"/>
    <x v="45"/>
    <x v="273"/>
    <x v="35"/>
    <x v="953"/>
    <x v="369"/>
    <x v="124"/>
    <x v="686"/>
    <x v="569"/>
    <x v="986"/>
    <x v="984"/>
    <x v="969"/>
    <x v="1"/>
    <x v="980"/>
    <x v="986"/>
    <x v="173"/>
    <x v="0"/>
    <x v="0"/>
    <x v="4"/>
    <x v="88"/>
    <x v="25"/>
    <x v="421"/>
    <x v="44"/>
    <x v="3"/>
    <x v="200"/>
  </r>
  <r>
    <x v="0"/>
    <x v="404"/>
    <x v="288"/>
    <x v="101"/>
    <x v="134"/>
    <x v="1"/>
    <x v="10"/>
    <x v="954"/>
    <x v="238"/>
    <x v="16"/>
    <x v="26"/>
    <x v="110"/>
    <x v="987"/>
    <x v="985"/>
    <x v="970"/>
    <x v="0"/>
    <x v="981"/>
    <x v="987"/>
    <x v="632"/>
    <x v="0"/>
    <x v="0"/>
    <x v="2"/>
    <x v="95"/>
    <x v="5"/>
    <x v="12"/>
    <x v="39"/>
    <x v="1"/>
    <x v="1"/>
  </r>
  <r>
    <x v="0"/>
    <x v="326"/>
    <x v="26"/>
    <x v="74"/>
    <x v="121"/>
    <x v="188"/>
    <x v="57"/>
    <x v="955"/>
    <x v="370"/>
    <x v="109"/>
    <x v="687"/>
    <x v="237"/>
    <x v="988"/>
    <x v="986"/>
    <x v="971"/>
    <x v="0"/>
    <x v="982"/>
    <x v="988"/>
    <x v="451"/>
    <x v="0"/>
    <x v="0"/>
    <x v="0"/>
    <x v="95"/>
    <x v="5"/>
    <x v="22"/>
    <x v="12"/>
    <x v="1"/>
    <x v="37"/>
  </r>
  <r>
    <x v="0"/>
    <x v="466"/>
    <x v="243"/>
    <x v="69"/>
    <x v="38"/>
    <x v="532"/>
    <x v="186"/>
    <x v="956"/>
    <x v="180"/>
    <x v="350"/>
    <x v="688"/>
    <x v="814"/>
    <x v="989"/>
    <x v="987"/>
    <x v="972"/>
    <x v="0"/>
    <x v="983"/>
    <x v="989"/>
    <x v="529"/>
    <x v="0"/>
    <x v="0"/>
    <x v="4"/>
    <x v="95"/>
    <x v="19"/>
    <x v="422"/>
    <x v="9"/>
    <x v="3"/>
    <x v="1"/>
  </r>
  <r>
    <x v="1"/>
    <x v="105"/>
    <x v="258"/>
    <x v="5"/>
    <x v="83"/>
    <x v="140"/>
    <x v="230"/>
    <x v="957"/>
    <x v="23"/>
    <x v="424"/>
    <x v="234"/>
    <x v="815"/>
    <x v="990"/>
    <x v="988"/>
    <x v="973"/>
    <x v="0"/>
    <x v="984"/>
    <x v="990"/>
    <x v="591"/>
    <x v="0"/>
    <x v="10"/>
    <x v="4"/>
    <x v="95"/>
    <x v="16"/>
    <x v="44"/>
    <x v="22"/>
    <x v="3"/>
    <x v="1"/>
  </r>
  <r>
    <x v="0"/>
    <x v="467"/>
    <x v="306"/>
    <x v="22"/>
    <x v="244"/>
    <x v="294"/>
    <x v="113"/>
    <x v="958"/>
    <x v="168"/>
    <x v="214"/>
    <x v="689"/>
    <x v="816"/>
    <x v="991"/>
    <x v="989"/>
    <x v="974"/>
    <x v="0"/>
    <x v="985"/>
    <x v="991"/>
    <x v="633"/>
    <x v="0"/>
    <x v="1"/>
    <x v="4"/>
    <x v="95"/>
    <x v="1"/>
    <x v="423"/>
    <x v="5"/>
    <x v="1"/>
    <x v="67"/>
  </r>
  <r>
    <x v="0"/>
    <x v="340"/>
    <x v="414"/>
    <x v="54"/>
    <x v="0"/>
    <x v="527"/>
    <x v="57"/>
    <x v="959"/>
    <x v="105"/>
    <x v="99"/>
    <x v="690"/>
    <x v="817"/>
    <x v="992"/>
    <x v="990"/>
    <x v="975"/>
    <x v="1"/>
    <x v="986"/>
    <x v="992"/>
    <x v="549"/>
    <x v="0"/>
    <x v="0"/>
    <x v="4"/>
    <x v="95"/>
    <x v="15"/>
    <x v="192"/>
    <x v="18"/>
    <x v="3"/>
    <x v="1"/>
  </r>
  <r>
    <x v="0"/>
    <x v="468"/>
    <x v="53"/>
    <x v="31"/>
    <x v="21"/>
    <x v="14"/>
    <x v="231"/>
    <x v="960"/>
    <x v="126"/>
    <x v="425"/>
    <x v="691"/>
    <x v="818"/>
    <x v="993"/>
    <x v="991"/>
    <x v="976"/>
    <x v="3"/>
    <x v="987"/>
    <x v="993"/>
    <x v="539"/>
    <x v="0"/>
    <x v="0"/>
    <x v="0"/>
    <x v="88"/>
    <x v="9"/>
    <x v="367"/>
    <x v="18"/>
    <x v="1"/>
    <x v="132"/>
  </r>
  <r>
    <x v="0"/>
    <x v="131"/>
    <x v="333"/>
    <x v="42"/>
    <x v="97"/>
    <x v="533"/>
    <x v="142"/>
    <x v="961"/>
    <x v="80"/>
    <x v="263"/>
    <x v="692"/>
    <x v="819"/>
    <x v="994"/>
    <x v="992"/>
    <x v="977"/>
    <x v="0"/>
    <x v="988"/>
    <x v="994"/>
    <x v="634"/>
    <x v="0"/>
    <x v="8"/>
    <x v="4"/>
    <x v="95"/>
    <x v="17"/>
    <x v="148"/>
    <x v="12"/>
    <x v="1"/>
    <x v="1"/>
  </r>
  <r>
    <x v="0"/>
    <x v="326"/>
    <x v="265"/>
    <x v="47"/>
    <x v="121"/>
    <x v="40"/>
    <x v="17"/>
    <x v="962"/>
    <x v="80"/>
    <x v="303"/>
    <x v="693"/>
    <x v="820"/>
    <x v="995"/>
    <x v="993"/>
    <x v="978"/>
    <x v="1"/>
    <x v="989"/>
    <x v="995"/>
    <x v="635"/>
    <x v="0"/>
    <x v="0"/>
    <x v="4"/>
    <x v="95"/>
    <x v="19"/>
    <x v="30"/>
    <x v="21"/>
    <x v="1"/>
    <x v="201"/>
  </r>
  <r>
    <x v="0"/>
    <x v="178"/>
    <x v="114"/>
    <x v="34"/>
    <x v="128"/>
    <x v="92"/>
    <x v="18"/>
    <x v="963"/>
    <x v="80"/>
    <x v="19"/>
    <x v="412"/>
    <x v="117"/>
    <x v="996"/>
    <x v="994"/>
    <x v="979"/>
    <x v="0"/>
    <x v="990"/>
    <x v="996"/>
    <x v="600"/>
    <x v="0"/>
    <x v="0"/>
    <x v="4"/>
    <x v="95"/>
    <x v="0"/>
    <x v="277"/>
    <x v="12"/>
    <x v="1"/>
    <x v="1"/>
  </r>
  <r>
    <x v="0"/>
    <x v="469"/>
    <x v="209"/>
    <x v="59"/>
    <x v="0"/>
    <x v="534"/>
    <x v="25"/>
    <x v="964"/>
    <x v="18"/>
    <x v="26"/>
    <x v="694"/>
    <x v="821"/>
    <x v="997"/>
    <x v="995"/>
    <x v="980"/>
    <x v="0"/>
    <x v="991"/>
    <x v="997"/>
    <x v="108"/>
    <x v="0"/>
    <x v="0"/>
    <x v="4"/>
    <x v="95"/>
    <x v="25"/>
    <x v="103"/>
    <x v="20"/>
    <x v="1"/>
    <x v="1"/>
  </r>
  <r>
    <x v="0"/>
    <x v="113"/>
    <x v="169"/>
    <x v="84"/>
    <x v="88"/>
    <x v="535"/>
    <x v="232"/>
    <x v="4"/>
    <x v="150"/>
    <x v="426"/>
    <x v="695"/>
    <x v="822"/>
    <x v="998"/>
    <x v="996"/>
    <x v="981"/>
    <x v="4"/>
    <x v="4"/>
    <x v="998"/>
    <x v="636"/>
    <x v="0"/>
    <x v="0"/>
    <x v="1"/>
    <x v="4"/>
    <x v="4"/>
    <x v="424"/>
    <x v="7"/>
    <x v="12"/>
    <x v="202"/>
  </r>
  <r>
    <x v="0"/>
    <x v="61"/>
    <x v="57"/>
    <x v="78"/>
    <x v="46"/>
    <x v="282"/>
    <x v="21"/>
    <x v="965"/>
    <x v="43"/>
    <x v="127"/>
    <x v="692"/>
    <x v="823"/>
    <x v="999"/>
    <x v="997"/>
    <x v="982"/>
    <x v="1"/>
    <x v="992"/>
    <x v="999"/>
    <x v="181"/>
    <x v="0"/>
    <x v="0"/>
    <x v="2"/>
    <x v="80"/>
    <x v="15"/>
    <x v="148"/>
    <x v="25"/>
    <x v="1"/>
    <x v="1"/>
  </r>
  <r>
    <x v="0"/>
    <x v="470"/>
    <x v="415"/>
    <x v="73"/>
    <x v="0"/>
    <x v="476"/>
    <x v="57"/>
    <x v="966"/>
    <x v="371"/>
    <x v="192"/>
    <x v="693"/>
    <x v="700"/>
    <x v="1000"/>
    <x v="998"/>
    <x v="983"/>
    <x v="8"/>
    <x v="993"/>
    <x v="1000"/>
    <x v="323"/>
    <x v="0"/>
    <x v="0"/>
    <x v="4"/>
    <x v="95"/>
    <x v="14"/>
    <x v="30"/>
    <x v="11"/>
    <x v="1"/>
    <x v="1"/>
  </r>
  <r>
    <x v="0"/>
    <x v="215"/>
    <x v="212"/>
    <x v="106"/>
    <x v="148"/>
    <x v="498"/>
    <x v="2"/>
    <x v="967"/>
    <x v="372"/>
    <x v="72"/>
    <x v="696"/>
    <x v="824"/>
    <x v="1001"/>
    <x v="999"/>
    <x v="984"/>
    <x v="1"/>
    <x v="994"/>
    <x v="1001"/>
    <x v="637"/>
    <x v="0"/>
    <x v="0"/>
    <x v="4"/>
    <x v="95"/>
    <x v="6"/>
    <x v="280"/>
    <x v="10"/>
    <x v="3"/>
    <x v="7"/>
  </r>
  <r>
    <x v="0"/>
    <x v="406"/>
    <x v="142"/>
    <x v="29"/>
    <x v="227"/>
    <x v="102"/>
    <x v="11"/>
    <x v="968"/>
    <x v="168"/>
    <x v="11"/>
    <x v="23"/>
    <x v="127"/>
    <x v="1002"/>
    <x v="1000"/>
    <x v="985"/>
    <x v="0"/>
    <x v="995"/>
    <x v="1002"/>
    <x v="638"/>
    <x v="0"/>
    <x v="0"/>
    <x v="4"/>
    <x v="95"/>
    <x v="17"/>
    <x v="20"/>
    <x v="7"/>
    <x v="1"/>
    <x v="1"/>
  </r>
  <r>
    <x v="0"/>
    <x v="392"/>
    <x v="349"/>
    <x v="7"/>
    <x v="169"/>
    <x v="536"/>
    <x v="0"/>
    <x v="969"/>
    <x v="170"/>
    <x v="427"/>
    <x v="697"/>
    <x v="825"/>
    <x v="1003"/>
    <x v="1001"/>
    <x v="163"/>
    <x v="7"/>
    <x v="996"/>
    <x v="1003"/>
    <x v="447"/>
    <x v="0"/>
    <x v="0"/>
    <x v="0"/>
    <x v="88"/>
    <x v="12"/>
    <x v="425"/>
    <x v="28"/>
    <x v="1"/>
    <x v="203"/>
  </r>
  <r>
    <x v="0"/>
    <x v="444"/>
    <x v="281"/>
    <x v="37"/>
    <x v="241"/>
    <x v="390"/>
    <x v="21"/>
    <x v="970"/>
    <x v="28"/>
    <x v="22"/>
    <x v="400"/>
    <x v="550"/>
    <x v="1004"/>
    <x v="1002"/>
    <x v="986"/>
    <x v="4"/>
    <x v="997"/>
    <x v="1004"/>
    <x v="49"/>
    <x v="0"/>
    <x v="0"/>
    <x v="4"/>
    <x v="95"/>
    <x v="2"/>
    <x v="269"/>
    <x v="4"/>
    <x v="1"/>
    <x v="61"/>
  </r>
  <r>
    <x v="0"/>
    <x v="471"/>
    <x v="416"/>
    <x v="45"/>
    <x v="0"/>
    <x v="56"/>
    <x v="14"/>
    <x v="971"/>
    <x v="180"/>
    <x v="414"/>
    <x v="698"/>
    <x v="826"/>
    <x v="1005"/>
    <x v="1003"/>
    <x v="987"/>
    <x v="1"/>
    <x v="998"/>
    <x v="1005"/>
    <x v="78"/>
    <x v="0"/>
    <x v="0"/>
    <x v="4"/>
    <x v="131"/>
    <x v="1"/>
    <x v="18"/>
    <x v="16"/>
    <x v="3"/>
    <x v="1"/>
  </r>
  <r>
    <x v="0"/>
    <x v="472"/>
    <x v="293"/>
    <x v="47"/>
    <x v="245"/>
    <x v="537"/>
    <x v="29"/>
    <x v="972"/>
    <x v="263"/>
    <x v="74"/>
    <x v="699"/>
    <x v="827"/>
    <x v="1006"/>
    <x v="1004"/>
    <x v="988"/>
    <x v="3"/>
    <x v="999"/>
    <x v="1006"/>
    <x v="369"/>
    <x v="0"/>
    <x v="0"/>
    <x v="0"/>
    <x v="95"/>
    <x v="12"/>
    <x v="30"/>
    <x v="27"/>
    <x v="1"/>
    <x v="1"/>
  </r>
  <r>
    <x v="0"/>
    <x v="191"/>
    <x v="387"/>
    <x v="44"/>
    <x v="0"/>
    <x v="100"/>
    <x v="233"/>
    <x v="973"/>
    <x v="273"/>
    <x v="428"/>
    <x v="700"/>
    <x v="828"/>
    <x v="1007"/>
    <x v="1005"/>
    <x v="989"/>
    <x v="0"/>
    <x v="1000"/>
    <x v="1007"/>
    <x v="639"/>
    <x v="0"/>
    <x v="10"/>
    <x v="4"/>
    <x v="132"/>
    <x v="15"/>
    <x v="383"/>
    <x v="21"/>
    <x v="1"/>
    <x v="1"/>
  </r>
  <r>
    <x v="0"/>
    <x v="473"/>
    <x v="132"/>
    <x v="58"/>
    <x v="212"/>
    <x v="21"/>
    <x v="24"/>
    <x v="974"/>
    <x v="373"/>
    <x v="131"/>
    <x v="255"/>
    <x v="33"/>
    <x v="1008"/>
    <x v="1006"/>
    <x v="990"/>
    <x v="3"/>
    <x v="1001"/>
    <x v="1008"/>
    <x v="459"/>
    <x v="0"/>
    <x v="0"/>
    <x v="4"/>
    <x v="133"/>
    <x v="10"/>
    <x v="6"/>
    <x v="23"/>
    <x v="1"/>
    <x v="45"/>
  </r>
  <r>
    <x v="0"/>
    <x v="474"/>
    <x v="215"/>
    <x v="95"/>
    <x v="246"/>
    <x v="77"/>
    <x v="18"/>
    <x v="975"/>
    <x v="150"/>
    <x v="19"/>
    <x v="701"/>
    <x v="829"/>
    <x v="1009"/>
    <x v="860"/>
    <x v="991"/>
    <x v="0"/>
    <x v="1002"/>
    <x v="1009"/>
    <x v="180"/>
    <x v="0"/>
    <x v="0"/>
    <x v="0"/>
    <x v="97"/>
    <x v="10"/>
    <x v="426"/>
    <x v="19"/>
    <x v="1"/>
    <x v="1"/>
  </r>
  <r>
    <x v="0"/>
    <x v="475"/>
    <x v="349"/>
    <x v="69"/>
    <x v="162"/>
    <x v="538"/>
    <x v="234"/>
    <x v="976"/>
    <x v="168"/>
    <x v="429"/>
    <x v="228"/>
    <x v="830"/>
    <x v="1010"/>
    <x v="1007"/>
    <x v="992"/>
    <x v="4"/>
    <x v="1003"/>
    <x v="1010"/>
    <x v="546"/>
    <x v="0"/>
    <x v="0"/>
    <x v="0"/>
    <x v="95"/>
    <x v="13"/>
    <x v="155"/>
    <x v="5"/>
    <x v="1"/>
    <x v="204"/>
  </r>
  <r>
    <x v="0"/>
    <x v="476"/>
    <x v="417"/>
    <x v="77"/>
    <x v="211"/>
    <x v="468"/>
    <x v="0"/>
    <x v="977"/>
    <x v="374"/>
    <x v="31"/>
    <x v="702"/>
    <x v="690"/>
    <x v="1011"/>
    <x v="1008"/>
    <x v="993"/>
    <x v="1"/>
    <x v="1004"/>
    <x v="1011"/>
    <x v="365"/>
    <x v="0"/>
    <x v="0"/>
    <x v="2"/>
    <x v="95"/>
    <x v="24"/>
    <x v="427"/>
    <x v="18"/>
    <x v="3"/>
    <x v="1"/>
  </r>
  <r>
    <x v="0"/>
    <x v="58"/>
    <x v="384"/>
    <x v="24"/>
    <x v="43"/>
    <x v="10"/>
    <x v="14"/>
    <x v="978"/>
    <x v="17"/>
    <x v="61"/>
    <x v="340"/>
    <x v="831"/>
    <x v="1012"/>
    <x v="1009"/>
    <x v="994"/>
    <x v="1"/>
    <x v="1005"/>
    <x v="1012"/>
    <x v="129"/>
    <x v="0"/>
    <x v="0"/>
    <x v="4"/>
    <x v="95"/>
    <x v="16"/>
    <x v="13"/>
    <x v="37"/>
    <x v="1"/>
    <x v="205"/>
  </r>
  <r>
    <x v="0"/>
    <x v="52"/>
    <x v="418"/>
    <x v="26"/>
    <x v="37"/>
    <x v="417"/>
    <x v="18"/>
    <x v="979"/>
    <x v="283"/>
    <x v="19"/>
    <x v="703"/>
    <x v="832"/>
    <x v="1013"/>
    <x v="1010"/>
    <x v="995"/>
    <x v="4"/>
    <x v="1006"/>
    <x v="1013"/>
    <x v="405"/>
    <x v="0"/>
    <x v="0"/>
    <x v="0"/>
    <x v="134"/>
    <x v="5"/>
    <x v="13"/>
    <x v="2"/>
    <x v="1"/>
    <x v="104"/>
  </r>
  <r>
    <x v="0"/>
    <x v="113"/>
    <x v="419"/>
    <x v="116"/>
    <x v="88"/>
    <x v="539"/>
    <x v="22"/>
    <x v="4"/>
    <x v="250"/>
    <x v="430"/>
    <x v="419"/>
    <x v="833"/>
    <x v="1014"/>
    <x v="1011"/>
    <x v="996"/>
    <x v="3"/>
    <x v="1007"/>
    <x v="1014"/>
    <x v="585"/>
    <x v="0"/>
    <x v="0"/>
    <x v="7"/>
    <x v="4"/>
    <x v="4"/>
    <x v="282"/>
    <x v="15"/>
    <x v="0"/>
    <x v="1"/>
  </r>
  <r>
    <x v="0"/>
    <x v="165"/>
    <x v="72"/>
    <x v="46"/>
    <x v="119"/>
    <x v="540"/>
    <x v="235"/>
    <x v="980"/>
    <x v="375"/>
    <x v="431"/>
    <x v="704"/>
    <x v="834"/>
    <x v="1015"/>
    <x v="1012"/>
    <x v="997"/>
    <x v="0"/>
    <x v="1008"/>
    <x v="1015"/>
    <x v="278"/>
    <x v="0"/>
    <x v="10"/>
    <x v="4"/>
    <x v="95"/>
    <x v="12"/>
    <x v="428"/>
    <x v="19"/>
    <x v="1"/>
    <x v="1"/>
  </r>
  <r>
    <x v="0"/>
    <x v="410"/>
    <x v="401"/>
    <x v="86"/>
    <x v="229"/>
    <x v="154"/>
    <x v="35"/>
    <x v="981"/>
    <x v="168"/>
    <x v="280"/>
    <x v="705"/>
    <x v="301"/>
    <x v="1016"/>
    <x v="1013"/>
    <x v="998"/>
    <x v="0"/>
    <x v="1009"/>
    <x v="1016"/>
    <x v="640"/>
    <x v="0"/>
    <x v="0"/>
    <x v="4"/>
    <x v="95"/>
    <x v="16"/>
    <x v="114"/>
    <x v="37"/>
    <x v="3"/>
    <x v="206"/>
  </r>
  <r>
    <x v="0"/>
    <x v="396"/>
    <x v="224"/>
    <x v="54"/>
    <x v="224"/>
    <x v="1"/>
    <x v="11"/>
    <x v="982"/>
    <x v="222"/>
    <x v="69"/>
    <x v="307"/>
    <x v="835"/>
    <x v="1017"/>
    <x v="1014"/>
    <x v="999"/>
    <x v="1"/>
    <x v="1010"/>
    <x v="1017"/>
    <x v="479"/>
    <x v="0"/>
    <x v="0"/>
    <x v="4"/>
    <x v="95"/>
    <x v="0"/>
    <x v="135"/>
    <x v="27"/>
    <x v="3"/>
    <x v="1"/>
  </r>
  <r>
    <x v="0"/>
    <x v="477"/>
    <x v="99"/>
    <x v="23"/>
    <x v="247"/>
    <x v="541"/>
    <x v="0"/>
    <x v="983"/>
    <x v="49"/>
    <x v="432"/>
    <x v="706"/>
    <x v="836"/>
    <x v="1018"/>
    <x v="1015"/>
    <x v="670"/>
    <x v="6"/>
    <x v="1011"/>
    <x v="1018"/>
    <x v="150"/>
    <x v="0"/>
    <x v="0"/>
    <x v="0"/>
    <x v="81"/>
    <x v="9"/>
    <x v="82"/>
    <x v="5"/>
    <x v="1"/>
    <x v="57"/>
  </r>
  <r>
    <x v="0"/>
    <x v="478"/>
    <x v="353"/>
    <x v="56"/>
    <x v="0"/>
    <x v="276"/>
    <x v="49"/>
    <x v="984"/>
    <x v="369"/>
    <x v="86"/>
    <x v="335"/>
    <x v="361"/>
    <x v="1019"/>
    <x v="1016"/>
    <x v="1000"/>
    <x v="4"/>
    <x v="1012"/>
    <x v="1019"/>
    <x v="19"/>
    <x v="0"/>
    <x v="1"/>
    <x v="4"/>
    <x v="97"/>
    <x v="19"/>
    <x v="225"/>
    <x v="21"/>
    <x v="3"/>
    <x v="1"/>
  </r>
  <r>
    <x v="0"/>
    <x v="202"/>
    <x v="84"/>
    <x v="58"/>
    <x v="0"/>
    <x v="1"/>
    <x v="21"/>
    <x v="985"/>
    <x v="125"/>
    <x v="174"/>
    <x v="229"/>
    <x v="198"/>
    <x v="1020"/>
    <x v="1017"/>
    <x v="1001"/>
    <x v="2"/>
    <x v="1013"/>
    <x v="1020"/>
    <x v="549"/>
    <x v="0"/>
    <x v="0"/>
    <x v="0"/>
    <x v="95"/>
    <x v="6"/>
    <x v="135"/>
    <x v="30"/>
    <x v="1"/>
    <x v="82"/>
  </r>
  <r>
    <x v="0"/>
    <x v="479"/>
    <x v="346"/>
    <x v="76"/>
    <x v="78"/>
    <x v="542"/>
    <x v="2"/>
    <x v="986"/>
    <x v="70"/>
    <x v="130"/>
    <x v="707"/>
    <x v="837"/>
    <x v="1021"/>
    <x v="1018"/>
    <x v="1002"/>
    <x v="7"/>
    <x v="1014"/>
    <x v="1021"/>
    <x v="641"/>
    <x v="0"/>
    <x v="0"/>
    <x v="0"/>
    <x v="95"/>
    <x v="14"/>
    <x v="339"/>
    <x v="41"/>
    <x v="1"/>
    <x v="207"/>
  </r>
  <r>
    <x v="0"/>
    <x v="272"/>
    <x v="249"/>
    <x v="101"/>
    <x v="0"/>
    <x v="60"/>
    <x v="35"/>
    <x v="987"/>
    <x v="376"/>
    <x v="65"/>
    <x v="708"/>
    <x v="74"/>
    <x v="1022"/>
    <x v="1019"/>
    <x v="1003"/>
    <x v="0"/>
    <x v="1015"/>
    <x v="1022"/>
    <x v="552"/>
    <x v="0"/>
    <x v="0"/>
    <x v="4"/>
    <x v="95"/>
    <x v="21"/>
    <x v="201"/>
    <x v="23"/>
    <x v="3"/>
    <x v="208"/>
  </r>
  <r>
    <x v="0"/>
    <x v="480"/>
    <x v="420"/>
    <x v="27"/>
    <x v="233"/>
    <x v="64"/>
    <x v="25"/>
    <x v="988"/>
    <x v="99"/>
    <x v="76"/>
    <x v="709"/>
    <x v="388"/>
    <x v="1023"/>
    <x v="1020"/>
    <x v="1004"/>
    <x v="1"/>
    <x v="1016"/>
    <x v="1023"/>
    <x v="376"/>
    <x v="0"/>
    <x v="0"/>
    <x v="4"/>
    <x v="95"/>
    <x v="10"/>
    <x v="12"/>
    <x v="34"/>
    <x v="3"/>
    <x v="61"/>
  </r>
  <r>
    <x v="0"/>
    <x v="301"/>
    <x v="280"/>
    <x v="45"/>
    <x v="171"/>
    <x v="37"/>
    <x v="236"/>
    <x v="989"/>
    <x v="80"/>
    <x v="433"/>
    <x v="710"/>
    <x v="838"/>
    <x v="1024"/>
    <x v="1021"/>
    <x v="1005"/>
    <x v="4"/>
    <x v="1017"/>
    <x v="1024"/>
    <x v="256"/>
    <x v="0"/>
    <x v="4"/>
    <x v="0"/>
    <x v="135"/>
    <x v="0"/>
    <x v="429"/>
    <x v="42"/>
    <x v="1"/>
    <x v="1"/>
  </r>
  <r>
    <x v="0"/>
    <x v="481"/>
    <x v="288"/>
    <x v="79"/>
    <x v="139"/>
    <x v="122"/>
    <x v="8"/>
    <x v="990"/>
    <x v="222"/>
    <x v="35"/>
    <x v="711"/>
    <x v="151"/>
    <x v="1025"/>
    <x v="1022"/>
    <x v="1006"/>
    <x v="1"/>
    <x v="1018"/>
    <x v="1025"/>
    <x v="642"/>
    <x v="0"/>
    <x v="0"/>
    <x v="0"/>
    <x v="136"/>
    <x v="18"/>
    <x v="1"/>
    <x v="18"/>
    <x v="1"/>
    <x v="1"/>
  </r>
  <r>
    <x v="0"/>
    <x v="113"/>
    <x v="421"/>
    <x v="126"/>
    <x v="88"/>
    <x v="127"/>
    <x v="0"/>
    <x v="4"/>
    <x v="377"/>
    <x v="434"/>
    <x v="712"/>
    <x v="839"/>
    <x v="1026"/>
    <x v="1023"/>
    <x v="1007"/>
    <x v="8"/>
    <x v="1019"/>
    <x v="1026"/>
    <x v="627"/>
    <x v="0"/>
    <x v="0"/>
    <x v="7"/>
    <x v="4"/>
    <x v="4"/>
    <x v="430"/>
    <x v="3"/>
    <x v="12"/>
    <x v="77"/>
  </r>
  <r>
    <x v="0"/>
    <x v="200"/>
    <x v="422"/>
    <x v="27"/>
    <x v="140"/>
    <x v="420"/>
    <x v="113"/>
    <x v="991"/>
    <x v="378"/>
    <x v="435"/>
    <x v="713"/>
    <x v="840"/>
    <x v="1027"/>
    <x v="1024"/>
    <x v="1008"/>
    <x v="7"/>
    <x v="1020"/>
    <x v="1027"/>
    <x v="277"/>
    <x v="0"/>
    <x v="0"/>
    <x v="4"/>
    <x v="88"/>
    <x v="22"/>
    <x v="178"/>
    <x v="22"/>
    <x v="1"/>
    <x v="43"/>
  </r>
  <r>
    <x v="0"/>
    <x v="482"/>
    <x v="423"/>
    <x v="24"/>
    <x v="248"/>
    <x v="543"/>
    <x v="13"/>
    <x v="992"/>
    <x v="379"/>
    <x v="93"/>
    <x v="714"/>
    <x v="841"/>
    <x v="1028"/>
    <x v="1025"/>
    <x v="1009"/>
    <x v="4"/>
    <x v="1021"/>
    <x v="1028"/>
    <x v="120"/>
    <x v="0"/>
    <x v="1"/>
    <x v="4"/>
    <x v="4"/>
    <x v="0"/>
    <x v="17"/>
    <x v="38"/>
    <x v="1"/>
    <x v="90"/>
  </r>
  <r>
    <x v="0"/>
    <x v="151"/>
    <x v="386"/>
    <x v="127"/>
    <x v="0"/>
    <x v="349"/>
    <x v="237"/>
    <x v="993"/>
    <x v="168"/>
    <x v="436"/>
    <x v="715"/>
    <x v="842"/>
    <x v="1029"/>
    <x v="1026"/>
    <x v="1010"/>
    <x v="0"/>
    <x v="1022"/>
    <x v="1029"/>
    <x v="107"/>
    <x v="0"/>
    <x v="0"/>
    <x v="4"/>
    <x v="115"/>
    <x v="21"/>
    <x v="360"/>
    <x v="32"/>
    <x v="3"/>
    <x v="1"/>
  </r>
  <r>
    <x v="0"/>
    <x v="38"/>
    <x v="290"/>
    <x v="46"/>
    <x v="25"/>
    <x v="460"/>
    <x v="2"/>
    <x v="994"/>
    <x v="1"/>
    <x v="42"/>
    <x v="716"/>
    <x v="843"/>
    <x v="1030"/>
    <x v="1027"/>
    <x v="1011"/>
    <x v="7"/>
    <x v="1023"/>
    <x v="1030"/>
    <x v="643"/>
    <x v="0"/>
    <x v="0"/>
    <x v="0"/>
    <x v="115"/>
    <x v="30"/>
    <x v="431"/>
    <x v="24"/>
    <x v="1"/>
    <x v="1"/>
  </r>
  <r>
    <x v="0"/>
    <x v="96"/>
    <x v="7"/>
    <x v="74"/>
    <x v="75"/>
    <x v="298"/>
    <x v="35"/>
    <x v="995"/>
    <x v="17"/>
    <x v="44"/>
    <x v="717"/>
    <x v="844"/>
    <x v="1031"/>
    <x v="1028"/>
    <x v="1012"/>
    <x v="1"/>
    <x v="1024"/>
    <x v="1031"/>
    <x v="630"/>
    <x v="0"/>
    <x v="1"/>
    <x v="4"/>
    <x v="4"/>
    <x v="3"/>
    <x v="213"/>
    <x v="4"/>
    <x v="1"/>
    <x v="88"/>
  </r>
  <r>
    <x v="0"/>
    <x v="137"/>
    <x v="351"/>
    <x v="60"/>
    <x v="102"/>
    <x v="95"/>
    <x v="24"/>
    <x v="996"/>
    <x v="380"/>
    <x v="25"/>
    <x v="72"/>
    <x v="408"/>
    <x v="1032"/>
    <x v="1029"/>
    <x v="1013"/>
    <x v="0"/>
    <x v="1025"/>
    <x v="1032"/>
    <x v="236"/>
    <x v="0"/>
    <x v="0"/>
    <x v="4"/>
    <x v="136"/>
    <x v="2"/>
    <x v="12"/>
    <x v="8"/>
    <x v="1"/>
    <x v="52"/>
  </r>
  <r>
    <x v="0"/>
    <x v="120"/>
    <x v="346"/>
    <x v="34"/>
    <x v="77"/>
    <x v="448"/>
    <x v="11"/>
    <x v="997"/>
    <x v="171"/>
    <x v="156"/>
    <x v="98"/>
    <x v="845"/>
    <x v="1033"/>
    <x v="1030"/>
    <x v="1014"/>
    <x v="4"/>
    <x v="1026"/>
    <x v="1033"/>
    <x v="644"/>
    <x v="0"/>
    <x v="0"/>
    <x v="4"/>
    <x v="115"/>
    <x v="15"/>
    <x v="6"/>
    <x v="10"/>
    <x v="1"/>
    <x v="1"/>
  </r>
  <r>
    <x v="0"/>
    <x v="68"/>
    <x v="167"/>
    <x v="52"/>
    <x v="53"/>
    <x v="544"/>
    <x v="30"/>
    <x v="998"/>
    <x v="168"/>
    <x v="224"/>
    <x v="718"/>
    <x v="846"/>
    <x v="1034"/>
    <x v="1031"/>
    <x v="1015"/>
    <x v="0"/>
    <x v="1027"/>
    <x v="1034"/>
    <x v="645"/>
    <x v="0"/>
    <x v="0"/>
    <x v="4"/>
    <x v="115"/>
    <x v="19"/>
    <x v="302"/>
    <x v="2"/>
    <x v="1"/>
    <x v="1"/>
  </r>
  <r>
    <x v="0"/>
    <x v="483"/>
    <x v="424"/>
    <x v="71"/>
    <x v="74"/>
    <x v="545"/>
    <x v="238"/>
    <x v="4"/>
    <x v="381"/>
    <x v="437"/>
    <x v="719"/>
    <x v="847"/>
    <x v="1035"/>
    <x v="1032"/>
    <x v="1016"/>
    <x v="0"/>
    <x v="1028"/>
    <x v="1035"/>
    <x v="646"/>
    <x v="0"/>
    <x v="0"/>
    <x v="1"/>
    <x v="41"/>
    <x v="7"/>
    <x v="432"/>
    <x v="51"/>
    <x v="0"/>
    <x v="209"/>
  </r>
  <r>
    <x v="0"/>
    <x v="363"/>
    <x v="322"/>
    <x v="37"/>
    <x v="213"/>
    <x v="12"/>
    <x v="35"/>
    <x v="999"/>
    <x v="382"/>
    <x v="65"/>
    <x v="720"/>
    <x v="848"/>
    <x v="1036"/>
    <x v="1033"/>
    <x v="1017"/>
    <x v="1"/>
    <x v="1029"/>
    <x v="1036"/>
    <x v="397"/>
    <x v="0"/>
    <x v="0"/>
    <x v="4"/>
    <x v="115"/>
    <x v="15"/>
    <x v="81"/>
    <x v="1"/>
    <x v="1"/>
    <x v="67"/>
  </r>
  <r>
    <x v="0"/>
    <x v="219"/>
    <x v="208"/>
    <x v="64"/>
    <x v="108"/>
    <x v="475"/>
    <x v="3"/>
    <x v="1000"/>
    <x v="168"/>
    <x v="3"/>
    <x v="721"/>
    <x v="849"/>
    <x v="1037"/>
    <x v="1034"/>
    <x v="1018"/>
    <x v="3"/>
    <x v="1030"/>
    <x v="1037"/>
    <x v="647"/>
    <x v="0"/>
    <x v="15"/>
    <x v="4"/>
    <x v="95"/>
    <x v="2"/>
    <x v="433"/>
    <x v="21"/>
    <x v="1"/>
    <x v="45"/>
  </r>
  <r>
    <x v="0"/>
    <x v="278"/>
    <x v="280"/>
    <x v="52"/>
    <x v="182"/>
    <x v="546"/>
    <x v="239"/>
    <x v="1001"/>
    <x v="311"/>
    <x v="438"/>
    <x v="722"/>
    <x v="850"/>
    <x v="1038"/>
    <x v="1035"/>
    <x v="1019"/>
    <x v="8"/>
    <x v="1031"/>
    <x v="1038"/>
    <x v="87"/>
    <x v="0"/>
    <x v="4"/>
    <x v="0"/>
    <x v="115"/>
    <x v="18"/>
    <x v="434"/>
    <x v="21"/>
    <x v="1"/>
    <x v="1"/>
  </r>
  <r>
    <x v="0"/>
    <x v="386"/>
    <x v="321"/>
    <x v="60"/>
    <x v="116"/>
    <x v="1"/>
    <x v="11"/>
    <x v="1002"/>
    <x v="383"/>
    <x v="11"/>
    <x v="60"/>
    <x v="851"/>
    <x v="1039"/>
    <x v="1036"/>
    <x v="1020"/>
    <x v="1"/>
    <x v="1032"/>
    <x v="1039"/>
    <x v="648"/>
    <x v="0"/>
    <x v="0"/>
    <x v="0"/>
    <x v="115"/>
    <x v="18"/>
    <x v="47"/>
    <x v="38"/>
    <x v="1"/>
    <x v="1"/>
  </r>
  <r>
    <x v="0"/>
    <x v="141"/>
    <x v="211"/>
    <x v="32"/>
    <x v="105"/>
    <x v="547"/>
    <x v="24"/>
    <x v="1003"/>
    <x v="286"/>
    <x v="25"/>
    <x v="493"/>
    <x v="852"/>
    <x v="1040"/>
    <x v="1037"/>
    <x v="1021"/>
    <x v="1"/>
    <x v="1033"/>
    <x v="1040"/>
    <x v="271"/>
    <x v="0"/>
    <x v="0"/>
    <x v="0"/>
    <x v="115"/>
    <x v="18"/>
    <x v="30"/>
    <x v="21"/>
    <x v="3"/>
    <x v="1"/>
  </r>
  <r>
    <x v="0"/>
    <x v="370"/>
    <x v="211"/>
    <x v="41"/>
    <x v="201"/>
    <x v="241"/>
    <x v="22"/>
    <x v="1004"/>
    <x v="286"/>
    <x v="240"/>
    <x v="723"/>
    <x v="853"/>
    <x v="1041"/>
    <x v="1038"/>
    <x v="1022"/>
    <x v="4"/>
    <x v="1034"/>
    <x v="1041"/>
    <x v="351"/>
    <x v="0"/>
    <x v="0"/>
    <x v="0"/>
    <x v="115"/>
    <x v="21"/>
    <x v="435"/>
    <x v="19"/>
    <x v="1"/>
    <x v="1"/>
  </r>
  <r>
    <x v="0"/>
    <x v="420"/>
    <x v="413"/>
    <x v="32"/>
    <x v="0"/>
    <x v="252"/>
    <x v="25"/>
    <x v="1005"/>
    <x v="384"/>
    <x v="76"/>
    <x v="724"/>
    <x v="854"/>
    <x v="1042"/>
    <x v="1039"/>
    <x v="1023"/>
    <x v="1"/>
    <x v="1035"/>
    <x v="1042"/>
    <x v="591"/>
    <x v="0"/>
    <x v="0"/>
    <x v="4"/>
    <x v="90"/>
    <x v="31"/>
    <x v="1"/>
    <x v="12"/>
    <x v="3"/>
    <x v="210"/>
  </r>
  <r>
    <x v="0"/>
    <x v="141"/>
    <x v="106"/>
    <x v="40"/>
    <x v="105"/>
    <x v="539"/>
    <x v="29"/>
    <x v="1006"/>
    <x v="385"/>
    <x v="34"/>
    <x v="307"/>
    <x v="855"/>
    <x v="1043"/>
    <x v="1040"/>
    <x v="1024"/>
    <x v="1"/>
    <x v="1036"/>
    <x v="1043"/>
    <x v="397"/>
    <x v="0"/>
    <x v="0"/>
    <x v="4"/>
    <x v="97"/>
    <x v="1"/>
    <x v="135"/>
    <x v="6"/>
    <x v="1"/>
    <x v="1"/>
  </r>
  <r>
    <x v="0"/>
    <x v="484"/>
    <x v="279"/>
    <x v="69"/>
    <x v="249"/>
    <x v="548"/>
    <x v="21"/>
    <x v="1007"/>
    <x v="3"/>
    <x v="22"/>
    <x v="176"/>
    <x v="856"/>
    <x v="1044"/>
    <x v="1041"/>
    <x v="933"/>
    <x v="0"/>
    <x v="1037"/>
    <x v="1044"/>
    <x v="451"/>
    <x v="0"/>
    <x v="10"/>
    <x v="0"/>
    <x v="115"/>
    <x v="11"/>
    <x v="120"/>
    <x v="19"/>
    <x v="1"/>
    <x v="58"/>
  </r>
  <r>
    <x v="0"/>
    <x v="151"/>
    <x v="287"/>
    <x v="32"/>
    <x v="0"/>
    <x v="549"/>
    <x v="22"/>
    <x v="1008"/>
    <x v="368"/>
    <x v="202"/>
    <x v="725"/>
    <x v="857"/>
    <x v="1045"/>
    <x v="1042"/>
    <x v="395"/>
    <x v="1"/>
    <x v="1038"/>
    <x v="1045"/>
    <x v="649"/>
    <x v="0"/>
    <x v="0"/>
    <x v="4"/>
    <x v="115"/>
    <x v="20"/>
    <x v="77"/>
    <x v="15"/>
    <x v="3"/>
    <x v="1"/>
  </r>
  <r>
    <x v="0"/>
    <x v="202"/>
    <x v="365"/>
    <x v="45"/>
    <x v="0"/>
    <x v="550"/>
    <x v="35"/>
    <x v="1009"/>
    <x v="386"/>
    <x v="91"/>
    <x v="387"/>
    <x v="858"/>
    <x v="1046"/>
    <x v="1043"/>
    <x v="1025"/>
    <x v="1"/>
    <x v="1039"/>
    <x v="1046"/>
    <x v="55"/>
    <x v="0"/>
    <x v="0"/>
    <x v="0"/>
    <x v="125"/>
    <x v="25"/>
    <x v="30"/>
    <x v="19"/>
    <x v="1"/>
    <x v="1"/>
  </r>
  <r>
    <x v="0"/>
    <x v="485"/>
    <x v="384"/>
    <x v="47"/>
    <x v="250"/>
    <x v="79"/>
    <x v="240"/>
    <x v="1010"/>
    <x v="387"/>
    <x v="439"/>
    <x v="726"/>
    <x v="859"/>
    <x v="1047"/>
    <x v="1044"/>
    <x v="1026"/>
    <x v="0"/>
    <x v="1040"/>
    <x v="1047"/>
    <x v="650"/>
    <x v="8"/>
    <x v="16"/>
    <x v="10"/>
    <x v="4"/>
    <x v="20"/>
    <x v="364"/>
    <x v="6"/>
    <x v="2"/>
    <x v="211"/>
  </r>
  <r>
    <x v="0"/>
    <x v="486"/>
    <x v="365"/>
    <x v="72"/>
    <x v="251"/>
    <x v="329"/>
    <x v="241"/>
    <x v="1011"/>
    <x v="388"/>
    <x v="440"/>
    <x v="218"/>
    <x v="726"/>
    <x v="1048"/>
    <x v="1045"/>
    <x v="1027"/>
    <x v="1"/>
    <x v="1041"/>
    <x v="1048"/>
    <x v="291"/>
    <x v="0"/>
    <x v="0"/>
    <x v="2"/>
    <x v="32"/>
    <x v="22"/>
    <x v="148"/>
    <x v="9"/>
    <x v="3"/>
    <x v="43"/>
  </r>
  <r>
    <x v="0"/>
    <x v="131"/>
    <x v="194"/>
    <x v="18"/>
    <x v="97"/>
    <x v="388"/>
    <x v="0"/>
    <x v="1012"/>
    <x v="389"/>
    <x v="441"/>
    <x v="727"/>
    <x v="548"/>
    <x v="1049"/>
    <x v="1046"/>
    <x v="1028"/>
    <x v="0"/>
    <x v="1042"/>
    <x v="1049"/>
    <x v="315"/>
    <x v="0"/>
    <x v="0"/>
    <x v="4"/>
    <x v="115"/>
    <x v="15"/>
    <x v="436"/>
    <x v="2"/>
    <x v="1"/>
    <x v="1"/>
  </r>
  <r>
    <x v="0"/>
    <x v="487"/>
    <x v="332"/>
    <x v="5"/>
    <x v="149"/>
    <x v="137"/>
    <x v="108"/>
    <x v="1013"/>
    <x v="309"/>
    <x v="442"/>
    <x v="728"/>
    <x v="860"/>
    <x v="1050"/>
    <x v="1047"/>
    <x v="655"/>
    <x v="1"/>
    <x v="1043"/>
    <x v="1050"/>
    <x v="191"/>
    <x v="0"/>
    <x v="0"/>
    <x v="0"/>
    <x v="115"/>
    <x v="18"/>
    <x v="225"/>
    <x v="21"/>
    <x v="3"/>
    <x v="1"/>
  </r>
  <r>
    <x v="0"/>
    <x v="488"/>
    <x v="118"/>
    <x v="41"/>
    <x v="252"/>
    <x v="70"/>
    <x v="57"/>
    <x v="4"/>
    <x v="72"/>
    <x v="237"/>
    <x v="729"/>
    <x v="861"/>
    <x v="1051"/>
    <x v="1048"/>
    <x v="1029"/>
    <x v="1"/>
    <x v="1044"/>
    <x v="1051"/>
    <x v="425"/>
    <x v="0"/>
    <x v="0"/>
    <x v="4"/>
    <x v="137"/>
    <x v="26"/>
    <x v="437"/>
    <x v="16"/>
    <x v="1"/>
    <x v="1"/>
  </r>
  <r>
    <x v="1"/>
    <x v="489"/>
    <x v="235"/>
    <x v="69"/>
    <x v="0"/>
    <x v="74"/>
    <x v="242"/>
    <x v="4"/>
    <x v="383"/>
    <x v="443"/>
    <x v="730"/>
    <x v="862"/>
    <x v="1052"/>
    <x v="1049"/>
    <x v="1030"/>
    <x v="0"/>
    <x v="1045"/>
    <x v="1052"/>
    <x v="651"/>
    <x v="9"/>
    <x v="17"/>
    <x v="2"/>
    <x v="138"/>
    <x v="36"/>
    <x v="438"/>
    <x v="14"/>
    <x v="1"/>
    <x v="1"/>
  </r>
  <r>
    <x v="0"/>
    <x v="490"/>
    <x v="197"/>
    <x v="128"/>
    <x v="0"/>
    <x v="551"/>
    <x v="41"/>
    <x v="1014"/>
    <x v="21"/>
    <x v="221"/>
    <x v="731"/>
    <x v="863"/>
    <x v="1053"/>
    <x v="1050"/>
    <x v="1031"/>
    <x v="3"/>
    <x v="1046"/>
    <x v="1053"/>
    <x v="409"/>
    <x v="0"/>
    <x v="0"/>
    <x v="2"/>
    <x v="125"/>
    <x v="7"/>
    <x v="439"/>
    <x v="33"/>
    <x v="3"/>
    <x v="212"/>
  </r>
  <r>
    <x v="0"/>
    <x v="491"/>
    <x v="303"/>
    <x v="26"/>
    <x v="253"/>
    <x v="37"/>
    <x v="94"/>
    <x v="1015"/>
    <x v="268"/>
    <x v="218"/>
    <x v="732"/>
    <x v="864"/>
    <x v="1054"/>
    <x v="1051"/>
    <x v="1032"/>
    <x v="1"/>
    <x v="1047"/>
    <x v="1054"/>
    <x v="241"/>
    <x v="0"/>
    <x v="0"/>
    <x v="4"/>
    <x v="125"/>
    <x v="25"/>
    <x v="440"/>
    <x v="27"/>
    <x v="3"/>
    <x v="213"/>
  </r>
  <r>
    <x v="0"/>
    <x v="492"/>
    <x v="274"/>
    <x v="72"/>
    <x v="195"/>
    <x v="77"/>
    <x v="94"/>
    <x v="1016"/>
    <x v="127"/>
    <x v="218"/>
    <x v="733"/>
    <x v="98"/>
    <x v="1055"/>
    <x v="1052"/>
    <x v="1033"/>
    <x v="1"/>
    <x v="1048"/>
    <x v="1055"/>
    <x v="314"/>
    <x v="0"/>
    <x v="0"/>
    <x v="0"/>
    <x v="127"/>
    <x v="13"/>
    <x v="30"/>
    <x v="22"/>
    <x v="1"/>
    <x v="1"/>
  </r>
  <r>
    <x v="0"/>
    <x v="442"/>
    <x v="273"/>
    <x v="58"/>
    <x v="239"/>
    <x v="250"/>
    <x v="94"/>
    <x v="1017"/>
    <x v="127"/>
    <x v="218"/>
    <x v="59"/>
    <x v="322"/>
    <x v="1056"/>
    <x v="1053"/>
    <x v="1034"/>
    <x v="2"/>
    <x v="1049"/>
    <x v="1056"/>
    <x v="154"/>
    <x v="0"/>
    <x v="0"/>
    <x v="0"/>
    <x v="115"/>
    <x v="18"/>
    <x v="46"/>
    <x v="20"/>
    <x v="1"/>
    <x v="98"/>
  </r>
  <r>
    <x v="0"/>
    <x v="3"/>
    <x v="112"/>
    <x v="34"/>
    <x v="2"/>
    <x v="552"/>
    <x v="21"/>
    <x v="1018"/>
    <x v="150"/>
    <x v="210"/>
    <x v="620"/>
    <x v="865"/>
    <x v="1057"/>
    <x v="1054"/>
    <x v="1035"/>
    <x v="0"/>
    <x v="1050"/>
    <x v="1057"/>
    <x v="652"/>
    <x v="0"/>
    <x v="0"/>
    <x v="4"/>
    <x v="127"/>
    <x v="19"/>
    <x v="34"/>
    <x v="13"/>
    <x v="1"/>
    <x v="1"/>
  </r>
  <r>
    <x v="0"/>
    <x v="298"/>
    <x v="262"/>
    <x v="70"/>
    <x v="191"/>
    <x v="447"/>
    <x v="0"/>
    <x v="1019"/>
    <x v="390"/>
    <x v="277"/>
    <x v="734"/>
    <x v="651"/>
    <x v="1058"/>
    <x v="1055"/>
    <x v="1036"/>
    <x v="4"/>
    <x v="1051"/>
    <x v="1058"/>
    <x v="634"/>
    <x v="0"/>
    <x v="0"/>
    <x v="0"/>
    <x v="91"/>
    <x v="25"/>
    <x v="30"/>
    <x v="32"/>
    <x v="1"/>
    <x v="67"/>
  </r>
  <r>
    <x v="0"/>
    <x v="405"/>
    <x v="305"/>
    <x v="113"/>
    <x v="218"/>
    <x v="553"/>
    <x v="57"/>
    <x v="1020"/>
    <x v="391"/>
    <x v="125"/>
    <x v="735"/>
    <x v="866"/>
    <x v="1059"/>
    <x v="1056"/>
    <x v="1037"/>
    <x v="1"/>
    <x v="1052"/>
    <x v="1059"/>
    <x v="538"/>
    <x v="0"/>
    <x v="0"/>
    <x v="0"/>
    <x v="125"/>
    <x v="5"/>
    <x v="441"/>
    <x v="55"/>
    <x v="1"/>
    <x v="1"/>
  </r>
  <r>
    <x v="0"/>
    <x v="103"/>
    <x v="409"/>
    <x v="38"/>
    <x v="81"/>
    <x v="99"/>
    <x v="11"/>
    <x v="1021"/>
    <x v="392"/>
    <x v="156"/>
    <x v="281"/>
    <x v="477"/>
    <x v="1060"/>
    <x v="1057"/>
    <x v="1038"/>
    <x v="1"/>
    <x v="1053"/>
    <x v="1060"/>
    <x v="653"/>
    <x v="0"/>
    <x v="0"/>
    <x v="4"/>
    <x v="127"/>
    <x v="25"/>
    <x v="44"/>
    <x v="4"/>
    <x v="3"/>
    <x v="214"/>
  </r>
  <r>
    <x v="0"/>
    <x v="51"/>
    <x v="345"/>
    <x v="107"/>
    <x v="36"/>
    <x v="554"/>
    <x v="166"/>
    <x v="1022"/>
    <x v="286"/>
    <x v="308"/>
    <x v="736"/>
    <x v="867"/>
    <x v="1061"/>
    <x v="1058"/>
    <x v="1039"/>
    <x v="1"/>
    <x v="1054"/>
    <x v="1061"/>
    <x v="554"/>
    <x v="0"/>
    <x v="0"/>
    <x v="0"/>
    <x v="91"/>
    <x v="13"/>
    <x v="65"/>
    <x v="2"/>
    <x v="3"/>
    <x v="1"/>
  </r>
  <r>
    <x v="0"/>
    <x v="493"/>
    <x v="365"/>
    <x v="46"/>
    <x v="169"/>
    <x v="414"/>
    <x v="160"/>
    <x v="1023"/>
    <x v="393"/>
    <x v="444"/>
    <x v="737"/>
    <x v="868"/>
    <x v="1062"/>
    <x v="1059"/>
    <x v="1040"/>
    <x v="1"/>
    <x v="4"/>
    <x v="1062"/>
    <x v="654"/>
    <x v="0"/>
    <x v="1"/>
    <x v="4"/>
    <x v="131"/>
    <x v="6"/>
    <x v="442"/>
    <x v="11"/>
    <x v="1"/>
    <x v="1"/>
  </r>
  <r>
    <x v="0"/>
    <x v="494"/>
    <x v="81"/>
    <x v="35"/>
    <x v="170"/>
    <x v="44"/>
    <x v="0"/>
    <x v="4"/>
    <x v="156"/>
    <x v="445"/>
    <x v="738"/>
    <x v="869"/>
    <x v="1063"/>
    <x v="1060"/>
    <x v="1041"/>
    <x v="1"/>
    <x v="1055"/>
    <x v="1063"/>
    <x v="655"/>
    <x v="0"/>
    <x v="18"/>
    <x v="2"/>
    <x v="115"/>
    <x v="37"/>
    <x v="443"/>
    <x v="59"/>
    <x v="1"/>
    <x v="215"/>
  </r>
  <r>
    <x v="0"/>
    <x v="356"/>
    <x v="311"/>
    <x v="43"/>
    <x v="211"/>
    <x v="555"/>
    <x v="243"/>
    <x v="1024"/>
    <x v="35"/>
    <x v="446"/>
    <x v="516"/>
    <x v="870"/>
    <x v="1064"/>
    <x v="1061"/>
    <x v="22"/>
    <x v="4"/>
    <x v="1056"/>
    <x v="1064"/>
    <x v="432"/>
    <x v="0"/>
    <x v="0"/>
    <x v="2"/>
    <x v="91"/>
    <x v="24"/>
    <x v="335"/>
    <x v="30"/>
    <x v="8"/>
    <x v="1"/>
  </r>
  <r>
    <x v="0"/>
    <x v="484"/>
    <x v="201"/>
    <x v="42"/>
    <x v="249"/>
    <x v="83"/>
    <x v="21"/>
    <x v="1025"/>
    <x v="23"/>
    <x v="22"/>
    <x v="739"/>
    <x v="871"/>
    <x v="1065"/>
    <x v="1062"/>
    <x v="1042"/>
    <x v="0"/>
    <x v="1057"/>
    <x v="1065"/>
    <x v="656"/>
    <x v="0"/>
    <x v="10"/>
    <x v="0"/>
    <x v="91"/>
    <x v="3"/>
    <x v="372"/>
    <x v="22"/>
    <x v="1"/>
    <x v="62"/>
  </r>
  <r>
    <x v="0"/>
    <x v="495"/>
    <x v="285"/>
    <x v="95"/>
    <x v="202"/>
    <x v="556"/>
    <x v="244"/>
    <x v="1026"/>
    <x v="125"/>
    <x v="447"/>
    <x v="740"/>
    <x v="872"/>
    <x v="1066"/>
    <x v="1063"/>
    <x v="1043"/>
    <x v="6"/>
    <x v="1058"/>
    <x v="1066"/>
    <x v="539"/>
    <x v="0"/>
    <x v="0"/>
    <x v="0"/>
    <x v="115"/>
    <x v="17"/>
    <x v="94"/>
    <x v="34"/>
    <x v="3"/>
    <x v="1"/>
  </r>
  <r>
    <x v="0"/>
    <x v="372"/>
    <x v="321"/>
    <x v="56"/>
    <x v="8"/>
    <x v="65"/>
    <x v="245"/>
    <x v="1027"/>
    <x v="394"/>
    <x v="448"/>
    <x v="741"/>
    <x v="873"/>
    <x v="1067"/>
    <x v="1064"/>
    <x v="1044"/>
    <x v="1"/>
    <x v="1059"/>
    <x v="1067"/>
    <x v="406"/>
    <x v="0"/>
    <x v="0"/>
    <x v="0"/>
    <x v="91"/>
    <x v="21"/>
    <x v="444"/>
    <x v="5"/>
    <x v="3"/>
    <x v="1"/>
  </r>
  <r>
    <x v="0"/>
    <x v="247"/>
    <x v="275"/>
    <x v="41"/>
    <x v="167"/>
    <x v="412"/>
    <x v="21"/>
    <x v="1028"/>
    <x v="395"/>
    <x v="162"/>
    <x v="63"/>
    <x v="874"/>
    <x v="1068"/>
    <x v="1065"/>
    <x v="1045"/>
    <x v="0"/>
    <x v="1060"/>
    <x v="1068"/>
    <x v="657"/>
    <x v="0"/>
    <x v="0"/>
    <x v="2"/>
    <x v="91"/>
    <x v="8"/>
    <x v="13"/>
    <x v="27"/>
    <x v="3"/>
    <x v="1"/>
  </r>
  <r>
    <x v="0"/>
    <x v="293"/>
    <x v="379"/>
    <x v="18"/>
    <x v="0"/>
    <x v="360"/>
    <x v="2"/>
    <x v="1029"/>
    <x v="215"/>
    <x v="203"/>
    <x v="429"/>
    <x v="496"/>
    <x v="1069"/>
    <x v="1066"/>
    <x v="448"/>
    <x v="4"/>
    <x v="1061"/>
    <x v="1069"/>
    <x v="270"/>
    <x v="0"/>
    <x v="0"/>
    <x v="3"/>
    <x v="88"/>
    <x v="14"/>
    <x v="30"/>
    <x v="20"/>
    <x v="3"/>
    <x v="103"/>
  </r>
  <r>
    <x v="0"/>
    <x v="211"/>
    <x v="425"/>
    <x v="8"/>
    <x v="108"/>
    <x v="285"/>
    <x v="11"/>
    <x v="1030"/>
    <x v="171"/>
    <x v="156"/>
    <x v="199"/>
    <x v="373"/>
    <x v="1070"/>
    <x v="1067"/>
    <x v="1046"/>
    <x v="0"/>
    <x v="1062"/>
    <x v="1070"/>
    <x v="258"/>
    <x v="0"/>
    <x v="0"/>
    <x v="0"/>
    <x v="91"/>
    <x v="27"/>
    <x v="135"/>
    <x v="12"/>
    <x v="1"/>
    <x v="1"/>
  </r>
  <r>
    <x v="0"/>
    <x v="133"/>
    <x v="347"/>
    <x v="73"/>
    <x v="98"/>
    <x v="274"/>
    <x v="246"/>
    <x v="1031"/>
    <x v="171"/>
    <x v="449"/>
    <x v="742"/>
    <x v="875"/>
    <x v="1071"/>
    <x v="1068"/>
    <x v="1047"/>
    <x v="3"/>
    <x v="1063"/>
    <x v="1071"/>
    <x v="447"/>
    <x v="0"/>
    <x v="0"/>
    <x v="0"/>
    <x v="91"/>
    <x v="24"/>
    <x v="199"/>
    <x v="10"/>
    <x v="1"/>
    <x v="103"/>
  </r>
  <r>
    <x v="0"/>
    <x v="340"/>
    <x v="186"/>
    <x v="55"/>
    <x v="0"/>
    <x v="25"/>
    <x v="2"/>
    <x v="1032"/>
    <x v="371"/>
    <x v="130"/>
    <x v="743"/>
    <x v="30"/>
    <x v="1072"/>
    <x v="1069"/>
    <x v="1048"/>
    <x v="1"/>
    <x v="1064"/>
    <x v="1072"/>
    <x v="505"/>
    <x v="0"/>
    <x v="0"/>
    <x v="0"/>
    <x v="91"/>
    <x v="1"/>
    <x v="12"/>
    <x v="38"/>
    <x v="3"/>
    <x v="31"/>
  </r>
  <r>
    <x v="0"/>
    <x v="120"/>
    <x v="276"/>
    <x v="85"/>
    <x v="77"/>
    <x v="448"/>
    <x v="2"/>
    <x v="1033"/>
    <x v="3"/>
    <x v="42"/>
    <x v="744"/>
    <x v="876"/>
    <x v="1073"/>
    <x v="1070"/>
    <x v="1049"/>
    <x v="1"/>
    <x v="1065"/>
    <x v="1073"/>
    <x v="180"/>
    <x v="0"/>
    <x v="0"/>
    <x v="4"/>
    <x v="91"/>
    <x v="29"/>
    <x v="445"/>
    <x v="8"/>
    <x v="1"/>
    <x v="1"/>
  </r>
  <r>
    <x v="0"/>
    <x v="275"/>
    <x v="125"/>
    <x v="59"/>
    <x v="179"/>
    <x v="104"/>
    <x v="22"/>
    <x v="1034"/>
    <x v="127"/>
    <x v="191"/>
    <x v="745"/>
    <x v="628"/>
    <x v="1074"/>
    <x v="1071"/>
    <x v="1050"/>
    <x v="0"/>
    <x v="1066"/>
    <x v="1074"/>
    <x v="658"/>
    <x v="0"/>
    <x v="8"/>
    <x v="0"/>
    <x v="81"/>
    <x v="12"/>
    <x v="446"/>
    <x v="34"/>
    <x v="1"/>
    <x v="1"/>
  </r>
  <r>
    <x v="0"/>
    <x v="496"/>
    <x v="426"/>
    <x v="9"/>
    <x v="254"/>
    <x v="1"/>
    <x v="24"/>
    <x v="1035"/>
    <x v="171"/>
    <x v="25"/>
    <x v="330"/>
    <x v="877"/>
    <x v="1075"/>
    <x v="1072"/>
    <x v="1051"/>
    <x v="4"/>
    <x v="1067"/>
    <x v="1075"/>
    <x v="82"/>
    <x v="0"/>
    <x v="0"/>
    <x v="4"/>
    <x v="127"/>
    <x v="9"/>
    <x v="28"/>
    <x v="14"/>
    <x v="3"/>
    <x v="216"/>
  </r>
  <r>
    <x v="0"/>
    <x v="274"/>
    <x v="216"/>
    <x v="40"/>
    <x v="178"/>
    <x v="375"/>
    <x v="11"/>
    <x v="1036"/>
    <x v="168"/>
    <x v="156"/>
    <x v="149"/>
    <x v="878"/>
    <x v="1076"/>
    <x v="1073"/>
    <x v="1052"/>
    <x v="4"/>
    <x v="1068"/>
    <x v="1076"/>
    <x v="659"/>
    <x v="0"/>
    <x v="0"/>
    <x v="4"/>
    <x v="91"/>
    <x v="18"/>
    <x v="100"/>
    <x v="16"/>
    <x v="1"/>
    <x v="1"/>
  </r>
  <r>
    <x v="0"/>
    <x v="102"/>
    <x v="377"/>
    <x v="58"/>
    <x v="80"/>
    <x v="86"/>
    <x v="9"/>
    <x v="1037"/>
    <x v="145"/>
    <x v="9"/>
    <x v="746"/>
    <x v="879"/>
    <x v="1077"/>
    <x v="1074"/>
    <x v="1053"/>
    <x v="3"/>
    <x v="1069"/>
    <x v="1077"/>
    <x v="660"/>
    <x v="0"/>
    <x v="0"/>
    <x v="2"/>
    <x v="91"/>
    <x v="15"/>
    <x v="447"/>
    <x v="11"/>
    <x v="1"/>
    <x v="64"/>
  </r>
  <r>
    <x v="0"/>
    <x v="339"/>
    <x v="238"/>
    <x v="105"/>
    <x v="207"/>
    <x v="132"/>
    <x v="0"/>
    <x v="1038"/>
    <x v="125"/>
    <x v="450"/>
    <x v="386"/>
    <x v="162"/>
    <x v="1078"/>
    <x v="1075"/>
    <x v="1054"/>
    <x v="6"/>
    <x v="1070"/>
    <x v="1078"/>
    <x v="347"/>
    <x v="0"/>
    <x v="0"/>
    <x v="4"/>
    <x v="91"/>
    <x v="18"/>
    <x v="259"/>
    <x v="31"/>
    <x v="3"/>
    <x v="1"/>
  </r>
  <r>
    <x v="0"/>
    <x v="73"/>
    <x v="427"/>
    <x v="33"/>
    <x v="58"/>
    <x v="19"/>
    <x v="197"/>
    <x v="1039"/>
    <x v="396"/>
    <x v="451"/>
    <x v="747"/>
    <x v="880"/>
    <x v="1079"/>
    <x v="1076"/>
    <x v="1055"/>
    <x v="3"/>
    <x v="1071"/>
    <x v="1079"/>
    <x v="418"/>
    <x v="0"/>
    <x v="0"/>
    <x v="2"/>
    <x v="91"/>
    <x v="10"/>
    <x v="448"/>
    <x v="1"/>
    <x v="3"/>
    <x v="18"/>
  </r>
  <r>
    <x v="0"/>
    <x v="269"/>
    <x v="141"/>
    <x v="47"/>
    <x v="176"/>
    <x v="53"/>
    <x v="71"/>
    <x v="1040"/>
    <x v="397"/>
    <x v="276"/>
    <x v="748"/>
    <x v="266"/>
    <x v="1080"/>
    <x v="1077"/>
    <x v="1056"/>
    <x v="1"/>
    <x v="1072"/>
    <x v="1080"/>
    <x v="661"/>
    <x v="0"/>
    <x v="0"/>
    <x v="4"/>
    <x v="91"/>
    <x v="20"/>
    <x v="212"/>
    <x v="1"/>
    <x v="1"/>
    <x v="1"/>
  </r>
  <r>
    <x v="0"/>
    <x v="497"/>
    <x v="238"/>
    <x v="16"/>
    <x v="255"/>
    <x v="536"/>
    <x v="30"/>
    <x v="1041"/>
    <x v="291"/>
    <x v="50"/>
    <x v="749"/>
    <x v="881"/>
    <x v="1081"/>
    <x v="1078"/>
    <x v="1057"/>
    <x v="0"/>
    <x v="1073"/>
    <x v="1081"/>
    <x v="120"/>
    <x v="0"/>
    <x v="0"/>
    <x v="0"/>
    <x v="116"/>
    <x v="12"/>
    <x v="449"/>
    <x v="13"/>
    <x v="1"/>
    <x v="1"/>
  </r>
  <r>
    <x v="0"/>
    <x v="498"/>
    <x v="111"/>
    <x v="43"/>
    <x v="59"/>
    <x v="305"/>
    <x v="247"/>
    <x v="1042"/>
    <x v="306"/>
    <x v="452"/>
    <x v="750"/>
    <x v="882"/>
    <x v="1082"/>
    <x v="1079"/>
    <x v="1058"/>
    <x v="0"/>
    <x v="1074"/>
    <x v="1082"/>
    <x v="662"/>
    <x v="0"/>
    <x v="0"/>
    <x v="4"/>
    <x v="91"/>
    <x v="19"/>
    <x v="450"/>
    <x v="12"/>
    <x v="1"/>
    <x v="1"/>
  </r>
  <r>
    <x v="0"/>
    <x v="499"/>
    <x v="323"/>
    <x v="71"/>
    <x v="255"/>
    <x v="557"/>
    <x v="35"/>
    <x v="1043"/>
    <x v="398"/>
    <x v="176"/>
    <x v="751"/>
    <x v="883"/>
    <x v="1083"/>
    <x v="1080"/>
    <x v="1059"/>
    <x v="0"/>
    <x v="1075"/>
    <x v="1083"/>
    <x v="484"/>
    <x v="0"/>
    <x v="0"/>
    <x v="0"/>
    <x v="91"/>
    <x v="13"/>
    <x v="451"/>
    <x v="51"/>
    <x v="1"/>
    <x v="1"/>
  </r>
  <r>
    <x v="0"/>
    <x v="354"/>
    <x v="297"/>
    <x v="86"/>
    <x v="174"/>
    <x v="24"/>
    <x v="79"/>
    <x v="1044"/>
    <x v="399"/>
    <x v="453"/>
    <x v="752"/>
    <x v="884"/>
    <x v="1084"/>
    <x v="1081"/>
    <x v="1060"/>
    <x v="7"/>
    <x v="1076"/>
    <x v="1084"/>
    <x v="449"/>
    <x v="0"/>
    <x v="0"/>
    <x v="0"/>
    <x v="91"/>
    <x v="21"/>
    <x v="159"/>
    <x v="23"/>
    <x v="1"/>
    <x v="1"/>
  </r>
  <r>
    <x v="0"/>
    <x v="482"/>
    <x v="82"/>
    <x v="74"/>
    <x v="248"/>
    <x v="558"/>
    <x v="21"/>
    <x v="1045"/>
    <x v="105"/>
    <x v="298"/>
    <x v="101"/>
    <x v="885"/>
    <x v="1085"/>
    <x v="1082"/>
    <x v="1061"/>
    <x v="12"/>
    <x v="1077"/>
    <x v="1085"/>
    <x v="663"/>
    <x v="0"/>
    <x v="1"/>
    <x v="4"/>
    <x v="91"/>
    <x v="17"/>
    <x v="20"/>
    <x v="16"/>
    <x v="1"/>
    <x v="76"/>
  </r>
  <r>
    <x v="0"/>
    <x v="29"/>
    <x v="338"/>
    <x v="54"/>
    <x v="21"/>
    <x v="1"/>
    <x v="11"/>
    <x v="1046"/>
    <x v="21"/>
    <x v="11"/>
    <x v="753"/>
    <x v="886"/>
    <x v="1086"/>
    <x v="1083"/>
    <x v="1062"/>
    <x v="0"/>
    <x v="1078"/>
    <x v="1086"/>
    <x v="664"/>
    <x v="0"/>
    <x v="0"/>
    <x v="3"/>
    <x v="40"/>
    <x v="20"/>
    <x v="30"/>
    <x v="13"/>
    <x v="1"/>
    <x v="1"/>
  </r>
  <r>
    <x v="0"/>
    <x v="242"/>
    <x v="132"/>
    <x v="40"/>
    <x v="163"/>
    <x v="36"/>
    <x v="1"/>
    <x v="1047"/>
    <x v="236"/>
    <x v="1"/>
    <x v="88"/>
    <x v="887"/>
    <x v="1087"/>
    <x v="1084"/>
    <x v="1063"/>
    <x v="1"/>
    <x v="1079"/>
    <x v="1087"/>
    <x v="665"/>
    <x v="0"/>
    <x v="0"/>
    <x v="4"/>
    <x v="82"/>
    <x v="18"/>
    <x v="30"/>
    <x v="2"/>
    <x v="1"/>
    <x v="1"/>
  </r>
  <r>
    <x v="0"/>
    <x v="499"/>
    <x v="428"/>
    <x v="47"/>
    <x v="255"/>
    <x v="280"/>
    <x v="57"/>
    <x v="1048"/>
    <x v="400"/>
    <x v="237"/>
    <x v="754"/>
    <x v="888"/>
    <x v="1088"/>
    <x v="1085"/>
    <x v="1064"/>
    <x v="4"/>
    <x v="1080"/>
    <x v="1088"/>
    <x v="392"/>
    <x v="0"/>
    <x v="19"/>
    <x v="4"/>
    <x v="91"/>
    <x v="24"/>
    <x v="452"/>
    <x v="28"/>
    <x v="3"/>
    <x v="1"/>
  </r>
  <r>
    <x v="0"/>
    <x v="282"/>
    <x v="422"/>
    <x v="24"/>
    <x v="186"/>
    <x v="27"/>
    <x v="63"/>
    <x v="1049"/>
    <x v="334"/>
    <x v="107"/>
    <x v="432"/>
    <x v="499"/>
    <x v="1089"/>
    <x v="1086"/>
    <x v="1065"/>
    <x v="0"/>
    <x v="1081"/>
    <x v="1089"/>
    <x v="546"/>
    <x v="0"/>
    <x v="0"/>
    <x v="4"/>
    <x v="91"/>
    <x v="25"/>
    <x v="291"/>
    <x v="22"/>
    <x v="1"/>
    <x v="103"/>
  </r>
  <r>
    <x v="0"/>
    <x v="500"/>
    <x v="385"/>
    <x v="70"/>
    <x v="78"/>
    <x v="363"/>
    <x v="18"/>
    <x v="4"/>
    <x v="238"/>
    <x v="454"/>
    <x v="755"/>
    <x v="889"/>
    <x v="1090"/>
    <x v="1087"/>
    <x v="1066"/>
    <x v="0"/>
    <x v="1082"/>
    <x v="1090"/>
    <x v="666"/>
    <x v="0"/>
    <x v="0"/>
    <x v="10"/>
    <x v="139"/>
    <x v="38"/>
    <x v="453"/>
    <x v="13"/>
    <x v="3"/>
    <x v="1"/>
  </r>
  <r>
    <x v="0"/>
    <x v="401"/>
    <x v="160"/>
    <x v="54"/>
    <x v="38"/>
    <x v="23"/>
    <x v="21"/>
    <x v="1050"/>
    <x v="401"/>
    <x v="162"/>
    <x v="229"/>
    <x v="245"/>
    <x v="1091"/>
    <x v="1088"/>
    <x v="1067"/>
    <x v="1"/>
    <x v="1083"/>
    <x v="1091"/>
    <x v="173"/>
    <x v="0"/>
    <x v="0"/>
    <x v="2"/>
    <x v="91"/>
    <x v="12"/>
    <x v="135"/>
    <x v="23"/>
    <x v="1"/>
    <x v="217"/>
  </r>
  <r>
    <x v="0"/>
    <x v="501"/>
    <x v="109"/>
    <x v="56"/>
    <x v="19"/>
    <x v="512"/>
    <x v="2"/>
    <x v="1051"/>
    <x v="145"/>
    <x v="336"/>
    <x v="756"/>
    <x v="769"/>
    <x v="1092"/>
    <x v="1089"/>
    <x v="1068"/>
    <x v="0"/>
    <x v="1084"/>
    <x v="1092"/>
    <x v="667"/>
    <x v="0"/>
    <x v="0"/>
    <x v="2"/>
    <x v="95"/>
    <x v="12"/>
    <x v="12"/>
    <x v="2"/>
    <x v="1"/>
    <x v="7"/>
  </r>
  <r>
    <x v="0"/>
    <x v="502"/>
    <x v="349"/>
    <x v="41"/>
    <x v="47"/>
    <x v="559"/>
    <x v="0"/>
    <x v="1052"/>
    <x v="204"/>
    <x v="455"/>
    <x v="757"/>
    <x v="890"/>
    <x v="1093"/>
    <x v="1090"/>
    <x v="1069"/>
    <x v="1"/>
    <x v="1085"/>
    <x v="1093"/>
    <x v="552"/>
    <x v="0"/>
    <x v="0"/>
    <x v="2"/>
    <x v="140"/>
    <x v="14"/>
    <x v="454"/>
    <x v="44"/>
    <x v="1"/>
    <x v="141"/>
  </r>
  <r>
    <x v="0"/>
    <x v="503"/>
    <x v="405"/>
    <x v="50"/>
    <x v="256"/>
    <x v="290"/>
    <x v="21"/>
    <x v="1053"/>
    <x v="179"/>
    <x v="174"/>
    <x v="758"/>
    <x v="891"/>
    <x v="1094"/>
    <x v="1091"/>
    <x v="1070"/>
    <x v="1"/>
    <x v="1086"/>
    <x v="1094"/>
    <x v="217"/>
    <x v="0"/>
    <x v="10"/>
    <x v="4"/>
    <x v="91"/>
    <x v="1"/>
    <x v="455"/>
    <x v="22"/>
    <x v="1"/>
    <x v="1"/>
  </r>
  <r>
    <x v="0"/>
    <x v="158"/>
    <x v="247"/>
    <x v="85"/>
    <x v="115"/>
    <x v="560"/>
    <x v="104"/>
    <x v="1054"/>
    <x v="127"/>
    <x v="195"/>
    <x v="288"/>
    <x v="892"/>
    <x v="1095"/>
    <x v="1092"/>
    <x v="1071"/>
    <x v="0"/>
    <x v="1087"/>
    <x v="1095"/>
    <x v="335"/>
    <x v="0"/>
    <x v="0"/>
    <x v="0"/>
    <x v="88"/>
    <x v="11"/>
    <x v="6"/>
    <x v="12"/>
    <x v="3"/>
    <x v="85"/>
  </r>
  <r>
    <x v="0"/>
    <x v="402"/>
    <x v="414"/>
    <x v="52"/>
    <x v="226"/>
    <x v="561"/>
    <x v="0"/>
    <x v="1055"/>
    <x v="371"/>
    <x v="285"/>
    <x v="526"/>
    <x v="893"/>
    <x v="1096"/>
    <x v="1093"/>
    <x v="1072"/>
    <x v="1"/>
    <x v="1088"/>
    <x v="1096"/>
    <x v="392"/>
    <x v="0"/>
    <x v="0"/>
    <x v="0"/>
    <x v="91"/>
    <x v="7"/>
    <x v="344"/>
    <x v="21"/>
    <x v="1"/>
    <x v="1"/>
  </r>
  <r>
    <x v="0"/>
    <x v="424"/>
    <x v="372"/>
    <x v="70"/>
    <x v="231"/>
    <x v="519"/>
    <x v="2"/>
    <x v="1056"/>
    <x v="263"/>
    <x v="209"/>
    <x v="759"/>
    <x v="894"/>
    <x v="1097"/>
    <x v="1094"/>
    <x v="1073"/>
    <x v="1"/>
    <x v="1089"/>
    <x v="1097"/>
    <x v="212"/>
    <x v="0"/>
    <x v="0"/>
    <x v="0"/>
    <x v="91"/>
    <x v="24"/>
    <x v="456"/>
    <x v="22"/>
    <x v="1"/>
    <x v="1"/>
  </r>
  <r>
    <x v="0"/>
    <x v="189"/>
    <x v="429"/>
    <x v="45"/>
    <x v="0"/>
    <x v="408"/>
    <x v="0"/>
    <x v="1057"/>
    <x v="402"/>
    <x v="250"/>
    <x v="760"/>
    <x v="591"/>
    <x v="1098"/>
    <x v="1095"/>
    <x v="1074"/>
    <x v="1"/>
    <x v="1090"/>
    <x v="1098"/>
    <x v="637"/>
    <x v="0"/>
    <x v="0"/>
    <x v="2"/>
    <x v="91"/>
    <x v="16"/>
    <x v="282"/>
    <x v="18"/>
    <x v="3"/>
    <x v="1"/>
  </r>
  <r>
    <x v="1"/>
    <x v="78"/>
    <x v="124"/>
    <x v="8"/>
    <x v="0"/>
    <x v="562"/>
    <x v="248"/>
    <x v="1058"/>
    <x v="168"/>
    <x v="456"/>
    <x v="761"/>
    <x v="895"/>
    <x v="1099"/>
    <x v="1096"/>
    <x v="1075"/>
    <x v="2"/>
    <x v="1091"/>
    <x v="1099"/>
    <x v="286"/>
    <x v="0"/>
    <x v="0"/>
    <x v="4"/>
    <x v="91"/>
    <x v="3"/>
    <x v="457"/>
    <x v="12"/>
    <x v="1"/>
    <x v="82"/>
  </r>
  <r>
    <x v="0"/>
    <x v="504"/>
    <x v="238"/>
    <x v="50"/>
    <x v="101"/>
    <x v="563"/>
    <x v="249"/>
    <x v="1059"/>
    <x v="23"/>
    <x v="457"/>
    <x v="762"/>
    <x v="896"/>
    <x v="1100"/>
    <x v="1097"/>
    <x v="1076"/>
    <x v="1"/>
    <x v="1092"/>
    <x v="1100"/>
    <x v="668"/>
    <x v="0"/>
    <x v="0"/>
    <x v="0"/>
    <x v="131"/>
    <x v="14"/>
    <x v="14"/>
    <x v="12"/>
    <x v="1"/>
    <x v="43"/>
  </r>
  <r>
    <x v="0"/>
    <x v="505"/>
    <x v="270"/>
    <x v="101"/>
    <x v="195"/>
    <x v="564"/>
    <x v="250"/>
    <x v="1060"/>
    <x v="121"/>
    <x v="458"/>
    <x v="763"/>
    <x v="897"/>
    <x v="1101"/>
    <x v="1098"/>
    <x v="1077"/>
    <x v="1"/>
    <x v="1093"/>
    <x v="1101"/>
    <x v="269"/>
    <x v="0"/>
    <x v="1"/>
    <x v="2"/>
    <x v="82"/>
    <x v="17"/>
    <x v="458"/>
    <x v="9"/>
    <x v="3"/>
    <x v="43"/>
  </r>
  <r>
    <x v="0"/>
    <x v="506"/>
    <x v="353"/>
    <x v="76"/>
    <x v="193"/>
    <x v="141"/>
    <x v="25"/>
    <x v="1061"/>
    <x v="21"/>
    <x v="76"/>
    <x v="608"/>
    <x v="898"/>
    <x v="1102"/>
    <x v="1099"/>
    <x v="1078"/>
    <x v="1"/>
    <x v="1094"/>
    <x v="1102"/>
    <x v="640"/>
    <x v="0"/>
    <x v="0"/>
    <x v="2"/>
    <x v="95"/>
    <x v="7"/>
    <x v="6"/>
    <x v="18"/>
    <x v="3"/>
    <x v="218"/>
  </r>
  <r>
    <x v="0"/>
    <x v="507"/>
    <x v="235"/>
    <x v="114"/>
    <x v="0"/>
    <x v="184"/>
    <x v="251"/>
    <x v="1062"/>
    <x v="5"/>
    <x v="459"/>
    <x v="764"/>
    <x v="899"/>
    <x v="1103"/>
    <x v="1100"/>
    <x v="1079"/>
    <x v="3"/>
    <x v="1095"/>
    <x v="1103"/>
    <x v="544"/>
    <x v="0"/>
    <x v="0"/>
    <x v="0"/>
    <x v="88"/>
    <x v="31"/>
    <x v="459"/>
    <x v="4"/>
    <x v="1"/>
    <x v="59"/>
  </r>
  <r>
    <x v="0"/>
    <x v="508"/>
    <x v="150"/>
    <x v="82"/>
    <x v="152"/>
    <x v="203"/>
    <x v="15"/>
    <x v="1063"/>
    <x v="403"/>
    <x v="460"/>
    <x v="765"/>
    <x v="900"/>
    <x v="1104"/>
    <x v="1101"/>
    <x v="1080"/>
    <x v="0"/>
    <x v="1096"/>
    <x v="1104"/>
    <x v="279"/>
    <x v="0"/>
    <x v="0"/>
    <x v="0"/>
    <x v="91"/>
    <x v="1"/>
    <x v="198"/>
    <x v="38"/>
    <x v="1"/>
    <x v="57"/>
  </r>
  <r>
    <x v="0"/>
    <x v="2"/>
    <x v="108"/>
    <x v="73"/>
    <x v="0"/>
    <x v="9"/>
    <x v="19"/>
    <x v="1064"/>
    <x v="17"/>
    <x v="20"/>
    <x v="23"/>
    <x v="901"/>
    <x v="1105"/>
    <x v="1102"/>
    <x v="1081"/>
    <x v="0"/>
    <x v="1097"/>
    <x v="1105"/>
    <x v="215"/>
    <x v="0"/>
    <x v="0"/>
    <x v="4"/>
    <x v="82"/>
    <x v="8"/>
    <x v="20"/>
    <x v="11"/>
    <x v="1"/>
    <x v="1"/>
  </r>
  <r>
    <x v="0"/>
    <x v="105"/>
    <x v="253"/>
    <x v="58"/>
    <x v="83"/>
    <x v="537"/>
    <x v="57"/>
    <x v="1065"/>
    <x v="28"/>
    <x v="99"/>
    <x v="766"/>
    <x v="902"/>
    <x v="1106"/>
    <x v="1103"/>
    <x v="1082"/>
    <x v="4"/>
    <x v="1098"/>
    <x v="1106"/>
    <x v="669"/>
    <x v="0"/>
    <x v="8"/>
    <x v="0"/>
    <x v="89"/>
    <x v="7"/>
    <x v="140"/>
    <x v="4"/>
    <x v="1"/>
    <x v="1"/>
  </r>
  <r>
    <x v="0"/>
    <x v="509"/>
    <x v="328"/>
    <x v="59"/>
    <x v="257"/>
    <x v="565"/>
    <x v="21"/>
    <x v="1066"/>
    <x v="18"/>
    <x v="127"/>
    <x v="767"/>
    <x v="903"/>
    <x v="1107"/>
    <x v="1104"/>
    <x v="1083"/>
    <x v="0"/>
    <x v="1099"/>
    <x v="1107"/>
    <x v="178"/>
    <x v="0"/>
    <x v="10"/>
    <x v="0"/>
    <x v="80"/>
    <x v="8"/>
    <x v="431"/>
    <x v="23"/>
    <x v="1"/>
    <x v="1"/>
  </r>
  <r>
    <x v="0"/>
    <x v="510"/>
    <x v="347"/>
    <x v="43"/>
    <x v="195"/>
    <x v="109"/>
    <x v="35"/>
    <x v="1067"/>
    <x v="281"/>
    <x v="461"/>
    <x v="768"/>
    <x v="904"/>
    <x v="1108"/>
    <x v="1105"/>
    <x v="1084"/>
    <x v="1"/>
    <x v="1100"/>
    <x v="1108"/>
    <x v="670"/>
    <x v="0"/>
    <x v="0"/>
    <x v="4"/>
    <x v="91"/>
    <x v="25"/>
    <x v="460"/>
    <x v="43"/>
    <x v="3"/>
    <x v="219"/>
  </r>
  <r>
    <x v="0"/>
    <x v="370"/>
    <x v="425"/>
    <x v="85"/>
    <x v="201"/>
    <x v="428"/>
    <x v="252"/>
    <x v="1068"/>
    <x v="194"/>
    <x v="462"/>
    <x v="769"/>
    <x v="905"/>
    <x v="1109"/>
    <x v="1106"/>
    <x v="1085"/>
    <x v="0"/>
    <x v="1101"/>
    <x v="1109"/>
    <x v="671"/>
    <x v="0"/>
    <x v="0"/>
    <x v="0"/>
    <x v="91"/>
    <x v="25"/>
    <x v="461"/>
    <x v="19"/>
    <x v="1"/>
    <x v="1"/>
  </r>
  <r>
    <x v="0"/>
    <x v="511"/>
    <x v="249"/>
    <x v="107"/>
    <x v="89"/>
    <x v="327"/>
    <x v="0"/>
    <x v="1069"/>
    <x v="404"/>
    <x v="463"/>
    <x v="770"/>
    <x v="441"/>
    <x v="1110"/>
    <x v="1107"/>
    <x v="1086"/>
    <x v="3"/>
    <x v="1102"/>
    <x v="1110"/>
    <x v="650"/>
    <x v="0"/>
    <x v="0"/>
    <x v="2"/>
    <x v="91"/>
    <x v="0"/>
    <x v="122"/>
    <x v="28"/>
    <x v="3"/>
    <x v="220"/>
  </r>
  <r>
    <x v="0"/>
    <x v="512"/>
    <x v="322"/>
    <x v="23"/>
    <x v="0"/>
    <x v="566"/>
    <x v="253"/>
    <x v="1070"/>
    <x v="171"/>
    <x v="464"/>
    <x v="771"/>
    <x v="906"/>
    <x v="1111"/>
    <x v="1108"/>
    <x v="1087"/>
    <x v="0"/>
    <x v="1103"/>
    <x v="1111"/>
    <x v="672"/>
    <x v="0"/>
    <x v="0"/>
    <x v="4"/>
    <x v="91"/>
    <x v="18"/>
    <x v="462"/>
    <x v="2"/>
    <x v="1"/>
    <x v="1"/>
  </r>
  <r>
    <x v="0"/>
    <x v="513"/>
    <x v="188"/>
    <x v="90"/>
    <x v="47"/>
    <x v="10"/>
    <x v="2"/>
    <x v="1071"/>
    <x v="405"/>
    <x v="172"/>
    <x v="229"/>
    <x v="907"/>
    <x v="1112"/>
    <x v="1109"/>
    <x v="1088"/>
    <x v="3"/>
    <x v="1104"/>
    <x v="1112"/>
    <x v="673"/>
    <x v="0"/>
    <x v="0"/>
    <x v="0"/>
    <x v="91"/>
    <x v="12"/>
    <x v="135"/>
    <x v="21"/>
    <x v="1"/>
    <x v="1"/>
  </r>
  <r>
    <x v="0"/>
    <x v="232"/>
    <x v="135"/>
    <x v="54"/>
    <x v="47"/>
    <x v="280"/>
    <x v="118"/>
    <x v="411"/>
    <x v="46"/>
    <x v="222"/>
    <x v="324"/>
    <x v="366"/>
    <x v="422"/>
    <x v="1110"/>
    <x v="416"/>
    <x v="0"/>
    <x v="418"/>
    <x v="422"/>
    <x v="374"/>
    <x v="0"/>
    <x v="1"/>
    <x v="4"/>
    <x v="82"/>
    <x v="3"/>
    <x v="126"/>
    <x v="1"/>
    <x v="1"/>
    <x v="34"/>
  </r>
  <r>
    <x v="0"/>
    <x v="514"/>
    <x v="370"/>
    <x v="7"/>
    <x v="80"/>
    <x v="421"/>
    <x v="0"/>
    <x v="1072"/>
    <x v="190"/>
    <x v="154"/>
    <x v="772"/>
    <x v="908"/>
    <x v="1113"/>
    <x v="1111"/>
    <x v="1084"/>
    <x v="0"/>
    <x v="1105"/>
    <x v="1113"/>
    <x v="627"/>
    <x v="0"/>
    <x v="5"/>
    <x v="2"/>
    <x v="91"/>
    <x v="25"/>
    <x v="237"/>
    <x v="41"/>
    <x v="1"/>
    <x v="1"/>
  </r>
  <r>
    <x v="0"/>
    <x v="515"/>
    <x v="69"/>
    <x v="129"/>
    <x v="0"/>
    <x v="268"/>
    <x v="57"/>
    <x v="1073"/>
    <x v="304"/>
    <x v="109"/>
    <x v="773"/>
    <x v="347"/>
    <x v="1114"/>
    <x v="1112"/>
    <x v="1089"/>
    <x v="4"/>
    <x v="1106"/>
    <x v="1114"/>
    <x v="562"/>
    <x v="0"/>
    <x v="0"/>
    <x v="0"/>
    <x v="120"/>
    <x v="21"/>
    <x v="292"/>
    <x v="27"/>
    <x v="1"/>
    <x v="221"/>
  </r>
  <r>
    <x v="1"/>
    <x v="78"/>
    <x v="383"/>
    <x v="120"/>
    <x v="0"/>
    <x v="296"/>
    <x v="25"/>
    <x v="1074"/>
    <x v="406"/>
    <x v="82"/>
    <x v="724"/>
    <x v="390"/>
    <x v="1115"/>
    <x v="1113"/>
    <x v="1090"/>
    <x v="0"/>
    <x v="1107"/>
    <x v="1115"/>
    <x v="290"/>
    <x v="0"/>
    <x v="0"/>
    <x v="4"/>
    <x v="95"/>
    <x v="16"/>
    <x v="1"/>
    <x v="1"/>
    <x v="1"/>
    <x v="202"/>
  </r>
  <r>
    <x v="0"/>
    <x v="335"/>
    <x v="22"/>
    <x v="57"/>
    <x v="67"/>
    <x v="561"/>
    <x v="179"/>
    <x v="1075"/>
    <x v="60"/>
    <x v="338"/>
    <x v="774"/>
    <x v="893"/>
    <x v="1116"/>
    <x v="1114"/>
    <x v="1091"/>
    <x v="4"/>
    <x v="1108"/>
    <x v="1116"/>
    <x v="674"/>
    <x v="0"/>
    <x v="10"/>
    <x v="0"/>
    <x v="91"/>
    <x v="5"/>
    <x v="88"/>
    <x v="13"/>
    <x v="1"/>
    <x v="61"/>
  </r>
  <r>
    <x v="0"/>
    <x v="54"/>
    <x v="257"/>
    <x v="11"/>
    <x v="39"/>
    <x v="0"/>
    <x v="22"/>
    <x v="1076"/>
    <x v="274"/>
    <x v="153"/>
    <x v="88"/>
    <x v="0"/>
    <x v="1117"/>
    <x v="1115"/>
    <x v="1092"/>
    <x v="0"/>
    <x v="1109"/>
    <x v="1117"/>
    <x v="155"/>
    <x v="0"/>
    <x v="0"/>
    <x v="4"/>
    <x v="91"/>
    <x v="20"/>
    <x v="30"/>
    <x v="19"/>
    <x v="1"/>
    <x v="1"/>
  </r>
  <r>
    <x v="0"/>
    <x v="437"/>
    <x v="287"/>
    <x v="130"/>
    <x v="0"/>
    <x v="99"/>
    <x v="29"/>
    <x v="1077"/>
    <x v="407"/>
    <x v="58"/>
    <x v="775"/>
    <x v="909"/>
    <x v="1118"/>
    <x v="1116"/>
    <x v="1093"/>
    <x v="0"/>
    <x v="1110"/>
    <x v="1118"/>
    <x v="417"/>
    <x v="0"/>
    <x v="0"/>
    <x v="4"/>
    <x v="91"/>
    <x v="8"/>
    <x v="30"/>
    <x v="19"/>
    <x v="1"/>
    <x v="1"/>
  </r>
  <r>
    <x v="0"/>
    <x v="187"/>
    <x v="357"/>
    <x v="37"/>
    <x v="133"/>
    <x v="567"/>
    <x v="113"/>
    <x v="1078"/>
    <x v="17"/>
    <x v="214"/>
    <x v="776"/>
    <x v="910"/>
    <x v="1119"/>
    <x v="1117"/>
    <x v="1094"/>
    <x v="4"/>
    <x v="1111"/>
    <x v="1119"/>
    <x v="453"/>
    <x v="4"/>
    <x v="9"/>
    <x v="4"/>
    <x v="91"/>
    <x v="7"/>
    <x v="394"/>
    <x v="15"/>
    <x v="1"/>
    <x v="1"/>
  </r>
  <r>
    <x v="0"/>
    <x v="516"/>
    <x v="211"/>
    <x v="77"/>
    <x v="5"/>
    <x v="568"/>
    <x v="25"/>
    <x v="1079"/>
    <x v="23"/>
    <x v="76"/>
    <x v="777"/>
    <x v="911"/>
    <x v="1120"/>
    <x v="1118"/>
    <x v="1095"/>
    <x v="1"/>
    <x v="1112"/>
    <x v="1120"/>
    <x v="142"/>
    <x v="0"/>
    <x v="0"/>
    <x v="4"/>
    <x v="88"/>
    <x v="8"/>
    <x v="463"/>
    <x v="28"/>
    <x v="3"/>
    <x v="1"/>
  </r>
  <r>
    <x v="0"/>
    <x v="15"/>
    <x v="314"/>
    <x v="112"/>
    <x v="10"/>
    <x v="569"/>
    <x v="2"/>
    <x v="1080"/>
    <x v="408"/>
    <x v="336"/>
    <x v="387"/>
    <x v="912"/>
    <x v="1121"/>
    <x v="1119"/>
    <x v="1096"/>
    <x v="4"/>
    <x v="1113"/>
    <x v="1121"/>
    <x v="139"/>
    <x v="0"/>
    <x v="0"/>
    <x v="0"/>
    <x v="88"/>
    <x v="19"/>
    <x v="30"/>
    <x v="12"/>
    <x v="3"/>
    <x v="151"/>
  </r>
  <r>
    <x v="0"/>
    <x v="36"/>
    <x v="389"/>
    <x v="106"/>
    <x v="26"/>
    <x v="570"/>
    <x v="254"/>
    <x v="1081"/>
    <x v="17"/>
    <x v="465"/>
    <x v="778"/>
    <x v="913"/>
    <x v="1122"/>
    <x v="1120"/>
    <x v="1097"/>
    <x v="0"/>
    <x v="1114"/>
    <x v="1122"/>
    <x v="231"/>
    <x v="0"/>
    <x v="0"/>
    <x v="4"/>
    <x v="91"/>
    <x v="1"/>
    <x v="464"/>
    <x v="21"/>
    <x v="1"/>
    <x v="1"/>
  </r>
  <r>
    <x v="0"/>
    <x v="113"/>
    <x v="430"/>
    <x v="131"/>
    <x v="88"/>
    <x v="571"/>
    <x v="255"/>
    <x v="4"/>
    <x v="409"/>
    <x v="466"/>
    <x v="779"/>
    <x v="914"/>
    <x v="1123"/>
    <x v="1121"/>
    <x v="1098"/>
    <x v="12"/>
    <x v="1115"/>
    <x v="1123"/>
    <x v="637"/>
    <x v="3"/>
    <x v="10"/>
    <x v="7"/>
    <x v="4"/>
    <x v="4"/>
    <x v="465"/>
    <x v="24"/>
    <x v="12"/>
    <x v="16"/>
  </r>
  <r>
    <x v="0"/>
    <x v="517"/>
    <x v="431"/>
    <x v="33"/>
    <x v="258"/>
    <x v="308"/>
    <x v="256"/>
    <x v="1082"/>
    <x v="3"/>
    <x v="467"/>
    <x v="738"/>
    <x v="406"/>
    <x v="1124"/>
    <x v="1122"/>
    <x v="1099"/>
    <x v="4"/>
    <x v="1116"/>
    <x v="1124"/>
    <x v="540"/>
    <x v="0"/>
    <x v="0"/>
    <x v="4"/>
    <x v="91"/>
    <x v="13"/>
    <x v="443"/>
    <x v="41"/>
    <x v="1"/>
    <x v="222"/>
  </r>
  <r>
    <x v="0"/>
    <x v="518"/>
    <x v="194"/>
    <x v="59"/>
    <x v="211"/>
    <x v="342"/>
    <x v="257"/>
    <x v="1083"/>
    <x v="100"/>
    <x v="468"/>
    <x v="780"/>
    <x v="915"/>
    <x v="1125"/>
    <x v="1123"/>
    <x v="1100"/>
    <x v="1"/>
    <x v="1117"/>
    <x v="1125"/>
    <x v="593"/>
    <x v="0"/>
    <x v="0"/>
    <x v="2"/>
    <x v="91"/>
    <x v="10"/>
    <x v="466"/>
    <x v="22"/>
    <x v="1"/>
    <x v="16"/>
  </r>
  <r>
    <x v="0"/>
    <x v="519"/>
    <x v="329"/>
    <x v="43"/>
    <x v="31"/>
    <x v="572"/>
    <x v="136"/>
    <x v="4"/>
    <x v="410"/>
    <x v="254"/>
    <x v="781"/>
    <x v="916"/>
    <x v="1126"/>
    <x v="1124"/>
    <x v="745"/>
    <x v="0"/>
    <x v="1118"/>
    <x v="1126"/>
    <x v="421"/>
    <x v="0"/>
    <x v="0"/>
    <x v="2"/>
    <x v="48"/>
    <x v="3"/>
    <x v="467"/>
    <x v="60"/>
    <x v="2"/>
    <x v="1"/>
  </r>
  <r>
    <x v="0"/>
    <x v="520"/>
    <x v="432"/>
    <x v="29"/>
    <x v="0"/>
    <x v="473"/>
    <x v="0"/>
    <x v="1084"/>
    <x v="411"/>
    <x v="469"/>
    <x v="782"/>
    <x v="697"/>
    <x v="1127"/>
    <x v="1125"/>
    <x v="274"/>
    <x v="1"/>
    <x v="1119"/>
    <x v="1127"/>
    <x v="232"/>
    <x v="0"/>
    <x v="0"/>
    <x v="4"/>
    <x v="141"/>
    <x v="3"/>
    <x v="211"/>
    <x v="16"/>
    <x v="1"/>
    <x v="47"/>
  </r>
  <r>
    <x v="0"/>
    <x v="226"/>
    <x v="323"/>
    <x v="29"/>
    <x v="154"/>
    <x v="157"/>
    <x v="2"/>
    <x v="1085"/>
    <x v="412"/>
    <x v="42"/>
    <x v="783"/>
    <x v="193"/>
    <x v="1128"/>
    <x v="1126"/>
    <x v="1101"/>
    <x v="1"/>
    <x v="1120"/>
    <x v="1128"/>
    <x v="354"/>
    <x v="0"/>
    <x v="0"/>
    <x v="0"/>
    <x v="87"/>
    <x v="27"/>
    <x v="30"/>
    <x v="6"/>
    <x v="3"/>
    <x v="1"/>
  </r>
  <r>
    <x v="0"/>
    <x v="279"/>
    <x v="331"/>
    <x v="47"/>
    <x v="183"/>
    <x v="573"/>
    <x v="11"/>
    <x v="1086"/>
    <x v="106"/>
    <x v="69"/>
    <x v="357"/>
    <x v="917"/>
    <x v="1129"/>
    <x v="1127"/>
    <x v="1102"/>
    <x v="1"/>
    <x v="1121"/>
    <x v="1129"/>
    <x v="675"/>
    <x v="0"/>
    <x v="0"/>
    <x v="0"/>
    <x v="88"/>
    <x v="5"/>
    <x v="30"/>
    <x v="34"/>
    <x v="1"/>
    <x v="1"/>
  </r>
  <r>
    <x v="1"/>
    <x v="277"/>
    <x v="345"/>
    <x v="21"/>
    <x v="181"/>
    <x v="574"/>
    <x v="13"/>
    <x v="1087"/>
    <x v="168"/>
    <x v="158"/>
    <x v="40"/>
    <x v="918"/>
    <x v="1130"/>
    <x v="1128"/>
    <x v="1103"/>
    <x v="3"/>
    <x v="1122"/>
    <x v="1130"/>
    <x v="545"/>
    <x v="0"/>
    <x v="0"/>
    <x v="4"/>
    <x v="87"/>
    <x v="25"/>
    <x v="6"/>
    <x v="7"/>
    <x v="1"/>
    <x v="1"/>
  </r>
  <r>
    <x v="0"/>
    <x v="517"/>
    <x v="368"/>
    <x v="45"/>
    <x v="258"/>
    <x v="405"/>
    <x v="57"/>
    <x v="1088"/>
    <x v="333"/>
    <x v="237"/>
    <x v="784"/>
    <x v="919"/>
    <x v="1131"/>
    <x v="1129"/>
    <x v="1104"/>
    <x v="0"/>
    <x v="1123"/>
    <x v="1131"/>
    <x v="287"/>
    <x v="0"/>
    <x v="0"/>
    <x v="4"/>
    <x v="87"/>
    <x v="39"/>
    <x v="468"/>
    <x v="21"/>
    <x v="1"/>
    <x v="1"/>
  </r>
  <r>
    <x v="0"/>
    <x v="521"/>
    <x v="419"/>
    <x v="34"/>
    <x v="89"/>
    <x v="575"/>
    <x v="29"/>
    <x v="1089"/>
    <x v="306"/>
    <x v="58"/>
    <x v="673"/>
    <x v="920"/>
    <x v="1132"/>
    <x v="1130"/>
    <x v="1105"/>
    <x v="1"/>
    <x v="1124"/>
    <x v="1132"/>
    <x v="496"/>
    <x v="0"/>
    <x v="0"/>
    <x v="4"/>
    <x v="87"/>
    <x v="25"/>
    <x v="12"/>
    <x v="23"/>
    <x v="1"/>
    <x v="223"/>
  </r>
  <r>
    <x v="0"/>
    <x v="522"/>
    <x v="353"/>
    <x v="76"/>
    <x v="221"/>
    <x v="183"/>
    <x v="0"/>
    <x v="1090"/>
    <x v="413"/>
    <x v="470"/>
    <x v="785"/>
    <x v="921"/>
    <x v="1133"/>
    <x v="1131"/>
    <x v="1106"/>
    <x v="0"/>
    <x v="1125"/>
    <x v="1133"/>
    <x v="568"/>
    <x v="0"/>
    <x v="0"/>
    <x v="11"/>
    <x v="142"/>
    <x v="40"/>
    <x v="248"/>
    <x v="7"/>
    <x v="15"/>
    <x v="1"/>
  </r>
  <r>
    <x v="0"/>
    <x v="523"/>
    <x v="182"/>
    <x v="132"/>
    <x v="259"/>
    <x v="576"/>
    <x v="25"/>
    <x v="1091"/>
    <x v="414"/>
    <x v="30"/>
    <x v="786"/>
    <x v="922"/>
    <x v="1134"/>
    <x v="1132"/>
    <x v="1107"/>
    <x v="0"/>
    <x v="1126"/>
    <x v="1134"/>
    <x v="483"/>
    <x v="0"/>
    <x v="0"/>
    <x v="4"/>
    <x v="87"/>
    <x v="35"/>
    <x v="469"/>
    <x v="2"/>
    <x v="1"/>
    <x v="103"/>
  </r>
  <r>
    <x v="0"/>
    <x v="157"/>
    <x v="278"/>
    <x v="58"/>
    <x v="92"/>
    <x v="397"/>
    <x v="207"/>
    <x v="1092"/>
    <x v="20"/>
    <x v="389"/>
    <x v="419"/>
    <x v="923"/>
    <x v="1135"/>
    <x v="1133"/>
    <x v="1108"/>
    <x v="1"/>
    <x v="1127"/>
    <x v="1135"/>
    <x v="676"/>
    <x v="0"/>
    <x v="0"/>
    <x v="4"/>
    <x v="95"/>
    <x v="7"/>
    <x v="282"/>
    <x v="2"/>
    <x v="1"/>
    <x v="1"/>
  </r>
  <r>
    <x v="0"/>
    <x v="524"/>
    <x v="171"/>
    <x v="47"/>
    <x v="249"/>
    <x v="489"/>
    <x v="2"/>
    <x v="1093"/>
    <x v="251"/>
    <x v="113"/>
    <x v="589"/>
    <x v="924"/>
    <x v="1136"/>
    <x v="1134"/>
    <x v="1109"/>
    <x v="4"/>
    <x v="1128"/>
    <x v="1136"/>
    <x v="552"/>
    <x v="0"/>
    <x v="0"/>
    <x v="0"/>
    <x v="88"/>
    <x v="2"/>
    <x v="30"/>
    <x v="19"/>
    <x v="1"/>
    <x v="59"/>
  </r>
  <r>
    <x v="0"/>
    <x v="525"/>
    <x v="312"/>
    <x v="16"/>
    <x v="260"/>
    <x v="577"/>
    <x v="112"/>
    <x v="1094"/>
    <x v="270"/>
    <x v="213"/>
    <x v="787"/>
    <x v="925"/>
    <x v="1137"/>
    <x v="1135"/>
    <x v="1110"/>
    <x v="1"/>
    <x v="1129"/>
    <x v="1137"/>
    <x v="209"/>
    <x v="0"/>
    <x v="0"/>
    <x v="0"/>
    <x v="112"/>
    <x v="21"/>
    <x v="89"/>
    <x v="11"/>
    <x v="1"/>
    <x v="1"/>
  </r>
  <r>
    <x v="0"/>
    <x v="292"/>
    <x v="410"/>
    <x v="33"/>
    <x v="50"/>
    <x v="410"/>
    <x v="25"/>
    <x v="1095"/>
    <x v="200"/>
    <x v="26"/>
    <x v="370"/>
    <x v="926"/>
    <x v="1138"/>
    <x v="1136"/>
    <x v="1111"/>
    <x v="1"/>
    <x v="1130"/>
    <x v="1138"/>
    <x v="357"/>
    <x v="0"/>
    <x v="0"/>
    <x v="0"/>
    <x v="112"/>
    <x v="21"/>
    <x v="10"/>
    <x v="19"/>
    <x v="15"/>
    <x v="1"/>
  </r>
  <r>
    <x v="0"/>
    <x v="112"/>
    <x v="325"/>
    <x v="33"/>
    <x v="49"/>
    <x v="265"/>
    <x v="2"/>
    <x v="1096"/>
    <x v="28"/>
    <x v="130"/>
    <x v="711"/>
    <x v="501"/>
    <x v="1139"/>
    <x v="1137"/>
    <x v="1112"/>
    <x v="1"/>
    <x v="1131"/>
    <x v="1139"/>
    <x v="677"/>
    <x v="0"/>
    <x v="10"/>
    <x v="4"/>
    <x v="91"/>
    <x v="12"/>
    <x v="1"/>
    <x v="15"/>
    <x v="1"/>
    <x v="1"/>
  </r>
  <r>
    <x v="0"/>
    <x v="526"/>
    <x v="414"/>
    <x v="78"/>
    <x v="106"/>
    <x v="403"/>
    <x v="258"/>
    <x v="1097"/>
    <x v="127"/>
    <x v="471"/>
    <x v="788"/>
    <x v="927"/>
    <x v="1140"/>
    <x v="1138"/>
    <x v="1113"/>
    <x v="3"/>
    <x v="1132"/>
    <x v="1140"/>
    <x v="478"/>
    <x v="0"/>
    <x v="0"/>
    <x v="4"/>
    <x v="112"/>
    <x v="19"/>
    <x v="470"/>
    <x v="37"/>
    <x v="3"/>
    <x v="1"/>
  </r>
  <r>
    <x v="0"/>
    <x v="207"/>
    <x v="392"/>
    <x v="39"/>
    <x v="90"/>
    <x v="255"/>
    <x v="14"/>
    <x v="1098"/>
    <x v="150"/>
    <x v="56"/>
    <x v="789"/>
    <x v="928"/>
    <x v="1141"/>
    <x v="1139"/>
    <x v="1114"/>
    <x v="0"/>
    <x v="1133"/>
    <x v="1141"/>
    <x v="593"/>
    <x v="0"/>
    <x v="0"/>
    <x v="4"/>
    <x v="114"/>
    <x v="27"/>
    <x v="30"/>
    <x v="2"/>
    <x v="3"/>
    <x v="1"/>
  </r>
  <r>
    <x v="0"/>
    <x v="527"/>
    <x v="338"/>
    <x v="77"/>
    <x v="80"/>
    <x v="250"/>
    <x v="259"/>
    <x v="1099"/>
    <x v="49"/>
    <x v="472"/>
    <x v="790"/>
    <x v="929"/>
    <x v="1142"/>
    <x v="1140"/>
    <x v="1115"/>
    <x v="1"/>
    <x v="1134"/>
    <x v="1142"/>
    <x v="678"/>
    <x v="0"/>
    <x v="0"/>
    <x v="0"/>
    <x v="87"/>
    <x v="5"/>
    <x v="41"/>
    <x v="12"/>
    <x v="1"/>
    <x v="1"/>
  </r>
  <r>
    <x v="0"/>
    <x v="172"/>
    <x v="153"/>
    <x v="41"/>
    <x v="124"/>
    <x v="175"/>
    <x v="8"/>
    <x v="1100"/>
    <x v="23"/>
    <x v="35"/>
    <x v="132"/>
    <x v="221"/>
    <x v="1143"/>
    <x v="1141"/>
    <x v="1116"/>
    <x v="0"/>
    <x v="1135"/>
    <x v="1143"/>
    <x v="339"/>
    <x v="0"/>
    <x v="0"/>
    <x v="4"/>
    <x v="88"/>
    <x v="10"/>
    <x v="27"/>
    <x v="4"/>
    <x v="1"/>
    <x v="37"/>
  </r>
  <r>
    <x v="0"/>
    <x v="201"/>
    <x v="9"/>
    <x v="56"/>
    <x v="142"/>
    <x v="465"/>
    <x v="30"/>
    <x v="1101"/>
    <x v="132"/>
    <x v="50"/>
    <x v="791"/>
    <x v="687"/>
    <x v="1144"/>
    <x v="1142"/>
    <x v="1117"/>
    <x v="4"/>
    <x v="1136"/>
    <x v="1144"/>
    <x v="55"/>
    <x v="0"/>
    <x v="0"/>
    <x v="4"/>
    <x v="114"/>
    <x v="3"/>
    <x v="251"/>
    <x v="13"/>
    <x v="1"/>
    <x v="36"/>
  </r>
  <r>
    <x v="0"/>
    <x v="498"/>
    <x v="322"/>
    <x v="23"/>
    <x v="59"/>
    <x v="309"/>
    <x v="94"/>
    <x v="1102"/>
    <x v="105"/>
    <x v="218"/>
    <x v="792"/>
    <x v="930"/>
    <x v="1145"/>
    <x v="1143"/>
    <x v="1118"/>
    <x v="1"/>
    <x v="1137"/>
    <x v="1145"/>
    <x v="515"/>
    <x v="0"/>
    <x v="1"/>
    <x v="0"/>
    <x v="114"/>
    <x v="15"/>
    <x v="227"/>
    <x v="15"/>
    <x v="1"/>
    <x v="59"/>
  </r>
  <r>
    <x v="0"/>
    <x v="412"/>
    <x v="94"/>
    <x v="95"/>
    <x v="159"/>
    <x v="445"/>
    <x v="260"/>
    <x v="1103"/>
    <x v="61"/>
    <x v="473"/>
    <x v="793"/>
    <x v="931"/>
    <x v="1146"/>
    <x v="1144"/>
    <x v="1119"/>
    <x v="0"/>
    <x v="1138"/>
    <x v="1146"/>
    <x v="583"/>
    <x v="0"/>
    <x v="1"/>
    <x v="3"/>
    <x v="91"/>
    <x v="21"/>
    <x v="445"/>
    <x v="15"/>
    <x v="3"/>
    <x v="1"/>
  </r>
  <r>
    <x v="0"/>
    <x v="528"/>
    <x v="339"/>
    <x v="78"/>
    <x v="195"/>
    <x v="473"/>
    <x v="13"/>
    <x v="1104"/>
    <x v="127"/>
    <x v="93"/>
    <x v="794"/>
    <x v="932"/>
    <x v="1147"/>
    <x v="1145"/>
    <x v="1120"/>
    <x v="1"/>
    <x v="1139"/>
    <x v="1147"/>
    <x v="679"/>
    <x v="0"/>
    <x v="0"/>
    <x v="0"/>
    <x v="114"/>
    <x v="14"/>
    <x v="425"/>
    <x v="18"/>
    <x v="3"/>
    <x v="1"/>
  </r>
  <r>
    <x v="0"/>
    <x v="529"/>
    <x v="152"/>
    <x v="85"/>
    <x v="233"/>
    <x v="578"/>
    <x v="253"/>
    <x v="1105"/>
    <x v="105"/>
    <x v="474"/>
    <x v="795"/>
    <x v="933"/>
    <x v="1148"/>
    <x v="1146"/>
    <x v="1121"/>
    <x v="1"/>
    <x v="1140"/>
    <x v="1148"/>
    <x v="540"/>
    <x v="0"/>
    <x v="0"/>
    <x v="4"/>
    <x v="88"/>
    <x v="29"/>
    <x v="108"/>
    <x v="28"/>
    <x v="3"/>
    <x v="1"/>
  </r>
  <r>
    <x v="0"/>
    <x v="99"/>
    <x v="433"/>
    <x v="32"/>
    <x v="77"/>
    <x v="579"/>
    <x v="43"/>
    <x v="1106"/>
    <x v="132"/>
    <x v="311"/>
    <x v="796"/>
    <x v="934"/>
    <x v="1149"/>
    <x v="1147"/>
    <x v="1122"/>
    <x v="6"/>
    <x v="1141"/>
    <x v="1149"/>
    <x v="328"/>
    <x v="0"/>
    <x v="0"/>
    <x v="4"/>
    <x v="112"/>
    <x v="9"/>
    <x v="471"/>
    <x v="4"/>
    <x v="1"/>
    <x v="4"/>
  </r>
  <r>
    <x v="0"/>
    <x v="530"/>
    <x v="365"/>
    <x v="133"/>
    <x v="261"/>
    <x v="53"/>
    <x v="145"/>
    <x v="1107"/>
    <x v="415"/>
    <x v="269"/>
    <x v="797"/>
    <x v="935"/>
    <x v="1150"/>
    <x v="1148"/>
    <x v="1123"/>
    <x v="4"/>
    <x v="1142"/>
    <x v="1150"/>
    <x v="620"/>
    <x v="0"/>
    <x v="1"/>
    <x v="11"/>
    <x v="143"/>
    <x v="41"/>
    <x v="59"/>
    <x v="15"/>
    <x v="5"/>
    <x v="1"/>
  </r>
  <r>
    <x v="0"/>
    <x v="158"/>
    <x v="166"/>
    <x v="72"/>
    <x v="115"/>
    <x v="580"/>
    <x v="41"/>
    <x v="1108"/>
    <x v="255"/>
    <x v="111"/>
    <x v="798"/>
    <x v="936"/>
    <x v="1151"/>
    <x v="1149"/>
    <x v="1124"/>
    <x v="4"/>
    <x v="1143"/>
    <x v="1151"/>
    <x v="137"/>
    <x v="0"/>
    <x v="0"/>
    <x v="2"/>
    <x v="114"/>
    <x v="3"/>
    <x v="393"/>
    <x v="12"/>
    <x v="3"/>
    <x v="16"/>
  </r>
  <r>
    <x v="0"/>
    <x v="462"/>
    <x v="277"/>
    <x v="69"/>
    <x v="244"/>
    <x v="333"/>
    <x v="2"/>
    <x v="1109"/>
    <x v="171"/>
    <x v="130"/>
    <x v="201"/>
    <x v="449"/>
    <x v="1152"/>
    <x v="1150"/>
    <x v="1125"/>
    <x v="1"/>
    <x v="1144"/>
    <x v="1152"/>
    <x v="509"/>
    <x v="0"/>
    <x v="0"/>
    <x v="0"/>
    <x v="114"/>
    <x v="19"/>
    <x v="13"/>
    <x v="22"/>
    <x v="1"/>
    <x v="129"/>
  </r>
  <r>
    <x v="0"/>
    <x v="531"/>
    <x v="434"/>
    <x v="40"/>
    <x v="0"/>
    <x v="581"/>
    <x v="25"/>
    <x v="1110"/>
    <x v="105"/>
    <x v="30"/>
    <x v="384"/>
    <x v="937"/>
    <x v="1153"/>
    <x v="1151"/>
    <x v="1126"/>
    <x v="0"/>
    <x v="1145"/>
    <x v="1153"/>
    <x v="409"/>
    <x v="0"/>
    <x v="0"/>
    <x v="0"/>
    <x v="114"/>
    <x v="25"/>
    <x v="219"/>
    <x v="12"/>
    <x v="3"/>
    <x v="1"/>
  </r>
  <r>
    <x v="0"/>
    <x v="532"/>
    <x v="146"/>
    <x v="73"/>
    <x v="262"/>
    <x v="582"/>
    <x v="77"/>
    <x v="1111"/>
    <x v="416"/>
    <x v="475"/>
    <x v="799"/>
    <x v="938"/>
    <x v="1154"/>
    <x v="1152"/>
    <x v="1127"/>
    <x v="0"/>
    <x v="1146"/>
    <x v="1154"/>
    <x v="680"/>
    <x v="0"/>
    <x v="0"/>
    <x v="0"/>
    <x v="144"/>
    <x v="19"/>
    <x v="170"/>
    <x v="12"/>
    <x v="1"/>
    <x v="1"/>
  </r>
  <r>
    <x v="0"/>
    <x v="327"/>
    <x v="88"/>
    <x v="113"/>
    <x v="202"/>
    <x v="340"/>
    <x v="261"/>
    <x v="1112"/>
    <x v="125"/>
    <x v="476"/>
    <x v="800"/>
    <x v="939"/>
    <x v="1155"/>
    <x v="1153"/>
    <x v="1128"/>
    <x v="1"/>
    <x v="1147"/>
    <x v="1155"/>
    <x v="681"/>
    <x v="0"/>
    <x v="0"/>
    <x v="4"/>
    <x v="114"/>
    <x v="0"/>
    <x v="104"/>
    <x v="27"/>
    <x v="3"/>
    <x v="1"/>
  </r>
  <r>
    <x v="0"/>
    <x v="533"/>
    <x v="338"/>
    <x v="82"/>
    <x v="263"/>
    <x v="583"/>
    <x v="262"/>
    <x v="1113"/>
    <x v="2"/>
    <x v="477"/>
    <x v="801"/>
    <x v="940"/>
    <x v="1156"/>
    <x v="1154"/>
    <x v="1129"/>
    <x v="0"/>
    <x v="1148"/>
    <x v="1156"/>
    <x v="664"/>
    <x v="0"/>
    <x v="1"/>
    <x v="0"/>
    <x v="144"/>
    <x v="30"/>
    <x v="472"/>
    <x v="4"/>
    <x v="1"/>
    <x v="1"/>
  </r>
  <r>
    <x v="0"/>
    <x v="534"/>
    <x v="139"/>
    <x v="7"/>
    <x v="264"/>
    <x v="301"/>
    <x v="14"/>
    <x v="1114"/>
    <x v="208"/>
    <x v="61"/>
    <x v="709"/>
    <x v="398"/>
    <x v="1157"/>
    <x v="1155"/>
    <x v="1130"/>
    <x v="4"/>
    <x v="1149"/>
    <x v="1157"/>
    <x v="41"/>
    <x v="0"/>
    <x v="0"/>
    <x v="0"/>
    <x v="114"/>
    <x v="10"/>
    <x v="12"/>
    <x v="28"/>
    <x v="1"/>
    <x v="35"/>
  </r>
  <r>
    <x v="0"/>
    <x v="535"/>
    <x v="285"/>
    <x v="60"/>
    <x v="184"/>
    <x v="27"/>
    <x v="13"/>
    <x v="1115"/>
    <x v="28"/>
    <x v="158"/>
    <x v="99"/>
    <x v="32"/>
    <x v="1158"/>
    <x v="1156"/>
    <x v="1131"/>
    <x v="1"/>
    <x v="1150"/>
    <x v="1158"/>
    <x v="35"/>
    <x v="0"/>
    <x v="0"/>
    <x v="4"/>
    <x v="114"/>
    <x v="18"/>
    <x v="71"/>
    <x v="9"/>
    <x v="1"/>
    <x v="224"/>
  </r>
  <r>
    <x v="0"/>
    <x v="536"/>
    <x v="413"/>
    <x v="27"/>
    <x v="78"/>
    <x v="81"/>
    <x v="15"/>
    <x v="1116"/>
    <x v="404"/>
    <x v="212"/>
    <x v="802"/>
    <x v="104"/>
    <x v="1159"/>
    <x v="1157"/>
    <x v="1132"/>
    <x v="0"/>
    <x v="1151"/>
    <x v="1159"/>
    <x v="511"/>
    <x v="0"/>
    <x v="1"/>
    <x v="2"/>
    <x v="114"/>
    <x v="27"/>
    <x v="473"/>
    <x v="61"/>
    <x v="3"/>
    <x v="1"/>
  </r>
  <r>
    <x v="0"/>
    <x v="468"/>
    <x v="188"/>
    <x v="40"/>
    <x v="21"/>
    <x v="403"/>
    <x v="25"/>
    <x v="1117"/>
    <x v="168"/>
    <x v="76"/>
    <x v="803"/>
    <x v="941"/>
    <x v="1160"/>
    <x v="1158"/>
    <x v="1133"/>
    <x v="4"/>
    <x v="1152"/>
    <x v="1160"/>
    <x v="461"/>
    <x v="0"/>
    <x v="0"/>
    <x v="4"/>
    <x v="95"/>
    <x v="12"/>
    <x v="474"/>
    <x v="32"/>
    <x v="1"/>
    <x v="7"/>
  </r>
  <r>
    <x v="1"/>
    <x v="187"/>
    <x v="189"/>
    <x v="110"/>
    <x v="133"/>
    <x v="362"/>
    <x v="15"/>
    <x v="1118"/>
    <x v="96"/>
    <x v="54"/>
    <x v="804"/>
    <x v="942"/>
    <x v="1161"/>
    <x v="1159"/>
    <x v="1134"/>
    <x v="2"/>
    <x v="1153"/>
    <x v="1161"/>
    <x v="682"/>
    <x v="4"/>
    <x v="9"/>
    <x v="0"/>
    <x v="145"/>
    <x v="19"/>
    <x v="200"/>
    <x v="0"/>
    <x v="1"/>
    <x v="1"/>
  </r>
  <r>
    <x v="0"/>
    <x v="537"/>
    <x v="238"/>
    <x v="43"/>
    <x v="164"/>
    <x v="378"/>
    <x v="263"/>
    <x v="1119"/>
    <x v="112"/>
    <x v="478"/>
    <x v="805"/>
    <x v="943"/>
    <x v="1162"/>
    <x v="1160"/>
    <x v="1135"/>
    <x v="1"/>
    <x v="1154"/>
    <x v="1162"/>
    <x v="314"/>
    <x v="0"/>
    <x v="0"/>
    <x v="0"/>
    <x v="88"/>
    <x v="3"/>
    <x v="475"/>
    <x v="43"/>
    <x v="1"/>
    <x v="64"/>
  </r>
  <r>
    <x v="0"/>
    <x v="538"/>
    <x v="360"/>
    <x v="52"/>
    <x v="265"/>
    <x v="584"/>
    <x v="2"/>
    <x v="1120"/>
    <x v="125"/>
    <x v="182"/>
    <x v="806"/>
    <x v="944"/>
    <x v="1163"/>
    <x v="1161"/>
    <x v="1136"/>
    <x v="2"/>
    <x v="1155"/>
    <x v="1163"/>
    <x v="683"/>
    <x v="0"/>
    <x v="0"/>
    <x v="4"/>
    <x v="87"/>
    <x v="11"/>
    <x v="136"/>
    <x v="4"/>
    <x v="1"/>
    <x v="225"/>
  </r>
  <r>
    <x v="0"/>
    <x v="539"/>
    <x v="299"/>
    <x v="7"/>
    <x v="107"/>
    <x v="103"/>
    <x v="264"/>
    <x v="1121"/>
    <x v="417"/>
    <x v="479"/>
    <x v="807"/>
    <x v="945"/>
    <x v="1164"/>
    <x v="1162"/>
    <x v="1137"/>
    <x v="1"/>
    <x v="1156"/>
    <x v="1164"/>
    <x v="386"/>
    <x v="0"/>
    <x v="3"/>
    <x v="4"/>
    <x v="91"/>
    <x v="5"/>
    <x v="476"/>
    <x v="22"/>
    <x v="1"/>
    <x v="1"/>
  </r>
  <r>
    <x v="1"/>
    <x v="113"/>
    <x v="169"/>
    <x v="119"/>
    <x v="88"/>
    <x v="206"/>
    <x v="149"/>
    <x v="4"/>
    <x v="418"/>
    <x v="273"/>
    <x v="808"/>
    <x v="946"/>
    <x v="1165"/>
    <x v="1163"/>
    <x v="1138"/>
    <x v="1"/>
    <x v="1157"/>
    <x v="1165"/>
    <x v="684"/>
    <x v="0"/>
    <x v="0"/>
    <x v="8"/>
    <x v="4"/>
    <x v="4"/>
    <x v="62"/>
    <x v="7"/>
    <x v="9"/>
    <x v="226"/>
  </r>
  <r>
    <x v="0"/>
    <x v="365"/>
    <x v="377"/>
    <x v="72"/>
    <x v="0"/>
    <x v="585"/>
    <x v="0"/>
    <x v="1122"/>
    <x v="132"/>
    <x v="480"/>
    <x v="809"/>
    <x v="947"/>
    <x v="1166"/>
    <x v="1164"/>
    <x v="1139"/>
    <x v="2"/>
    <x v="1158"/>
    <x v="1166"/>
    <x v="409"/>
    <x v="3"/>
    <x v="10"/>
    <x v="4"/>
    <x v="146"/>
    <x v="0"/>
    <x v="97"/>
    <x v="13"/>
    <x v="1"/>
    <x v="1"/>
  </r>
  <r>
    <x v="0"/>
    <x v="424"/>
    <x v="323"/>
    <x v="47"/>
    <x v="231"/>
    <x v="455"/>
    <x v="0"/>
    <x v="1123"/>
    <x v="419"/>
    <x v="481"/>
    <x v="90"/>
    <x v="948"/>
    <x v="1167"/>
    <x v="1165"/>
    <x v="1140"/>
    <x v="0"/>
    <x v="1159"/>
    <x v="1167"/>
    <x v="504"/>
    <x v="0"/>
    <x v="0"/>
    <x v="4"/>
    <x v="147"/>
    <x v="19"/>
    <x v="65"/>
    <x v="15"/>
    <x v="1"/>
    <x v="1"/>
  </r>
  <r>
    <x v="0"/>
    <x v="540"/>
    <x v="435"/>
    <x v="59"/>
    <x v="257"/>
    <x v="423"/>
    <x v="265"/>
    <x v="4"/>
    <x v="29"/>
    <x v="482"/>
    <x v="810"/>
    <x v="949"/>
    <x v="1168"/>
    <x v="1166"/>
    <x v="896"/>
    <x v="0"/>
    <x v="1160"/>
    <x v="1168"/>
    <x v="685"/>
    <x v="3"/>
    <x v="10"/>
    <x v="1"/>
    <x v="4"/>
    <x v="2"/>
    <x v="477"/>
    <x v="41"/>
    <x v="2"/>
    <x v="227"/>
  </r>
  <r>
    <x v="0"/>
    <x v="438"/>
    <x v="111"/>
    <x v="48"/>
    <x v="237"/>
    <x v="586"/>
    <x v="57"/>
    <x v="1124"/>
    <x v="6"/>
    <x v="140"/>
    <x v="246"/>
    <x v="950"/>
    <x v="1169"/>
    <x v="1167"/>
    <x v="1141"/>
    <x v="1"/>
    <x v="1161"/>
    <x v="1169"/>
    <x v="686"/>
    <x v="0"/>
    <x v="0"/>
    <x v="0"/>
    <x v="48"/>
    <x v="18"/>
    <x v="13"/>
    <x v="8"/>
    <x v="1"/>
    <x v="1"/>
  </r>
  <r>
    <x v="0"/>
    <x v="541"/>
    <x v="288"/>
    <x v="26"/>
    <x v="198"/>
    <x v="587"/>
    <x v="266"/>
    <x v="1125"/>
    <x v="92"/>
    <x v="483"/>
    <x v="811"/>
    <x v="951"/>
    <x v="1170"/>
    <x v="1168"/>
    <x v="1142"/>
    <x v="1"/>
    <x v="1162"/>
    <x v="1170"/>
    <x v="320"/>
    <x v="0"/>
    <x v="14"/>
    <x v="0"/>
    <x v="147"/>
    <x v="17"/>
    <x v="478"/>
    <x v="31"/>
    <x v="1"/>
    <x v="228"/>
  </r>
  <r>
    <x v="0"/>
    <x v="93"/>
    <x v="294"/>
    <x v="86"/>
    <x v="0"/>
    <x v="230"/>
    <x v="57"/>
    <x v="1126"/>
    <x v="150"/>
    <x v="99"/>
    <x v="812"/>
    <x v="292"/>
    <x v="1171"/>
    <x v="1169"/>
    <x v="1143"/>
    <x v="0"/>
    <x v="1163"/>
    <x v="1171"/>
    <x v="518"/>
    <x v="0"/>
    <x v="0"/>
    <x v="0"/>
    <x v="88"/>
    <x v="15"/>
    <x v="13"/>
    <x v="14"/>
    <x v="3"/>
    <x v="57"/>
  </r>
  <r>
    <x v="0"/>
    <x v="542"/>
    <x v="16"/>
    <x v="58"/>
    <x v="131"/>
    <x v="588"/>
    <x v="267"/>
    <x v="1127"/>
    <x v="23"/>
    <x v="484"/>
    <x v="813"/>
    <x v="952"/>
    <x v="1172"/>
    <x v="1170"/>
    <x v="1144"/>
    <x v="5"/>
    <x v="1164"/>
    <x v="1172"/>
    <x v="243"/>
    <x v="0"/>
    <x v="0"/>
    <x v="0"/>
    <x v="114"/>
    <x v="3"/>
    <x v="479"/>
    <x v="4"/>
    <x v="1"/>
    <x v="59"/>
  </r>
  <r>
    <x v="0"/>
    <x v="345"/>
    <x v="339"/>
    <x v="7"/>
    <x v="172"/>
    <x v="589"/>
    <x v="268"/>
    <x v="1128"/>
    <x v="125"/>
    <x v="485"/>
    <x v="814"/>
    <x v="953"/>
    <x v="1173"/>
    <x v="1171"/>
    <x v="1145"/>
    <x v="0"/>
    <x v="1165"/>
    <x v="1173"/>
    <x v="310"/>
    <x v="0"/>
    <x v="0"/>
    <x v="2"/>
    <x v="147"/>
    <x v="10"/>
    <x v="111"/>
    <x v="5"/>
    <x v="1"/>
    <x v="59"/>
  </r>
  <r>
    <x v="0"/>
    <x v="543"/>
    <x v="225"/>
    <x v="51"/>
    <x v="8"/>
    <x v="577"/>
    <x v="269"/>
    <x v="1129"/>
    <x v="420"/>
    <x v="486"/>
    <x v="815"/>
    <x v="954"/>
    <x v="1174"/>
    <x v="1172"/>
    <x v="1146"/>
    <x v="0"/>
    <x v="1166"/>
    <x v="1174"/>
    <x v="527"/>
    <x v="0"/>
    <x v="0"/>
    <x v="2"/>
    <x v="83"/>
    <x v="31"/>
    <x v="454"/>
    <x v="13"/>
    <x v="3"/>
    <x v="1"/>
  </r>
  <r>
    <x v="0"/>
    <x v="363"/>
    <x v="363"/>
    <x v="67"/>
    <x v="213"/>
    <x v="33"/>
    <x v="31"/>
    <x v="1130"/>
    <x v="152"/>
    <x v="37"/>
    <x v="3"/>
    <x v="635"/>
    <x v="1175"/>
    <x v="1173"/>
    <x v="1147"/>
    <x v="7"/>
    <x v="1167"/>
    <x v="1175"/>
    <x v="28"/>
    <x v="0"/>
    <x v="0"/>
    <x v="4"/>
    <x v="88"/>
    <x v="9"/>
    <x v="3"/>
    <x v="11"/>
    <x v="1"/>
    <x v="62"/>
  </r>
  <r>
    <x v="0"/>
    <x v="544"/>
    <x v="400"/>
    <x v="26"/>
    <x v="247"/>
    <x v="407"/>
    <x v="17"/>
    <x v="1131"/>
    <x v="105"/>
    <x v="32"/>
    <x v="816"/>
    <x v="955"/>
    <x v="1176"/>
    <x v="1174"/>
    <x v="1148"/>
    <x v="1"/>
    <x v="1168"/>
    <x v="1176"/>
    <x v="155"/>
    <x v="0"/>
    <x v="0"/>
    <x v="0"/>
    <x v="88"/>
    <x v="0"/>
    <x v="480"/>
    <x v="10"/>
    <x v="1"/>
    <x v="7"/>
  </r>
  <r>
    <x v="0"/>
    <x v="545"/>
    <x v="309"/>
    <x v="72"/>
    <x v="266"/>
    <x v="374"/>
    <x v="235"/>
    <x v="1132"/>
    <x v="180"/>
    <x v="236"/>
    <x v="817"/>
    <x v="956"/>
    <x v="1177"/>
    <x v="1175"/>
    <x v="680"/>
    <x v="0"/>
    <x v="1169"/>
    <x v="1177"/>
    <x v="687"/>
    <x v="0"/>
    <x v="0"/>
    <x v="4"/>
    <x v="80"/>
    <x v="15"/>
    <x v="476"/>
    <x v="21"/>
    <x v="1"/>
    <x v="1"/>
  </r>
  <r>
    <x v="0"/>
    <x v="43"/>
    <x v="211"/>
    <x v="26"/>
    <x v="0"/>
    <x v="113"/>
    <x v="0"/>
    <x v="1133"/>
    <x v="145"/>
    <x v="307"/>
    <x v="818"/>
    <x v="957"/>
    <x v="1178"/>
    <x v="1176"/>
    <x v="1149"/>
    <x v="0"/>
    <x v="1170"/>
    <x v="1178"/>
    <x v="688"/>
    <x v="0"/>
    <x v="0"/>
    <x v="2"/>
    <x v="88"/>
    <x v="30"/>
    <x v="230"/>
    <x v="6"/>
    <x v="3"/>
    <x v="85"/>
  </r>
  <r>
    <x v="0"/>
    <x v="191"/>
    <x v="436"/>
    <x v="71"/>
    <x v="0"/>
    <x v="11"/>
    <x v="32"/>
    <x v="1134"/>
    <x v="222"/>
    <x v="59"/>
    <x v="65"/>
    <x v="958"/>
    <x v="1179"/>
    <x v="1177"/>
    <x v="1150"/>
    <x v="0"/>
    <x v="1171"/>
    <x v="1179"/>
    <x v="37"/>
    <x v="0"/>
    <x v="10"/>
    <x v="4"/>
    <x v="88"/>
    <x v="11"/>
    <x v="6"/>
    <x v="21"/>
    <x v="1"/>
    <x v="17"/>
  </r>
  <r>
    <x v="0"/>
    <x v="546"/>
    <x v="95"/>
    <x v="74"/>
    <x v="75"/>
    <x v="432"/>
    <x v="0"/>
    <x v="1135"/>
    <x v="17"/>
    <x v="398"/>
    <x v="739"/>
    <x v="630"/>
    <x v="1180"/>
    <x v="1178"/>
    <x v="1151"/>
    <x v="0"/>
    <x v="1172"/>
    <x v="1180"/>
    <x v="689"/>
    <x v="0"/>
    <x v="0"/>
    <x v="4"/>
    <x v="88"/>
    <x v="2"/>
    <x v="372"/>
    <x v="54"/>
    <x v="1"/>
    <x v="229"/>
  </r>
  <r>
    <x v="0"/>
    <x v="423"/>
    <x v="197"/>
    <x v="95"/>
    <x v="0"/>
    <x v="10"/>
    <x v="57"/>
    <x v="1136"/>
    <x v="237"/>
    <x v="237"/>
    <x v="62"/>
    <x v="959"/>
    <x v="1181"/>
    <x v="1179"/>
    <x v="1152"/>
    <x v="3"/>
    <x v="1173"/>
    <x v="1181"/>
    <x v="559"/>
    <x v="0"/>
    <x v="0"/>
    <x v="2"/>
    <x v="30"/>
    <x v="17"/>
    <x v="9"/>
    <x v="54"/>
    <x v="3"/>
    <x v="230"/>
  </r>
  <r>
    <x v="0"/>
    <x v="133"/>
    <x v="184"/>
    <x v="36"/>
    <x v="98"/>
    <x v="1"/>
    <x v="11"/>
    <x v="1137"/>
    <x v="168"/>
    <x v="11"/>
    <x v="240"/>
    <x v="94"/>
    <x v="1182"/>
    <x v="1180"/>
    <x v="1153"/>
    <x v="3"/>
    <x v="1174"/>
    <x v="1182"/>
    <x v="651"/>
    <x v="0"/>
    <x v="0"/>
    <x v="4"/>
    <x v="88"/>
    <x v="25"/>
    <x v="6"/>
    <x v="38"/>
    <x v="1"/>
    <x v="1"/>
  </r>
  <r>
    <x v="0"/>
    <x v="80"/>
    <x v="209"/>
    <x v="50"/>
    <x v="63"/>
    <x v="507"/>
    <x v="22"/>
    <x v="1138"/>
    <x v="238"/>
    <x v="487"/>
    <x v="819"/>
    <x v="762"/>
    <x v="1183"/>
    <x v="1181"/>
    <x v="1154"/>
    <x v="11"/>
    <x v="1175"/>
    <x v="1183"/>
    <x v="160"/>
    <x v="0"/>
    <x v="0"/>
    <x v="2"/>
    <x v="88"/>
    <x v="17"/>
    <x v="12"/>
    <x v="27"/>
    <x v="3"/>
    <x v="1"/>
  </r>
  <r>
    <x v="0"/>
    <x v="21"/>
    <x v="437"/>
    <x v="61"/>
    <x v="14"/>
    <x v="590"/>
    <x v="80"/>
    <x v="1139"/>
    <x v="421"/>
    <x v="488"/>
    <x v="820"/>
    <x v="960"/>
    <x v="1184"/>
    <x v="1182"/>
    <x v="242"/>
    <x v="0"/>
    <x v="1176"/>
    <x v="1184"/>
    <x v="638"/>
    <x v="0"/>
    <x v="0"/>
    <x v="4"/>
    <x v="88"/>
    <x v="9"/>
    <x v="481"/>
    <x v="32"/>
    <x v="1"/>
    <x v="12"/>
  </r>
  <r>
    <x v="1"/>
    <x v="487"/>
    <x v="438"/>
    <x v="57"/>
    <x v="149"/>
    <x v="591"/>
    <x v="10"/>
    <x v="1140"/>
    <x v="422"/>
    <x v="33"/>
    <x v="821"/>
    <x v="961"/>
    <x v="1185"/>
    <x v="1183"/>
    <x v="1155"/>
    <x v="3"/>
    <x v="1177"/>
    <x v="1185"/>
    <x v="690"/>
    <x v="0"/>
    <x v="0"/>
    <x v="2"/>
    <x v="88"/>
    <x v="29"/>
    <x v="425"/>
    <x v="13"/>
    <x v="1"/>
    <x v="1"/>
  </r>
  <r>
    <x v="0"/>
    <x v="33"/>
    <x v="31"/>
    <x v="90"/>
    <x v="0"/>
    <x v="592"/>
    <x v="0"/>
    <x v="1141"/>
    <x v="236"/>
    <x v="489"/>
    <x v="723"/>
    <x v="962"/>
    <x v="1186"/>
    <x v="1184"/>
    <x v="1156"/>
    <x v="0"/>
    <x v="1178"/>
    <x v="1186"/>
    <x v="491"/>
    <x v="0"/>
    <x v="0"/>
    <x v="4"/>
    <x v="88"/>
    <x v="6"/>
    <x v="435"/>
    <x v="6"/>
    <x v="1"/>
    <x v="13"/>
  </r>
  <r>
    <x v="0"/>
    <x v="68"/>
    <x v="154"/>
    <x v="60"/>
    <x v="53"/>
    <x v="593"/>
    <x v="14"/>
    <x v="1142"/>
    <x v="113"/>
    <x v="490"/>
    <x v="822"/>
    <x v="963"/>
    <x v="1187"/>
    <x v="1185"/>
    <x v="1157"/>
    <x v="0"/>
    <x v="1179"/>
    <x v="1187"/>
    <x v="691"/>
    <x v="0"/>
    <x v="0"/>
    <x v="0"/>
    <x v="88"/>
    <x v="5"/>
    <x v="472"/>
    <x v="16"/>
    <x v="1"/>
    <x v="190"/>
  </r>
  <r>
    <x v="0"/>
    <x v="547"/>
    <x v="331"/>
    <x v="74"/>
    <x v="74"/>
    <x v="594"/>
    <x v="270"/>
    <x v="1143"/>
    <x v="105"/>
    <x v="491"/>
    <x v="823"/>
    <x v="964"/>
    <x v="1188"/>
    <x v="1186"/>
    <x v="1158"/>
    <x v="6"/>
    <x v="1180"/>
    <x v="1188"/>
    <x v="394"/>
    <x v="0"/>
    <x v="0"/>
    <x v="0"/>
    <x v="88"/>
    <x v="0"/>
    <x v="404"/>
    <x v="21"/>
    <x v="1"/>
    <x v="85"/>
  </r>
  <r>
    <x v="0"/>
    <x v="495"/>
    <x v="285"/>
    <x v="71"/>
    <x v="202"/>
    <x v="137"/>
    <x v="35"/>
    <x v="1144"/>
    <x v="125"/>
    <x v="492"/>
    <x v="343"/>
    <x v="965"/>
    <x v="1189"/>
    <x v="1187"/>
    <x v="1159"/>
    <x v="8"/>
    <x v="1181"/>
    <x v="1189"/>
    <x v="565"/>
    <x v="0"/>
    <x v="0"/>
    <x v="0"/>
    <x v="91"/>
    <x v="7"/>
    <x v="230"/>
    <x v="37"/>
    <x v="3"/>
    <x v="103"/>
  </r>
  <r>
    <x v="0"/>
    <x v="548"/>
    <x v="237"/>
    <x v="38"/>
    <x v="0"/>
    <x v="304"/>
    <x v="190"/>
    <x v="1145"/>
    <x v="364"/>
    <x v="493"/>
    <x v="824"/>
    <x v="966"/>
    <x v="1190"/>
    <x v="1188"/>
    <x v="1160"/>
    <x v="2"/>
    <x v="1182"/>
    <x v="1190"/>
    <x v="692"/>
    <x v="0"/>
    <x v="0"/>
    <x v="4"/>
    <x v="88"/>
    <x v="21"/>
    <x v="482"/>
    <x v="34"/>
    <x v="1"/>
    <x v="1"/>
  </r>
  <r>
    <x v="0"/>
    <x v="43"/>
    <x v="387"/>
    <x v="34"/>
    <x v="0"/>
    <x v="113"/>
    <x v="0"/>
    <x v="1146"/>
    <x v="423"/>
    <x v="307"/>
    <x v="818"/>
    <x v="957"/>
    <x v="1191"/>
    <x v="1189"/>
    <x v="621"/>
    <x v="0"/>
    <x v="1183"/>
    <x v="1191"/>
    <x v="294"/>
    <x v="0"/>
    <x v="0"/>
    <x v="2"/>
    <x v="88"/>
    <x v="22"/>
    <x v="230"/>
    <x v="38"/>
    <x v="15"/>
    <x v="1"/>
  </r>
  <r>
    <x v="0"/>
    <x v="549"/>
    <x v="247"/>
    <x v="86"/>
    <x v="267"/>
    <x v="407"/>
    <x v="94"/>
    <x v="1147"/>
    <x v="70"/>
    <x v="166"/>
    <x v="825"/>
    <x v="955"/>
    <x v="1192"/>
    <x v="1190"/>
    <x v="614"/>
    <x v="4"/>
    <x v="1184"/>
    <x v="1192"/>
    <x v="245"/>
    <x v="0"/>
    <x v="0"/>
    <x v="4"/>
    <x v="88"/>
    <x v="2"/>
    <x v="12"/>
    <x v="19"/>
    <x v="3"/>
    <x v="57"/>
  </r>
  <r>
    <x v="0"/>
    <x v="420"/>
    <x v="198"/>
    <x v="125"/>
    <x v="0"/>
    <x v="9"/>
    <x v="11"/>
    <x v="1148"/>
    <x v="424"/>
    <x v="63"/>
    <x v="129"/>
    <x v="56"/>
    <x v="1193"/>
    <x v="1191"/>
    <x v="1161"/>
    <x v="0"/>
    <x v="1185"/>
    <x v="1193"/>
    <x v="693"/>
    <x v="0"/>
    <x v="0"/>
    <x v="4"/>
    <x v="88"/>
    <x v="29"/>
    <x v="47"/>
    <x v="7"/>
    <x v="3"/>
    <x v="57"/>
  </r>
  <r>
    <x v="0"/>
    <x v="324"/>
    <x v="153"/>
    <x v="32"/>
    <x v="0"/>
    <x v="595"/>
    <x v="2"/>
    <x v="1149"/>
    <x v="425"/>
    <x v="209"/>
    <x v="826"/>
    <x v="967"/>
    <x v="1194"/>
    <x v="1192"/>
    <x v="1162"/>
    <x v="4"/>
    <x v="1186"/>
    <x v="1194"/>
    <x v="230"/>
    <x v="0"/>
    <x v="0"/>
    <x v="0"/>
    <x v="88"/>
    <x v="0"/>
    <x v="372"/>
    <x v="15"/>
    <x v="3"/>
    <x v="38"/>
  </r>
  <r>
    <x v="0"/>
    <x v="438"/>
    <x v="405"/>
    <x v="57"/>
    <x v="237"/>
    <x v="286"/>
    <x v="2"/>
    <x v="1150"/>
    <x v="122"/>
    <x v="42"/>
    <x v="14"/>
    <x v="968"/>
    <x v="1195"/>
    <x v="1193"/>
    <x v="1163"/>
    <x v="0"/>
    <x v="1187"/>
    <x v="1195"/>
    <x v="694"/>
    <x v="0"/>
    <x v="0"/>
    <x v="0"/>
    <x v="88"/>
    <x v="9"/>
    <x v="13"/>
    <x v="7"/>
    <x v="1"/>
    <x v="82"/>
  </r>
  <r>
    <x v="0"/>
    <x v="241"/>
    <x v="232"/>
    <x v="106"/>
    <x v="162"/>
    <x v="1"/>
    <x v="13"/>
    <x v="1151"/>
    <x v="168"/>
    <x v="93"/>
    <x v="281"/>
    <x v="1"/>
    <x v="1196"/>
    <x v="1194"/>
    <x v="1164"/>
    <x v="1"/>
    <x v="1188"/>
    <x v="1196"/>
    <x v="691"/>
    <x v="0"/>
    <x v="0"/>
    <x v="4"/>
    <x v="88"/>
    <x v="15"/>
    <x v="44"/>
    <x v="11"/>
    <x v="3"/>
    <x v="1"/>
  </r>
  <r>
    <x v="0"/>
    <x v="307"/>
    <x v="82"/>
    <x v="56"/>
    <x v="114"/>
    <x v="465"/>
    <x v="57"/>
    <x v="1152"/>
    <x v="125"/>
    <x v="192"/>
    <x v="517"/>
    <x v="687"/>
    <x v="1197"/>
    <x v="1195"/>
    <x v="1165"/>
    <x v="1"/>
    <x v="1189"/>
    <x v="1197"/>
    <x v="269"/>
    <x v="0"/>
    <x v="0"/>
    <x v="0"/>
    <x v="82"/>
    <x v="11"/>
    <x v="336"/>
    <x v="20"/>
    <x v="3"/>
    <x v="51"/>
  </r>
  <r>
    <x v="0"/>
    <x v="439"/>
    <x v="378"/>
    <x v="60"/>
    <x v="238"/>
    <x v="251"/>
    <x v="29"/>
    <x v="1153"/>
    <x v="259"/>
    <x v="74"/>
    <x v="42"/>
    <x v="969"/>
    <x v="1198"/>
    <x v="1196"/>
    <x v="1166"/>
    <x v="1"/>
    <x v="1190"/>
    <x v="1198"/>
    <x v="294"/>
    <x v="0"/>
    <x v="0"/>
    <x v="2"/>
    <x v="88"/>
    <x v="7"/>
    <x v="483"/>
    <x v="11"/>
    <x v="1"/>
    <x v="59"/>
  </r>
  <r>
    <x v="0"/>
    <x v="220"/>
    <x v="330"/>
    <x v="61"/>
    <x v="152"/>
    <x v="27"/>
    <x v="13"/>
    <x v="1154"/>
    <x v="200"/>
    <x v="158"/>
    <x v="85"/>
    <x v="499"/>
    <x v="1199"/>
    <x v="1197"/>
    <x v="1167"/>
    <x v="4"/>
    <x v="1191"/>
    <x v="1199"/>
    <x v="621"/>
    <x v="0"/>
    <x v="0"/>
    <x v="0"/>
    <x v="82"/>
    <x v="2"/>
    <x v="6"/>
    <x v="13"/>
    <x v="3"/>
    <x v="39"/>
  </r>
  <r>
    <x v="0"/>
    <x v="135"/>
    <x v="323"/>
    <x v="58"/>
    <x v="100"/>
    <x v="390"/>
    <x v="35"/>
    <x v="1155"/>
    <x v="170"/>
    <x v="494"/>
    <x v="827"/>
    <x v="550"/>
    <x v="1200"/>
    <x v="1198"/>
    <x v="592"/>
    <x v="0"/>
    <x v="1192"/>
    <x v="1200"/>
    <x v="695"/>
    <x v="0"/>
    <x v="0"/>
    <x v="0"/>
    <x v="88"/>
    <x v="6"/>
    <x v="484"/>
    <x v="18"/>
    <x v="1"/>
    <x v="1"/>
  </r>
  <r>
    <x v="0"/>
    <x v="159"/>
    <x v="332"/>
    <x v="85"/>
    <x v="0"/>
    <x v="109"/>
    <x v="271"/>
    <x v="1156"/>
    <x v="426"/>
    <x v="495"/>
    <x v="828"/>
    <x v="970"/>
    <x v="1201"/>
    <x v="1199"/>
    <x v="59"/>
    <x v="1"/>
    <x v="1193"/>
    <x v="1201"/>
    <x v="696"/>
    <x v="0"/>
    <x v="0"/>
    <x v="4"/>
    <x v="88"/>
    <x v="29"/>
    <x v="308"/>
    <x v="6"/>
    <x v="1"/>
    <x v="1"/>
  </r>
  <r>
    <x v="0"/>
    <x v="332"/>
    <x v="306"/>
    <x v="0"/>
    <x v="204"/>
    <x v="13"/>
    <x v="272"/>
    <x v="1157"/>
    <x v="316"/>
    <x v="496"/>
    <x v="829"/>
    <x v="14"/>
    <x v="1202"/>
    <x v="1200"/>
    <x v="1168"/>
    <x v="0"/>
    <x v="1194"/>
    <x v="1202"/>
    <x v="88"/>
    <x v="0"/>
    <x v="0"/>
    <x v="0"/>
    <x v="88"/>
    <x v="14"/>
    <x v="485"/>
    <x v="16"/>
    <x v="3"/>
    <x v="1"/>
  </r>
  <r>
    <x v="1"/>
    <x v="336"/>
    <x v="439"/>
    <x v="21"/>
    <x v="205"/>
    <x v="424"/>
    <x v="22"/>
    <x v="1158"/>
    <x v="111"/>
    <x v="169"/>
    <x v="830"/>
    <x v="971"/>
    <x v="1203"/>
    <x v="1201"/>
    <x v="1169"/>
    <x v="1"/>
    <x v="1195"/>
    <x v="1203"/>
    <x v="697"/>
    <x v="0"/>
    <x v="0"/>
    <x v="4"/>
    <x v="88"/>
    <x v="12"/>
    <x v="421"/>
    <x v="14"/>
    <x v="3"/>
    <x v="38"/>
  </r>
  <r>
    <x v="0"/>
    <x v="232"/>
    <x v="98"/>
    <x v="78"/>
    <x v="47"/>
    <x v="126"/>
    <x v="35"/>
    <x v="1159"/>
    <x v="171"/>
    <x v="184"/>
    <x v="112"/>
    <x v="156"/>
    <x v="1204"/>
    <x v="1202"/>
    <x v="1170"/>
    <x v="2"/>
    <x v="1196"/>
    <x v="1204"/>
    <x v="698"/>
    <x v="0"/>
    <x v="0"/>
    <x v="0"/>
    <x v="88"/>
    <x v="8"/>
    <x v="80"/>
    <x v="4"/>
    <x v="1"/>
    <x v="1"/>
  </r>
  <r>
    <x v="0"/>
    <x v="528"/>
    <x v="300"/>
    <x v="72"/>
    <x v="195"/>
    <x v="596"/>
    <x v="6"/>
    <x v="1160"/>
    <x v="127"/>
    <x v="6"/>
    <x v="28"/>
    <x v="972"/>
    <x v="1205"/>
    <x v="1203"/>
    <x v="1171"/>
    <x v="4"/>
    <x v="1197"/>
    <x v="1205"/>
    <x v="699"/>
    <x v="0"/>
    <x v="0"/>
    <x v="4"/>
    <x v="88"/>
    <x v="0"/>
    <x v="9"/>
    <x v="1"/>
    <x v="3"/>
    <x v="1"/>
  </r>
  <r>
    <x v="0"/>
    <x v="307"/>
    <x v="216"/>
    <x v="37"/>
    <x v="114"/>
    <x v="535"/>
    <x v="273"/>
    <x v="1161"/>
    <x v="196"/>
    <x v="497"/>
    <x v="301"/>
    <x v="973"/>
    <x v="1206"/>
    <x v="1204"/>
    <x v="1172"/>
    <x v="4"/>
    <x v="1198"/>
    <x v="1206"/>
    <x v="246"/>
    <x v="0"/>
    <x v="0"/>
    <x v="0"/>
    <x v="88"/>
    <x v="18"/>
    <x v="203"/>
    <x v="18"/>
    <x v="3"/>
    <x v="1"/>
  </r>
  <r>
    <x v="1"/>
    <x v="78"/>
    <x v="211"/>
    <x v="66"/>
    <x v="0"/>
    <x v="597"/>
    <x v="176"/>
    <x v="1162"/>
    <x v="223"/>
    <x v="498"/>
    <x v="831"/>
    <x v="974"/>
    <x v="1207"/>
    <x v="1205"/>
    <x v="1173"/>
    <x v="1"/>
    <x v="1199"/>
    <x v="1207"/>
    <x v="700"/>
    <x v="0"/>
    <x v="10"/>
    <x v="4"/>
    <x v="88"/>
    <x v="23"/>
    <x v="189"/>
    <x v="25"/>
    <x v="1"/>
    <x v="1"/>
  </r>
  <r>
    <x v="0"/>
    <x v="433"/>
    <x v="409"/>
    <x v="77"/>
    <x v="125"/>
    <x v="598"/>
    <x v="30"/>
    <x v="1163"/>
    <x v="70"/>
    <x v="53"/>
    <x v="832"/>
    <x v="975"/>
    <x v="1208"/>
    <x v="1206"/>
    <x v="1174"/>
    <x v="0"/>
    <x v="1200"/>
    <x v="1208"/>
    <x v="517"/>
    <x v="0"/>
    <x v="0"/>
    <x v="0"/>
    <x v="88"/>
    <x v="7"/>
    <x v="117"/>
    <x v="51"/>
    <x v="3"/>
    <x v="231"/>
  </r>
  <r>
    <x v="0"/>
    <x v="1"/>
    <x v="211"/>
    <x v="32"/>
    <x v="1"/>
    <x v="141"/>
    <x v="6"/>
    <x v="1164"/>
    <x v="427"/>
    <x v="6"/>
    <x v="40"/>
    <x v="898"/>
    <x v="1209"/>
    <x v="1207"/>
    <x v="1175"/>
    <x v="0"/>
    <x v="1201"/>
    <x v="1209"/>
    <x v="701"/>
    <x v="0"/>
    <x v="0"/>
    <x v="4"/>
    <x v="148"/>
    <x v="18"/>
    <x v="6"/>
    <x v="9"/>
    <x v="1"/>
    <x v="43"/>
  </r>
  <r>
    <x v="0"/>
    <x v="325"/>
    <x v="55"/>
    <x v="64"/>
    <x v="201"/>
    <x v="224"/>
    <x v="55"/>
    <x v="635"/>
    <x v="288"/>
    <x v="302"/>
    <x v="483"/>
    <x v="557"/>
    <x v="655"/>
    <x v="655"/>
    <x v="646"/>
    <x v="0"/>
    <x v="650"/>
    <x v="655"/>
    <x v="268"/>
    <x v="0"/>
    <x v="0"/>
    <x v="0"/>
    <x v="48"/>
    <x v="11"/>
    <x v="313"/>
    <x v="13"/>
    <x v="1"/>
    <x v="50"/>
  </r>
  <r>
    <x v="0"/>
    <x v="527"/>
    <x v="104"/>
    <x v="58"/>
    <x v="80"/>
    <x v="512"/>
    <x v="35"/>
    <x v="1165"/>
    <x v="428"/>
    <x v="499"/>
    <x v="312"/>
    <x v="769"/>
    <x v="1210"/>
    <x v="1208"/>
    <x v="1176"/>
    <x v="1"/>
    <x v="1202"/>
    <x v="1210"/>
    <x v="647"/>
    <x v="0"/>
    <x v="0"/>
    <x v="0"/>
    <x v="78"/>
    <x v="0"/>
    <x v="12"/>
    <x v="21"/>
    <x v="1"/>
    <x v="1"/>
  </r>
  <r>
    <x v="0"/>
    <x v="550"/>
    <x v="104"/>
    <x v="56"/>
    <x v="268"/>
    <x v="599"/>
    <x v="63"/>
    <x v="1166"/>
    <x v="127"/>
    <x v="107"/>
    <x v="833"/>
    <x v="976"/>
    <x v="1211"/>
    <x v="1209"/>
    <x v="1177"/>
    <x v="4"/>
    <x v="1203"/>
    <x v="1211"/>
    <x v="483"/>
    <x v="0"/>
    <x v="0"/>
    <x v="0"/>
    <x v="88"/>
    <x v="11"/>
    <x v="251"/>
    <x v="19"/>
    <x v="1"/>
    <x v="37"/>
  </r>
  <r>
    <x v="0"/>
    <x v="504"/>
    <x v="248"/>
    <x v="87"/>
    <x v="101"/>
    <x v="13"/>
    <x v="274"/>
    <x v="1167"/>
    <x v="429"/>
    <x v="500"/>
    <x v="834"/>
    <x v="977"/>
    <x v="1212"/>
    <x v="1210"/>
    <x v="1178"/>
    <x v="0"/>
    <x v="1204"/>
    <x v="1212"/>
    <x v="511"/>
    <x v="0"/>
    <x v="0"/>
    <x v="4"/>
    <x v="88"/>
    <x v="0"/>
    <x v="486"/>
    <x v="31"/>
    <x v="1"/>
    <x v="1"/>
  </r>
  <r>
    <x v="0"/>
    <x v="38"/>
    <x v="284"/>
    <x v="30"/>
    <x v="25"/>
    <x v="211"/>
    <x v="10"/>
    <x v="1168"/>
    <x v="223"/>
    <x v="33"/>
    <x v="835"/>
    <x v="978"/>
    <x v="1213"/>
    <x v="1211"/>
    <x v="1179"/>
    <x v="0"/>
    <x v="1205"/>
    <x v="1213"/>
    <x v="668"/>
    <x v="0"/>
    <x v="0"/>
    <x v="0"/>
    <x v="88"/>
    <x v="2"/>
    <x v="376"/>
    <x v="32"/>
    <x v="1"/>
    <x v="51"/>
  </r>
  <r>
    <x v="0"/>
    <x v="198"/>
    <x v="333"/>
    <x v="11"/>
    <x v="140"/>
    <x v="600"/>
    <x v="275"/>
    <x v="1169"/>
    <x v="149"/>
    <x v="501"/>
    <x v="836"/>
    <x v="979"/>
    <x v="1214"/>
    <x v="1212"/>
    <x v="1180"/>
    <x v="4"/>
    <x v="1206"/>
    <x v="1214"/>
    <x v="333"/>
    <x v="0"/>
    <x v="0"/>
    <x v="0"/>
    <x v="88"/>
    <x v="18"/>
    <x v="22"/>
    <x v="21"/>
    <x v="1"/>
    <x v="1"/>
  </r>
  <r>
    <x v="0"/>
    <x v="551"/>
    <x v="279"/>
    <x v="37"/>
    <x v="262"/>
    <x v="491"/>
    <x v="276"/>
    <x v="1170"/>
    <x v="430"/>
    <x v="502"/>
    <x v="837"/>
    <x v="980"/>
    <x v="1215"/>
    <x v="1213"/>
    <x v="1181"/>
    <x v="4"/>
    <x v="1207"/>
    <x v="1215"/>
    <x v="435"/>
    <x v="0"/>
    <x v="0"/>
    <x v="4"/>
    <x v="4"/>
    <x v="5"/>
    <x v="57"/>
    <x v="21"/>
    <x v="3"/>
    <x v="85"/>
  </r>
  <r>
    <x v="0"/>
    <x v="163"/>
    <x v="378"/>
    <x v="11"/>
    <x v="80"/>
    <x v="601"/>
    <x v="0"/>
    <x v="1171"/>
    <x v="105"/>
    <x v="503"/>
    <x v="838"/>
    <x v="981"/>
    <x v="1216"/>
    <x v="1214"/>
    <x v="1182"/>
    <x v="4"/>
    <x v="1208"/>
    <x v="1216"/>
    <x v="376"/>
    <x v="0"/>
    <x v="0"/>
    <x v="0"/>
    <x v="95"/>
    <x v="14"/>
    <x v="325"/>
    <x v="9"/>
    <x v="3"/>
    <x v="1"/>
  </r>
  <r>
    <x v="0"/>
    <x v="259"/>
    <x v="388"/>
    <x v="26"/>
    <x v="173"/>
    <x v="602"/>
    <x v="41"/>
    <x v="1172"/>
    <x v="237"/>
    <x v="396"/>
    <x v="839"/>
    <x v="982"/>
    <x v="1217"/>
    <x v="1215"/>
    <x v="1183"/>
    <x v="0"/>
    <x v="1209"/>
    <x v="1217"/>
    <x v="301"/>
    <x v="0"/>
    <x v="0"/>
    <x v="0"/>
    <x v="88"/>
    <x v="20"/>
    <x v="487"/>
    <x v="9"/>
    <x v="1"/>
    <x v="1"/>
  </r>
  <r>
    <x v="0"/>
    <x v="552"/>
    <x v="266"/>
    <x v="42"/>
    <x v="131"/>
    <x v="232"/>
    <x v="35"/>
    <x v="1173"/>
    <x v="397"/>
    <x v="504"/>
    <x v="595"/>
    <x v="983"/>
    <x v="1218"/>
    <x v="1216"/>
    <x v="1184"/>
    <x v="0"/>
    <x v="1210"/>
    <x v="1218"/>
    <x v="120"/>
    <x v="0"/>
    <x v="0"/>
    <x v="4"/>
    <x v="88"/>
    <x v="13"/>
    <x v="12"/>
    <x v="31"/>
    <x v="3"/>
    <x v="1"/>
  </r>
  <r>
    <x v="0"/>
    <x v="53"/>
    <x v="291"/>
    <x v="22"/>
    <x v="38"/>
    <x v="215"/>
    <x v="10"/>
    <x v="1174"/>
    <x v="431"/>
    <x v="10"/>
    <x v="699"/>
    <x v="273"/>
    <x v="1219"/>
    <x v="1217"/>
    <x v="1185"/>
    <x v="1"/>
    <x v="1211"/>
    <x v="1219"/>
    <x v="702"/>
    <x v="0"/>
    <x v="1"/>
    <x v="0"/>
    <x v="82"/>
    <x v="19"/>
    <x v="30"/>
    <x v="16"/>
    <x v="3"/>
    <x v="1"/>
  </r>
  <r>
    <x v="0"/>
    <x v="493"/>
    <x v="164"/>
    <x v="34"/>
    <x v="169"/>
    <x v="366"/>
    <x v="2"/>
    <x v="1175"/>
    <x v="168"/>
    <x v="72"/>
    <x v="840"/>
    <x v="984"/>
    <x v="1220"/>
    <x v="1218"/>
    <x v="1186"/>
    <x v="1"/>
    <x v="1212"/>
    <x v="1220"/>
    <x v="394"/>
    <x v="0"/>
    <x v="0"/>
    <x v="4"/>
    <x v="88"/>
    <x v="10"/>
    <x v="488"/>
    <x v="11"/>
    <x v="1"/>
    <x v="68"/>
  </r>
  <r>
    <x v="0"/>
    <x v="444"/>
    <x v="165"/>
    <x v="18"/>
    <x v="241"/>
    <x v="429"/>
    <x v="21"/>
    <x v="1176"/>
    <x v="83"/>
    <x v="22"/>
    <x v="273"/>
    <x v="985"/>
    <x v="1221"/>
    <x v="1219"/>
    <x v="1185"/>
    <x v="3"/>
    <x v="1213"/>
    <x v="1221"/>
    <x v="576"/>
    <x v="0"/>
    <x v="1"/>
    <x v="0"/>
    <x v="116"/>
    <x v="10"/>
    <x v="185"/>
    <x v="8"/>
    <x v="1"/>
    <x v="5"/>
  </r>
  <r>
    <x v="0"/>
    <x v="3"/>
    <x v="440"/>
    <x v="29"/>
    <x v="2"/>
    <x v="8"/>
    <x v="29"/>
    <x v="1177"/>
    <x v="178"/>
    <x v="34"/>
    <x v="305"/>
    <x v="8"/>
    <x v="1222"/>
    <x v="1220"/>
    <x v="1187"/>
    <x v="1"/>
    <x v="1214"/>
    <x v="1222"/>
    <x v="703"/>
    <x v="0"/>
    <x v="0"/>
    <x v="0"/>
    <x v="88"/>
    <x v="7"/>
    <x v="76"/>
    <x v="3"/>
    <x v="1"/>
    <x v="112"/>
  </r>
  <r>
    <x v="0"/>
    <x v="395"/>
    <x v="128"/>
    <x v="38"/>
    <x v="223"/>
    <x v="224"/>
    <x v="11"/>
    <x v="1178"/>
    <x v="70"/>
    <x v="11"/>
    <x v="231"/>
    <x v="986"/>
    <x v="1223"/>
    <x v="1221"/>
    <x v="1188"/>
    <x v="6"/>
    <x v="1215"/>
    <x v="1223"/>
    <x v="68"/>
    <x v="0"/>
    <x v="0"/>
    <x v="4"/>
    <x v="114"/>
    <x v="11"/>
    <x v="6"/>
    <x v="22"/>
    <x v="1"/>
    <x v="85"/>
  </r>
  <r>
    <x v="0"/>
    <x v="553"/>
    <x v="383"/>
    <x v="71"/>
    <x v="143"/>
    <x v="119"/>
    <x v="22"/>
    <x v="1179"/>
    <x v="44"/>
    <x v="240"/>
    <x v="841"/>
    <x v="987"/>
    <x v="1224"/>
    <x v="1222"/>
    <x v="1189"/>
    <x v="4"/>
    <x v="1216"/>
    <x v="1224"/>
    <x v="704"/>
    <x v="0"/>
    <x v="0"/>
    <x v="2"/>
    <x v="88"/>
    <x v="9"/>
    <x v="43"/>
    <x v="18"/>
    <x v="1"/>
    <x v="1"/>
  </r>
  <r>
    <x v="0"/>
    <x v="289"/>
    <x v="189"/>
    <x v="106"/>
    <x v="0"/>
    <x v="566"/>
    <x v="277"/>
    <x v="1180"/>
    <x v="51"/>
    <x v="505"/>
    <x v="842"/>
    <x v="988"/>
    <x v="1225"/>
    <x v="1223"/>
    <x v="498"/>
    <x v="0"/>
    <x v="1217"/>
    <x v="1225"/>
    <x v="58"/>
    <x v="10"/>
    <x v="0"/>
    <x v="4"/>
    <x v="88"/>
    <x v="7"/>
    <x v="489"/>
    <x v="6"/>
    <x v="3"/>
    <x v="57"/>
  </r>
  <r>
    <x v="0"/>
    <x v="533"/>
    <x v="353"/>
    <x v="29"/>
    <x v="263"/>
    <x v="98"/>
    <x v="278"/>
    <x v="1181"/>
    <x v="2"/>
    <x v="506"/>
    <x v="843"/>
    <x v="123"/>
    <x v="1226"/>
    <x v="1224"/>
    <x v="725"/>
    <x v="1"/>
    <x v="1218"/>
    <x v="1226"/>
    <x v="484"/>
    <x v="0"/>
    <x v="1"/>
    <x v="2"/>
    <x v="116"/>
    <x v="42"/>
    <x v="490"/>
    <x v="10"/>
    <x v="1"/>
    <x v="1"/>
  </r>
  <r>
    <x v="0"/>
    <x v="554"/>
    <x v="144"/>
    <x v="86"/>
    <x v="269"/>
    <x v="397"/>
    <x v="35"/>
    <x v="1182"/>
    <x v="18"/>
    <x v="507"/>
    <x v="100"/>
    <x v="989"/>
    <x v="1227"/>
    <x v="1225"/>
    <x v="1190"/>
    <x v="0"/>
    <x v="1219"/>
    <x v="1227"/>
    <x v="413"/>
    <x v="0"/>
    <x v="0"/>
    <x v="4"/>
    <x v="88"/>
    <x v="5"/>
    <x v="30"/>
    <x v="21"/>
    <x v="1"/>
    <x v="16"/>
  </r>
  <r>
    <x v="0"/>
    <x v="246"/>
    <x v="441"/>
    <x v="38"/>
    <x v="166"/>
    <x v="441"/>
    <x v="279"/>
    <x v="1183"/>
    <x v="314"/>
    <x v="508"/>
    <x v="844"/>
    <x v="990"/>
    <x v="1228"/>
    <x v="1226"/>
    <x v="1191"/>
    <x v="3"/>
    <x v="1220"/>
    <x v="1228"/>
    <x v="705"/>
    <x v="0"/>
    <x v="0"/>
    <x v="2"/>
    <x v="88"/>
    <x v="43"/>
    <x v="401"/>
    <x v="18"/>
    <x v="1"/>
    <x v="232"/>
  </r>
  <r>
    <x v="0"/>
    <x v="387"/>
    <x v="423"/>
    <x v="45"/>
    <x v="219"/>
    <x v="561"/>
    <x v="1"/>
    <x v="1184"/>
    <x v="60"/>
    <x v="1"/>
    <x v="845"/>
    <x v="893"/>
    <x v="1229"/>
    <x v="1227"/>
    <x v="1192"/>
    <x v="1"/>
    <x v="1221"/>
    <x v="1229"/>
    <x v="672"/>
    <x v="0"/>
    <x v="0"/>
    <x v="0"/>
    <x v="88"/>
    <x v="14"/>
    <x v="400"/>
    <x v="4"/>
    <x v="1"/>
    <x v="1"/>
  </r>
  <r>
    <x v="0"/>
    <x v="555"/>
    <x v="177"/>
    <x v="77"/>
    <x v="174"/>
    <x v="603"/>
    <x v="11"/>
    <x v="1185"/>
    <x v="49"/>
    <x v="63"/>
    <x v="846"/>
    <x v="991"/>
    <x v="1230"/>
    <x v="1228"/>
    <x v="1193"/>
    <x v="0"/>
    <x v="1222"/>
    <x v="1230"/>
    <x v="347"/>
    <x v="0"/>
    <x v="0"/>
    <x v="2"/>
    <x v="88"/>
    <x v="7"/>
    <x v="491"/>
    <x v="2"/>
    <x v="1"/>
    <x v="1"/>
  </r>
  <r>
    <x v="1"/>
    <x v="386"/>
    <x v="229"/>
    <x v="27"/>
    <x v="116"/>
    <x v="457"/>
    <x v="245"/>
    <x v="1186"/>
    <x v="236"/>
    <x v="509"/>
    <x v="847"/>
    <x v="992"/>
    <x v="1231"/>
    <x v="1229"/>
    <x v="1194"/>
    <x v="0"/>
    <x v="1223"/>
    <x v="1231"/>
    <x v="706"/>
    <x v="0"/>
    <x v="0"/>
    <x v="0"/>
    <x v="112"/>
    <x v="12"/>
    <x v="492"/>
    <x v="12"/>
    <x v="1"/>
    <x v="1"/>
  </r>
  <r>
    <x v="0"/>
    <x v="556"/>
    <x v="244"/>
    <x v="72"/>
    <x v="91"/>
    <x v="32"/>
    <x v="22"/>
    <x v="1187"/>
    <x v="348"/>
    <x v="80"/>
    <x v="848"/>
    <x v="39"/>
    <x v="1232"/>
    <x v="1230"/>
    <x v="1195"/>
    <x v="0"/>
    <x v="1224"/>
    <x v="1232"/>
    <x v="472"/>
    <x v="0"/>
    <x v="0"/>
    <x v="2"/>
    <x v="131"/>
    <x v="3"/>
    <x v="12"/>
    <x v="4"/>
    <x v="3"/>
    <x v="59"/>
  </r>
  <r>
    <x v="0"/>
    <x v="557"/>
    <x v="342"/>
    <x v="59"/>
    <x v="123"/>
    <x v="248"/>
    <x v="0"/>
    <x v="1188"/>
    <x v="127"/>
    <x v="510"/>
    <x v="849"/>
    <x v="320"/>
    <x v="1233"/>
    <x v="1231"/>
    <x v="1196"/>
    <x v="4"/>
    <x v="1225"/>
    <x v="1233"/>
    <x v="420"/>
    <x v="0"/>
    <x v="0"/>
    <x v="0"/>
    <x v="88"/>
    <x v="8"/>
    <x v="493"/>
    <x v="27"/>
    <x v="1"/>
    <x v="67"/>
  </r>
  <r>
    <x v="0"/>
    <x v="326"/>
    <x v="376"/>
    <x v="90"/>
    <x v="121"/>
    <x v="545"/>
    <x v="280"/>
    <x v="1189"/>
    <x v="432"/>
    <x v="511"/>
    <x v="850"/>
    <x v="993"/>
    <x v="1234"/>
    <x v="1232"/>
    <x v="1197"/>
    <x v="1"/>
    <x v="1226"/>
    <x v="1234"/>
    <x v="600"/>
    <x v="0"/>
    <x v="0"/>
    <x v="4"/>
    <x v="88"/>
    <x v="11"/>
    <x v="494"/>
    <x v="8"/>
    <x v="1"/>
    <x v="37"/>
  </r>
  <r>
    <x v="0"/>
    <x v="420"/>
    <x v="74"/>
    <x v="24"/>
    <x v="0"/>
    <x v="301"/>
    <x v="57"/>
    <x v="1190"/>
    <x v="168"/>
    <x v="109"/>
    <x v="851"/>
    <x v="398"/>
    <x v="1235"/>
    <x v="1233"/>
    <x v="1198"/>
    <x v="1"/>
    <x v="1227"/>
    <x v="1235"/>
    <x v="482"/>
    <x v="0"/>
    <x v="0"/>
    <x v="0"/>
    <x v="88"/>
    <x v="13"/>
    <x v="0"/>
    <x v="1"/>
    <x v="1"/>
    <x v="1"/>
  </r>
  <r>
    <x v="0"/>
    <x v="509"/>
    <x v="186"/>
    <x v="42"/>
    <x v="257"/>
    <x v="229"/>
    <x v="20"/>
    <x v="1191"/>
    <x v="236"/>
    <x v="21"/>
    <x v="845"/>
    <x v="291"/>
    <x v="1236"/>
    <x v="1234"/>
    <x v="1199"/>
    <x v="1"/>
    <x v="1228"/>
    <x v="1236"/>
    <x v="425"/>
    <x v="0"/>
    <x v="0"/>
    <x v="4"/>
    <x v="88"/>
    <x v="17"/>
    <x v="400"/>
    <x v="27"/>
    <x v="3"/>
    <x v="1"/>
  </r>
  <r>
    <x v="0"/>
    <x v="38"/>
    <x v="379"/>
    <x v="125"/>
    <x v="25"/>
    <x v="21"/>
    <x v="25"/>
    <x v="1192"/>
    <x v="433"/>
    <x v="82"/>
    <x v="65"/>
    <x v="642"/>
    <x v="1237"/>
    <x v="1235"/>
    <x v="1200"/>
    <x v="4"/>
    <x v="1229"/>
    <x v="1237"/>
    <x v="108"/>
    <x v="0"/>
    <x v="0"/>
    <x v="4"/>
    <x v="105"/>
    <x v="13"/>
    <x v="6"/>
    <x v="13"/>
    <x v="3"/>
    <x v="1"/>
  </r>
  <r>
    <x v="0"/>
    <x v="131"/>
    <x v="429"/>
    <x v="11"/>
    <x v="97"/>
    <x v="298"/>
    <x v="281"/>
    <x v="1193"/>
    <x v="185"/>
    <x v="512"/>
    <x v="852"/>
    <x v="994"/>
    <x v="1238"/>
    <x v="1236"/>
    <x v="1201"/>
    <x v="4"/>
    <x v="1230"/>
    <x v="1238"/>
    <x v="388"/>
    <x v="0"/>
    <x v="0"/>
    <x v="0"/>
    <x v="88"/>
    <x v="29"/>
    <x v="495"/>
    <x v="19"/>
    <x v="1"/>
    <x v="138"/>
  </r>
  <r>
    <x v="0"/>
    <x v="558"/>
    <x v="130"/>
    <x v="58"/>
    <x v="73"/>
    <x v="604"/>
    <x v="0"/>
    <x v="1194"/>
    <x v="179"/>
    <x v="513"/>
    <x v="853"/>
    <x v="995"/>
    <x v="1239"/>
    <x v="1237"/>
    <x v="1202"/>
    <x v="0"/>
    <x v="1231"/>
    <x v="1239"/>
    <x v="707"/>
    <x v="0"/>
    <x v="0"/>
    <x v="4"/>
    <x v="88"/>
    <x v="1"/>
    <x v="496"/>
    <x v="55"/>
    <x v="1"/>
    <x v="1"/>
  </r>
  <r>
    <x v="0"/>
    <x v="372"/>
    <x v="307"/>
    <x v="54"/>
    <x v="8"/>
    <x v="489"/>
    <x v="22"/>
    <x v="1195"/>
    <x v="238"/>
    <x v="514"/>
    <x v="854"/>
    <x v="996"/>
    <x v="1240"/>
    <x v="1238"/>
    <x v="1203"/>
    <x v="1"/>
    <x v="1232"/>
    <x v="1240"/>
    <x v="592"/>
    <x v="0"/>
    <x v="0"/>
    <x v="2"/>
    <x v="88"/>
    <x v="24"/>
    <x v="277"/>
    <x v="31"/>
    <x v="3"/>
    <x v="1"/>
  </r>
  <r>
    <x v="0"/>
    <x v="559"/>
    <x v="217"/>
    <x v="33"/>
    <x v="270"/>
    <x v="104"/>
    <x v="6"/>
    <x v="1196"/>
    <x v="17"/>
    <x v="6"/>
    <x v="855"/>
    <x v="628"/>
    <x v="1241"/>
    <x v="1239"/>
    <x v="1204"/>
    <x v="4"/>
    <x v="1233"/>
    <x v="1241"/>
    <x v="454"/>
    <x v="0"/>
    <x v="0"/>
    <x v="0"/>
    <x v="88"/>
    <x v="21"/>
    <x v="30"/>
    <x v="34"/>
    <x v="3"/>
    <x v="1"/>
  </r>
  <r>
    <x v="0"/>
    <x v="347"/>
    <x v="177"/>
    <x v="54"/>
    <x v="164"/>
    <x v="410"/>
    <x v="7"/>
    <x v="1197"/>
    <x v="434"/>
    <x v="7"/>
    <x v="856"/>
    <x v="596"/>
    <x v="1242"/>
    <x v="1240"/>
    <x v="1205"/>
    <x v="2"/>
    <x v="1234"/>
    <x v="1242"/>
    <x v="708"/>
    <x v="0"/>
    <x v="0"/>
    <x v="0"/>
    <x v="4"/>
    <x v="1"/>
    <x v="497"/>
    <x v="12"/>
    <x v="3"/>
    <x v="1"/>
  </r>
  <r>
    <x v="0"/>
    <x v="560"/>
    <x v="173"/>
    <x v="56"/>
    <x v="154"/>
    <x v="426"/>
    <x v="282"/>
    <x v="1198"/>
    <x v="145"/>
    <x v="515"/>
    <x v="857"/>
    <x v="997"/>
    <x v="1243"/>
    <x v="1241"/>
    <x v="1206"/>
    <x v="0"/>
    <x v="1235"/>
    <x v="1243"/>
    <x v="709"/>
    <x v="0"/>
    <x v="0"/>
    <x v="4"/>
    <x v="88"/>
    <x v="10"/>
    <x v="498"/>
    <x v="15"/>
    <x v="1"/>
    <x v="42"/>
  </r>
  <r>
    <x v="0"/>
    <x v="544"/>
    <x v="304"/>
    <x v="54"/>
    <x v="247"/>
    <x v="173"/>
    <x v="259"/>
    <x v="1199"/>
    <x v="200"/>
    <x v="516"/>
    <x v="858"/>
    <x v="998"/>
    <x v="1244"/>
    <x v="1242"/>
    <x v="1207"/>
    <x v="1"/>
    <x v="1236"/>
    <x v="1244"/>
    <x v="575"/>
    <x v="0"/>
    <x v="0"/>
    <x v="0"/>
    <x v="88"/>
    <x v="3"/>
    <x v="121"/>
    <x v="27"/>
    <x v="1"/>
    <x v="1"/>
  </r>
  <r>
    <x v="0"/>
    <x v="548"/>
    <x v="442"/>
    <x v="70"/>
    <x v="0"/>
    <x v="81"/>
    <x v="35"/>
    <x v="1200"/>
    <x v="364"/>
    <x v="517"/>
    <x v="859"/>
    <x v="999"/>
    <x v="1245"/>
    <x v="1243"/>
    <x v="1208"/>
    <x v="0"/>
    <x v="1237"/>
    <x v="1245"/>
    <x v="710"/>
    <x v="0"/>
    <x v="0"/>
    <x v="4"/>
    <x v="88"/>
    <x v="10"/>
    <x v="496"/>
    <x v="5"/>
    <x v="1"/>
    <x v="18"/>
  </r>
  <r>
    <x v="0"/>
    <x v="133"/>
    <x v="291"/>
    <x v="32"/>
    <x v="98"/>
    <x v="45"/>
    <x v="25"/>
    <x v="1201"/>
    <x v="60"/>
    <x v="76"/>
    <x v="77"/>
    <x v="1000"/>
    <x v="1246"/>
    <x v="1244"/>
    <x v="1209"/>
    <x v="1"/>
    <x v="1238"/>
    <x v="1246"/>
    <x v="711"/>
    <x v="0"/>
    <x v="8"/>
    <x v="4"/>
    <x v="88"/>
    <x v="15"/>
    <x v="56"/>
    <x v="12"/>
    <x v="1"/>
    <x v="1"/>
  </r>
  <r>
    <x v="0"/>
    <x v="78"/>
    <x v="249"/>
    <x v="35"/>
    <x v="0"/>
    <x v="391"/>
    <x v="283"/>
    <x v="1202"/>
    <x v="432"/>
    <x v="518"/>
    <x v="403"/>
    <x v="552"/>
    <x v="1247"/>
    <x v="1245"/>
    <x v="1210"/>
    <x v="1"/>
    <x v="1239"/>
    <x v="1247"/>
    <x v="120"/>
    <x v="0"/>
    <x v="0"/>
    <x v="4"/>
    <x v="30"/>
    <x v="23"/>
    <x v="271"/>
    <x v="13"/>
    <x v="1"/>
    <x v="1"/>
  </r>
  <r>
    <x v="0"/>
    <x v="561"/>
    <x v="275"/>
    <x v="50"/>
    <x v="79"/>
    <x v="605"/>
    <x v="262"/>
    <x v="1203"/>
    <x v="125"/>
    <x v="519"/>
    <x v="806"/>
    <x v="1001"/>
    <x v="1248"/>
    <x v="1246"/>
    <x v="1211"/>
    <x v="4"/>
    <x v="1240"/>
    <x v="1248"/>
    <x v="469"/>
    <x v="0"/>
    <x v="0"/>
    <x v="4"/>
    <x v="88"/>
    <x v="11"/>
    <x v="136"/>
    <x v="37"/>
    <x v="3"/>
    <x v="1"/>
  </r>
  <r>
    <x v="0"/>
    <x v="562"/>
    <x v="249"/>
    <x v="50"/>
    <x v="0"/>
    <x v="545"/>
    <x v="139"/>
    <x v="1204"/>
    <x v="200"/>
    <x v="258"/>
    <x v="860"/>
    <x v="1002"/>
    <x v="1249"/>
    <x v="1247"/>
    <x v="1212"/>
    <x v="3"/>
    <x v="1241"/>
    <x v="1249"/>
    <x v="140"/>
    <x v="0"/>
    <x v="8"/>
    <x v="0"/>
    <x v="81"/>
    <x v="21"/>
    <x v="409"/>
    <x v="55"/>
    <x v="3"/>
    <x v="233"/>
  </r>
  <r>
    <x v="0"/>
    <x v="458"/>
    <x v="403"/>
    <x v="80"/>
    <x v="126"/>
    <x v="284"/>
    <x v="284"/>
    <x v="1205"/>
    <x v="429"/>
    <x v="520"/>
    <x v="861"/>
    <x v="1003"/>
    <x v="1250"/>
    <x v="1248"/>
    <x v="1213"/>
    <x v="0"/>
    <x v="1242"/>
    <x v="1250"/>
    <x v="108"/>
    <x v="0"/>
    <x v="0"/>
    <x v="4"/>
    <x v="88"/>
    <x v="10"/>
    <x v="499"/>
    <x v="18"/>
    <x v="1"/>
    <x v="35"/>
  </r>
  <r>
    <x v="0"/>
    <x v="563"/>
    <x v="362"/>
    <x v="58"/>
    <x v="85"/>
    <x v="513"/>
    <x v="39"/>
    <x v="1206"/>
    <x v="314"/>
    <x v="57"/>
    <x v="862"/>
    <x v="1004"/>
    <x v="1251"/>
    <x v="1249"/>
    <x v="649"/>
    <x v="1"/>
    <x v="1243"/>
    <x v="1251"/>
    <x v="426"/>
    <x v="0"/>
    <x v="1"/>
    <x v="0"/>
    <x v="88"/>
    <x v="15"/>
    <x v="500"/>
    <x v="27"/>
    <x v="3"/>
    <x v="234"/>
  </r>
  <r>
    <x v="0"/>
    <x v="237"/>
    <x v="271"/>
    <x v="32"/>
    <x v="158"/>
    <x v="418"/>
    <x v="11"/>
    <x v="1207"/>
    <x v="270"/>
    <x v="11"/>
    <x v="812"/>
    <x v="1005"/>
    <x v="1252"/>
    <x v="1250"/>
    <x v="1214"/>
    <x v="4"/>
    <x v="1244"/>
    <x v="1252"/>
    <x v="285"/>
    <x v="0"/>
    <x v="0"/>
    <x v="0"/>
    <x v="88"/>
    <x v="21"/>
    <x v="13"/>
    <x v="13"/>
    <x v="3"/>
    <x v="37"/>
  </r>
  <r>
    <x v="0"/>
    <x v="307"/>
    <x v="310"/>
    <x v="27"/>
    <x v="114"/>
    <x v="606"/>
    <x v="285"/>
    <x v="1208"/>
    <x v="334"/>
    <x v="521"/>
    <x v="863"/>
    <x v="1006"/>
    <x v="1253"/>
    <x v="1251"/>
    <x v="1215"/>
    <x v="1"/>
    <x v="1245"/>
    <x v="1253"/>
    <x v="369"/>
    <x v="0"/>
    <x v="0"/>
    <x v="0"/>
    <x v="116"/>
    <x v="12"/>
    <x v="501"/>
    <x v="5"/>
    <x v="1"/>
    <x v="1"/>
  </r>
  <r>
    <x v="0"/>
    <x v="113"/>
    <x v="320"/>
    <x v="119"/>
    <x v="88"/>
    <x v="74"/>
    <x v="233"/>
    <x v="4"/>
    <x v="233"/>
    <x v="522"/>
    <x v="864"/>
    <x v="1007"/>
    <x v="1254"/>
    <x v="1252"/>
    <x v="1216"/>
    <x v="0"/>
    <x v="1246"/>
    <x v="1254"/>
    <x v="712"/>
    <x v="0"/>
    <x v="4"/>
    <x v="12"/>
    <x v="4"/>
    <x v="4"/>
    <x v="244"/>
    <x v="38"/>
    <x v="8"/>
    <x v="235"/>
  </r>
  <r>
    <x v="0"/>
    <x v="254"/>
    <x v="265"/>
    <x v="58"/>
    <x v="169"/>
    <x v="88"/>
    <x v="0"/>
    <x v="1209"/>
    <x v="200"/>
    <x v="503"/>
    <x v="865"/>
    <x v="556"/>
    <x v="1255"/>
    <x v="1253"/>
    <x v="1217"/>
    <x v="1"/>
    <x v="1247"/>
    <x v="1255"/>
    <x v="420"/>
    <x v="0"/>
    <x v="0"/>
    <x v="0"/>
    <x v="88"/>
    <x v="8"/>
    <x v="502"/>
    <x v="20"/>
    <x v="1"/>
    <x v="236"/>
  </r>
  <r>
    <x v="0"/>
    <x v="314"/>
    <x v="443"/>
    <x v="16"/>
    <x v="196"/>
    <x v="23"/>
    <x v="21"/>
    <x v="1210"/>
    <x v="335"/>
    <x v="22"/>
    <x v="99"/>
    <x v="537"/>
    <x v="1256"/>
    <x v="1254"/>
    <x v="1218"/>
    <x v="3"/>
    <x v="1248"/>
    <x v="1256"/>
    <x v="524"/>
    <x v="0"/>
    <x v="0"/>
    <x v="4"/>
    <x v="88"/>
    <x v="11"/>
    <x v="71"/>
    <x v="9"/>
    <x v="1"/>
    <x v="4"/>
  </r>
  <r>
    <x v="0"/>
    <x v="503"/>
    <x v="266"/>
    <x v="41"/>
    <x v="256"/>
    <x v="565"/>
    <x v="243"/>
    <x v="1211"/>
    <x v="435"/>
    <x v="446"/>
    <x v="866"/>
    <x v="1008"/>
    <x v="1257"/>
    <x v="1255"/>
    <x v="1219"/>
    <x v="0"/>
    <x v="1249"/>
    <x v="1257"/>
    <x v="368"/>
    <x v="0"/>
    <x v="0"/>
    <x v="0"/>
    <x v="131"/>
    <x v="24"/>
    <x v="181"/>
    <x v="19"/>
    <x v="3"/>
    <x v="1"/>
  </r>
  <r>
    <x v="0"/>
    <x v="564"/>
    <x v="189"/>
    <x v="74"/>
    <x v="144"/>
    <x v="607"/>
    <x v="10"/>
    <x v="1212"/>
    <x v="436"/>
    <x v="33"/>
    <x v="867"/>
    <x v="1009"/>
    <x v="1258"/>
    <x v="1256"/>
    <x v="1220"/>
    <x v="1"/>
    <x v="1250"/>
    <x v="1258"/>
    <x v="19"/>
    <x v="0"/>
    <x v="0"/>
    <x v="0"/>
    <x v="88"/>
    <x v="10"/>
    <x v="354"/>
    <x v="8"/>
    <x v="1"/>
    <x v="36"/>
  </r>
  <r>
    <x v="0"/>
    <x v="498"/>
    <x v="237"/>
    <x v="86"/>
    <x v="59"/>
    <x v="471"/>
    <x v="286"/>
    <x v="1213"/>
    <x v="105"/>
    <x v="523"/>
    <x v="868"/>
    <x v="1010"/>
    <x v="1259"/>
    <x v="1257"/>
    <x v="1221"/>
    <x v="0"/>
    <x v="1251"/>
    <x v="1259"/>
    <x v="319"/>
    <x v="0"/>
    <x v="0"/>
    <x v="0"/>
    <x v="88"/>
    <x v="5"/>
    <x v="198"/>
    <x v="12"/>
    <x v="1"/>
    <x v="1"/>
  </r>
  <r>
    <x v="0"/>
    <x v="474"/>
    <x v="288"/>
    <x v="85"/>
    <x v="246"/>
    <x v="249"/>
    <x v="0"/>
    <x v="1214"/>
    <x v="437"/>
    <x v="524"/>
    <x v="869"/>
    <x v="321"/>
    <x v="1260"/>
    <x v="1258"/>
    <x v="1222"/>
    <x v="0"/>
    <x v="1252"/>
    <x v="1260"/>
    <x v="437"/>
    <x v="0"/>
    <x v="0"/>
    <x v="4"/>
    <x v="88"/>
    <x v="12"/>
    <x v="30"/>
    <x v="40"/>
    <x v="1"/>
    <x v="1"/>
  </r>
  <r>
    <x v="0"/>
    <x v="565"/>
    <x v="382"/>
    <x v="38"/>
    <x v="174"/>
    <x v="251"/>
    <x v="35"/>
    <x v="1215"/>
    <x v="263"/>
    <x v="280"/>
    <x v="74"/>
    <x v="1011"/>
    <x v="1261"/>
    <x v="1259"/>
    <x v="1223"/>
    <x v="0"/>
    <x v="1253"/>
    <x v="1261"/>
    <x v="713"/>
    <x v="0"/>
    <x v="0"/>
    <x v="4"/>
    <x v="88"/>
    <x v="21"/>
    <x v="30"/>
    <x v="20"/>
    <x v="1"/>
    <x v="169"/>
  </r>
  <r>
    <x v="0"/>
    <x v="126"/>
    <x v="265"/>
    <x v="24"/>
    <x v="0"/>
    <x v="351"/>
    <x v="22"/>
    <x v="1216"/>
    <x v="225"/>
    <x v="169"/>
    <x v="870"/>
    <x v="1012"/>
    <x v="1262"/>
    <x v="1260"/>
    <x v="1224"/>
    <x v="1"/>
    <x v="1254"/>
    <x v="1262"/>
    <x v="714"/>
    <x v="0"/>
    <x v="0"/>
    <x v="0"/>
    <x v="88"/>
    <x v="12"/>
    <x v="30"/>
    <x v="15"/>
    <x v="1"/>
    <x v="67"/>
  </r>
  <r>
    <x v="0"/>
    <x v="168"/>
    <x v="388"/>
    <x v="86"/>
    <x v="111"/>
    <x v="92"/>
    <x v="22"/>
    <x v="1217"/>
    <x v="438"/>
    <x v="295"/>
    <x v="871"/>
    <x v="1013"/>
    <x v="1263"/>
    <x v="1261"/>
    <x v="1225"/>
    <x v="0"/>
    <x v="1255"/>
    <x v="1263"/>
    <x v="559"/>
    <x v="0"/>
    <x v="0"/>
    <x v="4"/>
    <x v="88"/>
    <x v="21"/>
    <x v="503"/>
    <x v="37"/>
    <x v="1"/>
    <x v="237"/>
  </r>
  <r>
    <x v="0"/>
    <x v="400"/>
    <x v="219"/>
    <x v="78"/>
    <x v="218"/>
    <x v="273"/>
    <x v="287"/>
    <x v="1218"/>
    <x v="125"/>
    <x v="525"/>
    <x v="872"/>
    <x v="1014"/>
    <x v="1264"/>
    <x v="1262"/>
    <x v="1226"/>
    <x v="4"/>
    <x v="1256"/>
    <x v="1264"/>
    <x v="715"/>
    <x v="0"/>
    <x v="0"/>
    <x v="0"/>
    <x v="88"/>
    <x v="15"/>
    <x v="504"/>
    <x v="43"/>
    <x v="3"/>
    <x v="238"/>
  </r>
  <r>
    <x v="0"/>
    <x v="407"/>
    <x v="266"/>
    <x v="77"/>
    <x v="173"/>
    <x v="608"/>
    <x v="14"/>
    <x v="1219"/>
    <x v="321"/>
    <x v="373"/>
    <x v="36"/>
    <x v="1015"/>
    <x v="1265"/>
    <x v="1263"/>
    <x v="1227"/>
    <x v="4"/>
    <x v="1257"/>
    <x v="1265"/>
    <x v="291"/>
    <x v="0"/>
    <x v="0"/>
    <x v="0"/>
    <x v="88"/>
    <x v="25"/>
    <x v="29"/>
    <x v="46"/>
    <x v="1"/>
    <x v="1"/>
  </r>
  <r>
    <x v="0"/>
    <x v="177"/>
    <x v="283"/>
    <x v="27"/>
    <x v="0"/>
    <x v="329"/>
    <x v="288"/>
    <x v="1220"/>
    <x v="6"/>
    <x v="526"/>
    <x v="873"/>
    <x v="1016"/>
    <x v="1266"/>
    <x v="1264"/>
    <x v="1228"/>
    <x v="0"/>
    <x v="1258"/>
    <x v="1266"/>
    <x v="708"/>
    <x v="0"/>
    <x v="8"/>
    <x v="0"/>
    <x v="88"/>
    <x v="18"/>
    <x v="58"/>
    <x v="55"/>
    <x v="1"/>
    <x v="239"/>
  </r>
  <r>
    <x v="0"/>
    <x v="566"/>
    <x v="244"/>
    <x v="69"/>
    <x v="28"/>
    <x v="8"/>
    <x v="24"/>
    <x v="1221"/>
    <x v="415"/>
    <x v="131"/>
    <x v="24"/>
    <x v="1017"/>
    <x v="1267"/>
    <x v="1265"/>
    <x v="1229"/>
    <x v="3"/>
    <x v="1259"/>
    <x v="1267"/>
    <x v="418"/>
    <x v="0"/>
    <x v="1"/>
    <x v="0"/>
    <x v="82"/>
    <x v="8"/>
    <x v="21"/>
    <x v="10"/>
    <x v="3"/>
    <x v="1"/>
  </r>
  <r>
    <x v="0"/>
    <x v="567"/>
    <x v="160"/>
    <x v="73"/>
    <x v="143"/>
    <x v="11"/>
    <x v="11"/>
    <x v="1222"/>
    <x v="17"/>
    <x v="63"/>
    <x v="99"/>
    <x v="11"/>
    <x v="1268"/>
    <x v="1266"/>
    <x v="1230"/>
    <x v="1"/>
    <x v="1260"/>
    <x v="1268"/>
    <x v="459"/>
    <x v="0"/>
    <x v="0"/>
    <x v="0"/>
    <x v="88"/>
    <x v="18"/>
    <x v="71"/>
    <x v="10"/>
    <x v="3"/>
    <x v="60"/>
  </r>
  <r>
    <x v="0"/>
    <x v="249"/>
    <x v="136"/>
    <x v="77"/>
    <x v="138"/>
    <x v="250"/>
    <x v="289"/>
    <x v="1223"/>
    <x v="381"/>
    <x v="527"/>
    <x v="874"/>
    <x v="1018"/>
    <x v="1269"/>
    <x v="1267"/>
    <x v="1231"/>
    <x v="0"/>
    <x v="1261"/>
    <x v="1269"/>
    <x v="128"/>
    <x v="0"/>
    <x v="0"/>
    <x v="4"/>
    <x v="88"/>
    <x v="1"/>
    <x v="505"/>
    <x v="20"/>
    <x v="1"/>
    <x v="1"/>
  </r>
  <r>
    <x v="0"/>
    <x v="48"/>
    <x v="356"/>
    <x v="52"/>
    <x v="33"/>
    <x v="389"/>
    <x v="13"/>
    <x v="1224"/>
    <x v="368"/>
    <x v="158"/>
    <x v="875"/>
    <x v="1019"/>
    <x v="1270"/>
    <x v="1268"/>
    <x v="1232"/>
    <x v="0"/>
    <x v="1262"/>
    <x v="1270"/>
    <x v="533"/>
    <x v="0"/>
    <x v="0"/>
    <x v="4"/>
    <x v="149"/>
    <x v="44"/>
    <x v="506"/>
    <x v="38"/>
    <x v="3"/>
    <x v="1"/>
  </r>
  <r>
    <x v="0"/>
    <x v="487"/>
    <x v="329"/>
    <x v="57"/>
    <x v="149"/>
    <x v="609"/>
    <x v="56"/>
    <x v="1225"/>
    <x v="200"/>
    <x v="98"/>
    <x v="876"/>
    <x v="1020"/>
    <x v="1271"/>
    <x v="1269"/>
    <x v="1233"/>
    <x v="1"/>
    <x v="1263"/>
    <x v="1271"/>
    <x v="666"/>
    <x v="0"/>
    <x v="0"/>
    <x v="0"/>
    <x v="88"/>
    <x v="24"/>
    <x v="507"/>
    <x v="9"/>
    <x v="3"/>
    <x v="240"/>
  </r>
  <r>
    <x v="0"/>
    <x v="484"/>
    <x v="275"/>
    <x v="52"/>
    <x v="249"/>
    <x v="610"/>
    <x v="290"/>
    <x v="1226"/>
    <x v="28"/>
    <x v="528"/>
    <x v="877"/>
    <x v="1021"/>
    <x v="1272"/>
    <x v="1270"/>
    <x v="1234"/>
    <x v="0"/>
    <x v="1264"/>
    <x v="1272"/>
    <x v="394"/>
    <x v="0"/>
    <x v="10"/>
    <x v="0"/>
    <x v="88"/>
    <x v="10"/>
    <x v="468"/>
    <x v="21"/>
    <x v="1"/>
    <x v="61"/>
  </r>
  <r>
    <x v="0"/>
    <x v="568"/>
    <x v="384"/>
    <x v="107"/>
    <x v="143"/>
    <x v="537"/>
    <x v="14"/>
    <x v="1227"/>
    <x v="439"/>
    <x v="61"/>
    <x v="878"/>
    <x v="1022"/>
    <x v="1273"/>
    <x v="1271"/>
    <x v="1235"/>
    <x v="0"/>
    <x v="1265"/>
    <x v="1273"/>
    <x v="450"/>
    <x v="0"/>
    <x v="0"/>
    <x v="3"/>
    <x v="88"/>
    <x v="20"/>
    <x v="508"/>
    <x v="5"/>
    <x v="3"/>
    <x v="1"/>
  </r>
  <r>
    <x v="0"/>
    <x v="309"/>
    <x v="209"/>
    <x v="26"/>
    <x v="194"/>
    <x v="611"/>
    <x v="13"/>
    <x v="1228"/>
    <x v="171"/>
    <x v="158"/>
    <x v="6"/>
    <x v="1023"/>
    <x v="1274"/>
    <x v="1272"/>
    <x v="1236"/>
    <x v="1"/>
    <x v="1266"/>
    <x v="1274"/>
    <x v="690"/>
    <x v="0"/>
    <x v="0"/>
    <x v="4"/>
    <x v="81"/>
    <x v="19"/>
    <x v="6"/>
    <x v="5"/>
    <x v="1"/>
    <x v="99"/>
  </r>
  <r>
    <x v="1"/>
    <x v="569"/>
    <x v="398"/>
    <x v="57"/>
    <x v="116"/>
    <x v="612"/>
    <x v="291"/>
    <x v="1229"/>
    <x v="17"/>
    <x v="529"/>
    <x v="214"/>
    <x v="1024"/>
    <x v="1275"/>
    <x v="1273"/>
    <x v="1237"/>
    <x v="1"/>
    <x v="1267"/>
    <x v="1275"/>
    <x v="170"/>
    <x v="0"/>
    <x v="0"/>
    <x v="0"/>
    <x v="81"/>
    <x v="15"/>
    <x v="144"/>
    <x v="18"/>
    <x v="3"/>
    <x v="1"/>
  </r>
  <r>
    <x v="0"/>
    <x v="570"/>
    <x v="366"/>
    <x v="95"/>
    <x v="58"/>
    <x v="1"/>
    <x v="0"/>
    <x v="1230"/>
    <x v="132"/>
    <x v="530"/>
    <x v="488"/>
    <x v="1025"/>
    <x v="1276"/>
    <x v="1274"/>
    <x v="1238"/>
    <x v="0"/>
    <x v="1268"/>
    <x v="1276"/>
    <x v="488"/>
    <x v="0"/>
    <x v="0"/>
    <x v="0"/>
    <x v="88"/>
    <x v="14"/>
    <x v="30"/>
    <x v="61"/>
    <x v="1"/>
    <x v="1"/>
  </r>
  <r>
    <x v="0"/>
    <x v="377"/>
    <x v="401"/>
    <x v="70"/>
    <x v="184"/>
    <x v="494"/>
    <x v="21"/>
    <x v="1231"/>
    <x v="306"/>
    <x v="210"/>
    <x v="879"/>
    <x v="739"/>
    <x v="1277"/>
    <x v="1275"/>
    <x v="1239"/>
    <x v="4"/>
    <x v="1269"/>
    <x v="1277"/>
    <x v="716"/>
    <x v="0"/>
    <x v="0"/>
    <x v="4"/>
    <x v="88"/>
    <x v="25"/>
    <x v="428"/>
    <x v="5"/>
    <x v="3"/>
    <x v="241"/>
  </r>
  <r>
    <x v="0"/>
    <x v="130"/>
    <x v="198"/>
    <x v="22"/>
    <x v="96"/>
    <x v="219"/>
    <x v="17"/>
    <x v="1232"/>
    <x v="270"/>
    <x v="531"/>
    <x v="880"/>
    <x v="1026"/>
    <x v="1278"/>
    <x v="1276"/>
    <x v="1240"/>
    <x v="0"/>
    <x v="1270"/>
    <x v="1278"/>
    <x v="185"/>
    <x v="0"/>
    <x v="10"/>
    <x v="13"/>
    <x v="91"/>
    <x v="16"/>
    <x v="92"/>
    <x v="51"/>
    <x v="1"/>
    <x v="1"/>
  </r>
  <r>
    <x v="0"/>
    <x v="571"/>
    <x v="444"/>
    <x v="32"/>
    <x v="0"/>
    <x v="99"/>
    <x v="41"/>
    <x v="1233"/>
    <x v="415"/>
    <x v="396"/>
    <x v="881"/>
    <x v="124"/>
    <x v="1279"/>
    <x v="1277"/>
    <x v="1241"/>
    <x v="1"/>
    <x v="1271"/>
    <x v="1279"/>
    <x v="413"/>
    <x v="0"/>
    <x v="0"/>
    <x v="0"/>
    <x v="88"/>
    <x v="7"/>
    <x v="509"/>
    <x v="21"/>
    <x v="3"/>
    <x v="1"/>
  </r>
  <r>
    <x v="0"/>
    <x v="466"/>
    <x v="361"/>
    <x v="59"/>
    <x v="38"/>
    <x v="378"/>
    <x v="25"/>
    <x v="1234"/>
    <x v="23"/>
    <x v="76"/>
    <x v="331"/>
    <x v="532"/>
    <x v="1280"/>
    <x v="1278"/>
    <x v="1242"/>
    <x v="3"/>
    <x v="1272"/>
    <x v="1280"/>
    <x v="716"/>
    <x v="0"/>
    <x v="0"/>
    <x v="4"/>
    <x v="88"/>
    <x v="16"/>
    <x v="222"/>
    <x v="18"/>
    <x v="3"/>
    <x v="242"/>
  </r>
  <r>
    <x v="0"/>
    <x v="572"/>
    <x v="182"/>
    <x v="58"/>
    <x v="107"/>
    <x v="613"/>
    <x v="57"/>
    <x v="1235"/>
    <x v="28"/>
    <x v="237"/>
    <x v="793"/>
    <x v="1027"/>
    <x v="1281"/>
    <x v="1279"/>
    <x v="1243"/>
    <x v="1"/>
    <x v="1273"/>
    <x v="1281"/>
    <x v="437"/>
    <x v="0"/>
    <x v="0"/>
    <x v="4"/>
    <x v="88"/>
    <x v="21"/>
    <x v="445"/>
    <x v="37"/>
    <x v="1"/>
    <x v="243"/>
  </r>
  <r>
    <x v="0"/>
    <x v="573"/>
    <x v="351"/>
    <x v="37"/>
    <x v="41"/>
    <x v="7"/>
    <x v="18"/>
    <x v="1236"/>
    <x v="306"/>
    <x v="19"/>
    <x v="882"/>
    <x v="1028"/>
    <x v="1282"/>
    <x v="1280"/>
    <x v="1244"/>
    <x v="0"/>
    <x v="1274"/>
    <x v="1282"/>
    <x v="302"/>
    <x v="0"/>
    <x v="13"/>
    <x v="0"/>
    <x v="91"/>
    <x v="3"/>
    <x v="510"/>
    <x v="32"/>
    <x v="1"/>
    <x v="39"/>
  </r>
  <r>
    <x v="0"/>
    <x v="574"/>
    <x v="324"/>
    <x v="86"/>
    <x v="94"/>
    <x v="614"/>
    <x v="292"/>
    <x v="1237"/>
    <x v="440"/>
    <x v="532"/>
    <x v="218"/>
    <x v="1029"/>
    <x v="1283"/>
    <x v="1281"/>
    <x v="1245"/>
    <x v="4"/>
    <x v="1275"/>
    <x v="1283"/>
    <x v="189"/>
    <x v="0"/>
    <x v="0"/>
    <x v="0"/>
    <x v="129"/>
    <x v="42"/>
    <x v="148"/>
    <x v="39"/>
    <x v="3"/>
    <x v="244"/>
  </r>
  <r>
    <x v="0"/>
    <x v="470"/>
    <x v="445"/>
    <x v="101"/>
    <x v="0"/>
    <x v="408"/>
    <x v="57"/>
    <x v="1238"/>
    <x v="441"/>
    <x v="192"/>
    <x v="608"/>
    <x v="1030"/>
    <x v="1284"/>
    <x v="1282"/>
    <x v="1246"/>
    <x v="0"/>
    <x v="1276"/>
    <x v="1284"/>
    <x v="479"/>
    <x v="0"/>
    <x v="0"/>
    <x v="2"/>
    <x v="88"/>
    <x v="0"/>
    <x v="6"/>
    <x v="6"/>
    <x v="3"/>
    <x v="61"/>
  </r>
  <r>
    <x v="0"/>
    <x v="392"/>
    <x v="366"/>
    <x v="33"/>
    <x v="169"/>
    <x v="412"/>
    <x v="2"/>
    <x v="1239"/>
    <x v="127"/>
    <x v="60"/>
    <x v="540"/>
    <x v="1031"/>
    <x v="1285"/>
    <x v="1283"/>
    <x v="1247"/>
    <x v="4"/>
    <x v="1277"/>
    <x v="1285"/>
    <x v="528"/>
    <x v="0"/>
    <x v="0"/>
    <x v="0"/>
    <x v="88"/>
    <x v="19"/>
    <x v="351"/>
    <x v="27"/>
    <x v="1"/>
    <x v="245"/>
  </r>
  <r>
    <x v="0"/>
    <x v="469"/>
    <x v="361"/>
    <x v="77"/>
    <x v="0"/>
    <x v="160"/>
    <x v="293"/>
    <x v="1240"/>
    <x v="442"/>
    <x v="533"/>
    <x v="883"/>
    <x v="1032"/>
    <x v="1286"/>
    <x v="1284"/>
    <x v="1248"/>
    <x v="4"/>
    <x v="1278"/>
    <x v="1286"/>
    <x v="421"/>
    <x v="0"/>
    <x v="0"/>
    <x v="0"/>
    <x v="88"/>
    <x v="29"/>
    <x v="151"/>
    <x v="18"/>
    <x v="1"/>
    <x v="246"/>
  </r>
  <r>
    <x v="1"/>
    <x v="365"/>
    <x v="354"/>
    <x v="40"/>
    <x v="0"/>
    <x v="588"/>
    <x v="265"/>
    <x v="1241"/>
    <x v="127"/>
    <x v="534"/>
    <x v="884"/>
    <x v="1033"/>
    <x v="1287"/>
    <x v="1285"/>
    <x v="1249"/>
    <x v="0"/>
    <x v="1279"/>
    <x v="1287"/>
    <x v="717"/>
    <x v="3"/>
    <x v="10"/>
    <x v="4"/>
    <x v="150"/>
    <x v="18"/>
    <x v="303"/>
    <x v="26"/>
    <x v="1"/>
    <x v="36"/>
  </r>
  <r>
    <x v="0"/>
    <x v="575"/>
    <x v="266"/>
    <x v="43"/>
    <x v="195"/>
    <x v="615"/>
    <x v="294"/>
    <x v="1242"/>
    <x v="443"/>
    <x v="535"/>
    <x v="885"/>
    <x v="1034"/>
    <x v="1288"/>
    <x v="1286"/>
    <x v="1250"/>
    <x v="1"/>
    <x v="1280"/>
    <x v="1288"/>
    <x v="718"/>
    <x v="0"/>
    <x v="0"/>
    <x v="2"/>
    <x v="116"/>
    <x v="14"/>
    <x v="124"/>
    <x v="30"/>
    <x v="3"/>
    <x v="247"/>
  </r>
  <r>
    <x v="0"/>
    <x v="576"/>
    <x v="126"/>
    <x v="33"/>
    <x v="125"/>
    <x v="271"/>
    <x v="191"/>
    <x v="1243"/>
    <x v="105"/>
    <x v="536"/>
    <x v="832"/>
    <x v="353"/>
    <x v="1289"/>
    <x v="1287"/>
    <x v="1251"/>
    <x v="2"/>
    <x v="1281"/>
    <x v="1289"/>
    <x v="368"/>
    <x v="0"/>
    <x v="1"/>
    <x v="4"/>
    <x v="81"/>
    <x v="14"/>
    <x v="117"/>
    <x v="5"/>
    <x v="3"/>
    <x v="1"/>
  </r>
  <r>
    <x v="0"/>
    <x v="547"/>
    <x v="211"/>
    <x v="86"/>
    <x v="74"/>
    <x v="616"/>
    <x v="119"/>
    <x v="1244"/>
    <x v="425"/>
    <x v="223"/>
    <x v="886"/>
    <x v="1035"/>
    <x v="1290"/>
    <x v="1288"/>
    <x v="1252"/>
    <x v="3"/>
    <x v="1282"/>
    <x v="1290"/>
    <x v="421"/>
    <x v="0"/>
    <x v="0"/>
    <x v="2"/>
    <x v="88"/>
    <x v="3"/>
    <x v="511"/>
    <x v="12"/>
    <x v="1"/>
    <x v="1"/>
  </r>
  <r>
    <x v="0"/>
    <x v="577"/>
    <x v="390"/>
    <x v="11"/>
    <x v="188"/>
    <x v="617"/>
    <x v="35"/>
    <x v="1245"/>
    <x v="270"/>
    <x v="461"/>
    <x v="772"/>
    <x v="1036"/>
    <x v="1291"/>
    <x v="1289"/>
    <x v="1253"/>
    <x v="1"/>
    <x v="1283"/>
    <x v="1291"/>
    <x v="718"/>
    <x v="0"/>
    <x v="0"/>
    <x v="0"/>
    <x v="88"/>
    <x v="15"/>
    <x v="237"/>
    <x v="22"/>
    <x v="3"/>
    <x v="248"/>
  </r>
  <r>
    <x v="0"/>
    <x v="578"/>
    <x v="209"/>
    <x v="59"/>
    <x v="19"/>
    <x v="53"/>
    <x v="35"/>
    <x v="1246"/>
    <x v="444"/>
    <x v="326"/>
    <x v="887"/>
    <x v="266"/>
    <x v="1292"/>
    <x v="1290"/>
    <x v="1254"/>
    <x v="1"/>
    <x v="1284"/>
    <x v="1292"/>
    <x v="156"/>
    <x v="0"/>
    <x v="1"/>
    <x v="4"/>
    <x v="114"/>
    <x v="19"/>
    <x v="144"/>
    <x v="47"/>
    <x v="1"/>
    <x v="249"/>
  </r>
  <r>
    <x v="0"/>
    <x v="166"/>
    <x v="271"/>
    <x v="56"/>
    <x v="8"/>
    <x v="388"/>
    <x v="21"/>
    <x v="1247"/>
    <x v="151"/>
    <x v="162"/>
    <x v="62"/>
    <x v="1037"/>
    <x v="1293"/>
    <x v="1291"/>
    <x v="1255"/>
    <x v="3"/>
    <x v="1285"/>
    <x v="1293"/>
    <x v="486"/>
    <x v="0"/>
    <x v="0"/>
    <x v="0"/>
    <x v="88"/>
    <x v="0"/>
    <x v="9"/>
    <x v="18"/>
    <x v="1"/>
    <x v="1"/>
  </r>
  <r>
    <x v="0"/>
    <x v="524"/>
    <x v="171"/>
    <x v="47"/>
    <x v="249"/>
    <x v="489"/>
    <x v="2"/>
    <x v="1093"/>
    <x v="251"/>
    <x v="113"/>
    <x v="589"/>
    <x v="924"/>
    <x v="1136"/>
    <x v="1134"/>
    <x v="1109"/>
    <x v="4"/>
    <x v="1128"/>
    <x v="1136"/>
    <x v="552"/>
    <x v="0"/>
    <x v="0"/>
    <x v="0"/>
    <x v="88"/>
    <x v="2"/>
    <x v="30"/>
    <x v="19"/>
    <x v="1"/>
    <x v="59"/>
  </r>
  <r>
    <x v="0"/>
    <x v="478"/>
    <x v="239"/>
    <x v="71"/>
    <x v="0"/>
    <x v="572"/>
    <x v="0"/>
    <x v="1248"/>
    <x v="125"/>
    <x v="537"/>
    <x v="276"/>
    <x v="916"/>
    <x v="1294"/>
    <x v="1292"/>
    <x v="1256"/>
    <x v="0"/>
    <x v="1286"/>
    <x v="1294"/>
    <x v="568"/>
    <x v="0"/>
    <x v="0"/>
    <x v="0"/>
    <x v="88"/>
    <x v="17"/>
    <x v="187"/>
    <x v="27"/>
    <x v="3"/>
    <x v="1"/>
  </r>
  <r>
    <x v="0"/>
    <x v="579"/>
    <x v="343"/>
    <x v="7"/>
    <x v="170"/>
    <x v="526"/>
    <x v="0"/>
    <x v="1249"/>
    <x v="379"/>
    <x v="85"/>
    <x v="327"/>
    <x v="805"/>
    <x v="1295"/>
    <x v="1293"/>
    <x v="1257"/>
    <x v="4"/>
    <x v="1287"/>
    <x v="1295"/>
    <x v="719"/>
    <x v="0"/>
    <x v="0"/>
    <x v="4"/>
    <x v="4"/>
    <x v="8"/>
    <x v="220"/>
    <x v="12"/>
    <x v="1"/>
    <x v="250"/>
  </r>
  <r>
    <x v="0"/>
    <x v="580"/>
    <x v="424"/>
    <x v="73"/>
    <x v="78"/>
    <x v="251"/>
    <x v="247"/>
    <x v="1250"/>
    <x v="51"/>
    <x v="538"/>
    <x v="888"/>
    <x v="1011"/>
    <x v="1296"/>
    <x v="1294"/>
    <x v="1258"/>
    <x v="0"/>
    <x v="1288"/>
    <x v="1296"/>
    <x v="640"/>
    <x v="0"/>
    <x v="1"/>
    <x v="2"/>
    <x v="105"/>
    <x v="35"/>
    <x v="116"/>
    <x v="55"/>
    <x v="1"/>
    <x v="251"/>
  </r>
  <r>
    <x v="0"/>
    <x v="581"/>
    <x v="346"/>
    <x v="105"/>
    <x v="143"/>
    <x v="440"/>
    <x v="35"/>
    <x v="1251"/>
    <x v="46"/>
    <x v="504"/>
    <x v="889"/>
    <x v="644"/>
    <x v="1297"/>
    <x v="1295"/>
    <x v="1259"/>
    <x v="0"/>
    <x v="1289"/>
    <x v="1297"/>
    <x v="402"/>
    <x v="0"/>
    <x v="0"/>
    <x v="4"/>
    <x v="151"/>
    <x v="15"/>
    <x v="199"/>
    <x v="54"/>
    <x v="3"/>
    <x v="252"/>
  </r>
  <r>
    <x v="0"/>
    <x v="582"/>
    <x v="66"/>
    <x v="26"/>
    <x v="188"/>
    <x v="568"/>
    <x v="25"/>
    <x v="1252"/>
    <x v="445"/>
    <x v="392"/>
    <x v="68"/>
    <x v="1038"/>
    <x v="1298"/>
    <x v="1296"/>
    <x v="1260"/>
    <x v="0"/>
    <x v="1290"/>
    <x v="1298"/>
    <x v="505"/>
    <x v="0"/>
    <x v="8"/>
    <x v="4"/>
    <x v="152"/>
    <x v="0"/>
    <x v="12"/>
    <x v="2"/>
    <x v="1"/>
    <x v="7"/>
  </r>
  <r>
    <x v="0"/>
    <x v="449"/>
    <x v="383"/>
    <x v="58"/>
    <x v="218"/>
    <x v="618"/>
    <x v="0"/>
    <x v="1253"/>
    <x v="178"/>
    <x v="346"/>
    <x v="890"/>
    <x v="1039"/>
    <x v="1299"/>
    <x v="1297"/>
    <x v="1261"/>
    <x v="2"/>
    <x v="1291"/>
    <x v="1299"/>
    <x v="488"/>
    <x v="0"/>
    <x v="0"/>
    <x v="4"/>
    <x v="88"/>
    <x v="18"/>
    <x v="30"/>
    <x v="5"/>
    <x v="3"/>
    <x v="151"/>
  </r>
  <r>
    <x v="0"/>
    <x v="565"/>
    <x v="302"/>
    <x v="41"/>
    <x v="174"/>
    <x v="290"/>
    <x v="22"/>
    <x v="1254"/>
    <x v="2"/>
    <x v="295"/>
    <x v="891"/>
    <x v="783"/>
    <x v="1300"/>
    <x v="1298"/>
    <x v="1262"/>
    <x v="0"/>
    <x v="1292"/>
    <x v="1300"/>
    <x v="517"/>
    <x v="0"/>
    <x v="1"/>
    <x v="0"/>
    <x v="88"/>
    <x v="19"/>
    <x v="512"/>
    <x v="33"/>
    <x v="1"/>
    <x v="253"/>
  </r>
  <r>
    <x v="0"/>
    <x v="583"/>
    <x v="258"/>
    <x v="95"/>
    <x v="193"/>
    <x v="619"/>
    <x v="245"/>
    <x v="1255"/>
    <x v="446"/>
    <x v="539"/>
    <x v="892"/>
    <x v="1040"/>
    <x v="1301"/>
    <x v="1299"/>
    <x v="1263"/>
    <x v="3"/>
    <x v="1293"/>
    <x v="1301"/>
    <x v="465"/>
    <x v="0"/>
    <x v="10"/>
    <x v="0"/>
    <x v="88"/>
    <x v="18"/>
    <x v="513"/>
    <x v="27"/>
    <x v="1"/>
    <x v="254"/>
  </r>
  <r>
    <x v="0"/>
    <x v="464"/>
    <x v="250"/>
    <x v="86"/>
    <x v="0"/>
    <x v="563"/>
    <x v="2"/>
    <x v="1256"/>
    <x v="84"/>
    <x v="104"/>
    <x v="893"/>
    <x v="1041"/>
    <x v="1302"/>
    <x v="1300"/>
    <x v="1264"/>
    <x v="0"/>
    <x v="1294"/>
    <x v="1302"/>
    <x v="720"/>
    <x v="0"/>
    <x v="1"/>
    <x v="4"/>
    <x v="140"/>
    <x v="1"/>
    <x v="116"/>
    <x v="11"/>
    <x v="1"/>
    <x v="61"/>
  </r>
  <r>
    <x v="0"/>
    <x v="355"/>
    <x v="266"/>
    <x v="43"/>
    <x v="210"/>
    <x v="530"/>
    <x v="295"/>
    <x v="1257"/>
    <x v="200"/>
    <x v="540"/>
    <x v="894"/>
    <x v="1042"/>
    <x v="1303"/>
    <x v="1301"/>
    <x v="1265"/>
    <x v="8"/>
    <x v="1295"/>
    <x v="1303"/>
    <x v="641"/>
    <x v="0"/>
    <x v="0"/>
    <x v="0"/>
    <x v="88"/>
    <x v="3"/>
    <x v="514"/>
    <x v="18"/>
    <x v="1"/>
    <x v="1"/>
  </r>
  <r>
    <x v="0"/>
    <x v="584"/>
    <x v="438"/>
    <x v="50"/>
    <x v="0"/>
    <x v="442"/>
    <x v="132"/>
    <x v="1258"/>
    <x v="447"/>
    <x v="376"/>
    <x v="895"/>
    <x v="1043"/>
    <x v="1304"/>
    <x v="1302"/>
    <x v="1079"/>
    <x v="1"/>
    <x v="1296"/>
    <x v="1304"/>
    <x v="721"/>
    <x v="0"/>
    <x v="0"/>
    <x v="2"/>
    <x v="88"/>
    <x v="8"/>
    <x v="507"/>
    <x v="46"/>
    <x v="3"/>
    <x v="255"/>
  </r>
  <r>
    <x v="0"/>
    <x v="430"/>
    <x v="400"/>
    <x v="69"/>
    <x v="235"/>
    <x v="163"/>
    <x v="0"/>
    <x v="1259"/>
    <x v="80"/>
    <x v="167"/>
    <x v="835"/>
    <x v="1044"/>
    <x v="1305"/>
    <x v="1303"/>
    <x v="1266"/>
    <x v="0"/>
    <x v="1297"/>
    <x v="1305"/>
    <x v="472"/>
    <x v="0"/>
    <x v="0"/>
    <x v="4"/>
    <x v="88"/>
    <x v="2"/>
    <x v="376"/>
    <x v="27"/>
    <x v="1"/>
    <x v="1"/>
  </r>
  <r>
    <x v="0"/>
    <x v="585"/>
    <x v="240"/>
    <x v="41"/>
    <x v="89"/>
    <x v="45"/>
    <x v="10"/>
    <x v="1260"/>
    <x v="448"/>
    <x v="413"/>
    <x v="624"/>
    <x v="1045"/>
    <x v="1306"/>
    <x v="1239"/>
    <x v="1267"/>
    <x v="3"/>
    <x v="1298"/>
    <x v="1306"/>
    <x v="68"/>
    <x v="0"/>
    <x v="8"/>
    <x v="2"/>
    <x v="88"/>
    <x v="7"/>
    <x v="389"/>
    <x v="37"/>
    <x v="1"/>
    <x v="256"/>
  </r>
  <r>
    <x v="0"/>
    <x v="240"/>
    <x v="268"/>
    <x v="72"/>
    <x v="161"/>
    <x v="95"/>
    <x v="296"/>
    <x v="1261"/>
    <x v="150"/>
    <x v="541"/>
    <x v="896"/>
    <x v="408"/>
    <x v="1307"/>
    <x v="1304"/>
    <x v="1268"/>
    <x v="0"/>
    <x v="1299"/>
    <x v="1307"/>
    <x v="228"/>
    <x v="0"/>
    <x v="0"/>
    <x v="0"/>
    <x v="78"/>
    <x v="1"/>
    <x v="341"/>
    <x v="8"/>
    <x v="3"/>
    <x v="1"/>
  </r>
  <r>
    <x v="0"/>
    <x v="386"/>
    <x v="212"/>
    <x v="86"/>
    <x v="116"/>
    <x v="620"/>
    <x v="2"/>
    <x v="1262"/>
    <x v="369"/>
    <x v="60"/>
    <x v="802"/>
    <x v="1046"/>
    <x v="1308"/>
    <x v="1305"/>
    <x v="1269"/>
    <x v="1"/>
    <x v="1300"/>
    <x v="1308"/>
    <x v="533"/>
    <x v="0"/>
    <x v="0"/>
    <x v="0"/>
    <x v="78"/>
    <x v="16"/>
    <x v="473"/>
    <x v="5"/>
    <x v="1"/>
    <x v="85"/>
  </r>
  <r>
    <x v="0"/>
    <x v="586"/>
    <x v="160"/>
    <x v="59"/>
    <x v="44"/>
    <x v="621"/>
    <x v="297"/>
    <x v="1263"/>
    <x v="449"/>
    <x v="542"/>
    <x v="897"/>
    <x v="1047"/>
    <x v="1309"/>
    <x v="1306"/>
    <x v="529"/>
    <x v="4"/>
    <x v="1301"/>
    <x v="1309"/>
    <x v="129"/>
    <x v="0"/>
    <x v="0"/>
    <x v="4"/>
    <x v="131"/>
    <x v="1"/>
    <x v="515"/>
    <x v="8"/>
    <x v="1"/>
    <x v="1"/>
  </r>
  <r>
    <x v="1"/>
    <x v="375"/>
    <x v="379"/>
    <x v="70"/>
    <x v="0"/>
    <x v="201"/>
    <x v="0"/>
    <x v="1264"/>
    <x v="219"/>
    <x v="543"/>
    <x v="898"/>
    <x v="1048"/>
    <x v="1310"/>
    <x v="1307"/>
    <x v="1270"/>
    <x v="4"/>
    <x v="1302"/>
    <x v="1310"/>
    <x v="376"/>
    <x v="0"/>
    <x v="1"/>
    <x v="2"/>
    <x v="116"/>
    <x v="24"/>
    <x v="276"/>
    <x v="11"/>
    <x v="3"/>
    <x v="1"/>
  </r>
  <r>
    <x v="0"/>
    <x v="587"/>
    <x v="257"/>
    <x v="18"/>
    <x v="45"/>
    <x v="622"/>
    <x v="15"/>
    <x v="1265"/>
    <x v="52"/>
    <x v="54"/>
    <x v="899"/>
    <x v="1049"/>
    <x v="1311"/>
    <x v="1308"/>
    <x v="1271"/>
    <x v="4"/>
    <x v="1303"/>
    <x v="1311"/>
    <x v="666"/>
    <x v="4"/>
    <x v="14"/>
    <x v="4"/>
    <x v="88"/>
    <x v="1"/>
    <x v="516"/>
    <x v="1"/>
    <x v="1"/>
    <x v="1"/>
  </r>
  <r>
    <x v="0"/>
    <x v="194"/>
    <x v="421"/>
    <x v="52"/>
    <x v="137"/>
    <x v="196"/>
    <x v="0"/>
    <x v="1266"/>
    <x v="156"/>
    <x v="544"/>
    <x v="900"/>
    <x v="474"/>
    <x v="1312"/>
    <x v="1309"/>
    <x v="1272"/>
    <x v="0"/>
    <x v="1304"/>
    <x v="1312"/>
    <x v="646"/>
    <x v="11"/>
    <x v="10"/>
    <x v="4"/>
    <x v="131"/>
    <x v="12"/>
    <x v="319"/>
    <x v="19"/>
    <x v="1"/>
    <x v="257"/>
  </r>
  <r>
    <x v="0"/>
    <x v="588"/>
    <x v="54"/>
    <x v="51"/>
    <x v="271"/>
    <x v="535"/>
    <x v="2"/>
    <x v="1267"/>
    <x v="102"/>
    <x v="104"/>
    <x v="43"/>
    <x v="1050"/>
    <x v="1313"/>
    <x v="1310"/>
    <x v="1273"/>
    <x v="7"/>
    <x v="1305"/>
    <x v="1313"/>
    <x v="181"/>
    <x v="0"/>
    <x v="18"/>
    <x v="4"/>
    <x v="153"/>
    <x v="9"/>
    <x v="33"/>
    <x v="15"/>
    <x v="3"/>
    <x v="12"/>
  </r>
  <r>
    <x v="0"/>
    <x v="193"/>
    <x v="315"/>
    <x v="78"/>
    <x v="123"/>
    <x v="347"/>
    <x v="0"/>
    <x v="4"/>
    <x v="450"/>
    <x v="243"/>
    <x v="901"/>
    <x v="1051"/>
    <x v="1314"/>
    <x v="1311"/>
    <x v="1274"/>
    <x v="0"/>
    <x v="1306"/>
    <x v="1314"/>
    <x v="408"/>
    <x v="3"/>
    <x v="10"/>
    <x v="2"/>
    <x v="131"/>
    <x v="10"/>
    <x v="192"/>
    <x v="2"/>
    <x v="3"/>
    <x v="1"/>
  </r>
  <r>
    <x v="0"/>
    <x v="589"/>
    <x v="372"/>
    <x v="41"/>
    <x v="80"/>
    <x v="623"/>
    <x v="35"/>
    <x v="1268"/>
    <x v="125"/>
    <x v="91"/>
    <x v="759"/>
    <x v="1052"/>
    <x v="1315"/>
    <x v="1312"/>
    <x v="1275"/>
    <x v="10"/>
    <x v="1307"/>
    <x v="1315"/>
    <x v="592"/>
    <x v="0"/>
    <x v="0"/>
    <x v="4"/>
    <x v="4"/>
    <x v="14"/>
    <x v="456"/>
    <x v="20"/>
    <x v="3"/>
    <x v="258"/>
  </r>
  <r>
    <x v="0"/>
    <x v="104"/>
    <x v="378"/>
    <x v="42"/>
    <x v="82"/>
    <x v="420"/>
    <x v="283"/>
    <x v="1269"/>
    <x v="451"/>
    <x v="518"/>
    <x v="902"/>
    <x v="840"/>
    <x v="1316"/>
    <x v="1313"/>
    <x v="1276"/>
    <x v="0"/>
    <x v="1308"/>
    <x v="1316"/>
    <x v="596"/>
    <x v="0"/>
    <x v="0"/>
    <x v="4"/>
    <x v="154"/>
    <x v="24"/>
    <x v="26"/>
    <x v="32"/>
    <x v="3"/>
    <x v="61"/>
  </r>
  <r>
    <x v="0"/>
    <x v="590"/>
    <x v="402"/>
    <x v="88"/>
    <x v="59"/>
    <x v="483"/>
    <x v="298"/>
    <x v="1270"/>
    <x v="452"/>
    <x v="545"/>
    <x v="903"/>
    <x v="1053"/>
    <x v="1317"/>
    <x v="1314"/>
    <x v="1277"/>
    <x v="1"/>
    <x v="1309"/>
    <x v="1317"/>
    <x v="565"/>
    <x v="12"/>
    <x v="16"/>
    <x v="1"/>
    <x v="155"/>
    <x v="2"/>
    <x v="517"/>
    <x v="26"/>
    <x v="3"/>
    <x v="90"/>
  </r>
  <r>
    <x v="0"/>
    <x v="127"/>
    <x v="418"/>
    <x v="86"/>
    <x v="94"/>
    <x v="624"/>
    <x v="299"/>
    <x v="1271"/>
    <x v="453"/>
    <x v="546"/>
    <x v="904"/>
    <x v="1054"/>
    <x v="1318"/>
    <x v="1315"/>
    <x v="1278"/>
    <x v="1"/>
    <x v="1310"/>
    <x v="1318"/>
    <x v="722"/>
    <x v="0"/>
    <x v="0"/>
    <x v="0"/>
    <x v="156"/>
    <x v="0"/>
    <x v="208"/>
    <x v="1"/>
    <x v="1"/>
    <x v="38"/>
  </r>
  <r>
    <x v="0"/>
    <x v="333"/>
    <x v="382"/>
    <x v="58"/>
    <x v="151"/>
    <x v="103"/>
    <x v="300"/>
    <x v="1272"/>
    <x v="127"/>
    <x v="547"/>
    <x v="905"/>
    <x v="128"/>
    <x v="1319"/>
    <x v="1316"/>
    <x v="1279"/>
    <x v="1"/>
    <x v="1311"/>
    <x v="1319"/>
    <x v="335"/>
    <x v="0"/>
    <x v="0"/>
    <x v="0"/>
    <x v="4"/>
    <x v="1"/>
    <x v="158"/>
    <x v="23"/>
    <x v="3"/>
    <x v="1"/>
  </r>
  <r>
    <x v="0"/>
    <x v="49"/>
    <x v="94"/>
    <x v="11"/>
    <x v="34"/>
    <x v="6"/>
    <x v="29"/>
    <x v="98"/>
    <x v="23"/>
    <x v="74"/>
    <x v="84"/>
    <x v="92"/>
    <x v="100"/>
    <x v="1317"/>
    <x v="98"/>
    <x v="4"/>
    <x v="100"/>
    <x v="100"/>
    <x v="98"/>
    <x v="0"/>
    <x v="0"/>
    <x v="0"/>
    <x v="30"/>
    <x v="18"/>
    <x v="20"/>
    <x v="10"/>
    <x v="1"/>
    <x v="57"/>
  </r>
  <r>
    <x v="1"/>
    <x v="24"/>
    <x v="77"/>
    <x v="101"/>
    <x v="17"/>
    <x v="341"/>
    <x v="145"/>
    <x v="1273"/>
    <x v="454"/>
    <x v="269"/>
    <x v="509"/>
    <x v="1055"/>
    <x v="1320"/>
    <x v="1318"/>
    <x v="1280"/>
    <x v="0"/>
    <x v="1312"/>
    <x v="1320"/>
    <x v="550"/>
    <x v="0"/>
    <x v="0"/>
    <x v="2"/>
    <x v="156"/>
    <x v="3"/>
    <x v="330"/>
    <x v="15"/>
    <x v="3"/>
    <x v="68"/>
  </r>
  <r>
    <x v="0"/>
    <x v="8"/>
    <x v="109"/>
    <x v="73"/>
    <x v="0"/>
    <x v="208"/>
    <x v="35"/>
    <x v="1274"/>
    <x v="18"/>
    <x v="548"/>
    <x v="906"/>
    <x v="1056"/>
    <x v="1321"/>
    <x v="1319"/>
    <x v="1281"/>
    <x v="0"/>
    <x v="1313"/>
    <x v="1321"/>
    <x v="723"/>
    <x v="0"/>
    <x v="0"/>
    <x v="0"/>
    <x v="88"/>
    <x v="12"/>
    <x v="113"/>
    <x v="25"/>
    <x v="1"/>
    <x v="57"/>
  </r>
  <r>
    <x v="0"/>
    <x v="591"/>
    <x v="352"/>
    <x v="47"/>
    <x v="272"/>
    <x v="533"/>
    <x v="191"/>
    <x v="1275"/>
    <x v="455"/>
    <x v="536"/>
    <x v="845"/>
    <x v="819"/>
    <x v="1322"/>
    <x v="1320"/>
    <x v="1282"/>
    <x v="4"/>
    <x v="1314"/>
    <x v="1322"/>
    <x v="724"/>
    <x v="0"/>
    <x v="0"/>
    <x v="0"/>
    <x v="156"/>
    <x v="14"/>
    <x v="400"/>
    <x v="43"/>
    <x v="1"/>
    <x v="152"/>
  </r>
  <r>
    <x v="0"/>
    <x v="421"/>
    <x v="299"/>
    <x v="31"/>
    <x v="137"/>
    <x v="495"/>
    <x v="211"/>
    <x v="1276"/>
    <x v="148"/>
    <x v="394"/>
    <x v="907"/>
    <x v="742"/>
    <x v="1323"/>
    <x v="1321"/>
    <x v="1283"/>
    <x v="1"/>
    <x v="1315"/>
    <x v="1323"/>
    <x v="288"/>
    <x v="0"/>
    <x v="1"/>
    <x v="2"/>
    <x v="156"/>
    <x v="45"/>
    <x v="518"/>
    <x v="41"/>
    <x v="1"/>
    <x v="1"/>
  </r>
  <r>
    <x v="0"/>
    <x v="231"/>
    <x v="130"/>
    <x v="18"/>
    <x v="156"/>
    <x v="625"/>
    <x v="13"/>
    <x v="1277"/>
    <x v="300"/>
    <x v="158"/>
    <x v="234"/>
    <x v="1057"/>
    <x v="1324"/>
    <x v="1322"/>
    <x v="1284"/>
    <x v="1"/>
    <x v="1316"/>
    <x v="1324"/>
    <x v="231"/>
    <x v="0"/>
    <x v="0"/>
    <x v="0"/>
    <x v="88"/>
    <x v="9"/>
    <x v="44"/>
    <x v="21"/>
    <x v="3"/>
    <x v="85"/>
  </r>
  <r>
    <x v="0"/>
    <x v="134"/>
    <x v="202"/>
    <x v="13"/>
    <x v="99"/>
    <x v="626"/>
    <x v="301"/>
    <x v="1278"/>
    <x v="77"/>
    <x v="549"/>
    <x v="804"/>
    <x v="1058"/>
    <x v="1325"/>
    <x v="1323"/>
    <x v="1285"/>
    <x v="2"/>
    <x v="1317"/>
    <x v="1325"/>
    <x v="715"/>
    <x v="4"/>
    <x v="9"/>
    <x v="4"/>
    <x v="157"/>
    <x v="8"/>
    <x v="200"/>
    <x v="38"/>
    <x v="1"/>
    <x v="1"/>
  </r>
  <r>
    <x v="0"/>
    <x v="279"/>
    <x v="241"/>
    <x v="26"/>
    <x v="183"/>
    <x v="363"/>
    <x v="63"/>
    <x v="1279"/>
    <x v="127"/>
    <x v="550"/>
    <x v="826"/>
    <x v="1059"/>
    <x v="1326"/>
    <x v="1324"/>
    <x v="1286"/>
    <x v="1"/>
    <x v="1318"/>
    <x v="1326"/>
    <x v="633"/>
    <x v="0"/>
    <x v="0"/>
    <x v="0"/>
    <x v="30"/>
    <x v="19"/>
    <x v="372"/>
    <x v="9"/>
    <x v="1"/>
    <x v="1"/>
  </r>
  <r>
    <x v="0"/>
    <x v="275"/>
    <x v="215"/>
    <x v="45"/>
    <x v="179"/>
    <x v="85"/>
    <x v="11"/>
    <x v="1280"/>
    <x v="127"/>
    <x v="69"/>
    <x v="641"/>
    <x v="1060"/>
    <x v="1327"/>
    <x v="1325"/>
    <x v="1287"/>
    <x v="4"/>
    <x v="1319"/>
    <x v="1327"/>
    <x v="314"/>
    <x v="0"/>
    <x v="0"/>
    <x v="4"/>
    <x v="30"/>
    <x v="0"/>
    <x v="399"/>
    <x v="12"/>
    <x v="1"/>
    <x v="104"/>
  </r>
  <r>
    <x v="0"/>
    <x v="592"/>
    <x v="430"/>
    <x v="41"/>
    <x v="151"/>
    <x v="583"/>
    <x v="302"/>
    <x v="1281"/>
    <x v="125"/>
    <x v="551"/>
    <x v="908"/>
    <x v="1061"/>
    <x v="1328"/>
    <x v="1326"/>
    <x v="1288"/>
    <x v="4"/>
    <x v="1320"/>
    <x v="1328"/>
    <x v="546"/>
    <x v="0"/>
    <x v="0"/>
    <x v="2"/>
    <x v="156"/>
    <x v="25"/>
    <x v="519"/>
    <x v="20"/>
    <x v="1"/>
    <x v="259"/>
  </r>
  <r>
    <x v="0"/>
    <x v="423"/>
    <x v="280"/>
    <x v="7"/>
    <x v="0"/>
    <x v="1"/>
    <x v="25"/>
    <x v="1282"/>
    <x v="237"/>
    <x v="26"/>
    <x v="909"/>
    <x v="1062"/>
    <x v="1329"/>
    <x v="1327"/>
    <x v="1289"/>
    <x v="1"/>
    <x v="1321"/>
    <x v="1329"/>
    <x v="653"/>
    <x v="0"/>
    <x v="0"/>
    <x v="2"/>
    <x v="30"/>
    <x v="19"/>
    <x v="12"/>
    <x v="37"/>
    <x v="3"/>
    <x v="259"/>
  </r>
  <r>
    <x v="0"/>
    <x v="593"/>
    <x v="288"/>
    <x v="34"/>
    <x v="174"/>
    <x v="447"/>
    <x v="0"/>
    <x v="1283"/>
    <x v="118"/>
    <x v="277"/>
    <x v="303"/>
    <x v="651"/>
    <x v="1330"/>
    <x v="1328"/>
    <x v="1290"/>
    <x v="0"/>
    <x v="1322"/>
    <x v="1330"/>
    <x v="61"/>
    <x v="0"/>
    <x v="0"/>
    <x v="2"/>
    <x v="82"/>
    <x v="24"/>
    <x v="205"/>
    <x v="4"/>
    <x v="1"/>
    <x v="1"/>
  </r>
  <r>
    <x v="0"/>
    <x v="594"/>
    <x v="446"/>
    <x v="40"/>
    <x v="0"/>
    <x v="321"/>
    <x v="303"/>
    <x v="1284"/>
    <x v="456"/>
    <x v="552"/>
    <x v="910"/>
    <x v="1063"/>
    <x v="1331"/>
    <x v="1329"/>
    <x v="1291"/>
    <x v="1"/>
    <x v="1323"/>
    <x v="1331"/>
    <x v="718"/>
    <x v="4"/>
    <x v="14"/>
    <x v="0"/>
    <x v="158"/>
    <x v="9"/>
    <x v="366"/>
    <x v="12"/>
    <x v="1"/>
    <x v="38"/>
  </r>
  <r>
    <x v="0"/>
    <x v="70"/>
    <x v="367"/>
    <x v="60"/>
    <x v="55"/>
    <x v="1"/>
    <x v="20"/>
    <x v="1285"/>
    <x v="17"/>
    <x v="83"/>
    <x v="231"/>
    <x v="35"/>
    <x v="1332"/>
    <x v="1330"/>
    <x v="1292"/>
    <x v="1"/>
    <x v="1324"/>
    <x v="1332"/>
    <x v="635"/>
    <x v="0"/>
    <x v="0"/>
    <x v="0"/>
    <x v="30"/>
    <x v="10"/>
    <x v="6"/>
    <x v="8"/>
    <x v="1"/>
    <x v="0"/>
  </r>
  <r>
    <x v="0"/>
    <x v="113"/>
    <x v="417"/>
    <x v="84"/>
    <x v="88"/>
    <x v="561"/>
    <x v="29"/>
    <x v="4"/>
    <x v="207"/>
    <x v="58"/>
    <x v="151"/>
    <x v="1064"/>
    <x v="1333"/>
    <x v="1331"/>
    <x v="1293"/>
    <x v="2"/>
    <x v="1325"/>
    <x v="1333"/>
    <x v="514"/>
    <x v="0"/>
    <x v="0"/>
    <x v="6"/>
    <x v="4"/>
    <x v="4"/>
    <x v="102"/>
    <x v="6"/>
    <x v="8"/>
    <x v="1"/>
  </r>
  <r>
    <x v="0"/>
    <x v="595"/>
    <x v="169"/>
    <x v="76"/>
    <x v="0"/>
    <x v="490"/>
    <x v="304"/>
    <x v="4"/>
    <x v="45"/>
    <x v="553"/>
    <x v="911"/>
    <x v="1065"/>
    <x v="1334"/>
    <x v="1332"/>
    <x v="1294"/>
    <x v="0"/>
    <x v="4"/>
    <x v="1334"/>
    <x v="684"/>
    <x v="0"/>
    <x v="9"/>
    <x v="1"/>
    <x v="88"/>
    <x v="11"/>
    <x v="495"/>
    <x v="21"/>
    <x v="2"/>
    <x v="1"/>
  </r>
  <r>
    <x v="1"/>
    <x v="596"/>
    <x v="409"/>
    <x v="75"/>
    <x v="152"/>
    <x v="627"/>
    <x v="11"/>
    <x v="1286"/>
    <x v="122"/>
    <x v="156"/>
    <x v="912"/>
    <x v="1066"/>
    <x v="1335"/>
    <x v="1333"/>
    <x v="1295"/>
    <x v="0"/>
    <x v="1326"/>
    <x v="1335"/>
    <x v="35"/>
    <x v="0"/>
    <x v="0"/>
    <x v="4"/>
    <x v="30"/>
    <x v="15"/>
    <x v="453"/>
    <x v="32"/>
    <x v="3"/>
    <x v="1"/>
  </r>
  <r>
    <x v="0"/>
    <x v="77"/>
    <x v="288"/>
    <x v="69"/>
    <x v="61"/>
    <x v="573"/>
    <x v="197"/>
    <x v="1287"/>
    <x v="168"/>
    <x v="451"/>
    <x v="913"/>
    <x v="1067"/>
    <x v="1336"/>
    <x v="1334"/>
    <x v="1296"/>
    <x v="1"/>
    <x v="1327"/>
    <x v="1336"/>
    <x v="722"/>
    <x v="0"/>
    <x v="0"/>
    <x v="0"/>
    <x v="30"/>
    <x v="19"/>
    <x v="19"/>
    <x v="23"/>
    <x v="1"/>
    <x v="1"/>
  </r>
  <r>
    <x v="0"/>
    <x v="597"/>
    <x v="410"/>
    <x v="32"/>
    <x v="143"/>
    <x v="77"/>
    <x v="199"/>
    <x v="1288"/>
    <x v="314"/>
    <x v="554"/>
    <x v="895"/>
    <x v="242"/>
    <x v="1337"/>
    <x v="1335"/>
    <x v="1297"/>
    <x v="3"/>
    <x v="1328"/>
    <x v="1337"/>
    <x v="404"/>
    <x v="0"/>
    <x v="0"/>
    <x v="0"/>
    <x v="82"/>
    <x v="18"/>
    <x v="507"/>
    <x v="5"/>
    <x v="1"/>
    <x v="260"/>
  </r>
  <r>
    <x v="0"/>
    <x v="445"/>
    <x v="352"/>
    <x v="50"/>
    <x v="154"/>
    <x v="628"/>
    <x v="238"/>
    <x v="1289"/>
    <x v="132"/>
    <x v="555"/>
    <x v="914"/>
    <x v="1068"/>
    <x v="1338"/>
    <x v="1336"/>
    <x v="1298"/>
    <x v="1"/>
    <x v="1329"/>
    <x v="1338"/>
    <x v="400"/>
    <x v="0"/>
    <x v="0"/>
    <x v="2"/>
    <x v="116"/>
    <x v="2"/>
    <x v="33"/>
    <x v="46"/>
    <x v="3"/>
    <x v="60"/>
  </r>
  <r>
    <x v="0"/>
    <x v="598"/>
    <x v="257"/>
    <x v="58"/>
    <x v="171"/>
    <x v="457"/>
    <x v="305"/>
    <x v="1290"/>
    <x v="17"/>
    <x v="556"/>
    <x v="915"/>
    <x v="1069"/>
    <x v="1339"/>
    <x v="1337"/>
    <x v="1299"/>
    <x v="0"/>
    <x v="1330"/>
    <x v="1339"/>
    <x v="454"/>
    <x v="0"/>
    <x v="0"/>
    <x v="4"/>
    <x v="30"/>
    <x v="18"/>
    <x v="520"/>
    <x v="23"/>
    <x v="3"/>
    <x v="261"/>
  </r>
  <r>
    <x v="0"/>
    <x v="368"/>
    <x v="398"/>
    <x v="42"/>
    <x v="31"/>
    <x v="191"/>
    <x v="179"/>
    <x v="1291"/>
    <x v="200"/>
    <x v="338"/>
    <x v="916"/>
    <x v="308"/>
    <x v="1340"/>
    <x v="1338"/>
    <x v="1300"/>
    <x v="1"/>
    <x v="1331"/>
    <x v="1340"/>
    <x v="432"/>
    <x v="0"/>
    <x v="0"/>
    <x v="2"/>
    <x v="30"/>
    <x v="18"/>
    <x v="521"/>
    <x v="34"/>
    <x v="3"/>
    <x v="262"/>
  </r>
  <r>
    <x v="0"/>
    <x v="335"/>
    <x v="208"/>
    <x v="82"/>
    <x v="67"/>
    <x v="347"/>
    <x v="1"/>
    <x v="1292"/>
    <x v="60"/>
    <x v="1"/>
    <x v="273"/>
    <x v="473"/>
    <x v="1341"/>
    <x v="1339"/>
    <x v="1301"/>
    <x v="1"/>
    <x v="1332"/>
    <x v="1341"/>
    <x v="725"/>
    <x v="0"/>
    <x v="13"/>
    <x v="4"/>
    <x v="30"/>
    <x v="15"/>
    <x v="185"/>
    <x v="10"/>
    <x v="1"/>
    <x v="1"/>
  </r>
  <r>
    <x v="0"/>
    <x v="77"/>
    <x v="276"/>
    <x v="34"/>
    <x v="61"/>
    <x v="94"/>
    <x v="6"/>
    <x v="1293"/>
    <x v="171"/>
    <x v="6"/>
    <x v="917"/>
    <x v="1070"/>
    <x v="1342"/>
    <x v="1340"/>
    <x v="1302"/>
    <x v="0"/>
    <x v="1333"/>
    <x v="1342"/>
    <x v="678"/>
    <x v="0"/>
    <x v="0"/>
    <x v="4"/>
    <x v="30"/>
    <x v="25"/>
    <x v="522"/>
    <x v="9"/>
    <x v="1"/>
    <x v="209"/>
  </r>
  <r>
    <x v="0"/>
    <x v="392"/>
    <x v="283"/>
    <x v="72"/>
    <x v="169"/>
    <x v="629"/>
    <x v="306"/>
    <x v="1294"/>
    <x v="419"/>
    <x v="557"/>
    <x v="918"/>
    <x v="1071"/>
    <x v="1343"/>
    <x v="1341"/>
    <x v="1303"/>
    <x v="0"/>
    <x v="1334"/>
    <x v="1343"/>
    <x v="251"/>
    <x v="0"/>
    <x v="0"/>
    <x v="4"/>
    <x v="120"/>
    <x v="18"/>
    <x v="523"/>
    <x v="5"/>
    <x v="1"/>
    <x v="1"/>
  </r>
  <r>
    <x v="0"/>
    <x v="599"/>
    <x v="108"/>
    <x v="56"/>
    <x v="273"/>
    <x v="630"/>
    <x v="145"/>
    <x v="1295"/>
    <x v="270"/>
    <x v="558"/>
    <x v="310"/>
    <x v="1072"/>
    <x v="1344"/>
    <x v="1342"/>
    <x v="1304"/>
    <x v="0"/>
    <x v="1335"/>
    <x v="1344"/>
    <x v="458"/>
    <x v="0"/>
    <x v="0"/>
    <x v="4"/>
    <x v="70"/>
    <x v="0"/>
    <x v="210"/>
    <x v="11"/>
    <x v="3"/>
    <x v="85"/>
  </r>
  <r>
    <x v="0"/>
    <x v="18"/>
    <x v="447"/>
    <x v="74"/>
    <x v="0"/>
    <x v="64"/>
    <x v="25"/>
    <x v="1296"/>
    <x v="457"/>
    <x v="30"/>
    <x v="919"/>
    <x v="428"/>
    <x v="1345"/>
    <x v="1343"/>
    <x v="1305"/>
    <x v="2"/>
    <x v="1336"/>
    <x v="1345"/>
    <x v="258"/>
    <x v="0"/>
    <x v="0"/>
    <x v="0"/>
    <x v="30"/>
    <x v="25"/>
    <x v="30"/>
    <x v="4"/>
    <x v="1"/>
    <x v="263"/>
  </r>
  <r>
    <x v="0"/>
    <x v="469"/>
    <x v="214"/>
    <x v="56"/>
    <x v="0"/>
    <x v="416"/>
    <x v="58"/>
    <x v="1297"/>
    <x v="458"/>
    <x v="559"/>
    <x v="920"/>
    <x v="1073"/>
    <x v="1346"/>
    <x v="1344"/>
    <x v="1306"/>
    <x v="0"/>
    <x v="1337"/>
    <x v="1346"/>
    <x v="726"/>
    <x v="0"/>
    <x v="0"/>
    <x v="4"/>
    <x v="159"/>
    <x v="26"/>
    <x v="524"/>
    <x v="17"/>
    <x v="1"/>
    <x v="33"/>
  </r>
  <r>
    <x v="0"/>
    <x v="138"/>
    <x v="1"/>
    <x v="46"/>
    <x v="103"/>
    <x v="317"/>
    <x v="21"/>
    <x v="1298"/>
    <x v="222"/>
    <x v="127"/>
    <x v="921"/>
    <x v="450"/>
    <x v="1347"/>
    <x v="1345"/>
    <x v="1307"/>
    <x v="0"/>
    <x v="1338"/>
    <x v="1347"/>
    <x v="154"/>
    <x v="0"/>
    <x v="0"/>
    <x v="4"/>
    <x v="30"/>
    <x v="9"/>
    <x v="525"/>
    <x v="21"/>
    <x v="1"/>
    <x v="36"/>
  </r>
  <r>
    <x v="0"/>
    <x v="600"/>
    <x v="428"/>
    <x v="34"/>
    <x v="31"/>
    <x v="74"/>
    <x v="307"/>
    <x v="1299"/>
    <x v="180"/>
    <x v="560"/>
    <x v="922"/>
    <x v="1074"/>
    <x v="1348"/>
    <x v="1346"/>
    <x v="1308"/>
    <x v="1"/>
    <x v="1339"/>
    <x v="1348"/>
    <x v="671"/>
    <x v="0"/>
    <x v="0"/>
    <x v="4"/>
    <x v="160"/>
    <x v="13"/>
    <x v="4"/>
    <x v="21"/>
    <x v="1"/>
    <x v="264"/>
  </r>
  <r>
    <x v="0"/>
    <x v="601"/>
    <x v="308"/>
    <x v="47"/>
    <x v="255"/>
    <x v="309"/>
    <x v="0"/>
    <x v="1300"/>
    <x v="459"/>
    <x v="561"/>
    <x v="923"/>
    <x v="1075"/>
    <x v="1349"/>
    <x v="1347"/>
    <x v="1309"/>
    <x v="4"/>
    <x v="1340"/>
    <x v="1349"/>
    <x v="450"/>
    <x v="0"/>
    <x v="0"/>
    <x v="0"/>
    <x v="30"/>
    <x v="18"/>
    <x v="195"/>
    <x v="31"/>
    <x v="1"/>
    <x v="265"/>
  </r>
  <r>
    <x v="0"/>
    <x v="276"/>
    <x v="378"/>
    <x v="78"/>
    <x v="180"/>
    <x v="335"/>
    <x v="57"/>
    <x v="1301"/>
    <x v="460"/>
    <x v="192"/>
    <x v="166"/>
    <x v="1076"/>
    <x v="1350"/>
    <x v="1348"/>
    <x v="1310"/>
    <x v="0"/>
    <x v="1341"/>
    <x v="1350"/>
    <x v="386"/>
    <x v="0"/>
    <x v="0"/>
    <x v="2"/>
    <x v="97"/>
    <x v="8"/>
    <x v="12"/>
    <x v="12"/>
    <x v="1"/>
    <x v="1"/>
  </r>
  <r>
    <x v="0"/>
    <x v="602"/>
    <x v="448"/>
    <x v="48"/>
    <x v="0"/>
    <x v="100"/>
    <x v="308"/>
    <x v="1302"/>
    <x v="270"/>
    <x v="562"/>
    <x v="924"/>
    <x v="1077"/>
    <x v="1351"/>
    <x v="1349"/>
    <x v="1311"/>
    <x v="15"/>
    <x v="1342"/>
    <x v="1351"/>
    <x v="415"/>
    <x v="0"/>
    <x v="0"/>
    <x v="4"/>
    <x v="144"/>
    <x v="3"/>
    <x v="332"/>
    <x v="1"/>
    <x v="3"/>
    <x v="41"/>
  </r>
  <r>
    <x v="0"/>
    <x v="603"/>
    <x v="152"/>
    <x v="55"/>
    <x v="216"/>
    <x v="152"/>
    <x v="41"/>
    <x v="4"/>
    <x v="461"/>
    <x v="563"/>
    <x v="925"/>
    <x v="1078"/>
    <x v="1352"/>
    <x v="1350"/>
    <x v="1312"/>
    <x v="4"/>
    <x v="1343"/>
    <x v="1352"/>
    <x v="510"/>
    <x v="0"/>
    <x v="20"/>
    <x v="4"/>
    <x v="30"/>
    <x v="1"/>
    <x v="526"/>
    <x v="30"/>
    <x v="3"/>
    <x v="266"/>
  </r>
  <r>
    <x v="1"/>
    <x v="449"/>
    <x v="366"/>
    <x v="29"/>
    <x v="218"/>
    <x v="492"/>
    <x v="35"/>
    <x v="1303"/>
    <x v="122"/>
    <x v="184"/>
    <x v="926"/>
    <x v="736"/>
    <x v="1353"/>
    <x v="1351"/>
    <x v="1313"/>
    <x v="0"/>
    <x v="1344"/>
    <x v="1353"/>
    <x v="727"/>
    <x v="0"/>
    <x v="0"/>
    <x v="2"/>
    <x v="88"/>
    <x v="8"/>
    <x v="103"/>
    <x v="11"/>
    <x v="1"/>
    <x v="1"/>
  </r>
  <r>
    <x v="0"/>
    <x v="604"/>
    <x v="123"/>
    <x v="52"/>
    <x v="78"/>
    <x v="631"/>
    <x v="30"/>
    <x v="1304"/>
    <x v="18"/>
    <x v="53"/>
    <x v="927"/>
    <x v="1079"/>
    <x v="1354"/>
    <x v="1352"/>
    <x v="1314"/>
    <x v="0"/>
    <x v="1345"/>
    <x v="1354"/>
    <x v="728"/>
    <x v="0"/>
    <x v="0"/>
    <x v="0"/>
    <x v="30"/>
    <x v="6"/>
    <x v="30"/>
    <x v="31"/>
    <x v="1"/>
    <x v="57"/>
  </r>
  <r>
    <x v="0"/>
    <x v="605"/>
    <x v="449"/>
    <x v="82"/>
    <x v="0"/>
    <x v="383"/>
    <x v="57"/>
    <x v="1305"/>
    <x v="291"/>
    <x v="237"/>
    <x v="928"/>
    <x v="540"/>
    <x v="1355"/>
    <x v="1353"/>
    <x v="1315"/>
    <x v="1"/>
    <x v="1346"/>
    <x v="1355"/>
    <x v="338"/>
    <x v="0"/>
    <x v="0"/>
    <x v="0"/>
    <x v="82"/>
    <x v="2"/>
    <x v="527"/>
    <x v="16"/>
    <x v="1"/>
    <x v="105"/>
  </r>
  <r>
    <x v="0"/>
    <x v="520"/>
    <x v="36"/>
    <x v="13"/>
    <x v="0"/>
    <x v="445"/>
    <x v="14"/>
    <x v="1306"/>
    <x v="168"/>
    <x v="119"/>
    <x v="352"/>
    <x v="1080"/>
    <x v="1356"/>
    <x v="1354"/>
    <x v="1316"/>
    <x v="6"/>
    <x v="1347"/>
    <x v="1356"/>
    <x v="638"/>
    <x v="0"/>
    <x v="0"/>
    <x v="4"/>
    <x v="160"/>
    <x v="5"/>
    <x v="9"/>
    <x v="32"/>
    <x v="1"/>
    <x v="5"/>
  </r>
  <r>
    <x v="0"/>
    <x v="606"/>
    <x v="230"/>
    <x v="47"/>
    <x v="79"/>
    <x v="512"/>
    <x v="14"/>
    <x v="1307"/>
    <x v="105"/>
    <x v="219"/>
    <x v="68"/>
    <x v="769"/>
    <x v="1357"/>
    <x v="1355"/>
    <x v="1317"/>
    <x v="14"/>
    <x v="1348"/>
    <x v="1357"/>
    <x v="258"/>
    <x v="0"/>
    <x v="0"/>
    <x v="0"/>
    <x v="88"/>
    <x v="3"/>
    <x v="12"/>
    <x v="20"/>
    <x v="1"/>
    <x v="57"/>
  </r>
  <r>
    <x v="0"/>
    <x v="607"/>
    <x v="440"/>
    <x v="45"/>
    <x v="16"/>
    <x v="248"/>
    <x v="6"/>
    <x v="1308"/>
    <x v="200"/>
    <x v="6"/>
    <x v="40"/>
    <x v="320"/>
    <x v="1358"/>
    <x v="1356"/>
    <x v="1318"/>
    <x v="0"/>
    <x v="1349"/>
    <x v="1358"/>
    <x v="596"/>
    <x v="0"/>
    <x v="0"/>
    <x v="4"/>
    <x v="160"/>
    <x v="8"/>
    <x v="6"/>
    <x v="15"/>
    <x v="3"/>
    <x v="1"/>
  </r>
  <r>
    <x v="0"/>
    <x v="608"/>
    <x v="296"/>
    <x v="45"/>
    <x v="221"/>
    <x v="632"/>
    <x v="11"/>
    <x v="1309"/>
    <x v="56"/>
    <x v="69"/>
    <x v="929"/>
    <x v="1081"/>
    <x v="1359"/>
    <x v="1357"/>
    <x v="1319"/>
    <x v="3"/>
    <x v="1350"/>
    <x v="1359"/>
    <x v="472"/>
    <x v="0"/>
    <x v="0"/>
    <x v="2"/>
    <x v="160"/>
    <x v="8"/>
    <x v="68"/>
    <x v="19"/>
    <x v="1"/>
    <x v="1"/>
  </r>
  <r>
    <x v="0"/>
    <x v="84"/>
    <x v="289"/>
    <x v="32"/>
    <x v="67"/>
    <x v="264"/>
    <x v="8"/>
    <x v="1310"/>
    <x v="462"/>
    <x v="8"/>
    <x v="35"/>
    <x v="1082"/>
    <x v="1360"/>
    <x v="1358"/>
    <x v="1320"/>
    <x v="0"/>
    <x v="1351"/>
    <x v="1360"/>
    <x v="729"/>
    <x v="0"/>
    <x v="1"/>
    <x v="4"/>
    <x v="30"/>
    <x v="9"/>
    <x v="10"/>
    <x v="14"/>
    <x v="1"/>
    <x v="17"/>
  </r>
  <r>
    <x v="0"/>
    <x v="602"/>
    <x v="400"/>
    <x v="123"/>
    <x v="0"/>
    <x v="260"/>
    <x v="309"/>
    <x v="1311"/>
    <x v="270"/>
    <x v="564"/>
    <x v="930"/>
    <x v="1083"/>
    <x v="1361"/>
    <x v="1359"/>
    <x v="1321"/>
    <x v="1"/>
    <x v="1352"/>
    <x v="1361"/>
    <x v="730"/>
    <x v="0"/>
    <x v="0"/>
    <x v="4"/>
    <x v="160"/>
    <x v="15"/>
    <x v="159"/>
    <x v="25"/>
    <x v="1"/>
    <x v="38"/>
  </r>
  <r>
    <x v="0"/>
    <x v="609"/>
    <x v="232"/>
    <x v="86"/>
    <x v="0"/>
    <x v="354"/>
    <x v="57"/>
    <x v="1312"/>
    <x v="132"/>
    <x v="99"/>
    <x v="931"/>
    <x v="485"/>
    <x v="1362"/>
    <x v="1360"/>
    <x v="1322"/>
    <x v="4"/>
    <x v="1353"/>
    <x v="1362"/>
    <x v="538"/>
    <x v="0"/>
    <x v="0"/>
    <x v="4"/>
    <x v="160"/>
    <x v="5"/>
    <x v="237"/>
    <x v="23"/>
    <x v="1"/>
    <x v="1"/>
  </r>
  <r>
    <x v="0"/>
    <x v="610"/>
    <x v="263"/>
    <x v="47"/>
    <x v="31"/>
    <x v="60"/>
    <x v="35"/>
    <x v="1313"/>
    <x v="127"/>
    <x v="517"/>
    <x v="932"/>
    <x v="1084"/>
    <x v="1363"/>
    <x v="1361"/>
    <x v="1323"/>
    <x v="2"/>
    <x v="1354"/>
    <x v="1363"/>
    <x v="536"/>
    <x v="0"/>
    <x v="0"/>
    <x v="4"/>
    <x v="30"/>
    <x v="6"/>
    <x v="83"/>
    <x v="9"/>
    <x v="1"/>
    <x v="61"/>
  </r>
  <r>
    <x v="0"/>
    <x v="611"/>
    <x v="333"/>
    <x v="18"/>
    <x v="10"/>
    <x v="559"/>
    <x v="2"/>
    <x v="1314"/>
    <x v="463"/>
    <x v="130"/>
    <x v="933"/>
    <x v="1085"/>
    <x v="1364"/>
    <x v="1362"/>
    <x v="1324"/>
    <x v="7"/>
    <x v="1355"/>
    <x v="1364"/>
    <x v="514"/>
    <x v="0"/>
    <x v="0"/>
    <x v="2"/>
    <x v="160"/>
    <x v="10"/>
    <x v="352"/>
    <x v="8"/>
    <x v="3"/>
    <x v="1"/>
  </r>
  <r>
    <x v="0"/>
    <x v="534"/>
    <x v="113"/>
    <x v="40"/>
    <x v="264"/>
    <x v="9"/>
    <x v="30"/>
    <x v="1315"/>
    <x v="49"/>
    <x v="224"/>
    <x v="642"/>
    <x v="533"/>
    <x v="1365"/>
    <x v="1363"/>
    <x v="1325"/>
    <x v="1"/>
    <x v="1356"/>
    <x v="1365"/>
    <x v="731"/>
    <x v="0"/>
    <x v="0"/>
    <x v="0"/>
    <x v="160"/>
    <x v="8"/>
    <x v="47"/>
    <x v="31"/>
    <x v="1"/>
    <x v="64"/>
  </r>
  <r>
    <x v="0"/>
    <x v="550"/>
    <x v="309"/>
    <x v="38"/>
    <x v="268"/>
    <x v="633"/>
    <x v="11"/>
    <x v="1316"/>
    <x v="168"/>
    <x v="156"/>
    <x v="934"/>
    <x v="920"/>
    <x v="1366"/>
    <x v="1364"/>
    <x v="1326"/>
    <x v="1"/>
    <x v="1357"/>
    <x v="1366"/>
    <x v="318"/>
    <x v="0"/>
    <x v="0"/>
    <x v="0"/>
    <x v="105"/>
    <x v="19"/>
    <x v="528"/>
    <x v="15"/>
    <x v="3"/>
    <x v="1"/>
  </r>
  <r>
    <x v="0"/>
    <x v="243"/>
    <x v="361"/>
    <x v="41"/>
    <x v="123"/>
    <x v="417"/>
    <x v="183"/>
    <x v="1317"/>
    <x v="26"/>
    <x v="344"/>
    <x v="935"/>
    <x v="1086"/>
    <x v="1367"/>
    <x v="1365"/>
    <x v="1327"/>
    <x v="1"/>
    <x v="1358"/>
    <x v="1367"/>
    <x v="245"/>
    <x v="0"/>
    <x v="0"/>
    <x v="0"/>
    <x v="48"/>
    <x v="15"/>
    <x v="529"/>
    <x v="22"/>
    <x v="3"/>
    <x v="1"/>
  </r>
  <r>
    <x v="0"/>
    <x v="436"/>
    <x v="172"/>
    <x v="34"/>
    <x v="171"/>
    <x v="512"/>
    <x v="310"/>
    <x v="1318"/>
    <x v="70"/>
    <x v="565"/>
    <x v="936"/>
    <x v="769"/>
    <x v="1368"/>
    <x v="1366"/>
    <x v="1328"/>
    <x v="2"/>
    <x v="1359"/>
    <x v="1368"/>
    <x v="428"/>
    <x v="0"/>
    <x v="0"/>
    <x v="4"/>
    <x v="160"/>
    <x v="9"/>
    <x v="530"/>
    <x v="15"/>
    <x v="1"/>
    <x v="50"/>
  </r>
  <r>
    <x v="0"/>
    <x v="612"/>
    <x v="369"/>
    <x v="69"/>
    <x v="62"/>
    <x v="89"/>
    <x v="311"/>
    <x v="4"/>
    <x v="5"/>
    <x v="566"/>
    <x v="937"/>
    <x v="1087"/>
    <x v="1369"/>
    <x v="1367"/>
    <x v="1329"/>
    <x v="0"/>
    <x v="1360"/>
    <x v="1369"/>
    <x v="732"/>
    <x v="9"/>
    <x v="21"/>
    <x v="1"/>
    <x v="161"/>
    <x v="0"/>
    <x v="213"/>
    <x v="43"/>
    <x v="2"/>
    <x v="267"/>
  </r>
  <r>
    <x v="0"/>
    <x v="65"/>
    <x v="365"/>
    <x v="41"/>
    <x v="50"/>
    <x v="399"/>
    <x v="312"/>
    <x v="1319"/>
    <x v="80"/>
    <x v="567"/>
    <x v="83"/>
    <x v="718"/>
    <x v="1370"/>
    <x v="1368"/>
    <x v="1330"/>
    <x v="0"/>
    <x v="1361"/>
    <x v="1370"/>
    <x v="733"/>
    <x v="0"/>
    <x v="0"/>
    <x v="4"/>
    <x v="105"/>
    <x v="13"/>
    <x v="62"/>
    <x v="8"/>
    <x v="1"/>
    <x v="1"/>
  </r>
  <r>
    <x v="0"/>
    <x v="613"/>
    <x v="332"/>
    <x v="61"/>
    <x v="274"/>
    <x v="634"/>
    <x v="313"/>
    <x v="1320"/>
    <x v="2"/>
    <x v="568"/>
    <x v="938"/>
    <x v="1088"/>
    <x v="1371"/>
    <x v="1369"/>
    <x v="1331"/>
    <x v="3"/>
    <x v="1362"/>
    <x v="1371"/>
    <x v="178"/>
    <x v="0"/>
    <x v="1"/>
    <x v="2"/>
    <x v="105"/>
    <x v="45"/>
    <x v="97"/>
    <x v="5"/>
    <x v="1"/>
    <x v="1"/>
  </r>
  <r>
    <x v="0"/>
    <x v="614"/>
    <x v="220"/>
    <x v="59"/>
    <x v="47"/>
    <x v="461"/>
    <x v="314"/>
    <x v="1321"/>
    <x v="376"/>
    <x v="569"/>
    <x v="939"/>
    <x v="865"/>
    <x v="1372"/>
    <x v="1370"/>
    <x v="1332"/>
    <x v="8"/>
    <x v="1363"/>
    <x v="1372"/>
    <x v="554"/>
    <x v="0"/>
    <x v="0"/>
    <x v="4"/>
    <x v="105"/>
    <x v="5"/>
    <x v="386"/>
    <x v="21"/>
    <x v="3"/>
    <x v="85"/>
  </r>
  <r>
    <x v="0"/>
    <x v="611"/>
    <x v="390"/>
    <x v="86"/>
    <x v="10"/>
    <x v="559"/>
    <x v="2"/>
    <x v="1322"/>
    <x v="463"/>
    <x v="130"/>
    <x v="940"/>
    <x v="1085"/>
    <x v="1373"/>
    <x v="1371"/>
    <x v="1333"/>
    <x v="0"/>
    <x v="1364"/>
    <x v="1373"/>
    <x v="631"/>
    <x v="0"/>
    <x v="0"/>
    <x v="2"/>
    <x v="105"/>
    <x v="11"/>
    <x v="454"/>
    <x v="21"/>
    <x v="3"/>
    <x v="1"/>
  </r>
  <r>
    <x v="0"/>
    <x v="407"/>
    <x v="450"/>
    <x v="23"/>
    <x v="173"/>
    <x v="415"/>
    <x v="123"/>
    <x v="1323"/>
    <x v="464"/>
    <x v="233"/>
    <x v="699"/>
    <x v="602"/>
    <x v="1374"/>
    <x v="1372"/>
    <x v="1334"/>
    <x v="0"/>
    <x v="1365"/>
    <x v="1374"/>
    <x v="657"/>
    <x v="0"/>
    <x v="0"/>
    <x v="4"/>
    <x v="148"/>
    <x v="21"/>
    <x v="30"/>
    <x v="20"/>
    <x v="1"/>
    <x v="268"/>
  </r>
  <r>
    <x v="0"/>
    <x v="273"/>
    <x v="382"/>
    <x v="56"/>
    <x v="70"/>
    <x v="52"/>
    <x v="21"/>
    <x v="1324"/>
    <x v="28"/>
    <x v="127"/>
    <x v="913"/>
    <x v="429"/>
    <x v="1375"/>
    <x v="1373"/>
    <x v="1335"/>
    <x v="0"/>
    <x v="1366"/>
    <x v="1375"/>
    <x v="675"/>
    <x v="0"/>
    <x v="0"/>
    <x v="4"/>
    <x v="105"/>
    <x v="17"/>
    <x v="19"/>
    <x v="9"/>
    <x v="1"/>
    <x v="1"/>
  </r>
  <r>
    <x v="0"/>
    <x v="296"/>
    <x v="291"/>
    <x v="72"/>
    <x v="189"/>
    <x v="47"/>
    <x v="10"/>
    <x v="1325"/>
    <x v="105"/>
    <x v="16"/>
    <x v="941"/>
    <x v="1089"/>
    <x v="1376"/>
    <x v="1374"/>
    <x v="1336"/>
    <x v="1"/>
    <x v="1367"/>
    <x v="1376"/>
    <x v="497"/>
    <x v="0"/>
    <x v="0"/>
    <x v="0"/>
    <x v="160"/>
    <x v="2"/>
    <x v="20"/>
    <x v="28"/>
    <x v="3"/>
    <x v="59"/>
  </r>
  <r>
    <x v="0"/>
    <x v="340"/>
    <x v="308"/>
    <x v="29"/>
    <x v="0"/>
    <x v="407"/>
    <x v="35"/>
    <x v="1326"/>
    <x v="433"/>
    <x v="461"/>
    <x v="942"/>
    <x v="955"/>
    <x v="1377"/>
    <x v="1375"/>
    <x v="1337"/>
    <x v="0"/>
    <x v="1368"/>
    <x v="1377"/>
    <x v="448"/>
    <x v="0"/>
    <x v="0"/>
    <x v="0"/>
    <x v="105"/>
    <x v="25"/>
    <x v="413"/>
    <x v="10"/>
    <x v="3"/>
    <x v="269"/>
  </r>
  <r>
    <x v="0"/>
    <x v="615"/>
    <x v="299"/>
    <x v="46"/>
    <x v="93"/>
    <x v="212"/>
    <x v="315"/>
    <x v="1327"/>
    <x v="260"/>
    <x v="570"/>
    <x v="943"/>
    <x v="560"/>
    <x v="1378"/>
    <x v="1376"/>
    <x v="1338"/>
    <x v="1"/>
    <x v="1369"/>
    <x v="1378"/>
    <x v="357"/>
    <x v="0"/>
    <x v="0"/>
    <x v="0"/>
    <x v="105"/>
    <x v="15"/>
    <x v="201"/>
    <x v="2"/>
    <x v="1"/>
    <x v="168"/>
  </r>
  <r>
    <x v="0"/>
    <x v="310"/>
    <x v="143"/>
    <x v="37"/>
    <x v="114"/>
    <x v="10"/>
    <x v="25"/>
    <x v="1328"/>
    <x v="416"/>
    <x v="82"/>
    <x v="944"/>
    <x v="1090"/>
    <x v="1379"/>
    <x v="1377"/>
    <x v="1339"/>
    <x v="1"/>
    <x v="1370"/>
    <x v="1379"/>
    <x v="435"/>
    <x v="0"/>
    <x v="0"/>
    <x v="0"/>
    <x v="160"/>
    <x v="10"/>
    <x v="13"/>
    <x v="19"/>
    <x v="1"/>
    <x v="33"/>
  </r>
  <r>
    <x v="0"/>
    <x v="468"/>
    <x v="177"/>
    <x v="11"/>
    <x v="21"/>
    <x v="399"/>
    <x v="316"/>
    <x v="1329"/>
    <x v="211"/>
    <x v="571"/>
    <x v="945"/>
    <x v="1091"/>
    <x v="1380"/>
    <x v="1378"/>
    <x v="1340"/>
    <x v="4"/>
    <x v="1371"/>
    <x v="1380"/>
    <x v="121"/>
    <x v="0"/>
    <x v="0"/>
    <x v="0"/>
    <x v="105"/>
    <x v="13"/>
    <x v="531"/>
    <x v="6"/>
    <x v="1"/>
    <x v="16"/>
  </r>
  <r>
    <x v="0"/>
    <x v="465"/>
    <x v="315"/>
    <x v="54"/>
    <x v="45"/>
    <x v="635"/>
    <x v="317"/>
    <x v="1330"/>
    <x v="465"/>
    <x v="572"/>
    <x v="214"/>
    <x v="1092"/>
    <x v="1381"/>
    <x v="1379"/>
    <x v="1341"/>
    <x v="0"/>
    <x v="1372"/>
    <x v="1381"/>
    <x v="398"/>
    <x v="0"/>
    <x v="0"/>
    <x v="4"/>
    <x v="105"/>
    <x v="21"/>
    <x v="144"/>
    <x v="43"/>
    <x v="3"/>
    <x v="270"/>
  </r>
  <r>
    <x v="0"/>
    <x v="143"/>
    <x v="69"/>
    <x v="113"/>
    <x v="106"/>
    <x v="174"/>
    <x v="318"/>
    <x v="1331"/>
    <x v="44"/>
    <x v="573"/>
    <x v="946"/>
    <x v="1093"/>
    <x v="1382"/>
    <x v="1380"/>
    <x v="1342"/>
    <x v="0"/>
    <x v="1373"/>
    <x v="1382"/>
    <x v="727"/>
    <x v="0"/>
    <x v="0"/>
    <x v="3"/>
    <x v="160"/>
    <x v="8"/>
    <x v="532"/>
    <x v="33"/>
    <x v="1"/>
    <x v="238"/>
  </r>
  <r>
    <x v="0"/>
    <x v="616"/>
    <x v="402"/>
    <x v="54"/>
    <x v="0"/>
    <x v="437"/>
    <x v="0"/>
    <x v="1332"/>
    <x v="125"/>
    <x v="85"/>
    <x v="603"/>
    <x v="638"/>
    <x v="1383"/>
    <x v="1381"/>
    <x v="1343"/>
    <x v="1"/>
    <x v="1374"/>
    <x v="1383"/>
    <x v="670"/>
    <x v="0"/>
    <x v="0"/>
    <x v="0"/>
    <x v="162"/>
    <x v="17"/>
    <x v="60"/>
    <x v="28"/>
    <x v="3"/>
    <x v="271"/>
  </r>
  <r>
    <x v="0"/>
    <x v="235"/>
    <x v="33"/>
    <x v="26"/>
    <x v="157"/>
    <x v="526"/>
    <x v="21"/>
    <x v="1333"/>
    <x v="125"/>
    <x v="71"/>
    <x v="947"/>
    <x v="805"/>
    <x v="1384"/>
    <x v="1382"/>
    <x v="1344"/>
    <x v="3"/>
    <x v="1375"/>
    <x v="1384"/>
    <x v="117"/>
    <x v="0"/>
    <x v="0"/>
    <x v="4"/>
    <x v="82"/>
    <x v="0"/>
    <x v="533"/>
    <x v="6"/>
    <x v="1"/>
    <x v="4"/>
  </r>
  <r>
    <x v="0"/>
    <x v="617"/>
    <x v="239"/>
    <x v="72"/>
    <x v="73"/>
    <x v="636"/>
    <x v="319"/>
    <x v="1334"/>
    <x v="466"/>
    <x v="574"/>
    <x v="948"/>
    <x v="1094"/>
    <x v="1385"/>
    <x v="1383"/>
    <x v="1345"/>
    <x v="0"/>
    <x v="1376"/>
    <x v="1385"/>
    <x v="727"/>
    <x v="13"/>
    <x v="14"/>
    <x v="0"/>
    <x v="105"/>
    <x v="2"/>
    <x v="534"/>
    <x v="13"/>
    <x v="1"/>
    <x v="85"/>
  </r>
  <r>
    <x v="0"/>
    <x v="190"/>
    <x v="253"/>
    <x v="54"/>
    <x v="135"/>
    <x v="404"/>
    <x v="230"/>
    <x v="1335"/>
    <x v="100"/>
    <x v="424"/>
    <x v="949"/>
    <x v="584"/>
    <x v="1386"/>
    <x v="1384"/>
    <x v="1346"/>
    <x v="1"/>
    <x v="1377"/>
    <x v="1386"/>
    <x v="734"/>
    <x v="0"/>
    <x v="0"/>
    <x v="0"/>
    <x v="152"/>
    <x v="15"/>
    <x v="535"/>
    <x v="4"/>
    <x v="1"/>
    <x v="1"/>
  </r>
  <r>
    <x v="0"/>
    <x v="24"/>
    <x v="72"/>
    <x v="51"/>
    <x v="17"/>
    <x v="433"/>
    <x v="68"/>
    <x v="1336"/>
    <x v="9"/>
    <x v="120"/>
    <x v="607"/>
    <x v="1095"/>
    <x v="1387"/>
    <x v="1385"/>
    <x v="678"/>
    <x v="0"/>
    <x v="1378"/>
    <x v="1387"/>
    <x v="735"/>
    <x v="0"/>
    <x v="0"/>
    <x v="0"/>
    <x v="82"/>
    <x v="30"/>
    <x v="272"/>
    <x v="32"/>
    <x v="3"/>
    <x v="85"/>
  </r>
  <r>
    <x v="0"/>
    <x v="58"/>
    <x v="379"/>
    <x v="58"/>
    <x v="43"/>
    <x v="625"/>
    <x v="290"/>
    <x v="1337"/>
    <x v="467"/>
    <x v="528"/>
    <x v="176"/>
    <x v="1096"/>
    <x v="1388"/>
    <x v="1386"/>
    <x v="1347"/>
    <x v="0"/>
    <x v="1379"/>
    <x v="1388"/>
    <x v="327"/>
    <x v="0"/>
    <x v="13"/>
    <x v="0"/>
    <x v="105"/>
    <x v="10"/>
    <x v="120"/>
    <x v="18"/>
    <x v="1"/>
    <x v="43"/>
  </r>
  <r>
    <x v="0"/>
    <x v="105"/>
    <x v="373"/>
    <x v="61"/>
    <x v="83"/>
    <x v="393"/>
    <x v="320"/>
    <x v="1338"/>
    <x v="23"/>
    <x v="575"/>
    <x v="363"/>
    <x v="555"/>
    <x v="1389"/>
    <x v="1387"/>
    <x v="1348"/>
    <x v="4"/>
    <x v="1380"/>
    <x v="1389"/>
    <x v="736"/>
    <x v="0"/>
    <x v="0"/>
    <x v="4"/>
    <x v="82"/>
    <x v="29"/>
    <x v="242"/>
    <x v="10"/>
    <x v="1"/>
    <x v="1"/>
  </r>
  <r>
    <x v="0"/>
    <x v="199"/>
    <x v="344"/>
    <x v="74"/>
    <x v="141"/>
    <x v="271"/>
    <x v="321"/>
    <x v="1339"/>
    <x v="122"/>
    <x v="576"/>
    <x v="950"/>
    <x v="1097"/>
    <x v="1390"/>
    <x v="1388"/>
    <x v="1349"/>
    <x v="0"/>
    <x v="1381"/>
    <x v="1390"/>
    <x v="638"/>
    <x v="0"/>
    <x v="0"/>
    <x v="0"/>
    <x v="163"/>
    <x v="0"/>
    <x v="536"/>
    <x v="16"/>
    <x v="3"/>
    <x v="58"/>
  </r>
  <r>
    <x v="0"/>
    <x v="113"/>
    <x v="451"/>
    <x v="116"/>
    <x v="88"/>
    <x v="210"/>
    <x v="322"/>
    <x v="4"/>
    <x v="132"/>
    <x v="577"/>
    <x v="951"/>
    <x v="592"/>
    <x v="1391"/>
    <x v="1389"/>
    <x v="1350"/>
    <x v="4"/>
    <x v="4"/>
    <x v="1391"/>
    <x v="737"/>
    <x v="0"/>
    <x v="0"/>
    <x v="5"/>
    <x v="4"/>
    <x v="4"/>
    <x v="537"/>
    <x v="27"/>
    <x v="12"/>
    <x v="1"/>
  </r>
  <r>
    <x v="0"/>
    <x v="423"/>
    <x v="270"/>
    <x v="76"/>
    <x v="0"/>
    <x v="482"/>
    <x v="35"/>
    <x v="1340"/>
    <x v="237"/>
    <x v="461"/>
    <x v="432"/>
    <x v="1098"/>
    <x v="1392"/>
    <x v="1390"/>
    <x v="1351"/>
    <x v="0"/>
    <x v="1382"/>
    <x v="1392"/>
    <x v="49"/>
    <x v="0"/>
    <x v="0"/>
    <x v="2"/>
    <x v="82"/>
    <x v="18"/>
    <x v="291"/>
    <x v="28"/>
    <x v="3"/>
    <x v="1"/>
  </r>
  <r>
    <x v="0"/>
    <x v="238"/>
    <x v="452"/>
    <x v="11"/>
    <x v="159"/>
    <x v="607"/>
    <x v="11"/>
    <x v="1341"/>
    <x v="70"/>
    <x v="11"/>
    <x v="952"/>
    <x v="1099"/>
    <x v="1393"/>
    <x v="1391"/>
    <x v="1352"/>
    <x v="7"/>
    <x v="1383"/>
    <x v="1393"/>
    <x v="7"/>
    <x v="0"/>
    <x v="0"/>
    <x v="4"/>
    <x v="82"/>
    <x v="10"/>
    <x v="154"/>
    <x v="8"/>
    <x v="1"/>
    <x v="77"/>
  </r>
  <r>
    <x v="0"/>
    <x v="607"/>
    <x v="453"/>
    <x v="47"/>
    <x v="16"/>
    <x v="637"/>
    <x v="57"/>
    <x v="1342"/>
    <x v="414"/>
    <x v="109"/>
    <x v="60"/>
    <x v="1100"/>
    <x v="1394"/>
    <x v="1392"/>
    <x v="1353"/>
    <x v="0"/>
    <x v="1384"/>
    <x v="1394"/>
    <x v="738"/>
    <x v="0"/>
    <x v="0"/>
    <x v="0"/>
    <x v="30"/>
    <x v="5"/>
    <x v="47"/>
    <x v="16"/>
    <x v="1"/>
    <x v="88"/>
  </r>
  <r>
    <x v="0"/>
    <x v="345"/>
    <x v="132"/>
    <x v="56"/>
    <x v="172"/>
    <x v="333"/>
    <x v="2"/>
    <x v="1343"/>
    <x v="105"/>
    <x v="209"/>
    <x v="85"/>
    <x v="1101"/>
    <x v="1395"/>
    <x v="1393"/>
    <x v="1354"/>
    <x v="0"/>
    <x v="1385"/>
    <x v="1395"/>
    <x v="739"/>
    <x v="0"/>
    <x v="0"/>
    <x v="0"/>
    <x v="82"/>
    <x v="7"/>
    <x v="6"/>
    <x v="2"/>
    <x v="1"/>
    <x v="1"/>
  </r>
  <r>
    <x v="0"/>
    <x v="618"/>
    <x v="295"/>
    <x v="14"/>
    <x v="275"/>
    <x v="575"/>
    <x v="25"/>
    <x v="1344"/>
    <x v="101"/>
    <x v="194"/>
    <x v="953"/>
    <x v="1102"/>
    <x v="1396"/>
    <x v="1394"/>
    <x v="1355"/>
    <x v="4"/>
    <x v="1386"/>
    <x v="1396"/>
    <x v="415"/>
    <x v="0"/>
    <x v="0"/>
    <x v="2"/>
    <x v="82"/>
    <x v="28"/>
    <x v="335"/>
    <x v="21"/>
    <x v="1"/>
    <x v="1"/>
  </r>
  <r>
    <x v="0"/>
    <x v="238"/>
    <x v="101"/>
    <x v="60"/>
    <x v="159"/>
    <x v="134"/>
    <x v="41"/>
    <x v="1345"/>
    <x v="70"/>
    <x v="211"/>
    <x v="388"/>
    <x v="165"/>
    <x v="1397"/>
    <x v="1395"/>
    <x v="1356"/>
    <x v="4"/>
    <x v="1387"/>
    <x v="1397"/>
    <x v="423"/>
    <x v="0"/>
    <x v="0"/>
    <x v="4"/>
    <x v="82"/>
    <x v="9"/>
    <x v="260"/>
    <x v="20"/>
    <x v="1"/>
    <x v="16"/>
  </r>
  <r>
    <x v="0"/>
    <x v="48"/>
    <x v="293"/>
    <x v="57"/>
    <x v="33"/>
    <x v="174"/>
    <x v="13"/>
    <x v="1346"/>
    <x v="111"/>
    <x v="158"/>
    <x v="954"/>
    <x v="220"/>
    <x v="1398"/>
    <x v="1396"/>
    <x v="1357"/>
    <x v="0"/>
    <x v="1388"/>
    <x v="1398"/>
    <x v="292"/>
    <x v="0"/>
    <x v="0"/>
    <x v="4"/>
    <x v="82"/>
    <x v="23"/>
    <x v="30"/>
    <x v="11"/>
    <x v="1"/>
    <x v="1"/>
  </r>
  <r>
    <x v="0"/>
    <x v="275"/>
    <x v="235"/>
    <x v="32"/>
    <x v="179"/>
    <x v="1"/>
    <x v="11"/>
    <x v="1347"/>
    <x v="168"/>
    <x v="11"/>
    <x v="243"/>
    <x v="319"/>
    <x v="1399"/>
    <x v="1397"/>
    <x v="1358"/>
    <x v="4"/>
    <x v="1389"/>
    <x v="1399"/>
    <x v="341"/>
    <x v="0"/>
    <x v="0"/>
    <x v="0"/>
    <x v="82"/>
    <x v="8"/>
    <x v="1"/>
    <x v="2"/>
    <x v="1"/>
    <x v="1"/>
  </r>
  <r>
    <x v="0"/>
    <x v="287"/>
    <x v="454"/>
    <x v="74"/>
    <x v="0"/>
    <x v="65"/>
    <x v="323"/>
    <x v="1348"/>
    <x v="127"/>
    <x v="578"/>
    <x v="806"/>
    <x v="1103"/>
    <x v="1400"/>
    <x v="1398"/>
    <x v="1359"/>
    <x v="1"/>
    <x v="1390"/>
    <x v="1400"/>
    <x v="75"/>
    <x v="0"/>
    <x v="7"/>
    <x v="4"/>
    <x v="82"/>
    <x v="2"/>
    <x v="136"/>
    <x v="22"/>
    <x v="1"/>
    <x v="68"/>
  </r>
  <r>
    <x v="0"/>
    <x v="619"/>
    <x v="209"/>
    <x v="72"/>
    <x v="193"/>
    <x v="638"/>
    <x v="0"/>
    <x v="1349"/>
    <x v="127"/>
    <x v="85"/>
    <x v="955"/>
    <x v="1104"/>
    <x v="1401"/>
    <x v="1399"/>
    <x v="1360"/>
    <x v="4"/>
    <x v="1391"/>
    <x v="1401"/>
    <x v="284"/>
    <x v="0"/>
    <x v="0"/>
    <x v="0"/>
    <x v="82"/>
    <x v="12"/>
    <x v="121"/>
    <x v="18"/>
    <x v="3"/>
    <x v="272"/>
  </r>
  <r>
    <x v="0"/>
    <x v="241"/>
    <x v="410"/>
    <x v="108"/>
    <x v="162"/>
    <x v="148"/>
    <x v="21"/>
    <x v="1350"/>
    <x v="387"/>
    <x v="298"/>
    <x v="333"/>
    <x v="182"/>
    <x v="1402"/>
    <x v="1400"/>
    <x v="1361"/>
    <x v="0"/>
    <x v="1392"/>
    <x v="1402"/>
    <x v="424"/>
    <x v="0"/>
    <x v="0"/>
    <x v="4"/>
    <x v="146"/>
    <x v="25"/>
    <x v="30"/>
    <x v="38"/>
    <x v="3"/>
    <x v="1"/>
  </r>
  <r>
    <x v="0"/>
    <x v="424"/>
    <x v="325"/>
    <x v="67"/>
    <x v="231"/>
    <x v="273"/>
    <x v="11"/>
    <x v="1351"/>
    <x v="171"/>
    <x v="11"/>
    <x v="956"/>
    <x v="569"/>
    <x v="1403"/>
    <x v="1401"/>
    <x v="1362"/>
    <x v="4"/>
    <x v="1393"/>
    <x v="1403"/>
    <x v="622"/>
    <x v="0"/>
    <x v="0"/>
    <x v="4"/>
    <x v="82"/>
    <x v="13"/>
    <x v="538"/>
    <x v="24"/>
    <x v="1"/>
    <x v="59"/>
  </r>
  <r>
    <x v="0"/>
    <x v="60"/>
    <x v="238"/>
    <x v="7"/>
    <x v="45"/>
    <x v="60"/>
    <x v="324"/>
    <x v="1352"/>
    <x v="468"/>
    <x v="579"/>
    <x v="213"/>
    <x v="1084"/>
    <x v="1404"/>
    <x v="1402"/>
    <x v="1363"/>
    <x v="3"/>
    <x v="1394"/>
    <x v="1404"/>
    <x v="287"/>
    <x v="0"/>
    <x v="0"/>
    <x v="2"/>
    <x v="82"/>
    <x v="12"/>
    <x v="539"/>
    <x v="5"/>
    <x v="1"/>
    <x v="1"/>
  </r>
  <r>
    <x v="0"/>
    <x v="189"/>
    <x v="383"/>
    <x v="78"/>
    <x v="0"/>
    <x v="639"/>
    <x v="32"/>
    <x v="1353"/>
    <x v="125"/>
    <x v="260"/>
    <x v="957"/>
    <x v="1105"/>
    <x v="1405"/>
    <x v="1403"/>
    <x v="1364"/>
    <x v="0"/>
    <x v="1395"/>
    <x v="1405"/>
    <x v="460"/>
    <x v="0"/>
    <x v="0"/>
    <x v="0"/>
    <x v="82"/>
    <x v="13"/>
    <x v="399"/>
    <x v="22"/>
    <x v="3"/>
    <x v="1"/>
  </r>
  <r>
    <x v="0"/>
    <x v="146"/>
    <x v="241"/>
    <x v="26"/>
    <x v="108"/>
    <x v="401"/>
    <x v="325"/>
    <x v="1354"/>
    <x v="179"/>
    <x v="580"/>
    <x v="958"/>
    <x v="1106"/>
    <x v="1406"/>
    <x v="1404"/>
    <x v="1365"/>
    <x v="0"/>
    <x v="1396"/>
    <x v="1406"/>
    <x v="629"/>
    <x v="0"/>
    <x v="0"/>
    <x v="4"/>
    <x v="82"/>
    <x v="16"/>
    <x v="78"/>
    <x v="27"/>
    <x v="1"/>
    <x v="1"/>
  </r>
  <r>
    <x v="0"/>
    <x v="548"/>
    <x v="127"/>
    <x v="59"/>
    <x v="0"/>
    <x v="354"/>
    <x v="1"/>
    <x v="1355"/>
    <x v="429"/>
    <x v="1"/>
    <x v="959"/>
    <x v="1107"/>
    <x v="1407"/>
    <x v="1405"/>
    <x v="1366"/>
    <x v="1"/>
    <x v="1397"/>
    <x v="1407"/>
    <x v="740"/>
    <x v="0"/>
    <x v="0"/>
    <x v="14"/>
    <x v="164"/>
    <x v="31"/>
    <x v="82"/>
    <x v="7"/>
    <x v="3"/>
    <x v="7"/>
  </r>
  <r>
    <x v="0"/>
    <x v="228"/>
    <x v="117"/>
    <x v="56"/>
    <x v="155"/>
    <x v="412"/>
    <x v="326"/>
    <x v="1356"/>
    <x v="321"/>
    <x v="581"/>
    <x v="120"/>
    <x v="1031"/>
    <x v="1408"/>
    <x v="1406"/>
    <x v="1367"/>
    <x v="1"/>
    <x v="1398"/>
    <x v="1408"/>
    <x v="741"/>
    <x v="0"/>
    <x v="0"/>
    <x v="4"/>
    <x v="152"/>
    <x v="21"/>
    <x v="84"/>
    <x v="22"/>
    <x v="1"/>
    <x v="1"/>
  </r>
  <r>
    <x v="0"/>
    <x v="297"/>
    <x v="383"/>
    <x v="5"/>
    <x v="190"/>
    <x v="640"/>
    <x v="19"/>
    <x v="1357"/>
    <x v="9"/>
    <x v="20"/>
    <x v="960"/>
    <x v="1108"/>
    <x v="1409"/>
    <x v="1407"/>
    <x v="1368"/>
    <x v="1"/>
    <x v="1399"/>
    <x v="1409"/>
    <x v="412"/>
    <x v="0"/>
    <x v="0"/>
    <x v="0"/>
    <x v="82"/>
    <x v="20"/>
    <x v="273"/>
    <x v="21"/>
    <x v="3"/>
    <x v="1"/>
  </r>
  <r>
    <x v="0"/>
    <x v="297"/>
    <x v="202"/>
    <x v="32"/>
    <x v="190"/>
    <x v="641"/>
    <x v="327"/>
    <x v="1358"/>
    <x v="469"/>
    <x v="582"/>
    <x v="961"/>
    <x v="1109"/>
    <x v="1410"/>
    <x v="1408"/>
    <x v="1369"/>
    <x v="0"/>
    <x v="1400"/>
    <x v="1410"/>
    <x v="736"/>
    <x v="0"/>
    <x v="0"/>
    <x v="2"/>
    <x v="82"/>
    <x v="5"/>
    <x v="56"/>
    <x v="13"/>
    <x v="1"/>
    <x v="1"/>
  </r>
  <r>
    <x v="0"/>
    <x v="620"/>
    <x v="104"/>
    <x v="101"/>
    <x v="125"/>
    <x v="80"/>
    <x v="2"/>
    <x v="1359"/>
    <x v="62"/>
    <x v="104"/>
    <x v="962"/>
    <x v="102"/>
    <x v="1411"/>
    <x v="1409"/>
    <x v="1370"/>
    <x v="0"/>
    <x v="1401"/>
    <x v="1411"/>
    <x v="376"/>
    <x v="0"/>
    <x v="14"/>
    <x v="2"/>
    <x v="148"/>
    <x v="1"/>
    <x v="9"/>
    <x v="22"/>
    <x v="1"/>
    <x v="1"/>
  </r>
  <r>
    <x v="0"/>
    <x v="621"/>
    <x v="336"/>
    <x v="56"/>
    <x v="107"/>
    <x v="239"/>
    <x v="0"/>
    <x v="1360"/>
    <x v="122"/>
    <x v="114"/>
    <x v="963"/>
    <x v="1110"/>
    <x v="1412"/>
    <x v="1410"/>
    <x v="1371"/>
    <x v="1"/>
    <x v="1402"/>
    <x v="1412"/>
    <x v="216"/>
    <x v="0"/>
    <x v="0"/>
    <x v="2"/>
    <x v="82"/>
    <x v="17"/>
    <x v="160"/>
    <x v="8"/>
    <x v="3"/>
    <x v="1"/>
  </r>
  <r>
    <x v="0"/>
    <x v="329"/>
    <x v="282"/>
    <x v="56"/>
    <x v="146"/>
    <x v="595"/>
    <x v="10"/>
    <x v="1361"/>
    <x v="127"/>
    <x v="375"/>
    <x v="964"/>
    <x v="1111"/>
    <x v="1413"/>
    <x v="1411"/>
    <x v="1372"/>
    <x v="4"/>
    <x v="1403"/>
    <x v="1413"/>
    <x v="357"/>
    <x v="0"/>
    <x v="0"/>
    <x v="4"/>
    <x v="82"/>
    <x v="10"/>
    <x v="13"/>
    <x v="4"/>
    <x v="1"/>
    <x v="25"/>
  </r>
  <r>
    <x v="0"/>
    <x v="551"/>
    <x v="325"/>
    <x v="80"/>
    <x v="262"/>
    <x v="642"/>
    <x v="30"/>
    <x v="1362"/>
    <x v="125"/>
    <x v="53"/>
    <x v="965"/>
    <x v="1112"/>
    <x v="1414"/>
    <x v="1412"/>
    <x v="1373"/>
    <x v="0"/>
    <x v="1404"/>
    <x v="1414"/>
    <x v="718"/>
    <x v="0"/>
    <x v="0"/>
    <x v="4"/>
    <x v="82"/>
    <x v="6"/>
    <x v="367"/>
    <x v="19"/>
    <x v="1"/>
    <x v="1"/>
  </r>
  <r>
    <x v="0"/>
    <x v="199"/>
    <x v="455"/>
    <x v="31"/>
    <x v="141"/>
    <x v="28"/>
    <x v="10"/>
    <x v="1363"/>
    <x v="470"/>
    <x v="33"/>
    <x v="13"/>
    <x v="34"/>
    <x v="1415"/>
    <x v="1413"/>
    <x v="1374"/>
    <x v="4"/>
    <x v="1405"/>
    <x v="1415"/>
    <x v="624"/>
    <x v="0"/>
    <x v="0"/>
    <x v="0"/>
    <x v="82"/>
    <x v="9"/>
    <x v="12"/>
    <x v="7"/>
    <x v="1"/>
    <x v="36"/>
  </r>
  <r>
    <x v="0"/>
    <x v="437"/>
    <x v="258"/>
    <x v="134"/>
    <x v="0"/>
    <x v="461"/>
    <x v="11"/>
    <x v="1364"/>
    <x v="415"/>
    <x v="156"/>
    <x v="58"/>
    <x v="1113"/>
    <x v="1416"/>
    <x v="1414"/>
    <x v="1375"/>
    <x v="0"/>
    <x v="1406"/>
    <x v="1416"/>
    <x v="319"/>
    <x v="0"/>
    <x v="0"/>
    <x v="0"/>
    <x v="152"/>
    <x v="29"/>
    <x v="45"/>
    <x v="16"/>
    <x v="3"/>
    <x v="1"/>
  </r>
  <r>
    <x v="0"/>
    <x v="287"/>
    <x v="456"/>
    <x v="90"/>
    <x v="0"/>
    <x v="209"/>
    <x v="128"/>
    <x v="1365"/>
    <x v="125"/>
    <x v="583"/>
    <x v="966"/>
    <x v="1114"/>
    <x v="1417"/>
    <x v="1415"/>
    <x v="1376"/>
    <x v="4"/>
    <x v="1407"/>
    <x v="1417"/>
    <x v="248"/>
    <x v="0"/>
    <x v="0"/>
    <x v="4"/>
    <x v="82"/>
    <x v="3"/>
    <x v="273"/>
    <x v="5"/>
    <x v="1"/>
    <x v="45"/>
  </r>
  <r>
    <x v="0"/>
    <x v="205"/>
    <x v="310"/>
    <x v="76"/>
    <x v="69"/>
    <x v="500"/>
    <x v="49"/>
    <x v="1366"/>
    <x v="238"/>
    <x v="86"/>
    <x v="182"/>
    <x v="751"/>
    <x v="1418"/>
    <x v="1416"/>
    <x v="1377"/>
    <x v="4"/>
    <x v="1408"/>
    <x v="1418"/>
    <x v="452"/>
    <x v="0"/>
    <x v="0"/>
    <x v="2"/>
    <x v="82"/>
    <x v="0"/>
    <x v="30"/>
    <x v="28"/>
    <x v="3"/>
    <x v="1"/>
  </r>
  <r>
    <x v="0"/>
    <x v="622"/>
    <x v="328"/>
    <x v="80"/>
    <x v="239"/>
    <x v="217"/>
    <x v="291"/>
    <x v="1367"/>
    <x v="20"/>
    <x v="584"/>
    <x v="503"/>
    <x v="1115"/>
    <x v="1419"/>
    <x v="1417"/>
    <x v="1378"/>
    <x v="1"/>
    <x v="1409"/>
    <x v="1419"/>
    <x v="314"/>
    <x v="0"/>
    <x v="0"/>
    <x v="4"/>
    <x v="82"/>
    <x v="0"/>
    <x v="325"/>
    <x v="4"/>
    <x v="1"/>
    <x v="1"/>
  </r>
  <r>
    <x v="0"/>
    <x v="547"/>
    <x v="293"/>
    <x v="43"/>
    <x v="74"/>
    <x v="230"/>
    <x v="49"/>
    <x v="1368"/>
    <x v="127"/>
    <x v="86"/>
    <x v="967"/>
    <x v="1116"/>
    <x v="1420"/>
    <x v="1418"/>
    <x v="1379"/>
    <x v="3"/>
    <x v="1410"/>
    <x v="1420"/>
    <x v="119"/>
    <x v="0"/>
    <x v="0"/>
    <x v="0"/>
    <x v="82"/>
    <x v="1"/>
    <x v="540"/>
    <x v="43"/>
    <x v="1"/>
    <x v="273"/>
  </r>
  <r>
    <x v="0"/>
    <x v="206"/>
    <x v="362"/>
    <x v="128"/>
    <x v="145"/>
    <x v="327"/>
    <x v="2"/>
    <x v="1369"/>
    <x v="298"/>
    <x v="172"/>
    <x v="411"/>
    <x v="441"/>
    <x v="1421"/>
    <x v="1419"/>
    <x v="1380"/>
    <x v="4"/>
    <x v="1411"/>
    <x v="1421"/>
    <x v="120"/>
    <x v="0"/>
    <x v="0"/>
    <x v="0"/>
    <x v="152"/>
    <x v="7"/>
    <x v="276"/>
    <x v="23"/>
    <x v="3"/>
    <x v="1"/>
  </r>
  <r>
    <x v="0"/>
    <x v="623"/>
    <x v="293"/>
    <x v="42"/>
    <x v="164"/>
    <x v="410"/>
    <x v="317"/>
    <x v="1370"/>
    <x v="127"/>
    <x v="572"/>
    <x v="968"/>
    <x v="926"/>
    <x v="1422"/>
    <x v="1420"/>
    <x v="1381"/>
    <x v="4"/>
    <x v="1412"/>
    <x v="1422"/>
    <x v="742"/>
    <x v="0"/>
    <x v="0"/>
    <x v="0"/>
    <x v="116"/>
    <x v="12"/>
    <x v="428"/>
    <x v="18"/>
    <x v="1"/>
    <x v="1"/>
  </r>
  <r>
    <x v="0"/>
    <x v="36"/>
    <x v="338"/>
    <x v="21"/>
    <x v="26"/>
    <x v="643"/>
    <x v="1"/>
    <x v="1371"/>
    <x v="130"/>
    <x v="1"/>
    <x v="557"/>
    <x v="920"/>
    <x v="1423"/>
    <x v="1421"/>
    <x v="1382"/>
    <x v="4"/>
    <x v="1413"/>
    <x v="1423"/>
    <x v="722"/>
    <x v="0"/>
    <x v="0"/>
    <x v="4"/>
    <x v="82"/>
    <x v="13"/>
    <x v="20"/>
    <x v="6"/>
    <x v="1"/>
    <x v="1"/>
  </r>
  <r>
    <x v="0"/>
    <x v="216"/>
    <x v="84"/>
    <x v="7"/>
    <x v="149"/>
    <x v="230"/>
    <x v="21"/>
    <x v="1372"/>
    <x v="310"/>
    <x v="174"/>
    <x v="969"/>
    <x v="1117"/>
    <x v="1424"/>
    <x v="1422"/>
    <x v="1383"/>
    <x v="0"/>
    <x v="1414"/>
    <x v="1424"/>
    <x v="280"/>
    <x v="0"/>
    <x v="1"/>
    <x v="4"/>
    <x v="152"/>
    <x v="19"/>
    <x v="12"/>
    <x v="10"/>
    <x v="3"/>
    <x v="1"/>
  </r>
  <r>
    <x v="0"/>
    <x v="624"/>
    <x v="386"/>
    <x v="60"/>
    <x v="15"/>
    <x v="407"/>
    <x v="110"/>
    <x v="1373"/>
    <x v="471"/>
    <x v="585"/>
    <x v="970"/>
    <x v="955"/>
    <x v="1425"/>
    <x v="1423"/>
    <x v="1384"/>
    <x v="0"/>
    <x v="1415"/>
    <x v="1425"/>
    <x v="589"/>
    <x v="0"/>
    <x v="0"/>
    <x v="2"/>
    <x v="165"/>
    <x v="26"/>
    <x v="87"/>
    <x v="38"/>
    <x v="1"/>
    <x v="59"/>
  </r>
  <r>
    <x v="0"/>
    <x v="607"/>
    <x v="229"/>
    <x v="27"/>
    <x v="16"/>
    <x v="131"/>
    <x v="6"/>
    <x v="1374"/>
    <x v="408"/>
    <x v="6"/>
    <x v="404"/>
    <x v="161"/>
    <x v="1426"/>
    <x v="1424"/>
    <x v="1385"/>
    <x v="1"/>
    <x v="1416"/>
    <x v="1426"/>
    <x v="743"/>
    <x v="0"/>
    <x v="0"/>
    <x v="4"/>
    <x v="82"/>
    <x v="14"/>
    <x v="28"/>
    <x v="5"/>
    <x v="3"/>
    <x v="1"/>
  </r>
  <r>
    <x v="0"/>
    <x v="198"/>
    <x v="103"/>
    <x v="33"/>
    <x v="140"/>
    <x v="644"/>
    <x v="10"/>
    <x v="1375"/>
    <x v="80"/>
    <x v="375"/>
    <x v="971"/>
    <x v="1118"/>
    <x v="1427"/>
    <x v="1425"/>
    <x v="1386"/>
    <x v="1"/>
    <x v="1417"/>
    <x v="1427"/>
    <x v="78"/>
    <x v="0"/>
    <x v="4"/>
    <x v="0"/>
    <x v="82"/>
    <x v="8"/>
    <x v="280"/>
    <x v="28"/>
    <x v="1"/>
    <x v="1"/>
  </r>
  <r>
    <x v="0"/>
    <x v="468"/>
    <x v="355"/>
    <x v="56"/>
    <x v="21"/>
    <x v="23"/>
    <x v="24"/>
    <x v="1376"/>
    <x v="222"/>
    <x v="362"/>
    <x v="35"/>
    <x v="1119"/>
    <x v="1428"/>
    <x v="1426"/>
    <x v="1387"/>
    <x v="4"/>
    <x v="1418"/>
    <x v="1428"/>
    <x v="161"/>
    <x v="0"/>
    <x v="0"/>
    <x v="0"/>
    <x v="88"/>
    <x v="10"/>
    <x v="10"/>
    <x v="10"/>
    <x v="1"/>
    <x v="76"/>
  </r>
  <r>
    <x v="0"/>
    <x v="625"/>
    <x v="263"/>
    <x v="27"/>
    <x v="106"/>
    <x v="513"/>
    <x v="0"/>
    <x v="1377"/>
    <x v="127"/>
    <x v="586"/>
    <x v="591"/>
    <x v="1120"/>
    <x v="1429"/>
    <x v="1427"/>
    <x v="1388"/>
    <x v="0"/>
    <x v="1419"/>
    <x v="1429"/>
    <x v="241"/>
    <x v="0"/>
    <x v="0"/>
    <x v="0"/>
    <x v="82"/>
    <x v="5"/>
    <x v="157"/>
    <x v="43"/>
    <x v="1"/>
    <x v="1"/>
  </r>
  <r>
    <x v="0"/>
    <x v="626"/>
    <x v="342"/>
    <x v="52"/>
    <x v="74"/>
    <x v="455"/>
    <x v="328"/>
    <x v="1378"/>
    <x v="105"/>
    <x v="587"/>
    <x v="972"/>
    <x v="1121"/>
    <x v="1430"/>
    <x v="1428"/>
    <x v="1129"/>
    <x v="2"/>
    <x v="1420"/>
    <x v="1430"/>
    <x v="243"/>
    <x v="0"/>
    <x v="0"/>
    <x v="0"/>
    <x v="82"/>
    <x v="10"/>
    <x v="117"/>
    <x v="18"/>
    <x v="3"/>
    <x v="38"/>
  </r>
  <r>
    <x v="0"/>
    <x v="113"/>
    <x v="320"/>
    <x v="84"/>
    <x v="88"/>
    <x v="555"/>
    <x v="329"/>
    <x v="4"/>
    <x v="17"/>
    <x v="588"/>
    <x v="640"/>
    <x v="1122"/>
    <x v="1431"/>
    <x v="1429"/>
    <x v="1389"/>
    <x v="2"/>
    <x v="1421"/>
    <x v="1431"/>
    <x v="744"/>
    <x v="0"/>
    <x v="0"/>
    <x v="1"/>
    <x v="4"/>
    <x v="4"/>
    <x v="398"/>
    <x v="15"/>
    <x v="2"/>
    <x v="257"/>
  </r>
  <r>
    <x v="0"/>
    <x v="627"/>
    <x v="303"/>
    <x v="54"/>
    <x v="107"/>
    <x v="188"/>
    <x v="0"/>
    <x v="1379"/>
    <x v="373"/>
    <x v="384"/>
    <x v="973"/>
    <x v="595"/>
    <x v="1432"/>
    <x v="1430"/>
    <x v="1390"/>
    <x v="1"/>
    <x v="1422"/>
    <x v="1432"/>
    <x v="291"/>
    <x v="0"/>
    <x v="0"/>
    <x v="0"/>
    <x v="95"/>
    <x v="18"/>
    <x v="202"/>
    <x v="30"/>
    <x v="1"/>
    <x v="1"/>
  </r>
  <r>
    <x v="0"/>
    <x v="628"/>
    <x v="361"/>
    <x v="58"/>
    <x v="80"/>
    <x v="426"/>
    <x v="330"/>
    <x v="4"/>
    <x v="472"/>
    <x v="589"/>
    <x v="974"/>
    <x v="1123"/>
    <x v="1433"/>
    <x v="1431"/>
    <x v="1391"/>
    <x v="1"/>
    <x v="1423"/>
    <x v="1433"/>
    <x v="552"/>
    <x v="0"/>
    <x v="0"/>
    <x v="2"/>
    <x v="4"/>
    <x v="46"/>
    <x v="347"/>
    <x v="11"/>
    <x v="3"/>
    <x v="1"/>
  </r>
  <r>
    <x v="0"/>
    <x v="629"/>
    <x v="315"/>
    <x v="58"/>
    <x v="265"/>
    <x v="113"/>
    <x v="35"/>
    <x v="1380"/>
    <x v="75"/>
    <x v="193"/>
    <x v="975"/>
    <x v="1124"/>
    <x v="1434"/>
    <x v="1432"/>
    <x v="1392"/>
    <x v="1"/>
    <x v="1424"/>
    <x v="1434"/>
    <x v="557"/>
    <x v="0"/>
    <x v="7"/>
    <x v="0"/>
    <x v="82"/>
    <x v="24"/>
    <x v="30"/>
    <x v="45"/>
    <x v="1"/>
    <x v="1"/>
  </r>
  <r>
    <x v="1"/>
    <x v="335"/>
    <x v="229"/>
    <x v="13"/>
    <x v="67"/>
    <x v="220"/>
    <x v="331"/>
    <x v="1381"/>
    <x v="467"/>
    <x v="590"/>
    <x v="976"/>
    <x v="1125"/>
    <x v="1435"/>
    <x v="1433"/>
    <x v="1393"/>
    <x v="0"/>
    <x v="1425"/>
    <x v="1435"/>
    <x v="745"/>
    <x v="0"/>
    <x v="10"/>
    <x v="4"/>
    <x v="82"/>
    <x v="19"/>
    <x v="541"/>
    <x v="3"/>
    <x v="3"/>
    <x v="90"/>
  </r>
  <r>
    <x v="0"/>
    <x v="242"/>
    <x v="132"/>
    <x v="40"/>
    <x v="163"/>
    <x v="36"/>
    <x v="1"/>
    <x v="1047"/>
    <x v="236"/>
    <x v="1"/>
    <x v="88"/>
    <x v="887"/>
    <x v="1087"/>
    <x v="1084"/>
    <x v="1063"/>
    <x v="1"/>
    <x v="1079"/>
    <x v="1087"/>
    <x v="665"/>
    <x v="0"/>
    <x v="0"/>
    <x v="4"/>
    <x v="82"/>
    <x v="18"/>
    <x v="30"/>
    <x v="2"/>
    <x v="1"/>
    <x v="1"/>
  </r>
  <r>
    <x v="0"/>
    <x v="534"/>
    <x v="270"/>
    <x v="59"/>
    <x v="264"/>
    <x v="445"/>
    <x v="332"/>
    <x v="1382"/>
    <x v="402"/>
    <x v="591"/>
    <x v="977"/>
    <x v="1126"/>
    <x v="1436"/>
    <x v="1434"/>
    <x v="1394"/>
    <x v="0"/>
    <x v="1426"/>
    <x v="1436"/>
    <x v="394"/>
    <x v="0"/>
    <x v="0"/>
    <x v="2"/>
    <x v="116"/>
    <x v="7"/>
    <x v="542"/>
    <x v="2"/>
    <x v="1"/>
    <x v="1"/>
  </r>
  <r>
    <x v="0"/>
    <x v="444"/>
    <x v="103"/>
    <x v="26"/>
    <x v="241"/>
    <x v="371"/>
    <x v="52"/>
    <x v="1383"/>
    <x v="429"/>
    <x v="592"/>
    <x v="978"/>
    <x v="1127"/>
    <x v="1437"/>
    <x v="1435"/>
    <x v="1395"/>
    <x v="0"/>
    <x v="1427"/>
    <x v="1437"/>
    <x v="746"/>
    <x v="0"/>
    <x v="5"/>
    <x v="4"/>
    <x v="116"/>
    <x v="12"/>
    <x v="67"/>
    <x v="43"/>
    <x v="3"/>
    <x v="1"/>
  </r>
  <r>
    <x v="0"/>
    <x v="272"/>
    <x v="237"/>
    <x v="42"/>
    <x v="0"/>
    <x v="549"/>
    <x v="24"/>
    <x v="1384"/>
    <x v="17"/>
    <x v="131"/>
    <x v="199"/>
    <x v="1128"/>
    <x v="1438"/>
    <x v="1436"/>
    <x v="1396"/>
    <x v="4"/>
    <x v="1428"/>
    <x v="1438"/>
    <x v="747"/>
    <x v="0"/>
    <x v="0"/>
    <x v="4"/>
    <x v="146"/>
    <x v="14"/>
    <x v="135"/>
    <x v="11"/>
    <x v="3"/>
    <x v="85"/>
  </r>
  <r>
    <x v="0"/>
    <x v="326"/>
    <x v="6"/>
    <x v="64"/>
    <x v="121"/>
    <x v="645"/>
    <x v="19"/>
    <x v="1385"/>
    <x v="130"/>
    <x v="20"/>
    <x v="698"/>
    <x v="1129"/>
    <x v="1439"/>
    <x v="1437"/>
    <x v="1397"/>
    <x v="0"/>
    <x v="1429"/>
    <x v="1439"/>
    <x v="491"/>
    <x v="0"/>
    <x v="0"/>
    <x v="4"/>
    <x v="82"/>
    <x v="10"/>
    <x v="18"/>
    <x v="4"/>
    <x v="1"/>
    <x v="37"/>
  </r>
  <r>
    <x v="0"/>
    <x v="630"/>
    <x v="132"/>
    <x v="52"/>
    <x v="219"/>
    <x v="107"/>
    <x v="0"/>
    <x v="1386"/>
    <x v="364"/>
    <x v="251"/>
    <x v="979"/>
    <x v="132"/>
    <x v="1440"/>
    <x v="1438"/>
    <x v="1398"/>
    <x v="0"/>
    <x v="1430"/>
    <x v="1440"/>
    <x v="423"/>
    <x v="0"/>
    <x v="0"/>
    <x v="4"/>
    <x v="82"/>
    <x v="8"/>
    <x v="543"/>
    <x v="5"/>
    <x v="1"/>
    <x v="9"/>
  </r>
  <r>
    <x v="0"/>
    <x v="631"/>
    <x v="312"/>
    <x v="59"/>
    <x v="210"/>
    <x v="383"/>
    <x v="333"/>
    <x v="1387"/>
    <x v="362"/>
    <x v="593"/>
    <x v="980"/>
    <x v="1130"/>
    <x v="1441"/>
    <x v="1439"/>
    <x v="1399"/>
    <x v="4"/>
    <x v="1431"/>
    <x v="1441"/>
    <x v="232"/>
    <x v="0"/>
    <x v="0"/>
    <x v="4"/>
    <x v="82"/>
    <x v="19"/>
    <x v="441"/>
    <x v="31"/>
    <x v="1"/>
    <x v="1"/>
  </r>
  <r>
    <x v="0"/>
    <x v="249"/>
    <x v="323"/>
    <x v="33"/>
    <x v="138"/>
    <x v="156"/>
    <x v="35"/>
    <x v="1388"/>
    <x v="310"/>
    <x v="548"/>
    <x v="981"/>
    <x v="1131"/>
    <x v="1442"/>
    <x v="1440"/>
    <x v="1400"/>
    <x v="0"/>
    <x v="1432"/>
    <x v="1442"/>
    <x v="708"/>
    <x v="0"/>
    <x v="0"/>
    <x v="4"/>
    <x v="82"/>
    <x v="22"/>
    <x v="500"/>
    <x v="5"/>
    <x v="15"/>
    <x v="1"/>
  </r>
  <r>
    <x v="0"/>
    <x v="303"/>
    <x v="423"/>
    <x v="59"/>
    <x v="167"/>
    <x v="535"/>
    <x v="35"/>
    <x v="1389"/>
    <x v="168"/>
    <x v="332"/>
    <x v="982"/>
    <x v="1132"/>
    <x v="1443"/>
    <x v="1441"/>
    <x v="1401"/>
    <x v="1"/>
    <x v="1433"/>
    <x v="1443"/>
    <x v="479"/>
    <x v="0"/>
    <x v="0"/>
    <x v="4"/>
    <x v="82"/>
    <x v="8"/>
    <x v="544"/>
    <x v="5"/>
    <x v="1"/>
    <x v="1"/>
  </r>
  <r>
    <x v="0"/>
    <x v="632"/>
    <x v="299"/>
    <x v="52"/>
    <x v="19"/>
    <x v="446"/>
    <x v="22"/>
    <x v="1390"/>
    <x v="473"/>
    <x v="240"/>
    <x v="983"/>
    <x v="1133"/>
    <x v="1444"/>
    <x v="1442"/>
    <x v="1402"/>
    <x v="0"/>
    <x v="1434"/>
    <x v="1444"/>
    <x v="63"/>
    <x v="0"/>
    <x v="0"/>
    <x v="0"/>
    <x v="82"/>
    <x v="15"/>
    <x v="484"/>
    <x v="4"/>
    <x v="1"/>
    <x v="1"/>
  </r>
  <r>
    <x v="0"/>
    <x v="633"/>
    <x v="388"/>
    <x v="70"/>
    <x v="192"/>
    <x v="470"/>
    <x v="106"/>
    <x v="4"/>
    <x v="5"/>
    <x v="594"/>
    <x v="984"/>
    <x v="1134"/>
    <x v="1445"/>
    <x v="1443"/>
    <x v="1403"/>
    <x v="1"/>
    <x v="1435"/>
    <x v="1445"/>
    <x v="556"/>
    <x v="0"/>
    <x v="1"/>
    <x v="2"/>
    <x v="78"/>
    <x v="35"/>
    <x v="545"/>
    <x v="21"/>
    <x v="1"/>
    <x v="85"/>
  </r>
  <r>
    <x v="0"/>
    <x v="609"/>
    <x v="328"/>
    <x v="58"/>
    <x v="0"/>
    <x v="359"/>
    <x v="206"/>
    <x v="1391"/>
    <x v="105"/>
    <x v="388"/>
    <x v="420"/>
    <x v="495"/>
    <x v="1446"/>
    <x v="1444"/>
    <x v="1404"/>
    <x v="7"/>
    <x v="1436"/>
    <x v="1446"/>
    <x v="583"/>
    <x v="0"/>
    <x v="0"/>
    <x v="0"/>
    <x v="82"/>
    <x v="14"/>
    <x v="50"/>
    <x v="5"/>
    <x v="1"/>
    <x v="1"/>
  </r>
  <r>
    <x v="0"/>
    <x v="49"/>
    <x v="130"/>
    <x v="59"/>
    <x v="34"/>
    <x v="646"/>
    <x v="334"/>
    <x v="1392"/>
    <x v="86"/>
    <x v="595"/>
    <x v="985"/>
    <x v="1135"/>
    <x v="1447"/>
    <x v="1445"/>
    <x v="1405"/>
    <x v="0"/>
    <x v="1437"/>
    <x v="1447"/>
    <x v="748"/>
    <x v="0"/>
    <x v="0"/>
    <x v="0"/>
    <x v="82"/>
    <x v="3"/>
    <x v="546"/>
    <x v="37"/>
    <x v="1"/>
    <x v="59"/>
  </r>
  <r>
    <x v="0"/>
    <x v="326"/>
    <x v="74"/>
    <x v="125"/>
    <x v="121"/>
    <x v="647"/>
    <x v="11"/>
    <x v="1393"/>
    <x v="171"/>
    <x v="11"/>
    <x v="768"/>
    <x v="1136"/>
    <x v="1448"/>
    <x v="1446"/>
    <x v="1406"/>
    <x v="4"/>
    <x v="1438"/>
    <x v="1448"/>
    <x v="404"/>
    <x v="0"/>
    <x v="0"/>
    <x v="4"/>
    <x v="116"/>
    <x v="13"/>
    <x v="460"/>
    <x v="4"/>
    <x v="3"/>
    <x v="1"/>
  </r>
  <r>
    <x v="0"/>
    <x v="634"/>
    <x v="402"/>
    <x v="41"/>
    <x v="193"/>
    <x v="83"/>
    <x v="13"/>
    <x v="4"/>
    <x v="23"/>
    <x v="158"/>
    <x v="286"/>
    <x v="871"/>
    <x v="1449"/>
    <x v="1447"/>
    <x v="1407"/>
    <x v="1"/>
    <x v="1439"/>
    <x v="1449"/>
    <x v="448"/>
    <x v="0"/>
    <x v="0"/>
    <x v="4"/>
    <x v="166"/>
    <x v="2"/>
    <x v="30"/>
    <x v="9"/>
    <x v="1"/>
    <x v="1"/>
  </r>
  <r>
    <x v="0"/>
    <x v="635"/>
    <x v="241"/>
    <x v="56"/>
    <x v="192"/>
    <x v="563"/>
    <x v="190"/>
    <x v="1394"/>
    <x v="35"/>
    <x v="596"/>
    <x v="986"/>
    <x v="1137"/>
    <x v="1450"/>
    <x v="1448"/>
    <x v="1408"/>
    <x v="7"/>
    <x v="1440"/>
    <x v="1450"/>
    <x v="247"/>
    <x v="0"/>
    <x v="1"/>
    <x v="2"/>
    <x v="82"/>
    <x v="5"/>
    <x v="547"/>
    <x v="9"/>
    <x v="1"/>
    <x v="1"/>
  </r>
  <r>
    <x v="0"/>
    <x v="478"/>
    <x v="424"/>
    <x v="35"/>
    <x v="0"/>
    <x v="273"/>
    <x v="188"/>
    <x v="1395"/>
    <x v="130"/>
    <x v="597"/>
    <x v="987"/>
    <x v="569"/>
    <x v="1451"/>
    <x v="1449"/>
    <x v="1409"/>
    <x v="4"/>
    <x v="1441"/>
    <x v="1451"/>
    <x v="749"/>
    <x v="0"/>
    <x v="0"/>
    <x v="4"/>
    <x v="82"/>
    <x v="29"/>
    <x v="342"/>
    <x v="4"/>
    <x v="1"/>
    <x v="274"/>
  </r>
  <r>
    <x v="0"/>
    <x v="636"/>
    <x v="433"/>
    <x v="26"/>
    <x v="276"/>
    <x v="589"/>
    <x v="327"/>
    <x v="1396"/>
    <x v="178"/>
    <x v="598"/>
    <x v="93"/>
    <x v="1138"/>
    <x v="1452"/>
    <x v="1450"/>
    <x v="1410"/>
    <x v="0"/>
    <x v="1442"/>
    <x v="1452"/>
    <x v="91"/>
    <x v="0"/>
    <x v="0"/>
    <x v="0"/>
    <x v="116"/>
    <x v="8"/>
    <x v="67"/>
    <x v="18"/>
    <x v="1"/>
    <x v="1"/>
  </r>
  <r>
    <x v="0"/>
    <x v="637"/>
    <x v="332"/>
    <x v="45"/>
    <x v="89"/>
    <x v="648"/>
    <x v="2"/>
    <x v="1397"/>
    <x v="204"/>
    <x v="203"/>
    <x v="212"/>
    <x v="1139"/>
    <x v="1453"/>
    <x v="1451"/>
    <x v="1411"/>
    <x v="1"/>
    <x v="1443"/>
    <x v="1453"/>
    <x v="412"/>
    <x v="0"/>
    <x v="0"/>
    <x v="2"/>
    <x v="82"/>
    <x v="14"/>
    <x v="30"/>
    <x v="22"/>
    <x v="3"/>
    <x v="1"/>
  </r>
  <r>
    <x v="0"/>
    <x v="638"/>
    <x v="66"/>
    <x v="32"/>
    <x v="5"/>
    <x v="331"/>
    <x v="14"/>
    <x v="1398"/>
    <x v="122"/>
    <x v="14"/>
    <x v="170"/>
    <x v="445"/>
    <x v="1454"/>
    <x v="1452"/>
    <x v="1412"/>
    <x v="0"/>
    <x v="1444"/>
    <x v="1454"/>
    <x v="460"/>
    <x v="0"/>
    <x v="1"/>
    <x v="0"/>
    <x v="82"/>
    <x v="2"/>
    <x v="114"/>
    <x v="1"/>
    <x v="1"/>
    <x v="33"/>
  </r>
  <r>
    <x v="0"/>
    <x v="265"/>
    <x v="224"/>
    <x v="11"/>
    <x v="175"/>
    <x v="649"/>
    <x v="289"/>
    <x v="1399"/>
    <x v="83"/>
    <x v="599"/>
    <x v="988"/>
    <x v="1140"/>
    <x v="1455"/>
    <x v="1453"/>
    <x v="1413"/>
    <x v="1"/>
    <x v="1445"/>
    <x v="1455"/>
    <x v="86"/>
    <x v="0"/>
    <x v="0"/>
    <x v="0"/>
    <x v="82"/>
    <x v="10"/>
    <x v="548"/>
    <x v="40"/>
    <x v="1"/>
    <x v="38"/>
  </r>
  <r>
    <x v="0"/>
    <x v="639"/>
    <x v="197"/>
    <x v="93"/>
    <x v="216"/>
    <x v="483"/>
    <x v="0"/>
    <x v="1400"/>
    <x v="474"/>
    <x v="51"/>
    <x v="774"/>
    <x v="1141"/>
    <x v="1456"/>
    <x v="1454"/>
    <x v="1414"/>
    <x v="0"/>
    <x v="1446"/>
    <x v="1456"/>
    <x v="670"/>
    <x v="0"/>
    <x v="1"/>
    <x v="3"/>
    <x v="82"/>
    <x v="12"/>
    <x v="88"/>
    <x v="23"/>
    <x v="3"/>
    <x v="275"/>
  </r>
  <r>
    <x v="0"/>
    <x v="424"/>
    <x v="247"/>
    <x v="86"/>
    <x v="231"/>
    <x v="650"/>
    <x v="20"/>
    <x v="1401"/>
    <x v="200"/>
    <x v="21"/>
    <x v="274"/>
    <x v="1142"/>
    <x v="1457"/>
    <x v="1455"/>
    <x v="1415"/>
    <x v="7"/>
    <x v="1447"/>
    <x v="1457"/>
    <x v="750"/>
    <x v="0"/>
    <x v="0"/>
    <x v="4"/>
    <x v="97"/>
    <x v="21"/>
    <x v="117"/>
    <x v="38"/>
    <x v="1"/>
    <x v="1"/>
  </r>
  <r>
    <x v="0"/>
    <x v="640"/>
    <x v="313"/>
    <x v="87"/>
    <x v="228"/>
    <x v="601"/>
    <x v="0"/>
    <x v="1402"/>
    <x v="475"/>
    <x v="600"/>
    <x v="931"/>
    <x v="1143"/>
    <x v="1458"/>
    <x v="1456"/>
    <x v="1416"/>
    <x v="5"/>
    <x v="1448"/>
    <x v="1458"/>
    <x v="86"/>
    <x v="0"/>
    <x v="0"/>
    <x v="0"/>
    <x v="82"/>
    <x v="8"/>
    <x v="237"/>
    <x v="33"/>
    <x v="3"/>
    <x v="1"/>
  </r>
  <r>
    <x v="0"/>
    <x v="641"/>
    <x v="53"/>
    <x v="56"/>
    <x v="72"/>
    <x v="651"/>
    <x v="0"/>
    <x v="1403"/>
    <x v="168"/>
    <x v="601"/>
    <x v="655"/>
    <x v="1144"/>
    <x v="1459"/>
    <x v="1457"/>
    <x v="1417"/>
    <x v="3"/>
    <x v="1449"/>
    <x v="1459"/>
    <x v="227"/>
    <x v="0"/>
    <x v="0"/>
    <x v="4"/>
    <x v="82"/>
    <x v="9"/>
    <x v="11"/>
    <x v="5"/>
    <x v="1"/>
    <x v="1"/>
  </r>
  <r>
    <x v="0"/>
    <x v="548"/>
    <x v="287"/>
    <x v="77"/>
    <x v="0"/>
    <x v="397"/>
    <x v="0"/>
    <x v="1404"/>
    <x v="476"/>
    <x v="602"/>
    <x v="989"/>
    <x v="989"/>
    <x v="1460"/>
    <x v="1458"/>
    <x v="1418"/>
    <x v="0"/>
    <x v="1450"/>
    <x v="1460"/>
    <x v="751"/>
    <x v="0"/>
    <x v="0"/>
    <x v="0"/>
    <x v="82"/>
    <x v="12"/>
    <x v="549"/>
    <x v="40"/>
    <x v="1"/>
    <x v="1"/>
  </r>
  <r>
    <x v="0"/>
    <x v="387"/>
    <x v="61"/>
    <x v="43"/>
    <x v="219"/>
    <x v="101"/>
    <x v="29"/>
    <x v="1405"/>
    <x v="23"/>
    <x v="58"/>
    <x v="675"/>
    <x v="126"/>
    <x v="1461"/>
    <x v="1459"/>
    <x v="1419"/>
    <x v="0"/>
    <x v="1451"/>
    <x v="1461"/>
    <x v="128"/>
    <x v="0"/>
    <x v="0"/>
    <x v="0"/>
    <x v="82"/>
    <x v="3"/>
    <x v="30"/>
    <x v="12"/>
    <x v="1"/>
    <x v="35"/>
  </r>
  <r>
    <x v="0"/>
    <x v="544"/>
    <x v="297"/>
    <x v="101"/>
    <x v="247"/>
    <x v="206"/>
    <x v="281"/>
    <x v="1406"/>
    <x v="132"/>
    <x v="603"/>
    <x v="990"/>
    <x v="1145"/>
    <x v="1462"/>
    <x v="1460"/>
    <x v="1420"/>
    <x v="4"/>
    <x v="1452"/>
    <x v="1462"/>
    <x v="173"/>
    <x v="0"/>
    <x v="0"/>
    <x v="0"/>
    <x v="82"/>
    <x v="2"/>
    <x v="550"/>
    <x v="37"/>
    <x v="1"/>
    <x v="1"/>
  </r>
  <r>
    <x v="0"/>
    <x v="413"/>
    <x v="353"/>
    <x v="31"/>
    <x v="230"/>
    <x v="530"/>
    <x v="22"/>
    <x v="1407"/>
    <x v="88"/>
    <x v="153"/>
    <x v="991"/>
    <x v="1146"/>
    <x v="1463"/>
    <x v="1461"/>
    <x v="1421"/>
    <x v="4"/>
    <x v="1453"/>
    <x v="1463"/>
    <x v="699"/>
    <x v="0"/>
    <x v="1"/>
    <x v="0"/>
    <x v="82"/>
    <x v="19"/>
    <x v="498"/>
    <x v="12"/>
    <x v="1"/>
    <x v="1"/>
  </r>
  <r>
    <x v="0"/>
    <x v="332"/>
    <x v="400"/>
    <x v="34"/>
    <x v="204"/>
    <x v="478"/>
    <x v="8"/>
    <x v="1408"/>
    <x v="120"/>
    <x v="35"/>
    <x v="46"/>
    <x v="1147"/>
    <x v="1464"/>
    <x v="1462"/>
    <x v="1422"/>
    <x v="0"/>
    <x v="1454"/>
    <x v="1464"/>
    <x v="482"/>
    <x v="0"/>
    <x v="0"/>
    <x v="4"/>
    <x v="82"/>
    <x v="9"/>
    <x v="36"/>
    <x v="5"/>
    <x v="1"/>
    <x v="16"/>
  </r>
  <r>
    <x v="0"/>
    <x v="454"/>
    <x v="309"/>
    <x v="42"/>
    <x v="69"/>
    <x v="652"/>
    <x v="41"/>
    <x v="1409"/>
    <x v="298"/>
    <x v="396"/>
    <x v="28"/>
    <x v="1148"/>
    <x v="1465"/>
    <x v="1463"/>
    <x v="1423"/>
    <x v="1"/>
    <x v="1455"/>
    <x v="1465"/>
    <x v="86"/>
    <x v="0"/>
    <x v="1"/>
    <x v="0"/>
    <x v="145"/>
    <x v="14"/>
    <x v="9"/>
    <x v="22"/>
    <x v="1"/>
    <x v="1"/>
  </r>
  <r>
    <x v="0"/>
    <x v="526"/>
    <x v="217"/>
    <x v="80"/>
    <x v="106"/>
    <x v="560"/>
    <x v="22"/>
    <x v="1410"/>
    <x v="238"/>
    <x v="240"/>
    <x v="992"/>
    <x v="1149"/>
    <x v="1466"/>
    <x v="1464"/>
    <x v="1424"/>
    <x v="1"/>
    <x v="1456"/>
    <x v="1466"/>
    <x v="591"/>
    <x v="0"/>
    <x v="0"/>
    <x v="2"/>
    <x v="82"/>
    <x v="5"/>
    <x v="30"/>
    <x v="45"/>
    <x v="3"/>
    <x v="1"/>
  </r>
  <r>
    <x v="0"/>
    <x v="642"/>
    <x v="118"/>
    <x v="41"/>
    <x v="0"/>
    <x v="396"/>
    <x v="335"/>
    <x v="4"/>
    <x v="310"/>
    <x v="604"/>
    <x v="993"/>
    <x v="1150"/>
    <x v="1467"/>
    <x v="1465"/>
    <x v="1425"/>
    <x v="1"/>
    <x v="1457"/>
    <x v="1467"/>
    <x v="517"/>
    <x v="0"/>
    <x v="5"/>
    <x v="4"/>
    <x v="116"/>
    <x v="3"/>
    <x v="492"/>
    <x v="31"/>
    <x v="3"/>
    <x v="1"/>
  </r>
  <r>
    <x v="0"/>
    <x v="643"/>
    <x v="394"/>
    <x v="38"/>
    <x v="258"/>
    <x v="653"/>
    <x v="21"/>
    <x v="4"/>
    <x v="1"/>
    <x v="22"/>
    <x v="498"/>
    <x v="1151"/>
    <x v="1468"/>
    <x v="1466"/>
    <x v="1426"/>
    <x v="1"/>
    <x v="1458"/>
    <x v="1468"/>
    <x v="128"/>
    <x v="0"/>
    <x v="1"/>
    <x v="2"/>
    <x v="146"/>
    <x v="45"/>
    <x v="322"/>
    <x v="19"/>
    <x v="1"/>
    <x v="1"/>
  </r>
  <r>
    <x v="0"/>
    <x v="351"/>
    <x v="100"/>
    <x v="80"/>
    <x v="0"/>
    <x v="9"/>
    <x v="2"/>
    <x v="1411"/>
    <x v="477"/>
    <x v="209"/>
    <x v="119"/>
    <x v="1152"/>
    <x v="1469"/>
    <x v="1467"/>
    <x v="1427"/>
    <x v="3"/>
    <x v="1459"/>
    <x v="1469"/>
    <x v="752"/>
    <x v="0"/>
    <x v="0"/>
    <x v="4"/>
    <x v="82"/>
    <x v="1"/>
    <x v="10"/>
    <x v="5"/>
    <x v="1"/>
    <x v="1"/>
  </r>
  <r>
    <x v="0"/>
    <x v="213"/>
    <x v="457"/>
    <x v="69"/>
    <x v="147"/>
    <x v="370"/>
    <x v="66"/>
    <x v="1412"/>
    <x v="149"/>
    <x v="605"/>
    <x v="994"/>
    <x v="1153"/>
    <x v="1470"/>
    <x v="1468"/>
    <x v="1428"/>
    <x v="3"/>
    <x v="1460"/>
    <x v="1470"/>
    <x v="592"/>
    <x v="0"/>
    <x v="0"/>
    <x v="0"/>
    <x v="82"/>
    <x v="23"/>
    <x v="395"/>
    <x v="20"/>
    <x v="1"/>
    <x v="276"/>
  </r>
  <r>
    <x v="0"/>
    <x v="561"/>
    <x v="380"/>
    <x v="60"/>
    <x v="79"/>
    <x v="654"/>
    <x v="336"/>
    <x v="1413"/>
    <x v="430"/>
    <x v="606"/>
    <x v="995"/>
    <x v="1154"/>
    <x v="1471"/>
    <x v="1469"/>
    <x v="1429"/>
    <x v="1"/>
    <x v="1461"/>
    <x v="1471"/>
    <x v="694"/>
    <x v="0"/>
    <x v="0"/>
    <x v="4"/>
    <x v="82"/>
    <x v="1"/>
    <x v="551"/>
    <x v="10"/>
    <x v="1"/>
    <x v="1"/>
  </r>
  <r>
    <x v="0"/>
    <x v="644"/>
    <x v="323"/>
    <x v="70"/>
    <x v="277"/>
    <x v="333"/>
    <x v="11"/>
    <x v="1414"/>
    <x v="270"/>
    <x v="11"/>
    <x v="173"/>
    <x v="1155"/>
    <x v="1472"/>
    <x v="1470"/>
    <x v="1430"/>
    <x v="3"/>
    <x v="1462"/>
    <x v="1472"/>
    <x v="369"/>
    <x v="0"/>
    <x v="0"/>
    <x v="4"/>
    <x v="82"/>
    <x v="18"/>
    <x v="117"/>
    <x v="2"/>
    <x v="1"/>
    <x v="1"/>
  </r>
  <r>
    <x v="0"/>
    <x v="243"/>
    <x v="402"/>
    <x v="50"/>
    <x v="123"/>
    <x v="166"/>
    <x v="337"/>
    <x v="1415"/>
    <x v="478"/>
    <x v="607"/>
    <x v="627"/>
    <x v="303"/>
    <x v="1473"/>
    <x v="1471"/>
    <x v="1431"/>
    <x v="4"/>
    <x v="1463"/>
    <x v="1473"/>
    <x v="402"/>
    <x v="0"/>
    <x v="0"/>
    <x v="0"/>
    <x v="82"/>
    <x v="18"/>
    <x v="392"/>
    <x v="19"/>
    <x v="3"/>
    <x v="277"/>
  </r>
  <r>
    <x v="0"/>
    <x v="645"/>
    <x v="86"/>
    <x v="7"/>
    <x v="140"/>
    <x v="39"/>
    <x v="35"/>
    <x v="1416"/>
    <x v="415"/>
    <x v="608"/>
    <x v="680"/>
    <x v="317"/>
    <x v="1474"/>
    <x v="1472"/>
    <x v="1432"/>
    <x v="1"/>
    <x v="1464"/>
    <x v="1474"/>
    <x v="360"/>
    <x v="0"/>
    <x v="1"/>
    <x v="2"/>
    <x v="82"/>
    <x v="0"/>
    <x v="30"/>
    <x v="11"/>
    <x v="1"/>
    <x v="1"/>
  </r>
  <r>
    <x v="0"/>
    <x v="164"/>
    <x v="146"/>
    <x v="59"/>
    <x v="118"/>
    <x v="444"/>
    <x v="0"/>
    <x v="1417"/>
    <x v="86"/>
    <x v="561"/>
    <x v="996"/>
    <x v="1156"/>
    <x v="1475"/>
    <x v="1473"/>
    <x v="1433"/>
    <x v="1"/>
    <x v="1465"/>
    <x v="1475"/>
    <x v="593"/>
    <x v="0"/>
    <x v="0"/>
    <x v="4"/>
    <x v="82"/>
    <x v="0"/>
    <x v="552"/>
    <x v="34"/>
    <x v="1"/>
    <x v="1"/>
  </r>
  <r>
    <x v="0"/>
    <x v="427"/>
    <x v="458"/>
    <x v="106"/>
    <x v="0"/>
    <x v="81"/>
    <x v="2"/>
    <x v="1418"/>
    <x v="370"/>
    <x v="75"/>
    <x v="997"/>
    <x v="104"/>
    <x v="1476"/>
    <x v="1474"/>
    <x v="1434"/>
    <x v="0"/>
    <x v="1466"/>
    <x v="1476"/>
    <x v="753"/>
    <x v="0"/>
    <x v="0"/>
    <x v="0"/>
    <x v="144"/>
    <x v="10"/>
    <x v="30"/>
    <x v="10"/>
    <x v="3"/>
    <x v="36"/>
  </r>
  <r>
    <x v="0"/>
    <x v="646"/>
    <x v="334"/>
    <x v="43"/>
    <x v="256"/>
    <x v="43"/>
    <x v="338"/>
    <x v="1419"/>
    <x v="131"/>
    <x v="609"/>
    <x v="998"/>
    <x v="1157"/>
    <x v="1477"/>
    <x v="1475"/>
    <x v="758"/>
    <x v="0"/>
    <x v="1467"/>
    <x v="1477"/>
    <x v="482"/>
    <x v="0"/>
    <x v="22"/>
    <x v="4"/>
    <x v="82"/>
    <x v="20"/>
    <x v="523"/>
    <x v="30"/>
    <x v="1"/>
    <x v="278"/>
  </r>
  <r>
    <x v="0"/>
    <x v="50"/>
    <x v="167"/>
    <x v="56"/>
    <x v="278"/>
    <x v="209"/>
    <x v="0"/>
    <x v="1420"/>
    <x v="28"/>
    <x v="610"/>
    <x v="999"/>
    <x v="1158"/>
    <x v="1478"/>
    <x v="1476"/>
    <x v="1435"/>
    <x v="3"/>
    <x v="1468"/>
    <x v="1478"/>
    <x v="657"/>
    <x v="0"/>
    <x v="0"/>
    <x v="4"/>
    <x v="82"/>
    <x v="11"/>
    <x v="553"/>
    <x v="20"/>
    <x v="3"/>
    <x v="7"/>
  </r>
  <r>
    <x v="0"/>
    <x v="438"/>
    <x v="356"/>
    <x v="58"/>
    <x v="237"/>
    <x v="590"/>
    <x v="57"/>
    <x v="1421"/>
    <x v="83"/>
    <x v="140"/>
    <x v="581"/>
    <x v="1159"/>
    <x v="1479"/>
    <x v="1477"/>
    <x v="361"/>
    <x v="1"/>
    <x v="1469"/>
    <x v="1479"/>
    <x v="334"/>
    <x v="0"/>
    <x v="0"/>
    <x v="4"/>
    <x v="30"/>
    <x v="17"/>
    <x v="371"/>
    <x v="37"/>
    <x v="3"/>
    <x v="279"/>
  </r>
  <r>
    <x v="0"/>
    <x v="647"/>
    <x v="285"/>
    <x v="33"/>
    <x v="63"/>
    <x v="230"/>
    <x v="22"/>
    <x v="1422"/>
    <x v="28"/>
    <x v="430"/>
    <x v="151"/>
    <x v="1117"/>
    <x v="1480"/>
    <x v="1478"/>
    <x v="1436"/>
    <x v="1"/>
    <x v="1470"/>
    <x v="1480"/>
    <x v="754"/>
    <x v="0"/>
    <x v="0"/>
    <x v="4"/>
    <x v="82"/>
    <x v="8"/>
    <x v="102"/>
    <x v="19"/>
    <x v="1"/>
    <x v="1"/>
  </r>
  <r>
    <x v="0"/>
    <x v="441"/>
    <x v="315"/>
    <x v="105"/>
    <x v="69"/>
    <x v="113"/>
    <x v="35"/>
    <x v="1423"/>
    <x v="479"/>
    <x v="611"/>
    <x v="274"/>
    <x v="957"/>
    <x v="1481"/>
    <x v="1479"/>
    <x v="1437"/>
    <x v="7"/>
    <x v="1471"/>
    <x v="1481"/>
    <x v="277"/>
    <x v="0"/>
    <x v="0"/>
    <x v="2"/>
    <x v="82"/>
    <x v="7"/>
    <x v="117"/>
    <x v="39"/>
    <x v="3"/>
    <x v="280"/>
  </r>
  <r>
    <x v="0"/>
    <x v="43"/>
    <x v="445"/>
    <x v="32"/>
    <x v="0"/>
    <x v="423"/>
    <x v="29"/>
    <x v="1424"/>
    <x v="480"/>
    <x v="58"/>
    <x v="1000"/>
    <x v="1160"/>
    <x v="1482"/>
    <x v="1480"/>
    <x v="371"/>
    <x v="0"/>
    <x v="1472"/>
    <x v="1482"/>
    <x v="224"/>
    <x v="0"/>
    <x v="0"/>
    <x v="2"/>
    <x v="82"/>
    <x v="2"/>
    <x v="554"/>
    <x v="38"/>
    <x v="1"/>
    <x v="4"/>
  </r>
  <r>
    <x v="0"/>
    <x v="648"/>
    <x v="431"/>
    <x v="59"/>
    <x v="45"/>
    <x v="655"/>
    <x v="72"/>
    <x v="1425"/>
    <x v="1"/>
    <x v="612"/>
    <x v="1001"/>
    <x v="1161"/>
    <x v="1483"/>
    <x v="1481"/>
    <x v="1438"/>
    <x v="0"/>
    <x v="1473"/>
    <x v="1483"/>
    <x v="755"/>
    <x v="0"/>
    <x v="0"/>
    <x v="2"/>
    <x v="82"/>
    <x v="13"/>
    <x v="555"/>
    <x v="51"/>
    <x v="1"/>
    <x v="1"/>
  </r>
  <r>
    <x v="0"/>
    <x v="18"/>
    <x v="304"/>
    <x v="85"/>
    <x v="0"/>
    <x v="162"/>
    <x v="23"/>
    <x v="1426"/>
    <x v="105"/>
    <x v="613"/>
    <x v="652"/>
    <x v="1162"/>
    <x v="1484"/>
    <x v="1482"/>
    <x v="341"/>
    <x v="1"/>
    <x v="1474"/>
    <x v="1484"/>
    <x v="216"/>
    <x v="0"/>
    <x v="0"/>
    <x v="0"/>
    <x v="82"/>
    <x v="7"/>
    <x v="405"/>
    <x v="8"/>
    <x v="1"/>
    <x v="104"/>
  </r>
  <r>
    <x v="0"/>
    <x v="113"/>
    <x v="359"/>
    <x v="84"/>
    <x v="88"/>
    <x v="102"/>
    <x v="35"/>
    <x v="4"/>
    <x v="171"/>
    <x v="614"/>
    <x v="462"/>
    <x v="1163"/>
    <x v="1485"/>
    <x v="1483"/>
    <x v="1439"/>
    <x v="1"/>
    <x v="1475"/>
    <x v="1485"/>
    <x v="715"/>
    <x v="0"/>
    <x v="1"/>
    <x v="7"/>
    <x v="4"/>
    <x v="4"/>
    <x v="40"/>
    <x v="35"/>
    <x v="12"/>
    <x v="35"/>
  </r>
  <r>
    <x v="0"/>
    <x v="105"/>
    <x v="81"/>
    <x v="37"/>
    <x v="83"/>
    <x v="306"/>
    <x v="35"/>
    <x v="1427"/>
    <x v="270"/>
    <x v="548"/>
    <x v="597"/>
    <x v="478"/>
    <x v="1486"/>
    <x v="1484"/>
    <x v="1440"/>
    <x v="3"/>
    <x v="1476"/>
    <x v="1486"/>
    <x v="409"/>
    <x v="0"/>
    <x v="0"/>
    <x v="0"/>
    <x v="82"/>
    <x v="29"/>
    <x v="375"/>
    <x v="8"/>
    <x v="1"/>
    <x v="151"/>
  </r>
  <r>
    <x v="0"/>
    <x v="332"/>
    <x v="329"/>
    <x v="135"/>
    <x v="204"/>
    <x v="406"/>
    <x v="164"/>
    <x v="1428"/>
    <x v="152"/>
    <x v="304"/>
    <x v="1002"/>
    <x v="588"/>
    <x v="1487"/>
    <x v="1485"/>
    <x v="1441"/>
    <x v="4"/>
    <x v="1477"/>
    <x v="1487"/>
    <x v="756"/>
    <x v="0"/>
    <x v="0"/>
    <x v="4"/>
    <x v="82"/>
    <x v="27"/>
    <x v="250"/>
    <x v="25"/>
    <x v="10"/>
    <x v="71"/>
  </r>
  <r>
    <x v="0"/>
    <x v="649"/>
    <x v="401"/>
    <x v="61"/>
    <x v="111"/>
    <x v="242"/>
    <x v="0"/>
    <x v="1429"/>
    <x v="102"/>
    <x v="51"/>
    <x v="203"/>
    <x v="93"/>
    <x v="1488"/>
    <x v="1486"/>
    <x v="1442"/>
    <x v="1"/>
    <x v="1478"/>
    <x v="1488"/>
    <x v="195"/>
    <x v="0"/>
    <x v="23"/>
    <x v="4"/>
    <x v="82"/>
    <x v="13"/>
    <x v="30"/>
    <x v="21"/>
    <x v="1"/>
    <x v="281"/>
  </r>
  <r>
    <x v="0"/>
    <x v="209"/>
    <x v="290"/>
    <x v="37"/>
    <x v="0"/>
    <x v="656"/>
    <x v="143"/>
    <x v="1430"/>
    <x v="171"/>
    <x v="265"/>
    <x v="1003"/>
    <x v="1164"/>
    <x v="1489"/>
    <x v="1487"/>
    <x v="1443"/>
    <x v="1"/>
    <x v="1479"/>
    <x v="1489"/>
    <x v="423"/>
    <x v="0"/>
    <x v="10"/>
    <x v="4"/>
    <x v="82"/>
    <x v="19"/>
    <x v="369"/>
    <x v="22"/>
    <x v="3"/>
    <x v="282"/>
  </r>
  <r>
    <x v="1"/>
    <x v="650"/>
    <x v="431"/>
    <x v="6"/>
    <x v="152"/>
    <x v="251"/>
    <x v="339"/>
    <x v="4"/>
    <x v="256"/>
    <x v="615"/>
    <x v="754"/>
    <x v="468"/>
    <x v="1490"/>
    <x v="1488"/>
    <x v="1444"/>
    <x v="0"/>
    <x v="1480"/>
    <x v="1490"/>
    <x v="650"/>
    <x v="0"/>
    <x v="24"/>
    <x v="2"/>
    <x v="82"/>
    <x v="35"/>
    <x v="452"/>
    <x v="26"/>
    <x v="1"/>
    <x v="1"/>
  </r>
  <r>
    <x v="0"/>
    <x v="651"/>
    <x v="419"/>
    <x v="24"/>
    <x v="188"/>
    <x v="657"/>
    <x v="340"/>
    <x v="1431"/>
    <x v="88"/>
    <x v="412"/>
    <x v="1004"/>
    <x v="1165"/>
    <x v="1491"/>
    <x v="1489"/>
    <x v="1445"/>
    <x v="1"/>
    <x v="1481"/>
    <x v="1491"/>
    <x v="719"/>
    <x v="3"/>
    <x v="10"/>
    <x v="4"/>
    <x v="4"/>
    <x v="16"/>
    <x v="441"/>
    <x v="1"/>
    <x v="1"/>
    <x v="283"/>
  </r>
  <r>
    <x v="0"/>
    <x v="106"/>
    <x v="299"/>
    <x v="2"/>
    <x v="0"/>
    <x v="298"/>
    <x v="341"/>
    <x v="1432"/>
    <x v="481"/>
    <x v="616"/>
    <x v="1005"/>
    <x v="1166"/>
    <x v="1492"/>
    <x v="1490"/>
    <x v="272"/>
    <x v="0"/>
    <x v="1482"/>
    <x v="1492"/>
    <x v="757"/>
    <x v="0"/>
    <x v="0"/>
    <x v="4"/>
    <x v="82"/>
    <x v="15"/>
    <x v="556"/>
    <x v="2"/>
    <x v="1"/>
    <x v="284"/>
  </r>
  <r>
    <x v="0"/>
    <x v="114"/>
    <x v="88"/>
    <x v="2"/>
    <x v="0"/>
    <x v="321"/>
    <x v="342"/>
    <x v="1433"/>
    <x v="270"/>
    <x v="617"/>
    <x v="1006"/>
    <x v="1167"/>
    <x v="1493"/>
    <x v="1491"/>
    <x v="1446"/>
    <x v="0"/>
    <x v="1483"/>
    <x v="1493"/>
    <x v="405"/>
    <x v="6"/>
    <x v="12"/>
    <x v="4"/>
    <x v="4"/>
    <x v="5"/>
    <x v="557"/>
    <x v="7"/>
    <x v="1"/>
    <x v="5"/>
  </r>
  <r>
    <x v="0"/>
    <x v="58"/>
    <x v="81"/>
    <x v="56"/>
    <x v="43"/>
    <x v="140"/>
    <x v="343"/>
    <x v="4"/>
    <x v="41"/>
    <x v="62"/>
    <x v="73"/>
    <x v="78"/>
    <x v="84"/>
    <x v="84"/>
    <x v="1447"/>
    <x v="3"/>
    <x v="84"/>
    <x v="84"/>
    <x v="83"/>
    <x v="0"/>
    <x v="6"/>
    <x v="4"/>
    <x v="4"/>
    <x v="2"/>
    <x v="54"/>
    <x v="33"/>
    <x v="2"/>
    <x v="49"/>
  </r>
  <r>
    <x v="0"/>
    <x v="652"/>
    <x v="459"/>
    <x v="41"/>
    <x v="174"/>
    <x v="371"/>
    <x v="41"/>
    <x v="4"/>
    <x v="482"/>
    <x v="111"/>
    <x v="257"/>
    <x v="1168"/>
    <x v="1494"/>
    <x v="1492"/>
    <x v="1448"/>
    <x v="4"/>
    <x v="1484"/>
    <x v="1494"/>
    <x v="758"/>
    <x v="0"/>
    <x v="10"/>
    <x v="0"/>
    <x v="144"/>
    <x v="7"/>
    <x v="174"/>
    <x v="20"/>
    <x v="1"/>
    <x v="1"/>
  </r>
  <r>
    <x v="0"/>
    <x v="653"/>
    <x v="4"/>
    <x v="4"/>
    <x v="279"/>
    <x v="658"/>
    <x v="197"/>
    <x v="4"/>
    <x v="152"/>
    <x v="451"/>
    <x v="479"/>
    <x v="1169"/>
    <x v="1495"/>
    <x v="1493"/>
    <x v="1449"/>
    <x v="0"/>
    <x v="1485"/>
    <x v="1495"/>
    <x v="4"/>
    <x v="0"/>
    <x v="0"/>
    <x v="1"/>
    <x v="154"/>
    <x v="0"/>
    <x v="558"/>
    <x v="13"/>
    <x v="2"/>
    <x v="285"/>
  </r>
  <r>
    <x v="0"/>
    <x v="349"/>
    <x v="214"/>
    <x v="18"/>
    <x v="44"/>
    <x v="262"/>
    <x v="175"/>
    <x v="1434"/>
    <x v="123"/>
    <x v="331"/>
    <x v="1007"/>
    <x v="1170"/>
    <x v="1496"/>
    <x v="1494"/>
    <x v="1450"/>
    <x v="0"/>
    <x v="1486"/>
    <x v="1496"/>
    <x v="279"/>
    <x v="0"/>
    <x v="0"/>
    <x v="0"/>
    <x v="148"/>
    <x v="11"/>
    <x v="307"/>
    <x v="2"/>
    <x v="1"/>
    <x v="58"/>
  </r>
  <r>
    <x v="0"/>
    <x v="654"/>
    <x v="362"/>
    <x v="43"/>
    <x v="45"/>
    <x v="166"/>
    <x v="0"/>
    <x v="1435"/>
    <x v="125"/>
    <x v="384"/>
    <x v="1008"/>
    <x v="1171"/>
    <x v="1497"/>
    <x v="1495"/>
    <x v="1451"/>
    <x v="4"/>
    <x v="1487"/>
    <x v="1497"/>
    <x v="258"/>
    <x v="0"/>
    <x v="0"/>
    <x v="4"/>
    <x v="82"/>
    <x v="2"/>
    <x v="197"/>
    <x v="28"/>
    <x v="1"/>
    <x v="1"/>
  </r>
  <r>
    <x v="0"/>
    <x v="48"/>
    <x v="392"/>
    <x v="106"/>
    <x v="33"/>
    <x v="393"/>
    <x v="344"/>
    <x v="1436"/>
    <x v="17"/>
    <x v="618"/>
    <x v="882"/>
    <x v="555"/>
    <x v="1498"/>
    <x v="1496"/>
    <x v="1452"/>
    <x v="3"/>
    <x v="1488"/>
    <x v="1498"/>
    <x v="549"/>
    <x v="0"/>
    <x v="0"/>
    <x v="2"/>
    <x v="116"/>
    <x v="27"/>
    <x v="510"/>
    <x v="13"/>
    <x v="1"/>
    <x v="1"/>
  </r>
  <r>
    <x v="0"/>
    <x v="121"/>
    <x v="164"/>
    <x v="45"/>
    <x v="0"/>
    <x v="1"/>
    <x v="24"/>
    <x v="1437"/>
    <x v="142"/>
    <x v="25"/>
    <x v="1009"/>
    <x v="1172"/>
    <x v="1499"/>
    <x v="1497"/>
    <x v="1453"/>
    <x v="0"/>
    <x v="1489"/>
    <x v="1499"/>
    <x v="759"/>
    <x v="0"/>
    <x v="0"/>
    <x v="0"/>
    <x v="82"/>
    <x v="7"/>
    <x v="30"/>
    <x v="11"/>
    <x v="3"/>
    <x v="33"/>
  </r>
  <r>
    <x v="0"/>
    <x v="655"/>
    <x v="373"/>
    <x v="58"/>
    <x v="221"/>
    <x v="659"/>
    <x v="345"/>
    <x v="1438"/>
    <x v="483"/>
    <x v="619"/>
    <x v="1010"/>
    <x v="1173"/>
    <x v="1500"/>
    <x v="1498"/>
    <x v="1194"/>
    <x v="0"/>
    <x v="1490"/>
    <x v="1500"/>
    <x v="447"/>
    <x v="0"/>
    <x v="0"/>
    <x v="4"/>
    <x v="148"/>
    <x v="15"/>
    <x v="513"/>
    <x v="31"/>
    <x v="1"/>
    <x v="286"/>
  </r>
  <r>
    <x v="0"/>
    <x v="172"/>
    <x v="288"/>
    <x v="45"/>
    <x v="124"/>
    <x v="213"/>
    <x v="25"/>
    <x v="1439"/>
    <x v="28"/>
    <x v="76"/>
    <x v="1011"/>
    <x v="1174"/>
    <x v="1501"/>
    <x v="1499"/>
    <x v="1454"/>
    <x v="1"/>
    <x v="1491"/>
    <x v="1501"/>
    <x v="514"/>
    <x v="0"/>
    <x v="0"/>
    <x v="4"/>
    <x v="82"/>
    <x v="3"/>
    <x v="559"/>
    <x v="34"/>
    <x v="1"/>
    <x v="1"/>
  </r>
  <r>
    <x v="0"/>
    <x v="656"/>
    <x v="127"/>
    <x v="59"/>
    <x v="280"/>
    <x v="621"/>
    <x v="346"/>
    <x v="1440"/>
    <x v="45"/>
    <x v="620"/>
    <x v="1012"/>
    <x v="1175"/>
    <x v="1502"/>
    <x v="1500"/>
    <x v="1455"/>
    <x v="0"/>
    <x v="1492"/>
    <x v="1502"/>
    <x v="245"/>
    <x v="2"/>
    <x v="7"/>
    <x v="3"/>
    <x v="148"/>
    <x v="8"/>
    <x v="515"/>
    <x v="16"/>
    <x v="3"/>
    <x v="1"/>
  </r>
  <r>
    <x v="0"/>
    <x v="657"/>
    <x v="338"/>
    <x v="57"/>
    <x v="156"/>
    <x v="85"/>
    <x v="153"/>
    <x v="1441"/>
    <x v="17"/>
    <x v="621"/>
    <x v="1013"/>
    <x v="1176"/>
    <x v="1503"/>
    <x v="1501"/>
    <x v="1456"/>
    <x v="0"/>
    <x v="1493"/>
    <x v="1503"/>
    <x v="392"/>
    <x v="0"/>
    <x v="0"/>
    <x v="0"/>
    <x v="148"/>
    <x v="2"/>
    <x v="276"/>
    <x v="1"/>
    <x v="1"/>
    <x v="33"/>
  </r>
  <r>
    <x v="0"/>
    <x v="658"/>
    <x v="283"/>
    <x v="56"/>
    <x v="143"/>
    <x v="1"/>
    <x v="1"/>
    <x v="1442"/>
    <x v="211"/>
    <x v="1"/>
    <x v="99"/>
    <x v="1177"/>
    <x v="1504"/>
    <x v="1502"/>
    <x v="1457"/>
    <x v="0"/>
    <x v="1494"/>
    <x v="1504"/>
    <x v="635"/>
    <x v="0"/>
    <x v="0"/>
    <x v="4"/>
    <x v="148"/>
    <x v="15"/>
    <x v="71"/>
    <x v="43"/>
    <x v="3"/>
    <x v="103"/>
  </r>
  <r>
    <x v="0"/>
    <x v="659"/>
    <x v="460"/>
    <x v="37"/>
    <x v="263"/>
    <x v="581"/>
    <x v="347"/>
    <x v="1443"/>
    <x v="185"/>
    <x v="622"/>
    <x v="1014"/>
    <x v="1178"/>
    <x v="1505"/>
    <x v="1503"/>
    <x v="1458"/>
    <x v="1"/>
    <x v="1495"/>
    <x v="1505"/>
    <x v="666"/>
    <x v="0"/>
    <x v="0"/>
    <x v="0"/>
    <x v="148"/>
    <x v="21"/>
    <x v="560"/>
    <x v="23"/>
    <x v="1"/>
    <x v="287"/>
  </r>
  <r>
    <x v="0"/>
    <x v="403"/>
    <x v="126"/>
    <x v="72"/>
    <x v="23"/>
    <x v="10"/>
    <x v="11"/>
    <x v="1444"/>
    <x v="298"/>
    <x v="69"/>
    <x v="68"/>
    <x v="740"/>
    <x v="1506"/>
    <x v="1504"/>
    <x v="1459"/>
    <x v="7"/>
    <x v="1496"/>
    <x v="1506"/>
    <x v="724"/>
    <x v="0"/>
    <x v="0"/>
    <x v="0"/>
    <x v="82"/>
    <x v="3"/>
    <x v="12"/>
    <x v="20"/>
    <x v="1"/>
    <x v="1"/>
  </r>
  <r>
    <x v="0"/>
    <x v="566"/>
    <x v="130"/>
    <x v="8"/>
    <x v="28"/>
    <x v="303"/>
    <x v="240"/>
    <x v="1445"/>
    <x v="406"/>
    <x v="623"/>
    <x v="1015"/>
    <x v="1179"/>
    <x v="1507"/>
    <x v="1505"/>
    <x v="1460"/>
    <x v="1"/>
    <x v="1497"/>
    <x v="1507"/>
    <x v="586"/>
    <x v="0"/>
    <x v="1"/>
    <x v="0"/>
    <x v="82"/>
    <x v="9"/>
    <x v="561"/>
    <x v="1"/>
    <x v="1"/>
    <x v="38"/>
  </r>
  <r>
    <x v="0"/>
    <x v="486"/>
    <x v="394"/>
    <x v="25"/>
    <x v="251"/>
    <x v="282"/>
    <x v="338"/>
    <x v="4"/>
    <x v="415"/>
    <x v="609"/>
    <x v="218"/>
    <x v="823"/>
    <x v="1508"/>
    <x v="1506"/>
    <x v="1461"/>
    <x v="0"/>
    <x v="1498"/>
    <x v="1508"/>
    <x v="405"/>
    <x v="0"/>
    <x v="0"/>
    <x v="2"/>
    <x v="82"/>
    <x v="37"/>
    <x v="148"/>
    <x v="7"/>
    <x v="3"/>
    <x v="1"/>
  </r>
  <r>
    <x v="0"/>
    <x v="340"/>
    <x v="225"/>
    <x v="67"/>
    <x v="0"/>
    <x v="354"/>
    <x v="14"/>
    <x v="1446"/>
    <x v="306"/>
    <x v="56"/>
    <x v="673"/>
    <x v="485"/>
    <x v="1509"/>
    <x v="1507"/>
    <x v="1037"/>
    <x v="0"/>
    <x v="1499"/>
    <x v="1509"/>
    <x v="760"/>
    <x v="0"/>
    <x v="0"/>
    <x v="4"/>
    <x v="88"/>
    <x v="29"/>
    <x v="12"/>
    <x v="32"/>
    <x v="1"/>
    <x v="1"/>
  </r>
  <r>
    <x v="0"/>
    <x v="301"/>
    <x v="283"/>
    <x v="59"/>
    <x v="171"/>
    <x v="390"/>
    <x v="35"/>
    <x v="1447"/>
    <x v="281"/>
    <x v="504"/>
    <x v="869"/>
    <x v="550"/>
    <x v="1510"/>
    <x v="1508"/>
    <x v="1462"/>
    <x v="0"/>
    <x v="1500"/>
    <x v="1510"/>
    <x v="423"/>
    <x v="0"/>
    <x v="0"/>
    <x v="4"/>
    <x v="152"/>
    <x v="18"/>
    <x v="30"/>
    <x v="34"/>
    <x v="1"/>
    <x v="288"/>
  </r>
  <r>
    <x v="0"/>
    <x v="154"/>
    <x v="388"/>
    <x v="77"/>
    <x v="113"/>
    <x v="235"/>
    <x v="327"/>
    <x v="1448"/>
    <x v="132"/>
    <x v="624"/>
    <x v="392"/>
    <x v="1180"/>
    <x v="1511"/>
    <x v="1509"/>
    <x v="1463"/>
    <x v="1"/>
    <x v="1501"/>
    <x v="1511"/>
    <x v="627"/>
    <x v="0"/>
    <x v="0"/>
    <x v="0"/>
    <x v="116"/>
    <x v="21"/>
    <x v="263"/>
    <x v="37"/>
    <x v="3"/>
    <x v="103"/>
  </r>
  <r>
    <x v="0"/>
    <x v="660"/>
    <x v="370"/>
    <x v="79"/>
    <x v="0"/>
    <x v="660"/>
    <x v="167"/>
    <x v="1449"/>
    <x v="21"/>
    <x v="625"/>
    <x v="1016"/>
    <x v="1181"/>
    <x v="1512"/>
    <x v="1510"/>
    <x v="1464"/>
    <x v="0"/>
    <x v="4"/>
    <x v="1512"/>
    <x v="655"/>
    <x v="0"/>
    <x v="6"/>
    <x v="1"/>
    <x v="148"/>
    <x v="9"/>
    <x v="562"/>
    <x v="22"/>
    <x v="1"/>
    <x v="1"/>
  </r>
  <r>
    <x v="0"/>
    <x v="661"/>
    <x v="423"/>
    <x v="71"/>
    <x v="122"/>
    <x v="358"/>
    <x v="158"/>
    <x v="1450"/>
    <x v="24"/>
    <x v="292"/>
    <x v="1017"/>
    <x v="1182"/>
    <x v="1513"/>
    <x v="1511"/>
    <x v="1465"/>
    <x v="0"/>
    <x v="1502"/>
    <x v="1513"/>
    <x v="376"/>
    <x v="0"/>
    <x v="0"/>
    <x v="0"/>
    <x v="116"/>
    <x v="10"/>
    <x v="38"/>
    <x v="41"/>
    <x v="1"/>
    <x v="1"/>
  </r>
  <r>
    <x v="0"/>
    <x v="662"/>
    <x v="313"/>
    <x v="77"/>
    <x v="62"/>
    <x v="103"/>
    <x v="22"/>
    <x v="1451"/>
    <x v="484"/>
    <x v="626"/>
    <x v="1018"/>
    <x v="1183"/>
    <x v="1514"/>
    <x v="1512"/>
    <x v="1466"/>
    <x v="0"/>
    <x v="1503"/>
    <x v="1514"/>
    <x v="547"/>
    <x v="0"/>
    <x v="0"/>
    <x v="0"/>
    <x v="152"/>
    <x v="3"/>
    <x v="563"/>
    <x v="12"/>
    <x v="1"/>
    <x v="64"/>
  </r>
  <r>
    <x v="0"/>
    <x v="504"/>
    <x v="456"/>
    <x v="72"/>
    <x v="101"/>
    <x v="580"/>
    <x v="86"/>
    <x v="1452"/>
    <x v="485"/>
    <x v="627"/>
    <x v="946"/>
    <x v="1184"/>
    <x v="1515"/>
    <x v="1513"/>
    <x v="1467"/>
    <x v="0"/>
    <x v="1504"/>
    <x v="1515"/>
    <x v="761"/>
    <x v="0"/>
    <x v="8"/>
    <x v="4"/>
    <x v="152"/>
    <x v="7"/>
    <x v="532"/>
    <x v="23"/>
    <x v="1"/>
    <x v="86"/>
  </r>
  <r>
    <x v="0"/>
    <x v="663"/>
    <x v="280"/>
    <x v="55"/>
    <x v="123"/>
    <x v="661"/>
    <x v="11"/>
    <x v="1453"/>
    <x v="353"/>
    <x v="63"/>
    <x v="339"/>
    <x v="1185"/>
    <x v="1516"/>
    <x v="1514"/>
    <x v="1468"/>
    <x v="0"/>
    <x v="1505"/>
    <x v="1516"/>
    <x v="339"/>
    <x v="0"/>
    <x v="0"/>
    <x v="4"/>
    <x v="152"/>
    <x v="21"/>
    <x v="228"/>
    <x v="43"/>
    <x v="3"/>
    <x v="289"/>
  </r>
  <r>
    <x v="0"/>
    <x v="664"/>
    <x v="203"/>
    <x v="35"/>
    <x v="151"/>
    <x v="592"/>
    <x v="81"/>
    <x v="1454"/>
    <x v="28"/>
    <x v="628"/>
    <x v="1019"/>
    <x v="1186"/>
    <x v="1517"/>
    <x v="1515"/>
    <x v="1469"/>
    <x v="1"/>
    <x v="1506"/>
    <x v="1517"/>
    <x v="65"/>
    <x v="0"/>
    <x v="0"/>
    <x v="4"/>
    <x v="152"/>
    <x v="14"/>
    <x v="564"/>
    <x v="12"/>
    <x v="1"/>
    <x v="86"/>
  </r>
  <r>
    <x v="0"/>
    <x v="665"/>
    <x v="362"/>
    <x v="34"/>
    <x v="186"/>
    <x v="212"/>
    <x v="192"/>
    <x v="1455"/>
    <x v="357"/>
    <x v="359"/>
    <x v="900"/>
    <x v="1187"/>
    <x v="1518"/>
    <x v="1516"/>
    <x v="1470"/>
    <x v="0"/>
    <x v="1507"/>
    <x v="1518"/>
    <x v="340"/>
    <x v="0"/>
    <x v="0"/>
    <x v="0"/>
    <x v="70"/>
    <x v="12"/>
    <x v="319"/>
    <x v="2"/>
    <x v="1"/>
    <x v="1"/>
  </r>
  <r>
    <x v="0"/>
    <x v="666"/>
    <x v="16"/>
    <x v="50"/>
    <x v="281"/>
    <x v="538"/>
    <x v="8"/>
    <x v="1456"/>
    <x v="23"/>
    <x v="35"/>
    <x v="798"/>
    <x v="1188"/>
    <x v="1519"/>
    <x v="1517"/>
    <x v="1471"/>
    <x v="4"/>
    <x v="1508"/>
    <x v="1519"/>
    <x v="227"/>
    <x v="0"/>
    <x v="0"/>
    <x v="4"/>
    <x v="116"/>
    <x v="3"/>
    <x v="393"/>
    <x v="12"/>
    <x v="1"/>
    <x v="85"/>
  </r>
  <r>
    <x v="0"/>
    <x v="36"/>
    <x v="392"/>
    <x v="23"/>
    <x v="26"/>
    <x v="274"/>
    <x v="2"/>
    <x v="1457"/>
    <x v="105"/>
    <x v="60"/>
    <x v="601"/>
    <x v="358"/>
    <x v="1520"/>
    <x v="1518"/>
    <x v="1472"/>
    <x v="3"/>
    <x v="1509"/>
    <x v="1520"/>
    <x v="509"/>
    <x v="0"/>
    <x v="0"/>
    <x v="4"/>
    <x v="30"/>
    <x v="15"/>
    <x v="341"/>
    <x v="19"/>
    <x v="1"/>
    <x v="290"/>
  </r>
  <r>
    <x v="0"/>
    <x v="667"/>
    <x v="148"/>
    <x v="90"/>
    <x v="19"/>
    <x v="662"/>
    <x v="2"/>
    <x v="1458"/>
    <x v="0"/>
    <x v="42"/>
    <x v="1020"/>
    <x v="1189"/>
    <x v="1521"/>
    <x v="1519"/>
    <x v="1473"/>
    <x v="0"/>
    <x v="1510"/>
    <x v="1521"/>
    <x v="762"/>
    <x v="0"/>
    <x v="0"/>
    <x v="2"/>
    <x v="167"/>
    <x v="45"/>
    <x v="30"/>
    <x v="26"/>
    <x v="1"/>
    <x v="57"/>
  </r>
  <r>
    <x v="0"/>
    <x v="668"/>
    <x v="461"/>
    <x v="18"/>
    <x v="209"/>
    <x v="496"/>
    <x v="348"/>
    <x v="1459"/>
    <x v="222"/>
    <x v="629"/>
    <x v="324"/>
    <x v="1190"/>
    <x v="1522"/>
    <x v="1520"/>
    <x v="1474"/>
    <x v="1"/>
    <x v="1511"/>
    <x v="1522"/>
    <x v="681"/>
    <x v="0"/>
    <x v="1"/>
    <x v="4"/>
    <x v="116"/>
    <x v="8"/>
    <x v="126"/>
    <x v="19"/>
    <x v="1"/>
    <x v="1"/>
  </r>
  <r>
    <x v="0"/>
    <x v="564"/>
    <x v="341"/>
    <x v="23"/>
    <x v="144"/>
    <x v="570"/>
    <x v="21"/>
    <x v="1460"/>
    <x v="17"/>
    <x v="141"/>
    <x v="1021"/>
    <x v="1191"/>
    <x v="1523"/>
    <x v="1521"/>
    <x v="1475"/>
    <x v="0"/>
    <x v="1512"/>
    <x v="1523"/>
    <x v="406"/>
    <x v="0"/>
    <x v="0"/>
    <x v="4"/>
    <x v="144"/>
    <x v="8"/>
    <x v="217"/>
    <x v="32"/>
    <x v="3"/>
    <x v="61"/>
  </r>
  <r>
    <x v="0"/>
    <x v="669"/>
    <x v="145"/>
    <x v="42"/>
    <x v="282"/>
    <x v="68"/>
    <x v="0"/>
    <x v="1461"/>
    <x v="125"/>
    <x v="537"/>
    <x v="1022"/>
    <x v="84"/>
    <x v="1524"/>
    <x v="1522"/>
    <x v="1476"/>
    <x v="4"/>
    <x v="1513"/>
    <x v="1524"/>
    <x v="301"/>
    <x v="0"/>
    <x v="0"/>
    <x v="4"/>
    <x v="4"/>
    <x v="3"/>
    <x v="565"/>
    <x v="23"/>
    <x v="3"/>
    <x v="1"/>
  </r>
  <r>
    <x v="0"/>
    <x v="47"/>
    <x v="194"/>
    <x v="55"/>
    <x v="32"/>
    <x v="141"/>
    <x v="13"/>
    <x v="1462"/>
    <x v="204"/>
    <x v="13"/>
    <x v="255"/>
    <x v="178"/>
    <x v="1525"/>
    <x v="1523"/>
    <x v="1477"/>
    <x v="1"/>
    <x v="1514"/>
    <x v="1525"/>
    <x v="345"/>
    <x v="0"/>
    <x v="0"/>
    <x v="2"/>
    <x v="152"/>
    <x v="17"/>
    <x v="6"/>
    <x v="8"/>
    <x v="3"/>
    <x v="90"/>
  </r>
  <r>
    <x v="0"/>
    <x v="71"/>
    <x v="302"/>
    <x v="32"/>
    <x v="56"/>
    <x v="663"/>
    <x v="22"/>
    <x v="1463"/>
    <x v="453"/>
    <x v="226"/>
    <x v="1023"/>
    <x v="1192"/>
    <x v="1526"/>
    <x v="1524"/>
    <x v="1478"/>
    <x v="1"/>
    <x v="1515"/>
    <x v="1526"/>
    <x v="173"/>
    <x v="0"/>
    <x v="0"/>
    <x v="2"/>
    <x v="144"/>
    <x v="25"/>
    <x v="503"/>
    <x v="21"/>
    <x v="1"/>
    <x v="1"/>
  </r>
  <r>
    <x v="0"/>
    <x v="356"/>
    <x v="334"/>
    <x v="77"/>
    <x v="211"/>
    <x v="282"/>
    <x v="349"/>
    <x v="1464"/>
    <x v="486"/>
    <x v="630"/>
    <x v="953"/>
    <x v="823"/>
    <x v="1527"/>
    <x v="1525"/>
    <x v="839"/>
    <x v="1"/>
    <x v="1516"/>
    <x v="1527"/>
    <x v="360"/>
    <x v="0"/>
    <x v="4"/>
    <x v="2"/>
    <x v="82"/>
    <x v="19"/>
    <x v="335"/>
    <x v="37"/>
    <x v="3"/>
    <x v="1"/>
  </r>
  <r>
    <x v="0"/>
    <x v="105"/>
    <x v="343"/>
    <x v="59"/>
    <x v="83"/>
    <x v="1"/>
    <x v="57"/>
    <x v="1465"/>
    <x v="487"/>
    <x v="192"/>
    <x v="734"/>
    <x v="1193"/>
    <x v="1528"/>
    <x v="1526"/>
    <x v="1479"/>
    <x v="1"/>
    <x v="1517"/>
    <x v="1528"/>
    <x v="757"/>
    <x v="0"/>
    <x v="0"/>
    <x v="0"/>
    <x v="144"/>
    <x v="32"/>
    <x v="30"/>
    <x v="15"/>
    <x v="3"/>
    <x v="59"/>
  </r>
  <r>
    <x v="0"/>
    <x v="670"/>
    <x v="145"/>
    <x v="80"/>
    <x v="283"/>
    <x v="329"/>
    <x v="241"/>
    <x v="1466"/>
    <x v="488"/>
    <x v="631"/>
    <x v="210"/>
    <x v="1194"/>
    <x v="1529"/>
    <x v="1527"/>
    <x v="1480"/>
    <x v="1"/>
    <x v="1518"/>
    <x v="1529"/>
    <x v="763"/>
    <x v="0"/>
    <x v="8"/>
    <x v="2"/>
    <x v="144"/>
    <x v="7"/>
    <x v="142"/>
    <x v="20"/>
    <x v="3"/>
    <x v="1"/>
  </r>
  <r>
    <x v="0"/>
    <x v="99"/>
    <x v="351"/>
    <x v="22"/>
    <x v="77"/>
    <x v="431"/>
    <x v="192"/>
    <x v="1467"/>
    <x v="127"/>
    <x v="632"/>
    <x v="1024"/>
    <x v="1195"/>
    <x v="1530"/>
    <x v="1528"/>
    <x v="1481"/>
    <x v="5"/>
    <x v="1519"/>
    <x v="1530"/>
    <x v="764"/>
    <x v="0"/>
    <x v="0"/>
    <x v="4"/>
    <x v="167"/>
    <x v="10"/>
    <x v="203"/>
    <x v="2"/>
    <x v="1"/>
    <x v="41"/>
  </r>
  <r>
    <x v="0"/>
    <x v="538"/>
    <x v="71"/>
    <x v="86"/>
    <x v="265"/>
    <x v="168"/>
    <x v="30"/>
    <x v="1468"/>
    <x v="219"/>
    <x v="50"/>
    <x v="6"/>
    <x v="248"/>
    <x v="1531"/>
    <x v="1529"/>
    <x v="1482"/>
    <x v="5"/>
    <x v="1520"/>
    <x v="1531"/>
    <x v="765"/>
    <x v="0"/>
    <x v="0"/>
    <x v="4"/>
    <x v="144"/>
    <x v="9"/>
    <x v="6"/>
    <x v="10"/>
    <x v="1"/>
    <x v="79"/>
  </r>
  <r>
    <x v="0"/>
    <x v="671"/>
    <x v="333"/>
    <x v="33"/>
    <x v="134"/>
    <x v="664"/>
    <x v="327"/>
    <x v="1469"/>
    <x v="429"/>
    <x v="624"/>
    <x v="746"/>
    <x v="1196"/>
    <x v="1532"/>
    <x v="1530"/>
    <x v="1483"/>
    <x v="0"/>
    <x v="1521"/>
    <x v="1532"/>
    <x v="78"/>
    <x v="0"/>
    <x v="0"/>
    <x v="4"/>
    <x v="163"/>
    <x v="15"/>
    <x v="447"/>
    <x v="5"/>
    <x v="1"/>
    <x v="1"/>
  </r>
  <r>
    <x v="0"/>
    <x v="657"/>
    <x v="288"/>
    <x v="74"/>
    <x v="156"/>
    <x v="380"/>
    <x v="13"/>
    <x v="1470"/>
    <x v="113"/>
    <x v="158"/>
    <x v="99"/>
    <x v="1197"/>
    <x v="1533"/>
    <x v="1531"/>
    <x v="1484"/>
    <x v="0"/>
    <x v="1522"/>
    <x v="1533"/>
    <x v="288"/>
    <x v="0"/>
    <x v="0"/>
    <x v="4"/>
    <x v="144"/>
    <x v="21"/>
    <x v="71"/>
    <x v="13"/>
    <x v="1"/>
    <x v="1"/>
  </r>
  <r>
    <x v="0"/>
    <x v="672"/>
    <x v="323"/>
    <x v="86"/>
    <x v="116"/>
    <x v="1"/>
    <x v="29"/>
    <x v="1471"/>
    <x v="23"/>
    <x v="74"/>
    <x v="328"/>
    <x v="1198"/>
    <x v="1534"/>
    <x v="1532"/>
    <x v="1485"/>
    <x v="7"/>
    <x v="1523"/>
    <x v="1534"/>
    <x v="320"/>
    <x v="0"/>
    <x v="0"/>
    <x v="0"/>
    <x v="78"/>
    <x v="5"/>
    <x v="9"/>
    <x v="5"/>
    <x v="1"/>
    <x v="1"/>
  </r>
  <r>
    <x v="0"/>
    <x v="673"/>
    <x v="395"/>
    <x v="71"/>
    <x v="106"/>
    <x v="10"/>
    <x v="49"/>
    <x v="1472"/>
    <x v="125"/>
    <x v="86"/>
    <x v="455"/>
    <x v="1199"/>
    <x v="1535"/>
    <x v="1533"/>
    <x v="1486"/>
    <x v="8"/>
    <x v="1524"/>
    <x v="1535"/>
    <x v="586"/>
    <x v="0"/>
    <x v="0"/>
    <x v="4"/>
    <x v="82"/>
    <x v="9"/>
    <x v="31"/>
    <x v="23"/>
    <x v="1"/>
    <x v="1"/>
  </r>
  <r>
    <x v="0"/>
    <x v="433"/>
    <x v="343"/>
    <x v="18"/>
    <x v="125"/>
    <x v="492"/>
    <x v="350"/>
    <x v="1473"/>
    <x v="132"/>
    <x v="633"/>
    <x v="419"/>
    <x v="1200"/>
    <x v="1536"/>
    <x v="1534"/>
    <x v="1487"/>
    <x v="4"/>
    <x v="1525"/>
    <x v="1536"/>
    <x v="637"/>
    <x v="0"/>
    <x v="0"/>
    <x v="0"/>
    <x v="144"/>
    <x v="10"/>
    <x v="282"/>
    <x v="46"/>
    <x v="1"/>
    <x v="1"/>
  </r>
  <r>
    <x v="0"/>
    <x v="75"/>
    <x v="462"/>
    <x v="41"/>
    <x v="0"/>
    <x v="665"/>
    <x v="10"/>
    <x v="1474"/>
    <x v="361"/>
    <x v="40"/>
    <x v="1025"/>
    <x v="1201"/>
    <x v="1537"/>
    <x v="1535"/>
    <x v="594"/>
    <x v="3"/>
    <x v="1526"/>
    <x v="1537"/>
    <x v="766"/>
    <x v="0"/>
    <x v="0"/>
    <x v="0"/>
    <x v="144"/>
    <x v="10"/>
    <x v="566"/>
    <x v="7"/>
    <x v="3"/>
    <x v="15"/>
  </r>
  <r>
    <x v="0"/>
    <x v="439"/>
    <x v="425"/>
    <x v="60"/>
    <x v="238"/>
    <x v="231"/>
    <x v="351"/>
    <x v="1475"/>
    <x v="480"/>
    <x v="634"/>
    <x v="1026"/>
    <x v="1202"/>
    <x v="1538"/>
    <x v="1536"/>
    <x v="1488"/>
    <x v="3"/>
    <x v="1527"/>
    <x v="1538"/>
    <x v="137"/>
    <x v="0"/>
    <x v="0"/>
    <x v="4"/>
    <x v="144"/>
    <x v="27"/>
    <x v="567"/>
    <x v="1"/>
    <x v="3"/>
    <x v="1"/>
  </r>
  <r>
    <x v="0"/>
    <x v="133"/>
    <x v="400"/>
    <x v="42"/>
    <x v="98"/>
    <x v="540"/>
    <x v="94"/>
    <x v="1476"/>
    <x v="60"/>
    <x v="187"/>
    <x v="942"/>
    <x v="1203"/>
    <x v="1539"/>
    <x v="1537"/>
    <x v="1489"/>
    <x v="1"/>
    <x v="1528"/>
    <x v="1539"/>
    <x v="101"/>
    <x v="0"/>
    <x v="0"/>
    <x v="4"/>
    <x v="144"/>
    <x v="1"/>
    <x v="413"/>
    <x v="21"/>
    <x v="1"/>
    <x v="7"/>
  </r>
  <r>
    <x v="0"/>
    <x v="365"/>
    <x v="270"/>
    <x v="72"/>
    <x v="0"/>
    <x v="606"/>
    <x v="352"/>
    <x v="1477"/>
    <x v="489"/>
    <x v="635"/>
    <x v="1027"/>
    <x v="1204"/>
    <x v="1540"/>
    <x v="1538"/>
    <x v="1490"/>
    <x v="1"/>
    <x v="1529"/>
    <x v="1540"/>
    <x v="510"/>
    <x v="0"/>
    <x v="10"/>
    <x v="2"/>
    <x v="152"/>
    <x v="9"/>
    <x v="544"/>
    <x v="1"/>
    <x v="1"/>
    <x v="9"/>
  </r>
  <r>
    <x v="0"/>
    <x v="38"/>
    <x v="392"/>
    <x v="30"/>
    <x v="25"/>
    <x v="437"/>
    <x v="17"/>
    <x v="4"/>
    <x v="490"/>
    <x v="18"/>
    <x v="1028"/>
    <x v="641"/>
    <x v="1541"/>
    <x v="1539"/>
    <x v="1491"/>
    <x v="7"/>
    <x v="1530"/>
    <x v="1541"/>
    <x v="287"/>
    <x v="0"/>
    <x v="0"/>
    <x v="2"/>
    <x v="82"/>
    <x v="28"/>
    <x v="30"/>
    <x v="18"/>
    <x v="1"/>
    <x v="43"/>
  </r>
  <r>
    <x v="0"/>
    <x v="674"/>
    <x v="346"/>
    <x v="42"/>
    <x v="226"/>
    <x v="666"/>
    <x v="353"/>
    <x v="1478"/>
    <x v="491"/>
    <x v="636"/>
    <x v="439"/>
    <x v="1205"/>
    <x v="1542"/>
    <x v="1540"/>
    <x v="1492"/>
    <x v="1"/>
    <x v="1531"/>
    <x v="1542"/>
    <x v="586"/>
    <x v="0"/>
    <x v="0"/>
    <x v="2"/>
    <x v="144"/>
    <x v="12"/>
    <x v="215"/>
    <x v="8"/>
    <x v="1"/>
    <x v="1"/>
  </r>
  <r>
    <x v="0"/>
    <x v="471"/>
    <x v="463"/>
    <x v="45"/>
    <x v="0"/>
    <x v="126"/>
    <x v="14"/>
    <x v="1479"/>
    <x v="168"/>
    <x v="414"/>
    <x v="1029"/>
    <x v="156"/>
    <x v="1543"/>
    <x v="1541"/>
    <x v="181"/>
    <x v="1"/>
    <x v="1532"/>
    <x v="1543"/>
    <x v="767"/>
    <x v="0"/>
    <x v="0"/>
    <x v="4"/>
    <x v="144"/>
    <x v="12"/>
    <x v="568"/>
    <x v="7"/>
    <x v="3"/>
    <x v="1"/>
  </r>
  <r>
    <x v="0"/>
    <x v="112"/>
    <x v="145"/>
    <x v="101"/>
    <x v="49"/>
    <x v="238"/>
    <x v="8"/>
    <x v="1480"/>
    <x v="23"/>
    <x v="35"/>
    <x v="88"/>
    <x v="300"/>
    <x v="1544"/>
    <x v="1542"/>
    <x v="1493"/>
    <x v="1"/>
    <x v="1533"/>
    <x v="1544"/>
    <x v="471"/>
    <x v="0"/>
    <x v="10"/>
    <x v="0"/>
    <x v="144"/>
    <x v="12"/>
    <x v="30"/>
    <x v="22"/>
    <x v="1"/>
    <x v="1"/>
  </r>
  <r>
    <x v="1"/>
    <x v="6"/>
    <x v="315"/>
    <x v="86"/>
    <x v="0"/>
    <x v="146"/>
    <x v="19"/>
    <x v="1481"/>
    <x v="492"/>
    <x v="20"/>
    <x v="1030"/>
    <x v="1206"/>
    <x v="1545"/>
    <x v="1543"/>
    <x v="1494"/>
    <x v="0"/>
    <x v="1534"/>
    <x v="1545"/>
    <x v="404"/>
    <x v="0"/>
    <x v="7"/>
    <x v="4"/>
    <x v="144"/>
    <x v="16"/>
    <x v="186"/>
    <x v="21"/>
    <x v="3"/>
    <x v="1"/>
  </r>
  <r>
    <x v="0"/>
    <x v="505"/>
    <x v="362"/>
    <x v="78"/>
    <x v="195"/>
    <x v="667"/>
    <x v="354"/>
    <x v="1482"/>
    <x v="127"/>
    <x v="637"/>
    <x v="1031"/>
    <x v="1207"/>
    <x v="1546"/>
    <x v="1544"/>
    <x v="1495"/>
    <x v="1"/>
    <x v="1535"/>
    <x v="1546"/>
    <x v="386"/>
    <x v="0"/>
    <x v="25"/>
    <x v="0"/>
    <x v="168"/>
    <x v="14"/>
    <x v="569"/>
    <x v="18"/>
    <x v="1"/>
    <x v="236"/>
  </r>
  <r>
    <x v="0"/>
    <x v="48"/>
    <x v="145"/>
    <x v="61"/>
    <x v="33"/>
    <x v="668"/>
    <x v="25"/>
    <x v="1483"/>
    <x v="306"/>
    <x v="76"/>
    <x v="1032"/>
    <x v="1208"/>
    <x v="1547"/>
    <x v="1545"/>
    <x v="1496"/>
    <x v="0"/>
    <x v="1536"/>
    <x v="1547"/>
    <x v="696"/>
    <x v="0"/>
    <x v="0"/>
    <x v="4"/>
    <x v="97"/>
    <x v="15"/>
    <x v="29"/>
    <x v="2"/>
    <x v="1"/>
    <x v="1"/>
  </r>
  <r>
    <x v="0"/>
    <x v="675"/>
    <x v="148"/>
    <x v="73"/>
    <x v="284"/>
    <x v="188"/>
    <x v="0"/>
    <x v="1484"/>
    <x v="103"/>
    <x v="638"/>
    <x v="422"/>
    <x v="459"/>
    <x v="1548"/>
    <x v="1546"/>
    <x v="1497"/>
    <x v="0"/>
    <x v="1537"/>
    <x v="1548"/>
    <x v="68"/>
    <x v="0"/>
    <x v="0"/>
    <x v="4"/>
    <x v="144"/>
    <x v="5"/>
    <x v="284"/>
    <x v="22"/>
    <x v="1"/>
    <x v="85"/>
  </r>
  <r>
    <x v="0"/>
    <x v="676"/>
    <x v="197"/>
    <x v="86"/>
    <x v="129"/>
    <x v="70"/>
    <x v="194"/>
    <x v="1485"/>
    <x v="493"/>
    <x v="361"/>
    <x v="951"/>
    <x v="861"/>
    <x v="1549"/>
    <x v="1547"/>
    <x v="1498"/>
    <x v="0"/>
    <x v="1538"/>
    <x v="1549"/>
    <x v="768"/>
    <x v="0"/>
    <x v="18"/>
    <x v="0"/>
    <x v="82"/>
    <x v="1"/>
    <x v="537"/>
    <x v="57"/>
    <x v="1"/>
    <x v="1"/>
  </r>
  <r>
    <x v="0"/>
    <x v="596"/>
    <x v="464"/>
    <x v="47"/>
    <x v="152"/>
    <x v="132"/>
    <x v="22"/>
    <x v="1486"/>
    <x v="35"/>
    <x v="197"/>
    <x v="1033"/>
    <x v="1209"/>
    <x v="1550"/>
    <x v="1548"/>
    <x v="1499"/>
    <x v="3"/>
    <x v="1539"/>
    <x v="1550"/>
    <x v="737"/>
    <x v="0"/>
    <x v="0"/>
    <x v="2"/>
    <x v="116"/>
    <x v="25"/>
    <x v="570"/>
    <x v="43"/>
    <x v="3"/>
    <x v="291"/>
  </r>
  <r>
    <x v="0"/>
    <x v="677"/>
    <x v="444"/>
    <x v="7"/>
    <x v="62"/>
    <x v="55"/>
    <x v="25"/>
    <x v="1487"/>
    <x v="125"/>
    <x v="26"/>
    <x v="35"/>
    <x v="69"/>
    <x v="1551"/>
    <x v="1549"/>
    <x v="1500"/>
    <x v="2"/>
    <x v="1540"/>
    <x v="1551"/>
    <x v="469"/>
    <x v="0"/>
    <x v="0"/>
    <x v="0"/>
    <x v="116"/>
    <x v="9"/>
    <x v="10"/>
    <x v="18"/>
    <x v="1"/>
    <x v="38"/>
  </r>
  <r>
    <x v="0"/>
    <x v="171"/>
    <x v="465"/>
    <x v="128"/>
    <x v="123"/>
    <x v="99"/>
    <x v="22"/>
    <x v="1488"/>
    <x v="494"/>
    <x v="639"/>
    <x v="595"/>
    <x v="1210"/>
    <x v="1552"/>
    <x v="1550"/>
    <x v="1501"/>
    <x v="0"/>
    <x v="1541"/>
    <x v="1552"/>
    <x v="769"/>
    <x v="0"/>
    <x v="0"/>
    <x v="3"/>
    <x v="144"/>
    <x v="13"/>
    <x v="12"/>
    <x v="8"/>
    <x v="8"/>
    <x v="292"/>
  </r>
  <r>
    <x v="0"/>
    <x v="678"/>
    <x v="266"/>
    <x v="5"/>
    <x v="0"/>
    <x v="326"/>
    <x v="57"/>
    <x v="1489"/>
    <x v="270"/>
    <x v="192"/>
    <x v="1034"/>
    <x v="440"/>
    <x v="1553"/>
    <x v="1551"/>
    <x v="1502"/>
    <x v="4"/>
    <x v="1542"/>
    <x v="1553"/>
    <x v="290"/>
    <x v="0"/>
    <x v="0"/>
    <x v="4"/>
    <x v="144"/>
    <x v="15"/>
    <x v="103"/>
    <x v="8"/>
    <x v="1"/>
    <x v="293"/>
  </r>
  <r>
    <x v="1"/>
    <x v="151"/>
    <x v="176"/>
    <x v="72"/>
    <x v="0"/>
    <x v="448"/>
    <x v="67"/>
    <x v="1490"/>
    <x v="150"/>
    <x v="118"/>
    <x v="971"/>
    <x v="845"/>
    <x v="1554"/>
    <x v="1552"/>
    <x v="1503"/>
    <x v="4"/>
    <x v="1543"/>
    <x v="1554"/>
    <x v="509"/>
    <x v="0"/>
    <x v="0"/>
    <x v="4"/>
    <x v="144"/>
    <x v="7"/>
    <x v="280"/>
    <x v="9"/>
    <x v="10"/>
    <x v="294"/>
  </r>
  <r>
    <x v="0"/>
    <x v="679"/>
    <x v="329"/>
    <x v="41"/>
    <x v="0"/>
    <x v="659"/>
    <x v="228"/>
    <x v="4"/>
    <x v="495"/>
    <x v="640"/>
    <x v="1035"/>
    <x v="1211"/>
    <x v="1555"/>
    <x v="1553"/>
    <x v="1504"/>
    <x v="2"/>
    <x v="1544"/>
    <x v="1555"/>
    <x v="755"/>
    <x v="0"/>
    <x v="0"/>
    <x v="2"/>
    <x v="144"/>
    <x v="14"/>
    <x v="571"/>
    <x v="20"/>
    <x v="1"/>
    <x v="295"/>
  </r>
  <r>
    <x v="0"/>
    <x v="420"/>
    <x v="344"/>
    <x v="136"/>
    <x v="0"/>
    <x v="23"/>
    <x v="2"/>
    <x v="1491"/>
    <x v="269"/>
    <x v="42"/>
    <x v="11"/>
    <x v="245"/>
    <x v="1556"/>
    <x v="1554"/>
    <x v="1505"/>
    <x v="1"/>
    <x v="1545"/>
    <x v="1556"/>
    <x v="265"/>
    <x v="0"/>
    <x v="0"/>
    <x v="4"/>
    <x v="169"/>
    <x v="28"/>
    <x v="10"/>
    <x v="3"/>
    <x v="1"/>
    <x v="64"/>
  </r>
  <r>
    <x v="0"/>
    <x v="680"/>
    <x v="111"/>
    <x v="58"/>
    <x v="193"/>
    <x v="620"/>
    <x v="355"/>
    <x v="1492"/>
    <x v="127"/>
    <x v="641"/>
    <x v="1036"/>
    <x v="1212"/>
    <x v="1557"/>
    <x v="1555"/>
    <x v="1506"/>
    <x v="0"/>
    <x v="1546"/>
    <x v="1557"/>
    <x v="277"/>
    <x v="0"/>
    <x v="0"/>
    <x v="4"/>
    <x v="144"/>
    <x v="5"/>
    <x v="315"/>
    <x v="22"/>
    <x v="1"/>
    <x v="1"/>
  </r>
  <r>
    <x v="0"/>
    <x v="392"/>
    <x v="372"/>
    <x v="14"/>
    <x v="169"/>
    <x v="669"/>
    <x v="43"/>
    <x v="1493"/>
    <x v="419"/>
    <x v="642"/>
    <x v="1037"/>
    <x v="1213"/>
    <x v="1558"/>
    <x v="1556"/>
    <x v="1507"/>
    <x v="1"/>
    <x v="1547"/>
    <x v="1558"/>
    <x v="142"/>
    <x v="0"/>
    <x v="0"/>
    <x v="2"/>
    <x v="170"/>
    <x v="16"/>
    <x v="218"/>
    <x v="11"/>
    <x v="1"/>
    <x v="1"/>
  </r>
  <r>
    <x v="0"/>
    <x v="681"/>
    <x v="335"/>
    <x v="18"/>
    <x v="116"/>
    <x v="670"/>
    <x v="14"/>
    <x v="1494"/>
    <x v="496"/>
    <x v="61"/>
    <x v="1038"/>
    <x v="1214"/>
    <x v="1559"/>
    <x v="1557"/>
    <x v="1508"/>
    <x v="4"/>
    <x v="1548"/>
    <x v="1559"/>
    <x v="360"/>
    <x v="0"/>
    <x v="1"/>
    <x v="4"/>
    <x v="169"/>
    <x v="6"/>
    <x v="572"/>
    <x v="22"/>
    <x v="1"/>
    <x v="1"/>
  </r>
  <r>
    <x v="0"/>
    <x v="207"/>
    <x v="240"/>
    <x v="137"/>
    <x v="90"/>
    <x v="127"/>
    <x v="2"/>
    <x v="1495"/>
    <x v="425"/>
    <x v="209"/>
    <x v="1039"/>
    <x v="572"/>
    <x v="1560"/>
    <x v="1558"/>
    <x v="1509"/>
    <x v="0"/>
    <x v="1549"/>
    <x v="1560"/>
    <x v="694"/>
    <x v="0"/>
    <x v="0"/>
    <x v="2"/>
    <x v="145"/>
    <x v="39"/>
    <x v="406"/>
    <x v="13"/>
    <x v="3"/>
    <x v="1"/>
  </r>
  <r>
    <x v="0"/>
    <x v="43"/>
    <x v="466"/>
    <x v="67"/>
    <x v="0"/>
    <x v="517"/>
    <x v="11"/>
    <x v="1496"/>
    <x v="306"/>
    <x v="156"/>
    <x v="42"/>
    <x v="1215"/>
    <x v="1561"/>
    <x v="1559"/>
    <x v="203"/>
    <x v="0"/>
    <x v="1550"/>
    <x v="1561"/>
    <x v="228"/>
    <x v="0"/>
    <x v="0"/>
    <x v="4"/>
    <x v="145"/>
    <x v="3"/>
    <x v="483"/>
    <x v="11"/>
    <x v="1"/>
    <x v="163"/>
  </r>
  <r>
    <x v="0"/>
    <x v="682"/>
    <x v="313"/>
    <x v="51"/>
    <x v="171"/>
    <x v="491"/>
    <x v="356"/>
    <x v="1497"/>
    <x v="18"/>
    <x v="643"/>
    <x v="1040"/>
    <x v="735"/>
    <x v="1562"/>
    <x v="1560"/>
    <x v="1510"/>
    <x v="4"/>
    <x v="1551"/>
    <x v="1562"/>
    <x v="642"/>
    <x v="0"/>
    <x v="1"/>
    <x v="2"/>
    <x v="148"/>
    <x v="28"/>
    <x v="464"/>
    <x v="22"/>
    <x v="1"/>
    <x v="1"/>
  </r>
  <r>
    <x v="0"/>
    <x v="470"/>
    <x v="76"/>
    <x v="77"/>
    <x v="0"/>
    <x v="671"/>
    <x v="57"/>
    <x v="1498"/>
    <x v="497"/>
    <x v="192"/>
    <x v="203"/>
    <x v="1216"/>
    <x v="1563"/>
    <x v="1561"/>
    <x v="1511"/>
    <x v="0"/>
    <x v="1552"/>
    <x v="1563"/>
    <x v="555"/>
    <x v="0"/>
    <x v="0"/>
    <x v="4"/>
    <x v="131"/>
    <x v="11"/>
    <x v="30"/>
    <x v="14"/>
    <x v="15"/>
    <x v="296"/>
  </r>
  <r>
    <x v="0"/>
    <x v="615"/>
    <x v="126"/>
    <x v="59"/>
    <x v="93"/>
    <x v="227"/>
    <x v="25"/>
    <x v="1499"/>
    <x v="498"/>
    <x v="82"/>
    <x v="361"/>
    <x v="1217"/>
    <x v="1564"/>
    <x v="1562"/>
    <x v="1512"/>
    <x v="1"/>
    <x v="1553"/>
    <x v="1564"/>
    <x v="679"/>
    <x v="0"/>
    <x v="0"/>
    <x v="0"/>
    <x v="145"/>
    <x v="18"/>
    <x v="314"/>
    <x v="8"/>
    <x v="1"/>
    <x v="1"/>
  </r>
  <r>
    <x v="0"/>
    <x v="439"/>
    <x v="336"/>
    <x v="33"/>
    <x v="238"/>
    <x v="672"/>
    <x v="266"/>
    <x v="1500"/>
    <x v="499"/>
    <x v="483"/>
    <x v="1041"/>
    <x v="1218"/>
    <x v="1565"/>
    <x v="1563"/>
    <x v="1299"/>
    <x v="0"/>
    <x v="1554"/>
    <x v="1565"/>
    <x v="736"/>
    <x v="0"/>
    <x v="0"/>
    <x v="0"/>
    <x v="145"/>
    <x v="22"/>
    <x v="161"/>
    <x v="22"/>
    <x v="3"/>
    <x v="1"/>
  </r>
  <r>
    <x v="0"/>
    <x v="303"/>
    <x v="188"/>
    <x v="34"/>
    <x v="167"/>
    <x v="167"/>
    <x v="35"/>
    <x v="1501"/>
    <x v="500"/>
    <x v="184"/>
    <x v="158"/>
    <x v="212"/>
    <x v="1566"/>
    <x v="1564"/>
    <x v="1513"/>
    <x v="0"/>
    <x v="1555"/>
    <x v="1566"/>
    <x v="770"/>
    <x v="0"/>
    <x v="0"/>
    <x v="0"/>
    <x v="145"/>
    <x v="21"/>
    <x v="105"/>
    <x v="11"/>
    <x v="1"/>
    <x v="1"/>
  </r>
  <r>
    <x v="0"/>
    <x v="99"/>
    <x v="131"/>
    <x v="38"/>
    <x v="77"/>
    <x v="109"/>
    <x v="56"/>
    <x v="147"/>
    <x v="67"/>
    <x v="98"/>
    <x v="126"/>
    <x v="134"/>
    <x v="149"/>
    <x v="1565"/>
    <x v="147"/>
    <x v="2"/>
    <x v="149"/>
    <x v="149"/>
    <x v="144"/>
    <x v="0"/>
    <x v="0"/>
    <x v="0"/>
    <x v="35"/>
    <x v="6"/>
    <x v="89"/>
    <x v="34"/>
    <x v="1"/>
    <x v="66"/>
  </r>
  <r>
    <x v="0"/>
    <x v="683"/>
    <x v="298"/>
    <x v="77"/>
    <x v="0"/>
    <x v="658"/>
    <x v="8"/>
    <x v="1502"/>
    <x v="311"/>
    <x v="8"/>
    <x v="1042"/>
    <x v="1169"/>
    <x v="1567"/>
    <x v="1566"/>
    <x v="1514"/>
    <x v="2"/>
    <x v="1556"/>
    <x v="1567"/>
    <x v="623"/>
    <x v="0"/>
    <x v="0"/>
    <x v="4"/>
    <x v="145"/>
    <x v="2"/>
    <x v="47"/>
    <x v="9"/>
    <x v="1"/>
    <x v="82"/>
  </r>
  <r>
    <x v="0"/>
    <x v="15"/>
    <x v="368"/>
    <x v="72"/>
    <x v="10"/>
    <x v="548"/>
    <x v="164"/>
    <x v="1503"/>
    <x v="408"/>
    <x v="304"/>
    <x v="139"/>
    <x v="856"/>
    <x v="1568"/>
    <x v="1567"/>
    <x v="1515"/>
    <x v="2"/>
    <x v="1557"/>
    <x v="1568"/>
    <x v="549"/>
    <x v="0"/>
    <x v="0"/>
    <x v="4"/>
    <x v="171"/>
    <x v="16"/>
    <x v="24"/>
    <x v="8"/>
    <x v="3"/>
    <x v="1"/>
  </r>
  <r>
    <x v="1"/>
    <x v="14"/>
    <x v="386"/>
    <x v="18"/>
    <x v="9"/>
    <x v="673"/>
    <x v="184"/>
    <x v="1504"/>
    <x v="501"/>
    <x v="345"/>
    <x v="1043"/>
    <x v="1219"/>
    <x v="1569"/>
    <x v="1568"/>
    <x v="1516"/>
    <x v="0"/>
    <x v="1558"/>
    <x v="1569"/>
    <x v="771"/>
    <x v="0"/>
    <x v="0"/>
    <x v="0"/>
    <x v="91"/>
    <x v="19"/>
    <x v="161"/>
    <x v="13"/>
    <x v="3"/>
    <x v="1"/>
  </r>
  <r>
    <x v="0"/>
    <x v="206"/>
    <x v="356"/>
    <x v="41"/>
    <x v="145"/>
    <x v="674"/>
    <x v="25"/>
    <x v="1505"/>
    <x v="200"/>
    <x v="26"/>
    <x v="288"/>
    <x v="1220"/>
    <x v="1570"/>
    <x v="1569"/>
    <x v="1517"/>
    <x v="0"/>
    <x v="1559"/>
    <x v="1570"/>
    <x v="316"/>
    <x v="0"/>
    <x v="0"/>
    <x v="0"/>
    <x v="172"/>
    <x v="15"/>
    <x v="6"/>
    <x v="21"/>
    <x v="3"/>
    <x v="1"/>
  </r>
  <r>
    <x v="0"/>
    <x v="684"/>
    <x v="273"/>
    <x v="26"/>
    <x v="85"/>
    <x v="1"/>
    <x v="22"/>
    <x v="1506"/>
    <x v="125"/>
    <x v="374"/>
    <x v="1044"/>
    <x v="798"/>
    <x v="1571"/>
    <x v="1570"/>
    <x v="1518"/>
    <x v="0"/>
    <x v="1560"/>
    <x v="1571"/>
    <x v="566"/>
    <x v="0"/>
    <x v="0"/>
    <x v="4"/>
    <x v="116"/>
    <x v="18"/>
    <x v="30"/>
    <x v="21"/>
    <x v="3"/>
    <x v="1"/>
  </r>
  <r>
    <x v="0"/>
    <x v="29"/>
    <x v="146"/>
    <x v="112"/>
    <x v="21"/>
    <x v="675"/>
    <x v="10"/>
    <x v="1507"/>
    <x v="21"/>
    <x v="33"/>
    <x v="37"/>
    <x v="1221"/>
    <x v="1572"/>
    <x v="1571"/>
    <x v="1519"/>
    <x v="1"/>
    <x v="1561"/>
    <x v="1572"/>
    <x v="199"/>
    <x v="0"/>
    <x v="0"/>
    <x v="3"/>
    <x v="116"/>
    <x v="16"/>
    <x v="30"/>
    <x v="24"/>
    <x v="3"/>
    <x v="1"/>
  </r>
  <r>
    <x v="0"/>
    <x v="156"/>
    <x v="277"/>
    <x v="38"/>
    <x v="114"/>
    <x v="189"/>
    <x v="11"/>
    <x v="1508"/>
    <x v="263"/>
    <x v="63"/>
    <x v="303"/>
    <x v="238"/>
    <x v="1573"/>
    <x v="1572"/>
    <x v="1520"/>
    <x v="0"/>
    <x v="1562"/>
    <x v="1573"/>
    <x v="456"/>
    <x v="0"/>
    <x v="0"/>
    <x v="4"/>
    <x v="131"/>
    <x v="24"/>
    <x v="205"/>
    <x v="13"/>
    <x v="1"/>
    <x v="1"/>
  </r>
  <r>
    <x v="0"/>
    <x v="685"/>
    <x v="418"/>
    <x v="27"/>
    <x v="80"/>
    <x v="254"/>
    <x v="30"/>
    <x v="1509"/>
    <x v="17"/>
    <x v="50"/>
    <x v="1045"/>
    <x v="1222"/>
    <x v="1574"/>
    <x v="1573"/>
    <x v="1521"/>
    <x v="0"/>
    <x v="1563"/>
    <x v="1574"/>
    <x v="291"/>
    <x v="0"/>
    <x v="0"/>
    <x v="0"/>
    <x v="116"/>
    <x v="3"/>
    <x v="570"/>
    <x v="2"/>
    <x v="1"/>
    <x v="121"/>
  </r>
  <r>
    <x v="0"/>
    <x v="686"/>
    <x v="450"/>
    <x v="11"/>
    <x v="69"/>
    <x v="676"/>
    <x v="2"/>
    <x v="1510"/>
    <x v="270"/>
    <x v="42"/>
    <x v="63"/>
    <x v="1223"/>
    <x v="1575"/>
    <x v="1574"/>
    <x v="1522"/>
    <x v="4"/>
    <x v="1564"/>
    <x v="1575"/>
    <x v="398"/>
    <x v="0"/>
    <x v="0"/>
    <x v="2"/>
    <x v="145"/>
    <x v="5"/>
    <x v="13"/>
    <x v="12"/>
    <x v="3"/>
    <x v="1"/>
  </r>
  <r>
    <x v="0"/>
    <x v="666"/>
    <x v="271"/>
    <x v="60"/>
    <x v="281"/>
    <x v="1"/>
    <x v="186"/>
    <x v="1511"/>
    <x v="122"/>
    <x v="350"/>
    <x v="1046"/>
    <x v="302"/>
    <x v="1576"/>
    <x v="1575"/>
    <x v="1523"/>
    <x v="1"/>
    <x v="1565"/>
    <x v="1576"/>
    <x v="382"/>
    <x v="0"/>
    <x v="0"/>
    <x v="2"/>
    <x v="116"/>
    <x v="21"/>
    <x v="249"/>
    <x v="6"/>
    <x v="1"/>
    <x v="1"/>
  </r>
  <r>
    <x v="0"/>
    <x v="131"/>
    <x v="209"/>
    <x v="24"/>
    <x v="97"/>
    <x v="284"/>
    <x v="327"/>
    <x v="1512"/>
    <x v="2"/>
    <x v="582"/>
    <x v="424"/>
    <x v="1003"/>
    <x v="1577"/>
    <x v="1576"/>
    <x v="1524"/>
    <x v="1"/>
    <x v="1566"/>
    <x v="1577"/>
    <x v="187"/>
    <x v="0"/>
    <x v="0"/>
    <x v="2"/>
    <x v="116"/>
    <x v="22"/>
    <x v="285"/>
    <x v="32"/>
    <x v="1"/>
    <x v="1"/>
  </r>
  <r>
    <x v="0"/>
    <x v="599"/>
    <x v="40"/>
    <x v="5"/>
    <x v="273"/>
    <x v="286"/>
    <x v="10"/>
    <x v="1513"/>
    <x v="113"/>
    <x v="413"/>
    <x v="269"/>
    <x v="376"/>
    <x v="1578"/>
    <x v="1577"/>
    <x v="1525"/>
    <x v="0"/>
    <x v="1567"/>
    <x v="1578"/>
    <x v="451"/>
    <x v="0"/>
    <x v="0"/>
    <x v="0"/>
    <x v="116"/>
    <x v="9"/>
    <x v="30"/>
    <x v="13"/>
    <x v="3"/>
    <x v="25"/>
  </r>
  <r>
    <x v="1"/>
    <x v="436"/>
    <x v="104"/>
    <x v="80"/>
    <x v="171"/>
    <x v="263"/>
    <x v="153"/>
    <x v="1514"/>
    <x v="300"/>
    <x v="282"/>
    <x v="265"/>
    <x v="1224"/>
    <x v="1579"/>
    <x v="1578"/>
    <x v="1526"/>
    <x v="0"/>
    <x v="1568"/>
    <x v="1579"/>
    <x v="633"/>
    <x v="0"/>
    <x v="0"/>
    <x v="0"/>
    <x v="78"/>
    <x v="14"/>
    <x v="179"/>
    <x v="10"/>
    <x v="1"/>
    <x v="1"/>
  </r>
  <r>
    <x v="0"/>
    <x v="15"/>
    <x v="398"/>
    <x v="77"/>
    <x v="10"/>
    <x v="86"/>
    <x v="0"/>
    <x v="1515"/>
    <x v="219"/>
    <x v="327"/>
    <x v="975"/>
    <x v="1225"/>
    <x v="1580"/>
    <x v="1579"/>
    <x v="1527"/>
    <x v="0"/>
    <x v="1569"/>
    <x v="1580"/>
    <x v="310"/>
    <x v="0"/>
    <x v="0"/>
    <x v="0"/>
    <x v="30"/>
    <x v="23"/>
    <x v="30"/>
    <x v="2"/>
    <x v="3"/>
    <x v="9"/>
  </r>
  <r>
    <x v="0"/>
    <x v="432"/>
    <x v="349"/>
    <x v="78"/>
    <x v="77"/>
    <x v="431"/>
    <x v="47"/>
    <x v="1516"/>
    <x v="311"/>
    <x v="79"/>
    <x v="768"/>
    <x v="629"/>
    <x v="1581"/>
    <x v="1580"/>
    <x v="1528"/>
    <x v="0"/>
    <x v="1570"/>
    <x v="1581"/>
    <x v="128"/>
    <x v="0"/>
    <x v="0"/>
    <x v="0"/>
    <x v="116"/>
    <x v="16"/>
    <x v="460"/>
    <x v="22"/>
    <x v="1"/>
    <x v="1"/>
  </r>
  <r>
    <x v="0"/>
    <x v="293"/>
    <x v="339"/>
    <x v="70"/>
    <x v="0"/>
    <x v="466"/>
    <x v="2"/>
    <x v="1517"/>
    <x v="215"/>
    <x v="203"/>
    <x v="671"/>
    <x v="1226"/>
    <x v="1582"/>
    <x v="1581"/>
    <x v="1529"/>
    <x v="4"/>
    <x v="1571"/>
    <x v="1582"/>
    <x v="428"/>
    <x v="0"/>
    <x v="0"/>
    <x v="3"/>
    <x v="160"/>
    <x v="18"/>
    <x v="415"/>
    <x v="5"/>
    <x v="3"/>
    <x v="1"/>
  </r>
  <r>
    <x v="0"/>
    <x v="632"/>
    <x v="401"/>
    <x v="33"/>
    <x v="19"/>
    <x v="210"/>
    <x v="317"/>
    <x v="1518"/>
    <x v="125"/>
    <x v="572"/>
    <x v="880"/>
    <x v="267"/>
    <x v="1583"/>
    <x v="1582"/>
    <x v="1530"/>
    <x v="3"/>
    <x v="1572"/>
    <x v="1583"/>
    <x v="426"/>
    <x v="0"/>
    <x v="0"/>
    <x v="2"/>
    <x v="140"/>
    <x v="25"/>
    <x v="92"/>
    <x v="5"/>
    <x v="3"/>
    <x v="1"/>
  </r>
  <r>
    <x v="0"/>
    <x v="68"/>
    <x v="405"/>
    <x v="46"/>
    <x v="53"/>
    <x v="677"/>
    <x v="2"/>
    <x v="1519"/>
    <x v="171"/>
    <x v="130"/>
    <x v="40"/>
    <x v="1227"/>
    <x v="1584"/>
    <x v="1583"/>
    <x v="1531"/>
    <x v="0"/>
    <x v="1573"/>
    <x v="1584"/>
    <x v="772"/>
    <x v="0"/>
    <x v="0"/>
    <x v="4"/>
    <x v="152"/>
    <x v="16"/>
    <x v="6"/>
    <x v="35"/>
    <x v="1"/>
    <x v="36"/>
  </r>
  <r>
    <x v="0"/>
    <x v="137"/>
    <x v="467"/>
    <x v="52"/>
    <x v="102"/>
    <x v="203"/>
    <x v="35"/>
    <x v="1520"/>
    <x v="222"/>
    <x v="644"/>
    <x v="1047"/>
    <x v="1228"/>
    <x v="1585"/>
    <x v="1584"/>
    <x v="1532"/>
    <x v="0"/>
    <x v="1574"/>
    <x v="1585"/>
    <x v="773"/>
    <x v="0"/>
    <x v="26"/>
    <x v="4"/>
    <x v="116"/>
    <x v="0"/>
    <x v="573"/>
    <x v="25"/>
    <x v="3"/>
    <x v="31"/>
  </r>
  <r>
    <x v="0"/>
    <x v="687"/>
    <x v="332"/>
    <x v="101"/>
    <x v="44"/>
    <x v="152"/>
    <x v="32"/>
    <x v="1521"/>
    <x v="21"/>
    <x v="59"/>
    <x v="1048"/>
    <x v="1229"/>
    <x v="1586"/>
    <x v="1585"/>
    <x v="1533"/>
    <x v="0"/>
    <x v="1575"/>
    <x v="1586"/>
    <x v="139"/>
    <x v="0"/>
    <x v="0"/>
    <x v="2"/>
    <x v="116"/>
    <x v="14"/>
    <x v="518"/>
    <x v="15"/>
    <x v="3"/>
    <x v="1"/>
  </r>
  <r>
    <x v="0"/>
    <x v="326"/>
    <x v="286"/>
    <x v="67"/>
    <x v="121"/>
    <x v="50"/>
    <x v="357"/>
    <x v="1522"/>
    <x v="171"/>
    <x v="645"/>
    <x v="1049"/>
    <x v="1230"/>
    <x v="1587"/>
    <x v="1586"/>
    <x v="1340"/>
    <x v="0"/>
    <x v="1576"/>
    <x v="1587"/>
    <x v="584"/>
    <x v="0"/>
    <x v="0"/>
    <x v="4"/>
    <x v="131"/>
    <x v="17"/>
    <x v="441"/>
    <x v="25"/>
    <x v="1"/>
    <x v="85"/>
  </r>
  <r>
    <x v="0"/>
    <x v="326"/>
    <x v="468"/>
    <x v="5"/>
    <x v="121"/>
    <x v="162"/>
    <x v="17"/>
    <x v="1523"/>
    <x v="291"/>
    <x v="303"/>
    <x v="65"/>
    <x v="1231"/>
    <x v="1588"/>
    <x v="1587"/>
    <x v="1534"/>
    <x v="1"/>
    <x v="1577"/>
    <x v="1588"/>
    <x v="52"/>
    <x v="0"/>
    <x v="0"/>
    <x v="0"/>
    <x v="116"/>
    <x v="14"/>
    <x v="6"/>
    <x v="14"/>
    <x v="1"/>
    <x v="57"/>
  </r>
  <r>
    <x v="0"/>
    <x v="370"/>
    <x v="118"/>
    <x v="33"/>
    <x v="201"/>
    <x v="156"/>
    <x v="13"/>
    <x v="1524"/>
    <x v="70"/>
    <x v="158"/>
    <x v="705"/>
    <x v="192"/>
    <x v="1589"/>
    <x v="1588"/>
    <x v="1535"/>
    <x v="4"/>
    <x v="1578"/>
    <x v="1589"/>
    <x v="172"/>
    <x v="0"/>
    <x v="0"/>
    <x v="4"/>
    <x v="116"/>
    <x v="15"/>
    <x v="114"/>
    <x v="10"/>
    <x v="3"/>
    <x v="1"/>
  </r>
  <r>
    <x v="0"/>
    <x v="550"/>
    <x v="325"/>
    <x v="32"/>
    <x v="268"/>
    <x v="678"/>
    <x v="186"/>
    <x v="1525"/>
    <x v="17"/>
    <x v="350"/>
    <x v="961"/>
    <x v="1232"/>
    <x v="1590"/>
    <x v="1589"/>
    <x v="1536"/>
    <x v="0"/>
    <x v="1579"/>
    <x v="1590"/>
    <x v="774"/>
    <x v="0"/>
    <x v="0"/>
    <x v="0"/>
    <x v="163"/>
    <x v="14"/>
    <x v="56"/>
    <x v="0"/>
    <x v="1"/>
    <x v="116"/>
  </r>
  <r>
    <x v="0"/>
    <x v="544"/>
    <x v="177"/>
    <x v="70"/>
    <x v="247"/>
    <x v="304"/>
    <x v="35"/>
    <x v="1526"/>
    <x v="127"/>
    <x v="65"/>
    <x v="1050"/>
    <x v="1233"/>
    <x v="1591"/>
    <x v="1590"/>
    <x v="1537"/>
    <x v="1"/>
    <x v="1580"/>
    <x v="1591"/>
    <x v="142"/>
    <x v="0"/>
    <x v="0"/>
    <x v="0"/>
    <x v="116"/>
    <x v="8"/>
    <x v="207"/>
    <x v="9"/>
    <x v="1"/>
    <x v="1"/>
  </r>
  <r>
    <x v="0"/>
    <x v="163"/>
    <x v="333"/>
    <x v="58"/>
    <x v="80"/>
    <x v="246"/>
    <x v="0"/>
    <x v="1527"/>
    <x v="502"/>
    <x v="646"/>
    <x v="638"/>
    <x v="314"/>
    <x v="1592"/>
    <x v="1591"/>
    <x v="1538"/>
    <x v="4"/>
    <x v="1581"/>
    <x v="1592"/>
    <x v="629"/>
    <x v="0"/>
    <x v="0"/>
    <x v="3"/>
    <x v="116"/>
    <x v="0"/>
    <x v="30"/>
    <x v="39"/>
    <x v="3"/>
    <x v="1"/>
  </r>
  <r>
    <x v="0"/>
    <x v="688"/>
    <x v="438"/>
    <x v="98"/>
    <x v="0"/>
    <x v="679"/>
    <x v="358"/>
    <x v="1528"/>
    <x v="157"/>
    <x v="647"/>
    <x v="1051"/>
    <x v="1234"/>
    <x v="1593"/>
    <x v="1592"/>
    <x v="1539"/>
    <x v="0"/>
    <x v="1582"/>
    <x v="1593"/>
    <x v="769"/>
    <x v="0"/>
    <x v="8"/>
    <x v="3"/>
    <x v="116"/>
    <x v="21"/>
    <x v="431"/>
    <x v="9"/>
    <x v="3"/>
    <x v="297"/>
  </r>
  <r>
    <x v="0"/>
    <x v="531"/>
    <x v="421"/>
    <x v="5"/>
    <x v="0"/>
    <x v="564"/>
    <x v="55"/>
    <x v="1529"/>
    <x v="17"/>
    <x v="648"/>
    <x v="228"/>
    <x v="1235"/>
    <x v="1594"/>
    <x v="1593"/>
    <x v="1540"/>
    <x v="1"/>
    <x v="1583"/>
    <x v="1594"/>
    <x v="558"/>
    <x v="0"/>
    <x v="0"/>
    <x v="4"/>
    <x v="116"/>
    <x v="23"/>
    <x v="155"/>
    <x v="4"/>
    <x v="3"/>
    <x v="298"/>
  </r>
  <r>
    <x v="0"/>
    <x v="103"/>
    <x v="394"/>
    <x v="82"/>
    <x v="81"/>
    <x v="242"/>
    <x v="25"/>
    <x v="1530"/>
    <x v="481"/>
    <x v="82"/>
    <x v="40"/>
    <x v="93"/>
    <x v="1595"/>
    <x v="1594"/>
    <x v="1541"/>
    <x v="4"/>
    <x v="1584"/>
    <x v="1595"/>
    <x v="166"/>
    <x v="0"/>
    <x v="0"/>
    <x v="4"/>
    <x v="116"/>
    <x v="24"/>
    <x v="6"/>
    <x v="7"/>
    <x v="3"/>
    <x v="59"/>
  </r>
  <r>
    <x v="0"/>
    <x v="689"/>
    <x v="404"/>
    <x v="26"/>
    <x v="285"/>
    <x v="680"/>
    <x v="6"/>
    <x v="1531"/>
    <x v="17"/>
    <x v="6"/>
    <x v="1052"/>
    <x v="1236"/>
    <x v="1596"/>
    <x v="1595"/>
    <x v="1542"/>
    <x v="0"/>
    <x v="1585"/>
    <x v="1596"/>
    <x v="530"/>
    <x v="0"/>
    <x v="0"/>
    <x v="4"/>
    <x v="131"/>
    <x v="0"/>
    <x v="10"/>
    <x v="38"/>
    <x v="3"/>
    <x v="64"/>
  </r>
  <r>
    <x v="0"/>
    <x v="690"/>
    <x v="259"/>
    <x v="31"/>
    <x v="286"/>
    <x v="109"/>
    <x v="359"/>
    <x v="1532"/>
    <x v="200"/>
    <x v="649"/>
    <x v="1053"/>
    <x v="1237"/>
    <x v="1597"/>
    <x v="1596"/>
    <x v="1543"/>
    <x v="1"/>
    <x v="1586"/>
    <x v="1597"/>
    <x v="604"/>
    <x v="0"/>
    <x v="0"/>
    <x v="4"/>
    <x v="116"/>
    <x v="19"/>
    <x v="361"/>
    <x v="13"/>
    <x v="3"/>
    <x v="1"/>
  </r>
  <r>
    <x v="0"/>
    <x v="691"/>
    <x v="469"/>
    <x v="42"/>
    <x v="12"/>
    <x v="321"/>
    <x v="360"/>
    <x v="1533"/>
    <x v="503"/>
    <x v="650"/>
    <x v="1054"/>
    <x v="1238"/>
    <x v="1598"/>
    <x v="1597"/>
    <x v="1544"/>
    <x v="0"/>
    <x v="1587"/>
    <x v="1598"/>
    <x v="105"/>
    <x v="0"/>
    <x v="0"/>
    <x v="0"/>
    <x v="82"/>
    <x v="9"/>
    <x v="332"/>
    <x v="8"/>
    <x v="1"/>
    <x v="299"/>
  </r>
  <r>
    <x v="0"/>
    <x v="692"/>
    <x v="470"/>
    <x v="73"/>
    <x v="0"/>
    <x v="95"/>
    <x v="29"/>
    <x v="1534"/>
    <x v="380"/>
    <x v="58"/>
    <x v="259"/>
    <x v="1239"/>
    <x v="1599"/>
    <x v="1598"/>
    <x v="1545"/>
    <x v="0"/>
    <x v="1588"/>
    <x v="1599"/>
    <x v="602"/>
    <x v="0"/>
    <x v="0"/>
    <x v="4"/>
    <x v="116"/>
    <x v="3"/>
    <x v="44"/>
    <x v="38"/>
    <x v="1"/>
    <x v="300"/>
  </r>
  <r>
    <x v="0"/>
    <x v="19"/>
    <x v="258"/>
    <x v="101"/>
    <x v="12"/>
    <x v="24"/>
    <x v="33"/>
    <x v="1535"/>
    <x v="219"/>
    <x v="149"/>
    <x v="581"/>
    <x v="1240"/>
    <x v="1600"/>
    <x v="1599"/>
    <x v="1546"/>
    <x v="1"/>
    <x v="1589"/>
    <x v="1600"/>
    <x v="138"/>
    <x v="0"/>
    <x v="0"/>
    <x v="0"/>
    <x v="116"/>
    <x v="18"/>
    <x v="371"/>
    <x v="28"/>
    <x v="3"/>
    <x v="301"/>
  </r>
  <r>
    <x v="0"/>
    <x v="693"/>
    <x v="212"/>
    <x v="43"/>
    <x v="225"/>
    <x v="441"/>
    <x v="259"/>
    <x v="1536"/>
    <x v="301"/>
    <x v="516"/>
    <x v="1055"/>
    <x v="990"/>
    <x v="1601"/>
    <x v="1600"/>
    <x v="1547"/>
    <x v="0"/>
    <x v="1590"/>
    <x v="1601"/>
    <x v="417"/>
    <x v="0"/>
    <x v="5"/>
    <x v="3"/>
    <x v="116"/>
    <x v="16"/>
    <x v="29"/>
    <x v="2"/>
    <x v="3"/>
    <x v="9"/>
  </r>
  <r>
    <x v="0"/>
    <x v="345"/>
    <x v="294"/>
    <x v="7"/>
    <x v="172"/>
    <x v="54"/>
    <x v="2"/>
    <x v="1537"/>
    <x v="105"/>
    <x v="209"/>
    <x v="332"/>
    <x v="1241"/>
    <x v="1602"/>
    <x v="1601"/>
    <x v="1548"/>
    <x v="4"/>
    <x v="1591"/>
    <x v="1602"/>
    <x v="128"/>
    <x v="0"/>
    <x v="0"/>
    <x v="0"/>
    <x v="116"/>
    <x v="3"/>
    <x v="223"/>
    <x v="22"/>
    <x v="1"/>
    <x v="1"/>
  </r>
  <r>
    <x v="0"/>
    <x v="551"/>
    <x v="268"/>
    <x v="34"/>
    <x v="262"/>
    <x v="651"/>
    <x v="10"/>
    <x v="1538"/>
    <x v="105"/>
    <x v="375"/>
    <x v="1056"/>
    <x v="1242"/>
    <x v="1603"/>
    <x v="1602"/>
    <x v="1549"/>
    <x v="1"/>
    <x v="1592"/>
    <x v="1603"/>
    <x v="751"/>
    <x v="0"/>
    <x v="0"/>
    <x v="4"/>
    <x v="116"/>
    <x v="8"/>
    <x v="222"/>
    <x v="13"/>
    <x v="3"/>
    <x v="1"/>
  </r>
  <r>
    <x v="0"/>
    <x v="113"/>
    <x v="359"/>
    <x v="104"/>
    <x v="88"/>
    <x v="113"/>
    <x v="358"/>
    <x v="4"/>
    <x v="291"/>
    <x v="651"/>
    <x v="859"/>
    <x v="1243"/>
    <x v="1604"/>
    <x v="1603"/>
    <x v="1550"/>
    <x v="1"/>
    <x v="1593"/>
    <x v="1604"/>
    <x v="73"/>
    <x v="0"/>
    <x v="0"/>
    <x v="5"/>
    <x v="4"/>
    <x v="4"/>
    <x v="496"/>
    <x v="50"/>
    <x v="0"/>
    <x v="1"/>
  </r>
  <r>
    <x v="0"/>
    <x v="265"/>
    <x v="318"/>
    <x v="56"/>
    <x v="175"/>
    <x v="548"/>
    <x v="0"/>
    <x v="1539"/>
    <x v="80"/>
    <x v="652"/>
    <x v="1057"/>
    <x v="1244"/>
    <x v="1605"/>
    <x v="1604"/>
    <x v="1551"/>
    <x v="3"/>
    <x v="1594"/>
    <x v="1605"/>
    <x v="471"/>
    <x v="0"/>
    <x v="0"/>
    <x v="4"/>
    <x v="91"/>
    <x v="12"/>
    <x v="574"/>
    <x v="8"/>
    <x v="1"/>
    <x v="1"/>
  </r>
  <r>
    <x v="0"/>
    <x v="694"/>
    <x v="118"/>
    <x v="77"/>
    <x v="78"/>
    <x v="681"/>
    <x v="35"/>
    <x v="1540"/>
    <x v="127"/>
    <x v="653"/>
    <x v="515"/>
    <x v="1245"/>
    <x v="1606"/>
    <x v="1605"/>
    <x v="1552"/>
    <x v="4"/>
    <x v="1595"/>
    <x v="1606"/>
    <x v="241"/>
    <x v="0"/>
    <x v="0"/>
    <x v="0"/>
    <x v="116"/>
    <x v="8"/>
    <x v="30"/>
    <x v="19"/>
    <x v="3"/>
    <x v="1"/>
  </r>
  <r>
    <x v="0"/>
    <x v="695"/>
    <x v="409"/>
    <x v="37"/>
    <x v="0"/>
    <x v="678"/>
    <x v="197"/>
    <x v="1541"/>
    <x v="17"/>
    <x v="451"/>
    <x v="692"/>
    <x v="1232"/>
    <x v="1607"/>
    <x v="1606"/>
    <x v="1553"/>
    <x v="1"/>
    <x v="1596"/>
    <x v="1607"/>
    <x v="402"/>
    <x v="0"/>
    <x v="0"/>
    <x v="0"/>
    <x v="116"/>
    <x v="20"/>
    <x v="148"/>
    <x v="18"/>
    <x v="3"/>
    <x v="1"/>
  </r>
  <r>
    <x v="0"/>
    <x v="236"/>
    <x v="194"/>
    <x v="71"/>
    <x v="28"/>
    <x v="678"/>
    <x v="2"/>
    <x v="1542"/>
    <x v="127"/>
    <x v="203"/>
    <x v="972"/>
    <x v="1246"/>
    <x v="1608"/>
    <x v="1607"/>
    <x v="1554"/>
    <x v="4"/>
    <x v="1597"/>
    <x v="1608"/>
    <x v="756"/>
    <x v="0"/>
    <x v="0"/>
    <x v="2"/>
    <x v="116"/>
    <x v="0"/>
    <x v="117"/>
    <x v="28"/>
    <x v="3"/>
    <x v="1"/>
  </r>
  <r>
    <x v="0"/>
    <x v="254"/>
    <x v="160"/>
    <x v="54"/>
    <x v="169"/>
    <x v="377"/>
    <x v="361"/>
    <x v="1543"/>
    <x v="195"/>
    <x v="654"/>
    <x v="1058"/>
    <x v="1247"/>
    <x v="1609"/>
    <x v="1608"/>
    <x v="1555"/>
    <x v="3"/>
    <x v="1598"/>
    <x v="1609"/>
    <x v="270"/>
    <x v="0"/>
    <x v="0"/>
    <x v="0"/>
    <x v="166"/>
    <x v="14"/>
    <x v="523"/>
    <x v="18"/>
    <x v="1"/>
    <x v="1"/>
  </r>
  <r>
    <x v="0"/>
    <x v="236"/>
    <x v="323"/>
    <x v="42"/>
    <x v="28"/>
    <x v="196"/>
    <x v="22"/>
    <x v="1544"/>
    <x v="286"/>
    <x v="80"/>
    <x v="26"/>
    <x v="1248"/>
    <x v="1610"/>
    <x v="1609"/>
    <x v="1556"/>
    <x v="1"/>
    <x v="1599"/>
    <x v="1610"/>
    <x v="367"/>
    <x v="0"/>
    <x v="0"/>
    <x v="0"/>
    <x v="160"/>
    <x v="14"/>
    <x v="12"/>
    <x v="9"/>
    <x v="3"/>
    <x v="1"/>
  </r>
  <r>
    <x v="0"/>
    <x v="696"/>
    <x v="471"/>
    <x v="50"/>
    <x v="201"/>
    <x v="136"/>
    <x v="209"/>
    <x v="1545"/>
    <x v="286"/>
    <x v="655"/>
    <x v="1059"/>
    <x v="1249"/>
    <x v="1611"/>
    <x v="1610"/>
    <x v="958"/>
    <x v="1"/>
    <x v="1600"/>
    <x v="1611"/>
    <x v="775"/>
    <x v="0"/>
    <x v="13"/>
    <x v="0"/>
    <x v="173"/>
    <x v="10"/>
    <x v="575"/>
    <x v="16"/>
    <x v="3"/>
    <x v="302"/>
  </r>
  <r>
    <x v="0"/>
    <x v="697"/>
    <x v="313"/>
    <x v="79"/>
    <x v="143"/>
    <x v="80"/>
    <x v="21"/>
    <x v="1546"/>
    <x v="29"/>
    <x v="22"/>
    <x v="63"/>
    <x v="829"/>
    <x v="1612"/>
    <x v="1611"/>
    <x v="1557"/>
    <x v="0"/>
    <x v="1601"/>
    <x v="1612"/>
    <x v="398"/>
    <x v="0"/>
    <x v="4"/>
    <x v="2"/>
    <x v="114"/>
    <x v="11"/>
    <x v="13"/>
    <x v="27"/>
    <x v="3"/>
    <x v="1"/>
  </r>
  <r>
    <x v="0"/>
    <x v="698"/>
    <x v="304"/>
    <x v="23"/>
    <x v="44"/>
    <x v="138"/>
    <x v="1"/>
    <x v="1547"/>
    <x v="130"/>
    <x v="1"/>
    <x v="1060"/>
    <x v="169"/>
    <x v="1613"/>
    <x v="1612"/>
    <x v="1558"/>
    <x v="1"/>
    <x v="1602"/>
    <x v="1613"/>
    <x v="246"/>
    <x v="0"/>
    <x v="0"/>
    <x v="4"/>
    <x v="116"/>
    <x v="18"/>
    <x v="30"/>
    <x v="32"/>
    <x v="1"/>
    <x v="38"/>
  </r>
  <r>
    <x v="0"/>
    <x v="598"/>
    <x v="69"/>
    <x v="22"/>
    <x v="171"/>
    <x v="148"/>
    <x v="11"/>
    <x v="1548"/>
    <x v="17"/>
    <x v="49"/>
    <x v="1061"/>
    <x v="1250"/>
    <x v="1614"/>
    <x v="1613"/>
    <x v="1559"/>
    <x v="0"/>
    <x v="1603"/>
    <x v="1614"/>
    <x v="533"/>
    <x v="0"/>
    <x v="0"/>
    <x v="0"/>
    <x v="97"/>
    <x v="15"/>
    <x v="576"/>
    <x v="9"/>
    <x v="1"/>
    <x v="1"/>
  </r>
  <r>
    <x v="0"/>
    <x v="699"/>
    <x v="288"/>
    <x v="86"/>
    <x v="0"/>
    <x v="575"/>
    <x v="25"/>
    <x v="1549"/>
    <x v="18"/>
    <x v="194"/>
    <x v="953"/>
    <x v="1102"/>
    <x v="1615"/>
    <x v="1614"/>
    <x v="1560"/>
    <x v="1"/>
    <x v="1604"/>
    <x v="1615"/>
    <x v="300"/>
    <x v="0"/>
    <x v="0"/>
    <x v="2"/>
    <x v="174"/>
    <x v="30"/>
    <x v="335"/>
    <x v="28"/>
    <x v="1"/>
    <x v="1"/>
  </r>
  <r>
    <x v="0"/>
    <x v="511"/>
    <x v="347"/>
    <x v="77"/>
    <x v="89"/>
    <x v="682"/>
    <x v="0"/>
    <x v="1550"/>
    <x v="504"/>
    <x v="656"/>
    <x v="1062"/>
    <x v="1251"/>
    <x v="1616"/>
    <x v="1615"/>
    <x v="1561"/>
    <x v="6"/>
    <x v="1605"/>
    <x v="1616"/>
    <x v="547"/>
    <x v="0"/>
    <x v="0"/>
    <x v="2"/>
    <x v="116"/>
    <x v="19"/>
    <x v="281"/>
    <x v="37"/>
    <x v="3"/>
    <x v="103"/>
  </r>
  <r>
    <x v="0"/>
    <x v="231"/>
    <x v="425"/>
    <x v="105"/>
    <x v="156"/>
    <x v="474"/>
    <x v="22"/>
    <x v="1551"/>
    <x v="70"/>
    <x v="639"/>
    <x v="1063"/>
    <x v="1252"/>
    <x v="1617"/>
    <x v="1616"/>
    <x v="1562"/>
    <x v="7"/>
    <x v="1606"/>
    <x v="1617"/>
    <x v="432"/>
    <x v="0"/>
    <x v="0"/>
    <x v="0"/>
    <x v="116"/>
    <x v="24"/>
    <x v="577"/>
    <x v="21"/>
    <x v="3"/>
    <x v="103"/>
  </r>
  <r>
    <x v="0"/>
    <x v="533"/>
    <x v="339"/>
    <x v="22"/>
    <x v="263"/>
    <x v="103"/>
    <x v="0"/>
    <x v="1552"/>
    <x v="2"/>
    <x v="657"/>
    <x v="1064"/>
    <x v="1253"/>
    <x v="1618"/>
    <x v="1617"/>
    <x v="1563"/>
    <x v="4"/>
    <x v="1607"/>
    <x v="1618"/>
    <x v="776"/>
    <x v="0"/>
    <x v="1"/>
    <x v="2"/>
    <x v="116"/>
    <x v="39"/>
    <x v="578"/>
    <x v="22"/>
    <x v="1"/>
    <x v="1"/>
  </r>
  <r>
    <x v="0"/>
    <x v="700"/>
    <x v="306"/>
    <x v="79"/>
    <x v="134"/>
    <x v="624"/>
    <x v="362"/>
    <x v="1553"/>
    <x v="505"/>
    <x v="658"/>
    <x v="1065"/>
    <x v="1254"/>
    <x v="1619"/>
    <x v="1618"/>
    <x v="1564"/>
    <x v="0"/>
    <x v="1608"/>
    <x v="1619"/>
    <x v="649"/>
    <x v="0"/>
    <x v="1"/>
    <x v="3"/>
    <x v="116"/>
    <x v="12"/>
    <x v="73"/>
    <x v="7"/>
    <x v="3"/>
    <x v="1"/>
  </r>
  <r>
    <x v="0"/>
    <x v="477"/>
    <x v="333"/>
    <x v="51"/>
    <x v="247"/>
    <x v="683"/>
    <x v="11"/>
    <x v="1554"/>
    <x v="17"/>
    <x v="69"/>
    <x v="692"/>
    <x v="1255"/>
    <x v="1620"/>
    <x v="1619"/>
    <x v="1565"/>
    <x v="1"/>
    <x v="1609"/>
    <x v="1620"/>
    <x v="554"/>
    <x v="0"/>
    <x v="0"/>
    <x v="0"/>
    <x v="116"/>
    <x v="1"/>
    <x v="148"/>
    <x v="1"/>
    <x v="3"/>
    <x v="35"/>
  </r>
  <r>
    <x v="0"/>
    <x v="568"/>
    <x v="345"/>
    <x v="58"/>
    <x v="143"/>
    <x v="282"/>
    <x v="235"/>
    <x v="1555"/>
    <x v="506"/>
    <x v="236"/>
    <x v="1066"/>
    <x v="823"/>
    <x v="1621"/>
    <x v="1620"/>
    <x v="1566"/>
    <x v="0"/>
    <x v="1610"/>
    <x v="1621"/>
    <x v="514"/>
    <x v="0"/>
    <x v="0"/>
    <x v="2"/>
    <x v="4"/>
    <x v="12"/>
    <x v="93"/>
    <x v="31"/>
    <x v="3"/>
    <x v="303"/>
  </r>
  <r>
    <x v="0"/>
    <x v="96"/>
    <x v="260"/>
    <x v="32"/>
    <x v="75"/>
    <x v="684"/>
    <x v="32"/>
    <x v="1556"/>
    <x v="351"/>
    <x v="38"/>
    <x v="1067"/>
    <x v="1256"/>
    <x v="1622"/>
    <x v="1621"/>
    <x v="1567"/>
    <x v="1"/>
    <x v="1611"/>
    <x v="1622"/>
    <x v="777"/>
    <x v="0"/>
    <x v="1"/>
    <x v="4"/>
    <x v="116"/>
    <x v="1"/>
    <x v="30"/>
    <x v="6"/>
    <x v="3"/>
    <x v="85"/>
  </r>
  <r>
    <x v="0"/>
    <x v="236"/>
    <x v="171"/>
    <x v="72"/>
    <x v="28"/>
    <x v="458"/>
    <x v="121"/>
    <x v="1557"/>
    <x v="105"/>
    <x v="230"/>
    <x v="1068"/>
    <x v="1257"/>
    <x v="1623"/>
    <x v="1622"/>
    <x v="789"/>
    <x v="1"/>
    <x v="1612"/>
    <x v="1623"/>
    <x v="319"/>
    <x v="0"/>
    <x v="0"/>
    <x v="2"/>
    <x v="116"/>
    <x v="5"/>
    <x v="51"/>
    <x v="12"/>
    <x v="1"/>
    <x v="38"/>
  </r>
  <r>
    <x v="0"/>
    <x v="18"/>
    <x v="315"/>
    <x v="31"/>
    <x v="0"/>
    <x v="544"/>
    <x v="206"/>
    <x v="1558"/>
    <x v="23"/>
    <x v="388"/>
    <x v="1069"/>
    <x v="1258"/>
    <x v="1624"/>
    <x v="1623"/>
    <x v="1568"/>
    <x v="4"/>
    <x v="1613"/>
    <x v="1624"/>
    <x v="119"/>
    <x v="0"/>
    <x v="0"/>
    <x v="4"/>
    <x v="116"/>
    <x v="30"/>
    <x v="579"/>
    <x v="4"/>
    <x v="1"/>
    <x v="1"/>
  </r>
  <r>
    <x v="0"/>
    <x v="307"/>
    <x v="57"/>
    <x v="80"/>
    <x v="114"/>
    <x v="25"/>
    <x v="358"/>
    <x v="1559"/>
    <x v="125"/>
    <x v="659"/>
    <x v="1070"/>
    <x v="30"/>
    <x v="1625"/>
    <x v="1624"/>
    <x v="1569"/>
    <x v="0"/>
    <x v="1614"/>
    <x v="1625"/>
    <x v="483"/>
    <x v="0"/>
    <x v="0"/>
    <x v="2"/>
    <x v="4"/>
    <x v="3"/>
    <x v="379"/>
    <x v="37"/>
    <x v="3"/>
    <x v="38"/>
  </r>
  <r>
    <x v="0"/>
    <x v="24"/>
    <x v="143"/>
    <x v="91"/>
    <x v="17"/>
    <x v="648"/>
    <x v="1"/>
    <x v="1560"/>
    <x v="507"/>
    <x v="1"/>
    <x v="61"/>
    <x v="1139"/>
    <x v="1626"/>
    <x v="1625"/>
    <x v="1570"/>
    <x v="1"/>
    <x v="1615"/>
    <x v="1626"/>
    <x v="501"/>
    <x v="0"/>
    <x v="0"/>
    <x v="2"/>
    <x v="88"/>
    <x v="12"/>
    <x v="48"/>
    <x v="38"/>
    <x v="3"/>
    <x v="1"/>
  </r>
  <r>
    <x v="0"/>
    <x v="701"/>
    <x v="299"/>
    <x v="34"/>
    <x v="0"/>
    <x v="462"/>
    <x v="363"/>
    <x v="1561"/>
    <x v="122"/>
    <x v="660"/>
    <x v="1071"/>
    <x v="1259"/>
    <x v="1627"/>
    <x v="1626"/>
    <x v="1571"/>
    <x v="1"/>
    <x v="1616"/>
    <x v="1627"/>
    <x v="147"/>
    <x v="0"/>
    <x v="0"/>
    <x v="2"/>
    <x v="4"/>
    <x v="7"/>
    <x v="374"/>
    <x v="13"/>
    <x v="1"/>
    <x v="1"/>
  </r>
  <r>
    <x v="0"/>
    <x v="496"/>
    <x v="110"/>
    <x v="61"/>
    <x v="254"/>
    <x v="619"/>
    <x v="364"/>
    <x v="1562"/>
    <x v="80"/>
    <x v="661"/>
    <x v="1072"/>
    <x v="1260"/>
    <x v="1628"/>
    <x v="1627"/>
    <x v="782"/>
    <x v="4"/>
    <x v="1617"/>
    <x v="1628"/>
    <x v="656"/>
    <x v="0"/>
    <x v="0"/>
    <x v="4"/>
    <x v="116"/>
    <x v="2"/>
    <x v="580"/>
    <x v="32"/>
    <x v="6"/>
    <x v="109"/>
  </r>
  <r>
    <x v="0"/>
    <x v="274"/>
    <x v="472"/>
    <x v="23"/>
    <x v="178"/>
    <x v="685"/>
    <x v="10"/>
    <x v="1563"/>
    <x v="291"/>
    <x v="40"/>
    <x v="463"/>
    <x v="1261"/>
    <x v="1629"/>
    <x v="1628"/>
    <x v="1572"/>
    <x v="0"/>
    <x v="1618"/>
    <x v="1629"/>
    <x v="230"/>
    <x v="0"/>
    <x v="0"/>
    <x v="4"/>
    <x v="116"/>
    <x v="2"/>
    <x v="30"/>
    <x v="7"/>
    <x v="1"/>
    <x v="20"/>
  </r>
  <r>
    <x v="0"/>
    <x v="6"/>
    <x v="473"/>
    <x v="77"/>
    <x v="0"/>
    <x v="510"/>
    <x v="35"/>
    <x v="1564"/>
    <x v="381"/>
    <x v="355"/>
    <x v="443"/>
    <x v="1262"/>
    <x v="1630"/>
    <x v="1629"/>
    <x v="1573"/>
    <x v="0"/>
    <x v="1619"/>
    <x v="1630"/>
    <x v="778"/>
    <x v="0"/>
    <x v="0"/>
    <x v="0"/>
    <x v="116"/>
    <x v="0"/>
    <x v="30"/>
    <x v="4"/>
    <x v="1"/>
    <x v="59"/>
  </r>
  <r>
    <x v="0"/>
    <x v="702"/>
    <x v="418"/>
    <x v="52"/>
    <x v="171"/>
    <x v="1"/>
    <x v="2"/>
    <x v="1565"/>
    <x v="49"/>
    <x v="42"/>
    <x v="1073"/>
    <x v="1263"/>
    <x v="1631"/>
    <x v="1630"/>
    <x v="1574"/>
    <x v="1"/>
    <x v="1620"/>
    <x v="1631"/>
    <x v="120"/>
    <x v="0"/>
    <x v="0"/>
    <x v="0"/>
    <x v="131"/>
    <x v="2"/>
    <x v="12"/>
    <x v="13"/>
    <x v="1"/>
    <x v="139"/>
  </r>
  <r>
    <x v="0"/>
    <x v="703"/>
    <x v="249"/>
    <x v="70"/>
    <x v="80"/>
    <x v="1"/>
    <x v="22"/>
    <x v="1566"/>
    <x v="301"/>
    <x v="197"/>
    <x v="340"/>
    <x v="1264"/>
    <x v="1632"/>
    <x v="1631"/>
    <x v="1575"/>
    <x v="1"/>
    <x v="1621"/>
    <x v="1632"/>
    <x v="616"/>
    <x v="0"/>
    <x v="0"/>
    <x v="2"/>
    <x v="116"/>
    <x v="17"/>
    <x v="13"/>
    <x v="32"/>
    <x v="3"/>
    <x v="1"/>
  </r>
  <r>
    <x v="0"/>
    <x v="107"/>
    <x v="291"/>
    <x v="86"/>
    <x v="84"/>
    <x v="419"/>
    <x v="35"/>
    <x v="1567"/>
    <x v="484"/>
    <x v="662"/>
    <x v="1018"/>
    <x v="1265"/>
    <x v="1633"/>
    <x v="1632"/>
    <x v="1576"/>
    <x v="0"/>
    <x v="1622"/>
    <x v="1633"/>
    <x v="514"/>
    <x v="0"/>
    <x v="0"/>
    <x v="0"/>
    <x v="116"/>
    <x v="5"/>
    <x v="563"/>
    <x v="5"/>
    <x v="3"/>
    <x v="37"/>
  </r>
  <r>
    <x v="0"/>
    <x v="472"/>
    <x v="474"/>
    <x v="27"/>
    <x v="245"/>
    <x v="607"/>
    <x v="365"/>
    <x v="1568"/>
    <x v="357"/>
    <x v="663"/>
    <x v="361"/>
    <x v="1266"/>
    <x v="1634"/>
    <x v="1633"/>
    <x v="1577"/>
    <x v="3"/>
    <x v="1623"/>
    <x v="1634"/>
    <x v="404"/>
    <x v="0"/>
    <x v="0"/>
    <x v="0"/>
    <x v="116"/>
    <x v="19"/>
    <x v="314"/>
    <x v="23"/>
    <x v="3"/>
    <x v="1"/>
  </r>
  <r>
    <x v="0"/>
    <x v="12"/>
    <x v="268"/>
    <x v="18"/>
    <x v="7"/>
    <x v="37"/>
    <x v="94"/>
    <x v="1569"/>
    <x v="196"/>
    <x v="166"/>
    <x v="1074"/>
    <x v="1267"/>
    <x v="1635"/>
    <x v="1634"/>
    <x v="1578"/>
    <x v="1"/>
    <x v="1624"/>
    <x v="1635"/>
    <x v="342"/>
    <x v="0"/>
    <x v="0"/>
    <x v="0"/>
    <x v="30"/>
    <x v="7"/>
    <x v="581"/>
    <x v="32"/>
    <x v="3"/>
    <x v="38"/>
  </r>
  <r>
    <x v="0"/>
    <x v="312"/>
    <x v="40"/>
    <x v="18"/>
    <x v="41"/>
    <x v="649"/>
    <x v="231"/>
    <x v="1570"/>
    <x v="429"/>
    <x v="664"/>
    <x v="1075"/>
    <x v="1268"/>
    <x v="1636"/>
    <x v="1635"/>
    <x v="468"/>
    <x v="0"/>
    <x v="1625"/>
    <x v="1636"/>
    <x v="577"/>
    <x v="0"/>
    <x v="0"/>
    <x v="4"/>
    <x v="144"/>
    <x v="1"/>
    <x v="582"/>
    <x v="4"/>
    <x v="1"/>
    <x v="1"/>
  </r>
  <r>
    <x v="0"/>
    <x v="704"/>
    <x v="475"/>
    <x v="54"/>
    <x v="287"/>
    <x v="427"/>
    <x v="8"/>
    <x v="1571"/>
    <x v="208"/>
    <x v="8"/>
    <x v="1076"/>
    <x v="624"/>
    <x v="1637"/>
    <x v="1636"/>
    <x v="1579"/>
    <x v="0"/>
    <x v="1626"/>
    <x v="1637"/>
    <x v="779"/>
    <x v="0"/>
    <x v="0"/>
    <x v="4"/>
    <x v="116"/>
    <x v="3"/>
    <x v="583"/>
    <x v="15"/>
    <x v="1"/>
    <x v="101"/>
  </r>
  <r>
    <x v="0"/>
    <x v="705"/>
    <x v="387"/>
    <x v="107"/>
    <x v="228"/>
    <x v="148"/>
    <x v="366"/>
    <x v="1572"/>
    <x v="125"/>
    <x v="665"/>
    <x v="110"/>
    <x v="1269"/>
    <x v="1638"/>
    <x v="1637"/>
    <x v="1580"/>
    <x v="0"/>
    <x v="1627"/>
    <x v="1638"/>
    <x v="673"/>
    <x v="0"/>
    <x v="0"/>
    <x v="0"/>
    <x v="116"/>
    <x v="8"/>
    <x v="78"/>
    <x v="59"/>
    <x v="3"/>
    <x v="1"/>
  </r>
  <r>
    <x v="0"/>
    <x v="225"/>
    <x v="379"/>
    <x v="51"/>
    <x v="141"/>
    <x v="378"/>
    <x v="13"/>
    <x v="1573"/>
    <x v="26"/>
    <x v="158"/>
    <x v="1077"/>
    <x v="532"/>
    <x v="1639"/>
    <x v="1638"/>
    <x v="1581"/>
    <x v="1"/>
    <x v="1628"/>
    <x v="1639"/>
    <x v="699"/>
    <x v="0"/>
    <x v="0"/>
    <x v="4"/>
    <x v="116"/>
    <x v="32"/>
    <x v="26"/>
    <x v="32"/>
    <x v="3"/>
    <x v="1"/>
  </r>
  <r>
    <x v="0"/>
    <x v="706"/>
    <x v="293"/>
    <x v="59"/>
    <x v="288"/>
    <x v="59"/>
    <x v="367"/>
    <x v="1574"/>
    <x v="103"/>
    <x v="666"/>
    <x v="1078"/>
    <x v="1270"/>
    <x v="1640"/>
    <x v="1639"/>
    <x v="1582"/>
    <x v="1"/>
    <x v="1629"/>
    <x v="1640"/>
    <x v="630"/>
    <x v="0"/>
    <x v="0"/>
    <x v="4"/>
    <x v="146"/>
    <x v="42"/>
    <x v="584"/>
    <x v="4"/>
    <x v="15"/>
    <x v="1"/>
  </r>
  <r>
    <x v="0"/>
    <x v="189"/>
    <x v="315"/>
    <x v="58"/>
    <x v="0"/>
    <x v="118"/>
    <x v="57"/>
    <x v="1575"/>
    <x v="508"/>
    <x v="192"/>
    <x v="1079"/>
    <x v="1271"/>
    <x v="1641"/>
    <x v="1640"/>
    <x v="1583"/>
    <x v="4"/>
    <x v="1630"/>
    <x v="1641"/>
    <x v="550"/>
    <x v="0"/>
    <x v="0"/>
    <x v="0"/>
    <x v="131"/>
    <x v="43"/>
    <x v="50"/>
    <x v="8"/>
    <x v="3"/>
    <x v="1"/>
  </r>
  <r>
    <x v="0"/>
    <x v="96"/>
    <x v="476"/>
    <x v="70"/>
    <x v="75"/>
    <x v="502"/>
    <x v="368"/>
    <x v="1576"/>
    <x v="65"/>
    <x v="667"/>
    <x v="1080"/>
    <x v="1272"/>
    <x v="1642"/>
    <x v="1641"/>
    <x v="1584"/>
    <x v="0"/>
    <x v="1631"/>
    <x v="1642"/>
    <x v="16"/>
    <x v="0"/>
    <x v="0"/>
    <x v="0"/>
    <x v="116"/>
    <x v="10"/>
    <x v="585"/>
    <x v="2"/>
    <x v="1"/>
    <x v="58"/>
  </r>
  <r>
    <x v="0"/>
    <x v="113"/>
    <x v="435"/>
    <x v="84"/>
    <x v="88"/>
    <x v="686"/>
    <x v="358"/>
    <x v="4"/>
    <x v="498"/>
    <x v="651"/>
    <x v="306"/>
    <x v="1273"/>
    <x v="1643"/>
    <x v="1309"/>
    <x v="1585"/>
    <x v="2"/>
    <x v="1632"/>
    <x v="1643"/>
    <x v="737"/>
    <x v="0"/>
    <x v="0"/>
    <x v="6"/>
    <x v="4"/>
    <x v="4"/>
    <x v="207"/>
    <x v="7"/>
    <x v="12"/>
    <x v="1"/>
  </r>
  <r>
    <x v="0"/>
    <x v="707"/>
    <x v="349"/>
    <x v="54"/>
    <x v="167"/>
    <x v="687"/>
    <x v="369"/>
    <x v="1577"/>
    <x v="20"/>
    <x v="668"/>
    <x v="801"/>
    <x v="1274"/>
    <x v="1644"/>
    <x v="1642"/>
    <x v="1586"/>
    <x v="0"/>
    <x v="1633"/>
    <x v="1644"/>
    <x v="541"/>
    <x v="0"/>
    <x v="0"/>
    <x v="0"/>
    <x v="116"/>
    <x v="13"/>
    <x v="472"/>
    <x v="42"/>
    <x v="3"/>
    <x v="103"/>
  </r>
  <r>
    <x v="0"/>
    <x v="708"/>
    <x v="82"/>
    <x v="42"/>
    <x v="289"/>
    <x v="688"/>
    <x v="10"/>
    <x v="1578"/>
    <x v="105"/>
    <x v="33"/>
    <x v="947"/>
    <x v="1275"/>
    <x v="1645"/>
    <x v="1643"/>
    <x v="1587"/>
    <x v="0"/>
    <x v="1634"/>
    <x v="1645"/>
    <x v="335"/>
    <x v="0"/>
    <x v="0"/>
    <x v="0"/>
    <x v="116"/>
    <x v="10"/>
    <x v="533"/>
    <x v="9"/>
    <x v="1"/>
    <x v="1"/>
  </r>
  <r>
    <x v="0"/>
    <x v="709"/>
    <x v="190"/>
    <x v="7"/>
    <x v="225"/>
    <x v="492"/>
    <x v="30"/>
    <x v="1579"/>
    <x v="362"/>
    <x v="53"/>
    <x v="26"/>
    <x v="1200"/>
    <x v="1646"/>
    <x v="1644"/>
    <x v="1588"/>
    <x v="1"/>
    <x v="1635"/>
    <x v="1646"/>
    <x v="706"/>
    <x v="0"/>
    <x v="0"/>
    <x v="4"/>
    <x v="116"/>
    <x v="9"/>
    <x v="12"/>
    <x v="18"/>
    <x v="1"/>
    <x v="36"/>
  </r>
  <r>
    <x v="0"/>
    <x v="710"/>
    <x v="217"/>
    <x v="34"/>
    <x v="221"/>
    <x v="269"/>
    <x v="0"/>
    <x v="1580"/>
    <x v="419"/>
    <x v="114"/>
    <x v="1081"/>
    <x v="1276"/>
    <x v="1647"/>
    <x v="1645"/>
    <x v="1589"/>
    <x v="0"/>
    <x v="1636"/>
    <x v="1647"/>
    <x v="405"/>
    <x v="0"/>
    <x v="0"/>
    <x v="0"/>
    <x v="116"/>
    <x v="7"/>
    <x v="586"/>
    <x v="10"/>
    <x v="3"/>
    <x v="1"/>
  </r>
  <r>
    <x v="0"/>
    <x v="113"/>
    <x v="460"/>
    <x v="138"/>
    <x v="88"/>
    <x v="362"/>
    <x v="109"/>
    <x v="4"/>
    <x v="200"/>
    <x v="669"/>
    <x v="961"/>
    <x v="1277"/>
    <x v="1648"/>
    <x v="1646"/>
    <x v="1590"/>
    <x v="4"/>
    <x v="1637"/>
    <x v="1648"/>
    <x v="147"/>
    <x v="0"/>
    <x v="0"/>
    <x v="7"/>
    <x v="4"/>
    <x v="4"/>
    <x v="56"/>
    <x v="3"/>
    <x v="0"/>
    <x v="1"/>
  </r>
  <r>
    <x v="0"/>
    <x v="711"/>
    <x v="69"/>
    <x v="31"/>
    <x v="122"/>
    <x v="40"/>
    <x v="25"/>
    <x v="1581"/>
    <x v="509"/>
    <x v="138"/>
    <x v="1082"/>
    <x v="48"/>
    <x v="1649"/>
    <x v="1647"/>
    <x v="1591"/>
    <x v="1"/>
    <x v="1638"/>
    <x v="1649"/>
    <x v="227"/>
    <x v="0"/>
    <x v="0"/>
    <x v="0"/>
    <x v="116"/>
    <x v="7"/>
    <x v="12"/>
    <x v="8"/>
    <x v="1"/>
    <x v="1"/>
  </r>
  <r>
    <x v="0"/>
    <x v="400"/>
    <x v="272"/>
    <x v="50"/>
    <x v="218"/>
    <x v="400"/>
    <x v="0"/>
    <x v="1582"/>
    <x v="70"/>
    <x v="85"/>
    <x v="781"/>
    <x v="577"/>
    <x v="1650"/>
    <x v="1648"/>
    <x v="1592"/>
    <x v="0"/>
    <x v="1639"/>
    <x v="1650"/>
    <x v="591"/>
    <x v="0"/>
    <x v="0"/>
    <x v="0"/>
    <x v="91"/>
    <x v="18"/>
    <x v="467"/>
    <x v="34"/>
    <x v="3"/>
    <x v="87"/>
  </r>
  <r>
    <x v="0"/>
    <x v="712"/>
    <x v="205"/>
    <x v="139"/>
    <x v="164"/>
    <x v="161"/>
    <x v="145"/>
    <x v="1583"/>
    <x v="510"/>
    <x v="269"/>
    <x v="1083"/>
    <x v="1278"/>
    <x v="1651"/>
    <x v="1649"/>
    <x v="1593"/>
    <x v="0"/>
    <x v="1640"/>
    <x v="1651"/>
    <x v="479"/>
    <x v="0"/>
    <x v="0"/>
    <x v="0"/>
    <x v="116"/>
    <x v="0"/>
    <x v="587"/>
    <x v="1"/>
    <x v="3"/>
    <x v="38"/>
  </r>
  <r>
    <x v="0"/>
    <x v="151"/>
    <x v="14"/>
    <x v="11"/>
    <x v="0"/>
    <x v="689"/>
    <x v="30"/>
    <x v="1584"/>
    <x v="168"/>
    <x v="50"/>
    <x v="1084"/>
    <x v="1279"/>
    <x v="1652"/>
    <x v="1650"/>
    <x v="1594"/>
    <x v="0"/>
    <x v="1641"/>
    <x v="1652"/>
    <x v="459"/>
    <x v="0"/>
    <x v="0"/>
    <x v="4"/>
    <x v="116"/>
    <x v="9"/>
    <x v="588"/>
    <x v="1"/>
    <x v="3"/>
    <x v="5"/>
  </r>
  <r>
    <x v="0"/>
    <x v="713"/>
    <x v="69"/>
    <x v="70"/>
    <x v="118"/>
    <x v="690"/>
    <x v="0"/>
    <x v="1585"/>
    <x v="215"/>
    <x v="670"/>
    <x v="793"/>
    <x v="1280"/>
    <x v="1653"/>
    <x v="1651"/>
    <x v="1217"/>
    <x v="1"/>
    <x v="1642"/>
    <x v="1653"/>
    <x v="142"/>
    <x v="0"/>
    <x v="0"/>
    <x v="2"/>
    <x v="4"/>
    <x v="14"/>
    <x v="445"/>
    <x v="18"/>
    <x v="3"/>
    <x v="1"/>
  </r>
  <r>
    <x v="0"/>
    <x v="714"/>
    <x v="57"/>
    <x v="140"/>
    <x v="5"/>
    <x v="691"/>
    <x v="370"/>
    <x v="1586"/>
    <x v="94"/>
    <x v="671"/>
    <x v="1085"/>
    <x v="1281"/>
    <x v="1654"/>
    <x v="1652"/>
    <x v="1595"/>
    <x v="0"/>
    <x v="1643"/>
    <x v="1654"/>
    <x v="650"/>
    <x v="0"/>
    <x v="0"/>
    <x v="3"/>
    <x v="116"/>
    <x v="10"/>
    <x v="548"/>
    <x v="11"/>
    <x v="3"/>
    <x v="1"/>
  </r>
  <r>
    <x v="0"/>
    <x v="715"/>
    <x v="69"/>
    <x v="79"/>
    <x v="125"/>
    <x v="124"/>
    <x v="120"/>
    <x v="1587"/>
    <x v="125"/>
    <x v="228"/>
    <x v="1086"/>
    <x v="1282"/>
    <x v="1655"/>
    <x v="1653"/>
    <x v="1596"/>
    <x v="0"/>
    <x v="1644"/>
    <x v="1655"/>
    <x v="312"/>
    <x v="0"/>
    <x v="0"/>
    <x v="0"/>
    <x v="166"/>
    <x v="17"/>
    <x v="589"/>
    <x v="53"/>
    <x v="15"/>
    <x v="103"/>
  </r>
  <r>
    <x v="0"/>
    <x v="486"/>
    <x v="382"/>
    <x v="26"/>
    <x v="251"/>
    <x v="220"/>
    <x v="213"/>
    <x v="1588"/>
    <x v="105"/>
    <x v="672"/>
    <x v="1087"/>
    <x v="1283"/>
    <x v="1656"/>
    <x v="1654"/>
    <x v="1597"/>
    <x v="1"/>
    <x v="1645"/>
    <x v="1656"/>
    <x v="108"/>
    <x v="0"/>
    <x v="0"/>
    <x v="4"/>
    <x v="116"/>
    <x v="20"/>
    <x v="590"/>
    <x v="2"/>
    <x v="3"/>
    <x v="1"/>
  </r>
  <r>
    <x v="0"/>
    <x v="716"/>
    <x v="159"/>
    <x v="106"/>
    <x v="61"/>
    <x v="369"/>
    <x v="247"/>
    <x v="1589"/>
    <x v="316"/>
    <x v="673"/>
    <x v="1088"/>
    <x v="1284"/>
    <x v="1657"/>
    <x v="1655"/>
    <x v="1598"/>
    <x v="0"/>
    <x v="1646"/>
    <x v="1657"/>
    <x v="780"/>
    <x v="0"/>
    <x v="0"/>
    <x v="0"/>
    <x v="116"/>
    <x v="11"/>
    <x v="566"/>
    <x v="8"/>
    <x v="3"/>
    <x v="59"/>
  </r>
  <r>
    <x v="0"/>
    <x v="462"/>
    <x v="272"/>
    <x v="46"/>
    <x v="244"/>
    <x v="103"/>
    <x v="2"/>
    <x v="1590"/>
    <x v="270"/>
    <x v="209"/>
    <x v="20"/>
    <x v="128"/>
    <x v="1658"/>
    <x v="1656"/>
    <x v="1599"/>
    <x v="3"/>
    <x v="1647"/>
    <x v="1658"/>
    <x v="137"/>
    <x v="0"/>
    <x v="0"/>
    <x v="4"/>
    <x v="116"/>
    <x v="20"/>
    <x v="17"/>
    <x v="15"/>
    <x v="3"/>
    <x v="304"/>
  </r>
  <r>
    <x v="0"/>
    <x v="717"/>
    <x v="402"/>
    <x v="11"/>
    <x v="211"/>
    <x v="473"/>
    <x v="11"/>
    <x v="1591"/>
    <x v="103"/>
    <x v="156"/>
    <x v="1089"/>
    <x v="1285"/>
    <x v="1659"/>
    <x v="1657"/>
    <x v="1600"/>
    <x v="1"/>
    <x v="1648"/>
    <x v="1659"/>
    <x v="244"/>
    <x v="0"/>
    <x v="0"/>
    <x v="4"/>
    <x v="116"/>
    <x v="16"/>
    <x v="184"/>
    <x v="34"/>
    <x v="1"/>
    <x v="1"/>
  </r>
  <r>
    <x v="0"/>
    <x v="246"/>
    <x v="304"/>
    <x v="54"/>
    <x v="166"/>
    <x v="24"/>
    <x v="195"/>
    <x v="1592"/>
    <x v="194"/>
    <x v="674"/>
    <x v="1090"/>
    <x v="1240"/>
    <x v="1660"/>
    <x v="1658"/>
    <x v="1601"/>
    <x v="1"/>
    <x v="1649"/>
    <x v="1660"/>
    <x v="394"/>
    <x v="0"/>
    <x v="0"/>
    <x v="0"/>
    <x v="116"/>
    <x v="7"/>
    <x v="591"/>
    <x v="37"/>
    <x v="1"/>
    <x v="103"/>
  </r>
  <r>
    <x v="0"/>
    <x v="245"/>
    <x v="354"/>
    <x v="34"/>
    <x v="165"/>
    <x v="540"/>
    <x v="35"/>
    <x v="1593"/>
    <x v="236"/>
    <x v="494"/>
    <x v="357"/>
    <x v="834"/>
    <x v="1661"/>
    <x v="1659"/>
    <x v="1602"/>
    <x v="0"/>
    <x v="1650"/>
    <x v="1661"/>
    <x v="781"/>
    <x v="0"/>
    <x v="0"/>
    <x v="4"/>
    <x v="116"/>
    <x v="11"/>
    <x v="30"/>
    <x v="5"/>
    <x v="1"/>
    <x v="45"/>
  </r>
  <r>
    <x v="0"/>
    <x v="718"/>
    <x v="149"/>
    <x v="26"/>
    <x v="192"/>
    <x v="117"/>
    <x v="35"/>
    <x v="1594"/>
    <x v="139"/>
    <x v="173"/>
    <x v="1091"/>
    <x v="146"/>
    <x v="1662"/>
    <x v="1660"/>
    <x v="1603"/>
    <x v="0"/>
    <x v="1651"/>
    <x v="1662"/>
    <x v="699"/>
    <x v="0"/>
    <x v="0"/>
    <x v="4"/>
    <x v="116"/>
    <x v="10"/>
    <x v="592"/>
    <x v="18"/>
    <x v="3"/>
    <x v="59"/>
  </r>
  <r>
    <x v="0"/>
    <x v="719"/>
    <x v="345"/>
    <x v="72"/>
    <x v="116"/>
    <x v="437"/>
    <x v="0"/>
    <x v="1595"/>
    <x v="105"/>
    <x v="185"/>
    <x v="1092"/>
    <x v="1286"/>
    <x v="1663"/>
    <x v="1661"/>
    <x v="1604"/>
    <x v="1"/>
    <x v="1652"/>
    <x v="1663"/>
    <x v="392"/>
    <x v="0"/>
    <x v="0"/>
    <x v="0"/>
    <x v="82"/>
    <x v="14"/>
    <x v="588"/>
    <x v="31"/>
    <x v="1"/>
    <x v="305"/>
  </r>
  <r>
    <x v="0"/>
    <x v="551"/>
    <x v="221"/>
    <x v="22"/>
    <x v="262"/>
    <x v="194"/>
    <x v="35"/>
    <x v="1596"/>
    <x v="127"/>
    <x v="517"/>
    <x v="1093"/>
    <x v="414"/>
    <x v="1664"/>
    <x v="851"/>
    <x v="1605"/>
    <x v="4"/>
    <x v="1653"/>
    <x v="1664"/>
    <x v="482"/>
    <x v="0"/>
    <x v="0"/>
    <x v="4"/>
    <x v="116"/>
    <x v="3"/>
    <x v="593"/>
    <x v="5"/>
    <x v="3"/>
    <x v="59"/>
  </r>
  <r>
    <x v="0"/>
    <x v="720"/>
    <x v="315"/>
    <x v="27"/>
    <x v="164"/>
    <x v="246"/>
    <x v="0"/>
    <x v="1597"/>
    <x v="334"/>
    <x v="85"/>
    <x v="1094"/>
    <x v="1287"/>
    <x v="1665"/>
    <x v="1662"/>
    <x v="1606"/>
    <x v="1"/>
    <x v="1654"/>
    <x v="1665"/>
    <x v="377"/>
    <x v="0"/>
    <x v="0"/>
    <x v="0"/>
    <x v="116"/>
    <x v="14"/>
    <x v="370"/>
    <x v="34"/>
    <x v="3"/>
    <x v="306"/>
  </r>
  <r>
    <x v="0"/>
    <x v="721"/>
    <x v="178"/>
    <x v="82"/>
    <x v="290"/>
    <x v="293"/>
    <x v="14"/>
    <x v="1598"/>
    <x v="368"/>
    <x v="351"/>
    <x v="1095"/>
    <x v="1288"/>
    <x v="1666"/>
    <x v="1663"/>
    <x v="1607"/>
    <x v="0"/>
    <x v="1655"/>
    <x v="1666"/>
    <x v="414"/>
    <x v="0"/>
    <x v="0"/>
    <x v="0"/>
    <x v="82"/>
    <x v="5"/>
    <x v="387"/>
    <x v="38"/>
    <x v="1"/>
    <x v="41"/>
  </r>
  <r>
    <x v="0"/>
    <x v="722"/>
    <x v="287"/>
    <x v="50"/>
    <x v="291"/>
    <x v="515"/>
    <x v="21"/>
    <x v="1599"/>
    <x v="179"/>
    <x v="174"/>
    <x v="1096"/>
    <x v="1289"/>
    <x v="1667"/>
    <x v="1664"/>
    <x v="1608"/>
    <x v="1"/>
    <x v="1656"/>
    <x v="1667"/>
    <x v="782"/>
    <x v="0"/>
    <x v="0"/>
    <x v="0"/>
    <x v="116"/>
    <x v="7"/>
    <x v="37"/>
    <x v="46"/>
    <x v="3"/>
    <x v="1"/>
  </r>
  <r>
    <x v="0"/>
    <x v="723"/>
    <x v="194"/>
    <x v="56"/>
    <x v="73"/>
    <x v="692"/>
    <x v="279"/>
    <x v="1600"/>
    <x v="28"/>
    <x v="508"/>
    <x v="1097"/>
    <x v="1290"/>
    <x v="1668"/>
    <x v="1665"/>
    <x v="922"/>
    <x v="1"/>
    <x v="1657"/>
    <x v="1668"/>
    <x v="570"/>
    <x v="0"/>
    <x v="0"/>
    <x v="4"/>
    <x v="78"/>
    <x v="12"/>
    <x v="247"/>
    <x v="22"/>
    <x v="1"/>
    <x v="307"/>
  </r>
  <r>
    <x v="0"/>
    <x v="274"/>
    <x v="353"/>
    <x v="45"/>
    <x v="178"/>
    <x v="433"/>
    <x v="291"/>
    <x v="1601"/>
    <x v="23"/>
    <x v="529"/>
    <x v="46"/>
    <x v="633"/>
    <x v="1669"/>
    <x v="1666"/>
    <x v="1609"/>
    <x v="4"/>
    <x v="1658"/>
    <x v="1669"/>
    <x v="713"/>
    <x v="0"/>
    <x v="0"/>
    <x v="4"/>
    <x v="116"/>
    <x v="20"/>
    <x v="36"/>
    <x v="9"/>
    <x v="1"/>
    <x v="308"/>
  </r>
  <r>
    <x v="0"/>
    <x v="724"/>
    <x v="413"/>
    <x v="72"/>
    <x v="292"/>
    <x v="110"/>
    <x v="41"/>
    <x v="1602"/>
    <x v="511"/>
    <x v="111"/>
    <x v="1098"/>
    <x v="135"/>
    <x v="1670"/>
    <x v="1667"/>
    <x v="1610"/>
    <x v="1"/>
    <x v="1659"/>
    <x v="1670"/>
    <x v="654"/>
    <x v="0"/>
    <x v="0"/>
    <x v="4"/>
    <x v="131"/>
    <x v="25"/>
    <x v="284"/>
    <x v="43"/>
    <x v="3"/>
    <x v="309"/>
  </r>
  <r>
    <x v="0"/>
    <x v="725"/>
    <x v="198"/>
    <x v="77"/>
    <x v="31"/>
    <x v="615"/>
    <x v="32"/>
    <x v="1603"/>
    <x v="512"/>
    <x v="59"/>
    <x v="1099"/>
    <x v="1034"/>
    <x v="1671"/>
    <x v="1668"/>
    <x v="1611"/>
    <x v="1"/>
    <x v="1660"/>
    <x v="1671"/>
    <x v="708"/>
    <x v="0"/>
    <x v="0"/>
    <x v="0"/>
    <x v="116"/>
    <x v="19"/>
    <x v="61"/>
    <x v="28"/>
    <x v="1"/>
    <x v="1"/>
  </r>
  <r>
    <x v="0"/>
    <x v="103"/>
    <x v="66"/>
    <x v="52"/>
    <x v="81"/>
    <x v="10"/>
    <x v="10"/>
    <x v="1604"/>
    <x v="105"/>
    <x v="40"/>
    <x v="85"/>
    <x v="740"/>
    <x v="1672"/>
    <x v="1669"/>
    <x v="1612"/>
    <x v="0"/>
    <x v="1661"/>
    <x v="1672"/>
    <x v="699"/>
    <x v="0"/>
    <x v="0"/>
    <x v="4"/>
    <x v="116"/>
    <x v="5"/>
    <x v="6"/>
    <x v="10"/>
    <x v="3"/>
    <x v="4"/>
  </r>
  <r>
    <x v="0"/>
    <x v="359"/>
    <x v="287"/>
    <x v="26"/>
    <x v="59"/>
    <x v="627"/>
    <x v="21"/>
    <x v="1605"/>
    <x v="171"/>
    <x v="210"/>
    <x v="526"/>
    <x v="1066"/>
    <x v="1673"/>
    <x v="1670"/>
    <x v="1613"/>
    <x v="1"/>
    <x v="1662"/>
    <x v="1673"/>
    <x v="742"/>
    <x v="0"/>
    <x v="0"/>
    <x v="4"/>
    <x v="116"/>
    <x v="1"/>
    <x v="222"/>
    <x v="18"/>
    <x v="1"/>
    <x v="1"/>
  </r>
  <r>
    <x v="0"/>
    <x v="726"/>
    <x v="297"/>
    <x v="51"/>
    <x v="223"/>
    <x v="517"/>
    <x v="14"/>
    <x v="1606"/>
    <x v="270"/>
    <x v="119"/>
    <x v="99"/>
    <x v="779"/>
    <x v="1674"/>
    <x v="1671"/>
    <x v="1614"/>
    <x v="2"/>
    <x v="1663"/>
    <x v="1674"/>
    <x v="178"/>
    <x v="0"/>
    <x v="0"/>
    <x v="4"/>
    <x v="82"/>
    <x v="12"/>
    <x v="71"/>
    <x v="11"/>
    <x v="1"/>
    <x v="1"/>
  </r>
  <r>
    <x v="0"/>
    <x v="456"/>
    <x v="336"/>
    <x v="42"/>
    <x v="186"/>
    <x v="693"/>
    <x v="57"/>
    <x v="1607"/>
    <x v="408"/>
    <x v="99"/>
    <x v="1100"/>
    <x v="1291"/>
    <x v="1675"/>
    <x v="1672"/>
    <x v="1615"/>
    <x v="7"/>
    <x v="1664"/>
    <x v="1675"/>
    <x v="137"/>
    <x v="0"/>
    <x v="0"/>
    <x v="0"/>
    <x v="88"/>
    <x v="14"/>
    <x v="12"/>
    <x v="34"/>
    <x v="3"/>
    <x v="310"/>
  </r>
  <r>
    <x v="0"/>
    <x v="727"/>
    <x v="477"/>
    <x v="27"/>
    <x v="124"/>
    <x v="363"/>
    <x v="325"/>
    <x v="1608"/>
    <x v="55"/>
    <x v="675"/>
    <x v="1101"/>
    <x v="1292"/>
    <x v="1676"/>
    <x v="1673"/>
    <x v="1616"/>
    <x v="0"/>
    <x v="1665"/>
    <x v="1676"/>
    <x v="783"/>
    <x v="0"/>
    <x v="4"/>
    <x v="4"/>
    <x v="140"/>
    <x v="0"/>
    <x v="594"/>
    <x v="27"/>
    <x v="3"/>
    <x v="85"/>
  </r>
  <r>
    <x v="0"/>
    <x v="728"/>
    <x v="225"/>
    <x v="47"/>
    <x v="193"/>
    <x v="109"/>
    <x v="0"/>
    <x v="1609"/>
    <x v="329"/>
    <x v="307"/>
    <x v="424"/>
    <x v="1293"/>
    <x v="1677"/>
    <x v="1674"/>
    <x v="1617"/>
    <x v="1"/>
    <x v="1666"/>
    <x v="1677"/>
    <x v="286"/>
    <x v="0"/>
    <x v="0"/>
    <x v="2"/>
    <x v="82"/>
    <x v="43"/>
    <x v="285"/>
    <x v="51"/>
    <x v="3"/>
    <x v="1"/>
  </r>
  <r>
    <x v="0"/>
    <x v="729"/>
    <x v="166"/>
    <x v="29"/>
    <x v="293"/>
    <x v="694"/>
    <x v="0"/>
    <x v="1610"/>
    <x v="168"/>
    <x v="398"/>
    <x v="749"/>
    <x v="1294"/>
    <x v="1678"/>
    <x v="1675"/>
    <x v="1618"/>
    <x v="0"/>
    <x v="1667"/>
    <x v="1678"/>
    <x v="320"/>
    <x v="0"/>
    <x v="0"/>
    <x v="4"/>
    <x v="116"/>
    <x v="8"/>
    <x v="449"/>
    <x v="10"/>
    <x v="3"/>
    <x v="1"/>
  </r>
  <r>
    <x v="0"/>
    <x v="730"/>
    <x v="321"/>
    <x v="41"/>
    <x v="216"/>
    <x v="120"/>
    <x v="256"/>
    <x v="1611"/>
    <x v="513"/>
    <x v="676"/>
    <x v="271"/>
    <x v="804"/>
    <x v="1679"/>
    <x v="1676"/>
    <x v="1395"/>
    <x v="0"/>
    <x v="1668"/>
    <x v="1679"/>
    <x v="742"/>
    <x v="0"/>
    <x v="0"/>
    <x v="0"/>
    <x v="116"/>
    <x v="12"/>
    <x v="183"/>
    <x v="37"/>
    <x v="1"/>
    <x v="1"/>
  </r>
  <r>
    <x v="0"/>
    <x v="340"/>
    <x v="345"/>
    <x v="45"/>
    <x v="0"/>
    <x v="352"/>
    <x v="345"/>
    <x v="1612"/>
    <x v="127"/>
    <x v="619"/>
    <x v="1102"/>
    <x v="1295"/>
    <x v="1680"/>
    <x v="1677"/>
    <x v="1619"/>
    <x v="4"/>
    <x v="1669"/>
    <x v="1680"/>
    <x v="715"/>
    <x v="0"/>
    <x v="0"/>
    <x v="0"/>
    <x v="116"/>
    <x v="17"/>
    <x v="553"/>
    <x v="23"/>
    <x v="3"/>
    <x v="293"/>
  </r>
  <r>
    <x v="0"/>
    <x v="524"/>
    <x v="288"/>
    <x v="37"/>
    <x v="249"/>
    <x v="183"/>
    <x v="371"/>
    <x v="1613"/>
    <x v="260"/>
    <x v="677"/>
    <x v="1103"/>
    <x v="1296"/>
    <x v="1681"/>
    <x v="1678"/>
    <x v="723"/>
    <x v="0"/>
    <x v="1670"/>
    <x v="1681"/>
    <x v="752"/>
    <x v="0"/>
    <x v="0"/>
    <x v="0"/>
    <x v="116"/>
    <x v="14"/>
    <x v="595"/>
    <x v="15"/>
    <x v="1"/>
    <x v="1"/>
  </r>
  <r>
    <x v="0"/>
    <x v="317"/>
    <x v="201"/>
    <x v="11"/>
    <x v="137"/>
    <x v="634"/>
    <x v="78"/>
    <x v="1614"/>
    <x v="476"/>
    <x v="678"/>
    <x v="1104"/>
    <x v="1297"/>
    <x v="1682"/>
    <x v="1679"/>
    <x v="1620"/>
    <x v="1"/>
    <x v="1671"/>
    <x v="1682"/>
    <x v="579"/>
    <x v="0"/>
    <x v="0"/>
    <x v="4"/>
    <x v="116"/>
    <x v="10"/>
    <x v="596"/>
    <x v="21"/>
    <x v="3"/>
    <x v="33"/>
  </r>
  <r>
    <x v="0"/>
    <x v="427"/>
    <x v="279"/>
    <x v="13"/>
    <x v="0"/>
    <x v="0"/>
    <x v="29"/>
    <x v="1615"/>
    <x v="415"/>
    <x v="34"/>
    <x v="1105"/>
    <x v="0"/>
    <x v="1683"/>
    <x v="1680"/>
    <x v="1621"/>
    <x v="0"/>
    <x v="1672"/>
    <x v="1683"/>
    <x v="784"/>
    <x v="0"/>
    <x v="0"/>
    <x v="0"/>
    <x v="116"/>
    <x v="12"/>
    <x v="324"/>
    <x v="10"/>
    <x v="1"/>
    <x v="1"/>
  </r>
  <r>
    <x v="0"/>
    <x v="731"/>
    <x v="69"/>
    <x v="7"/>
    <x v="47"/>
    <x v="148"/>
    <x v="79"/>
    <x v="1616"/>
    <x v="5"/>
    <x v="679"/>
    <x v="1106"/>
    <x v="182"/>
    <x v="1684"/>
    <x v="1681"/>
    <x v="1622"/>
    <x v="3"/>
    <x v="1673"/>
    <x v="1684"/>
    <x v="542"/>
    <x v="0"/>
    <x v="0"/>
    <x v="0"/>
    <x v="116"/>
    <x v="15"/>
    <x v="597"/>
    <x v="54"/>
    <x v="1"/>
    <x v="159"/>
  </r>
  <r>
    <x v="0"/>
    <x v="435"/>
    <x v="219"/>
    <x v="7"/>
    <x v="236"/>
    <x v="273"/>
    <x v="20"/>
    <x v="1617"/>
    <x v="159"/>
    <x v="21"/>
    <x v="1107"/>
    <x v="569"/>
    <x v="1685"/>
    <x v="1682"/>
    <x v="1623"/>
    <x v="0"/>
    <x v="1674"/>
    <x v="1685"/>
    <x v="627"/>
    <x v="0"/>
    <x v="0"/>
    <x v="4"/>
    <x v="116"/>
    <x v="15"/>
    <x v="52"/>
    <x v="34"/>
    <x v="3"/>
    <x v="311"/>
  </r>
  <r>
    <x v="0"/>
    <x v="481"/>
    <x v="335"/>
    <x v="7"/>
    <x v="139"/>
    <x v="345"/>
    <x v="372"/>
    <x v="1618"/>
    <x v="20"/>
    <x v="680"/>
    <x v="1108"/>
    <x v="469"/>
    <x v="1686"/>
    <x v="1683"/>
    <x v="1624"/>
    <x v="0"/>
    <x v="1675"/>
    <x v="1686"/>
    <x v="279"/>
    <x v="0"/>
    <x v="0"/>
    <x v="2"/>
    <x v="91"/>
    <x v="0"/>
    <x v="90"/>
    <x v="59"/>
    <x v="1"/>
    <x v="1"/>
  </r>
  <r>
    <x v="0"/>
    <x v="732"/>
    <x v="34"/>
    <x v="86"/>
    <x v="294"/>
    <x v="143"/>
    <x v="358"/>
    <x v="1619"/>
    <x v="23"/>
    <x v="651"/>
    <x v="1109"/>
    <x v="1298"/>
    <x v="1687"/>
    <x v="1684"/>
    <x v="1625"/>
    <x v="4"/>
    <x v="1676"/>
    <x v="1687"/>
    <x v="150"/>
    <x v="0"/>
    <x v="0"/>
    <x v="4"/>
    <x v="91"/>
    <x v="9"/>
    <x v="598"/>
    <x v="21"/>
    <x v="1"/>
    <x v="4"/>
  </r>
  <r>
    <x v="0"/>
    <x v="733"/>
    <x v="335"/>
    <x v="58"/>
    <x v="85"/>
    <x v="609"/>
    <x v="13"/>
    <x v="1620"/>
    <x v="251"/>
    <x v="158"/>
    <x v="1096"/>
    <x v="1299"/>
    <x v="1688"/>
    <x v="1685"/>
    <x v="1626"/>
    <x v="1"/>
    <x v="1677"/>
    <x v="1688"/>
    <x v="251"/>
    <x v="0"/>
    <x v="0"/>
    <x v="0"/>
    <x v="131"/>
    <x v="14"/>
    <x v="37"/>
    <x v="30"/>
    <x v="1"/>
    <x v="312"/>
  </r>
  <r>
    <x v="0"/>
    <x v="734"/>
    <x v="409"/>
    <x v="59"/>
    <x v="221"/>
    <x v="209"/>
    <x v="373"/>
    <x v="1621"/>
    <x v="127"/>
    <x v="681"/>
    <x v="1110"/>
    <x v="1300"/>
    <x v="1689"/>
    <x v="1686"/>
    <x v="1627"/>
    <x v="0"/>
    <x v="1678"/>
    <x v="1689"/>
    <x v="756"/>
    <x v="0"/>
    <x v="0"/>
    <x v="0"/>
    <x v="154"/>
    <x v="14"/>
    <x v="599"/>
    <x v="9"/>
    <x v="1"/>
    <x v="1"/>
  </r>
  <r>
    <x v="0"/>
    <x v="735"/>
    <x v="379"/>
    <x v="107"/>
    <x v="85"/>
    <x v="695"/>
    <x v="0"/>
    <x v="1622"/>
    <x v="233"/>
    <x v="52"/>
    <x v="1111"/>
    <x v="1301"/>
    <x v="1690"/>
    <x v="1687"/>
    <x v="1628"/>
    <x v="0"/>
    <x v="1679"/>
    <x v="1690"/>
    <x v="785"/>
    <x v="0"/>
    <x v="0"/>
    <x v="2"/>
    <x v="116"/>
    <x v="10"/>
    <x v="180"/>
    <x v="30"/>
    <x v="3"/>
    <x v="1"/>
  </r>
  <r>
    <x v="0"/>
    <x v="644"/>
    <x v="283"/>
    <x v="26"/>
    <x v="277"/>
    <x v="666"/>
    <x v="2"/>
    <x v="1623"/>
    <x v="270"/>
    <x v="130"/>
    <x v="568"/>
    <x v="1302"/>
    <x v="1691"/>
    <x v="1688"/>
    <x v="1629"/>
    <x v="3"/>
    <x v="1680"/>
    <x v="1691"/>
    <x v="270"/>
    <x v="0"/>
    <x v="0"/>
    <x v="0"/>
    <x v="116"/>
    <x v="12"/>
    <x v="367"/>
    <x v="15"/>
    <x v="1"/>
    <x v="1"/>
  </r>
  <r>
    <x v="0"/>
    <x v="255"/>
    <x v="140"/>
    <x v="32"/>
    <x v="0"/>
    <x v="147"/>
    <x v="14"/>
    <x v="1624"/>
    <x v="514"/>
    <x v="490"/>
    <x v="1112"/>
    <x v="179"/>
    <x v="1692"/>
    <x v="1689"/>
    <x v="1630"/>
    <x v="1"/>
    <x v="1681"/>
    <x v="1692"/>
    <x v="191"/>
    <x v="0"/>
    <x v="1"/>
    <x v="0"/>
    <x v="88"/>
    <x v="0"/>
    <x v="600"/>
    <x v="2"/>
    <x v="3"/>
    <x v="64"/>
  </r>
  <r>
    <x v="0"/>
    <x v="736"/>
    <x v="229"/>
    <x v="90"/>
    <x v="69"/>
    <x v="54"/>
    <x v="16"/>
    <x v="1625"/>
    <x v="200"/>
    <x v="17"/>
    <x v="1113"/>
    <x v="1303"/>
    <x v="1693"/>
    <x v="1690"/>
    <x v="5"/>
    <x v="4"/>
    <x v="1682"/>
    <x v="1693"/>
    <x v="499"/>
    <x v="0"/>
    <x v="4"/>
    <x v="4"/>
    <x v="4"/>
    <x v="5"/>
    <x v="389"/>
    <x v="11"/>
    <x v="1"/>
    <x v="1"/>
  </r>
  <r>
    <x v="0"/>
    <x v="113"/>
    <x v="441"/>
    <x v="141"/>
    <x v="88"/>
    <x v="636"/>
    <x v="374"/>
    <x v="4"/>
    <x v="168"/>
    <x v="682"/>
    <x v="1114"/>
    <x v="1304"/>
    <x v="1694"/>
    <x v="1691"/>
    <x v="1631"/>
    <x v="0"/>
    <x v="1683"/>
    <x v="1694"/>
    <x v="786"/>
    <x v="14"/>
    <x v="27"/>
    <x v="1"/>
    <x v="4"/>
    <x v="4"/>
    <x v="255"/>
    <x v="17"/>
    <x v="12"/>
    <x v="1"/>
  </r>
  <r>
    <x v="0"/>
    <x v="493"/>
    <x v="141"/>
    <x v="76"/>
    <x v="169"/>
    <x v="248"/>
    <x v="22"/>
    <x v="1626"/>
    <x v="111"/>
    <x v="77"/>
    <x v="1115"/>
    <x v="792"/>
    <x v="1695"/>
    <x v="1692"/>
    <x v="1632"/>
    <x v="3"/>
    <x v="1684"/>
    <x v="1695"/>
    <x v="581"/>
    <x v="0"/>
    <x v="0"/>
    <x v="4"/>
    <x v="116"/>
    <x v="9"/>
    <x v="294"/>
    <x v="23"/>
    <x v="1"/>
    <x v="1"/>
  </r>
  <r>
    <x v="0"/>
    <x v="505"/>
    <x v="318"/>
    <x v="56"/>
    <x v="195"/>
    <x v="119"/>
    <x v="239"/>
    <x v="1627"/>
    <x v="28"/>
    <x v="683"/>
    <x v="1116"/>
    <x v="1305"/>
    <x v="1696"/>
    <x v="1693"/>
    <x v="1633"/>
    <x v="4"/>
    <x v="1685"/>
    <x v="1696"/>
    <x v="59"/>
    <x v="0"/>
    <x v="0"/>
    <x v="0"/>
    <x v="116"/>
    <x v="18"/>
    <x v="346"/>
    <x v="9"/>
    <x v="1"/>
    <x v="1"/>
  </r>
  <r>
    <x v="0"/>
    <x v="103"/>
    <x v="370"/>
    <x v="40"/>
    <x v="81"/>
    <x v="10"/>
    <x v="11"/>
    <x v="1628"/>
    <x v="156"/>
    <x v="156"/>
    <x v="65"/>
    <x v="907"/>
    <x v="1697"/>
    <x v="1694"/>
    <x v="1634"/>
    <x v="3"/>
    <x v="1686"/>
    <x v="1697"/>
    <x v="787"/>
    <x v="0"/>
    <x v="0"/>
    <x v="4"/>
    <x v="135"/>
    <x v="30"/>
    <x v="6"/>
    <x v="0"/>
    <x v="3"/>
    <x v="1"/>
  </r>
  <r>
    <x v="0"/>
    <x v="737"/>
    <x v="387"/>
    <x v="133"/>
    <x v="0"/>
    <x v="437"/>
    <x v="13"/>
    <x v="1629"/>
    <x v="152"/>
    <x v="158"/>
    <x v="862"/>
    <x v="641"/>
    <x v="1698"/>
    <x v="1695"/>
    <x v="1635"/>
    <x v="8"/>
    <x v="1687"/>
    <x v="1698"/>
    <x v="597"/>
    <x v="0"/>
    <x v="20"/>
    <x v="4"/>
    <x v="116"/>
    <x v="31"/>
    <x v="500"/>
    <x v="26"/>
    <x v="3"/>
    <x v="85"/>
  </r>
  <r>
    <x v="0"/>
    <x v="738"/>
    <x v="259"/>
    <x v="34"/>
    <x v="199"/>
    <x v="396"/>
    <x v="22"/>
    <x v="1630"/>
    <x v="28"/>
    <x v="78"/>
    <x v="1117"/>
    <x v="1306"/>
    <x v="1699"/>
    <x v="1696"/>
    <x v="1636"/>
    <x v="4"/>
    <x v="1688"/>
    <x v="1699"/>
    <x v="405"/>
    <x v="0"/>
    <x v="0"/>
    <x v="4"/>
    <x v="116"/>
    <x v="9"/>
    <x v="601"/>
    <x v="12"/>
    <x v="1"/>
    <x v="1"/>
  </r>
  <r>
    <x v="0"/>
    <x v="739"/>
    <x v="338"/>
    <x v="22"/>
    <x v="217"/>
    <x v="558"/>
    <x v="21"/>
    <x v="1631"/>
    <x v="17"/>
    <x v="210"/>
    <x v="160"/>
    <x v="885"/>
    <x v="1700"/>
    <x v="1697"/>
    <x v="1637"/>
    <x v="3"/>
    <x v="1689"/>
    <x v="1700"/>
    <x v="290"/>
    <x v="0"/>
    <x v="0"/>
    <x v="4"/>
    <x v="135"/>
    <x v="14"/>
    <x v="106"/>
    <x v="1"/>
    <x v="1"/>
    <x v="1"/>
  </r>
  <r>
    <x v="0"/>
    <x v="435"/>
    <x v="353"/>
    <x v="56"/>
    <x v="236"/>
    <x v="414"/>
    <x v="35"/>
    <x v="1632"/>
    <x v="400"/>
    <x v="684"/>
    <x v="1118"/>
    <x v="601"/>
    <x v="1701"/>
    <x v="1698"/>
    <x v="887"/>
    <x v="0"/>
    <x v="1690"/>
    <x v="1701"/>
    <x v="575"/>
    <x v="0"/>
    <x v="10"/>
    <x v="4"/>
    <x v="131"/>
    <x v="19"/>
    <x v="602"/>
    <x v="4"/>
    <x v="3"/>
    <x v="313"/>
  </r>
  <r>
    <x v="0"/>
    <x v="740"/>
    <x v="438"/>
    <x v="110"/>
    <x v="134"/>
    <x v="99"/>
    <x v="30"/>
    <x v="1633"/>
    <x v="515"/>
    <x v="50"/>
    <x v="91"/>
    <x v="1307"/>
    <x v="1702"/>
    <x v="1699"/>
    <x v="1638"/>
    <x v="1"/>
    <x v="1691"/>
    <x v="1702"/>
    <x v="785"/>
    <x v="0"/>
    <x v="0"/>
    <x v="0"/>
    <x v="4"/>
    <x v="12"/>
    <x v="12"/>
    <x v="61"/>
    <x v="3"/>
    <x v="223"/>
  </r>
  <r>
    <x v="0"/>
    <x v="693"/>
    <x v="310"/>
    <x v="76"/>
    <x v="225"/>
    <x v="250"/>
    <x v="375"/>
    <x v="1634"/>
    <x v="425"/>
    <x v="685"/>
    <x v="1119"/>
    <x v="1308"/>
    <x v="1703"/>
    <x v="1700"/>
    <x v="1639"/>
    <x v="1"/>
    <x v="1692"/>
    <x v="1703"/>
    <x v="593"/>
    <x v="0"/>
    <x v="1"/>
    <x v="2"/>
    <x v="116"/>
    <x v="7"/>
    <x v="208"/>
    <x v="15"/>
    <x v="1"/>
    <x v="1"/>
  </r>
  <r>
    <x v="0"/>
    <x v="741"/>
    <x v="362"/>
    <x v="33"/>
    <x v="176"/>
    <x v="203"/>
    <x v="371"/>
    <x v="1635"/>
    <x v="451"/>
    <x v="686"/>
    <x v="1120"/>
    <x v="1309"/>
    <x v="1704"/>
    <x v="1701"/>
    <x v="1094"/>
    <x v="0"/>
    <x v="1693"/>
    <x v="1704"/>
    <x v="320"/>
    <x v="4"/>
    <x v="9"/>
    <x v="0"/>
    <x v="81"/>
    <x v="12"/>
    <x v="603"/>
    <x v="23"/>
    <x v="1"/>
    <x v="234"/>
  </r>
  <r>
    <x v="0"/>
    <x v="742"/>
    <x v="382"/>
    <x v="101"/>
    <x v="80"/>
    <x v="13"/>
    <x v="327"/>
    <x v="1636"/>
    <x v="9"/>
    <x v="687"/>
    <x v="1121"/>
    <x v="1310"/>
    <x v="1705"/>
    <x v="1702"/>
    <x v="1640"/>
    <x v="2"/>
    <x v="1694"/>
    <x v="1705"/>
    <x v="454"/>
    <x v="0"/>
    <x v="0"/>
    <x v="0"/>
    <x v="175"/>
    <x v="7"/>
    <x v="15"/>
    <x v="30"/>
    <x v="1"/>
    <x v="1"/>
  </r>
  <r>
    <x v="0"/>
    <x v="743"/>
    <x v="446"/>
    <x v="130"/>
    <x v="214"/>
    <x v="268"/>
    <x v="2"/>
    <x v="1637"/>
    <x v="516"/>
    <x v="75"/>
    <x v="114"/>
    <x v="347"/>
    <x v="1706"/>
    <x v="1703"/>
    <x v="1641"/>
    <x v="0"/>
    <x v="1695"/>
    <x v="1706"/>
    <x v="359"/>
    <x v="0"/>
    <x v="0"/>
    <x v="4"/>
    <x v="116"/>
    <x v="1"/>
    <x v="10"/>
    <x v="7"/>
    <x v="1"/>
    <x v="1"/>
  </r>
  <r>
    <x v="0"/>
    <x v="744"/>
    <x v="315"/>
    <x v="61"/>
    <x v="0"/>
    <x v="696"/>
    <x v="27"/>
    <x v="1638"/>
    <x v="77"/>
    <x v="28"/>
    <x v="682"/>
    <x v="1311"/>
    <x v="1707"/>
    <x v="1704"/>
    <x v="1642"/>
    <x v="0"/>
    <x v="1696"/>
    <x v="1707"/>
    <x v="788"/>
    <x v="4"/>
    <x v="9"/>
    <x v="4"/>
    <x v="135"/>
    <x v="10"/>
    <x v="200"/>
    <x v="19"/>
    <x v="1"/>
    <x v="1"/>
  </r>
  <r>
    <x v="0"/>
    <x v="745"/>
    <x v="392"/>
    <x v="43"/>
    <x v="216"/>
    <x v="237"/>
    <x v="376"/>
    <x v="4"/>
    <x v="238"/>
    <x v="688"/>
    <x v="1122"/>
    <x v="1312"/>
    <x v="1708"/>
    <x v="1705"/>
    <x v="1643"/>
    <x v="6"/>
    <x v="1697"/>
    <x v="1708"/>
    <x v="789"/>
    <x v="3"/>
    <x v="10"/>
    <x v="1"/>
    <x v="4"/>
    <x v="0"/>
    <x v="141"/>
    <x v="13"/>
    <x v="3"/>
    <x v="1"/>
  </r>
  <r>
    <x v="0"/>
    <x v="172"/>
    <x v="335"/>
    <x v="80"/>
    <x v="124"/>
    <x v="697"/>
    <x v="8"/>
    <x v="4"/>
    <x v="28"/>
    <x v="35"/>
    <x v="302"/>
    <x v="1313"/>
    <x v="1709"/>
    <x v="1706"/>
    <x v="1644"/>
    <x v="0"/>
    <x v="1698"/>
    <x v="1709"/>
    <x v="340"/>
    <x v="0"/>
    <x v="0"/>
    <x v="4"/>
    <x v="116"/>
    <x v="2"/>
    <x v="204"/>
    <x v="23"/>
    <x v="1"/>
    <x v="1"/>
  </r>
  <r>
    <x v="0"/>
    <x v="12"/>
    <x v="295"/>
    <x v="74"/>
    <x v="7"/>
    <x v="698"/>
    <x v="11"/>
    <x v="1639"/>
    <x v="517"/>
    <x v="69"/>
    <x v="1123"/>
    <x v="1314"/>
    <x v="1710"/>
    <x v="1707"/>
    <x v="1645"/>
    <x v="1"/>
    <x v="1699"/>
    <x v="1710"/>
    <x v="390"/>
    <x v="0"/>
    <x v="0"/>
    <x v="4"/>
    <x v="116"/>
    <x v="10"/>
    <x v="30"/>
    <x v="2"/>
    <x v="1"/>
    <x v="90"/>
  </r>
  <r>
    <x v="0"/>
    <x v="746"/>
    <x v="413"/>
    <x v="41"/>
    <x v="143"/>
    <x v="446"/>
    <x v="0"/>
    <x v="4"/>
    <x v="233"/>
    <x v="51"/>
    <x v="1034"/>
    <x v="650"/>
    <x v="1711"/>
    <x v="1708"/>
    <x v="1646"/>
    <x v="0"/>
    <x v="1700"/>
    <x v="1711"/>
    <x v="704"/>
    <x v="15"/>
    <x v="8"/>
    <x v="2"/>
    <x v="4"/>
    <x v="5"/>
    <x v="103"/>
    <x v="41"/>
    <x v="6"/>
    <x v="157"/>
  </r>
  <r>
    <x v="0"/>
    <x v="649"/>
    <x v="303"/>
    <x v="34"/>
    <x v="111"/>
    <x v="660"/>
    <x v="240"/>
    <x v="4"/>
    <x v="406"/>
    <x v="623"/>
    <x v="1124"/>
    <x v="1315"/>
    <x v="1712"/>
    <x v="1709"/>
    <x v="4"/>
    <x v="1"/>
    <x v="1701"/>
    <x v="1712"/>
    <x v="790"/>
    <x v="0"/>
    <x v="8"/>
    <x v="4"/>
    <x v="116"/>
    <x v="1"/>
    <x v="604"/>
    <x v="1"/>
    <x v="1"/>
    <x v="1"/>
  </r>
  <r>
    <x v="0"/>
    <x v="747"/>
    <x v="478"/>
    <x v="47"/>
    <x v="174"/>
    <x v="179"/>
    <x v="263"/>
    <x v="4"/>
    <x v="184"/>
    <x v="478"/>
    <x v="22"/>
    <x v="1316"/>
    <x v="1713"/>
    <x v="1710"/>
    <x v="678"/>
    <x v="2"/>
    <x v="1702"/>
    <x v="1713"/>
    <x v="636"/>
    <x v="0"/>
    <x v="10"/>
    <x v="9"/>
    <x v="151"/>
    <x v="11"/>
    <x v="19"/>
    <x v="62"/>
    <x v="1"/>
    <x v="1"/>
  </r>
  <r>
    <x v="0"/>
    <x v="748"/>
    <x v="125"/>
    <x v="33"/>
    <x v="226"/>
    <x v="397"/>
    <x v="168"/>
    <x v="4"/>
    <x v="425"/>
    <x v="689"/>
    <x v="273"/>
    <x v="923"/>
    <x v="1714"/>
    <x v="1711"/>
    <x v="1647"/>
    <x v="3"/>
    <x v="1703"/>
    <x v="1714"/>
    <x v="496"/>
    <x v="0"/>
    <x v="28"/>
    <x v="1"/>
    <x v="116"/>
    <x v="11"/>
    <x v="185"/>
    <x v="20"/>
    <x v="1"/>
    <x v="71"/>
  </r>
  <r>
    <x v="0"/>
    <x v="749"/>
    <x v="451"/>
    <x v="79"/>
    <x v="0"/>
    <x v="502"/>
    <x v="377"/>
    <x v="4"/>
    <x v="518"/>
    <x v="690"/>
    <x v="937"/>
    <x v="1317"/>
    <x v="1715"/>
    <x v="1712"/>
    <x v="1648"/>
    <x v="1"/>
    <x v="1704"/>
    <x v="1715"/>
    <x v="791"/>
    <x v="9"/>
    <x v="21"/>
    <x v="1"/>
    <x v="116"/>
    <x v="2"/>
    <x v="213"/>
    <x v="54"/>
    <x v="2"/>
    <x v="227"/>
  </r>
  <r>
    <x v="0"/>
    <x v="750"/>
    <x v="392"/>
    <x v="47"/>
    <x v="68"/>
    <x v="670"/>
    <x v="0"/>
    <x v="4"/>
    <x v="171"/>
    <x v="167"/>
    <x v="176"/>
    <x v="1318"/>
    <x v="1716"/>
    <x v="1713"/>
    <x v="1649"/>
    <x v="0"/>
    <x v="1705"/>
    <x v="1716"/>
    <x v="586"/>
    <x v="0"/>
    <x v="20"/>
    <x v="4"/>
    <x v="116"/>
    <x v="19"/>
    <x v="120"/>
    <x v="10"/>
    <x v="3"/>
    <x v="314"/>
  </r>
  <r>
    <x v="0"/>
    <x v="751"/>
    <x v="409"/>
    <x v="71"/>
    <x v="78"/>
    <x v="584"/>
    <x v="2"/>
    <x v="4"/>
    <x v="519"/>
    <x v="182"/>
    <x v="62"/>
    <x v="944"/>
    <x v="1717"/>
    <x v="1714"/>
    <x v="1650"/>
    <x v="0"/>
    <x v="1706"/>
    <x v="1717"/>
    <x v="792"/>
    <x v="0"/>
    <x v="0"/>
    <x v="4"/>
    <x v="166"/>
    <x v="6"/>
    <x v="9"/>
    <x v="7"/>
    <x v="3"/>
    <x v="38"/>
  </r>
  <r>
    <x v="0"/>
    <x v="752"/>
    <x v="248"/>
    <x v="69"/>
    <x v="0"/>
    <x v="427"/>
    <x v="14"/>
    <x v="1640"/>
    <x v="430"/>
    <x v="219"/>
    <x v="1125"/>
    <x v="1319"/>
    <x v="1718"/>
    <x v="1715"/>
    <x v="1651"/>
    <x v="8"/>
    <x v="1707"/>
    <x v="1718"/>
    <x v="647"/>
    <x v="0"/>
    <x v="0"/>
    <x v="0"/>
    <x v="163"/>
    <x v="2"/>
    <x v="30"/>
    <x v="12"/>
    <x v="3"/>
    <x v="13"/>
  </r>
  <r>
    <x v="0"/>
    <x v="141"/>
    <x v="139"/>
    <x v="9"/>
    <x v="105"/>
    <x v="150"/>
    <x v="378"/>
    <x v="1641"/>
    <x v="520"/>
    <x v="691"/>
    <x v="1126"/>
    <x v="1320"/>
    <x v="1719"/>
    <x v="1716"/>
    <x v="1652"/>
    <x v="0"/>
    <x v="1708"/>
    <x v="1719"/>
    <x v="313"/>
    <x v="0"/>
    <x v="0"/>
    <x v="0"/>
    <x v="168"/>
    <x v="12"/>
    <x v="296"/>
    <x v="0"/>
    <x v="6"/>
    <x v="59"/>
  </r>
  <r>
    <x v="0"/>
    <x v="113"/>
    <x v="457"/>
    <x v="142"/>
    <x v="88"/>
    <x v="227"/>
    <x v="379"/>
    <x v="4"/>
    <x v="521"/>
    <x v="692"/>
    <x v="1127"/>
    <x v="1321"/>
    <x v="1720"/>
    <x v="1717"/>
    <x v="1653"/>
    <x v="0"/>
    <x v="1709"/>
    <x v="1720"/>
    <x v="388"/>
    <x v="0"/>
    <x v="0"/>
    <x v="5"/>
    <x v="4"/>
    <x v="4"/>
    <x v="454"/>
    <x v="32"/>
    <x v="12"/>
    <x v="85"/>
  </r>
  <r>
    <x v="0"/>
    <x v="753"/>
    <x v="263"/>
    <x v="57"/>
    <x v="0"/>
    <x v="418"/>
    <x v="380"/>
    <x v="1642"/>
    <x v="105"/>
    <x v="693"/>
    <x v="1128"/>
    <x v="609"/>
    <x v="1721"/>
    <x v="1718"/>
    <x v="1654"/>
    <x v="3"/>
    <x v="1710"/>
    <x v="1721"/>
    <x v="545"/>
    <x v="0"/>
    <x v="0"/>
    <x v="0"/>
    <x v="116"/>
    <x v="21"/>
    <x v="230"/>
    <x v="21"/>
    <x v="3"/>
    <x v="1"/>
  </r>
  <r>
    <x v="0"/>
    <x v="441"/>
    <x v="372"/>
    <x v="71"/>
    <x v="69"/>
    <x v="699"/>
    <x v="0"/>
    <x v="1643"/>
    <x v="56"/>
    <x v="51"/>
    <x v="1129"/>
    <x v="1322"/>
    <x v="1722"/>
    <x v="1719"/>
    <x v="1137"/>
    <x v="0"/>
    <x v="1711"/>
    <x v="1722"/>
    <x v="592"/>
    <x v="0"/>
    <x v="1"/>
    <x v="2"/>
    <x v="163"/>
    <x v="13"/>
    <x v="605"/>
    <x v="27"/>
    <x v="3"/>
    <x v="1"/>
  </r>
  <r>
    <x v="0"/>
    <x v="84"/>
    <x v="1"/>
    <x v="40"/>
    <x v="67"/>
    <x v="1"/>
    <x v="35"/>
    <x v="1644"/>
    <x v="270"/>
    <x v="112"/>
    <x v="449"/>
    <x v="94"/>
    <x v="1723"/>
    <x v="1720"/>
    <x v="312"/>
    <x v="1"/>
    <x v="1712"/>
    <x v="1723"/>
    <x v="187"/>
    <x v="0"/>
    <x v="0"/>
    <x v="4"/>
    <x v="82"/>
    <x v="8"/>
    <x v="30"/>
    <x v="16"/>
    <x v="1"/>
    <x v="1"/>
  </r>
  <r>
    <x v="0"/>
    <x v="299"/>
    <x v="198"/>
    <x v="18"/>
    <x v="0"/>
    <x v="700"/>
    <x v="381"/>
    <x v="4"/>
    <x v="522"/>
    <x v="694"/>
    <x v="1130"/>
    <x v="1323"/>
    <x v="1724"/>
    <x v="1721"/>
    <x v="1655"/>
    <x v="0"/>
    <x v="1713"/>
    <x v="1724"/>
    <x v="355"/>
    <x v="0"/>
    <x v="0"/>
    <x v="4"/>
    <x v="163"/>
    <x v="19"/>
    <x v="338"/>
    <x v="1"/>
    <x v="1"/>
    <x v="67"/>
  </r>
  <r>
    <x v="0"/>
    <x v="529"/>
    <x v="272"/>
    <x v="77"/>
    <x v="233"/>
    <x v="513"/>
    <x v="35"/>
    <x v="1645"/>
    <x v="127"/>
    <x v="499"/>
    <x v="1131"/>
    <x v="1004"/>
    <x v="1725"/>
    <x v="1722"/>
    <x v="1656"/>
    <x v="4"/>
    <x v="1714"/>
    <x v="1725"/>
    <x v="420"/>
    <x v="0"/>
    <x v="8"/>
    <x v="0"/>
    <x v="163"/>
    <x v="19"/>
    <x v="57"/>
    <x v="43"/>
    <x v="3"/>
    <x v="315"/>
  </r>
  <r>
    <x v="0"/>
    <x v="754"/>
    <x v="166"/>
    <x v="77"/>
    <x v="295"/>
    <x v="161"/>
    <x v="13"/>
    <x v="1646"/>
    <x v="125"/>
    <x v="13"/>
    <x v="31"/>
    <x v="659"/>
    <x v="1726"/>
    <x v="1723"/>
    <x v="1657"/>
    <x v="1"/>
    <x v="1715"/>
    <x v="1726"/>
    <x v="793"/>
    <x v="0"/>
    <x v="0"/>
    <x v="4"/>
    <x v="163"/>
    <x v="6"/>
    <x v="25"/>
    <x v="43"/>
    <x v="3"/>
    <x v="1"/>
  </r>
  <r>
    <x v="0"/>
    <x v="755"/>
    <x v="479"/>
    <x v="21"/>
    <x v="0"/>
    <x v="369"/>
    <x v="11"/>
    <x v="1647"/>
    <x v="406"/>
    <x v="156"/>
    <x v="472"/>
    <x v="1324"/>
    <x v="1727"/>
    <x v="1724"/>
    <x v="1658"/>
    <x v="0"/>
    <x v="1716"/>
    <x v="1727"/>
    <x v="794"/>
    <x v="0"/>
    <x v="1"/>
    <x v="2"/>
    <x v="163"/>
    <x v="42"/>
    <x v="267"/>
    <x v="7"/>
    <x v="1"/>
    <x v="1"/>
  </r>
  <r>
    <x v="1"/>
    <x v="321"/>
    <x v="409"/>
    <x v="52"/>
    <x v="200"/>
    <x v="332"/>
    <x v="2"/>
    <x v="1648"/>
    <x v="200"/>
    <x v="336"/>
    <x v="734"/>
    <x v="446"/>
    <x v="1728"/>
    <x v="1725"/>
    <x v="1659"/>
    <x v="2"/>
    <x v="1717"/>
    <x v="1728"/>
    <x v="400"/>
    <x v="0"/>
    <x v="0"/>
    <x v="4"/>
    <x v="168"/>
    <x v="15"/>
    <x v="30"/>
    <x v="8"/>
    <x v="1"/>
    <x v="316"/>
  </r>
  <r>
    <x v="0"/>
    <x v="756"/>
    <x v="263"/>
    <x v="76"/>
    <x v="172"/>
    <x v="645"/>
    <x v="0"/>
    <x v="1649"/>
    <x v="499"/>
    <x v="251"/>
    <x v="266"/>
    <x v="1325"/>
    <x v="1729"/>
    <x v="1726"/>
    <x v="1660"/>
    <x v="0"/>
    <x v="1718"/>
    <x v="1729"/>
    <x v="178"/>
    <x v="0"/>
    <x v="29"/>
    <x v="4"/>
    <x v="176"/>
    <x v="14"/>
    <x v="180"/>
    <x v="41"/>
    <x v="3"/>
    <x v="1"/>
  </r>
  <r>
    <x v="0"/>
    <x v="757"/>
    <x v="331"/>
    <x v="50"/>
    <x v="31"/>
    <x v="213"/>
    <x v="0"/>
    <x v="1650"/>
    <x v="178"/>
    <x v="543"/>
    <x v="1132"/>
    <x v="1326"/>
    <x v="1730"/>
    <x v="1727"/>
    <x v="1661"/>
    <x v="0"/>
    <x v="1719"/>
    <x v="1730"/>
    <x v="294"/>
    <x v="0"/>
    <x v="0"/>
    <x v="4"/>
    <x v="163"/>
    <x v="12"/>
    <x v="606"/>
    <x v="1"/>
    <x v="1"/>
    <x v="1"/>
  </r>
  <r>
    <x v="0"/>
    <x v="161"/>
    <x v="310"/>
    <x v="78"/>
    <x v="117"/>
    <x v="559"/>
    <x v="49"/>
    <x v="1651"/>
    <x v="7"/>
    <x v="86"/>
    <x v="595"/>
    <x v="1327"/>
    <x v="1731"/>
    <x v="1728"/>
    <x v="1662"/>
    <x v="0"/>
    <x v="1720"/>
    <x v="1731"/>
    <x v="412"/>
    <x v="0"/>
    <x v="0"/>
    <x v="3"/>
    <x v="168"/>
    <x v="29"/>
    <x v="12"/>
    <x v="25"/>
    <x v="8"/>
    <x v="1"/>
  </r>
  <r>
    <x v="0"/>
    <x v="273"/>
    <x v="165"/>
    <x v="143"/>
    <x v="70"/>
    <x v="498"/>
    <x v="382"/>
    <x v="1652"/>
    <x v="523"/>
    <x v="695"/>
    <x v="1133"/>
    <x v="1328"/>
    <x v="1732"/>
    <x v="1729"/>
    <x v="1663"/>
    <x v="0"/>
    <x v="1721"/>
    <x v="1732"/>
    <x v="569"/>
    <x v="0"/>
    <x v="0"/>
    <x v="4"/>
    <x v="168"/>
    <x v="2"/>
    <x v="267"/>
    <x v="0"/>
    <x v="1"/>
    <x v="317"/>
  </r>
  <r>
    <x v="0"/>
    <x v="38"/>
    <x v="263"/>
    <x v="34"/>
    <x v="25"/>
    <x v="544"/>
    <x v="2"/>
    <x v="1653"/>
    <x v="9"/>
    <x v="42"/>
    <x v="1134"/>
    <x v="1258"/>
    <x v="1733"/>
    <x v="1730"/>
    <x v="1664"/>
    <x v="4"/>
    <x v="1722"/>
    <x v="1733"/>
    <x v="279"/>
    <x v="0"/>
    <x v="0"/>
    <x v="2"/>
    <x v="168"/>
    <x v="31"/>
    <x v="607"/>
    <x v="32"/>
    <x v="1"/>
    <x v="1"/>
  </r>
  <r>
    <x v="0"/>
    <x v="758"/>
    <x v="399"/>
    <x v="105"/>
    <x v="78"/>
    <x v="525"/>
    <x v="358"/>
    <x v="1654"/>
    <x v="524"/>
    <x v="647"/>
    <x v="1135"/>
    <x v="1329"/>
    <x v="1734"/>
    <x v="1731"/>
    <x v="1389"/>
    <x v="0"/>
    <x v="1723"/>
    <x v="1734"/>
    <x v="450"/>
    <x v="0"/>
    <x v="0"/>
    <x v="3"/>
    <x v="151"/>
    <x v="20"/>
    <x v="238"/>
    <x v="18"/>
    <x v="3"/>
    <x v="318"/>
  </r>
  <r>
    <x v="0"/>
    <x v="98"/>
    <x v="395"/>
    <x v="27"/>
    <x v="76"/>
    <x v="509"/>
    <x v="2"/>
    <x v="1655"/>
    <x v="168"/>
    <x v="130"/>
    <x v="709"/>
    <x v="765"/>
    <x v="1735"/>
    <x v="1732"/>
    <x v="1665"/>
    <x v="0"/>
    <x v="1724"/>
    <x v="1735"/>
    <x v="664"/>
    <x v="0"/>
    <x v="0"/>
    <x v="4"/>
    <x v="81"/>
    <x v="18"/>
    <x v="12"/>
    <x v="22"/>
    <x v="1"/>
    <x v="1"/>
  </r>
  <r>
    <x v="0"/>
    <x v="491"/>
    <x v="314"/>
    <x v="47"/>
    <x v="253"/>
    <x v="666"/>
    <x v="2"/>
    <x v="4"/>
    <x v="525"/>
    <x v="209"/>
    <x v="1136"/>
    <x v="1330"/>
    <x v="1736"/>
    <x v="1733"/>
    <x v="1666"/>
    <x v="3"/>
    <x v="1725"/>
    <x v="1736"/>
    <x v="646"/>
    <x v="0"/>
    <x v="1"/>
    <x v="0"/>
    <x v="163"/>
    <x v="6"/>
    <x v="209"/>
    <x v="1"/>
    <x v="1"/>
    <x v="1"/>
  </r>
  <r>
    <x v="0"/>
    <x v="423"/>
    <x v="305"/>
    <x v="58"/>
    <x v="0"/>
    <x v="326"/>
    <x v="1"/>
    <x v="1656"/>
    <x v="23"/>
    <x v="1"/>
    <x v="62"/>
    <x v="1331"/>
    <x v="1737"/>
    <x v="1734"/>
    <x v="1667"/>
    <x v="1"/>
    <x v="1726"/>
    <x v="1737"/>
    <x v="543"/>
    <x v="0"/>
    <x v="0"/>
    <x v="4"/>
    <x v="163"/>
    <x v="17"/>
    <x v="9"/>
    <x v="21"/>
    <x v="0"/>
    <x v="1"/>
  </r>
  <r>
    <x v="0"/>
    <x v="131"/>
    <x v="167"/>
    <x v="22"/>
    <x v="97"/>
    <x v="347"/>
    <x v="9"/>
    <x v="1657"/>
    <x v="3"/>
    <x v="9"/>
    <x v="259"/>
    <x v="1332"/>
    <x v="1738"/>
    <x v="1735"/>
    <x v="1668"/>
    <x v="0"/>
    <x v="1727"/>
    <x v="1738"/>
    <x v="795"/>
    <x v="0"/>
    <x v="0"/>
    <x v="4"/>
    <x v="168"/>
    <x v="32"/>
    <x v="44"/>
    <x v="17"/>
    <x v="1"/>
    <x v="68"/>
  </r>
  <r>
    <x v="0"/>
    <x v="669"/>
    <x v="247"/>
    <x v="59"/>
    <x v="282"/>
    <x v="216"/>
    <x v="75"/>
    <x v="1658"/>
    <x v="125"/>
    <x v="696"/>
    <x v="916"/>
    <x v="274"/>
    <x v="1739"/>
    <x v="1736"/>
    <x v="1669"/>
    <x v="1"/>
    <x v="1728"/>
    <x v="1739"/>
    <x v="796"/>
    <x v="0"/>
    <x v="8"/>
    <x v="4"/>
    <x v="168"/>
    <x v="8"/>
    <x v="521"/>
    <x v="8"/>
    <x v="3"/>
    <x v="1"/>
  </r>
  <r>
    <x v="0"/>
    <x v="167"/>
    <x v="480"/>
    <x v="29"/>
    <x v="120"/>
    <x v="429"/>
    <x v="186"/>
    <x v="1659"/>
    <x v="239"/>
    <x v="350"/>
    <x v="3"/>
    <x v="1333"/>
    <x v="1740"/>
    <x v="1737"/>
    <x v="1670"/>
    <x v="2"/>
    <x v="1729"/>
    <x v="1740"/>
    <x v="278"/>
    <x v="0"/>
    <x v="0"/>
    <x v="4"/>
    <x v="168"/>
    <x v="2"/>
    <x v="3"/>
    <x v="6"/>
    <x v="1"/>
    <x v="319"/>
  </r>
  <r>
    <x v="0"/>
    <x v="106"/>
    <x v="134"/>
    <x v="60"/>
    <x v="0"/>
    <x v="273"/>
    <x v="260"/>
    <x v="1660"/>
    <x v="379"/>
    <x v="473"/>
    <x v="1137"/>
    <x v="1334"/>
    <x v="1741"/>
    <x v="1738"/>
    <x v="1671"/>
    <x v="14"/>
    <x v="1730"/>
    <x v="1741"/>
    <x v="409"/>
    <x v="0"/>
    <x v="0"/>
    <x v="4"/>
    <x v="116"/>
    <x v="0"/>
    <x v="476"/>
    <x v="10"/>
    <x v="3"/>
    <x v="1"/>
  </r>
  <r>
    <x v="0"/>
    <x v="729"/>
    <x v="309"/>
    <x v="24"/>
    <x v="293"/>
    <x v="701"/>
    <x v="383"/>
    <x v="1661"/>
    <x v="312"/>
    <x v="697"/>
    <x v="523"/>
    <x v="1335"/>
    <x v="1742"/>
    <x v="1739"/>
    <x v="1672"/>
    <x v="0"/>
    <x v="1731"/>
    <x v="1742"/>
    <x v="316"/>
    <x v="0"/>
    <x v="0"/>
    <x v="2"/>
    <x v="168"/>
    <x v="14"/>
    <x v="341"/>
    <x v="7"/>
    <x v="14"/>
    <x v="1"/>
  </r>
  <r>
    <x v="0"/>
    <x v="10"/>
    <x v="133"/>
    <x v="47"/>
    <x v="0"/>
    <x v="1"/>
    <x v="22"/>
    <x v="1662"/>
    <x v="355"/>
    <x v="95"/>
    <x v="566"/>
    <x v="223"/>
    <x v="1743"/>
    <x v="1740"/>
    <x v="1673"/>
    <x v="0"/>
    <x v="1732"/>
    <x v="1743"/>
    <x v="797"/>
    <x v="0"/>
    <x v="0"/>
    <x v="4"/>
    <x v="140"/>
    <x v="14"/>
    <x v="12"/>
    <x v="38"/>
    <x v="1"/>
    <x v="115"/>
  </r>
  <r>
    <x v="0"/>
    <x v="239"/>
    <x v="339"/>
    <x v="33"/>
    <x v="160"/>
    <x v="232"/>
    <x v="2"/>
    <x v="1663"/>
    <x v="127"/>
    <x v="72"/>
    <x v="26"/>
    <x v="1336"/>
    <x v="1744"/>
    <x v="1741"/>
    <x v="1674"/>
    <x v="4"/>
    <x v="1733"/>
    <x v="1744"/>
    <x v="453"/>
    <x v="0"/>
    <x v="8"/>
    <x v="0"/>
    <x v="82"/>
    <x v="18"/>
    <x v="12"/>
    <x v="31"/>
    <x v="1"/>
    <x v="1"/>
  </r>
  <r>
    <x v="0"/>
    <x v="759"/>
    <x v="219"/>
    <x v="69"/>
    <x v="122"/>
    <x v="702"/>
    <x v="384"/>
    <x v="4"/>
    <x v="526"/>
    <x v="698"/>
    <x v="1138"/>
    <x v="1337"/>
    <x v="1745"/>
    <x v="1742"/>
    <x v="1675"/>
    <x v="0"/>
    <x v="1734"/>
    <x v="1745"/>
    <x v="510"/>
    <x v="2"/>
    <x v="7"/>
    <x v="9"/>
    <x v="116"/>
    <x v="9"/>
    <x v="608"/>
    <x v="12"/>
    <x v="1"/>
    <x v="1"/>
  </r>
  <r>
    <x v="0"/>
    <x v="470"/>
    <x v="129"/>
    <x v="47"/>
    <x v="0"/>
    <x v="329"/>
    <x v="57"/>
    <x v="1664"/>
    <x v="200"/>
    <x v="192"/>
    <x v="693"/>
    <x v="726"/>
    <x v="1746"/>
    <x v="1743"/>
    <x v="1676"/>
    <x v="1"/>
    <x v="1735"/>
    <x v="1746"/>
    <x v="798"/>
    <x v="0"/>
    <x v="0"/>
    <x v="4"/>
    <x v="175"/>
    <x v="18"/>
    <x v="30"/>
    <x v="32"/>
    <x v="1"/>
    <x v="1"/>
  </r>
  <r>
    <x v="0"/>
    <x v="141"/>
    <x v="243"/>
    <x v="43"/>
    <x v="105"/>
    <x v="518"/>
    <x v="0"/>
    <x v="1665"/>
    <x v="60"/>
    <x v="469"/>
    <x v="1139"/>
    <x v="781"/>
    <x v="1747"/>
    <x v="1744"/>
    <x v="1222"/>
    <x v="0"/>
    <x v="1736"/>
    <x v="1747"/>
    <x v="799"/>
    <x v="0"/>
    <x v="0"/>
    <x v="4"/>
    <x v="116"/>
    <x v="17"/>
    <x v="261"/>
    <x v="11"/>
    <x v="1"/>
    <x v="59"/>
  </r>
  <r>
    <x v="0"/>
    <x v="71"/>
    <x v="279"/>
    <x v="72"/>
    <x v="56"/>
    <x v="681"/>
    <x v="13"/>
    <x v="1666"/>
    <x v="127"/>
    <x v="158"/>
    <x v="65"/>
    <x v="1245"/>
    <x v="1748"/>
    <x v="1745"/>
    <x v="1677"/>
    <x v="4"/>
    <x v="1737"/>
    <x v="1748"/>
    <x v="86"/>
    <x v="0"/>
    <x v="0"/>
    <x v="0"/>
    <x v="168"/>
    <x v="9"/>
    <x v="6"/>
    <x v="4"/>
    <x v="1"/>
    <x v="41"/>
  </r>
  <r>
    <x v="0"/>
    <x v="533"/>
    <x v="356"/>
    <x v="46"/>
    <x v="263"/>
    <x v="124"/>
    <x v="156"/>
    <x v="1667"/>
    <x v="2"/>
    <x v="699"/>
    <x v="1140"/>
    <x v="153"/>
    <x v="1749"/>
    <x v="1746"/>
    <x v="1678"/>
    <x v="1"/>
    <x v="1738"/>
    <x v="1749"/>
    <x v="294"/>
    <x v="0"/>
    <x v="1"/>
    <x v="2"/>
    <x v="168"/>
    <x v="37"/>
    <x v="609"/>
    <x v="2"/>
    <x v="1"/>
    <x v="43"/>
  </r>
  <r>
    <x v="0"/>
    <x v="163"/>
    <x v="270"/>
    <x v="87"/>
    <x v="80"/>
    <x v="423"/>
    <x v="385"/>
    <x v="1668"/>
    <x v="127"/>
    <x v="700"/>
    <x v="1141"/>
    <x v="1338"/>
    <x v="1750"/>
    <x v="1747"/>
    <x v="1679"/>
    <x v="0"/>
    <x v="1739"/>
    <x v="1750"/>
    <x v="278"/>
    <x v="0"/>
    <x v="0"/>
    <x v="0"/>
    <x v="168"/>
    <x v="18"/>
    <x v="557"/>
    <x v="8"/>
    <x v="3"/>
    <x v="85"/>
  </r>
  <r>
    <x v="0"/>
    <x v="177"/>
    <x v="219"/>
    <x v="77"/>
    <x v="0"/>
    <x v="480"/>
    <x v="386"/>
    <x v="1669"/>
    <x v="103"/>
    <x v="701"/>
    <x v="301"/>
    <x v="1339"/>
    <x v="1751"/>
    <x v="1748"/>
    <x v="1680"/>
    <x v="1"/>
    <x v="1740"/>
    <x v="1751"/>
    <x v="231"/>
    <x v="0"/>
    <x v="4"/>
    <x v="4"/>
    <x v="146"/>
    <x v="24"/>
    <x v="203"/>
    <x v="27"/>
    <x v="1"/>
    <x v="1"/>
  </r>
  <r>
    <x v="0"/>
    <x v="202"/>
    <x v="126"/>
    <x v="78"/>
    <x v="0"/>
    <x v="141"/>
    <x v="21"/>
    <x v="1670"/>
    <x v="125"/>
    <x v="174"/>
    <x v="25"/>
    <x v="178"/>
    <x v="1752"/>
    <x v="1749"/>
    <x v="1681"/>
    <x v="0"/>
    <x v="1741"/>
    <x v="1752"/>
    <x v="242"/>
    <x v="0"/>
    <x v="8"/>
    <x v="0"/>
    <x v="168"/>
    <x v="18"/>
    <x v="10"/>
    <x v="4"/>
    <x v="1"/>
    <x v="1"/>
  </r>
  <r>
    <x v="0"/>
    <x v="644"/>
    <x v="141"/>
    <x v="69"/>
    <x v="277"/>
    <x v="703"/>
    <x v="157"/>
    <x v="1671"/>
    <x v="527"/>
    <x v="702"/>
    <x v="1142"/>
    <x v="1340"/>
    <x v="1753"/>
    <x v="1750"/>
    <x v="1682"/>
    <x v="0"/>
    <x v="1742"/>
    <x v="1753"/>
    <x v="284"/>
    <x v="0"/>
    <x v="0"/>
    <x v="0"/>
    <x v="168"/>
    <x v="9"/>
    <x v="610"/>
    <x v="10"/>
    <x v="1"/>
    <x v="33"/>
  </r>
  <r>
    <x v="0"/>
    <x v="353"/>
    <x v="413"/>
    <x v="45"/>
    <x v="209"/>
    <x v="656"/>
    <x v="387"/>
    <x v="1672"/>
    <x v="35"/>
    <x v="703"/>
    <x v="1143"/>
    <x v="1341"/>
    <x v="1754"/>
    <x v="1751"/>
    <x v="1683"/>
    <x v="0"/>
    <x v="1743"/>
    <x v="1754"/>
    <x v="320"/>
    <x v="0"/>
    <x v="0"/>
    <x v="2"/>
    <x v="168"/>
    <x v="27"/>
    <x v="49"/>
    <x v="10"/>
    <x v="3"/>
    <x v="37"/>
  </r>
  <r>
    <x v="0"/>
    <x v="615"/>
    <x v="380"/>
    <x v="27"/>
    <x v="93"/>
    <x v="363"/>
    <x v="388"/>
    <x v="1673"/>
    <x v="105"/>
    <x v="704"/>
    <x v="1144"/>
    <x v="505"/>
    <x v="1755"/>
    <x v="1752"/>
    <x v="1347"/>
    <x v="4"/>
    <x v="1744"/>
    <x v="1755"/>
    <x v="528"/>
    <x v="0"/>
    <x v="0"/>
    <x v="2"/>
    <x v="168"/>
    <x v="1"/>
    <x v="611"/>
    <x v="22"/>
    <x v="1"/>
    <x v="1"/>
  </r>
  <r>
    <x v="0"/>
    <x v="69"/>
    <x v="206"/>
    <x v="85"/>
    <x v="54"/>
    <x v="201"/>
    <x v="336"/>
    <x v="1674"/>
    <x v="170"/>
    <x v="705"/>
    <x v="1145"/>
    <x v="254"/>
    <x v="1756"/>
    <x v="1753"/>
    <x v="1177"/>
    <x v="1"/>
    <x v="1745"/>
    <x v="1756"/>
    <x v="720"/>
    <x v="0"/>
    <x v="1"/>
    <x v="4"/>
    <x v="116"/>
    <x v="5"/>
    <x v="545"/>
    <x v="16"/>
    <x v="1"/>
    <x v="88"/>
  </r>
  <r>
    <x v="0"/>
    <x v="369"/>
    <x v="129"/>
    <x v="105"/>
    <x v="214"/>
    <x v="51"/>
    <x v="389"/>
    <x v="1675"/>
    <x v="132"/>
    <x v="342"/>
    <x v="1146"/>
    <x v="605"/>
    <x v="1757"/>
    <x v="1754"/>
    <x v="1684"/>
    <x v="3"/>
    <x v="1746"/>
    <x v="1757"/>
    <x v="138"/>
    <x v="0"/>
    <x v="8"/>
    <x v="4"/>
    <x v="168"/>
    <x v="10"/>
    <x v="215"/>
    <x v="9"/>
    <x v="1"/>
    <x v="1"/>
  </r>
  <r>
    <x v="0"/>
    <x v="480"/>
    <x v="270"/>
    <x v="77"/>
    <x v="233"/>
    <x v="1"/>
    <x v="11"/>
    <x v="1676"/>
    <x v="528"/>
    <x v="69"/>
    <x v="1147"/>
    <x v="1342"/>
    <x v="1758"/>
    <x v="1755"/>
    <x v="1685"/>
    <x v="0"/>
    <x v="1747"/>
    <x v="1758"/>
    <x v="787"/>
    <x v="0"/>
    <x v="0"/>
    <x v="4"/>
    <x v="168"/>
    <x v="21"/>
    <x v="30"/>
    <x v="41"/>
    <x v="1"/>
    <x v="1"/>
  </r>
  <r>
    <x v="0"/>
    <x v="760"/>
    <x v="323"/>
    <x v="113"/>
    <x v="137"/>
    <x v="23"/>
    <x v="104"/>
    <x v="1677"/>
    <x v="238"/>
    <x v="195"/>
    <x v="332"/>
    <x v="749"/>
    <x v="1759"/>
    <x v="1756"/>
    <x v="1686"/>
    <x v="5"/>
    <x v="1748"/>
    <x v="1759"/>
    <x v="432"/>
    <x v="0"/>
    <x v="0"/>
    <x v="2"/>
    <x v="168"/>
    <x v="11"/>
    <x v="223"/>
    <x v="5"/>
    <x v="6"/>
    <x v="85"/>
  </r>
  <r>
    <x v="0"/>
    <x v="96"/>
    <x v="325"/>
    <x v="24"/>
    <x v="75"/>
    <x v="153"/>
    <x v="390"/>
    <x v="1678"/>
    <x v="17"/>
    <x v="706"/>
    <x v="1148"/>
    <x v="1343"/>
    <x v="1760"/>
    <x v="1757"/>
    <x v="1687"/>
    <x v="4"/>
    <x v="1749"/>
    <x v="1760"/>
    <x v="563"/>
    <x v="0"/>
    <x v="10"/>
    <x v="2"/>
    <x v="168"/>
    <x v="12"/>
    <x v="612"/>
    <x v="6"/>
    <x v="1"/>
    <x v="16"/>
  </r>
  <r>
    <x v="0"/>
    <x v="18"/>
    <x v="1"/>
    <x v="85"/>
    <x v="0"/>
    <x v="282"/>
    <x v="2"/>
    <x v="1679"/>
    <x v="232"/>
    <x v="42"/>
    <x v="1149"/>
    <x v="823"/>
    <x v="1761"/>
    <x v="1758"/>
    <x v="1688"/>
    <x v="4"/>
    <x v="1750"/>
    <x v="1761"/>
    <x v="800"/>
    <x v="0"/>
    <x v="0"/>
    <x v="4"/>
    <x v="168"/>
    <x v="26"/>
    <x v="78"/>
    <x v="17"/>
    <x v="1"/>
    <x v="139"/>
  </r>
  <r>
    <x v="0"/>
    <x v="309"/>
    <x v="402"/>
    <x v="106"/>
    <x v="194"/>
    <x v="704"/>
    <x v="21"/>
    <x v="1680"/>
    <x v="529"/>
    <x v="22"/>
    <x v="88"/>
    <x v="1344"/>
    <x v="1762"/>
    <x v="1759"/>
    <x v="1689"/>
    <x v="1"/>
    <x v="1751"/>
    <x v="1762"/>
    <x v="189"/>
    <x v="0"/>
    <x v="0"/>
    <x v="4"/>
    <x v="168"/>
    <x v="16"/>
    <x v="30"/>
    <x v="8"/>
    <x v="1"/>
    <x v="1"/>
  </r>
  <r>
    <x v="0"/>
    <x v="32"/>
    <x v="130"/>
    <x v="32"/>
    <x v="24"/>
    <x v="571"/>
    <x v="142"/>
    <x v="1681"/>
    <x v="65"/>
    <x v="263"/>
    <x v="1150"/>
    <x v="1345"/>
    <x v="1763"/>
    <x v="1760"/>
    <x v="1690"/>
    <x v="0"/>
    <x v="1752"/>
    <x v="1763"/>
    <x v="376"/>
    <x v="0"/>
    <x v="0"/>
    <x v="0"/>
    <x v="168"/>
    <x v="11"/>
    <x v="613"/>
    <x v="5"/>
    <x v="1"/>
    <x v="7"/>
  </r>
  <r>
    <x v="0"/>
    <x v="761"/>
    <x v="279"/>
    <x v="85"/>
    <x v="296"/>
    <x v="381"/>
    <x v="22"/>
    <x v="1682"/>
    <x v="168"/>
    <x v="226"/>
    <x v="1151"/>
    <x v="1346"/>
    <x v="1764"/>
    <x v="1761"/>
    <x v="1691"/>
    <x v="2"/>
    <x v="1753"/>
    <x v="1764"/>
    <x v="614"/>
    <x v="0"/>
    <x v="0"/>
    <x v="4"/>
    <x v="175"/>
    <x v="1"/>
    <x v="299"/>
    <x v="8"/>
    <x v="3"/>
    <x v="1"/>
  </r>
  <r>
    <x v="0"/>
    <x v="762"/>
    <x v="388"/>
    <x v="55"/>
    <x v="297"/>
    <x v="120"/>
    <x v="391"/>
    <x v="1683"/>
    <x v="327"/>
    <x v="707"/>
    <x v="1152"/>
    <x v="1347"/>
    <x v="1765"/>
    <x v="1762"/>
    <x v="1692"/>
    <x v="4"/>
    <x v="1754"/>
    <x v="1765"/>
    <x v="713"/>
    <x v="0"/>
    <x v="0"/>
    <x v="4"/>
    <x v="168"/>
    <x v="21"/>
    <x v="614"/>
    <x v="30"/>
    <x v="1"/>
    <x v="316"/>
  </r>
  <r>
    <x v="0"/>
    <x v="262"/>
    <x v="388"/>
    <x v="113"/>
    <x v="117"/>
    <x v="4"/>
    <x v="392"/>
    <x v="1684"/>
    <x v="4"/>
    <x v="708"/>
    <x v="1153"/>
    <x v="4"/>
    <x v="1766"/>
    <x v="1763"/>
    <x v="1693"/>
    <x v="0"/>
    <x v="1755"/>
    <x v="1766"/>
    <x v="243"/>
    <x v="0"/>
    <x v="10"/>
    <x v="3"/>
    <x v="29"/>
    <x v="18"/>
    <x v="515"/>
    <x v="25"/>
    <x v="3"/>
    <x v="103"/>
  </r>
  <r>
    <x v="0"/>
    <x v="372"/>
    <x v="288"/>
    <x v="33"/>
    <x v="8"/>
    <x v="243"/>
    <x v="393"/>
    <x v="1685"/>
    <x v="286"/>
    <x v="709"/>
    <x v="612"/>
    <x v="797"/>
    <x v="1767"/>
    <x v="1764"/>
    <x v="1694"/>
    <x v="3"/>
    <x v="1756"/>
    <x v="1767"/>
    <x v="585"/>
    <x v="0"/>
    <x v="0"/>
    <x v="0"/>
    <x v="168"/>
    <x v="7"/>
    <x v="381"/>
    <x v="43"/>
    <x v="3"/>
    <x v="1"/>
  </r>
  <r>
    <x v="0"/>
    <x v="190"/>
    <x v="336"/>
    <x v="73"/>
    <x v="135"/>
    <x v="201"/>
    <x v="394"/>
    <x v="1686"/>
    <x v="422"/>
    <x v="710"/>
    <x v="1154"/>
    <x v="1348"/>
    <x v="1768"/>
    <x v="1765"/>
    <x v="1695"/>
    <x v="0"/>
    <x v="1757"/>
    <x v="1768"/>
    <x v="400"/>
    <x v="0"/>
    <x v="4"/>
    <x v="4"/>
    <x v="168"/>
    <x v="15"/>
    <x v="615"/>
    <x v="10"/>
    <x v="1"/>
    <x v="273"/>
  </r>
  <r>
    <x v="0"/>
    <x v="356"/>
    <x v="241"/>
    <x v="50"/>
    <x v="211"/>
    <x v="705"/>
    <x v="0"/>
    <x v="1687"/>
    <x v="530"/>
    <x v="381"/>
    <x v="276"/>
    <x v="1349"/>
    <x v="1769"/>
    <x v="1766"/>
    <x v="1696"/>
    <x v="2"/>
    <x v="1758"/>
    <x v="1769"/>
    <x v="409"/>
    <x v="0"/>
    <x v="0"/>
    <x v="2"/>
    <x v="168"/>
    <x v="5"/>
    <x v="616"/>
    <x v="28"/>
    <x v="3"/>
    <x v="1"/>
  </r>
  <r>
    <x v="0"/>
    <x v="628"/>
    <x v="152"/>
    <x v="71"/>
    <x v="80"/>
    <x v="706"/>
    <x v="0"/>
    <x v="1688"/>
    <x v="35"/>
    <x v="711"/>
    <x v="1155"/>
    <x v="1350"/>
    <x v="1770"/>
    <x v="1767"/>
    <x v="1697"/>
    <x v="3"/>
    <x v="1759"/>
    <x v="1770"/>
    <x v="732"/>
    <x v="0"/>
    <x v="0"/>
    <x v="2"/>
    <x v="168"/>
    <x v="13"/>
    <x v="617"/>
    <x v="28"/>
    <x v="3"/>
    <x v="320"/>
  </r>
  <r>
    <x v="0"/>
    <x v="469"/>
    <x v="150"/>
    <x v="42"/>
    <x v="0"/>
    <x v="693"/>
    <x v="8"/>
    <x v="1689"/>
    <x v="310"/>
    <x v="35"/>
    <x v="1156"/>
    <x v="1291"/>
    <x v="1771"/>
    <x v="1768"/>
    <x v="1698"/>
    <x v="7"/>
    <x v="1760"/>
    <x v="1771"/>
    <x v="680"/>
    <x v="0"/>
    <x v="0"/>
    <x v="4"/>
    <x v="168"/>
    <x v="18"/>
    <x v="30"/>
    <x v="41"/>
    <x v="1"/>
    <x v="1"/>
  </r>
  <r>
    <x v="0"/>
    <x v="473"/>
    <x v="211"/>
    <x v="86"/>
    <x v="212"/>
    <x v="518"/>
    <x v="0"/>
    <x v="1690"/>
    <x v="200"/>
    <x v="712"/>
    <x v="1157"/>
    <x v="782"/>
    <x v="1772"/>
    <x v="1769"/>
    <x v="1699"/>
    <x v="4"/>
    <x v="1761"/>
    <x v="1772"/>
    <x v="724"/>
    <x v="0"/>
    <x v="0"/>
    <x v="4"/>
    <x v="168"/>
    <x v="2"/>
    <x v="370"/>
    <x v="9"/>
    <x v="3"/>
    <x v="1"/>
  </r>
  <r>
    <x v="0"/>
    <x v="527"/>
    <x v="117"/>
    <x v="26"/>
    <x v="80"/>
    <x v="142"/>
    <x v="35"/>
    <x v="1691"/>
    <x v="531"/>
    <x v="713"/>
    <x v="1158"/>
    <x v="76"/>
    <x v="1773"/>
    <x v="1770"/>
    <x v="1700"/>
    <x v="0"/>
    <x v="1762"/>
    <x v="1773"/>
    <x v="227"/>
    <x v="0"/>
    <x v="0"/>
    <x v="0"/>
    <x v="168"/>
    <x v="6"/>
    <x v="379"/>
    <x v="27"/>
    <x v="1"/>
    <x v="321"/>
  </r>
  <r>
    <x v="0"/>
    <x v="48"/>
    <x v="69"/>
    <x v="90"/>
    <x v="33"/>
    <x v="298"/>
    <x v="129"/>
    <x v="1692"/>
    <x v="256"/>
    <x v="714"/>
    <x v="1159"/>
    <x v="1351"/>
    <x v="1774"/>
    <x v="1771"/>
    <x v="1701"/>
    <x v="0"/>
    <x v="1763"/>
    <x v="1774"/>
    <x v="426"/>
    <x v="0"/>
    <x v="0"/>
    <x v="0"/>
    <x v="168"/>
    <x v="13"/>
    <x v="556"/>
    <x v="15"/>
    <x v="1"/>
    <x v="1"/>
  </r>
  <r>
    <x v="0"/>
    <x v="763"/>
    <x v="126"/>
    <x v="47"/>
    <x v="217"/>
    <x v="163"/>
    <x v="80"/>
    <x v="1693"/>
    <x v="105"/>
    <x v="142"/>
    <x v="1160"/>
    <x v="1352"/>
    <x v="1775"/>
    <x v="1772"/>
    <x v="1702"/>
    <x v="2"/>
    <x v="1764"/>
    <x v="1775"/>
    <x v="465"/>
    <x v="0"/>
    <x v="1"/>
    <x v="4"/>
    <x v="146"/>
    <x v="8"/>
    <x v="618"/>
    <x v="12"/>
    <x v="3"/>
    <x v="1"/>
  </r>
  <r>
    <x v="0"/>
    <x v="764"/>
    <x v="113"/>
    <x v="33"/>
    <x v="169"/>
    <x v="417"/>
    <x v="30"/>
    <x v="1694"/>
    <x v="132"/>
    <x v="53"/>
    <x v="1161"/>
    <x v="1353"/>
    <x v="1776"/>
    <x v="1773"/>
    <x v="1703"/>
    <x v="0"/>
    <x v="1765"/>
    <x v="1776"/>
    <x v="364"/>
    <x v="0"/>
    <x v="0"/>
    <x v="4"/>
    <x v="168"/>
    <x v="9"/>
    <x v="619"/>
    <x v="4"/>
    <x v="1"/>
    <x v="88"/>
  </r>
  <r>
    <x v="0"/>
    <x v="765"/>
    <x v="308"/>
    <x v="97"/>
    <x v="89"/>
    <x v="638"/>
    <x v="14"/>
    <x v="4"/>
    <x v="532"/>
    <x v="414"/>
    <x v="1162"/>
    <x v="1354"/>
    <x v="1777"/>
    <x v="1774"/>
    <x v="1704"/>
    <x v="1"/>
    <x v="1766"/>
    <x v="1777"/>
    <x v="591"/>
    <x v="6"/>
    <x v="13"/>
    <x v="1"/>
    <x v="151"/>
    <x v="7"/>
    <x v="30"/>
    <x v="9"/>
    <x v="3"/>
    <x v="1"/>
  </r>
  <r>
    <x v="0"/>
    <x v="766"/>
    <x v="325"/>
    <x v="7"/>
    <x v="31"/>
    <x v="199"/>
    <x v="29"/>
    <x v="1695"/>
    <x v="28"/>
    <x v="74"/>
    <x v="1163"/>
    <x v="252"/>
    <x v="1778"/>
    <x v="1775"/>
    <x v="1705"/>
    <x v="4"/>
    <x v="1767"/>
    <x v="1778"/>
    <x v="137"/>
    <x v="0"/>
    <x v="10"/>
    <x v="0"/>
    <x v="168"/>
    <x v="11"/>
    <x v="620"/>
    <x v="20"/>
    <x v="1"/>
    <x v="1"/>
  </r>
  <r>
    <x v="0"/>
    <x v="533"/>
    <x v="257"/>
    <x v="22"/>
    <x v="263"/>
    <x v="516"/>
    <x v="395"/>
    <x v="1696"/>
    <x v="2"/>
    <x v="715"/>
    <x v="1164"/>
    <x v="1355"/>
    <x v="1779"/>
    <x v="1776"/>
    <x v="1706"/>
    <x v="0"/>
    <x v="1768"/>
    <x v="1779"/>
    <x v="571"/>
    <x v="0"/>
    <x v="1"/>
    <x v="2"/>
    <x v="177"/>
    <x v="45"/>
    <x v="278"/>
    <x v="4"/>
    <x v="1"/>
    <x v="1"/>
  </r>
  <r>
    <x v="0"/>
    <x v="287"/>
    <x v="24"/>
    <x v="82"/>
    <x v="0"/>
    <x v="466"/>
    <x v="2"/>
    <x v="1697"/>
    <x v="127"/>
    <x v="716"/>
    <x v="1165"/>
    <x v="1356"/>
    <x v="1780"/>
    <x v="1777"/>
    <x v="1707"/>
    <x v="4"/>
    <x v="1769"/>
    <x v="1780"/>
    <x v="594"/>
    <x v="0"/>
    <x v="0"/>
    <x v="4"/>
    <x v="116"/>
    <x v="1"/>
    <x v="621"/>
    <x v="15"/>
    <x v="3"/>
    <x v="1"/>
  </r>
  <r>
    <x v="0"/>
    <x v="550"/>
    <x v="263"/>
    <x v="56"/>
    <x v="268"/>
    <x v="707"/>
    <x v="84"/>
    <x v="1698"/>
    <x v="270"/>
    <x v="147"/>
    <x v="1166"/>
    <x v="1357"/>
    <x v="1781"/>
    <x v="1778"/>
    <x v="1708"/>
    <x v="4"/>
    <x v="1770"/>
    <x v="1781"/>
    <x v="335"/>
    <x v="0"/>
    <x v="0"/>
    <x v="0"/>
    <x v="116"/>
    <x v="0"/>
    <x v="476"/>
    <x v="38"/>
    <x v="1"/>
    <x v="61"/>
  </r>
  <r>
    <x v="0"/>
    <x v="579"/>
    <x v="352"/>
    <x v="37"/>
    <x v="170"/>
    <x v="86"/>
    <x v="145"/>
    <x v="1699"/>
    <x v="105"/>
    <x v="558"/>
    <x v="758"/>
    <x v="109"/>
    <x v="1782"/>
    <x v="1779"/>
    <x v="1709"/>
    <x v="3"/>
    <x v="1771"/>
    <x v="1782"/>
    <x v="592"/>
    <x v="0"/>
    <x v="0"/>
    <x v="0"/>
    <x v="82"/>
    <x v="8"/>
    <x v="455"/>
    <x v="43"/>
    <x v="3"/>
    <x v="322"/>
  </r>
  <r>
    <x v="0"/>
    <x v="767"/>
    <x v="460"/>
    <x v="3"/>
    <x v="298"/>
    <x v="98"/>
    <x v="396"/>
    <x v="1700"/>
    <x v="172"/>
    <x v="717"/>
    <x v="1167"/>
    <x v="123"/>
    <x v="1783"/>
    <x v="1780"/>
    <x v="1710"/>
    <x v="0"/>
    <x v="1772"/>
    <x v="1783"/>
    <x v="258"/>
    <x v="0"/>
    <x v="1"/>
    <x v="2"/>
    <x v="178"/>
    <x v="31"/>
    <x v="228"/>
    <x v="38"/>
    <x v="3"/>
    <x v="323"/>
  </r>
  <r>
    <x v="0"/>
    <x v="768"/>
    <x v="129"/>
    <x v="80"/>
    <x v="125"/>
    <x v="173"/>
    <x v="397"/>
    <x v="1701"/>
    <x v="368"/>
    <x v="718"/>
    <x v="1168"/>
    <x v="1358"/>
    <x v="1784"/>
    <x v="1781"/>
    <x v="1711"/>
    <x v="0"/>
    <x v="1773"/>
    <x v="1784"/>
    <x v="481"/>
    <x v="0"/>
    <x v="1"/>
    <x v="4"/>
    <x v="159"/>
    <x v="7"/>
    <x v="622"/>
    <x v="38"/>
    <x v="3"/>
    <x v="1"/>
  </r>
  <r>
    <x v="0"/>
    <x v="81"/>
    <x v="333"/>
    <x v="40"/>
    <x v="64"/>
    <x v="21"/>
    <x v="6"/>
    <x v="1702"/>
    <x v="306"/>
    <x v="6"/>
    <x v="330"/>
    <x v="1359"/>
    <x v="1785"/>
    <x v="1782"/>
    <x v="1712"/>
    <x v="4"/>
    <x v="1774"/>
    <x v="1785"/>
    <x v="435"/>
    <x v="0"/>
    <x v="0"/>
    <x v="4"/>
    <x v="177"/>
    <x v="1"/>
    <x v="28"/>
    <x v="2"/>
    <x v="1"/>
    <x v="1"/>
  </r>
  <r>
    <x v="0"/>
    <x v="113"/>
    <x v="478"/>
    <x v="142"/>
    <x v="88"/>
    <x v="70"/>
    <x v="61"/>
    <x v="4"/>
    <x v="533"/>
    <x v="105"/>
    <x v="177"/>
    <x v="1360"/>
    <x v="1786"/>
    <x v="1783"/>
    <x v="407"/>
    <x v="4"/>
    <x v="1775"/>
    <x v="1786"/>
    <x v="104"/>
    <x v="0"/>
    <x v="0"/>
    <x v="5"/>
    <x v="4"/>
    <x v="4"/>
    <x v="56"/>
    <x v="0"/>
    <x v="12"/>
    <x v="59"/>
  </r>
  <r>
    <x v="0"/>
    <x v="769"/>
    <x v="356"/>
    <x v="47"/>
    <x v="299"/>
    <x v="410"/>
    <x v="25"/>
    <x v="1703"/>
    <x v="18"/>
    <x v="194"/>
    <x v="582"/>
    <x v="1361"/>
    <x v="1787"/>
    <x v="1784"/>
    <x v="1713"/>
    <x v="0"/>
    <x v="1776"/>
    <x v="1787"/>
    <x v="559"/>
    <x v="0"/>
    <x v="0"/>
    <x v="2"/>
    <x v="116"/>
    <x v="23"/>
    <x v="30"/>
    <x v="13"/>
    <x v="1"/>
    <x v="1"/>
  </r>
  <r>
    <x v="0"/>
    <x v="770"/>
    <x v="197"/>
    <x v="38"/>
    <x v="300"/>
    <x v="520"/>
    <x v="0"/>
    <x v="1704"/>
    <x v="270"/>
    <x v="719"/>
    <x v="1169"/>
    <x v="1362"/>
    <x v="1788"/>
    <x v="1785"/>
    <x v="1714"/>
    <x v="2"/>
    <x v="1777"/>
    <x v="1788"/>
    <x v="614"/>
    <x v="0"/>
    <x v="0"/>
    <x v="0"/>
    <x v="146"/>
    <x v="19"/>
    <x v="623"/>
    <x v="19"/>
    <x v="1"/>
    <x v="1"/>
  </r>
  <r>
    <x v="0"/>
    <x v="47"/>
    <x v="77"/>
    <x v="11"/>
    <x v="32"/>
    <x v="60"/>
    <x v="32"/>
    <x v="79"/>
    <x v="37"/>
    <x v="59"/>
    <x v="70"/>
    <x v="74"/>
    <x v="79"/>
    <x v="1786"/>
    <x v="78"/>
    <x v="0"/>
    <x v="79"/>
    <x v="79"/>
    <x v="78"/>
    <x v="0"/>
    <x v="1"/>
    <x v="2"/>
    <x v="26"/>
    <x v="6"/>
    <x v="44"/>
    <x v="6"/>
    <x v="3"/>
    <x v="14"/>
  </r>
  <r>
    <x v="0"/>
    <x v="449"/>
    <x v="383"/>
    <x v="69"/>
    <x v="218"/>
    <x v="612"/>
    <x v="2"/>
    <x v="1705"/>
    <x v="171"/>
    <x v="130"/>
    <x v="132"/>
    <x v="1363"/>
    <x v="1789"/>
    <x v="1787"/>
    <x v="1715"/>
    <x v="1"/>
    <x v="1778"/>
    <x v="1789"/>
    <x v="498"/>
    <x v="0"/>
    <x v="0"/>
    <x v="4"/>
    <x v="146"/>
    <x v="13"/>
    <x v="27"/>
    <x v="4"/>
    <x v="1"/>
    <x v="1"/>
  </r>
  <r>
    <x v="0"/>
    <x v="459"/>
    <x v="211"/>
    <x v="2"/>
    <x v="243"/>
    <x v="30"/>
    <x v="0"/>
    <x v="1706"/>
    <x v="534"/>
    <x v="720"/>
    <x v="1170"/>
    <x v="1364"/>
    <x v="1790"/>
    <x v="1788"/>
    <x v="1716"/>
    <x v="1"/>
    <x v="1779"/>
    <x v="1790"/>
    <x v="760"/>
    <x v="0"/>
    <x v="0"/>
    <x v="4"/>
    <x v="146"/>
    <x v="35"/>
    <x v="130"/>
    <x v="0"/>
    <x v="3"/>
    <x v="57"/>
  </r>
  <r>
    <x v="0"/>
    <x v="771"/>
    <x v="345"/>
    <x v="73"/>
    <x v="171"/>
    <x v="135"/>
    <x v="398"/>
    <x v="1707"/>
    <x v="535"/>
    <x v="721"/>
    <x v="228"/>
    <x v="1365"/>
    <x v="1791"/>
    <x v="1789"/>
    <x v="1717"/>
    <x v="2"/>
    <x v="1780"/>
    <x v="1791"/>
    <x v="631"/>
    <x v="0"/>
    <x v="0"/>
    <x v="0"/>
    <x v="4"/>
    <x v="8"/>
    <x v="155"/>
    <x v="5"/>
    <x v="3"/>
    <x v="89"/>
  </r>
  <r>
    <x v="0"/>
    <x v="772"/>
    <x v="288"/>
    <x v="34"/>
    <x v="301"/>
    <x v="351"/>
    <x v="0"/>
    <x v="1708"/>
    <x v="430"/>
    <x v="722"/>
    <x v="1171"/>
    <x v="1012"/>
    <x v="1792"/>
    <x v="1790"/>
    <x v="1349"/>
    <x v="2"/>
    <x v="1781"/>
    <x v="1792"/>
    <x v="409"/>
    <x v="0"/>
    <x v="0"/>
    <x v="0"/>
    <x v="131"/>
    <x v="3"/>
    <x v="156"/>
    <x v="20"/>
    <x v="1"/>
    <x v="1"/>
  </r>
  <r>
    <x v="0"/>
    <x v="19"/>
    <x v="287"/>
    <x v="59"/>
    <x v="12"/>
    <x v="708"/>
    <x v="399"/>
    <x v="1709"/>
    <x v="105"/>
    <x v="723"/>
    <x v="1172"/>
    <x v="1366"/>
    <x v="1793"/>
    <x v="1791"/>
    <x v="1308"/>
    <x v="0"/>
    <x v="1782"/>
    <x v="1793"/>
    <x v="199"/>
    <x v="0"/>
    <x v="1"/>
    <x v="0"/>
    <x v="116"/>
    <x v="19"/>
    <x v="624"/>
    <x v="1"/>
    <x v="1"/>
    <x v="1"/>
  </r>
  <r>
    <x v="0"/>
    <x v="601"/>
    <x v="194"/>
    <x v="87"/>
    <x v="255"/>
    <x v="169"/>
    <x v="0"/>
    <x v="1710"/>
    <x v="512"/>
    <x v="48"/>
    <x v="418"/>
    <x v="1367"/>
    <x v="1794"/>
    <x v="1792"/>
    <x v="1718"/>
    <x v="0"/>
    <x v="1783"/>
    <x v="1794"/>
    <x v="196"/>
    <x v="0"/>
    <x v="0"/>
    <x v="4"/>
    <x v="146"/>
    <x v="15"/>
    <x v="625"/>
    <x v="23"/>
    <x v="1"/>
    <x v="43"/>
  </r>
  <r>
    <x v="0"/>
    <x v="524"/>
    <x v="242"/>
    <x v="47"/>
    <x v="249"/>
    <x v="1"/>
    <x v="57"/>
    <x v="1711"/>
    <x v="171"/>
    <x v="99"/>
    <x v="65"/>
    <x v="1368"/>
    <x v="1795"/>
    <x v="1793"/>
    <x v="1719"/>
    <x v="3"/>
    <x v="1784"/>
    <x v="1795"/>
    <x v="573"/>
    <x v="0"/>
    <x v="8"/>
    <x v="4"/>
    <x v="146"/>
    <x v="7"/>
    <x v="6"/>
    <x v="6"/>
    <x v="1"/>
    <x v="7"/>
  </r>
  <r>
    <x v="0"/>
    <x v="773"/>
    <x v="227"/>
    <x v="144"/>
    <x v="265"/>
    <x v="268"/>
    <x v="35"/>
    <x v="1712"/>
    <x v="172"/>
    <x v="184"/>
    <x v="173"/>
    <x v="347"/>
    <x v="1796"/>
    <x v="1794"/>
    <x v="1720"/>
    <x v="0"/>
    <x v="1785"/>
    <x v="1796"/>
    <x v="796"/>
    <x v="0"/>
    <x v="0"/>
    <x v="2"/>
    <x v="146"/>
    <x v="45"/>
    <x v="117"/>
    <x v="0"/>
    <x v="3"/>
    <x v="1"/>
  </r>
  <r>
    <x v="0"/>
    <x v="42"/>
    <x v="88"/>
    <x v="29"/>
    <x v="30"/>
    <x v="128"/>
    <x v="121"/>
    <x v="1713"/>
    <x v="223"/>
    <x v="230"/>
    <x v="562"/>
    <x v="158"/>
    <x v="1797"/>
    <x v="1795"/>
    <x v="1721"/>
    <x v="3"/>
    <x v="1786"/>
    <x v="1797"/>
    <x v="736"/>
    <x v="0"/>
    <x v="1"/>
    <x v="0"/>
    <x v="116"/>
    <x v="10"/>
    <x v="453"/>
    <x v="8"/>
    <x v="1"/>
    <x v="61"/>
  </r>
  <r>
    <x v="0"/>
    <x v="72"/>
    <x v="414"/>
    <x v="50"/>
    <x v="57"/>
    <x v="279"/>
    <x v="378"/>
    <x v="4"/>
    <x v="37"/>
    <x v="724"/>
    <x v="1173"/>
    <x v="1369"/>
    <x v="1798"/>
    <x v="1796"/>
    <x v="1722"/>
    <x v="1"/>
    <x v="1787"/>
    <x v="1798"/>
    <x v="437"/>
    <x v="0"/>
    <x v="30"/>
    <x v="2"/>
    <x v="146"/>
    <x v="31"/>
    <x v="478"/>
    <x v="38"/>
    <x v="1"/>
    <x v="90"/>
  </r>
  <r>
    <x v="0"/>
    <x v="104"/>
    <x v="279"/>
    <x v="70"/>
    <x v="82"/>
    <x v="383"/>
    <x v="22"/>
    <x v="1714"/>
    <x v="536"/>
    <x v="295"/>
    <x v="20"/>
    <x v="1130"/>
    <x v="1799"/>
    <x v="1797"/>
    <x v="1723"/>
    <x v="1"/>
    <x v="1788"/>
    <x v="1799"/>
    <x v="801"/>
    <x v="0"/>
    <x v="5"/>
    <x v="4"/>
    <x v="146"/>
    <x v="20"/>
    <x v="17"/>
    <x v="16"/>
    <x v="1"/>
    <x v="57"/>
  </r>
  <r>
    <x v="0"/>
    <x v="774"/>
    <x v="123"/>
    <x v="47"/>
    <x v="123"/>
    <x v="107"/>
    <x v="22"/>
    <x v="1715"/>
    <x v="415"/>
    <x v="78"/>
    <x v="152"/>
    <x v="1370"/>
    <x v="1800"/>
    <x v="1798"/>
    <x v="1724"/>
    <x v="3"/>
    <x v="1789"/>
    <x v="1800"/>
    <x v="629"/>
    <x v="0"/>
    <x v="1"/>
    <x v="0"/>
    <x v="179"/>
    <x v="8"/>
    <x v="12"/>
    <x v="8"/>
    <x v="1"/>
    <x v="1"/>
  </r>
  <r>
    <x v="1"/>
    <x v="113"/>
    <x v="464"/>
    <x v="119"/>
    <x v="88"/>
    <x v="393"/>
    <x v="400"/>
    <x v="4"/>
    <x v="238"/>
    <x v="725"/>
    <x v="1174"/>
    <x v="1371"/>
    <x v="1801"/>
    <x v="1799"/>
    <x v="1725"/>
    <x v="2"/>
    <x v="1790"/>
    <x v="1801"/>
    <x v="755"/>
    <x v="0"/>
    <x v="0"/>
    <x v="1"/>
    <x v="4"/>
    <x v="4"/>
    <x v="626"/>
    <x v="50"/>
    <x v="8"/>
    <x v="80"/>
  </r>
  <r>
    <x v="0"/>
    <x v="775"/>
    <x v="392"/>
    <x v="56"/>
    <x v="214"/>
    <x v="709"/>
    <x v="360"/>
    <x v="4"/>
    <x v="537"/>
    <x v="726"/>
    <x v="1175"/>
    <x v="1372"/>
    <x v="1802"/>
    <x v="1800"/>
    <x v="1231"/>
    <x v="0"/>
    <x v="1791"/>
    <x v="1802"/>
    <x v="369"/>
    <x v="0"/>
    <x v="1"/>
    <x v="2"/>
    <x v="131"/>
    <x v="39"/>
    <x v="627"/>
    <x v="10"/>
    <x v="3"/>
    <x v="1"/>
  </r>
  <r>
    <x v="0"/>
    <x v="776"/>
    <x v="315"/>
    <x v="32"/>
    <x v="0"/>
    <x v="371"/>
    <x v="2"/>
    <x v="1716"/>
    <x v="538"/>
    <x v="72"/>
    <x v="1176"/>
    <x v="1168"/>
    <x v="1803"/>
    <x v="1801"/>
    <x v="1726"/>
    <x v="2"/>
    <x v="1792"/>
    <x v="1803"/>
    <x v="592"/>
    <x v="0"/>
    <x v="0"/>
    <x v="0"/>
    <x v="146"/>
    <x v="20"/>
    <x v="527"/>
    <x v="19"/>
    <x v="1"/>
    <x v="324"/>
  </r>
  <r>
    <x v="0"/>
    <x v="582"/>
    <x v="111"/>
    <x v="56"/>
    <x v="188"/>
    <x v="665"/>
    <x v="21"/>
    <x v="1717"/>
    <x v="236"/>
    <x v="71"/>
    <x v="93"/>
    <x v="1373"/>
    <x v="1804"/>
    <x v="1802"/>
    <x v="1727"/>
    <x v="1"/>
    <x v="1793"/>
    <x v="1804"/>
    <x v="149"/>
    <x v="0"/>
    <x v="0"/>
    <x v="4"/>
    <x v="146"/>
    <x v="0"/>
    <x v="67"/>
    <x v="5"/>
    <x v="1"/>
    <x v="1"/>
  </r>
  <r>
    <x v="0"/>
    <x v="777"/>
    <x v="217"/>
    <x v="77"/>
    <x v="91"/>
    <x v="535"/>
    <x v="401"/>
    <x v="1718"/>
    <x v="171"/>
    <x v="727"/>
    <x v="1137"/>
    <x v="1374"/>
    <x v="1805"/>
    <x v="1803"/>
    <x v="1728"/>
    <x v="0"/>
    <x v="1794"/>
    <x v="1805"/>
    <x v="301"/>
    <x v="0"/>
    <x v="0"/>
    <x v="4"/>
    <x v="146"/>
    <x v="14"/>
    <x v="476"/>
    <x v="18"/>
    <x v="8"/>
    <x v="325"/>
  </r>
  <r>
    <x v="0"/>
    <x v="778"/>
    <x v="378"/>
    <x v="11"/>
    <x v="171"/>
    <x v="431"/>
    <x v="0"/>
    <x v="1719"/>
    <x v="301"/>
    <x v="48"/>
    <x v="391"/>
    <x v="629"/>
    <x v="1806"/>
    <x v="1804"/>
    <x v="1729"/>
    <x v="0"/>
    <x v="1795"/>
    <x v="1806"/>
    <x v="409"/>
    <x v="0"/>
    <x v="0"/>
    <x v="2"/>
    <x v="146"/>
    <x v="1"/>
    <x v="262"/>
    <x v="2"/>
    <x v="3"/>
    <x v="1"/>
  </r>
  <r>
    <x v="0"/>
    <x v="423"/>
    <x v="352"/>
    <x v="71"/>
    <x v="0"/>
    <x v="482"/>
    <x v="35"/>
    <x v="1720"/>
    <x v="237"/>
    <x v="461"/>
    <x v="1177"/>
    <x v="1098"/>
    <x v="1807"/>
    <x v="1805"/>
    <x v="1730"/>
    <x v="7"/>
    <x v="1796"/>
    <x v="1807"/>
    <x v="536"/>
    <x v="0"/>
    <x v="0"/>
    <x v="2"/>
    <x v="146"/>
    <x v="10"/>
    <x v="536"/>
    <x v="57"/>
    <x v="3"/>
    <x v="1"/>
  </r>
  <r>
    <x v="0"/>
    <x v="779"/>
    <x v="468"/>
    <x v="42"/>
    <x v="0"/>
    <x v="366"/>
    <x v="94"/>
    <x v="1721"/>
    <x v="168"/>
    <x v="218"/>
    <x v="483"/>
    <x v="1375"/>
    <x v="1808"/>
    <x v="1806"/>
    <x v="1731"/>
    <x v="1"/>
    <x v="1797"/>
    <x v="1808"/>
    <x v="575"/>
    <x v="0"/>
    <x v="0"/>
    <x v="4"/>
    <x v="146"/>
    <x v="6"/>
    <x v="313"/>
    <x v="10"/>
    <x v="1"/>
    <x v="1"/>
  </r>
  <r>
    <x v="0"/>
    <x v="648"/>
    <x v="299"/>
    <x v="41"/>
    <x v="45"/>
    <x v="426"/>
    <x v="56"/>
    <x v="1722"/>
    <x v="26"/>
    <x v="728"/>
    <x v="1178"/>
    <x v="1376"/>
    <x v="1809"/>
    <x v="1807"/>
    <x v="552"/>
    <x v="4"/>
    <x v="1798"/>
    <x v="1809"/>
    <x v="713"/>
    <x v="0"/>
    <x v="1"/>
    <x v="4"/>
    <x v="168"/>
    <x v="18"/>
    <x v="628"/>
    <x v="22"/>
    <x v="1"/>
    <x v="1"/>
  </r>
  <r>
    <x v="0"/>
    <x v="133"/>
    <x v="239"/>
    <x v="52"/>
    <x v="98"/>
    <x v="366"/>
    <x v="13"/>
    <x v="1723"/>
    <x v="539"/>
    <x v="158"/>
    <x v="89"/>
    <x v="1375"/>
    <x v="1810"/>
    <x v="1808"/>
    <x v="1732"/>
    <x v="1"/>
    <x v="1799"/>
    <x v="1810"/>
    <x v="715"/>
    <x v="0"/>
    <x v="0"/>
    <x v="4"/>
    <x v="159"/>
    <x v="15"/>
    <x v="31"/>
    <x v="21"/>
    <x v="3"/>
    <x v="1"/>
  </r>
  <r>
    <x v="0"/>
    <x v="200"/>
    <x v="238"/>
    <x v="59"/>
    <x v="140"/>
    <x v="579"/>
    <x v="0"/>
    <x v="1724"/>
    <x v="353"/>
    <x v="285"/>
    <x v="46"/>
    <x v="1377"/>
    <x v="1811"/>
    <x v="1809"/>
    <x v="1733"/>
    <x v="0"/>
    <x v="1800"/>
    <x v="1811"/>
    <x v="630"/>
    <x v="0"/>
    <x v="0"/>
    <x v="4"/>
    <x v="146"/>
    <x v="14"/>
    <x v="36"/>
    <x v="21"/>
    <x v="1"/>
    <x v="43"/>
  </r>
  <r>
    <x v="0"/>
    <x v="277"/>
    <x v="312"/>
    <x v="27"/>
    <x v="181"/>
    <x v="710"/>
    <x v="13"/>
    <x v="1725"/>
    <x v="200"/>
    <x v="158"/>
    <x v="660"/>
    <x v="1378"/>
    <x v="1812"/>
    <x v="1810"/>
    <x v="1734"/>
    <x v="1"/>
    <x v="1801"/>
    <x v="1812"/>
    <x v="718"/>
    <x v="0"/>
    <x v="0"/>
    <x v="4"/>
    <x v="131"/>
    <x v="8"/>
    <x v="249"/>
    <x v="20"/>
    <x v="1"/>
    <x v="323"/>
  </r>
  <r>
    <x v="1"/>
    <x v="596"/>
    <x v="390"/>
    <x v="60"/>
    <x v="152"/>
    <x v="174"/>
    <x v="156"/>
    <x v="1726"/>
    <x v="306"/>
    <x v="289"/>
    <x v="125"/>
    <x v="1379"/>
    <x v="1813"/>
    <x v="1811"/>
    <x v="1735"/>
    <x v="2"/>
    <x v="1802"/>
    <x v="1813"/>
    <x v="802"/>
    <x v="0"/>
    <x v="4"/>
    <x v="4"/>
    <x v="154"/>
    <x v="17"/>
    <x v="88"/>
    <x v="5"/>
    <x v="3"/>
    <x v="326"/>
  </r>
  <r>
    <x v="0"/>
    <x v="85"/>
    <x v="428"/>
    <x v="24"/>
    <x v="0"/>
    <x v="708"/>
    <x v="87"/>
    <x v="4"/>
    <x v="225"/>
    <x v="729"/>
    <x v="1179"/>
    <x v="1380"/>
    <x v="1814"/>
    <x v="1812"/>
    <x v="1736"/>
    <x v="1"/>
    <x v="1803"/>
    <x v="1814"/>
    <x v="786"/>
    <x v="0"/>
    <x v="10"/>
    <x v="1"/>
    <x v="146"/>
    <x v="7"/>
    <x v="231"/>
    <x v="4"/>
    <x v="1"/>
    <x v="327"/>
  </r>
  <r>
    <x v="0"/>
    <x v="288"/>
    <x v="111"/>
    <x v="43"/>
    <x v="186"/>
    <x v="334"/>
    <x v="362"/>
    <x v="1727"/>
    <x v="132"/>
    <x v="730"/>
    <x v="1180"/>
    <x v="452"/>
    <x v="1815"/>
    <x v="1813"/>
    <x v="1737"/>
    <x v="1"/>
    <x v="1804"/>
    <x v="1815"/>
    <x v="781"/>
    <x v="0"/>
    <x v="0"/>
    <x v="2"/>
    <x v="140"/>
    <x v="0"/>
    <x v="609"/>
    <x v="31"/>
    <x v="3"/>
    <x v="1"/>
  </r>
  <r>
    <x v="0"/>
    <x v="197"/>
    <x v="309"/>
    <x v="55"/>
    <x v="139"/>
    <x v="463"/>
    <x v="35"/>
    <x v="1728"/>
    <x v="540"/>
    <x v="157"/>
    <x v="1181"/>
    <x v="683"/>
    <x v="1816"/>
    <x v="1814"/>
    <x v="1738"/>
    <x v="4"/>
    <x v="1805"/>
    <x v="1816"/>
    <x v="484"/>
    <x v="0"/>
    <x v="0"/>
    <x v="2"/>
    <x v="140"/>
    <x v="17"/>
    <x v="629"/>
    <x v="9"/>
    <x v="3"/>
    <x v="1"/>
  </r>
  <r>
    <x v="0"/>
    <x v="287"/>
    <x v="259"/>
    <x v="82"/>
    <x v="0"/>
    <x v="337"/>
    <x v="134"/>
    <x v="1729"/>
    <x v="127"/>
    <x v="252"/>
    <x v="513"/>
    <x v="1381"/>
    <x v="1817"/>
    <x v="1815"/>
    <x v="1739"/>
    <x v="1"/>
    <x v="1806"/>
    <x v="1817"/>
    <x v="22"/>
    <x v="0"/>
    <x v="0"/>
    <x v="4"/>
    <x v="140"/>
    <x v="12"/>
    <x v="334"/>
    <x v="1"/>
    <x v="3"/>
    <x v="1"/>
  </r>
  <r>
    <x v="0"/>
    <x v="397"/>
    <x v="295"/>
    <x v="32"/>
    <x v="225"/>
    <x v="659"/>
    <x v="0"/>
    <x v="1730"/>
    <x v="105"/>
    <x v="384"/>
    <x v="1182"/>
    <x v="1211"/>
    <x v="1818"/>
    <x v="1816"/>
    <x v="1740"/>
    <x v="0"/>
    <x v="1807"/>
    <x v="1818"/>
    <x v="47"/>
    <x v="0"/>
    <x v="0"/>
    <x v="4"/>
    <x v="131"/>
    <x v="20"/>
    <x v="630"/>
    <x v="13"/>
    <x v="1"/>
    <x v="1"/>
  </r>
  <r>
    <x v="0"/>
    <x v="780"/>
    <x v="268"/>
    <x v="37"/>
    <x v="233"/>
    <x v="698"/>
    <x v="21"/>
    <x v="1731"/>
    <x v="171"/>
    <x v="22"/>
    <x v="1183"/>
    <x v="1382"/>
    <x v="1819"/>
    <x v="1817"/>
    <x v="1741"/>
    <x v="0"/>
    <x v="1808"/>
    <x v="1819"/>
    <x v="488"/>
    <x v="0"/>
    <x v="0"/>
    <x v="4"/>
    <x v="168"/>
    <x v="11"/>
    <x v="578"/>
    <x v="12"/>
    <x v="1"/>
    <x v="61"/>
  </r>
  <r>
    <x v="0"/>
    <x v="246"/>
    <x v="303"/>
    <x v="70"/>
    <x v="166"/>
    <x v="651"/>
    <x v="127"/>
    <x v="1732"/>
    <x v="132"/>
    <x v="239"/>
    <x v="556"/>
    <x v="1383"/>
    <x v="1820"/>
    <x v="1818"/>
    <x v="1742"/>
    <x v="2"/>
    <x v="1809"/>
    <x v="1820"/>
    <x v="558"/>
    <x v="0"/>
    <x v="0"/>
    <x v="0"/>
    <x v="140"/>
    <x v="22"/>
    <x v="309"/>
    <x v="19"/>
    <x v="3"/>
    <x v="1"/>
  </r>
  <r>
    <x v="0"/>
    <x v="473"/>
    <x v="221"/>
    <x v="85"/>
    <x v="212"/>
    <x v="39"/>
    <x v="2"/>
    <x v="1733"/>
    <x v="132"/>
    <x v="182"/>
    <x v="658"/>
    <x v="1384"/>
    <x v="1821"/>
    <x v="1819"/>
    <x v="1743"/>
    <x v="3"/>
    <x v="1810"/>
    <x v="1821"/>
    <x v="278"/>
    <x v="0"/>
    <x v="0"/>
    <x v="4"/>
    <x v="146"/>
    <x v="8"/>
    <x v="408"/>
    <x v="15"/>
    <x v="1"/>
    <x v="1"/>
  </r>
  <r>
    <x v="0"/>
    <x v="279"/>
    <x v="358"/>
    <x v="61"/>
    <x v="183"/>
    <x v="293"/>
    <x v="0"/>
    <x v="1734"/>
    <x v="105"/>
    <x v="327"/>
    <x v="176"/>
    <x v="1385"/>
    <x v="1822"/>
    <x v="1820"/>
    <x v="1744"/>
    <x v="1"/>
    <x v="1811"/>
    <x v="1822"/>
    <x v="55"/>
    <x v="0"/>
    <x v="0"/>
    <x v="0"/>
    <x v="140"/>
    <x v="20"/>
    <x v="120"/>
    <x v="15"/>
    <x v="1"/>
    <x v="1"/>
  </r>
  <r>
    <x v="0"/>
    <x v="260"/>
    <x v="155"/>
    <x v="106"/>
    <x v="0"/>
    <x v="78"/>
    <x v="22"/>
    <x v="1735"/>
    <x v="304"/>
    <x v="226"/>
    <x v="1184"/>
    <x v="1386"/>
    <x v="1823"/>
    <x v="1821"/>
    <x v="1745"/>
    <x v="0"/>
    <x v="1812"/>
    <x v="1823"/>
    <x v="803"/>
    <x v="0"/>
    <x v="0"/>
    <x v="4"/>
    <x v="134"/>
    <x v="17"/>
    <x v="631"/>
    <x v="7"/>
    <x v="1"/>
    <x v="1"/>
  </r>
  <r>
    <x v="0"/>
    <x v="133"/>
    <x v="324"/>
    <x v="69"/>
    <x v="98"/>
    <x v="227"/>
    <x v="94"/>
    <x v="1736"/>
    <x v="251"/>
    <x v="218"/>
    <x v="297"/>
    <x v="1217"/>
    <x v="1824"/>
    <x v="1822"/>
    <x v="1746"/>
    <x v="7"/>
    <x v="1813"/>
    <x v="1824"/>
    <x v="627"/>
    <x v="0"/>
    <x v="0"/>
    <x v="4"/>
    <x v="140"/>
    <x v="22"/>
    <x v="30"/>
    <x v="4"/>
    <x v="1"/>
    <x v="1"/>
  </r>
  <r>
    <x v="0"/>
    <x v="113"/>
    <x v="212"/>
    <x v="96"/>
    <x v="88"/>
    <x v="685"/>
    <x v="116"/>
    <x v="4"/>
    <x v="125"/>
    <x v="731"/>
    <x v="1185"/>
    <x v="1387"/>
    <x v="1825"/>
    <x v="1823"/>
    <x v="700"/>
    <x v="7"/>
    <x v="1814"/>
    <x v="1825"/>
    <x v="748"/>
    <x v="0"/>
    <x v="0"/>
    <x v="7"/>
    <x v="4"/>
    <x v="4"/>
    <x v="632"/>
    <x v="36"/>
    <x v="8"/>
    <x v="1"/>
  </r>
  <r>
    <x v="1"/>
    <x v="755"/>
    <x v="392"/>
    <x v="145"/>
    <x v="0"/>
    <x v="320"/>
    <x v="402"/>
    <x v="1737"/>
    <x v="156"/>
    <x v="732"/>
    <x v="1186"/>
    <x v="1388"/>
    <x v="1826"/>
    <x v="1824"/>
    <x v="1747"/>
    <x v="16"/>
    <x v="1815"/>
    <x v="1826"/>
    <x v="191"/>
    <x v="0"/>
    <x v="0"/>
    <x v="2"/>
    <x v="140"/>
    <x v="47"/>
    <x v="633"/>
    <x v="38"/>
    <x v="1"/>
    <x v="1"/>
  </r>
  <r>
    <x v="0"/>
    <x v="548"/>
    <x v="400"/>
    <x v="79"/>
    <x v="0"/>
    <x v="661"/>
    <x v="403"/>
    <x v="1738"/>
    <x v="60"/>
    <x v="733"/>
    <x v="1187"/>
    <x v="1389"/>
    <x v="1827"/>
    <x v="1825"/>
    <x v="1748"/>
    <x v="0"/>
    <x v="1816"/>
    <x v="1827"/>
    <x v="804"/>
    <x v="0"/>
    <x v="0"/>
    <x v="0"/>
    <x v="140"/>
    <x v="12"/>
    <x v="520"/>
    <x v="12"/>
    <x v="1"/>
    <x v="1"/>
  </r>
  <r>
    <x v="0"/>
    <x v="504"/>
    <x v="177"/>
    <x v="78"/>
    <x v="101"/>
    <x v="688"/>
    <x v="401"/>
    <x v="1739"/>
    <x v="381"/>
    <x v="734"/>
    <x v="1188"/>
    <x v="1390"/>
    <x v="1828"/>
    <x v="1826"/>
    <x v="1749"/>
    <x v="0"/>
    <x v="1817"/>
    <x v="1828"/>
    <x v="805"/>
    <x v="0"/>
    <x v="0"/>
    <x v="4"/>
    <x v="140"/>
    <x v="17"/>
    <x v="578"/>
    <x v="5"/>
    <x v="3"/>
    <x v="1"/>
  </r>
  <r>
    <x v="0"/>
    <x v="375"/>
    <x v="148"/>
    <x v="86"/>
    <x v="0"/>
    <x v="212"/>
    <x v="0"/>
    <x v="1740"/>
    <x v="541"/>
    <x v="185"/>
    <x v="886"/>
    <x v="560"/>
    <x v="1829"/>
    <x v="1827"/>
    <x v="1750"/>
    <x v="3"/>
    <x v="1818"/>
    <x v="1829"/>
    <x v="806"/>
    <x v="0"/>
    <x v="1"/>
    <x v="0"/>
    <x v="140"/>
    <x v="21"/>
    <x v="511"/>
    <x v="6"/>
    <x v="1"/>
    <x v="37"/>
  </r>
  <r>
    <x v="0"/>
    <x v="378"/>
    <x v="84"/>
    <x v="7"/>
    <x v="94"/>
    <x v="492"/>
    <x v="35"/>
    <x v="1741"/>
    <x v="275"/>
    <x v="184"/>
    <x v="1189"/>
    <x v="736"/>
    <x v="1830"/>
    <x v="1828"/>
    <x v="1751"/>
    <x v="0"/>
    <x v="1819"/>
    <x v="1830"/>
    <x v="419"/>
    <x v="0"/>
    <x v="0"/>
    <x v="4"/>
    <x v="140"/>
    <x v="5"/>
    <x v="125"/>
    <x v="31"/>
    <x v="1"/>
    <x v="1"/>
  </r>
  <r>
    <x v="0"/>
    <x v="27"/>
    <x v="445"/>
    <x v="74"/>
    <x v="0"/>
    <x v="201"/>
    <x v="25"/>
    <x v="1742"/>
    <x v="539"/>
    <x v="138"/>
    <x v="1190"/>
    <x v="254"/>
    <x v="1831"/>
    <x v="1829"/>
    <x v="1752"/>
    <x v="2"/>
    <x v="1820"/>
    <x v="1831"/>
    <x v="158"/>
    <x v="0"/>
    <x v="0"/>
    <x v="4"/>
    <x v="140"/>
    <x v="9"/>
    <x v="11"/>
    <x v="12"/>
    <x v="1"/>
    <x v="132"/>
  </r>
  <r>
    <x v="0"/>
    <x v="166"/>
    <x v="271"/>
    <x v="56"/>
    <x v="8"/>
    <x v="10"/>
    <x v="32"/>
    <x v="1743"/>
    <x v="105"/>
    <x v="59"/>
    <x v="703"/>
    <x v="1391"/>
    <x v="1832"/>
    <x v="1830"/>
    <x v="1753"/>
    <x v="4"/>
    <x v="1821"/>
    <x v="1832"/>
    <x v="178"/>
    <x v="0"/>
    <x v="0"/>
    <x v="0"/>
    <x v="140"/>
    <x v="14"/>
    <x v="13"/>
    <x v="12"/>
    <x v="3"/>
    <x v="328"/>
  </r>
  <r>
    <x v="0"/>
    <x v="298"/>
    <x v="474"/>
    <x v="50"/>
    <x v="191"/>
    <x v="711"/>
    <x v="35"/>
    <x v="1744"/>
    <x v="542"/>
    <x v="280"/>
    <x v="1191"/>
    <x v="1392"/>
    <x v="1833"/>
    <x v="1831"/>
    <x v="1754"/>
    <x v="0"/>
    <x v="1822"/>
    <x v="1833"/>
    <x v="447"/>
    <x v="0"/>
    <x v="0"/>
    <x v="2"/>
    <x v="140"/>
    <x v="19"/>
    <x v="634"/>
    <x v="31"/>
    <x v="3"/>
    <x v="329"/>
  </r>
  <r>
    <x v="0"/>
    <x v="321"/>
    <x v="303"/>
    <x v="82"/>
    <x v="200"/>
    <x v="305"/>
    <x v="327"/>
    <x v="1745"/>
    <x v="543"/>
    <x v="582"/>
    <x v="1192"/>
    <x v="1393"/>
    <x v="1834"/>
    <x v="1832"/>
    <x v="1755"/>
    <x v="2"/>
    <x v="1823"/>
    <x v="1834"/>
    <x v="585"/>
    <x v="0"/>
    <x v="0"/>
    <x v="0"/>
    <x v="140"/>
    <x v="39"/>
    <x v="273"/>
    <x v="13"/>
    <x v="1"/>
    <x v="1"/>
  </r>
  <r>
    <x v="0"/>
    <x v="474"/>
    <x v="259"/>
    <x v="72"/>
    <x v="246"/>
    <x v="23"/>
    <x v="24"/>
    <x v="1746"/>
    <x v="306"/>
    <x v="131"/>
    <x v="330"/>
    <x v="1394"/>
    <x v="1835"/>
    <x v="1833"/>
    <x v="1756"/>
    <x v="0"/>
    <x v="1824"/>
    <x v="1835"/>
    <x v="781"/>
    <x v="0"/>
    <x v="0"/>
    <x v="4"/>
    <x v="140"/>
    <x v="0"/>
    <x v="28"/>
    <x v="1"/>
    <x v="1"/>
    <x v="7"/>
  </r>
  <r>
    <x v="0"/>
    <x v="781"/>
    <x v="398"/>
    <x v="7"/>
    <x v="193"/>
    <x v="84"/>
    <x v="0"/>
    <x v="1747"/>
    <x v="544"/>
    <x v="735"/>
    <x v="1066"/>
    <x v="107"/>
    <x v="1836"/>
    <x v="1834"/>
    <x v="861"/>
    <x v="2"/>
    <x v="1825"/>
    <x v="1836"/>
    <x v="704"/>
    <x v="0"/>
    <x v="0"/>
    <x v="2"/>
    <x v="140"/>
    <x v="14"/>
    <x v="93"/>
    <x v="33"/>
    <x v="1"/>
    <x v="330"/>
  </r>
  <r>
    <x v="0"/>
    <x v="293"/>
    <x v="245"/>
    <x v="18"/>
    <x v="0"/>
    <x v="253"/>
    <x v="13"/>
    <x v="1748"/>
    <x v="127"/>
    <x v="158"/>
    <x v="400"/>
    <x v="1395"/>
    <x v="1837"/>
    <x v="1835"/>
    <x v="1757"/>
    <x v="11"/>
    <x v="1826"/>
    <x v="1837"/>
    <x v="227"/>
    <x v="0"/>
    <x v="0"/>
    <x v="0"/>
    <x v="121"/>
    <x v="10"/>
    <x v="269"/>
    <x v="20"/>
    <x v="3"/>
    <x v="35"/>
  </r>
  <r>
    <x v="0"/>
    <x v="782"/>
    <x v="197"/>
    <x v="34"/>
    <x v="255"/>
    <x v="712"/>
    <x v="2"/>
    <x v="1749"/>
    <x v="260"/>
    <x v="60"/>
    <x v="1193"/>
    <x v="1396"/>
    <x v="1838"/>
    <x v="1836"/>
    <x v="1758"/>
    <x v="1"/>
    <x v="1827"/>
    <x v="1838"/>
    <x v="339"/>
    <x v="0"/>
    <x v="10"/>
    <x v="4"/>
    <x v="114"/>
    <x v="18"/>
    <x v="14"/>
    <x v="19"/>
    <x v="1"/>
    <x v="67"/>
  </r>
  <r>
    <x v="0"/>
    <x v="446"/>
    <x v="220"/>
    <x v="47"/>
    <x v="101"/>
    <x v="309"/>
    <x v="404"/>
    <x v="1750"/>
    <x v="180"/>
    <x v="736"/>
    <x v="164"/>
    <x v="1397"/>
    <x v="1839"/>
    <x v="1837"/>
    <x v="367"/>
    <x v="1"/>
    <x v="1828"/>
    <x v="1839"/>
    <x v="600"/>
    <x v="0"/>
    <x v="0"/>
    <x v="4"/>
    <x v="140"/>
    <x v="3"/>
    <x v="109"/>
    <x v="21"/>
    <x v="1"/>
    <x v="50"/>
  </r>
  <r>
    <x v="0"/>
    <x v="372"/>
    <x v="249"/>
    <x v="47"/>
    <x v="8"/>
    <x v="56"/>
    <x v="327"/>
    <x v="1751"/>
    <x v="127"/>
    <x v="737"/>
    <x v="396"/>
    <x v="1398"/>
    <x v="1840"/>
    <x v="1838"/>
    <x v="1759"/>
    <x v="4"/>
    <x v="1829"/>
    <x v="1840"/>
    <x v="581"/>
    <x v="0"/>
    <x v="0"/>
    <x v="0"/>
    <x v="140"/>
    <x v="14"/>
    <x v="266"/>
    <x v="31"/>
    <x v="3"/>
    <x v="331"/>
  </r>
  <r>
    <x v="0"/>
    <x v="783"/>
    <x v="424"/>
    <x v="77"/>
    <x v="78"/>
    <x v="70"/>
    <x v="0"/>
    <x v="1752"/>
    <x v="545"/>
    <x v="738"/>
    <x v="300"/>
    <x v="1399"/>
    <x v="1841"/>
    <x v="1839"/>
    <x v="1760"/>
    <x v="0"/>
    <x v="1830"/>
    <x v="1841"/>
    <x v="167"/>
    <x v="0"/>
    <x v="4"/>
    <x v="0"/>
    <x v="140"/>
    <x v="24"/>
    <x v="202"/>
    <x v="44"/>
    <x v="1"/>
    <x v="332"/>
  </r>
  <r>
    <x v="0"/>
    <x v="784"/>
    <x v="372"/>
    <x v="59"/>
    <x v="164"/>
    <x v="606"/>
    <x v="0"/>
    <x v="1753"/>
    <x v="168"/>
    <x v="255"/>
    <x v="420"/>
    <x v="1204"/>
    <x v="1842"/>
    <x v="1840"/>
    <x v="1761"/>
    <x v="3"/>
    <x v="1831"/>
    <x v="1842"/>
    <x v="650"/>
    <x v="0"/>
    <x v="0"/>
    <x v="4"/>
    <x v="134"/>
    <x v="25"/>
    <x v="50"/>
    <x v="9"/>
    <x v="3"/>
    <x v="333"/>
  </r>
  <r>
    <x v="0"/>
    <x v="785"/>
    <x v="417"/>
    <x v="7"/>
    <x v="216"/>
    <x v="463"/>
    <x v="405"/>
    <x v="4"/>
    <x v="471"/>
    <x v="739"/>
    <x v="77"/>
    <x v="1400"/>
    <x v="1843"/>
    <x v="1841"/>
    <x v="1762"/>
    <x v="4"/>
    <x v="1832"/>
    <x v="1843"/>
    <x v="212"/>
    <x v="0"/>
    <x v="0"/>
    <x v="4"/>
    <x v="140"/>
    <x v="13"/>
    <x v="56"/>
    <x v="22"/>
    <x v="3"/>
    <x v="1"/>
  </r>
  <r>
    <x v="0"/>
    <x v="696"/>
    <x v="410"/>
    <x v="33"/>
    <x v="201"/>
    <x v="515"/>
    <x v="2"/>
    <x v="1754"/>
    <x v="546"/>
    <x v="740"/>
    <x v="880"/>
    <x v="775"/>
    <x v="1844"/>
    <x v="1842"/>
    <x v="1763"/>
    <x v="0"/>
    <x v="1833"/>
    <x v="1844"/>
    <x v="128"/>
    <x v="0"/>
    <x v="0"/>
    <x v="0"/>
    <x v="140"/>
    <x v="18"/>
    <x v="92"/>
    <x v="2"/>
    <x v="15"/>
    <x v="334"/>
  </r>
  <r>
    <x v="0"/>
    <x v="363"/>
    <x v="392"/>
    <x v="7"/>
    <x v="213"/>
    <x v="658"/>
    <x v="10"/>
    <x v="4"/>
    <x v="127"/>
    <x v="40"/>
    <x v="1194"/>
    <x v="1169"/>
    <x v="1845"/>
    <x v="1843"/>
    <x v="1764"/>
    <x v="7"/>
    <x v="1834"/>
    <x v="1845"/>
    <x v="510"/>
    <x v="0"/>
    <x v="0"/>
    <x v="0"/>
    <x v="140"/>
    <x v="2"/>
    <x v="488"/>
    <x v="61"/>
    <x v="3"/>
    <x v="1"/>
  </r>
  <r>
    <x v="0"/>
    <x v="786"/>
    <x v="430"/>
    <x v="54"/>
    <x v="0"/>
    <x v="713"/>
    <x v="359"/>
    <x v="1755"/>
    <x v="547"/>
    <x v="741"/>
    <x v="1195"/>
    <x v="1401"/>
    <x v="1846"/>
    <x v="1844"/>
    <x v="1765"/>
    <x v="1"/>
    <x v="1835"/>
    <x v="1846"/>
    <x v="721"/>
    <x v="0"/>
    <x v="0"/>
    <x v="2"/>
    <x v="180"/>
    <x v="25"/>
    <x v="635"/>
    <x v="31"/>
    <x v="1"/>
    <x v="335"/>
  </r>
  <r>
    <x v="0"/>
    <x v="228"/>
    <x v="305"/>
    <x v="85"/>
    <x v="155"/>
    <x v="135"/>
    <x v="17"/>
    <x v="1756"/>
    <x v="123"/>
    <x v="32"/>
    <x v="1196"/>
    <x v="166"/>
    <x v="1847"/>
    <x v="1845"/>
    <x v="1766"/>
    <x v="0"/>
    <x v="1836"/>
    <x v="1847"/>
    <x v="189"/>
    <x v="0"/>
    <x v="0"/>
    <x v="0"/>
    <x v="140"/>
    <x v="2"/>
    <x v="521"/>
    <x v="12"/>
    <x v="1"/>
    <x v="59"/>
  </r>
  <r>
    <x v="0"/>
    <x v="787"/>
    <x v="84"/>
    <x v="74"/>
    <x v="302"/>
    <x v="714"/>
    <x v="23"/>
    <x v="1757"/>
    <x v="260"/>
    <x v="613"/>
    <x v="393"/>
    <x v="1402"/>
    <x v="1848"/>
    <x v="1846"/>
    <x v="1767"/>
    <x v="0"/>
    <x v="1837"/>
    <x v="1848"/>
    <x v="493"/>
    <x v="0"/>
    <x v="1"/>
    <x v="4"/>
    <x v="159"/>
    <x v="12"/>
    <x v="264"/>
    <x v="7"/>
    <x v="3"/>
    <x v="1"/>
  </r>
  <r>
    <x v="0"/>
    <x v="289"/>
    <x v="115"/>
    <x v="60"/>
    <x v="0"/>
    <x v="41"/>
    <x v="406"/>
    <x v="1758"/>
    <x v="270"/>
    <x v="742"/>
    <x v="1197"/>
    <x v="1403"/>
    <x v="1849"/>
    <x v="1847"/>
    <x v="1768"/>
    <x v="0"/>
    <x v="1838"/>
    <x v="1849"/>
    <x v="807"/>
    <x v="16"/>
    <x v="0"/>
    <x v="4"/>
    <x v="116"/>
    <x v="14"/>
    <x v="636"/>
    <x v="1"/>
    <x v="1"/>
    <x v="38"/>
  </r>
  <r>
    <x v="0"/>
    <x v="126"/>
    <x v="394"/>
    <x v="31"/>
    <x v="0"/>
    <x v="715"/>
    <x v="49"/>
    <x v="1759"/>
    <x v="535"/>
    <x v="86"/>
    <x v="1198"/>
    <x v="1404"/>
    <x v="1850"/>
    <x v="1848"/>
    <x v="1769"/>
    <x v="7"/>
    <x v="1839"/>
    <x v="1850"/>
    <x v="533"/>
    <x v="0"/>
    <x v="0"/>
    <x v="0"/>
    <x v="131"/>
    <x v="27"/>
    <x v="30"/>
    <x v="8"/>
    <x v="1"/>
    <x v="1"/>
  </r>
  <r>
    <x v="0"/>
    <x v="277"/>
    <x v="388"/>
    <x v="82"/>
    <x v="181"/>
    <x v="555"/>
    <x v="14"/>
    <x v="1760"/>
    <x v="270"/>
    <x v="56"/>
    <x v="694"/>
    <x v="1405"/>
    <x v="1851"/>
    <x v="1849"/>
    <x v="1770"/>
    <x v="3"/>
    <x v="1840"/>
    <x v="1851"/>
    <x v="569"/>
    <x v="0"/>
    <x v="0"/>
    <x v="4"/>
    <x v="131"/>
    <x v="32"/>
    <x v="103"/>
    <x v="25"/>
    <x v="3"/>
    <x v="85"/>
  </r>
  <r>
    <x v="0"/>
    <x v="326"/>
    <x v="35"/>
    <x v="38"/>
    <x v="121"/>
    <x v="716"/>
    <x v="17"/>
    <x v="1761"/>
    <x v="270"/>
    <x v="303"/>
    <x v="1199"/>
    <x v="1406"/>
    <x v="1852"/>
    <x v="1850"/>
    <x v="1771"/>
    <x v="0"/>
    <x v="1841"/>
    <x v="1852"/>
    <x v="135"/>
    <x v="0"/>
    <x v="0"/>
    <x v="4"/>
    <x v="152"/>
    <x v="8"/>
    <x v="637"/>
    <x v="17"/>
    <x v="1"/>
    <x v="82"/>
  </r>
  <r>
    <x v="0"/>
    <x v="78"/>
    <x v="354"/>
    <x v="74"/>
    <x v="0"/>
    <x v="390"/>
    <x v="35"/>
    <x v="1762"/>
    <x v="406"/>
    <x v="112"/>
    <x v="173"/>
    <x v="550"/>
    <x v="1853"/>
    <x v="1851"/>
    <x v="1772"/>
    <x v="1"/>
    <x v="1842"/>
    <x v="1853"/>
    <x v="519"/>
    <x v="0"/>
    <x v="0"/>
    <x v="0"/>
    <x v="181"/>
    <x v="8"/>
    <x v="117"/>
    <x v="21"/>
    <x v="1"/>
    <x v="1"/>
  </r>
  <r>
    <x v="0"/>
    <x v="430"/>
    <x v="481"/>
    <x v="41"/>
    <x v="235"/>
    <x v="440"/>
    <x v="21"/>
    <x v="1763"/>
    <x v="3"/>
    <x v="22"/>
    <x v="1121"/>
    <x v="644"/>
    <x v="1854"/>
    <x v="1852"/>
    <x v="1773"/>
    <x v="0"/>
    <x v="1843"/>
    <x v="1854"/>
    <x v="44"/>
    <x v="0"/>
    <x v="10"/>
    <x v="0"/>
    <x v="131"/>
    <x v="8"/>
    <x v="15"/>
    <x v="0"/>
    <x v="1"/>
    <x v="5"/>
  </r>
  <r>
    <x v="0"/>
    <x v="788"/>
    <x v="69"/>
    <x v="34"/>
    <x v="142"/>
    <x v="456"/>
    <x v="333"/>
    <x v="1764"/>
    <x v="17"/>
    <x v="743"/>
    <x v="1200"/>
    <x v="1407"/>
    <x v="1855"/>
    <x v="1853"/>
    <x v="1774"/>
    <x v="0"/>
    <x v="1844"/>
    <x v="1855"/>
    <x v="195"/>
    <x v="0"/>
    <x v="0"/>
    <x v="0"/>
    <x v="140"/>
    <x v="11"/>
    <x v="74"/>
    <x v="10"/>
    <x v="1"/>
    <x v="64"/>
  </r>
  <r>
    <x v="0"/>
    <x v="210"/>
    <x v="422"/>
    <x v="74"/>
    <x v="138"/>
    <x v="717"/>
    <x v="197"/>
    <x v="1765"/>
    <x v="548"/>
    <x v="451"/>
    <x v="420"/>
    <x v="1408"/>
    <x v="1856"/>
    <x v="1854"/>
    <x v="1775"/>
    <x v="0"/>
    <x v="1845"/>
    <x v="1856"/>
    <x v="189"/>
    <x v="0"/>
    <x v="0"/>
    <x v="4"/>
    <x v="131"/>
    <x v="29"/>
    <x v="50"/>
    <x v="9"/>
    <x v="3"/>
    <x v="1"/>
  </r>
  <r>
    <x v="1"/>
    <x v="38"/>
    <x v="215"/>
    <x v="146"/>
    <x v="25"/>
    <x v="322"/>
    <x v="21"/>
    <x v="1766"/>
    <x v="406"/>
    <x v="22"/>
    <x v="1201"/>
    <x v="1409"/>
    <x v="1857"/>
    <x v="1855"/>
    <x v="1776"/>
    <x v="0"/>
    <x v="1846"/>
    <x v="1857"/>
    <x v="808"/>
    <x v="0"/>
    <x v="0"/>
    <x v="4"/>
    <x v="134"/>
    <x v="27"/>
    <x v="66"/>
    <x v="49"/>
    <x v="3"/>
    <x v="25"/>
  </r>
  <r>
    <x v="0"/>
    <x v="716"/>
    <x v="482"/>
    <x v="75"/>
    <x v="61"/>
    <x v="10"/>
    <x v="10"/>
    <x v="1767"/>
    <x v="270"/>
    <x v="16"/>
    <x v="38"/>
    <x v="1410"/>
    <x v="1858"/>
    <x v="1856"/>
    <x v="1777"/>
    <x v="4"/>
    <x v="1847"/>
    <x v="1858"/>
    <x v="680"/>
    <x v="0"/>
    <x v="0"/>
    <x v="0"/>
    <x v="131"/>
    <x v="10"/>
    <x v="13"/>
    <x v="14"/>
    <x v="3"/>
    <x v="300"/>
  </r>
  <r>
    <x v="0"/>
    <x v="111"/>
    <x v="400"/>
    <x v="57"/>
    <x v="87"/>
    <x v="207"/>
    <x v="32"/>
    <x v="1768"/>
    <x v="283"/>
    <x v="38"/>
    <x v="1202"/>
    <x v="1411"/>
    <x v="1859"/>
    <x v="1857"/>
    <x v="1778"/>
    <x v="1"/>
    <x v="1848"/>
    <x v="1859"/>
    <x v="715"/>
    <x v="0"/>
    <x v="0"/>
    <x v="4"/>
    <x v="168"/>
    <x v="9"/>
    <x v="53"/>
    <x v="5"/>
    <x v="1"/>
    <x v="59"/>
  </r>
  <r>
    <x v="0"/>
    <x v="154"/>
    <x v="160"/>
    <x v="41"/>
    <x v="113"/>
    <x v="623"/>
    <x v="41"/>
    <x v="1769"/>
    <x v="549"/>
    <x v="221"/>
    <x v="323"/>
    <x v="1052"/>
    <x v="1860"/>
    <x v="1858"/>
    <x v="1779"/>
    <x v="0"/>
    <x v="1849"/>
    <x v="1860"/>
    <x v="585"/>
    <x v="0"/>
    <x v="0"/>
    <x v="2"/>
    <x v="67"/>
    <x v="14"/>
    <x v="12"/>
    <x v="41"/>
    <x v="3"/>
    <x v="336"/>
  </r>
  <r>
    <x v="0"/>
    <x v="789"/>
    <x v="429"/>
    <x v="86"/>
    <x v="0"/>
    <x v="358"/>
    <x v="0"/>
    <x v="4"/>
    <x v="550"/>
    <x v="251"/>
    <x v="1203"/>
    <x v="1412"/>
    <x v="1861"/>
    <x v="1859"/>
    <x v="1780"/>
    <x v="1"/>
    <x v="1850"/>
    <x v="1861"/>
    <x v="684"/>
    <x v="9"/>
    <x v="21"/>
    <x v="1"/>
    <x v="140"/>
    <x v="11"/>
    <x v="638"/>
    <x v="28"/>
    <x v="3"/>
    <x v="1"/>
  </r>
  <r>
    <x v="0"/>
    <x v="648"/>
    <x v="446"/>
    <x v="55"/>
    <x v="45"/>
    <x v="718"/>
    <x v="350"/>
    <x v="1770"/>
    <x v="355"/>
    <x v="744"/>
    <x v="1204"/>
    <x v="1413"/>
    <x v="1862"/>
    <x v="1860"/>
    <x v="1781"/>
    <x v="0"/>
    <x v="1851"/>
    <x v="1862"/>
    <x v="809"/>
    <x v="0"/>
    <x v="0"/>
    <x v="4"/>
    <x v="116"/>
    <x v="17"/>
    <x v="153"/>
    <x v="27"/>
    <x v="1"/>
    <x v="67"/>
  </r>
  <r>
    <x v="0"/>
    <x v="790"/>
    <x v="239"/>
    <x v="59"/>
    <x v="303"/>
    <x v="590"/>
    <x v="344"/>
    <x v="4"/>
    <x v="270"/>
    <x v="745"/>
    <x v="1205"/>
    <x v="1414"/>
    <x v="1863"/>
    <x v="1861"/>
    <x v="1782"/>
    <x v="4"/>
    <x v="4"/>
    <x v="1863"/>
    <x v="719"/>
    <x v="0"/>
    <x v="1"/>
    <x v="9"/>
    <x v="4"/>
    <x v="11"/>
    <x v="639"/>
    <x v="55"/>
    <x v="1"/>
    <x v="337"/>
  </r>
  <r>
    <x v="0"/>
    <x v="506"/>
    <x v="240"/>
    <x v="87"/>
    <x v="193"/>
    <x v="132"/>
    <x v="101"/>
    <x v="1771"/>
    <x v="30"/>
    <x v="183"/>
    <x v="1206"/>
    <x v="1209"/>
    <x v="1864"/>
    <x v="1862"/>
    <x v="1783"/>
    <x v="0"/>
    <x v="1852"/>
    <x v="1864"/>
    <x v="173"/>
    <x v="0"/>
    <x v="0"/>
    <x v="3"/>
    <x v="116"/>
    <x v="18"/>
    <x v="640"/>
    <x v="19"/>
    <x v="3"/>
    <x v="338"/>
  </r>
  <r>
    <x v="0"/>
    <x v="57"/>
    <x v="284"/>
    <x v="79"/>
    <x v="42"/>
    <x v="174"/>
    <x v="35"/>
    <x v="1772"/>
    <x v="274"/>
    <x v="746"/>
    <x v="1207"/>
    <x v="1415"/>
    <x v="1865"/>
    <x v="1863"/>
    <x v="1784"/>
    <x v="0"/>
    <x v="1853"/>
    <x v="1865"/>
    <x v="810"/>
    <x v="0"/>
    <x v="0"/>
    <x v="0"/>
    <x v="131"/>
    <x v="8"/>
    <x v="30"/>
    <x v="15"/>
    <x v="3"/>
    <x v="1"/>
  </r>
  <r>
    <x v="0"/>
    <x v="791"/>
    <x v="373"/>
    <x v="76"/>
    <x v="116"/>
    <x v="114"/>
    <x v="405"/>
    <x v="1773"/>
    <x v="237"/>
    <x v="747"/>
    <x v="1208"/>
    <x v="1416"/>
    <x v="1866"/>
    <x v="1864"/>
    <x v="1785"/>
    <x v="0"/>
    <x v="1854"/>
    <x v="1866"/>
    <x v="641"/>
    <x v="0"/>
    <x v="0"/>
    <x v="2"/>
    <x v="131"/>
    <x v="23"/>
    <x v="226"/>
    <x v="19"/>
    <x v="3"/>
    <x v="1"/>
  </r>
  <r>
    <x v="0"/>
    <x v="209"/>
    <x v="318"/>
    <x v="73"/>
    <x v="0"/>
    <x v="719"/>
    <x v="13"/>
    <x v="1774"/>
    <x v="168"/>
    <x v="158"/>
    <x v="1209"/>
    <x v="1417"/>
    <x v="1867"/>
    <x v="1865"/>
    <x v="1786"/>
    <x v="1"/>
    <x v="1855"/>
    <x v="1867"/>
    <x v="598"/>
    <x v="0"/>
    <x v="0"/>
    <x v="4"/>
    <x v="131"/>
    <x v="42"/>
    <x v="641"/>
    <x v="0"/>
    <x v="1"/>
    <x v="1"/>
  </r>
  <r>
    <x v="0"/>
    <x v="607"/>
    <x v="54"/>
    <x v="40"/>
    <x v="16"/>
    <x v="133"/>
    <x v="35"/>
    <x v="1775"/>
    <x v="168"/>
    <x v="44"/>
    <x v="265"/>
    <x v="1418"/>
    <x v="1868"/>
    <x v="1866"/>
    <x v="1787"/>
    <x v="0"/>
    <x v="1856"/>
    <x v="1868"/>
    <x v="811"/>
    <x v="0"/>
    <x v="0"/>
    <x v="4"/>
    <x v="131"/>
    <x v="1"/>
    <x v="179"/>
    <x v="14"/>
    <x v="1"/>
    <x v="90"/>
  </r>
  <r>
    <x v="0"/>
    <x v="135"/>
    <x v="265"/>
    <x v="77"/>
    <x v="100"/>
    <x v="431"/>
    <x v="407"/>
    <x v="1776"/>
    <x v="394"/>
    <x v="748"/>
    <x v="1210"/>
    <x v="1419"/>
    <x v="1869"/>
    <x v="1867"/>
    <x v="1788"/>
    <x v="1"/>
    <x v="1857"/>
    <x v="1869"/>
    <x v="558"/>
    <x v="0"/>
    <x v="0"/>
    <x v="0"/>
    <x v="131"/>
    <x v="11"/>
    <x v="532"/>
    <x v="5"/>
    <x v="1"/>
    <x v="1"/>
  </r>
  <r>
    <x v="0"/>
    <x v="792"/>
    <x v="188"/>
    <x v="55"/>
    <x v="31"/>
    <x v="720"/>
    <x v="21"/>
    <x v="1777"/>
    <x v="105"/>
    <x v="298"/>
    <x v="680"/>
    <x v="1420"/>
    <x v="1870"/>
    <x v="1868"/>
    <x v="1789"/>
    <x v="3"/>
    <x v="1858"/>
    <x v="1870"/>
    <x v="766"/>
    <x v="0"/>
    <x v="1"/>
    <x v="4"/>
    <x v="140"/>
    <x v="18"/>
    <x v="30"/>
    <x v="10"/>
    <x v="1"/>
    <x v="1"/>
  </r>
  <r>
    <x v="0"/>
    <x v="644"/>
    <x v="194"/>
    <x v="61"/>
    <x v="277"/>
    <x v="294"/>
    <x v="318"/>
    <x v="1778"/>
    <x v="17"/>
    <x v="749"/>
    <x v="1211"/>
    <x v="1421"/>
    <x v="1871"/>
    <x v="1869"/>
    <x v="1790"/>
    <x v="1"/>
    <x v="1859"/>
    <x v="1871"/>
    <x v="259"/>
    <x v="0"/>
    <x v="1"/>
    <x v="0"/>
    <x v="131"/>
    <x v="21"/>
    <x v="360"/>
    <x v="11"/>
    <x v="3"/>
    <x v="45"/>
  </r>
  <r>
    <x v="0"/>
    <x v="793"/>
    <x v="395"/>
    <x v="54"/>
    <x v="0"/>
    <x v="575"/>
    <x v="408"/>
    <x v="1779"/>
    <x v="125"/>
    <x v="750"/>
    <x v="301"/>
    <x v="1422"/>
    <x v="1872"/>
    <x v="1870"/>
    <x v="1487"/>
    <x v="4"/>
    <x v="1860"/>
    <x v="1872"/>
    <x v="209"/>
    <x v="0"/>
    <x v="0"/>
    <x v="0"/>
    <x v="91"/>
    <x v="17"/>
    <x v="203"/>
    <x v="51"/>
    <x v="3"/>
    <x v="339"/>
  </r>
  <r>
    <x v="0"/>
    <x v="445"/>
    <x v="296"/>
    <x v="72"/>
    <x v="154"/>
    <x v="103"/>
    <x v="22"/>
    <x v="1780"/>
    <x v="238"/>
    <x v="751"/>
    <x v="1212"/>
    <x v="128"/>
    <x v="1873"/>
    <x v="1871"/>
    <x v="1791"/>
    <x v="7"/>
    <x v="1861"/>
    <x v="1873"/>
    <x v="653"/>
    <x v="0"/>
    <x v="0"/>
    <x v="2"/>
    <x v="131"/>
    <x v="3"/>
    <x v="243"/>
    <x v="9"/>
    <x v="3"/>
    <x v="1"/>
  </r>
  <r>
    <x v="0"/>
    <x v="246"/>
    <x v="114"/>
    <x v="26"/>
    <x v="166"/>
    <x v="230"/>
    <x v="24"/>
    <x v="1781"/>
    <x v="127"/>
    <x v="131"/>
    <x v="1213"/>
    <x v="1116"/>
    <x v="1874"/>
    <x v="1872"/>
    <x v="1792"/>
    <x v="1"/>
    <x v="1862"/>
    <x v="1874"/>
    <x v="128"/>
    <x v="0"/>
    <x v="0"/>
    <x v="4"/>
    <x v="131"/>
    <x v="10"/>
    <x v="370"/>
    <x v="5"/>
    <x v="1"/>
    <x v="4"/>
  </r>
  <r>
    <x v="0"/>
    <x v="517"/>
    <x v="274"/>
    <x v="90"/>
    <x v="258"/>
    <x v="620"/>
    <x v="35"/>
    <x v="1782"/>
    <x v="551"/>
    <x v="280"/>
    <x v="1214"/>
    <x v="1423"/>
    <x v="1875"/>
    <x v="1873"/>
    <x v="1793"/>
    <x v="0"/>
    <x v="1863"/>
    <x v="1875"/>
    <x v="812"/>
    <x v="0"/>
    <x v="0"/>
    <x v="4"/>
    <x v="131"/>
    <x v="27"/>
    <x v="119"/>
    <x v="6"/>
    <x v="1"/>
    <x v="59"/>
  </r>
  <r>
    <x v="0"/>
    <x v="301"/>
    <x v="266"/>
    <x v="69"/>
    <x v="171"/>
    <x v="392"/>
    <x v="15"/>
    <x v="1783"/>
    <x v="23"/>
    <x v="54"/>
    <x v="58"/>
    <x v="1424"/>
    <x v="1876"/>
    <x v="1874"/>
    <x v="1794"/>
    <x v="1"/>
    <x v="1864"/>
    <x v="1876"/>
    <x v="787"/>
    <x v="0"/>
    <x v="0"/>
    <x v="4"/>
    <x v="131"/>
    <x v="21"/>
    <x v="45"/>
    <x v="9"/>
    <x v="1"/>
    <x v="1"/>
  </r>
  <r>
    <x v="0"/>
    <x v="105"/>
    <x v="166"/>
    <x v="86"/>
    <x v="83"/>
    <x v="629"/>
    <x v="409"/>
    <x v="4"/>
    <x v="552"/>
    <x v="752"/>
    <x v="1215"/>
    <x v="1425"/>
    <x v="1877"/>
    <x v="1875"/>
    <x v="1795"/>
    <x v="4"/>
    <x v="1865"/>
    <x v="1877"/>
    <x v="505"/>
    <x v="0"/>
    <x v="1"/>
    <x v="4"/>
    <x v="182"/>
    <x v="46"/>
    <x v="642"/>
    <x v="32"/>
    <x v="1"/>
    <x v="115"/>
  </r>
  <r>
    <x v="0"/>
    <x v="481"/>
    <x v="405"/>
    <x v="107"/>
    <x v="139"/>
    <x v="461"/>
    <x v="410"/>
    <x v="1784"/>
    <x v="429"/>
    <x v="753"/>
    <x v="1216"/>
    <x v="865"/>
    <x v="1878"/>
    <x v="1876"/>
    <x v="1796"/>
    <x v="0"/>
    <x v="1866"/>
    <x v="1878"/>
    <x v="766"/>
    <x v="0"/>
    <x v="8"/>
    <x v="4"/>
    <x v="131"/>
    <x v="7"/>
    <x v="318"/>
    <x v="27"/>
    <x v="1"/>
    <x v="1"/>
  </r>
  <r>
    <x v="0"/>
    <x v="615"/>
    <x v="230"/>
    <x v="59"/>
    <x v="93"/>
    <x v="441"/>
    <x v="411"/>
    <x v="1785"/>
    <x v="17"/>
    <x v="754"/>
    <x v="1217"/>
    <x v="1426"/>
    <x v="1879"/>
    <x v="1877"/>
    <x v="1797"/>
    <x v="0"/>
    <x v="1867"/>
    <x v="1879"/>
    <x v="170"/>
    <x v="0"/>
    <x v="0"/>
    <x v="0"/>
    <x v="131"/>
    <x v="3"/>
    <x v="304"/>
    <x v="12"/>
    <x v="1"/>
    <x v="5"/>
  </r>
  <r>
    <x v="0"/>
    <x v="794"/>
    <x v="198"/>
    <x v="45"/>
    <x v="44"/>
    <x v="23"/>
    <x v="21"/>
    <x v="1786"/>
    <x v="37"/>
    <x v="162"/>
    <x v="255"/>
    <x v="1394"/>
    <x v="1880"/>
    <x v="1878"/>
    <x v="1798"/>
    <x v="3"/>
    <x v="1868"/>
    <x v="1880"/>
    <x v="370"/>
    <x v="0"/>
    <x v="0"/>
    <x v="2"/>
    <x v="173"/>
    <x v="1"/>
    <x v="6"/>
    <x v="13"/>
    <x v="3"/>
    <x v="71"/>
  </r>
  <r>
    <x v="0"/>
    <x v="12"/>
    <x v="84"/>
    <x v="59"/>
    <x v="7"/>
    <x v="10"/>
    <x v="1"/>
    <x v="1787"/>
    <x v="553"/>
    <x v="1"/>
    <x v="23"/>
    <x v="1427"/>
    <x v="1881"/>
    <x v="1879"/>
    <x v="1799"/>
    <x v="1"/>
    <x v="1869"/>
    <x v="1881"/>
    <x v="323"/>
    <x v="0"/>
    <x v="0"/>
    <x v="2"/>
    <x v="131"/>
    <x v="14"/>
    <x v="20"/>
    <x v="6"/>
    <x v="1"/>
    <x v="1"/>
  </r>
  <r>
    <x v="0"/>
    <x v="795"/>
    <x v="431"/>
    <x v="7"/>
    <x v="0"/>
    <x v="369"/>
    <x v="43"/>
    <x v="1788"/>
    <x v="200"/>
    <x v="642"/>
    <x v="1210"/>
    <x v="1428"/>
    <x v="1882"/>
    <x v="1510"/>
    <x v="1800"/>
    <x v="0"/>
    <x v="1870"/>
    <x v="1882"/>
    <x v="788"/>
    <x v="0"/>
    <x v="0"/>
    <x v="0"/>
    <x v="131"/>
    <x v="9"/>
    <x v="532"/>
    <x v="55"/>
    <x v="3"/>
    <x v="1"/>
  </r>
  <r>
    <x v="0"/>
    <x v="796"/>
    <x v="65"/>
    <x v="85"/>
    <x v="304"/>
    <x v="361"/>
    <x v="21"/>
    <x v="1789"/>
    <x v="51"/>
    <x v="22"/>
    <x v="220"/>
    <x v="1429"/>
    <x v="1883"/>
    <x v="1880"/>
    <x v="1801"/>
    <x v="1"/>
    <x v="1871"/>
    <x v="1883"/>
    <x v="207"/>
    <x v="0"/>
    <x v="0"/>
    <x v="4"/>
    <x v="131"/>
    <x v="10"/>
    <x v="150"/>
    <x v="2"/>
    <x v="1"/>
    <x v="121"/>
  </r>
  <r>
    <x v="0"/>
    <x v="797"/>
    <x v="224"/>
    <x v="59"/>
    <x v="122"/>
    <x v="538"/>
    <x v="13"/>
    <x v="1790"/>
    <x v="416"/>
    <x v="158"/>
    <x v="603"/>
    <x v="1188"/>
    <x v="1884"/>
    <x v="1881"/>
    <x v="1802"/>
    <x v="0"/>
    <x v="1872"/>
    <x v="1884"/>
    <x v="185"/>
    <x v="0"/>
    <x v="0"/>
    <x v="4"/>
    <x v="116"/>
    <x v="12"/>
    <x v="60"/>
    <x v="18"/>
    <x v="1"/>
    <x v="1"/>
  </r>
  <r>
    <x v="0"/>
    <x v="167"/>
    <x v="198"/>
    <x v="42"/>
    <x v="120"/>
    <x v="55"/>
    <x v="412"/>
    <x v="1791"/>
    <x v="125"/>
    <x v="755"/>
    <x v="229"/>
    <x v="69"/>
    <x v="1885"/>
    <x v="1882"/>
    <x v="1803"/>
    <x v="7"/>
    <x v="1873"/>
    <x v="1885"/>
    <x v="322"/>
    <x v="0"/>
    <x v="0"/>
    <x v="0"/>
    <x v="140"/>
    <x v="14"/>
    <x v="135"/>
    <x v="13"/>
    <x v="3"/>
    <x v="1"/>
  </r>
  <r>
    <x v="0"/>
    <x v="48"/>
    <x v="203"/>
    <x v="75"/>
    <x v="33"/>
    <x v="246"/>
    <x v="13"/>
    <x v="1792"/>
    <x v="130"/>
    <x v="158"/>
    <x v="420"/>
    <x v="1287"/>
    <x v="1886"/>
    <x v="1883"/>
    <x v="1804"/>
    <x v="3"/>
    <x v="1874"/>
    <x v="1886"/>
    <x v="813"/>
    <x v="0"/>
    <x v="0"/>
    <x v="4"/>
    <x v="131"/>
    <x v="22"/>
    <x v="50"/>
    <x v="50"/>
    <x v="3"/>
    <x v="68"/>
  </r>
  <r>
    <x v="0"/>
    <x v="384"/>
    <x v="212"/>
    <x v="58"/>
    <x v="159"/>
    <x v="190"/>
    <x v="0"/>
    <x v="1793"/>
    <x v="554"/>
    <x v="735"/>
    <x v="1066"/>
    <x v="1430"/>
    <x v="1887"/>
    <x v="1884"/>
    <x v="1805"/>
    <x v="3"/>
    <x v="1875"/>
    <x v="1887"/>
    <x v="780"/>
    <x v="0"/>
    <x v="0"/>
    <x v="2"/>
    <x v="140"/>
    <x v="17"/>
    <x v="93"/>
    <x v="40"/>
    <x v="1"/>
    <x v="340"/>
  </r>
  <r>
    <x v="0"/>
    <x v="606"/>
    <x v="342"/>
    <x v="55"/>
    <x v="79"/>
    <x v="421"/>
    <x v="21"/>
    <x v="1794"/>
    <x v="35"/>
    <x v="298"/>
    <x v="756"/>
    <x v="1431"/>
    <x v="1888"/>
    <x v="1885"/>
    <x v="1806"/>
    <x v="0"/>
    <x v="1876"/>
    <x v="1888"/>
    <x v="339"/>
    <x v="0"/>
    <x v="0"/>
    <x v="2"/>
    <x v="131"/>
    <x v="12"/>
    <x v="12"/>
    <x v="4"/>
    <x v="1"/>
    <x v="1"/>
  </r>
  <r>
    <x v="0"/>
    <x v="209"/>
    <x v="304"/>
    <x v="30"/>
    <x v="0"/>
    <x v="366"/>
    <x v="21"/>
    <x v="1795"/>
    <x v="152"/>
    <x v="210"/>
    <x v="1218"/>
    <x v="511"/>
    <x v="1889"/>
    <x v="1886"/>
    <x v="1807"/>
    <x v="0"/>
    <x v="1877"/>
    <x v="1889"/>
    <x v="814"/>
    <x v="0"/>
    <x v="0"/>
    <x v="4"/>
    <x v="131"/>
    <x v="45"/>
    <x v="224"/>
    <x v="24"/>
    <x v="1"/>
    <x v="64"/>
  </r>
  <r>
    <x v="0"/>
    <x v="432"/>
    <x v="324"/>
    <x v="42"/>
    <x v="77"/>
    <x v="686"/>
    <x v="413"/>
    <x v="1796"/>
    <x v="100"/>
    <x v="365"/>
    <x v="883"/>
    <x v="1432"/>
    <x v="1890"/>
    <x v="1887"/>
    <x v="1099"/>
    <x v="4"/>
    <x v="1878"/>
    <x v="1890"/>
    <x v="578"/>
    <x v="0"/>
    <x v="0"/>
    <x v="4"/>
    <x v="131"/>
    <x v="13"/>
    <x v="151"/>
    <x v="10"/>
    <x v="3"/>
    <x v="1"/>
  </r>
  <r>
    <x v="0"/>
    <x v="798"/>
    <x v="346"/>
    <x v="147"/>
    <x v="305"/>
    <x v="369"/>
    <x v="0"/>
    <x v="1797"/>
    <x v="406"/>
    <x v="154"/>
    <x v="682"/>
    <x v="516"/>
    <x v="1891"/>
    <x v="1888"/>
    <x v="1808"/>
    <x v="0"/>
    <x v="1879"/>
    <x v="1891"/>
    <x v="431"/>
    <x v="0"/>
    <x v="9"/>
    <x v="0"/>
    <x v="154"/>
    <x v="42"/>
    <x v="200"/>
    <x v="6"/>
    <x v="1"/>
    <x v="1"/>
  </r>
  <r>
    <x v="0"/>
    <x v="337"/>
    <x v="433"/>
    <x v="56"/>
    <x v="206"/>
    <x v="129"/>
    <x v="6"/>
    <x v="1798"/>
    <x v="28"/>
    <x v="6"/>
    <x v="1219"/>
    <x v="159"/>
    <x v="1892"/>
    <x v="1889"/>
    <x v="1809"/>
    <x v="3"/>
    <x v="1880"/>
    <x v="1892"/>
    <x v="290"/>
    <x v="0"/>
    <x v="0"/>
    <x v="4"/>
    <x v="131"/>
    <x v="3"/>
    <x v="643"/>
    <x v="12"/>
    <x v="1"/>
    <x v="1"/>
  </r>
  <r>
    <x v="0"/>
    <x v="25"/>
    <x v="207"/>
    <x v="55"/>
    <x v="18"/>
    <x v="243"/>
    <x v="339"/>
    <x v="1799"/>
    <x v="26"/>
    <x v="756"/>
    <x v="1220"/>
    <x v="797"/>
    <x v="1893"/>
    <x v="1890"/>
    <x v="162"/>
    <x v="4"/>
    <x v="1881"/>
    <x v="1893"/>
    <x v="540"/>
    <x v="0"/>
    <x v="0"/>
    <x v="4"/>
    <x v="131"/>
    <x v="13"/>
    <x v="142"/>
    <x v="9"/>
    <x v="1"/>
    <x v="341"/>
  </r>
  <r>
    <x v="0"/>
    <x v="602"/>
    <x v="427"/>
    <x v="44"/>
    <x v="0"/>
    <x v="342"/>
    <x v="414"/>
    <x v="1800"/>
    <x v="270"/>
    <x v="757"/>
    <x v="1221"/>
    <x v="1433"/>
    <x v="1894"/>
    <x v="1891"/>
    <x v="1810"/>
    <x v="0"/>
    <x v="1882"/>
    <x v="1894"/>
    <x v="815"/>
    <x v="0"/>
    <x v="0"/>
    <x v="4"/>
    <x v="131"/>
    <x v="1"/>
    <x v="644"/>
    <x v="14"/>
    <x v="1"/>
    <x v="37"/>
  </r>
  <r>
    <x v="0"/>
    <x v="799"/>
    <x v="428"/>
    <x v="79"/>
    <x v="0"/>
    <x v="247"/>
    <x v="0"/>
    <x v="1801"/>
    <x v="21"/>
    <x v="114"/>
    <x v="1222"/>
    <x v="315"/>
    <x v="1895"/>
    <x v="1892"/>
    <x v="873"/>
    <x v="0"/>
    <x v="1883"/>
    <x v="1895"/>
    <x v="631"/>
    <x v="0"/>
    <x v="0"/>
    <x v="2"/>
    <x v="131"/>
    <x v="19"/>
    <x v="376"/>
    <x v="31"/>
    <x v="1"/>
    <x v="342"/>
  </r>
  <r>
    <x v="0"/>
    <x v="800"/>
    <x v="399"/>
    <x v="110"/>
    <x v="0"/>
    <x v="148"/>
    <x v="358"/>
    <x v="1802"/>
    <x v="59"/>
    <x v="647"/>
    <x v="1135"/>
    <x v="1434"/>
    <x v="1896"/>
    <x v="1893"/>
    <x v="1811"/>
    <x v="0"/>
    <x v="1884"/>
    <x v="1896"/>
    <x v="816"/>
    <x v="0"/>
    <x v="0"/>
    <x v="2"/>
    <x v="131"/>
    <x v="17"/>
    <x v="238"/>
    <x v="23"/>
    <x v="1"/>
    <x v="343"/>
  </r>
  <r>
    <x v="0"/>
    <x v="579"/>
    <x v="225"/>
    <x v="107"/>
    <x v="170"/>
    <x v="191"/>
    <x v="415"/>
    <x v="1803"/>
    <x v="170"/>
    <x v="758"/>
    <x v="1223"/>
    <x v="240"/>
    <x v="1897"/>
    <x v="1894"/>
    <x v="1399"/>
    <x v="3"/>
    <x v="1885"/>
    <x v="1897"/>
    <x v="256"/>
    <x v="0"/>
    <x v="0"/>
    <x v="0"/>
    <x v="131"/>
    <x v="19"/>
    <x v="476"/>
    <x v="27"/>
    <x v="3"/>
    <x v="1"/>
  </r>
  <r>
    <x v="0"/>
    <x v="547"/>
    <x v="343"/>
    <x v="73"/>
    <x v="74"/>
    <x v="721"/>
    <x v="35"/>
    <x v="1804"/>
    <x v="535"/>
    <x v="746"/>
    <x v="82"/>
    <x v="1435"/>
    <x v="1898"/>
    <x v="1895"/>
    <x v="1812"/>
    <x v="0"/>
    <x v="1886"/>
    <x v="1898"/>
    <x v="533"/>
    <x v="0"/>
    <x v="0"/>
    <x v="2"/>
    <x v="131"/>
    <x v="12"/>
    <x v="61"/>
    <x v="4"/>
    <x v="1"/>
    <x v="1"/>
  </r>
  <r>
    <x v="0"/>
    <x v="801"/>
    <x v="410"/>
    <x v="42"/>
    <x v="131"/>
    <x v="722"/>
    <x v="15"/>
    <x v="1805"/>
    <x v="28"/>
    <x v="54"/>
    <x v="418"/>
    <x v="1436"/>
    <x v="1899"/>
    <x v="1896"/>
    <x v="1813"/>
    <x v="1"/>
    <x v="1887"/>
    <x v="1899"/>
    <x v="351"/>
    <x v="0"/>
    <x v="10"/>
    <x v="4"/>
    <x v="131"/>
    <x v="18"/>
    <x v="625"/>
    <x v="4"/>
    <x v="1"/>
    <x v="1"/>
  </r>
  <r>
    <x v="0"/>
    <x v="802"/>
    <x v="309"/>
    <x v="55"/>
    <x v="195"/>
    <x v="658"/>
    <x v="10"/>
    <x v="1806"/>
    <x v="127"/>
    <x v="16"/>
    <x v="1224"/>
    <x v="1169"/>
    <x v="1900"/>
    <x v="1897"/>
    <x v="1814"/>
    <x v="1"/>
    <x v="1888"/>
    <x v="1900"/>
    <x v="189"/>
    <x v="0"/>
    <x v="0"/>
    <x v="0"/>
    <x v="131"/>
    <x v="8"/>
    <x v="82"/>
    <x v="34"/>
    <x v="1"/>
    <x v="1"/>
  </r>
  <r>
    <x v="0"/>
    <x v="803"/>
    <x v="365"/>
    <x v="72"/>
    <x v="80"/>
    <x v="440"/>
    <x v="0"/>
    <x v="1807"/>
    <x v="125"/>
    <x v="114"/>
    <x v="1225"/>
    <x v="1437"/>
    <x v="1901"/>
    <x v="1898"/>
    <x v="1815"/>
    <x v="1"/>
    <x v="1889"/>
    <x v="1901"/>
    <x v="247"/>
    <x v="0"/>
    <x v="0"/>
    <x v="0"/>
    <x v="4"/>
    <x v="12"/>
    <x v="427"/>
    <x v="34"/>
    <x v="1"/>
    <x v="344"/>
  </r>
  <r>
    <x v="0"/>
    <x v="317"/>
    <x v="285"/>
    <x v="23"/>
    <x v="137"/>
    <x v="723"/>
    <x v="41"/>
    <x v="1808"/>
    <x v="122"/>
    <x v="64"/>
    <x v="1226"/>
    <x v="1438"/>
    <x v="1902"/>
    <x v="1899"/>
    <x v="1816"/>
    <x v="0"/>
    <x v="1890"/>
    <x v="1902"/>
    <x v="793"/>
    <x v="0"/>
    <x v="0"/>
    <x v="2"/>
    <x v="131"/>
    <x v="11"/>
    <x v="559"/>
    <x v="15"/>
    <x v="6"/>
    <x v="7"/>
  </r>
  <r>
    <x v="1"/>
    <x v="120"/>
    <x v="204"/>
    <x v="55"/>
    <x v="77"/>
    <x v="9"/>
    <x v="25"/>
    <x v="1809"/>
    <x v="377"/>
    <x v="30"/>
    <x v="608"/>
    <x v="1439"/>
    <x v="1903"/>
    <x v="1900"/>
    <x v="1817"/>
    <x v="3"/>
    <x v="1891"/>
    <x v="1903"/>
    <x v="635"/>
    <x v="0"/>
    <x v="26"/>
    <x v="0"/>
    <x v="131"/>
    <x v="11"/>
    <x v="6"/>
    <x v="12"/>
    <x v="1"/>
    <x v="12"/>
  </r>
  <r>
    <x v="0"/>
    <x v="575"/>
    <x v="240"/>
    <x v="72"/>
    <x v="195"/>
    <x v="724"/>
    <x v="21"/>
    <x v="1810"/>
    <x v="535"/>
    <x v="298"/>
    <x v="1227"/>
    <x v="1440"/>
    <x v="1904"/>
    <x v="1901"/>
    <x v="1818"/>
    <x v="1"/>
    <x v="1892"/>
    <x v="1904"/>
    <x v="357"/>
    <x v="0"/>
    <x v="0"/>
    <x v="2"/>
    <x v="78"/>
    <x v="17"/>
    <x v="30"/>
    <x v="27"/>
    <x v="1"/>
    <x v="1"/>
  </r>
  <r>
    <x v="0"/>
    <x v="804"/>
    <x v="111"/>
    <x v="27"/>
    <x v="225"/>
    <x v="491"/>
    <x v="416"/>
    <x v="1811"/>
    <x v="429"/>
    <x v="759"/>
    <x v="1228"/>
    <x v="1441"/>
    <x v="1905"/>
    <x v="1902"/>
    <x v="1819"/>
    <x v="0"/>
    <x v="1893"/>
    <x v="1905"/>
    <x v="271"/>
    <x v="0"/>
    <x v="0"/>
    <x v="4"/>
    <x v="173"/>
    <x v="17"/>
    <x v="283"/>
    <x v="23"/>
    <x v="1"/>
    <x v="1"/>
  </r>
  <r>
    <x v="0"/>
    <x v="805"/>
    <x v="238"/>
    <x v="59"/>
    <x v="143"/>
    <x v="460"/>
    <x v="0"/>
    <x v="1812"/>
    <x v="127"/>
    <x v="530"/>
    <x v="121"/>
    <x v="1442"/>
    <x v="1906"/>
    <x v="1903"/>
    <x v="1820"/>
    <x v="1"/>
    <x v="1894"/>
    <x v="1906"/>
    <x v="549"/>
    <x v="0"/>
    <x v="0"/>
    <x v="4"/>
    <x v="131"/>
    <x v="1"/>
    <x v="85"/>
    <x v="23"/>
    <x v="3"/>
    <x v="1"/>
  </r>
  <r>
    <x v="0"/>
    <x v="301"/>
    <x v="216"/>
    <x v="59"/>
    <x v="171"/>
    <x v="179"/>
    <x v="15"/>
    <x v="1813"/>
    <x v="28"/>
    <x v="54"/>
    <x v="1229"/>
    <x v="1443"/>
    <x v="1907"/>
    <x v="1904"/>
    <x v="1821"/>
    <x v="4"/>
    <x v="1895"/>
    <x v="1907"/>
    <x v="647"/>
    <x v="0"/>
    <x v="0"/>
    <x v="4"/>
    <x v="116"/>
    <x v="17"/>
    <x v="537"/>
    <x v="27"/>
    <x v="1"/>
    <x v="103"/>
  </r>
  <r>
    <x v="0"/>
    <x v="564"/>
    <x v="215"/>
    <x v="37"/>
    <x v="144"/>
    <x v="5"/>
    <x v="2"/>
    <x v="1814"/>
    <x v="17"/>
    <x v="209"/>
    <x v="295"/>
    <x v="728"/>
    <x v="1908"/>
    <x v="1905"/>
    <x v="1822"/>
    <x v="3"/>
    <x v="1896"/>
    <x v="1908"/>
    <x v="285"/>
    <x v="0"/>
    <x v="0"/>
    <x v="0"/>
    <x v="131"/>
    <x v="19"/>
    <x v="199"/>
    <x v="32"/>
    <x v="3"/>
    <x v="1"/>
  </r>
  <r>
    <x v="0"/>
    <x v="445"/>
    <x v="74"/>
    <x v="72"/>
    <x v="154"/>
    <x v="725"/>
    <x v="30"/>
    <x v="1815"/>
    <x v="127"/>
    <x v="50"/>
    <x v="1230"/>
    <x v="1444"/>
    <x v="1909"/>
    <x v="1906"/>
    <x v="1823"/>
    <x v="0"/>
    <x v="1897"/>
    <x v="1909"/>
    <x v="292"/>
    <x v="0"/>
    <x v="0"/>
    <x v="0"/>
    <x v="78"/>
    <x v="7"/>
    <x v="30"/>
    <x v="21"/>
    <x v="3"/>
    <x v="1"/>
  </r>
  <r>
    <x v="0"/>
    <x v="806"/>
    <x v="285"/>
    <x v="78"/>
    <x v="306"/>
    <x v="624"/>
    <x v="417"/>
    <x v="1816"/>
    <x v="238"/>
    <x v="760"/>
    <x v="1231"/>
    <x v="1445"/>
    <x v="1910"/>
    <x v="1907"/>
    <x v="1824"/>
    <x v="0"/>
    <x v="1898"/>
    <x v="1910"/>
    <x v="527"/>
    <x v="0"/>
    <x v="1"/>
    <x v="2"/>
    <x v="131"/>
    <x v="1"/>
    <x v="628"/>
    <x v="22"/>
    <x v="3"/>
    <x v="1"/>
  </r>
  <r>
    <x v="0"/>
    <x v="807"/>
    <x v="160"/>
    <x v="55"/>
    <x v="180"/>
    <x v="44"/>
    <x v="418"/>
    <x v="1817"/>
    <x v="398"/>
    <x v="761"/>
    <x v="1232"/>
    <x v="1446"/>
    <x v="1911"/>
    <x v="1908"/>
    <x v="1825"/>
    <x v="0"/>
    <x v="1899"/>
    <x v="1911"/>
    <x v="245"/>
    <x v="0"/>
    <x v="0"/>
    <x v="0"/>
    <x v="131"/>
    <x v="14"/>
    <x v="521"/>
    <x v="51"/>
    <x v="1"/>
    <x v="345"/>
  </r>
  <r>
    <x v="0"/>
    <x v="808"/>
    <x v="74"/>
    <x v="48"/>
    <x v="0"/>
    <x v="331"/>
    <x v="10"/>
    <x v="1818"/>
    <x v="168"/>
    <x v="375"/>
    <x v="350"/>
    <x v="613"/>
    <x v="1912"/>
    <x v="1808"/>
    <x v="1826"/>
    <x v="5"/>
    <x v="1900"/>
    <x v="1912"/>
    <x v="540"/>
    <x v="0"/>
    <x v="10"/>
    <x v="4"/>
    <x v="183"/>
    <x v="9"/>
    <x v="234"/>
    <x v="12"/>
    <x v="1"/>
    <x v="1"/>
  </r>
  <r>
    <x v="0"/>
    <x v="809"/>
    <x v="263"/>
    <x v="37"/>
    <x v="68"/>
    <x v="355"/>
    <x v="49"/>
    <x v="1819"/>
    <x v="419"/>
    <x v="86"/>
    <x v="1233"/>
    <x v="562"/>
    <x v="1913"/>
    <x v="1909"/>
    <x v="1827"/>
    <x v="0"/>
    <x v="1901"/>
    <x v="1913"/>
    <x v="768"/>
    <x v="0"/>
    <x v="0"/>
    <x v="2"/>
    <x v="116"/>
    <x v="1"/>
    <x v="105"/>
    <x v="7"/>
    <x v="1"/>
    <x v="45"/>
  </r>
  <r>
    <x v="0"/>
    <x v="413"/>
    <x v="142"/>
    <x v="23"/>
    <x v="230"/>
    <x v="231"/>
    <x v="330"/>
    <x v="1820"/>
    <x v="406"/>
    <x v="762"/>
    <x v="1234"/>
    <x v="1447"/>
    <x v="1914"/>
    <x v="1910"/>
    <x v="1828"/>
    <x v="1"/>
    <x v="1902"/>
    <x v="1914"/>
    <x v="673"/>
    <x v="0"/>
    <x v="1"/>
    <x v="4"/>
    <x v="131"/>
    <x v="20"/>
    <x v="197"/>
    <x v="7"/>
    <x v="3"/>
    <x v="1"/>
  </r>
  <r>
    <x v="0"/>
    <x v="648"/>
    <x v="277"/>
    <x v="71"/>
    <x v="45"/>
    <x v="304"/>
    <x v="419"/>
    <x v="1821"/>
    <x v="555"/>
    <x v="763"/>
    <x v="1235"/>
    <x v="1448"/>
    <x v="1915"/>
    <x v="1911"/>
    <x v="1829"/>
    <x v="0"/>
    <x v="1903"/>
    <x v="1915"/>
    <x v="616"/>
    <x v="0"/>
    <x v="4"/>
    <x v="4"/>
    <x v="131"/>
    <x v="20"/>
    <x v="479"/>
    <x v="43"/>
    <x v="3"/>
    <x v="1"/>
  </r>
  <r>
    <x v="0"/>
    <x v="810"/>
    <x v="212"/>
    <x v="130"/>
    <x v="190"/>
    <x v="434"/>
    <x v="420"/>
    <x v="1822"/>
    <x v="71"/>
    <x v="764"/>
    <x v="1236"/>
    <x v="1449"/>
    <x v="1916"/>
    <x v="1912"/>
    <x v="1830"/>
    <x v="0"/>
    <x v="1904"/>
    <x v="1916"/>
    <x v="757"/>
    <x v="0"/>
    <x v="7"/>
    <x v="3"/>
    <x v="131"/>
    <x v="48"/>
    <x v="645"/>
    <x v="7"/>
    <x v="1"/>
    <x v="1"/>
  </r>
  <r>
    <x v="0"/>
    <x v="811"/>
    <x v="193"/>
    <x v="41"/>
    <x v="125"/>
    <x v="726"/>
    <x v="0"/>
    <x v="1823"/>
    <x v="556"/>
    <x v="251"/>
    <x v="1237"/>
    <x v="1450"/>
    <x v="1917"/>
    <x v="1913"/>
    <x v="1288"/>
    <x v="1"/>
    <x v="1905"/>
    <x v="1917"/>
    <x v="292"/>
    <x v="0"/>
    <x v="1"/>
    <x v="2"/>
    <x v="131"/>
    <x v="13"/>
    <x v="593"/>
    <x v="47"/>
    <x v="3"/>
    <x v="1"/>
  </r>
  <r>
    <x v="0"/>
    <x v="473"/>
    <x v="265"/>
    <x v="101"/>
    <x v="212"/>
    <x v="75"/>
    <x v="272"/>
    <x v="1824"/>
    <x v="125"/>
    <x v="765"/>
    <x v="1238"/>
    <x v="1451"/>
    <x v="1918"/>
    <x v="1914"/>
    <x v="1831"/>
    <x v="3"/>
    <x v="1906"/>
    <x v="1918"/>
    <x v="340"/>
    <x v="0"/>
    <x v="0"/>
    <x v="4"/>
    <x v="4"/>
    <x v="10"/>
    <x v="432"/>
    <x v="20"/>
    <x v="3"/>
    <x v="1"/>
  </r>
  <r>
    <x v="0"/>
    <x v="812"/>
    <x v="383"/>
    <x v="76"/>
    <x v="228"/>
    <x v="218"/>
    <x v="42"/>
    <x v="1825"/>
    <x v="557"/>
    <x v="66"/>
    <x v="1239"/>
    <x v="364"/>
    <x v="1919"/>
    <x v="1915"/>
    <x v="1832"/>
    <x v="0"/>
    <x v="1907"/>
    <x v="1919"/>
    <x v="724"/>
    <x v="0"/>
    <x v="0"/>
    <x v="0"/>
    <x v="131"/>
    <x v="0"/>
    <x v="155"/>
    <x v="58"/>
    <x v="3"/>
    <x v="346"/>
  </r>
  <r>
    <x v="0"/>
    <x v="291"/>
    <x v="253"/>
    <x v="30"/>
    <x v="0"/>
    <x v="158"/>
    <x v="2"/>
    <x v="1826"/>
    <x v="152"/>
    <x v="130"/>
    <x v="518"/>
    <x v="194"/>
    <x v="1920"/>
    <x v="1916"/>
    <x v="1833"/>
    <x v="0"/>
    <x v="1908"/>
    <x v="1920"/>
    <x v="817"/>
    <x v="0"/>
    <x v="0"/>
    <x v="4"/>
    <x v="131"/>
    <x v="24"/>
    <x v="77"/>
    <x v="63"/>
    <x v="3"/>
    <x v="95"/>
  </r>
  <r>
    <x v="0"/>
    <x v="514"/>
    <x v="184"/>
    <x v="80"/>
    <x v="80"/>
    <x v="98"/>
    <x v="421"/>
    <x v="1827"/>
    <x v="558"/>
    <x v="766"/>
    <x v="1240"/>
    <x v="1452"/>
    <x v="1921"/>
    <x v="1917"/>
    <x v="1834"/>
    <x v="0"/>
    <x v="1909"/>
    <x v="1921"/>
    <x v="119"/>
    <x v="0"/>
    <x v="5"/>
    <x v="2"/>
    <x v="184"/>
    <x v="18"/>
    <x v="104"/>
    <x v="30"/>
    <x v="3"/>
    <x v="312"/>
  </r>
  <r>
    <x v="0"/>
    <x v="307"/>
    <x v="219"/>
    <x v="85"/>
    <x v="114"/>
    <x v="727"/>
    <x v="57"/>
    <x v="1828"/>
    <x v="300"/>
    <x v="192"/>
    <x v="959"/>
    <x v="1453"/>
    <x v="1922"/>
    <x v="1918"/>
    <x v="1835"/>
    <x v="4"/>
    <x v="1910"/>
    <x v="1922"/>
    <x v="647"/>
    <x v="0"/>
    <x v="0"/>
    <x v="0"/>
    <x v="146"/>
    <x v="25"/>
    <x v="82"/>
    <x v="8"/>
    <x v="1"/>
    <x v="67"/>
  </r>
  <r>
    <x v="0"/>
    <x v="196"/>
    <x v="177"/>
    <x v="70"/>
    <x v="138"/>
    <x v="593"/>
    <x v="22"/>
    <x v="1829"/>
    <x v="168"/>
    <x v="639"/>
    <x v="1241"/>
    <x v="1454"/>
    <x v="1923"/>
    <x v="1919"/>
    <x v="1836"/>
    <x v="1"/>
    <x v="1911"/>
    <x v="1923"/>
    <x v="147"/>
    <x v="0"/>
    <x v="0"/>
    <x v="4"/>
    <x v="131"/>
    <x v="11"/>
    <x v="584"/>
    <x v="19"/>
    <x v="1"/>
    <x v="1"/>
  </r>
  <r>
    <x v="0"/>
    <x v="813"/>
    <x v="55"/>
    <x v="61"/>
    <x v="217"/>
    <x v="141"/>
    <x v="32"/>
    <x v="1830"/>
    <x v="270"/>
    <x v="38"/>
    <x v="608"/>
    <x v="898"/>
    <x v="1924"/>
    <x v="1268"/>
    <x v="1837"/>
    <x v="3"/>
    <x v="1912"/>
    <x v="1924"/>
    <x v="269"/>
    <x v="0"/>
    <x v="0"/>
    <x v="4"/>
    <x v="131"/>
    <x v="9"/>
    <x v="6"/>
    <x v="11"/>
    <x v="1"/>
    <x v="26"/>
  </r>
  <r>
    <x v="0"/>
    <x v="814"/>
    <x v="334"/>
    <x v="42"/>
    <x v="221"/>
    <x v="222"/>
    <x v="422"/>
    <x v="1831"/>
    <x v="472"/>
    <x v="767"/>
    <x v="1242"/>
    <x v="1455"/>
    <x v="1925"/>
    <x v="1920"/>
    <x v="1838"/>
    <x v="4"/>
    <x v="1913"/>
    <x v="1925"/>
    <x v="671"/>
    <x v="0"/>
    <x v="0"/>
    <x v="3"/>
    <x v="4"/>
    <x v="12"/>
    <x v="646"/>
    <x v="19"/>
    <x v="3"/>
    <x v="347"/>
  </r>
  <r>
    <x v="0"/>
    <x v="815"/>
    <x v="356"/>
    <x v="86"/>
    <x v="89"/>
    <x v="143"/>
    <x v="423"/>
    <x v="1832"/>
    <x v="105"/>
    <x v="768"/>
    <x v="1243"/>
    <x v="1456"/>
    <x v="1926"/>
    <x v="1921"/>
    <x v="1839"/>
    <x v="3"/>
    <x v="1914"/>
    <x v="1926"/>
    <x v="290"/>
    <x v="0"/>
    <x v="0"/>
    <x v="0"/>
    <x v="116"/>
    <x v="12"/>
    <x v="97"/>
    <x v="4"/>
    <x v="3"/>
    <x v="1"/>
  </r>
  <r>
    <x v="0"/>
    <x v="816"/>
    <x v="405"/>
    <x v="11"/>
    <x v="35"/>
    <x v="166"/>
    <x v="24"/>
    <x v="1833"/>
    <x v="559"/>
    <x v="25"/>
    <x v="1244"/>
    <x v="1457"/>
    <x v="1927"/>
    <x v="1922"/>
    <x v="1840"/>
    <x v="3"/>
    <x v="1915"/>
    <x v="1927"/>
    <x v="119"/>
    <x v="0"/>
    <x v="1"/>
    <x v="0"/>
    <x v="154"/>
    <x v="6"/>
    <x v="647"/>
    <x v="7"/>
    <x v="1"/>
    <x v="61"/>
  </r>
  <r>
    <x v="0"/>
    <x v="437"/>
    <x v="422"/>
    <x v="16"/>
    <x v="0"/>
    <x v="23"/>
    <x v="11"/>
    <x v="1834"/>
    <x v="291"/>
    <x v="156"/>
    <x v="1245"/>
    <x v="1458"/>
    <x v="1928"/>
    <x v="1923"/>
    <x v="1841"/>
    <x v="0"/>
    <x v="1916"/>
    <x v="1928"/>
    <x v="558"/>
    <x v="0"/>
    <x v="0"/>
    <x v="4"/>
    <x v="131"/>
    <x v="20"/>
    <x v="20"/>
    <x v="8"/>
    <x v="3"/>
    <x v="1"/>
  </r>
  <r>
    <x v="0"/>
    <x v="817"/>
    <x v="402"/>
    <x v="55"/>
    <x v="107"/>
    <x v="728"/>
    <x v="1"/>
    <x v="1835"/>
    <x v="105"/>
    <x v="1"/>
    <x v="11"/>
    <x v="1459"/>
    <x v="1929"/>
    <x v="1924"/>
    <x v="1842"/>
    <x v="3"/>
    <x v="1917"/>
    <x v="1929"/>
    <x v="426"/>
    <x v="0"/>
    <x v="0"/>
    <x v="0"/>
    <x v="131"/>
    <x v="24"/>
    <x v="10"/>
    <x v="2"/>
    <x v="3"/>
    <x v="1"/>
  </r>
  <r>
    <x v="0"/>
    <x v="113"/>
    <x v="329"/>
    <x v="148"/>
    <x v="88"/>
    <x v="708"/>
    <x v="424"/>
    <x v="4"/>
    <x v="233"/>
    <x v="769"/>
    <x v="1246"/>
    <x v="1460"/>
    <x v="1930"/>
    <x v="1925"/>
    <x v="564"/>
    <x v="0"/>
    <x v="1918"/>
    <x v="1930"/>
    <x v="818"/>
    <x v="0"/>
    <x v="1"/>
    <x v="8"/>
    <x v="4"/>
    <x v="4"/>
    <x v="420"/>
    <x v="24"/>
    <x v="2"/>
    <x v="348"/>
  </r>
  <r>
    <x v="2"/>
    <x v="644"/>
    <x v="57"/>
    <x v="26"/>
    <x v="277"/>
    <x v="113"/>
    <x v="30"/>
    <x v="1836"/>
    <x v="387"/>
    <x v="50"/>
    <x v="773"/>
    <x v="1243"/>
    <x v="1931"/>
    <x v="1926"/>
    <x v="1843"/>
    <x v="9"/>
    <x v="1919"/>
    <x v="1931"/>
    <x v="139"/>
    <x v="0"/>
    <x v="0"/>
    <x v="0"/>
    <x v="131"/>
    <x v="5"/>
    <x v="292"/>
    <x v="22"/>
    <x v="1"/>
    <x v="57"/>
  </r>
  <r>
    <x v="0"/>
    <x v="818"/>
    <x v="377"/>
    <x v="55"/>
    <x v="186"/>
    <x v="270"/>
    <x v="2"/>
    <x v="1837"/>
    <x v="80"/>
    <x v="104"/>
    <x v="1247"/>
    <x v="1461"/>
    <x v="1932"/>
    <x v="1927"/>
    <x v="1844"/>
    <x v="1"/>
    <x v="1920"/>
    <x v="1932"/>
    <x v="550"/>
    <x v="0"/>
    <x v="0"/>
    <x v="0"/>
    <x v="131"/>
    <x v="5"/>
    <x v="648"/>
    <x v="21"/>
    <x v="1"/>
    <x v="1"/>
  </r>
  <r>
    <x v="0"/>
    <x v="819"/>
    <x v="53"/>
    <x v="77"/>
    <x v="192"/>
    <x v="712"/>
    <x v="22"/>
    <x v="1838"/>
    <x v="560"/>
    <x v="751"/>
    <x v="560"/>
    <x v="1396"/>
    <x v="1933"/>
    <x v="1928"/>
    <x v="1845"/>
    <x v="1"/>
    <x v="1921"/>
    <x v="1933"/>
    <x v="384"/>
    <x v="0"/>
    <x v="0"/>
    <x v="4"/>
    <x v="131"/>
    <x v="5"/>
    <x v="363"/>
    <x v="23"/>
    <x v="3"/>
    <x v="7"/>
  </r>
  <r>
    <x v="0"/>
    <x v="820"/>
    <x v="323"/>
    <x v="33"/>
    <x v="78"/>
    <x v="517"/>
    <x v="8"/>
    <x v="1839"/>
    <x v="23"/>
    <x v="35"/>
    <x v="711"/>
    <x v="1215"/>
    <x v="1934"/>
    <x v="1929"/>
    <x v="1846"/>
    <x v="0"/>
    <x v="1922"/>
    <x v="1934"/>
    <x v="690"/>
    <x v="0"/>
    <x v="0"/>
    <x v="4"/>
    <x v="131"/>
    <x v="1"/>
    <x v="1"/>
    <x v="22"/>
    <x v="1"/>
    <x v="1"/>
  </r>
  <r>
    <x v="0"/>
    <x v="602"/>
    <x v="24"/>
    <x v="54"/>
    <x v="0"/>
    <x v="729"/>
    <x v="2"/>
    <x v="1840"/>
    <x v="561"/>
    <x v="196"/>
    <x v="1248"/>
    <x v="1462"/>
    <x v="1935"/>
    <x v="1930"/>
    <x v="1847"/>
    <x v="0"/>
    <x v="1923"/>
    <x v="1935"/>
    <x v="819"/>
    <x v="0"/>
    <x v="0"/>
    <x v="4"/>
    <x v="131"/>
    <x v="19"/>
    <x v="485"/>
    <x v="11"/>
    <x v="1"/>
    <x v="1"/>
  </r>
  <r>
    <x v="0"/>
    <x v="821"/>
    <x v="358"/>
    <x v="41"/>
    <x v="184"/>
    <x v="677"/>
    <x v="57"/>
    <x v="1841"/>
    <x v="125"/>
    <x v="109"/>
    <x v="1249"/>
    <x v="1463"/>
    <x v="1936"/>
    <x v="1931"/>
    <x v="1848"/>
    <x v="7"/>
    <x v="1924"/>
    <x v="1936"/>
    <x v="271"/>
    <x v="0"/>
    <x v="0"/>
    <x v="4"/>
    <x v="131"/>
    <x v="14"/>
    <x v="649"/>
    <x v="4"/>
    <x v="3"/>
    <x v="1"/>
  </r>
  <r>
    <x v="0"/>
    <x v="822"/>
    <x v="459"/>
    <x v="42"/>
    <x v="139"/>
    <x v="606"/>
    <x v="425"/>
    <x v="1842"/>
    <x v="23"/>
    <x v="770"/>
    <x v="1250"/>
    <x v="1464"/>
    <x v="1937"/>
    <x v="1932"/>
    <x v="1849"/>
    <x v="0"/>
    <x v="1925"/>
    <x v="1937"/>
    <x v="320"/>
    <x v="0"/>
    <x v="8"/>
    <x v="0"/>
    <x v="185"/>
    <x v="19"/>
    <x v="650"/>
    <x v="51"/>
    <x v="3"/>
    <x v="349"/>
  </r>
  <r>
    <x v="0"/>
    <x v="99"/>
    <x v="345"/>
    <x v="78"/>
    <x v="77"/>
    <x v="28"/>
    <x v="199"/>
    <x v="1843"/>
    <x v="562"/>
    <x v="771"/>
    <x v="947"/>
    <x v="34"/>
    <x v="1938"/>
    <x v="1933"/>
    <x v="1850"/>
    <x v="1"/>
    <x v="1926"/>
    <x v="1938"/>
    <x v="388"/>
    <x v="0"/>
    <x v="0"/>
    <x v="2"/>
    <x v="140"/>
    <x v="7"/>
    <x v="533"/>
    <x v="37"/>
    <x v="1"/>
    <x v="350"/>
  </r>
  <r>
    <x v="0"/>
    <x v="823"/>
    <x v="419"/>
    <x v="86"/>
    <x v="122"/>
    <x v="601"/>
    <x v="171"/>
    <x v="1844"/>
    <x v="270"/>
    <x v="772"/>
    <x v="1251"/>
    <x v="1465"/>
    <x v="1939"/>
    <x v="1934"/>
    <x v="1851"/>
    <x v="0"/>
    <x v="1927"/>
    <x v="1939"/>
    <x v="820"/>
    <x v="0"/>
    <x v="0"/>
    <x v="4"/>
    <x v="131"/>
    <x v="32"/>
    <x v="52"/>
    <x v="23"/>
    <x v="3"/>
    <x v="351"/>
  </r>
  <r>
    <x v="0"/>
    <x v="824"/>
    <x v="307"/>
    <x v="78"/>
    <x v="210"/>
    <x v="730"/>
    <x v="145"/>
    <x v="1845"/>
    <x v="563"/>
    <x v="269"/>
    <x v="1252"/>
    <x v="1466"/>
    <x v="1940"/>
    <x v="1935"/>
    <x v="629"/>
    <x v="4"/>
    <x v="1928"/>
    <x v="1940"/>
    <x v="636"/>
    <x v="17"/>
    <x v="1"/>
    <x v="3"/>
    <x v="131"/>
    <x v="25"/>
    <x v="181"/>
    <x v="43"/>
    <x v="1"/>
    <x v="352"/>
  </r>
  <r>
    <x v="0"/>
    <x v="825"/>
    <x v="366"/>
    <x v="60"/>
    <x v="0"/>
    <x v="471"/>
    <x v="120"/>
    <x v="1846"/>
    <x v="184"/>
    <x v="773"/>
    <x v="1253"/>
    <x v="1467"/>
    <x v="1941"/>
    <x v="1936"/>
    <x v="1852"/>
    <x v="1"/>
    <x v="1929"/>
    <x v="1941"/>
    <x v="170"/>
    <x v="0"/>
    <x v="0"/>
    <x v="2"/>
    <x v="4"/>
    <x v="12"/>
    <x v="154"/>
    <x v="7"/>
    <x v="3"/>
    <x v="1"/>
  </r>
  <r>
    <x v="0"/>
    <x v="826"/>
    <x v="133"/>
    <x v="69"/>
    <x v="307"/>
    <x v="120"/>
    <x v="426"/>
    <x v="1847"/>
    <x v="266"/>
    <x v="281"/>
    <x v="1254"/>
    <x v="149"/>
    <x v="1942"/>
    <x v="1937"/>
    <x v="1759"/>
    <x v="1"/>
    <x v="1930"/>
    <x v="1942"/>
    <x v="425"/>
    <x v="0"/>
    <x v="0"/>
    <x v="0"/>
    <x v="178"/>
    <x v="0"/>
    <x v="651"/>
    <x v="23"/>
    <x v="1"/>
    <x v="1"/>
  </r>
  <r>
    <x v="0"/>
    <x v="827"/>
    <x v="167"/>
    <x v="41"/>
    <x v="180"/>
    <x v="594"/>
    <x v="150"/>
    <x v="1848"/>
    <x v="429"/>
    <x v="774"/>
    <x v="1255"/>
    <x v="1468"/>
    <x v="1943"/>
    <x v="1938"/>
    <x v="1853"/>
    <x v="0"/>
    <x v="1931"/>
    <x v="1943"/>
    <x v="268"/>
    <x v="0"/>
    <x v="0"/>
    <x v="4"/>
    <x v="83"/>
    <x v="8"/>
    <x v="335"/>
    <x v="18"/>
    <x v="1"/>
    <x v="1"/>
  </r>
  <r>
    <x v="0"/>
    <x v="828"/>
    <x v="366"/>
    <x v="77"/>
    <x v="161"/>
    <x v="731"/>
    <x v="70"/>
    <x v="1849"/>
    <x v="105"/>
    <x v="775"/>
    <x v="1256"/>
    <x v="1469"/>
    <x v="1944"/>
    <x v="1939"/>
    <x v="1854"/>
    <x v="1"/>
    <x v="1932"/>
    <x v="1944"/>
    <x v="402"/>
    <x v="0"/>
    <x v="0"/>
    <x v="0"/>
    <x v="131"/>
    <x v="21"/>
    <x v="285"/>
    <x v="55"/>
    <x v="3"/>
    <x v="353"/>
  </r>
  <r>
    <x v="0"/>
    <x v="548"/>
    <x v="202"/>
    <x v="86"/>
    <x v="0"/>
    <x v="554"/>
    <x v="427"/>
    <x v="1850"/>
    <x v="236"/>
    <x v="776"/>
    <x v="1257"/>
    <x v="1470"/>
    <x v="1945"/>
    <x v="1940"/>
    <x v="1855"/>
    <x v="4"/>
    <x v="1933"/>
    <x v="1945"/>
    <x v="736"/>
    <x v="0"/>
    <x v="0"/>
    <x v="4"/>
    <x v="131"/>
    <x v="5"/>
    <x v="652"/>
    <x v="30"/>
    <x v="1"/>
    <x v="1"/>
  </r>
  <r>
    <x v="0"/>
    <x v="626"/>
    <x v="450"/>
    <x v="47"/>
    <x v="74"/>
    <x v="180"/>
    <x v="428"/>
    <x v="1851"/>
    <x v="105"/>
    <x v="777"/>
    <x v="1258"/>
    <x v="1471"/>
    <x v="1946"/>
    <x v="1941"/>
    <x v="1856"/>
    <x v="4"/>
    <x v="1934"/>
    <x v="1946"/>
    <x v="821"/>
    <x v="0"/>
    <x v="0"/>
    <x v="4"/>
    <x v="131"/>
    <x v="14"/>
    <x v="653"/>
    <x v="2"/>
    <x v="3"/>
    <x v="1"/>
  </r>
  <r>
    <x v="0"/>
    <x v="829"/>
    <x v="401"/>
    <x v="59"/>
    <x v="184"/>
    <x v="337"/>
    <x v="325"/>
    <x v="1852"/>
    <x v="212"/>
    <x v="580"/>
    <x v="1259"/>
    <x v="1472"/>
    <x v="1947"/>
    <x v="1942"/>
    <x v="1857"/>
    <x v="1"/>
    <x v="1935"/>
    <x v="1947"/>
    <x v="749"/>
    <x v="0"/>
    <x v="0"/>
    <x v="4"/>
    <x v="131"/>
    <x v="25"/>
    <x v="654"/>
    <x v="28"/>
    <x v="1"/>
    <x v="354"/>
  </r>
  <r>
    <x v="0"/>
    <x v="830"/>
    <x v="460"/>
    <x v="79"/>
    <x v="91"/>
    <x v="470"/>
    <x v="429"/>
    <x v="1853"/>
    <x v="70"/>
    <x v="778"/>
    <x v="1260"/>
    <x v="693"/>
    <x v="1948"/>
    <x v="1943"/>
    <x v="1858"/>
    <x v="1"/>
    <x v="1936"/>
    <x v="1948"/>
    <x v="578"/>
    <x v="0"/>
    <x v="0"/>
    <x v="0"/>
    <x v="131"/>
    <x v="19"/>
    <x v="398"/>
    <x v="37"/>
    <x v="3"/>
    <x v="355"/>
  </r>
  <r>
    <x v="0"/>
    <x v="438"/>
    <x v="444"/>
    <x v="5"/>
    <x v="237"/>
    <x v="714"/>
    <x v="3"/>
    <x v="1854"/>
    <x v="564"/>
    <x v="3"/>
    <x v="1261"/>
    <x v="1473"/>
    <x v="1949"/>
    <x v="1944"/>
    <x v="1859"/>
    <x v="4"/>
    <x v="1937"/>
    <x v="1949"/>
    <x v="149"/>
    <x v="0"/>
    <x v="1"/>
    <x v="4"/>
    <x v="116"/>
    <x v="2"/>
    <x v="626"/>
    <x v="15"/>
    <x v="1"/>
    <x v="132"/>
  </r>
  <r>
    <x v="0"/>
    <x v="409"/>
    <x v="387"/>
    <x v="76"/>
    <x v="228"/>
    <x v="179"/>
    <x v="185"/>
    <x v="1855"/>
    <x v="125"/>
    <x v="779"/>
    <x v="1262"/>
    <x v="1474"/>
    <x v="1950"/>
    <x v="1945"/>
    <x v="1860"/>
    <x v="7"/>
    <x v="1938"/>
    <x v="1950"/>
    <x v="585"/>
    <x v="0"/>
    <x v="0"/>
    <x v="0"/>
    <x v="4"/>
    <x v="1"/>
    <x v="655"/>
    <x v="10"/>
    <x v="1"/>
    <x v="1"/>
  </r>
  <r>
    <x v="0"/>
    <x v="504"/>
    <x v="99"/>
    <x v="78"/>
    <x v="101"/>
    <x v="291"/>
    <x v="168"/>
    <x v="1856"/>
    <x v="381"/>
    <x v="780"/>
    <x v="0"/>
    <x v="1475"/>
    <x v="1951"/>
    <x v="1946"/>
    <x v="1861"/>
    <x v="0"/>
    <x v="1939"/>
    <x v="1951"/>
    <x v="140"/>
    <x v="0"/>
    <x v="0"/>
    <x v="0"/>
    <x v="131"/>
    <x v="10"/>
    <x v="0"/>
    <x v="61"/>
    <x v="3"/>
    <x v="1"/>
  </r>
  <r>
    <x v="0"/>
    <x v="406"/>
    <x v="414"/>
    <x v="97"/>
    <x v="227"/>
    <x v="732"/>
    <x v="375"/>
    <x v="1857"/>
    <x v="270"/>
    <x v="685"/>
    <x v="1263"/>
    <x v="1476"/>
    <x v="1952"/>
    <x v="1947"/>
    <x v="1862"/>
    <x v="1"/>
    <x v="1940"/>
    <x v="1952"/>
    <x v="289"/>
    <x v="0"/>
    <x v="0"/>
    <x v="4"/>
    <x v="131"/>
    <x v="15"/>
    <x v="359"/>
    <x v="11"/>
    <x v="3"/>
    <x v="1"/>
  </r>
  <r>
    <x v="0"/>
    <x v="246"/>
    <x v="171"/>
    <x v="47"/>
    <x v="166"/>
    <x v="267"/>
    <x v="22"/>
    <x v="1858"/>
    <x v="291"/>
    <x v="80"/>
    <x v="401"/>
    <x v="1477"/>
    <x v="1953"/>
    <x v="1948"/>
    <x v="1072"/>
    <x v="1"/>
    <x v="1941"/>
    <x v="1953"/>
    <x v="277"/>
    <x v="0"/>
    <x v="0"/>
    <x v="4"/>
    <x v="131"/>
    <x v="11"/>
    <x v="270"/>
    <x v="2"/>
    <x v="1"/>
    <x v="57"/>
  </r>
  <r>
    <x v="0"/>
    <x v="624"/>
    <x v="171"/>
    <x v="59"/>
    <x v="15"/>
    <x v="166"/>
    <x v="430"/>
    <x v="4"/>
    <x v="179"/>
    <x v="781"/>
    <x v="1264"/>
    <x v="1478"/>
    <x v="1954"/>
    <x v="1949"/>
    <x v="1510"/>
    <x v="0"/>
    <x v="1942"/>
    <x v="1954"/>
    <x v="483"/>
    <x v="0"/>
    <x v="1"/>
    <x v="4"/>
    <x v="131"/>
    <x v="39"/>
    <x v="654"/>
    <x v="9"/>
    <x v="1"/>
    <x v="1"/>
  </r>
  <r>
    <x v="0"/>
    <x v="113"/>
    <x v="478"/>
    <x v="119"/>
    <x v="88"/>
    <x v="161"/>
    <x v="358"/>
    <x v="4"/>
    <x v="565"/>
    <x v="647"/>
    <x v="1265"/>
    <x v="1278"/>
    <x v="1955"/>
    <x v="1950"/>
    <x v="1863"/>
    <x v="0"/>
    <x v="1943"/>
    <x v="1955"/>
    <x v="716"/>
    <x v="0"/>
    <x v="0"/>
    <x v="15"/>
    <x v="4"/>
    <x v="4"/>
    <x v="656"/>
    <x v="13"/>
    <x v="9"/>
    <x v="356"/>
  </r>
  <r>
    <x v="0"/>
    <x v="351"/>
    <x v="253"/>
    <x v="40"/>
    <x v="0"/>
    <x v="131"/>
    <x v="11"/>
    <x v="1859"/>
    <x v="566"/>
    <x v="49"/>
    <x v="203"/>
    <x v="161"/>
    <x v="1956"/>
    <x v="1951"/>
    <x v="1864"/>
    <x v="0"/>
    <x v="1944"/>
    <x v="1956"/>
    <x v="675"/>
    <x v="0"/>
    <x v="0"/>
    <x v="0"/>
    <x v="131"/>
    <x v="5"/>
    <x v="30"/>
    <x v="15"/>
    <x v="1"/>
    <x v="1"/>
  </r>
  <r>
    <x v="0"/>
    <x v="534"/>
    <x v="323"/>
    <x v="86"/>
    <x v="264"/>
    <x v="722"/>
    <x v="57"/>
    <x v="1860"/>
    <x v="122"/>
    <x v="140"/>
    <x v="302"/>
    <x v="1479"/>
    <x v="1957"/>
    <x v="1952"/>
    <x v="1865"/>
    <x v="0"/>
    <x v="1945"/>
    <x v="1957"/>
    <x v="357"/>
    <x v="0"/>
    <x v="0"/>
    <x v="0"/>
    <x v="131"/>
    <x v="12"/>
    <x v="204"/>
    <x v="1"/>
    <x v="3"/>
    <x v="9"/>
  </r>
  <r>
    <x v="0"/>
    <x v="831"/>
    <x v="293"/>
    <x v="46"/>
    <x v="151"/>
    <x v="733"/>
    <x v="431"/>
    <x v="1861"/>
    <x v="406"/>
    <x v="782"/>
    <x v="1266"/>
    <x v="1480"/>
    <x v="1958"/>
    <x v="1953"/>
    <x v="1866"/>
    <x v="6"/>
    <x v="1946"/>
    <x v="1958"/>
    <x v="388"/>
    <x v="0"/>
    <x v="31"/>
    <x v="0"/>
    <x v="140"/>
    <x v="2"/>
    <x v="657"/>
    <x v="8"/>
    <x v="1"/>
    <x v="1"/>
  </r>
  <r>
    <x v="0"/>
    <x v="469"/>
    <x v="224"/>
    <x v="77"/>
    <x v="0"/>
    <x v="585"/>
    <x v="432"/>
    <x v="1862"/>
    <x v="190"/>
    <x v="783"/>
    <x v="1267"/>
    <x v="1481"/>
    <x v="1959"/>
    <x v="1954"/>
    <x v="1867"/>
    <x v="1"/>
    <x v="1947"/>
    <x v="1959"/>
    <x v="569"/>
    <x v="0"/>
    <x v="0"/>
    <x v="0"/>
    <x v="131"/>
    <x v="43"/>
    <x v="228"/>
    <x v="11"/>
    <x v="1"/>
    <x v="64"/>
  </r>
  <r>
    <x v="0"/>
    <x v="832"/>
    <x v="459"/>
    <x v="27"/>
    <x v="193"/>
    <x v="316"/>
    <x v="433"/>
    <x v="4"/>
    <x v="127"/>
    <x v="784"/>
    <x v="1268"/>
    <x v="1482"/>
    <x v="1960"/>
    <x v="1955"/>
    <x v="1868"/>
    <x v="4"/>
    <x v="1948"/>
    <x v="1960"/>
    <x v="744"/>
    <x v="3"/>
    <x v="10"/>
    <x v="1"/>
    <x v="173"/>
    <x v="3"/>
    <x v="658"/>
    <x v="22"/>
    <x v="1"/>
    <x v="187"/>
  </r>
  <r>
    <x v="0"/>
    <x v="729"/>
    <x v="483"/>
    <x v="35"/>
    <x v="293"/>
    <x v="40"/>
    <x v="3"/>
    <x v="1863"/>
    <x v="291"/>
    <x v="3"/>
    <x v="220"/>
    <x v="48"/>
    <x v="1961"/>
    <x v="1956"/>
    <x v="1869"/>
    <x v="1"/>
    <x v="1949"/>
    <x v="1961"/>
    <x v="181"/>
    <x v="0"/>
    <x v="0"/>
    <x v="0"/>
    <x v="131"/>
    <x v="10"/>
    <x v="150"/>
    <x v="17"/>
    <x v="1"/>
    <x v="44"/>
  </r>
  <r>
    <x v="1"/>
    <x v="435"/>
    <x v="402"/>
    <x v="82"/>
    <x v="236"/>
    <x v="141"/>
    <x v="9"/>
    <x v="1864"/>
    <x v="567"/>
    <x v="9"/>
    <x v="101"/>
    <x v="898"/>
    <x v="1962"/>
    <x v="1957"/>
    <x v="1870"/>
    <x v="4"/>
    <x v="1950"/>
    <x v="1962"/>
    <x v="641"/>
    <x v="0"/>
    <x v="1"/>
    <x v="4"/>
    <x v="168"/>
    <x v="25"/>
    <x v="20"/>
    <x v="1"/>
    <x v="3"/>
    <x v="1"/>
  </r>
  <r>
    <x v="0"/>
    <x v="415"/>
    <x v="417"/>
    <x v="149"/>
    <x v="58"/>
    <x v="591"/>
    <x v="179"/>
    <x v="1865"/>
    <x v="156"/>
    <x v="785"/>
    <x v="1269"/>
    <x v="1483"/>
    <x v="1963"/>
    <x v="1958"/>
    <x v="1871"/>
    <x v="0"/>
    <x v="1951"/>
    <x v="1963"/>
    <x v="541"/>
    <x v="0"/>
    <x v="0"/>
    <x v="2"/>
    <x v="131"/>
    <x v="27"/>
    <x v="105"/>
    <x v="16"/>
    <x v="3"/>
    <x v="1"/>
  </r>
  <r>
    <x v="0"/>
    <x v="709"/>
    <x v="262"/>
    <x v="52"/>
    <x v="225"/>
    <x v="10"/>
    <x v="29"/>
    <x v="1866"/>
    <x v="269"/>
    <x v="58"/>
    <x v="1270"/>
    <x v="1484"/>
    <x v="1964"/>
    <x v="1959"/>
    <x v="1872"/>
    <x v="4"/>
    <x v="1952"/>
    <x v="1964"/>
    <x v="195"/>
    <x v="0"/>
    <x v="0"/>
    <x v="4"/>
    <x v="131"/>
    <x v="8"/>
    <x v="53"/>
    <x v="12"/>
    <x v="3"/>
    <x v="357"/>
  </r>
  <r>
    <x v="0"/>
    <x v="452"/>
    <x v="365"/>
    <x v="77"/>
    <x v="108"/>
    <x v="285"/>
    <x v="17"/>
    <x v="1867"/>
    <x v="568"/>
    <x v="41"/>
    <x v="255"/>
    <x v="373"/>
    <x v="1965"/>
    <x v="1960"/>
    <x v="1873"/>
    <x v="3"/>
    <x v="1953"/>
    <x v="1965"/>
    <x v="486"/>
    <x v="0"/>
    <x v="0"/>
    <x v="0"/>
    <x v="131"/>
    <x v="19"/>
    <x v="6"/>
    <x v="41"/>
    <x v="1"/>
    <x v="212"/>
  </r>
  <r>
    <x v="0"/>
    <x v="833"/>
    <x v="266"/>
    <x v="7"/>
    <x v="118"/>
    <x v="734"/>
    <x v="434"/>
    <x v="1868"/>
    <x v="150"/>
    <x v="786"/>
    <x v="1271"/>
    <x v="1485"/>
    <x v="1966"/>
    <x v="1961"/>
    <x v="1874"/>
    <x v="0"/>
    <x v="1954"/>
    <x v="1966"/>
    <x v="68"/>
    <x v="0"/>
    <x v="0"/>
    <x v="0"/>
    <x v="131"/>
    <x v="15"/>
    <x v="161"/>
    <x v="21"/>
    <x v="1"/>
    <x v="1"/>
  </r>
  <r>
    <x v="0"/>
    <x v="834"/>
    <x v="70"/>
    <x v="80"/>
    <x v="164"/>
    <x v="735"/>
    <x v="435"/>
    <x v="1869"/>
    <x v="381"/>
    <x v="787"/>
    <x v="1272"/>
    <x v="1486"/>
    <x v="1967"/>
    <x v="1962"/>
    <x v="1085"/>
    <x v="0"/>
    <x v="1955"/>
    <x v="1967"/>
    <x v="402"/>
    <x v="0"/>
    <x v="0"/>
    <x v="0"/>
    <x v="137"/>
    <x v="3"/>
    <x v="577"/>
    <x v="18"/>
    <x v="1"/>
    <x v="16"/>
  </r>
  <r>
    <x v="0"/>
    <x v="835"/>
    <x v="393"/>
    <x v="72"/>
    <x v="308"/>
    <x v="389"/>
    <x v="22"/>
    <x v="1870"/>
    <x v="105"/>
    <x v="240"/>
    <x v="1273"/>
    <x v="1487"/>
    <x v="1968"/>
    <x v="1963"/>
    <x v="1875"/>
    <x v="3"/>
    <x v="1956"/>
    <x v="1968"/>
    <x v="724"/>
    <x v="0"/>
    <x v="0"/>
    <x v="0"/>
    <x v="131"/>
    <x v="25"/>
    <x v="196"/>
    <x v="5"/>
    <x v="3"/>
    <x v="306"/>
  </r>
  <r>
    <x v="0"/>
    <x v="381"/>
    <x v="136"/>
    <x v="47"/>
    <x v="19"/>
    <x v="171"/>
    <x v="14"/>
    <x v="1871"/>
    <x v="65"/>
    <x v="788"/>
    <x v="1274"/>
    <x v="1488"/>
    <x v="1969"/>
    <x v="1964"/>
    <x v="1876"/>
    <x v="1"/>
    <x v="1957"/>
    <x v="1969"/>
    <x v="629"/>
    <x v="0"/>
    <x v="0"/>
    <x v="4"/>
    <x v="131"/>
    <x v="10"/>
    <x v="117"/>
    <x v="27"/>
    <x v="1"/>
    <x v="115"/>
  </r>
  <r>
    <x v="0"/>
    <x v="644"/>
    <x v="273"/>
    <x v="38"/>
    <x v="277"/>
    <x v="396"/>
    <x v="359"/>
    <x v="1872"/>
    <x v="200"/>
    <x v="649"/>
    <x v="1275"/>
    <x v="1306"/>
    <x v="1970"/>
    <x v="1965"/>
    <x v="1142"/>
    <x v="0"/>
    <x v="1958"/>
    <x v="1970"/>
    <x v="169"/>
    <x v="0"/>
    <x v="0"/>
    <x v="4"/>
    <x v="131"/>
    <x v="7"/>
    <x v="636"/>
    <x v="10"/>
    <x v="3"/>
    <x v="358"/>
  </r>
  <r>
    <x v="0"/>
    <x v="836"/>
    <x v="434"/>
    <x v="76"/>
    <x v="188"/>
    <x v="209"/>
    <x v="436"/>
    <x v="1873"/>
    <x v="28"/>
    <x v="789"/>
    <x v="1276"/>
    <x v="1489"/>
    <x v="1971"/>
    <x v="1966"/>
    <x v="1877"/>
    <x v="1"/>
    <x v="1959"/>
    <x v="1971"/>
    <x v="496"/>
    <x v="0"/>
    <x v="0"/>
    <x v="4"/>
    <x v="173"/>
    <x v="23"/>
    <x v="628"/>
    <x v="18"/>
    <x v="3"/>
    <x v="1"/>
  </r>
  <r>
    <x v="0"/>
    <x v="837"/>
    <x v="254"/>
    <x v="70"/>
    <x v="309"/>
    <x v="23"/>
    <x v="14"/>
    <x v="1874"/>
    <x v="457"/>
    <x v="414"/>
    <x v="99"/>
    <x v="245"/>
    <x v="1972"/>
    <x v="1967"/>
    <x v="1878"/>
    <x v="4"/>
    <x v="1960"/>
    <x v="1972"/>
    <x v="200"/>
    <x v="0"/>
    <x v="0"/>
    <x v="4"/>
    <x v="131"/>
    <x v="0"/>
    <x v="71"/>
    <x v="11"/>
    <x v="1"/>
    <x v="121"/>
  </r>
  <r>
    <x v="0"/>
    <x v="838"/>
    <x v="152"/>
    <x v="85"/>
    <x v="233"/>
    <x v="736"/>
    <x v="176"/>
    <x v="4"/>
    <x v="13"/>
    <x v="790"/>
    <x v="1277"/>
    <x v="1490"/>
    <x v="1973"/>
    <x v="1968"/>
    <x v="1879"/>
    <x v="1"/>
    <x v="1961"/>
    <x v="1973"/>
    <x v="802"/>
    <x v="0"/>
    <x v="1"/>
    <x v="2"/>
    <x v="131"/>
    <x v="31"/>
    <x v="659"/>
    <x v="30"/>
    <x v="1"/>
    <x v="359"/>
  </r>
  <r>
    <x v="0"/>
    <x v="839"/>
    <x v="308"/>
    <x v="54"/>
    <x v="211"/>
    <x v="371"/>
    <x v="437"/>
    <x v="1875"/>
    <x v="281"/>
    <x v="791"/>
    <x v="838"/>
    <x v="1491"/>
    <x v="1974"/>
    <x v="1969"/>
    <x v="1880"/>
    <x v="3"/>
    <x v="1962"/>
    <x v="1974"/>
    <x v="721"/>
    <x v="0"/>
    <x v="0"/>
    <x v="0"/>
    <x v="131"/>
    <x v="12"/>
    <x v="325"/>
    <x v="54"/>
    <x v="1"/>
    <x v="360"/>
  </r>
  <r>
    <x v="0"/>
    <x v="684"/>
    <x v="314"/>
    <x v="54"/>
    <x v="85"/>
    <x v="644"/>
    <x v="256"/>
    <x v="1876"/>
    <x v="127"/>
    <x v="676"/>
    <x v="456"/>
    <x v="1492"/>
    <x v="1975"/>
    <x v="1970"/>
    <x v="1881"/>
    <x v="4"/>
    <x v="1963"/>
    <x v="1975"/>
    <x v="552"/>
    <x v="0"/>
    <x v="0"/>
    <x v="4"/>
    <x v="131"/>
    <x v="18"/>
    <x v="301"/>
    <x v="41"/>
    <x v="3"/>
    <x v="153"/>
  </r>
  <r>
    <x v="0"/>
    <x v="146"/>
    <x v="450"/>
    <x v="46"/>
    <x v="108"/>
    <x v="570"/>
    <x v="25"/>
    <x v="1877"/>
    <x v="122"/>
    <x v="82"/>
    <x v="1278"/>
    <x v="1493"/>
    <x v="1976"/>
    <x v="1971"/>
    <x v="1882"/>
    <x v="1"/>
    <x v="1964"/>
    <x v="1976"/>
    <x v="521"/>
    <x v="0"/>
    <x v="3"/>
    <x v="0"/>
    <x v="131"/>
    <x v="12"/>
    <x v="262"/>
    <x v="0"/>
    <x v="1"/>
    <x v="59"/>
  </r>
  <r>
    <x v="0"/>
    <x v="504"/>
    <x v="456"/>
    <x v="72"/>
    <x v="101"/>
    <x v="88"/>
    <x v="86"/>
    <x v="1452"/>
    <x v="485"/>
    <x v="627"/>
    <x v="946"/>
    <x v="1184"/>
    <x v="1515"/>
    <x v="1972"/>
    <x v="1403"/>
    <x v="0"/>
    <x v="1504"/>
    <x v="1515"/>
    <x v="761"/>
    <x v="0"/>
    <x v="8"/>
    <x v="4"/>
    <x v="152"/>
    <x v="7"/>
    <x v="532"/>
    <x v="23"/>
    <x v="1"/>
    <x v="86"/>
  </r>
  <r>
    <x v="0"/>
    <x v="840"/>
    <x v="370"/>
    <x v="27"/>
    <x v="91"/>
    <x v="39"/>
    <x v="18"/>
    <x v="1878"/>
    <x v="148"/>
    <x v="19"/>
    <x v="821"/>
    <x v="1494"/>
    <x v="1977"/>
    <x v="1973"/>
    <x v="1883"/>
    <x v="0"/>
    <x v="1965"/>
    <x v="1977"/>
    <x v="86"/>
    <x v="0"/>
    <x v="0"/>
    <x v="4"/>
    <x v="131"/>
    <x v="16"/>
    <x v="425"/>
    <x v="31"/>
    <x v="1"/>
    <x v="1"/>
  </r>
  <r>
    <x v="0"/>
    <x v="841"/>
    <x v="430"/>
    <x v="54"/>
    <x v="216"/>
    <x v="137"/>
    <x v="438"/>
    <x v="1879"/>
    <x v="70"/>
    <x v="792"/>
    <x v="1279"/>
    <x v="965"/>
    <x v="1978"/>
    <x v="1974"/>
    <x v="1884"/>
    <x v="6"/>
    <x v="1966"/>
    <x v="1978"/>
    <x v="822"/>
    <x v="0"/>
    <x v="0"/>
    <x v="0"/>
    <x v="159"/>
    <x v="12"/>
    <x v="413"/>
    <x v="54"/>
    <x v="3"/>
    <x v="361"/>
  </r>
  <r>
    <x v="0"/>
    <x v="787"/>
    <x v="286"/>
    <x v="61"/>
    <x v="302"/>
    <x v="325"/>
    <x v="424"/>
    <x v="1880"/>
    <x v="178"/>
    <x v="793"/>
    <x v="1280"/>
    <x v="1495"/>
    <x v="1979"/>
    <x v="1975"/>
    <x v="1885"/>
    <x v="0"/>
    <x v="1967"/>
    <x v="1979"/>
    <x v="776"/>
    <x v="0"/>
    <x v="4"/>
    <x v="4"/>
    <x v="131"/>
    <x v="8"/>
    <x v="660"/>
    <x v="4"/>
    <x v="3"/>
    <x v="1"/>
  </r>
  <r>
    <x v="0"/>
    <x v="388"/>
    <x v="262"/>
    <x v="80"/>
    <x v="220"/>
    <x v="737"/>
    <x v="56"/>
    <x v="1881"/>
    <x v="569"/>
    <x v="728"/>
    <x v="1252"/>
    <x v="1496"/>
    <x v="1980"/>
    <x v="1976"/>
    <x v="1886"/>
    <x v="4"/>
    <x v="1968"/>
    <x v="1980"/>
    <x v="543"/>
    <x v="0"/>
    <x v="0"/>
    <x v="4"/>
    <x v="131"/>
    <x v="12"/>
    <x v="181"/>
    <x v="64"/>
    <x v="1"/>
    <x v="362"/>
  </r>
  <r>
    <x v="0"/>
    <x v="335"/>
    <x v="34"/>
    <x v="110"/>
    <x v="67"/>
    <x v="519"/>
    <x v="21"/>
    <x v="4"/>
    <x v="200"/>
    <x v="141"/>
    <x v="231"/>
    <x v="1497"/>
    <x v="1981"/>
    <x v="1977"/>
    <x v="1887"/>
    <x v="3"/>
    <x v="1969"/>
    <x v="1981"/>
    <x v="339"/>
    <x v="0"/>
    <x v="10"/>
    <x v="4"/>
    <x v="131"/>
    <x v="10"/>
    <x v="6"/>
    <x v="13"/>
    <x v="1"/>
    <x v="90"/>
  </r>
  <r>
    <x v="0"/>
    <x v="842"/>
    <x v="241"/>
    <x v="86"/>
    <x v="310"/>
    <x v="88"/>
    <x v="21"/>
    <x v="1882"/>
    <x v="171"/>
    <x v="298"/>
    <x v="443"/>
    <x v="1184"/>
    <x v="1982"/>
    <x v="1978"/>
    <x v="1888"/>
    <x v="4"/>
    <x v="1970"/>
    <x v="1982"/>
    <x v="528"/>
    <x v="0"/>
    <x v="4"/>
    <x v="4"/>
    <x v="131"/>
    <x v="12"/>
    <x v="30"/>
    <x v="12"/>
    <x v="1"/>
    <x v="363"/>
  </r>
  <r>
    <x v="0"/>
    <x v="13"/>
    <x v="345"/>
    <x v="43"/>
    <x v="8"/>
    <x v="738"/>
    <x v="372"/>
    <x v="1883"/>
    <x v="93"/>
    <x v="794"/>
    <x v="1281"/>
    <x v="1498"/>
    <x v="1983"/>
    <x v="1979"/>
    <x v="1889"/>
    <x v="0"/>
    <x v="1971"/>
    <x v="1983"/>
    <x v="816"/>
    <x v="0"/>
    <x v="0"/>
    <x v="2"/>
    <x v="4"/>
    <x v="3"/>
    <x v="661"/>
    <x v="2"/>
    <x v="2"/>
    <x v="1"/>
  </r>
  <r>
    <x v="0"/>
    <x v="843"/>
    <x v="419"/>
    <x v="85"/>
    <x v="215"/>
    <x v="331"/>
    <x v="35"/>
    <x v="1884"/>
    <x v="122"/>
    <x v="332"/>
    <x v="347"/>
    <x v="613"/>
    <x v="1984"/>
    <x v="1980"/>
    <x v="1890"/>
    <x v="0"/>
    <x v="1972"/>
    <x v="1984"/>
    <x v="448"/>
    <x v="0"/>
    <x v="0"/>
    <x v="0"/>
    <x v="131"/>
    <x v="20"/>
    <x v="232"/>
    <x v="13"/>
    <x v="1"/>
    <x v="364"/>
  </r>
  <r>
    <x v="0"/>
    <x v="776"/>
    <x v="202"/>
    <x v="86"/>
    <x v="0"/>
    <x v="231"/>
    <x v="98"/>
    <x v="1885"/>
    <x v="270"/>
    <x v="795"/>
    <x v="1282"/>
    <x v="1499"/>
    <x v="1985"/>
    <x v="1981"/>
    <x v="1891"/>
    <x v="3"/>
    <x v="1973"/>
    <x v="1985"/>
    <x v="212"/>
    <x v="0"/>
    <x v="1"/>
    <x v="0"/>
    <x v="131"/>
    <x v="8"/>
    <x v="662"/>
    <x v="2"/>
    <x v="1"/>
    <x v="1"/>
  </r>
  <r>
    <x v="0"/>
    <x v="844"/>
    <x v="310"/>
    <x v="22"/>
    <x v="311"/>
    <x v="336"/>
    <x v="15"/>
    <x v="1886"/>
    <x v="570"/>
    <x v="460"/>
    <x v="1283"/>
    <x v="1500"/>
    <x v="1986"/>
    <x v="1982"/>
    <x v="1892"/>
    <x v="4"/>
    <x v="1974"/>
    <x v="1986"/>
    <x v="104"/>
    <x v="0"/>
    <x v="20"/>
    <x v="4"/>
    <x v="179"/>
    <x v="9"/>
    <x v="663"/>
    <x v="6"/>
    <x v="1"/>
    <x v="77"/>
  </r>
  <r>
    <x v="0"/>
    <x v="845"/>
    <x v="89"/>
    <x v="40"/>
    <x v="0"/>
    <x v="373"/>
    <x v="25"/>
    <x v="1887"/>
    <x v="152"/>
    <x v="76"/>
    <x v="761"/>
    <x v="1501"/>
    <x v="1987"/>
    <x v="1983"/>
    <x v="1893"/>
    <x v="4"/>
    <x v="1975"/>
    <x v="1987"/>
    <x v="657"/>
    <x v="0"/>
    <x v="0"/>
    <x v="4"/>
    <x v="78"/>
    <x v="0"/>
    <x v="457"/>
    <x v="10"/>
    <x v="3"/>
    <x v="71"/>
  </r>
  <r>
    <x v="0"/>
    <x v="846"/>
    <x v="392"/>
    <x v="76"/>
    <x v="198"/>
    <x v="154"/>
    <x v="56"/>
    <x v="4"/>
    <x v="224"/>
    <x v="98"/>
    <x v="1284"/>
    <x v="190"/>
    <x v="1988"/>
    <x v="1984"/>
    <x v="1449"/>
    <x v="4"/>
    <x v="1976"/>
    <x v="1988"/>
    <x v="636"/>
    <x v="0"/>
    <x v="10"/>
    <x v="2"/>
    <x v="4"/>
    <x v="5"/>
    <x v="664"/>
    <x v="9"/>
    <x v="1"/>
    <x v="1"/>
  </r>
  <r>
    <x v="0"/>
    <x v="808"/>
    <x v="378"/>
    <x v="90"/>
    <x v="0"/>
    <x v="734"/>
    <x v="318"/>
    <x v="1888"/>
    <x v="200"/>
    <x v="796"/>
    <x v="1285"/>
    <x v="1502"/>
    <x v="1989"/>
    <x v="1985"/>
    <x v="1894"/>
    <x v="5"/>
    <x v="1977"/>
    <x v="1989"/>
    <x v="823"/>
    <x v="3"/>
    <x v="10"/>
    <x v="9"/>
    <x v="131"/>
    <x v="5"/>
    <x v="665"/>
    <x v="1"/>
    <x v="1"/>
    <x v="1"/>
  </r>
  <r>
    <x v="0"/>
    <x v="332"/>
    <x v="324"/>
    <x v="85"/>
    <x v="204"/>
    <x v="229"/>
    <x v="439"/>
    <x v="1889"/>
    <x v="334"/>
    <x v="797"/>
    <x v="902"/>
    <x v="1503"/>
    <x v="1990"/>
    <x v="1986"/>
    <x v="1895"/>
    <x v="12"/>
    <x v="1978"/>
    <x v="1990"/>
    <x v="789"/>
    <x v="0"/>
    <x v="0"/>
    <x v="4"/>
    <x v="131"/>
    <x v="5"/>
    <x v="26"/>
    <x v="20"/>
    <x v="0"/>
    <x v="365"/>
  </r>
  <r>
    <x v="0"/>
    <x v="847"/>
    <x v="169"/>
    <x v="110"/>
    <x v="0"/>
    <x v="298"/>
    <x v="258"/>
    <x v="4"/>
    <x v="257"/>
    <x v="798"/>
    <x v="1286"/>
    <x v="1504"/>
    <x v="1991"/>
    <x v="1987"/>
    <x v="1896"/>
    <x v="0"/>
    <x v="1979"/>
    <x v="1991"/>
    <x v="343"/>
    <x v="0"/>
    <x v="10"/>
    <x v="3"/>
    <x v="131"/>
    <x v="0"/>
    <x v="557"/>
    <x v="64"/>
    <x v="2"/>
    <x v="366"/>
  </r>
  <r>
    <x v="0"/>
    <x v="848"/>
    <x v="441"/>
    <x v="79"/>
    <x v="0"/>
    <x v="321"/>
    <x v="146"/>
    <x v="4"/>
    <x v="29"/>
    <x v="799"/>
    <x v="1287"/>
    <x v="1505"/>
    <x v="1992"/>
    <x v="1988"/>
    <x v="1897"/>
    <x v="0"/>
    <x v="1980"/>
    <x v="1992"/>
    <x v="824"/>
    <x v="9"/>
    <x v="21"/>
    <x v="3"/>
    <x v="131"/>
    <x v="5"/>
    <x v="562"/>
    <x v="31"/>
    <x v="2"/>
    <x v="367"/>
  </r>
  <r>
    <x v="0"/>
    <x v="18"/>
    <x v="484"/>
    <x v="67"/>
    <x v="0"/>
    <x v="1"/>
    <x v="57"/>
    <x v="1890"/>
    <x v="168"/>
    <x v="125"/>
    <x v="40"/>
    <x v="579"/>
    <x v="1993"/>
    <x v="1989"/>
    <x v="1898"/>
    <x v="2"/>
    <x v="1981"/>
    <x v="1993"/>
    <x v="566"/>
    <x v="0"/>
    <x v="0"/>
    <x v="4"/>
    <x v="131"/>
    <x v="9"/>
    <x v="6"/>
    <x v="43"/>
    <x v="1"/>
    <x v="4"/>
  </r>
  <r>
    <x v="0"/>
    <x v="849"/>
    <x v="74"/>
    <x v="61"/>
    <x v="134"/>
    <x v="397"/>
    <x v="0"/>
    <x v="4"/>
    <x v="571"/>
    <x v="251"/>
    <x v="160"/>
    <x v="923"/>
    <x v="1994"/>
    <x v="1990"/>
    <x v="558"/>
    <x v="4"/>
    <x v="1982"/>
    <x v="1994"/>
    <x v="575"/>
    <x v="0"/>
    <x v="1"/>
    <x v="4"/>
    <x v="131"/>
    <x v="10"/>
    <x v="666"/>
    <x v="5"/>
    <x v="1"/>
    <x v="1"/>
  </r>
  <r>
    <x v="0"/>
    <x v="850"/>
    <x v="441"/>
    <x v="90"/>
    <x v="180"/>
    <x v="163"/>
    <x v="440"/>
    <x v="4"/>
    <x v="71"/>
    <x v="800"/>
    <x v="1288"/>
    <x v="1506"/>
    <x v="1995"/>
    <x v="1991"/>
    <x v="1768"/>
    <x v="4"/>
    <x v="1983"/>
    <x v="1995"/>
    <x v="758"/>
    <x v="0"/>
    <x v="20"/>
    <x v="3"/>
    <x v="131"/>
    <x v="48"/>
    <x v="667"/>
    <x v="11"/>
    <x v="1"/>
    <x v="166"/>
  </r>
  <r>
    <x v="0"/>
    <x v="851"/>
    <x v="409"/>
    <x v="7"/>
    <x v="221"/>
    <x v="237"/>
    <x v="441"/>
    <x v="1891"/>
    <x v="54"/>
    <x v="801"/>
    <x v="777"/>
    <x v="1507"/>
    <x v="1996"/>
    <x v="1992"/>
    <x v="1899"/>
    <x v="4"/>
    <x v="1984"/>
    <x v="1996"/>
    <x v="721"/>
    <x v="13"/>
    <x v="9"/>
    <x v="1"/>
    <x v="131"/>
    <x v="11"/>
    <x v="463"/>
    <x v="12"/>
    <x v="1"/>
    <x v="1"/>
  </r>
  <r>
    <x v="2"/>
    <x v="852"/>
    <x v="478"/>
    <x v="7"/>
    <x v="312"/>
    <x v="733"/>
    <x v="269"/>
    <x v="4"/>
    <x v="3"/>
    <x v="486"/>
    <x v="1289"/>
    <x v="1480"/>
    <x v="1997"/>
    <x v="1993"/>
    <x v="1900"/>
    <x v="0"/>
    <x v="1985"/>
    <x v="1997"/>
    <x v="744"/>
    <x v="0"/>
    <x v="0"/>
    <x v="0"/>
    <x v="131"/>
    <x v="11"/>
    <x v="376"/>
    <x v="54"/>
    <x v="2"/>
    <x v="185"/>
  </r>
  <r>
    <x v="0"/>
    <x v="491"/>
    <x v="359"/>
    <x v="73"/>
    <x v="253"/>
    <x v="601"/>
    <x v="11"/>
    <x v="1892"/>
    <x v="17"/>
    <x v="63"/>
    <x v="1202"/>
    <x v="1465"/>
    <x v="1998"/>
    <x v="1994"/>
    <x v="1901"/>
    <x v="4"/>
    <x v="1986"/>
    <x v="1998"/>
    <x v="498"/>
    <x v="0"/>
    <x v="0"/>
    <x v="4"/>
    <x v="137"/>
    <x v="32"/>
    <x v="53"/>
    <x v="16"/>
    <x v="3"/>
    <x v="1"/>
  </r>
  <r>
    <x v="0"/>
    <x v="385"/>
    <x v="153"/>
    <x v="64"/>
    <x v="26"/>
    <x v="6"/>
    <x v="30"/>
    <x v="1893"/>
    <x v="457"/>
    <x v="224"/>
    <x v="370"/>
    <x v="6"/>
    <x v="1999"/>
    <x v="1995"/>
    <x v="1902"/>
    <x v="2"/>
    <x v="1987"/>
    <x v="1999"/>
    <x v="528"/>
    <x v="0"/>
    <x v="10"/>
    <x v="4"/>
    <x v="131"/>
    <x v="3"/>
    <x v="10"/>
    <x v="9"/>
    <x v="1"/>
    <x v="41"/>
  </r>
  <r>
    <x v="0"/>
    <x v="853"/>
    <x v="257"/>
    <x v="73"/>
    <x v="119"/>
    <x v="575"/>
    <x v="25"/>
    <x v="1894"/>
    <x v="145"/>
    <x v="194"/>
    <x v="953"/>
    <x v="1102"/>
    <x v="2000"/>
    <x v="1996"/>
    <x v="1903"/>
    <x v="7"/>
    <x v="1988"/>
    <x v="2000"/>
    <x v="623"/>
    <x v="0"/>
    <x v="0"/>
    <x v="2"/>
    <x v="131"/>
    <x v="43"/>
    <x v="335"/>
    <x v="11"/>
    <x v="1"/>
    <x v="1"/>
  </r>
  <r>
    <x v="0"/>
    <x v="234"/>
    <x v="456"/>
    <x v="106"/>
    <x v="17"/>
    <x v="158"/>
    <x v="57"/>
    <x v="1895"/>
    <x v="291"/>
    <x v="237"/>
    <x v="862"/>
    <x v="378"/>
    <x v="2001"/>
    <x v="1997"/>
    <x v="1904"/>
    <x v="0"/>
    <x v="1989"/>
    <x v="2001"/>
    <x v="798"/>
    <x v="0"/>
    <x v="0"/>
    <x v="2"/>
    <x v="151"/>
    <x v="7"/>
    <x v="500"/>
    <x v="13"/>
    <x v="3"/>
    <x v="1"/>
  </r>
  <r>
    <x v="0"/>
    <x v="182"/>
    <x v="145"/>
    <x v="37"/>
    <x v="107"/>
    <x v="122"/>
    <x v="0"/>
    <x v="306"/>
    <x v="146"/>
    <x v="167"/>
    <x v="112"/>
    <x v="151"/>
    <x v="314"/>
    <x v="1998"/>
    <x v="309"/>
    <x v="1"/>
    <x v="311"/>
    <x v="314"/>
    <x v="289"/>
    <x v="0"/>
    <x v="0"/>
    <x v="0"/>
    <x v="21"/>
    <x v="2"/>
    <x v="80"/>
    <x v="43"/>
    <x v="1"/>
    <x v="40"/>
  </r>
  <r>
    <x v="0"/>
    <x v="548"/>
    <x v="423"/>
    <x v="60"/>
    <x v="0"/>
    <x v="402"/>
    <x v="191"/>
    <x v="1896"/>
    <x v="364"/>
    <x v="536"/>
    <x v="102"/>
    <x v="1508"/>
    <x v="2002"/>
    <x v="1999"/>
    <x v="701"/>
    <x v="7"/>
    <x v="1990"/>
    <x v="2002"/>
    <x v="378"/>
    <x v="0"/>
    <x v="0"/>
    <x v="4"/>
    <x v="151"/>
    <x v="13"/>
    <x v="72"/>
    <x v="9"/>
    <x v="1"/>
    <x v="1"/>
  </r>
  <r>
    <x v="0"/>
    <x v="729"/>
    <x v="318"/>
    <x v="42"/>
    <x v="293"/>
    <x v="269"/>
    <x v="24"/>
    <x v="1897"/>
    <x v="572"/>
    <x v="131"/>
    <x v="523"/>
    <x v="1509"/>
    <x v="2003"/>
    <x v="2000"/>
    <x v="1905"/>
    <x v="0"/>
    <x v="1991"/>
    <x v="2003"/>
    <x v="388"/>
    <x v="0"/>
    <x v="0"/>
    <x v="4"/>
    <x v="131"/>
    <x v="6"/>
    <x v="341"/>
    <x v="27"/>
    <x v="1"/>
    <x v="1"/>
  </r>
  <r>
    <x v="0"/>
    <x v="135"/>
    <x v="460"/>
    <x v="11"/>
    <x v="100"/>
    <x v="472"/>
    <x v="159"/>
    <x v="1898"/>
    <x v="127"/>
    <x v="343"/>
    <x v="1290"/>
    <x v="733"/>
    <x v="2004"/>
    <x v="2001"/>
    <x v="1906"/>
    <x v="8"/>
    <x v="1992"/>
    <x v="2004"/>
    <x v="785"/>
    <x v="0"/>
    <x v="0"/>
    <x v="0"/>
    <x v="151"/>
    <x v="11"/>
    <x v="449"/>
    <x v="20"/>
    <x v="1"/>
    <x v="67"/>
  </r>
  <r>
    <x v="0"/>
    <x v="592"/>
    <x v="309"/>
    <x v="42"/>
    <x v="151"/>
    <x v="693"/>
    <x v="57"/>
    <x v="1899"/>
    <x v="70"/>
    <x v="99"/>
    <x v="1100"/>
    <x v="1291"/>
    <x v="2005"/>
    <x v="2002"/>
    <x v="1907"/>
    <x v="2"/>
    <x v="1993"/>
    <x v="2005"/>
    <x v="395"/>
    <x v="0"/>
    <x v="0"/>
    <x v="4"/>
    <x v="151"/>
    <x v="21"/>
    <x v="12"/>
    <x v="10"/>
    <x v="3"/>
    <x v="1"/>
  </r>
  <r>
    <x v="0"/>
    <x v="854"/>
    <x v="370"/>
    <x v="86"/>
    <x v="233"/>
    <x v="499"/>
    <x v="171"/>
    <x v="1900"/>
    <x v="484"/>
    <x v="772"/>
    <x v="688"/>
    <x v="1510"/>
    <x v="2006"/>
    <x v="2003"/>
    <x v="1908"/>
    <x v="0"/>
    <x v="1994"/>
    <x v="2006"/>
    <x v="277"/>
    <x v="0"/>
    <x v="0"/>
    <x v="2"/>
    <x v="186"/>
    <x v="31"/>
    <x v="422"/>
    <x v="12"/>
    <x v="3"/>
    <x v="1"/>
  </r>
  <r>
    <x v="0"/>
    <x v="235"/>
    <x v="318"/>
    <x v="76"/>
    <x v="157"/>
    <x v="378"/>
    <x v="94"/>
    <x v="1901"/>
    <x v="125"/>
    <x v="166"/>
    <x v="1291"/>
    <x v="943"/>
    <x v="2007"/>
    <x v="2004"/>
    <x v="1909"/>
    <x v="2"/>
    <x v="1995"/>
    <x v="2007"/>
    <x v="825"/>
    <x v="0"/>
    <x v="0"/>
    <x v="4"/>
    <x v="151"/>
    <x v="17"/>
    <x v="324"/>
    <x v="13"/>
    <x v="1"/>
    <x v="1"/>
  </r>
  <r>
    <x v="0"/>
    <x v="255"/>
    <x v="274"/>
    <x v="64"/>
    <x v="0"/>
    <x v="2"/>
    <x v="25"/>
    <x v="1902"/>
    <x v="487"/>
    <x v="30"/>
    <x v="1292"/>
    <x v="1511"/>
    <x v="2008"/>
    <x v="2005"/>
    <x v="788"/>
    <x v="1"/>
    <x v="1996"/>
    <x v="2008"/>
    <x v="796"/>
    <x v="0"/>
    <x v="0"/>
    <x v="4"/>
    <x v="151"/>
    <x v="23"/>
    <x v="668"/>
    <x v="32"/>
    <x v="3"/>
    <x v="85"/>
  </r>
  <r>
    <x v="0"/>
    <x v="665"/>
    <x v="211"/>
    <x v="7"/>
    <x v="186"/>
    <x v="223"/>
    <x v="230"/>
    <x v="1903"/>
    <x v="364"/>
    <x v="424"/>
    <x v="890"/>
    <x v="581"/>
    <x v="2009"/>
    <x v="2006"/>
    <x v="1910"/>
    <x v="4"/>
    <x v="1997"/>
    <x v="2009"/>
    <x v="598"/>
    <x v="0"/>
    <x v="0"/>
    <x v="4"/>
    <x v="151"/>
    <x v="20"/>
    <x v="30"/>
    <x v="51"/>
    <x v="1"/>
    <x v="368"/>
  </r>
  <r>
    <x v="0"/>
    <x v="855"/>
    <x v="257"/>
    <x v="69"/>
    <x v="313"/>
    <x v="507"/>
    <x v="442"/>
    <x v="1904"/>
    <x v="105"/>
    <x v="802"/>
    <x v="1079"/>
    <x v="762"/>
    <x v="2010"/>
    <x v="2007"/>
    <x v="1911"/>
    <x v="1"/>
    <x v="1998"/>
    <x v="2010"/>
    <x v="458"/>
    <x v="0"/>
    <x v="0"/>
    <x v="2"/>
    <x v="151"/>
    <x v="21"/>
    <x v="50"/>
    <x v="8"/>
    <x v="3"/>
    <x v="1"/>
  </r>
  <r>
    <x v="0"/>
    <x v="609"/>
    <x v="348"/>
    <x v="59"/>
    <x v="0"/>
    <x v="734"/>
    <x v="298"/>
    <x v="1905"/>
    <x v="127"/>
    <x v="803"/>
    <x v="1293"/>
    <x v="1512"/>
    <x v="2011"/>
    <x v="2008"/>
    <x v="1912"/>
    <x v="6"/>
    <x v="1999"/>
    <x v="2011"/>
    <x v="554"/>
    <x v="0"/>
    <x v="0"/>
    <x v="4"/>
    <x v="151"/>
    <x v="8"/>
    <x v="14"/>
    <x v="4"/>
    <x v="3"/>
    <x v="1"/>
  </r>
  <r>
    <x v="0"/>
    <x v="856"/>
    <x v="150"/>
    <x v="47"/>
    <x v="202"/>
    <x v="161"/>
    <x v="2"/>
    <x v="1906"/>
    <x v="539"/>
    <x v="130"/>
    <x v="1294"/>
    <x v="1513"/>
    <x v="2012"/>
    <x v="2009"/>
    <x v="1913"/>
    <x v="2"/>
    <x v="2000"/>
    <x v="2012"/>
    <x v="294"/>
    <x v="0"/>
    <x v="8"/>
    <x v="4"/>
    <x v="151"/>
    <x v="21"/>
    <x v="219"/>
    <x v="22"/>
    <x v="1"/>
    <x v="226"/>
  </r>
  <r>
    <x v="0"/>
    <x v="857"/>
    <x v="168"/>
    <x v="50"/>
    <x v="36"/>
    <x v="131"/>
    <x v="11"/>
    <x v="1907"/>
    <x v="418"/>
    <x v="11"/>
    <x v="60"/>
    <x v="161"/>
    <x v="2013"/>
    <x v="2010"/>
    <x v="1914"/>
    <x v="0"/>
    <x v="2001"/>
    <x v="2013"/>
    <x v="679"/>
    <x v="0"/>
    <x v="0"/>
    <x v="4"/>
    <x v="131"/>
    <x v="0"/>
    <x v="47"/>
    <x v="5"/>
    <x v="1"/>
    <x v="61"/>
  </r>
  <r>
    <x v="0"/>
    <x v="858"/>
    <x v="399"/>
    <x v="76"/>
    <x v="314"/>
    <x v="59"/>
    <x v="0"/>
    <x v="1908"/>
    <x v="26"/>
    <x v="735"/>
    <x v="1223"/>
    <x v="518"/>
    <x v="2014"/>
    <x v="2011"/>
    <x v="1915"/>
    <x v="4"/>
    <x v="2002"/>
    <x v="2014"/>
    <x v="724"/>
    <x v="0"/>
    <x v="0"/>
    <x v="0"/>
    <x v="151"/>
    <x v="18"/>
    <x v="476"/>
    <x v="43"/>
    <x v="1"/>
    <x v="309"/>
  </r>
  <r>
    <x v="0"/>
    <x v="141"/>
    <x v="395"/>
    <x v="46"/>
    <x v="105"/>
    <x v="286"/>
    <x v="2"/>
    <x v="1909"/>
    <x v="113"/>
    <x v="60"/>
    <x v="1156"/>
    <x v="376"/>
    <x v="2015"/>
    <x v="2012"/>
    <x v="1916"/>
    <x v="0"/>
    <x v="2003"/>
    <x v="2015"/>
    <x v="440"/>
    <x v="0"/>
    <x v="0"/>
    <x v="4"/>
    <x v="151"/>
    <x v="15"/>
    <x v="30"/>
    <x v="11"/>
    <x v="3"/>
    <x v="1"/>
  </r>
  <r>
    <x v="0"/>
    <x v="275"/>
    <x v="274"/>
    <x v="54"/>
    <x v="179"/>
    <x v="252"/>
    <x v="35"/>
    <x v="1910"/>
    <x v="127"/>
    <x v="507"/>
    <x v="658"/>
    <x v="472"/>
    <x v="2016"/>
    <x v="2013"/>
    <x v="1917"/>
    <x v="1"/>
    <x v="2004"/>
    <x v="2016"/>
    <x v="629"/>
    <x v="0"/>
    <x v="0"/>
    <x v="0"/>
    <x v="151"/>
    <x v="14"/>
    <x v="408"/>
    <x v="23"/>
    <x v="1"/>
    <x v="369"/>
  </r>
  <r>
    <x v="0"/>
    <x v="344"/>
    <x v="266"/>
    <x v="101"/>
    <x v="73"/>
    <x v="739"/>
    <x v="0"/>
    <x v="1911"/>
    <x v="573"/>
    <x v="652"/>
    <x v="1218"/>
    <x v="1514"/>
    <x v="2017"/>
    <x v="2014"/>
    <x v="1274"/>
    <x v="0"/>
    <x v="2005"/>
    <x v="2017"/>
    <x v="360"/>
    <x v="0"/>
    <x v="0"/>
    <x v="3"/>
    <x v="151"/>
    <x v="15"/>
    <x v="224"/>
    <x v="5"/>
    <x v="3"/>
    <x v="370"/>
  </r>
  <r>
    <x v="0"/>
    <x v="859"/>
    <x v="424"/>
    <x v="34"/>
    <x v="0"/>
    <x v="217"/>
    <x v="394"/>
    <x v="1912"/>
    <x v="574"/>
    <x v="804"/>
    <x v="1295"/>
    <x v="1515"/>
    <x v="2018"/>
    <x v="2015"/>
    <x v="1435"/>
    <x v="0"/>
    <x v="2006"/>
    <x v="2018"/>
    <x v="549"/>
    <x v="0"/>
    <x v="0"/>
    <x v="3"/>
    <x v="151"/>
    <x v="33"/>
    <x v="669"/>
    <x v="31"/>
    <x v="3"/>
    <x v="1"/>
  </r>
  <r>
    <x v="0"/>
    <x v="355"/>
    <x v="359"/>
    <x v="86"/>
    <x v="210"/>
    <x v="680"/>
    <x v="0"/>
    <x v="1913"/>
    <x v="300"/>
    <x v="48"/>
    <x v="1296"/>
    <x v="1516"/>
    <x v="2019"/>
    <x v="2016"/>
    <x v="1918"/>
    <x v="1"/>
    <x v="2007"/>
    <x v="2019"/>
    <x v="420"/>
    <x v="0"/>
    <x v="0"/>
    <x v="0"/>
    <x v="151"/>
    <x v="21"/>
    <x v="399"/>
    <x v="43"/>
    <x v="3"/>
    <x v="371"/>
  </r>
  <r>
    <x v="0"/>
    <x v="282"/>
    <x v="345"/>
    <x v="23"/>
    <x v="186"/>
    <x v="740"/>
    <x v="443"/>
    <x v="1914"/>
    <x v="422"/>
    <x v="805"/>
    <x v="1297"/>
    <x v="1517"/>
    <x v="2020"/>
    <x v="2017"/>
    <x v="1919"/>
    <x v="0"/>
    <x v="2008"/>
    <x v="2020"/>
    <x v="247"/>
    <x v="0"/>
    <x v="0"/>
    <x v="4"/>
    <x v="151"/>
    <x v="15"/>
    <x v="670"/>
    <x v="28"/>
    <x v="1"/>
    <x v="372"/>
  </r>
  <r>
    <x v="0"/>
    <x v="860"/>
    <x v="244"/>
    <x v="71"/>
    <x v="186"/>
    <x v="324"/>
    <x v="35"/>
    <x v="1915"/>
    <x v="127"/>
    <x v="494"/>
    <x v="1298"/>
    <x v="1518"/>
    <x v="2021"/>
    <x v="2018"/>
    <x v="1920"/>
    <x v="0"/>
    <x v="2009"/>
    <x v="2021"/>
    <x v="749"/>
    <x v="0"/>
    <x v="0"/>
    <x v="0"/>
    <x v="151"/>
    <x v="10"/>
    <x v="30"/>
    <x v="41"/>
    <x v="3"/>
    <x v="1"/>
  </r>
  <r>
    <x v="0"/>
    <x v="630"/>
    <x v="485"/>
    <x v="76"/>
    <x v="219"/>
    <x v="324"/>
    <x v="22"/>
    <x v="1916"/>
    <x v="476"/>
    <x v="191"/>
    <x v="1299"/>
    <x v="1518"/>
    <x v="2022"/>
    <x v="2019"/>
    <x v="1921"/>
    <x v="0"/>
    <x v="2010"/>
    <x v="2022"/>
    <x v="278"/>
    <x v="0"/>
    <x v="0"/>
    <x v="4"/>
    <x v="151"/>
    <x v="5"/>
    <x v="671"/>
    <x v="34"/>
    <x v="1"/>
    <x v="38"/>
  </r>
  <r>
    <x v="1"/>
    <x v="861"/>
    <x v="316"/>
    <x v="34"/>
    <x v="315"/>
    <x v="684"/>
    <x v="11"/>
    <x v="1917"/>
    <x v="432"/>
    <x v="11"/>
    <x v="724"/>
    <x v="1256"/>
    <x v="2023"/>
    <x v="2020"/>
    <x v="1922"/>
    <x v="1"/>
    <x v="2011"/>
    <x v="2023"/>
    <x v="248"/>
    <x v="0"/>
    <x v="0"/>
    <x v="0"/>
    <x v="154"/>
    <x v="14"/>
    <x v="1"/>
    <x v="10"/>
    <x v="1"/>
    <x v="1"/>
  </r>
  <r>
    <x v="0"/>
    <x v="740"/>
    <x v="465"/>
    <x v="41"/>
    <x v="134"/>
    <x v="741"/>
    <x v="29"/>
    <x v="1918"/>
    <x v="238"/>
    <x v="74"/>
    <x v="83"/>
    <x v="1519"/>
    <x v="2024"/>
    <x v="2021"/>
    <x v="1923"/>
    <x v="4"/>
    <x v="2012"/>
    <x v="2024"/>
    <x v="820"/>
    <x v="0"/>
    <x v="0"/>
    <x v="2"/>
    <x v="151"/>
    <x v="20"/>
    <x v="62"/>
    <x v="65"/>
    <x v="2"/>
    <x v="373"/>
  </r>
  <r>
    <x v="0"/>
    <x v="862"/>
    <x v="81"/>
    <x v="110"/>
    <x v="174"/>
    <x v="413"/>
    <x v="413"/>
    <x v="1919"/>
    <x v="575"/>
    <x v="806"/>
    <x v="1300"/>
    <x v="1520"/>
    <x v="2025"/>
    <x v="2022"/>
    <x v="1924"/>
    <x v="0"/>
    <x v="2013"/>
    <x v="2025"/>
    <x v="637"/>
    <x v="0"/>
    <x v="1"/>
    <x v="3"/>
    <x v="168"/>
    <x v="27"/>
    <x v="672"/>
    <x v="13"/>
    <x v="1"/>
    <x v="374"/>
  </r>
  <r>
    <x v="0"/>
    <x v="863"/>
    <x v="441"/>
    <x v="60"/>
    <x v="85"/>
    <x v="742"/>
    <x v="13"/>
    <x v="1920"/>
    <x v="17"/>
    <x v="158"/>
    <x v="1218"/>
    <x v="1521"/>
    <x v="2026"/>
    <x v="2023"/>
    <x v="1925"/>
    <x v="3"/>
    <x v="2014"/>
    <x v="2026"/>
    <x v="724"/>
    <x v="0"/>
    <x v="1"/>
    <x v="2"/>
    <x v="151"/>
    <x v="14"/>
    <x v="224"/>
    <x v="37"/>
    <x v="3"/>
    <x v="297"/>
  </r>
  <r>
    <x v="0"/>
    <x v="657"/>
    <x v="128"/>
    <x v="42"/>
    <x v="156"/>
    <x v="526"/>
    <x v="25"/>
    <x v="1921"/>
    <x v="28"/>
    <x v="138"/>
    <x v="633"/>
    <x v="805"/>
    <x v="2027"/>
    <x v="2024"/>
    <x v="1926"/>
    <x v="1"/>
    <x v="2015"/>
    <x v="2027"/>
    <x v="486"/>
    <x v="0"/>
    <x v="0"/>
    <x v="4"/>
    <x v="151"/>
    <x v="5"/>
    <x v="50"/>
    <x v="12"/>
    <x v="1"/>
    <x v="85"/>
  </r>
  <r>
    <x v="0"/>
    <x v="656"/>
    <x v="237"/>
    <x v="73"/>
    <x v="280"/>
    <x v="123"/>
    <x v="29"/>
    <x v="1922"/>
    <x v="45"/>
    <x v="34"/>
    <x v="228"/>
    <x v="152"/>
    <x v="2028"/>
    <x v="2025"/>
    <x v="1927"/>
    <x v="0"/>
    <x v="2016"/>
    <x v="2028"/>
    <x v="826"/>
    <x v="2"/>
    <x v="7"/>
    <x v="2"/>
    <x v="151"/>
    <x v="14"/>
    <x v="155"/>
    <x v="17"/>
    <x v="3"/>
    <x v="38"/>
  </r>
  <r>
    <x v="0"/>
    <x v="369"/>
    <x v="486"/>
    <x v="76"/>
    <x v="214"/>
    <x v="660"/>
    <x v="10"/>
    <x v="1923"/>
    <x v="576"/>
    <x v="16"/>
    <x v="70"/>
    <x v="1522"/>
    <x v="2029"/>
    <x v="2026"/>
    <x v="1928"/>
    <x v="2"/>
    <x v="2017"/>
    <x v="2029"/>
    <x v="827"/>
    <x v="0"/>
    <x v="0"/>
    <x v="4"/>
    <x v="187"/>
    <x v="0"/>
    <x v="44"/>
    <x v="16"/>
    <x v="1"/>
    <x v="18"/>
  </r>
  <r>
    <x v="0"/>
    <x v="16"/>
    <x v="25"/>
    <x v="19"/>
    <x v="0"/>
    <x v="19"/>
    <x v="18"/>
    <x v="25"/>
    <x v="16"/>
    <x v="19"/>
    <x v="22"/>
    <x v="22"/>
    <x v="25"/>
    <x v="2027"/>
    <x v="1929"/>
    <x v="0"/>
    <x v="25"/>
    <x v="25"/>
    <x v="25"/>
    <x v="0"/>
    <x v="3"/>
    <x v="0"/>
    <x v="15"/>
    <x v="12"/>
    <x v="656"/>
    <x v="13"/>
    <x v="1"/>
    <x v="1"/>
  </r>
  <r>
    <x v="1"/>
    <x v="158"/>
    <x v="339"/>
    <x v="78"/>
    <x v="115"/>
    <x v="309"/>
    <x v="2"/>
    <x v="1924"/>
    <x v="300"/>
    <x v="196"/>
    <x v="449"/>
    <x v="1523"/>
    <x v="2030"/>
    <x v="2028"/>
    <x v="1930"/>
    <x v="0"/>
    <x v="2018"/>
    <x v="2030"/>
    <x v="776"/>
    <x v="0"/>
    <x v="0"/>
    <x v="0"/>
    <x v="78"/>
    <x v="20"/>
    <x v="30"/>
    <x v="9"/>
    <x v="3"/>
    <x v="1"/>
  </r>
  <r>
    <x v="0"/>
    <x v="613"/>
    <x v="386"/>
    <x v="46"/>
    <x v="274"/>
    <x v="249"/>
    <x v="2"/>
    <x v="1925"/>
    <x v="0"/>
    <x v="42"/>
    <x v="1301"/>
    <x v="1524"/>
    <x v="2031"/>
    <x v="2029"/>
    <x v="1931"/>
    <x v="0"/>
    <x v="2019"/>
    <x v="2031"/>
    <x v="828"/>
    <x v="0"/>
    <x v="0"/>
    <x v="2"/>
    <x v="135"/>
    <x v="35"/>
    <x v="673"/>
    <x v="36"/>
    <x v="1"/>
    <x v="16"/>
  </r>
  <r>
    <x v="0"/>
    <x v="27"/>
    <x v="315"/>
    <x v="73"/>
    <x v="0"/>
    <x v="124"/>
    <x v="14"/>
    <x v="1926"/>
    <x v="281"/>
    <x v="14"/>
    <x v="321"/>
    <x v="1525"/>
    <x v="2032"/>
    <x v="2030"/>
    <x v="1932"/>
    <x v="0"/>
    <x v="2020"/>
    <x v="2032"/>
    <x v="394"/>
    <x v="0"/>
    <x v="0"/>
    <x v="4"/>
    <x v="166"/>
    <x v="16"/>
    <x v="218"/>
    <x v="2"/>
    <x v="3"/>
    <x v="1"/>
  </r>
  <r>
    <x v="0"/>
    <x v="495"/>
    <x v="425"/>
    <x v="79"/>
    <x v="202"/>
    <x v="521"/>
    <x v="22"/>
    <x v="1927"/>
    <x v="70"/>
    <x v="639"/>
    <x v="1302"/>
    <x v="1526"/>
    <x v="2033"/>
    <x v="2031"/>
    <x v="1933"/>
    <x v="5"/>
    <x v="2021"/>
    <x v="2033"/>
    <x v="499"/>
    <x v="0"/>
    <x v="0"/>
    <x v="0"/>
    <x v="154"/>
    <x v="23"/>
    <x v="414"/>
    <x v="2"/>
    <x v="3"/>
    <x v="1"/>
  </r>
  <r>
    <x v="0"/>
    <x v="481"/>
    <x v="130"/>
    <x v="42"/>
    <x v="139"/>
    <x v="60"/>
    <x v="0"/>
    <x v="1928"/>
    <x v="381"/>
    <x v="735"/>
    <x v="1303"/>
    <x v="1527"/>
    <x v="2034"/>
    <x v="2032"/>
    <x v="1934"/>
    <x v="1"/>
    <x v="2022"/>
    <x v="2034"/>
    <x v="396"/>
    <x v="0"/>
    <x v="0"/>
    <x v="4"/>
    <x v="154"/>
    <x v="21"/>
    <x v="373"/>
    <x v="10"/>
    <x v="3"/>
    <x v="1"/>
  </r>
  <r>
    <x v="0"/>
    <x v="299"/>
    <x v="56"/>
    <x v="59"/>
    <x v="0"/>
    <x v="1"/>
    <x v="186"/>
    <x v="1929"/>
    <x v="270"/>
    <x v="350"/>
    <x v="89"/>
    <x v="202"/>
    <x v="2035"/>
    <x v="2033"/>
    <x v="1935"/>
    <x v="1"/>
    <x v="2023"/>
    <x v="2035"/>
    <x v="160"/>
    <x v="0"/>
    <x v="0"/>
    <x v="4"/>
    <x v="188"/>
    <x v="10"/>
    <x v="31"/>
    <x v="1"/>
    <x v="1"/>
    <x v="31"/>
  </r>
  <r>
    <x v="0"/>
    <x v="138"/>
    <x v="418"/>
    <x v="52"/>
    <x v="103"/>
    <x v="341"/>
    <x v="21"/>
    <x v="1930"/>
    <x v="577"/>
    <x v="127"/>
    <x v="535"/>
    <x v="464"/>
    <x v="2036"/>
    <x v="2034"/>
    <x v="1936"/>
    <x v="0"/>
    <x v="2024"/>
    <x v="2036"/>
    <x v="399"/>
    <x v="0"/>
    <x v="0"/>
    <x v="4"/>
    <x v="154"/>
    <x v="21"/>
    <x v="674"/>
    <x v="1"/>
    <x v="1"/>
    <x v="9"/>
  </r>
  <r>
    <x v="0"/>
    <x v="864"/>
    <x v="358"/>
    <x v="55"/>
    <x v="316"/>
    <x v="345"/>
    <x v="24"/>
    <x v="1931"/>
    <x v="127"/>
    <x v="25"/>
    <x v="1304"/>
    <x v="1528"/>
    <x v="2037"/>
    <x v="2035"/>
    <x v="1937"/>
    <x v="3"/>
    <x v="2025"/>
    <x v="2037"/>
    <x v="713"/>
    <x v="0"/>
    <x v="0"/>
    <x v="0"/>
    <x v="154"/>
    <x v="18"/>
    <x v="84"/>
    <x v="9"/>
    <x v="3"/>
    <x v="1"/>
  </r>
  <r>
    <x v="0"/>
    <x v="174"/>
    <x v="487"/>
    <x v="51"/>
    <x v="0"/>
    <x v="43"/>
    <x v="32"/>
    <x v="1932"/>
    <x v="377"/>
    <x v="59"/>
    <x v="1305"/>
    <x v="1529"/>
    <x v="2038"/>
    <x v="2036"/>
    <x v="247"/>
    <x v="1"/>
    <x v="2026"/>
    <x v="2038"/>
    <x v="829"/>
    <x v="0"/>
    <x v="0"/>
    <x v="4"/>
    <x v="154"/>
    <x v="9"/>
    <x v="667"/>
    <x v="25"/>
    <x v="3"/>
    <x v="375"/>
  </r>
  <r>
    <x v="0"/>
    <x v="816"/>
    <x v="405"/>
    <x v="11"/>
    <x v="35"/>
    <x v="166"/>
    <x v="24"/>
    <x v="1833"/>
    <x v="559"/>
    <x v="25"/>
    <x v="1244"/>
    <x v="1457"/>
    <x v="1927"/>
    <x v="2037"/>
    <x v="1840"/>
    <x v="3"/>
    <x v="1915"/>
    <x v="1927"/>
    <x v="119"/>
    <x v="0"/>
    <x v="1"/>
    <x v="0"/>
    <x v="154"/>
    <x v="6"/>
    <x v="647"/>
    <x v="7"/>
    <x v="1"/>
    <x v="61"/>
  </r>
  <r>
    <x v="0"/>
    <x v="390"/>
    <x v="321"/>
    <x v="55"/>
    <x v="3"/>
    <x v="312"/>
    <x v="29"/>
    <x v="1933"/>
    <x v="60"/>
    <x v="74"/>
    <x v="1306"/>
    <x v="1530"/>
    <x v="2039"/>
    <x v="2038"/>
    <x v="1938"/>
    <x v="4"/>
    <x v="2027"/>
    <x v="2039"/>
    <x v="367"/>
    <x v="0"/>
    <x v="0"/>
    <x v="4"/>
    <x v="154"/>
    <x v="18"/>
    <x v="479"/>
    <x v="4"/>
    <x v="1"/>
    <x v="1"/>
  </r>
  <r>
    <x v="0"/>
    <x v="865"/>
    <x v="419"/>
    <x v="7"/>
    <x v="221"/>
    <x v="743"/>
    <x v="35"/>
    <x v="1934"/>
    <x v="15"/>
    <x v="173"/>
    <x v="1307"/>
    <x v="1531"/>
    <x v="2040"/>
    <x v="2039"/>
    <x v="1939"/>
    <x v="2"/>
    <x v="2028"/>
    <x v="2040"/>
    <x v="646"/>
    <x v="0"/>
    <x v="1"/>
    <x v="2"/>
    <x v="131"/>
    <x v="9"/>
    <x v="675"/>
    <x v="28"/>
    <x v="1"/>
    <x v="1"/>
  </r>
  <r>
    <x v="0"/>
    <x v="402"/>
    <x v="413"/>
    <x v="37"/>
    <x v="226"/>
    <x v="373"/>
    <x v="24"/>
    <x v="1935"/>
    <x v="200"/>
    <x v="131"/>
    <x v="1308"/>
    <x v="1501"/>
    <x v="2041"/>
    <x v="2040"/>
    <x v="1940"/>
    <x v="4"/>
    <x v="2029"/>
    <x v="2041"/>
    <x v="575"/>
    <x v="0"/>
    <x v="0"/>
    <x v="0"/>
    <x v="154"/>
    <x v="15"/>
    <x v="676"/>
    <x v="9"/>
    <x v="1"/>
    <x v="271"/>
  </r>
  <r>
    <x v="0"/>
    <x v="734"/>
    <x v="409"/>
    <x v="59"/>
    <x v="221"/>
    <x v="209"/>
    <x v="373"/>
    <x v="1621"/>
    <x v="127"/>
    <x v="681"/>
    <x v="1110"/>
    <x v="1300"/>
    <x v="1689"/>
    <x v="1686"/>
    <x v="1941"/>
    <x v="0"/>
    <x v="1678"/>
    <x v="1689"/>
    <x v="756"/>
    <x v="0"/>
    <x v="0"/>
    <x v="0"/>
    <x v="154"/>
    <x v="14"/>
    <x v="599"/>
    <x v="9"/>
    <x v="1"/>
    <x v="1"/>
  </r>
  <r>
    <x v="0"/>
    <x v="866"/>
    <x v="302"/>
    <x v="76"/>
    <x v="69"/>
    <x v="251"/>
    <x v="289"/>
    <x v="1936"/>
    <x v="70"/>
    <x v="807"/>
    <x v="1309"/>
    <x v="1532"/>
    <x v="2042"/>
    <x v="2041"/>
    <x v="1942"/>
    <x v="2"/>
    <x v="2030"/>
    <x v="2042"/>
    <x v="637"/>
    <x v="0"/>
    <x v="0"/>
    <x v="0"/>
    <x v="154"/>
    <x v="21"/>
    <x v="677"/>
    <x v="23"/>
    <x v="3"/>
    <x v="372"/>
  </r>
  <r>
    <x v="0"/>
    <x v="151"/>
    <x v="488"/>
    <x v="41"/>
    <x v="0"/>
    <x v="451"/>
    <x v="30"/>
    <x v="1937"/>
    <x v="3"/>
    <x v="50"/>
    <x v="56"/>
    <x v="658"/>
    <x v="2043"/>
    <x v="2042"/>
    <x v="1943"/>
    <x v="7"/>
    <x v="2031"/>
    <x v="2043"/>
    <x v="644"/>
    <x v="0"/>
    <x v="25"/>
    <x v="4"/>
    <x v="154"/>
    <x v="10"/>
    <x v="44"/>
    <x v="27"/>
    <x v="1"/>
    <x v="1"/>
  </r>
  <r>
    <x v="0"/>
    <x v="867"/>
    <x v="227"/>
    <x v="80"/>
    <x v="292"/>
    <x v="190"/>
    <x v="138"/>
    <x v="1938"/>
    <x v="513"/>
    <x v="808"/>
    <x v="1289"/>
    <x v="1533"/>
    <x v="2044"/>
    <x v="2043"/>
    <x v="1503"/>
    <x v="0"/>
    <x v="2032"/>
    <x v="2044"/>
    <x v="101"/>
    <x v="0"/>
    <x v="0"/>
    <x v="0"/>
    <x v="154"/>
    <x v="42"/>
    <x v="376"/>
    <x v="66"/>
    <x v="1"/>
    <x v="1"/>
  </r>
  <r>
    <x v="0"/>
    <x v="868"/>
    <x v="399"/>
    <x v="42"/>
    <x v="198"/>
    <x v="21"/>
    <x v="19"/>
    <x v="1939"/>
    <x v="270"/>
    <x v="20"/>
    <x v="455"/>
    <x v="1359"/>
    <x v="2045"/>
    <x v="2044"/>
    <x v="1944"/>
    <x v="4"/>
    <x v="2033"/>
    <x v="2045"/>
    <x v="409"/>
    <x v="0"/>
    <x v="0"/>
    <x v="0"/>
    <x v="154"/>
    <x v="25"/>
    <x v="31"/>
    <x v="10"/>
    <x v="3"/>
    <x v="103"/>
  </r>
  <r>
    <x v="0"/>
    <x v="869"/>
    <x v="276"/>
    <x v="50"/>
    <x v="22"/>
    <x v="685"/>
    <x v="444"/>
    <x v="1940"/>
    <x v="578"/>
    <x v="809"/>
    <x v="1310"/>
    <x v="1534"/>
    <x v="2046"/>
    <x v="2045"/>
    <x v="1945"/>
    <x v="4"/>
    <x v="2034"/>
    <x v="2046"/>
    <x v="786"/>
    <x v="0"/>
    <x v="0"/>
    <x v="2"/>
    <x v="154"/>
    <x v="8"/>
    <x v="457"/>
    <x v="37"/>
    <x v="1"/>
    <x v="376"/>
  </r>
  <r>
    <x v="0"/>
    <x v="435"/>
    <x v="362"/>
    <x v="58"/>
    <x v="236"/>
    <x v="426"/>
    <x v="289"/>
    <x v="1941"/>
    <x v="17"/>
    <x v="527"/>
    <x v="1311"/>
    <x v="1535"/>
    <x v="2047"/>
    <x v="2046"/>
    <x v="1946"/>
    <x v="0"/>
    <x v="2035"/>
    <x v="2047"/>
    <x v="550"/>
    <x v="0"/>
    <x v="1"/>
    <x v="4"/>
    <x v="154"/>
    <x v="15"/>
    <x v="618"/>
    <x v="13"/>
    <x v="3"/>
    <x v="1"/>
  </r>
  <r>
    <x v="0"/>
    <x v="514"/>
    <x v="421"/>
    <x v="42"/>
    <x v="80"/>
    <x v="64"/>
    <x v="0"/>
    <x v="1942"/>
    <x v="579"/>
    <x v="159"/>
    <x v="226"/>
    <x v="1536"/>
    <x v="2048"/>
    <x v="2047"/>
    <x v="1947"/>
    <x v="4"/>
    <x v="2036"/>
    <x v="2048"/>
    <x v="671"/>
    <x v="0"/>
    <x v="0"/>
    <x v="4"/>
    <x v="154"/>
    <x v="23"/>
    <x v="30"/>
    <x v="19"/>
    <x v="3"/>
    <x v="1"/>
  </r>
  <r>
    <x v="0"/>
    <x v="721"/>
    <x v="221"/>
    <x v="61"/>
    <x v="290"/>
    <x v="133"/>
    <x v="2"/>
    <x v="1943"/>
    <x v="171"/>
    <x v="182"/>
    <x v="99"/>
    <x v="1418"/>
    <x v="2049"/>
    <x v="2048"/>
    <x v="1948"/>
    <x v="4"/>
    <x v="2037"/>
    <x v="2049"/>
    <x v="288"/>
    <x v="0"/>
    <x v="0"/>
    <x v="4"/>
    <x v="4"/>
    <x v="1"/>
    <x v="71"/>
    <x v="13"/>
    <x v="1"/>
    <x v="1"/>
  </r>
  <r>
    <x v="0"/>
    <x v="870"/>
    <x v="159"/>
    <x v="70"/>
    <x v="194"/>
    <x v="607"/>
    <x v="445"/>
    <x v="1944"/>
    <x v="113"/>
    <x v="810"/>
    <x v="1312"/>
    <x v="1537"/>
    <x v="2050"/>
    <x v="2049"/>
    <x v="1949"/>
    <x v="1"/>
    <x v="2038"/>
    <x v="2050"/>
    <x v="632"/>
    <x v="3"/>
    <x v="10"/>
    <x v="0"/>
    <x v="189"/>
    <x v="0"/>
    <x v="678"/>
    <x v="10"/>
    <x v="1"/>
    <x v="1"/>
  </r>
  <r>
    <x v="0"/>
    <x v="871"/>
    <x v="399"/>
    <x v="78"/>
    <x v="266"/>
    <x v="215"/>
    <x v="35"/>
    <x v="4"/>
    <x v="134"/>
    <x v="124"/>
    <x v="1313"/>
    <x v="273"/>
    <x v="2051"/>
    <x v="2050"/>
    <x v="1950"/>
    <x v="1"/>
    <x v="4"/>
    <x v="2051"/>
    <x v="769"/>
    <x v="0"/>
    <x v="4"/>
    <x v="4"/>
    <x v="190"/>
    <x v="2"/>
    <x v="30"/>
    <x v="22"/>
    <x v="1"/>
    <x v="1"/>
  </r>
  <r>
    <x v="0"/>
    <x v="491"/>
    <x v="297"/>
    <x v="7"/>
    <x v="253"/>
    <x v="89"/>
    <x v="446"/>
    <x v="1945"/>
    <x v="105"/>
    <x v="811"/>
    <x v="1314"/>
    <x v="1538"/>
    <x v="2052"/>
    <x v="2051"/>
    <x v="1951"/>
    <x v="1"/>
    <x v="2039"/>
    <x v="2052"/>
    <x v="712"/>
    <x v="0"/>
    <x v="1"/>
    <x v="4"/>
    <x v="154"/>
    <x v="0"/>
    <x v="679"/>
    <x v="5"/>
    <x v="1"/>
    <x v="1"/>
  </r>
  <r>
    <x v="0"/>
    <x v="113"/>
    <x v="489"/>
    <x v="150"/>
    <x v="88"/>
    <x v="462"/>
    <x v="285"/>
    <x v="4"/>
    <x v="28"/>
    <x v="812"/>
    <x v="1315"/>
    <x v="1259"/>
    <x v="2053"/>
    <x v="2052"/>
    <x v="1952"/>
    <x v="0"/>
    <x v="2040"/>
    <x v="2053"/>
    <x v="790"/>
    <x v="0"/>
    <x v="0"/>
    <x v="1"/>
    <x v="4"/>
    <x v="4"/>
    <x v="357"/>
    <x v="2"/>
    <x v="2"/>
    <x v="377"/>
  </r>
  <r>
    <x v="0"/>
    <x v="872"/>
    <x v="378"/>
    <x v="8"/>
    <x v="317"/>
    <x v="413"/>
    <x v="447"/>
    <x v="1946"/>
    <x v="270"/>
    <x v="813"/>
    <x v="1316"/>
    <x v="1539"/>
    <x v="2054"/>
    <x v="2053"/>
    <x v="1953"/>
    <x v="4"/>
    <x v="2041"/>
    <x v="2054"/>
    <x v="627"/>
    <x v="0"/>
    <x v="0"/>
    <x v="0"/>
    <x v="154"/>
    <x v="14"/>
    <x v="680"/>
    <x v="5"/>
    <x v="1"/>
    <x v="378"/>
  </r>
  <r>
    <x v="0"/>
    <x v="851"/>
    <x v="398"/>
    <x v="106"/>
    <x v="221"/>
    <x v="203"/>
    <x v="448"/>
    <x v="4"/>
    <x v="580"/>
    <x v="814"/>
    <x v="1317"/>
    <x v="1309"/>
    <x v="2055"/>
    <x v="2054"/>
    <x v="1954"/>
    <x v="0"/>
    <x v="2042"/>
    <x v="2055"/>
    <x v="631"/>
    <x v="4"/>
    <x v="9"/>
    <x v="1"/>
    <x v="154"/>
    <x v="0"/>
    <x v="653"/>
    <x v="8"/>
    <x v="1"/>
    <x v="379"/>
  </r>
  <r>
    <x v="0"/>
    <x v="310"/>
    <x v="137"/>
    <x v="37"/>
    <x v="114"/>
    <x v="549"/>
    <x v="449"/>
    <x v="1947"/>
    <x v="471"/>
    <x v="815"/>
    <x v="1318"/>
    <x v="1540"/>
    <x v="2056"/>
    <x v="2055"/>
    <x v="1955"/>
    <x v="0"/>
    <x v="2043"/>
    <x v="2056"/>
    <x v="830"/>
    <x v="0"/>
    <x v="0"/>
    <x v="0"/>
    <x v="131"/>
    <x v="1"/>
    <x v="681"/>
    <x v="2"/>
    <x v="1"/>
    <x v="59"/>
  </r>
  <r>
    <x v="0"/>
    <x v="873"/>
    <x v="280"/>
    <x v="45"/>
    <x v="0"/>
    <x v="205"/>
    <x v="0"/>
    <x v="1948"/>
    <x v="145"/>
    <x v="816"/>
    <x v="1319"/>
    <x v="1541"/>
    <x v="2057"/>
    <x v="2056"/>
    <x v="1956"/>
    <x v="4"/>
    <x v="2044"/>
    <x v="2057"/>
    <x v="155"/>
    <x v="0"/>
    <x v="0"/>
    <x v="2"/>
    <x v="191"/>
    <x v="42"/>
    <x v="392"/>
    <x v="1"/>
    <x v="3"/>
    <x v="38"/>
  </r>
  <r>
    <x v="0"/>
    <x v="874"/>
    <x v="176"/>
    <x v="70"/>
    <x v="0"/>
    <x v="744"/>
    <x v="378"/>
    <x v="1949"/>
    <x v="269"/>
    <x v="817"/>
    <x v="237"/>
    <x v="1542"/>
    <x v="2058"/>
    <x v="2057"/>
    <x v="1957"/>
    <x v="0"/>
    <x v="2045"/>
    <x v="2058"/>
    <x v="647"/>
    <x v="0"/>
    <x v="5"/>
    <x v="4"/>
    <x v="192"/>
    <x v="11"/>
    <x v="42"/>
    <x v="1"/>
    <x v="1"/>
    <x v="45"/>
  </r>
  <r>
    <x v="0"/>
    <x v="278"/>
    <x v="379"/>
    <x v="46"/>
    <x v="182"/>
    <x v="304"/>
    <x v="35"/>
    <x v="1950"/>
    <x v="581"/>
    <x v="124"/>
    <x v="132"/>
    <x v="1543"/>
    <x v="2059"/>
    <x v="2058"/>
    <x v="1958"/>
    <x v="0"/>
    <x v="2046"/>
    <x v="2059"/>
    <x v="418"/>
    <x v="0"/>
    <x v="0"/>
    <x v="0"/>
    <x v="134"/>
    <x v="22"/>
    <x v="27"/>
    <x v="15"/>
    <x v="3"/>
    <x v="1"/>
  </r>
  <r>
    <x v="0"/>
    <x v="307"/>
    <x v="380"/>
    <x v="86"/>
    <x v="114"/>
    <x v="727"/>
    <x v="199"/>
    <x v="1951"/>
    <x v="127"/>
    <x v="554"/>
    <x v="959"/>
    <x v="1453"/>
    <x v="2060"/>
    <x v="2059"/>
    <x v="1959"/>
    <x v="1"/>
    <x v="2047"/>
    <x v="2060"/>
    <x v="331"/>
    <x v="0"/>
    <x v="0"/>
    <x v="4"/>
    <x v="154"/>
    <x v="20"/>
    <x v="82"/>
    <x v="1"/>
    <x v="3"/>
    <x v="1"/>
  </r>
  <r>
    <x v="0"/>
    <x v="368"/>
    <x v="272"/>
    <x v="55"/>
    <x v="31"/>
    <x v="53"/>
    <x v="163"/>
    <x v="1952"/>
    <x v="348"/>
    <x v="301"/>
    <x v="1320"/>
    <x v="492"/>
    <x v="2061"/>
    <x v="2060"/>
    <x v="1960"/>
    <x v="0"/>
    <x v="2048"/>
    <x v="2061"/>
    <x v="718"/>
    <x v="0"/>
    <x v="0"/>
    <x v="2"/>
    <x v="134"/>
    <x v="24"/>
    <x v="682"/>
    <x v="21"/>
    <x v="3"/>
    <x v="1"/>
  </r>
  <r>
    <x v="0"/>
    <x v="199"/>
    <x v="358"/>
    <x v="46"/>
    <x v="141"/>
    <x v="1"/>
    <x v="35"/>
    <x v="1953"/>
    <x v="491"/>
    <x v="184"/>
    <x v="488"/>
    <x v="1544"/>
    <x v="2062"/>
    <x v="2061"/>
    <x v="1961"/>
    <x v="0"/>
    <x v="2049"/>
    <x v="2062"/>
    <x v="149"/>
    <x v="0"/>
    <x v="0"/>
    <x v="3"/>
    <x v="78"/>
    <x v="19"/>
    <x v="30"/>
    <x v="15"/>
    <x v="1"/>
    <x v="1"/>
  </r>
  <r>
    <x v="0"/>
    <x v="445"/>
    <x v="356"/>
    <x v="47"/>
    <x v="154"/>
    <x v="388"/>
    <x v="25"/>
    <x v="1954"/>
    <x v="488"/>
    <x v="138"/>
    <x v="1023"/>
    <x v="737"/>
    <x v="2063"/>
    <x v="2062"/>
    <x v="1962"/>
    <x v="0"/>
    <x v="2050"/>
    <x v="2063"/>
    <x v="536"/>
    <x v="0"/>
    <x v="0"/>
    <x v="2"/>
    <x v="134"/>
    <x v="1"/>
    <x v="503"/>
    <x v="5"/>
    <x v="1"/>
    <x v="1"/>
  </r>
  <r>
    <x v="0"/>
    <x v="326"/>
    <x v="474"/>
    <x v="24"/>
    <x v="121"/>
    <x v="745"/>
    <x v="17"/>
    <x v="1955"/>
    <x v="17"/>
    <x v="303"/>
    <x v="608"/>
    <x v="1545"/>
    <x v="2064"/>
    <x v="2063"/>
    <x v="1963"/>
    <x v="0"/>
    <x v="2051"/>
    <x v="2064"/>
    <x v="620"/>
    <x v="0"/>
    <x v="0"/>
    <x v="0"/>
    <x v="82"/>
    <x v="16"/>
    <x v="6"/>
    <x v="7"/>
    <x v="3"/>
    <x v="1"/>
  </r>
  <r>
    <x v="0"/>
    <x v="626"/>
    <x v="346"/>
    <x v="95"/>
    <x v="74"/>
    <x v="94"/>
    <x v="188"/>
    <x v="1956"/>
    <x v="376"/>
    <x v="418"/>
    <x v="1321"/>
    <x v="1546"/>
    <x v="2065"/>
    <x v="2064"/>
    <x v="1964"/>
    <x v="1"/>
    <x v="2052"/>
    <x v="2065"/>
    <x v="320"/>
    <x v="0"/>
    <x v="0"/>
    <x v="0"/>
    <x v="134"/>
    <x v="18"/>
    <x v="683"/>
    <x v="30"/>
    <x v="3"/>
    <x v="103"/>
  </r>
  <r>
    <x v="1"/>
    <x v="755"/>
    <x v="299"/>
    <x v="99"/>
    <x v="0"/>
    <x v="251"/>
    <x v="245"/>
    <x v="4"/>
    <x v="406"/>
    <x v="448"/>
    <x v="1134"/>
    <x v="468"/>
    <x v="2066"/>
    <x v="2065"/>
    <x v="1965"/>
    <x v="0"/>
    <x v="2053"/>
    <x v="2066"/>
    <x v="541"/>
    <x v="0"/>
    <x v="1"/>
    <x v="2"/>
    <x v="134"/>
    <x v="26"/>
    <x v="607"/>
    <x v="14"/>
    <x v="1"/>
    <x v="85"/>
  </r>
  <r>
    <x v="0"/>
    <x v="644"/>
    <x v="224"/>
    <x v="40"/>
    <x v="277"/>
    <x v="616"/>
    <x v="59"/>
    <x v="1957"/>
    <x v="200"/>
    <x v="818"/>
    <x v="1322"/>
    <x v="1547"/>
    <x v="2067"/>
    <x v="2066"/>
    <x v="1966"/>
    <x v="3"/>
    <x v="2054"/>
    <x v="2067"/>
    <x v="647"/>
    <x v="0"/>
    <x v="0"/>
    <x v="2"/>
    <x v="134"/>
    <x v="11"/>
    <x v="684"/>
    <x v="11"/>
    <x v="1"/>
    <x v="51"/>
  </r>
  <r>
    <x v="0"/>
    <x v="569"/>
    <x v="302"/>
    <x v="37"/>
    <x v="116"/>
    <x v="489"/>
    <x v="353"/>
    <x v="1958"/>
    <x v="80"/>
    <x v="636"/>
    <x v="1323"/>
    <x v="1548"/>
    <x v="2068"/>
    <x v="2067"/>
    <x v="1967"/>
    <x v="0"/>
    <x v="2055"/>
    <x v="2068"/>
    <x v="690"/>
    <x v="0"/>
    <x v="0"/>
    <x v="0"/>
    <x v="134"/>
    <x v="16"/>
    <x v="299"/>
    <x v="27"/>
    <x v="3"/>
    <x v="1"/>
  </r>
  <r>
    <x v="0"/>
    <x v="875"/>
    <x v="309"/>
    <x v="5"/>
    <x v="192"/>
    <x v="400"/>
    <x v="171"/>
    <x v="1959"/>
    <x v="270"/>
    <x v="772"/>
    <x v="1279"/>
    <x v="577"/>
    <x v="2069"/>
    <x v="2068"/>
    <x v="1968"/>
    <x v="0"/>
    <x v="2056"/>
    <x v="2069"/>
    <x v="566"/>
    <x v="0"/>
    <x v="0"/>
    <x v="0"/>
    <x v="134"/>
    <x v="18"/>
    <x v="413"/>
    <x v="32"/>
    <x v="3"/>
    <x v="61"/>
  </r>
  <r>
    <x v="0"/>
    <x v="876"/>
    <x v="258"/>
    <x v="92"/>
    <x v="73"/>
    <x v="237"/>
    <x v="450"/>
    <x v="1960"/>
    <x v="406"/>
    <x v="819"/>
    <x v="647"/>
    <x v="1549"/>
    <x v="2070"/>
    <x v="2069"/>
    <x v="1969"/>
    <x v="1"/>
    <x v="2057"/>
    <x v="2070"/>
    <x v="149"/>
    <x v="0"/>
    <x v="0"/>
    <x v="0"/>
    <x v="134"/>
    <x v="11"/>
    <x v="685"/>
    <x v="23"/>
    <x v="1"/>
    <x v="61"/>
  </r>
  <r>
    <x v="0"/>
    <x v="157"/>
    <x v="84"/>
    <x v="82"/>
    <x v="92"/>
    <x v="43"/>
    <x v="380"/>
    <x v="1961"/>
    <x v="99"/>
    <x v="389"/>
    <x v="503"/>
    <x v="1550"/>
    <x v="2071"/>
    <x v="2070"/>
    <x v="511"/>
    <x v="0"/>
    <x v="2058"/>
    <x v="2071"/>
    <x v="348"/>
    <x v="0"/>
    <x v="1"/>
    <x v="4"/>
    <x v="134"/>
    <x v="17"/>
    <x v="325"/>
    <x v="15"/>
    <x v="1"/>
    <x v="1"/>
  </r>
  <r>
    <x v="0"/>
    <x v="310"/>
    <x v="410"/>
    <x v="52"/>
    <x v="114"/>
    <x v="337"/>
    <x v="451"/>
    <x v="1962"/>
    <x v="306"/>
    <x v="820"/>
    <x v="422"/>
    <x v="660"/>
    <x v="2072"/>
    <x v="2071"/>
    <x v="1970"/>
    <x v="4"/>
    <x v="2059"/>
    <x v="2072"/>
    <x v="611"/>
    <x v="0"/>
    <x v="0"/>
    <x v="4"/>
    <x v="134"/>
    <x v="12"/>
    <x v="284"/>
    <x v="4"/>
    <x v="1"/>
    <x v="1"/>
  </r>
  <r>
    <x v="0"/>
    <x v="151"/>
    <x v="61"/>
    <x v="26"/>
    <x v="0"/>
    <x v="113"/>
    <x v="57"/>
    <x v="1963"/>
    <x v="369"/>
    <x v="109"/>
    <x v="1177"/>
    <x v="957"/>
    <x v="2073"/>
    <x v="2072"/>
    <x v="1971"/>
    <x v="1"/>
    <x v="2060"/>
    <x v="2073"/>
    <x v="509"/>
    <x v="0"/>
    <x v="0"/>
    <x v="4"/>
    <x v="175"/>
    <x v="0"/>
    <x v="536"/>
    <x v="12"/>
    <x v="3"/>
    <x v="1"/>
  </r>
  <r>
    <x v="0"/>
    <x v="755"/>
    <x v="430"/>
    <x v="69"/>
    <x v="0"/>
    <x v="746"/>
    <x v="25"/>
    <x v="1964"/>
    <x v="425"/>
    <x v="82"/>
    <x v="699"/>
    <x v="1551"/>
    <x v="2074"/>
    <x v="2073"/>
    <x v="1972"/>
    <x v="0"/>
    <x v="2061"/>
    <x v="2074"/>
    <x v="499"/>
    <x v="0"/>
    <x v="1"/>
    <x v="2"/>
    <x v="134"/>
    <x v="27"/>
    <x v="30"/>
    <x v="38"/>
    <x v="1"/>
    <x v="43"/>
  </r>
  <r>
    <x v="0"/>
    <x v="877"/>
    <x v="288"/>
    <x v="105"/>
    <x v="216"/>
    <x v="709"/>
    <x v="106"/>
    <x v="1965"/>
    <x v="125"/>
    <x v="821"/>
    <x v="1223"/>
    <x v="1552"/>
    <x v="2075"/>
    <x v="2074"/>
    <x v="1480"/>
    <x v="0"/>
    <x v="2062"/>
    <x v="2075"/>
    <x v="690"/>
    <x v="0"/>
    <x v="0"/>
    <x v="4"/>
    <x v="134"/>
    <x v="12"/>
    <x v="476"/>
    <x v="51"/>
    <x v="3"/>
    <x v="380"/>
  </r>
  <r>
    <x v="0"/>
    <x v="654"/>
    <x v="188"/>
    <x v="72"/>
    <x v="45"/>
    <x v="292"/>
    <x v="452"/>
    <x v="1966"/>
    <x v="200"/>
    <x v="822"/>
    <x v="1324"/>
    <x v="1553"/>
    <x v="2076"/>
    <x v="2075"/>
    <x v="1828"/>
    <x v="10"/>
    <x v="2063"/>
    <x v="2076"/>
    <x v="581"/>
    <x v="0"/>
    <x v="0"/>
    <x v="0"/>
    <x v="140"/>
    <x v="9"/>
    <x v="229"/>
    <x v="21"/>
    <x v="1"/>
    <x v="1"/>
  </r>
  <r>
    <x v="0"/>
    <x v="524"/>
    <x v="171"/>
    <x v="47"/>
    <x v="249"/>
    <x v="489"/>
    <x v="2"/>
    <x v="1093"/>
    <x v="251"/>
    <x v="113"/>
    <x v="589"/>
    <x v="924"/>
    <x v="1136"/>
    <x v="1198"/>
    <x v="1109"/>
    <x v="4"/>
    <x v="1128"/>
    <x v="1136"/>
    <x v="552"/>
    <x v="0"/>
    <x v="0"/>
    <x v="0"/>
    <x v="88"/>
    <x v="2"/>
    <x v="30"/>
    <x v="19"/>
    <x v="1"/>
    <x v="59"/>
  </r>
  <r>
    <x v="0"/>
    <x v="635"/>
    <x v="295"/>
    <x v="26"/>
    <x v="192"/>
    <x v="624"/>
    <x v="453"/>
    <x v="1967"/>
    <x v="582"/>
    <x v="823"/>
    <x v="1325"/>
    <x v="1554"/>
    <x v="2077"/>
    <x v="2076"/>
    <x v="1973"/>
    <x v="4"/>
    <x v="2064"/>
    <x v="2077"/>
    <x v="732"/>
    <x v="0"/>
    <x v="1"/>
    <x v="4"/>
    <x v="4"/>
    <x v="6"/>
    <x v="686"/>
    <x v="21"/>
    <x v="1"/>
    <x v="1"/>
  </r>
  <r>
    <x v="0"/>
    <x v="206"/>
    <x v="241"/>
    <x v="45"/>
    <x v="145"/>
    <x v="292"/>
    <x v="454"/>
    <x v="1968"/>
    <x v="314"/>
    <x v="824"/>
    <x v="1326"/>
    <x v="1555"/>
    <x v="2078"/>
    <x v="2077"/>
    <x v="346"/>
    <x v="1"/>
    <x v="2065"/>
    <x v="2078"/>
    <x v="781"/>
    <x v="0"/>
    <x v="0"/>
    <x v="0"/>
    <x v="134"/>
    <x v="18"/>
    <x v="687"/>
    <x v="18"/>
    <x v="3"/>
    <x v="359"/>
  </r>
  <r>
    <x v="0"/>
    <x v="95"/>
    <x v="343"/>
    <x v="50"/>
    <x v="74"/>
    <x v="106"/>
    <x v="43"/>
    <x v="1969"/>
    <x v="238"/>
    <x v="825"/>
    <x v="289"/>
    <x v="131"/>
    <x v="2079"/>
    <x v="2078"/>
    <x v="1974"/>
    <x v="4"/>
    <x v="2066"/>
    <x v="2079"/>
    <x v="816"/>
    <x v="0"/>
    <x v="0"/>
    <x v="2"/>
    <x v="134"/>
    <x v="3"/>
    <x v="195"/>
    <x v="21"/>
    <x v="1"/>
    <x v="1"/>
  </r>
  <r>
    <x v="0"/>
    <x v="437"/>
    <x v="69"/>
    <x v="30"/>
    <x v="0"/>
    <x v="375"/>
    <x v="291"/>
    <x v="1970"/>
    <x v="368"/>
    <x v="529"/>
    <x v="665"/>
    <x v="663"/>
    <x v="2080"/>
    <x v="2079"/>
    <x v="1975"/>
    <x v="0"/>
    <x v="2067"/>
    <x v="2080"/>
    <x v="783"/>
    <x v="0"/>
    <x v="0"/>
    <x v="4"/>
    <x v="134"/>
    <x v="15"/>
    <x v="168"/>
    <x v="4"/>
    <x v="3"/>
    <x v="1"/>
  </r>
  <r>
    <x v="0"/>
    <x v="609"/>
    <x v="198"/>
    <x v="27"/>
    <x v="0"/>
    <x v="286"/>
    <x v="94"/>
    <x v="1971"/>
    <x v="125"/>
    <x v="166"/>
    <x v="1044"/>
    <x v="1556"/>
    <x v="2081"/>
    <x v="2080"/>
    <x v="1976"/>
    <x v="7"/>
    <x v="2068"/>
    <x v="2081"/>
    <x v="107"/>
    <x v="0"/>
    <x v="0"/>
    <x v="4"/>
    <x v="134"/>
    <x v="18"/>
    <x v="30"/>
    <x v="8"/>
    <x v="1"/>
    <x v="1"/>
  </r>
  <r>
    <x v="0"/>
    <x v="27"/>
    <x v="192"/>
    <x v="16"/>
    <x v="0"/>
    <x v="23"/>
    <x v="32"/>
    <x v="269"/>
    <x v="126"/>
    <x v="59"/>
    <x v="127"/>
    <x v="89"/>
    <x v="277"/>
    <x v="2081"/>
    <x v="1977"/>
    <x v="1"/>
    <x v="274"/>
    <x v="277"/>
    <x v="53"/>
    <x v="0"/>
    <x v="0"/>
    <x v="0"/>
    <x v="62"/>
    <x v="12"/>
    <x v="47"/>
    <x v="8"/>
    <x v="1"/>
    <x v="1"/>
  </r>
  <r>
    <x v="0"/>
    <x v="878"/>
    <x v="299"/>
    <x v="11"/>
    <x v="69"/>
    <x v="53"/>
    <x v="98"/>
    <x v="1972"/>
    <x v="171"/>
    <x v="175"/>
    <x v="1327"/>
    <x v="1557"/>
    <x v="2082"/>
    <x v="2082"/>
    <x v="1978"/>
    <x v="1"/>
    <x v="2069"/>
    <x v="2082"/>
    <x v="694"/>
    <x v="0"/>
    <x v="0"/>
    <x v="0"/>
    <x v="116"/>
    <x v="18"/>
    <x v="431"/>
    <x v="27"/>
    <x v="1"/>
    <x v="381"/>
  </r>
  <r>
    <x v="0"/>
    <x v="607"/>
    <x v="490"/>
    <x v="11"/>
    <x v="16"/>
    <x v="1"/>
    <x v="32"/>
    <x v="1973"/>
    <x v="583"/>
    <x v="59"/>
    <x v="1270"/>
    <x v="1558"/>
    <x v="2083"/>
    <x v="2083"/>
    <x v="1979"/>
    <x v="7"/>
    <x v="2070"/>
    <x v="2083"/>
    <x v="529"/>
    <x v="0"/>
    <x v="1"/>
    <x v="0"/>
    <x v="134"/>
    <x v="6"/>
    <x v="53"/>
    <x v="21"/>
    <x v="3"/>
    <x v="33"/>
  </r>
  <r>
    <x v="0"/>
    <x v="879"/>
    <x v="197"/>
    <x v="42"/>
    <x v="198"/>
    <x v="666"/>
    <x v="22"/>
    <x v="1974"/>
    <x v="430"/>
    <x v="169"/>
    <x v="1328"/>
    <x v="1559"/>
    <x v="2084"/>
    <x v="2084"/>
    <x v="1980"/>
    <x v="0"/>
    <x v="2071"/>
    <x v="2084"/>
    <x v="579"/>
    <x v="0"/>
    <x v="4"/>
    <x v="0"/>
    <x v="134"/>
    <x v="18"/>
    <x v="274"/>
    <x v="43"/>
    <x v="3"/>
    <x v="1"/>
  </r>
  <r>
    <x v="0"/>
    <x v="449"/>
    <x v="232"/>
    <x v="7"/>
    <x v="218"/>
    <x v="694"/>
    <x v="8"/>
    <x v="1975"/>
    <x v="28"/>
    <x v="35"/>
    <x v="6"/>
    <x v="1294"/>
    <x v="2085"/>
    <x v="2085"/>
    <x v="1981"/>
    <x v="1"/>
    <x v="2072"/>
    <x v="2085"/>
    <x v="142"/>
    <x v="0"/>
    <x v="0"/>
    <x v="4"/>
    <x v="134"/>
    <x v="9"/>
    <x v="6"/>
    <x v="12"/>
    <x v="1"/>
    <x v="61"/>
  </r>
  <r>
    <x v="0"/>
    <x v="880"/>
    <x v="428"/>
    <x v="54"/>
    <x v="116"/>
    <x v="525"/>
    <x v="344"/>
    <x v="1976"/>
    <x v="56"/>
    <x v="618"/>
    <x v="1329"/>
    <x v="796"/>
    <x v="2086"/>
    <x v="2086"/>
    <x v="1982"/>
    <x v="1"/>
    <x v="2073"/>
    <x v="2086"/>
    <x v="785"/>
    <x v="0"/>
    <x v="8"/>
    <x v="2"/>
    <x v="134"/>
    <x v="21"/>
    <x v="578"/>
    <x v="20"/>
    <x v="3"/>
    <x v="1"/>
  </r>
  <r>
    <x v="0"/>
    <x v="363"/>
    <x v="176"/>
    <x v="86"/>
    <x v="213"/>
    <x v="576"/>
    <x v="18"/>
    <x v="1977"/>
    <x v="125"/>
    <x v="19"/>
    <x v="487"/>
    <x v="922"/>
    <x v="2087"/>
    <x v="2087"/>
    <x v="1983"/>
    <x v="13"/>
    <x v="2074"/>
    <x v="2087"/>
    <x v="831"/>
    <x v="0"/>
    <x v="0"/>
    <x v="4"/>
    <x v="134"/>
    <x v="14"/>
    <x v="317"/>
    <x v="10"/>
    <x v="1"/>
    <x v="1"/>
  </r>
  <r>
    <x v="0"/>
    <x v="881"/>
    <x v="346"/>
    <x v="27"/>
    <x v="146"/>
    <x v="80"/>
    <x v="0"/>
    <x v="1978"/>
    <x v="103"/>
    <x v="0"/>
    <x v="274"/>
    <x v="102"/>
    <x v="2088"/>
    <x v="2088"/>
    <x v="922"/>
    <x v="0"/>
    <x v="2075"/>
    <x v="2088"/>
    <x v="454"/>
    <x v="0"/>
    <x v="0"/>
    <x v="0"/>
    <x v="193"/>
    <x v="27"/>
    <x v="117"/>
    <x v="65"/>
    <x v="3"/>
    <x v="382"/>
  </r>
  <r>
    <x v="0"/>
    <x v="882"/>
    <x v="465"/>
    <x v="27"/>
    <x v="217"/>
    <x v="362"/>
    <x v="35"/>
    <x v="1979"/>
    <x v="20"/>
    <x v="280"/>
    <x v="1252"/>
    <x v="502"/>
    <x v="2089"/>
    <x v="2089"/>
    <x v="1984"/>
    <x v="0"/>
    <x v="2076"/>
    <x v="2089"/>
    <x v="718"/>
    <x v="0"/>
    <x v="0"/>
    <x v="0"/>
    <x v="134"/>
    <x v="18"/>
    <x v="181"/>
    <x v="54"/>
    <x v="3"/>
    <x v="253"/>
  </r>
  <r>
    <x v="0"/>
    <x v="883"/>
    <x v="417"/>
    <x v="14"/>
    <x v="318"/>
    <x v="736"/>
    <x v="354"/>
    <x v="1980"/>
    <x v="584"/>
    <x v="826"/>
    <x v="1330"/>
    <x v="1560"/>
    <x v="2090"/>
    <x v="2090"/>
    <x v="1985"/>
    <x v="4"/>
    <x v="2077"/>
    <x v="2090"/>
    <x v="724"/>
    <x v="0"/>
    <x v="0"/>
    <x v="3"/>
    <x v="131"/>
    <x v="48"/>
    <x v="404"/>
    <x v="5"/>
    <x v="1"/>
    <x v="383"/>
  </r>
  <r>
    <x v="0"/>
    <x v="632"/>
    <x v="438"/>
    <x v="91"/>
    <x v="19"/>
    <x v="537"/>
    <x v="22"/>
    <x v="1981"/>
    <x v="215"/>
    <x v="240"/>
    <x v="1331"/>
    <x v="1022"/>
    <x v="2091"/>
    <x v="2091"/>
    <x v="1986"/>
    <x v="0"/>
    <x v="2078"/>
    <x v="2091"/>
    <x v="356"/>
    <x v="0"/>
    <x v="0"/>
    <x v="2"/>
    <x v="134"/>
    <x v="15"/>
    <x v="36"/>
    <x v="45"/>
    <x v="1"/>
    <x v="384"/>
  </r>
  <r>
    <x v="0"/>
    <x v="766"/>
    <x v="263"/>
    <x v="45"/>
    <x v="31"/>
    <x v="370"/>
    <x v="447"/>
    <x v="1982"/>
    <x v="23"/>
    <x v="827"/>
    <x v="1332"/>
    <x v="1561"/>
    <x v="2092"/>
    <x v="2092"/>
    <x v="742"/>
    <x v="0"/>
    <x v="2079"/>
    <x v="2092"/>
    <x v="239"/>
    <x v="0"/>
    <x v="10"/>
    <x v="0"/>
    <x v="131"/>
    <x v="2"/>
    <x v="665"/>
    <x v="37"/>
    <x v="1"/>
    <x v="1"/>
  </r>
  <r>
    <x v="0"/>
    <x v="884"/>
    <x v="387"/>
    <x v="37"/>
    <x v="216"/>
    <x v="162"/>
    <x v="1"/>
    <x v="1983"/>
    <x v="17"/>
    <x v="1"/>
    <x v="1333"/>
    <x v="1162"/>
    <x v="2093"/>
    <x v="2093"/>
    <x v="1987"/>
    <x v="1"/>
    <x v="2080"/>
    <x v="2093"/>
    <x v="635"/>
    <x v="0"/>
    <x v="1"/>
    <x v="4"/>
    <x v="4"/>
    <x v="14"/>
    <x v="30"/>
    <x v="21"/>
    <x v="1"/>
    <x v="1"/>
  </r>
  <r>
    <x v="0"/>
    <x v="130"/>
    <x v="99"/>
    <x v="97"/>
    <x v="96"/>
    <x v="342"/>
    <x v="35"/>
    <x v="1984"/>
    <x v="477"/>
    <x v="608"/>
    <x v="1334"/>
    <x v="465"/>
    <x v="2094"/>
    <x v="2094"/>
    <x v="1988"/>
    <x v="1"/>
    <x v="2081"/>
    <x v="2094"/>
    <x v="423"/>
    <x v="18"/>
    <x v="32"/>
    <x v="4"/>
    <x v="175"/>
    <x v="7"/>
    <x v="321"/>
    <x v="6"/>
    <x v="1"/>
    <x v="1"/>
  </r>
  <r>
    <x v="0"/>
    <x v="885"/>
    <x v="389"/>
    <x v="38"/>
    <x v="89"/>
    <x v="36"/>
    <x v="455"/>
    <x v="1985"/>
    <x v="585"/>
    <x v="828"/>
    <x v="809"/>
    <x v="887"/>
    <x v="2095"/>
    <x v="2095"/>
    <x v="1989"/>
    <x v="0"/>
    <x v="2082"/>
    <x v="2095"/>
    <x v="568"/>
    <x v="3"/>
    <x v="10"/>
    <x v="0"/>
    <x v="134"/>
    <x v="12"/>
    <x v="97"/>
    <x v="6"/>
    <x v="1"/>
    <x v="59"/>
  </r>
  <r>
    <x v="0"/>
    <x v="886"/>
    <x v="340"/>
    <x v="7"/>
    <x v="122"/>
    <x v="391"/>
    <x v="21"/>
    <x v="1986"/>
    <x v="106"/>
    <x v="71"/>
    <x v="1229"/>
    <x v="1562"/>
    <x v="2096"/>
    <x v="2096"/>
    <x v="1990"/>
    <x v="7"/>
    <x v="2083"/>
    <x v="2096"/>
    <x v="780"/>
    <x v="0"/>
    <x v="0"/>
    <x v="4"/>
    <x v="126"/>
    <x v="3"/>
    <x v="537"/>
    <x v="9"/>
    <x v="1"/>
    <x v="1"/>
  </r>
  <r>
    <x v="0"/>
    <x v="770"/>
    <x v="288"/>
    <x v="27"/>
    <x v="300"/>
    <x v="747"/>
    <x v="206"/>
    <x v="1987"/>
    <x v="408"/>
    <x v="388"/>
    <x v="1335"/>
    <x v="1563"/>
    <x v="2097"/>
    <x v="2097"/>
    <x v="1945"/>
    <x v="3"/>
    <x v="2084"/>
    <x v="2097"/>
    <x v="487"/>
    <x v="0"/>
    <x v="0"/>
    <x v="0"/>
    <x v="134"/>
    <x v="8"/>
    <x v="688"/>
    <x v="27"/>
    <x v="1"/>
    <x v="385"/>
  </r>
  <r>
    <x v="0"/>
    <x v="887"/>
    <x v="290"/>
    <x v="80"/>
    <x v="184"/>
    <x v="319"/>
    <x v="21"/>
    <x v="1988"/>
    <x v="150"/>
    <x v="298"/>
    <x v="1336"/>
    <x v="1564"/>
    <x v="2098"/>
    <x v="2098"/>
    <x v="1991"/>
    <x v="1"/>
    <x v="2085"/>
    <x v="2098"/>
    <x v="715"/>
    <x v="0"/>
    <x v="1"/>
    <x v="4"/>
    <x v="134"/>
    <x v="11"/>
    <x v="347"/>
    <x v="22"/>
    <x v="1"/>
    <x v="59"/>
  </r>
  <r>
    <x v="0"/>
    <x v="410"/>
    <x v="274"/>
    <x v="80"/>
    <x v="229"/>
    <x v="632"/>
    <x v="116"/>
    <x v="4"/>
    <x v="139"/>
    <x v="217"/>
    <x v="1337"/>
    <x v="1565"/>
    <x v="2099"/>
    <x v="2099"/>
    <x v="1992"/>
    <x v="0"/>
    <x v="2086"/>
    <x v="2099"/>
    <x v="392"/>
    <x v="0"/>
    <x v="0"/>
    <x v="2"/>
    <x v="176"/>
    <x v="47"/>
    <x v="326"/>
    <x v="16"/>
    <x v="3"/>
    <x v="1"/>
  </r>
  <r>
    <x v="0"/>
    <x v="888"/>
    <x v="291"/>
    <x v="72"/>
    <x v="171"/>
    <x v="176"/>
    <x v="13"/>
    <x v="1989"/>
    <x v="306"/>
    <x v="158"/>
    <x v="1245"/>
    <x v="224"/>
    <x v="2100"/>
    <x v="2100"/>
    <x v="1993"/>
    <x v="1"/>
    <x v="2087"/>
    <x v="2100"/>
    <x v="675"/>
    <x v="0"/>
    <x v="0"/>
    <x v="4"/>
    <x v="134"/>
    <x v="5"/>
    <x v="20"/>
    <x v="28"/>
    <x v="1"/>
    <x v="1"/>
  </r>
  <r>
    <x v="0"/>
    <x v="745"/>
    <x v="239"/>
    <x v="60"/>
    <x v="216"/>
    <x v="640"/>
    <x v="456"/>
    <x v="1990"/>
    <x v="586"/>
    <x v="829"/>
    <x v="1338"/>
    <x v="1566"/>
    <x v="2101"/>
    <x v="2101"/>
    <x v="1127"/>
    <x v="1"/>
    <x v="2088"/>
    <x v="2101"/>
    <x v="788"/>
    <x v="3"/>
    <x v="10"/>
    <x v="0"/>
    <x v="178"/>
    <x v="1"/>
    <x v="532"/>
    <x v="11"/>
    <x v="1"/>
    <x v="145"/>
  </r>
  <r>
    <x v="0"/>
    <x v="422"/>
    <x v="88"/>
    <x v="38"/>
    <x v="225"/>
    <x v="209"/>
    <x v="29"/>
    <x v="1991"/>
    <x v="168"/>
    <x v="34"/>
    <x v="257"/>
    <x v="1567"/>
    <x v="2102"/>
    <x v="2102"/>
    <x v="1994"/>
    <x v="0"/>
    <x v="2089"/>
    <x v="2102"/>
    <x v="444"/>
    <x v="0"/>
    <x v="0"/>
    <x v="4"/>
    <x v="134"/>
    <x v="9"/>
    <x v="174"/>
    <x v="2"/>
    <x v="1"/>
    <x v="16"/>
  </r>
  <r>
    <x v="0"/>
    <x v="132"/>
    <x v="341"/>
    <x v="73"/>
    <x v="84"/>
    <x v="282"/>
    <x v="0"/>
    <x v="1992"/>
    <x v="171"/>
    <x v="384"/>
    <x v="816"/>
    <x v="564"/>
    <x v="2103"/>
    <x v="2103"/>
    <x v="1995"/>
    <x v="0"/>
    <x v="2090"/>
    <x v="2103"/>
    <x v="407"/>
    <x v="0"/>
    <x v="0"/>
    <x v="4"/>
    <x v="131"/>
    <x v="1"/>
    <x v="480"/>
    <x v="11"/>
    <x v="1"/>
    <x v="1"/>
  </r>
  <r>
    <x v="0"/>
    <x v="231"/>
    <x v="434"/>
    <x v="59"/>
    <x v="156"/>
    <x v="157"/>
    <x v="58"/>
    <x v="1993"/>
    <x v="311"/>
    <x v="559"/>
    <x v="1076"/>
    <x v="193"/>
    <x v="2104"/>
    <x v="2104"/>
    <x v="1996"/>
    <x v="3"/>
    <x v="2091"/>
    <x v="2104"/>
    <x v="409"/>
    <x v="0"/>
    <x v="0"/>
    <x v="0"/>
    <x v="194"/>
    <x v="25"/>
    <x v="583"/>
    <x v="12"/>
    <x v="3"/>
    <x v="386"/>
  </r>
  <r>
    <x v="0"/>
    <x v="532"/>
    <x v="297"/>
    <x v="85"/>
    <x v="262"/>
    <x v="227"/>
    <x v="25"/>
    <x v="1994"/>
    <x v="168"/>
    <x v="30"/>
    <x v="1049"/>
    <x v="1217"/>
    <x v="2105"/>
    <x v="2105"/>
    <x v="1997"/>
    <x v="1"/>
    <x v="2092"/>
    <x v="2105"/>
    <x v="193"/>
    <x v="0"/>
    <x v="0"/>
    <x v="4"/>
    <x v="194"/>
    <x v="15"/>
    <x v="441"/>
    <x v="13"/>
    <x v="1"/>
    <x v="1"/>
  </r>
  <r>
    <x v="0"/>
    <x v="889"/>
    <x v="249"/>
    <x v="11"/>
    <x v="319"/>
    <x v="298"/>
    <x v="457"/>
    <x v="4"/>
    <x v="587"/>
    <x v="830"/>
    <x v="1339"/>
    <x v="1568"/>
    <x v="2106"/>
    <x v="2106"/>
    <x v="1998"/>
    <x v="2"/>
    <x v="2093"/>
    <x v="2106"/>
    <x v="636"/>
    <x v="6"/>
    <x v="13"/>
    <x v="2"/>
    <x v="134"/>
    <x v="9"/>
    <x v="689"/>
    <x v="10"/>
    <x v="1"/>
    <x v="1"/>
  </r>
  <r>
    <x v="0"/>
    <x v="696"/>
    <x v="101"/>
    <x v="52"/>
    <x v="201"/>
    <x v="146"/>
    <x v="402"/>
    <x v="1995"/>
    <x v="127"/>
    <x v="831"/>
    <x v="1167"/>
    <x v="1569"/>
    <x v="2107"/>
    <x v="2107"/>
    <x v="170"/>
    <x v="0"/>
    <x v="2094"/>
    <x v="2107"/>
    <x v="289"/>
    <x v="0"/>
    <x v="0"/>
    <x v="4"/>
    <x v="173"/>
    <x v="3"/>
    <x v="228"/>
    <x v="22"/>
    <x v="3"/>
    <x v="45"/>
  </r>
  <r>
    <x v="0"/>
    <x v="326"/>
    <x v="425"/>
    <x v="16"/>
    <x v="121"/>
    <x v="748"/>
    <x v="17"/>
    <x v="1996"/>
    <x v="2"/>
    <x v="303"/>
    <x v="1340"/>
    <x v="1570"/>
    <x v="2108"/>
    <x v="2108"/>
    <x v="1999"/>
    <x v="1"/>
    <x v="2095"/>
    <x v="2108"/>
    <x v="465"/>
    <x v="0"/>
    <x v="0"/>
    <x v="2"/>
    <x v="175"/>
    <x v="26"/>
    <x v="677"/>
    <x v="18"/>
    <x v="1"/>
    <x v="1"/>
  </r>
  <r>
    <x v="0"/>
    <x v="890"/>
    <x v="145"/>
    <x v="113"/>
    <x v="320"/>
    <x v="749"/>
    <x v="442"/>
    <x v="1997"/>
    <x v="588"/>
    <x v="802"/>
    <x v="92"/>
    <x v="1571"/>
    <x v="2109"/>
    <x v="2109"/>
    <x v="2000"/>
    <x v="1"/>
    <x v="2096"/>
    <x v="2109"/>
    <x v="151"/>
    <x v="0"/>
    <x v="0"/>
    <x v="4"/>
    <x v="175"/>
    <x v="15"/>
    <x v="66"/>
    <x v="6"/>
    <x v="3"/>
    <x v="1"/>
  </r>
  <r>
    <x v="0"/>
    <x v="189"/>
    <x v="188"/>
    <x v="101"/>
    <x v="0"/>
    <x v="558"/>
    <x v="13"/>
    <x v="1998"/>
    <x v="125"/>
    <x v="13"/>
    <x v="43"/>
    <x v="885"/>
    <x v="2110"/>
    <x v="2110"/>
    <x v="2001"/>
    <x v="0"/>
    <x v="2097"/>
    <x v="2110"/>
    <x v="614"/>
    <x v="0"/>
    <x v="0"/>
    <x v="4"/>
    <x v="195"/>
    <x v="1"/>
    <x v="33"/>
    <x v="38"/>
    <x v="3"/>
    <x v="1"/>
  </r>
  <r>
    <x v="0"/>
    <x v="891"/>
    <x v="370"/>
    <x v="45"/>
    <x v="193"/>
    <x v="726"/>
    <x v="458"/>
    <x v="1999"/>
    <x v="12"/>
    <x v="832"/>
    <x v="1341"/>
    <x v="1572"/>
    <x v="2111"/>
    <x v="2111"/>
    <x v="2002"/>
    <x v="0"/>
    <x v="2098"/>
    <x v="2111"/>
    <x v="499"/>
    <x v="0"/>
    <x v="0"/>
    <x v="2"/>
    <x v="173"/>
    <x v="27"/>
    <x v="359"/>
    <x v="30"/>
    <x v="3"/>
    <x v="103"/>
  </r>
  <r>
    <x v="0"/>
    <x v="355"/>
    <x v="69"/>
    <x v="11"/>
    <x v="210"/>
    <x v="530"/>
    <x v="11"/>
    <x v="2000"/>
    <x v="291"/>
    <x v="63"/>
    <x v="163"/>
    <x v="1573"/>
    <x v="2112"/>
    <x v="2112"/>
    <x v="2003"/>
    <x v="3"/>
    <x v="2099"/>
    <x v="2112"/>
    <x v="104"/>
    <x v="0"/>
    <x v="0"/>
    <x v="0"/>
    <x v="175"/>
    <x v="18"/>
    <x v="108"/>
    <x v="22"/>
    <x v="3"/>
    <x v="1"/>
  </r>
  <r>
    <x v="0"/>
    <x v="363"/>
    <x v="45"/>
    <x v="40"/>
    <x v="213"/>
    <x v="33"/>
    <x v="31"/>
    <x v="2001"/>
    <x v="105"/>
    <x v="37"/>
    <x v="455"/>
    <x v="635"/>
    <x v="2113"/>
    <x v="2113"/>
    <x v="2004"/>
    <x v="0"/>
    <x v="2100"/>
    <x v="2113"/>
    <x v="275"/>
    <x v="0"/>
    <x v="0"/>
    <x v="4"/>
    <x v="175"/>
    <x v="3"/>
    <x v="31"/>
    <x v="6"/>
    <x v="1"/>
    <x v="174"/>
  </r>
  <r>
    <x v="0"/>
    <x v="477"/>
    <x v="274"/>
    <x v="32"/>
    <x v="247"/>
    <x v="421"/>
    <x v="35"/>
    <x v="2002"/>
    <x v="130"/>
    <x v="833"/>
    <x v="173"/>
    <x v="1431"/>
    <x v="2114"/>
    <x v="2114"/>
    <x v="2005"/>
    <x v="1"/>
    <x v="2101"/>
    <x v="2114"/>
    <x v="527"/>
    <x v="0"/>
    <x v="8"/>
    <x v="0"/>
    <x v="175"/>
    <x v="1"/>
    <x v="117"/>
    <x v="7"/>
    <x v="3"/>
    <x v="7"/>
  </r>
  <r>
    <x v="0"/>
    <x v="795"/>
    <x v="346"/>
    <x v="82"/>
    <x v="0"/>
    <x v="348"/>
    <x v="0"/>
    <x v="2003"/>
    <x v="270"/>
    <x v="834"/>
    <x v="1279"/>
    <x v="1574"/>
    <x v="2115"/>
    <x v="2115"/>
    <x v="2006"/>
    <x v="0"/>
    <x v="2102"/>
    <x v="2115"/>
    <x v="546"/>
    <x v="0"/>
    <x v="0"/>
    <x v="4"/>
    <x v="4"/>
    <x v="5"/>
    <x v="413"/>
    <x v="19"/>
    <x v="3"/>
    <x v="1"/>
  </r>
  <r>
    <x v="0"/>
    <x v="112"/>
    <x v="380"/>
    <x v="80"/>
    <x v="49"/>
    <x v="188"/>
    <x v="8"/>
    <x v="2004"/>
    <x v="23"/>
    <x v="35"/>
    <x v="1342"/>
    <x v="1575"/>
    <x v="2116"/>
    <x v="2116"/>
    <x v="2007"/>
    <x v="0"/>
    <x v="2103"/>
    <x v="2116"/>
    <x v="680"/>
    <x v="0"/>
    <x v="10"/>
    <x v="0"/>
    <x v="175"/>
    <x v="19"/>
    <x v="30"/>
    <x v="2"/>
    <x v="1"/>
    <x v="1"/>
  </r>
  <r>
    <x v="0"/>
    <x v="764"/>
    <x v="321"/>
    <x v="47"/>
    <x v="169"/>
    <x v="750"/>
    <x v="22"/>
    <x v="2005"/>
    <x v="258"/>
    <x v="153"/>
    <x v="1133"/>
    <x v="1576"/>
    <x v="2117"/>
    <x v="2117"/>
    <x v="2008"/>
    <x v="1"/>
    <x v="2104"/>
    <x v="2117"/>
    <x v="335"/>
    <x v="0"/>
    <x v="0"/>
    <x v="0"/>
    <x v="78"/>
    <x v="8"/>
    <x v="267"/>
    <x v="4"/>
    <x v="1"/>
    <x v="1"/>
  </r>
  <r>
    <x v="1"/>
    <x v="892"/>
    <x v="69"/>
    <x v="27"/>
    <x v="79"/>
    <x v="241"/>
    <x v="39"/>
    <x v="2006"/>
    <x v="321"/>
    <x v="835"/>
    <x v="1343"/>
    <x v="1577"/>
    <x v="2118"/>
    <x v="2118"/>
    <x v="2009"/>
    <x v="1"/>
    <x v="2105"/>
    <x v="2118"/>
    <x v="130"/>
    <x v="0"/>
    <x v="0"/>
    <x v="4"/>
    <x v="175"/>
    <x v="15"/>
    <x v="81"/>
    <x v="51"/>
    <x v="3"/>
    <x v="387"/>
  </r>
  <r>
    <x v="0"/>
    <x v="113"/>
    <x v="451"/>
    <x v="84"/>
    <x v="88"/>
    <x v="4"/>
    <x v="459"/>
    <x v="4"/>
    <x v="589"/>
    <x v="836"/>
    <x v="217"/>
    <x v="4"/>
    <x v="2119"/>
    <x v="2119"/>
    <x v="2010"/>
    <x v="0"/>
    <x v="2106"/>
    <x v="2119"/>
    <x v="631"/>
    <x v="0"/>
    <x v="0"/>
    <x v="1"/>
    <x v="119"/>
    <x v="4"/>
    <x v="147"/>
    <x v="64"/>
    <x v="2"/>
    <x v="388"/>
  </r>
  <r>
    <x v="0"/>
    <x v="2"/>
    <x v="259"/>
    <x v="42"/>
    <x v="0"/>
    <x v="646"/>
    <x v="91"/>
    <x v="2007"/>
    <x v="105"/>
    <x v="161"/>
    <x v="1344"/>
    <x v="1135"/>
    <x v="2120"/>
    <x v="2120"/>
    <x v="154"/>
    <x v="4"/>
    <x v="2107"/>
    <x v="2120"/>
    <x v="231"/>
    <x v="0"/>
    <x v="0"/>
    <x v="4"/>
    <x v="173"/>
    <x v="0"/>
    <x v="421"/>
    <x v="1"/>
    <x v="1"/>
    <x v="115"/>
  </r>
  <r>
    <x v="0"/>
    <x v="893"/>
    <x v="333"/>
    <x v="60"/>
    <x v="0"/>
    <x v="252"/>
    <x v="0"/>
    <x v="2008"/>
    <x v="200"/>
    <x v="381"/>
    <x v="1345"/>
    <x v="472"/>
    <x v="2121"/>
    <x v="2121"/>
    <x v="2011"/>
    <x v="1"/>
    <x v="2108"/>
    <x v="2121"/>
    <x v="167"/>
    <x v="0"/>
    <x v="0"/>
    <x v="0"/>
    <x v="175"/>
    <x v="8"/>
    <x v="690"/>
    <x v="9"/>
    <x v="1"/>
    <x v="103"/>
  </r>
  <r>
    <x v="0"/>
    <x v="180"/>
    <x v="387"/>
    <x v="52"/>
    <x v="79"/>
    <x v="731"/>
    <x v="10"/>
    <x v="2009"/>
    <x v="17"/>
    <x v="40"/>
    <x v="789"/>
    <x v="1578"/>
    <x v="2122"/>
    <x v="2122"/>
    <x v="2012"/>
    <x v="3"/>
    <x v="2109"/>
    <x v="2122"/>
    <x v="568"/>
    <x v="0"/>
    <x v="0"/>
    <x v="0"/>
    <x v="175"/>
    <x v="19"/>
    <x v="30"/>
    <x v="10"/>
    <x v="1"/>
    <x v="389"/>
  </r>
  <r>
    <x v="0"/>
    <x v="894"/>
    <x v="491"/>
    <x v="46"/>
    <x v="321"/>
    <x v="9"/>
    <x v="32"/>
    <x v="2010"/>
    <x v="150"/>
    <x v="38"/>
    <x v="54"/>
    <x v="56"/>
    <x v="2123"/>
    <x v="2123"/>
    <x v="2013"/>
    <x v="1"/>
    <x v="2110"/>
    <x v="2123"/>
    <x v="832"/>
    <x v="0"/>
    <x v="10"/>
    <x v="4"/>
    <x v="78"/>
    <x v="10"/>
    <x v="20"/>
    <x v="1"/>
    <x v="1"/>
    <x v="4"/>
  </r>
  <r>
    <x v="0"/>
    <x v="895"/>
    <x v="441"/>
    <x v="58"/>
    <x v="174"/>
    <x v="480"/>
    <x v="112"/>
    <x v="2011"/>
    <x v="105"/>
    <x v="837"/>
    <x v="1346"/>
    <x v="1579"/>
    <x v="2124"/>
    <x v="2124"/>
    <x v="2014"/>
    <x v="1"/>
    <x v="2111"/>
    <x v="2124"/>
    <x v="408"/>
    <x v="0"/>
    <x v="0"/>
    <x v="0"/>
    <x v="175"/>
    <x v="15"/>
    <x v="182"/>
    <x v="27"/>
    <x v="3"/>
    <x v="390"/>
  </r>
  <r>
    <x v="0"/>
    <x v="779"/>
    <x v="109"/>
    <x v="43"/>
    <x v="0"/>
    <x v="751"/>
    <x v="31"/>
    <x v="2012"/>
    <x v="270"/>
    <x v="37"/>
    <x v="1347"/>
    <x v="1580"/>
    <x v="2125"/>
    <x v="2125"/>
    <x v="2015"/>
    <x v="0"/>
    <x v="2112"/>
    <x v="2125"/>
    <x v="627"/>
    <x v="0"/>
    <x v="0"/>
    <x v="0"/>
    <x v="175"/>
    <x v="10"/>
    <x v="567"/>
    <x v="10"/>
    <x v="1"/>
    <x v="16"/>
  </r>
  <r>
    <x v="0"/>
    <x v="896"/>
    <x v="492"/>
    <x v="37"/>
    <x v="107"/>
    <x v="752"/>
    <x v="0"/>
    <x v="2013"/>
    <x v="405"/>
    <x v="722"/>
    <x v="1348"/>
    <x v="1581"/>
    <x v="2126"/>
    <x v="2126"/>
    <x v="2016"/>
    <x v="4"/>
    <x v="2113"/>
    <x v="2126"/>
    <x v="823"/>
    <x v="0"/>
    <x v="0"/>
    <x v="4"/>
    <x v="82"/>
    <x v="26"/>
    <x v="405"/>
    <x v="27"/>
    <x v="1"/>
    <x v="1"/>
  </r>
  <r>
    <x v="0"/>
    <x v="471"/>
    <x v="128"/>
    <x v="69"/>
    <x v="0"/>
    <x v="432"/>
    <x v="0"/>
    <x v="2014"/>
    <x v="321"/>
    <x v="543"/>
    <x v="1349"/>
    <x v="630"/>
    <x v="2127"/>
    <x v="2127"/>
    <x v="2017"/>
    <x v="0"/>
    <x v="2114"/>
    <x v="2127"/>
    <x v="577"/>
    <x v="0"/>
    <x v="4"/>
    <x v="4"/>
    <x v="145"/>
    <x v="15"/>
    <x v="691"/>
    <x v="2"/>
    <x v="3"/>
    <x v="71"/>
  </r>
  <r>
    <x v="0"/>
    <x v="38"/>
    <x v="294"/>
    <x v="69"/>
    <x v="25"/>
    <x v="433"/>
    <x v="2"/>
    <x v="2015"/>
    <x v="9"/>
    <x v="42"/>
    <x v="1350"/>
    <x v="1095"/>
    <x v="2128"/>
    <x v="2128"/>
    <x v="2018"/>
    <x v="1"/>
    <x v="2115"/>
    <x v="2128"/>
    <x v="833"/>
    <x v="0"/>
    <x v="0"/>
    <x v="2"/>
    <x v="135"/>
    <x v="37"/>
    <x v="323"/>
    <x v="3"/>
    <x v="1"/>
    <x v="37"/>
  </r>
  <r>
    <x v="0"/>
    <x v="126"/>
    <x v="447"/>
    <x v="60"/>
    <x v="0"/>
    <x v="1"/>
    <x v="22"/>
    <x v="2016"/>
    <x v="189"/>
    <x v="514"/>
    <x v="320"/>
    <x v="1582"/>
    <x v="2129"/>
    <x v="2129"/>
    <x v="2019"/>
    <x v="4"/>
    <x v="2116"/>
    <x v="2129"/>
    <x v="483"/>
    <x v="0"/>
    <x v="0"/>
    <x v="2"/>
    <x v="135"/>
    <x v="29"/>
    <x v="30"/>
    <x v="4"/>
    <x v="3"/>
    <x v="1"/>
  </r>
  <r>
    <x v="0"/>
    <x v="38"/>
    <x v="380"/>
    <x v="24"/>
    <x v="25"/>
    <x v="564"/>
    <x v="382"/>
    <x v="2017"/>
    <x v="142"/>
    <x v="838"/>
    <x v="1351"/>
    <x v="1235"/>
    <x v="2130"/>
    <x v="2130"/>
    <x v="1891"/>
    <x v="0"/>
    <x v="2117"/>
    <x v="2130"/>
    <x v="367"/>
    <x v="0"/>
    <x v="0"/>
    <x v="2"/>
    <x v="196"/>
    <x v="47"/>
    <x v="670"/>
    <x v="16"/>
    <x v="1"/>
    <x v="1"/>
  </r>
  <r>
    <x v="0"/>
    <x v="897"/>
    <x v="263"/>
    <x v="78"/>
    <x v="216"/>
    <x v="137"/>
    <x v="17"/>
    <x v="2018"/>
    <x v="251"/>
    <x v="839"/>
    <x v="408"/>
    <x v="168"/>
    <x v="2131"/>
    <x v="2131"/>
    <x v="2020"/>
    <x v="0"/>
    <x v="2118"/>
    <x v="2131"/>
    <x v="150"/>
    <x v="0"/>
    <x v="0"/>
    <x v="0"/>
    <x v="78"/>
    <x v="7"/>
    <x v="30"/>
    <x v="55"/>
    <x v="1"/>
    <x v="1"/>
  </r>
  <r>
    <x v="0"/>
    <x v="165"/>
    <x v="401"/>
    <x v="7"/>
    <x v="119"/>
    <x v="753"/>
    <x v="74"/>
    <x v="2019"/>
    <x v="26"/>
    <x v="840"/>
    <x v="1345"/>
    <x v="1583"/>
    <x v="2132"/>
    <x v="2132"/>
    <x v="2021"/>
    <x v="1"/>
    <x v="2119"/>
    <x v="2132"/>
    <x v="581"/>
    <x v="0"/>
    <x v="0"/>
    <x v="4"/>
    <x v="168"/>
    <x v="42"/>
    <x v="690"/>
    <x v="21"/>
    <x v="1"/>
    <x v="1"/>
  </r>
  <r>
    <x v="0"/>
    <x v="239"/>
    <x v="313"/>
    <x v="72"/>
    <x v="160"/>
    <x v="542"/>
    <x v="0"/>
    <x v="2020"/>
    <x v="125"/>
    <x v="841"/>
    <x v="1352"/>
    <x v="1584"/>
    <x v="2133"/>
    <x v="2133"/>
    <x v="2022"/>
    <x v="4"/>
    <x v="2120"/>
    <x v="2133"/>
    <x v="651"/>
    <x v="0"/>
    <x v="0"/>
    <x v="0"/>
    <x v="152"/>
    <x v="17"/>
    <x v="605"/>
    <x v="34"/>
    <x v="1"/>
    <x v="391"/>
  </r>
  <r>
    <x v="0"/>
    <x v="250"/>
    <x v="112"/>
    <x v="67"/>
    <x v="168"/>
    <x v="45"/>
    <x v="25"/>
    <x v="2021"/>
    <x v="438"/>
    <x v="82"/>
    <x v="173"/>
    <x v="1000"/>
    <x v="2134"/>
    <x v="2134"/>
    <x v="2023"/>
    <x v="0"/>
    <x v="2121"/>
    <x v="2134"/>
    <x v="564"/>
    <x v="0"/>
    <x v="0"/>
    <x v="4"/>
    <x v="166"/>
    <x v="23"/>
    <x v="117"/>
    <x v="35"/>
    <x v="3"/>
    <x v="13"/>
  </r>
  <r>
    <x v="0"/>
    <x v="898"/>
    <x v="258"/>
    <x v="50"/>
    <x v="322"/>
    <x v="167"/>
    <x v="0"/>
    <x v="2022"/>
    <x v="430"/>
    <x v="227"/>
    <x v="702"/>
    <x v="1585"/>
    <x v="2135"/>
    <x v="2135"/>
    <x v="2024"/>
    <x v="4"/>
    <x v="2122"/>
    <x v="2135"/>
    <x v="538"/>
    <x v="0"/>
    <x v="0"/>
    <x v="0"/>
    <x v="78"/>
    <x v="29"/>
    <x v="427"/>
    <x v="15"/>
    <x v="3"/>
    <x v="1"/>
  </r>
  <r>
    <x v="0"/>
    <x v="899"/>
    <x v="150"/>
    <x v="59"/>
    <x v="108"/>
    <x v="337"/>
    <x v="460"/>
    <x v="2023"/>
    <x v="590"/>
    <x v="842"/>
    <x v="1353"/>
    <x v="1586"/>
    <x v="2136"/>
    <x v="2136"/>
    <x v="2025"/>
    <x v="1"/>
    <x v="2123"/>
    <x v="2136"/>
    <x v="671"/>
    <x v="0"/>
    <x v="0"/>
    <x v="4"/>
    <x v="78"/>
    <x v="5"/>
    <x v="459"/>
    <x v="1"/>
    <x v="0"/>
    <x v="1"/>
  </r>
  <r>
    <x v="0"/>
    <x v="900"/>
    <x v="346"/>
    <x v="22"/>
    <x v="228"/>
    <x v="754"/>
    <x v="116"/>
    <x v="2024"/>
    <x v="513"/>
    <x v="217"/>
    <x v="1354"/>
    <x v="1587"/>
    <x v="2137"/>
    <x v="2137"/>
    <x v="613"/>
    <x v="0"/>
    <x v="2124"/>
    <x v="2137"/>
    <x v="35"/>
    <x v="0"/>
    <x v="0"/>
    <x v="2"/>
    <x v="78"/>
    <x v="33"/>
    <x v="692"/>
    <x v="20"/>
    <x v="1"/>
    <x v="1"/>
  </r>
  <r>
    <x v="0"/>
    <x v="154"/>
    <x v="388"/>
    <x v="43"/>
    <x v="113"/>
    <x v="507"/>
    <x v="35"/>
    <x v="2025"/>
    <x v="591"/>
    <x v="157"/>
    <x v="757"/>
    <x v="1588"/>
    <x v="2138"/>
    <x v="2138"/>
    <x v="2026"/>
    <x v="1"/>
    <x v="2125"/>
    <x v="2138"/>
    <x v="195"/>
    <x v="0"/>
    <x v="0"/>
    <x v="2"/>
    <x v="78"/>
    <x v="8"/>
    <x v="454"/>
    <x v="42"/>
    <x v="1"/>
    <x v="1"/>
  </r>
  <r>
    <x v="0"/>
    <x v="33"/>
    <x v="236"/>
    <x v="52"/>
    <x v="0"/>
    <x v="306"/>
    <x v="18"/>
    <x v="2026"/>
    <x v="236"/>
    <x v="843"/>
    <x v="350"/>
    <x v="1589"/>
    <x v="2139"/>
    <x v="2139"/>
    <x v="2027"/>
    <x v="0"/>
    <x v="2126"/>
    <x v="2139"/>
    <x v="834"/>
    <x v="0"/>
    <x v="0"/>
    <x v="4"/>
    <x v="78"/>
    <x v="9"/>
    <x v="234"/>
    <x v="7"/>
    <x v="1"/>
    <x v="392"/>
  </r>
  <r>
    <x v="0"/>
    <x v="356"/>
    <x v="346"/>
    <x v="54"/>
    <x v="211"/>
    <x v="408"/>
    <x v="327"/>
    <x v="2027"/>
    <x v="562"/>
    <x v="624"/>
    <x v="931"/>
    <x v="1590"/>
    <x v="2140"/>
    <x v="2140"/>
    <x v="2028"/>
    <x v="4"/>
    <x v="2127"/>
    <x v="2140"/>
    <x v="585"/>
    <x v="0"/>
    <x v="0"/>
    <x v="2"/>
    <x v="144"/>
    <x v="12"/>
    <x v="237"/>
    <x v="51"/>
    <x v="3"/>
    <x v="196"/>
  </r>
  <r>
    <x v="0"/>
    <x v="754"/>
    <x v="263"/>
    <x v="7"/>
    <x v="295"/>
    <x v="161"/>
    <x v="153"/>
    <x v="2028"/>
    <x v="125"/>
    <x v="282"/>
    <x v="1355"/>
    <x v="659"/>
    <x v="2141"/>
    <x v="2141"/>
    <x v="2029"/>
    <x v="0"/>
    <x v="2128"/>
    <x v="2141"/>
    <x v="245"/>
    <x v="0"/>
    <x v="0"/>
    <x v="4"/>
    <x v="78"/>
    <x v="11"/>
    <x v="693"/>
    <x v="41"/>
    <x v="3"/>
    <x v="59"/>
  </r>
  <r>
    <x v="0"/>
    <x v="240"/>
    <x v="268"/>
    <x v="72"/>
    <x v="161"/>
    <x v="561"/>
    <x v="296"/>
    <x v="1261"/>
    <x v="150"/>
    <x v="541"/>
    <x v="896"/>
    <x v="408"/>
    <x v="1307"/>
    <x v="2142"/>
    <x v="829"/>
    <x v="0"/>
    <x v="1299"/>
    <x v="1307"/>
    <x v="228"/>
    <x v="0"/>
    <x v="0"/>
    <x v="0"/>
    <x v="78"/>
    <x v="1"/>
    <x v="341"/>
    <x v="8"/>
    <x v="3"/>
    <x v="1"/>
  </r>
  <r>
    <x v="0"/>
    <x v="776"/>
    <x v="298"/>
    <x v="26"/>
    <x v="0"/>
    <x v="755"/>
    <x v="35"/>
    <x v="2029"/>
    <x v="430"/>
    <x v="844"/>
    <x v="79"/>
    <x v="1591"/>
    <x v="2142"/>
    <x v="2143"/>
    <x v="2030"/>
    <x v="1"/>
    <x v="2129"/>
    <x v="2142"/>
    <x v="131"/>
    <x v="0"/>
    <x v="0"/>
    <x v="0"/>
    <x v="82"/>
    <x v="17"/>
    <x v="58"/>
    <x v="1"/>
    <x v="3"/>
    <x v="1"/>
  </r>
  <r>
    <x v="0"/>
    <x v="216"/>
    <x v="365"/>
    <x v="59"/>
    <x v="149"/>
    <x v="678"/>
    <x v="0"/>
    <x v="2030"/>
    <x v="20"/>
    <x v="738"/>
    <x v="74"/>
    <x v="1592"/>
    <x v="2143"/>
    <x v="2144"/>
    <x v="2031"/>
    <x v="0"/>
    <x v="2130"/>
    <x v="2143"/>
    <x v="41"/>
    <x v="0"/>
    <x v="0"/>
    <x v="0"/>
    <x v="135"/>
    <x v="16"/>
    <x v="30"/>
    <x v="27"/>
    <x v="3"/>
    <x v="1"/>
  </r>
  <r>
    <x v="0"/>
    <x v="524"/>
    <x v="288"/>
    <x v="37"/>
    <x v="249"/>
    <x v="183"/>
    <x v="371"/>
    <x v="1613"/>
    <x v="260"/>
    <x v="677"/>
    <x v="1103"/>
    <x v="1296"/>
    <x v="1681"/>
    <x v="1678"/>
    <x v="723"/>
    <x v="0"/>
    <x v="1670"/>
    <x v="1681"/>
    <x v="752"/>
    <x v="0"/>
    <x v="0"/>
    <x v="0"/>
    <x v="116"/>
    <x v="14"/>
    <x v="595"/>
    <x v="15"/>
    <x v="1"/>
    <x v="1"/>
  </r>
  <r>
    <x v="0"/>
    <x v="339"/>
    <x v="219"/>
    <x v="56"/>
    <x v="207"/>
    <x v="756"/>
    <x v="0"/>
    <x v="2031"/>
    <x v="70"/>
    <x v="510"/>
    <x v="96"/>
    <x v="1593"/>
    <x v="2144"/>
    <x v="2145"/>
    <x v="2032"/>
    <x v="2"/>
    <x v="2131"/>
    <x v="2144"/>
    <x v="521"/>
    <x v="0"/>
    <x v="0"/>
    <x v="0"/>
    <x v="160"/>
    <x v="14"/>
    <x v="234"/>
    <x v="28"/>
    <x v="3"/>
    <x v="1"/>
  </r>
  <r>
    <x v="0"/>
    <x v="690"/>
    <x v="493"/>
    <x v="69"/>
    <x v="286"/>
    <x v="391"/>
    <x v="94"/>
    <x v="2032"/>
    <x v="200"/>
    <x v="845"/>
    <x v="1356"/>
    <x v="1562"/>
    <x v="2145"/>
    <x v="2146"/>
    <x v="2033"/>
    <x v="0"/>
    <x v="2132"/>
    <x v="2145"/>
    <x v="812"/>
    <x v="0"/>
    <x v="0"/>
    <x v="4"/>
    <x v="78"/>
    <x v="10"/>
    <x v="620"/>
    <x v="11"/>
    <x v="1"/>
    <x v="31"/>
  </r>
  <r>
    <x v="1"/>
    <x v="226"/>
    <x v="257"/>
    <x v="85"/>
    <x v="154"/>
    <x v="143"/>
    <x v="78"/>
    <x v="2033"/>
    <x v="592"/>
    <x v="137"/>
    <x v="1357"/>
    <x v="1594"/>
    <x v="2146"/>
    <x v="2147"/>
    <x v="2034"/>
    <x v="0"/>
    <x v="2133"/>
    <x v="2146"/>
    <x v="569"/>
    <x v="0"/>
    <x v="0"/>
    <x v="2"/>
    <x v="78"/>
    <x v="17"/>
    <x v="365"/>
    <x v="1"/>
    <x v="3"/>
    <x v="1"/>
  </r>
  <r>
    <x v="0"/>
    <x v="537"/>
    <x v="318"/>
    <x v="86"/>
    <x v="164"/>
    <x v="461"/>
    <x v="413"/>
    <x v="2034"/>
    <x v="593"/>
    <x v="365"/>
    <x v="1358"/>
    <x v="1595"/>
    <x v="2147"/>
    <x v="2148"/>
    <x v="2035"/>
    <x v="1"/>
    <x v="2134"/>
    <x v="2147"/>
    <x v="647"/>
    <x v="0"/>
    <x v="0"/>
    <x v="2"/>
    <x v="78"/>
    <x v="5"/>
    <x v="134"/>
    <x v="27"/>
    <x v="1"/>
    <x v="7"/>
  </r>
  <r>
    <x v="0"/>
    <x v="901"/>
    <x v="494"/>
    <x v="90"/>
    <x v="0"/>
    <x v="572"/>
    <x v="35"/>
    <x v="2035"/>
    <x v="406"/>
    <x v="306"/>
    <x v="782"/>
    <x v="1596"/>
    <x v="2148"/>
    <x v="2149"/>
    <x v="1286"/>
    <x v="0"/>
    <x v="2135"/>
    <x v="2148"/>
    <x v="232"/>
    <x v="0"/>
    <x v="0"/>
    <x v="4"/>
    <x v="78"/>
    <x v="9"/>
    <x v="211"/>
    <x v="14"/>
    <x v="1"/>
    <x v="17"/>
  </r>
  <r>
    <x v="0"/>
    <x v="720"/>
    <x v="272"/>
    <x v="34"/>
    <x v="164"/>
    <x v="7"/>
    <x v="98"/>
    <x v="2036"/>
    <x v="399"/>
    <x v="846"/>
    <x v="838"/>
    <x v="1597"/>
    <x v="2149"/>
    <x v="2150"/>
    <x v="2036"/>
    <x v="0"/>
    <x v="2136"/>
    <x v="2149"/>
    <x v="647"/>
    <x v="0"/>
    <x v="0"/>
    <x v="0"/>
    <x v="78"/>
    <x v="19"/>
    <x v="325"/>
    <x v="20"/>
    <x v="1"/>
    <x v="43"/>
  </r>
  <r>
    <x v="0"/>
    <x v="795"/>
    <x v="361"/>
    <x v="61"/>
    <x v="0"/>
    <x v="31"/>
    <x v="35"/>
    <x v="2037"/>
    <x v="105"/>
    <x v="504"/>
    <x v="1359"/>
    <x v="610"/>
    <x v="2150"/>
    <x v="2151"/>
    <x v="1961"/>
    <x v="8"/>
    <x v="2137"/>
    <x v="2150"/>
    <x v="749"/>
    <x v="0"/>
    <x v="0"/>
    <x v="0"/>
    <x v="78"/>
    <x v="5"/>
    <x v="694"/>
    <x v="46"/>
    <x v="3"/>
    <x v="1"/>
  </r>
  <r>
    <x v="0"/>
    <x v="24"/>
    <x v="387"/>
    <x v="72"/>
    <x v="17"/>
    <x v="314"/>
    <x v="1"/>
    <x v="2038"/>
    <x v="594"/>
    <x v="1"/>
    <x v="547"/>
    <x v="768"/>
    <x v="2151"/>
    <x v="2152"/>
    <x v="2037"/>
    <x v="0"/>
    <x v="2138"/>
    <x v="2151"/>
    <x v="374"/>
    <x v="0"/>
    <x v="0"/>
    <x v="0"/>
    <x v="78"/>
    <x v="22"/>
    <x v="102"/>
    <x v="0"/>
    <x v="3"/>
    <x v="37"/>
  </r>
  <r>
    <x v="0"/>
    <x v="902"/>
    <x v="285"/>
    <x v="47"/>
    <x v="184"/>
    <x v="601"/>
    <x v="2"/>
    <x v="2039"/>
    <x v="17"/>
    <x v="847"/>
    <x v="94"/>
    <x v="1598"/>
    <x v="2152"/>
    <x v="2153"/>
    <x v="2038"/>
    <x v="0"/>
    <x v="2139"/>
    <x v="2152"/>
    <x v="140"/>
    <x v="0"/>
    <x v="1"/>
    <x v="0"/>
    <x v="78"/>
    <x v="6"/>
    <x v="10"/>
    <x v="32"/>
    <x v="1"/>
    <x v="69"/>
  </r>
  <r>
    <x v="0"/>
    <x v="795"/>
    <x v="308"/>
    <x v="37"/>
    <x v="0"/>
    <x v="52"/>
    <x v="63"/>
    <x v="2040"/>
    <x v="539"/>
    <x v="848"/>
    <x v="1229"/>
    <x v="1599"/>
    <x v="2153"/>
    <x v="2154"/>
    <x v="2039"/>
    <x v="7"/>
    <x v="2140"/>
    <x v="2153"/>
    <x v="724"/>
    <x v="0"/>
    <x v="0"/>
    <x v="0"/>
    <x v="78"/>
    <x v="3"/>
    <x v="537"/>
    <x v="30"/>
    <x v="3"/>
    <x v="1"/>
  </r>
  <r>
    <x v="0"/>
    <x v="410"/>
    <x v="291"/>
    <x v="27"/>
    <x v="229"/>
    <x v="757"/>
    <x v="116"/>
    <x v="4"/>
    <x v="28"/>
    <x v="217"/>
    <x v="1360"/>
    <x v="1600"/>
    <x v="2154"/>
    <x v="2155"/>
    <x v="2040"/>
    <x v="0"/>
    <x v="2141"/>
    <x v="2154"/>
    <x v="754"/>
    <x v="0"/>
    <x v="0"/>
    <x v="4"/>
    <x v="164"/>
    <x v="49"/>
    <x v="186"/>
    <x v="6"/>
    <x v="3"/>
    <x v="1"/>
  </r>
  <r>
    <x v="0"/>
    <x v="903"/>
    <x v="225"/>
    <x v="7"/>
    <x v="192"/>
    <x v="758"/>
    <x v="10"/>
    <x v="2041"/>
    <x v="125"/>
    <x v="375"/>
    <x v="488"/>
    <x v="1601"/>
    <x v="2155"/>
    <x v="2156"/>
    <x v="2041"/>
    <x v="12"/>
    <x v="2142"/>
    <x v="2155"/>
    <x v="835"/>
    <x v="0"/>
    <x v="0"/>
    <x v="4"/>
    <x v="78"/>
    <x v="6"/>
    <x v="30"/>
    <x v="10"/>
    <x v="2"/>
    <x v="45"/>
  </r>
  <r>
    <x v="0"/>
    <x v="904"/>
    <x v="414"/>
    <x v="79"/>
    <x v="172"/>
    <x v="479"/>
    <x v="22"/>
    <x v="2042"/>
    <x v="127"/>
    <x v="374"/>
    <x v="343"/>
    <x v="704"/>
    <x v="2156"/>
    <x v="2157"/>
    <x v="2042"/>
    <x v="0"/>
    <x v="2143"/>
    <x v="2156"/>
    <x v="836"/>
    <x v="0"/>
    <x v="0"/>
    <x v="0"/>
    <x v="78"/>
    <x v="7"/>
    <x v="230"/>
    <x v="59"/>
    <x v="3"/>
    <x v="393"/>
  </r>
  <r>
    <x v="0"/>
    <x v="905"/>
    <x v="227"/>
    <x v="151"/>
    <x v="216"/>
    <x v="190"/>
    <x v="0"/>
    <x v="2043"/>
    <x v="45"/>
    <x v="229"/>
    <x v="1206"/>
    <x v="239"/>
    <x v="2157"/>
    <x v="2158"/>
    <x v="2043"/>
    <x v="1"/>
    <x v="2144"/>
    <x v="2157"/>
    <x v="167"/>
    <x v="0"/>
    <x v="0"/>
    <x v="3"/>
    <x v="78"/>
    <x v="19"/>
    <x v="640"/>
    <x v="27"/>
    <x v="10"/>
    <x v="394"/>
  </r>
  <r>
    <x v="0"/>
    <x v="906"/>
    <x v="495"/>
    <x v="57"/>
    <x v="64"/>
    <x v="291"/>
    <x v="0"/>
    <x v="2044"/>
    <x v="406"/>
    <x v="247"/>
    <x v="203"/>
    <x v="382"/>
    <x v="2158"/>
    <x v="2159"/>
    <x v="2044"/>
    <x v="0"/>
    <x v="2145"/>
    <x v="2158"/>
    <x v="657"/>
    <x v="0"/>
    <x v="1"/>
    <x v="0"/>
    <x v="78"/>
    <x v="11"/>
    <x v="30"/>
    <x v="7"/>
    <x v="1"/>
    <x v="31"/>
  </r>
  <r>
    <x v="0"/>
    <x v="907"/>
    <x v="69"/>
    <x v="151"/>
    <x v="0"/>
    <x v="59"/>
    <x v="22"/>
    <x v="2045"/>
    <x v="595"/>
    <x v="197"/>
    <x v="1361"/>
    <x v="1602"/>
    <x v="2159"/>
    <x v="2160"/>
    <x v="2045"/>
    <x v="0"/>
    <x v="2146"/>
    <x v="2159"/>
    <x v="695"/>
    <x v="0"/>
    <x v="0"/>
    <x v="3"/>
    <x v="78"/>
    <x v="17"/>
    <x v="422"/>
    <x v="28"/>
    <x v="3"/>
    <x v="395"/>
  </r>
  <r>
    <x v="0"/>
    <x v="572"/>
    <x v="321"/>
    <x v="71"/>
    <x v="107"/>
    <x v="464"/>
    <x v="461"/>
    <x v="2046"/>
    <x v="416"/>
    <x v="849"/>
    <x v="1362"/>
    <x v="1603"/>
    <x v="2160"/>
    <x v="2161"/>
    <x v="1652"/>
    <x v="0"/>
    <x v="2147"/>
    <x v="2160"/>
    <x v="837"/>
    <x v="0"/>
    <x v="0"/>
    <x v="0"/>
    <x v="78"/>
    <x v="12"/>
    <x v="136"/>
    <x v="54"/>
    <x v="3"/>
    <x v="103"/>
  </r>
  <r>
    <x v="0"/>
    <x v="908"/>
    <x v="141"/>
    <x v="45"/>
    <x v="134"/>
    <x v="203"/>
    <x v="327"/>
    <x v="2047"/>
    <x v="150"/>
    <x v="624"/>
    <x v="276"/>
    <x v="1604"/>
    <x v="2161"/>
    <x v="2162"/>
    <x v="479"/>
    <x v="0"/>
    <x v="2148"/>
    <x v="2161"/>
    <x v="172"/>
    <x v="0"/>
    <x v="0"/>
    <x v="0"/>
    <x v="78"/>
    <x v="1"/>
    <x v="616"/>
    <x v="18"/>
    <x v="1"/>
    <x v="1"/>
  </r>
  <r>
    <x v="0"/>
    <x v="909"/>
    <x v="332"/>
    <x v="91"/>
    <x v="73"/>
    <x v="403"/>
    <x v="462"/>
    <x v="2048"/>
    <x v="596"/>
    <x v="850"/>
    <x v="1363"/>
    <x v="1605"/>
    <x v="2162"/>
    <x v="2163"/>
    <x v="2046"/>
    <x v="0"/>
    <x v="2149"/>
    <x v="2162"/>
    <x v="327"/>
    <x v="0"/>
    <x v="0"/>
    <x v="3"/>
    <x v="116"/>
    <x v="21"/>
    <x v="505"/>
    <x v="22"/>
    <x v="0"/>
    <x v="396"/>
  </r>
  <r>
    <x v="0"/>
    <x v="444"/>
    <x v="220"/>
    <x v="32"/>
    <x v="241"/>
    <x v="154"/>
    <x v="38"/>
    <x v="2049"/>
    <x v="236"/>
    <x v="55"/>
    <x v="342"/>
    <x v="1606"/>
    <x v="2163"/>
    <x v="2164"/>
    <x v="2047"/>
    <x v="1"/>
    <x v="2150"/>
    <x v="2163"/>
    <x v="101"/>
    <x v="0"/>
    <x v="0"/>
    <x v="4"/>
    <x v="4"/>
    <x v="0"/>
    <x v="30"/>
    <x v="15"/>
    <x v="3"/>
    <x v="35"/>
  </r>
  <r>
    <x v="0"/>
    <x v="666"/>
    <x v="258"/>
    <x v="70"/>
    <x v="281"/>
    <x v="470"/>
    <x v="0"/>
    <x v="2050"/>
    <x v="547"/>
    <x v="544"/>
    <x v="1364"/>
    <x v="1607"/>
    <x v="2164"/>
    <x v="2165"/>
    <x v="2048"/>
    <x v="0"/>
    <x v="2151"/>
    <x v="2164"/>
    <x v="499"/>
    <x v="0"/>
    <x v="0"/>
    <x v="2"/>
    <x v="78"/>
    <x v="2"/>
    <x v="695"/>
    <x v="2"/>
    <x v="1"/>
    <x v="0"/>
  </r>
  <r>
    <x v="0"/>
    <x v="113"/>
    <x v="320"/>
    <x v="119"/>
    <x v="88"/>
    <x v="436"/>
    <x v="287"/>
    <x v="4"/>
    <x v="125"/>
    <x v="851"/>
    <x v="1365"/>
    <x v="1608"/>
    <x v="2165"/>
    <x v="2166"/>
    <x v="2049"/>
    <x v="4"/>
    <x v="2152"/>
    <x v="2165"/>
    <x v="822"/>
    <x v="0"/>
    <x v="0"/>
    <x v="1"/>
    <x v="4"/>
    <x v="4"/>
    <x v="602"/>
    <x v="58"/>
    <x v="3"/>
    <x v="255"/>
  </r>
  <r>
    <x v="0"/>
    <x v="705"/>
    <x v="356"/>
    <x v="41"/>
    <x v="228"/>
    <x v="479"/>
    <x v="200"/>
    <x v="2051"/>
    <x v="311"/>
    <x v="378"/>
    <x v="343"/>
    <x v="704"/>
    <x v="2166"/>
    <x v="2167"/>
    <x v="2050"/>
    <x v="13"/>
    <x v="2153"/>
    <x v="2166"/>
    <x v="24"/>
    <x v="0"/>
    <x v="0"/>
    <x v="0"/>
    <x v="78"/>
    <x v="1"/>
    <x v="230"/>
    <x v="67"/>
    <x v="3"/>
    <x v="1"/>
  </r>
  <r>
    <x v="0"/>
    <x v="213"/>
    <x v="146"/>
    <x v="74"/>
    <x v="147"/>
    <x v="136"/>
    <x v="108"/>
    <x v="376"/>
    <x v="13"/>
    <x v="204"/>
    <x v="300"/>
    <x v="333"/>
    <x v="385"/>
    <x v="1199"/>
    <x v="380"/>
    <x v="0"/>
    <x v="381"/>
    <x v="385"/>
    <x v="172"/>
    <x v="0"/>
    <x v="0"/>
    <x v="4"/>
    <x v="78"/>
    <x v="26"/>
    <x v="202"/>
    <x v="8"/>
    <x v="1"/>
    <x v="1"/>
  </r>
  <r>
    <x v="0"/>
    <x v="910"/>
    <x v="102"/>
    <x v="57"/>
    <x v="323"/>
    <x v="37"/>
    <x v="140"/>
    <x v="2052"/>
    <x v="597"/>
    <x v="852"/>
    <x v="1366"/>
    <x v="1609"/>
    <x v="2167"/>
    <x v="2168"/>
    <x v="2051"/>
    <x v="4"/>
    <x v="2154"/>
    <x v="2167"/>
    <x v="673"/>
    <x v="0"/>
    <x v="0"/>
    <x v="4"/>
    <x v="78"/>
    <x v="2"/>
    <x v="696"/>
    <x v="14"/>
    <x v="3"/>
    <x v="22"/>
  </r>
  <r>
    <x v="0"/>
    <x v="856"/>
    <x v="159"/>
    <x v="47"/>
    <x v="202"/>
    <x v="759"/>
    <x v="0"/>
    <x v="2053"/>
    <x v="168"/>
    <x v="544"/>
    <x v="873"/>
    <x v="1610"/>
    <x v="2168"/>
    <x v="2169"/>
    <x v="2052"/>
    <x v="1"/>
    <x v="2155"/>
    <x v="2168"/>
    <x v="675"/>
    <x v="0"/>
    <x v="0"/>
    <x v="0"/>
    <x v="134"/>
    <x v="8"/>
    <x v="58"/>
    <x v="9"/>
    <x v="1"/>
    <x v="1"/>
  </r>
  <r>
    <x v="0"/>
    <x v="911"/>
    <x v="333"/>
    <x v="64"/>
    <x v="139"/>
    <x v="26"/>
    <x v="41"/>
    <x v="2054"/>
    <x v="381"/>
    <x v="221"/>
    <x v="1367"/>
    <x v="1611"/>
    <x v="2169"/>
    <x v="2170"/>
    <x v="2053"/>
    <x v="0"/>
    <x v="2156"/>
    <x v="2169"/>
    <x v="437"/>
    <x v="0"/>
    <x v="0"/>
    <x v="0"/>
    <x v="78"/>
    <x v="7"/>
    <x v="350"/>
    <x v="40"/>
    <x v="3"/>
    <x v="397"/>
  </r>
  <r>
    <x v="0"/>
    <x v="619"/>
    <x v="207"/>
    <x v="23"/>
    <x v="193"/>
    <x v="336"/>
    <x v="463"/>
    <x v="2055"/>
    <x v="105"/>
    <x v="853"/>
    <x v="421"/>
    <x v="457"/>
    <x v="2170"/>
    <x v="2171"/>
    <x v="2054"/>
    <x v="1"/>
    <x v="2157"/>
    <x v="2170"/>
    <x v="794"/>
    <x v="0"/>
    <x v="0"/>
    <x v="4"/>
    <x v="78"/>
    <x v="20"/>
    <x v="283"/>
    <x v="34"/>
    <x v="3"/>
    <x v="1"/>
  </r>
  <r>
    <x v="0"/>
    <x v="441"/>
    <x v="425"/>
    <x v="41"/>
    <x v="69"/>
    <x v="156"/>
    <x v="11"/>
    <x v="2056"/>
    <x v="598"/>
    <x v="63"/>
    <x v="731"/>
    <x v="1612"/>
    <x v="2171"/>
    <x v="2172"/>
    <x v="2055"/>
    <x v="4"/>
    <x v="2158"/>
    <x v="2171"/>
    <x v="426"/>
    <x v="0"/>
    <x v="0"/>
    <x v="2"/>
    <x v="78"/>
    <x v="23"/>
    <x v="439"/>
    <x v="5"/>
    <x v="3"/>
    <x v="1"/>
  </r>
  <r>
    <x v="0"/>
    <x v="277"/>
    <x v="387"/>
    <x v="69"/>
    <x v="181"/>
    <x v="1"/>
    <x v="49"/>
    <x v="2057"/>
    <x v="561"/>
    <x v="86"/>
    <x v="628"/>
    <x v="1613"/>
    <x v="2172"/>
    <x v="2173"/>
    <x v="2056"/>
    <x v="1"/>
    <x v="2159"/>
    <x v="2172"/>
    <x v="651"/>
    <x v="0"/>
    <x v="0"/>
    <x v="0"/>
    <x v="78"/>
    <x v="7"/>
    <x v="12"/>
    <x v="5"/>
    <x v="1"/>
    <x v="1"/>
  </r>
  <r>
    <x v="0"/>
    <x v="912"/>
    <x v="362"/>
    <x v="42"/>
    <x v="131"/>
    <x v="283"/>
    <x v="194"/>
    <x v="4"/>
    <x v="46"/>
    <x v="361"/>
    <x v="1368"/>
    <x v="1614"/>
    <x v="2173"/>
    <x v="2174"/>
    <x v="2057"/>
    <x v="0"/>
    <x v="2160"/>
    <x v="2173"/>
    <x v="273"/>
    <x v="0"/>
    <x v="0"/>
    <x v="2"/>
    <x v="78"/>
    <x v="28"/>
    <x v="572"/>
    <x v="18"/>
    <x v="1"/>
    <x v="86"/>
  </r>
  <r>
    <x v="0"/>
    <x v="913"/>
    <x v="231"/>
    <x v="72"/>
    <x v="324"/>
    <x v="760"/>
    <x v="291"/>
    <x v="2058"/>
    <x v="168"/>
    <x v="854"/>
    <x v="1369"/>
    <x v="1615"/>
    <x v="2174"/>
    <x v="2175"/>
    <x v="2058"/>
    <x v="1"/>
    <x v="2161"/>
    <x v="2174"/>
    <x v="161"/>
    <x v="0"/>
    <x v="0"/>
    <x v="4"/>
    <x v="78"/>
    <x v="5"/>
    <x v="697"/>
    <x v="22"/>
    <x v="1"/>
    <x v="7"/>
  </r>
  <r>
    <x v="0"/>
    <x v="914"/>
    <x v="447"/>
    <x v="46"/>
    <x v="106"/>
    <x v="733"/>
    <x v="464"/>
    <x v="2059"/>
    <x v="316"/>
    <x v="855"/>
    <x v="157"/>
    <x v="1480"/>
    <x v="2175"/>
    <x v="2176"/>
    <x v="2059"/>
    <x v="1"/>
    <x v="2162"/>
    <x v="2175"/>
    <x v="293"/>
    <x v="0"/>
    <x v="0"/>
    <x v="2"/>
    <x v="78"/>
    <x v="13"/>
    <x v="363"/>
    <x v="10"/>
    <x v="1"/>
    <x v="1"/>
  </r>
  <r>
    <x v="0"/>
    <x v="705"/>
    <x v="270"/>
    <x v="87"/>
    <x v="228"/>
    <x v="389"/>
    <x v="370"/>
    <x v="2060"/>
    <x v="125"/>
    <x v="856"/>
    <x v="1370"/>
    <x v="1616"/>
    <x v="2176"/>
    <x v="2177"/>
    <x v="2060"/>
    <x v="6"/>
    <x v="2163"/>
    <x v="2176"/>
    <x v="68"/>
    <x v="0"/>
    <x v="0"/>
    <x v="0"/>
    <x v="78"/>
    <x v="5"/>
    <x v="593"/>
    <x v="58"/>
    <x v="3"/>
    <x v="37"/>
  </r>
  <r>
    <x v="0"/>
    <x v="114"/>
    <x v="456"/>
    <x v="14"/>
    <x v="0"/>
    <x v="636"/>
    <x v="2"/>
    <x v="2061"/>
    <x v="270"/>
    <x v="75"/>
    <x v="1371"/>
    <x v="1617"/>
    <x v="2177"/>
    <x v="2178"/>
    <x v="2061"/>
    <x v="3"/>
    <x v="2164"/>
    <x v="2177"/>
    <x v="838"/>
    <x v="0"/>
    <x v="10"/>
    <x v="4"/>
    <x v="131"/>
    <x v="7"/>
    <x v="39"/>
    <x v="7"/>
    <x v="3"/>
    <x v="1"/>
  </r>
  <r>
    <x v="0"/>
    <x v="80"/>
    <x v="150"/>
    <x v="33"/>
    <x v="63"/>
    <x v="761"/>
    <x v="35"/>
    <x v="2062"/>
    <x v="200"/>
    <x v="653"/>
    <x v="492"/>
    <x v="1618"/>
    <x v="2178"/>
    <x v="2179"/>
    <x v="2062"/>
    <x v="8"/>
    <x v="2165"/>
    <x v="2178"/>
    <x v="147"/>
    <x v="0"/>
    <x v="0"/>
    <x v="4"/>
    <x v="197"/>
    <x v="11"/>
    <x v="30"/>
    <x v="4"/>
    <x v="1"/>
    <x v="57"/>
  </r>
  <r>
    <x v="0"/>
    <x v="915"/>
    <x v="360"/>
    <x v="27"/>
    <x v="217"/>
    <x v="449"/>
    <x v="13"/>
    <x v="2063"/>
    <x v="498"/>
    <x v="93"/>
    <x v="608"/>
    <x v="656"/>
    <x v="2179"/>
    <x v="2180"/>
    <x v="2063"/>
    <x v="0"/>
    <x v="2166"/>
    <x v="2179"/>
    <x v="589"/>
    <x v="0"/>
    <x v="0"/>
    <x v="0"/>
    <x v="78"/>
    <x v="8"/>
    <x v="6"/>
    <x v="7"/>
    <x v="3"/>
    <x v="1"/>
  </r>
  <r>
    <x v="0"/>
    <x v="890"/>
    <x v="167"/>
    <x v="42"/>
    <x v="320"/>
    <x v="749"/>
    <x v="465"/>
    <x v="2064"/>
    <x v="170"/>
    <x v="857"/>
    <x v="106"/>
    <x v="1571"/>
    <x v="2180"/>
    <x v="2181"/>
    <x v="2064"/>
    <x v="7"/>
    <x v="2167"/>
    <x v="2180"/>
    <x v="839"/>
    <x v="0"/>
    <x v="0"/>
    <x v="4"/>
    <x v="116"/>
    <x v="14"/>
    <x v="74"/>
    <x v="13"/>
    <x v="1"/>
    <x v="1"/>
  </r>
  <r>
    <x v="0"/>
    <x v="672"/>
    <x v="496"/>
    <x v="80"/>
    <x v="116"/>
    <x v="109"/>
    <x v="82"/>
    <x v="2065"/>
    <x v="381"/>
    <x v="858"/>
    <x v="1372"/>
    <x v="1619"/>
    <x v="2181"/>
    <x v="2182"/>
    <x v="2065"/>
    <x v="0"/>
    <x v="2168"/>
    <x v="2181"/>
    <x v="363"/>
    <x v="0"/>
    <x v="0"/>
    <x v="4"/>
    <x v="190"/>
    <x v="9"/>
    <x v="698"/>
    <x v="30"/>
    <x v="1"/>
    <x v="37"/>
  </r>
  <r>
    <x v="0"/>
    <x v="230"/>
    <x v="394"/>
    <x v="32"/>
    <x v="151"/>
    <x v="559"/>
    <x v="14"/>
    <x v="2066"/>
    <x v="171"/>
    <x v="859"/>
    <x v="789"/>
    <x v="1085"/>
    <x v="2182"/>
    <x v="2183"/>
    <x v="2066"/>
    <x v="0"/>
    <x v="2169"/>
    <x v="2182"/>
    <x v="629"/>
    <x v="0"/>
    <x v="0"/>
    <x v="4"/>
    <x v="78"/>
    <x v="16"/>
    <x v="30"/>
    <x v="4"/>
    <x v="1"/>
    <x v="1"/>
  </r>
  <r>
    <x v="0"/>
    <x v="579"/>
    <x v="155"/>
    <x v="76"/>
    <x v="170"/>
    <x v="156"/>
    <x v="466"/>
    <x v="2067"/>
    <x v="125"/>
    <x v="860"/>
    <x v="149"/>
    <x v="192"/>
    <x v="2183"/>
    <x v="2184"/>
    <x v="2067"/>
    <x v="8"/>
    <x v="2170"/>
    <x v="2183"/>
    <x v="299"/>
    <x v="0"/>
    <x v="0"/>
    <x v="0"/>
    <x v="78"/>
    <x v="9"/>
    <x v="100"/>
    <x v="58"/>
    <x v="3"/>
    <x v="38"/>
  </r>
  <r>
    <x v="0"/>
    <x v="916"/>
    <x v="393"/>
    <x v="44"/>
    <x v="211"/>
    <x v="511"/>
    <x v="17"/>
    <x v="4"/>
    <x v="599"/>
    <x v="303"/>
    <x v="1373"/>
    <x v="1620"/>
    <x v="2184"/>
    <x v="2185"/>
    <x v="2068"/>
    <x v="3"/>
    <x v="2171"/>
    <x v="2184"/>
    <x v="170"/>
    <x v="0"/>
    <x v="0"/>
    <x v="0"/>
    <x v="78"/>
    <x v="50"/>
    <x v="83"/>
    <x v="10"/>
    <x v="1"/>
    <x v="1"/>
  </r>
  <r>
    <x v="0"/>
    <x v="525"/>
    <x v="7"/>
    <x v="57"/>
    <x v="260"/>
    <x v="762"/>
    <x v="2"/>
    <x v="2068"/>
    <x v="406"/>
    <x v="182"/>
    <x v="816"/>
    <x v="1621"/>
    <x v="2185"/>
    <x v="2186"/>
    <x v="2069"/>
    <x v="1"/>
    <x v="2172"/>
    <x v="2185"/>
    <x v="481"/>
    <x v="0"/>
    <x v="0"/>
    <x v="4"/>
    <x v="78"/>
    <x v="8"/>
    <x v="480"/>
    <x v="32"/>
    <x v="3"/>
    <x v="7"/>
  </r>
  <r>
    <x v="0"/>
    <x v="53"/>
    <x v="270"/>
    <x v="86"/>
    <x v="38"/>
    <x v="702"/>
    <x v="467"/>
    <x v="2069"/>
    <x v="600"/>
    <x v="861"/>
    <x v="1374"/>
    <x v="1622"/>
    <x v="2186"/>
    <x v="2187"/>
    <x v="2070"/>
    <x v="4"/>
    <x v="2173"/>
    <x v="2186"/>
    <x v="426"/>
    <x v="0"/>
    <x v="0"/>
    <x v="0"/>
    <x v="78"/>
    <x v="6"/>
    <x v="699"/>
    <x v="22"/>
    <x v="1"/>
    <x v="90"/>
  </r>
  <r>
    <x v="0"/>
    <x v="917"/>
    <x v="150"/>
    <x v="43"/>
    <x v="184"/>
    <x v="173"/>
    <x v="203"/>
    <x v="2070"/>
    <x v="429"/>
    <x v="862"/>
    <x v="1375"/>
    <x v="1623"/>
    <x v="2187"/>
    <x v="2188"/>
    <x v="1687"/>
    <x v="0"/>
    <x v="2174"/>
    <x v="2187"/>
    <x v="274"/>
    <x v="0"/>
    <x v="0"/>
    <x v="4"/>
    <x v="82"/>
    <x v="19"/>
    <x v="700"/>
    <x v="34"/>
    <x v="3"/>
    <x v="1"/>
  </r>
  <r>
    <x v="0"/>
    <x v="918"/>
    <x v="331"/>
    <x v="78"/>
    <x v="69"/>
    <x v="763"/>
    <x v="309"/>
    <x v="2071"/>
    <x v="311"/>
    <x v="564"/>
    <x v="664"/>
    <x v="1624"/>
    <x v="2188"/>
    <x v="2189"/>
    <x v="2071"/>
    <x v="2"/>
    <x v="2175"/>
    <x v="2188"/>
    <x v="641"/>
    <x v="0"/>
    <x v="0"/>
    <x v="4"/>
    <x v="166"/>
    <x v="10"/>
    <x v="412"/>
    <x v="22"/>
    <x v="1"/>
    <x v="90"/>
  </r>
  <r>
    <x v="0"/>
    <x v="919"/>
    <x v="474"/>
    <x v="69"/>
    <x v="218"/>
    <x v="741"/>
    <x v="57"/>
    <x v="2072"/>
    <x v="171"/>
    <x v="192"/>
    <x v="1297"/>
    <x v="1625"/>
    <x v="2189"/>
    <x v="2190"/>
    <x v="1235"/>
    <x v="3"/>
    <x v="2176"/>
    <x v="2189"/>
    <x v="837"/>
    <x v="0"/>
    <x v="0"/>
    <x v="4"/>
    <x v="78"/>
    <x v="20"/>
    <x v="670"/>
    <x v="12"/>
    <x v="1"/>
    <x v="1"/>
  </r>
  <r>
    <x v="0"/>
    <x v="920"/>
    <x v="313"/>
    <x v="59"/>
    <x v="195"/>
    <x v="169"/>
    <x v="326"/>
    <x v="2073"/>
    <x v="111"/>
    <x v="863"/>
    <x v="1208"/>
    <x v="1626"/>
    <x v="2190"/>
    <x v="2191"/>
    <x v="2072"/>
    <x v="0"/>
    <x v="2177"/>
    <x v="2190"/>
    <x v="119"/>
    <x v="0"/>
    <x v="0"/>
    <x v="0"/>
    <x v="4"/>
    <x v="0"/>
    <x v="226"/>
    <x v="23"/>
    <x v="1"/>
    <x v="1"/>
  </r>
  <r>
    <x v="0"/>
    <x v="397"/>
    <x v="16"/>
    <x v="18"/>
    <x v="225"/>
    <x v="458"/>
    <x v="0"/>
    <x v="2074"/>
    <x v="306"/>
    <x v="384"/>
    <x v="1376"/>
    <x v="1627"/>
    <x v="2191"/>
    <x v="2192"/>
    <x v="2073"/>
    <x v="3"/>
    <x v="2178"/>
    <x v="2191"/>
    <x v="550"/>
    <x v="0"/>
    <x v="0"/>
    <x v="4"/>
    <x v="78"/>
    <x v="5"/>
    <x v="701"/>
    <x v="8"/>
    <x v="1"/>
    <x v="1"/>
  </r>
  <r>
    <x v="0"/>
    <x v="491"/>
    <x v="215"/>
    <x v="18"/>
    <x v="253"/>
    <x v="270"/>
    <x v="0"/>
    <x v="2075"/>
    <x v="399"/>
    <x v="600"/>
    <x v="350"/>
    <x v="350"/>
    <x v="2192"/>
    <x v="2193"/>
    <x v="2074"/>
    <x v="0"/>
    <x v="2179"/>
    <x v="2192"/>
    <x v="515"/>
    <x v="0"/>
    <x v="1"/>
    <x v="4"/>
    <x v="78"/>
    <x v="21"/>
    <x v="234"/>
    <x v="32"/>
    <x v="3"/>
    <x v="7"/>
  </r>
  <r>
    <x v="0"/>
    <x v="921"/>
    <x v="142"/>
    <x v="101"/>
    <x v="216"/>
    <x v="764"/>
    <x v="468"/>
    <x v="2076"/>
    <x v="364"/>
    <x v="864"/>
    <x v="1377"/>
    <x v="1628"/>
    <x v="2193"/>
    <x v="2194"/>
    <x v="2075"/>
    <x v="1"/>
    <x v="2180"/>
    <x v="2193"/>
    <x v="483"/>
    <x v="0"/>
    <x v="7"/>
    <x v="0"/>
    <x v="146"/>
    <x v="8"/>
    <x v="702"/>
    <x v="65"/>
    <x v="3"/>
    <x v="1"/>
  </r>
  <r>
    <x v="0"/>
    <x v="828"/>
    <x v="308"/>
    <x v="59"/>
    <x v="161"/>
    <x v="378"/>
    <x v="0"/>
    <x v="2077"/>
    <x v="168"/>
    <x v="31"/>
    <x v="1378"/>
    <x v="532"/>
    <x v="2194"/>
    <x v="2195"/>
    <x v="1056"/>
    <x v="1"/>
    <x v="2181"/>
    <x v="2194"/>
    <x v="356"/>
    <x v="0"/>
    <x v="0"/>
    <x v="4"/>
    <x v="78"/>
    <x v="25"/>
    <x v="15"/>
    <x v="9"/>
    <x v="3"/>
    <x v="398"/>
  </r>
  <r>
    <x v="0"/>
    <x v="146"/>
    <x v="279"/>
    <x v="70"/>
    <x v="108"/>
    <x v="489"/>
    <x v="8"/>
    <x v="2078"/>
    <x v="368"/>
    <x v="35"/>
    <x v="1379"/>
    <x v="924"/>
    <x v="2195"/>
    <x v="2196"/>
    <x v="2076"/>
    <x v="0"/>
    <x v="2182"/>
    <x v="2195"/>
    <x v="483"/>
    <x v="0"/>
    <x v="1"/>
    <x v="4"/>
    <x v="78"/>
    <x v="8"/>
    <x v="225"/>
    <x v="11"/>
    <x v="1"/>
    <x v="1"/>
  </r>
  <r>
    <x v="0"/>
    <x v="152"/>
    <x v="446"/>
    <x v="26"/>
    <x v="16"/>
    <x v="1"/>
    <x v="21"/>
    <x v="2079"/>
    <x v="453"/>
    <x v="141"/>
    <x v="489"/>
    <x v="13"/>
    <x v="2196"/>
    <x v="2197"/>
    <x v="2077"/>
    <x v="1"/>
    <x v="2183"/>
    <x v="2196"/>
    <x v="840"/>
    <x v="0"/>
    <x v="0"/>
    <x v="4"/>
    <x v="78"/>
    <x v="14"/>
    <x v="9"/>
    <x v="24"/>
    <x v="3"/>
    <x v="76"/>
  </r>
  <r>
    <x v="0"/>
    <x v="445"/>
    <x v="74"/>
    <x v="72"/>
    <x v="154"/>
    <x v="488"/>
    <x v="35"/>
    <x v="2080"/>
    <x v="215"/>
    <x v="157"/>
    <x v="1380"/>
    <x v="1629"/>
    <x v="2197"/>
    <x v="2198"/>
    <x v="2078"/>
    <x v="5"/>
    <x v="2184"/>
    <x v="2197"/>
    <x v="736"/>
    <x v="0"/>
    <x v="0"/>
    <x v="2"/>
    <x v="78"/>
    <x v="5"/>
    <x v="703"/>
    <x v="27"/>
    <x v="1"/>
    <x v="1"/>
  </r>
  <r>
    <x v="0"/>
    <x v="50"/>
    <x v="136"/>
    <x v="56"/>
    <x v="278"/>
    <x v="10"/>
    <x v="11"/>
    <x v="2081"/>
    <x v="28"/>
    <x v="63"/>
    <x v="75"/>
    <x v="1630"/>
    <x v="2198"/>
    <x v="2199"/>
    <x v="2079"/>
    <x v="2"/>
    <x v="2185"/>
    <x v="2198"/>
    <x v="483"/>
    <x v="0"/>
    <x v="0"/>
    <x v="4"/>
    <x v="78"/>
    <x v="8"/>
    <x v="6"/>
    <x v="2"/>
    <x v="1"/>
    <x v="1"/>
  </r>
  <r>
    <x v="0"/>
    <x v="229"/>
    <x v="497"/>
    <x v="56"/>
    <x v="16"/>
    <x v="670"/>
    <x v="169"/>
    <x v="2082"/>
    <x v="148"/>
    <x v="315"/>
    <x v="1381"/>
    <x v="1631"/>
    <x v="2199"/>
    <x v="2200"/>
    <x v="2080"/>
    <x v="5"/>
    <x v="2186"/>
    <x v="2199"/>
    <x v="443"/>
    <x v="0"/>
    <x v="1"/>
    <x v="4"/>
    <x v="78"/>
    <x v="9"/>
    <x v="704"/>
    <x v="15"/>
    <x v="1"/>
    <x v="112"/>
  </r>
  <r>
    <x v="0"/>
    <x v="922"/>
    <x v="197"/>
    <x v="77"/>
    <x v="129"/>
    <x v="473"/>
    <x v="283"/>
    <x v="2083"/>
    <x v="601"/>
    <x v="865"/>
    <x v="934"/>
    <x v="697"/>
    <x v="2200"/>
    <x v="2201"/>
    <x v="2081"/>
    <x v="7"/>
    <x v="2187"/>
    <x v="2200"/>
    <x v="386"/>
    <x v="0"/>
    <x v="0"/>
    <x v="2"/>
    <x v="78"/>
    <x v="1"/>
    <x v="528"/>
    <x v="18"/>
    <x v="1"/>
    <x v="399"/>
  </r>
  <r>
    <x v="0"/>
    <x v="923"/>
    <x v="140"/>
    <x v="42"/>
    <x v="62"/>
    <x v="403"/>
    <x v="469"/>
    <x v="2084"/>
    <x v="179"/>
    <x v="866"/>
    <x v="1382"/>
    <x v="1632"/>
    <x v="2201"/>
    <x v="2202"/>
    <x v="2082"/>
    <x v="0"/>
    <x v="2188"/>
    <x v="2201"/>
    <x v="481"/>
    <x v="0"/>
    <x v="5"/>
    <x v="4"/>
    <x v="78"/>
    <x v="0"/>
    <x v="705"/>
    <x v="12"/>
    <x v="1"/>
    <x v="1"/>
  </r>
  <r>
    <x v="0"/>
    <x v="924"/>
    <x v="224"/>
    <x v="27"/>
    <x v="125"/>
    <x v="765"/>
    <x v="35"/>
    <x v="2085"/>
    <x v="127"/>
    <x v="746"/>
    <x v="584"/>
    <x v="1633"/>
    <x v="2202"/>
    <x v="2203"/>
    <x v="2083"/>
    <x v="1"/>
    <x v="2189"/>
    <x v="2202"/>
    <x v="104"/>
    <x v="0"/>
    <x v="0"/>
    <x v="4"/>
    <x v="78"/>
    <x v="5"/>
    <x v="93"/>
    <x v="21"/>
    <x v="1"/>
    <x v="1"/>
  </r>
  <r>
    <x v="0"/>
    <x v="925"/>
    <x v="160"/>
    <x v="56"/>
    <x v="5"/>
    <x v="175"/>
    <x v="22"/>
    <x v="2086"/>
    <x v="562"/>
    <x v="867"/>
    <x v="1383"/>
    <x v="1634"/>
    <x v="2203"/>
    <x v="2204"/>
    <x v="2084"/>
    <x v="3"/>
    <x v="2190"/>
    <x v="2203"/>
    <x v="704"/>
    <x v="0"/>
    <x v="33"/>
    <x v="2"/>
    <x v="78"/>
    <x v="10"/>
    <x v="682"/>
    <x v="27"/>
    <x v="3"/>
    <x v="71"/>
  </r>
  <r>
    <x v="0"/>
    <x v="926"/>
    <x v="356"/>
    <x v="128"/>
    <x v="107"/>
    <x v="766"/>
    <x v="0"/>
    <x v="2087"/>
    <x v="381"/>
    <x v="243"/>
    <x v="1066"/>
    <x v="1635"/>
    <x v="2204"/>
    <x v="2205"/>
    <x v="2085"/>
    <x v="0"/>
    <x v="2191"/>
    <x v="2204"/>
    <x v="481"/>
    <x v="0"/>
    <x v="0"/>
    <x v="0"/>
    <x v="195"/>
    <x v="7"/>
    <x v="93"/>
    <x v="37"/>
    <x v="1"/>
    <x v="1"/>
  </r>
  <r>
    <x v="0"/>
    <x v="514"/>
    <x v="393"/>
    <x v="73"/>
    <x v="80"/>
    <x v="13"/>
    <x v="9"/>
    <x v="2088"/>
    <x v="602"/>
    <x v="9"/>
    <x v="1384"/>
    <x v="142"/>
    <x v="2205"/>
    <x v="2206"/>
    <x v="2086"/>
    <x v="1"/>
    <x v="2192"/>
    <x v="2205"/>
    <x v="241"/>
    <x v="0"/>
    <x v="5"/>
    <x v="0"/>
    <x v="78"/>
    <x v="22"/>
    <x v="21"/>
    <x v="2"/>
    <x v="1"/>
    <x v="1"/>
  </r>
  <r>
    <x v="0"/>
    <x v="927"/>
    <x v="274"/>
    <x v="78"/>
    <x v="0"/>
    <x v="488"/>
    <x v="83"/>
    <x v="2089"/>
    <x v="157"/>
    <x v="868"/>
    <x v="781"/>
    <x v="1629"/>
    <x v="2206"/>
    <x v="2207"/>
    <x v="2087"/>
    <x v="0"/>
    <x v="2193"/>
    <x v="2206"/>
    <x v="591"/>
    <x v="0"/>
    <x v="0"/>
    <x v="2"/>
    <x v="78"/>
    <x v="5"/>
    <x v="467"/>
    <x v="43"/>
    <x v="3"/>
    <x v="1"/>
  </r>
  <r>
    <x v="0"/>
    <x v="200"/>
    <x v="293"/>
    <x v="55"/>
    <x v="140"/>
    <x v="348"/>
    <x v="150"/>
    <x v="2090"/>
    <x v="528"/>
    <x v="774"/>
    <x v="1029"/>
    <x v="1636"/>
    <x v="2207"/>
    <x v="2208"/>
    <x v="2088"/>
    <x v="0"/>
    <x v="2194"/>
    <x v="2207"/>
    <x v="709"/>
    <x v="0"/>
    <x v="0"/>
    <x v="0"/>
    <x v="78"/>
    <x v="7"/>
    <x v="568"/>
    <x v="43"/>
    <x v="1"/>
    <x v="67"/>
  </r>
  <r>
    <x v="0"/>
    <x v="928"/>
    <x v="362"/>
    <x v="33"/>
    <x v="45"/>
    <x v="129"/>
    <x v="25"/>
    <x v="2091"/>
    <x v="422"/>
    <x v="30"/>
    <x v="1385"/>
    <x v="1637"/>
    <x v="2208"/>
    <x v="2209"/>
    <x v="2089"/>
    <x v="3"/>
    <x v="2195"/>
    <x v="2208"/>
    <x v="390"/>
    <x v="0"/>
    <x v="8"/>
    <x v="0"/>
    <x v="4"/>
    <x v="7"/>
    <x v="706"/>
    <x v="21"/>
    <x v="3"/>
    <x v="1"/>
  </r>
  <r>
    <x v="0"/>
    <x v="423"/>
    <x v="280"/>
    <x v="71"/>
    <x v="0"/>
    <x v="767"/>
    <x v="38"/>
    <x v="2092"/>
    <x v="35"/>
    <x v="55"/>
    <x v="1386"/>
    <x v="1638"/>
    <x v="2209"/>
    <x v="2210"/>
    <x v="2090"/>
    <x v="2"/>
    <x v="2196"/>
    <x v="2209"/>
    <x v="820"/>
    <x v="0"/>
    <x v="0"/>
    <x v="2"/>
    <x v="88"/>
    <x v="0"/>
    <x v="109"/>
    <x v="41"/>
    <x v="3"/>
    <x v="400"/>
  </r>
  <r>
    <x v="0"/>
    <x v="525"/>
    <x v="349"/>
    <x v="11"/>
    <x v="260"/>
    <x v="478"/>
    <x v="0"/>
    <x v="2093"/>
    <x v="539"/>
    <x v="869"/>
    <x v="151"/>
    <x v="703"/>
    <x v="2210"/>
    <x v="2211"/>
    <x v="2091"/>
    <x v="0"/>
    <x v="2197"/>
    <x v="2210"/>
    <x v="402"/>
    <x v="0"/>
    <x v="0"/>
    <x v="4"/>
    <x v="78"/>
    <x v="16"/>
    <x v="102"/>
    <x v="2"/>
    <x v="3"/>
    <x v="103"/>
  </r>
  <r>
    <x v="0"/>
    <x v="929"/>
    <x v="366"/>
    <x v="45"/>
    <x v="192"/>
    <x v="646"/>
    <x v="470"/>
    <x v="2094"/>
    <x v="603"/>
    <x v="870"/>
    <x v="1387"/>
    <x v="1639"/>
    <x v="2211"/>
    <x v="2212"/>
    <x v="2092"/>
    <x v="0"/>
    <x v="2198"/>
    <x v="2211"/>
    <x v="816"/>
    <x v="0"/>
    <x v="0"/>
    <x v="0"/>
    <x v="78"/>
    <x v="6"/>
    <x v="363"/>
    <x v="1"/>
    <x v="2"/>
    <x v="1"/>
  </r>
  <r>
    <x v="0"/>
    <x v="930"/>
    <x v="136"/>
    <x v="69"/>
    <x v="0"/>
    <x v="203"/>
    <x v="14"/>
    <x v="2095"/>
    <x v="604"/>
    <x v="414"/>
    <x v="1388"/>
    <x v="1640"/>
    <x v="2212"/>
    <x v="2213"/>
    <x v="2093"/>
    <x v="0"/>
    <x v="2199"/>
    <x v="2212"/>
    <x v="492"/>
    <x v="0"/>
    <x v="0"/>
    <x v="4"/>
    <x v="4"/>
    <x v="8"/>
    <x v="229"/>
    <x v="2"/>
    <x v="1"/>
    <x v="1"/>
  </r>
  <r>
    <x v="0"/>
    <x v="469"/>
    <x v="277"/>
    <x v="27"/>
    <x v="0"/>
    <x v="138"/>
    <x v="35"/>
    <x v="2096"/>
    <x v="355"/>
    <x v="871"/>
    <x v="74"/>
    <x v="1641"/>
    <x v="2213"/>
    <x v="2214"/>
    <x v="2094"/>
    <x v="0"/>
    <x v="2200"/>
    <x v="2213"/>
    <x v="478"/>
    <x v="0"/>
    <x v="0"/>
    <x v="4"/>
    <x v="78"/>
    <x v="20"/>
    <x v="30"/>
    <x v="9"/>
    <x v="1"/>
    <x v="1"/>
  </r>
  <r>
    <x v="0"/>
    <x v="113"/>
    <x v="489"/>
    <x v="152"/>
    <x v="88"/>
    <x v="4"/>
    <x v="471"/>
    <x v="4"/>
    <x v="143"/>
    <x v="872"/>
    <x v="217"/>
    <x v="4"/>
    <x v="2214"/>
    <x v="2215"/>
    <x v="2095"/>
    <x v="0"/>
    <x v="2201"/>
    <x v="2214"/>
    <x v="794"/>
    <x v="2"/>
    <x v="7"/>
    <x v="1"/>
    <x v="4"/>
    <x v="4"/>
    <x v="147"/>
    <x v="15"/>
    <x v="2"/>
    <x v="401"/>
  </r>
  <r>
    <x v="1"/>
    <x v="931"/>
    <x v="327"/>
    <x v="26"/>
    <x v="17"/>
    <x v="508"/>
    <x v="472"/>
    <x v="1436"/>
    <x v="236"/>
    <x v="873"/>
    <x v="1389"/>
    <x v="1642"/>
    <x v="2215"/>
    <x v="2216"/>
    <x v="2096"/>
    <x v="4"/>
    <x v="2202"/>
    <x v="2215"/>
    <x v="474"/>
    <x v="0"/>
    <x v="0"/>
    <x v="4"/>
    <x v="198"/>
    <x v="51"/>
    <x v="707"/>
    <x v="3"/>
    <x v="3"/>
    <x v="45"/>
  </r>
  <r>
    <x v="0"/>
    <x v="456"/>
    <x v="227"/>
    <x v="52"/>
    <x v="186"/>
    <x v="88"/>
    <x v="0"/>
    <x v="2097"/>
    <x v="127"/>
    <x v="530"/>
    <x v="1390"/>
    <x v="1643"/>
    <x v="2216"/>
    <x v="2217"/>
    <x v="1135"/>
    <x v="3"/>
    <x v="2203"/>
    <x v="2216"/>
    <x v="360"/>
    <x v="0"/>
    <x v="0"/>
    <x v="4"/>
    <x v="88"/>
    <x v="8"/>
    <x v="191"/>
    <x v="18"/>
    <x v="3"/>
    <x v="1"/>
  </r>
  <r>
    <x v="0"/>
    <x v="932"/>
    <x v="288"/>
    <x v="27"/>
    <x v="107"/>
    <x v="768"/>
    <x v="10"/>
    <x v="2098"/>
    <x v="17"/>
    <x v="413"/>
    <x v="42"/>
    <x v="1644"/>
    <x v="2217"/>
    <x v="2218"/>
    <x v="2097"/>
    <x v="0"/>
    <x v="2204"/>
    <x v="2217"/>
    <x v="758"/>
    <x v="0"/>
    <x v="0"/>
    <x v="0"/>
    <x v="78"/>
    <x v="11"/>
    <x v="408"/>
    <x v="22"/>
    <x v="1"/>
    <x v="1"/>
  </r>
  <r>
    <x v="0"/>
    <x v="293"/>
    <x v="343"/>
    <x v="18"/>
    <x v="0"/>
    <x v="761"/>
    <x v="162"/>
    <x v="2099"/>
    <x v="200"/>
    <x v="297"/>
    <x v="1391"/>
    <x v="1618"/>
    <x v="2218"/>
    <x v="2219"/>
    <x v="2098"/>
    <x v="3"/>
    <x v="2205"/>
    <x v="2218"/>
    <x v="310"/>
    <x v="0"/>
    <x v="0"/>
    <x v="4"/>
    <x v="78"/>
    <x v="1"/>
    <x v="222"/>
    <x v="18"/>
    <x v="1"/>
    <x v="230"/>
  </r>
  <r>
    <x v="0"/>
    <x v="933"/>
    <x v="457"/>
    <x v="42"/>
    <x v="5"/>
    <x v="254"/>
    <x v="105"/>
    <x v="2100"/>
    <x v="125"/>
    <x v="874"/>
    <x v="1392"/>
    <x v="1645"/>
    <x v="2219"/>
    <x v="2220"/>
    <x v="923"/>
    <x v="0"/>
    <x v="2206"/>
    <x v="2219"/>
    <x v="705"/>
    <x v="0"/>
    <x v="0"/>
    <x v="2"/>
    <x v="78"/>
    <x v="37"/>
    <x v="652"/>
    <x v="28"/>
    <x v="0"/>
    <x v="402"/>
  </r>
  <r>
    <x v="0"/>
    <x v="105"/>
    <x v="460"/>
    <x v="61"/>
    <x v="83"/>
    <x v="666"/>
    <x v="35"/>
    <x v="4"/>
    <x v="605"/>
    <x v="91"/>
    <x v="1393"/>
    <x v="1646"/>
    <x v="2220"/>
    <x v="2221"/>
    <x v="1783"/>
    <x v="4"/>
    <x v="2207"/>
    <x v="2220"/>
    <x v="647"/>
    <x v="0"/>
    <x v="0"/>
    <x v="0"/>
    <x v="78"/>
    <x v="39"/>
    <x v="708"/>
    <x v="15"/>
    <x v="1"/>
    <x v="1"/>
  </r>
  <r>
    <x v="0"/>
    <x v="136"/>
    <x v="370"/>
    <x v="37"/>
    <x v="101"/>
    <x v="279"/>
    <x v="0"/>
    <x v="2101"/>
    <x v="301"/>
    <x v="48"/>
    <x v="1394"/>
    <x v="608"/>
    <x v="2221"/>
    <x v="2222"/>
    <x v="937"/>
    <x v="4"/>
    <x v="2208"/>
    <x v="2221"/>
    <x v="623"/>
    <x v="0"/>
    <x v="0"/>
    <x v="2"/>
    <x v="116"/>
    <x v="20"/>
    <x v="395"/>
    <x v="8"/>
    <x v="3"/>
    <x v="1"/>
  </r>
  <r>
    <x v="0"/>
    <x v="934"/>
    <x v="166"/>
    <x v="23"/>
    <x v="118"/>
    <x v="769"/>
    <x v="2"/>
    <x v="2102"/>
    <x v="270"/>
    <x v="196"/>
    <x v="362"/>
    <x v="1647"/>
    <x v="2222"/>
    <x v="1324"/>
    <x v="2099"/>
    <x v="4"/>
    <x v="2209"/>
    <x v="2222"/>
    <x v="444"/>
    <x v="0"/>
    <x v="0"/>
    <x v="4"/>
    <x v="78"/>
    <x v="1"/>
    <x v="13"/>
    <x v="7"/>
    <x v="1"/>
    <x v="1"/>
  </r>
  <r>
    <x v="0"/>
    <x v="512"/>
    <x v="164"/>
    <x v="2"/>
    <x v="0"/>
    <x v="99"/>
    <x v="30"/>
    <x v="2103"/>
    <x v="606"/>
    <x v="224"/>
    <x v="20"/>
    <x v="1210"/>
    <x v="2223"/>
    <x v="2223"/>
    <x v="2100"/>
    <x v="0"/>
    <x v="2210"/>
    <x v="2223"/>
    <x v="841"/>
    <x v="0"/>
    <x v="0"/>
    <x v="4"/>
    <x v="159"/>
    <x v="1"/>
    <x v="17"/>
    <x v="17"/>
    <x v="1"/>
    <x v="317"/>
  </r>
  <r>
    <x v="0"/>
    <x v="235"/>
    <x v="382"/>
    <x v="26"/>
    <x v="157"/>
    <x v="421"/>
    <x v="197"/>
    <x v="2104"/>
    <x v="125"/>
    <x v="368"/>
    <x v="79"/>
    <x v="617"/>
    <x v="2224"/>
    <x v="2224"/>
    <x v="2101"/>
    <x v="1"/>
    <x v="2211"/>
    <x v="2224"/>
    <x v="241"/>
    <x v="0"/>
    <x v="0"/>
    <x v="0"/>
    <x v="78"/>
    <x v="7"/>
    <x v="58"/>
    <x v="18"/>
    <x v="1"/>
    <x v="305"/>
  </r>
  <r>
    <x v="0"/>
    <x v="935"/>
    <x v="247"/>
    <x v="54"/>
    <x v="224"/>
    <x v="445"/>
    <x v="473"/>
    <x v="2105"/>
    <x v="607"/>
    <x v="416"/>
    <x v="656"/>
    <x v="649"/>
    <x v="2225"/>
    <x v="2225"/>
    <x v="2102"/>
    <x v="0"/>
    <x v="2212"/>
    <x v="2225"/>
    <x v="570"/>
    <x v="0"/>
    <x v="10"/>
    <x v="4"/>
    <x v="78"/>
    <x v="3"/>
    <x v="709"/>
    <x v="40"/>
    <x v="1"/>
    <x v="68"/>
  </r>
  <r>
    <x v="0"/>
    <x v="423"/>
    <x v="159"/>
    <x v="26"/>
    <x v="0"/>
    <x v="107"/>
    <x v="17"/>
    <x v="2106"/>
    <x v="608"/>
    <x v="397"/>
    <x v="62"/>
    <x v="1301"/>
    <x v="2226"/>
    <x v="2226"/>
    <x v="2103"/>
    <x v="4"/>
    <x v="2213"/>
    <x v="2226"/>
    <x v="842"/>
    <x v="0"/>
    <x v="0"/>
    <x v="4"/>
    <x v="166"/>
    <x v="25"/>
    <x v="9"/>
    <x v="11"/>
    <x v="3"/>
    <x v="85"/>
  </r>
  <r>
    <x v="0"/>
    <x v="936"/>
    <x v="399"/>
    <x v="153"/>
    <x v="0"/>
    <x v="206"/>
    <x v="462"/>
    <x v="2107"/>
    <x v="609"/>
    <x v="850"/>
    <x v="1148"/>
    <x v="259"/>
    <x v="2227"/>
    <x v="2227"/>
    <x v="2104"/>
    <x v="0"/>
    <x v="2214"/>
    <x v="2227"/>
    <x v="646"/>
    <x v="0"/>
    <x v="0"/>
    <x v="3"/>
    <x v="78"/>
    <x v="12"/>
    <x v="612"/>
    <x v="21"/>
    <x v="3"/>
    <x v="403"/>
  </r>
  <r>
    <x v="0"/>
    <x v="779"/>
    <x v="399"/>
    <x v="33"/>
    <x v="0"/>
    <x v="770"/>
    <x v="20"/>
    <x v="2108"/>
    <x v="105"/>
    <x v="21"/>
    <x v="789"/>
    <x v="1648"/>
    <x v="2228"/>
    <x v="2228"/>
    <x v="2105"/>
    <x v="1"/>
    <x v="2215"/>
    <x v="2228"/>
    <x v="758"/>
    <x v="0"/>
    <x v="0"/>
    <x v="0"/>
    <x v="78"/>
    <x v="16"/>
    <x v="30"/>
    <x v="4"/>
    <x v="3"/>
    <x v="1"/>
  </r>
  <r>
    <x v="0"/>
    <x v="937"/>
    <x v="28"/>
    <x v="77"/>
    <x v="0"/>
    <x v="79"/>
    <x v="409"/>
    <x v="2109"/>
    <x v="610"/>
    <x v="875"/>
    <x v="1395"/>
    <x v="1649"/>
    <x v="2229"/>
    <x v="2229"/>
    <x v="2106"/>
    <x v="1"/>
    <x v="2216"/>
    <x v="2229"/>
    <x v="783"/>
    <x v="13"/>
    <x v="14"/>
    <x v="4"/>
    <x v="78"/>
    <x v="14"/>
    <x v="397"/>
    <x v="6"/>
    <x v="1"/>
    <x v="1"/>
  </r>
  <r>
    <x v="0"/>
    <x v="113"/>
    <x v="4"/>
    <x v="119"/>
    <x v="88"/>
    <x v="349"/>
    <x v="474"/>
    <x v="4"/>
    <x v="125"/>
    <x v="876"/>
    <x v="1396"/>
    <x v="1650"/>
    <x v="2230"/>
    <x v="2230"/>
    <x v="2107"/>
    <x v="4"/>
    <x v="2217"/>
    <x v="2230"/>
    <x v="843"/>
    <x v="0"/>
    <x v="0"/>
    <x v="1"/>
    <x v="4"/>
    <x v="4"/>
    <x v="358"/>
    <x v="10"/>
    <x v="8"/>
    <x v="404"/>
  </r>
  <r>
    <x v="0"/>
    <x v="938"/>
    <x v="425"/>
    <x v="76"/>
    <x v="0"/>
    <x v="131"/>
    <x v="22"/>
    <x v="2110"/>
    <x v="611"/>
    <x v="197"/>
    <x v="1331"/>
    <x v="161"/>
    <x v="2231"/>
    <x v="2231"/>
    <x v="2108"/>
    <x v="1"/>
    <x v="2218"/>
    <x v="2231"/>
    <x v="678"/>
    <x v="0"/>
    <x v="0"/>
    <x v="3"/>
    <x v="82"/>
    <x v="19"/>
    <x v="36"/>
    <x v="61"/>
    <x v="3"/>
    <x v="206"/>
  </r>
  <r>
    <x v="0"/>
    <x v="12"/>
    <x v="275"/>
    <x v="57"/>
    <x v="7"/>
    <x v="2"/>
    <x v="111"/>
    <x v="2111"/>
    <x v="270"/>
    <x v="877"/>
    <x v="1397"/>
    <x v="1651"/>
    <x v="2232"/>
    <x v="2232"/>
    <x v="2109"/>
    <x v="0"/>
    <x v="2219"/>
    <x v="2232"/>
    <x v="273"/>
    <x v="19"/>
    <x v="0"/>
    <x v="0"/>
    <x v="78"/>
    <x v="1"/>
    <x v="553"/>
    <x v="32"/>
    <x v="1"/>
    <x v="1"/>
  </r>
  <r>
    <x v="0"/>
    <x v="114"/>
    <x v="203"/>
    <x v="23"/>
    <x v="0"/>
    <x v="185"/>
    <x v="18"/>
    <x v="2112"/>
    <x v="270"/>
    <x v="19"/>
    <x v="170"/>
    <x v="1652"/>
    <x v="2233"/>
    <x v="2233"/>
    <x v="2110"/>
    <x v="0"/>
    <x v="2220"/>
    <x v="2233"/>
    <x v="594"/>
    <x v="0"/>
    <x v="0"/>
    <x v="4"/>
    <x v="78"/>
    <x v="17"/>
    <x v="114"/>
    <x v="16"/>
    <x v="3"/>
    <x v="1"/>
  </r>
  <r>
    <x v="0"/>
    <x v="939"/>
    <x v="379"/>
    <x v="95"/>
    <x v="216"/>
    <x v="620"/>
    <x v="285"/>
    <x v="2113"/>
    <x v="28"/>
    <x v="812"/>
    <x v="1398"/>
    <x v="1653"/>
    <x v="2234"/>
    <x v="2234"/>
    <x v="2111"/>
    <x v="0"/>
    <x v="2221"/>
    <x v="2234"/>
    <x v="460"/>
    <x v="0"/>
    <x v="0"/>
    <x v="0"/>
    <x v="78"/>
    <x v="14"/>
    <x v="432"/>
    <x v="27"/>
    <x v="1"/>
    <x v="405"/>
  </r>
  <r>
    <x v="0"/>
    <x v="534"/>
    <x v="113"/>
    <x v="40"/>
    <x v="264"/>
    <x v="9"/>
    <x v="30"/>
    <x v="1315"/>
    <x v="49"/>
    <x v="224"/>
    <x v="642"/>
    <x v="533"/>
    <x v="1365"/>
    <x v="2235"/>
    <x v="2112"/>
    <x v="1"/>
    <x v="1356"/>
    <x v="1365"/>
    <x v="731"/>
    <x v="0"/>
    <x v="0"/>
    <x v="0"/>
    <x v="160"/>
    <x v="8"/>
    <x v="47"/>
    <x v="31"/>
    <x v="1"/>
    <x v="64"/>
  </r>
  <r>
    <x v="0"/>
    <x v="940"/>
    <x v="225"/>
    <x v="59"/>
    <x v="89"/>
    <x v="771"/>
    <x v="475"/>
    <x v="2114"/>
    <x v="127"/>
    <x v="878"/>
    <x v="719"/>
    <x v="1654"/>
    <x v="2235"/>
    <x v="2236"/>
    <x v="2113"/>
    <x v="3"/>
    <x v="2222"/>
    <x v="2235"/>
    <x v="578"/>
    <x v="0"/>
    <x v="0"/>
    <x v="0"/>
    <x v="78"/>
    <x v="17"/>
    <x v="432"/>
    <x v="23"/>
    <x v="3"/>
    <x v="252"/>
  </r>
  <r>
    <x v="0"/>
    <x v="941"/>
    <x v="225"/>
    <x v="42"/>
    <x v="222"/>
    <x v="772"/>
    <x v="476"/>
    <x v="2115"/>
    <x v="127"/>
    <x v="879"/>
    <x v="1399"/>
    <x v="1655"/>
    <x v="2236"/>
    <x v="2237"/>
    <x v="2114"/>
    <x v="4"/>
    <x v="2223"/>
    <x v="2236"/>
    <x v="469"/>
    <x v="0"/>
    <x v="0"/>
    <x v="0"/>
    <x v="78"/>
    <x v="21"/>
    <x v="14"/>
    <x v="43"/>
    <x v="3"/>
    <x v="103"/>
  </r>
  <r>
    <x v="0"/>
    <x v="942"/>
    <x v="279"/>
    <x v="72"/>
    <x v="325"/>
    <x v="45"/>
    <x v="0"/>
    <x v="2116"/>
    <x v="612"/>
    <x v="880"/>
    <x v="502"/>
    <x v="1656"/>
    <x v="2237"/>
    <x v="2238"/>
    <x v="2115"/>
    <x v="0"/>
    <x v="2224"/>
    <x v="2237"/>
    <x v="559"/>
    <x v="0"/>
    <x v="0"/>
    <x v="4"/>
    <x v="4"/>
    <x v="0"/>
    <x v="324"/>
    <x v="38"/>
    <x v="3"/>
    <x v="7"/>
  </r>
  <r>
    <x v="0"/>
    <x v="943"/>
    <x v="434"/>
    <x v="154"/>
    <x v="179"/>
    <x v="184"/>
    <x v="145"/>
    <x v="2117"/>
    <x v="406"/>
    <x v="269"/>
    <x v="1400"/>
    <x v="899"/>
    <x v="2238"/>
    <x v="2239"/>
    <x v="2116"/>
    <x v="5"/>
    <x v="2225"/>
    <x v="2238"/>
    <x v="360"/>
    <x v="0"/>
    <x v="0"/>
    <x v="3"/>
    <x v="78"/>
    <x v="52"/>
    <x v="345"/>
    <x v="4"/>
    <x v="16"/>
    <x v="103"/>
  </r>
  <r>
    <x v="0"/>
    <x v="944"/>
    <x v="297"/>
    <x v="70"/>
    <x v="217"/>
    <x v="87"/>
    <x v="94"/>
    <x v="4"/>
    <x v="171"/>
    <x v="218"/>
    <x v="623"/>
    <x v="1657"/>
    <x v="2239"/>
    <x v="2240"/>
    <x v="2117"/>
    <x v="0"/>
    <x v="2226"/>
    <x v="2239"/>
    <x v="671"/>
    <x v="0"/>
    <x v="0"/>
    <x v="0"/>
    <x v="199"/>
    <x v="2"/>
    <x v="388"/>
    <x v="5"/>
    <x v="1"/>
    <x v="1"/>
  </r>
  <r>
    <x v="0"/>
    <x v="705"/>
    <x v="387"/>
    <x v="76"/>
    <x v="228"/>
    <x v="54"/>
    <x v="366"/>
    <x v="2118"/>
    <x v="125"/>
    <x v="665"/>
    <x v="648"/>
    <x v="68"/>
    <x v="2240"/>
    <x v="2241"/>
    <x v="137"/>
    <x v="0"/>
    <x v="2227"/>
    <x v="2240"/>
    <x v="844"/>
    <x v="0"/>
    <x v="0"/>
    <x v="0"/>
    <x v="131"/>
    <x v="8"/>
    <x v="196"/>
    <x v="68"/>
    <x v="3"/>
    <x v="1"/>
  </r>
  <r>
    <x v="0"/>
    <x v="554"/>
    <x v="283"/>
    <x v="76"/>
    <x v="269"/>
    <x v="294"/>
    <x v="477"/>
    <x v="2119"/>
    <x v="23"/>
    <x v="881"/>
    <x v="1063"/>
    <x v="1658"/>
    <x v="2241"/>
    <x v="2242"/>
    <x v="2118"/>
    <x v="5"/>
    <x v="2228"/>
    <x v="2241"/>
    <x v="472"/>
    <x v="0"/>
    <x v="0"/>
    <x v="0"/>
    <x v="146"/>
    <x v="0"/>
    <x v="577"/>
    <x v="20"/>
    <x v="1"/>
    <x v="1"/>
  </r>
  <r>
    <x v="0"/>
    <x v="230"/>
    <x v="384"/>
    <x v="50"/>
    <x v="151"/>
    <x v="452"/>
    <x v="57"/>
    <x v="2120"/>
    <x v="26"/>
    <x v="192"/>
    <x v="630"/>
    <x v="1659"/>
    <x v="2242"/>
    <x v="2243"/>
    <x v="2119"/>
    <x v="1"/>
    <x v="2229"/>
    <x v="2242"/>
    <x v="360"/>
    <x v="0"/>
    <x v="0"/>
    <x v="2"/>
    <x v="78"/>
    <x v="13"/>
    <x v="393"/>
    <x v="4"/>
    <x v="3"/>
    <x v="1"/>
  </r>
  <r>
    <x v="0"/>
    <x v="945"/>
    <x v="285"/>
    <x v="85"/>
    <x v="131"/>
    <x v="773"/>
    <x v="2"/>
    <x v="2121"/>
    <x v="127"/>
    <x v="104"/>
    <x v="1401"/>
    <x v="1660"/>
    <x v="2243"/>
    <x v="2244"/>
    <x v="2120"/>
    <x v="1"/>
    <x v="2230"/>
    <x v="2243"/>
    <x v="552"/>
    <x v="0"/>
    <x v="0"/>
    <x v="4"/>
    <x v="78"/>
    <x v="10"/>
    <x v="260"/>
    <x v="19"/>
    <x v="3"/>
    <x v="1"/>
  </r>
  <r>
    <x v="0"/>
    <x v="946"/>
    <x v="172"/>
    <x v="54"/>
    <x v="198"/>
    <x v="640"/>
    <x v="160"/>
    <x v="2122"/>
    <x v="18"/>
    <x v="444"/>
    <x v="1402"/>
    <x v="1661"/>
    <x v="2244"/>
    <x v="2245"/>
    <x v="2121"/>
    <x v="4"/>
    <x v="2231"/>
    <x v="2244"/>
    <x v="651"/>
    <x v="0"/>
    <x v="10"/>
    <x v="0"/>
    <x v="78"/>
    <x v="3"/>
    <x v="610"/>
    <x v="9"/>
    <x v="1"/>
    <x v="7"/>
  </r>
  <r>
    <x v="0"/>
    <x v="277"/>
    <x v="352"/>
    <x v="77"/>
    <x v="181"/>
    <x v="312"/>
    <x v="0"/>
    <x v="2123"/>
    <x v="125"/>
    <x v="52"/>
    <x v="1403"/>
    <x v="1662"/>
    <x v="2245"/>
    <x v="2246"/>
    <x v="2114"/>
    <x v="1"/>
    <x v="2232"/>
    <x v="2245"/>
    <x v="538"/>
    <x v="0"/>
    <x v="0"/>
    <x v="0"/>
    <x v="88"/>
    <x v="14"/>
    <x v="710"/>
    <x v="30"/>
    <x v="3"/>
    <x v="406"/>
  </r>
  <r>
    <x v="0"/>
    <x v="396"/>
    <x v="322"/>
    <x v="45"/>
    <x v="224"/>
    <x v="774"/>
    <x v="8"/>
    <x v="2124"/>
    <x v="103"/>
    <x v="35"/>
    <x v="46"/>
    <x v="1663"/>
    <x v="2246"/>
    <x v="2247"/>
    <x v="2122"/>
    <x v="0"/>
    <x v="2233"/>
    <x v="2246"/>
    <x v="533"/>
    <x v="0"/>
    <x v="0"/>
    <x v="4"/>
    <x v="78"/>
    <x v="0"/>
    <x v="36"/>
    <x v="5"/>
    <x v="3"/>
    <x v="1"/>
  </r>
  <r>
    <x v="0"/>
    <x v="696"/>
    <x v="334"/>
    <x v="42"/>
    <x v="201"/>
    <x v="112"/>
    <x v="0"/>
    <x v="2125"/>
    <x v="70"/>
    <x v="51"/>
    <x v="705"/>
    <x v="1664"/>
    <x v="2247"/>
    <x v="2248"/>
    <x v="2123"/>
    <x v="2"/>
    <x v="2234"/>
    <x v="2247"/>
    <x v="514"/>
    <x v="0"/>
    <x v="0"/>
    <x v="4"/>
    <x v="78"/>
    <x v="24"/>
    <x v="114"/>
    <x v="7"/>
    <x v="3"/>
    <x v="107"/>
  </r>
  <r>
    <x v="0"/>
    <x v="947"/>
    <x v="413"/>
    <x v="32"/>
    <x v="85"/>
    <x v="754"/>
    <x v="318"/>
    <x v="2126"/>
    <x v="406"/>
    <x v="882"/>
    <x v="1404"/>
    <x v="1665"/>
    <x v="2248"/>
    <x v="2249"/>
    <x v="2124"/>
    <x v="0"/>
    <x v="2235"/>
    <x v="2248"/>
    <x v="299"/>
    <x v="0"/>
    <x v="0"/>
    <x v="2"/>
    <x v="78"/>
    <x v="7"/>
    <x v="197"/>
    <x v="22"/>
    <x v="1"/>
    <x v="1"/>
  </r>
  <r>
    <x v="0"/>
    <x v="120"/>
    <x v="290"/>
    <x v="59"/>
    <x v="77"/>
    <x v="666"/>
    <x v="22"/>
    <x v="2127"/>
    <x v="613"/>
    <x v="240"/>
    <x v="1405"/>
    <x v="1205"/>
    <x v="2249"/>
    <x v="2250"/>
    <x v="2125"/>
    <x v="4"/>
    <x v="2236"/>
    <x v="2249"/>
    <x v="614"/>
    <x v="0"/>
    <x v="1"/>
    <x v="4"/>
    <x v="116"/>
    <x v="19"/>
    <x v="41"/>
    <x v="1"/>
    <x v="1"/>
    <x v="407"/>
  </r>
  <r>
    <x v="0"/>
    <x v="1"/>
    <x v="150"/>
    <x v="58"/>
    <x v="1"/>
    <x v="201"/>
    <x v="25"/>
    <x v="2128"/>
    <x v="200"/>
    <x v="76"/>
    <x v="1406"/>
    <x v="254"/>
    <x v="2250"/>
    <x v="2251"/>
    <x v="2126"/>
    <x v="1"/>
    <x v="2237"/>
    <x v="2250"/>
    <x v="271"/>
    <x v="0"/>
    <x v="0"/>
    <x v="4"/>
    <x v="134"/>
    <x v="12"/>
    <x v="104"/>
    <x v="4"/>
    <x v="3"/>
    <x v="1"/>
  </r>
  <r>
    <x v="1"/>
    <x v="382"/>
    <x v="272"/>
    <x v="50"/>
    <x v="71"/>
    <x v="493"/>
    <x v="263"/>
    <x v="2129"/>
    <x v="614"/>
    <x v="478"/>
    <x v="467"/>
    <x v="738"/>
    <x v="2251"/>
    <x v="2252"/>
    <x v="300"/>
    <x v="4"/>
    <x v="2238"/>
    <x v="2251"/>
    <x v="244"/>
    <x v="0"/>
    <x v="0"/>
    <x v="4"/>
    <x v="78"/>
    <x v="19"/>
    <x v="306"/>
    <x v="9"/>
    <x v="1"/>
    <x v="408"/>
  </r>
  <r>
    <x v="0"/>
    <x v="387"/>
    <x v="134"/>
    <x v="58"/>
    <x v="219"/>
    <x v="738"/>
    <x v="478"/>
    <x v="2130"/>
    <x v="196"/>
    <x v="883"/>
    <x v="1407"/>
    <x v="1666"/>
    <x v="2252"/>
    <x v="2253"/>
    <x v="2127"/>
    <x v="3"/>
    <x v="2239"/>
    <x v="2252"/>
    <x v="568"/>
    <x v="0"/>
    <x v="0"/>
    <x v="0"/>
    <x v="78"/>
    <x v="8"/>
    <x v="711"/>
    <x v="10"/>
    <x v="3"/>
    <x v="1"/>
  </r>
  <r>
    <x v="0"/>
    <x v="200"/>
    <x v="316"/>
    <x v="26"/>
    <x v="140"/>
    <x v="731"/>
    <x v="328"/>
    <x v="2131"/>
    <x v="23"/>
    <x v="884"/>
    <x v="592"/>
    <x v="1667"/>
    <x v="2253"/>
    <x v="2254"/>
    <x v="2128"/>
    <x v="1"/>
    <x v="2240"/>
    <x v="2253"/>
    <x v="277"/>
    <x v="0"/>
    <x v="0"/>
    <x v="0"/>
    <x v="134"/>
    <x v="0"/>
    <x v="120"/>
    <x v="23"/>
    <x v="1"/>
    <x v="1"/>
  </r>
  <r>
    <x v="0"/>
    <x v="57"/>
    <x v="498"/>
    <x v="38"/>
    <x v="42"/>
    <x v="62"/>
    <x v="30"/>
    <x v="2132"/>
    <x v="409"/>
    <x v="53"/>
    <x v="579"/>
    <x v="77"/>
    <x v="2254"/>
    <x v="2255"/>
    <x v="2129"/>
    <x v="0"/>
    <x v="2241"/>
    <x v="2254"/>
    <x v="196"/>
    <x v="0"/>
    <x v="1"/>
    <x v="4"/>
    <x v="78"/>
    <x v="5"/>
    <x v="30"/>
    <x v="13"/>
    <x v="1"/>
    <x v="68"/>
  </r>
  <r>
    <x v="0"/>
    <x v="948"/>
    <x v="451"/>
    <x v="41"/>
    <x v="174"/>
    <x v="775"/>
    <x v="432"/>
    <x v="2133"/>
    <x v="530"/>
    <x v="783"/>
    <x v="1408"/>
    <x v="1668"/>
    <x v="2255"/>
    <x v="2256"/>
    <x v="2130"/>
    <x v="0"/>
    <x v="2242"/>
    <x v="2255"/>
    <x v="721"/>
    <x v="0"/>
    <x v="0"/>
    <x v="2"/>
    <x v="78"/>
    <x v="24"/>
    <x v="304"/>
    <x v="44"/>
    <x v="3"/>
    <x v="409"/>
  </r>
  <r>
    <x v="0"/>
    <x v="152"/>
    <x v="61"/>
    <x v="58"/>
    <x v="16"/>
    <x v="764"/>
    <x v="268"/>
    <x v="2134"/>
    <x v="125"/>
    <x v="885"/>
    <x v="1409"/>
    <x v="1669"/>
    <x v="2256"/>
    <x v="2257"/>
    <x v="1458"/>
    <x v="4"/>
    <x v="2243"/>
    <x v="2256"/>
    <x v="527"/>
    <x v="0"/>
    <x v="1"/>
    <x v="0"/>
    <x v="78"/>
    <x v="8"/>
    <x v="22"/>
    <x v="21"/>
    <x v="1"/>
    <x v="1"/>
  </r>
  <r>
    <x v="0"/>
    <x v="491"/>
    <x v="312"/>
    <x v="33"/>
    <x v="253"/>
    <x v="345"/>
    <x v="15"/>
    <x v="2135"/>
    <x v="615"/>
    <x v="212"/>
    <x v="1410"/>
    <x v="1670"/>
    <x v="2257"/>
    <x v="2258"/>
    <x v="449"/>
    <x v="1"/>
    <x v="2244"/>
    <x v="2257"/>
    <x v="454"/>
    <x v="0"/>
    <x v="1"/>
    <x v="4"/>
    <x v="78"/>
    <x v="12"/>
    <x v="602"/>
    <x v="1"/>
    <x v="3"/>
    <x v="1"/>
  </r>
  <r>
    <x v="0"/>
    <x v="837"/>
    <x v="418"/>
    <x v="69"/>
    <x v="309"/>
    <x v="232"/>
    <x v="21"/>
    <x v="2136"/>
    <x v="28"/>
    <x v="141"/>
    <x v="1042"/>
    <x v="294"/>
    <x v="2258"/>
    <x v="2259"/>
    <x v="2131"/>
    <x v="3"/>
    <x v="2245"/>
    <x v="2258"/>
    <x v="170"/>
    <x v="0"/>
    <x v="0"/>
    <x v="4"/>
    <x v="78"/>
    <x v="6"/>
    <x v="47"/>
    <x v="22"/>
    <x v="1"/>
    <x v="1"/>
  </r>
  <r>
    <x v="0"/>
    <x v="696"/>
    <x v="209"/>
    <x v="45"/>
    <x v="201"/>
    <x v="606"/>
    <x v="2"/>
    <x v="2137"/>
    <x v="125"/>
    <x v="740"/>
    <x v="1411"/>
    <x v="1204"/>
    <x v="2259"/>
    <x v="2260"/>
    <x v="2132"/>
    <x v="4"/>
    <x v="2246"/>
    <x v="2259"/>
    <x v="104"/>
    <x v="0"/>
    <x v="0"/>
    <x v="4"/>
    <x v="78"/>
    <x v="13"/>
    <x v="712"/>
    <x v="38"/>
    <x v="3"/>
    <x v="1"/>
  </r>
  <r>
    <x v="0"/>
    <x v="949"/>
    <x v="225"/>
    <x v="42"/>
    <x v="198"/>
    <x v="551"/>
    <x v="35"/>
    <x v="2138"/>
    <x v="127"/>
    <x v="499"/>
    <x v="297"/>
    <x v="1671"/>
    <x v="2260"/>
    <x v="2261"/>
    <x v="2133"/>
    <x v="4"/>
    <x v="2247"/>
    <x v="2260"/>
    <x v="239"/>
    <x v="0"/>
    <x v="5"/>
    <x v="0"/>
    <x v="78"/>
    <x v="15"/>
    <x v="30"/>
    <x v="9"/>
    <x v="15"/>
    <x v="410"/>
  </r>
  <r>
    <x v="0"/>
    <x v="813"/>
    <x v="177"/>
    <x v="59"/>
    <x v="217"/>
    <x v="379"/>
    <x v="21"/>
    <x v="2139"/>
    <x v="200"/>
    <x v="71"/>
    <x v="1412"/>
    <x v="1672"/>
    <x v="2261"/>
    <x v="2262"/>
    <x v="2134"/>
    <x v="1"/>
    <x v="2248"/>
    <x v="2261"/>
    <x v="756"/>
    <x v="0"/>
    <x v="0"/>
    <x v="4"/>
    <x v="78"/>
    <x v="2"/>
    <x v="30"/>
    <x v="4"/>
    <x v="1"/>
    <x v="68"/>
  </r>
  <r>
    <x v="0"/>
    <x v="435"/>
    <x v="393"/>
    <x v="11"/>
    <x v="236"/>
    <x v="204"/>
    <x v="13"/>
    <x v="2140"/>
    <x v="70"/>
    <x v="158"/>
    <x v="673"/>
    <x v="1673"/>
    <x v="2262"/>
    <x v="2263"/>
    <x v="2135"/>
    <x v="0"/>
    <x v="2249"/>
    <x v="2262"/>
    <x v="427"/>
    <x v="0"/>
    <x v="0"/>
    <x v="0"/>
    <x v="78"/>
    <x v="30"/>
    <x v="12"/>
    <x v="19"/>
    <x v="1"/>
    <x v="411"/>
  </r>
  <r>
    <x v="0"/>
    <x v="696"/>
    <x v="474"/>
    <x v="59"/>
    <x v="201"/>
    <x v="621"/>
    <x v="0"/>
    <x v="2141"/>
    <x v="616"/>
    <x v="450"/>
    <x v="1413"/>
    <x v="1674"/>
    <x v="2263"/>
    <x v="2264"/>
    <x v="337"/>
    <x v="0"/>
    <x v="2250"/>
    <x v="2263"/>
    <x v="629"/>
    <x v="0"/>
    <x v="0"/>
    <x v="4"/>
    <x v="78"/>
    <x v="25"/>
    <x v="713"/>
    <x v="2"/>
    <x v="3"/>
    <x v="1"/>
  </r>
  <r>
    <x v="0"/>
    <x v="189"/>
    <x v="188"/>
    <x v="101"/>
    <x v="0"/>
    <x v="558"/>
    <x v="13"/>
    <x v="1998"/>
    <x v="125"/>
    <x v="13"/>
    <x v="43"/>
    <x v="885"/>
    <x v="2110"/>
    <x v="2110"/>
    <x v="2001"/>
    <x v="0"/>
    <x v="2097"/>
    <x v="2110"/>
    <x v="614"/>
    <x v="0"/>
    <x v="0"/>
    <x v="4"/>
    <x v="195"/>
    <x v="1"/>
    <x v="33"/>
    <x v="38"/>
    <x v="3"/>
    <x v="1"/>
  </r>
  <r>
    <x v="0"/>
    <x v="33"/>
    <x v="146"/>
    <x v="70"/>
    <x v="0"/>
    <x v="776"/>
    <x v="479"/>
    <x v="2142"/>
    <x v="23"/>
    <x v="886"/>
    <x v="213"/>
    <x v="1675"/>
    <x v="2264"/>
    <x v="2265"/>
    <x v="1653"/>
    <x v="0"/>
    <x v="2251"/>
    <x v="2264"/>
    <x v="845"/>
    <x v="0"/>
    <x v="0"/>
    <x v="4"/>
    <x v="78"/>
    <x v="1"/>
    <x v="539"/>
    <x v="2"/>
    <x v="1"/>
    <x v="1"/>
  </r>
  <r>
    <x v="0"/>
    <x v="606"/>
    <x v="202"/>
    <x v="77"/>
    <x v="79"/>
    <x v="267"/>
    <x v="13"/>
    <x v="2143"/>
    <x v="457"/>
    <x v="158"/>
    <x v="699"/>
    <x v="1676"/>
    <x v="2265"/>
    <x v="2266"/>
    <x v="2136"/>
    <x v="1"/>
    <x v="2252"/>
    <x v="2265"/>
    <x v="426"/>
    <x v="0"/>
    <x v="0"/>
    <x v="0"/>
    <x v="175"/>
    <x v="0"/>
    <x v="30"/>
    <x v="13"/>
    <x v="1"/>
    <x v="7"/>
  </r>
  <r>
    <x v="0"/>
    <x v="950"/>
    <x v="424"/>
    <x v="76"/>
    <x v="50"/>
    <x v="491"/>
    <x v="77"/>
    <x v="2144"/>
    <x v="207"/>
    <x v="887"/>
    <x v="1414"/>
    <x v="1677"/>
    <x v="2266"/>
    <x v="2267"/>
    <x v="2137"/>
    <x v="3"/>
    <x v="2253"/>
    <x v="2266"/>
    <x v="756"/>
    <x v="0"/>
    <x v="8"/>
    <x v="2"/>
    <x v="78"/>
    <x v="14"/>
    <x v="714"/>
    <x v="68"/>
    <x v="1"/>
    <x v="1"/>
  </r>
  <r>
    <x v="0"/>
    <x v="243"/>
    <x v="365"/>
    <x v="105"/>
    <x v="123"/>
    <x v="691"/>
    <x v="65"/>
    <x v="2145"/>
    <x v="132"/>
    <x v="116"/>
    <x v="1415"/>
    <x v="1678"/>
    <x v="2267"/>
    <x v="2268"/>
    <x v="2138"/>
    <x v="4"/>
    <x v="2254"/>
    <x v="2267"/>
    <x v="758"/>
    <x v="0"/>
    <x v="8"/>
    <x v="0"/>
    <x v="152"/>
    <x v="12"/>
    <x v="622"/>
    <x v="34"/>
    <x v="3"/>
    <x v="412"/>
  </r>
  <r>
    <x v="0"/>
    <x v="243"/>
    <x v="302"/>
    <x v="43"/>
    <x v="123"/>
    <x v="86"/>
    <x v="352"/>
    <x v="2146"/>
    <x v="132"/>
    <x v="635"/>
    <x v="799"/>
    <x v="109"/>
    <x v="2268"/>
    <x v="2269"/>
    <x v="2139"/>
    <x v="3"/>
    <x v="2255"/>
    <x v="2268"/>
    <x v="721"/>
    <x v="0"/>
    <x v="0"/>
    <x v="0"/>
    <x v="78"/>
    <x v="1"/>
    <x v="170"/>
    <x v="33"/>
    <x v="3"/>
    <x v="413"/>
  </r>
  <r>
    <x v="0"/>
    <x v="322"/>
    <x v="352"/>
    <x v="26"/>
    <x v="91"/>
    <x v="130"/>
    <x v="309"/>
    <x v="2147"/>
    <x v="242"/>
    <x v="888"/>
    <x v="1416"/>
    <x v="752"/>
    <x v="2269"/>
    <x v="2270"/>
    <x v="1825"/>
    <x v="3"/>
    <x v="2256"/>
    <x v="2269"/>
    <x v="426"/>
    <x v="0"/>
    <x v="0"/>
    <x v="0"/>
    <x v="78"/>
    <x v="14"/>
    <x v="35"/>
    <x v="22"/>
    <x v="3"/>
    <x v="414"/>
  </r>
  <r>
    <x v="0"/>
    <x v="227"/>
    <x v="464"/>
    <x v="39"/>
    <x v="63"/>
    <x v="145"/>
    <x v="262"/>
    <x v="4"/>
    <x v="617"/>
    <x v="889"/>
    <x v="1417"/>
    <x v="1679"/>
    <x v="2270"/>
    <x v="2271"/>
    <x v="1285"/>
    <x v="0"/>
    <x v="2257"/>
    <x v="2270"/>
    <x v="398"/>
    <x v="0"/>
    <x v="0"/>
    <x v="3"/>
    <x v="78"/>
    <x v="50"/>
    <x v="454"/>
    <x v="15"/>
    <x v="1"/>
    <x v="415"/>
  </r>
  <r>
    <x v="0"/>
    <x v="602"/>
    <x v="79"/>
    <x v="2"/>
    <x v="0"/>
    <x v="424"/>
    <x v="480"/>
    <x v="2148"/>
    <x v="618"/>
    <x v="890"/>
    <x v="1418"/>
    <x v="1680"/>
    <x v="2271"/>
    <x v="2272"/>
    <x v="2140"/>
    <x v="0"/>
    <x v="2258"/>
    <x v="2271"/>
    <x v="579"/>
    <x v="0"/>
    <x v="0"/>
    <x v="4"/>
    <x v="78"/>
    <x v="11"/>
    <x v="715"/>
    <x v="10"/>
    <x v="3"/>
    <x v="45"/>
  </r>
  <r>
    <x v="0"/>
    <x v="951"/>
    <x v="308"/>
    <x v="91"/>
    <x v="221"/>
    <x v="506"/>
    <x v="285"/>
    <x v="2149"/>
    <x v="21"/>
    <x v="521"/>
    <x v="639"/>
    <x v="761"/>
    <x v="2272"/>
    <x v="2273"/>
    <x v="2141"/>
    <x v="0"/>
    <x v="2259"/>
    <x v="2272"/>
    <x v="340"/>
    <x v="0"/>
    <x v="0"/>
    <x v="3"/>
    <x v="78"/>
    <x v="7"/>
    <x v="497"/>
    <x v="66"/>
    <x v="3"/>
    <x v="416"/>
  </r>
  <r>
    <x v="0"/>
    <x v="952"/>
    <x v="409"/>
    <x v="47"/>
    <x v="134"/>
    <x v="99"/>
    <x v="481"/>
    <x v="2150"/>
    <x v="419"/>
    <x v="891"/>
    <x v="1419"/>
    <x v="909"/>
    <x v="2273"/>
    <x v="2274"/>
    <x v="2142"/>
    <x v="17"/>
    <x v="2260"/>
    <x v="2273"/>
    <x v="719"/>
    <x v="0"/>
    <x v="0"/>
    <x v="0"/>
    <x v="78"/>
    <x v="9"/>
    <x v="503"/>
    <x v="40"/>
    <x v="3"/>
    <x v="1"/>
  </r>
  <r>
    <x v="0"/>
    <x v="113"/>
    <x v="396"/>
    <x v="142"/>
    <x v="88"/>
    <x v="730"/>
    <x v="0"/>
    <x v="4"/>
    <x v="171"/>
    <x v="277"/>
    <x v="1420"/>
    <x v="1681"/>
    <x v="2274"/>
    <x v="2275"/>
    <x v="2143"/>
    <x v="1"/>
    <x v="4"/>
    <x v="2274"/>
    <x v="654"/>
    <x v="0"/>
    <x v="0"/>
    <x v="5"/>
    <x v="4"/>
    <x v="4"/>
    <x v="287"/>
    <x v="7"/>
    <x v="12"/>
    <x v="1"/>
  </r>
  <r>
    <x v="0"/>
    <x v="495"/>
    <x v="399"/>
    <x v="105"/>
    <x v="202"/>
    <x v="598"/>
    <x v="482"/>
    <x v="2151"/>
    <x v="219"/>
    <x v="892"/>
    <x v="1421"/>
    <x v="1682"/>
    <x v="2275"/>
    <x v="679"/>
    <x v="2144"/>
    <x v="4"/>
    <x v="2261"/>
    <x v="2275"/>
    <x v="49"/>
    <x v="0"/>
    <x v="0"/>
    <x v="0"/>
    <x v="176"/>
    <x v="8"/>
    <x v="15"/>
    <x v="44"/>
    <x v="1"/>
    <x v="162"/>
  </r>
  <r>
    <x v="0"/>
    <x v="423"/>
    <x v="444"/>
    <x v="86"/>
    <x v="0"/>
    <x v="345"/>
    <x v="35"/>
    <x v="2152"/>
    <x v="26"/>
    <x v="461"/>
    <x v="1422"/>
    <x v="1683"/>
    <x v="2276"/>
    <x v="2276"/>
    <x v="2145"/>
    <x v="6"/>
    <x v="2262"/>
    <x v="2276"/>
    <x v="291"/>
    <x v="0"/>
    <x v="21"/>
    <x v="4"/>
    <x v="78"/>
    <x v="9"/>
    <x v="664"/>
    <x v="23"/>
    <x v="3"/>
    <x v="10"/>
  </r>
  <r>
    <x v="0"/>
    <x v="953"/>
    <x v="309"/>
    <x v="7"/>
    <x v="184"/>
    <x v="745"/>
    <x v="81"/>
    <x v="2153"/>
    <x v="251"/>
    <x v="628"/>
    <x v="1423"/>
    <x v="1684"/>
    <x v="2277"/>
    <x v="2277"/>
    <x v="455"/>
    <x v="0"/>
    <x v="2263"/>
    <x v="2277"/>
    <x v="507"/>
    <x v="0"/>
    <x v="4"/>
    <x v="0"/>
    <x v="134"/>
    <x v="17"/>
    <x v="607"/>
    <x v="5"/>
    <x v="1"/>
    <x v="1"/>
  </r>
  <r>
    <x v="0"/>
    <x v="802"/>
    <x v="459"/>
    <x v="101"/>
    <x v="195"/>
    <x v="44"/>
    <x v="0"/>
    <x v="2154"/>
    <x v="311"/>
    <x v="893"/>
    <x v="592"/>
    <x v="53"/>
    <x v="2278"/>
    <x v="2278"/>
    <x v="2146"/>
    <x v="2"/>
    <x v="2264"/>
    <x v="2278"/>
    <x v="452"/>
    <x v="0"/>
    <x v="0"/>
    <x v="4"/>
    <x v="78"/>
    <x v="8"/>
    <x v="120"/>
    <x v="43"/>
    <x v="1"/>
    <x v="417"/>
  </r>
  <r>
    <x v="0"/>
    <x v="954"/>
    <x v="280"/>
    <x v="39"/>
    <x v="86"/>
    <x v="750"/>
    <x v="0"/>
    <x v="2155"/>
    <x v="619"/>
    <x v="51"/>
    <x v="1424"/>
    <x v="1685"/>
    <x v="2279"/>
    <x v="2279"/>
    <x v="1740"/>
    <x v="1"/>
    <x v="2265"/>
    <x v="2279"/>
    <x v="492"/>
    <x v="0"/>
    <x v="1"/>
    <x v="4"/>
    <x v="70"/>
    <x v="15"/>
    <x v="158"/>
    <x v="38"/>
    <x v="10"/>
    <x v="418"/>
  </r>
  <r>
    <x v="0"/>
    <x v="955"/>
    <x v="399"/>
    <x v="11"/>
    <x v="47"/>
    <x v="380"/>
    <x v="0"/>
    <x v="2156"/>
    <x v="269"/>
    <x v="384"/>
    <x v="74"/>
    <x v="1197"/>
    <x v="2280"/>
    <x v="2280"/>
    <x v="2147"/>
    <x v="0"/>
    <x v="4"/>
    <x v="2280"/>
    <x v="138"/>
    <x v="0"/>
    <x v="12"/>
    <x v="0"/>
    <x v="78"/>
    <x v="2"/>
    <x v="30"/>
    <x v="38"/>
    <x v="1"/>
    <x v="61"/>
  </r>
  <r>
    <x v="0"/>
    <x v="471"/>
    <x v="292"/>
    <x v="77"/>
    <x v="0"/>
    <x v="80"/>
    <x v="57"/>
    <x v="2157"/>
    <x v="283"/>
    <x v="125"/>
    <x v="370"/>
    <x v="829"/>
    <x v="2281"/>
    <x v="2281"/>
    <x v="232"/>
    <x v="3"/>
    <x v="2266"/>
    <x v="2281"/>
    <x v="600"/>
    <x v="0"/>
    <x v="1"/>
    <x v="4"/>
    <x v="159"/>
    <x v="10"/>
    <x v="10"/>
    <x v="12"/>
    <x v="3"/>
    <x v="88"/>
  </r>
  <r>
    <x v="0"/>
    <x v="776"/>
    <x v="221"/>
    <x v="7"/>
    <x v="0"/>
    <x v="373"/>
    <x v="20"/>
    <x v="2158"/>
    <x v="620"/>
    <x v="21"/>
    <x v="1425"/>
    <x v="523"/>
    <x v="2282"/>
    <x v="2282"/>
    <x v="2148"/>
    <x v="0"/>
    <x v="2267"/>
    <x v="2282"/>
    <x v="300"/>
    <x v="0"/>
    <x v="0"/>
    <x v="4"/>
    <x v="200"/>
    <x v="7"/>
    <x v="249"/>
    <x v="1"/>
    <x v="3"/>
    <x v="1"/>
  </r>
  <r>
    <x v="0"/>
    <x v="77"/>
    <x v="410"/>
    <x v="38"/>
    <x v="61"/>
    <x v="285"/>
    <x v="11"/>
    <x v="2159"/>
    <x v="122"/>
    <x v="69"/>
    <x v="492"/>
    <x v="1686"/>
    <x v="2283"/>
    <x v="2283"/>
    <x v="2149"/>
    <x v="4"/>
    <x v="2268"/>
    <x v="2283"/>
    <x v="678"/>
    <x v="0"/>
    <x v="0"/>
    <x v="2"/>
    <x v="78"/>
    <x v="3"/>
    <x v="30"/>
    <x v="13"/>
    <x v="3"/>
    <x v="38"/>
  </r>
  <r>
    <x v="0"/>
    <x v="388"/>
    <x v="263"/>
    <x v="50"/>
    <x v="220"/>
    <x v="593"/>
    <x v="187"/>
    <x v="2160"/>
    <x v="577"/>
    <x v="894"/>
    <x v="1426"/>
    <x v="1687"/>
    <x v="2284"/>
    <x v="2284"/>
    <x v="2150"/>
    <x v="0"/>
    <x v="2269"/>
    <x v="2284"/>
    <x v="373"/>
    <x v="0"/>
    <x v="4"/>
    <x v="4"/>
    <x v="78"/>
    <x v="12"/>
    <x v="167"/>
    <x v="67"/>
    <x v="1"/>
    <x v="103"/>
  </r>
  <r>
    <x v="0"/>
    <x v="772"/>
    <x v="212"/>
    <x v="70"/>
    <x v="301"/>
    <x v="775"/>
    <x v="72"/>
    <x v="2161"/>
    <x v="502"/>
    <x v="128"/>
    <x v="1427"/>
    <x v="1688"/>
    <x v="2285"/>
    <x v="2285"/>
    <x v="1444"/>
    <x v="3"/>
    <x v="2270"/>
    <x v="2285"/>
    <x v="592"/>
    <x v="0"/>
    <x v="0"/>
    <x v="2"/>
    <x v="78"/>
    <x v="0"/>
    <x v="542"/>
    <x v="21"/>
    <x v="1"/>
    <x v="103"/>
  </r>
  <r>
    <x v="0"/>
    <x v="956"/>
    <x v="111"/>
    <x v="7"/>
    <x v="222"/>
    <x v="185"/>
    <x v="483"/>
    <x v="2162"/>
    <x v="260"/>
    <x v="895"/>
    <x v="298"/>
    <x v="1652"/>
    <x v="2286"/>
    <x v="2286"/>
    <x v="2151"/>
    <x v="1"/>
    <x v="2271"/>
    <x v="2286"/>
    <x v="336"/>
    <x v="0"/>
    <x v="0"/>
    <x v="4"/>
    <x v="78"/>
    <x v="14"/>
    <x v="588"/>
    <x v="9"/>
    <x v="3"/>
    <x v="1"/>
  </r>
  <r>
    <x v="0"/>
    <x v="957"/>
    <x v="113"/>
    <x v="31"/>
    <x v="266"/>
    <x v="331"/>
    <x v="0"/>
    <x v="2163"/>
    <x v="28"/>
    <x v="247"/>
    <x v="1428"/>
    <x v="445"/>
    <x v="2287"/>
    <x v="2287"/>
    <x v="2152"/>
    <x v="0"/>
    <x v="2272"/>
    <x v="2287"/>
    <x v="454"/>
    <x v="0"/>
    <x v="0"/>
    <x v="4"/>
    <x v="78"/>
    <x v="11"/>
    <x v="716"/>
    <x v="15"/>
    <x v="1"/>
    <x v="1"/>
  </r>
  <r>
    <x v="0"/>
    <x v="958"/>
    <x v="429"/>
    <x v="37"/>
    <x v="326"/>
    <x v="182"/>
    <x v="0"/>
    <x v="4"/>
    <x v="153"/>
    <x v="896"/>
    <x v="1105"/>
    <x v="1689"/>
    <x v="2288"/>
    <x v="2288"/>
    <x v="2153"/>
    <x v="0"/>
    <x v="2273"/>
    <x v="2288"/>
    <x v="386"/>
    <x v="0"/>
    <x v="4"/>
    <x v="4"/>
    <x v="78"/>
    <x v="8"/>
    <x v="413"/>
    <x v="12"/>
    <x v="1"/>
    <x v="419"/>
  </r>
  <r>
    <x v="0"/>
    <x v="959"/>
    <x v="414"/>
    <x v="73"/>
    <x v="174"/>
    <x v="777"/>
    <x v="457"/>
    <x v="2164"/>
    <x v="113"/>
    <x v="897"/>
    <x v="1429"/>
    <x v="1690"/>
    <x v="2289"/>
    <x v="2289"/>
    <x v="2154"/>
    <x v="0"/>
    <x v="2274"/>
    <x v="2289"/>
    <x v="727"/>
    <x v="0"/>
    <x v="0"/>
    <x v="0"/>
    <x v="78"/>
    <x v="8"/>
    <x v="332"/>
    <x v="15"/>
    <x v="1"/>
    <x v="1"/>
  </r>
  <r>
    <x v="1"/>
    <x v="960"/>
    <x v="99"/>
    <x v="24"/>
    <x v="215"/>
    <x v="707"/>
    <x v="29"/>
    <x v="2165"/>
    <x v="316"/>
    <x v="34"/>
    <x v="57"/>
    <x v="1691"/>
    <x v="2290"/>
    <x v="2290"/>
    <x v="2155"/>
    <x v="0"/>
    <x v="2275"/>
    <x v="2290"/>
    <x v="273"/>
    <x v="0"/>
    <x v="0"/>
    <x v="4"/>
    <x v="78"/>
    <x v="1"/>
    <x v="44"/>
    <x v="15"/>
    <x v="1"/>
    <x v="1"/>
  </r>
  <r>
    <x v="0"/>
    <x v="961"/>
    <x v="323"/>
    <x v="41"/>
    <x v="107"/>
    <x v="270"/>
    <x v="10"/>
    <x v="2166"/>
    <x v="3"/>
    <x v="10"/>
    <x v="259"/>
    <x v="1461"/>
    <x v="2291"/>
    <x v="2291"/>
    <x v="2156"/>
    <x v="3"/>
    <x v="2276"/>
    <x v="2291"/>
    <x v="277"/>
    <x v="0"/>
    <x v="0"/>
    <x v="0"/>
    <x v="78"/>
    <x v="3"/>
    <x v="44"/>
    <x v="41"/>
    <x v="1"/>
    <x v="1"/>
  </r>
  <r>
    <x v="0"/>
    <x v="692"/>
    <x v="499"/>
    <x v="37"/>
    <x v="0"/>
    <x v="338"/>
    <x v="43"/>
    <x v="2167"/>
    <x v="621"/>
    <x v="825"/>
    <x v="1368"/>
    <x v="1692"/>
    <x v="2292"/>
    <x v="2292"/>
    <x v="2157"/>
    <x v="2"/>
    <x v="2277"/>
    <x v="2292"/>
    <x v="715"/>
    <x v="0"/>
    <x v="0"/>
    <x v="0"/>
    <x v="78"/>
    <x v="8"/>
    <x v="572"/>
    <x v="8"/>
    <x v="1"/>
    <x v="1"/>
  </r>
  <r>
    <x v="0"/>
    <x v="962"/>
    <x v="114"/>
    <x v="23"/>
    <x v="0"/>
    <x v="559"/>
    <x v="13"/>
    <x v="2168"/>
    <x v="105"/>
    <x v="93"/>
    <x v="344"/>
    <x v="1693"/>
    <x v="2293"/>
    <x v="2293"/>
    <x v="2158"/>
    <x v="0"/>
    <x v="2278"/>
    <x v="2293"/>
    <x v="459"/>
    <x v="0"/>
    <x v="0"/>
    <x v="4"/>
    <x v="175"/>
    <x v="8"/>
    <x v="30"/>
    <x v="7"/>
    <x v="1"/>
    <x v="38"/>
  </r>
  <r>
    <x v="0"/>
    <x v="656"/>
    <x v="215"/>
    <x v="90"/>
    <x v="280"/>
    <x v="331"/>
    <x v="442"/>
    <x v="2169"/>
    <x v="518"/>
    <x v="802"/>
    <x v="102"/>
    <x v="613"/>
    <x v="2294"/>
    <x v="2294"/>
    <x v="807"/>
    <x v="0"/>
    <x v="2279"/>
    <x v="2294"/>
    <x v="846"/>
    <x v="2"/>
    <x v="7"/>
    <x v="0"/>
    <x v="201"/>
    <x v="13"/>
    <x v="72"/>
    <x v="26"/>
    <x v="3"/>
    <x v="59"/>
  </r>
  <r>
    <x v="1"/>
    <x v="651"/>
    <x v="474"/>
    <x v="37"/>
    <x v="188"/>
    <x v="118"/>
    <x v="484"/>
    <x v="2170"/>
    <x v="622"/>
    <x v="898"/>
    <x v="1430"/>
    <x v="1694"/>
    <x v="2295"/>
    <x v="2295"/>
    <x v="2159"/>
    <x v="7"/>
    <x v="2280"/>
    <x v="2295"/>
    <x v="327"/>
    <x v="3"/>
    <x v="10"/>
    <x v="0"/>
    <x v="78"/>
    <x v="17"/>
    <x v="86"/>
    <x v="8"/>
    <x v="1"/>
    <x v="420"/>
  </r>
  <r>
    <x v="0"/>
    <x v="963"/>
    <x v="396"/>
    <x v="23"/>
    <x v="74"/>
    <x v="2"/>
    <x v="485"/>
    <x v="2171"/>
    <x v="623"/>
    <x v="899"/>
    <x v="1431"/>
    <x v="1695"/>
    <x v="2296"/>
    <x v="2296"/>
    <x v="2160"/>
    <x v="0"/>
    <x v="2281"/>
    <x v="2296"/>
    <x v="169"/>
    <x v="0"/>
    <x v="0"/>
    <x v="2"/>
    <x v="78"/>
    <x v="35"/>
    <x v="216"/>
    <x v="33"/>
    <x v="1"/>
    <x v="103"/>
  </r>
  <r>
    <x v="0"/>
    <x v="837"/>
    <x v="188"/>
    <x v="27"/>
    <x v="309"/>
    <x v="185"/>
    <x v="0"/>
    <x v="2172"/>
    <x v="604"/>
    <x v="167"/>
    <x v="267"/>
    <x v="1652"/>
    <x v="2297"/>
    <x v="2297"/>
    <x v="680"/>
    <x v="1"/>
    <x v="2282"/>
    <x v="2297"/>
    <x v="423"/>
    <x v="0"/>
    <x v="5"/>
    <x v="4"/>
    <x v="126"/>
    <x v="12"/>
    <x v="34"/>
    <x v="38"/>
    <x v="1"/>
    <x v="1"/>
  </r>
  <r>
    <x v="0"/>
    <x v="964"/>
    <x v="434"/>
    <x v="34"/>
    <x v="125"/>
    <x v="369"/>
    <x v="35"/>
    <x v="2173"/>
    <x v="122"/>
    <x v="900"/>
    <x v="1432"/>
    <x v="1696"/>
    <x v="2298"/>
    <x v="2298"/>
    <x v="2161"/>
    <x v="2"/>
    <x v="2283"/>
    <x v="2298"/>
    <x v="822"/>
    <x v="0"/>
    <x v="0"/>
    <x v="2"/>
    <x v="78"/>
    <x v="2"/>
    <x v="439"/>
    <x v="15"/>
    <x v="1"/>
    <x v="1"/>
  </r>
  <r>
    <x v="0"/>
    <x v="835"/>
    <x v="419"/>
    <x v="110"/>
    <x v="308"/>
    <x v="763"/>
    <x v="276"/>
    <x v="2174"/>
    <x v="430"/>
    <x v="901"/>
    <x v="1273"/>
    <x v="1624"/>
    <x v="2299"/>
    <x v="2299"/>
    <x v="2162"/>
    <x v="4"/>
    <x v="2284"/>
    <x v="2299"/>
    <x v="421"/>
    <x v="0"/>
    <x v="0"/>
    <x v="4"/>
    <x v="78"/>
    <x v="17"/>
    <x v="196"/>
    <x v="66"/>
    <x v="3"/>
    <x v="421"/>
  </r>
  <r>
    <x v="0"/>
    <x v="722"/>
    <x v="265"/>
    <x v="86"/>
    <x v="291"/>
    <x v="226"/>
    <x v="29"/>
    <x v="2175"/>
    <x v="102"/>
    <x v="34"/>
    <x v="1248"/>
    <x v="1697"/>
    <x v="2300"/>
    <x v="2300"/>
    <x v="2163"/>
    <x v="4"/>
    <x v="2285"/>
    <x v="2300"/>
    <x v="847"/>
    <x v="0"/>
    <x v="0"/>
    <x v="4"/>
    <x v="78"/>
    <x v="19"/>
    <x v="485"/>
    <x v="7"/>
    <x v="1"/>
    <x v="35"/>
  </r>
  <r>
    <x v="0"/>
    <x v="150"/>
    <x v="334"/>
    <x v="31"/>
    <x v="111"/>
    <x v="621"/>
    <x v="473"/>
    <x v="2176"/>
    <x v="269"/>
    <x v="416"/>
    <x v="1433"/>
    <x v="1698"/>
    <x v="2301"/>
    <x v="2301"/>
    <x v="2164"/>
    <x v="2"/>
    <x v="2286"/>
    <x v="2301"/>
    <x v="631"/>
    <x v="0"/>
    <x v="5"/>
    <x v="4"/>
    <x v="88"/>
    <x v="8"/>
    <x v="689"/>
    <x v="1"/>
    <x v="1"/>
    <x v="103"/>
  </r>
  <r>
    <x v="0"/>
    <x v="761"/>
    <x v="197"/>
    <x v="69"/>
    <x v="296"/>
    <x v="728"/>
    <x v="123"/>
    <x v="2177"/>
    <x v="368"/>
    <x v="233"/>
    <x v="1009"/>
    <x v="1459"/>
    <x v="2302"/>
    <x v="2302"/>
    <x v="2165"/>
    <x v="4"/>
    <x v="2287"/>
    <x v="2302"/>
    <x v="460"/>
    <x v="0"/>
    <x v="0"/>
    <x v="4"/>
    <x v="151"/>
    <x v="21"/>
    <x v="30"/>
    <x v="21"/>
    <x v="1"/>
    <x v="252"/>
  </r>
  <r>
    <x v="0"/>
    <x v="965"/>
    <x v="419"/>
    <x v="76"/>
    <x v="69"/>
    <x v="319"/>
    <x v="33"/>
    <x v="2178"/>
    <x v="563"/>
    <x v="149"/>
    <x v="1434"/>
    <x v="1699"/>
    <x v="2303"/>
    <x v="2303"/>
    <x v="2166"/>
    <x v="0"/>
    <x v="2288"/>
    <x v="2303"/>
    <x v="536"/>
    <x v="0"/>
    <x v="0"/>
    <x v="3"/>
    <x v="78"/>
    <x v="3"/>
    <x v="717"/>
    <x v="10"/>
    <x v="2"/>
    <x v="422"/>
  </r>
  <r>
    <x v="0"/>
    <x v="325"/>
    <x v="333"/>
    <x v="40"/>
    <x v="201"/>
    <x v="719"/>
    <x v="2"/>
    <x v="2179"/>
    <x v="17"/>
    <x v="75"/>
    <x v="98"/>
    <x v="1700"/>
    <x v="2304"/>
    <x v="2304"/>
    <x v="2167"/>
    <x v="0"/>
    <x v="2289"/>
    <x v="2304"/>
    <x v="666"/>
    <x v="0"/>
    <x v="0"/>
    <x v="4"/>
    <x v="70"/>
    <x v="2"/>
    <x v="6"/>
    <x v="43"/>
    <x v="1"/>
    <x v="1"/>
  </r>
  <r>
    <x v="0"/>
    <x v="966"/>
    <x v="353"/>
    <x v="33"/>
    <x v="266"/>
    <x v="760"/>
    <x v="486"/>
    <x v="2180"/>
    <x v="624"/>
    <x v="902"/>
    <x v="64"/>
    <x v="1701"/>
    <x v="2305"/>
    <x v="2305"/>
    <x v="2168"/>
    <x v="1"/>
    <x v="2290"/>
    <x v="2305"/>
    <x v="167"/>
    <x v="2"/>
    <x v="7"/>
    <x v="0"/>
    <x v="202"/>
    <x v="14"/>
    <x v="49"/>
    <x v="8"/>
    <x v="3"/>
    <x v="423"/>
  </r>
  <r>
    <x v="0"/>
    <x v="967"/>
    <x v="152"/>
    <x v="59"/>
    <x v="73"/>
    <x v="373"/>
    <x v="11"/>
    <x v="2181"/>
    <x v="184"/>
    <x v="69"/>
    <x v="1089"/>
    <x v="1702"/>
    <x v="2306"/>
    <x v="2306"/>
    <x v="283"/>
    <x v="0"/>
    <x v="2291"/>
    <x v="2306"/>
    <x v="835"/>
    <x v="0"/>
    <x v="0"/>
    <x v="2"/>
    <x v="78"/>
    <x v="12"/>
    <x v="184"/>
    <x v="5"/>
    <x v="1"/>
    <x v="234"/>
  </r>
  <r>
    <x v="0"/>
    <x v="968"/>
    <x v="321"/>
    <x v="59"/>
    <x v="263"/>
    <x v="704"/>
    <x v="186"/>
    <x v="2182"/>
    <x v="625"/>
    <x v="350"/>
    <x v="489"/>
    <x v="11"/>
    <x v="2307"/>
    <x v="2307"/>
    <x v="2169"/>
    <x v="4"/>
    <x v="2292"/>
    <x v="2307"/>
    <x v="450"/>
    <x v="0"/>
    <x v="0"/>
    <x v="4"/>
    <x v="4"/>
    <x v="5"/>
    <x v="9"/>
    <x v="22"/>
    <x v="3"/>
    <x v="1"/>
  </r>
  <r>
    <x v="0"/>
    <x v="53"/>
    <x v="435"/>
    <x v="86"/>
    <x v="38"/>
    <x v="371"/>
    <x v="487"/>
    <x v="2183"/>
    <x v="227"/>
    <x v="903"/>
    <x v="336"/>
    <x v="521"/>
    <x v="2308"/>
    <x v="2308"/>
    <x v="2170"/>
    <x v="1"/>
    <x v="2293"/>
    <x v="2308"/>
    <x v="719"/>
    <x v="0"/>
    <x v="0"/>
    <x v="4"/>
    <x v="78"/>
    <x v="24"/>
    <x v="226"/>
    <x v="21"/>
    <x v="1"/>
    <x v="424"/>
  </r>
  <r>
    <x v="0"/>
    <x v="937"/>
    <x v="383"/>
    <x v="107"/>
    <x v="0"/>
    <x v="708"/>
    <x v="488"/>
    <x v="2184"/>
    <x v="207"/>
    <x v="904"/>
    <x v="1435"/>
    <x v="1703"/>
    <x v="2309"/>
    <x v="2309"/>
    <x v="2171"/>
    <x v="1"/>
    <x v="2294"/>
    <x v="2309"/>
    <x v="421"/>
    <x v="13"/>
    <x v="14"/>
    <x v="2"/>
    <x v="4"/>
    <x v="8"/>
    <x v="585"/>
    <x v="12"/>
    <x v="1"/>
    <x v="103"/>
  </r>
  <r>
    <x v="0"/>
    <x v="583"/>
    <x v="385"/>
    <x v="34"/>
    <x v="193"/>
    <x v="660"/>
    <x v="489"/>
    <x v="2185"/>
    <x v="626"/>
    <x v="905"/>
    <x v="1436"/>
    <x v="1704"/>
    <x v="2310"/>
    <x v="2310"/>
    <x v="2172"/>
    <x v="0"/>
    <x v="2295"/>
    <x v="2310"/>
    <x v="655"/>
    <x v="3"/>
    <x v="10"/>
    <x v="1"/>
    <x v="23"/>
    <x v="20"/>
    <x v="718"/>
    <x v="19"/>
    <x v="1"/>
    <x v="425"/>
  </r>
  <r>
    <x v="0"/>
    <x v="620"/>
    <x v="291"/>
    <x v="86"/>
    <x v="125"/>
    <x v="412"/>
    <x v="490"/>
    <x v="2186"/>
    <x v="627"/>
    <x v="906"/>
    <x v="1437"/>
    <x v="874"/>
    <x v="2311"/>
    <x v="2311"/>
    <x v="2173"/>
    <x v="1"/>
    <x v="2296"/>
    <x v="2311"/>
    <x v="678"/>
    <x v="0"/>
    <x v="0"/>
    <x v="0"/>
    <x v="78"/>
    <x v="5"/>
    <x v="29"/>
    <x v="37"/>
    <x v="1"/>
    <x v="1"/>
  </r>
  <r>
    <x v="0"/>
    <x v="969"/>
    <x v="372"/>
    <x v="7"/>
    <x v="221"/>
    <x v="227"/>
    <x v="21"/>
    <x v="2187"/>
    <x v="241"/>
    <x v="210"/>
    <x v="391"/>
    <x v="1705"/>
    <x v="2312"/>
    <x v="2312"/>
    <x v="2174"/>
    <x v="3"/>
    <x v="2297"/>
    <x v="2312"/>
    <x v="671"/>
    <x v="0"/>
    <x v="0"/>
    <x v="4"/>
    <x v="134"/>
    <x v="19"/>
    <x v="262"/>
    <x v="34"/>
    <x v="3"/>
    <x v="426"/>
  </r>
  <r>
    <x v="0"/>
    <x v="113"/>
    <x v="4"/>
    <x v="119"/>
    <x v="88"/>
    <x v="777"/>
    <x v="187"/>
    <x v="4"/>
    <x v="463"/>
    <x v="907"/>
    <x v="1438"/>
    <x v="1706"/>
    <x v="2313"/>
    <x v="2313"/>
    <x v="968"/>
    <x v="2"/>
    <x v="4"/>
    <x v="2313"/>
    <x v="4"/>
    <x v="0"/>
    <x v="1"/>
    <x v="1"/>
    <x v="4"/>
    <x v="4"/>
    <x v="604"/>
    <x v="13"/>
    <x v="2"/>
    <x v="1"/>
  </r>
  <r>
    <x v="0"/>
    <x v="508"/>
    <x v="358"/>
    <x v="47"/>
    <x v="152"/>
    <x v="775"/>
    <x v="22"/>
    <x v="2188"/>
    <x v="196"/>
    <x v="153"/>
    <x v="943"/>
    <x v="1707"/>
    <x v="2314"/>
    <x v="2314"/>
    <x v="2175"/>
    <x v="4"/>
    <x v="2298"/>
    <x v="2314"/>
    <x v="225"/>
    <x v="0"/>
    <x v="0"/>
    <x v="0"/>
    <x v="78"/>
    <x v="5"/>
    <x v="201"/>
    <x v="28"/>
    <x v="1"/>
    <x v="1"/>
  </r>
  <r>
    <x v="0"/>
    <x v="315"/>
    <x v="321"/>
    <x v="11"/>
    <x v="197"/>
    <x v="78"/>
    <x v="123"/>
    <x v="2189"/>
    <x v="171"/>
    <x v="341"/>
    <x v="1439"/>
    <x v="1386"/>
    <x v="2315"/>
    <x v="2315"/>
    <x v="2176"/>
    <x v="1"/>
    <x v="2299"/>
    <x v="2315"/>
    <x v="496"/>
    <x v="0"/>
    <x v="13"/>
    <x v="4"/>
    <x v="4"/>
    <x v="2"/>
    <x v="719"/>
    <x v="20"/>
    <x v="1"/>
    <x v="1"/>
  </r>
  <r>
    <x v="0"/>
    <x v="970"/>
    <x v="4"/>
    <x v="148"/>
    <x v="80"/>
    <x v="636"/>
    <x v="351"/>
    <x v="4"/>
    <x v="628"/>
    <x v="908"/>
    <x v="1440"/>
    <x v="1708"/>
    <x v="2316"/>
    <x v="2316"/>
    <x v="2177"/>
    <x v="0"/>
    <x v="2300"/>
    <x v="2316"/>
    <x v="4"/>
    <x v="0"/>
    <x v="0"/>
    <x v="1"/>
    <x v="203"/>
    <x v="1"/>
    <x v="677"/>
    <x v="31"/>
    <x v="3"/>
    <x v="427"/>
  </r>
  <r>
    <x v="0"/>
    <x v="338"/>
    <x v="207"/>
    <x v="58"/>
    <x v="123"/>
    <x v="57"/>
    <x v="491"/>
    <x v="4"/>
    <x v="71"/>
    <x v="909"/>
    <x v="1441"/>
    <x v="1709"/>
    <x v="2317"/>
    <x v="2317"/>
    <x v="2178"/>
    <x v="3"/>
    <x v="2301"/>
    <x v="2317"/>
    <x v="654"/>
    <x v="4"/>
    <x v="9"/>
    <x v="4"/>
    <x v="131"/>
    <x v="8"/>
    <x v="421"/>
    <x v="5"/>
    <x v="1"/>
    <x v="287"/>
  </r>
  <r>
    <x v="0"/>
    <x v="971"/>
    <x v="207"/>
    <x v="42"/>
    <x v="78"/>
    <x v="432"/>
    <x v="11"/>
    <x v="4"/>
    <x v="168"/>
    <x v="69"/>
    <x v="1442"/>
    <x v="630"/>
    <x v="2318"/>
    <x v="2318"/>
    <x v="2179"/>
    <x v="1"/>
    <x v="2302"/>
    <x v="2318"/>
    <x v="173"/>
    <x v="0"/>
    <x v="1"/>
    <x v="4"/>
    <x v="78"/>
    <x v="1"/>
    <x v="720"/>
    <x v="10"/>
    <x v="1"/>
    <x v="1"/>
  </r>
  <r>
    <x v="0"/>
    <x v="972"/>
    <x v="347"/>
    <x v="105"/>
    <x v="0"/>
    <x v="697"/>
    <x v="25"/>
    <x v="4"/>
    <x v="29"/>
    <x v="194"/>
    <x v="1111"/>
    <x v="1710"/>
    <x v="2319"/>
    <x v="2319"/>
    <x v="2180"/>
    <x v="0"/>
    <x v="2303"/>
    <x v="2319"/>
    <x v="744"/>
    <x v="0"/>
    <x v="26"/>
    <x v="3"/>
    <x v="78"/>
    <x v="3"/>
    <x v="180"/>
    <x v="27"/>
    <x v="0"/>
    <x v="103"/>
  </r>
  <r>
    <x v="0"/>
    <x v="973"/>
    <x v="412"/>
    <x v="9"/>
    <x v="0"/>
    <x v="321"/>
    <x v="492"/>
    <x v="4"/>
    <x v="406"/>
    <x v="910"/>
    <x v="1443"/>
    <x v="1711"/>
    <x v="2320"/>
    <x v="2320"/>
    <x v="844"/>
    <x v="0"/>
    <x v="2304"/>
    <x v="2320"/>
    <x v="326"/>
    <x v="0"/>
    <x v="16"/>
    <x v="1"/>
    <x v="4"/>
    <x v="11"/>
    <x v="721"/>
    <x v="15"/>
    <x v="1"/>
    <x v="428"/>
  </r>
  <r>
    <x v="0"/>
    <x v="974"/>
    <x v="412"/>
    <x v="42"/>
    <x v="216"/>
    <x v="778"/>
    <x v="493"/>
    <x v="4"/>
    <x v="629"/>
    <x v="911"/>
    <x v="1444"/>
    <x v="1712"/>
    <x v="2321"/>
    <x v="2321"/>
    <x v="2181"/>
    <x v="2"/>
    <x v="2305"/>
    <x v="2321"/>
    <x v="416"/>
    <x v="0"/>
    <x v="0"/>
    <x v="2"/>
    <x v="78"/>
    <x v="11"/>
    <x v="722"/>
    <x v="30"/>
    <x v="2"/>
    <x v="429"/>
  </r>
  <r>
    <x v="0"/>
    <x v="975"/>
    <x v="4"/>
    <x v="72"/>
    <x v="80"/>
    <x v="540"/>
    <x v="13"/>
    <x v="4"/>
    <x v="462"/>
    <x v="158"/>
    <x v="1082"/>
    <x v="834"/>
    <x v="2322"/>
    <x v="2322"/>
    <x v="2182"/>
    <x v="0"/>
    <x v="2306"/>
    <x v="2322"/>
    <x v="326"/>
    <x v="0"/>
    <x v="34"/>
    <x v="4"/>
    <x v="78"/>
    <x v="6"/>
    <x v="12"/>
    <x v="13"/>
    <x v="2"/>
    <x v="1"/>
  </r>
  <r>
    <x v="0"/>
    <x v="446"/>
    <x v="272"/>
    <x v="45"/>
    <x v="101"/>
    <x v="494"/>
    <x v="21"/>
    <x v="4"/>
    <x v="23"/>
    <x v="174"/>
    <x v="530"/>
    <x v="1713"/>
    <x v="2323"/>
    <x v="2323"/>
    <x v="2183"/>
    <x v="4"/>
    <x v="2307"/>
    <x v="2323"/>
    <x v="420"/>
    <x v="0"/>
    <x v="0"/>
    <x v="0"/>
    <x v="78"/>
    <x v="2"/>
    <x v="30"/>
    <x v="23"/>
    <x v="1"/>
    <x v="1"/>
  </r>
  <r>
    <x v="0"/>
    <x v="976"/>
    <x v="293"/>
    <x v="72"/>
    <x v="184"/>
    <x v="540"/>
    <x v="25"/>
    <x v="4"/>
    <x v="171"/>
    <x v="76"/>
    <x v="535"/>
    <x v="1714"/>
    <x v="2324"/>
    <x v="2324"/>
    <x v="2184"/>
    <x v="3"/>
    <x v="2308"/>
    <x v="2324"/>
    <x v="431"/>
    <x v="0"/>
    <x v="0"/>
    <x v="4"/>
    <x v="204"/>
    <x v="9"/>
    <x v="674"/>
    <x v="21"/>
    <x v="1"/>
    <x v="59"/>
  </r>
  <r>
    <x v="0"/>
    <x v="888"/>
    <x v="262"/>
    <x v="31"/>
    <x v="171"/>
    <x v="321"/>
    <x v="35"/>
    <x v="2190"/>
    <x v="17"/>
    <x v="112"/>
    <x v="1445"/>
    <x v="1715"/>
    <x v="2325"/>
    <x v="2325"/>
    <x v="2185"/>
    <x v="0"/>
    <x v="2309"/>
    <x v="2325"/>
    <x v="570"/>
    <x v="4"/>
    <x v="9"/>
    <x v="0"/>
    <x v="205"/>
    <x v="7"/>
    <x v="563"/>
    <x v="7"/>
    <x v="1"/>
    <x v="1"/>
  </r>
  <r>
    <x v="0"/>
    <x v="880"/>
    <x v="202"/>
    <x v="65"/>
    <x v="116"/>
    <x v="712"/>
    <x v="494"/>
    <x v="2191"/>
    <x v="517"/>
    <x v="912"/>
    <x v="1446"/>
    <x v="1716"/>
    <x v="2326"/>
    <x v="2326"/>
    <x v="2186"/>
    <x v="4"/>
    <x v="2310"/>
    <x v="2326"/>
    <x v="472"/>
    <x v="15"/>
    <x v="8"/>
    <x v="4"/>
    <x v="78"/>
    <x v="8"/>
    <x v="723"/>
    <x v="38"/>
    <x v="3"/>
    <x v="1"/>
  </r>
  <r>
    <x v="0"/>
    <x v="260"/>
    <x v="358"/>
    <x v="155"/>
    <x v="0"/>
    <x v="336"/>
    <x v="142"/>
    <x v="2192"/>
    <x v="414"/>
    <x v="913"/>
    <x v="1447"/>
    <x v="543"/>
    <x v="2327"/>
    <x v="2327"/>
    <x v="2187"/>
    <x v="1"/>
    <x v="2311"/>
    <x v="2327"/>
    <x v="696"/>
    <x v="0"/>
    <x v="0"/>
    <x v="0"/>
    <x v="134"/>
    <x v="22"/>
    <x v="533"/>
    <x v="25"/>
    <x v="1"/>
    <x v="1"/>
  </r>
  <r>
    <x v="0"/>
    <x v="561"/>
    <x v="87"/>
    <x v="55"/>
    <x v="79"/>
    <x v="59"/>
    <x v="22"/>
    <x v="2193"/>
    <x v="125"/>
    <x v="77"/>
    <x v="641"/>
    <x v="73"/>
    <x v="2328"/>
    <x v="2328"/>
    <x v="2188"/>
    <x v="0"/>
    <x v="2312"/>
    <x v="2328"/>
    <x v="495"/>
    <x v="0"/>
    <x v="0"/>
    <x v="4"/>
    <x v="78"/>
    <x v="10"/>
    <x v="399"/>
    <x v="20"/>
    <x v="3"/>
    <x v="37"/>
  </r>
  <r>
    <x v="0"/>
    <x v="377"/>
    <x v="425"/>
    <x v="18"/>
    <x v="184"/>
    <x v="274"/>
    <x v="21"/>
    <x v="2194"/>
    <x v="171"/>
    <x v="210"/>
    <x v="97"/>
    <x v="727"/>
    <x v="2329"/>
    <x v="2329"/>
    <x v="2189"/>
    <x v="1"/>
    <x v="2313"/>
    <x v="2329"/>
    <x v="137"/>
    <x v="0"/>
    <x v="0"/>
    <x v="4"/>
    <x v="166"/>
    <x v="30"/>
    <x v="70"/>
    <x v="2"/>
    <x v="3"/>
    <x v="1"/>
  </r>
  <r>
    <x v="0"/>
    <x v="977"/>
    <x v="474"/>
    <x v="54"/>
    <x v="5"/>
    <x v="711"/>
    <x v="0"/>
    <x v="2195"/>
    <x v="215"/>
    <x v="914"/>
    <x v="959"/>
    <x v="1717"/>
    <x v="2330"/>
    <x v="2330"/>
    <x v="2190"/>
    <x v="4"/>
    <x v="2314"/>
    <x v="2330"/>
    <x v="423"/>
    <x v="0"/>
    <x v="0"/>
    <x v="2"/>
    <x v="78"/>
    <x v="14"/>
    <x v="82"/>
    <x v="18"/>
    <x v="3"/>
    <x v="1"/>
  </r>
  <r>
    <x v="0"/>
    <x v="548"/>
    <x v="354"/>
    <x v="33"/>
    <x v="0"/>
    <x v="164"/>
    <x v="117"/>
    <x v="2196"/>
    <x v="364"/>
    <x v="915"/>
    <x v="1448"/>
    <x v="1718"/>
    <x v="2331"/>
    <x v="2331"/>
    <x v="2191"/>
    <x v="0"/>
    <x v="2315"/>
    <x v="2331"/>
    <x v="848"/>
    <x v="0"/>
    <x v="0"/>
    <x v="4"/>
    <x v="159"/>
    <x v="25"/>
    <x v="259"/>
    <x v="13"/>
    <x v="1"/>
    <x v="59"/>
  </r>
  <r>
    <x v="0"/>
    <x v="917"/>
    <x v="290"/>
    <x v="43"/>
    <x v="184"/>
    <x v="671"/>
    <x v="0"/>
    <x v="2197"/>
    <x v="429"/>
    <x v="602"/>
    <x v="1201"/>
    <x v="1216"/>
    <x v="2332"/>
    <x v="2332"/>
    <x v="2192"/>
    <x v="0"/>
    <x v="2316"/>
    <x v="2332"/>
    <x v="849"/>
    <x v="0"/>
    <x v="0"/>
    <x v="4"/>
    <x v="78"/>
    <x v="18"/>
    <x v="66"/>
    <x v="34"/>
    <x v="8"/>
    <x v="1"/>
  </r>
  <r>
    <x v="0"/>
    <x v="328"/>
    <x v="268"/>
    <x v="75"/>
    <x v="0"/>
    <x v="118"/>
    <x v="495"/>
    <x v="4"/>
    <x v="630"/>
    <x v="916"/>
    <x v="1449"/>
    <x v="1719"/>
    <x v="2333"/>
    <x v="2333"/>
    <x v="2193"/>
    <x v="0"/>
    <x v="2317"/>
    <x v="2333"/>
    <x v="850"/>
    <x v="0"/>
    <x v="0"/>
    <x v="4"/>
    <x v="166"/>
    <x v="35"/>
    <x v="434"/>
    <x v="26"/>
    <x v="15"/>
    <x v="40"/>
  </r>
  <r>
    <x v="0"/>
    <x v="43"/>
    <x v="204"/>
    <x v="38"/>
    <x v="0"/>
    <x v="51"/>
    <x v="0"/>
    <x v="2198"/>
    <x v="145"/>
    <x v="307"/>
    <x v="1450"/>
    <x v="1720"/>
    <x v="2334"/>
    <x v="2334"/>
    <x v="2194"/>
    <x v="0"/>
    <x v="2318"/>
    <x v="2334"/>
    <x v="851"/>
    <x v="0"/>
    <x v="0"/>
    <x v="2"/>
    <x v="166"/>
    <x v="39"/>
    <x v="497"/>
    <x v="3"/>
    <x v="17"/>
    <x v="36"/>
  </r>
  <r>
    <x v="0"/>
    <x v="578"/>
    <x v="304"/>
    <x v="41"/>
    <x v="19"/>
    <x v="678"/>
    <x v="482"/>
    <x v="2199"/>
    <x v="236"/>
    <x v="917"/>
    <x v="630"/>
    <x v="1592"/>
    <x v="2335"/>
    <x v="2335"/>
    <x v="2195"/>
    <x v="0"/>
    <x v="2319"/>
    <x v="2335"/>
    <x v="852"/>
    <x v="0"/>
    <x v="0"/>
    <x v="4"/>
    <x v="166"/>
    <x v="15"/>
    <x v="393"/>
    <x v="23"/>
    <x v="15"/>
    <x v="1"/>
  </r>
  <r>
    <x v="0"/>
    <x v="795"/>
    <x v="413"/>
    <x v="18"/>
    <x v="0"/>
    <x v="102"/>
    <x v="287"/>
    <x v="2200"/>
    <x v="200"/>
    <x v="918"/>
    <x v="1451"/>
    <x v="1721"/>
    <x v="2336"/>
    <x v="2336"/>
    <x v="2196"/>
    <x v="5"/>
    <x v="2320"/>
    <x v="2336"/>
    <x v="247"/>
    <x v="0"/>
    <x v="0"/>
    <x v="0"/>
    <x v="185"/>
    <x v="0"/>
    <x v="73"/>
    <x v="54"/>
    <x v="3"/>
    <x v="103"/>
  </r>
  <r>
    <x v="0"/>
    <x v="978"/>
    <x v="489"/>
    <x v="78"/>
    <x v="142"/>
    <x v="552"/>
    <x v="389"/>
    <x v="4"/>
    <x v="54"/>
    <x v="919"/>
    <x v="1452"/>
    <x v="1722"/>
    <x v="2337"/>
    <x v="2337"/>
    <x v="2197"/>
    <x v="2"/>
    <x v="4"/>
    <x v="2337"/>
    <x v="843"/>
    <x v="0"/>
    <x v="0"/>
    <x v="1"/>
    <x v="146"/>
    <x v="6"/>
    <x v="649"/>
    <x v="40"/>
    <x v="2"/>
    <x v="103"/>
  </r>
  <r>
    <x v="0"/>
    <x v="343"/>
    <x v="198"/>
    <x v="59"/>
    <x v="193"/>
    <x v="292"/>
    <x v="46"/>
    <x v="2201"/>
    <x v="105"/>
    <x v="208"/>
    <x v="820"/>
    <x v="1723"/>
    <x v="2338"/>
    <x v="2338"/>
    <x v="2198"/>
    <x v="4"/>
    <x v="2321"/>
    <x v="2338"/>
    <x v="452"/>
    <x v="0"/>
    <x v="0"/>
    <x v="0"/>
    <x v="166"/>
    <x v="5"/>
    <x v="481"/>
    <x v="9"/>
    <x v="1"/>
    <x v="1"/>
  </r>
  <r>
    <x v="0"/>
    <x v="80"/>
    <x v="241"/>
    <x v="54"/>
    <x v="63"/>
    <x v="779"/>
    <x v="496"/>
    <x v="2202"/>
    <x v="127"/>
    <x v="920"/>
    <x v="1453"/>
    <x v="1724"/>
    <x v="2339"/>
    <x v="2339"/>
    <x v="2199"/>
    <x v="4"/>
    <x v="2322"/>
    <x v="2339"/>
    <x v="49"/>
    <x v="0"/>
    <x v="0"/>
    <x v="0"/>
    <x v="135"/>
    <x v="17"/>
    <x v="115"/>
    <x v="28"/>
    <x v="3"/>
    <x v="1"/>
  </r>
  <r>
    <x v="0"/>
    <x v="98"/>
    <x v="111"/>
    <x v="56"/>
    <x v="76"/>
    <x v="282"/>
    <x v="466"/>
    <x v="2203"/>
    <x v="283"/>
    <x v="921"/>
    <x v="143"/>
    <x v="1725"/>
    <x v="2340"/>
    <x v="2340"/>
    <x v="2200"/>
    <x v="1"/>
    <x v="2323"/>
    <x v="2340"/>
    <x v="310"/>
    <x v="0"/>
    <x v="6"/>
    <x v="4"/>
    <x v="159"/>
    <x v="10"/>
    <x v="13"/>
    <x v="1"/>
    <x v="1"/>
    <x v="57"/>
  </r>
  <r>
    <x v="0"/>
    <x v="113"/>
    <x v="4"/>
    <x v="116"/>
    <x v="88"/>
    <x v="603"/>
    <x v="497"/>
    <x v="4"/>
    <x v="631"/>
    <x v="922"/>
    <x v="1454"/>
    <x v="1726"/>
    <x v="2341"/>
    <x v="2341"/>
    <x v="2160"/>
    <x v="1"/>
    <x v="2324"/>
    <x v="2341"/>
    <x v="4"/>
    <x v="0"/>
    <x v="2"/>
    <x v="5"/>
    <x v="4"/>
    <x v="4"/>
    <x v="724"/>
    <x v="4"/>
    <x v="8"/>
    <x v="1"/>
  </r>
  <r>
    <x v="0"/>
    <x v="979"/>
    <x v="276"/>
    <x v="79"/>
    <x v="216"/>
    <x v="160"/>
    <x v="0"/>
    <x v="2204"/>
    <x v="192"/>
    <x v="711"/>
    <x v="1455"/>
    <x v="196"/>
    <x v="2342"/>
    <x v="2342"/>
    <x v="2201"/>
    <x v="1"/>
    <x v="2325"/>
    <x v="2342"/>
    <x v="119"/>
    <x v="0"/>
    <x v="1"/>
    <x v="3"/>
    <x v="166"/>
    <x v="21"/>
    <x v="680"/>
    <x v="57"/>
    <x v="3"/>
    <x v="231"/>
  </r>
  <r>
    <x v="0"/>
    <x v="108"/>
    <x v="250"/>
    <x v="59"/>
    <x v="74"/>
    <x v="619"/>
    <x v="473"/>
    <x v="2205"/>
    <x v="381"/>
    <x v="416"/>
    <x v="759"/>
    <x v="1040"/>
    <x v="2343"/>
    <x v="2343"/>
    <x v="2064"/>
    <x v="0"/>
    <x v="2326"/>
    <x v="2343"/>
    <x v="521"/>
    <x v="0"/>
    <x v="0"/>
    <x v="4"/>
    <x v="78"/>
    <x v="5"/>
    <x v="456"/>
    <x v="12"/>
    <x v="1"/>
    <x v="1"/>
  </r>
  <r>
    <x v="0"/>
    <x v="656"/>
    <x v="161"/>
    <x v="31"/>
    <x v="280"/>
    <x v="321"/>
    <x v="498"/>
    <x v="2206"/>
    <x v="45"/>
    <x v="923"/>
    <x v="1456"/>
    <x v="1727"/>
    <x v="2344"/>
    <x v="2344"/>
    <x v="2202"/>
    <x v="0"/>
    <x v="2327"/>
    <x v="2344"/>
    <x v="853"/>
    <x v="2"/>
    <x v="7"/>
    <x v="2"/>
    <x v="166"/>
    <x v="18"/>
    <x v="689"/>
    <x v="35"/>
    <x v="3"/>
    <x v="82"/>
  </r>
  <r>
    <x v="0"/>
    <x v="980"/>
    <x v="430"/>
    <x v="34"/>
    <x v="0"/>
    <x v="89"/>
    <x v="491"/>
    <x v="4"/>
    <x v="23"/>
    <x v="909"/>
    <x v="1457"/>
    <x v="1728"/>
    <x v="2345"/>
    <x v="2345"/>
    <x v="2203"/>
    <x v="1"/>
    <x v="2328"/>
    <x v="2345"/>
    <x v="818"/>
    <x v="4"/>
    <x v="9"/>
    <x v="1"/>
    <x v="4"/>
    <x v="9"/>
    <x v="448"/>
    <x v="5"/>
    <x v="1"/>
    <x v="430"/>
  </r>
  <r>
    <x v="0"/>
    <x v="146"/>
    <x v="207"/>
    <x v="5"/>
    <x v="108"/>
    <x v="1"/>
    <x v="21"/>
    <x v="2207"/>
    <x v="227"/>
    <x v="22"/>
    <x v="129"/>
    <x v="1729"/>
    <x v="2346"/>
    <x v="2346"/>
    <x v="2204"/>
    <x v="4"/>
    <x v="2329"/>
    <x v="2346"/>
    <x v="581"/>
    <x v="0"/>
    <x v="1"/>
    <x v="2"/>
    <x v="131"/>
    <x v="31"/>
    <x v="47"/>
    <x v="15"/>
    <x v="1"/>
    <x v="103"/>
  </r>
  <r>
    <x v="0"/>
    <x v="981"/>
    <x v="153"/>
    <x v="22"/>
    <x v="58"/>
    <x v="30"/>
    <x v="375"/>
    <x v="2208"/>
    <x v="269"/>
    <x v="685"/>
    <x v="1458"/>
    <x v="1730"/>
    <x v="2347"/>
    <x v="2347"/>
    <x v="2205"/>
    <x v="1"/>
    <x v="2330"/>
    <x v="2347"/>
    <x v="651"/>
    <x v="0"/>
    <x v="0"/>
    <x v="0"/>
    <x v="166"/>
    <x v="9"/>
    <x v="188"/>
    <x v="32"/>
    <x v="1"/>
    <x v="46"/>
  </r>
  <r>
    <x v="0"/>
    <x v="395"/>
    <x v="182"/>
    <x v="74"/>
    <x v="223"/>
    <x v="780"/>
    <x v="499"/>
    <x v="2209"/>
    <x v="632"/>
    <x v="924"/>
    <x v="676"/>
    <x v="890"/>
    <x v="2348"/>
    <x v="2348"/>
    <x v="1202"/>
    <x v="1"/>
    <x v="2331"/>
    <x v="2348"/>
    <x v="575"/>
    <x v="0"/>
    <x v="0"/>
    <x v="4"/>
    <x v="166"/>
    <x v="8"/>
    <x v="416"/>
    <x v="12"/>
    <x v="3"/>
    <x v="1"/>
  </r>
  <r>
    <x v="0"/>
    <x v="982"/>
    <x v="295"/>
    <x v="7"/>
    <x v="125"/>
    <x v="781"/>
    <x v="22"/>
    <x v="2210"/>
    <x v="127"/>
    <x v="191"/>
    <x v="1185"/>
    <x v="1731"/>
    <x v="2349"/>
    <x v="2349"/>
    <x v="2206"/>
    <x v="4"/>
    <x v="2332"/>
    <x v="2349"/>
    <x v="339"/>
    <x v="0"/>
    <x v="0"/>
    <x v="2"/>
    <x v="166"/>
    <x v="5"/>
    <x v="632"/>
    <x v="21"/>
    <x v="1"/>
    <x v="38"/>
  </r>
  <r>
    <x v="0"/>
    <x v="983"/>
    <x v="421"/>
    <x v="100"/>
    <x v="158"/>
    <x v="313"/>
    <x v="209"/>
    <x v="4"/>
    <x v="156"/>
    <x v="391"/>
    <x v="1459"/>
    <x v="1732"/>
    <x v="2350"/>
    <x v="2350"/>
    <x v="2207"/>
    <x v="0"/>
    <x v="2333"/>
    <x v="2350"/>
    <x v="552"/>
    <x v="0"/>
    <x v="0"/>
    <x v="11"/>
    <x v="166"/>
    <x v="53"/>
    <x v="685"/>
    <x v="10"/>
    <x v="5"/>
    <x v="431"/>
  </r>
  <r>
    <x v="0"/>
    <x v="984"/>
    <x v="243"/>
    <x v="55"/>
    <x v="45"/>
    <x v="67"/>
    <x v="35"/>
    <x v="2211"/>
    <x v="105"/>
    <x v="507"/>
    <x v="395"/>
    <x v="164"/>
    <x v="2351"/>
    <x v="2351"/>
    <x v="2208"/>
    <x v="2"/>
    <x v="2334"/>
    <x v="2351"/>
    <x v="536"/>
    <x v="0"/>
    <x v="0"/>
    <x v="4"/>
    <x v="154"/>
    <x v="10"/>
    <x v="12"/>
    <x v="22"/>
    <x v="1"/>
    <x v="1"/>
  </r>
  <r>
    <x v="0"/>
    <x v="985"/>
    <x v="182"/>
    <x v="61"/>
    <x v="58"/>
    <x v="333"/>
    <x v="0"/>
    <x v="2212"/>
    <x v="270"/>
    <x v="185"/>
    <x v="261"/>
    <x v="1733"/>
    <x v="2352"/>
    <x v="2352"/>
    <x v="2209"/>
    <x v="4"/>
    <x v="2335"/>
    <x v="2352"/>
    <x v="820"/>
    <x v="0"/>
    <x v="0"/>
    <x v="2"/>
    <x v="4"/>
    <x v="3"/>
    <x v="19"/>
    <x v="21"/>
    <x v="1"/>
    <x v="1"/>
  </r>
  <r>
    <x v="0"/>
    <x v="986"/>
    <x v="81"/>
    <x v="80"/>
    <x v="188"/>
    <x v="298"/>
    <x v="129"/>
    <x v="2213"/>
    <x v="633"/>
    <x v="925"/>
    <x v="1460"/>
    <x v="1734"/>
    <x v="2353"/>
    <x v="2353"/>
    <x v="489"/>
    <x v="0"/>
    <x v="2336"/>
    <x v="2353"/>
    <x v="83"/>
    <x v="0"/>
    <x v="0"/>
    <x v="3"/>
    <x v="166"/>
    <x v="27"/>
    <x v="253"/>
    <x v="20"/>
    <x v="3"/>
    <x v="432"/>
  </r>
  <r>
    <x v="0"/>
    <x v="987"/>
    <x v="308"/>
    <x v="38"/>
    <x v="327"/>
    <x v="5"/>
    <x v="25"/>
    <x v="2214"/>
    <x v="634"/>
    <x v="26"/>
    <x v="344"/>
    <x v="728"/>
    <x v="2354"/>
    <x v="2354"/>
    <x v="2210"/>
    <x v="4"/>
    <x v="2337"/>
    <x v="2354"/>
    <x v="704"/>
    <x v="0"/>
    <x v="10"/>
    <x v="4"/>
    <x v="166"/>
    <x v="25"/>
    <x v="30"/>
    <x v="22"/>
    <x v="3"/>
    <x v="433"/>
  </r>
  <r>
    <x v="0"/>
    <x v="988"/>
    <x v="315"/>
    <x v="47"/>
    <x v="137"/>
    <x v="754"/>
    <x v="94"/>
    <x v="2215"/>
    <x v="270"/>
    <x v="187"/>
    <x v="447"/>
    <x v="1735"/>
    <x v="2355"/>
    <x v="2355"/>
    <x v="2211"/>
    <x v="0"/>
    <x v="1485"/>
    <x v="2355"/>
    <x v="416"/>
    <x v="20"/>
    <x v="0"/>
    <x v="4"/>
    <x v="4"/>
    <x v="6"/>
    <x v="202"/>
    <x v="6"/>
    <x v="4"/>
    <x v="434"/>
  </r>
  <r>
    <x v="0"/>
    <x v="989"/>
    <x v="129"/>
    <x v="78"/>
    <x v="5"/>
    <x v="96"/>
    <x v="38"/>
    <x v="2216"/>
    <x v="416"/>
    <x v="55"/>
    <x v="113"/>
    <x v="1736"/>
    <x v="2356"/>
    <x v="2356"/>
    <x v="2212"/>
    <x v="0"/>
    <x v="2338"/>
    <x v="2356"/>
    <x v="710"/>
    <x v="0"/>
    <x v="0"/>
    <x v="4"/>
    <x v="166"/>
    <x v="12"/>
    <x v="53"/>
    <x v="19"/>
    <x v="1"/>
    <x v="1"/>
  </r>
  <r>
    <x v="0"/>
    <x v="174"/>
    <x v="330"/>
    <x v="113"/>
    <x v="0"/>
    <x v="782"/>
    <x v="25"/>
    <x v="2217"/>
    <x v="200"/>
    <x v="76"/>
    <x v="608"/>
    <x v="1737"/>
    <x v="2357"/>
    <x v="2357"/>
    <x v="2213"/>
    <x v="0"/>
    <x v="2339"/>
    <x v="2357"/>
    <x v="80"/>
    <x v="0"/>
    <x v="0"/>
    <x v="4"/>
    <x v="166"/>
    <x v="19"/>
    <x v="6"/>
    <x v="16"/>
    <x v="3"/>
    <x v="1"/>
  </r>
  <r>
    <x v="1"/>
    <x v="233"/>
    <x v="153"/>
    <x v="55"/>
    <x v="0"/>
    <x v="87"/>
    <x v="500"/>
    <x v="2218"/>
    <x v="429"/>
    <x v="926"/>
    <x v="1461"/>
    <x v="1738"/>
    <x v="2358"/>
    <x v="2358"/>
    <x v="2214"/>
    <x v="8"/>
    <x v="2340"/>
    <x v="2358"/>
    <x v="362"/>
    <x v="0"/>
    <x v="4"/>
    <x v="4"/>
    <x v="159"/>
    <x v="12"/>
    <x v="289"/>
    <x v="5"/>
    <x v="1"/>
    <x v="1"/>
  </r>
  <r>
    <x v="0"/>
    <x v="516"/>
    <x v="430"/>
    <x v="86"/>
    <x v="5"/>
    <x v="783"/>
    <x v="501"/>
    <x v="4"/>
    <x v="97"/>
    <x v="927"/>
    <x v="1462"/>
    <x v="1739"/>
    <x v="2359"/>
    <x v="2359"/>
    <x v="2215"/>
    <x v="4"/>
    <x v="4"/>
    <x v="2359"/>
    <x v="854"/>
    <x v="21"/>
    <x v="9"/>
    <x v="0"/>
    <x v="4"/>
    <x v="9"/>
    <x v="725"/>
    <x v="20"/>
    <x v="3"/>
    <x v="401"/>
  </r>
  <r>
    <x v="0"/>
    <x v="255"/>
    <x v="150"/>
    <x v="34"/>
    <x v="0"/>
    <x v="274"/>
    <x v="1"/>
    <x v="2219"/>
    <x v="371"/>
    <x v="1"/>
    <x v="1184"/>
    <x v="727"/>
    <x v="2360"/>
    <x v="2360"/>
    <x v="2216"/>
    <x v="0"/>
    <x v="2341"/>
    <x v="2360"/>
    <x v="70"/>
    <x v="0"/>
    <x v="0"/>
    <x v="4"/>
    <x v="206"/>
    <x v="20"/>
    <x v="631"/>
    <x v="16"/>
    <x v="1"/>
    <x v="61"/>
  </r>
  <r>
    <x v="0"/>
    <x v="990"/>
    <x v="203"/>
    <x v="7"/>
    <x v="0"/>
    <x v="784"/>
    <x v="22"/>
    <x v="2220"/>
    <x v="286"/>
    <x v="80"/>
    <x v="628"/>
    <x v="1740"/>
    <x v="2361"/>
    <x v="2361"/>
    <x v="2217"/>
    <x v="3"/>
    <x v="2342"/>
    <x v="2361"/>
    <x v="158"/>
    <x v="0"/>
    <x v="0"/>
    <x v="0"/>
    <x v="206"/>
    <x v="0"/>
    <x v="12"/>
    <x v="21"/>
    <x v="3"/>
    <x v="38"/>
  </r>
  <r>
    <x v="0"/>
    <x v="551"/>
    <x v="144"/>
    <x v="55"/>
    <x v="262"/>
    <x v="54"/>
    <x v="68"/>
    <x v="2221"/>
    <x v="125"/>
    <x v="928"/>
    <x v="1463"/>
    <x v="68"/>
    <x v="2362"/>
    <x v="2362"/>
    <x v="2218"/>
    <x v="3"/>
    <x v="2343"/>
    <x v="2362"/>
    <x v="644"/>
    <x v="0"/>
    <x v="0"/>
    <x v="4"/>
    <x v="135"/>
    <x v="11"/>
    <x v="150"/>
    <x v="21"/>
    <x v="1"/>
    <x v="90"/>
  </r>
  <r>
    <x v="0"/>
    <x v="168"/>
    <x v="394"/>
    <x v="37"/>
    <x v="111"/>
    <x v="677"/>
    <x v="183"/>
    <x v="2222"/>
    <x v="610"/>
    <x v="344"/>
    <x v="1464"/>
    <x v="1227"/>
    <x v="2363"/>
    <x v="2363"/>
    <x v="1145"/>
    <x v="0"/>
    <x v="2344"/>
    <x v="2363"/>
    <x v="507"/>
    <x v="0"/>
    <x v="0"/>
    <x v="0"/>
    <x v="135"/>
    <x v="24"/>
    <x v="726"/>
    <x v="8"/>
    <x v="3"/>
    <x v="1"/>
  </r>
  <r>
    <x v="0"/>
    <x v="487"/>
    <x v="414"/>
    <x v="29"/>
    <x v="149"/>
    <x v="306"/>
    <x v="10"/>
    <x v="2223"/>
    <x v="428"/>
    <x v="33"/>
    <x v="365"/>
    <x v="478"/>
    <x v="2364"/>
    <x v="2364"/>
    <x v="2219"/>
    <x v="1"/>
    <x v="2345"/>
    <x v="2364"/>
    <x v="334"/>
    <x v="0"/>
    <x v="0"/>
    <x v="2"/>
    <x v="135"/>
    <x v="32"/>
    <x v="6"/>
    <x v="11"/>
    <x v="3"/>
    <x v="1"/>
  </r>
  <r>
    <x v="0"/>
    <x v="327"/>
    <x v="22"/>
    <x v="87"/>
    <x v="202"/>
    <x v="423"/>
    <x v="403"/>
    <x v="2224"/>
    <x v="125"/>
    <x v="929"/>
    <x v="1465"/>
    <x v="1741"/>
    <x v="2365"/>
    <x v="2365"/>
    <x v="2220"/>
    <x v="1"/>
    <x v="2346"/>
    <x v="2365"/>
    <x v="855"/>
    <x v="0"/>
    <x v="0"/>
    <x v="4"/>
    <x v="135"/>
    <x v="7"/>
    <x v="186"/>
    <x v="11"/>
    <x v="3"/>
    <x v="1"/>
  </r>
  <r>
    <x v="0"/>
    <x v="275"/>
    <x v="145"/>
    <x v="45"/>
    <x v="179"/>
    <x v="513"/>
    <x v="35"/>
    <x v="2225"/>
    <x v="127"/>
    <x v="930"/>
    <x v="1466"/>
    <x v="1742"/>
    <x v="2366"/>
    <x v="2366"/>
    <x v="2221"/>
    <x v="1"/>
    <x v="2347"/>
    <x v="2366"/>
    <x v="347"/>
    <x v="0"/>
    <x v="0"/>
    <x v="0"/>
    <x v="135"/>
    <x v="18"/>
    <x v="252"/>
    <x v="5"/>
    <x v="1"/>
    <x v="1"/>
  </r>
  <r>
    <x v="0"/>
    <x v="853"/>
    <x v="382"/>
    <x v="72"/>
    <x v="119"/>
    <x v="575"/>
    <x v="25"/>
    <x v="2226"/>
    <x v="5"/>
    <x v="194"/>
    <x v="953"/>
    <x v="1102"/>
    <x v="2367"/>
    <x v="2367"/>
    <x v="2222"/>
    <x v="1"/>
    <x v="2348"/>
    <x v="2367"/>
    <x v="620"/>
    <x v="0"/>
    <x v="0"/>
    <x v="2"/>
    <x v="173"/>
    <x v="31"/>
    <x v="335"/>
    <x v="4"/>
    <x v="1"/>
    <x v="1"/>
  </r>
  <r>
    <x v="0"/>
    <x v="245"/>
    <x v="167"/>
    <x v="40"/>
    <x v="165"/>
    <x v="785"/>
    <x v="0"/>
    <x v="2227"/>
    <x v="327"/>
    <x v="384"/>
    <x v="1455"/>
    <x v="1743"/>
    <x v="2368"/>
    <x v="2368"/>
    <x v="887"/>
    <x v="0"/>
    <x v="2349"/>
    <x v="2368"/>
    <x v="370"/>
    <x v="0"/>
    <x v="0"/>
    <x v="0"/>
    <x v="78"/>
    <x v="12"/>
    <x v="680"/>
    <x v="10"/>
    <x v="1"/>
    <x v="1"/>
  </r>
  <r>
    <x v="0"/>
    <x v="60"/>
    <x v="74"/>
    <x v="76"/>
    <x v="45"/>
    <x v="244"/>
    <x v="0"/>
    <x v="2228"/>
    <x v="127"/>
    <x v="52"/>
    <x v="1223"/>
    <x v="1744"/>
    <x v="2369"/>
    <x v="2369"/>
    <x v="1467"/>
    <x v="1"/>
    <x v="2350"/>
    <x v="2369"/>
    <x v="492"/>
    <x v="0"/>
    <x v="0"/>
    <x v="4"/>
    <x v="173"/>
    <x v="15"/>
    <x v="476"/>
    <x v="20"/>
    <x v="3"/>
    <x v="1"/>
  </r>
  <r>
    <x v="0"/>
    <x v="991"/>
    <x v="244"/>
    <x v="47"/>
    <x v="26"/>
    <x v="560"/>
    <x v="25"/>
    <x v="2229"/>
    <x v="635"/>
    <x v="76"/>
    <x v="1467"/>
    <x v="1745"/>
    <x v="2370"/>
    <x v="2370"/>
    <x v="2223"/>
    <x v="1"/>
    <x v="2351"/>
    <x v="2370"/>
    <x v="278"/>
    <x v="0"/>
    <x v="0"/>
    <x v="0"/>
    <x v="178"/>
    <x v="11"/>
    <x v="30"/>
    <x v="69"/>
    <x v="1"/>
    <x v="77"/>
  </r>
  <r>
    <x v="0"/>
    <x v="925"/>
    <x v="273"/>
    <x v="33"/>
    <x v="5"/>
    <x v="275"/>
    <x v="253"/>
    <x v="2230"/>
    <x v="105"/>
    <x v="931"/>
    <x v="1468"/>
    <x v="1746"/>
    <x v="2371"/>
    <x v="2371"/>
    <x v="2224"/>
    <x v="0"/>
    <x v="2352"/>
    <x v="2371"/>
    <x v="729"/>
    <x v="0"/>
    <x v="0"/>
    <x v="0"/>
    <x v="173"/>
    <x v="12"/>
    <x v="280"/>
    <x v="22"/>
    <x v="3"/>
    <x v="1"/>
  </r>
  <r>
    <x v="1"/>
    <x v="619"/>
    <x v="401"/>
    <x v="11"/>
    <x v="193"/>
    <x v="282"/>
    <x v="401"/>
    <x v="2231"/>
    <x v="200"/>
    <x v="727"/>
    <x v="1469"/>
    <x v="1747"/>
    <x v="2372"/>
    <x v="2372"/>
    <x v="2225"/>
    <x v="2"/>
    <x v="2353"/>
    <x v="2372"/>
    <x v="212"/>
    <x v="0"/>
    <x v="0"/>
    <x v="0"/>
    <x v="135"/>
    <x v="14"/>
    <x v="727"/>
    <x v="20"/>
    <x v="3"/>
    <x v="257"/>
  </r>
  <r>
    <x v="0"/>
    <x v="992"/>
    <x v="423"/>
    <x v="42"/>
    <x v="183"/>
    <x v="213"/>
    <x v="0"/>
    <x v="2232"/>
    <x v="539"/>
    <x v="85"/>
    <x v="648"/>
    <x v="271"/>
    <x v="2373"/>
    <x v="2373"/>
    <x v="747"/>
    <x v="4"/>
    <x v="2354"/>
    <x v="2373"/>
    <x v="764"/>
    <x v="0"/>
    <x v="0"/>
    <x v="4"/>
    <x v="135"/>
    <x v="17"/>
    <x v="196"/>
    <x v="1"/>
    <x v="3"/>
    <x v="7"/>
  </r>
  <r>
    <x v="0"/>
    <x v="190"/>
    <x v="309"/>
    <x v="153"/>
    <x v="135"/>
    <x v="404"/>
    <x v="94"/>
    <x v="2233"/>
    <x v="70"/>
    <x v="166"/>
    <x v="355"/>
    <x v="584"/>
    <x v="2374"/>
    <x v="2374"/>
    <x v="2226"/>
    <x v="4"/>
    <x v="2355"/>
    <x v="2374"/>
    <x v="856"/>
    <x v="0"/>
    <x v="0"/>
    <x v="0"/>
    <x v="173"/>
    <x v="13"/>
    <x v="238"/>
    <x v="15"/>
    <x v="1"/>
    <x v="1"/>
  </r>
  <r>
    <x v="0"/>
    <x v="606"/>
    <x v="150"/>
    <x v="50"/>
    <x v="79"/>
    <x v="546"/>
    <x v="362"/>
    <x v="2234"/>
    <x v="215"/>
    <x v="932"/>
    <x v="1470"/>
    <x v="1748"/>
    <x v="2375"/>
    <x v="2375"/>
    <x v="1369"/>
    <x v="10"/>
    <x v="2356"/>
    <x v="2375"/>
    <x v="575"/>
    <x v="0"/>
    <x v="0"/>
    <x v="0"/>
    <x v="135"/>
    <x v="6"/>
    <x v="478"/>
    <x v="9"/>
    <x v="1"/>
    <x v="64"/>
  </r>
  <r>
    <x v="0"/>
    <x v="95"/>
    <x v="280"/>
    <x v="77"/>
    <x v="74"/>
    <x v="225"/>
    <x v="43"/>
    <x v="2235"/>
    <x v="238"/>
    <x v="825"/>
    <x v="289"/>
    <x v="1749"/>
    <x v="2376"/>
    <x v="2376"/>
    <x v="2227"/>
    <x v="4"/>
    <x v="2357"/>
    <x v="2376"/>
    <x v="727"/>
    <x v="0"/>
    <x v="0"/>
    <x v="2"/>
    <x v="175"/>
    <x v="10"/>
    <x v="195"/>
    <x v="4"/>
    <x v="1"/>
    <x v="1"/>
  </r>
  <r>
    <x v="0"/>
    <x v="131"/>
    <x v="259"/>
    <x v="86"/>
    <x v="97"/>
    <x v="20"/>
    <x v="0"/>
    <x v="2236"/>
    <x v="310"/>
    <x v="933"/>
    <x v="869"/>
    <x v="1750"/>
    <x v="2377"/>
    <x v="2377"/>
    <x v="2228"/>
    <x v="1"/>
    <x v="2358"/>
    <x v="2377"/>
    <x v="103"/>
    <x v="0"/>
    <x v="0"/>
    <x v="4"/>
    <x v="159"/>
    <x v="42"/>
    <x v="30"/>
    <x v="6"/>
    <x v="3"/>
    <x v="38"/>
  </r>
  <r>
    <x v="0"/>
    <x v="429"/>
    <x v="295"/>
    <x v="156"/>
    <x v="234"/>
    <x v="282"/>
    <x v="148"/>
    <x v="2237"/>
    <x v="636"/>
    <x v="934"/>
    <x v="1218"/>
    <x v="370"/>
    <x v="2378"/>
    <x v="2378"/>
    <x v="2229"/>
    <x v="0"/>
    <x v="2359"/>
    <x v="2378"/>
    <x v="176"/>
    <x v="0"/>
    <x v="0"/>
    <x v="4"/>
    <x v="135"/>
    <x v="31"/>
    <x v="224"/>
    <x v="24"/>
    <x v="1"/>
    <x v="37"/>
  </r>
  <r>
    <x v="0"/>
    <x v="920"/>
    <x v="265"/>
    <x v="71"/>
    <x v="195"/>
    <x v="478"/>
    <x v="35"/>
    <x v="2238"/>
    <x v="364"/>
    <x v="193"/>
    <x v="856"/>
    <x v="1751"/>
    <x v="2379"/>
    <x v="811"/>
    <x v="2230"/>
    <x v="0"/>
    <x v="2360"/>
    <x v="2379"/>
    <x v="635"/>
    <x v="0"/>
    <x v="0"/>
    <x v="0"/>
    <x v="78"/>
    <x v="8"/>
    <x v="497"/>
    <x v="65"/>
    <x v="1"/>
    <x v="103"/>
  </r>
  <r>
    <x v="0"/>
    <x v="197"/>
    <x v="171"/>
    <x v="55"/>
    <x v="139"/>
    <x v="395"/>
    <x v="35"/>
    <x v="2239"/>
    <x v="125"/>
    <x v="653"/>
    <x v="515"/>
    <x v="1752"/>
    <x v="2380"/>
    <x v="2379"/>
    <x v="2231"/>
    <x v="2"/>
    <x v="2361"/>
    <x v="2380"/>
    <x v="210"/>
    <x v="0"/>
    <x v="0"/>
    <x v="0"/>
    <x v="173"/>
    <x v="14"/>
    <x v="30"/>
    <x v="15"/>
    <x v="3"/>
    <x v="1"/>
  </r>
  <r>
    <x v="0"/>
    <x v="993"/>
    <x v="387"/>
    <x v="18"/>
    <x v="188"/>
    <x v="267"/>
    <x v="502"/>
    <x v="2240"/>
    <x v="105"/>
    <x v="935"/>
    <x v="1471"/>
    <x v="1753"/>
    <x v="2381"/>
    <x v="2380"/>
    <x v="2232"/>
    <x v="1"/>
    <x v="2362"/>
    <x v="2381"/>
    <x v="664"/>
    <x v="0"/>
    <x v="0"/>
    <x v="0"/>
    <x v="135"/>
    <x v="17"/>
    <x v="411"/>
    <x v="10"/>
    <x v="3"/>
    <x v="1"/>
  </r>
  <r>
    <x v="0"/>
    <x v="987"/>
    <x v="94"/>
    <x v="22"/>
    <x v="327"/>
    <x v="786"/>
    <x v="0"/>
    <x v="2241"/>
    <x v="498"/>
    <x v="936"/>
    <x v="901"/>
    <x v="1754"/>
    <x v="2382"/>
    <x v="2381"/>
    <x v="2088"/>
    <x v="0"/>
    <x v="2363"/>
    <x v="2382"/>
    <x v="652"/>
    <x v="0"/>
    <x v="1"/>
    <x v="4"/>
    <x v="197"/>
    <x v="18"/>
    <x v="192"/>
    <x v="11"/>
    <x v="1"/>
    <x v="1"/>
  </r>
  <r>
    <x v="0"/>
    <x v="113"/>
    <x v="393"/>
    <x v="104"/>
    <x v="88"/>
    <x v="473"/>
    <x v="503"/>
    <x v="4"/>
    <x v="105"/>
    <x v="937"/>
    <x v="1472"/>
    <x v="697"/>
    <x v="2383"/>
    <x v="308"/>
    <x v="2233"/>
    <x v="8"/>
    <x v="2364"/>
    <x v="2383"/>
    <x v="481"/>
    <x v="0"/>
    <x v="0"/>
    <x v="6"/>
    <x v="4"/>
    <x v="4"/>
    <x v="183"/>
    <x v="7"/>
    <x v="0"/>
    <x v="1"/>
  </r>
  <r>
    <x v="0"/>
    <x v="420"/>
    <x v="402"/>
    <x v="33"/>
    <x v="0"/>
    <x v="296"/>
    <x v="25"/>
    <x v="2242"/>
    <x v="196"/>
    <x v="76"/>
    <x v="517"/>
    <x v="390"/>
    <x v="2384"/>
    <x v="2382"/>
    <x v="2234"/>
    <x v="0"/>
    <x v="2365"/>
    <x v="2384"/>
    <x v="793"/>
    <x v="0"/>
    <x v="0"/>
    <x v="0"/>
    <x v="135"/>
    <x v="43"/>
    <x v="336"/>
    <x v="22"/>
    <x v="3"/>
    <x v="1"/>
  </r>
  <r>
    <x v="0"/>
    <x v="114"/>
    <x v="500"/>
    <x v="73"/>
    <x v="0"/>
    <x v="466"/>
    <x v="10"/>
    <x v="2243"/>
    <x v="105"/>
    <x v="16"/>
    <x v="698"/>
    <x v="1755"/>
    <x v="2385"/>
    <x v="2383"/>
    <x v="2235"/>
    <x v="8"/>
    <x v="2366"/>
    <x v="2385"/>
    <x v="857"/>
    <x v="0"/>
    <x v="0"/>
    <x v="4"/>
    <x v="135"/>
    <x v="11"/>
    <x v="18"/>
    <x v="6"/>
    <x v="3"/>
    <x v="154"/>
  </r>
  <r>
    <x v="0"/>
    <x v="696"/>
    <x v="264"/>
    <x v="42"/>
    <x v="201"/>
    <x v="337"/>
    <x v="395"/>
    <x v="2244"/>
    <x v="270"/>
    <x v="938"/>
    <x v="790"/>
    <x v="1756"/>
    <x v="2386"/>
    <x v="2384"/>
    <x v="2236"/>
    <x v="1"/>
    <x v="2367"/>
    <x v="2386"/>
    <x v="618"/>
    <x v="0"/>
    <x v="0"/>
    <x v="0"/>
    <x v="135"/>
    <x v="9"/>
    <x v="41"/>
    <x v="11"/>
    <x v="1"/>
    <x v="88"/>
  </r>
  <r>
    <x v="0"/>
    <x v="116"/>
    <x v="367"/>
    <x v="70"/>
    <x v="90"/>
    <x v="607"/>
    <x v="270"/>
    <x v="2245"/>
    <x v="223"/>
    <x v="939"/>
    <x v="1473"/>
    <x v="1757"/>
    <x v="2387"/>
    <x v="2385"/>
    <x v="2237"/>
    <x v="0"/>
    <x v="2368"/>
    <x v="2387"/>
    <x v="283"/>
    <x v="0"/>
    <x v="0"/>
    <x v="4"/>
    <x v="159"/>
    <x v="7"/>
    <x v="463"/>
    <x v="32"/>
    <x v="1"/>
    <x v="1"/>
  </r>
  <r>
    <x v="0"/>
    <x v="803"/>
    <x v="241"/>
    <x v="50"/>
    <x v="80"/>
    <x v="52"/>
    <x v="35"/>
    <x v="2246"/>
    <x v="484"/>
    <x v="940"/>
    <x v="890"/>
    <x v="1599"/>
    <x v="2388"/>
    <x v="2386"/>
    <x v="2238"/>
    <x v="4"/>
    <x v="2369"/>
    <x v="2388"/>
    <x v="245"/>
    <x v="0"/>
    <x v="0"/>
    <x v="0"/>
    <x v="131"/>
    <x v="17"/>
    <x v="30"/>
    <x v="43"/>
    <x v="3"/>
    <x v="1"/>
  </r>
  <r>
    <x v="0"/>
    <x v="103"/>
    <x v="370"/>
    <x v="40"/>
    <x v="81"/>
    <x v="10"/>
    <x v="11"/>
    <x v="1628"/>
    <x v="156"/>
    <x v="156"/>
    <x v="65"/>
    <x v="907"/>
    <x v="1697"/>
    <x v="2387"/>
    <x v="1634"/>
    <x v="3"/>
    <x v="1686"/>
    <x v="1697"/>
    <x v="787"/>
    <x v="0"/>
    <x v="0"/>
    <x v="4"/>
    <x v="135"/>
    <x v="30"/>
    <x v="6"/>
    <x v="0"/>
    <x v="3"/>
    <x v="1"/>
  </r>
  <r>
    <x v="0"/>
    <x v="994"/>
    <x v="434"/>
    <x v="113"/>
    <x v="193"/>
    <x v="159"/>
    <x v="156"/>
    <x v="2247"/>
    <x v="170"/>
    <x v="941"/>
    <x v="1474"/>
    <x v="1758"/>
    <x v="2389"/>
    <x v="2388"/>
    <x v="2239"/>
    <x v="4"/>
    <x v="2370"/>
    <x v="2389"/>
    <x v="758"/>
    <x v="0"/>
    <x v="0"/>
    <x v="0"/>
    <x v="135"/>
    <x v="25"/>
    <x v="728"/>
    <x v="43"/>
    <x v="3"/>
    <x v="435"/>
  </r>
  <r>
    <x v="0"/>
    <x v="469"/>
    <x v="237"/>
    <x v="71"/>
    <x v="0"/>
    <x v="787"/>
    <x v="35"/>
    <x v="2248"/>
    <x v="471"/>
    <x v="157"/>
    <x v="326"/>
    <x v="1759"/>
    <x v="2390"/>
    <x v="2389"/>
    <x v="2240"/>
    <x v="0"/>
    <x v="2371"/>
    <x v="2390"/>
    <x v="750"/>
    <x v="0"/>
    <x v="0"/>
    <x v="4"/>
    <x v="138"/>
    <x v="35"/>
    <x v="117"/>
    <x v="2"/>
    <x v="1"/>
    <x v="115"/>
  </r>
  <r>
    <x v="0"/>
    <x v="995"/>
    <x v="382"/>
    <x v="11"/>
    <x v="8"/>
    <x v="407"/>
    <x v="35"/>
    <x v="2249"/>
    <x v="637"/>
    <x v="184"/>
    <x v="1475"/>
    <x v="955"/>
    <x v="2391"/>
    <x v="2390"/>
    <x v="2241"/>
    <x v="1"/>
    <x v="2372"/>
    <x v="2391"/>
    <x v="340"/>
    <x v="0"/>
    <x v="0"/>
    <x v="2"/>
    <x v="135"/>
    <x v="10"/>
    <x v="66"/>
    <x v="1"/>
    <x v="1"/>
    <x v="61"/>
  </r>
  <r>
    <x v="0"/>
    <x v="272"/>
    <x v="399"/>
    <x v="40"/>
    <x v="0"/>
    <x v="72"/>
    <x v="303"/>
    <x v="4"/>
    <x v="638"/>
    <x v="942"/>
    <x v="901"/>
    <x v="1760"/>
    <x v="2392"/>
    <x v="2391"/>
    <x v="2242"/>
    <x v="0"/>
    <x v="2373"/>
    <x v="2392"/>
    <x v="390"/>
    <x v="0"/>
    <x v="0"/>
    <x v="4"/>
    <x v="135"/>
    <x v="48"/>
    <x v="192"/>
    <x v="13"/>
    <x v="1"/>
    <x v="1"/>
  </r>
  <r>
    <x v="0"/>
    <x v="996"/>
    <x v="136"/>
    <x v="107"/>
    <x v="110"/>
    <x v="79"/>
    <x v="452"/>
    <x v="2250"/>
    <x v="539"/>
    <x v="943"/>
    <x v="860"/>
    <x v="1761"/>
    <x v="2393"/>
    <x v="2392"/>
    <x v="2243"/>
    <x v="1"/>
    <x v="2374"/>
    <x v="2393"/>
    <x v="248"/>
    <x v="0"/>
    <x v="0"/>
    <x v="4"/>
    <x v="135"/>
    <x v="0"/>
    <x v="409"/>
    <x v="27"/>
    <x v="1"/>
    <x v="1"/>
  </r>
  <r>
    <x v="0"/>
    <x v="810"/>
    <x v="379"/>
    <x v="33"/>
    <x v="190"/>
    <x v="749"/>
    <x v="105"/>
    <x v="1700"/>
    <x v="1"/>
    <x v="874"/>
    <x v="1476"/>
    <x v="1762"/>
    <x v="2394"/>
    <x v="2393"/>
    <x v="2244"/>
    <x v="1"/>
    <x v="2375"/>
    <x v="2394"/>
    <x v="558"/>
    <x v="0"/>
    <x v="0"/>
    <x v="2"/>
    <x v="135"/>
    <x v="31"/>
    <x v="526"/>
    <x v="27"/>
    <x v="1"/>
    <x v="43"/>
  </r>
  <r>
    <x v="1"/>
    <x v="48"/>
    <x v="285"/>
    <x v="61"/>
    <x v="33"/>
    <x v="781"/>
    <x v="13"/>
    <x v="2251"/>
    <x v="122"/>
    <x v="158"/>
    <x v="556"/>
    <x v="1763"/>
    <x v="2395"/>
    <x v="2394"/>
    <x v="2245"/>
    <x v="1"/>
    <x v="2376"/>
    <x v="2395"/>
    <x v="803"/>
    <x v="0"/>
    <x v="0"/>
    <x v="4"/>
    <x v="135"/>
    <x v="35"/>
    <x v="309"/>
    <x v="24"/>
    <x v="3"/>
    <x v="1"/>
  </r>
  <r>
    <x v="0"/>
    <x v="997"/>
    <x v="387"/>
    <x v="56"/>
    <x v="143"/>
    <x v="176"/>
    <x v="35"/>
    <x v="2252"/>
    <x v="17"/>
    <x v="65"/>
    <x v="1477"/>
    <x v="224"/>
    <x v="2396"/>
    <x v="2395"/>
    <x v="2246"/>
    <x v="0"/>
    <x v="2377"/>
    <x v="2396"/>
    <x v="356"/>
    <x v="0"/>
    <x v="0"/>
    <x v="0"/>
    <x v="135"/>
    <x v="0"/>
    <x v="488"/>
    <x v="23"/>
    <x v="3"/>
    <x v="1"/>
  </r>
  <r>
    <x v="0"/>
    <x v="277"/>
    <x v="272"/>
    <x v="56"/>
    <x v="181"/>
    <x v="788"/>
    <x v="504"/>
    <x v="2253"/>
    <x v="550"/>
    <x v="944"/>
    <x v="1478"/>
    <x v="1764"/>
    <x v="2397"/>
    <x v="2396"/>
    <x v="2247"/>
    <x v="1"/>
    <x v="2378"/>
    <x v="2397"/>
    <x v="514"/>
    <x v="0"/>
    <x v="0"/>
    <x v="0"/>
    <x v="135"/>
    <x v="39"/>
    <x v="729"/>
    <x v="2"/>
    <x v="3"/>
    <x v="1"/>
  </r>
  <r>
    <x v="0"/>
    <x v="998"/>
    <x v="295"/>
    <x v="32"/>
    <x v="172"/>
    <x v="348"/>
    <x v="320"/>
    <x v="2254"/>
    <x v="276"/>
    <x v="945"/>
    <x v="1479"/>
    <x v="476"/>
    <x v="2398"/>
    <x v="2397"/>
    <x v="2248"/>
    <x v="0"/>
    <x v="2379"/>
    <x v="2398"/>
    <x v="517"/>
    <x v="0"/>
    <x v="0"/>
    <x v="2"/>
    <x v="135"/>
    <x v="0"/>
    <x v="353"/>
    <x v="40"/>
    <x v="1"/>
    <x v="1"/>
  </r>
  <r>
    <x v="0"/>
    <x v="464"/>
    <x v="14"/>
    <x v="50"/>
    <x v="0"/>
    <x v="606"/>
    <x v="2"/>
    <x v="2255"/>
    <x v="480"/>
    <x v="182"/>
    <x v="772"/>
    <x v="1765"/>
    <x v="2399"/>
    <x v="2398"/>
    <x v="2249"/>
    <x v="0"/>
    <x v="2380"/>
    <x v="2399"/>
    <x v="132"/>
    <x v="0"/>
    <x v="0"/>
    <x v="4"/>
    <x v="135"/>
    <x v="5"/>
    <x v="237"/>
    <x v="32"/>
    <x v="3"/>
    <x v="62"/>
  </r>
  <r>
    <x v="0"/>
    <x v="696"/>
    <x v="342"/>
    <x v="50"/>
    <x v="201"/>
    <x v="380"/>
    <x v="2"/>
    <x v="2256"/>
    <x v="70"/>
    <x v="740"/>
    <x v="365"/>
    <x v="1197"/>
    <x v="2400"/>
    <x v="2399"/>
    <x v="2250"/>
    <x v="0"/>
    <x v="2381"/>
    <x v="2400"/>
    <x v="620"/>
    <x v="0"/>
    <x v="0"/>
    <x v="2"/>
    <x v="135"/>
    <x v="21"/>
    <x v="6"/>
    <x v="10"/>
    <x v="3"/>
    <x v="198"/>
  </r>
  <r>
    <x v="0"/>
    <x v="999"/>
    <x v="373"/>
    <x v="69"/>
    <x v="89"/>
    <x v="180"/>
    <x v="379"/>
    <x v="2257"/>
    <x v="484"/>
    <x v="692"/>
    <x v="1480"/>
    <x v="1766"/>
    <x v="2401"/>
    <x v="2400"/>
    <x v="2251"/>
    <x v="4"/>
    <x v="2382"/>
    <x v="2401"/>
    <x v="191"/>
    <x v="0"/>
    <x v="0"/>
    <x v="0"/>
    <x v="135"/>
    <x v="21"/>
    <x v="304"/>
    <x v="10"/>
    <x v="1"/>
    <x v="1"/>
  </r>
  <r>
    <x v="0"/>
    <x v="875"/>
    <x v="241"/>
    <x v="86"/>
    <x v="192"/>
    <x v="754"/>
    <x v="14"/>
    <x v="2258"/>
    <x v="125"/>
    <x v="351"/>
    <x v="1481"/>
    <x v="1767"/>
    <x v="2402"/>
    <x v="2401"/>
    <x v="2252"/>
    <x v="18"/>
    <x v="2383"/>
    <x v="2402"/>
    <x v="749"/>
    <x v="0"/>
    <x v="0"/>
    <x v="0"/>
    <x v="173"/>
    <x v="2"/>
    <x v="730"/>
    <x v="20"/>
    <x v="1"/>
    <x v="1"/>
  </r>
  <r>
    <x v="0"/>
    <x v="1000"/>
    <x v="390"/>
    <x v="43"/>
    <x v="47"/>
    <x v="148"/>
    <x v="30"/>
    <x v="2259"/>
    <x v="70"/>
    <x v="224"/>
    <x v="1482"/>
    <x v="1768"/>
    <x v="2403"/>
    <x v="2402"/>
    <x v="2253"/>
    <x v="0"/>
    <x v="2384"/>
    <x v="2403"/>
    <x v="769"/>
    <x v="0"/>
    <x v="0"/>
    <x v="2"/>
    <x v="135"/>
    <x v="14"/>
    <x v="5"/>
    <x v="31"/>
    <x v="3"/>
    <x v="269"/>
  </r>
  <r>
    <x v="0"/>
    <x v="569"/>
    <x v="414"/>
    <x v="31"/>
    <x v="116"/>
    <x v="1"/>
    <x v="17"/>
    <x v="2260"/>
    <x v="270"/>
    <x v="839"/>
    <x v="328"/>
    <x v="21"/>
    <x v="2404"/>
    <x v="2403"/>
    <x v="2254"/>
    <x v="0"/>
    <x v="2385"/>
    <x v="2404"/>
    <x v="844"/>
    <x v="0"/>
    <x v="0"/>
    <x v="4"/>
    <x v="135"/>
    <x v="18"/>
    <x v="9"/>
    <x v="7"/>
    <x v="1"/>
    <x v="1"/>
  </r>
  <r>
    <x v="0"/>
    <x v="464"/>
    <x v="256"/>
    <x v="40"/>
    <x v="0"/>
    <x v="658"/>
    <x v="21"/>
    <x v="2261"/>
    <x v="113"/>
    <x v="141"/>
    <x v="56"/>
    <x v="1769"/>
    <x v="2405"/>
    <x v="2404"/>
    <x v="2255"/>
    <x v="0"/>
    <x v="2386"/>
    <x v="2405"/>
    <x v="649"/>
    <x v="0"/>
    <x v="1"/>
    <x v="4"/>
    <x v="116"/>
    <x v="2"/>
    <x v="44"/>
    <x v="13"/>
    <x v="1"/>
    <x v="33"/>
  </r>
  <r>
    <x v="0"/>
    <x v="126"/>
    <x v="283"/>
    <x v="58"/>
    <x v="0"/>
    <x v="466"/>
    <x v="505"/>
    <x v="2262"/>
    <x v="127"/>
    <x v="946"/>
    <x v="1483"/>
    <x v="688"/>
    <x v="2406"/>
    <x v="2405"/>
    <x v="2256"/>
    <x v="1"/>
    <x v="2387"/>
    <x v="2406"/>
    <x v="670"/>
    <x v="0"/>
    <x v="4"/>
    <x v="0"/>
    <x v="135"/>
    <x v="0"/>
    <x v="731"/>
    <x v="43"/>
    <x v="3"/>
    <x v="1"/>
  </r>
  <r>
    <x v="0"/>
    <x v="760"/>
    <x v="203"/>
    <x v="78"/>
    <x v="137"/>
    <x v="479"/>
    <x v="25"/>
    <x v="2263"/>
    <x v="105"/>
    <x v="26"/>
    <x v="1401"/>
    <x v="704"/>
    <x v="2407"/>
    <x v="2406"/>
    <x v="2257"/>
    <x v="4"/>
    <x v="2388"/>
    <x v="2407"/>
    <x v="715"/>
    <x v="0"/>
    <x v="0"/>
    <x v="4"/>
    <x v="135"/>
    <x v="0"/>
    <x v="260"/>
    <x v="12"/>
    <x v="3"/>
    <x v="1"/>
  </r>
  <r>
    <x v="0"/>
    <x v="1001"/>
    <x v="429"/>
    <x v="42"/>
    <x v="52"/>
    <x v="313"/>
    <x v="345"/>
    <x v="2117"/>
    <x v="10"/>
    <x v="947"/>
    <x v="1484"/>
    <x v="1770"/>
    <x v="2408"/>
    <x v="2407"/>
    <x v="2258"/>
    <x v="0"/>
    <x v="2389"/>
    <x v="2408"/>
    <x v="540"/>
    <x v="0"/>
    <x v="0"/>
    <x v="2"/>
    <x v="135"/>
    <x v="37"/>
    <x v="732"/>
    <x v="40"/>
    <x v="1"/>
    <x v="416"/>
  </r>
  <r>
    <x v="0"/>
    <x v="1002"/>
    <x v="209"/>
    <x v="56"/>
    <x v="109"/>
    <x v="1"/>
    <x v="2"/>
    <x v="2264"/>
    <x v="306"/>
    <x v="113"/>
    <x v="1485"/>
    <x v="1172"/>
    <x v="2409"/>
    <x v="2408"/>
    <x v="2259"/>
    <x v="0"/>
    <x v="2390"/>
    <x v="2409"/>
    <x v="507"/>
    <x v="0"/>
    <x v="0"/>
    <x v="4"/>
    <x v="135"/>
    <x v="18"/>
    <x v="12"/>
    <x v="9"/>
    <x v="1"/>
    <x v="436"/>
  </r>
  <r>
    <x v="0"/>
    <x v="209"/>
    <x v="293"/>
    <x v="86"/>
    <x v="0"/>
    <x v="760"/>
    <x v="506"/>
    <x v="4"/>
    <x v="60"/>
    <x v="948"/>
    <x v="1486"/>
    <x v="1771"/>
    <x v="2410"/>
    <x v="2409"/>
    <x v="2260"/>
    <x v="0"/>
    <x v="2391"/>
    <x v="2410"/>
    <x v="585"/>
    <x v="0"/>
    <x v="0"/>
    <x v="4"/>
    <x v="135"/>
    <x v="37"/>
    <x v="733"/>
    <x v="38"/>
    <x v="1"/>
    <x v="43"/>
  </r>
  <r>
    <x v="0"/>
    <x v="1003"/>
    <x v="265"/>
    <x v="78"/>
    <x v="45"/>
    <x v="132"/>
    <x v="507"/>
    <x v="2265"/>
    <x v="23"/>
    <x v="949"/>
    <x v="1487"/>
    <x v="1772"/>
    <x v="2411"/>
    <x v="2410"/>
    <x v="2261"/>
    <x v="1"/>
    <x v="2392"/>
    <x v="2411"/>
    <x v="558"/>
    <x v="0"/>
    <x v="0"/>
    <x v="0"/>
    <x v="135"/>
    <x v="9"/>
    <x v="734"/>
    <x v="46"/>
    <x v="1"/>
    <x v="86"/>
  </r>
  <r>
    <x v="0"/>
    <x v="106"/>
    <x v="310"/>
    <x v="52"/>
    <x v="0"/>
    <x v="491"/>
    <x v="447"/>
    <x v="2266"/>
    <x v="270"/>
    <x v="950"/>
    <x v="1267"/>
    <x v="1773"/>
    <x v="2412"/>
    <x v="2411"/>
    <x v="2262"/>
    <x v="0"/>
    <x v="2393"/>
    <x v="2412"/>
    <x v="158"/>
    <x v="0"/>
    <x v="0"/>
    <x v="4"/>
    <x v="135"/>
    <x v="13"/>
    <x v="228"/>
    <x v="7"/>
    <x v="3"/>
    <x v="1"/>
  </r>
  <r>
    <x v="0"/>
    <x v="340"/>
    <x v="283"/>
    <x v="50"/>
    <x v="0"/>
    <x v="740"/>
    <x v="508"/>
    <x v="2267"/>
    <x v="105"/>
    <x v="951"/>
    <x v="1488"/>
    <x v="1774"/>
    <x v="2413"/>
    <x v="2412"/>
    <x v="517"/>
    <x v="4"/>
    <x v="2394"/>
    <x v="2413"/>
    <x v="823"/>
    <x v="0"/>
    <x v="0"/>
    <x v="0"/>
    <x v="135"/>
    <x v="11"/>
    <x v="735"/>
    <x v="20"/>
    <x v="1"/>
    <x v="67"/>
  </r>
  <r>
    <x v="0"/>
    <x v="1004"/>
    <x v="492"/>
    <x v="72"/>
    <x v="85"/>
    <x v="789"/>
    <x v="253"/>
    <x v="2268"/>
    <x v="311"/>
    <x v="931"/>
    <x v="1489"/>
    <x v="1775"/>
    <x v="2414"/>
    <x v="2413"/>
    <x v="2263"/>
    <x v="1"/>
    <x v="2395"/>
    <x v="2414"/>
    <x v="816"/>
    <x v="0"/>
    <x v="0"/>
    <x v="2"/>
    <x v="135"/>
    <x v="30"/>
    <x v="259"/>
    <x v="34"/>
    <x v="15"/>
    <x v="1"/>
  </r>
  <r>
    <x v="0"/>
    <x v="1005"/>
    <x v="197"/>
    <x v="27"/>
    <x v="182"/>
    <x v="184"/>
    <x v="259"/>
    <x v="2269"/>
    <x v="105"/>
    <x v="516"/>
    <x v="1490"/>
    <x v="1776"/>
    <x v="2415"/>
    <x v="2414"/>
    <x v="872"/>
    <x v="4"/>
    <x v="2396"/>
    <x v="2415"/>
    <x v="137"/>
    <x v="0"/>
    <x v="4"/>
    <x v="4"/>
    <x v="135"/>
    <x v="14"/>
    <x v="575"/>
    <x v="1"/>
    <x v="3"/>
    <x v="437"/>
  </r>
  <r>
    <x v="0"/>
    <x v="451"/>
    <x v="428"/>
    <x v="52"/>
    <x v="242"/>
    <x v="657"/>
    <x v="362"/>
    <x v="2270"/>
    <x v="17"/>
    <x v="952"/>
    <x v="1491"/>
    <x v="1777"/>
    <x v="2416"/>
    <x v="2415"/>
    <x v="2264"/>
    <x v="0"/>
    <x v="2397"/>
    <x v="2416"/>
    <x v="173"/>
    <x v="0"/>
    <x v="0"/>
    <x v="4"/>
    <x v="173"/>
    <x v="43"/>
    <x v="736"/>
    <x v="18"/>
    <x v="3"/>
    <x v="1"/>
  </r>
  <r>
    <x v="0"/>
    <x v="1006"/>
    <x v="370"/>
    <x v="26"/>
    <x v="73"/>
    <x v="393"/>
    <x v="0"/>
    <x v="2271"/>
    <x v="1"/>
    <x v="953"/>
    <x v="1492"/>
    <x v="1778"/>
    <x v="2417"/>
    <x v="2416"/>
    <x v="2265"/>
    <x v="0"/>
    <x v="2398"/>
    <x v="2417"/>
    <x v="386"/>
    <x v="0"/>
    <x v="0"/>
    <x v="2"/>
    <x v="135"/>
    <x v="37"/>
    <x v="440"/>
    <x v="10"/>
    <x v="1"/>
    <x v="1"/>
  </r>
  <r>
    <x v="0"/>
    <x v="788"/>
    <x v="141"/>
    <x v="52"/>
    <x v="142"/>
    <x v="319"/>
    <x v="120"/>
    <x v="2272"/>
    <x v="425"/>
    <x v="954"/>
    <x v="1493"/>
    <x v="1564"/>
    <x v="2418"/>
    <x v="1785"/>
    <x v="2266"/>
    <x v="4"/>
    <x v="2399"/>
    <x v="2418"/>
    <x v="517"/>
    <x v="0"/>
    <x v="8"/>
    <x v="4"/>
    <x v="185"/>
    <x v="0"/>
    <x v="384"/>
    <x v="15"/>
    <x v="1"/>
    <x v="1"/>
  </r>
  <r>
    <x v="1"/>
    <x v="24"/>
    <x v="263"/>
    <x v="46"/>
    <x v="17"/>
    <x v="680"/>
    <x v="1"/>
    <x v="2273"/>
    <x v="309"/>
    <x v="1"/>
    <x v="70"/>
    <x v="1516"/>
    <x v="2419"/>
    <x v="2417"/>
    <x v="2267"/>
    <x v="1"/>
    <x v="2400"/>
    <x v="2419"/>
    <x v="638"/>
    <x v="0"/>
    <x v="0"/>
    <x v="4"/>
    <x v="135"/>
    <x v="24"/>
    <x v="44"/>
    <x v="0"/>
    <x v="3"/>
    <x v="1"/>
  </r>
  <r>
    <x v="0"/>
    <x v="689"/>
    <x v="259"/>
    <x v="70"/>
    <x v="285"/>
    <x v="417"/>
    <x v="6"/>
    <x v="2274"/>
    <x v="270"/>
    <x v="6"/>
    <x v="23"/>
    <x v="832"/>
    <x v="2420"/>
    <x v="2418"/>
    <x v="2268"/>
    <x v="1"/>
    <x v="2401"/>
    <x v="2420"/>
    <x v="718"/>
    <x v="0"/>
    <x v="0"/>
    <x v="0"/>
    <x v="135"/>
    <x v="9"/>
    <x v="20"/>
    <x v="8"/>
    <x v="1"/>
    <x v="1"/>
  </r>
  <r>
    <x v="0"/>
    <x v="194"/>
    <x v="202"/>
    <x v="51"/>
    <x v="137"/>
    <x v="777"/>
    <x v="227"/>
    <x v="2275"/>
    <x v="273"/>
    <x v="955"/>
    <x v="1494"/>
    <x v="1779"/>
    <x v="2421"/>
    <x v="2419"/>
    <x v="2269"/>
    <x v="0"/>
    <x v="2402"/>
    <x v="2421"/>
    <x v="550"/>
    <x v="22"/>
    <x v="21"/>
    <x v="4"/>
    <x v="78"/>
    <x v="1"/>
    <x v="4"/>
    <x v="11"/>
    <x v="1"/>
    <x v="1"/>
  </r>
  <r>
    <x v="0"/>
    <x v="129"/>
    <x v="306"/>
    <x v="37"/>
    <x v="0"/>
    <x v="1"/>
    <x v="3"/>
    <x v="2276"/>
    <x v="23"/>
    <x v="3"/>
    <x v="374"/>
    <x v="13"/>
    <x v="2422"/>
    <x v="2420"/>
    <x v="2270"/>
    <x v="2"/>
    <x v="2403"/>
    <x v="2422"/>
    <x v="620"/>
    <x v="0"/>
    <x v="1"/>
    <x v="4"/>
    <x v="135"/>
    <x v="8"/>
    <x v="249"/>
    <x v="11"/>
    <x v="1"/>
    <x v="85"/>
  </r>
  <r>
    <x v="0"/>
    <x v="1007"/>
    <x v="361"/>
    <x v="77"/>
    <x v="328"/>
    <x v="591"/>
    <x v="509"/>
    <x v="2277"/>
    <x v="46"/>
    <x v="956"/>
    <x v="1495"/>
    <x v="1780"/>
    <x v="2423"/>
    <x v="2022"/>
    <x v="2271"/>
    <x v="4"/>
    <x v="2404"/>
    <x v="2423"/>
    <x v="487"/>
    <x v="0"/>
    <x v="0"/>
    <x v="2"/>
    <x v="78"/>
    <x v="26"/>
    <x v="737"/>
    <x v="58"/>
    <x v="3"/>
    <x v="1"/>
  </r>
  <r>
    <x v="0"/>
    <x v="85"/>
    <x v="69"/>
    <x v="13"/>
    <x v="0"/>
    <x v="532"/>
    <x v="510"/>
    <x v="2278"/>
    <x v="270"/>
    <x v="957"/>
    <x v="1496"/>
    <x v="1781"/>
    <x v="2424"/>
    <x v="2421"/>
    <x v="1054"/>
    <x v="0"/>
    <x v="2405"/>
    <x v="2424"/>
    <x v="288"/>
    <x v="0"/>
    <x v="1"/>
    <x v="0"/>
    <x v="135"/>
    <x v="25"/>
    <x v="381"/>
    <x v="6"/>
    <x v="5"/>
    <x v="1"/>
  </r>
  <r>
    <x v="0"/>
    <x v="545"/>
    <x v="383"/>
    <x v="85"/>
    <x v="266"/>
    <x v="790"/>
    <x v="153"/>
    <x v="2279"/>
    <x v="520"/>
    <x v="236"/>
    <x v="1497"/>
    <x v="1782"/>
    <x v="2425"/>
    <x v="2422"/>
    <x v="2272"/>
    <x v="0"/>
    <x v="2406"/>
    <x v="2425"/>
    <x v="327"/>
    <x v="0"/>
    <x v="5"/>
    <x v="2"/>
    <x v="4"/>
    <x v="0"/>
    <x v="409"/>
    <x v="38"/>
    <x v="3"/>
    <x v="1"/>
  </r>
  <r>
    <x v="0"/>
    <x v="1008"/>
    <x v="205"/>
    <x v="52"/>
    <x v="329"/>
    <x v="14"/>
    <x v="41"/>
    <x v="2280"/>
    <x v="109"/>
    <x v="396"/>
    <x v="257"/>
    <x v="1783"/>
    <x v="2426"/>
    <x v="2423"/>
    <x v="2273"/>
    <x v="0"/>
    <x v="2407"/>
    <x v="2426"/>
    <x v="319"/>
    <x v="0"/>
    <x v="35"/>
    <x v="0"/>
    <x v="135"/>
    <x v="6"/>
    <x v="174"/>
    <x v="10"/>
    <x v="1"/>
    <x v="1"/>
  </r>
  <r>
    <x v="0"/>
    <x v="696"/>
    <x v="342"/>
    <x v="26"/>
    <x v="201"/>
    <x v="791"/>
    <x v="2"/>
    <x v="2281"/>
    <x v="127"/>
    <x v="740"/>
    <x v="540"/>
    <x v="1784"/>
    <x v="2427"/>
    <x v="2424"/>
    <x v="2274"/>
    <x v="4"/>
    <x v="2408"/>
    <x v="2427"/>
    <x v="293"/>
    <x v="0"/>
    <x v="0"/>
    <x v="4"/>
    <x v="135"/>
    <x v="17"/>
    <x v="351"/>
    <x v="21"/>
    <x v="1"/>
    <x v="438"/>
  </r>
  <r>
    <x v="0"/>
    <x v="1009"/>
    <x v="72"/>
    <x v="38"/>
    <x v="85"/>
    <x v="322"/>
    <x v="9"/>
    <x v="2282"/>
    <x v="639"/>
    <x v="279"/>
    <x v="54"/>
    <x v="1785"/>
    <x v="2428"/>
    <x v="2425"/>
    <x v="2275"/>
    <x v="4"/>
    <x v="2409"/>
    <x v="2428"/>
    <x v="119"/>
    <x v="0"/>
    <x v="5"/>
    <x v="4"/>
    <x v="135"/>
    <x v="9"/>
    <x v="20"/>
    <x v="1"/>
    <x v="1"/>
    <x v="45"/>
  </r>
  <r>
    <x v="2"/>
    <x v="113"/>
    <x v="369"/>
    <x v="84"/>
    <x v="88"/>
    <x v="417"/>
    <x v="500"/>
    <x v="4"/>
    <x v="498"/>
    <x v="958"/>
    <x v="846"/>
    <x v="1786"/>
    <x v="2429"/>
    <x v="2426"/>
    <x v="1321"/>
    <x v="1"/>
    <x v="2410"/>
    <x v="2429"/>
    <x v="704"/>
    <x v="1"/>
    <x v="0"/>
    <x v="1"/>
    <x v="4"/>
    <x v="4"/>
    <x v="491"/>
    <x v="10"/>
    <x v="2"/>
    <x v="1"/>
  </r>
  <r>
    <x v="1"/>
    <x v="1010"/>
    <x v="140"/>
    <x v="48"/>
    <x v="0"/>
    <x v="403"/>
    <x v="392"/>
    <x v="2283"/>
    <x v="498"/>
    <x v="959"/>
    <x v="1498"/>
    <x v="1787"/>
    <x v="2430"/>
    <x v="2427"/>
    <x v="2276"/>
    <x v="0"/>
    <x v="2411"/>
    <x v="2430"/>
    <x v="858"/>
    <x v="15"/>
    <x v="8"/>
    <x v="4"/>
    <x v="176"/>
    <x v="0"/>
    <x v="474"/>
    <x v="6"/>
    <x v="3"/>
    <x v="1"/>
  </r>
  <r>
    <x v="0"/>
    <x v="1011"/>
    <x v="464"/>
    <x v="80"/>
    <x v="102"/>
    <x v="2"/>
    <x v="48"/>
    <x v="4"/>
    <x v="429"/>
    <x v="81"/>
    <x v="1499"/>
    <x v="1788"/>
    <x v="2431"/>
    <x v="2428"/>
    <x v="2277"/>
    <x v="0"/>
    <x v="4"/>
    <x v="2431"/>
    <x v="843"/>
    <x v="0"/>
    <x v="0"/>
    <x v="1"/>
    <x v="4"/>
    <x v="6"/>
    <x v="366"/>
    <x v="61"/>
    <x v="2"/>
    <x v="353"/>
  </r>
  <r>
    <x v="0"/>
    <x v="1012"/>
    <x v="266"/>
    <x v="41"/>
    <x v="52"/>
    <x v="350"/>
    <x v="0"/>
    <x v="2284"/>
    <x v="640"/>
    <x v="121"/>
    <x v="250"/>
    <x v="1789"/>
    <x v="2432"/>
    <x v="2429"/>
    <x v="2278"/>
    <x v="4"/>
    <x v="2412"/>
    <x v="2432"/>
    <x v="360"/>
    <x v="0"/>
    <x v="0"/>
    <x v="4"/>
    <x v="207"/>
    <x v="43"/>
    <x v="169"/>
    <x v="18"/>
    <x v="3"/>
    <x v="1"/>
  </r>
  <r>
    <x v="0"/>
    <x v="240"/>
    <x v="212"/>
    <x v="33"/>
    <x v="161"/>
    <x v="362"/>
    <x v="0"/>
    <x v="2285"/>
    <x v="171"/>
    <x v="243"/>
    <x v="499"/>
    <x v="270"/>
    <x v="2433"/>
    <x v="2430"/>
    <x v="2206"/>
    <x v="0"/>
    <x v="2413"/>
    <x v="2433"/>
    <x v="454"/>
    <x v="0"/>
    <x v="0"/>
    <x v="4"/>
    <x v="135"/>
    <x v="19"/>
    <x v="323"/>
    <x v="13"/>
    <x v="3"/>
    <x v="43"/>
  </r>
  <r>
    <x v="0"/>
    <x v="554"/>
    <x v="280"/>
    <x v="41"/>
    <x v="269"/>
    <x v="714"/>
    <x v="511"/>
    <x v="2286"/>
    <x v="641"/>
    <x v="960"/>
    <x v="1500"/>
    <x v="1790"/>
    <x v="2434"/>
    <x v="2431"/>
    <x v="1687"/>
    <x v="0"/>
    <x v="2414"/>
    <x v="2434"/>
    <x v="388"/>
    <x v="0"/>
    <x v="0"/>
    <x v="4"/>
    <x v="4"/>
    <x v="9"/>
    <x v="505"/>
    <x v="13"/>
    <x v="1"/>
    <x v="64"/>
  </r>
  <r>
    <x v="0"/>
    <x v="1013"/>
    <x v="241"/>
    <x v="42"/>
    <x v="116"/>
    <x v="105"/>
    <x v="369"/>
    <x v="4"/>
    <x v="168"/>
    <x v="961"/>
    <x v="1501"/>
    <x v="475"/>
    <x v="2435"/>
    <x v="2432"/>
    <x v="2279"/>
    <x v="1"/>
    <x v="2415"/>
    <x v="2435"/>
    <x v="641"/>
    <x v="0"/>
    <x v="8"/>
    <x v="4"/>
    <x v="135"/>
    <x v="8"/>
    <x v="84"/>
    <x v="37"/>
    <x v="1"/>
    <x v="103"/>
  </r>
  <r>
    <x v="0"/>
    <x v="113"/>
    <x v="339"/>
    <x v="157"/>
    <x v="88"/>
    <x v="89"/>
    <x v="329"/>
    <x v="2287"/>
    <x v="393"/>
    <x v="962"/>
    <x v="1502"/>
    <x v="1791"/>
    <x v="2436"/>
    <x v="2433"/>
    <x v="2280"/>
    <x v="0"/>
    <x v="2416"/>
    <x v="2436"/>
    <x v="225"/>
    <x v="0"/>
    <x v="10"/>
    <x v="9"/>
    <x v="4"/>
    <x v="4"/>
    <x v="660"/>
    <x v="16"/>
    <x v="1"/>
    <x v="1"/>
  </r>
  <r>
    <x v="0"/>
    <x v="1014"/>
    <x v="349"/>
    <x v="37"/>
    <x v="330"/>
    <x v="792"/>
    <x v="512"/>
    <x v="4"/>
    <x v="582"/>
    <x v="963"/>
    <x v="1503"/>
    <x v="1792"/>
    <x v="2437"/>
    <x v="2022"/>
    <x v="2281"/>
    <x v="0"/>
    <x v="2417"/>
    <x v="2437"/>
    <x v="822"/>
    <x v="0"/>
    <x v="10"/>
    <x v="9"/>
    <x v="135"/>
    <x v="0"/>
    <x v="213"/>
    <x v="34"/>
    <x v="1"/>
    <x v="439"/>
  </r>
  <r>
    <x v="0"/>
    <x v="1015"/>
    <x v="81"/>
    <x v="61"/>
    <x v="0"/>
    <x v="609"/>
    <x v="179"/>
    <x v="2288"/>
    <x v="642"/>
    <x v="785"/>
    <x v="1504"/>
    <x v="1793"/>
    <x v="2438"/>
    <x v="2434"/>
    <x v="161"/>
    <x v="4"/>
    <x v="2418"/>
    <x v="2438"/>
    <x v="427"/>
    <x v="0"/>
    <x v="13"/>
    <x v="4"/>
    <x v="208"/>
    <x v="15"/>
    <x v="145"/>
    <x v="5"/>
    <x v="1"/>
    <x v="440"/>
  </r>
  <r>
    <x v="0"/>
    <x v="233"/>
    <x v="141"/>
    <x v="101"/>
    <x v="0"/>
    <x v="666"/>
    <x v="0"/>
    <x v="4"/>
    <x v="429"/>
    <x v="964"/>
    <x v="1505"/>
    <x v="1794"/>
    <x v="2439"/>
    <x v="2435"/>
    <x v="2170"/>
    <x v="1"/>
    <x v="2419"/>
    <x v="2439"/>
    <x v="315"/>
    <x v="0"/>
    <x v="0"/>
    <x v="10"/>
    <x v="209"/>
    <x v="39"/>
    <x v="235"/>
    <x v="13"/>
    <x v="3"/>
    <x v="67"/>
  </r>
  <r>
    <x v="0"/>
    <x v="168"/>
    <x v="430"/>
    <x v="80"/>
    <x v="111"/>
    <x v="793"/>
    <x v="0"/>
    <x v="4"/>
    <x v="28"/>
    <x v="513"/>
    <x v="1139"/>
    <x v="1795"/>
    <x v="2440"/>
    <x v="2436"/>
    <x v="2282"/>
    <x v="1"/>
    <x v="2420"/>
    <x v="2440"/>
    <x v="724"/>
    <x v="0"/>
    <x v="0"/>
    <x v="4"/>
    <x v="135"/>
    <x v="6"/>
    <x v="261"/>
    <x v="31"/>
    <x v="2"/>
    <x v="1"/>
  </r>
  <r>
    <x v="0"/>
    <x v="1016"/>
    <x v="356"/>
    <x v="72"/>
    <x v="216"/>
    <x v="691"/>
    <x v="447"/>
    <x v="2289"/>
    <x v="643"/>
    <x v="813"/>
    <x v="381"/>
    <x v="1796"/>
    <x v="2441"/>
    <x v="2437"/>
    <x v="1547"/>
    <x v="0"/>
    <x v="2421"/>
    <x v="2441"/>
    <x v="129"/>
    <x v="0"/>
    <x v="10"/>
    <x v="4"/>
    <x v="137"/>
    <x v="7"/>
    <x v="738"/>
    <x v="10"/>
    <x v="1"/>
    <x v="1"/>
  </r>
  <r>
    <x v="0"/>
    <x v="871"/>
    <x v="399"/>
    <x v="78"/>
    <x v="266"/>
    <x v="215"/>
    <x v="35"/>
    <x v="4"/>
    <x v="134"/>
    <x v="124"/>
    <x v="1313"/>
    <x v="273"/>
    <x v="2051"/>
    <x v="2050"/>
    <x v="1950"/>
    <x v="1"/>
    <x v="4"/>
    <x v="2051"/>
    <x v="769"/>
    <x v="0"/>
    <x v="4"/>
    <x v="4"/>
    <x v="190"/>
    <x v="2"/>
    <x v="30"/>
    <x v="22"/>
    <x v="1"/>
    <x v="1"/>
  </r>
  <r>
    <x v="0"/>
    <x v="810"/>
    <x v="349"/>
    <x v="71"/>
    <x v="190"/>
    <x v="136"/>
    <x v="513"/>
    <x v="4"/>
    <x v="1"/>
    <x v="965"/>
    <x v="1506"/>
    <x v="333"/>
    <x v="2442"/>
    <x v="2438"/>
    <x v="2283"/>
    <x v="1"/>
    <x v="2422"/>
    <x v="2442"/>
    <x v="581"/>
    <x v="0"/>
    <x v="32"/>
    <x v="0"/>
    <x v="210"/>
    <x v="39"/>
    <x v="478"/>
    <x v="40"/>
    <x v="1"/>
    <x v="1"/>
  </r>
  <r>
    <x v="0"/>
    <x v="1017"/>
    <x v="423"/>
    <x v="37"/>
    <x v="262"/>
    <x v="794"/>
    <x v="13"/>
    <x v="4"/>
    <x v="416"/>
    <x v="158"/>
    <x v="166"/>
    <x v="1797"/>
    <x v="2443"/>
    <x v="2439"/>
    <x v="2284"/>
    <x v="4"/>
    <x v="2423"/>
    <x v="2443"/>
    <x v="629"/>
    <x v="0"/>
    <x v="13"/>
    <x v="4"/>
    <x v="137"/>
    <x v="3"/>
    <x v="12"/>
    <x v="5"/>
    <x v="1"/>
    <x v="7"/>
  </r>
  <r>
    <x v="0"/>
    <x v="560"/>
    <x v="127"/>
    <x v="73"/>
    <x v="154"/>
    <x v="454"/>
    <x v="10"/>
    <x v="2290"/>
    <x v="125"/>
    <x v="16"/>
    <x v="1507"/>
    <x v="667"/>
    <x v="2444"/>
    <x v="2440"/>
    <x v="2285"/>
    <x v="4"/>
    <x v="2424"/>
    <x v="2444"/>
    <x v="859"/>
    <x v="0"/>
    <x v="0"/>
    <x v="4"/>
    <x v="78"/>
    <x v="1"/>
    <x v="133"/>
    <x v="32"/>
    <x v="3"/>
    <x v="1"/>
  </r>
  <r>
    <x v="0"/>
    <x v="795"/>
    <x v="402"/>
    <x v="33"/>
    <x v="0"/>
    <x v="462"/>
    <x v="514"/>
    <x v="2291"/>
    <x v="539"/>
    <x v="966"/>
    <x v="1225"/>
    <x v="1259"/>
    <x v="2445"/>
    <x v="2441"/>
    <x v="2286"/>
    <x v="0"/>
    <x v="2425"/>
    <x v="2445"/>
    <x v="727"/>
    <x v="0"/>
    <x v="0"/>
    <x v="0"/>
    <x v="4"/>
    <x v="0"/>
    <x v="427"/>
    <x v="54"/>
    <x v="3"/>
    <x v="381"/>
  </r>
  <r>
    <x v="0"/>
    <x v="1018"/>
    <x v="349"/>
    <x v="43"/>
    <x v="331"/>
    <x v="118"/>
    <x v="2"/>
    <x v="4"/>
    <x v="397"/>
    <x v="967"/>
    <x v="1265"/>
    <x v="147"/>
    <x v="2446"/>
    <x v="2442"/>
    <x v="2287"/>
    <x v="4"/>
    <x v="2426"/>
    <x v="2446"/>
    <x v="705"/>
    <x v="0"/>
    <x v="10"/>
    <x v="4"/>
    <x v="135"/>
    <x v="11"/>
    <x v="656"/>
    <x v="43"/>
    <x v="1"/>
    <x v="1"/>
  </r>
  <r>
    <x v="0"/>
    <x v="107"/>
    <x v="241"/>
    <x v="42"/>
    <x v="84"/>
    <x v="262"/>
    <x v="515"/>
    <x v="2292"/>
    <x v="350"/>
    <x v="968"/>
    <x v="1508"/>
    <x v="1798"/>
    <x v="2447"/>
    <x v="2443"/>
    <x v="2288"/>
    <x v="4"/>
    <x v="2427"/>
    <x v="2447"/>
    <x v="586"/>
    <x v="0"/>
    <x v="0"/>
    <x v="0"/>
    <x v="154"/>
    <x v="8"/>
    <x v="477"/>
    <x v="5"/>
    <x v="3"/>
    <x v="1"/>
  </r>
  <r>
    <x v="0"/>
    <x v="1019"/>
    <x v="273"/>
    <x v="110"/>
    <x v="107"/>
    <x v="375"/>
    <x v="2"/>
    <x v="2293"/>
    <x v="644"/>
    <x v="203"/>
    <x v="705"/>
    <x v="527"/>
    <x v="2448"/>
    <x v="2444"/>
    <x v="2289"/>
    <x v="1"/>
    <x v="2428"/>
    <x v="2448"/>
    <x v="556"/>
    <x v="0"/>
    <x v="0"/>
    <x v="2"/>
    <x v="211"/>
    <x v="12"/>
    <x v="114"/>
    <x v="12"/>
    <x v="3"/>
    <x v="1"/>
  </r>
  <r>
    <x v="0"/>
    <x v="1020"/>
    <x v="94"/>
    <x v="61"/>
    <x v="224"/>
    <x v="357"/>
    <x v="22"/>
    <x v="2294"/>
    <x v="156"/>
    <x v="202"/>
    <x v="624"/>
    <x v="1799"/>
    <x v="2449"/>
    <x v="2445"/>
    <x v="1950"/>
    <x v="1"/>
    <x v="2429"/>
    <x v="2449"/>
    <x v="660"/>
    <x v="0"/>
    <x v="1"/>
    <x v="0"/>
    <x v="211"/>
    <x v="14"/>
    <x v="389"/>
    <x v="14"/>
    <x v="1"/>
    <x v="85"/>
  </r>
  <r>
    <x v="0"/>
    <x v="1021"/>
    <x v="229"/>
    <x v="50"/>
    <x v="146"/>
    <x v="457"/>
    <x v="516"/>
    <x v="2295"/>
    <x v="28"/>
    <x v="969"/>
    <x v="176"/>
    <x v="674"/>
    <x v="2450"/>
    <x v="2446"/>
    <x v="2290"/>
    <x v="1"/>
    <x v="2430"/>
    <x v="2450"/>
    <x v="425"/>
    <x v="0"/>
    <x v="10"/>
    <x v="4"/>
    <x v="151"/>
    <x v="1"/>
    <x v="120"/>
    <x v="22"/>
    <x v="1"/>
    <x v="1"/>
  </r>
  <r>
    <x v="0"/>
    <x v="1022"/>
    <x v="361"/>
    <x v="41"/>
    <x v="239"/>
    <x v="795"/>
    <x v="517"/>
    <x v="2296"/>
    <x v="645"/>
    <x v="970"/>
    <x v="1451"/>
    <x v="1800"/>
    <x v="2451"/>
    <x v="2447"/>
    <x v="2291"/>
    <x v="7"/>
    <x v="2431"/>
    <x v="2451"/>
    <x v="789"/>
    <x v="0"/>
    <x v="0"/>
    <x v="2"/>
    <x v="211"/>
    <x v="9"/>
    <x v="73"/>
    <x v="46"/>
    <x v="1"/>
    <x v="1"/>
  </r>
  <r>
    <x v="0"/>
    <x v="1023"/>
    <x v="303"/>
    <x v="41"/>
    <x v="211"/>
    <x v="1"/>
    <x v="57"/>
    <x v="4"/>
    <x v="3"/>
    <x v="99"/>
    <x v="463"/>
    <x v="1801"/>
    <x v="2452"/>
    <x v="2448"/>
    <x v="2292"/>
    <x v="2"/>
    <x v="2432"/>
    <x v="2452"/>
    <x v="420"/>
    <x v="0"/>
    <x v="0"/>
    <x v="4"/>
    <x v="135"/>
    <x v="11"/>
    <x v="30"/>
    <x v="51"/>
    <x v="1"/>
    <x v="1"/>
  </r>
  <r>
    <x v="0"/>
    <x v="1024"/>
    <x v="428"/>
    <x v="38"/>
    <x v="0"/>
    <x v="570"/>
    <x v="492"/>
    <x v="2297"/>
    <x v="168"/>
    <x v="971"/>
    <x v="1509"/>
    <x v="1802"/>
    <x v="2453"/>
    <x v="1367"/>
    <x v="2293"/>
    <x v="0"/>
    <x v="2433"/>
    <x v="2453"/>
    <x v="450"/>
    <x v="0"/>
    <x v="0"/>
    <x v="4"/>
    <x v="211"/>
    <x v="19"/>
    <x v="736"/>
    <x v="19"/>
    <x v="3"/>
    <x v="309"/>
  </r>
  <r>
    <x v="0"/>
    <x v="315"/>
    <x v="178"/>
    <x v="59"/>
    <x v="197"/>
    <x v="666"/>
    <x v="518"/>
    <x v="2298"/>
    <x v="560"/>
    <x v="972"/>
    <x v="1510"/>
    <x v="1803"/>
    <x v="2454"/>
    <x v="2449"/>
    <x v="2294"/>
    <x v="0"/>
    <x v="2434"/>
    <x v="2454"/>
    <x v="860"/>
    <x v="0"/>
    <x v="0"/>
    <x v="0"/>
    <x v="173"/>
    <x v="18"/>
    <x v="739"/>
    <x v="32"/>
    <x v="3"/>
    <x v="35"/>
  </r>
  <r>
    <x v="0"/>
    <x v="0"/>
    <x v="75"/>
    <x v="39"/>
    <x v="0"/>
    <x v="66"/>
    <x v="35"/>
    <x v="2299"/>
    <x v="5"/>
    <x v="280"/>
    <x v="1511"/>
    <x v="1804"/>
    <x v="2455"/>
    <x v="2450"/>
    <x v="2295"/>
    <x v="1"/>
    <x v="2435"/>
    <x v="2455"/>
    <x v="861"/>
    <x v="0"/>
    <x v="0"/>
    <x v="4"/>
    <x v="206"/>
    <x v="43"/>
    <x v="616"/>
    <x v="26"/>
    <x v="3"/>
    <x v="45"/>
  </r>
  <r>
    <x v="0"/>
    <x v="1025"/>
    <x v="249"/>
    <x v="92"/>
    <x v="124"/>
    <x v="124"/>
    <x v="519"/>
    <x v="2300"/>
    <x v="646"/>
    <x v="973"/>
    <x v="1512"/>
    <x v="1805"/>
    <x v="2456"/>
    <x v="2451"/>
    <x v="2296"/>
    <x v="1"/>
    <x v="2436"/>
    <x v="2456"/>
    <x v="150"/>
    <x v="0"/>
    <x v="0"/>
    <x v="11"/>
    <x v="173"/>
    <x v="53"/>
    <x v="740"/>
    <x v="0"/>
    <x v="5"/>
    <x v="1"/>
  </r>
  <r>
    <x v="0"/>
    <x v="419"/>
    <x v="321"/>
    <x v="77"/>
    <x v="89"/>
    <x v="248"/>
    <x v="230"/>
    <x v="2301"/>
    <x v="236"/>
    <x v="424"/>
    <x v="962"/>
    <x v="920"/>
    <x v="2457"/>
    <x v="2452"/>
    <x v="2297"/>
    <x v="1"/>
    <x v="2437"/>
    <x v="2457"/>
    <x v="315"/>
    <x v="0"/>
    <x v="0"/>
    <x v="4"/>
    <x v="173"/>
    <x v="13"/>
    <x v="9"/>
    <x v="23"/>
    <x v="1"/>
    <x v="1"/>
  </r>
  <r>
    <x v="0"/>
    <x v="626"/>
    <x v="309"/>
    <x v="27"/>
    <x v="74"/>
    <x v="617"/>
    <x v="355"/>
    <x v="2302"/>
    <x v="125"/>
    <x v="641"/>
    <x v="932"/>
    <x v="1806"/>
    <x v="2458"/>
    <x v="2453"/>
    <x v="2298"/>
    <x v="1"/>
    <x v="2438"/>
    <x v="2458"/>
    <x v="568"/>
    <x v="0"/>
    <x v="0"/>
    <x v="4"/>
    <x v="173"/>
    <x v="11"/>
    <x v="83"/>
    <x v="12"/>
    <x v="3"/>
    <x v="57"/>
  </r>
  <r>
    <x v="0"/>
    <x v="690"/>
    <x v="456"/>
    <x v="51"/>
    <x v="286"/>
    <x v="7"/>
    <x v="138"/>
    <x v="2303"/>
    <x v="621"/>
    <x v="459"/>
    <x v="1513"/>
    <x v="7"/>
    <x v="2459"/>
    <x v="2454"/>
    <x v="1762"/>
    <x v="0"/>
    <x v="2439"/>
    <x v="2459"/>
    <x v="683"/>
    <x v="0"/>
    <x v="0"/>
    <x v="4"/>
    <x v="176"/>
    <x v="14"/>
    <x v="738"/>
    <x v="7"/>
    <x v="3"/>
    <x v="1"/>
  </r>
  <r>
    <x v="0"/>
    <x v="426"/>
    <x v="74"/>
    <x v="47"/>
    <x v="232"/>
    <x v="123"/>
    <x v="186"/>
    <x v="2304"/>
    <x v="125"/>
    <x v="974"/>
    <x v="1514"/>
    <x v="1807"/>
    <x v="2460"/>
    <x v="2455"/>
    <x v="2299"/>
    <x v="4"/>
    <x v="2440"/>
    <x v="2460"/>
    <x v="299"/>
    <x v="0"/>
    <x v="0"/>
    <x v="4"/>
    <x v="211"/>
    <x v="7"/>
    <x v="577"/>
    <x v="22"/>
    <x v="1"/>
    <x v="1"/>
  </r>
  <r>
    <x v="0"/>
    <x v="469"/>
    <x v="107"/>
    <x v="59"/>
    <x v="0"/>
    <x v="796"/>
    <x v="35"/>
    <x v="2305"/>
    <x v="381"/>
    <x v="157"/>
    <x v="1515"/>
    <x v="1808"/>
    <x v="2461"/>
    <x v="2456"/>
    <x v="2300"/>
    <x v="0"/>
    <x v="2441"/>
    <x v="2461"/>
    <x v="862"/>
    <x v="0"/>
    <x v="0"/>
    <x v="4"/>
    <x v="212"/>
    <x v="33"/>
    <x v="539"/>
    <x v="0"/>
    <x v="1"/>
    <x v="85"/>
  </r>
  <r>
    <x v="1"/>
    <x v="187"/>
    <x v="189"/>
    <x v="110"/>
    <x v="133"/>
    <x v="362"/>
    <x v="15"/>
    <x v="1118"/>
    <x v="96"/>
    <x v="54"/>
    <x v="804"/>
    <x v="942"/>
    <x v="1161"/>
    <x v="1159"/>
    <x v="1134"/>
    <x v="2"/>
    <x v="1153"/>
    <x v="1161"/>
    <x v="682"/>
    <x v="4"/>
    <x v="9"/>
    <x v="0"/>
    <x v="145"/>
    <x v="19"/>
    <x v="200"/>
    <x v="0"/>
    <x v="1"/>
    <x v="1"/>
  </r>
  <r>
    <x v="0"/>
    <x v="1026"/>
    <x v="460"/>
    <x v="101"/>
    <x v="134"/>
    <x v="247"/>
    <x v="347"/>
    <x v="2306"/>
    <x v="647"/>
    <x v="622"/>
    <x v="1516"/>
    <x v="318"/>
    <x v="2462"/>
    <x v="2457"/>
    <x v="2301"/>
    <x v="1"/>
    <x v="2442"/>
    <x v="2462"/>
    <x v="823"/>
    <x v="0"/>
    <x v="0"/>
    <x v="2"/>
    <x v="173"/>
    <x v="17"/>
    <x v="741"/>
    <x v="37"/>
    <x v="3"/>
    <x v="241"/>
  </r>
  <r>
    <x v="0"/>
    <x v="579"/>
    <x v="392"/>
    <x v="32"/>
    <x v="170"/>
    <x v="797"/>
    <x v="0"/>
    <x v="2307"/>
    <x v="200"/>
    <x v="255"/>
    <x v="681"/>
    <x v="1809"/>
    <x v="2463"/>
    <x v="2458"/>
    <x v="2302"/>
    <x v="7"/>
    <x v="2443"/>
    <x v="2463"/>
    <x v="398"/>
    <x v="0"/>
    <x v="0"/>
    <x v="4"/>
    <x v="173"/>
    <x v="9"/>
    <x v="144"/>
    <x v="10"/>
    <x v="1"/>
    <x v="115"/>
  </r>
  <r>
    <x v="0"/>
    <x v="796"/>
    <x v="72"/>
    <x v="56"/>
    <x v="304"/>
    <x v="232"/>
    <x v="17"/>
    <x v="2308"/>
    <x v="28"/>
    <x v="32"/>
    <x v="400"/>
    <x v="1336"/>
    <x v="2464"/>
    <x v="2459"/>
    <x v="2303"/>
    <x v="0"/>
    <x v="2444"/>
    <x v="2464"/>
    <x v="202"/>
    <x v="0"/>
    <x v="1"/>
    <x v="4"/>
    <x v="173"/>
    <x v="7"/>
    <x v="269"/>
    <x v="10"/>
    <x v="1"/>
    <x v="67"/>
  </r>
  <r>
    <x v="0"/>
    <x v="1027"/>
    <x v="305"/>
    <x v="78"/>
    <x v="79"/>
    <x v="374"/>
    <x v="253"/>
    <x v="2309"/>
    <x v="364"/>
    <x v="464"/>
    <x v="1216"/>
    <x v="1810"/>
    <x v="2465"/>
    <x v="2460"/>
    <x v="2166"/>
    <x v="0"/>
    <x v="2445"/>
    <x v="2465"/>
    <x v="491"/>
    <x v="0"/>
    <x v="4"/>
    <x v="4"/>
    <x v="78"/>
    <x v="5"/>
    <x v="318"/>
    <x v="23"/>
    <x v="3"/>
    <x v="85"/>
  </r>
  <r>
    <x v="0"/>
    <x v="333"/>
    <x v="321"/>
    <x v="45"/>
    <x v="151"/>
    <x v="798"/>
    <x v="0"/>
    <x v="2310"/>
    <x v="127"/>
    <x v="975"/>
    <x v="491"/>
    <x v="1811"/>
    <x v="2466"/>
    <x v="2461"/>
    <x v="2304"/>
    <x v="0"/>
    <x v="2446"/>
    <x v="2466"/>
    <x v="488"/>
    <x v="0"/>
    <x v="0"/>
    <x v="4"/>
    <x v="173"/>
    <x v="19"/>
    <x v="319"/>
    <x v="23"/>
    <x v="3"/>
    <x v="43"/>
  </r>
  <r>
    <x v="0"/>
    <x v="28"/>
    <x v="39"/>
    <x v="31"/>
    <x v="20"/>
    <x v="1"/>
    <x v="25"/>
    <x v="40"/>
    <x v="5"/>
    <x v="30"/>
    <x v="35"/>
    <x v="35"/>
    <x v="40"/>
    <x v="2462"/>
    <x v="2305"/>
    <x v="0"/>
    <x v="40"/>
    <x v="40"/>
    <x v="40"/>
    <x v="0"/>
    <x v="0"/>
    <x v="2"/>
    <x v="18"/>
    <x v="5"/>
    <x v="10"/>
    <x v="2"/>
    <x v="1"/>
    <x v="26"/>
  </r>
  <r>
    <x v="0"/>
    <x v="1028"/>
    <x v="315"/>
    <x v="87"/>
    <x v="69"/>
    <x v="254"/>
    <x v="94"/>
    <x v="2311"/>
    <x v="434"/>
    <x v="166"/>
    <x v="1517"/>
    <x v="1812"/>
    <x v="2467"/>
    <x v="2463"/>
    <x v="322"/>
    <x v="4"/>
    <x v="2447"/>
    <x v="2467"/>
    <x v="63"/>
    <x v="0"/>
    <x v="0"/>
    <x v="0"/>
    <x v="173"/>
    <x v="20"/>
    <x v="742"/>
    <x v="5"/>
    <x v="3"/>
    <x v="1"/>
  </r>
  <r>
    <x v="0"/>
    <x v="985"/>
    <x v="263"/>
    <x v="107"/>
    <x v="58"/>
    <x v="799"/>
    <x v="10"/>
    <x v="2312"/>
    <x v="49"/>
    <x v="413"/>
    <x v="1518"/>
    <x v="1813"/>
    <x v="2468"/>
    <x v="2464"/>
    <x v="2306"/>
    <x v="1"/>
    <x v="2448"/>
    <x v="2468"/>
    <x v="756"/>
    <x v="0"/>
    <x v="0"/>
    <x v="0"/>
    <x v="173"/>
    <x v="10"/>
    <x v="344"/>
    <x v="23"/>
    <x v="1"/>
    <x v="37"/>
  </r>
  <r>
    <x v="0"/>
    <x v="630"/>
    <x v="220"/>
    <x v="26"/>
    <x v="219"/>
    <x v="379"/>
    <x v="0"/>
    <x v="2313"/>
    <x v="429"/>
    <x v="914"/>
    <x v="1519"/>
    <x v="1814"/>
    <x v="2469"/>
    <x v="2465"/>
    <x v="2307"/>
    <x v="0"/>
    <x v="2449"/>
    <x v="2469"/>
    <x v="863"/>
    <x v="0"/>
    <x v="0"/>
    <x v="4"/>
    <x v="159"/>
    <x v="7"/>
    <x v="30"/>
    <x v="21"/>
    <x v="1"/>
    <x v="1"/>
  </r>
  <r>
    <x v="0"/>
    <x v="400"/>
    <x v="346"/>
    <x v="42"/>
    <x v="218"/>
    <x v="800"/>
    <x v="211"/>
    <x v="2314"/>
    <x v="125"/>
    <x v="976"/>
    <x v="619"/>
    <x v="1815"/>
    <x v="2470"/>
    <x v="2466"/>
    <x v="2308"/>
    <x v="1"/>
    <x v="2450"/>
    <x v="2470"/>
    <x v="426"/>
    <x v="0"/>
    <x v="0"/>
    <x v="0"/>
    <x v="173"/>
    <x v="17"/>
    <x v="316"/>
    <x v="23"/>
    <x v="1"/>
    <x v="441"/>
  </r>
  <r>
    <x v="0"/>
    <x v="726"/>
    <x v="316"/>
    <x v="74"/>
    <x v="223"/>
    <x v="700"/>
    <x v="250"/>
    <x v="2315"/>
    <x v="122"/>
    <x v="977"/>
    <x v="1520"/>
    <x v="1816"/>
    <x v="2471"/>
    <x v="2467"/>
    <x v="2309"/>
    <x v="0"/>
    <x v="2451"/>
    <x v="2471"/>
    <x v="536"/>
    <x v="0"/>
    <x v="0"/>
    <x v="2"/>
    <x v="173"/>
    <x v="2"/>
    <x v="663"/>
    <x v="38"/>
    <x v="1"/>
    <x v="90"/>
  </r>
  <r>
    <x v="0"/>
    <x v="1029"/>
    <x v="219"/>
    <x v="77"/>
    <x v="184"/>
    <x v="99"/>
    <x v="350"/>
    <x v="2316"/>
    <x v="125"/>
    <x v="633"/>
    <x v="1279"/>
    <x v="1817"/>
    <x v="2472"/>
    <x v="2468"/>
    <x v="2310"/>
    <x v="6"/>
    <x v="2452"/>
    <x v="2472"/>
    <x v="737"/>
    <x v="0"/>
    <x v="0"/>
    <x v="0"/>
    <x v="4"/>
    <x v="5"/>
    <x v="413"/>
    <x v="41"/>
    <x v="1"/>
    <x v="1"/>
  </r>
  <r>
    <x v="0"/>
    <x v="1030"/>
    <x v="390"/>
    <x v="72"/>
    <x v="255"/>
    <x v="342"/>
    <x v="109"/>
    <x v="2317"/>
    <x v="648"/>
    <x v="978"/>
    <x v="1521"/>
    <x v="1818"/>
    <x v="2473"/>
    <x v="2469"/>
    <x v="2311"/>
    <x v="0"/>
    <x v="2453"/>
    <x v="2473"/>
    <x v="578"/>
    <x v="0"/>
    <x v="0"/>
    <x v="0"/>
    <x v="4"/>
    <x v="7"/>
    <x v="238"/>
    <x v="19"/>
    <x v="1"/>
    <x v="329"/>
  </r>
  <r>
    <x v="0"/>
    <x v="1031"/>
    <x v="386"/>
    <x v="52"/>
    <x v="151"/>
    <x v="108"/>
    <x v="14"/>
    <x v="2318"/>
    <x v="434"/>
    <x v="219"/>
    <x v="1522"/>
    <x v="1819"/>
    <x v="2474"/>
    <x v="2470"/>
    <x v="2312"/>
    <x v="2"/>
    <x v="2454"/>
    <x v="2474"/>
    <x v="384"/>
    <x v="0"/>
    <x v="0"/>
    <x v="0"/>
    <x v="173"/>
    <x v="3"/>
    <x v="743"/>
    <x v="13"/>
    <x v="3"/>
    <x v="88"/>
  </r>
  <r>
    <x v="0"/>
    <x v="621"/>
    <x v="401"/>
    <x v="26"/>
    <x v="107"/>
    <x v="333"/>
    <x v="195"/>
    <x v="2319"/>
    <x v="334"/>
    <x v="363"/>
    <x v="729"/>
    <x v="449"/>
    <x v="2475"/>
    <x v="2471"/>
    <x v="2313"/>
    <x v="4"/>
    <x v="2455"/>
    <x v="2475"/>
    <x v="653"/>
    <x v="0"/>
    <x v="0"/>
    <x v="0"/>
    <x v="148"/>
    <x v="18"/>
    <x v="437"/>
    <x v="41"/>
    <x v="3"/>
    <x v="442"/>
  </r>
  <r>
    <x v="0"/>
    <x v="6"/>
    <x v="211"/>
    <x v="61"/>
    <x v="0"/>
    <x v="124"/>
    <x v="153"/>
    <x v="2320"/>
    <x v="168"/>
    <x v="282"/>
    <x v="418"/>
    <x v="517"/>
    <x v="2476"/>
    <x v="2472"/>
    <x v="2314"/>
    <x v="1"/>
    <x v="2456"/>
    <x v="2476"/>
    <x v="524"/>
    <x v="0"/>
    <x v="1"/>
    <x v="4"/>
    <x v="173"/>
    <x v="20"/>
    <x v="625"/>
    <x v="7"/>
    <x v="3"/>
    <x v="1"/>
  </r>
  <r>
    <x v="0"/>
    <x v="1032"/>
    <x v="225"/>
    <x v="71"/>
    <x v="31"/>
    <x v="648"/>
    <x v="0"/>
    <x v="2321"/>
    <x v="236"/>
    <x v="179"/>
    <x v="348"/>
    <x v="1820"/>
    <x v="2477"/>
    <x v="2473"/>
    <x v="2315"/>
    <x v="0"/>
    <x v="2457"/>
    <x v="2477"/>
    <x v="484"/>
    <x v="0"/>
    <x v="0"/>
    <x v="0"/>
    <x v="173"/>
    <x v="19"/>
    <x v="233"/>
    <x v="30"/>
    <x v="1"/>
    <x v="443"/>
  </r>
  <r>
    <x v="0"/>
    <x v="1033"/>
    <x v="447"/>
    <x v="71"/>
    <x v="0"/>
    <x v="527"/>
    <x v="72"/>
    <x v="2322"/>
    <x v="127"/>
    <x v="979"/>
    <x v="1523"/>
    <x v="1821"/>
    <x v="2478"/>
    <x v="2474"/>
    <x v="2316"/>
    <x v="4"/>
    <x v="2458"/>
    <x v="2478"/>
    <x v="137"/>
    <x v="0"/>
    <x v="0"/>
    <x v="0"/>
    <x v="213"/>
    <x v="7"/>
    <x v="99"/>
    <x v="69"/>
    <x v="8"/>
    <x v="444"/>
  </r>
  <r>
    <x v="0"/>
    <x v="1034"/>
    <x v="402"/>
    <x v="115"/>
    <x v="31"/>
    <x v="667"/>
    <x v="0"/>
    <x v="2323"/>
    <x v="649"/>
    <x v="159"/>
    <x v="1524"/>
    <x v="1822"/>
    <x v="2479"/>
    <x v="2475"/>
    <x v="2199"/>
    <x v="0"/>
    <x v="2459"/>
    <x v="2479"/>
    <x v="820"/>
    <x v="0"/>
    <x v="0"/>
    <x v="3"/>
    <x v="173"/>
    <x v="15"/>
    <x v="263"/>
    <x v="27"/>
    <x v="3"/>
    <x v="445"/>
  </r>
  <r>
    <x v="0"/>
    <x v="274"/>
    <x v="148"/>
    <x v="5"/>
    <x v="332"/>
    <x v="395"/>
    <x v="22"/>
    <x v="2324"/>
    <x v="168"/>
    <x v="202"/>
    <x v="350"/>
    <x v="561"/>
    <x v="2480"/>
    <x v="2476"/>
    <x v="2317"/>
    <x v="1"/>
    <x v="2460"/>
    <x v="2480"/>
    <x v="460"/>
    <x v="0"/>
    <x v="0"/>
    <x v="4"/>
    <x v="173"/>
    <x v="0"/>
    <x v="234"/>
    <x v="10"/>
    <x v="1"/>
    <x v="86"/>
  </r>
  <r>
    <x v="0"/>
    <x v="1035"/>
    <x v="464"/>
    <x v="39"/>
    <x v="163"/>
    <x v="745"/>
    <x v="520"/>
    <x v="4"/>
    <x v="77"/>
    <x v="980"/>
    <x v="1525"/>
    <x v="1823"/>
    <x v="2481"/>
    <x v="2477"/>
    <x v="2318"/>
    <x v="3"/>
    <x v="2461"/>
    <x v="2481"/>
    <x v="724"/>
    <x v="0"/>
    <x v="0"/>
    <x v="10"/>
    <x v="195"/>
    <x v="41"/>
    <x v="81"/>
    <x v="2"/>
    <x v="5"/>
    <x v="446"/>
  </r>
  <r>
    <x v="0"/>
    <x v="1036"/>
    <x v="501"/>
    <x v="45"/>
    <x v="333"/>
    <x v="471"/>
    <x v="154"/>
    <x v="2325"/>
    <x v="429"/>
    <x v="981"/>
    <x v="1526"/>
    <x v="1824"/>
    <x v="2482"/>
    <x v="2478"/>
    <x v="1795"/>
    <x v="0"/>
    <x v="2462"/>
    <x v="2482"/>
    <x v="254"/>
    <x v="0"/>
    <x v="0"/>
    <x v="4"/>
    <x v="173"/>
    <x v="9"/>
    <x v="38"/>
    <x v="12"/>
    <x v="1"/>
    <x v="105"/>
  </r>
  <r>
    <x v="0"/>
    <x v="372"/>
    <x v="356"/>
    <x v="42"/>
    <x v="8"/>
    <x v="733"/>
    <x v="362"/>
    <x v="2326"/>
    <x v="127"/>
    <x v="932"/>
    <x v="1527"/>
    <x v="1825"/>
    <x v="2483"/>
    <x v="2479"/>
    <x v="2319"/>
    <x v="1"/>
    <x v="2463"/>
    <x v="2483"/>
    <x v="678"/>
    <x v="0"/>
    <x v="0"/>
    <x v="0"/>
    <x v="173"/>
    <x v="0"/>
    <x v="238"/>
    <x v="18"/>
    <x v="3"/>
    <x v="1"/>
  </r>
  <r>
    <x v="0"/>
    <x v="166"/>
    <x v="155"/>
    <x v="86"/>
    <x v="8"/>
    <x v="364"/>
    <x v="35"/>
    <x v="2327"/>
    <x v="430"/>
    <x v="65"/>
    <x v="68"/>
    <x v="507"/>
    <x v="2484"/>
    <x v="2480"/>
    <x v="2320"/>
    <x v="5"/>
    <x v="2464"/>
    <x v="2484"/>
    <x v="287"/>
    <x v="0"/>
    <x v="0"/>
    <x v="0"/>
    <x v="166"/>
    <x v="7"/>
    <x v="12"/>
    <x v="34"/>
    <x v="3"/>
    <x v="447"/>
  </r>
  <r>
    <x v="0"/>
    <x v="1037"/>
    <x v="160"/>
    <x v="90"/>
    <x v="188"/>
    <x v="433"/>
    <x v="0"/>
    <x v="2328"/>
    <x v="479"/>
    <x v="51"/>
    <x v="596"/>
    <x v="1095"/>
    <x v="2485"/>
    <x v="2481"/>
    <x v="2321"/>
    <x v="5"/>
    <x v="2465"/>
    <x v="2485"/>
    <x v="545"/>
    <x v="0"/>
    <x v="1"/>
    <x v="2"/>
    <x v="173"/>
    <x v="42"/>
    <x v="325"/>
    <x v="57"/>
    <x v="1"/>
    <x v="103"/>
  </r>
  <r>
    <x v="0"/>
    <x v="1038"/>
    <x v="219"/>
    <x v="50"/>
    <x v="193"/>
    <x v="372"/>
    <x v="417"/>
    <x v="2329"/>
    <x v="270"/>
    <x v="982"/>
    <x v="1528"/>
    <x v="1826"/>
    <x v="2486"/>
    <x v="2482"/>
    <x v="2322"/>
    <x v="0"/>
    <x v="2466"/>
    <x v="2486"/>
    <x v="684"/>
    <x v="0"/>
    <x v="4"/>
    <x v="0"/>
    <x v="4"/>
    <x v="1"/>
    <x v="744"/>
    <x v="47"/>
    <x v="3"/>
    <x v="432"/>
  </r>
  <r>
    <x v="0"/>
    <x v="1039"/>
    <x v="271"/>
    <x v="40"/>
    <x v="44"/>
    <x v="197"/>
    <x v="29"/>
    <x v="2330"/>
    <x v="28"/>
    <x v="74"/>
    <x v="705"/>
    <x v="249"/>
    <x v="2487"/>
    <x v="2483"/>
    <x v="2323"/>
    <x v="4"/>
    <x v="2467"/>
    <x v="2487"/>
    <x v="315"/>
    <x v="0"/>
    <x v="8"/>
    <x v="4"/>
    <x v="173"/>
    <x v="7"/>
    <x v="114"/>
    <x v="38"/>
    <x v="1"/>
    <x v="1"/>
  </r>
  <r>
    <x v="0"/>
    <x v="1040"/>
    <x v="311"/>
    <x v="57"/>
    <x v="134"/>
    <x v="344"/>
    <x v="521"/>
    <x v="2331"/>
    <x v="455"/>
    <x v="983"/>
    <x v="1323"/>
    <x v="1827"/>
    <x v="2488"/>
    <x v="2484"/>
    <x v="2324"/>
    <x v="3"/>
    <x v="2468"/>
    <x v="2488"/>
    <x v="398"/>
    <x v="0"/>
    <x v="0"/>
    <x v="2"/>
    <x v="4"/>
    <x v="14"/>
    <x v="299"/>
    <x v="10"/>
    <x v="1"/>
    <x v="209"/>
  </r>
  <r>
    <x v="0"/>
    <x v="1041"/>
    <x v="152"/>
    <x v="55"/>
    <x v="221"/>
    <x v="2"/>
    <x v="432"/>
    <x v="2332"/>
    <x v="650"/>
    <x v="783"/>
    <x v="1487"/>
    <x v="1828"/>
    <x v="2489"/>
    <x v="2485"/>
    <x v="2325"/>
    <x v="0"/>
    <x v="2469"/>
    <x v="2489"/>
    <x v="510"/>
    <x v="0"/>
    <x v="1"/>
    <x v="0"/>
    <x v="173"/>
    <x v="43"/>
    <x v="734"/>
    <x v="56"/>
    <x v="3"/>
    <x v="448"/>
  </r>
  <r>
    <x v="0"/>
    <x v="222"/>
    <x v="281"/>
    <x v="47"/>
    <x v="153"/>
    <x v="587"/>
    <x v="22"/>
    <x v="2333"/>
    <x v="260"/>
    <x v="295"/>
    <x v="170"/>
    <x v="1829"/>
    <x v="2490"/>
    <x v="2486"/>
    <x v="2326"/>
    <x v="3"/>
    <x v="2470"/>
    <x v="2490"/>
    <x v="864"/>
    <x v="0"/>
    <x v="0"/>
    <x v="0"/>
    <x v="178"/>
    <x v="7"/>
    <x v="114"/>
    <x v="32"/>
    <x v="3"/>
    <x v="61"/>
  </r>
  <r>
    <x v="0"/>
    <x v="1042"/>
    <x v="401"/>
    <x v="58"/>
    <x v="198"/>
    <x v="57"/>
    <x v="522"/>
    <x v="2171"/>
    <x v="513"/>
    <x v="984"/>
    <x v="1529"/>
    <x v="71"/>
    <x v="2491"/>
    <x v="2487"/>
    <x v="778"/>
    <x v="0"/>
    <x v="2471"/>
    <x v="2491"/>
    <x v="788"/>
    <x v="0"/>
    <x v="0"/>
    <x v="2"/>
    <x v="173"/>
    <x v="37"/>
    <x v="170"/>
    <x v="21"/>
    <x v="1"/>
    <x v="1"/>
  </r>
  <r>
    <x v="0"/>
    <x v="133"/>
    <x v="257"/>
    <x v="42"/>
    <x v="98"/>
    <x v="304"/>
    <x v="523"/>
    <x v="2334"/>
    <x v="393"/>
    <x v="985"/>
    <x v="1530"/>
    <x v="1830"/>
    <x v="2492"/>
    <x v="2488"/>
    <x v="2327"/>
    <x v="1"/>
    <x v="2472"/>
    <x v="2492"/>
    <x v="277"/>
    <x v="0"/>
    <x v="25"/>
    <x v="4"/>
    <x v="173"/>
    <x v="17"/>
    <x v="745"/>
    <x v="8"/>
    <x v="1"/>
    <x v="1"/>
  </r>
  <r>
    <x v="0"/>
    <x v="1043"/>
    <x v="257"/>
    <x v="60"/>
    <x v="164"/>
    <x v="237"/>
    <x v="21"/>
    <x v="2335"/>
    <x v="368"/>
    <x v="162"/>
    <x v="1531"/>
    <x v="1831"/>
    <x v="2493"/>
    <x v="2489"/>
    <x v="2328"/>
    <x v="1"/>
    <x v="2473"/>
    <x v="2493"/>
    <x v="592"/>
    <x v="0"/>
    <x v="10"/>
    <x v="4"/>
    <x v="173"/>
    <x v="11"/>
    <x v="746"/>
    <x v="4"/>
    <x v="2"/>
    <x v="1"/>
  </r>
  <r>
    <x v="0"/>
    <x v="826"/>
    <x v="247"/>
    <x v="130"/>
    <x v="307"/>
    <x v="349"/>
    <x v="0"/>
    <x v="2336"/>
    <x v="651"/>
    <x v="84"/>
    <x v="829"/>
    <x v="1832"/>
    <x v="2494"/>
    <x v="2490"/>
    <x v="2329"/>
    <x v="5"/>
    <x v="2474"/>
    <x v="2494"/>
    <x v="102"/>
    <x v="0"/>
    <x v="10"/>
    <x v="4"/>
    <x v="173"/>
    <x v="7"/>
    <x v="485"/>
    <x v="34"/>
    <x v="1"/>
    <x v="1"/>
  </r>
  <r>
    <x v="0"/>
    <x v="1044"/>
    <x v="438"/>
    <x v="110"/>
    <x v="0"/>
    <x v="125"/>
    <x v="217"/>
    <x v="4"/>
    <x v="45"/>
    <x v="403"/>
    <x v="1532"/>
    <x v="1833"/>
    <x v="2495"/>
    <x v="2491"/>
    <x v="2330"/>
    <x v="0"/>
    <x v="2475"/>
    <x v="2495"/>
    <x v="592"/>
    <x v="3"/>
    <x v="10"/>
    <x v="2"/>
    <x v="190"/>
    <x v="8"/>
    <x v="732"/>
    <x v="4"/>
    <x v="2"/>
    <x v="1"/>
  </r>
  <r>
    <x v="0"/>
    <x v="1045"/>
    <x v="438"/>
    <x v="43"/>
    <x v="188"/>
    <x v="554"/>
    <x v="81"/>
    <x v="4"/>
    <x v="652"/>
    <x v="143"/>
    <x v="1533"/>
    <x v="1834"/>
    <x v="2496"/>
    <x v="2492"/>
    <x v="93"/>
    <x v="0"/>
    <x v="2476"/>
    <x v="2496"/>
    <x v="409"/>
    <x v="0"/>
    <x v="0"/>
    <x v="2"/>
    <x v="173"/>
    <x v="47"/>
    <x v="237"/>
    <x v="31"/>
    <x v="1"/>
    <x v="449"/>
  </r>
  <r>
    <x v="0"/>
    <x v="1046"/>
    <x v="118"/>
    <x v="105"/>
    <x v="118"/>
    <x v="312"/>
    <x v="335"/>
    <x v="2337"/>
    <x v="381"/>
    <x v="986"/>
    <x v="1534"/>
    <x v="1835"/>
    <x v="2497"/>
    <x v="2493"/>
    <x v="2331"/>
    <x v="1"/>
    <x v="2477"/>
    <x v="2497"/>
    <x v="586"/>
    <x v="0"/>
    <x v="0"/>
    <x v="0"/>
    <x v="173"/>
    <x v="3"/>
    <x v="477"/>
    <x v="54"/>
    <x v="1"/>
    <x v="1"/>
  </r>
  <r>
    <x v="0"/>
    <x v="1047"/>
    <x v="308"/>
    <x v="58"/>
    <x v="85"/>
    <x v="143"/>
    <x v="22"/>
    <x v="2338"/>
    <x v="535"/>
    <x v="514"/>
    <x v="1485"/>
    <x v="1836"/>
    <x v="2498"/>
    <x v="2494"/>
    <x v="2332"/>
    <x v="1"/>
    <x v="2478"/>
    <x v="2498"/>
    <x v="231"/>
    <x v="0"/>
    <x v="0"/>
    <x v="0"/>
    <x v="214"/>
    <x v="23"/>
    <x v="12"/>
    <x v="2"/>
    <x v="3"/>
    <x v="1"/>
  </r>
  <r>
    <x v="0"/>
    <x v="1048"/>
    <x v="353"/>
    <x v="40"/>
    <x v="164"/>
    <x v="335"/>
    <x v="20"/>
    <x v="2339"/>
    <x v="425"/>
    <x v="21"/>
    <x v="703"/>
    <x v="1837"/>
    <x v="2499"/>
    <x v="2495"/>
    <x v="2333"/>
    <x v="4"/>
    <x v="2479"/>
    <x v="2499"/>
    <x v="241"/>
    <x v="0"/>
    <x v="0"/>
    <x v="4"/>
    <x v="215"/>
    <x v="7"/>
    <x v="13"/>
    <x v="12"/>
    <x v="3"/>
    <x v="1"/>
  </r>
  <r>
    <x v="0"/>
    <x v="222"/>
    <x v="281"/>
    <x v="47"/>
    <x v="153"/>
    <x v="587"/>
    <x v="22"/>
    <x v="2333"/>
    <x v="260"/>
    <x v="295"/>
    <x v="170"/>
    <x v="1829"/>
    <x v="2490"/>
    <x v="2486"/>
    <x v="2326"/>
    <x v="3"/>
    <x v="2470"/>
    <x v="2490"/>
    <x v="864"/>
    <x v="0"/>
    <x v="0"/>
    <x v="0"/>
    <x v="178"/>
    <x v="7"/>
    <x v="114"/>
    <x v="32"/>
    <x v="3"/>
    <x v="61"/>
  </r>
  <r>
    <x v="0"/>
    <x v="78"/>
    <x v="277"/>
    <x v="51"/>
    <x v="0"/>
    <x v="125"/>
    <x v="327"/>
    <x v="2340"/>
    <x v="152"/>
    <x v="987"/>
    <x v="1535"/>
    <x v="710"/>
    <x v="2500"/>
    <x v="2496"/>
    <x v="2334"/>
    <x v="4"/>
    <x v="2480"/>
    <x v="2500"/>
    <x v="623"/>
    <x v="0"/>
    <x v="0"/>
    <x v="4"/>
    <x v="159"/>
    <x v="42"/>
    <x v="172"/>
    <x v="38"/>
    <x v="3"/>
    <x v="1"/>
  </r>
  <r>
    <x v="0"/>
    <x v="106"/>
    <x v="474"/>
    <x v="16"/>
    <x v="0"/>
    <x v="1"/>
    <x v="9"/>
    <x v="2341"/>
    <x v="17"/>
    <x v="9"/>
    <x v="23"/>
    <x v="13"/>
    <x v="2501"/>
    <x v="2497"/>
    <x v="2335"/>
    <x v="4"/>
    <x v="2481"/>
    <x v="2501"/>
    <x v="216"/>
    <x v="0"/>
    <x v="0"/>
    <x v="2"/>
    <x v="214"/>
    <x v="16"/>
    <x v="20"/>
    <x v="16"/>
    <x v="3"/>
    <x v="1"/>
  </r>
  <r>
    <x v="0"/>
    <x v="1049"/>
    <x v="322"/>
    <x v="60"/>
    <x v="31"/>
    <x v="254"/>
    <x v="2"/>
    <x v="2342"/>
    <x v="425"/>
    <x v="203"/>
    <x v="1536"/>
    <x v="1838"/>
    <x v="2502"/>
    <x v="2498"/>
    <x v="2336"/>
    <x v="1"/>
    <x v="2482"/>
    <x v="2502"/>
    <x v="748"/>
    <x v="0"/>
    <x v="1"/>
    <x v="2"/>
    <x v="214"/>
    <x v="1"/>
    <x v="540"/>
    <x v="1"/>
    <x v="1"/>
    <x v="1"/>
  </r>
  <r>
    <x v="0"/>
    <x v="1050"/>
    <x v="365"/>
    <x v="26"/>
    <x v="174"/>
    <x v="103"/>
    <x v="524"/>
    <x v="2343"/>
    <x v="127"/>
    <x v="988"/>
    <x v="180"/>
    <x v="1839"/>
    <x v="2503"/>
    <x v="2499"/>
    <x v="2337"/>
    <x v="4"/>
    <x v="2483"/>
    <x v="2503"/>
    <x v="724"/>
    <x v="0"/>
    <x v="0"/>
    <x v="0"/>
    <x v="214"/>
    <x v="1"/>
    <x v="122"/>
    <x v="22"/>
    <x v="1"/>
    <x v="1"/>
  </r>
  <r>
    <x v="0"/>
    <x v="1051"/>
    <x v="287"/>
    <x v="51"/>
    <x v="129"/>
    <x v="201"/>
    <x v="354"/>
    <x v="2344"/>
    <x v="270"/>
    <x v="637"/>
    <x v="291"/>
    <x v="1348"/>
    <x v="2504"/>
    <x v="2500"/>
    <x v="2338"/>
    <x v="0"/>
    <x v="2484"/>
    <x v="2504"/>
    <x v="865"/>
    <x v="0"/>
    <x v="0"/>
    <x v="4"/>
    <x v="159"/>
    <x v="17"/>
    <x v="196"/>
    <x v="32"/>
    <x v="3"/>
    <x v="1"/>
  </r>
  <r>
    <x v="0"/>
    <x v="110"/>
    <x v="368"/>
    <x v="57"/>
    <x v="86"/>
    <x v="1"/>
    <x v="49"/>
    <x v="2345"/>
    <x v="200"/>
    <x v="86"/>
    <x v="436"/>
    <x v="1840"/>
    <x v="2505"/>
    <x v="2501"/>
    <x v="2339"/>
    <x v="0"/>
    <x v="2485"/>
    <x v="2505"/>
    <x v="228"/>
    <x v="0"/>
    <x v="0"/>
    <x v="2"/>
    <x v="216"/>
    <x v="30"/>
    <x v="30"/>
    <x v="25"/>
    <x v="3"/>
    <x v="33"/>
  </r>
  <r>
    <x v="0"/>
    <x v="1052"/>
    <x v="274"/>
    <x v="18"/>
    <x v="334"/>
    <x v="404"/>
    <x v="113"/>
    <x v="2346"/>
    <x v="125"/>
    <x v="435"/>
    <x v="420"/>
    <x v="1841"/>
    <x v="2506"/>
    <x v="2502"/>
    <x v="2340"/>
    <x v="4"/>
    <x v="2486"/>
    <x v="2506"/>
    <x v="16"/>
    <x v="0"/>
    <x v="0"/>
    <x v="0"/>
    <x v="178"/>
    <x v="24"/>
    <x v="50"/>
    <x v="11"/>
    <x v="3"/>
    <x v="1"/>
  </r>
  <r>
    <x v="0"/>
    <x v="340"/>
    <x v="277"/>
    <x v="71"/>
    <x v="0"/>
    <x v="312"/>
    <x v="525"/>
    <x v="2347"/>
    <x v="105"/>
    <x v="989"/>
    <x v="1537"/>
    <x v="1842"/>
    <x v="2507"/>
    <x v="2503"/>
    <x v="2341"/>
    <x v="0"/>
    <x v="2487"/>
    <x v="2507"/>
    <x v="155"/>
    <x v="0"/>
    <x v="0"/>
    <x v="4"/>
    <x v="178"/>
    <x v="30"/>
    <x v="548"/>
    <x v="32"/>
    <x v="3"/>
    <x v="1"/>
  </r>
  <r>
    <x v="0"/>
    <x v="859"/>
    <x v="212"/>
    <x v="74"/>
    <x v="0"/>
    <x v="385"/>
    <x v="156"/>
    <x v="2348"/>
    <x v="270"/>
    <x v="289"/>
    <x v="1538"/>
    <x v="1843"/>
    <x v="2508"/>
    <x v="2504"/>
    <x v="2342"/>
    <x v="0"/>
    <x v="2488"/>
    <x v="2508"/>
    <x v="142"/>
    <x v="0"/>
    <x v="0"/>
    <x v="4"/>
    <x v="178"/>
    <x v="26"/>
    <x v="341"/>
    <x v="6"/>
    <x v="3"/>
    <x v="1"/>
  </r>
  <r>
    <x v="0"/>
    <x v="235"/>
    <x v="280"/>
    <x v="50"/>
    <x v="157"/>
    <x v="798"/>
    <x v="0"/>
    <x v="2349"/>
    <x v="125"/>
    <x v="990"/>
    <x v="1343"/>
    <x v="1811"/>
    <x v="2509"/>
    <x v="2505"/>
    <x v="1751"/>
    <x v="7"/>
    <x v="2489"/>
    <x v="2509"/>
    <x v="529"/>
    <x v="0"/>
    <x v="0"/>
    <x v="4"/>
    <x v="217"/>
    <x v="21"/>
    <x v="81"/>
    <x v="12"/>
    <x v="3"/>
    <x v="1"/>
  </r>
  <r>
    <x v="0"/>
    <x v="355"/>
    <x v="334"/>
    <x v="11"/>
    <x v="210"/>
    <x v="632"/>
    <x v="29"/>
    <x v="2350"/>
    <x v="334"/>
    <x v="74"/>
    <x v="1539"/>
    <x v="1844"/>
    <x v="2510"/>
    <x v="2506"/>
    <x v="2343"/>
    <x v="0"/>
    <x v="2490"/>
    <x v="2510"/>
    <x v="312"/>
    <x v="0"/>
    <x v="0"/>
    <x v="4"/>
    <x v="178"/>
    <x v="15"/>
    <x v="579"/>
    <x v="21"/>
    <x v="3"/>
    <x v="1"/>
  </r>
  <r>
    <x v="1"/>
    <x v="1053"/>
    <x v="83"/>
    <x v="7"/>
    <x v="335"/>
    <x v="555"/>
    <x v="526"/>
    <x v="2351"/>
    <x v="105"/>
    <x v="991"/>
    <x v="554"/>
    <x v="1405"/>
    <x v="2511"/>
    <x v="2507"/>
    <x v="2344"/>
    <x v="0"/>
    <x v="2491"/>
    <x v="2511"/>
    <x v="866"/>
    <x v="0"/>
    <x v="10"/>
    <x v="0"/>
    <x v="159"/>
    <x v="10"/>
    <x v="80"/>
    <x v="25"/>
    <x v="8"/>
    <x v="26"/>
  </r>
  <r>
    <x v="0"/>
    <x v="331"/>
    <x v="305"/>
    <x v="71"/>
    <x v="203"/>
    <x v="600"/>
    <x v="14"/>
    <x v="2352"/>
    <x v="164"/>
    <x v="61"/>
    <x v="1540"/>
    <x v="1845"/>
    <x v="2512"/>
    <x v="2508"/>
    <x v="2345"/>
    <x v="1"/>
    <x v="2492"/>
    <x v="2512"/>
    <x v="273"/>
    <x v="0"/>
    <x v="0"/>
    <x v="0"/>
    <x v="178"/>
    <x v="0"/>
    <x v="183"/>
    <x v="30"/>
    <x v="1"/>
    <x v="1"/>
  </r>
  <r>
    <x v="0"/>
    <x v="470"/>
    <x v="471"/>
    <x v="50"/>
    <x v="0"/>
    <x v="363"/>
    <x v="57"/>
    <x v="2353"/>
    <x v="621"/>
    <x v="99"/>
    <x v="70"/>
    <x v="505"/>
    <x v="2513"/>
    <x v="2509"/>
    <x v="2346"/>
    <x v="4"/>
    <x v="2493"/>
    <x v="2513"/>
    <x v="455"/>
    <x v="0"/>
    <x v="0"/>
    <x v="0"/>
    <x v="178"/>
    <x v="3"/>
    <x v="44"/>
    <x v="6"/>
    <x v="3"/>
    <x v="73"/>
  </r>
  <r>
    <x v="0"/>
    <x v="88"/>
    <x v="128"/>
    <x v="105"/>
    <x v="70"/>
    <x v="507"/>
    <x v="24"/>
    <x v="2354"/>
    <x v="429"/>
    <x v="362"/>
    <x v="1541"/>
    <x v="1846"/>
    <x v="2514"/>
    <x v="2510"/>
    <x v="2347"/>
    <x v="0"/>
    <x v="2494"/>
    <x v="2514"/>
    <x v="196"/>
    <x v="0"/>
    <x v="0"/>
    <x v="4"/>
    <x v="178"/>
    <x v="7"/>
    <x v="9"/>
    <x v="18"/>
    <x v="3"/>
    <x v="1"/>
  </r>
  <r>
    <x v="0"/>
    <x v="1054"/>
    <x v="431"/>
    <x v="70"/>
    <x v="107"/>
    <x v="203"/>
    <x v="527"/>
    <x v="2355"/>
    <x v="270"/>
    <x v="992"/>
    <x v="1542"/>
    <x v="1847"/>
    <x v="2515"/>
    <x v="2511"/>
    <x v="2348"/>
    <x v="0"/>
    <x v="1485"/>
    <x v="2515"/>
    <x v="737"/>
    <x v="0"/>
    <x v="0"/>
    <x v="0"/>
    <x v="206"/>
    <x v="6"/>
    <x v="747"/>
    <x v="28"/>
    <x v="1"/>
    <x v="1"/>
  </r>
  <r>
    <x v="0"/>
    <x v="1055"/>
    <x v="392"/>
    <x v="110"/>
    <x v="31"/>
    <x v="771"/>
    <x v="528"/>
    <x v="2356"/>
    <x v="238"/>
    <x v="993"/>
    <x v="946"/>
    <x v="1654"/>
    <x v="2516"/>
    <x v="2512"/>
    <x v="2349"/>
    <x v="4"/>
    <x v="2495"/>
    <x v="2516"/>
    <x v="649"/>
    <x v="0"/>
    <x v="0"/>
    <x v="2"/>
    <x v="178"/>
    <x v="19"/>
    <x v="532"/>
    <x v="47"/>
    <x v="3"/>
    <x v="103"/>
  </r>
  <r>
    <x v="0"/>
    <x v="37"/>
    <x v="115"/>
    <x v="52"/>
    <x v="0"/>
    <x v="701"/>
    <x v="522"/>
    <x v="2357"/>
    <x v="653"/>
    <x v="994"/>
    <x v="1543"/>
    <x v="1848"/>
    <x v="2517"/>
    <x v="2513"/>
    <x v="2350"/>
    <x v="0"/>
    <x v="2496"/>
    <x v="2517"/>
    <x v="867"/>
    <x v="6"/>
    <x v="13"/>
    <x v="4"/>
    <x v="179"/>
    <x v="7"/>
    <x v="73"/>
    <x v="17"/>
    <x v="3"/>
    <x v="41"/>
  </r>
  <r>
    <x v="0"/>
    <x v="113"/>
    <x v="320"/>
    <x v="84"/>
    <x v="88"/>
    <x v="615"/>
    <x v="0"/>
    <x v="4"/>
    <x v="266"/>
    <x v="406"/>
    <x v="1544"/>
    <x v="1034"/>
    <x v="2518"/>
    <x v="2514"/>
    <x v="2351"/>
    <x v="0"/>
    <x v="4"/>
    <x v="2518"/>
    <x v="448"/>
    <x v="0"/>
    <x v="0"/>
    <x v="1"/>
    <x v="4"/>
    <x v="4"/>
    <x v="748"/>
    <x v="4"/>
    <x v="12"/>
    <x v="1"/>
  </r>
  <r>
    <x v="0"/>
    <x v="433"/>
    <x v="359"/>
    <x v="50"/>
    <x v="125"/>
    <x v="246"/>
    <x v="0"/>
    <x v="2358"/>
    <x v="654"/>
    <x v="995"/>
    <x v="1545"/>
    <x v="1287"/>
    <x v="2519"/>
    <x v="2515"/>
    <x v="2352"/>
    <x v="0"/>
    <x v="2497"/>
    <x v="2519"/>
    <x v="327"/>
    <x v="0"/>
    <x v="0"/>
    <x v="2"/>
    <x v="82"/>
    <x v="18"/>
    <x v="30"/>
    <x v="28"/>
    <x v="3"/>
    <x v="450"/>
  </r>
  <r>
    <x v="1"/>
    <x v="265"/>
    <x v="438"/>
    <x v="29"/>
    <x v="175"/>
    <x v="44"/>
    <x v="206"/>
    <x v="2359"/>
    <x v="368"/>
    <x v="558"/>
    <x v="149"/>
    <x v="1849"/>
    <x v="2520"/>
    <x v="2516"/>
    <x v="2353"/>
    <x v="4"/>
    <x v="2498"/>
    <x v="2520"/>
    <x v="671"/>
    <x v="0"/>
    <x v="0"/>
    <x v="4"/>
    <x v="178"/>
    <x v="18"/>
    <x v="100"/>
    <x v="21"/>
    <x v="3"/>
    <x v="103"/>
  </r>
  <r>
    <x v="0"/>
    <x v="1056"/>
    <x v="291"/>
    <x v="43"/>
    <x v="129"/>
    <x v="366"/>
    <x v="22"/>
    <x v="2360"/>
    <x v="327"/>
    <x v="867"/>
    <x v="1546"/>
    <x v="984"/>
    <x v="2521"/>
    <x v="2517"/>
    <x v="2354"/>
    <x v="1"/>
    <x v="2499"/>
    <x v="2521"/>
    <x v="231"/>
    <x v="0"/>
    <x v="0"/>
    <x v="0"/>
    <x v="178"/>
    <x v="10"/>
    <x v="30"/>
    <x v="30"/>
    <x v="1"/>
    <x v="1"/>
  </r>
  <r>
    <x v="0"/>
    <x v="575"/>
    <x v="239"/>
    <x v="43"/>
    <x v="195"/>
    <x v="51"/>
    <x v="529"/>
    <x v="2361"/>
    <x v="371"/>
    <x v="996"/>
    <x v="667"/>
    <x v="605"/>
    <x v="2522"/>
    <x v="2518"/>
    <x v="2355"/>
    <x v="0"/>
    <x v="2500"/>
    <x v="2522"/>
    <x v="49"/>
    <x v="0"/>
    <x v="0"/>
    <x v="0"/>
    <x v="218"/>
    <x v="18"/>
    <x v="325"/>
    <x v="18"/>
    <x v="3"/>
    <x v="1"/>
  </r>
  <r>
    <x v="0"/>
    <x v="1057"/>
    <x v="361"/>
    <x v="47"/>
    <x v="80"/>
    <x v="636"/>
    <x v="530"/>
    <x v="2362"/>
    <x v="339"/>
    <x v="997"/>
    <x v="1547"/>
    <x v="1850"/>
    <x v="2523"/>
    <x v="2519"/>
    <x v="2356"/>
    <x v="4"/>
    <x v="2501"/>
    <x v="2523"/>
    <x v="547"/>
    <x v="0"/>
    <x v="0"/>
    <x v="4"/>
    <x v="159"/>
    <x v="23"/>
    <x v="736"/>
    <x v="34"/>
    <x v="3"/>
    <x v="1"/>
  </r>
  <r>
    <x v="0"/>
    <x v="229"/>
    <x v="456"/>
    <x v="61"/>
    <x v="16"/>
    <x v="629"/>
    <x v="531"/>
    <x v="2363"/>
    <x v="655"/>
    <x v="998"/>
    <x v="1548"/>
    <x v="1425"/>
    <x v="2524"/>
    <x v="2520"/>
    <x v="2341"/>
    <x v="1"/>
    <x v="2502"/>
    <x v="2524"/>
    <x v="868"/>
    <x v="0"/>
    <x v="1"/>
    <x v="4"/>
    <x v="83"/>
    <x v="1"/>
    <x v="440"/>
    <x v="0"/>
    <x v="1"/>
    <x v="16"/>
  </r>
  <r>
    <x v="0"/>
    <x v="1058"/>
    <x v="310"/>
    <x v="37"/>
    <x v="5"/>
    <x v="473"/>
    <x v="54"/>
    <x v="2364"/>
    <x v="200"/>
    <x v="96"/>
    <x v="542"/>
    <x v="932"/>
    <x v="2525"/>
    <x v="2521"/>
    <x v="2357"/>
    <x v="2"/>
    <x v="2503"/>
    <x v="2525"/>
    <x v="310"/>
    <x v="0"/>
    <x v="0"/>
    <x v="0"/>
    <x v="214"/>
    <x v="8"/>
    <x v="352"/>
    <x v="41"/>
    <x v="3"/>
    <x v="1"/>
  </r>
  <r>
    <x v="0"/>
    <x v="696"/>
    <x v="101"/>
    <x v="45"/>
    <x v="201"/>
    <x v="564"/>
    <x v="32"/>
    <x v="2365"/>
    <x v="17"/>
    <x v="59"/>
    <x v="32"/>
    <x v="1851"/>
    <x v="2526"/>
    <x v="2522"/>
    <x v="2358"/>
    <x v="0"/>
    <x v="2504"/>
    <x v="2526"/>
    <x v="787"/>
    <x v="0"/>
    <x v="13"/>
    <x v="0"/>
    <x v="219"/>
    <x v="8"/>
    <x v="26"/>
    <x v="13"/>
    <x v="3"/>
    <x v="57"/>
  </r>
  <r>
    <x v="0"/>
    <x v="1059"/>
    <x v="384"/>
    <x v="158"/>
    <x v="78"/>
    <x v="581"/>
    <x v="439"/>
    <x v="4"/>
    <x v="426"/>
    <x v="999"/>
    <x v="1549"/>
    <x v="1178"/>
    <x v="2527"/>
    <x v="2523"/>
    <x v="266"/>
    <x v="1"/>
    <x v="2505"/>
    <x v="2527"/>
    <x v="487"/>
    <x v="23"/>
    <x v="36"/>
    <x v="1"/>
    <x v="131"/>
    <x v="1"/>
    <x v="497"/>
    <x v="4"/>
    <x v="1"/>
    <x v="1"/>
  </r>
  <r>
    <x v="0"/>
    <x v="903"/>
    <x v="225"/>
    <x v="7"/>
    <x v="192"/>
    <x v="758"/>
    <x v="10"/>
    <x v="2041"/>
    <x v="125"/>
    <x v="375"/>
    <x v="488"/>
    <x v="1601"/>
    <x v="2155"/>
    <x v="2156"/>
    <x v="2041"/>
    <x v="12"/>
    <x v="2142"/>
    <x v="2155"/>
    <x v="835"/>
    <x v="0"/>
    <x v="0"/>
    <x v="4"/>
    <x v="78"/>
    <x v="6"/>
    <x v="30"/>
    <x v="10"/>
    <x v="2"/>
    <x v="45"/>
  </r>
  <r>
    <x v="0"/>
    <x v="1060"/>
    <x v="334"/>
    <x v="50"/>
    <x v="143"/>
    <x v="220"/>
    <x v="22"/>
    <x v="2366"/>
    <x v="105"/>
    <x v="374"/>
    <x v="1550"/>
    <x v="1852"/>
    <x v="2528"/>
    <x v="2524"/>
    <x v="2359"/>
    <x v="3"/>
    <x v="2506"/>
    <x v="2528"/>
    <x v="227"/>
    <x v="0"/>
    <x v="0"/>
    <x v="0"/>
    <x v="178"/>
    <x v="21"/>
    <x v="346"/>
    <x v="43"/>
    <x v="3"/>
    <x v="451"/>
  </r>
  <r>
    <x v="0"/>
    <x v="1061"/>
    <x v="280"/>
    <x v="56"/>
    <x v="143"/>
    <x v="635"/>
    <x v="103"/>
    <x v="2367"/>
    <x v="270"/>
    <x v="323"/>
    <x v="271"/>
    <x v="1853"/>
    <x v="2529"/>
    <x v="2525"/>
    <x v="2360"/>
    <x v="0"/>
    <x v="2507"/>
    <x v="2529"/>
    <x v="372"/>
    <x v="0"/>
    <x v="0"/>
    <x v="0"/>
    <x v="178"/>
    <x v="19"/>
    <x v="183"/>
    <x v="13"/>
    <x v="3"/>
    <x v="1"/>
  </r>
  <r>
    <x v="0"/>
    <x v="414"/>
    <x v="31"/>
    <x v="86"/>
    <x v="176"/>
    <x v="279"/>
    <x v="6"/>
    <x v="2368"/>
    <x v="63"/>
    <x v="6"/>
    <x v="1551"/>
    <x v="1854"/>
    <x v="2530"/>
    <x v="2526"/>
    <x v="2361"/>
    <x v="1"/>
    <x v="2508"/>
    <x v="2530"/>
    <x v="642"/>
    <x v="0"/>
    <x v="0"/>
    <x v="4"/>
    <x v="178"/>
    <x v="0"/>
    <x v="246"/>
    <x v="37"/>
    <x v="3"/>
    <x v="71"/>
  </r>
  <r>
    <x v="0"/>
    <x v="1062"/>
    <x v="274"/>
    <x v="45"/>
    <x v="188"/>
    <x v="371"/>
    <x v="94"/>
    <x v="2369"/>
    <x v="656"/>
    <x v="166"/>
    <x v="1485"/>
    <x v="1855"/>
    <x v="2531"/>
    <x v="2527"/>
    <x v="2362"/>
    <x v="0"/>
    <x v="2509"/>
    <x v="2531"/>
    <x v="627"/>
    <x v="0"/>
    <x v="0"/>
    <x v="0"/>
    <x v="178"/>
    <x v="21"/>
    <x v="12"/>
    <x v="23"/>
    <x v="3"/>
    <x v="452"/>
  </r>
  <r>
    <x v="0"/>
    <x v="696"/>
    <x v="272"/>
    <x v="76"/>
    <x v="201"/>
    <x v="87"/>
    <x v="179"/>
    <x v="2370"/>
    <x v="125"/>
    <x v="420"/>
    <x v="1552"/>
    <x v="367"/>
    <x v="2532"/>
    <x v="2528"/>
    <x v="1596"/>
    <x v="0"/>
    <x v="2510"/>
    <x v="2532"/>
    <x v="552"/>
    <x v="0"/>
    <x v="0"/>
    <x v="2"/>
    <x v="178"/>
    <x v="42"/>
    <x v="206"/>
    <x v="32"/>
    <x v="3"/>
    <x v="1"/>
  </r>
  <r>
    <x v="0"/>
    <x v="991"/>
    <x v="244"/>
    <x v="47"/>
    <x v="26"/>
    <x v="560"/>
    <x v="25"/>
    <x v="2229"/>
    <x v="635"/>
    <x v="76"/>
    <x v="1467"/>
    <x v="1745"/>
    <x v="2370"/>
    <x v="2370"/>
    <x v="2223"/>
    <x v="1"/>
    <x v="2351"/>
    <x v="2370"/>
    <x v="278"/>
    <x v="0"/>
    <x v="0"/>
    <x v="0"/>
    <x v="178"/>
    <x v="11"/>
    <x v="30"/>
    <x v="69"/>
    <x v="1"/>
    <x v="77"/>
  </r>
  <r>
    <x v="0"/>
    <x v="1063"/>
    <x v="287"/>
    <x v="18"/>
    <x v="44"/>
    <x v="790"/>
    <x v="20"/>
    <x v="2371"/>
    <x v="17"/>
    <x v="83"/>
    <x v="980"/>
    <x v="1856"/>
    <x v="2533"/>
    <x v="2529"/>
    <x v="2363"/>
    <x v="0"/>
    <x v="2511"/>
    <x v="2533"/>
    <x v="336"/>
    <x v="0"/>
    <x v="0"/>
    <x v="0"/>
    <x v="178"/>
    <x v="5"/>
    <x v="441"/>
    <x v="13"/>
    <x v="3"/>
    <x v="4"/>
  </r>
  <r>
    <x v="0"/>
    <x v="1064"/>
    <x v="303"/>
    <x v="59"/>
    <x v="85"/>
    <x v="120"/>
    <x v="326"/>
    <x v="2372"/>
    <x v="105"/>
    <x v="581"/>
    <x v="1553"/>
    <x v="1857"/>
    <x v="2534"/>
    <x v="1701"/>
    <x v="2364"/>
    <x v="1"/>
    <x v="2512"/>
    <x v="2534"/>
    <x v="581"/>
    <x v="0"/>
    <x v="0"/>
    <x v="0"/>
    <x v="178"/>
    <x v="17"/>
    <x v="303"/>
    <x v="20"/>
    <x v="3"/>
    <x v="453"/>
  </r>
  <r>
    <x v="0"/>
    <x v="835"/>
    <x v="464"/>
    <x v="72"/>
    <x v="308"/>
    <x v="59"/>
    <x v="2"/>
    <x v="2373"/>
    <x v="194"/>
    <x v="172"/>
    <x v="1554"/>
    <x v="1602"/>
    <x v="2535"/>
    <x v="2530"/>
    <x v="2365"/>
    <x v="0"/>
    <x v="2513"/>
    <x v="2535"/>
    <x v="650"/>
    <x v="0"/>
    <x v="0"/>
    <x v="0"/>
    <x v="78"/>
    <x v="32"/>
    <x v="13"/>
    <x v="31"/>
    <x v="3"/>
    <x v="454"/>
  </r>
  <r>
    <x v="0"/>
    <x v="250"/>
    <x v="373"/>
    <x v="31"/>
    <x v="168"/>
    <x v="194"/>
    <x v="11"/>
    <x v="2374"/>
    <x v="270"/>
    <x v="156"/>
    <x v="404"/>
    <x v="1858"/>
    <x v="2536"/>
    <x v="2531"/>
    <x v="2366"/>
    <x v="4"/>
    <x v="2514"/>
    <x v="2536"/>
    <x v="292"/>
    <x v="0"/>
    <x v="0"/>
    <x v="0"/>
    <x v="140"/>
    <x v="27"/>
    <x v="28"/>
    <x v="16"/>
    <x v="3"/>
    <x v="1"/>
  </r>
  <r>
    <x v="0"/>
    <x v="1065"/>
    <x v="387"/>
    <x v="7"/>
    <x v="134"/>
    <x v="645"/>
    <x v="237"/>
    <x v="2375"/>
    <x v="361"/>
    <x v="1000"/>
    <x v="497"/>
    <x v="1859"/>
    <x v="2537"/>
    <x v="2532"/>
    <x v="2367"/>
    <x v="0"/>
    <x v="2515"/>
    <x v="2537"/>
    <x v="529"/>
    <x v="0"/>
    <x v="8"/>
    <x v="4"/>
    <x v="178"/>
    <x v="15"/>
    <x v="321"/>
    <x v="15"/>
    <x v="1"/>
    <x v="1"/>
  </r>
  <r>
    <x v="0"/>
    <x v="1066"/>
    <x v="152"/>
    <x v="55"/>
    <x v="221"/>
    <x v="801"/>
    <x v="0"/>
    <x v="2376"/>
    <x v="125"/>
    <x v="1001"/>
    <x v="912"/>
    <x v="1860"/>
    <x v="2538"/>
    <x v="2533"/>
    <x v="2368"/>
    <x v="1"/>
    <x v="2516"/>
    <x v="2538"/>
    <x v="822"/>
    <x v="0"/>
    <x v="0"/>
    <x v="0"/>
    <x v="4"/>
    <x v="14"/>
    <x v="453"/>
    <x v="57"/>
    <x v="3"/>
    <x v="152"/>
  </r>
  <r>
    <x v="0"/>
    <x v="1067"/>
    <x v="372"/>
    <x v="26"/>
    <x v="47"/>
    <x v="802"/>
    <x v="145"/>
    <x v="4"/>
    <x v="102"/>
    <x v="269"/>
    <x v="1555"/>
    <x v="1861"/>
    <x v="2539"/>
    <x v="2534"/>
    <x v="2065"/>
    <x v="6"/>
    <x v="2517"/>
    <x v="2539"/>
    <x v="129"/>
    <x v="0"/>
    <x v="0"/>
    <x v="2"/>
    <x v="178"/>
    <x v="28"/>
    <x v="384"/>
    <x v="41"/>
    <x v="1"/>
    <x v="455"/>
  </r>
  <r>
    <x v="0"/>
    <x v="1068"/>
    <x v="409"/>
    <x v="52"/>
    <x v="52"/>
    <x v="349"/>
    <x v="532"/>
    <x v="2377"/>
    <x v="379"/>
    <x v="1002"/>
    <x v="1556"/>
    <x v="479"/>
    <x v="2540"/>
    <x v="2535"/>
    <x v="348"/>
    <x v="0"/>
    <x v="2518"/>
    <x v="2540"/>
    <x v="400"/>
    <x v="0"/>
    <x v="0"/>
    <x v="4"/>
    <x v="159"/>
    <x v="21"/>
    <x v="564"/>
    <x v="19"/>
    <x v="3"/>
    <x v="456"/>
  </r>
  <r>
    <x v="0"/>
    <x v="696"/>
    <x v="216"/>
    <x v="52"/>
    <x v="201"/>
    <x v="437"/>
    <x v="2"/>
    <x v="2378"/>
    <x v="127"/>
    <x v="740"/>
    <x v="313"/>
    <x v="641"/>
    <x v="2541"/>
    <x v="2536"/>
    <x v="2369"/>
    <x v="0"/>
    <x v="2519"/>
    <x v="2541"/>
    <x v="627"/>
    <x v="0"/>
    <x v="0"/>
    <x v="0"/>
    <x v="178"/>
    <x v="19"/>
    <x v="212"/>
    <x v="4"/>
    <x v="3"/>
    <x v="457"/>
  </r>
  <r>
    <x v="0"/>
    <x v="1069"/>
    <x v="372"/>
    <x v="54"/>
    <x v="262"/>
    <x v="109"/>
    <x v="0"/>
    <x v="2379"/>
    <x v="430"/>
    <x v="450"/>
    <x v="959"/>
    <x v="1862"/>
    <x v="2542"/>
    <x v="2537"/>
    <x v="2370"/>
    <x v="0"/>
    <x v="2520"/>
    <x v="2542"/>
    <x v="357"/>
    <x v="0"/>
    <x v="0"/>
    <x v="4"/>
    <x v="159"/>
    <x v="15"/>
    <x v="82"/>
    <x v="2"/>
    <x v="1"/>
    <x v="1"/>
  </r>
  <r>
    <x v="0"/>
    <x v="503"/>
    <x v="356"/>
    <x v="47"/>
    <x v="256"/>
    <x v="480"/>
    <x v="0"/>
    <x v="2380"/>
    <x v="1"/>
    <x v="738"/>
    <x v="1557"/>
    <x v="806"/>
    <x v="2543"/>
    <x v="2538"/>
    <x v="1797"/>
    <x v="1"/>
    <x v="2521"/>
    <x v="2543"/>
    <x v="271"/>
    <x v="0"/>
    <x v="1"/>
    <x v="4"/>
    <x v="178"/>
    <x v="43"/>
    <x v="290"/>
    <x v="13"/>
    <x v="3"/>
    <x v="1"/>
  </r>
  <r>
    <x v="0"/>
    <x v="1070"/>
    <x v="265"/>
    <x v="34"/>
    <x v="336"/>
    <x v="436"/>
    <x v="0"/>
    <x v="2381"/>
    <x v="270"/>
    <x v="1003"/>
    <x v="90"/>
    <x v="1863"/>
    <x v="2544"/>
    <x v="2539"/>
    <x v="2371"/>
    <x v="1"/>
    <x v="2522"/>
    <x v="2544"/>
    <x v="244"/>
    <x v="0"/>
    <x v="0"/>
    <x v="4"/>
    <x v="178"/>
    <x v="1"/>
    <x v="65"/>
    <x v="13"/>
    <x v="1"/>
    <x v="1"/>
  </r>
  <r>
    <x v="0"/>
    <x v="1071"/>
    <x v="413"/>
    <x v="55"/>
    <x v="116"/>
    <x v="224"/>
    <x v="533"/>
    <x v="2382"/>
    <x v="657"/>
    <x v="1004"/>
    <x v="817"/>
    <x v="747"/>
    <x v="2545"/>
    <x v="2540"/>
    <x v="1958"/>
    <x v="1"/>
    <x v="2523"/>
    <x v="2545"/>
    <x v="496"/>
    <x v="0"/>
    <x v="0"/>
    <x v="0"/>
    <x v="178"/>
    <x v="13"/>
    <x v="476"/>
    <x v="66"/>
    <x v="3"/>
    <x v="1"/>
  </r>
  <r>
    <x v="0"/>
    <x v="761"/>
    <x v="223"/>
    <x v="60"/>
    <x v="296"/>
    <x v="46"/>
    <x v="14"/>
    <x v="2383"/>
    <x v="17"/>
    <x v="119"/>
    <x v="918"/>
    <x v="1864"/>
    <x v="2546"/>
    <x v="2541"/>
    <x v="2372"/>
    <x v="3"/>
    <x v="2524"/>
    <x v="2546"/>
    <x v="640"/>
    <x v="0"/>
    <x v="0"/>
    <x v="4"/>
    <x v="178"/>
    <x v="9"/>
    <x v="523"/>
    <x v="4"/>
    <x v="1"/>
    <x v="1"/>
  </r>
  <r>
    <x v="0"/>
    <x v="1072"/>
    <x v="272"/>
    <x v="24"/>
    <x v="265"/>
    <x v="120"/>
    <x v="121"/>
    <x v="2384"/>
    <x v="153"/>
    <x v="230"/>
    <x v="1558"/>
    <x v="1865"/>
    <x v="2547"/>
    <x v="2542"/>
    <x v="1027"/>
    <x v="0"/>
    <x v="2525"/>
    <x v="2547"/>
    <x v="365"/>
    <x v="0"/>
    <x v="1"/>
    <x v="0"/>
    <x v="178"/>
    <x v="12"/>
    <x v="368"/>
    <x v="10"/>
    <x v="10"/>
    <x v="458"/>
  </r>
  <r>
    <x v="0"/>
    <x v="464"/>
    <x v="289"/>
    <x v="59"/>
    <x v="0"/>
    <x v="803"/>
    <x v="22"/>
    <x v="2385"/>
    <x v="171"/>
    <x v="169"/>
    <x v="589"/>
    <x v="1866"/>
    <x v="2548"/>
    <x v="2543"/>
    <x v="2373"/>
    <x v="0"/>
    <x v="2526"/>
    <x v="2548"/>
    <x v="657"/>
    <x v="0"/>
    <x v="1"/>
    <x v="4"/>
    <x v="78"/>
    <x v="9"/>
    <x v="30"/>
    <x v="15"/>
    <x v="1"/>
    <x v="33"/>
  </r>
  <r>
    <x v="0"/>
    <x v="1073"/>
    <x v="346"/>
    <x v="80"/>
    <x v="195"/>
    <x v="200"/>
    <x v="206"/>
    <x v="2386"/>
    <x v="125"/>
    <x v="558"/>
    <x v="149"/>
    <x v="253"/>
    <x v="2549"/>
    <x v="2544"/>
    <x v="2374"/>
    <x v="12"/>
    <x v="2527"/>
    <x v="2549"/>
    <x v="549"/>
    <x v="0"/>
    <x v="0"/>
    <x v="4"/>
    <x v="178"/>
    <x v="14"/>
    <x v="100"/>
    <x v="46"/>
    <x v="3"/>
    <x v="1"/>
  </r>
  <r>
    <x v="0"/>
    <x v="1074"/>
    <x v="239"/>
    <x v="11"/>
    <x v="337"/>
    <x v="783"/>
    <x v="433"/>
    <x v="4"/>
    <x v="127"/>
    <x v="784"/>
    <x v="1559"/>
    <x v="1867"/>
    <x v="2550"/>
    <x v="2545"/>
    <x v="2375"/>
    <x v="4"/>
    <x v="2528"/>
    <x v="2550"/>
    <x v="769"/>
    <x v="3"/>
    <x v="10"/>
    <x v="1"/>
    <x v="190"/>
    <x v="8"/>
    <x v="704"/>
    <x v="1"/>
    <x v="1"/>
    <x v="67"/>
  </r>
  <r>
    <x v="0"/>
    <x v="1075"/>
    <x v="334"/>
    <x v="80"/>
    <x v="85"/>
    <x v="217"/>
    <x v="14"/>
    <x v="2387"/>
    <x v="387"/>
    <x v="414"/>
    <x v="1560"/>
    <x v="1115"/>
    <x v="2551"/>
    <x v="2546"/>
    <x v="2376"/>
    <x v="1"/>
    <x v="2529"/>
    <x v="2551"/>
    <x v="427"/>
    <x v="0"/>
    <x v="1"/>
    <x v="4"/>
    <x v="159"/>
    <x v="8"/>
    <x v="458"/>
    <x v="5"/>
    <x v="1"/>
    <x v="459"/>
  </r>
  <r>
    <x v="0"/>
    <x v="1076"/>
    <x v="405"/>
    <x v="137"/>
    <x v="338"/>
    <x v="177"/>
    <x v="486"/>
    <x v="2388"/>
    <x v="370"/>
    <x v="1005"/>
    <x v="1561"/>
    <x v="225"/>
    <x v="2552"/>
    <x v="2547"/>
    <x v="1291"/>
    <x v="0"/>
    <x v="2530"/>
    <x v="2552"/>
    <x v="620"/>
    <x v="0"/>
    <x v="10"/>
    <x v="9"/>
    <x v="185"/>
    <x v="0"/>
    <x v="417"/>
    <x v="11"/>
    <x v="1"/>
    <x v="33"/>
  </r>
  <r>
    <x v="0"/>
    <x v="941"/>
    <x v="390"/>
    <x v="80"/>
    <x v="222"/>
    <x v="617"/>
    <x v="0"/>
    <x v="2389"/>
    <x v="503"/>
    <x v="369"/>
    <x v="1562"/>
    <x v="1868"/>
    <x v="2553"/>
    <x v="2548"/>
    <x v="561"/>
    <x v="4"/>
    <x v="2531"/>
    <x v="2553"/>
    <x v="427"/>
    <x v="0"/>
    <x v="0"/>
    <x v="0"/>
    <x v="178"/>
    <x v="3"/>
    <x v="565"/>
    <x v="37"/>
    <x v="0"/>
    <x v="1"/>
  </r>
  <r>
    <x v="0"/>
    <x v="644"/>
    <x v="274"/>
    <x v="41"/>
    <x v="277"/>
    <x v="296"/>
    <x v="0"/>
    <x v="4"/>
    <x v="463"/>
    <x v="154"/>
    <x v="1367"/>
    <x v="390"/>
    <x v="2554"/>
    <x v="2549"/>
    <x v="1793"/>
    <x v="0"/>
    <x v="2532"/>
    <x v="2554"/>
    <x v="621"/>
    <x v="0"/>
    <x v="0"/>
    <x v="3"/>
    <x v="178"/>
    <x v="0"/>
    <x v="350"/>
    <x v="14"/>
    <x v="3"/>
    <x v="32"/>
  </r>
  <r>
    <x v="0"/>
    <x v="1077"/>
    <x v="474"/>
    <x v="47"/>
    <x v="188"/>
    <x v="608"/>
    <x v="15"/>
    <x v="4"/>
    <x v="168"/>
    <x v="180"/>
    <x v="1563"/>
    <x v="1869"/>
    <x v="2555"/>
    <x v="2550"/>
    <x v="2377"/>
    <x v="0"/>
    <x v="2533"/>
    <x v="2555"/>
    <x v="712"/>
    <x v="0"/>
    <x v="10"/>
    <x v="4"/>
    <x v="178"/>
    <x v="9"/>
    <x v="749"/>
    <x v="10"/>
    <x v="1"/>
    <x v="1"/>
  </r>
  <r>
    <x v="0"/>
    <x v="1078"/>
    <x v="132"/>
    <x v="40"/>
    <x v="0"/>
    <x v="162"/>
    <x v="23"/>
    <x v="2390"/>
    <x v="134"/>
    <x v="371"/>
    <x v="886"/>
    <x v="304"/>
    <x v="2556"/>
    <x v="2551"/>
    <x v="2378"/>
    <x v="1"/>
    <x v="2534"/>
    <x v="2556"/>
    <x v="320"/>
    <x v="0"/>
    <x v="0"/>
    <x v="4"/>
    <x v="178"/>
    <x v="11"/>
    <x v="511"/>
    <x v="4"/>
    <x v="1"/>
    <x v="1"/>
  </r>
  <r>
    <x v="0"/>
    <x v="1079"/>
    <x v="424"/>
    <x v="43"/>
    <x v="123"/>
    <x v="354"/>
    <x v="44"/>
    <x v="2391"/>
    <x v="334"/>
    <x v="68"/>
    <x v="215"/>
    <x v="485"/>
    <x v="2557"/>
    <x v="2552"/>
    <x v="842"/>
    <x v="3"/>
    <x v="2535"/>
    <x v="2557"/>
    <x v="408"/>
    <x v="0"/>
    <x v="0"/>
    <x v="0"/>
    <x v="217"/>
    <x v="19"/>
    <x v="145"/>
    <x v="33"/>
    <x v="3"/>
    <x v="460"/>
  </r>
  <r>
    <x v="0"/>
    <x v="113"/>
    <x v="393"/>
    <x v="117"/>
    <x v="88"/>
    <x v="100"/>
    <x v="390"/>
    <x v="4"/>
    <x v="539"/>
    <x v="1006"/>
    <x v="1564"/>
    <x v="1870"/>
    <x v="2558"/>
    <x v="2553"/>
    <x v="2106"/>
    <x v="0"/>
    <x v="2536"/>
    <x v="2558"/>
    <x v="167"/>
    <x v="0"/>
    <x v="37"/>
    <x v="7"/>
    <x v="148"/>
    <x v="4"/>
    <x v="750"/>
    <x v="14"/>
    <x v="12"/>
    <x v="37"/>
  </r>
  <r>
    <x v="0"/>
    <x v="842"/>
    <x v="239"/>
    <x v="69"/>
    <x v="310"/>
    <x v="672"/>
    <x v="534"/>
    <x v="2392"/>
    <x v="269"/>
    <x v="1007"/>
    <x v="1565"/>
    <x v="1871"/>
    <x v="2559"/>
    <x v="2554"/>
    <x v="97"/>
    <x v="1"/>
    <x v="2537"/>
    <x v="2559"/>
    <x v="454"/>
    <x v="0"/>
    <x v="4"/>
    <x v="4"/>
    <x v="4"/>
    <x v="19"/>
    <x v="38"/>
    <x v="4"/>
    <x v="10"/>
    <x v="461"/>
  </r>
  <r>
    <x v="0"/>
    <x v="1080"/>
    <x v="152"/>
    <x v="50"/>
    <x v="198"/>
    <x v="488"/>
    <x v="156"/>
    <x v="2393"/>
    <x v="291"/>
    <x v="1008"/>
    <x v="1566"/>
    <x v="1872"/>
    <x v="2560"/>
    <x v="2555"/>
    <x v="2379"/>
    <x v="0"/>
    <x v="2538"/>
    <x v="2560"/>
    <x v="721"/>
    <x v="0"/>
    <x v="0"/>
    <x v="2"/>
    <x v="4"/>
    <x v="18"/>
    <x v="616"/>
    <x v="12"/>
    <x v="1"/>
    <x v="462"/>
  </r>
  <r>
    <x v="0"/>
    <x v="1081"/>
    <x v="361"/>
    <x v="41"/>
    <x v="143"/>
    <x v="791"/>
    <x v="0"/>
    <x v="2394"/>
    <x v="150"/>
    <x v="481"/>
    <x v="280"/>
    <x v="1784"/>
    <x v="2561"/>
    <x v="2556"/>
    <x v="2380"/>
    <x v="0"/>
    <x v="2539"/>
    <x v="2561"/>
    <x v="343"/>
    <x v="0"/>
    <x v="0"/>
    <x v="4"/>
    <x v="219"/>
    <x v="12"/>
    <x v="30"/>
    <x v="18"/>
    <x v="3"/>
    <x v="463"/>
  </r>
  <r>
    <x v="0"/>
    <x v="1082"/>
    <x v="361"/>
    <x v="50"/>
    <x v="143"/>
    <x v="367"/>
    <x v="535"/>
    <x v="2395"/>
    <x v="281"/>
    <x v="1009"/>
    <x v="1567"/>
    <x v="1873"/>
    <x v="2562"/>
    <x v="2557"/>
    <x v="2381"/>
    <x v="1"/>
    <x v="2540"/>
    <x v="2562"/>
    <x v="552"/>
    <x v="3"/>
    <x v="10"/>
    <x v="4"/>
    <x v="220"/>
    <x v="18"/>
    <x v="514"/>
    <x v="4"/>
    <x v="1"/>
    <x v="1"/>
  </r>
  <r>
    <x v="0"/>
    <x v="66"/>
    <x v="24"/>
    <x v="54"/>
    <x v="51"/>
    <x v="313"/>
    <x v="297"/>
    <x v="2396"/>
    <x v="658"/>
    <x v="1010"/>
    <x v="1003"/>
    <x v="675"/>
    <x v="2563"/>
    <x v="2558"/>
    <x v="2382"/>
    <x v="0"/>
    <x v="2541"/>
    <x v="2563"/>
    <x v="869"/>
    <x v="0"/>
    <x v="4"/>
    <x v="4"/>
    <x v="219"/>
    <x v="7"/>
    <x v="369"/>
    <x v="12"/>
    <x v="3"/>
    <x v="1"/>
  </r>
  <r>
    <x v="0"/>
    <x v="225"/>
    <x v="160"/>
    <x v="72"/>
    <x v="141"/>
    <x v="204"/>
    <x v="163"/>
    <x v="2397"/>
    <x v="132"/>
    <x v="301"/>
    <x v="627"/>
    <x v="1673"/>
    <x v="2564"/>
    <x v="2559"/>
    <x v="2383"/>
    <x v="1"/>
    <x v="2542"/>
    <x v="2564"/>
    <x v="509"/>
    <x v="0"/>
    <x v="0"/>
    <x v="4"/>
    <x v="137"/>
    <x v="31"/>
    <x v="392"/>
    <x v="11"/>
    <x v="3"/>
    <x v="1"/>
  </r>
  <r>
    <x v="0"/>
    <x v="126"/>
    <x v="182"/>
    <x v="33"/>
    <x v="0"/>
    <x v="289"/>
    <x v="22"/>
    <x v="2398"/>
    <x v="238"/>
    <x v="514"/>
    <x v="368"/>
    <x v="380"/>
    <x v="2565"/>
    <x v="2560"/>
    <x v="2384"/>
    <x v="7"/>
    <x v="2543"/>
    <x v="2565"/>
    <x v="669"/>
    <x v="0"/>
    <x v="0"/>
    <x v="2"/>
    <x v="135"/>
    <x v="22"/>
    <x v="30"/>
    <x v="7"/>
    <x v="3"/>
    <x v="35"/>
  </r>
  <r>
    <x v="0"/>
    <x v="853"/>
    <x v="152"/>
    <x v="58"/>
    <x v="119"/>
    <x v="770"/>
    <x v="32"/>
    <x v="2399"/>
    <x v="301"/>
    <x v="260"/>
    <x v="1335"/>
    <x v="1648"/>
    <x v="2566"/>
    <x v="2561"/>
    <x v="2385"/>
    <x v="2"/>
    <x v="2544"/>
    <x v="2566"/>
    <x v="427"/>
    <x v="0"/>
    <x v="0"/>
    <x v="2"/>
    <x v="190"/>
    <x v="42"/>
    <x v="688"/>
    <x v="18"/>
    <x v="3"/>
    <x v="67"/>
  </r>
  <r>
    <x v="0"/>
    <x v="207"/>
    <x v="160"/>
    <x v="38"/>
    <x v="90"/>
    <x v="404"/>
    <x v="57"/>
    <x v="2400"/>
    <x v="105"/>
    <x v="192"/>
    <x v="1568"/>
    <x v="1841"/>
    <x v="2567"/>
    <x v="2562"/>
    <x v="2386"/>
    <x v="1"/>
    <x v="2545"/>
    <x v="2567"/>
    <x v="357"/>
    <x v="0"/>
    <x v="0"/>
    <x v="2"/>
    <x v="134"/>
    <x v="26"/>
    <x v="532"/>
    <x v="38"/>
    <x v="1"/>
    <x v="1"/>
  </r>
  <r>
    <x v="0"/>
    <x v="165"/>
    <x v="247"/>
    <x v="47"/>
    <x v="119"/>
    <x v="786"/>
    <x v="14"/>
    <x v="2401"/>
    <x v="128"/>
    <x v="56"/>
    <x v="290"/>
    <x v="1874"/>
    <x v="2568"/>
    <x v="2563"/>
    <x v="2387"/>
    <x v="4"/>
    <x v="2546"/>
    <x v="2568"/>
    <x v="156"/>
    <x v="0"/>
    <x v="0"/>
    <x v="2"/>
    <x v="159"/>
    <x v="43"/>
    <x v="30"/>
    <x v="8"/>
    <x v="8"/>
    <x v="64"/>
  </r>
  <r>
    <x v="0"/>
    <x v="106"/>
    <x v="133"/>
    <x v="60"/>
    <x v="0"/>
    <x v="531"/>
    <x v="536"/>
    <x v="2402"/>
    <x v="128"/>
    <x v="1011"/>
    <x v="1569"/>
    <x v="1875"/>
    <x v="2569"/>
    <x v="2564"/>
    <x v="2388"/>
    <x v="3"/>
    <x v="2547"/>
    <x v="2569"/>
    <x v="870"/>
    <x v="4"/>
    <x v="38"/>
    <x v="0"/>
    <x v="159"/>
    <x v="21"/>
    <x v="244"/>
    <x v="0"/>
    <x v="1"/>
    <x v="1"/>
  </r>
  <r>
    <x v="0"/>
    <x v="2"/>
    <x v="340"/>
    <x v="40"/>
    <x v="0"/>
    <x v="528"/>
    <x v="11"/>
    <x v="2403"/>
    <x v="270"/>
    <x v="11"/>
    <x v="630"/>
    <x v="1876"/>
    <x v="2570"/>
    <x v="2565"/>
    <x v="2389"/>
    <x v="0"/>
    <x v="2548"/>
    <x v="2570"/>
    <x v="871"/>
    <x v="0"/>
    <x v="0"/>
    <x v="4"/>
    <x v="159"/>
    <x v="15"/>
    <x v="393"/>
    <x v="26"/>
    <x v="1"/>
    <x v="31"/>
  </r>
  <r>
    <x v="0"/>
    <x v="323"/>
    <x v="502"/>
    <x v="34"/>
    <x v="0"/>
    <x v="397"/>
    <x v="21"/>
    <x v="2404"/>
    <x v="415"/>
    <x v="298"/>
    <x v="1570"/>
    <x v="923"/>
    <x v="2571"/>
    <x v="2566"/>
    <x v="2390"/>
    <x v="0"/>
    <x v="2549"/>
    <x v="2571"/>
    <x v="872"/>
    <x v="0"/>
    <x v="1"/>
    <x v="4"/>
    <x v="159"/>
    <x v="5"/>
    <x v="30"/>
    <x v="25"/>
    <x v="3"/>
    <x v="163"/>
  </r>
  <r>
    <x v="0"/>
    <x v="246"/>
    <x v="434"/>
    <x v="86"/>
    <x v="166"/>
    <x v="804"/>
    <x v="413"/>
    <x v="2405"/>
    <x v="70"/>
    <x v="365"/>
    <x v="1571"/>
    <x v="1877"/>
    <x v="2572"/>
    <x v="2567"/>
    <x v="757"/>
    <x v="1"/>
    <x v="2550"/>
    <x v="2572"/>
    <x v="167"/>
    <x v="0"/>
    <x v="0"/>
    <x v="2"/>
    <x v="159"/>
    <x v="32"/>
    <x v="714"/>
    <x v="19"/>
    <x v="3"/>
    <x v="1"/>
  </r>
  <r>
    <x v="0"/>
    <x v="113"/>
    <x v="393"/>
    <x v="117"/>
    <x v="88"/>
    <x v="335"/>
    <x v="421"/>
    <x v="4"/>
    <x v="188"/>
    <x v="1012"/>
    <x v="1572"/>
    <x v="1878"/>
    <x v="2573"/>
    <x v="2568"/>
    <x v="405"/>
    <x v="0"/>
    <x v="2551"/>
    <x v="2573"/>
    <x v="749"/>
    <x v="0"/>
    <x v="0"/>
    <x v="5"/>
    <x v="4"/>
    <x v="4"/>
    <x v="751"/>
    <x v="11"/>
    <x v="12"/>
    <x v="1"/>
  </r>
  <r>
    <x v="0"/>
    <x v="1083"/>
    <x v="370"/>
    <x v="58"/>
    <x v="198"/>
    <x v="126"/>
    <x v="30"/>
    <x v="2406"/>
    <x v="17"/>
    <x v="224"/>
    <x v="480"/>
    <x v="156"/>
    <x v="2574"/>
    <x v="2569"/>
    <x v="2391"/>
    <x v="1"/>
    <x v="2552"/>
    <x v="2574"/>
    <x v="225"/>
    <x v="0"/>
    <x v="0"/>
    <x v="0"/>
    <x v="219"/>
    <x v="8"/>
    <x v="44"/>
    <x v="2"/>
    <x v="1"/>
    <x v="103"/>
  </r>
  <r>
    <x v="0"/>
    <x v="38"/>
    <x v="266"/>
    <x v="39"/>
    <x v="25"/>
    <x v="279"/>
    <x v="86"/>
    <x v="2407"/>
    <x v="270"/>
    <x v="150"/>
    <x v="1573"/>
    <x v="608"/>
    <x v="2575"/>
    <x v="2570"/>
    <x v="2392"/>
    <x v="0"/>
    <x v="2553"/>
    <x v="2575"/>
    <x v="614"/>
    <x v="0"/>
    <x v="0"/>
    <x v="0"/>
    <x v="159"/>
    <x v="39"/>
    <x v="26"/>
    <x v="6"/>
    <x v="3"/>
    <x v="71"/>
  </r>
  <r>
    <x v="0"/>
    <x v="1084"/>
    <x v="425"/>
    <x v="33"/>
    <x v="216"/>
    <x v="170"/>
    <x v="537"/>
    <x v="4"/>
    <x v="659"/>
    <x v="1013"/>
    <x v="1574"/>
    <x v="1879"/>
    <x v="2576"/>
    <x v="2571"/>
    <x v="2393"/>
    <x v="4"/>
    <x v="2554"/>
    <x v="2576"/>
    <x v="719"/>
    <x v="24"/>
    <x v="18"/>
    <x v="4"/>
    <x v="4"/>
    <x v="0"/>
    <x v="254"/>
    <x v="20"/>
    <x v="1"/>
    <x v="464"/>
  </r>
  <r>
    <x v="0"/>
    <x v="204"/>
    <x v="93"/>
    <x v="8"/>
    <x v="144"/>
    <x v="246"/>
    <x v="2"/>
    <x v="4"/>
    <x v="172"/>
    <x v="130"/>
    <x v="109"/>
    <x v="314"/>
    <x v="363"/>
    <x v="2572"/>
    <x v="879"/>
    <x v="4"/>
    <x v="2555"/>
    <x v="363"/>
    <x v="326"/>
    <x v="0"/>
    <x v="0"/>
    <x v="0"/>
    <x v="32"/>
    <x v="6"/>
    <x v="529"/>
    <x v="9"/>
    <x v="1"/>
    <x v="1"/>
  </r>
  <r>
    <x v="0"/>
    <x v="1085"/>
    <x v="426"/>
    <x v="37"/>
    <x v="126"/>
    <x v="805"/>
    <x v="32"/>
    <x v="2408"/>
    <x v="567"/>
    <x v="38"/>
    <x v="2"/>
    <x v="1880"/>
    <x v="2577"/>
    <x v="2573"/>
    <x v="2394"/>
    <x v="1"/>
    <x v="2556"/>
    <x v="2577"/>
    <x v="873"/>
    <x v="0"/>
    <x v="1"/>
    <x v="0"/>
    <x v="137"/>
    <x v="11"/>
    <x v="2"/>
    <x v="14"/>
    <x v="1"/>
    <x v="465"/>
  </r>
  <r>
    <x v="0"/>
    <x v="1047"/>
    <x v="429"/>
    <x v="56"/>
    <x v="85"/>
    <x v="279"/>
    <x v="0"/>
    <x v="2409"/>
    <x v="418"/>
    <x v="349"/>
    <x v="725"/>
    <x v="1369"/>
    <x v="2578"/>
    <x v="2574"/>
    <x v="2395"/>
    <x v="1"/>
    <x v="2557"/>
    <x v="2578"/>
    <x v="716"/>
    <x v="0"/>
    <x v="0"/>
    <x v="4"/>
    <x v="70"/>
    <x v="35"/>
    <x v="77"/>
    <x v="9"/>
    <x v="3"/>
    <x v="411"/>
  </r>
  <r>
    <x v="0"/>
    <x v="77"/>
    <x v="303"/>
    <x v="23"/>
    <x v="61"/>
    <x v="614"/>
    <x v="185"/>
    <x v="2410"/>
    <x v="432"/>
    <x v="779"/>
    <x v="1378"/>
    <x v="1881"/>
    <x v="2579"/>
    <x v="2575"/>
    <x v="2396"/>
    <x v="0"/>
    <x v="2558"/>
    <x v="2579"/>
    <x v="591"/>
    <x v="0"/>
    <x v="0"/>
    <x v="2"/>
    <x v="4"/>
    <x v="35"/>
    <x v="15"/>
    <x v="7"/>
    <x v="3"/>
    <x v="1"/>
  </r>
  <r>
    <x v="0"/>
    <x v="208"/>
    <x v="387"/>
    <x v="50"/>
    <x v="146"/>
    <x v="450"/>
    <x v="30"/>
    <x v="2411"/>
    <x v="238"/>
    <x v="53"/>
    <x v="1391"/>
    <x v="657"/>
    <x v="2580"/>
    <x v="2576"/>
    <x v="2397"/>
    <x v="1"/>
    <x v="2559"/>
    <x v="2580"/>
    <x v="575"/>
    <x v="0"/>
    <x v="0"/>
    <x v="2"/>
    <x v="159"/>
    <x v="5"/>
    <x v="222"/>
    <x v="5"/>
    <x v="3"/>
    <x v="1"/>
  </r>
  <r>
    <x v="0"/>
    <x v="1086"/>
    <x v="289"/>
    <x v="7"/>
    <x v="136"/>
    <x v="701"/>
    <x v="0"/>
    <x v="2412"/>
    <x v="471"/>
    <x v="489"/>
    <x v="1575"/>
    <x v="1882"/>
    <x v="2581"/>
    <x v="2577"/>
    <x v="2398"/>
    <x v="1"/>
    <x v="2560"/>
    <x v="2581"/>
    <x v="621"/>
    <x v="0"/>
    <x v="4"/>
    <x v="0"/>
    <x v="78"/>
    <x v="9"/>
    <x v="752"/>
    <x v="5"/>
    <x v="3"/>
    <x v="116"/>
  </r>
  <r>
    <x v="0"/>
    <x v="469"/>
    <x v="107"/>
    <x v="59"/>
    <x v="0"/>
    <x v="796"/>
    <x v="35"/>
    <x v="2305"/>
    <x v="381"/>
    <x v="157"/>
    <x v="1515"/>
    <x v="1808"/>
    <x v="2461"/>
    <x v="2456"/>
    <x v="2300"/>
    <x v="0"/>
    <x v="2441"/>
    <x v="2461"/>
    <x v="862"/>
    <x v="0"/>
    <x v="0"/>
    <x v="4"/>
    <x v="212"/>
    <x v="33"/>
    <x v="539"/>
    <x v="0"/>
    <x v="1"/>
    <x v="85"/>
  </r>
  <r>
    <x v="0"/>
    <x v="370"/>
    <x v="398"/>
    <x v="42"/>
    <x v="201"/>
    <x v="271"/>
    <x v="538"/>
    <x v="2413"/>
    <x v="311"/>
    <x v="1014"/>
    <x v="250"/>
    <x v="353"/>
    <x v="2582"/>
    <x v="2578"/>
    <x v="2399"/>
    <x v="1"/>
    <x v="2561"/>
    <x v="2582"/>
    <x v="562"/>
    <x v="0"/>
    <x v="0"/>
    <x v="4"/>
    <x v="159"/>
    <x v="45"/>
    <x v="169"/>
    <x v="38"/>
    <x v="3"/>
    <x v="1"/>
  </r>
  <r>
    <x v="0"/>
    <x v="899"/>
    <x v="271"/>
    <x v="58"/>
    <x v="108"/>
    <x v="783"/>
    <x v="91"/>
    <x v="2414"/>
    <x v="125"/>
    <x v="1015"/>
    <x v="1576"/>
    <x v="1883"/>
    <x v="2583"/>
    <x v="2579"/>
    <x v="2400"/>
    <x v="0"/>
    <x v="2562"/>
    <x v="2583"/>
    <x v="402"/>
    <x v="0"/>
    <x v="0"/>
    <x v="4"/>
    <x v="159"/>
    <x v="9"/>
    <x v="753"/>
    <x v="4"/>
    <x v="3"/>
    <x v="18"/>
  </r>
  <r>
    <x v="0"/>
    <x v="491"/>
    <x v="89"/>
    <x v="50"/>
    <x v="253"/>
    <x v="530"/>
    <x v="265"/>
    <x v="2415"/>
    <x v="113"/>
    <x v="1016"/>
    <x v="1577"/>
    <x v="1146"/>
    <x v="2584"/>
    <x v="2580"/>
    <x v="2401"/>
    <x v="0"/>
    <x v="2563"/>
    <x v="2584"/>
    <x v="874"/>
    <x v="0"/>
    <x v="1"/>
    <x v="0"/>
    <x v="221"/>
    <x v="7"/>
    <x v="248"/>
    <x v="11"/>
    <x v="3"/>
    <x v="1"/>
  </r>
  <r>
    <x v="0"/>
    <x v="24"/>
    <x v="216"/>
    <x v="80"/>
    <x v="17"/>
    <x v="152"/>
    <x v="91"/>
    <x v="2416"/>
    <x v="219"/>
    <x v="161"/>
    <x v="424"/>
    <x v="1884"/>
    <x v="2585"/>
    <x v="2581"/>
    <x v="2402"/>
    <x v="3"/>
    <x v="2564"/>
    <x v="2585"/>
    <x v="624"/>
    <x v="0"/>
    <x v="0"/>
    <x v="2"/>
    <x v="159"/>
    <x v="32"/>
    <x v="285"/>
    <x v="7"/>
    <x v="3"/>
    <x v="61"/>
  </r>
  <r>
    <x v="0"/>
    <x v="795"/>
    <x v="438"/>
    <x v="18"/>
    <x v="0"/>
    <x v="806"/>
    <x v="35"/>
    <x v="2417"/>
    <x v="200"/>
    <x v="504"/>
    <x v="1578"/>
    <x v="1885"/>
    <x v="2586"/>
    <x v="2582"/>
    <x v="2403"/>
    <x v="8"/>
    <x v="2565"/>
    <x v="2586"/>
    <x v="360"/>
    <x v="0"/>
    <x v="0"/>
    <x v="0"/>
    <x v="159"/>
    <x v="1"/>
    <x v="402"/>
    <x v="23"/>
    <x v="3"/>
    <x v="103"/>
  </r>
  <r>
    <x v="0"/>
    <x v="1087"/>
    <x v="434"/>
    <x v="69"/>
    <x v="137"/>
    <x v="704"/>
    <x v="29"/>
    <x v="2418"/>
    <x v="660"/>
    <x v="34"/>
    <x v="489"/>
    <x v="1344"/>
    <x v="2587"/>
    <x v="2583"/>
    <x v="2404"/>
    <x v="2"/>
    <x v="2566"/>
    <x v="2587"/>
    <x v="320"/>
    <x v="0"/>
    <x v="0"/>
    <x v="2"/>
    <x v="159"/>
    <x v="24"/>
    <x v="9"/>
    <x v="11"/>
    <x v="3"/>
    <x v="1"/>
  </r>
  <r>
    <x v="0"/>
    <x v="1088"/>
    <x v="5"/>
    <x v="54"/>
    <x v="171"/>
    <x v="618"/>
    <x v="2"/>
    <x v="2419"/>
    <x v="64"/>
    <x v="113"/>
    <x v="1579"/>
    <x v="1886"/>
    <x v="2588"/>
    <x v="2584"/>
    <x v="941"/>
    <x v="0"/>
    <x v="2567"/>
    <x v="2588"/>
    <x v="775"/>
    <x v="0"/>
    <x v="1"/>
    <x v="0"/>
    <x v="173"/>
    <x v="3"/>
    <x v="303"/>
    <x v="21"/>
    <x v="1"/>
    <x v="5"/>
  </r>
  <r>
    <x v="0"/>
    <x v="172"/>
    <x v="194"/>
    <x v="101"/>
    <x v="124"/>
    <x v="204"/>
    <x v="0"/>
    <x v="2420"/>
    <x v="381"/>
    <x v="381"/>
    <x v="1580"/>
    <x v="575"/>
    <x v="2589"/>
    <x v="2585"/>
    <x v="1721"/>
    <x v="0"/>
    <x v="2568"/>
    <x v="2589"/>
    <x v="875"/>
    <x v="0"/>
    <x v="0"/>
    <x v="0"/>
    <x v="159"/>
    <x v="7"/>
    <x v="754"/>
    <x v="40"/>
    <x v="1"/>
    <x v="1"/>
  </r>
  <r>
    <x v="0"/>
    <x v="80"/>
    <x v="474"/>
    <x v="76"/>
    <x v="63"/>
    <x v="172"/>
    <x v="408"/>
    <x v="2421"/>
    <x v="189"/>
    <x v="1017"/>
    <x v="1161"/>
    <x v="1887"/>
    <x v="2590"/>
    <x v="2586"/>
    <x v="2405"/>
    <x v="1"/>
    <x v="2569"/>
    <x v="2590"/>
    <x v="195"/>
    <x v="0"/>
    <x v="0"/>
    <x v="2"/>
    <x v="159"/>
    <x v="19"/>
    <x v="619"/>
    <x v="28"/>
    <x v="3"/>
    <x v="466"/>
  </r>
  <r>
    <x v="0"/>
    <x v="523"/>
    <x v="321"/>
    <x v="10"/>
    <x v="259"/>
    <x v="449"/>
    <x v="13"/>
    <x v="4"/>
    <x v="269"/>
    <x v="158"/>
    <x v="608"/>
    <x v="1888"/>
    <x v="2591"/>
    <x v="2587"/>
    <x v="2406"/>
    <x v="4"/>
    <x v="2570"/>
    <x v="2591"/>
    <x v="876"/>
    <x v="0"/>
    <x v="1"/>
    <x v="4"/>
    <x v="159"/>
    <x v="33"/>
    <x v="6"/>
    <x v="17"/>
    <x v="1"/>
    <x v="59"/>
  </r>
  <r>
    <x v="0"/>
    <x v="277"/>
    <x v="335"/>
    <x v="55"/>
    <x v="181"/>
    <x v="255"/>
    <x v="13"/>
    <x v="2422"/>
    <x v="200"/>
    <x v="158"/>
    <x v="489"/>
    <x v="329"/>
    <x v="2592"/>
    <x v="2588"/>
    <x v="2407"/>
    <x v="0"/>
    <x v="2571"/>
    <x v="2592"/>
    <x v="733"/>
    <x v="0"/>
    <x v="0"/>
    <x v="4"/>
    <x v="159"/>
    <x v="13"/>
    <x v="9"/>
    <x v="1"/>
    <x v="3"/>
    <x v="85"/>
  </r>
  <r>
    <x v="0"/>
    <x v="1089"/>
    <x v="240"/>
    <x v="50"/>
    <x v="89"/>
    <x v="213"/>
    <x v="91"/>
    <x v="2423"/>
    <x v="661"/>
    <x v="1018"/>
    <x v="1581"/>
    <x v="271"/>
    <x v="2593"/>
    <x v="1508"/>
    <x v="1086"/>
    <x v="1"/>
    <x v="2572"/>
    <x v="2593"/>
    <x v="497"/>
    <x v="0"/>
    <x v="0"/>
    <x v="2"/>
    <x v="173"/>
    <x v="17"/>
    <x v="468"/>
    <x v="43"/>
    <x v="1"/>
    <x v="1"/>
  </r>
  <r>
    <x v="0"/>
    <x v="1090"/>
    <x v="282"/>
    <x v="52"/>
    <x v="195"/>
    <x v="517"/>
    <x v="25"/>
    <x v="2424"/>
    <x v="65"/>
    <x v="138"/>
    <x v="367"/>
    <x v="1215"/>
    <x v="2594"/>
    <x v="2589"/>
    <x v="2408"/>
    <x v="1"/>
    <x v="2573"/>
    <x v="2594"/>
    <x v="138"/>
    <x v="0"/>
    <x v="0"/>
    <x v="0"/>
    <x v="159"/>
    <x v="9"/>
    <x v="30"/>
    <x v="12"/>
    <x v="1"/>
    <x v="85"/>
  </r>
  <r>
    <x v="0"/>
    <x v="1091"/>
    <x v="204"/>
    <x v="42"/>
    <x v="48"/>
    <x v="67"/>
    <x v="22"/>
    <x v="2425"/>
    <x v="63"/>
    <x v="191"/>
    <x v="1582"/>
    <x v="1889"/>
    <x v="2595"/>
    <x v="2590"/>
    <x v="2409"/>
    <x v="0"/>
    <x v="2574"/>
    <x v="2595"/>
    <x v="339"/>
    <x v="0"/>
    <x v="0"/>
    <x v="0"/>
    <x v="159"/>
    <x v="2"/>
    <x v="151"/>
    <x v="5"/>
    <x v="1"/>
    <x v="41"/>
  </r>
  <r>
    <x v="0"/>
    <x v="423"/>
    <x v="166"/>
    <x v="27"/>
    <x v="0"/>
    <x v="1"/>
    <x v="41"/>
    <x v="2426"/>
    <x v="458"/>
    <x v="1019"/>
    <x v="62"/>
    <x v="1177"/>
    <x v="2596"/>
    <x v="2591"/>
    <x v="2410"/>
    <x v="1"/>
    <x v="2575"/>
    <x v="2596"/>
    <x v="676"/>
    <x v="0"/>
    <x v="0"/>
    <x v="4"/>
    <x v="159"/>
    <x v="20"/>
    <x v="9"/>
    <x v="21"/>
    <x v="3"/>
    <x v="1"/>
  </r>
  <r>
    <x v="0"/>
    <x v="521"/>
    <x v="307"/>
    <x v="34"/>
    <x v="89"/>
    <x v="621"/>
    <x v="422"/>
    <x v="2427"/>
    <x v="316"/>
    <x v="1020"/>
    <x v="1583"/>
    <x v="1890"/>
    <x v="2597"/>
    <x v="2592"/>
    <x v="2411"/>
    <x v="0"/>
    <x v="2576"/>
    <x v="2597"/>
    <x v="247"/>
    <x v="0"/>
    <x v="0"/>
    <x v="4"/>
    <x v="4"/>
    <x v="27"/>
    <x v="554"/>
    <x v="13"/>
    <x v="3"/>
    <x v="1"/>
  </r>
  <r>
    <x v="0"/>
    <x v="141"/>
    <x v="333"/>
    <x v="60"/>
    <x v="105"/>
    <x v="1"/>
    <x v="13"/>
    <x v="2428"/>
    <x v="168"/>
    <x v="158"/>
    <x v="234"/>
    <x v="1891"/>
    <x v="2598"/>
    <x v="2593"/>
    <x v="2412"/>
    <x v="3"/>
    <x v="2577"/>
    <x v="2598"/>
    <x v="488"/>
    <x v="0"/>
    <x v="0"/>
    <x v="4"/>
    <x v="70"/>
    <x v="13"/>
    <x v="44"/>
    <x v="8"/>
    <x v="3"/>
    <x v="43"/>
  </r>
  <r>
    <x v="0"/>
    <x v="1092"/>
    <x v="241"/>
    <x v="77"/>
    <x v="31"/>
    <x v="261"/>
    <x v="2"/>
    <x v="2429"/>
    <x v="125"/>
    <x v="104"/>
    <x v="1584"/>
    <x v="1892"/>
    <x v="2599"/>
    <x v="2594"/>
    <x v="1130"/>
    <x v="0"/>
    <x v="2578"/>
    <x v="2599"/>
    <x v="349"/>
    <x v="0"/>
    <x v="0"/>
    <x v="4"/>
    <x v="178"/>
    <x v="18"/>
    <x v="755"/>
    <x v="20"/>
    <x v="3"/>
    <x v="1"/>
  </r>
  <r>
    <x v="0"/>
    <x v="50"/>
    <x v="254"/>
    <x v="56"/>
    <x v="278"/>
    <x v="116"/>
    <x v="10"/>
    <x v="2430"/>
    <x v="168"/>
    <x v="40"/>
    <x v="1052"/>
    <x v="144"/>
    <x v="2600"/>
    <x v="2595"/>
    <x v="2413"/>
    <x v="4"/>
    <x v="2579"/>
    <x v="2600"/>
    <x v="687"/>
    <x v="0"/>
    <x v="0"/>
    <x v="4"/>
    <x v="222"/>
    <x v="3"/>
    <x v="10"/>
    <x v="16"/>
    <x v="3"/>
    <x v="58"/>
  </r>
  <r>
    <x v="0"/>
    <x v="296"/>
    <x v="291"/>
    <x v="72"/>
    <x v="189"/>
    <x v="47"/>
    <x v="10"/>
    <x v="1325"/>
    <x v="105"/>
    <x v="16"/>
    <x v="941"/>
    <x v="1089"/>
    <x v="1376"/>
    <x v="2596"/>
    <x v="1336"/>
    <x v="1"/>
    <x v="1367"/>
    <x v="1376"/>
    <x v="497"/>
    <x v="0"/>
    <x v="0"/>
    <x v="0"/>
    <x v="160"/>
    <x v="2"/>
    <x v="20"/>
    <x v="28"/>
    <x v="3"/>
    <x v="59"/>
  </r>
  <r>
    <x v="0"/>
    <x v="49"/>
    <x v="182"/>
    <x v="11"/>
    <x v="34"/>
    <x v="133"/>
    <x v="29"/>
    <x v="2431"/>
    <x v="28"/>
    <x v="74"/>
    <x v="356"/>
    <x v="1893"/>
    <x v="2601"/>
    <x v="2597"/>
    <x v="2414"/>
    <x v="0"/>
    <x v="2580"/>
    <x v="2601"/>
    <x v="858"/>
    <x v="0"/>
    <x v="0"/>
    <x v="0"/>
    <x v="159"/>
    <x v="21"/>
    <x v="30"/>
    <x v="23"/>
    <x v="3"/>
    <x v="1"/>
  </r>
  <r>
    <x v="0"/>
    <x v="1093"/>
    <x v="411"/>
    <x v="32"/>
    <x v="299"/>
    <x v="750"/>
    <x v="57"/>
    <x v="2432"/>
    <x v="425"/>
    <x v="386"/>
    <x v="1248"/>
    <x v="1894"/>
    <x v="2602"/>
    <x v="2598"/>
    <x v="2415"/>
    <x v="0"/>
    <x v="2581"/>
    <x v="2602"/>
    <x v="156"/>
    <x v="0"/>
    <x v="1"/>
    <x v="0"/>
    <x v="159"/>
    <x v="11"/>
    <x v="485"/>
    <x v="16"/>
    <x v="1"/>
    <x v="191"/>
  </r>
  <r>
    <x v="0"/>
    <x v="433"/>
    <x v="447"/>
    <x v="107"/>
    <x v="125"/>
    <x v="612"/>
    <x v="75"/>
    <x v="2433"/>
    <x v="70"/>
    <x v="199"/>
    <x v="1290"/>
    <x v="1895"/>
    <x v="2603"/>
    <x v="2599"/>
    <x v="2416"/>
    <x v="3"/>
    <x v="2582"/>
    <x v="2603"/>
    <x v="499"/>
    <x v="0"/>
    <x v="0"/>
    <x v="0"/>
    <x v="178"/>
    <x v="17"/>
    <x v="449"/>
    <x v="37"/>
    <x v="1"/>
    <x v="1"/>
  </r>
  <r>
    <x v="0"/>
    <x v="1094"/>
    <x v="239"/>
    <x v="60"/>
    <x v="174"/>
    <x v="438"/>
    <x v="24"/>
    <x v="2434"/>
    <x v="105"/>
    <x v="131"/>
    <x v="699"/>
    <x v="639"/>
    <x v="2604"/>
    <x v="2600"/>
    <x v="1112"/>
    <x v="4"/>
    <x v="2583"/>
    <x v="2604"/>
    <x v="877"/>
    <x v="0"/>
    <x v="0"/>
    <x v="0"/>
    <x v="159"/>
    <x v="21"/>
    <x v="30"/>
    <x v="2"/>
    <x v="3"/>
    <x v="1"/>
  </r>
  <r>
    <x v="0"/>
    <x v="767"/>
    <x v="198"/>
    <x v="159"/>
    <x v="298"/>
    <x v="163"/>
    <x v="287"/>
    <x v="2271"/>
    <x v="273"/>
    <x v="1021"/>
    <x v="1585"/>
    <x v="1506"/>
    <x v="2605"/>
    <x v="2601"/>
    <x v="2417"/>
    <x v="8"/>
    <x v="2584"/>
    <x v="2605"/>
    <x v="594"/>
    <x v="0"/>
    <x v="1"/>
    <x v="2"/>
    <x v="159"/>
    <x v="34"/>
    <x v="464"/>
    <x v="26"/>
    <x v="5"/>
    <x v="59"/>
  </r>
  <r>
    <x v="0"/>
    <x v="1095"/>
    <x v="129"/>
    <x v="73"/>
    <x v="0"/>
    <x v="506"/>
    <x v="439"/>
    <x v="2435"/>
    <x v="429"/>
    <x v="797"/>
    <x v="394"/>
    <x v="1896"/>
    <x v="2606"/>
    <x v="2602"/>
    <x v="2418"/>
    <x v="0"/>
    <x v="2585"/>
    <x v="2606"/>
    <x v="228"/>
    <x v="0"/>
    <x v="0"/>
    <x v="4"/>
    <x v="159"/>
    <x v="0"/>
    <x v="265"/>
    <x v="41"/>
    <x v="3"/>
    <x v="67"/>
  </r>
  <r>
    <x v="0"/>
    <x v="645"/>
    <x v="165"/>
    <x v="69"/>
    <x v="140"/>
    <x v="256"/>
    <x v="35"/>
    <x v="2436"/>
    <x v="606"/>
    <x v="608"/>
    <x v="1586"/>
    <x v="330"/>
    <x v="2607"/>
    <x v="2603"/>
    <x v="2419"/>
    <x v="1"/>
    <x v="2586"/>
    <x v="2607"/>
    <x v="418"/>
    <x v="0"/>
    <x v="0"/>
    <x v="4"/>
    <x v="159"/>
    <x v="11"/>
    <x v="174"/>
    <x v="1"/>
    <x v="1"/>
    <x v="58"/>
  </r>
  <r>
    <x v="0"/>
    <x v="1096"/>
    <x v="330"/>
    <x v="37"/>
    <x v="195"/>
    <x v="611"/>
    <x v="207"/>
    <x v="2437"/>
    <x v="444"/>
    <x v="1022"/>
    <x v="347"/>
    <x v="1897"/>
    <x v="2608"/>
    <x v="881"/>
    <x v="2420"/>
    <x v="0"/>
    <x v="2587"/>
    <x v="2608"/>
    <x v="491"/>
    <x v="0"/>
    <x v="0"/>
    <x v="4"/>
    <x v="159"/>
    <x v="0"/>
    <x v="232"/>
    <x v="4"/>
    <x v="3"/>
    <x v="1"/>
  </r>
  <r>
    <x v="0"/>
    <x v="1064"/>
    <x v="280"/>
    <x v="78"/>
    <x v="85"/>
    <x v="478"/>
    <x v="0"/>
    <x v="2438"/>
    <x v="127"/>
    <x v="1023"/>
    <x v="313"/>
    <x v="703"/>
    <x v="2609"/>
    <x v="2604"/>
    <x v="2421"/>
    <x v="0"/>
    <x v="2588"/>
    <x v="2609"/>
    <x v="384"/>
    <x v="0"/>
    <x v="0"/>
    <x v="0"/>
    <x v="159"/>
    <x v="12"/>
    <x v="212"/>
    <x v="9"/>
    <x v="3"/>
    <x v="1"/>
  </r>
  <r>
    <x v="0"/>
    <x v="1097"/>
    <x v="285"/>
    <x v="50"/>
    <x v="52"/>
    <x v="807"/>
    <x v="35"/>
    <x v="2439"/>
    <x v="662"/>
    <x v="157"/>
    <x v="597"/>
    <x v="1898"/>
    <x v="2610"/>
    <x v="2605"/>
    <x v="2422"/>
    <x v="7"/>
    <x v="2589"/>
    <x v="2610"/>
    <x v="878"/>
    <x v="0"/>
    <x v="0"/>
    <x v="4"/>
    <x v="159"/>
    <x v="19"/>
    <x v="375"/>
    <x v="54"/>
    <x v="1"/>
    <x v="1"/>
  </r>
  <r>
    <x v="0"/>
    <x v="112"/>
    <x v="175"/>
    <x v="11"/>
    <x v="49"/>
    <x v="151"/>
    <x v="21"/>
    <x v="205"/>
    <x v="1"/>
    <x v="22"/>
    <x v="88"/>
    <x v="187"/>
    <x v="210"/>
    <x v="2606"/>
    <x v="206"/>
    <x v="0"/>
    <x v="208"/>
    <x v="210"/>
    <x v="198"/>
    <x v="0"/>
    <x v="0"/>
    <x v="0"/>
    <x v="44"/>
    <x v="5"/>
    <x v="30"/>
    <x v="27"/>
    <x v="1"/>
    <x v="61"/>
  </r>
  <r>
    <x v="0"/>
    <x v="340"/>
    <x v="112"/>
    <x v="42"/>
    <x v="0"/>
    <x v="486"/>
    <x v="11"/>
    <x v="2440"/>
    <x v="272"/>
    <x v="49"/>
    <x v="1587"/>
    <x v="1899"/>
    <x v="2611"/>
    <x v="2607"/>
    <x v="2423"/>
    <x v="0"/>
    <x v="2590"/>
    <x v="2611"/>
    <x v="879"/>
    <x v="0"/>
    <x v="0"/>
    <x v="2"/>
    <x v="178"/>
    <x v="42"/>
    <x v="741"/>
    <x v="14"/>
    <x v="3"/>
    <x v="0"/>
  </r>
  <r>
    <x v="0"/>
    <x v="1098"/>
    <x v="356"/>
    <x v="51"/>
    <x v="315"/>
    <x v="306"/>
    <x v="11"/>
    <x v="2441"/>
    <x v="113"/>
    <x v="156"/>
    <x v="1082"/>
    <x v="478"/>
    <x v="2612"/>
    <x v="2608"/>
    <x v="2424"/>
    <x v="1"/>
    <x v="2591"/>
    <x v="2612"/>
    <x v="173"/>
    <x v="0"/>
    <x v="0"/>
    <x v="0"/>
    <x v="159"/>
    <x v="1"/>
    <x v="12"/>
    <x v="32"/>
    <x v="1"/>
    <x v="1"/>
  </r>
  <r>
    <x v="0"/>
    <x v="1099"/>
    <x v="503"/>
    <x v="7"/>
    <x v="0"/>
    <x v="707"/>
    <x v="186"/>
    <x v="2442"/>
    <x v="152"/>
    <x v="350"/>
    <x v="725"/>
    <x v="1900"/>
    <x v="2613"/>
    <x v="2609"/>
    <x v="2425"/>
    <x v="0"/>
    <x v="2592"/>
    <x v="2613"/>
    <x v="534"/>
    <x v="0"/>
    <x v="0"/>
    <x v="4"/>
    <x v="159"/>
    <x v="10"/>
    <x v="77"/>
    <x v="6"/>
    <x v="1"/>
    <x v="299"/>
  </r>
  <r>
    <x v="0"/>
    <x v="1100"/>
    <x v="336"/>
    <x v="71"/>
    <x v="123"/>
    <x v="319"/>
    <x v="79"/>
    <x v="2443"/>
    <x v="663"/>
    <x v="453"/>
    <x v="1587"/>
    <x v="430"/>
    <x v="2614"/>
    <x v="2610"/>
    <x v="2426"/>
    <x v="8"/>
    <x v="2593"/>
    <x v="2614"/>
    <x v="715"/>
    <x v="0"/>
    <x v="8"/>
    <x v="2"/>
    <x v="159"/>
    <x v="14"/>
    <x v="741"/>
    <x v="51"/>
    <x v="3"/>
    <x v="467"/>
  </r>
  <r>
    <x v="0"/>
    <x v="999"/>
    <x v="409"/>
    <x v="70"/>
    <x v="89"/>
    <x v="278"/>
    <x v="347"/>
    <x v="2444"/>
    <x v="105"/>
    <x v="622"/>
    <x v="1588"/>
    <x v="1901"/>
    <x v="2615"/>
    <x v="2611"/>
    <x v="1359"/>
    <x v="0"/>
    <x v="2594"/>
    <x v="2615"/>
    <x v="320"/>
    <x v="0"/>
    <x v="0"/>
    <x v="4"/>
    <x v="159"/>
    <x v="20"/>
    <x v="756"/>
    <x v="19"/>
    <x v="3"/>
    <x v="247"/>
  </r>
  <r>
    <x v="0"/>
    <x v="1101"/>
    <x v="164"/>
    <x v="7"/>
    <x v="62"/>
    <x v="779"/>
    <x v="14"/>
    <x v="2445"/>
    <x v="55"/>
    <x v="119"/>
    <x v="367"/>
    <x v="326"/>
    <x v="2616"/>
    <x v="2612"/>
    <x v="2427"/>
    <x v="1"/>
    <x v="2595"/>
    <x v="2616"/>
    <x v="361"/>
    <x v="0"/>
    <x v="1"/>
    <x v="4"/>
    <x v="159"/>
    <x v="1"/>
    <x v="30"/>
    <x v="15"/>
    <x v="3"/>
    <x v="1"/>
  </r>
  <r>
    <x v="0"/>
    <x v="497"/>
    <x v="401"/>
    <x v="69"/>
    <x v="255"/>
    <x v="624"/>
    <x v="539"/>
    <x v="2446"/>
    <x v="491"/>
    <x v="1024"/>
    <x v="1589"/>
    <x v="1902"/>
    <x v="2617"/>
    <x v="2613"/>
    <x v="2428"/>
    <x v="0"/>
    <x v="2596"/>
    <x v="2617"/>
    <x v="398"/>
    <x v="0"/>
    <x v="0"/>
    <x v="2"/>
    <x v="159"/>
    <x v="11"/>
    <x v="380"/>
    <x v="10"/>
    <x v="3"/>
    <x v="1"/>
  </r>
  <r>
    <x v="0"/>
    <x v="402"/>
    <x v="368"/>
    <x v="11"/>
    <x v="226"/>
    <x v="808"/>
    <x v="334"/>
    <x v="2447"/>
    <x v="301"/>
    <x v="595"/>
    <x v="1590"/>
    <x v="1903"/>
    <x v="2618"/>
    <x v="2614"/>
    <x v="2429"/>
    <x v="7"/>
    <x v="2597"/>
    <x v="2618"/>
    <x v="244"/>
    <x v="0"/>
    <x v="0"/>
    <x v="2"/>
    <x v="137"/>
    <x v="12"/>
    <x v="449"/>
    <x v="21"/>
    <x v="3"/>
    <x v="103"/>
  </r>
  <r>
    <x v="0"/>
    <x v="1102"/>
    <x v="373"/>
    <x v="23"/>
    <x v="95"/>
    <x v="569"/>
    <x v="0"/>
    <x v="2448"/>
    <x v="357"/>
    <x v="114"/>
    <x v="681"/>
    <x v="912"/>
    <x v="2619"/>
    <x v="2615"/>
    <x v="2430"/>
    <x v="0"/>
    <x v="2598"/>
    <x v="2619"/>
    <x v="392"/>
    <x v="0"/>
    <x v="0"/>
    <x v="0"/>
    <x v="159"/>
    <x v="21"/>
    <x v="144"/>
    <x v="13"/>
    <x v="3"/>
    <x v="1"/>
  </r>
  <r>
    <x v="0"/>
    <x v="479"/>
    <x v="387"/>
    <x v="86"/>
    <x v="78"/>
    <x v="166"/>
    <x v="442"/>
    <x v="2449"/>
    <x v="112"/>
    <x v="802"/>
    <x v="676"/>
    <x v="1904"/>
    <x v="2620"/>
    <x v="2616"/>
    <x v="2431"/>
    <x v="1"/>
    <x v="2599"/>
    <x v="2620"/>
    <x v="495"/>
    <x v="0"/>
    <x v="0"/>
    <x v="4"/>
    <x v="159"/>
    <x v="13"/>
    <x v="416"/>
    <x v="38"/>
    <x v="3"/>
    <x v="1"/>
  </r>
  <r>
    <x v="0"/>
    <x v="1103"/>
    <x v="342"/>
    <x v="77"/>
    <x v="221"/>
    <x v="555"/>
    <x v="21"/>
    <x v="2450"/>
    <x v="127"/>
    <x v="71"/>
    <x v="1591"/>
    <x v="1405"/>
    <x v="2621"/>
    <x v="2617"/>
    <x v="1773"/>
    <x v="3"/>
    <x v="2600"/>
    <x v="2621"/>
    <x v="498"/>
    <x v="0"/>
    <x v="0"/>
    <x v="0"/>
    <x v="159"/>
    <x v="0"/>
    <x v="233"/>
    <x v="30"/>
    <x v="3"/>
    <x v="1"/>
  </r>
  <r>
    <x v="0"/>
    <x v="1104"/>
    <x v="202"/>
    <x v="78"/>
    <x v="45"/>
    <x v="98"/>
    <x v="540"/>
    <x v="2451"/>
    <x v="664"/>
    <x v="1025"/>
    <x v="1592"/>
    <x v="1905"/>
    <x v="2622"/>
    <x v="2618"/>
    <x v="2432"/>
    <x v="0"/>
    <x v="2601"/>
    <x v="2622"/>
    <x v="424"/>
    <x v="0"/>
    <x v="0"/>
    <x v="4"/>
    <x v="159"/>
    <x v="21"/>
    <x v="423"/>
    <x v="61"/>
    <x v="3"/>
    <x v="274"/>
  </r>
  <r>
    <x v="0"/>
    <x v="922"/>
    <x v="197"/>
    <x v="59"/>
    <x v="129"/>
    <x v="746"/>
    <x v="205"/>
    <x v="2452"/>
    <x v="64"/>
    <x v="1026"/>
    <x v="1593"/>
    <x v="1906"/>
    <x v="2623"/>
    <x v="2619"/>
    <x v="2433"/>
    <x v="0"/>
    <x v="2602"/>
    <x v="2623"/>
    <x v="224"/>
    <x v="0"/>
    <x v="0"/>
    <x v="4"/>
    <x v="159"/>
    <x v="25"/>
    <x v="550"/>
    <x v="5"/>
    <x v="3"/>
    <x v="71"/>
  </r>
  <r>
    <x v="0"/>
    <x v="696"/>
    <x v="504"/>
    <x v="73"/>
    <x v="201"/>
    <x v="369"/>
    <x v="32"/>
    <x v="2453"/>
    <x v="527"/>
    <x v="59"/>
    <x v="1594"/>
    <x v="1324"/>
    <x v="2624"/>
    <x v="2620"/>
    <x v="2434"/>
    <x v="3"/>
    <x v="2603"/>
    <x v="2624"/>
    <x v="880"/>
    <x v="0"/>
    <x v="1"/>
    <x v="4"/>
    <x v="159"/>
    <x v="12"/>
    <x v="35"/>
    <x v="16"/>
    <x v="3"/>
    <x v="1"/>
  </r>
  <r>
    <x v="0"/>
    <x v="1105"/>
    <x v="225"/>
    <x v="33"/>
    <x v="131"/>
    <x v="672"/>
    <x v="443"/>
    <x v="2454"/>
    <x v="56"/>
    <x v="1027"/>
    <x v="1595"/>
    <x v="1907"/>
    <x v="2625"/>
    <x v="2621"/>
    <x v="1595"/>
    <x v="4"/>
    <x v="2604"/>
    <x v="2625"/>
    <x v="802"/>
    <x v="0"/>
    <x v="0"/>
    <x v="3"/>
    <x v="159"/>
    <x v="5"/>
    <x v="523"/>
    <x v="10"/>
    <x v="1"/>
    <x v="1"/>
  </r>
  <r>
    <x v="0"/>
    <x v="1072"/>
    <x v="459"/>
    <x v="90"/>
    <x v="265"/>
    <x v="120"/>
    <x v="25"/>
    <x v="2455"/>
    <x v="17"/>
    <x v="82"/>
    <x v="1596"/>
    <x v="1347"/>
    <x v="2626"/>
    <x v="2622"/>
    <x v="2435"/>
    <x v="1"/>
    <x v="2605"/>
    <x v="2626"/>
    <x v="319"/>
    <x v="0"/>
    <x v="1"/>
    <x v="2"/>
    <x v="223"/>
    <x v="27"/>
    <x v="757"/>
    <x v="0"/>
    <x v="1"/>
    <x v="1"/>
  </r>
  <r>
    <x v="0"/>
    <x v="602"/>
    <x v="155"/>
    <x v="125"/>
    <x v="0"/>
    <x v="795"/>
    <x v="22"/>
    <x v="2456"/>
    <x v="270"/>
    <x v="202"/>
    <x v="1597"/>
    <x v="1908"/>
    <x v="2627"/>
    <x v="2623"/>
    <x v="2436"/>
    <x v="11"/>
    <x v="2606"/>
    <x v="2627"/>
    <x v="397"/>
    <x v="0"/>
    <x v="0"/>
    <x v="4"/>
    <x v="159"/>
    <x v="13"/>
    <x v="134"/>
    <x v="0"/>
    <x v="1"/>
    <x v="1"/>
  </r>
  <r>
    <x v="0"/>
    <x v="1032"/>
    <x v="429"/>
    <x v="50"/>
    <x v="31"/>
    <x v="336"/>
    <x v="0"/>
    <x v="2457"/>
    <x v="400"/>
    <x v="1028"/>
    <x v="1598"/>
    <x v="1909"/>
    <x v="2628"/>
    <x v="2624"/>
    <x v="2437"/>
    <x v="0"/>
    <x v="2607"/>
    <x v="2628"/>
    <x v="650"/>
    <x v="0"/>
    <x v="0"/>
    <x v="4"/>
    <x v="159"/>
    <x v="27"/>
    <x v="392"/>
    <x v="34"/>
    <x v="3"/>
    <x v="468"/>
  </r>
  <r>
    <x v="0"/>
    <x v="1106"/>
    <x v="303"/>
    <x v="54"/>
    <x v="5"/>
    <x v="158"/>
    <x v="0"/>
    <x v="2458"/>
    <x v="259"/>
    <x v="1003"/>
    <x v="1599"/>
    <x v="483"/>
    <x v="2629"/>
    <x v="2625"/>
    <x v="1714"/>
    <x v="0"/>
    <x v="2608"/>
    <x v="2629"/>
    <x v="758"/>
    <x v="0"/>
    <x v="0"/>
    <x v="2"/>
    <x v="159"/>
    <x v="7"/>
    <x v="475"/>
    <x v="5"/>
    <x v="1"/>
    <x v="103"/>
  </r>
  <r>
    <x v="0"/>
    <x v="1107"/>
    <x v="331"/>
    <x v="71"/>
    <x v="143"/>
    <x v="733"/>
    <x v="108"/>
    <x v="2459"/>
    <x v="429"/>
    <x v="1029"/>
    <x v="914"/>
    <x v="1480"/>
    <x v="2630"/>
    <x v="2626"/>
    <x v="2438"/>
    <x v="0"/>
    <x v="2609"/>
    <x v="2630"/>
    <x v="376"/>
    <x v="0"/>
    <x v="0"/>
    <x v="4"/>
    <x v="159"/>
    <x v="1"/>
    <x v="33"/>
    <x v="37"/>
    <x v="1"/>
    <x v="1"/>
  </r>
  <r>
    <x v="0"/>
    <x v="1108"/>
    <x v="339"/>
    <x v="55"/>
    <x v="224"/>
    <x v="421"/>
    <x v="138"/>
    <x v="2460"/>
    <x v="236"/>
    <x v="257"/>
    <x v="1600"/>
    <x v="617"/>
    <x v="2631"/>
    <x v="2627"/>
    <x v="221"/>
    <x v="4"/>
    <x v="2610"/>
    <x v="2631"/>
    <x v="108"/>
    <x v="0"/>
    <x v="0"/>
    <x v="4"/>
    <x v="137"/>
    <x v="21"/>
    <x v="475"/>
    <x v="54"/>
    <x v="1"/>
    <x v="469"/>
  </r>
  <r>
    <x v="0"/>
    <x v="352"/>
    <x v="474"/>
    <x v="78"/>
    <x v="89"/>
    <x v="617"/>
    <x v="126"/>
    <x v="2461"/>
    <x v="158"/>
    <x v="1030"/>
    <x v="983"/>
    <x v="1036"/>
    <x v="2632"/>
    <x v="2628"/>
    <x v="2439"/>
    <x v="4"/>
    <x v="2611"/>
    <x v="2632"/>
    <x v="405"/>
    <x v="0"/>
    <x v="0"/>
    <x v="2"/>
    <x v="159"/>
    <x v="19"/>
    <x v="484"/>
    <x v="10"/>
    <x v="1"/>
    <x v="1"/>
  </r>
  <r>
    <x v="0"/>
    <x v="1109"/>
    <x v="239"/>
    <x v="80"/>
    <x v="193"/>
    <x v="262"/>
    <x v="281"/>
    <x v="2462"/>
    <x v="65"/>
    <x v="1031"/>
    <x v="1601"/>
    <x v="1910"/>
    <x v="2633"/>
    <x v="2629"/>
    <x v="2440"/>
    <x v="1"/>
    <x v="2612"/>
    <x v="2633"/>
    <x v="437"/>
    <x v="0"/>
    <x v="0"/>
    <x v="0"/>
    <x v="78"/>
    <x v="7"/>
    <x v="571"/>
    <x v="55"/>
    <x v="3"/>
    <x v="1"/>
  </r>
  <r>
    <x v="0"/>
    <x v="1110"/>
    <x v="309"/>
    <x v="7"/>
    <x v="123"/>
    <x v="350"/>
    <x v="327"/>
    <x v="2463"/>
    <x v="170"/>
    <x v="624"/>
    <x v="1602"/>
    <x v="480"/>
    <x v="2634"/>
    <x v="2630"/>
    <x v="245"/>
    <x v="4"/>
    <x v="2613"/>
    <x v="2634"/>
    <x v="591"/>
    <x v="0"/>
    <x v="0"/>
    <x v="4"/>
    <x v="159"/>
    <x v="6"/>
    <x v="758"/>
    <x v="21"/>
    <x v="1"/>
    <x v="1"/>
  </r>
  <r>
    <x v="0"/>
    <x v="932"/>
    <x v="126"/>
    <x v="85"/>
    <x v="107"/>
    <x v="158"/>
    <x v="22"/>
    <x v="2464"/>
    <x v="419"/>
    <x v="867"/>
    <x v="1603"/>
    <x v="483"/>
    <x v="2635"/>
    <x v="2631"/>
    <x v="2441"/>
    <x v="2"/>
    <x v="2614"/>
    <x v="2635"/>
    <x v="340"/>
    <x v="0"/>
    <x v="39"/>
    <x v="0"/>
    <x v="159"/>
    <x v="5"/>
    <x v="759"/>
    <x v="22"/>
    <x v="1"/>
    <x v="1"/>
  </r>
  <r>
    <x v="0"/>
    <x v="1111"/>
    <x v="368"/>
    <x v="95"/>
    <x v="202"/>
    <x v="242"/>
    <x v="153"/>
    <x v="2465"/>
    <x v="315"/>
    <x v="236"/>
    <x v="348"/>
    <x v="1911"/>
    <x v="2636"/>
    <x v="2632"/>
    <x v="1028"/>
    <x v="3"/>
    <x v="2615"/>
    <x v="2636"/>
    <x v="414"/>
    <x v="0"/>
    <x v="5"/>
    <x v="4"/>
    <x v="159"/>
    <x v="20"/>
    <x v="233"/>
    <x v="34"/>
    <x v="3"/>
    <x v="470"/>
  </r>
  <r>
    <x v="0"/>
    <x v="1112"/>
    <x v="476"/>
    <x v="35"/>
    <x v="323"/>
    <x v="270"/>
    <x v="186"/>
    <x v="2466"/>
    <x v="168"/>
    <x v="350"/>
    <x v="657"/>
    <x v="1912"/>
    <x v="2637"/>
    <x v="2633"/>
    <x v="2442"/>
    <x v="3"/>
    <x v="2616"/>
    <x v="2637"/>
    <x v="425"/>
    <x v="0"/>
    <x v="0"/>
    <x v="4"/>
    <x v="159"/>
    <x v="3"/>
    <x v="357"/>
    <x v="11"/>
    <x v="1"/>
    <x v="65"/>
  </r>
  <r>
    <x v="0"/>
    <x v="146"/>
    <x v="208"/>
    <x v="26"/>
    <x v="108"/>
    <x v="110"/>
    <x v="333"/>
    <x v="2467"/>
    <x v="23"/>
    <x v="743"/>
    <x v="1604"/>
    <x v="135"/>
    <x v="2638"/>
    <x v="2634"/>
    <x v="2443"/>
    <x v="4"/>
    <x v="2617"/>
    <x v="2638"/>
    <x v="270"/>
    <x v="0"/>
    <x v="0"/>
    <x v="4"/>
    <x v="159"/>
    <x v="11"/>
    <x v="760"/>
    <x v="22"/>
    <x v="1"/>
    <x v="1"/>
  </r>
  <r>
    <x v="0"/>
    <x v="1113"/>
    <x v="343"/>
    <x v="56"/>
    <x v="31"/>
    <x v="146"/>
    <x v="541"/>
    <x v="2468"/>
    <x v="150"/>
    <x v="1032"/>
    <x v="1605"/>
    <x v="1913"/>
    <x v="2639"/>
    <x v="2635"/>
    <x v="2444"/>
    <x v="1"/>
    <x v="2618"/>
    <x v="2639"/>
    <x v="359"/>
    <x v="0"/>
    <x v="4"/>
    <x v="4"/>
    <x v="159"/>
    <x v="15"/>
    <x v="115"/>
    <x v="41"/>
    <x v="1"/>
    <x v="471"/>
  </r>
  <r>
    <x v="0"/>
    <x v="212"/>
    <x v="350"/>
    <x v="22"/>
    <x v="0"/>
    <x v="204"/>
    <x v="14"/>
    <x v="2469"/>
    <x v="175"/>
    <x v="119"/>
    <x v="299"/>
    <x v="575"/>
    <x v="2640"/>
    <x v="2636"/>
    <x v="2445"/>
    <x v="0"/>
    <x v="2619"/>
    <x v="2640"/>
    <x v="881"/>
    <x v="0"/>
    <x v="0"/>
    <x v="4"/>
    <x v="159"/>
    <x v="8"/>
    <x v="201"/>
    <x v="32"/>
    <x v="3"/>
    <x v="37"/>
  </r>
  <r>
    <x v="0"/>
    <x v="1114"/>
    <x v="399"/>
    <x v="37"/>
    <x v="244"/>
    <x v="408"/>
    <x v="339"/>
    <x v="2470"/>
    <x v="179"/>
    <x v="756"/>
    <x v="1606"/>
    <x v="591"/>
    <x v="2641"/>
    <x v="2637"/>
    <x v="2446"/>
    <x v="1"/>
    <x v="2620"/>
    <x v="2641"/>
    <x v="793"/>
    <x v="0"/>
    <x v="0"/>
    <x v="4"/>
    <x v="159"/>
    <x v="31"/>
    <x v="574"/>
    <x v="19"/>
    <x v="1"/>
    <x v="1"/>
  </r>
  <r>
    <x v="0"/>
    <x v="743"/>
    <x v="505"/>
    <x v="55"/>
    <x v="214"/>
    <x v="13"/>
    <x v="2"/>
    <x v="2471"/>
    <x v="111"/>
    <x v="75"/>
    <x v="257"/>
    <x v="142"/>
    <x v="2642"/>
    <x v="2638"/>
    <x v="2447"/>
    <x v="1"/>
    <x v="2621"/>
    <x v="2642"/>
    <x v="882"/>
    <x v="0"/>
    <x v="0"/>
    <x v="4"/>
    <x v="159"/>
    <x v="3"/>
    <x v="174"/>
    <x v="5"/>
    <x v="1"/>
    <x v="35"/>
  </r>
  <r>
    <x v="0"/>
    <x v="913"/>
    <x v="139"/>
    <x v="40"/>
    <x v="324"/>
    <x v="257"/>
    <x v="13"/>
    <x v="2472"/>
    <x v="168"/>
    <x v="93"/>
    <x v="1607"/>
    <x v="1914"/>
    <x v="2643"/>
    <x v="2639"/>
    <x v="2448"/>
    <x v="3"/>
    <x v="2622"/>
    <x v="2643"/>
    <x v="469"/>
    <x v="0"/>
    <x v="1"/>
    <x v="4"/>
    <x v="159"/>
    <x v="11"/>
    <x v="761"/>
    <x v="2"/>
    <x v="1"/>
    <x v="38"/>
  </r>
  <r>
    <x v="0"/>
    <x v="1115"/>
    <x v="241"/>
    <x v="101"/>
    <x v="339"/>
    <x v="241"/>
    <x v="327"/>
    <x v="2473"/>
    <x v="125"/>
    <x v="737"/>
    <x v="1527"/>
    <x v="1577"/>
    <x v="2644"/>
    <x v="2640"/>
    <x v="1360"/>
    <x v="1"/>
    <x v="2623"/>
    <x v="2644"/>
    <x v="413"/>
    <x v="0"/>
    <x v="0"/>
    <x v="4"/>
    <x v="159"/>
    <x v="18"/>
    <x v="238"/>
    <x v="33"/>
    <x v="3"/>
    <x v="1"/>
  </r>
  <r>
    <x v="0"/>
    <x v="1116"/>
    <x v="447"/>
    <x v="79"/>
    <x v="69"/>
    <x v="549"/>
    <x v="542"/>
    <x v="2474"/>
    <x v="29"/>
    <x v="1033"/>
    <x v="1608"/>
    <x v="1915"/>
    <x v="2645"/>
    <x v="2641"/>
    <x v="1278"/>
    <x v="0"/>
    <x v="2624"/>
    <x v="2645"/>
    <x v="636"/>
    <x v="0"/>
    <x v="0"/>
    <x v="3"/>
    <x v="159"/>
    <x v="8"/>
    <x v="665"/>
    <x v="20"/>
    <x v="3"/>
    <x v="472"/>
  </r>
  <r>
    <x v="0"/>
    <x v="1117"/>
    <x v="373"/>
    <x v="79"/>
    <x v="0"/>
    <x v="608"/>
    <x v="261"/>
    <x v="2475"/>
    <x v="305"/>
    <x v="476"/>
    <x v="1609"/>
    <x v="1916"/>
    <x v="2646"/>
    <x v="2642"/>
    <x v="1711"/>
    <x v="0"/>
    <x v="2625"/>
    <x v="2646"/>
    <x v="755"/>
    <x v="0"/>
    <x v="0"/>
    <x v="3"/>
    <x v="4"/>
    <x v="1"/>
    <x v="736"/>
    <x v="26"/>
    <x v="0"/>
    <x v="473"/>
  </r>
  <r>
    <x v="0"/>
    <x v="1118"/>
    <x v="362"/>
    <x v="59"/>
    <x v="151"/>
    <x v="628"/>
    <x v="0"/>
    <x v="2476"/>
    <x v="0"/>
    <x v="738"/>
    <x v="1610"/>
    <x v="1917"/>
    <x v="2647"/>
    <x v="2643"/>
    <x v="2449"/>
    <x v="1"/>
    <x v="2626"/>
    <x v="2647"/>
    <x v="668"/>
    <x v="0"/>
    <x v="0"/>
    <x v="4"/>
    <x v="159"/>
    <x v="21"/>
    <x v="475"/>
    <x v="51"/>
    <x v="1"/>
    <x v="458"/>
  </r>
  <r>
    <x v="0"/>
    <x v="1119"/>
    <x v="225"/>
    <x v="61"/>
    <x v="106"/>
    <x v="216"/>
    <x v="334"/>
    <x v="2477"/>
    <x v="665"/>
    <x v="595"/>
    <x v="1611"/>
    <x v="274"/>
    <x v="2648"/>
    <x v="2644"/>
    <x v="2450"/>
    <x v="2"/>
    <x v="2627"/>
    <x v="2648"/>
    <x v="552"/>
    <x v="0"/>
    <x v="0"/>
    <x v="4"/>
    <x v="159"/>
    <x v="7"/>
    <x v="297"/>
    <x v="5"/>
    <x v="1"/>
    <x v="474"/>
  </r>
  <r>
    <x v="0"/>
    <x v="1120"/>
    <x v="248"/>
    <x v="86"/>
    <x v="170"/>
    <x v="128"/>
    <x v="2"/>
    <x v="2478"/>
    <x v="17"/>
    <x v="203"/>
    <x v="243"/>
    <x v="158"/>
    <x v="2649"/>
    <x v="2645"/>
    <x v="2451"/>
    <x v="0"/>
    <x v="2628"/>
    <x v="2649"/>
    <x v="339"/>
    <x v="0"/>
    <x v="0"/>
    <x v="0"/>
    <x v="159"/>
    <x v="10"/>
    <x v="1"/>
    <x v="15"/>
    <x v="1"/>
    <x v="112"/>
  </r>
  <r>
    <x v="0"/>
    <x v="1121"/>
    <x v="223"/>
    <x v="70"/>
    <x v="0"/>
    <x v="245"/>
    <x v="543"/>
    <x v="2479"/>
    <x v="291"/>
    <x v="1034"/>
    <x v="1612"/>
    <x v="759"/>
    <x v="2650"/>
    <x v="2646"/>
    <x v="2452"/>
    <x v="1"/>
    <x v="2629"/>
    <x v="2650"/>
    <x v="173"/>
    <x v="0"/>
    <x v="0"/>
    <x v="0"/>
    <x v="159"/>
    <x v="0"/>
    <x v="183"/>
    <x v="8"/>
    <x v="1"/>
    <x v="7"/>
  </r>
  <r>
    <x v="0"/>
    <x v="1122"/>
    <x v="394"/>
    <x v="80"/>
    <x v="116"/>
    <x v="302"/>
    <x v="21"/>
    <x v="2480"/>
    <x v="168"/>
    <x v="127"/>
    <x v="315"/>
    <x v="1918"/>
    <x v="2651"/>
    <x v="2647"/>
    <x v="2453"/>
    <x v="1"/>
    <x v="2630"/>
    <x v="2651"/>
    <x v="675"/>
    <x v="0"/>
    <x v="0"/>
    <x v="4"/>
    <x v="4"/>
    <x v="18"/>
    <x v="104"/>
    <x v="9"/>
    <x v="1"/>
    <x v="475"/>
  </r>
  <r>
    <x v="0"/>
    <x v="1123"/>
    <x v="323"/>
    <x v="55"/>
    <x v="267"/>
    <x v="448"/>
    <x v="188"/>
    <x v="2481"/>
    <x v="111"/>
    <x v="418"/>
    <x v="1613"/>
    <x v="845"/>
    <x v="2652"/>
    <x v="2648"/>
    <x v="2454"/>
    <x v="3"/>
    <x v="2631"/>
    <x v="2652"/>
    <x v="245"/>
    <x v="0"/>
    <x v="0"/>
    <x v="4"/>
    <x v="159"/>
    <x v="17"/>
    <x v="302"/>
    <x v="10"/>
    <x v="1"/>
    <x v="476"/>
  </r>
  <r>
    <x v="0"/>
    <x v="1124"/>
    <x v="241"/>
    <x v="55"/>
    <x v="340"/>
    <x v="331"/>
    <x v="25"/>
    <x v="2482"/>
    <x v="125"/>
    <x v="30"/>
    <x v="1076"/>
    <x v="445"/>
    <x v="2653"/>
    <x v="2649"/>
    <x v="2455"/>
    <x v="4"/>
    <x v="2632"/>
    <x v="2653"/>
    <x v="629"/>
    <x v="0"/>
    <x v="0"/>
    <x v="0"/>
    <x v="159"/>
    <x v="15"/>
    <x v="583"/>
    <x v="23"/>
    <x v="15"/>
    <x v="477"/>
  </r>
  <r>
    <x v="1"/>
    <x v="569"/>
    <x v="323"/>
    <x v="31"/>
    <x v="116"/>
    <x v="809"/>
    <x v="250"/>
    <x v="2483"/>
    <x v="432"/>
    <x v="458"/>
    <x v="1614"/>
    <x v="1919"/>
    <x v="2654"/>
    <x v="2650"/>
    <x v="2456"/>
    <x v="6"/>
    <x v="2633"/>
    <x v="2654"/>
    <x v="630"/>
    <x v="0"/>
    <x v="0"/>
    <x v="0"/>
    <x v="78"/>
    <x v="14"/>
    <x v="762"/>
    <x v="4"/>
    <x v="1"/>
    <x v="103"/>
  </r>
  <r>
    <x v="0"/>
    <x v="696"/>
    <x v="372"/>
    <x v="23"/>
    <x v="201"/>
    <x v="408"/>
    <x v="2"/>
    <x v="2484"/>
    <x v="105"/>
    <x v="740"/>
    <x v="1070"/>
    <x v="1920"/>
    <x v="2655"/>
    <x v="2651"/>
    <x v="2457"/>
    <x v="0"/>
    <x v="2634"/>
    <x v="2655"/>
    <x v="650"/>
    <x v="0"/>
    <x v="0"/>
    <x v="2"/>
    <x v="159"/>
    <x v="30"/>
    <x v="379"/>
    <x v="21"/>
    <x v="3"/>
    <x v="200"/>
  </r>
  <r>
    <x v="0"/>
    <x v="1125"/>
    <x v="431"/>
    <x v="93"/>
    <x v="134"/>
    <x v="702"/>
    <x v="544"/>
    <x v="2485"/>
    <x v="547"/>
    <x v="1035"/>
    <x v="1615"/>
    <x v="1921"/>
    <x v="2656"/>
    <x v="2652"/>
    <x v="2458"/>
    <x v="0"/>
    <x v="2635"/>
    <x v="2656"/>
    <x v="327"/>
    <x v="0"/>
    <x v="4"/>
    <x v="3"/>
    <x v="159"/>
    <x v="20"/>
    <x v="358"/>
    <x v="66"/>
    <x v="3"/>
    <x v="478"/>
  </r>
  <r>
    <x v="0"/>
    <x v="1126"/>
    <x v="132"/>
    <x v="86"/>
    <x v="341"/>
    <x v="609"/>
    <x v="315"/>
    <x v="2486"/>
    <x v="97"/>
    <x v="570"/>
    <x v="422"/>
    <x v="1922"/>
    <x v="2657"/>
    <x v="2653"/>
    <x v="2459"/>
    <x v="3"/>
    <x v="2636"/>
    <x v="2657"/>
    <x v="288"/>
    <x v="0"/>
    <x v="0"/>
    <x v="4"/>
    <x v="159"/>
    <x v="3"/>
    <x v="284"/>
    <x v="28"/>
    <x v="1"/>
    <x v="5"/>
  </r>
  <r>
    <x v="0"/>
    <x v="102"/>
    <x v="372"/>
    <x v="43"/>
    <x v="80"/>
    <x v="810"/>
    <x v="91"/>
    <x v="2487"/>
    <x v="105"/>
    <x v="161"/>
    <x v="311"/>
    <x v="1923"/>
    <x v="2658"/>
    <x v="2654"/>
    <x v="649"/>
    <x v="4"/>
    <x v="2637"/>
    <x v="2658"/>
    <x v="244"/>
    <x v="0"/>
    <x v="0"/>
    <x v="0"/>
    <x v="159"/>
    <x v="20"/>
    <x v="211"/>
    <x v="40"/>
    <x v="3"/>
    <x v="479"/>
  </r>
  <r>
    <x v="0"/>
    <x v="1127"/>
    <x v="402"/>
    <x v="45"/>
    <x v="198"/>
    <x v="671"/>
    <x v="153"/>
    <x v="2488"/>
    <x v="17"/>
    <x v="236"/>
    <x v="456"/>
    <x v="1924"/>
    <x v="2659"/>
    <x v="2655"/>
    <x v="1421"/>
    <x v="1"/>
    <x v="2638"/>
    <x v="2659"/>
    <x v="402"/>
    <x v="0"/>
    <x v="0"/>
    <x v="0"/>
    <x v="159"/>
    <x v="21"/>
    <x v="301"/>
    <x v="37"/>
    <x v="3"/>
    <x v="133"/>
  </r>
  <r>
    <x v="0"/>
    <x v="255"/>
    <x v="223"/>
    <x v="30"/>
    <x v="0"/>
    <x v="1"/>
    <x v="13"/>
    <x v="2489"/>
    <x v="142"/>
    <x v="158"/>
    <x v="724"/>
    <x v="49"/>
    <x v="2660"/>
    <x v="2656"/>
    <x v="2460"/>
    <x v="0"/>
    <x v="2639"/>
    <x v="2660"/>
    <x v="821"/>
    <x v="0"/>
    <x v="1"/>
    <x v="4"/>
    <x v="159"/>
    <x v="39"/>
    <x v="1"/>
    <x v="25"/>
    <x v="3"/>
    <x v="37"/>
  </r>
  <r>
    <x v="0"/>
    <x v="995"/>
    <x v="303"/>
    <x v="33"/>
    <x v="8"/>
    <x v="811"/>
    <x v="0"/>
    <x v="2490"/>
    <x v="666"/>
    <x v="1036"/>
    <x v="1139"/>
    <x v="1925"/>
    <x v="2661"/>
    <x v="2112"/>
    <x v="2461"/>
    <x v="0"/>
    <x v="2640"/>
    <x v="2661"/>
    <x v="657"/>
    <x v="0"/>
    <x v="0"/>
    <x v="2"/>
    <x v="159"/>
    <x v="14"/>
    <x v="261"/>
    <x v="18"/>
    <x v="1"/>
    <x v="103"/>
  </r>
  <r>
    <x v="0"/>
    <x v="113"/>
    <x v="465"/>
    <x v="84"/>
    <x v="88"/>
    <x v="480"/>
    <x v="151"/>
    <x v="4"/>
    <x v="667"/>
    <x v="1037"/>
    <x v="1616"/>
    <x v="1926"/>
    <x v="2662"/>
    <x v="2657"/>
    <x v="2462"/>
    <x v="1"/>
    <x v="2641"/>
    <x v="2662"/>
    <x v="356"/>
    <x v="0"/>
    <x v="4"/>
    <x v="5"/>
    <x v="4"/>
    <x v="4"/>
    <x v="763"/>
    <x v="7"/>
    <x v="2"/>
    <x v="480"/>
  </r>
  <r>
    <x v="0"/>
    <x v="375"/>
    <x v="376"/>
    <x v="85"/>
    <x v="0"/>
    <x v="90"/>
    <x v="13"/>
    <x v="2491"/>
    <x v="70"/>
    <x v="93"/>
    <x v="60"/>
    <x v="1927"/>
    <x v="2663"/>
    <x v="2658"/>
    <x v="2463"/>
    <x v="1"/>
    <x v="2642"/>
    <x v="2663"/>
    <x v="883"/>
    <x v="0"/>
    <x v="0"/>
    <x v="4"/>
    <x v="159"/>
    <x v="20"/>
    <x v="47"/>
    <x v="17"/>
    <x v="3"/>
    <x v="50"/>
  </r>
  <r>
    <x v="1"/>
    <x v="1128"/>
    <x v="148"/>
    <x v="38"/>
    <x v="115"/>
    <x v="198"/>
    <x v="22"/>
    <x v="2492"/>
    <x v="419"/>
    <x v="77"/>
    <x v="1617"/>
    <x v="251"/>
    <x v="2664"/>
    <x v="2659"/>
    <x v="2464"/>
    <x v="0"/>
    <x v="2643"/>
    <x v="2664"/>
    <x v="694"/>
    <x v="0"/>
    <x v="0"/>
    <x v="4"/>
    <x v="159"/>
    <x v="7"/>
    <x v="252"/>
    <x v="15"/>
    <x v="1"/>
    <x v="1"/>
  </r>
  <r>
    <x v="0"/>
    <x v="282"/>
    <x v="184"/>
    <x v="34"/>
    <x v="186"/>
    <x v="812"/>
    <x v="448"/>
    <x v="2493"/>
    <x v="368"/>
    <x v="1038"/>
    <x v="1310"/>
    <x v="1928"/>
    <x v="2665"/>
    <x v="2660"/>
    <x v="5"/>
    <x v="1"/>
    <x v="2644"/>
    <x v="2665"/>
    <x v="310"/>
    <x v="0"/>
    <x v="0"/>
    <x v="4"/>
    <x v="159"/>
    <x v="19"/>
    <x v="457"/>
    <x v="4"/>
    <x v="1"/>
    <x v="226"/>
  </r>
  <r>
    <x v="0"/>
    <x v="790"/>
    <x v="136"/>
    <x v="26"/>
    <x v="303"/>
    <x v="741"/>
    <x v="2"/>
    <x v="2494"/>
    <x v="668"/>
    <x v="60"/>
    <x v="1618"/>
    <x v="1929"/>
    <x v="2666"/>
    <x v="2661"/>
    <x v="2465"/>
    <x v="0"/>
    <x v="2645"/>
    <x v="2666"/>
    <x v="173"/>
    <x v="0"/>
    <x v="0"/>
    <x v="4"/>
    <x v="178"/>
    <x v="1"/>
    <x v="405"/>
    <x v="10"/>
    <x v="1"/>
    <x v="481"/>
  </r>
  <r>
    <x v="0"/>
    <x v="1129"/>
    <x v="401"/>
    <x v="50"/>
    <x v="134"/>
    <x v="256"/>
    <x v="2"/>
    <x v="2495"/>
    <x v="105"/>
    <x v="182"/>
    <x v="1619"/>
    <x v="1930"/>
    <x v="2667"/>
    <x v="2662"/>
    <x v="2466"/>
    <x v="2"/>
    <x v="2646"/>
    <x v="2667"/>
    <x v="258"/>
    <x v="0"/>
    <x v="0"/>
    <x v="0"/>
    <x v="159"/>
    <x v="21"/>
    <x v="80"/>
    <x v="34"/>
    <x v="3"/>
    <x v="482"/>
  </r>
  <r>
    <x v="0"/>
    <x v="1130"/>
    <x v="315"/>
    <x v="55"/>
    <x v="216"/>
    <x v="158"/>
    <x v="44"/>
    <x v="2496"/>
    <x v="125"/>
    <x v="68"/>
    <x v="959"/>
    <x v="194"/>
    <x v="2668"/>
    <x v="2663"/>
    <x v="2467"/>
    <x v="2"/>
    <x v="2647"/>
    <x v="2668"/>
    <x v="320"/>
    <x v="0"/>
    <x v="0"/>
    <x v="4"/>
    <x v="78"/>
    <x v="19"/>
    <x v="82"/>
    <x v="41"/>
    <x v="3"/>
    <x v="103"/>
  </r>
  <r>
    <x v="0"/>
    <x v="518"/>
    <x v="209"/>
    <x v="55"/>
    <x v="211"/>
    <x v="77"/>
    <x v="21"/>
    <x v="2497"/>
    <x v="105"/>
    <x v="298"/>
    <x v="203"/>
    <x v="98"/>
    <x v="2669"/>
    <x v="2664"/>
    <x v="2468"/>
    <x v="7"/>
    <x v="2648"/>
    <x v="2669"/>
    <x v="482"/>
    <x v="0"/>
    <x v="1"/>
    <x v="2"/>
    <x v="159"/>
    <x v="19"/>
    <x v="30"/>
    <x v="8"/>
    <x v="1"/>
    <x v="1"/>
  </r>
  <r>
    <x v="0"/>
    <x v="1131"/>
    <x v="4"/>
    <x v="77"/>
    <x v="176"/>
    <x v="813"/>
    <x v="0"/>
    <x v="4"/>
    <x v="594"/>
    <x v="543"/>
    <x v="1620"/>
    <x v="1931"/>
    <x v="2670"/>
    <x v="2665"/>
    <x v="2469"/>
    <x v="1"/>
    <x v="2649"/>
    <x v="2670"/>
    <x v="388"/>
    <x v="0"/>
    <x v="0"/>
    <x v="10"/>
    <x v="4"/>
    <x v="20"/>
    <x v="2"/>
    <x v="38"/>
    <x v="8"/>
    <x v="483"/>
  </r>
  <r>
    <x v="0"/>
    <x v="1132"/>
    <x v="324"/>
    <x v="43"/>
    <x v="85"/>
    <x v="623"/>
    <x v="94"/>
    <x v="2498"/>
    <x v="189"/>
    <x v="187"/>
    <x v="930"/>
    <x v="1052"/>
    <x v="2671"/>
    <x v="2666"/>
    <x v="2470"/>
    <x v="0"/>
    <x v="2650"/>
    <x v="2671"/>
    <x v="421"/>
    <x v="0"/>
    <x v="0"/>
    <x v="2"/>
    <x v="159"/>
    <x v="7"/>
    <x v="159"/>
    <x v="23"/>
    <x v="3"/>
    <x v="484"/>
  </r>
  <r>
    <x v="0"/>
    <x v="1133"/>
    <x v="31"/>
    <x v="86"/>
    <x v="342"/>
    <x v="530"/>
    <x v="545"/>
    <x v="2499"/>
    <x v="539"/>
    <x v="1039"/>
    <x v="1621"/>
    <x v="1932"/>
    <x v="2672"/>
    <x v="2667"/>
    <x v="2471"/>
    <x v="1"/>
    <x v="2651"/>
    <x v="2672"/>
    <x v="821"/>
    <x v="0"/>
    <x v="1"/>
    <x v="4"/>
    <x v="159"/>
    <x v="8"/>
    <x v="764"/>
    <x v="25"/>
    <x v="1"/>
    <x v="121"/>
  </r>
  <r>
    <x v="0"/>
    <x v="1134"/>
    <x v="425"/>
    <x v="54"/>
    <x v="192"/>
    <x v="641"/>
    <x v="199"/>
    <x v="2500"/>
    <x v="127"/>
    <x v="771"/>
    <x v="1622"/>
    <x v="1933"/>
    <x v="2673"/>
    <x v="2668"/>
    <x v="2472"/>
    <x v="5"/>
    <x v="2652"/>
    <x v="2673"/>
    <x v="631"/>
    <x v="0"/>
    <x v="0"/>
    <x v="0"/>
    <x v="159"/>
    <x v="9"/>
    <x v="680"/>
    <x v="43"/>
    <x v="1"/>
    <x v="1"/>
  </r>
  <r>
    <x v="0"/>
    <x v="1135"/>
    <x v="125"/>
    <x v="58"/>
    <x v="31"/>
    <x v="1"/>
    <x v="10"/>
    <x v="2501"/>
    <x v="430"/>
    <x v="16"/>
    <x v="941"/>
    <x v="319"/>
    <x v="2674"/>
    <x v="2669"/>
    <x v="2473"/>
    <x v="2"/>
    <x v="2653"/>
    <x v="2674"/>
    <x v="780"/>
    <x v="0"/>
    <x v="0"/>
    <x v="0"/>
    <x v="159"/>
    <x v="8"/>
    <x v="20"/>
    <x v="5"/>
    <x v="3"/>
    <x v="1"/>
  </r>
  <r>
    <x v="0"/>
    <x v="1136"/>
    <x v="241"/>
    <x v="76"/>
    <x v="93"/>
    <x v="677"/>
    <x v="6"/>
    <x v="2502"/>
    <x v="127"/>
    <x v="6"/>
    <x v="1623"/>
    <x v="1934"/>
    <x v="2675"/>
    <x v="2670"/>
    <x v="2474"/>
    <x v="1"/>
    <x v="2654"/>
    <x v="2675"/>
    <x v="327"/>
    <x v="0"/>
    <x v="0"/>
    <x v="0"/>
    <x v="159"/>
    <x v="0"/>
    <x v="251"/>
    <x v="43"/>
    <x v="3"/>
    <x v="1"/>
  </r>
  <r>
    <x v="0"/>
    <x v="525"/>
    <x v="354"/>
    <x v="11"/>
    <x v="260"/>
    <x v="645"/>
    <x v="57"/>
    <x v="2503"/>
    <x v="270"/>
    <x v="109"/>
    <x v="326"/>
    <x v="1935"/>
    <x v="2676"/>
    <x v="2671"/>
    <x v="2475"/>
    <x v="1"/>
    <x v="2655"/>
    <x v="2676"/>
    <x v="386"/>
    <x v="0"/>
    <x v="0"/>
    <x v="4"/>
    <x v="159"/>
    <x v="3"/>
    <x v="117"/>
    <x v="4"/>
    <x v="3"/>
    <x v="7"/>
  </r>
  <r>
    <x v="0"/>
    <x v="696"/>
    <x v="82"/>
    <x v="80"/>
    <x v="201"/>
    <x v="814"/>
    <x v="465"/>
    <x v="2504"/>
    <x v="127"/>
    <x v="1040"/>
    <x v="883"/>
    <x v="1936"/>
    <x v="2677"/>
    <x v="2672"/>
    <x v="2476"/>
    <x v="1"/>
    <x v="2656"/>
    <x v="2677"/>
    <x v="314"/>
    <x v="0"/>
    <x v="0"/>
    <x v="0"/>
    <x v="159"/>
    <x v="0"/>
    <x v="151"/>
    <x v="13"/>
    <x v="3"/>
    <x v="7"/>
  </r>
  <r>
    <x v="1"/>
    <x v="1137"/>
    <x v="324"/>
    <x v="72"/>
    <x v="79"/>
    <x v="583"/>
    <x v="546"/>
    <x v="2505"/>
    <x v="150"/>
    <x v="1041"/>
    <x v="1624"/>
    <x v="1937"/>
    <x v="2678"/>
    <x v="2673"/>
    <x v="2477"/>
    <x v="2"/>
    <x v="2657"/>
    <x v="2678"/>
    <x v="432"/>
    <x v="0"/>
    <x v="0"/>
    <x v="0"/>
    <x v="159"/>
    <x v="21"/>
    <x v="765"/>
    <x v="51"/>
    <x v="3"/>
    <x v="485"/>
  </r>
  <r>
    <x v="0"/>
    <x v="1078"/>
    <x v="208"/>
    <x v="86"/>
    <x v="0"/>
    <x v="815"/>
    <x v="484"/>
    <x v="2506"/>
    <x v="669"/>
    <x v="1042"/>
    <x v="718"/>
    <x v="1938"/>
    <x v="2679"/>
    <x v="2674"/>
    <x v="2478"/>
    <x v="4"/>
    <x v="2658"/>
    <x v="2679"/>
    <x v="614"/>
    <x v="0"/>
    <x v="10"/>
    <x v="4"/>
    <x v="159"/>
    <x v="12"/>
    <x v="302"/>
    <x v="7"/>
    <x v="1"/>
    <x v="1"/>
  </r>
  <r>
    <x v="0"/>
    <x v="1138"/>
    <x v="373"/>
    <x v="60"/>
    <x v="0"/>
    <x v="411"/>
    <x v="49"/>
    <x v="2507"/>
    <x v="269"/>
    <x v="86"/>
    <x v="239"/>
    <x v="597"/>
    <x v="2680"/>
    <x v="2675"/>
    <x v="2479"/>
    <x v="4"/>
    <x v="2659"/>
    <x v="2680"/>
    <x v="258"/>
    <x v="0"/>
    <x v="10"/>
    <x v="0"/>
    <x v="159"/>
    <x v="15"/>
    <x v="30"/>
    <x v="12"/>
    <x v="3"/>
    <x v="1"/>
  </r>
  <r>
    <x v="0"/>
    <x v="23"/>
    <x v="386"/>
    <x v="33"/>
    <x v="16"/>
    <x v="739"/>
    <x v="20"/>
    <x v="2508"/>
    <x v="656"/>
    <x v="21"/>
    <x v="1625"/>
    <x v="1939"/>
    <x v="2681"/>
    <x v="2676"/>
    <x v="2480"/>
    <x v="4"/>
    <x v="2660"/>
    <x v="2681"/>
    <x v="687"/>
    <x v="0"/>
    <x v="0"/>
    <x v="4"/>
    <x v="159"/>
    <x v="12"/>
    <x v="30"/>
    <x v="32"/>
    <x v="1"/>
    <x v="1"/>
  </r>
  <r>
    <x v="0"/>
    <x v="1139"/>
    <x v="349"/>
    <x v="80"/>
    <x v="85"/>
    <x v="212"/>
    <x v="44"/>
    <x v="2509"/>
    <x v="499"/>
    <x v="68"/>
    <x v="51"/>
    <x v="1940"/>
    <x v="2682"/>
    <x v="2677"/>
    <x v="2481"/>
    <x v="0"/>
    <x v="2661"/>
    <x v="2682"/>
    <x v="567"/>
    <x v="0"/>
    <x v="0"/>
    <x v="4"/>
    <x v="78"/>
    <x v="15"/>
    <x v="40"/>
    <x v="5"/>
    <x v="3"/>
    <x v="1"/>
  </r>
  <r>
    <x v="0"/>
    <x v="507"/>
    <x v="153"/>
    <x v="21"/>
    <x v="0"/>
    <x v="816"/>
    <x v="18"/>
    <x v="2510"/>
    <x v="150"/>
    <x v="19"/>
    <x v="1062"/>
    <x v="1941"/>
    <x v="2683"/>
    <x v="2678"/>
    <x v="2482"/>
    <x v="1"/>
    <x v="2662"/>
    <x v="2683"/>
    <x v="884"/>
    <x v="0"/>
    <x v="10"/>
    <x v="4"/>
    <x v="159"/>
    <x v="18"/>
    <x v="281"/>
    <x v="25"/>
    <x v="3"/>
    <x v="37"/>
  </r>
  <r>
    <x v="0"/>
    <x v="1140"/>
    <x v="257"/>
    <x v="42"/>
    <x v="174"/>
    <x v="751"/>
    <x v="340"/>
    <x v="2511"/>
    <x v="670"/>
    <x v="412"/>
    <x v="1626"/>
    <x v="1942"/>
    <x v="2684"/>
    <x v="2679"/>
    <x v="567"/>
    <x v="0"/>
    <x v="2663"/>
    <x v="2684"/>
    <x v="600"/>
    <x v="0"/>
    <x v="0"/>
    <x v="0"/>
    <x v="4"/>
    <x v="1"/>
    <x v="99"/>
    <x v="34"/>
    <x v="1"/>
    <x v="1"/>
  </r>
  <r>
    <x v="0"/>
    <x v="696"/>
    <x v="386"/>
    <x v="42"/>
    <x v="201"/>
    <x v="225"/>
    <x v="25"/>
    <x v="2512"/>
    <x v="105"/>
    <x v="82"/>
    <x v="698"/>
    <x v="286"/>
    <x v="2685"/>
    <x v="2680"/>
    <x v="2483"/>
    <x v="0"/>
    <x v="2664"/>
    <x v="2685"/>
    <x v="586"/>
    <x v="0"/>
    <x v="0"/>
    <x v="4"/>
    <x v="134"/>
    <x v="5"/>
    <x v="18"/>
    <x v="22"/>
    <x v="3"/>
    <x v="1"/>
  </r>
  <r>
    <x v="0"/>
    <x v="1141"/>
    <x v="252"/>
    <x v="33"/>
    <x v="281"/>
    <x v="107"/>
    <x v="14"/>
    <x v="2513"/>
    <x v="377"/>
    <x v="490"/>
    <x v="714"/>
    <x v="1370"/>
    <x v="2686"/>
    <x v="2681"/>
    <x v="2484"/>
    <x v="0"/>
    <x v="2665"/>
    <x v="2686"/>
    <x v="519"/>
    <x v="0"/>
    <x v="1"/>
    <x v="4"/>
    <x v="159"/>
    <x v="5"/>
    <x v="17"/>
    <x v="13"/>
    <x v="1"/>
    <x v="0"/>
  </r>
  <r>
    <x v="0"/>
    <x v="113"/>
    <x v="435"/>
    <x v="160"/>
    <x v="88"/>
    <x v="233"/>
    <x v="547"/>
    <x v="4"/>
    <x v="223"/>
    <x v="1043"/>
    <x v="1398"/>
    <x v="295"/>
    <x v="2687"/>
    <x v="2682"/>
    <x v="2485"/>
    <x v="3"/>
    <x v="2666"/>
    <x v="2687"/>
    <x v="592"/>
    <x v="0"/>
    <x v="0"/>
    <x v="1"/>
    <x v="4"/>
    <x v="4"/>
    <x v="432"/>
    <x v="0"/>
    <x v="0"/>
    <x v="486"/>
  </r>
  <r>
    <x v="0"/>
    <x v="1142"/>
    <x v="322"/>
    <x v="70"/>
    <x v="322"/>
    <x v="401"/>
    <x v="350"/>
    <x v="2514"/>
    <x v="171"/>
    <x v="1044"/>
    <x v="1627"/>
    <x v="1943"/>
    <x v="2688"/>
    <x v="2683"/>
    <x v="2486"/>
    <x v="0"/>
    <x v="2667"/>
    <x v="2688"/>
    <x v="402"/>
    <x v="0"/>
    <x v="13"/>
    <x v="4"/>
    <x v="159"/>
    <x v="8"/>
    <x v="737"/>
    <x v="10"/>
    <x v="1"/>
    <x v="1"/>
  </r>
  <r>
    <x v="0"/>
    <x v="1143"/>
    <x v="152"/>
    <x v="42"/>
    <x v="139"/>
    <x v="673"/>
    <x v="375"/>
    <x v="2515"/>
    <x v="98"/>
    <x v="1045"/>
    <x v="1628"/>
    <x v="1944"/>
    <x v="2689"/>
    <x v="2684"/>
    <x v="2487"/>
    <x v="0"/>
    <x v="2668"/>
    <x v="2689"/>
    <x v="496"/>
    <x v="0"/>
    <x v="0"/>
    <x v="4"/>
    <x v="159"/>
    <x v="43"/>
    <x v="302"/>
    <x v="43"/>
    <x v="1"/>
    <x v="487"/>
  </r>
  <r>
    <x v="0"/>
    <x v="1144"/>
    <x v="419"/>
    <x v="70"/>
    <x v="0"/>
    <x v="167"/>
    <x v="56"/>
    <x v="2516"/>
    <x v="539"/>
    <x v="728"/>
    <x v="516"/>
    <x v="212"/>
    <x v="2690"/>
    <x v="1320"/>
    <x v="0"/>
    <x v="0"/>
    <x v="2669"/>
    <x v="2690"/>
    <x v="409"/>
    <x v="0"/>
    <x v="0"/>
    <x v="0"/>
    <x v="159"/>
    <x v="15"/>
    <x v="335"/>
    <x v="22"/>
    <x v="1"/>
    <x v="144"/>
  </r>
  <r>
    <x v="0"/>
    <x v="1010"/>
    <x v="75"/>
    <x v="70"/>
    <x v="0"/>
    <x v="489"/>
    <x v="18"/>
    <x v="2517"/>
    <x v="438"/>
    <x v="19"/>
    <x v="593"/>
    <x v="732"/>
    <x v="2691"/>
    <x v="2685"/>
    <x v="2488"/>
    <x v="0"/>
    <x v="2670"/>
    <x v="2691"/>
    <x v="206"/>
    <x v="0"/>
    <x v="0"/>
    <x v="4"/>
    <x v="159"/>
    <x v="1"/>
    <x v="167"/>
    <x v="12"/>
    <x v="3"/>
    <x v="1"/>
  </r>
  <r>
    <x v="0"/>
    <x v="1145"/>
    <x v="479"/>
    <x v="7"/>
    <x v="78"/>
    <x v="490"/>
    <x v="107"/>
    <x v="4"/>
    <x v="211"/>
    <x v="1046"/>
    <x v="1629"/>
    <x v="1945"/>
    <x v="2692"/>
    <x v="2686"/>
    <x v="2489"/>
    <x v="0"/>
    <x v="2671"/>
    <x v="2692"/>
    <x v="96"/>
    <x v="0"/>
    <x v="40"/>
    <x v="1"/>
    <x v="4"/>
    <x v="11"/>
    <x v="685"/>
    <x v="23"/>
    <x v="1"/>
    <x v="488"/>
  </r>
  <r>
    <x v="0"/>
    <x v="842"/>
    <x v="299"/>
    <x v="38"/>
    <x v="310"/>
    <x v="304"/>
    <x v="15"/>
    <x v="2518"/>
    <x v="306"/>
    <x v="212"/>
    <x v="1510"/>
    <x v="1830"/>
    <x v="2693"/>
    <x v="2687"/>
    <x v="2490"/>
    <x v="0"/>
    <x v="2672"/>
    <x v="2693"/>
    <x v="536"/>
    <x v="0"/>
    <x v="4"/>
    <x v="0"/>
    <x v="4"/>
    <x v="15"/>
    <x v="739"/>
    <x v="15"/>
    <x v="1"/>
    <x v="390"/>
  </r>
  <r>
    <x v="1"/>
    <x v="1146"/>
    <x v="444"/>
    <x v="97"/>
    <x v="343"/>
    <x v="325"/>
    <x v="548"/>
    <x v="2519"/>
    <x v="142"/>
    <x v="1047"/>
    <x v="1630"/>
    <x v="1946"/>
    <x v="2694"/>
    <x v="2688"/>
    <x v="2491"/>
    <x v="1"/>
    <x v="2673"/>
    <x v="2694"/>
    <x v="885"/>
    <x v="15"/>
    <x v="8"/>
    <x v="9"/>
    <x v="224"/>
    <x v="54"/>
    <x v="131"/>
    <x v="24"/>
    <x v="8"/>
    <x v="85"/>
  </r>
  <r>
    <x v="0"/>
    <x v="430"/>
    <x v="142"/>
    <x v="95"/>
    <x v="235"/>
    <x v="471"/>
    <x v="189"/>
    <x v="2520"/>
    <x v="23"/>
    <x v="1048"/>
    <x v="1631"/>
    <x v="1947"/>
    <x v="2695"/>
    <x v="2689"/>
    <x v="2492"/>
    <x v="4"/>
    <x v="2674"/>
    <x v="2695"/>
    <x v="486"/>
    <x v="3"/>
    <x v="10"/>
    <x v="4"/>
    <x v="176"/>
    <x v="14"/>
    <x v="702"/>
    <x v="13"/>
    <x v="1"/>
    <x v="1"/>
  </r>
  <r>
    <x v="0"/>
    <x v="449"/>
    <x v="460"/>
    <x v="69"/>
    <x v="218"/>
    <x v="437"/>
    <x v="25"/>
    <x v="2521"/>
    <x v="152"/>
    <x v="26"/>
    <x v="898"/>
    <x v="641"/>
    <x v="2696"/>
    <x v="2690"/>
    <x v="2493"/>
    <x v="4"/>
    <x v="2675"/>
    <x v="2696"/>
    <x v="245"/>
    <x v="0"/>
    <x v="0"/>
    <x v="4"/>
    <x v="222"/>
    <x v="16"/>
    <x v="276"/>
    <x v="2"/>
    <x v="3"/>
    <x v="1"/>
  </r>
  <r>
    <x v="0"/>
    <x v="1147"/>
    <x v="317"/>
    <x v="72"/>
    <x v="344"/>
    <x v="149"/>
    <x v="0"/>
    <x v="2522"/>
    <x v="54"/>
    <x v="1049"/>
    <x v="1632"/>
    <x v="1948"/>
    <x v="2697"/>
    <x v="2691"/>
    <x v="2454"/>
    <x v="1"/>
    <x v="2676"/>
    <x v="2697"/>
    <x v="499"/>
    <x v="4"/>
    <x v="38"/>
    <x v="9"/>
    <x v="159"/>
    <x v="2"/>
    <x v="279"/>
    <x v="21"/>
    <x v="15"/>
    <x v="1"/>
  </r>
  <r>
    <x v="0"/>
    <x v="1013"/>
    <x v="216"/>
    <x v="42"/>
    <x v="116"/>
    <x v="536"/>
    <x v="74"/>
    <x v="2523"/>
    <x v="671"/>
    <x v="840"/>
    <x v="173"/>
    <x v="1949"/>
    <x v="2698"/>
    <x v="2692"/>
    <x v="2494"/>
    <x v="1"/>
    <x v="2677"/>
    <x v="2698"/>
    <x v="718"/>
    <x v="0"/>
    <x v="1"/>
    <x v="4"/>
    <x v="159"/>
    <x v="18"/>
    <x v="117"/>
    <x v="8"/>
    <x v="1"/>
    <x v="489"/>
  </r>
  <r>
    <x v="0"/>
    <x v="1148"/>
    <x v="280"/>
    <x v="77"/>
    <x v="345"/>
    <x v="777"/>
    <x v="457"/>
    <x v="2524"/>
    <x v="150"/>
    <x v="1050"/>
    <x v="1633"/>
    <x v="1950"/>
    <x v="2699"/>
    <x v="2693"/>
    <x v="1897"/>
    <x v="0"/>
    <x v="2678"/>
    <x v="2699"/>
    <x v="497"/>
    <x v="9"/>
    <x v="21"/>
    <x v="10"/>
    <x v="4"/>
    <x v="17"/>
    <x v="766"/>
    <x v="25"/>
    <x v="3"/>
    <x v="1"/>
  </r>
  <r>
    <x v="0"/>
    <x v="1149"/>
    <x v="382"/>
    <x v="47"/>
    <x v="0"/>
    <x v="321"/>
    <x v="549"/>
    <x v="2525"/>
    <x v="97"/>
    <x v="1051"/>
    <x v="1634"/>
    <x v="1951"/>
    <x v="2700"/>
    <x v="2694"/>
    <x v="2495"/>
    <x v="0"/>
    <x v="2679"/>
    <x v="2700"/>
    <x v="547"/>
    <x v="25"/>
    <x v="41"/>
    <x v="4"/>
    <x v="1"/>
    <x v="8"/>
    <x v="767"/>
    <x v="5"/>
    <x v="1"/>
    <x v="1"/>
  </r>
  <r>
    <x v="0"/>
    <x v="668"/>
    <x v="423"/>
    <x v="55"/>
    <x v="209"/>
    <x v="58"/>
    <x v="57"/>
    <x v="2526"/>
    <x v="672"/>
    <x v="125"/>
    <x v="1635"/>
    <x v="1952"/>
    <x v="2701"/>
    <x v="2695"/>
    <x v="2496"/>
    <x v="0"/>
    <x v="2680"/>
    <x v="2701"/>
    <x v="781"/>
    <x v="0"/>
    <x v="1"/>
    <x v="4"/>
    <x v="4"/>
    <x v="5"/>
    <x v="120"/>
    <x v="21"/>
    <x v="1"/>
    <x v="1"/>
  </r>
  <r>
    <x v="0"/>
    <x v="503"/>
    <x v="369"/>
    <x v="76"/>
    <x v="256"/>
    <x v="183"/>
    <x v="550"/>
    <x v="4"/>
    <x v="65"/>
    <x v="1052"/>
    <x v="1636"/>
    <x v="1953"/>
    <x v="2702"/>
    <x v="2696"/>
    <x v="2497"/>
    <x v="0"/>
    <x v="2681"/>
    <x v="2702"/>
    <x v="654"/>
    <x v="0"/>
    <x v="4"/>
    <x v="4"/>
    <x v="195"/>
    <x v="25"/>
    <x v="526"/>
    <x v="23"/>
    <x v="1"/>
    <x v="448"/>
  </r>
  <r>
    <x v="0"/>
    <x v="1150"/>
    <x v="325"/>
    <x v="33"/>
    <x v="12"/>
    <x v="1"/>
    <x v="21"/>
    <x v="2527"/>
    <x v="552"/>
    <x v="71"/>
    <x v="992"/>
    <x v="1954"/>
    <x v="2703"/>
    <x v="2697"/>
    <x v="2498"/>
    <x v="0"/>
    <x v="2682"/>
    <x v="2703"/>
    <x v="120"/>
    <x v="0"/>
    <x v="0"/>
    <x v="4"/>
    <x v="159"/>
    <x v="8"/>
    <x v="30"/>
    <x v="9"/>
    <x v="1"/>
    <x v="1"/>
  </r>
  <r>
    <x v="0"/>
    <x v="1151"/>
    <x v="479"/>
    <x v="27"/>
    <x v="151"/>
    <x v="621"/>
    <x v="517"/>
    <x v="4"/>
    <x v="406"/>
    <x v="970"/>
    <x v="1637"/>
    <x v="1955"/>
    <x v="2704"/>
    <x v="2698"/>
    <x v="2499"/>
    <x v="4"/>
    <x v="2683"/>
    <x v="2704"/>
    <x v="83"/>
    <x v="0"/>
    <x v="26"/>
    <x v="4"/>
    <x v="159"/>
    <x v="10"/>
    <x v="513"/>
    <x v="19"/>
    <x v="2"/>
    <x v="201"/>
  </r>
  <r>
    <x v="0"/>
    <x v="1152"/>
    <x v="219"/>
    <x v="78"/>
    <x v="306"/>
    <x v="437"/>
    <x v="30"/>
    <x v="2528"/>
    <x v="168"/>
    <x v="50"/>
    <x v="557"/>
    <x v="638"/>
    <x v="2705"/>
    <x v="554"/>
    <x v="2500"/>
    <x v="7"/>
    <x v="2684"/>
    <x v="2705"/>
    <x v="540"/>
    <x v="0"/>
    <x v="0"/>
    <x v="4"/>
    <x v="159"/>
    <x v="10"/>
    <x v="20"/>
    <x v="37"/>
    <x v="1"/>
    <x v="1"/>
  </r>
  <r>
    <x v="0"/>
    <x v="1153"/>
    <x v="307"/>
    <x v="72"/>
    <x v="192"/>
    <x v="672"/>
    <x v="551"/>
    <x v="2529"/>
    <x v="673"/>
    <x v="1053"/>
    <x v="1252"/>
    <x v="1956"/>
    <x v="2706"/>
    <x v="2699"/>
    <x v="2501"/>
    <x v="1"/>
    <x v="2685"/>
    <x v="2706"/>
    <x v="408"/>
    <x v="0"/>
    <x v="8"/>
    <x v="0"/>
    <x v="131"/>
    <x v="18"/>
    <x v="181"/>
    <x v="33"/>
    <x v="1"/>
    <x v="490"/>
  </r>
  <r>
    <x v="0"/>
    <x v="1154"/>
    <x v="401"/>
    <x v="41"/>
    <x v="184"/>
    <x v="372"/>
    <x v="0"/>
    <x v="2530"/>
    <x v="674"/>
    <x v="1054"/>
    <x v="1638"/>
    <x v="1957"/>
    <x v="2707"/>
    <x v="2700"/>
    <x v="2502"/>
    <x v="1"/>
    <x v="2686"/>
    <x v="2707"/>
    <x v="592"/>
    <x v="0"/>
    <x v="0"/>
    <x v="4"/>
    <x v="159"/>
    <x v="1"/>
    <x v="186"/>
    <x v="18"/>
    <x v="3"/>
    <x v="234"/>
  </r>
  <r>
    <x v="0"/>
    <x v="1155"/>
    <x v="429"/>
    <x v="8"/>
    <x v="5"/>
    <x v="362"/>
    <x v="552"/>
    <x v="4"/>
    <x v="675"/>
    <x v="1055"/>
    <x v="1639"/>
    <x v="502"/>
    <x v="2708"/>
    <x v="2701"/>
    <x v="2503"/>
    <x v="1"/>
    <x v="2687"/>
    <x v="2708"/>
    <x v="646"/>
    <x v="0"/>
    <x v="42"/>
    <x v="4"/>
    <x v="4"/>
    <x v="8"/>
    <x v="187"/>
    <x v="19"/>
    <x v="1"/>
    <x v="1"/>
  </r>
  <r>
    <x v="0"/>
    <x v="1156"/>
    <x v="347"/>
    <x v="79"/>
    <x v="0"/>
    <x v="387"/>
    <x v="21"/>
    <x v="4"/>
    <x v="224"/>
    <x v="22"/>
    <x v="127"/>
    <x v="547"/>
    <x v="2709"/>
    <x v="2702"/>
    <x v="2504"/>
    <x v="0"/>
    <x v="2688"/>
    <x v="2709"/>
    <x v="818"/>
    <x v="0"/>
    <x v="26"/>
    <x v="9"/>
    <x v="78"/>
    <x v="9"/>
    <x v="47"/>
    <x v="27"/>
    <x v="2"/>
    <x v="1"/>
  </r>
  <r>
    <x v="0"/>
    <x v="1157"/>
    <x v="243"/>
    <x v="56"/>
    <x v="107"/>
    <x v="110"/>
    <x v="0"/>
    <x v="4"/>
    <x v="222"/>
    <x v="1056"/>
    <x v="1062"/>
    <x v="199"/>
    <x v="2710"/>
    <x v="2703"/>
    <x v="281"/>
    <x v="0"/>
    <x v="2689"/>
    <x v="2710"/>
    <x v="227"/>
    <x v="0"/>
    <x v="43"/>
    <x v="4"/>
    <x v="222"/>
    <x v="11"/>
    <x v="281"/>
    <x v="9"/>
    <x v="1"/>
    <x v="38"/>
  </r>
  <r>
    <x v="0"/>
    <x v="1158"/>
    <x v="396"/>
    <x v="72"/>
    <x v="76"/>
    <x v="636"/>
    <x v="553"/>
    <x v="4"/>
    <x v="1"/>
    <x v="1057"/>
    <x v="1640"/>
    <x v="1958"/>
    <x v="2711"/>
    <x v="2704"/>
    <x v="2505"/>
    <x v="0"/>
    <x v="2690"/>
    <x v="2711"/>
    <x v="586"/>
    <x v="0"/>
    <x v="8"/>
    <x v="9"/>
    <x v="159"/>
    <x v="12"/>
    <x v="704"/>
    <x v="41"/>
    <x v="0"/>
    <x v="491"/>
  </r>
  <r>
    <x v="0"/>
    <x v="1159"/>
    <x v="169"/>
    <x v="42"/>
    <x v="85"/>
    <x v="570"/>
    <x v="295"/>
    <x v="4"/>
    <x v="676"/>
    <x v="1058"/>
    <x v="1641"/>
    <x v="1959"/>
    <x v="2712"/>
    <x v="2705"/>
    <x v="2506"/>
    <x v="0"/>
    <x v="4"/>
    <x v="2712"/>
    <x v="854"/>
    <x v="6"/>
    <x v="20"/>
    <x v="1"/>
    <x v="159"/>
    <x v="2"/>
    <x v="750"/>
    <x v="20"/>
    <x v="2"/>
    <x v="492"/>
  </r>
  <r>
    <x v="2"/>
    <x v="1160"/>
    <x v="302"/>
    <x v="73"/>
    <x v="221"/>
    <x v="566"/>
    <x v="448"/>
    <x v="4"/>
    <x v="28"/>
    <x v="814"/>
    <x v="1642"/>
    <x v="1960"/>
    <x v="2713"/>
    <x v="2706"/>
    <x v="392"/>
    <x v="2"/>
    <x v="2691"/>
    <x v="2713"/>
    <x v="327"/>
    <x v="4"/>
    <x v="14"/>
    <x v="4"/>
    <x v="159"/>
    <x v="0"/>
    <x v="768"/>
    <x v="1"/>
    <x v="1"/>
    <x v="493"/>
  </r>
  <r>
    <x v="0"/>
    <x v="1161"/>
    <x v="417"/>
    <x v="23"/>
    <x v="113"/>
    <x v="498"/>
    <x v="213"/>
    <x v="4"/>
    <x v="113"/>
    <x v="1059"/>
    <x v="1424"/>
    <x v="1961"/>
    <x v="2714"/>
    <x v="2707"/>
    <x v="2507"/>
    <x v="1"/>
    <x v="2692"/>
    <x v="2714"/>
    <x v="646"/>
    <x v="0"/>
    <x v="1"/>
    <x v="0"/>
    <x v="159"/>
    <x v="21"/>
    <x v="158"/>
    <x v="4"/>
    <x v="2"/>
    <x v="494"/>
  </r>
  <r>
    <x v="0"/>
    <x v="370"/>
    <x v="304"/>
    <x v="59"/>
    <x v="201"/>
    <x v="463"/>
    <x v="57"/>
    <x v="2531"/>
    <x v="286"/>
    <x v="192"/>
    <x v="1643"/>
    <x v="683"/>
    <x v="2715"/>
    <x v="2708"/>
    <x v="2508"/>
    <x v="1"/>
    <x v="2693"/>
    <x v="2715"/>
    <x v="660"/>
    <x v="0"/>
    <x v="0"/>
    <x v="2"/>
    <x v="225"/>
    <x v="27"/>
    <x v="584"/>
    <x v="14"/>
    <x v="3"/>
    <x v="58"/>
  </r>
  <r>
    <x v="0"/>
    <x v="1162"/>
    <x v="279"/>
    <x v="69"/>
    <x v="89"/>
    <x v="437"/>
    <x v="24"/>
    <x v="2532"/>
    <x v="379"/>
    <x v="362"/>
    <x v="1270"/>
    <x v="1962"/>
    <x v="2716"/>
    <x v="2709"/>
    <x v="2509"/>
    <x v="3"/>
    <x v="2694"/>
    <x v="2716"/>
    <x v="675"/>
    <x v="0"/>
    <x v="0"/>
    <x v="4"/>
    <x v="226"/>
    <x v="2"/>
    <x v="53"/>
    <x v="20"/>
    <x v="1"/>
    <x v="25"/>
  </r>
  <r>
    <x v="0"/>
    <x v="35"/>
    <x v="257"/>
    <x v="60"/>
    <x v="16"/>
    <x v="85"/>
    <x v="19"/>
    <x v="2533"/>
    <x v="17"/>
    <x v="20"/>
    <x v="367"/>
    <x v="108"/>
    <x v="2717"/>
    <x v="2710"/>
    <x v="2510"/>
    <x v="4"/>
    <x v="2695"/>
    <x v="2717"/>
    <x v="625"/>
    <x v="0"/>
    <x v="0"/>
    <x v="0"/>
    <x v="227"/>
    <x v="25"/>
    <x v="30"/>
    <x v="2"/>
    <x v="1"/>
    <x v="7"/>
  </r>
  <r>
    <x v="0"/>
    <x v="1163"/>
    <x v="243"/>
    <x v="70"/>
    <x v="5"/>
    <x v="817"/>
    <x v="0"/>
    <x v="2534"/>
    <x v="269"/>
    <x v="936"/>
    <x v="1107"/>
    <x v="1963"/>
    <x v="2718"/>
    <x v="2711"/>
    <x v="2511"/>
    <x v="4"/>
    <x v="2696"/>
    <x v="2718"/>
    <x v="546"/>
    <x v="3"/>
    <x v="10"/>
    <x v="0"/>
    <x v="70"/>
    <x v="5"/>
    <x v="52"/>
    <x v="7"/>
    <x v="1"/>
    <x v="1"/>
  </r>
  <r>
    <x v="0"/>
    <x v="1164"/>
    <x v="451"/>
    <x v="50"/>
    <x v="78"/>
    <x v="788"/>
    <x v="554"/>
    <x v="4"/>
    <x v="677"/>
    <x v="1060"/>
    <x v="551"/>
    <x v="1964"/>
    <x v="2719"/>
    <x v="2712"/>
    <x v="2512"/>
    <x v="4"/>
    <x v="2697"/>
    <x v="2719"/>
    <x v="96"/>
    <x v="0"/>
    <x v="0"/>
    <x v="4"/>
    <x v="227"/>
    <x v="11"/>
    <x v="304"/>
    <x v="5"/>
    <x v="2"/>
    <x v="495"/>
  </r>
  <r>
    <x v="0"/>
    <x v="326"/>
    <x v="333"/>
    <x v="22"/>
    <x v="121"/>
    <x v="366"/>
    <x v="17"/>
    <x v="2535"/>
    <x v="134"/>
    <x v="303"/>
    <x v="65"/>
    <x v="984"/>
    <x v="2720"/>
    <x v="2713"/>
    <x v="2513"/>
    <x v="1"/>
    <x v="2698"/>
    <x v="2720"/>
    <x v="597"/>
    <x v="0"/>
    <x v="0"/>
    <x v="4"/>
    <x v="228"/>
    <x v="29"/>
    <x v="6"/>
    <x v="24"/>
    <x v="1"/>
    <x v="7"/>
  </r>
  <r>
    <x v="0"/>
    <x v="1165"/>
    <x v="321"/>
    <x v="106"/>
    <x v="196"/>
    <x v="38"/>
    <x v="22"/>
    <x v="2536"/>
    <x v="270"/>
    <x v="23"/>
    <x v="1644"/>
    <x v="1965"/>
    <x v="2721"/>
    <x v="2714"/>
    <x v="2514"/>
    <x v="1"/>
    <x v="2699"/>
    <x v="2721"/>
    <x v="671"/>
    <x v="0"/>
    <x v="23"/>
    <x v="9"/>
    <x v="229"/>
    <x v="12"/>
    <x v="439"/>
    <x v="38"/>
    <x v="1"/>
    <x v="103"/>
  </r>
  <r>
    <x v="0"/>
    <x v="464"/>
    <x v="71"/>
    <x v="60"/>
    <x v="0"/>
    <x v="183"/>
    <x v="269"/>
    <x v="2537"/>
    <x v="17"/>
    <x v="1061"/>
    <x v="1645"/>
    <x v="1966"/>
    <x v="2722"/>
    <x v="2715"/>
    <x v="2515"/>
    <x v="0"/>
    <x v="2700"/>
    <x v="2722"/>
    <x v="771"/>
    <x v="0"/>
    <x v="1"/>
    <x v="4"/>
    <x v="159"/>
    <x v="8"/>
    <x v="718"/>
    <x v="25"/>
    <x v="1"/>
    <x v="38"/>
  </r>
  <r>
    <x v="0"/>
    <x v="451"/>
    <x v="160"/>
    <x v="73"/>
    <x v="242"/>
    <x v="251"/>
    <x v="71"/>
    <x v="2538"/>
    <x v="527"/>
    <x v="1062"/>
    <x v="1646"/>
    <x v="1011"/>
    <x v="2723"/>
    <x v="2716"/>
    <x v="2516"/>
    <x v="0"/>
    <x v="2701"/>
    <x v="2723"/>
    <x v="781"/>
    <x v="0"/>
    <x v="0"/>
    <x v="4"/>
    <x v="137"/>
    <x v="42"/>
    <x v="128"/>
    <x v="8"/>
    <x v="3"/>
    <x v="67"/>
  </r>
  <r>
    <x v="0"/>
    <x v="293"/>
    <x v="249"/>
    <x v="31"/>
    <x v="0"/>
    <x v="697"/>
    <x v="94"/>
    <x v="2539"/>
    <x v="127"/>
    <x v="218"/>
    <x v="671"/>
    <x v="1313"/>
    <x v="2724"/>
    <x v="2717"/>
    <x v="2517"/>
    <x v="4"/>
    <x v="2702"/>
    <x v="2724"/>
    <x v="484"/>
    <x v="0"/>
    <x v="0"/>
    <x v="4"/>
    <x v="137"/>
    <x v="22"/>
    <x v="415"/>
    <x v="8"/>
    <x v="3"/>
    <x v="59"/>
  </r>
  <r>
    <x v="0"/>
    <x v="1166"/>
    <x v="4"/>
    <x v="161"/>
    <x v="0"/>
    <x v="818"/>
    <x v="101"/>
    <x v="4"/>
    <x v="125"/>
    <x v="183"/>
    <x v="1647"/>
    <x v="1967"/>
    <x v="2725"/>
    <x v="2718"/>
    <x v="58"/>
    <x v="4"/>
    <x v="4"/>
    <x v="2725"/>
    <x v="4"/>
    <x v="0"/>
    <x v="4"/>
    <x v="1"/>
    <x v="4"/>
    <x v="4"/>
    <x v="769"/>
    <x v="70"/>
    <x v="8"/>
    <x v="1"/>
  </r>
  <r>
    <x v="0"/>
    <x v="1167"/>
    <x v="424"/>
    <x v="26"/>
    <x v="78"/>
    <x v="426"/>
    <x v="359"/>
    <x v="2540"/>
    <x v="121"/>
    <x v="741"/>
    <x v="1648"/>
    <x v="1968"/>
    <x v="2726"/>
    <x v="2719"/>
    <x v="2518"/>
    <x v="1"/>
    <x v="2703"/>
    <x v="2726"/>
    <x v="496"/>
    <x v="0"/>
    <x v="5"/>
    <x v="2"/>
    <x v="230"/>
    <x v="32"/>
    <x v="770"/>
    <x v="34"/>
    <x v="1"/>
    <x v="474"/>
  </r>
  <r>
    <x v="0"/>
    <x v="1168"/>
    <x v="417"/>
    <x v="59"/>
    <x v="116"/>
    <x v="515"/>
    <x v="555"/>
    <x v="4"/>
    <x v="80"/>
    <x v="1063"/>
    <x v="1649"/>
    <x v="1969"/>
    <x v="2727"/>
    <x v="2720"/>
    <x v="899"/>
    <x v="0"/>
    <x v="4"/>
    <x v="2727"/>
    <x v="822"/>
    <x v="0"/>
    <x v="0"/>
    <x v="4"/>
    <x v="159"/>
    <x v="2"/>
    <x v="771"/>
    <x v="20"/>
    <x v="1"/>
    <x v="1"/>
  </r>
  <r>
    <x v="0"/>
    <x v="78"/>
    <x v="365"/>
    <x v="97"/>
    <x v="0"/>
    <x v="24"/>
    <x v="14"/>
    <x v="2541"/>
    <x v="467"/>
    <x v="56"/>
    <x v="633"/>
    <x v="1970"/>
    <x v="2728"/>
    <x v="2721"/>
    <x v="2519"/>
    <x v="0"/>
    <x v="2704"/>
    <x v="2728"/>
    <x v="86"/>
    <x v="0"/>
    <x v="0"/>
    <x v="4"/>
    <x v="137"/>
    <x v="30"/>
    <x v="50"/>
    <x v="13"/>
    <x v="1"/>
    <x v="86"/>
  </r>
  <r>
    <x v="1"/>
    <x v="71"/>
    <x v="347"/>
    <x v="42"/>
    <x v="56"/>
    <x v="819"/>
    <x v="398"/>
    <x v="2542"/>
    <x v="486"/>
    <x v="1064"/>
    <x v="485"/>
    <x v="1971"/>
    <x v="2729"/>
    <x v="2722"/>
    <x v="2520"/>
    <x v="1"/>
    <x v="2705"/>
    <x v="2729"/>
    <x v="241"/>
    <x v="0"/>
    <x v="0"/>
    <x v="2"/>
    <x v="159"/>
    <x v="27"/>
    <x v="315"/>
    <x v="8"/>
    <x v="3"/>
    <x v="1"/>
  </r>
  <r>
    <x v="0"/>
    <x v="480"/>
    <x v="70"/>
    <x v="59"/>
    <x v="233"/>
    <x v="776"/>
    <x v="14"/>
    <x v="2543"/>
    <x v="381"/>
    <x v="1065"/>
    <x v="96"/>
    <x v="1675"/>
    <x v="2730"/>
    <x v="2723"/>
    <x v="2521"/>
    <x v="0"/>
    <x v="2706"/>
    <x v="2730"/>
    <x v="679"/>
    <x v="0"/>
    <x v="0"/>
    <x v="4"/>
    <x v="159"/>
    <x v="0"/>
    <x v="234"/>
    <x v="34"/>
    <x v="3"/>
    <x v="1"/>
  </r>
  <r>
    <x v="0"/>
    <x v="834"/>
    <x v="70"/>
    <x v="80"/>
    <x v="164"/>
    <x v="735"/>
    <x v="435"/>
    <x v="1869"/>
    <x v="381"/>
    <x v="787"/>
    <x v="1272"/>
    <x v="1486"/>
    <x v="1967"/>
    <x v="1962"/>
    <x v="1085"/>
    <x v="0"/>
    <x v="1955"/>
    <x v="1967"/>
    <x v="402"/>
    <x v="0"/>
    <x v="0"/>
    <x v="0"/>
    <x v="137"/>
    <x v="3"/>
    <x v="577"/>
    <x v="18"/>
    <x v="1"/>
    <x v="16"/>
  </r>
  <r>
    <x v="0"/>
    <x v="488"/>
    <x v="118"/>
    <x v="41"/>
    <x v="252"/>
    <x v="70"/>
    <x v="57"/>
    <x v="4"/>
    <x v="72"/>
    <x v="237"/>
    <x v="729"/>
    <x v="861"/>
    <x v="1051"/>
    <x v="2724"/>
    <x v="1029"/>
    <x v="1"/>
    <x v="1044"/>
    <x v="1051"/>
    <x v="425"/>
    <x v="0"/>
    <x v="0"/>
    <x v="4"/>
    <x v="137"/>
    <x v="26"/>
    <x v="437"/>
    <x v="16"/>
    <x v="1"/>
    <x v="1"/>
  </r>
  <r>
    <x v="0"/>
    <x v="818"/>
    <x v="366"/>
    <x v="56"/>
    <x v="186"/>
    <x v="13"/>
    <x v="481"/>
    <x v="2544"/>
    <x v="484"/>
    <x v="891"/>
    <x v="1274"/>
    <x v="14"/>
    <x v="2731"/>
    <x v="2725"/>
    <x v="2522"/>
    <x v="0"/>
    <x v="2707"/>
    <x v="2731"/>
    <x v="402"/>
    <x v="0"/>
    <x v="0"/>
    <x v="0"/>
    <x v="137"/>
    <x v="1"/>
    <x v="117"/>
    <x v="31"/>
    <x v="1"/>
    <x v="1"/>
  </r>
  <r>
    <x v="0"/>
    <x v="682"/>
    <x v="356"/>
    <x v="32"/>
    <x v="171"/>
    <x v="790"/>
    <x v="509"/>
    <x v="2545"/>
    <x v="18"/>
    <x v="1066"/>
    <x v="843"/>
    <x v="1972"/>
    <x v="2732"/>
    <x v="2726"/>
    <x v="2523"/>
    <x v="4"/>
    <x v="2708"/>
    <x v="2732"/>
    <x v="458"/>
    <x v="0"/>
    <x v="1"/>
    <x v="2"/>
    <x v="137"/>
    <x v="47"/>
    <x v="490"/>
    <x v="1"/>
    <x v="1"/>
    <x v="1"/>
  </r>
  <r>
    <x v="0"/>
    <x v="113"/>
    <x v="479"/>
    <x v="84"/>
    <x v="88"/>
    <x v="19"/>
    <x v="504"/>
    <x v="4"/>
    <x v="4"/>
    <x v="1067"/>
    <x v="1650"/>
    <x v="1973"/>
    <x v="2733"/>
    <x v="2727"/>
    <x v="2524"/>
    <x v="0"/>
    <x v="2709"/>
    <x v="2733"/>
    <x v="448"/>
    <x v="0"/>
    <x v="0"/>
    <x v="1"/>
    <x v="4"/>
    <x v="4"/>
    <x v="273"/>
    <x v="4"/>
    <x v="2"/>
    <x v="496"/>
  </r>
  <r>
    <x v="0"/>
    <x v="1169"/>
    <x v="217"/>
    <x v="77"/>
    <x v="134"/>
    <x v="78"/>
    <x v="43"/>
    <x v="2546"/>
    <x v="236"/>
    <x v="642"/>
    <x v="1279"/>
    <x v="1386"/>
    <x v="2734"/>
    <x v="2728"/>
    <x v="1487"/>
    <x v="2"/>
    <x v="2710"/>
    <x v="2734"/>
    <x v="246"/>
    <x v="0"/>
    <x v="0"/>
    <x v="4"/>
    <x v="137"/>
    <x v="20"/>
    <x v="413"/>
    <x v="34"/>
    <x v="1"/>
    <x v="1"/>
  </r>
  <r>
    <x v="0"/>
    <x v="491"/>
    <x v="359"/>
    <x v="73"/>
    <x v="253"/>
    <x v="601"/>
    <x v="11"/>
    <x v="1892"/>
    <x v="17"/>
    <x v="63"/>
    <x v="1202"/>
    <x v="1465"/>
    <x v="1998"/>
    <x v="1994"/>
    <x v="1901"/>
    <x v="4"/>
    <x v="1986"/>
    <x v="1998"/>
    <x v="498"/>
    <x v="0"/>
    <x v="0"/>
    <x v="4"/>
    <x v="137"/>
    <x v="32"/>
    <x v="53"/>
    <x v="16"/>
    <x v="3"/>
    <x v="1"/>
  </r>
  <r>
    <x v="0"/>
    <x v="795"/>
    <x v="372"/>
    <x v="47"/>
    <x v="0"/>
    <x v="88"/>
    <x v="256"/>
    <x v="2547"/>
    <x v="105"/>
    <x v="676"/>
    <x v="928"/>
    <x v="714"/>
    <x v="2735"/>
    <x v="2729"/>
    <x v="2525"/>
    <x v="1"/>
    <x v="2711"/>
    <x v="2735"/>
    <x v="712"/>
    <x v="0"/>
    <x v="0"/>
    <x v="0"/>
    <x v="4"/>
    <x v="3"/>
    <x v="527"/>
    <x v="28"/>
    <x v="1"/>
    <x v="1"/>
  </r>
  <r>
    <x v="0"/>
    <x v="1170"/>
    <x v="81"/>
    <x v="86"/>
    <x v="135"/>
    <x v="401"/>
    <x v="289"/>
    <x v="2548"/>
    <x v="457"/>
    <x v="807"/>
    <x v="938"/>
    <x v="1974"/>
    <x v="2736"/>
    <x v="2730"/>
    <x v="2524"/>
    <x v="1"/>
    <x v="2712"/>
    <x v="2736"/>
    <x v="755"/>
    <x v="0"/>
    <x v="0"/>
    <x v="2"/>
    <x v="137"/>
    <x v="23"/>
    <x v="97"/>
    <x v="10"/>
    <x v="3"/>
    <x v="1"/>
  </r>
  <r>
    <x v="0"/>
    <x v="830"/>
    <x v="425"/>
    <x v="113"/>
    <x v="91"/>
    <x v="156"/>
    <x v="94"/>
    <x v="2549"/>
    <x v="127"/>
    <x v="166"/>
    <x v="1651"/>
    <x v="192"/>
    <x v="2737"/>
    <x v="2731"/>
    <x v="2526"/>
    <x v="1"/>
    <x v="2713"/>
    <x v="2737"/>
    <x v="284"/>
    <x v="0"/>
    <x v="0"/>
    <x v="0"/>
    <x v="137"/>
    <x v="15"/>
    <x v="224"/>
    <x v="40"/>
    <x v="3"/>
    <x v="43"/>
  </r>
  <r>
    <x v="0"/>
    <x v="425"/>
    <x v="506"/>
    <x v="72"/>
    <x v="38"/>
    <x v="799"/>
    <x v="2"/>
    <x v="2550"/>
    <x v="406"/>
    <x v="209"/>
    <x v="680"/>
    <x v="1975"/>
    <x v="2738"/>
    <x v="2732"/>
    <x v="2527"/>
    <x v="1"/>
    <x v="2714"/>
    <x v="2738"/>
    <x v="662"/>
    <x v="0"/>
    <x v="1"/>
    <x v="0"/>
    <x v="185"/>
    <x v="10"/>
    <x v="30"/>
    <x v="21"/>
    <x v="1"/>
    <x v="45"/>
  </r>
  <r>
    <x v="0"/>
    <x v="1116"/>
    <x v="428"/>
    <x v="87"/>
    <x v="69"/>
    <x v="316"/>
    <x v="124"/>
    <x v="2551"/>
    <x v="524"/>
    <x v="1068"/>
    <x v="1652"/>
    <x v="1976"/>
    <x v="2739"/>
    <x v="2733"/>
    <x v="2528"/>
    <x v="0"/>
    <x v="2715"/>
    <x v="2739"/>
    <x v="365"/>
    <x v="0"/>
    <x v="0"/>
    <x v="3"/>
    <x v="137"/>
    <x v="19"/>
    <x v="4"/>
    <x v="4"/>
    <x v="3"/>
    <x v="497"/>
  </r>
  <r>
    <x v="0"/>
    <x v="265"/>
    <x v="329"/>
    <x v="56"/>
    <x v="175"/>
    <x v="208"/>
    <x v="302"/>
    <x v="2552"/>
    <x v="17"/>
    <x v="1069"/>
    <x v="1653"/>
    <x v="1977"/>
    <x v="2740"/>
    <x v="2734"/>
    <x v="2529"/>
    <x v="0"/>
    <x v="2716"/>
    <x v="2740"/>
    <x v="755"/>
    <x v="0"/>
    <x v="0"/>
    <x v="4"/>
    <x v="137"/>
    <x v="27"/>
    <x v="772"/>
    <x v="18"/>
    <x v="3"/>
    <x v="1"/>
  </r>
  <r>
    <x v="0"/>
    <x v="398"/>
    <x v="361"/>
    <x v="54"/>
    <x v="123"/>
    <x v="180"/>
    <x v="556"/>
    <x v="2553"/>
    <x v="26"/>
    <x v="1070"/>
    <x v="1654"/>
    <x v="1978"/>
    <x v="2741"/>
    <x v="2735"/>
    <x v="2530"/>
    <x v="4"/>
    <x v="2717"/>
    <x v="2741"/>
    <x v="631"/>
    <x v="0"/>
    <x v="0"/>
    <x v="4"/>
    <x v="137"/>
    <x v="19"/>
    <x v="662"/>
    <x v="20"/>
    <x v="1"/>
    <x v="498"/>
  </r>
  <r>
    <x v="0"/>
    <x v="548"/>
    <x v="384"/>
    <x v="7"/>
    <x v="0"/>
    <x v="553"/>
    <x v="253"/>
    <x v="2554"/>
    <x v="555"/>
    <x v="474"/>
    <x v="1448"/>
    <x v="1979"/>
    <x v="2742"/>
    <x v="2736"/>
    <x v="1085"/>
    <x v="1"/>
    <x v="2718"/>
    <x v="2742"/>
    <x v="327"/>
    <x v="0"/>
    <x v="0"/>
    <x v="4"/>
    <x v="78"/>
    <x v="16"/>
    <x v="259"/>
    <x v="33"/>
    <x v="3"/>
    <x v="103"/>
  </r>
  <r>
    <x v="0"/>
    <x v="1002"/>
    <x v="249"/>
    <x v="34"/>
    <x v="109"/>
    <x v="214"/>
    <x v="199"/>
    <x v="4"/>
    <x v="429"/>
    <x v="1071"/>
    <x v="797"/>
    <x v="702"/>
    <x v="2743"/>
    <x v="2737"/>
    <x v="1041"/>
    <x v="6"/>
    <x v="2719"/>
    <x v="2743"/>
    <x v="418"/>
    <x v="0"/>
    <x v="0"/>
    <x v="4"/>
    <x v="137"/>
    <x v="47"/>
    <x v="59"/>
    <x v="42"/>
    <x v="3"/>
    <x v="499"/>
  </r>
  <r>
    <x v="0"/>
    <x v="1003"/>
    <x v="211"/>
    <x v="43"/>
    <x v="45"/>
    <x v="570"/>
    <x v="185"/>
    <x v="2555"/>
    <x v="236"/>
    <x v="779"/>
    <x v="1655"/>
    <x v="1980"/>
    <x v="2744"/>
    <x v="2738"/>
    <x v="2531"/>
    <x v="0"/>
    <x v="2720"/>
    <x v="2744"/>
    <x v="886"/>
    <x v="0"/>
    <x v="1"/>
    <x v="0"/>
    <x v="137"/>
    <x v="12"/>
    <x v="502"/>
    <x v="40"/>
    <x v="1"/>
    <x v="1"/>
  </r>
  <r>
    <x v="0"/>
    <x v="495"/>
    <x v="392"/>
    <x v="78"/>
    <x v="202"/>
    <x v="156"/>
    <x v="366"/>
    <x v="2556"/>
    <x v="127"/>
    <x v="665"/>
    <x v="31"/>
    <x v="192"/>
    <x v="2745"/>
    <x v="2739"/>
    <x v="2321"/>
    <x v="4"/>
    <x v="2721"/>
    <x v="2745"/>
    <x v="400"/>
    <x v="0"/>
    <x v="0"/>
    <x v="0"/>
    <x v="137"/>
    <x v="17"/>
    <x v="25"/>
    <x v="51"/>
    <x v="3"/>
    <x v="500"/>
  </r>
  <r>
    <x v="0"/>
    <x v="138"/>
    <x v="202"/>
    <x v="26"/>
    <x v="103"/>
    <x v="113"/>
    <x v="8"/>
    <x v="2557"/>
    <x v="678"/>
    <x v="8"/>
    <x v="1245"/>
    <x v="1981"/>
    <x v="2746"/>
    <x v="2740"/>
    <x v="2532"/>
    <x v="2"/>
    <x v="2722"/>
    <x v="2746"/>
    <x v="699"/>
    <x v="0"/>
    <x v="0"/>
    <x v="4"/>
    <x v="137"/>
    <x v="0"/>
    <x v="20"/>
    <x v="12"/>
    <x v="1"/>
    <x v="86"/>
  </r>
  <r>
    <x v="0"/>
    <x v="1171"/>
    <x v="184"/>
    <x v="33"/>
    <x v="137"/>
    <x v="395"/>
    <x v="398"/>
    <x v="2558"/>
    <x v="127"/>
    <x v="721"/>
    <x v="1656"/>
    <x v="1982"/>
    <x v="2747"/>
    <x v="2741"/>
    <x v="2533"/>
    <x v="4"/>
    <x v="2723"/>
    <x v="2747"/>
    <x v="822"/>
    <x v="0"/>
    <x v="0"/>
    <x v="0"/>
    <x v="137"/>
    <x v="5"/>
    <x v="469"/>
    <x v="41"/>
    <x v="1"/>
    <x v="103"/>
  </r>
  <r>
    <x v="0"/>
    <x v="1172"/>
    <x v="447"/>
    <x v="45"/>
    <x v="0"/>
    <x v="820"/>
    <x v="22"/>
    <x v="2559"/>
    <x v="125"/>
    <x v="374"/>
    <x v="323"/>
    <x v="1983"/>
    <x v="2748"/>
    <x v="2742"/>
    <x v="2534"/>
    <x v="0"/>
    <x v="2724"/>
    <x v="2748"/>
    <x v="170"/>
    <x v="0"/>
    <x v="0"/>
    <x v="4"/>
    <x v="137"/>
    <x v="20"/>
    <x v="12"/>
    <x v="19"/>
    <x v="3"/>
    <x v="501"/>
  </r>
  <r>
    <x v="0"/>
    <x v="1173"/>
    <x v="219"/>
    <x v="85"/>
    <x v="101"/>
    <x v="237"/>
    <x v="557"/>
    <x v="2560"/>
    <x v="638"/>
    <x v="1072"/>
    <x v="1657"/>
    <x v="1984"/>
    <x v="2749"/>
    <x v="2743"/>
    <x v="568"/>
    <x v="5"/>
    <x v="2725"/>
    <x v="2749"/>
    <x v="486"/>
    <x v="0"/>
    <x v="20"/>
    <x v="2"/>
    <x v="176"/>
    <x v="15"/>
    <x v="337"/>
    <x v="8"/>
    <x v="3"/>
    <x v="195"/>
  </r>
  <r>
    <x v="0"/>
    <x v="1174"/>
    <x v="345"/>
    <x v="41"/>
    <x v="256"/>
    <x v="557"/>
    <x v="0"/>
    <x v="2561"/>
    <x v="471"/>
    <x v="31"/>
    <x v="1658"/>
    <x v="883"/>
    <x v="2750"/>
    <x v="2744"/>
    <x v="2535"/>
    <x v="0"/>
    <x v="2726"/>
    <x v="2750"/>
    <x v="138"/>
    <x v="0"/>
    <x v="0"/>
    <x v="4"/>
    <x v="231"/>
    <x v="25"/>
    <x v="306"/>
    <x v="20"/>
    <x v="3"/>
    <x v="1"/>
  </r>
  <r>
    <x v="0"/>
    <x v="48"/>
    <x v="349"/>
    <x v="16"/>
    <x v="33"/>
    <x v="65"/>
    <x v="13"/>
    <x v="4"/>
    <x v="350"/>
    <x v="158"/>
    <x v="260"/>
    <x v="81"/>
    <x v="2751"/>
    <x v="2745"/>
    <x v="159"/>
    <x v="0"/>
    <x v="2727"/>
    <x v="2751"/>
    <x v="678"/>
    <x v="0"/>
    <x v="0"/>
    <x v="2"/>
    <x v="137"/>
    <x v="47"/>
    <x v="176"/>
    <x v="10"/>
    <x v="10"/>
    <x v="502"/>
  </r>
  <r>
    <x v="0"/>
    <x v="437"/>
    <x v="429"/>
    <x v="69"/>
    <x v="0"/>
    <x v="492"/>
    <x v="0"/>
    <x v="2562"/>
    <x v="200"/>
    <x v="114"/>
    <x v="58"/>
    <x v="1985"/>
    <x v="2752"/>
    <x v="2746"/>
    <x v="2536"/>
    <x v="0"/>
    <x v="2728"/>
    <x v="2752"/>
    <x v="592"/>
    <x v="0"/>
    <x v="0"/>
    <x v="0"/>
    <x v="137"/>
    <x v="24"/>
    <x v="45"/>
    <x v="8"/>
    <x v="3"/>
    <x v="503"/>
  </r>
  <r>
    <x v="0"/>
    <x v="616"/>
    <x v="241"/>
    <x v="50"/>
    <x v="0"/>
    <x v="478"/>
    <x v="25"/>
    <x v="2563"/>
    <x v="105"/>
    <x v="26"/>
    <x v="1659"/>
    <x v="1147"/>
    <x v="2753"/>
    <x v="2747"/>
    <x v="362"/>
    <x v="3"/>
    <x v="2729"/>
    <x v="2753"/>
    <x v="650"/>
    <x v="0"/>
    <x v="0"/>
    <x v="4"/>
    <x v="4"/>
    <x v="1"/>
    <x v="81"/>
    <x v="34"/>
    <x v="3"/>
    <x v="337"/>
  </r>
  <r>
    <x v="0"/>
    <x v="1175"/>
    <x v="317"/>
    <x v="79"/>
    <x v="79"/>
    <x v="244"/>
    <x v="0"/>
    <x v="2564"/>
    <x v="179"/>
    <x v="1073"/>
    <x v="1660"/>
    <x v="1986"/>
    <x v="2754"/>
    <x v="2748"/>
    <x v="2537"/>
    <x v="1"/>
    <x v="2730"/>
    <x v="2754"/>
    <x v="804"/>
    <x v="0"/>
    <x v="0"/>
    <x v="4"/>
    <x v="190"/>
    <x v="18"/>
    <x v="372"/>
    <x v="46"/>
    <x v="3"/>
    <x v="1"/>
  </r>
  <r>
    <x v="0"/>
    <x v="80"/>
    <x v="474"/>
    <x v="76"/>
    <x v="63"/>
    <x v="172"/>
    <x v="408"/>
    <x v="2421"/>
    <x v="189"/>
    <x v="1017"/>
    <x v="1161"/>
    <x v="1887"/>
    <x v="2590"/>
    <x v="2586"/>
    <x v="2405"/>
    <x v="1"/>
    <x v="2569"/>
    <x v="2590"/>
    <x v="195"/>
    <x v="0"/>
    <x v="0"/>
    <x v="2"/>
    <x v="159"/>
    <x v="19"/>
    <x v="619"/>
    <x v="28"/>
    <x v="3"/>
    <x v="466"/>
  </r>
  <r>
    <x v="0"/>
    <x v="1176"/>
    <x v="423"/>
    <x v="52"/>
    <x v="0"/>
    <x v="204"/>
    <x v="25"/>
    <x v="2565"/>
    <x v="433"/>
    <x v="82"/>
    <x v="838"/>
    <x v="575"/>
    <x v="2755"/>
    <x v="2749"/>
    <x v="2538"/>
    <x v="0"/>
    <x v="2731"/>
    <x v="2755"/>
    <x v="354"/>
    <x v="0"/>
    <x v="0"/>
    <x v="4"/>
    <x v="137"/>
    <x v="7"/>
    <x v="325"/>
    <x v="15"/>
    <x v="1"/>
    <x v="1"/>
  </r>
  <r>
    <x v="0"/>
    <x v="197"/>
    <x v="258"/>
    <x v="107"/>
    <x v="139"/>
    <x v="821"/>
    <x v="558"/>
    <x v="2566"/>
    <x v="679"/>
    <x v="1074"/>
    <x v="438"/>
    <x v="1987"/>
    <x v="2756"/>
    <x v="2750"/>
    <x v="1880"/>
    <x v="7"/>
    <x v="2732"/>
    <x v="2756"/>
    <x v="780"/>
    <x v="0"/>
    <x v="0"/>
    <x v="0"/>
    <x v="137"/>
    <x v="18"/>
    <x v="293"/>
    <x v="28"/>
    <x v="1"/>
    <x v="398"/>
  </r>
  <r>
    <x v="0"/>
    <x v="1177"/>
    <x v="379"/>
    <x v="107"/>
    <x v="72"/>
    <x v="246"/>
    <x v="98"/>
    <x v="2567"/>
    <x v="311"/>
    <x v="1075"/>
    <x v="1661"/>
    <x v="1988"/>
    <x v="2757"/>
    <x v="2751"/>
    <x v="2539"/>
    <x v="1"/>
    <x v="2733"/>
    <x v="2757"/>
    <x v="646"/>
    <x v="0"/>
    <x v="0"/>
    <x v="0"/>
    <x v="137"/>
    <x v="3"/>
    <x v="330"/>
    <x v="28"/>
    <x v="1"/>
    <x v="1"/>
  </r>
  <r>
    <x v="0"/>
    <x v="1178"/>
    <x v="415"/>
    <x v="52"/>
    <x v="346"/>
    <x v="491"/>
    <x v="559"/>
    <x v="2568"/>
    <x v="113"/>
    <x v="1076"/>
    <x v="12"/>
    <x v="1989"/>
    <x v="2758"/>
    <x v="2752"/>
    <x v="2540"/>
    <x v="1"/>
    <x v="2734"/>
    <x v="2758"/>
    <x v="509"/>
    <x v="3"/>
    <x v="10"/>
    <x v="0"/>
    <x v="4"/>
    <x v="1"/>
    <x v="11"/>
    <x v="25"/>
    <x v="3"/>
    <x v="38"/>
  </r>
  <r>
    <x v="0"/>
    <x v="1179"/>
    <x v="24"/>
    <x v="64"/>
    <x v="222"/>
    <x v="457"/>
    <x v="21"/>
    <x v="2569"/>
    <x v="17"/>
    <x v="141"/>
    <x v="523"/>
    <x v="1990"/>
    <x v="2759"/>
    <x v="2753"/>
    <x v="2541"/>
    <x v="0"/>
    <x v="2735"/>
    <x v="2759"/>
    <x v="519"/>
    <x v="0"/>
    <x v="0"/>
    <x v="4"/>
    <x v="140"/>
    <x v="7"/>
    <x v="341"/>
    <x v="32"/>
    <x v="1"/>
    <x v="9"/>
  </r>
  <r>
    <x v="0"/>
    <x v="1180"/>
    <x v="315"/>
    <x v="78"/>
    <x v="255"/>
    <x v="72"/>
    <x v="25"/>
    <x v="2570"/>
    <x v="150"/>
    <x v="392"/>
    <x v="1662"/>
    <x v="1991"/>
    <x v="2760"/>
    <x v="2754"/>
    <x v="2542"/>
    <x v="7"/>
    <x v="2736"/>
    <x v="2760"/>
    <x v="137"/>
    <x v="0"/>
    <x v="0"/>
    <x v="4"/>
    <x v="151"/>
    <x v="21"/>
    <x v="773"/>
    <x v="18"/>
    <x v="1"/>
    <x v="187"/>
  </r>
  <r>
    <x v="0"/>
    <x v="864"/>
    <x v="276"/>
    <x v="86"/>
    <x v="316"/>
    <x v="41"/>
    <x v="14"/>
    <x v="2571"/>
    <x v="270"/>
    <x v="414"/>
    <x v="1663"/>
    <x v="1992"/>
    <x v="2761"/>
    <x v="2755"/>
    <x v="2543"/>
    <x v="1"/>
    <x v="2737"/>
    <x v="2761"/>
    <x v="340"/>
    <x v="0"/>
    <x v="0"/>
    <x v="4"/>
    <x v="137"/>
    <x v="15"/>
    <x v="362"/>
    <x v="4"/>
    <x v="3"/>
    <x v="504"/>
  </r>
  <r>
    <x v="0"/>
    <x v="120"/>
    <x v="339"/>
    <x v="42"/>
    <x v="77"/>
    <x v="100"/>
    <x v="560"/>
    <x v="2572"/>
    <x v="406"/>
    <x v="1077"/>
    <x v="1664"/>
    <x v="1993"/>
    <x v="2762"/>
    <x v="2756"/>
    <x v="2544"/>
    <x v="3"/>
    <x v="2738"/>
    <x v="2762"/>
    <x v="247"/>
    <x v="0"/>
    <x v="10"/>
    <x v="0"/>
    <x v="137"/>
    <x v="7"/>
    <x v="138"/>
    <x v="10"/>
    <x v="1"/>
    <x v="314"/>
  </r>
  <r>
    <x v="0"/>
    <x v="1181"/>
    <x v="272"/>
    <x v="95"/>
    <x v="69"/>
    <x v="313"/>
    <x v="561"/>
    <x v="2573"/>
    <x v="416"/>
    <x v="1078"/>
    <x v="1665"/>
    <x v="1994"/>
    <x v="2763"/>
    <x v="2757"/>
    <x v="2545"/>
    <x v="2"/>
    <x v="2739"/>
    <x v="2763"/>
    <x v="339"/>
    <x v="0"/>
    <x v="0"/>
    <x v="0"/>
    <x v="137"/>
    <x v="18"/>
    <x v="364"/>
    <x v="65"/>
    <x v="3"/>
    <x v="505"/>
  </r>
  <r>
    <x v="0"/>
    <x v="1072"/>
    <x v="393"/>
    <x v="106"/>
    <x v="265"/>
    <x v="531"/>
    <x v="562"/>
    <x v="2574"/>
    <x v="415"/>
    <x v="1079"/>
    <x v="1666"/>
    <x v="1995"/>
    <x v="2764"/>
    <x v="2758"/>
    <x v="2546"/>
    <x v="1"/>
    <x v="2740"/>
    <x v="2764"/>
    <x v="788"/>
    <x v="0"/>
    <x v="10"/>
    <x v="0"/>
    <x v="137"/>
    <x v="16"/>
    <x v="562"/>
    <x v="20"/>
    <x v="3"/>
    <x v="506"/>
  </r>
  <r>
    <x v="0"/>
    <x v="1113"/>
    <x v="126"/>
    <x v="55"/>
    <x v="31"/>
    <x v="558"/>
    <x v="21"/>
    <x v="2575"/>
    <x v="127"/>
    <x v="298"/>
    <x v="333"/>
    <x v="885"/>
    <x v="2765"/>
    <x v="2759"/>
    <x v="2547"/>
    <x v="2"/>
    <x v="2741"/>
    <x v="2765"/>
    <x v="167"/>
    <x v="0"/>
    <x v="1"/>
    <x v="0"/>
    <x v="4"/>
    <x v="8"/>
    <x v="30"/>
    <x v="10"/>
    <x v="1"/>
    <x v="43"/>
  </r>
  <r>
    <x v="0"/>
    <x v="1182"/>
    <x v="412"/>
    <x v="46"/>
    <x v="182"/>
    <x v="371"/>
    <x v="17"/>
    <x v="2576"/>
    <x v="96"/>
    <x v="18"/>
    <x v="1667"/>
    <x v="1996"/>
    <x v="2766"/>
    <x v="2760"/>
    <x v="2548"/>
    <x v="0"/>
    <x v="2742"/>
    <x v="2766"/>
    <x v="824"/>
    <x v="0"/>
    <x v="44"/>
    <x v="2"/>
    <x v="137"/>
    <x v="33"/>
    <x v="774"/>
    <x v="12"/>
    <x v="1"/>
    <x v="507"/>
  </r>
  <r>
    <x v="0"/>
    <x v="954"/>
    <x v="180"/>
    <x v="13"/>
    <x v="86"/>
    <x v="496"/>
    <x v="563"/>
    <x v="2577"/>
    <x v="406"/>
    <x v="1080"/>
    <x v="1668"/>
    <x v="1997"/>
    <x v="2767"/>
    <x v="2761"/>
    <x v="1206"/>
    <x v="0"/>
    <x v="2743"/>
    <x v="2767"/>
    <x v="550"/>
    <x v="0"/>
    <x v="1"/>
    <x v="4"/>
    <x v="186"/>
    <x v="11"/>
    <x v="462"/>
    <x v="2"/>
    <x v="1"/>
    <x v="1"/>
  </r>
  <r>
    <x v="0"/>
    <x v="1183"/>
    <x v="309"/>
    <x v="27"/>
    <x v="347"/>
    <x v="79"/>
    <x v="564"/>
    <x v="2578"/>
    <x v="17"/>
    <x v="1081"/>
    <x v="1669"/>
    <x v="1998"/>
    <x v="2768"/>
    <x v="2045"/>
    <x v="2549"/>
    <x v="0"/>
    <x v="2744"/>
    <x v="2768"/>
    <x v="755"/>
    <x v="3"/>
    <x v="10"/>
    <x v="2"/>
    <x v="4"/>
    <x v="0"/>
    <x v="775"/>
    <x v="22"/>
    <x v="1"/>
    <x v="508"/>
  </r>
  <r>
    <x v="0"/>
    <x v="475"/>
    <x v="474"/>
    <x v="5"/>
    <x v="162"/>
    <x v="7"/>
    <x v="565"/>
    <x v="2579"/>
    <x v="680"/>
    <x v="1082"/>
    <x v="1670"/>
    <x v="1999"/>
    <x v="2769"/>
    <x v="2762"/>
    <x v="2550"/>
    <x v="4"/>
    <x v="2745"/>
    <x v="2769"/>
    <x v="650"/>
    <x v="0"/>
    <x v="10"/>
    <x v="10"/>
    <x v="47"/>
    <x v="19"/>
    <x v="303"/>
    <x v="11"/>
    <x v="3"/>
    <x v="1"/>
  </r>
  <r>
    <x v="0"/>
    <x v="1184"/>
    <x v="401"/>
    <x v="85"/>
    <x v="216"/>
    <x v="502"/>
    <x v="563"/>
    <x v="4"/>
    <x v="97"/>
    <x v="1083"/>
    <x v="1671"/>
    <x v="2000"/>
    <x v="2770"/>
    <x v="1371"/>
    <x v="2551"/>
    <x v="4"/>
    <x v="2746"/>
    <x v="2770"/>
    <x v="705"/>
    <x v="4"/>
    <x v="9"/>
    <x v="4"/>
    <x v="176"/>
    <x v="5"/>
    <x v="776"/>
    <x v="8"/>
    <x v="1"/>
    <x v="103"/>
  </r>
  <r>
    <x v="0"/>
    <x v="222"/>
    <x v="394"/>
    <x v="69"/>
    <x v="153"/>
    <x v="109"/>
    <x v="566"/>
    <x v="2580"/>
    <x v="638"/>
    <x v="1084"/>
    <x v="1672"/>
    <x v="774"/>
    <x v="2771"/>
    <x v="2763"/>
    <x v="2552"/>
    <x v="0"/>
    <x v="2747"/>
    <x v="2771"/>
    <x v="225"/>
    <x v="0"/>
    <x v="0"/>
    <x v="4"/>
    <x v="159"/>
    <x v="8"/>
    <x v="367"/>
    <x v="15"/>
    <x v="3"/>
    <x v="236"/>
  </r>
  <r>
    <x v="0"/>
    <x v="1185"/>
    <x v="410"/>
    <x v="17"/>
    <x v="59"/>
    <x v="542"/>
    <x v="57"/>
    <x v="2581"/>
    <x v="270"/>
    <x v="109"/>
    <x v="320"/>
    <x v="2001"/>
    <x v="2772"/>
    <x v="2764"/>
    <x v="2553"/>
    <x v="1"/>
    <x v="2748"/>
    <x v="2772"/>
    <x v="119"/>
    <x v="0"/>
    <x v="0"/>
    <x v="4"/>
    <x v="137"/>
    <x v="10"/>
    <x v="30"/>
    <x v="12"/>
    <x v="3"/>
    <x v="1"/>
  </r>
  <r>
    <x v="0"/>
    <x v="1186"/>
    <x v="399"/>
    <x v="78"/>
    <x v="123"/>
    <x v="822"/>
    <x v="327"/>
    <x v="4"/>
    <x v="476"/>
    <x v="687"/>
    <x v="946"/>
    <x v="2002"/>
    <x v="2773"/>
    <x v="2765"/>
    <x v="2554"/>
    <x v="6"/>
    <x v="2749"/>
    <x v="2773"/>
    <x v="421"/>
    <x v="0"/>
    <x v="4"/>
    <x v="4"/>
    <x v="4"/>
    <x v="0"/>
    <x v="532"/>
    <x v="57"/>
    <x v="3"/>
    <x v="509"/>
  </r>
  <r>
    <x v="0"/>
    <x v="340"/>
    <x v="314"/>
    <x v="78"/>
    <x v="0"/>
    <x v="429"/>
    <x v="0"/>
    <x v="2582"/>
    <x v="105"/>
    <x v="381"/>
    <x v="1139"/>
    <x v="985"/>
    <x v="2774"/>
    <x v="2766"/>
    <x v="2555"/>
    <x v="0"/>
    <x v="2750"/>
    <x v="2774"/>
    <x v="780"/>
    <x v="0"/>
    <x v="0"/>
    <x v="2"/>
    <x v="137"/>
    <x v="5"/>
    <x v="261"/>
    <x v="16"/>
    <x v="3"/>
    <x v="57"/>
  </r>
  <r>
    <x v="0"/>
    <x v="106"/>
    <x v="122"/>
    <x v="90"/>
    <x v="0"/>
    <x v="21"/>
    <x v="10"/>
    <x v="2583"/>
    <x v="17"/>
    <x v="40"/>
    <x v="57"/>
    <x v="28"/>
    <x v="2775"/>
    <x v="2767"/>
    <x v="2556"/>
    <x v="0"/>
    <x v="2751"/>
    <x v="2775"/>
    <x v="887"/>
    <x v="0"/>
    <x v="0"/>
    <x v="4"/>
    <x v="137"/>
    <x v="12"/>
    <x v="44"/>
    <x v="16"/>
    <x v="3"/>
    <x v="38"/>
  </r>
  <r>
    <x v="0"/>
    <x v="88"/>
    <x v="195"/>
    <x v="59"/>
    <x v="70"/>
    <x v="169"/>
    <x v="75"/>
    <x v="236"/>
    <x v="34"/>
    <x v="133"/>
    <x v="193"/>
    <x v="214"/>
    <x v="242"/>
    <x v="2768"/>
    <x v="238"/>
    <x v="0"/>
    <x v="240"/>
    <x v="242"/>
    <x v="228"/>
    <x v="0"/>
    <x v="0"/>
    <x v="0"/>
    <x v="44"/>
    <x v="11"/>
    <x v="130"/>
    <x v="18"/>
    <x v="1"/>
    <x v="66"/>
  </r>
  <r>
    <x v="0"/>
    <x v="941"/>
    <x v="343"/>
    <x v="55"/>
    <x v="222"/>
    <x v="14"/>
    <x v="438"/>
    <x v="2584"/>
    <x v="127"/>
    <x v="792"/>
    <x v="1309"/>
    <x v="2003"/>
    <x v="2776"/>
    <x v="2769"/>
    <x v="2557"/>
    <x v="1"/>
    <x v="2752"/>
    <x v="2776"/>
    <x v="248"/>
    <x v="0"/>
    <x v="0"/>
    <x v="0"/>
    <x v="176"/>
    <x v="16"/>
    <x v="677"/>
    <x v="2"/>
    <x v="3"/>
    <x v="1"/>
  </r>
  <r>
    <x v="0"/>
    <x v="960"/>
    <x v="198"/>
    <x v="86"/>
    <x v="215"/>
    <x v="250"/>
    <x v="35"/>
    <x v="2585"/>
    <x v="17"/>
    <x v="184"/>
    <x v="860"/>
    <x v="541"/>
    <x v="2777"/>
    <x v="2770"/>
    <x v="2558"/>
    <x v="4"/>
    <x v="2753"/>
    <x v="2777"/>
    <x v="364"/>
    <x v="0"/>
    <x v="0"/>
    <x v="0"/>
    <x v="179"/>
    <x v="19"/>
    <x v="409"/>
    <x v="38"/>
    <x v="3"/>
    <x v="1"/>
  </r>
  <r>
    <x v="0"/>
    <x v="614"/>
    <x v="283"/>
    <x v="77"/>
    <x v="47"/>
    <x v="288"/>
    <x v="22"/>
    <x v="2586"/>
    <x v="376"/>
    <x v="191"/>
    <x v="1254"/>
    <x v="2004"/>
    <x v="2778"/>
    <x v="2771"/>
    <x v="2559"/>
    <x v="2"/>
    <x v="2754"/>
    <x v="2778"/>
    <x v="793"/>
    <x v="0"/>
    <x v="0"/>
    <x v="4"/>
    <x v="137"/>
    <x v="2"/>
    <x v="651"/>
    <x v="37"/>
    <x v="3"/>
    <x v="1"/>
  </r>
  <r>
    <x v="0"/>
    <x v="113"/>
    <x v="302"/>
    <x v="162"/>
    <x v="88"/>
    <x v="621"/>
    <x v="457"/>
    <x v="2587"/>
    <x v="270"/>
    <x v="1085"/>
    <x v="1673"/>
    <x v="2005"/>
    <x v="2779"/>
    <x v="2772"/>
    <x v="2560"/>
    <x v="0"/>
    <x v="2755"/>
    <x v="2779"/>
    <x v="820"/>
    <x v="26"/>
    <x v="45"/>
    <x v="7"/>
    <x v="4"/>
    <x v="4"/>
    <x v="515"/>
    <x v="71"/>
    <x v="8"/>
    <x v="1"/>
  </r>
  <r>
    <x v="0"/>
    <x v="773"/>
    <x v="125"/>
    <x v="23"/>
    <x v="265"/>
    <x v="795"/>
    <x v="21"/>
    <x v="2588"/>
    <x v="113"/>
    <x v="141"/>
    <x v="1674"/>
    <x v="2006"/>
    <x v="2780"/>
    <x v="2773"/>
    <x v="2561"/>
    <x v="1"/>
    <x v="2756"/>
    <x v="2780"/>
    <x v="888"/>
    <x v="0"/>
    <x v="1"/>
    <x v="4"/>
    <x v="179"/>
    <x v="21"/>
    <x v="724"/>
    <x v="38"/>
    <x v="3"/>
    <x v="1"/>
  </r>
  <r>
    <x v="0"/>
    <x v="1133"/>
    <x v="79"/>
    <x v="47"/>
    <x v="342"/>
    <x v="658"/>
    <x v="35"/>
    <x v="2589"/>
    <x v="70"/>
    <x v="164"/>
    <x v="310"/>
    <x v="1769"/>
    <x v="2781"/>
    <x v="2774"/>
    <x v="2562"/>
    <x v="6"/>
    <x v="2757"/>
    <x v="2781"/>
    <x v="437"/>
    <x v="0"/>
    <x v="1"/>
    <x v="4"/>
    <x v="159"/>
    <x v="3"/>
    <x v="210"/>
    <x v="13"/>
    <x v="1"/>
    <x v="76"/>
  </r>
  <r>
    <x v="0"/>
    <x v="1022"/>
    <x v="459"/>
    <x v="72"/>
    <x v="239"/>
    <x v="369"/>
    <x v="184"/>
    <x v="2590"/>
    <x v="681"/>
    <x v="345"/>
    <x v="1535"/>
    <x v="1284"/>
    <x v="2782"/>
    <x v="2775"/>
    <x v="2563"/>
    <x v="0"/>
    <x v="2758"/>
    <x v="2782"/>
    <x v="247"/>
    <x v="0"/>
    <x v="0"/>
    <x v="4"/>
    <x v="4"/>
    <x v="18"/>
    <x v="172"/>
    <x v="19"/>
    <x v="3"/>
    <x v="343"/>
  </r>
  <r>
    <x v="0"/>
    <x v="113"/>
    <x v="93"/>
    <x v="163"/>
    <x v="88"/>
    <x v="621"/>
    <x v="567"/>
    <x v="4"/>
    <x v="28"/>
    <x v="1086"/>
    <x v="1675"/>
    <x v="2007"/>
    <x v="2783"/>
    <x v="2776"/>
    <x v="1308"/>
    <x v="2"/>
    <x v="4"/>
    <x v="2783"/>
    <x v="188"/>
    <x v="26"/>
    <x v="45"/>
    <x v="1"/>
    <x v="4"/>
    <x v="4"/>
    <x v="556"/>
    <x v="38"/>
    <x v="2"/>
    <x v="510"/>
  </r>
  <r>
    <x v="0"/>
    <x v="266"/>
    <x v="203"/>
    <x v="0"/>
    <x v="114"/>
    <x v="264"/>
    <x v="350"/>
    <x v="2591"/>
    <x v="256"/>
    <x v="1044"/>
    <x v="1676"/>
    <x v="1082"/>
    <x v="2784"/>
    <x v="2777"/>
    <x v="2564"/>
    <x v="0"/>
    <x v="2759"/>
    <x v="2784"/>
    <x v="504"/>
    <x v="15"/>
    <x v="8"/>
    <x v="4"/>
    <x v="179"/>
    <x v="14"/>
    <x v="164"/>
    <x v="24"/>
    <x v="3"/>
    <x v="57"/>
  </r>
  <r>
    <x v="0"/>
    <x v="315"/>
    <x v="271"/>
    <x v="31"/>
    <x v="197"/>
    <x v="823"/>
    <x v="73"/>
    <x v="2592"/>
    <x v="425"/>
    <x v="1087"/>
    <x v="1677"/>
    <x v="2008"/>
    <x v="2785"/>
    <x v="2778"/>
    <x v="2565"/>
    <x v="1"/>
    <x v="2760"/>
    <x v="2785"/>
    <x v="629"/>
    <x v="6"/>
    <x v="13"/>
    <x v="0"/>
    <x v="70"/>
    <x v="14"/>
    <x v="777"/>
    <x v="14"/>
    <x v="1"/>
    <x v="1"/>
  </r>
  <r>
    <x v="0"/>
    <x v="956"/>
    <x v="426"/>
    <x v="26"/>
    <x v="222"/>
    <x v="502"/>
    <x v="32"/>
    <x v="2593"/>
    <x v="251"/>
    <x v="59"/>
    <x v="1678"/>
    <x v="2009"/>
    <x v="2786"/>
    <x v="2779"/>
    <x v="2566"/>
    <x v="0"/>
    <x v="2761"/>
    <x v="2786"/>
    <x v="889"/>
    <x v="0"/>
    <x v="1"/>
    <x v="4"/>
    <x v="4"/>
    <x v="9"/>
    <x v="404"/>
    <x v="22"/>
    <x v="3"/>
    <x v="5"/>
  </r>
  <r>
    <x v="0"/>
    <x v="277"/>
    <x v="219"/>
    <x v="61"/>
    <x v="181"/>
    <x v="217"/>
    <x v="49"/>
    <x v="2594"/>
    <x v="682"/>
    <x v="86"/>
    <x v="987"/>
    <x v="2010"/>
    <x v="2787"/>
    <x v="2780"/>
    <x v="2567"/>
    <x v="1"/>
    <x v="2762"/>
    <x v="2787"/>
    <x v="104"/>
    <x v="0"/>
    <x v="0"/>
    <x v="4"/>
    <x v="185"/>
    <x v="42"/>
    <x v="342"/>
    <x v="11"/>
    <x v="3"/>
    <x v="1"/>
  </r>
  <r>
    <x v="0"/>
    <x v="676"/>
    <x v="169"/>
    <x v="7"/>
    <x v="129"/>
    <x v="201"/>
    <x v="121"/>
    <x v="2595"/>
    <x v="125"/>
    <x v="1088"/>
    <x v="1679"/>
    <x v="254"/>
    <x v="2788"/>
    <x v="2781"/>
    <x v="2568"/>
    <x v="7"/>
    <x v="2763"/>
    <x v="2788"/>
    <x v="789"/>
    <x v="0"/>
    <x v="18"/>
    <x v="0"/>
    <x v="232"/>
    <x v="5"/>
    <x v="778"/>
    <x v="57"/>
    <x v="0"/>
    <x v="511"/>
  </r>
  <r>
    <x v="0"/>
    <x v="107"/>
    <x v="274"/>
    <x v="69"/>
    <x v="84"/>
    <x v="318"/>
    <x v="568"/>
    <x v="2596"/>
    <x v="305"/>
    <x v="1089"/>
    <x v="1680"/>
    <x v="2011"/>
    <x v="2789"/>
    <x v="2782"/>
    <x v="2569"/>
    <x v="1"/>
    <x v="2764"/>
    <x v="2789"/>
    <x v="551"/>
    <x v="0"/>
    <x v="0"/>
    <x v="3"/>
    <x v="185"/>
    <x v="10"/>
    <x v="779"/>
    <x v="72"/>
    <x v="3"/>
    <x v="66"/>
  </r>
  <r>
    <x v="0"/>
    <x v="121"/>
    <x v="507"/>
    <x v="26"/>
    <x v="0"/>
    <x v="1"/>
    <x v="24"/>
    <x v="2597"/>
    <x v="306"/>
    <x v="131"/>
    <x v="34"/>
    <x v="1172"/>
    <x v="2790"/>
    <x v="2783"/>
    <x v="2570"/>
    <x v="1"/>
    <x v="2765"/>
    <x v="2790"/>
    <x v="890"/>
    <x v="0"/>
    <x v="0"/>
    <x v="4"/>
    <x v="185"/>
    <x v="5"/>
    <x v="28"/>
    <x v="25"/>
    <x v="1"/>
    <x v="512"/>
  </r>
  <r>
    <x v="0"/>
    <x v="139"/>
    <x v="187"/>
    <x v="85"/>
    <x v="104"/>
    <x v="1"/>
    <x v="14"/>
    <x v="223"/>
    <x v="103"/>
    <x v="61"/>
    <x v="185"/>
    <x v="202"/>
    <x v="228"/>
    <x v="2784"/>
    <x v="2571"/>
    <x v="0"/>
    <x v="226"/>
    <x v="228"/>
    <x v="214"/>
    <x v="0"/>
    <x v="0"/>
    <x v="0"/>
    <x v="32"/>
    <x v="11"/>
    <x v="12"/>
    <x v="5"/>
    <x v="1"/>
    <x v="24"/>
  </r>
  <r>
    <x v="0"/>
    <x v="420"/>
    <x v="290"/>
    <x v="129"/>
    <x v="0"/>
    <x v="23"/>
    <x v="13"/>
    <x v="2598"/>
    <x v="152"/>
    <x v="158"/>
    <x v="557"/>
    <x v="245"/>
    <x v="2791"/>
    <x v="2785"/>
    <x v="2572"/>
    <x v="1"/>
    <x v="2766"/>
    <x v="2791"/>
    <x v="891"/>
    <x v="0"/>
    <x v="0"/>
    <x v="4"/>
    <x v="185"/>
    <x v="55"/>
    <x v="20"/>
    <x v="29"/>
    <x v="3"/>
    <x v="57"/>
  </r>
  <r>
    <x v="0"/>
    <x v="497"/>
    <x v="217"/>
    <x v="52"/>
    <x v="255"/>
    <x v="544"/>
    <x v="569"/>
    <x v="2599"/>
    <x v="484"/>
    <x v="1090"/>
    <x v="828"/>
    <x v="2012"/>
    <x v="2792"/>
    <x v="2786"/>
    <x v="2573"/>
    <x v="0"/>
    <x v="2767"/>
    <x v="2792"/>
    <x v="519"/>
    <x v="0"/>
    <x v="0"/>
    <x v="0"/>
    <x v="185"/>
    <x v="18"/>
    <x v="308"/>
    <x v="9"/>
    <x v="3"/>
    <x v="1"/>
  </r>
  <r>
    <x v="0"/>
    <x v="200"/>
    <x v="182"/>
    <x v="77"/>
    <x v="140"/>
    <x v="588"/>
    <x v="570"/>
    <x v="2600"/>
    <x v="560"/>
    <x v="1091"/>
    <x v="1681"/>
    <x v="2013"/>
    <x v="2793"/>
    <x v="1923"/>
    <x v="672"/>
    <x v="0"/>
    <x v="2768"/>
    <x v="2793"/>
    <x v="635"/>
    <x v="0"/>
    <x v="0"/>
    <x v="4"/>
    <x v="222"/>
    <x v="32"/>
    <x v="780"/>
    <x v="20"/>
    <x v="3"/>
    <x v="1"/>
  </r>
  <r>
    <x v="0"/>
    <x v="831"/>
    <x v="315"/>
    <x v="56"/>
    <x v="151"/>
    <x v="421"/>
    <x v="22"/>
    <x v="2601"/>
    <x v="270"/>
    <x v="80"/>
    <x v="1682"/>
    <x v="2014"/>
    <x v="2794"/>
    <x v="2787"/>
    <x v="2574"/>
    <x v="0"/>
    <x v="2769"/>
    <x v="2794"/>
    <x v="650"/>
    <x v="0"/>
    <x v="0"/>
    <x v="2"/>
    <x v="185"/>
    <x v="6"/>
    <x v="13"/>
    <x v="2"/>
    <x v="3"/>
    <x v="37"/>
  </r>
  <r>
    <x v="0"/>
    <x v="1187"/>
    <x v="257"/>
    <x v="105"/>
    <x v="193"/>
    <x v="256"/>
    <x v="22"/>
    <x v="2602"/>
    <x v="583"/>
    <x v="80"/>
    <x v="826"/>
    <x v="1930"/>
    <x v="2795"/>
    <x v="2788"/>
    <x v="2575"/>
    <x v="4"/>
    <x v="2770"/>
    <x v="2795"/>
    <x v="865"/>
    <x v="0"/>
    <x v="0"/>
    <x v="0"/>
    <x v="185"/>
    <x v="21"/>
    <x v="93"/>
    <x v="34"/>
    <x v="15"/>
    <x v="1"/>
  </r>
  <r>
    <x v="0"/>
    <x v="1188"/>
    <x v="401"/>
    <x v="86"/>
    <x v="38"/>
    <x v="802"/>
    <x v="517"/>
    <x v="2603"/>
    <x v="579"/>
    <x v="1092"/>
    <x v="1683"/>
    <x v="1861"/>
    <x v="2796"/>
    <x v="2789"/>
    <x v="2576"/>
    <x v="7"/>
    <x v="2771"/>
    <x v="2796"/>
    <x v="452"/>
    <x v="0"/>
    <x v="0"/>
    <x v="4"/>
    <x v="185"/>
    <x v="32"/>
    <x v="578"/>
    <x v="2"/>
    <x v="3"/>
    <x v="1"/>
  </r>
  <r>
    <x v="0"/>
    <x v="1189"/>
    <x v="101"/>
    <x v="58"/>
    <x v="223"/>
    <x v="677"/>
    <x v="57"/>
    <x v="2604"/>
    <x v="200"/>
    <x v="192"/>
    <x v="698"/>
    <x v="1227"/>
    <x v="2797"/>
    <x v="2790"/>
    <x v="2577"/>
    <x v="3"/>
    <x v="2772"/>
    <x v="2797"/>
    <x v="372"/>
    <x v="0"/>
    <x v="0"/>
    <x v="0"/>
    <x v="185"/>
    <x v="11"/>
    <x v="18"/>
    <x v="11"/>
    <x v="3"/>
    <x v="0"/>
  </r>
  <r>
    <x v="0"/>
    <x v="614"/>
    <x v="362"/>
    <x v="7"/>
    <x v="47"/>
    <x v="431"/>
    <x v="75"/>
    <x v="2605"/>
    <x v="127"/>
    <x v="696"/>
    <x v="1290"/>
    <x v="1419"/>
    <x v="2798"/>
    <x v="2791"/>
    <x v="2578"/>
    <x v="2"/>
    <x v="2773"/>
    <x v="2798"/>
    <x v="427"/>
    <x v="0"/>
    <x v="0"/>
    <x v="4"/>
    <x v="188"/>
    <x v="11"/>
    <x v="449"/>
    <x v="9"/>
    <x v="1"/>
    <x v="1"/>
  </r>
  <r>
    <x v="0"/>
    <x v="627"/>
    <x v="395"/>
    <x v="55"/>
    <x v="107"/>
    <x v="388"/>
    <x v="29"/>
    <x v="2606"/>
    <x v="105"/>
    <x v="58"/>
    <x v="57"/>
    <x v="2015"/>
    <x v="2799"/>
    <x v="2792"/>
    <x v="2579"/>
    <x v="5"/>
    <x v="2774"/>
    <x v="2799"/>
    <x v="176"/>
    <x v="0"/>
    <x v="0"/>
    <x v="0"/>
    <x v="178"/>
    <x v="15"/>
    <x v="44"/>
    <x v="13"/>
    <x v="3"/>
    <x v="7"/>
  </r>
  <r>
    <x v="0"/>
    <x v="1190"/>
    <x v="324"/>
    <x v="80"/>
    <x v="89"/>
    <x v="376"/>
    <x v="2"/>
    <x v="2607"/>
    <x v="125"/>
    <x v="336"/>
    <x v="1223"/>
    <x v="2016"/>
    <x v="2800"/>
    <x v="2793"/>
    <x v="412"/>
    <x v="1"/>
    <x v="2775"/>
    <x v="2800"/>
    <x v="757"/>
    <x v="0"/>
    <x v="0"/>
    <x v="0"/>
    <x v="185"/>
    <x v="19"/>
    <x v="476"/>
    <x v="18"/>
    <x v="3"/>
    <x v="103"/>
  </r>
  <r>
    <x v="0"/>
    <x v="1191"/>
    <x v="307"/>
    <x v="95"/>
    <x v="0"/>
    <x v="94"/>
    <x v="2"/>
    <x v="2608"/>
    <x v="132"/>
    <x v="172"/>
    <x v="959"/>
    <x v="1070"/>
    <x v="2801"/>
    <x v="2794"/>
    <x v="2580"/>
    <x v="4"/>
    <x v="2776"/>
    <x v="2801"/>
    <x v="547"/>
    <x v="0"/>
    <x v="0"/>
    <x v="0"/>
    <x v="186"/>
    <x v="27"/>
    <x v="82"/>
    <x v="9"/>
    <x v="3"/>
    <x v="1"/>
  </r>
  <r>
    <x v="0"/>
    <x v="444"/>
    <x v="72"/>
    <x v="107"/>
    <x v="241"/>
    <x v="621"/>
    <x v="571"/>
    <x v="2609"/>
    <x v="327"/>
    <x v="1093"/>
    <x v="1684"/>
    <x v="2017"/>
    <x v="2802"/>
    <x v="2795"/>
    <x v="482"/>
    <x v="0"/>
    <x v="2777"/>
    <x v="2802"/>
    <x v="301"/>
    <x v="0"/>
    <x v="0"/>
    <x v="0"/>
    <x v="173"/>
    <x v="6"/>
    <x v="781"/>
    <x v="2"/>
    <x v="1"/>
    <x v="1"/>
  </r>
  <r>
    <x v="0"/>
    <x v="1192"/>
    <x v="112"/>
    <x v="60"/>
    <x v="107"/>
    <x v="824"/>
    <x v="94"/>
    <x v="2610"/>
    <x v="232"/>
    <x v="187"/>
    <x v="751"/>
    <x v="2018"/>
    <x v="2803"/>
    <x v="2796"/>
    <x v="2581"/>
    <x v="0"/>
    <x v="2778"/>
    <x v="2803"/>
    <x v="703"/>
    <x v="0"/>
    <x v="0"/>
    <x v="4"/>
    <x v="185"/>
    <x v="14"/>
    <x v="451"/>
    <x v="16"/>
    <x v="3"/>
    <x v="61"/>
  </r>
  <r>
    <x v="0"/>
    <x v="940"/>
    <x v="372"/>
    <x v="71"/>
    <x v="89"/>
    <x v="54"/>
    <x v="572"/>
    <x v="2611"/>
    <x v="189"/>
    <x v="1094"/>
    <x v="1685"/>
    <x v="1241"/>
    <x v="2804"/>
    <x v="2797"/>
    <x v="2582"/>
    <x v="1"/>
    <x v="2779"/>
    <x v="2804"/>
    <x v="552"/>
    <x v="0"/>
    <x v="0"/>
    <x v="2"/>
    <x v="185"/>
    <x v="21"/>
    <x v="104"/>
    <x v="41"/>
    <x v="3"/>
    <x v="1"/>
  </r>
  <r>
    <x v="0"/>
    <x v="1193"/>
    <x v="447"/>
    <x v="85"/>
    <x v="184"/>
    <x v="387"/>
    <x v="0"/>
    <x v="2612"/>
    <x v="105"/>
    <x v="481"/>
    <x v="1686"/>
    <x v="547"/>
    <x v="2805"/>
    <x v="2798"/>
    <x v="2583"/>
    <x v="12"/>
    <x v="2780"/>
    <x v="2805"/>
    <x v="646"/>
    <x v="0"/>
    <x v="0"/>
    <x v="0"/>
    <x v="185"/>
    <x v="1"/>
    <x v="782"/>
    <x v="9"/>
    <x v="1"/>
    <x v="1"/>
  </r>
  <r>
    <x v="0"/>
    <x v="950"/>
    <x v="399"/>
    <x v="55"/>
    <x v="50"/>
    <x v="811"/>
    <x v="573"/>
    <x v="2613"/>
    <x v="683"/>
    <x v="1095"/>
    <x v="1687"/>
    <x v="2019"/>
    <x v="2806"/>
    <x v="1611"/>
    <x v="1956"/>
    <x v="4"/>
    <x v="2781"/>
    <x v="2806"/>
    <x v="352"/>
    <x v="0"/>
    <x v="0"/>
    <x v="2"/>
    <x v="135"/>
    <x v="15"/>
    <x v="783"/>
    <x v="73"/>
    <x v="3"/>
    <x v="1"/>
  </r>
  <r>
    <x v="0"/>
    <x v="1194"/>
    <x v="394"/>
    <x v="43"/>
    <x v="85"/>
    <x v="51"/>
    <x v="272"/>
    <x v="2614"/>
    <x v="26"/>
    <x v="496"/>
    <x v="1688"/>
    <x v="2020"/>
    <x v="2807"/>
    <x v="2799"/>
    <x v="2584"/>
    <x v="7"/>
    <x v="2782"/>
    <x v="2807"/>
    <x v="352"/>
    <x v="0"/>
    <x v="0"/>
    <x v="4"/>
    <x v="185"/>
    <x v="20"/>
    <x v="723"/>
    <x v="9"/>
    <x v="3"/>
    <x v="509"/>
  </r>
  <r>
    <x v="0"/>
    <x v="1195"/>
    <x v="429"/>
    <x v="7"/>
    <x v="5"/>
    <x v="145"/>
    <x v="337"/>
    <x v="2615"/>
    <x v="301"/>
    <x v="607"/>
    <x v="795"/>
    <x v="2021"/>
    <x v="2808"/>
    <x v="2800"/>
    <x v="2087"/>
    <x v="1"/>
    <x v="2783"/>
    <x v="2808"/>
    <x v="427"/>
    <x v="0"/>
    <x v="0"/>
    <x v="2"/>
    <x v="185"/>
    <x v="25"/>
    <x v="108"/>
    <x v="18"/>
    <x v="3"/>
    <x v="513"/>
  </r>
  <r>
    <x v="0"/>
    <x v="1196"/>
    <x v="349"/>
    <x v="151"/>
    <x v="78"/>
    <x v="825"/>
    <x v="574"/>
    <x v="2616"/>
    <x v="471"/>
    <x v="1096"/>
    <x v="1689"/>
    <x v="2022"/>
    <x v="2809"/>
    <x v="2801"/>
    <x v="2585"/>
    <x v="0"/>
    <x v="2784"/>
    <x v="2809"/>
    <x v="690"/>
    <x v="0"/>
    <x v="0"/>
    <x v="4"/>
    <x v="185"/>
    <x v="22"/>
    <x v="348"/>
    <x v="20"/>
    <x v="3"/>
    <x v="1"/>
  </r>
  <r>
    <x v="0"/>
    <x v="1197"/>
    <x v="459"/>
    <x v="95"/>
    <x v="69"/>
    <x v="382"/>
    <x v="0"/>
    <x v="2617"/>
    <x v="111"/>
    <x v="995"/>
    <x v="1690"/>
    <x v="2023"/>
    <x v="2810"/>
    <x v="2802"/>
    <x v="891"/>
    <x v="4"/>
    <x v="2785"/>
    <x v="2810"/>
    <x v="591"/>
    <x v="0"/>
    <x v="0"/>
    <x v="0"/>
    <x v="233"/>
    <x v="11"/>
    <x v="218"/>
    <x v="23"/>
    <x v="1"/>
    <x v="1"/>
  </r>
  <r>
    <x v="0"/>
    <x v="291"/>
    <x v="162"/>
    <x v="51"/>
    <x v="0"/>
    <x v="331"/>
    <x v="35"/>
    <x v="2618"/>
    <x v="429"/>
    <x v="112"/>
    <x v="184"/>
    <x v="489"/>
    <x v="2811"/>
    <x v="2803"/>
    <x v="2586"/>
    <x v="0"/>
    <x v="2786"/>
    <x v="2811"/>
    <x v="892"/>
    <x v="0"/>
    <x v="0"/>
    <x v="4"/>
    <x v="135"/>
    <x v="1"/>
    <x v="125"/>
    <x v="13"/>
    <x v="3"/>
    <x v="35"/>
  </r>
  <r>
    <x v="1"/>
    <x v="1198"/>
    <x v="508"/>
    <x v="26"/>
    <x v="346"/>
    <x v="257"/>
    <x v="563"/>
    <x v="2619"/>
    <x v="178"/>
    <x v="1097"/>
    <x v="1691"/>
    <x v="2024"/>
    <x v="2812"/>
    <x v="2804"/>
    <x v="2587"/>
    <x v="0"/>
    <x v="2787"/>
    <x v="2812"/>
    <x v="331"/>
    <x v="0"/>
    <x v="1"/>
    <x v="4"/>
    <x v="159"/>
    <x v="2"/>
    <x v="311"/>
    <x v="16"/>
    <x v="1"/>
    <x v="514"/>
  </r>
  <r>
    <x v="0"/>
    <x v="174"/>
    <x v="354"/>
    <x v="52"/>
    <x v="0"/>
    <x v="65"/>
    <x v="443"/>
    <x v="2620"/>
    <x v="487"/>
    <x v="805"/>
    <x v="1692"/>
    <x v="81"/>
    <x v="2813"/>
    <x v="2805"/>
    <x v="2588"/>
    <x v="4"/>
    <x v="2788"/>
    <x v="2813"/>
    <x v="893"/>
    <x v="0"/>
    <x v="0"/>
    <x v="4"/>
    <x v="185"/>
    <x v="15"/>
    <x v="14"/>
    <x v="6"/>
    <x v="3"/>
    <x v="1"/>
  </r>
  <r>
    <x v="0"/>
    <x v="1199"/>
    <x v="361"/>
    <x v="78"/>
    <x v="143"/>
    <x v="417"/>
    <x v="206"/>
    <x v="2621"/>
    <x v="127"/>
    <x v="558"/>
    <x v="174"/>
    <x v="1086"/>
    <x v="2814"/>
    <x v="2806"/>
    <x v="2589"/>
    <x v="4"/>
    <x v="2789"/>
    <x v="2814"/>
    <x v="755"/>
    <x v="0"/>
    <x v="0"/>
    <x v="4"/>
    <x v="224"/>
    <x v="18"/>
    <x v="118"/>
    <x v="9"/>
    <x v="3"/>
    <x v="218"/>
  </r>
  <r>
    <x v="0"/>
    <x v="147"/>
    <x v="356"/>
    <x v="43"/>
    <x v="89"/>
    <x v="36"/>
    <x v="575"/>
    <x v="2622"/>
    <x v="684"/>
    <x v="1098"/>
    <x v="1693"/>
    <x v="2025"/>
    <x v="2815"/>
    <x v="2807"/>
    <x v="2590"/>
    <x v="0"/>
    <x v="2790"/>
    <x v="2815"/>
    <x v="585"/>
    <x v="0"/>
    <x v="0"/>
    <x v="2"/>
    <x v="185"/>
    <x v="11"/>
    <x v="634"/>
    <x v="27"/>
    <x v="3"/>
    <x v="1"/>
  </r>
  <r>
    <x v="0"/>
    <x v="472"/>
    <x v="274"/>
    <x v="24"/>
    <x v="245"/>
    <x v="193"/>
    <x v="41"/>
    <x v="2623"/>
    <x v="17"/>
    <x v="396"/>
    <x v="488"/>
    <x v="2026"/>
    <x v="2816"/>
    <x v="2808"/>
    <x v="2591"/>
    <x v="4"/>
    <x v="2791"/>
    <x v="2816"/>
    <x v="314"/>
    <x v="0"/>
    <x v="0"/>
    <x v="0"/>
    <x v="137"/>
    <x v="18"/>
    <x v="30"/>
    <x v="12"/>
    <x v="3"/>
    <x v="1"/>
  </r>
  <r>
    <x v="0"/>
    <x v="326"/>
    <x v="24"/>
    <x v="8"/>
    <x v="121"/>
    <x v="173"/>
    <x v="308"/>
    <x v="2624"/>
    <x v="156"/>
    <x v="1099"/>
    <x v="1694"/>
    <x v="2027"/>
    <x v="2817"/>
    <x v="2809"/>
    <x v="2592"/>
    <x v="0"/>
    <x v="2792"/>
    <x v="2817"/>
    <x v="271"/>
    <x v="2"/>
    <x v="0"/>
    <x v="4"/>
    <x v="166"/>
    <x v="7"/>
    <x v="326"/>
    <x v="0"/>
    <x v="1"/>
    <x v="9"/>
  </r>
  <r>
    <x v="0"/>
    <x v="1200"/>
    <x v="316"/>
    <x v="27"/>
    <x v="62"/>
    <x v="107"/>
    <x v="6"/>
    <x v="2625"/>
    <x v="47"/>
    <x v="6"/>
    <x v="942"/>
    <x v="2028"/>
    <x v="2818"/>
    <x v="2810"/>
    <x v="2593"/>
    <x v="0"/>
    <x v="2793"/>
    <x v="2818"/>
    <x v="528"/>
    <x v="0"/>
    <x v="0"/>
    <x v="2"/>
    <x v="185"/>
    <x v="7"/>
    <x v="413"/>
    <x v="22"/>
    <x v="1"/>
    <x v="515"/>
  </r>
  <r>
    <x v="0"/>
    <x v="1201"/>
    <x v="430"/>
    <x v="95"/>
    <x v="174"/>
    <x v="299"/>
    <x v="0"/>
    <x v="2626"/>
    <x v="127"/>
    <x v="285"/>
    <x v="102"/>
    <x v="394"/>
    <x v="2819"/>
    <x v="2811"/>
    <x v="2594"/>
    <x v="0"/>
    <x v="2794"/>
    <x v="2819"/>
    <x v="822"/>
    <x v="0"/>
    <x v="0"/>
    <x v="4"/>
    <x v="185"/>
    <x v="20"/>
    <x v="72"/>
    <x v="45"/>
    <x v="2"/>
    <x v="309"/>
  </r>
  <r>
    <x v="0"/>
    <x v="1202"/>
    <x v="56"/>
    <x v="34"/>
    <x v="348"/>
    <x v="580"/>
    <x v="447"/>
    <x v="2627"/>
    <x v="270"/>
    <x v="950"/>
    <x v="1695"/>
    <x v="2029"/>
    <x v="2820"/>
    <x v="2812"/>
    <x v="2595"/>
    <x v="0"/>
    <x v="2795"/>
    <x v="2820"/>
    <x v="268"/>
    <x v="0"/>
    <x v="25"/>
    <x v="4"/>
    <x v="185"/>
    <x v="2"/>
    <x v="588"/>
    <x v="24"/>
    <x v="1"/>
    <x v="19"/>
  </r>
  <r>
    <x v="0"/>
    <x v="1203"/>
    <x v="424"/>
    <x v="87"/>
    <x v="349"/>
    <x v="92"/>
    <x v="444"/>
    <x v="2628"/>
    <x v="125"/>
    <x v="1100"/>
    <x v="1696"/>
    <x v="2030"/>
    <x v="2821"/>
    <x v="2813"/>
    <x v="1692"/>
    <x v="0"/>
    <x v="2796"/>
    <x v="2821"/>
    <x v="426"/>
    <x v="0"/>
    <x v="4"/>
    <x v="0"/>
    <x v="185"/>
    <x v="20"/>
    <x v="570"/>
    <x v="21"/>
    <x v="3"/>
    <x v="516"/>
  </r>
  <r>
    <x v="0"/>
    <x v="1204"/>
    <x v="460"/>
    <x v="54"/>
    <x v="0"/>
    <x v="473"/>
    <x v="573"/>
    <x v="2629"/>
    <x v="408"/>
    <x v="1095"/>
    <x v="786"/>
    <x v="1285"/>
    <x v="2822"/>
    <x v="2814"/>
    <x v="2190"/>
    <x v="2"/>
    <x v="2797"/>
    <x v="2822"/>
    <x v="653"/>
    <x v="0"/>
    <x v="0"/>
    <x v="4"/>
    <x v="185"/>
    <x v="24"/>
    <x v="469"/>
    <x v="10"/>
    <x v="10"/>
    <x v="67"/>
  </r>
  <r>
    <x v="0"/>
    <x v="922"/>
    <x v="225"/>
    <x v="50"/>
    <x v="129"/>
    <x v="6"/>
    <x v="17"/>
    <x v="2630"/>
    <x v="125"/>
    <x v="32"/>
    <x v="229"/>
    <x v="6"/>
    <x v="2823"/>
    <x v="2815"/>
    <x v="2596"/>
    <x v="4"/>
    <x v="2798"/>
    <x v="2823"/>
    <x v="191"/>
    <x v="0"/>
    <x v="10"/>
    <x v="0"/>
    <x v="185"/>
    <x v="15"/>
    <x v="135"/>
    <x v="9"/>
    <x v="3"/>
    <x v="1"/>
  </r>
  <r>
    <x v="0"/>
    <x v="738"/>
    <x v="4"/>
    <x v="76"/>
    <x v="199"/>
    <x v="503"/>
    <x v="72"/>
    <x v="4"/>
    <x v="86"/>
    <x v="1101"/>
    <x v="1697"/>
    <x v="2031"/>
    <x v="2824"/>
    <x v="2816"/>
    <x v="2597"/>
    <x v="0"/>
    <x v="4"/>
    <x v="2824"/>
    <x v="4"/>
    <x v="23"/>
    <x v="36"/>
    <x v="1"/>
    <x v="4"/>
    <x v="4"/>
    <x v="257"/>
    <x v="14"/>
    <x v="2"/>
    <x v="517"/>
  </r>
  <r>
    <x v="0"/>
    <x v="1205"/>
    <x v="347"/>
    <x v="77"/>
    <x v="143"/>
    <x v="536"/>
    <x v="22"/>
    <x v="2631"/>
    <x v="306"/>
    <x v="169"/>
    <x v="638"/>
    <x v="881"/>
    <x v="2825"/>
    <x v="2817"/>
    <x v="2598"/>
    <x v="3"/>
    <x v="2799"/>
    <x v="2825"/>
    <x v="592"/>
    <x v="0"/>
    <x v="0"/>
    <x v="4"/>
    <x v="185"/>
    <x v="15"/>
    <x v="30"/>
    <x v="19"/>
    <x v="3"/>
    <x v="477"/>
  </r>
  <r>
    <x v="0"/>
    <x v="1206"/>
    <x v="315"/>
    <x v="61"/>
    <x v="5"/>
    <x v="157"/>
    <x v="41"/>
    <x v="2632"/>
    <x v="419"/>
    <x v="111"/>
    <x v="1296"/>
    <x v="193"/>
    <x v="2826"/>
    <x v="2818"/>
    <x v="2599"/>
    <x v="2"/>
    <x v="2800"/>
    <x v="2826"/>
    <x v="339"/>
    <x v="0"/>
    <x v="0"/>
    <x v="4"/>
    <x v="185"/>
    <x v="20"/>
    <x v="399"/>
    <x v="27"/>
    <x v="3"/>
    <x v="1"/>
  </r>
  <r>
    <x v="0"/>
    <x v="1207"/>
    <x v="276"/>
    <x v="95"/>
    <x v="216"/>
    <x v="113"/>
    <x v="10"/>
    <x v="2633"/>
    <x v="685"/>
    <x v="40"/>
    <x v="1421"/>
    <x v="1981"/>
    <x v="2827"/>
    <x v="2819"/>
    <x v="2600"/>
    <x v="0"/>
    <x v="2801"/>
    <x v="2827"/>
    <x v="339"/>
    <x v="0"/>
    <x v="0"/>
    <x v="0"/>
    <x v="185"/>
    <x v="18"/>
    <x v="15"/>
    <x v="23"/>
    <x v="1"/>
    <x v="1"/>
  </r>
  <r>
    <x v="0"/>
    <x v="1208"/>
    <x v="387"/>
    <x v="41"/>
    <x v="106"/>
    <x v="120"/>
    <x v="362"/>
    <x v="2634"/>
    <x v="408"/>
    <x v="658"/>
    <x v="1670"/>
    <x v="1347"/>
    <x v="2828"/>
    <x v="2820"/>
    <x v="1708"/>
    <x v="1"/>
    <x v="2802"/>
    <x v="2828"/>
    <x v="757"/>
    <x v="0"/>
    <x v="1"/>
    <x v="4"/>
    <x v="185"/>
    <x v="18"/>
    <x v="303"/>
    <x v="9"/>
    <x v="1"/>
    <x v="518"/>
  </r>
  <r>
    <x v="0"/>
    <x v="903"/>
    <x v="188"/>
    <x v="41"/>
    <x v="192"/>
    <x v="771"/>
    <x v="576"/>
    <x v="2635"/>
    <x v="125"/>
    <x v="1102"/>
    <x v="1698"/>
    <x v="2032"/>
    <x v="2829"/>
    <x v="2821"/>
    <x v="1825"/>
    <x v="0"/>
    <x v="2803"/>
    <x v="2829"/>
    <x v="591"/>
    <x v="0"/>
    <x v="0"/>
    <x v="4"/>
    <x v="185"/>
    <x v="9"/>
    <x v="629"/>
    <x v="18"/>
    <x v="1"/>
    <x v="59"/>
  </r>
  <r>
    <x v="0"/>
    <x v="1209"/>
    <x v="159"/>
    <x v="60"/>
    <x v="95"/>
    <x v="457"/>
    <x v="25"/>
    <x v="2636"/>
    <x v="105"/>
    <x v="26"/>
    <x v="793"/>
    <x v="2033"/>
    <x v="2830"/>
    <x v="2822"/>
    <x v="2601"/>
    <x v="0"/>
    <x v="2804"/>
    <x v="2830"/>
    <x v="400"/>
    <x v="3"/>
    <x v="10"/>
    <x v="4"/>
    <x v="185"/>
    <x v="7"/>
    <x v="445"/>
    <x v="11"/>
    <x v="3"/>
    <x v="1"/>
  </r>
  <r>
    <x v="0"/>
    <x v="381"/>
    <x v="209"/>
    <x v="52"/>
    <x v="19"/>
    <x v="558"/>
    <x v="401"/>
    <x v="2637"/>
    <x v="291"/>
    <x v="727"/>
    <x v="1699"/>
    <x v="2034"/>
    <x v="2831"/>
    <x v="2823"/>
    <x v="2602"/>
    <x v="1"/>
    <x v="2805"/>
    <x v="2831"/>
    <x v="247"/>
    <x v="0"/>
    <x v="0"/>
    <x v="0"/>
    <x v="185"/>
    <x v="1"/>
    <x v="549"/>
    <x v="2"/>
    <x v="1"/>
    <x v="261"/>
  </r>
  <r>
    <x v="0"/>
    <x v="166"/>
    <x v="322"/>
    <x v="86"/>
    <x v="8"/>
    <x v="564"/>
    <x v="35"/>
    <x v="2638"/>
    <x v="105"/>
    <x v="653"/>
    <x v="1700"/>
    <x v="1851"/>
    <x v="2832"/>
    <x v="2824"/>
    <x v="1483"/>
    <x v="4"/>
    <x v="2806"/>
    <x v="2832"/>
    <x v="499"/>
    <x v="0"/>
    <x v="0"/>
    <x v="0"/>
    <x v="185"/>
    <x v="9"/>
    <x v="347"/>
    <x v="20"/>
    <x v="1"/>
    <x v="9"/>
  </r>
  <r>
    <x v="0"/>
    <x v="1210"/>
    <x v="258"/>
    <x v="52"/>
    <x v="224"/>
    <x v="316"/>
    <x v="35"/>
    <x v="2639"/>
    <x v="17"/>
    <x v="684"/>
    <x v="1701"/>
    <x v="2035"/>
    <x v="2833"/>
    <x v="2825"/>
    <x v="2367"/>
    <x v="1"/>
    <x v="2807"/>
    <x v="2833"/>
    <x v="212"/>
    <x v="3"/>
    <x v="10"/>
    <x v="4"/>
    <x v="32"/>
    <x v="21"/>
    <x v="89"/>
    <x v="11"/>
    <x v="1"/>
    <x v="519"/>
  </r>
  <r>
    <x v="0"/>
    <x v="842"/>
    <x v="84"/>
    <x v="45"/>
    <x v="310"/>
    <x v="413"/>
    <x v="21"/>
    <x v="2640"/>
    <x v="260"/>
    <x v="22"/>
    <x v="1702"/>
    <x v="2036"/>
    <x v="2834"/>
    <x v="2826"/>
    <x v="2603"/>
    <x v="4"/>
    <x v="2808"/>
    <x v="2834"/>
    <x v="690"/>
    <x v="0"/>
    <x v="0"/>
    <x v="4"/>
    <x v="190"/>
    <x v="0"/>
    <x v="784"/>
    <x v="22"/>
    <x v="3"/>
    <x v="1"/>
  </r>
  <r>
    <x v="0"/>
    <x v="1211"/>
    <x v="152"/>
    <x v="43"/>
    <x v="61"/>
    <x v="370"/>
    <x v="33"/>
    <x v="2641"/>
    <x v="539"/>
    <x v="149"/>
    <x v="1703"/>
    <x v="2037"/>
    <x v="2835"/>
    <x v="2827"/>
    <x v="1420"/>
    <x v="3"/>
    <x v="2809"/>
    <x v="2835"/>
    <x v="786"/>
    <x v="0"/>
    <x v="0"/>
    <x v="4"/>
    <x v="185"/>
    <x v="25"/>
    <x v="700"/>
    <x v="18"/>
    <x v="3"/>
    <x v="520"/>
  </r>
  <r>
    <x v="0"/>
    <x v="474"/>
    <x v="259"/>
    <x v="72"/>
    <x v="246"/>
    <x v="1"/>
    <x v="24"/>
    <x v="1746"/>
    <x v="306"/>
    <x v="131"/>
    <x v="330"/>
    <x v="302"/>
    <x v="1835"/>
    <x v="2828"/>
    <x v="2604"/>
    <x v="0"/>
    <x v="1824"/>
    <x v="1835"/>
    <x v="781"/>
    <x v="0"/>
    <x v="0"/>
    <x v="4"/>
    <x v="140"/>
    <x v="0"/>
    <x v="28"/>
    <x v="1"/>
    <x v="1"/>
    <x v="7"/>
  </r>
  <r>
    <x v="0"/>
    <x v="859"/>
    <x v="160"/>
    <x v="31"/>
    <x v="0"/>
    <x v="232"/>
    <x v="13"/>
    <x v="2642"/>
    <x v="140"/>
    <x v="13"/>
    <x v="84"/>
    <x v="1336"/>
    <x v="2836"/>
    <x v="2829"/>
    <x v="2605"/>
    <x v="4"/>
    <x v="2810"/>
    <x v="2836"/>
    <x v="586"/>
    <x v="0"/>
    <x v="8"/>
    <x v="4"/>
    <x v="185"/>
    <x v="7"/>
    <x v="20"/>
    <x v="1"/>
    <x v="3"/>
    <x v="1"/>
  </r>
  <r>
    <x v="0"/>
    <x v="1212"/>
    <x v="495"/>
    <x v="58"/>
    <x v="350"/>
    <x v="151"/>
    <x v="94"/>
    <x v="2643"/>
    <x v="17"/>
    <x v="187"/>
    <x v="1704"/>
    <x v="2038"/>
    <x v="2837"/>
    <x v="2830"/>
    <x v="2606"/>
    <x v="4"/>
    <x v="2811"/>
    <x v="2837"/>
    <x v="424"/>
    <x v="0"/>
    <x v="0"/>
    <x v="0"/>
    <x v="185"/>
    <x v="3"/>
    <x v="13"/>
    <x v="25"/>
    <x v="3"/>
    <x v="392"/>
  </r>
  <r>
    <x v="0"/>
    <x v="1213"/>
    <x v="307"/>
    <x v="101"/>
    <x v="195"/>
    <x v="826"/>
    <x v="262"/>
    <x v="2644"/>
    <x v="97"/>
    <x v="1103"/>
    <x v="1705"/>
    <x v="2039"/>
    <x v="2838"/>
    <x v="2831"/>
    <x v="2458"/>
    <x v="1"/>
    <x v="2812"/>
    <x v="2838"/>
    <x v="790"/>
    <x v="0"/>
    <x v="0"/>
    <x v="4"/>
    <x v="119"/>
    <x v="27"/>
    <x v="653"/>
    <x v="37"/>
    <x v="3"/>
    <x v="521"/>
  </r>
  <r>
    <x v="0"/>
    <x v="860"/>
    <x v="309"/>
    <x v="34"/>
    <x v="186"/>
    <x v="227"/>
    <x v="35"/>
    <x v="2645"/>
    <x v="130"/>
    <x v="112"/>
    <x v="1706"/>
    <x v="1217"/>
    <x v="2839"/>
    <x v="2832"/>
    <x v="2607"/>
    <x v="2"/>
    <x v="2813"/>
    <x v="2839"/>
    <x v="386"/>
    <x v="0"/>
    <x v="0"/>
    <x v="4"/>
    <x v="185"/>
    <x v="7"/>
    <x v="60"/>
    <x v="1"/>
    <x v="3"/>
    <x v="1"/>
  </r>
  <r>
    <x v="0"/>
    <x v="790"/>
    <x v="184"/>
    <x v="69"/>
    <x v="303"/>
    <x v="720"/>
    <x v="21"/>
    <x v="2646"/>
    <x v="304"/>
    <x v="174"/>
    <x v="1349"/>
    <x v="1420"/>
    <x v="2840"/>
    <x v="2833"/>
    <x v="2608"/>
    <x v="2"/>
    <x v="2814"/>
    <x v="2840"/>
    <x v="578"/>
    <x v="0"/>
    <x v="1"/>
    <x v="4"/>
    <x v="78"/>
    <x v="21"/>
    <x v="691"/>
    <x v="12"/>
    <x v="1"/>
    <x v="388"/>
  </r>
  <r>
    <x v="0"/>
    <x v="396"/>
    <x v="197"/>
    <x v="43"/>
    <x v="224"/>
    <x v="20"/>
    <x v="22"/>
    <x v="2647"/>
    <x v="381"/>
    <x v="153"/>
    <x v="443"/>
    <x v="2040"/>
    <x v="2841"/>
    <x v="2834"/>
    <x v="2609"/>
    <x v="0"/>
    <x v="2815"/>
    <x v="2841"/>
    <x v="327"/>
    <x v="0"/>
    <x v="0"/>
    <x v="0"/>
    <x v="234"/>
    <x v="2"/>
    <x v="30"/>
    <x v="33"/>
    <x v="3"/>
    <x v="1"/>
  </r>
  <r>
    <x v="0"/>
    <x v="1214"/>
    <x v="509"/>
    <x v="76"/>
    <x v="296"/>
    <x v="499"/>
    <x v="0"/>
    <x v="2648"/>
    <x v="475"/>
    <x v="1104"/>
    <x v="1707"/>
    <x v="2041"/>
    <x v="2842"/>
    <x v="2835"/>
    <x v="2610"/>
    <x v="5"/>
    <x v="2816"/>
    <x v="2842"/>
    <x v="209"/>
    <x v="0"/>
    <x v="1"/>
    <x v="4"/>
    <x v="185"/>
    <x v="10"/>
    <x v="785"/>
    <x v="4"/>
    <x v="1"/>
    <x v="45"/>
  </r>
  <r>
    <x v="0"/>
    <x v="325"/>
    <x v="382"/>
    <x v="46"/>
    <x v="201"/>
    <x v="177"/>
    <x v="577"/>
    <x v="2649"/>
    <x v="387"/>
    <x v="1105"/>
    <x v="1708"/>
    <x v="2042"/>
    <x v="2843"/>
    <x v="2836"/>
    <x v="2611"/>
    <x v="0"/>
    <x v="2817"/>
    <x v="2843"/>
    <x v="454"/>
    <x v="27"/>
    <x v="0"/>
    <x v="4"/>
    <x v="185"/>
    <x v="10"/>
    <x v="761"/>
    <x v="44"/>
    <x v="1"/>
    <x v="1"/>
  </r>
  <r>
    <x v="0"/>
    <x v="1142"/>
    <x v="456"/>
    <x v="50"/>
    <x v="322"/>
    <x v="204"/>
    <x v="99"/>
    <x v="2650"/>
    <x v="111"/>
    <x v="178"/>
    <x v="1709"/>
    <x v="257"/>
    <x v="2844"/>
    <x v="2837"/>
    <x v="2612"/>
    <x v="0"/>
    <x v="2818"/>
    <x v="2844"/>
    <x v="728"/>
    <x v="0"/>
    <x v="0"/>
    <x v="4"/>
    <x v="185"/>
    <x v="9"/>
    <x v="460"/>
    <x v="10"/>
    <x v="3"/>
    <x v="33"/>
  </r>
  <r>
    <x v="0"/>
    <x v="1215"/>
    <x v="412"/>
    <x v="69"/>
    <x v="211"/>
    <x v="272"/>
    <x v="21"/>
    <x v="2651"/>
    <x v="71"/>
    <x v="22"/>
    <x v="1710"/>
    <x v="2043"/>
    <x v="2845"/>
    <x v="2838"/>
    <x v="2613"/>
    <x v="1"/>
    <x v="4"/>
    <x v="2845"/>
    <x v="326"/>
    <x v="0"/>
    <x v="18"/>
    <x v="1"/>
    <x v="235"/>
    <x v="6"/>
    <x v="479"/>
    <x v="2"/>
    <x v="2"/>
    <x v="522"/>
  </r>
  <r>
    <x v="0"/>
    <x v="1216"/>
    <x v="258"/>
    <x v="78"/>
    <x v="0"/>
    <x v="744"/>
    <x v="546"/>
    <x v="2652"/>
    <x v="686"/>
    <x v="1106"/>
    <x v="1711"/>
    <x v="1542"/>
    <x v="2846"/>
    <x v="2839"/>
    <x v="2614"/>
    <x v="0"/>
    <x v="2819"/>
    <x v="2846"/>
    <x v="170"/>
    <x v="0"/>
    <x v="5"/>
    <x v="2"/>
    <x v="185"/>
    <x v="19"/>
    <x v="786"/>
    <x v="28"/>
    <x v="1"/>
    <x v="430"/>
  </r>
  <r>
    <x v="0"/>
    <x v="330"/>
    <x v="354"/>
    <x v="58"/>
    <x v="171"/>
    <x v="41"/>
    <x v="578"/>
    <x v="2653"/>
    <x v="687"/>
    <x v="1107"/>
    <x v="1712"/>
    <x v="2044"/>
    <x v="2847"/>
    <x v="2840"/>
    <x v="2615"/>
    <x v="0"/>
    <x v="2820"/>
    <x v="2847"/>
    <x v="402"/>
    <x v="0"/>
    <x v="10"/>
    <x v="4"/>
    <x v="185"/>
    <x v="0"/>
    <x v="482"/>
    <x v="4"/>
    <x v="3"/>
    <x v="59"/>
  </r>
  <r>
    <x v="0"/>
    <x v="223"/>
    <x v="219"/>
    <x v="7"/>
    <x v="37"/>
    <x v="119"/>
    <x v="367"/>
    <x v="4"/>
    <x v="172"/>
    <x v="1108"/>
    <x v="1713"/>
    <x v="2045"/>
    <x v="2848"/>
    <x v="2841"/>
    <x v="2615"/>
    <x v="0"/>
    <x v="2821"/>
    <x v="2848"/>
    <x v="793"/>
    <x v="28"/>
    <x v="4"/>
    <x v="4"/>
    <x v="188"/>
    <x v="37"/>
    <x v="684"/>
    <x v="38"/>
    <x v="1"/>
    <x v="1"/>
  </r>
  <r>
    <x v="0"/>
    <x v="1098"/>
    <x v="313"/>
    <x v="85"/>
    <x v="315"/>
    <x v="462"/>
    <x v="11"/>
    <x v="2654"/>
    <x v="113"/>
    <x v="156"/>
    <x v="961"/>
    <x v="1259"/>
    <x v="2849"/>
    <x v="2842"/>
    <x v="2616"/>
    <x v="0"/>
    <x v="2822"/>
    <x v="2849"/>
    <x v="757"/>
    <x v="0"/>
    <x v="0"/>
    <x v="0"/>
    <x v="188"/>
    <x v="19"/>
    <x v="56"/>
    <x v="11"/>
    <x v="1"/>
    <x v="1"/>
  </r>
  <r>
    <x v="0"/>
    <x v="788"/>
    <x v="383"/>
    <x v="56"/>
    <x v="142"/>
    <x v="665"/>
    <x v="57"/>
    <x v="2655"/>
    <x v="270"/>
    <x v="1109"/>
    <x v="1201"/>
    <x v="2046"/>
    <x v="2850"/>
    <x v="2843"/>
    <x v="2617"/>
    <x v="1"/>
    <x v="2823"/>
    <x v="2850"/>
    <x v="301"/>
    <x v="0"/>
    <x v="0"/>
    <x v="0"/>
    <x v="188"/>
    <x v="19"/>
    <x v="66"/>
    <x v="8"/>
    <x v="3"/>
    <x v="1"/>
  </r>
  <r>
    <x v="0"/>
    <x v="165"/>
    <x v="270"/>
    <x v="61"/>
    <x v="119"/>
    <x v="380"/>
    <x v="2"/>
    <x v="2656"/>
    <x v="400"/>
    <x v="75"/>
    <x v="117"/>
    <x v="1197"/>
    <x v="2851"/>
    <x v="2844"/>
    <x v="2618"/>
    <x v="3"/>
    <x v="2824"/>
    <x v="2851"/>
    <x v="680"/>
    <x v="0"/>
    <x v="0"/>
    <x v="4"/>
    <x v="185"/>
    <x v="27"/>
    <x v="10"/>
    <x v="25"/>
    <x v="1"/>
    <x v="61"/>
  </r>
  <r>
    <x v="0"/>
    <x v="1217"/>
    <x v="343"/>
    <x v="70"/>
    <x v="52"/>
    <x v="1"/>
    <x v="18"/>
    <x v="4"/>
    <x v="377"/>
    <x v="144"/>
    <x v="1714"/>
    <x v="2047"/>
    <x v="2852"/>
    <x v="2845"/>
    <x v="2619"/>
    <x v="1"/>
    <x v="2825"/>
    <x v="2852"/>
    <x v="816"/>
    <x v="0"/>
    <x v="8"/>
    <x v="10"/>
    <x v="236"/>
    <x v="5"/>
    <x v="12"/>
    <x v="21"/>
    <x v="1"/>
    <x v="1"/>
  </r>
  <r>
    <x v="0"/>
    <x v="1123"/>
    <x v="293"/>
    <x v="7"/>
    <x v="267"/>
    <x v="345"/>
    <x v="11"/>
    <x v="2657"/>
    <x v="241"/>
    <x v="11"/>
    <x v="557"/>
    <x v="2048"/>
    <x v="2853"/>
    <x v="2846"/>
    <x v="2620"/>
    <x v="1"/>
    <x v="2826"/>
    <x v="2853"/>
    <x v="787"/>
    <x v="0"/>
    <x v="0"/>
    <x v="4"/>
    <x v="188"/>
    <x v="29"/>
    <x v="20"/>
    <x v="6"/>
    <x v="1"/>
    <x v="1"/>
  </r>
  <r>
    <x v="0"/>
    <x v="790"/>
    <x v="117"/>
    <x v="56"/>
    <x v="303"/>
    <x v="441"/>
    <x v="347"/>
    <x v="2658"/>
    <x v="168"/>
    <x v="622"/>
    <x v="545"/>
    <x v="1426"/>
    <x v="2854"/>
    <x v="2847"/>
    <x v="2621"/>
    <x v="0"/>
    <x v="2827"/>
    <x v="2854"/>
    <x v="538"/>
    <x v="0"/>
    <x v="0"/>
    <x v="4"/>
    <x v="185"/>
    <x v="5"/>
    <x v="354"/>
    <x v="9"/>
    <x v="1"/>
    <x v="1"/>
  </r>
  <r>
    <x v="0"/>
    <x v="1218"/>
    <x v="335"/>
    <x v="41"/>
    <x v="351"/>
    <x v="306"/>
    <x v="56"/>
    <x v="4"/>
    <x v="560"/>
    <x v="98"/>
    <x v="225"/>
    <x v="478"/>
    <x v="2855"/>
    <x v="2848"/>
    <x v="2622"/>
    <x v="1"/>
    <x v="2828"/>
    <x v="2855"/>
    <x v="170"/>
    <x v="0"/>
    <x v="0"/>
    <x v="4"/>
    <x v="135"/>
    <x v="26"/>
    <x v="153"/>
    <x v="9"/>
    <x v="3"/>
    <x v="1"/>
  </r>
  <r>
    <x v="0"/>
    <x v="1219"/>
    <x v="111"/>
    <x v="59"/>
    <x v="123"/>
    <x v="620"/>
    <x v="0"/>
    <x v="2659"/>
    <x v="364"/>
    <x v="1110"/>
    <x v="1715"/>
    <x v="2049"/>
    <x v="2856"/>
    <x v="2849"/>
    <x v="1421"/>
    <x v="4"/>
    <x v="2829"/>
    <x v="2856"/>
    <x v="189"/>
    <x v="0"/>
    <x v="0"/>
    <x v="4"/>
    <x v="178"/>
    <x v="0"/>
    <x v="355"/>
    <x v="37"/>
    <x v="1"/>
    <x v="1"/>
  </r>
  <r>
    <x v="1"/>
    <x v="1220"/>
    <x v="478"/>
    <x v="59"/>
    <x v="107"/>
    <x v="250"/>
    <x v="95"/>
    <x v="4"/>
    <x v="185"/>
    <x v="1111"/>
    <x v="1716"/>
    <x v="2050"/>
    <x v="2857"/>
    <x v="2850"/>
    <x v="1780"/>
    <x v="4"/>
    <x v="2830"/>
    <x v="2857"/>
    <x v="704"/>
    <x v="0"/>
    <x v="0"/>
    <x v="11"/>
    <x v="4"/>
    <x v="56"/>
    <x v="787"/>
    <x v="6"/>
    <x v="15"/>
    <x v="523"/>
  </r>
  <r>
    <x v="0"/>
    <x v="317"/>
    <x v="84"/>
    <x v="11"/>
    <x v="137"/>
    <x v="391"/>
    <x v="186"/>
    <x v="2660"/>
    <x v="105"/>
    <x v="350"/>
    <x v="1036"/>
    <x v="2051"/>
    <x v="2858"/>
    <x v="2851"/>
    <x v="2623"/>
    <x v="1"/>
    <x v="2831"/>
    <x v="2858"/>
    <x v="845"/>
    <x v="0"/>
    <x v="0"/>
    <x v="0"/>
    <x v="176"/>
    <x v="1"/>
    <x v="315"/>
    <x v="38"/>
    <x v="3"/>
    <x v="64"/>
  </r>
  <r>
    <x v="0"/>
    <x v="1221"/>
    <x v="112"/>
    <x v="50"/>
    <x v="218"/>
    <x v="325"/>
    <x v="579"/>
    <x v="2661"/>
    <x v="269"/>
    <x v="1112"/>
    <x v="1717"/>
    <x v="2052"/>
    <x v="2859"/>
    <x v="2852"/>
    <x v="2624"/>
    <x v="0"/>
    <x v="2832"/>
    <x v="2859"/>
    <x v="78"/>
    <x v="0"/>
    <x v="1"/>
    <x v="0"/>
    <x v="188"/>
    <x v="8"/>
    <x v="776"/>
    <x v="6"/>
    <x v="3"/>
    <x v="58"/>
  </r>
  <r>
    <x v="0"/>
    <x v="1165"/>
    <x v="325"/>
    <x v="35"/>
    <x v="196"/>
    <x v="109"/>
    <x v="168"/>
    <x v="2662"/>
    <x v="688"/>
    <x v="526"/>
    <x v="1252"/>
    <x v="2053"/>
    <x v="2860"/>
    <x v="2853"/>
    <x v="2625"/>
    <x v="0"/>
    <x v="2833"/>
    <x v="2860"/>
    <x v="535"/>
    <x v="0"/>
    <x v="23"/>
    <x v="4"/>
    <x v="237"/>
    <x v="21"/>
    <x v="181"/>
    <x v="25"/>
    <x v="1"/>
    <x v="1"/>
  </r>
  <r>
    <x v="0"/>
    <x v="1087"/>
    <x v="419"/>
    <x v="5"/>
    <x v="137"/>
    <x v="153"/>
    <x v="0"/>
    <x v="2663"/>
    <x v="17"/>
    <x v="384"/>
    <x v="244"/>
    <x v="189"/>
    <x v="2861"/>
    <x v="2854"/>
    <x v="1146"/>
    <x v="4"/>
    <x v="2834"/>
    <x v="2861"/>
    <x v="724"/>
    <x v="0"/>
    <x v="0"/>
    <x v="4"/>
    <x v="178"/>
    <x v="13"/>
    <x v="164"/>
    <x v="10"/>
    <x v="1"/>
    <x v="343"/>
  </r>
  <r>
    <x v="0"/>
    <x v="1222"/>
    <x v="422"/>
    <x v="77"/>
    <x v="352"/>
    <x v="259"/>
    <x v="326"/>
    <x v="2664"/>
    <x v="152"/>
    <x v="1113"/>
    <x v="1718"/>
    <x v="855"/>
    <x v="2862"/>
    <x v="2855"/>
    <x v="2626"/>
    <x v="3"/>
    <x v="2835"/>
    <x v="2862"/>
    <x v="823"/>
    <x v="0"/>
    <x v="0"/>
    <x v="4"/>
    <x v="188"/>
    <x v="25"/>
    <x v="183"/>
    <x v="4"/>
    <x v="3"/>
    <x v="524"/>
  </r>
  <r>
    <x v="0"/>
    <x v="1122"/>
    <x v="410"/>
    <x v="78"/>
    <x v="116"/>
    <x v="400"/>
    <x v="159"/>
    <x v="2665"/>
    <x v="105"/>
    <x v="293"/>
    <x v="1084"/>
    <x v="577"/>
    <x v="2863"/>
    <x v="2856"/>
    <x v="2439"/>
    <x v="6"/>
    <x v="2836"/>
    <x v="2863"/>
    <x v="716"/>
    <x v="0"/>
    <x v="0"/>
    <x v="4"/>
    <x v="159"/>
    <x v="0"/>
    <x v="588"/>
    <x v="21"/>
    <x v="3"/>
    <x v="1"/>
  </r>
  <r>
    <x v="0"/>
    <x v="1223"/>
    <x v="404"/>
    <x v="72"/>
    <x v="131"/>
    <x v="107"/>
    <x v="13"/>
    <x v="2666"/>
    <x v="23"/>
    <x v="158"/>
    <x v="1719"/>
    <x v="1301"/>
    <x v="2864"/>
    <x v="2857"/>
    <x v="2627"/>
    <x v="1"/>
    <x v="2837"/>
    <x v="2864"/>
    <x v="633"/>
    <x v="0"/>
    <x v="0"/>
    <x v="4"/>
    <x v="238"/>
    <x v="5"/>
    <x v="233"/>
    <x v="10"/>
    <x v="3"/>
    <x v="20"/>
  </r>
  <r>
    <x v="0"/>
    <x v="1224"/>
    <x v="338"/>
    <x v="26"/>
    <x v="353"/>
    <x v="125"/>
    <x v="11"/>
    <x v="2667"/>
    <x v="140"/>
    <x v="11"/>
    <x v="1720"/>
    <x v="2054"/>
    <x v="2865"/>
    <x v="2858"/>
    <x v="2628"/>
    <x v="7"/>
    <x v="2838"/>
    <x v="2865"/>
    <x v="794"/>
    <x v="0"/>
    <x v="4"/>
    <x v="4"/>
    <x v="159"/>
    <x v="5"/>
    <x v="504"/>
    <x v="5"/>
    <x v="1"/>
    <x v="1"/>
  </r>
  <r>
    <x v="0"/>
    <x v="281"/>
    <x v="431"/>
    <x v="164"/>
    <x v="185"/>
    <x v="72"/>
    <x v="138"/>
    <x v="2668"/>
    <x v="224"/>
    <x v="808"/>
    <x v="1721"/>
    <x v="2055"/>
    <x v="2866"/>
    <x v="2859"/>
    <x v="2629"/>
    <x v="0"/>
    <x v="2839"/>
    <x v="2866"/>
    <x v="431"/>
    <x v="0"/>
    <x v="0"/>
    <x v="3"/>
    <x v="188"/>
    <x v="32"/>
    <x v="788"/>
    <x v="11"/>
    <x v="8"/>
    <x v="9"/>
  </r>
  <r>
    <x v="0"/>
    <x v="1225"/>
    <x v="366"/>
    <x v="2"/>
    <x v="106"/>
    <x v="244"/>
    <x v="580"/>
    <x v="2669"/>
    <x v="108"/>
    <x v="1114"/>
    <x v="1722"/>
    <x v="2056"/>
    <x v="2867"/>
    <x v="2860"/>
    <x v="2630"/>
    <x v="4"/>
    <x v="2840"/>
    <x v="2867"/>
    <x v="288"/>
    <x v="24"/>
    <x v="18"/>
    <x v="4"/>
    <x v="237"/>
    <x v="14"/>
    <x v="316"/>
    <x v="14"/>
    <x v="1"/>
    <x v="1"/>
  </r>
  <r>
    <x v="1"/>
    <x v="1226"/>
    <x v="438"/>
    <x v="34"/>
    <x v="59"/>
    <x v="390"/>
    <x v="193"/>
    <x v="2670"/>
    <x v="472"/>
    <x v="360"/>
    <x v="432"/>
    <x v="550"/>
    <x v="2868"/>
    <x v="2861"/>
    <x v="321"/>
    <x v="0"/>
    <x v="2841"/>
    <x v="2868"/>
    <x v="631"/>
    <x v="0"/>
    <x v="4"/>
    <x v="2"/>
    <x v="188"/>
    <x v="0"/>
    <x v="431"/>
    <x v="15"/>
    <x v="1"/>
    <x v="1"/>
  </r>
  <r>
    <x v="0"/>
    <x v="410"/>
    <x v="40"/>
    <x v="5"/>
    <x v="229"/>
    <x v="618"/>
    <x v="0"/>
    <x v="2671"/>
    <x v="429"/>
    <x v="719"/>
    <x v="1723"/>
    <x v="2057"/>
    <x v="2869"/>
    <x v="2862"/>
    <x v="1759"/>
    <x v="0"/>
    <x v="2842"/>
    <x v="2869"/>
    <x v="563"/>
    <x v="0"/>
    <x v="0"/>
    <x v="4"/>
    <x v="83"/>
    <x v="44"/>
    <x v="58"/>
    <x v="25"/>
    <x v="15"/>
    <x v="45"/>
  </r>
  <r>
    <x v="0"/>
    <x v="38"/>
    <x v="510"/>
    <x v="29"/>
    <x v="25"/>
    <x v="302"/>
    <x v="116"/>
    <x v="2672"/>
    <x v="139"/>
    <x v="217"/>
    <x v="1724"/>
    <x v="2058"/>
    <x v="2870"/>
    <x v="2863"/>
    <x v="2631"/>
    <x v="0"/>
    <x v="2843"/>
    <x v="2870"/>
    <x v="798"/>
    <x v="0"/>
    <x v="0"/>
    <x v="2"/>
    <x v="83"/>
    <x v="57"/>
    <x v="192"/>
    <x v="25"/>
    <x v="1"/>
    <x v="90"/>
  </r>
  <r>
    <x v="0"/>
    <x v="166"/>
    <x v="118"/>
    <x v="54"/>
    <x v="8"/>
    <x v="1"/>
    <x v="22"/>
    <x v="2673"/>
    <x v="125"/>
    <x v="374"/>
    <x v="1044"/>
    <x v="798"/>
    <x v="2871"/>
    <x v="2864"/>
    <x v="2632"/>
    <x v="5"/>
    <x v="2844"/>
    <x v="2871"/>
    <x v="254"/>
    <x v="0"/>
    <x v="0"/>
    <x v="4"/>
    <x v="190"/>
    <x v="15"/>
    <x v="30"/>
    <x v="15"/>
    <x v="3"/>
    <x v="1"/>
  </r>
  <r>
    <x v="0"/>
    <x v="1227"/>
    <x v="414"/>
    <x v="110"/>
    <x v="216"/>
    <x v="480"/>
    <x v="18"/>
    <x v="2674"/>
    <x v="689"/>
    <x v="843"/>
    <x v="1260"/>
    <x v="2059"/>
    <x v="2872"/>
    <x v="2865"/>
    <x v="2633"/>
    <x v="0"/>
    <x v="2845"/>
    <x v="2872"/>
    <x v="646"/>
    <x v="3"/>
    <x v="10"/>
    <x v="2"/>
    <x v="239"/>
    <x v="3"/>
    <x v="398"/>
    <x v="0"/>
    <x v="3"/>
    <x v="1"/>
  </r>
  <r>
    <x v="0"/>
    <x v="628"/>
    <x v="207"/>
    <x v="50"/>
    <x v="80"/>
    <x v="267"/>
    <x v="432"/>
    <x v="2675"/>
    <x v="690"/>
    <x v="783"/>
    <x v="1725"/>
    <x v="2060"/>
    <x v="2873"/>
    <x v="2866"/>
    <x v="552"/>
    <x v="1"/>
    <x v="2846"/>
    <x v="2873"/>
    <x v="212"/>
    <x v="0"/>
    <x v="0"/>
    <x v="0"/>
    <x v="131"/>
    <x v="43"/>
    <x v="579"/>
    <x v="18"/>
    <x v="3"/>
    <x v="1"/>
  </r>
  <r>
    <x v="0"/>
    <x v="135"/>
    <x v="379"/>
    <x v="40"/>
    <x v="100"/>
    <x v="137"/>
    <x v="481"/>
    <x v="2676"/>
    <x v="127"/>
    <x v="891"/>
    <x v="513"/>
    <x v="965"/>
    <x v="2874"/>
    <x v="2867"/>
    <x v="2634"/>
    <x v="8"/>
    <x v="2847"/>
    <x v="2874"/>
    <x v="496"/>
    <x v="0"/>
    <x v="0"/>
    <x v="0"/>
    <x v="176"/>
    <x v="3"/>
    <x v="334"/>
    <x v="4"/>
    <x v="1"/>
    <x v="1"/>
  </r>
  <r>
    <x v="0"/>
    <x v="135"/>
    <x v="74"/>
    <x v="58"/>
    <x v="100"/>
    <x v="86"/>
    <x v="569"/>
    <x v="2677"/>
    <x v="200"/>
    <x v="1090"/>
    <x v="1726"/>
    <x v="109"/>
    <x v="2875"/>
    <x v="2868"/>
    <x v="2635"/>
    <x v="0"/>
    <x v="2848"/>
    <x v="2875"/>
    <x v="319"/>
    <x v="0"/>
    <x v="0"/>
    <x v="0"/>
    <x v="176"/>
    <x v="19"/>
    <x v="629"/>
    <x v="22"/>
    <x v="3"/>
    <x v="525"/>
  </r>
  <r>
    <x v="0"/>
    <x v="769"/>
    <x v="263"/>
    <x v="38"/>
    <x v="299"/>
    <x v="410"/>
    <x v="25"/>
    <x v="2678"/>
    <x v="5"/>
    <x v="194"/>
    <x v="1194"/>
    <x v="1361"/>
    <x v="2876"/>
    <x v="2869"/>
    <x v="2636"/>
    <x v="4"/>
    <x v="2849"/>
    <x v="2876"/>
    <x v="844"/>
    <x v="0"/>
    <x v="0"/>
    <x v="2"/>
    <x v="190"/>
    <x v="26"/>
    <x v="488"/>
    <x v="16"/>
    <x v="1"/>
    <x v="1"/>
  </r>
  <r>
    <x v="0"/>
    <x v="51"/>
    <x v="258"/>
    <x v="98"/>
    <x v="36"/>
    <x v="162"/>
    <x v="370"/>
    <x v="2679"/>
    <x v="125"/>
    <x v="1115"/>
    <x v="1252"/>
    <x v="2061"/>
    <x v="2877"/>
    <x v="2870"/>
    <x v="2071"/>
    <x v="1"/>
    <x v="2850"/>
    <x v="2877"/>
    <x v="579"/>
    <x v="0"/>
    <x v="0"/>
    <x v="0"/>
    <x v="176"/>
    <x v="24"/>
    <x v="181"/>
    <x v="8"/>
    <x v="3"/>
    <x v="1"/>
  </r>
  <r>
    <x v="0"/>
    <x v="1228"/>
    <x v="274"/>
    <x v="37"/>
    <x v="350"/>
    <x v="827"/>
    <x v="35"/>
    <x v="2680"/>
    <x v="232"/>
    <x v="91"/>
    <x v="1348"/>
    <x v="2062"/>
    <x v="2878"/>
    <x v="2871"/>
    <x v="1343"/>
    <x v="0"/>
    <x v="2851"/>
    <x v="2878"/>
    <x v="270"/>
    <x v="0"/>
    <x v="0"/>
    <x v="2"/>
    <x v="176"/>
    <x v="45"/>
    <x v="405"/>
    <x v="1"/>
    <x v="3"/>
    <x v="1"/>
  </r>
  <r>
    <x v="0"/>
    <x v="110"/>
    <x v="383"/>
    <x v="52"/>
    <x v="86"/>
    <x v="129"/>
    <x v="2"/>
    <x v="2681"/>
    <x v="368"/>
    <x v="42"/>
    <x v="370"/>
    <x v="159"/>
    <x v="2879"/>
    <x v="2872"/>
    <x v="2637"/>
    <x v="1"/>
    <x v="2852"/>
    <x v="2879"/>
    <x v="509"/>
    <x v="0"/>
    <x v="0"/>
    <x v="4"/>
    <x v="176"/>
    <x v="39"/>
    <x v="10"/>
    <x v="38"/>
    <x v="3"/>
    <x v="1"/>
  </r>
  <r>
    <x v="0"/>
    <x v="1229"/>
    <x v="405"/>
    <x v="47"/>
    <x v="106"/>
    <x v="660"/>
    <x v="581"/>
    <x v="2682"/>
    <x v="691"/>
    <x v="1116"/>
    <x v="1727"/>
    <x v="2063"/>
    <x v="2880"/>
    <x v="2873"/>
    <x v="2638"/>
    <x v="0"/>
    <x v="2853"/>
    <x v="2880"/>
    <x v="674"/>
    <x v="0"/>
    <x v="0"/>
    <x v="4"/>
    <x v="176"/>
    <x v="3"/>
    <x v="288"/>
    <x v="12"/>
    <x v="1"/>
    <x v="61"/>
  </r>
  <r>
    <x v="0"/>
    <x v="544"/>
    <x v="283"/>
    <x v="27"/>
    <x v="247"/>
    <x v="794"/>
    <x v="30"/>
    <x v="2683"/>
    <x v="692"/>
    <x v="50"/>
    <x v="819"/>
    <x v="2064"/>
    <x v="2881"/>
    <x v="2874"/>
    <x v="2639"/>
    <x v="0"/>
    <x v="2854"/>
    <x v="2881"/>
    <x v="484"/>
    <x v="0"/>
    <x v="0"/>
    <x v="0"/>
    <x v="176"/>
    <x v="7"/>
    <x v="12"/>
    <x v="12"/>
    <x v="1"/>
    <x v="1"/>
  </r>
  <r>
    <x v="0"/>
    <x v="1230"/>
    <x v="315"/>
    <x v="113"/>
    <x v="320"/>
    <x v="611"/>
    <x v="57"/>
    <x v="2684"/>
    <x v="693"/>
    <x v="99"/>
    <x v="673"/>
    <x v="1023"/>
    <x v="2882"/>
    <x v="2875"/>
    <x v="2640"/>
    <x v="0"/>
    <x v="2855"/>
    <x v="2882"/>
    <x v="142"/>
    <x v="0"/>
    <x v="0"/>
    <x v="0"/>
    <x v="176"/>
    <x v="25"/>
    <x v="12"/>
    <x v="2"/>
    <x v="3"/>
    <x v="1"/>
  </r>
  <r>
    <x v="0"/>
    <x v="169"/>
    <x v="321"/>
    <x v="39"/>
    <x v="121"/>
    <x v="494"/>
    <x v="13"/>
    <x v="2685"/>
    <x v="111"/>
    <x v="158"/>
    <x v="1728"/>
    <x v="1713"/>
    <x v="2883"/>
    <x v="2876"/>
    <x v="2641"/>
    <x v="7"/>
    <x v="2856"/>
    <x v="2883"/>
    <x v="307"/>
    <x v="0"/>
    <x v="0"/>
    <x v="4"/>
    <x v="176"/>
    <x v="13"/>
    <x v="30"/>
    <x v="7"/>
    <x v="3"/>
    <x v="1"/>
  </r>
  <r>
    <x v="0"/>
    <x v="457"/>
    <x v="155"/>
    <x v="58"/>
    <x v="188"/>
    <x v="658"/>
    <x v="0"/>
    <x v="2686"/>
    <x v="311"/>
    <x v="586"/>
    <x v="1729"/>
    <x v="1169"/>
    <x v="2884"/>
    <x v="2877"/>
    <x v="2642"/>
    <x v="4"/>
    <x v="2857"/>
    <x v="2884"/>
    <x v="550"/>
    <x v="0"/>
    <x v="0"/>
    <x v="4"/>
    <x v="176"/>
    <x v="8"/>
    <x v="437"/>
    <x v="4"/>
    <x v="3"/>
    <x v="1"/>
  </r>
  <r>
    <x v="0"/>
    <x v="148"/>
    <x v="505"/>
    <x v="71"/>
    <x v="109"/>
    <x v="789"/>
    <x v="168"/>
    <x v="2687"/>
    <x v="211"/>
    <x v="314"/>
    <x v="1730"/>
    <x v="2065"/>
    <x v="2885"/>
    <x v="2878"/>
    <x v="1488"/>
    <x v="0"/>
    <x v="2858"/>
    <x v="2885"/>
    <x v="543"/>
    <x v="0"/>
    <x v="0"/>
    <x v="0"/>
    <x v="176"/>
    <x v="3"/>
    <x v="695"/>
    <x v="1"/>
    <x v="3"/>
    <x v="121"/>
  </r>
  <r>
    <x v="0"/>
    <x v="531"/>
    <x v="441"/>
    <x v="5"/>
    <x v="0"/>
    <x v="828"/>
    <x v="259"/>
    <x v="1281"/>
    <x v="225"/>
    <x v="516"/>
    <x v="1731"/>
    <x v="2066"/>
    <x v="2886"/>
    <x v="2879"/>
    <x v="259"/>
    <x v="1"/>
    <x v="2859"/>
    <x v="2886"/>
    <x v="749"/>
    <x v="0"/>
    <x v="1"/>
    <x v="2"/>
    <x v="176"/>
    <x v="45"/>
    <x v="613"/>
    <x v="4"/>
    <x v="3"/>
    <x v="1"/>
  </r>
  <r>
    <x v="0"/>
    <x v="255"/>
    <x v="296"/>
    <x v="33"/>
    <x v="0"/>
    <x v="662"/>
    <x v="232"/>
    <x v="2688"/>
    <x v="694"/>
    <x v="1117"/>
    <x v="1732"/>
    <x v="1189"/>
    <x v="2887"/>
    <x v="2880"/>
    <x v="1825"/>
    <x v="0"/>
    <x v="2860"/>
    <x v="2887"/>
    <x v="299"/>
    <x v="0"/>
    <x v="1"/>
    <x v="2"/>
    <x v="240"/>
    <x v="37"/>
    <x v="284"/>
    <x v="15"/>
    <x v="3"/>
    <x v="1"/>
  </r>
  <r>
    <x v="0"/>
    <x v="1231"/>
    <x v="387"/>
    <x v="41"/>
    <x v="58"/>
    <x v="250"/>
    <x v="0"/>
    <x v="2689"/>
    <x v="200"/>
    <x v="1118"/>
    <x v="1733"/>
    <x v="2067"/>
    <x v="2888"/>
    <x v="2881"/>
    <x v="663"/>
    <x v="1"/>
    <x v="2861"/>
    <x v="2888"/>
    <x v="894"/>
    <x v="0"/>
    <x v="0"/>
    <x v="0"/>
    <x v="176"/>
    <x v="19"/>
    <x v="789"/>
    <x v="47"/>
    <x v="3"/>
    <x v="1"/>
  </r>
  <r>
    <x v="0"/>
    <x v="1232"/>
    <x v="286"/>
    <x v="41"/>
    <x v="354"/>
    <x v="254"/>
    <x v="358"/>
    <x v="2690"/>
    <x v="70"/>
    <x v="1119"/>
    <x v="1734"/>
    <x v="2068"/>
    <x v="2889"/>
    <x v="2882"/>
    <x v="2643"/>
    <x v="0"/>
    <x v="2862"/>
    <x v="2889"/>
    <x v="292"/>
    <x v="0"/>
    <x v="0"/>
    <x v="4"/>
    <x v="176"/>
    <x v="3"/>
    <x v="367"/>
    <x v="10"/>
    <x v="3"/>
    <x v="5"/>
  </r>
  <r>
    <x v="0"/>
    <x v="1233"/>
    <x v="356"/>
    <x v="100"/>
    <x v="199"/>
    <x v="173"/>
    <x v="500"/>
    <x v="4"/>
    <x v="467"/>
    <x v="1120"/>
    <x v="1555"/>
    <x v="2069"/>
    <x v="2890"/>
    <x v="2883"/>
    <x v="2644"/>
    <x v="0"/>
    <x v="2863"/>
    <x v="2890"/>
    <x v="150"/>
    <x v="0"/>
    <x v="0"/>
    <x v="16"/>
    <x v="176"/>
    <x v="48"/>
    <x v="384"/>
    <x v="25"/>
    <x v="5"/>
    <x v="1"/>
  </r>
  <r>
    <x v="0"/>
    <x v="1141"/>
    <x v="186"/>
    <x v="45"/>
    <x v="281"/>
    <x v="332"/>
    <x v="49"/>
    <x v="2691"/>
    <x v="306"/>
    <x v="86"/>
    <x v="658"/>
    <x v="2070"/>
    <x v="2891"/>
    <x v="2884"/>
    <x v="2645"/>
    <x v="0"/>
    <x v="2864"/>
    <x v="2891"/>
    <x v="895"/>
    <x v="0"/>
    <x v="0"/>
    <x v="4"/>
    <x v="176"/>
    <x v="19"/>
    <x v="408"/>
    <x v="2"/>
    <x v="3"/>
    <x v="1"/>
  </r>
  <r>
    <x v="0"/>
    <x v="1234"/>
    <x v="204"/>
    <x v="71"/>
    <x v="48"/>
    <x v="1"/>
    <x v="477"/>
    <x v="2692"/>
    <x v="321"/>
    <x v="881"/>
    <x v="488"/>
    <x v="2071"/>
    <x v="2892"/>
    <x v="2885"/>
    <x v="2646"/>
    <x v="0"/>
    <x v="2865"/>
    <x v="2892"/>
    <x v="882"/>
    <x v="0"/>
    <x v="0"/>
    <x v="4"/>
    <x v="176"/>
    <x v="8"/>
    <x v="30"/>
    <x v="19"/>
    <x v="3"/>
    <x v="1"/>
  </r>
  <r>
    <x v="0"/>
    <x v="1235"/>
    <x v="208"/>
    <x v="80"/>
    <x v="0"/>
    <x v="428"/>
    <x v="30"/>
    <x v="2693"/>
    <x v="364"/>
    <x v="53"/>
    <x v="1735"/>
    <x v="905"/>
    <x v="2893"/>
    <x v="2886"/>
    <x v="2647"/>
    <x v="1"/>
    <x v="2866"/>
    <x v="2893"/>
    <x v="319"/>
    <x v="0"/>
    <x v="0"/>
    <x v="0"/>
    <x v="176"/>
    <x v="8"/>
    <x v="790"/>
    <x v="28"/>
    <x v="1"/>
    <x v="1"/>
  </r>
  <r>
    <x v="0"/>
    <x v="1236"/>
    <x v="399"/>
    <x v="55"/>
    <x v="198"/>
    <x v="99"/>
    <x v="0"/>
    <x v="2694"/>
    <x v="125"/>
    <x v="159"/>
    <x v="1044"/>
    <x v="1817"/>
    <x v="2894"/>
    <x v="2887"/>
    <x v="2648"/>
    <x v="7"/>
    <x v="2867"/>
    <x v="2894"/>
    <x v="769"/>
    <x v="0"/>
    <x v="0"/>
    <x v="0"/>
    <x v="176"/>
    <x v="14"/>
    <x v="30"/>
    <x v="44"/>
    <x v="1"/>
    <x v="469"/>
  </r>
  <r>
    <x v="0"/>
    <x v="401"/>
    <x v="384"/>
    <x v="41"/>
    <x v="38"/>
    <x v="226"/>
    <x v="162"/>
    <x v="2695"/>
    <x v="219"/>
    <x v="297"/>
    <x v="51"/>
    <x v="2072"/>
    <x v="2895"/>
    <x v="2888"/>
    <x v="2649"/>
    <x v="4"/>
    <x v="2868"/>
    <x v="2895"/>
    <x v="386"/>
    <x v="0"/>
    <x v="0"/>
    <x v="4"/>
    <x v="176"/>
    <x v="18"/>
    <x v="40"/>
    <x v="5"/>
    <x v="3"/>
    <x v="1"/>
  </r>
  <r>
    <x v="0"/>
    <x v="1237"/>
    <x v="346"/>
    <x v="71"/>
    <x v="217"/>
    <x v="19"/>
    <x v="525"/>
    <x v="2696"/>
    <x v="695"/>
    <x v="1121"/>
    <x v="1736"/>
    <x v="880"/>
    <x v="2896"/>
    <x v="2889"/>
    <x v="124"/>
    <x v="0"/>
    <x v="2869"/>
    <x v="2896"/>
    <x v="568"/>
    <x v="0"/>
    <x v="0"/>
    <x v="3"/>
    <x v="176"/>
    <x v="29"/>
    <x v="257"/>
    <x v="16"/>
    <x v="3"/>
    <x v="1"/>
  </r>
  <r>
    <x v="1"/>
    <x v="30"/>
    <x v="222"/>
    <x v="48"/>
    <x v="22"/>
    <x v="197"/>
    <x v="18"/>
    <x v="275"/>
    <x v="2"/>
    <x v="144"/>
    <x v="222"/>
    <x v="249"/>
    <x v="283"/>
    <x v="2890"/>
    <x v="279"/>
    <x v="1"/>
    <x v="280"/>
    <x v="283"/>
    <x v="263"/>
    <x v="0"/>
    <x v="1"/>
    <x v="0"/>
    <x v="16"/>
    <x v="7"/>
    <x v="30"/>
    <x v="25"/>
    <x v="1"/>
    <x v="1"/>
  </r>
  <r>
    <x v="1"/>
    <x v="508"/>
    <x v="342"/>
    <x v="32"/>
    <x v="152"/>
    <x v="286"/>
    <x v="41"/>
    <x v="2697"/>
    <x v="425"/>
    <x v="111"/>
    <x v="530"/>
    <x v="2073"/>
    <x v="2897"/>
    <x v="2891"/>
    <x v="2650"/>
    <x v="0"/>
    <x v="2870"/>
    <x v="2897"/>
    <x v="484"/>
    <x v="0"/>
    <x v="0"/>
    <x v="4"/>
    <x v="176"/>
    <x v="19"/>
    <x v="30"/>
    <x v="38"/>
    <x v="3"/>
    <x v="1"/>
  </r>
  <r>
    <x v="0"/>
    <x v="1238"/>
    <x v="373"/>
    <x v="41"/>
    <x v="198"/>
    <x v="316"/>
    <x v="582"/>
    <x v="2698"/>
    <x v="305"/>
    <x v="1122"/>
    <x v="1737"/>
    <x v="2074"/>
    <x v="2898"/>
    <x v="2892"/>
    <x v="2651"/>
    <x v="0"/>
    <x v="2871"/>
    <x v="2898"/>
    <x v="724"/>
    <x v="0"/>
    <x v="0"/>
    <x v="2"/>
    <x v="176"/>
    <x v="3"/>
    <x v="557"/>
    <x v="18"/>
    <x v="3"/>
    <x v="1"/>
  </r>
  <r>
    <x v="0"/>
    <x v="1239"/>
    <x v="213"/>
    <x v="82"/>
    <x v="3"/>
    <x v="129"/>
    <x v="94"/>
    <x v="2699"/>
    <x v="17"/>
    <x v="845"/>
    <x v="855"/>
    <x v="2075"/>
    <x v="2899"/>
    <x v="2893"/>
    <x v="2652"/>
    <x v="0"/>
    <x v="2872"/>
    <x v="2899"/>
    <x v="347"/>
    <x v="0"/>
    <x v="0"/>
    <x v="0"/>
    <x v="176"/>
    <x v="11"/>
    <x v="30"/>
    <x v="6"/>
    <x v="3"/>
    <x v="526"/>
  </r>
  <r>
    <x v="0"/>
    <x v="390"/>
    <x v="342"/>
    <x v="61"/>
    <x v="3"/>
    <x v="259"/>
    <x v="57"/>
    <x v="2700"/>
    <x v="152"/>
    <x v="109"/>
    <x v="879"/>
    <x v="855"/>
    <x v="2900"/>
    <x v="2894"/>
    <x v="2653"/>
    <x v="4"/>
    <x v="2873"/>
    <x v="2900"/>
    <x v="511"/>
    <x v="0"/>
    <x v="0"/>
    <x v="4"/>
    <x v="176"/>
    <x v="20"/>
    <x v="428"/>
    <x v="38"/>
    <x v="1"/>
    <x v="1"/>
  </r>
  <r>
    <x v="0"/>
    <x v="616"/>
    <x v="331"/>
    <x v="58"/>
    <x v="0"/>
    <x v="786"/>
    <x v="22"/>
    <x v="2701"/>
    <x v="127"/>
    <x v="169"/>
    <x v="513"/>
    <x v="2076"/>
    <x v="2901"/>
    <x v="2895"/>
    <x v="2654"/>
    <x v="10"/>
    <x v="2874"/>
    <x v="2901"/>
    <x v="641"/>
    <x v="0"/>
    <x v="0"/>
    <x v="4"/>
    <x v="176"/>
    <x v="11"/>
    <x v="334"/>
    <x v="12"/>
    <x v="1"/>
    <x v="1"/>
  </r>
  <r>
    <x v="0"/>
    <x v="407"/>
    <x v="266"/>
    <x v="58"/>
    <x v="173"/>
    <x v="504"/>
    <x v="583"/>
    <x v="4"/>
    <x v="577"/>
    <x v="1123"/>
    <x v="1738"/>
    <x v="2077"/>
    <x v="2902"/>
    <x v="2896"/>
    <x v="2456"/>
    <x v="1"/>
    <x v="2875"/>
    <x v="2902"/>
    <x v="678"/>
    <x v="0"/>
    <x v="0"/>
    <x v="2"/>
    <x v="176"/>
    <x v="28"/>
    <x v="744"/>
    <x v="28"/>
    <x v="1"/>
    <x v="527"/>
  </r>
  <r>
    <x v="0"/>
    <x v="387"/>
    <x v="328"/>
    <x v="77"/>
    <x v="219"/>
    <x v="140"/>
    <x v="584"/>
    <x v="2702"/>
    <x v="236"/>
    <x v="634"/>
    <x v="1739"/>
    <x v="2078"/>
    <x v="2903"/>
    <x v="2897"/>
    <x v="2002"/>
    <x v="0"/>
    <x v="2876"/>
    <x v="2903"/>
    <x v="278"/>
    <x v="0"/>
    <x v="0"/>
    <x v="4"/>
    <x v="176"/>
    <x v="15"/>
    <x v="356"/>
    <x v="15"/>
    <x v="3"/>
    <x v="1"/>
  </r>
  <r>
    <x v="0"/>
    <x v="113"/>
    <x v="373"/>
    <x v="162"/>
    <x v="88"/>
    <x v="286"/>
    <x v="0"/>
    <x v="4"/>
    <x v="696"/>
    <x v="1073"/>
    <x v="1740"/>
    <x v="2079"/>
    <x v="2904"/>
    <x v="2898"/>
    <x v="2655"/>
    <x v="4"/>
    <x v="2877"/>
    <x v="2904"/>
    <x v="529"/>
    <x v="0"/>
    <x v="0"/>
    <x v="7"/>
    <x v="4"/>
    <x v="4"/>
    <x v="179"/>
    <x v="35"/>
    <x v="12"/>
    <x v="77"/>
  </r>
  <r>
    <x v="0"/>
    <x v="491"/>
    <x v="151"/>
    <x v="42"/>
    <x v="253"/>
    <x v="109"/>
    <x v="0"/>
    <x v="2703"/>
    <x v="113"/>
    <x v="250"/>
    <x v="1741"/>
    <x v="2080"/>
    <x v="2905"/>
    <x v="2899"/>
    <x v="2656"/>
    <x v="4"/>
    <x v="2878"/>
    <x v="2905"/>
    <x v="551"/>
    <x v="0"/>
    <x v="1"/>
    <x v="0"/>
    <x v="176"/>
    <x v="9"/>
    <x v="623"/>
    <x v="32"/>
    <x v="3"/>
    <x v="40"/>
  </r>
  <r>
    <x v="0"/>
    <x v="934"/>
    <x v="211"/>
    <x v="34"/>
    <x v="118"/>
    <x v="296"/>
    <x v="43"/>
    <x v="2704"/>
    <x v="200"/>
    <x v="642"/>
    <x v="1742"/>
    <x v="390"/>
    <x v="2906"/>
    <x v="2900"/>
    <x v="77"/>
    <x v="1"/>
    <x v="2879"/>
    <x v="2906"/>
    <x v="623"/>
    <x v="0"/>
    <x v="0"/>
    <x v="4"/>
    <x v="195"/>
    <x v="12"/>
    <x v="58"/>
    <x v="8"/>
    <x v="1"/>
    <x v="528"/>
  </r>
  <r>
    <x v="0"/>
    <x v="1233"/>
    <x v="398"/>
    <x v="31"/>
    <x v="199"/>
    <x v="770"/>
    <x v="0"/>
    <x v="4"/>
    <x v="306"/>
    <x v="445"/>
    <x v="1743"/>
    <x v="1648"/>
    <x v="2907"/>
    <x v="2901"/>
    <x v="2657"/>
    <x v="3"/>
    <x v="2880"/>
    <x v="2907"/>
    <x v="400"/>
    <x v="0"/>
    <x v="1"/>
    <x v="4"/>
    <x v="176"/>
    <x v="33"/>
    <x v="651"/>
    <x v="15"/>
    <x v="3"/>
    <x v="1"/>
  </r>
  <r>
    <x v="0"/>
    <x v="1105"/>
    <x v="240"/>
    <x v="27"/>
    <x v="131"/>
    <x v="529"/>
    <x v="276"/>
    <x v="2705"/>
    <x v="204"/>
    <x v="1124"/>
    <x v="1744"/>
    <x v="2081"/>
    <x v="2908"/>
    <x v="2902"/>
    <x v="2658"/>
    <x v="3"/>
    <x v="2881"/>
    <x v="2908"/>
    <x v="549"/>
    <x v="0"/>
    <x v="0"/>
    <x v="2"/>
    <x v="176"/>
    <x v="7"/>
    <x v="117"/>
    <x v="43"/>
    <x v="3"/>
    <x v="1"/>
  </r>
  <r>
    <x v="0"/>
    <x v="1240"/>
    <x v="104"/>
    <x v="56"/>
    <x v="125"/>
    <x v="730"/>
    <x v="585"/>
    <x v="2706"/>
    <x v="293"/>
    <x v="1125"/>
    <x v="122"/>
    <x v="2082"/>
    <x v="2909"/>
    <x v="2903"/>
    <x v="2039"/>
    <x v="4"/>
    <x v="2882"/>
    <x v="2909"/>
    <x v="284"/>
    <x v="0"/>
    <x v="0"/>
    <x v="0"/>
    <x v="176"/>
    <x v="2"/>
    <x v="108"/>
    <x v="21"/>
    <x v="1"/>
    <x v="1"/>
  </r>
  <r>
    <x v="0"/>
    <x v="1241"/>
    <x v="193"/>
    <x v="107"/>
    <x v="184"/>
    <x v="40"/>
    <x v="99"/>
    <x v="2707"/>
    <x v="125"/>
    <x v="178"/>
    <x v="973"/>
    <x v="66"/>
    <x v="2910"/>
    <x v="2904"/>
    <x v="2659"/>
    <x v="7"/>
    <x v="2883"/>
    <x v="2910"/>
    <x v="684"/>
    <x v="0"/>
    <x v="0"/>
    <x v="0"/>
    <x v="4"/>
    <x v="14"/>
    <x v="202"/>
    <x v="33"/>
    <x v="3"/>
    <x v="529"/>
  </r>
  <r>
    <x v="1"/>
    <x v="690"/>
    <x v="436"/>
    <x v="69"/>
    <x v="286"/>
    <x v="469"/>
    <x v="0"/>
    <x v="2708"/>
    <x v="371"/>
    <x v="670"/>
    <x v="1327"/>
    <x v="691"/>
    <x v="2911"/>
    <x v="2905"/>
    <x v="2660"/>
    <x v="0"/>
    <x v="2884"/>
    <x v="2911"/>
    <x v="459"/>
    <x v="0"/>
    <x v="0"/>
    <x v="4"/>
    <x v="176"/>
    <x v="9"/>
    <x v="431"/>
    <x v="6"/>
    <x v="1"/>
    <x v="82"/>
  </r>
  <r>
    <x v="0"/>
    <x v="1242"/>
    <x v="240"/>
    <x v="80"/>
    <x v="56"/>
    <x v="379"/>
    <x v="0"/>
    <x v="2709"/>
    <x v="528"/>
    <x v="0"/>
    <x v="102"/>
    <x v="534"/>
    <x v="2912"/>
    <x v="2906"/>
    <x v="2661"/>
    <x v="1"/>
    <x v="2885"/>
    <x v="2912"/>
    <x v="780"/>
    <x v="0"/>
    <x v="0"/>
    <x v="4"/>
    <x v="185"/>
    <x v="16"/>
    <x v="72"/>
    <x v="10"/>
    <x v="3"/>
    <x v="1"/>
  </r>
  <r>
    <x v="0"/>
    <x v="344"/>
    <x v="447"/>
    <x v="43"/>
    <x v="73"/>
    <x v="739"/>
    <x v="75"/>
    <x v="2710"/>
    <x v="697"/>
    <x v="133"/>
    <x v="276"/>
    <x v="1939"/>
    <x v="2913"/>
    <x v="2907"/>
    <x v="2662"/>
    <x v="0"/>
    <x v="2886"/>
    <x v="2913"/>
    <x v="212"/>
    <x v="0"/>
    <x v="0"/>
    <x v="2"/>
    <x v="176"/>
    <x v="18"/>
    <x v="616"/>
    <x v="43"/>
    <x v="3"/>
    <x v="453"/>
  </r>
  <r>
    <x v="0"/>
    <x v="689"/>
    <x v="301"/>
    <x v="50"/>
    <x v="285"/>
    <x v="288"/>
    <x v="123"/>
    <x v="2711"/>
    <x v="200"/>
    <x v="233"/>
    <x v="1745"/>
    <x v="2004"/>
    <x v="2914"/>
    <x v="2908"/>
    <x v="2663"/>
    <x v="1"/>
    <x v="2887"/>
    <x v="2914"/>
    <x v="394"/>
    <x v="0"/>
    <x v="0"/>
    <x v="4"/>
    <x v="176"/>
    <x v="10"/>
    <x v="475"/>
    <x v="22"/>
    <x v="3"/>
    <x v="1"/>
  </r>
  <r>
    <x v="0"/>
    <x v="396"/>
    <x v="230"/>
    <x v="41"/>
    <x v="224"/>
    <x v="561"/>
    <x v="8"/>
    <x v="2712"/>
    <x v="23"/>
    <x v="35"/>
    <x v="1746"/>
    <x v="408"/>
    <x v="2915"/>
    <x v="2909"/>
    <x v="2664"/>
    <x v="1"/>
    <x v="2888"/>
    <x v="2915"/>
    <x v="89"/>
    <x v="0"/>
    <x v="0"/>
    <x v="4"/>
    <x v="176"/>
    <x v="7"/>
    <x v="791"/>
    <x v="15"/>
    <x v="0"/>
    <x v="1"/>
  </r>
  <r>
    <x v="0"/>
    <x v="1243"/>
    <x v="492"/>
    <x v="41"/>
    <x v="221"/>
    <x v="371"/>
    <x v="0"/>
    <x v="2713"/>
    <x v="125"/>
    <x v="85"/>
    <x v="713"/>
    <x v="2083"/>
    <x v="2916"/>
    <x v="2910"/>
    <x v="2665"/>
    <x v="4"/>
    <x v="2889"/>
    <x v="2916"/>
    <x v="83"/>
    <x v="0"/>
    <x v="0"/>
    <x v="4"/>
    <x v="4"/>
    <x v="13"/>
    <x v="178"/>
    <x v="43"/>
    <x v="3"/>
    <x v="530"/>
  </r>
  <r>
    <x v="0"/>
    <x v="477"/>
    <x v="431"/>
    <x v="7"/>
    <x v="247"/>
    <x v="66"/>
    <x v="0"/>
    <x v="2714"/>
    <x v="105"/>
    <x v="185"/>
    <x v="1747"/>
    <x v="1804"/>
    <x v="2917"/>
    <x v="2911"/>
    <x v="2666"/>
    <x v="1"/>
    <x v="2890"/>
    <x v="2917"/>
    <x v="244"/>
    <x v="0"/>
    <x v="0"/>
    <x v="4"/>
    <x v="176"/>
    <x v="20"/>
    <x v="469"/>
    <x v="4"/>
    <x v="1"/>
    <x v="531"/>
  </r>
  <r>
    <x v="0"/>
    <x v="771"/>
    <x v="266"/>
    <x v="7"/>
    <x v="171"/>
    <x v="829"/>
    <x v="175"/>
    <x v="2715"/>
    <x v="298"/>
    <x v="1126"/>
    <x v="1274"/>
    <x v="2084"/>
    <x v="2918"/>
    <x v="2912"/>
    <x v="2667"/>
    <x v="1"/>
    <x v="2891"/>
    <x v="2918"/>
    <x v="225"/>
    <x v="0"/>
    <x v="0"/>
    <x v="2"/>
    <x v="4"/>
    <x v="5"/>
    <x v="117"/>
    <x v="27"/>
    <x v="1"/>
    <x v="1"/>
  </r>
  <r>
    <x v="0"/>
    <x v="250"/>
    <x v="221"/>
    <x v="18"/>
    <x v="168"/>
    <x v="264"/>
    <x v="2"/>
    <x v="2716"/>
    <x v="17"/>
    <x v="203"/>
    <x v="1748"/>
    <x v="2085"/>
    <x v="2919"/>
    <x v="2913"/>
    <x v="2668"/>
    <x v="1"/>
    <x v="2892"/>
    <x v="2919"/>
    <x v="481"/>
    <x v="0"/>
    <x v="0"/>
    <x v="4"/>
    <x v="4"/>
    <x v="8"/>
    <x v="96"/>
    <x v="10"/>
    <x v="3"/>
    <x v="1"/>
  </r>
  <r>
    <x v="0"/>
    <x v="784"/>
    <x v="384"/>
    <x v="40"/>
    <x v="164"/>
    <x v="754"/>
    <x v="0"/>
    <x v="4"/>
    <x v="368"/>
    <x v="327"/>
    <x v="1749"/>
    <x v="2086"/>
    <x v="2920"/>
    <x v="2914"/>
    <x v="2669"/>
    <x v="0"/>
    <x v="2893"/>
    <x v="2920"/>
    <x v="823"/>
    <x v="0"/>
    <x v="0"/>
    <x v="4"/>
    <x v="176"/>
    <x v="37"/>
    <x v="724"/>
    <x v="4"/>
    <x v="3"/>
    <x v="103"/>
  </r>
  <r>
    <x v="0"/>
    <x v="467"/>
    <x v="202"/>
    <x v="7"/>
    <x v="244"/>
    <x v="1"/>
    <x v="32"/>
    <x v="2717"/>
    <x v="425"/>
    <x v="59"/>
    <x v="54"/>
    <x v="13"/>
    <x v="2921"/>
    <x v="2915"/>
    <x v="2670"/>
    <x v="0"/>
    <x v="2894"/>
    <x v="2921"/>
    <x v="495"/>
    <x v="0"/>
    <x v="1"/>
    <x v="0"/>
    <x v="4"/>
    <x v="17"/>
    <x v="20"/>
    <x v="15"/>
    <x v="1"/>
    <x v="1"/>
  </r>
  <r>
    <x v="0"/>
    <x v="72"/>
    <x v="368"/>
    <x v="165"/>
    <x v="57"/>
    <x v="325"/>
    <x v="586"/>
    <x v="2718"/>
    <x v="698"/>
    <x v="1127"/>
    <x v="1750"/>
    <x v="2087"/>
    <x v="2922"/>
    <x v="2916"/>
    <x v="2671"/>
    <x v="0"/>
    <x v="2895"/>
    <x v="2922"/>
    <x v="246"/>
    <x v="15"/>
    <x v="30"/>
    <x v="4"/>
    <x v="137"/>
    <x v="37"/>
    <x v="244"/>
    <x v="26"/>
    <x v="3"/>
    <x v="59"/>
  </r>
  <r>
    <x v="0"/>
    <x v="199"/>
    <x v="257"/>
    <x v="64"/>
    <x v="141"/>
    <x v="138"/>
    <x v="35"/>
    <x v="336"/>
    <x v="161"/>
    <x v="184"/>
    <x v="188"/>
    <x v="169"/>
    <x v="344"/>
    <x v="344"/>
    <x v="339"/>
    <x v="0"/>
    <x v="341"/>
    <x v="344"/>
    <x v="312"/>
    <x v="0"/>
    <x v="0"/>
    <x v="0"/>
    <x v="58"/>
    <x v="14"/>
    <x v="46"/>
    <x v="19"/>
    <x v="1"/>
    <x v="102"/>
  </r>
  <r>
    <x v="0"/>
    <x v="1244"/>
    <x v="302"/>
    <x v="41"/>
    <x v="211"/>
    <x v="247"/>
    <x v="128"/>
    <x v="2719"/>
    <x v="125"/>
    <x v="1128"/>
    <x v="1751"/>
    <x v="2088"/>
    <x v="2923"/>
    <x v="2917"/>
    <x v="1338"/>
    <x v="3"/>
    <x v="2896"/>
    <x v="2923"/>
    <x v="715"/>
    <x v="0"/>
    <x v="0"/>
    <x v="4"/>
    <x v="176"/>
    <x v="19"/>
    <x v="188"/>
    <x v="28"/>
    <x v="3"/>
    <x v="363"/>
  </r>
  <r>
    <x v="0"/>
    <x v="482"/>
    <x v="164"/>
    <x v="32"/>
    <x v="248"/>
    <x v="616"/>
    <x v="464"/>
    <x v="2720"/>
    <x v="49"/>
    <x v="1129"/>
    <x v="1398"/>
    <x v="2089"/>
    <x v="2924"/>
    <x v="2918"/>
    <x v="2672"/>
    <x v="1"/>
    <x v="2897"/>
    <x v="2924"/>
    <x v="199"/>
    <x v="0"/>
    <x v="1"/>
    <x v="4"/>
    <x v="176"/>
    <x v="9"/>
    <x v="432"/>
    <x v="6"/>
    <x v="1"/>
    <x v="131"/>
  </r>
  <r>
    <x v="0"/>
    <x v="187"/>
    <x v="61"/>
    <x v="73"/>
    <x v="133"/>
    <x v="597"/>
    <x v="301"/>
    <x v="2721"/>
    <x v="16"/>
    <x v="549"/>
    <x v="1752"/>
    <x v="2090"/>
    <x v="2925"/>
    <x v="2919"/>
    <x v="2673"/>
    <x v="3"/>
    <x v="2898"/>
    <x v="2925"/>
    <x v="638"/>
    <x v="4"/>
    <x v="9"/>
    <x v="0"/>
    <x v="32"/>
    <x v="14"/>
    <x v="792"/>
    <x v="32"/>
    <x v="1"/>
    <x v="1"/>
  </r>
  <r>
    <x v="0"/>
    <x v="1245"/>
    <x v="88"/>
    <x v="86"/>
    <x v="180"/>
    <x v="677"/>
    <x v="386"/>
    <x v="2722"/>
    <x v="306"/>
    <x v="1130"/>
    <x v="1753"/>
    <x v="1227"/>
    <x v="2926"/>
    <x v="2920"/>
    <x v="2674"/>
    <x v="1"/>
    <x v="2899"/>
    <x v="2926"/>
    <x v="147"/>
    <x v="0"/>
    <x v="0"/>
    <x v="4"/>
    <x v="176"/>
    <x v="3"/>
    <x v="381"/>
    <x v="4"/>
    <x v="3"/>
    <x v="1"/>
  </r>
  <r>
    <x v="0"/>
    <x v="1246"/>
    <x v="325"/>
    <x v="11"/>
    <x v="106"/>
    <x v="161"/>
    <x v="583"/>
    <x v="2723"/>
    <x v="232"/>
    <x v="1131"/>
    <x v="1754"/>
    <x v="2091"/>
    <x v="2927"/>
    <x v="2921"/>
    <x v="2675"/>
    <x v="0"/>
    <x v="2900"/>
    <x v="2927"/>
    <x v="299"/>
    <x v="0"/>
    <x v="0"/>
    <x v="0"/>
    <x v="176"/>
    <x v="2"/>
    <x v="550"/>
    <x v="21"/>
    <x v="1"/>
    <x v="1"/>
  </r>
  <r>
    <x v="0"/>
    <x v="1247"/>
    <x v="225"/>
    <x v="56"/>
    <x v="113"/>
    <x v="830"/>
    <x v="188"/>
    <x v="2724"/>
    <x v="316"/>
    <x v="354"/>
    <x v="1755"/>
    <x v="2092"/>
    <x v="2928"/>
    <x v="2922"/>
    <x v="2676"/>
    <x v="3"/>
    <x v="2901"/>
    <x v="2928"/>
    <x v="129"/>
    <x v="0"/>
    <x v="0"/>
    <x v="4"/>
    <x v="176"/>
    <x v="8"/>
    <x v="228"/>
    <x v="15"/>
    <x v="1"/>
    <x v="1"/>
  </r>
  <r>
    <x v="0"/>
    <x v="1248"/>
    <x v="207"/>
    <x v="113"/>
    <x v="73"/>
    <x v="820"/>
    <x v="199"/>
    <x v="2725"/>
    <x v="70"/>
    <x v="554"/>
    <x v="935"/>
    <x v="2093"/>
    <x v="2929"/>
    <x v="2923"/>
    <x v="2677"/>
    <x v="0"/>
    <x v="2902"/>
    <x v="2929"/>
    <x v="212"/>
    <x v="0"/>
    <x v="0"/>
    <x v="0"/>
    <x v="70"/>
    <x v="21"/>
    <x v="529"/>
    <x v="20"/>
    <x v="3"/>
    <x v="283"/>
  </r>
  <r>
    <x v="0"/>
    <x v="1249"/>
    <x v="459"/>
    <x v="54"/>
    <x v="355"/>
    <x v="232"/>
    <x v="0"/>
    <x v="2726"/>
    <x v="103"/>
    <x v="738"/>
    <x v="582"/>
    <x v="294"/>
    <x v="2930"/>
    <x v="2924"/>
    <x v="2678"/>
    <x v="0"/>
    <x v="2903"/>
    <x v="2930"/>
    <x v="749"/>
    <x v="0"/>
    <x v="5"/>
    <x v="4"/>
    <x v="83"/>
    <x v="29"/>
    <x v="30"/>
    <x v="18"/>
    <x v="3"/>
    <x v="103"/>
  </r>
  <r>
    <x v="0"/>
    <x v="1250"/>
    <x v="235"/>
    <x v="107"/>
    <x v="148"/>
    <x v="773"/>
    <x v="58"/>
    <x v="2727"/>
    <x v="125"/>
    <x v="100"/>
    <x v="509"/>
    <x v="1660"/>
    <x v="2931"/>
    <x v="2925"/>
    <x v="1815"/>
    <x v="0"/>
    <x v="2904"/>
    <x v="2931"/>
    <x v="549"/>
    <x v="0"/>
    <x v="0"/>
    <x v="0"/>
    <x v="176"/>
    <x v="7"/>
    <x v="330"/>
    <x v="22"/>
    <x v="3"/>
    <x v="371"/>
  </r>
  <r>
    <x v="1"/>
    <x v="696"/>
    <x v="277"/>
    <x v="18"/>
    <x v="201"/>
    <x v="345"/>
    <x v="161"/>
    <x v="2728"/>
    <x v="200"/>
    <x v="1132"/>
    <x v="1756"/>
    <x v="2094"/>
    <x v="2932"/>
    <x v="2926"/>
    <x v="1291"/>
    <x v="0"/>
    <x v="2905"/>
    <x v="2932"/>
    <x v="290"/>
    <x v="0"/>
    <x v="0"/>
    <x v="4"/>
    <x v="176"/>
    <x v="20"/>
    <x v="579"/>
    <x v="22"/>
    <x v="10"/>
    <x v="221"/>
  </r>
  <r>
    <x v="0"/>
    <x v="350"/>
    <x v="125"/>
    <x v="40"/>
    <x v="208"/>
    <x v="802"/>
    <x v="176"/>
    <x v="2729"/>
    <x v="200"/>
    <x v="1133"/>
    <x v="1757"/>
    <x v="2095"/>
    <x v="2933"/>
    <x v="2927"/>
    <x v="2679"/>
    <x v="0"/>
    <x v="2906"/>
    <x v="2933"/>
    <x v="559"/>
    <x v="0"/>
    <x v="0"/>
    <x v="4"/>
    <x v="176"/>
    <x v="7"/>
    <x v="538"/>
    <x v="5"/>
    <x v="1"/>
    <x v="1"/>
  </r>
  <r>
    <x v="0"/>
    <x v="1060"/>
    <x v="370"/>
    <x v="78"/>
    <x v="143"/>
    <x v="591"/>
    <x v="587"/>
    <x v="2730"/>
    <x v="616"/>
    <x v="1134"/>
    <x v="1758"/>
    <x v="2096"/>
    <x v="2934"/>
    <x v="2928"/>
    <x v="2680"/>
    <x v="4"/>
    <x v="2907"/>
    <x v="2934"/>
    <x v="621"/>
    <x v="0"/>
    <x v="0"/>
    <x v="2"/>
    <x v="176"/>
    <x v="17"/>
    <x v="677"/>
    <x v="74"/>
    <x v="3"/>
    <x v="1"/>
  </r>
  <r>
    <x v="0"/>
    <x v="437"/>
    <x v="421"/>
    <x v="26"/>
    <x v="0"/>
    <x v="259"/>
    <x v="99"/>
    <x v="2731"/>
    <x v="200"/>
    <x v="178"/>
    <x v="542"/>
    <x v="855"/>
    <x v="2935"/>
    <x v="2929"/>
    <x v="2681"/>
    <x v="3"/>
    <x v="2908"/>
    <x v="2935"/>
    <x v="631"/>
    <x v="0"/>
    <x v="0"/>
    <x v="4"/>
    <x v="176"/>
    <x v="25"/>
    <x v="352"/>
    <x v="40"/>
    <x v="3"/>
    <x v="477"/>
  </r>
  <r>
    <x v="0"/>
    <x v="1251"/>
    <x v="291"/>
    <x v="18"/>
    <x v="356"/>
    <x v="358"/>
    <x v="0"/>
    <x v="2732"/>
    <x v="60"/>
    <x v="543"/>
    <x v="1759"/>
    <x v="2097"/>
    <x v="2936"/>
    <x v="2930"/>
    <x v="2588"/>
    <x v="0"/>
    <x v="2909"/>
    <x v="2936"/>
    <x v="783"/>
    <x v="0"/>
    <x v="5"/>
    <x v="4"/>
    <x v="176"/>
    <x v="17"/>
    <x v="638"/>
    <x v="43"/>
    <x v="3"/>
    <x v="532"/>
  </r>
  <r>
    <x v="0"/>
    <x v="761"/>
    <x v="136"/>
    <x v="47"/>
    <x v="296"/>
    <x v="48"/>
    <x v="326"/>
    <x v="2733"/>
    <x v="17"/>
    <x v="1113"/>
    <x v="491"/>
    <x v="2098"/>
    <x v="2937"/>
    <x v="2931"/>
    <x v="2682"/>
    <x v="0"/>
    <x v="2910"/>
    <x v="2937"/>
    <x v="465"/>
    <x v="0"/>
    <x v="0"/>
    <x v="4"/>
    <x v="176"/>
    <x v="8"/>
    <x v="319"/>
    <x v="1"/>
    <x v="1"/>
    <x v="1"/>
  </r>
  <r>
    <x v="0"/>
    <x v="1252"/>
    <x v="258"/>
    <x v="56"/>
    <x v="167"/>
    <x v="20"/>
    <x v="15"/>
    <x v="2734"/>
    <x v="270"/>
    <x v="212"/>
    <x v="48"/>
    <x v="2099"/>
    <x v="2938"/>
    <x v="2932"/>
    <x v="2683"/>
    <x v="7"/>
    <x v="2911"/>
    <x v="2938"/>
    <x v="195"/>
    <x v="0"/>
    <x v="1"/>
    <x v="4"/>
    <x v="176"/>
    <x v="18"/>
    <x v="30"/>
    <x v="15"/>
    <x v="1"/>
    <x v="533"/>
  </r>
  <r>
    <x v="0"/>
    <x v="588"/>
    <x v="511"/>
    <x v="47"/>
    <x v="271"/>
    <x v="323"/>
    <x v="232"/>
    <x v="2735"/>
    <x v="699"/>
    <x v="1135"/>
    <x v="1760"/>
    <x v="2100"/>
    <x v="993"/>
    <x v="2933"/>
    <x v="251"/>
    <x v="0"/>
    <x v="2912"/>
    <x v="2939"/>
    <x v="491"/>
    <x v="24"/>
    <x v="18"/>
    <x v="4"/>
    <x v="241"/>
    <x v="7"/>
    <x v="538"/>
    <x v="15"/>
    <x v="3"/>
    <x v="115"/>
  </r>
  <r>
    <x v="0"/>
    <x v="150"/>
    <x v="412"/>
    <x v="7"/>
    <x v="111"/>
    <x v="322"/>
    <x v="22"/>
    <x v="4"/>
    <x v="700"/>
    <x v="226"/>
    <x v="772"/>
    <x v="2101"/>
    <x v="2939"/>
    <x v="2934"/>
    <x v="2684"/>
    <x v="0"/>
    <x v="2913"/>
    <x v="2940"/>
    <x v="896"/>
    <x v="0"/>
    <x v="0"/>
    <x v="2"/>
    <x v="176"/>
    <x v="37"/>
    <x v="237"/>
    <x v="20"/>
    <x v="3"/>
    <x v="534"/>
  </r>
  <r>
    <x v="0"/>
    <x v="1253"/>
    <x v="333"/>
    <x v="59"/>
    <x v="226"/>
    <x v="739"/>
    <x v="55"/>
    <x v="2736"/>
    <x v="560"/>
    <x v="1136"/>
    <x v="424"/>
    <x v="1514"/>
    <x v="2940"/>
    <x v="2935"/>
    <x v="2355"/>
    <x v="0"/>
    <x v="2914"/>
    <x v="2941"/>
    <x v="271"/>
    <x v="0"/>
    <x v="15"/>
    <x v="4"/>
    <x v="176"/>
    <x v="15"/>
    <x v="285"/>
    <x v="1"/>
    <x v="1"/>
    <x v="1"/>
  </r>
  <r>
    <x v="0"/>
    <x v="1254"/>
    <x v="265"/>
    <x v="55"/>
    <x v="131"/>
    <x v="227"/>
    <x v="20"/>
    <x v="2737"/>
    <x v="105"/>
    <x v="21"/>
    <x v="1761"/>
    <x v="1217"/>
    <x v="2941"/>
    <x v="2936"/>
    <x v="2685"/>
    <x v="7"/>
    <x v="2915"/>
    <x v="2942"/>
    <x v="390"/>
    <x v="0"/>
    <x v="0"/>
    <x v="4"/>
    <x v="176"/>
    <x v="1"/>
    <x v="195"/>
    <x v="15"/>
    <x v="3"/>
    <x v="1"/>
  </r>
  <r>
    <x v="0"/>
    <x v="1255"/>
    <x v="89"/>
    <x v="100"/>
    <x v="357"/>
    <x v="732"/>
    <x v="215"/>
    <x v="2738"/>
    <x v="270"/>
    <x v="1137"/>
    <x v="1762"/>
    <x v="2102"/>
    <x v="2942"/>
    <x v="2937"/>
    <x v="2686"/>
    <x v="4"/>
    <x v="2916"/>
    <x v="2943"/>
    <x v="390"/>
    <x v="17"/>
    <x v="20"/>
    <x v="9"/>
    <x v="242"/>
    <x v="9"/>
    <x v="561"/>
    <x v="16"/>
    <x v="1"/>
    <x v="5"/>
  </r>
  <r>
    <x v="0"/>
    <x v="1256"/>
    <x v="239"/>
    <x v="27"/>
    <x v="0"/>
    <x v="37"/>
    <x v="0"/>
    <x v="2739"/>
    <x v="200"/>
    <x v="1028"/>
    <x v="1763"/>
    <x v="2103"/>
    <x v="2943"/>
    <x v="2938"/>
    <x v="2198"/>
    <x v="2"/>
    <x v="2917"/>
    <x v="2944"/>
    <x v="138"/>
    <x v="0"/>
    <x v="0"/>
    <x v="4"/>
    <x v="176"/>
    <x v="19"/>
    <x v="186"/>
    <x v="1"/>
    <x v="3"/>
    <x v="49"/>
  </r>
  <r>
    <x v="0"/>
    <x v="1257"/>
    <x v="39"/>
    <x v="77"/>
    <x v="0"/>
    <x v="397"/>
    <x v="22"/>
    <x v="2740"/>
    <x v="306"/>
    <x v="1138"/>
    <x v="1764"/>
    <x v="2104"/>
    <x v="2944"/>
    <x v="2939"/>
    <x v="1168"/>
    <x v="2"/>
    <x v="2918"/>
    <x v="2945"/>
    <x v="527"/>
    <x v="0"/>
    <x v="1"/>
    <x v="4"/>
    <x v="176"/>
    <x v="9"/>
    <x v="30"/>
    <x v="2"/>
    <x v="1"/>
    <x v="41"/>
  </r>
  <r>
    <x v="1"/>
    <x v="594"/>
    <x v="123"/>
    <x v="74"/>
    <x v="0"/>
    <x v="362"/>
    <x v="558"/>
    <x v="2741"/>
    <x v="377"/>
    <x v="214"/>
    <x v="804"/>
    <x v="942"/>
    <x v="2945"/>
    <x v="2940"/>
    <x v="2687"/>
    <x v="0"/>
    <x v="2919"/>
    <x v="2946"/>
    <x v="191"/>
    <x v="13"/>
    <x v="14"/>
    <x v="4"/>
    <x v="176"/>
    <x v="14"/>
    <x v="200"/>
    <x v="7"/>
    <x v="1"/>
    <x v="1"/>
  </r>
  <r>
    <x v="0"/>
    <x v="1258"/>
    <x v="313"/>
    <x v="43"/>
    <x v="353"/>
    <x v="325"/>
    <x v="588"/>
    <x v="2742"/>
    <x v="352"/>
    <x v="1139"/>
    <x v="1765"/>
    <x v="2105"/>
    <x v="2946"/>
    <x v="2941"/>
    <x v="2688"/>
    <x v="2"/>
    <x v="2920"/>
    <x v="2947"/>
    <x v="724"/>
    <x v="0"/>
    <x v="0"/>
    <x v="0"/>
    <x v="176"/>
    <x v="1"/>
    <x v="514"/>
    <x v="22"/>
    <x v="3"/>
    <x v="287"/>
  </r>
  <r>
    <x v="0"/>
    <x v="1259"/>
    <x v="428"/>
    <x v="7"/>
    <x v="107"/>
    <x v="12"/>
    <x v="556"/>
    <x v="2743"/>
    <x v="259"/>
    <x v="1140"/>
    <x v="1406"/>
    <x v="281"/>
    <x v="2947"/>
    <x v="2942"/>
    <x v="591"/>
    <x v="0"/>
    <x v="2921"/>
    <x v="2948"/>
    <x v="712"/>
    <x v="0"/>
    <x v="0"/>
    <x v="2"/>
    <x v="176"/>
    <x v="12"/>
    <x v="104"/>
    <x v="11"/>
    <x v="3"/>
    <x v="1"/>
  </r>
  <r>
    <x v="0"/>
    <x v="435"/>
    <x v="318"/>
    <x v="70"/>
    <x v="236"/>
    <x v="815"/>
    <x v="67"/>
    <x v="2744"/>
    <x v="293"/>
    <x v="118"/>
    <x v="453"/>
    <x v="2106"/>
    <x v="2948"/>
    <x v="2943"/>
    <x v="1682"/>
    <x v="4"/>
    <x v="2922"/>
    <x v="2949"/>
    <x v="448"/>
    <x v="0"/>
    <x v="25"/>
    <x v="0"/>
    <x v="176"/>
    <x v="0"/>
    <x v="299"/>
    <x v="2"/>
    <x v="3"/>
    <x v="1"/>
  </r>
  <r>
    <x v="0"/>
    <x v="1260"/>
    <x v="225"/>
    <x v="37"/>
    <x v="0"/>
    <x v="355"/>
    <x v="191"/>
    <x v="2745"/>
    <x v="168"/>
    <x v="536"/>
    <x v="1766"/>
    <x v="2107"/>
    <x v="2949"/>
    <x v="2944"/>
    <x v="2689"/>
    <x v="0"/>
    <x v="2923"/>
    <x v="2950"/>
    <x v="431"/>
    <x v="0"/>
    <x v="0"/>
    <x v="4"/>
    <x v="70"/>
    <x v="21"/>
    <x v="793"/>
    <x v="13"/>
    <x v="3"/>
    <x v="1"/>
  </r>
  <r>
    <x v="0"/>
    <x v="20"/>
    <x v="365"/>
    <x v="107"/>
    <x v="13"/>
    <x v="831"/>
    <x v="100"/>
    <x v="2746"/>
    <x v="70"/>
    <x v="181"/>
    <x v="1767"/>
    <x v="2108"/>
    <x v="2950"/>
    <x v="2945"/>
    <x v="2291"/>
    <x v="0"/>
    <x v="2924"/>
    <x v="2951"/>
    <x v="129"/>
    <x v="0"/>
    <x v="0"/>
    <x v="4"/>
    <x v="176"/>
    <x v="19"/>
    <x v="400"/>
    <x v="21"/>
    <x v="1"/>
    <x v="535"/>
  </r>
  <r>
    <x v="0"/>
    <x v="859"/>
    <x v="429"/>
    <x v="86"/>
    <x v="0"/>
    <x v="331"/>
    <x v="435"/>
    <x v="2747"/>
    <x v="200"/>
    <x v="787"/>
    <x v="895"/>
    <x v="445"/>
    <x v="2951"/>
    <x v="2946"/>
    <x v="2690"/>
    <x v="4"/>
    <x v="2925"/>
    <x v="2952"/>
    <x v="818"/>
    <x v="0"/>
    <x v="5"/>
    <x v="4"/>
    <x v="176"/>
    <x v="13"/>
    <x v="507"/>
    <x v="19"/>
    <x v="3"/>
    <x v="536"/>
  </r>
  <r>
    <x v="0"/>
    <x v="1051"/>
    <x v="239"/>
    <x v="78"/>
    <x v="129"/>
    <x v="175"/>
    <x v="589"/>
    <x v="2748"/>
    <x v="150"/>
    <x v="1141"/>
    <x v="1411"/>
    <x v="1634"/>
    <x v="2952"/>
    <x v="2947"/>
    <x v="1417"/>
    <x v="4"/>
    <x v="2926"/>
    <x v="2953"/>
    <x v="365"/>
    <x v="0"/>
    <x v="0"/>
    <x v="4"/>
    <x v="83"/>
    <x v="1"/>
    <x v="712"/>
    <x v="21"/>
    <x v="1"/>
    <x v="103"/>
  </r>
  <r>
    <x v="0"/>
    <x v="321"/>
    <x v="394"/>
    <x v="33"/>
    <x v="200"/>
    <x v="268"/>
    <x v="171"/>
    <x v="2749"/>
    <x v="105"/>
    <x v="772"/>
    <x v="1355"/>
    <x v="347"/>
    <x v="2953"/>
    <x v="2948"/>
    <x v="2691"/>
    <x v="1"/>
    <x v="2927"/>
    <x v="2954"/>
    <x v="719"/>
    <x v="0"/>
    <x v="0"/>
    <x v="0"/>
    <x v="4"/>
    <x v="3"/>
    <x v="693"/>
    <x v="37"/>
    <x v="1"/>
    <x v="1"/>
  </r>
  <r>
    <x v="0"/>
    <x v="1261"/>
    <x v="474"/>
    <x v="60"/>
    <x v="143"/>
    <x v="815"/>
    <x v="48"/>
    <x v="2750"/>
    <x v="168"/>
    <x v="81"/>
    <x v="1690"/>
    <x v="2106"/>
    <x v="2954"/>
    <x v="2949"/>
    <x v="2692"/>
    <x v="0"/>
    <x v="2928"/>
    <x v="2955"/>
    <x v="678"/>
    <x v="0"/>
    <x v="8"/>
    <x v="4"/>
    <x v="176"/>
    <x v="1"/>
    <x v="218"/>
    <x v="7"/>
    <x v="1"/>
    <x v="1"/>
  </r>
  <r>
    <x v="0"/>
    <x v="1262"/>
    <x v="345"/>
    <x v="90"/>
    <x v="176"/>
    <x v="298"/>
    <x v="590"/>
    <x v="2751"/>
    <x v="387"/>
    <x v="1142"/>
    <x v="1768"/>
    <x v="2109"/>
    <x v="2955"/>
    <x v="2950"/>
    <x v="2693"/>
    <x v="0"/>
    <x v="2929"/>
    <x v="2956"/>
    <x v="727"/>
    <x v="29"/>
    <x v="33"/>
    <x v="4"/>
    <x v="243"/>
    <x v="12"/>
    <x v="556"/>
    <x v="1"/>
    <x v="1"/>
    <x v="119"/>
  </r>
  <r>
    <x v="0"/>
    <x v="1263"/>
    <x v="372"/>
    <x v="47"/>
    <x v="174"/>
    <x v="569"/>
    <x v="57"/>
    <x v="2752"/>
    <x v="125"/>
    <x v="99"/>
    <x v="652"/>
    <x v="912"/>
    <x v="2956"/>
    <x v="2951"/>
    <x v="2694"/>
    <x v="1"/>
    <x v="2930"/>
    <x v="2957"/>
    <x v="431"/>
    <x v="0"/>
    <x v="0"/>
    <x v="4"/>
    <x v="176"/>
    <x v="15"/>
    <x v="405"/>
    <x v="51"/>
    <x v="3"/>
    <x v="537"/>
  </r>
  <r>
    <x v="0"/>
    <x v="187"/>
    <x v="217"/>
    <x v="54"/>
    <x v="133"/>
    <x v="708"/>
    <x v="590"/>
    <x v="2753"/>
    <x v="200"/>
    <x v="1143"/>
    <x v="1769"/>
    <x v="2110"/>
    <x v="2957"/>
    <x v="2952"/>
    <x v="2695"/>
    <x v="1"/>
    <x v="2931"/>
    <x v="2958"/>
    <x v="822"/>
    <x v="4"/>
    <x v="9"/>
    <x v="4"/>
    <x v="4"/>
    <x v="0"/>
    <x v="231"/>
    <x v="20"/>
    <x v="1"/>
    <x v="538"/>
  </r>
  <r>
    <x v="0"/>
    <x v="727"/>
    <x v="249"/>
    <x v="54"/>
    <x v="124"/>
    <x v="457"/>
    <x v="591"/>
    <x v="4"/>
    <x v="701"/>
    <x v="1144"/>
    <x v="1323"/>
    <x v="1069"/>
    <x v="2958"/>
    <x v="2953"/>
    <x v="2696"/>
    <x v="4"/>
    <x v="2932"/>
    <x v="2959"/>
    <x v="390"/>
    <x v="0"/>
    <x v="0"/>
    <x v="4"/>
    <x v="244"/>
    <x v="19"/>
    <x v="299"/>
    <x v="2"/>
    <x v="3"/>
    <x v="1"/>
  </r>
  <r>
    <x v="1"/>
    <x v="1264"/>
    <x v="290"/>
    <x v="5"/>
    <x v="125"/>
    <x v="708"/>
    <x v="592"/>
    <x v="2754"/>
    <x v="156"/>
    <x v="1145"/>
    <x v="1770"/>
    <x v="2111"/>
    <x v="2959"/>
    <x v="2954"/>
    <x v="2697"/>
    <x v="0"/>
    <x v="2933"/>
    <x v="2960"/>
    <x v="496"/>
    <x v="4"/>
    <x v="9"/>
    <x v="4"/>
    <x v="176"/>
    <x v="0"/>
    <x v="776"/>
    <x v="16"/>
    <x v="1"/>
    <x v="1"/>
  </r>
  <r>
    <x v="0"/>
    <x v="119"/>
    <x v="159"/>
    <x v="50"/>
    <x v="69"/>
    <x v="136"/>
    <x v="30"/>
    <x v="183"/>
    <x v="85"/>
    <x v="110"/>
    <x v="154"/>
    <x v="167"/>
    <x v="186"/>
    <x v="2955"/>
    <x v="184"/>
    <x v="0"/>
    <x v="186"/>
    <x v="186"/>
    <x v="178"/>
    <x v="0"/>
    <x v="0"/>
    <x v="2"/>
    <x v="37"/>
    <x v="2"/>
    <x v="74"/>
    <x v="10"/>
    <x v="3"/>
    <x v="18"/>
  </r>
  <r>
    <x v="0"/>
    <x v="1265"/>
    <x v="451"/>
    <x v="71"/>
    <x v="0"/>
    <x v="719"/>
    <x v="197"/>
    <x v="4"/>
    <x v="58"/>
    <x v="368"/>
    <x v="1229"/>
    <x v="2112"/>
    <x v="2960"/>
    <x v="2956"/>
    <x v="2698"/>
    <x v="0"/>
    <x v="2934"/>
    <x v="2961"/>
    <x v="818"/>
    <x v="4"/>
    <x v="9"/>
    <x v="2"/>
    <x v="4"/>
    <x v="10"/>
    <x v="537"/>
    <x v="75"/>
    <x v="2"/>
    <x v="255"/>
  </r>
  <r>
    <x v="0"/>
    <x v="1266"/>
    <x v="402"/>
    <x v="67"/>
    <x v="143"/>
    <x v="403"/>
    <x v="512"/>
    <x v="4"/>
    <x v="40"/>
    <x v="963"/>
    <x v="1771"/>
    <x v="2113"/>
    <x v="2961"/>
    <x v="2957"/>
    <x v="844"/>
    <x v="0"/>
    <x v="2935"/>
    <x v="2962"/>
    <x v="769"/>
    <x v="2"/>
    <x v="7"/>
    <x v="5"/>
    <x v="176"/>
    <x v="5"/>
    <x v="585"/>
    <x v="9"/>
    <x v="1"/>
    <x v="1"/>
  </r>
  <r>
    <x v="0"/>
    <x v="200"/>
    <x v="336"/>
    <x v="18"/>
    <x v="140"/>
    <x v="325"/>
    <x v="362"/>
    <x v="2755"/>
    <x v="108"/>
    <x v="1146"/>
    <x v="1772"/>
    <x v="2114"/>
    <x v="2962"/>
    <x v="2958"/>
    <x v="2699"/>
    <x v="12"/>
    <x v="2936"/>
    <x v="2963"/>
    <x v="666"/>
    <x v="0"/>
    <x v="46"/>
    <x v="4"/>
    <x v="78"/>
    <x v="10"/>
    <x v="644"/>
    <x v="23"/>
    <x v="1"/>
    <x v="1"/>
  </r>
  <r>
    <x v="0"/>
    <x v="1267"/>
    <x v="150"/>
    <x v="77"/>
    <x v="199"/>
    <x v="736"/>
    <x v="434"/>
    <x v="4"/>
    <x v="702"/>
    <x v="1147"/>
    <x v="1773"/>
    <x v="2115"/>
    <x v="2963"/>
    <x v="2959"/>
    <x v="2700"/>
    <x v="1"/>
    <x v="2937"/>
    <x v="2964"/>
    <x v="300"/>
    <x v="0"/>
    <x v="1"/>
    <x v="4"/>
    <x v="176"/>
    <x v="0"/>
    <x v="696"/>
    <x v="8"/>
    <x v="1"/>
    <x v="38"/>
  </r>
  <r>
    <x v="0"/>
    <x v="1268"/>
    <x v="93"/>
    <x v="70"/>
    <x v="0"/>
    <x v="804"/>
    <x v="0"/>
    <x v="2756"/>
    <x v="270"/>
    <x v="738"/>
    <x v="1774"/>
    <x v="2116"/>
    <x v="2964"/>
    <x v="2960"/>
    <x v="2701"/>
    <x v="1"/>
    <x v="4"/>
    <x v="2965"/>
    <x v="896"/>
    <x v="0"/>
    <x v="0"/>
    <x v="4"/>
    <x v="176"/>
    <x v="2"/>
    <x v="546"/>
    <x v="7"/>
    <x v="3"/>
    <x v="18"/>
  </r>
  <r>
    <x v="0"/>
    <x v="297"/>
    <x v="249"/>
    <x v="77"/>
    <x v="190"/>
    <x v="504"/>
    <x v="593"/>
    <x v="2757"/>
    <x v="113"/>
    <x v="1148"/>
    <x v="1775"/>
    <x v="757"/>
    <x v="2965"/>
    <x v="2961"/>
    <x v="2702"/>
    <x v="9"/>
    <x v="2938"/>
    <x v="2966"/>
    <x v="243"/>
    <x v="0"/>
    <x v="0"/>
    <x v="2"/>
    <x v="176"/>
    <x v="11"/>
    <x v="465"/>
    <x v="27"/>
    <x v="1"/>
    <x v="33"/>
  </r>
  <r>
    <x v="0"/>
    <x v="129"/>
    <x v="285"/>
    <x v="27"/>
    <x v="0"/>
    <x v="1"/>
    <x v="8"/>
    <x v="2758"/>
    <x v="70"/>
    <x v="35"/>
    <x v="40"/>
    <x v="2117"/>
    <x v="2966"/>
    <x v="2962"/>
    <x v="2703"/>
    <x v="5"/>
    <x v="2939"/>
    <x v="2967"/>
    <x v="897"/>
    <x v="0"/>
    <x v="1"/>
    <x v="4"/>
    <x v="224"/>
    <x v="21"/>
    <x v="6"/>
    <x v="24"/>
    <x v="3"/>
    <x v="41"/>
  </r>
  <r>
    <x v="0"/>
    <x v="1269"/>
    <x v="320"/>
    <x v="71"/>
    <x v="255"/>
    <x v="19"/>
    <x v="312"/>
    <x v="4"/>
    <x v="703"/>
    <x v="1149"/>
    <x v="1776"/>
    <x v="2118"/>
    <x v="2967"/>
    <x v="2963"/>
    <x v="2704"/>
    <x v="5"/>
    <x v="4"/>
    <x v="2968"/>
    <x v="791"/>
    <x v="0"/>
    <x v="0"/>
    <x v="2"/>
    <x v="176"/>
    <x v="2"/>
    <x v="326"/>
    <x v="66"/>
    <x v="2"/>
    <x v="539"/>
  </r>
  <r>
    <x v="0"/>
    <x v="1137"/>
    <x v="288"/>
    <x v="33"/>
    <x v="79"/>
    <x v="641"/>
    <x v="328"/>
    <x v="2759"/>
    <x v="471"/>
    <x v="1150"/>
    <x v="1777"/>
    <x v="2119"/>
    <x v="2968"/>
    <x v="2964"/>
    <x v="2705"/>
    <x v="0"/>
    <x v="2940"/>
    <x v="2969"/>
    <x v="248"/>
    <x v="0"/>
    <x v="0"/>
    <x v="4"/>
    <x v="223"/>
    <x v="30"/>
    <x v="144"/>
    <x v="4"/>
    <x v="3"/>
    <x v="1"/>
  </r>
  <r>
    <x v="0"/>
    <x v="1270"/>
    <x v="429"/>
    <x v="90"/>
    <x v="0"/>
    <x v="597"/>
    <x v="594"/>
    <x v="2760"/>
    <x v="270"/>
    <x v="1151"/>
    <x v="1778"/>
    <x v="2120"/>
    <x v="2969"/>
    <x v="2965"/>
    <x v="1998"/>
    <x v="0"/>
    <x v="2941"/>
    <x v="2970"/>
    <x v="408"/>
    <x v="2"/>
    <x v="7"/>
    <x v="1"/>
    <x v="245"/>
    <x v="27"/>
    <x v="794"/>
    <x v="7"/>
    <x v="3"/>
    <x v="540"/>
  </r>
  <r>
    <x v="0"/>
    <x v="1271"/>
    <x v="311"/>
    <x v="7"/>
    <x v="216"/>
    <x v="145"/>
    <x v="109"/>
    <x v="4"/>
    <x v="306"/>
    <x v="205"/>
    <x v="1779"/>
    <x v="2021"/>
    <x v="2970"/>
    <x v="2966"/>
    <x v="2092"/>
    <x v="4"/>
    <x v="2942"/>
    <x v="2971"/>
    <x v="788"/>
    <x v="0"/>
    <x v="1"/>
    <x v="4"/>
    <x v="223"/>
    <x v="0"/>
    <x v="795"/>
    <x v="19"/>
    <x v="1"/>
    <x v="541"/>
  </r>
  <r>
    <x v="0"/>
    <x v="1272"/>
    <x v="489"/>
    <x v="29"/>
    <x v="221"/>
    <x v="621"/>
    <x v="595"/>
    <x v="4"/>
    <x v="270"/>
    <x v="1152"/>
    <x v="1780"/>
    <x v="2121"/>
    <x v="2971"/>
    <x v="2967"/>
    <x v="2706"/>
    <x v="1"/>
    <x v="4"/>
    <x v="2972"/>
    <x v="843"/>
    <x v="21"/>
    <x v="9"/>
    <x v="1"/>
    <x v="176"/>
    <x v="2"/>
    <x v="327"/>
    <x v="5"/>
    <x v="1"/>
    <x v="404"/>
  </r>
  <r>
    <x v="0"/>
    <x v="259"/>
    <x v="176"/>
    <x v="11"/>
    <x v="173"/>
    <x v="87"/>
    <x v="521"/>
    <x v="2761"/>
    <x v="63"/>
    <x v="1153"/>
    <x v="1781"/>
    <x v="2122"/>
    <x v="2972"/>
    <x v="2968"/>
    <x v="2707"/>
    <x v="0"/>
    <x v="2943"/>
    <x v="2973"/>
    <x v="479"/>
    <x v="0"/>
    <x v="0"/>
    <x v="2"/>
    <x v="190"/>
    <x v="31"/>
    <x v="677"/>
    <x v="13"/>
    <x v="5"/>
    <x v="57"/>
  </r>
  <r>
    <x v="0"/>
    <x v="142"/>
    <x v="496"/>
    <x v="31"/>
    <x v="0"/>
    <x v="662"/>
    <x v="2"/>
    <x v="2762"/>
    <x v="0"/>
    <x v="42"/>
    <x v="1782"/>
    <x v="1189"/>
    <x v="2973"/>
    <x v="2969"/>
    <x v="2708"/>
    <x v="1"/>
    <x v="2944"/>
    <x v="2974"/>
    <x v="898"/>
    <x v="0"/>
    <x v="0"/>
    <x v="2"/>
    <x v="190"/>
    <x v="47"/>
    <x v="30"/>
    <x v="50"/>
    <x v="1"/>
    <x v="0"/>
  </r>
  <r>
    <x v="0"/>
    <x v="1273"/>
    <x v="287"/>
    <x v="56"/>
    <x v="31"/>
    <x v="832"/>
    <x v="13"/>
    <x v="2763"/>
    <x v="125"/>
    <x v="158"/>
    <x v="706"/>
    <x v="2123"/>
    <x v="2974"/>
    <x v="2970"/>
    <x v="2709"/>
    <x v="1"/>
    <x v="2945"/>
    <x v="2975"/>
    <x v="690"/>
    <x v="0"/>
    <x v="0"/>
    <x v="4"/>
    <x v="223"/>
    <x v="6"/>
    <x v="72"/>
    <x v="19"/>
    <x v="1"/>
    <x v="59"/>
  </r>
  <r>
    <x v="0"/>
    <x v="767"/>
    <x v="332"/>
    <x v="166"/>
    <x v="298"/>
    <x v="742"/>
    <x v="510"/>
    <x v="2764"/>
    <x v="387"/>
    <x v="957"/>
    <x v="1783"/>
    <x v="1521"/>
    <x v="2975"/>
    <x v="2971"/>
    <x v="2710"/>
    <x v="4"/>
    <x v="2946"/>
    <x v="2976"/>
    <x v="363"/>
    <x v="0"/>
    <x v="0"/>
    <x v="0"/>
    <x v="190"/>
    <x v="52"/>
    <x v="246"/>
    <x v="25"/>
    <x v="1"/>
    <x v="115"/>
  </r>
  <r>
    <x v="0"/>
    <x v="564"/>
    <x v="217"/>
    <x v="37"/>
    <x v="144"/>
    <x v="320"/>
    <x v="365"/>
    <x v="2765"/>
    <x v="704"/>
    <x v="1154"/>
    <x v="1784"/>
    <x v="2124"/>
    <x v="2976"/>
    <x v="2972"/>
    <x v="723"/>
    <x v="0"/>
    <x v="2947"/>
    <x v="2977"/>
    <x v="721"/>
    <x v="30"/>
    <x v="1"/>
    <x v="4"/>
    <x v="4"/>
    <x v="11"/>
    <x v="463"/>
    <x v="13"/>
    <x v="1"/>
    <x v="1"/>
  </r>
  <r>
    <x v="0"/>
    <x v="353"/>
    <x v="342"/>
    <x v="52"/>
    <x v="209"/>
    <x v="833"/>
    <x v="301"/>
    <x v="2766"/>
    <x v="235"/>
    <x v="1155"/>
    <x v="1785"/>
    <x v="2125"/>
    <x v="2977"/>
    <x v="2973"/>
    <x v="2711"/>
    <x v="1"/>
    <x v="2948"/>
    <x v="2978"/>
    <x v="372"/>
    <x v="0"/>
    <x v="0"/>
    <x v="3"/>
    <x v="190"/>
    <x v="8"/>
    <x v="536"/>
    <x v="33"/>
    <x v="3"/>
    <x v="1"/>
  </r>
  <r>
    <x v="0"/>
    <x v="363"/>
    <x v="512"/>
    <x v="38"/>
    <x v="213"/>
    <x v="166"/>
    <x v="29"/>
    <x v="2767"/>
    <x v="122"/>
    <x v="34"/>
    <x v="1786"/>
    <x v="1171"/>
    <x v="2978"/>
    <x v="2974"/>
    <x v="2712"/>
    <x v="4"/>
    <x v="2949"/>
    <x v="2979"/>
    <x v="837"/>
    <x v="0"/>
    <x v="0"/>
    <x v="4"/>
    <x v="131"/>
    <x v="5"/>
    <x v="786"/>
    <x v="0"/>
    <x v="1"/>
    <x v="88"/>
  </r>
  <r>
    <x v="0"/>
    <x v="899"/>
    <x v="209"/>
    <x v="80"/>
    <x v="108"/>
    <x v="337"/>
    <x v="460"/>
    <x v="2768"/>
    <x v="590"/>
    <x v="842"/>
    <x v="1353"/>
    <x v="1586"/>
    <x v="2979"/>
    <x v="2975"/>
    <x v="2713"/>
    <x v="0"/>
    <x v="2950"/>
    <x v="2980"/>
    <x v="216"/>
    <x v="0"/>
    <x v="0"/>
    <x v="4"/>
    <x v="4"/>
    <x v="7"/>
    <x v="459"/>
    <x v="1"/>
    <x v="3"/>
    <x v="172"/>
  </r>
  <r>
    <x v="0"/>
    <x v="592"/>
    <x v="390"/>
    <x v="60"/>
    <x v="151"/>
    <x v="598"/>
    <x v="71"/>
    <x v="2769"/>
    <x v="70"/>
    <x v="1062"/>
    <x v="301"/>
    <x v="2126"/>
    <x v="2980"/>
    <x v="2976"/>
    <x v="2714"/>
    <x v="1"/>
    <x v="2951"/>
    <x v="2981"/>
    <x v="781"/>
    <x v="0"/>
    <x v="0"/>
    <x v="4"/>
    <x v="190"/>
    <x v="29"/>
    <x v="203"/>
    <x v="7"/>
    <x v="3"/>
    <x v="115"/>
  </r>
  <r>
    <x v="0"/>
    <x v="1274"/>
    <x v="142"/>
    <x v="86"/>
    <x v="5"/>
    <x v="154"/>
    <x v="30"/>
    <x v="2770"/>
    <x v="705"/>
    <x v="53"/>
    <x v="1787"/>
    <x v="190"/>
    <x v="2981"/>
    <x v="2977"/>
    <x v="2715"/>
    <x v="3"/>
    <x v="2952"/>
    <x v="2982"/>
    <x v="320"/>
    <x v="0"/>
    <x v="0"/>
    <x v="0"/>
    <x v="190"/>
    <x v="11"/>
    <x v="30"/>
    <x v="2"/>
    <x v="1"/>
    <x v="61"/>
  </r>
  <r>
    <x v="0"/>
    <x v="882"/>
    <x v="421"/>
    <x v="80"/>
    <x v="217"/>
    <x v="792"/>
    <x v="512"/>
    <x v="4"/>
    <x v="132"/>
    <x v="1156"/>
    <x v="1382"/>
    <x v="2127"/>
    <x v="2982"/>
    <x v="2978"/>
    <x v="2716"/>
    <x v="4"/>
    <x v="4"/>
    <x v="2983"/>
    <x v="631"/>
    <x v="0"/>
    <x v="4"/>
    <x v="9"/>
    <x v="176"/>
    <x v="11"/>
    <x v="705"/>
    <x v="44"/>
    <x v="2"/>
    <x v="542"/>
  </r>
  <r>
    <x v="0"/>
    <x v="1275"/>
    <x v="394"/>
    <x v="86"/>
    <x v="74"/>
    <x v="27"/>
    <x v="0"/>
    <x v="2771"/>
    <x v="300"/>
    <x v="1157"/>
    <x v="633"/>
    <x v="499"/>
    <x v="2983"/>
    <x v="2979"/>
    <x v="2717"/>
    <x v="3"/>
    <x v="2953"/>
    <x v="2984"/>
    <x v="241"/>
    <x v="0"/>
    <x v="0"/>
    <x v="4"/>
    <x v="190"/>
    <x v="30"/>
    <x v="50"/>
    <x v="13"/>
    <x v="3"/>
    <x v="1"/>
  </r>
  <r>
    <x v="0"/>
    <x v="518"/>
    <x v="392"/>
    <x v="7"/>
    <x v="211"/>
    <x v="834"/>
    <x v="596"/>
    <x v="4"/>
    <x v="125"/>
    <x v="1158"/>
    <x v="1256"/>
    <x v="2128"/>
    <x v="2984"/>
    <x v="2980"/>
    <x v="2718"/>
    <x v="7"/>
    <x v="2954"/>
    <x v="2985"/>
    <x v="386"/>
    <x v="0"/>
    <x v="1"/>
    <x v="0"/>
    <x v="179"/>
    <x v="1"/>
    <x v="285"/>
    <x v="27"/>
    <x v="3"/>
    <x v="1"/>
  </r>
  <r>
    <x v="0"/>
    <x v="133"/>
    <x v="405"/>
    <x v="113"/>
    <x v="98"/>
    <x v="334"/>
    <x v="473"/>
    <x v="2772"/>
    <x v="111"/>
    <x v="416"/>
    <x v="1788"/>
    <x v="2129"/>
    <x v="2985"/>
    <x v="2981"/>
    <x v="2719"/>
    <x v="0"/>
    <x v="2955"/>
    <x v="2986"/>
    <x v="103"/>
    <x v="0"/>
    <x v="0"/>
    <x v="4"/>
    <x v="185"/>
    <x v="19"/>
    <x v="695"/>
    <x v="1"/>
    <x v="1"/>
    <x v="1"/>
  </r>
  <r>
    <x v="0"/>
    <x v="239"/>
    <x v="227"/>
    <x v="59"/>
    <x v="160"/>
    <x v="433"/>
    <x v="262"/>
    <x v="2773"/>
    <x v="17"/>
    <x v="1159"/>
    <x v="1430"/>
    <x v="2130"/>
    <x v="2986"/>
    <x v="2982"/>
    <x v="2720"/>
    <x v="1"/>
    <x v="2956"/>
    <x v="2987"/>
    <x v="798"/>
    <x v="0"/>
    <x v="0"/>
    <x v="2"/>
    <x v="190"/>
    <x v="19"/>
    <x v="86"/>
    <x v="38"/>
    <x v="1"/>
    <x v="64"/>
  </r>
  <r>
    <x v="0"/>
    <x v="678"/>
    <x v="379"/>
    <x v="40"/>
    <x v="0"/>
    <x v="72"/>
    <x v="597"/>
    <x v="2774"/>
    <x v="152"/>
    <x v="1160"/>
    <x v="860"/>
    <x v="2131"/>
    <x v="2987"/>
    <x v="2983"/>
    <x v="2721"/>
    <x v="0"/>
    <x v="2957"/>
    <x v="2988"/>
    <x v="600"/>
    <x v="0"/>
    <x v="1"/>
    <x v="4"/>
    <x v="190"/>
    <x v="16"/>
    <x v="409"/>
    <x v="32"/>
    <x v="3"/>
    <x v="1"/>
  </r>
  <r>
    <x v="0"/>
    <x v="526"/>
    <x v="217"/>
    <x v="55"/>
    <x v="106"/>
    <x v="348"/>
    <x v="41"/>
    <x v="2775"/>
    <x v="17"/>
    <x v="221"/>
    <x v="1469"/>
    <x v="2132"/>
    <x v="2988"/>
    <x v="2984"/>
    <x v="2722"/>
    <x v="3"/>
    <x v="2958"/>
    <x v="2989"/>
    <x v="899"/>
    <x v="0"/>
    <x v="0"/>
    <x v="4"/>
    <x v="238"/>
    <x v="15"/>
    <x v="727"/>
    <x v="8"/>
    <x v="3"/>
    <x v="1"/>
  </r>
  <r>
    <x v="0"/>
    <x v="1027"/>
    <x v="150"/>
    <x v="80"/>
    <x v="79"/>
    <x v="835"/>
    <x v="253"/>
    <x v="2776"/>
    <x v="364"/>
    <x v="464"/>
    <x v="1789"/>
    <x v="2133"/>
    <x v="2989"/>
    <x v="2985"/>
    <x v="2723"/>
    <x v="0"/>
    <x v="2959"/>
    <x v="2990"/>
    <x v="357"/>
    <x v="0"/>
    <x v="4"/>
    <x v="4"/>
    <x v="190"/>
    <x v="0"/>
    <x v="412"/>
    <x v="19"/>
    <x v="3"/>
    <x v="1"/>
  </r>
  <r>
    <x v="0"/>
    <x v="873"/>
    <x v="422"/>
    <x v="80"/>
    <x v="0"/>
    <x v="752"/>
    <x v="0"/>
    <x v="4"/>
    <x v="125"/>
    <x v="1161"/>
    <x v="1790"/>
    <x v="1581"/>
    <x v="2990"/>
    <x v="2986"/>
    <x v="2661"/>
    <x v="0"/>
    <x v="2960"/>
    <x v="2991"/>
    <x v="104"/>
    <x v="0"/>
    <x v="0"/>
    <x v="4"/>
    <x v="190"/>
    <x v="37"/>
    <x v="103"/>
    <x v="8"/>
    <x v="1"/>
    <x v="1"/>
  </r>
  <r>
    <x v="0"/>
    <x v="1102"/>
    <x v="216"/>
    <x v="47"/>
    <x v="95"/>
    <x v="650"/>
    <x v="386"/>
    <x v="2777"/>
    <x v="270"/>
    <x v="1130"/>
    <x v="1791"/>
    <x v="2134"/>
    <x v="2991"/>
    <x v="2987"/>
    <x v="2724"/>
    <x v="7"/>
    <x v="2961"/>
    <x v="2992"/>
    <x v="388"/>
    <x v="0"/>
    <x v="0"/>
    <x v="0"/>
    <x v="190"/>
    <x v="8"/>
    <x v="84"/>
    <x v="11"/>
    <x v="1"/>
    <x v="1"/>
  </r>
  <r>
    <x v="0"/>
    <x v="1276"/>
    <x v="219"/>
    <x v="107"/>
    <x v="78"/>
    <x v="836"/>
    <x v="114"/>
    <x v="2778"/>
    <x v="70"/>
    <x v="291"/>
    <x v="491"/>
    <x v="2135"/>
    <x v="2992"/>
    <x v="2988"/>
    <x v="1831"/>
    <x v="1"/>
    <x v="2962"/>
    <x v="2993"/>
    <x v="360"/>
    <x v="0"/>
    <x v="0"/>
    <x v="0"/>
    <x v="190"/>
    <x v="18"/>
    <x v="319"/>
    <x v="51"/>
    <x v="3"/>
    <x v="389"/>
  </r>
  <r>
    <x v="0"/>
    <x v="209"/>
    <x v="193"/>
    <x v="43"/>
    <x v="0"/>
    <x v="374"/>
    <x v="292"/>
    <x v="2779"/>
    <x v="168"/>
    <x v="1162"/>
    <x v="1792"/>
    <x v="524"/>
    <x v="2993"/>
    <x v="2989"/>
    <x v="1797"/>
    <x v="0"/>
    <x v="2963"/>
    <x v="2994"/>
    <x v="670"/>
    <x v="0"/>
    <x v="0"/>
    <x v="4"/>
    <x v="176"/>
    <x v="29"/>
    <x v="337"/>
    <x v="19"/>
    <x v="3"/>
    <x v="543"/>
  </r>
  <r>
    <x v="0"/>
    <x v="596"/>
    <x v="393"/>
    <x v="97"/>
    <x v="152"/>
    <x v="208"/>
    <x v="57"/>
    <x v="4"/>
    <x v="270"/>
    <x v="237"/>
    <x v="866"/>
    <x v="2136"/>
    <x v="2994"/>
    <x v="2990"/>
    <x v="2725"/>
    <x v="4"/>
    <x v="2964"/>
    <x v="2995"/>
    <x v="816"/>
    <x v="0"/>
    <x v="0"/>
    <x v="2"/>
    <x v="190"/>
    <x v="33"/>
    <x v="181"/>
    <x v="21"/>
    <x v="3"/>
    <x v="544"/>
  </r>
  <r>
    <x v="0"/>
    <x v="624"/>
    <x v="460"/>
    <x v="7"/>
    <x v="15"/>
    <x v="577"/>
    <x v="598"/>
    <x v="2780"/>
    <x v="577"/>
    <x v="1163"/>
    <x v="1793"/>
    <x v="954"/>
    <x v="2995"/>
    <x v="2991"/>
    <x v="2726"/>
    <x v="0"/>
    <x v="2965"/>
    <x v="2996"/>
    <x v="398"/>
    <x v="0"/>
    <x v="0"/>
    <x v="2"/>
    <x v="176"/>
    <x v="43"/>
    <x v="309"/>
    <x v="34"/>
    <x v="1"/>
    <x v="527"/>
  </r>
  <r>
    <x v="0"/>
    <x v="1277"/>
    <x v="144"/>
    <x v="70"/>
    <x v="116"/>
    <x v="588"/>
    <x v="205"/>
    <x v="2781"/>
    <x v="17"/>
    <x v="385"/>
    <x v="1794"/>
    <x v="2137"/>
    <x v="2996"/>
    <x v="2992"/>
    <x v="2727"/>
    <x v="1"/>
    <x v="2966"/>
    <x v="2997"/>
    <x v="657"/>
    <x v="0"/>
    <x v="1"/>
    <x v="0"/>
    <x v="190"/>
    <x v="2"/>
    <x v="704"/>
    <x v="7"/>
    <x v="3"/>
    <x v="88"/>
  </r>
  <r>
    <x v="0"/>
    <x v="328"/>
    <x v="310"/>
    <x v="65"/>
    <x v="0"/>
    <x v="180"/>
    <x v="402"/>
    <x v="4"/>
    <x v="706"/>
    <x v="732"/>
    <x v="1795"/>
    <x v="2138"/>
    <x v="2997"/>
    <x v="2993"/>
    <x v="2728"/>
    <x v="0"/>
    <x v="2967"/>
    <x v="2998"/>
    <x v="882"/>
    <x v="0"/>
    <x v="1"/>
    <x v="2"/>
    <x v="190"/>
    <x v="57"/>
    <x v="132"/>
    <x v="14"/>
    <x v="10"/>
    <x v="1"/>
  </r>
  <r>
    <x v="0"/>
    <x v="1278"/>
    <x v="447"/>
    <x v="71"/>
    <x v="216"/>
    <x v="512"/>
    <x v="7"/>
    <x v="2782"/>
    <x v="300"/>
    <x v="1164"/>
    <x v="1796"/>
    <x v="769"/>
    <x v="2998"/>
    <x v="2994"/>
    <x v="2729"/>
    <x v="0"/>
    <x v="2968"/>
    <x v="2999"/>
    <x v="129"/>
    <x v="0"/>
    <x v="0"/>
    <x v="0"/>
    <x v="190"/>
    <x v="18"/>
    <x v="796"/>
    <x v="22"/>
    <x v="3"/>
    <x v="1"/>
  </r>
  <r>
    <x v="0"/>
    <x v="529"/>
    <x v="459"/>
    <x v="95"/>
    <x v="233"/>
    <x v="327"/>
    <x v="94"/>
    <x v="2783"/>
    <x v="125"/>
    <x v="166"/>
    <x v="1797"/>
    <x v="441"/>
    <x v="2999"/>
    <x v="2995"/>
    <x v="2176"/>
    <x v="1"/>
    <x v="2969"/>
    <x v="3000"/>
    <x v="167"/>
    <x v="0"/>
    <x v="0"/>
    <x v="4"/>
    <x v="190"/>
    <x v="21"/>
    <x v="184"/>
    <x v="37"/>
    <x v="3"/>
    <x v="344"/>
  </r>
  <r>
    <x v="0"/>
    <x v="1279"/>
    <x v="177"/>
    <x v="42"/>
    <x v="0"/>
    <x v="257"/>
    <x v="396"/>
    <x v="2784"/>
    <x v="200"/>
    <x v="1165"/>
    <x v="1798"/>
    <x v="2139"/>
    <x v="3000"/>
    <x v="2996"/>
    <x v="2730"/>
    <x v="2"/>
    <x v="2970"/>
    <x v="3001"/>
    <x v="189"/>
    <x v="0"/>
    <x v="1"/>
    <x v="0"/>
    <x v="190"/>
    <x v="3"/>
    <x v="797"/>
    <x v="2"/>
    <x v="1"/>
    <x v="38"/>
  </r>
  <r>
    <x v="0"/>
    <x v="1280"/>
    <x v="346"/>
    <x v="54"/>
    <x v="78"/>
    <x v="290"/>
    <x v="0"/>
    <x v="2785"/>
    <x v="125"/>
    <x v="602"/>
    <x v="311"/>
    <x v="381"/>
    <x v="3001"/>
    <x v="2997"/>
    <x v="2731"/>
    <x v="0"/>
    <x v="2971"/>
    <x v="3002"/>
    <x v="239"/>
    <x v="0"/>
    <x v="0"/>
    <x v="4"/>
    <x v="190"/>
    <x v="18"/>
    <x v="211"/>
    <x v="43"/>
    <x v="3"/>
    <x v="545"/>
  </r>
  <r>
    <x v="0"/>
    <x v="825"/>
    <x v="331"/>
    <x v="7"/>
    <x v="0"/>
    <x v="498"/>
    <x v="2"/>
    <x v="2786"/>
    <x v="168"/>
    <x v="72"/>
    <x v="830"/>
    <x v="745"/>
    <x v="3002"/>
    <x v="2998"/>
    <x v="2732"/>
    <x v="0"/>
    <x v="2972"/>
    <x v="3003"/>
    <x v="161"/>
    <x v="0"/>
    <x v="0"/>
    <x v="4"/>
    <x v="190"/>
    <x v="18"/>
    <x v="421"/>
    <x v="11"/>
    <x v="3"/>
    <x v="9"/>
  </r>
  <r>
    <x v="0"/>
    <x v="1281"/>
    <x v="232"/>
    <x v="56"/>
    <x v="172"/>
    <x v="327"/>
    <x v="17"/>
    <x v="2787"/>
    <x v="406"/>
    <x v="32"/>
    <x v="423"/>
    <x v="2140"/>
    <x v="3003"/>
    <x v="2999"/>
    <x v="2733"/>
    <x v="4"/>
    <x v="2973"/>
    <x v="3004"/>
    <x v="568"/>
    <x v="0"/>
    <x v="1"/>
    <x v="0"/>
    <x v="190"/>
    <x v="2"/>
    <x v="56"/>
    <x v="11"/>
    <x v="1"/>
    <x v="139"/>
  </r>
  <r>
    <x v="1"/>
    <x v="111"/>
    <x v="86"/>
    <x v="34"/>
    <x v="87"/>
    <x v="157"/>
    <x v="21"/>
    <x v="2788"/>
    <x v="113"/>
    <x v="22"/>
    <x v="297"/>
    <x v="2141"/>
    <x v="3004"/>
    <x v="3000"/>
    <x v="2734"/>
    <x v="0"/>
    <x v="2974"/>
    <x v="3005"/>
    <x v="334"/>
    <x v="0"/>
    <x v="0"/>
    <x v="4"/>
    <x v="190"/>
    <x v="14"/>
    <x v="30"/>
    <x v="1"/>
    <x v="1"/>
    <x v="1"/>
  </r>
  <r>
    <x v="0"/>
    <x v="6"/>
    <x v="248"/>
    <x v="76"/>
    <x v="0"/>
    <x v="537"/>
    <x v="163"/>
    <x v="2789"/>
    <x v="63"/>
    <x v="1166"/>
    <x v="418"/>
    <x v="2142"/>
    <x v="3005"/>
    <x v="3001"/>
    <x v="2735"/>
    <x v="0"/>
    <x v="2975"/>
    <x v="3006"/>
    <x v="380"/>
    <x v="0"/>
    <x v="0"/>
    <x v="4"/>
    <x v="185"/>
    <x v="29"/>
    <x v="625"/>
    <x v="32"/>
    <x v="3"/>
    <x v="7"/>
  </r>
  <r>
    <x v="0"/>
    <x v="1282"/>
    <x v="240"/>
    <x v="107"/>
    <x v="198"/>
    <x v="685"/>
    <x v="150"/>
    <x v="2790"/>
    <x v="127"/>
    <x v="402"/>
    <x v="1212"/>
    <x v="2143"/>
    <x v="3006"/>
    <x v="3002"/>
    <x v="2736"/>
    <x v="2"/>
    <x v="2976"/>
    <x v="3007"/>
    <x v="653"/>
    <x v="0"/>
    <x v="4"/>
    <x v="4"/>
    <x v="190"/>
    <x v="19"/>
    <x v="243"/>
    <x v="43"/>
    <x v="3"/>
    <x v="546"/>
  </r>
  <r>
    <x v="0"/>
    <x v="644"/>
    <x v="227"/>
    <x v="34"/>
    <x v="277"/>
    <x v="620"/>
    <x v="1"/>
    <x v="2791"/>
    <x v="17"/>
    <x v="1"/>
    <x v="1799"/>
    <x v="2144"/>
    <x v="3007"/>
    <x v="3003"/>
    <x v="2737"/>
    <x v="1"/>
    <x v="2977"/>
    <x v="3008"/>
    <x v="616"/>
    <x v="0"/>
    <x v="0"/>
    <x v="0"/>
    <x v="190"/>
    <x v="27"/>
    <x v="798"/>
    <x v="6"/>
    <x v="3"/>
    <x v="57"/>
  </r>
  <r>
    <x v="0"/>
    <x v="1283"/>
    <x v="429"/>
    <x v="31"/>
    <x v="123"/>
    <x v="757"/>
    <x v="516"/>
    <x v="2792"/>
    <x v="406"/>
    <x v="969"/>
    <x v="1800"/>
    <x v="2145"/>
    <x v="3008"/>
    <x v="3004"/>
    <x v="2738"/>
    <x v="1"/>
    <x v="2978"/>
    <x v="3009"/>
    <x v="169"/>
    <x v="0"/>
    <x v="4"/>
    <x v="0"/>
    <x v="173"/>
    <x v="17"/>
    <x v="338"/>
    <x v="16"/>
    <x v="3"/>
    <x v="1"/>
  </r>
  <r>
    <x v="0"/>
    <x v="954"/>
    <x v="244"/>
    <x v="31"/>
    <x v="86"/>
    <x v="421"/>
    <x v="33"/>
    <x v="2793"/>
    <x v="152"/>
    <x v="39"/>
    <x v="1445"/>
    <x v="1431"/>
    <x v="3009"/>
    <x v="3005"/>
    <x v="274"/>
    <x v="1"/>
    <x v="2979"/>
    <x v="3010"/>
    <x v="550"/>
    <x v="0"/>
    <x v="1"/>
    <x v="4"/>
    <x v="190"/>
    <x v="14"/>
    <x v="563"/>
    <x v="16"/>
    <x v="3"/>
    <x v="1"/>
  </r>
  <r>
    <x v="0"/>
    <x v="1201"/>
    <x v="266"/>
    <x v="50"/>
    <x v="174"/>
    <x v="136"/>
    <x v="177"/>
    <x v="2794"/>
    <x v="434"/>
    <x v="1167"/>
    <x v="1310"/>
    <x v="2146"/>
    <x v="3010"/>
    <x v="3006"/>
    <x v="2739"/>
    <x v="3"/>
    <x v="2980"/>
    <x v="3011"/>
    <x v="528"/>
    <x v="0"/>
    <x v="1"/>
    <x v="4"/>
    <x v="190"/>
    <x v="19"/>
    <x v="457"/>
    <x v="28"/>
    <x v="3"/>
    <x v="547"/>
  </r>
  <r>
    <x v="0"/>
    <x v="872"/>
    <x v="464"/>
    <x v="18"/>
    <x v="317"/>
    <x v="341"/>
    <x v="0"/>
    <x v="2795"/>
    <x v="105"/>
    <x v="327"/>
    <x v="705"/>
    <x v="2147"/>
    <x v="3011"/>
    <x v="3007"/>
    <x v="1609"/>
    <x v="4"/>
    <x v="2981"/>
    <x v="3012"/>
    <x v="786"/>
    <x v="0"/>
    <x v="0"/>
    <x v="4"/>
    <x v="190"/>
    <x v="16"/>
    <x v="114"/>
    <x v="5"/>
    <x v="3"/>
    <x v="548"/>
  </r>
  <r>
    <x v="0"/>
    <x v="607"/>
    <x v="513"/>
    <x v="27"/>
    <x v="16"/>
    <x v="260"/>
    <x v="22"/>
    <x v="2796"/>
    <x v="419"/>
    <x v="77"/>
    <x v="1801"/>
    <x v="2148"/>
    <x v="3012"/>
    <x v="3008"/>
    <x v="2740"/>
    <x v="1"/>
    <x v="2982"/>
    <x v="3013"/>
    <x v="490"/>
    <x v="0"/>
    <x v="0"/>
    <x v="4"/>
    <x v="190"/>
    <x v="9"/>
    <x v="799"/>
    <x v="38"/>
    <x v="3"/>
    <x v="18"/>
  </r>
  <r>
    <x v="0"/>
    <x v="1284"/>
    <x v="358"/>
    <x v="54"/>
    <x v="43"/>
    <x v="306"/>
    <x v="0"/>
    <x v="2797"/>
    <x v="527"/>
    <x v="481"/>
    <x v="1802"/>
    <x v="478"/>
    <x v="3013"/>
    <x v="3009"/>
    <x v="2741"/>
    <x v="4"/>
    <x v="2983"/>
    <x v="3014"/>
    <x v="243"/>
    <x v="0"/>
    <x v="0"/>
    <x v="4"/>
    <x v="240"/>
    <x v="18"/>
    <x v="487"/>
    <x v="5"/>
    <x v="3"/>
    <x v="1"/>
  </r>
  <r>
    <x v="0"/>
    <x v="1285"/>
    <x v="369"/>
    <x v="58"/>
    <x v="193"/>
    <x v="183"/>
    <x v="21"/>
    <x v="2798"/>
    <x v="185"/>
    <x v="174"/>
    <x v="1803"/>
    <x v="2149"/>
    <x v="3014"/>
    <x v="3010"/>
    <x v="2742"/>
    <x v="1"/>
    <x v="2984"/>
    <x v="3015"/>
    <x v="592"/>
    <x v="0"/>
    <x v="0"/>
    <x v="0"/>
    <x v="190"/>
    <x v="23"/>
    <x v="524"/>
    <x v="37"/>
    <x v="3"/>
    <x v="549"/>
  </r>
  <r>
    <x v="0"/>
    <x v="1286"/>
    <x v="457"/>
    <x v="23"/>
    <x v="38"/>
    <x v="342"/>
    <x v="430"/>
    <x v="4"/>
    <x v="433"/>
    <x v="781"/>
    <x v="1804"/>
    <x v="2150"/>
    <x v="3015"/>
    <x v="3011"/>
    <x v="2743"/>
    <x v="0"/>
    <x v="2985"/>
    <x v="3016"/>
    <x v="225"/>
    <x v="0"/>
    <x v="0"/>
    <x v="2"/>
    <x v="190"/>
    <x v="48"/>
    <x v="799"/>
    <x v="8"/>
    <x v="1"/>
    <x v="418"/>
  </r>
  <r>
    <x v="0"/>
    <x v="1287"/>
    <x v="314"/>
    <x v="72"/>
    <x v="0"/>
    <x v="29"/>
    <x v="21"/>
    <x v="2799"/>
    <x v="616"/>
    <x v="141"/>
    <x v="127"/>
    <x v="36"/>
    <x v="3016"/>
    <x v="3012"/>
    <x v="2744"/>
    <x v="0"/>
    <x v="2986"/>
    <x v="3017"/>
    <x v="212"/>
    <x v="0"/>
    <x v="0"/>
    <x v="4"/>
    <x v="4"/>
    <x v="12"/>
    <x v="47"/>
    <x v="22"/>
    <x v="1"/>
    <x v="1"/>
  </r>
  <r>
    <x v="0"/>
    <x v="1288"/>
    <x v="239"/>
    <x v="27"/>
    <x v="284"/>
    <x v="458"/>
    <x v="588"/>
    <x v="2800"/>
    <x v="316"/>
    <x v="1168"/>
    <x v="1805"/>
    <x v="2151"/>
    <x v="3017"/>
    <x v="3013"/>
    <x v="2745"/>
    <x v="0"/>
    <x v="2987"/>
    <x v="3018"/>
    <x v="514"/>
    <x v="0"/>
    <x v="0"/>
    <x v="0"/>
    <x v="190"/>
    <x v="7"/>
    <x v="213"/>
    <x v="2"/>
    <x v="1"/>
    <x v="1"/>
  </r>
  <r>
    <x v="0"/>
    <x v="624"/>
    <x v="386"/>
    <x v="60"/>
    <x v="15"/>
    <x v="407"/>
    <x v="110"/>
    <x v="1373"/>
    <x v="471"/>
    <x v="585"/>
    <x v="970"/>
    <x v="955"/>
    <x v="1425"/>
    <x v="3014"/>
    <x v="1384"/>
    <x v="0"/>
    <x v="1415"/>
    <x v="1425"/>
    <x v="589"/>
    <x v="0"/>
    <x v="0"/>
    <x v="2"/>
    <x v="165"/>
    <x v="26"/>
    <x v="87"/>
    <x v="38"/>
    <x v="1"/>
    <x v="59"/>
  </r>
  <r>
    <x v="0"/>
    <x v="887"/>
    <x v="243"/>
    <x v="70"/>
    <x v="184"/>
    <x v="417"/>
    <x v="67"/>
    <x v="4"/>
    <x v="168"/>
    <x v="1169"/>
    <x v="1806"/>
    <x v="2152"/>
    <x v="3018"/>
    <x v="3015"/>
    <x v="2746"/>
    <x v="4"/>
    <x v="2988"/>
    <x v="3019"/>
    <x v="247"/>
    <x v="0"/>
    <x v="1"/>
    <x v="4"/>
    <x v="176"/>
    <x v="5"/>
    <x v="454"/>
    <x v="20"/>
    <x v="1"/>
    <x v="1"/>
  </r>
  <r>
    <x v="0"/>
    <x v="1289"/>
    <x v="202"/>
    <x v="54"/>
    <x v="171"/>
    <x v="419"/>
    <x v="22"/>
    <x v="2801"/>
    <x v="364"/>
    <x v="430"/>
    <x v="1089"/>
    <x v="2153"/>
    <x v="3019"/>
    <x v="3016"/>
    <x v="2747"/>
    <x v="0"/>
    <x v="2989"/>
    <x v="3020"/>
    <x v="742"/>
    <x v="0"/>
    <x v="0"/>
    <x v="4"/>
    <x v="246"/>
    <x v="8"/>
    <x v="184"/>
    <x v="27"/>
    <x v="3"/>
    <x v="1"/>
  </r>
  <r>
    <x v="0"/>
    <x v="1290"/>
    <x v="419"/>
    <x v="45"/>
    <x v="198"/>
    <x v="726"/>
    <x v="599"/>
    <x v="4"/>
    <x v="168"/>
    <x v="1170"/>
    <x v="1807"/>
    <x v="2154"/>
    <x v="3020"/>
    <x v="3017"/>
    <x v="1215"/>
    <x v="0"/>
    <x v="2990"/>
    <x v="3021"/>
    <x v="818"/>
    <x v="0"/>
    <x v="20"/>
    <x v="16"/>
    <x v="4"/>
    <x v="50"/>
    <x v="512"/>
    <x v="5"/>
    <x v="1"/>
    <x v="550"/>
  </r>
  <r>
    <x v="0"/>
    <x v="1291"/>
    <x v="390"/>
    <x v="55"/>
    <x v="5"/>
    <x v="566"/>
    <x v="198"/>
    <x v="4"/>
    <x v="105"/>
    <x v="1171"/>
    <x v="1808"/>
    <x v="2155"/>
    <x v="3021"/>
    <x v="3018"/>
    <x v="2748"/>
    <x v="1"/>
    <x v="2991"/>
    <x v="3022"/>
    <x v="718"/>
    <x v="0"/>
    <x v="0"/>
    <x v="0"/>
    <x v="190"/>
    <x v="3"/>
    <x v="534"/>
    <x v="44"/>
    <x v="1"/>
    <x v="45"/>
  </r>
  <r>
    <x v="0"/>
    <x v="1292"/>
    <x v="346"/>
    <x v="34"/>
    <x v="123"/>
    <x v="358"/>
    <x v="433"/>
    <x v="2802"/>
    <x v="171"/>
    <x v="1172"/>
    <x v="1809"/>
    <x v="2156"/>
    <x v="3022"/>
    <x v="3019"/>
    <x v="2749"/>
    <x v="4"/>
    <x v="2992"/>
    <x v="3023"/>
    <x v="231"/>
    <x v="0"/>
    <x v="5"/>
    <x v="4"/>
    <x v="159"/>
    <x v="7"/>
    <x v="141"/>
    <x v="21"/>
    <x v="1"/>
    <x v="394"/>
  </r>
  <r>
    <x v="0"/>
    <x v="1293"/>
    <x v="393"/>
    <x v="144"/>
    <x v="101"/>
    <x v="837"/>
    <x v="94"/>
    <x v="2803"/>
    <x v="270"/>
    <x v="1173"/>
    <x v="1810"/>
    <x v="2157"/>
    <x v="3023"/>
    <x v="3020"/>
    <x v="2750"/>
    <x v="4"/>
    <x v="2993"/>
    <x v="3024"/>
    <x v="434"/>
    <x v="8"/>
    <x v="16"/>
    <x v="4"/>
    <x v="247"/>
    <x v="7"/>
    <x v="30"/>
    <x v="19"/>
    <x v="1"/>
    <x v="551"/>
  </r>
  <r>
    <x v="0"/>
    <x v="518"/>
    <x v="353"/>
    <x v="55"/>
    <x v="211"/>
    <x v="329"/>
    <x v="442"/>
    <x v="2804"/>
    <x v="127"/>
    <x v="802"/>
    <x v="1256"/>
    <x v="443"/>
    <x v="3024"/>
    <x v="1780"/>
    <x v="2751"/>
    <x v="3"/>
    <x v="2994"/>
    <x v="3025"/>
    <x v="320"/>
    <x v="0"/>
    <x v="1"/>
    <x v="0"/>
    <x v="137"/>
    <x v="15"/>
    <x v="285"/>
    <x v="8"/>
    <x v="3"/>
    <x v="552"/>
  </r>
  <r>
    <x v="0"/>
    <x v="1294"/>
    <x v="293"/>
    <x v="42"/>
    <x v="143"/>
    <x v="452"/>
    <x v="447"/>
    <x v="2805"/>
    <x v="321"/>
    <x v="813"/>
    <x v="774"/>
    <x v="2158"/>
    <x v="3025"/>
    <x v="3021"/>
    <x v="2752"/>
    <x v="0"/>
    <x v="2995"/>
    <x v="3026"/>
    <x v="284"/>
    <x v="0"/>
    <x v="1"/>
    <x v="4"/>
    <x v="222"/>
    <x v="9"/>
    <x v="88"/>
    <x v="34"/>
    <x v="1"/>
    <x v="1"/>
  </r>
  <r>
    <x v="0"/>
    <x v="1295"/>
    <x v="339"/>
    <x v="33"/>
    <x v="118"/>
    <x v="519"/>
    <x v="318"/>
    <x v="2806"/>
    <x v="429"/>
    <x v="749"/>
    <x v="1811"/>
    <x v="2159"/>
    <x v="3026"/>
    <x v="3022"/>
    <x v="2753"/>
    <x v="0"/>
    <x v="2996"/>
    <x v="3027"/>
    <x v="674"/>
    <x v="0"/>
    <x v="0"/>
    <x v="0"/>
    <x v="248"/>
    <x v="19"/>
    <x v="305"/>
    <x v="28"/>
    <x v="1"/>
    <x v="103"/>
  </r>
  <r>
    <x v="0"/>
    <x v="328"/>
    <x v="456"/>
    <x v="137"/>
    <x v="0"/>
    <x v="413"/>
    <x v="73"/>
    <x v="2807"/>
    <x v="101"/>
    <x v="1174"/>
    <x v="1812"/>
    <x v="2160"/>
    <x v="3027"/>
    <x v="3023"/>
    <x v="2243"/>
    <x v="0"/>
    <x v="2997"/>
    <x v="3028"/>
    <x v="900"/>
    <x v="0"/>
    <x v="1"/>
    <x v="3"/>
    <x v="176"/>
    <x v="38"/>
    <x v="198"/>
    <x v="24"/>
    <x v="5"/>
    <x v="4"/>
  </r>
  <r>
    <x v="0"/>
    <x v="38"/>
    <x v="300"/>
    <x v="60"/>
    <x v="25"/>
    <x v="558"/>
    <x v="529"/>
    <x v="2808"/>
    <x v="707"/>
    <x v="1175"/>
    <x v="1813"/>
    <x v="2034"/>
    <x v="3028"/>
    <x v="3024"/>
    <x v="2754"/>
    <x v="0"/>
    <x v="2998"/>
    <x v="3029"/>
    <x v="317"/>
    <x v="0"/>
    <x v="0"/>
    <x v="2"/>
    <x v="238"/>
    <x v="26"/>
    <x v="791"/>
    <x v="0"/>
    <x v="3"/>
    <x v="139"/>
  </r>
  <r>
    <x v="0"/>
    <x v="1296"/>
    <x v="225"/>
    <x v="55"/>
    <x v="122"/>
    <x v="771"/>
    <x v="30"/>
    <x v="2809"/>
    <x v="105"/>
    <x v="224"/>
    <x v="1162"/>
    <x v="2161"/>
    <x v="3029"/>
    <x v="3025"/>
    <x v="2755"/>
    <x v="0"/>
    <x v="2999"/>
    <x v="3030"/>
    <x v="169"/>
    <x v="0"/>
    <x v="0"/>
    <x v="0"/>
    <x v="70"/>
    <x v="1"/>
    <x v="30"/>
    <x v="12"/>
    <x v="1"/>
    <x v="103"/>
  </r>
  <r>
    <x v="0"/>
    <x v="1297"/>
    <x v="479"/>
    <x v="55"/>
    <x v="198"/>
    <x v="475"/>
    <x v="126"/>
    <x v="4"/>
    <x v="457"/>
    <x v="1030"/>
    <x v="1814"/>
    <x v="2162"/>
    <x v="3030"/>
    <x v="3026"/>
    <x v="1682"/>
    <x v="1"/>
    <x v="3000"/>
    <x v="3031"/>
    <x v="510"/>
    <x v="0"/>
    <x v="4"/>
    <x v="2"/>
    <x v="188"/>
    <x v="14"/>
    <x v="277"/>
    <x v="22"/>
    <x v="3"/>
    <x v="455"/>
  </r>
  <r>
    <x v="0"/>
    <x v="1298"/>
    <x v="451"/>
    <x v="77"/>
    <x v="31"/>
    <x v="329"/>
    <x v="600"/>
    <x v="2810"/>
    <x v="200"/>
    <x v="1176"/>
    <x v="1815"/>
    <x v="726"/>
    <x v="3031"/>
    <x v="3027"/>
    <x v="2756"/>
    <x v="4"/>
    <x v="3001"/>
    <x v="3032"/>
    <x v="755"/>
    <x v="0"/>
    <x v="0"/>
    <x v="4"/>
    <x v="238"/>
    <x v="24"/>
    <x v="800"/>
    <x v="21"/>
    <x v="2"/>
    <x v="553"/>
  </r>
  <r>
    <x v="0"/>
    <x v="113"/>
    <x v="320"/>
    <x v="152"/>
    <x v="88"/>
    <x v="608"/>
    <x v="601"/>
    <x v="4"/>
    <x v="125"/>
    <x v="1177"/>
    <x v="1816"/>
    <x v="2163"/>
    <x v="3032"/>
    <x v="3028"/>
    <x v="2757"/>
    <x v="3"/>
    <x v="3002"/>
    <x v="3033"/>
    <x v="684"/>
    <x v="0"/>
    <x v="1"/>
    <x v="1"/>
    <x v="4"/>
    <x v="4"/>
    <x v="364"/>
    <x v="0"/>
    <x v="2"/>
    <x v="1"/>
  </r>
  <r>
    <x v="0"/>
    <x v="1299"/>
    <x v="81"/>
    <x v="48"/>
    <x v="0"/>
    <x v="599"/>
    <x v="602"/>
    <x v="2811"/>
    <x v="125"/>
    <x v="1178"/>
    <x v="1817"/>
    <x v="2164"/>
    <x v="3033"/>
    <x v="3029"/>
    <x v="2758"/>
    <x v="7"/>
    <x v="3003"/>
    <x v="3034"/>
    <x v="712"/>
    <x v="8"/>
    <x v="16"/>
    <x v="1"/>
    <x v="4"/>
    <x v="5"/>
    <x v="626"/>
    <x v="43"/>
    <x v="2"/>
    <x v="554"/>
  </r>
  <r>
    <x v="0"/>
    <x v="1188"/>
    <x v="425"/>
    <x v="70"/>
    <x v="38"/>
    <x v="120"/>
    <x v="518"/>
    <x v="2812"/>
    <x v="708"/>
    <x v="1179"/>
    <x v="1818"/>
    <x v="1857"/>
    <x v="3034"/>
    <x v="3030"/>
    <x v="2759"/>
    <x v="0"/>
    <x v="3004"/>
    <x v="3035"/>
    <x v="718"/>
    <x v="1"/>
    <x v="0"/>
    <x v="4"/>
    <x v="190"/>
    <x v="1"/>
    <x v="459"/>
    <x v="27"/>
    <x v="3"/>
    <x v="500"/>
  </r>
  <r>
    <x v="0"/>
    <x v="1300"/>
    <x v="425"/>
    <x v="97"/>
    <x v="0"/>
    <x v="457"/>
    <x v="383"/>
    <x v="2813"/>
    <x v="156"/>
    <x v="1180"/>
    <x v="1819"/>
    <x v="2033"/>
    <x v="3035"/>
    <x v="3031"/>
    <x v="2760"/>
    <x v="1"/>
    <x v="3005"/>
    <x v="3036"/>
    <x v="448"/>
    <x v="6"/>
    <x v="12"/>
    <x v="4"/>
    <x v="249"/>
    <x v="3"/>
    <x v="645"/>
    <x v="4"/>
    <x v="1"/>
    <x v="1"/>
  </r>
  <r>
    <x v="0"/>
    <x v="1301"/>
    <x v="160"/>
    <x v="11"/>
    <x v="143"/>
    <x v="670"/>
    <x v="603"/>
    <x v="4"/>
    <x v="379"/>
    <x v="1181"/>
    <x v="1820"/>
    <x v="2165"/>
    <x v="3036"/>
    <x v="3032"/>
    <x v="2761"/>
    <x v="2"/>
    <x v="3006"/>
    <x v="3037"/>
    <x v="788"/>
    <x v="3"/>
    <x v="10"/>
    <x v="1"/>
    <x v="190"/>
    <x v="11"/>
    <x v="438"/>
    <x v="38"/>
    <x v="3"/>
    <x v="1"/>
  </r>
  <r>
    <x v="0"/>
    <x v="525"/>
    <x v="331"/>
    <x v="51"/>
    <x v="260"/>
    <x v="574"/>
    <x v="49"/>
    <x v="2814"/>
    <x v="270"/>
    <x v="86"/>
    <x v="281"/>
    <x v="918"/>
    <x v="3037"/>
    <x v="3033"/>
    <x v="2762"/>
    <x v="4"/>
    <x v="3007"/>
    <x v="3038"/>
    <x v="901"/>
    <x v="0"/>
    <x v="0"/>
    <x v="4"/>
    <x v="70"/>
    <x v="13"/>
    <x v="44"/>
    <x v="24"/>
    <x v="3"/>
    <x v="77"/>
  </r>
  <r>
    <x v="0"/>
    <x v="1302"/>
    <x v="428"/>
    <x v="11"/>
    <x v="195"/>
    <x v="218"/>
    <x v="21"/>
    <x v="4"/>
    <x v="306"/>
    <x v="210"/>
    <x v="129"/>
    <x v="2166"/>
    <x v="3038"/>
    <x v="3034"/>
    <x v="2763"/>
    <x v="3"/>
    <x v="3008"/>
    <x v="3039"/>
    <x v="724"/>
    <x v="0"/>
    <x v="0"/>
    <x v="4"/>
    <x v="190"/>
    <x v="6"/>
    <x v="47"/>
    <x v="43"/>
    <x v="1"/>
    <x v="1"/>
  </r>
  <r>
    <x v="0"/>
    <x v="1303"/>
    <x v="134"/>
    <x v="61"/>
    <x v="160"/>
    <x v="548"/>
    <x v="253"/>
    <x v="2815"/>
    <x v="364"/>
    <x v="464"/>
    <x v="1789"/>
    <x v="2167"/>
    <x v="3039"/>
    <x v="3035"/>
    <x v="2764"/>
    <x v="0"/>
    <x v="3009"/>
    <x v="3040"/>
    <x v="878"/>
    <x v="0"/>
    <x v="0"/>
    <x v="4"/>
    <x v="70"/>
    <x v="7"/>
    <x v="412"/>
    <x v="5"/>
    <x v="3"/>
    <x v="1"/>
  </r>
  <r>
    <x v="0"/>
    <x v="246"/>
    <x v="460"/>
    <x v="85"/>
    <x v="166"/>
    <x v="838"/>
    <x v="57"/>
    <x v="2816"/>
    <x v="490"/>
    <x v="192"/>
    <x v="1821"/>
    <x v="2168"/>
    <x v="3040"/>
    <x v="3036"/>
    <x v="2765"/>
    <x v="1"/>
    <x v="3010"/>
    <x v="3041"/>
    <x v="227"/>
    <x v="0"/>
    <x v="0"/>
    <x v="4"/>
    <x v="70"/>
    <x v="37"/>
    <x v="6"/>
    <x v="8"/>
    <x v="3"/>
    <x v="1"/>
  </r>
  <r>
    <x v="0"/>
    <x v="118"/>
    <x v="296"/>
    <x v="42"/>
    <x v="92"/>
    <x v="647"/>
    <x v="41"/>
    <x v="2817"/>
    <x v="300"/>
    <x v="396"/>
    <x v="952"/>
    <x v="2169"/>
    <x v="3041"/>
    <x v="3037"/>
    <x v="2766"/>
    <x v="1"/>
    <x v="3011"/>
    <x v="3042"/>
    <x v="440"/>
    <x v="0"/>
    <x v="0"/>
    <x v="0"/>
    <x v="70"/>
    <x v="21"/>
    <x v="154"/>
    <x v="18"/>
    <x v="3"/>
    <x v="1"/>
  </r>
  <r>
    <x v="0"/>
    <x v="1304"/>
    <x v="159"/>
    <x v="56"/>
    <x v="169"/>
    <x v="12"/>
    <x v="427"/>
    <x v="2818"/>
    <x v="179"/>
    <x v="776"/>
    <x v="1364"/>
    <x v="848"/>
    <x v="3042"/>
    <x v="3038"/>
    <x v="270"/>
    <x v="1"/>
    <x v="3012"/>
    <x v="3043"/>
    <x v="447"/>
    <x v="0"/>
    <x v="10"/>
    <x v="4"/>
    <x v="70"/>
    <x v="6"/>
    <x v="695"/>
    <x v="9"/>
    <x v="1"/>
    <x v="1"/>
  </r>
  <r>
    <x v="0"/>
    <x v="1060"/>
    <x v="368"/>
    <x v="54"/>
    <x v="143"/>
    <x v="1"/>
    <x v="29"/>
    <x v="2819"/>
    <x v="127"/>
    <x v="74"/>
    <x v="1156"/>
    <x v="2170"/>
    <x v="3043"/>
    <x v="3039"/>
    <x v="2767"/>
    <x v="4"/>
    <x v="3013"/>
    <x v="3044"/>
    <x v="837"/>
    <x v="0"/>
    <x v="0"/>
    <x v="0"/>
    <x v="70"/>
    <x v="15"/>
    <x v="30"/>
    <x v="27"/>
    <x v="3"/>
    <x v="1"/>
  </r>
  <r>
    <x v="0"/>
    <x v="599"/>
    <x v="108"/>
    <x v="56"/>
    <x v="273"/>
    <x v="630"/>
    <x v="206"/>
    <x v="1295"/>
    <x v="270"/>
    <x v="558"/>
    <x v="310"/>
    <x v="1072"/>
    <x v="1344"/>
    <x v="3040"/>
    <x v="1952"/>
    <x v="0"/>
    <x v="1335"/>
    <x v="1344"/>
    <x v="458"/>
    <x v="0"/>
    <x v="0"/>
    <x v="4"/>
    <x v="70"/>
    <x v="0"/>
    <x v="210"/>
    <x v="11"/>
    <x v="3"/>
    <x v="85"/>
  </r>
  <r>
    <x v="0"/>
    <x v="1303"/>
    <x v="136"/>
    <x v="45"/>
    <x v="160"/>
    <x v="655"/>
    <x v="253"/>
    <x v="2820"/>
    <x v="364"/>
    <x v="464"/>
    <x v="1789"/>
    <x v="1161"/>
    <x v="3044"/>
    <x v="3041"/>
    <x v="2768"/>
    <x v="0"/>
    <x v="3014"/>
    <x v="3045"/>
    <x v="760"/>
    <x v="0"/>
    <x v="0"/>
    <x v="4"/>
    <x v="70"/>
    <x v="1"/>
    <x v="412"/>
    <x v="18"/>
    <x v="3"/>
    <x v="1"/>
  </r>
  <r>
    <x v="0"/>
    <x v="585"/>
    <x v="247"/>
    <x v="59"/>
    <x v="89"/>
    <x v="525"/>
    <x v="604"/>
    <x v="2821"/>
    <x v="416"/>
    <x v="415"/>
    <x v="1822"/>
    <x v="2171"/>
    <x v="3045"/>
    <x v="3042"/>
    <x v="2769"/>
    <x v="0"/>
    <x v="3015"/>
    <x v="3046"/>
    <x v="478"/>
    <x v="0"/>
    <x v="1"/>
    <x v="0"/>
    <x v="70"/>
    <x v="12"/>
    <x v="136"/>
    <x v="34"/>
    <x v="1"/>
    <x v="1"/>
  </r>
  <r>
    <x v="0"/>
    <x v="795"/>
    <x v="303"/>
    <x v="86"/>
    <x v="0"/>
    <x v="612"/>
    <x v="0"/>
    <x v="2822"/>
    <x v="105"/>
    <x v="1182"/>
    <x v="1359"/>
    <x v="1895"/>
    <x v="3046"/>
    <x v="3043"/>
    <x v="2770"/>
    <x v="2"/>
    <x v="3016"/>
    <x v="3047"/>
    <x v="180"/>
    <x v="0"/>
    <x v="0"/>
    <x v="0"/>
    <x v="224"/>
    <x v="7"/>
    <x v="694"/>
    <x v="40"/>
    <x v="3"/>
    <x v="412"/>
  </r>
  <r>
    <x v="0"/>
    <x v="48"/>
    <x v="349"/>
    <x v="73"/>
    <x v="33"/>
    <x v="366"/>
    <x v="14"/>
    <x v="2823"/>
    <x v="291"/>
    <x v="56"/>
    <x v="898"/>
    <x v="511"/>
    <x v="3047"/>
    <x v="3044"/>
    <x v="2771"/>
    <x v="1"/>
    <x v="3017"/>
    <x v="3048"/>
    <x v="231"/>
    <x v="0"/>
    <x v="0"/>
    <x v="4"/>
    <x v="250"/>
    <x v="43"/>
    <x v="276"/>
    <x v="15"/>
    <x v="3"/>
    <x v="1"/>
  </r>
  <r>
    <x v="1"/>
    <x v="1305"/>
    <x v="302"/>
    <x v="0"/>
    <x v="107"/>
    <x v="455"/>
    <x v="605"/>
    <x v="4"/>
    <x v="71"/>
    <x v="1183"/>
    <x v="1823"/>
    <x v="2172"/>
    <x v="3048"/>
    <x v="3045"/>
    <x v="1682"/>
    <x v="3"/>
    <x v="3018"/>
    <x v="3049"/>
    <x v="620"/>
    <x v="0"/>
    <x v="0"/>
    <x v="3"/>
    <x v="70"/>
    <x v="34"/>
    <x v="197"/>
    <x v="6"/>
    <x v="1"/>
    <x v="1"/>
  </r>
  <r>
    <x v="0"/>
    <x v="392"/>
    <x v="417"/>
    <x v="7"/>
    <x v="169"/>
    <x v="212"/>
    <x v="530"/>
    <x v="2824"/>
    <x v="472"/>
    <x v="1184"/>
    <x v="865"/>
    <x v="1940"/>
    <x v="3049"/>
    <x v="3046"/>
    <x v="2772"/>
    <x v="8"/>
    <x v="3019"/>
    <x v="3050"/>
    <x v="835"/>
    <x v="0"/>
    <x v="0"/>
    <x v="2"/>
    <x v="70"/>
    <x v="29"/>
    <x v="502"/>
    <x v="21"/>
    <x v="3"/>
    <x v="1"/>
  </r>
  <r>
    <x v="0"/>
    <x v="911"/>
    <x v="232"/>
    <x v="42"/>
    <x v="139"/>
    <x v="501"/>
    <x v="41"/>
    <x v="2825"/>
    <x v="236"/>
    <x v="221"/>
    <x v="1156"/>
    <x v="2173"/>
    <x v="3050"/>
    <x v="3047"/>
    <x v="2773"/>
    <x v="0"/>
    <x v="3020"/>
    <x v="3051"/>
    <x v="726"/>
    <x v="0"/>
    <x v="0"/>
    <x v="0"/>
    <x v="70"/>
    <x v="14"/>
    <x v="30"/>
    <x v="18"/>
    <x v="3"/>
    <x v="86"/>
  </r>
  <r>
    <x v="0"/>
    <x v="206"/>
    <x v="379"/>
    <x v="80"/>
    <x v="145"/>
    <x v="580"/>
    <x v="2"/>
    <x v="2826"/>
    <x v="300"/>
    <x v="196"/>
    <x v="1824"/>
    <x v="2174"/>
    <x v="3051"/>
    <x v="3048"/>
    <x v="2774"/>
    <x v="1"/>
    <x v="3021"/>
    <x v="3052"/>
    <x v="316"/>
    <x v="0"/>
    <x v="0"/>
    <x v="0"/>
    <x v="176"/>
    <x v="25"/>
    <x v="238"/>
    <x v="15"/>
    <x v="3"/>
    <x v="1"/>
  </r>
  <r>
    <x v="0"/>
    <x v="804"/>
    <x v="136"/>
    <x v="78"/>
    <x v="225"/>
    <x v="764"/>
    <x v="0"/>
    <x v="2827"/>
    <x v="364"/>
    <x v="349"/>
    <x v="1825"/>
    <x v="2175"/>
    <x v="3052"/>
    <x v="3049"/>
    <x v="83"/>
    <x v="0"/>
    <x v="3022"/>
    <x v="3053"/>
    <x v="902"/>
    <x v="0"/>
    <x v="8"/>
    <x v="4"/>
    <x v="70"/>
    <x v="18"/>
    <x v="504"/>
    <x v="9"/>
    <x v="3"/>
    <x v="1"/>
  </r>
  <r>
    <x v="0"/>
    <x v="392"/>
    <x v="225"/>
    <x v="78"/>
    <x v="169"/>
    <x v="536"/>
    <x v="11"/>
    <x v="2828"/>
    <x v="709"/>
    <x v="63"/>
    <x v="731"/>
    <x v="2176"/>
    <x v="3053"/>
    <x v="3050"/>
    <x v="2775"/>
    <x v="5"/>
    <x v="3023"/>
    <x v="3054"/>
    <x v="339"/>
    <x v="0"/>
    <x v="0"/>
    <x v="2"/>
    <x v="70"/>
    <x v="30"/>
    <x v="439"/>
    <x v="8"/>
    <x v="1"/>
    <x v="1"/>
  </r>
  <r>
    <x v="0"/>
    <x v="1306"/>
    <x v="392"/>
    <x v="9"/>
    <x v="228"/>
    <x v="839"/>
    <x v="339"/>
    <x v="2829"/>
    <x v="710"/>
    <x v="615"/>
    <x v="1826"/>
    <x v="2177"/>
    <x v="3054"/>
    <x v="3051"/>
    <x v="2776"/>
    <x v="1"/>
    <x v="3024"/>
    <x v="3055"/>
    <x v="460"/>
    <x v="0"/>
    <x v="1"/>
    <x v="3"/>
    <x v="70"/>
    <x v="38"/>
    <x v="799"/>
    <x v="7"/>
    <x v="1"/>
    <x v="1"/>
  </r>
  <r>
    <x v="0"/>
    <x v="397"/>
    <x v="70"/>
    <x v="23"/>
    <x v="225"/>
    <x v="480"/>
    <x v="0"/>
    <x v="2830"/>
    <x v="200"/>
    <x v="384"/>
    <x v="148"/>
    <x v="806"/>
    <x v="3055"/>
    <x v="3052"/>
    <x v="1706"/>
    <x v="3"/>
    <x v="3025"/>
    <x v="3056"/>
    <x v="728"/>
    <x v="0"/>
    <x v="1"/>
    <x v="0"/>
    <x v="70"/>
    <x v="10"/>
    <x v="99"/>
    <x v="11"/>
    <x v="1"/>
    <x v="10"/>
  </r>
  <r>
    <x v="0"/>
    <x v="1307"/>
    <x v="402"/>
    <x v="87"/>
    <x v="85"/>
    <x v="414"/>
    <x v="370"/>
    <x v="2831"/>
    <x v="505"/>
    <x v="856"/>
    <x v="1827"/>
    <x v="2178"/>
    <x v="3056"/>
    <x v="3053"/>
    <x v="2777"/>
    <x v="0"/>
    <x v="3026"/>
    <x v="3057"/>
    <x v="785"/>
    <x v="0"/>
    <x v="0"/>
    <x v="3"/>
    <x v="154"/>
    <x v="18"/>
    <x v="22"/>
    <x v="12"/>
    <x v="3"/>
    <x v="395"/>
  </r>
  <r>
    <x v="0"/>
    <x v="83"/>
    <x v="338"/>
    <x v="86"/>
    <x v="66"/>
    <x v="57"/>
    <x v="196"/>
    <x v="2832"/>
    <x v="18"/>
    <x v="1185"/>
    <x v="1828"/>
    <x v="2179"/>
    <x v="3057"/>
    <x v="3054"/>
    <x v="2778"/>
    <x v="4"/>
    <x v="3027"/>
    <x v="3058"/>
    <x v="858"/>
    <x v="0"/>
    <x v="5"/>
    <x v="0"/>
    <x v="251"/>
    <x v="39"/>
    <x v="430"/>
    <x v="5"/>
    <x v="1"/>
    <x v="1"/>
  </r>
  <r>
    <x v="0"/>
    <x v="1114"/>
    <x v="310"/>
    <x v="128"/>
    <x v="244"/>
    <x v="40"/>
    <x v="0"/>
    <x v="4"/>
    <x v="2"/>
    <x v="407"/>
    <x v="1829"/>
    <x v="2180"/>
    <x v="3058"/>
    <x v="3055"/>
    <x v="2779"/>
    <x v="0"/>
    <x v="3028"/>
    <x v="3059"/>
    <x v="461"/>
    <x v="0"/>
    <x v="0"/>
    <x v="4"/>
    <x v="70"/>
    <x v="39"/>
    <x v="77"/>
    <x v="10"/>
    <x v="3"/>
    <x v="1"/>
  </r>
  <r>
    <x v="0"/>
    <x v="926"/>
    <x v="171"/>
    <x v="55"/>
    <x v="107"/>
    <x v="352"/>
    <x v="41"/>
    <x v="2833"/>
    <x v="236"/>
    <x v="1186"/>
    <x v="537"/>
    <x v="2181"/>
    <x v="3059"/>
    <x v="3056"/>
    <x v="2780"/>
    <x v="0"/>
    <x v="3029"/>
    <x v="3060"/>
    <x v="293"/>
    <x v="0"/>
    <x v="0"/>
    <x v="0"/>
    <x v="70"/>
    <x v="6"/>
    <x v="349"/>
    <x v="19"/>
    <x v="1"/>
    <x v="35"/>
  </r>
  <r>
    <x v="0"/>
    <x v="1234"/>
    <x v="446"/>
    <x v="110"/>
    <x v="48"/>
    <x v="658"/>
    <x v="35"/>
    <x v="2834"/>
    <x v="236"/>
    <x v="355"/>
    <x v="514"/>
    <x v="2182"/>
    <x v="3060"/>
    <x v="3057"/>
    <x v="2781"/>
    <x v="0"/>
    <x v="3030"/>
    <x v="3061"/>
    <x v="760"/>
    <x v="0"/>
    <x v="0"/>
    <x v="0"/>
    <x v="70"/>
    <x v="5"/>
    <x v="260"/>
    <x v="22"/>
    <x v="1"/>
    <x v="37"/>
  </r>
  <r>
    <x v="0"/>
    <x v="1308"/>
    <x v="396"/>
    <x v="79"/>
    <x v="143"/>
    <x v="281"/>
    <x v="253"/>
    <x v="2835"/>
    <x v="200"/>
    <x v="474"/>
    <x v="758"/>
    <x v="369"/>
    <x v="3061"/>
    <x v="3058"/>
    <x v="2782"/>
    <x v="0"/>
    <x v="3031"/>
    <x v="3062"/>
    <x v="421"/>
    <x v="0"/>
    <x v="0"/>
    <x v="4"/>
    <x v="78"/>
    <x v="19"/>
    <x v="455"/>
    <x v="27"/>
    <x v="3"/>
    <x v="555"/>
  </r>
  <r>
    <x v="0"/>
    <x v="1309"/>
    <x v="354"/>
    <x v="55"/>
    <x v="358"/>
    <x v="548"/>
    <x v="86"/>
    <x v="2836"/>
    <x v="560"/>
    <x v="627"/>
    <x v="1830"/>
    <x v="2167"/>
    <x v="3062"/>
    <x v="3059"/>
    <x v="2783"/>
    <x v="0"/>
    <x v="3032"/>
    <x v="3063"/>
    <x v="562"/>
    <x v="0"/>
    <x v="4"/>
    <x v="0"/>
    <x v="70"/>
    <x v="2"/>
    <x v="518"/>
    <x v="9"/>
    <x v="1"/>
    <x v="5"/>
  </r>
  <r>
    <x v="0"/>
    <x v="1310"/>
    <x v="398"/>
    <x v="56"/>
    <x v="266"/>
    <x v="270"/>
    <x v="179"/>
    <x v="2837"/>
    <x v="711"/>
    <x v="420"/>
    <x v="1831"/>
    <x v="2183"/>
    <x v="3063"/>
    <x v="3060"/>
    <x v="2784"/>
    <x v="1"/>
    <x v="3033"/>
    <x v="3064"/>
    <x v="558"/>
    <x v="0"/>
    <x v="0"/>
    <x v="0"/>
    <x v="70"/>
    <x v="39"/>
    <x v="301"/>
    <x v="8"/>
    <x v="3"/>
    <x v="1"/>
  </r>
  <r>
    <x v="0"/>
    <x v="129"/>
    <x v="285"/>
    <x v="27"/>
    <x v="0"/>
    <x v="1"/>
    <x v="8"/>
    <x v="2758"/>
    <x v="70"/>
    <x v="35"/>
    <x v="40"/>
    <x v="2117"/>
    <x v="2966"/>
    <x v="2962"/>
    <x v="2703"/>
    <x v="5"/>
    <x v="2939"/>
    <x v="2967"/>
    <x v="897"/>
    <x v="0"/>
    <x v="1"/>
    <x v="4"/>
    <x v="224"/>
    <x v="21"/>
    <x v="6"/>
    <x v="24"/>
    <x v="3"/>
    <x v="41"/>
  </r>
  <r>
    <x v="0"/>
    <x v="717"/>
    <x v="422"/>
    <x v="35"/>
    <x v="211"/>
    <x v="209"/>
    <x v="64"/>
    <x v="2838"/>
    <x v="577"/>
    <x v="1187"/>
    <x v="1832"/>
    <x v="264"/>
    <x v="3064"/>
    <x v="3061"/>
    <x v="2785"/>
    <x v="0"/>
    <x v="3034"/>
    <x v="3065"/>
    <x v="793"/>
    <x v="0"/>
    <x v="1"/>
    <x v="4"/>
    <x v="70"/>
    <x v="29"/>
    <x v="801"/>
    <x v="28"/>
    <x v="3"/>
    <x v="1"/>
  </r>
  <r>
    <x v="0"/>
    <x v="1311"/>
    <x v="146"/>
    <x v="78"/>
    <x v="85"/>
    <x v="167"/>
    <x v="272"/>
    <x v="2839"/>
    <x v="399"/>
    <x v="765"/>
    <x v="1833"/>
    <x v="2184"/>
    <x v="3065"/>
    <x v="3062"/>
    <x v="2786"/>
    <x v="4"/>
    <x v="3035"/>
    <x v="3066"/>
    <x v="756"/>
    <x v="0"/>
    <x v="0"/>
    <x v="0"/>
    <x v="195"/>
    <x v="8"/>
    <x v="802"/>
    <x v="10"/>
    <x v="3"/>
    <x v="1"/>
  </r>
  <r>
    <x v="0"/>
    <x v="609"/>
    <x v="278"/>
    <x v="29"/>
    <x v="0"/>
    <x v="359"/>
    <x v="57"/>
    <x v="2840"/>
    <x v="605"/>
    <x v="109"/>
    <x v="387"/>
    <x v="495"/>
    <x v="3066"/>
    <x v="3063"/>
    <x v="2787"/>
    <x v="8"/>
    <x v="3036"/>
    <x v="3067"/>
    <x v="903"/>
    <x v="0"/>
    <x v="0"/>
    <x v="4"/>
    <x v="70"/>
    <x v="15"/>
    <x v="30"/>
    <x v="38"/>
    <x v="1"/>
    <x v="7"/>
  </r>
  <r>
    <x v="0"/>
    <x v="1312"/>
    <x v="358"/>
    <x v="42"/>
    <x v="143"/>
    <x v="413"/>
    <x v="199"/>
    <x v="2841"/>
    <x v="200"/>
    <x v="377"/>
    <x v="1308"/>
    <x v="2185"/>
    <x v="3067"/>
    <x v="3064"/>
    <x v="2788"/>
    <x v="4"/>
    <x v="3037"/>
    <x v="3068"/>
    <x v="568"/>
    <x v="0"/>
    <x v="0"/>
    <x v="4"/>
    <x v="70"/>
    <x v="19"/>
    <x v="676"/>
    <x v="23"/>
    <x v="1"/>
    <x v="556"/>
  </r>
  <r>
    <x v="0"/>
    <x v="259"/>
    <x v="239"/>
    <x v="59"/>
    <x v="173"/>
    <x v="596"/>
    <x v="140"/>
    <x v="2842"/>
    <x v="712"/>
    <x v="268"/>
    <x v="1834"/>
    <x v="2186"/>
    <x v="3068"/>
    <x v="3065"/>
    <x v="1140"/>
    <x v="0"/>
    <x v="3038"/>
    <x v="3069"/>
    <x v="239"/>
    <x v="0"/>
    <x v="0"/>
    <x v="2"/>
    <x v="70"/>
    <x v="45"/>
    <x v="315"/>
    <x v="12"/>
    <x v="3"/>
    <x v="1"/>
  </r>
  <r>
    <x v="0"/>
    <x v="1040"/>
    <x v="383"/>
    <x v="37"/>
    <x v="134"/>
    <x v="191"/>
    <x v="97"/>
    <x v="2843"/>
    <x v="3"/>
    <x v="171"/>
    <x v="1835"/>
    <x v="308"/>
    <x v="3069"/>
    <x v="3066"/>
    <x v="2789"/>
    <x v="1"/>
    <x v="3039"/>
    <x v="3070"/>
    <x v="781"/>
    <x v="0"/>
    <x v="0"/>
    <x v="4"/>
    <x v="173"/>
    <x v="30"/>
    <x v="421"/>
    <x v="12"/>
    <x v="1"/>
    <x v="1"/>
  </r>
  <r>
    <x v="0"/>
    <x v="339"/>
    <x v="385"/>
    <x v="7"/>
    <x v="207"/>
    <x v="492"/>
    <x v="54"/>
    <x v="2844"/>
    <x v="132"/>
    <x v="96"/>
    <x v="1232"/>
    <x v="736"/>
    <x v="3070"/>
    <x v="3067"/>
    <x v="2790"/>
    <x v="4"/>
    <x v="3040"/>
    <x v="3071"/>
    <x v="721"/>
    <x v="0"/>
    <x v="0"/>
    <x v="4"/>
    <x v="70"/>
    <x v="24"/>
    <x v="521"/>
    <x v="27"/>
    <x v="3"/>
    <x v="557"/>
  </r>
  <r>
    <x v="0"/>
    <x v="797"/>
    <x v="366"/>
    <x v="79"/>
    <x v="122"/>
    <x v="811"/>
    <x v="199"/>
    <x v="2845"/>
    <x v="306"/>
    <x v="377"/>
    <x v="1836"/>
    <x v="1925"/>
    <x v="3071"/>
    <x v="3068"/>
    <x v="2791"/>
    <x v="0"/>
    <x v="3041"/>
    <x v="3072"/>
    <x v="287"/>
    <x v="0"/>
    <x v="0"/>
    <x v="0"/>
    <x v="231"/>
    <x v="19"/>
    <x v="306"/>
    <x v="40"/>
    <x v="1"/>
    <x v="558"/>
  </r>
  <r>
    <x v="0"/>
    <x v="1313"/>
    <x v="69"/>
    <x v="33"/>
    <x v="180"/>
    <x v="492"/>
    <x v="0"/>
    <x v="2846"/>
    <x v="127"/>
    <x v="530"/>
    <x v="193"/>
    <x v="2187"/>
    <x v="3072"/>
    <x v="3069"/>
    <x v="2792"/>
    <x v="4"/>
    <x v="3042"/>
    <x v="3073"/>
    <x v="748"/>
    <x v="0"/>
    <x v="0"/>
    <x v="0"/>
    <x v="176"/>
    <x v="7"/>
    <x v="130"/>
    <x v="34"/>
    <x v="3"/>
    <x v="1"/>
  </r>
  <r>
    <x v="0"/>
    <x v="879"/>
    <x v="352"/>
    <x v="7"/>
    <x v="198"/>
    <x v="576"/>
    <x v="63"/>
    <x v="2847"/>
    <x v="127"/>
    <x v="550"/>
    <x v="1022"/>
    <x v="2188"/>
    <x v="3073"/>
    <x v="3070"/>
    <x v="2793"/>
    <x v="2"/>
    <x v="3043"/>
    <x v="3074"/>
    <x v="556"/>
    <x v="0"/>
    <x v="0"/>
    <x v="0"/>
    <x v="70"/>
    <x v="20"/>
    <x v="565"/>
    <x v="12"/>
    <x v="3"/>
    <x v="1"/>
  </r>
  <r>
    <x v="0"/>
    <x v="420"/>
    <x v="370"/>
    <x v="37"/>
    <x v="0"/>
    <x v="93"/>
    <x v="14"/>
    <x v="2848"/>
    <x v="152"/>
    <x v="56"/>
    <x v="1837"/>
    <x v="2189"/>
    <x v="3074"/>
    <x v="3071"/>
    <x v="2794"/>
    <x v="0"/>
    <x v="3044"/>
    <x v="3075"/>
    <x v="429"/>
    <x v="0"/>
    <x v="0"/>
    <x v="0"/>
    <x v="70"/>
    <x v="45"/>
    <x v="19"/>
    <x v="13"/>
    <x v="1"/>
    <x v="7"/>
  </r>
  <r>
    <x v="0"/>
    <x v="1314"/>
    <x v="239"/>
    <x v="58"/>
    <x v="47"/>
    <x v="642"/>
    <x v="22"/>
    <x v="4"/>
    <x v="15"/>
    <x v="23"/>
    <x v="1838"/>
    <x v="2190"/>
    <x v="3075"/>
    <x v="2956"/>
    <x v="2795"/>
    <x v="0"/>
    <x v="4"/>
    <x v="3076"/>
    <x v="843"/>
    <x v="0"/>
    <x v="0"/>
    <x v="2"/>
    <x v="48"/>
    <x v="6"/>
    <x v="726"/>
    <x v="11"/>
    <x v="1"/>
    <x v="90"/>
  </r>
  <r>
    <x v="0"/>
    <x v="471"/>
    <x v="356"/>
    <x v="33"/>
    <x v="0"/>
    <x v="583"/>
    <x v="0"/>
    <x v="4"/>
    <x v="321"/>
    <x v="561"/>
    <x v="1839"/>
    <x v="940"/>
    <x v="2662"/>
    <x v="3072"/>
    <x v="2769"/>
    <x v="0"/>
    <x v="3045"/>
    <x v="3077"/>
    <x v="417"/>
    <x v="0"/>
    <x v="0"/>
    <x v="4"/>
    <x v="70"/>
    <x v="45"/>
    <x v="737"/>
    <x v="13"/>
    <x v="3"/>
    <x v="1"/>
  </r>
  <r>
    <x v="0"/>
    <x v="1315"/>
    <x v="357"/>
    <x v="55"/>
    <x v="31"/>
    <x v="751"/>
    <x v="0"/>
    <x v="2849"/>
    <x v="236"/>
    <x v="1188"/>
    <x v="655"/>
    <x v="2191"/>
    <x v="3076"/>
    <x v="3073"/>
    <x v="1742"/>
    <x v="0"/>
    <x v="3046"/>
    <x v="3078"/>
    <x v="189"/>
    <x v="0"/>
    <x v="0"/>
    <x v="4"/>
    <x v="70"/>
    <x v="2"/>
    <x v="11"/>
    <x v="31"/>
    <x v="1"/>
    <x v="38"/>
  </r>
  <r>
    <x v="0"/>
    <x v="1316"/>
    <x v="249"/>
    <x v="38"/>
    <x v="139"/>
    <x v="526"/>
    <x v="0"/>
    <x v="2850"/>
    <x v="419"/>
    <x v="834"/>
    <x v="829"/>
    <x v="805"/>
    <x v="3077"/>
    <x v="3074"/>
    <x v="2796"/>
    <x v="6"/>
    <x v="3047"/>
    <x v="3079"/>
    <x v="823"/>
    <x v="0"/>
    <x v="0"/>
    <x v="0"/>
    <x v="173"/>
    <x v="3"/>
    <x v="485"/>
    <x v="20"/>
    <x v="1"/>
    <x v="1"/>
  </r>
  <r>
    <x v="0"/>
    <x v="1169"/>
    <x v="293"/>
    <x v="45"/>
    <x v="134"/>
    <x v="655"/>
    <x v="72"/>
    <x v="2851"/>
    <x v="236"/>
    <x v="612"/>
    <x v="1840"/>
    <x v="2192"/>
    <x v="3078"/>
    <x v="3075"/>
    <x v="2797"/>
    <x v="1"/>
    <x v="3048"/>
    <x v="3080"/>
    <x v="706"/>
    <x v="0"/>
    <x v="0"/>
    <x v="4"/>
    <x v="70"/>
    <x v="18"/>
    <x v="226"/>
    <x v="55"/>
    <x v="1"/>
    <x v="1"/>
  </r>
  <r>
    <x v="0"/>
    <x v="1317"/>
    <x v="176"/>
    <x v="42"/>
    <x v="38"/>
    <x v="357"/>
    <x v="21"/>
    <x v="2852"/>
    <x v="361"/>
    <x v="174"/>
    <x v="799"/>
    <x v="1799"/>
    <x v="3079"/>
    <x v="3076"/>
    <x v="2798"/>
    <x v="0"/>
    <x v="3049"/>
    <x v="3081"/>
    <x v="826"/>
    <x v="0"/>
    <x v="0"/>
    <x v="0"/>
    <x v="70"/>
    <x v="0"/>
    <x v="170"/>
    <x v="18"/>
    <x v="1"/>
    <x v="61"/>
  </r>
  <r>
    <x v="0"/>
    <x v="987"/>
    <x v="130"/>
    <x v="72"/>
    <x v="327"/>
    <x v="15"/>
    <x v="2"/>
    <x v="2853"/>
    <x v="379"/>
    <x v="209"/>
    <x v="942"/>
    <x v="2193"/>
    <x v="3080"/>
    <x v="3077"/>
    <x v="2799"/>
    <x v="8"/>
    <x v="3050"/>
    <x v="3082"/>
    <x v="754"/>
    <x v="0"/>
    <x v="0"/>
    <x v="0"/>
    <x v="70"/>
    <x v="7"/>
    <x v="413"/>
    <x v="2"/>
    <x v="1"/>
    <x v="134"/>
  </r>
  <r>
    <x v="1"/>
    <x v="1318"/>
    <x v="369"/>
    <x v="32"/>
    <x v="78"/>
    <x v="542"/>
    <x v="448"/>
    <x v="2854"/>
    <x v="306"/>
    <x v="1038"/>
    <x v="1841"/>
    <x v="1584"/>
    <x v="3081"/>
    <x v="2904"/>
    <x v="2800"/>
    <x v="1"/>
    <x v="3051"/>
    <x v="3083"/>
    <x v="816"/>
    <x v="0"/>
    <x v="0"/>
    <x v="4"/>
    <x v="70"/>
    <x v="27"/>
    <x v="163"/>
    <x v="18"/>
    <x v="3"/>
    <x v="559"/>
  </r>
  <r>
    <x v="0"/>
    <x v="1319"/>
    <x v="390"/>
    <x v="86"/>
    <x v="184"/>
    <x v="778"/>
    <x v="606"/>
    <x v="4"/>
    <x v="3"/>
    <x v="1189"/>
    <x v="1842"/>
    <x v="2194"/>
    <x v="3082"/>
    <x v="3078"/>
    <x v="2801"/>
    <x v="1"/>
    <x v="3052"/>
    <x v="3084"/>
    <x v="129"/>
    <x v="0"/>
    <x v="0"/>
    <x v="4"/>
    <x v="70"/>
    <x v="39"/>
    <x v="302"/>
    <x v="43"/>
    <x v="3"/>
    <x v="1"/>
  </r>
  <r>
    <x v="0"/>
    <x v="579"/>
    <x v="398"/>
    <x v="52"/>
    <x v="170"/>
    <x v="99"/>
    <x v="35"/>
    <x v="2855"/>
    <x v="399"/>
    <x v="1190"/>
    <x v="1843"/>
    <x v="1817"/>
    <x v="3083"/>
    <x v="3079"/>
    <x v="2802"/>
    <x v="0"/>
    <x v="3053"/>
    <x v="3085"/>
    <x v="678"/>
    <x v="0"/>
    <x v="0"/>
    <x v="0"/>
    <x v="4"/>
    <x v="12"/>
    <x v="656"/>
    <x v="19"/>
    <x v="1"/>
    <x v="142"/>
  </r>
  <r>
    <x v="0"/>
    <x v="470"/>
    <x v="200"/>
    <x v="41"/>
    <x v="0"/>
    <x v="230"/>
    <x v="57"/>
    <x v="2856"/>
    <x v="200"/>
    <x v="192"/>
    <x v="219"/>
    <x v="292"/>
    <x v="3084"/>
    <x v="3080"/>
    <x v="2803"/>
    <x v="4"/>
    <x v="3054"/>
    <x v="3086"/>
    <x v="603"/>
    <x v="0"/>
    <x v="0"/>
    <x v="4"/>
    <x v="195"/>
    <x v="20"/>
    <x v="149"/>
    <x v="16"/>
    <x v="1"/>
    <x v="9"/>
  </r>
  <r>
    <x v="0"/>
    <x v="558"/>
    <x v="248"/>
    <x v="55"/>
    <x v="73"/>
    <x v="756"/>
    <x v="607"/>
    <x v="2857"/>
    <x v="222"/>
    <x v="1191"/>
    <x v="1161"/>
    <x v="1593"/>
    <x v="3085"/>
    <x v="3081"/>
    <x v="1561"/>
    <x v="0"/>
    <x v="3055"/>
    <x v="3087"/>
    <x v="904"/>
    <x v="0"/>
    <x v="0"/>
    <x v="0"/>
    <x v="70"/>
    <x v="5"/>
    <x v="619"/>
    <x v="46"/>
    <x v="1"/>
    <x v="38"/>
  </r>
  <r>
    <x v="0"/>
    <x v="397"/>
    <x v="287"/>
    <x v="40"/>
    <x v="225"/>
    <x v="180"/>
    <x v="608"/>
    <x v="2858"/>
    <x v="200"/>
    <x v="1192"/>
    <x v="1844"/>
    <x v="2195"/>
    <x v="3086"/>
    <x v="3082"/>
    <x v="1877"/>
    <x v="5"/>
    <x v="3056"/>
    <x v="3088"/>
    <x v="360"/>
    <x v="0"/>
    <x v="1"/>
    <x v="2"/>
    <x v="70"/>
    <x v="2"/>
    <x v="803"/>
    <x v="4"/>
    <x v="1"/>
    <x v="90"/>
  </r>
  <r>
    <x v="0"/>
    <x v="1320"/>
    <x v="345"/>
    <x v="59"/>
    <x v="188"/>
    <x v="83"/>
    <x v="350"/>
    <x v="2859"/>
    <x v="463"/>
    <x v="261"/>
    <x v="1273"/>
    <x v="106"/>
    <x v="3087"/>
    <x v="3083"/>
    <x v="2804"/>
    <x v="1"/>
    <x v="3057"/>
    <x v="3089"/>
    <x v="343"/>
    <x v="0"/>
    <x v="0"/>
    <x v="3"/>
    <x v="70"/>
    <x v="8"/>
    <x v="196"/>
    <x v="10"/>
    <x v="3"/>
    <x v="560"/>
  </r>
  <r>
    <x v="0"/>
    <x v="977"/>
    <x v="409"/>
    <x v="7"/>
    <x v="5"/>
    <x v="840"/>
    <x v="0"/>
    <x v="2860"/>
    <x v="215"/>
    <x v="1193"/>
    <x v="1094"/>
    <x v="2196"/>
    <x v="3088"/>
    <x v="3084"/>
    <x v="2805"/>
    <x v="3"/>
    <x v="3058"/>
    <x v="3090"/>
    <x v="780"/>
    <x v="0"/>
    <x v="0"/>
    <x v="2"/>
    <x v="131"/>
    <x v="12"/>
    <x v="370"/>
    <x v="34"/>
    <x v="3"/>
    <x v="378"/>
  </r>
  <r>
    <x v="0"/>
    <x v="437"/>
    <x v="430"/>
    <x v="74"/>
    <x v="0"/>
    <x v="207"/>
    <x v="11"/>
    <x v="2861"/>
    <x v="484"/>
    <x v="156"/>
    <x v="1845"/>
    <x v="2197"/>
    <x v="3089"/>
    <x v="3085"/>
    <x v="2806"/>
    <x v="1"/>
    <x v="3059"/>
    <x v="3091"/>
    <x v="737"/>
    <x v="0"/>
    <x v="0"/>
    <x v="4"/>
    <x v="70"/>
    <x v="22"/>
    <x v="73"/>
    <x v="12"/>
    <x v="3"/>
    <x v="558"/>
  </r>
  <r>
    <x v="0"/>
    <x v="432"/>
    <x v="315"/>
    <x v="113"/>
    <x v="77"/>
    <x v="530"/>
    <x v="282"/>
    <x v="2862"/>
    <x v="170"/>
    <x v="1194"/>
    <x v="1846"/>
    <x v="2198"/>
    <x v="3090"/>
    <x v="3086"/>
    <x v="2807"/>
    <x v="1"/>
    <x v="3060"/>
    <x v="3092"/>
    <x v="710"/>
    <x v="0"/>
    <x v="0"/>
    <x v="0"/>
    <x v="70"/>
    <x v="19"/>
    <x v="736"/>
    <x v="5"/>
    <x v="1"/>
    <x v="1"/>
  </r>
  <r>
    <x v="0"/>
    <x v="184"/>
    <x v="125"/>
    <x v="45"/>
    <x v="45"/>
    <x v="841"/>
    <x v="475"/>
    <x v="2863"/>
    <x v="658"/>
    <x v="1195"/>
    <x v="508"/>
    <x v="2199"/>
    <x v="3091"/>
    <x v="3087"/>
    <x v="2808"/>
    <x v="0"/>
    <x v="3061"/>
    <x v="3093"/>
    <x v="248"/>
    <x v="0"/>
    <x v="0"/>
    <x v="0"/>
    <x v="190"/>
    <x v="22"/>
    <x v="329"/>
    <x v="1"/>
    <x v="3"/>
    <x v="59"/>
  </r>
  <r>
    <x v="0"/>
    <x v="1321"/>
    <x v="104"/>
    <x v="95"/>
    <x v="151"/>
    <x v="78"/>
    <x v="35"/>
    <x v="2864"/>
    <x v="381"/>
    <x v="611"/>
    <x v="1847"/>
    <x v="1386"/>
    <x v="3092"/>
    <x v="3088"/>
    <x v="2809"/>
    <x v="1"/>
    <x v="3062"/>
    <x v="3094"/>
    <x v="905"/>
    <x v="0"/>
    <x v="0"/>
    <x v="4"/>
    <x v="252"/>
    <x v="17"/>
    <x v="500"/>
    <x v="9"/>
    <x v="3"/>
    <x v="1"/>
  </r>
  <r>
    <x v="0"/>
    <x v="382"/>
    <x v="460"/>
    <x v="7"/>
    <x v="71"/>
    <x v="195"/>
    <x v="35"/>
    <x v="4"/>
    <x v="713"/>
    <x v="184"/>
    <x v="875"/>
    <x v="525"/>
    <x v="3093"/>
    <x v="3089"/>
    <x v="2810"/>
    <x v="0"/>
    <x v="3063"/>
    <x v="3095"/>
    <x v="365"/>
    <x v="0"/>
    <x v="0"/>
    <x v="4"/>
    <x v="70"/>
    <x v="35"/>
    <x v="506"/>
    <x v="1"/>
    <x v="3"/>
    <x v="240"/>
  </r>
  <r>
    <x v="0"/>
    <x v="1123"/>
    <x v="74"/>
    <x v="47"/>
    <x v="267"/>
    <x v="657"/>
    <x v="609"/>
    <x v="2865"/>
    <x v="80"/>
    <x v="1196"/>
    <x v="1848"/>
    <x v="1777"/>
    <x v="3094"/>
    <x v="3090"/>
    <x v="2811"/>
    <x v="4"/>
    <x v="3064"/>
    <x v="3096"/>
    <x v="104"/>
    <x v="0"/>
    <x v="0"/>
    <x v="4"/>
    <x v="116"/>
    <x v="15"/>
    <x v="804"/>
    <x v="19"/>
    <x v="1"/>
    <x v="251"/>
  </r>
  <r>
    <x v="0"/>
    <x v="1008"/>
    <x v="477"/>
    <x v="29"/>
    <x v="329"/>
    <x v="268"/>
    <x v="2"/>
    <x v="2866"/>
    <x v="270"/>
    <x v="72"/>
    <x v="997"/>
    <x v="347"/>
    <x v="3095"/>
    <x v="3091"/>
    <x v="2812"/>
    <x v="1"/>
    <x v="3065"/>
    <x v="3097"/>
    <x v="292"/>
    <x v="0"/>
    <x v="0"/>
    <x v="0"/>
    <x v="70"/>
    <x v="3"/>
    <x v="30"/>
    <x v="38"/>
    <x v="1"/>
    <x v="41"/>
  </r>
  <r>
    <x v="0"/>
    <x v="1322"/>
    <x v="332"/>
    <x v="95"/>
    <x v="245"/>
    <x v="253"/>
    <x v="407"/>
    <x v="2867"/>
    <x v="70"/>
    <x v="1197"/>
    <x v="664"/>
    <x v="2200"/>
    <x v="3096"/>
    <x v="2243"/>
    <x v="1601"/>
    <x v="4"/>
    <x v="3066"/>
    <x v="3098"/>
    <x v="546"/>
    <x v="0"/>
    <x v="0"/>
    <x v="4"/>
    <x v="70"/>
    <x v="1"/>
    <x v="412"/>
    <x v="18"/>
    <x v="3"/>
    <x v="561"/>
  </r>
  <r>
    <x v="0"/>
    <x v="1323"/>
    <x v="383"/>
    <x v="11"/>
    <x v="36"/>
    <x v="578"/>
    <x v="349"/>
    <x v="2868"/>
    <x v="305"/>
    <x v="1198"/>
    <x v="1849"/>
    <x v="2201"/>
    <x v="3097"/>
    <x v="3092"/>
    <x v="1205"/>
    <x v="13"/>
    <x v="3067"/>
    <x v="3099"/>
    <x v="749"/>
    <x v="0"/>
    <x v="0"/>
    <x v="2"/>
    <x v="70"/>
    <x v="9"/>
    <x v="536"/>
    <x v="54"/>
    <x v="3"/>
    <x v="1"/>
  </r>
  <r>
    <x v="0"/>
    <x v="1324"/>
    <x v="383"/>
    <x v="71"/>
    <x v="80"/>
    <x v="247"/>
    <x v="355"/>
    <x v="2869"/>
    <x v="125"/>
    <x v="641"/>
    <x v="591"/>
    <x v="2202"/>
    <x v="3098"/>
    <x v="3093"/>
    <x v="2813"/>
    <x v="7"/>
    <x v="3068"/>
    <x v="3100"/>
    <x v="247"/>
    <x v="0"/>
    <x v="0"/>
    <x v="4"/>
    <x v="4"/>
    <x v="0"/>
    <x v="157"/>
    <x v="27"/>
    <x v="3"/>
    <x v="1"/>
  </r>
  <r>
    <x v="0"/>
    <x v="1325"/>
    <x v="193"/>
    <x v="93"/>
    <x v="125"/>
    <x v="156"/>
    <x v="0"/>
    <x v="2870"/>
    <x v="29"/>
    <x v="543"/>
    <x v="335"/>
    <x v="1287"/>
    <x v="3099"/>
    <x v="3094"/>
    <x v="2814"/>
    <x v="0"/>
    <x v="3069"/>
    <x v="3101"/>
    <x v="712"/>
    <x v="0"/>
    <x v="0"/>
    <x v="2"/>
    <x v="119"/>
    <x v="19"/>
    <x v="225"/>
    <x v="18"/>
    <x v="3"/>
    <x v="395"/>
  </r>
  <r>
    <x v="0"/>
    <x v="1281"/>
    <x v="514"/>
    <x v="77"/>
    <x v="172"/>
    <x v="242"/>
    <x v="57"/>
    <x v="2871"/>
    <x v="113"/>
    <x v="386"/>
    <x v="166"/>
    <x v="93"/>
    <x v="3100"/>
    <x v="3095"/>
    <x v="2815"/>
    <x v="1"/>
    <x v="3070"/>
    <x v="3102"/>
    <x v="404"/>
    <x v="0"/>
    <x v="1"/>
    <x v="4"/>
    <x v="253"/>
    <x v="10"/>
    <x v="12"/>
    <x v="15"/>
    <x v="1"/>
    <x v="16"/>
  </r>
  <r>
    <x v="0"/>
    <x v="586"/>
    <x v="104"/>
    <x v="45"/>
    <x v="44"/>
    <x v="227"/>
    <x v="22"/>
    <x v="2872"/>
    <x v="369"/>
    <x v="191"/>
    <x v="1850"/>
    <x v="1217"/>
    <x v="3101"/>
    <x v="3096"/>
    <x v="2816"/>
    <x v="0"/>
    <x v="3071"/>
    <x v="3103"/>
    <x v="722"/>
    <x v="0"/>
    <x v="0"/>
    <x v="4"/>
    <x v="70"/>
    <x v="12"/>
    <x v="343"/>
    <x v="2"/>
    <x v="1"/>
    <x v="562"/>
  </r>
  <r>
    <x v="0"/>
    <x v="1326"/>
    <x v="441"/>
    <x v="27"/>
    <x v="52"/>
    <x v="52"/>
    <x v="98"/>
    <x v="2873"/>
    <x v="17"/>
    <x v="846"/>
    <x v="832"/>
    <x v="429"/>
    <x v="3102"/>
    <x v="3097"/>
    <x v="2817"/>
    <x v="0"/>
    <x v="3072"/>
    <x v="3104"/>
    <x v="510"/>
    <x v="0"/>
    <x v="0"/>
    <x v="4"/>
    <x v="70"/>
    <x v="13"/>
    <x v="117"/>
    <x v="38"/>
    <x v="3"/>
    <x v="103"/>
  </r>
  <r>
    <x v="0"/>
    <x v="1327"/>
    <x v="214"/>
    <x v="26"/>
    <x v="0"/>
    <x v="478"/>
    <x v="0"/>
    <x v="2874"/>
    <x v="60"/>
    <x v="510"/>
    <x v="1851"/>
    <x v="1147"/>
    <x v="3103"/>
    <x v="3098"/>
    <x v="2818"/>
    <x v="1"/>
    <x v="3073"/>
    <x v="3105"/>
    <x v="491"/>
    <x v="0"/>
    <x v="0"/>
    <x v="4"/>
    <x v="240"/>
    <x v="2"/>
    <x v="85"/>
    <x v="1"/>
    <x v="1"/>
    <x v="61"/>
  </r>
  <r>
    <x v="0"/>
    <x v="1328"/>
    <x v="276"/>
    <x v="26"/>
    <x v="216"/>
    <x v="89"/>
    <x v="610"/>
    <x v="2875"/>
    <x v="457"/>
    <x v="1199"/>
    <x v="1852"/>
    <x v="2203"/>
    <x v="3104"/>
    <x v="3099"/>
    <x v="2051"/>
    <x v="3"/>
    <x v="3074"/>
    <x v="3106"/>
    <x v="627"/>
    <x v="0"/>
    <x v="0"/>
    <x v="0"/>
    <x v="70"/>
    <x v="12"/>
    <x v="633"/>
    <x v="15"/>
    <x v="1"/>
    <x v="103"/>
  </r>
  <r>
    <x v="0"/>
    <x v="637"/>
    <x v="315"/>
    <x v="101"/>
    <x v="89"/>
    <x v="842"/>
    <x v="10"/>
    <x v="2876"/>
    <x v="127"/>
    <x v="375"/>
    <x v="489"/>
    <x v="2204"/>
    <x v="3105"/>
    <x v="3100"/>
    <x v="2819"/>
    <x v="1"/>
    <x v="3075"/>
    <x v="3107"/>
    <x v="454"/>
    <x v="0"/>
    <x v="0"/>
    <x v="0"/>
    <x v="134"/>
    <x v="18"/>
    <x v="9"/>
    <x v="27"/>
    <x v="1"/>
    <x v="1"/>
  </r>
  <r>
    <x v="0"/>
    <x v="1230"/>
    <x v="235"/>
    <x v="71"/>
    <x v="320"/>
    <x v="71"/>
    <x v="153"/>
    <x v="2877"/>
    <x v="125"/>
    <x v="282"/>
    <x v="265"/>
    <x v="2205"/>
    <x v="3106"/>
    <x v="3101"/>
    <x v="2429"/>
    <x v="0"/>
    <x v="3076"/>
    <x v="3108"/>
    <x v="325"/>
    <x v="0"/>
    <x v="0"/>
    <x v="4"/>
    <x v="70"/>
    <x v="15"/>
    <x v="179"/>
    <x v="6"/>
    <x v="3"/>
    <x v="37"/>
  </r>
  <r>
    <x v="0"/>
    <x v="1329"/>
    <x v="379"/>
    <x v="55"/>
    <x v="45"/>
    <x v="274"/>
    <x v="41"/>
    <x v="2878"/>
    <x v="714"/>
    <x v="396"/>
    <x v="1194"/>
    <x v="727"/>
    <x v="3107"/>
    <x v="3102"/>
    <x v="2820"/>
    <x v="0"/>
    <x v="3077"/>
    <x v="3109"/>
    <x v="589"/>
    <x v="0"/>
    <x v="8"/>
    <x v="0"/>
    <x v="70"/>
    <x v="15"/>
    <x v="488"/>
    <x v="12"/>
    <x v="3"/>
    <x v="1"/>
  </r>
  <r>
    <x v="0"/>
    <x v="24"/>
    <x v="301"/>
    <x v="11"/>
    <x v="17"/>
    <x v="735"/>
    <x v="2"/>
    <x v="2879"/>
    <x v="715"/>
    <x v="2"/>
    <x v="393"/>
    <x v="2206"/>
    <x v="3108"/>
    <x v="3103"/>
    <x v="2821"/>
    <x v="3"/>
    <x v="3078"/>
    <x v="3110"/>
    <x v="568"/>
    <x v="0"/>
    <x v="0"/>
    <x v="0"/>
    <x v="70"/>
    <x v="11"/>
    <x v="264"/>
    <x v="15"/>
    <x v="3"/>
    <x v="35"/>
  </r>
  <r>
    <x v="0"/>
    <x v="21"/>
    <x v="388"/>
    <x v="7"/>
    <x v="14"/>
    <x v="715"/>
    <x v="41"/>
    <x v="2880"/>
    <x v="408"/>
    <x v="211"/>
    <x v="1095"/>
    <x v="2207"/>
    <x v="3109"/>
    <x v="3104"/>
    <x v="2822"/>
    <x v="0"/>
    <x v="3079"/>
    <x v="3111"/>
    <x v="606"/>
    <x v="0"/>
    <x v="0"/>
    <x v="4"/>
    <x v="70"/>
    <x v="20"/>
    <x v="387"/>
    <x v="22"/>
    <x v="3"/>
    <x v="1"/>
  </r>
  <r>
    <x v="0"/>
    <x v="1050"/>
    <x v="460"/>
    <x v="71"/>
    <x v="174"/>
    <x v="10"/>
    <x v="134"/>
    <x v="2881"/>
    <x v="127"/>
    <x v="252"/>
    <x v="909"/>
    <x v="2208"/>
    <x v="3110"/>
    <x v="3105"/>
    <x v="2823"/>
    <x v="12"/>
    <x v="3080"/>
    <x v="3112"/>
    <x v="678"/>
    <x v="0"/>
    <x v="0"/>
    <x v="2"/>
    <x v="70"/>
    <x v="14"/>
    <x v="12"/>
    <x v="43"/>
    <x v="3"/>
    <x v="1"/>
  </r>
  <r>
    <x v="0"/>
    <x v="209"/>
    <x v="288"/>
    <x v="37"/>
    <x v="0"/>
    <x v="374"/>
    <x v="161"/>
    <x v="4"/>
    <x v="60"/>
    <x v="1132"/>
    <x v="1486"/>
    <x v="524"/>
    <x v="3111"/>
    <x v="3106"/>
    <x v="2824"/>
    <x v="0"/>
    <x v="3081"/>
    <x v="3113"/>
    <x v="128"/>
    <x v="0"/>
    <x v="0"/>
    <x v="4"/>
    <x v="70"/>
    <x v="31"/>
    <x v="733"/>
    <x v="2"/>
    <x v="3"/>
    <x v="1"/>
  </r>
  <r>
    <x v="0"/>
    <x v="1330"/>
    <x v="145"/>
    <x v="54"/>
    <x v="359"/>
    <x v="620"/>
    <x v="0"/>
    <x v="2882"/>
    <x v="106"/>
    <x v="1200"/>
    <x v="1602"/>
    <x v="1423"/>
    <x v="3112"/>
    <x v="3107"/>
    <x v="2825"/>
    <x v="3"/>
    <x v="3082"/>
    <x v="3114"/>
    <x v="310"/>
    <x v="0"/>
    <x v="0"/>
    <x v="4"/>
    <x v="70"/>
    <x v="5"/>
    <x v="758"/>
    <x v="34"/>
    <x v="1"/>
    <x v="1"/>
  </r>
  <r>
    <x v="0"/>
    <x v="491"/>
    <x v="312"/>
    <x v="55"/>
    <x v="253"/>
    <x v="701"/>
    <x v="421"/>
    <x v="2883"/>
    <x v="168"/>
    <x v="1201"/>
    <x v="893"/>
    <x v="1848"/>
    <x v="3113"/>
    <x v="3108"/>
    <x v="1710"/>
    <x v="1"/>
    <x v="3083"/>
    <x v="3115"/>
    <x v="394"/>
    <x v="0"/>
    <x v="1"/>
    <x v="4"/>
    <x v="70"/>
    <x v="19"/>
    <x v="116"/>
    <x v="38"/>
    <x v="3"/>
    <x v="1"/>
  </r>
  <r>
    <x v="0"/>
    <x v="752"/>
    <x v="224"/>
    <x v="50"/>
    <x v="0"/>
    <x v="23"/>
    <x v="24"/>
    <x v="2884"/>
    <x v="125"/>
    <x v="25"/>
    <x v="23"/>
    <x v="537"/>
    <x v="3114"/>
    <x v="3109"/>
    <x v="2335"/>
    <x v="10"/>
    <x v="3084"/>
    <x v="3116"/>
    <x v="869"/>
    <x v="0"/>
    <x v="0"/>
    <x v="4"/>
    <x v="224"/>
    <x v="9"/>
    <x v="20"/>
    <x v="44"/>
    <x v="3"/>
    <x v="68"/>
  </r>
  <r>
    <x v="0"/>
    <x v="176"/>
    <x v="233"/>
    <x v="33"/>
    <x v="127"/>
    <x v="23"/>
    <x v="1"/>
    <x v="293"/>
    <x v="137"/>
    <x v="1"/>
    <x v="98"/>
    <x v="265"/>
    <x v="301"/>
    <x v="3110"/>
    <x v="296"/>
    <x v="0"/>
    <x v="298"/>
    <x v="301"/>
    <x v="278"/>
    <x v="0"/>
    <x v="0"/>
    <x v="0"/>
    <x v="32"/>
    <x v="5"/>
    <x v="6"/>
    <x v="19"/>
    <x v="1"/>
    <x v="68"/>
  </r>
  <r>
    <x v="0"/>
    <x v="1331"/>
    <x v="388"/>
    <x v="54"/>
    <x v="198"/>
    <x v="390"/>
    <x v="206"/>
    <x v="2885"/>
    <x v="286"/>
    <x v="388"/>
    <x v="1269"/>
    <x v="2209"/>
    <x v="3115"/>
    <x v="3111"/>
    <x v="2826"/>
    <x v="0"/>
    <x v="3085"/>
    <x v="3117"/>
    <x v="327"/>
    <x v="0"/>
    <x v="0"/>
    <x v="0"/>
    <x v="70"/>
    <x v="8"/>
    <x v="105"/>
    <x v="31"/>
    <x v="1"/>
    <x v="563"/>
  </r>
  <r>
    <x v="1"/>
    <x v="1332"/>
    <x v="220"/>
    <x v="59"/>
    <x v="117"/>
    <x v="275"/>
    <x v="134"/>
    <x v="2886"/>
    <x v="716"/>
    <x v="252"/>
    <x v="1853"/>
    <x v="2210"/>
    <x v="3116"/>
    <x v="3112"/>
    <x v="2827"/>
    <x v="4"/>
    <x v="3086"/>
    <x v="3118"/>
    <x v="59"/>
    <x v="0"/>
    <x v="0"/>
    <x v="4"/>
    <x v="70"/>
    <x v="3"/>
    <x v="768"/>
    <x v="10"/>
    <x v="1"/>
    <x v="68"/>
  </r>
  <r>
    <x v="0"/>
    <x v="760"/>
    <x v="237"/>
    <x v="101"/>
    <x v="137"/>
    <x v="245"/>
    <x v="0"/>
    <x v="2887"/>
    <x v="125"/>
    <x v="869"/>
    <x v="265"/>
    <x v="759"/>
    <x v="3117"/>
    <x v="3113"/>
    <x v="2828"/>
    <x v="1"/>
    <x v="3087"/>
    <x v="3119"/>
    <x v="432"/>
    <x v="0"/>
    <x v="0"/>
    <x v="4"/>
    <x v="4"/>
    <x v="10"/>
    <x v="179"/>
    <x v="22"/>
    <x v="3"/>
    <x v="1"/>
  </r>
  <r>
    <x v="0"/>
    <x v="113"/>
    <x v="373"/>
    <x v="167"/>
    <x v="88"/>
    <x v="236"/>
    <x v="0"/>
    <x v="4"/>
    <x v="618"/>
    <x v="1202"/>
    <x v="175"/>
    <x v="2211"/>
    <x v="3118"/>
    <x v="3114"/>
    <x v="2829"/>
    <x v="4"/>
    <x v="3088"/>
    <x v="3120"/>
    <x v="86"/>
    <x v="0"/>
    <x v="0"/>
    <x v="5"/>
    <x v="4"/>
    <x v="4"/>
    <x v="119"/>
    <x v="0"/>
    <x v="0"/>
    <x v="1"/>
  </r>
  <r>
    <x v="1"/>
    <x v="653"/>
    <x v="57"/>
    <x v="59"/>
    <x v="279"/>
    <x v="154"/>
    <x v="0"/>
    <x v="2888"/>
    <x v="152"/>
    <x v="990"/>
    <x v="1378"/>
    <x v="190"/>
    <x v="3119"/>
    <x v="3115"/>
    <x v="2830"/>
    <x v="4"/>
    <x v="3089"/>
    <x v="3121"/>
    <x v="906"/>
    <x v="0"/>
    <x v="0"/>
    <x v="4"/>
    <x v="244"/>
    <x v="20"/>
    <x v="15"/>
    <x v="35"/>
    <x v="3"/>
    <x v="50"/>
  </r>
  <r>
    <x v="0"/>
    <x v="1333"/>
    <x v="304"/>
    <x v="87"/>
    <x v="146"/>
    <x v="843"/>
    <x v="0"/>
    <x v="2889"/>
    <x v="355"/>
    <x v="1203"/>
    <x v="1854"/>
    <x v="2212"/>
    <x v="3120"/>
    <x v="3116"/>
    <x v="2831"/>
    <x v="0"/>
    <x v="3090"/>
    <x v="3122"/>
    <x v="195"/>
    <x v="0"/>
    <x v="0"/>
    <x v="4"/>
    <x v="70"/>
    <x v="3"/>
    <x v="26"/>
    <x v="9"/>
    <x v="1"/>
    <x v="57"/>
  </r>
  <r>
    <x v="0"/>
    <x v="1334"/>
    <x v="193"/>
    <x v="112"/>
    <x v="0"/>
    <x v="277"/>
    <x v="71"/>
    <x v="2890"/>
    <x v="494"/>
    <x v="126"/>
    <x v="30"/>
    <x v="2213"/>
    <x v="3121"/>
    <x v="3117"/>
    <x v="2832"/>
    <x v="0"/>
    <x v="3091"/>
    <x v="3123"/>
    <x v="721"/>
    <x v="0"/>
    <x v="0"/>
    <x v="2"/>
    <x v="70"/>
    <x v="14"/>
    <x v="24"/>
    <x v="27"/>
    <x v="3"/>
    <x v="564"/>
  </r>
  <r>
    <x v="0"/>
    <x v="1335"/>
    <x v="160"/>
    <x v="29"/>
    <x v="117"/>
    <x v="621"/>
    <x v="611"/>
    <x v="2891"/>
    <x v="717"/>
    <x v="1204"/>
    <x v="1855"/>
    <x v="2214"/>
    <x v="3122"/>
    <x v="3118"/>
    <x v="2833"/>
    <x v="3"/>
    <x v="3092"/>
    <x v="3124"/>
    <x v="556"/>
    <x v="3"/>
    <x v="4"/>
    <x v="4"/>
    <x v="70"/>
    <x v="20"/>
    <x v="515"/>
    <x v="16"/>
    <x v="3"/>
    <x v="1"/>
  </r>
  <r>
    <x v="0"/>
    <x v="507"/>
    <x v="262"/>
    <x v="52"/>
    <x v="0"/>
    <x v="14"/>
    <x v="185"/>
    <x v="2892"/>
    <x v="113"/>
    <x v="779"/>
    <x v="1484"/>
    <x v="2215"/>
    <x v="3123"/>
    <x v="3119"/>
    <x v="2487"/>
    <x v="0"/>
    <x v="3093"/>
    <x v="3125"/>
    <x v="215"/>
    <x v="0"/>
    <x v="10"/>
    <x v="3"/>
    <x v="70"/>
    <x v="15"/>
    <x v="732"/>
    <x v="25"/>
    <x v="1"/>
    <x v="1"/>
  </r>
  <r>
    <x v="0"/>
    <x v="1336"/>
    <x v="428"/>
    <x v="45"/>
    <x v="134"/>
    <x v="121"/>
    <x v="25"/>
    <x v="2893"/>
    <x v="718"/>
    <x v="392"/>
    <x v="6"/>
    <x v="2216"/>
    <x v="3124"/>
    <x v="3120"/>
    <x v="2834"/>
    <x v="1"/>
    <x v="3094"/>
    <x v="3126"/>
    <x v="578"/>
    <x v="0"/>
    <x v="0"/>
    <x v="4"/>
    <x v="70"/>
    <x v="19"/>
    <x v="6"/>
    <x v="23"/>
    <x v="1"/>
    <x v="565"/>
  </r>
  <r>
    <x v="0"/>
    <x v="1337"/>
    <x v="450"/>
    <x v="71"/>
    <x v="0"/>
    <x v="109"/>
    <x v="306"/>
    <x v="2894"/>
    <x v="200"/>
    <x v="557"/>
    <x v="1850"/>
    <x v="2217"/>
    <x v="3125"/>
    <x v="3121"/>
    <x v="2835"/>
    <x v="0"/>
    <x v="3095"/>
    <x v="3127"/>
    <x v="119"/>
    <x v="0"/>
    <x v="0"/>
    <x v="4"/>
    <x v="70"/>
    <x v="9"/>
    <x v="343"/>
    <x v="10"/>
    <x v="1"/>
    <x v="1"/>
  </r>
  <r>
    <x v="0"/>
    <x v="1338"/>
    <x v="188"/>
    <x v="7"/>
    <x v="0"/>
    <x v="319"/>
    <x v="250"/>
    <x v="2895"/>
    <x v="298"/>
    <x v="1205"/>
    <x v="1856"/>
    <x v="2218"/>
    <x v="3126"/>
    <x v="3122"/>
    <x v="2836"/>
    <x v="0"/>
    <x v="3096"/>
    <x v="3128"/>
    <x v="498"/>
    <x v="0"/>
    <x v="1"/>
    <x v="0"/>
    <x v="4"/>
    <x v="1"/>
    <x v="73"/>
    <x v="4"/>
    <x v="1"/>
    <x v="1"/>
  </r>
  <r>
    <x v="0"/>
    <x v="1339"/>
    <x v="307"/>
    <x v="98"/>
    <x v="89"/>
    <x v="822"/>
    <x v="612"/>
    <x v="4"/>
    <x v="376"/>
    <x v="1206"/>
    <x v="250"/>
    <x v="2219"/>
    <x v="3127"/>
    <x v="3123"/>
    <x v="2837"/>
    <x v="0"/>
    <x v="3097"/>
    <x v="3129"/>
    <x v="755"/>
    <x v="0"/>
    <x v="0"/>
    <x v="2"/>
    <x v="70"/>
    <x v="37"/>
    <x v="169"/>
    <x v="39"/>
    <x v="1"/>
    <x v="338"/>
  </r>
  <r>
    <x v="0"/>
    <x v="934"/>
    <x v="74"/>
    <x v="61"/>
    <x v="118"/>
    <x v="410"/>
    <x v="0"/>
    <x v="2896"/>
    <x v="270"/>
    <x v="398"/>
    <x v="1254"/>
    <x v="2220"/>
    <x v="3128"/>
    <x v="3124"/>
    <x v="2838"/>
    <x v="4"/>
    <x v="3098"/>
    <x v="3130"/>
    <x v="448"/>
    <x v="0"/>
    <x v="0"/>
    <x v="0"/>
    <x v="195"/>
    <x v="11"/>
    <x v="651"/>
    <x v="4"/>
    <x v="1"/>
    <x v="1"/>
  </r>
  <r>
    <x v="0"/>
    <x v="1340"/>
    <x v="303"/>
    <x v="79"/>
    <x v="255"/>
    <x v="532"/>
    <x v="136"/>
    <x v="2897"/>
    <x v="215"/>
    <x v="254"/>
    <x v="1857"/>
    <x v="2221"/>
    <x v="3129"/>
    <x v="3125"/>
    <x v="2839"/>
    <x v="4"/>
    <x v="3099"/>
    <x v="3131"/>
    <x v="167"/>
    <x v="0"/>
    <x v="0"/>
    <x v="2"/>
    <x v="178"/>
    <x v="18"/>
    <x v="296"/>
    <x v="54"/>
    <x v="3"/>
    <x v="1"/>
  </r>
  <r>
    <x v="0"/>
    <x v="845"/>
    <x v="204"/>
    <x v="60"/>
    <x v="0"/>
    <x v="92"/>
    <x v="29"/>
    <x v="2898"/>
    <x v="719"/>
    <x v="34"/>
    <x v="1858"/>
    <x v="2222"/>
    <x v="3130"/>
    <x v="3126"/>
    <x v="845"/>
    <x v="0"/>
    <x v="3100"/>
    <x v="3132"/>
    <x v="49"/>
    <x v="0"/>
    <x v="0"/>
    <x v="0"/>
    <x v="70"/>
    <x v="7"/>
    <x v="429"/>
    <x v="11"/>
    <x v="3"/>
    <x v="1"/>
  </r>
  <r>
    <x v="0"/>
    <x v="1341"/>
    <x v="296"/>
    <x v="11"/>
    <x v="141"/>
    <x v="223"/>
    <x v="21"/>
    <x v="2899"/>
    <x v="379"/>
    <x v="210"/>
    <x v="1859"/>
    <x v="2223"/>
    <x v="3131"/>
    <x v="3127"/>
    <x v="2840"/>
    <x v="0"/>
    <x v="3101"/>
    <x v="3133"/>
    <x v="360"/>
    <x v="0"/>
    <x v="0"/>
    <x v="4"/>
    <x v="70"/>
    <x v="2"/>
    <x v="13"/>
    <x v="1"/>
    <x v="2"/>
    <x v="1"/>
  </r>
  <r>
    <x v="0"/>
    <x v="1342"/>
    <x v="499"/>
    <x v="105"/>
    <x v="330"/>
    <x v="40"/>
    <x v="35"/>
    <x v="2900"/>
    <x v="200"/>
    <x v="65"/>
    <x v="1860"/>
    <x v="2180"/>
    <x v="3132"/>
    <x v="3128"/>
    <x v="1245"/>
    <x v="7"/>
    <x v="3102"/>
    <x v="3134"/>
    <x v="137"/>
    <x v="0"/>
    <x v="0"/>
    <x v="4"/>
    <x v="70"/>
    <x v="10"/>
    <x v="805"/>
    <x v="12"/>
    <x v="3"/>
    <x v="1"/>
  </r>
  <r>
    <x v="0"/>
    <x v="1343"/>
    <x v="198"/>
    <x v="60"/>
    <x v="172"/>
    <x v="483"/>
    <x v="96"/>
    <x v="2901"/>
    <x v="17"/>
    <x v="1207"/>
    <x v="1861"/>
    <x v="2224"/>
    <x v="3133"/>
    <x v="3129"/>
    <x v="2841"/>
    <x v="1"/>
    <x v="3103"/>
    <x v="3135"/>
    <x v="340"/>
    <x v="17"/>
    <x v="20"/>
    <x v="4"/>
    <x v="70"/>
    <x v="0"/>
    <x v="380"/>
    <x v="15"/>
    <x v="3"/>
    <x v="1"/>
  </r>
  <r>
    <x v="0"/>
    <x v="1344"/>
    <x v="430"/>
    <x v="70"/>
    <x v="353"/>
    <x v="93"/>
    <x v="613"/>
    <x v="2902"/>
    <x v="383"/>
    <x v="1208"/>
    <x v="110"/>
    <x v="2225"/>
    <x v="3134"/>
    <x v="3130"/>
    <x v="2842"/>
    <x v="0"/>
    <x v="3104"/>
    <x v="3136"/>
    <x v="138"/>
    <x v="0"/>
    <x v="0"/>
    <x v="0"/>
    <x v="70"/>
    <x v="3"/>
    <x v="78"/>
    <x v="34"/>
    <x v="1"/>
    <x v="1"/>
  </r>
  <r>
    <x v="0"/>
    <x v="1345"/>
    <x v="421"/>
    <x v="7"/>
    <x v="116"/>
    <x v="347"/>
    <x v="14"/>
    <x v="2903"/>
    <x v="28"/>
    <x v="61"/>
    <x v="544"/>
    <x v="473"/>
    <x v="3135"/>
    <x v="3131"/>
    <x v="2843"/>
    <x v="1"/>
    <x v="3105"/>
    <x v="3137"/>
    <x v="244"/>
    <x v="0"/>
    <x v="1"/>
    <x v="4"/>
    <x v="223"/>
    <x v="27"/>
    <x v="402"/>
    <x v="4"/>
    <x v="3"/>
    <x v="281"/>
  </r>
  <r>
    <x v="0"/>
    <x v="151"/>
    <x v="387"/>
    <x v="71"/>
    <x v="0"/>
    <x v="519"/>
    <x v="614"/>
    <x v="2904"/>
    <x v="171"/>
    <x v="1209"/>
    <x v="1862"/>
    <x v="894"/>
    <x v="3136"/>
    <x v="3132"/>
    <x v="1226"/>
    <x v="0"/>
    <x v="3106"/>
    <x v="3138"/>
    <x v="877"/>
    <x v="0"/>
    <x v="0"/>
    <x v="4"/>
    <x v="195"/>
    <x v="15"/>
    <x v="806"/>
    <x v="1"/>
    <x v="3"/>
    <x v="566"/>
  </r>
  <r>
    <x v="0"/>
    <x v="721"/>
    <x v="133"/>
    <x v="69"/>
    <x v="290"/>
    <x v="384"/>
    <x v="22"/>
    <x v="2905"/>
    <x v="168"/>
    <x v="202"/>
    <x v="1279"/>
    <x v="2226"/>
    <x v="3137"/>
    <x v="3133"/>
    <x v="2844"/>
    <x v="0"/>
    <x v="3107"/>
    <x v="3139"/>
    <x v="907"/>
    <x v="0"/>
    <x v="8"/>
    <x v="4"/>
    <x v="170"/>
    <x v="14"/>
    <x v="413"/>
    <x v="0"/>
    <x v="1"/>
    <x v="45"/>
  </r>
  <r>
    <x v="0"/>
    <x v="1346"/>
    <x v="368"/>
    <x v="24"/>
    <x v="73"/>
    <x v="327"/>
    <x v="426"/>
    <x v="2906"/>
    <x v="17"/>
    <x v="1210"/>
    <x v="742"/>
    <x v="2140"/>
    <x v="3138"/>
    <x v="3134"/>
    <x v="2845"/>
    <x v="0"/>
    <x v="3108"/>
    <x v="3140"/>
    <x v="339"/>
    <x v="0"/>
    <x v="1"/>
    <x v="2"/>
    <x v="70"/>
    <x v="21"/>
    <x v="271"/>
    <x v="1"/>
    <x v="1"/>
    <x v="567"/>
  </r>
  <r>
    <x v="0"/>
    <x v="1347"/>
    <x v="434"/>
    <x v="80"/>
    <x v="198"/>
    <x v="412"/>
    <x v="615"/>
    <x v="2907"/>
    <x v="65"/>
    <x v="1211"/>
    <x v="1863"/>
    <x v="2227"/>
    <x v="3139"/>
    <x v="3135"/>
    <x v="2846"/>
    <x v="2"/>
    <x v="3109"/>
    <x v="3141"/>
    <x v="820"/>
    <x v="0"/>
    <x v="0"/>
    <x v="4"/>
    <x v="70"/>
    <x v="42"/>
    <x v="302"/>
    <x v="23"/>
    <x v="3"/>
    <x v="568"/>
  </r>
  <r>
    <x v="0"/>
    <x v="804"/>
    <x v="402"/>
    <x v="60"/>
    <x v="225"/>
    <x v="369"/>
    <x v="522"/>
    <x v="2908"/>
    <x v="357"/>
    <x v="1212"/>
    <x v="1864"/>
    <x v="814"/>
    <x v="3140"/>
    <x v="3136"/>
    <x v="2847"/>
    <x v="1"/>
    <x v="3110"/>
    <x v="3142"/>
    <x v="509"/>
    <x v="0"/>
    <x v="8"/>
    <x v="0"/>
    <x v="70"/>
    <x v="7"/>
    <x v="263"/>
    <x v="11"/>
    <x v="1"/>
    <x v="1"/>
  </r>
  <r>
    <x v="0"/>
    <x v="1348"/>
    <x v="324"/>
    <x v="55"/>
    <x v="194"/>
    <x v="308"/>
    <x v="63"/>
    <x v="2909"/>
    <x v="125"/>
    <x v="107"/>
    <x v="1824"/>
    <x v="406"/>
    <x v="3141"/>
    <x v="3137"/>
    <x v="1403"/>
    <x v="1"/>
    <x v="3111"/>
    <x v="3143"/>
    <x v="398"/>
    <x v="0"/>
    <x v="0"/>
    <x v="4"/>
    <x v="70"/>
    <x v="10"/>
    <x v="238"/>
    <x v="47"/>
    <x v="3"/>
    <x v="1"/>
  </r>
  <r>
    <x v="0"/>
    <x v="437"/>
    <x v="394"/>
    <x v="24"/>
    <x v="0"/>
    <x v="758"/>
    <x v="0"/>
    <x v="2910"/>
    <x v="379"/>
    <x v="1213"/>
    <x v="331"/>
    <x v="1601"/>
    <x v="3142"/>
    <x v="3138"/>
    <x v="2848"/>
    <x v="0"/>
    <x v="3112"/>
    <x v="3144"/>
    <x v="139"/>
    <x v="0"/>
    <x v="0"/>
    <x v="4"/>
    <x v="70"/>
    <x v="21"/>
    <x v="222"/>
    <x v="12"/>
    <x v="3"/>
    <x v="103"/>
  </r>
  <r>
    <x v="0"/>
    <x v="1349"/>
    <x v="112"/>
    <x v="41"/>
    <x v="198"/>
    <x v="597"/>
    <x v="458"/>
    <x v="2911"/>
    <x v="236"/>
    <x v="1214"/>
    <x v="1865"/>
    <x v="2228"/>
    <x v="3143"/>
    <x v="3139"/>
    <x v="416"/>
    <x v="1"/>
    <x v="3113"/>
    <x v="3145"/>
    <x v="405"/>
    <x v="0"/>
    <x v="0"/>
    <x v="0"/>
    <x v="70"/>
    <x v="6"/>
    <x v="213"/>
    <x v="30"/>
    <x v="3"/>
    <x v="7"/>
  </r>
  <r>
    <x v="0"/>
    <x v="1233"/>
    <x v="412"/>
    <x v="34"/>
    <x v="199"/>
    <x v="251"/>
    <x v="426"/>
    <x v="2912"/>
    <x v="678"/>
    <x v="281"/>
    <x v="984"/>
    <x v="468"/>
    <x v="3144"/>
    <x v="3140"/>
    <x v="2849"/>
    <x v="0"/>
    <x v="3114"/>
    <x v="3146"/>
    <x v="732"/>
    <x v="0"/>
    <x v="0"/>
    <x v="2"/>
    <x v="137"/>
    <x v="37"/>
    <x v="545"/>
    <x v="31"/>
    <x v="1"/>
    <x v="569"/>
  </r>
  <r>
    <x v="0"/>
    <x v="1350"/>
    <x v="433"/>
    <x v="55"/>
    <x v="360"/>
    <x v="607"/>
    <x v="18"/>
    <x v="2913"/>
    <x v="200"/>
    <x v="19"/>
    <x v="1866"/>
    <x v="2229"/>
    <x v="3145"/>
    <x v="3141"/>
    <x v="2850"/>
    <x v="4"/>
    <x v="3115"/>
    <x v="3147"/>
    <x v="793"/>
    <x v="0"/>
    <x v="0"/>
    <x v="4"/>
    <x v="70"/>
    <x v="11"/>
    <x v="642"/>
    <x v="22"/>
    <x v="3"/>
    <x v="1"/>
  </r>
  <r>
    <x v="0"/>
    <x v="19"/>
    <x v="160"/>
    <x v="42"/>
    <x v="12"/>
    <x v="402"/>
    <x v="248"/>
    <x v="2914"/>
    <x v="17"/>
    <x v="456"/>
    <x v="1867"/>
    <x v="2230"/>
    <x v="3146"/>
    <x v="3142"/>
    <x v="2851"/>
    <x v="0"/>
    <x v="3116"/>
    <x v="3148"/>
    <x v="671"/>
    <x v="0"/>
    <x v="0"/>
    <x v="0"/>
    <x v="70"/>
    <x v="10"/>
    <x v="636"/>
    <x v="13"/>
    <x v="3"/>
    <x v="1"/>
  </r>
  <r>
    <x v="0"/>
    <x v="471"/>
    <x v="271"/>
    <x v="42"/>
    <x v="0"/>
    <x v="120"/>
    <x v="616"/>
    <x v="2915"/>
    <x v="150"/>
    <x v="1215"/>
    <x v="1868"/>
    <x v="1865"/>
    <x v="3147"/>
    <x v="3143"/>
    <x v="2852"/>
    <x v="0"/>
    <x v="3117"/>
    <x v="3149"/>
    <x v="507"/>
    <x v="0"/>
    <x v="4"/>
    <x v="4"/>
    <x v="83"/>
    <x v="19"/>
    <x v="339"/>
    <x v="2"/>
    <x v="0"/>
    <x v="1"/>
  </r>
  <r>
    <x v="0"/>
    <x v="1351"/>
    <x v="324"/>
    <x v="59"/>
    <x v="221"/>
    <x v="99"/>
    <x v="21"/>
    <x v="2916"/>
    <x v="314"/>
    <x v="22"/>
    <x v="297"/>
    <x v="2231"/>
    <x v="3148"/>
    <x v="3144"/>
    <x v="2853"/>
    <x v="0"/>
    <x v="3118"/>
    <x v="3150"/>
    <x v="552"/>
    <x v="0"/>
    <x v="0"/>
    <x v="4"/>
    <x v="70"/>
    <x v="21"/>
    <x v="30"/>
    <x v="20"/>
    <x v="3"/>
    <x v="531"/>
  </r>
  <r>
    <x v="0"/>
    <x v="860"/>
    <x v="227"/>
    <x v="5"/>
    <x v="186"/>
    <x v="1"/>
    <x v="17"/>
    <x v="2917"/>
    <x v="17"/>
    <x v="41"/>
    <x v="85"/>
    <x v="49"/>
    <x v="3149"/>
    <x v="3145"/>
    <x v="2854"/>
    <x v="1"/>
    <x v="3119"/>
    <x v="3151"/>
    <x v="575"/>
    <x v="0"/>
    <x v="1"/>
    <x v="2"/>
    <x v="70"/>
    <x v="19"/>
    <x v="6"/>
    <x v="13"/>
    <x v="1"/>
    <x v="1"/>
  </r>
  <r>
    <x v="0"/>
    <x v="681"/>
    <x v="248"/>
    <x v="11"/>
    <x v="116"/>
    <x v="219"/>
    <x v="2"/>
    <x v="2918"/>
    <x v="130"/>
    <x v="104"/>
    <x v="6"/>
    <x v="1026"/>
    <x v="3150"/>
    <x v="3146"/>
    <x v="2855"/>
    <x v="1"/>
    <x v="3120"/>
    <x v="3152"/>
    <x v="245"/>
    <x v="0"/>
    <x v="0"/>
    <x v="4"/>
    <x v="70"/>
    <x v="3"/>
    <x v="6"/>
    <x v="8"/>
    <x v="3"/>
    <x v="35"/>
  </r>
  <r>
    <x v="0"/>
    <x v="113"/>
    <x v="302"/>
    <x v="162"/>
    <x v="88"/>
    <x v="621"/>
    <x v="457"/>
    <x v="2587"/>
    <x v="270"/>
    <x v="1085"/>
    <x v="1673"/>
    <x v="2005"/>
    <x v="2779"/>
    <x v="3147"/>
    <x v="2560"/>
    <x v="0"/>
    <x v="2755"/>
    <x v="2779"/>
    <x v="820"/>
    <x v="26"/>
    <x v="45"/>
    <x v="7"/>
    <x v="4"/>
    <x v="4"/>
    <x v="515"/>
    <x v="71"/>
    <x v="8"/>
    <x v="1"/>
  </r>
  <r>
    <x v="0"/>
    <x v="1352"/>
    <x v="393"/>
    <x v="168"/>
    <x v="217"/>
    <x v="657"/>
    <x v="617"/>
    <x v="4"/>
    <x v="41"/>
    <x v="1216"/>
    <x v="1869"/>
    <x v="2232"/>
    <x v="3151"/>
    <x v="3148"/>
    <x v="1765"/>
    <x v="0"/>
    <x v="3121"/>
    <x v="3153"/>
    <x v="472"/>
    <x v="8"/>
    <x v="16"/>
    <x v="9"/>
    <x v="70"/>
    <x v="7"/>
    <x v="807"/>
    <x v="22"/>
    <x v="1"/>
    <x v="570"/>
  </r>
  <r>
    <x v="0"/>
    <x v="1204"/>
    <x v="362"/>
    <x v="101"/>
    <x v="0"/>
    <x v="247"/>
    <x v="43"/>
    <x v="2919"/>
    <x v="408"/>
    <x v="642"/>
    <x v="1529"/>
    <x v="318"/>
    <x v="3152"/>
    <x v="3149"/>
    <x v="2856"/>
    <x v="4"/>
    <x v="3122"/>
    <x v="3154"/>
    <x v="549"/>
    <x v="0"/>
    <x v="10"/>
    <x v="4"/>
    <x v="70"/>
    <x v="21"/>
    <x v="170"/>
    <x v="5"/>
    <x v="3"/>
    <x v="192"/>
  </r>
  <r>
    <x v="0"/>
    <x v="410"/>
    <x v="34"/>
    <x v="42"/>
    <x v="229"/>
    <x v="591"/>
    <x v="2"/>
    <x v="2920"/>
    <x v="368"/>
    <x v="72"/>
    <x v="1870"/>
    <x v="2233"/>
    <x v="3153"/>
    <x v="3150"/>
    <x v="2857"/>
    <x v="0"/>
    <x v="3123"/>
    <x v="3155"/>
    <x v="404"/>
    <x v="0"/>
    <x v="0"/>
    <x v="4"/>
    <x v="190"/>
    <x v="10"/>
    <x v="419"/>
    <x v="10"/>
    <x v="3"/>
    <x v="85"/>
  </r>
  <r>
    <x v="0"/>
    <x v="1353"/>
    <x v="235"/>
    <x v="45"/>
    <x v="184"/>
    <x v="844"/>
    <x v="35"/>
    <x v="2921"/>
    <x v="200"/>
    <x v="124"/>
    <x v="658"/>
    <x v="2234"/>
    <x v="3154"/>
    <x v="3151"/>
    <x v="2858"/>
    <x v="2"/>
    <x v="3124"/>
    <x v="3156"/>
    <x v="244"/>
    <x v="0"/>
    <x v="0"/>
    <x v="4"/>
    <x v="240"/>
    <x v="0"/>
    <x v="408"/>
    <x v="12"/>
    <x v="1"/>
    <x v="1"/>
  </r>
  <r>
    <x v="0"/>
    <x v="1354"/>
    <x v="249"/>
    <x v="27"/>
    <x v="80"/>
    <x v="336"/>
    <x v="13"/>
    <x v="2922"/>
    <x v="168"/>
    <x v="93"/>
    <x v="458"/>
    <x v="543"/>
    <x v="3155"/>
    <x v="3152"/>
    <x v="2859"/>
    <x v="1"/>
    <x v="3125"/>
    <x v="3157"/>
    <x v="536"/>
    <x v="0"/>
    <x v="4"/>
    <x v="4"/>
    <x v="70"/>
    <x v="17"/>
    <x v="92"/>
    <x v="13"/>
    <x v="1"/>
    <x v="1"/>
  </r>
  <r>
    <x v="0"/>
    <x v="1355"/>
    <x v="359"/>
    <x v="41"/>
    <x v="0"/>
    <x v="469"/>
    <x v="159"/>
    <x v="2923"/>
    <x v="125"/>
    <x v="293"/>
    <x v="1871"/>
    <x v="691"/>
    <x v="3156"/>
    <x v="3153"/>
    <x v="2860"/>
    <x v="4"/>
    <x v="3126"/>
    <x v="3158"/>
    <x v="835"/>
    <x v="0"/>
    <x v="0"/>
    <x v="4"/>
    <x v="70"/>
    <x v="1"/>
    <x v="124"/>
    <x v="43"/>
    <x v="3"/>
    <x v="332"/>
  </r>
  <r>
    <x v="0"/>
    <x v="594"/>
    <x v="203"/>
    <x v="54"/>
    <x v="0"/>
    <x v="280"/>
    <x v="24"/>
    <x v="2924"/>
    <x v="17"/>
    <x v="131"/>
    <x v="1872"/>
    <x v="2235"/>
    <x v="3157"/>
    <x v="3154"/>
    <x v="2861"/>
    <x v="3"/>
    <x v="3127"/>
    <x v="3159"/>
    <x v="426"/>
    <x v="0"/>
    <x v="14"/>
    <x v="0"/>
    <x v="70"/>
    <x v="1"/>
    <x v="367"/>
    <x v="10"/>
    <x v="1"/>
    <x v="1"/>
  </r>
  <r>
    <x v="0"/>
    <x v="1287"/>
    <x v="413"/>
    <x v="73"/>
    <x v="0"/>
    <x v="588"/>
    <x v="538"/>
    <x v="2925"/>
    <x v="270"/>
    <x v="1014"/>
    <x v="738"/>
    <x v="2236"/>
    <x v="3158"/>
    <x v="3155"/>
    <x v="2507"/>
    <x v="0"/>
    <x v="3128"/>
    <x v="3160"/>
    <x v="408"/>
    <x v="0"/>
    <x v="13"/>
    <x v="4"/>
    <x v="4"/>
    <x v="20"/>
    <x v="443"/>
    <x v="5"/>
    <x v="3"/>
    <x v="571"/>
  </r>
  <r>
    <x v="0"/>
    <x v="129"/>
    <x v="184"/>
    <x v="71"/>
    <x v="0"/>
    <x v="599"/>
    <x v="618"/>
    <x v="2926"/>
    <x v="127"/>
    <x v="236"/>
    <x v="1873"/>
    <x v="976"/>
    <x v="3159"/>
    <x v="3156"/>
    <x v="2862"/>
    <x v="0"/>
    <x v="3129"/>
    <x v="3161"/>
    <x v="699"/>
    <x v="0"/>
    <x v="1"/>
    <x v="4"/>
    <x v="70"/>
    <x v="19"/>
    <x v="796"/>
    <x v="57"/>
    <x v="3"/>
    <x v="572"/>
  </r>
  <r>
    <x v="0"/>
    <x v="1356"/>
    <x v="212"/>
    <x v="86"/>
    <x v="0"/>
    <x v="119"/>
    <x v="619"/>
    <x v="2927"/>
    <x v="131"/>
    <x v="1217"/>
    <x v="1874"/>
    <x v="1305"/>
    <x v="3160"/>
    <x v="3157"/>
    <x v="2863"/>
    <x v="3"/>
    <x v="3130"/>
    <x v="3162"/>
    <x v="137"/>
    <x v="0"/>
    <x v="0"/>
    <x v="4"/>
    <x v="70"/>
    <x v="8"/>
    <x v="547"/>
    <x v="20"/>
    <x v="0"/>
    <x v="298"/>
  </r>
  <r>
    <x v="1"/>
    <x v="937"/>
    <x v="161"/>
    <x v="79"/>
    <x v="0"/>
    <x v="636"/>
    <x v="620"/>
    <x v="2928"/>
    <x v="255"/>
    <x v="1218"/>
    <x v="1875"/>
    <x v="1094"/>
    <x v="3161"/>
    <x v="3158"/>
    <x v="2864"/>
    <x v="4"/>
    <x v="3131"/>
    <x v="3163"/>
    <x v="554"/>
    <x v="13"/>
    <x v="14"/>
    <x v="2"/>
    <x v="70"/>
    <x v="18"/>
    <x v="672"/>
    <x v="11"/>
    <x v="3"/>
    <x v="1"/>
  </r>
  <r>
    <x v="0"/>
    <x v="1357"/>
    <x v="389"/>
    <x v="41"/>
    <x v="361"/>
    <x v="298"/>
    <x v="285"/>
    <x v="2929"/>
    <x v="270"/>
    <x v="1219"/>
    <x v="1876"/>
    <x v="2237"/>
    <x v="3162"/>
    <x v="3159"/>
    <x v="2865"/>
    <x v="0"/>
    <x v="3132"/>
    <x v="3164"/>
    <x v="630"/>
    <x v="0"/>
    <x v="0"/>
    <x v="9"/>
    <x v="70"/>
    <x v="17"/>
    <x v="745"/>
    <x v="40"/>
    <x v="10"/>
    <x v="573"/>
  </r>
  <r>
    <x v="0"/>
    <x v="1358"/>
    <x v="384"/>
    <x v="59"/>
    <x v="362"/>
    <x v="222"/>
    <x v="241"/>
    <x v="2930"/>
    <x v="408"/>
    <x v="1220"/>
    <x v="1004"/>
    <x v="2238"/>
    <x v="3163"/>
    <x v="3160"/>
    <x v="2866"/>
    <x v="0"/>
    <x v="3133"/>
    <x v="3165"/>
    <x v="732"/>
    <x v="3"/>
    <x v="10"/>
    <x v="1"/>
    <x v="81"/>
    <x v="13"/>
    <x v="441"/>
    <x v="4"/>
    <x v="10"/>
    <x v="574"/>
  </r>
  <r>
    <x v="0"/>
    <x v="1359"/>
    <x v="309"/>
    <x v="33"/>
    <x v="363"/>
    <x v="153"/>
    <x v="139"/>
    <x v="2931"/>
    <x v="113"/>
    <x v="1221"/>
    <x v="1877"/>
    <x v="2239"/>
    <x v="3164"/>
    <x v="3161"/>
    <x v="2867"/>
    <x v="0"/>
    <x v="3134"/>
    <x v="3166"/>
    <x v="820"/>
    <x v="0"/>
    <x v="0"/>
    <x v="4"/>
    <x v="240"/>
    <x v="11"/>
    <x v="459"/>
    <x v="4"/>
    <x v="3"/>
    <x v="9"/>
  </r>
  <r>
    <x v="0"/>
    <x v="1360"/>
    <x v="417"/>
    <x v="59"/>
    <x v="160"/>
    <x v="485"/>
    <x v="340"/>
    <x v="2932"/>
    <x v="17"/>
    <x v="412"/>
    <x v="1878"/>
    <x v="2240"/>
    <x v="3165"/>
    <x v="3162"/>
    <x v="2138"/>
    <x v="1"/>
    <x v="3135"/>
    <x v="3167"/>
    <x v="792"/>
    <x v="3"/>
    <x v="10"/>
    <x v="1"/>
    <x v="4"/>
    <x v="13"/>
    <x v="273"/>
    <x v="2"/>
    <x v="1"/>
    <x v="550"/>
  </r>
  <r>
    <x v="0"/>
    <x v="1361"/>
    <x v="128"/>
    <x v="32"/>
    <x v="0"/>
    <x v="845"/>
    <x v="11"/>
    <x v="2933"/>
    <x v="477"/>
    <x v="69"/>
    <x v="466"/>
    <x v="2241"/>
    <x v="3166"/>
    <x v="3163"/>
    <x v="2868"/>
    <x v="0"/>
    <x v="3136"/>
    <x v="3168"/>
    <x v="173"/>
    <x v="0"/>
    <x v="1"/>
    <x v="4"/>
    <x v="4"/>
    <x v="10"/>
    <x v="305"/>
    <x v="5"/>
    <x v="1"/>
    <x v="85"/>
  </r>
  <r>
    <x v="0"/>
    <x v="1362"/>
    <x v="345"/>
    <x v="70"/>
    <x v="192"/>
    <x v="666"/>
    <x v="139"/>
    <x v="2934"/>
    <x v="200"/>
    <x v="1222"/>
    <x v="1879"/>
    <x v="2242"/>
    <x v="3167"/>
    <x v="3164"/>
    <x v="2869"/>
    <x v="4"/>
    <x v="3137"/>
    <x v="3169"/>
    <x v="388"/>
    <x v="0"/>
    <x v="0"/>
    <x v="4"/>
    <x v="213"/>
    <x v="14"/>
    <x v="603"/>
    <x v="11"/>
    <x v="1"/>
    <x v="567"/>
  </r>
  <r>
    <x v="0"/>
    <x v="1363"/>
    <x v="425"/>
    <x v="107"/>
    <x v="364"/>
    <x v="800"/>
    <x v="442"/>
    <x v="2935"/>
    <x v="720"/>
    <x v="802"/>
    <x v="1880"/>
    <x v="1815"/>
    <x v="3168"/>
    <x v="3165"/>
    <x v="2870"/>
    <x v="4"/>
    <x v="3138"/>
    <x v="3170"/>
    <x v="704"/>
    <x v="0"/>
    <x v="1"/>
    <x v="4"/>
    <x v="70"/>
    <x v="18"/>
    <x v="150"/>
    <x v="5"/>
    <x v="3"/>
    <x v="575"/>
  </r>
  <r>
    <x v="0"/>
    <x v="1364"/>
    <x v="309"/>
    <x v="77"/>
    <x v="365"/>
    <x v="382"/>
    <x v="49"/>
    <x v="2936"/>
    <x v="200"/>
    <x v="86"/>
    <x v="1881"/>
    <x v="2023"/>
    <x v="3169"/>
    <x v="3166"/>
    <x v="2871"/>
    <x v="1"/>
    <x v="3139"/>
    <x v="3171"/>
    <x v="756"/>
    <x v="0"/>
    <x v="0"/>
    <x v="4"/>
    <x v="4"/>
    <x v="0"/>
    <x v="390"/>
    <x v="8"/>
    <x v="3"/>
    <x v="1"/>
  </r>
  <r>
    <x v="0"/>
    <x v="1267"/>
    <x v="245"/>
    <x v="78"/>
    <x v="199"/>
    <x v="414"/>
    <x v="427"/>
    <x v="2937"/>
    <x v="662"/>
    <x v="1223"/>
    <x v="1882"/>
    <x v="2243"/>
    <x v="3170"/>
    <x v="3167"/>
    <x v="130"/>
    <x v="0"/>
    <x v="3140"/>
    <x v="3172"/>
    <x v="357"/>
    <x v="0"/>
    <x v="1"/>
    <x v="4"/>
    <x v="240"/>
    <x v="7"/>
    <x v="439"/>
    <x v="4"/>
    <x v="3"/>
    <x v="1"/>
  </r>
  <r>
    <x v="0"/>
    <x v="1249"/>
    <x v="212"/>
    <x v="87"/>
    <x v="355"/>
    <x v="846"/>
    <x v="0"/>
    <x v="2938"/>
    <x v="306"/>
    <x v="31"/>
    <x v="1883"/>
    <x v="2244"/>
    <x v="3171"/>
    <x v="3168"/>
    <x v="2872"/>
    <x v="1"/>
    <x v="3141"/>
    <x v="3173"/>
    <x v="119"/>
    <x v="0"/>
    <x v="0"/>
    <x v="4"/>
    <x v="70"/>
    <x v="12"/>
    <x v="473"/>
    <x v="22"/>
    <x v="3"/>
    <x v="576"/>
  </r>
  <r>
    <x v="0"/>
    <x v="1365"/>
    <x v="356"/>
    <x v="47"/>
    <x v="129"/>
    <x v="831"/>
    <x v="30"/>
    <x v="2939"/>
    <x v="270"/>
    <x v="224"/>
    <x v="1884"/>
    <x v="2245"/>
    <x v="3172"/>
    <x v="3169"/>
    <x v="2873"/>
    <x v="3"/>
    <x v="3142"/>
    <x v="3174"/>
    <x v="388"/>
    <x v="0"/>
    <x v="1"/>
    <x v="4"/>
    <x v="4"/>
    <x v="5"/>
    <x v="312"/>
    <x v="15"/>
    <x v="3"/>
    <x v="1"/>
  </r>
  <r>
    <x v="0"/>
    <x v="1366"/>
    <x v="479"/>
    <x v="105"/>
    <x v="221"/>
    <x v="181"/>
    <x v="17"/>
    <x v="2940"/>
    <x v="70"/>
    <x v="18"/>
    <x v="1885"/>
    <x v="230"/>
    <x v="3173"/>
    <x v="3170"/>
    <x v="2874"/>
    <x v="0"/>
    <x v="3143"/>
    <x v="3175"/>
    <x v="575"/>
    <x v="0"/>
    <x v="0"/>
    <x v="2"/>
    <x v="254"/>
    <x v="24"/>
    <x v="518"/>
    <x v="47"/>
    <x v="3"/>
    <x v="577"/>
  </r>
  <r>
    <x v="0"/>
    <x v="600"/>
    <x v="393"/>
    <x v="57"/>
    <x v="31"/>
    <x v="327"/>
    <x v="600"/>
    <x v="2941"/>
    <x v="270"/>
    <x v="1176"/>
    <x v="586"/>
    <x v="2246"/>
    <x v="3174"/>
    <x v="3171"/>
    <x v="2875"/>
    <x v="0"/>
    <x v="3144"/>
    <x v="3176"/>
    <x v="416"/>
    <x v="0"/>
    <x v="0"/>
    <x v="0"/>
    <x v="4"/>
    <x v="5"/>
    <x v="335"/>
    <x v="10"/>
    <x v="1"/>
    <x v="354"/>
  </r>
  <r>
    <x v="0"/>
    <x v="1367"/>
    <x v="329"/>
    <x v="31"/>
    <x v="122"/>
    <x v="221"/>
    <x v="621"/>
    <x v="2942"/>
    <x v="156"/>
    <x v="1224"/>
    <x v="1886"/>
    <x v="2247"/>
    <x v="3175"/>
    <x v="3172"/>
    <x v="2876"/>
    <x v="1"/>
    <x v="4"/>
    <x v="3177"/>
    <x v="416"/>
    <x v="6"/>
    <x v="12"/>
    <x v="4"/>
    <x v="70"/>
    <x v="9"/>
    <x v="498"/>
    <x v="5"/>
    <x v="2"/>
    <x v="329"/>
  </r>
  <r>
    <x v="0"/>
    <x v="739"/>
    <x v="349"/>
    <x v="55"/>
    <x v="217"/>
    <x v="771"/>
    <x v="98"/>
    <x v="4"/>
    <x v="105"/>
    <x v="175"/>
    <x v="1887"/>
    <x v="1654"/>
    <x v="3176"/>
    <x v="3173"/>
    <x v="2877"/>
    <x v="0"/>
    <x v="3145"/>
    <x v="3178"/>
    <x v="684"/>
    <x v="0"/>
    <x v="0"/>
    <x v="0"/>
    <x v="70"/>
    <x v="11"/>
    <x v="512"/>
    <x v="12"/>
    <x v="1"/>
    <x v="1"/>
  </r>
  <r>
    <x v="0"/>
    <x v="1368"/>
    <x v="207"/>
    <x v="107"/>
    <x v="233"/>
    <x v="201"/>
    <x v="132"/>
    <x v="2943"/>
    <x v="125"/>
    <x v="376"/>
    <x v="1888"/>
    <x v="2248"/>
    <x v="3177"/>
    <x v="3174"/>
    <x v="2878"/>
    <x v="0"/>
    <x v="3146"/>
    <x v="3179"/>
    <x v="432"/>
    <x v="0"/>
    <x v="0"/>
    <x v="4"/>
    <x v="70"/>
    <x v="13"/>
    <x v="712"/>
    <x v="58"/>
    <x v="3"/>
    <x v="258"/>
  </r>
  <r>
    <x v="0"/>
    <x v="1369"/>
    <x v="430"/>
    <x v="43"/>
    <x v="143"/>
    <x v="847"/>
    <x v="25"/>
    <x v="2944"/>
    <x v="200"/>
    <x v="30"/>
    <x v="964"/>
    <x v="2249"/>
    <x v="3178"/>
    <x v="3175"/>
    <x v="2879"/>
    <x v="4"/>
    <x v="3147"/>
    <x v="3180"/>
    <x v="744"/>
    <x v="0"/>
    <x v="0"/>
    <x v="0"/>
    <x v="70"/>
    <x v="0"/>
    <x v="13"/>
    <x v="34"/>
    <x v="1"/>
    <x v="578"/>
  </r>
  <r>
    <x v="0"/>
    <x v="1370"/>
    <x v="417"/>
    <x v="78"/>
    <x v="0"/>
    <x v="167"/>
    <x v="393"/>
    <x v="2945"/>
    <x v="127"/>
    <x v="1225"/>
    <x v="856"/>
    <x v="2184"/>
    <x v="3179"/>
    <x v="3176"/>
    <x v="2880"/>
    <x v="4"/>
    <x v="3148"/>
    <x v="3181"/>
    <x v="822"/>
    <x v="0"/>
    <x v="0"/>
    <x v="4"/>
    <x v="83"/>
    <x v="0"/>
    <x v="497"/>
    <x v="18"/>
    <x v="3"/>
    <x v="103"/>
  </r>
  <r>
    <x v="0"/>
    <x v="1371"/>
    <x v="425"/>
    <x v="78"/>
    <x v="193"/>
    <x v="284"/>
    <x v="0"/>
    <x v="2946"/>
    <x v="200"/>
    <x v="1226"/>
    <x v="458"/>
    <x v="372"/>
    <x v="3180"/>
    <x v="3125"/>
    <x v="2881"/>
    <x v="1"/>
    <x v="3149"/>
    <x v="3182"/>
    <x v="790"/>
    <x v="0"/>
    <x v="0"/>
    <x v="0"/>
    <x v="240"/>
    <x v="0"/>
    <x v="92"/>
    <x v="55"/>
    <x v="3"/>
    <x v="579"/>
  </r>
  <r>
    <x v="0"/>
    <x v="1226"/>
    <x v="441"/>
    <x v="50"/>
    <x v="59"/>
    <x v="123"/>
    <x v="103"/>
    <x v="2947"/>
    <x v="270"/>
    <x v="1227"/>
    <x v="1482"/>
    <x v="2250"/>
    <x v="3181"/>
    <x v="3177"/>
    <x v="2882"/>
    <x v="3"/>
    <x v="4"/>
    <x v="3183"/>
    <x v="854"/>
    <x v="0"/>
    <x v="4"/>
    <x v="2"/>
    <x v="4"/>
    <x v="8"/>
    <x v="5"/>
    <x v="39"/>
    <x v="3"/>
    <x v="428"/>
  </r>
  <r>
    <x v="0"/>
    <x v="1372"/>
    <x v="274"/>
    <x v="52"/>
    <x v="76"/>
    <x v="636"/>
    <x v="374"/>
    <x v="4"/>
    <x v="150"/>
    <x v="1228"/>
    <x v="1889"/>
    <x v="2251"/>
    <x v="3182"/>
    <x v="3178"/>
    <x v="1899"/>
    <x v="0"/>
    <x v="3150"/>
    <x v="3184"/>
    <x v="448"/>
    <x v="0"/>
    <x v="5"/>
    <x v="4"/>
    <x v="70"/>
    <x v="2"/>
    <x v="394"/>
    <x v="31"/>
    <x v="6"/>
    <x v="1"/>
  </r>
  <r>
    <x v="0"/>
    <x v="1308"/>
    <x v="169"/>
    <x v="79"/>
    <x v="143"/>
    <x v="231"/>
    <x v="556"/>
    <x v="4"/>
    <x v="242"/>
    <x v="1070"/>
    <x v="1857"/>
    <x v="2252"/>
    <x v="3183"/>
    <x v="3179"/>
    <x v="1540"/>
    <x v="4"/>
    <x v="3151"/>
    <x v="3185"/>
    <x v="896"/>
    <x v="0"/>
    <x v="0"/>
    <x v="4"/>
    <x v="4"/>
    <x v="0"/>
    <x v="296"/>
    <x v="31"/>
    <x v="3"/>
    <x v="580"/>
  </r>
  <r>
    <x v="0"/>
    <x v="1373"/>
    <x v="393"/>
    <x v="41"/>
    <x v="143"/>
    <x v="739"/>
    <x v="144"/>
    <x v="2948"/>
    <x v="127"/>
    <x v="1229"/>
    <x v="1890"/>
    <x v="1939"/>
    <x v="3184"/>
    <x v="3180"/>
    <x v="2883"/>
    <x v="1"/>
    <x v="3152"/>
    <x v="3186"/>
    <x v="705"/>
    <x v="0"/>
    <x v="0"/>
    <x v="0"/>
    <x v="70"/>
    <x v="1"/>
    <x v="45"/>
    <x v="65"/>
    <x v="3"/>
    <x v="581"/>
  </r>
  <r>
    <x v="0"/>
    <x v="1374"/>
    <x v="184"/>
    <x v="27"/>
    <x v="177"/>
    <x v="313"/>
    <x v="622"/>
    <x v="2949"/>
    <x v="180"/>
    <x v="1230"/>
    <x v="1891"/>
    <x v="2253"/>
    <x v="3185"/>
    <x v="3181"/>
    <x v="2884"/>
    <x v="2"/>
    <x v="3153"/>
    <x v="3187"/>
    <x v="447"/>
    <x v="0"/>
    <x v="13"/>
    <x v="4"/>
    <x v="70"/>
    <x v="8"/>
    <x v="258"/>
    <x v="9"/>
    <x v="1"/>
    <x v="1"/>
  </r>
  <r>
    <x v="0"/>
    <x v="1375"/>
    <x v="182"/>
    <x v="50"/>
    <x v="123"/>
    <x v="483"/>
    <x v="623"/>
    <x v="4"/>
    <x v="381"/>
    <x v="1231"/>
    <x v="1892"/>
    <x v="2254"/>
    <x v="3186"/>
    <x v="3182"/>
    <x v="2885"/>
    <x v="0"/>
    <x v="3154"/>
    <x v="3188"/>
    <x v="258"/>
    <x v="0"/>
    <x v="5"/>
    <x v="4"/>
    <x v="4"/>
    <x v="5"/>
    <x v="808"/>
    <x v="27"/>
    <x v="1"/>
    <x v="1"/>
  </r>
  <r>
    <x v="0"/>
    <x v="1376"/>
    <x v="434"/>
    <x v="79"/>
    <x v="0"/>
    <x v="724"/>
    <x v="2"/>
    <x v="2950"/>
    <x v="200"/>
    <x v="336"/>
    <x v="274"/>
    <x v="1440"/>
    <x v="3187"/>
    <x v="3183"/>
    <x v="2886"/>
    <x v="5"/>
    <x v="3155"/>
    <x v="3189"/>
    <x v="749"/>
    <x v="0"/>
    <x v="0"/>
    <x v="4"/>
    <x v="170"/>
    <x v="14"/>
    <x v="117"/>
    <x v="10"/>
    <x v="3"/>
    <x v="376"/>
  </r>
  <r>
    <x v="0"/>
    <x v="480"/>
    <x v="219"/>
    <x v="77"/>
    <x v="233"/>
    <x v="848"/>
    <x v="624"/>
    <x v="4"/>
    <x v="64"/>
    <x v="1232"/>
    <x v="1893"/>
    <x v="2255"/>
    <x v="3188"/>
    <x v="3184"/>
    <x v="2887"/>
    <x v="0"/>
    <x v="3156"/>
    <x v="3190"/>
    <x v="517"/>
    <x v="0"/>
    <x v="0"/>
    <x v="0"/>
    <x v="70"/>
    <x v="1"/>
    <x v="409"/>
    <x v="20"/>
    <x v="1"/>
    <x v="130"/>
  </r>
  <r>
    <x v="0"/>
    <x v="1377"/>
    <x v="451"/>
    <x v="43"/>
    <x v="193"/>
    <x v="180"/>
    <x v="202"/>
    <x v="4"/>
    <x v="419"/>
    <x v="1233"/>
    <x v="1894"/>
    <x v="2256"/>
    <x v="3189"/>
    <x v="3185"/>
    <x v="2888"/>
    <x v="0"/>
    <x v="4"/>
    <x v="3191"/>
    <x v="744"/>
    <x v="0"/>
    <x v="4"/>
    <x v="0"/>
    <x v="70"/>
    <x v="10"/>
    <x v="477"/>
    <x v="33"/>
    <x v="1"/>
    <x v="1"/>
  </r>
  <r>
    <x v="0"/>
    <x v="1378"/>
    <x v="352"/>
    <x v="85"/>
    <x v="89"/>
    <x v="350"/>
    <x v="15"/>
    <x v="4"/>
    <x v="306"/>
    <x v="460"/>
    <x v="566"/>
    <x v="2257"/>
    <x v="3190"/>
    <x v="3186"/>
    <x v="2889"/>
    <x v="1"/>
    <x v="3157"/>
    <x v="3192"/>
    <x v="785"/>
    <x v="0"/>
    <x v="1"/>
    <x v="4"/>
    <x v="224"/>
    <x v="8"/>
    <x v="12"/>
    <x v="8"/>
    <x v="1"/>
    <x v="1"/>
  </r>
  <r>
    <x v="0"/>
    <x v="1379"/>
    <x v="385"/>
    <x v="79"/>
    <x v="0"/>
    <x v="455"/>
    <x v="0"/>
    <x v="4"/>
    <x v="721"/>
    <x v="600"/>
    <x v="1229"/>
    <x v="2258"/>
    <x v="3191"/>
    <x v="3187"/>
    <x v="1369"/>
    <x v="0"/>
    <x v="4"/>
    <x v="3193"/>
    <x v="188"/>
    <x v="0"/>
    <x v="18"/>
    <x v="1"/>
    <x v="70"/>
    <x v="11"/>
    <x v="537"/>
    <x v="30"/>
    <x v="2"/>
    <x v="519"/>
  </r>
  <r>
    <x v="0"/>
    <x v="1218"/>
    <x v="346"/>
    <x v="11"/>
    <x v="351"/>
    <x v="397"/>
    <x v="625"/>
    <x v="4"/>
    <x v="269"/>
    <x v="1234"/>
    <x v="109"/>
    <x v="923"/>
    <x v="3192"/>
    <x v="3188"/>
    <x v="2890"/>
    <x v="4"/>
    <x v="3158"/>
    <x v="3194"/>
    <x v="755"/>
    <x v="0"/>
    <x v="8"/>
    <x v="4"/>
    <x v="70"/>
    <x v="8"/>
    <x v="529"/>
    <x v="22"/>
    <x v="1"/>
    <x v="170"/>
  </r>
  <r>
    <x v="0"/>
    <x v="1380"/>
    <x v="240"/>
    <x v="113"/>
    <x v="198"/>
    <x v="531"/>
    <x v="392"/>
    <x v="2951"/>
    <x v="105"/>
    <x v="1235"/>
    <x v="1895"/>
    <x v="2259"/>
    <x v="3193"/>
    <x v="3189"/>
    <x v="2891"/>
    <x v="0"/>
    <x v="3159"/>
    <x v="3195"/>
    <x v="791"/>
    <x v="14"/>
    <x v="27"/>
    <x v="1"/>
    <x v="70"/>
    <x v="9"/>
    <x v="689"/>
    <x v="8"/>
    <x v="1"/>
    <x v="103"/>
  </r>
  <r>
    <x v="0"/>
    <x v="1381"/>
    <x v="308"/>
    <x v="7"/>
    <x v="247"/>
    <x v="220"/>
    <x v="0"/>
    <x v="4"/>
    <x v="722"/>
    <x v="1236"/>
    <x v="581"/>
    <x v="2260"/>
    <x v="3194"/>
    <x v="3190"/>
    <x v="2892"/>
    <x v="1"/>
    <x v="3160"/>
    <x v="3196"/>
    <x v="655"/>
    <x v="0"/>
    <x v="1"/>
    <x v="0"/>
    <x v="70"/>
    <x v="5"/>
    <x v="371"/>
    <x v="28"/>
    <x v="1"/>
    <x v="582"/>
  </r>
  <r>
    <x v="0"/>
    <x v="1382"/>
    <x v="424"/>
    <x v="78"/>
    <x v="291"/>
    <x v="715"/>
    <x v="0"/>
    <x v="4"/>
    <x v="310"/>
    <x v="167"/>
    <x v="156"/>
    <x v="2261"/>
    <x v="3195"/>
    <x v="3191"/>
    <x v="2893"/>
    <x v="2"/>
    <x v="3161"/>
    <x v="3197"/>
    <x v="716"/>
    <x v="0"/>
    <x v="0"/>
    <x v="4"/>
    <x v="70"/>
    <x v="0"/>
    <x v="103"/>
    <x v="45"/>
    <x v="3"/>
    <x v="583"/>
  </r>
  <r>
    <x v="0"/>
    <x v="1383"/>
    <x v="479"/>
    <x v="38"/>
    <x v="192"/>
    <x v="490"/>
    <x v="626"/>
    <x v="4"/>
    <x v="17"/>
    <x v="1237"/>
    <x v="1896"/>
    <x v="2262"/>
    <x v="3196"/>
    <x v="3192"/>
    <x v="936"/>
    <x v="4"/>
    <x v="3162"/>
    <x v="3198"/>
    <x v="788"/>
    <x v="0"/>
    <x v="4"/>
    <x v="4"/>
    <x v="70"/>
    <x v="1"/>
    <x v="809"/>
    <x v="15"/>
    <x v="1"/>
    <x v="584"/>
  </r>
  <r>
    <x v="0"/>
    <x v="1384"/>
    <x v="169"/>
    <x v="95"/>
    <x v="78"/>
    <x v="548"/>
    <x v="112"/>
    <x v="4"/>
    <x v="125"/>
    <x v="837"/>
    <x v="1897"/>
    <x v="856"/>
    <x v="3197"/>
    <x v="3193"/>
    <x v="2894"/>
    <x v="7"/>
    <x v="4"/>
    <x v="3199"/>
    <x v="416"/>
    <x v="0"/>
    <x v="0"/>
    <x v="0"/>
    <x v="70"/>
    <x v="5"/>
    <x v="810"/>
    <x v="31"/>
    <x v="2"/>
    <x v="553"/>
  </r>
  <r>
    <x v="0"/>
    <x v="732"/>
    <x v="194"/>
    <x v="24"/>
    <x v="294"/>
    <x v="321"/>
    <x v="627"/>
    <x v="2952"/>
    <x v="343"/>
    <x v="1238"/>
    <x v="1898"/>
    <x v="2263"/>
    <x v="3198"/>
    <x v="3194"/>
    <x v="2895"/>
    <x v="0"/>
    <x v="3163"/>
    <x v="3200"/>
    <x v="169"/>
    <x v="24"/>
    <x v="18"/>
    <x v="4"/>
    <x v="70"/>
    <x v="8"/>
    <x v="307"/>
    <x v="11"/>
    <x v="1"/>
    <x v="1"/>
  </r>
  <r>
    <x v="0"/>
    <x v="1118"/>
    <x v="309"/>
    <x v="95"/>
    <x v="151"/>
    <x v="706"/>
    <x v="0"/>
    <x v="4"/>
    <x v="381"/>
    <x v="1182"/>
    <x v="1899"/>
    <x v="1350"/>
    <x v="3199"/>
    <x v="3195"/>
    <x v="2896"/>
    <x v="0"/>
    <x v="3164"/>
    <x v="3201"/>
    <x v="678"/>
    <x v="0"/>
    <x v="0"/>
    <x v="4"/>
    <x v="70"/>
    <x v="9"/>
    <x v="606"/>
    <x v="51"/>
    <x v="1"/>
    <x v="1"/>
  </r>
  <r>
    <x v="0"/>
    <x v="1385"/>
    <x v="464"/>
    <x v="71"/>
    <x v="221"/>
    <x v="771"/>
    <x v="628"/>
    <x v="4"/>
    <x v="723"/>
    <x v="1239"/>
    <x v="93"/>
    <x v="2161"/>
    <x v="3200"/>
    <x v="3196"/>
    <x v="796"/>
    <x v="1"/>
    <x v="3165"/>
    <x v="3202"/>
    <x v="788"/>
    <x v="0"/>
    <x v="4"/>
    <x v="1"/>
    <x v="70"/>
    <x v="5"/>
    <x v="67"/>
    <x v="12"/>
    <x v="1"/>
    <x v="585"/>
  </r>
  <r>
    <x v="0"/>
    <x v="560"/>
    <x v="61"/>
    <x v="86"/>
    <x v="154"/>
    <x v="210"/>
    <x v="30"/>
    <x v="2953"/>
    <x v="105"/>
    <x v="224"/>
    <x v="1165"/>
    <x v="592"/>
    <x v="3201"/>
    <x v="3197"/>
    <x v="2897"/>
    <x v="5"/>
    <x v="3166"/>
    <x v="3203"/>
    <x v="570"/>
    <x v="0"/>
    <x v="0"/>
    <x v="4"/>
    <x v="4"/>
    <x v="0"/>
    <x v="621"/>
    <x v="2"/>
    <x v="3"/>
    <x v="1"/>
  </r>
  <r>
    <x v="0"/>
    <x v="1386"/>
    <x v="460"/>
    <x v="48"/>
    <x v="0"/>
    <x v="192"/>
    <x v="309"/>
    <x v="2954"/>
    <x v="17"/>
    <x v="1240"/>
    <x v="1900"/>
    <x v="2264"/>
    <x v="3202"/>
    <x v="3198"/>
    <x v="2898"/>
    <x v="0"/>
    <x v="3167"/>
    <x v="3204"/>
    <x v="550"/>
    <x v="0"/>
    <x v="0"/>
    <x v="4"/>
    <x v="239"/>
    <x v="12"/>
    <x v="675"/>
    <x v="10"/>
    <x v="3"/>
    <x v="586"/>
  </r>
  <r>
    <x v="0"/>
    <x v="288"/>
    <x v="398"/>
    <x v="42"/>
    <x v="186"/>
    <x v="193"/>
    <x v="253"/>
    <x v="2955"/>
    <x v="125"/>
    <x v="474"/>
    <x v="758"/>
    <x v="2026"/>
    <x v="3203"/>
    <x v="3199"/>
    <x v="2899"/>
    <x v="1"/>
    <x v="3168"/>
    <x v="3205"/>
    <x v="591"/>
    <x v="0"/>
    <x v="0"/>
    <x v="4"/>
    <x v="255"/>
    <x v="21"/>
    <x v="455"/>
    <x v="9"/>
    <x v="3"/>
    <x v="1"/>
  </r>
  <r>
    <x v="0"/>
    <x v="1387"/>
    <x v="421"/>
    <x v="50"/>
    <x v="134"/>
    <x v="50"/>
    <x v="41"/>
    <x v="4"/>
    <x v="28"/>
    <x v="563"/>
    <x v="1541"/>
    <x v="2265"/>
    <x v="3204"/>
    <x v="3200"/>
    <x v="2900"/>
    <x v="1"/>
    <x v="3169"/>
    <x v="3206"/>
    <x v="427"/>
    <x v="0"/>
    <x v="4"/>
    <x v="4"/>
    <x v="70"/>
    <x v="11"/>
    <x v="9"/>
    <x v="31"/>
    <x v="2"/>
    <x v="1"/>
  </r>
  <r>
    <x v="0"/>
    <x v="682"/>
    <x v="335"/>
    <x v="85"/>
    <x v="171"/>
    <x v="124"/>
    <x v="413"/>
    <x v="2956"/>
    <x v="2"/>
    <x v="806"/>
    <x v="1901"/>
    <x v="153"/>
    <x v="3205"/>
    <x v="3201"/>
    <x v="2901"/>
    <x v="0"/>
    <x v="3170"/>
    <x v="3207"/>
    <x v="312"/>
    <x v="0"/>
    <x v="1"/>
    <x v="11"/>
    <x v="255"/>
    <x v="58"/>
    <x v="811"/>
    <x v="8"/>
    <x v="1"/>
    <x v="1"/>
  </r>
  <r>
    <x v="0"/>
    <x v="1388"/>
    <x v="207"/>
    <x v="58"/>
    <x v="143"/>
    <x v="1"/>
    <x v="466"/>
    <x v="4"/>
    <x v="336"/>
    <x v="921"/>
    <x v="1067"/>
    <x v="2266"/>
    <x v="3206"/>
    <x v="3202"/>
    <x v="2902"/>
    <x v="6"/>
    <x v="3171"/>
    <x v="3208"/>
    <x v="818"/>
    <x v="0"/>
    <x v="1"/>
    <x v="4"/>
    <x v="70"/>
    <x v="11"/>
    <x v="30"/>
    <x v="19"/>
    <x v="2"/>
    <x v="103"/>
  </r>
  <r>
    <x v="0"/>
    <x v="1010"/>
    <x v="206"/>
    <x v="46"/>
    <x v="0"/>
    <x v="552"/>
    <x v="241"/>
    <x v="2957"/>
    <x v="17"/>
    <x v="1220"/>
    <x v="1902"/>
    <x v="2267"/>
    <x v="3207"/>
    <x v="3203"/>
    <x v="2107"/>
    <x v="1"/>
    <x v="3172"/>
    <x v="3209"/>
    <x v="600"/>
    <x v="3"/>
    <x v="10"/>
    <x v="0"/>
    <x v="256"/>
    <x v="3"/>
    <x v="812"/>
    <x v="0"/>
    <x v="3"/>
    <x v="0"/>
  </r>
  <r>
    <x v="0"/>
    <x v="1389"/>
    <x v="240"/>
    <x v="42"/>
    <x v="184"/>
    <x v="849"/>
    <x v="0"/>
    <x v="2958"/>
    <x v="381"/>
    <x v="561"/>
    <x v="1903"/>
    <x v="2268"/>
    <x v="3208"/>
    <x v="3204"/>
    <x v="2903"/>
    <x v="0"/>
    <x v="3173"/>
    <x v="3210"/>
    <x v="340"/>
    <x v="0"/>
    <x v="0"/>
    <x v="0"/>
    <x v="238"/>
    <x v="32"/>
    <x v="509"/>
    <x v="33"/>
    <x v="3"/>
    <x v="213"/>
  </r>
  <r>
    <x v="0"/>
    <x v="1390"/>
    <x v="465"/>
    <x v="76"/>
    <x v="85"/>
    <x v="850"/>
    <x v="629"/>
    <x v="4"/>
    <x v="397"/>
    <x v="1241"/>
    <x v="1904"/>
    <x v="2269"/>
    <x v="3209"/>
    <x v="3205"/>
    <x v="1252"/>
    <x v="0"/>
    <x v="3174"/>
    <x v="3211"/>
    <x v="721"/>
    <x v="0"/>
    <x v="0"/>
    <x v="4"/>
    <x v="255"/>
    <x v="2"/>
    <x v="366"/>
    <x v="37"/>
    <x v="0"/>
    <x v="587"/>
  </r>
  <r>
    <x v="0"/>
    <x v="1391"/>
    <x v="258"/>
    <x v="169"/>
    <x v="77"/>
    <x v="25"/>
    <x v="243"/>
    <x v="2959"/>
    <x v="100"/>
    <x v="446"/>
    <x v="1790"/>
    <x v="2270"/>
    <x v="3210"/>
    <x v="3206"/>
    <x v="2904"/>
    <x v="0"/>
    <x v="3175"/>
    <x v="3212"/>
    <x v="701"/>
    <x v="0"/>
    <x v="0"/>
    <x v="11"/>
    <x v="257"/>
    <x v="41"/>
    <x v="103"/>
    <x v="32"/>
    <x v="16"/>
    <x v="1"/>
  </r>
  <r>
    <x v="0"/>
    <x v="1392"/>
    <x v="221"/>
    <x v="61"/>
    <x v="0"/>
    <x v="49"/>
    <x v="630"/>
    <x v="2960"/>
    <x v="724"/>
    <x v="1242"/>
    <x v="1677"/>
    <x v="2271"/>
    <x v="3211"/>
    <x v="3207"/>
    <x v="2905"/>
    <x v="1"/>
    <x v="3176"/>
    <x v="3213"/>
    <x v="658"/>
    <x v="6"/>
    <x v="13"/>
    <x v="4"/>
    <x v="4"/>
    <x v="7"/>
    <x v="777"/>
    <x v="32"/>
    <x v="1"/>
    <x v="1"/>
  </r>
  <r>
    <x v="0"/>
    <x v="1393"/>
    <x v="219"/>
    <x v="78"/>
    <x v="0"/>
    <x v="257"/>
    <x v="631"/>
    <x v="4"/>
    <x v="725"/>
    <x v="1243"/>
    <x v="1905"/>
    <x v="2272"/>
    <x v="3212"/>
    <x v="3208"/>
    <x v="1711"/>
    <x v="0"/>
    <x v="3177"/>
    <x v="3214"/>
    <x v="568"/>
    <x v="0"/>
    <x v="4"/>
    <x v="4"/>
    <x v="258"/>
    <x v="37"/>
    <x v="813"/>
    <x v="10"/>
    <x v="15"/>
    <x v="1"/>
  </r>
  <r>
    <x v="0"/>
    <x v="670"/>
    <x v="257"/>
    <x v="71"/>
    <x v="283"/>
    <x v="329"/>
    <x v="186"/>
    <x v="2961"/>
    <x v="145"/>
    <x v="1244"/>
    <x v="302"/>
    <x v="1194"/>
    <x v="3213"/>
    <x v="3209"/>
    <x v="2906"/>
    <x v="6"/>
    <x v="3178"/>
    <x v="3215"/>
    <x v="487"/>
    <x v="0"/>
    <x v="0"/>
    <x v="0"/>
    <x v="4"/>
    <x v="0"/>
    <x v="204"/>
    <x v="9"/>
    <x v="2"/>
    <x v="1"/>
  </r>
  <r>
    <x v="0"/>
    <x v="454"/>
    <x v="392"/>
    <x v="27"/>
    <x v="69"/>
    <x v="1"/>
    <x v="20"/>
    <x v="2962"/>
    <x v="269"/>
    <x v="21"/>
    <x v="680"/>
    <x v="21"/>
    <x v="3214"/>
    <x v="3210"/>
    <x v="2907"/>
    <x v="3"/>
    <x v="3179"/>
    <x v="3216"/>
    <x v="244"/>
    <x v="0"/>
    <x v="1"/>
    <x v="4"/>
    <x v="224"/>
    <x v="16"/>
    <x v="30"/>
    <x v="7"/>
    <x v="1"/>
    <x v="1"/>
  </r>
  <r>
    <x v="2"/>
    <x v="1289"/>
    <x v="422"/>
    <x v="50"/>
    <x v="171"/>
    <x v="262"/>
    <x v="327"/>
    <x v="4"/>
    <x v="355"/>
    <x v="582"/>
    <x v="1906"/>
    <x v="2273"/>
    <x v="3215"/>
    <x v="3211"/>
    <x v="2908"/>
    <x v="2"/>
    <x v="3180"/>
    <x v="3217"/>
    <x v="785"/>
    <x v="0"/>
    <x v="0"/>
    <x v="4"/>
    <x v="70"/>
    <x v="2"/>
    <x v="526"/>
    <x v="43"/>
    <x v="3"/>
    <x v="1"/>
  </r>
  <r>
    <x v="0"/>
    <x v="1394"/>
    <x v="438"/>
    <x v="78"/>
    <x v="135"/>
    <x v="498"/>
    <x v="395"/>
    <x v="2963"/>
    <x v="726"/>
    <x v="1245"/>
    <x v="1907"/>
    <x v="2274"/>
    <x v="3216"/>
    <x v="3212"/>
    <x v="2909"/>
    <x v="0"/>
    <x v="3181"/>
    <x v="3218"/>
    <x v="170"/>
    <x v="0"/>
    <x v="16"/>
    <x v="1"/>
    <x v="259"/>
    <x v="5"/>
    <x v="11"/>
    <x v="19"/>
    <x v="2"/>
    <x v="1"/>
  </r>
  <r>
    <x v="0"/>
    <x v="1165"/>
    <x v="515"/>
    <x v="29"/>
    <x v="196"/>
    <x v="107"/>
    <x v="14"/>
    <x v="2964"/>
    <x v="142"/>
    <x v="788"/>
    <x v="489"/>
    <x v="1370"/>
    <x v="3217"/>
    <x v="3213"/>
    <x v="2910"/>
    <x v="1"/>
    <x v="3182"/>
    <x v="3219"/>
    <x v="908"/>
    <x v="0"/>
    <x v="23"/>
    <x v="4"/>
    <x v="260"/>
    <x v="10"/>
    <x v="9"/>
    <x v="1"/>
    <x v="1"/>
    <x v="225"/>
  </r>
  <r>
    <x v="0"/>
    <x v="1395"/>
    <x v="390"/>
    <x v="80"/>
    <x v="73"/>
    <x v="292"/>
    <x v="166"/>
    <x v="4"/>
    <x v="727"/>
    <x v="1246"/>
    <x v="1908"/>
    <x v="2275"/>
    <x v="3218"/>
    <x v="3214"/>
    <x v="2911"/>
    <x v="0"/>
    <x v="3183"/>
    <x v="3220"/>
    <x v="670"/>
    <x v="0"/>
    <x v="5"/>
    <x v="2"/>
    <x v="231"/>
    <x v="10"/>
    <x v="800"/>
    <x v="7"/>
    <x v="1"/>
    <x v="7"/>
  </r>
  <r>
    <x v="0"/>
    <x v="1396"/>
    <x v="401"/>
    <x v="53"/>
    <x v="366"/>
    <x v="1"/>
    <x v="94"/>
    <x v="2965"/>
    <x v="17"/>
    <x v="1173"/>
    <x v="1909"/>
    <x v="2276"/>
    <x v="3219"/>
    <x v="3215"/>
    <x v="2912"/>
    <x v="2"/>
    <x v="3184"/>
    <x v="3221"/>
    <x v="634"/>
    <x v="8"/>
    <x v="16"/>
    <x v="9"/>
    <x v="261"/>
    <x v="3"/>
    <x v="13"/>
    <x v="8"/>
    <x v="1"/>
    <x v="85"/>
  </r>
  <r>
    <x v="0"/>
    <x v="18"/>
    <x v="6"/>
    <x v="38"/>
    <x v="0"/>
    <x v="851"/>
    <x v="0"/>
    <x v="2678"/>
    <x v="577"/>
    <x v="561"/>
    <x v="1077"/>
    <x v="2277"/>
    <x v="3220"/>
    <x v="3216"/>
    <x v="2913"/>
    <x v="0"/>
    <x v="3185"/>
    <x v="3222"/>
    <x v="909"/>
    <x v="0"/>
    <x v="1"/>
    <x v="4"/>
    <x v="190"/>
    <x v="28"/>
    <x v="26"/>
    <x v="3"/>
    <x v="1"/>
    <x v="33"/>
  </r>
  <r>
    <x v="0"/>
    <x v="624"/>
    <x v="403"/>
    <x v="76"/>
    <x v="15"/>
    <x v="491"/>
    <x v="82"/>
    <x v="2966"/>
    <x v="381"/>
    <x v="858"/>
    <x v="1910"/>
    <x v="2278"/>
    <x v="3221"/>
    <x v="3217"/>
    <x v="2914"/>
    <x v="0"/>
    <x v="3186"/>
    <x v="3223"/>
    <x v="910"/>
    <x v="0"/>
    <x v="0"/>
    <x v="4"/>
    <x v="262"/>
    <x v="55"/>
    <x v="641"/>
    <x v="7"/>
    <x v="3"/>
    <x v="1"/>
  </r>
  <r>
    <x v="0"/>
    <x v="1397"/>
    <x v="415"/>
    <x v="11"/>
    <x v="59"/>
    <x v="178"/>
    <x v="30"/>
    <x v="2967"/>
    <x v="316"/>
    <x v="224"/>
    <x v="1911"/>
    <x v="2279"/>
    <x v="3222"/>
    <x v="3218"/>
    <x v="2915"/>
    <x v="4"/>
    <x v="3187"/>
    <x v="3224"/>
    <x v="756"/>
    <x v="0"/>
    <x v="0"/>
    <x v="4"/>
    <x v="70"/>
    <x v="5"/>
    <x v="508"/>
    <x v="4"/>
    <x v="1"/>
    <x v="1"/>
  </r>
  <r>
    <x v="0"/>
    <x v="596"/>
    <x v="240"/>
    <x v="170"/>
    <x v="152"/>
    <x v="636"/>
    <x v="614"/>
    <x v="2968"/>
    <x v="646"/>
    <x v="1247"/>
    <x v="1912"/>
    <x v="2280"/>
    <x v="3223"/>
    <x v="3219"/>
    <x v="2887"/>
    <x v="0"/>
    <x v="3188"/>
    <x v="3225"/>
    <x v="549"/>
    <x v="0"/>
    <x v="0"/>
    <x v="3"/>
    <x v="195"/>
    <x v="49"/>
    <x v="596"/>
    <x v="25"/>
    <x v="1"/>
    <x v="1"/>
  </r>
  <r>
    <x v="0"/>
    <x v="494"/>
    <x v="309"/>
    <x v="29"/>
    <x v="170"/>
    <x v="491"/>
    <x v="356"/>
    <x v="2969"/>
    <x v="2"/>
    <x v="643"/>
    <x v="1913"/>
    <x v="735"/>
    <x v="3224"/>
    <x v="3220"/>
    <x v="2296"/>
    <x v="1"/>
    <x v="3189"/>
    <x v="3226"/>
    <x v="458"/>
    <x v="0"/>
    <x v="1"/>
    <x v="11"/>
    <x v="195"/>
    <x v="52"/>
    <x v="581"/>
    <x v="15"/>
    <x v="1"/>
    <x v="1"/>
  </r>
  <r>
    <x v="0"/>
    <x v="570"/>
    <x v="389"/>
    <x v="41"/>
    <x v="58"/>
    <x v="257"/>
    <x v="21"/>
    <x v="4"/>
    <x v="658"/>
    <x v="162"/>
    <x v="1914"/>
    <x v="2281"/>
    <x v="3225"/>
    <x v="3221"/>
    <x v="2916"/>
    <x v="4"/>
    <x v="3190"/>
    <x v="3227"/>
    <x v="758"/>
    <x v="0"/>
    <x v="0"/>
    <x v="4"/>
    <x v="70"/>
    <x v="10"/>
    <x v="286"/>
    <x v="27"/>
    <x v="1"/>
    <x v="1"/>
  </r>
  <r>
    <x v="0"/>
    <x v="1398"/>
    <x v="225"/>
    <x v="47"/>
    <x v="367"/>
    <x v="403"/>
    <x v="387"/>
    <x v="4"/>
    <x v="105"/>
    <x v="1248"/>
    <x v="1915"/>
    <x v="2282"/>
    <x v="3226"/>
    <x v="3222"/>
    <x v="391"/>
    <x v="12"/>
    <x v="3191"/>
    <x v="3228"/>
    <x v="654"/>
    <x v="17"/>
    <x v="20"/>
    <x v="1"/>
    <x v="4"/>
    <x v="5"/>
    <x v="814"/>
    <x v="11"/>
    <x v="1"/>
    <x v="1"/>
  </r>
  <r>
    <x v="0"/>
    <x v="273"/>
    <x v="207"/>
    <x v="32"/>
    <x v="70"/>
    <x v="612"/>
    <x v="44"/>
    <x v="2970"/>
    <x v="400"/>
    <x v="68"/>
    <x v="102"/>
    <x v="1895"/>
    <x v="3227"/>
    <x v="3223"/>
    <x v="2917"/>
    <x v="2"/>
    <x v="3192"/>
    <x v="3229"/>
    <x v="640"/>
    <x v="0"/>
    <x v="0"/>
    <x v="4"/>
    <x v="195"/>
    <x v="25"/>
    <x v="72"/>
    <x v="2"/>
    <x v="1"/>
    <x v="1"/>
  </r>
  <r>
    <x v="0"/>
    <x v="579"/>
    <x v="424"/>
    <x v="60"/>
    <x v="170"/>
    <x v="852"/>
    <x v="0"/>
    <x v="2971"/>
    <x v="200"/>
    <x v="255"/>
    <x v="681"/>
    <x v="2283"/>
    <x v="3228"/>
    <x v="3224"/>
    <x v="2918"/>
    <x v="5"/>
    <x v="3193"/>
    <x v="3230"/>
    <x v="167"/>
    <x v="0"/>
    <x v="0"/>
    <x v="4"/>
    <x v="195"/>
    <x v="15"/>
    <x v="144"/>
    <x v="10"/>
    <x v="3"/>
    <x v="1"/>
  </r>
  <r>
    <x v="0"/>
    <x v="1174"/>
    <x v="273"/>
    <x v="101"/>
    <x v="256"/>
    <x v="266"/>
    <x v="632"/>
    <x v="2972"/>
    <x v="471"/>
    <x v="1249"/>
    <x v="1916"/>
    <x v="2284"/>
    <x v="3229"/>
    <x v="3225"/>
    <x v="2322"/>
    <x v="0"/>
    <x v="3194"/>
    <x v="3231"/>
    <x v="481"/>
    <x v="0"/>
    <x v="0"/>
    <x v="4"/>
    <x v="195"/>
    <x v="32"/>
    <x v="581"/>
    <x v="12"/>
    <x v="3"/>
    <x v="1"/>
  </r>
  <r>
    <x v="0"/>
    <x v="942"/>
    <x v="205"/>
    <x v="32"/>
    <x v="325"/>
    <x v="127"/>
    <x v="474"/>
    <x v="2973"/>
    <x v="226"/>
    <x v="1250"/>
    <x v="1917"/>
    <x v="2285"/>
    <x v="3230"/>
    <x v="3226"/>
    <x v="2919"/>
    <x v="1"/>
    <x v="3195"/>
    <x v="3232"/>
    <x v="601"/>
    <x v="0"/>
    <x v="0"/>
    <x v="0"/>
    <x v="195"/>
    <x v="1"/>
    <x v="739"/>
    <x v="25"/>
    <x v="3"/>
    <x v="1"/>
  </r>
  <r>
    <x v="0"/>
    <x v="1304"/>
    <x v="456"/>
    <x v="33"/>
    <x v="169"/>
    <x v="853"/>
    <x v="35"/>
    <x v="2974"/>
    <x v="179"/>
    <x v="1251"/>
    <x v="1623"/>
    <x v="2286"/>
    <x v="3231"/>
    <x v="3227"/>
    <x v="2920"/>
    <x v="0"/>
    <x v="3196"/>
    <x v="3233"/>
    <x v="412"/>
    <x v="0"/>
    <x v="0"/>
    <x v="4"/>
    <x v="195"/>
    <x v="11"/>
    <x v="251"/>
    <x v="12"/>
    <x v="1"/>
    <x v="61"/>
  </r>
  <r>
    <x v="0"/>
    <x v="1399"/>
    <x v="272"/>
    <x v="43"/>
    <x v="0"/>
    <x v="373"/>
    <x v="22"/>
    <x v="2975"/>
    <x v="105"/>
    <x v="169"/>
    <x v="1918"/>
    <x v="1501"/>
    <x v="3232"/>
    <x v="3228"/>
    <x v="2921"/>
    <x v="1"/>
    <x v="3197"/>
    <x v="3234"/>
    <x v="86"/>
    <x v="0"/>
    <x v="0"/>
    <x v="0"/>
    <x v="195"/>
    <x v="21"/>
    <x v="500"/>
    <x v="41"/>
    <x v="3"/>
    <x v="588"/>
  </r>
  <r>
    <x v="0"/>
    <x v="1187"/>
    <x v="322"/>
    <x v="76"/>
    <x v="193"/>
    <x v="763"/>
    <x v="63"/>
    <x v="2976"/>
    <x v="311"/>
    <x v="550"/>
    <x v="51"/>
    <x v="1624"/>
    <x v="3233"/>
    <x v="3229"/>
    <x v="2922"/>
    <x v="4"/>
    <x v="3198"/>
    <x v="3235"/>
    <x v="271"/>
    <x v="0"/>
    <x v="0"/>
    <x v="4"/>
    <x v="195"/>
    <x v="14"/>
    <x v="40"/>
    <x v="1"/>
    <x v="3"/>
    <x v="1"/>
  </r>
  <r>
    <x v="0"/>
    <x v="381"/>
    <x v="243"/>
    <x v="51"/>
    <x v="19"/>
    <x v="133"/>
    <x v="25"/>
    <x v="2977"/>
    <x v="306"/>
    <x v="30"/>
    <x v="117"/>
    <x v="1893"/>
    <x v="3234"/>
    <x v="3230"/>
    <x v="2923"/>
    <x v="0"/>
    <x v="3199"/>
    <x v="3236"/>
    <x v="406"/>
    <x v="0"/>
    <x v="0"/>
    <x v="4"/>
    <x v="78"/>
    <x v="21"/>
    <x v="10"/>
    <x v="15"/>
    <x v="3"/>
    <x v="103"/>
  </r>
  <r>
    <x v="0"/>
    <x v="1400"/>
    <x v="125"/>
    <x v="60"/>
    <x v="263"/>
    <x v="514"/>
    <x v="21"/>
    <x v="2978"/>
    <x v="168"/>
    <x v="127"/>
    <x v="832"/>
    <x v="773"/>
    <x v="3235"/>
    <x v="3231"/>
    <x v="2924"/>
    <x v="3"/>
    <x v="3200"/>
    <x v="3237"/>
    <x v="516"/>
    <x v="0"/>
    <x v="0"/>
    <x v="4"/>
    <x v="83"/>
    <x v="21"/>
    <x v="117"/>
    <x v="15"/>
    <x v="3"/>
    <x v="1"/>
  </r>
  <r>
    <x v="0"/>
    <x v="459"/>
    <x v="184"/>
    <x v="38"/>
    <x v="243"/>
    <x v="726"/>
    <x v="633"/>
    <x v="2979"/>
    <x v="125"/>
    <x v="1252"/>
    <x v="1919"/>
    <x v="2287"/>
    <x v="3236"/>
    <x v="3232"/>
    <x v="2925"/>
    <x v="4"/>
    <x v="3201"/>
    <x v="3238"/>
    <x v="757"/>
    <x v="0"/>
    <x v="0"/>
    <x v="4"/>
    <x v="4"/>
    <x v="45"/>
    <x v="197"/>
    <x v="7"/>
    <x v="3"/>
    <x v="1"/>
  </r>
  <r>
    <x v="0"/>
    <x v="953"/>
    <x v="72"/>
    <x v="50"/>
    <x v="184"/>
    <x v="132"/>
    <x v="287"/>
    <x v="2980"/>
    <x v="429"/>
    <x v="525"/>
    <x v="1920"/>
    <x v="1209"/>
    <x v="3237"/>
    <x v="3233"/>
    <x v="2926"/>
    <x v="0"/>
    <x v="3202"/>
    <x v="3239"/>
    <x v="341"/>
    <x v="0"/>
    <x v="0"/>
    <x v="4"/>
    <x v="195"/>
    <x v="7"/>
    <x v="815"/>
    <x v="33"/>
    <x v="1"/>
    <x v="1"/>
  </r>
  <r>
    <x v="0"/>
    <x v="1401"/>
    <x v="347"/>
    <x v="79"/>
    <x v="216"/>
    <x v="590"/>
    <x v="528"/>
    <x v="2981"/>
    <x v="127"/>
    <x v="993"/>
    <x v="1921"/>
    <x v="2288"/>
    <x v="3238"/>
    <x v="3234"/>
    <x v="2927"/>
    <x v="1"/>
    <x v="3203"/>
    <x v="3240"/>
    <x v="721"/>
    <x v="0"/>
    <x v="0"/>
    <x v="0"/>
    <x v="4"/>
    <x v="14"/>
    <x v="38"/>
    <x v="34"/>
    <x v="1"/>
    <x v="136"/>
  </r>
  <r>
    <x v="0"/>
    <x v="85"/>
    <x v="303"/>
    <x v="64"/>
    <x v="0"/>
    <x v="352"/>
    <x v="106"/>
    <x v="2982"/>
    <x v="728"/>
    <x v="594"/>
    <x v="263"/>
    <x v="2289"/>
    <x v="3239"/>
    <x v="3235"/>
    <x v="2266"/>
    <x v="1"/>
    <x v="3204"/>
    <x v="3241"/>
    <x v="586"/>
    <x v="0"/>
    <x v="1"/>
    <x v="0"/>
    <x v="195"/>
    <x v="30"/>
    <x v="177"/>
    <x v="16"/>
    <x v="3"/>
    <x v="1"/>
  </r>
  <r>
    <x v="0"/>
    <x v="1402"/>
    <x v="275"/>
    <x v="37"/>
    <x v="50"/>
    <x v="542"/>
    <x v="13"/>
    <x v="2983"/>
    <x v="200"/>
    <x v="93"/>
    <x v="766"/>
    <x v="2290"/>
    <x v="3240"/>
    <x v="3236"/>
    <x v="2928"/>
    <x v="0"/>
    <x v="3205"/>
    <x v="3242"/>
    <x v="405"/>
    <x v="0"/>
    <x v="0"/>
    <x v="4"/>
    <x v="4"/>
    <x v="1"/>
    <x v="140"/>
    <x v="13"/>
    <x v="3"/>
    <x v="1"/>
  </r>
  <r>
    <x v="0"/>
    <x v="1403"/>
    <x v="424"/>
    <x v="93"/>
    <x v="184"/>
    <x v="218"/>
    <x v="106"/>
    <x v="2984"/>
    <x v="127"/>
    <x v="821"/>
    <x v="439"/>
    <x v="2291"/>
    <x v="3241"/>
    <x v="3237"/>
    <x v="2048"/>
    <x v="3"/>
    <x v="3206"/>
    <x v="3243"/>
    <x v="540"/>
    <x v="0"/>
    <x v="0"/>
    <x v="2"/>
    <x v="4"/>
    <x v="17"/>
    <x v="215"/>
    <x v="30"/>
    <x v="3"/>
    <x v="446"/>
  </r>
  <r>
    <x v="0"/>
    <x v="89"/>
    <x v="338"/>
    <x v="73"/>
    <x v="10"/>
    <x v="632"/>
    <x v="631"/>
    <x v="2985"/>
    <x v="28"/>
    <x v="1253"/>
    <x v="1922"/>
    <x v="2292"/>
    <x v="3242"/>
    <x v="3238"/>
    <x v="2929"/>
    <x v="2"/>
    <x v="3207"/>
    <x v="3244"/>
    <x v="688"/>
    <x v="0"/>
    <x v="0"/>
    <x v="4"/>
    <x v="231"/>
    <x v="21"/>
    <x v="816"/>
    <x v="10"/>
    <x v="3"/>
    <x v="103"/>
  </r>
  <r>
    <x v="0"/>
    <x v="527"/>
    <x v="243"/>
    <x v="77"/>
    <x v="80"/>
    <x v="264"/>
    <x v="0"/>
    <x v="2986"/>
    <x v="200"/>
    <x v="1028"/>
    <x v="1923"/>
    <x v="2085"/>
    <x v="3243"/>
    <x v="3239"/>
    <x v="2930"/>
    <x v="1"/>
    <x v="3208"/>
    <x v="3245"/>
    <x v="102"/>
    <x v="0"/>
    <x v="0"/>
    <x v="4"/>
    <x v="195"/>
    <x v="19"/>
    <x v="162"/>
    <x v="15"/>
    <x v="1"/>
    <x v="589"/>
  </r>
  <r>
    <x v="0"/>
    <x v="1404"/>
    <x v="464"/>
    <x v="139"/>
    <x v="330"/>
    <x v="619"/>
    <x v="41"/>
    <x v="2987"/>
    <x v="125"/>
    <x v="211"/>
    <x v="892"/>
    <x v="2293"/>
    <x v="3244"/>
    <x v="3240"/>
    <x v="2931"/>
    <x v="3"/>
    <x v="3209"/>
    <x v="3246"/>
    <x v="802"/>
    <x v="0"/>
    <x v="0"/>
    <x v="0"/>
    <x v="83"/>
    <x v="24"/>
    <x v="513"/>
    <x v="12"/>
    <x v="3"/>
    <x v="1"/>
  </r>
  <r>
    <x v="0"/>
    <x v="947"/>
    <x v="303"/>
    <x v="37"/>
    <x v="85"/>
    <x v="598"/>
    <x v="197"/>
    <x v="2988"/>
    <x v="660"/>
    <x v="451"/>
    <x v="1924"/>
    <x v="753"/>
    <x v="3245"/>
    <x v="3241"/>
    <x v="2932"/>
    <x v="4"/>
    <x v="3210"/>
    <x v="3247"/>
    <x v="671"/>
    <x v="0"/>
    <x v="0"/>
    <x v="2"/>
    <x v="4"/>
    <x v="7"/>
    <x v="210"/>
    <x v="38"/>
    <x v="3"/>
    <x v="1"/>
  </r>
  <r>
    <x v="0"/>
    <x v="113"/>
    <x v="93"/>
    <x v="119"/>
    <x v="88"/>
    <x v="36"/>
    <x v="169"/>
    <x v="4"/>
    <x v="17"/>
    <x v="1254"/>
    <x v="1925"/>
    <x v="2294"/>
    <x v="3246"/>
    <x v="3242"/>
    <x v="2933"/>
    <x v="0"/>
    <x v="3211"/>
    <x v="3248"/>
    <x v="487"/>
    <x v="0"/>
    <x v="0"/>
    <x v="5"/>
    <x v="4"/>
    <x v="4"/>
    <x v="749"/>
    <x v="58"/>
    <x v="0"/>
    <x v="224"/>
  </r>
  <r>
    <x v="0"/>
    <x v="1405"/>
    <x v="438"/>
    <x v="43"/>
    <x v="69"/>
    <x v="186"/>
    <x v="0"/>
    <x v="4"/>
    <x v="329"/>
    <x v="327"/>
    <x v="1926"/>
    <x v="2295"/>
    <x v="3247"/>
    <x v="3243"/>
    <x v="2934"/>
    <x v="2"/>
    <x v="3212"/>
    <x v="3249"/>
    <x v="388"/>
    <x v="0"/>
    <x v="0"/>
    <x v="2"/>
    <x v="195"/>
    <x v="31"/>
    <x v="95"/>
    <x v="20"/>
    <x v="3"/>
    <x v="1"/>
  </r>
  <r>
    <x v="0"/>
    <x v="1180"/>
    <x v="409"/>
    <x v="54"/>
    <x v="255"/>
    <x v="546"/>
    <x v="634"/>
    <x v="2989"/>
    <x v="122"/>
    <x v="520"/>
    <x v="1927"/>
    <x v="2296"/>
    <x v="3248"/>
    <x v="3244"/>
    <x v="2935"/>
    <x v="1"/>
    <x v="3213"/>
    <x v="3250"/>
    <x v="788"/>
    <x v="0"/>
    <x v="0"/>
    <x v="0"/>
    <x v="195"/>
    <x v="1"/>
    <x v="805"/>
    <x v="5"/>
    <x v="1"/>
    <x v="590"/>
  </r>
  <r>
    <x v="0"/>
    <x v="1000"/>
    <x v="388"/>
    <x v="33"/>
    <x v="47"/>
    <x v="802"/>
    <x v="140"/>
    <x v="2990"/>
    <x v="105"/>
    <x v="852"/>
    <x v="1928"/>
    <x v="2095"/>
    <x v="3249"/>
    <x v="3245"/>
    <x v="1728"/>
    <x v="3"/>
    <x v="3214"/>
    <x v="3251"/>
    <x v="377"/>
    <x v="0"/>
    <x v="0"/>
    <x v="4"/>
    <x v="195"/>
    <x v="12"/>
    <x v="381"/>
    <x v="20"/>
    <x v="1"/>
    <x v="355"/>
  </r>
  <r>
    <x v="0"/>
    <x v="922"/>
    <x v="309"/>
    <x v="80"/>
    <x v="129"/>
    <x v="739"/>
    <x v="0"/>
    <x v="2991"/>
    <x v="430"/>
    <x v="250"/>
    <x v="515"/>
    <x v="1514"/>
    <x v="3250"/>
    <x v="3246"/>
    <x v="2936"/>
    <x v="1"/>
    <x v="3215"/>
    <x v="3252"/>
    <x v="758"/>
    <x v="0"/>
    <x v="0"/>
    <x v="4"/>
    <x v="195"/>
    <x v="8"/>
    <x v="30"/>
    <x v="21"/>
    <x v="3"/>
    <x v="103"/>
  </r>
  <r>
    <x v="0"/>
    <x v="960"/>
    <x v="280"/>
    <x v="23"/>
    <x v="215"/>
    <x v="515"/>
    <x v="29"/>
    <x v="2992"/>
    <x v="419"/>
    <x v="34"/>
    <x v="1090"/>
    <x v="2297"/>
    <x v="3251"/>
    <x v="3247"/>
    <x v="2937"/>
    <x v="3"/>
    <x v="3216"/>
    <x v="3253"/>
    <x v="888"/>
    <x v="0"/>
    <x v="1"/>
    <x v="4"/>
    <x v="4"/>
    <x v="20"/>
    <x v="591"/>
    <x v="15"/>
    <x v="3"/>
    <x v="1"/>
  </r>
  <r>
    <x v="0"/>
    <x v="1406"/>
    <x v="379"/>
    <x v="6"/>
    <x v="171"/>
    <x v="298"/>
    <x v="424"/>
    <x v="2993"/>
    <x v="208"/>
    <x v="1255"/>
    <x v="1929"/>
    <x v="2298"/>
    <x v="3252"/>
    <x v="3248"/>
    <x v="1446"/>
    <x v="0"/>
    <x v="3217"/>
    <x v="3254"/>
    <x v="343"/>
    <x v="24"/>
    <x v="18"/>
    <x v="9"/>
    <x v="4"/>
    <x v="6"/>
    <x v="624"/>
    <x v="16"/>
    <x v="1"/>
    <x v="1"/>
  </r>
  <r>
    <x v="0"/>
    <x v="998"/>
    <x v="334"/>
    <x v="95"/>
    <x v="172"/>
    <x v="13"/>
    <x v="35"/>
    <x v="2994"/>
    <x v="305"/>
    <x v="288"/>
    <x v="1930"/>
    <x v="2299"/>
    <x v="3253"/>
    <x v="3249"/>
    <x v="2938"/>
    <x v="0"/>
    <x v="3218"/>
    <x v="3255"/>
    <x v="732"/>
    <x v="0"/>
    <x v="0"/>
    <x v="2"/>
    <x v="195"/>
    <x v="10"/>
    <x v="817"/>
    <x v="28"/>
    <x v="3"/>
    <x v="1"/>
  </r>
  <r>
    <x v="0"/>
    <x v="1407"/>
    <x v="308"/>
    <x v="171"/>
    <x v="85"/>
    <x v="423"/>
    <x v="635"/>
    <x v="2995"/>
    <x v="77"/>
    <x v="1256"/>
    <x v="1931"/>
    <x v="2300"/>
    <x v="3254"/>
    <x v="3250"/>
    <x v="2939"/>
    <x v="3"/>
    <x v="3219"/>
    <x v="3256"/>
    <x v="637"/>
    <x v="25"/>
    <x v="41"/>
    <x v="4"/>
    <x v="263"/>
    <x v="18"/>
    <x v="794"/>
    <x v="4"/>
    <x v="3"/>
    <x v="401"/>
  </r>
  <r>
    <x v="0"/>
    <x v="1408"/>
    <x v="352"/>
    <x v="60"/>
    <x v="368"/>
    <x v="103"/>
    <x v="63"/>
    <x v="2996"/>
    <x v="429"/>
    <x v="848"/>
    <x v="1932"/>
    <x v="2301"/>
    <x v="3255"/>
    <x v="3251"/>
    <x v="2940"/>
    <x v="1"/>
    <x v="3220"/>
    <x v="3257"/>
    <x v="727"/>
    <x v="0"/>
    <x v="20"/>
    <x v="4"/>
    <x v="195"/>
    <x v="22"/>
    <x v="201"/>
    <x v="9"/>
    <x v="3"/>
    <x v="591"/>
  </r>
  <r>
    <x v="0"/>
    <x v="1409"/>
    <x v="479"/>
    <x v="42"/>
    <x v="0"/>
    <x v="531"/>
    <x v="636"/>
    <x v="4"/>
    <x v="125"/>
    <x v="1257"/>
    <x v="1933"/>
    <x v="2302"/>
    <x v="3256"/>
    <x v="3252"/>
    <x v="677"/>
    <x v="1"/>
    <x v="4"/>
    <x v="3258"/>
    <x v="326"/>
    <x v="3"/>
    <x v="10"/>
    <x v="1"/>
    <x v="4"/>
    <x v="11"/>
    <x v="711"/>
    <x v="9"/>
    <x v="1"/>
    <x v="358"/>
  </r>
  <r>
    <x v="0"/>
    <x v="954"/>
    <x v="225"/>
    <x v="61"/>
    <x v="86"/>
    <x v="401"/>
    <x v="563"/>
    <x v="2997"/>
    <x v="270"/>
    <x v="1080"/>
    <x v="1668"/>
    <x v="2303"/>
    <x v="3257"/>
    <x v="3253"/>
    <x v="2941"/>
    <x v="0"/>
    <x v="3221"/>
    <x v="3259"/>
    <x v="447"/>
    <x v="0"/>
    <x v="1"/>
    <x v="4"/>
    <x v="195"/>
    <x v="19"/>
    <x v="462"/>
    <x v="32"/>
    <x v="3"/>
    <x v="305"/>
  </r>
  <r>
    <x v="0"/>
    <x v="1410"/>
    <x v="396"/>
    <x v="55"/>
    <x v="221"/>
    <x v="441"/>
    <x v="637"/>
    <x v="2998"/>
    <x v="270"/>
    <x v="1258"/>
    <x v="799"/>
    <x v="2304"/>
    <x v="3258"/>
    <x v="3254"/>
    <x v="2942"/>
    <x v="3"/>
    <x v="3222"/>
    <x v="3260"/>
    <x v="792"/>
    <x v="0"/>
    <x v="0"/>
    <x v="2"/>
    <x v="195"/>
    <x v="0"/>
    <x v="170"/>
    <x v="5"/>
    <x v="1"/>
    <x v="1"/>
  </r>
  <r>
    <x v="0"/>
    <x v="1135"/>
    <x v="431"/>
    <x v="107"/>
    <x v="31"/>
    <x v="325"/>
    <x v="638"/>
    <x v="2999"/>
    <x v="463"/>
    <x v="1259"/>
    <x v="1934"/>
    <x v="2305"/>
    <x v="3259"/>
    <x v="3255"/>
    <x v="2943"/>
    <x v="0"/>
    <x v="3223"/>
    <x v="3261"/>
    <x v="843"/>
    <x v="0"/>
    <x v="5"/>
    <x v="2"/>
    <x v="264"/>
    <x v="7"/>
    <x v="397"/>
    <x v="4"/>
    <x v="3"/>
    <x v="534"/>
  </r>
  <r>
    <x v="0"/>
    <x v="634"/>
    <x v="402"/>
    <x v="41"/>
    <x v="193"/>
    <x v="83"/>
    <x v="13"/>
    <x v="4"/>
    <x v="23"/>
    <x v="158"/>
    <x v="286"/>
    <x v="871"/>
    <x v="1449"/>
    <x v="3256"/>
    <x v="1407"/>
    <x v="1"/>
    <x v="1439"/>
    <x v="1449"/>
    <x v="448"/>
    <x v="0"/>
    <x v="0"/>
    <x v="4"/>
    <x v="166"/>
    <x v="2"/>
    <x v="30"/>
    <x v="9"/>
    <x v="1"/>
    <x v="1"/>
  </r>
  <r>
    <x v="0"/>
    <x v="1411"/>
    <x v="227"/>
    <x v="117"/>
    <x v="52"/>
    <x v="342"/>
    <x v="639"/>
    <x v="3000"/>
    <x v="175"/>
    <x v="1260"/>
    <x v="1935"/>
    <x v="465"/>
    <x v="3260"/>
    <x v="3257"/>
    <x v="2944"/>
    <x v="1"/>
    <x v="3224"/>
    <x v="3262"/>
    <x v="704"/>
    <x v="31"/>
    <x v="23"/>
    <x v="9"/>
    <x v="91"/>
    <x v="8"/>
    <x v="818"/>
    <x v="11"/>
    <x v="1"/>
    <x v="1"/>
  </r>
  <r>
    <x v="0"/>
    <x v="1412"/>
    <x v="438"/>
    <x v="55"/>
    <x v="0"/>
    <x v="444"/>
    <x v="263"/>
    <x v="3001"/>
    <x v="434"/>
    <x v="478"/>
    <x v="1936"/>
    <x v="2306"/>
    <x v="3261"/>
    <x v="3258"/>
    <x v="2945"/>
    <x v="2"/>
    <x v="3225"/>
    <x v="3263"/>
    <x v="727"/>
    <x v="0"/>
    <x v="8"/>
    <x v="0"/>
    <x v="195"/>
    <x v="12"/>
    <x v="652"/>
    <x v="39"/>
    <x v="1"/>
    <x v="592"/>
  </r>
  <r>
    <x v="0"/>
    <x v="1049"/>
    <x v="74"/>
    <x v="58"/>
    <x v="31"/>
    <x v="632"/>
    <x v="14"/>
    <x v="4"/>
    <x v="171"/>
    <x v="490"/>
    <x v="1340"/>
    <x v="2307"/>
    <x v="3262"/>
    <x v="3259"/>
    <x v="2946"/>
    <x v="0"/>
    <x v="3226"/>
    <x v="3264"/>
    <x v="704"/>
    <x v="0"/>
    <x v="1"/>
    <x v="9"/>
    <x v="4"/>
    <x v="0"/>
    <x v="677"/>
    <x v="1"/>
    <x v="3"/>
    <x v="1"/>
  </r>
  <r>
    <x v="0"/>
    <x v="1413"/>
    <x v="240"/>
    <x v="72"/>
    <x v="73"/>
    <x v="729"/>
    <x v="168"/>
    <x v="3002"/>
    <x v="270"/>
    <x v="526"/>
    <x v="1937"/>
    <x v="2308"/>
    <x v="3263"/>
    <x v="3260"/>
    <x v="653"/>
    <x v="1"/>
    <x v="3227"/>
    <x v="3265"/>
    <x v="792"/>
    <x v="3"/>
    <x v="10"/>
    <x v="10"/>
    <x v="4"/>
    <x v="0"/>
    <x v="696"/>
    <x v="19"/>
    <x v="1"/>
    <x v="286"/>
  </r>
  <r>
    <x v="0"/>
    <x v="1414"/>
    <x v="307"/>
    <x v="33"/>
    <x v="85"/>
    <x v="410"/>
    <x v="41"/>
    <x v="4"/>
    <x v="17"/>
    <x v="221"/>
    <x v="1742"/>
    <x v="2309"/>
    <x v="3264"/>
    <x v="2017"/>
    <x v="2947"/>
    <x v="1"/>
    <x v="3228"/>
    <x v="3266"/>
    <x v="427"/>
    <x v="0"/>
    <x v="0"/>
    <x v="4"/>
    <x v="195"/>
    <x v="0"/>
    <x v="58"/>
    <x v="12"/>
    <x v="1"/>
    <x v="67"/>
  </r>
  <r>
    <x v="0"/>
    <x v="1415"/>
    <x v="311"/>
    <x v="41"/>
    <x v="198"/>
    <x v="823"/>
    <x v="359"/>
    <x v="3003"/>
    <x v="311"/>
    <x v="741"/>
    <x v="1648"/>
    <x v="2310"/>
    <x v="3265"/>
    <x v="3261"/>
    <x v="2948"/>
    <x v="1"/>
    <x v="3229"/>
    <x v="3267"/>
    <x v="641"/>
    <x v="0"/>
    <x v="5"/>
    <x v="0"/>
    <x v="265"/>
    <x v="43"/>
    <x v="770"/>
    <x v="12"/>
    <x v="1"/>
    <x v="1"/>
  </r>
  <r>
    <x v="0"/>
    <x v="1416"/>
    <x v="307"/>
    <x v="93"/>
    <x v="198"/>
    <x v="714"/>
    <x v="192"/>
    <x v="4"/>
    <x v="729"/>
    <x v="359"/>
    <x v="1938"/>
    <x v="1402"/>
    <x v="3266"/>
    <x v="3262"/>
    <x v="2002"/>
    <x v="0"/>
    <x v="3230"/>
    <x v="3268"/>
    <x v="398"/>
    <x v="0"/>
    <x v="1"/>
    <x v="4"/>
    <x v="4"/>
    <x v="5"/>
    <x v="819"/>
    <x v="20"/>
    <x v="3"/>
    <x v="1"/>
  </r>
  <r>
    <x v="0"/>
    <x v="1417"/>
    <x v="193"/>
    <x v="78"/>
    <x v="221"/>
    <x v="329"/>
    <x v="0"/>
    <x v="4"/>
    <x v="361"/>
    <x v="1054"/>
    <x v="1349"/>
    <x v="1016"/>
    <x v="3267"/>
    <x v="3263"/>
    <x v="2949"/>
    <x v="4"/>
    <x v="3231"/>
    <x v="3269"/>
    <x v="448"/>
    <x v="0"/>
    <x v="1"/>
    <x v="4"/>
    <x v="265"/>
    <x v="14"/>
    <x v="691"/>
    <x v="9"/>
    <x v="1"/>
    <x v="537"/>
  </r>
  <r>
    <x v="0"/>
    <x v="1418"/>
    <x v="479"/>
    <x v="40"/>
    <x v="193"/>
    <x v="79"/>
    <x v="436"/>
    <x v="4"/>
    <x v="156"/>
    <x v="1261"/>
    <x v="1892"/>
    <x v="2311"/>
    <x v="3268"/>
    <x v="3264"/>
    <x v="2950"/>
    <x v="14"/>
    <x v="3232"/>
    <x v="3270"/>
    <x v="592"/>
    <x v="0"/>
    <x v="5"/>
    <x v="4"/>
    <x v="195"/>
    <x v="5"/>
    <x v="808"/>
    <x v="1"/>
    <x v="1"/>
    <x v="1"/>
  </r>
  <r>
    <x v="0"/>
    <x v="1419"/>
    <x v="145"/>
    <x v="46"/>
    <x v="369"/>
    <x v="453"/>
    <x v="387"/>
    <x v="3004"/>
    <x v="152"/>
    <x v="1248"/>
    <x v="1939"/>
    <x v="2312"/>
    <x v="3269"/>
    <x v="3265"/>
    <x v="2951"/>
    <x v="1"/>
    <x v="3233"/>
    <x v="3271"/>
    <x v="631"/>
    <x v="3"/>
    <x v="10"/>
    <x v="9"/>
    <x v="4"/>
    <x v="10"/>
    <x v="598"/>
    <x v="11"/>
    <x v="3"/>
    <x v="1"/>
  </r>
  <r>
    <x v="0"/>
    <x v="1420"/>
    <x v="395"/>
    <x v="95"/>
    <x v="193"/>
    <x v="443"/>
    <x v="41"/>
    <x v="3005"/>
    <x v="180"/>
    <x v="563"/>
    <x v="802"/>
    <x v="647"/>
    <x v="3270"/>
    <x v="3266"/>
    <x v="2952"/>
    <x v="0"/>
    <x v="3234"/>
    <x v="3272"/>
    <x v="216"/>
    <x v="0"/>
    <x v="0"/>
    <x v="4"/>
    <x v="266"/>
    <x v="1"/>
    <x v="473"/>
    <x v="12"/>
    <x v="1"/>
    <x v="1"/>
  </r>
  <r>
    <x v="0"/>
    <x v="113"/>
    <x v="276"/>
    <x v="172"/>
    <x v="88"/>
    <x v="161"/>
    <x v="269"/>
    <x v="4"/>
    <x v="730"/>
    <x v="1262"/>
    <x v="1940"/>
    <x v="1278"/>
    <x v="3271"/>
    <x v="3267"/>
    <x v="1966"/>
    <x v="0"/>
    <x v="3235"/>
    <x v="3273"/>
    <x v="546"/>
    <x v="0"/>
    <x v="0"/>
    <x v="6"/>
    <x v="4"/>
    <x v="4"/>
    <x v="806"/>
    <x v="0"/>
    <x v="1"/>
    <x v="43"/>
  </r>
  <r>
    <x v="0"/>
    <x v="1421"/>
    <x v="240"/>
    <x v="45"/>
    <x v="221"/>
    <x v="805"/>
    <x v="35"/>
    <x v="3006"/>
    <x v="23"/>
    <x v="504"/>
    <x v="572"/>
    <x v="2313"/>
    <x v="3272"/>
    <x v="3268"/>
    <x v="2953"/>
    <x v="7"/>
    <x v="3236"/>
    <x v="3274"/>
    <x v="785"/>
    <x v="0"/>
    <x v="41"/>
    <x v="4"/>
    <x v="195"/>
    <x v="11"/>
    <x v="29"/>
    <x v="20"/>
    <x v="1"/>
    <x v="1"/>
  </r>
  <r>
    <x v="0"/>
    <x v="133"/>
    <x v="304"/>
    <x v="55"/>
    <x v="98"/>
    <x v="854"/>
    <x v="171"/>
    <x v="3007"/>
    <x v="63"/>
    <x v="772"/>
    <x v="1941"/>
    <x v="2314"/>
    <x v="3273"/>
    <x v="3269"/>
    <x v="2954"/>
    <x v="3"/>
    <x v="3237"/>
    <x v="3275"/>
    <x v="367"/>
    <x v="0"/>
    <x v="0"/>
    <x v="4"/>
    <x v="4"/>
    <x v="42"/>
    <x v="373"/>
    <x v="13"/>
    <x v="1"/>
    <x v="64"/>
  </r>
  <r>
    <x v="0"/>
    <x v="422"/>
    <x v="446"/>
    <x v="52"/>
    <x v="225"/>
    <x v="424"/>
    <x v="25"/>
    <x v="3008"/>
    <x v="484"/>
    <x v="30"/>
    <x v="1689"/>
    <x v="2315"/>
    <x v="3274"/>
    <x v="3270"/>
    <x v="2955"/>
    <x v="0"/>
    <x v="3238"/>
    <x v="3276"/>
    <x v="630"/>
    <x v="0"/>
    <x v="0"/>
    <x v="4"/>
    <x v="222"/>
    <x v="0"/>
    <x v="348"/>
    <x v="11"/>
    <x v="1"/>
    <x v="1"/>
  </r>
  <r>
    <x v="0"/>
    <x v="1422"/>
    <x v="424"/>
    <x v="31"/>
    <x v="171"/>
    <x v="828"/>
    <x v="130"/>
    <x v="3009"/>
    <x v="484"/>
    <x v="1263"/>
    <x v="1942"/>
    <x v="2316"/>
    <x v="3275"/>
    <x v="3271"/>
    <x v="2956"/>
    <x v="0"/>
    <x v="3239"/>
    <x v="3277"/>
    <x v="802"/>
    <x v="0"/>
    <x v="0"/>
    <x v="4"/>
    <x v="231"/>
    <x v="28"/>
    <x v="598"/>
    <x v="8"/>
    <x v="3"/>
    <x v="103"/>
  </r>
  <r>
    <x v="0"/>
    <x v="1423"/>
    <x v="460"/>
    <x v="45"/>
    <x v="306"/>
    <x v="1"/>
    <x v="22"/>
    <x v="3010"/>
    <x v="125"/>
    <x v="153"/>
    <x v="408"/>
    <x v="421"/>
    <x v="3276"/>
    <x v="3272"/>
    <x v="2957"/>
    <x v="12"/>
    <x v="3240"/>
    <x v="3278"/>
    <x v="540"/>
    <x v="0"/>
    <x v="0"/>
    <x v="0"/>
    <x v="231"/>
    <x v="9"/>
    <x v="30"/>
    <x v="40"/>
    <x v="3"/>
    <x v="1"/>
  </r>
  <r>
    <x v="0"/>
    <x v="1424"/>
    <x v="283"/>
    <x v="42"/>
    <x v="62"/>
    <x v="795"/>
    <x v="640"/>
    <x v="4"/>
    <x v="694"/>
    <x v="1264"/>
    <x v="1943"/>
    <x v="2317"/>
    <x v="3277"/>
    <x v="3273"/>
    <x v="2958"/>
    <x v="4"/>
    <x v="3241"/>
    <x v="3279"/>
    <x v="139"/>
    <x v="0"/>
    <x v="10"/>
    <x v="2"/>
    <x v="195"/>
    <x v="38"/>
    <x v="715"/>
    <x v="18"/>
    <x v="1"/>
    <x v="1"/>
  </r>
  <r>
    <x v="0"/>
    <x v="1425"/>
    <x v="489"/>
    <x v="80"/>
    <x v="193"/>
    <x v="708"/>
    <x v="641"/>
    <x v="4"/>
    <x v="547"/>
    <x v="1265"/>
    <x v="1944"/>
    <x v="2318"/>
    <x v="3278"/>
    <x v="3274"/>
    <x v="2959"/>
    <x v="4"/>
    <x v="3242"/>
    <x v="3280"/>
    <x v="792"/>
    <x v="0"/>
    <x v="37"/>
    <x v="2"/>
    <x v="81"/>
    <x v="22"/>
    <x v="794"/>
    <x v="10"/>
    <x v="1"/>
    <x v="593"/>
  </r>
  <r>
    <x v="0"/>
    <x v="690"/>
    <x v="177"/>
    <x v="33"/>
    <x v="286"/>
    <x v="634"/>
    <x v="35"/>
    <x v="3011"/>
    <x v="200"/>
    <x v="91"/>
    <x v="456"/>
    <x v="2319"/>
    <x v="3279"/>
    <x v="3275"/>
    <x v="2960"/>
    <x v="0"/>
    <x v="3243"/>
    <x v="3281"/>
    <x v="763"/>
    <x v="0"/>
    <x v="0"/>
    <x v="4"/>
    <x v="83"/>
    <x v="15"/>
    <x v="301"/>
    <x v="11"/>
    <x v="1"/>
    <x v="1"/>
  </r>
  <r>
    <x v="0"/>
    <x v="872"/>
    <x v="111"/>
    <x v="40"/>
    <x v="317"/>
    <x v="159"/>
    <x v="260"/>
    <x v="3012"/>
    <x v="270"/>
    <x v="1266"/>
    <x v="450"/>
    <x v="195"/>
    <x v="3280"/>
    <x v="3276"/>
    <x v="2961"/>
    <x v="1"/>
    <x v="3244"/>
    <x v="3282"/>
    <x v="426"/>
    <x v="0"/>
    <x v="0"/>
    <x v="0"/>
    <x v="4"/>
    <x v="7"/>
    <x v="296"/>
    <x v="32"/>
    <x v="3"/>
    <x v="1"/>
  </r>
  <r>
    <x v="0"/>
    <x v="1426"/>
    <x v="125"/>
    <x v="59"/>
    <x v="184"/>
    <x v="169"/>
    <x v="104"/>
    <x v="3013"/>
    <x v="125"/>
    <x v="195"/>
    <x v="513"/>
    <x v="1626"/>
    <x v="3281"/>
    <x v="3277"/>
    <x v="2962"/>
    <x v="2"/>
    <x v="3245"/>
    <x v="3283"/>
    <x v="392"/>
    <x v="0"/>
    <x v="0"/>
    <x v="0"/>
    <x v="231"/>
    <x v="2"/>
    <x v="334"/>
    <x v="12"/>
    <x v="1"/>
    <x v="60"/>
  </r>
  <r>
    <x v="0"/>
    <x v="1427"/>
    <x v="240"/>
    <x v="27"/>
    <x v="258"/>
    <x v="184"/>
    <x v="642"/>
    <x v="3014"/>
    <x v="484"/>
    <x v="1267"/>
    <x v="1945"/>
    <x v="2320"/>
    <x v="3282"/>
    <x v="3278"/>
    <x v="2698"/>
    <x v="1"/>
    <x v="3246"/>
    <x v="3284"/>
    <x v="429"/>
    <x v="0"/>
    <x v="0"/>
    <x v="0"/>
    <x v="134"/>
    <x v="18"/>
    <x v="804"/>
    <x v="74"/>
    <x v="1"/>
    <x v="1"/>
  </r>
  <r>
    <x v="0"/>
    <x v="1428"/>
    <x v="212"/>
    <x v="59"/>
    <x v="125"/>
    <x v="363"/>
    <x v="0"/>
    <x v="4"/>
    <x v="416"/>
    <x v="1268"/>
    <x v="1359"/>
    <x v="2321"/>
    <x v="3283"/>
    <x v="3279"/>
    <x v="2963"/>
    <x v="0"/>
    <x v="3247"/>
    <x v="3285"/>
    <x v="448"/>
    <x v="0"/>
    <x v="0"/>
    <x v="4"/>
    <x v="195"/>
    <x v="9"/>
    <x v="694"/>
    <x v="43"/>
    <x v="1"/>
    <x v="1"/>
  </r>
  <r>
    <x v="0"/>
    <x v="1429"/>
    <x v="464"/>
    <x v="24"/>
    <x v="0"/>
    <x v="170"/>
    <x v="582"/>
    <x v="4"/>
    <x v="54"/>
    <x v="1269"/>
    <x v="1946"/>
    <x v="1879"/>
    <x v="3284"/>
    <x v="3280"/>
    <x v="2964"/>
    <x v="0"/>
    <x v="3248"/>
    <x v="3286"/>
    <x v="789"/>
    <x v="24"/>
    <x v="18"/>
    <x v="1"/>
    <x v="83"/>
    <x v="17"/>
    <x v="562"/>
    <x v="13"/>
    <x v="1"/>
    <x v="312"/>
  </r>
  <r>
    <x v="0"/>
    <x v="1251"/>
    <x v="279"/>
    <x v="73"/>
    <x v="356"/>
    <x v="132"/>
    <x v="35"/>
    <x v="3015"/>
    <x v="425"/>
    <x v="164"/>
    <x v="1468"/>
    <x v="2322"/>
    <x v="3285"/>
    <x v="3281"/>
    <x v="2965"/>
    <x v="0"/>
    <x v="3249"/>
    <x v="3287"/>
    <x v="472"/>
    <x v="0"/>
    <x v="1"/>
    <x v="2"/>
    <x v="231"/>
    <x v="0"/>
    <x v="280"/>
    <x v="15"/>
    <x v="3"/>
    <x v="1"/>
  </r>
  <r>
    <x v="0"/>
    <x v="1293"/>
    <x v="134"/>
    <x v="57"/>
    <x v="101"/>
    <x v="593"/>
    <x v="94"/>
    <x v="3016"/>
    <x v="139"/>
    <x v="1173"/>
    <x v="1947"/>
    <x v="2323"/>
    <x v="3286"/>
    <x v="3282"/>
    <x v="2966"/>
    <x v="4"/>
    <x v="3250"/>
    <x v="3288"/>
    <x v="527"/>
    <x v="8"/>
    <x v="16"/>
    <x v="0"/>
    <x v="176"/>
    <x v="5"/>
    <x v="299"/>
    <x v="25"/>
    <x v="1"/>
    <x v="41"/>
  </r>
  <r>
    <x v="0"/>
    <x v="854"/>
    <x v="370"/>
    <x v="86"/>
    <x v="233"/>
    <x v="499"/>
    <x v="171"/>
    <x v="1900"/>
    <x v="484"/>
    <x v="772"/>
    <x v="688"/>
    <x v="1510"/>
    <x v="2006"/>
    <x v="2003"/>
    <x v="1908"/>
    <x v="0"/>
    <x v="1994"/>
    <x v="2006"/>
    <x v="277"/>
    <x v="0"/>
    <x v="0"/>
    <x v="2"/>
    <x v="186"/>
    <x v="31"/>
    <x v="422"/>
    <x v="12"/>
    <x v="3"/>
    <x v="1"/>
  </r>
  <r>
    <x v="0"/>
    <x v="957"/>
    <x v="516"/>
    <x v="11"/>
    <x v="266"/>
    <x v="4"/>
    <x v="471"/>
    <x v="3017"/>
    <x v="72"/>
    <x v="1270"/>
    <x v="217"/>
    <x v="4"/>
    <x v="3287"/>
    <x v="3283"/>
    <x v="2095"/>
    <x v="0"/>
    <x v="3251"/>
    <x v="3289"/>
    <x v="617"/>
    <x v="0"/>
    <x v="0"/>
    <x v="0"/>
    <x v="195"/>
    <x v="9"/>
    <x v="147"/>
    <x v="8"/>
    <x v="1"/>
    <x v="45"/>
  </r>
  <r>
    <x v="0"/>
    <x v="1430"/>
    <x v="303"/>
    <x v="51"/>
    <x v="370"/>
    <x v="530"/>
    <x v="354"/>
    <x v="3018"/>
    <x v="139"/>
    <x v="1271"/>
    <x v="1948"/>
    <x v="2324"/>
    <x v="3288"/>
    <x v="3284"/>
    <x v="2967"/>
    <x v="0"/>
    <x v="3252"/>
    <x v="3290"/>
    <x v="629"/>
    <x v="0"/>
    <x v="0"/>
    <x v="4"/>
    <x v="83"/>
    <x v="15"/>
    <x v="126"/>
    <x v="1"/>
    <x v="3"/>
    <x v="594"/>
  </r>
  <r>
    <x v="0"/>
    <x v="1431"/>
    <x v="464"/>
    <x v="57"/>
    <x v="31"/>
    <x v="599"/>
    <x v="22"/>
    <x v="3019"/>
    <x v="105"/>
    <x v="1272"/>
    <x v="1949"/>
    <x v="2164"/>
    <x v="3289"/>
    <x v="3285"/>
    <x v="2968"/>
    <x v="4"/>
    <x v="3253"/>
    <x v="3291"/>
    <x v="637"/>
    <x v="8"/>
    <x v="16"/>
    <x v="1"/>
    <x v="4"/>
    <x v="1"/>
    <x v="110"/>
    <x v="11"/>
    <x v="2"/>
    <x v="595"/>
  </r>
  <r>
    <x v="0"/>
    <x v="1432"/>
    <x v="244"/>
    <x v="46"/>
    <x v="243"/>
    <x v="423"/>
    <x v="270"/>
    <x v="3020"/>
    <x v="269"/>
    <x v="1273"/>
    <x v="1950"/>
    <x v="2325"/>
    <x v="3290"/>
    <x v="3286"/>
    <x v="2969"/>
    <x v="1"/>
    <x v="3254"/>
    <x v="3292"/>
    <x v="321"/>
    <x v="0"/>
    <x v="25"/>
    <x v="9"/>
    <x v="4"/>
    <x v="7"/>
    <x v="820"/>
    <x v="7"/>
    <x v="3"/>
    <x v="1"/>
  </r>
  <r>
    <x v="0"/>
    <x v="1433"/>
    <x v="429"/>
    <x v="130"/>
    <x v="0"/>
    <x v="511"/>
    <x v="288"/>
    <x v="3021"/>
    <x v="276"/>
    <x v="1274"/>
    <x v="1951"/>
    <x v="2326"/>
    <x v="3291"/>
    <x v="3287"/>
    <x v="2970"/>
    <x v="4"/>
    <x v="3255"/>
    <x v="3293"/>
    <x v="386"/>
    <x v="8"/>
    <x v="16"/>
    <x v="9"/>
    <x v="4"/>
    <x v="9"/>
    <x v="84"/>
    <x v="8"/>
    <x v="2"/>
    <x v="1"/>
  </r>
  <r>
    <x v="0"/>
    <x v="543"/>
    <x v="225"/>
    <x v="51"/>
    <x v="8"/>
    <x v="577"/>
    <x v="269"/>
    <x v="1129"/>
    <x v="420"/>
    <x v="486"/>
    <x v="815"/>
    <x v="954"/>
    <x v="1174"/>
    <x v="3288"/>
    <x v="1146"/>
    <x v="0"/>
    <x v="1166"/>
    <x v="1174"/>
    <x v="527"/>
    <x v="0"/>
    <x v="0"/>
    <x v="2"/>
    <x v="83"/>
    <x v="31"/>
    <x v="454"/>
    <x v="13"/>
    <x v="3"/>
    <x v="1"/>
  </r>
  <r>
    <x v="0"/>
    <x v="1434"/>
    <x v="390"/>
    <x v="94"/>
    <x v="91"/>
    <x v="101"/>
    <x v="410"/>
    <x v="4"/>
    <x v="415"/>
    <x v="1275"/>
    <x v="1952"/>
    <x v="2327"/>
    <x v="3292"/>
    <x v="3289"/>
    <x v="2291"/>
    <x v="0"/>
    <x v="3256"/>
    <x v="3294"/>
    <x v="129"/>
    <x v="0"/>
    <x v="0"/>
    <x v="17"/>
    <x v="267"/>
    <x v="59"/>
    <x v="491"/>
    <x v="13"/>
    <x v="15"/>
    <x v="103"/>
  </r>
  <r>
    <x v="0"/>
    <x v="1303"/>
    <x v="304"/>
    <x v="13"/>
    <x v="160"/>
    <x v="156"/>
    <x v="35"/>
    <x v="3022"/>
    <x v="731"/>
    <x v="461"/>
    <x v="978"/>
    <x v="1287"/>
    <x v="3293"/>
    <x v="3290"/>
    <x v="2971"/>
    <x v="1"/>
    <x v="3257"/>
    <x v="3295"/>
    <x v="545"/>
    <x v="0"/>
    <x v="0"/>
    <x v="4"/>
    <x v="231"/>
    <x v="8"/>
    <x v="67"/>
    <x v="10"/>
    <x v="3"/>
    <x v="60"/>
  </r>
  <r>
    <x v="0"/>
    <x v="1435"/>
    <x v="441"/>
    <x v="40"/>
    <x v="31"/>
    <x v="45"/>
    <x v="643"/>
    <x v="4"/>
    <x v="9"/>
    <x v="1276"/>
    <x v="1953"/>
    <x v="2328"/>
    <x v="3294"/>
    <x v="3291"/>
    <x v="2972"/>
    <x v="3"/>
    <x v="3258"/>
    <x v="3296"/>
    <x v="757"/>
    <x v="32"/>
    <x v="47"/>
    <x v="1"/>
    <x v="268"/>
    <x v="7"/>
    <x v="818"/>
    <x v="19"/>
    <x v="3"/>
    <x v="596"/>
  </r>
  <r>
    <x v="0"/>
    <x v="169"/>
    <x v="300"/>
    <x v="0"/>
    <x v="121"/>
    <x v="187"/>
    <x v="57"/>
    <x v="3023"/>
    <x v="152"/>
    <x v="99"/>
    <x v="751"/>
    <x v="2329"/>
    <x v="3295"/>
    <x v="3292"/>
    <x v="2973"/>
    <x v="1"/>
    <x v="3259"/>
    <x v="3297"/>
    <x v="911"/>
    <x v="0"/>
    <x v="0"/>
    <x v="4"/>
    <x v="83"/>
    <x v="24"/>
    <x v="451"/>
    <x v="49"/>
    <x v="1"/>
    <x v="48"/>
  </r>
  <r>
    <x v="0"/>
    <x v="1436"/>
    <x v="315"/>
    <x v="54"/>
    <x v="122"/>
    <x v="752"/>
    <x v="0"/>
    <x v="3024"/>
    <x v="396"/>
    <x v="1161"/>
    <x v="1954"/>
    <x v="1581"/>
    <x v="3296"/>
    <x v="3293"/>
    <x v="2974"/>
    <x v="0"/>
    <x v="3260"/>
    <x v="3298"/>
    <x v="578"/>
    <x v="0"/>
    <x v="1"/>
    <x v="3"/>
    <x v="4"/>
    <x v="28"/>
    <x v="621"/>
    <x v="16"/>
    <x v="3"/>
    <x v="1"/>
  </r>
  <r>
    <x v="0"/>
    <x v="1437"/>
    <x v="517"/>
    <x v="85"/>
    <x v="48"/>
    <x v="754"/>
    <x v="10"/>
    <x v="3025"/>
    <x v="168"/>
    <x v="40"/>
    <x v="1321"/>
    <x v="2330"/>
    <x v="3297"/>
    <x v="3294"/>
    <x v="2975"/>
    <x v="1"/>
    <x v="3261"/>
    <x v="3299"/>
    <x v="439"/>
    <x v="0"/>
    <x v="0"/>
    <x v="4"/>
    <x v="231"/>
    <x v="11"/>
    <x v="683"/>
    <x v="0"/>
    <x v="1"/>
    <x v="14"/>
  </r>
  <r>
    <x v="0"/>
    <x v="426"/>
    <x v="240"/>
    <x v="73"/>
    <x v="232"/>
    <x v="123"/>
    <x v="529"/>
    <x v="3026"/>
    <x v="662"/>
    <x v="996"/>
    <x v="1955"/>
    <x v="1807"/>
    <x v="3298"/>
    <x v="3295"/>
    <x v="2976"/>
    <x v="4"/>
    <x v="3262"/>
    <x v="3300"/>
    <x v="781"/>
    <x v="0"/>
    <x v="0"/>
    <x v="4"/>
    <x v="269"/>
    <x v="14"/>
    <x v="657"/>
    <x v="23"/>
    <x v="1"/>
    <x v="406"/>
  </r>
  <r>
    <x v="0"/>
    <x v="618"/>
    <x v="323"/>
    <x v="89"/>
    <x v="275"/>
    <x v="192"/>
    <x v="542"/>
    <x v="3027"/>
    <x v="732"/>
    <x v="1277"/>
    <x v="1956"/>
    <x v="2331"/>
    <x v="3299"/>
    <x v="3296"/>
    <x v="2977"/>
    <x v="3"/>
    <x v="3263"/>
    <x v="3301"/>
    <x v="613"/>
    <x v="0"/>
    <x v="0"/>
    <x v="3"/>
    <x v="186"/>
    <x v="52"/>
    <x v="821"/>
    <x v="25"/>
    <x v="1"/>
    <x v="61"/>
  </r>
  <r>
    <x v="0"/>
    <x v="84"/>
    <x v="425"/>
    <x v="70"/>
    <x v="67"/>
    <x v="636"/>
    <x v="10"/>
    <x v="2409"/>
    <x v="286"/>
    <x v="33"/>
    <x v="1957"/>
    <x v="2332"/>
    <x v="3300"/>
    <x v="3297"/>
    <x v="2978"/>
    <x v="4"/>
    <x v="3264"/>
    <x v="3302"/>
    <x v="195"/>
    <x v="0"/>
    <x v="0"/>
    <x v="2"/>
    <x v="83"/>
    <x v="31"/>
    <x v="258"/>
    <x v="5"/>
    <x v="3"/>
    <x v="1"/>
  </r>
  <r>
    <x v="0"/>
    <x v="1438"/>
    <x v="433"/>
    <x v="59"/>
    <x v="151"/>
    <x v="783"/>
    <x v="134"/>
    <x v="3028"/>
    <x v="200"/>
    <x v="252"/>
    <x v="1958"/>
    <x v="2333"/>
    <x v="3301"/>
    <x v="3298"/>
    <x v="2979"/>
    <x v="1"/>
    <x v="3265"/>
    <x v="3303"/>
    <x v="912"/>
    <x v="0"/>
    <x v="0"/>
    <x v="4"/>
    <x v="83"/>
    <x v="7"/>
    <x v="38"/>
    <x v="0"/>
    <x v="1"/>
    <x v="61"/>
  </r>
  <r>
    <x v="0"/>
    <x v="340"/>
    <x v="414"/>
    <x v="71"/>
    <x v="0"/>
    <x v="203"/>
    <x v="644"/>
    <x v="3029"/>
    <x v="457"/>
    <x v="1278"/>
    <x v="1959"/>
    <x v="2334"/>
    <x v="3302"/>
    <x v="3299"/>
    <x v="2980"/>
    <x v="4"/>
    <x v="3266"/>
    <x v="3304"/>
    <x v="467"/>
    <x v="0"/>
    <x v="0"/>
    <x v="4"/>
    <x v="83"/>
    <x v="43"/>
    <x v="126"/>
    <x v="14"/>
    <x v="3"/>
    <x v="4"/>
  </r>
  <r>
    <x v="0"/>
    <x v="464"/>
    <x v="400"/>
    <x v="18"/>
    <x v="0"/>
    <x v="783"/>
    <x v="645"/>
    <x v="3030"/>
    <x v="251"/>
    <x v="1279"/>
    <x v="1960"/>
    <x v="2335"/>
    <x v="3303"/>
    <x v="3300"/>
    <x v="2981"/>
    <x v="0"/>
    <x v="3267"/>
    <x v="3305"/>
    <x v="913"/>
    <x v="0"/>
    <x v="1"/>
    <x v="4"/>
    <x v="83"/>
    <x v="19"/>
    <x v="776"/>
    <x v="32"/>
    <x v="3"/>
    <x v="59"/>
  </r>
  <r>
    <x v="0"/>
    <x v="1439"/>
    <x v="459"/>
    <x v="54"/>
    <x v="371"/>
    <x v="677"/>
    <x v="646"/>
    <x v="3031"/>
    <x v="419"/>
    <x v="1280"/>
    <x v="1961"/>
    <x v="2336"/>
    <x v="3304"/>
    <x v="3301"/>
    <x v="2982"/>
    <x v="0"/>
    <x v="3268"/>
    <x v="3306"/>
    <x v="556"/>
    <x v="0"/>
    <x v="0"/>
    <x v="0"/>
    <x v="83"/>
    <x v="14"/>
    <x v="308"/>
    <x v="58"/>
    <x v="3"/>
    <x v="1"/>
  </r>
  <r>
    <x v="0"/>
    <x v="1440"/>
    <x v="302"/>
    <x v="52"/>
    <x v="240"/>
    <x v="51"/>
    <x v="17"/>
    <x v="3032"/>
    <x v="130"/>
    <x v="303"/>
    <x v="425"/>
    <x v="605"/>
    <x v="3305"/>
    <x v="3302"/>
    <x v="2983"/>
    <x v="0"/>
    <x v="3269"/>
    <x v="3307"/>
    <x v="593"/>
    <x v="0"/>
    <x v="0"/>
    <x v="2"/>
    <x v="83"/>
    <x v="28"/>
    <x v="270"/>
    <x v="32"/>
    <x v="3"/>
    <x v="1"/>
  </r>
  <r>
    <x v="0"/>
    <x v="1171"/>
    <x v="447"/>
    <x v="56"/>
    <x v="137"/>
    <x v="478"/>
    <x v="0"/>
    <x v="3033"/>
    <x v="399"/>
    <x v="1182"/>
    <x v="681"/>
    <x v="1147"/>
    <x v="3306"/>
    <x v="3303"/>
    <x v="2984"/>
    <x v="1"/>
    <x v="3270"/>
    <x v="3308"/>
    <x v="716"/>
    <x v="0"/>
    <x v="0"/>
    <x v="0"/>
    <x v="83"/>
    <x v="19"/>
    <x v="144"/>
    <x v="12"/>
    <x v="3"/>
    <x v="1"/>
  </r>
  <r>
    <x v="0"/>
    <x v="1441"/>
    <x v="492"/>
    <x v="26"/>
    <x v="0"/>
    <x v="145"/>
    <x v="365"/>
    <x v="3034"/>
    <x v="733"/>
    <x v="663"/>
    <x v="1962"/>
    <x v="176"/>
    <x v="3307"/>
    <x v="3304"/>
    <x v="2192"/>
    <x v="4"/>
    <x v="3271"/>
    <x v="3309"/>
    <x v="792"/>
    <x v="0"/>
    <x v="0"/>
    <x v="4"/>
    <x v="83"/>
    <x v="25"/>
    <x v="655"/>
    <x v="23"/>
    <x v="1"/>
    <x v="294"/>
  </r>
  <r>
    <x v="0"/>
    <x v="691"/>
    <x v="210"/>
    <x v="7"/>
    <x v="12"/>
    <x v="23"/>
    <x v="29"/>
    <x v="3035"/>
    <x v="105"/>
    <x v="58"/>
    <x v="1052"/>
    <x v="2337"/>
    <x v="3308"/>
    <x v="3305"/>
    <x v="2985"/>
    <x v="4"/>
    <x v="3272"/>
    <x v="3310"/>
    <x v="364"/>
    <x v="0"/>
    <x v="0"/>
    <x v="4"/>
    <x v="83"/>
    <x v="10"/>
    <x v="10"/>
    <x v="16"/>
    <x v="3"/>
    <x v="13"/>
  </r>
  <r>
    <x v="0"/>
    <x v="1442"/>
    <x v="126"/>
    <x v="78"/>
    <x v="78"/>
    <x v="186"/>
    <x v="647"/>
    <x v="3036"/>
    <x v="236"/>
    <x v="1281"/>
    <x v="1963"/>
    <x v="2338"/>
    <x v="3309"/>
    <x v="3306"/>
    <x v="2986"/>
    <x v="1"/>
    <x v="3273"/>
    <x v="3311"/>
    <x v="627"/>
    <x v="0"/>
    <x v="0"/>
    <x v="0"/>
    <x v="83"/>
    <x v="8"/>
    <x v="707"/>
    <x v="31"/>
    <x v="3"/>
    <x v="1"/>
  </r>
  <r>
    <x v="0"/>
    <x v="233"/>
    <x v="238"/>
    <x v="29"/>
    <x v="0"/>
    <x v="154"/>
    <x v="119"/>
    <x v="4"/>
    <x v="63"/>
    <x v="223"/>
    <x v="326"/>
    <x v="368"/>
    <x v="424"/>
    <x v="3307"/>
    <x v="418"/>
    <x v="0"/>
    <x v="420"/>
    <x v="424"/>
    <x v="376"/>
    <x v="0"/>
    <x v="0"/>
    <x v="4"/>
    <x v="83"/>
    <x v="26"/>
    <x v="117"/>
    <x v="8"/>
    <x v="3"/>
    <x v="1"/>
  </r>
  <r>
    <x v="0"/>
    <x v="1443"/>
    <x v="328"/>
    <x v="50"/>
    <x v="107"/>
    <x v="240"/>
    <x v="648"/>
    <x v="3037"/>
    <x v="127"/>
    <x v="1282"/>
    <x v="1964"/>
    <x v="2339"/>
    <x v="3310"/>
    <x v="3308"/>
    <x v="2987"/>
    <x v="3"/>
    <x v="3274"/>
    <x v="3312"/>
    <x v="360"/>
    <x v="0"/>
    <x v="0"/>
    <x v="4"/>
    <x v="83"/>
    <x v="11"/>
    <x v="429"/>
    <x v="9"/>
    <x v="1"/>
    <x v="1"/>
  </r>
  <r>
    <x v="0"/>
    <x v="1444"/>
    <x v="369"/>
    <x v="41"/>
    <x v="216"/>
    <x v="65"/>
    <x v="649"/>
    <x v="4"/>
    <x v="446"/>
    <x v="1283"/>
    <x v="1965"/>
    <x v="81"/>
    <x v="3311"/>
    <x v="3309"/>
    <x v="2988"/>
    <x v="1"/>
    <x v="3275"/>
    <x v="3313"/>
    <x v="823"/>
    <x v="0"/>
    <x v="0"/>
    <x v="2"/>
    <x v="83"/>
    <x v="37"/>
    <x v="218"/>
    <x v="40"/>
    <x v="3"/>
    <x v="597"/>
  </r>
  <r>
    <x v="0"/>
    <x v="1445"/>
    <x v="489"/>
    <x v="110"/>
    <x v="216"/>
    <x v="313"/>
    <x v="529"/>
    <x v="4"/>
    <x v="66"/>
    <x v="1284"/>
    <x v="1966"/>
    <x v="2340"/>
    <x v="3312"/>
    <x v="3310"/>
    <x v="2989"/>
    <x v="9"/>
    <x v="4"/>
    <x v="3314"/>
    <x v="843"/>
    <x v="0"/>
    <x v="0"/>
    <x v="4"/>
    <x v="4"/>
    <x v="6"/>
    <x v="524"/>
    <x v="6"/>
    <x v="2"/>
    <x v="267"/>
  </r>
  <r>
    <x v="0"/>
    <x v="85"/>
    <x v="438"/>
    <x v="70"/>
    <x v="0"/>
    <x v="60"/>
    <x v="11"/>
    <x v="3038"/>
    <x v="105"/>
    <x v="63"/>
    <x v="1046"/>
    <x v="103"/>
    <x v="3313"/>
    <x v="3311"/>
    <x v="2990"/>
    <x v="0"/>
    <x v="3276"/>
    <x v="3315"/>
    <x v="550"/>
    <x v="0"/>
    <x v="1"/>
    <x v="0"/>
    <x v="83"/>
    <x v="27"/>
    <x v="249"/>
    <x v="38"/>
    <x v="3"/>
    <x v="1"/>
  </r>
  <r>
    <x v="0"/>
    <x v="1446"/>
    <x v="262"/>
    <x v="30"/>
    <x v="89"/>
    <x v="124"/>
    <x v="575"/>
    <x v="3039"/>
    <x v="2"/>
    <x v="1285"/>
    <x v="1967"/>
    <x v="153"/>
    <x v="3314"/>
    <x v="3312"/>
    <x v="93"/>
    <x v="4"/>
    <x v="3277"/>
    <x v="3316"/>
    <x v="530"/>
    <x v="0"/>
    <x v="1"/>
    <x v="18"/>
    <x v="222"/>
    <x v="50"/>
    <x v="822"/>
    <x v="2"/>
    <x v="1"/>
    <x v="1"/>
  </r>
  <r>
    <x v="0"/>
    <x v="113"/>
    <x v="435"/>
    <x v="84"/>
    <x v="88"/>
    <x v="431"/>
    <x v="650"/>
    <x v="4"/>
    <x v="28"/>
    <x v="1286"/>
    <x v="629"/>
    <x v="2341"/>
    <x v="3315"/>
    <x v="1934"/>
    <x v="1047"/>
    <x v="4"/>
    <x v="3278"/>
    <x v="3317"/>
    <x v="719"/>
    <x v="0"/>
    <x v="0"/>
    <x v="5"/>
    <x v="4"/>
    <x v="4"/>
    <x v="215"/>
    <x v="1"/>
    <x v="12"/>
    <x v="1"/>
  </r>
  <r>
    <x v="0"/>
    <x v="548"/>
    <x v="216"/>
    <x v="86"/>
    <x v="0"/>
    <x v="386"/>
    <x v="328"/>
    <x v="3040"/>
    <x v="208"/>
    <x v="1150"/>
    <x v="1968"/>
    <x v="2342"/>
    <x v="3316"/>
    <x v="3313"/>
    <x v="1708"/>
    <x v="0"/>
    <x v="3279"/>
    <x v="3318"/>
    <x v="484"/>
    <x v="0"/>
    <x v="0"/>
    <x v="4"/>
    <x v="83"/>
    <x v="24"/>
    <x v="481"/>
    <x v="21"/>
    <x v="3"/>
    <x v="1"/>
  </r>
  <r>
    <x v="0"/>
    <x v="511"/>
    <x v="349"/>
    <x v="43"/>
    <x v="89"/>
    <x v="581"/>
    <x v="583"/>
    <x v="3041"/>
    <x v="105"/>
    <x v="1287"/>
    <x v="1685"/>
    <x v="2343"/>
    <x v="3317"/>
    <x v="3314"/>
    <x v="2991"/>
    <x v="4"/>
    <x v="3280"/>
    <x v="3319"/>
    <x v="568"/>
    <x v="0"/>
    <x v="0"/>
    <x v="0"/>
    <x v="83"/>
    <x v="15"/>
    <x v="104"/>
    <x v="20"/>
    <x v="3"/>
    <x v="1"/>
  </r>
  <r>
    <x v="0"/>
    <x v="1447"/>
    <x v="299"/>
    <x v="52"/>
    <x v="221"/>
    <x v="171"/>
    <x v="375"/>
    <x v="3042"/>
    <x v="270"/>
    <x v="1045"/>
    <x v="1969"/>
    <x v="216"/>
    <x v="3318"/>
    <x v="3315"/>
    <x v="2992"/>
    <x v="0"/>
    <x v="3281"/>
    <x v="3320"/>
    <x v="497"/>
    <x v="0"/>
    <x v="0"/>
    <x v="2"/>
    <x v="4"/>
    <x v="7"/>
    <x v="146"/>
    <x v="7"/>
    <x v="1"/>
    <x v="1"/>
  </r>
  <r>
    <x v="0"/>
    <x v="1231"/>
    <x v="361"/>
    <x v="87"/>
    <x v="58"/>
    <x v="415"/>
    <x v="415"/>
    <x v="3043"/>
    <x v="70"/>
    <x v="758"/>
    <x v="1527"/>
    <x v="602"/>
    <x v="3319"/>
    <x v="3316"/>
    <x v="2993"/>
    <x v="0"/>
    <x v="3282"/>
    <x v="3321"/>
    <x v="291"/>
    <x v="0"/>
    <x v="0"/>
    <x v="4"/>
    <x v="83"/>
    <x v="20"/>
    <x v="238"/>
    <x v="10"/>
    <x v="3"/>
    <x v="1"/>
  </r>
  <r>
    <x v="0"/>
    <x v="1448"/>
    <x v="313"/>
    <x v="55"/>
    <x v="221"/>
    <x v="559"/>
    <x v="6"/>
    <x v="3044"/>
    <x v="127"/>
    <x v="6"/>
    <x v="600"/>
    <x v="1085"/>
    <x v="3320"/>
    <x v="3317"/>
    <x v="2994"/>
    <x v="1"/>
    <x v="3283"/>
    <x v="3322"/>
    <x v="365"/>
    <x v="0"/>
    <x v="0"/>
    <x v="2"/>
    <x v="83"/>
    <x v="0"/>
    <x v="377"/>
    <x v="23"/>
    <x v="3"/>
    <x v="1"/>
  </r>
  <r>
    <x v="0"/>
    <x v="452"/>
    <x v="201"/>
    <x v="57"/>
    <x v="108"/>
    <x v="522"/>
    <x v="57"/>
    <x v="928"/>
    <x v="306"/>
    <x v="109"/>
    <x v="669"/>
    <x v="791"/>
    <x v="960"/>
    <x v="3318"/>
    <x v="944"/>
    <x v="0"/>
    <x v="954"/>
    <x v="960"/>
    <x v="622"/>
    <x v="0"/>
    <x v="0"/>
    <x v="4"/>
    <x v="95"/>
    <x v="12"/>
    <x v="185"/>
    <x v="15"/>
    <x v="1"/>
    <x v="1"/>
  </r>
  <r>
    <x v="0"/>
    <x v="1449"/>
    <x v="88"/>
    <x v="58"/>
    <x v="179"/>
    <x v="106"/>
    <x v="29"/>
    <x v="3045"/>
    <x v="152"/>
    <x v="34"/>
    <x v="1970"/>
    <x v="2344"/>
    <x v="3321"/>
    <x v="3319"/>
    <x v="2995"/>
    <x v="1"/>
    <x v="3284"/>
    <x v="3323"/>
    <x v="914"/>
    <x v="0"/>
    <x v="0"/>
    <x v="4"/>
    <x v="222"/>
    <x v="21"/>
    <x v="30"/>
    <x v="32"/>
    <x v="1"/>
    <x v="45"/>
  </r>
  <r>
    <x v="0"/>
    <x v="760"/>
    <x v="283"/>
    <x v="41"/>
    <x v="137"/>
    <x v="623"/>
    <x v="10"/>
    <x v="3046"/>
    <x v="17"/>
    <x v="40"/>
    <x v="255"/>
    <x v="1052"/>
    <x v="3322"/>
    <x v="3320"/>
    <x v="2996"/>
    <x v="3"/>
    <x v="3285"/>
    <x v="3324"/>
    <x v="752"/>
    <x v="0"/>
    <x v="0"/>
    <x v="4"/>
    <x v="240"/>
    <x v="19"/>
    <x v="6"/>
    <x v="12"/>
    <x v="3"/>
    <x v="598"/>
  </r>
  <r>
    <x v="0"/>
    <x v="1450"/>
    <x v="419"/>
    <x v="38"/>
    <x v="45"/>
    <x v="570"/>
    <x v="184"/>
    <x v="4"/>
    <x v="26"/>
    <x v="345"/>
    <x v="1971"/>
    <x v="2345"/>
    <x v="3323"/>
    <x v="3321"/>
    <x v="2704"/>
    <x v="4"/>
    <x v="3286"/>
    <x v="3325"/>
    <x v="129"/>
    <x v="0"/>
    <x v="4"/>
    <x v="4"/>
    <x v="83"/>
    <x v="7"/>
    <x v="366"/>
    <x v="15"/>
    <x v="1"/>
    <x v="386"/>
  </r>
  <r>
    <x v="0"/>
    <x v="1451"/>
    <x v="74"/>
    <x v="67"/>
    <x v="266"/>
    <x v="232"/>
    <x v="25"/>
    <x v="3047"/>
    <x v="23"/>
    <x v="392"/>
    <x v="1972"/>
    <x v="294"/>
    <x v="3324"/>
    <x v="3322"/>
    <x v="2997"/>
    <x v="0"/>
    <x v="3287"/>
    <x v="3326"/>
    <x v="559"/>
    <x v="0"/>
    <x v="0"/>
    <x v="4"/>
    <x v="83"/>
    <x v="0"/>
    <x v="13"/>
    <x v="22"/>
    <x v="1"/>
    <x v="1"/>
  </r>
  <r>
    <x v="0"/>
    <x v="1072"/>
    <x v="398"/>
    <x v="85"/>
    <x v="265"/>
    <x v="745"/>
    <x v="541"/>
    <x v="4"/>
    <x v="17"/>
    <x v="1288"/>
    <x v="1973"/>
    <x v="2346"/>
    <x v="3325"/>
    <x v="3323"/>
    <x v="1702"/>
    <x v="1"/>
    <x v="3288"/>
    <x v="3327"/>
    <x v="719"/>
    <x v="0"/>
    <x v="0"/>
    <x v="0"/>
    <x v="268"/>
    <x v="0"/>
    <x v="242"/>
    <x v="21"/>
    <x v="3"/>
    <x v="271"/>
  </r>
  <r>
    <x v="0"/>
    <x v="1452"/>
    <x v="99"/>
    <x v="41"/>
    <x v="281"/>
    <x v="748"/>
    <x v="651"/>
    <x v="3048"/>
    <x v="105"/>
    <x v="1289"/>
    <x v="1974"/>
    <x v="2347"/>
    <x v="3326"/>
    <x v="3324"/>
    <x v="2998"/>
    <x v="4"/>
    <x v="3289"/>
    <x v="3328"/>
    <x v="593"/>
    <x v="0"/>
    <x v="0"/>
    <x v="0"/>
    <x v="83"/>
    <x v="9"/>
    <x v="365"/>
    <x v="1"/>
    <x v="3"/>
    <x v="85"/>
  </r>
  <r>
    <x v="0"/>
    <x v="329"/>
    <x v="180"/>
    <x v="80"/>
    <x v="146"/>
    <x v="685"/>
    <x v="10"/>
    <x v="3049"/>
    <x v="127"/>
    <x v="16"/>
    <x v="1975"/>
    <x v="2348"/>
    <x v="3327"/>
    <x v="3325"/>
    <x v="2999"/>
    <x v="1"/>
    <x v="3290"/>
    <x v="3329"/>
    <x v="434"/>
    <x v="0"/>
    <x v="0"/>
    <x v="0"/>
    <x v="83"/>
    <x v="5"/>
    <x v="30"/>
    <x v="1"/>
    <x v="3"/>
    <x v="64"/>
  </r>
  <r>
    <x v="0"/>
    <x v="1453"/>
    <x v="478"/>
    <x v="47"/>
    <x v="123"/>
    <x v="52"/>
    <x v="54"/>
    <x v="3050"/>
    <x v="105"/>
    <x v="96"/>
    <x v="137"/>
    <x v="429"/>
    <x v="3328"/>
    <x v="3326"/>
    <x v="3000"/>
    <x v="0"/>
    <x v="3291"/>
    <x v="3330"/>
    <x v="744"/>
    <x v="0"/>
    <x v="0"/>
    <x v="4"/>
    <x v="4"/>
    <x v="24"/>
    <x v="94"/>
    <x v="12"/>
    <x v="3"/>
    <x v="581"/>
  </r>
  <r>
    <x v="1"/>
    <x v="777"/>
    <x v="128"/>
    <x v="80"/>
    <x v="91"/>
    <x v="779"/>
    <x v="551"/>
    <x v="3051"/>
    <x v="630"/>
    <x v="1053"/>
    <x v="1252"/>
    <x v="326"/>
    <x v="3329"/>
    <x v="3327"/>
    <x v="923"/>
    <x v="1"/>
    <x v="3292"/>
    <x v="3331"/>
    <x v="367"/>
    <x v="0"/>
    <x v="1"/>
    <x v="4"/>
    <x v="83"/>
    <x v="21"/>
    <x v="181"/>
    <x v="8"/>
    <x v="1"/>
    <x v="1"/>
  </r>
  <r>
    <x v="0"/>
    <x v="1050"/>
    <x v="383"/>
    <x v="27"/>
    <x v="174"/>
    <x v="178"/>
    <x v="0"/>
    <x v="3052"/>
    <x v="200"/>
    <x v="1290"/>
    <x v="611"/>
    <x v="2349"/>
    <x v="3330"/>
    <x v="3328"/>
    <x v="3001"/>
    <x v="0"/>
    <x v="3293"/>
    <x v="3332"/>
    <x v="646"/>
    <x v="0"/>
    <x v="0"/>
    <x v="2"/>
    <x v="83"/>
    <x v="10"/>
    <x v="370"/>
    <x v="28"/>
    <x v="3"/>
    <x v="1"/>
  </r>
  <r>
    <x v="0"/>
    <x v="57"/>
    <x v="465"/>
    <x v="42"/>
    <x v="42"/>
    <x v="156"/>
    <x v="0"/>
    <x v="4"/>
    <x v="127"/>
    <x v="441"/>
    <x v="331"/>
    <x v="2350"/>
    <x v="3331"/>
    <x v="3329"/>
    <x v="3002"/>
    <x v="4"/>
    <x v="3294"/>
    <x v="3333"/>
    <x v="650"/>
    <x v="0"/>
    <x v="0"/>
    <x v="0"/>
    <x v="83"/>
    <x v="25"/>
    <x v="222"/>
    <x v="41"/>
    <x v="3"/>
    <x v="599"/>
  </r>
  <r>
    <x v="0"/>
    <x v="933"/>
    <x v="492"/>
    <x v="71"/>
    <x v="5"/>
    <x v="518"/>
    <x v="23"/>
    <x v="3053"/>
    <x v="125"/>
    <x v="371"/>
    <x v="832"/>
    <x v="781"/>
    <x v="3332"/>
    <x v="3330"/>
    <x v="3003"/>
    <x v="4"/>
    <x v="3295"/>
    <x v="3334"/>
    <x v="705"/>
    <x v="0"/>
    <x v="0"/>
    <x v="0"/>
    <x v="83"/>
    <x v="15"/>
    <x v="117"/>
    <x v="37"/>
    <x v="3"/>
    <x v="600"/>
  </r>
  <r>
    <x v="0"/>
    <x v="1454"/>
    <x v="365"/>
    <x v="80"/>
    <x v="129"/>
    <x v="511"/>
    <x v="0"/>
    <x v="3054"/>
    <x v="286"/>
    <x v="255"/>
    <x v="1976"/>
    <x v="2351"/>
    <x v="3333"/>
    <x v="3331"/>
    <x v="3004"/>
    <x v="0"/>
    <x v="3296"/>
    <x v="3335"/>
    <x v="514"/>
    <x v="0"/>
    <x v="0"/>
    <x v="4"/>
    <x v="83"/>
    <x v="21"/>
    <x v="823"/>
    <x v="43"/>
    <x v="1"/>
    <x v="601"/>
  </r>
  <r>
    <x v="0"/>
    <x v="1072"/>
    <x v="359"/>
    <x v="35"/>
    <x v="265"/>
    <x v="653"/>
    <x v="25"/>
    <x v="3055"/>
    <x v="17"/>
    <x v="82"/>
    <x v="1034"/>
    <x v="2352"/>
    <x v="3334"/>
    <x v="3332"/>
    <x v="3005"/>
    <x v="3"/>
    <x v="3297"/>
    <x v="3336"/>
    <x v="514"/>
    <x v="0"/>
    <x v="1"/>
    <x v="2"/>
    <x v="4"/>
    <x v="29"/>
    <x v="103"/>
    <x v="7"/>
    <x v="1"/>
    <x v="108"/>
  </r>
  <r>
    <x v="0"/>
    <x v="113"/>
    <x v="465"/>
    <x v="84"/>
    <x v="88"/>
    <x v="78"/>
    <x v="22"/>
    <x v="4"/>
    <x v="734"/>
    <x v="78"/>
    <x v="377"/>
    <x v="99"/>
    <x v="3335"/>
    <x v="3333"/>
    <x v="3006"/>
    <x v="0"/>
    <x v="3298"/>
    <x v="3337"/>
    <x v="432"/>
    <x v="0"/>
    <x v="2"/>
    <x v="7"/>
    <x v="4"/>
    <x v="4"/>
    <x v="252"/>
    <x v="24"/>
    <x v="12"/>
    <x v="45"/>
  </r>
  <r>
    <x v="0"/>
    <x v="1455"/>
    <x v="252"/>
    <x v="78"/>
    <x v="129"/>
    <x v="298"/>
    <x v="0"/>
    <x v="3056"/>
    <x v="735"/>
    <x v="543"/>
    <x v="315"/>
    <x v="2353"/>
    <x v="3336"/>
    <x v="3334"/>
    <x v="3007"/>
    <x v="0"/>
    <x v="3299"/>
    <x v="3338"/>
    <x v="629"/>
    <x v="0"/>
    <x v="0"/>
    <x v="4"/>
    <x v="83"/>
    <x v="2"/>
    <x v="104"/>
    <x v="11"/>
    <x v="1"/>
    <x v="1"/>
  </r>
  <r>
    <x v="0"/>
    <x v="954"/>
    <x v="61"/>
    <x v="74"/>
    <x v="86"/>
    <x v="814"/>
    <x v="0"/>
    <x v="3057"/>
    <x v="200"/>
    <x v="51"/>
    <x v="317"/>
    <x v="2354"/>
    <x v="3337"/>
    <x v="3335"/>
    <x v="3008"/>
    <x v="0"/>
    <x v="3300"/>
    <x v="3339"/>
    <x v="482"/>
    <x v="0"/>
    <x v="1"/>
    <x v="0"/>
    <x v="70"/>
    <x v="5"/>
    <x v="215"/>
    <x v="11"/>
    <x v="1"/>
    <x v="1"/>
  </r>
  <r>
    <x v="0"/>
    <x v="1456"/>
    <x v="342"/>
    <x v="70"/>
    <x v="372"/>
    <x v="450"/>
    <x v="168"/>
    <x v="3058"/>
    <x v="736"/>
    <x v="526"/>
    <x v="1117"/>
    <x v="2355"/>
    <x v="3338"/>
    <x v="3336"/>
    <x v="3009"/>
    <x v="1"/>
    <x v="3301"/>
    <x v="3340"/>
    <x v="402"/>
    <x v="3"/>
    <x v="10"/>
    <x v="4"/>
    <x v="83"/>
    <x v="19"/>
    <x v="601"/>
    <x v="1"/>
    <x v="3"/>
    <x v="1"/>
  </r>
  <r>
    <x v="0"/>
    <x v="1114"/>
    <x v="399"/>
    <x v="139"/>
    <x v="244"/>
    <x v="386"/>
    <x v="0"/>
    <x v="3059"/>
    <x v="26"/>
    <x v="154"/>
    <x v="226"/>
    <x v="2356"/>
    <x v="3339"/>
    <x v="3337"/>
    <x v="3010"/>
    <x v="4"/>
    <x v="3302"/>
    <x v="3341"/>
    <x v="386"/>
    <x v="0"/>
    <x v="0"/>
    <x v="4"/>
    <x v="83"/>
    <x v="23"/>
    <x v="30"/>
    <x v="19"/>
    <x v="3"/>
    <x v="1"/>
  </r>
  <r>
    <x v="0"/>
    <x v="428"/>
    <x v="324"/>
    <x v="27"/>
    <x v="233"/>
    <x v="125"/>
    <x v="0"/>
    <x v="3060"/>
    <x v="70"/>
    <x v="84"/>
    <x v="1977"/>
    <x v="2357"/>
    <x v="3340"/>
    <x v="3338"/>
    <x v="1957"/>
    <x v="1"/>
    <x v="3303"/>
    <x v="3342"/>
    <x v="558"/>
    <x v="0"/>
    <x v="8"/>
    <x v="4"/>
    <x v="83"/>
    <x v="20"/>
    <x v="618"/>
    <x v="4"/>
    <x v="3"/>
    <x v="483"/>
  </r>
  <r>
    <x v="0"/>
    <x v="1457"/>
    <x v="145"/>
    <x v="59"/>
    <x v="106"/>
    <x v="620"/>
    <x v="388"/>
    <x v="3061"/>
    <x v="105"/>
    <x v="704"/>
    <x v="1644"/>
    <x v="1212"/>
    <x v="3341"/>
    <x v="3339"/>
    <x v="3011"/>
    <x v="3"/>
    <x v="3304"/>
    <x v="3343"/>
    <x v="549"/>
    <x v="0"/>
    <x v="0"/>
    <x v="0"/>
    <x v="83"/>
    <x v="5"/>
    <x v="439"/>
    <x v="13"/>
    <x v="3"/>
    <x v="35"/>
  </r>
  <r>
    <x v="0"/>
    <x v="815"/>
    <x v="145"/>
    <x v="18"/>
    <x v="89"/>
    <x v="486"/>
    <x v="15"/>
    <x v="3062"/>
    <x v="239"/>
    <x v="212"/>
    <x v="1978"/>
    <x v="723"/>
    <x v="3342"/>
    <x v="3340"/>
    <x v="3012"/>
    <x v="5"/>
    <x v="3305"/>
    <x v="3344"/>
    <x v="546"/>
    <x v="0"/>
    <x v="1"/>
    <x v="4"/>
    <x v="270"/>
    <x v="5"/>
    <x v="434"/>
    <x v="13"/>
    <x v="1"/>
    <x v="1"/>
  </r>
  <r>
    <x v="0"/>
    <x v="982"/>
    <x v="362"/>
    <x v="80"/>
    <x v="125"/>
    <x v="855"/>
    <x v="21"/>
    <x v="3063"/>
    <x v="113"/>
    <x v="298"/>
    <x v="680"/>
    <x v="2358"/>
    <x v="3343"/>
    <x v="3341"/>
    <x v="3013"/>
    <x v="4"/>
    <x v="3306"/>
    <x v="3345"/>
    <x v="705"/>
    <x v="0"/>
    <x v="1"/>
    <x v="0"/>
    <x v="83"/>
    <x v="1"/>
    <x v="30"/>
    <x v="8"/>
    <x v="1"/>
    <x v="602"/>
  </r>
  <r>
    <x v="0"/>
    <x v="1458"/>
    <x v="430"/>
    <x v="11"/>
    <x v="80"/>
    <x v="850"/>
    <x v="0"/>
    <x v="3064"/>
    <x v="455"/>
    <x v="869"/>
    <x v="1979"/>
    <x v="2359"/>
    <x v="3344"/>
    <x v="3342"/>
    <x v="1138"/>
    <x v="4"/>
    <x v="3307"/>
    <x v="3346"/>
    <x v="820"/>
    <x v="0"/>
    <x v="0"/>
    <x v="0"/>
    <x v="83"/>
    <x v="13"/>
    <x v="382"/>
    <x v="2"/>
    <x v="10"/>
    <x v="1"/>
  </r>
  <r>
    <x v="0"/>
    <x v="1459"/>
    <x v="479"/>
    <x v="42"/>
    <x v="282"/>
    <x v="251"/>
    <x v="652"/>
    <x v="4"/>
    <x v="457"/>
    <x v="1291"/>
    <x v="1980"/>
    <x v="468"/>
    <x v="3345"/>
    <x v="3343"/>
    <x v="1881"/>
    <x v="0"/>
    <x v="3308"/>
    <x v="3347"/>
    <x v="83"/>
    <x v="0"/>
    <x v="1"/>
    <x v="4"/>
    <x v="83"/>
    <x v="45"/>
    <x v="560"/>
    <x v="61"/>
    <x v="3"/>
    <x v="603"/>
  </r>
  <r>
    <x v="0"/>
    <x v="1460"/>
    <x v="378"/>
    <x v="128"/>
    <x v="176"/>
    <x v="597"/>
    <x v="295"/>
    <x v="3065"/>
    <x v="45"/>
    <x v="1292"/>
    <x v="1981"/>
    <x v="2360"/>
    <x v="3346"/>
    <x v="3344"/>
    <x v="3014"/>
    <x v="0"/>
    <x v="3309"/>
    <x v="3348"/>
    <x v="409"/>
    <x v="0"/>
    <x v="10"/>
    <x v="9"/>
    <x v="170"/>
    <x v="0"/>
    <x v="624"/>
    <x v="16"/>
    <x v="3"/>
    <x v="59"/>
  </r>
  <r>
    <x v="0"/>
    <x v="1461"/>
    <x v="189"/>
    <x v="27"/>
    <x v="182"/>
    <x v="321"/>
    <x v="80"/>
    <x v="3066"/>
    <x v="419"/>
    <x v="142"/>
    <x v="1982"/>
    <x v="2361"/>
    <x v="3347"/>
    <x v="3345"/>
    <x v="3015"/>
    <x v="1"/>
    <x v="3310"/>
    <x v="3349"/>
    <x v="417"/>
    <x v="0"/>
    <x v="0"/>
    <x v="4"/>
    <x v="83"/>
    <x v="9"/>
    <x v="4"/>
    <x v="38"/>
    <x v="3"/>
    <x v="132"/>
  </r>
  <r>
    <x v="0"/>
    <x v="1462"/>
    <x v="336"/>
    <x v="26"/>
    <x v="69"/>
    <x v="856"/>
    <x v="35"/>
    <x v="3067"/>
    <x v="527"/>
    <x v="833"/>
    <x v="1327"/>
    <x v="2362"/>
    <x v="3348"/>
    <x v="3346"/>
    <x v="3016"/>
    <x v="4"/>
    <x v="3311"/>
    <x v="3350"/>
    <x v="472"/>
    <x v="0"/>
    <x v="0"/>
    <x v="4"/>
    <x v="83"/>
    <x v="12"/>
    <x v="431"/>
    <x v="12"/>
    <x v="1"/>
    <x v="604"/>
  </r>
  <r>
    <x v="0"/>
    <x v="1463"/>
    <x v="438"/>
    <x v="77"/>
    <x v="164"/>
    <x v="857"/>
    <x v="80"/>
    <x v="3068"/>
    <x v="152"/>
    <x v="488"/>
    <x v="1983"/>
    <x v="2363"/>
    <x v="3349"/>
    <x v="3347"/>
    <x v="3017"/>
    <x v="3"/>
    <x v="3312"/>
    <x v="3351"/>
    <x v="823"/>
    <x v="0"/>
    <x v="0"/>
    <x v="4"/>
    <x v="83"/>
    <x v="1"/>
    <x v="347"/>
    <x v="21"/>
    <x v="1"/>
    <x v="605"/>
  </r>
  <r>
    <x v="0"/>
    <x v="1464"/>
    <x v="479"/>
    <x v="156"/>
    <x v="0"/>
    <x v="107"/>
    <x v="22"/>
    <x v="4"/>
    <x v="17"/>
    <x v="295"/>
    <x v="152"/>
    <x v="1370"/>
    <x v="3350"/>
    <x v="3348"/>
    <x v="3018"/>
    <x v="4"/>
    <x v="3313"/>
    <x v="3352"/>
    <x v="818"/>
    <x v="0"/>
    <x v="1"/>
    <x v="1"/>
    <x v="4"/>
    <x v="3"/>
    <x v="12"/>
    <x v="13"/>
    <x v="12"/>
    <x v="606"/>
  </r>
  <r>
    <x v="0"/>
    <x v="1465"/>
    <x v="240"/>
    <x v="56"/>
    <x v="373"/>
    <x v="1"/>
    <x v="20"/>
    <x v="3069"/>
    <x v="737"/>
    <x v="21"/>
    <x v="660"/>
    <x v="851"/>
    <x v="3351"/>
    <x v="3349"/>
    <x v="3019"/>
    <x v="4"/>
    <x v="3314"/>
    <x v="3353"/>
    <x v="167"/>
    <x v="0"/>
    <x v="0"/>
    <x v="4"/>
    <x v="83"/>
    <x v="17"/>
    <x v="249"/>
    <x v="23"/>
    <x v="3"/>
    <x v="280"/>
  </r>
  <r>
    <x v="0"/>
    <x v="603"/>
    <x v="413"/>
    <x v="70"/>
    <x v="216"/>
    <x v="217"/>
    <x v="552"/>
    <x v="3070"/>
    <x v="387"/>
    <x v="1055"/>
    <x v="381"/>
    <x v="1115"/>
    <x v="3352"/>
    <x v="3350"/>
    <x v="3020"/>
    <x v="3"/>
    <x v="3315"/>
    <x v="3354"/>
    <x v="788"/>
    <x v="0"/>
    <x v="1"/>
    <x v="4"/>
    <x v="4"/>
    <x v="20"/>
    <x v="738"/>
    <x v="22"/>
    <x v="1"/>
    <x v="607"/>
  </r>
  <r>
    <x v="1"/>
    <x v="1466"/>
    <x v="321"/>
    <x v="41"/>
    <x v="193"/>
    <x v="858"/>
    <x v="336"/>
    <x v="3071"/>
    <x v="699"/>
    <x v="1293"/>
    <x v="351"/>
    <x v="2364"/>
    <x v="3353"/>
    <x v="3351"/>
    <x v="3021"/>
    <x v="1"/>
    <x v="3316"/>
    <x v="3355"/>
    <x v="465"/>
    <x v="0"/>
    <x v="4"/>
    <x v="4"/>
    <x v="83"/>
    <x v="7"/>
    <x v="235"/>
    <x v="2"/>
    <x v="1"/>
    <x v="1"/>
  </r>
  <r>
    <x v="0"/>
    <x v="1467"/>
    <x v="424"/>
    <x v="77"/>
    <x v="360"/>
    <x v="733"/>
    <x v="94"/>
    <x v="3072"/>
    <x v="105"/>
    <x v="166"/>
    <x v="1223"/>
    <x v="1480"/>
    <x v="3354"/>
    <x v="3352"/>
    <x v="3022"/>
    <x v="2"/>
    <x v="3317"/>
    <x v="3356"/>
    <x v="788"/>
    <x v="0"/>
    <x v="0"/>
    <x v="0"/>
    <x v="83"/>
    <x v="12"/>
    <x v="476"/>
    <x v="34"/>
    <x v="1"/>
    <x v="608"/>
  </r>
  <r>
    <x v="0"/>
    <x v="592"/>
    <x v="373"/>
    <x v="42"/>
    <x v="151"/>
    <x v="417"/>
    <x v="14"/>
    <x v="3073"/>
    <x v="132"/>
    <x v="115"/>
    <x v="1256"/>
    <x v="2152"/>
    <x v="3355"/>
    <x v="3353"/>
    <x v="3023"/>
    <x v="2"/>
    <x v="3318"/>
    <x v="3357"/>
    <x v="514"/>
    <x v="0"/>
    <x v="1"/>
    <x v="0"/>
    <x v="83"/>
    <x v="5"/>
    <x v="285"/>
    <x v="8"/>
    <x v="1"/>
    <x v="1"/>
  </r>
  <r>
    <x v="0"/>
    <x v="1468"/>
    <x v="212"/>
    <x v="54"/>
    <x v="221"/>
    <x v="655"/>
    <x v="252"/>
    <x v="3074"/>
    <x v="444"/>
    <x v="462"/>
    <x v="1984"/>
    <x v="2192"/>
    <x v="3356"/>
    <x v="3354"/>
    <x v="1398"/>
    <x v="0"/>
    <x v="3319"/>
    <x v="3358"/>
    <x v="653"/>
    <x v="0"/>
    <x v="0"/>
    <x v="4"/>
    <x v="83"/>
    <x v="8"/>
    <x v="139"/>
    <x v="19"/>
    <x v="1"/>
    <x v="67"/>
  </r>
  <r>
    <x v="0"/>
    <x v="113"/>
    <x v="435"/>
    <x v="30"/>
    <x v="88"/>
    <x v="309"/>
    <x v="3"/>
    <x v="4"/>
    <x v="17"/>
    <x v="3"/>
    <x v="483"/>
    <x v="1397"/>
    <x v="3357"/>
    <x v="3355"/>
    <x v="3024"/>
    <x v="4"/>
    <x v="3320"/>
    <x v="3359"/>
    <x v="631"/>
    <x v="0"/>
    <x v="1"/>
    <x v="1"/>
    <x v="4"/>
    <x v="4"/>
    <x v="313"/>
    <x v="16"/>
    <x v="2"/>
    <x v="1"/>
  </r>
  <r>
    <x v="0"/>
    <x v="1469"/>
    <x v="396"/>
    <x v="86"/>
    <x v="217"/>
    <x v="130"/>
    <x v="279"/>
    <x v="3075"/>
    <x v="168"/>
    <x v="508"/>
    <x v="1501"/>
    <x v="752"/>
    <x v="3358"/>
    <x v="3356"/>
    <x v="3025"/>
    <x v="7"/>
    <x v="3321"/>
    <x v="3360"/>
    <x v="705"/>
    <x v="0"/>
    <x v="0"/>
    <x v="4"/>
    <x v="83"/>
    <x v="7"/>
    <x v="84"/>
    <x v="21"/>
    <x v="1"/>
    <x v="609"/>
  </r>
  <r>
    <x v="0"/>
    <x v="1470"/>
    <x v="388"/>
    <x v="58"/>
    <x v="374"/>
    <x v="433"/>
    <x v="324"/>
    <x v="3076"/>
    <x v="245"/>
    <x v="579"/>
    <x v="1985"/>
    <x v="1095"/>
    <x v="3359"/>
    <x v="3357"/>
    <x v="2360"/>
    <x v="0"/>
    <x v="3322"/>
    <x v="3361"/>
    <x v="695"/>
    <x v="0"/>
    <x v="20"/>
    <x v="10"/>
    <x v="95"/>
    <x v="14"/>
    <x v="188"/>
    <x v="4"/>
    <x v="10"/>
    <x v="377"/>
  </r>
  <r>
    <x v="0"/>
    <x v="1471"/>
    <x v="392"/>
    <x v="55"/>
    <x v="171"/>
    <x v="702"/>
    <x v="96"/>
    <x v="3077"/>
    <x v="270"/>
    <x v="1294"/>
    <x v="1986"/>
    <x v="2365"/>
    <x v="3360"/>
    <x v="3358"/>
    <x v="3026"/>
    <x v="1"/>
    <x v="4"/>
    <x v="3362"/>
    <x v="744"/>
    <x v="0"/>
    <x v="13"/>
    <x v="4"/>
    <x v="83"/>
    <x v="11"/>
    <x v="255"/>
    <x v="43"/>
    <x v="1"/>
    <x v="282"/>
  </r>
  <r>
    <x v="0"/>
    <x v="966"/>
    <x v="322"/>
    <x v="23"/>
    <x v="266"/>
    <x v="597"/>
    <x v="346"/>
    <x v="3078"/>
    <x v="738"/>
    <x v="1295"/>
    <x v="1987"/>
    <x v="2366"/>
    <x v="3361"/>
    <x v="3359"/>
    <x v="3027"/>
    <x v="0"/>
    <x v="3323"/>
    <x v="3363"/>
    <x v="915"/>
    <x v="2"/>
    <x v="7"/>
    <x v="4"/>
    <x v="271"/>
    <x v="32"/>
    <x v="624"/>
    <x v="14"/>
    <x v="3"/>
    <x v="1"/>
  </r>
  <r>
    <x v="0"/>
    <x v="535"/>
    <x v="421"/>
    <x v="55"/>
    <x v="184"/>
    <x v="1"/>
    <x v="29"/>
    <x v="4"/>
    <x v="23"/>
    <x v="74"/>
    <x v="35"/>
    <x v="2117"/>
    <x v="3362"/>
    <x v="3360"/>
    <x v="3028"/>
    <x v="4"/>
    <x v="3324"/>
    <x v="3364"/>
    <x v="755"/>
    <x v="0"/>
    <x v="0"/>
    <x v="4"/>
    <x v="134"/>
    <x v="1"/>
    <x v="10"/>
    <x v="18"/>
    <x v="1"/>
    <x v="1"/>
  </r>
  <r>
    <x v="0"/>
    <x v="1472"/>
    <x v="393"/>
    <x v="23"/>
    <x v="216"/>
    <x v="549"/>
    <x v="559"/>
    <x v="4"/>
    <x v="122"/>
    <x v="1296"/>
    <x v="1988"/>
    <x v="2367"/>
    <x v="3363"/>
    <x v="3361"/>
    <x v="3029"/>
    <x v="0"/>
    <x v="3325"/>
    <x v="3365"/>
    <x v="755"/>
    <x v="3"/>
    <x v="4"/>
    <x v="2"/>
    <x v="83"/>
    <x v="12"/>
    <x v="365"/>
    <x v="16"/>
    <x v="1"/>
    <x v="610"/>
  </r>
  <r>
    <x v="0"/>
    <x v="1473"/>
    <x v="152"/>
    <x v="45"/>
    <x v="216"/>
    <x v="539"/>
    <x v="466"/>
    <x v="4"/>
    <x v="28"/>
    <x v="1297"/>
    <x v="1989"/>
    <x v="833"/>
    <x v="3364"/>
    <x v="3362"/>
    <x v="3030"/>
    <x v="5"/>
    <x v="3326"/>
    <x v="3366"/>
    <x v="343"/>
    <x v="0"/>
    <x v="0"/>
    <x v="4"/>
    <x v="83"/>
    <x v="11"/>
    <x v="406"/>
    <x v="51"/>
    <x v="2"/>
    <x v="611"/>
  </r>
  <r>
    <x v="0"/>
    <x v="575"/>
    <x v="492"/>
    <x v="37"/>
    <x v="195"/>
    <x v="660"/>
    <x v="133"/>
    <x v="3079"/>
    <x v="213"/>
    <x v="1298"/>
    <x v="1990"/>
    <x v="2368"/>
    <x v="3365"/>
    <x v="3363"/>
    <x v="3031"/>
    <x v="4"/>
    <x v="4"/>
    <x v="3367"/>
    <x v="188"/>
    <x v="21"/>
    <x v="9"/>
    <x v="1"/>
    <x v="4"/>
    <x v="9"/>
    <x v="658"/>
    <x v="37"/>
    <x v="1"/>
    <x v="612"/>
  </r>
  <r>
    <x v="0"/>
    <x v="1474"/>
    <x v="69"/>
    <x v="78"/>
    <x v="122"/>
    <x v="386"/>
    <x v="636"/>
    <x v="3080"/>
    <x v="105"/>
    <x v="1299"/>
    <x v="684"/>
    <x v="2369"/>
    <x v="3366"/>
    <x v="3364"/>
    <x v="484"/>
    <x v="0"/>
    <x v="3327"/>
    <x v="3368"/>
    <x v="585"/>
    <x v="0"/>
    <x v="1"/>
    <x v="4"/>
    <x v="272"/>
    <x v="12"/>
    <x v="39"/>
    <x v="8"/>
    <x v="1"/>
    <x v="1"/>
  </r>
  <r>
    <x v="0"/>
    <x v="545"/>
    <x v="451"/>
    <x v="27"/>
    <x v="266"/>
    <x v="859"/>
    <x v="653"/>
    <x v="4"/>
    <x v="270"/>
    <x v="1300"/>
    <x v="1991"/>
    <x v="2370"/>
    <x v="3367"/>
    <x v="3365"/>
    <x v="3032"/>
    <x v="0"/>
    <x v="4"/>
    <x v="3369"/>
    <x v="685"/>
    <x v="0"/>
    <x v="0"/>
    <x v="0"/>
    <x v="83"/>
    <x v="6"/>
    <x v="553"/>
    <x v="25"/>
    <x v="1"/>
    <x v="613"/>
  </r>
  <r>
    <x v="0"/>
    <x v="1456"/>
    <x v="202"/>
    <x v="58"/>
    <x v="372"/>
    <x v="100"/>
    <x v="156"/>
    <x v="3081"/>
    <x v="171"/>
    <x v="289"/>
    <x v="1338"/>
    <x v="2371"/>
    <x v="3368"/>
    <x v="3366"/>
    <x v="3033"/>
    <x v="0"/>
    <x v="3328"/>
    <x v="3370"/>
    <x v="160"/>
    <x v="0"/>
    <x v="10"/>
    <x v="4"/>
    <x v="4"/>
    <x v="17"/>
    <x v="532"/>
    <x v="2"/>
    <x v="3"/>
    <x v="1"/>
  </r>
  <r>
    <x v="0"/>
    <x v="1475"/>
    <x v="429"/>
    <x v="41"/>
    <x v="106"/>
    <x v="730"/>
    <x v="0"/>
    <x v="4"/>
    <x v="54"/>
    <x v="1301"/>
    <x v="1992"/>
    <x v="2372"/>
    <x v="3369"/>
    <x v="1503"/>
    <x v="3034"/>
    <x v="4"/>
    <x v="3329"/>
    <x v="3371"/>
    <x v="96"/>
    <x v="0"/>
    <x v="1"/>
    <x v="4"/>
    <x v="4"/>
    <x v="9"/>
    <x v="824"/>
    <x v="28"/>
    <x v="1"/>
    <x v="1"/>
  </r>
  <r>
    <x v="0"/>
    <x v="1476"/>
    <x v="152"/>
    <x v="78"/>
    <x v="244"/>
    <x v="713"/>
    <x v="164"/>
    <x v="3082"/>
    <x v="277"/>
    <x v="304"/>
    <x v="682"/>
    <x v="2373"/>
    <x v="3370"/>
    <x v="3367"/>
    <x v="2759"/>
    <x v="4"/>
    <x v="3330"/>
    <x v="3372"/>
    <x v="712"/>
    <x v="0"/>
    <x v="5"/>
    <x v="4"/>
    <x v="70"/>
    <x v="30"/>
    <x v="200"/>
    <x v="12"/>
    <x v="8"/>
    <x v="307"/>
  </r>
  <r>
    <x v="0"/>
    <x v="1477"/>
    <x v="464"/>
    <x v="11"/>
    <x v="238"/>
    <x v="860"/>
    <x v="125"/>
    <x v="4"/>
    <x v="97"/>
    <x v="1302"/>
    <x v="1993"/>
    <x v="2374"/>
    <x v="3371"/>
    <x v="3368"/>
    <x v="3035"/>
    <x v="0"/>
    <x v="3331"/>
    <x v="3373"/>
    <x v="792"/>
    <x v="0"/>
    <x v="0"/>
    <x v="4"/>
    <x v="83"/>
    <x v="6"/>
    <x v="113"/>
    <x v="39"/>
    <x v="2"/>
    <x v="261"/>
  </r>
  <r>
    <x v="0"/>
    <x v="545"/>
    <x v="258"/>
    <x v="77"/>
    <x v="266"/>
    <x v="703"/>
    <x v="2"/>
    <x v="3083"/>
    <x v="301"/>
    <x v="130"/>
    <x v="1994"/>
    <x v="2375"/>
    <x v="3372"/>
    <x v="3369"/>
    <x v="3036"/>
    <x v="1"/>
    <x v="3332"/>
    <x v="3374"/>
    <x v="227"/>
    <x v="0"/>
    <x v="0"/>
    <x v="2"/>
    <x v="244"/>
    <x v="30"/>
    <x v="34"/>
    <x v="38"/>
    <x v="3"/>
    <x v="67"/>
  </r>
  <r>
    <x v="0"/>
    <x v="657"/>
    <x v="384"/>
    <x v="69"/>
    <x v="156"/>
    <x v="861"/>
    <x v="0"/>
    <x v="3084"/>
    <x v="200"/>
    <x v="159"/>
    <x v="890"/>
    <x v="2376"/>
    <x v="3373"/>
    <x v="3370"/>
    <x v="3037"/>
    <x v="5"/>
    <x v="3333"/>
    <x v="3375"/>
    <x v="737"/>
    <x v="0"/>
    <x v="0"/>
    <x v="4"/>
    <x v="244"/>
    <x v="13"/>
    <x v="30"/>
    <x v="8"/>
    <x v="3"/>
    <x v="614"/>
  </r>
  <r>
    <x v="0"/>
    <x v="1478"/>
    <x v="219"/>
    <x v="71"/>
    <x v="143"/>
    <x v="221"/>
    <x v="636"/>
    <x v="3085"/>
    <x v="170"/>
    <x v="1303"/>
    <x v="1995"/>
    <x v="2377"/>
    <x v="3374"/>
    <x v="3371"/>
    <x v="3038"/>
    <x v="1"/>
    <x v="3334"/>
    <x v="3376"/>
    <x v="671"/>
    <x v="13"/>
    <x v="14"/>
    <x v="4"/>
    <x v="244"/>
    <x v="16"/>
    <x v="338"/>
    <x v="10"/>
    <x v="1"/>
    <x v="1"/>
  </r>
  <r>
    <x v="0"/>
    <x v="1479"/>
    <x v="182"/>
    <x v="59"/>
    <x v="216"/>
    <x v="183"/>
    <x v="14"/>
    <x v="4"/>
    <x v="739"/>
    <x v="414"/>
    <x v="1996"/>
    <x v="2378"/>
    <x v="3375"/>
    <x v="3372"/>
    <x v="3039"/>
    <x v="0"/>
    <x v="3335"/>
    <x v="3377"/>
    <x v="786"/>
    <x v="3"/>
    <x v="10"/>
    <x v="1"/>
    <x v="273"/>
    <x v="11"/>
    <x v="626"/>
    <x v="11"/>
    <x v="1"/>
    <x v="43"/>
  </r>
  <r>
    <x v="0"/>
    <x v="689"/>
    <x v="178"/>
    <x v="80"/>
    <x v="285"/>
    <x v="743"/>
    <x v="6"/>
    <x v="3086"/>
    <x v="200"/>
    <x v="6"/>
    <x v="1096"/>
    <x v="2379"/>
    <x v="3376"/>
    <x v="3373"/>
    <x v="3040"/>
    <x v="0"/>
    <x v="3336"/>
    <x v="3378"/>
    <x v="451"/>
    <x v="0"/>
    <x v="0"/>
    <x v="4"/>
    <x v="170"/>
    <x v="12"/>
    <x v="37"/>
    <x v="32"/>
    <x v="1"/>
    <x v="1"/>
  </r>
  <r>
    <x v="0"/>
    <x v="1480"/>
    <x v="153"/>
    <x v="50"/>
    <x v="0"/>
    <x v="314"/>
    <x v="0"/>
    <x v="3087"/>
    <x v="429"/>
    <x v="544"/>
    <x v="1918"/>
    <x v="2380"/>
    <x v="3377"/>
    <x v="3374"/>
    <x v="3041"/>
    <x v="0"/>
    <x v="3337"/>
    <x v="3379"/>
    <x v="618"/>
    <x v="0"/>
    <x v="0"/>
    <x v="4"/>
    <x v="70"/>
    <x v="1"/>
    <x v="500"/>
    <x v="28"/>
    <x v="1"/>
    <x v="1"/>
  </r>
  <r>
    <x v="0"/>
    <x v="1120"/>
    <x v="504"/>
    <x v="7"/>
    <x v="170"/>
    <x v="402"/>
    <x v="22"/>
    <x v="3088"/>
    <x v="270"/>
    <x v="78"/>
    <x v="774"/>
    <x v="2381"/>
    <x v="3378"/>
    <x v="3375"/>
    <x v="3042"/>
    <x v="0"/>
    <x v="3338"/>
    <x v="3380"/>
    <x v="414"/>
    <x v="0"/>
    <x v="1"/>
    <x v="0"/>
    <x v="274"/>
    <x v="0"/>
    <x v="88"/>
    <x v="11"/>
    <x v="1"/>
    <x v="85"/>
  </r>
  <r>
    <x v="0"/>
    <x v="982"/>
    <x v="310"/>
    <x v="11"/>
    <x v="125"/>
    <x v="2"/>
    <x v="93"/>
    <x v="3089"/>
    <x v="17"/>
    <x v="165"/>
    <x v="891"/>
    <x v="1828"/>
    <x v="3379"/>
    <x v="3376"/>
    <x v="3043"/>
    <x v="3"/>
    <x v="3339"/>
    <x v="3381"/>
    <x v="679"/>
    <x v="0"/>
    <x v="0"/>
    <x v="4"/>
    <x v="4"/>
    <x v="12"/>
    <x v="512"/>
    <x v="21"/>
    <x v="1"/>
    <x v="103"/>
  </r>
  <r>
    <x v="0"/>
    <x v="1481"/>
    <x v="435"/>
    <x v="56"/>
    <x v="110"/>
    <x v="488"/>
    <x v="114"/>
    <x v="3090"/>
    <x v="105"/>
    <x v="1304"/>
    <x v="971"/>
    <x v="2382"/>
    <x v="3380"/>
    <x v="3377"/>
    <x v="380"/>
    <x v="0"/>
    <x v="3340"/>
    <x v="3382"/>
    <x v="666"/>
    <x v="0"/>
    <x v="1"/>
    <x v="4"/>
    <x v="244"/>
    <x v="31"/>
    <x v="280"/>
    <x v="19"/>
    <x v="3"/>
    <x v="567"/>
  </r>
  <r>
    <x v="0"/>
    <x v="796"/>
    <x v="238"/>
    <x v="72"/>
    <x v="304"/>
    <x v="826"/>
    <x v="84"/>
    <x v="3091"/>
    <x v="171"/>
    <x v="147"/>
    <x v="401"/>
    <x v="2383"/>
    <x v="3381"/>
    <x v="3378"/>
    <x v="3007"/>
    <x v="1"/>
    <x v="3341"/>
    <x v="3383"/>
    <x v="178"/>
    <x v="0"/>
    <x v="0"/>
    <x v="4"/>
    <x v="244"/>
    <x v="19"/>
    <x v="270"/>
    <x v="13"/>
    <x v="3"/>
    <x v="103"/>
  </r>
  <r>
    <x v="0"/>
    <x v="958"/>
    <x v="435"/>
    <x v="58"/>
    <x v="326"/>
    <x v="457"/>
    <x v="117"/>
    <x v="3092"/>
    <x v="334"/>
    <x v="1305"/>
    <x v="1997"/>
    <x v="1069"/>
    <x v="3382"/>
    <x v="3379"/>
    <x v="2075"/>
    <x v="3"/>
    <x v="3342"/>
    <x v="3384"/>
    <x v="536"/>
    <x v="0"/>
    <x v="4"/>
    <x v="4"/>
    <x v="244"/>
    <x v="19"/>
    <x v="367"/>
    <x v="19"/>
    <x v="3"/>
    <x v="1"/>
  </r>
  <r>
    <x v="0"/>
    <x v="1482"/>
    <x v="311"/>
    <x v="55"/>
    <x v="174"/>
    <x v="724"/>
    <x v="181"/>
    <x v="3093"/>
    <x v="70"/>
    <x v="340"/>
    <x v="1284"/>
    <x v="2384"/>
    <x v="3383"/>
    <x v="3380"/>
    <x v="3044"/>
    <x v="4"/>
    <x v="3343"/>
    <x v="3385"/>
    <x v="822"/>
    <x v="0"/>
    <x v="0"/>
    <x v="0"/>
    <x v="244"/>
    <x v="8"/>
    <x v="664"/>
    <x v="69"/>
    <x v="3"/>
    <x v="615"/>
  </r>
  <r>
    <x v="0"/>
    <x v="1483"/>
    <x v="489"/>
    <x v="34"/>
    <x v="0"/>
    <x v="251"/>
    <x v="654"/>
    <x v="3094"/>
    <x v="17"/>
    <x v="1306"/>
    <x v="1998"/>
    <x v="2385"/>
    <x v="3384"/>
    <x v="3381"/>
    <x v="725"/>
    <x v="1"/>
    <x v="3344"/>
    <x v="3386"/>
    <x v="631"/>
    <x v="0"/>
    <x v="0"/>
    <x v="2"/>
    <x v="244"/>
    <x v="14"/>
    <x v="662"/>
    <x v="8"/>
    <x v="2"/>
    <x v="616"/>
  </r>
  <r>
    <x v="0"/>
    <x v="1230"/>
    <x v="203"/>
    <x v="80"/>
    <x v="320"/>
    <x v="232"/>
    <x v="6"/>
    <x v="3095"/>
    <x v="314"/>
    <x v="6"/>
    <x v="34"/>
    <x v="294"/>
    <x v="3385"/>
    <x v="3382"/>
    <x v="3045"/>
    <x v="5"/>
    <x v="3345"/>
    <x v="3387"/>
    <x v="170"/>
    <x v="0"/>
    <x v="0"/>
    <x v="4"/>
    <x v="83"/>
    <x v="0"/>
    <x v="28"/>
    <x v="5"/>
    <x v="3"/>
    <x v="1"/>
  </r>
  <r>
    <x v="0"/>
    <x v="327"/>
    <x v="359"/>
    <x v="52"/>
    <x v="202"/>
    <x v="107"/>
    <x v="25"/>
    <x v="3096"/>
    <x v="379"/>
    <x v="30"/>
    <x v="432"/>
    <x v="2028"/>
    <x v="3386"/>
    <x v="3383"/>
    <x v="3046"/>
    <x v="0"/>
    <x v="3346"/>
    <x v="3388"/>
    <x v="581"/>
    <x v="0"/>
    <x v="0"/>
    <x v="0"/>
    <x v="4"/>
    <x v="17"/>
    <x v="431"/>
    <x v="34"/>
    <x v="3"/>
    <x v="617"/>
  </r>
  <r>
    <x v="0"/>
    <x v="1484"/>
    <x v="428"/>
    <x v="33"/>
    <x v="180"/>
    <x v="79"/>
    <x v="655"/>
    <x v="3097"/>
    <x v="733"/>
    <x v="1307"/>
    <x v="1999"/>
    <x v="2386"/>
    <x v="3387"/>
    <x v="3384"/>
    <x v="3047"/>
    <x v="0"/>
    <x v="3347"/>
    <x v="3389"/>
    <x v="721"/>
    <x v="3"/>
    <x v="10"/>
    <x v="1"/>
    <x v="95"/>
    <x v="18"/>
    <x v="608"/>
    <x v="8"/>
    <x v="2"/>
    <x v="285"/>
  </r>
  <r>
    <x v="0"/>
    <x v="790"/>
    <x v="395"/>
    <x v="41"/>
    <x v="303"/>
    <x v="528"/>
    <x v="213"/>
    <x v="3098"/>
    <x v="740"/>
    <x v="1059"/>
    <x v="2000"/>
    <x v="2387"/>
    <x v="3388"/>
    <x v="3385"/>
    <x v="3048"/>
    <x v="0"/>
    <x v="3348"/>
    <x v="3390"/>
    <x v="549"/>
    <x v="0"/>
    <x v="1"/>
    <x v="4"/>
    <x v="244"/>
    <x v="17"/>
    <x v="524"/>
    <x v="22"/>
    <x v="1"/>
    <x v="1"/>
  </r>
  <r>
    <x v="0"/>
    <x v="1485"/>
    <x v="169"/>
    <x v="59"/>
    <x v="188"/>
    <x v="188"/>
    <x v="15"/>
    <x v="4"/>
    <x v="125"/>
    <x v="212"/>
    <x v="2001"/>
    <x v="595"/>
    <x v="3389"/>
    <x v="3386"/>
    <x v="3049"/>
    <x v="3"/>
    <x v="4"/>
    <x v="3391"/>
    <x v="416"/>
    <x v="0"/>
    <x v="1"/>
    <x v="1"/>
    <x v="244"/>
    <x v="3"/>
    <x v="825"/>
    <x v="30"/>
    <x v="2"/>
    <x v="618"/>
  </r>
  <r>
    <x v="0"/>
    <x v="721"/>
    <x v="133"/>
    <x v="69"/>
    <x v="290"/>
    <x v="384"/>
    <x v="22"/>
    <x v="2905"/>
    <x v="168"/>
    <x v="202"/>
    <x v="1279"/>
    <x v="2226"/>
    <x v="3137"/>
    <x v="3133"/>
    <x v="2844"/>
    <x v="0"/>
    <x v="3107"/>
    <x v="3139"/>
    <x v="907"/>
    <x v="0"/>
    <x v="8"/>
    <x v="4"/>
    <x v="170"/>
    <x v="14"/>
    <x v="413"/>
    <x v="0"/>
    <x v="1"/>
    <x v="45"/>
  </r>
  <r>
    <x v="0"/>
    <x v="1486"/>
    <x v="279"/>
    <x v="18"/>
    <x v="136"/>
    <x v="699"/>
    <x v="22"/>
    <x v="3099"/>
    <x v="270"/>
    <x v="1138"/>
    <x v="2002"/>
    <x v="1322"/>
    <x v="3390"/>
    <x v="3387"/>
    <x v="3050"/>
    <x v="3"/>
    <x v="3349"/>
    <x v="3392"/>
    <x v="465"/>
    <x v="0"/>
    <x v="1"/>
    <x v="4"/>
    <x v="83"/>
    <x v="10"/>
    <x v="826"/>
    <x v="10"/>
    <x v="1"/>
    <x v="1"/>
  </r>
  <r>
    <x v="0"/>
    <x v="1487"/>
    <x v="489"/>
    <x v="54"/>
    <x v="131"/>
    <x v="221"/>
    <x v="656"/>
    <x v="4"/>
    <x v="28"/>
    <x v="1308"/>
    <x v="2003"/>
    <x v="2388"/>
    <x v="3391"/>
    <x v="3388"/>
    <x v="2327"/>
    <x v="3"/>
    <x v="3350"/>
    <x v="3393"/>
    <x v="854"/>
    <x v="0"/>
    <x v="48"/>
    <x v="1"/>
    <x v="244"/>
    <x v="3"/>
    <x v="638"/>
    <x v="23"/>
    <x v="2"/>
    <x v="264"/>
  </r>
  <r>
    <x v="0"/>
    <x v="1488"/>
    <x v="441"/>
    <x v="9"/>
    <x v="78"/>
    <x v="57"/>
    <x v="657"/>
    <x v="3100"/>
    <x v="215"/>
    <x v="1309"/>
    <x v="2004"/>
    <x v="2389"/>
    <x v="3392"/>
    <x v="3389"/>
    <x v="225"/>
    <x v="3"/>
    <x v="3351"/>
    <x v="3394"/>
    <x v="820"/>
    <x v="8"/>
    <x v="0"/>
    <x v="1"/>
    <x v="224"/>
    <x v="1"/>
    <x v="197"/>
    <x v="28"/>
    <x v="2"/>
    <x v="619"/>
  </r>
  <r>
    <x v="0"/>
    <x v="1489"/>
    <x v="354"/>
    <x v="71"/>
    <x v="123"/>
    <x v="278"/>
    <x v="168"/>
    <x v="3101"/>
    <x v="741"/>
    <x v="526"/>
    <x v="1807"/>
    <x v="2390"/>
    <x v="3393"/>
    <x v="3390"/>
    <x v="3051"/>
    <x v="0"/>
    <x v="3352"/>
    <x v="3395"/>
    <x v="469"/>
    <x v="3"/>
    <x v="10"/>
    <x v="0"/>
    <x v="275"/>
    <x v="1"/>
    <x v="512"/>
    <x v="25"/>
    <x v="3"/>
    <x v="57"/>
  </r>
  <r>
    <x v="0"/>
    <x v="259"/>
    <x v="304"/>
    <x v="80"/>
    <x v="173"/>
    <x v="410"/>
    <x v="156"/>
    <x v="4"/>
    <x v="742"/>
    <x v="1008"/>
    <x v="573"/>
    <x v="596"/>
    <x v="3394"/>
    <x v="3391"/>
    <x v="3052"/>
    <x v="4"/>
    <x v="3353"/>
    <x v="3396"/>
    <x v="212"/>
    <x v="0"/>
    <x v="0"/>
    <x v="0"/>
    <x v="176"/>
    <x v="0"/>
    <x v="368"/>
    <x v="20"/>
    <x v="3"/>
    <x v="1"/>
  </r>
  <r>
    <x v="0"/>
    <x v="1490"/>
    <x v="197"/>
    <x v="86"/>
    <x v="80"/>
    <x v="823"/>
    <x v="190"/>
    <x v="4"/>
    <x v="306"/>
    <x v="1310"/>
    <x v="2005"/>
    <x v="2391"/>
    <x v="3395"/>
    <x v="480"/>
    <x v="2203"/>
    <x v="0"/>
    <x v="3354"/>
    <x v="3397"/>
    <x v="793"/>
    <x v="15"/>
    <x v="8"/>
    <x v="1"/>
    <x v="240"/>
    <x v="8"/>
    <x v="38"/>
    <x v="32"/>
    <x v="1"/>
    <x v="68"/>
  </r>
  <r>
    <x v="0"/>
    <x v="1099"/>
    <x v="268"/>
    <x v="34"/>
    <x v="0"/>
    <x v="572"/>
    <x v="11"/>
    <x v="3102"/>
    <x v="381"/>
    <x v="63"/>
    <x v="1158"/>
    <x v="2392"/>
    <x v="3396"/>
    <x v="3392"/>
    <x v="3053"/>
    <x v="4"/>
    <x v="3355"/>
    <x v="3398"/>
    <x v="546"/>
    <x v="0"/>
    <x v="10"/>
    <x v="4"/>
    <x v="222"/>
    <x v="6"/>
    <x v="379"/>
    <x v="15"/>
    <x v="1"/>
    <x v="1"/>
  </r>
  <r>
    <x v="0"/>
    <x v="1491"/>
    <x v="400"/>
    <x v="55"/>
    <x v="69"/>
    <x v="97"/>
    <x v="160"/>
    <x v="3103"/>
    <x v="28"/>
    <x v="444"/>
    <x v="483"/>
    <x v="122"/>
    <x v="3397"/>
    <x v="3393"/>
    <x v="2087"/>
    <x v="1"/>
    <x v="3356"/>
    <x v="3399"/>
    <x v="288"/>
    <x v="0"/>
    <x v="1"/>
    <x v="4"/>
    <x v="275"/>
    <x v="0"/>
    <x v="313"/>
    <x v="13"/>
    <x v="1"/>
    <x v="1"/>
  </r>
  <r>
    <x v="0"/>
    <x v="6"/>
    <x v="6"/>
    <x v="6"/>
    <x v="0"/>
    <x v="6"/>
    <x v="6"/>
    <x v="6"/>
    <x v="6"/>
    <x v="6"/>
    <x v="6"/>
    <x v="6"/>
    <x v="6"/>
    <x v="3394"/>
    <x v="6"/>
    <x v="0"/>
    <x v="6"/>
    <x v="6"/>
    <x v="6"/>
    <x v="0"/>
    <x v="0"/>
    <x v="0"/>
    <x v="6"/>
    <x v="1"/>
    <x v="6"/>
    <x v="5"/>
    <x v="1"/>
    <x v="1"/>
  </r>
  <r>
    <x v="0"/>
    <x v="1492"/>
    <x v="347"/>
    <x v="7"/>
    <x v="0"/>
    <x v="460"/>
    <x v="486"/>
    <x v="3104"/>
    <x v="20"/>
    <x v="1311"/>
    <x v="984"/>
    <x v="2393"/>
    <x v="3398"/>
    <x v="3395"/>
    <x v="3054"/>
    <x v="0"/>
    <x v="3357"/>
    <x v="3400"/>
    <x v="133"/>
    <x v="0"/>
    <x v="0"/>
    <x v="0"/>
    <x v="244"/>
    <x v="15"/>
    <x v="545"/>
    <x v="58"/>
    <x v="15"/>
    <x v="620"/>
  </r>
  <r>
    <x v="0"/>
    <x v="689"/>
    <x v="381"/>
    <x v="45"/>
    <x v="285"/>
    <x v="648"/>
    <x v="6"/>
    <x v="3105"/>
    <x v="105"/>
    <x v="6"/>
    <x v="1859"/>
    <x v="2394"/>
    <x v="3399"/>
    <x v="3396"/>
    <x v="3055"/>
    <x v="0"/>
    <x v="3358"/>
    <x v="3401"/>
    <x v="916"/>
    <x v="0"/>
    <x v="0"/>
    <x v="0"/>
    <x v="244"/>
    <x v="1"/>
    <x v="13"/>
    <x v="7"/>
    <x v="3"/>
    <x v="7"/>
  </r>
  <r>
    <x v="0"/>
    <x v="1493"/>
    <x v="413"/>
    <x v="27"/>
    <x v="57"/>
    <x v="587"/>
    <x v="226"/>
    <x v="4"/>
    <x v="3"/>
    <x v="1312"/>
    <x v="2006"/>
    <x v="2395"/>
    <x v="3400"/>
    <x v="3397"/>
    <x v="3056"/>
    <x v="0"/>
    <x v="3359"/>
    <x v="3402"/>
    <x v="654"/>
    <x v="0"/>
    <x v="4"/>
    <x v="4"/>
    <x v="244"/>
    <x v="2"/>
    <x v="62"/>
    <x v="37"/>
    <x v="3"/>
    <x v="1"/>
  </r>
  <r>
    <x v="0"/>
    <x v="1494"/>
    <x v="293"/>
    <x v="60"/>
    <x v="228"/>
    <x v="424"/>
    <x v="356"/>
    <x v="3106"/>
    <x v="2"/>
    <x v="643"/>
    <x v="2007"/>
    <x v="2396"/>
    <x v="3401"/>
    <x v="3398"/>
    <x v="3057"/>
    <x v="4"/>
    <x v="3360"/>
    <x v="3403"/>
    <x v="355"/>
    <x v="0"/>
    <x v="1"/>
    <x v="16"/>
    <x v="270"/>
    <x v="49"/>
    <x v="235"/>
    <x v="10"/>
    <x v="1"/>
    <x v="1"/>
  </r>
  <r>
    <x v="0"/>
    <x v="420"/>
    <x v="132"/>
    <x v="145"/>
    <x v="0"/>
    <x v="23"/>
    <x v="21"/>
    <x v="3107"/>
    <x v="152"/>
    <x v="210"/>
    <x v="11"/>
    <x v="245"/>
    <x v="3402"/>
    <x v="3399"/>
    <x v="3058"/>
    <x v="1"/>
    <x v="3361"/>
    <x v="3404"/>
    <x v="917"/>
    <x v="0"/>
    <x v="0"/>
    <x v="4"/>
    <x v="224"/>
    <x v="36"/>
    <x v="10"/>
    <x v="76"/>
    <x v="3"/>
    <x v="132"/>
  </r>
  <r>
    <x v="0"/>
    <x v="451"/>
    <x v="359"/>
    <x v="54"/>
    <x v="242"/>
    <x v="734"/>
    <x v="658"/>
    <x v="3108"/>
    <x v="484"/>
    <x v="1313"/>
    <x v="2008"/>
    <x v="2397"/>
    <x v="3403"/>
    <x v="3400"/>
    <x v="3059"/>
    <x v="0"/>
    <x v="3362"/>
    <x v="3405"/>
    <x v="528"/>
    <x v="0"/>
    <x v="0"/>
    <x v="4"/>
    <x v="213"/>
    <x v="45"/>
    <x v="216"/>
    <x v="9"/>
    <x v="3"/>
    <x v="1"/>
  </r>
  <r>
    <x v="0"/>
    <x v="17"/>
    <x v="506"/>
    <x v="54"/>
    <x v="11"/>
    <x v="21"/>
    <x v="29"/>
    <x v="3109"/>
    <x v="105"/>
    <x v="58"/>
    <x v="113"/>
    <x v="778"/>
    <x v="3404"/>
    <x v="3401"/>
    <x v="3060"/>
    <x v="19"/>
    <x v="3363"/>
    <x v="3406"/>
    <x v="803"/>
    <x v="0"/>
    <x v="0"/>
    <x v="0"/>
    <x v="244"/>
    <x v="0"/>
    <x v="53"/>
    <x v="16"/>
    <x v="1"/>
    <x v="13"/>
  </r>
  <r>
    <x v="0"/>
    <x v="1251"/>
    <x v="383"/>
    <x v="61"/>
    <x v="356"/>
    <x v="660"/>
    <x v="0"/>
    <x v="3110"/>
    <x v="484"/>
    <x v="185"/>
    <x v="2009"/>
    <x v="2398"/>
    <x v="3405"/>
    <x v="3402"/>
    <x v="3061"/>
    <x v="1"/>
    <x v="3364"/>
    <x v="3407"/>
    <x v="187"/>
    <x v="0"/>
    <x v="3"/>
    <x v="4"/>
    <x v="222"/>
    <x v="27"/>
    <x v="332"/>
    <x v="32"/>
    <x v="3"/>
    <x v="1"/>
  </r>
  <r>
    <x v="0"/>
    <x v="151"/>
    <x v="7"/>
    <x v="47"/>
    <x v="0"/>
    <x v="21"/>
    <x v="30"/>
    <x v="3111"/>
    <x v="200"/>
    <x v="50"/>
    <x v="2010"/>
    <x v="642"/>
    <x v="3406"/>
    <x v="3403"/>
    <x v="3062"/>
    <x v="1"/>
    <x v="3365"/>
    <x v="3408"/>
    <x v="481"/>
    <x v="0"/>
    <x v="0"/>
    <x v="4"/>
    <x v="222"/>
    <x v="3"/>
    <x v="28"/>
    <x v="9"/>
    <x v="1"/>
    <x v="39"/>
  </r>
  <r>
    <x v="0"/>
    <x v="88"/>
    <x v="321"/>
    <x v="45"/>
    <x v="375"/>
    <x v="49"/>
    <x v="0"/>
    <x v="3112"/>
    <x v="236"/>
    <x v="1314"/>
    <x v="2011"/>
    <x v="2399"/>
    <x v="3407"/>
    <x v="2205"/>
    <x v="3063"/>
    <x v="0"/>
    <x v="3366"/>
    <x v="3409"/>
    <x v="882"/>
    <x v="0"/>
    <x v="0"/>
    <x v="0"/>
    <x v="190"/>
    <x v="17"/>
    <x v="276"/>
    <x v="41"/>
    <x v="1"/>
    <x v="43"/>
  </r>
  <r>
    <x v="0"/>
    <x v="1494"/>
    <x v="243"/>
    <x v="61"/>
    <x v="228"/>
    <x v="859"/>
    <x v="367"/>
    <x v="3113"/>
    <x v="2"/>
    <x v="666"/>
    <x v="2012"/>
    <x v="2400"/>
    <x v="3408"/>
    <x v="3404"/>
    <x v="781"/>
    <x v="3"/>
    <x v="3367"/>
    <x v="3410"/>
    <x v="521"/>
    <x v="0"/>
    <x v="1"/>
    <x v="2"/>
    <x v="222"/>
    <x v="44"/>
    <x v="632"/>
    <x v="2"/>
    <x v="10"/>
    <x v="1"/>
  </r>
  <r>
    <x v="0"/>
    <x v="352"/>
    <x v="212"/>
    <x v="54"/>
    <x v="89"/>
    <x v="185"/>
    <x v="0"/>
    <x v="3114"/>
    <x v="491"/>
    <x v="121"/>
    <x v="1066"/>
    <x v="2401"/>
    <x v="3409"/>
    <x v="3405"/>
    <x v="3064"/>
    <x v="0"/>
    <x v="3368"/>
    <x v="3411"/>
    <x v="585"/>
    <x v="0"/>
    <x v="0"/>
    <x v="2"/>
    <x v="240"/>
    <x v="21"/>
    <x v="93"/>
    <x v="15"/>
    <x v="15"/>
    <x v="1"/>
  </r>
  <r>
    <x v="0"/>
    <x v="1495"/>
    <x v="202"/>
    <x v="52"/>
    <x v="131"/>
    <x v="568"/>
    <x v="17"/>
    <x v="3115"/>
    <x v="105"/>
    <x v="32"/>
    <x v="2013"/>
    <x v="2402"/>
    <x v="3410"/>
    <x v="3406"/>
    <x v="3065"/>
    <x v="7"/>
    <x v="3369"/>
    <x v="3412"/>
    <x v="352"/>
    <x v="0"/>
    <x v="8"/>
    <x v="0"/>
    <x v="4"/>
    <x v="8"/>
    <x v="808"/>
    <x v="13"/>
    <x v="1"/>
    <x v="1"/>
  </r>
  <r>
    <x v="0"/>
    <x v="1316"/>
    <x v="460"/>
    <x v="52"/>
    <x v="139"/>
    <x v="99"/>
    <x v="0"/>
    <x v="3116"/>
    <x v="200"/>
    <x v="346"/>
    <x v="1279"/>
    <x v="909"/>
    <x v="3411"/>
    <x v="3407"/>
    <x v="3066"/>
    <x v="8"/>
    <x v="3370"/>
    <x v="3413"/>
    <x v="247"/>
    <x v="0"/>
    <x v="0"/>
    <x v="0"/>
    <x v="276"/>
    <x v="10"/>
    <x v="413"/>
    <x v="20"/>
    <x v="3"/>
    <x v="1"/>
  </r>
  <r>
    <x v="0"/>
    <x v="35"/>
    <x v="48"/>
    <x v="14"/>
    <x v="16"/>
    <x v="862"/>
    <x v="19"/>
    <x v="50"/>
    <x v="17"/>
    <x v="20"/>
    <x v="44"/>
    <x v="45"/>
    <x v="50"/>
    <x v="3408"/>
    <x v="3067"/>
    <x v="2"/>
    <x v="50"/>
    <x v="50"/>
    <x v="50"/>
    <x v="0"/>
    <x v="5"/>
    <x v="0"/>
    <x v="21"/>
    <x v="9"/>
    <x v="34"/>
    <x v="11"/>
    <x v="1"/>
    <x v="32"/>
  </r>
  <r>
    <x v="1"/>
    <x v="299"/>
    <x v="144"/>
    <x v="41"/>
    <x v="0"/>
    <x v="213"/>
    <x v="20"/>
    <x v="3117"/>
    <x v="406"/>
    <x v="21"/>
    <x v="2014"/>
    <x v="271"/>
    <x v="3412"/>
    <x v="3409"/>
    <x v="2424"/>
    <x v="0"/>
    <x v="3371"/>
    <x v="3414"/>
    <x v="918"/>
    <x v="0"/>
    <x v="0"/>
    <x v="2"/>
    <x v="244"/>
    <x v="12"/>
    <x v="212"/>
    <x v="7"/>
    <x v="3"/>
    <x v="1"/>
  </r>
  <r>
    <x v="0"/>
    <x v="443"/>
    <x v="168"/>
    <x v="47"/>
    <x v="240"/>
    <x v="783"/>
    <x v="13"/>
    <x v="3118"/>
    <x v="130"/>
    <x v="93"/>
    <x v="2015"/>
    <x v="2403"/>
    <x v="3413"/>
    <x v="3410"/>
    <x v="3068"/>
    <x v="1"/>
    <x v="3372"/>
    <x v="3415"/>
    <x v="524"/>
    <x v="0"/>
    <x v="4"/>
    <x v="4"/>
    <x v="222"/>
    <x v="12"/>
    <x v="463"/>
    <x v="38"/>
    <x v="1"/>
    <x v="1"/>
  </r>
  <r>
    <x v="0"/>
    <x v="423"/>
    <x v="197"/>
    <x v="27"/>
    <x v="0"/>
    <x v="6"/>
    <x v="17"/>
    <x v="3119"/>
    <x v="23"/>
    <x v="397"/>
    <x v="127"/>
    <x v="456"/>
    <x v="3414"/>
    <x v="3411"/>
    <x v="3069"/>
    <x v="0"/>
    <x v="3373"/>
    <x v="3416"/>
    <x v="492"/>
    <x v="0"/>
    <x v="0"/>
    <x v="4"/>
    <x v="222"/>
    <x v="16"/>
    <x v="47"/>
    <x v="13"/>
    <x v="3"/>
    <x v="1"/>
  </r>
  <r>
    <x v="0"/>
    <x v="790"/>
    <x v="184"/>
    <x v="69"/>
    <x v="303"/>
    <x v="720"/>
    <x v="21"/>
    <x v="2646"/>
    <x v="304"/>
    <x v="174"/>
    <x v="1349"/>
    <x v="1420"/>
    <x v="2840"/>
    <x v="2833"/>
    <x v="2608"/>
    <x v="2"/>
    <x v="2814"/>
    <x v="2840"/>
    <x v="578"/>
    <x v="0"/>
    <x v="1"/>
    <x v="4"/>
    <x v="78"/>
    <x v="21"/>
    <x v="691"/>
    <x v="12"/>
    <x v="1"/>
    <x v="388"/>
  </r>
  <r>
    <x v="0"/>
    <x v="113"/>
    <x v="390"/>
    <x v="173"/>
    <x v="88"/>
    <x v="1"/>
    <x v="41"/>
    <x v="4"/>
    <x v="168"/>
    <x v="396"/>
    <x v="569"/>
    <x v="94"/>
    <x v="3415"/>
    <x v="3412"/>
    <x v="3070"/>
    <x v="0"/>
    <x v="3374"/>
    <x v="3417"/>
    <x v="86"/>
    <x v="0"/>
    <x v="0"/>
    <x v="7"/>
    <x v="4"/>
    <x v="4"/>
    <x v="30"/>
    <x v="29"/>
    <x v="0"/>
    <x v="72"/>
  </r>
  <r>
    <x v="0"/>
    <x v="1496"/>
    <x v="356"/>
    <x v="73"/>
    <x v="80"/>
    <x v="460"/>
    <x v="0"/>
    <x v="3120"/>
    <x v="5"/>
    <x v="1001"/>
    <x v="2001"/>
    <x v="2404"/>
    <x v="3416"/>
    <x v="3413"/>
    <x v="3071"/>
    <x v="1"/>
    <x v="3375"/>
    <x v="3418"/>
    <x v="579"/>
    <x v="0"/>
    <x v="0"/>
    <x v="2"/>
    <x v="195"/>
    <x v="46"/>
    <x v="825"/>
    <x v="2"/>
    <x v="1"/>
    <x v="1"/>
  </r>
  <r>
    <x v="0"/>
    <x v="1494"/>
    <x v="378"/>
    <x v="31"/>
    <x v="228"/>
    <x v="124"/>
    <x v="17"/>
    <x v="3121"/>
    <x v="2"/>
    <x v="18"/>
    <x v="2016"/>
    <x v="153"/>
    <x v="3417"/>
    <x v="3414"/>
    <x v="3072"/>
    <x v="3"/>
    <x v="3376"/>
    <x v="3419"/>
    <x v="150"/>
    <x v="0"/>
    <x v="1"/>
    <x v="2"/>
    <x v="185"/>
    <x v="55"/>
    <x v="339"/>
    <x v="2"/>
    <x v="10"/>
    <x v="43"/>
  </r>
  <r>
    <x v="0"/>
    <x v="836"/>
    <x v="311"/>
    <x v="45"/>
    <x v="188"/>
    <x v="20"/>
    <x v="0"/>
    <x v="3122"/>
    <x v="26"/>
    <x v="407"/>
    <x v="1831"/>
    <x v="1750"/>
    <x v="3418"/>
    <x v="3415"/>
    <x v="3073"/>
    <x v="4"/>
    <x v="3377"/>
    <x v="3420"/>
    <x v="632"/>
    <x v="0"/>
    <x v="0"/>
    <x v="4"/>
    <x v="222"/>
    <x v="32"/>
    <x v="301"/>
    <x v="31"/>
    <x v="3"/>
    <x v="621"/>
  </r>
  <r>
    <x v="0"/>
    <x v="668"/>
    <x v="173"/>
    <x v="7"/>
    <x v="209"/>
    <x v="146"/>
    <x v="659"/>
    <x v="3123"/>
    <x v="513"/>
    <x v="1315"/>
    <x v="2017"/>
    <x v="2405"/>
    <x v="3419"/>
    <x v="3416"/>
    <x v="3074"/>
    <x v="0"/>
    <x v="3378"/>
    <x v="3421"/>
    <x v="703"/>
    <x v="0"/>
    <x v="1"/>
    <x v="4"/>
    <x v="209"/>
    <x v="12"/>
    <x v="571"/>
    <x v="13"/>
    <x v="1"/>
    <x v="7"/>
  </r>
  <r>
    <x v="0"/>
    <x v="1497"/>
    <x v="369"/>
    <x v="174"/>
    <x v="0"/>
    <x v="691"/>
    <x v="57"/>
    <x v="3124"/>
    <x v="743"/>
    <x v="192"/>
    <x v="2018"/>
    <x v="2406"/>
    <x v="3420"/>
    <x v="3417"/>
    <x v="3075"/>
    <x v="0"/>
    <x v="3379"/>
    <x v="3422"/>
    <x v="96"/>
    <x v="0"/>
    <x v="0"/>
    <x v="1"/>
    <x v="4"/>
    <x v="21"/>
    <x v="692"/>
    <x v="7"/>
    <x v="18"/>
    <x v="622"/>
  </r>
  <r>
    <x v="0"/>
    <x v="1498"/>
    <x v="312"/>
    <x v="71"/>
    <x v="125"/>
    <x v="764"/>
    <x v="358"/>
    <x v="3125"/>
    <x v="364"/>
    <x v="651"/>
    <x v="2019"/>
    <x v="2407"/>
    <x v="3421"/>
    <x v="3418"/>
    <x v="712"/>
    <x v="0"/>
    <x v="3380"/>
    <x v="3423"/>
    <x v="452"/>
    <x v="0"/>
    <x v="0"/>
    <x v="4"/>
    <x v="222"/>
    <x v="11"/>
    <x v="827"/>
    <x v="61"/>
    <x v="3"/>
    <x v="1"/>
  </r>
  <r>
    <x v="0"/>
    <x v="363"/>
    <x v="401"/>
    <x v="80"/>
    <x v="213"/>
    <x v="420"/>
    <x v="557"/>
    <x v="3126"/>
    <x v="125"/>
    <x v="1072"/>
    <x v="2020"/>
    <x v="840"/>
    <x v="3422"/>
    <x v="3419"/>
    <x v="2143"/>
    <x v="3"/>
    <x v="3381"/>
    <x v="3424"/>
    <x v="715"/>
    <x v="0"/>
    <x v="0"/>
    <x v="4"/>
    <x v="222"/>
    <x v="25"/>
    <x v="824"/>
    <x v="2"/>
    <x v="3"/>
    <x v="461"/>
  </r>
  <r>
    <x v="0"/>
    <x v="1095"/>
    <x v="344"/>
    <x v="56"/>
    <x v="0"/>
    <x v="507"/>
    <x v="0"/>
    <x v="3127"/>
    <x v="744"/>
    <x v="1316"/>
    <x v="2021"/>
    <x v="1846"/>
    <x v="3423"/>
    <x v="3420"/>
    <x v="2522"/>
    <x v="0"/>
    <x v="3382"/>
    <x v="3425"/>
    <x v="868"/>
    <x v="0"/>
    <x v="0"/>
    <x v="4"/>
    <x v="222"/>
    <x v="12"/>
    <x v="560"/>
    <x v="8"/>
    <x v="3"/>
    <x v="1"/>
  </r>
  <r>
    <x v="0"/>
    <x v="113"/>
    <x v="368"/>
    <x v="104"/>
    <x v="88"/>
    <x v="223"/>
    <x v="41"/>
    <x v="4"/>
    <x v="248"/>
    <x v="221"/>
    <x v="1554"/>
    <x v="2408"/>
    <x v="3424"/>
    <x v="3421"/>
    <x v="3076"/>
    <x v="0"/>
    <x v="3383"/>
    <x v="3426"/>
    <x v="40"/>
    <x v="0"/>
    <x v="0"/>
    <x v="5"/>
    <x v="277"/>
    <x v="4"/>
    <x v="13"/>
    <x v="17"/>
    <x v="8"/>
    <x v="71"/>
  </r>
  <r>
    <x v="0"/>
    <x v="1171"/>
    <x v="224"/>
    <x v="33"/>
    <x v="137"/>
    <x v="642"/>
    <x v="660"/>
    <x v="3128"/>
    <x v="539"/>
    <x v="1317"/>
    <x v="2022"/>
    <x v="1112"/>
    <x v="3425"/>
    <x v="3422"/>
    <x v="1139"/>
    <x v="3"/>
    <x v="3384"/>
    <x v="3427"/>
    <x v="258"/>
    <x v="0"/>
    <x v="0"/>
    <x v="4"/>
    <x v="222"/>
    <x v="2"/>
    <x v="189"/>
    <x v="11"/>
    <x v="1"/>
    <x v="33"/>
  </r>
  <r>
    <x v="0"/>
    <x v="631"/>
    <x v="419"/>
    <x v="54"/>
    <x v="210"/>
    <x v="99"/>
    <x v="0"/>
    <x v="3129"/>
    <x v="168"/>
    <x v="285"/>
    <x v="2023"/>
    <x v="2409"/>
    <x v="3426"/>
    <x v="3423"/>
    <x v="3077"/>
    <x v="1"/>
    <x v="3385"/>
    <x v="3428"/>
    <x v="654"/>
    <x v="0"/>
    <x v="0"/>
    <x v="4"/>
    <x v="222"/>
    <x v="15"/>
    <x v="828"/>
    <x v="9"/>
    <x v="1"/>
    <x v="591"/>
  </r>
  <r>
    <x v="0"/>
    <x v="2"/>
    <x v="30"/>
    <x v="14"/>
    <x v="0"/>
    <x v="12"/>
    <x v="23"/>
    <x v="30"/>
    <x v="2"/>
    <x v="24"/>
    <x v="27"/>
    <x v="12"/>
    <x v="30"/>
    <x v="3424"/>
    <x v="29"/>
    <x v="0"/>
    <x v="30"/>
    <x v="30"/>
    <x v="30"/>
    <x v="0"/>
    <x v="1"/>
    <x v="0"/>
    <x v="9"/>
    <x v="3"/>
    <x v="22"/>
    <x v="6"/>
    <x v="1"/>
    <x v="22"/>
  </r>
  <r>
    <x v="1"/>
    <x v="1095"/>
    <x v="242"/>
    <x v="72"/>
    <x v="0"/>
    <x v="498"/>
    <x v="0"/>
    <x v="3130"/>
    <x v="429"/>
    <x v="1316"/>
    <x v="2024"/>
    <x v="2410"/>
    <x v="3427"/>
    <x v="3425"/>
    <x v="145"/>
    <x v="0"/>
    <x v="3386"/>
    <x v="3429"/>
    <x v="919"/>
    <x v="0"/>
    <x v="0"/>
    <x v="4"/>
    <x v="222"/>
    <x v="17"/>
    <x v="752"/>
    <x v="19"/>
    <x v="3"/>
    <x v="1"/>
  </r>
  <r>
    <x v="0"/>
    <x v="1499"/>
    <x v="385"/>
    <x v="139"/>
    <x v="0"/>
    <x v="549"/>
    <x v="661"/>
    <x v="4"/>
    <x v="429"/>
    <x v="1318"/>
    <x v="2025"/>
    <x v="2411"/>
    <x v="3428"/>
    <x v="3426"/>
    <x v="3078"/>
    <x v="0"/>
    <x v="3387"/>
    <x v="3430"/>
    <x v="732"/>
    <x v="0"/>
    <x v="0"/>
    <x v="2"/>
    <x v="278"/>
    <x v="33"/>
    <x v="438"/>
    <x v="54"/>
    <x v="2"/>
    <x v="623"/>
  </r>
  <r>
    <x v="0"/>
    <x v="607"/>
    <x v="440"/>
    <x v="11"/>
    <x v="16"/>
    <x v="729"/>
    <x v="538"/>
    <x v="3131"/>
    <x v="200"/>
    <x v="1319"/>
    <x v="2026"/>
    <x v="2412"/>
    <x v="3429"/>
    <x v="3427"/>
    <x v="2382"/>
    <x v="1"/>
    <x v="3388"/>
    <x v="3431"/>
    <x v="84"/>
    <x v="0"/>
    <x v="0"/>
    <x v="4"/>
    <x v="222"/>
    <x v="0"/>
    <x v="829"/>
    <x v="15"/>
    <x v="3"/>
    <x v="7"/>
  </r>
  <r>
    <x v="0"/>
    <x v="1500"/>
    <x v="202"/>
    <x v="7"/>
    <x v="31"/>
    <x v="223"/>
    <x v="57"/>
    <x v="3132"/>
    <x v="498"/>
    <x v="192"/>
    <x v="340"/>
    <x v="581"/>
    <x v="3430"/>
    <x v="3428"/>
    <x v="3079"/>
    <x v="1"/>
    <x v="3389"/>
    <x v="3432"/>
    <x v="241"/>
    <x v="0"/>
    <x v="0"/>
    <x v="0"/>
    <x v="244"/>
    <x v="0"/>
    <x v="13"/>
    <x v="1"/>
    <x v="1"/>
    <x v="1"/>
  </r>
  <r>
    <x v="0"/>
    <x v="601"/>
    <x v="308"/>
    <x v="33"/>
    <x v="255"/>
    <x v="499"/>
    <x v="266"/>
    <x v="3133"/>
    <x v="528"/>
    <x v="483"/>
    <x v="2027"/>
    <x v="1510"/>
    <x v="3431"/>
    <x v="3429"/>
    <x v="523"/>
    <x v="0"/>
    <x v="3390"/>
    <x v="3433"/>
    <x v="167"/>
    <x v="0"/>
    <x v="0"/>
    <x v="4"/>
    <x v="222"/>
    <x v="30"/>
    <x v="137"/>
    <x v="5"/>
    <x v="3"/>
    <x v="1"/>
  </r>
  <r>
    <x v="0"/>
    <x v="1102"/>
    <x v="184"/>
    <x v="38"/>
    <x v="95"/>
    <x v="314"/>
    <x v="442"/>
    <x v="3134"/>
    <x v="419"/>
    <x v="802"/>
    <x v="586"/>
    <x v="2413"/>
    <x v="3432"/>
    <x v="3430"/>
    <x v="3080"/>
    <x v="1"/>
    <x v="3391"/>
    <x v="3434"/>
    <x v="820"/>
    <x v="0"/>
    <x v="0"/>
    <x v="0"/>
    <x v="222"/>
    <x v="11"/>
    <x v="335"/>
    <x v="8"/>
    <x v="2"/>
    <x v="1"/>
  </r>
  <r>
    <x v="0"/>
    <x v="1501"/>
    <x v="269"/>
    <x v="77"/>
    <x v="219"/>
    <x v="581"/>
    <x v="21"/>
    <x v="3135"/>
    <x v="17"/>
    <x v="298"/>
    <x v="2028"/>
    <x v="2343"/>
    <x v="3433"/>
    <x v="3431"/>
    <x v="3081"/>
    <x v="4"/>
    <x v="3392"/>
    <x v="3435"/>
    <x v="556"/>
    <x v="0"/>
    <x v="0"/>
    <x v="4"/>
    <x v="222"/>
    <x v="0"/>
    <x v="596"/>
    <x v="32"/>
    <x v="1"/>
    <x v="37"/>
  </r>
  <r>
    <x v="0"/>
    <x v="48"/>
    <x v="277"/>
    <x v="3"/>
    <x v="33"/>
    <x v="146"/>
    <x v="23"/>
    <x v="3136"/>
    <x v="270"/>
    <x v="1320"/>
    <x v="2029"/>
    <x v="1206"/>
    <x v="3434"/>
    <x v="3432"/>
    <x v="2116"/>
    <x v="0"/>
    <x v="3393"/>
    <x v="3436"/>
    <x v="429"/>
    <x v="0"/>
    <x v="0"/>
    <x v="4"/>
    <x v="222"/>
    <x v="32"/>
    <x v="537"/>
    <x v="32"/>
    <x v="3"/>
    <x v="1"/>
  </r>
  <r>
    <x v="0"/>
    <x v="1463"/>
    <x v="365"/>
    <x v="45"/>
    <x v="164"/>
    <x v="373"/>
    <x v="662"/>
    <x v="3137"/>
    <x v="105"/>
    <x v="1321"/>
    <x v="2030"/>
    <x v="1501"/>
    <x v="3435"/>
    <x v="3433"/>
    <x v="740"/>
    <x v="3"/>
    <x v="3394"/>
    <x v="3437"/>
    <x v="360"/>
    <x v="0"/>
    <x v="0"/>
    <x v="4"/>
    <x v="222"/>
    <x v="15"/>
    <x v="11"/>
    <x v="21"/>
    <x v="3"/>
    <x v="1"/>
  </r>
  <r>
    <x v="0"/>
    <x v="1381"/>
    <x v="323"/>
    <x v="40"/>
    <x v="247"/>
    <x v="139"/>
    <x v="493"/>
    <x v="3138"/>
    <x v="276"/>
    <x v="1322"/>
    <x v="505"/>
    <x v="2414"/>
    <x v="3436"/>
    <x v="1804"/>
    <x v="701"/>
    <x v="1"/>
    <x v="3395"/>
    <x v="3438"/>
    <x v="355"/>
    <x v="0"/>
    <x v="1"/>
    <x v="0"/>
    <x v="222"/>
    <x v="14"/>
    <x v="215"/>
    <x v="5"/>
    <x v="1"/>
    <x v="1"/>
  </r>
  <r>
    <x v="0"/>
    <x v="120"/>
    <x v="336"/>
    <x v="50"/>
    <x v="77"/>
    <x v="490"/>
    <x v="539"/>
    <x v="3139"/>
    <x v="745"/>
    <x v="1323"/>
    <x v="2031"/>
    <x v="2415"/>
    <x v="3437"/>
    <x v="3434"/>
    <x v="3082"/>
    <x v="1"/>
    <x v="3396"/>
    <x v="3439"/>
    <x v="61"/>
    <x v="5"/>
    <x v="5"/>
    <x v="2"/>
    <x v="224"/>
    <x v="19"/>
    <x v="595"/>
    <x v="7"/>
    <x v="1"/>
    <x v="1"/>
  </r>
  <r>
    <x v="0"/>
    <x v="822"/>
    <x v="429"/>
    <x v="41"/>
    <x v="139"/>
    <x v="227"/>
    <x v="148"/>
    <x v="3140"/>
    <x v="300"/>
    <x v="934"/>
    <x v="1611"/>
    <x v="2416"/>
    <x v="3438"/>
    <x v="3435"/>
    <x v="3083"/>
    <x v="0"/>
    <x v="3397"/>
    <x v="3440"/>
    <x v="835"/>
    <x v="0"/>
    <x v="0"/>
    <x v="0"/>
    <x v="222"/>
    <x v="1"/>
    <x v="297"/>
    <x v="62"/>
    <x v="3"/>
    <x v="624"/>
  </r>
  <r>
    <x v="0"/>
    <x v="1502"/>
    <x v="347"/>
    <x v="45"/>
    <x v="85"/>
    <x v="303"/>
    <x v="663"/>
    <x v="3141"/>
    <x v="746"/>
    <x v="1324"/>
    <x v="498"/>
    <x v="2417"/>
    <x v="3439"/>
    <x v="3436"/>
    <x v="3084"/>
    <x v="0"/>
    <x v="3398"/>
    <x v="3441"/>
    <x v="678"/>
    <x v="0"/>
    <x v="1"/>
    <x v="4"/>
    <x v="222"/>
    <x v="29"/>
    <x v="322"/>
    <x v="5"/>
    <x v="3"/>
    <x v="1"/>
  </r>
  <r>
    <x v="0"/>
    <x v="113"/>
    <x v="434"/>
    <x v="84"/>
    <x v="88"/>
    <x v="101"/>
    <x v="285"/>
    <x v="4"/>
    <x v="28"/>
    <x v="1325"/>
    <x v="945"/>
    <x v="184"/>
    <x v="3440"/>
    <x v="3437"/>
    <x v="3085"/>
    <x v="1"/>
    <x v="3399"/>
    <x v="3442"/>
    <x v="536"/>
    <x v="0"/>
    <x v="0"/>
    <x v="1"/>
    <x v="4"/>
    <x v="4"/>
    <x v="531"/>
    <x v="16"/>
    <x v="12"/>
    <x v="1"/>
  </r>
  <r>
    <x v="0"/>
    <x v="1503"/>
    <x v="434"/>
    <x v="18"/>
    <x v="143"/>
    <x v="632"/>
    <x v="2"/>
    <x v="3142"/>
    <x v="606"/>
    <x v="203"/>
    <x v="2032"/>
    <x v="2418"/>
    <x v="3441"/>
    <x v="3438"/>
    <x v="3086"/>
    <x v="4"/>
    <x v="3400"/>
    <x v="3443"/>
    <x v="432"/>
    <x v="0"/>
    <x v="0"/>
    <x v="2"/>
    <x v="222"/>
    <x v="18"/>
    <x v="474"/>
    <x v="12"/>
    <x v="3"/>
    <x v="371"/>
  </r>
  <r>
    <x v="0"/>
    <x v="113"/>
    <x v="492"/>
    <x v="84"/>
    <x v="88"/>
    <x v="449"/>
    <x v="14"/>
    <x v="4"/>
    <x v="74"/>
    <x v="1065"/>
    <x v="592"/>
    <x v="1888"/>
    <x v="3442"/>
    <x v="3439"/>
    <x v="3087"/>
    <x v="1"/>
    <x v="3401"/>
    <x v="3444"/>
    <x v="284"/>
    <x v="0"/>
    <x v="0"/>
    <x v="5"/>
    <x v="4"/>
    <x v="4"/>
    <x v="120"/>
    <x v="38"/>
    <x v="8"/>
    <x v="1"/>
  </r>
  <r>
    <x v="0"/>
    <x v="1396"/>
    <x v="207"/>
    <x v="103"/>
    <x v="366"/>
    <x v="139"/>
    <x v="94"/>
    <x v="3143"/>
    <x v="225"/>
    <x v="1173"/>
    <x v="2033"/>
    <x v="2414"/>
    <x v="3443"/>
    <x v="3440"/>
    <x v="3088"/>
    <x v="0"/>
    <x v="3402"/>
    <x v="3445"/>
    <x v="119"/>
    <x v="8"/>
    <x v="16"/>
    <x v="1"/>
    <x v="222"/>
    <x v="14"/>
    <x v="379"/>
    <x v="0"/>
    <x v="1"/>
    <x v="43"/>
  </r>
  <r>
    <x v="0"/>
    <x v="186"/>
    <x v="287"/>
    <x v="77"/>
    <x v="132"/>
    <x v="561"/>
    <x v="0"/>
    <x v="3144"/>
    <x v="291"/>
    <x v="638"/>
    <x v="2034"/>
    <x v="408"/>
    <x v="3444"/>
    <x v="3441"/>
    <x v="3089"/>
    <x v="0"/>
    <x v="3403"/>
    <x v="3446"/>
    <x v="119"/>
    <x v="0"/>
    <x v="0"/>
    <x v="4"/>
    <x v="222"/>
    <x v="8"/>
    <x v="385"/>
    <x v="2"/>
    <x v="1"/>
    <x v="1"/>
  </r>
  <r>
    <x v="0"/>
    <x v="1342"/>
    <x v="386"/>
    <x v="43"/>
    <x v="330"/>
    <x v="813"/>
    <x v="95"/>
    <x v="3145"/>
    <x v="105"/>
    <x v="417"/>
    <x v="2035"/>
    <x v="2419"/>
    <x v="3445"/>
    <x v="3442"/>
    <x v="2073"/>
    <x v="4"/>
    <x v="3404"/>
    <x v="3447"/>
    <x v="189"/>
    <x v="0"/>
    <x v="0"/>
    <x v="4"/>
    <x v="222"/>
    <x v="5"/>
    <x v="830"/>
    <x v="22"/>
    <x v="3"/>
    <x v="1"/>
  </r>
  <r>
    <x v="0"/>
    <x v="1504"/>
    <x v="429"/>
    <x v="7"/>
    <x v="0"/>
    <x v="385"/>
    <x v="407"/>
    <x v="3146"/>
    <x v="463"/>
    <x v="748"/>
    <x v="2036"/>
    <x v="1843"/>
    <x v="3446"/>
    <x v="3443"/>
    <x v="1321"/>
    <x v="0"/>
    <x v="3405"/>
    <x v="3448"/>
    <x v="822"/>
    <x v="0"/>
    <x v="0"/>
    <x v="2"/>
    <x v="222"/>
    <x v="15"/>
    <x v="526"/>
    <x v="22"/>
    <x v="3"/>
    <x v="485"/>
  </r>
  <r>
    <x v="0"/>
    <x v="1218"/>
    <x v="241"/>
    <x v="72"/>
    <x v="351"/>
    <x v="167"/>
    <x v="56"/>
    <x v="3147"/>
    <x v="130"/>
    <x v="98"/>
    <x v="883"/>
    <x v="1585"/>
    <x v="3447"/>
    <x v="3444"/>
    <x v="214"/>
    <x v="3"/>
    <x v="3406"/>
    <x v="3449"/>
    <x v="568"/>
    <x v="0"/>
    <x v="0"/>
    <x v="4"/>
    <x v="222"/>
    <x v="19"/>
    <x v="151"/>
    <x v="4"/>
    <x v="3"/>
    <x v="625"/>
  </r>
  <r>
    <x v="0"/>
    <x v="1224"/>
    <x v="338"/>
    <x v="77"/>
    <x v="353"/>
    <x v="555"/>
    <x v="41"/>
    <x v="3148"/>
    <x v="113"/>
    <x v="563"/>
    <x v="1612"/>
    <x v="1405"/>
    <x v="3448"/>
    <x v="3445"/>
    <x v="3090"/>
    <x v="0"/>
    <x v="3407"/>
    <x v="3450"/>
    <x v="170"/>
    <x v="0"/>
    <x v="0"/>
    <x v="4"/>
    <x v="222"/>
    <x v="7"/>
    <x v="183"/>
    <x v="21"/>
    <x v="3"/>
    <x v="67"/>
  </r>
  <r>
    <x v="0"/>
    <x v="1505"/>
    <x v="97"/>
    <x v="52"/>
    <x v="230"/>
    <x v="37"/>
    <x v="22"/>
    <x v="3149"/>
    <x v="306"/>
    <x v="1326"/>
    <x v="593"/>
    <x v="2420"/>
    <x v="3449"/>
    <x v="3446"/>
    <x v="3091"/>
    <x v="0"/>
    <x v="3408"/>
    <x v="3451"/>
    <x v="428"/>
    <x v="0"/>
    <x v="1"/>
    <x v="4"/>
    <x v="222"/>
    <x v="10"/>
    <x v="167"/>
    <x v="7"/>
    <x v="1"/>
    <x v="58"/>
  </r>
  <r>
    <x v="0"/>
    <x v="1506"/>
    <x v="435"/>
    <x v="7"/>
    <x v="0"/>
    <x v="750"/>
    <x v="35"/>
    <x v="3150"/>
    <x v="463"/>
    <x v="1327"/>
    <x v="1639"/>
    <x v="1685"/>
    <x v="3450"/>
    <x v="3447"/>
    <x v="3092"/>
    <x v="0"/>
    <x v="3409"/>
    <x v="3452"/>
    <x v="705"/>
    <x v="0"/>
    <x v="1"/>
    <x v="2"/>
    <x v="4"/>
    <x v="9"/>
    <x v="187"/>
    <x v="27"/>
    <x v="2"/>
    <x v="626"/>
  </r>
  <r>
    <x v="0"/>
    <x v="1507"/>
    <x v="384"/>
    <x v="77"/>
    <x v="216"/>
    <x v="470"/>
    <x v="0"/>
    <x v="3151"/>
    <x v="291"/>
    <x v="719"/>
    <x v="2037"/>
    <x v="2421"/>
    <x v="3451"/>
    <x v="3448"/>
    <x v="3093"/>
    <x v="4"/>
    <x v="3410"/>
    <x v="3453"/>
    <x v="818"/>
    <x v="0"/>
    <x v="0"/>
    <x v="3"/>
    <x v="222"/>
    <x v="0"/>
    <x v="497"/>
    <x v="12"/>
    <x v="1"/>
    <x v="162"/>
  </r>
  <r>
    <x v="0"/>
    <x v="424"/>
    <x v="478"/>
    <x v="7"/>
    <x v="231"/>
    <x v="275"/>
    <x v="14"/>
    <x v="4"/>
    <x v="301"/>
    <x v="56"/>
    <x v="1489"/>
    <x v="2422"/>
    <x v="3452"/>
    <x v="3449"/>
    <x v="3094"/>
    <x v="0"/>
    <x v="3411"/>
    <x v="3454"/>
    <x v="655"/>
    <x v="0"/>
    <x v="4"/>
    <x v="4"/>
    <x v="222"/>
    <x v="45"/>
    <x v="259"/>
    <x v="30"/>
    <x v="2"/>
    <x v="262"/>
  </r>
  <r>
    <x v="0"/>
    <x v="1486"/>
    <x v="331"/>
    <x v="31"/>
    <x v="136"/>
    <x v="694"/>
    <x v="18"/>
    <x v="3152"/>
    <x v="17"/>
    <x v="19"/>
    <x v="871"/>
    <x v="2423"/>
    <x v="3453"/>
    <x v="3450"/>
    <x v="3095"/>
    <x v="5"/>
    <x v="3412"/>
    <x v="3455"/>
    <x v="632"/>
    <x v="0"/>
    <x v="0"/>
    <x v="4"/>
    <x v="279"/>
    <x v="0"/>
    <x v="503"/>
    <x v="13"/>
    <x v="1"/>
    <x v="1"/>
  </r>
  <r>
    <x v="0"/>
    <x v="1508"/>
    <x v="489"/>
    <x v="86"/>
    <x v="85"/>
    <x v="307"/>
    <x v="168"/>
    <x v="2576"/>
    <x v="88"/>
    <x v="526"/>
    <x v="2038"/>
    <x v="2424"/>
    <x v="3454"/>
    <x v="3451"/>
    <x v="3096"/>
    <x v="1"/>
    <x v="3413"/>
    <x v="3456"/>
    <x v="721"/>
    <x v="0"/>
    <x v="1"/>
    <x v="2"/>
    <x v="195"/>
    <x v="47"/>
    <x v="719"/>
    <x v="22"/>
    <x v="3"/>
    <x v="627"/>
  </r>
  <r>
    <x v="0"/>
    <x v="583"/>
    <x v="441"/>
    <x v="86"/>
    <x v="193"/>
    <x v="530"/>
    <x v="489"/>
    <x v="3153"/>
    <x v="446"/>
    <x v="905"/>
    <x v="2039"/>
    <x v="2425"/>
    <x v="3455"/>
    <x v="3452"/>
    <x v="3097"/>
    <x v="1"/>
    <x v="3414"/>
    <x v="3457"/>
    <x v="365"/>
    <x v="3"/>
    <x v="10"/>
    <x v="4"/>
    <x v="95"/>
    <x v="27"/>
    <x v="659"/>
    <x v="15"/>
    <x v="1"/>
    <x v="1"/>
  </r>
  <r>
    <x v="0"/>
    <x v="571"/>
    <x v="251"/>
    <x v="55"/>
    <x v="0"/>
    <x v="278"/>
    <x v="525"/>
    <x v="3154"/>
    <x v="200"/>
    <x v="1328"/>
    <x v="2040"/>
    <x v="2426"/>
    <x v="3456"/>
    <x v="3453"/>
    <x v="3098"/>
    <x v="0"/>
    <x v="3415"/>
    <x v="3458"/>
    <x v="567"/>
    <x v="0"/>
    <x v="0"/>
    <x v="4"/>
    <x v="222"/>
    <x v="5"/>
    <x v="804"/>
    <x v="22"/>
    <x v="3"/>
    <x v="1"/>
  </r>
  <r>
    <x v="0"/>
    <x v="1509"/>
    <x v="460"/>
    <x v="72"/>
    <x v="123"/>
    <x v="127"/>
    <x v="42"/>
    <x v="3155"/>
    <x v="125"/>
    <x v="1329"/>
    <x v="2041"/>
    <x v="2427"/>
    <x v="3457"/>
    <x v="3454"/>
    <x v="771"/>
    <x v="1"/>
    <x v="3416"/>
    <x v="3459"/>
    <x v="547"/>
    <x v="0"/>
    <x v="0"/>
    <x v="4"/>
    <x v="4"/>
    <x v="0"/>
    <x v="14"/>
    <x v="43"/>
    <x v="1"/>
    <x v="1"/>
  </r>
  <r>
    <x v="0"/>
    <x v="1510"/>
    <x v="329"/>
    <x v="54"/>
    <x v="171"/>
    <x v="739"/>
    <x v="0"/>
    <x v="3156"/>
    <x v="125"/>
    <x v="369"/>
    <x v="1466"/>
    <x v="1939"/>
    <x v="3458"/>
    <x v="3455"/>
    <x v="3099"/>
    <x v="1"/>
    <x v="3417"/>
    <x v="3460"/>
    <x v="496"/>
    <x v="0"/>
    <x v="0"/>
    <x v="0"/>
    <x v="70"/>
    <x v="20"/>
    <x v="252"/>
    <x v="67"/>
    <x v="3"/>
    <x v="628"/>
  </r>
  <r>
    <x v="0"/>
    <x v="1511"/>
    <x v="295"/>
    <x v="11"/>
    <x v="38"/>
    <x v="648"/>
    <x v="29"/>
    <x v="3157"/>
    <x v="270"/>
    <x v="58"/>
    <x v="108"/>
    <x v="2394"/>
    <x v="3459"/>
    <x v="3456"/>
    <x v="3100"/>
    <x v="0"/>
    <x v="3418"/>
    <x v="3461"/>
    <x v="195"/>
    <x v="0"/>
    <x v="0"/>
    <x v="4"/>
    <x v="222"/>
    <x v="5"/>
    <x v="76"/>
    <x v="1"/>
    <x v="1"/>
    <x v="64"/>
  </r>
  <r>
    <x v="0"/>
    <x v="586"/>
    <x v="285"/>
    <x v="41"/>
    <x v="44"/>
    <x v="170"/>
    <x v="344"/>
    <x v="3158"/>
    <x v="539"/>
    <x v="618"/>
    <x v="1992"/>
    <x v="2428"/>
    <x v="3460"/>
    <x v="3457"/>
    <x v="3057"/>
    <x v="4"/>
    <x v="3419"/>
    <x v="3462"/>
    <x v="421"/>
    <x v="0"/>
    <x v="1"/>
    <x v="4"/>
    <x v="4"/>
    <x v="9"/>
    <x v="824"/>
    <x v="5"/>
    <x v="1"/>
    <x v="1"/>
  </r>
  <r>
    <x v="0"/>
    <x v="525"/>
    <x v="280"/>
    <x v="33"/>
    <x v="260"/>
    <x v="4"/>
    <x v="57"/>
    <x v="3159"/>
    <x v="436"/>
    <x v="109"/>
    <x v="2042"/>
    <x v="4"/>
    <x v="3461"/>
    <x v="3458"/>
    <x v="3101"/>
    <x v="0"/>
    <x v="3420"/>
    <x v="3463"/>
    <x v="511"/>
    <x v="0"/>
    <x v="0"/>
    <x v="4"/>
    <x v="209"/>
    <x v="19"/>
    <x v="253"/>
    <x v="5"/>
    <x v="1"/>
    <x v="1"/>
  </r>
  <r>
    <x v="0"/>
    <x v="1512"/>
    <x v="347"/>
    <x v="45"/>
    <x v="78"/>
    <x v="585"/>
    <x v="61"/>
    <x v="3160"/>
    <x v="17"/>
    <x v="242"/>
    <x v="464"/>
    <x v="2429"/>
    <x v="3462"/>
    <x v="3459"/>
    <x v="3102"/>
    <x v="3"/>
    <x v="3421"/>
    <x v="3464"/>
    <x v="719"/>
    <x v="0"/>
    <x v="1"/>
    <x v="4"/>
    <x v="222"/>
    <x v="19"/>
    <x v="121"/>
    <x v="10"/>
    <x v="3"/>
    <x v="629"/>
  </r>
  <r>
    <x v="0"/>
    <x v="1311"/>
    <x v="395"/>
    <x v="33"/>
    <x v="85"/>
    <x v="524"/>
    <x v="134"/>
    <x v="3161"/>
    <x v="425"/>
    <x v="252"/>
    <x v="436"/>
    <x v="2430"/>
    <x v="3463"/>
    <x v="3460"/>
    <x v="3103"/>
    <x v="0"/>
    <x v="3422"/>
    <x v="3465"/>
    <x v="719"/>
    <x v="0"/>
    <x v="0"/>
    <x v="0"/>
    <x v="222"/>
    <x v="2"/>
    <x v="30"/>
    <x v="12"/>
    <x v="3"/>
    <x v="1"/>
  </r>
  <r>
    <x v="0"/>
    <x v="1513"/>
    <x v="209"/>
    <x v="26"/>
    <x v="164"/>
    <x v="254"/>
    <x v="664"/>
    <x v="3162"/>
    <x v="125"/>
    <x v="1330"/>
    <x v="1556"/>
    <x v="1812"/>
    <x v="3464"/>
    <x v="3461"/>
    <x v="3104"/>
    <x v="2"/>
    <x v="3423"/>
    <x v="3466"/>
    <x v="654"/>
    <x v="0"/>
    <x v="0"/>
    <x v="4"/>
    <x v="222"/>
    <x v="5"/>
    <x v="564"/>
    <x v="18"/>
    <x v="1"/>
    <x v="220"/>
  </r>
  <r>
    <x v="1"/>
    <x v="1514"/>
    <x v="313"/>
    <x v="114"/>
    <x v="80"/>
    <x v="298"/>
    <x v="665"/>
    <x v="4"/>
    <x v="142"/>
    <x v="1331"/>
    <x v="2043"/>
    <x v="2431"/>
    <x v="3465"/>
    <x v="3462"/>
    <x v="3105"/>
    <x v="0"/>
    <x v="3424"/>
    <x v="3467"/>
    <x v="510"/>
    <x v="9"/>
    <x v="21"/>
    <x v="9"/>
    <x v="222"/>
    <x v="9"/>
    <x v="231"/>
    <x v="10"/>
    <x v="10"/>
    <x v="103"/>
  </r>
  <r>
    <x v="0"/>
    <x v="1515"/>
    <x v="434"/>
    <x v="34"/>
    <x v="0"/>
    <x v="863"/>
    <x v="8"/>
    <x v="3163"/>
    <x v="408"/>
    <x v="8"/>
    <x v="420"/>
    <x v="2432"/>
    <x v="3466"/>
    <x v="3463"/>
    <x v="3106"/>
    <x v="4"/>
    <x v="3425"/>
    <x v="3468"/>
    <x v="785"/>
    <x v="0"/>
    <x v="0"/>
    <x v="4"/>
    <x v="222"/>
    <x v="5"/>
    <x v="50"/>
    <x v="19"/>
    <x v="3"/>
    <x v="138"/>
  </r>
  <r>
    <x v="0"/>
    <x v="1516"/>
    <x v="324"/>
    <x v="55"/>
    <x v="376"/>
    <x v="5"/>
    <x v="375"/>
    <x v="3164"/>
    <x v="270"/>
    <x v="685"/>
    <x v="1536"/>
    <x v="728"/>
    <x v="3467"/>
    <x v="3464"/>
    <x v="1180"/>
    <x v="3"/>
    <x v="3426"/>
    <x v="3469"/>
    <x v="724"/>
    <x v="0"/>
    <x v="1"/>
    <x v="4"/>
    <x v="222"/>
    <x v="12"/>
    <x v="540"/>
    <x v="8"/>
    <x v="1"/>
    <x v="410"/>
  </r>
  <r>
    <x v="1"/>
    <x v="1451"/>
    <x v="388"/>
    <x v="58"/>
    <x v="266"/>
    <x v="127"/>
    <x v="25"/>
    <x v="4"/>
    <x v="23"/>
    <x v="392"/>
    <x v="2044"/>
    <x v="2433"/>
    <x v="3468"/>
    <x v="3465"/>
    <x v="3107"/>
    <x v="4"/>
    <x v="3427"/>
    <x v="3470"/>
    <x v="881"/>
    <x v="0"/>
    <x v="4"/>
    <x v="4"/>
    <x v="222"/>
    <x v="15"/>
    <x v="698"/>
    <x v="0"/>
    <x v="1"/>
    <x v="37"/>
  </r>
  <r>
    <x v="0"/>
    <x v="1517"/>
    <x v="329"/>
    <x v="80"/>
    <x v="198"/>
    <x v="597"/>
    <x v="666"/>
    <x v="4"/>
    <x v="339"/>
    <x v="1332"/>
    <x v="2045"/>
    <x v="2434"/>
    <x v="3469"/>
    <x v="3466"/>
    <x v="2281"/>
    <x v="1"/>
    <x v="4"/>
    <x v="3471"/>
    <x v="326"/>
    <x v="13"/>
    <x v="14"/>
    <x v="1"/>
    <x v="222"/>
    <x v="11"/>
    <x v="68"/>
    <x v="43"/>
    <x v="1"/>
    <x v="630"/>
  </r>
  <r>
    <x v="0"/>
    <x v="420"/>
    <x v="356"/>
    <x v="76"/>
    <x v="0"/>
    <x v="452"/>
    <x v="0"/>
    <x v="4"/>
    <x v="747"/>
    <x v="432"/>
    <x v="1327"/>
    <x v="1659"/>
    <x v="3470"/>
    <x v="3467"/>
    <x v="801"/>
    <x v="0"/>
    <x v="3428"/>
    <x v="3472"/>
    <x v="640"/>
    <x v="0"/>
    <x v="0"/>
    <x v="4"/>
    <x v="222"/>
    <x v="10"/>
    <x v="431"/>
    <x v="30"/>
    <x v="3"/>
    <x v="1"/>
  </r>
  <r>
    <x v="0"/>
    <x v="1518"/>
    <x v="81"/>
    <x v="110"/>
    <x v="0"/>
    <x v="713"/>
    <x v="667"/>
    <x v="4"/>
    <x v="224"/>
    <x v="1333"/>
    <x v="2046"/>
    <x v="2435"/>
    <x v="3471"/>
    <x v="3468"/>
    <x v="3108"/>
    <x v="1"/>
    <x v="3429"/>
    <x v="3473"/>
    <x v="561"/>
    <x v="9"/>
    <x v="21"/>
    <x v="2"/>
    <x v="222"/>
    <x v="3"/>
    <x v="397"/>
    <x v="43"/>
    <x v="2"/>
    <x v="631"/>
  </r>
  <r>
    <x v="2"/>
    <x v="1519"/>
    <x v="412"/>
    <x v="117"/>
    <x v="192"/>
    <x v="272"/>
    <x v="623"/>
    <x v="4"/>
    <x v="748"/>
    <x v="1334"/>
    <x v="2047"/>
    <x v="2436"/>
    <x v="3472"/>
    <x v="3469"/>
    <x v="3109"/>
    <x v="0"/>
    <x v="3430"/>
    <x v="3474"/>
    <x v="843"/>
    <x v="1"/>
    <x v="0"/>
    <x v="1"/>
    <x v="222"/>
    <x v="11"/>
    <x v="213"/>
    <x v="19"/>
    <x v="2"/>
    <x v="632"/>
  </r>
  <r>
    <x v="0"/>
    <x v="326"/>
    <x v="428"/>
    <x v="69"/>
    <x v="121"/>
    <x v="231"/>
    <x v="17"/>
    <x v="3165"/>
    <x v="713"/>
    <x v="303"/>
    <x v="688"/>
    <x v="2437"/>
    <x v="3473"/>
    <x v="3470"/>
    <x v="3110"/>
    <x v="0"/>
    <x v="3431"/>
    <x v="3475"/>
    <x v="460"/>
    <x v="0"/>
    <x v="0"/>
    <x v="4"/>
    <x v="280"/>
    <x v="39"/>
    <x v="422"/>
    <x v="11"/>
    <x v="1"/>
    <x v="1"/>
  </r>
  <r>
    <x v="0"/>
    <x v="1520"/>
    <x v="465"/>
    <x v="55"/>
    <x v="255"/>
    <x v="81"/>
    <x v="558"/>
    <x v="4"/>
    <x v="749"/>
    <x v="1335"/>
    <x v="2048"/>
    <x v="2438"/>
    <x v="3474"/>
    <x v="3471"/>
    <x v="1440"/>
    <x v="7"/>
    <x v="3432"/>
    <x v="3476"/>
    <x v="427"/>
    <x v="0"/>
    <x v="0"/>
    <x v="1"/>
    <x v="4"/>
    <x v="8"/>
    <x v="373"/>
    <x v="38"/>
    <x v="0"/>
    <x v="264"/>
  </r>
  <r>
    <x v="0"/>
    <x v="776"/>
    <x v="194"/>
    <x v="58"/>
    <x v="0"/>
    <x v="341"/>
    <x v="21"/>
    <x v="3166"/>
    <x v="125"/>
    <x v="174"/>
    <x v="569"/>
    <x v="464"/>
    <x v="3475"/>
    <x v="3472"/>
    <x v="3111"/>
    <x v="1"/>
    <x v="3433"/>
    <x v="3477"/>
    <x v="920"/>
    <x v="0"/>
    <x v="0"/>
    <x v="4"/>
    <x v="280"/>
    <x v="27"/>
    <x v="30"/>
    <x v="16"/>
    <x v="3"/>
    <x v="7"/>
  </r>
  <r>
    <x v="0"/>
    <x v="353"/>
    <x v="402"/>
    <x v="70"/>
    <x v="209"/>
    <x v="801"/>
    <x v="301"/>
    <x v="4"/>
    <x v="235"/>
    <x v="1155"/>
    <x v="1482"/>
    <x v="2439"/>
    <x v="3476"/>
    <x v="3473"/>
    <x v="3112"/>
    <x v="7"/>
    <x v="3434"/>
    <x v="3478"/>
    <x v="402"/>
    <x v="0"/>
    <x v="0"/>
    <x v="8"/>
    <x v="222"/>
    <x v="1"/>
    <x v="5"/>
    <x v="30"/>
    <x v="0"/>
    <x v="633"/>
  </r>
  <r>
    <x v="0"/>
    <x v="1521"/>
    <x v="489"/>
    <x v="45"/>
    <x v="106"/>
    <x v="649"/>
    <x v="563"/>
    <x v="4"/>
    <x v="17"/>
    <x v="1336"/>
    <x v="2049"/>
    <x v="2440"/>
    <x v="3477"/>
    <x v="3474"/>
    <x v="3113"/>
    <x v="0"/>
    <x v="4"/>
    <x v="3479"/>
    <x v="843"/>
    <x v="0"/>
    <x v="4"/>
    <x v="1"/>
    <x v="200"/>
    <x v="6"/>
    <x v="338"/>
    <x v="13"/>
    <x v="1"/>
    <x v="342"/>
  </r>
  <r>
    <x v="0"/>
    <x v="1522"/>
    <x v="303"/>
    <x v="50"/>
    <x v="0"/>
    <x v="864"/>
    <x v="10"/>
    <x v="4"/>
    <x v="168"/>
    <x v="1337"/>
    <x v="1746"/>
    <x v="2441"/>
    <x v="3478"/>
    <x v="3475"/>
    <x v="3114"/>
    <x v="3"/>
    <x v="3435"/>
    <x v="3480"/>
    <x v="785"/>
    <x v="0"/>
    <x v="0"/>
    <x v="1"/>
    <x v="222"/>
    <x v="2"/>
    <x v="791"/>
    <x v="27"/>
    <x v="1"/>
    <x v="1"/>
  </r>
  <r>
    <x v="0"/>
    <x v="1523"/>
    <x v="315"/>
    <x v="31"/>
    <x v="198"/>
    <x v="221"/>
    <x v="169"/>
    <x v="3167"/>
    <x v="639"/>
    <x v="1338"/>
    <x v="2050"/>
    <x v="2442"/>
    <x v="3479"/>
    <x v="3476"/>
    <x v="3115"/>
    <x v="1"/>
    <x v="3436"/>
    <x v="3481"/>
    <x v="794"/>
    <x v="15"/>
    <x v="8"/>
    <x v="1"/>
    <x v="159"/>
    <x v="15"/>
    <x v="762"/>
    <x v="11"/>
    <x v="3"/>
    <x v="385"/>
  </r>
  <r>
    <x v="0"/>
    <x v="1524"/>
    <x v="336"/>
    <x v="26"/>
    <x v="221"/>
    <x v="86"/>
    <x v="147"/>
    <x v="3168"/>
    <x v="200"/>
    <x v="271"/>
    <x v="1115"/>
    <x v="2443"/>
    <x v="3480"/>
    <x v="3477"/>
    <x v="3116"/>
    <x v="1"/>
    <x v="3437"/>
    <x v="3482"/>
    <x v="756"/>
    <x v="0"/>
    <x v="0"/>
    <x v="4"/>
    <x v="281"/>
    <x v="12"/>
    <x v="294"/>
    <x v="15"/>
    <x v="1"/>
    <x v="103"/>
  </r>
  <r>
    <x v="0"/>
    <x v="1525"/>
    <x v="429"/>
    <x v="59"/>
    <x v="0"/>
    <x v="666"/>
    <x v="454"/>
    <x v="3169"/>
    <x v="111"/>
    <x v="1339"/>
    <x v="2051"/>
    <x v="2444"/>
    <x v="3481"/>
    <x v="3478"/>
    <x v="3117"/>
    <x v="8"/>
    <x v="3438"/>
    <x v="3483"/>
    <x v="632"/>
    <x v="0"/>
    <x v="0"/>
    <x v="4"/>
    <x v="281"/>
    <x v="17"/>
    <x v="672"/>
    <x v="21"/>
    <x v="1"/>
    <x v="128"/>
  </r>
  <r>
    <x v="0"/>
    <x v="1526"/>
    <x v="400"/>
    <x v="59"/>
    <x v="89"/>
    <x v="546"/>
    <x v="31"/>
    <x v="3170"/>
    <x v="327"/>
    <x v="37"/>
    <x v="921"/>
    <x v="2445"/>
    <x v="3482"/>
    <x v="3479"/>
    <x v="3118"/>
    <x v="1"/>
    <x v="3439"/>
    <x v="3484"/>
    <x v="284"/>
    <x v="0"/>
    <x v="4"/>
    <x v="0"/>
    <x v="280"/>
    <x v="3"/>
    <x v="525"/>
    <x v="23"/>
    <x v="1"/>
    <x v="7"/>
  </r>
  <r>
    <x v="0"/>
    <x v="496"/>
    <x v="84"/>
    <x v="106"/>
    <x v="254"/>
    <x v="471"/>
    <x v="4"/>
    <x v="3171"/>
    <x v="750"/>
    <x v="1340"/>
    <x v="2052"/>
    <x v="2446"/>
    <x v="3483"/>
    <x v="3480"/>
    <x v="3119"/>
    <x v="0"/>
    <x v="3440"/>
    <x v="3485"/>
    <x v="319"/>
    <x v="3"/>
    <x v="4"/>
    <x v="4"/>
    <x v="281"/>
    <x v="5"/>
    <x v="762"/>
    <x v="17"/>
    <x v="3"/>
    <x v="40"/>
  </r>
  <r>
    <x v="0"/>
    <x v="403"/>
    <x v="413"/>
    <x v="31"/>
    <x v="23"/>
    <x v="660"/>
    <x v="588"/>
    <x v="3172"/>
    <x v="105"/>
    <x v="1341"/>
    <x v="2053"/>
    <x v="2447"/>
    <x v="3484"/>
    <x v="3481"/>
    <x v="1113"/>
    <x v="1"/>
    <x v="3441"/>
    <x v="3486"/>
    <x v="732"/>
    <x v="17"/>
    <x v="20"/>
    <x v="4"/>
    <x v="240"/>
    <x v="17"/>
    <x v="438"/>
    <x v="12"/>
    <x v="1"/>
    <x v="462"/>
  </r>
  <r>
    <x v="0"/>
    <x v="1527"/>
    <x v="390"/>
    <x v="76"/>
    <x v="31"/>
    <x v="350"/>
    <x v="0"/>
    <x v="3173"/>
    <x v="751"/>
    <x v="51"/>
    <x v="2054"/>
    <x v="2257"/>
    <x v="3485"/>
    <x v="3482"/>
    <x v="382"/>
    <x v="8"/>
    <x v="3442"/>
    <x v="3487"/>
    <x v="755"/>
    <x v="0"/>
    <x v="25"/>
    <x v="4"/>
    <x v="4"/>
    <x v="0"/>
    <x v="65"/>
    <x v="21"/>
    <x v="1"/>
    <x v="231"/>
  </r>
  <r>
    <x v="0"/>
    <x v="139"/>
    <x v="273"/>
    <x v="69"/>
    <x v="104"/>
    <x v="100"/>
    <x v="365"/>
    <x v="3174"/>
    <x v="28"/>
    <x v="1154"/>
    <x v="2055"/>
    <x v="2448"/>
    <x v="3486"/>
    <x v="3483"/>
    <x v="3120"/>
    <x v="1"/>
    <x v="3443"/>
    <x v="3488"/>
    <x v="653"/>
    <x v="30"/>
    <x v="49"/>
    <x v="4"/>
    <x v="213"/>
    <x v="1"/>
    <x v="725"/>
    <x v="14"/>
    <x v="3"/>
    <x v="59"/>
  </r>
  <r>
    <x v="0"/>
    <x v="707"/>
    <x v="168"/>
    <x v="77"/>
    <x v="167"/>
    <x v="439"/>
    <x v="0"/>
    <x v="3175"/>
    <x v="364"/>
    <x v="114"/>
    <x v="2056"/>
    <x v="2449"/>
    <x v="3487"/>
    <x v="3484"/>
    <x v="504"/>
    <x v="0"/>
    <x v="3444"/>
    <x v="3489"/>
    <x v="708"/>
    <x v="0"/>
    <x v="0"/>
    <x v="4"/>
    <x v="170"/>
    <x v="11"/>
    <x v="831"/>
    <x v="28"/>
    <x v="1"/>
    <x v="48"/>
  </r>
  <r>
    <x v="0"/>
    <x v="1528"/>
    <x v="193"/>
    <x v="76"/>
    <x v="221"/>
    <x v="303"/>
    <x v="488"/>
    <x v="3176"/>
    <x v="752"/>
    <x v="1342"/>
    <x v="2057"/>
    <x v="2450"/>
    <x v="3488"/>
    <x v="3485"/>
    <x v="3121"/>
    <x v="6"/>
    <x v="3445"/>
    <x v="3490"/>
    <x v="755"/>
    <x v="0"/>
    <x v="5"/>
    <x v="0"/>
    <x v="170"/>
    <x v="0"/>
    <x v="514"/>
    <x v="22"/>
    <x v="1"/>
    <x v="634"/>
  </r>
  <r>
    <x v="0"/>
    <x v="265"/>
    <x v="272"/>
    <x v="52"/>
    <x v="175"/>
    <x v="100"/>
    <x v="668"/>
    <x v="3177"/>
    <x v="152"/>
    <x v="1343"/>
    <x v="2058"/>
    <x v="2451"/>
    <x v="3489"/>
    <x v="3486"/>
    <x v="3122"/>
    <x v="4"/>
    <x v="3446"/>
    <x v="3491"/>
    <x v="562"/>
    <x v="0"/>
    <x v="0"/>
    <x v="4"/>
    <x v="224"/>
    <x v="23"/>
    <x v="814"/>
    <x v="6"/>
    <x v="3"/>
    <x v="1"/>
  </r>
  <r>
    <x v="0"/>
    <x v="1529"/>
    <x v="465"/>
    <x v="26"/>
    <x v="143"/>
    <x v="636"/>
    <x v="487"/>
    <x v="3178"/>
    <x v="316"/>
    <x v="903"/>
    <x v="2059"/>
    <x v="2452"/>
    <x v="3490"/>
    <x v="3487"/>
    <x v="3123"/>
    <x v="1"/>
    <x v="3447"/>
    <x v="3492"/>
    <x v="377"/>
    <x v="0"/>
    <x v="0"/>
    <x v="0"/>
    <x v="170"/>
    <x v="42"/>
    <x v="255"/>
    <x v="2"/>
    <x v="3"/>
    <x v="1"/>
  </r>
  <r>
    <x v="0"/>
    <x v="1530"/>
    <x v="489"/>
    <x v="86"/>
    <x v="0"/>
    <x v="831"/>
    <x v="669"/>
    <x v="4"/>
    <x v="200"/>
    <x v="1344"/>
    <x v="2060"/>
    <x v="2453"/>
    <x v="3491"/>
    <x v="3488"/>
    <x v="3124"/>
    <x v="4"/>
    <x v="3448"/>
    <x v="3493"/>
    <x v="631"/>
    <x v="0"/>
    <x v="0"/>
    <x v="2"/>
    <x v="4"/>
    <x v="37"/>
    <x v="832"/>
    <x v="13"/>
    <x v="3"/>
    <x v="523"/>
  </r>
  <r>
    <x v="0"/>
    <x v="209"/>
    <x v="313"/>
    <x v="27"/>
    <x v="0"/>
    <x v="106"/>
    <x v="615"/>
    <x v="3179"/>
    <x v="753"/>
    <x v="1345"/>
    <x v="2061"/>
    <x v="2454"/>
    <x v="3492"/>
    <x v="3489"/>
    <x v="3125"/>
    <x v="0"/>
    <x v="3449"/>
    <x v="3494"/>
    <x v="781"/>
    <x v="0"/>
    <x v="0"/>
    <x v="14"/>
    <x v="170"/>
    <x v="35"/>
    <x v="35"/>
    <x v="1"/>
    <x v="1"/>
    <x v="1"/>
  </r>
  <r>
    <x v="0"/>
    <x v="54"/>
    <x v="369"/>
    <x v="26"/>
    <x v="39"/>
    <x v="865"/>
    <x v="375"/>
    <x v="3180"/>
    <x v="754"/>
    <x v="1045"/>
    <x v="600"/>
    <x v="920"/>
    <x v="3493"/>
    <x v="3490"/>
    <x v="3126"/>
    <x v="0"/>
    <x v="3450"/>
    <x v="3495"/>
    <x v="487"/>
    <x v="0"/>
    <x v="0"/>
    <x v="2"/>
    <x v="170"/>
    <x v="27"/>
    <x v="377"/>
    <x v="5"/>
    <x v="3"/>
    <x v="144"/>
  </r>
  <r>
    <x v="0"/>
    <x v="52"/>
    <x v="312"/>
    <x v="58"/>
    <x v="37"/>
    <x v="730"/>
    <x v="325"/>
    <x v="3181"/>
    <x v="70"/>
    <x v="675"/>
    <x v="687"/>
    <x v="1681"/>
    <x v="3494"/>
    <x v="3491"/>
    <x v="3127"/>
    <x v="3"/>
    <x v="3451"/>
    <x v="3496"/>
    <x v="598"/>
    <x v="0"/>
    <x v="0"/>
    <x v="4"/>
    <x v="170"/>
    <x v="15"/>
    <x v="22"/>
    <x v="11"/>
    <x v="1"/>
    <x v="1"/>
  </r>
  <r>
    <x v="0"/>
    <x v="1452"/>
    <x v="387"/>
    <x v="76"/>
    <x v="281"/>
    <x v="866"/>
    <x v="670"/>
    <x v="3182"/>
    <x v="105"/>
    <x v="1346"/>
    <x v="2062"/>
    <x v="2455"/>
    <x v="3495"/>
    <x v="3492"/>
    <x v="3128"/>
    <x v="4"/>
    <x v="3452"/>
    <x v="3497"/>
    <x v="690"/>
    <x v="0"/>
    <x v="0"/>
    <x v="4"/>
    <x v="170"/>
    <x v="7"/>
    <x v="724"/>
    <x v="18"/>
    <x v="1"/>
    <x v="483"/>
  </r>
  <r>
    <x v="0"/>
    <x v="618"/>
    <x v="394"/>
    <x v="69"/>
    <x v="275"/>
    <x v="657"/>
    <x v="539"/>
    <x v="4"/>
    <x v="232"/>
    <x v="1347"/>
    <x v="2063"/>
    <x v="2456"/>
    <x v="3496"/>
    <x v="3493"/>
    <x v="3129"/>
    <x v="0"/>
    <x v="3453"/>
    <x v="3498"/>
    <x v="372"/>
    <x v="0"/>
    <x v="0"/>
    <x v="3"/>
    <x v="170"/>
    <x v="49"/>
    <x v="833"/>
    <x v="13"/>
    <x v="1"/>
    <x v="1"/>
  </r>
  <r>
    <x v="0"/>
    <x v="1531"/>
    <x v="241"/>
    <x v="43"/>
    <x v="47"/>
    <x v="119"/>
    <x v="52"/>
    <x v="3183"/>
    <x v="321"/>
    <x v="1348"/>
    <x v="768"/>
    <x v="1305"/>
    <x v="3497"/>
    <x v="3494"/>
    <x v="3130"/>
    <x v="0"/>
    <x v="3454"/>
    <x v="3499"/>
    <x v="284"/>
    <x v="0"/>
    <x v="0"/>
    <x v="0"/>
    <x v="170"/>
    <x v="15"/>
    <x v="460"/>
    <x v="57"/>
    <x v="1"/>
    <x v="439"/>
  </r>
  <r>
    <x v="0"/>
    <x v="1532"/>
    <x v="345"/>
    <x v="8"/>
    <x v="31"/>
    <x v="316"/>
    <x v="671"/>
    <x v="3184"/>
    <x v="113"/>
    <x v="1349"/>
    <x v="2064"/>
    <x v="2457"/>
    <x v="3498"/>
    <x v="3495"/>
    <x v="3131"/>
    <x v="0"/>
    <x v="3455"/>
    <x v="3500"/>
    <x v="591"/>
    <x v="0"/>
    <x v="8"/>
    <x v="4"/>
    <x v="222"/>
    <x v="18"/>
    <x v="721"/>
    <x v="16"/>
    <x v="1"/>
    <x v="635"/>
  </r>
  <r>
    <x v="0"/>
    <x v="901"/>
    <x v="67"/>
    <x v="59"/>
    <x v="0"/>
    <x v="361"/>
    <x v="57"/>
    <x v="3185"/>
    <x v="270"/>
    <x v="125"/>
    <x v="926"/>
    <x v="1429"/>
    <x v="3499"/>
    <x v="3496"/>
    <x v="3132"/>
    <x v="0"/>
    <x v="3456"/>
    <x v="3501"/>
    <x v="611"/>
    <x v="0"/>
    <x v="1"/>
    <x v="13"/>
    <x v="170"/>
    <x v="10"/>
    <x v="103"/>
    <x v="11"/>
    <x v="1"/>
    <x v="33"/>
  </r>
  <r>
    <x v="0"/>
    <x v="69"/>
    <x v="290"/>
    <x v="72"/>
    <x v="54"/>
    <x v="191"/>
    <x v="3"/>
    <x v="3186"/>
    <x v="168"/>
    <x v="3"/>
    <x v="1445"/>
    <x v="672"/>
    <x v="3500"/>
    <x v="3497"/>
    <x v="3133"/>
    <x v="1"/>
    <x v="3457"/>
    <x v="3502"/>
    <x v="294"/>
    <x v="0"/>
    <x v="1"/>
    <x v="4"/>
    <x v="213"/>
    <x v="14"/>
    <x v="563"/>
    <x v="38"/>
    <x v="1"/>
    <x v="1"/>
  </r>
  <r>
    <x v="0"/>
    <x v="1533"/>
    <x v="169"/>
    <x v="7"/>
    <x v="0"/>
    <x v="746"/>
    <x v="0"/>
    <x v="3187"/>
    <x v="134"/>
    <x v="1350"/>
    <x v="2065"/>
    <x v="1906"/>
    <x v="3501"/>
    <x v="3498"/>
    <x v="1340"/>
    <x v="4"/>
    <x v="3458"/>
    <x v="3503"/>
    <x v="732"/>
    <x v="0"/>
    <x v="0"/>
    <x v="0"/>
    <x v="170"/>
    <x v="12"/>
    <x v="834"/>
    <x v="4"/>
    <x v="1"/>
    <x v="636"/>
  </r>
  <r>
    <x v="0"/>
    <x v="1534"/>
    <x v="245"/>
    <x v="38"/>
    <x v="12"/>
    <x v="811"/>
    <x v="14"/>
    <x v="3188"/>
    <x v="306"/>
    <x v="788"/>
    <x v="2066"/>
    <x v="1925"/>
    <x v="3502"/>
    <x v="3499"/>
    <x v="3005"/>
    <x v="2"/>
    <x v="3459"/>
    <x v="3504"/>
    <x v="119"/>
    <x v="0"/>
    <x v="1"/>
    <x v="0"/>
    <x v="170"/>
    <x v="9"/>
    <x v="656"/>
    <x v="8"/>
    <x v="1"/>
    <x v="85"/>
  </r>
  <r>
    <x v="0"/>
    <x v="1106"/>
    <x v="274"/>
    <x v="55"/>
    <x v="5"/>
    <x v="517"/>
    <x v="11"/>
    <x v="3189"/>
    <x v="17"/>
    <x v="49"/>
    <x v="2067"/>
    <x v="779"/>
    <x v="3503"/>
    <x v="3500"/>
    <x v="3134"/>
    <x v="4"/>
    <x v="3460"/>
    <x v="3505"/>
    <x v="675"/>
    <x v="0"/>
    <x v="0"/>
    <x v="4"/>
    <x v="170"/>
    <x v="14"/>
    <x v="835"/>
    <x v="2"/>
    <x v="1"/>
    <x v="103"/>
  </r>
  <r>
    <x v="0"/>
    <x v="1535"/>
    <x v="419"/>
    <x v="11"/>
    <x v="107"/>
    <x v="298"/>
    <x v="156"/>
    <x v="3190"/>
    <x v="270"/>
    <x v="289"/>
    <x v="2068"/>
    <x v="2458"/>
    <x v="3504"/>
    <x v="3501"/>
    <x v="3135"/>
    <x v="0"/>
    <x v="3461"/>
    <x v="3506"/>
    <x v="816"/>
    <x v="0"/>
    <x v="1"/>
    <x v="1"/>
    <x v="170"/>
    <x v="21"/>
    <x v="556"/>
    <x v="11"/>
    <x v="3"/>
    <x v="331"/>
  </r>
  <r>
    <x v="0"/>
    <x v="1536"/>
    <x v="259"/>
    <x v="72"/>
    <x v="47"/>
    <x v="526"/>
    <x v="25"/>
    <x v="3191"/>
    <x v="387"/>
    <x v="26"/>
    <x v="1081"/>
    <x v="2459"/>
    <x v="3505"/>
    <x v="3502"/>
    <x v="3136"/>
    <x v="0"/>
    <x v="3462"/>
    <x v="3507"/>
    <x v="578"/>
    <x v="0"/>
    <x v="0"/>
    <x v="4"/>
    <x v="170"/>
    <x v="0"/>
    <x v="586"/>
    <x v="13"/>
    <x v="1"/>
    <x v="1"/>
  </r>
  <r>
    <x v="0"/>
    <x v="1537"/>
    <x v="329"/>
    <x v="58"/>
    <x v="134"/>
    <x v="525"/>
    <x v="0"/>
    <x v="4"/>
    <x v="755"/>
    <x v="167"/>
    <x v="1047"/>
    <x v="2460"/>
    <x v="3506"/>
    <x v="3503"/>
    <x v="3137"/>
    <x v="0"/>
    <x v="3463"/>
    <x v="3508"/>
    <x v="684"/>
    <x v="0"/>
    <x v="3"/>
    <x v="4"/>
    <x v="170"/>
    <x v="5"/>
    <x v="573"/>
    <x v="12"/>
    <x v="1"/>
    <x v="637"/>
  </r>
  <r>
    <x v="1"/>
    <x v="913"/>
    <x v="176"/>
    <x v="40"/>
    <x v="324"/>
    <x v="264"/>
    <x v="67"/>
    <x v="3192"/>
    <x v="316"/>
    <x v="1169"/>
    <x v="5"/>
    <x v="1082"/>
    <x v="3507"/>
    <x v="3504"/>
    <x v="467"/>
    <x v="1"/>
    <x v="3464"/>
    <x v="3509"/>
    <x v="498"/>
    <x v="0"/>
    <x v="1"/>
    <x v="4"/>
    <x v="274"/>
    <x v="1"/>
    <x v="148"/>
    <x v="16"/>
    <x v="1"/>
    <x v="38"/>
  </r>
  <r>
    <x v="0"/>
    <x v="0"/>
    <x v="298"/>
    <x v="86"/>
    <x v="0"/>
    <x v="554"/>
    <x v="35"/>
    <x v="3193"/>
    <x v="46"/>
    <x v="280"/>
    <x v="588"/>
    <x v="1834"/>
    <x v="3508"/>
    <x v="3505"/>
    <x v="3138"/>
    <x v="1"/>
    <x v="3465"/>
    <x v="3510"/>
    <x v="275"/>
    <x v="0"/>
    <x v="1"/>
    <x v="4"/>
    <x v="170"/>
    <x v="31"/>
    <x v="374"/>
    <x v="14"/>
    <x v="3"/>
    <x v="38"/>
  </r>
  <r>
    <x v="1"/>
    <x v="1538"/>
    <x v="155"/>
    <x v="61"/>
    <x v="45"/>
    <x v="496"/>
    <x v="545"/>
    <x v="3194"/>
    <x v="17"/>
    <x v="1351"/>
    <x v="2069"/>
    <x v="2461"/>
    <x v="3509"/>
    <x v="3506"/>
    <x v="3139"/>
    <x v="4"/>
    <x v="3466"/>
    <x v="3511"/>
    <x v="571"/>
    <x v="15"/>
    <x v="8"/>
    <x v="4"/>
    <x v="282"/>
    <x v="17"/>
    <x v="836"/>
    <x v="16"/>
    <x v="3"/>
    <x v="59"/>
  </r>
  <r>
    <x v="0"/>
    <x v="323"/>
    <x v="118"/>
    <x v="42"/>
    <x v="0"/>
    <x v="783"/>
    <x v="0"/>
    <x v="3195"/>
    <x v="122"/>
    <x v="1054"/>
    <x v="2070"/>
    <x v="2462"/>
    <x v="3510"/>
    <x v="3507"/>
    <x v="3140"/>
    <x v="4"/>
    <x v="3467"/>
    <x v="3512"/>
    <x v="678"/>
    <x v="0"/>
    <x v="1"/>
    <x v="4"/>
    <x v="70"/>
    <x v="0"/>
    <x v="659"/>
    <x v="32"/>
    <x v="3"/>
    <x v="1"/>
  </r>
  <r>
    <x v="0"/>
    <x v="1539"/>
    <x v="232"/>
    <x v="26"/>
    <x v="377"/>
    <x v="128"/>
    <x v="672"/>
    <x v="4"/>
    <x v="658"/>
    <x v="1352"/>
    <x v="2071"/>
    <x v="2463"/>
    <x v="3511"/>
    <x v="3508"/>
    <x v="2199"/>
    <x v="0"/>
    <x v="3468"/>
    <x v="3513"/>
    <x v="776"/>
    <x v="0"/>
    <x v="0"/>
    <x v="4"/>
    <x v="213"/>
    <x v="39"/>
    <x v="491"/>
    <x v="11"/>
    <x v="3"/>
    <x v="1"/>
  </r>
  <r>
    <x v="0"/>
    <x v="113"/>
    <x v="81"/>
    <x v="162"/>
    <x v="88"/>
    <x v="531"/>
    <x v="673"/>
    <x v="4"/>
    <x v="168"/>
    <x v="1353"/>
    <x v="2072"/>
    <x v="2464"/>
    <x v="3512"/>
    <x v="3509"/>
    <x v="3141"/>
    <x v="7"/>
    <x v="4"/>
    <x v="3514"/>
    <x v="719"/>
    <x v="17"/>
    <x v="20"/>
    <x v="7"/>
    <x v="4"/>
    <x v="4"/>
    <x v="557"/>
    <x v="50"/>
    <x v="3"/>
    <x v="1"/>
  </r>
  <r>
    <x v="0"/>
    <x v="609"/>
    <x v="197"/>
    <x v="32"/>
    <x v="0"/>
    <x v="674"/>
    <x v="0"/>
    <x v="3196"/>
    <x v="127"/>
    <x v="990"/>
    <x v="2073"/>
    <x v="1220"/>
    <x v="3513"/>
    <x v="3510"/>
    <x v="3142"/>
    <x v="5"/>
    <x v="3469"/>
    <x v="3515"/>
    <x v="136"/>
    <x v="0"/>
    <x v="0"/>
    <x v="4"/>
    <x v="224"/>
    <x v="16"/>
    <x v="103"/>
    <x v="13"/>
    <x v="3"/>
    <x v="1"/>
  </r>
  <r>
    <x v="0"/>
    <x v="1170"/>
    <x v="310"/>
    <x v="47"/>
    <x v="135"/>
    <x v="286"/>
    <x v="0"/>
    <x v="3197"/>
    <x v="756"/>
    <x v="1354"/>
    <x v="540"/>
    <x v="2465"/>
    <x v="3514"/>
    <x v="3511"/>
    <x v="3143"/>
    <x v="4"/>
    <x v="3470"/>
    <x v="3516"/>
    <x v="662"/>
    <x v="0"/>
    <x v="0"/>
    <x v="0"/>
    <x v="224"/>
    <x v="33"/>
    <x v="351"/>
    <x v="13"/>
    <x v="1"/>
    <x v="38"/>
  </r>
  <r>
    <x v="0"/>
    <x v="78"/>
    <x v="293"/>
    <x v="60"/>
    <x v="0"/>
    <x v="362"/>
    <x v="1"/>
    <x v="3198"/>
    <x v="269"/>
    <x v="1"/>
    <x v="633"/>
    <x v="1277"/>
    <x v="3515"/>
    <x v="3512"/>
    <x v="3144"/>
    <x v="0"/>
    <x v="3471"/>
    <x v="3517"/>
    <x v="146"/>
    <x v="0"/>
    <x v="1"/>
    <x v="4"/>
    <x v="224"/>
    <x v="43"/>
    <x v="50"/>
    <x v="14"/>
    <x v="3"/>
    <x v="104"/>
  </r>
  <r>
    <x v="0"/>
    <x v="942"/>
    <x v="88"/>
    <x v="40"/>
    <x v="325"/>
    <x v="140"/>
    <x v="533"/>
    <x v="3199"/>
    <x v="757"/>
    <x v="1355"/>
    <x v="2074"/>
    <x v="2466"/>
    <x v="3516"/>
    <x v="3513"/>
    <x v="3145"/>
    <x v="0"/>
    <x v="3472"/>
    <x v="3518"/>
    <x v="921"/>
    <x v="0"/>
    <x v="0"/>
    <x v="4"/>
    <x v="224"/>
    <x v="14"/>
    <x v="550"/>
    <x v="7"/>
    <x v="3"/>
    <x v="1"/>
  </r>
  <r>
    <x v="0"/>
    <x v="1540"/>
    <x v="335"/>
    <x v="47"/>
    <x v="3"/>
    <x v="733"/>
    <x v="5"/>
    <x v="3200"/>
    <x v="758"/>
    <x v="1356"/>
    <x v="2075"/>
    <x v="2467"/>
    <x v="3517"/>
    <x v="3514"/>
    <x v="3146"/>
    <x v="1"/>
    <x v="3473"/>
    <x v="3519"/>
    <x v="75"/>
    <x v="0"/>
    <x v="0"/>
    <x v="18"/>
    <x v="224"/>
    <x v="50"/>
    <x v="730"/>
    <x v="14"/>
    <x v="1"/>
    <x v="1"/>
  </r>
  <r>
    <x v="0"/>
    <x v="1541"/>
    <x v="118"/>
    <x v="106"/>
    <x v="111"/>
    <x v="746"/>
    <x v="674"/>
    <x v="3201"/>
    <x v="759"/>
    <x v="1357"/>
    <x v="2076"/>
    <x v="2468"/>
    <x v="3518"/>
    <x v="3515"/>
    <x v="3147"/>
    <x v="4"/>
    <x v="3474"/>
    <x v="3520"/>
    <x v="545"/>
    <x v="0"/>
    <x v="0"/>
    <x v="11"/>
    <x v="224"/>
    <x v="53"/>
    <x v="452"/>
    <x v="6"/>
    <x v="10"/>
    <x v="1"/>
  </r>
  <r>
    <x v="0"/>
    <x v="351"/>
    <x v="219"/>
    <x v="23"/>
    <x v="0"/>
    <x v="70"/>
    <x v="35"/>
    <x v="3202"/>
    <x v="270"/>
    <x v="548"/>
    <x v="2077"/>
    <x v="86"/>
    <x v="3519"/>
    <x v="3516"/>
    <x v="3148"/>
    <x v="3"/>
    <x v="3475"/>
    <x v="3521"/>
    <x v="41"/>
    <x v="0"/>
    <x v="0"/>
    <x v="4"/>
    <x v="224"/>
    <x v="35"/>
    <x v="7"/>
    <x v="6"/>
    <x v="3"/>
    <x v="1"/>
  </r>
  <r>
    <x v="0"/>
    <x v="158"/>
    <x v="86"/>
    <x v="60"/>
    <x v="115"/>
    <x v="188"/>
    <x v="0"/>
    <x v="261"/>
    <x v="121"/>
    <x v="51"/>
    <x v="212"/>
    <x v="237"/>
    <x v="268"/>
    <x v="3517"/>
    <x v="264"/>
    <x v="0"/>
    <x v="266"/>
    <x v="268"/>
    <x v="251"/>
    <x v="0"/>
    <x v="0"/>
    <x v="2"/>
    <x v="43"/>
    <x v="14"/>
    <x v="30"/>
    <x v="27"/>
    <x v="1"/>
    <x v="1"/>
  </r>
  <r>
    <x v="0"/>
    <x v="1542"/>
    <x v="293"/>
    <x v="49"/>
    <x v="116"/>
    <x v="251"/>
    <x v="669"/>
    <x v="3203"/>
    <x v="760"/>
    <x v="1344"/>
    <x v="2078"/>
    <x v="2469"/>
    <x v="3520"/>
    <x v="3518"/>
    <x v="3149"/>
    <x v="0"/>
    <x v="3476"/>
    <x v="3522"/>
    <x v="271"/>
    <x v="0"/>
    <x v="0"/>
    <x v="10"/>
    <x v="224"/>
    <x v="60"/>
    <x v="587"/>
    <x v="32"/>
    <x v="5"/>
    <x v="1"/>
  </r>
  <r>
    <x v="0"/>
    <x v="370"/>
    <x v="184"/>
    <x v="42"/>
    <x v="201"/>
    <x v="241"/>
    <x v="57"/>
    <x v="3204"/>
    <x v="300"/>
    <x v="192"/>
    <x v="2079"/>
    <x v="853"/>
    <x v="3521"/>
    <x v="3519"/>
    <x v="3150"/>
    <x v="3"/>
    <x v="3477"/>
    <x v="3523"/>
    <x v="384"/>
    <x v="0"/>
    <x v="0"/>
    <x v="4"/>
    <x v="224"/>
    <x v="35"/>
    <x v="549"/>
    <x v="38"/>
    <x v="3"/>
    <x v="1"/>
  </r>
  <r>
    <x v="0"/>
    <x v="1543"/>
    <x v="460"/>
    <x v="11"/>
    <x v="123"/>
    <x v="801"/>
    <x v="22"/>
    <x v="3205"/>
    <x v="200"/>
    <x v="430"/>
    <x v="1766"/>
    <x v="1860"/>
    <x v="3522"/>
    <x v="3520"/>
    <x v="3151"/>
    <x v="2"/>
    <x v="3478"/>
    <x v="3524"/>
    <x v="712"/>
    <x v="0"/>
    <x v="0"/>
    <x v="4"/>
    <x v="224"/>
    <x v="18"/>
    <x v="793"/>
    <x v="22"/>
    <x v="3"/>
    <x v="259"/>
  </r>
  <r>
    <x v="0"/>
    <x v="1171"/>
    <x v="465"/>
    <x v="11"/>
    <x v="137"/>
    <x v="334"/>
    <x v="191"/>
    <x v="3206"/>
    <x v="105"/>
    <x v="536"/>
    <x v="1857"/>
    <x v="2129"/>
    <x v="3523"/>
    <x v="3521"/>
    <x v="3152"/>
    <x v="0"/>
    <x v="3479"/>
    <x v="3525"/>
    <x v="724"/>
    <x v="0"/>
    <x v="0"/>
    <x v="4"/>
    <x v="224"/>
    <x v="15"/>
    <x v="296"/>
    <x v="8"/>
    <x v="3"/>
    <x v="177"/>
  </r>
  <r>
    <x v="0"/>
    <x v="11"/>
    <x v="57"/>
    <x v="11"/>
    <x v="0"/>
    <x v="354"/>
    <x v="11"/>
    <x v="3207"/>
    <x v="171"/>
    <x v="11"/>
    <x v="705"/>
    <x v="485"/>
    <x v="3524"/>
    <x v="3522"/>
    <x v="3153"/>
    <x v="2"/>
    <x v="3480"/>
    <x v="3526"/>
    <x v="922"/>
    <x v="0"/>
    <x v="0"/>
    <x v="4"/>
    <x v="224"/>
    <x v="16"/>
    <x v="114"/>
    <x v="35"/>
    <x v="1"/>
    <x v="82"/>
  </r>
  <r>
    <x v="1"/>
    <x v="249"/>
    <x v="343"/>
    <x v="71"/>
    <x v="138"/>
    <x v="734"/>
    <x v="675"/>
    <x v="3208"/>
    <x v="761"/>
    <x v="1358"/>
    <x v="2080"/>
    <x v="2470"/>
    <x v="3525"/>
    <x v="3523"/>
    <x v="3154"/>
    <x v="0"/>
    <x v="3481"/>
    <x v="3527"/>
    <x v="108"/>
    <x v="0"/>
    <x v="0"/>
    <x v="14"/>
    <x v="83"/>
    <x v="30"/>
    <x v="837"/>
    <x v="37"/>
    <x v="3"/>
    <x v="103"/>
  </r>
  <r>
    <x v="0"/>
    <x v="205"/>
    <x v="368"/>
    <x v="50"/>
    <x v="69"/>
    <x v="799"/>
    <x v="17"/>
    <x v="3209"/>
    <x v="127"/>
    <x v="32"/>
    <x v="829"/>
    <x v="2471"/>
    <x v="3526"/>
    <x v="3524"/>
    <x v="3155"/>
    <x v="0"/>
    <x v="3482"/>
    <x v="3528"/>
    <x v="150"/>
    <x v="0"/>
    <x v="8"/>
    <x v="4"/>
    <x v="224"/>
    <x v="19"/>
    <x v="485"/>
    <x v="21"/>
    <x v="3"/>
    <x v="1"/>
  </r>
  <r>
    <x v="0"/>
    <x v="121"/>
    <x v="404"/>
    <x v="56"/>
    <x v="0"/>
    <x v="209"/>
    <x v="0"/>
    <x v="3210"/>
    <x v="291"/>
    <x v="441"/>
    <x v="2081"/>
    <x v="2472"/>
    <x v="3527"/>
    <x v="3525"/>
    <x v="3156"/>
    <x v="0"/>
    <x v="3483"/>
    <x v="3529"/>
    <x v="923"/>
    <x v="0"/>
    <x v="0"/>
    <x v="4"/>
    <x v="224"/>
    <x v="8"/>
    <x v="396"/>
    <x v="0"/>
    <x v="1"/>
    <x v="7"/>
  </r>
  <r>
    <x v="0"/>
    <x v="1544"/>
    <x v="424"/>
    <x v="48"/>
    <x v="91"/>
    <x v="759"/>
    <x v="420"/>
    <x v="3211"/>
    <x v="304"/>
    <x v="764"/>
    <x v="2082"/>
    <x v="2473"/>
    <x v="3528"/>
    <x v="3526"/>
    <x v="169"/>
    <x v="0"/>
    <x v="3484"/>
    <x v="3530"/>
    <x v="499"/>
    <x v="0"/>
    <x v="0"/>
    <x v="10"/>
    <x v="83"/>
    <x v="61"/>
    <x v="263"/>
    <x v="8"/>
    <x v="15"/>
    <x v="638"/>
  </r>
  <r>
    <x v="0"/>
    <x v="1250"/>
    <x v="323"/>
    <x v="78"/>
    <x v="148"/>
    <x v="314"/>
    <x v="58"/>
    <x v="3212"/>
    <x v="125"/>
    <x v="100"/>
    <x v="509"/>
    <x v="417"/>
    <x v="3529"/>
    <x v="3527"/>
    <x v="3157"/>
    <x v="12"/>
    <x v="3485"/>
    <x v="3531"/>
    <x v="471"/>
    <x v="0"/>
    <x v="0"/>
    <x v="0"/>
    <x v="224"/>
    <x v="21"/>
    <x v="330"/>
    <x v="7"/>
    <x v="3"/>
    <x v="1"/>
  </r>
  <r>
    <x v="0"/>
    <x v="469"/>
    <x v="275"/>
    <x v="11"/>
    <x v="0"/>
    <x v="867"/>
    <x v="413"/>
    <x v="3213"/>
    <x v="46"/>
    <x v="806"/>
    <x v="1932"/>
    <x v="2474"/>
    <x v="3530"/>
    <x v="3528"/>
    <x v="3158"/>
    <x v="1"/>
    <x v="3486"/>
    <x v="3532"/>
    <x v="437"/>
    <x v="0"/>
    <x v="1"/>
    <x v="4"/>
    <x v="224"/>
    <x v="37"/>
    <x v="201"/>
    <x v="13"/>
    <x v="1"/>
    <x v="1"/>
  </r>
  <r>
    <x v="0"/>
    <x v="437"/>
    <x v="417"/>
    <x v="61"/>
    <x v="0"/>
    <x v="94"/>
    <x v="559"/>
    <x v="3214"/>
    <x v="752"/>
    <x v="1359"/>
    <x v="2083"/>
    <x v="1070"/>
    <x v="3531"/>
    <x v="3529"/>
    <x v="3159"/>
    <x v="2"/>
    <x v="3487"/>
    <x v="3533"/>
    <x v="785"/>
    <x v="0"/>
    <x v="0"/>
    <x v="4"/>
    <x v="170"/>
    <x v="32"/>
    <x v="722"/>
    <x v="27"/>
    <x v="3"/>
    <x v="194"/>
  </r>
  <r>
    <x v="0"/>
    <x v="1545"/>
    <x v="460"/>
    <x v="71"/>
    <x v="0"/>
    <x v="417"/>
    <x v="532"/>
    <x v="3215"/>
    <x v="238"/>
    <x v="1002"/>
    <x v="769"/>
    <x v="1086"/>
    <x v="3532"/>
    <x v="3530"/>
    <x v="846"/>
    <x v="4"/>
    <x v="3488"/>
    <x v="3534"/>
    <x v="646"/>
    <x v="0"/>
    <x v="0"/>
    <x v="2"/>
    <x v="224"/>
    <x v="1"/>
    <x v="461"/>
    <x v="64"/>
    <x v="3"/>
    <x v="639"/>
  </r>
  <r>
    <x v="0"/>
    <x v="1546"/>
    <x v="315"/>
    <x v="107"/>
    <x v="378"/>
    <x v="607"/>
    <x v="281"/>
    <x v="3216"/>
    <x v="132"/>
    <x v="1360"/>
    <x v="2084"/>
    <x v="2475"/>
    <x v="3533"/>
    <x v="3531"/>
    <x v="1989"/>
    <x v="1"/>
    <x v="3489"/>
    <x v="3535"/>
    <x v="640"/>
    <x v="0"/>
    <x v="14"/>
    <x v="0"/>
    <x v="4"/>
    <x v="13"/>
    <x v="653"/>
    <x v="5"/>
    <x v="1"/>
    <x v="540"/>
  </r>
  <r>
    <x v="0"/>
    <x v="1250"/>
    <x v="241"/>
    <x v="43"/>
    <x v="148"/>
    <x v="414"/>
    <x v="177"/>
    <x v="3217"/>
    <x v="430"/>
    <x v="1167"/>
    <x v="1410"/>
    <x v="2243"/>
    <x v="3534"/>
    <x v="3532"/>
    <x v="2054"/>
    <x v="0"/>
    <x v="3490"/>
    <x v="3536"/>
    <x v="924"/>
    <x v="0"/>
    <x v="0"/>
    <x v="0"/>
    <x v="4"/>
    <x v="17"/>
    <x v="602"/>
    <x v="11"/>
    <x v="3"/>
    <x v="1"/>
  </r>
  <r>
    <x v="0"/>
    <x v="372"/>
    <x v="384"/>
    <x v="27"/>
    <x v="8"/>
    <x v="314"/>
    <x v="94"/>
    <x v="3218"/>
    <x v="105"/>
    <x v="218"/>
    <x v="350"/>
    <x v="768"/>
    <x v="3535"/>
    <x v="3533"/>
    <x v="3160"/>
    <x v="2"/>
    <x v="3491"/>
    <x v="3537"/>
    <x v="546"/>
    <x v="0"/>
    <x v="0"/>
    <x v="4"/>
    <x v="224"/>
    <x v="32"/>
    <x v="234"/>
    <x v="5"/>
    <x v="3"/>
    <x v="1"/>
  </r>
  <r>
    <x v="0"/>
    <x v="113"/>
    <x v="81"/>
    <x v="4"/>
    <x v="88"/>
    <x v="95"/>
    <x v="0"/>
    <x v="4"/>
    <x v="153"/>
    <x v="51"/>
    <x v="2085"/>
    <x v="120"/>
    <x v="3536"/>
    <x v="3534"/>
    <x v="284"/>
    <x v="1"/>
    <x v="3492"/>
    <x v="3538"/>
    <x v="704"/>
    <x v="0"/>
    <x v="1"/>
    <x v="5"/>
    <x v="4"/>
    <x v="4"/>
    <x v="625"/>
    <x v="17"/>
    <x v="12"/>
    <x v="59"/>
  </r>
  <r>
    <x v="0"/>
    <x v="505"/>
    <x v="343"/>
    <x v="77"/>
    <x v="195"/>
    <x v="2"/>
    <x v="39"/>
    <x v="3219"/>
    <x v="196"/>
    <x v="57"/>
    <x v="472"/>
    <x v="2476"/>
    <x v="3537"/>
    <x v="1216"/>
    <x v="2160"/>
    <x v="1"/>
    <x v="3493"/>
    <x v="3539"/>
    <x v="341"/>
    <x v="0"/>
    <x v="1"/>
    <x v="4"/>
    <x v="195"/>
    <x v="20"/>
    <x v="267"/>
    <x v="2"/>
    <x v="3"/>
    <x v="1"/>
  </r>
  <r>
    <x v="0"/>
    <x v="1547"/>
    <x v="429"/>
    <x v="42"/>
    <x v="47"/>
    <x v="677"/>
    <x v="0"/>
    <x v="3220"/>
    <x v="662"/>
    <x v="1157"/>
    <x v="1841"/>
    <x v="2477"/>
    <x v="3538"/>
    <x v="3535"/>
    <x v="3161"/>
    <x v="0"/>
    <x v="3494"/>
    <x v="3540"/>
    <x v="802"/>
    <x v="0"/>
    <x v="0"/>
    <x v="4"/>
    <x v="224"/>
    <x v="16"/>
    <x v="163"/>
    <x v="9"/>
    <x v="3"/>
    <x v="640"/>
  </r>
  <r>
    <x v="0"/>
    <x v="371"/>
    <x v="153"/>
    <x v="61"/>
    <x v="215"/>
    <x v="401"/>
    <x v="0"/>
    <x v="3221"/>
    <x v="411"/>
    <x v="247"/>
    <x v="470"/>
    <x v="2478"/>
    <x v="3539"/>
    <x v="3536"/>
    <x v="3162"/>
    <x v="1"/>
    <x v="3495"/>
    <x v="3541"/>
    <x v="268"/>
    <x v="0"/>
    <x v="1"/>
    <x v="4"/>
    <x v="224"/>
    <x v="7"/>
    <x v="307"/>
    <x v="16"/>
    <x v="1"/>
    <x v="1"/>
  </r>
  <r>
    <x v="0"/>
    <x v="1548"/>
    <x v="312"/>
    <x v="45"/>
    <x v="216"/>
    <x v="209"/>
    <x v="413"/>
    <x v="3222"/>
    <x v="381"/>
    <x v="806"/>
    <x v="2086"/>
    <x v="264"/>
    <x v="3540"/>
    <x v="3537"/>
    <x v="3163"/>
    <x v="1"/>
    <x v="3496"/>
    <x v="3542"/>
    <x v="158"/>
    <x v="0"/>
    <x v="0"/>
    <x v="14"/>
    <x v="119"/>
    <x v="30"/>
    <x v="189"/>
    <x v="31"/>
    <x v="3"/>
    <x v="641"/>
  </r>
  <r>
    <x v="0"/>
    <x v="776"/>
    <x v="99"/>
    <x v="77"/>
    <x v="0"/>
    <x v="19"/>
    <x v="2"/>
    <x v="3223"/>
    <x v="539"/>
    <x v="72"/>
    <x v="2087"/>
    <x v="2479"/>
    <x v="3541"/>
    <x v="3538"/>
    <x v="3164"/>
    <x v="1"/>
    <x v="3497"/>
    <x v="3543"/>
    <x v="736"/>
    <x v="0"/>
    <x v="0"/>
    <x v="0"/>
    <x v="240"/>
    <x v="10"/>
    <x v="64"/>
    <x v="2"/>
    <x v="3"/>
    <x v="61"/>
  </r>
  <r>
    <x v="0"/>
    <x v="1549"/>
    <x v="435"/>
    <x v="142"/>
    <x v="0"/>
    <x v="4"/>
    <x v="156"/>
    <x v="3224"/>
    <x v="762"/>
    <x v="289"/>
    <x v="2088"/>
    <x v="4"/>
    <x v="3542"/>
    <x v="3539"/>
    <x v="3165"/>
    <x v="0"/>
    <x v="3498"/>
    <x v="3544"/>
    <x v="685"/>
    <x v="0"/>
    <x v="1"/>
    <x v="1"/>
    <x v="224"/>
    <x v="8"/>
    <x v="253"/>
    <x v="12"/>
    <x v="0"/>
    <x v="642"/>
  </r>
  <r>
    <x v="0"/>
    <x v="930"/>
    <x v="389"/>
    <x v="40"/>
    <x v="0"/>
    <x v="402"/>
    <x v="566"/>
    <x v="3225"/>
    <x v="113"/>
    <x v="1084"/>
    <x v="1793"/>
    <x v="2480"/>
    <x v="3543"/>
    <x v="3364"/>
    <x v="3166"/>
    <x v="0"/>
    <x v="3499"/>
    <x v="3545"/>
    <x v="627"/>
    <x v="0"/>
    <x v="0"/>
    <x v="4"/>
    <x v="224"/>
    <x v="21"/>
    <x v="309"/>
    <x v="15"/>
    <x v="3"/>
    <x v="1"/>
  </r>
  <r>
    <x v="0"/>
    <x v="1550"/>
    <x v="334"/>
    <x v="59"/>
    <x v="379"/>
    <x v="256"/>
    <x v="0"/>
    <x v="3226"/>
    <x v="105"/>
    <x v="84"/>
    <x v="935"/>
    <x v="330"/>
    <x v="3544"/>
    <x v="3540"/>
    <x v="3167"/>
    <x v="7"/>
    <x v="3500"/>
    <x v="3546"/>
    <x v="417"/>
    <x v="0"/>
    <x v="0"/>
    <x v="4"/>
    <x v="224"/>
    <x v="15"/>
    <x v="529"/>
    <x v="18"/>
    <x v="3"/>
    <x v="1"/>
  </r>
  <r>
    <x v="0"/>
    <x v="1551"/>
    <x v="405"/>
    <x v="58"/>
    <x v="255"/>
    <x v="9"/>
    <x v="6"/>
    <x v="3227"/>
    <x v="260"/>
    <x v="6"/>
    <x v="941"/>
    <x v="2481"/>
    <x v="3545"/>
    <x v="3541"/>
    <x v="3168"/>
    <x v="1"/>
    <x v="3501"/>
    <x v="3547"/>
    <x v="140"/>
    <x v="0"/>
    <x v="0"/>
    <x v="0"/>
    <x v="224"/>
    <x v="3"/>
    <x v="20"/>
    <x v="1"/>
    <x v="3"/>
    <x v="90"/>
  </r>
  <r>
    <x v="0"/>
    <x v="1552"/>
    <x v="395"/>
    <x v="95"/>
    <x v="198"/>
    <x v="868"/>
    <x v="94"/>
    <x v="3228"/>
    <x v="335"/>
    <x v="166"/>
    <x v="279"/>
    <x v="2482"/>
    <x v="3546"/>
    <x v="3542"/>
    <x v="3169"/>
    <x v="1"/>
    <x v="3502"/>
    <x v="3548"/>
    <x v="640"/>
    <x v="6"/>
    <x v="0"/>
    <x v="4"/>
    <x v="224"/>
    <x v="3"/>
    <x v="190"/>
    <x v="34"/>
    <x v="1"/>
    <x v="104"/>
  </r>
  <r>
    <x v="0"/>
    <x v="1553"/>
    <x v="290"/>
    <x v="27"/>
    <x v="131"/>
    <x v="352"/>
    <x v="22"/>
    <x v="3229"/>
    <x v="200"/>
    <x v="1326"/>
    <x v="1753"/>
    <x v="2483"/>
    <x v="3547"/>
    <x v="3543"/>
    <x v="3170"/>
    <x v="5"/>
    <x v="3503"/>
    <x v="3549"/>
    <x v="420"/>
    <x v="0"/>
    <x v="0"/>
    <x v="0"/>
    <x v="224"/>
    <x v="0"/>
    <x v="381"/>
    <x v="38"/>
    <x v="3"/>
    <x v="1"/>
  </r>
  <r>
    <x v="0"/>
    <x v="1554"/>
    <x v="344"/>
    <x v="45"/>
    <x v="223"/>
    <x v="222"/>
    <x v="22"/>
    <x v="3230"/>
    <x v="408"/>
    <x v="202"/>
    <x v="1169"/>
    <x v="2484"/>
    <x v="3548"/>
    <x v="3544"/>
    <x v="3171"/>
    <x v="0"/>
    <x v="3504"/>
    <x v="3550"/>
    <x v="104"/>
    <x v="0"/>
    <x v="25"/>
    <x v="4"/>
    <x v="224"/>
    <x v="10"/>
    <x v="623"/>
    <x v="11"/>
    <x v="1"/>
    <x v="16"/>
  </r>
  <r>
    <x v="0"/>
    <x v="1555"/>
    <x v="372"/>
    <x v="50"/>
    <x v="0"/>
    <x v="410"/>
    <x v="0"/>
    <x v="3231"/>
    <x v="125"/>
    <x v="600"/>
    <x v="2089"/>
    <x v="596"/>
    <x v="3549"/>
    <x v="3545"/>
    <x v="3172"/>
    <x v="0"/>
    <x v="3505"/>
    <x v="3551"/>
    <x v="365"/>
    <x v="0"/>
    <x v="0"/>
    <x v="4"/>
    <x v="170"/>
    <x v="8"/>
    <x v="30"/>
    <x v="51"/>
    <x v="3"/>
    <x v="206"/>
  </r>
  <r>
    <x v="0"/>
    <x v="571"/>
    <x v="194"/>
    <x v="78"/>
    <x v="0"/>
    <x v="99"/>
    <x v="41"/>
    <x v="3232"/>
    <x v="17"/>
    <x v="396"/>
    <x v="517"/>
    <x v="477"/>
    <x v="3550"/>
    <x v="3546"/>
    <x v="3173"/>
    <x v="0"/>
    <x v="3506"/>
    <x v="3552"/>
    <x v="90"/>
    <x v="0"/>
    <x v="0"/>
    <x v="4"/>
    <x v="224"/>
    <x v="15"/>
    <x v="336"/>
    <x v="13"/>
    <x v="3"/>
    <x v="1"/>
  </r>
  <r>
    <x v="0"/>
    <x v="1221"/>
    <x v="272"/>
    <x v="55"/>
    <x v="218"/>
    <x v="684"/>
    <x v="0"/>
    <x v="3233"/>
    <x v="399"/>
    <x v="51"/>
    <x v="2090"/>
    <x v="1256"/>
    <x v="3551"/>
    <x v="3547"/>
    <x v="3174"/>
    <x v="2"/>
    <x v="3507"/>
    <x v="3553"/>
    <x v="284"/>
    <x v="0"/>
    <x v="1"/>
    <x v="4"/>
    <x v="4"/>
    <x v="20"/>
    <x v="343"/>
    <x v="15"/>
    <x v="3"/>
    <x v="202"/>
  </r>
  <r>
    <x v="0"/>
    <x v="1556"/>
    <x v="352"/>
    <x v="78"/>
    <x v="204"/>
    <x v="399"/>
    <x v="654"/>
    <x v="3234"/>
    <x v="127"/>
    <x v="1361"/>
    <x v="2091"/>
    <x v="2485"/>
    <x v="3552"/>
    <x v="3548"/>
    <x v="1649"/>
    <x v="4"/>
    <x v="3508"/>
    <x v="3554"/>
    <x v="546"/>
    <x v="0"/>
    <x v="0"/>
    <x v="4"/>
    <x v="224"/>
    <x v="0"/>
    <x v="115"/>
    <x v="37"/>
    <x v="3"/>
    <x v="640"/>
  </r>
  <r>
    <x v="0"/>
    <x v="1557"/>
    <x v="290"/>
    <x v="11"/>
    <x v="0"/>
    <x v="442"/>
    <x v="30"/>
    <x v="3235"/>
    <x v="200"/>
    <x v="110"/>
    <x v="262"/>
    <x v="646"/>
    <x v="3553"/>
    <x v="3549"/>
    <x v="3175"/>
    <x v="2"/>
    <x v="3509"/>
    <x v="3555"/>
    <x v="641"/>
    <x v="0"/>
    <x v="0"/>
    <x v="4"/>
    <x v="224"/>
    <x v="11"/>
    <x v="30"/>
    <x v="10"/>
    <x v="1"/>
    <x v="1"/>
  </r>
  <r>
    <x v="0"/>
    <x v="1558"/>
    <x v="311"/>
    <x v="45"/>
    <x v="221"/>
    <x v="609"/>
    <x v="41"/>
    <x v="3236"/>
    <x v="196"/>
    <x v="221"/>
    <x v="603"/>
    <x v="2486"/>
    <x v="3554"/>
    <x v="3550"/>
    <x v="3176"/>
    <x v="1"/>
    <x v="3510"/>
    <x v="3556"/>
    <x v="600"/>
    <x v="0"/>
    <x v="8"/>
    <x v="0"/>
    <x v="224"/>
    <x v="15"/>
    <x v="60"/>
    <x v="43"/>
    <x v="1"/>
    <x v="347"/>
  </r>
  <r>
    <x v="0"/>
    <x v="113"/>
    <x v="276"/>
    <x v="104"/>
    <x v="88"/>
    <x v="631"/>
    <x v="676"/>
    <x v="4"/>
    <x v="241"/>
    <x v="1362"/>
    <x v="2092"/>
    <x v="2487"/>
    <x v="3555"/>
    <x v="3551"/>
    <x v="3177"/>
    <x v="1"/>
    <x v="3511"/>
    <x v="3557"/>
    <x v="419"/>
    <x v="0"/>
    <x v="0"/>
    <x v="5"/>
    <x v="4"/>
    <x v="4"/>
    <x v="393"/>
    <x v="26"/>
    <x v="0"/>
    <x v="1"/>
  </r>
  <r>
    <x v="0"/>
    <x v="1559"/>
    <x v="339"/>
    <x v="54"/>
    <x v="112"/>
    <x v="132"/>
    <x v="677"/>
    <x v="3237"/>
    <x v="191"/>
    <x v="1363"/>
    <x v="2093"/>
    <x v="1209"/>
    <x v="3556"/>
    <x v="3552"/>
    <x v="226"/>
    <x v="0"/>
    <x v="3512"/>
    <x v="3558"/>
    <x v="444"/>
    <x v="0"/>
    <x v="0"/>
    <x v="4"/>
    <x v="224"/>
    <x v="18"/>
    <x v="618"/>
    <x v="6"/>
    <x v="3"/>
    <x v="1"/>
  </r>
  <r>
    <x v="0"/>
    <x v="1057"/>
    <x v="479"/>
    <x v="77"/>
    <x v="80"/>
    <x v="49"/>
    <x v="270"/>
    <x v="3238"/>
    <x v="54"/>
    <x v="1364"/>
    <x v="2094"/>
    <x v="2488"/>
    <x v="3557"/>
    <x v="3553"/>
    <x v="3178"/>
    <x v="1"/>
    <x v="3513"/>
    <x v="3559"/>
    <x v="724"/>
    <x v="0"/>
    <x v="0"/>
    <x v="0"/>
    <x v="224"/>
    <x v="27"/>
    <x v="448"/>
    <x v="10"/>
    <x v="3"/>
    <x v="1"/>
  </r>
  <r>
    <x v="0"/>
    <x v="1560"/>
    <x v="329"/>
    <x v="41"/>
    <x v="123"/>
    <x v="485"/>
    <x v="678"/>
    <x v="4"/>
    <x v="416"/>
    <x v="1365"/>
    <x v="2095"/>
    <x v="2489"/>
    <x v="3558"/>
    <x v="3554"/>
    <x v="3179"/>
    <x v="0"/>
    <x v="3514"/>
    <x v="3560"/>
    <x v="685"/>
    <x v="0"/>
    <x v="0"/>
    <x v="1"/>
    <x v="4"/>
    <x v="2"/>
    <x v="838"/>
    <x v="28"/>
    <x v="1"/>
    <x v="643"/>
  </r>
  <r>
    <x v="0"/>
    <x v="944"/>
    <x v="309"/>
    <x v="77"/>
    <x v="217"/>
    <x v="580"/>
    <x v="41"/>
    <x v="3239"/>
    <x v="433"/>
    <x v="563"/>
    <x v="128"/>
    <x v="2029"/>
    <x v="3559"/>
    <x v="3555"/>
    <x v="3180"/>
    <x v="0"/>
    <x v="3515"/>
    <x v="3561"/>
    <x v="600"/>
    <x v="0"/>
    <x v="0"/>
    <x v="0"/>
    <x v="224"/>
    <x v="17"/>
    <x v="13"/>
    <x v="13"/>
    <x v="1"/>
    <x v="1"/>
  </r>
  <r>
    <x v="0"/>
    <x v="1561"/>
    <x v="274"/>
    <x v="54"/>
    <x v="193"/>
    <x v="100"/>
    <x v="356"/>
    <x v="3240"/>
    <x v="369"/>
    <x v="1366"/>
    <x v="2096"/>
    <x v="2490"/>
    <x v="3560"/>
    <x v="3556"/>
    <x v="3181"/>
    <x v="3"/>
    <x v="3516"/>
    <x v="3562"/>
    <x v="715"/>
    <x v="0"/>
    <x v="0"/>
    <x v="4"/>
    <x v="224"/>
    <x v="18"/>
    <x v="724"/>
    <x v="27"/>
    <x v="3"/>
    <x v="644"/>
  </r>
  <r>
    <x v="0"/>
    <x v="1562"/>
    <x v="258"/>
    <x v="95"/>
    <x v="78"/>
    <x v="869"/>
    <x v="317"/>
    <x v="3241"/>
    <x v="306"/>
    <x v="572"/>
    <x v="1983"/>
    <x v="2491"/>
    <x v="3561"/>
    <x v="3557"/>
    <x v="3182"/>
    <x v="4"/>
    <x v="3517"/>
    <x v="3563"/>
    <x v="365"/>
    <x v="0"/>
    <x v="0"/>
    <x v="4"/>
    <x v="4"/>
    <x v="18"/>
    <x v="347"/>
    <x v="21"/>
    <x v="3"/>
    <x v="645"/>
  </r>
  <r>
    <x v="0"/>
    <x v="1563"/>
    <x v="304"/>
    <x v="48"/>
    <x v="98"/>
    <x v="357"/>
    <x v="679"/>
    <x v="4"/>
    <x v="10"/>
    <x v="1367"/>
    <x v="2097"/>
    <x v="2492"/>
    <x v="3562"/>
    <x v="3558"/>
    <x v="3183"/>
    <x v="1"/>
    <x v="3518"/>
    <x v="3564"/>
    <x v="158"/>
    <x v="0"/>
    <x v="0"/>
    <x v="4"/>
    <x v="283"/>
    <x v="50"/>
    <x v="839"/>
    <x v="25"/>
    <x v="1"/>
    <x v="1"/>
  </r>
  <r>
    <x v="0"/>
    <x v="691"/>
    <x v="304"/>
    <x v="77"/>
    <x v="12"/>
    <x v="148"/>
    <x v="294"/>
    <x v="3242"/>
    <x v="105"/>
    <x v="535"/>
    <x v="896"/>
    <x v="1269"/>
    <x v="3563"/>
    <x v="3559"/>
    <x v="3184"/>
    <x v="4"/>
    <x v="3519"/>
    <x v="3565"/>
    <x v="678"/>
    <x v="0"/>
    <x v="0"/>
    <x v="4"/>
    <x v="224"/>
    <x v="8"/>
    <x v="341"/>
    <x v="15"/>
    <x v="1"/>
    <x v="1"/>
  </r>
  <r>
    <x v="1"/>
    <x v="1564"/>
    <x v="430"/>
    <x v="47"/>
    <x v="380"/>
    <x v="280"/>
    <x v="631"/>
    <x v="4"/>
    <x v="763"/>
    <x v="1368"/>
    <x v="2098"/>
    <x v="2493"/>
    <x v="3564"/>
    <x v="3560"/>
    <x v="3185"/>
    <x v="4"/>
    <x v="3520"/>
    <x v="3566"/>
    <x v="724"/>
    <x v="0"/>
    <x v="1"/>
    <x v="2"/>
    <x v="224"/>
    <x v="28"/>
    <x v="840"/>
    <x v="15"/>
    <x v="3"/>
    <x v="292"/>
  </r>
  <r>
    <x v="0"/>
    <x v="1505"/>
    <x v="346"/>
    <x v="55"/>
    <x v="230"/>
    <x v="778"/>
    <x v="213"/>
    <x v="3243"/>
    <x v="270"/>
    <x v="1059"/>
    <x v="2099"/>
    <x v="2494"/>
    <x v="3565"/>
    <x v="3561"/>
    <x v="3186"/>
    <x v="0"/>
    <x v="3521"/>
    <x v="3567"/>
    <x v="718"/>
    <x v="0"/>
    <x v="1"/>
    <x v="4"/>
    <x v="4"/>
    <x v="19"/>
    <x v="686"/>
    <x v="10"/>
    <x v="3"/>
    <x v="189"/>
  </r>
  <r>
    <x v="0"/>
    <x v="1565"/>
    <x v="479"/>
    <x v="86"/>
    <x v="0"/>
    <x v="7"/>
    <x v="444"/>
    <x v="3244"/>
    <x v="0"/>
    <x v="1369"/>
    <x v="2100"/>
    <x v="2495"/>
    <x v="3566"/>
    <x v="3562"/>
    <x v="3187"/>
    <x v="4"/>
    <x v="3522"/>
    <x v="3568"/>
    <x v="655"/>
    <x v="0"/>
    <x v="0"/>
    <x v="0"/>
    <x v="224"/>
    <x v="23"/>
    <x v="841"/>
    <x v="45"/>
    <x v="3"/>
    <x v="599"/>
  </r>
  <r>
    <x v="0"/>
    <x v="1566"/>
    <x v="441"/>
    <x v="78"/>
    <x v="31"/>
    <x v="802"/>
    <x v="521"/>
    <x v="3245"/>
    <x v="122"/>
    <x v="983"/>
    <x v="2101"/>
    <x v="2496"/>
    <x v="3567"/>
    <x v="3563"/>
    <x v="328"/>
    <x v="4"/>
    <x v="3523"/>
    <x v="3569"/>
    <x v="654"/>
    <x v="0"/>
    <x v="0"/>
    <x v="2"/>
    <x v="224"/>
    <x v="5"/>
    <x v="289"/>
    <x v="20"/>
    <x v="3"/>
    <x v="1"/>
  </r>
  <r>
    <x v="0"/>
    <x v="1358"/>
    <x v="370"/>
    <x v="27"/>
    <x v="362"/>
    <x v="783"/>
    <x v="384"/>
    <x v="3246"/>
    <x v="270"/>
    <x v="1370"/>
    <x v="2102"/>
    <x v="2497"/>
    <x v="3568"/>
    <x v="3564"/>
    <x v="3188"/>
    <x v="7"/>
    <x v="3524"/>
    <x v="3570"/>
    <x v="225"/>
    <x v="3"/>
    <x v="10"/>
    <x v="4"/>
    <x v="4"/>
    <x v="17"/>
    <x v="736"/>
    <x v="4"/>
    <x v="10"/>
    <x v="646"/>
  </r>
  <r>
    <x v="0"/>
    <x v="932"/>
    <x v="315"/>
    <x v="45"/>
    <x v="107"/>
    <x v="304"/>
    <x v="0"/>
    <x v="3247"/>
    <x v="17"/>
    <x v="398"/>
    <x v="162"/>
    <x v="2498"/>
    <x v="3569"/>
    <x v="3565"/>
    <x v="3189"/>
    <x v="4"/>
    <x v="3525"/>
    <x v="3571"/>
    <x v="724"/>
    <x v="0"/>
    <x v="0"/>
    <x v="4"/>
    <x v="224"/>
    <x v="0"/>
    <x v="107"/>
    <x v="10"/>
    <x v="1"/>
    <x v="1"/>
  </r>
  <r>
    <x v="2"/>
    <x v="402"/>
    <x v="392"/>
    <x v="27"/>
    <x v="226"/>
    <x v="428"/>
    <x v="27"/>
    <x v="3248"/>
    <x v="433"/>
    <x v="28"/>
    <x v="2103"/>
    <x v="2499"/>
    <x v="3570"/>
    <x v="3566"/>
    <x v="3190"/>
    <x v="0"/>
    <x v="3526"/>
    <x v="3572"/>
    <x v="636"/>
    <x v="0"/>
    <x v="9"/>
    <x v="0"/>
    <x v="224"/>
    <x v="10"/>
    <x v="181"/>
    <x v="9"/>
    <x v="1"/>
    <x v="1"/>
  </r>
  <r>
    <x v="0"/>
    <x v="1567"/>
    <x v="413"/>
    <x v="55"/>
    <x v="381"/>
    <x v="673"/>
    <x v="78"/>
    <x v="3249"/>
    <x v="17"/>
    <x v="137"/>
    <x v="2104"/>
    <x v="2500"/>
    <x v="3571"/>
    <x v="3567"/>
    <x v="3191"/>
    <x v="0"/>
    <x v="3527"/>
    <x v="3573"/>
    <x v="654"/>
    <x v="0"/>
    <x v="0"/>
    <x v="4"/>
    <x v="224"/>
    <x v="7"/>
    <x v="553"/>
    <x v="5"/>
    <x v="3"/>
    <x v="647"/>
  </r>
  <r>
    <x v="0"/>
    <x v="1135"/>
    <x v="276"/>
    <x v="86"/>
    <x v="31"/>
    <x v="870"/>
    <x v="349"/>
    <x v="3250"/>
    <x v="314"/>
    <x v="1371"/>
    <x v="774"/>
    <x v="2501"/>
    <x v="3572"/>
    <x v="3568"/>
    <x v="2674"/>
    <x v="0"/>
    <x v="3528"/>
    <x v="3574"/>
    <x v="705"/>
    <x v="0"/>
    <x v="1"/>
    <x v="0"/>
    <x v="224"/>
    <x v="18"/>
    <x v="88"/>
    <x v="5"/>
    <x v="1"/>
    <x v="427"/>
  </r>
  <r>
    <x v="0"/>
    <x v="1568"/>
    <x v="428"/>
    <x v="85"/>
    <x v="101"/>
    <x v="286"/>
    <x v="2"/>
    <x v="4"/>
    <x v="270"/>
    <x v="209"/>
    <x v="745"/>
    <x v="376"/>
    <x v="3573"/>
    <x v="2942"/>
    <x v="3192"/>
    <x v="4"/>
    <x v="3529"/>
    <x v="3575"/>
    <x v="704"/>
    <x v="0"/>
    <x v="0"/>
    <x v="2"/>
    <x v="284"/>
    <x v="47"/>
    <x v="446"/>
    <x v="38"/>
    <x v="3"/>
    <x v="486"/>
  </r>
  <r>
    <x v="0"/>
    <x v="1569"/>
    <x v="396"/>
    <x v="79"/>
    <x v="0"/>
    <x v="771"/>
    <x v="2"/>
    <x v="3251"/>
    <x v="125"/>
    <x v="72"/>
    <x v="173"/>
    <x v="2032"/>
    <x v="3574"/>
    <x v="3569"/>
    <x v="3193"/>
    <x v="0"/>
    <x v="3530"/>
    <x v="3576"/>
    <x v="820"/>
    <x v="0"/>
    <x v="0"/>
    <x v="4"/>
    <x v="224"/>
    <x v="8"/>
    <x v="117"/>
    <x v="55"/>
    <x v="3"/>
    <x v="585"/>
  </r>
  <r>
    <x v="1"/>
    <x v="653"/>
    <x v="276"/>
    <x v="49"/>
    <x v="279"/>
    <x v="298"/>
    <x v="536"/>
    <x v="3252"/>
    <x v="4"/>
    <x v="1372"/>
    <x v="2105"/>
    <x v="2502"/>
    <x v="3575"/>
    <x v="3570"/>
    <x v="3131"/>
    <x v="0"/>
    <x v="3531"/>
    <x v="3577"/>
    <x v="654"/>
    <x v="0"/>
    <x v="0"/>
    <x v="10"/>
    <x v="4"/>
    <x v="7"/>
    <x v="556"/>
    <x v="24"/>
    <x v="2"/>
    <x v="648"/>
  </r>
  <r>
    <x v="0"/>
    <x v="1570"/>
    <x v="373"/>
    <x v="79"/>
    <x v="134"/>
    <x v="373"/>
    <x v="529"/>
    <x v="4"/>
    <x v="539"/>
    <x v="1175"/>
    <x v="2029"/>
    <x v="1501"/>
    <x v="3576"/>
    <x v="3571"/>
    <x v="3194"/>
    <x v="1"/>
    <x v="3532"/>
    <x v="3578"/>
    <x v="431"/>
    <x v="0"/>
    <x v="0"/>
    <x v="4"/>
    <x v="224"/>
    <x v="17"/>
    <x v="537"/>
    <x v="13"/>
    <x v="3"/>
    <x v="1"/>
  </r>
  <r>
    <x v="0"/>
    <x v="1571"/>
    <x v="307"/>
    <x v="93"/>
    <x v="184"/>
    <x v="618"/>
    <x v="292"/>
    <x v="4"/>
    <x v="65"/>
    <x v="1373"/>
    <x v="1835"/>
    <x v="1039"/>
    <x v="3577"/>
    <x v="3572"/>
    <x v="3195"/>
    <x v="1"/>
    <x v="3533"/>
    <x v="3579"/>
    <x v="785"/>
    <x v="0"/>
    <x v="0"/>
    <x v="4"/>
    <x v="266"/>
    <x v="24"/>
    <x v="421"/>
    <x v="27"/>
    <x v="1"/>
    <x v="649"/>
  </r>
  <r>
    <x v="0"/>
    <x v="1572"/>
    <x v="347"/>
    <x v="101"/>
    <x v="216"/>
    <x v="345"/>
    <x v="302"/>
    <x v="4"/>
    <x v="150"/>
    <x v="1374"/>
    <x v="2106"/>
    <x v="2503"/>
    <x v="3578"/>
    <x v="3573"/>
    <x v="348"/>
    <x v="1"/>
    <x v="3534"/>
    <x v="3580"/>
    <x v="789"/>
    <x v="0"/>
    <x v="0"/>
    <x v="4"/>
    <x v="4"/>
    <x v="0"/>
    <x v="532"/>
    <x v="18"/>
    <x v="3"/>
    <x v="650"/>
  </r>
  <r>
    <x v="0"/>
    <x v="1153"/>
    <x v="57"/>
    <x v="54"/>
    <x v="192"/>
    <x v="517"/>
    <x v="17"/>
    <x v="3253"/>
    <x v="168"/>
    <x v="41"/>
    <x v="35"/>
    <x v="779"/>
    <x v="3579"/>
    <x v="3574"/>
    <x v="3196"/>
    <x v="1"/>
    <x v="3535"/>
    <x v="3581"/>
    <x v="514"/>
    <x v="0"/>
    <x v="0"/>
    <x v="4"/>
    <x v="176"/>
    <x v="3"/>
    <x v="10"/>
    <x v="22"/>
    <x v="1"/>
    <x v="1"/>
  </r>
  <r>
    <x v="0"/>
    <x v="1383"/>
    <x v="447"/>
    <x v="59"/>
    <x v="192"/>
    <x v="352"/>
    <x v="142"/>
    <x v="4"/>
    <x v="463"/>
    <x v="263"/>
    <x v="1107"/>
    <x v="2504"/>
    <x v="3580"/>
    <x v="3575"/>
    <x v="3197"/>
    <x v="4"/>
    <x v="3536"/>
    <x v="3582"/>
    <x v="786"/>
    <x v="0"/>
    <x v="4"/>
    <x v="2"/>
    <x v="224"/>
    <x v="0"/>
    <x v="52"/>
    <x v="13"/>
    <x v="1"/>
    <x v="103"/>
  </r>
  <r>
    <x v="0"/>
    <x v="1573"/>
    <x v="396"/>
    <x v="78"/>
    <x v="38"/>
    <x v="341"/>
    <x v="164"/>
    <x v="4"/>
    <x v="3"/>
    <x v="1375"/>
    <x v="2107"/>
    <x v="464"/>
    <x v="3581"/>
    <x v="3576"/>
    <x v="3198"/>
    <x v="1"/>
    <x v="3537"/>
    <x v="3583"/>
    <x v="592"/>
    <x v="0"/>
    <x v="0"/>
    <x v="4"/>
    <x v="224"/>
    <x v="10"/>
    <x v="15"/>
    <x v="28"/>
    <x v="3"/>
    <x v="1"/>
  </r>
  <r>
    <x v="0"/>
    <x v="113"/>
    <x v="81"/>
    <x v="99"/>
    <x v="88"/>
    <x v="382"/>
    <x v="447"/>
    <x v="4"/>
    <x v="105"/>
    <x v="813"/>
    <x v="2108"/>
    <x v="538"/>
    <x v="3582"/>
    <x v="3577"/>
    <x v="3199"/>
    <x v="1"/>
    <x v="3538"/>
    <x v="3584"/>
    <x v="724"/>
    <x v="0"/>
    <x v="1"/>
    <x v="1"/>
    <x v="4"/>
    <x v="4"/>
    <x v="812"/>
    <x v="17"/>
    <x v="0"/>
    <x v="1"/>
  </r>
  <r>
    <x v="0"/>
    <x v="471"/>
    <x v="200"/>
    <x v="71"/>
    <x v="0"/>
    <x v="100"/>
    <x v="680"/>
    <x v="4"/>
    <x v="315"/>
    <x v="1376"/>
    <x v="2109"/>
    <x v="2505"/>
    <x v="3583"/>
    <x v="3578"/>
    <x v="3200"/>
    <x v="0"/>
    <x v="3539"/>
    <x v="3585"/>
    <x v="658"/>
    <x v="0"/>
    <x v="4"/>
    <x v="4"/>
    <x v="285"/>
    <x v="45"/>
    <x v="658"/>
    <x v="11"/>
    <x v="3"/>
    <x v="1"/>
  </r>
  <r>
    <x v="0"/>
    <x v="1574"/>
    <x v="343"/>
    <x v="70"/>
    <x v="228"/>
    <x v="308"/>
    <x v="456"/>
    <x v="3254"/>
    <x v="200"/>
    <x v="829"/>
    <x v="2110"/>
    <x v="2506"/>
    <x v="3584"/>
    <x v="3579"/>
    <x v="3201"/>
    <x v="0"/>
    <x v="3540"/>
    <x v="3586"/>
    <x v="585"/>
    <x v="3"/>
    <x v="10"/>
    <x v="4"/>
    <x v="286"/>
    <x v="19"/>
    <x v="610"/>
    <x v="11"/>
    <x v="3"/>
    <x v="1"/>
  </r>
  <r>
    <x v="0"/>
    <x v="1575"/>
    <x v="425"/>
    <x v="107"/>
    <x v="198"/>
    <x v="843"/>
    <x v="2"/>
    <x v="3255"/>
    <x v="419"/>
    <x v="203"/>
    <x v="2111"/>
    <x v="2507"/>
    <x v="3585"/>
    <x v="3580"/>
    <x v="3202"/>
    <x v="1"/>
    <x v="3541"/>
    <x v="3587"/>
    <x v="732"/>
    <x v="0"/>
    <x v="0"/>
    <x v="0"/>
    <x v="224"/>
    <x v="11"/>
    <x v="531"/>
    <x v="27"/>
    <x v="2"/>
    <x v="1"/>
  </r>
  <r>
    <x v="0"/>
    <x v="466"/>
    <x v="243"/>
    <x v="69"/>
    <x v="38"/>
    <x v="369"/>
    <x v="186"/>
    <x v="956"/>
    <x v="180"/>
    <x v="350"/>
    <x v="688"/>
    <x v="814"/>
    <x v="989"/>
    <x v="3581"/>
    <x v="3203"/>
    <x v="0"/>
    <x v="983"/>
    <x v="989"/>
    <x v="529"/>
    <x v="0"/>
    <x v="0"/>
    <x v="4"/>
    <x v="95"/>
    <x v="19"/>
    <x v="422"/>
    <x v="9"/>
    <x v="3"/>
    <x v="1"/>
  </r>
  <r>
    <x v="0"/>
    <x v="1576"/>
    <x v="387"/>
    <x v="33"/>
    <x v="69"/>
    <x v="566"/>
    <x v="133"/>
    <x v="3256"/>
    <x v="156"/>
    <x v="1377"/>
    <x v="2112"/>
    <x v="2508"/>
    <x v="3586"/>
    <x v="3582"/>
    <x v="3031"/>
    <x v="1"/>
    <x v="3542"/>
    <x v="3588"/>
    <x v="820"/>
    <x v="18"/>
    <x v="32"/>
    <x v="4"/>
    <x v="213"/>
    <x v="8"/>
    <x v="658"/>
    <x v="1"/>
    <x v="1"/>
    <x v="1"/>
  </r>
  <r>
    <x v="2"/>
    <x v="1577"/>
    <x v="457"/>
    <x v="78"/>
    <x v="350"/>
    <x v="1"/>
    <x v="35"/>
    <x v="4"/>
    <x v="408"/>
    <x v="332"/>
    <x v="2113"/>
    <x v="2509"/>
    <x v="3587"/>
    <x v="3583"/>
    <x v="3204"/>
    <x v="0"/>
    <x v="3543"/>
    <x v="3589"/>
    <x v="744"/>
    <x v="0"/>
    <x v="0"/>
    <x v="4"/>
    <x v="224"/>
    <x v="3"/>
    <x v="12"/>
    <x v="12"/>
    <x v="2"/>
    <x v="1"/>
  </r>
  <r>
    <x v="1"/>
    <x v="407"/>
    <x v="272"/>
    <x v="82"/>
    <x v="173"/>
    <x v="222"/>
    <x v="681"/>
    <x v="4"/>
    <x v="764"/>
    <x v="1378"/>
    <x v="2114"/>
    <x v="2510"/>
    <x v="3588"/>
    <x v="3584"/>
    <x v="3205"/>
    <x v="0"/>
    <x v="3544"/>
    <x v="3590"/>
    <x v="390"/>
    <x v="0"/>
    <x v="10"/>
    <x v="10"/>
    <x v="287"/>
    <x v="53"/>
    <x v="257"/>
    <x v="0"/>
    <x v="10"/>
    <x v="1"/>
  </r>
  <r>
    <x v="0"/>
    <x v="1578"/>
    <x v="489"/>
    <x v="76"/>
    <x v="0"/>
    <x v="426"/>
    <x v="291"/>
    <x v="3257"/>
    <x v="306"/>
    <x v="529"/>
    <x v="2115"/>
    <x v="2511"/>
    <x v="3589"/>
    <x v="3585"/>
    <x v="3206"/>
    <x v="4"/>
    <x v="3545"/>
    <x v="3591"/>
    <x v="824"/>
    <x v="0"/>
    <x v="0"/>
    <x v="0"/>
    <x v="4"/>
    <x v="3"/>
    <x v="842"/>
    <x v="28"/>
    <x v="1"/>
    <x v="651"/>
  </r>
  <r>
    <x v="0"/>
    <x v="1579"/>
    <x v="356"/>
    <x v="70"/>
    <x v="172"/>
    <x v="420"/>
    <x v="322"/>
    <x v="3258"/>
    <x v="28"/>
    <x v="577"/>
    <x v="2116"/>
    <x v="2512"/>
    <x v="3590"/>
    <x v="3586"/>
    <x v="3207"/>
    <x v="0"/>
    <x v="3546"/>
    <x v="3592"/>
    <x v="178"/>
    <x v="25"/>
    <x v="41"/>
    <x v="4"/>
    <x v="9"/>
    <x v="12"/>
    <x v="142"/>
    <x v="1"/>
    <x v="3"/>
    <x v="1"/>
  </r>
  <r>
    <x v="0"/>
    <x v="1580"/>
    <x v="329"/>
    <x v="50"/>
    <x v="0"/>
    <x v="653"/>
    <x v="192"/>
    <x v="3259"/>
    <x v="125"/>
    <x v="359"/>
    <x v="976"/>
    <x v="2352"/>
    <x v="3591"/>
    <x v="3587"/>
    <x v="3208"/>
    <x v="4"/>
    <x v="3547"/>
    <x v="3593"/>
    <x v="732"/>
    <x v="0"/>
    <x v="1"/>
    <x v="4"/>
    <x v="4"/>
    <x v="20"/>
    <x v="541"/>
    <x v="21"/>
    <x v="3"/>
    <x v="652"/>
  </r>
  <r>
    <x v="0"/>
    <x v="113"/>
    <x v="464"/>
    <x v="111"/>
    <x v="88"/>
    <x v="751"/>
    <x v="682"/>
    <x v="4"/>
    <x v="127"/>
    <x v="1379"/>
    <x v="2117"/>
    <x v="2513"/>
    <x v="3592"/>
    <x v="3588"/>
    <x v="3209"/>
    <x v="0"/>
    <x v="3548"/>
    <x v="3594"/>
    <x v="427"/>
    <x v="0"/>
    <x v="1"/>
    <x v="5"/>
    <x v="4"/>
    <x v="4"/>
    <x v="228"/>
    <x v="26"/>
    <x v="12"/>
    <x v="1"/>
  </r>
  <r>
    <x v="0"/>
    <x v="1381"/>
    <x v="331"/>
    <x v="52"/>
    <x v="247"/>
    <x v="139"/>
    <x v="23"/>
    <x v="3260"/>
    <x v="334"/>
    <x v="613"/>
    <x v="2118"/>
    <x v="2414"/>
    <x v="3593"/>
    <x v="3589"/>
    <x v="3210"/>
    <x v="0"/>
    <x v="3549"/>
    <x v="3595"/>
    <x v="16"/>
    <x v="0"/>
    <x v="1"/>
    <x v="0"/>
    <x v="288"/>
    <x v="19"/>
    <x v="629"/>
    <x v="10"/>
    <x v="3"/>
    <x v="1"/>
  </r>
  <r>
    <x v="0"/>
    <x v="1430"/>
    <x v="373"/>
    <x v="8"/>
    <x v="370"/>
    <x v="561"/>
    <x v="65"/>
    <x v="3261"/>
    <x v="17"/>
    <x v="116"/>
    <x v="2119"/>
    <x v="893"/>
    <x v="3594"/>
    <x v="3590"/>
    <x v="3211"/>
    <x v="5"/>
    <x v="3550"/>
    <x v="3596"/>
    <x v="671"/>
    <x v="0"/>
    <x v="0"/>
    <x v="0"/>
    <x v="289"/>
    <x v="19"/>
    <x v="825"/>
    <x v="8"/>
    <x v="3"/>
    <x v="581"/>
  </r>
  <r>
    <x v="0"/>
    <x v="1193"/>
    <x v="429"/>
    <x v="54"/>
    <x v="184"/>
    <x v="554"/>
    <x v="302"/>
    <x v="3262"/>
    <x v="765"/>
    <x v="1380"/>
    <x v="2120"/>
    <x v="2514"/>
    <x v="3595"/>
    <x v="3591"/>
    <x v="3187"/>
    <x v="5"/>
    <x v="3551"/>
    <x v="3597"/>
    <x v="225"/>
    <x v="0"/>
    <x v="0"/>
    <x v="0"/>
    <x v="289"/>
    <x v="7"/>
    <x v="602"/>
    <x v="74"/>
    <x v="3"/>
    <x v="653"/>
  </r>
  <r>
    <x v="0"/>
    <x v="1581"/>
    <x v="430"/>
    <x v="8"/>
    <x v="216"/>
    <x v="568"/>
    <x v="522"/>
    <x v="3263"/>
    <x v="170"/>
    <x v="1381"/>
    <x v="2121"/>
    <x v="2515"/>
    <x v="3596"/>
    <x v="3592"/>
    <x v="3212"/>
    <x v="1"/>
    <x v="3552"/>
    <x v="3598"/>
    <x v="755"/>
    <x v="8"/>
    <x v="16"/>
    <x v="9"/>
    <x v="4"/>
    <x v="3"/>
    <x v="62"/>
    <x v="44"/>
    <x v="2"/>
    <x v="389"/>
  </r>
  <r>
    <x v="0"/>
    <x v="1295"/>
    <x v="279"/>
    <x v="79"/>
    <x v="118"/>
    <x v="423"/>
    <x v="307"/>
    <x v="3264"/>
    <x v="429"/>
    <x v="1382"/>
    <x v="2122"/>
    <x v="2516"/>
    <x v="3597"/>
    <x v="3593"/>
    <x v="3213"/>
    <x v="0"/>
    <x v="3553"/>
    <x v="3599"/>
    <x v="627"/>
    <x v="6"/>
    <x v="13"/>
    <x v="4"/>
    <x v="289"/>
    <x v="0"/>
    <x v="557"/>
    <x v="4"/>
    <x v="3"/>
    <x v="86"/>
  </r>
  <r>
    <x v="0"/>
    <x v="1405"/>
    <x v="435"/>
    <x v="72"/>
    <x v="69"/>
    <x v="567"/>
    <x v="683"/>
    <x v="3265"/>
    <x v="766"/>
    <x v="1383"/>
    <x v="2123"/>
    <x v="2517"/>
    <x v="3598"/>
    <x v="3594"/>
    <x v="3214"/>
    <x v="12"/>
    <x v="3554"/>
    <x v="3600"/>
    <x v="843"/>
    <x v="0"/>
    <x v="0"/>
    <x v="2"/>
    <x v="4"/>
    <x v="5"/>
    <x v="604"/>
    <x v="53"/>
    <x v="2"/>
    <x v="494"/>
  </r>
  <r>
    <x v="0"/>
    <x v="1540"/>
    <x v="323"/>
    <x v="74"/>
    <x v="3"/>
    <x v="511"/>
    <x v="0"/>
    <x v="3266"/>
    <x v="539"/>
    <x v="349"/>
    <x v="1724"/>
    <x v="1620"/>
    <x v="3599"/>
    <x v="3595"/>
    <x v="3215"/>
    <x v="0"/>
    <x v="3555"/>
    <x v="3601"/>
    <x v="418"/>
    <x v="0"/>
    <x v="0"/>
    <x v="2"/>
    <x v="290"/>
    <x v="44"/>
    <x v="192"/>
    <x v="24"/>
    <x v="3"/>
    <x v="1"/>
  </r>
  <r>
    <x v="0"/>
    <x v="659"/>
    <x v="362"/>
    <x v="31"/>
    <x v="263"/>
    <x v="251"/>
    <x v="684"/>
    <x v="3267"/>
    <x v="122"/>
    <x v="1384"/>
    <x v="413"/>
    <x v="468"/>
    <x v="3600"/>
    <x v="3596"/>
    <x v="1127"/>
    <x v="0"/>
    <x v="3556"/>
    <x v="3602"/>
    <x v="507"/>
    <x v="0"/>
    <x v="1"/>
    <x v="2"/>
    <x v="290"/>
    <x v="37"/>
    <x v="278"/>
    <x v="13"/>
    <x v="3"/>
    <x v="1"/>
  </r>
  <r>
    <x v="0"/>
    <x v="1582"/>
    <x v="219"/>
    <x v="38"/>
    <x v="0"/>
    <x v="236"/>
    <x v="334"/>
    <x v="3268"/>
    <x v="105"/>
    <x v="595"/>
    <x v="640"/>
    <x v="2211"/>
    <x v="3601"/>
    <x v="3597"/>
    <x v="3216"/>
    <x v="0"/>
    <x v="3557"/>
    <x v="3603"/>
    <x v="492"/>
    <x v="0"/>
    <x v="0"/>
    <x v="0"/>
    <x v="290"/>
    <x v="12"/>
    <x v="398"/>
    <x v="23"/>
    <x v="3"/>
    <x v="1"/>
  </r>
  <r>
    <x v="0"/>
    <x v="615"/>
    <x v="184"/>
    <x v="72"/>
    <x v="93"/>
    <x v="632"/>
    <x v="166"/>
    <x v="3269"/>
    <x v="520"/>
    <x v="1246"/>
    <x v="674"/>
    <x v="2518"/>
    <x v="3602"/>
    <x v="3598"/>
    <x v="3217"/>
    <x v="0"/>
    <x v="3558"/>
    <x v="3604"/>
    <x v="780"/>
    <x v="0"/>
    <x v="5"/>
    <x v="0"/>
    <x v="290"/>
    <x v="25"/>
    <x v="167"/>
    <x v="16"/>
    <x v="3"/>
    <x v="1"/>
  </r>
  <r>
    <x v="0"/>
    <x v="1583"/>
    <x v="495"/>
    <x v="78"/>
    <x v="382"/>
    <x v="871"/>
    <x v="29"/>
    <x v="3270"/>
    <x v="105"/>
    <x v="58"/>
    <x v="24"/>
    <x v="2519"/>
    <x v="3603"/>
    <x v="3599"/>
    <x v="3218"/>
    <x v="1"/>
    <x v="3559"/>
    <x v="3605"/>
    <x v="888"/>
    <x v="0"/>
    <x v="0"/>
    <x v="4"/>
    <x v="119"/>
    <x v="9"/>
    <x v="21"/>
    <x v="4"/>
    <x v="1"/>
    <x v="0"/>
  </r>
  <r>
    <x v="0"/>
    <x v="326"/>
    <x v="365"/>
    <x v="72"/>
    <x v="121"/>
    <x v="120"/>
    <x v="17"/>
    <x v="4"/>
    <x v="767"/>
    <x v="303"/>
    <x v="2124"/>
    <x v="2520"/>
    <x v="3604"/>
    <x v="3600"/>
    <x v="3219"/>
    <x v="0"/>
    <x v="3560"/>
    <x v="3606"/>
    <x v="314"/>
    <x v="0"/>
    <x v="0"/>
    <x v="4"/>
    <x v="290"/>
    <x v="44"/>
    <x v="539"/>
    <x v="32"/>
    <x v="1"/>
    <x v="1"/>
  </r>
  <r>
    <x v="0"/>
    <x v="992"/>
    <x v="270"/>
    <x v="70"/>
    <x v="183"/>
    <x v="226"/>
    <x v="32"/>
    <x v="3271"/>
    <x v="200"/>
    <x v="59"/>
    <x v="127"/>
    <x v="2072"/>
    <x v="3605"/>
    <x v="3601"/>
    <x v="3220"/>
    <x v="0"/>
    <x v="3561"/>
    <x v="3607"/>
    <x v="378"/>
    <x v="0"/>
    <x v="0"/>
    <x v="4"/>
    <x v="222"/>
    <x v="18"/>
    <x v="47"/>
    <x v="38"/>
    <x v="3"/>
    <x v="9"/>
  </r>
  <r>
    <x v="0"/>
    <x v="768"/>
    <x v="388"/>
    <x v="43"/>
    <x v="125"/>
    <x v="558"/>
    <x v="21"/>
    <x v="3272"/>
    <x v="425"/>
    <x v="141"/>
    <x v="680"/>
    <x v="885"/>
    <x v="3606"/>
    <x v="2040"/>
    <x v="3221"/>
    <x v="1"/>
    <x v="3562"/>
    <x v="3608"/>
    <x v="245"/>
    <x v="0"/>
    <x v="1"/>
    <x v="4"/>
    <x v="290"/>
    <x v="18"/>
    <x v="30"/>
    <x v="1"/>
    <x v="3"/>
    <x v="1"/>
  </r>
  <r>
    <x v="0"/>
    <x v="1584"/>
    <x v="431"/>
    <x v="54"/>
    <x v="125"/>
    <x v="57"/>
    <x v="240"/>
    <x v="4"/>
    <x v="376"/>
    <x v="1385"/>
    <x v="2125"/>
    <x v="2179"/>
    <x v="3607"/>
    <x v="3602"/>
    <x v="3222"/>
    <x v="0"/>
    <x v="3563"/>
    <x v="3609"/>
    <x v="704"/>
    <x v="0"/>
    <x v="0"/>
    <x v="4"/>
    <x v="4"/>
    <x v="35"/>
    <x v="380"/>
    <x v="53"/>
    <x v="1"/>
    <x v="611"/>
  </r>
  <r>
    <x v="0"/>
    <x v="1585"/>
    <x v="356"/>
    <x v="55"/>
    <x v="73"/>
    <x v="426"/>
    <x v="506"/>
    <x v="3273"/>
    <x v="419"/>
    <x v="1386"/>
    <x v="2126"/>
    <x v="2521"/>
    <x v="3608"/>
    <x v="3603"/>
    <x v="3223"/>
    <x v="0"/>
    <x v="3564"/>
    <x v="3610"/>
    <x v="472"/>
    <x v="3"/>
    <x v="10"/>
    <x v="0"/>
    <x v="290"/>
    <x v="14"/>
    <x v="678"/>
    <x v="0"/>
    <x v="1"/>
    <x v="1"/>
  </r>
  <r>
    <x v="0"/>
    <x v="1586"/>
    <x v="334"/>
    <x v="80"/>
    <x v="134"/>
    <x v="304"/>
    <x v="292"/>
    <x v="3274"/>
    <x v="200"/>
    <x v="609"/>
    <x v="2127"/>
    <x v="2522"/>
    <x v="3609"/>
    <x v="3604"/>
    <x v="3224"/>
    <x v="0"/>
    <x v="3565"/>
    <x v="3611"/>
    <x v="450"/>
    <x v="0"/>
    <x v="4"/>
    <x v="4"/>
    <x v="240"/>
    <x v="17"/>
    <x v="522"/>
    <x v="10"/>
    <x v="3"/>
    <x v="209"/>
  </r>
  <r>
    <x v="0"/>
    <x v="1587"/>
    <x v="74"/>
    <x v="27"/>
    <x v="123"/>
    <x v="823"/>
    <x v="520"/>
    <x v="3275"/>
    <x v="171"/>
    <x v="1387"/>
    <x v="2128"/>
    <x v="2523"/>
    <x v="3610"/>
    <x v="3605"/>
    <x v="1834"/>
    <x v="0"/>
    <x v="3566"/>
    <x v="3612"/>
    <x v="243"/>
    <x v="0"/>
    <x v="0"/>
    <x v="4"/>
    <x v="240"/>
    <x v="17"/>
    <x v="263"/>
    <x v="4"/>
    <x v="3"/>
    <x v="103"/>
  </r>
  <r>
    <x v="0"/>
    <x v="437"/>
    <x v="280"/>
    <x v="60"/>
    <x v="0"/>
    <x v="145"/>
    <x v="293"/>
    <x v="3276"/>
    <x v="270"/>
    <x v="1388"/>
    <x v="1061"/>
    <x v="2524"/>
    <x v="3611"/>
    <x v="3606"/>
    <x v="3225"/>
    <x v="4"/>
    <x v="3567"/>
    <x v="3613"/>
    <x v="598"/>
    <x v="0"/>
    <x v="0"/>
    <x v="4"/>
    <x v="170"/>
    <x v="30"/>
    <x v="576"/>
    <x v="0"/>
    <x v="3"/>
    <x v="1"/>
  </r>
  <r>
    <x v="0"/>
    <x v="1588"/>
    <x v="434"/>
    <x v="77"/>
    <x v="28"/>
    <x v="674"/>
    <x v="41"/>
    <x v="3277"/>
    <x v="733"/>
    <x v="221"/>
    <x v="751"/>
    <x v="1220"/>
    <x v="3612"/>
    <x v="3607"/>
    <x v="3226"/>
    <x v="3"/>
    <x v="3568"/>
    <x v="3614"/>
    <x v="212"/>
    <x v="0"/>
    <x v="0"/>
    <x v="4"/>
    <x v="290"/>
    <x v="18"/>
    <x v="451"/>
    <x v="41"/>
    <x v="1"/>
    <x v="654"/>
  </r>
  <r>
    <x v="0"/>
    <x v="1589"/>
    <x v="317"/>
    <x v="41"/>
    <x v="383"/>
    <x v="221"/>
    <x v="534"/>
    <x v="3278"/>
    <x v="200"/>
    <x v="1389"/>
    <x v="2129"/>
    <x v="2525"/>
    <x v="3613"/>
    <x v="3608"/>
    <x v="1474"/>
    <x v="1"/>
    <x v="3569"/>
    <x v="3615"/>
    <x v="540"/>
    <x v="3"/>
    <x v="50"/>
    <x v="9"/>
    <x v="291"/>
    <x v="10"/>
    <x v="736"/>
    <x v="13"/>
    <x v="3"/>
    <x v="1"/>
  </r>
  <r>
    <x v="0"/>
    <x v="1076"/>
    <x v="203"/>
    <x v="77"/>
    <x v="338"/>
    <x v="777"/>
    <x v="671"/>
    <x v="3279"/>
    <x v="171"/>
    <x v="1390"/>
    <x v="2130"/>
    <x v="2526"/>
    <x v="3614"/>
    <x v="3609"/>
    <x v="3227"/>
    <x v="0"/>
    <x v="3570"/>
    <x v="3616"/>
    <x v="925"/>
    <x v="3"/>
    <x v="10"/>
    <x v="9"/>
    <x v="4"/>
    <x v="19"/>
    <x v="514"/>
    <x v="38"/>
    <x v="1"/>
    <x v="38"/>
  </r>
  <r>
    <x v="0"/>
    <x v="1590"/>
    <x v="365"/>
    <x v="77"/>
    <x v="184"/>
    <x v="403"/>
    <x v="685"/>
    <x v="3280"/>
    <x v="200"/>
    <x v="1391"/>
    <x v="2131"/>
    <x v="2527"/>
    <x v="3615"/>
    <x v="3610"/>
    <x v="2891"/>
    <x v="0"/>
    <x v="3571"/>
    <x v="3617"/>
    <x v="818"/>
    <x v="2"/>
    <x v="7"/>
    <x v="10"/>
    <x v="290"/>
    <x v="9"/>
    <x v="288"/>
    <x v="9"/>
    <x v="3"/>
    <x v="651"/>
  </r>
  <r>
    <x v="0"/>
    <x v="1591"/>
    <x v="193"/>
    <x v="68"/>
    <x v="256"/>
    <x v="726"/>
    <x v="678"/>
    <x v="3281"/>
    <x v="768"/>
    <x v="1392"/>
    <x v="2132"/>
    <x v="2528"/>
    <x v="3616"/>
    <x v="3611"/>
    <x v="3228"/>
    <x v="0"/>
    <x v="3572"/>
    <x v="3618"/>
    <x v="589"/>
    <x v="8"/>
    <x v="16"/>
    <x v="9"/>
    <x v="4"/>
    <x v="7"/>
    <x v="214"/>
    <x v="26"/>
    <x v="1"/>
    <x v="1"/>
  </r>
  <r>
    <x v="0"/>
    <x v="1592"/>
    <x v="417"/>
    <x v="78"/>
    <x v="198"/>
    <x v="747"/>
    <x v="408"/>
    <x v="4"/>
    <x v="270"/>
    <x v="1393"/>
    <x v="1115"/>
    <x v="2529"/>
    <x v="3617"/>
    <x v="3612"/>
    <x v="3229"/>
    <x v="0"/>
    <x v="3573"/>
    <x v="3619"/>
    <x v="824"/>
    <x v="0"/>
    <x v="0"/>
    <x v="1"/>
    <x v="4"/>
    <x v="11"/>
    <x v="294"/>
    <x v="5"/>
    <x v="1"/>
    <x v="516"/>
  </r>
  <r>
    <x v="0"/>
    <x v="1593"/>
    <x v="422"/>
    <x v="45"/>
    <x v="221"/>
    <x v="303"/>
    <x v="281"/>
    <x v="3282"/>
    <x v="659"/>
    <x v="603"/>
    <x v="2133"/>
    <x v="2530"/>
    <x v="3618"/>
    <x v="3613"/>
    <x v="1413"/>
    <x v="7"/>
    <x v="3574"/>
    <x v="3620"/>
    <x v="755"/>
    <x v="0"/>
    <x v="0"/>
    <x v="4"/>
    <x v="195"/>
    <x v="10"/>
    <x v="725"/>
    <x v="43"/>
    <x v="3"/>
    <x v="103"/>
  </r>
  <r>
    <x v="0"/>
    <x v="669"/>
    <x v="409"/>
    <x v="45"/>
    <x v="282"/>
    <x v="839"/>
    <x v="41"/>
    <x v="3283"/>
    <x v="127"/>
    <x v="64"/>
    <x v="916"/>
    <x v="2531"/>
    <x v="3619"/>
    <x v="3614"/>
    <x v="3230"/>
    <x v="2"/>
    <x v="3575"/>
    <x v="3621"/>
    <x v="426"/>
    <x v="0"/>
    <x v="0"/>
    <x v="4"/>
    <x v="292"/>
    <x v="1"/>
    <x v="521"/>
    <x v="40"/>
    <x v="3"/>
    <x v="202"/>
  </r>
  <r>
    <x v="0"/>
    <x v="1594"/>
    <x v="207"/>
    <x v="78"/>
    <x v="384"/>
    <x v="346"/>
    <x v="15"/>
    <x v="3284"/>
    <x v="200"/>
    <x v="212"/>
    <x v="2134"/>
    <x v="2532"/>
    <x v="3620"/>
    <x v="3615"/>
    <x v="3231"/>
    <x v="4"/>
    <x v="3576"/>
    <x v="3622"/>
    <x v="637"/>
    <x v="0"/>
    <x v="1"/>
    <x v="4"/>
    <x v="4"/>
    <x v="15"/>
    <x v="352"/>
    <x v="16"/>
    <x v="3"/>
    <x v="305"/>
  </r>
  <r>
    <x v="0"/>
    <x v="1085"/>
    <x v="62"/>
    <x v="7"/>
    <x v="126"/>
    <x v="783"/>
    <x v="686"/>
    <x v="3285"/>
    <x v="168"/>
    <x v="1394"/>
    <x v="2135"/>
    <x v="2533"/>
    <x v="3621"/>
    <x v="3616"/>
    <x v="3232"/>
    <x v="3"/>
    <x v="3577"/>
    <x v="3623"/>
    <x v="239"/>
    <x v="33"/>
    <x v="37"/>
    <x v="4"/>
    <x v="293"/>
    <x v="10"/>
    <x v="394"/>
    <x v="32"/>
    <x v="6"/>
    <x v="33"/>
  </r>
  <r>
    <x v="0"/>
    <x v="1595"/>
    <x v="94"/>
    <x v="50"/>
    <x v="198"/>
    <x v="571"/>
    <x v="543"/>
    <x v="4"/>
    <x v="769"/>
    <x v="1395"/>
    <x v="45"/>
    <x v="2534"/>
    <x v="3622"/>
    <x v="3617"/>
    <x v="3233"/>
    <x v="0"/>
    <x v="3578"/>
    <x v="3624"/>
    <x v="640"/>
    <x v="0"/>
    <x v="1"/>
    <x v="9"/>
    <x v="213"/>
    <x v="3"/>
    <x v="35"/>
    <x v="22"/>
    <x v="1"/>
    <x v="59"/>
  </r>
  <r>
    <x v="0"/>
    <x v="1596"/>
    <x v="276"/>
    <x v="42"/>
    <x v="69"/>
    <x v="750"/>
    <x v="687"/>
    <x v="3286"/>
    <x v="422"/>
    <x v="1396"/>
    <x v="2136"/>
    <x v="2535"/>
    <x v="3623"/>
    <x v="3618"/>
    <x v="3234"/>
    <x v="1"/>
    <x v="3579"/>
    <x v="3625"/>
    <x v="802"/>
    <x v="0"/>
    <x v="4"/>
    <x v="0"/>
    <x v="224"/>
    <x v="14"/>
    <x v="830"/>
    <x v="32"/>
    <x v="3"/>
    <x v="260"/>
  </r>
  <r>
    <x v="0"/>
    <x v="1597"/>
    <x v="343"/>
    <x v="74"/>
    <x v="385"/>
    <x v="298"/>
    <x v="213"/>
    <x v="4"/>
    <x v="17"/>
    <x v="1059"/>
    <x v="2137"/>
    <x v="2536"/>
    <x v="3624"/>
    <x v="3619"/>
    <x v="3235"/>
    <x v="4"/>
    <x v="3580"/>
    <x v="3626"/>
    <x v="792"/>
    <x v="0"/>
    <x v="37"/>
    <x v="0"/>
    <x v="290"/>
    <x v="11"/>
    <x v="253"/>
    <x v="23"/>
    <x v="2"/>
    <x v="1"/>
  </r>
  <r>
    <x v="0"/>
    <x v="900"/>
    <x v="438"/>
    <x v="33"/>
    <x v="228"/>
    <x v="792"/>
    <x v="688"/>
    <x v="4"/>
    <x v="49"/>
    <x v="1397"/>
    <x v="2138"/>
    <x v="2537"/>
    <x v="3625"/>
    <x v="3620"/>
    <x v="3236"/>
    <x v="4"/>
    <x v="3581"/>
    <x v="3627"/>
    <x v="61"/>
    <x v="0"/>
    <x v="0"/>
    <x v="2"/>
    <x v="294"/>
    <x v="35"/>
    <x v="697"/>
    <x v="11"/>
    <x v="3"/>
    <x v="1"/>
  </r>
  <r>
    <x v="0"/>
    <x v="1598"/>
    <x v="431"/>
    <x v="57"/>
    <x v="198"/>
    <x v="702"/>
    <x v="139"/>
    <x v="3287"/>
    <x v="28"/>
    <x v="1398"/>
    <x v="2139"/>
    <x v="2538"/>
    <x v="3626"/>
    <x v="3621"/>
    <x v="3237"/>
    <x v="0"/>
    <x v="3582"/>
    <x v="3628"/>
    <x v="788"/>
    <x v="8"/>
    <x v="16"/>
    <x v="4"/>
    <x v="4"/>
    <x v="10"/>
    <x v="722"/>
    <x v="5"/>
    <x v="2"/>
    <x v="655"/>
  </r>
  <r>
    <x v="0"/>
    <x v="33"/>
    <x v="107"/>
    <x v="11"/>
    <x v="0"/>
    <x v="548"/>
    <x v="86"/>
    <x v="3288"/>
    <x v="560"/>
    <x v="627"/>
    <x v="2029"/>
    <x v="2167"/>
    <x v="3627"/>
    <x v="3622"/>
    <x v="57"/>
    <x v="0"/>
    <x v="3583"/>
    <x v="3629"/>
    <x v="286"/>
    <x v="0"/>
    <x v="0"/>
    <x v="0"/>
    <x v="240"/>
    <x v="9"/>
    <x v="537"/>
    <x v="4"/>
    <x v="1"/>
    <x v="50"/>
  </r>
  <r>
    <x v="0"/>
    <x v="1303"/>
    <x v="75"/>
    <x v="54"/>
    <x v="160"/>
    <x v="512"/>
    <x v="0"/>
    <x v="3289"/>
    <x v="364"/>
    <x v="975"/>
    <x v="1057"/>
    <x v="2539"/>
    <x v="3628"/>
    <x v="3623"/>
    <x v="3238"/>
    <x v="0"/>
    <x v="3584"/>
    <x v="3630"/>
    <x v="926"/>
    <x v="0"/>
    <x v="0"/>
    <x v="4"/>
    <x v="213"/>
    <x v="12"/>
    <x v="574"/>
    <x v="4"/>
    <x v="3"/>
    <x v="1"/>
  </r>
  <r>
    <x v="0"/>
    <x v="1599"/>
    <x v="518"/>
    <x v="27"/>
    <x v="106"/>
    <x v="49"/>
    <x v="21"/>
    <x v="3290"/>
    <x v="770"/>
    <x v="71"/>
    <x v="2140"/>
    <x v="2540"/>
    <x v="3629"/>
    <x v="3624"/>
    <x v="1475"/>
    <x v="0"/>
    <x v="3585"/>
    <x v="3631"/>
    <x v="132"/>
    <x v="0"/>
    <x v="0"/>
    <x v="0"/>
    <x v="159"/>
    <x v="6"/>
    <x v="541"/>
    <x v="11"/>
    <x v="1"/>
    <x v="0"/>
  </r>
  <r>
    <x v="0"/>
    <x v="899"/>
    <x v="257"/>
    <x v="101"/>
    <x v="108"/>
    <x v="337"/>
    <x v="460"/>
    <x v="3291"/>
    <x v="771"/>
    <x v="842"/>
    <x v="1353"/>
    <x v="1586"/>
    <x v="3630"/>
    <x v="3625"/>
    <x v="3239"/>
    <x v="0"/>
    <x v="3586"/>
    <x v="3632"/>
    <x v="688"/>
    <x v="0"/>
    <x v="0"/>
    <x v="4"/>
    <x v="240"/>
    <x v="19"/>
    <x v="459"/>
    <x v="4"/>
    <x v="3"/>
    <x v="1"/>
  </r>
  <r>
    <x v="0"/>
    <x v="1600"/>
    <x v="171"/>
    <x v="113"/>
    <x v="129"/>
    <x v="439"/>
    <x v="35"/>
    <x v="3292"/>
    <x v="429"/>
    <x v="332"/>
    <x v="2141"/>
    <x v="2449"/>
    <x v="3631"/>
    <x v="3626"/>
    <x v="2313"/>
    <x v="0"/>
    <x v="3587"/>
    <x v="3633"/>
    <x v="581"/>
    <x v="0"/>
    <x v="0"/>
    <x v="0"/>
    <x v="295"/>
    <x v="6"/>
    <x v="34"/>
    <x v="8"/>
    <x v="1"/>
    <x v="1"/>
  </r>
  <r>
    <x v="0"/>
    <x v="929"/>
    <x v="24"/>
    <x v="50"/>
    <x v="192"/>
    <x v="190"/>
    <x v="367"/>
    <x v="3293"/>
    <x v="429"/>
    <x v="1399"/>
    <x v="2142"/>
    <x v="2541"/>
    <x v="3632"/>
    <x v="3627"/>
    <x v="1129"/>
    <x v="0"/>
    <x v="3588"/>
    <x v="3634"/>
    <x v="888"/>
    <x v="0"/>
    <x v="0"/>
    <x v="4"/>
    <x v="240"/>
    <x v="10"/>
    <x v="843"/>
    <x v="27"/>
    <x v="3"/>
    <x v="4"/>
  </r>
  <r>
    <x v="0"/>
    <x v="1601"/>
    <x v="176"/>
    <x v="71"/>
    <x v="123"/>
    <x v="872"/>
    <x v="86"/>
    <x v="3294"/>
    <x v="471"/>
    <x v="627"/>
    <x v="2143"/>
    <x v="2542"/>
    <x v="3633"/>
    <x v="3628"/>
    <x v="2373"/>
    <x v="0"/>
    <x v="3589"/>
    <x v="3635"/>
    <x v="757"/>
    <x v="0"/>
    <x v="0"/>
    <x v="0"/>
    <x v="240"/>
    <x v="11"/>
    <x v="530"/>
    <x v="46"/>
    <x v="1"/>
    <x v="45"/>
  </r>
  <r>
    <x v="0"/>
    <x v="168"/>
    <x v="333"/>
    <x v="76"/>
    <x v="111"/>
    <x v="370"/>
    <x v="361"/>
    <x v="3295"/>
    <x v="528"/>
    <x v="1400"/>
    <x v="1968"/>
    <x v="2543"/>
    <x v="3634"/>
    <x v="3629"/>
    <x v="3240"/>
    <x v="0"/>
    <x v="3590"/>
    <x v="3636"/>
    <x v="445"/>
    <x v="0"/>
    <x v="0"/>
    <x v="14"/>
    <x v="274"/>
    <x v="42"/>
    <x v="481"/>
    <x v="4"/>
    <x v="3"/>
    <x v="1"/>
  </r>
  <r>
    <x v="0"/>
    <x v="1327"/>
    <x v="214"/>
    <x v="26"/>
    <x v="0"/>
    <x v="478"/>
    <x v="0"/>
    <x v="2874"/>
    <x v="60"/>
    <x v="510"/>
    <x v="1851"/>
    <x v="1147"/>
    <x v="3103"/>
    <x v="3630"/>
    <x v="2818"/>
    <x v="1"/>
    <x v="3073"/>
    <x v="3105"/>
    <x v="491"/>
    <x v="0"/>
    <x v="0"/>
    <x v="4"/>
    <x v="240"/>
    <x v="2"/>
    <x v="85"/>
    <x v="1"/>
    <x v="1"/>
    <x v="61"/>
  </r>
  <r>
    <x v="0"/>
    <x v="1602"/>
    <x v="438"/>
    <x v="69"/>
    <x v="386"/>
    <x v="666"/>
    <x v="593"/>
    <x v="3296"/>
    <x v="200"/>
    <x v="1401"/>
    <x v="2144"/>
    <x v="2544"/>
    <x v="3635"/>
    <x v="3631"/>
    <x v="3241"/>
    <x v="1"/>
    <x v="3591"/>
    <x v="3637"/>
    <x v="671"/>
    <x v="6"/>
    <x v="12"/>
    <x v="0"/>
    <x v="240"/>
    <x v="9"/>
    <x v="646"/>
    <x v="32"/>
    <x v="3"/>
    <x v="57"/>
  </r>
  <r>
    <x v="0"/>
    <x v="929"/>
    <x v="61"/>
    <x v="45"/>
    <x v="192"/>
    <x v="41"/>
    <x v="535"/>
    <x v="3297"/>
    <x v="429"/>
    <x v="1402"/>
    <x v="2145"/>
    <x v="2545"/>
    <x v="3636"/>
    <x v="3632"/>
    <x v="2549"/>
    <x v="0"/>
    <x v="3592"/>
    <x v="3638"/>
    <x v="556"/>
    <x v="0"/>
    <x v="0"/>
    <x v="4"/>
    <x v="240"/>
    <x v="3"/>
    <x v="39"/>
    <x v="51"/>
    <x v="3"/>
    <x v="18"/>
  </r>
  <r>
    <x v="0"/>
    <x v="1603"/>
    <x v="372"/>
    <x v="24"/>
    <x v="52"/>
    <x v="583"/>
    <x v="605"/>
    <x v="3298"/>
    <x v="433"/>
    <x v="1183"/>
    <x v="2146"/>
    <x v="2546"/>
    <x v="3637"/>
    <x v="3633"/>
    <x v="3242"/>
    <x v="1"/>
    <x v="3593"/>
    <x v="3639"/>
    <x v="212"/>
    <x v="0"/>
    <x v="0"/>
    <x v="10"/>
    <x v="240"/>
    <x v="62"/>
    <x v="259"/>
    <x v="2"/>
    <x v="5"/>
    <x v="1"/>
  </r>
  <r>
    <x v="0"/>
    <x v="883"/>
    <x v="193"/>
    <x v="18"/>
    <x v="318"/>
    <x v="640"/>
    <x v="425"/>
    <x v="4"/>
    <x v="656"/>
    <x v="1403"/>
    <x v="1839"/>
    <x v="2547"/>
    <x v="3638"/>
    <x v="3634"/>
    <x v="482"/>
    <x v="0"/>
    <x v="3594"/>
    <x v="3640"/>
    <x v="546"/>
    <x v="0"/>
    <x v="1"/>
    <x v="3"/>
    <x v="240"/>
    <x v="57"/>
    <x v="737"/>
    <x v="1"/>
    <x v="1"/>
    <x v="656"/>
  </r>
  <r>
    <x v="0"/>
    <x v="840"/>
    <x v="74"/>
    <x v="41"/>
    <x v="91"/>
    <x v="40"/>
    <x v="1"/>
    <x v="3299"/>
    <x v="499"/>
    <x v="1"/>
    <x v="1229"/>
    <x v="2548"/>
    <x v="3639"/>
    <x v="3635"/>
    <x v="3243"/>
    <x v="0"/>
    <x v="3595"/>
    <x v="3641"/>
    <x v="418"/>
    <x v="0"/>
    <x v="0"/>
    <x v="4"/>
    <x v="231"/>
    <x v="23"/>
    <x v="537"/>
    <x v="41"/>
    <x v="3"/>
    <x v="657"/>
  </r>
  <r>
    <x v="0"/>
    <x v="1604"/>
    <x v="112"/>
    <x v="56"/>
    <x v="246"/>
    <x v="541"/>
    <x v="123"/>
    <x v="3300"/>
    <x v="393"/>
    <x v="233"/>
    <x v="1327"/>
    <x v="836"/>
    <x v="3640"/>
    <x v="3636"/>
    <x v="3244"/>
    <x v="4"/>
    <x v="3596"/>
    <x v="3642"/>
    <x v="222"/>
    <x v="0"/>
    <x v="0"/>
    <x v="4"/>
    <x v="274"/>
    <x v="17"/>
    <x v="431"/>
    <x v="11"/>
    <x v="3"/>
    <x v="1"/>
  </r>
  <r>
    <x v="0"/>
    <x v="810"/>
    <x v="474"/>
    <x v="46"/>
    <x v="190"/>
    <x v="636"/>
    <x v="209"/>
    <x v="4"/>
    <x v="772"/>
    <x v="391"/>
    <x v="2147"/>
    <x v="2549"/>
    <x v="3641"/>
    <x v="3637"/>
    <x v="2549"/>
    <x v="0"/>
    <x v="3597"/>
    <x v="3643"/>
    <x v="586"/>
    <x v="0"/>
    <x v="0"/>
    <x v="11"/>
    <x v="240"/>
    <x v="63"/>
    <x v="844"/>
    <x v="13"/>
    <x v="15"/>
    <x v="1"/>
  </r>
  <r>
    <x v="0"/>
    <x v="1605"/>
    <x v="129"/>
    <x v="59"/>
    <x v="79"/>
    <x v="759"/>
    <x v="189"/>
    <x v="3301"/>
    <x v="560"/>
    <x v="1404"/>
    <x v="2148"/>
    <x v="2550"/>
    <x v="3642"/>
    <x v="3638"/>
    <x v="3245"/>
    <x v="0"/>
    <x v="3598"/>
    <x v="3644"/>
    <x v="293"/>
    <x v="0"/>
    <x v="0"/>
    <x v="4"/>
    <x v="240"/>
    <x v="11"/>
    <x v="121"/>
    <x v="40"/>
    <x v="0"/>
    <x v="7"/>
  </r>
  <r>
    <x v="1"/>
    <x v="507"/>
    <x v="338"/>
    <x v="23"/>
    <x v="0"/>
    <x v="210"/>
    <x v="25"/>
    <x v="4"/>
    <x v="113"/>
    <x v="82"/>
    <x v="895"/>
    <x v="519"/>
    <x v="3643"/>
    <x v="3639"/>
    <x v="3246"/>
    <x v="1"/>
    <x v="3599"/>
    <x v="3645"/>
    <x v="485"/>
    <x v="0"/>
    <x v="0"/>
    <x v="2"/>
    <x v="240"/>
    <x v="35"/>
    <x v="507"/>
    <x v="17"/>
    <x v="1"/>
    <x v="104"/>
  </r>
  <r>
    <x v="0"/>
    <x v="645"/>
    <x v="519"/>
    <x v="85"/>
    <x v="140"/>
    <x v="443"/>
    <x v="2"/>
    <x v="3302"/>
    <x v="113"/>
    <x v="72"/>
    <x v="1859"/>
    <x v="647"/>
    <x v="3644"/>
    <x v="3640"/>
    <x v="3247"/>
    <x v="0"/>
    <x v="3600"/>
    <x v="3646"/>
    <x v="471"/>
    <x v="0"/>
    <x v="0"/>
    <x v="4"/>
    <x v="240"/>
    <x v="9"/>
    <x v="13"/>
    <x v="25"/>
    <x v="1"/>
    <x v="14"/>
  </r>
  <r>
    <x v="0"/>
    <x v="1606"/>
    <x v="194"/>
    <x v="105"/>
    <x v="129"/>
    <x v="770"/>
    <x v="14"/>
    <x v="3303"/>
    <x v="321"/>
    <x v="351"/>
    <x v="1355"/>
    <x v="2551"/>
    <x v="3645"/>
    <x v="3641"/>
    <x v="3248"/>
    <x v="0"/>
    <x v="3601"/>
    <x v="3647"/>
    <x v="189"/>
    <x v="0"/>
    <x v="0"/>
    <x v="0"/>
    <x v="296"/>
    <x v="2"/>
    <x v="693"/>
    <x v="31"/>
    <x v="1"/>
    <x v="1"/>
  </r>
  <r>
    <x v="1"/>
    <x v="3"/>
    <x v="164"/>
    <x v="18"/>
    <x v="2"/>
    <x v="442"/>
    <x v="352"/>
    <x v="3304"/>
    <x v="60"/>
    <x v="635"/>
    <x v="664"/>
    <x v="2552"/>
    <x v="3646"/>
    <x v="3642"/>
    <x v="154"/>
    <x v="0"/>
    <x v="3602"/>
    <x v="3648"/>
    <x v="927"/>
    <x v="0"/>
    <x v="0"/>
    <x v="4"/>
    <x v="195"/>
    <x v="21"/>
    <x v="412"/>
    <x v="3"/>
    <x v="1"/>
    <x v="13"/>
  </r>
  <r>
    <x v="0"/>
    <x v="1607"/>
    <x v="484"/>
    <x v="27"/>
    <x v="68"/>
    <x v="184"/>
    <x v="234"/>
    <x v="3305"/>
    <x v="364"/>
    <x v="1405"/>
    <x v="2149"/>
    <x v="2553"/>
    <x v="3647"/>
    <x v="3643"/>
    <x v="3249"/>
    <x v="0"/>
    <x v="3603"/>
    <x v="3649"/>
    <x v="367"/>
    <x v="0"/>
    <x v="0"/>
    <x v="4"/>
    <x v="240"/>
    <x v="9"/>
    <x v="845"/>
    <x v="12"/>
    <x v="1"/>
    <x v="33"/>
  </r>
  <r>
    <x v="1"/>
    <x v="609"/>
    <x v="215"/>
    <x v="55"/>
    <x v="0"/>
    <x v="873"/>
    <x v="0"/>
    <x v="3306"/>
    <x v="125"/>
    <x v="990"/>
    <x v="2073"/>
    <x v="2554"/>
    <x v="3648"/>
    <x v="3644"/>
    <x v="2017"/>
    <x v="3"/>
    <x v="3604"/>
    <x v="3650"/>
    <x v="805"/>
    <x v="0"/>
    <x v="0"/>
    <x v="4"/>
    <x v="240"/>
    <x v="7"/>
    <x v="103"/>
    <x v="38"/>
    <x v="3"/>
    <x v="1"/>
  </r>
  <r>
    <x v="0"/>
    <x v="564"/>
    <x v="285"/>
    <x v="47"/>
    <x v="144"/>
    <x v="485"/>
    <x v="205"/>
    <x v="3307"/>
    <x v="419"/>
    <x v="385"/>
    <x v="2150"/>
    <x v="2555"/>
    <x v="3649"/>
    <x v="3645"/>
    <x v="3250"/>
    <x v="0"/>
    <x v="3605"/>
    <x v="3651"/>
    <x v="88"/>
    <x v="0"/>
    <x v="1"/>
    <x v="4"/>
    <x v="240"/>
    <x v="21"/>
    <x v="739"/>
    <x v="16"/>
    <x v="3"/>
    <x v="1"/>
  </r>
  <r>
    <x v="0"/>
    <x v="1608"/>
    <x v="109"/>
    <x v="33"/>
    <x v="309"/>
    <x v="685"/>
    <x v="134"/>
    <x v="3308"/>
    <x v="200"/>
    <x v="252"/>
    <x v="53"/>
    <x v="2143"/>
    <x v="3650"/>
    <x v="3646"/>
    <x v="3251"/>
    <x v="1"/>
    <x v="3606"/>
    <x v="3652"/>
    <x v="404"/>
    <x v="0"/>
    <x v="0"/>
    <x v="0"/>
    <x v="240"/>
    <x v="9"/>
    <x v="42"/>
    <x v="38"/>
    <x v="3"/>
    <x v="31"/>
  </r>
  <r>
    <x v="0"/>
    <x v="1609"/>
    <x v="329"/>
    <x v="50"/>
    <x v="0"/>
    <x v="489"/>
    <x v="163"/>
    <x v="3309"/>
    <x v="399"/>
    <x v="1406"/>
    <x v="2151"/>
    <x v="2556"/>
    <x v="3651"/>
    <x v="3341"/>
    <x v="381"/>
    <x v="0"/>
    <x v="3607"/>
    <x v="3653"/>
    <x v="744"/>
    <x v="0"/>
    <x v="0"/>
    <x v="4"/>
    <x v="240"/>
    <x v="23"/>
    <x v="494"/>
    <x v="37"/>
    <x v="3"/>
    <x v="658"/>
  </r>
  <r>
    <x v="0"/>
    <x v="83"/>
    <x v="465"/>
    <x v="58"/>
    <x v="174"/>
    <x v="503"/>
    <x v="323"/>
    <x v="4"/>
    <x v="773"/>
    <x v="1407"/>
    <x v="2152"/>
    <x v="2557"/>
    <x v="3652"/>
    <x v="3647"/>
    <x v="3252"/>
    <x v="0"/>
    <x v="3608"/>
    <x v="3654"/>
    <x v="388"/>
    <x v="0"/>
    <x v="5"/>
    <x v="2"/>
    <x v="209"/>
    <x v="26"/>
    <x v="653"/>
    <x v="11"/>
    <x v="1"/>
    <x v="1"/>
  </r>
  <r>
    <x v="0"/>
    <x v="1610"/>
    <x v="419"/>
    <x v="91"/>
    <x v="0"/>
    <x v="413"/>
    <x v="35"/>
    <x v="3310"/>
    <x v="233"/>
    <x v="176"/>
    <x v="2153"/>
    <x v="2558"/>
    <x v="3653"/>
    <x v="3648"/>
    <x v="873"/>
    <x v="1"/>
    <x v="3609"/>
    <x v="3655"/>
    <x v="684"/>
    <x v="0"/>
    <x v="0"/>
    <x v="3"/>
    <x v="240"/>
    <x v="15"/>
    <x v="706"/>
    <x v="40"/>
    <x v="8"/>
    <x v="627"/>
  </r>
  <r>
    <x v="0"/>
    <x v="1611"/>
    <x v="299"/>
    <x v="90"/>
    <x v="196"/>
    <x v="37"/>
    <x v="643"/>
    <x v="3311"/>
    <x v="270"/>
    <x v="1408"/>
    <x v="1192"/>
    <x v="2559"/>
    <x v="3654"/>
    <x v="3649"/>
    <x v="936"/>
    <x v="1"/>
    <x v="3610"/>
    <x v="3656"/>
    <x v="486"/>
    <x v="0"/>
    <x v="0"/>
    <x v="0"/>
    <x v="240"/>
    <x v="13"/>
    <x v="273"/>
    <x v="13"/>
    <x v="3"/>
    <x v="103"/>
  </r>
  <r>
    <x v="0"/>
    <x v="1612"/>
    <x v="336"/>
    <x v="74"/>
    <x v="192"/>
    <x v="164"/>
    <x v="652"/>
    <x v="4"/>
    <x v="113"/>
    <x v="1291"/>
    <x v="945"/>
    <x v="2560"/>
    <x v="3655"/>
    <x v="3650"/>
    <x v="3253"/>
    <x v="1"/>
    <x v="3611"/>
    <x v="3657"/>
    <x v="290"/>
    <x v="0"/>
    <x v="0"/>
    <x v="4"/>
    <x v="240"/>
    <x v="37"/>
    <x v="531"/>
    <x v="10"/>
    <x v="3"/>
    <x v="1"/>
  </r>
  <r>
    <x v="0"/>
    <x v="1613"/>
    <x v="200"/>
    <x v="78"/>
    <x v="19"/>
    <x v="1"/>
    <x v="2"/>
    <x v="3312"/>
    <x v="200"/>
    <x v="336"/>
    <x v="201"/>
    <x v="110"/>
    <x v="3656"/>
    <x v="3651"/>
    <x v="3254"/>
    <x v="1"/>
    <x v="3612"/>
    <x v="3658"/>
    <x v="231"/>
    <x v="0"/>
    <x v="0"/>
    <x v="4"/>
    <x v="240"/>
    <x v="10"/>
    <x v="13"/>
    <x v="21"/>
    <x v="3"/>
    <x v="59"/>
  </r>
  <r>
    <x v="0"/>
    <x v="249"/>
    <x v="211"/>
    <x v="90"/>
    <x v="138"/>
    <x v="145"/>
    <x v="126"/>
    <x v="3313"/>
    <x v="122"/>
    <x v="1030"/>
    <x v="419"/>
    <x v="2561"/>
    <x v="3657"/>
    <x v="3652"/>
    <x v="3255"/>
    <x v="0"/>
    <x v="3613"/>
    <x v="3659"/>
    <x v="769"/>
    <x v="0"/>
    <x v="4"/>
    <x v="0"/>
    <x v="4"/>
    <x v="6"/>
    <x v="282"/>
    <x v="1"/>
    <x v="1"/>
    <x v="1"/>
  </r>
  <r>
    <x v="0"/>
    <x v="1614"/>
    <x v="417"/>
    <x v="27"/>
    <x v="0"/>
    <x v="874"/>
    <x v="0"/>
    <x v="3314"/>
    <x v="200"/>
    <x v="85"/>
    <x v="2154"/>
    <x v="2562"/>
    <x v="3658"/>
    <x v="3653"/>
    <x v="3256"/>
    <x v="12"/>
    <x v="3614"/>
    <x v="3660"/>
    <x v="721"/>
    <x v="0"/>
    <x v="0"/>
    <x v="4"/>
    <x v="274"/>
    <x v="20"/>
    <x v="527"/>
    <x v="23"/>
    <x v="3"/>
    <x v="659"/>
  </r>
  <r>
    <x v="0"/>
    <x v="1284"/>
    <x v="358"/>
    <x v="54"/>
    <x v="43"/>
    <x v="306"/>
    <x v="0"/>
    <x v="2797"/>
    <x v="527"/>
    <x v="481"/>
    <x v="1802"/>
    <x v="478"/>
    <x v="3013"/>
    <x v="3009"/>
    <x v="2741"/>
    <x v="4"/>
    <x v="2983"/>
    <x v="3014"/>
    <x v="243"/>
    <x v="0"/>
    <x v="0"/>
    <x v="4"/>
    <x v="240"/>
    <x v="18"/>
    <x v="487"/>
    <x v="5"/>
    <x v="3"/>
    <x v="1"/>
  </r>
  <r>
    <x v="0"/>
    <x v="1234"/>
    <x v="128"/>
    <x v="41"/>
    <x v="48"/>
    <x v="2"/>
    <x v="0"/>
    <x v="3315"/>
    <x v="236"/>
    <x v="1193"/>
    <x v="2155"/>
    <x v="2563"/>
    <x v="3659"/>
    <x v="3654"/>
    <x v="3257"/>
    <x v="0"/>
    <x v="3615"/>
    <x v="3661"/>
    <x v="376"/>
    <x v="0"/>
    <x v="0"/>
    <x v="4"/>
    <x v="240"/>
    <x v="11"/>
    <x v="807"/>
    <x v="9"/>
    <x v="3"/>
    <x v="57"/>
  </r>
  <r>
    <x v="0"/>
    <x v="803"/>
    <x v="435"/>
    <x v="11"/>
    <x v="80"/>
    <x v="214"/>
    <x v="0"/>
    <x v="3316"/>
    <x v="306"/>
    <x v="1182"/>
    <x v="2156"/>
    <x v="2564"/>
    <x v="3660"/>
    <x v="3655"/>
    <x v="3258"/>
    <x v="0"/>
    <x v="3616"/>
    <x v="3662"/>
    <x v="631"/>
    <x v="6"/>
    <x v="0"/>
    <x v="4"/>
    <x v="240"/>
    <x v="11"/>
    <x v="426"/>
    <x v="31"/>
    <x v="3"/>
    <x v="1"/>
  </r>
  <r>
    <x v="0"/>
    <x v="1022"/>
    <x v="308"/>
    <x v="56"/>
    <x v="239"/>
    <x v="641"/>
    <x v="35"/>
    <x v="3317"/>
    <x v="270"/>
    <x v="1190"/>
    <x v="1962"/>
    <x v="1933"/>
    <x v="3661"/>
    <x v="3656"/>
    <x v="3259"/>
    <x v="4"/>
    <x v="3617"/>
    <x v="3663"/>
    <x v="120"/>
    <x v="0"/>
    <x v="0"/>
    <x v="4"/>
    <x v="224"/>
    <x v="13"/>
    <x v="655"/>
    <x v="11"/>
    <x v="3"/>
    <x v="434"/>
  </r>
  <r>
    <x v="0"/>
    <x v="1615"/>
    <x v="481"/>
    <x v="59"/>
    <x v="73"/>
    <x v="211"/>
    <x v="30"/>
    <x v="3318"/>
    <x v="270"/>
    <x v="224"/>
    <x v="312"/>
    <x v="269"/>
    <x v="3662"/>
    <x v="3657"/>
    <x v="3260"/>
    <x v="1"/>
    <x v="3618"/>
    <x v="3664"/>
    <x v="224"/>
    <x v="0"/>
    <x v="0"/>
    <x v="0"/>
    <x v="240"/>
    <x v="11"/>
    <x v="12"/>
    <x v="7"/>
    <x v="3"/>
    <x v="48"/>
  </r>
  <r>
    <x v="0"/>
    <x v="1616"/>
    <x v="464"/>
    <x v="106"/>
    <x v="387"/>
    <x v="123"/>
    <x v="64"/>
    <x v="4"/>
    <x v="433"/>
    <x v="1409"/>
    <x v="2157"/>
    <x v="152"/>
    <x v="3663"/>
    <x v="3658"/>
    <x v="3261"/>
    <x v="0"/>
    <x v="3619"/>
    <x v="3665"/>
    <x v="450"/>
    <x v="0"/>
    <x v="0"/>
    <x v="11"/>
    <x v="240"/>
    <x v="63"/>
    <x v="287"/>
    <x v="4"/>
    <x v="19"/>
    <x v="376"/>
  </r>
  <r>
    <x v="0"/>
    <x v="1617"/>
    <x v="413"/>
    <x v="77"/>
    <x v="85"/>
    <x v="667"/>
    <x v="57"/>
    <x v="4"/>
    <x v="23"/>
    <x v="237"/>
    <x v="2158"/>
    <x v="2565"/>
    <x v="3664"/>
    <x v="2754"/>
    <x v="3262"/>
    <x v="4"/>
    <x v="3620"/>
    <x v="3666"/>
    <x v="653"/>
    <x v="0"/>
    <x v="0"/>
    <x v="4"/>
    <x v="240"/>
    <x v="37"/>
    <x v="276"/>
    <x v="21"/>
    <x v="3"/>
    <x v="1"/>
  </r>
  <r>
    <x v="0"/>
    <x v="1618"/>
    <x v="309"/>
    <x v="7"/>
    <x v="85"/>
    <x v="809"/>
    <x v="689"/>
    <x v="3319"/>
    <x v="774"/>
    <x v="1410"/>
    <x v="2159"/>
    <x v="2566"/>
    <x v="3665"/>
    <x v="3659"/>
    <x v="56"/>
    <x v="0"/>
    <x v="3621"/>
    <x v="3667"/>
    <x v="708"/>
    <x v="0"/>
    <x v="0"/>
    <x v="4"/>
    <x v="240"/>
    <x v="30"/>
    <x v="846"/>
    <x v="33"/>
    <x v="3"/>
    <x v="103"/>
  </r>
  <r>
    <x v="0"/>
    <x v="502"/>
    <x v="188"/>
    <x v="54"/>
    <x v="47"/>
    <x v="251"/>
    <x v="362"/>
    <x v="3320"/>
    <x v="215"/>
    <x v="932"/>
    <x v="1470"/>
    <x v="1532"/>
    <x v="3666"/>
    <x v="3660"/>
    <x v="2977"/>
    <x v="3"/>
    <x v="3622"/>
    <x v="3668"/>
    <x v="928"/>
    <x v="0"/>
    <x v="0"/>
    <x v="2"/>
    <x v="240"/>
    <x v="19"/>
    <x v="478"/>
    <x v="4"/>
    <x v="3"/>
    <x v="9"/>
  </r>
  <r>
    <x v="0"/>
    <x v="1619"/>
    <x v="520"/>
    <x v="50"/>
    <x v="388"/>
    <x v="830"/>
    <x v="2"/>
    <x v="3321"/>
    <x v="152"/>
    <x v="182"/>
    <x v="1930"/>
    <x v="2567"/>
    <x v="3667"/>
    <x v="3661"/>
    <x v="3263"/>
    <x v="2"/>
    <x v="3623"/>
    <x v="3669"/>
    <x v="929"/>
    <x v="0"/>
    <x v="0"/>
    <x v="4"/>
    <x v="240"/>
    <x v="3"/>
    <x v="817"/>
    <x v="43"/>
    <x v="1"/>
    <x v="68"/>
  </r>
  <r>
    <x v="0"/>
    <x v="1620"/>
    <x v="318"/>
    <x v="41"/>
    <x v="89"/>
    <x v="166"/>
    <x v="413"/>
    <x v="3322"/>
    <x v="381"/>
    <x v="806"/>
    <x v="2160"/>
    <x v="1904"/>
    <x v="3668"/>
    <x v="3662"/>
    <x v="348"/>
    <x v="0"/>
    <x v="3624"/>
    <x v="3670"/>
    <x v="750"/>
    <x v="0"/>
    <x v="0"/>
    <x v="4"/>
    <x v="240"/>
    <x v="16"/>
    <x v="477"/>
    <x v="41"/>
    <x v="3"/>
    <x v="1"/>
  </r>
  <r>
    <x v="0"/>
    <x v="122"/>
    <x v="247"/>
    <x v="11"/>
    <x v="0"/>
    <x v="566"/>
    <x v="690"/>
    <x v="3323"/>
    <x v="621"/>
    <x v="1411"/>
    <x v="2161"/>
    <x v="2568"/>
    <x v="3669"/>
    <x v="3663"/>
    <x v="2807"/>
    <x v="1"/>
    <x v="3625"/>
    <x v="3671"/>
    <x v="440"/>
    <x v="6"/>
    <x v="12"/>
    <x v="4"/>
    <x v="126"/>
    <x v="18"/>
    <x v="474"/>
    <x v="16"/>
    <x v="3"/>
    <x v="1"/>
  </r>
  <r>
    <x v="0"/>
    <x v="229"/>
    <x v="161"/>
    <x v="77"/>
    <x v="16"/>
    <x v="128"/>
    <x v="66"/>
    <x v="3324"/>
    <x v="476"/>
    <x v="1412"/>
    <x v="2162"/>
    <x v="158"/>
    <x v="3670"/>
    <x v="3664"/>
    <x v="1266"/>
    <x v="5"/>
    <x v="3626"/>
    <x v="3672"/>
    <x v="930"/>
    <x v="0"/>
    <x v="1"/>
    <x v="4"/>
    <x v="213"/>
    <x v="14"/>
    <x v="267"/>
    <x v="25"/>
    <x v="1"/>
    <x v="64"/>
  </r>
  <r>
    <x v="0"/>
    <x v="1621"/>
    <x v="336"/>
    <x v="87"/>
    <x v="143"/>
    <x v="410"/>
    <x v="0"/>
    <x v="3325"/>
    <x v="327"/>
    <x v="1413"/>
    <x v="2163"/>
    <x v="596"/>
    <x v="3671"/>
    <x v="3665"/>
    <x v="3264"/>
    <x v="7"/>
    <x v="3627"/>
    <x v="3673"/>
    <x v="277"/>
    <x v="0"/>
    <x v="0"/>
    <x v="0"/>
    <x v="240"/>
    <x v="8"/>
    <x v="483"/>
    <x v="45"/>
    <x v="3"/>
    <x v="437"/>
  </r>
  <r>
    <x v="0"/>
    <x v="1430"/>
    <x v="373"/>
    <x v="24"/>
    <x v="370"/>
    <x v="180"/>
    <x v="2"/>
    <x v="3326"/>
    <x v="498"/>
    <x v="72"/>
    <x v="2164"/>
    <x v="2569"/>
    <x v="3672"/>
    <x v="3666"/>
    <x v="3265"/>
    <x v="4"/>
    <x v="3628"/>
    <x v="3674"/>
    <x v="86"/>
    <x v="0"/>
    <x v="0"/>
    <x v="4"/>
    <x v="240"/>
    <x v="25"/>
    <x v="581"/>
    <x v="32"/>
    <x v="1"/>
    <x v="1"/>
  </r>
  <r>
    <x v="0"/>
    <x v="807"/>
    <x v="235"/>
    <x v="76"/>
    <x v="180"/>
    <x v="760"/>
    <x v="413"/>
    <x v="3327"/>
    <x v="381"/>
    <x v="806"/>
    <x v="2165"/>
    <x v="2570"/>
    <x v="3673"/>
    <x v="3667"/>
    <x v="2073"/>
    <x v="0"/>
    <x v="3629"/>
    <x v="3675"/>
    <x v="278"/>
    <x v="0"/>
    <x v="0"/>
    <x v="4"/>
    <x v="240"/>
    <x v="32"/>
    <x v="846"/>
    <x v="18"/>
    <x v="3"/>
    <x v="1"/>
  </r>
  <r>
    <x v="0"/>
    <x v="1622"/>
    <x v="368"/>
    <x v="71"/>
    <x v="184"/>
    <x v="754"/>
    <x v="72"/>
    <x v="3328"/>
    <x v="364"/>
    <x v="979"/>
    <x v="2166"/>
    <x v="2571"/>
    <x v="3674"/>
    <x v="3668"/>
    <x v="3266"/>
    <x v="0"/>
    <x v="3630"/>
    <x v="3676"/>
    <x v="310"/>
    <x v="0"/>
    <x v="0"/>
    <x v="4"/>
    <x v="240"/>
    <x v="43"/>
    <x v="43"/>
    <x v="5"/>
    <x v="1"/>
    <x v="1"/>
  </r>
  <r>
    <x v="0"/>
    <x v="277"/>
    <x v="372"/>
    <x v="47"/>
    <x v="181"/>
    <x v="274"/>
    <x v="485"/>
    <x v="3329"/>
    <x v="200"/>
    <x v="899"/>
    <x v="1095"/>
    <x v="727"/>
    <x v="3675"/>
    <x v="3669"/>
    <x v="1563"/>
    <x v="5"/>
    <x v="3631"/>
    <x v="3677"/>
    <x v="499"/>
    <x v="0"/>
    <x v="0"/>
    <x v="4"/>
    <x v="240"/>
    <x v="26"/>
    <x v="387"/>
    <x v="13"/>
    <x v="3"/>
    <x v="1"/>
  </r>
  <r>
    <x v="0"/>
    <x v="1623"/>
    <x v="207"/>
    <x v="86"/>
    <x v="193"/>
    <x v="171"/>
    <x v="200"/>
    <x v="3330"/>
    <x v="579"/>
    <x v="378"/>
    <x v="2167"/>
    <x v="2572"/>
    <x v="3676"/>
    <x v="3407"/>
    <x v="3267"/>
    <x v="0"/>
    <x v="3632"/>
    <x v="3678"/>
    <x v="632"/>
    <x v="0"/>
    <x v="0"/>
    <x v="2"/>
    <x v="240"/>
    <x v="45"/>
    <x v="99"/>
    <x v="22"/>
    <x v="3"/>
    <x v="1"/>
  </r>
  <r>
    <x v="0"/>
    <x v="1624"/>
    <x v="103"/>
    <x v="107"/>
    <x v="184"/>
    <x v="875"/>
    <x v="691"/>
    <x v="3331"/>
    <x v="315"/>
    <x v="1414"/>
    <x v="2168"/>
    <x v="2573"/>
    <x v="3677"/>
    <x v="3670"/>
    <x v="613"/>
    <x v="0"/>
    <x v="3633"/>
    <x v="3679"/>
    <x v="451"/>
    <x v="0"/>
    <x v="0"/>
    <x v="0"/>
    <x v="240"/>
    <x v="10"/>
    <x v="283"/>
    <x v="31"/>
    <x v="8"/>
    <x v="1"/>
  </r>
  <r>
    <x v="0"/>
    <x v="1625"/>
    <x v="423"/>
    <x v="43"/>
    <x v="107"/>
    <x v="335"/>
    <x v="193"/>
    <x v="3332"/>
    <x v="200"/>
    <x v="360"/>
    <x v="826"/>
    <x v="453"/>
    <x v="3678"/>
    <x v="3671"/>
    <x v="2503"/>
    <x v="0"/>
    <x v="3634"/>
    <x v="3680"/>
    <x v="227"/>
    <x v="0"/>
    <x v="0"/>
    <x v="4"/>
    <x v="83"/>
    <x v="8"/>
    <x v="93"/>
    <x v="8"/>
    <x v="1"/>
    <x v="1"/>
  </r>
  <r>
    <x v="0"/>
    <x v="1234"/>
    <x v="232"/>
    <x v="33"/>
    <x v="48"/>
    <x v="170"/>
    <x v="504"/>
    <x v="3333"/>
    <x v="3"/>
    <x v="1415"/>
    <x v="2169"/>
    <x v="2574"/>
    <x v="3679"/>
    <x v="3672"/>
    <x v="3268"/>
    <x v="0"/>
    <x v="3635"/>
    <x v="3681"/>
    <x v="178"/>
    <x v="0"/>
    <x v="0"/>
    <x v="4"/>
    <x v="240"/>
    <x v="2"/>
    <x v="489"/>
    <x v="2"/>
    <x v="3"/>
    <x v="37"/>
  </r>
  <r>
    <x v="0"/>
    <x v="1626"/>
    <x v="402"/>
    <x v="78"/>
    <x v="240"/>
    <x v="99"/>
    <x v="20"/>
    <x v="4"/>
    <x v="1"/>
    <x v="1416"/>
    <x v="435"/>
    <x v="124"/>
    <x v="3680"/>
    <x v="3673"/>
    <x v="3269"/>
    <x v="0"/>
    <x v="3636"/>
    <x v="3682"/>
    <x v="499"/>
    <x v="0"/>
    <x v="0"/>
    <x v="2"/>
    <x v="83"/>
    <x v="26"/>
    <x v="233"/>
    <x v="5"/>
    <x v="3"/>
    <x v="1"/>
  </r>
  <r>
    <x v="0"/>
    <x v="1544"/>
    <x v="369"/>
    <x v="8"/>
    <x v="91"/>
    <x v="732"/>
    <x v="315"/>
    <x v="4"/>
    <x v="153"/>
    <x v="1417"/>
    <x v="2170"/>
    <x v="2575"/>
    <x v="3681"/>
    <x v="3674"/>
    <x v="3270"/>
    <x v="4"/>
    <x v="3637"/>
    <x v="3683"/>
    <x v="631"/>
    <x v="0"/>
    <x v="0"/>
    <x v="1"/>
    <x v="240"/>
    <x v="64"/>
    <x v="698"/>
    <x v="5"/>
    <x v="5"/>
    <x v="660"/>
  </r>
  <r>
    <x v="0"/>
    <x v="1627"/>
    <x v="349"/>
    <x v="80"/>
    <x v="262"/>
    <x v="665"/>
    <x v="493"/>
    <x v="3334"/>
    <x v="125"/>
    <x v="1418"/>
    <x v="758"/>
    <x v="1201"/>
    <x v="3682"/>
    <x v="3675"/>
    <x v="2145"/>
    <x v="2"/>
    <x v="3638"/>
    <x v="3684"/>
    <x v="327"/>
    <x v="0"/>
    <x v="0"/>
    <x v="4"/>
    <x v="240"/>
    <x v="6"/>
    <x v="455"/>
    <x v="58"/>
    <x v="2"/>
    <x v="59"/>
  </r>
  <r>
    <x v="0"/>
    <x v="1628"/>
    <x v="399"/>
    <x v="77"/>
    <x v="16"/>
    <x v="155"/>
    <x v="256"/>
    <x v="3335"/>
    <x v="17"/>
    <x v="676"/>
    <x v="215"/>
    <x v="2576"/>
    <x v="3683"/>
    <x v="3676"/>
    <x v="3271"/>
    <x v="1"/>
    <x v="3639"/>
    <x v="3685"/>
    <x v="732"/>
    <x v="0"/>
    <x v="0"/>
    <x v="0"/>
    <x v="83"/>
    <x v="0"/>
    <x v="145"/>
    <x v="9"/>
    <x v="3"/>
    <x v="661"/>
  </r>
  <r>
    <x v="1"/>
    <x v="1629"/>
    <x v="372"/>
    <x v="139"/>
    <x v="118"/>
    <x v="345"/>
    <x v="36"/>
    <x v="4"/>
    <x v="387"/>
    <x v="1419"/>
    <x v="2171"/>
    <x v="2577"/>
    <x v="3684"/>
    <x v="3677"/>
    <x v="3159"/>
    <x v="1"/>
    <x v="3640"/>
    <x v="3686"/>
    <x v="835"/>
    <x v="0"/>
    <x v="0"/>
    <x v="10"/>
    <x v="297"/>
    <x v="65"/>
    <x v="761"/>
    <x v="4"/>
    <x v="15"/>
    <x v="662"/>
  </r>
  <r>
    <x v="0"/>
    <x v="803"/>
    <x v="329"/>
    <x v="45"/>
    <x v="80"/>
    <x v="247"/>
    <x v="438"/>
    <x v="3336"/>
    <x v="127"/>
    <x v="792"/>
    <x v="459"/>
    <x v="2578"/>
    <x v="3685"/>
    <x v="3678"/>
    <x v="1298"/>
    <x v="5"/>
    <x v="4"/>
    <x v="3687"/>
    <x v="561"/>
    <x v="0"/>
    <x v="0"/>
    <x v="4"/>
    <x v="240"/>
    <x v="6"/>
    <x v="34"/>
    <x v="33"/>
    <x v="2"/>
    <x v="663"/>
  </r>
  <r>
    <x v="0"/>
    <x v="1630"/>
    <x v="207"/>
    <x v="87"/>
    <x v="154"/>
    <x v="608"/>
    <x v="581"/>
    <x v="3337"/>
    <x v="249"/>
    <x v="1420"/>
    <x v="2172"/>
    <x v="2579"/>
    <x v="3686"/>
    <x v="3679"/>
    <x v="3272"/>
    <x v="0"/>
    <x v="3641"/>
    <x v="3688"/>
    <x v="632"/>
    <x v="0"/>
    <x v="0"/>
    <x v="2"/>
    <x v="240"/>
    <x v="21"/>
    <x v="767"/>
    <x v="18"/>
    <x v="3"/>
    <x v="664"/>
  </r>
  <r>
    <x v="0"/>
    <x v="1631"/>
    <x v="313"/>
    <x v="80"/>
    <x v="69"/>
    <x v="876"/>
    <x v="22"/>
    <x v="3338"/>
    <x v="200"/>
    <x v="514"/>
    <x v="2173"/>
    <x v="2580"/>
    <x v="3687"/>
    <x v="3680"/>
    <x v="3176"/>
    <x v="7"/>
    <x v="3642"/>
    <x v="3689"/>
    <x v="84"/>
    <x v="0"/>
    <x v="0"/>
    <x v="0"/>
    <x v="240"/>
    <x v="14"/>
    <x v="487"/>
    <x v="8"/>
    <x v="3"/>
    <x v="1"/>
  </r>
  <r>
    <x v="0"/>
    <x v="1632"/>
    <x v="126"/>
    <x v="52"/>
    <x v="48"/>
    <x v="502"/>
    <x v="453"/>
    <x v="3339"/>
    <x v="618"/>
    <x v="1421"/>
    <x v="2174"/>
    <x v="2581"/>
    <x v="3688"/>
    <x v="3681"/>
    <x v="677"/>
    <x v="4"/>
    <x v="3643"/>
    <x v="3690"/>
    <x v="690"/>
    <x v="3"/>
    <x v="4"/>
    <x v="4"/>
    <x v="224"/>
    <x v="17"/>
    <x v="470"/>
    <x v="16"/>
    <x v="1"/>
    <x v="1"/>
  </r>
  <r>
    <x v="0"/>
    <x v="421"/>
    <x v="434"/>
    <x v="11"/>
    <x v="137"/>
    <x v="653"/>
    <x v="382"/>
    <x v="4"/>
    <x v="185"/>
    <x v="1422"/>
    <x v="1919"/>
    <x v="2582"/>
    <x v="3689"/>
    <x v="3682"/>
    <x v="3273"/>
    <x v="10"/>
    <x v="3644"/>
    <x v="3691"/>
    <x v="129"/>
    <x v="0"/>
    <x v="0"/>
    <x v="2"/>
    <x v="240"/>
    <x v="46"/>
    <x v="197"/>
    <x v="4"/>
    <x v="3"/>
    <x v="188"/>
  </r>
  <r>
    <x v="0"/>
    <x v="1633"/>
    <x v="392"/>
    <x v="78"/>
    <x v="80"/>
    <x v="24"/>
    <x v="201"/>
    <x v="3340"/>
    <x v="381"/>
    <x v="1423"/>
    <x v="2175"/>
    <x v="884"/>
    <x v="3690"/>
    <x v="3683"/>
    <x v="1483"/>
    <x v="2"/>
    <x v="3645"/>
    <x v="3692"/>
    <x v="104"/>
    <x v="0"/>
    <x v="0"/>
    <x v="4"/>
    <x v="240"/>
    <x v="18"/>
    <x v="381"/>
    <x v="43"/>
    <x v="3"/>
    <x v="471"/>
  </r>
  <r>
    <x v="1"/>
    <x v="1494"/>
    <x v="417"/>
    <x v="51"/>
    <x v="228"/>
    <x v="362"/>
    <x v="2"/>
    <x v="4"/>
    <x v="108"/>
    <x v="42"/>
    <x v="2176"/>
    <x v="502"/>
    <x v="3691"/>
    <x v="3684"/>
    <x v="3274"/>
    <x v="4"/>
    <x v="3646"/>
    <x v="3693"/>
    <x v="670"/>
    <x v="0"/>
    <x v="1"/>
    <x v="2"/>
    <x v="240"/>
    <x v="33"/>
    <x v="120"/>
    <x v="22"/>
    <x v="1"/>
    <x v="665"/>
  </r>
  <r>
    <x v="0"/>
    <x v="1634"/>
    <x v="349"/>
    <x v="13"/>
    <x v="221"/>
    <x v="655"/>
    <x v="692"/>
    <x v="3341"/>
    <x v="200"/>
    <x v="1424"/>
    <x v="1212"/>
    <x v="2583"/>
    <x v="3692"/>
    <x v="3685"/>
    <x v="3275"/>
    <x v="1"/>
    <x v="3647"/>
    <x v="3694"/>
    <x v="567"/>
    <x v="0"/>
    <x v="0"/>
    <x v="0"/>
    <x v="240"/>
    <x v="30"/>
    <x v="243"/>
    <x v="15"/>
    <x v="3"/>
    <x v="1"/>
  </r>
  <r>
    <x v="0"/>
    <x v="1635"/>
    <x v="258"/>
    <x v="78"/>
    <x v="198"/>
    <x v="877"/>
    <x v="35"/>
    <x v="3342"/>
    <x v="125"/>
    <x v="930"/>
    <x v="0"/>
    <x v="2584"/>
    <x v="3693"/>
    <x v="3686"/>
    <x v="3276"/>
    <x v="0"/>
    <x v="3648"/>
    <x v="3695"/>
    <x v="492"/>
    <x v="0"/>
    <x v="0"/>
    <x v="4"/>
    <x v="4"/>
    <x v="7"/>
    <x v="0"/>
    <x v="15"/>
    <x v="1"/>
    <x v="1"/>
  </r>
  <r>
    <x v="0"/>
    <x v="1402"/>
    <x v="370"/>
    <x v="43"/>
    <x v="50"/>
    <x v="614"/>
    <x v="0"/>
    <x v="3343"/>
    <x v="200"/>
    <x v="450"/>
    <x v="2177"/>
    <x v="2585"/>
    <x v="3694"/>
    <x v="2691"/>
    <x v="3277"/>
    <x v="0"/>
    <x v="3649"/>
    <x v="3696"/>
    <x v="167"/>
    <x v="0"/>
    <x v="0"/>
    <x v="4"/>
    <x v="240"/>
    <x v="20"/>
    <x v="847"/>
    <x v="4"/>
    <x v="3"/>
    <x v="310"/>
  </r>
  <r>
    <x v="0"/>
    <x v="737"/>
    <x v="328"/>
    <x v="97"/>
    <x v="0"/>
    <x v="688"/>
    <x v="195"/>
    <x v="4"/>
    <x v="713"/>
    <x v="1425"/>
    <x v="2178"/>
    <x v="2586"/>
    <x v="3695"/>
    <x v="3687"/>
    <x v="3093"/>
    <x v="1"/>
    <x v="3650"/>
    <x v="3697"/>
    <x v="931"/>
    <x v="0"/>
    <x v="20"/>
    <x v="0"/>
    <x v="240"/>
    <x v="38"/>
    <x v="442"/>
    <x v="35"/>
    <x v="1"/>
    <x v="7"/>
  </r>
  <r>
    <x v="0"/>
    <x v="47"/>
    <x v="225"/>
    <x v="54"/>
    <x v="32"/>
    <x v="382"/>
    <x v="41"/>
    <x v="3344"/>
    <x v="369"/>
    <x v="211"/>
    <x v="1611"/>
    <x v="2587"/>
    <x v="3696"/>
    <x v="3688"/>
    <x v="3278"/>
    <x v="4"/>
    <x v="3651"/>
    <x v="3698"/>
    <x v="550"/>
    <x v="0"/>
    <x v="0"/>
    <x v="4"/>
    <x v="240"/>
    <x v="18"/>
    <x v="297"/>
    <x v="21"/>
    <x v="3"/>
    <x v="450"/>
  </r>
  <r>
    <x v="0"/>
    <x v="75"/>
    <x v="264"/>
    <x v="55"/>
    <x v="0"/>
    <x v="194"/>
    <x v="11"/>
    <x v="3345"/>
    <x v="383"/>
    <x v="11"/>
    <x v="2179"/>
    <x v="244"/>
    <x v="3697"/>
    <x v="3689"/>
    <x v="3279"/>
    <x v="0"/>
    <x v="3652"/>
    <x v="3699"/>
    <x v="764"/>
    <x v="0"/>
    <x v="1"/>
    <x v="4"/>
    <x v="240"/>
    <x v="0"/>
    <x v="848"/>
    <x v="0"/>
    <x v="1"/>
    <x v="65"/>
  </r>
  <r>
    <x v="0"/>
    <x v="1373"/>
    <x v="425"/>
    <x v="78"/>
    <x v="143"/>
    <x v="514"/>
    <x v="35"/>
    <x v="3346"/>
    <x v="125"/>
    <x v="844"/>
    <x v="1941"/>
    <x v="2588"/>
    <x v="3698"/>
    <x v="3690"/>
    <x v="3280"/>
    <x v="0"/>
    <x v="3653"/>
    <x v="3700"/>
    <x v="540"/>
    <x v="0"/>
    <x v="0"/>
    <x v="0"/>
    <x v="4"/>
    <x v="7"/>
    <x v="373"/>
    <x v="28"/>
    <x v="3"/>
    <x v="666"/>
  </r>
  <r>
    <x v="0"/>
    <x v="1636"/>
    <x v="478"/>
    <x v="163"/>
    <x v="0"/>
    <x v="298"/>
    <x v="693"/>
    <x v="3347"/>
    <x v="4"/>
    <x v="1426"/>
    <x v="2180"/>
    <x v="2589"/>
    <x v="3699"/>
    <x v="3691"/>
    <x v="564"/>
    <x v="0"/>
    <x v="3654"/>
    <x v="3701"/>
    <x v="854"/>
    <x v="0"/>
    <x v="1"/>
    <x v="1"/>
    <x v="240"/>
    <x v="5"/>
    <x v="253"/>
    <x v="8"/>
    <x v="0"/>
    <x v="258"/>
  </r>
  <r>
    <x v="0"/>
    <x v="842"/>
    <x v="293"/>
    <x v="52"/>
    <x v="310"/>
    <x v="582"/>
    <x v="618"/>
    <x v="3348"/>
    <x v="270"/>
    <x v="236"/>
    <x v="1349"/>
    <x v="2590"/>
    <x v="3700"/>
    <x v="3692"/>
    <x v="840"/>
    <x v="0"/>
    <x v="3655"/>
    <x v="3702"/>
    <x v="216"/>
    <x v="0"/>
    <x v="4"/>
    <x v="4"/>
    <x v="240"/>
    <x v="13"/>
    <x v="691"/>
    <x v="16"/>
    <x v="1"/>
    <x v="667"/>
  </r>
  <r>
    <x v="0"/>
    <x v="1637"/>
    <x v="423"/>
    <x v="40"/>
    <x v="188"/>
    <x v="792"/>
    <x v="636"/>
    <x v="3349"/>
    <x v="270"/>
    <x v="1257"/>
    <x v="2181"/>
    <x v="2591"/>
    <x v="3701"/>
    <x v="3148"/>
    <x v="3281"/>
    <x v="0"/>
    <x v="3656"/>
    <x v="3703"/>
    <x v="258"/>
    <x v="3"/>
    <x v="10"/>
    <x v="0"/>
    <x v="213"/>
    <x v="5"/>
    <x v="403"/>
    <x v="13"/>
    <x v="1"/>
    <x v="1"/>
  </r>
  <r>
    <x v="0"/>
    <x v="1638"/>
    <x v="216"/>
    <x v="47"/>
    <x v="107"/>
    <x v="530"/>
    <x v="9"/>
    <x v="3350"/>
    <x v="200"/>
    <x v="9"/>
    <x v="439"/>
    <x v="1042"/>
    <x v="3702"/>
    <x v="3693"/>
    <x v="3282"/>
    <x v="0"/>
    <x v="3657"/>
    <x v="3704"/>
    <x v="258"/>
    <x v="0"/>
    <x v="0"/>
    <x v="0"/>
    <x v="240"/>
    <x v="8"/>
    <x v="215"/>
    <x v="2"/>
    <x v="1"/>
    <x v="1"/>
  </r>
  <r>
    <x v="0"/>
    <x v="1639"/>
    <x v="152"/>
    <x v="101"/>
    <x v="221"/>
    <x v="666"/>
    <x v="263"/>
    <x v="4"/>
    <x v="775"/>
    <x v="1427"/>
    <x v="2182"/>
    <x v="2592"/>
    <x v="3703"/>
    <x v="3694"/>
    <x v="3283"/>
    <x v="0"/>
    <x v="3658"/>
    <x v="3705"/>
    <x v="646"/>
    <x v="0"/>
    <x v="0"/>
    <x v="4"/>
    <x v="240"/>
    <x v="26"/>
    <x v="770"/>
    <x v="5"/>
    <x v="2"/>
    <x v="668"/>
  </r>
  <r>
    <x v="0"/>
    <x v="16"/>
    <x v="197"/>
    <x v="26"/>
    <x v="0"/>
    <x v="743"/>
    <x v="21"/>
    <x v="3351"/>
    <x v="776"/>
    <x v="141"/>
    <x v="1047"/>
    <x v="2593"/>
    <x v="3704"/>
    <x v="3695"/>
    <x v="798"/>
    <x v="4"/>
    <x v="3659"/>
    <x v="3706"/>
    <x v="35"/>
    <x v="0"/>
    <x v="3"/>
    <x v="4"/>
    <x v="240"/>
    <x v="24"/>
    <x v="573"/>
    <x v="38"/>
    <x v="1"/>
    <x v="1"/>
  </r>
  <r>
    <x v="0"/>
    <x v="1200"/>
    <x v="329"/>
    <x v="61"/>
    <x v="62"/>
    <x v="604"/>
    <x v="41"/>
    <x v="3352"/>
    <x v="270"/>
    <x v="563"/>
    <x v="2183"/>
    <x v="2594"/>
    <x v="3705"/>
    <x v="3696"/>
    <x v="3284"/>
    <x v="0"/>
    <x v="3660"/>
    <x v="3707"/>
    <x v="654"/>
    <x v="0"/>
    <x v="0"/>
    <x v="0"/>
    <x v="240"/>
    <x v="2"/>
    <x v="469"/>
    <x v="51"/>
    <x v="1"/>
    <x v="1"/>
  </r>
  <r>
    <x v="0"/>
    <x v="1640"/>
    <x v="297"/>
    <x v="55"/>
    <x v="143"/>
    <x v="131"/>
    <x v="94"/>
    <x v="3353"/>
    <x v="200"/>
    <x v="166"/>
    <x v="2184"/>
    <x v="161"/>
    <x v="3706"/>
    <x v="3697"/>
    <x v="3285"/>
    <x v="1"/>
    <x v="3661"/>
    <x v="3708"/>
    <x v="514"/>
    <x v="0"/>
    <x v="0"/>
    <x v="4"/>
    <x v="240"/>
    <x v="5"/>
    <x v="32"/>
    <x v="21"/>
    <x v="1"/>
    <x v="1"/>
  </r>
  <r>
    <x v="0"/>
    <x v="561"/>
    <x v="225"/>
    <x v="38"/>
    <x v="79"/>
    <x v="313"/>
    <x v="264"/>
    <x v="3354"/>
    <x v="777"/>
    <x v="1428"/>
    <x v="1703"/>
    <x v="2595"/>
    <x v="3707"/>
    <x v="3698"/>
    <x v="3286"/>
    <x v="4"/>
    <x v="3662"/>
    <x v="3709"/>
    <x v="748"/>
    <x v="0"/>
    <x v="0"/>
    <x v="4"/>
    <x v="240"/>
    <x v="20"/>
    <x v="700"/>
    <x v="15"/>
    <x v="3"/>
    <x v="363"/>
  </r>
  <r>
    <x v="0"/>
    <x v="1142"/>
    <x v="298"/>
    <x v="50"/>
    <x v="322"/>
    <x v="677"/>
    <x v="29"/>
    <x v="3355"/>
    <x v="306"/>
    <x v="34"/>
    <x v="344"/>
    <x v="1227"/>
    <x v="3708"/>
    <x v="3699"/>
    <x v="3287"/>
    <x v="0"/>
    <x v="3663"/>
    <x v="3710"/>
    <x v="267"/>
    <x v="0"/>
    <x v="13"/>
    <x v="4"/>
    <x v="240"/>
    <x v="14"/>
    <x v="30"/>
    <x v="16"/>
    <x v="1"/>
    <x v="90"/>
  </r>
  <r>
    <x v="0"/>
    <x v="1218"/>
    <x v="307"/>
    <x v="33"/>
    <x v="351"/>
    <x v="416"/>
    <x v="192"/>
    <x v="3356"/>
    <x v="152"/>
    <x v="1429"/>
    <x v="2185"/>
    <x v="1073"/>
    <x v="3709"/>
    <x v="3031"/>
    <x v="2251"/>
    <x v="0"/>
    <x v="3664"/>
    <x v="3711"/>
    <x v="592"/>
    <x v="0"/>
    <x v="0"/>
    <x v="4"/>
    <x v="240"/>
    <x v="29"/>
    <x v="849"/>
    <x v="2"/>
    <x v="3"/>
    <x v="479"/>
  </r>
  <r>
    <x v="0"/>
    <x v="1641"/>
    <x v="145"/>
    <x v="52"/>
    <x v="79"/>
    <x v="844"/>
    <x v="14"/>
    <x v="3357"/>
    <x v="778"/>
    <x v="119"/>
    <x v="410"/>
    <x v="2234"/>
    <x v="3710"/>
    <x v="3700"/>
    <x v="3288"/>
    <x v="1"/>
    <x v="3665"/>
    <x v="3712"/>
    <x v="195"/>
    <x v="0"/>
    <x v="0"/>
    <x v="4"/>
    <x v="240"/>
    <x v="11"/>
    <x v="388"/>
    <x v="15"/>
    <x v="1"/>
    <x v="38"/>
  </r>
  <r>
    <x v="0"/>
    <x v="1559"/>
    <x v="61"/>
    <x v="43"/>
    <x v="112"/>
    <x v="830"/>
    <x v="171"/>
    <x v="3358"/>
    <x v="270"/>
    <x v="772"/>
    <x v="678"/>
    <x v="2092"/>
    <x v="3711"/>
    <x v="3701"/>
    <x v="3156"/>
    <x v="0"/>
    <x v="3666"/>
    <x v="3713"/>
    <x v="245"/>
    <x v="0"/>
    <x v="0"/>
    <x v="0"/>
    <x v="240"/>
    <x v="5"/>
    <x v="417"/>
    <x v="15"/>
    <x v="3"/>
    <x v="1"/>
  </r>
  <r>
    <x v="0"/>
    <x v="1642"/>
    <x v="347"/>
    <x v="42"/>
    <x v="89"/>
    <x v="539"/>
    <x v="22"/>
    <x v="3359"/>
    <x v="393"/>
    <x v="514"/>
    <x v="564"/>
    <x v="2596"/>
    <x v="3712"/>
    <x v="3702"/>
    <x v="3289"/>
    <x v="1"/>
    <x v="3667"/>
    <x v="3714"/>
    <x v="469"/>
    <x v="0"/>
    <x v="0"/>
    <x v="4"/>
    <x v="240"/>
    <x v="17"/>
    <x v="251"/>
    <x v="22"/>
    <x v="3"/>
    <x v="1"/>
  </r>
  <r>
    <x v="0"/>
    <x v="1643"/>
    <x v="55"/>
    <x v="54"/>
    <x v="118"/>
    <x v="87"/>
    <x v="502"/>
    <x v="3360"/>
    <x v="779"/>
    <x v="1430"/>
    <x v="1685"/>
    <x v="1657"/>
    <x v="3713"/>
    <x v="3703"/>
    <x v="2909"/>
    <x v="0"/>
    <x v="3668"/>
    <x v="3715"/>
    <x v="310"/>
    <x v="0"/>
    <x v="0"/>
    <x v="4"/>
    <x v="240"/>
    <x v="2"/>
    <x v="104"/>
    <x v="1"/>
    <x v="1"/>
    <x v="7"/>
  </r>
  <r>
    <x v="0"/>
    <x v="1644"/>
    <x v="401"/>
    <x v="76"/>
    <x v="0"/>
    <x v="878"/>
    <x v="310"/>
    <x v="4"/>
    <x v="105"/>
    <x v="1431"/>
    <x v="2186"/>
    <x v="2597"/>
    <x v="3714"/>
    <x v="3704"/>
    <x v="3290"/>
    <x v="0"/>
    <x v="3669"/>
    <x v="3716"/>
    <x v="388"/>
    <x v="0"/>
    <x v="0"/>
    <x v="4"/>
    <x v="240"/>
    <x v="7"/>
    <x v="159"/>
    <x v="23"/>
    <x v="1"/>
    <x v="208"/>
  </r>
  <r>
    <x v="0"/>
    <x v="1645"/>
    <x v="329"/>
    <x v="77"/>
    <x v="0"/>
    <x v="459"/>
    <x v="275"/>
    <x v="3361"/>
    <x v="383"/>
    <x v="501"/>
    <x v="2187"/>
    <x v="2598"/>
    <x v="3715"/>
    <x v="3705"/>
    <x v="269"/>
    <x v="0"/>
    <x v="3670"/>
    <x v="3717"/>
    <x v="388"/>
    <x v="0"/>
    <x v="0"/>
    <x v="0"/>
    <x v="240"/>
    <x v="11"/>
    <x v="850"/>
    <x v="46"/>
    <x v="2"/>
    <x v="1"/>
  </r>
  <r>
    <x v="0"/>
    <x v="470"/>
    <x v="383"/>
    <x v="43"/>
    <x v="0"/>
    <x v="809"/>
    <x v="278"/>
    <x v="3362"/>
    <x v="539"/>
    <x v="1432"/>
    <x v="2188"/>
    <x v="2599"/>
    <x v="3716"/>
    <x v="3706"/>
    <x v="3291"/>
    <x v="0"/>
    <x v="3671"/>
    <x v="3718"/>
    <x v="335"/>
    <x v="0"/>
    <x v="0"/>
    <x v="4"/>
    <x v="222"/>
    <x v="25"/>
    <x v="745"/>
    <x v="1"/>
    <x v="3"/>
    <x v="1"/>
  </r>
  <r>
    <x v="0"/>
    <x v="861"/>
    <x v="447"/>
    <x v="55"/>
    <x v="315"/>
    <x v="728"/>
    <x v="14"/>
    <x v="3363"/>
    <x v="168"/>
    <x v="414"/>
    <x v="635"/>
    <x v="1459"/>
    <x v="3717"/>
    <x v="3707"/>
    <x v="3292"/>
    <x v="3"/>
    <x v="3672"/>
    <x v="3719"/>
    <x v="212"/>
    <x v="0"/>
    <x v="0"/>
    <x v="4"/>
    <x v="240"/>
    <x v="25"/>
    <x v="30"/>
    <x v="9"/>
    <x v="1"/>
    <x v="669"/>
  </r>
  <r>
    <x v="0"/>
    <x v="1646"/>
    <x v="441"/>
    <x v="16"/>
    <x v="0"/>
    <x v="320"/>
    <x v="694"/>
    <x v="3364"/>
    <x v="406"/>
    <x v="1433"/>
    <x v="2189"/>
    <x v="2600"/>
    <x v="3718"/>
    <x v="3708"/>
    <x v="3293"/>
    <x v="0"/>
    <x v="3673"/>
    <x v="3720"/>
    <x v="719"/>
    <x v="8"/>
    <x v="16"/>
    <x v="1"/>
    <x v="4"/>
    <x v="1"/>
    <x v="767"/>
    <x v="38"/>
    <x v="1"/>
    <x v="270"/>
  </r>
  <r>
    <x v="0"/>
    <x v="1647"/>
    <x v="313"/>
    <x v="34"/>
    <x v="389"/>
    <x v="298"/>
    <x v="346"/>
    <x v="3365"/>
    <x v="780"/>
    <x v="1434"/>
    <x v="2190"/>
    <x v="2601"/>
    <x v="3719"/>
    <x v="3709"/>
    <x v="3294"/>
    <x v="0"/>
    <x v="3674"/>
    <x v="3721"/>
    <x v="636"/>
    <x v="0"/>
    <x v="0"/>
    <x v="4"/>
    <x v="4"/>
    <x v="8"/>
    <x v="253"/>
    <x v="7"/>
    <x v="1"/>
    <x v="474"/>
  </r>
  <r>
    <x v="0"/>
    <x v="1648"/>
    <x v="431"/>
    <x v="50"/>
    <x v="0"/>
    <x v="636"/>
    <x v="632"/>
    <x v="4"/>
    <x v="270"/>
    <x v="1435"/>
    <x v="2191"/>
    <x v="2602"/>
    <x v="3720"/>
    <x v="3710"/>
    <x v="2950"/>
    <x v="1"/>
    <x v="3675"/>
    <x v="3722"/>
    <x v="788"/>
    <x v="0"/>
    <x v="4"/>
    <x v="4"/>
    <x v="298"/>
    <x v="35"/>
    <x v="608"/>
    <x v="13"/>
    <x v="3"/>
    <x v="670"/>
  </r>
  <r>
    <x v="0"/>
    <x v="1649"/>
    <x v="7"/>
    <x v="71"/>
    <x v="180"/>
    <x v="460"/>
    <x v="499"/>
    <x v="3366"/>
    <x v="476"/>
    <x v="924"/>
    <x v="31"/>
    <x v="1442"/>
    <x v="3721"/>
    <x v="3711"/>
    <x v="245"/>
    <x v="1"/>
    <x v="3676"/>
    <x v="3723"/>
    <x v="694"/>
    <x v="0"/>
    <x v="4"/>
    <x v="4"/>
    <x v="4"/>
    <x v="5"/>
    <x v="25"/>
    <x v="32"/>
    <x v="1"/>
    <x v="112"/>
  </r>
  <r>
    <x v="0"/>
    <x v="1650"/>
    <x v="434"/>
    <x v="78"/>
    <x v="85"/>
    <x v="680"/>
    <x v="22"/>
    <x v="3367"/>
    <x v="17"/>
    <x v="191"/>
    <x v="1009"/>
    <x v="1516"/>
    <x v="3722"/>
    <x v="3712"/>
    <x v="3295"/>
    <x v="0"/>
    <x v="3677"/>
    <x v="3724"/>
    <x v="83"/>
    <x v="0"/>
    <x v="0"/>
    <x v="2"/>
    <x v="240"/>
    <x v="8"/>
    <x v="30"/>
    <x v="11"/>
    <x v="3"/>
    <x v="671"/>
  </r>
  <r>
    <x v="0"/>
    <x v="1651"/>
    <x v="435"/>
    <x v="54"/>
    <x v="78"/>
    <x v="624"/>
    <x v="695"/>
    <x v="4"/>
    <x v="185"/>
    <x v="1436"/>
    <x v="2192"/>
    <x v="2603"/>
    <x v="3723"/>
    <x v="3713"/>
    <x v="1097"/>
    <x v="1"/>
    <x v="3678"/>
    <x v="3725"/>
    <x v="790"/>
    <x v="0"/>
    <x v="0"/>
    <x v="11"/>
    <x v="299"/>
    <x v="66"/>
    <x v="465"/>
    <x v="5"/>
    <x v="15"/>
    <x v="623"/>
  </r>
  <r>
    <x v="0"/>
    <x v="1652"/>
    <x v="308"/>
    <x v="78"/>
    <x v="390"/>
    <x v="306"/>
    <x v="0"/>
    <x v="3368"/>
    <x v="270"/>
    <x v="990"/>
    <x v="1115"/>
    <x v="2604"/>
    <x v="3724"/>
    <x v="3714"/>
    <x v="3296"/>
    <x v="3"/>
    <x v="3679"/>
    <x v="3726"/>
    <x v="510"/>
    <x v="0"/>
    <x v="0"/>
    <x v="4"/>
    <x v="126"/>
    <x v="20"/>
    <x v="294"/>
    <x v="5"/>
    <x v="3"/>
    <x v="520"/>
  </r>
  <r>
    <x v="0"/>
    <x v="1653"/>
    <x v="311"/>
    <x v="54"/>
    <x v="221"/>
    <x v="204"/>
    <x v="194"/>
    <x v="4"/>
    <x v="658"/>
    <x v="1437"/>
    <x v="2193"/>
    <x v="2605"/>
    <x v="3725"/>
    <x v="3715"/>
    <x v="3297"/>
    <x v="0"/>
    <x v="3680"/>
    <x v="3727"/>
    <x v="421"/>
    <x v="0"/>
    <x v="4"/>
    <x v="4"/>
    <x v="240"/>
    <x v="14"/>
    <x v="352"/>
    <x v="51"/>
    <x v="3"/>
    <x v="548"/>
  </r>
  <r>
    <x v="0"/>
    <x v="93"/>
    <x v="351"/>
    <x v="50"/>
    <x v="0"/>
    <x v="345"/>
    <x v="696"/>
    <x v="3369"/>
    <x v="381"/>
    <x v="1438"/>
    <x v="2194"/>
    <x v="2606"/>
    <x v="3726"/>
    <x v="3716"/>
    <x v="3298"/>
    <x v="9"/>
    <x v="3681"/>
    <x v="3728"/>
    <x v="344"/>
    <x v="0"/>
    <x v="0"/>
    <x v="0"/>
    <x v="240"/>
    <x v="2"/>
    <x v="290"/>
    <x v="5"/>
    <x v="3"/>
    <x v="41"/>
  </r>
  <r>
    <x v="0"/>
    <x v="209"/>
    <x v="395"/>
    <x v="78"/>
    <x v="0"/>
    <x v="100"/>
    <x v="681"/>
    <x v="3370"/>
    <x v="781"/>
    <x v="1439"/>
    <x v="2195"/>
    <x v="2607"/>
    <x v="3727"/>
    <x v="3717"/>
    <x v="3299"/>
    <x v="0"/>
    <x v="3682"/>
    <x v="3729"/>
    <x v="586"/>
    <x v="0"/>
    <x v="0"/>
    <x v="4"/>
    <x v="240"/>
    <x v="1"/>
    <x v="438"/>
    <x v="5"/>
    <x v="3"/>
    <x v="294"/>
  </r>
  <r>
    <x v="0"/>
    <x v="1654"/>
    <x v="457"/>
    <x v="33"/>
    <x v="116"/>
    <x v="217"/>
    <x v="79"/>
    <x v="3371"/>
    <x v="753"/>
    <x v="453"/>
    <x v="2196"/>
    <x v="2608"/>
    <x v="3728"/>
    <x v="3718"/>
    <x v="3300"/>
    <x v="0"/>
    <x v="3683"/>
    <x v="3730"/>
    <x v="704"/>
    <x v="0"/>
    <x v="8"/>
    <x v="4"/>
    <x v="240"/>
    <x v="14"/>
    <x v="328"/>
    <x v="47"/>
    <x v="1"/>
    <x v="74"/>
  </r>
  <r>
    <x v="0"/>
    <x v="113"/>
    <x v="435"/>
    <x v="84"/>
    <x v="88"/>
    <x v="317"/>
    <x v="0"/>
    <x v="4"/>
    <x v="370"/>
    <x v="185"/>
    <x v="579"/>
    <x v="450"/>
    <x v="3729"/>
    <x v="3719"/>
    <x v="3301"/>
    <x v="1"/>
    <x v="3684"/>
    <x v="3731"/>
    <x v="637"/>
    <x v="0"/>
    <x v="0"/>
    <x v="7"/>
    <x v="4"/>
    <x v="4"/>
    <x v="30"/>
    <x v="7"/>
    <x v="0"/>
    <x v="539"/>
  </r>
  <r>
    <x v="0"/>
    <x v="1655"/>
    <x v="392"/>
    <x v="43"/>
    <x v="291"/>
    <x v="320"/>
    <x v="488"/>
    <x v="4"/>
    <x v="321"/>
    <x v="1440"/>
    <x v="2197"/>
    <x v="2609"/>
    <x v="3730"/>
    <x v="3720"/>
    <x v="3302"/>
    <x v="0"/>
    <x v="3685"/>
    <x v="3732"/>
    <x v="650"/>
    <x v="0"/>
    <x v="0"/>
    <x v="4"/>
    <x v="240"/>
    <x v="2"/>
    <x v="244"/>
    <x v="39"/>
    <x v="2"/>
    <x v="1"/>
  </r>
  <r>
    <x v="0"/>
    <x v="1295"/>
    <x v="104"/>
    <x v="58"/>
    <x v="118"/>
    <x v="173"/>
    <x v="697"/>
    <x v="4"/>
    <x v="327"/>
    <x v="1441"/>
    <x v="2198"/>
    <x v="2610"/>
    <x v="3731"/>
    <x v="3721"/>
    <x v="3303"/>
    <x v="0"/>
    <x v="3686"/>
    <x v="3733"/>
    <x v="823"/>
    <x v="6"/>
    <x v="13"/>
    <x v="9"/>
    <x v="240"/>
    <x v="10"/>
    <x v="595"/>
    <x v="13"/>
    <x v="1"/>
    <x v="1"/>
  </r>
  <r>
    <x v="0"/>
    <x v="1656"/>
    <x v="227"/>
    <x v="80"/>
    <x v="263"/>
    <x v="166"/>
    <x v="698"/>
    <x v="4"/>
    <x v="782"/>
    <x v="1442"/>
    <x v="2199"/>
    <x v="2611"/>
    <x v="3732"/>
    <x v="3722"/>
    <x v="349"/>
    <x v="0"/>
    <x v="3687"/>
    <x v="3734"/>
    <x v="517"/>
    <x v="0"/>
    <x v="1"/>
    <x v="10"/>
    <x v="139"/>
    <x v="8"/>
    <x v="444"/>
    <x v="5"/>
    <x v="1"/>
    <x v="672"/>
  </r>
  <r>
    <x v="0"/>
    <x v="392"/>
    <x v="307"/>
    <x v="101"/>
    <x v="169"/>
    <x v="879"/>
    <x v="516"/>
    <x v="4"/>
    <x v="487"/>
    <x v="969"/>
    <x v="877"/>
    <x v="999"/>
    <x v="3733"/>
    <x v="3723"/>
    <x v="3304"/>
    <x v="1"/>
    <x v="3688"/>
    <x v="3735"/>
    <x v="670"/>
    <x v="0"/>
    <x v="0"/>
    <x v="4"/>
    <x v="240"/>
    <x v="0"/>
    <x v="468"/>
    <x v="9"/>
    <x v="0"/>
    <x v="380"/>
  </r>
  <r>
    <x v="0"/>
    <x v="1203"/>
    <x v="307"/>
    <x v="110"/>
    <x v="349"/>
    <x v="375"/>
    <x v="22"/>
    <x v="4"/>
    <x v="783"/>
    <x v="374"/>
    <x v="2200"/>
    <x v="527"/>
    <x v="3734"/>
    <x v="3724"/>
    <x v="3305"/>
    <x v="0"/>
    <x v="3689"/>
    <x v="3736"/>
    <x v="637"/>
    <x v="0"/>
    <x v="0"/>
    <x v="4"/>
    <x v="4"/>
    <x v="7"/>
    <x v="12"/>
    <x v="39"/>
    <x v="3"/>
    <x v="446"/>
  </r>
  <r>
    <x v="0"/>
    <x v="1657"/>
    <x v="4"/>
    <x v="78"/>
    <x v="0"/>
    <x v="622"/>
    <x v="339"/>
    <x v="4"/>
    <x v="677"/>
    <x v="756"/>
    <x v="2201"/>
    <x v="2612"/>
    <x v="3735"/>
    <x v="3725"/>
    <x v="3306"/>
    <x v="5"/>
    <x v="4"/>
    <x v="3737"/>
    <x v="188"/>
    <x v="0"/>
    <x v="0"/>
    <x v="0"/>
    <x v="4"/>
    <x v="0"/>
    <x v="341"/>
    <x v="33"/>
    <x v="2"/>
    <x v="673"/>
  </r>
  <r>
    <x v="0"/>
    <x v="113"/>
    <x v="428"/>
    <x v="104"/>
    <x v="88"/>
    <x v="658"/>
    <x v="0"/>
    <x v="4"/>
    <x v="656"/>
    <x v="1157"/>
    <x v="1883"/>
    <x v="2613"/>
    <x v="3736"/>
    <x v="3726"/>
    <x v="3307"/>
    <x v="4"/>
    <x v="3690"/>
    <x v="3738"/>
    <x v="405"/>
    <x v="0"/>
    <x v="0"/>
    <x v="6"/>
    <x v="4"/>
    <x v="4"/>
    <x v="473"/>
    <x v="26"/>
    <x v="0"/>
    <x v="1"/>
  </r>
  <r>
    <x v="0"/>
    <x v="1658"/>
    <x v="402"/>
    <x v="72"/>
    <x v="0"/>
    <x v="105"/>
    <x v="140"/>
    <x v="3372"/>
    <x v="379"/>
    <x v="852"/>
    <x v="253"/>
    <x v="2614"/>
    <x v="3737"/>
    <x v="3727"/>
    <x v="3308"/>
    <x v="1"/>
    <x v="3691"/>
    <x v="3739"/>
    <x v="716"/>
    <x v="0"/>
    <x v="0"/>
    <x v="4"/>
    <x v="240"/>
    <x v="11"/>
    <x v="172"/>
    <x v="7"/>
    <x v="2"/>
    <x v="1"/>
  </r>
  <r>
    <x v="0"/>
    <x v="1659"/>
    <x v="320"/>
    <x v="175"/>
    <x v="0"/>
    <x v="145"/>
    <x v="33"/>
    <x v="4"/>
    <x v="228"/>
    <x v="149"/>
    <x v="2202"/>
    <x v="2524"/>
    <x v="3738"/>
    <x v="3728"/>
    <x v="3309"/>
    <x v="4"/>
    <x v="3692"/>
    <x v="3740"/>
    <x v="326"/>
    <x v="0"/>
    <x v="0"/>
    <x v="2"/>
    <x v="70"/>
    <x v="11"/>
    <x v="647"/>
    <x v="10"/>
    <x v="2"/>
    <x v="674"/>
  </r>
  <r>
    <x v="0"/>
    <x v="1503"/>
    <x v="489"/>
    <x v="54"/>
    <x v="143"/>
    <x v="347"/>
    <x v="153"/>
    <x v="4"/>
    <x v="125"/>
    <x v="282"/>
    <x v="411"/>
    <x v="787"/>
    <x v="3739"/>
    <x v="3729"/>
    <x v="3310"/>
    <x v="6"/>
    <x v="4"/>
    <x v="3741"/>
    <x v="83"/>
    <x v="0"/>
    <x v="0"/>
    <x v="2"/>
    <x v="4"/>
    <x v="2"/>
    <x v="276"/>
    <x v="37"/>
    <x v="2"/>
    <x v="1"/>
  </r>
  <r>
    <x v="0"/>
    <x v="1340"/>
    <x v="4"/>
    <x v="101"/>
    <x v="255"/>
    <x v="880"/>
    <x v="277"/>
    <x v="4"/>
    <x v="168"/>
    <x v="1443"/>
    <x v="2203"/>
    <x v="2615"/>
    <x v="3740"/>
    <x v="3730"/>
    <x v="2856"/>
    <x v="1"/>
    <x v="3693"/>
    <x v="3742"/>
    <x v="416"/>
    <x v="0"/>
    <x v="0"/>
    <x v="6"/>
    <x v="240"/>
    <x v="10"/>
    <x v="851"/>
    <x v="34"/>
    <x v="0"/>
    <x v="428"/>
  </r>
  <r>
    <x v="0"/>
    <x v="1218"/>
    <x v="272"/>
    <x v="50"/>
    <x v="351"/>
    <x v="132"/>
    <x v="25"/>
    <x v="4"/>
    <x v="306"/>
    <x v="76"/>
    <x v="2204"/>
    <x v="2616"/>
    <x v="3741"/>
    <x v="3731"/>
    <x v="2312"/>
    <x v="1"/>
    <x v="3694"/>
    <x v="3743"/>
    <x v="637"/>
    <x v="0"/>
    <x v="51"/>
    <x v="4"/>
    <x v="240"/>
    <x v="11"/>
    <x v="523"/>
    <x v="46"/>
    <x v="1"/>
    <x v="1"/>
  </r>
  <r>
    <x v="0"/>
    <x v="1660"/>
    <x v="385"/>
    <x v="56"/>
    <x v="221"/>
    <x v="848"/>
    <x v="0"/>
    <x v="4"/>
    <x v="149"/>
    <x v="1444"/>
    <x v="2205"/>
    <x v="2617"/>
    <x v="3742"/>
    <x v="3732"/>
    <x v="3311"/>
    <x v="3"/>
    <x v="3695"/>
    <x v="3744"/>
    <x v="416"/>
    <x v="0"/>
    <x v="1"/>
    <x v="4"/>
    <x v="240"/>
    <x v="11"/>
    <x v="662"/>
    <x v="46"/>
    <x v="2"/>
    <x v="675"/>
  </r>
  <r>
    <x v="0"/>
    <x v="177"/>
    <x v="272"/>
    <x v="29"/>
    <x v="0"/>
    <x v="99"/>
    <x v="0"/>
    <x v="4"/>
    <x v="222"/>
    <x v="1445"/>
    <x v="786"/>
    <x v="1210"/>
    <x v="3743"/>
    <x v="3733"/>
    <x v="3312"/>
    <x v="0"/>
    <x v="3696"/>
    <x v="3745"/>
    <x v="243"/>
    <x v="0"/>
    <x v="0"/>
    <x v="2"/>
    <x v="240"/>
    <x v="47"/>
    <x v="469"/>
    <x v="2"/>
    <x v="1"/>
    <x v="43"/>
  </r>
  <r>
    <x v="0"/>
    <x v="1661"/>
    <x v="412"/>
    <x v="4"/>
    <x v="221"/>
    <x v="407"/>
    <x v="43"/>
    <x v="4"/>
    <x v="200"/>
    <x v="311"/>
    <x v="2206"/>
    <x v="2618"/>
    <x v="3744"/>
    <x v="3734"/>
    <x v="3313"/>
    <x v="11"/>
    <x v="4"/>
    <x v="3746"/>
    <x v="188"/>
    <x v="0"/>
    <x v="0"/>
    <x v="1"/>
    <x v="240"/>
    <x v="3"/>
    <x v="691"/>
    <x v="10"/>
    <x v="2"/>
    <x v="676"/>
  </r>
  <r>
    <x v="0"/>
    <x v="1662"/>
    <x v="4"/>
    <x v="76"/>
    <x v="125"/>
    <x v="405"/>
    <x v="69"/>
    <x v="4"/>
    <x v="784"/>
    <x v="1446"/>
    <x v="2207"/>
    <x v="919"/>
    <x v="3745"/>
    <x v="4"/>
    <x v="3314"/>
    <x v="4"/>
    <x v="4"/>
    <x v="3747"/>
    <x v="4"/>
    <x v="0"/>
    <x v="0"/>
    <x v="1"/>
    <x v="240"/>
    <x v="2"/>
    <x v="611"/>
    <x v="35"/>
    <x v="2"/>
    <x v="564"/>
  </r>
  <r>
    <x v="0"/>
    <x v="609"/>
    <x v="311"/>
    <x v="76"/>
    <x v="0"/>
    <x v="1"/>
    <x v="1"/>
    <x v="4"/>
    <x v="499"/>
    <x v="1"/>
    <x v="812"/>
    <x v="798"/>
    <x v="3746"/>
    <x v="3735"/>
    <x v="3315"/>
    <x v="6"/>
    <x v="3697"/>
    <x v="3748"/>
    <x v="854"/>
    <x v="0"/>
    <x v="0"/>
    <x v="0"/>
    <x v="240"/>
    <x v="6"/>
    <x v="13"/>
    <x v="30"/>
    <x v="2"/>
    <x v="1"/>
  </r>
  <r>
    <x v="0"/>
    <x v="1663"/>
    <x v="152"/>
    <x v="55"/>
    <x v="131"/>
    <x v="637"/>
    <x v="468"/>
    <x v="4"/>
    <x v="397"/>
    <x v="1447"/>
    <x v="2208"/>
    <x v="2619"/>
    <x v="3747"/>
    <x v="3736"/>
    <x v="3316"/>
    <x v="1"/>
    <x v="3698"/>
    <x v="3749"/>
    <x v="792"/>
    <x v="0"/>
    <x v="0"/>
    <x v="1"/>
    <x v="4"/>
    <x v="2"/>
    <x v="852"/>
    <x v="53"/>
    <x v="2"/>
    <x v="1"/>
  </r>
  <r>
    <x v="0"/>
    <x v="1664"/>
    <x v="414"/>
    <x v="18"/>
    <x v="137"/>
    <x v="597"/>
    <x v="295"/>
    <x v="3373"/>
    <x v="785"/>
    <x v="1448"/>
    <x v="2209"/>
    <x v="2620"/>
    <x v="3748"/>
    <x v="3737"/>
    <x v="3317"/>
    <x v="1"/>
    <x v="3699"/>
    <x v="3750"/>
    <x v="788"/>
    <x v="34"/>
    <x v="15"/>
    <x v="4"/>
    <x v="300"/>
    <x v="7"/>
    <x v="4"/>
    <x v="38"/>
    <x v="3"/>
    <x v="103"/>
  </r>
  <r>
    <x v="0"/>
    <x v="1665"/>
    <x v="389"/>
    <x v="77"/>
    <x v="391"/>
    <x v="308"/>
    <x v="544"/>
    <x v="3374"/>
    <x v="200"/>
    <x v="1449"/>
    <x v="409"/>
    <x v="2621"/>
    <x v="3749"/>
    <x v="3738"/>
    <x v="3228"/>
    <x v="3"/>
    <x v="3700"/>
    <x v="3751"/>
    <x v="721"/>
    <x v="15"/>
    <x v="8"/>
    <x v="1"/>
    <x v="213"/>
    <x v="0"/>
    <x v="274"/>
    <x v="11"/>
    <x v="3"/>
    <x v="1"/>
  </r>
  <r>
    <x v="0"/>
    <x v="515"/>
    <x v="209"/>
    <x v="2"/>
    <x v="0"/>
    <x v="399"/>
    <x v="22"/>
    <x v="3375"/>
    <x v="270"/>
    <x v="226"/>
    <x v="718"/>
    <x v="718"/>
    <x v="3750"/>
    <x v="3739"/>
    <x v="3318"/>
    <x v="0"/>
    <x v="3701"/>
    <x v="3752"/>
    <x v="75"/>
    <x v="0"/>
    <x v="0"/>
    <x v="4"/>
    <x v="301"/>
    <x v="25"/>
    <x v="302"/>
    <x v="25"/>
    <x v="3"/>
    <x v="1"/>
  </r>
  <r>
    <x v="0"/>
    <x v="1666"/>
    <x v="423"/>
    <x v="86"/>
    <x v="38"/>
    <x v="110"/>
    <x v="185"/>
    <x v="4"/>
    <x v="381"/>
    <x v="348"/>
    <x v="317"/>
    <x v="2622"/>
    <x v="3751"/>
    <x v="3740"/>
    <x v="3319"/>
    <x v="1"/>
    <x v="3702"/>
    <x v="3753"/>
    <x v="137"/>
    <x v="0"/>
    <x v="1"/>
    <x v="4"/>
    <x v="119"/>
    <x v="10"/>
    <x v="215"/>
    <x v="12"/>
    <x v="1"/>
    <x v="7"/>
  </r>
  <r>
    <x v="0"/>
    <x v="1480"/>
    <x v="443"/>
    <x v="41"/>
    <x v="0"/>
    <x v="40"/>
    <x v="0"/>
    <x v="3376"/>
    <x v="429"/>
    <x v="544"/>
    <x v="2210"/>
    <x v="820"/>
    <x v="3752"/>
    <x v="3741"/>
    <x v="2017"/>
    <x v="0"/>
    <x v="3703"/>
    <x v="3754"/>
    <x v="932"/>
    <x v="0"/>
    <x v="0"/>
    <x v="4"/>
    <x v="282"/>
    <x v="12"/>
    <x v="30"/>
    <x v="18"/>
    <x v="1"/>
    <x v="1"/>
  </r>
  <r>
    <x v="0"/>
    <x v="790"/>
    <x v="270"/>
    <x v="50"/>
    <x v="303"/>
    <x v="309"/>
    <x v="0"/>
    <x v="3377"/>
    <x v="200"/>
    <x v="250"/>
    <x v="881"/>
    <x v="930"/>
    <x v="3753"/>
    <x v="3742"/>
    <x v="3320"/>
    <x v="0"/>
    <x v="3704"/>
    <x v="3755"/>
    <x v="400"/>
    <x v="0"/>
    <x v="1"/>
    <x v="4"/>
    <x v="182"/>
    <x v="12"/>
    <x v="509"/>
    <x v="2"/>
    <x v="1"/>
    <x v="677"/>
  </r>
  <r>
    <x v="0"/>
    <x v="1008"/>
    <x v="190"/>
    <x v="61"/>
    <x v="329"/>
    <x v="318"/>
    <x v="63"/>
    <x v="3378"/>
    <x v="306"/>
    <x v="1450"/>
    <x v="761"/>
    <x v="2623"/>
    <x v="3754"/>
    <x v="3743"/>
    <x v="613"/>
    <x v="0"/>
    <x v="3705"/>
    <x v="3756"/>
    <x v="623"/>
    <x v="0"/>
    <x v="0"/>
    <x v="4"/>
    <x v="240"/>
    <x v="10"/>
    <x v="457"/>
    <x v="38"/>
    <x v="1"/>
    <x v="57"/>
  </r>
  <r>
    <x v="0"/>
    <x v="1667"/>
    <x v="335"/>
    <x v="34"/>
    <x v="143"/>
    <x v="881"/>
    <x v="193"/>
    <x v="3379"/>
    <x v="208"/>
    <x v="1451"/>
    <x v="2211"/>
    <x v="2624"/>
    <x v="3755"/>
    <x v="3744"/>
    <x v="3321"/>
    <x v="0"/>
    <x v="3706"/>
    <x v="3757"/>
    <x v="212"/>
    <x v="0"/>
    <x v="0"/>
    <x v="4"/>
    <x v="302"/>
    <x v="32"/>
    <x v="853"/>
    <x v="10"/>
    <x v="3"/>
    <x v="1"/>
  </r>
  <r>
    <x v="0"/>
    <x v="1668"/>
    <x v="272"/>
    <x v="42"/>
    <x v="106"/>
    <x v="834"/>
    <x v="14"/>
    <x v="3380"/>
    <x v="200"/>
    <x v="115"/>
    <x v="1536"/>
    <x v="2128"/>
    <x v="3756"/>
    <x v="3745"/>
    <x v="3322"/>
    <x v="0"/>
    <x v="3707"/>
    <x v="3758"/>
    <x v="640"/>
    <x v="0"/>
    <x v="1"/>
    <x v="0"/>
    <x v="4"/>
    <x v="7"/>
    <x v="540"/>
    <x v="2"/>
    <x v="3"/>
    <x v="678"/>
  </r>
  <r>
    <x v="0"/>
    <x v="1669"/>
    <x v="457"/>
    <x v="87"/>
    <x v="0"/>
    <x v="802"/>
    <x v="438"/>
    <x v="4"/>
    <x v="70"/>
    <x v="792"/>
    <x v="2212"/>
    <x v="2095"/>
    <x v="3757"/>
    <x v="3234"/>
    <x v="3323"/>
    <x v="4"/>
    <x v="3708"/>
    <x v="3759"/>
    <x v="744"/>
    <x v="0"/>
    <x v="0"/>
    <x v="10"/>
    <x v="240"/>
    <x v="11"/>
    <x v="133"/>
    <x v="28"/>
    <x v="2"/>
    <x v="1"/>
  </r>
  <r>
    <x v="0"/>
    <x v="624"/>
    <x v="171"/>
    <x v="59"/>
    <x v="15"/>
    <x v="320"/>
    <x v="699"/>
    <x v="3381"/>
    <x v="476"/>
    <x v="1452"/>
    <x v="2213"/>
    <x v="2625"/>
    <x v="3758"/>
    <x v="3746"/>
    <x v="3324"/>
    <x v="3"/>
    <x v="3709"/>
    <x v="3760"/>
    <x v="150"/>
    <x v="0"/>
    <x v="0"/>
    <x v="14"/>
    <x v="302"/>
    <x v="43"/>
    <x v="470"/>
    <x v="34"/>
    <x v="3"/>
    <x v="1"/>
  </r>
  <r>
    <x v="0"/>
    <x v="1563"/>
    <x v="390"/>
    <x v="11"/>
    <x v="98"/>
    <x v="194"/>
    <x v="349"/>
    <x v="4"/>
    <x v="786"/>
    <x v="630"/>
    <x v="2214"/>
    <x v="1858"/>
    <x v="3759"/>
    <x v="3747"/>
    <x v="3325"/>
    <x v="0"/>
    <x v="3710"/>
    <x v="3761"/>
    <x v="170"/>
    <x v="0"/>
    <x v="0"/>
    <x v="4"/>
    <x v="303"/>
    <x v="44"/>
    <x v="526"/>
    <x v="38"/>
    <x v="1"/>
    <x v="1"/>
  </r>
  <r>
    <x v="0"/>
    <x v="1099"/>
    <x v="163"/>
    <x v="78"/>
    <x v="0"/>
    <x v="800"/>
    <x v="186"/>
    <x v="3382"/>
    <x v="152"/>
    <x v="350"/>
    <x v="333"/>
    <x v="2626"/>
    <x v="3760"/>
    <x v="3748"/>
    <x v="3326"/>
    <x v="1"/>
    <x v="3711"/>
    <x v="3762"/>
    <x v="729"/>
    <x v="0"/>
    <x v="23"/>
    <x v="4"/>
    <x v="282"/>
    <x v="9"/>
    <x v="30"/>
    <x v="20"/>
    <x v="3"/>
    <x v="26"/>
  </r>
  <r>
    <x v="0"/>
    <x v="1670"/>
    <x v="478"/>
    <x v="139"/>
    <x v="0"/>
    <x v="280"/>
    <x v="208"/>
    <x v="4"/>
    <x v="270"/>
    <x v="390"/>
    <x v="2215"/>
    <x v="2627"/>
    <x v="3761"/>
    <x v="3749"/>
    <x v="874"/>
    <x v="0"/>
    <x v="3712"/>
    <x v="3763"/>
    <x v="843"/>
    <x v="3"/>
    <x v="10"/>
    <x v="1"/>
    <x v="4"/>
    <x v="12"/>
    <x v="383"/>
    <x v="28"/>
    <x v="2"/>
    <x v="679"/>
  </r>
  <r>
    <x v="0"/>
    <x v="1671"/>
    <x v="169"/>
    <x v="101"/>
    <x v="131"/>
    <x v="54"/>
    <x v="572"/>
    <x v="4"/>
    <x v="125"/>
    <x v="1453"/>
    <x v="1690"/>
    <x v="2628"/>
    <x v="3762"/>
    <x v="2946"/>
    <x v="2862"/>
    <x v="5"/>
    <x v="3713"/>
    <x v="3764"/>
    <x v="818"/>
    <x v="0"/>
    <x v="0"/>
    <x v="4"/>
    <x v="302"/>
    <x v="10"/>
    <x v="218"/>
    <x v="75"/>
    <x v="2"/>
    <x v="306"/>
  </r>
  <r>
    <x v="0"/>
    <x v="1672"/>
    <x v="93"/>
    <x v="4"/>
    <x v="0"/>
    <x v="298"/>
    <x v="87"/>
    <x v="4"/>
    <x v="127"/>
    <x v="1454"/>
    <x v="2216"/>
    <x v="2629"/>
    <x v="3763"/>
    <x v="363"/>
    <x v="272"/>
    <x v="4"/>
    <x v="4"/>
    <x v="3765"/>
    <x v="326"/>
    <x v="35"/>
    <x v="16"/>
    <x v="1"/>
    <x v="4"/>
    <x v="9"/>
    <x v="253"/>
    <x v="1"/>
    <x v="2"/>
    <x v="680"/>
  </r>
  <r>
    <x v="0"/>
    <x v="1673"/>
    <x v="368"/>
    <x v="72"/>
    <x v="31"/>
    <x v="403"/>
    <x v="11"/>
    <x v="3383"/>
    <x v="17"/>
    <x v="69"/>
    <x v="2217"/>
    <x v="2630"/>
    <x v="3764"/>
    <x v="3750"/>
    <x v="3327"/>
    <x v="0"/>
    <x v="3714"/>
    <x v="3766"/>
    <x v="417"/>
    <x v="0"/>
    <x v="1"/>
    <x v="0"/>
    <x v="4"/>
    <x v="14"/>
    <x v="762"/>
    <x v="6"/>
    <x v="3"/>
    <x v="43"/>
  </r>
  <r>
    <x v="0"/>
    <x v="1674"/>
    <x v="385"/>
    <x v="71"/>
    <x v="0"/>
    <x v="118"/>
    <x v="114"/>
    <x v="4"/>
    <x v="713"/>
    <x v="1455"/>
    <x v="2218"/>
    <x v="147"/>
    <x v="3765"/>
    <x v="2428"/>
    <x v="686"/>
    <x v="4"/>
    <x v="3715"/>
    <x v="3767"/>
    <x v="824"/>
    <x v="0"/>
    <x v="4"/>
    <x v="4"/>
    <x v="240"/>
    <x v="1"/>
    <x v="319"/>
    <x v="43"/>
    <x v="1"/>
    <x v="616"/>
  </r>
  <r>
    <x v="0"/>
    <x v="1675"/>
    <x v="314"/>
    <x v="7"/>
    <x v="221"/>
    <x v="777"/>
    <x v="700"/>
    <x v="3384"/>
    <x v="105"/>
    <x v="1456"/>
    <x v="2219"/>
    <x v="2631"/>
    <x v="3766"/>
    <x v="3526"/>
    <x v="4"/>
    <x v="1"/>
    <x v="3716"/>
    <x v="3768"/>
    <x v="732"/>
    <x v="3"/>
    <x v="10"/>
    <x v="4"/>
    <x v="304"/>
    <x v="5"/>
    <x v="394"/>
    <x v="13"/>
    <x v="3"/>
    <x v="1"/>
  </r>
  <r>
    <x v="0"/>
    <x v="1676"/>
    <x v="81"/>
    <x v="80"/>
    <x v="198"/>
    <x v="36"/>
    <x v="388"/>
    <x v="4"/>
    <x v="200"/>
    <x v="704"/>
    <x v="2220"/>
    <x v="2632"/>
    <x v="3767"/>
    <x v="3751"/>
    <x v="1957"/>
    <x v="1"/>
    <x v="4"/>
    <x v="3769"/>
    <x v="416"/>
    <x v="0"/>
    <x v="12"/>
    <x v="1"/>
    <x v="302"/>
    <x v="9"/>
    <x v="854"/>
    <x v="5"/>
    <x v="2"/>
    <x v="681"/>
  </r>
  <r>
    <x v="0"/>
    <x v="1677"/>
    <x v="313"/>
    <x v="55"/>
    <x v="198"/>
    <x v="212"/>
    <x v="57"/>
    <x v="3385"/>
    <x v="270"/>
    <x v="386"/>
    <x v="1162"/>
    <x v="1187"/>
    <x v="3768"/>
    <x v="3752"/>
    <x v="3328"/>
    <x v="1"/>
    <x v="3717"/>
    <x v="3770"/>
    <x v="632"/>
    <x v="0"/>
    <x v="13"/>
    <x v="9"/>
    <x v="304"/>
    <x v="1"/>
    <x v="30"/>
    <x v="18"/>
    <x v="3"/>
    <x v="1"/>
  </r>
  <r>
    <x v="0"/>
    <x v="1678"/>
    <x v="425"/>
    <x v="7"/>
    <x v="0"/>
    <x v="708"/>
    <x v="492"/>
    <x v="3386"/>
    <x v="152"/>
    <x v="1457"/>
    <x v="2221"/>
    <x v="2633"/>
    <x v="3720"/>
    <x v="3753"/>
    <x v="3329"/>
    <x v="0"/>
    <x v="3718"/>
    <x v="3771"/>
    <x v="636"/>
    <x v="0"/>
    <x v="3"/>
    <x v="1"/>
    <x v="4"/>
    <x v="7"/>
    <x v="689"/>
    <x v="11"/>
    <x v="3"/>
    <x v="682"/>
  </r>
  <r>
    <x v="0"/>
    <x v="632"/>
    <x v="399"/>
    <x v="45"/>
    <x v="19"/>
    <x v="205"/>
    <x v="485"/>
    <x v="3387"/>
    <x v="125"/>
    <x v="899"/>
    <x v="2222"/>
    <x v="1541"/>
    <x v="3769"/>
    <x v="3754"/>
    <x v="3330"/>
    <x v="0"/>
    <x v="3719"/>
    <x v="3772"/>
    <x v="431"/>
    <x v="0"/>
    <x v="0"/>
    <x v="4"/>
    <x v="274"/>
    <x v="31"/>
    <x v="220"/>
    <x v="10"/>
    <x v="3"/>
    <x v="1"/>
  </r>
  <r>
    <x v="0"/>
    <x v="1170"/>
    <x v="413"/>
    <x v="27"/>
    <x v="135"/>
    <x v="666"/>
    <x v="0"/>
    <x v="4"/>
    <x v="185"/>
    <x v="1458"/>
    <x v="2223"/>
    <x v="1646"/>
    <x v="3770"/>
    <x v="3755"/>
    <x v="3331"/>
    <x v="0"/>
    <x v="3720"/>
    <x v="3773"/>
    <x v="629"/>
    <x v="0"/>
    <x v="0"/>
    <x v="4"/>
    <x v="274"/>
    <x v="35"/>
    <x v="756"/>
    <x v="20"/>
    <x v="3"/>
    <x v="1"/>
  </r>
  <r>
    <x v="0"/>
    <x v="36"/>
    <x v="274"/>
    <x v="85"/>
    <x v="26"/>
    <x v="659"/>
    <x v="0"/>
    <x v="3388"/>
    <x v="105"/>
    <x v="936"/>
    <x v="2224"/>
    <x v="1211"/>
    <x v="3771"/>
    <x v="3756"/>
    <x v="3332"/>
    <x v="2"/>
    <x v="3721"/>
    <x v="3774"/>
    <x v="435"/>
    <x v="0"/>
    <x v="1"/>
    <x v="4"/>
    <x v="274"/>
    <x v="24"/>
    <x v="538"/>
    <x v="1"/>
    <x v="10"/>
    <x v="1"/>
  </r>
  <r>
    <x v="0"/>
    <x v="941"/>
    <x v="378"/>
    <x v="78"/>
    <x v="222"/>
    <x v="422"/>
    <x v="0"/>
    <x v="4"/>
    <x v="200"/>
    <x v="543"/>
    <x v="1345"/>
    <x v="2634"/>
    <x v="3772"/>
    <x v="3757"/>
    <x v="3333"/>
    <x v="1"/>
    <x v="3722"/>
    <x v="3775"/>
    <x v="658"/>
    <x v="0"/>
    <x v="0"/>
    <x v="14"/>
    <x v="274"/>
    <x v="26"/>
    <x v="690"/>
    <x v="13"/>
    <x v="3"/>
    <x v="1"/>
  </r>
  <r>
    <x v="0"/>
    <x v="1679"/>
    <x v="372"/>
    <x v="69"/>
    <x v="16"/>
    <x v="453"/>
    <x v="534"/>
    <x v="4"/>
    <x v="457"/>
    <x v="1459"/>
    <x v="2225"/>
    <x v="2635"/>
    <x v="3773"/>
    <x v="3758"/>
    <x v="3334"/>
    <x v="0"/>
    <x v="3723"/>
    <x v="3776"/>
    <x v="231"/>
    <x v="0"/>
    <x v="0"/>
    <x v="10"/>
    <x v="274"/>
    <x v="67"/>
    <x v="221"/>
    <x v="38"/>
    <x v="10"/>
    <x v="1"/>
  </r>
  <r>
    <x v="0"/>
    <x v="437"/>
    <x v="242"/>
    <x v="26"/>
    <x v="0"/>
    <x v="101"/>
    <x v="13"/>
    <x v="3389"/>
    <x v="270"/>
    <x v="93"/>
    <x v="128"/>
    <x v="184"/>
    <x v="3774"/>
    <x v="3759"/>
    <x v="3335"/>
    <x v="0"/>
    <x v="3724"/>
    <x v="3777"/>
    <x v="226"/>
    <x v="0"/>
    <x v="0"/>
    <x v="4"/>
    <x v="159"/>
    <x v="19"/>
    <x v="13"/>
    <x v="16"/>
    <x v="1"/>
    <x v="1"/>
  </r>
  <r>
    <x v="0"/>
    <x v="113"/>
    <x v="451"/>
    <x v="116"/>
    <x v="88"/>
    <x v="374"/>
    <x v="431"/>
    <x v="4"/>
    <x v="152"/>
    <x v="1460"/>
    <x v="2226"/>
    <x v="2636"/>
    <x v="3775"/>
    <x v="3760"/>
    <x v="3336"/>
    <x v="0"/>
    <x v="4"/>
    <x v="3778"/>
    <x v="788"/>
    <x v="0"/>
    <x v="0"/>
    <x v="1"/>
    <x v="4"/>
    <x v="4"/>
    <x v="178"/>
    <x v="16"/>
    <x v="12"/>
    <x v="43"/>
  </r>
  <r>
    <x v="0"/>
    <x v="44"/>
    <x v="293"/>
    <x v="56"/>
    <x v="0"/>
    <x v="848"/>
    <x v="22"/>
    <x v="3390"/>
    <x v="368"/>
    <x v="264"/>
    <x v="2227"/>
    <x v="2637"/>
    <x v="3776"/>
    <x v="3761"/>
    <x v="3337"/>
    <x v="0"/>
    <x v="3725"/>
    <x v="3779"/>
    <x v="369"/>
    <x v="0"/>
    <x v="0"/>
    <x v="4"/>
    <x v="274"/>
    <x v="25"/>
    <x v="363"/>
    <x v="38"/>
    <x v="3"/>
    <x v="43"/>
  </r>
  <r>
    <x v="0"/>
    <x v="121"/>
    <x v="294"/>
    <x v="58"/>
    <x v="0"/>
    <x v="563"/>
    <x v="0"/>
    <x v="3391"/>
    <x v="270"/>
    <x v="719"/>
    <x v="239"/>
    <x v="2638"/>
    <x v="3777"/>
    <x v="3762"/>
    <x v="3338"/>
    <x v="0"/>
    <x v="3726"/>
    <x v="3780"/>
    <x v="933"/>
    <x v="0"/>
    <x v="0"/>
    <x v="4"/>
    <x v="274"/>
    <x v="21"/>
    <x v="30"/>
    <x v="26"/>
    <x v="15"/>
    <x v="58"/>
  </r>
  <r>
    <x v="0"/>
    <x v="1680"/>
    <x v="479"/>
    <x v="7"/>
    <x v="134"/>
    <x v="683"/>
    <x v="701"/>
    <x v="4"/>
    <x v="756"/>
    <x v="1461"/>
    <x v="2228"/>
    <x v="2639"/>
    <x v="3778"/>
    <x v="3763"/>
    <x v="3339"/>
    <x v="4"/>
    <x v="3727"/>
    <x v="3781"/>
    <x v="650"/>
    <x v="0"/>
    <x v="0"/>
    <x v="11"/>
    <x v="4"/>
    <x v="68"/>
    <x v="403"/>
    <x v="1"/>
    <x v="15"/>
    <x v="402"/>
  </r>
  <r>
    <x v="0"/>
    <x v="1681"/>
    <x v="311"/>
    <x v="69"/>
    <x v="247"/>
    <x v="597"/>
    <x v="497"/>
    <x v="3392"/>
    <x v="787"/>
    <x v="1462"/>
    <x v="2229"/>
    <x v="2640"/>
    <x v="3779"/>
    <x v="3764"/>
    <x v="1026"/>
    <x v="3"/>
    <x v="3728"/>
    <x v="3782"/>
    <x v="408"/>
    <x v="6"/>
    <x v="13"/>
    <x v="0"/>
    <x v="247"/>
    <x v="20"/>
    <x v="814"/>
    <x v="13"/>
    <x v="4"/>
    <x v="683"/>
  </r>
  <r>
    <x v="0"/>
    <x v="78"/>
    <x v="422"/>
    <x v="40"/>
    <x v="0"/>
    <x v="580"/>
    <x v="179"/>
    <x v="4"/>
    <x v="175"/>
    <x v="338"/>
    <x v="1061"/>
    <x v="2641"/>
    <x v="3780"/>
    <x v="3765"/>
    <x v="266"/>
    <x v="0"/>
    <x v="3729"/>
    <x v="3783"/>
    <x v="258"/>
    <x v="0"/>
    <x v="1"/>
    <x v="4"/>
    <x v="274"/>
    <x v="43"/>
    <x v="576"/>
    <x v="7"/>
    <x v="3"/>
    <x v="103"/>
  </r>
  <r>
    <x v="0"/>
    <x v="1682"/>
    <x v="324"/>
    <x v="42"/>
    <x v="123"/>
    <x v="160"/>
    <x v="702"/>
    <x v="3393"/>
    <x v="125"/>
    <x v="1463"/>
    <x v="2230"/>
    <x v="1032"/>
    <x v="3781"/>
    <x v="3766"/>
    <x v="161"/>
    <x v="9"/>
    <x v="3730"/>
    <x v="3784"/>
    <x v="310"/>
    <x v="0"/>
    <x v="0"/>
    <x v="2"/>
    <x v="240"/>
    <x v="11"/>
    <x v="384"/>
    <x v="28"/>
    <x v="1"/>
    <x v="1"/>
  </r>
  <r>
    <x v="0"/>
    <x v="826"/>
    <x v="189"/>
    <x v="82"/>
    <x v="307"/>
    <x v="514"/>
    <x v="10"/>
    <x v="3394"/>
    <x v="211"/>
    <x v="40"/>
    <x v="2231"/>
    <x v="2642"/>
    <x v="3782"/>
    <x v="3767"/>
    <x v="3340"/>
    <x v="1"/>
    <x v="3731"/>
    <x v="3785"/>
    <x v="934"/>
    <x v="0"/>
    <x v="0"/>
    <x v="4"/>
    <x v="274"/>
    <x v="18"/>
    <x v="149"/>
    <x v="14"/>
    <x v="1"/>
    <x v="0"/>
  </r>
  <r>
    <x v="0"/>
    <x v="1683"/>
    <x v="441"/>
    <x v="72"/>
    <x v="78"/>
    <x v="828"/>
    <x v="703"/>
    <x v="3395"/>
    <x v="788"/>
    <x v="1464"/>
    <x v="2232"/>
    <x v="2643"/>
    <x v="3783"/>
    <x v="3768"/>
    <x v="1087"/>
    <x v="5"/>
    <x v="3732"/>
    <x v="3786"/>
    <x v="792"/>
    <x v="6"/>
    <x v="12"/>
    <x v="0"/>
    <x v="4"/>
    <x v="10"/>
    <x v="626"/>
    <x v="19"/>
    <x v="1"/>
    <x v="1"/>
  </r>
  <r>
    <x v="0"/>
    <x v="1684"/>
    <x v="390"/>
    <x v="40"/>
    <x v="198"/>
    <x v="708"/>
    <x v="683"/>
    <x v="3396"/>
    <x v="241"/>
    <x v="1465"/>
    <x v="2233"/>
    <x v="2644"/>
    <x v="3784"/>
    <x v="3769"/>
    <x v="1897"/>
    <x v="1"/>
    <x v="3733"/>
    <x v="3787"/>
    <x v="749"/>
    <x v="18"/>
    <x v="32"/>
    <x v="4"/>
    <x v="274"/>
    <x v="13"/>
    <x v="658"/>
    <x v="6"/>
    <x v="3"/>
    <x v="261"/>
  </r>
  <r>
    <x v="0"/>
    <x v="1685"/>
    <x v="358"/>
    <x v="11"/>
    <x v="306"/>
    <x v="860"/>
    <x v="103"/>
    <x v="3397"/>
    <x v="539"/>
    <x v="323"/>
    <x v="2234"/>
    <x v="2645"/>
    <x v="3785"/>
    <x v="3770"/>
    <x v="2057"/>
    <x v="0"/>
    <x v="3734"/>
    <x v="3788"/>
    <x v="614"/>
    <x v="0"/>
    <x v="0"/>
    <x v="4"/>
    <x v="126"/>
    <x v="19"/>
    <x v="637"/>
    <x v="2"/>
    <x v="3"/>
    <x v="67"/>
  </r>
  <r>
    <x v="0"/>
    <x v="1686"/>
    <x v="171"/>
    <x v="42"/>
    <x v="392"/>
    <x v="107"/>
    <x v="0"/>
    <x v="3398"/>
    <x v="200"/>
    <x v="1466"/>
    <x v="881"/>
    <x v="1370"/>
    <x v="3786"/>
    <x v="3771"/>
    <x v="3341"/>
    <x v="1"/>
    <x v="3735"/>
    <x v="3789"/>
    <x v="820"/>
    <x v="0"/>
    <x v="0"/>
    <x v="4"/>
    <x v="4"/>
    <x v="0"/>
    <x v="509"/>
    <x v="12"/>
    <x v="3"/>
    <x v="1"/>
  </r>
  <r>
    <x v="0"/>
    <x v="1257"/>
    <x v="242"/>
    <x v="52"/>
    <x v="0"/>
    <x v="303"/>
    <x v="580"/>
    <x v="3399"/>
    <x v="152"/>
    <x v="1114"/>
    <x v="2235"/>
    <x v="2646"/>
    <x v="3787"/>
    <x v="3772"/>
    <x v="3342"/>
    <x v="0"/>
    <x v="3736"/>
    <x v="3790"/>
    <x v="104"/>
    <x v="24"/>
    <x v="18"/>
    <x v="4"/>
    <x v="305"/>
    <x v="12"/>
    <x v="855"/>
    <x v="16"/>
    <x v="1"/>
    <x v="86"/>
  </r>
  <r>
    <x v="0"/>
    <x v="1687"/>
    <x v="401"/>
    <x v="60"/>
    <x v="0"/>
    <x v="777"/>
    <x v="611"/>
    <x v="3400"/>
    <x v="520"/>
    <x v="1467"/>
    <x v="2236"/>
    <x v="2647"/>
    <x v="3788"/>
    <x v="3773"/>
    <x v="1896"/>
    <x v="4"/>
    <x v="3737"/>
    <x v="3791"/>
    <x v="789"/>
    <x v="3"/>
    <x v="10"/>
    <x v="1"/>
    <x v="4"/>
    <x v="5"/>
    <x v="4"/>
    <x v="21"/>
    <x v="3"/>
    <x v="1"/>
  </r>
  <r>
    <x v="0"/>
    <x v="1688"/>
    <x v="390"/>
    <x v="77"/>
    <x v="0"/>
    <x v="694"/>
    <x v="8"/>
    <x v="3401"/>
    <x v="422"/>
    <x v="35"/>
    <x v="88"/>
    <x v="2648"/>
    <x v="3789"/>
    <x v="3774"/>
    <x v="3343"/>
    <x v="1"/>
    <x v="3738"/>
    <x v="3792"/>
    <x v="591"/>
    <x v="0"/>
    <x v="1"/>
    <x v="4"/>
    <x v="139"/>
    <x v="18"/>
    <x v="30"/>
    <x v="12"/>
    <x v="3"/>
    <x v="1"/>
  </r>
  <r>
    <x v="0"/>
    <x v="1689"/>
    <x v="288"/>
    <x v="47"/>
    <x v="222"/>
    <x v="862"/>
    <x v="504"/>
    <x v="3402"/>
    <x v="23"/>
    <x v="1468"/>
    <x v="2237"/>
    <x v="838"/>
    <x v="3790"/>
    <x v="3775"/>
    <x v="3344"/>
    <x v="0"/>
    <x v="3739"/>
    <x v="3793"/>
    <x v="721"/>
    <x v="13"/>
    <x v="14"/>
    <x v="4"/>
    <x v="82"/>
    <x v="7"/>
    <x v="745"/>
    <x v="11"/>
    <x v="1"/>
    <x v="684"/>
  </r>
  <r>
    <x v="0"/>
    <x v="1690"/>
    <x v="358"/>
    <x v="58"/>
    <x v="221"/>
    <x v="329"/>
    <x v="59"/>
    <x v="3403"/>
    <x v="10"/>
    <x v="101"/>
    <x v="2238"/>
    <x v="1016"/>
    <x v="3791"/>
    <x v="3776"/>
    <x v="175"/>
    <x v="0"/>
    <x v="3740"/>
    <x v="3794"/>
    <x v="408"/>
    <x v="0"/>
    <x v="13"/>
    <x v="4"/>
    <x v="4"/>
    <x v="10"/>
    <x v="856"/>
    <x v="4"/>
    <x v="1"/>
    <x v="1"/>
  </r>
  <r>
    <x v="0"/>
    <x v="1691"/>
    <x v="356"/>
    <x v="56"/>
    <x v="303"/>
    <x v="298"/>
    <x v="449"/>
    <x v="3404"/>
    <x v="152"/>
    <x v="1469"/>
    <x v="2239"/>
    <x v="2649"/>
    <x v="3792"/>
    <x v="3777"/>
    <x v="3345"/>
    <x v="1"/>
    <x v="3741"/>
    <x v="3795"/>
    <x v="133"/>
    <x v="9"/>
    <x v="36"/>
    <x v="4"/>
    <x v="4"/>
    <x v="19"/>
    <x v="556"/>
    <x v="0"/>
    <x v="3"/>
    <x v="1"/>
  </r>
  <r>
    <x v="0"/>
    <x v="1692"/>
    <x v="291"/>
    <x v="27"/>
    <x v="0"/>
    <x v="54"/>
    <x v="21"/>
    <x v="3405"/>
    <x v="416"/>
    <x v="22"/>
    <x v="436"/>
    <x v="777"/>
    <x v="3793"/>
    <x v="3778"/>
    <x v="3346"/>
    <x v="1"/>
    <x v="3742"/>
    <x v="3796"/>
    <x v="180"/>
    <x v="0"/>
    <x v="0"/>
    <x v="4"/>
    <x v="274"/>
    <x v="0"/>
    <x v="30"/>
    <x v="18"/>
    <x v="1"/>
    <x v="115"/>
  </r>
  <r>
    <x v="0"/>
    <x v="1693"/>
    <x v="435"/>
    <x v="90"/>
    <x v="0"/>
    <x v="312"/>
    <x v="289"/>
    <x v="4"/>
    <x v="306"/>
    <x v="1470"/>
    <x v="2240"/>
    <x v="2650"/>
    <x v="3794"/>
    <x v="3443"/>
    <x v="3339"/>
    <x v="2"/>
    <x v="4"/>
    <x v="3797"/>
    <x v="791"/>
    <x v="8"/>
    <x v="16"/>
    <x v="1"/>
    <x v="4"/>
    <x v="11"/>
    <x v="68"/>
    <x v="55"/>
    <x v="2"/>
    <x v="685"/>
  </r>
  <r>
    <x v="0"/>
    <x v="429"/>
    <x v="290"/>
    <x v="82"/>
    <x v="234"/>
    <x v="882"/>
    <x v="495"/>
    <x v="3406"/>
    <x v="270"/>
    <x v="916"/>
    <x v="2241"/>
    <x v="2651"/>
    <x v="3795"/>
    <x v="3779"/>
    <x v="1288"/>
    <x v="0"/>
    <x v="3743"/>
    <x v="3798"/>
    <x v="841"/>
    <x v="0"/>
    <x v="0"/>
    <x v="4"/>
    <x v="306"/>
    <x v="57"/>
    <x v="402"/>
    <x v="50"/>
    <x v="3"/>
    <x v="121"/>
  </r>
  <r>
    <x v="0"/>
    <x v="1694"/>
    <x v="451"/>
    <x v="79"/>
    <x v="393"/>
    <x v="322"/>
    <x v="32"/>
    <x v="4"/>
    <x v="125"/>
    <x v="1471"/>
    <x v="2242"/>
    <x v="2652"/>
    <x v="3796"/>
    <x v="3780"/>
    <x v="3347"/>
    <x v="3"/>
    <x v="3744"/>
    <x v="3799"/>
    <x v="854"/>
    <x v="0"/>
    <x v="0"/>
    <x v="2"/>
    <x v="306"/>
    <x v="2"/>
    <x v="109"/>
    <x v="18"/>
    <x v="0"/>
    <x v="647"/>
  </r>
  <r>
    <x v="0"/>
    <x v="873"/>
    <x v="347"/>
    <x v="101"/>
    <x v="0"/>
    <x v="497"/>
    <x v="121"/>
    <x v="4"/>
    <x v="127"/>
    <x v="1472"/>
    <x v="1687"/>
    <x v="744"/>
    <x v="3797"/>
    <x v="3781"/>
    <x v="3071"/>
    <x v="0"/>
    <x v="3745"/>
    <x v="3800"/>
    <x v="666"/>
    <x v="1"/>
    <x v="0"/>
    <x v="2"/>
    <x v="306"/>
    <x v="46"/>
    <x v="783"/>
    <x v="10"/>
    <x v="3"/>
    <x v="308"/>
  </r>
  <r>
    <x v="0"/>
    <x v="1695"/>
    <x v="347"/>
    <x v="29"/>
    <x v="85"/>
    <x v="74"/>
    <x v="704"/>
    <x v="4"/>
    <x v="789"/>
    <x v="1473"/>
    <x v="2243"/>
    <x v="2653"/>
    <x v="3798"/>
    <x v="3782"/>
    <x v="2215"/>
    <x v="1"/>
    <x v="3746"/>
    <x v="3801"/>
    <x v="128"/>
    <x v="8"/>
    <x v="16"/>
    <x v="1"/>
    <x v="306"/>
    <x v="6"/>
    <x v="814"/>
    <x v="3"/>
    <x v="1"/>
    <x v="7"/>
  </r>
  <r>
    <x v="0"/>
    <x v="113"/>
    <x v="412"/>
    <x v="176"/>
    <x v="88"/>
    <x v="333"/>
    <x v="48"/>
    <x v="4"/>
    <x v="463"/>
    <x v="81"/>
    <x v="2244"/>
    <x v="2654"/>
    <x v="3799"/>
    <x v="3783"/>
    <x v="2396"/>
    <x v="0"/>
    <x v="3747"/>
    <x v="3802"/>
    <x v="169"/>
    <x v="0"/>
    <x v="4"/>
    <x v="8"/>
    <x v="4"/>
    <x v="4"/>
    <x v="316"/>
    <x v="26"/>
    <x v="8"/>
    <x v="1"/>
  </r>
  <r>
    <x v="0"/>
    <x v="1493"/>
    <x v="207"/>
    <x v="33"/>
    <x v="57"/>
    <x v="546"/>
    <x v="35"/>
    <x v="3407"/>
    <x v="9"/>
    <x v="504"/>
    <x v="2245"/>
    <x v="2655"/>
    <x v="3800"/>
    <x v="3784"/>
    <x v="3348"/>
    <x v="1"/>
    <x v="4"/>
    <x v="3803"/>
    <x v="646"/>
    <x v="0"/>
    <x v="0"/>
    <x v="4"/>
    <x v="274"/>
    <x v="11"/>
    <x v="369"/>
    <x v="27"/>
    <x v="2"/>
    <x v="1"/>
  </r>
  <r>
    <x v="0"/>
    <x v="1696"/>
    <x v="387"/>
    <x v="52"/>
    <x v="117"/>
    <x v="123"/>
    <x v="35"/>
    <x v="3408"/>
    <x v="718"/>
    <x v="177"/>
    <x v="48"/>
    <x v="2656"/>
    <x v="3801"/>
    <x v="3785"/>
    <x v="3349"/>
    <x v="2"/>
    <x v="3748"/>
    <x v="3804"/>
    <x v="195"/>
    <x v="0"/>
    <x v="1"/>
    <x v="4"/>
    <x v="119"/>
    <x v="3"/>
    <x v="30"/>
    <x v="9"/>
    <x v="1"/>
    <x v="1"/>
  </r>
  <r>
    <x v="0"/>
    <x v="956"/>
    <x v="290"/>
    <x v="71"/>
    <x v="222"/>
    <x v="624"/>
    <x v="0"/>
    <x v="3409"/>
    <x v="111"/>
    <x v="167"/>
    <x v="2246"/>
    <x v="2657"/>
    <x v="3802"/>
    <x v="3786"/>
    <x v="2679"/>
    <x v="5"/>
    <x v="3749"/>
    <x v="3805"/>
    <x v="324"/>
    <x v="0"/>
    <x v="1"/>
    <x v="4"/>
    <x v="4"/>
    <x v="21"/>
    <x v="627"/>
    <x v="11"/>
    <x v="1"/>
    <x v="1"/>
  </r>
  <r>
    <x v="0"/>
    <x v="219"/>
    <x v="362"/>
    <x v="23"/>
    <x v="108"/>
    <x v="823"/>
    <x v="50"/>
    <x v="3410"/>
    <x v="28"/>
    <x v="1474"/>
    <x v="721"/>
    <x v="2658"/>
    <x v="3803"/>
    <x v="3787"/>
    <x v="2801"/>
    <x v="1"/>
    <x v="3750"/>
    <x v="3806"/>
    <x v="719"/>
    <x v="23"/>
    <x v="36"/>
    <x v="4"/>
    <x v="4"/>
    <x v="5"/>
    <x v="433"/>
    <x v="10"/>
    <x v="1"/>
    <x v="1"/>
  </r>
  <r>
    <x v="0"/>
    <x v="726"/>
    <x v="290"/>
    <x v="59"/>
    <x v="223"/>
    <x v="316"/>
    <x v="332"/>
    <x v="3411"/>
    <x v="463"/>
    <x v="591"/>
    <x v="2247"/>
    <x v="2659"/>
    <x v="3804"/>
    <x v="3788"/>
    <x v="3350"/>
    <x v="1"/>
    <x v="3751"/>
    <x v="3807"/>
    <x v="324"/>
    <x v="0"/>
    <x v="3"/>
    <x v="0"/>
    <x v="224"/>
    <x v="19"/>
    <x v="658"/>
    <x v="32"/>
    <x v="1"/>
    <x v="1"/>
  </r>
  <r>
    <x v="0"/>
    <x v="1697"/>
    <x v="329"/>
    <x v="82"/>
    <x v="69"/>
    <x v="278"/>
    <x v="705"/>
    <x v="3412"/>
    <x v="200"/>
    <x v="1475"/>
    <x v="2248"/>
    <x v="2660"/>
    <x v="3805"/>
    <x v="3789"/>
    <x v="2440"/>
    <x v="0"/>
    <x v="3752"/>
    <x v="3808"/>
    <x v="769"/>
    <x v="8"/>
    <x v="16"/>
    <x v="1"/>
    <x v="16"/>
    <x v="0"/>
    <x v="652"/>
    <x v="13"/>
    <x v="1"/>
    <x v="335"/>
  </r>
  <r>
    <x v="0"/>
    <x v="1698"/>
    <x v="272"/>
    <x v="52"/>
    <x v="0"/>
    <x v="321"/>
    <x v="242"/>
    <x v="4"/>
    <x v="361"/>
    <x v="1476"/>
    <x v="2249"/>
    <x v="2661"/>
    <x v="3806"/>
    <x v="3790"/>
    <x v="3351"/>
    <x v="0"/>
    <x v="3753"/>
    <x v="3809"/>
    <x v="496"/>
    <x v="15"/>
    <x v="28"/>
    <x v="1"/>
    <x v="274"/>
    <x v="0"/>
    <x v="557"/>
    <x v="5"/>
    <x v="1"/>
    <x v="43"/>
  </r>
  <r>
    <x v="0"/>
    <x v="96"/>
    <x v="127"/>
    <x v="70"/>
    <x v="75"/>
    <x v="105"/>
    <x v="24"/>
    <x v="142"/>
    <x v="15"/>
    <x v="25"/>
    <x v="122"/>
    <x v="130"/>
    <x v="144"/>
    <x v="3791"/>
    <x v="3352"/>
    <x v="2"/>
    <x v="144"/>
    <x v="144"/>
    <x v="139"/>
    <x v="0"/>
    <x v="0"/>
    <x v="2"/>
    <x v="16"/>
    <x v="2"/>
    <x v="192"/>
    <x v="27"/>
    <x v="1"/>
    <x v="4"/>
  </r>
  <r>
    <x v="0"/>
    <x v="353"/>
    <x v="394"/>
    <x v="42"/>
    <x v="209"/>
    <x v="801"/>
    <x v="301"/>
    <x v="4"/>
    <x v="235"/>
    <x v="1155"/>
    <x v="1482"/>
    <x v="2439"/>
    <x v="3807"/>
    <x v="3792"/>
    <x v="3353"/>
    <x v="0"/>
    <x v="3754"/>
    <x v="3810"/>
    <x v="897"/>
    <x v="0"/>
    <x v="0"/>
    <x v="8"/>
    <x v="307"/>
    <x v="7"/>
    <x v="5"/>
    <x v="31"/>
    <x v="8"/>
    <x v="1"/>
  </r>
  <r>
    <x v="0"/>
    <x v="113"/>
    <x v="385"/>
    <x v="84"/>
    <x v="88"/>
    <x v="274"/>
    <x v="0"/>
    <x v="4"/>
    <x v="152"/>
    <x v="329"/>
    <x v="914"/>
    <x v="727"/>
    <x v="3808"/>
    <x v="3793"/>
    <x v="3354"/>
    <x v="0"/>
    <x v="3755"/>
    <x v="3811"/>
    <x v="790"/>
    <x v="0"/>
    <x v="0"/>
    <x v="1"/>
    <x v="4"/>
    <x v="4"/>
    <x v="33"/>
    <x v="14"/>
    <x v="12"/>
    <x v="1"/>
  </r>
  <r>
    <x v="0"/>
    <x v="1354"/>
    <x v="401"/>
    <x v="41"/>
    <x v="80"/>
    <x v="352"/>
    <x v="541"/>
    <x v="3413"/>
    <x v="200"/>
    <x v="1032"/>
    <x v="2250"/>
    <x v="2289"/>
    <x v="3809"/>
    <x v="2457"/>
    <x v="3355"/>
    <x v="1"/>
    <x v="3756"/>
    <x v="3812"/>
    <x v="823"/>
    <x v="0"/>
    <x v="1"/>
    <x v="0"/>
    <x v="4"/>
    <x v="13"/>
    <x v="633"/>
    <x v="1"/>
    <x v="3"/>
    <x v="686"/>
  </r>
  <r>
    <x v="0"/>
    <x v="204"/>
    <x v="221"/>
    <x v="27"/>
    <x v="144"/>
    <x v="403"/>
    <x v="377"/>
    <x v="3414"/>
    <x v="790"/>
    <x v="690"/>
    <x v="2251"/>
    <x v="2662"/>
    <x v="3810"/>
    <x v="3794"/>
    <x v="3356"/>
    <x v="0"/>
    <x v="3757"/>
    <x v="3813"/>
    <x v="505"/>
    <x v="9"/>
    <x v="21"/>
    <x v="4"/>
    <x v="307"/>
    <x v="14"/>
    <x v="470"/>
    <x v="12"/>
    <x v="3"/>
    <x v="1"/>
  </r>
  <r>
    <x v="0"/>
    <x v="435"/>
    <x v="315"/>
    <x v="52"/>
    <x v="236"/>
    <x v="329"/>
    <x v="0"/>
    <x v="3415"/>
    <x v="368"/>
    <x v="51"/>
    <x v="793"/>
    <x v="1016"/>
    <x v="3811"/>
    <x v="3795"/>
    <x v="3357"/>
    <x v="0"/>
    <x v="3758"/>
    <x v="3814"/>
    <x v="627"/>
    <x v="0"/>
    <x v="1"/>
    <x v="4"/>
    <x v="277"/>
    <x v="29"/>
    <x v="445"/>
    <x v="11"/>
    <x v="1"/>
    <x v="1"/>
  </r>
  <r>
    <x v="0"/>
    <x v="950"/>
    <x v="346"/>
    <x v="50"/>
    <x v="50"/>
    <x v="220"/>
    <x v="706"/>
    <x v="3416"/>
    <x v="125"/>
    <x v="1477"/>
    <x v="2252"/>
    <x v="2663"/>
    <x v="3812"/>
    <x v="3796"/>
    <x v="1874"/>
    <x v="0"/>
    <x v="3759"/>
    <x v="3815"/>
    <x v="270"/>
    <x v="0"/>
    <x v="4"/>
    <x v="4"/>
    <x v="213"/>
    <x v="37"/>
    <x v="635"/>
    <x v="5"/>
    <x v="3"/>
    <x v="1"/>
  </r>
  <r>
    <x v="0"/>
    <x v="233"/>
    <x v="164"/>
    <x v="78"/>
    <x v="0"/>
    <x v="319"/>
    <x v="45"/>
    <x v="3417"/>
    <x v="429"/>
    <x v="1478"/>
    <x v="1461"/>
    <x v="2664"/>
    <x v="3813"/>
    <x v="3797"/>
    <x v="3358"/>
    <x v="0"/>
    <x v="3760"/>
    <x v="3816"/>
    <x v="757"/>
    <x v="0"/>
    <x v="0"/>
    <x v="4"/>
    <x v="213"/>
    <x v="0"/>
    <x v="289"/>
    <x v="40"/>
    <x v="1"/>
    <x v="1"/>
  </r>
  <r>
    <x v="1"/>
    <x v="233"/>
    <x v="62"/>
    <x v="45"/>
    <x v="0"/>
    <x v="149"/>
    <x v="469"/>
    <x v="4"/>
    <x v="791"/>
    <x v="1479"/>
    <x v="2253"/>
    <x v="2665"/>
    <x v="3814"/>
    <x v="3798"/>
    <x v="3359"/>
    <x v="7"/>
    <x v="3761"/>
    <x v="3817"/>
    <x v="830"/>
    <x v="0"/>
    <x v="0"/>
    <x v="10"/>
    <x v="308"/>
    <x v="38"/>
    <x v="450"/>
    <x v="25"/>
    <x v="3"/>
    <x v="1"/>
  </r>
  <r>
    <x v="0"/>
    <x v="571"/>
    <x v="220"/>
    <x v="59"/>
    <x v="0"/>
    <x v="660"/>
    <x v="32"/>
    <x v="3418"/>
    <x v="270"/>
    <x v="59"/>
    <x v="70"/>
    <x v="2666"/>
    <x v="3815"/>
    <x v="3799"/>
    <x v="3360"/>
    <x v="0"/>
    <x v="3762"/>
    <x v="3818"/>
    <x v="935"/>
    <x v="0"/>
    <x v="0"/>
    <x v="4"/>
    <x v="213"/>
    <x v="17"/>
    <x v="44"/>
    <x v="6"/>
    <x v="3"/>
    <x v="16"/>
  </r>
  <r>
    <x v="0"/>
    <x v="696"/>
    <x v="166"/>
    <x v="41"/>
    <x v="201"/>
    <x v="810"/>
    <x v="2"/>
    <x v="3419"/>
    <x v="127"/>
    <x v="740"/>
    <x v="1587"/>
    <x v="1923"/>
    <x v="3816"/>
    <x v="3800"/>
    <x v="3361"/>
    <x v="0"/>
    <x v="3763"/>
    <x v="3819"/>
    <x v="228"/>
    <x v="0"/>
    <x v="0"/>
    <x v="2"/>
    <x v="213"/>
    <x v="47"/>
    <x v="741"/>
    <x v="14"/>
    <x v="15"/>
    <x v="1"/>
  </r>
  <r>
    <x v="0"/>
    <x v="1699"/>
    <x v="402"/>
    <x v="49"/>
    <x v="175"/>
    <x v="519"/>
    <x v="534"/>
    <x v="3298"/>
    <x v="660"/>
    <x v="1480"/>
    <x v="2254"/>
    <x v="2667"/>
    <x v="3817"/>
    <x v="3801"/>
    <x v="3362"/>
    <x v="0"/>
    <x v="3764"/>
    <x v="3820"/>
    <x v="653"/>
    <x v="0"/>
    <x v="0"/>
    <x v="9"/>
    <x v="213"/>
    <x v="69"/>
    <x v="715"/>
    <x v="10"/>
    <x v="15"/>
    <x v="293"/>
  </r>
  <r>
    <x v="0"/>
    <x v="18"/>
    <x v="137"/>
    <x v="13"/>
    <x v="0"/>
    <x v="13"/>
    <x v="29"/>
    <x v="156"/>
    <x v="72"/>
    <x v="34"/>
    <x v="133"/>
    <x v="142"/>
    <x v="158"/>
    <x v="3802"/>
    <x v="3363"/>
    <x v="0"/>
    <x v="158"/>
    <x v="158"/>
    <x v="45"/>
    <x v="0"/>
    <x v="1"/>
    <x v="0"/>
    <x v="23"/>
    <x v="11"/>
    <x v="817"/>
    <x v="9"/>
    <x v="1"/>
    <x v="69"/>
  </r>
  <r>
    <x v="0"/>
    <x v="12"/>
    <x v="155"/>
    <x v="52"/>
    <x v="7"/>
    <x v="640"/>
    <x v="57"/>
    <x v="3420"/>
    <x v="17"/>
    <x v="140"/>
    <x v="866"/>
    <x v="2668"/>
    <x v="3818"/>
    <x v="3803"/>
    <x v="3364"/>
    <x v="1"/>
    <x v="3765"/>
    <x v="3821"/>
    <x v="370"/>
    <x v="0"/>
    <x v="0"/>
    <x v="4"/>
    <x v="213"/>
    <x v="18"/>
    <x v="181"/>
    <x v="1"/>
    <x v="1"/>
    <x v="1"/>
  </r>
  <r>
    <x v="0"/>
    <x v="1700"/>
    <x v="127"/>
    <x v="54"/>
    <x v="134"/>
    <x v="800"/>
    <x v="114"/>
    <x v="3421"/>
    <x v="630"/>
    <x v="1304"/>
    <x v="2255"/>
    <x v="2669"/>
    <x v="3819"/>
    <x v="3804"/>
    <x v="2096"/>
    <x v="4"/>
    <x v="3766"/>
    <x v="3822"/>
    <x v="694"/>
    <x v="0"/>
    <x v="0"/>
    <x v="0"/>
    <x v="231"/>
    <x v="2"/>
    <x v="264"/>
    <x v="23"/>
    <x v="1"/>
    <x v="31"/>
  </r>
  <r>
    <x v="0"/>
    <x v="1701"/>
    <x v="318"/>
    <x v="70"/>
    <x v="138"/>
    <x v="81"/>
    <x v="25"/>
    <x v="3422"/>
    <x v="17"/>
    <x v="76"/>
    <x v="694"/>
    <x v="2438"/>
    <x v="3820"/>
    <x v="3805"/>
    <x v="149"/>
    <x v="0"/>
    <x v="3767"/>
    <x v="3823"/>
    <x v="634"/>
    <x v="0"/>
    <x v="0"/>
    <x v="4"/>
    <x v="309"/>
    <x v="16"/>
    <x v="103"/>
    <x v="32"/>
    <x v="10"/>
    <x v="1"/>
  </r>
  <r>
    <x v="0"/>
    <x v="1702"/>
    <x v="303"/>
    <x v="107"/>
    <x v="216"/>
    <x v="786"/>
    <x v="707"/>
    <x v="4"/>
    <x v="476"/>
    <x v="1481"/>
    <x v="702"/>
    <x v="2670"/>
    <x v="3821"/>
    <x v="3806"/>
    <x v="3365"/>
    <x v="0"/>
    <x v="3768"/>
    <x v="3824"/>
    <x v="744"/>
    <x v="0"/>
    <x v="0"/>
    <x v="1"/>
    <x v="274"/>
    <x v="9"/>
    <x v="427"/>
    <x v="44"/>
    <x v="0"/>
    <x v="1"/>
  </r>
  <r>
    <x v="0"/>
    <x v="1539"/>
    <x v="232"/>
    <x v="26"/>
    <x v="377"/>
    <x v="128"/>
    <x v="672"/>
    <x v="4"/>
    <x v="658"/>
    <x v="1352"/>
    <x v="2071"/>
    <x v="2463"/>
    <x v="3511"/>
    <x v="3807"/>
    <x v="2199"/>
    <x v="0"/>
    <x v="3468"/>
    <x v="3513"/>
    <x v="776"/>
    <x v="0"/>
    <x v="0"/>
    <x v="4"/>
    <x v="213"/>
    <x v="39"/>
    <x v="491"/>
    <x v="11"/>
    <x v="3"/>
    <x v="1"/>
  </r>
  <r>
    <x v="0"/>
    <x v="1703"/>
    <x v="384"/>
    <x v="72"/>
    <x v="0"/>
    <x v="177"/>
    <x v="510"/>
    <x v="4"/>
    <x v="105"/>
    <x v="551"/>
    <x v="2256"/>
    <x v="2671"/>
    <x v="3822"/>
    <x v="3808"/>
    <x v="3366"/>
    <x v="4"/>
    <x v="3769"/>
    <x v="3825"/>
    <x v="724"/>
    <x v="0"/>
    <x v="0"/>
    <x v="2"/>
    <x v="213"/>
    <x v="55"/>
    <x v="857"/>
    <x v="11"/>
    <x v="1"/>
    <x v="576"/>
  </r>
  <r>
    <x v="0"/>
    <x v="49"/>
    <x v="290"/>
    <x v="43"/>
    <x v="34"/>
    <x v="30"/>
    <x v="22"/>
    <x v="3423"/>
    <x v="60"/>
    <x v="626"/>
    <x v="2257"/>
    <x v="2672"/>
    <x v="3823"/>
    <x v="3809"/>
    <x v="3367"/>
    <x v="1"/>
    <x v="3770"/>
    <x v="3826"/>
    <x v="104"/>
    <x v="0"/>
    <x v="0"/>
    <x v="4"/>
    <x v="213"/>
    <x v="2"/>
    <x v="695"/>
    <x v="51"/>
    <x v="1"/>
    <x v="60"/>
  </r>
  <r>
    <x v="0"/>
    <x v="1306"/>
    <x v="393"/>
    <x v="72"/>
    <x v="228"/>
    <x v="691"/>
    <x v="315"/>
    <x v="4"/>
    <x v="17"/>
    <x v="1417"/>
    <x v="2258"/>
    <x v="2673"/>
    <x v="3824"/>
    <x v="3810"/>
    <x v="3368"/>
    <x v="0"/>
    <x v="3771"/>
    <x v="3827"/>
    <x v="816"/>
    <x v="0"/>
    <x v="0"/>
    <x v="11"/>
    <x v="213"/>
    <x v="67"/>
    <x v="39"/>
    <x v="2"/>
    <x v="1"/>
    <x v="687"/>
  </r>
  <r>
    <x v="0"/>
    <x v="113"/>
    <x v="435"/>
    <x v="84"/>
    <x v="88"/>
    <x v="317"/>
    <x v="0"/>
    <x v="4"/>
    <x v="370"/>
    <x v="185"/>
    <x v="579"/>
    <x v="450"/>
    <x v="3729"/>
    <x v="3719"/>
    <x v="3301"/>
    <x v="1"/>
    <x v="3684"/>
    <x v="3731"/>
    <x v="637"/>
    <x v="0"/>
    <x v="0"/>
    <x v="7"/>
    <x v="4"/>
    <x v="4"/>
    <x v="30"/>
    <x v="7"/>
    <x v="0"/>
    <x v="539"/>
  </r>
  <r>
    <x v="0"/>
    <x v="1704"/>
    <x v="108"/>
    <x v="11"/>
    <x v="394"/>
    <x v="883"/>
    <x v="21"/>
    <x v="3424"/>
    <x v="200"/>
    <x v="162"/>
    <x v="2259"/>
    <x v="2674"/>
    <x v="3825"/>
    <x v="3811"/>
    <x v="3369"/>
    <x v="1"/>
    <x v="3772"/>
    <x v="3828"/>
    <x v="708"/>
    <x v="0"/>
    <x v="0"/>
    <x v="4"/>
    <x v="209"/>
    <x v="5"/>
    <x v="13"/>
    <x v="1"/>
    <x v="3"/>
    <x v="37"/>
  </r>
  <r>
    <x v="0"/>
    <x v="469"/>
    <x v="208"/>
    <x v="41"/>
    <x v="0"/>
    <x v="634"/>
    <x v="428"/>
    <x v="3425"/>
    <x v="321"/>
    <x v="1482"/>
    <x v="1041"/>
    <x v="2675"/>
    <x v="3826"/>
    <x v="3812"/>
    <x v="3370"/>
    <x v="0"/>
    <x v="3773"/>
    <x v="3829"/>
    <x v="936"/>
    <x v="0"/>
    <x v="0"/>
    <x v="4"/>
    <x v="213"/>
    <x v="32"/>
    <x v="161"/>
    <x v="11"/>
    <x v="1"/>
    <x v="41"/>
  </r>
  <r>
    <x v="0"/>
    <x v="1705"/>
    <x v="387"/>
    <x v="100"/>
    <x v="299"/>
    <x v="416"/>
    <x v="349"/>
    <x v="4"/>
    <x v="792"/>
    <x v="630"/>
    <x v="1515"/>
    <x v="2676"/>
    <x v="3827"/>
    <x v="3813"/>
    <x v="3371"/>
    <x v="0"/>
    <x v="3774"/>
    <x v="3830"/>
    <x v="428"/>
    <x v="0"/>
    <x v="0"/>
    <x v="11"/>
    <x v="213"/>
    <x v="41"/>
    <x v="539"/>
    <x v="24"/>
    <x v="1"/>
    <x v="60"/>
  </r>
  <r>
    <x v="1"/>
    <x v="1706"/>
    <x v="336"/>
    <x v="56"/>
    <x v="0"/>
    <x v="800"/>
    <x v="201"/>
    <x v="3426"/>
    <x v="793"/>
    <x v="1483"/>
    <x v="1651"/>
    <x v="2677"/>
    <x v="3828"/>
    <x v="3814"/>
    <x v="3372"/>
    <x v="0"/>
    <x v="3775"/>
    <x v="3831"/>
    <x v="937"/>
    <x v="0"/>
    <x v="0"/>
    <x v="10"/>
    <x v="4"/>
    <x v="14"/>
    <x v="224"/>
    <x v="28"/>
    <x v="3"/>
    <x v="43"/>
  </r>
  <r>
    <x v="0"/>
    <x v="1707"/>
    <x v="331"/>
    <x v="41"/>
    <x v="193"/>
    <x v="369"/>
    <x v="230"/>
    <x v="3427"/>
    <x v="327"/>
    <x v="424"/>
    <x v="1049"/>
    <x v="2678"/>
    <x v="3829"/>
    <x v="3815"/>
    <x v="3373"/>
    <x v="0"/>
    <x v="3776"/>
    <x v="3832"/>
    <x v="749"/>
    <x v="0"/>
    <x v="10"/>
    <x v="0"/>
    <x v="240"/>
    <x v="9"/>
    <x v="441"/>
    <x v="61"/>
    <x v="1"/>
    <x v="1"/>
  </r>
  <r>
    <x v="0"/>
    <x v="776"/>
    <x v="521"/>
    <x v="28"/>
    <x v="0"/>
    <x v="590"/>
    <x v="708"/>
    <x v="3428"/>
    <x v="270"/>
    <x v="1484"/>
    <x v="2260"/>
    <x v="2679"/>
    <x v="3830"/>
    <x v="3816"/>
    <x v="1795"/>
    <x v="0"/>
    <x v="3777"/>
    <x v="3833"/>
    <x v="531"/>
    <x v="0"/>
    <x v="0"/>
    <x v="4"/>
    <x v="213"/>
    <x v="11"/>
    <x v="734"/>
    <x v="25"/>
    <x v="3"/>
    <x v="30"/>
  </r>
  <r>
    <x v="0"/>
    <x v="696"/>
    <x v="325"/>
    <x v="45"/>
    <x v="201"/>
    <x v="417"/>
    <x v="32"/>
    <x v="3429"/>
    <x v="656"/>
    <x v="59"/>
    <x v="472"/>
    <x v="2152"/>
    <x v="3831"/>
    <x v="3817"/>
    <x v="3374"/>
    <x v="0"/>
    <x v="3778"/>
    <x v="3834"/>
    <x v="248"/>
    <x v="0"/>
    <x v="1"/>
    <x v="0"/>
    <x v="213"/>
    <x v="7"/>
    <x v="267"/>
    <x v="10"/>
    <x v="3"/>
    <x v="1"/>
  </r>
  <r>
    <x v="0"/>
    <x v="24"/>
    <x v="223"/>
    <x v="73"/>
    <x v="17"/>
    <x v="162"/>
    <x v="0"/>
    <x v="276"/>
    <x v="18"/>
    <x v="154"/>
    <x v="223"/>
    <x v="250"/>
    <x v="284"/>
    <x v="3818"/>
    <x v="280"/>
    <x v="0"/>
    <x v="281"/>
    <x v="284"/>
    <x v="264"/>
    <x v="0"/>
    <x v="0"/>
    <x v="0"/>
    <x v="32"/>
    <x v="18"/>
    <x v="151"/>
    <x v="20"/>
    <x v="1"/>
    <x v="1"/>
  </r>
  <r>
    <x v="0"/>
    <x v="1708"/>
    <x v="434"/>
    <x v="41"/>
    <x v="65"/>
    <x v="691"/>
    <x v="709"/>
    <x v="3430"/>
    <x v="125"/>
    <x v="1485"/>
    <x v="2261"/>
    <x v="2680"/>
    <x v="3832"/>
    <x v="3130"/>
    <x v="3234"/>
    <x v="4"/>
    <x v="3779"/>
    <x v="3835"/>
    <x v="785"/>
    <x v="0"/>
    <x v="0"/>
    <x v="4"/>
    <x v="213"/>
    <x v="18"/>
    <x v="858"/>
    <x v="51"/>
    <x v="3"/>
    <x v="688"/>
  </r>
  <r>
    <x v="0"/>
    <x v="1708"/>
    <x v="417"/>
    <x v="87"/>
    <x v="65"/>
    <x v="243"/>
    <x v="206"/>
    <x v="3431"/>
    <x v="125"/>
    <x v="558"/>
    <x v="758"/>
    <x v="797"/>
    <x v="3833"/>
    <x v="3819"/>
    <x v="3375"/>
    <x v="1"/>
    <x v="3780"/>
    <x v="3836"/>
    <x v="896"/>
    <x v="0"/>
    <x v="0"/>
    <x v="4"/>
    <x v="224"/>
    <x v="21"/>
    <x v="455"/>
    <x v="61"/>
    <x v="3"/>
    <x v="689"/>
  </r>
  <r>
    <x v="0"/>
    <x v="1039"/>
    <x v="271"/>
    <x v="59"/>
    <x v="44"/>
    <x v="373"/>
    <x v="177"/>
    <x v="3432"/>
    <x v="794"/>
    <x v="334"/>
    <x v="1220"/>
    <x v="1501"/>
    <x v="3834"/>
    <x v="3820"/>
    <x v="561"/>
    <x v="1"/>
    <x v="3781"/>
    <x v="3837"/>
    <x v="699"/>
    <x v="0"/>
    <x v="0"/>
    <x v="4"/>
    <x v="310"/>
    <x v="17"/>
    <x v="741"/>
    <x v="15"/>
    <x v="1"/>
    <x v="457"/>
  </r>
  <r>
    <x v="1"/>
    <x v="1679"/>
    <x v="266"/>
    <x v="60"/>
    <x v="16"/>
    <x v="171"/>
    <x v="710"/>
    <x v="4"/>
    <x v="304"/>
    <x v="1486"/>
    <x v="2262"/>
    <x v="2681"/>
    <x v="3835"/>
    <x v="3821"/>
    <x v="3376"/>
    <x v="4"/>
    <x v="3782"/>
    <x v="3838"/>
    <x v="239"/>
    <x v="0"/>
    <x v="0"/>
    <x v="11"/>
    <x v="213"/>
    <x v="60"/>
    <x v="564"/>
    <x v="38"/>
    <x v="10"/>
    <x v="1"/>
  </r>
  <r>
    <x v="0"/>
    <x v="1562"/>
    <x v="211"/>
    <x v="113"/>
    <x v="78"/>
    <x v="856"/>
    <x v="49"/>
    <x v="3433"/>
    <x v="180"/>
    <x v="86"/>
    <x v="137"/>
    <x v="2362"/>
    <x v="3836"/>
    <x v="3822"/>
    <x v="3377"/>
    <x v="0"/>
    <x v="3783"/>
    <x v="3839"/>
    <x v="319"/>
    <x v="0"/>
    <x v="0"/>
    <x v="4"/>
    <x v="213"/>
    <x v="7"/>
    <x v="94"/>
    <x v="18"/>
    <x v="3"/>
    <x v="480"/>
  </r>
  <r>
    <x v="0"/>
    <x v="1709"/>
    <x v="81"/>
    <x v="87"/>
    <x v="143"/>
    <x v="783"/>
    <x v="114"/>
    <x v="3434"/>
    <x v="70"/>
    <x v="291"/>
    <x v="2263"/>
    <x v="2682"/>
    <x v="3837"/>
    <x v="3823"/>
    <x v="1595"/>
    <x v="0"/>
    <x v="3784"/>
    <x v="3840"/>
    <x v="820"/>
    <x v="0"/>
    <x v="0"/>
    <x v="4"/>
    <x v="4"/>
    <x v="16"/>
    <x v="654"/>
    <x v="51"/>
    <x v="3"/>
    <x v="127"/>
  </r>
  <r>
    <x v="0"/>
    <x v="548"/>
    <x v="202"/>
    <x v="86"/>
    <x v="0"/>
    <x v="554"/>
    <x v="427"/>
    <x v="1850"/>
    <x v="236"/>
    <x v="776"/>
    <x v="1257"/>
    <x v="1470"/>
    <x v="1945"/>
    <x v="1940"/>
    <x v="1855"/>
    <x v="4"/>
    <x v="1933"/>
    <x v="1945"/>
    <x v="736"/>
    <x v="0"/>
    <x v="0"/>
    <x v="4"/>
    <x v="131"/>
    <x v="5"/>
    <x v="652"/>
    <x v="30"/>
    <x v="1"/>
    <x v="1"/>
  </r>
  <r>
    <x v="0"/>
    <x v="573"/>
    <x v="31"/>
    <x v="72"/>
    <x v="41"/>
    <x v="884"/>
    <x v="674"/>
    <x v="3435"/>
    <x v="150"/>
    <x v="1487"/>
    <x v="2264"/>
    <x v="2683"/>
    <x v="3838"/>
    <x v="3824"/>
    <x v="3378"/>
    <x v="0"/>
    <x v="3785"/>
    <x v="3841"/>
    <x v="429"/>
    <x v="6"/>
    <x v="13"/>
    <x v="4"/>
    <x v="311"/>
    <x v="1"/>
    <x v="382"/>
    <x v="7"/>
    <x v="1"/>
    <x v="59"/>
  </r>
  <r>
    <x v="0"/>
    <x v="1627"/>
    <x v="474"/>
    <x v="107"/>
    <x v="262"/>
    <x v="533"/>
    <x v="60"/>
    <x v="3436"/>
    <x v="219"/>
    <x v="1488"/>
    <x v="1239"/>
    <x v="2684"/>
    <x v="3839"/>
    <x v="3825"/>
    <x v="436"/>
    <x v="4"/>
    <x v="3786"/>
    <x v="3842"/>
    <x v="823"/>
    <x v="0"/>
    <x v="0"/>
    <x v="4"/>
    <x v="213"/>
    <x v="11"/>
    <x v="155"/>
    <x v="55"/>
    <x v="3"/>
    <x v="1"/>
  </r>
  <r>
    <x v="0"/>
    <x v="1710"/>
    <x v="262"/>
    <x v="47"/>
    <x v="395"/>
    <x v="232"/>
    <x v="17"/>
    <x v="3437"/>
    <x v="105"/>
    <x v="839"/>
    <x v="727"/>
    <x v="294"/>
    <x v="3840"/>
    <x v="3826"/>
    <x v="3379"/>
    <x v="4"/>
    <x v="3787"/>
    <x v="3843"/>
    <x v="856"/>
    <x v="0"/>
    <x v="0"/>
    <x v="4"/>
    <x v="213"/>
    <x v="19"/>
    <x v="436"/>
    <x v="10"/>
    <x v="3"/>
    <x v="1"/>
  </r>
  <r>
    <x v="0"/>
    <x v="931"/>
    <x v="401"/>
    <x v="46"/>
    <x v="17"/>
    <x v="267"/>
    <x v="480"/>
    <x v="4"/>
    <x v="306"/>
    <x v="1489"/>
    <x v="2265"/>
    <x v="2685"/>
    <x v="3841"/>
    <x v="3827"/>
    <x v="3380"/>
    <x v="0"/>
    <x v="3788"/>
    <x v="3844"/>
    <x v="258"/>
    <x v="0"/>
    <x v="0"/>
    <x v="18"/>
    <x v="213"/>
    <x v="50"/>
    <x v="859"/>
    <x v="22"/>
    <x v="3"/>
    <x v="690"/>
  </r>
  <r>
    <x v="0"/>
    <x v="1355"/>
    <x v="303"/>
    <x v="78"/>
    <x v="0"/>
    <x v="357"/>
    <x v="326"/>
    <x v="3438"/>
    <x v="70"/>
    <x v="581"/>
    <x v="401"/>
    <x v="2686"/>
    <x v="3842"/>
    <x v="3828"/>
    <x v="3381"/>
    <x v="0"/>
    <x v="3789"/>
    <x v="3845"/>
    <x v="695"/>
    <x v="0"/>
    <x v="0"/>
    <x v="4"/>
    <x v="4"/>
    <x v="7"/>
    <x v="270"/>
    <x v="19"/>
    <x v="3"/>
    <x v="691"/>
  </r>
  <r>
    <x v="0"/>
    <x v="1711"/>
    <x v="359"/>
    <x v="47"/>
    <x v="154"/>
    <x v="725"/>
    <x v="41"/>
    <x v="3439"/>
    <x v="219"/>
    <x v="111"/>
    <x v="526"/>
    <x v="2687"/>
    <x v="3843"/>
    <x v="3829"/>
    <x v="3382"/>
    <x v="5"/>
    <x v="3790"/>
    <x v="3846"/>
    <x v="299"/>
    <x v="0"/>
    <x v="0"/>
    <x v="4"/>
    <x v="213"/>
    <x v="16"/>
    <x v="222"/>
    <x v="10"/>
    <x v="3"/>
    <x v="1"/>
  </r>
  <r>
    <x v="0"/>
    <x v="1048"/>
    <x v="145"/>
    <x v="27"/>
    <x v="164"/>
    <x v="589"/>
    <x v="55"/>
    <x v="3440"/>
    <x v="105"/>
    <x v="1136"/>
    <x v="2266"/>
    <x v="2688"/>
    <x v="3844"/>
    <x v="3830"/>
    <x v="1783"/>
    <x v="1"/>
    <x v="3791"/>
    <x v="3847"/>
    <x v="639"/>
    <x v="0"/>
    <x v="0"/>
    <x v="4"/>
    <x v="213"/>
    <x v="19"/>
    <x v="494"/>
    <x v="1"/>
    <x v="3"/>
    <x v="61"/>
  </r>
  <r>
    <x v="0"/>
    <x v="1712"/>
    <x v="460"/>
    <x v="45"/>
    <x v="216"/>
    <x v="298"/>
    <x v="150"/>
    <x v="3441"/>
    <x v="4"/>
    <x v="774"/>
    <x v="2267"/>
    <x v="2689"/>
    <x v="3845"/>
    <x v="3831"/>
    <x v="3383"/>
    <x v="1"/>
    <x v="3792"/>
    <x v="3848"/>
    <x v="496"/>
    <x v="0"/>
    <x v="0"/>
    <x v="4"/>
    <x v="83"/>
    <x v="17"/>
    <x v="4"/>
    <x v="59"/>
    <x v="3"/>
    <x v="692"/>
  </r>
  <r>
    <x v="0"/>
    <x v="78"/>
    <x v="361"/>
    <x v="47"/>
    <x v="0"/>
    <x v="544"/>
    <x v="444"/>
    <x v="3442"/>
    <x v="270"/>
    <x v="518"/>
    <x v="1259"/>
    <x v="2690"/>
    <x v="3846"/>
    <x v="3832"/>
    <x v="2710"/>
    <x v="0"/>
    <x v="3793"/>
    <x v="3849"/>
    <x v="365"/>
    <x v="0"/>
    <x v="0"/>
    <x v="4"/>
    <x v="213"/>
    <x v="32"/>
    <x v="654"/>
    <x v="11"/>
    <x v="3"/>
    <x v="482"/>
  </r>
  <r>
    <x v="0"/>
    <x v="1250"/>
    <x v="401"/>
    <x v="95"/>
    <x v="148"/>
    <x v="739"/>
    <x v="91"/>
    <x v="3443"/>
    <x v="125"/>
    <x v="161"/>
    <x v="51"/>
    <x v="1939"/>
    <x v="3847"/>
    <x v="3833"/>
    <x v="3384"/>
    <x v="0"/>
    <x v="3794"/>
    <x v="3850"/>
    <x v="492"/>
    <x v="0"/>
    <x v="0"/>
    <x v="4"/>
    <x v="213"/>
    <x v="25"/>
    <x v="40"/>
    <x v="32"/>
    <x v="3"/>
    <x v="1"/>
  </r>
  <r>
    <x v="0"/>
    <x v="1713"/>
    <x v="399"/>
    <x v="50"/>
    <x v="192"/>
    <x v="678"/>
    <x v="181"/>
    <x v="3444"/>
    <x v="125"/>
    <x v="340"/>
    <x v="752"/>
    <x v="1592"/>
    <x v="3848"/>
    <x v="1124"/>
    <x v="418"/>
    <x v="3"/>
    <x v="3795"/>
    <x v="3851"/>
    <x v="432"/>
    <x v="0"/>
    <x v="0"/>
    <x v="4"/>
    <x v="213"/>
    <x v="15"/>
    <x v="159"/>
    <x v="27"/>
    <x v="3"/>
    <x v="241"/>
  </r>
  <r>
    <x v="0"/>
    <x v="390"/>
    <x v="313"/>
    <x v="41"/>
    <x v="3"/>
    <x v="673"/>
    <x v="391"/>
    <x v="3445"/>
    <x v="313"/>
    <x v="707"/>
    <x v="2268"/>
    <x v="1219"/>
    <x v="3849"/>
    <x v="3834"/>
    <x v="3385"/>
    <x v="1"/>
    <x v="3796"/>
    <x v="3852"/>
    <x v="758"/>
    <x v="0"/>
    <x v="0"/>
    <x v="4"/>
    <x v="213"/>
    <x v="1"/>
    <x v="138"/>
    <x v="12"/>
    <x v="19"/>
    <x v="637"/>
  </r>
  <r>
    <x v="0"/>
    <x v="1714"/>
    <x v="277"/>
    <x v="45"/>
    <x v="114"/>
    <x v="304"/>
    <x v="52"/>
    <x v="3446"/>
    <x v="200"/>
    <x v="90"/>
    <x v="2269"/>
    <x v="966"/>
    <x v="3850"/>
    <x v="3835"/>
    <x v="3386"/>
    <x v="0"/>
    <x v="3797"/>
    <x v="3853"/>
    <x v="552"/>
    <x v="0"/>
    <x v="0"/>
    <x v="4"/>
    <x v="213"/>
    <x v="12"/>
    <x v="309"/>
    <x v="4"/>
    <x v="1"/>
    <x v="488"/>
  </r>
  <r>
    <x v="0"/>
    <x v="609"/>
    <x v="433"/>
    <x v="76"/>
    <x v="0"/>
    <x v="131"/>
    <x v="0"/>
    <x v="4"/>
    <x v="795"/>
    <x v="1490"/>
    <x v="302"/>
    <x v="161"/>
    <x v="3851"/>
    <x v="3836"/>
    <x v="3387"/>
    <x v="0"/>
    <x v="3798"/>
    <x v="3854"/>
    <x v="158"/>
    <x v="0"/>
    <x v="0"/>
    <x v="4"/>
    <x v="213"/>
    <x v="10"/>
    <x v="204"/>
    <x v="5"/>
    <x v="3"/>
    <x v="37"/>
  </r>
  <r>
    <x v="0"/>
    <x v="1715"/>
    <x v="410"/>
    <x v="59"/>
    <x v="122"/>
    <x v="2"/>
    <x v="711"/>
    <x v="3447"/>
    <x v="13"/>
    <x v="1491"/>
    <x v="2270"/>
    <x v="2691"/>
    <x v="3852"/>
    <x v="3837"/>
    <x v="3388"/>
    <x v="0"/>
    <x v="3799"/>
    <x v="3855"/>
    <x v="748"/>
    <x v="0"/>
    <x v="1"/>
    <x v="2"/>
    <x v="213"/>
    <x v="12"/>
    <x v="589"/>
    <x v="8"/>
    <x v="3"/>
    <x v="1"/>
  </r>
  <r>
    <x v="0"/>
    <x v="1716"/>
    <x v="389"/>
    <x v="58"/>
    <x v="396"/>
    <x v="298"/>
    <x v="712"/>
    <x v="3448"/>
    <x v="305"/>
    <x v="1492"/>
    <x v="2271"/>
    <x v="2692"/>
    <x v="3853"/>
    <x v="3838"/>
    <x v="1897"/>
    <x v="0"/>
    <x v="3800"/>
    <x v="3856"/>
    <x v="212"/>
    <x v="28"/>
    <x v="0"/>
    <x v="0"/>
    <x v="213"/>
    <x v="10"/>
    <x v="253"/>
    <x v="3"/>
    <x v="1"/>
    <x v="18"/>
  </r>
  <r>
    <x v="0"/>
    <x v="1717"/>
    <x v="464"/>
    <x v="101"/>
    <x v="114"/>
    <x v="371"/>
    <x v="444"/>
    <x v="2912"/>
    <x v="13"/>
    <x v="1369"/>
    <x v="2272"/>
    <x v="2693"/>
    <x v="3854"/>
    <x v="1691"/>
    <x v="3389"/>
    <x v="0"/>
    <x v="3801"/>
    <x v="3857"/>
    <x v="816"/>
    <x v="0"/>
    <x v="0"/>
    <x v="4"/>
    <x v="213"/>
    <x v="42"/>
    <x v="271"/>
    <x v="30"/>
    <x v="3"/>
    <x v="547"/>
  </r>
  <r>
    <x v="0"/>
    <x v="1718"/>
    <x v="270"/>
    <x v="105"/>
    <x v="107"/>
    <x v="109"/>
    <x v="324"/>
    <x v="3449"/>
    <x v="17"/>
    <x v="579"/>
    <x v="2273"/>
    <x v="817"/>
    <x v="3855"/>
    <x v="3839"/>
    <x v="1016"/>
    <x v="1"/>
    <x v="3802"/>
    <x v="3858"/>
    <x v="409"/>
    <x v="0"/>
    <x v="0"/>
    <x v="0"/>
    <x v="4"/>
    <x v="10"/>
    <x v="793"/>
    <x v="4"/>
    <x v="1"/>
    <x v="1"/>
  </r>
  <r>
    <x v="0"/>
    <x v="1719"/>
    <x v="311"/>
    <x v="33"/>
    <x v="78"/>
    <x v="752"/>
    <x v="0"/>
    <x v="4"/>
    <x v="306"/>
    <x v="167"/>
    <x v="1230"/>
    <x v="2694"/>
    <x v="3856"/>
    <x v="3840"/>
    <x v="3390"/>
    <x v="0"/>
    <x v="3803"/>
    <x v="3859"/>
    <x v="822"/>
    <x v="0"/>
    <x v="0"/>
    <x v="4"/>
    <x v="274"/>
    <x v="2"/>
    <x v="30"/>
    <x v="20"/>
    <x v="1"/>
    <x v="693"/>
  </r>
  <r>
    <x v="0"/>
    <x v="1720"/>
    <x v="438"/>
    <x v="77"/>
    <x v="353"/>
    <x v="843"/>
    <x v="33"/>
    <x v="3450"/>
    <x v="306"/>
    <x v="149"/>
    <x v="2274"/>
    <x v="1416"/>
    <x v="3857"/>
    <x v="3841"/>
    <x v="3391"/>
    <x v="2"/>
    <x v="3804"/>
    <x v="3860"/>
    <x v="277"/>
    <x v="0"/>
    <x v="0"/>
    <x v="4"/>
    <x v="213"/>
    <x v="19"/>
    <x v="860"/>
    <x v="15"/>
    <x v="3"/>
    <x v="694"/>
  </r>
  <r>
    <x v="0"/>
    <x v="1701"/>
    <x v="308"/>
    <x v="11"/>
    <x v="138"/>
    <x v="81"/>
    <x v="35"/>
    <x v="3451"/>
    <x v="270"/>
    <x v="44"/>
    <x v="1379"/>
    <x v="2438"/>
    <x v="3858"/>
    <x v="3842"/>
    <x v="3392"/>
    <x v="0"/>
    <x v="3805"/>
    <x v="3861"/>
    <x v="640"/>
    <x v="0"/>
    <x v="0"/>
    <x v="4"/>
    <x v="213"/>
    <x v="15"/>
    <x v="225"/>
    <x v="28"/>
    <x v="0"/>
    <x v="695"/>
  </r>
  <r>
    <x v="0"/>
    <x v="1721"/>
    <x v="454"/>
    <x v="69"/>
    <x v="397"/>
    <x v="425"/>
    <x v="72"/>
    <x v="4"/>
    <x v="370"/>
    <x v="1493"/>
    <x v="2275"/>
    <x v="2695"/>
    <x v="3859"/>
    <x v="3843"/>
    <x v="3393"/>
    <x v="0"/>
    <x v="3806"/>
    <x v="3862"/>
    <x v="472"/>
    <x v="3"/>
    <x v="10"/>
    <x v="9"/>
    <x v="4"/>
    <x v="3"/>
    <x v="214"/>
    <x v="1"/>
    <x v="3"/>
    <x v="85"/>
  </r>
  <r>
    <x v="0"/>
    <x v="473"/>
    <x v="221"/>
    <x v="85"/>
    <x v="212"/>
    <x v="402"/>
    <x v="25"/>
    <x v="3452"/>
    <x v="270"/>
    <x v="76"/>
    <x v="997"/>
    <x v="2696"/>
    <x v="3860"/>
    <x v="3844"/>
    <x v="256"/>
    <x v="4"/>
    <x v="3807"/>
    <x v="3863"/>
    <x v="173"/>
    <x v="0"/>
    <x v="0"/>
    <x v="4"/>
    <x v="213"/>
    <x v="9"/>
    <x v="30"/>
    <x v="8"/>
    <x v="1"/>
    <x v="59"/>
  </r>
  <r>
    <x v="0"/>
    <x v="1722"/>
    <x v="425"/>
    <x v="77"/>
    <x v="89"/>
    <x v="146"/>
    <x v="174"/>
    <x v="3453"/>
    <x v="314"/>
    <x v="1494"/>
    <x v="2276"/>
    <x v="177"/>
    <x v="3861"/>
    <x v="3845"/>
    <x v="3394"/>
    <x v="3"/>
    <x v="3808"/>
    <x v="3864"/>
    <x v="327"/>
    <x v="0"/>
    <x v="1"/>
    <x v="2"/>
    <x v="119"/>
    <x v="13"/>
    <x v="433"/>
    <x v="4"/>
    <x v="1"/>
    <x v="330"/>
  </r>
  <r>
    <x v="0"/>
    <x v="200"/>
    <x v="373"/>
    <x v="58"/>
    <x v="140"/>
    <x v="192"/>
    <x v="14"/>
    <x v="3454"/>
    <x v="438"/>
    <x v="414"/>
    <x v="2277"/>
    <x v="2697"/>
    <x v="3862"/>
    <x v="3846"/>
    <x v="3395"/>
    <x v="0"/>
    <x v="3809"/>
    <x v="3865"/>
    <x v="785"/>
    <x v="0"/>
    <x v="0"/>
    <x v="4"/>
    <x v="312"/>
    <x v="42"/>
    <x v="861"/>
    <x v="18"/>
    <x v="3"/>
    <x v="287"/>
  </r>
  <r>
    <x v="0"/>
    <x v="1723"/>
    <x v="359"/>
    <x v="79"/>
    <x v="0"/>
    <x v="857"/>
    <x v="713"/>
    <x v="3455"/>
    <x v="796"/>
    <x v="1495"/>
    <x v="2278"/>
    <x v="2698"/>
    <x v="3863"/>
    <x v="3847"/>
    <x v="2338"/>
    <x v="1"/>
    <x v="3810"/>
    <x v="3866"/>
    <x v="641"/>
    <x v="0"/>
    <x v="5"/>
    <x v="10"/>
    <x v="41"/>
    <x v="21"/>
    <x v="559"/>
    <x v="22"/>
    <x v="3"/>
    <x v="696"/>
  </r>
  <r>
    <x v="0"/>
    <x v="781"/>
    <x v="193"/>
    <x v="107"/>
    <x v="193"/>
    <x v="800"/>
    <x v="370"/>
    <x v="3456"/>
    <x v="125"/>
    <x v="671"/>
    <x v="423"/>
    <x v="1815"/>
    <x v="3864"/>
    <x v="3848"/>
    <x v="3396"/>
    <x v="1"/>
    <x v="3811"/>
    <x v="3867"/>
    <x v="755"/>
    <x v="0"/>
    <x v="1"/>
    <x v="4"/>
    <x v="213"/>
    <x v="15"/>
    <x v="56"/>
    <x v="22"/>
    <x v="3"/>
    <x v="697"/>
  </r>
  <r>
    <x v="0"/>
    <x v="1724"/>
    <x v="396"/>
    <x v="60"/>
    <x v="176"/>
    <x v="691"/>
    <x v="97"/>
    <x v="3457"/>
    <x v="270"/>
    <x v="1496"/>
    <x v="2279"/>
    <x v="2699"/>
    <x v="3865"/>
    <x v="3849"/>
    <x v="2348"/>
    <x v="0"/>
    <x v="4"/>
    <x v="3868"/>
    <x v="791"/>
    <x v="15"/>
    <x v="12"/>
    <x v="0"/>
    <x v="213"/>
    <x v="9"/>
    <x v="326"/>
    <x v="16"/>
    <x v="1"/>
    <x v="1"/>
  </r>
  <r>
    <x v="0"/>
    <x v="1338"/>
    <x v="216"/>
    <x v="11"/>
    <x v="0"/>
    <x v="305"/>
    <x v="209"/>
    <x v="3458"/>
    <x v="168"/>
    <x v="1497"/>
    <x v="2280"/>
    <x v="2700"/>
    <x v="3866"/>
    <x v="3850"/>
    <x v="3397"/>
    <x v="0"/>
    <x v="3812"/>
    <x v="3869"/>
    <x v="180"/>
    <x v="0"/>
    <x v="0"/>
    <x v="4"/>
    <x v="255"/>
    <x v="5"/>
    <x v="524"/>
    <x v="15"/>
    <x v="1"/>
    <x v="7"/>
  </r>
  <r>
    <x v="0"/>
    <x v="277"/>
    <x v="384"/>
    <x v="33"/>
    <x v="181"/>
    <x v="732"/>
    <x v="642"/>
    <x v="3459"/>
    <x v="125"/>
    <x v="1055"/>
    <x v="412"/>
    <x v="1476"/>
    <x v="3867"/>
    <x v="3851"/>
    <x v="866"/>
    <x v="2"/>
    <x v="3813"/>
    <x v="3870"/>
    <x v="721"/>
    <x v="0"/>
    <x v="0"/>
    <x v="4"/>
    <x v="137"/>
    <x v="21"/>
    <x v="277"/>
    <x v="22"/>
    <x v="3"/>
    <x v="698"/>
  </r>
  <r>
    <x v="0"/>
    <x v="1197"/>
    <x v="308"/>
    <x v="41"/>
    <x v="69"/>
    <x v="100"/>
    <x v="275"/>
    <x v="3460"/>
    <x v="127"/>
    <x v="1498"/>
    <x v="2281"/>
    <x v="2701"/>
    <x v="3868"/>
    <x v="3852"/>
    <x v="3398"/>
    <x v="1"/>
    <x v="3814"/>
    <x v="3871"/>
    <x v="721"/>
    <x v="0"/>
    <x v="1"/>
    <x v="4"/>
    <x v="139"/>
    <x v="20"/>
    <x v="438"/>
    <x v="18"/>
    <x v="2"/>
    <x v="619"/>
  </r>
  <r>
    <x v="0"/>
    <x v="870"/>
    <x v="142"/>
    <x v="52"/>
    <x v="194"/>
    <x v="13"/>
    <x v="11"/>
    <x v="3461"/>
    <x v="17"/>
    <x v="49"/>
    <x v="698"/>
    <x v="142"/>
    <x v="3869"/>
    <x v="3853"/>
    <x v="3399"/>
    <x v="0"/>
    <x v="3815"/>
    <x v="3872"/>
    <x v="499"/>
    <x v="0"/>
    <x v="5"/>
    <x v="4"/>
    <x v="178"/>
    <x v="9"/>
    <x v="18"/>
    <x v="5"/>
    <x v="1"/>
    <x v="1"/>
  </r>
  <r>
    <x v="0"/>
    <x v="1725"/>
    <x v="307"/>
    <x v="7"/>
    <x v="334"/>
    <x v="236"/>
    <x v="41"/>
    <x v="4"/>
    <x v="105"/>
    <x v="111"/>
    <x v="2282"/>
    <x v="2702"/>
    <x v="3870"/>
    <x v="3854"/>
    <x v="3400"/>
    <x v="0"/>
    <x v="3816"/>
    <x v="3873"/>
    <x v="408"/>
    <x v="0"/>
    <x v="0"/>
    <x v="4"/>
    <x v="213"/>
    <x v="20"/>
    <x v="435"/>
    <x v="40"/>
    <x v="1"/>
    <x v="699"/>
  </r>
  <r>
    <x v="0"/>
    <x v="1726"/>
    <x v="272"/>
    <x v="18"/>
    <x v="38"/>
    <x v="777"/>
    <x v="697"/>
    <x v="3462"/>
    <x v="200"/>
    <x v="1441"/>
    <x v="2283"/>
    <x v="2703"/>
    <x v="3871"/>
    <x v="1724"/>
    <x v="3401"/>
    <x v="1"/>
    <x v="3817"/>
    <x v="3874"/>
    <x v="785"/>
    <x v="6"/>
    <x v="13"/>
    <x v="4"/>
    <x v="213"/>
    <x v="19"/>
    <x v="327"/>
    <x v="16"/>
    <x v="3"/>
    <x v="1"/>
  </r>
  <r>
    <x v="0"/>
    <x v="1727"/>
    <x v="300"/>
    <x v="42"/>
    <x v="217"/>
    <x v="809"/>
    <x v="616"/>
    <x v="3463"/>
    <x v="55"/>
    <x v="1499"/>
    <x v="2284"/>
    <x v="2704"/>
    <x v="3872"/>
    <x v="3855"/>
    <x v="3402"/>
    <x v="1"/>
    <x v="3818"/>
    <x v="3875"/>
    <x v="482"/>
    <x v="0"/>
    <x v="0"/>
    <x v="4"/>
    <x v="313"/>
    <x v="5"/>
    <x v="786"/>
    <x v="12"/>
    <x v="1"/>
    <x v="1"/>
  </r>
  <r>
    <x v="0"/>
    <x v="113"/>
    <x v="451"/>
    <x v="172"/>
    <x v="88"/>
    <x v="337"/>
    <x v="714"/>
    <x v="4"/>
    <x v="215"/>
    <x v="1500"/>
    <x v="2285"/>
    <x v="2705"/>
    <x v="3873"/>
    <x v="3856"/>
    <x v="3403"/>
    <x v="1"/>
    <x v="3819"/>
    <x v="3876"/>
    <x v="637"/>
    <x v="0"/>
    <x v="0"/>
    <x v="8"/>
    <x v="4"/>
    <x v="4"/>
    <x v="513"/>
    <x v="9"/>
    <x v="8"/>
    <x v="700"/>
  </r>
  <r>
    <x v="0"/>
    <x v="572"/>
    <x v="329"/>
    <x v="80"/>
    <x v="107"/>
    <x v="259"/>
    <x v="11"/>
    <x v="3464"/>
    <x v="113"/>
    <x v="63"/>
    <x v="958"/>
    <x v="855"/>
    <x v="3874"/>
    <x v="3857"/>
    <x v="3404"/>
    <x v="1"/>
    <x v="3820"/>
    <x v="3877"/>
    <x v="510"/>
    <x v="0"/>
    <x v="0"/>
    <x v="4"/>
    <x v="213"/>
    <x v="13"/>
    <x v="78"/>
    <x v="27"/>
    <x v="3"/>
    <x v="227"/>
  </r>
  <r>
    <x v="0"/>
    <x v="1728"/>
    <x v="266"/>
    <x v="11"/>
    <x v="107"/>
    <x v="777"/>
    <x v="365"/>
    <x v="3465"/>
    <x v="270"/>
    <x v="1154"/>
    <x v="2286"/>
    <x v="2706"/>
    <x v="3875"/>
    <x v="3858"/>
    <x v="3405"/>
    <x v="4"/>
    <x v="3821"/>
    <x v="3878"/>
    <x v="896"/>
    <x v="30"/>
    <x v="49"/>
    <x v="10"/>
    <x v="213"/>
    <x v="11"/>
    <x v="438"/>
    <x v="9"/>
    <x v="1"/>
    <x v="593"/>
  </r>
  <r>
    <x v="0"/>
    <x v="1729"/>
    <x v="303"/>
    <x v="73"/>
    <x v="193"/>
    <x v="10"/>
    <x v="22"/>
    <x v="4"/>
    <x v="200"/>
    <x v="639"/>
    <x v="1704"/>
    <x v="831"/>
    <x v="3876"/>
    <x v="3859"/>
    <x v="3406"/>
    <x v="2"/>
    <x v="3822"/>
    <x v="3879"/>
    <x v="427"/>
    <x v="0"/>
    <x v="0"/>
    <x v="4"/>
    <x v="213"/>
    <x v="10"/>
    <x v="13"/>
    <x v="19"/>
    <x v="1"/>
    <x v="701"/>
  </r>
  <r>
    <x v="0"/>
    <x v="1388"/>
    <x v="126"/>
    <x v="77"/>
    <x v="143"/>
    <x v="97"/>
    <x v="715"/>
    <x v="4"/>
    <x v="263"/>
    <x v="1501"/>
    <x v="2287"/>
    <x v="122"/>
    <x v="3877"/>
    <x v="1514"/>
    <x v="3407"/>
    <x v="1"/>
    <x v="3823"/>
    <x v="3880"/>
    <x v="241"/>
    <x v="0"/>
    <x v="1"/>
    <x v="4"/>
    <x v="213"/>
    <x v="10"/>
    <x v="455"/>
    <x v="22"/>
    <x v="1"/>
    <x v="1"/>
  </r>
  <r>
    <x v="0"/>
    <x v="727"/>
    <x v="428"/>
    <x v="78"/>
    <x v="124"/>
    <x v="370"/>
    <x v="591"/>
    <x v="4"/>
    <x v="219"/>
    <x v="1144"/>
    <x v="2288"/>
    <x v="2707"/>
    <x v="3878"/>
    <x v="3860"/>
    <x v="3393"/>
    <x v="0"/>
    <x v="3824"/>
    <x v="3881"/>
    <x v="724"/>
    <x v="0"/>
    <x v="4"/>
    <x v="4"/>
    <x v="4"/>
    <x v="17"/>
    <x v="654"/>
    <x v="22"/>
    <x v="1"/>
    <x v="150"/>
  </r>
  <r>
    <x v="0"/>
    <x v="1730"/>
    <x v="385"/>
    <x v="60"/>
    <x v="0"/>
    <x v="458"/>
    <x v="377"/>
    <x v="4"/>
    <x v="457"/>
    <x v="690"/>
    <x v="2289"/>
    <x v="2708"/>
    <x v="3879"/>
    <x v="3861"/>
    <x v="3408"/>
    <x v="0"/>
    <x v="3825"/>
    <x v="3882"/>
    <x v="416"/>
    <x v="9"/>
    <x v="21"/>
    <x v="1"/>
    <x v="213"/>
    <x v="9"/>
    <x v="767"/>
    <x v="7"/>
    <x v="2"/>
    <x v="462"/>
  </r>
  <r>
    <x v="0"/>
    <x v="1731"/>
    <x v="384"/>
    <x v="168"/>
    <x v="0"/>
    <x v="691"/>
    <x v="411"/>
    <x v="4"/>
    <x v="797"/>
    <x v="754"/>
    <x v="2290"/>
    <x v="2709"/>
    <x v="3880"/>
    <x v="3862"/>
    <x v="3409"/>
    <x v="0"/>
    <x v="3826"/>
    <x v="3883"/>
    <x v="756"/>
    <x v="0"/>
    <x v="0"/>
    <x v="2"/>
    <x v="213"/>
    <x v="36"/>
    <x v="560"/>
    <x v="32"/>
    <x v="1"/>
    <x v="1"/>
  </r>
  <r>
    <x v="0"/>
    <x v="1732"/>
    <x v="413"/>
    <x v="41"/>
    <x v="111"/>
    <x v="531"/>
    <x v="716"/>
    <x v="3466"/>
    <x v="260"/>
    <x v="1502"/>
    <x v="2291"/>
    <x v="2710"/>
    <x v="3881"/>
    <x v="3863"/>
    <x v="3410"/>
    <x v="3"/>
    <x v="4"/>
    <x v="3884"/>
    <x v="822"/>
    <x v="0"/>
    <x v="4"/>
    <x v="4"/>
    <x v="213"/>
    <x v="3"/>
    <x v="604"/>
    <x v="31"/>
    <x v="1"/>
    <x v="346"/>
  </r>
  <r>
    <x v="1"/>
    <x v="1733"/>
    <x v="311"/>
    <x v="45"/>
    <x v="398"/>
    <x v="597"/>
    <x v="672"/>
    <x v="4"/>
    <x v="269"/>
    <x v="1503"/>
    <x v="2292"/>
    <x v="2711"/>
    <x v="3882"/>
    <x v="3864"/>
    <x v="3411"/>
    <x v="1"/>
    <x v="3827"/>
    <x v="3885"/>
    <x v="327"/>
    <x v="0"/>
    <x v="0"/>
    <x v="17"/>
    <x v="314"/>
    <x v="70"/>
    <x v="4"/>
    <x v="6"/>
    <x v="20"/>
    <x v="238"/>
  </r>
  <r>
    <x v="0"/>
    <x v="1734"/>
    <x v="489"/>
    <x v="33"/>
    <x v="0"/>
    <x v="136"/>
    <x v="77"/>
    <x v="4"/>
    <x v="105"/>
    <x v="475"/>
    <x v="1748"/>
    <x v="2712"/>
    <x v="3883"/>
    <x v="3865"/>
    <x v="2507"/>
    <x v="7"/>
    <x v="3828"/>
    <x v="3886"/>
    <x v="786"/>
    <x v="0"/>
    <x v="0"/>
    <x v="1"/>
    <x v="213"/>
    <x v="1"/>
    <x v="96"/>
    <x v="4"/>
    <x v="3"/>
    <x v="175"/>
  </r>
  <r>
    <x v="0"/>
    <x v="711"/>
    <x v="347"/>
    <x v="41"/>
    <x v="122"/>
    <x v="385"/>
    <x v="717"/>
    <x v="4"/>
    <x v="429"/>
    <x v="1504"/>
    <x v="2293"/>
    <x v="2713"/>
    <x v="3884"/>
    <x v="3866"/>
    <x v="3412"/>
    <x v="4"/>
    <x v="3829"/>
    <x v="3887"/>
    <x v="654"/>
    <x v="0"/>
    <x v="0"/>
    <x v="4"/>
    <x v="213"/>
    <x v="6"/>
    <x v="398"/>
    <x v="55"/>
    <x v="1"/>
    <x v="1"/>
  </r>
  <r>
    <x v="0"/>
    <x v="1735"/>
    <x v="499"/>
    <x v="95"/>
    <x v="174"/>
    <x v="632"/>
    <x v="593"/>
    <x v="4"/>
    <x v="381"/>
    <x v="1505"/>
    <x v="2294"/>
    <x v="2714"/>
    <x v="3885"/>
    <x v="3867"/>
    <x v="2980"/>
    <x v="1"/>
    <x v="3830"/>
    <x v="3888"/>
    <x v="780"/>
    <x v="0"/>
    <x v="5"/>
    <x v="4"/>
    <x v="4"/>
    <x v="0"/>
    <x v="862"/>
    <x v="10"/>
    <x v="1"/>
    <x v="1"/>
  </r>
  <r>
    <x v="0"/>
    <x v="1439"/>
    <x v="369"/>
    <x v="113"/>
    <x v="371"/>
    <x v="342"/>
    <x v="718"/>
    <x v="4"/>
    <x v="429"/>
    <x v="1506"/>
    <x v="2295"/>
    <x v="2715"/>
    <x v="3886"/>
    <x v="3868"/>
    <x v="3413"/>
    <x v="0"/>
    <x v="3831"/>
    <x v="3889"/>
    <x v="732"/>
    <x v="0"/>
    <x v="0"/>
    <x v="4"/>
    <x v="213"/>
    <x v="3"/>
    <x v="685"/>
    <x v="39"/>
    <x v="2"/>
    <x v="141"/>
  </r>
  <r>
    <x v="0"/>
    <x v="1736"/>
    <x v="320"/>
    <x v="95"/>
    <x v="198"/>
    <x v="279"/>
    <x v="660"/>
    <x v="4"/>
    <x v="127"/>
    <x v="1507"/>
    <x v="1216"/>
    <x v="2716"/>
    <x v="3887"/>
    <x v="3869"/>
    <x v="3414"/>
    <x v="4"/>
    <x v="4"/>
    <x v="3890"/>
    <x v="854"/>
    <x v="0"/>
    <x v="0"/>
    <x v="8"/>
    <x v="213"/>
    <x v="3"/>
    <x v="318"/>
    <x v="22"/>
    <x v="0"/>
    <x v="702"/>
  </r>
  <r>
    <x v="0"/>
    <x v="1737"/>
    <x v="320"/>
    <x v="50"/>
    <x v="399"/>
    <x v="180"/>
    <x v="46"/>
    <x v="4"/>
    <x v="798"/>
    <x v="1508"/>
    <x v="2036"/>
    <x v="2717"/>
    <x v="3888"/>
    <x v="3870"/>
    <x v="3415"/>
    <x v="1"/>
    <x v="3832"/>
    <x v="3891"/>
    <x v="83"/>
    <x v="0"/>
    <x v="26"/>
    <x v="2"/>
    <x v="213"/>
    <x v="11"/>
    <x v="526"/>
    <x v="55"/>
    <x v="2"/>
    <x v="389"/>
  </r>
  <r>
    <x v="0"/>
    <x v="204"/>
    <x v="93"/>
    <x v="8"/>
    <x v="144"/>
    <x v="246"/>
    <x v="2"/>
    <x v="4"/>
    <x v="172"/>
    <x v="130"/>
    <x v="109"/>
    <x v="314"/>
    <x v="363"/>
    <x v="3871"/>
    <x v="252"/>
    <x v="4"/>
    <x v="2555"/>
    <x v="363"/>
    <x v="326"/>
    <x v="0"/>
    <x v="0"/>
    <x v="0"/>
    <x v="32"/>
    <x v="6"/>
    <x v="529"/>
    <x v="19"/>
    <x v="1"/>
    <x v="1"/>
  </r>
  <r>
    <x v="0"/>
    <x v="1568"/>
    <x v="219"/>
    <x v="60"/>
    <x v="101"/>
    <x v="393"/>
    <x v="382"/>
    <x v="4"/>
    <x v="406"/>
    <x v="1422"/>
    <x v="2296"/>
    <x v="2718"/>
    <x v="3889"/>
    <x v="3872"/>
    <x v="1212"/>
    <x v="0"/>
    <x v="3833"/>
    <x v="3892"/>
    <x v="713"/>
    <x v="0"/>
    <x v="1"/>
    <x v="11"/>
    <x v="126"/>
    <x v="71"/>
    <x v="73"/>
    <x v="0"/>
    <x v="10"/>
    <x v="43"/>
  </r>
  <r>
    <x v="0"/>
    <x v="859"/>
    <x v="331"/>
    <x v="61"/>
    <x v="0"/>
    <x v="885"/>
    <x v="22"/>
    <x v="4"/>
    <x v="17"/>
    <x v="226"/>
    <x v="727"/>
    <x v="2719"/>
    <x v="3890"/>
    <x v="3873"/>
    <x v="3416"/>
    <x v="0"/>
    <x v="3834"/>
    <x v="3893"/>
    <x v="664"/>
    <x v="0"/>
    <x v="0"/>
    <x v="4"/>
    <x v="315"/>
    <x v="46"/>
    <x v="436"/>
    <x v="14"/>
    <x v="3"/>
    <x v="16"/>
  </r>
  <r>
    <x v="0"/>
    <x v="1738"/>
    <x v="271"/>
    <x v="177"/>
    <x v="293"/>
    <x v="644"/>
    <x v="533"/>
    <x v="3467"/>
    <x v="153"/>
    <x v="1509"/>
    <x v="2297"/>
    <x v="2720"/>
    <x v="3891"/>
    <x v="3874"/>
    <x v="3332"/>
    <x v="1"/>
    <x v="3835"/>
    <x v="3894"/>
    <x v="177"/>
    <x v="0"/>
    <x v="0"/>
    <x v="3"/>
    <x v="316"/>
    <x v="72"/>
    <x v="714"/>
    <x v="17"/>
    <x v="15"/>
    <x v="37"/>
  </r>
  <r>
    <x v="0"/>
    <x v="1739"/>
    <x v="308"/>
    <x v="27"/>
    <x v="123"/>
    <x v="455"/>
    <x v="719"/>
    <x v="3468"/>
    <x v="113"/>
    <x v="1510"/>
    <x v="2298"/>
    <x v="2721"/>
    <x v="3892"/>
    <x v="3875"/>
    <x v="2738"/>
    <x v="0"/>
    <x v="3836"/>
    <x v="3895"/>
    <x v="896"/>
    <x v="0"/>
    <x v="1"/>
    <x v="0"/>
    <x v="213"/>
    <x v="11"/>
    <x v="598"/>
    <x v="19"/>
    <x v="1"/>
    <x v="1"/>
  </r>
  <r>
    <x v="0"/>
    <x v="1563"/>
    <x v="302"/>
    <x v="49"/>
    <x v="98"/>
    <x v="434"/>
    <x v="349"/>
    <x v="3469"/>
    <x v="799"/>
    <x v="630"/>
    <x v="2299"/>
    <x v="2722"/>
    <x v="3893"/>
    <x v="3876"/>
    <x v="1228"/>
    <x v="4"/>
    <x v="3837"/>
    <x v="3896"/>
    <x v="450"/>
    <x v="0"/>
    <x v="0"/>
    <x v="11"/>
    <x v="315"/>
    <x v="52"/>
    <x v="435"/>
    <x v="2"/>
    <x v="1"/>
    <x v="477"/>
  </r>
  <r>
    <x v="0"/>
    <x v="1740"/>
    <x v="93"/>
    <x v="80"/>
    <x v="216"/>
    <x v="880"/>
    <x v="178"/>
    <x v="4"/>
    <x v="270"/>
    <x v="337"/>
    <x v="1274"/>
    <x v="2615"/>
    <x v="3894"/>
    <x v="3877"/>
    <x v="1481"/>
    <x v="3"/>
    <x v="3838"/>
    <x v="3897"/>
    <x v="843"/>
    <x v="0"/>
    <x v="0"/>
    <x v="4"/>
    <x v="4"/>
    <x v="0"/>
    <x v="117"/>
    <x v="11"/>
    <x v="3"/>
    <x v="703"/>
  </r>
  <r>
    <x v="0"/>
    <x v="1741"/>
    <x v="152"/>
    <x v="86"/>
    <x v="192"/>
    <x v="666"/>
    <x v="210"/>
    <x v="2117"/>
    <x v="800"/>
    <x v="1511"/>
    <x v="2300"/>
    <x v="2723"/>
    <x v="3895"/>
    <x v="3878"/>
    <x v="3417"/>
    <x v="0"/>
    <x v="3839"/>
    <x v="3898"/>
    <x v="129"/>
    <x v="0"/>
    <x v="0"/>
    <x v="17"/>
    <x v="317"/>
    <x v="73"/>
    <x v="490"/>
    <x v="15"/>
    <x v="15"/>
    <x v="704"/>
  </r>
  <r>
    <x v="0"/>
    <x v="1742"/>
    <x v="161"/>
    <x v="55"/>
    <x v="65"/>
    <x v="278"/>
    <x v="720"/>
    <x v="3470"/>
    <x v="539"/>
    <x v="1512"/>
    <x v="181"/>
    <x v="2724"/>
    <x v="3896"/>
    <x v="3879"/>
    <x v="3418"/>
    <x v="0"/>
    <x v="3840"/>
    <x v="3899"/>
    <x v="627"/>
    <x v="0"/>
    <x v="1"/>
    <x v="4"/>
    <x v="4"/>
    <x v="5"/>
    <x v="123"/>
    <x v="11"/>
    <x v="3"/>
    <x v="16"/>
  </r>
  <r>
    <x v="0"/>
    <x v="1743"/>
    <x v="372"/>
    <x v="69"/>
    <x v="85"/>
    <x v="670"/>
    <x v="721"/>
    <x v="4"/>
    <x v="270"/>
    <x v="1513"/>
    <x v="2301"/>
    <x v="2725"/>
    <x v="3897"/>
    <x v="3880"/>
    <x v="1265"/>
    <x v="1"/>
    <x v="3841"/>
    <x v="3900"/>
    <x v="816"/>
    <x v="30"/>
    <x v="49"/>
    <x v="4"/>
    <x v="83"/>
    <x v="12"/>
    <x v="779"/>
    <x v="7"/>
    <x v="1"/>
    <x v="705"/>
  </r>
  <r>
    <x v="0"/>
    <x v="1744"/>
    <x v="239"/>
    <x v="54"/>
    <x v="262"/>
    <x v="145"/>
    <x v="168"/>
    <x v="3471"/>
    <x v="539"/>
    <x v="314"/>
    <x v="1057"/>
    <x v="2021"/>
    <x v="3898"/>
    <x v="3881"/>
    <x v="3419"/>
    <x v="0"/>
    <x v="3842"/>
    <x v="3901"/>
    <x v="129"/>
    <x v="0"/>
    <x v="4"/>
    <x v="4"/>
    <x v="209"/>
    <x v="0"/>
    <x v="574"/>
    <x v="2"/>
    <x v="1"/>
    <x v="1"/>
  </r>
  <r>
    <x v="0"/>
    <x v="1745"/>
    <x v="438"/>
    <x v="58"/>
    <x v="282"/>
    <x v="358"/>
    <x v="722"/>
    <x v="3472"/>
    <x v="801"/>
    <x v="1514"/>
    <x v="2302"/>
    <x v="2726"/>
    <x v="3899"/>
    <x v="3882"/>
    <x v="3188"/>
    <x v="0"/>
    <x v="3843"/>
    <x v="3902"/>
    <x v="487"/>
    <x v="0"/>
    <x v="0"/>
    <x v="11"/>
    <x v="318"/>
    <x v="74"/>
    <x v="489"/>
    <x v="1"/>
    <x v="15"/>
    <x v="327"/>
  </r>
  <r>
    <x v="0"/>
    <x v="1746"/>
    <x v="258"/>
    <x v="77"/>
    <x v="195"/>
    <x v="607"/>
    <x v="212"/>
    <x v="3473"/>
    <x v="270"/>
    <x v="1515"/>
    <x v="2303"/>
    <x v="1009"/>
    <x v="3900"/>
    <x v="3883"/>
    <x v="3420"/>
    <x v="4"/>
    <x v="3844"/>
    <x v="3903"/>
    <x v="792"/>
    <x v="0"/>
    <x v="27"/>
    <x v="4"/>
    <x v="315"/>
    <x v="0"/>
    <x v="863"/>
    <x v="8"/>
    <x v="1"/>
    <x v="1"/>
  </r>
  <r>
    <x v="0"/>
    <x v="999"/>
    <x v="356"/>
    <x v="56"/>
    <x v="89"/>
    <x v="446"/>
    <x v="22"/>
    <x v="3474"/>
    <x v="200"/>
    <x v="78"/>
    <x v="622"/>
    <x v="650"/>
    <x v="3901"/>
    <x v="3884"/>
    <x v="3421"/>
    <x v="0"/>
    <x v="3845"/>
    <x v="3904"/>
    <x v="497"/>
    <x v="0"/>
    <x v="1"/>
    <x v="4"/>
    <x v="126"/>
    <x v="7"/>
    <x v="387"/>
    <x v="8"/>
    <x v="3"/>
    <x v="1"/>
  </r>
  <r>
    <x v="0"/>
    <x v="444"/>
    <x v="165"/>
    <x v="18"/>
    <x v="241"/>
    <x v="429"/>
    <x v="21"/>
    <x v="1176"/>
    <x v="83"/>
    <x v="22"/>
    <x v="273"/>
    <x v="985"/>
    <x v="1221"/>
    <x v="3885"/>
    <x v="3422"/>
    <x v="3"/>
    <x v="1213"/>
    <x v="1221"/>
    <x v="576"/>
    <x v="0"/>
    <x v="1"/>
    <x v="0"/>
    <x v="116"/>
    <x v="10"/>
    <x v="451"/>
    <x v="8"/>
    <x v="1"/>
    <x v="5"/>
  </r>
  <r>
    <x v="0"/>
    <x v="113"/>
    <x v="398"/>
    <x v="111"/>
    <x v="88"/>
    <x v="582"/>
    <x v="151"/>
    <x v="4"/>
    <x v="638"/>
    <x v="1037"/>
    <x v="2304"/>
    <x v="2727"/>
    <x v="3902"/>
    <x v="3886"/>
    <x v="3423"/>
    <x v="7"/>
    <x v="3846"/>
    <x v="3905"/>
    <x v="568"/>
    <x v="0"/>
    <x v="0"/>
    <x v="6"/>
    <x v="4"/>
    <x v="4"/>
    <x v="831"/>
    <x v="26"/>
    <x v="9"/>
    <x v="1"/>
  </r>
  <r>
    <x v="1"/>
    <x v="828"/>
    <x v="343"/>
    <x v="18"/>
    <x v="161"/>
    <x v="37"/>
    <x v="626"/>
    <x v="4"/>
    <x v="270"/>
    <x v="1516"/>
    <x v="2305"/>
    <x v="2728"/>
    <x v="3903"/>
    <x v="3887"/>
    <x v="3424"/>
    <x v="4"/>
    <x v="3847"/>
    <x v="3906"/>
    <x v="709"/>
    <x v="0"/>
    <x v="0"/>
    <x v="14"/>
    <x v="309"/>
    <x v="50"/>
    <x v="646"/>
    <x v="0"/>
    <x v="3"/>
    <x v="1"/>
  </r>
  <r>
    <x v="0"/>
    <x v="1135"/>
    <x v="270"/>
    <x v="43"/>
    <x v="31"/>
    <x v="817"/>
    <x v="0"/>
    <x v="3475"/>
    <x v="379"/>
    <x v="384"/>
    <x v="581"/>
    <x v="2729"/>
    <x v="3904"/>
    <x v="3888"/>
    <x v="504"/>
    <x v="3"/>
    <x v="3848"/>
    <x v="3907"/>
    <x v="149"/>
    <x v="0"/>
    <x v="1"/>
    <x v="4"/>
    <x v="209"/>
    <x v="13"/>
    <x v="371"/>
    <x v="13"/>
    <x v="3"/>
    <x v="1"/>
  </r>
  <r>
    <x v="0"/>
    <x v="1747"/>
    <x v="295"/>
    <x v="76"/>
    <x v="400"/>
    <x v="461"/>
    <x v="306"/>
    <x v="3476"/>
    <x v="125"/>
    <x v="1517"/>
    <x v="2306"/>
    <x v="2730"/>
    <x v="3905"/>
    <x v="3889"/>
    <x v="3425"/>
    <x v="0"/>
    <x v="3849"/>
    <x v="3908"/>
    <x v="938"/>
    <x v="0"/>
    <x v="0"/>
    <x v="2"/>
    <x v="209"/>
    <x v="35"/>
    <x v="435"/>
    <x v="6"/>
    <x v="3"/>
    <x v="37"/>
  </r>
  <r>
    <x v="0"/>
    <x v="1748"/>
    <x v="492"/>
    <x v="76"/>
    <x v="216"/>
    <x v="423"/>
    <x v="35"/>
    <x v="4"/>
    <x v="3"/>
    <x v="504"/>
    <x v="389"/>
    <x v="2731"/>
    <x v="3906"/>
    <x v="3890"/>
    <x v="3426"/>
    <x v="3"/>
    <x v="3850"/>
    <x v="3909"/>
    <x v="792"/>
    <x v="0"/>
    <x v="0"/>
    <x v="4"/>
    <x v="240"/>
    <x v="2"/>
    <x v="261"/>
    <x v="58"/>
    <x v="8"/>
    <x v="706"/>
  </r>
  <r>
    <x v="1"/>
    <x v="273"/>
    <x v="393"/>
    <x v="55"/>
    <x v="70"/>
    <x v="271"/>
    <x v="327"/>
    <x v="3477"/>
    <x v="200"/>
    <x v="624"/>
    <x v="1797"/>
    <x v="2732"/>
    <x v="3907"/>
    <x v="3891"/>
    <x v="3427"/>
    <x v="1"/>
    <x v="3851"/>
    <x v="3910"/>
    <x v="486"/>
    <x v="0"/>
    <x v="0"/>
    <x v="4"/>
    <x v="209"/>
    <x v="16"/>
    <x v="184"/>
    <x v="11"/>
    <x v="3"/>
    <x v="60"/>
  </r>
  <r>
    <x v="0"/>
    <x v="242"/>
    <x v="419"/>
    <x v="55"/>
    <x v="163"/>
    <x v="877"/>
    <x v="54"/>
    <x v="3477"/>
    <x v="168"/>
    <x v="96"/>
    <x v="2307"/>
    <x v="2733"/>
    <x v="3908"/>
    <x v="3892"/>
    <x v="3428"/>
    <x v="4"/>
    <x v="3852"/>
    <x v="3911"/>
    <x v="793"/>
    <x v="0"/>
    <x v="0"/>
    <x v="4"/>
    <x v="209"/>
    <x v="27"/>
    <x v="864"/>
    <x v="7"/>
    <x v="3"/>
    <x v="1"/>
  </r>
  <r>
    <x v="0"/>
    <x v="113"/>
    <x v="417"/>
    <x v="142"/>
    <x v="88"/>
    <x v="819"/>
    <x v="138"/>
    <x v="4"/>
    <x v="419"/>
    <x v="1518"/>
    <x v="310"/>
    <x v="1971"/>
    <x v="3909"/>
    <x v="3893"/>
    <x v="3429"/>
    <x v="4"/>
    <x v="3853"/>
    <x v="3912"/>
    <x v="578"/>
    <x v="0"/>
    <x v="0"/>
    <x v="5"/>
    <x v="4"/>
    <x v="4"/>
    <x v="210"/>
    <x v="6"/>
    <x v="12"/>
    <x v="57"/>
  </r>
  <r>
    <x v="0"/>
    <x v="1749"/>
    <x v="299"/>
    <x v="79"/>
    <x v="123"/>
    <x v="661"/>
    <x v="22"/>
    <x v="3478"/>
    <x v="499"/>
    <x v="639"/>
    <x v="613"/>
    <x v="2734"/>
    <x v="3910"/>
    <x v="3894"/>
    <x v="2399"/>
    <x v="0"/>
    <x v="3854"/>
    <x v="3913"/>
    <x v="173"/>
    <x v="0"/>
    <x v="0"/>
    <x v="4"/>
    <x v="209"/>
    <x v="42"/>
    <x v="382"/>
    <x v="19"/>
    <x v="3"/>
    <x v="103"/>
  </r>
  <r>
    <x v="0"/>
    <x v="1563"/>
    <x v="308"/>
    <x v="61"/>
    <x v="98"/>
    <x v="357"/>
    <x v="723"/>
    <x v="4"/>
    <x v="802"/>
    <x v="1519"/>
    <x v="888"/>
    <x v="2492"/>
    <x v="3911"/>
    <x v="3895"/>
    <x v="518"/>
    <x v="4"/>
    <x v="3855"/>
    <x v="3914"/>
    <x v="496"/>
    <x v="0"/>
    <x v="0"/>
    <x v="4"/>
    <x v="319"/>
    <x v="48"/>
    <x v="116"/>
    <x v="11"/>
    <x v="3"/>
    <x v="625"/>
  </r>
  <r>
    <x v="1"/>
    <x v="1750"/>
    <x v="212"/>
    <x v="90"/>
    <x v="241"/>
    <x v="719"/>
    <x v="724"/>
    <x v="4"/>
    <x v="597"/>
    <x v="1520"/>
    <x v="465"/>
    <x v="2735"/>
    <x v="3912"/>
    <x v="3896"/>
    <x v="3430"/>
    <x v="1"/>
    <x v="3856"/>
    <x v="3915"/>
    <x v="528"/>
    <x v="0"/>
    <x v="0"/>
    <x v="11"/>
    <x v="209"/>
    <x v="58"/>
    <x v="304"/>
    <x v="25"/>
    <x v="1"/>
    <x v="1"/>
  </r>
  <r>
    <x v="0"/>
    <x v="1568"/>
    <x v="429"/>
    <x v="36"/>
    <x v="101"/>
    <x v="503"/>
    <x v="368"/>
    <x v="4"/>
    <x v="270"/>
    <x v="1521"/>
    <x v="2308"/>
    <x v="2736"/>
    <x v="3913"/>
    <x v="3897"/>
    <x v="1711"/>
    <x v="0"/>
    <x v="3857"/>
    <x v="3916"/>
    <x v="536"/>
    <x v="0"/>
    <x v="0"/>
    <x v="9"/>
    <x v="209"/>
    <x v="64"/>
    <x v="642"/>
    <x v="32"/>
    <x v="0"/>
    <x v="397"/>
  </r>
  <r>
    <x v="0"/>
    <x v="1045"/>
    <x v="417"/>
    <x v="61"/>
    <x v="188"/>
    <x v="723"/>
    <x v="472"/>
    <x v="4"/>
    <x v="80"/>
    <x v="873"/>
    <x v="1297"/>
    <x v="2737"/>
    <x v="3914"/>
    <x v="3898"/>
    <x v="2797"/>
    <x v="1"/>
    <x v="3858"/>
    <x v="3917"/>
    <x v="169"/>
    <x v="0"/>
    <x v="0"/>
    <x v="9"/>
    <x v="209"/>
    <x v="71"/>
    <x v="670"/>
    <x v="15"/>
    <x v="1"/>
    <x v="169"/>
  </r>
  <r>
    <x v="0"/>
    <x v="931"/>
    <x v="382"/>
    <x v="38"/>
    <x v="17"/>
    <x v="266"/>
    <x v="725"/>
    <x v="4"/>
    <x v="582"/>
    <x v="1522"/>
    <x v="1175"/>
    <x v="2738"/>
    <x v="3915"/>
    <x v="3899"/>
    <x v="3431"/>
    <x v="0"/>
    <x v="3859"/>
    <x v="3918"/>
    <x v="614"/>
    <x v="0"/>
    <x v="1"/>
    <x v="4"/>
    <x v="126"/>
    <x v="36"/>
    <x v="627"/>
    <x v="7"/>
    <x v="3"/>
    <x v="1"/>
  </r>
  <r>
    <x v="0"/>
    <x v="1751"/>
    <x v="522"/>
    <x v="80"/>
    <x v="188"/>
    <x v="146"/>
    <x v="45"/>
    <x v="3479"/>
    <x v="364"/>
    <x v="1478"/>
    <x v="2309"/>
    <x v="177"/>
    <x v="3916"/>
    <x v="3900"/>
    <x v="3250"/>
    <x v="0"/>
    <x v="3860"/>
    <x v="3919"/>
    <x v="530"/>
    <x v="0"/>
    <x v="0"/>
    <x v="4"/>
    <x v="209"/>
    <x v="2"/>
    <x v="697"/>
    <x v="2"/>
    <x v="10"/>
    <x v="132"/>
  </r>
  <r>
    <x v="0"/>
    <x v="1752"/>
    <x v="307"/>
    <x v="41"/>
    <x v="0"/>
    <x v="173"/>
    <x v="219"/>
    <x v="3480"/>
    <x v="125"/>
    <x v="1523"/>
    <x v="2310"/>
    <x v="2739"/>
    <x v="3917"/>
    <x v="3901"/>
    <x v="3432"/>
    <x v="4"/>
    <x v="3861"/>
    <x v="3920"/>
    <x v="785"/>
    <x v="0"/>
    <x v="0"/>
    <x v="4"/>
    <x v="209"/>
    <x v="20"/>
    <x v="747"/>
    <x v="65"/>
    <x v="3"/>
    <x v="707"/>
  </r>
  <r>
    <x v="0"/>
    <x v="1734"/>
    <x v="425"/>
    <x v="45"/>
    <x v="0"/>
    <x v="180"/>
    <x v="402"/>
    <x v="3481"/>
    <x v="105"/>
    <x v="1524"/>
    <x v="2311"/>
    <x v="2740"/>
    <x v="3918"/>
    <x v="3902"/>
    <x v="2727"/>
    <x v="4"/>
    <x v="3862"/>
    <x v="3921"/>
    <x v="465"/>
    <x v="0"/>
    <x v="0"/>
    <x v="4"/>
    <x v="209"/>
    <x v="25"/>
    <x v="856"/>
    <x v="9"/>
    <x v="3"/>
    <x v="631"/>
  </r>
  <r>
    <x v="1"/>
    <x v="111"/>
    <x v="238"/>
    <x v="72"/>
    <x v="87"/>
    <x v="644"/>
    <x v="22"/>
    <x v="3482"/>
    <x v="113"/>
    <x v="240"/>
    <x v="2312"/>
    <x v="2741"/>
    <x v="3919"/>
    <x v="3903"/>
    <x v="3433"/>
    <x v="4"/>
    <x v="3863"/>
    <x v="3922"/>
    <x v="453"/>
    <x v="0"/>
    <x v="0"/>
    <x v="4"/>
    <x v="209"/>
    <x v="20"/>
    <x v="409"/>
    <x v="7"/>
    <x v="1"/>
    <x v="1"/>
  </r>
  <r>
    <x v="0"/>
    <x v="889"/>
    <x v="180"/>
    <x v="74"/>
    <x v="319"/>
    <x v="570"/>
    <x v="93"/>
    <x v="3483"/>
    <x v="150"/>
    <x v="1525"/>
    <x v="2313"/>
    <x v="2742"/>
    <x v="3920"/>
    <x v="3904"/>
    <x v="552"/>
    <x v="0"/>
    <x v="3864"/>
    <x v="3923"/>
    <x v="444"/>
    <x v="6"/>
    <x v="52"/>
    <x v="4"/>
    <x v="126"/>
    <x v="0"/>
    <x v="865"/>
    <x v="17"/>
    <x v="1"/>
    <x v="0"/>
  </r>
  <r>
    <x v="0"/>
    <x v="233"/>
    <x v="141"/>
    <x v="101"/>
    <x v="0"/>
    <x v="666"/>
    <x v="0"/>
    <x v="4"/>
    <x v="429"/>
    <x v="964"/>
    <x v="1505"/>
    <x v="1794"/>
    <x v="2439"/>
    <x v="3905"/>
    <x v="2170"/>
    <x v="1"/>
    <x v="2419"/>
    <x v="2439"/>
    <x v="315"/>
    <x v="0"/>
    <x v="0"/>
    <x v="10"/>
    <x v="209"/>
    <x v="39"/>
    <x v="235"/>
    <x v="13"/>
    <x v="3"/>
    <x v="67"/>
  </r>
  <r>
    <x v="0"/>
    <x v="1753"/>
    <x v="193"/>
    <x v="50"/>
    <x v="44"/>
    <x v="629"/>
    <x v="231"/>
    <x v="4"/>
    <x v="381"/>
    <x v="1526"/>
    <x v="2314"/>
    <x v="2743"/>
    <x v="3921"/>
    <x v="3906"/>
    <x v="3434"/>
    <x v="1"/>
    <x v="3865"/>
    <x v="3924"/>
    <x v="802"/>
    <x v="0"/>
    <x v="0"/>
    <x v="4"/>
    <x v="4"/>
    <x v="8"/>
    <x v="821"/>
    <x v="30"/>
    <x v="3"/>
    <x v="381"/>
  </r>
  <r>
    <x v="0"/>
    <x v="6"/>
    <x v="153"/>
    <x v="178"/>
    <x v="0"/>
    <x v="726"/>
    <x v="522"/>
    <x v="3484"/>
    <x v="499"/>
    <x v="1527"/>
    <x v="2315"/>
    <x v="2744"/>
    <x v="3922"/>
    <x v="3907"/>
    <x v="3435"/>
    <x v="0"/>
    <x v="3866"/>
    <x v="3925"/>
    <x v="648"/>
    <x v="0"/>
    <x v="0"/>
    <x v="14"/>
    <x v="309"/>
    <x v="42"/>
    <x v="550"/>
    <x v="6"/>
    <x v="3"/>
    <x v="1"/>
  </r>
  <r>
    <x v="0"/>
    <x v="1754"/>
    <x v="308"/>
    <x v="113"/>
    <x v="0"/>
    <x v="205"/>
    <x v="726"/>
    <x v="3485"/>
    <x v="803"/>
    <x v="1528"/>
    <x v="1238"/>
    <x v="2745"/>
    <x v="3923"/>
    <x v="3908"/>
    <x v="3436"/>
    <x v="0"/>
    <x v="3867"/>
    <x v="3926"/>
    <x v="104"/>
    <x v="0"/>
    <x v="0"/>
    <x v="0"/>
    <x v="119"/>
    <x v="18"/>
    <x v="432"/>
    <x v="31"/>
    <x v="3"/>
    <x v="1"/>
  </r>
  <r>
    <x v="0"/>
    <x v="1755"/>
    <x v="296"/>
    <x v="55"/>
    <x v="210"/>
    <x v="865"/>
    <x v="235"/>
    <x v="4"/>
    <x v="429"/>
    <x v="431"/>
    <x v="1115"/>
    <x v="2746"/>
    <x v="3924"/>
    <x v="3909"/>
    <x v="3437"/>
    <x v="0"/>
    <x v="3868"/>
    <x v="3927"/>
    <x v="651"/>
    <x v="0"/>
    <x v="0"/>
    <x v="5"/>
    <x v="138"/>
    <x v="9"/>
    <x v="294"/>
    <x v="47"/>
    <x v="0"/>
    <x v="526"/>
  </r>
  <r>
    <x v="0"/>
    <x v="1756"/>
    <x v="347"/>
    <x v="11"/>
    <x v="188"/>
    <x v="567"/>
    <x v="436"/>
    <x v="3486"/>
    <x v="433"/>
    <x v="1529"/>
    <x v="2316"/>
    <x v="2747"/>
    <x v="3925"/>
    <x v="3910"/>
    <x v="1265"/>
    <x v="0"/>
    <x v="3869"/>
    <x v="3928"/>
    <x v="803"/>
    <x v="6"/>
    <x v="12"/>
    <x v="4"/>
    <x v="209"/>
    <x v="20"/>
    <x v="866"/>
    <x v="2"/>
    <x v="3"/>
    <x v="615"/>
  </r>
  <r>
    <x v="0"/>
    <x v="1757"/>
    <x v="523"/>
    <x v="33"/>
    <x v="69"/>
    <x v="597"/>
    <x v="242"/>
    <x v="3487"/>
    <x v="804"/>
    <x v="1530"/>
    <x v="2317"/>
    <x v="2748"/>
    <x v="3926"/>
    <x v="3911"/>
    <x v="2202"/>
    <x v="0"/>
    <x v="3870"/>
    <x v="3929"/>
    <x v="614"/>
    <x v="33"/>
    <x v="37"/>
    <x v="0"/>
    <x v="320"/>
    <x v="5"/>
    <x v="231"/>
    <x v="15"/>
    <x v="3"/>
    <x v="58"/>
  </r>
  <r>
    <x v="0"/>
    <x v="1758"/>
    <x v="421"/>
    <x v="59"/>
    <x v="0"/>
    <x v="248"/>
    <x v="93"/>
    <x v="3488"/>
    <x v="127"/>
    <x v="165"/>
    <x v="51"/>
    <x v="320"/>
    <x v="3927"/>
    <x v="3912"/>
    <x v="3438"/>
    <x v="3"/>
    <x v="3871"/>
    <x v="3930"/>
    <x v="343"/>
    <x v="0"/>
    <x v="0"/>
    <x v="4"/>
    <x v="209"/>
    <x v="7"/>
    <x v="40"/>
    <x v="12"/>
    <x v="3"/>
    <x v="708"/>
  </r>
  <r>
    <x v="0"/>
    <x v="409"/>
    <x v="220"/>
    <x v="58"/>
    <x v="228"/>
    <x v="841"/>
    <x v="40"/>
    <x v="833"/>
    <x v="148"/>
    <x v="189"/>
    <x v="618"/>
    <x v="334"/>
    <x v="862"/>
    <x v="3913"/>
    <x v="2087"/>
    <x v="2"/>
    <x v="857"/>
    <x v="862"/>
    <x v="488"/>
    <x v="0"/>
    <x v="0"/>
    <x v="4"/>
    <x v="76"/>
    <x v="3"/>
    <x v="381"/>
    <x v="20"/>
    <x v="1"/>
    <x v="61"/>
  </r>
  <r>
    <x v="0"/>
    <x v="1759"/>
    <x v="401"/>
    <x v="42"/>
    <x v="134"/>
    <x v="417"/>
    <x v="2"/>
    <x v="3489"/>
    <x v="200"/>
    <x v="336"/>
    <x v="229"/>
    <x v="1786"/>
    <x v="3928"/>
    <x v="3914"/>
    <x v="3439"/>
    <x v="2"/>
    <x v="3872"/>
    <x v="3931"/>
    <x v="327"/>
    <x v="0"/>
    <x v="0"/>
    <x v="4"/>
    <x v="209"/>
    <x v="12"/>
    <x v="135"/>
    <x v="21"/>
    <x v="3"/>
    <x v="690"/>
  </r>
  <r>
    <x v="0"/>
    <x v="448"/>
    <x v="401"/>
    <x v="43"/>
    <x v="80"/>
    <x v="518"/>
    <x v="41"/>
    <x v="3490"/>
    <x v="106"/>
    <x v="1019"/>
    <x v="2318"/>
    <x v="782"/>
    <x v="3929"/>
    <x v="3915"/>
    <x v="3440"/>
    <x v="3"/>
    <x v="3873"/>
    <x v="3932"/>
    <x v="675"/>
    <x v="0"/>
    <x v="0"/>
    <x v="0"/>
    <x v="209"/>
    <x v="14"/>
    <x v="83"/>
    <x v="43"/>
    <x v="1"/>
    <x v="103"/>
  </r>
  <r>
    <x v="0"/>
    <x v="1760"/>
    <x v="435"/>
    <x v="72"/>
    <x v="52"/>
    <x v="845"/>
    <x v="220"/>
    <x v="3491"/>
    <x v="805"/>
    <x v="1531"/>
    <x v="2319"/>
    <x v="2749"/>
    <x v="3930"/>
    <x v="3916"/>
    <x v="3441"/>
    <x v="0"/>
    <x v="4"/>
    <x v="3933"/>
    <x v="83"/>
    <x v="0"/>
    <x v="4"/>
    <x v="0"/>
    <x v="209"/>
    <x v="6"/>
    <x v="167"/>
    <x v="55"/>
    <x v="3"/>
    <x v="1"/>
  </r>
  <r>
    <x v="0"/>
    <x v="1761"/>
    <x v="464"/>
    <x v="42"/>
    <x v="0"/>
    <x v="738"/>
    <x v="684"/>
    <x v="4"/>
    <x v="171"/>
    <x v="1384"/>
    <x v="2320"/>
    <x v="2750"/>
    <x v="3931"/>
    <x v="3917"/>
    <x v="3442"/>
    <x v="0"/>
    <x v="3874"/>
    <x v="3934"/>
    <x v="744"/>
    <x v="0"/>
    <x v="0"/>
    <x v="1"/>
    <x v="209"/>
    <x v="8"/>
    <x v="696"/>
    <x v="9"/>
    <x v="3"/>
    <x v="506"/>
  </r>
  <r>
    <x v="0"/>
    <x v="1762"/>
    <x v="451"/>
    <x v="27"/>
    <x v="85"/>
    <x v="214"/>
    <x v="263"/>
    <x v="4"/>
    <x v="26"/>
    <x v="478"/>
    <x v="880"/>
    <x v="2751"/>
    <x v="3932"/>
    <x v="3918"/>
    <x v="3443"/>
    <x v="5"/>
    <x v="3875"/>
    <x v="3935"/>
    <x v="822"/>
    <x v="0"/>
    <x v="0"/>
    <x v="4"/>
    <x v="138"/>
    <x v="20"/>
    <x v="92"/>
    <x v="34"/>
    <x v="15"/>
    <x v="492"/>
  </r>
  <r>
    <x v="0"/>
    <x v="113"/>
    <x v="93"/>
    <x v="117"/>
    <x v="88"/>
    <x v="599"/>
    <x v="349"/>
    <x v="4"/>
    <x v="306"/>
    <x v="1371"/>
    <x v="2321"/>
    <x v="2752"/>
    <x v="3933"/>
    <x v="3919"/>
    <x v="1620"/>
    <x v="3"/>
    <x v="3876"/>
    <x v="3936"/>
    <x v="854"/>
    <x v="0"/>
    <x v="1"/>
    <x v="1"/>
    <x v="4"/>
    <x v="4"/>
    <x v="517"/>
    <x v="11"/>
    <x v="2"/>
    <x v="546"/>
  </r>
  <r>
    <x v="0"/>
    <x v="1763"/>
    <x v="169"/>
    <x v="45"/>
    <x v="0"/>
    <x v="431"/>
    <x v="277"/>
    <x v="4"/>
    <x v="381"/>
    <x v="1443"/>
    <x v="814"/>
    <x v="2753"/>
    <x v="3934"/>
    <x v="3920"/>
    <x v="3444"/>
    <x v="0"/>
    <x v="3877"/>
    <x v="3937"/>
    <x v="818"/>
    <x v="0"/>
    <x v="0"/>
    <x v="1"/>
    <x v="209"/>
    <x v="0"/>
    <x v="111"/>
    <x v="30"/>
    <x v="1"/>
    <x v="255"/>
  </r>
  <r>
    <x v="0"/>
    <x v="1764"/>
    <x v="402"/>
    <x v="2"/>
    <x v="186"/>
    <x v="886"/>
    <x v="35"/>
    <x v="4"/>
    <x v="806"/>
    <x v="234"/>
    <x v="1011"/>
    <x v="2754"/>
    <x v="3935"/>
    <x v="3921"/>
    <x v="3445"/>
    <x v="0"/>
    <x v="3878"/>
    <x v="3938"/>
    <x v="650"/>
    <x v="0"/>
    <x v="0"/>
    <x v="0"/>
    <x v="209"/>
    <x v="9"/>
    <x v="559"/>
    <x v="26"/>
    <x v="2"/>
    <x v="9"/>
  </r>
  <r>
    <x v="0"/>
    <x v="1765"/>
    <x v="489"/>
    <x v="7"/>
    <x v="163"/>
    <x v="298"/>
    <x v="146"/>
    <x v="3492"/>
    <x v="4"/>
    <x v="1532"/>
    <x v="2322"/>
    <x v="2755"/>
    <x v="3936"/>
    <x v="3922"/>
    <x v="1736"/>
    <x v="0"/>
    <x v="4"/>
    <x v="3939"/>
    <x v="188"/>
    <x v="0"/>
    <x v="0"/>
    <x v="1"/>
    <x v="209"/>
    <x v="2"/>
    <x v="515"/>
    <x v="15"/>
    <x v="2"/>
    <x v="709"/>
  </r>
  <r>
    <x v="0"/>
    <x v="388"/>
    <x v="479"/>
    <x v="107"/>
    <x v="220"/>
    <x v="570"/>
    <x v="619"/>
    <x v="4"/>
    <x v="151"/>
    <x v="1217"/>
    <x v="2323"/>
    <x v="2756"/>
    <x v="3937"/>
    <x v="3923"/>
    <x v="3252"/>
    <x v="1"/>
    <x v="3879"/>
    <x v="3940"/>
    <x v="896"/>
    <x v="0"/>
    <x v="4"/>
    <x v="4"/>
    <x v="209"/>
    <x v="11"/>
    <x v="311"/>
    <x v="47"/>
    <x v="0"/>
    <x v="710"/>
  </r>
  <r>
    <x v="0"/>
    <x v="1766"/>
    <x v="478"/>
    <x v="80"/>
    <x v="125"/>
    <x v="507"/>
    <x v="35"/>
    <x v="4"/>
    <x v="28"/>
    <x v="461"/>
    <x v="311"/>
    <x v="1846"/>
    <x v="3938"/>
    <x v="3924"/>
    <x v="1580"/>
    <x v="4"/>
    <x v="3880"/>
    <x v="3941"/>
    <x v="896"/>
    <x v="0"/>
    <x v="0"/>
    <x v="9"/>
    <x v="209"/>
    <x v="11"/>
    <x v="211"/>
    <x v="28"/>
    <x v="3"/>
    <x v="711"/>
  </r>
  <r>
    <x v="0"/>
    <x v="1767"/>
    <x v="435"/>
    <x v="76"/>
    <x v="107"/>
    <x v="109"/>
    <x v="132"/>
    <x v="4"/>
    <x v="306"/>
    <x v="1533"/>
    <x v="2324"/>
    <x v="817"/>
    <x v="3939"/>
    <x v="3925"/>
    <x v="1622"/>
    <x v="0"/>
    <x v="3881"/>
    <x v="3942"/>
    <x v="96"/>
    <x v="0"/>
    <x v="2"/>
    <x v="1"/>
    <x v="209"/>
    <x v="11"/>
    <x v="376"/>
    <x v="30"/>
    <x v="1"/>
    <x v="648"/>
  </r>
  <r>
    <x v="0"/>
    <x v="1768"/>
    <x v="320"/>
    <x v="78"/>
    <x v="0"/>
    <x v="683"/>
    <x v="0"/>
    <x v="4"/>
    <x v="180"/>
    <x v="167"/>
    <x v="2325"/>
    <x v="2757"/>
    <x v="3940"/>
    <x v="3926"/>
    <x v="2998"/>
    <x v="1"/>
    <x v="3882"/>
    <x v="3943"/>
    <x v="684"/>
    <x v="0"/>
    <x v="1"/>
    <x v="4"/>
    <x v="321"/>
    <x v="11"/>
    <x v="844"/>
    <x v="69"/>
    <x v="1"/>
    <x v="712"/>
  </r>
  <r>
    <x v="0"/>
    <x v="873"/>
    <x v="398"/>
    <x v="50"/>
    <x v="0"/>
    <x v="753"/>
    <x v="0"/>
    <x v="4"/>
    <x v="125"/>
    <x v="1161"/>
    <x v="536"/>
    <x v="2758"/>
    <x v="3941"/>
    <x v="3927"/>
    <x v="3446"/>
    <x v="0"/>
    <x v="3883"/>
    <x v="3944"/>
    <x v="386"/>
    <x v="0"/>
    <x v="0"/>
    <x v="2"/>
    <x v="311"/>
    <x v="47"/>
    <x v="348"/>
    <x v="10"/>
    <x v="3"/>
    <x v="1"/>
  </r>
  <r>
    <x v="0"/>
    <x v="1769"/>
    <x v="244"/>
    <x v="110"/>
    <x v="123"/>
    <x v="485"/>
    <x v="2"/>
    <x v="3493"/>
    <x v="4"/>
    <x v="130"/>
    <x v="2326"/>
    <x v="2240"/>
    <x v="3942"/>
    <x v="3928"/>
    <x v="3447"/>
    <x v="0"/>
    <x v="3884"/>
    <x v="3945"/>
    <x v="569"/>
    <x v="3"/>
    <x v="10"/>
    <x v="3"/>
    <x v="83"/>
    <x v="12"/>
    <x v="450"/>
    <x v="32"/>
    <x v="3"/>
    <x v="1"/>
  </r>
  <r>
    <x v="0"/>
    <x v="957"/>
    <x v="327"/>
    <x v="86"/>
    <x v="266"/>
    <x v="887"/>
    <x v="11"/>
    <x v="3494"/>
    <x v="283"/>
    <x v="11"/>
    <x v="673"/>
    <x v="2759"/>
    <x v="3943"/>
    <x v="3929"/>
    <x v="3448"/>
    <x v="8"/>
    <x v="3885"/>
    <x v="3946"/>
    <x v="571"/>
    <x v="0"/>
    <x v="0"/>
    <x v="4"/>
    <x v="209"/>
    <x v="10"/>
    <x v="12"/>
    <x v="1"/>
    <x v="3"/>
    <x v="90"/>
  </r>
  <r>
    <x v="0"/>
    <x v="1770"/>
    <x v="81"/>
    <x v="77"/>
    <x v="0"/>
    <x v="496"/>
    <x v="467"/>
    <x v="4"/>
    <x v="17"/>
    <x v="1534"/>
    <x v="2327"/>
    <x v="2760"/>
    <x v="3944"/>
    <x v="3930"/>
    <x v="3449"/>
    <x v="1"/>
    <x v="3886"/>
    <x v="3947"/>
    <x v="96"/>
    <x v="0"/>
    <x v="0"/>
    <x v="9"/>
    <x v="4"/>
    <x v="10"/>
    <x v="779"/>
    <x v="9"/>
    <x v="1"/>
    <x v="647"/>
  </r>
  <r>
    <x v="0"/>
    <x v="1771"/>
    <x v="171"/>
    <x v="80"/>
    <x v="0"/>
    <x v="198"/>
    <x v="0"/>
    <x v="3495"/>
    <x v="200"/>
    <x v="327"/>
    <x v="2328"/>
    <x v="573"/>
    <x v="3945"/>
    <x v="2824"/>
    <x v="3450"/>
    <x v="0"/>
    <x v="3887"/>
    <x v="3948"/>
    <x v="547"/>
    <x v="0"/>
    <x v="0"/>
    <x v="4"/>
    <x v="119"/>
    <x v="8"/>
    <x v="297"/>
    <x v="12"/>
    <x v="10"/>
    <x v="1"/>
  </r>
  <r>
    <x v="0"/>
    <x v="1772"/>
    <x v="513"/>
    <x v="86"/>
    <x v="344"/>
    <x v="70"/>
    <x v="6"/>
    <x v="3496"/>
    <x v="419"/>
    <x v="6"/>
    <x v="1013"/>
    <x v="861"/>
    <x v="3946"/>
    <x v="3931"/>
    <x v="3451"/>
    <x v="0"/>
    <x v="3888"/>
    <x v="3949"/>
    <x v="939"/>
    <x v="0"/>
    <x v="0"/>
    <x v="4"/>
    <x v="296"/>
    <x v="11"/>
    <x v="276"/>
    <x v="3"/>
    <x v="14"/>
    <x v="28"/>
  </r>
  <r>
    <x v="0"/>
    <x v="787"/>
    <x v="418"/>
    <x v="24"/>
    <x v="302"/>
    <x v="183"/>
    <x v="0"/>
    <x v="3497"/>
    <x v="152"/>
    <x v="638"/>
    <x v="2301"/>
    <x v="2761"/>
    <x v="3947"/>
    <x v="3932"/>
    <x v="3452"/>
    <x v="0"/>
    <x v="3889"/>
    <x v="3950"/>
    <x v="899"/>
    <x v="30"/>
    <x v="49"/>
    <x v="4"/>
    <x v="296"/>
    <x v="19"/>
    <x v="779"/>
    <x v="50"/>
    <x v="3"/>
    <x v="82"/>
  </r>
  <r>
    <x v="0"/>
    <x v="1773"/>
    <x v="276"/>
    <x v="77"/>
    <x v="193"/>
    <x v="173"/>
    <x v="427"/>
    <x v="3498"/>
    <x v="430"/>
    <x v="1223"/>
    <x v="2329"/>
    <x v="1358"/>
    <x v="3948"/>
    <x v="3933"/>
    <x v="578"/>
    <x v="4"/>
    <x v="3890"/>
    <x v="3951"/>
    <x v="284"/>
    <x v="0"/>
    <x v="1"/>
    <x v="4"/>
    <x v="298"/>
    <x v="15"/>
    <x v="421"/>
    <x v="1"/>
    <x v="3"/>
    <x v="1"/>
  </r>
  <r>
    <x v="0"/>
    <x v="1774"/>
    <x v="479"/>
    <x v="58"/>
    <x v="107"/>
    <x v="640"/>
    <x v="727"/>
    <x v="4"/>
    <x v="316"/>
    <x v="1535"/>
    <x v="2330"/>
    <x v="2762"/>
    <x v="3949"/>
    <x v="3934"/>
    <x v="1992"/>
    <x v="6"/>
    <x v="3891"/>
    <x v="3952"/>
    <x v="96"/>
    <x v="0"/>
    <x v="0"/>
    <x v="0"/>
    <x v="311"/>
    <x v="3"/>
    <x v="729"/>
    <x v="4"/>
    <x v="2"/>
    <x v="1"/>
  </r>
  <r>
    <x v="0"/>
    <x v="1775"/>
    <x v="69"/>
    <x v="41"/>
    <x v="188"/>
    <x v="498"/>
    <x v="2"/>
    <x v="3499"/>
    <x v="241"/>
    <x v="182"/>
    <x v="169"/>
    <x v="2763"/>
    <x v="3950"/>
    <x v="3935"/>
    <x v="3453"/>
    <x v="0"/>
    <x v="3892"/>
    <x v="3953"/>
    <x v="546"/>
    <x v="0"/>
    <x v="0"/>
    <x v="4"/>
    <x v="4"/>
    <x v="7"/>
    <x v="113"/>
    <x v="10"/>
    <x v="3"/>
    <x v="713"/>
  </r>
  <r>
    <x v="0"/>
    <x v="1470"/>
    <x v="165"/>
    <x v="69"/>
    <x v="374"/>
    <x v="713"/>
    <x v="700"/>
    <x v="3500"/>
    <x v="270"/>
    <x v="1536"/>
    <x v="2331"/>
    <x v="2764"/>
    <x v="3951"/>
    <x v="3936"/>
    <x v="3454"/>
    <x v="1"/>
    <x v="3893"/>
    <x v="3954"/>
    <x v="61"/>
    <x v="31"/>
    <x v="23"/>
    <x v="4"/>
    <x v="315"/>
    <x v="3"/>
    <x v="779"/>
    <x v="24"/>
    <x v="1"/>
    <x v="24"/>
  </r>
  <r>
    <x v="0"/>
    <x v="950"/>
    <x v="216"/>
    <x v="50"/>
    <x v="50"/>
    <x v="822"/>
    <x v="48"/>
    <x v="4"/>
    <x v="238"/>
    <x v="81"/>
    <x v="2332"/>
    <x v="2765"/>
    <x v="3952"/>
    <x v="3937"/>
    <x v="3455"/>
    <x v="0"/>
    <x v="3894"/>
    <x v="3955"/>
    <x v="267"/>
    <x v="0"/>
    <x v="0"/>
    <x v="2"/>
    <x v="213"/>
    <x v="45"/>
    <x v="199"/>
    <x v="14"/>
    <x v="3"/>
    <x v="45"/>
  </r>
  <r>
    <x v="0"/>
    <x v="955"/>
    <x v="370"/>
    <x v="43"/>
    <x v="47"/>
    <x v="628"/>
    <x v="219"/>
    <x v="3501"/>
    <x v="17"/>
    <x v="1537"/>
    <x v="227"/>
    <x v="1068"/>
    <x v="3953"/>
    <x v="3938"/>
    <x v="1744"/>
    <x v="0"/>
    <x v="3895"/>
    <x v="3956"/>
    <x v="149"/>
    <x v="0"/>
    <x v="0"/>
    <x v="0"/>
    <x v="296"/>
    <x v="7"/>
    <x v="154"/>
    <x v="38"/>
    <x v="3"/>
    <x v="1"/>
  </r>
  <r>
    <x v="0"/>
    <x v="1114"/>
    <x v="217"/>
    <x v="42"/>
    <x v="244"/>
    <x v="262"/>
    <x v="544"/>
    <x v="4"/>
    <x v="28"/>
    <x v="1538"/>
    <x v="2333"/>
    <x v="2766"/>
    <x v="3954"/>
    <x v="3939"/>
    <x v="3057"/>
    <x v="2"/>
    <x v="3896"/>
    <x v="3957"/>
    <x v="678"/>
    <x v="0"/>
    <x v="4"/>
    <x v="4"/>
    <x v="322"/>
    <x v="26"/>
    <x v="867"/>
    <x v="4"/>
    <x v="3"/>
    <x v="509"/>
  </r>
  <r>
    <x v="0"/>
    <x v="1776"/>
    <x v="93"/>
    <x v="55"/>
    <x v="287"/>
    <x v="580"/>
    <x v="42"/>
    <x v="4"/>
    <x v="125"/>
    <x v="1329"/>
    <x v="946"/>
    <x v="2767"/>
    <x v="3955"/>
    <x v="3940"/>
    <x v="1059"/>
    <x v="7"/>
    <x v="3897"/>
    <x v="3958"/>
    <x v="416"/>
    <x v="0"/>
    <x v="0"/>
    <x v="1"/>
    <x v="296"/>
    <x v="11"/>
    <x v="532"/>
    <x v="33"/>
    <x v="12"/>
    <x v="1"/>
  </r>
  <r>
    <x v="0"/>
    <x v="1777"/>
    <x v="441"/>
    <x v="80"/>
    <x v="198"/>
    <x v="417"/>
    <x v="213"/>
    <x v="3502"/>
    <x v="17"/>
    <x v="1059"/>
    <x v="2334"/>
    <x v="606"/>
    <x v="3956"/>
    <x v="3941"/>
    <x v="2199"/>
    <x v="0"/>
    <x v="3898"/>
    <x v="3959"/>
    <x v="684"/>
    <x v="0"/>
    <x v="0"/>
    <x v="4"/>
    <x v="126"/>
    <x v="15"/>
    <x v="668"/>
    <x v="21"/>
    <x v="2"/>
    <x v="714"/>
  </r>
  <r>
    <x v="0"/>
    <x v="1778"/>
    <x v="237"/>
    <x v="57"/>
    <x v="218"/>
    <x v="298"/>
    <x v="594"/>
    <x v="3503"/>
    <x v="270"/>
    <x v="1539"/>
    <x v="2335"/>
    <x v="2768"/>
    <x v="3957"/>
    <x v="3942"/>
    <x v="3456"/>
    <x v="6"/>
    <x v="3899"/>
    <x v="3960"/>
    <x v="514"/>
    <x v="3"/>
    <x v="10"/>
    <x v="0"/>
    <x v="4"/>
    <x v="8"/>
    <x v="556"/>
    <x v="7"/>
    <x v="1"/>
    <x v="1"/>
  </r>
  <r>
    <x v="0"/>
    <x v="335"/>
    <x v="300"/>
    <x v="16"/>
    <x v="67"/>
    <x v="888"/>
    <x v="599"/>
    <x v="4"/>
    <x v="630"/>
    <x v="1170"/>
    <x v="1409"/>
    <x v="2769"/>
    <x v="3958"/>
    <x v="3943"/>
    <x v="3457"/>
    <x v="0"/>
    <x v="3900"/>
    <x v="3961"/>
    <x v="183"/>
    <x v="0"/>
    <x v="0"/>
    <x v="4"/>
    <x v="277"/>
    <x v="38"/>
    <x v="22"/>
    <x v="25"/>
    <x v="3"/>
    <x v="38"/>
  </r>
  <r>
    <x v="1"/>
    <x v="1779"/>
    <x v="283"/>
    <x v="18"/>
    <x v="401"/>
    <x v="759"/>
    <x v="42"/>
    <x v="4"/>
    <x v="134"/>
    <x v="1540"/>
    <x v="2178"/>
    <x v="2770"/>
    <x v="3959"/>
    <x v="3944"/>
    <x v="3458"/>
    <x v="1"/>
    <x v="3901"/>
    <x v="3962"/>
    <x v="178"/>
    <x v="0"/>
    <x v="0"/>
    <x v="11"/>
    <x v="310"/>
    <x v="34"/>
    <x v="442"/>
    <x v="14"/>
    <x v="3"/>
    <x v="1"/>
  </r>
  <r>
    <x v="0"/>
    <x v="1780"/>
    <x v="270"/>
    <x v="77"/>
    <x v="85"/>
    <x v="475"/>
    <x v="503"/>
    <x v="3504"/>
    <x v="17"/>
    <x v="937"/>
    <x v="2336"/>
    <x v="2771"/>
    <x v="3960"/>
    <x v="3945"/>
    <x v="1540"/>
    <x v="0"/>
    <x v="3902"/>
    <x v="3963"/>
    <x v="640"/>
    <x v="0"/>
    <x v="0"/>
    <x v="0"/>
    <x v="4"/>
    <x v="0"/>
    <x v="386"/>
    <x v="13"/>
    <x v="1"/>
    <x v="1"/>
  </r>
  <r>
    <x v="0"/>
    <x v="1781"/>
    <x v="297"/>
    <x v="59"/>
    <x v="89"/>
    <x v="423"/>
    <x v="728"/>
    <x v="3505"/>
    <x v="152"/>
    <x v="1541"/>
    <x v="2337"/>
    <x v="2772"/>
    <x v="3961"/>
    <x v="3946"/>
    <x v="3459"/>
    <x v="0"/>
    <x v="3903"/>
    <x v="3964"/>
    <x v="497"/>
    <x v="6"/>
    <x v="53"/>
    <x v="4"/>
    <x v="119"/>
    <x v="14"/>
    <x v="604"/>
    <x v="7"/>
    <x v="3"/>
    <x v="1"/>
  </r>
  <r>
    <x v="0"/>
    <x v="1714"/>
    <x v="344"/>
    <x v="72"/>
    <x v="114"/>
    <x v="164"/>
    <x v="0"/>
    <x v="3506"/>
    <x v="105"/>
    <x v="300"/>
    <x v="2269"/>
    <x v="2773"/>
    <x v="3962"/>
    <x v="3947"/>
    <x v="2319"/>
    <x v="2"/>
    <x v="3904"/>
    <x v="3965"/>
    <x v="593"/>
    <x v="0"/>
    <x v="0"/>
    <x v="4"/>
    <x v="310"/>
    <x v="5"/>
    <x v="309"/>
    <x v="13"/>
    <x v="3"/>
    <x v="61"/>
  </r>
  <r>
    <x v="0"/>
    <x v="1782"/>
    <x v="335"/>
    <x v="54"/>
    <x v="47"/>
    <x v="286"/>
    <x v="274"/>
    <x v="4"/>
    <x v="807"/>
    <x v="500"/>
    <x v="2338"/>
    <x v="2774"/>
    <x v="3963"/>
    <x v="3948"/>
    <x v="3460"/>
    <x v="0"/>
    <x v="3905"/>
    <x v="3966"/>
    <x v="418"/>
    <x v="0"/>
    <x v="0"/>
    <x v="4"/>
    <x v="310"/>
    <x v="12"/>
    <x v="12"/>
    <x v="21"/>
    <x v="1"/>
    <x v="1"/>
  </r>
  <r>
    <x v="0"/>
    <x v="459"/>
    <x v="160"/>
    <x v="56"/>
    <x v="243"/>
    <x v="363"/>
    <x v="0"/>
    <x v="802"/>
    <x v="125"/>
    <x v="720"/>
    <x v="1350"/>
    <x v="889"/>
    <x v="3964"/>
    <x v="3949"/>
    <x v="3461"/>
    <x v="5"/>
    <x v="3906"/>
    <x v="3967"/>
    <x v="73"/>
    <x v="0"/>
    <x v="0"/>
    <x v="4"/>
    <x v="119"/>
    <x v="33"/>
    <x v="323"/>
    <x v="32"/>
    <x v="3"/>
    <x v="1"/>
  </r>
  <r>
    <x v="0"/>
    <x v="1494"/>
    <x v="328"/>
    <x v="47"/>
    <x v="228"/>
    <x v="491"/>
    <x v="278"/>
    <x v="3507"/>
    <x v="2"/>
    <x v="1542"/>
    <x v="2339"/>
    <x v="735"/>
    <x v="3965"/>
    <x v="3950"/>
    <x v="3462"/>
    <x v="4"/>
    <x v="3907"/>
    <x v="3968"/>
    <x v="598"/>
    <x v="0"/>
    <x v="1"/>
    <x v="11"/>
    <x v="119"/>
    <x v="53"/>
    <x v="464"/>
    <x v="6"/>
    <x v="15"/>
    <x v="1"/>
  </r>
  <r>
    <x v="0"/>
    <x v="1783"/>
    <x v="86"/>
    <x v="26"/>
    <x v="171"/>
    <x v="130"/>
    <x v="105"/>
    <x v="4"/>
    <x v="321"/>
    <x v="1543"/>
    <x v="2220"/>
    <x v="2775"/>
    <x v="3966"/>
    <x v="3951"/>
    <x v="1908"/>
    <x v="0"/>
    <x v="3908"/>
    <x v="3969"/>
    <x v="637"/>
    <x v="0"/>
    <x v="4"/>
    <x v="9"/>
    <x v="310"/>
    <x v="3"/>
    <x v="854"/>
    <x v="20"/>
    <x v="3"/>
    <x v="1"/>
  </r>
  <r>
    <x v="0"/>
    <x v="1784"/>
    <x v="278"/>
    <x v="34"/>
    <x v="402"/>
    <x v="644"/>
    <x v="486"/>
    <x v="4"/>
    <x v="158"/>
    <x v="1544"/>
    <x v="2340"/>
    <x v="2720"/>
    <x v="3967"/>
    <x v="3952"/>
    <x v="3463"/>
    <x v="0"/>
    <x v="3909"/>
    <x v="3970"/>
    <x v="177"/>
    <x v="0"/>
    <x v="0"/>
    <x v="2"/>
    <x v="323"/>
    <x v="61"/>
    <x v="799"/>
    <x v="35"/>
    <x v="15"/>
    <x v="25"/>
  </r>
  <r>
    <x v="0"/>
    <x v="464"/>
    <x v="295"/>
    <x v="50"/>
    <x v="0"/>
    <x v="225"/>
    <x v="35"/>
    <x v="3508"/>
    <x v="270"/>
    <x v="44"/>
    <x v="881"/>
    <x v="286"/>
    <x v="3968"/>
    <x v="3953"/>
    <x v="3384"/>
    <x v="2"/>
    <x v="3910"/>
    <x v="3971"/>
    <x v="181"/>
    <x v="0"/>
    <x v="1"/>
    <x v="4"/>
    <x v="209"/>
    <x v="25"/>
    <x v="509"/>
    <x v="17"/>
    <x v="3"/>
    <x v="90"/>
  </r>
  <r>
    <x v="0"/>
    <x v="437"/>
    <x v="302"/>
    <x v="69"/>
    <x v="0"/>
    <x v="677"/>
    <x v="0"/>
    <x v="3509"/>
    <x v="771"/>
    <x v="85"/>
    <x v="392"/>
    <x v="2336"/>
    <x v="3969"/>
    <x v="3954"/>
    <x v="3464"/>
    <x v="0"/>
    <x v="3911"/>
    <x v="3972"/>
    <x v="536"/>
    <x v="0"/>
    <x v="0"/>
    <x v="4"/>
    <x v="119"/>
    <x v="21"/>
    <x v="263"/>
    <x v="4"/>
    <x v="3"/>
    <x v="295"/>
  </r>
  <r>
    <x v="0"/>
    <x v="1785"/>
    <x v="70"/>
    <x v="42"/>
    <x v="122"/>
    <x v="859"/>
    <x v="729"/>
    <x v="3510"/>
    <x v="429"/>
    <x v="1545"/>
    <x v="2341"/>
    <x v="2776"/>
    <x v="3970"/>
    <x v="3955"/>
    <x v="3191"/>
    <x v="0"/>
    <x v="3912"/>
    <x v="3973"/>
    <x v="844"/>
    <x v="0"/>
    <x v="0"/>
    <x v="4"/>
    <x v="119"/>
    <x v="5"/>
    <x v="707"/>
    <x v="20"/>
    <x v="3"/>
    <x v="57"/>
  </r>
  <r>
    <x v="0"/>
    <x v="606"/>
    <x v="160"/>
    <x v="43"/>
    <x v="79"/>
    <x v="548"/>
    <x v="349"/>
    <x v="3511"/>
    <x v="125"/>
    <x v="1371"/>
    <x v="448"/>
    <x v="1244"/>
    <x v="3971"/>
    <x v="3956"/>
    <x v="3465"/>
    <x v="0"/>
    <x v="3913"/>
    <x v="3974"/>
    <x v="507"/>
    <x v="0"/>
    <x v="1"/>
    <x v="2"/>
    <x v="119"/>
    <x v="20"/>
    <x v="295"/>
    <x v="38"/>
    <x v="1"/>
    <x v="1"/>
  </r>
  <r>
    <x v="1"/>
    <x v="942"/>
    <x v="300"/>
    <x v="60"/>
    <x v="325"/>
    <x v="127"/>
    <x v="474"/>
    <x v="3512"/>
    <x v="808"/>
    <x v="1250"/>
    <x v="2342"/>
    <x v="2285"/>
    <x v="3972"/>
    <x v="3957"/>
    <x v="3466"/>
    <x v="4"/>
    <x v="3914"/>
    <x v="3975"/>
    <x v="819"/>
    <x v="0"/>
    <x v="8"/>
    <x v="4"/>
    <x v="213"/>
    <x v="19"/>
    <x v="673"/>
    <x v="25"/>
    <x v="3"/>
    <x v="86"/>
  </r>
  <r>
    <x v="0"/>
    <x v="187"/>
    <x v="69"/>
    <x v="56"/>
    <x v="133"/>
    <x v="597"/>
    <x v="558"/>
    <x v="3513"/>
    <x v="270"/>
    <x v="214"/>
    <x v="2343"/>
    <x v="2777"/>
    <x v="3973"/>
    <x v="3958"/>
    <x v="3467"/>
    <x v="1"/>
    <x v="3915"/>
    <x v="3976"/>
    <x v="822"/>
    <x v="4"/>
    <x v="9"/>
    <x v="0"/>
    <x v="4"/>
    <x v="11"/>
    <x v="689"/>
    <x v="11"/>
    <x v="1"/>
    <x v="1"/>
  </r>
  <r>
    <x v="0"/>
    <x v="1786"/>
    <x v="291"/>
    <x v="101"/>
    <x v="52"/>
    <x v="152"/>
    <x v="220"/>
    <x v="3514"/>
    <x v="471"/>
    <x v="1546"/>
    <x v="2344"/>
    <x v="188"/>
    <x v="3974"/>
    <x v="3959"/>
    <x v="3468"/>
    <x v="0"/>
    <x v="3916"/>
    <x v="3977"/>
    <x v="688"/>
    <x v="0"/>
    <x v="0"/>
    <x v="4"/>
    <x v="298"/>
    <x v="39"/>
    <x v="570"/>
    <x v="28"/>
    <x v="3"/>
    <x v="1"/>
  </r>
  <r>
    <x v="0"/>
    <x v="1072"/>
    <x v="398"/>
    <x v="85"/>
    <x v="265"/>
    <x v="251"/>
    <x v="266"/>
    <x v="3515"/>
    <x v="17"/>
    <x v="483"/>
    <x v="2334"/>
    <x v="2778"/>
    <x v="3975"/>
    <x v="3960"/>
    <x v="3290"/>
    <x v="0"/>
    <x v="3917"/>
    <x v="3978"/>
    <x v="447"/>
    <x v="0"/>
    <x v="1"/>
    <x v="10"/>
    <x v="119"/>
    <x v="39"/>
    <x v="668"/>
    <x v="38"/>
    <x v="10"/>
    <x v="1"/>
  </r>
  <r>
    <x v="0"/>
    <x v="1304"/>
    <x v="371"/>
    <x v="79"/>
    <x v="169"/>
    <x v="70"/>
    <x v="730"/>
    <x v="3516"/>
    <x v="321"/>
    <x v="1547"/>
    <x v="2345"/>
    <x v="861"/>
    <x v="3976"/>
    <x v="3961"/>
    <x v="3469"/>
    <x v="0"/>
    <x v="3918"/>
    <x v="3979"/>
    <x v="894"/>
    <x v="0"/>
    <x v="0"/>
    <x v="4"/>
    <x v="119"/>
    <x v="9"/>
    <x v="868"/>
    <x v="20"/>
    <x v="1"/>
    <x v="77"/>
  </r>
  <r>
    <x v="0"/>
    <x v="245"/>
    <x v="518"/>
    <x v="47"/>
    <x v="165"/>
    <x v="340"/>
    <x v="0"/>
    <x v="3517"/>
    <x v="364"/>
    <x v="1548"/>
    <x v="2346"/>
    <x v="2779"/>
    <x v="3977"/>
    <x v="3962"/>
    <x v="3470"/>
    <x v="0"/>
    <x v="3919"/>
    <x v="3980"/>
    <x v="279"/>
    <x v="0"/>
    <x v="0"/>
    <x v="4"/>
    <x v="119"/>
    <x v="3"/>
    <x v="182"/>
    <x v="2"/>
    <x v="1"/>
    <x v="12"/>
  </r>
  <r>
    <x v="0"/>
    <x v="1129"/>
    <x v="431"/>
    <x v="18"/>
    <x v="134"/>
    <x v="74"/>
    <x v="655"/>
    <x v="3518"/>
    <x v="809"/>
    <x v="1549"/>
    <x v="2347"/>
    <x v="2780"/>
    <x v="3978"/>
    <x v="3963"/>
    <x v="3471"/>
    <x v="1"/>
    <x v="3920"/>
    <x v="3981"/>
    <x v="816"/>
    <x v="0"/>
    <x v="0"/>
    <x v="4"/>
    <x v="119"/>
    <x v="19"/>
    <x v="638"/>
    <x v="28"/>
    <x v="3"/>
    <x v="715"/>
  </r>
  <r>
    <x v="0"/>
    <x v="1750"/>
    <x v="266"/>
    <x v="26"/>
    <x v="241"/>
    <x v="292"/>
    <x v="731"/>
    <x v="4"/>
    <x v="17"/>
    <x v="1550"/>
    <x v="2348"/>
    <x v="2781"/>
    <x v="3979"/>
    <x v="3964"/>
    <x v="3472"/>
    <x v="0"/>
    <x v="3921"/>
    <x v="3982"/>
    <x v="482"/>
    <x v="0"/>
    <x v="0"/>
    <x v="11"/>
    <x v="119"/>
    <x v="75"/>
    <x v="818"/>
    <x v="14"/>
    <x v="3"/>
    <x v="1"/>
  </r>
  <r>
    <x v="0"/>
    <x v="1787"/>
    <x v="239"/>
    <x v="54"/>
    <x v="118"/>
    <x v="528"/>
    <x v="608"/>
    <x v="4"/>
    <x v="5"/>
    <x v="1551"/>
    <x v="2349"/>
    <x v="2782"/>
    <x v="3980"/>
    <x v="3965"/>
    <x v="3473"/>
    <x v="0"/>
    <x v="3922"/>
    <x v="3983"/>
    <x v="549"/>
    <x v="0"/>
    <x v="0"/>
    <x v="3"/>
    <x v="119"/>
    <x v="48"/>
    <x v="770"/>
    <x v="9"/>
    <x v="1"/>
    <x v="1"/>
  </r>
  <r>
    <x v="0"/>
    <x v="611"/>
    <x v="311"/>
    <x v="42"/>
    <x v="10"/>
    <x v="411"/>
    <x v="35"/>
    <x v="3519"/>
    <x v="472"/>
    <x v="611"/>
    <x v="898"/>
    <x v="597"/>
    <x v="3981"/>
    <x v="3966"/>
    <x v="2684"/>
    <x v="0"/>
    <x v="3923"/>
    <x v="3984"/>
    <x v="705"/>
    <x v="0"/>
    <x v="0"/>
    <x v="2"/>
    <x v="119"/>
    <x v="13"/>
    <x v="276"/>
    <x v="37"/>
    <x v="3"/>
    <x v="527"/>
  </r>
  <r>
    <x v="0"/>
    <x v="1788"/>
    <x v="347"/>
    <x v="41"/>
    <x v="193"/>
    <x v="594"/>
    <x v="732"/>
    <x v="4"/>
    <x v="173"/>
    <x v="1552"/>
    <x v="2350"/>
    <x v="2783"/>
    <x v="3982"/>
    <x v="3967"/>
    <x v="3474"/>
    <x v="0"/>
    <x v="3924"/>
    <x v="3985"/>
    <x v="650"/>
    <x v="2"/>
    <x v="7"/>
    <x v="3"/>
    <x v="178"/>
    <x v="21"/>
    <x v="68"/>
    <x v="23"/>
    <x v="3"/>
    <x v="673"/>
  </r>
  <r>
    <x v="0"/>
    <x v="1789"/>
    <x v="287"/>
    <x v="107"/>
    <x v="186"/>
    <x v="712"/>
    <x v="207"/>
    <x v="3520"/>
    <x v="381"/>
    <x v="1022"/>
    <x v="2351"/>
    <x v="2784"/>
    <x v="3983"/>
    <x v="3968"/>
    <x v="3332"/>
    <x v="0"/>
    <x v="3925"/>
    <x v="3986"/>
    <x v="649"/>
    <x v="0"/>
    <x v="0"/>
    <x v="4"/>
    <x v="119"/>
    <x v="43"/>
    <x v="523"/>
    <x v="18"/>
    <x v="3"/>
    <x v="1"/>
  </r>
  <r>
    <x v="0"/>
    <x v="767"/>
    <x v="270"/>
    <x v="137"/>
    <x v="298"/>
    <x v="163"/>
    <x v="679"/>
    <x v="3521"/>
    <x v="262"/>
    <x v="1367"/>
    <x v="2352"/>
    <x v="1506"/>
    <x v="3984"/>
    <x v="3969"/>
    <x v="3475"/>
    <x v="4"/>
    <x v="3926"/>
    <x v="3987"/>
    <x v="155"/>
    <x v="0"/>
    <x v="1"/>
    <x v="2"/>
    <x v="119"/>
    <x v="76"/>
    <x v="39"/>
    <x v="17"/>
    <x v="1"/>
    <x v="1"/>
  </r>
  <r>
    <x v="0"/>
    <x v="476"/>
    <x v="441"/>
    <x v="7"/>
    <x v="211"/>
    <x v="424"/>
    <x v="135"/>
    <x v="3522"/>
    <x v="145"/>
    <x v="253"/>
    <x v="2353"/>
    <x v="2785"/>
    <x v="3985"/>
    <x v="3970"/>
    <x v="207"/>
    <x v="1"/>
    <x v="3927"/>
    <x v="3988"/>
    <x v="487"/>
    <x v="0"/>
    <x v="0"/>
    <x v="2"/>
    <x v="119"/>
    <x v="22"/>
    <x v="633"/>
    <x v="43"/>
    <x v="3"/>
    <x v="716"/>
  </r>
  <r>
    <x v="0"/>
    <x v="931"/>
    <x v="334"/>
    <x v="60"/>
    <x v="17"/>
    <x v="229"/>
    <x v="329"/>
    <x v="4"/>
    <x v="810"/>
    <x v="1553"/>
    <x v="1327"/>
    <x v="558"/>
    <x v="3986"/>
    <x v="3971"/>
    <x v="2754"/>
    <x v="1"/>
    <x v="3928"/>
    <x v="3989"/>
    <x v="718"/>
    <x v="0"/>
    <x v="0"/>
    <x v="2"/>
    <x v="324"/>
    <x v="46"/>
    <x v="431"/>
    <x v="2"/>
    <x v="3"/>
    <x v="717"/>
  </r>
  <r>
    <x v="1"/>
    <x v="1703"/>
    <x v="176"/>
    <x v="31"/>
    <x v="0"/>
    <x v="866"/>
    <x v="733"/>
    <x v="4"/>
    <x v="105"/>
    <x v="1554"/>
    <x v="550"/>
    <x v="2786"/>
    <x v="3987"/>
    <x v="3972"/>
    <x v="3476"/>
    <x v="4"/>
    <x v="3929"/>
    <x v="3990"/>
    <x v="187"/>
    <x v="0"/>
    <x v="0"/>
    <x v="11"/>
    <x v="119"/>
    <x v="51"/>
    <x v="358"/>
    <x v="24"/>
    <x v="1"/>
    <x v="1"/>
  </r>
  <r>
    <x v="0"/>
    <x v="1790"/>
    <x v="356"/>
    <x v="43"/>
    <x v="174"/>
    <x v="253"/>
    <x v="689"/>
    <x v="3523"/>
    <x v="560"/>
    <x v="1410"/>
    <x v="2354"/>
    <x v="2787"/>
    <x v="3988"/>
    <x v="3973"/>
    <x v="429"/>
    <x v="0"/>
    <x v="3930"/>
    <x v="3991"/>
    <x v="664"/>
    <x v="0"/>
    <x v="0"/>
    <x v="4"/>
    <x v="139"/>
    <x v="27"/>
    <x v="207"/>
    <x v="44"/>
    <x v="3"/>
    <x v="274"/>
  </r>
  <r>
    <x v="0"/>
    <x v="931"/>
    <x v="272"/>
    <x v="57"/>
    <x v="17"/>
    <x v="320"/>
    <x v="673"/>
    <x v="4"/>
    <x v="582"/>
    <x v="1555"/>
    <x v="2355"/>
    <x v="2788"/>
    <x v="3989"/>
    <x v="3974"/>
    <x v="3477"/>
    <x v="1"/>
    <x v="3931"/>
    <x v="3992"/>
    <x v="180"/>
    <x v="0"/>
    <x v="0"/>
    <x v="11"/>
    <x v="224"/>
    <x v="71"/>
    <x v="866"/>
    <x v="10"/>
    <x v="3"/>
    <x v="718"/>
  </r>
  <r>
    <x v="0"/>
    <x v="152"/>
    <x v="277"/>
    <x v="7"/>
    <x v="16"/>
    <x v="751"/>
    <x v="153"/>
    <x v="3524"/>
    <x v="811"/>
    <x v="1126"/>
    <x v="935"/>
    <x v="2789"/>
    <x v="3990"/>
    <x v="3975"/>
    <x v="1880"/>
    <x v="0"/>
    <x v="3932"/>
    <x v="3993"/>
    <x v="547"/>
    <x v="0"/>
    <x v="0"/>
    <x v="4"/>
    <x v="119"/>
    <x v="12"/>
    <x v="529"/>
    <x v="13"/>
    <x v="3"/>
    <x v="719"/>
  </r>
  <r>
    <x v="0"/>
    <x v="1791"/>
    <x v="161"/>
    <x v="95"/>
    <x v="256"/>
    <x v="13"/>
    <x v="57"/>
    <x v="3525"/>
    <x v="713"/>
    <x v="125"/>
    <x v="539"/>
    <x v="142"/>
    <x v="3991"/>
    <x v="3976"/>
    <x v="3478"/>
    <x v="4"/>
    <x v="3933"/>
    <x v="3994"/>
    <x v="244"/>
    <x v="0"/>
    <x v="1"/>
    <x v="4"/>
    <x v="4"/>
    <x v="2"/>
    <x v="350"/>
    <x v="8"/>
    <x v="10"/>
    <x v="1"/>
  </r>
  <r>
    <x v="0"/>
    <x v="1310"/>
    <x v="478"/>
    <x v="55"/>
    <x v="266"/>
    <x v="37"/>
    <x v="316"/>
    <x v="4"/>
    <x v="379"/>
    <x v="571"/>
    <x v="2356"/>
    <x v="2790"/>
    <x v="3992"/>
    <x v="3977"/>
    <x v="3140"/>
    <x v="0"/>
    <x v="3934"/>
    <x v="3995"/>
    <x v="655"/>
    <x v="0"/>
    <x v="0"/>
    <x v="4"/>
    <x v="119"/>
    <x v="39"/>
    <x v="715"/>
    <x v="4"/>
    <x v="2"/>
    <x v="499"/>
  </r>
  <r>
    <x v="0"/>
    <x v="1792"/>
    <x v="324"/>
    <x v="95"/>
    <x v="80"/>
    <x v="526"/>
    <x v="0"/>
    <x v="3526"/>
    <x v="132"/>
    <x v="834"/>
    <x v="1161"/>
    <x v="805"/>
    <x v="3993"/>
    <x v="3978"/>
    <x v="3479"/>
    <x v="3"/>
    <x v="3935"/>
    <x v="3996"/>
    <x v="822"/>
    <x v="0"/>
    <x v="0"/>
    <x v="4"/>
    <x v="119"/>
    <x v="0"/>
    <x v="619"/>
    <x v="18"/>
    <x v="3"/>
    <x v="720"/>
  </r>
  <r>
    <x v="0"/>
    <x v="1750"/>
    <x v="372"/>
    <x v="75"/>
    <x v="241"/>
    <x v="672"/>
    <x v="448"/>
    <x v="4"/>
    <x v="270"/>
    <x v="1556"/>
    <x v="2146"/>
    <x v="2791"/>
    <x v="3994"/>
    <x v="3979"/>
    <x v="3480"/>
    <x v="1"/>
    <x v="3936"/>
    <x v="3997"/>
    <x v="671"/>
    <x v="0"/>
    <x v="0"/>
    <x v="11"/>
    <x v="119"/>
    <x v="51"/>
    <x v="259"/>
    <x v="0"/>
    <x v="10"/>
    <x v="562"/>
  </r>
  <r>
    <x v="1"/>
    <x v="1391"/>
    <x v="345"/>
    <x v="17"/>
    <x v="77"/>
    <x v="25"/>
    <x v="290"/>
    <x v="4"/>
    <x v="269"/>
    <x v="1557"/>
    <x v="2357"/>
    <x v="2270"/>
    <x v="3995"/>
    <x v="3980"/>
    <x v="1933"/>
    <x v="0"/>
    <x v="3937"/>
    <x v="3998"/>
    <x v="538"/>
    <x v="0"/>
    <x v="0"/>
    <x v="9"/>
    <x v="119"/>
    <x v="60"/>
    <x v="333"/>
    <x v="24"/>
    <x v="21"/>
    <x v="1"/>
  </r>
  <r>
    <x v="0"/>
    <x v="1129"/>
    <x v="441"/>
    <x v="50"/>
    <x v="134"/>
    <x v="850"/>
    <x v="438"/>
    <x v="3527"/>
    <x v="125"/>
    <x v="792"/>
    <x v="2358"/>
    <x v="2792"/>
    <x v="3996"/>
    <x v="3981"/>
    <x v="1540"/>
    <x v="3"/>
    <x v="3938"/>
    <x v="3999"/>
    <x v="824"/>
    <x v="0"/>
    <x v="0"/>
    <x v="4"/>
    <x v="4"/>
    <x v="15"/>
    <x v="821"/>
    <x v="31"/>
    <x v="3"/>
    <x v="608"/>
  </r>
  <r>
    <x v="0"/>
    <x v="113"/>
    <x v="428"/>
    <x v="179"/>
    <x v="88"/>
    <x v="298"/>
    <x v="385"/>
    <x v="4"/>
    <x v="783"/>
    <x v="1558"/>
    <x v="2359"/>
    <x v="2793"/>
    <x v="3997"/>
    <x v="3982"/>
    <x v="2693"/>
    <x v="0"/>
    <x v="3939"/>
    <x v="4000"/>
    <x v="678"/>
    <x v="0"/>
    <x v="0"/>
    <x v="7"/>
    <x v="4"/>
    <x v="4"/>
    <x v="253"/>
    <x v="6"/>
    <x v="8"/>
    <x v="103"/>
  </r>
  <r>
    <x v="1"/>
    <x v="1793"/>
    <x v="74"/>
    <x v="51"/>
    <x v="403"/>
    <x v="254"/>
    <x v="710"/>
    <x v="4"/>
    <x v="812"/>
    <x v="1486"/>
    <x v="2360"/>
    <x v="2794"/>
    <x v="3998"/>
    <x v="3983"/>
    <x v="3271"/>
    <x v="0"/>
    <x v="3940"/>
    <x v="4001"/>
    <x v="402"/>
    <x v="0"/>
    <x v="0"/>
    <x v="11"/>
    <x v="119"/>
    <x v="74"/>
    <x v="733"/>
    <x v="6"/>
    <x v="15"/>
    <x v="1"/>
  </r>
  <r>
    <x v="0"/>
    <x v="1794"/>
    <x v="447"/>
    <x v="77"/>
    <x v="174"/>
    <x v="87"/>
    <x v="206"/>
    <x v="3528"/>
    <x v="125"/>
    <x v="558"/>
    <x v="2361"/>
    <x v="2795"/>
    <x v="3999"/>
    <x v="3984"/>
    <x v="701"/>
    <x v="0"/>
    <x v="3941"/>
    <x v="4002"/>
    <x v="420"/>
    <x v="0"/>
    <x v="0"/>
    <x v="0"/>
    <x v="119"/>
    <x v="7"/>
    <x v="845"/>
    <x v="56"/>
    <x v="3"/>
    <x v="721"/>
  </r>
  <r>
    <x v="0"/>
    <x v="776"/>
    <x v="455"/>
    <x v="56"/>
    <x v="0"/>
    <x v="358"/>
    <x v="734"/>
    <x v="3529"/>
    <x v="17"/>
    <x v="1559"/>
    <x v="2362"/>
    <x v="2796"/>
    <x v="4000"/>
    <x v="3985"/>
    <x v="3481"/>
    <x v="1"/>
    <x v="3942"/>
    <x v="4003"/>
    <x v="354"/>
    <x v="0"/>
    <x v="0"/>
    <x v="4"/>
    <x v="119"/>
    <x v="9"/>
    <x v="255"/>
    <x v="0"/>
    <x v="3"/>
    <x v="66"/>
  </r>
  <r>
    <x v="0"/>
    <x v="1795"/>
    <x v="207"/>
    <x v="54"/>
    <x v="198"/>
    <x v="869"/>
    <x v="735"/>
    <x v="3530"/>
    <x v="219"/>
    <x v="1560"/>
    <x v="2363"/>
    <x v="2797"/>
    <x v="4001"/>
    <x v="3986"/>
    <x v="3033"/>
    <x v="1"/>
    <x v="3943"/>
    <x v="4004"/>
    <x v="632"/>
    <x v="0"/>
    <x v="0"/>
    <x v="2"/>
    <x v="119"/>
    <x v="42"/>
    <x v="696"/>
    <x v="75"/>
    <x v="3"/>
    <x v="306"/>
  </r>
  <r>
    <x v="0"/>
    <x v="1626"/>
    <x v="225"/>
    <x v="55"/>
    <x v="240"/>
    <x v="250"/>
    <x v="736"/>
    <x v="3531"/>
    <x v="319"/>
    <x v="1561"/>
    <x v="2364"/>
    <x v="2798"/>
    <x v="4002"/>
    <x v="3987"/>
    <x v="761"/>
    <x v="1"/>
    <x v="3944"/>
    <x v="4005"/>
    <x v="360"/>
    <x v="0"/>
    <x v="0"/>
    <x v="4"/>
    <x v="119"/>
    <x v="32"/>
    <x v="216"/>
    <x v="12"/>
    <x v="3"/>
    <x v="198"/>
  </r>
  <r>
    <x v="0"/>
    <x v="1310"/>
    <x v="479"/>
    <x v="50"/>
    <x v="266"/>
    <x v="889"/>
    <x v="138"/>
    <x v="3532"/>
    <x v="270"/>
    <x v="257"/>
    <x v="640"/>
    <x v="2799"/>
    <x v="4003"/>
    <x v="3988"/>
    <x v="2870"/>
    <x v="0"/>
    <x v="3945"/>
    <x v="4006"/>
    <x v="790"/>
    <x v="0"/>
    <x v="0"/>
    <x v="4"/>
    <x v="4"/>
    <x v="14"/>
    <x v="398"/>
    <x v="8"/>
    <x v="2"/>
    <x v="342"/>
  </r>
  <r>
    <x v="0"/>
    <x v="1796"/>
    <x v="346"/>
    <x v="78"/>
    <x v="5"/>
    <x v="705"/>
    <x v="398"/>
    <x v="3533"/>
    <x v="200"/>
    <x v="721"/>
    <x v="2365"/>
    <x v="1349"/>
    <x v="4004"/>
    <x v="3989"/>
    <x v="3482"/>
    <x v="1"/>
    <x v="3946"/>
    <x v="4007"/>
    <x v="558"/>
    <x v="0"/>
    <x v="0"/>
    <x v="0"/>
    <x v="119"/>
    <x v="19"/>
    <x v="159"/>
    <x v="15"/>
    <x v="3"/>
    <x v="722"/>
  </r>
  <r>
    <x v="0"/>
    <x v="113"/>
    <x v="4"/>
    <x v="169"/>
    <x v="88"/>
    <x v="292"/>
    <x v="275"/>
    <x v="4"/>
    <x v="269"/>
    <x v="1498"/>
    <x v="2366"/>
    <x v="2275"/>
    <x v="4005"/>
    <x v="3990"/>
    <x v="1492"/>
    <x v="0"/>
    <x v="3947"/>
    <x v="4008"/>
    <x v="326"/>
    <x v="0"/>
    <x v="5"/>
    <x v="1"/>
    <x v="159"/>
    <x v="4"/>
    <x v="526"/>
    <x v="38"/>
    <x v="2"/>
    <x v="723"/>
  </r>
  <r>
    <x v="0"/>
    <x v="485"/>
    <x v="74"/>
    <x v="85"/>
    <x v="250"/>
    <x v="738"/>
    <x v="0"/>
    <x v="3534"/>
    <x v="17"/>
    <x v="1562"/>
    <x v="2367"/>
    <x v="2800"/>
    <x v="4006"/>
    <x v="3991"/>
    <x v="1409"/>
    <x v="0"/>
    <x v="3948"/>
    <x v="4009"/>
    <x v="568"/>
    <x v="8"/>
    <x v="4"/>
    <x v="0"/>
    <x v="4"/>
    <x v="12"/>
    <x v="367"/>
    <x v="6"/>
    <x v="1"/>
    <x v="1"/>
  </r>
  <r>
    <x v="0"/>
    <x v="1797"/>
    <x v="249"/>
    <x v="45"/>
    <x v="139"/>
    <x v="294"/>
    <x v="23"/>
    <x v="3535"/>
    <x v="200"/>
    <x v="613"/>
    <x v="2368"/>
    <x v="722"/>
    <x v="4007"/>
    <x v="3992"/>
    <x v="3483"/>
    <x v="0"/>
    <x v="3949"/>
    <x v="4010"/>
    <x v="290"/>
    <x v="0"/>
    <x v="1"/>
    <x v="4"/>
    <x v="325"/>
    <x v="15"/>
    <x v="209"/>
    <x v="8"/>
    <x v="3"/>
    <x v="103"/>
  </r>
  <r>
    <x v="0"/>
    <x v="1798"/>
    <x v="422"/>
    <x v="87"/>
    <x v="0"/>
    <x v="636"/>
    <x v="281"/>
    <x v="3536"/>
    <x v="127"/>
    <x v="1563"/>
    <x v="1613"/>
    <x v="2801"/>
    <x v="4008"/>
    <x v="3031"/>
    <x v="1702"/>
    <x v="1"/>
    <x v="3950"/>
    <x v="4011"/>
    <x v="671"/>
    <x v="0"/>
    <x v="0"/>
    <x v="4"/>
    <x v="119"/>
    <x v="21"/>
    <x v="302"/>
    <x v="46"/>
    <x v="3"/>
    <x v="692"/>
  </r>
  <r>
    <x v="0"/>
    <x v="872"/>
    <x v="193"/>
    <x v="56"/>
    <x v="317"/>
    <x v="850"/>
    <x v="493"/>
    <x v="3537"/>
    <x v="813"/>
    <x v="1322"/>
    <x v="1700"/>
    <x v="2802"/>
    <x v="4009"/>
    <x v="3993"/>
    <x v="2198"/>
    <x v="0"/>
    <x v="3951"/>
    <x v="4012"/>
    <x v="578"/>
    <x v="0"/>
    <x v="0"/>
    <x v="4"/>
    <x v="119"/>
    <x v="25"/>
    <x v="347"/>
    <x v="19"/>
    <x v="3"/>
    <x v="1"/>
  </r>
  <r>
    <x v="0"/>
    <x v="1452"/>
    <x v="395"/>
    <x v="78"/>
    <x v="281"/>
    <x v="578"/>
    <x v="0"/>
    <x v="3538"/>
    <x v="200"/>
    <x v="48"/>
    <x v="597"/>
    <x v="2803"/>
    <x v="4010"/>
    <x v="3289"/>
    <x v="3484"/>
    <x v="0"/>
    <x v="3952"/>
    <x v="4013"/>
    <x v="327"/>
    <x v="0"/>
    <x v="0"/>
    <x v="4"/>
    <x v="4"/>
    <x v="5"/>
    <x v="375"/>
    <x v="4"/>
    <x v="1"/>
    <x v="1"/>
  </r>
  <r>
    <x v="0"/>
    <x v="1799"/>
    <x v="209"/>
    <x v="71"/>
    <x v="122"/>
    <x v="788"/>
    <x v="454"/>
    <x v="4"/>
    <x v="814"/>
    <x v="1564"/>
    <x v="2369"/>
    <x v="2804"/>
    <x v="4011"/>
    <x v="3994"/>
    <x v="1992"/>
    <x v="1"/>
    <x v="3953"/>
    <x v="4014"/>
    <x v="674"/>
    <x v="0"/>
    <x v="0"/>
    <x v="3"/>
    <x v="119"/>
    <x v="49"/>
    <x v="235"/>
    <x v="6"/>
    <x v="8"/>
    <x v="1"/>
  </r>
  <r>
    <x v="0"/>
    <x v="1800"/>
    <x v="417"/>
    <x v="42"/>
    <x v="106"/>
    <x v="346"/>
    <x v="266"/>
    <x v="3539"/>
    <x v="471"/>
    <x v="483"/>
    <x v="2370"/>
    <x v="2805"/>
    <x v="4012"/>
    <x v="3995"/>
    <x v="3485"/>
    <x v="0"/>
    <x v="3954"/>
    <x v="4015"/>
    <x v="769"/>
    <x v="0"/>
    <x v="0"/>
    <x v="4"/>
    <x v="119"/>
    <x v="27"/>
    <x v="362"/>
    <x v="43"/>
    <x v="10"/>
    <x v="426"/>
  </r>
  <r>
    <x v="0"/>
    <x v="1801"/>
    <x v="421"/>
    <x v="54"/>
    <x v="176"/>
    <x v="69"/>
    <x v="275"/>
    <x v="3540"/>
    <x v="70"/>
    <x v="1565"/>
    <x v="2371"/>
    <x v="2806"/>
    <x v="4013"/>
    <x v="3996"/>
    <x v="3486"/>
    <x v="0"/>
    <x v="3955"/>
    <x v="4016"/>
    <x v="769"/>
    <x v="0"/>
    <x v="0"/>
    <x v="4"/>
    <x v="119"/>
    <x v="13"/>
    <x v="735"/>
    <x v="43"/>
    <x v="3"/>
    <x v="724"/>
  </r>
  <r>
    <x v="0"/>
    <x v="427"/>
    <x v="356"/>
    <x v="50"/>
    <x v="0"/>
    <x v="866"/>
    <x v="59"/>
    <x v="4"/>
    <x v="17"/>
    <x v="101"/>
    <x v="2372"/>
    <x v="2807"/>
    <x v="4014"/>
    <x v="3997"/>
    <x v="1953"/>
    <x v="0"/>
    <x v="3956"/>
    <x v="4017"/>
    <x v="339"/>
    <x v="0"/>
    <x v="0"/>
    <x v="2"/>
    <x v="119"/>
    <x v="33"/>
    <x v="781"/>
    <x v="25"/>
    <x v="3"/>
    <x v="1"/>
  </r>
  <r>
    <x v="0"/>
    <x v="1802"/>
    <x v="212"/>
    <x v="27"/>
    <x v="31"/>
    <x v="475"/>
    <x v="2"/>
    <x v="3541"/>
    <x v="270"/>
    <x v="72"/>
    <x v="2373"/>
    <x v="2771"/>
    <x v="4015"/>
    <x v="3998"/>
    <x v="3487"/>
    <x v="4"/>
    <x v="3957"/>
    <x v="4018"/>
    <x v="231"/>
    <x v="0"/>
    <x v="0"/>
    <x v="4"/>
    <x v="274"/>
    <x v="18"/>
    <x v="869"/>
    <x v="1"/>
    <x v="3"/>
    <x v="725"/>
  </r>
  <r>
    <x v="0"/>
    <x v="1803"/>
    <x v="324"/>
    <x v="101"/>
    <x v="174"/>
    <x v="107"/>
    <x v="22"/>
    <x v="3542"/>
    <x v="408"/>
    <x v="430"/>
    <x v="26"/>
    <x v="2808"/>
    <x v="4016"/>
    <x v="3999"/>
    <x v="3488"/>
    <x v="3"/>
    <x v="3958"/>
    <x v="4019"/>
    <x v="562"/>
    <x v="0"/>
    <x v="0"/>
    <x v="4"/>
    <x v="209"/>
    <x v="15"/>
    <x v="12"/>
    <x v="28"/>
    <x v="3"/>
    <x v="1"/>
  </r>
  <r>
    <x v="0"/>
    <x v="1178"/>
    <x v="372"/>
    <x v="26"/>
    <x v="346"/>
    <x v="609"/>
    <x v="14"/>
    <x v="3543"/>
    <x v="113"/>
    <x v="61"/>
    <x v="544"/>
    <x v="2809"/>
    <x v="4017"/>
    <x v="4000"/>
    <x v="3489"/>
    <x v="2"/>
    <x v="3959"/>
    <x v="4020"/>
    <x v="365"/>
    <x v="0"/>
    <x v="0"/>
    <x v="4"/>
    <x v="296"/>
    <x v="25"/>
    <x v="402"/>
    <x v="8"/>
    <x v="3"/>
    <x v="1"/>
  </r>
  <r>
    <x v="1"/>
    <x v="1350"/>
    <x v="292"/>
    <x v="107"/>
    <x v="360"/>
    <x v="764"/>
    <x v="98"/>
    <x v="3544"/>
    <x v="105"/>
    <x v="1566"/>
    <x v="2374"/>
    <x v="2407"/>
    <x v="4018"/>
    <x v="4001"/>
    <x v="863"/>
    <x v="0"/>
    <x v="3960"/>
    <x v="4021"/>
    <x v="301"/>
    <x v="0"/>
    <x v="0"/>
    <x v="4"/>
    <x v="4"/>
    <x v="3"/>
    <x v="670"/>
    <x v="38"/>
    <x v="3"/>
    <x v="59"/>
  </r>
  <r>
    <x v="0"/>
    <x v="81"/>
    <x v="194"/>
    <x v="50"/>
    <x v="64"/>
    <x v="272"/>
    <x v="240"/>
    <x v="3545"/>
    <x v="152"/>
    <x v="623"/>
    <x v="2375"/>
    <x v="2810"/>
    <x v="4019"/>
    <x v="4002"/>
    <x v="2080"/>
    <x v="1"/>
    <x v="3961"/>
    <x v="4022"/>
    <x v="299"/>
    <x v="36"/>
    <x v="1"/>
    <x v="4"/>
    <x v="119"/>
    <x v="12"/>
    <x v="863"/>
    <x v="11"/>
    <x v="1"/>
    <x v="1"/>
  </r>
  <r>
    <x v="0"/>
    <x v="1686"/>
    <x v="263"/>
    <x v="90"/>
    <x v="392"/>
    <x v="157"/>
    <x v="13"/>
    <x v="3546"/>
    <x v="200"/>
    <x v="93"/>
    <x v="365"/>
    <x v="2141"/>
    <x v="4020"/>
    <x v="4003"/>
    <x v="3490"/>
    <x v="12"/>
    <x v="3962"/>
    <x v="4023"/>
    <x v="233"/>
    <x v="0"/>
    <x v="0"/>
    <x v="1"/>
    <x v="119"/>
    <x v="20"/>
    <x v="6"/>
    <x v="6"/>
    <x v="3"/>
    <x v="1"/>
  </r>
  <r>
    <x v="0"/>
    <x v="858"/>
    <x v="430"/>
    <x v="71"/>
    <x v="314"/>
    <x v="670"/>
    <x v="371"/>
    <x v="3547"/>
    <x v="771"/>
    <x v="1567"/>
    <x v="2376"/>
    <x v="2811"/>
    <x v="4021"/>
    <x v="4004"/>
    <x v="1889"/>
    <x v="1"/>
    <x v="3963"/>
    <x v="4024"/>
    <x v="792"/>
    <x v="0"/>
    <x v="0"/>
    <x v="4"/>
    <x v="119"/>
    <x v="17"/>
    <x v="814"/>
    <x v="4"/>
    <x v="3"/>
    <x v="285"/>
  </r>
  <r>
    <x v="0"/>
    <x v="609"/>
    <x v="461"/>
    <x v="58"/>
    <x v="0"/>
    <x v="174"/>
    <x v="1"/>
    <x v="3548"/>
    <x v="815"/>
    <x v="1"/>
    <x v="812"/>
    <x v="2812"/>
    <x v="4022"/>
    <x v="4005"/>
    <x v="3491"/>
    <x v="0"/>
    <x v="3964"/>
    <x v="4025"/>
    <x v="292"/>
    <x v="0"/>
    <x v="0"/>
    <x v="4"/>
    <x v="119"/>
    <x v="11"/>
    <x v="13"/>
    <x v="28"/>
    <x v="1"/>
    <x v="35"/>
  </r>
  <r>
    <x v="0"/>
    <x v="1257"/>
    <x v="472"/>
    <x v="60"/>
    <x v="0"/>
    <x v="303"/>
    <x v="580"/>
    <x v="3549"/>
    <x v="150"/>
    <x v="1114"/>
    <x v="2377"/>
    <x v="2646"/>
    <x v="4023"/>
    <x v="4006"/>
    <x v="3492"/>
    <x v="0"/>
    <x v="3965"/>
    <x v="4026"/>
    <x v="851"/>
    <x v="24"/>
    <x v="18"/>
    <x v="4"/>
    <x v="119"/>
    <x v="17"/>
    <x v="489"/>
    <x v="26"/>
    <x v="1"/>
    <x v="132"/>
  </r>
  <r>
    <x v="0"/>
    <x v="1804"/>
    <x v="307"/>
    <x v="47"/>
    <x v="89"/>
    <x v="402"/>
    <x v="622"/>
    <x v="3550"/>
    <x v="463"/>
    <x v="1568"/>
    <x v="2378"/>
    <x v="2813"/>
    <x v="4024"/>
    <x v="4007"/>
    <x v="2318"/>
    <x v="0"/>
    <x v="3966"/>
    <x v="4027"/>
    <x v="632"/>
    <x v="0"/>
    <x v="0"/>
    <x v="2"/>
    <x v="209"/>
    <x v="5"/>
    <x v="360"/>
    <x v="22"/>
    <x v="0"/>
    <x v="1"/>
  </r>
  <r>
    <x v="0"/>
    <x v="1805"/>
    <x v="319"/>
    <x v="107"/>
    <x v="68"/>
    <x v="342"/>
    <x v="337"/>
    <x v="3551"/>
    <x v="131"/>
    <x v="607"/>
    <x v="2379"/>
    <x v="2814"/>
    <x v="4025"/>
    <x v="4008"/>
    <x v="3493"/>
    <x v="2"/>
    <x v="3967"/>
    <x v="4028"/>
    <x v="273"/>
    <x v="0"/>
    <x v="4"/>
    <x v="9"/>
    <x v="119"/>
    <x v="10"/>
    <x v="302"/>
    <x v="9"/>
    <x v="1"/>
    <x v="40"/>
  </r>
  <r>
    <x v="0"/>
    <x v="1806"/>
    <x v="451"/>
    <x v="59"/>
    <x v="0"/>
    <x v="143"/>
    <x v="737"/>
    <x v="3552"/>
    <x v="170"/>
    <x v="1569"/>
    <x v="2380"/>
    <x v="2815"/>
    <x v="4026"/>
    <x v="4009"/>
    <x v="1226"/>
    <x v="4"/>
    <x v="4"/>
    <x v="4029"/>
    <x v="824"/>
    <x v="0"/>
    <x v="12"/>
    <x v="4"/>
    <x v="119"/>
    <x v="6"/>
    <x v="299"/>
    <x v="40"/>
    <x v="2"/>
    <x v="548"/>
  </r>
  <r>
    <x v="0"/>
    <x v="1807"/>
    <x v="409"/>
    <x v="58"/>
    <x v="134"/>
    <x v="402"/>
    <x v="272"/>
    <x v="4"/>
    <x v="369"/>
    <x v="496"/>
    <x v="1309"/>
    <x v="2230"/>
    <x v="4027"/>
    <x v="4010"/>
    <x v="3494"/>
    <x v="1"/>
    <x v="3968"/>
    <x v="4030"/>
    <x v="216"/>
    <x v="0"/>
    <x v="0"/>
    <x v="4"/>
    <x v="119"/>
    <x v="25"/>
    <x v="677"/>
    <x v="8"/>
    <x v="3"/>
    <x v="1"/>
  </r>
  <r>
    <x v="0"/>
    <x v="1808"/>
    <x v="451"/>
    <x v="101"/>
    <x v="50"/>
    <x v="890"/>
    <x v="634"/>
    <x v="3553"/>
    <x v="816"/>
    <x v="1570"/>
    <x v="2381"/>
    <x v="2816"/>
    <x v="4028"/>
    <x v="4011"/>
    <x v="3495"/>
    <x v="0"/>
    <x v="3969"/>
    <x v="4031"/>
    <x v="684"/>
    <x v="1"/>
    <x v="0"/>
    <x v="2"/>
    <x v="119"/>
    <x v="7"/>
    <x v="692"/>
    <x v="13"/>
    <x v="2"/>
    <x v="507"/>
  </r>
  <r>
    <x v="0"/>
    <x v="1809"/>
    <x v="61"/>
    <x v="32"/>
    <x v="308"/>
    <x v="125"/>
    <x v="57"/>
    <x v="3554"/>
    <x v="270"/>
    <x v="125"/>
    <x v="2382"/>
    <x v="2817"/>
    <x v="4029"/>
    <x v="4012"/>
    <x v="3496"/>
    <x v="0"/>
    <x v="3970"/>
    <x v="4032"/>
    <x v="137"/>
    <x v="0"/>
    <x v="1"/>
    <x v="9"/>
    <x v="4"/>
    <x v="0"/>
    <x v="870"/>
    <x v="11"/>
    <x v="8"/>
    <x v="1"/>
  </r>
  <r>
    <x v="0"/>
    <x v="1810"/>
    <x v="194"/>
    <x v="77"/>
    <x v="262"/>
    <x v="109"/>
    <x v="98"/>
    <x v="3555"/>
    <x v="105"/>
    <x v="1566"/>
    <x v="2383"/>
    <x v="134"/>
    <x v="4030"/>
    <x v="4013"/>
    <x v="1721"/>
    <x v="7"/>
    <x v="3971"/>
    <x v="4033"/>
    <x v="487"/>
    <x v="0"/>
    <x v="0"/>
    <x v="0"/>
    <x v="4"/>
    <x v="10"/>
    <x v="526"/>
    <x v="20"/>
    <x v="3"/>
    <x v="1"/>
  </r>
  <r>
    <x v="0"/>
    <x v="113"/>
    <x v="81"/>
    <x v="15"/>
    <x v="88"/>
    <x v="236"/>
    <x v="253"/>
    <x v="4"/>
    <x v="321"/>
    <x v="931"/>
    <x v="1455"/>
    <x v="298"/>
    <x v="4031"/>
    <x v="4014"/>
    <x v="3497"/>
    <x v="3"/>
    <x v="3972"/>
    <x v="4034"/>
    <x v="631"/>
    <x v="0"/>
    <x v="0"/>
    <x v="1"/>
    <x v="4"/>
    <x v="4"/>
    <x v="680"/>
    <x v="40"/>
    <x v="0"/>
    <x v="563"/>
  </r>
  <r>
    <x v="0"/>
    <x v="1811"/>
    <x v="150"/>
    <x v="101"/>
    <x v="122"/>
    <x v="229"/>
    <x v="41"/>
    <x v="3556"/>
    <x v="127"/>
    <x v="396"/>
    <x v="201"/>
    <x v="2818"/>
    <x v="4032"/>
    <x v="4015"/>
    <x v="3498"/>
    <x v="3"/>
    <x v="3973"/>
    <x v="4035"/>
    <x v="756"/>
    <x v="0"/>
    <x v="0"/>
    <x v="4"/>
    <x v="119"/>
    <x v="3"/>
    <x v="13"/>
    <x v="43"/>
    <x v="1"/>
    <x v="1"/>
  </r>
  <r>
    <x v="0"/>
    <x v="113"/>
    <x v="478"/>
    <x v="104"/>
    <x v="88"/>
    <x v="377"/>
    <x v="309"/>
    <x v="4"/>
    <x v="817"/>
    <x v="1240"/>
    <x v="2384"/>
    <x v="2819"/>
    <x v="4033"/>
    <x v="4016"/>
    <x v="3499"/>
    <x v="0"/>
    <x v="3974"/>
    <x v="4036"/>
    <x v="510"/>
    <x v="0"/>
    <x v="0"/>
    <x v="1"/>
    <x v="4"/>
    <x v="4"/>
    <x v="735"/>
    <x v="0"/>
    <x v="12"/>
    <x v="67"/>
  </r>
  <r>
    <x v="0"/>
    <x v="1812"/>
    <x v="93"/>
    <x v="60"/>
    <x v="167"/>
    <x v="251"/>
    <x v="138"/>
    <x v="4"/>
    <x v="677"/>
    <x v="459"/>
    <x v="1439"/>
    <x v="2820"/>
    <x v="4034"/>
    <x v="4017"/>
    <x v="2342"/>
    <x v="4"/>
    <x v="3975"/>
    <x v="4037"/>
    <x v="788"/>
    <x v="0"/>
    <x v="0"/>
    <x v="0"/>
    <x v="4"/>
    <x v="14"/>
    <x v="719"/>
    <x v="40"/>
    <x v="2"/>
    <x v="726"/>
  </r>
  <r>
    <x v="0"/>
    <x v="1813"/>
    <x v="249"/>
    <x v="41"/>
    <x v="266"/>
    <x v="740"/>
    <x v="738"/>
    <x v="3557"/>
    <x v="125"/>
    <x v="1571"/>
    <x v="2385"/>
    <x v="2821"/>
    <x v="4035"/>
    <x v="4018"/>
    <x v="782"/>
    <x v="3"/>
    <x v="3976"/>
    <x v="4038"/>
    <x v="409"/>
    <x v="0"/>
    <x v="0"/>
    <x v="4"/>
    <x v="119"/>
    <x v="3"/>
    <x v="320"/>
    <x v="43"/>
    <x v="0"/>
    <x v="1"/>
  </r>
  <r>
    <x v="0"/>
    <x v="196"/>
    <x v="177"/>
    <x v="70"/>
    <x v="138"/>
    <x v="593"/>
    <x v="22"/>
    <x v="1829"/>
    <x v="168"/>
    <x v="639"/>
    <x v="1241"/>
    <x v="1454"/>
    <x v="1923"/>
    <x v="4019"/>
    <x v="1836"/>
    <x v="1"/>
    <x v="1911"/>
    <x v="1923"/>
    <x v="147"/>
    <x v="0"/>
    <x v="0"/>
    <x v="4"/>
    <x v="131"/>
    <x v="11"/>
    <x v="584"/>
    <x v="19"/>
    <x v="1"/>
    <x v="1"/>
  </r>
  <r>
    <x v="0"/>
    <x v="113"/>
    <x v="169"/>
    <x v="84"/>
    <x v="88"/>
    <x v="549"/>
    <x v="739"/>
    <x v="4"/>
    <x v="270"/>
    <x v="1572"/>
    <x v="2386"/>
    <x v="2822"/>
    <x v="4036"/>
    <x v="4020"/>
    <x v="3500"/>
    <x v="0"/>
    <x v="3977"/>
    <x v="4039"/>
    <x v="822"/>
    <x v="0"/>
    <x v="1"/>
    <x v="1"/>
    <x v="4"/>
    <x v="4"/>
    <x v="705"/>
    <x v="32"/>
    <x v="8"/>
    <x v="727"/>
  </r>
  <r>
    <x v="0"/>
    <x v="1261"/>
    <x v="361"/>
    <x v="42"/>
    <x v="143"/>
    <x v="367"/>
    <x v="740"/>
    <x v="3558"/>
    <x v="334"/>
    <x v="1573"/>
    <x v="2387"/>
    <x v="2823"/>
    <x v="4037"/>
    <x v="4021"/>
    <x v="1144"/>
    <x v="0"/>
    <x v="3978"/>
    <x v="4040"/>
    <x v="388"/>
    <x v="15"/>
    <x v="8"/>
    <x v="4"/>
    <x v="207"/>
    <x v="14"/>
    <x v="753"/>
    <x v="38"/>
    <x v="3"/>
    <x v="728"/>
  </r>
  <r>
    <x v="0"/>
    <x v="1814"/>
    <x v="385"/>
    <x v="7"/>
    <x v="180"/>
    <x v="324"/>
    <x v="0"/>
    <x v="3559"/>
    <x v="156"/>
    <x v="1574"/>
    <x v="751"/>
    <x v="2824"/>
    <x v="4038"/>
    <x v="4022"/>
    <x v="2101"/>
    <x v="1"/>
    <x v="4"/>
    <x v="4041"/>
    <x v="824"/>
    <x v="0"/>
    <x v="0"/>
    <x v="4"/>
    <x v="119"/>
    <x v="10"/>
    <x v="451"/>
    <x v="18"/>
    <x v="2"/>
    <x v="358"/>
  </r>
  <r>
    <x v="0"/>
    <x v="1815"/>
    <x v="315"/>
    <x v="76"/>
    <x v="129"/>
    <x v="38"/>
    <x v="741"/>
    <x v="3560"/>
    <x v="381"/>
    <x v="1575"/>
    <x v="2388"/>
    <x v="2825"/>
    <x v="4039"/>
    <x v="4023"/>
    <x v="2977"/>
    <x v="0"/>
    <x v="3979"/>
    <x v="4042"/>
    <x v="823"/>
    <x v="0"/>
    <x v="0"/>
    <x v="4"/>
    <x v="240"/>
    <x v="0"/>
    <x v="369"/>
    <x v="54"/>
    <x v="1"/>
    <x v="1"/>
  </r>
  <r>
    <x v="0"/>
    <x v="1816"/>
    <x v="393"/>
    <x v="55"/>
    <x v="404"/>
    <x v="149"/>
    <x v="237"/>
    <x v="3561"/>
    <x v="200"/>
    <x v="1000"/>
    <x v="2389"/>
    <x v="2826"/>
    <x v="4040"/>
    <x v="4024"/>
    <x v="3501"/>
    <x v="1"/>
    <x v="3980"/>
    <x v="4043"/>
    <x v="719"/>
    <x v="0"/>
    <x v="0"/>
    <x v="4"/>
    <x v="119"/>
    <x v="15"/>
    <x v="871"/>
    <x v="10"/>
    <x v="3"/>
    <x v="575"/>
  </r>
  <r>
    <x v="0"/>
    <x v="1021"/>
    <x v="215"/>
    <x v="40"/>
    <x v="146"/>
    <x v="753"/>
    <x v="35"/>
    <x v="3562"/>
    <x v="211"/>
    <x v="280"/>
    <x v="1918"/>
    <x v="2827"/>
    <x v="4041"/>
    <x v="4025"/>
    <x v="3502"/>
    <x v="2"/>
    <x v="3981"/>
    <x v="4044"/>
    <x v="630"/>
    <x v="0"/>
    <x v="8"/>
    <x v="4"/>
    <x v="119"/>
    <x v="10"/>
    <x v="500"/>
    <x v="27"/>
    <x v="1"/>
    <x v="1"/>
  </r>
  <r>
    <x v="0"/>
    <x v="1817"/>
    <x v="362"/>
    <x v="107"/>
    <x v="0"/>
    <x v="37"/>
    <x v="521"/>
    <x v="3563"/>
    <x v="818"/>
    <x v="983"/>
    <x v="1314"/>
    <x v="2828"/>
    <x v="4042"/>
    <x v="4026"/>
    <x v="3394"/>
    <x v="0"/>
    <x v="3982"/>
    <x v="4045"/>
    <x v="755"/>
    <x v="0"/>
    <x v="25"/>
    <x v="4"/>
    <x v="4"/>
    <x v="0"/>
    <x v="744"/>
    <x v="5"/>
    <x v="3"/>
    <x v="588"/>
  </r>
  <r>
    <x v="0"/>
    <x v="1818"/>
    <x v="459"/>
    <x v="105"/>
    <x v="193"/>
    <x v="167"/>
    <x v="427"/>
    <x v="4"/>
    <x v="381"/>
    <x v="776"/>
    <x v="1249"/>
    <x v="2184"/>
    <x v="4043"/>
    <x v="4027"/>
    <x v="3503"/>
    <x v="1"/>
    <x v="3983"/>
    <x v="4046"/>
    <x v="592"/>
    <x v="0"/>
    <x v="0"/>
    <x v="4"/>
    <x v="119"/>
    <x v="2"/>
    <x v="649"/>
    <x v="43"/>
    <x v="2"/>
    <x v="1"/>
  </r>
  <r>
    <x v="0"/>
    <x v="1819"/>
    <x v="369"/>
    <x v="110"/>
    <x v="0"/>
    <x v="566"/>
    <x v="742"/>
    <x v="4"/>
    <x v="125"/>
    <x v="1576"/>
    <x v="2390"/>
    <x v="2829"/>
    <x v="4044"/>
    <x v="4028"/>
    <x v="2237"/>
    <x v="1"/>
    <x v="3984"/>
    <x v="4047"/>
    <x v="343"/>
    <x v="0"/>
    <x v="0"/>
    <x v="4"/>
    <x v="119"/>
    <x v="12"/>
    <x v="327"/>
    <x v="47"/>
    <x v="0"/>
    <x v="729"/>
  </r>
  <r>
    <x v="0"/>
    <x v="24"/>
    <x v="19"/>
    <x v="26"/>
    <x v="17"/>
    <x v="21"/>
    <x v="1"/>
    <x v="33"/>
    <x v="15"/>
    <x v="1"/>
    <x v="29"/>
    <x v="28"/>
    <x v="33"/>
    <x v="4029"/>
    <x v="32"/>
    <x v="0"/>
    <x v="33"/>
    <x v="33"/>
    <x v="33"/>
    <x v="0"/>
    <x v="0"/>
    <x v="2"/>
    <x v="9"/>
    <x v="5"/>
    <x v="23"/>
    <x v="12"/>
    <x v="3"/>
    <x v="4"/>
  </r>
  <r>
    <x v="0"/>
    <x v="1820"/>
    <x v="4"/>
    <x v="78"/>
    <x v="48"/>
    <x v="210"/>
    <x v="0"/>
    <x v="4"/>
    <x v="125"/>
    <x v="369"/>
    <x v="331"/>
    <x v="2830"/>
    <x v="4045"/>
    <x v="2572"/>
    <x v="3504"/>
    <x v="1"/>
    <x v="3985"/>
    <x v="4048"/>
    <x v="326"/>
    <x v="0"/>
    <x v="0"/>
    <x v="0"/>
    <x v="119"/>
    <x v="0"/>
    <x v="222"/>
    <x v="5"/>
    <x v="3"/>
    <x v="730"/>
  </r>
  <r>
    <x v="0"/>
    <x v="1821"/>
    <x v="152"/>
    <x v="45"/>
    <x v="5"/>
    <x v="419"/>
    <x v="176"/>
    <x v="3564"/>
    <x v="270"/>
    <x v="1577"/>
    <x v="1551"/>
    <x v="2831"/>
    <x v="4046"/>
    <x v="4030"/>
    <x v="3505"/>
    <x v="4"/>
    <x v="3986"/>
    <x v="4049"/>
    <x v="792"/>
    <x v="0"/>
    <x v="0"/>
    <x v="4"/>
    <x v="119"/>
    <x v="0"/>
    <x v="246"/>
    <x v="18"/>
    <x v="2"/>
    <x v="165"/>
  </r>
  <r>
    <x v="0"/>
    <x v="1822"/>
    <x v="435"/>
    <x v="79"/>
    <x v="405"/>
    <x v="702"/>
    <x v="743"/>
    <x v="4"/>
    <x v="65"/>
    <x v="1578"/>
    <x v="2391"/>
    <x v="2832"/>
    <x v="4047"/>
    <x v="4031"/>
    <x v="3165"/>
    <x v="3"/>
    <x v="3987"/>
    <x v="4050"/>
    <x v="561"/>
    <x v="0"/>
    <x v="49"/>
    <x v="1"/>
    <x v="119"/>
    <x v="9"/>
    <x v="872"/>
    <x v="34"/>
    <x v="1"/>
    <x v="277"/>
  </r>
  <r>
    <x v="0"/>
    <x v="669"/>
    <x v="288"/>
    <x v="105"/>
    <x v="282"/>
    <x v="380"/>
    <x v="22"/>
    <x v="4"/>
    <x v="125"/>
    <x v="264"/>
    <x v="515"/>
    <x v="535"/>
    <x v="4048"/>
    <x v="4032"/>
    <x v="3506"/>
    <x v="4"/>
    <x v="3988"/>
    <x v="4051"/>
    <x v="432"/>
    <x v="0"/>
    <x v="0"/>
    <x v="4"/>
    <x v="4"/>
    <x v="11"/>
    <x v="30"/>
    <x v="34"/>
    <x v="3"/>
    <x v="1"/>
  </r>
  <r>
    <x v="0"/>
    <x v="1823"/>
    <x v="207"/>
    <x v="110"/>
    <x v="107"/>
    <x v="413"/>
    <x v="744"/>
    <x v="4"/>
    <x v="125"/>
    <x v="1579"/>
    <x v="2392"/>
    <x v="2833"/>
    <x v="4049"/>
    <x v="4033"/>
    <x v="2925"/>
    <x v="0"/>
    <x v="3989"/>
    <x v="4052"/>
    <x v="96"/>
    <x v="0"/>
    <x v="0"/>
    <x v="4"/>
    <x v="119"/>
    <x v="9"/>
    <x v="873"/>
    <x v="77"/>
    <x v="3"/>
    <x v="43"/>
  </r>
  <r>
    <x v="0"/>
    <x v="1824"/>
    <x v="430"/>
    <x v="78"/>
    <x v="67"/>
    <x v="891"/>
    <x v="35"/>
    <x v="4"/>
    <x v="258"/>
    <x v="504"/>
    <x v="2393"/>
    <x v="2834"/>
    <x v="4050"/>
    <x v="4034"/>
    <x v="3507"/>
    <x v="3"/>
    <x v="3990"/>
    <x v="4053"/>
    <x v="737"/>
    <x v="0"/>
    <x v="0"/>
    <x v="4"/>
    <x v="119"/>
    <x v="10"/>
    <x v="874"/>
    <x v="27"/>
    <x v="3"/>
    <x v="71"/>
  </r>
  <r>
    <x v="0"/>
    <x v="1002"/>
    <x v="314"/>
    <x v="80"/>
    <x v="109"/>
    <x v="446"/>
    <x v="42"/>
    <x v="4"/>
    <x v="111"/>
    <x v="1540"/>
    <x v="2394"/>
    <x v="2835"/>
    <x v="4051"/>
    <x v="4035"/>
    <x v="3495"/>
    <x v="0"/>
    <x v="3991"/>
    <x v="4054"/>
    <x v="528"/>
    <x v="0"/>
    <x v="0"/>
    <x v="11"/>
    <x v="119"/>
    <x v="58"/>
    <x v="507"/>
    <x v="38"/>
    <x v="1"/>
    <x v="67"/>
  </r>
  <r>
    <x v="0"/>
    <x v="1825"/>
    <x v="412"/>
    <x v="7"/>
    <x v="221"/>
    <x v="742"/>
    <x v="0"/>
    <x v="4"/>
    <x v="125"/>
    <x v="1226"/>
    <x v="2395"/>
    <x v="2836"/>
    <x v="4052"/>
    <x v="2316"/>
    <x v="3508"/>
    <x v="0"/>
    <x v="3992"/>
    <x v="4055"/>
    <x v="326"/>
    <x v="17"/>
    <x v="20"/>
    <x v="1"/>
    <x v="119"/>
    <x v="0"/>
    <x v="868"/>
    <x v="37"/>
    <x v="2"/>
    <x v="731"/>
  </r>
  <r>
    <x v="0"/>
    <x v="1826"/>
    <x v="479"/>
    <x v="76"/>
    <x v="193"/>
    <x v="264"/>
    <x v="35"/>
    <x v="4"/>
    <x v="582"/>
    <x v="1251"/>
    <x v="2396"/>
    <x v="2837"/>
    <x v="4053"/>
    <x v="3941"/>
    <x v="3509"/>
    <x v="0"/>
    <x v="3993"/>
    <x v="4056"/>
    <x v="561"/>
    <x v="0"/>
    <x v="0"/>
    <x v="1"/>
    <x v="297"/>
    <x v="9"/>
    <x v="802"/>
    <x v="31"/>
    <x v="1"/>
    <x v="732"/>
  </r>
  <r>
    <x v="2"/>
    <x v="1827"/>
    <x v="478"/>
    <x v="54"/>
    <x v="218"/>
    <x v="307"/>
    <x v="0"/>
    <x v="4"/>
    <x v="416"/>
    <x v="1110"/>
    <x v="2397"/>
    <x v="2838"/>
    <x v="4054"/>
    <x v="4036"/>
    <x v="3510"/>
    <x v="4"/>
    <x v="3994"/>
    <x v="4057"/>
    <x v="83"/>
    <x v="0"/>
    <x v="0"/>
    <x v="4"/>
    <x v="119"/>
    <x v="11"/>
    <x v="875"/>
    <x v="30"/>
    <x v="2"/>
    <x v="733"/>
  </r>
  <r>
    <x v="0"/>
    <x v="1828"/>
    <x v="489"/>
    <x v="87"/>
    <x v="134"/>
    <x v="78"/>
    <x v="272"/>
    <x v="4"/>
    <x v="582"/>
    <x v="496"/>
    <x v="2398"/>
    <x v="2839"/>
    <x v="4055"/>
    <x v="4037"/>
    <x v="3307"/>
    <x v="2"/>
    <x v="3995"/>
    <x v="4058"/>
    <x v="824"/>
    <x v="0"/>
    <x v="0"/>
    <x v="4"/>
    <x v="119"/>
    <x v="2"/>
    <x v="25"/>
    <x v="65"/>
    <x v="2"/>
    <x v="565"/>
  </r>
  <r>
    <x v="0"/>
    <x v="1829"/>
    <x v="435"/>
    <x v="55"/>
    <x v="93"/>
    <x v="683"/>
    <x v="446"/>
    <x v="4"/>
    <x v="819"/>
    <x v="1580"/>
    <x v="2399"/>
    <x v="2840"/>
    <x v="4056"/>
    <x v="4038"/>
    <x v="3511"/>
    <x v="1"/>
    <x v="3996"/>
    <x v="4059"/>
    <x v="561"/>
    <x v="0"/>
    <x v="20"/>
    <x v="1"/>
    <x v="119"/>
    <x v="32"/>
    <x v="725"/>
    <x v="5"/>
    <x v="3"/>
    <x v="734"/>
  </r>
  <r>
    <x v="0"/>
    <x v="85"/>
    <x v="22"/>
    <x v="72"/>
    <x v="0"/>
    <x v="95"/>
    <x v="35"/>
    <x v="324"/>
    <x v="158"/>
    <x v="177"/>
    <x v="263"/>
    <x v="120"/>
    <x v="332"/>
    <x v="4039"/>
    <x v="327"/>
    <x v="1"/>
    <x v="329"/>
    <x v="332"/>
    <x v="451"/>
    <x v="0"/>
    <x v="0"/>
    <x v="2"/>
    <x v="73"/>
    <x v="2"/>
    <x v="177"/>
    <x v="15"/>
    <x v="1"/>
    <x v="15"/>
  </r>
  <r>
    <x v="0"/>
    <x v="1830"/>
    <x v="492"/>
    <x v="50"/>
    <x v="0"/>
    <x v="781"/>
    <x v="179"/>
    <x v="4"/>
    <x v="820"/>
    <x v="420"/>
    <x v="2400"/>
    <x v="1763"/>
    <x v="4057"/>
    <x v="4040"/>
    <x v="3512"/>
    <x v="3"/>
    <x v="3997"/>
    <x v="4060"/>
    <x v="792"/>
    <x v="0"/>
    <x v="0"/>
    <x v="4"/>
    <x v="119"/>
    <x v="0"/>
    <x v="201"/>
    <x v="5"/>
    <x v="0"/>
    <x v="735"/>
  </r>
  <r>
    <x v="0"/>
    <x v="1831"/>
    <x v="384"/>
    <x v="54"/>
    <x v="143"/>
    <x v="130"/>
    <x v="35"/>
    <x v="4"/>
    <x v="105"/>
    <x v="65"/>
    <x v="2401"/>
    <x v="2841"/>
    <x v="4058"/>
    <x v="4041"/>
    <x v="1065"/>
    <x v="4"/>
    <x v="3998"/>
    <x v="4061"/>
    <x v="822"/>
    <x v="0"/>
    <x v="0"/>
    <x v="4"/>
    <x v="4"/>
    <x v="5"/>
    <x v="96"/>
    <x v="18"/>
    <x v="3"/>
    <x v="736"/>
  </r>
  <r>
    <x v="0"/>
    <x v="385"/>
    <x v="184"/>
    <x v="18"/>
    <x v="26"/>
    <x v="660"/>
    <x v="721"/>
    <x v="3565"/>
    <x v="270"/>
    <x v="1513"/>
    <x v="2402"/>
    <x v="2842"/>
    <x v="4059"/>
    <x v="4042"/>
    <x v="2276"/>
    <x v="0"/>
    <x v="3999"/>
    <x v="4062"/>
    <x v="73"/>
    <x v="30"/>
    <x v="49"/>
    <x v="4"/>
    <x v="326"/>
    <x v="20"/>
    <x v="876"/>
    <x v="25"/>
    <x v="1"/>
    <x v="1"/>
  </r>
  <r>
    <x v="0"/>
    <x v="1784"/>
    <x v="152"/>
    <x v="16"/>
    <x v="402"/>
    <x v="644"/>
    <x v="199"/>
    <x v="4"/>
    <x v="200"/>
    <x v="1581"/>
    <x v="2403"/>
    <x v="2720"/>
    <x v="4060"/>
    <x v="4043"/>
    <x v="2426"/>
    <x v="4"/>
    <x v="4000"/>
    <x v="4063"/>
    <x v="408"/>
    <x v="0"/>
    <x v="0"/>
    <x v="11"/>
    <x v="326"/>
    <x v="60"/>
    <x v="384"/>
    <x v="11"/>
    <x v="1"/>
    <x v="249"/>
  </r>
  <r>
    <x v="0"/>
    <x v="1832"/>
    <x v="419"/>
    <x v="110"/>
    <x v="138"/>
    <x v="605"/>
    <x v="5"/>
    <x v="4"/>
    <x v="339"/>
    <x v="1582"/>
    <x v="363"/>
    <x v="2843"/>
    <x v="4061"/>
    <x v="4044"/>
    <x v="3166"/>
    <x v="1"/>
    <x v="4001"/>
    <x v="4064"/>
    <x v="755"/>
    <x v="0"/>
    <x v="0"/>
    <x v="1"/>
    <x v="119"/>
    <x v="2"/>
    <x v="242"/>
    <x v="41"/>
    <x v="2"/>
    <x v="737"/>
  </r>
  <r>
    <x v="0"/>
    <x v="1833"/>
    <x v="311"/>
    <x v="72"/>
    <x v="218"/>
    <x v="136"/>
    <x v="254"/>
    <x v="3566"/>
    <x v="127"/>
    <x v="1583"/>
    <x v="2404"/>
    <x v="2844"/>
    <x v="4062"/>
    <x v="4045"/>
    <x v="3513"/>
    <x v="8"/>
    <x v="4002"/>
    <x v="4065"/>
    <x v="788"/>
    <x v="0"/>
    <x v="0"/>
    <x v="4"/>
    <x v="41"/>
    <x v="12"/>
    <x v="55"/>
    <x v="12"/>
    <x v="3"/>
    <x v="536"/>
  </r>
  <r>
    <x v="0"/>
    <x v="1200"/>
    <x v="421"/>
    <x v="78"/>
    <x v="62"/>
    <x v="502"/>
    <x v="745"/>
    <x v="4"/>
    <x v="416"/>
    <x v="1584"/>
    <x v="2405"/>
    <x v="2845"/>
    <x v="4063"/>
    <x v="4046"/>
    <x v="3514"/>
    <x v="0"/>
    <x v="4003"/>
    <x v="4066"/>
    <x v="83"/>
    <x v="0"/>
    <x v="0"/>
    <x v="1"/>
    <x v="119"/>
    <x v="11"/>
    <x v="877"/>
    <x v="44"/>
    <x v="2"/>
    <x v="655"/>
  </r>
  <r>
    <x v="0"/>
    <x v="1834"/>
    <x v="345"/>
    <x v="41"/>
    <x v="198"/>
    <x v="105"/>
    <x v="119"/>
    <x v="3567"/>
    <x v="4"/>
    <x v="1585"/>
    <x v="655"/>
    <x v="2846"/>
    <x v="4064"/>
    <x v="4047"/>
    <x v="3515"/>
    <x v="0"/>
    <x v="4004"/>
    <x v="4067"/>
    <x v="790"/>
    <x v="0"/>
    <x v="0"/>
    <x v="0"/>
    <x v="119"/>
    <x v="5"/>
    <x v="11"/>
    <x v="21"/>
    <x v="2"/>
    <x v="1"/>
  </r>
  <r>
    <x v="0"/>
    <x v="105"/>
    <x v="166"/>
    <x v="86"/>
    <x v="83"/>
    <x v="629"/>
    <x v="409"/>
    <x v="4"/>
    <x v="552"/>
    <x v="752"/>
    <x v="1215"/>
    <x v="1425"/>
    <x v="1877"/>
    <x v="4048"/>
    <x v="1795"/>
    <x v="4"/>
    <x v="1865"/>
    <x v="1877"/>
    <x v="505"/>
    <x v="0"/>
    <x v="1"/>
    <x v="4"/>
    <x v="182"/>
    <x v="46"/>
    <x v="642"/>
    <x v="32"/>
    <x v="1"/>
    <x v="115"/>
  </r>
  <r>
    <x v="0"/>
    <x v="630"/>
    <x v="24"/>
    <x v="71"/>
    <x v="219"/>
    <x v="667"/>
    <x v="746"/>
    <x v="3568"/>
    <x v="429"/>
    <x v="1586"/>
    <x v="1939"/>
    <x v="2847"/>
    <x v="4065"/>
    <x v="4049"/>
    <x v="3516"/>
    <x v="1"/>
    <x v="4005"/>
    <x v="4068"/>
    <x v="281"/>
    <x v="3"/>
    <x v="10"/>
    <x v="10"/>
    <x v="298"/>
    <x v="17"/>
    <x v="598"/>
    <x v="2"/>
    <x v="1"/>
    <x v="1"/>
  </r>
  <r>
    <x v="0"/>
    <x v="1835"/>
    <x v="394"/>
    <x v="78"/>
    <x v="174"/>
    <x v="530"/>
    <x v="570"/>
    <x v="4"/>
    <x v="473"/>
    <x v="1587"/>
    <x v="2406"/>
    <x v="2848"/>
    <x v="4066"/>
    <x v="4050"/>
    <x v="1144"/>
    <x v="1"/>
    <x v="4006"/>
    <x v="4069"/>
    <x v="646"/>
    <x v="0"/>
    <x v="5"/>
    <x v="0"/>
    <x v="4"/>
    <x v="5"/>
    <x v="745"/>
    <x v="9"/>
    <x v="3"/>
    <x v="1"/>
  </r>
  <r>
    <x v="0"/>
    <x v="1836"/>
    <x v="369"/>
    <x v="71"/>
    <x v="85"/>
    <x v="272"/>
    <x v="637"/>
    <x v="4"/>
    <x v="355"/>
    <x v="1258"/>
    <x v="2407"/>
    <x v="2849"/>
    <x v="4067"/>
    <x v="3027"/>
    <x v="2888"/>
    <x v="0"/>
    <x v="4007"/>
    <x v="4070"/>
    <x v="789"/>
    <x v="0"/>
    <x v="0"/>
    <x v="4"/>
    <x v="119"/>
    <x v="2"/>
    <x v="663"/>
    <x v="61"/>
    <x v="1"/>
    <x v="738"/>
  </r>
  <r>
    <x v="0"/>
    <x v="1128"/>
    <x v="171"/>
    <x v="38"/>
    <x v="115"/>
    <x v="143"/>
    <x v="34"/>
    <x v="3569"/>
    <x v="384"/>
    <x v="1588"/>
    <x v="2408"/>
    <x v="2850"/>
    <x v="4068"/>
    <x v="4051"/>
    <x v="2243"/>
    <x v="1"/>
    <x v="4008"/>
    <x v="4071"/>
    <x v="133"/>
    <x v="0"/>
    <x v="0"/>
    <x v="4"/>
    <x v="83"/>
    <x v="12"/>
    <x v="878"/>
    <x v="38"/>
    <x v="3"/>
    <x v="1"/>
  </r>
  <r>
    <x v="1"/>
    <x v="1703"/>
    <x v="198"/>
    <x v="60"/>
    <x v="0"/>
    <x v="313"/>
    <x v="747"/>
    <x v="3120"/>
    <x v="434"/>
    <x v="1589"/>
    <x v="2409"/>
    <x v="2851"/>
    <x v="4069"/>
    <x v="4052"/>
    <x v="2489"/>
    <x v="4"/>
    <x v="4009"/>
    <x v="4072"/>
    <x v="662"/>
    <x v="0"/>
    <x v="0"/>
    <x v="9"/>
    <x v="327"/>
    <x v="64"/>
    <x v="279"/>
    <x v="24"/>
    <x v="10"/>
    <x v="7"/>
  </r>
  <r>
    <x v="0"/>
    <x v="1837"/>
    <x v="382"/>
    <x v="76"/>
    <x v="240"/>
    <x v="775"/>
    <x v="689"/>
    <x v="3570"/>
    <x v="429"/>
    <x v="1410"/>
    <x v="2410"/>
    <x v="2852"/>
    <x v="4070"/>
    <x v="4053"/>
    <x v="1849"/>
    <x v="0"/>
    <x v="4010"/>
    <x v="4073"/>
    <x v="354"/>
    <x v="0"/>
    <x v="0"/>
    <x v="4"/>
    <x v="182"/>
    <x v="32"/>
    <x v="243"/>
    <x v="43"/>
    <x v="3"/>
    <x v="1"/>
  </r>
  <r>
    <x v="1"/>
    <x v="1738"/>
    <x v="377"/>
    <x v="58"/>
    <x v="293"/>
    <x v="419"/>
    <x v="339"/>
    <x v="3571"/>
    <x v="563"/>
    <x v="1590"/>
    <x v="2411"/>
    <x v="2853"/>
    <x v="4071"/>
    <x v="4054"/>
    <x v="3309"/>
    <x v="3"/>
    <x v="4011"/>
    <x v="4074"/>
    <x v="222"/>
    <x v="0"/>
    <x v="0"/>
    <x v="17"/>
    <x v="182"/>
    <x v="72"/>
    <x v="831"/>
    <x v="14"/>
    <x v="15"/>
    <x v="57"/>
  </r>
  <r>
    <x v="1"/>
    <x v="873"/>
    <x v="309"/>
    <x v="11"/>
    <x v="0"/>
    <x v="404"/>
    <x v="0"/>
    <x v="3572"/>
    <x v="125"/>
    <x v="1161"/>
    <x v="866"/>
    <x v="1841"/>
    <x v="4072"/>
    <x v="4055"/>
    <x v="3517"/>
    <x v="0"/>
    <x v="4012"/>
    <x v="4075"/>
    <x v="419"/>
    <x v="0"/>
    <x v="0"/>
    <x v="2"/>
    <x v="182"/>
    <x v="55"/>
    <x v="181"/>
    <x v="25"/>
    <x v="3"/>
    <x v="57"/>
  </r>
  <r>
    <x v="0"/>
    <x v="233"/>
    <x v="89"/>
    <x v="54"/>
    <x v="0"/>
    <x v="830"/>
    <x v="568"/>
    <x v="3573"/>
    <x v="429"/>
    <x v="1591"/>
    <x v="1461"/>
    <x v="2854"/>
    <x v="4073"/>
    <x v="4056"/>
    <x v="3518"/>
    <x v="0"/>
    <x v="4013"/>
    <x v="4076"/>
    <x v="576"/>
    <x v="0"/>
    <x v="0"/>
    <x v="4"/>
    <x v="126"/>
    <x v="1"/>
    <x v="289"/>
    <x v="20"/>
    <x v="3"/>
    <x v="1"/>
  </r>
  <r>
    <x v="0"/>
    <x v="1838"/>
    <x v="464"/>
    <x v="48"/>
    <x v="94"/>
    <x v="329"/>
    <x v="705"/>
    <x v="4"/>
    <x v="105"/>
    <x v="1475"/>
    <x v="2412"/>
    <x v="2855"/>
    <x v="4074"/>
    <x v="4057"/>
    <x v="923"/>
    <x v="0"/>
    <x v="4014"/>
    <x v="4077"/>
    <x v="170"/>
    <x v="8"/>
    <x v="16"/>
    <x v="0"/>
    <x v="40"/>
    <x v="7"/>
    <x v="491"/>
    <x v="17"/>
    <x v="1"/>
    <x v="739"/>
  </r>
  <r>
    <x v="0"/>
    <x v="1839"/>
    <x v="258"/>
    <x v="18"/>
    <x v="134"/>
    <x v="736"/>
    <x v="614"/>
    <x v="3574"/>
    <x v="270"/>
    <x v="1209"/>
    <x v="2413"/>
    <x v="2856"/>
    <x v="4075"/>
    <x v="4058"/>
    <x v="3237"/>
    <x v="1"/>
    <x v="4015"/>
    <x v="4078"/>
    <x v="448"/>
    <x v="0"/>
    <x v="0"/>
    <x v="4"/>
    <x v="207"/>
    <x v="13"/>
    <x v="857"/>
    <x v="1"/>
    <x v="10"/>
    <x v="740"/>
  </r>
  <r>
    <x v="0"/>
    <x v="1259"/>
    <x v="193"/>
    <x v="34"/>
    <x v="107"/>
    <x v="358"/>
    <x v="748"/>
    <x v="4"/>
    <x v="821"/>
    <x v="1592"/>
    <x v="2414"/>
    <x v="2857"/>
    <x v="4076"/>
    <x v="4059"/>
    <x v="3519"/>
    <x v="0"/>
    <x v="4016"/>
    <x v="4079"/>
    <x v="129"/>
    <x v="0"/>
    <x v="0"/>
    <x v="3"/>
    <x v="207"/>
    <x v="28"/>
    <x v="479"/>
    <x v="38"/>
    <x v="3"/>
    <x v="1"/>
  </r>
  <r>
    <x v="0"/>
    <x v="1840"/>
    <x v="93"/>
    <x v="8"/>
    <x v="216"/>
    <x v="792"/>
    <x v="609"/>
    <x v="4"/>
    <x v="822"/>
    <x v="1593"/>
    <x v="2415"/>
    <x v="2858"/>
    <x v="4077"/>
    <x v="4060"/>
    <x v="3520"/>
    <x v="4"/>
    <x v="4"/>
    <x v="4080"/>
    <x v="824"/>
    <x v="37"/>
    <x v="4"/>
    <x v="1"/>
    <x v="119"/>
    <x v="2"/>
    <x v="326"/>
    <x v="4"/>
    <x v="2"/>
    <x v="741"/>
  </r>
  <r>
    <x v="0"/>
    <x v="1841"/>
    <x v="412"/>
    <x v="78"/>
    <x v="0"/>
    <x v="170"/>
    <x v="623"/>
    <x v="4"/>
    <x v="823"/>
    <x v="1594"/>
    <x v="2416"/>
    <x v="2859"/>
    <x v="4078"/>
    <x v="4061"/>
    <x v="3521"/>
    <x v="0"/>
    <x v="4017"/>
    <x v="4081"/>
    <x v="843"/>
    <x v="31"/>
    <x v="23"/>
    <x v="9"/>
    <x v="4"/>
    <x v="8"/>
    <x v="585"/>
    <x v="20"/>
    <x v="3"/>
    <x v="600"/>
  </r>
  <r>
    <x v="0"/>
    <x v="1779"/>
    <x v="434"/>
    <x v="56"/>
    <x v="401"/>
    <x v="385"/>
    <x v="42"/>
    <x v="4"/>
    <x v="632"/>
    <x v="1540"/>
    <x v="2417"/>
    <x v="1843"/>
    <x v="4079"/>
    <x v="4062"/>
    <x v="2398"/>
    <x v="1"/>
    <x v="4018"/>
    <x v="4082"/>
    <x v="632"/>
    <x v="0"/>
    <x v="0"/>
    <x v="9"/>
    <x v="328"/>
    <x v="41"/>
    <x v="89"/>
    <x v="8"/>
    <x v="3"/>
    <x v="456"/>
  </r>
  <r>
    <x v="0"/>
    <x v="1842"/>
    <x v="307"/>
    <x v="54"/>
    <x v="217"/>
    <x v="621"/>
    <x v="457"/>
    <x v="4"/>
    <x v="200"/>
    <x v="1595"/>
    <x v="2418"/>
    <x v="2860"/>
    <x v="4080"/>
    <x v="4063"/>
    <x v="2560"/>
    <x v="0"/>
    <x v="4019"/>
    <x v="4083"/>
    <x v="685"/>
    <x v="18"/>
    <x v="32"/>
    <x v="1"/>
    <x v="329"/>
    <x v="25"/>
    <x v="515"/>
    <x v="15"/>
    <x v="3"/>
    <x v="709"/>
  </r>
  <r>
    <x v="1"/>
    <x v="1738"/>
    <x v="435"/>
    <x v="40"/>
    <x v="293"/>
    <x v="892"/>
    <x v="85"/>
    <x v="4"/>
    <x v="824"/>
    <x v="1596"/>
    <x v="2419"/>
    <x v="2861"/>
    <x v="4081"/>
    <x v="4064"/>
    <x v="3522"/>
    <x v="0"/>
    <x v="4020"/>
    <x v="4084"/>
    <x v="788"/>
    <x v="0"/>
    <x v="0"/>
    <x v="17"/>
    <x v="330"/>
    <x v="77"/>
    <x v="879"/>
    <x v="15"/>
    <x v="15"/>
    <x v="473"/>
  </r>
  <r>
    <x v="0"/>
    <x v="873"/>
    <x v="313"/>
    <x v="41"/>
    <x v="0"/>
    <x v="555"/>
    <x v="0"/>
    <x v="3575"/>
    <x v="335"/>
    <x v="1161"/>
    <x v="2420"/>
    <x v="870"/>
    <x v="4082"/>
    <x v="4065"/>
    <x v="3523"/>
    <x v="0"/>
    <x v="4021"/>
    <x v="4085"/>
    <x v="407"/>
    <x v="0"/>
    <x v="0"/>
    <x v="4"/>
    <x v="142"/>
    <x v="55"/>
    <x v="30"/>
    <x v="6"/>
    <x v="1"/>
    <x v="85"/>
  </r>
  <r>
    <x v="0"/>
    <x v="1319"/>
    <x v="146"/>
    <x v="55"/>
    <x v="184"/>
    <x v="323"/>
    <x v="515"/>
    <x v="3576"/>
    <x v="381"/>
    <x v="1597"/>
    <x v="2421"/>
    <x v="2862"/>
    <x v="4083"/>
    <x v="4066"/>
    <x v="3524"/>
    <x v="0"/>
    <x v="4022"/>
    <x v="4086"/>
    <x v="105"/>
    <x v="0"/>
    <x v="0"/>
    <x v="4"/>
    <x v="164"/>
    <x v="31"/>
    <x v="880"/>
    <x v="18"/>
    <x v="3"/>
    <x v="1"/>
  </r>
  <r>
    <x v="1"/>
    <x v="1843"/>
    <x v="267"/>
    <x v="87"/>
    <x v="50"/>
    <x v="490"/>
    <x v="732"/>
    <x v="3577"/>
    <x v="270"/>
    <x v="1598"/>
    <x v="2422"/>
    <x v="2863"/>
    <x v="4084"/>
    <x v="4067"/>
    <x v="3525"/>
    <x v="1"/>
    <x v="4023"/>
    <x v="4087"/>
    <x v="400"/>
    <x v="26"/>
    <x v="45"/>
    <x v="0"/>
    <x v="4"/>
    <x v="9"/>
    <x v="863"/>
    <x v="38"/>
    <x v="8"/>
    <x v="16"/>
  </r>
  <r>
    <x v="0"/>
    <x v="1072"/>
    <x v="207"/>
    <x v="35"/>
    <x v="265"/>
    <x v="659"/>
    <x v="151"/>
    <x v="3578"/>
    <x v="17"/>
    <x v="1599"/>
    <x v="1919"/>
    <x v="1211"/>
    <x v="4085"/>
    <x v="4068"/>
    <x v="3418"/>
    <x v="1"/>
    <x v="4024"/>
    <x v="4088"/>
    <x v="212"/>
    <x v="0"/>
    <x v="1"/>
    <x v="4"/>
    <x v="142"/>
    <x v="42"/>
    <x v="197"/>
    <x v="6"/>
    <x v="10"/>
    <x v="657"/>
  </r>
  <r>
    <x v="0"/>
    <x v="1844"/>
    <x v="393"/>
    <x v="107"/>
    <x v="221"/>
    <x v="329"/>
    <x v="75"/>
    <x v="3579"/>
    <x v="300"/>
    <x v="696"/>
    <x v="2423"/>
    <x v="726"/>
    <x v="4086"/>
    <x v="4069"/>
    <x v="2039"/>
    <x v="4"/>
    <x v="4025"/>
    <x v="4089"/>
    <x v="327"/>
    <x v="0"/>
    <x v="0"/>
    <x v="4"/>
    <x v="182"/>
    <x v="7"/>
    <x v="272"/>
    <x v="19"/>
    <x v="2"/>
    <x v="668"/>
  </r>
  <r>
    <x v="0"/>
    <x v="658"/>
    <x v="283"/>
    <x v="56"/>
    <x v="143"/>
    <x v="1"/>
    <x v="1"/>
    <x v="1442"/>
    <x v="211"/>
    <x v="1"/>
    <x v="99"/>
    <x v="1177"/>
    <x v="1504"/>
    <x v="4070"/>
    <x v="1457"/>
    <x v="0"/>
    <x v="1494"/>
    <x v="1504"/>
    <x v="635"/>
    <x v="0"/>
    <x v="0"/>
    <x v="4"/>
    <x v="148"/>
    <x v="15"/>
    <x v="71"/>
    <x v="43"/>
    <x v="3"/>
    <x v="103"/>
  </r>
  <r>
    <x v="0"/>
    <x v="1845"/>
    <x v="336"/>
    <x v="72"/>
    <x v="366"/>
    <x v="222"/>
    <x v="592"/>
    <x v="3580"/>
    <x v="825"/>
    <x v="1600"/>
    <x v="2424"/>
    <x v="2864"/>
    <x v="4087"/>
    <x v="4071"/>
    <x v="2716"/>
    <x v="1"/>
    <x v="4026"/>
    <x v="4090"/>
    <x v="820"/>
    <x v="0"/>
    <x v="0"/>
    <x v="0"/>
    <x v="4"/>
    <x v="14"/>
    <x v="394"/>
    <x v="0"/>
    <x v="2"/>
    <x v="1"/>
  </r>
  <r>
    <x v="0"/>
    <x v="1846"/>
    <x v="247"/>
    <x v="180"/>
    <x v="199"/>
    <x v="221"/>
    <x v="749"/>
    <x v="3581"/>
    <x v="315"/>
    <x v="1601"/>
    <x v="2425"/>
    <x v="2865"/>
    <x v="4088"/>
    <x v="4072"/>
    <x v="3526"/>
    <x v="0"/>
    <x v="4027"/>
    <x v="4091"/>
    <x v="390"/>
    <x v="6"/>
    <x v="13"/>
    <x v="4"/>
    <x v="142"/>
    <x v="1"/>
    <x v="699"/>
    <x v="13"/>
    <x v="3"/>
    <x v="1"/>
  </r>
  <r>
    <x v="0"/>
    <x v="1847"/>
    <x v="451"/>
    <x v="77"/>
    <x v="0"/>
    <x v="597"/>
    <x v="385"/>
    <x v="4"/>
    <x v="121"/>
    <x v="1602"/>
    <x v="2426"/>
    <x v="2866"/>
    <x v="4089"/>
    <x v="4073"/>
    <x v="3527"/>
    <x v="1"/>
    <x v="3098"/>
    <x v="4092"/>
    <x v="854"/>
    <x v="4"/>
    <x v="9"/>
    <x v="1"/>
    <x v="159"/>
    <x v="0"/>
    <x v="231"/>
    <x v="38"/>
    <x v="1"/>
    <x v="427"/>
  </r>
  <r>
    <x v="0"/>
    <x v="1848"/>
    <x v="240"/>
    <x v="7"/>
    <x v="85"/>
    <x v="857"/>
    <x v="697"/>
    <x v="4"/>
    <x v="381"/>
    <x v="1603"/>
    <x v="2427"/>
    <x v="2698"/>
    <x v="4090"/>
    <x v="4074"/>
    <x v="1429"/>
    <x v="1"/>
    <x v="4028"/>
    <x v="4093"/>
    <x v="637"/>
    <x v="0"/>
    <x v="0"/>
    <x v="4"/>
    <x v="142"/>
    <x v="1"/>
    <x v="740"/>
    <x v="43"/>
    <x v="3"/>
    <x v="742"/>
  </r>
  <r>
    <x v="0"/>
    <x v="1849"/>
    <x v="244"/>
    <x v="33"/>
    <x v="245"/>
    <x v="288"/>
    <x v="669"/>
    <x v="4"/>
    <x v="616"/>
    <x v="1344"/>
    <x v="805"/>
    <x v="2867"/>
    <x v="4091"/>
    <x v="4075"/>
    <x v="3482"/>
    <x v="0"/>
    <x v="4029"/>
    <x v="4094"/>
    <x v="493"/>
    <x v="0"/>
    <x v="0"/>
    <x v="11"/>
    <x v="331"/>
    <x v="69"/>
    <x v="475"/>
    <x v="24"/>
    <x v="15"/>
    <x v="1"/>
  </r>
  <r>
    <x v="0"/>
    <x v="1850"/>
    <x v="457"/>
    <x v="55"/>
    <x v="169"/>
    <x v="298"/>
    <x v="545"/>
    <x v="4"/>
    <x v="4"/>
    <x v="1604"/>
    <x v="2428"/>
    <x v="2868"/>
    <x v="4092"/>
    <x v="4076"/>
    <x v="3528"/>
    <x v="4"/>
    <x v="4030"/>
    <x v="4095"/>
    <x v="719"/>
    <x v="0"/>
    <x v="5"/>
    <x v="1"/>
    <x v="139"/>
    <x v="5"/>
    <x v="556"/>
    <x v="32"/>
    <x v="2"/>
    <x v="7"/>
  </r>
  <r>
    <x v="0"/>
    <x v="1627"/>
    <x v="309"/>
    <x v="107"/>
    <x v="262"/>
    <x v="786"/>
    <x v="411"/>
    <x v="3582"/>
    <x v="219"/>
    <x v="1605"/>
    <x v="2429"/>
    <x v="2076"/>
    <x v="4093"/>
    <x v="4077"/>
    <x v="3529"/>
    <x v="5"/>
    <x v="4031"/>
    <x v="4096"/>
    <x v="653"/>
    <x v="0"/>
    <x v="0"/>
    <x v="4"/>
    <x v="139"/>
    <x v="9"/>
    <x v="453"/>
    <x v="37"/>
    <x v="3"/>
    <x v="1"/>
  </r>
  <r>
    <x v="0"/>
    <x v="1851"/>
    <x v="421"/>
    <x v="101"/>
    <x v="113"/>
    <x v="305"/>
    <x v="750"/>
    <x v="3583"/>
    <x v="4"/>
    <x v="1606"/>
    <x v="2430"/>
    <x v="2869"/>
    <x v="4094"/>
    <x v="4078"/>
    <x v="3530"/>
    <x v="0"/>
    <x v="4032"/>
    <x v="4097"/>
    <x v="614"/>
    <x v="0"/>
    <x v="0"/>
    <x v="2"/>
    <x v="139"/>
    <x v="3"/>
    <x v="747"/>
    <x v="37"/>
    <x v="3"/>
    <x v="1"/>
  </r>
  <r>
    <x v="0"/>
    <x v="1095"/>
    <x v="129"/>
    <x v="73"/>
    <x v="0"/>
    <x v="506"/>
    <x v="439"/>
    <x v="2435"/>
    <x v="429"/>
    <x v="797"/>
    <x v="394"/>
    <x v="1896"/>
    <x v="2606"/>
    <x v="2602"/>
    <x v="2418"/>
    <x v="0"/>
    <x v="2585"/>
    <x v="2606"/>
    <x v="228"/>
    <x v="0"/>
    <x v="0"/>
    <x v="4"/>
    <x v="159"/>
    <x v="0"/>
    <x v="265"/>
    <x v="41"/>
    <x v="3"/>
    <x v="67"/>
  </r>
  <r>
    <x v="0"/>
    <x v="708"/>
    <x v="346"/>
    <x v="36"/>
    <x v="289"/>
    <x v="64"/>
    <x v="10"/>
    <x v="3584"/>
    <x v="379"/>
    <x v="33"/>
    <x v="99"/>
    <x v="428"/>
    <x v="4095"/>
    <x v="4079"/>
    <x v="3531"/>
    <x v="5"/>
    <x v="4033"/>
    <x v="4098"/>
    <x v="657"/>
    <x v="0"/>
    <x v="0"/>
    <x v="2"/>
    <x v="140"/>
    <x v="25"/>
    <x v="71"/>
    <x v="8"/>
    <x v="15"/>
    <x v="1"/>
  </r>
  <r>
    <x v="0"/>
    <x v="1852"/>
    <x v="57"/>
    <x v="42"/>
    <x v="192"/>
    <x v="305"/>
    <x v="601"/>
    <x v="3585"/>
    <x v="458"/>
    <x v="1607"/>
    <x v="1288"/>
    <x v="2870"/>
    <x v="4096"/>
    <x v="4080"/>
    <x v="3098"/>
    <x v="0"/>
    <x v="4034"/>
    <x v="4099"/>
    <x v="125"/>
    <x v="0"/>
    <x v="0"/>
    <x v="4"/>
    <x v="139"/>
    <x v="26"/>
    <x v="667"/>
    <x v="51"/>
    <x v="1"/>
    <x v="1"/>
  </r>
  <r>
    <x v="0"/>
    <x v="1853"/>
    <x v="336"/>
    <x v="42"/>
    <x v="31"/>
    <x v="635"/>
    <x v="544"/>
    <x v="4"/>
    <x v="46"/>
    <x v="1538"/>
    <x v="2106"/>
    <x v="2871"/>
    <x v="4097"/>
    <x v="4081"/>
    <x v="1582"/>
    <x v="0"/>
    <x v="4035"/>
    <x v="4100"/>
    <x v="578"/>
    <x v="0"/>
    <x v="0"/>
    <x v="3"/>
    <x v="139"/>
    <x v="49"/>
    <x v="532"/>
    <x v="22"/>
    <x v="1"/>
    <x v="743"/>
  </r>
  <r>
    <x v="1"/>
    <x v="1286"/>
    <x v="409"/>
    <x v="52"/>
    <x v="38"/>
    <x v="788"/>
    <x v="209"/>
    <x v="4"/>
    <x v="270"/>
    <x v="1608"/>
    <x v="2431"/>
    <x v="2872"/>
    <x v="4098"/>
    <x v="4082"/>
    <x v="2676"/>
    <x v="0"/>
    <x v="4036"/>
    <x v="4101"/>
    <x v="452"/>
    <x v="0"/>
    <x v="0"/>
    <x v="11"/>
    <x v="139"/>
    <x v="41"/>
    <x v="581"/>
    <x v="0"/>
    <x v="1"/>
    <x v="103"/>
  </r>
  <r>
    <x v="0"/>
    <x v="1854"/>
    <x v="396"/>
    <x v="128"/>
    <x v="5"/>
    <x v="221"/>
    <x v="0"/>
    <x v="3586"/>
    <x v="771"/>
    <x v="1609"/>
    <x v="2432"/>
    <x v="2873"/>
    <x v="4099"/>
    <x v="4083"/>
    <x v="1005"/>
    <x v="0"/>
    <x v="4037"/>
    <x v="4102"/>
    <x v="737"/>
    <x v="0"/>
    <x v="0"/>
    <x v="4"/>
    <x v="139"/>
    <x v="9"/>
    <x v="290"/>
    <x v="10"/>
    <x v="3"/>
    <x v="1"/>
  </r>
  <r>
    <x v="0"/>
    <x v="525"/>
    <x v="315"/>
    <x v="27"/>
    <x v="260"/>
    <x v="70"/>
    <x v="11"/>
    <x v="3587"/>
    <x v="270"/>
    <x v="63"/>
    <x v="1252"/>
    <x v="2874"/>
    <x v="4100"/>
    <x v="4084"/>
    <x v="3532"/>
    <x v="4"/>
    <x v="4038"/>
    <x v="4103"/>
    <x v="243"/>
    <x v="0"/>
    <x v="0"/>
    <x v="4"/>
    <x v="139"/>
    <x v="23"/>
    <x v="181"/>
    <x v="1"/>
    <x v="0"/>
    <x v="1"/>
  </r>
  <r>
    <x v="0"/>
    <x v="1557"/>
    <x v="317"/>
    <x v="58"/>
    <x v="0"/>
    <x v="92"/>
    <x v="219"/>
    <x v="3588"/>
    <x v="105"/>
    <x v="1537"/>
    <x v="2433"/>
    <x v="2875"/>
    <x v="4101"/>
    <x v="4085"/>
    <x v="253"/>
    <x v="3"/>
    <x v="4039"/>
    <x v="4104"/>
    <x v="940"/>
    <x v="0"/>
    <x v="0"/>
    <x v="4"/>
    <x v="139"/>
    <x v="14"/>
    <x v="881"/>
    <x v="32"/>
    <x v="1"/>
    <x v="1"/>
  </r>
  <r>
    <x v="0"/>
    <x v="776"/>
    <x v="313"/>
    <x v="72"/>
    <x v="0"/>
    <x v="597"/>
    <x v="594"/>
    <x v="3589"/>
    <x v="17"/>
    <x v="1610"/>
    <x v="2434"/>
    <x v="2876"/>
    <x v="4102"/>
    <x v="4086"/>
    <x v="3533"/>
    <x v="1"/>
    <x v="4040"/>
    <x v="4105"/>
    <x v="345"/>
    <x v="0"/>
    <x v="0"/>
    <x v="4"/>
    <x v="139"/>
    <x v="16"/>
    <x v="4"/>
    <x v="14"/>
    <x v="3"/>
    <x v="31"/>
  </r>
  <r>
    <x v="0"/>
    <x v="1855"/>
    <x v="435"/>
    <x v="77"/>
    <x v="0"/>
    <x v="423"/>
    <x v="751"/>
    <x v="4"/>
    <x v="826"/>
    <x v="1611"/>
    <x v="2435"/>
    <x v="2877"/>
    <x v="4103"/>
    <x v="4087"/>
    <x v="3534"/>
    <x v="0"/>
    <x v="4041"/>
    <x v="4106"/>
    <x v="685"/>
    <x v="3"/>
    <x v="4"/>
    <x v="1"/>
    <x v="310"/>
    <x v="17"/>
    <x v="866"/>
    <x v="4"/>
    <x v="3"/>
    <x v="744"/>
  </r>
  <r>
    <x v="0"/>
    <x v="1856"/>
    <x v="336"/>
    <x v="86"/>
    <x v="143"/>
    <x v="227"/>
    <x v="140"/>
    <x v="3590"/>
    <x v="270"/>
    <x v="852"/>
    <x v="5"/>
    <x v="1705"/>
    <x v="4104"/>
    <x v="4088"/>
    <x v="1248"/>
    <x v="1"/>
    <x v="4042"/>
    <x v="4107"/>
    <x v="499"/>
    <x v="0"/>
    <x v="0"/>
    <x v="4"/>
    <x v="139"/>
    <x v="15"/>
    <x v="148"/>
    <x v="15"/>
    <x v="1"/>
    <x v="178"/>
  </r>
  <r>
    <x v="0"/>
    <x v="1857"/>
    <x v="390"/>
    <x v="45"/>
    <x v="89"/>
    <x v="857"/>
    <x v="303"/>
    <x v="3591"/>
    <x v="105"/>
    <x v="1612"/>
    <x v="2436"/>
    <x v="2878"/>
    <x v="4105"/>
    <x v="4089"/>
    <x v="3535"/>
    <x v="0"/>
    <x v="4043"/>
    <x v="4108"/>
    <x v="591"/>
    <x v="0"/>
    <x v="0"/>
    <x v="4"/>
    <x v="4"/>
    <x v="14"/>
    <x v="365"/>
    <x v="32"/>
    <x v="3"/>
    <x v="542"/>
  </r>
  <r>
    <x v="0"/>
    <x v="1858"/>
    <x v="227"/>
    <x v="59"/>
    <x v="116"/>
    <x v="183"/>
    <x v="671"/>
    <x v="3592"/>
    <x v="270"/>
    <x v="1613"/>
    <x v="2437"/>
    <x v="2879"/>
    <x v="4106"/>
    <x v="4090"/>
    <x v="2745"/>
    <x v="1"/>
    <x v="4044"/>
    <x v="4109"/>
    <x v="654"/>
    <x v="0"/>
    <x v="1"/>
    <x v="0"/>
    <x v="4"/>
    <x v="1"/>
    <x v="711"/>
    <x v="10"/>
    <x v="1"/>
    <x v="725"/>
  </r>
  <r>
    <x v="0"/>
    <x v="1240"/>
    <x v="153"/>
    <x v="71"/>
    <x v="125"/>
    <x v="349"/>
    <x v="426"/>
    <x v="3593"/>
    <x v="827"/>
    <x v="281"/>
    <x v="2438"/>
    <x v="2880"/>
    <x v="4107"/>
    <x v="4091"/>
    <x v="1447"/>
    <x v="3"/>
    <x v="4045"/>
    <x v="4110"/>
    <x v="591"/>
    <x v="0"/>
    <x v="0"/>
    <x v="0"/>
    <x v="139"/>
    <x v="3"/>
    <x v="589"/>
    <x v="1"/>
    <x v="1"/>
    <x v="38"/>
  </r>
  <r>
    <x v="0"/>
    <x v="1859"/>
    <x v="365"/>
    <x v="11"/>
    <x v="239"/>
    <x v="264"/>
    <x v="325"/>
    <x v="3594"/>
    <x v="17"/>
    <x v="675"/>
    <x v="1027"/>
    <x v="2881"/>
    <x v="4108"/>
    <x v="4092"/>
    <x v="1282"/>
    <x v="1"/>
    <x v="4046"/>
    <x v="4111"/>
    <x v="227"/>
    <x v="0"/>
    <x v="13"/>
    <x v="4"/>
    <x v="126"/>
    <x v="17"/>
    <x v="544"/>
    <x v="32"/>
    <x v="3"/>
    <x v="1"/>
  </r>
  <r>
    <x v="0"/>
    <x v="1860"/>
    <x v="129"/>
    <x v="54"/>
    <x v="217"/>
    <x v="626"/>
    <x v="94"/>
    <x v="3595"/>
    <x v="105"/>
    <x v="845"/>
    <x v="344"/>
    <x v="2882"/>
    <x v="4109"/>
    <x v="4093"/>
    <x v="3536"/>
    <x v="1"/>
    <x v="4047"/>
    <x v="4112"/>
    <x v="128"/>
    <x v="0"/>
    <x v="0"/>
    <x v="4"/>
    <x v="139"/>
    <x v="9"/>
    <x v="30"/>
    <x v="1"/>
    <x v="1"/>
    <x v="7"/>
  </r>
  <r>
    <x v="0"/>
    <x v="1638"/>
    <x v="93"/>
    <x v="181"/>
    <x v="107"/>
    <x v="148"/>
    <x v="126"/>
    <x v="3596"/>
    <x v="828"/>
    <x v="1030"/>
    <x v="2439"/>
    <x v="2883"/>
    <x v="4110"/>
    <x v="4094"/>
    <x v="3537"/>
    <x v="0"/>
    <x v="4048"/>
    <x v="4113"/>
    <x v="188"/>
    <x v="0"/>
    <x v="0"/>
    <x v="1"/>
    <x v="332"/>
    <x v="22"/>
    <x v="199"/>
    <x v="1"/>
    <x v="2"/>
    <x v="745"/>
  </r>
  <r>
    <x v="0"/>
    <x v="327"/>
    <x v="148"/>
    <x v="59"/>
    <x v="202"/>
    <x v="298"/>
    <x v="752"/>
    <x v="3597"/>
    <x v="829"/>
    <x v="1614"/>
    <x v="2440"/>
    <x v="2884"/>
    <x v="4111"/>
    <x v="4095"/>
    <x v="3538"/>
    <x v="1"/>
    <x v="4049"/>
    <x v="4114"/>
    <x v="55"/>
    <x v="0"/>
    <x v="0"/>
    <x v="4"/>
    <x v="139"/>
    <x v="8"/>
    <x v="231"/>
    <x v="16"/>
    <x v="0"/>
    <x v="4"/>
  </r>
  <r>
    <x v="0"/>
    <x v="1861"/>
    <x v="369"/>
    <x v="52"/>
    <x v="134"/>
    <x v="672"/>
    <x v="465"/>
    <x v="3598"/>
    <x v="4"/>
    <x v="1040"/>
    <x v="2441"/>
    <x v="2885"/>
    <x v="4112"/>
    <x v="4096"/>
    <x v="2486"/>
    <x v="0"/>
    <x v="4050"/>
    <x v="4115"/>
    <x v="705"/>
    <x v="0"/>
    <x v="0"/>
    <x v="9"/>
    <x v="139"/>
    <x v="8"/>
    <x v="273"/>
    <x v="32"/>
    <x v="3"/>
    <x v="435"/>
  </r>
  <r>
    <x v="0"/>
    <x v="1862"/>
    <x v="320"/>
    <x v="7"/>
    <x v="123"/>
    <x v="203"/>
    <x v="407"/>
    <x v="3599"/>
    <x v="270"/>
    <x v="748"/>
    <x v="2442"/>
    <x v="1640"/>
    <x v="4113"/>
    <x v="4097"/>
    <x v="3539"/>
    <x v="6"/>
    <x v="4"/>
    <x v="4116"/>
    <x v="416"/>
    <x v="0"/>
    <x v="0"/>
    <x v="1"/>
    <x v="139"/>
    <x v="7"/>
    <x v="482"/>
    <x v="4"/>
    <x v="3"/>
    <x v="746"/>
  </r>
  <r>
    <x v="1"/>
    <x v="436"/>
    <x v="104"/>
    <x v="80"/>
    <x v="171"/>
    <x v="263"/>
    <x v="153"/>
    <x v="1514"/>
    <x v="300"/>
    <x v="282"/>
    <x v="265"/>
    <x v="1224"/>
    <x v="1579"/>
    <x v="4098"/>
    <x v="1526"/>
    <x v="0"/>
    <x v="1568"/>
    <x v="1579"/>
    <x v="633"/>
    <x v="0"/>
    <x v="0"/>
    <x v="0"/>
    <x v="78"/>
    <x v="14"/>
    <x v="179"/>
    <x v="10"/>
    <x v="1"/>
    <x v="1"/>
  </r>
  <r>
    <x v="0"/>
    <x v="1863"/>
    <x v="465"/>
    <x v="7"/>
    <x v="0"/>
    <x v="251"/>
    <x v="5"/>
    <x v="3600"/>
    <x v="301"/>
    <x v="1356"/>
    <x v="2443"/>
    <x v="2886"/>
    <x v="4114"/>
    <x v="3988"/>
    <x v="3540"/>
    <x v="1"/>
    <x v="4051"/>
    <x v="4117"/>
    <x v="684"/>
    <x v="0"/>
    <x v="0"/>
    <x v="0"/>
    <x v="139"/>
    <x v="7"/>
    <x v="618"/>
    <x v="20"/>
    <x v="3"/>
    <x v="615"/>
  </r>
  <r>
    <x v="0"/>
    <x v="1864"/>
    <x v="419"/>
    <x v="110"/>
    <x v="0"/>
    <x v="531"/>
    <x v="102"/>
    <x v="3601"/>
    <x v="4"/>
    <x v="1615"/>
    <x v="2444"/>
    <x v="2887"/>
    <x v="4115"/>
    <x v="4099"/>
    <x v="1868"/>
    <x v="0"/>
    <x v="4052"/>
    <x v="4118"/>
    <x v="737"/>
    <x v="0"/>
    <x v="0"/>
    <x v="4"/>
    <x v="139"/>
    <x v="5"/>
    <x v="4"/>
    <x v="1"/>
    <x v="0"/>
    <x v="1"/>
  </r>
  <r>
    <x v="0"/>
    <x v="1865"/>
    <x v="417"/>
    <x v="11"/>
    <x v="193"/>
    <x v="892"/>
    <x v="117"/>
    <x v="3602"/>
    <x v="105"/>
    <x v="220"/>
    <x v="2445"/>
    <x v="2888"/>
    <x v="4116"/>
    <x v="4100"/>
    <x v="3541"/>
    <x v="4"/>
    <x v="4053"/>
    <x v="4119"/>
    <x v="721"/>
    <x v="0"/>
    <x v="1"/>
    <x v="0"/>
    <x v="137"/>
    <x v="8"/>
    <x v="765"/>
    <x v="5"/>
    <x v="1"/>
    <x v="1"/>
  </r>
  <r>
    <x v="0"/>
    <x v="1153"/>
    <x v="219"/>
    <x v="33"/>
    <x v="192"/>
    <x v="567"/>
    <x v="753"/>
    <x v="3603"/>
    <x v="381"/>
    <x v="1616"/>
    <x v="2446"/>
    <x v="2889"/>
    <x v="4117"/>
    <x v="4101"/>
    <x v="3542"/>
    <x v="0"/>
    <x v="4054"/>
    <x v="4120"/>
    <x v="472"/>
    <x v="15"/>
    <x v="8"/>
    <x v="4"/>
    <x v="333"/>
    <x v="21"/>
    <x v="689"/>
    <x v="9"/>
    <x v="1"/>
    <x v="431"/>
  </r>
  <r>
    <x v="0"/>
    <x v="1866"/>
    <x v="276"/>
    <x v="78"/>
    <x v="193"/>
    <x v="632"/>
    <x v="220"/>
    <x v="3604"/>
    <x v="740"/>
    <x v="1617"/>
    <x v="715"/>
    <x v="2890"/>
    <x v="4118"/>
    <x v="4102"/>
    <x v="3543"/>
    <x v="0"/>
    <x v="4055"/>
    <x v="4121"/>
    <x v="408"/>
    <x v="6"/>
    <x v="0"/>
    <x v="0"/>
    <x v="139"/>
    <x v="8"/>
    <x v="360"/>
    <x v="18"/>
    <x v="3"/>
    <x v="1"/>
  </r>
  <r>
    <x v="0"/>
    <x v="66"/>
    <x v="282"/>
    <x v="45"/>
    <x v="51"/>
    <x v="75"/>
    <x v="35"/>
    <x v="3605"/>
    <x v="539"/>
    <x v="930"/>
    <x v="59"/>
    <x v="2891"/>
    <x v="4119"/>
    <x v="4103"/>
    <x v="3544"/>
    <x v="0"/>
    <x v="4056"/>
    <x v="4122"/>
    <x v="394"/>
    <x v="0"/>
    <x v="0"/>
    <x v="4"/>
    <x v="139"/>
    <x v="5"/>
    <x v="46"/>
    <x v="2"/>
    <x v="3"/>
    <x v="64"/>
  </r>
  <r>
    <x v="0"/>
    <x v="1867"/>
    <x v="412"/>
    <x v="71"/>
    <x v="131"/>
    <x v="786"/>
    <x v="196"/>
    <x v="4"/>
    <x v="535"/>
    <x v="1618"/>
    <x v="111"/>
    <x v="2670"/>
    <x v="4120"/>
    <x v="4104"/>
    <x v="67"/>
    <x v="4"/>
    <x v="4057"/>
    <x v="4123"/>
    <x v="791"/>
    <x v="0"/>
    <x v="0"/>
    <x v="6"/>
    <x v="139"/>
    <x v="5"/>
    <x v="79"/>
    <x v="27"/>
    <x v="2"/>
    <x v="675"/>
  </r>
  <r>
    <x v="0"/>
    <x v="1868"/>
    <x v="299"/>
    <x v="101"/>
    <x v="216"/>
    <x v="212"/>
    <x v="193"/>
    <x v="4"/>
    <x v="476"/>
    <x v="360"/>
    <x v="2447"/>
    <x v="2892"/>
    <x v="4121"/>
    <x v="2904"/>
    <x v="3545"/>
    <x v="0"/>
    <x v="4058"/>
    <x v="4124"/>
    <x v="790"/>
    <x v="0"/>
    <x v="8"/>
    <x v="9"/>
    <x v="139"/>
    <x v="2"/>
    <x v="159"/>
    <x v="40"/>
    <x v="1"/>
    <x v="1"/>
  </r>
  <r>
    <x v="0"/>
    <x v="1869"/>
    <x v="81"/>
    <x v="50"/>
    <x v="0"/>
    <x v="227"/>
    <x v="0"/>
    <x v="4"/>
    <x v="429"/>
    <x v="450"/>
    <x v="2448"/>
    <x v="1705"/>
    <x v="4122"/>
    <x v="3365"/>
    <x v="3443"/>
    <x v="1"/>
    <x v="4"/>
    <x v="4125"/>
    <x v="188"/>
    <x v="0"/>
    <x v="0"/>
    <x v="1"/>
    <x v="209"/>
    <x v="6"/>
    <x v="640"/>
    <x v="22"/>
    <x v="2"/>
    <x v="258"/>
  </r>
  <r>
    <x v="0"/>
    <x v="437"/>
    <x v="419"/>
    <x v="60"/>
    <x v="0"/>
    <x v="76"/>
    <x v="0"/>
    <x v="3606"/>
    <x v="433"/>
    <x v="85"/>
    <x v="549"/>
    <x v="97"/>
    <x v="4123"/>
    <x v="4105"/>
    <x v="3546"/>
    <x v="10"/>
    <x v="4059"/>
    <x v="4126"/>
    <x v="816"/>
    <x v="0"/>
    <x v="0"/>
    <x v="4"/>
    <x v="334"/>
    <x v="25"/>
    <x v="357"/>
    <x v="2"/>
    <x v="3"/>
    <x v="209"/>
  </r>
  <r>
    <x v="0"/>
    <x v="1870"/>
    <x v="429"/>
    <x v="59"/>
    <x v="134"/>
    <x v="14"/>
    <x v="195"/>
    <x v="3607"/>
    <x v="416"/>
    <x v="363"/>
    <x v="389"/>
    <x v="2893"/>
    <x v="4124"/>
    <x v="4106"/>
    <x v="3547"/>
    <x v="0"/>
    <x v="4060"/>
    <x v="4127"/>
    <x v="129"/>
    <x v="0"/>
    <x v="45"/>
    <x v="0"/>
    <x v="334"/>
    <x v="7"/>
    <x v="261"/>
    <x v="37"/>
    <x v="1"/>
    <x v="554"/>
  </r>
  <r>
    <x v="0"/>
    <x v="1230"/>
    <x v="313"/>
    <x v="95"/>
    <x v="320"/>
    <x v="87"/>
    <x v="754"/>
    <x v="3608"/>
    <x v="145"/>
    <x v="1619"/>
    <x v="525"/>
    <x v="140"/>
    <x v="4125"/>
    <x v="4107"/>
    <x v="3548"/>
    <x v="0"/>
    <x v="4061"/>
    <x v="4128"/>
    <x v="136"/>
    <x v="0"/>
    <x v="0"/>
    <x v="4"/>
    <x v="4"/>
    <x v="7"/>
    <x v="343"/>
    <x v="4"/>
    <x v="3"/>
    <x v="747"/>
  </r>
  <r>
    <x v="2"/>
    <x v="1871"/>
    <x v="81"/>
    <x v="47"/>
    <x v="0"/>
    <x v="757"/>
    <x v="95"/>
    <x v="4"/>
    <x v="152"/>
    <x v="1620"/>
    <x v="2449"/>
    <x v="2894"/>
    <x v="4126"/>
    <x v="4108"/>
    <x v="3549"/>
    <x v="0"/>
    <x v="4"/>
    <x v="4129"/>
    <x v="721"/>
    <x v="0"/>
    <x v="1"/>
    <x v="4"/>
    <x v="139"/>
    <x v="2"/>
    <x v="882"/>
    <x v="40"/>
    <x v="2"/>
    <x v="1"/>
  </r>
  <r>
    <x v="0"/>
    <x v="1594"/>
    <x v="208"/>
    <x v="59"/>
    <x v="384"/>
    <x v="893"/>
    <x v="0"/>
    <x v="3609"/>
    <x v="152"/>
    <x v="1054"/>
    <x v="377"/>
    <x v="2895"/>
    <x v="4127"/>
    <x v="4109"/>
    <x v="3550"/>
    <x v="0"/>
    <x v="4062"/>
    <x v="4130"/>
    <x v="620"/>
    <x v="0"/>
    <x v="1"/>
    <x v="10"/>
    <x v="41"/>
    <x v="7"/>
    <x v="252"/>
    <x v="16"/>
    <x v="3"/>
    <x v="59"/>
  </r>
  <r>
    <x v="0"/>
    <x v="1872"/>
    <x v="393"/>
    <x v="59"/>
    <x v="5"/>
    <x v="652"/>
    <x v="156"/>
    <x v="4"/>
    <x v="376"/>
    <x v="699"/>
    <x v="416"/>
    <x v="2896"/>
    <x v="4128"/>
    <x v="4110"/>
    <x v="3551"/>
    <x v="0"/>
    <x v="4063"/>
    <x v="4131"/>
    <x v="517"/>
    <x v="0"/>
    <x v="1"/>
    <x v="4"/>
    <x v="139"/>
    <x v="3"/>
    <x v="119"/>
    <x v="69"/>
    <x v="1"/>
    <x v="1"/>
  </r>
  <r>
    <x v="0"/>
    <x v="1741"/>
    <x v="385"/>
    <x v="59"/>
    <x v="192"/>
    <x v="425"/>
    <x v="755"/>
    <x v="4"/>
    <x v="405"/>
    <x v="1621"/>
    <x v="2450"/>
    <x v="2897"/>
    <x v="4129"/>
    <x v="4111"/>
    <x v="2478"/>
    <x v="4"/>
    <x v="4064"/>
    <x v="4132"/>
    <x v="510"/>
    <x v="0"/>
    <x v="0"/>
    <x v="17"/>
    <x v="335"/>
    <x v="78"/>
    <x v="825"/>
    <x v="12"/>
    <x v="15"/>
    <x v="746"/>
  </r>
  <r>
    <x v="0"/>
    <x v="1873"/>
    <x v="385"/>
    <x v="72"/>
    <x v="195"/>
    <x v="862"/>
    <x v="201"/>
    <x v="3610"/>
    <x v="787"/>
    <x v="1622"/>
    <x v="951"/>
    <x v="2898"/>
    <x v="4130"/>
    <x v="4112"/>
    <x v="1431"/>
    <x v="0"/>
    <x v="4065"/>
    <x v="4133"/>
    <x v="896"/>
    <x v="0"/>
    <x v="0"/>
    <x v="0"/>
    <x v="336"/>
    <x v="10"/>
    <x v="537"/>
    <x v="65"/>
    <x v="3"/>
    <x v="475"/>
  </r>
  <r>
    <x v="0"/>
    <x v="703"/>
    <x v="464"/>
    <x v="55"/>
    <x v="80"/>
    <x v="30"/>
    <x v="63"/>
    <x v="3611"/>
    <x v="301"/>
    <x v="550"/>
    <x v="97"/>
    <x v="2899"/>
    <x v="4131"/>
    <x v="1481"/>
    <x v="3552"/>
    <x v="0"/>
    <x v="4066"/>
    <x v="4134"/>
    <x v="377"/>
    <x v="0"/>
    <x v="0"/>
    <x v="2"/>
    <x v="4"/>
    <x v="20"/>
    <x v="70"/>
    <x v="2"/>
    <x v="3"/>
    <x v="178"/>
  </r>
  <r>
    <x v="0"/>
    <x v="1741"/>
    <x v="369"/>
    <x v="26"/>
    <x v="192"/>
    <x v="124"/>
    <x v="150"/>
    <x v="4"/>
    <x v="646"/>
    <x v="1623"/>
    <x v="2451"/>
    <x v="2900"/>
    <x v="4132"/>
    <x v="4113"/>
    <x v="1283"/>
    <x v="3"/>
    <x v="4067"/>
    <x v="4135"/>
    <x v="835"/>
    <x v="0"/>
    <x v="0"/>
    <x v="11"/>
    <x v="337"/>
    <x v="59"/>
    <x v="802"/>
    <x v="15"/>
    <x v="8"/>
    <x v="611"/>
  </r>
  <r>
    <x v="0"/>
    <x v="852"/>
    <x v="329"/>
    <x v="54"/>
    <x v="312"/>
    <x v="894"/>
    <x v="0"/>
    <x v="3612"/>
    <x v="270"/>
    <x v="561"/>
    <x v="1603"/>
    <x v="2901"/>
    <x v="4133"/>
    <x v="3426"/>
    <x v="3553"/>
    <x v="2"/>
    <x v="4068"/>
    <x v="4136"/>
    <x v="561"/>
    <x v="0"/>
    <x v="0"/>
    <x v="0"/>
    <x v="4"/>
    <x v="5"/>
    <x v="759"/>
    <x v="18"/>
    <x v="1"/>
    <x v="238"/>
  </r>
  <r>
    <x v="0"/>
    <x v="1874"/>
    <x v="422"/>
    <x v="26"/>
    <x v="125"/>
    <x v="99"/>
    <x v="35"/>
    <x v="4"/>
    <x v="582"/>
    <x v="507"/>
    <x v="1009"/>
    <x v="2902"/>
    <x v="4134"/>
    <x v="4114"/>
    <x v="3554"/>
    <x v="4"/>
    <x v="4069"/>
    <x v="4137"/>
    <x v="510"/>
    <x v="0"/>
    <x v="0"/>
    <x v="4"/>
    <x v="4"/>
    <x v="11"/>
    <x v="30"/>
    <x v="27"/>
    <x v="2"/>
    <x v="1"/>
  </r>
  <r>
    <x v="0"/>
    <x v="1875"/>
    <x v="479"/>
    <x v="78"/>
    <x v="296"/>
    <x v="201"/>
    <x v="2"/>
    <x v="4"/>
    <x v="59"/>
    <x v="172"/>
    <x v="908"/>
    <x v="2903"/>
    <x v="4135"/>
    <x v="4115"/>
    <x v="3555"/>
    <x v="0"/>
    <x v="4070"/>
    <x v="4138"/>
    <x v="496"/>
    <x v="0"/>
    <x v="0"/>
    <x v="9"/>
    <x v="277"/>
    <x v="42"/>
    <x v="519"/>
    <x v="11"/>
    <x v="2"/>
    <x v="1"/>
  </r>
  <r>
    <x v="0"/>
    <x v="252"/>
    <x v="414"/>
    <x v="60"/>
    <x v="31"/>
    <x v="4"/>
    <x v="756"/>
    <x v="2226"/>
    <x v="217"/>
    <x v="1624"/>
    <x v="2452"/>
    <x v="4"/>
    <x v="4136"/>
    <x v="4116"/>
    <x v="3556"/>
    <x v="0"/>
    <x v="4071"/>
    <x v="4139"/>
    <x v="273"/>
    <x v="0"/>
    <x v="0"/>
    <x v="3"/>
    <x v="338"/>
    <x v="40"/>
    <x v="253"/>
    <x v="6"/>
    <x v="15"/>
    <x v="67"/>
  </r>
  <r>
    <x v="0"/>
    <x v="410"/>
    <x v="291"/>
    <x v="27"/>
    <x v="229"/>
    <x v="757"/>
    <x v="116"/>
    <x v="4"/>
    <x v="28"/>
    <x v="217"/>
    <x v="1360"/>
    <x v="1600"/>
    <x v="2154"/>
    <x v="2155"/>
    <x v="2040"/>
    <x v="0"/>
    <x v="2141"/>
    <x v="2154"/>
    <x v="754"/>
    <x v="0"/>
    <x v="0"/>
    <x v="4"/>
    <x v="164"/>
    <x v="49"/>
    <x v="186"/>
    <x v="6"/>
    <x v="3"/>
    <x v="1"/>
  </r>
  <r>
    <x v="0"/>
    <x v="1876"/>
    <x v="4"/>
    <x v="78"/>
    <x v="19"/>
    <x v="298"/>
    <x v="507"/>
    <x v="4"/>
    <x v="306"/>
    <x v="1625"/>
    <x v="2453"/>
    <x v="2904"/>
    <x v="4137"/>
    <x v="4117"/>
    <x v="1868"/>
    <x v="1"/>
    <x v="4"/>
    <x v="4140"/>
    <x v="416"/>
    <x v="0"/>
    <x v="0"/>
    <x v="0"/>
    <x v="139"/>
    <x v="11"/>
    <x v="253"/>
    <x v="8"/>
    <x v="2"/>
    <x v="647"/>
  </r>
  <r>
    <x v="0"/>
    <x v="601"/>
    <x v="98"/>
    <x v="43"/>
    <x v="255"/>
    <x v="280"/>
    <x v="757"/>
    <x v="2832"/>
    <x v="381"/>
    <x v="1626"/>
    <x v="2454"/>
    <x v="2905"/>
    <x v="4138"/>
    <x v="4118"/>
    <x v="3557"/>
    <x v="0"/>
    <x v="4072"/>
    <x v="4141"/>
    <x v="574"/>
    <x v="0"/>
    <x v="0"/>
    <x v="4"/>
    <x v="213"/>
    <x v="26"/>
    <x v="661"/>
    <x v="20"/>
    <x v="1"/>
    <x v="1"/>
  </r>
  <r>
    <x v="0"/>
    <x v="1877"/>
    <x v="202"/>
    <x v="80"/>
    <x v="89"/>
    <x v="367"/>
    <x v="758"/>
    <x v="3613"/>
    <x v="236"/>
    <x v="1627"/>
    <x v="2455"/>
    <x v="2906"/>
    <x v="4139"/>
    <x v="4119"/>
    <x v="3558"/>
    <x v="0"/>
    <x v="4073"/>
    <x v="4142"/>
    <x v="329"/>
    <x v="0"/>
    <x v="0"/>
    <x v="4"/>
    <x v="298"/>
    <x v="39"/>
    <x v="327"/>
    <x v="55"/>
    <x v="3"/>
    <x v="103"/>
  </r>
  <r>
    <x v="0"/>
    <x v="1808"/>
    <x v="465"/>
    <x v="85"/>
    <x v="50"/>
    <x v="583"/>
    <x v="529"/>
    <x v="3614"/>
    <x v="270"/>
    <x v="1175"/>
    <x v="2456"/>
    <x v="1937"/>
    <x v="4140"/>
    <x v="4120"/>
    <x v="3245"/>
    <x v="0"/>
    <x v="4074"/>
    <x v="4143"/>
    <x v="654"/>
    <x v="0"/>
    <x v="0"/>
    <x v="0"/>
    <x v="298"/>
    <x v="1"/>
    <x v="883"/>
    <x v="18"/>
    <x v="3"/>
    <x v="682"/>
  </r>
  <r>
    <x v="0"/>
    <x v="1878"/>
    <x v="492"/>
    <x v="60"/>
    <x v="106"/>
    <x v="388"/>
    <x v="35"/>
    <x v="3615"/>
    <x v="270"/>
    <x v="461"/>
    <x v="58"/>
    <x v="737"/>
    <x v="4141"/>
    <x v="4121"/>
    <x v="3559"/>
    <x v="7"/>
    <x v="4075"/>
    <x v="4144"/>
    <x v="377"/>
    <x v="0"/>
    <x v="0"/>
    <x v="0"/>
    <x v="277"/>
    <x v="2"/>
    <x v="45"/>
    <x v="18"/>
    <x v="2"/>
    <x v="38"/>
  </r>
  <r>
    <x v="0"/>
    <x v="1879"/>
    <x v="492"/>
    <x v="78"/>
    <x v="0"/>
    <x v="779"/>
    <x v="759"/>
    <x v="4"/>
    <x v="582"/>
    <x v="1628"/>
    <x v="2457"/>
    <x v="2907"/>
    <x v="4142"/>
    <x v="4122"/>
    <x v="1127"/>
    <x v="4"/>
    <x v="4076"/>
    <x v="4145"/>
    <x v="561"/>
    <x v="0"/>
    <x v="0"/>
    <x v="4"/>
    <x v="298"/>
    <x v="8"/>
    <x v="360"/>
    <x v="44"/>
    <x v="2"/>
    <x v="600"/>
  </r>
  <r>
    <x v="1"/>
    <x v="1880"/>
    <x v="478"/>
    <x v="73"/>
    <x v="123"/>
    <x v="583"/>
    <x v="166"/>
    <x v="4"/>
    <x v="270"/>
    <x v="1629"/>
    <x v="2458"/>
    <x v="2908"/>
    <x v="4143"/>
    <x v="4123"/>
    <x v="3548"/>
    <x v="0"/>
    <x v="4077"/>
    <x v="4146"/>
    <x v="654"/>
    <x v="0"/>
    <x v="0"/>
    <x v="17"/>
    <x v="339"/>
    <x v="68"/>
    <x v="62"/>
    <x v="7"/>
    <x v="15"/>
    <x v="222"/>
  </r>
  <r>
    <x v="0"/>
    <x v="1881"/>
    <x v="451"/>
    <x v="78"/>
    <x v="0"/>
    <x v="202"/>
    <x v="0"/>
    <x v="4"/>
    <x v="306"/>
    <x v="1413"/>
    <x v="2459"/>
    <x v="2909"/>
    <x v="4144"/>
    <x v="4124"/>
    <x v="3560"/>
    <x v="4"/>
    <x v="4078"/>
    <x v="4147"/>
    <x v="854"/>
    <x v="0"/>
    <x v="13"/>
    <x v="4"/>
    <x v="4"/>
    <x v="2"/>
    <x v="731"/>
    <x v="30"/>
    <x v="2"/>
    <x v="276"/>
  </r>
  <r>
    <x v="0"/>
    <x v="1882"/>
    <x v="81"/>
    <x v="78"/>
    <x v="31"/>
    <x v="325"/>
    <x v="377"/>
    <x v="4"/>
    <x v="105"/>
    <x v="1630"/>
    <x v="2460"/>
    <x v="2910"/>
    <x v="4145"/>
    <x v="4125"/>
    <x v="2706"/>
    <x v="3"/>
    <x v="4079"/>
    <x v="4148"/>
    <x v="792"/>
    <x v="0"/>
    <x v="1"/>
    <x v="1"/>
    <x v="340"/>
    <x v="12"/>
    <x v="534"/>
    <x v="27"/>
    <x v="3"/>
    <x v="748"/>
  </r>
  <r>
    <x v="0"/>
    <x v="1883"/>
    <x v="451"/>
    <x v="55"/>
    <x v="78"/>
    <x v="811"/>
    <x v="22"/>
    <x v="4"/>
    <x v="434"/>
    <x v="626"/>
    <x v="1380"/>
    <x v="1925"/>
    <x v="4146"/>
    <x v="4126"/>
    <x v="3561"/>
    <x v="7"/>
    <x v="4080"/>
    <x v="4149"/>
    <x v="843"/>
    <x v="0"/>
    <x v="0"/>
    <x v="1"/>
    <x v="334"/>
    <x v="11"/>
    <x v="703"/>
    <x v="43"/>
    <x v="2"/>
    <x v="521"/>
  </r>
  <r>
    <x v="0"/>
    <x v="1560"/>
    <x v="299"/>
    <x v="78"/>
    <x v="123"/>
    <x v="736"/>
    <x v="606"/>
    <x v="4"/>
    <x v="512"/>
    <x v="1631"/>
    <x v="2461"/>
    <x v="2911"/>
    <x v="4147"/>
    <x v="2991"/>
    <x v="3562"/>
    <x v="4"/>
    <x v="4081"/>
    <x v="4150"/>
    <x v="835"/>
    <x v="0"/>
    <x v="4"/>
    <x v="4"/>
    <x v="139"/>
    <x v="1"/>
    <x v="394"/>
    <x v="19"/>
    <x v="3"/>
    <x v="749"/>
  </r>
  <r>
    <x v="1"/>
    <x v="1884"/>
    <x v="241"/>
    <x v="100"/>
    <x v="406"/>
    <x v="719"/>
    <x v="248"/>
    <x v="3616"/>
    <x v="387"/>
    <x v="1632"/>
    <x v="2462"/>
    <x v="2912"/>
    <x v="4148"/>
    <x v="4127"/>
    <x v="3563"/>
    <x v="7"/>
    <x v="4082"/>
    <x v="4151"/>
    <x v="527"/>
    <x v="0"/>
    <x v="0"/>
    <x v="9"/>
    <x v="341"/>
    <x v="61"/>
    <x v="345"/>
    <x v="14"/>
    <x v="15"/>
    <x v="1"/>
  </r>
  <r>
    <x v="0"/>
    <x v="1885"/>
    <x v="352"/>
    <x v="69"/>
    <x v="407"/>
    <x v="274"/>
    <x v="52"/>
    <x v="3617"/>
    <x v="130"/>
    <x v="90"/>
    <x v="2463"/>
    <x v="875"/>
    <x v="4149"/>
    <x v="4128"/>
    <x v="3000"/>
    <x v="0"/>
    <x v="4083"/>
    <x v="4152"/>
    <x v="687"/>
    <x v="0"/>
    <x v="0"/>
    <x v="4"/>
    <x v="4"/>
    <x v="18"/>
    <x v="544"/>
    <x v="15"/>
    <x v="3"/>
    <x v="1"/>
  </r>
  <r>
    <x v="0"/>
    <x v="1886"/>
    <x v="334"/>
    <x v="71"/>
    <x v="106"/>
    <x v="320"/>
    <x v="212"/>
    <x v="3618"/>
    <x v="200"/>
    <x v="1633"/>
    <x v="2464"/>
    <x v="2913"/>
    <x v="4150"/>
    <x v="4129"/>
    <x v="3564"/>
    <x v="0"/>
    <x v="4084"/>
    <x v="4153"/>
    <x v="581"/>
    <x v="33"/>
    <x v="37"/>
    <x v="4"/>
    <x v="219"/>
    <x v="18"/>
    <x v="244"/>
    <x v="32"/>
    <x v="3"/>
    <x v="1"/>
  </r>
  <r>
    <x v="0"/>
    <x v="1887"/>
    <x v="169"/>
    <x v="31"/>
    <x v="143"/>
    <x v="367"/>
    <x v="760"/>
    <x v="3619"/>
    <x v="152"/>
    <x v="1634"/>
    <x v="2465"/>
    <x v="2914"/>
    <x v="4151"/>
    <x v="4130"/>
    <x v="1955"/>
    <x v="0"/>
    <x v="4"/>
    <x v="4154"/>
    <x v="326"/>
    <x v="0"/>
    <x v="0"/>
    <x v="4"/>
    <x v="341"/>
    <x v="2"/>
    <x v="554"/>
    <x v="13"/>
    <x v="1"/>
    <x v="533"/>
  </r>
  <r>
    <x v="0"/>
    <x v="1295"/>
    <x v="153"/>
    <x v="98"/>
    <x v="118"/>
    <x v="321"/>
    <x v="761"/>
    <x v="4"/>
    <x v="429"/>
    <x v="1635"/>
    <x v="2122"/>
    <x v="2915"/>
    <x v="4152"/>
    <x v="4131"/>
    <x v="3565"/>
    <x v="0"/>
    <x v="4085"/>
    <x v="4155"/>
    <x v="278"/>
    <x v="6"/>
    <x v="13"/>
    <x v="4"/>
    <x v="41"/>
    <x v="1"/>
    <x v="557"/>
    <x v="7"/>
    <x v="3"/>
    <x v="61"/>
  </r>
  <r>
    <x v="0"/>
    <x v="1796"/>
    <x v="4"/>
    <x v="71"/>
    <x v="5"/>
    <x v="473"/>
    <x v="108"/>
    <x v="4"/>
    <x v="270"/>
    <x v="442"/>
    <x v="2466"/>
    <x v="2916"/>
    <x v="4153"/>
    <x v="4132"/>
    <x v="3566"/>
    <x v="1"/>
    <x v="4"/>
    <x v="4156"/>
    <x v="854"/>
    <x v="0"/>
    <x v="0"/>
    <x v="6"/>
    <x v="341"/>
    <x v="5"/>
    <x v="317"/>
    <x v="22"/>
    <x v="0"/>
    <x v="750"/>
  </r>
  <r>
    <x v="0"/>
    <x v="1888"/>
    <x v="93"/>
    <x v="7"/>
    <x v="0"/>
    <x v="542"/>
    <x v="248"/>
    <x v="4"/>
    <x v="830"/>
    <x v="1636"/>
    <x v="2467"/>
    <x v="2917"/>
    <x v="4154"/>
    <x v="276"/>
    <x v="164"/>
    <x v="0"/>
    <x v="4"/>
    <x v="4157"/>
    <x v="326"/>
    <x v="0"/>
    <x v="0"/>
    <x v="1"/>
    <x v="341"/>
    <x v="2"/>
    <x v="884"/>
    <x v="10"/>
    <x v="6"/>
    <x v="751"/>
  </r>
  <r>
    <x v="0"/>
    <x v="1889"/>
    <x v="193"/>
    <x v="91"/>
    <x v="0"/>
    <x v="335"/>
    <x v="762"/>
    <x v="4"/>
    <x v="321"/>
    <x v="1637"/>
    <x v="2468"/>
    <x v="2918"/>
    <x v="4155"/>
    <x v="4133"/>
    <x v="2431"/>
    <x v="0"/>
    <x v="4086"/>
    <x v="4158"/>
    <x v="732"/>
    <x v="0"/>
    <x v="1"/>
    <x v="1"/>
    <x v="4"/>
    <x v="2"/>
    <x v="692"/>
    <x v="30"/>
    <x v="2"/>
    <x v="650"/>
  </r>
  <r>
    <x v="0"/>
    <x v="1890"/>
    <x v="307"/>
    <x v="113"/>
    <x v="143"/>
    <x v="278"/>
    <x v="564"/>
    <x v="4"/>
    <x v="414"/>
    <x v="1638"/>
    <x v="2469"/>
    <x v="2919"/>
    <x v="4156"/>
    <x v="4134"/>
    <x v="3567"/>
    <x v="1"/>
    <x v="4"/>
    <x v="4159"/>
    <x v="789"/>
    <x v="0"/>
    <x v="0"/>
    <x v="1"/>
    <x v="341"/>
    <x v="2"/>
    <x v="115"/>
    <x v="34"/>
    <x v="1"/>
    <x v="752"/>
  </r>
  <r>
    <x v="0"/>
    <x v="494"/>
    <x v="111"/>
    <x v="69"/>
    <x v="170"/>
    <x v="491"/>
    <x v="382"/>
    <x v="3620"/>
    <x v="2"/>
    <x v="1422"/>
    <x v="2470"/>
    <x v="735"/>
    <x v="4157"/>
    <x v="4135"/>
    <x v="2669"/>
    <x v="0"/>
    <x v="4087"/>
    <x v="4160"/>
    <x v="583"/>
    <x v="0"/>
    <x v="1"/>
    <x v="11"/>
    <x v="126"/>
    <x v="41"/>
    <x v="684"/>
    <x v="7"/>
    <x v="15"/>
    <x v="1"/>
  </r>
  <r>
    <x v="0"/>
    <x v="1891"/>
    <x v="324"/>
    <x v="45"/>
    <x v="85"/>
    <x v="320"/>
    <x v="739"/>
    <x v="3621"/>
    <x v="831"/>
    <x v="1639"/>
    <x v="2471"/>
    <x v="2920"/>
    <x v="4158"/>
    <x v="4136"/>
    <x v="3568"/>
    <x v="4"/>
    <x v="4088"/>
    <x v="4161"/>
    <x v="408"/>
    <x v="0"/>
    <x v="0"/>
    <x v="4"/>
    <x v="277"/>
    <x v="30"/>
    <x v="660"/>
    <x v="37"/>
    <x v="8"/>
    <x v="577"/>
  </r>
  <r>
    <x v="0"/>
    <x v="113"/>
    <x v="93"/>
    <x v="84"/>
    <x v="88"/>
    <x v="65"/>
    <x v="80"/>
    <x v="4"/>
    <x v="241"/>
    <x v="1640"/>
    <x v="2472"/>
    <x v="2921"/>
    <x v="4159"/>
    <x v="4137"/>
    <x v="3569"/>
    <x v="1"/>
    <x v="4089"/>
    <x v="4162"/>
    <x v="343"/>
    <x v="0"/>
    <x v="0"/>
    <x v="1"/>
    <x v="4"/>
    <x v="4"/>
    <x v="134"/>
    <x v="38"/>
    <x v="8"/>
    <x v="753"/>
  </r>
  <r>
    <x v="0"/>
    <x v="696"/>
    <x v="240"/>
    <x v="71"/>
    <x v="201"/>
    <x v="657"/>
    <x v="2"/>
    <x v="4"/>
    <x v="376"/>
    <x v="740"/>
    <x v="2473"/>
    <x v="2922"/>
    <x v="4160"/>
    <x v="4138"/>
    <x v="3570"/>
    <x v="0"/>
    <x v="4090"/>
    <x v="4163"/>
    <x v="528"/>
    <x v="0"/>
    <x v="0"/>
    <x v="2"/>
    <x v="126"/>
    <x v="44"/>
    <x v="762"/>
    <x v="11"/>
    <x v="3"/>
    <x v="1"/>
  </r>
  <r>
    <x v="0"/>
    <x v="1892"/>
    <x v="524"/>
    <x v="7"/>
    <x v="408"/>
    <x v="146"/>
    <x v="763"/>
    <x v="3622"/>
    <x v="364"/>
    <x v="1641"/>
    <x v="2474"/>
    <x v="2923"/>
    <x v="4161"/>
    <x v="4139"/>
    <x v="122"/>
    <x v="0"/>
    <x v="4091"/>
    <x v="4164"/>
    <x v="739"/>
    <x v="0"/>
    <x v="0"/>
    <x v="4"/>
    <x v="126"/>
    <x v="11"/>
    <x v="581"/>
    <x v="8"/>
    <x v="1"/>
    <x v="48"/>
  </r>
  <r>
    <x v="1"/>
    <x v="696"/>
    <x v="401"/>
    <x v="76"/>
    <x v="201"/>
    <x v="120"/>
    <x v="2"/>
    <x v="4"/>
    <x v="125"/>
    <x v="740"/>
    <x v="1926"/>
    <x v="1865"/>
    <x v="4162"/>
    <x v="4140"/>
    <x v="3571"/>
    <x v="7"/>
    <x v="4092"/>
    <x v="4165"/>
    <x v="365"/>
    <x v="0"/>
    <x v="0"/>
    <x v="4"/>
    <x v="126"/>
    <x v="36"/>
    <x v="95"/>
    <x v="2"/>
    <x v="3"/>
    <x v="1"/>
  </r>
  <r>
    <x v="1"/>
    <x v="1893"/>
    <x v="238"/>
    <x v="74"/>
    <x v="262"/>
    <x v="2"/>
    <x v="22"/>
    <x v="4"/>
    <x v="152"/>
    <x v="226"/>
    <x v="2475"/>
    <x v="2924"/>
    <x v="4163"/>
    <x v="4141"/>
    <x v="3572"/>
    <x v="0"/>
    <x v="4093"/>
    <x v="4166"/>
    <x v="543"/>
    <x v="0"/>
    <x v="0"/>
    <x v="9"/>
    <x v="126"/>
    <x v="34"/>
    <x v="687"/>
    <x v="26"/>
    <x v="3"/>
    <x v="61"/>
  </r>
  <r>
    <x v="1"/>
    <x v="83"/>
    <x v="325"/>
    <x v="101"/>
    <x v="66"/>
    <x v="318"/>
    <x v="140"/>
    <x v="3623"/>
    <x v="18"/>
    <x v="1642"/>
    <x v="1828"/>
    <x v="2925"/>
    <x v="4164"/>
    <x v="4142"/>
    <x v="3535"/>
    <x v="0"/>
    <x v="4094"/>
    <x v="4167"/>
    <x v="642"/>
    <x v="0"/>
    <x v="5"/>
    <x v="4"/>
    <x v="126"/>
    <x v="37"/>
    <x v="430"/>
    <x v="32"/>
    <x v="1"/>
    <x v="1"/>
  </r>
  <r>
    <x v="0"/>
    <x v="1894"/>
    <x v="379"/>
    <x v="58"/>
    <x v="211"/>
    <x v="503"/>
    <x v="491"/>
    <x v="3624"/>
    <x v="170"/>
    <x v="909"/>
    <x v="1995"/>
    <x v="2926"/>
    <x v="4165"/>
    <x v="4143"/>
    <x v="2869"/>
    <x v="1"/>
    <x v="4095"/>
    <x v="4168"/>
    <x v="368"/>
    <x v="13"/>
    <x v="14"/>
    <x v="4"/>
    <x v="126"/>
    <x v="24"/>
    <x v="338"/>
    <x v="32"/>
    <x v="1"/>
    <x v="1"/>
  </r>
  <r>
    <x v="1"/>
    <x v="328"/>
    <x v="280"/>
    <x v="49"/>
    <x v="0"/>
    <x v="491"/>
    <x v="423"/>
    <x v="4"/>
    <x v="352"/>
    <x v="391"/>
    <x v="632"/>
    <x v="735"/>
    <x v="881"/>
    <x v="4144"/>
    <x v="3573"/>
    <x v="0"/>
    <x v="876"/>
    <x v="881"/>
    <x v="488"/>
    <x v="0"/>
    <x v="1"/>
    <x v="9"/>
    <x v="126"/>
    <x v="34"/>
    <x v="395"/>
    <x v="16"/>
    <x v="10"/>
    <x v="1"/>
  </r>
  <r>
    <x v="0"/>
    <x v="709"/>
    <x v="318"/>
    <x v="34"/>
    <x v="225"/>
    <x v="48"/>
    <x v="384"/>
    <x v="3625"/>
    <x v="715"/>
    <x v="1643"/>
    <x v="2476"/>
    <x v="2927"/>
    <x v="4166"/>
    <x v="4145"/>
    <x v="3574"/>
    <x v="0"/>
    <x v="4096"/>
    <x v="4169"/>
    <x v="136"/>
    <x v="0"/>
    <x v="0"/>
    <x v="4"/>
    <x v="126"/>
    <x v="15"/>
    <x v="885"/>
    <x v="32"/>
    <x v="3"/>
    <x v="1"/>
  </r>
  <r>
    <x v="0"/>
    <x v="1895"/>
    <x v="82"/>
    <x v="107"/>
    <x v="134"/>
    <x v="792"/>
    <x v="761"/>
    <x v="3626"/>
    <x v="416"/>
    <x v="1644"/>
    <x v="2477"/>
    <x v="2928"/>
    <x v="4167"/>
    <x v="4146"/>
    <x v="3108"/>
    <x v="0"/>
    <x v="4097"/>
    <x v="4170"/>
    <x v="142"/>
    <x v="0"/>
    <x v="10"/>
    <x v="4"/>
    <x v="126"/>
    <x v="10"/>
    <x v="462"/>
    <x v="43"/>
    <x v="3"/>
    <x v="1"/>
  </r>
  <r>
    <x v="0"/>
    <x v="176"/>
    <x v="300"/>
    <x v="64"/>
    <x v="127"/>
    <x v="712"/>
    <x v="565"/>
    <x v="3627"/>
    <x v="306"/>
    <x v="1082"/>
    <x v="2478"/>
    <x v="1716"/>
    <x v="4168"/>
    <x v="4147"/>
    <x v="2258"/>
    <x v="3"/>
    <x v="4098"/>
    <x v="4171"/>
    <x v="297"/>
    <x v="15"/>
    <x v="8"/>
    <x v="4"/>
    <x v="126"/>
    <x v="7"/>
    <x v="62"/>
    <x v="3"/>
    <x v="1"/>
    <x v="36"/>
  </r>
  <r>
    <x v="0"/>
    <x v="1896"/>
    <x v="384"/>
    <x v="74"/>
    <x v="409"/>
    <x v="159"/>
    <x v="72"/>
    <x v="3628"/>
    <x v="270"/>
    <x v="1645"/>
    <x v="2479"/>
    <x v="2929"/>
    <x v="4169"/>
    <x v="4148"/>
    <x v="3575"/>
    <x v="6"/>
    <x v="4099"/>
    <x v="4172"/>
    <x v="509"/>
    <x v="0"/>
    <x v="0"/>
    <x v="0"/>
    <x v="126"/>
    <x v="10"/>
    <x v="886"/>
    <x v="15"/>
    <x v="1"/>
    <x v="7"/>
  </r>
  <r>
    <x v="1"/>
    <x v="1897"/>
    <x v="388"/>
    <x v="90"/>
    <x v="45"/>
    <x v="302"/>
    <x v="500"/>
    <x v="4"/>
    <x v="291"/>
    <x v="1120"/>
    <x v="2480"/>
    <x v="2058"/>
    <x v="4170"/>
    <x v="4149"/>
    <x v="3576"/>
    <x v="1"/>
    <x v="4100"/>
    <x v="4173"/>
    <x v="713"/>
    <x v="0"/>
    <x v="0"/>
    <x v="10"/>
    <x v="126"/>
    <x v="60"/>
    <x v="566"/>
    <x v="25"/>
    <x v="1"/>
    <x v="1"/>
  </r>
  <r>
    <x v="1"/>
    <x v="1898"/>
    <x v="329"/>
    <x v="73"/>
    <x v="85"/>
    <x v="420"/>
    <x v="0"/>
    <x v="4"/>
    <x v="832"/>
    <x v="1646"/>
    <x v="2481"/>
    <x v="2930"/>
    <x v="4171"/>
    <x v="4150"/>
    <x v="3522"/>
    <x v="8"/>
    <x v="4101"/>
    <x v="4174"/>
    <x v="705"/>
    <x v="0"/>
    <x v="0"/>
    <x v="17"/>
    <x v="342"/>
    <x v="40"/>
    <x v="220"/>
    <x v="1"/>
    <x v="15"/>
    <x v="754"/>
  </r>
  <r>
    <x v="0"/>
    <x v="1899"/>
    <x v="111"/>
    <x v="110"/>
    <x v="215"/>
    <x v="298"/>
    <x v="124"/>
    <x v="3629"/>
    <x v="833"/>
    <x v="1647"/>
    <x v="2482"/>
    <x v="2931"/>
    <x v="4172"/>
    <x v="4151"/>
    <x v="2833"/>
    <x v="0"/>
    <x v="4102"/>
    <x v="4175"/>
    <x v="617"/>
    <x v="3"/>
    <x v="10"/>
    <x v="0"/>
    <x v="255"/>
    <x v="17"/>
    <x v="794"/>
    <x v="6"/>
    <x v="10"/>
    <x v="1"/>
  </r>
  <r>
    <x v="0"/>
    <x v="1900"/>
    <x v="392"/>
    <x v="71"/>
    <x v="293"/>
    <x v="379"/>
    <x v="138"/>
    <x v="3630"/>
    <x v="200"/>
    <x v="1648"/>
    <x v="2483"/>
    <x v="534"/>
    <x v="4173"/>
    <x v="4152"/>
    <x v="3577"/>
    <x v="3"/>
    <x v="4103"/>
    <x v="4176"/>
    <x v="320"/>
    <x v="0"/>
    <x v="4"/>
    <x v="0"/>
    <x v="126"/>
    <x v="20"/>
    <x v="887"/>
    <x v="13"/>
    <x v="3"/>
    <x v="1"/>
  </r>
  <r>
    <x v="0"/>
    <x v="1513"/>
    <x v="224"/>
    <x v="59"/>
    <x v="164"/>
    <x v="734"/>
    <x v="21"/>
    <x v="3631"/>
    <x v="309"/>
    <x v="162"/>
    <x v="2484"/>
    <x v="2932"/>
    <x v="4174"/>
    <x v="4153"/>
    <x v="3578"/>
    <x v="0"/>
    <x v="4104"/>
    <x v="4177"/>
    <x v="630"/>
    <x v="0"/>
    <x v="0"/>
    <x v="4"/>
    <x v="4"/>
    <x v="17"/>
    <x v="39"/>
    <x v="7"/>
    <x v="3"/>
    <x v="1"/>
  </r>
  <r>
    <x v="0"/>
    <x v="776"/>
    <x v="130"/>
    <x v="110"/>
    <x v="0"/>
    <x v="708"/>
    <x v="751"/>
    <x v="3632"/>
    <x v="17"/>
    <x v="1649"/>
    <x v="2485"/>
    <x v="2933"/>
    <x v="4175"/>
    <x v="4154"/>
    <x v="3579"/>
    <x v="0"/>
    <x v="4105"/>
    <x v="4178"/>
    <x v="91"/>
    <x v="0"/>
    <x v="0"/>
    <x v="4"/>
    <x v="207"/>
    <x v="14"/>
    <x v="820"/>
    <x v="25"/>
    <x v="3"/>
    <x v="38"/>
  </r>
  <r>
    <x v="0"/>
    <x v="114"/>
    <x v="271"/>
    <x v="69"/>
    <x v="0"/>
    <x v="632"/>
    <x v="704"/>
    <x v="3633"/>
    <x v="306"/>
    <x v="1650"/>
    <x v="2486"/>
    <x v="2934"/>
    <x v="4176"/>
    <x v="4155"/>
    <x v="1158"/>
    <x v="0"/>
    <x v="4106"/>
    <x v="4179"/>
    <x v="336"/>
    <x v="6"/>
    <x v="12"/>
    <x v="4"/>
    <x v="126"/>
    <x v="21"/>
    <x v="534"/>
    <x v="14"/>
    <x v="3"/>
    <x v="59"/>
  </r>
  <r>
    <x v="0"/>
    <x v="534"/>
    <x v="450"/>
    <x v="7"/>
    <x v="264"/>
    <x v="646"/>
    <x v="0"/>
    <x v="3634"/>
    <x v="270"/>
    <x v="185"/>
    <x v="2487"/>
    <x v="2935"/>
    <x v="4177"/>
    <x v="4156"/>
    <x v="3580"/>
    <x v="4"/>
    <x v="4107"/>
    <x v="4180"/>
    <x v="596"/>
    <x v="0"/>
    <x v="0"/>
    <x v="4"/>
    <x v="41"/>
    <x v="17"/>
    <x v="623"/>
    <x v="2"/>
    <x v="3"/>
    <x v="1"/>
  </r>
  <r>
    <x v="1"/>
    <x v="1901"/>
    <x v="258"/>
    <x v="34"/>
    <x v="410"/>
    <x v="563"/>
    <x v="74"/>
    <x v="4"/>
    <x v="17"/>
    <x v="840"/>
    <x v="2488"/>
    <x v="2936"/>
    <x v="4178"/>
    <x v="1779"/>
    <x v="605"/>
    <x v="3"/>
    <x v="4108"/>
    <x v="4181"/>
    <x v="277"/>
    <x v="0"/>
    <x v="0"/>
    <x v="11"/>
    <x v="126"/>
    <x v="66"/>
    <x v="702"/>
    <x v="38"/>
    <x v="15"/>
    <x v="1"/>
  </r>
  <r>
    <x v="0"/>
    <x v="1902"/>
    <x v="485"/>
    <x v="7"/>
    <x v="138"/>
    <x v="132"/>
    <x v="31"/>
    <x v="3635"/>
    <x v="270"/>
    <x v="37"/>
    <x v="2489"/>
    <x v="2937"/>
    <x v="4179"/>
    <x v="4157"/>
    <x v="3581"/>
    <x v="4"/>
    <x v="4109"/>
    <x v="4182"/>
    <x v="209"/>
    <x v="0"/>
    <x v="0"/>
    <x v="4"/>
    <x v="126"/>
    <x v="5"/>
    <x v="513"/>
    <x v="13"/>
    <x v="3"/>
    <x v="35"/>
  </r>
  <r>
    <x v="0"/>
    <x v="371"/>
    <x v="313"/>
    <x v="11"/>
    <x v="215"/>
    <x v="708"/>
    <x v="146"/>
    <x v="3636"/>
    <x v="834"/>
    <x v="1651"/>
    <x v="2490"/>
    <x v="2938"/>
    <x v="4180"/>
    <x v="4158"/>
    <x v="2833"/>
    <x v="0"/>
    <x v="4110"/>
    <x v="4183"/>
    <x v="319"/>
    <x v="0"/>
    <x v="1"/>
    <x v="4"/>
    <x v="4"/>
    <x v="17"/>
    <x v="624"/>
    <x v="14"/>
    <x v="3"/>
    <x v="1"/>
  </r>
  <r>
    <x v="1"/>
    <x v="1903"/>
    <x v="81"/>
    <x v="11"/>
    <x v="256"/>
    <x v="439"/>
    <x v="80"/>
    <x v="4"/>
    <x v="225"/>
    <x v="1652"/>
    <x v="2491"/>
    <x v="2939"/>
    <x v="4181"/>
    <x v="4159"/>
    <x v="2629"/>
    <x v="4"/>
    <x v="4111"/>
    <x v="4184"/>
    <x v="654"/>
    <x v="0"/>
    <x v="0"/>
    <x v="11"/>
    <x v="126"/>
    <x v="79"/>
    <x v="136"/>
    <x v="15"/>
    <x v="15"/>
    <x v="755"/>
  </r>
  <r>
    <x v="0"/>
    <x v="1904"/>
    <x v="285"/>
    <x v="43"/>
    <x v="411"/>
    <x v="124"/>
    <x v="764"/>
    <x v="3637"/>
    <x v="200"/>
    <x v="1653"/>
    <x v="2492"/>
    <x v="2940"/>
    <x v="4182"/>
    <x v="4160"/>
    <x v="3582"/>
    <x v="0"/>
    <x v="4112"/>
    <x v="4185"/>
    <x v="554"/>
    <x v="0"/>
    <x v="0"/>
    <x v="4"/>
    <x v="126"/>
    <x v="12"/>
    <x v="308"/>
    <x v="38"/>
    <x v="3"/>
    <x v="1"/>
  </r>
  <r>
    <x v="0"/>
    <x v="1765"/>
    <x v="380"/>
    <x v="72"/>
    <x v="163"/>
    <x v="325"/>
    <x v="57"/>
    <x v="3638"/>
    <x v="835"/>
    <x v="109"/>
    <x v="2493"/>
    <x v="2941"/>
    <x v="4183"/>
    <x v="4161"/>
    <x v="3583"/>
    <x v="0"/>
    <x v="4113"/>
    <x v="4186"/>
    <x v="756"/>
    <x v="0"/>
    <x v="0"/>
    <x v="0"/>
    <x v="4"/>
    <x v="5"/>
    <x v="780"/>
    <x v="24"/>
    <x v="1"/>
    <x v="62"/>
  </r>
  <r>
    <x v="0"/>
    <x v="1905"/>
    <x v="287"/>
    <x v="45"/>
    <x v="45"/>
    <x v="334"/>
    <x v="669"/>
    <x v="3639"/>
    <x v="484"/>
    <x v="1654"/>
    <x v="2494"/>
    <x v="2942"/>
    <x v="4184"/>
    <x v="4162"/>
    <x v="3584"/>
    <x v="0"/>
    <x v="4114"/>
    <x v="4187"/>
    <x v="716"/>
    <x v="0"/>
    <x v="1"/>
    <x v="4"/>
    <x v="126"/>
    <x v="2"/>
    <x v="159"/>
    <x v="9"/>
    <x v="3"/>
    <x v="1"/>
  </r>
  <r>
    <x v="0"/>
    <x v="1906"/>
    <x v="111"/>
    <x v="38"/>
    <x v="0"/>
    <x v="177"/>
    <x v="765"/>
    <x v="3640"/>
    <x v="28"/>
    <x v="1655"/>
    <x v="2495"/>
    <x v="2943"/>
    <x v="4185"/>
    <x v="4163"/>
    <x v="3585"/>
    <x v="1"/>
    <x v="4115"/>
    <x v="4188"/>
    <x v="324"/>
    <x v="0"/>
    <x v="10"/>
    <x v="4"/>
    <x v="4"/>
    <x v="15"/>
    <x v="338"/>
    <x v="7"/>
    <x v="3"/>
    <x v="1"/>
  </r>
  <r>
    <x v="0"/>
    <x v="50"/>
    <x v="378"/>
    <x v="38"/>
    <x v="278"/>
    <x v="10"/>
    <x v="6"/>
    <x v="3641"/>
    <x v="28"/>
    <x v="6"/>
    <x v="3"/>
    <x v="1630"/>
    <x v="4186"/>
    <x v="4164"/>
    <x v="3586"/>
    <x v="4"/>
    <x v="4116"/>
    <x v="4189"/>
    <x v="321"/>
    <x v="0"/>
    <x v="0"/>
    <x v="4"/>
    <x v="126"/>
    <x v="12"/>
    <x v="3"/>
    <x v="15"/>
    <x v="3"/>
    <x v="1"/>
  </r>
  <r>
    <x v="0"/>
    <x v="580"/>
    <x v="347"/>
    <x v="55"/>
    <x v="78"/>
    <x v="464"/>
    <x v="0"/>
    <x v="3642"/>
    <x v="168"/>
    <x v="247"/>
    <x v="2496"/>
    <x v="2944"/>
    <x v="4187"/>
    <x v="4165"/>
    <x v="2894"/>
    <x v="1"/>
    <x v="4117"/>
    <x v="4190"/>
    <x v="636"/>
    <x v="0"/>
    <x v="0"/>
    <x v="0"/>
    <x v="126"/>
    <x v="2"/>
    <x v="491"/>
    <x v="43"/>
    <x v="3"/>
    <x v="1"/>
  </r>
  <r>
    <x v="0"/>
    <x v="151"/>
    <x v="339"/>
    <x v="59"/>
    <x v="0"/>
    <x v="612"/>
    <x v="94"/>
    <x v="3643"/>
    <x v="127"/>
    <x v="218"/>
    <x v="746"/>
    <x v="1895"/>
    <x v="4188"/>
    <x v="4166"/>
    <x v="3587"/>
    <x v="0"/>
    <x v="4118"/>
    <x v="4191"/>
    <x v="497"/>
    <x v="0"/>
    <x v="0"/>
    <x v="4"/>
    <x v="126"/>
    <x v="19"/>
    <x v="447"/>
    <x v="55"/>
    <x v="3"/>
    <x v="756"/>
  </r>
  <r>
    <x v="0"/>
    <x v="1907"/>
    <x v="409"/>
    <x v="42"/>
    <x v="256"/>
    <x v="480"/>
    <x v="766"/>
    <x v="3644"/>
    <x v="236"/>
    <x v="1656"/>
    <x v="2497"/>
    <x v="2945"/>
    <x v="4189"/>
    <x v="1767"/>
    <x v="3588"/>
    <x v="1"/>
    <x v="4119"/>
    <x v="4192"/>
    <x v="169"/>
    <x v="0"/>
    <x v="1"/>
    <x v="4"/>
    <x v="126"/>
    <x v="43"/>
    <x v="613"/>
    <x v="20"/>
    <x v="3"/>
    <x v="1"/>
  </r>
  <r>
    <x v="0"/>
    <x v="113"/>
    <x v="385"/>
    <x v="96"/>
    <x v="88"/>
    <x v="651"/>
    <x v="767"/>
    <x v="4"/>
    <x v="125"/>
    <x v="1657"/>
    <x v="1551"/>
    <x v="1242"/>
    <x v="4190"/>
    <x v="4167"/>
    <x v="834"/>
    <x v="3"/>
    <x v="4120"/>
    <x v="4193"/>
    <x v="496"/>
    <x v="0"/>
    <x v="0"/>
    <x v="5"/>
    <x v="4"/>
    <x v="4"/>
    <x v="246"/>
    <x v="14"/>
    <x v="9"/>
    <x v="464"/>
  </r>
  <r>
    <x v="0"/>
    <x v="85"/>
    <x v="69"/>
    <x v="13"/>
    <x v="0"/>
    <x v="532"/>
    <x v="510"/>
    <x v="2278"/>
    <x v="270"/>
    <x v="957"/>
    <x v="1496"/>
    <x v="1781"/>
    <x v="2424"/>
    <x v="2421"/>
    <x v="1054"/>
    <x v="0"/>
    <x v="2405"/>
    <x v="2424"/>
    <x v="288"/>
    <x v="0"/>
    <x v="1"/>
    <x v="0"/>
    <x v="135"/>
    <x v="25"/>
    <x v="381"/>
    <x v="6"/>
    <x v="5"/>
    <x v="1"/>
  </r>
  <r>
    <x v="0"/>
    <x v="1559"/>
    <x v="202"/>
    <x v="59"/>
    <x v="112"/>
    <x v="683"/>
    <x v="655"/>
    <x v="3645"/>
    <x v="105"/>
    <x v="1658"/>
    <x v="2498"/>
    <x v="2946"/>
    <x v="4191"/>
    <x v="4168"/>
    <x v="3589"/>
    <x v="3"/>
    <x v="4121"/>
    <x v="4194"/>
    <x v="133"/>
    <x v="0"/>
    <x v="0"/>
    <x v="10"/>
    <x v="126"/>
    <x v="7"/>
    <x v="836"/>
    <x v="12"/>
    <x v="0"/>
    <x v="1"/>
  </r>
  <r>
    <x v="0"/>
    <x v="1908"/>
    <x v="99"/>
    <x v="78"/>
    <x v="28"/>
    <x v="298"/>
    <x v="671"/>
    <x v="3646"/>
    <x v="836"/>
    <x v="1659"/>
    <x v="2499"/>
    <x v="2947"/>
    <x v="4192"/>
    <x v="4169"/>
    <x v="3590"/>
    <x v="0"/>
    <x v="4122"/>
    <x v="4195"/>
    <x v="319"/>
    <x v="20"/>
    <x v="54"/>
    <x v="4"/>
    <x v="41"/>
    <x v="8"/>
    <x v="253"/>
    <x v="25"/>
    <x v="3"/>
    <x v="1"/>
  </r>
  <r>
    <x v="0"/>
    <x v="1909"/>
    <x v="478"/>
    <x v="60"/>
    <x v="0"/>
    <x v="183"/>
    <x v="768"/>
    <x v="3647"/>
    <x v="66"/>
    <x v="1660"/>
    <x v="2500"/>
    <x v="2948"/>
    <x v="4193"/>
    <x v="4170"/>
    <x v="3591"/>
    <x v="1"/>
    <x v="4123"/>
    <x v="4196"/>
    <x v="737"/>
    <x v="0"/>
    <x v="0"/>
    <x v="0"/>
    <x v="126"/>
    <x v="17"/>
    <x v="779"/>
    <x v="47"/>
    <x v="3"/>
    <x v="731"/>
  </r>
  <r>
    <x v="0"/>
    <x v="1765"/>
    <x v="212"/>
    <x v="58"/>
    <x v="163"/>
    <x v="367"/>
    <x v="687"/>
    <x v="3648"/>
    <x v="837"/>
    <x v="1396"/>
    <x v="2501"/>
    <x v="2949"/>
    <x v="4194"/>
    <x v="4171"/>
    <x v="2546"/>
    <x v="0"/>
    <x v="4124"/>
    <x v="4197"/>
    <x v="650"/>
    <x v="0"/>
    <x v="0"/>
    <x v="1"/>
    <x v="126"/>
    <x v="1"/>
    <x v="244"/>
    <x v="24"/>
    <x v="3"/>
    <x v="1"/>
  </r>
  <r>
    <x v="0"/>
    <x v="1910"/>
    <x v="188"/>
    <x v="58"/>
    <x v="188"/>
    <x v="640"/>
    <x v="14"/>
    <x v="3649"/>
    <x v="17"/>
    <x v="788"/>
    <x v="870"/>
    <x v="2950"/>
    <x v="4195"/>
    <x v="4172"/>
    <x v="3592"/>
    <x v="3"/>
    <x v="4125"/>
    <x v="4198"/>
    <x v="547"/>
    <x v="0"/>
    <x v="0"/>
    <x v="4"/>
    <x v="126"/>
    <x v="2"/>
    <x v="30"/>
    <x v="8"/>
    <x v="1"/>
    <x v="1"/>
  </r>
  <r>
    <x v="0"/>
    <x v="113"/>
    <x v="93"/>
    <x v="84"/>
    <x v="88"/>
    <x v="884"/>
    <x v="2"/>
    <x v="4"/>
    <x v="105"/>
    <x v="203"/>
    <x v="678"/>
    <x v="2951"/>
    <x v="4196"/>
    <x v="4173"/>
    <x v="3593"/>
    <x v="7"/>
    <x v="4126"/>
    <x v="4199"/>
    <x v="721"/>
    <x v="0"/>
    <x v="0"/>
    <x v="1"/>
    <x v="4"/>
    <x v="4"/>
    <x v="417"/>
    <x v="11"/>
    <x v="8"/>
    <x v="757"/>
  </r>
  <r>
    <x v="1"/>
    <x v="1911"/>
    <x v="283"/>
    <x v="7"/>
    <x v="72"/>
    <x v="809"/>
    <x v="769"/>
    <x v="3650"/>
    <x v="838"/>
    <x v="1661"/>
    <x v="2502"/>
    <x v="2952"/>
    <x v="4197"/>
    <x v="4174"/>
    <x v="3299"/>
    <x v="0"/>
    <x v="4127"/>
    <x v="4200"/>
    <x v="704"/>
    <x v="0"/>
    <x v="1"/>
    <x v="2"/>
    <x v="126"/>
    <x v="1"/>
    <x v="208"/>
    <x v="14"/>
    <x v="3"/>
    <x v="1"/>
  </r>
  <r>
    <x v="0"/>
    <x v="1912"/>
    <x v="245"/>
    <x v="27"/>
    <x v="12"/>
    <x v="720"/>
    <x v="473"/>
    <x v="3651"/>
    <x v="134"/>
    <x v="236"/>
    <x v="1157"/>
    <x v="1420"/>
    <x v="4198"/>
    <x v="4175"/>
    <x v="3594"/>
    <x v="1"/>
    <x v="4128"/>
    <x v="4201"/>
    <x v="465"/>
    <x v="0"/>
    <x v="0"/>
    <x v="2"/>
    <x v="4"/>
    <x v="5"/>
    <x v="370"/>
    <x v="12"/>
    <x v="8"/>
    <x v="1"/>
  </r>
  <r>
    <x v="1"/>
    <x v="1642"/>
    <x v="318"/>
    <x v="71"/>
    <x v="89"/>
    <x v="337"/>
    <x v="654"/>
    <x v="3652"/>
    <x v="839"/>
    <x v="1361"/>
    <x v="2503"/>
    <x v="2953"/>
    <x v="4199"/>
    <x v="4176"/>
    <x v="2073"/>
    <x v="0"/>
    <x v="4129"/>
    <x v="4202"/>
    <x v="398"/>
    <x v="0"/>
    <x v="0"/>
    <x v="13"/>
    <x v="126"/>
    <x v="12"/>
    <x v="349"/>
    <x v="2"/>
    <x v="3"/>
    <x v="304"/>
  </r>
  <r>
    <x v="0"/>
    <x v="1913"/>
    <x v="347"/>
    <x v="77"/>
    <x v="116"/>
    <x v="209"/>
    <x v="770"/>
    <x v="3653"/>
    <x v="352"/>
    <x v="1662"/>
    <x v="2504"/>
    <x v="2472"/>
    <x v="4200"/>
    <x v="4177"/>
    <x v="3595"/>
    <x v="1"/>
    <x v="4130"/>
    <x v="4203"/>
    <x v="546"/>
    <x v="0"/>
    <x v="0"/>
    <x v="4"/>
    <x v="4"/>
    <x v="21"/>
    <x v="882"/>
    <x v="11"/>
    <x v="3"/>
    <x v="597"/>
  </r>
  <r>
    <x v="0"/>
    <x v="1802"/>
    <x v="438"/>
    <x v="45"/>
    <x v="31"/>
    <x v="88"/>
    <x v="114"/>
    <x v="3654"/>
    <x v="200"/>
    <x v="1663"/>
    <x v="901"/>
    <x v="714"/>
    <x v="4201"/>
    <x v="4178"/>
    <x v="3596"/>
    <x v="2"/>
    <x v="4131"/>
    <x v="4204"/>
    <x v="718"/>
    <x v="0"/>
    <x v="1"/>
    <x v="0"/>
    <x v="4"/>
    <x v="13"/>
    <x v="192"/>
    <x v="21"/>
    <x v="2"/>
    <x v="758"/>
  </r>
  <r>
    <x v="0"/>
    <x v="1914"/>
    <x v="303"/>
    <x v="107"/>
    <x v="123"/>
    <x v="848"/>
    <x v="771"/>
    <x v="3655"/>
    <x v="125"/>
    <x v="1664"/>
    <x v="2505"/>
    <x v="2954"/>
    <x v="4202"/>
    <x v="4179"/>
    <x v="2869"/>
    <x v="0"/>
    <x v="4132"/>
    <x v="4205"/>
    <x v="96"/>
    <x v="0"/>
    <x v="0"/>
    <x v="4"/>
    <x v="311"/>
    <x v="5"/>
    <x v="410"/>
    <x v="51"/>
    <x v="3"/>
    <x v="759"/>
  </r>
  <r>
    <x v="0"/>
    <x v="191"/>
    <x v="421"/>
    <x v="42"/>
    <x v="0"/>
    <x v="717"/>
    <x v="0"/>
    <x v="4"/>
    <x v="386"/>
    <x v="738"/>
    <x v="2506"/>
    <x v="2955"/>
    <x v="4203"/>
    <x v="4180"/>
    <x v="2788"/>
    <x v="1"/>
    <x v="4133"/>
    <x v="4206"/>
    <x v="727"/>
    <x v="3"/>
    <x v="10"/>
    <x v="4"/>
    <x v="173"/>
    <x v="39"/>
    <x v="848"/>
    <x v="12"/>
    <x v="1"/>
    <x v="359"/>
  </r>
  <r>
    <x v="0"/>
    <x v="1915"/>
    <x v="303"/>
    <x v="45"/>
    <x v="0"/>
    <x v="704"/>
    <x v="49"/>
    <x v="3656"/>
    <x v="200"/>
    <x v="86"/>
    <x v="239"/>
    <x v="11"/>
    <x v="4204"/>
    <x v="4181"/>
    <x v="3597"/>
    <x v="4"/>
    <x v="4134"/>
    <x v="4207"/>
    <x v="514"/>
    <x v="0"/>
    <x v="0"/>
    <x v="0"/>
    <x v="224"/>
    <x v="14"/>
    <x v="30"/>
    <x v="15"/>
    <x v="3"/>
    <x v="760"/>
  </r>
  <r>
    <x v="0"/>
    <x v="1916"/>
    <x v="248"/>
    <x v="50"/>
    <x v="217"/>
    <x v="171"/>
    <x v="397"/>
    <x v="3657"/>
    <x v="499"/>
    <x v="1665"/>
    <x v="2507"/>
    <x v="2956"/>
    <x v="4205"/>
    <x v="4182"/>
    <x v="3598"/>
    <x v="1"/>
    <x v="4135"/>
    <x v="4208"/>
    <x v="290"/>
    <x v="0"/>
    <x v="0"/>
    <x v="4"/>
    <x v="4"/>
    <x v="1"/>
    <x v="742"/>
    <x v="28"/>
    <x v="3"/>
    <x v="16"/>
  </r>
  <r>
    <x v="0"/>
    <x v="1917"/>
    <x v="359"/>
    <x v="43"/>
    <x v="198"/>
    <x v="298"/>
    <x v="772"/>
    <x v="3658"/>
    <x v="840"/>
    <x v="1666"/>
    <x v="2508"/>
    <x v="2957"/>
    <x v="4206"/>
    <x v="4183"/>
    <x v="3533"/>
    <x v="1"/>
    <x v="4136"/>
    <x v="4209"/>
    <x v="386"/>
    <x v="0"/>
    <x v="0"/>
    <x v="0"/>
    <x v="126"/>
    <x v="20"/>
    <x v="515"/>
    <x v="10"/>
    <x v="3"/>
    <x v="1"/>
  </r>
  <r>
    <x v="0"/>
    <x v="1918"/>
    <x v="93"/>
    <x v="4"/>
    <x v="198"/>
    <x v="483"/>
    <x v="773"/>
    <x v="4"/>
    <x v="243"/>
    <x v="1667"/>
    <x v="2509"/>
    <x v="2958"/>
    <x v="4207"/>
    <x v="4184"/>
    <x v="3599"/>
    <x v="4"/>
    <x v="4137"/>
    <x v="4210"/>
    <x v="326"/>
    <x v="8"/>
    <x v="16"/>
    <x v="1"/>
    <x v="4"/>
    <x v="21"/>
    <x v="646"/>
    <x v="66"/>
    <x v="2"/>
    <x v="761"/>
  </r>
  <r>
    <x v="0"/>
    <x v="984"/>
    <x v="459"/>
    <x v="78"/>
    <x v="45"/>
    <x v="709"/>
    <x v="265"/>
    <x v="3659"/>
    <x v="841"/>
    <x v="1668"/>
    <x v="2510"/>
    <x v="2959"/>
    <x v="4208"/>
    <x v="4185"/>
    <x v="3600"/>
    <x v="1"/>
    <x v="4138"/>
    <x v="4211"/>
    <x v="450"/>
    <x v="0"/>
    <x v="1"/>
    <x v="4"/>
    <x v="4"/>
    <x v="14"/>
    <x v="654"/>
    <x v="38"/>
    <x v="1"/>
    <x v="1"/>
  </r>
  <r>
    <x v="0"/>
    <x v="1919"/>
    <x v="399"/>
    <x v="79"/>
    <x v="0"/>
    <x v="681"/>
    <x v="13"/>
    <x v="3660"/>
    <x v="200"/>
    <x v="13"/>
    <x v="127"/>
    <x v="1245"/>
    <x v="4209"/>
    <x v="4186"/>
    <x v="3601"/>
    <x v="1"/>
    <x v="4139"/>
    <x v="4212"/>
    <x v="744"/>
    <x v="0"/>
    <x v="0"/>
    <x v="4"/>
    <x v="315"/>
    <x v="0"/>
    <x v="47"/>
    <x v="27"/>
    <x v="1"/>
    <x v="622"/>
  </r>
  <r>
    <x v="1"/>
    <x v="1594"/>
    <x v="402"/>
    <x v="45"/>
    <x v="384"/>
    <x v="280"/>
    <x v="15"/>
    <x v="4"/>
    <x v="334"/>
    <x v="212"/>
    <x v="2090"/>
    <x v="2960"/>
    <x v="4210"/>
    <x v="4187"/>
    <x v="1697"/>
    <x v="4"/>
    <x v="4140"/>
    <x v="4213"/>
    <x v="732"/>
    <x v="0"/>
    <x v="1"/>
    <x v="4"/>
    <x v="4"/>
    <x v="13"/>
    <x v="343"/>
    <x v="1"/>
    <x v="3"/>
    <x v="647"/>
  </r>
  <r>
    <x v="0"/>
    <x v="42"/>
    <x v="336"/>
    <x v="74"/>
    <x v="30"/>
    <x v="102"/>
    <x v="9"/>
    <x v="3661"/>
    <x v="270"/>
    <x v="279"/>
    <x v="2511"/>
    <x v="127"/>
    <x v="4211"/>
    <x v="4188"/>
    <x v="3602"/>
    <x v="0"/>
    <x v="4141"/>
    <x v="4214"/>
    <x v="737"/>
    <x v="0"/>
    <x v="0"/>
    <x v="4"/>
    <x v="179"/>
    <x v="2"/>
    <x v="457"/>
    <x v="33"/>
    <x v="1"/>
    <x v="1"/>
  </r>
  <r>
    <x v="0"/>
    <x v="113"/>
    <x v="393"/>
    <x v="84"/>
    <x v="88"/>
    <x v="462"/>
    <x v="89"/>
    <x v="4"/>
    <x v="182"/>
    <x v="155"/>
    <x v="2512"/>
    <x v="2961"/>
    <x v="4212"/>
    <x v="4189"/>
    <x v="3603"/>
    <x v="4"/>
    <x v="4142"/>
    <x v="4215"/>
    <x v="736"/>
    <x v="0"/>
    <x v="0"/>
    <x v="5"/>
    <x v="4"/>
    <x v="4"/>
    <x v="875"/>
    <x v="0"/>
    <x v="0"/>
    <x v="67"/>
  </r>
  <r>
    <x v="0"/>
    <x v="1920"/>
    <x v="489"/>
    <x v="41"/>
    <x v="211"/>
    <x v="670"/>
    <x v="657"/>
    <x v="3662"/>
    <x v="842"/>
    <x v="1309"/>
    <x v="2513"/>
    <x v="2962"/>
    <x v="4213"/>
    <x v="2831"/>
    <x v="2269"/>
    <x v="0"/>
    <x v="4143"/>
    <x v="4216"/>
    <x v="789"/>
    <x v="8"/>
    <x v="16"/>
    <x v="2"/>
    <x v="4"/>
    <x v="8"/>
    <x v="326"/>
    <x v="43"/>
    <x v="1"/>
    <x v="744"/>
  </r>
  <r>
    <x v="0"/>
    <x v="1921"/>
    <x v="451"/>
    <x v="7"/>
    <x v="50"/>
    <x v="69"/>
    <x v="114"/>
    <x v="4"/>
    <x v="152"/>
    <x v="291"/>
    <x v="2311"/>
    <x v="2963"/>
    <x v="4214"/>
    <x v="4190"/>
    <x v="2573"/>
    <x v="2"/>
    <x v="4144"/>
    <x v="4217"/>
    <x v="684"/>
    <x v="0"/>
    <x v="0"/>
    <x v="9"/>
    <x v="4"/>
    <x v="17"/>
    <x v="856"/>
    <x v="28"/>
    <x v="3"/>
    <x v="686"/>
  </r>
  <r>
    <x v="0"/>
    <x v="1922"/>
    <x v="81"/>
    <x v="55"/>
    <x v="107"/>
    <x v="582"/>
    <x v="702"/>
    <x v="3663"/>
    <x v="15"/>
    <x v="1463"/>
    <x v="2514"/>
    <x v="2964"/>
    <x v="4215"/>
    <x v="4191"/>
    <x v="3604"/>
    <x v="9"/>
    <x v="4145"/>
    <x v="4218"/>
    <x v="655"/>
    <x v="0"/>
    <x v="41"/>
    <x v="2"/>
    <x v="4"/>
    <x v="9"/>
    <x v="545"/>
    <x v="30"/>
    <x v="1"/>
    <x v="762"/>
  </r>
  <r>
    <x v="0"/>
    <x v="477"/>
    <x v="225"/>
    <x v="50"/>
    <x v="247"/>
    <x v="700"/>
    <x v="14"/>
    <x v="3664"/>
    <x v="276"/>
    <x v="219"/>
    <x v="1171"/>
    <x v="2965"/>
    <x v="4216"/>
    <x v="4192"/>
    <x v="3605"/>
    <x v="6"/>
    <x v="4146"/>
    <x v="4219"/>
    <x v="408"/>
    <x v="0"/>
    <x v="0"/>
    <x v="0"/>
    <x v="4"/>
    <x v="11"/>
    <x v="156"/>
    <x v="18"/>
    <x v="1"/>
    <x v="1"/>
  </r>
  <r>
    <x v="0"/>
    <x v="1923"/>
    <x v="240"/>
    <x v="54"/>
    <x v="193"/>
    <x v="733"/>
    <x v="128"/>
    <x v="3665"/>
    <x v="270"/>
    <x v="1669"/>
    <x v="737"/>
    <x v="2966"/>
    <x v="4217"/>
    <x v="4193"/>
    <x v="3606"/>
    <x v="3"/>
    <x v="4147"/>
    <x v="4220"/>
    <x v="790"/>
    <x v="0"/>
    <x v="0"/>
    <x v="1"/>
    <x v="41"/>
    <x v="0"/>
    <x v="442"/>
    <x v="5"/>
    <x v="3"/>
    <x v="763"/>
  </r>
  <r>
    <x v="0"/>
    <x v="1924"/>
    <x v="303"/>
    <x v="55"/>
    <x v="142"/>
    <x v="294"/>
    <x v="285"/>
    <x v="4"/>
    <x v="843"/>
    <x v="1325"/>
    <x v="2515"/>
    <x v="2967"/>
    <x v="4218"/>
    <x v="4194"/>
    <x v="3607"/>
    <x v="1"/>
    <x v="4148"/>
    <x v="4221"/>
    <x v="140"/>
    <x v="0"/>
    <x v="0"/>
    <x v="4"/>
    <x v="126"/>
    <x v="27"/>
    <x v="173"/>
    <x v="18"/>
    <x v="3"/>
    <x v="467"/>
  </r>
  <r>
    <x v="0"/>
    <x v="1925"/>
    <x v="384"/>
    <x v="80"/>
    <x v="31"/>
    <x v="1"/>
    <x v="8"/>
    <x v="3666"/>
    <x v="17"/>
    <x v="35"/>
    <x v="75"/>
    <x v="2968"/>
    <x v="4219"/>
    <x v="4195"/>
    <x v="3608"/>
    <x v="4"/>
    <x v="4149"/>
    <x v="4222"/>
    <x v="129"/>
    <x v="0"/>
    <x v="1"/>
    <x v="4"/>
    <x v="343"/>
    <x v="12"/>
    <x v="6"/>
    <x v="4"/>
    <x v="1"/>
    <x v="1"/>
  </r>
  <r>
    <x v="0"/>
    <x v="1926"/>
    <x v="239"/>
    <x v="45"/>
    <x v="47"/>
    <x v="754"/>
    <x v="648"/>
    <x v="3667"/>
    <x v="270"/>
    <x v="1670"/>
    <x v="1267"/>
    <x v="2969"/>
    <x v="4220"/>
    <x v="4196"/>
    <x v="3609"/>
    <x v="1"/>
    <x v="4150"/>
    <x v="4223"/>
    <x v="365"/>
    <x v="0"/>
    <x v="0"/>
    <x v="4"/>
    <x v="126"/>
    <x v="7"/>
    <x v="228"/>
    <x v="4"/>
    <x v="3"/>
    <x v="265"/>
  </r>
  <r>
    <x v="0"/>
    <x v="830"/>
    <x v="460"/>
    <x v="79"/>
    <x v="91"/>
    <x v="470"/>
    <x v="429"/>
    <x v="1853"/>
    <x v="70"/>
    <x v="778"/>
    <x v="1260"/>
    <x v="693"/>
    <x v="1948"/>
    <x v="1943"/>
    <x v="1858"/>
    <x v="1"/>
    <x v="1936"/>
    <x v="1948"/>
    <x v="578"/>
    <x v="0"/>
    <x v="0"/>
    <x v="0"/>
    <x v="131"/>
    <x v="19"/>
    <x v="398"/>
    <x v="37"/>
    <x v="3"/>
    <x v="355"/>
  </r>
  <r>
    <x v="0"/>
    <x v="1927"/>
    <x v="207"/>
    <x v="101"/>
    <x v="0"/>
    <x v="393"/>
    <x v="774"/>
    <x v="4"/>
    <x v="770"/>
    <x v="1671"/>
    <x v="2516"/>
    <x v="2970"/>
    <x v="4221"/>
    <x v="4197"/>
    <x v="3385"/>
    <x v="0"/>
    <x v="4151"/>
    <x v="4224"/>
    <x v="247"/>
    <x v="0"/>
    <x v="0"/>
    <x v="9"/>
    <x v="4"/>
    <x v="2"/>
    <x v="477"/>
    <x v="19"/>
    <x v="2"/>
    <x v="1"/>
  </r>
  <r>
    <x v="0"/>
    <x v="1088"/>
    <x v="331"/>
    <x v="43"/>
    <x v="171"/>
    <x v="601"/>
    <x v="57"/>
    <x v="3668"/>
    <x v="381"/>
    <x v="125"/>
    <x v="483"/>
    <x v="2971"/>
    <x v="4222"/>
    <x v="4198"/>
    <x v="3610"/>
    <x v="1"/>
    <x v="4152"/>
    <x v="4225"/>
    <x v="612"/>
    <x v="0"/>
    <x v="1"/>
    <x v="4"/>
    <x v="4"/>
    <x v="8"/>
    <x v="313"/>
    <x v="2"/>
    <x v="1"/>
    <x v="1"/>
  </r>
  <r>
    <x v="0"/>
    <x v="534"/>
    <x v="465"/>
    <x v="77"/>
    <x v="264"/>
    <x v="582"/>
    <x v="354"/>
    <x v="3669"/>
    <x v="582"/>
    <x v="637"/>
    <x v="2517"/>
    <x v="2972"/>
    <x v="4223"/>
    <x v="4199"/>
    <x v="2035"/>
    <x v="4"/>
    <x v="4153"/>
    <x v="4226"/>
    <x v="343"/>
    <x v="0"/>
    <x v="0"/>
    <x v="4"/>
    <x v="4"/>
    <x v="9"/>
    <x v="481"/>
    <x v="28"/>
    <x v="0"/>
    <x v="243"/>
  </r>
  <r>
    <x v="0"/>
    <x v="1928"/>
    <x v="283"/>
    <x v="76"/>
    <x v="85"/>
    <x v="2"/>
    <x v="659"/>
    <x v="4"/>
    <x v="844"/>
    <x v="1315"/>
    <x v="2518"/>
    <x v="2973"/>
    <x v="4224"/>
    <x v="4200"/>
    <x v="2776"/>
    <x v="3"/>
    <x v="4154"/>
    <x v="4227"/>
    <x v="552"/>
    <x v="0"/>
    <x v="1"/>
    <x v="4"/>
    <x v="4"/>
    <x v="0"/>
    <x v="854"/>
    <x v="31"/>
    <x v="1"/>
    <x v="1"/>
  </r>
  <r>
    <x v="0"/>
    <x v="1929"/>
    <x v="421"/>
    <x v="73"/>
    <x v="78"/>
    <x v="74"/>
    <x v="242"/>
    <x v="3670"/>
    <x v="718"/>
    <x v="1672"/>
    <x v="2519"/>
    <x v="2974"/>
    <x v="4225"/>
    <x v="4201"/>
    <x v="3611"/>
    <x v="4"/>
    <x v="4155"/>
    <x v="4228"/>
    <x v="790"/>
    <x v="0"/>
    <x v="26"/>
    <x v="4"/>
    <x v="126"/>
    <x v="8"/>
    <x v="332"/>
    <x v="6"/>
    <x v="1"/>
    <x v="103"/>
  </r>
  <r>
    <x v="0"/>
    <x v="1930"/>
    <x v="431"/>
    <x v="77"/>
    <x v="0"/>
    <x v="171"/>
    <x v="61"/>
    <x v="4"/>
    <x v="168"/>
    <x v="105"/>
    <x v="811"/>
    <x v="2975"/>
    <x v="4226"/>
    <x v="4202"/>
    <x v="3612"/>
    <x v="1"/>
    <x v="4156"/>
    <x v="4229"/>
    <x v="540"/>
    <x v="0"/>
    <x v="1"/>
    <x v="4"/>
    <x v="126"/>
    <x v="14"/>
    <x v="478"/>
    <x v="21"/>
    <x v="1"/>
    <x v="613"/>
  </r>
  <r>
    <x v="0"/>
    <x v="1931"/>
    <x v="410"/>
    <x v="80"/>
    <x v="85"/>
    <x v="48"/>
    <x v="731"/>
    <x v="4"/>
    <x v="429"/>
    <x v="1673"/>
    <x v="2520"/>
    <x v="2976"/>
    <x v="4227"/>
    <x v="4203"/>
    <x v="1331"/>
    <x v="0"/>
    <x v="4157"/>
    <x v="4230"/>
    <x v="527"/>
    <x v="0"/>
    <x v="4"/>
    <x v="9"/>
    <x v="344"/>
    <x v="10"/>
    <x v="138"/>
    <x v="9"/>
    <x v="0"/>
    <x v="1"/>
  </r>
  <r>
    <x v="0"/>
    <x v="1932"/>
    <x v="288"/>
    <x v="107"/>
    <x v="78"/>
    <x v="702"/>
    <x v="775"/>
    <x v="4"/>
    <x v="476"/>
    <x v="1674"/>
    <x v="2521"/>
    <x v="2977"/>
    <x v="4228"/>
    <x v="3521"/>
    <x v="3613"/>
    <x v="0"/>
    <x v="4158"/>
    <x v="4231"/>
    <x v="327"/>
    <x v="0"/>
    <x v="25"/>
    <x v="4"/>
    <x v="4"/>
    <x v="3"/>
    <x v="257"/>
    <x v="20"/>
    <x v="3"/>
    <x v="1"/>
  </r>
  <r>
    <x v="0"/>
    <x v="1933"/>
    <x v="429"/>
    <x v="105"/>
    <x v="0"/>
    <x v="203"/>
    <x v="559"/>
    <x v="4"/>
    <x v="188"/>
    <x v="1675"/>
    <x v="2522"/>
    <x v="1604"/>
    <x v="4229"/>
    <x v="4204"/>
    <x v="1263"/>
    <x v="0"/>
    <x v="4159"/>
    <x v="4232"/>
    <x v="398"/>
    <x v="0"/>
    <x v="0"/>
    <x v="4"/>
    <x v="126"/>
    <x v="5"/>
    <x v="832"/>
    <x v="34"/>
    <x v="1"/>
    <x v="1"/>
  </r>
  <r>
    <x v="0"/>
    <x v="1934"/>
    <x v="4"/>
    <x v="113"/>
    <x v="0"/>
    <x v="316"/>
    <x v="736"/>
    <x v="4"/>
    <x v="4"/>
    <x v="1676"/>
    <x v="2523"/>
    <x v="2978"/>
    <x v="4230"/>
    <x v="4205"/>
    <x v="601"/>
    <x v="0"/>
    <x v="4"/>
    <x v="4233"/>
    <x v="4"/>
    <x v="0"/>
    <x v="1"/>
    <x v="1"/>
    <x v="126"/>
    <x v="2"/>
    <x v="327"/>
    <x v="38"/>
    <x v="2"/>
    <x v="1"/>
  </r>
  <r>
    <x v="0"/>
    <x v="696"/>
    <x v="361"/>
    <x v="87"/>
    <x v="201"/>
    <x v="563"/>
    <x v="2"/>
    <x v="4"/>
    <x v="125"/>
    <x v="740"/>
    <x v="2524"/>
    <x v="2638"/>
    <x v="4231"/>
    <x v="4206"/>
    <x v="2"/>
    <x v="3"/>
    <x v="4160"/>
    <x v="4234"/>
    <x v="715"/>
    <x v="0"/>
    <x v="0"/>
    <x v="16"/>
    <x v="126"/>
    <x v="49"/>
    <x v="264"/>
    <x v="1"/>
    <x v="15"/>
    <x v="1"/>
  </r>
  <r>
    <x v="0"/>
    <x v="1935"/>
    <x v="393"/>
    <x v="58"/>
    <x v="0"/>
    <x v="490"/>
    <x v="372"/>
    <x v="3671"/>
    <x v="582"/>
    <x v="1677"/>
    <x v="2525"/>
    <x v="2979"/>
    <x v="4232"/>
    <x v="4207"/>
    <x v="3614"/>
    <x v="0"/>
    <x v="4"/>
    <x v="4235"/>
    <x v="561"/>
    <x v="0"/>
    <x v="0"/>
    <x v="9"/>
    <x v="4"/>
    <x v="3"/>
    <x v="278"/>
    <x v="65"/>
    <x v="2"/>
    <x v="215"/>
  </r>
  <r>
    <x v="0"/>
    <x v="1936"/>
    <x v="385"/>
    <x v="78"/>
    <x v="78"/>
    <x v="194"/>
    <x v="418"/>
    <x v="4"/>
    <x v="28"/>
    <x v="761"/>
    <x v="2526"/>
    <x v="2980"/>
    <x v="4233"/>
    <x v="4208"/>
    <x v="3615"/>
    <x v="1"/>
    <x v="3463"/>
    <x v="4236"/>
    <x v="843"/>
    <x v="0"/>
    <x v="0"/>
    <x v="4"/>
    <x v="126"/>
    <x v="1"/>
    <x v="888"/>
    <x v="51"/>
    <x v="1"/>
    <x v="623"/>
  </r>
  <r>
    <x v="0"/>
    <x v="113"/>
    <x v="307"/>
    <x v="119"/>
    <x v="88"/>
    <x v="685"/>
    <x v="316"/>
    <x v="4"/>
    <x v="200"/>
    <x v="1678"/>
    <x v="1588"/>
    <x v="2981"/>
    <x v="4234"/>
    <x v="4209"/>
    <x v="3616"/>
    <x v="7"/>
    <x v="4161"/>
    <x v="4237"/>
    <x v="388"/>
    <x v="0"/>
    <x v="0"/>
    <x v="1"/>
    <x v="4"/>
    <x v="4"/>
    <x v="756"/>
    <x v="11"/>
    <x v="8"/>
    <x v="103"/>
  </r>
  <r>
    <x v="1"/>
    <x v="1937"/>
    <x v="362"/>
    <x v="80"/>
    <x v="0"/>
    <x v="325"/>
    <x v="0"/>
    <x v="3672"/>
    <x v="845"/>
    <x v="1679"/>
    <x v="2527"/>
    <x v="2982"/>
    <x v="4235"/>
    <x v="4210"/>
    <x v="3617"/>
    <x v="1"/>
    <x v="4162"/>
    <x v="4238"/>
    <x v="509"/>
    <x v="0"/>
    <x v="0"/>
    <x v="9"/>
    <x v="277"/>
    <x v="66"/>
    <x v="438"/>
    <x v="16"/>
    <x v="15"/>
    <x v="1"/>
  </r>
  <r>
    <x v="0"/>
    <x v="1938"/>
    <x v="152"/>
    <x v="76"/>
    <x v="0"/>
    <x v="759"/>
    <x v="530"/>
    <x v="4"/>
    <x v="381"/>
    <x v="1680"/>
    <x v="1176"/>
    <x v="1610"/>
    <x v="4236"/>
    <x v="4211"/>
    <x v="3618"/>
    <x v="0"/>
    <x v="4163"/>
    <x v="4239"/>
    <x v="755"/>
    <x v="0"/>
    <x v="0"/>
    <x v="4"/>
    <x v="126"/>
    <x v="8"/>
    <x v="527"/>
    <x v="41"/>
    <x v="0"/>
    <x v="372"/>
  </r>
  <r>
    <x v="0"/>
    <x v="1587"/>
    <x v="329"/>
    <x v="55"/>
    <x v="123"/>
    <x v="616"/>
    <x v="10"/>
    <x v="4"/>
    <x v="152"/>
    <x v="40"/>
    <x v="83"/>
    <x v="2983"/>
    <x v="4237"/>
    <x v="4212"/>
    <x v="3619"/>
    <x v="3"/>
    <x v="4164"/>
    <x v="4240"/>
    <x v="450"/>
    <x v="0"/>
    <x v="0"/>
    <x v="4"/>
    <x v="137"/>
    <x v="19"/>
    <x v="62"/>
    <x v="22"/>
    <x v="1"/>
    <x v="155"/>
  </r>
  <r>
    <x v="2"/>
    <x v="1685"/>
    <x v="193"/>
    <x v="45"/>
    <x v="306"/>
    <x v="226"/>
    <x v="35"/>
    <x v="4"/>
    <x v="539"/>
    <x v="1251"/>
    <x v="1379"/>
    <x v="2984"/>
    <x v="4238"/>
    <x v="4213"/>
    <x v="3620"/>
    <x v="5"/>
    <x v="4165"/>
    <x v="4241"/>
    <x v="721"/>
    <x v="0"/>
    <x v="0"/>
    <x v="4"/>
    <x v="126"/>
    <x v="3"/>
    <x v="225"/>
    <x v="9"/>
    <x v="3"/>
    <x v="1"/>
  </r>
  <r>
    <x v="0"/>
    <x v="1939"/>
    <x v="435"/>
    <x v="101"/>
    <x v="193"/>
    <x v="685"/>
    <x v="31"/>
    <x v="4"/>
    <x v="125"/>
    <x v="1681"/>
    <x v="2528"/>
    <x v="1387"/>
    <x v="4239"/>
    <x v="4214"/>
    <x v="3621"/>
    <x v="3"/>
    <x v="4166"/>
    <x v="4242"/>
    <x v="786"/>
    <x v="0"/>
    <x v="0"/>
    <x v="1"/>
    <x v="126"/>
    <x v="9"/>
    <x v="457"/>
    <x v="4"/>
    <x v="1"/>
    <x v="1"/>
  </r>
  <r>
    <x v="1"/>
    <x v="1940"/>
    <x v="160"/>
    <x v="11"/>
    <x v="78"/>
    <x v="781"/>
    <x v="222"/>
    <x v="3673"/>
    <x v="846"/>
    <x v="1682"/>
    <x v="2262"/>
    <x v="2985"/>
    <x v="4240"/>
    <x v="4215"/>
    <x v="2926"/>
    <x v="4"/>
    <x v="4167"/>
    <x v="4243"/>
    <x v="786"/>
    <x v="0"/>
    <x v="0"/>
    <x v="9"/>
    <x v="126"/>
    <x v="3"/>
    <x v="564"/>
    <x v="20"/>
    <x v="1"/>
    <x v="617"/>
  </r>
  <r>
    <x v="0"/>
    <x v="1941"/>
    <x v="438"/>
    <x v="86"/>
    <x v="184"/>
    <x v="109"/>
    <x v="395"/>
    <x v="3674"/>
    <x v="200"/>
    <x v="938"/>
    <x v="1753"/>
    <x v="2080"/>
    <x v="4241"/>
    <x v="4216"/>
    <x v="2199"/>
    <x v="1"/>
    <x v="4168"/>
    <x v="4244"/>
    <x v="790"/>
    <x v="0"/>
    <x v="0"/>
    <x v="4"/>
    <x v="4"/>
    <x v="9"/>
    <x v="381"/>
    <x v="23"/>
    <x v="2"/>
    <x v="764"/>
  </r>
  <r>
    <x v="0"/>
    <x v="1942"/>
    <x v="428"/>
    <x v="110"/>
    <x v="216"/>
    <x v="636"/>
    <x v="17"/>
    <x v="4"/>
    <x v="364"/>
    <x v="18"/>
    <x v="2529"/>
    <x v="2986"/>
    <x v="4242"/>
    <x v="4217"/>
    <x v="3622"/>
    <x v="0"/>
    <x v="4169"/>
    <x v="4245"/>
    <x v="225"/>
    <x v="15"/>
    <x v="30"/>
    <x v="18"/>
    <x v="4"/>
    <x v="58"/>
    <x v="750"/>
    <x v="19"/>
    <x v="10"/>
    <x v="367"/>
  </r>
  <r>
    <x v="0"/>
    <x v="1587"/>
    <x v="329"/>
    <x v="43"/>
    <x v="123"/>
    <x v="516"/>
    <x v="243"/>
    <x v="4"/>
    <x v="200"/>
    <x v="1683"/>
    <x v="830"/>
    <x v="2987"/>
    <x v="4243"/>
    <x v="4218"/>
    <x v="2029"/>
    <x v="3"/>
    <x v="4170"/>
    <x v="4246"/>
    <x v="822"/>
    <x v="0"/>
    <x v="0"/>
    <x v="4"/>
    <x v="126"/>
    <x v="9"/>
    <x v="421"/>
    <x v="20"/>
    <x v="2"/>
    <x v="1"/>
  </r>
  <r>
    <x v="0"/>
    <x v="421"/>
    <x v="429"/>
    <x v="77"/>
    <x v="137"/>
    <x v="709"/>
    <x v="334"/>
    <x v="4"/>
    <x v="405"/>
    <x v="1684"/>
    <x v="2530"/>
    <x v="2988"/>
    <x v="4244"/>
    <x v="4219"/>
    <x v="2760"/>
    <x v="0"/>
    <x v="4171"/>
    <x v="4247"/>
    <x v="547"/>
    <x v="0"/>
    <x v="0"/>
    <x v="11"/>
    <x v="126"/>
    <x v="71"/>
    <x v="761"/>
    <x v="15"/>
    <x v="3"/>
    <x v="765"/>
  </r>
  <r>
    <x v="0"/>
    <x v="942"/>
    <x v="434"/>
    <x v="58"/>
    <x v="325"/>
    <x v="599"/>
    <x v="474"/>
    <x v="4"/>
    <x v="4"/>
    <x v="1250"/>
    <x v="2531"/>
    <x v="2989"/>
    <x v="4245"/>
    <x v="4220"/>
    <x v="2898"/>
    <x v="0"/>
    <x v="4172"/>
    <x v="4248"/>
    <x v="83"/>
    <x v="0"/>
    <x v="0"/>
    <x v="1"/>
    <x v="126"/>
    <x v="1"/>
    <x v="85"/>
    <x v="43"/>
    <x v="2"/>
    <x v="520"/>
  </r>
  <r>
    <x v="0"/>
    <x v="1943"/>
    <x v="412"/>
    <x v="26"/>
    <x v="412"/>
    <x v="144"/>
    <x v="14"/>
    <x v="4"/>
    <x v="847"/>
    <x v="859"/>
    <x v="2532"/>
    <x v="175"/>
    <x v="4246"/>
    <x v="4221"/>
    <x v="3623"/>
    <x v="1"/>
    <x v="4173"/>
    <x v="4249"/>
    <x v="792"/>
    <x v="0"/>
    <x v="0"/>
    <x v="0"/>
    <x v="126"/>
    <x v="10"/>
    <x v="30"/>
    <x v="46"/>
    <x v="2"/>
    <x v="766"/>
  </r>
  <r>
    <x v="0"/>
    <x v="1944"/>
    <x v="430"/>
    <x v="76"/>
    <x v="85"/>
    <x v="87"/>
    <x v="109"/>
    <x v="4"/>
    <x v="476"/>
    <x v="1685"/>
    <x v="2533"/>
    <x v="2990"/>
    <x v="4247"/>
    <x v="4222"/>
    <x v="3624"/>
    <x v="0"/>
    <x v="4174"/>
    <x v="4250"/>
    <x v="719"/>
    <x v="0"/>
    <x v="0"/>
    <x v="4"/>
    <x v="345"/>
    <x v="2"/>
    <x v="65"/>
    <x v="53"/>
    <x v="2"/>
    <x v="1"/>
  </r>
  <r>
    <x v="0"/>
    <x v="1945"/>
    <x v="424"/>
    <x v="71"/>
    <x v="413"/>
    <x v="200"/>
    <x v="35"/>
    <x v="4"/>
    <x v="416"/>
    <x v="611"/>
    <x v="1158"/>
    <x v="253"/>
    <x v="4248"/>
    <x v="3123"/>
    <x v="3625"/>
    <x v="1"/>
    <x v="4"/>
    <x v="4251"/>
    <x v="636"/>
    <x v="0"/>
    <x v="0"/>
    <x v="1"/>
    <x v="126"/>
    <x v="2"/>
    <x v="379"/>
    <x v="33"/>
    <x v="2"/>
    <x v="1"/>
  </r>
  <r>
    <x v="0"/>
    <x v="1946"/>
    <x v="465"/>
    <x v="80"/>
    <x v="221"/>
    <x v="340"/>
    <x v="2"/>
    <x v="4"/>
    <x v="582"/>
    <x v="1686"/>
    <x v="2534"/>
    <x v="2991"/>
    <x v="4249"/>
    <x v="4223"/>
    <x v="3626"/>
    <x v="0"/>
    <x v="4175"/>
    <x v="4252"/>
    <x v="789"/>
    <x v="0"/>
    <x v="0"/>
    <x v="9"/>
    <x v="126"/>
    <x v="2"/>
    <x v="30"/>
    <x v="53"/>
    <x v="2"/>
    <x v="767"/>
  </r>
  <r>
    <x v="1"/>
    <x v="1947"/>
    <x v="399"/>
    <x v="77"/>
    <x v="52"/>
    <x v="606"/>
    <x v="11"/>
    <x v="3675"/>
    <x v="152"/>
    <x v="63"/>
    <x v="783"/>
    <x v="1006"/>
    <x v="4250"/>
    <x v="4224"/>
    <x v="3627"/>
    <x v="4"/>
    <x v="4176"/>
    <x v="4253"/>
    <x v="718"/>
    <x v="0"/>
    <x v="0"/>
    <x v="4"/>
    <x v="325"/>
    <x v="43"/>
    <x v="30"/>
    <x v="1"/>
    <x v="3"/>
    <x v="1"/>
  </r>
  <r>
    <x v="0"/>
    <x v="1200"/>
    <x v="370"/>
    <x v="33"/>
    <x v="62"/>
    <x v="548"/>
    <x v="143"/>
    <x v="3676"/>
    <x v="370"/>
    <x v="265"/>
    <x v="2535"/>
    <x v="856"/>
    <x v="4251"/>
    <x v="4225"/>
    <x v="2367"/>
    <x v="0"/>
    <x v="4177"/>
    <x v="4254"/>
    <x v="138"/>
    <x v="0"/>
    <x v="0"/>
    <x v="0"/>
    <x v="325"/>
    <x v="17"/>
    <x v="314"/>
    <x v="21"/>
    <x v="1"/>
    <x v="768"/>
  </r>
  <r>
    <x v="0"/>
    <x v="1573"/>
    <x v="430"/>
    <x v="78"/>
    <x v="38"/>
    <x v="717"/>
    <x v="259"/>
    <x v="4"/>
    <x v="3"/>
    <x v="1687"/>
    <x v="2536"/>
    <x v="2992"/>
    <x v="4252"/>
    <x v="4226"/>
    <x v="3628"/>
    <x v="4"/>
    <x v="4178"/>
    <x v="4255"/>
    <x v="83"/>
    <x v="0"/>
    <x v="0"/>
    <x v="4"/>
    <x v="346"/>
    <x v="2"/>
    <x v="300"/>
    <x v="31"/>
    <x v="0"/>
    <x v="656"/>
  </r>
  <r>
    <x v="0"/>
    <x v="1017"/>
    <x v="511"/>
    <x v="54"/>
    <x v="262"/>
    <x v="399"/>
    <x v="17"/>
    <x v="3677"/>
    <x v="150"/>
    <x v="32"/>
    <x v="486"/>
    <x v="2993"/>
    <x v="4253"/>
    <x v="4227"/>
    <x v="3629"/>
    <x v="0"/>
    <x v="4179"/>
    <x v="4256"/>
    <x v="183"/>
    <x v="0"/>
    <x v="13"/>
    <x v="4"/>
    <x v="119"/>
    <x v="5"/>
    <x v="316"/>
    <x v="15"/>
    <x v="1"/>
    <x v="4"/>
  </r>
  <r>
    <x v="0"/>
    <x v="1948"/>
    <x v="376"/>
    <x v="55"/>
    <x v="0"/>
    <x v="486"/>
    <x v="68"/>
    <x v="3678"/>
    <x v="105"/>
    <x v="928"/>
    <x v="2134"/>
    <x v="723"/>
    <x v="4254"/>
    <x v="4228"/>
    <x v="3630"/>
    <x v="1"/>
    <x v="4180"/>
    <x v="4257"/>
    <x v="360"/>
    <x v="0"/>
    <x v="1"/>
    <x v="4"/>
    <x v="4"/>
    <x v="5"/>
    <x v="352"/>
    <x v="11"/>
    <x v="3"/>
    <x v="16"/>
  </r>
  <r>
    <x v="0"/>
    <x v="1949"/>
    <x v="373"/>
    <x v="26"/>
    <x v="117"/>
    <x v="531"/>
    <x v="776"/>
    <x v="4"/>
    <x v="848"/>
    <x v="1688"/>
    <x v="2537"/>
    <x v="2994"/>
    <x v="4255"/>
    <x v="4229"/>
    <x v="3631"/>
    <x v="0"/>
    <x v="4"/>
    <x v="4258"/>
    <x v="427"/>
    <x v="32"/>
    <x v="55"/>
    <x v="9"/>
    <x v="41"/>
    <x v="9"/>
    <x v="689"/>
    <x v="14"/>
    <x v="3"/>
    <x v="1"/>
  </r>
  <r>
    <x v="0"/>
    <x v="1950"/>
    <x v="369"/>
    <x v="54"/>
    <x v="0"/>
    <x v="717"/>
    <x v="458"/>
    <x v="3679"/>
    <x v="270"/>
    <x v="1689"/>
    <x v="2538"/>
    <x v="2995"/>
    <x v="4256"/>
    <x v="4230"/>
    <x v="1429"/>
    <x v="7"/>
    <x v="4181"/>
    <x v="4259"/>
    <x v="83"/>
    <x v="3"/>
    <x v="10"/>
    <x v="10"/>
    <x v="123"/>
    <x v="7"/>
    <x v="842"/>
    <x v="27"/>
    <x v="3"/>
    <x v="383"/>
  </r>
  <r>
    <x v="0"/>
    <x v="709"/>
    <x v="190"/>
    <x v="7"/>
    <x v="225"/>
    <x v="492"/>
    <x v="30"/>
    <x v="1579"/>
    <x v="362"/>
    <x v="53"/>
    <x v="26"/>
    <x v="1200"/>
    <x v="1646"/>
    <x v="4231"/>
    <x v="1588"/>
    <x v="1"/>
    <x v="1635"/>
    <x v="1646"/>
    <x v="706"/>
    <x v="0"/>
    <x v="0"/>
    <x v="4"/>
    <x v="116"/>
    <x v="9"/>
    <x v="12"/>
    <x v="18"/>
    <x v="1"/>
    <x v="36"/>
  </r>
  <r>
    <x v="0"/>
    <x v="1951"/>
    <x v="464"/>
    <x v="130"/>
    <x v="153"/>
    <x v="304"/>
    <x v="585"/>
    <x v="3680"/>
    <x v="787"/>
    <x v="1690"/>
    <x v="2539"/>
    <x v="2996"/>
    <x v="4257"/>
    <x v="2704"/>
    <x v="3632"/>
    <x v="3"/>
    <x v="4"/>
    <x v="4260"/>
    <x v="785"/>
    <x v="8"/>
    <x v="16"/>
    <x v="9"/>
    <x v="4"/>
    <x v="9"/>
    <x v="696"/>
    <x v="21"/>
    <x v="2"/>
    <x v="103"/>
  </r>
  <r>
    <x v="0"/>
    <x v="548"/>
    <x v="127"/>
    <x v="59"/>
    <x v="0"/>
    <x v="354"/>
    <x v="1"/>
    <x v="1355"/>
    <x v="429"/>
    <x v="1"/>
    <x v="959"/>
    <x v="1107"/>
    <x v="1407"/>
    <x v="4232"/>
    <x v="1366"/>
    <x v="1"/>
    <x v="1397"/>
    <x v="1407"/>
    <x v="740"/>
    <x v="0"/>
    <x v="0"/>
    <x v="14"/>
    <x v="164"/>
    <x v="31"/>
    <x v="82"/>
    <x v="7"/>
    <x v="3"/>
    <x v="7"/>
  </r>
  <r>
    <x v="0"/>
    <x v="1093"/>
    <x v="123"/>
    <x v="78"/>
    <x v="299"/>
    <x v="298"/>
    <x v="777"/>
    <x v="3681"/>
    <x v="849"/>
    <x v="1691"/>
    <x v="2540"/>
    <x v="2997"/>
    <x v="4258"/>
    <x v="4233"/>
    <x v="3633"/>
    <x v="0"/>
    <x v="4182"/>
    <x v="4261"/>
    <x v="227"/>
    <x v="0"/>
    <x v="1"/>
    <x v="0"/>
    <x v="138"/>
    <x v="8"/>
    <x v="327"/>
    <x v="6"/>
    <x v="3"/>
    <x v="1"/>
  </r>
  <r>
    <x v="0"/>
    <x v="1952"/>
    <x v="4"/>
    <x v="107"/>
    <x v="0"/>
    <x v="708"/>
    <x v="758"/>
    <x v="4"/>
    <x v="270"/>
    <x v="1692"/>
    <x v="2541"/>
    <x v="2998"/>
    <x v="4259"/>
    <x v="4234"/>
    <x v="3634"/>
    <x v="7"/>
    <x v="4183"/>
    <x v="4262"/>
    <x v="843"/>
    <x v="0"/>
    <x v="3"/>
    <x v="1"/>
    <x v="4"/>
    <x v="2"/>
    <x v="383"/>
    <x v="22"/>
    <x v="2"/>
    <x v="662"/>
  </r>
  <r>
    <x v="0"/>
    <x v="1953"/>
    <x v="81"/>
    <x v="71"/>
    <x v="44"/>
    <x v="243"/>
    <x v="306"/>
    <x v="3682"/>
    <x v="270"/>
    <x v="1693"/>
    <x v="2542"/>
    <x v="797"/>
    <x v="4260"/>
    <x v="4235"/>
    <x v="3635"/>
    <x v="5"/>
    <x v="4184"/>
    <x v="4263"/>
    <x v="786"/>
    <x v="0"/>
    <x v="0"/>
    <x v="4"/>
    <x v="325"/>
    <x v="2"/>
    <x v="874"/>
    <x v="13"/>
    <x v="3"/>
    <x v="103"/>
  </r>
  <r>
    <x v="0"/>
    <x v="1954"/>
    <x v="525"/>
    <x v="101"/>
    <x v="89"/>
    <x v="448"/>
    <x v="311"/>
    <x v="3683"/>
    <x v="327"/>
    <x v="1694"/>
    <x v="2543"/>
    <x v="2999"/>
    <x v="4261"/>
    <x v="4236"/>
    <x v="3636"/>
    <x v="0"/>
    <x v="4185"/>
    <x v="4264"/>
    <x v="776"/>
    <x v="0"/>
    <x v="10"/>
    <x v="0"/>
    <x v="164"/>
    <x v="5"/>
    <x v="99"/>
    <x v="23"/>
    <x v="3"/>
    <x v="1"/>
  </r>
  <r>
    <x v="0"/>
    <x v="546"/>
    <x v="317"/>
    <x v="42"/>
    <x v="75"/>
    <x v="319"/>
    <x v="0"/>
    <x v="3684"/>
    <x v="316"/>
    <x v="936"/>
    <x v="610"/>
    <x v="1564"/>
    <x v="4262"/>
    <x v="4237"/>
    <x v="2242"/>
    <x v="1"/>
    <x v="4186"/>
    <x v="4265"/>
    <x v="678"/>
    <x v="0"/>
    <x v="1"/>
    <x v="4"/>
    <x v="4"/>
    <x v="0"/>
    <x v="86"/>
    <x v="13"/>
    <x v="1"/>
    <x v="7"/>
  </r>
  <r>
    <x v="1"/>
    <x v="1901"/>
    <x v="160"/>
    <x v="31"/>
    <x v="410"/>
    <x v="571"/>
    <x v="14"/>
    <x v="4"/>
    <x v="270"/>
    <x v="373"/>
    <x v="1555"/>
    <x v="3000"/>
    <x v="4263"/>
    <x v="4238"/>
    <x v="3637"/>
    <x v="0"/>
    <x v="4187"/>
    <x v="4266"/>
    <x v="551"/>
    <x v="0"/>
    <x v="0"/>
    <x v="2"/>
    <x v="164"/>
    <x v="59"/>
    <x v="384"/>
    <x v="25"/>
    <x v="15"/>
    <x v="9"/>
  </r>
  <r>
    <x v="1"/>
    <x v="328"/>
    <x v="203"/>
    <x v="54"/>
    <x v="0"/>
    <x v="515"/>
    <x v="500"/>
    <x v="4"/>
    <x v="125"/>
    <x v="1120"/>
    <x v="2299"/>
    <x v="3001"/>
    <x v="4264"/>
    <x v="4239"/>
    <x v="2934"/>
    <x v="0"/>
    <x v="4188"/>
    <x v="4267"/>
    <x v="941"/>
    <x v="0"/>
    <x v="0"/>
    <x v="2"/>
    <x v="164"/>
    <x v="53"/>
    <x v="435"/>
    <x v="3"/>
    <x v="10"/>
    <x v="45"/>
  </r>
  <r>
    <x v="0"/>
    <x v="1955"/>
    <x v="69"/>
    <x v="34"/>
    <x v="69"/>
    <x v="305"/>
    <x v="446"/>
    <x v="3685"/>
    <x v="17"/>
    <x v="1695"/>
    <x v="2544"/>
    <x v="3002"/>
    <x v="4265"/>
    <x v="4240"/>
    <x v="3179"/>
    <x v="0"/>
    <x v="4189"/>
    <x v="4268"/>
    <x v="472"/>
    <x v="6"/>
    <x v="12"/>
    <x v="4"/>
    <x v="164"/>
    <x v="19"/>
    <x v="524"/>
    <x v="2"/>
    <x v="3"/>
    <x v="769"/>
  </r>
  <r>
    <x v="0"/>
    <x v="1956"/>
    <x v="526"/>
    <x v="41"/>
    <x v="10"/>
    <x v="125"/>
    <x v="35"/>
    <x v="3686"/>
    <x v="370"/>
    <x v="306"/>
    <x v="2545"/>
    <x v="3003"/>
    <x v="4266"/>
    <x v="4241"/>
    <x v="3419"/>
    <x v="0"/>
    <x v="4190"/>
    <x v="4269"/>
    <x v="286"/>
    <x v="0"/>
    <x v="0"/>
    <x v="0"/>
    <x v="164"/>
    <x v="3"/>
    <x v="889"/>
    <x v="11"/>
    <x v="3"/>
    <x v="77"/>
  </r>
  <r>
    <x v="0"/>
    <x v="1957"/>
    <x v="219"/>
    <x v="45"/>
    <x v="156"/>
    <x v="455"/>
    <x v="544"/>
    <x v="4"/>
    <x v="46"/>
    <x v="1538"/>
    <x v="2546"/>
    <x v="3004"/>
    <x v="4267"/>
    <x v="4242"/>
    <x v="2497"/>
    <x v="2"/>
    <x v="4191"/>
    <x v="4270"/>
    <x v="552"/>
    <x v="0"/>
    <x v="0"/>
    <x v="3"/>
    <x v="164"/>
    <x v="44"/>
    <x v="856"/>
    <x v="34"/>
    <x v="1"/>
    <x v="770"/>
  </r>
  <r>
    <x v="0"/>
    <x v="1958"/>
    <x v="347"/>
    <x v="56"/>
    <x v="134"/>
    <x v="457"/>
    <x v="521"/>
    <x v="3687"/>
    <x v="419"/>
    <x v="983"/>
    <x v="2547"/>
    <x v="1990"/>
    <x v="4268"/>
    <x v="4243"/>
    <x v="3638"/>
    <x v="1"/>
    <x v="4192"/>
    <x v="4271"/>
    <x v="365"/>
    <x v="0"/>
    <x v="0"/>
    <x v="0"/>
    <x v="164"/>
    <x v="21"/>
    <x v="321"/>
    <x v="11"/>
    <x v="3"/>
    <x v="1"/>
  </r>
  <r>
    <x v="0"/>
    <x v="1959"/>
    <x v="373"/>
    <x v="56"/>
    <x v="0"/>
    <x v="480"/>
    <x v="336"/>
    <x v="3688"/>
    <x v="270"/>
    <x v="1696"/>
    <x v="2548"/>
    <x v="705"/>
    <x v="4269"/>
    <x v="3011"/>
    <x v="413"/>
    <x v="0"/>
    <x v="4193"/>
    <x v="4272"/>
    <x v="705"/>
    <x v="0"/>
    <x v="0"/>
    <x v="4"/>
    <x v="4"/>
    <x v="10"/>
    <x v="723"/>
    <x v="22"/>
    <x v="3"/>
    <x v="573"/>
  </r>
  <r>
    <x v="0"/>
    <x v="1960"/>
    <x v="320"/>
    <x v="125"/>
    <x v="0"/>
    <x v="568"/>
    <x v="467"/>
    <x v="4"/>
    <x v="127"/>
    <x v="1697"/>
    <x v="2549"/>
    <x v="3005"/>
    <x v="4270"/>
    <x v="4244"/>
    <x v="3639"/>
    <x v="4"/>
    <x v="4"/>
    <x v="4273"/>
    <x v="843"/>
    <x v="38"/>
    <x v="16"/>
    <x v="1"/>
    <x v="16"/>
    <x v="2"/>
    <x v="838"/>
    <x v="37"/>
    <x v="2"/>
    <x v="771"/>
  </r>
  <r>
    <x v="0"/>
    <x v="1323"/>
    <x v="335"/>
    <x v="78"/>
    <x v="36"/>
    <x v="27"/>
    <x v="17"/>
    <x v="3689"/>
    <x v="771"/>
    <x v="397"/>
    <x v="2550"/>
    <x v="3006"/>
    <x v="4271"/>
    <x v="4245"/>
    <x v="3640"/>
    <x v="1"/>
    <x v="4194"/>
    <x v="4274"/>
    <x v="727"/>
    <x v="0"/>
    <x v="0"/>
    <x v="0"/>
    <x v="41"/>
    <x v="10"/>
    <x v="20"/>
    <x v="4"/>
    <x v="2"/>
    <x v="1"/>
  </r>
  <r>
    <x v="1"/>
    <x v="1961"/>
    <x v="457"/>
    <x v="41"/>
    <x v="0"/>
    <x v="548"/>
    <x v="25"/>
    <x v="4"/>
    <x v="476"/>
    <x v="26"/>
    <x v="2218"/>
    <x v="856"/>
    <x v="4272"/>
    <x v="4246"/>
    <x v="3641"/>
    <x v="0"/>
    <x v="4195"/>
    <x v="4275"/>
    <x v="789"/>
    <x v="0"/>
    <x v="0"/>
    <x v="0"/>
    <x v="164"/>
    <x v="27"/>
    <x v="319"/>
    <x v="9"/>
    <x v="0"/>
    <x v="136"/>
  </r>
  <r>
    <x v="0"/>
    <x v="1962"/>
    <x v="402"/>
    <x v="26"/>
    <x v="52"/>
    <x v="298"/>
    <x v="471"/>
    <x v="3690"/>
    <x v="457"/>
    <x v="1698"/>
    <x v="2551"/>
    <x v="3007"/>
    <x v="4273"/>
    <x v="4247"/>
    <x v="2095"/>
    <x v="0"/>
    <x v="4196"/>
    <x v="4276"/>
    <x v="510"/>
    <x v="39"/>
    <x v="5"/>
    <x v="1"/>
    <x v="164"/>
    <x v="17"/>
    <x v="253"/>
    <x v="7"/>
    <x v="3"/>
    <x v="223"/>
  </r>
  <r>
    <x v="0"/>
    <x v="1787"/>
    <x v="396"/>
    <x v="37"/>
    <x v="118"/>
    <x v="641"/>
    <x v="17"/>
    <x v="4"/>
    <x v="713"/>
    <x v="303"/>
    <x v="1327"/>
    <x v="3008"/>
    <x v="4274"/>
    <x v="4248"/>
    <x v="3642"/>
    <x v="3"/>
    <x v="4197"/>
    <x v="4277"/>
    <x v="558"/>
    <x v="0"/>
    <x v="0"/>
    <x v="18"/>
    <x v="164"/>
    <x v="38"/>
    <x v="431"/>
    <x v="15"/>
    <x v="3"/>
    <x v="1"/>
  </r>
  <r>
    <x v="1"/>
    <x v="1750"/>
    <x v="434"/>
    <x v="101"/>
    <x v="241"/>
    <x v="571"/>
    <x v="35"/>
    <x v="4"/>
    <x v="850"/>
    <x v="1699"/>
    <x v="2552"/>
    <x v="3000"/>
    <x v="4275"/>
    <x v="4249"/>
    <x v="3643"/>
    <x v="0"/>
    <x v="4198"/>
    <x v="4278"/>
    <x v="510"/>
    <x v="0"/>
    <x v="0"/>
    <x v="1"/>
    <x v="4"/>
    <x v="69"/>
    <x v="360"/>
    <x v="13"/>
    <x v="15"/>
    <x v="772"/>
  </r>
  <r>
    <x v="0"/>
    <x v="1963"/>
    <x v="302"/>
    <x v="18"/>
    <x v="5"/>
    <x v="580"/>
    <x v="778"/>
    <x v="4"/>
    <x v="381"/>
    <x v="1700"/>
    <x v="354"/>
    <x v="2029"/>
    <x v="4276"/>
    <x v="4250"/>
    <x v="3644"/>
    <x v="0"/>
    <x v="4199"/>
    <x v="4279"/>
    <x v="575"/>
    <x v="0"/>
    <x v="0"/>
    <x v="4"/>
    <x v="164"/>
    <x v="1"/>
    <x v="237"/>
    <x v="43"/>
    <x v="1"/>
    <x v="557"/>
  </r>
  <r>
    <x v="0"/>
    <x v="1964"/>
    <x v="4"/>
    <x v="101"/>
    <x v="134"/>
    <x v="143"/>
    <x v="554"/>
    <x v="4"/>
    <x v="662"/>
    <x v="1701"/>
    <x v="2553"/>
    <x v="3009"/>
    <x v="4277"/>
    <x v="4251"/>
    <x v="3645"/>
    <x v="0"/>
    <x v="4"/>
    <x v="4280"/>
    <x v="4"/>
    <x v="0"/>
    <x v="0"/>
    <x v="1"/>
    <x v="4"/>
    <x v="6"/>
    <x v="409"/>
    <x v="50"/>
    <x v="2"/>
    <x v="773"/>
  </r>
  <r>
    <x v="0"/>
    <x v="1965"/>
    <x v="81"/>
    <x v="78"/>
    <x v="198"/>
    <x v="119"/>
    <x v="176"/>
    <x v="4"/>
    <x v="46"/>
    <x v="1577"/>
    <x v="2554"/>
    <x v="3010"/>
    <x v="4278"/>
    <x v="4004"/>
    <x v="3646"/>
    <x v="0"/>
    <x v="4200"/>
    <x v="4281"/>
    <x v="818"/>
    <x v="0"/>
    <x v="4"/>
    <x v="0"/>
    <x v="164"/>
    <x v="9"/>
    <x v="450"/>
    <x v="53"/>
    <x v="2"/>
    <x v="475"/>
  </r>
  <r>
    <x v="0"/>
    <x v="1966"/>
    <x v="169"/>
    <x v="70"/>
    <x v="122"/>
    <x v="612"/>
    <x v="662"/>
    <x v="4"/>
    <x v="200"/>
    <x v="1702"/>
    <x v="1239"/>
    <x v="1363"/>
    <x v="4279"/>
    <x v="4252"/>
    <x v="3647"/>
    <x v="18"/>
    <x v="4201"/>
    <x v="4282"/>
    <x v="824"/>
    <x v="0"/>
    <x v="0"/>
    <x v="9"/>
    <x v="164"/>
    <x v="3"/>
    <x v="155"/>
    <x v="28"/>
    <x v="3"/>
    <x v="774"/>
  </r>
  <r>
    <x v="1"/>
    <x v="178"/>
    <x v="198"/>
    <x v="113"/>
    <x v="128"/>
    <x v="485"/>
    <x v="494"/>
    <x v="3691"/>
    <x v="152"/>
    <x v="912"/>
    <x v="2555"/>
    <x v="3011"/>
    <x v="4280"/>
    <x v="4253"/>
    <x v="3648"/>
    <x v="1"/>
    <x v="4202"/>
    <x v="4283"/>
    <x v="942"/>
    <x v="15"/>
    <x v="8"/>
    <x v="4"/>
    <x v="209"/>
    <x v="20"/>
    <x v="705"/>
    <x v="6"/>
    <x v="3"/>
    <x v="1"/>
  </r>
  <r>
    <x v="0"/>
    <x v="1967"/>
    <x v="277"/>
    <x v="41"/>
    <x v="158"/>
    <x v="338"/>
    <x v="779"/>
    <x v="3692"/>
    <x v="630"/>
    <x v="1703"/>
    <x v="2556"/>
    <x v="1692"/>
    <x v="4281"/>
    <x v="4254"/>
    <x v="3649"/>
    <x v="1"/>
    <x v="4203"/>
    <x v="4284"/>
    <x v="230"/>
    <x v="0"/>
    <x v="0"/>
    <x v="4"/>
    <x v="149"/>
    <x v="19"/>
    <x v="460"/>
    <x v="10"/>
    <x v="3"/>
    <x v="1"/>
  </r>
  <r>
    <x v="0"/>
    <x v="1968"/>
    <x v="492"/>
    <x v="78"/>
    <x v="5"/>
    <x v="209"/>
    <x v="325"/>
    <x v="4"/>
    <x v="547"/>
    <x v="580"/>
    <x v="2557"/>
    <x v="3012"/>
    <x v="4282"/>
    <x v="4255"/>
    <x v="2557"/>
    <x v="3"/>
    <x v="4204"/>
    <x v="4285"/>
    <x v="561"/>
    <x v="0"/>
    <x v="4"/>
    <x v="2"/>
    <x v="126"/>
    <x v="9"/>
    <x v="277"/>
    <x v="55"/>
    <x v="2"/>
    <x v="775"/>
  </r>
  <r>
    <x v="0"/>
    <x v="1969"/>
    <x v="93"/>
    <x v="52"/>
    <x v="0"/>
    <x v="660"/>
    <x v="780"/>
    <x v="4"/>
    <x v="429"/>
    <x v="1704"/>
    <x v="2558"/>
    <x v="3013"/>
    <x v="4283"/>
    <x v="4256"/>
    <x v="3650"/>
    <x v="0"/>
    <x v="4205"/>
    <x v="4286"/>
    <x v="326"/>
    <x v="0"/>
    <x v="0"/>
    <x v="0"/>
    <x v="347"/>
    <x v="9"/>
    <x v="171"/>
    <x v="22"/>
    <x v="3"/>
    <x v="776"/>
  </r>
  <r>
    <x v="0"/>
    <x v="831"/>
    <x v="346"/>
    <x v="11"/>
    <x v="151"/>
    <x v="414"/>
    <x v="398"/>
    <x v="3693"/>
    <x v="457"/>
    <x v="721"/>
    <x v="2559"/>
    <x v="3014"/>
    <x v="4284"/>
    <x v="4257"/>
    <x v="2829"/>
    <x v="1"/>
    <x v="4206"/>
    <x v="4287"/>
    <x v="695"/>
    <x v="6"/>
    <x v="12"/>
    <x v="0"/>
    <x v="4"/>
    <x v="1"/>
    <x v="360"/>
    <x v="38"/>
    <x v="3"/>
    <x v="1"/>
  </r>
  <r>
    <x v="0"/>
    <x v="1957"/>
    <x v="227"/>
    <x v="76"/>
    <x v="156"/>
    <x v="305"/>
    <x v="544"/>
    <x v="4"/>
    <x v="46"/>
    <x v="1538"/>
    <x v="2560"/>
    <x v="3015"/>
    <x v="4285"/>
    <x v="4258"/>
    <x v="3651"/>
    <x v="0"/>
    <x v="4207"/>
    <x v="4288"/>
    <x v="581"/>
    <x v="0"/>
    <x v="0"/>
    <x v="2"/>
    <x v="348"/>
    <x v="36"/>
    <x v="890"/>
    <x v="9"/>
    <x v="1"/>
    <x v="777"/>
  </r>
  <r>
    <x v="0"/>
    <x v="1179"/>
    <x v="200"/>
    <x v="67"/>
    <x v="222"/>
    <x v="773"/>
    <x v="0"/>
    <x v="3694"/>
    <x v="152"/>
    <x v="384"/>
    <x v="983"/>
    <x v="3016"/>
    <x v="4286"/>
    <x v="4259"/>
    <x v="3652"/>
    <x v="1"/>
    <x v="4208"/>
    <x v="4289"/>
    <x v="770"/>
    <x v="0"/>
    <x v="0"/>
    <x v="4"/>
    <x v="348"/>
    <x v="18"/>
    <x v="484"/>
    <x v="7"/>
    <x v="1"/>
    <x v="120"/>
  </r>
  <r>
    <x v="0"/>
    <x v="1970"/>
    <x v="117"/>
    <x v="72"/>
    <x v="306"/>
    <x v="646"/>
    <x v="338"/>
    <x v="3695"/>
    <x v="381"/>
    <x v="1705"/>
    <x v="985"/>
    <x v="3017"/>
    <x v="4287"/>
    <x v="4260"/>
    <x v="3653"/>
    <x v="0"/>
    <x v="4209"/>
    <x v="4290"/>
    <x v="120"/>
    <x v="0"/>
    <x v="0"/>
    <x v="4"/>
    <x v="126"/>
    <x v="5"/>
    <x v="546"/>
    <x v="22"/>
    <x v="1"/>
    <x v="16"/>
  </r>
  <r>
    <x v="0"/>
    <x v="1971"/>
    <x v="379"/>
    <x v="42"/>
    <x v="221"/>
    <x v="329"/>
    <x v="155"/>
    <x v="3696"/>
    <x v="314"/>
    <x v="1706"/>
    <x v="2561"/>
    <x v="443"/>
    <x v="4288"/>
    <x v="4261"/>
    <x v="3654"/>
    <x v="3"/>
    <x v="4210"/>
    <x v="4291"/>
    <x v="138"/>
    <x v="0"/>
    <x v="0"/>
    <x v="0"/>
    <x v="348"/>
    <x v="15"/>
    <x v="614"/>
    <x v="22"/>
    <x v="3"/>
    <x v="114"/>
  </r>
  <r>
    <x v="0"/>
    <x v="1843"/>
    <x v="310"/>
    <x v="107"/>
    <x v="50"/>
    <x v="485"/>
    <x v="109"/>
    <x v="3697"/>
    <x v="17"/>
    <x v="205"/>
    <x v="2562"/>
    <x v="3018"/>
    <x v="4289"/>
    <x v="4262"/>
    <x v="3655"/>
    <x v="0"/>
    <x v="4211"/>
    <x v="4292"/>
    <x v="575"/>
    <x v="0"/>
    <x v="1"/>
    <x v="4"/>
    <x v="348"/>
    <x v="14"/>
    <x v="514"/>
    <x v="2"/>
    <x v="3"/>
    <x v="778"/>
  </r>
  <r>
    <x v="0"/>
    <x v="1972"/>
    <x v="423"/>
    <x v="27"/>
    <x v="73"/>
    <x v="413"/>
    <x v="354"/>
    <x v="3698"/>
    <x v="17"/>
    <x v="1707"/>
    <x v="2563"/>
    <x v="1539"/>
    <x v="4290"/>
    <x v="4263"/>
    <x v="2948"/>
    <x v="4"/>
    <x v="4212"/>
    <x v="4293"/>
    <x v="402"/>
    <x v="8"/>
    <x v="16"/>
    <x v="2"/>
    <x v="138"/>
    <x v="9"/>
    <x v="326"/>
    <x v="6"/>
    <x v="1"/>
    <x v="37"/>
  </r>
  <r>
    <x v="0"/>
    <x v="1973"/>
    <x v="352"/>
    <x v="7"/>
    <x v="146"/>
    <x v="495"/>
    <x v="110"/>
    <x v="3699"/>
    <x v="17"/>
    <x v="206"/>
    <x v="306"/>
    <x v="3019"/>
    <x v="4291"/>
    <x v="4264"/>
    <x v="3656"/>
    <x v="0"/>
    <x v="4213"/>
    <x v="4294"/>
    <x v="823"/>
    <x v="0"/>
    <x v="1"/>
    <x v="4"/>
    <x v="138"/>
    <x v="14"/>
    <x v="207"/>
    <x v="8"/>
    <x v="3"/>
    <x v="533"/>
  </r>
  <r>
    <x v="1"/>
    <x v="1784"/>
    <x v="359"/>
    <x v="51"/>
    <x v="402"/>
    <x v="583"/>
    <x v="744"/>
    <x v="4"/>
    <x v="105"/>
    <x v="1708"/>
    <x v="2564"/>
    <x v="2908"/>
    <x v="4292"/>
    <x v="4265"/>
    <x v="3486"/>
    <x v="10"/>
    <x v="4214"/>
    <x v="4295"/>
    <x v="431"/>
    <x v="0"/>
    <x v="0"/>
    <x v="11"/>
    <x v="349"/>
    <x v="79"/>
    <x v="873"/>
    <x v="25"/>
    <x v="15"/>
    <x v="1"/>
  </r>
  <r>
    <x v="1"/>
    <x v="1568"/>
    <x v="217"/>
    <x v="34"/>
    <x v="101"/>
    <x v="641"/>
    <x v="710"/>
    <x v="4"/>
    <x v="387"/>
    <x v="1486"/>
    <x v="2565"/>
    <x v="3020"/>
    <x v="4293"/>
    <x v="4266"/>
    <x v="3657"/>
    <x v="7"/>
    <x v="4215"/>
    <x v="4296"/>
    <x v="549"/>
    <x v="0"/>
    <x v="0"/>
    <x v="9"/>
    <x v="350"/>
    <x v="62"/>
    <x v="545"/>
    <x v="6"/>
    <x v="15"/>
    <x v="1"/>
  </r>
  <r>
    <x v="0"/>
    <x v="1779"/>
    <x v="398"/>
    <x v="33"/>
    <x v="401"/>
    <x v="700"/>
    <x v="781"/>
    <x v="4"/>
    <x v="713"/>
    <x v="1709"/>
    <x v="2566"/>
    <x v="3021"/>
    <x v="4294"/>
    <x v="4267"/>
    <x v="3234"/>
    <x v="1"/>
    <x v="4216"/>
    <x v="4297"/>
    <x v="129"/>
    <x v="0"/>
    <x v="0"/>
    <x v="10"/>
    <x v="351"/>
    <x v="80"/>
    <x v="724"/>
    <x v="38"/>
    <x v="15"/>
    <x v="710"/>
  </r>
  <r>
    <x v="0"/>
    <x v="1974"/>
    <x v="464"/>
    <x v="58"/>
    <x v="31"/>
    <x v="287"/>
    <x v="475"/>
    <x v="3700"/>
    <x v="419"/>
    <x v="1710"/>
    <x v="2567"/>
    <x v="377"/>
    <x v="4295"/>
    <x v="4268"/>
    <x v="3658"/>
    <x v="0"/>
    <x v="4217"/>
    <x v="4298"/>
    <x v="732"/>
    <x v="0"/>
    <x v="0"/>
    <x v="2"/>
    <x v="4"/>
    <x v="9"/>
    <x v="467"/>
    <x v="9"/>
    <x v="2"/>
    <x v="1"/>
  </r>
  <r>
    <x v="0"/>
    <x v="1975"/>
    <x v="441"/>
    <x v="95"/>
    <x v="31"/>
    <x v="251"/>
    <x v="371"/>
    <x v="3701"/>
    <x v="200"/>
    <x v="1567"/>
    <x v="2568"/>
    <x v="3022"/>
    <x v="4296"/>
    <x v="4269"/>
    <x v="3659"/>
    <x v="0"/>
    <x v="4218"/>
    <x v="4299"/>
    <x v="96"/>
    <x v="0"/>
    <x v="0"/>
    <x v="4"/>
    <x v="126"/>
    <x v="15"/>
    <x v="774"/>
    <x v="44"/>
    <x v="2"/>
    <x v="757"/>
  </r>
  <r>
    <x v="0"/>
    <x v="1976"/>
    <x v="451"/>
    <x v="4"/>
    <x v="193"/>
    <x v="105"/>
    <x v="411"/>
    <x v="3702"/>
    <x v="168"/>
    <x v="1605"/>
    <x v="2569"/>
    <x v="2846"/>
    <x v="4297"/>
    <x v="3594"/>
    <x v="3660"/>
    <x v="7"/>
    <x v="4219"/>
    <x v="4300"/>
    <x v="83"/>
    <x v="0"/>
    <x v="0"/>
    <x v="4"/>
    <x v="4"/>
    <x v="5"/>
    <x v="79"/>
    <x v="58"/>
    <x v="1"/>
    <x v="435"/>
  </r>
  <r>
    <x v="0"/>
    <x v="1977"/>
    <x v="216"/>
    <x v="54"/>
    <x v="0"/>
    <x v="298"/>
    <x v="525"/>
    <x v="3703"/>
    <x v="105"/>
    <x v="1711"/>
    <x v="2570"/>
    <x v="3023"/>
    <x v="4298"/>
    <x v="4270"/>
    <x v="3661"/>
    <x v="0"/>
    <x v="4220"/>
    <x v="4301"/>
    <x v="421"/>
    <x v="32"/>
    <x v="10"/>
    <x v="2"/>
    <x v="312"/>
    <x v="1"/>
    <x v="231"/>
    <x v="13"/>
    <x v="3"/>
    <x v="1"/>
  </r>
  <r>
    <x v="0"/>
    <x v="1978"/>
    <x v="361"/>
    <x v="80"/>
    <x v="0"/>
    <x v="621"/>
    <x v="289"/>
    <x v="4"/>
    <x v="381"/>
    <x v="527"/>
    <x v="2571"/>
    <x v="3024"/>
    <x v="4299"/>
    <x v="4271"/>
    <x v="3662"/>
    <x v="3"/>
    <x v="4221"/>
    <x v="4302"/>
    <x v="684"/>
    <x v="0"/>
    <x v="0"/>
    <x v="4"/>
    <x v="4"/>
    <x v="11"/>
    <x v="836"/>
    <x v="55"/>
    <x v="1"/>
    <x v="779"/>
  </r>
  <r>
    <x v="0"/>
    <x v="1979"/>
    <x v="359"/>
    <x v="78"/>
    <x v="122"/>
    <x v="783"/>
    <x v="782"/>
    <x v="3704"/>
    <x v="105"/>
    <x v="1712"/>
    <x v="2572"/>
    <x v="3025"/>
    <x v="4300"/>
    <x v="4272"/>
    <x v="3663"/>
    <x v="0"/>
    <x v="4222"/>
    <x v="4303"/>
    <x v="790"/>
    <x v="20"/>
    <x v="54"/>
    <x v="10"/>
    <x v="41"/>
    <x v="7"/>
    <x v="660"/>
    <x v="11"/>
    <x v="2"/>
    <x v="1"/>
  </r>
  <r>
    <x v="0"/>
    <x v="420"/>
    <x v="290"/>
    <x v="18"/>
    <x v="0"/>
    <x v="371"/>
    <x v="2"/>
    <x v="4"/>
    <x v="150"/>
    <x v="42"/>
    <x v="1351"/>
    <x v="3026"/>
    <x v="4301"/>
    <x v="4273"/>
    <x v="3664"/>
    <x v="4"/>
    <x v="4223"/>
    <x v="4304"/>
    <x v="490"/>
    <x v="0"/>
    <x v="0"/>
    <x v="2"/>
    <x v="351"/>
    <x v="55"/>
    <x v="670"/>
    <x v="0"/>
    <x v="15"/>
    <x v="71"/>
  </r>
  <r>
    <x v="0"/>
    <x v="1980"/>
    <x v="169"/>
    <x v="4"/>
    <x v="0"/>
    <x v="657"/>
    <x v="783"/>
    <x v="3705"/>
    <x v="822"/>
    <x v="1713"/>
    <x v="2573"/>
    <x v="3027"/>
    <x v="4302"/>
    <x v="3877"/>
    <x v="3665"/>
    <x v="2"/>
    <x v="4"/>
    <x v="4305"/>
    <x v="854"/>
    <x v="0"/>
    <x v="16"/>
    <x v="1"/>
    <x v="80"/>
    <x v="12"/>
    <x v="745"/>
    <x v="37"/>
    <x v="2"/>
    <x v="780"/>
  </r>
  <r>
    <x v="0"/>
    <x v="1981"/>
    <x v="311"/>
    <x v="32"/>
    <x v="0"/>
    <x v="502"/>
    <x v="168"/>
    <x v="3706"/>
    <x v="352"/>
    <x v="526"/>
    <x v="2574"/>
    <x v="3028"/>
    <x v="4303"/>
    <x v="4274"/>
    <x v="3666"/>
    <x v="0"/>
    <x v="4224"/>
    <x v="4306"/>
    <x v="721"/>
    <x v="3"/>
    <x v="10"/>
    <x v="4"/>
    <x v="351"/>
    <x v="50"/>
    <x v="162"/>
    <x v="13"/>
    <x v="1"/>
    <x v="593"/>
  </r>
  <r>
    <x v="0"/>
    <x v="1982"/>
    <x v="417"/>
    <x v="70"/>
    <x v="16"/>
    <x v="590"/>
    <x v="35"/>
    <x v="3707"/>
    <x v="498"/>
    <x v="65"/>
    <x v="2575"/>
    <x v="3029"/>
    <x v="4304"/>
    <x v="4275"/>
    <x v="3667"/>
    <x v="4"/>
    <x v="4225"/>
    <x v="4307"/>
    <x v="408"/>
    <x v="0"/>
    <x v="0"/>
    <x v="4"/>
    <x v="350"/>
    <x v="17"/>
    <x v="524"/>
    <x v="28"/>
    <x v="1"/>
    <x v="715"/>
  </r>
  <r>
    <x v="0"/>
    <x v="1983"/>
    <x v="373"/>
    <x v="77"/>
    <x v="198"/>
    <x v="571"/>
    <x v="250"/>
    <x v="4"/>
    <x v="429"/>
    <x v="1714"/>
    <x v="2576"/>
    <x v="3030"/>
    <x v="4305"/>
    <x v="4276"/>
    <x v="3668"/>
    <x v="0"/>
    <x v="4226"/>
    <x v="4308"/>
    <x v="408"/>
    <x v="0"/>
    <x v="0"/>
    <x v="9"/>
    <x v="4"/>
    <x v="6"/>
    <x v="505"/>
    <x v="42"/>
    <x v="2"/>
    <x v="43"/>
  </r>
  <r>
    <x v="0"/>
    <x v="10"/>
    <x v="133"/>
    <x v="47"/>
    <x v="0"/>
    <x v="1"/>
    <x v="22"/>
    <x v="1662"/>
    <x v="355"/>
    <x v="95"/>
    <x v="566"/>
    <x v="223"/>
    <x v="1743"/>
    <x v="4277"/>
    <x v="1673"/>
    <x v="0"/>
    <x v="1732"/>
    <x v="1743"/>
    <x v="797"/>
    <x v="0"/>
    <x v="0"/>
    <x v="4"/>
    <x v="140"/>
    <x v="14"/>
    <x v="12"/>
    <x v="38"/>
    <x v="1"/>
    <x v="115"/>
  </r>
  <r>
    <x v="0"/>
    <x v="1984"/>
    <x v="247"/>
    <x v="26"/>
    <x v="414"/>
    <x v="592"/>
    <x v="510"/>
    <x v="3708"/>
    <x v="105"/>
    <x v="1715"/>
    <x v="2577"/>
    <x v="1186"/>
    <x v="4306"/>
    <x v="4278"/>
    <x v="3669"/>
    <x v="1"/>
    <x v="4227"/>
    <x v="4309"/>
    <x v="334"/>
    <x v="0"/>
    <x v="0"/>
    <x v="0"/>
    <x v="126"/>
    <x v="1"/>
    <x v="441"/>
    <x v="1"/>
    <x v="3"/>
    <x v="1"/>
  </r>
  <r>
    <x v="0"/>
    <x v="1985"/>
    <x v="258"/>
    <x v="80"/>
    <x v="5"/>
    <x v="594"/>
    <x v="530"/>
    <x v="3709"/>
    <x v="462"/>
    <x v="997"/>
    <x v="2578"/>
    <x v="3031"/>
    <x v="4307"/>
    <x v="4279"/>
    <x v="3670"/>
    <x v="1"/>
    <x v="4228"/>
    <x v="4310"/>
    <x v="191"/>
    <x v="0"/>
    <x v="0"/>
    <x v="4"/>
    <x v="352"/>
    <x v="32"/>
    <x v="564"/>
    <x v="2"/>
    <x v="3"/>
    <x v="1"/>
  </r>
  <r>
    <x v="1"/>
    <x v="1784"/>
    <x v="368"/>
    <x v="60"/>
    <x v="402"/>
    <x v="644"/>
    <x v="287"/>
    <x v="4"/>
    <x v="200"/>
    <x v="1021"/>
    <x v="2579"/>
    <x v="2720"/>
    <x v="4308"/>
    <x v="4280"/>
    <x v="1444"/>
    <x v="6"/>
    <x v="4229"/>
    <x v="4311"/>
    <x v="479"/>
    <x v="0"/>
    <x v="0"/>
    <x v="9"/>
    <x v="41"/>
    <x v="72"/>
    <x v="763"/>
    <x v="17"/>
    <x v="15"/>
    <x v="1"/>
  </r>
  <r>
    <x v="0"/>
    <x v="1885"/>
    <x v="184"/>
    <x v="43"/>
    <x v="407"/>
    <x v="49"/>
    <x v="22"/>
    <x v="3710"/>
    <x v="270"/>
    <x v="169"/>
    <x v="2580"/>
    <x v="3032"/>
    <x v="4309"/>
    <x v="4281"/>
    <x v="3671"/>
    <x v="1"/>
    <x v="4230"/>
    <x v="4312"/>
    <x v="920"/>
    <x v="0"/>
    <x v="0"/>
    <x v="1"/>
    <x v="41"/>
    <x v="16"/>
    <x v="464"/>
    <x v="15"/>
    <x v="3"/>
    <x v="1"/>
  </r>
  <r>
    <x v="0"/>
    <x v="1350"/>
    <x v="382"/>
    <x v="76"/>
    <x v="360"/>
    <x v="325"/>
    <x v="188"/>
    <x v="3711"/>
    <x v="200"/>
    <x v="1716"/>
    <x v="2581"/>
    <x v="3033"/>
    <x v="4310"/>
    <x v="4282"/>
    <x v="3672"/>
    <x v="0"/>
    <x v="4231"/>
    <x v="4313"/>
    <x v="423"/>
    <x v="0"/>
    <x v="0"/>
    <x v="4"/>
    <x v="41"/>
    <x v="12"/>
    <x v="681"/>
    <x v="38"/>
    <x v="3"/>
    <x v="1"/>
  </r>
  <r>
    <x v="0"/>
    <x v="793"/>
    <x v="382"/>
    <x v="55"/>
    <x v="0"/>
    <x v="240"/>
    <x v="308"/>
    <x v="3712"/>
    <x v="105"/>
    <x v="1717"/>
    <x v="2582"/>
    <x v="3034"/>
    <x v="4311"/>
    <x v="4283"/>
    <x v="251"/>
    <x v="1"/>
    <x v="4232"/>
    <x v="4314"/>
    <x v="600"/>
    <x v="0"/>
    <x v="0"/>
    <x v="4"/>
    <x v="138"/>
    <x v="18"/>
    <x v="98"/>
    <x v="10"/>
    <x v="3"/>
    <x v="781"/>
  </r>
  <r>
    <x v="0"/>
    <x v="187"/>
    <x v="217"/>
    <x v="54"/>
    <x v="133"/>
    <x v="708"/>
    <x v="590"/>
    <x v="2753"/>
    <x v="200"/>
    <x v="1143"/>
    <x v="1769"/>
    <x v="2110"/>
    <x v="2957"/>
    <x v="2952"/>
    <x v="2695"/>
    <x v="1"/>
    <x v="2931"/>
    <x v="2958"/>
    <x v="822"/>
    <x v="4"/>
    <x v="9"/>
    <x v="4"/>
    <x v="4"/>
    <x v="0"/>
    <x v="231"/>
    <x v="20"/>
    <x v="1"/>
    <x v="538"/>
  </r>
  <r>
    <x v="2"/>
    <x v="472"/>
    <x v="412"/>
    <x v="78"/>
    <x v="245"/>
    <x v="389"/>
    <x v="784"/>
    <x v="4"/>
    <x v="97"/>
    <x v="1718"/>
    <x v="2583"/>
    <x v="3035"/>
    <x v="4312"/>
    <x v="4284"/>
    <x v="3673"/>
    <x v="7"/>
    <x v="4"/>
    <x v="4315"/>
    <x v="326"/>
    <x v="1"/>
    <x v="0"/>
    <x v="1"/>
    <x v="173"/>
    <x v="6"/>
    <x v="891"/>
    <x v="71"/>
    <x v="2"/>
    <x v="1"/>
  </r>
  <r>
    <x v="0"/>
    <x v="931"/>
    <x v="241"/>
    <x v="54"/>
    <x v="17"/>
    <x v="49"/>
    <x v="281"/>
    <x v="4"/>
    <x v="851"/>
    <x v="1719"/>
    <x v="2584"/>
    <x v="3036"/>
    <x v="4313"/>
    <x v="4285"/>
    <x v="1867"/>
    <x v="1"/>
    <x v="4233"/>
    <x v="4316"/>
    <x v="290"/>
    <x v="0"/>
    <x v="0"/>
    <x v="10"/>
    <x v="353"/>
    <x v="68"/>
    <x v="571"/>
    <x v="32"/>
    <x v="15"/>
    <x v="1"/>
  </r>
  <r>
    <x v="0"/>
    <x v="842"/>
    <x v="302"/>
    <x v="33"/>
    <x v="310"/>
    <x v="693"/>
    <x v="473"/>
    <x v="3713"/>
    <x v="293"/>
    <x v="236"/>
    <x v="564"/>
    <x v="3037"/>
    <x v="4314"/>
    <x v="4286"/>
    <x v="2017"/>
    <x v="1"/>
    <x v="4234"/>
    <x v="4317"/>
    <x v="536"/>
    <x v="0"/>
    <x v="4"/>
    <x v="4"/>
    <x v="126"/>
    <x v="24"/>
    <x v="251"/>
    <x v="13"/>
    <x v="3"/>
    <x v="370"/>
  </r>
  <r>
    <x v="0"/>
    <x v="1357"/>
    <x v="257"/>
    <x v="47"/>
    <x v="361"/>
    <x v="437"/>
    <x v="0"/>
    <x v="3714"/>
    <x v="245"/>
    <x v="327"/>
    <x v="1718"/>
    <x v="3038"/>
    <x v="4315"/>
    <x v="4287"/>
    <x v="3674"/>
    <x v="4"/>
    <x v="4235"/>
    <x v="4318"/>
    <x v="395"/>
    <x v="0"/>
    <x v="0"/>
    <x v="4"/>
    <x v="41"/>
    <x v="20"/>
    <x v="183"/>
    <x v="7"/>
    <x v="3"/>
    <x v="1"/>
  </r>
  <r>
    <x v="0"/>
    <x v="33"/>
    <x v="486"/>
    <x v="33"/>
    <x v="0"/>
    <x v="84"/>
    <x v="86"/>
    <x v="3715"/>
    <x v="208"/>
    <x v="627"/>
    <x v="2029"/>
    <x v="3039"/>
    <x v="4316"/>
    <x v="4288"/>
    <x v="3675"/>
    <x v="1"/>
    <x v="4236"/>
    <x v="4319"/>
    <x v="47"/>
    <x v="0"/>
    <x v="0"/>
    <x v="0"/>
    <x v="41"/>
    <x v="5"/>
    <x v="537"/>
    <x v="2"/>
    <x v="1"/>
    <x v="24"/>
  </r>
  <r>
    <x v="0"/>
    <x v="1986"/>
    <x v="333"/>
    <x v="80"/>
    <x v="170"/>
    <x v="895"/>
    <x v="88"/>
    <x v="4"/>
    <x v="852"/>
    <x v="152"/>
    <x v="1863"/>
    <x v="3040"/>
    <x v="4317"/>
    <x v="3968"/>
    <x v="3376"/>
    <x v="3"/>
    <x v="4237"/>
    <x v="4320"/>
    <x v="627"/>
    <x v="0"/>
    <x v="0"/>
    <x v="4"/>
    <x v="41"/>
    <x v="31"/>
    <x v="302"/>
    <x v="8"/>
    <x v="3"/>
    <x v="1"/>
  </r>
  <r>
    <x v="0"/>
    <x v="1987"/>
    <x v="160"/>
    <x v="37"/>
    <x v="137"/>
    <x v="321"/>
    <x v="93"/>
    <x v="3716"/>
    <x v="168"/>
    <x v="1525"/>
    <x v="2585"/>
    <x v="3041"/>
    <x v="4318"/>
    <x v="4289"/>
    <x v="3676"/>
    <x v="0"/>
    <x v="4238"/>
    <x v="4321"/>
    <x v="310"/>
    <x v="6"/>
    <x v="52"/>
    <x v="4"/>
    <x v="41"/>
    <x v="21"/>
    <x v="554"/>
    <x v="0"/>
    <x v="3"/>
    <x v="1"/>
  </r>
  <r>
    <x v="0"/>
    <x v="1988"/>
    <x v="353"/>
    <x v="59"/>
    <x v="198"/>
    <x v="298"/>
    <x v="471"/>
    <x v="3717"/>
    <x v="837"/>
    <x v="1720"/>
    <x v="2586"/>
    <x v="3042"/>
    <x v="4319"/>
    <x v="4290"/>
    <x v="2095"/>
    <x v="3"/>
    <x v="4239"/>
    <x v="4322"/>
    <x v="631"/>
    <x v="20"/>
    <x v="54"/>
    <x v="0"/>
    <x v="4"/>
    <x v="3"/>
    <x v="253"/>
    <x v="32"/>
    <x v="3"/>
    <x v="1"/>
  </r>
  <r>
    <x v="0"/>
    <x v="1989"/>
    <x v="346"/>
    <x v="52"/>
    <x v="38"/>
    <x v="736"/>
    <x v="576"/>
    <x v="3718"/>
    <x v="270"/>
    <x v="1721"/>
    <x v="563"/>
    <x v="3043"/>
    <x v="4320"/>
    <x v="4291"/>
    <x v="3677"/>
    <x v="1"/>
    <x v="4240"/>
    <x v="4323"/>
    <x v="749"/>
    <x v="0"/>
    <x v="0"/>
    <x v="4"/>
    <x v="41"/>
    <x v="12"/>
    <x v="365"/>
    <x v="10"/>
    <x v="10"/>
    <x v="418"/>
  </r>
  <r>
    <x v="0"/>
    <x v="1990"/>
    <x v="241"/>
    <x v="27"/>
    <x v="47"/>
    <x v="113"/>
    <x v="485"/>
    <x v="3719"/>
    <x v="127"/>
    <x v="1722"/>
    <x v="2587"/>
    <x v="1243"/>
    <x v="4321"/>
    <x v="4292"/>
    <x v="2396"/>
    <x v="6"/>
    <x v="4241"/>
    <x v="4324"/>
    <x v="167"/>
    <x v="0"/>
    <x v="0"/>
    <x v="4"/>
    <x v="41"/>
    <x v="9"/>
    <x v="620"/>
    <x v="27"/>
    <x v="0"/>
    <x v="1"/>
  </r>
  <r>
    <x v="0"/>
    <x v="1710"/>
    <x v="447"/>
    <x v="77"/>
    <x v="395"/>
    <x v="717"/>
    <x v="426"/>
    <x v="3720"/>
    <x v="168"/>
    <x v="1210"/>
    <x v="2588"/>
    <x v="2955"/>
    <x v="4322"/>
    <x v="4293"/>
    <x v="3156"/>
    <x v="0"/>
    <x v="4242"/>
    <x v="4325"/>
    <x v="641"/>
    <x v="0"/>
    <x v="10"/>
    <x v="4"/>
    <x v="41"/>
    <x v="27"/>
    <x v="726"/>
    <x v="12"/>
    <x v="3"/>
    <x v="187"/>
  </r>
  <r>
    <x v="1"/>
    <x v="1991"/>
    <x v="274"/>
    <x v="42"/>
    <x v="122"/>
    <x v="862"/>
    <x v="186"/>
    <x v="3721"/>
    <x v="270"/>
    <x v="350"/>
    <x v="2589"/>
    <x v="3044"/>
    <x v="4323"/>
    <x v="4294"/>
    <x v="3678"/>
    <x v="0"/>
    <x v="4243"/>
    <x v="4326"/>
    <x v="757"/>
    <x v="0"/>
    <x v="0"/>
    <x v="4"/>
    <x v="41"/>
    <x v="18"/>
    <x v="239"/>
    <x v="13"/>
    <x v="10"/>
    <x v="1"/>
  </r>
  <r>
    <x v="0"/>
    <x v="473"/>
    <x v="343"/>
    <x v="86"/>
    <x v="212"/>
    <x v="227"/>
    <x v="324"/>
    <x v="3722"/>
    <x v="17"/>
    <x v="579"/>
    <x v="2590"/>
    <x v="1321"/>
    <x v="4324"/>
    <x v="4295"/>
    <x v="1744"/>
    <x v="0"/>
    <x v="4244"/>
    <x v="4327"/>
    <x v="448"/>
    <x v="0"/>
    <x v="0"/>
    <x v="4"/>
    <x v="4"/>
    <x v="1"/>
    <x v="445"/>
    <x v="8"/>
    <x v="1"/>
    <x v="782"/>
  </r>
  <r>
    <x v="0"/>
    <x v="1992"/>
    <x v="489"/>
    <x v="41"/>
    <x v="85"/>
    <x v="149"/>
    <x v="687"/>
    <x v="4"/>
    <x v="355"/>
    <x v="1723"/>
    <x v="2591"/>
    <x v="3045"/>
    <x v="4325"/>
    <x v="4296"/>
    <x v="3679"/>
    <x v="1"/>
    <x v="4"/>
    <x v="4328"/>
    <x v="416"/>
    <x v="0"/>
    <x v="0"/>
    <x v="4"/>
    <x v="41"/>
    <x v="11"/>
    <x v="697"/>
    <x v="34"/>
    <x v="1"/>
    <x v="783"/>
  </r>
  <r>
    <x v="0"/>
    <x v="1142"/>
    <x v="238"/>
    <x v="7"/>
    <x v="322"/>
    <x v="666"/>
    <x v="507"/>
    <x v="3723"/>
    <x v="364"/>
    <x v="1724"/>
    <x v="2476"/>
    <x v="2242"/>
    <x v="4326"/>
    <x v="4297"/>
    <x v="2671"/>
    <x v="0"/>
    <x v="4245"/>
    <x v="4329"/>
    <x v="606"/>
    <x v="0"/>
    <x v="0"/>
    <x v="4"/>
    <x v="41"/>
    <x v="18"/>
    <x v="885"/>
    <x v="12"/>
    <x v="1"/>
    <x v="1"/>
  </r>
  <r>
    <x v="0"/>
    <x v="1993"/>
    <x v="424"/>
    <x v="110"/>
    <x v="415"/>
    <x v="211"/>
    <x v="116"/>
    <x v="3724"/>
    <x v="127"/>
    <x v="1725"/>
    <x v="2592"/>
    <x v="307"/>
    <x v="4327"/>
    <x v="4298"/>
    <x v="1191"/>
    <x v="0"/>
    <x v="4246"/>
    <x v="4330"/>
    <x v="510"/>
    <x v="0"/>
    <x v="0"/>
    <x v="4"/>
    <x v="41"/>
    <x v="7"/>
    <x v="328"/>
    <x v="5"/>
    <x v="3"/>
    <x v="1"/>
  </r>
  <r>
    <x v="0"/>
    <x v="1994"/>
    <x v="385"/>
    <x v="50"/>
    <x v="89"/>
    <x v="611"/>
    <x v="0"/>
    <x v="4"/>
    <x v="463"/>
    <x v="329"/>
    <x v="832"/>
    <x v="3046"/>
    <x v="4328"/>
    <x v="4299"/>
    <x v="3680"/>
    <x v="1"/>
    <x v="3463"/>
    <x v="4331"/>
    <x v="792"/>
    <x v="0"/>
    <x v="0"/>
    <x v="0"/>
    <x v="4"/>
    <x v="5"/>
    <x v="117"/>
    <x v="10"/>
    <x v="2"/>
    <x v="1"/>
  </r>
  <r>
    <x v="0"/>
    <x v="1995"/>
    <x v="286"/>
    <x v="41"/>
    <x v="245"/>
    <x v="433"/>
    <x v="74"/>
    <x v="4"/>
    <x v="476"/>
    <x v="1726"/>
    <x v="1660"/>
    <x v="3047"/>
    <x v="4329"/>
    <x v="4300"/>
    <x v="3337"/>
    <x v="0"/>
    <x v="4247"/>
    <x v="4332"/>
    <x v="527"/>
    <x v="0"/>
    <x v="0"/>
    <x v="4"/>
    <x v="41"/>
    <x v="7"/>
    <x v="372"/>
    <x v="20"/>
    <x v="3"/>
    <x v="1"/>
  </r>
  <r>
    <x v="1"/>
    <x v="1996"/>
    <x v="293"/>
    <x v="101"/>
    <x v="0"/>
    <x v="316"/>
    <x v="50"/>
    <x v="3725"/>
    <x v="301"/>
    <x v="1727"/>
    <x v="2593"/>
    <x v="3048"/>
    <x v="4330"/>
    <x v="4301"/>
    <x v="3681"/>
    <x v="1"/>
    <x v="4248"/>
    <x v="4333"/>
    <x v="376"/>
    <x v="0"/>
    <x v="0"/>
    <x v="3"/>
    <x v="41"/>
    <x v="81"/>
    <x v="820"/>
    <x v="35"/>
    <x v="15"/>
    <x v="1"/>
  </r>
  <r>
    <x v="0"/>
    <x v="1997"/>
    <x v="308"/>
    <x v="43"/>
    <x v="174"/>
    <x v="507"/>
    <x v="279"/>
    <x v="3726"/>
    <x v="270"/>
    <x v="508"/>
    <x v="1107"/>
    <x v="762"/>
    <x v="4331"/>
    <x v="4302"/>
    <x v="3682"/>
    <x v="1"/>
    <x v="4249"/>
    <x v="4334"/>
    <x v="650"/>
    <x v="0"/>
    <x v="0"/>
    <x v="2"/>
    <x v="41"/>
    <x v="19"/>
    <x v="52"/>
    <x v="12"/>
    <x v="3"/>
    <x v="87"/>
  </r>
  <r>
    <x v="0"/>
    <x v="1998"/>
    <x v="388"/>
    <x v="95"/>
    <x v="0"/>
    <x v="528"/>
    <x v="522"/>
    <x v="3727"/>
    <x v="219"/>
    <x v="1527"/>
    <x v="2315"/>
    <x v="3049"/>
    <x v="4332"/>
    <x v="4303"/>
    <x v="1212"/>
    <x v="1"/>
    <x v="4250"/>
    <x v="4335"/>
    <x v="244"/>
    <x v="0"/>
    <x v="0"/>
    <x v="4"/>
    <x v="41"/>
    <x v="1"/>
    <x v="550"/>
    <x v="22"/>
    <x v="3"/>
    <x v="1"/>
  </r>
  <r>
    <x v="0"/>
    <x v="1199"/>
    <x v="369"/>
    <x v="78"/>
    <x v="143"/>
    <x v="685"/>
    <x v="44"/>
    <x v="3728"/>
    <x v="200"/>
    <x v="68"/>
    <x v="2154"/>
    <x v="1534"/>
    <x v="4333"/>
    <x v="4304"/>
    <x v="3683"/>
    <x v="6"/>
    <x v="4"/>
    <x v="4336"/>
    <x v="685"/>
    <x v="0"/>
    <x v="0"/>
    <x v="0"/>
    <x v="41"/>
    <x v="12"/>
    <x v="527"/>
    <x v="44"/>
    <x v="3"/>
    <x v="222"/>
  </r>
  <r>
    <x v="0"/>
    <x v="1999"/>
    <x v="369"/>
    <x v="42"/>
    <x v="141"/>
    <x v="677"/>
    <x v="130"/>
    <x v="3729"/>
    <x v="125"/>
    <x v="1728"/>
    <x v="2594"/>
    <x v="2477"/>
    <x v="4334"/>
    <x v="4124"/>
    <x v="3684"/>
    <x v="0"/>
    <x v="4251"/>
    <x v="4337"/>
    <x v="744"/>
    <x v="0"/>
    <x v="0"/>
    <x v="1"/>
    <x v="41"/>
    <x v="2"/>
    <x v="531"/>
    <x v="9"/>
    <x v="2"/>
    <x v="784"/>
  </r>
  <r>
    <x v="0"/>
    <x v="1258"/>
    <x v="347"/>
    <x v="26"/>
    <x v="353"/>
    <x v="817"/>
    <x v="327"/>
    <x v="4"/>
    <x v="484"/>
    <x v="737"/>
    <x v="2595"/>
    <x v="3050"/>
    <x v="4335"/>
    <x v="4305"/>
    <x v="3685"/>
    <x v="0"/>
    <x v="4252"/>
    <x v="4338"/>
    <x v="721"/>
    <x v="0"/>
    <x v="0"/>
    <x v="4"/>
    <x v="41"/>
    <x v="12"/>
    <x v="581"/>
    <x v="19"/>
    <x v="3"/>
    <x v="785"/>
  </r>
  <r>
    <x v="0"/>
    <x v="1430"/>
    <x v="311"/>
    <x v="23"/>
    <x v="370"/>
    <x v="321"/>
    <x v="785"/>
    <x v="3730"/>
    <x v="269"/>
    <x v="1729"/>
    <x v="2596"/>
    <x v="3051"/>
    <x v="4336"/>
    <x v="4306"/>
    <x v="3686"/>
    <x v="0"/>
    <x v="4253"/>
    <x v="4339"/>
    <x v="824"/>
    <x v="0"/>
    <x v="0"/>
    <x v="4"/>
    <x v="348"/>
    <x v="5"/>
    <x v="820"/>
    <x v="27"/>
    <x v="2"/>
    <x v="786"/>
  </r>
  <r>
    <x v="0"/>
    <x v="2000"/>
    <x v="305"/>
    <x v="54"/>
    <x v="255"/>
    <x v="426"/>
    <x v="559"/>
    <x v="3731"/>
    <x v="471"/>
    <x v="1296"/>
    <x v="2597"/>
    <x v="3052"/>
    <x v="4337"/>
    <x v="4307"/>
    <x v="3687"/>
    <x v="0"/>
    <x v="4254"/>
    <x v="4340"/>
    <x v="593"/>
    <x v="0"/>
    <x v="4"/>
    <x v="9"/>
    <x v="41"/>
    <x v="8"/>
    <x v="561"/>
    <x v="10"/>
    <x v="1"/>
    <x v="1"/>
  </r>
  <r>
    <x v="0"/>
    <x v="2001"/>
    <x v="303"/>
    <x v="78"/>
    <x v="143"/>
    <x v="715"/>
    <x v="38"/>
    <x v="3732"/>
    <x v="270"/>
    <x v="55"/>
    <x v="2598"/>
    <x v="1404"/>
    <x v="4338"/>
    <x v="4308"/>
    <x v="3688"/>
    <x v="3"/>
    <x v="4255"/>
    <x v="4341"/>
    <x v="636"/>
    <x v="0"/>
    <x v="0"/>
    <x v="4"/>
    <x v="126"/>
    <x v="8"/>
    <x v="892"/>
    <x v="10"/>
    <x v="1"/>
    <x v="453"/>
  </r>
  <r>
    <x v="0"/>
    <x v="2002"/>
    <x v="4"/>
    <x v="41"/>
    <x v="377"/>
    <x v="654"/>
    <x v="187"/>
    <x v="4"/>
    <x v="105"/>
    <x v="1730"/>
    <x v="2599"/>
    <x v="3053"/>
    <x v="4339"/>
    <x v="4205"/>
    <x v="3431"/>
    <x v="1"/>
    <x v="4"/>
    <x v="4342"/>
    <x v="4"/>
    <x v="0"/>
    <x v="0"/>
    <x v="1"/>
    <x v="41"/>
    <x v="2"/>
    <x v="675"/>
    <x v="32"/>
    <x v="2"/>
    <x v="698"/>
  </r>
  <r>
    <x v="0"/>
    <x v="1095"/>
    <x v="294"/>
    <x v="59"/>
    <x v="0"/>
    <x v="31"/>
    <x v="0"/>
    <x v="3733"/>
    <x v="64"/>
    <x v="1316"/>
    <x v="1813"/>
    <x v="3054"/>
    <x v="4340"/>
    <x v="4309"/>
    <x v="3689"/>
    <x v="1"/>
    <x v="4256"/>
    <x v="4343"/>
    <x v="690"/>
    <x v="0"/>
    <x v="0"/>
    <x v="4"/>
    <x v="139"/>
    <x v="3"/>
    <x v="791"/>
    <x v="37"/>
    <x v="1"/>
    <x v="61"/>
  </r>
  <r>
    <x v="0"/>
    <x v="2003"/>
    <x v="146"/>
    <x v="86"/>
    <x v="221"/>
    <x v="222"/>
    <x v="295"/>
    <x v="4"/>
    <x v="796"/>
    <x v="1731"/>
    <x v="2600"/>
    <x v="3055"/>
    <x v="4341"/>
    <x v="4310"/>
    <x v="3690"/>
    <x v="3"/>
    <x v="4257"/>
    <x v="4344"/>
    <x v="536"/>
    <x v="0"/>
    <x v="3"/>
    <x v="9"/>
    <x v="278"/>
    <x v="11"/>
    <x v="514"/>
    <x v="2"/>
    <x v="1"/>
    <x v="7"/>
  </r>
  <r>
    <x v="0"/>
    <x v="2004"/>
    <x v="392"/>
    <x v="182"/>
    <x v="122"/>
    <x v="298"/>
    <x v="471"/>
    <x v="4"/>
    <x v="4"/>
    <x v="1732"/>
    <x v="2601"/>
    <x v="3056"/>
    <x v="4342"/>
    <x v="4311"/>
    <x v="2095"/>
    <x v="0"/>
    <x v="4258"/>
    <x v="4345"/>
    <x v="640"/>
    <x v="0"/>
    <x v="0"/>
    <x v="9"/>
    <x v="41"/>
    <x v="12"/>
    <x v="253"/>
    <x v="2"/>
    <x v="3"/>
    <x v="1"/>
  </r>
  <r>
    <x v="0"/>
    <x v="2005"/>
    <x v="441"/>
    <x v="101"/>
    <x v="0"/>
    <x v="629"/>
    <x v="786"/>
    <x v="4"/>
    <x v="49"/>
    <x v="1733"/>
    <x v="2602"/>
    <x v="3057"/>
    <x v="4343"/>
    <x v="4312"/>
    <x v="3691"/>
    <x v="4"/>
    <x v="4259"/>
    <x v="4346"/>
    <x v="896"/>
    <x v="0"/>
    <x v="4"/>
    <x v="1"/>
    <x v="41"/>
    <x v="12"/>
    <x v="685"/>
    <x v="2"/>
    <x v="2"/>
    <x v="490"/>
  </r>
  <r>
    <x v="2"/>
    <x v="2006"/>
    <x v="435"/>
    <x v="42"/>
    <x v="31"/>
    <x v="156"/>
    <x v="33"/>
    <x v="4"/>
    <x v="200"/>
    <x v="149"/>
    <x v="331"/>
    <x v="1287"/>
    <x v="4344"/>
    <x v="4313"/>
    <x v="3692"/>
    <x v="4"/>
    <x v="4"/>
    <x v="4347"/>
    <x v="791"/>
    <x v="0"/>
    <x v="0"/>
    <x v="4"/>
    <x v="41"/>
    <x v="9"/>
    <x v="222"/>
    <x v="22"/>
    <x v="22"/>
    <x v="687"/>
  </r>
  <r>
    <x v="0"/>
    <x v="2007"/>
    <x v="465"/>
    <x v="52"/>
    <x v="116"/>
    <x v="304"/>
    <x v="449"/>
    <x v="4"/>
    <x v="200"/>
    <x v="1734"/>
    <x v="2603"/>
    <x v="3058"/>
    <x v="4345"/>
    <x v="4314"/>
    <x v="3334"/>
    <x v="4"/>
    <x v="4"/>
    <x v="4348"/>
    <x v="96"/>
    <x v="0"/>
    <x v="29"/>
    <x v="9"/>
    <x v="240"/>
    <x v="11"/>
    <x v="561"/>
    <x v="1"/>
    <x v="1"/>
    <x v="1"/>
  </r>
  <r>
    <x v="0"/>
    <x v="2008"/>
    <x v="169"/>
    <x v="87"/>
    <x v="169"/>
    <x v="831"/>
    <x v="497"/>
    <x v="4"/>
    <x v="652"/>
    <x v="1735"/>
    <x v="2604"/>
    <x v="3059"/>
    <x v="4346"/>
    <x v="4315"/>
    <x v="3693"/>
    <x v="0"/>
    <x v="4"/>
    <x v="4349"/>
    <x v="896"/>
    <x v="0"/>
    <x v="4"/>
    <x v="1"/>
    <x v="41"/>
    <x v="11"/>
    <x v="365"/>
    <x v="66"/>
    <x v="2"/>
    <x v="754"/>
  </r>
  <r>
    <x v="0"/>
    <x v="2009"/>
    <x v="4"/>
    <x v="58"/>
    <x v="78"/>
    <x v="618"/>
    <x v="22"/>
    <x v="4"/>
    <x v="301"/>
    <x v="1736"/>
    <x v="311"/>
    <x v="1039"/>
    <x v="4347"/>
    <x v="4316"/>
    <x v="3694"/>
    <x v="9"/>
    <x v="4260"/>
    <x v="4350"/>
    <x v="326"/>
    <x v="0"/>
    <x v="0"/>
    <x v="0"/>
    <x v="126"/>
    <x v="2"/>
    <x v="211"/>
    <x v="17"/>
    <x v="3"/>
    <x v="658"/>
  </r>
  <r>
    <x v="0"/>
    <x v="2010"/>
    <x v="489"/>
    <x v="55"/>
    <x v="416"/>
    <x v="737"/>
    <x v="103"/>
    <x v="4"/>
    <x v="23"/>
    <x v="1737"/>
    <x v="2605"/>
    <x v="1496"/>
    <x v="4348"/>
    <x v="4317"/>
    <x v="3695"/>
    <x v="3"/>
    <x v="4"/>
    <x v="4351"/>
    <x v="684"/>
    <x v="0"/>
    <x v="0"/>
    <x v="1"/>
    <x v="41"/>
    <x v="2"/>
    <x v="328"/>
    <x v="69"/>
    <x v="1"/>
    <x v="580"/>
  </r>
  <r>
    <x v="0"/>
    <x v="89"/>
    <x v="381"/>
    <x v="29"/>
    <x v="10"/>
    <x v="1"/>
    <x v="14"/>
    <x v="709"/>
    <x v="86"/>
    <x v="56"/>
    <x v="340"/>
    <x v="618"/>
    <x v="731"/>
    <x v="4318"/>
    <x v="721"/>
    <x v="4"/>
    <x v="726"/>
    <x v="731"/>
    <x v="532"/>
    <x v="0"/>
    <x v="0"/>
    <x v="0"/>
    <x v="81"/>
    <x v="3"/>
    <x v="13"/>
    <x v="15"/>
    <x v="1"/>
    <x v="58"/>
  </r>
  <r>
    <x v="0"/>
    <x v="2011"/>
    <x v="311"/>
    <x v="59"/>
    <x v="19"/>
    <x v="149"/>
    <x v="787"/>
    <x v="4"/>
    <x v="416"/>
    <x v="1738"/>
    <x v="2606"/>
    <x v="3060"/>
    <x v="4349"/>
    <x v="2090"/>
    <x v="552"/>
    <x v="1"/>
    <x v="4261"/>
    <x v="4352"/>
    <x v="427"/>
    <x v="0"/>
    <x v="0"/>
    <x v="9"/>
    <x v="41"/>
    <x v="2"/>
    <x v="65"/>
    <x v="47"/>
    <x v="2"/>
    <x v="677"/>
  </r>
  <r>
    <x v="0"/>
    <x v="2012"/>
    <x v="434"/>
    <x v="41"/>
    <x v="134"/>
    <x v="440"/>
    <x v="277"/>
    <x v="4"/>
    <x v="355"/>
    <x v="505"/>
    <x v="2607"/>
    <x v="3061"/>
    <x v="4350"/>
    <x v="4319"/>
    <x v="3696"/>
    <x v="9"/>
    <x v="4262"/>
    <x v="4353"/>
    <x v="188"/>
    <x v="0"/>
    <x v="0"/>
    <x v="4"/>
    <x v="126"/>
    <x v="2"/>
    <x v="584"/>
    <x v="57"/>
    <x v="2"/>
    <x v="534"/>
  </r>
  <r>
    <x v="0"/>
    <x v="2013"/>
    <x v="118"/>
    <x v="105"/>
    <x v="0"/>
    <x v="738"/>
    <x v="501"/>
    <x v="3734"/>
    <x v="413"/>
    <x v="1739"/>
    <x v="2608"/>
    <x v="3062"/>
    <x v="4351"/>
    <x v="4320"/>
    <x v="1648"/>
    <x v="1"/>
    <x v="4263"/>
    <x v="4354"/>
    <x v="334"/>
    <x v="0"/>
    <x v="0"/>
    <x v="11"/>
    <x v="126"/>
    <x v="56"/>
    <x v="495"/>
    <x v="16"/>
    <x v="15"/>
    <x v="1"/>
  </r>
  <r>
    <x v="0"/>
    <x v="2014"/>
    <x v="239"/>
    <x v="11"/>
    <x v="58"/>
    <x v="708"/>
    <x v="497"/>
    <x v="3735"/>
    <x v="270"/>
    <x v="1462"/>
    <x v="2609"/>
    <x v="3063"/>
    <x v="4352"/>
    <x v="4321"/>
    <x v="2929"/>
    <x v="0"/>
    <x v="4264"/>
    <x v="4355"/>
    <x v="820"/>
    <x v="6"/>
    <x v="52"/>
    <x v="4"/>
    <x v="123"/>
    <x v="14"/>
    <x v="624"/>
    <x v="10"/>
    <x v="3"/>
    <x v="787"/>
  </r>
  <r>
    <x v="0"/>
    <x v="2015"/>
    <x v="81"/>
    <x v="18"/>
    <x v="405"/>
    <x v="174"/>
    <x v="235"/>
    <x v="4"/>
    <x v="713"/>
    <x v="1740"/>
    <x v="2178"/>
    <x v="3064"/>
    <x v="4353"/>
    <x v="4322"/>
    <x v="2511"/>
    <x v="4"/>
    <x v="4265"/>
    <x v="4356"/>
    <x v="540"/>
    <x v="0"/>
    <x v="1"/>
    <x v="2"/>
    <x v="354"/>
    <x v="38"/>
    <x v="442"/>
    <x v="34"/>
    <x v="1"/>
    <x v="316"/>
  </r>
  <r>
    <x v="0"/>
    <x v="2016"/>
    <x v="370"/>
    <x v="50"/>
    <x v="146"/>
    <x v="683"/>
    <x v="788"/>
    <x v="3736"/>
    <x v="853"/>
    <x v="1741"/>
    <x v="2610"/>
    <x v="3065"/>
    <x v="4354"/>
    <x v="4323"/>
    <x v="3697"/>
    <x v="0"/>
    <x v="4266"/>
    <x v="4357"/>
    <x v="377"/>
    <x v="0"/>
    <x v="1"/>
    <x v="0"/>
    <x v="123"/>
    <x v="14"/>
    <x v="890"/>
    <x v="4"/>
    <x v="3"/>
    <x v="788"/>
  </r>
  <r>
    <x v="0"/>
    <x v="2017"/>
    <x v="435"/>
    <x v="59"/>
    <x v="131"/>
    <x v="102"/>
    <x v="0"/>
    <x v="4"/>
    <x v="270"/>
    <x v="307"/>
    <x v="2611"/>
    <x v="3066"/>
    <x v="4355"/>
    <x v="3187"/>
    <x v="2395"/>
    <x v="9"/>
    <x v="4"/>
    <x v="4358"/>
    <x v="824"/>
    <x v="0"/>
    <x v="0"/>
    <x v="2"/>
    <x v="126"/>
    <x v="6"/>
    <x v="356"/>
    <x v="30"/>
    <x v="1"/>
    <x v="628"/>
  </r>
  <r>
    <x v="0"/>
    <x v="1560"/>
    <x v="315"/>
    <x v="77"/>
    <x v="123"/>
    <x v="436"/>
    <x v="42"/>
    <x v="4"/>
    <x v="381"/>
    <x v="1742"/>
    <x v="2612"/>
    <x v="3067"/>
    <x v="4356"/>
    <x v="4324"/>
    <x v="3698"/>
    <x v="0"/>
    <x v="4267"/>
    <x v="4359"/>
    <x v="631"/>
    <x v="0"/>
    <x v="4"/>
    <x v="1"/>
    <x v="355"/>
    <x v="11"/>
    <x v="510"/>
    <x v="34"/>
    <x v="1"/>
    <x v="789"/>
  </r>
  <r>
    <x v="0"/>
    <x v="2018"/>
    <x v="358"/>
    <x v="93"/>
    <x v="348"/>
    <x v="708"/>
    <x v="564"/>
    <x v="3737"/>
    <x v="389"/>
    <x v="1081"/>
    <x v="2613"/>
    <x v="3068"/>
    <x v="4357"/>
    <x v="4325"/>
    <x v="3699"/>
    <x v="0"/>
    <x v="4268"/>
    <x v="4360"/>
    <x v="655"/>
    <x v="3"/>
    <x v="10"/>
    <x v="4"/>
    <x v="4"/>
    <x v="11"/>
    <x v="231"/>
    <x v="22"/>
    <x v="8"/>
    <x v="264"/>
  </r>
  <r>
    <x v="0"/>
    <x v="2019"/>
    <x v="169"/>
    <x v="43"/>
    <x v="38"/>
    <x v="691"/>
    <x v="201"/>
    <x v="4"/>
    <x v="381"/>
    <x v="1743"/>
    <x v="2614"/>
    <x v="3069"/>
    <x v="4358"/>
    <x v="4326"/>
    <x v="3700"/>
    <x v="0"/>
    <x v="4269"/>
    <x v="4361"/>
    <x v="843"/>
    <x v="0"/>
    <x v="0"/>
    <x v="4"/>
    <x v="123"/>
    <x v="11"/>
    <x v="338"/>
    <x v="8"/>
    <x v="2"/>
    <x v="618"/>
  </r>
  <r>
    <x v="0"/>
    <x v="2020"/>
    <x v="302"/>
    <x v="72"/>
    <x v="143"/>
    <x v="781"/>
    <x v="0"/>
    <x v="4"/>
    <x v="189"/>
    <x v="1744"/>
    <x v="2417"/>
    <x v="3070"/>
    <x v="4359"/>
    <x v="4327"/>
    <x v="3419"/>
    <x v="1"/>
    <x v="4270"/>
    <x v="4362"/>
    <x v="293"/>
    <x v="0"/>
    <x v="0"/>
    <x v="11"/>
    <x v="356"/>
    <x v="71"/>
    <x v="89"/>
    <x v="12"/>
    <x v="3"/>
    <x v="1"/>
  </r>
  <r>
    <x v="0"/>
    <x v="129"/>
    <x v="410"/>
    <x v="60"/>
    <x v="0"/>
    <x v="210"/>
    <x v="8"/>
    <x v="3738"/>
    <x v="70"/>
    <x v="35"/>
    <x v="88"/>
    <x v="519"/>
    <x v="4360"/>
    <x v="4328"/>
    <x v="3701"/>
    <x v="1"/>
    <x v="4271"/>
    <x v="4363"/>
    <x v="242"/>
    <x v="0"/>
    <x v="1"/>
    <x v="4"/>
    <x v="357"/>
    <x v="20"/>
    <x v="30"/>
    <x v="17"/>
    <x v="3"/>
    <x v="90"/>
  </r>
  <r>
    <x v="0"/>
    <x v="2021"/>
    <x v="4"/>
    <x v="72"/>
    <x v="0"/>
    <x v="214"/>
    <x v="23"/>
    <x v="4"/>
    <x v="713"/>
    <x v="371"/>
    <x v="301"/>
    <x v="702"/>
    <x v="4361"/>
    <x v="4329"/>
    <x v="2963"/>
    <x v="0"/>
    <x v="4"/>
    <x v="4364"/>
    <x v="188"/>
    <x v="0"/>
    <x v="0"/>
    <x v="1"/>
    <x v="345"/>
    <x v="26"/>
    <x v="203"/>
    <x v="1"/>
    <x v="2"/>
    <x v="731"/>
  </r>
  <r>
    <x v="0"/>
    <x v="113"/>
    <x v="457"/>
    <x v="60"/>
    <x v="88"/>
    <x v="4"/>
    <x v="222"/>
    <x v="4"/>
    <x v="854"/>
    <x v="1745"/>
    <x v="2615"/>
    <x v="4"/>
    <x v="4362"/>
    <x v="4330"/>
    <x v="3281"/>
    <x v="0"/>
    <x v="4272"/>
    <x v="4365"/>
    <x v="96"/>
    <x v="0"/>
    <x v="0"/>
    <x v="1"/>
    <x v="4"/>
    <x v="4"/>
    <x v="253"/>
    <x v="11"/>
    <x v="9"/>
    <x v="570"/>
  </r>
  <r>
    <x v="0"/>
    <x v="1470"/>
    <x v="288"/>
    <x v="72"/>
    <x v="374"/>
    <x v="166"/>
    <x v="728"/>
    <x v="3739"/>
    <x v="270"/>
    <x v="1746"/>
    <x v="2616"/>
    <x v="3071"/>
    <x v="4363"/>
    <x v="4331"/>
    <x v="3702"/>
    <x v="1"/>
    <x v="4273"/>
    <x v="4366"/>
    <x v="150"/>
    <x v="31"/>
    <x v="23"/>
    <x v="4"/>
    <x v="312"/>
    <x v="20"/>
    <x v="737"/>
    <x v="14"/>
    <x v="8"/>
    <x v="9"/>
  </r>
  <r>
    <x v="0"/>
    <x v="2022"/>
    <x v="425"/>
    <x v="54"/>
    <x v="119"/>
    <x v="156"/>
    <x v="25"/>
    <x v="3740"/>
    <x v="200"/>
    <x v="26"/>
    <x v="542"/>
    <x v="2350"/>
    <x v="4364"/>
    <x v="4332"/>
    <x v="3703"/>
    <x v="1"/>
    <x v="4274"/>
    <x v="4367"/>
    <x v="632"/>
    <x v="0"/>
    <x v="0"/>
    <x v="4"/>
    <x v="312"/>
    <x v="25"/>
    <x v="352"/>
    <x v="13"/>
    <x v="3"/>
    <x v="694"/>
  </r>
  <r>
    <x v="0"/>
    <x v="2023"/>
    <x v="464"/>
    <x v="24"/>
    <x v="78"/>
    <x v="531"/>
    <x v="233"/>
    <x v="3741"/>
    <x v="270"/>
    <x v="1747"/>
    <x v="2617"/>
    <x v="3072"/>
    <x v="4365"/>
    <x v="4333"/>
    <x v="3704"/>
    <x v="4"/>
    <x v="4275"/>
    <x v="4368"/>
    <x v="786"/>
    <x v="40"/>
    <x v="0"/>
    <x v="4"/>
    <x v="358"/>
    <x v="7"/>
    <x v="893"/>
    <x v="38"/>
    <x v="3"/>
    <x v="714"/>
  </r>
  <r>
    <x v="0"/>
    <x v="2024"/>
    <x v="369"/>
    <x v="72"/>
    <x v="143"/>
    <x v="558"/>
    <x v="35"/>
    <x v="3742"/>
    <x v="270"/>
    <x v="321"/>
    <x v="1350"/>
    <x v="2034"/>
    <x v="4366"/>
    <x v="4334"/>
    <x v="3705"/>
    <x v="4"/>
    <x v="4276"/>
    <x v="4369"/>
    <x v="785"/>
    <x v="0"/>
    <x v="0"/>
    <x v="2"/>
    <x v="312"/>
    <x v="15"/>
    <x v="323"/>
    <x v="12"/>
    <x v="3"/>
    <x v="575"/>
  </r>
  <r>
    <x v="0"/>
    <x v="2025"/>
    <x v="392"/>
    <x v="105"/>
    <x v="78"/>
    <x v="729"/>
    <x v="559"/>
    <x v="3743"/>
    <x v="476"/>
    <x v="1296"/>
    <x v="1935"/>
    <x v="3073"/>
    <x v="4367"/>
    <x v="3117"/>
    <x v="1465"/>
    <x v="0"/>
    <x v="4277"/>
    <x v="4370"/>
    <x v="896"/>
    <x v="0"/>
    <x v="4"/>
    <x v="9"/>
    <x v="41"/>
    <x v="3"/>
    <x v="818"/>
    <x v="20"/>
    <x v="2"/>
    <x v="502"/>
  </r>
  <r>
    <x v="0"/>
    <x v="377"/>
    <x v="212"/>
    <x v="70"/>
    <x v="184"/>
    <x v="449"/>
    <x v="57"/>
    <x v="754"/>
    <x v="28"/>
    <x v="99"/>
    <x v="478"/>
    <x v="656"/>
    <x v="777"/>
    <x v="4335"/>
    <x v="3706"/>
    <x v="1"/>
    <x v="772"/>
    <x v="777"/>
    <x v="405"/>
    <x v="0"/>
    <x v="0"/>
    <x v="4"/>
    <x v="81"/>
    <x v="20"/>
    <x v="716"/>
    <x v="9"/>
    <x v="1"/>
    <x v="1"/>
  </r>
  <r>
    <x v="0"/>
    <x v="113"/>
    <x v="385"/>
    <x v="84"/>
    <x v="88"/>
    <x v="757"/>
    <x v="507"/>
    <x v="4"/>
    <x v="142"/>
    <x v="1748"/>
    <x v="2618"/>
    <x v="3074"/>
    <x v="4368"/>
    <x v="4336"/>
    <x v="1879"/>
    <x v="0"/>
    <x v="4278"/>
    <x v="4371"/>
    <x v="167"/>
    <x v="0"/>
    <x v="0"/>
    <x v="1"/>
    <x v="240"/>
    <x v="4"/>
    <x v="894"/>
    <x v="16"/>
    <x v="8"/>
    <x v="657"/>
  </r>
  <r>
    <x v="0"/>
    <x v="2026"/>
    <x v="441"/>
    <x v="24"/>
    <x v="417"/>
    <x v="298"/>
    <x v="471"/>
    <x v="4"/>
    <x v="466"/>
    <x v="1749"/>
    <x v="2619"/>
    <x v="3075"/>
    <x v="4369"/>
    <x v="4337"/>
    <x v="2095"/>
    <x v="1"/>
    <x v="4279"/>
    <x v="4372"/>
    <x v="343"/>
    <x v="0"/>
    <x v="56"/>
    <x v="0"/>
    <x v="123"/>
    <x v="11"/>
    <x v="253"/>
    <x v="50"/>
    <x v="1"/>
    <x v="1"/>
  </r>
  <r>
    <x v="0"/>
    <x v="2027"/>
    <x v="465"/>
    <x v="76"/>
    <x v="198"/>
    <x v="170"/>
    <x v="534"/>
    <x v="4"/>
    <x v="46"/>
    <x v="1750"/>
    <x v="2620"/>
    <x v="3076"/>
    <x v="4370"/>
    <x v="4338"/>
    <x v="3707"/>
    <x v="0"/>
    <x v="4280"/>
    <x v="4373"/>
    <x v="835"/>
    <x v="0"/>
    <x v="4"/>
    <x v="4"/>
    <x v="347"/>
    <x v="39"/>
    <x v="131"/>
    <x v="44"/>
    <x v="3"/>
    <x v="790"/>
  </r>
  <r>
    <x v="1"/>
    <x v="2028"/>
    <x v="311"/>
    <x v="101"/>
    <x v="198"/>
    <x v="271"/>
    <x v="35"/>
    <x v="3744"/>
    <x v="125"/>
    <x v="65"/>
    <x v="569"/>
    <x v="2732"/>
    <x v="4371"/>
    <x v="4339"/>
    <x v="3708"/>
    <x v="1"/>
    <x v="4281"/>
    <x v="4374"/>
    <x v="327"/>
    <x v="0"/>
    <x v="0"/>
    <x v="4"/>
    <x v="138"/>
    <x v="17"/>
    <x v="30"/>
    <x v="5"/>
    <x v="3"/>
    <x v="67"/>
  </r>
  <r>
    <x v="0"/>
    <x v="2029"/>
    <x v="451"/>
    <x v="55"/>
    <x v="0"/>
    <x v="183"/>
    <x v="139"/>
    <x v="3745"/>
    <x v="616"/>
    <x v="1398"/>
    <x v="2621"/>
    <x v="3077"/>
    <x v="4372"/>
    <x v="4340"/>
    <x v="3709"/>
    <x v="4"/>
    <x v="4282"/>
    <x v="4375"/>
    <x v="343"/>
    <x v="0"/>
    <x v="16"/>
    <x v="1"/>
    <x v="41"/>
    <x v="12"/>
    <x v="311"/>
    <x v="47"/>
    <x v="1"/>
    <x v="791"/>
  </r>
  <r>
    <x v="0"/>
    <x v="1823"/>
    <x v="441"/>
    <x v="87"/>
    <x v="107"/>
    <x v="654"/>
    <x v="273"/>
    <x v="4"/>
    <x v="125"/>
    <x v="1751"/>
    <x v="2622"/>
    <x v="3078"/>
    <x v="4373"/>
    <x v="4341"/>
    <x v="3710"/>
    <x v="3"/>
    <x v="4283"/>
    <x v="4376"/>
    <x v="427"/>
    <x v="0"/>
    <x v="0"/>
    <x v="4"/>
    <x v="312"/>
    <x v="5"/>
    <x v="389"/>
    <x v="59"/>
    <x v="3"/>
    <x v="1"/>
  </r>
  <r>
    <x v="0"/>
    <x v="2030"/>
    <x v="431"/>
    <x v="33"/>
    <x v="0"/>
    <x v="533"/>
    <x v="104"/>
    <x v="4"/>
    <x v="855"/>
    <x v="195"/>
    <x v="2623"/>
    <x v="3079"/>
    <x v="4374"/>
    <x v="4342"/>
    <x v="3711"/>
    <x v="1"/>
    <x v="4"/>
    <x v="4377"/>
    <x v="785"/>
    <x v="0"/>
    <x v="0"/>
    <x v="4"/>
    <x v="312"/>
    <x v="0"/>
    <x v="519"/>
    <x v="31"/>
    <x v="1"/>
    <x v="789"/>
  </r>
  <r>
    <x v="1"/>
    <x v="931"/>
    <x v="235"/>
    <x v="29"/>
    <x v="17"/>
    <x v="896"/>
    <x v="0"/>
    <x v="4"/>
    <x v="856"/>
    <x v="445"/>
    <x v="2624"/>
    <x v="3080"/>
    <x v="4375"/>
    <x v="4343"/>
    <x v="1228"/>
    <x v="4"/>
    <x v="4284"/>
    <x v="4378"/>
    <x v="355"/>
    <x v="0"/>
    <x v="0"/>
    <x v="9"/>
    <x v="359"/>
    <x v="40"/>
    <x v="674"/>
    <x v="17"/>
    <x v="15"/>
    <x v="1"/>
  </r>
  <r>
    <x v="0"/>
    <x v="601"/>
    <x v="354"/>
    <x v="101"/>
    <x v="255"/>
    <x v="79"/>
    <x v="50"/>
    <x v="3746"/>
    <x v="236"/>
    <x v="1752"/>
    <x v="2625"/>
    <x v="3081"/>
    <x v="4376"/>
    <x v="4344"/>
    <x v="2140"/>
    <x v="0"/>
    <x v="4285"/>
    <x v="4379"/>
    <x v="318"/>
    <x v="0"/>
    <x v="0"/>
    <x v="4"/>
    <x v="345"/>
    <x v="37"/>
    <x v="894"/>
    <x v="9"/>
    <x v="3"/>
    <x v="1"/>
  </r>
  <r>
    <x v="1"/>
    <x v="1703"/>
    <x v="241"/>
    <x v="59"/>
    <x v="0"/>
    <x v="372"/>
    <x v="190"/>
    <x v="4"/>
    <x v="857"/>
    <x v="1753"/>
    <x v="2626"/>
    <x v="3082"/>
    <x v="4377"/>
    <x v="4345"/>
    <x v="447"/>
    <x v="2"/>
    <x v="4286"/>
    <x v="4380"/>
    <x v="736"/>
    <x v="0"/>
    <x v="0"/>
    <x v="9"/>
    <x v="345"/>
    <x v="68"/>
    <x v="569"/>
    <x v="25"/>
    <x v="15"/>
    <x v="1"/>
  </r>
  <r>
    <x v="0"/>
    <x v="2031"/>
    <x v="379"/>
    <x v="45"/>
    <x v="198"/>
    <x v="519"/>
    <x v="543"/>
    <x v="4"/>
    <x v="577"/>
    <x v="1034"/>
    <x v="1115"/>
    <x v="3083"/>
    <x v="4378"/>
    <x v="4346"/>
    <x v="3712"/>
    <x v="0"/>
    <x v="4287"/>
    <x v="4381"/>
    <x v="244"/>
    <x v="0"/>
    <x v="0"/>
    <x v="4"/>
    <x v="345"/>
    <x v="31"/>
    <x v="294"/>
    <x v="34"/>
    <x v="3"/>
    <x v="1"/>
  </r>
  <r>
    <x v="0"/>
    <x v="1826"/>
    <x v="441"/>
    <x v="110"/>
    <x v="193"/>
    <x v="136"/>
    <x v="35"/>
    <x v="3747"/>
    <x v="419"/>
    <x v="1251"/>
    <x v="2627"/>
    <x v="3084"/>
    <x v="4379"/>
    <x v="4347"/>
    <x v="3713"/>
    <x v="1"/>
    <x v="4"/>
    <x v="4382"/>
    <x v="744"/>
    <x v="0"/>
    <x v="0"/>
    <x v="4"/>
    <x v="360"/>
    <x v="3"/>
    <x v="396"/>
    <x v="20"/>
    <x v="1"/>
    <x v="1"/>
  </r>
  <r>
    <x v="0"/>
    <x v="2032"/>
    <x v="478"/>
    <x v="101"/>
    <x v="31"/>
    <x v="139"/>
    <x v="275"/>
    <x v="4"/>
    <x v="629"/>
    <x v="1754"/>
    <x v="90"/>
    <x v="2414"/>
    <x v="4380"/>
    <x v="4348"/>
    <x v="2630"/>
    <x v="0"/>
    <x v="4288"/>
    <x v="4383"/>
    <x v="416"/>
    <x v="0"/>
    <x v="0"/>
    <x v="2"/>
    <x v="159"/>
    <x v="10"/>
    <x v="65"/>
    <x v="42"/>
    <x v="0"/>
    <x v="740"/>
  </r>
  <r>
    <x v="0"/>
    <x v="2033"/>
    <x v="336"/>
    <x v="80"/>
    <x v="224"/>
    <x v="358"/>
    <x v="420"/>
    <x v="4"/>
    <x v="858"/>
    <x v="764"/>
    <x v="2628"/>
    <x v="3085"/>
    <x v="4381"/>
    <x v="4349"/>
    <x v="490"/>
    <x v="0"/>
    <x v="4289"/>
    <x v="4384"/>
    <x v="392"/>
    <x v="0"/>
    <x v="0"/>
    <x v="11"/>
    <x v="345"/>
    <x v="62"/>
    <x v="534"/>
    <x v="1"/>
    <x v="15"/>
    <x v="103"/>
  </r>
  <r>
    <x v="1"/>
    <x v="1779"/>
    <x v="336"/>
    <x v="34"/>
    <x v="401"/>
    <x v="709"/>
    <x v="544"/>
    <x v="4"/>
    <x v="463"/>
    <x v="1538"/>
    <x v="2629"/>
    <x v="3086"/>
    <x v="4382"/>
    <x v="4350"/>
    <x v="2951"/>
    <x v="7"/>
    <x v="4290"/>
    <x v="4385"/>
    <x v="390"/>
    <x v="0"/>
    <x v="0"/>
    <x v="11"/>
    <x v="345"/>
    <x v="82"/>
    <x v="813"/>
    <x v="6"/>
    <x v="15"/>
    <x v="1"/>
  </r>
  <r>
    <x v="0"/>
    <x v="113"/>
    <x v="307"/>
    <x v="183"/>
    <x v="88"/>
    <x v="14"/>
    <x v="408"/>
    <x v="4"/>
    <x v="270"/>
    <x v="750"/>
    <x v="2630"/>
    <x v="1783"/>
    <x v="4383"/>
    <x v="4351"/>
    <x v="3714"/>
    <x v="0"/>
    <x v="4291"/>
    <x v="4386"/>
    <x v="789"/>
    <x v="0"/>
    <x v="0"/>
    <x v="7"/>
    <x v="4"/>
    <x v="4"/>
    <x v="202"/>
    <x v="11"/>
    <x v="2"/>
    <x v="792"/>
  </r>
  <r>
    <x v="0"/>
    <x v="437"/>
    <x v="303"/>
    <x v="32"/>
    <x v="0"/>
    <x v="2"/>
    <x v="22"/>
    <x v="4"/>
    <x v="714"/>
    <x v="299"/>
    <x v="2631"/>
    <x v="3087"/>
    <x v="4384"/>
    <x v="4352"/>
    <x v="3715"/>
    <x v="0"/>
    <x v="4292"/>
    <x v="4387"/>
    <x v="561"/>
    <x v="0"/>
    <x v="0"/>
    <x v="1"/>
    <x v="361"/>
    <x v="11"/>
    <x v="116"/>
    <x v="54"/>
    <x v="1"/>
    <x v="314"/>
  </r>
  <r>
    <x v="0"/>
    <x v="151"/>
    <x v="459"/>
    <x v="7"/>
    <x v="0"/>
    <x v="809"/>
    <x v="503"/>
    <x v="3748"/>
    <x v="270"/>
    <x v="937"/>
    <x v="2632"/>
    <x v="3088"/>
    <x v="4385"/>
    <x v="4353"/>
    <x v="3716"/>
    <x v="4"/>
    <x v="4293"/>
    <x v="4388"/>
    <x v="581"/>
    <x v="0"/>
    <x v="0"/>
    <x v="4"/>
    <x v="340"/>
    <x v="30"/>
    <x v="430"/>
    <x v="13"/>
    <x v="3"/>
    <x v="43"/>
  </r>
  <r>
    <x v="0"/>
    <x v="33"/>
    <x v="133"/>
    <x v="33"/>
    <x v="0"/>
    <x v="512"/>
    <x v="35"/>
    <x v="3749"/>
    <x v="236"/>
    <x v="234"/>
    <x v="347"/>
    <x v="2539"/>
    <x v="4386"/>
    <x v="4354"/>
    <x v="3717"/>
    <x v="0"/>
    <x v="4294"/>
    <x v="4389"/>
    <x v="943"/>
    <x v="0"/>
    <x v="0"/>
    <x v="4"/>
    <x v="340"/>
    <x v="14"/>
    <x v="232"/>
    <x v="16"/>
    <x v="3"/>
    <x v="1"/>
  </r>
  <r>
    <x v="0"/>
    <x v="426"/>
    <x v="388"/>
    <x v="7"/>
    <x v="232"/>
    <x v="123"/>
    <x v="538"/>
    <x v="3750"/>
    <x v="656"/>
    <x v="1755"/>
    <x v="889"/>
    <x v="1807"/>
    <x v="4387"/>
    <x v="4355"/>
    <x v="3718"/>
    <x v="0"/>
    <x v="4295"/>
    <x v="4390"/>
    <x v="936"/>
    <x v="0"/>
    <x v="0"/>
    <x v="4"/>
    <x v="340"/>
    <x v="18"/>
    <x v="199"/>
    <x v="1"/>
    <x v="3"/>
    <x v="1"/>
  </r>
  <r>
    <x v="0"/>
    <x v="2034"/>
    <x v="451"/>
    <x v="77"/>
    <x v="198"/>
    <x v="190"/>
    <x v="11"/>
    <x v="4"/>
    <x v="137"/>
    <x v="1756"/>
    <x v="549"/>
    <x v="3089"/>
    <x v="4388"/>
    <x v="4356"/>
    <x v="3719"/>
    <x v="5"/>
    <x v="4296"/>
    <x v="4391"/>
    <x v="326"/>
    <x v="0"/>
    <x v="0"/>
    <x v="1"/>
    <x v="312"/>
    <x v="11"/>
    <x v="357"/>
    <x v="32"/>
    <x v="3"/>
    <x v="793"/>
  </r>
  <r>
    <x v="0"/>
    <x v="2035"/>
    <x v="401"/>
    <x v="71"/>
    <x v="0"/>
    <x v="708"/>
    <x v="685"/>
    <x v="3751"/>
    <x v="200"/>
    <x v="1757"/>
    <x v="2633"/>
    <x v="3090"/>
    <x v="4389"/>
    <x v="4357"/>
    <x v="683"/>
    <x v="0"/>
    <x v="4297"/>
    <x v="4392"/>
    <x v="188"/>
    <x v="6"/>
    <x v="12"/>
    <x v="1"/>
    <x v="312"/>
    <x v="9"/>
    <x v="893"/>
    <x v="15"/>
    <x v="2"/>
    <x v="622"/>
  </r>
  <r>
    <x v="0"/>
    <x v="245"/>
    <x v="109"/>
    <x v="27"/>
    <x v="165"/>
    <x v="304"/>
    <x v="11"/>
    <x v="449"/>
    <x v="211"/>
    <x v="63"/>
    <x v="352"/>
    <x v="401"/>
    <x v="462"/>
    <x v="4358"/>
    <x v="456"/>
    <x v="0"/>
    <x v="458"/>
    <x v="462"/>
    <x v="100"/>
    <x v="0"/>
    <x v="0"/>
    <x v="0"/>
    <x v="67"/>
    <x v="8"/>
    <x v="9"/>
    <x v="34"/>
    <x v="1"/>
    <x v="1"/>
  </r>
  <r>
    <x v="0"/>
    <x v="872"/>
    <x v="312"/>
    <x v="37"/>
    <x v="317"/>
    <x v="413"/>
    <x v="617"/>
    <x v="3752"/>
    <x v="105"/>
    <x v="1216"/>
    <x v="2634"/>
    <x v="1539"/>
    <x v="4390"/>
    <x v="4359"/>
    <x v="1249"/>
    <x v="0"/>
    <x v="4298"/>
    <x v="4393"/>
    <x v="178"/>
    <x v="8"/>
    <x v="16"/>
    <x v="4"/>
    <x v="222"/>
    <x v="18"/>
    <x v="821"/>
    <x v="38"/>
    <x v="3"/>
    <x v="1"/>
  </r>
  <r>
    <x v="0"/>
    <x v="1185"/>
    <x v="270"/>
    <x v="70"/>
    <x v="59"/>
    <x v="256"/>
    <x v="35"/>
    <x v="3753"/>
    <x v="270"/>
    <x v="91"/>
    <x v="1923"/>
    <x v="330"/>
    <x v="4391"/>
    <x v="4360"/>
    <x v="3720"/>
    <x v="0"/>
    <x v="4299"/>
    <x v="4394"/>
    <x v="444"/>
    <x v="0"/>
    <x v="0"/>
    <x v="4"/>
    <x v="340"/>
    <x v="21"/>
    <x v="162"/>
    <x v="16"/>
    <x v="3"/>
    <x v="794"/>
  </r>
  <r>
    <x v="0"/>
    <x v="931"/>
    <x v="345"/>
    <x v="77"/>
    <x v="17"/>
    <x v="336"/>
    <x v="789"/>
    <x v="4"/>
    <x v="679"/>
    <x v="1758"/>
    <x v="2635"/>
    <x v="3091"/>
    <x v="4392"/>
    <x v="4361"/>
    <x v="1782"/>
    <x v="0"/>
    <x v="4300"/>
    <x v="4395"/>
    <x v="549"/>
    <x v="0"/>
    <x v="0"/>
    <x v="11"/>
    <x v="340"/>
    <x v="83"/>
    <x v="579"/>
    <x v="13"/>
    <x v="11"/>
    <x v="1"/>
  </r>
  <r>
    <x v="0"/>
    <x v="524"/>
    <x v="242"/>
    <x v="47"/>
    <x v="249"/>
    <x v="1"/>
    <x v="57"/>
    <x v="1711"/>
    <x v="171"/>
    <x v="99"/>
    <x v="65"/>
    <x v="1368"/>
    <x v="1795"/>
    <x v="4362"/>
    <x v="1719"/>
    <x v="3"/>
    <x v="1784"/>
    <x v="1795"/>
    <x v="573"/>
    <x v="0"/>
    <x v="8"/>
    <x v="4"/>
    <x v="146"/>
    <x v="7"/>
    <x v="6"/>
    <x v="6"/>
    <x v="1"/>
    <x v="7"/>
  </r>
  <r>
    <x v="0"/>
    <x v="2036"/>
    <x v="414"/>
    <x v="79"/>
    <x v="159"/>
    <x v="797"/>
    <x v="0"/>
    <x v="3754"/>
    <x v="200"/>
    <x v="450"/>
    <x v="1156"/>
    <x v="1809"/>
    <x v="4393"/>
    <x v="1297"/>
    <x v="3721"/>
    <x v="1"/>
    <x v="4301"/>
    <x v="4396"/>
    <x v="139"/>
    <x v="0"/>
    <x v="0"/>
    <x v="4"/>
    <x v="340"/>
    <x v="15"/>
    <x v="30"/>
    <x v="4"/>
    <x v="3"/>
    <x v="1"/>
  </r>
  <r>
    <x v="0"/>
    <x v="2037"/>
    <x v="81"/>
    <x v="18"/>
    <x v="195"/>
    <x v="888"/>
    <x v="44"/>
    <x v="3755"/>
    <x v="291"/>
    <x v="68"/>
    <x v="1890"/>
    <x v="3092"/>
    <x v="4394"/>
    <x v="4363"/>
    <x v="3722"/>
    <x v="4"/>
    <x v="4302"/>
    <x v="4397"/>
    <x v="646"/>
    <x v="0"/>
    <x v="0"/>
    <x v="0"/>
    <x v="340"/>
    <x v="9"/>
    <x v="45"/>
    <x v="19"/>
    <x v="1"/>
    <x v="1"/>
  </r>
  <r>
    <x v="0"/>
    <x v="169"/>
    <x v="247"/>
    <x v="77"/>
    <x v="121"/>
    <x v="470"/>
    <x v="17"/>
    <x v="3756"/>
    <x v="168"/>
    <x v="397"/>
    <x v="127"/>
    <x v="693"/>
    <x v="4395"/>
    <x v="4364"/>
    <x v="3723"/>
    <x v="0"/>
    <x v="4303"/>
    <x v="4398"/>
    <x v="944"/>
    <x v="0"/>
    <x v="0"/>
    <x v="4"/>
    <x v="340"/>
    <x v="29"/>
    <x v="47"/>
    <x v="26"/>
    <x v="1"/>
    <x v="64"/>
  </r>
  <r>
    <x v="1"/>
    <x v="1680"/>
    <x v="478"/>
    <x v="105"/>
    <x v="134"/>
    <x v="636"/>
    <x v="537"/>
    <x v="4"/>
    <x v="402"/>
    <x v="1759"/>
    <x v="2636"/>
    <x v="3093"/>
    <x v="4396"/>
    <x v="4365"/>
    <x v="3724"/>
    <x v="1"/>
    <x v="4304"/>
    <x v="4399"/>
    <x v="719"/>
    <x v="0"/>
    <x v="0"/>
    <x v="11"/>
    <x v="4"/>
    <x v="40"/>
    <x v="397"/>
    <x v="12"/>
    <x v="15"/>
    <x v="415"/>
  </r>
  <r>
    <x v="0"/>
    <x v="737"/>
    <x v="198"/>
    <x v="30"/>
    <x v="0"/>
    <x v="670"/>
    <x v="17"/>
    <x v="3757"/>
    <x v="713"/>
    <x v="303"/>
    <x v="2637"/>
    <x v="3094"/>
    <x v="4397"/>
    <x v="4366"/>
    <x v="3725"/>
    <x v="3"/>
    <x v="4305"/>
    <x v="4400"/>
    <x v="945"/>
    <x v="17"/>
    <x v="20"/>
    <x v="11"/>
    <x v="340"/>
    <x v="71"/>
    <x v="840"/>
    <x v="49"/>
    <x v="1"/>
    <x v="35"/>
  </r>
  <r>
    <x v="0"/>
    <x v="2038"/>
    <x v="387"/>
    <x v="52"/>
    <x v="134"/>
    <x v="597"/>
    <x v="295"/>
    <x v="3758"/>
    <x v="200"/>
    <x v="1760"/>
    <x v="2638"/>
    <x v="3095"/>
    <x v="4398"/>
    <x v="4367"/>
    <x v="3726"/>
    <x v="1"/>
    <x v="4306"/>
    <x v="4401"/>
    <x v="721"/>
    <x v="30"/>
    <x v="49"/>
    <x v="4"/>
    <x v="213"/>
    <x v="2"/>
    <x v="557"/>
    <x v="0"/>
    <x v="1"/>
    <x v="1"/>
  </r>
  <r>
    <x v="0"/>
    <x v="2039"/>
    <x v="428"/>
    <x v="26"/>
    <x v="125"/>
    <x v="812"/>
    <x v="0"/>
    <x v="3759"/>
    <x v="200"/>
    <x v="1761"/>
    <x v="2639"/>
    <x v="3096"/>
    <x v="4399"/>
    <x v="4368"/>
    <x v="1692"/>
    <x v="0"/>
    <x v="4307"/>
    <x v="4402"/>
    <x v="258"/>
    <x v="0"/>
    <x v="0"/>
    <x v="0"/>
    <x v="340"/>
    <x v="3"/>
    <x v="337"/>
    <x v="19"/>
    <x v="3"/>
    <x v="1"/>
  </r>
  <r>
    <x v="0"/>
    <x v="2040"/>
    <x v="329"/>
    <x v="76"/>
    <x v="0"/>
    <x v="708"/>
    <x v="37"/>
    <x v="3760"/>
    <x v="430"/>
    <x v="1762"/>
    <x v="2640"/>
    <x v="3097"/>
    <x v="4400"/>
    <x v="4097"/>
    <x v="1158"/>
    <x v="0"/>
    <x v="4308"/>
    <x v="4403"/>
    <x v="854"/>
    <x v="0"/>
    <x v="0"/>
    <x v="4"/>
    <x v="340"/>
    <x v="18"/>
    <x v="462"/>
    <x v="9"/>
    <x v="0"/>
    <x v="795"/>
  </r>
  <r>
    <x v="0"/>
    <x v="1297"/>
    <x v="430"/>
    <x v="55"/>
    <x v="198"/>
    <x v="4"/>
    <x v="790"/>
    <x v="3761"/>
    <x v="4"/>
    <x v="1763"/>
    <x v="217"/>
    <x v="4"/>
    <x v="4401"/>
    <x v="4369"/>
    <x v="2095"/>
    <x v="0"/>
    <x v="4309"/>
    <x v="4404"/>
    <x v="896"/>
    <x v="0"/>
    <x v="4"/>
    <x v="9"/>
    <x v="340"/>
    <x v="10"/>
    <x v="147"/>
    <x v="38"/>
    <x v="2"/>
    <x v="9"/>
  </r>
  <r>
    <x v="0"/>
    <x v="2041"/>
    <x v="479"/>
    <x v="79"/>
    <x v="0"/>
    <x v="330"/>
    <x v="49"/>
    <x v="3762"/>
    <x v="771"/>
    <x v="86"/>
    <x v="79"/>
    <x v="444"/>
    <x v="4402"/>
    <x v="4370"/>
    <x v="3727"/>
    <x v="10"/>
    <x v="4310"/>
    <x v="4405"/>
    <x v="188"/>
    <x v="0"/>
    <x v="0"/>
    <x v="1"/>
    <x v="340"/>
    <x v="1"/>
    <x v="58"/>
    <x v="5"/>
    <x v="2"/>
    <x v="796"/>
  </r>
  <r>
    <x v="0"/>
    <x v="2042"/>
    <x v="435"/>
    <x v="33"/>
    <x v="0"/>
    <x v="670"/>
    <x v="791"/>
    <x v="4"/>
    <x v="270"/>
    <x v="1764"/>
    <x v="2641"/>
    <x v="3098"/>
    <x v="4403"/>
    <x v="4371"/>
    <x v="2411"/>
    <x v="1"/>
    <x v="4311"/>
    <x v="4406"/>
    <x v="655"/>
    <x v="3"/>
    <x v="10"/>
    <x v="1"/>
    <x v="41"/>
    <x v="10"/>
    <x v="438"/>
    <x v="23"/>
    <x v="0"/>
    <x v="244"/>
  </r>
  <r>
    <x v="0"/>
    <x v="2043"/>
    <x v="93"/>
    <x v="47"/>
    <x v="0"/>
    <x v="298"/>
    <x v="341"/>
    <x v="3763"/>
    <x v="200"/>
    <x v="1765"/>
    <x v="2642"/>
    <x v="3099"/>
    <x v="4404"/>
    <x v="4372"/>
    <x v="272"/>
    <x v="3"/>
    <x v="4"/>
    <x v="4407"/>
    <x v="326"/>
    <x v="6"/>
    <x v="0"/>
    <x v="1"/>
    <x v="340"/>
    <x v="9"/>
    <x v="556"/>
    <x v="13"/>
    <x v="2"/>
    <x v="607"/>
  </r>
  <r>
    <x v="0"/>
    <x v="2044"/>
    <x v="359"/>
    <x v="76"/>
    <x v="198"/>
    <x v="220"/>
    <x v="72"/>
    <x v="4"/>
    <x v="371"/>
    <x v="612"/>
    <x v="1058"/>
    <x v="3100"/>
    <x v="4405"/>
    <x v="4373"/>
    <x v="3728"/>
    <x v="1"/>
    <x v="4312"/>
    <x v="4408"/>
    <x v="785"/>
    <x v="0"/>
    <x v="0"/>
    <x v="0"/>
    <x v="4"/>
    <x v="17"/>
    <x v="523"/>
    <x v="9"/>
    <x v="3"/>
    <x v="736"/>
  </r>
  <r>
    <x v="0"/>
    <x v="2045"/>
    <x v="369"/>
    <x v="93"/>
    <x v="0"/>
    <x v="217"/>
    <x v="278"/>
    <x v="4"/>
    <x v="125"/>
    <x v="1766"/>
    <x v="2643"/>
    <x v="447"/>
    <x v="4406"/>
    <x v="4374"/>
    <x v="3729"/>
    <x v="5"/>
    <x v="4313"/>
    <x v="4409"/>
    <x v="816"/>
    <x v="0"/>
    <x v="0"/>
    <x v="4"/>
    <x v="4"/>
    <x v="8"/>
    <x v="669"/>
    <x v="45"/>
    <x v="3"/>
    <x v="365"/>
  </r>
  <r>
    <x v="1"/>
    <x v="1616"/>
    <x v="431"/>
    <x v="7"/>
    <x v="387"/>
    <x v="393"/>
    <x v="437"/>
    <x v="4"/>
    <x v="859"/>
    <x v="1767"/>
    <x v="1525"/>
    <x v="3101"/>
    <x v="4407"/>
    <x v="4375"/>
    <x v="3730"/>
    <x v="3"/>
    <x v="4314"/>
    <x v="4410"/>
    <x v="802"/>
    <x v="0"/>
    <x v="0"/>
    <x v="11"/>
    <x v="340"/>
    <x v="81"/>
    <x v="81"/>
    <x v="1"/>
    <x v="15"/>
    <x v="309"/>
  </r>
  <r>
    <x v="0"/>
    <x v="2046"/>
    <x v="465"/>
    <x v="77"/>
    <x v="0"/>
    <x v="531"/>
    <x v="444"/>
    <x v="4"/>
    <x v="582"/>
    <x v="1369"/>
    <x v="2644"/>
    <x v="3102"/>
    <x v="4408"/>
    <x v="4376"/>
    <x v="3543"/>
    <x v="4"/>
    <x v="4"/>
    <x v="4411"/>
    <x v="744"/>
    <x v="0"/>
    <x v="4"/>
    <x v="4"/>
    <x v="340"/>
    <x v="10"/>
    <x v="685"/>
    <x v="33"/>
    <x v="2"/>
    <x v="227"/>
  </r>
  <r>
    <x v="0"/>
    <x v="2047"/>
    <x v="417"/>
    <x v="95"/>
    <x v="0"/>
    <x v="649"/>
    <x v="565"/>
    <x v="4"/>
    <x v="860"/>
    <x v="1768"/>
    <x v="2645"/>
    <x v="3103"/>
    <x v="4409"/>
    <x v="4377"/>
    <x v="3731"/>
    <x v="0"/>
    <x v="4315"/>
    <x v="4412"/>
    <x v="794"/>
    <x v="0"/>
    <x v="4"/>
    <x v="4"/>
    <x v="340"/>
    <x v="3"/>
    <x v="448"/>
    <x v="45"/>
    <x v="2"/>
    <x v="432"/>
  </r>
  <r>
    <x v="0"/>
    <x v="318"/>
    <x v="435"/>
    <x v="43"/>
    <x v="47"/>
    <x v="240"/>
    <x v="114"/>
    <x v="3764"/>
    <x v="861"/>
    <x v="1663"/>
    <x v="715"/>
    <x v="3104"/>
    <x v="4410"/>
    <x v="4378"/>
    <x v="3366"/>
    <x v="0"/>
    <x v="4316"/>
    <x v="4413"/>
    <x v="640"/>
    <x v="0"/>
    <x v="0"/>
    <x v="2"/>
    <x v="142"/>
    <x v="27"/>
    <x v="360"/>
    <x v="5"/>
    <x v="3"/>
    <x v="1"/>
  </r>
  <r>
    <x v="0"/>
    <x v="2048"/>
    <x v="421"/>
    <x v="55"/>
    <x v="6"/>
    <x v="267"/>
    <x v="754"/>
    <x v="4"/>
    <x v="170"/>
    <x v="1769"/>
    <x v="2646"/>
    <x v="3105"/>
    <x v="4411"/>
    <x v="4379"/>
    <x v="3732"/>
    <x v="1"/>
    <x v="4317"/>
    <x v="4414"/>
    <x v="788"/>
    <x v="0"/>
    <x v="0"/>
    <x v="4"/>
    <x v="340"/>
    <x v="48"/>
    <x v="655"/>
    <x v="4"/>
    <x v="3"/>
    <x v="797"/>
  </r>
  <r>
    <x v="0"/>
    <x v="2049"/>
    <x v="435"/>
    <x v="95"/>
    <x v="216"/>
    <x v="415"/>
    <x v="14"/>
    <x v="4"/>
    <x v="429"/>
    <x v="859"/>
    <x v="2647"/>
    <x v="3106"/>
    <x v="4412"/>
    <x v="4380"/>
    <x v="3733"/>
    <x v="0"/>
    <x v="4262"/>
    <x v="4415"/>
    <x v="791"/>
    <x v="0"/>
    <x v="0"/>
    <x v="4"/>
    <x v="340"/>
    <x v="2"/>
    <x v="191"/>
    <x v="51"/>
    <x v="2"/>
    <x v="634"/>
  </r>
  <r>
    <x v="0"/>
    <x v="2050"/>
    <x v="478"/>
    <x v="7"/>
    <x v="0"/>
    <x v="897"/>
    <x v="792"/>
    <x v="4"/>
    <x v="429"/>
    <x v="1770"/>
    <x v="2648"/>
    <x v="3107"/>
    <x v="4413"/>
    <x v="4381"/>
    <x v="3734"/>
    <x v="1"/>
    <x v="4318"/>
    <x v="4416"/>
    <x v="188"/>
    <x v="0"/>
    <x v="0"/>
    <x v="1"/>
    <x v="340"/>
    <x v="2"/>
    <x v="781"/>
    <x v="39"/>
    <x v="2"/>
    <x v="531"/>
  </r>
  <r>
    <x v="0"/>
    <x v="2051"/>
    <x v="74"/>
    <x v="50"/>
    <x v="85"/>
    <x v="840"/>
    <x v="17"/>
    <x v="3765"/>
    <x v="125"/>
    <x v="32"/>
    <x v="2649"/>
    <x v="2196"/>
    <x v="4414"/>
    <x v="4382"/>
    <x v="3735"/>
    <x v="3"/>
    <x v="4319"/>
    <x v="4417"/>
    <x v="651"/>
    <x v="0"/>
    <x v="0"/>
    <x v="4"/>
    <x v="119"/>
    <x v="12"/>
    <x v="30"/>
    <x v="2"/>
    <x v="3"/>
    <x v="1"/>
  </r>
  <r>
    <x v="1"/>
    <x v="1594"/>
    <x v="414"/>
    <x v="78"/>
    <x v="384"/>
    <x v="453"/>
    <x v="109"/>
    <x v="3766"/>
    <x v="168"/>
    <x v="205"/>
    <x v="2650"/>
    <x v="3108"/>
    <x v="4415"/>
    <x v="4383"/>
    <x v="3736"/>
    <x v="0"/>
    <x v="4320"/>
    <x v="4418"/>
    <x v="488"/>
    <x v="0"/>
    <x v="1"/>
    <x v="1"/>
    <x v="362"/>
    <x v="14"/>
    <x v="895"/>
    <x v="16"/>
    <x v="3"/>
    <x v="1"/>
  </r>
  <r>
    <x v="0"/>
    <x v="113"/>
    <x v="412"/>
    <x v="4"/>
    <x v="88"/>
    <x v="445"/>
    <x v="793"/>
    <x v="4"/>
    <x v="327"/>
    <x v="1771"/>
    <x v="2651"/>
    <x v="3109"/>
    <x v="4416"/>
    <x v="4384"/>
    <x v="3737"/>
    <x v="0"/>
    <x v="4321"/>
    <x v="4419"/>
    <x v="843"/>
    <x v="0"/>
    <x v="5"/>
    <x v="1"/>
    <x v="4"/>
    <x v="4"/>
    <x v="555"/>
    <x v="1"/>
    <x v="4"/>
    <x v="798"/>
  </r>
  <r>
    <x v="0"/>
    <x v="2052"/>
    <x v="394"/>
    <x v="80"/>
    <x v="238"/>
    <x v="826"/>
    <x v="373"/>
    <x v="3767"/>
    <x v="826"/>
    <x v="1772"/>
    <x v="2071"/>
    <x v="3110"/>
    <x v="4417"/>
    <x v="4385"/>
    <x v="3738"/>
    <x v="0"/>
    <x v="4322"/>
    <x v="4420"/>
    <x v="820"/>
    <x v="0"/>
    <x v="0"/>
    <x v="4"/>
    <x v="352"/>
    <x v="42"/>
    <x v="491"/>
    <x v="18"/>
    <x v="3"/>
    <x v="421"/>
  </r>
  <r>
    <x v="0"/>
    <x v="2053"/>
    <x v="329"/>
    <x v="72"/>
    <x v="0"/>
    <x v="4"/>
    <x v="790"/>
    <x v="3768"/>
    <x v="226"/>
    <x v="1763"/>
    <x v="217"/>
    <x v="4"/>
    <x v="4418"/>
    <x v="4386"/>
    <x v="2095"/>
    <x v="0"/>
    <x v="4323"/>
    <x v="4421"/>
    <x v="824"/>
    <x v="0"/>
    <x v="0"/>
    <x v="1"/>
    <x v="4"/>
    <x v="19"/>
    <x v="147"/>
    <x v="55"/>
    <x v="8"/>
    <x v="799"/>
  </r>
  <r>
    <x v="1"/>
    <x v="2054"/>
    <x v="459"/>
    <x v="115"/>
    <x v="179"/>
    <x v="708"/>
    <x v="794"/>
    <x v="3769"/>
    <x v="862"/>
    <x v="1773"/>
    <x v="2652"/>
    <x v="3111"/>
    <x v="4419"/>
    <x v="3854"/>
    <x v="3739"/>
    <x v="1"/>
    <x v="4324"/>
    <x v="4422"/>
    <x v="646"/>
    <x v="0"/>
    <x v="4"/>
    <x v="1"/>
    <x v="351"/>
    <x v="19"/>
    <x v="231"/>
    <x v="15"/>
    <x v="3"/>
    <x v="692"/>
  </r>
  <r>
    <x v="0"/>
    <x v="2055"/>
    <x v="451"/>
    <x v="38"/>
    <x v="69"/>
    <x v="401"/>
    <x v="564"/>
    <x v="4"/>
    <x v="270"/>
    <x v="1774"/>
    <x v="2653"/>
    <x v="3112"/>
    <x v="4420"/>
    <x v="3573"/>
    <x v="3740"/>
    <x v="4"/>
    <x v="4325"/>
    <x v="4423"/>
    <x v="225"/>
    <x v="36"/>
    <x v="26"/>
    <x v="2"/>
    <x v="70"/>
    <x v="7"/>
    <x v="248"/>
    <x v="8"/>
    <x v="3"/>
    <x v="1"/>
  </r>
  <r>
    <x v="0"/>
    <x v="2056"/>
    <x v="241"/>
    <x v="47"/>
    <x v="188"/>
    <x v="358"/>
    <x v="651"/>
    <x v="3770"/>
    <x v="232"/>
    <x v="1775"/>
    <x v="2654"/>
    <x v="3113"/>
    <x v="4421"/>
    <x v="4387"/>
    <x v="3741"/>
    <x v="1"/>
    <x v="4326"/>
    <x v="4424"/>
    <x v="517"/>
    <x v="0"/>
    <x v="4"/>
    <x v="4"/>
    <x v="352"/>
    <x v="5"/>
    <x v="635"/>
    <x v="9"/>
    <x v="1"/>
    <x v="1"/>
  </r>
  <r>
    <x v="0"/>
    <x v="2057"/>
    <x v="527"/>
    <x v="58"/>
    <x v="275"/>
    <x v="57"/>
    <x v="0"/>
    <x v="3771"/>
    <x v="23"/>
    <x v="1776"/>
    <x v="2655"/>
    <x v="3114"/>
    <x v="4422"/>
    <x v="4388"/>
    <x v="2680"/>
    <x v="0"/>
    <x v="4327"/>
    <x v="4425"/>
    <x v="271"/>
    <x v="41"/>
    <x v="57"/>
    <x v="4"/>
    <x v="352"/>
    <x v="10"/>
    <x v="429"/>
    <x v="32"/>
    <x v="3"/>
    <x v="69"/>
  </r>
  <r>
    <x v="0"/>
    <x v="2058"/>
    <x v="479"/>
    <x v="71"/>
    <x v="9"/>
    <x v="564"/>
    <x v="0"/>
    <x v="4"/>
    <x v="310"/>
    <x v="1574"/>
    <x v="1829"/>
    <x v="3115"/>
    <x v="4423"/>
    <x v="4389"/>
    <x v="3482"/>
    <x v="1"/>
    <x v="4328"/>
    <x v="4426"/>
    <x v="83"/>
    <x v="0"/>
    <x v="0"/>
    <x v="4"/>
    <x v="352"/>
    <x v="5"/>
    <x v="77"/>
    <x v="56"/>
    <x v="3"/>
    <x v="409"/>
  </r>
  <r>
    <x v="0"/>
    <x v="2059"/>
    <x v="435"/>
    <x v="93"/>
    <x v="0"/>
    <x v="298"/>
    <x v="795"/>
    <x v="4"/>
    <x v="429"/>
    <x v="1777"/>
    <x v="2656"/>
    <x v="3116"/>
    <x v="4424"/>
    <x v="4390"/>
    <x v="3742"/>
    <x v="0"/>
    <x v="4"/>
    <x v="4427"/>
    <x v="896"/>
    <x v="0"/>
    <x v="20"/>
    <x v="4"/>
    <x v="352"/>
    <x v="9"/>
    <x v="253"/>
    <x v="77"/>
    <x v="1"/>
    <x v="367"/>
  </r>
  <r>
    <x v="0"/>
    <x v="1616"/>
    <x v="354"/>
    <x v="87"/>
    <x v="387"/>
    <x v="308"/>
    <x v="35"/>
    <x v="4"/>
    <x v="387"/>
    <x v="1699"/>
    <x v="2657"/>
    <x v="3117"/>
    <x v="4425"/>
    <x v="4391"/>
    <x v="3743"/>
    <x v="2"/>
    <x v="4329"/>
    <x v="4428"/>
    <x v="946"/>
    <x v="0"/>
    <x v="0"/>
    <x v="2"/>
    <x v="363"/>
    <x v="84"/>
    <x v="79"/>
    <x v="35"/>
    <x v="15"/>
    <x v="33"/>
  </r>
  <r>
    <x v="0"/>
    <x v="2060"/>
    <x v="299"/>
    <x v="71"/>
    <x v="0"/>
    <x v="531"/>
    <x v="795"/>
    <x v="4"/>
    <x v="416"/>
    <x v="1778"/>
    <x v="2658"/>
    <x v="3118"/>
    <x v="4426"/>
    <x v="4392"/>
    <x v="2833"/>
    <x v="0"/>
    <x v="4330"/>
    <x v="4429"/>
    <x v="432"/>
    <x v="0"/>
    <x v="5"/>
    <x v="4"/>
    <x v="123"/>
    <x v="8"/>
    <x v="624"/>
    <x v="9"/>
    <x v="3"/>
    <x v="1"/>
  </r>
  <r>
    <x v="0"/>
    <x v="2061"/>
    <x v="369"/>
    <x v="13"/>
    <x v="85"/>
    <x v="280"/>
    <x v="288"/>
    <x v="4"/>
    <x v="200"/>
    <x v="1274"/>
    <x v="2659"/>
    <x v="3119"/>
    <x v="4427"/>
    <x v="4393"/>
    <x v="3744"/>
    <x v="1"/>
    <x v="4331"/>
    <x v="4430"/>
    <x v="816"/>
    <x v="8"/>
    <x v="16"/>
    <x v="1"/>
    <x v="4"/>
    <x v="0"/>
    <x v="554"/>
    <x v="7"/>
    <x v="2"/>
    <x v="196"/>
  </r>
  <r>
    <x v="0"/>
    <x v="2062"/>
    <x v="314"/>
    <x v="71"/>
    <x v="282"/>
    <x v="736"/>
    <x v="156"/>
    <x v="4"/>
    <x v="142"/>
    <x v="1008"/>
    <x v="2660"/>
    <x v="3120"/>
    <x v="4428"/>
    <x v="4394"/>
    <x v="3745"/>
    <x v="1"/>
    <x v="4332"/>
    <x v="4431"/>
    <x v="614"/>
    <x v="0"/>
    <x v="0"/>
    <x v="16"/>
    <x v="138"/>
    <x v="36"/>
    <x v="423"/>
    <x v="10"/>
    <x v="3"/>
    <x v="1"/>
  </r>
  <r>
    <x v="0"/>
    <x v="543"/>
    <x v="142"/>
    <x v="97"/>
    <x v="8"/>
    <x v="20"/>
    <x v="57"/>
    <x v="3772"/>
    <x v="291"/>
    <x v="237"/>
    <x v="2661"/>
    <x v="1750"/>
    <x v="4429"/>
    <x v="4395"/>
    <x v="3746"/>
    <x v="0"/>
    <x v="4333"/>
    <x v="4432"/>
    <x v="947"/>
    <x v="0"/>
    <x v="0"/>
    <x v="2"/>
    <x v="357"/>
    <x v="46"/>
    <x v="30"/>
    <x v="14"/>
    <x v="8"/>
    <x v="1"/>
  </r>
  <r>
    <x v="0"/>
    <x v="2063"/>
    <x v="441"/>
    <x v="43"/>
    <x v="216"/>
    <x v="777"/>
    <x v="675"/>
    <x v="4"/>
    <x v="270"/>
    <x v="1779"/>
    <x v="1531"/>
    <x v="3121"/>
    <x v="4430"/>
    <x v="4396"/>
    <x v="3665"/>
    <x v="1"/>
    <x v="4334"/>
    <x v="4433"/>
    <x v="188"/>
    <x v="0"/>
    <x v="37"/>
    <x v="9"/>
    <x v="352"/>
    <x v="11"/>
    <x v="746"/>
    <x v="41"/>
    <x v="1"/>
    <x v="800"/>
  </r>
  <r>
    <x v="0"/>
    <x v="469"/>
    <x v="237"/>
    <x v="71"/>
    <x v="0"/>
    <x v="787"/>
    <x v="35"/>
    <x v="2248"/>
    <x v="471"/>
    <x v="157"/>
    <x v="326"/>
    <x v="1759"/>
    <x v="2390"/>
    <x v="4397"/>
    <x v="3747"/>
    <x v="0"/>
    <x v="2371"/>
    <x v="2390"/>
    <x v="750"/>
    <x v="0"/>
    <x v="0"/>
    <x v="4"/>
    <x v="138"/>
    <x v="35"/>
    <x v="117"/>
    <x v="2"/>
    <x v="1"/>
    <x v="115"/>
  </r>
  <r>
    <x v="0"/>
    <x v="1481"/>
    <x v="421"/>
    <x v="61"/>
    <x v="110"/>
    <x v="691"/>
    <x v="23"/>
    <x v="4"/>
    <x v="863"/>
    <x v="24"/>
    <x v="2296"/>
    <x v="3122"/>
    <x v="4431"/>
    <x v="4398"/>
    <x v="3748"/>
    <x v="1"/>
    <x v="4335"/>
    <x v="4434"/>
    <x v="388"/>
    <x v="0"/>
    <x v="1"/>
    <x v="10"/>
    <x v="138"/>
    <x v="41"/>
    <x v="73"/>
    <x v="2"/>
    <x v="15"/>
    <x v="251"/>
  </r>
  <r>
    <x v="0"/>
    <x v="2064"/>
    <x v="433"/>
    <x v="105"/>
    <x v="85"/>
    <x v="667"/>
    <x v="707"/>
    <x v="3773"/>
    <x v="236"/>
    <x v="1780"/>
    <x v="2662"/>
    <x v="3123"/>
    <x v="4432"/>
    <x v="4399"/>
    <x v="1767"/>
    <x v="0"/>
    <x v="4336"/>
    <x v="4435"/>
    <x v="75"/>
    <x v="0"/>
    <x v="0"/>
    <x v="4"/>
    <x v="138"/>
    <x v="11"/>
    <x v="785"/>
    <x v="20"/>
    <x v="3"/>
    <x v="38"/>
  </r>
  <r>
    <x v="0"/>
    <x v="48"/>
    <x v="130"/>
    <x v="47"/>
    <x v="33"/>
    <x v="53"/>
    <x v="13"/>
    <x v="4"/>
    <x v="152"/>
    <x v="158"/>
    <x v="725"/>
    <x v="492"/>
    <x v="4433"/>
    <x v="4400"/>
    <x v="3749"/>
    <x v="1"/>
    <x v="4337"/>
    <x v="4436"/>
    <x v="916"/>
    <x v="0"/>
    <x v="0"/>
    <x v="4"/>
    <x v="312"/>
    <x v="46"/>
    <x v="77"/>
    <x v="24"/>
    <x v="3"/>
    <x v="50"/>
  </r>
  <r>
    <x v="0"/>
    <x v="259"/>
    <x v="331"/>
    <x v="43"/>
    <x v="173"/>
    <x v="776"/>
    <x v="0"/>
    <x v="3774"/>
    <x v="429"/>
    <x v="657"/>
    <x v="679"/>
    <x v="3124"/>
    <x v="4434"/>
    <x v="4401"/>
    <x v="3750"/>
    <x v="0"/>
    <x v="4338"/>
    <x v="4437"/>
    <x v="224"/>
    <x v="0"/>
    <x v="0"/>
    <x v="4"/>
    <x v="138"/>
    <x v="37"/>
    <x v="418"/>
    <x v="4"/>
    <x v="3"/>
    <x v="1"/>
  </r>
  <r>
    <x v="0"/>
    <x v="494"/>
    <x v="141"/>
    <x v="47"/>
    <x v="170"/>
    <x v="491"/>
    <x v="77"/>
    <x v="3775"/>
    <x v="2"/>
    <x v="1781"/>
    <x v="2663"/>
    <x v="735"/>
    <x v="4435"/>
    <x v="4402"/>
    <x v="2530"/>
    <x v="2"/>
    <x v="4339"/>
    <x v="4438"/>
    <x v="837"/>
    <x v="0"/>
    <x v="1"/>
    <x v="11"/>
    <x v="352"/>
    <x v="34"/>
    <x v="799"/>
    <x v="11"/>
    <x v="15"/>
    <x v="9"/>
  </r>
  <r>
    <x v="0"/>
    <x v="2065"/>
    <x v="433"/>
    <x v="107"/>
    <x v="174"/>
    <x v="439"/>
    <x v="0"/>
    <x v="3776"/>
    <x v="315"/>
    <x v="372"/>
    <x v="2664"/>
    <x v="3125"/>
    <x v="4436"/>
    <x v="4403"/>
    <x v="3751"/>
    <x v="0"/>
    <x v="4340"/>
    <x v="4439"/>
    <x v="484"/>
    <x v="0"/>
    <x v="0"/>
    <x v="4"/>
    <x v="138"/>
    <x v="3"/>
    <x v="270"/>
    <x v="40"/>
    <x v="3"/>
    <x v="4"/>
  </r>
  <r>
    <x v="0"/>
    <x v="2066"/>
    <x v="232"/>
    <x v="107"/>
    <x v="130"/>
    <x v="624"/>
    <x v="796"/>
    <x v="3777"/>
    <x v="471"/>
    <x v="1782"/>
    <x v="2665"/>
    <x v="3126"/>
    <x v="4437"/>
    <x v="4404"/>
    <x v="1795"/>
    <x v="0"/>
    <x v="4341"/>
    <x v="4440"/>
    <x v="750"/>
    <x v="0"/>
    <x v="1"/>
    <x v="4"/>
    <x v="138"/>
    <x v="42"/>
    <x v="821"/>
    <x v="15"/>
    <x v="3"/>
    <x v="1"/>
  </r>
  <r>
    <x v="0"/>
    <x v="2067"/>
    <x v="207"/>
    <x v="60"/>
    <x v="174"/>
    <x v="436"/>
    <x v="522"/>
    <x v="3778"/>
    <x v="270"/>
    <x v="1783"/>
    <x v="2666"/>
    <x v="3127"/>
    <x v="4438"/>
    <x v="4405"/>
    <x v="3734"/>
    <x v="13"/>
    <x v="4342"/>
    <x v="4441"/>
    <x v="386"/>
    <x v="0"/>
    <x v="0"/>
    <x v="2"/>
    <x v="240"/>
    <x v="6"/>
    <x v="896"/>
    <x v="53"/>
    <x v="1"/>
    <x v="1"/>
  </r>
  <r>
    <x v="0"/>
    <x v="764"/>
    <x v="312"/>
    <x v="78"/>
    <x v="169"/>
    <x v="219"/>
    <x v="0"/>
    <x v="3779"/>
    <x v="416"/>
    <x v="1110"/>
    <x v="658"/>
    <x v="3128"/>
    <x v="4439"/>
    <x v="4406"/>
    <x v="819"/>
    <x v="0"/>
    <x v="4343"/>
    <x v="4442"/>
    <x v="570"/>
    <x v="0"/>
    <x v="0"/>
    <x v="0"/>
    <x v="138"/>
    <x v="12"/>
    <x v="408"/>
    <x v="18"/>
    <x v="1"/>
    <x v="482"/>
  </r>
  <r>
    <x v="0"/>
    <x v="2068"/>
    <x v="283"/>
    <x v="77"/>
    <x v="216"/>
    <x v="708"/>
    <x v="797"/>
    <x v="3780"/>
    <x v="390"/>
    <x v="1784"/>
    <x v="2667"/>
    <x v="3129"/>
    <x v="4440"/>
    <x v="4407"/>
    <x v="1896"/>
    <x v="0"/>
    <x v="4344"/>
    <x v="4443"/>
    <x v="629"/>
    <x v="2"/>
    <x v="7"/>
    <x v="2"/>
    <x v="364"/>
    <x v="15"/>
    <x v="515"/>
    <x v="19"/>
    <x v="1"/>
    <x v="445"/>
  </r>
  <r>
    <x v="0"/>
    <x v="1112"/>
    <x v="28"/>
    <x v="52"/>
    <x v="323"/>
    <x v="611"/>
    <x v="186"/>
    <x v="3781"/>
    <x v="17"/>
    <x v="350"/>
    <x v="91"/>
    <x v="1023"/>
    <x v="4441"/>
    <x v="4408"/>
    <x v="3752"/>
    <x v="0"/>
    <x v="4345"/>
    <x v="4444"/>
    <x v="41"/>
    <x v="0"/>
    <x v="0"/>
    <x v="4"/>
    <x v="209"/>
    <x v="5"/>
    <x v="12"/>
    <x v="38"/>
    <x v="10"/>
    <x v="68"/>
  </r>
  <r>
    <x v="0"/>
    <x v="2069"/>
    <x v="244"/>
    <x v="33"/>
    <x v="216"/>
    <x v="425"/>
    <x v="35"/>
    <x v="3782"/>
    <x v="371"/>
    <x v="611"/>
    <x v="253"/>
    <x v="3130"/>
    <x v="4442"/>
    <x v="4409"/>
    <x v="2779"/>
    <x v="4"/>
    <x v="4346"/>
    <x v="4445"/>
    <x v="273"/>
    <x v="0"/>
    <x v="0"/>
    <x v="4"/>
    <x v="138"/>
    <x v="12"/>
    <x v="172"/>
    <x v="38"/>
    <x v="3"/>
    <x v="1"/>
  </r>
  <r>
    <x v="0"/>
    <x v="926"/>
    <x v="117"/>
    <x v="105"/>
    <x v="107"/>
    <x v="898"/>
    <x v="490"/>
    <x v="3783"/>
    <x v="429"/>
    <x v="1785"/>
    <x v="2668"/>
    <x v="3131"/>
    <x v="4443"/>
    <x v="4410"/>
    <x v="2863"/>
    <x v="0"/>
    <x v="4347"/>
    <x v="4446"/>
    <x v="511"/>
    <x v="0"/>
    <x v="0"/>
    <x v="4"/>
    <x v="138"/>
    <x v="3"/>
    <x v="221"/>
    <x v="39"/>
    <x v="3"/>
    <x v="85"/>
  </r>
  <r>
    <x v="0"/>
    <x v="2070"/>
    <x v="217"/>
    <x v="56"/>
    <x v="418"/>
    <x v="608"/>
    <x v="533"/>
    <x v="3784"/>
    <x v="379"/>
    <x v="1004"/>
    <x v="2669"/>
    <x v="3132"/>
    <x v="4444"/>
    <x v="4411"/>
    <x v="3417"/>
    <x v="8"/>
    <x v="4348"/>
    <x v="4447"/>
    <x v="180"/>
    <x v="0"/>
    <x v="0"/>
    <x v="14"/>
    <x v="365"/>
    <x v="48"/>
    <x v="514"/>
    <x v="5"/>
    <x v="1"/>
    <x v="1"/>
  </r>
  <r>
    <x v="1"/>
    <x v="2071"/>
    <x v="347"/>
    <x v="71"/>
    <x v="0"/>
    <x v="313"/>
    <x v="798"/>
    <x v="4"/>
    <x v="304"/>
    <x v="1786"/>
    <x v="2670"/>
    <x v="3133"/>
    <x v="4445"/>
    <x v="4412"/>
    <x v="3753"/>
    <x v="1"/>
    <x v="4349"/>
    <x v="4448"/>
    <x v="225"/>
    <x v="0"/>
    <x v="0"/>
    <x v="1"/>
    <x v="138"/>
    <x v="67"/>
    <x v="380"/>
    <x v="5"/>
    <x v="1"/>
    <x v="389"/>
  </r>
  <r>
    <x v="0"/>
    <x v="1180"/>
    <x v="326"/>
    <x v="45"/>
    <x v="255"/>
    <x v="4"/>
    <x v="529"/>
    <x v="3785"/>
    <x v="4"/>
    <x v="1787"/>
    <x v="2671"/>
    <x v="4"/>
    <x v="4446"/>
    <x v="4413"/>
    <x v="3754"/>
    <x v="0"/>
    <x v="4350"/>
    <x v="4449"/>
    <x v="200"/>
    <x v="0"/>
    <x v="0"/>
    <x v="2"/>
    <x v="4"/>
    <x v="7"/>
    <x v="463"/>
    <x v="7"/>
    <x v="3"/>
    <x v="1"/>
  </r>
  <r>
    <x v="1"/>
    <x v="2072"/>
    <x v="361"/>
    <x v="56"/>
    <x v="80"/>
    <x v="743"/>
    <x v="626"/>
    <x v="4"/>
    <x v="864"/>
    <x v="1788"/>
    <x v="2672"/>
    <x v="3134"/>
    <x v="4447"/>
    <x v="4414"/>
    <x v="3755"/>
    <x v="0"/>
    <x v="4351"/>
    <x v="4450"/>
    <x v="212"/>
    <x v="0"/>
    <x v="0"/>
    <x v="11"/>
    <x v="138"/>
    <x v="80"/>
    <x v="364"/>
    <x v="13"/>
    <x v="15"/>
    <x v="194"/>
  </r>
  <r>
    <x v="0"/>
    <x v="48"/>
    <x v="309"/>
    <x v="40"/>
    <x v="33"/>
    <x v="127"/>
    <x v="560"/>
    <x v="3786"/>
    <x v="865"/>
    <x v="1789"/>
    <x v="2673"/>
    <x v="3135"/>
    <x v="4448"/>
    <x v="3509"/>
    <x v="3366"/>
    <x v="0"/>
    <x v="4352"/>
    <x v="4451"/>
    <x v="450"/>
    <x v="0"/>
    <x v="0"/>
    <x v="0"/>
    <x v="4"/>
    <x v="8"/>
    <x v="491"/>
    <x v="13"/>
    <x v="3"/>
    <x v="1"/>
  </r>
  <r>
    <x v="0"/>
    <x v="1480"/>
    <x v="456"/>
    <x v="7"/>
    <x v="0"/>
    <x v="600"/>
    <x v="5"/>
    <x v="3787"/>
    <x v="774"/>
    <x v="5"/>
    <x v="131"/>
    <x v="3136"/>
    <x v="4449"/>
    <x v="4415"/>
    <x v="3756"/>
    <x v="0"/>
    <x v="4353"/>
    <x v="4452"/>
    <x v="291"/>
    <x v="0"/>
    <x v="0"/>
    <x v="4"/>
    <x v="224"/>
    <x v="9"/>
    <x v="91"/>
    <x v="28"/>
    <x v="1"/>
    <x v="85"/>
  </r>
  <r>
    <x v="0"/>
    <x v="2073"/>
    <x v="207"/>
    <x v="56"/>
    <x v="0"/>
    <x v="89"/>
    <x v="799"/>
    <x v="4"/>
    <x v="660"/>
    <x v="1790"/>
    <x v="2674"/>
    <x v="3137"/>
    <x v="4450"/>
    <x v="3187"/>
    <x v="3757"/>
    <x v="0"/>
    <x v="4354"/>
    <x v="4453"/>
    <x v="685"/>
    <x v="0"/>
    <x v="1"/>
    <x v="1"/>
    <x v="352"/>
    <x v="2"/>
    <x v="495"/>
    <x v="15"/>
    <x v="3"/>
    <x v="607"/>
  </r>
  <r>
    <x v="0"/>
    <x v="2074"/>
    <x v="523"/>
    <x v="54"/>
    <x v="131"/>
    <x v="584"/>
    <x v="390"/>
    <x v="3788"/>
    <x v="360"/>
    <x v="1791"/>
    <x v="1392"/>
    <x v="3138"/>
    <x v="4451"/>
    <x v="3600"/>
    <x v="611"/>
    <x v="3"/>
    <x v="4355"/>
    <x v="4454"/>
    <x v="189"/>
    <x v="0"/>
    <x v="0"/>
    <x v="4"/>
    <x v="138"/>
    <x v="3"/>
    <x v="652"/>
    <x v="13"/>
    <x v="3"/>
    <x v="59"/>
  </r>
  <r>
    <x v="0"/>
    <x v="2075"/>
    <x v="293"/>
    <x v="50"/>
    <x v="31"/>
    <x v="621"/>
    <x v="307"/>
    <x v="3789"/>
    <x v="4"/>
    <x v="1792"/>
    <x v="2675"/>
    <x v="3139"/>
    <x v="4452"/>
    <x v="4416"/>
    <x v="3758"/>
    <x v="0"/>
    <x v="4356"/>
    <x v="4455"/>
    <x v="562"/>
    <x v="0"/>
    <x v="0"/>
    <x v="2"/>
    <x v="4"/>
    <x v="8"/>
    <x v="515"/>
    <x v="0"/>
    <x v="0"/>
    <x v="40"/>
  </r>
  <r>
    <x v="0"/>
    <x v="1682"/>
    <x v="361"/>
    <x v="86"/>
    <x v="123"/>
    <x v="668"/>
    <x v="46"/>
    <x v="3790"/>
    <x v="270"/>
    <x v="1508"/>
    <x v="2676"/>
    <x v="3140"/>
    <x v="4453"/>
    <x v="4417"/>
    <x v="3759"/>
    <x v="1"/>
    <x v="4357"/>
    <x v="4456"/>
    <x v="517"/>
    <x v="0"/>
    <x v="0"/>
    <x v="0"/>
    <x v="4"/>
    <x v="10"/>
    <x v="630"/>
    <x v="2"/>
    <x v="2"/>
    <x v="1"/>
  </r>
  <r>
    <x v="0"/>
    <x v="1142"/>
    <x v="428"/>
    <x v="27"/>
    <x v="322"/>
    <x v="478"/>
    <x v="13"/>
    <x v="3791"/>
    <x v="105"/>
    <x v="93"/>
    <x v="2677"/>
    <x v="703"/>
    <x v="4454"/>
    <x v="3553"/>
    <x v="3760"/>
    <x v="1"/>
    <x v="4358"/>
    <x v="4457"/>
    <x v="514"/>
    <x v="0"/>
    <x v="0"/>
    <x v="4"/>
    <x v="138"/>
    <x v="20"/>
    <x v="421"/>
    <x v="10"/>
    <x v="3"/>
    <x v="455"/>
  </r>
  <r>
    <x v="0"/>
    <x v="689"/>
    <x v="381"/>
    <x v="45"/>
    <x v="285"/>
    <x v="648"/>
    <x v="6"/>
    <x v="3105"/>
    <x v="105"/>
    <x v="6"/>
    <x v="1859"/>
    <x v="2394"/>
    <x v="3399"/>
    <x v="4418"/>
    <x v="3055"/>
    <x v="0"/>
    <x v="3358"/>
    <x v="3401"/>
    <x v="916"/>
    <x v="0"/>
    <x v="0"/>
    <x v="0"/>
    <x v="244"/>
    <x v="1"/>
    <x v="13"/>
    <x v="7"/>
    <x v="3"/>
    <x v="7"/>
  </r>
  <r>
    <x v="0"/>
    <x v="2076"/>
    <x v="112"/>
    <x v="41"/>
    <x v="143"/>
    <x v="866"/>
    <x v="22"/>
    <x v="3792"/>
    <x v="200"/>
    <x v="95"/>
    <x v="1183"/>
    <x v="3141"/>
    <x v="4455"/>
    <x v="4419"/>
    <x v="621"/>
    <x v="4"/>
    <x v="4359"/>
    <x v="4458"/>
    <x v="167"/>
    <x v="0"/>
    <x v="0"/>
    <x v="4"/>
    <x v="4"/>
    <x v="11"/>
    <x v="578"/>
    <x v="2"/>
    <x v="1"/>
    <x v="1"/>
  </r>
  <r>
    <x v="0"/>
    <x v="2077"/>
    <x v="195"/>
    <x v="58"/>
    <x v="263"/>
    <x v="489"/>
    <x v="675"/>
    <x v="3793"/>
    <x v="150"/>
    <x v="1779"/>
    <x v="2678"/>
    <x v="732"/>
    <x v="4456"/>
    <x v="4420"/>
    <x v="2265"/>
    <x v="0"/>
    <x v="4360"/>
    <x v="4459"/>
    <x v="139"/>
    <x v="0"/>
    <x v="0"/>
    <x v="4"/>
    <x v="4"/>
    <x v="10"/>
    <x v="95"/>
    <x v="8"/>
    <x v="1"/>
    <x v="1"/>
  </r>
  <r>
    <x v="0"/>
    <x v="2078"/>
    <x v="297"/>
    <x v="95"/>
    <x v="134"/>
    <x v="698"/>
    <x v="800"/>
    <x v="3794"/>
    <x v="200"/>
    <x v="1793"/>
    <x v="2679"/>
    <x v="3142"/>
    <x v="4457"/>
    <x v="4421"/>
    <x v="3336"/>
    <x v="1"/>
    <x v="4361"/>
    <x v="4460"/>
    <x v="546"/>
    <x v="0"/>
    <x v="0"/>
    <x v="4"/>
    <x v="4"/>
    <x v="11"/>
    <x v="555"/>
    <x v="2"/>
    <x v="1"/>
    <x v="1"/>
  </r>
  <r>
    <x v="0"/>
    <x v="2079"/>
    <x v="198"/>
    <x v="55"/>
    <x v="58"/>
    <x v="647"/>
    <x v="314"/>
    <x v="3795"/>
    <x v="152"/>
    <x v="569"/>
    <x v="2680"/>
    <x v="3143"/>
    <x v="4458"/>
    <x v="4422"/>
    <x v="2512"/>
    <x v="1"/>
    <x v="4362"/>
    <x v="4461"/>
    <x v="641"/>
    <x v="0"/>
    <x v="0"/>
    <x v="4"/>
    <x v="138"/>
    <x v="8"/>
    <x v="786"/>
    <x v="13"/>
    <x v="3"/>
    <x v="1"/>
  </r>
  <r>
    <x v="0"/>
    <x v="2080"/>
    <x v="290"/>
    <x v="43"/>
    <x v="134"/>
    <x v="170"/>
    <x v="570"/>
    <x v="3796"/>
    <x v="305"/>
    <x v="1794"/>
    <x v="2681"/>
    <x v="3144"/>
    <x v="4459"/>
    <x v="4423"/>
    <x v="2281"/>
    <x v="0"/>
    <x v="4363"/>
    <x v="4462"/>
    <x v="670"/>
    <x v="0"/>
    <x v="0"/>
    <x v="0"/>
    <x v="138"/>
    <x v="9"/>
    <x v="897"/>
    <x v="38"/>
    <x v="0"/>
    <x v="57"/>
  </r>
  <r>
    <x v="0"/>
    <x v="1588"/>
    <x v="390"/>
    <x v="95"/>
    <x v="28"/>
    <x v="170"/>
    <x v="20"/>
    <x v="3797"/>
    <x v="200"/>
    <x v="21"/>
    <x v="2682"/>
    <x v="3145"/>
    <x v="4460"/>
    <x v="4424"/>
    <x v="3761"/>
    <x v="3"/>
    <x v="4364"/>
    <x v="4463"/>
    <x v="386"/>
    <x v="0"/>
    <x v="0"/>
    <x v="4"/>
    <x v="138"/>
    <x v="13"/>
    <x v="686"/>
    <x v="23"/>
    <x v="3"/>
    <x v="312"/>
  </r>
  <r>
    <x v="0"/>
    <x v="1452"/>
    <x v="465"/>
    <x v="107"/>
    <x v="281"/>
    <x v="513"/>
    <x v="322"/>
    <x v="3798"/>
    <x v="105"/>
    <x v="1795"/>
    <x v="298"/>
    <x v="1004"/>
    <x v="4461"/>
    <x v="4425"/>
    <x v="2993"/>
    <x v="4"/>
    <x v="4365"/>
    <x v="4464"/>
    <x v="646"/>
    <x v="0"/>
    <x v="1"/>
    <x v="4"/>
    <x v="138"/>
    <x v="25"/>
    <x v="169"/>
    <x v="2"/>
    <x v="3"/>
    <x v="395"/>
  </r>
  <r>
    <x v="0"/>
    <x v="1135"/>
    <x v="270"/>
    <x v="43"/>
    <x v="31"/>
    <x v="817"/>
    <x v="0"/>
    <x v="3475"/>
    <x v="379"/>
    <x v="384"/>
    <x v="581"/>
    <x v="2729"/>
    <x v="3904"/>
    <x v="3888"/>
    <x v="504"/>
    <x v="3"/>
    <x v="3848"/>
    <x v="3907"/>
    <x v="149"/>
    <x v="0"/>
    <x v="1"/>
    <x v="4"/>
    <x v="209"/>
    <x v="13"/>
    <x v="371"/>
    <x v="13"/>
    <x v="3"/>
    <x v="1"/>
  </r>
  <r>
    <x v="0"/>
    <x v="2081"/>
    <x v="314"/>
    <x v="80"/>
    <x v="216"/>
    <x v="531"/>
    <x v="56"/>
    <x v="3799"/>
    <x v="4"/>
    <x v="98"/>
    <x v="2683"/>
    <x v="3146"/>
    <x v="4462"/>
    <x v="4426"/>
    <x v="3762"/>
    <x v="0"/>
    <x v="4366"/>
    <x v="4465"/>
    <x v="293"/>
    <x v="0"/>
    <x v="0"/>
    <x v="2"/>
    <x v="138"/>
    <x v="7"/>
    <x v="825"/>
    <x v="16"/>
    <x v="21"/>
    <x v="1"/>
  </r>
  <r>
    <x v="0"/>
    <x v="2082"/>
    <x v="359"/>
    <x v="50"/>
    <x v="379"/>
    <x v="800"/>
    <x v="0"/>
    <x v="3800"/>
    <x v="334"/>
    <x v="537"/>
    <x v="832"/>
    <x v="1815"/>
    <x v="4463"/>
    <x v="4427"/>
    <x v="3763"/>
    <x v="1"/>
    <x v="4367"/>
    <x v="4466"/>
    <x v="452"/>
    <x v="0"/>
    <x v="0"/>
    <x v="4"/>
    <x v="138"/>
    <x v="21"/>
    <x v="117"/>
    <x v="15"/>
    <x v="1"/>
    <x v="344"/>
  </r>
  <r>
    <x v="0"/>
    <x v="1626"/>
    <x v="444"/>
    <x v="80"/>
    <x v="240"/>
    <x v="788"/>
    <x v="0"/>
    <x v="4"/>
    <x v="866"/>
    <x v="735"/>
    <x v="2083"/>
    <x v="3147"/>
    <x v="4464"/>
    <x v="4428"/>
    <x v="3336"/>
    <x v="4"/>
    <x v="4368"/>
    <x v="4467"/>
    <x v="196"/>
    <x v="0"/>
    <x v="0"/>
    <x v="4"/>
    <x v="138"/>
    <x v="19"/>
    <x v="722"/>
    <x v="13"/>
    <x v="3"/>
    <x v="1"/>
  </r>
  <r>
    <x v="0"/>
    <x v="46"/>
    <x v="82"/>
    <x v="33"/>
    <x v="31"/>
    <x v="462"/>
    <x v="35"/>
    <x v="782"/>
    <x v="331"/>
    <x v="366"/>
    <x v="579"/>
    <x v="681"/>
    <x v="806"/>
    <x v="4429"/>
    <x v="794"/>
    <x v="2"/>
    <x v="801"/>
    <x v="806"/>
    <x v="142"/>
    <x v="0"/>
    <x v="0"/>
    <x v="2"/>
    <x v="90"/>
    <x v="2"/>
    <x v="30"/>
    <x v="21"/>
    <x v="1"/>
    <x v="50"/>
  </r>
  <r>
    <x v="0"/>
    <x v="2083"/>
    <x v="441"/>
    <x v="7"/>
    <x v="69"/>
    <x v="423"/>
    <x v="801"/>
    <x v="3801"/>
    <x v="270"/>
    <x v="1796"/>
    <x v="2684"/>
    <x v="3148"/>
    <x v="4465"/>
    <x v="4430"/>
    <x v="3764"/>
    <x v="0"/>
    <x v="4369"/>
    <x v="4468"/>
    <x v="794"/>
    <x v="0"/>
    <x v="0"/>
    <x v="4"/>
    <x v="138"/>
    <x v="20"/>
    <x v="753"/>
    <x v="13"/>
    <x v="3"/>
    <x v="801"/>
  </r>
  <r>
    <x v="0"/>
    <x v="2084"/>
    <x v="329"/>
    <x v="73"/>
    <x v="89"/>
    <x v="401"/>
    <x v="58"/>
    <x v="3802"/>
    <x v="241"/>
    <x v="559"/>
    <x v="2685"/>
    <x v="3149"/>
    <x v="4466"/>
    <x v="4431"/>
    <x v="3765"/>
    <x v="0"/>
    <x v="4370"/>
    <x v="4469"/>
    <x v="377"/>
    <x v="0"/>
    <x v="0"/>
    <x v="0"/>
    <x v="138"/>
    <x v="18"/>
    <x v="479"/>
    <x v="13"/>
    <x v="3"/>
    <x v="714"/>
  </r>
  <r>
    <x v="1"/>
    <x v="2085"/>
    <x v="93"/>
    <x v="143"/>
    <x v="123"/>
    <x v="381"/>
    <x v="773"/>
    <x v="3803"/>
    <x v="17"/>
    <x v="1667"/>
    <x v="2686"/>
    <x v="3150"/>
    <x v="4467"/>
    <x v="4432"/>
    <x v="1989"/>
    <x v="3"/>
    <x v="4371"/>
    <x v="4470"/>
    <x v="786"/>
    <x v="8"/>
    <x v="16"/>
    <x v="1"/>
    <x v="138"/>
    <x v="21"/>
    <x v="803"/>
    <x v="5"/>
    <x v="1"/>
    <x v="802"/>
  </r>
  <r>
    <x v="0"/>
    <x v="873"/>
    <x v="422"/>
    <x v="80"/>
    <x v="0"/>
    <x v="752"/>
    <x v="0"/>
    <x v="4"/>
    <x v="125"/>
    <x v="1161"/>
    <x v="1790"/>
    <x v="1581"/>
    <x v="2990"/>
    <x v="2986"/>
    <x v="2661"/>
    <x v="0"/>
    <x v="2960"/>
    <x v="2991"/>
    <x v="104"/>
    <x v="0"/>
    <x v="0"/>
    <x v="4"/>
    <x v="190"/>
    <x v="37"/>
    <x v="103"/>
    <x v="8"/>
    <x v="1"/>
    <x v="1"/>
  </r>
  <r>
    <x v="0"/>
    <x v="890"/>
    <x v="349"/>
    <x v="80"/>
    <x v="320"/>
    <x v="475"/>
    <x v="802"/>
    <x v="3804"/>
    <x v="376"/>
    <x v="1797"/>
    <x v="2687"/>
    <x v="3151"/>
    <x v="4468"/>
    <x v="4433"/>
    <x v="2109"/>
    <x v="0"/>
    <x v="4372"/>
    <x v="4471"/>
    <x v="352"/>
    <x v="0"/>
    <x v="0"/>
    <x v="13"/>
    <x v="138"/>
    <x v="13"/>
    <x v="739"/>
    <x v="5"/>
    <x v="3"/>
    <x v="1"/>
  </r>
  <r>
    <x v="0"/>
    <x v="473"/>
    <x v="343"/>
    <x v="26"/>
    <x v="212"/>
    <x v="130"/>
    <x v="2"/>
    <x v="3805"/>
    <x v="17"/>
    <x v="336"/>
    <x v="1468"/>
    <x v="2841"/>
    <x v="4469"/>
    <x v="4434"/>
    <x v="3766"/>
    <x v="0"/>
    <x v="4373"/>
    <x v="4472"/>
    <x v="189"/>
    <x v="0"/>
    <x v="0"/>
    <x v="4"/>
    <x v="139"/>
    <x v="17"/>
    <x v="280"/>
    <x v="8"/>
    <x v="1"/>
    <x v="803"/>
  </r>
  <r>
    <x v="0"/>
    <x v="2086"/>
    <x v="419"/>
    <x v="55"/>
    <x v="198"/>
    <x v="376"/>
    <x v="117"/>
    <x v="3806"/>
    <x v="200"/>
    <x v="915"/>
    <x v="556"/>
    <x v="3152"/>
    <x v="4470"/>
    <x v="4435"/>
    <x v="3767"/>
    <x v="0"/>
    <x v="4374"/>
    <x v="4473"/>
    <x v="654"/>
    <x v="0"/>
    <x v="0"/>
    <x v="4"/>
    <x v="138"/>
    <x v="13"/>
    <x v="309"/>
    <x v="15"/>
    <x v="3"/>
    <x v="758"/>
  </r>
  <r>
    <x v="0"/>
    <x v="1775"/>
    <x v="402"/>
    <x v="76"/>
    <x v="188"/>
    <x v="583"/>
    <x v="354"/>
    <x v="3807"/>
    <x v="270"/>
    <x v="637"/>
    <x v="1626"/>
    <x v="1937"/>
    <x v="4471"/>
    <x v="4436"/>
    <x v="3768"/>
    <x v="0"/>
    <x v="4375"/>
    <x v="4474"/>
    <x v="749"/>
    <x v="0"/>
    <x v="0"/>
    <x v="4"/>
    <x v="138"/>
    <x v="19"/>
    <x v="99"/>
    <x v="10"/>
    <x v="3"/>
    <x v="215"/>
  </r>
  <r>
    <x v="0"/>
    <x v="2087"/>
    <x v="457"/>
    <x v="7"/>
    <x v="0"/>
    <x v="171"/>
    <x v="156"/>
    <x v="3808"/>
    <x v="127"/>
    <x v="791"/>
    <x v="2365"/>
    <x v="2572"/>
    <x v="4472"/>
    <x v="4437"/>
    <x v="3769"/>
    <x v="1"/>
    <x v="4376"/>
    <x v="4475"/>
    <x v="646"/>
    <x v="0"/>
    <x v="0"/>
    <x v="4"/>
    <x v="138"/>
    <x v="21"/>
    <x v="159"/>
    <x v="57"/>
    <x v="2"/>
    <x v="804"/>
  </r>
  <r>
    <x v="0"/>
    <x v="2088"/>
    <x v="338"/>
    <x v="7"/>
    <x v="233"/>
    <x v="416"/>
    <x v="2"/>
    <x v="3809"/>
    <x v="270"/>
    <x v="182"/>
    <x v="2688"/>
    <x v="3153"/>
    <x v="4473"/>
    <x v="4438"/>
    <x v="3770"/>
    <x v="0"/>
    <x v="4377"/>
    <x v="4476"/>
    <x v="666"/>
    <x v="0"/>
    <x v="0"/>
    <x v="4"/>
    <x v="4"/>
    <x v="9"/>
    <x v="853"/>
    <x v="22"/>
    <x v="3"/>
    <x v="1"/>
  </r>
  <r>
    <x v="0"/>
    <x v="2089"/>
    <x v="388"/>
    <x v="23"/>
    <x v="89"/>
    <x v="321"/>
    <x v="457"/>
    <x v="3810"/>
    <x v="152"/>
    <x v="1798"/>
    <x v="2689"/>
    <x v="3154"/>
    <x v="4474"/>
    <x v="4439"/>
    <x v="3758"/>
    <x v="5"/>
    <x v="4378"/>
    <x v="4477"/>
    <x v="646"/>
    <x v="32"/>
    <x v="8"/>
    <x v="1"/>
    <x v="4"/>
    <x v="0"/>
    <x v="766"/>
    <x v="38"/>
    <x v="3"/>
    <x v="1"/>
  </r>
  <r>
    <x v="0"/>
    <x v="2090"/>
    <x v="338"/>
    <x v="76"/>
    <x v="122"/>
    <x v="899"/>
    <x v="0"/>
    <x v="3811"/>
    <x v="196"/>
    <x v="995"/>
    <x v="2173"/>
    <x v="3155"/>
    <x v="4475"/>
    <x v="4440"/>
    <x v="3771"/>
    <x v="4"/>
    <x v="4379"/>
    <x v="4478"/>
    <x v="244"/>
    <x v="0"/>
    <x v="0"/>
    <x v="4"/>
    <x v="138"/>
    <x v="7"/>
    <x v="487"/>
    <x v="38"/>
    <x v="0"/>
    <x v="59"/>
  </r>
  <r>
    <x v="0"/>
    <x v="2091"/>
    <x v="321"/>
    <x v="11"/>
    <x v="417"/>
    <x v="660"/>
    <x v="134"/>
    <x v="3812"/>
    <x v="377"/>
    <x v="1799"/>
    <x v="2690"/>
    <x v="3156"/>
    <x v="4476"/>
    <x v="4441"/>
    <x v="3772"/>
    <x v="0"/>
    <x v="4380"/>
    <x v="4479"/>
    <x v="284"/>
    <x v="0"/>
    <x v="0"/>
    <x v="4"/>
    <x v="4"/>
    <x v="11"/>
    <x v="141"/>
    <x v="11"/>
    <x v="6"/>
    <x v="121"/>
  </r>
  <r>
    <x v="0"/>
    <x v="2092"/>
    <x v="207"/>
    <x v="139"/>
    <x v="216"/>
    <x v="274"/>
    <x v="271"/>
    <x v="3813"/>
    <x v="105"/>
    <x v="1800"/>
    <x v="2439"/>
    <x v="552"/>
    <x v="4477"/>
    <x v="4442"/>
    <x v="3649"/>
    <x v="4"/>
    <x v="4381"/>
    <x v="4480"/>
    <x v="769"/>
    <x v="0"/>
    <x v="0"/>
    <x v="0"/>
    <x v="138"/>
    <x v="17"/>
    <x v="199"/>
    <x v="9"/>
    <x v="3"/>
    <x v="805"/>
  </r>
  <r>
    <x v="0"/>
    <x v="16"/>
    <x v="250"/>
    <x v="24"/>
    <x v="0"/>
    <x v="46"/>
    <x v="99"/>
    <x v="325"/>
    <x v="159"/>
    <x v="178"/>
    <x v="264"/>
    <x v="55"/>
    <x v="333"/>
    <x v="4443"/>
    <x v="3773"/>
    <x v="1"/>
    <x v="330"/>
    <x v="333"/>
    <x v="221"/>
    <x v="0"/>
    <x v="0"/>
    <x v="0"/>
    <x v="48"/>
    <x v="0"/>
    <x v="192"/>
    <x v="10"/>
    <x v="1"/>
    <x v="37"/>
  </r>
  <r>
    <x v="0"/>
    <x v="2093"/>
    <x v="61"/>
    <x v="45"/>
    <x v="59"/>
    <x v="298"/>
    <x v="341"/>
    <x v="3814"/>
    <x v="867"/>
    <x v="1801"/>
    <x v="2691"/>
    <x v="3157"/>
    <x v="4478"/>
    <x v="4444"/>
    <x v="3294"/>
    <x v="1"/>
    <x v="4382"/>
    <x v="4481"/>
    <x v="653"/>
    <x v="41"/>
    <x v="1"/>
    <x v="9"/>
    <x v="138"/>
    <x v="3"/>
    <x v="515"/>
    <x v="17"/>
    <x v="3"/>
    <x v="35"/>
  </r>
  <r>
    <x v="0"/>
    <x v="2094"/>
    <x v="274"/>
    <x v="173"/>
    <x v="344"/>
    <x v="549"/>
    <x v="467"/>
    <x v="3815"/>
    <x v="780"/>
    <x v="1802"/>
    <x v="2493"/>
    <x v="3158"/>
    <x v="4479"/>
    <x v="3650"/>
    <x v="2237"/>
    <x v="0"/>
    <x v="4383"/>
    <x v="4482"/>
    <x v="408"/>
    <x v="0"/>
    <x v="0"/>
    <x v="4"/>
    <x v="138"/>
    <x v="1"/>
    <x v="780"/>
    <x v="16"/>
    <x v="3"/>
    <x v="1"/>
  </r>
  <r>
    <x v="0"/>
    <x v="2095"/>
    <x v="361"/>
    <x v="55"/>
    <x v="123"/>
    <x v="531"/>
    <x v="803"/>
    <x v="3816"/>
    <x v="743"/>
    <x v="1803"/>
    <x v="2692"/>
    <x v="3159"/>
    <x v="4480"/>
    <x v="4445"/>
    <x v="3227"/>
    <x v="0"/>
    <x v="4384"/>
    <x v="4483"/>
    <x v="96"/>
    <x v="0"/>
    <x v="1"/>
    <x v="0"/>
    <x v="138"/>
    <x v="7"/>
    <x v="420"/>
    <x v="11"/>
    <x v="3"/>
    <x v="806"/>
  </r>
  <r>
    <x v="0"/>
    <x v="2096"/>
    <x v="4"/>
    <x v="60"/>
    <x v="0"/>
    <x v="298"/>
    <x v="795"/>
    <x v="3817"/>
    <x v="270"/>
    <x v="1804"/>
    <x v="2693"/>
    <x v="3160"/>
    <x v="4481"/>
    <x v="4446"/>
    <x v="3774"/>
    <x v="0"/>
    <x v="4385"/>
    <x v="4484"/>
    <x v="188"/>
    <x v="0"/>
    <x v="0"/>
    <x v="10"/>
    <x v="4"/>
    <x v="14"/>
    <x v="515"/>
    <x v="38"/>
    <x v="2"/>
    <x v="731"/>
  </r>
  <r>
    <x v="0"/>
    <x v="367"/>
    <x v="457"/>
    <x v="78"/>
    <x v="124"/>
    <x v="523"/>
    <x v="291"/>
    <x v="3818"/>
    <x v="200"/>
    <x v="529"/>
    <x v="802"/>
    <x v="3161"/>
    <x v="4482"/>
    <x v="3925"/>
    <x v="3775"/>
    <x v="1"/>
    <x v="4386"/>
    <x v="4485"/>
    <x v="655"/>
    <x v="0"/>
    <x v="0"/>
    <x v="0"/>
    <x v="4"/>
    <x v="21"/>
    <x v="473"/>
    <x v="20"/>
    <x v="2"/>
    <x v="75"/>
  </r>
  <r>
    <x v="0"/>
    <x v="2097"/>
    <x v="308"/>
    <x v="43"/>
    <x v="134"/>
    <x v="777"/>
    <x v="782"/>
    <x v="3819"/>
    <x v="868"/>
    <x v="1805"/>
    <x v="2694"/>
    <x v="3162"/>
    <x v="4483"/>
    <x v="4447"/>
    <x v="3611"/>
    <x v="1"/>
    <x v="4387"/>
    <x v="4486"/>
    <x v="655"/>
    <x v="0"/>
    <x v="3"/>
    <x v="2"/>
    <x v="138"/>
    <x v="9"/>
    <x v="893"/>
    <x v="32"/>
    <x v="3"/>
    <x v="1"/>
  </r>
  <r>
    <x v="0"/>
    <x v="2098"/>
    <x v="425"/>
    <x v="41"/>
    <x v="0"/>
    <x v="298"/>
    <x v="457"/>
    <x v="3820"/>
    <x v="4"/>
    <x v="1806"/>
    <x v="2695"/>
    <x v="3163"/>
    <x v="4484"/>
    <x v="4448"/>
    <x v="3027"/>
    <x v="0"/>
    <x v="4388"/>
    <x v="4487"/>
    <x v="744"/>
    <x v="0"/>
    <x v="23"/>
    <x v="3"/>
    <x v="138"/>
    <x v="11"/>
    <x v="820"/>
    <x v="2"/>
    <x v="2"/>
    <x v="1"/>
  </r>
  <r>
    <x v="0"/>
    <x v="2099"/>
    <x v="412"/>
    <x v="52"/>
    <x v="405"/>
    <x v="900"/>
    <x v="784"/>
    <x v="3821"/>
    <x v="54"/>
    <x v="1718"/>
    <x v="2163"/>
    <x v="3164"/>
    <x v="4485"/>
    <x v="4449"/>
    <x v="3776"/>
    <x v="3"/>
    <x v="4389"/>
    <x v="4488"/>
    <x v="685"/>
    <x v="0"/>
    <x v="0"/>
    <x v="0"/>
    <x v="138"/>
    <x v="3"/>
    <x v="483"/>
    <x v="23"/>
    <x v="3"/>
    <x v="807"/>
  </r>
  <r>
    <x v="0"/>
    <x v="2100"/>
    <x v="169"/>
    <x v="130"/>
    <x v="78"/>
    <x v="619"/>
    <x v="804"/>
    <x v="3822"/>
    <x v="582"/>
    <x v="1807"/>
    <x v="2696"/>
    <x v="3165"/>
    <x v="4486"/>
    <x v="4435"/>
    <x v="380"/>
    <x v="7"/>
    <x v="4390"/>
    <x v="4489"/>
    <x v="737"/>
    <x v="8"/>
    <x v="16"/>
    <x v="1"/>
    <x v="41"/>
    <x v="12"/>
    <x v="355"/>
    <x v="30"/>
    <x v="2"/>
    <x v="616"/>
  </r>
  <r>
    <x v="0"/>
    <x v="2101"/>
    <x v="282"/>
    <x v="54"/>
    <x v="419"/>
    <x v="776"/>
    <x v="328"/>
    <x v="3823"/>
    <x v="429"/>
    <x v="1808"/>
    <x v="1213"/>
    <x v="3124"/>
    <x v="4487"/>
    <x v="4450"/>
    <x v="3572"/>
    <x v="0"/>
    <x v="4391"/>
    <x v="4490"/>
    <x v="858"/>
    <x v="0"/>
    <x v="0"/>
    <x v="4"/>
    <x v="365"/>
    <x v="0"/>
    <x v="370"/>
    <x v="21"/>
    <x v="3"/>
    <x v="1"/>
  </r>
  <r>
    <x v="0"/>
    <x v="2102"/>
    <x v="356"/>
    <x v="41"/>
    <x v="31"/>
    <x v="279"/>
    <x v="151"/>
    <x v="3824"/>
    <x v="408"/>
    <x v="278"/>
    <x v="575"/>
    <x v="515"/>
    <x v="4488"/>
    <x v="4451"/>
    <x v="3777"/>
    <x v="1"/>
    <x v="4392"/>
    <x v="4491"/>
    <x v="546"/>
    <x v="0"/>
    <x v="0"/>
    <x v="4"/>
    <x v="149"/>
    <x v="5"/>
    <x v="369"/>
    <x v="2"/>
    <x v="3"/>
    <x v="1"/>
  </r>
  <r>
    <x v="0"/>
    <x v="528"/>
    <x v="193"/>
    <x v="76"/>
    <x v="195"/>
    <x v="240"/>
    <x v="297"/>
    <x v="3825"/>
    <x v="70"/>
    <x v="1809"/>
    <x v="1749"/>
    <x v="2339"/>
    <x v="4489"/>
    <x v="4452"/>
    <x v="2676"/>
    <x v="0"/>
    <x v="4393"/>
    <x v="4492"/>
    <x v="802"/>
    <x v="0"/>
    <x v="0"/>
    <x v="4"/>
    <x v="138"/>
    <x v="20"/>
    <x v="724"/>
    <x v="9"/>
    <x v="3"/>
    <x v="485"/>
  </r>
  <r>
    <x v="0"/>
    <x v="2103"/>
    <x v="385"/>
    <x v="72"/>
    <x v="78"/>
    <x v="413"/>
    <x v="805"/>
    <x v="4"/>
    <x v="352"/>
    <x v="1810"/>
    <x v="2697"/>
    <x v="3166"/>
    <x v="4490"/>
    <x v="4453"/>
    <x v="3778"/>
    <x v="4"/>
    <x v="4394"/>
    <x v="4493"/>
    <x v="712"/>
    <x v="0"/>
    <x v="0"/>
    <x v="4"/>
    <x v="138"/>
    <x v="15"/>
    <x v="858"/>
    <x v="31"/>
    <x v="2"/>
    <x v="795"/>
  </r>
  <r>
    <x v="0"/>
    <x v="2104"/>
    <x v="299"/>
    <x v="42"/>
    <x v="193"/>
    <x v="320"/>
    <x v="806"/>
    <x v="3826"/>
    <x v="200"/>
    <x v="1811"/>
    <x v="2698"/>
    <x v="3167"/>
    <x v="4491"/>
    <x v="4454"/>
    <x v="1294"/>
    <x v="1"/>
    <x v="4395"/>
    <x v="4494"/>
    <x v="789"/>
    <x v="0"/>
    <x v="0"/>
    <x v="4"/>
    <x v="4"/>
    <x v="25"/>
    <x v="141"/>
    <x v="8"/>
    <x v="3"/>
    <x v="757"/>
  </r>
  <r>
    <x v="0"/>
    <x v="640"/>
    <x v="207"/>
    <x v="87"/>
    <x v="228"/>
    <x v="88"/>
    <x v="35"/>
    <x v="3827"/>
    <x v="67"/>
    <x v="65"/>
    <x v="2699"/>
    <x v="714"/>
    <x v="4492"/>
    <x v="4455"/>
    <x v="3779"/>
    <x v="0"/>
    <x v="4396"/>
    <x v="4495"/>
    <x v="487"/>
    <x v="0"/>
    <x v="0"/>
    <x v="4"/>
    <x v="138"/>
    <x v="21"/>
    <x v="584"/>
    <x v="19"/>
    <x v="3"/>
    <x v="808"/>
  </r>
  <r>
    <x v="0"/>
    <x v="2105"/>
    <x v="320"/>
    <x v="71"/>
    <x v="211"/>
    <x v="102"/>
    <x v="397"/>
    <x v="4"/>
    <x v="127"/>
    <x v="1812"/>
    <x v="2700"/>
    <x v="3168"/>
    <x v="4493"/>
    <x v="4170"/>
    <x v="3780"/>
    <x v="1"/>
    <x v="4397"/>
    <x v="4496"/>
    <x v="843"/>
    <x v="0"/>
    <x v="0"/>
    <x v="1"/>
    <x v="138"/>
    <x v="0"/>
    <x v="618"/>
    <x v="22"/>
    <x v="0"/>
    <x v="608"/>
  </r>
  <r>
    <x v="1"/>
    <x v="2106"/>
    <x v="184"/>
    <x v="98"/>
    <x v="0"/>
    <x v="568"/>
    <x v="656"/>
    <x v="3828"/>
    <x v="168"/>
    <x v="1813"/>
    <x v="2544"/>
    <x v="3169"/>
    <x v="4494"/>
    <x v="4456"/>
    <x v="3781"/>
    <x v="0"/>
    <x v="4398"/>
    <x v="4497"/>
    <x v="755"/>
    <x v="0"/>
    <x v="0"/>
    <x v="9"/>
    <x v="138"/>
    <x v="7"/>
    <x v="524"/>
    <x v="9"/>
    <x v="3"/>
    <x v="653"/>
  </r>
  <r>
    <x v="0"/>
    <x v="2107"/>
    <x v="413"/>
    <x v="55"/>
    <x v="198"/>
    <x v="370"/>
    <x v="332"/>
    <x v="3829"/>
    <x v="142"/>
    <x v="1814"/>
    <x v="2701"/>
    <x v="3170"/>
    <x v="4495"/>
    <x v="4457"/>
    <x v="3782"/>
    <x v="1"/>
    <x v="4399"/>
    <x v="4498"/>
    <x v="791"/>
    <x v="0"/>
    <x v="0"/>
    <x v="4"/>
    <x v="138"/>
    <x v="2"/>
    <x v="411"/>
    <x v="34"/>
    <x v="6"/>
    <x v="809"/>
  </r>
  <r>
    <x v="0"/>
    <x v="2108"/>
    <x v="392"/>
    <x v="113"/>
    <x v="0"/>
    <x v="105"/>
    <x v="43"/>
    <x v="3830"/>
    <x v="182"/>
    <x v="311"/>
    <x v="2702"/>
    <x v="3171"/>
    <x v="4496"/>
    <x v="4458"/>
    <x v="3783"/>
    <x v="0"/>
    <x v="4400"/>
    <x v="4499"/>
    <x v="820"/>
    <x v="0"/>
    <x v="0"/>
    <x v="4"/>
    <x v="138"/>
    <x v="7"/>
    <x v="535"/>
    <x v="8"/>
    <x v="3"/>
    <x v="1"/>
  </r>
  <r>
    <x v="0"/>
    <x v="1803"/>
    <x v="385"/>
    <x v="78"/>
    <x v="174"/>
    <x v="123"/>
    <x v="400"/>
    <x v="3831"/>
    <x v="200"/>
    <x v="1815"/>
    <x v="720"/>
    <x v="3172"/>
    <x v="4497"/>
    <x v="4459"/>
    <x v="2452"/>
    <x v="3"/>
    <x v="4401"/>
    <x v="4500"/>
    <x v="96"/>
    <x v="0"/>
    <x v="0"/>
    <x v="4"/>
    <x v="4"/>
    <x v="13"/>
    <x v="81"/>
    <x v="23"/>
    <x v="2"/>
    <x v="810"/>
  </r>
  <r>
    <x v="0"/>
    <x v="2109"/>
    <x v="320"/>
    <x v="55"/>
    <x v="0"/>
    <x v="393"/>
    <x v="383"/>
    <x v="4"/>
    <x v="869"/>
    <x v="1816"/>
    <x v="2703"/>
    <x v="3173"/>
    <x v="4498"/>
    <x v="4460"/>
    <x v="3784"/>
    <x v="4"/>
    <x v="4402"/>
    <x v="4501"/>
    <x v="561"/>
    <x v="0"/>
    <x v="0"/>
    <x v="4"/>
    <x v="138"/>
    <x v="12"/>
    <x v="898"/>
    <x v="68"/>
    <x v="0"/>
    <x v="592"/>
  </r>
  <r>
    <x v="0"/>
    <x v="882"/>
    <x v="385"/>
    <x v="76"/>
    <x v="217"/>
    <x v="818"/>
    <x v="130"/>
    <x v="3832"/>
    <x v="54"/>
    <x v="1263"/>
    <x v="2704"/>
    <x v="3174"/>
    <x v="4499"/>
    <x v="4461"/>
    <x v="3159"/>
    <x v="4"/>
    <x v="4403"/>
    <x v="4502"/>
    <x v="818"/>
    <x v="0"/>
    <x v="8"/>
    <x v="4"/>
    <x v="138"/>
    <x v="7"/>
    <x v="839"/>
    <x v="54"/>
    <x v="3"/>
    <x v="811"/>
  </r>
  <r>
    <x v="0"/>
    <x v="2110"/>
    <x v="435"/>
    <x v="45"/>
    <x v="205"/>
    <x v="597"/>
    <x v="664"/>
    <x v="3833"/>
    <x v="200"/>
    <x v="1330"/>
    <x v="2705"/>
    <x v="3175"/>
    <x v="4500"/>
    <x v="4125"/>
    <x v="3785"/>
    <x v="3"/>
    <x v="4404"/>
    <x v="4503"/>
    <x v="732"/>
    <x v="0"/>
    <x v="0"/>
    <x v="4"/>
    <x v="41"/>
    <x v="18"/>
    <x v="263"/>
    <x v="28"/>
    <x v="3"/>
    <x v="726"/>
  </r>
  <r>
    <x v="0"/>
    <x v="2111"/>
    <x v="314"/>
    <x v="72"/>
    <x v="59"/>
    <x v="316"/>
    <x v="289"/>
    <x v="4"/>
    <x v="352"/>
    <x v="1817"/>
    <x v="2706"/>
    <x v="3176"/>
    <x v="4501"/>
    <x v="4462"/>
    <x v="3786"/>
    <x v="0"/>
    <x v="4405"/>
    <x v="4504"/>
    <x v="83"/>
    <x v="6"/>
    <x v="12"/>
    <x v="9"/>
    <x v="138"/>
    <x v="9"/>
    <x v="557"/>
    <x v="2"/>
    <x v="3"/>
    <x v="1"/>
  </r>
  <r>
    <x v="0"/>
    <x v="2112"/>
    <x v="489"/>
    <x v="4"/>
    <x v="221"/>
    <x v="597"/>
    <x v="635"/>
    <x v="4"/>
    <x v="238"/>
    <x v="1818"/>
    <x v="2707"/>
    <x v="3177"/>
    <x v="4502"/>
    <x v="4463"/>
    <x v="3527"/>
    <x v="12"/>
    <x v="4406"/>
    <x v="4505"/>
    <x v="83"/>
    <x v="42"/>
    <x v="58"/>
    <x v="1"/>
    <x v="138"/>
    <x v="2"/>
    <x v="624"/>
    <x v="15"/>
    <x v="2"/>
    <x v="812"/>
  </r>
  <r>
    <x v="0"/>
    <x v="2113"/>
    <x v="369"/>
    <x v="93"/>
    <x v="118"/>
    <x v="707"/>
    <x v="359"/>
    <x v="4"/>
    <x v="17"/>
    <x v="1819"/>
    <x v="2262"/>
    <x v="3178"/>
    <x v="4503"/>
    <x v="4464"/>
    <x v="510"/>
    <x v="0"/>
    <x v="4407"/>
    <x v="4506"/>
    <x v="678"/>
    <x v="0"/>
    <x v="0"/>
    <x v="9"/>
    <x v="138"/>
    <x v="7"/>
    <x v="564"/>
    <x v="10"/>
    <x v="3"/>
    <x v="402"/>
  </r>
  <r>
    <x v="0"/>
    <x v="2114"/>
    <x v="393"/>
    <x v="45"/>
    <x v="0"/>
    <x v="901"/>
    <x v="293"/>
    <x v="4"/>
    <x v="200"/>
    <x v="1820"/>
    <x v="2708"/>
    <x v="170"/>
    <x v="4504"/>
    <x v="4465"/>
    <x v="3787"/>
    <x v="1"/>
    <x v="4408"/>
    <x v="4507"/>
    <x v="824"/>
    <x v="0"/>
    <x v="0"/>
    <x v="1"/>
    <x v="138"/>
    <x v="11"/>
    <x v="81"/>
    <x v="27"/>
    <x v="0"/>
    <x v="449"/>
  </r>
  <r>
    <x v="0"/>
    <x v="2115"/>
    <x v="430"/>
    <x v="77"/>
    <x v="0"/>
    <x v="845"/>
    <x v="648"/>
    <x v="4"/>
    <x v="168"/>
    <x v="1821"/>
    <x v="2709"/>
    <x v="3179"/>
    <x v="4505"/>
    <x v="4466"/>
    <x v="3788"/>
    <x v="4"/>
    <x v="4409"/>
    <x v="4508"/>
    <x v="721"/>
    <x v="0"/>
    <x v="0"/>
    <x v="4"/>
    <x v="138"/>
    <x v="7"/>
    <x v="799"/>
    <x v="5"/>
    <x v="2"/>
    <x v="127"/>
  </r>
  <r>
    <x v="0"/>
    <x v="2116"/>
    <x v="489"/>
    <x v="78"/>
    <x v="5"/>
    <x v="278"/>
    <x v="235"/>
    <x v="4"/>
    <x v="125"/>
    <x v="1822"/>
    <x v="2710"/>
    <x v="3180"/>
    <x v="4506"/>
    <x v="4467"/>
    <x v="846"/>
    <x v="2"/>
    <x v="4410"/>
    <x v="4509"/>
    <x v="510"/>
    <x v="0"/>
    <x v="0"/>
    <x v="4"/>
    <x v="138"/>
    <x v="0"/>
    <x v="482"/>
    <x v="66"/>
    <x v="12"/>
    <x v="813"/>
  </r>
  <r>
    <x v="1"/>
    <x v="1494"/>
    <x v="329"/>
    <x v="50"/>
    <x v="228"/>
    <x v="702"/>
    <x v="337"/>
    <x v="4"/>
    <x v="270"/>
    <x v="615"/>
    <x v="2711"/>
    <x v="3181"/>
    <x v="4507"/>
    <x v="4468"/>
    <x v="2888"/>
    <x v="1"/>
    <x v="4411"/>
    <x v="4510"/>
    <x v="791"/>
    <x v="0"/>
    <x v="1"/>
    <x v="1"/>
    <x v="4"/>
    <x v="52"/>
    <x v="173"/>
    <x v="11"/>
    <x v="15"/>
    <x v="731"/>
  </r>
  <r>
    <x v="0"/>
    <x v="2117"/>
    <x v="412"/>
    <x v="101"/>
    <x v="221"/>
    <x v="750"/>
    <x v="521"/>
    <x v="4"/>
    <x v="270"/>
    <x v="983"/>
    <x v="2083"/>
    <x v="3182"/>
    <x v="4508"/>
    <x v="4184"/>
    <x v="2776"/>
    <x v="4"/>
    <x v="4"/>
    <x v="4511"/>
    <x v="636"/>
    <x v="0"/>
    <x v="0"/>
    <x v="2"/>
    <x v="138"/>
    <x v="14"/>
    <x v="722"/>
    <x v="27"/>
    <x v="2"/>
    <x v="388"/>
  </r>
  <r>
    <x v="0"/>
    <x v="2118"/>
    <x v="329"/>
    <x v="41"/>
    <x v="420"/>
    <x v="317"/>
    <x v="31"/>
    <x v="4"/>
    <x v="270"/>
    <x v="37"/>
    <x v="113"/>
    <x v="450"/>
    <x v="4509"/>
    <x v="3995"/>
    <x v="3789"/>
    <x v="3"/>
    <x v="4412"/>
    <x v="4512"/>
    <x v="343"/>
    <x v="0"/>
    <x v="0"/>
    <x v="4"/>
    <x v="4"/>
    <x v="8"/>
    <x v="53"/>
    <x v="12"/>
    <x v="3"/>
    <x v="434"/>
  </r>
  <r>
    <x v="0"/>
    <x v="2119"/>
    <x v="4"/>
    <x v="78"/>
    <x v="0"/>
    <x v="616"/>
    <x v="0"/>
    <x v="4"/>
    <x v="270"/>
    <x v="31"/>
    <x v="2029"/>
    <x v="3183"/>
    <x v="4510"/>
    <x v="3474"/>
    <x v="3790"/>
    <x v="7"/>
    <x v="4"/>
    <x v="4513"/>
    <x v="4"/>
    <x v="0"/>
    <x v="0"/>
    <x v="4"/>
    <x v="138"/>
    <x v="8"/>
    <x v="537"/>
    <x v="9"/>
    <x v="2"/>
    <x v="814"/>
  </r>
  <r>
    <x v="0"/>
    <x v="2120"/>
    <x v="272"/>
    <x v="71"/>
    <x v="80"/>
    <x v="549"/>
    <x v="786"/>
    <x v="4"/>
    <x v="658"/>
    <x v="1823"/>
    <x v="2712"/>
    <x v="3184"/>
    <x v="4511"/>
    <x v="4469"/>
    <x v="3791"/>
    <x v="0"/>
    <x v="4413"/>
    <x v="4514"/>
    <x v="592"/>
    <x v="0"/>
    <x v="0"/>
    <x v="4"/>
    <x v="149"/>
    <x v="0"/>
    <x v="705"/>
    <x v="37"/>
    <x v="3"/>
    <x v="1"/>
  </r>
  <r>
    <x v="0"/>
    <x v="2121"/>
    <x v="478"/>
    <x v="105"/>
    <x v="421"/>
    <x v="538"/>
    <x v="807"/>
    <x v="4"/>
    <x v="429"/>
    <x v="1824"/>
    <x v="1914"/>
    <x v="3185"/>
    <x v="4512"/>
    <x v="4470"/>
    <x v="3792"/>
    <x v="1"/>
    <x v="4414"/>
    <x v="4515"/>
    <x v="792"/>
    <x v="0"/>
    <x v="0"/>
    <x v="0"/>
    <x v="138"/>
    <x v="3"/>
    <x v="286"/>
    <x v="48"/>
    <x v="0"/>
    <x v="805"/>
  </r>
  <r>
    <x v="0"/>
    <x v="2122"/>
    <x v="435"/>
    <x v="45"/>
    <x v="0"/>
    <x v="298"/>
    <x v="422"/>
    <x v="4"/>
    <x v="17"/>
    <x v="1825"/>
    <x v="2713"/>
    <x v="3186"/>
    <x v="4513"/>
    <x v="4471"/>
    <x v="3634"/>
    <x v="0"/>
    <x v="4415"/>
    <x v="4516"/>
    <x v="791"/>
    <x v="6"/>
    <x v="13"/>
    <x v="10"/>
    <x v="4"/>
    <x v="11"/>
    <x v="253"/>
    <x v="13"/>
    <x v="1"/>
    <x v="222"/>
  </r>
  <r>
    <x v="0"/>
    <x v="2123"/>
    <x v="152"/>
    <x v="78"/>
    <x v="0"/>
    <x v="677"/>
    <x v="121"/>
    <x v="4"/>
    <x v="105"/>
    <x v="275"/>
    <x v="2714"/>
    <x v="1227"/>
    <x v="4514"/>
    <x v="4472"/>
    <x v="3793"/>
    <x v="1"/>
    <x v="4416"/>
    <x v="4517"/>
    <x v="818"/>
    <x v="0"/>
    <x v="0"/>
    <x v="1"/>
    <x v="138"/>
    <x v="10"/>
    <x v="899"/>
    <x v="20"/>
    <x v="10"/>
    <x v="578"/>
  </r>
  <r>
    <x v="0"/>
    <x v="2124"/>
    <x v="4"/>
    <x v="67"/>
    <x v="194"/>
    <x v="292"/>
    <x v="302"/>
    <x v="4"/>
    <x v="430"/>
    <x v="1380"/>
    <x v="2715"/>
    <x v="3187"/>
    <x v="4515"/>
    <x v="4473"/>
    <x v="3794"/>
    <x v="5"/>
    <x v="4"/>
    <x v="4518"/>
    <x v="326"/>
    <x v="0"/>
    <x v="0"/>
    <x v="0"/>
    <x v="138"/>
    <x v="0"/>
    <x v="900"/>
    <x v="53"/>
    <x v="2"/>
    <x v="632"/>
  </r>
  <r>
    <x v="0"/>
    <x v="2121"/>
    <x v="93"/>
    <x v="95"/>
    <x v="421"/>
    <x v="160"/>
    <x v="14"/>
    <x v="4"/>
    <x v="713"/>
    <x v="859"/>
    <x v="633"/>
    <x v="3188"/>
    <x v="4516"/>
    <x v="4474"/>
    <x v="3795"/>
    <x v="3"/>
    <x v="4417"/>
    <x v="4519"/>
    <x v="843"/>
    <x v="0"/>
    <x v="0"/>
    <x v="0"/>
    <x v="138"/>
    <x v="11"/>
    <x v="50"/>
    <x v="45"/>
    <x v="0"/>
    <x v="730"/>
  </r>
  <r>
    <x v="0"/>
    <x v="2125"/>
    <x v="299"/>
    <x v="105"/>
    <x v="422"/>
    <x v="683"/>
    <x v="808"/>
    <x v="4"/>
    <x v="381"/>
    <x v="1826"/>
    <x v="2716"/>
    <x v="3189"/>
    <x v="4517"/>
    <x v="4475"/>
    <x v="968"/>
    <x v="1"/>
    <x v="4418"/>
    <x v="4520"/>
    <x v="637"/>
    <x v="0"/>
    <x v="0"/>
    <x v="4"/>
    <x v="4"/>
    <x v="3"/>
    <x v="608"/>
    <x v="55"/>
    <x v="3"/>
    <x v="1"/>
  </r>
  <r>
    <x v="0"/>
    <x v="2126"/>
    <x v="361"/>
    <x v="45"/>
    <x v="0"/>
    <x v="491"/>
    <x v="809"/>
    <x v="4"/>
    <x v="364"/>
    <x v="1827"/>
    <x v="2717"/>
    <x v="3190"/>
    <x v="4518"/>
    <x v="4476"/>
    <x v="3796"/>
    <x v="4"/>
    <x v="4419"/>
    <x v="4521"/>
    <x v="540"/>
    <x v="0"/>
    <x v="1"/>
    <x v="9"/>
    <x v="138"/>
    <x v="3"/>
    <x v="349"/>
    <x v="23"/>
    <x v="1"/>
    <x v="737"/>
  </r>
  <r>
    <x v="0"/>
    <x v="2127"/>
    <x v="489"/>
    <x v="50"/>
    <x v="85"/>
    <x v="298"/>
    <x v="810"/>
    <x v="4"/>
    <x v="306"/>
    <x v="1828"/>
    <x v="2718"/>
    <x v="3191"/>
    <x v="4519"/>
    <x v="4477"/>
    <x v="3797"/>
    <x v="0"/>
    <x v="4420"/>
    <x v="4522"/>
    <x v="343"/>
    <x v="0"/>
    <x v="0"/>
    <x v="1"/>
    <x v="138"/>
    <x v="7"/>
    <x v="288"/>
    <x v="65"/>
    <x v="2"/>
    <x v="118"/>
  </r>
  <r>
    <x v="0"/>
    <x v="2128"/>
    <x v="441"/>
    <x v="78"/>
    <x v="0"/>
    <x v="221"/>
    <x v="204"/>
    <x v="4"/>
    <x v="870"/>
    <x v="1829"/>
    <x v="2719"/>
    <x v="3192"/>
    <x v="4520"/>
    <x v="4478"/>
    <x v="3661"/>
    <x v="4"/>
    <x v="4"/>
    <x v="4523"/>
    <x v="655"/>
    <x v="0"/>
    <x v="4"/>
    <x v="1"/>
    <x v="138"/>
    <x v="11"/>
    <x v="383"/>
    <x v="28"/>
    <x v="2"/>
    <x v="729"/>
  </r>
  <r>
    <x v="0"/>
    <x v="2129"/>
    <x v="347"/>
    <x v="54"/>
    <x v="217"/>
    <x v="206"/>
    <x v="217"/>
    <x v="4"/>
    <x v="429"/>
    <x v="1830"/>
    <x v="2381"/>
    <x v="3193"/>
    <x v="4521"/>
    <x v="4479"/>
    <x v="479"/>
    <x v="0"/>
    <x v="4421"/>
    <x v="4524"/>
    <x v="786"/>
    <x v="0"/>
    <x v="0"/>
    <x v="4"/>
    <x v="138"/>
    <x v="2"/>
    <x v="692"/>
    <x v="31"/>
    <x v="1"/>
    <x v="815"/>
  </r>
  <r>
    <x v="0"/>
    <x v="2130"/>
    <x v="322"/>
    <x v="41"/>
    <x v="221"/>
    <x v="656"/>
    <x v="523"/>
    <x v="4"/>
    <x v="512"/>
    <x v="1831"/>
    <x v="2720"/>
    <x v="3194"/>
    <x v="4522"/>
    <x v="4480"/>
    <x v="3798"/>
    <x v="4"/>
    <x v="4422"/>
    <x v="4525"/>
    <x v="737"/>
    <x v="0"/>
    <x v="0"/>
    <x v="9"/>
    <x v="138"/>
    <x v="9"/>
    <x v="801"/>
    <x v="58"/>
    <x v="1"/>
    <x v="1"/>
  </r>
  <r>
    <x v="2"/>
    <x v="2131"/>
    <x v="93"/>
    <x v="70"/>
    <x v="0"/>
    <x v="641"/>
    <x v="811"/>
    <x v="4"/>
    <x v="270"/>
    <x v="1832"/>
    <x v="1897"/>
    <x v="1075"/>
    <x v="4523"/>
    <x v="4481"/>
    <x v="3799"/>
    <x v="0"/>
    <x v="4"/>
    <x v="4526"/>
    <x v="326"/>
    <x v="1"/>
    <x v="0"/>
    <x v="2"/>
    <x v="138"/>
    <x v="11"/>
    <x v="810"/>
    <x v="43"/>
    <x v="2"/>
    <x v="784"/>
  </r>
  <r>
    <x v="0"/>
    <x v="464"/>
    <x v="289"/>
    <x v="59"/>
    <x v="0"/>
    <x v="803"/>
    <x v="22"/>
    <x v="2385"/>
    <x v="171"/>
    <x v="169"/>
    <x v="589"/>
    <x v="1866"/>
    <x v="2548"/>
    <x v="2543"/>
    <x v="2373"/>
    <x v="0"/>
    <x v="2526"/>
    <x v="2548"/>
    <x v="657"/>
    <x v="0"/>
    <x v="1"/>
    <x v="4"/>
    <x v="78"/>
    <x v="9"/>
    <x v="30"/>
    <x v="15"/>
    <x v="1"/>
    <x v="33"/>
  </r>
  <r>
    <x v="0"/>
    <x v="2132"/>
    <x v="424"/>
    <x v="33"/>
    <x v="184"/>
    <x v="41"/>
    <x v="615"/>
    <x v="4"/>
    <x v="377"/>
    <x v="1211"/>
    <x v="1319"/>
    <x v="3195"/>
    <x v="4524"/>
    <x v="4482"/>
    <x v="2318"/>
    <x v="0"/>
    <x v="4423"/>
    <x v="4527"/>
    <x v="650"/>
    <x v="0"/>
    <x v="0"/>
    <x v="2"/>
    <x v="4"/>
    <x v="38"/>
    <x v="392"/>
    <x v="1"/>
    <x v="1"/>
    <x v="126"/>
  </r>
  <r>
    <x v="0"/>
    <x v="2133"/>
    <x v="239"/>
    <x v="101"/>
    <x v="0"/>
    <x v="550"/>
    <x v="363"/>
    <x v="4"/>
    <x v="381"/>
    <x v="1833"/>
    <x v="437"/>
    <x v="3196"/>
    <x v="4525"/>
    <x v="4483"/>
    <x v="1953"/>
    <x v="1"/>
    <x v="4424"/>
    <x v="4528"/>
    <x v="388"/>
    <x v="0"/>
    <x v="8"/>
    <x v="4"/>
    <x v="363"/>
    <x v="9"/>
    <x v="641"/>
    <x v="34"/>
    <x v="2"/>
    <x v="43"/>
  </r>
  <r>
    <x v="0"/>
    <x v="113"/>
    <x v="4"/>
    <x v="119"/>
    <x v="88"/>
    <x v="606"/>
    <x v="333"/>
    <x v="4"/>
    <x v="125"/>
    <x v="1834"/>
    <x v="2721"/>
    <x v="3197"/>
    <x v="4526"/>
    <x v="4484"/>
    <x v="3800"/>
    <x v="8"/>
    <x v="4425"/>
    <x v="4529"/>
    <x v="792"/>
    <x v="0"/>
    <x v="0"/>
    <x v="1"/>
    <x v="4"/>
    <x v="4"/>
    <x v="799"/>
    <x v="18"/>
    <x v="2"/>
    <x v="787"/>
  </r>
  <r>
    <x v="0"/>
    <x v="2134"/>
    <x v="385"/>
    <x v="7"/>
    <x v="69"/>
    <x v="389"/>
    <x v="128"/>
    <x v="4"/>
    <x v="270"/>
    <x v="1835"/>
    <x v="2722"/>
    <x v="1487"/>
    <x v="4527"/>
    <x v="4485"/>
    <x v="3801"/>
    <x v="1"/>
    <x v="4426"/>
    <x v="4530"/>
    <x v="398"/>
    <x v="0"/>
    <x v="0"/>
    <x v="9"/>
    <x v="363"/>
    <x v="11"/>
    <x v="494"/>
    <x v="19"/>
    <x v="2"/>
    <x v="816"/>
  </r>
  <r>
    <x v="0"/>
    <x v="2135"/>
    <x v="489"/>
    <x v="78"/>
    <x v="195"/>
    <x v="83"/>
    <x v="0"/>
    <x v="4"/>
    <x v="127"/>
    <x v="159"/>
    <x v="2723"/>
    <x v="3198"/>
    <x v="4528"/>
    <x v="4486"/>
    <x v="3802"/>
    <x v="1"/>
    <x v="4427"/>
    <x v="4531"/>
    <x v="854"/>
    <x v="0"/>
    <x v="0"/>
    <x v="1"/>
    <x v="366"/>
    <x v="1"/>
    <x v="195"/>
    <x v="30"/>
    <x v="2"/>
    <x v="811"/>
  </r>
  <r>
    <x v="0"/>
    <x v="2136"/>
    <x v="435"/>
    <x v="105"/>
    <x v="0"/>
    <x v="367"/>
    <x v="671"/>
    <x v="4"/>
    <x v="871"/>
    <x v="1836"/>
    <x v="2724"/>
    <x v="3199"/>
    <x v="4529"/>
    <x v="4487"/>
    <x v="3803"/>
    <x v="0"/>
    <x v="4428"/>
    <x v="4532"/>
    <x v="416"/>
    <x v="0"/>
    <x v="0"/>
    <x v="1"/>
    <x v="367"/>
    <x v="11"/>
    <x v="470"/>
    <x v="1"/>
    <x v="2"/>
    <x v="474"/>
  </r>
  <r>
    <x v="1"/>
    <x v="1901"/>
    <x v="295"/>
    <x v="26"/>
    <x v="410"/>
    <x v="208"/>
    <x v="14"/>
    <x v="3834"/>
    <x v="352"/>
    <x v="373"/>
    <x v="1555"/>
    <x v="2136"/>
    <x v="4530"/>
    <x v="4488"/>
    <x v="3804"/>
    <x v="4"/>
    <x v="4429"/>
    <x v="4533"/>
    <x v="481"/>
    <x v="0"/>
    <x v="0"/>
    <x v="9"/>
    <x v="368"/>
    <x v="63"/>
    <x v="384"/>
    <x v="17"/>
    <x v="3"/>
    <x v="1"/>
  </r>
  <r>
    <x v="0"/>
    <x v="2137"/>
    <x v="465"/>
    <x v="7"/>
    <x v="52"/>
    <x v="561"/>
    <x v="713"/>
    <x v="3835"/>
    <x v="125"/>
    <x v="1837"/>
    <x v="2318"/>
    <x v="1064"/>
    <x v="4531"/>
    <x v="4114"/>
    <x v="3805"/>
    <x v="8"/>
    <x v="4430"/>
    <x v="4534"/>
    <x v="83"/>
    <x v="0"/>
    <x v="0"/>
    <x v="4"/>
    <x v="369"/>
    <x v="10"/>
    <x v="83"/>
    <x v="20"/>
    <x v="1"/>
    <x v="125"/>
  </r>
  <r>
    <x v="0"/>
    <x v="2138"/>
    <x v="167"/>
    <x v="18"/>
    <x v="160"/>
    <x v="783"/>
    <x v="4"/>
    <x v="3836"/>
    <x v="270"/>
    <x v="1838"/>
    <x v="2725"/>
    <x v="3200"/>
    <x v="4532"/>
    <x v="4489"/>
    <x v="3806"/>
    <x v="0"/>
    <x v="4431"/>
    <x v="4535"/>
    <x v="497"/>
    <x v="43"/>
    <x v="29"/>
    <x v="9"/>
    <x v="370"/>
    <x v="1"/>
    <x v="51"/>
    <x v="0"/>
    <x v="3"/>
    <x v="57"/>
  </r>
  <r>
    <x v="0"/>
    <x v="2139"/>
    <x v="81"/>
    <x v="55"/>
    <x v="41"/>
    <x v="862"/>
    <x v="0"/>
    <x v="4"/>
    <x v="429"/>
    <x v="489"/>
    <x v="2726"/>
    <x v="3201"/>
    <x v="4533"/>
    <x v="4490"/>
    <x v="2137"/>
    <x v="0"/>
    <x v="4432"/>
    <x v="4536"/>
    <x v="416"/>
    <x v="0"/>
    <x v="0"/>
    <x v="1"/>
    <x v="119"/>
    <x v="2"/>
    <x v="411"/>
    <x v="11"/>
    <x v="2"/>
    <x v="646"/>
  </r>
  <r>
    <x v="0"/>
    <x v="312"/>
    <x v="99"/>
    <x v="27"/>
    <x v="41"/>
    <x v="298"/>
    <x v="492"/>
    <x v="3837"/>
    <x v="168"/>
    <x v="1839"/>
    <x v="2727"/>
    <x v="3202"/>
    <x v="4534"/>
    <x v="4491"/>
    <x v="3302"/>
    <x v="0"/>
    <x v="4433"/>
    <x v="4537"/>
    <x v="652"/>
    <x v="0"/>
    <x v="0"/>
    <x v="4"/>
    <x v="363"/>
    <x v="12"/>
    <x v="820"/>
    <x v="1"/>
    <x v="1"/>
    <x v="85"/>
  </r>
  <r>
    <x v="0"/>
    <x v="2036"/>
    <x v="409"/>
    <x v="43"/>
    <x v="159"/>
    <x v="902"/>
    <x v="63"/>
    <x v="3838"/>
    <x v="306"/>
    <x v="1450"/>
    <x v="2728"/>
    <x v="3203"/>
    <x v="4535"/>
    <x v="4492"/>
    <x v="2533"/>
    <x v="0"/>
    <x v="4434"/>
    <x v="4538"/>
    <x v="129"/>
    <x v="0"/>
    <x v="0"/>
    <x v="4"/>
    <x v="365"/>
    <x v="12"/>
    <x v="387"/>
    <x v="21"/>
    <x v="1"/>
    <x v="817"/>
  </r>
  <r>
    <x v="0"/>
    <x v="2140"/>
    <x v="352"/>
    <x v="86"/>
    <x v="211"/>
    <x v="590"/>
    <x v="96"/>
    <x v="3839"/>
    <x v="270"/>
    <x v="1840"/>
    <x v="2729"/>
    <x v="3204"/>
    <x v="4536"/>
    <x v="4493"/>
    <x v="3781"/>
    <x v="1"/>
    <x v="4435"/>
    <x v="4539"/>
    <x v="712"/>
    <x v="44"/>
    <x v="10"/>
    <x v="4"/>
    <x v="4"/>
    <x v="10"/>
    <x v="816"/>
    <x v="18"/>
    <x v="1"/>
    <x v="1"/>
  </r>
  <r>
    <x v="0"/>
    <x v="605"/>
    <x v="210"/>
    <x v="79"/>
    <x v="0"/>
    <x v="743"/>
    <x v="789"/>
    <x v="3840"/>
    <x v="425"/>
    <x v="1841"/>
    <x v="2730"/>
    <x v="3205"/>
    <x v="4537"/>
    <x v="4494"/>
    <x v="3807"/>
    <x v="0"/>
    <x v="4436"/>
    <x v="4540"/>
    <x v="352"/>
    <x v="0"/>
    <x v="0"/>
    <x v="4"/>
    <x v="365"/>
    <x v="9"/>
    <x v="283"/>
    <x v="7"/>
    <x v="3"/>
    <x v="16"/>
  </r>
  <r>
    <x v="0"/>
    <x v="2141"/>
    <x v="219"/>
    <x v="59"/>
    <x v="85"/>
    <x v="245"/>
    <x v="43"/>
    <x v="3841"/>
    <x v="872"/>
    <x v="67"/>
    <x v="302"/>
    <x v="759"/>
    <x v="4538"/>
    <x v="4495"/>
    <x v="3808"/>
    <x v="4"/>
    <x v="4437"/>
    <x v="4541"/>
    <x v="592"/>
    <x v="0"/>
    <x v="0"/>
    <x v="4"/>
    <x v="365"/>
    <x v="3"/>
    <x v="204"/>
    <x v="21"/>
    <x v="1"/>
    <x v="1"/>
  </r>
  <r>
    <x v="0"/>
    <x v="252"/>
    <x v="410"/>
    <x v="184"/>
    <x v="31"/>
    <x v="316"/>
    <x v="756"/>
    <x v="3842"/>
    <x v="873"/>
    <x v="1842"/>
    <x v="2731"/>
    <x v="3206"/>
    <x v="4539"/>
    <x v="4496"/>
    <x v="3809"/>
    <x v="0"/>
    <x v="4438"/>
    <x v="4542"/>
    <x v="736"/>
    <x v="0"/>
    <x v="0"/>
    <x v="11"/>
    <x v="4"/>
    <x v="84"/>
    <x v="4"/>
    <x v="38"/>
    <x v="8"/>
    <x v="1"/>
  </r>
  <r>
    <x v="0"/>
    <x v="793"/>
    <x v="345"/>
    <x v="76"/>
    <x v="0"/>
    <x v="313"/>
    <x v="335"/>
    <x v="3843"/>
    <x v="298"/>
    <x v="1843"/>
    <x v="2732"/>
    <x v="3207"/>
    <x v="4540"/>
    <x v="4497"/>
    <x v="3810"/>
    <x v="1"/>
    <x v="4439"/>
    <x v="4543"/>
    <x v="790"/>
    <x v="0"/>
    <x v="0"/>
    <x v="4"/>
    <x v="371"/>
    <x v="1"/>
    <x v="901"/>
    <x v="11"/>
    <x v="2"/>
    <x v="523"/>
  </r>
  <r>
    <x v="0"/>
    <x v="1090"/>
    <x v="282"/>
    <x v="52"/>
    <x v="195"/>
    <x v="517"/>
    <x v="25"/>
    <x v="2424"/>
    <x v="65"/>
    <x v="138"/>
    <x v="367"/>
    <x v="1215"/>
    <x v="2594"/>
    <x v="4498"/>
    <x v="2408"/>
    <x v="1"/>
    <x v="2573"/>
    <x v="2594"/>
    <x v="138"/>
    <x v="0"/>
    <x v="0"/>
    <x v="0"/>
    <x v="159"/>
    <x v="9"/>
    <x v="30"/>
    <x v="12"/>
    <x v="1"/>
    <x v="85"/>
  </r>
  <r>
    <x v="0"/>
    <x v="2142"/>
    <x v="311"/>
    <x v="86"/>
    <x v="85"/>
    <x v="44"/>
    <x v="29"/>
    <x v="3844"/>
    <x v="105"/>
    <x v="58"/>
    <x v="2373"/>
    <x v="869"/>
    <x v="4541"/>
    <x v="4499"/>
    <x v="3811"/>
    <x v="4"/>
    <x v="4440"/>
    <x v="4544"/>
    <x v="418"/>
    <x v="0"/>
    <x v="0"/>
    <x v="4"/>
    <x v="371"/>
    <x v="17"/>
    <x v="869"/>
    <x v="13"/>
    <x v="3"/>
    <x v="1"/>
  </r>
  <r>
    <x v="0"/>
    <x v="2143"/>
    <x v="412"/>
    <x v="98"/>
    <x v="0"/>
    <x v="298"/>
    <x v="471"/>
    <x v="4"/>
    <x v="270"/>
    <x v="1844"/>
    <x v="2733"/>
    <x v="3208"/>
    <x v="4542"/>
    <x v="4500"/>
    <x v="2095"/>
    <x v="1"/>
    <x v="4441"/>
    <x v="4545"/>
    <x v="188"/>
    <x v="3"/>
    <x v="10"/>
    <x v="1"/>
    <x v="365"/>
    <x v="10"/>
    <x v="253"/>
    <x v="10"/>
    <x v="12"/>
    <x v="804"/>
  </r>
  <r>
    <x v="0"/>
    <x v="2144"/>
    <x v="489"/>
    <x v="78"/>
    <x v="48"/>
    <x v="560"/>
    <x v="272"/>
    <x v="4"/>
    <x v="270"/>
    <x v="496"/>
    <x v="225"/>
    <x v="1745"/>
    <x v="4543"/>
    <x v="4501"/>
    <x v="3812"/>
    <x v="2"/>
    <x v="4442"/>
    <x v="4546"/>
    <x v="416"/>
    <x v="0"/>
    <x v="0"/>
    <x v="4"/>
    <x v="138"/>
    <x v="9"/>
    <x v="153"/>
    <x v="1"/>
    <x v="2"/>
    <x v="297"/>
  </r>
  <r>
    <x v="0"/>
    <x v="2145"/>
    <x v="389"/>
    <x v="76"/>
    <x v="5"/>
    <x v="162"/>
    <x v="812"/>
    <x v="3845"/>
    <x v="125"/>
    <x v="1845"/>
    <x v="1401"/>
    <x v="3209"/>
    <x v="4544"/>
    <x v="4502"/>
    <x v="1296"/>
    <x v="0"/>
    <x v="4443"/>
    <x v="4547"/>
    <x v="705"/>
    <x v="0"/>
    <x v="0"/>
    <x v="4"/>
    <x v="371"/>
    <x v="3"/>
    <x v="260"/>
    <x v="19"/>
    <x v="1"/>
    <x v="1"/>
  </r>
  <r>
    <x v="0"/>
    <x v="702"/>
    <x v="229"/>
    <x v="80"/>
    <x v="171"/>
    <x v="275"/>
    <x v="272"/>
    <x v="3846"/>
    <x v="105"/>
    <x v="765"/>
    <x v="2734"/>
    <x v="2210"/>
    <x v="4545"/>
    <x v="4503"/>
    <x v="3813"/>
    <x v="4"/>
    <x v="4444"/>
    <x v="4548"/>
    <x v="666"/>
    <x v="0"/>
    <x v="0"/>
    <x v="4"/>
    <x v="4"/>
    <x v="3"/>
    <x v="316"/>
    <x v="10"/>
    <x v="1"/>
    <x v="1"/>
  </r>
  <r>
    <x v="0"/>
    <x v="2146"/>
    <x v="441"/>
    <x v="54"/>
    <x v="125"/>
    <x v="402"/>
    <x v="813"/>
    <x v="3847"/>
    <x v="874"/>
    <x v="1846"/>
    <x v="2735"/>
    <x v="3210"/>
    <x v="4546"/>
    <x v="4504"/>
    <x v="1547"/>
    <x v="1"/>
    <x v="4445"/>
    <x v="4549"/>
    <x v="469"/>
    <x v="0"/>
    <x v="0"/>
    <x v="2"/>
    <x v="372"/>
    <x v="19"/>
    <x v="663"/>
    <x v="23"/>
    <x v="3"/>
    <x v="818"/>
  </r>
  <r>
    <x v="0"/>
    <x v="1656"/>
    <x v="373"/>
    <x v="79"/>
    <x v="263"/>
    <x v="166"/>
    <x v="814"/>
    <x v="4"/>
    <x v="168"/>
    <x v="1847"/>
    <x v="2736"/>
    <x v="2611"/>
    <x v="4547"/>
    <x v="4505"/>
    <x v="3814"/>
    <x v="0"/>
    <x v="4446"/>
    <x v="4550"/>
    <x v="547"/>
    <x v="0"/>
    <x v="1"/>
    <x v="4"/>
    <x v="149"/>
    <x v="7"/>
    <x v="627"/>
    <x v="15"/>
    <x v="1"/>
    <x v="718"/>
  </r>
  <r>
    <x v="0"/>
    <x v="1696"/>
    <x v="441"/>
    <x v="107"/>
    <x v="117"/>
    <x v="424"/>
    <x v="371"/>
    <x v="4"/>
    <x v="875"/>
    <x v="1567"/>
    <x v="2737"/>
    <x v="3211"/>
    <x v="4548"/>
    <x v="4506"/>
    <x v="3815"/>
    <x v="4"/>
    <x v="4447"/>
    <x v="4551"/>
    <x v="790"/>
    <x v="0"/>
    <x v="0"/>
    <x v="1"/>
    <x v="373"/>
    <x v="2"/>
    <x v="900"/>
    <x v="41"/>
    <x v="2"/>
    <x v="528"/>
  </r>
  <r>
    <x v="0"/>
    <x v="2147"/>
    <x v="478"/>
    <x v="78"/>
    <x v="193"/>
    <x v="755"/>
    <x v="0"/>
    <x v="4"/>
    <x v="60"/>
    <x v="1848"/>
    <x v="2738"/>
    <x v="3212"/>
    <x v="4549"/>
    <x v="4507"/>
    <x v="3816"/>
    <x v="1"/>
    <x v="4"/>
    <x v="4552"/>
    <x v="843"/>
    <x v="0"/>
    <x v="0"/>
    <x v="1"/>
    <x v="344"/>
    <x v="2"/>
    <x v="190"/>
    <x v="75"/>
    <x v="2"/>
    <x v="819"/>
  </r>
  <r>
    <x v="0"/>
    <x v="2148"/>
    <x v="151"/>
    <x v="32"/>
    <x v="0"/>
    <x v="903"/>
    <x v="309"/>
    <x v="3848"/>
    <x v="498"/>
    <x v="1849"/>
    <x v="2739"/>
    <x v="3213"/>
    <x v="4550"/>
    <x v="651"/>
    <x v="1785"/>
    <x v="4"/>
    <x v="4448"/>
    <x v="4553"/>
    <x v="434"/>
    <x v="44"/>
    <x v="44"/>
    <x v="0"/>
    <x v="149"/>
    <x v="10"/>
    <x v="586"/>
    <x v="26"/>
    <x v="3"/>
    <x v="10"/>
  </r>
  <r>
    <x v="0"/>
    <x v="2149"/>
    <x v="441"/>
    <x v="41"/>
    <x v="78"/>
    <x v="567"/>
    <x v="815"/>
    <x v="4"/>
    <x v="582"/>
    <x v="1850"/>
    <x v="2740"/>
    <x v="3214"/>
    <x v="4551"/>
    <x v="4508"/>
    <x v="2891"/>
    <x v="1"/>
    <x v="4449"/>
    <x v="4554"/>
    <x v="843"/>
    <x v="0"/>
    <x v="1"/>
    <x v="1"/>
    <x v="4"/>
    <x v="0"/>
    <x v="604"/>
    <x v="8"/>
    <x v="2"/>
    <x v="574"/>
  </r>
  <r>
    <x v="0"/>
    <x v="1686"/>
    <x v="336"/>
    <x v="76"/>
    <x v="392"/>
    <x v="38"/>
    <x v="128"/>
    <x v="3849"/>
    <x v="200"/>
    <x v="1128"/>
    <x v="2741"/>
    <x v="3215"/>
    <x v="4552"/>
    <x v="4509"/>
    <x v="3817"/>
    <x v="1"/>
    <x v="4450"/>
    <x v="4555"/>
    <x v="149"/>
    <x v="0"/>
    <x v="0"/>
    <x v="4"/>
    <x v="297"/>
    <x v="16"/>
    <x v="902"/>
    <x v="7"/>
    <x v="3"/>
    <x v="1"/>
  </r>
  <r>
    <x v="0"/>
    <x v="1839"/>
    <x v="492"/>
    <x v="37"/>
    <x v="134"/>
    <x v="745"/>
    <x v="561"/>
    <x v="3850"/>
    <x v="17"/>
    <x v="1851"/>
    <x v="2742"/>
    <x v="3216"/>
    <x v="4553"/>
    <x v="4510"/>
    <x v="3514"/>
    <x v="1"/>
    <x v="4451"/>
    <x v="4556"/>
    <x v="510"/>
    <x v="0"/>
    <x v="0"/>
    <x v="4"/>
    <x v="297"/>
    <x v="27"/>
    <x v="599"/>
    <x v="13"/>
    <x v="3"/>
    <x v="612"/>
  </r>
  <r>
    <x v="0"/>
    <x v="1311"/>
    <x v="349"/>
    <x v="76"/>
    <x v="85"/>
    <x v="453"/>
    <x v="476"/>
    <x v="3851"/>
    <x v="17"/>
    <x v="1852"/>
    <x v="2730"/>
    <x v="3217"/>
    <x v="4554"/>
    <x v="4511"/>
    <x v="2702"/>
    <x v="1"/>
    <x v="4452"/>
    <x v="4557"/>
    <x v="675"/>
    <x v="0"/>
    <x v="10"/>
    <x v="4"/>
    <x v="297"/>
    <x v="19"/>
    <x v="283"/>
    <x v="13"/>
    <x v="3"/>
    <x v="820"/>
  </r>
  <r>
    <x v="1"/>
    <x v="2150"/>
    <x v="184"/>
    <x v="47"/>
    <x v="122"/>
    <x v="708"/>
    <x v="220"/>
    <x v="3852"/>
    <x v="352"/>
    <x v="1853"/>
    <x v="2743"/>
    <x v="3218"/>
    <x v="4555"/>
    <x v="4512"/>
    <x v="3818"/>
    <x v="1"/>
    <x v="4453"/>
    <x v="4558"/>
    <x v="591"/>
    <x v="15"/>
    <x v="8"/>
    <x v="9"/>
    <x v="4"/>
    <x v="85"/>
    <x v="658"/>
    <x v="25"/>
    <x v="8"/>
    <x v="641"/>
  </r>
  <r>
    <x v="0"/>
    <x v="2151"/>
    <x v="451"/>
    <x v="54"/>
    <x v="0"/>
    <x v="563"/>
    <x v="145"/>
    <x v="4"/>
    <x v="270"/>
    <x v="269"/>
    <x v="2744"/>
    <x v="3219"/>
    <x v="4556"/>
    <x v="3310"/>
    <x v="1966"/>
    <x v="4"/>
    <x v="4454"/>
    <x v="4559"/>
    <x v="326"/>
    <x v="0"/>
    <x v="0"/>
    <x v="1"/>
    <x v="371"/>
    <x v="8"/>
    <x v="789"/>
    <x v="38"/>
    <x v="0"/>
    <x v="492"/>
  </r>
  <r>
    <x v="0"/>
    <x v="2152"/>
    <x v="429"/>
    <x v="105"/>
    <x v="0"/>
    <x v="298"/>
    <x v="611"/>
    <x v="4"/>
    <x v="270"/>
    <x v="1854"/>
    <x v="2745"/>
    <x v="3220"/>
    <x v="4557"/>
    <x v="4513"/>
    <x v="2833"/>
    <x v="0"/>
    <x v="4455"/>
    <x v="4560"/>
    <x v="744"/>
    <x v="6"/>
    <x v="52"/>
    <x v="10"/>
    <x v="297"/>
    <x v="14"/>
    <x v="624"/>
    <x v="13"/>
    <x v="2"/>
    <x v="361"/>
  </r>
  <r>
    <x v="0"/>
    <x v="381"/>
    <x v="207"/>
    <x v="27"/>
    <x v="19"/>
    <x v="561"/>
    <x v="737"/>
    <x v="3853"/>
    <x v="306"/>
    <x v="1569"/>
    <x v="1699"/>
    <x v="893"/>
    <x v="4558"/>
    <x v="4514"/>
    <x v="3819"/>
    <x v="0"/>
    <x v="4456"/>
    <x v="4561"/>
    <x v="167"/>
    <x v="0"/>
    <x v="10"/>
    <x v="4"/>
    <x v="297"/>
    <x v="15"/>
    <x v="549"/>
    <x v="12"/>
    <x v="3"/>
    <x v="821"/>
  </r>
  <r>
    <x v="0"/>
    <x v="2153"/>
    <x v="479"/>
    <x v="50"/>
    <x v="221"/>
    <x v="775"/>
    <x v="656"/>
    <x v="4"/>
    <x v="352"/>
    <x v="1855"/>
    <x v="2746"/>
    <x v="1688"/>
    <x v="4559"/>
    <x v="4515"/>
    <x v="2168"/>
    <x v="1"/>
    <x v="4457"/>
    <x v="4562"/>
    <x v="737"/>
    <x v="0"/>
    <x v="0"/>
    <x v="4"/>
    <x v="297"/>
    <x v="17"/>
    <x v="732"/>
    <x v="13"/>
    <x v="2"/>
    <x v="822"/>
  </r>
  <r>
    <x v="0"/>
    <x v="2154"/>
    <x v="457"/>
    <x v="101"/>
    <x v="0"/>
    <x v="120"/>
    <x v="0"/>
    <x v="3854"/>
    <x v="270"/>
    <x v="995"/>
    <x v="2747"/>
    <x v="3221"/>
    <x v="4560"/>
    <x v="4501"/>
    <x v="3820"/>
    <x v="0"/>
    <x v="4458"/>
    <x v="4563"/>
    <x v="416"/>
    <x v="0"/>
    <x v="0"/>
    <x v="4"/>
    <x v="4"/>
    <x v="21"/>
    <x v="664"/>
    <x v="39"/>
    <x v="2"/>
    <x v="404"/>
  </r>
  <r>
    <x v="0"/>
    <x v="2155"/>
    <x v="489"/>
    <x v="41"/>
    <x v="423"/>
    <x v="869"/>
    <x v="816"/>
    <x v="3855"/>
    <x v="125"/>
    <x v="1856"/>
    <x v="2748"/>
    <x v="3222"/>
    <x v="4561"/>
    <x v="4516"/>
    <x v="3378"/>
    <x v="2"/>
    <x v="4"/>
    <x v="4564"/>
    <x v="547"/>
    <x v="0"/>
    <x v="0"/>
    <x v="9"/>
    <x v="374"/>
    <x v="11"/>
    <x v="300"/>
    <x v="37"/>
    <x v="2"/>
    <x v="1"/>
  </r>
  <r>
    <x v="0"/>
    <x v="450"/>
    <x v="400"/>
    <x v="43"/>
    <x v="158"/>
    <x v="170"/>
    <x v="641"/>
    <x v="3856"/>
    <x v="476"/>
    <x v="1265"/>
    <x v="2749"/>
    <x v="3223"/>
    <x v="4562"/>
    <x v="4517"/>
    <x v="3821"/>
    <x v="0"/>
    <x v="4459"/>
    <x v="4565"/>
    <x v="694"/>
    <x v="33"/>
    <x v="37"/>
    <x v="9"/>
    <x v="297"/>
    <x v="0"/>
    <x v="866"/>
    <x v="21"/>
    <x v="3"/>
    <x v="33"/>
  </r>
  <r>
    <x v="0"/>
    <x v="2156"/>
    <x v="193"/>
    <x v="78"/>
    <x v="47"/>
    <x v="691"/>
    <x v="523"/>
    <x v="3857"/>
    <x v="876"/>
    <x v="1857"/>
    <x v="2750"/>
    <x v="3224"/>
    <x v="4563"/>
    <x v="4518"/>
    <x v="3822"/>
    <x v="0"/>
    <x v="4460"/>
    <x v="4566"/>
    <x v="486"/>
    <x v="0"/>
    <x v="0"/>
    <x v="0"/>
    <x v="375"/>
    <x v="17"/>
    <x v="440"/>
    <x v="2"/>
    <x v="2"/>
    <x v="103"/>
  </r>
  <r>
    <x v="0"/>
    <x v="2157"/>
    <x v="93"/>
    <x v="185"/>
    <x v="0"/>
    <x v="683"/>
    <x v="214"/>
    <x v="4"/>
    <x v="877"/>
    <x v="1858"/>
    <x v="2751"/>
    <x v="3225"/>
    <x v="4564"/>
    <x v="4519"/>
    <x v="3272"/>
    <x v="1"/>
    <x v="4461"/>
    <x v="4567"/>
    <x v="416"/>
    <x v="0"/>
    <x v="0"/>
    <x v="1"/>
    <x v="4"/>
    <x v="3"/>
    <x v="595"/>
    <x v="5"/>
    <x v="2"/>
    <x v="751"/>
  </r>
  <r>
    <x v="0"/>
    <x v="142"/>
    <x v="388"/>
    <x v="52"/>
    <x v="0"/>
    <x v="882"/>
    <x v="2"/>
    <x v="3858"/>
    <x v="379"/>
    <x v="42"/>
    <x v="2752"/>
    <x v="3226"/>
    <x v="4565"/>
    <x v="1524"/>
    <x v="3823"/>
    <x v="1"/>
    <x v="4462"/>
    <x v="4568"/>
    <x v="102"/>
    <x v="0"/>
    <x v="0"/>
    <x v="2"/>
    <x v="376"/>
    <x v="44"/>
    <x v="12"/>
    <x v="7"/>
    <x v="1"/>
    <x v="1"/>
  </r>
  <r>
    <x v="0"/>
    <x v="2004"/>
    <x v="152"/>
    <x v="128"/>
    <x v="122"/>
    <x v="298"/>
    <x v="683"/>
    <x v="4"/>
    <x v="837"/>
    <x v="1859"/>
    <x v="2753"/>
    <x v="3227"/>
    <x v="4566"/>
    <x v="4520"/>
    <x v="2560"/>
    <x v="0"/>
    <x v="4463"/>
    <x v="4569"/>
    <x v="343"/>
    <x v="0"/>
    <x v="0"/>
    <x v="1"/>
    <x v="377"/>
    <x v="7"/>
    <x v="253"/>
    <x v="16"/>
    <x v="0"/>
    <x v="670"/>
  </r>
  <r>
    <x v="0"/>
    <x v="2158"/>
    <x v="249"/>
    <x v="107"/>
    <x v="193"/>
    <x v="419"/>
    <x v="35"/>
    <x v="3859"/>
    <x v="878"/>
    <x v="653"/>
    <x v="2754"/>
    <x v="2831"/>
    <x v="4567"/>
    <x v="4521"/>
    <x v="3824"/>
    <x v="0"/>
    <x v="4464"/>
    <x v="4570"/>
    <x v="546"/>
    <x v="0"/>
    <x v="0"/>
    <x v="4"/>
    <x v="377"/>
    <x v="1"/>
    <x v="726"/>
    <x v="8"/>
    <x v="3"/>
    <x v="783"/>
  </r>
  <r>
    <x v="0"/>
    <x v="22"/>
    <x v="168"/>
    <x v="107"/>
    <x v="15"/>
    <x v="44"/>
    <x v="408"/>
    <x v="3860"/>
    <x v="105"/>
    <x v="750"/>
    <x v="1355"/>
    <x v="53"/>
    <x v="4568"/>
    <x v="4522"/>
    <x v="3825"/>
    <x v="0"/>
    <x v="4465"/>
    <x v="4571"/>
    <x v="635"/>
    <x v="0"/>
    <x v="0"/>
    <x v="4"/>
    <x v="377"/>
    <x v="3"/>
    <x v="693"/>
    <x v="15"/>
    <x v="1"/>
    <x v="77"/>
  </r>
  <r>
    <x v="0"/>
    <x v="1854"/>
    <x v="451"/>
    <x v="71"/>
    <x v="5"/>
    <x v="220"/>
    <x v="817"/>
    <x v="3861"/>
    <x v="771"/>
    <x v="1860"/>
    <x v="2755"/>
    <x v="3228"/>
    <x v="4569"/>
    <x v="4523"/>
    <x v="3826"/>
    <x v="1"/>
    <x v="4466"/>
    <x v="4572"/>
    <x v="824"/>
    <x v="0"/>
    <x v="0"/>
    <x v="4"/>
    <x v="4"/>
    <x v="10"/>
    <x v="403"/>
    <x v="7"/>
    <x v="3"/>
    <x v="696"/>
  </r>
  <r>
    <x v="0"/>
    <x v="2159"/>
    <x v="246"/>
    <x v="54"/>
    <x v="309"/>
    <x v="377"/>
    <x v="659"/>
    <x v="3862"/>
    <x v="444"/>
    <x v="1315"/>
    <x v="1336"/>
    <x v="529"/>
    <x v="4570"/>
    <x v="4524"/>
    <x v="3418"/>
    <x v="0"/>
    <x v="4467"/>
    <x v="4573"/>
    <x v="120"/>
    <x v="0"/>
    <x v="1"/>
    <x v="9"/>
    <x v="149"/>
    <x v="10"/>
    <x v="347"/>
    <x v="22"/>
    <x v="1"/>
    <x v="1"/>
  </r>
  <r>
    <x v="0"/>
    <x v="2101"/>
    <x v="140"/>
    <x v="59"/>
    <x v="419"/>
    <x v="323"/>
    <x v="328"/>
    <x v="3863"/>
    <x v="429"/>
    <x v="1808"/>
    <x v="2756"/>
    <x v="3229"/>
    <x v="4571"/>
    <x v="4525"/>
    <x v="2486"/>
    <x v="0"/>
    <x v="4468"/>
    <x v="4574"/>
    <x v="556"/>
    <x v="0"/>
    <x v="0"/>
    <x v="4"/>
    <x v="377"/>
    <x v="10"/>
    <x v="667"/>
    <x v="34"/>
    <x v="1"/>
    <x v="1"/>
  </r>
  <r>
    <x v="0"/>
    <x v="331"/>
    <x v="305"/>
    <x v="71"/>
    <x v="203"/>
    <x v="600"/>
    <x v="14"/>
    <x v="2352"/>
    <x v="164"/>
    <x v="61"/>
    <x v="1540"/>
    <x v="1845"/>
    <x v="2512"/>
    <x v="4526"/>
    <x v="2345"/>
    <x v="1"/>
    <x v="2492"/>
    <x v="2512"/>
    <x v="273"/>
    <x v="0"/>
    <x v="0"/>
    <x v="0"/>
    <x v="178"/>
    <x v="0"/>
    <x v="183"/>
    <x v="30"/>
    <x v="1"/>
    <x v="1"/>
  </r>
  <r>
    <x v="0"/>
    <x v="798"/>
    <x v="293"/>
    <x v="11"/>
    <x v="305"/>
    <x v="358"/>
    <x v="744"/>
    <x v="4"/>
    <x v="270"/>
    <x v="1861"/>
    <x v="2757"/>
    <x v="3230"/>
    <x v="4572"/>
    <x v="4527"/>
    <x v="2127"/>
    <x v="1"/>
    <x v="4469"/>
    <x v="4575"/>
    <x v="420"/>
    <x v="17"/>
    <x v="20"/>
    <x v="4"/>
    <x v="377"/>
    <x v="48"/>
    <x v="903"/>
    <x v="14"/>
    <x v="10"/>
    <x v="1"/>
  </r>
  <r>
    <x v="0"/>
    <x v="222"/>
    <x v="308"/>
    <x v="76"/>
    <x v="153"/>
    <x v="502"/>
    <x v="818"/>
    <x v="3864"/>
    <x v="270"/>
    <x v="1862"/>
    <x v="2758"/>
    <x v="3231"/>
    <x v="4573"/>
    <x v="4528"/>
    <x v="2551"/>
    <x v="0"/>
    <x v="4470"/>
    <x v="4576"/>
    <x v="755"/>
    <x v="0"/>
    <x v="0"/>
    <x v="4"/>
    <x v="377"/>
    <x v="19"/>
    <x v="582"/>
    <x v="4"/>
    <x v="0"/>
    <x v="823"/>
  </r>
  <r>
    <x v="0"/>
    <x v="2160"/>
    <x v="277"/>
    <x v="77"/>
    <x v="198"/>
    <x v="14"/>
    <x v="0"/>
    <x v="3865"/>
    <x v="438"/>
    <x v="1110"/>
    <x v="2759"/>
    <x v="3232"/>
    <x v="4574"/>
    <x v="4529"/>
    <x v="3827"/>
    <x v="0"/>
    <x v="4471"/>
    <x v="4577"/>
    <x v="169"/>
    <x v="0"/>
    <x v="1"/>
    <x v="4"/>
    <x v="365"/>
    <x v="8"/>
    <x v="362"/>
    <x v="31"/>
    <x v="3"/>
    <x v="1"/>
  </r>
  <r>
    <x v="0"/>
    <x v="691"/>
    <x v="167"/>
    <x v="78"/>
    <x v="12"/>
    <x v="457"/>
    <x v="689"/>
    <x v="4"/>
    <x v="429"/>
    <x v="1863"/>
    <x v="2567"/>
    <x v="3233"/>
    <x v="4575"/>
    <x v="4530"/>
    <x v="1762"/>
    <x v="1"/>
    <x v="4472"/>
    <x v="4578"/>
    <x v="756"/>
    <x v="0"/>
    <x v="0"/>
    <x v="4"/>
    <x v="377"/>
    <x v="7"/>
    <x v="467"/>
    <x v="23"/>
    <x v="1"/>
    <x v="43"/>
  </r>
  <r>
    <x v="0"/>
    <x v="2161"/>
    <x v="385"/>
    <x v="54"/>
    <x v="221"/>
    <x v="266"/>
    <x v="580"/>
    <x v="4"/>
    <x v="429"/>
    <x v="1864"/>
    <x v="2760"/>
    <x v="3234"/>
    <x v="4576"/>
    <x v="4531"/>
    <x v="3828"/>
    <x v="0"/>
    <x v="4473"/>
    <x v="4579"/>
    <x v="737"/>
    <x v="0"/>
    <x v="0"/>
    <x v="4"/>
    <x v="377"/>
    <x v="0"/>
    <x v="685"/>
    <x v="69"/>
    <x v="3"/>
    <x v="592"/>
  </r>
  <r>
    <x v="1"/>
    <x v="1568"/>
    <x v="155"/>
    <x v="79"/>
    <x v="101"/>
    <x v="103"/>
    <x v="36"/>
    <x v="4"/>
    <x v="879"/>
    <x v="1419"/>
    <x v="2306"/>
    <x v="3235"/>
    <x v="4577"/>
    <x v="4532"/>
    <x v="2520"/>
    <x v="0"/>
    <x v="4474"/>
    <x v="4580"/>
    <x v="936"/>
    <x v="0"/>
    <x v="0"/>
    <x v="2"/>
    <x v="377"/>
    <x v="69"/>
    <x v="435"/>
    <x v="14"/>
    <x v="15"/>
    <x v="67"/>
  </r>
  <r>
    <x v="0"/>
    <x v="1458"/>
    <x v="302"/>
    <x v="92"/>
    <x v="80"/>
    <x v="621"/>
    <x v="635"/>
    <x v="3866"/>
    <x v="880"/>
    <x v="1865"/>
    <x v="2761"/>
    <x v="3236"/>
    <x v="4578"/>
    <x v="4533"/>
    <x v="3774"/>
    <x v="0"/>
    <x v="4475"/>
    <x v="4581"/>
    <x v="169"/>
    <x v="0"/>
    <x v="0"/>
    <x v="0"/>
    <x v="378"/>
    <x v="24"/>
    <x v="794"/>
    <x v="24"/>
    <x v="8"/>
    <x v="1"/>
  </r>
  <r>
    <x v="0"/>
    <x v="2162"/>
    <x v="324"/>
    <x v="107"/>
    <x v="164"/>
    <x v="320"/>
    <x v="656"/>
    <x v="3867"/>
    <x v="305"/>
    <x v="1866"/>
    <x v="2762"/>
    <x v="3237"/>
    <x v="4579"/>
    <x v="3842"/>
    <x v="3829"/>
    <x v="0"/>
    <x v="4476"/>
    <x v="4582"/>
    <x v="835"/>
    <x v="0"/>
    <x v="0"/>
    <x v="0"/>
    <x v="4"/>
    <x v="12"/>
    <x v="131"/>
    <x v="1"/>
    <x v="8"/>
    <x v="449"/>
  </r>
  <r>
    <x v="0"/>
    <x v="28"/>
    <x v="169"/>
    <x v="4"/>
    <x v="20"/>
    <x v="162"/>
    <x v="13"/>
    <x v="4"/>
    <x v="0"/>
    <x v="13"/>
    <x v="10"/>
    <x v="250"/>
    <x v="4580"/>
    <x v="4534"/>
    <x v="3830"/>
    <x v="0"/>
    <x v="4477"/>
    <x v="4583"/>
    <x v="744"/>
    <x v="0"/>
    <x v="0"/>
    <x v="1"/>
    <x v="4"/>
    <x v="11"/>
    <x v="9"/>
    <x v="14"/>
    <x v="2"/>
    <x v="103"/>
  </r>
  <r>
    <x v="0"/>
    <x v="1641"/>
    <x v="272"/>
    <x v="55"/>
    <x v="79"/>
    <x v="221"/>
    <x v="819"/>
    <x v="3868"/>
    <x v="152"/>
    <x v="1867"/>
    <x v="2763"/>
    <x v="3238"/>
    <x v="4581"/>
    <x v="4535"/>
    <x v="894"/>
    <x v="1"/>
    <x v="4478"/>
    <x v="4584"/>
    <x v="558"/>
    <x v="0"/>
    <x v="0"/>
    <x v="13"/>
    <x v="378"/>
    <x v="18"/>
    <x v="736"/>
    <x v="13"/>
    <x v="3"/>
    <x v="824"/>
  </r>
  <r>
    <x v="0"/>
    <x v="2163"/>
    <x v="430"/>
    <x v="27"/>
    <x v="0"/>
    <x v="192"/>
    <x v="418"/>
    <x v="4"/>
    <x v="150"/>
    <x v="1868"/>
    <x v="2764"/>
    <x v="3239"/>
    <x v="4582"/>
    <x v="4536"/>
    <x v="3732"/>
    <x v="9"/>
    <x v="4479"/>
    <x v="4585"/>
    <x v="789"/>
    <x v="0"/>
    <x v="0"/>
    <x v="0"/>
    <x v="138"/>
    <x v="11"/>
    <x v="824"/>
    <x v="22"/>
    <x v="1"/>
    <x v="825"/>
  </r>
  <r>
    <x v="0"/>
    <x v="2164"/>
    <x v="385"/>
    <x v="76"/>
    <x v="0"/>
    <x v="412"/>
    <x v="423"/>
    <x v="4"/>
    <x v="484"/>
    <x v="768"/>
    <x v="2765"/>
    <x v="598"/>
    <x v="4583"/>
    <x v="4537"/>
    <x v="3831"/>
    <x v="0"/>
    <x v="4480"/>
    <x v="4586"/>
    <x v="896"/>
    <x v="0"/>
    <x v="0"/>
    <x v="0"/>
    <x v="4"/>
    <x v="0"/>
    <x v="219"/>
    <x v="61"/>
    <x v="2"/>
    <x v="826"/>
  </r>
  <r>
    <x v="0"/>
    <x v="16"/>
    <x v="25"/>
    <x v="19"/>
    <x v="0"/>
    <x v="19"/>
    <x v="18"/>
    <x v="25"/>
    <x v="16"/>
    <x v="19"/>
    <x v="22"/>
    <x v="22"/>
    <x v="25"/>
    <x v="4538"/>
    <x v="1929"/>
    <x v="0"/>
    <x v="25"/>
    <x v="25"/>
    <x v="25"/>
    <x v="0"/>
    <x v="3"/>
    <x v="0"/>
    <x v="15"/>
    <x v="12"/>
    <x v="656"/>
    <x v="13"/>
    <x v="1"/>
    <x v="1"/>
  </r>
  <r>
    <x v="0"/>
    <x v="444"/>
    <x v="103"/>
    <x v="26"/>
    <x v="241"/>
    <x v="371"/>
    <x v="52"/>
    <x v="1383"/>
    <x v="429"/>
    <x v="592"/>
    <x v="978"/>
    <x v="1127"/>
    <x v="1437"/>
    <x v="4539"/>
    <x v="3832"/>
    <x v="0"/>
    <x v="1427"/>
    <x v="1437"/>
    <x v="746"/>
    <x v="0"/>
    <x v="5"/>
    <x v="4"/>
    <x v="116"/>
    <x v="12"/>
    <x v="67"/>
    <x v="43"/>
    <x v="3"/>
    <x v="1"/>
  </r>
  <r>
    <x v="0"/>
    <x v="2165"/>
    <x v="132"/>
    <x v="11"/>
    <x v="45"/>
    <x v="304"/>
    <x v="186"/>
    <x v="3869"/>
    <x v="270"/>
    <x v="350"/>
    <x v="2766"/>
    <x v="3240"/>
    <x v="4584"/>
    <x v="4540"/>
    <x v="3833"/>
    <x v="4"/>
    <x v="4481"/>
    <x v="4587"/>
    <x v="483"/>
    <x v="0"/>
    <x v="0"/>
    <x v="4"/>
    <x v="378"/>
    <x v="7"/>
    <x v="904"/>
    <x v="13"/>
    <x v="3"/>
    <x v="1"/>
  </r>
  <r>
    <x v="0"/>
    <x v="2166"/>
    <x v="412"/>
    <x v="86"/>
    <x v="0"/>
    <x v="38"/>
    <x v="88"/>
    <x v="3870"/>
    <x v="270"/>
    <x v="1869"/>
    <x v="2767"/>
    <x v="3241"/>
    <x v="4585"/>
    <x v="4541"/>
    <x v="3834"/>
    <x v="2"/>
    <x v="4482"/>
    <x v="4588"/>
    <x v="843"/>
    <x v="0"/>
    <x v="0"/>
    <x v="0"/>
    <x v="378"/>
    <x v="20"/>
    <x v="722"/>
    <x v="12"/>
    <x v="2"/>
    <x v="827"/>
  </r>
  <r>
    <x v="0"/>
    <x v="2167"/>
    <x v="429"/>
    <x v="95"/>
    <x v="122"/>
    <x v="358"/>
    <x v="335"/>
    <x v="3871"/>
    <x v="125"/>
    <x v="1870"/>
    <x v="2768"/>
    <x v="3242"/>
    <x v="4586"/>
    <x v="4542"/>
    <x v="2569"/>
    <x v="4"/>
    <x v="4483"/>
    <x v="4589"/>
    <x v="225"/>
    <x v="0"/>
    <x v="0"/>
    <x v="4"/>
    <x v="313"/>
    <x v="13"/>
    <x v="749"/>
    <x v="12"/>
    <x v="2"/>
    <x v="227"/>
  </r>
  <r>
    <x v="0"/>
    <x v="2168"/>
    <x v="385"/>
    <x v="43"/>
    <x v="0"/>
    <x v="709"/>
    <x v="363"/>
    <x v="4"/>
    <x v="168"/>
    <x v="660"/>
    <x v="2769"/>
    <x v="3243"/>
    <x v="4587"/>
    <x v="4543"/>
    <x v="3835"/>
    <x v="3"/>
    <x v="4484"/>
    <x v="4590"/>
    <x v="326"/>
    <x v="0"/>
    <x v="0"/>
    <x v="1"/>
    <x v="377"/>
    <x v="2"/>
    <x v="788"/>
    <x v="41"/>
    <x v="1"/>
    <x v="253"/>
  </r>
  <r>
    <x v="1"/>
    <x v="2169"/>
    <x v="262"/>
    <x v="78"/>
    <x v="89"/>
    <x v="179"/>
    <x v="652"/>
    <x v="3872"/>
    <x v="471"/>
    <x v="1871"/>
    <x v="2770"/>
    <x v="3244"/>
    <x v="4588"/>
    <x v="4544"/>
    <x v="3836"/>
    <x v="0"/>
    <x v="4485"/>
    <x v="4591"/>
    <x v="167"/>
    <x v="0"/>
    <x v="0"/>
    <x v="9"/>
    <x v="4"/>
    <x v="9"/>
    <x v="756"/>
    <x v="31"/>
    <x v="3"/>
    <x v="1"/>
  </r>
  <r>
    <x v="0"/>
    <x v="2170"/>
    <x v="152"/>
    <x v="33"/>
    <x v="216"/>
    <x v="227"/>
    <x v="306"/>
    <x v="4"/>
    <x v="4"/>
    <x v="1872"/>
    <x v="1888"/>
    <x v="289"/>
    <x v="4589"/>
    <x v="4545"/>
    <x v="3837"/>
    <x v="0"/>
    <x v="4486"/>
    <x v="4592"/>
    <x v="824"/>
    <x v="0"/>
    <x v="1"/>
    <x v="1"/>
    <x v="379"/>
    <x v="0"/>
    <x v="712"/>
    <x v="38"/>
    <x v="2"/>
    <x v="828"/>
  </r>
  <r>
    <x v="0"/>
    <x v="2171"/>
    <x v="93"/>
    <x v="186"/>
    <x v="0"/>
    <x v="502"/>
    <x v="0"/>
    <x v="4"/>
    <x v="4"/>
    <x v="114"/>
    <x v="2771"/>
    <x v="3245"/>
    <x v="4590"/>
    <x v="4546"/>
    <x v="834"/>
    <x v="1"/>
    <x v="4487"/>
    <x v="4593"/>
    <x v="326"/>
    <x v="0"/>
    <x v="0"/>
    <x v="1"/>
    <x v="313"/>
    <x v="11"/>
    <x v="541"/>
    <x v="38"/>
    <x v="2"/>
    <x v="829"/>
  </r>
  <r>
    <x v="0"/>
    <x v="2172"/>
    <x v="384"/>
    <x v="78"/>
    <x v="198"/>
    <x v="120"/>
    <x v="378"/>
    <x v="4"/>
    <x v="208"/>
    <x v="691"/>
    <x v="2772"/>
    <x v="3246"/>
    <x v="4591"/>
    <x v="4547"/>
    <x v="3838"/>
    <x v="0"/>
    <x v="4488"/>
    <x v="4594"/>
    <x v="788"/>
    <x v="0"/>
    <x v="0"/>
    <x v="0"/>
    <x v="313"/>
    <x v="3"/>
    <x v="700"/>
    <x v="28"/>
    <x v="1"/>
    <x v="103"/>
  </r>
  <r>
    <x v="0"/>
    <x v="2173"/>
    <x v="451"/>
    <x v="175"/>
    <x v="198"/>
    <x v="10"/>
    <x v="784"/>
    <x v="4"/>
    <x v="306"/>
    <x v="1718"/>
    <x v="2773"/>
    <x v="3247"/>
    <x v="4592"/>
    <x v="4215"/>
    <x v="3839"/>
    <x v="7"/>
    <x v="4489"/>
    <x v="4595"/>
    <x v="685"/>
    <x v="0"/>
    <x v="0"/>
    <x v="1"/>
    <x v="380"/>
    <x v="9"/>
    <x v="8"/>
    <x v="65"/>
    <x v="2"/>
    <x v="1"/>
  </r>
  <r>
    <x v="0"/>
    <x v="2174"/>
    <x v="81"/>
    <x v="50"/>
    <x v="143"/>
    <x v="387"/>
    <x v="207"/>
    <x v="4"/>
    <x v="200"/>
    <x v="1873"/>
    <x v="1562"/>
    <x v="398"/>
    <x v="4593"/>
    <x v="4548"/>
    <x v="1562"/>
    <x v="4"/>
    <x v="4490"/>
    <x v="4596"/>
    <x v="786"/>
    <x v="0"/>
    <x v="0"/>
    <x v="1"/>
    <x v="378"/>
    <x v="2"/>
    <x v="565"/>
    <x v="43"/>
    <x v="2"/>
    <x v="1"/>
  </r>
  <r>
    <x v="1"/>
    <x v="2175"/>
    <x v="240"/>
    <x v="113"/>
    <x v="123"/>
    <x v="549"/>
    <x v="135"/>
    <x v="3546"/>
    <x v="616"/>
    <x v="1874"/>
    <x v="2774"/>
    <x v="3248"/>
    <x v="4594"/>
    <x v="4549"/>
    <x v="2348"/>
    <x v="4"/>
    <x v="4491"/>
    <x v="4597"/>
    <x v="465"/>
    <x v="0"/>
    <x v="0"/>
    <x v="11"/>
    <x v="381"/>
    <x v="86"/>
    <x v="97"/>
    <x v="6"/>
    <x v="15"/>
    <x v="103"/>
  </r>
  <r>
    <x v="1"/>
    <x v="2176"/>
    <x v="355"/>
    <x v="113"/>
    <x v="107"/>
    <x v="530"/>
    <x v="578"/>
    <x v="3873"/>
    <x v="429"/>
    <x v="1875"/>
    <x v="2775"/>
    <x v="3249"/>
    <x v="4595"/>
    <x v="4550"/>
    <x v="3840"/>
    <x v="0"/>
    <x v="4492"/>
    <x v="4598"/>
    <x v="948"/>
    <x v="0"/>
    <x v="0"/>
    <x v="4"/>
    <x v="382"/>
    <x v="15"/>
    <x v="749"/>
    <x v="21"/>
    <x v="8"/>
    <x v="1"/>
  </r>
  <r>
    <x v="0"/>
    <x v="2177"/>
    <x v="302"/>
    <x v="83"/>
    <x v="125"/>
    <x v="653"/>
    <x v="656"/>
    <x v="3874"/>
    <x v="881"/>
    <x v="1876"/>
    <x v="2776"/>
    <x v="3250"/>
    <x v="4596"/>
    <x v="4551"/>
    <x v="3841"/>
    <x v="0"/>
    <x v="4493"/>
    <x v="4599"/>
    <x v="377"/>
    <x v="0"/>
    <x v="0"/>
    <x v="4"/>
    <x v="374"/>
    <x v="48"/>
    <x v="214"/>
    <x v="14"/>
    <x v="5"/>
    <x v="1"/>
  </r>
  <r>
    <x v="0"/>
    <x v="459"/>
    <x v="249"/>
    <x v="105"/>
    <x v="243"/>
    <x v="660"/>
    <x v="721"/>
    <x v="4"/>
    <x v="125"/>
    <x v="1877"/>
    <x v="2777"/>
    <x v="3251"/>
    <x v="4597"/>
    <x v="4552"/>
    <x v="3842"/>
    <x v="0"/>
    <x v="4494"/>
    <x v="4600"/>
    <x v="558"/>
    <x v="0"/>
    <x v="0"/>
    <x v="4"/>
    <x v="313"/>
    <x v="47"/>
    <x v="438"/>
    <x v="12"/>
    <x v="3"/>
    <x v="1"/>
  </r>
  <r>
    <x v="0"/>
    <x v="1878"/>
    <x v="464"/>
    <x v="11"/>
    <x v="106"/>
    <x v="741"/>
    <x v="820"/>
    <x v="3875"/>
    <x v="718"/>
    <x v="1878"/>
    <x v="2778"/>
    <x v="3252"/>
    <x v="4598"/>
    <x v="4553"/>
    <x v="2738"/>
    <x v="1"/>
    <x v="4495"/>
    <x v="4601"/>
    <x v="655"/>
    <x v="0"/>
    <x v="0"/>
    <x v="0"/>
    <x v="374"/>
    <x v="21"/>
    <x v="662"/>
    <x v="23"/>
    <x v="3"/>
    <x v="830"/>
  </r>
  <r>
    <x v="0"/>
    <x v="2178"/>
    <x v="4"/>
    <x v="33"/>
    <x v="0"/>
    <x v="280"/>
    <x v="124"/>
    <x v="3876"/>
    <x v="60"/>
    <x v="1879"/>
    <x v="2779"/>
    <x v="3253"/>
    <x v="4599"/>
    <x v="4554"/>
    <x v="3843"/>
    <x v="2"/>
    <x v="4"/>
    <x v="4602"/>
    <x v="854"/>
    <x v="0"/>
    <x v="0"/>
    <x v="0"/>
    <x v="374"/>
    <x v="1"/>
    <x v="658"/>
    <x v="23"/>
    <x v="0"/>
    <x v="679"/>
  </r>
  <r>
    <x v="0"/>
    <x v="2179"/>
    <x v="465"/>
    <x v="78"/>
    <x v="198"/>
    <x v="337"/>
    <x v="108"/>
    <x v="3877"/>
    <x v="270"/>
    <x v="204"/>
    <x v="1796"/>
    <x v="3254"/>
    <x v="4600"/>
    <x v="4555"/>
    <x v="1268"/>
    <x v="0"/>
    <x v="4496"/>
    <x v="4603"/>
    <x v="786"/>
    <x v="0"/>
    <x v="0"/>
    <x v="4"/>
    <x v="374"/>
    <x v="20"/>
    <x v="796"/>
    <x v="4"/>
    <x v="3"/>
    <x v="799"/>
  </r>
  <r>
    <x v="0"/>
    <x v="2180"/>
    <x v="4"/>
    <x v="76"/>
    <x v="69"/>
    <x v="385"/>
    <x v="418"/>
    <x v="3878"/>
    <x v="152"/>
    <x v="761"/>
    <x v="2780"/>
    <x v="3255"/>
    <x v="4601"/>
    <x v="4556"/>
    <x v="2582"/>
    <x v="0"/>
    <x v="4"/>
    <x v="4604"/>
    <x v="4"/>
    <x v="0"/>
    <x v="0"/>
    <x v="9"/>
    <x v="4"/>
    <x v="9"/>
    <x v="641"/>
    <x v="22"/>
    <x v="2"/>
    <x v="706"/>
  </r>
  <r>
    <x v="0"/>
    <x v="2181"/>
    <x v="417"/>
    <x v="72"/>
    <x v="0"/>
    <x v="298"/>
    <x v="471"/>
    <x v="4"/>
    <x v="4"/>
    <x v="1880"/>
    <x v="2781"/>
    <x v="3256"/>
    <x v="4602"/>
    <x v="4557"/>
    <x v="2095"/>
    <x v="3"/>
    <x v="4"/>
    <x v="4605"/>
    <x v="188"/>
    <x v="3"/>
    <x v="1"/>
    <x v="1"/>
    <x v="379"/>
    <x v="2"/>
    <x v="253"/>
    <x v="16"/>
    <x v="2"/>
    <x v="831"/>
  </r>
  <r>
    <x v="0"/>
    <x v="2182"/>
    <x v="464"/>
    <x v="69"/>
    <x v="221"/>
    <x v="298"/>
    <x v="471"/>
    <x v="4"/>
    <x v="4"/>
    <x v="1881"/>
    <x v="2782"/>
    <x v="3257"/>
    <x v="4603"/>
    <x v="4558"/>
    <x v="2095"/>
    <x v="0"/>
    <x v="4497"/>
    <x v="4606"/>
    <x v="96"/>
    <x v="0"/>
    <x v="0"/>
    <x v="1"/>
    <x v="377"/>
    <x v="19"/>
    <x v="253"/>
    <x v="15"/>
    <x v="2"/>
    <x v="731"/>
  </r>
  <r>
    <x v="0"/>
    <x v="2183"/>
    <x v="4"/>
    <x v="78"/>
    <x v="0"/>
    <x v="279"/>
    <x v="544"/>
    <x v="4"/>
    <x v="65"/>
    <x v="1882"/>
    <x v="1907"/>
    <x v="3258"/>
    <x v="4604"/>
    <x v="276"/>
    <x v="3051"/>
    <x v="0"/>
    <x v="4498"/>
    <x v="4607"/>
    <x v="326"/>
    <x v="0"/>
    <x v="0"/>
    <x v="0"/>
    <x v="374"/>
    <x v="11"/>
    <x v="11"/>
    <x v="25"/>
    <x v="2"/>
    <x v="780"/>
  </r>
  <r>
    <x v="0"/>
    <x v="2184"/>
    <x v="465"/>
    <x v="58"/>
    <x v="69"/>
    <x v="621"/>
    <x v="318"/>
    <x v="4"/>
    <x v="200"/>
    <x v="796"/>
    <x v="2783"/>
    <x v="3259"/>
    <x v="4605"/>
    <x v="4559"/>
    <x v="3844"/>
    <x v="4"/>
    <x v="4499"/>
    <x v="4608"/>
    <x v="326"/>
    <x v="3"/>
    <x v="10"/>
    <x v="1"/>
    <x v="4"/>
    <x v="6"/>
    <x v="820"/>
    <x v="13"/>
    <x v="2"/>
    <x v="832"/>
  </r>
  <r>
    <x v="0"/>
    <x v="2185"/>
    <x v="385"/>
    <x v="42"/>
    <x v="78"/>
    <x v="87"/>
    <x v="821"/>
    <x v="4"/>
    <x v="582"/>
    <x v="1883"/>
    <x v="364"/>
    <x v="3260"/>
    <x v="4606"/>
    <x v="4560"/>
    <x v="3845"/>
    <x v="0"/>
    <x v="4"/>
    <x v="4609"/>
    <x v="561"/>
    <x v="0"/>
    <x v="0"/>
    <x v="1"/>
    <x v="374"/>
    <x v="9"/>
    <x v="243"/>
    <x v="33"/>
    <x v="2"/>
    <x v="592"/>
  </r>
  <r>
    <x v="1"/>
    <x v="421"/>
    <x v="353"/>
    <x v="101"/>
    <x v="137"/>
    <x v="872"/>
    <x v="596"/>
    <x v="3879"/>
    <x v="405"/>
    <x v="1884"/>
    <x v="2784"/>
    <x v="3261"/>
    <x v="4607"/>
    <x v="4561"/>
    <x v="146"/>
    <x v="1"/>
    <x v="4500"/>
    <x v="4610"/>
    <x v="623"/>
    <x v="0"/>
    <x v="1"/>
    <x v="11"/>
    <x v="383"/>
    <x v="53"/>
    <x v="791"/>
    <x v="16"/>
    <x v="21"/>
    <x v="1"/>
  </r>
  <r>
    <x v="0"/>
    <x v="2186"/>
    <x v="320"/>
    <x v="110"/>
    <x v="85"/>
    <x v="4"/>
    <x v="790"/>
    <x v="3880"/>
    <x v="4"/>
    <x v="1763"/>
    <x v="217"/>
    <x v="4"/>
    <x v="4608"/>
    <x v="363"/>
    <x v="2095"/>
    <x v="0"/>
    <x v="4501"/>
    <x v="4611"/>
    <x v="188"/>
    <x v="0"/>
    <x v="0"/>
    <x v="1"/>
    <x v="383"/>
    <x v="10"/>
    <x v="147"/>
    <x v="13"/>
    <x v="2"/>
    <x v="536"/>
  </r>
  <r>
    <x v="0"/>
    <x v="2187"/>
    <x v="169"/>
    <x v="76"/>
    <x v="31"/>
    <x v="402"/>
    <x v="35"/>
    <x v="4"/>
    <x v="17"/>
    <x v="157"/>
    <x v="2785"/>
    <x v="2480"/>
    <x v="4609"/>
    <x v="4562"/>
    <x v="3846"/>
    <x v="1"/>
    <x v="4502"/>
    <x v="4612"/>
    <x v="561"/>
    <x v="0"/>
    <x v="0"/>
    <x v="4"/>
    <x v="384"/>
    <x v="45"/>
    <x v="573"/>
    <x v="9"/>
    <x v="2"/>
    <x v="833"/>
  </r>
  <r>
    <x v="0"/>
    <x v="2188"/>
    <x v="412"/>
    <x v="105"/>
    <x v="0"/>
    <x v="298"/>
    <x v="471"/>
    <x v="4"/>
    <x v="125"/>
    <x v="1885"/>
    <x v="2786"/>
    <x v="3262"/>
    <x v="4610"/>
    <x v="4563"/>
    <x v="2095"/>
    <x v="5"/>
    <x v="4"/>
    <x v="4613"/>
    <x v="188"/>
    <x v="45"/>
    <x v="59"/>
    <x v="1"/>
    <x v="149"/>
    <x v="2"/>
    <x v="253"/>
    <x v="21"/>
    <x v="1"/>
    <x v="492"/>
  </r>
  <r>
    <x v="0"/>
    <x v="1896"/>
    <x v="401"/>
    <x v="40"/>
    <x v="409"/>
    <x v="370"/>
    <x v="164"/>
    <x v="3881"/>
    <x v="17"/>
    <x v="1886"/>
    <x v="2787"/>
    <x v="3263"/>
    <x v="4611"/>
    <x v="4564"/>
    <x v="2296"/>
    <x v="0"/>
    <x v="4503"/>
    <x v="4614"/>
    <x v="699"/>
    <x v="0"/>
    <x v="0"/>
    <x v="2"/>
    <x v="149"/>
    <x v="8"/>
    <x v="784"/>
    <x v="12"/>
    <x v="3"/>
    <x v="1"/>
  </r>
  <r>
    <x v="0"/>
    <x v="2189"/>
    <x v="307"/>
    <x v="69"/>
    <x v="424"/>
    <x v="298"/>
    <x v="471"/>
    <x v="4"/>
    <x v="882"/>
    <x v="1887"/>
    <x v="2788"/>
    <x v="3264"/>
    <x v="4612"/>
    <x v="4565"/>
    <x v="2095"/>
    <x v="1"/>
    <x v="4504"/>
    <x v="4615"/>
    <x v="416"/>
    <x v="8"/>
    <x v="16"/>
    <x v="1"/>
    <x v="384"/>
    <x v="9"/>
    <x v="253"/>
    <x v="15"/>
    <x v="3"/>
    <x v="834"/>
  </r>
  <r>
    <x v="0"/>
    <x v="2190"/>
    <x v="451"/>
    <x v="107"/>
    <x v="192"/>
    <x v="667"/>
    <x v="822"/>
    <x v="3882"/>
    <x v="883"/>
    <x v="1888"/>
    <x v="2789"/>
    <x v="3265"/>
    <x v="4613"/>
    <x v="4566"/>
    <x v="1748"/>
    <x v="0"/>
    <x v="4505"/>
    <x v="4616"/>
    <x v="225"/>
    <x v="0"/>
    <x v="0"/>
    <x v="3"/>
    <x v="149"/>
    <x v="55"/>
    <x v="581"/>
    <x v="9"/>
    <x v="3"/>
    <x v="482"/>
  </r>
  <r>
    <x v="0"/>
    <x v="1895"/>
    <x v="98"/>
    <x v="139"/>
    <x v="134"/>
    <x v="321"/>
    <x v="712"/>
    <x v="3883"/>
    <x v="884"/>
    <x v="1889"/>
    <x v="2790"/>
    <x v="3266"/>
    <x v="4614"/>
    <x v="4567"/>
    <x v="3528"/>
    <x v="1"/>
    <x v="4506"/>
    <x v="4617"/>
    <x v="564"/>
    <x v="0"/>
    <x v="0"/>
    <x v="4"/>
    <x v="149"/>
    <x v="17"/>
    <x v="689"/>
    <x v="20"/>
    <x v="3"/>
    <x v="1"/>
  </r>
  <r>
    <x v="0"/>
    <x v="2191"/>
    <x v="385"/>
    <x v="101"/>
    <x v="425"/>
    <x v="14"/>
    <x v="75"/>
    <x v="4"/>
    <x v="125"/>
    <x v="696"/>
    <x v="154"/>
    <x v="3267"/>
    <x v="4615"/>
    <x v="4568"/>
    <x v="2151"/>
    <x v="5"/>
    <x v="4"/>
    <x v="4618"/>
    <x v="416"/>
    <x v="0"/>
    <x v="0"/>
    <x v="4"/>
    <x v="4"/>
    <x v="10"/>
    <x v="74"/>
    <x v="28"/>
    <x v="2"/>
    <x v="653"/>
  </r>
  <r>
    <x v="0"/>
    <x v="2192"/>
    <x v="299"/>
    <x v="55"/>
    <x v="193"/>
    <x v="458"/>
    <x v="562"/>
    <x v="3884"/>
    <x v="577"/>
    <x v="1890"/>
    <x v="2791"/>
    <x v="3268"/>
    <x v="4616"/>
    <x v="4569"/>
    <x v="3847"/>
    <x v="0"/>
    <x v="4507"/>
    <x v="4619"/>
    <x v="591"/>
    <x v="0"/>
    <x v="0"/>
    <x v="2"/>
    <x v="149"/>
    <x v="47"/>
    <x v="131"/>
    <x v="18"/>
    <x v="3"/>
    <x v="1"/>
  </r>
  <r>
    <x v="0"/>
    <x v="2193"/>
    <x v="274"/>
    <x v="72"/>
    <x v="216"/>
    <x v="298"/>
    <x v="471"/>
    <x v="3885"/>
    <x v="885"/>
    <x v="1891"/>
    <x v="2792"/>
    <x v="3269"/>
    <x v="4617"/>
    <x v="4570"/>
    <x v="2095"/>
    <x v="4"/>
    <x v="4508"/>
    <x v="4620"/>
    <x v="632"/>
    <x v="0"/>
    <x v="0"/>
    <x v="2"/>
    <x v="4"/>
    <x v="12"/>
    <x v="253"/>
    <x v="7"/>
    <x v="3"/>
    <x v="435"/>
  </r>
  <r>
    <x v="0"/>
    <x v="910"/>
    <x v="166"/>
    <x v="71"/>
    <x v="323"/>
    <x v="763"/>
    <x v="13"/>
    <x v="3886"/>
    <x v="200"/>
    <x v="13"/>
    <x v="1507"/>
    <x v="1624"/>
    <x v="4618"/>
    <x v="4571"/>
    <x v="3848"/>
    <x v="0"/>
    <x v="4509"/>
    <x v="4621"/>
    <x v="634"/>
    <x v="0"/>
    <x v="0"/>
    <x v="4"/>
    <x v="149"/>
    <x v="17"/>
    <x v="133"/>
    <x v="16"/>
    <x v="3"/>
    <x v="1"/>
  </r>
  <r>
    <x v="0"/>
    <x v="2194"/>
    <x v="393"/>
    <x v="60"/>
    <x v="221"/>
    <x v="744"/>
    <x v="235"/>
    <x v="3887"/>
    <x v="270"/>
    <x v="1822"/>
    <x v="1969"/>
    <x v="3270"/>
    <x v="4619"/>
    <x v="4572"/>
    <x v="3199"/>
    <x v="1"/>
    <x v="4510"/>
    <x v="4622"/>
    <x v="650"/>
    <x v="0"/>
    <x v="0"/>
    <x v="0"/>
    <x v="138"/>
    <x v="0"/>
    <x v="146"/>
    <x v="1"/>
    <x v="1"/>
    <x v="1"/>
  </r>
  <r>
    <x v="0"/>
    <x v="2195"/>
    <x v="343"/>
    <x v="50"/>
    <x v="221"/>
    <x v="621"/>
    <x v="823"/>
    <x v="3888"/>
    <x v="4"/>
    <x v="1892"/>
    <x v="2793"/>
    <x v="3271"/>
    <x v="4620"/>
    <x v="4573"/>
    <x v="3178"/>
    <x v="0"/>
    <x v="4511"/>
    <x v="4623"/>
    <x v="712"/>
    <x v="0"/>
    <x v="0"/>
    <x v="2"/>
    <x v="4"/>
    <x v="7"/>
    <x v="423"/>
    <x v="38"/>
    <x v="10"/>
    <x v="138"/>
  </r>
  <r>
    <x v="0"/>
    <x v="2196"/>
    <x v="266"/>
    <x v="26"/>
    <x v="85"/>
    <x v="496"/>
    <x v="824"/>
    <x v="3889"/>
    <x v="886"/>
    <x v="1893"/>
    <x v="2794"/>
    <x v="3272"/>
    <x v="4621"/>
    <x v="4574"/>
    <x v="3849"/>
    <x v="3"/>
    <x v="4512"/>
    <x v="4624"/>
    <x v="670"/>
    <x v="0"/>
    <x v="0"/>
    <x v="4"/>
    <x v="149"/>
    <x v="15"/>
    <x v="462"/>
    <x v="32"/>
    <x v="3"/>
    <x v="306"/>
  </r>
  <r>
    <x v="0"/>
    <x v="2197"/>
    <x v="451"/>
    <x v="58"/>
    <x v="0"/>
    <x v="100"/>
    <x v="825"/>
    <x v="3890"/>
    <x v="105"/>
    <x v="1894"/>
    <x v="2795"/>
    <x v="3273"/>
    <x v="4622"/>
    <x v="4575"/>
    <x v="3850"/>
    <x v="0"/>
    <x v="4513"/>
    <x v="4625"/>
    <x v="327"/>
    <x v="0"/>
    <x v="0"/>
    <x v="2"/>
    <x v="149"/>
    <x v="19"/>
    <x v="893"/>
    <x v="21"/>
    <x v="2"/>
    <x v="757"/>
  </r>
  <r>
    <x v="0"/>
    <x v="2198"/>
    <x v="353"/>
    <x v="105"/>
    <x v="85"/>
    <x v="298"/>
    <x v="342"/>
    <x v="3891"/>
    <x v="270"/>
    <x v="1895"/>
    <x v="2796"/>
    <x v="3274"/>
    <x v="4623"/>
    <x v="4576"/>
    <x v="1998"/>
    <x v="1"/>
    <x v="4514"/>
    <x v="4626"/>
    <x v="356"/>
    <x v="19"/>
    <x v="60"/>
    <x v="0"/>
    <x v="385"/>
    <x v="17"/>
    <x v="253"/>
    <x v="38"/>
    <x v="3"/>
    <x v="1"/>
  </r>
  <r>
    <x v="0"/>
    <x v="2199"/>
    <x v="207"/>
    <x v="41"/>
    <x v="0"/>
    <x v="79"/>
    <x v="593"/>
    <x v="3892"/>
    <x v="4"/>
    <x v="1896"/>
    <x v="2797"/>
    <x v="3275"/>
    <x v="4624"/>
    <x v="4577"/>
    <x v="3851"/>
    <x v="1"/>
    <x v="4515"/>
    <x v="4627"/>
    <x v="685"/>
    <x v="0"/>
    <x v="0"/>
    <x v="10"/>
    <x v="149"/>
    <x v="10"/>
    <x v="221"/>
    <x v="2"/>
    <x v="12"/>
    <x v="313"/>
  </r>
  <r>
    <x v="0"/>
    <x v="2200"/>
    <x v="303"/>
    <x v="107"/>
    <x v="143"/>
    <x v="367"/>
    <x v="417"/>
    <x v="3893"/>
    <x v="419"/>
    <x v="1897"/>
    <x v="2798"/>
    <x v="3276"/>
    <x v="4625"/>
    <x v="4578"/>
    <x v="3038"/>
    <x v="0"/>
    <x v="4516"/>
    <x v="4628"/>
    <x v="169"/>
    <x v="0"/>
    <x v="0"/>
    <x v="4"/>
    <x v="149"/>
    <x v="21"/>
    <x v="327"/>
    <x v="12"/>
    <x v="3"/>
    <x v="1"/>
  </r>
  <r>
    <x v="0"/>
    <x v="2197"/>
    <x v="320"/>
    <x v="59"/>
    <x v="0"/>
    <x v="367"/>
    <x v="825"/>
    <x v="3894"/>
    <x v="697"/>
    <x v="1894"/>
    <x v="2799"/>
    <x v="3277"/>
    <x v="4626"/>
    <x v="4579"/>
    <x v="3564"/>
    <x v="0"/>
    <x v="4517"/>
    <x v="4629"/>
    <x v="705"/>
    <x v="0"/>
    <x v="0"/>
    <x v="2"/>
    <x v="149"/>
    <x v="17"/>
    <x v="840"/>
    <x v="19"/>
    <x v="2"/>
    <x v="623"/>
  </r>
  <r>
    <x v="0"/>
    <x v="1200"/>
    <x v="390"/>
    <x v="70"/>
    <x v="62"/>
    <x v="548"/>
    <x v="826"/>
    <x v="3895"/>
    <x v="270"/>
    <x v="1898"/>
    <x v="2800"/>
    <x v="856"/>
    <x v="4627"/>
    <x v="4580"/>
    <x v="3852"/>
    <x v="0"/>
    <x v="4518"/>
    <x v="4630"/>
    <x v="499"/>
    <x v="0"/>
    <x v="0"/>
    <x v="4"/>
    <x v="149"/>
    <x v="15"/>
    <x v="113"/>
    <x v="11"/>
    <x v="3"/>
    <x v="835"/>
  </r>
  <r>
    <x v="0"/>
    <x v="2201"/>
    <x v="450"/>
    <x v="78"/>
    <x v="134"/>
    <x v="53"/>
    <x v="147"/>
    <x v="3896"/>
    <x v="152"/>
    <x v="271"/>
    <x v="1249"/>
    <x v="1557"/>
    <x v="4628"/>
    <x v="4581"/>
    <x v="2878"/>
    <x v="0"/>
    <x v="4519"/>
    <x v="4631"/>
    <x v="142"/>
    <x v="0"/>
    <x v="0"/>
    <x v="4"/>
    <x v="149"/>
    <x v="14"/>
    <x v="649"/>
    <x v="11"/>
    <x v="3"/>
    <x v="103"/>
  </r>
  <r>
    <x v="1"/>
    <x v="1652"/>
    <x v="479"/>
    <x v="107"/>
    <x v="390"/>
    <x v="311"/>
    <x v="574"/>
    <x v="3897"/>
    <x v="352"/>
    <x v="1899"/>
    <x v="2801"/>
    <x v="3278"/>
    <x v="4629"/>
    <x v="4582"/>
    <x v="3853"/>
    <x v="3"/>
    <x v="4520"/>
    <x v="4632"/>
    <x v="732"/>
    <x v="0"/>
    <x v="0"/>
    <x v="4"/>
    <x v="149"/>
    <x v="13"/>
    <x v="289"/>
    <x v="12"/>
    <x v="3"/>
    <x v="799"/>
  </r>
  <r>
    <x v="0"/>
    <x v="2202"/>
    <x v="429"/>
    <x v="42"/>
    <x v="233"/>
    <x v="314"/>
    <x v="13"/>
    <x v="3898"/>
    <x v="127"/>
    <x v="13"/>
    <x v="869"/>
    <x v="417"/>
    <x v="4630"/>
    <x v="4583"/>
    <x v="3854"/>
    <x v="1"/>
    <x v="4521"/>
    <x v="4633"/>
    <x v="705"/>
    <x v="0"/>
    <x v="0"/>
    <x v="4"/>
    <x v="149"/>
    <x v="18"/>
    <x v="30"/>
    <x v="19"/>
    <x v="3"/>
    <x v="522"/>
  </r>
  <r>
    <x v="0"/>
    <x v="2203"/>
    <x v="492"/>
    <x v="43"/>
    <x v="122"/>
    <x v="889"/>
    <x v="510"/>
    <x v="3899"/>
    <x v="168"/>
    <x v="1900"/>
    <x v="2802"/>
    <x v="2799"/>
    <x v="4631"/>
    <x v="3193"/>
    <x v="3522"/>
    <x v="3"/>
    <x v="4522"/>
    <x v="4634"/>
    <x v="343"/>
    <x v="0"/>
    <x v="0"/>
    <x v="4"/>
    <x v="149"/>
    <x v="19"/>
    <x v="531"/>
    <x v="43"/>
    <x v="3"/>
    <x v="836"/>
  </r>
  <r>
    <x v="0"/>
    <x v="2022"/>
    <x v="225"/>
    <x v="43"/>
    <x v="119"/>
    <x v="65"/>
    <x v="322"/>
    <x v="3900"/>
    <x v="200"/>
    <x v="1795"/>
    <x v="2803"/>
    <x v="81"/>
    <x v="4632"/>
    <x v="2951"/>
    <x v="1299"/>
    <x v="0"/>
    <x v="4523"/>
    <x v="4635"/>
    <x v="327"/>
    <x v="0"/>
    <x v="0"/>
    <x v="4"/>
    <x v="149"/>
    <x v="12"/>
    <x v="299"/>
    <x v="4"/>
    <x v="3"/>
    <x v="432"/>
  </r>
  <r>
    <x v="0"/>
    <x v="2204"/>
    <x v="297"/>
    <x v="78"/>
    <x v="426"/>
    <x v="484"/>
    <x v="14"/>
    <x v="3901"/>
    <x v="105"/>
    <x v="351"/>
    <x v="1052"/>
    <x v="3279"/>
    <x v="4633"/>
    <x v="4584"/>
    <x v="3855"/>
    <x v="7"/>
    <x v="4524"/>
    <x v="4636"/>
    <x v="170"/>
    <x v="0"/>
    <x v="0"/>
    <x v="4"/>
    <x v="4"/>
    <x v="9"/>
    <x v="10"/>
    <x v="9"/>
    <x v="1"/>
    <x v="1"/>
  </r>
  <r>
    <x v="0"/>
    <x v="2205"/>
    <x v="347"/>
    <x v="76"/>
    <x v="0"/>
    <x v="594"/>
    <x v="827"/>
    <x v="3902"/>
    <x v="4"/>
    <x v="1901"/>
    <x v="2804"/>
    <x v="3280"/>
    <x v="4634"/>
    <x v="4585"/>
    <x v="3856"/>
    <x v="0"/>
    <x v="4525"/>
    <x v="4637"/>
    <x v="791"/>
    <x v="0"/>
    <x v="0"/>
    <x v="1"/>
    <x v="149"/>
    <x v="3"/>
    <x v="534"/>
    <x v="1"/>
    <x v="2"/>
    <x v="399"/>
  </r>
  <r>
    <x v="1"/>
    <x v="1270"/>
    <x v="155"/>
    <x v="134"/>
    <x v="0"/>
    <x v="597"/>
    <x v="462"/>
    <x v="3903"/>
    <x v="72"/>
    <x v="1902"/>
    <x v="2805"/>
    <x v="3281"/>
    <x v="4635"/>
    <x v="4586"/>
    <x v="3538"/>
    <x v="5"/>
    <x v="4526"/>
    <x v="4638"/>
    <x v="446"/>
    <x v="2"/>
    <x v="7"/>
    <x v="10"/>
    <x v="126"/>
    <x v="63"/>
    <x v="820"/>
    <x v="50"/>
    <x v="15"/>
    <x v="59"/>
  </r>
  <r>
    <x v="0"/>
    <x v="2206"/>
    <x v="396"/>
    <x v="71"/>
    <x v="85"/>
    <x v="316"/>
    <x v="794"/>
    <x v="3904"/>
    <x v="743"/>
    <x v="1903"/>
    <x v="2806"/>
    <x v="3282"/>
    <x v="4636"/>
    <x v="4587"/>
    <x v="2202"/>
    <x v="1"/>
    <x v="4527"/>
    <x v="4639"/>
    <x v="561"/>
    <x v="0"/>
    <x v="0"/>
    <x v="9"/>
    <x v="149"/>
    <x v="3"/>
    <x v="557"/>
    <x v="26"/>
    <x v="2"/>
    <x v="1"/>
  </r>
  <r>
    <x v="1"/>
    <x v="2207"/>
    <x v="81"/>
    <x v="55"/>
    <x v="211"/>
    <x v="54"/>
    <x v="2"/>
    <x v="4"/>
    <x v="434"/>
    <x v="75"/>
    <x v="2807"/>
    <x v="3283"/>
    <x v="4637"/>
    <x v="4588"/>
    <x v="3857"/>
    <x v="0"/>
    <x v="4528"/>
    <x v="4640"/>
    <x v="343"/>
    <x v="0"/>
    <x v="28"/>
    <x v="4"/>
    <x v="149"/>
    <x v="23"/>
    <x v="259"/>
    <x v="27"/>
    <x v="3"/>
    <x v="524"/>
  </r>
  <r>
    <x v="0"/>
    <x v="41"/>
    <x v="311"/>
    <x v="95"/>
    <x v="29"/>
    <x v="884"/>
    <x v="828"/>
    <x v="3905"/>
    <x v="125"/>
    <x v="1904"/>
    <x v="2808"/>
    <x v="3284"/>
    <x v="4638"/>
    <x v="4589"/>
    <x v="3858"/>
    <x v="0"/>
    <x v="4529"/>
    <x v="4641"/>
    <x v="818"/>
    <x v="0"/>
    <x v="0"/>
    <x v="9"/>
    <x v="149"/>
    <x v="1"/>
    <x v="97"/>
    <x v="5"/>
    <x v="3"/>
    <x v="837"/>
  </r>
  <r>
    <x v="0"/>
    <x v="2208"/>
    <x v="223"/>
    <x v="87"/>
    <x v="304"/>
    <x v="455"/>
    <x v="773"/>
    <x v="3906"/>
    <x v="63"/>
    <x v="1905"/>
    <x v="2809"/>
    <x v="3285"/>
    <x v="4639"/>
    <x v="4590"/>
    <x v="2277"/>
    <x v="0"/>
    <x v="4530"/>
    <x v="4642"/>
    <x v="796"/>
    <x v="0"/>
    <x v="10"/>
    <x v="4"/>
    <x v="149"/>
    <x v="5"/>
    <x v="513"/>
    <x v="27"/>
    <x v="3"/>
    <x v="34"/>
  </r>
  <r>
    <x v="0"/>
    <x v="119"/>
    <x v="159"/>
    <x v="50"/>
    <x v="69"/>
    <x v="136"/>
    <x v="30"/>
    <x v="183"/>
    <x v="85"/>
    <x v="110"/>
    <x v="154"/>
    <x v="167"/>
    <x v="186"/>
    <x v="4591"/>
    <x v="184"/>
    <x v="0"/>
    <x v="186"/>
    <x v="186"/>
    <x v="178"/>
    <x v="0"/>
    <x v="0"/>
    <x v="2"/>
    <x v="37"/>
    <x v="2"/>
    <x v="74"/>
    <x v="10"/>
    <x v="3"/>
    <x v="18"/>
  </r>
  <r>
    <x v="0"/>
    <x v="2142"/>
    <x v="435"/>
    <x v="7"/>
    <x v="85"/>
    <x v="703"/>
    <x v="331"/>
    <x v="3907"/>
    <x v="127"/>
    <x v="1906"/>
    <x v="2810"/>
    <x v="3286"/>
    <x v="4640"/>
    <x v="4592"/>
    <x v="2949"/>
    <x v="3"/>
    <x v="4531"/>
    <x v="4643"/>
    <x v="896"/>
    <x v="0"/>
    <x v="0"/>
    <x v="4"/>
    <x v="149"/>
    <x v="1"/>
    <x v="303"/>
    <x v="20"/>
    <x v="3"/>
    <x v="755"/>
  </r>
  <r>
    <x v="0"/>
    <x v="2209"/>
    <x v="479"/>
    <x v="52"/>
    <x v="69"/>
    <x v="93"/>
    <x v="186"/>
    <x v="3908"/>
    <x v="291"/>
    <x v="350"/>
    <x v="1156"/>
    <x v="3287"/>
    <x v="4641"/>
    <x v="4593"/>
    <x v="3859"/>
    <x v="4"/>
    <x v="4532"/>
    <x v="4644"/>
    <x v="646"/>
    <x v="0"/>
    <x v="0"/>
    <x v="4"/>
    <x v="149"/>
    <x v="19"/>
    <x v="30"/>
    <x v="9"/>
    <x v="1"/>
    <x v="838"/>
  </r>
  <r>
    <x v="0"/>
    <x v="2210"/>
    <x v="175"/>
    <x v="50"/>
    <x v="81"/>
    <x v="41"/>
    <x v="92"/>
    <x v="3909"/>
    <x v="211"/>
    <x v="411"/>
    <x v="2811"/>
    <x v="3288"/>
    <x v="4642"/>
    <x v="4594"/>
    <x v="3860"/>
    <x v="0"/>
    <x v="4533"/>
    <x v="4645"/>
    <x v="949"/>
    <x v="0"/>
    <x v="1"/>
    <x v="4"/>
    <x v="149"/>
    <x v="5"/>
    <x v="849"/>
    <x v="21"/>
    <x v="1"/>
    <x v="64"/>
  </r>
  <r>
    <x v="0"/>
    <x v="2211"/>
    <x v="412"/>
    <x v="101"/>
    <x v="0"/>
    <x v="731"/>
    <x v="114"/>
    <x v="4"/>
    <x v="270"/>
    <x v="1455"/>
    <x v="2812"/>
    <x v="1469"/>
    <x v="4643"/>
    <x v="3990"/>
    <x v="3861"/>
    <x v="3"/>
    <x v="1485"/>
    <x v="4646"/>
    <x v="744"/>
    <x v="0"/>
    <x v="0"/>
    <x v="2"/>
    <x v="4"/>
    <x v="12"/>
    <x v="378"/>
    <x v="40"/>
    <x v="3"/>
    <x v="645"/>
  </r>
  <r>
    <x v="0"/>
    <x v="2212"/>
    <x v="419"/>
    <x v="43"/>
    <x v="0"/>
    <x v="795"/>
    <x v="281"/>
    <x v="3910"/>
    <x v="125"/>
    <x v="603"/>
    <x v="2813"/>
    <x v="3289"/>
    <x v="4644"/>
    <x v="4595"/>
    <x v="3862"/>
    <x v="4"/>
    <x v="4534"/>
    <x v="4647"/>
    <x v="896"/>
    <x v="0"/>
    <x v="0"/>
    <x v="0"/>
    <x v="149"/>
    <x v="1"/>
    <x v="787"/>
    <x v="12"/>
    <x v="2"/>
    <x v="445"/>
  </r>
  <r>
    <x v="0"/>
    <x v="2213"/>
    <x v="207"/>
    <x v="101"/>
    <x v="47"/>
    <x v="114"/>
    <x v="576"/>
    <x v="3911"/>
    <x v="476"/>
    <x v="1102"/>
    <x v="2814"/>
    <x v="3290"/>
    <x v="4645"/>
    <x v="4596"/>
    <x v="1783"/>
    <x v="5"/>
    <x v="4535"/>
    <x v="4648"/>
    <x v="822"/>
    <x v="0"/>
    <x v="0"/>
    <x v="9"/>
    <x v="149"/>
    <x v="3"/>
    <x v="226"/>
    <x v="51"/>
    <x v="1"/>
    <x v="587"/>
  </r>
  <r>
    <x v="0"/>
    <x v="1847"/>
    <x v="492"/>
    <x v="42"/>
    <x v="0"/>
    <x v="298"/>
    <x v="665"/>
    <x v="4"/>
    <x v="70"/>
    <x v="1907"/>
    <x v="2815"/>
    <x v="3291"/>
    <x v="4646"/>
    <x v="4597"/>
    <x v="3105"/>
    <x v="1"/>
    <x v="4536"/>
    <x v="4649"/>
    <x v="561"/>
    <x v="4"/>
    <x v="9"/>
    <x v="1"/>
    <x v="119"/>
    <x v="7"/>
    <x v="231"/>
    <x v="16"/>
    <x v="1"/>
    <x v="839"/>
  </r>
  <r>
    <x v="0"/>
    <x v="2214"/>
    <x v="422"/>
    <x v="54"/>
    <x v="221"/>
    <x v="401"/>
    <x v="342"/>
    <x v="4"/>
    <x v="865"/>
    <x v="1908"/>
    <x v="2816"/>
    <x v="3292"/>
    <x v="4647"/>
    <x v="4598"/>
    <x v="3863"/>
    <x v="0"/>
    <x v="4537"/>
    <x v="4650"/>
    <x v="744"/>
    <x v="0"/>
    <x v="1"/>
    <x v="1"/>
    <x v="149"/>
    <x v="7"/>
    <x v="327"/>
    <x v="11"/>
    <x v="3"/>
    <x v="562"/>
  </r>
  <r>
    <x v="0"/>
    <x v="12"/>
    <x v="431"/>
    <x v="101"/>
    <x v="7"/>
    <x v="348"/>
    <x v="473"/>
    <x v="4"/>
    <x v="270"/>
    <x v="416"/>
    <x v="303"/>
    <x v="476"/>
    <x v="4648"/>
    <x v="4599"/>
    <x v="1653"/>
    <x v="0"/>
    <x v="4538"/>
    <x v="4651"/>
    <x v="896"/>
    <x v="0"/>
    <x v="0"/>
    <x v="4"/>
    <x v="344"/>
    <x v="21"/>
    <x v="205"/>
    <x v="4"/>
    <x v="3"/>
    <x v="517"/>
  </r>
  <r>
    <x v="0"/>
    <x v="468"/>
    <x v="146"/>
    <x v="58"/>
    <x v="21"/>
    <x v="266"/>
    <x v="473"/>
    <x v="3912"/>
    <x v="306"/>
    <x v="236"/>
    <x v="162"/>
    <x v="3293"/>
    <x v="4649"/>
    <x v="4600"/>
    <x v="3864"/>
    <x v="0"/>
    <x v="4539"/>
    <x v="4652"/>
    <x v="749"/>
    <x v="0"/>
    <x v="0"/>
    <x v="4"/>
    <x v="4"/>
    <x v="11"/>
    <x v="107"/>
    <x v="21"/>
    <x v="1"/>
    <x v="1"/>
  </r>
  <r>
    <x v="0"/>
    <x v="2215"/>
    <x v="4"/>
    <x v="46"/>
    <x v="216"/>
    <x v="298"/>
    <x v="129"/>
    <x v="4"/>
    <x v="582"/>
    <x v="1909"/>
    <x v="2817"/>
    <x v="3294"/>
    <x v="4650"/>
    <x v="4601"/>
    <x v="489"/>
    <x v="0"/>
    <x v="4"/>
    <x v="4653"/>
    <x v="416"/>
    <x v="0"/>
    <x v="0"/>
    <x v="1"/>
    <x v="149"/>
    <x v="12"/>
    <x v="253"/>
    <x v="27"/>
    <x v="8"/>
    <x v="1"/>
  </r>
  <r>
    <x v="0"/>
    <x v="2182"/>
    <x v="435"/>
    <x v="45"/>
    <x v="221"/>
    <x v="875"/>
    <x v="278"/>
    <x v="4"/>
    <x v="4"/>
    <x v="1910"/>
    <x v="2818"/>
    <x v="3295"/>
    <x v="4651"/>
    <x v="3734"/>
    <x v="406"/>
    <x v="1"/>
    <x v="4"/>
    <x v="4654"/>
    <x v="416"/>
    <x v="0"/>
    <x v="0"/>
    <x v="1"/>
    <x v="149"/>
    <x v="11"/>
    <x v="490"/>
    <x v="13"/>
    <x v="8"/>
    <x v="745"/>
  </r>
  <r>
    <x v="0"/>
    <x v="1474"/>
    <x v="422"/>
    <x v="33"/>
    <x v="122"/>
    <x v="134"/>
    <x v="9"/>
    <x v="4"/>
    <x v="17"/>
    <x v="279"/>
    <x v="774"/>
    <x v="3296"/>
    <x v="4652"/>
    <x v="4602"/>
    <x v="3865"/>
    <x v="3"/>
    <x v="4540"/>
    <x v="4655"/>
    <x v="487"/>
    <x v="0"/>
    <x v="1"/>
    <x v="0"/>
    <x v="4"/>
    <x v="3"/>
    <x v="88"/>
    <x v="13"/>
    <x v="1"/>
    <x v="1"/>
  </r>
  <r>
    <x v="0"/>
    <x v="2216"/>
    <x v="272"/>
    <x v="27"/>
    <x v="211"/>
    <x v="790"/>
    <x v="316"/>
    <x v="4"/>
    <x v="476"/>
    <x v="1911"/>
    <x v="2819"/>
    <x v="3297"/>
    <x v="4653"/>
    <x v="4603"/>
    <x v="3866"/>
    <x v="4"/>
    <x v="4541"/>
    <x v="4656"/>
    <x v="510"/>
    <x v="0"/>
    <x v="0"/>
    <x v="4"/>
    <x v="149"/>
    <x v="3"/>
    <x v="905"/>
    <x v="58"/>
    <x v="1"/>
    <x v="1"/>
  </r>
  <r>
    <x v="0"/>
    <x v="2217"/>
    <x v="4"/>
    <x v="78"/>
    <x v="0"/>
    <x v="450"/>
    <x v="197"/>
    <x v="4"/>
    <x v="887"/>
    <x v="1912"/>
    <x v="603"/>
    <x v="1231"/>
    <x v="4654"/>
    <x v="4130"/>
    <x v="3867"/>
    <x v="0"/>
    <x v="4"/>
    <x v="4657"/>
    <x v="4"/>
    <x v="0"/>
    <x v="0"/>
    <x v="1"/>
    <x v="4"/>
    <x v="2"/>
    <x v="60"/>
    <x v="7"/>
    <x v="2"/>
    <x v="523"/>
  </r>
  <r>
    <x v="0"/>
    <x v="2218"/>
    <x v="93"/>
    <x v="40"/>
    <x v="320"/>
    <x v="869"/>
    <x v="396"/>
    <x v="4"/>
    <x v="83"/>
    <x v="1913"/>
    <x v="2820"/>
    <x v="3298"/>
    <x v="4655"/>
    <x v="4519"/>
    <x v="3402"/>
    <x v="0"/>
    <x v="4542"/>
    <x v="4658"/>
    <x v="655"/>
    <x v="0"/>
    <x v="0"/>
    <x v="4"/>
    <x v="4"/>
    <x v="2"/>
    <x v="320"/>
    <x v="48"/>
    <x v="2"/>
    <x v="223"/>
  </r>
  <r>
    <x v="0"/>
    <x v="1231"/>
    <x v="387"/>
    <x v="41"/>
    <x v="58"/>
    <x v="250"/>
    <x v="0"/>
    <x v="2689"/>
    <x v="200"/>
    <x v="1118"/>
    <x v="1733"/>
    <x v="2067"/>
    <x v="2888"/>
    <x v="2881"/>
    <x v="663"/>
    <x v="1"/>
    <x v="2861"/>
    <x v="2888"/>
    <x v="894"/>
    <x v="0"/>
    <x v="0"/>
    <x v="0"/>
    <x v="176"/>
    <x v="19"/>
    <x v="789"/>
    <x v="47"/>
    <x v="3"/>
    <x v="1"/>
  </r>
  <r>
    <x v="0"/>
    <x v="2219"/>
    <x v="396"/>
    <x v="78"/>
    <x v="0"/>
    <x v="209"/>
    <x v="829"/>
    <x v="4"/>
    <x v="60"/>
    <x v="1914"/>
    <x v="1418"/>
    <x v="3299"/>
    <x v="4656"/>
    <x v="4604"/>
    <x v="3731"/>
    <x v="3"/>
    <x v="4543"/>
    <x v="4659"/>
    <x v="727"/>
    <x v="0"/>
    <x v="0"/>
    <x v="4"/>
    <x v="149"/>
    <x v="10"/>
    <x v="715"/>
    <x v="4"/>
    <x v="2"/>
    <x v="102"/>
  </r>
  <r>
    <x v="0"/>
    <x v="2220"/>
    <x v="93"/>
    <x v="59"/>
    <x v="0"/>
    <x v="100"/>
    <x v="561"/>
    <x v="4"/>
    <x v="152"/>
    <x v="1915"/>
    <x v="2821"/>
    <x v="3300"/>
    <x v="4657"/>
    <x v="4605"/>
    <x v="3356"/>
    <x v="1"/>
    <x v="4"/>
    <x v="4660"/>
    <x v="326"/>
    <x v="6"/>
    <x v="61"/>
    <x v="4"/>
    <x v="149"/>
    <x v="3"/>
    <x v="562"/>
    <x v="8"/>
    <x v="12"/>
    <x v="834"/>
  </r>
  <r>
    <x v="0"/>
    <x v="2221"/>
    <x v="320"/>
    <x v="50"/>
    <x v="0"/>
    <x v="322"/>
    <x v="350"/>
    <x v="4"/>
    <x v="888"/>
    <x v="1916"/>
    <x v="2822"/>
    <x v="3301"/>
    <x v="4658"/>
    <x v="2337"/>
    <x v="1181"/>
    <x v="0"/>
    <x v="4544"/>
    <x v="4661"/>
    <x v="188"/>
    <x v="0"/>
    <x v="0"/>
    <x v="0"/>
    <x v="386"/>
    <x v="6"/>
    <x v="609"/>
    <x v="61"/>
    <x v="2"/>
    <x v="740"/>
  </r>
  <r>
    <x v="0"/>
    <x v="1303"/>
    <x v="81"/>
    <x v="55"/>
    <x v="160"/>
    <x v="498"/>
    <x v="292"/>
    <x v="4"/>
    <x v="889"/>
    <x v="609"/>
    <x v="1474"/>
    <x v="3302"/>
    <x v="4659"/>
    <x v="4606"/>
    <x v="3868"/>
    <x v="7"/>
    <x v="4545"/>
    <x v="4662"/>
    <x v="822"/>
    <x v="0"/>
    <x v="0"/>
    <x v="1"/>
    <x v="149"/>
    <x v="6"/>
    <x v="728"/>
    <x v="38"/>
    <x v="0"/>
    <x v="840"/>
  </r>
  <r>
    <x v="0"/>
    <x v="2222"/>
    <x v="93"/>
    <x v="78"/>
    <x v="0"/>
    <x v="858"/>
    <x v="512"/>
    <x v="4"/>
    <x v="890"/>
    <x v="1917"/>
    <x v="2823"/>
    <x v="3303"/>
    <x v="4660"/>
    <x v="4607"/>
    <x v="3869"/>
    <x v="0"/>
    <x v="4"/>
    <x v="4663"/>
    <x v="326"/>
    <x v="0"/>
    <x v="0"/>
    <x v="4"/>
    <x v="4"/>
    <x v="11"/>
    <x v="711"/>
    <x v="24"/>
    <x v="2"/>
    <x v="429"/>
  </r>
  <r>
    <x v="0"/>
    <x v="2223"/>
    <x v="93"/>
    <x v="26"/>
    <x v="427"/>
    <x v="538"/>
    <x v="830"/>
    <x v="4"/>
    <x v="784"/>
    <x v="1918"/>
    <x v="2824"/>
    <x v="3304"/>
    <x v="4661"/>
    <x v="2572"/>
    <x v="3870"/>
    <x v="4"/>
    <x v="4"/>
    <x v="4664"/>
    <x v="854"/>
    <x v="0"/>
    <x v="0"/>
    <x v="2"/>
    <x v="149"/>
    <x v="6"/>
    <x v="754"/>
    <x v="20"/>
    <x v="2"/>
    <x v="1"/>
  </r>
  <r>
    <x v="0"/>
    <x v="2224"/>
    <x v="81"/>
    <x v="87"/>
    <x v="0"/>
    <x v="298"/>
    <x v="471"/>
    <x v="3913"/>
    <x v="891"/>
    <x v="1919"/>
    <x v="2825"/>
    <x v="3305"/>
    <x v="4662"/>
    <x v="4608"/>
    <x v="2095"/>
    <x v="1"/>
    <x v="4546"/>
    <x v="4665"/>
    <x v="896"/>
    <x v="0"/>
    <x v="0"/>
    <x v="1"/>
    <x v="149"/>
    <x v="11"/>
    <x v="253"/>
    <x v="2"/>
    <x v="2"/>
    <x v="623"/>
  </r>
  <r>
    <x v="0"/>
    <x v="2225"/>
    <x v="93"/>
    <x v="95"/>
    <x v="0"/>
    <x v="778"/>
    <x v="402"/>
    <x v="4"/>
    <x v="784"/>
    <x v="1920"/>
    <x v="2826"/>
    <x v="3306"/>
    <x v="4663"/>
    <x v="4609"/>
    <x v="490"/>
    <x v="4"/>
    <x v="4"/>
    <x v="4666"/>
    <x v="326"/>
    <x v="0"/>
    <x v="0"/>
    <x v="1"/>
    <x v="149"/>
    <x v="6"/>
    <x v="221"/>
    <x v="31"/>
    <x v="12"/>
    <x v="780"/>
  </r>
  <r>
    <x v="0"/>
    <x v="6"/>
    <x v="37"/>
    <x v="29"/>
    <x v="0"/>
    <x v="21"/>
    <x v="28"/>
    <x v="38"/>
    <x v="15"/>
    <x v="29"/>
    <x v="34"/>
    <x v="33"/>
    <x v="38"/>
    <x v="4610"/>
    <x v="37"/>
    <x v="2"/>
    <x v="38"/>
    <x v="38"/>
    <x v="38"/>
    <x v="0"/>
    <x v="0"/>
    <x v="2"/>
    <x v="11"/>
    <x v="9"/>
    <x v="28"/>
    <x v="21"/>
    <x v="1"/>
    <x v="24"/>
  </r>
  <r>
    <x v="0"/>
    <x v="1891"/>
    <x v="368"/>
    <x v="43"/>
    <x v="85"/>
    <x v="567"/>
    <x v="486"/>
    <x v="4"/>
    <x v="831"/>
    <x v="1921"/>
    <x v="2827"/>
    <x v="3307"/>
    <x v="4664"/>
    <x v="4611"/>
    <x v="3844"/>
    <x v="0"/>
    <x v="4547"/>
    <x v="4667"/>
    <x v="568"/>
    <x v="0"/>
    <x v="0"/>
    <x v="10"/>
    <x v="387"/>
    <x v="31"/>
    <x v="604"/>
    <x v="5"/>
    <x v="3"/>
    <x v="1"/>
  </r>
  <r>
    <x v="0"/>
    <x v="1453"/>
    <x v="385"/>
    <x v="43"/>
    <x v="123"/>
    <x v="567"/>
    <x v="773"/>
    <x v="3914"/>
    <x v="152"/>
    <x v="1922"/>
    <x v="2828"/>
    <x v="3308"/>
    <x v="4665"/>
    <x v="4612"/>
    <x v="3662"/>
    <x v="2"/>
    <x v="4548"/>
    <x v="4668"/>
    <x v="744"/>
    <x v="0"/>
    <x v="0"/>
    <x v="4"/>
    <x v="388"/>
    <x v="23"/>
    <x v="4"/>
    <x v="18"/>
    <x v="3"/>
    <x v="841"/>
  </r>
  <r>
    <x v="0"/>
    <x v="116"/>
    <x v="358"/>
    <x v="86"/>
    <x v="90"/>
    <x v="640"/>
    <x v="349"/>
    <x v="3915"/>
    <x v="156"/>
    <x v="1371"/>
    <x v="2829"/>
    <x v="3309"/>
    <x v="4666"/>
    <x v="4613"/>
    <x v="3871"/>
    <x v="0"/>
    <x v="4549"/>
    <x v="4669"/>
    <x v="452"/>
    <x v="0"/>
    <x v="1"/>
    <x v="4"/>
    <x v="126"/>
    <x v="19"/>
    <x v="646"/>
    <x v="16"/>
    <x v="3"/>
    <x v="1"/>
  </r>
  <r>
    <x v="0"/>
    <x v="2226"/>
    <x v="93"/>
    <x v="87"/>
    <x v="78"/>
    <x v="544"/>
    <x v="281"/>
    <x v="4"/>
    <x v="97"/>
    <x v="1923"/>
    <x v="2830"/>
    <x v="2012"/>
    <x v="4667"/>
    <x v="4614"/>
    <x v="846"/>
    <x v="5"/>
    <x v="4550"/>
    <x v="4670"/>
    <x v="685"/>
    <x v="0"/>
    <x v="0"/>
    <x v="4"/>
    <x v="149"/>
    <x v="2"/>
    <x v="867"/>
    <x v="44"/>
    <x v="2"/>
    <x v="685"/>
  </r>
  <r>
    <x v="0"/>
    <x v="2227"/>
    <x v="485"/>
    <x v="95"/>
    <x v="221"/>
    <x v="338"/>
    <x v="14"/>
    <x v="3916"/>
    <x v="105"/>
    <x v="351"/>
    <x v="664"/>
    <x v="1692"/>
    <x v="4668"/>
    <x v="4615"/>
    <x v="3872"/>
    <x v="0"/>
    <x v="4551"/>
    <x v="4671"/>
    <x v="487"/>
    <x v="0"/>
    <x v="1"/>
    <x v="4"/>
    <x v="388"/>
    <x v="12"/>
    <x v="412"/>
    <x v="1"/>
    <x v="6"/>
    <x v="1"/>
  </r>
  <r>
    <x v="0"/>
    <x v="2228"/>
    <x v="343"/>
    <x v="33"/>
    <x v="15"/>
    <x v="594"/>
    <x v="334"/>
    <x v="3917"/>
    <x v="862"/>
    <x v="1924"/>
    <x v="2831"/>
    <x v="3310"/>
    <x v="4669"/>
    <x v="4616"/>
    <x v="742"/>
    <x v="0"/>
    <x v="4552"/>
    <x v="4672"/>
    <x v="695"/>
    <x v="0"/>
    <x v="0"/>
    <x v="10"/>
    <x v="149"/>
    <x v="7"/>
    <x v="123"/>
    <x v="5"/>
    <x v="3"/>
    <x v="1"/>
  </r>
  <r>
    <x v="0"/>
    <x v="2229"/>
    <x v="320"/>
    <x v="107"/>
    <x v="0"/>
    <x v="499"/>
    <x v="99"/>
    <x v="4"/>
    <x v="127"/>
    <x v="1925"/>
    <x v="2832"/>
    <x v="3311"/>
    <x v="4670"/>
    <x v="4617"/>
    <x v="3873"/>
    <x v="1"/>
    <x v="4553"/>
    <x v="4673"/>
    <x v="416"/>
    <x v="0"/>
    <x v="0"/>
    <x v="1"/>
    <x v="388"/>
    <x v="9"/>
    <x v="774"/>
    <x v="2"/>
    <x v="2"/>
    <x v="616"/>
  </r>
  <r>
    <x v="1"/>
    <x v="2230"/>
    <x v="409"/>
    <x v="71"/>
    <x v="192"/>
    <x v="657"/>
    <x v="135"/>
    <x v="3918"/>
    <x v="616"/>
    <x v="1874"/>
    <x v="2833"/>
    <x v="3312"/>
    <x v="4671"/>
    <x v="4618"/>
    <x v="2727"/>
    <x v="4"/>
    <x v="4554"/>
    <x v="4674"/>
    <x v="241"/>
    <x v="0"/>
    <x v="0"/>
    <x v="10"/>
    <x v="389"/>
    <x v="87"/>
    <x v="829"/>
    <x v="16"/>
    <x v="15"/>
    <x v="530"/>
  </r>
  <r>
    <x v="0"/>
    <x v="2231"/>
    <x v="4"/>
    <x v="131"/>
    <x v="0"/>
    <x v="298"/>
    <x v="831"/>
    <x v="4"/>
    <x v="4"/>
    <x v="1926"/>
    <x v="2834"/>
    <x v="3313"/>
    <x v="4672"/>
    <x v="4619"/>
    <x v="3874"/>
    <x v="0"/>
    <x v="4555"/>
    <x v="4675"/>
    <x v="896"/>
    <x v="0"/>
    <x v="0"/>
    <x v="3"/>
    <x v="388"/>
    <x v="11"/>
    <x v="556"/>
    <x v="17"/>
    <x v="2"/>
    <x v="842"/>
  </r>
  <r>
    <x v="0"/>
    <x v="1810"/>
    <x v="184"/>
    <x v="42"/>
    <x v="262"/>
    <x v="708"/>
    <x v="732"/>
    <x v="3919"/>
    <x v="105"/>
    <x v="1927"/>
    <x v="2835"/>
    <x v="3314"/>
    <x v="4673"/>
    <x v="4620"/>
    <x v="2471"/>
    <x v="1"/>
    <x v="4556"/>
    <x v="4676"/>
    <x v="802"/>
    <x v="0"/>
    <x v="0"/>
    <x v="0"/>
    <x v="390"/>
    <x v="22"/>
    <x v="775"/>
    <x v="7"/>
    <x v="10"/>
    <x v="843"/>
  </r>
  <r>
    <x v="0"/>
    <x v="2232"/>
    <x v="384"/>
    <x v="82"/>
    <x v="123"/>
    <x v="566"/>
    <x v="72"/>
    <x v="3920"/>
    <x v="399"/>
    <x v="1101"/>
    <x v="2836"/>
    <x v="3315"/>
    <x v="4674"/>
    <x v="4621"/>
    <x v="3609"/>
    <x v="11"/>
    <x v="4557"/>
    <x v="4677"/>
    <x v="447"/>
    <x v="23"/>
    <x v="36"/>
    <x v="1"/>
    <x v="131"/>
    <x v="14"/>
    <x v="893"/>
    <x v="32"/>
    <x v="3"/>
    <x v="1"/>
  </r>
  <r>
    <x v="0"/>
    <x v="2233"/>
    <x v="464"/>
    <x v="113"/>
    <x v="5"/>
    <x v="823"/>
    <x v="201"/>
    <x v="4"/>
    <x v="416"/>
    <x v="1928"/>
    <x v="2837"/>
    <x v="3316"/>
    <x v="4675"/>
    <x v="4622"/>
    <x v="2130"/>
    <x v="0"/>
    <x v="4558"/>
    <x v="4678"/>
    <x v="843"/>
    <x v="0"/>
    <x v="0"/>
    <x v="1"/>
    <x v="4"/>
    <x v="9"/>
    <x v="257"/>
    <x v="54"/>
    <x v="12"/>
    <x v="686"/>
  </r>
  <r>
    <x v="0"/>
    <x v="670"/>
    <x v="129"/>
    <x v="80"/>
    <x v="283"/>
    <x v="548"/>
    <x v="197"/>
    <x v="3921"/>
    <x v="125"/>
    <x v="368"/>
    <x v="110"/>
    <x v="856"/>
    <x v="4676"/>
    <x v="4623"/>
    <x v="3875"/>
    <x v="0"/>
    <x v="4559"/>
    <x v="4679"/>
    <x v="950"/>
    <x v="0"/>
    <x v="0"/>
    <x v="2"/>
    <x v="379"/>
    <x v="14"/>
    <x v="78"/>
    <x v="8"/>
    <x v="3"/>
    <x v="1"/>
  </r>
  <r>
    <x v="0"/>
    <x v="1643"/>
    <x v="367"/>
    <x v="78"/>
    <x v="118"/>
    <x v="734"/>
    <x v="0"/>
    <x v="3922"/>
    <x v="168"/>
    <x v="670"/>
    <x v="2838"/>
    <x v="3317"/>
    <x v="4677"/>
    <x v="4624"/>
    <x v="3876"/>
    <x v="0"/>
    <x v="4560"/>
    <x v="4680"/>
    <x v="675"/>
    <x v="0"/>
    <x v="0"/>
    <x v="4"/>
    <x v="391"/>
    <x v="9"/>
    <x v="906"/>
    <x v="1"/>
    <x v="1"/>
    <x v="1"/>
  </r>
  <r>
    <x v="0"/>
    <x v="1655"/>
    <x v="528"/>
    <x v="95"/>
    <x v="291"/>
    <x v="502"/>
    <x v="771"/>
    <x v="3923"/>
    <x v="429"/>
    <x v="1929"/>
    <x v="2839"/>
    <x v="3318"/>
    <x v="4678"/>
    <x v="4625"/>
    <x v="3877"/>
    <x v="0"/>
    <x v="4561"/>
    <x v="4681"/>
    <x v="951"/>
    <x v="0"/>
    <x v="0"/>
    <x v="4"/>
    <x v="392"/>
    <x v="1"/>
    <x v="808"/>
    <x v="22"/>
    <x v="3"/>
    <x v="85"/>
  </r>
  <r>
    <x v="1"/>
    <x v="1845"/>
    <x v="366"/>
    <x v="43"/>
    <x v="366"/>
    <x v="531"/>
    <x v="832"/>
    <x v="3924"/>
    <x v="743"/>
    <x v="1930"/>
    <x v="2840"/>
    <x v="3319"/>
    <x v="4679"/>
    <x v="4626"/>
    <x v="477"/>
    <x v="0"/>
    <x v="4562"/>
    <x v="4682"/>
    <x v="244"/>
    <x v="0"/>
    <x v="0"/>
    <x v="0"/>
    <x v="4"/>
    <x v="18"/>
    <x v="658"/>
    <x v="16"/>
    <x v="15"/>
    <x v="1"/>
  </r>
  <r>
    <x v="0"/>
    <x v="255"/>
    <x v="333"/>
    <x v="43"/>
    <x v="0"/>
    <x v="759"/>
    <x v="132"/>
    <x v="3925"/>
    <x v="373"/>
    <x v="376"/>
    <x v="1732"/>
    <x v="3320"/>
    <x v="4680"/>
    <x v="4627"/>
    <x v="3089"/>
    <x v="0"/>
    <x v="4563"/>
    <x v="4683"/>
    <x v="285"/>
    <x v="0"/>
    <x v="1"/>
    <x v="2"/>
    <x v="393"/>
    <x v="57"/>
    <x v="284"/>
    <x v="24"/>
    <x v="10"/>
    <x v="57"/>
  </r>
  <r>
    <x v="0"/>
    <x v="1615"/>
    <x v="474"/>
    <x v="78"/>
    <x v="73"/>
    <x v="343"/>
    <x v="742"/>
    <x v="3926"/>
    <x v="270"/>
    <x v="1931"/>
    <x v="2841"/>
    <x v="3321"/>
    <x v="4681"/>
    <x v="4628"/>
    <x v="3431"/>
    <x v="1"/>
    <x v="4564"/>
    <x v="4684"/>
    <x v="823"/>
    <x v="6"/>
    <x v="0"/>
    <x v="4"/>
    <x v="379"/>
    <x v="7"/>
    <x v="807"/>
    <x v="1"/>
    <x v="1"/>
    <x v="173"/>
  </r>
  <r>
    <x v="0"/>
    <x v="2234"/>
    <x v="385"/>
    <x v="45"/>
    <x v="125"/>
    <x v="423"/>
    <x v="833"/>
    <x v="3927"/>
    <x v="892"/>
    <x v="1932"/>
    <x v="2842"/>
    <x v="3322"/>
    <x v="4682"/>
    <x v="4629"/>
    <x v="3401"/>
    <x v="4"/>
    <x v="4565"/>
    <x v="4685"/>
    <x v="684"/>
    <x v="0"/>
    <x v="0"/>
    <x v="1"/>
    <x v="344"/>
    <x v="17"/>
    <x v="876"/>
    <x v="55"/>
    <x v="0"/>
    <x v="744"/>
  </r>
  <r>
    <x v="0"/>
    <x v="113"/>
    <x v="346"/>
    <x v="84"/>
    <x v="88"/>
    <x v="68"/>
    <x v="0"/>
    <x v="4"/>
    <x v="893"/>
    <x v="1236"/>
    <x v="794"/>
    <x v="3323"/>
    <x v="4683"/>
    <x v="4630"/>
    <x v="2931"/>
    <x v="2"/>
    <x v="4566"/>
    <x v="4686"/>
    <x v="449"/>
    <x v="0"/>
    <x v="0"/>
    <x v="5"/>
    <x v="4"/>
    <x v="4"/>
    <x v="425"/>
    <x v="16"/>
    <x v="12"/>
    <x v="1"/>
  </r>
  <r>
    <x v="0"/>
    <x v="2235"/>
    <x v="365"/>
    <x v="76"/>
    <x v="131"/>
    <x v="298"/>
    <x v="834"/>
    <x v="3928"/>
    <x v="894"/>
    <x v="1933"/>
    <x v="2843"/>
    <x v="3324"/>
    <x v="4684"/>
    <x v="4631"/>
    <x v="3878"/>
    <x v="3"/>
    <x v="4567"/>
    <x v="4687"/>
    <x v="340"/>
    <x v="0"/>
    <x v="0"/>
    <x v="10"/>
    <x v="394"/>
    <x v="17"/>
    <x v="658"/>
    <x v="13"/>
    <x v="15"/>
    <x v="244"/>
  </r>
  <r>
    <x v="0"/>
    <x v="2236"/>
    <x v="169"/>
    <x v="80"/>
    <x v="198"/>
    <x v="74"/>
    <x v="581"/>
    <x v="3929"/>
    <x v="4"/>
    <x v="1934"/>
    <x v="2844"/>
    <x v="3325"/>
    <x v="4685"/>
    <x v="4632"/>
    <x v="3879"/>
    <x v="0"/>
    <x v="4"/>
    <x v="4688"/>
    <x v="755"/>
    <x v="0"/>
    <x v="0"/>
    <x v="2"/>
    <x v="379"/>
    <x v="5"/>
    <x v="661"/>
    <x v="37"/>
    <x v="0"/>
    <x v="271"/>
  </r>
  <r>
    <x v="0"/>
    <x v="2237"/>
    <x v="435"/>
    <x v="55"/>
    <x v="0"/>
    <x v="279"/>
    <x v="689"/>
    <x v="4"/>
    <x v="476"/>
    <x v="1410"/>
    <x v="2845"/>
    <x v="3326"/>
    <x v="4686"/>
    <x v="4633"/>
    <x v="2970"/>
    <x v="3"/>
    <x v="4568"/>
    <x v="4689"/>
    <x v="685"/>
    <x v="0"/>
    <x v="0"/>
    <x v="1"/>
    <x v="149"/>
    <x v="11"/>
    <x v="907"/>
    <x v="28"/>
    <x v="2"/>
    <x v="844"/>
  </r>
  <r>
    <x v="1"/>
    <x v="2238"/>
    <x v="232"/>
    <x v="87"/>
    <x v="130"/>
    <x v="458"/>
    <x v="712"/>
    <x v="3930"/>
    <x v="429"/>
    <x v="1935"/>
    <x v="2846"/>
    <x v="3327"/>
    <x v="4687"/>
    <x v="4634"/>
    <x v="3880"/>
    <x v="0"/>
    <x v="4569"/>
    <x v="4690"/>
    <x v="130"/>
    <x v="17"/>
    <x v="20"/>
    <x v="14"/>
    <x v="379"/>
    <x v="37"/>
    <x v="554"/>
    <x v="8"/>
    <x v="1"/>
    <x v="43"/>
  </r>
  <r>
    <x v="0"/>
    <x v="113"/>
    <x v="492"/>
    <x v="96"/>
    <x v="88"/>
    <x v="423"/>
    <x v="835"/>
    <x v="4"/>
    <x v="833"/>
    <x v="1936"/>
    <x v="2847"/>
    <x v="3328"/>
    <x v="4688"/>
    <x v="4635"/>
    <x v="2891"/>
    <x v="0"/>
    <x v="4570"/>
    <x v="4691"/>
    <x v="517"/>
    <x v="0"/>
    <x v="0"/>
    <x v="6"/>
    <x v="4"/>
    <x v="4"/>
    <x v="604"/>
    <x v="17"/>
    <x v="8"/>
    <x v="845"/>
  </r>
  <r>
    <x v="0"/>
    <x v="686"/>
    <x v="263"/>
    <x v="59"/>
    <x v="69"/>
    <x v="750"/>
    <x v="405"/>
    <x v="3931"/>
    <x v="127"/>
    <x v="1937"/>
    <x v="2848"/>
    <x v="3329"/>
    <x v="4689"/>
    <x v="4636"/>
    <x v="789"/>
    <x v="4"/>
    <x v="4571"/>
    <x v="4692"/>
    <x v="748"/>
    <x v="0"/>
    <x v="0"/>
    <x v="0"/>
    <x v="82"/>
    <x v="8"/>
    <x v="411"/>
    <x v="9"/>
    <x v="1"/>
    <x v="1"/>
  </r>
  <r>
    <x v="0"/>
    <x v="2239"/>
    <x v="227"/>
    <x v="110"/>
    <x v="221"/>
    <x v="530"/>
    <x v="818"/>
    <x v="4"/>
    <x v="381"/>
    <x v="1938"/>
    <x v="2849"/>
    <x v="3330"/>
    <x v="4690"/>
    <x v="4637"/>
    <x v="3881"/>
    <x v="0"/>
    <x v="4572"/>
    <x v="4693"/>
    <x v="802"/>
    <x v="0"/>
    <x v="4"/>
    <x v="4"/>
    <x v="149"/>
    <x v="12"/>
    <x v="863"/>
    <x v="9"/>
    <x v="3"/>
    <x v="758"/>
  </r>
  <r>
    <x v="0"/>
    <x v="491"/>
    <x v="303"/>
    <x v="55"/>
    <x v="253"/>
    <x v="858"/>
    <x v="377"/>
    <x v="4"/>
    <x v="105"/>
    <x v="1630"/>
    <x v="2850"/>
    <x v="3331"/>
    <x v="4691"/>
    <x v="4638"/>
    <x v="3882"/>
    <x v="1"/>
    <x v="4573"/>
    <x v="4694"/>
    <x v="398"/>
    <x v="0"/>
    <x v="1"/>
    <x v="4"/>
    <x v="313"/>
    <x v="39"/>
    <x v="498"/>
    <x v="8"/>
    <x v="10"/>
    <x v="1"/>
  </r>
  <r>
    <x v="1"/>
    <x v="2240"/>
    <x v="385"/>
    <x v="95"/>
    <x v="0"/>
    <x v="221"/>
    <x v="836"/>
    <x v="3932"/>
    <x v="416"/>
    <x v="1939"/>
    <x v="379"/>
    <x v="3332"/>
    <x v="4692"/>
    <x v="4639"/>
    <x v="3082"/>
    <x v="0"/>
    <x v="4"/>
    <x v="4695"/>
    <x v="896"/>
    <x v="0"/>
    <x v="0"/>
    <x v="4"/>
    <x v="4"/>
    <x v="19"/>
    <x v="254"/>
    <x v="27"/>
    <x v="0"/>
    <x v="833"/>
  </r>
  <r>
    <x v="0"/>
    <x v="2241"/>
    <x v="81"/>
    <x v="55"/>
    <x v="0"/>
    <x v="666"/>
    <x v="350"/>
    <x v="4"/>
    <x v="306"/>
    <x v="744"/>
    <x v="2851"/>
    <x v="3333"/>
    <x v="4693"/>
    <x v="4640"/>
    <x v="3140"/>
    <x v="0"/>
    <x v="4574"/>
    <x v="4696"/>
    <x v="685"/>
    <x v="3"/>
    <x v="4"/>
    <x v="4"/>
    <x v="365"/>
    <x v="14"/>
    <x v="701"/>
    <x v="19"/>
    <x v="0"/>
    <x v="830"/>
  </r>
  <r>
    <x v="0"/>
    <x v="2242"/>
    <x v="352"/>
    <x v="43"/>
    <x v="0"/>
    <x v="734"/>
    <x v="410"/>
    <x v="4"/>
    <x v="270"/>
    <x v="1940"/>
    <x v="2852"/>
    <x v="3334"/>
    <x v="4694"/>
    <x v="4641"/>
    <x v="1249"/>
    <x v="0"/>
    <x v="4575"/>
    <x v="4697"/>
    <x v="435"/>
    <x v="23"/>
    <x v="36"/>
    <x v="4"/>
    <x v="379"/>
    <x v="36"/>
    <x v="628"/>
    <x v="17"/>
    <x v="10"/>
    <x v="1"/>
  </r>
  <r>
    <x v="1"/>
    <x v="2243"/>
    <x v="474"/>
    <x v="32"/>
    <x v="390"/>
    <x v="777"/>
    <x v="188"/>
    <x v="4"/>
    <x v="156"/>
    <x v="1941"/>
    <x v="2853"/>
    <x v="3335"/>
    <x v="4695"/>
    <x v="4642"/>
    <x v="3883"/>
    <x v="1"/>
    <x v="4576"/>
    <x v="4698"/>
    <x v="244"/>
    <x v="1"/>
    <x v="0"/>
    <x v="9"/>
    <x v="395"/>
    <x v="88"/>
    <x v="554"/>
    <x v="25"/>
    <x v="8"/>
    <x v="846"/>
  </r>
  <r>
    <x v="0"/>
    <x v="2244"/>
    <x v="425"/>
    <x v="107"/>
    <x v="221"/>
    <x v="851"/>
    <x v="303"/>
    <x v="3933"/>
    <x v="4"/>
    <x v="1942"/>
    <x v="2854"/>
    <x v="3336"/>
    <x v="4696"/>
    <x v="4643"/>
    <x v="472"/>
    <x v="1"/>
    <x v="4577"/>
    <x v="4699"/>
    <x v="678"/>
    <x v="0"/>
    <x v="0"/>
    <x v="2"/>
    <x v="396"/>
    <x v="13"/>
    <x v="874"/>
    <x v="15"/>
    <x v="2"/>
    <x v="188"/>
  </r>
  <r>
    <x v="1"/>
    <x v="2245"/>
    <x v="413"/>
    <x v="7"/>
    <x v="198"/>
    <x v="597"/>
    <x v="579"/>
    <x v="3934"/>
    <x v="756"/>
    <x v="1943"/>
    <x v="2855"/>
    <x v="3337"/>
    <x v="4697"/>
    <x v="4644"/>
    <x v="3797"/>
    <x v="8"/>
    <x v="4578"/>
    <x v="4700"/>
    <x v="409"/>
    <x v="0"/>
    <x v="0"/>
    <x v="17"/>
    <x v="397"/>
    <x v="85"/>
    <x v="470"/>
    <x v="22"/>
    <x v="15"/>
    <x v="330"/>
  </r>
  <r>
    <x v="0"/>
    <x v="6"/>
    <x v="40"/>
    <x v="45"/>
    <x v="0"/>
    <x v="471"/>
    <x v="522"/>
    <x v="4"/>
    <x v="471"/>
    <x v="1527"/>
    <x v="2856"/>
    <x v="1824"/>
    <x v="4698"/>
    <x v="4645"/>
    <x v="1516"/>
    <x v="0"/>
    <x v="4579"/>
    <x v="4701"/>
    <x v="952"/>
    <x v="0"/>
    <x v="0"/>
    <x v="13"/>
    <x v="396"/>
    <x v="37"/>
    <x v="762"/>
    <x v="32"/>
    <x v="15"/>
    <x v="85"/>
  </r>
  <r>
    <x v="0"/>
    <x v="2246"/>
    <x v="367"/>
    <x v="71"/>
    <x v="58"/>
    <x v="266"/>
    <x v="837"/>
    <x v="3935"/>
    <x v="381"/>
    <x v="1944"/>
    <x v="2857"/>
    <x v="3338"/>
    <x v="4699"/>
    <x v="4646"/>
    <x v="725"/>
    <x v="0"/>
    <x v="4580"/>
    <x v="4702"/>
    <x v="104"/>
    <x v="0"/>
    <x v="10"/>
    <x v="9"/>
    <x v="224"/>
    <x v="3"/>
    <x v="602"/>
    <x v="9"/>
    <x v="1"/>
    <x v="1"/>
  </r>
  <r>
    <x v="0"/>
    <x v="2247"/>
    <x v="430"/>
    <x v="95"/>
    <x v="0"/>
    <x v="4"/>
    <x v="341"/>
    <x v="3936"/>
    <x v="838"/>
    <x v="1945"/>
    <x v="217"/>
    <x v="4"/>
    <x v="4700"/>
    <x v="4647"/>
    <x v="3884"/>
    <x v="0"/>
    <x v="4"/>
    <x v="4703"/>
    <x v="416"/>
    <x v="20"/>
    <x v="54"/>
    <x v="1"/>
    <x v="388"/>
    <x v="2"/>
    <x v="147"/>
    <x v="13"/>
    <x v="0"/>
    <x v="695"/>
  </r>
  <r>
    <x v="0"/>
    <x v="2248"/>
    <x v="382"/>
    <x v="76"/>
    <x v="164"/>
    <x v="298"/>
    <x v="594"/>
    <x v="3937"/>
    <x v="743"/>
    <x v="1946"/>
    <x v="2858"/>
    <x v="3339"/>
    <x v="4701"/>
    <x v="4648"/>
    <x v="3774"/>
    <x v="1"/>
    <x v="4581"/>
    <x v="4704"/>
    <x v="640"/>
    <x v="0"/>
    <x v="0"/>
    <x v="4"/>
    <x v="398"/>
    <x v="12"/>
    <x v="253"/>
    <x v="6"/>
    <x v="3"/>
    <x v="1"/>
  </r>
  <r>
    <x v="0"/>
    <x v="2249"/>
    <x v="361"/>
    <x v="78"/>
    <x v="137"/>
    <x v="823"/>
    <x v="838"/>
    <x v="3938"/>
    <x v="54"/>
    <x v="1947"/>
    <x v="2859"/>
    <x v="3340"/>
    <x v="4702"/>
    <x v="4649"/>
    <x v="3885"/>
    <x v="0"/>
    <x v="4582"/>
    <x v="4705"/>
    <x v="835"/>
    <x v="0"/>
    <x v="0"/>
    <x v="4"/>
    <x v="278"/>
    <x v="42"/>
    <x v="745"/>
    <x v="55"/>
    <x v="3"/>
    <x v="847"/>
  </r>
  <r>
    <x v="0"/>
    <x v="2250"/>
    <x v="399"/>
    <x v="78"/>
    <x v="0"/>
    <x v="298"/>
    <x v="471"/>
    <x v="3939"/>
    <x v="4"/>
    <x v="1948"/>
    <x v="2860"/>
    <x v="3341"/>
    <x v="4703"/>
    <x v="2707"/>
    <x v="2095"/>
    <x v="4"/>
    <x v="4583"/>
    <x v="4706"/>
    <x v="655"/>
    <x v="0"/>
    <x v="8"/>
    <x v="10"/>
    <x v="4"/>
    <x v="12"/>
    <x v="253"/>
    <x v="7"/>
    <x v="2"/>
    <x v="429"/>
  </r>
  <r>
    <x v="0"/>
    <x v="113"/>
    <x v="430"/>
    <x v="116"/>
    <x v="88"/>
    <x v="362"/>
    <x v="35"/>
    <x v="4"/>
    <x v="40"/>
    <x v="332"/>
    <x v="2861"/>
    <x v="3342"/>
    <x v="4704"/>
    <x v="4650"/>
    <x v="3886"/>
    <x v="5"/>
    <x v="4584"/>
    <x v="4707"/>
    <x v="451"/>
    <x v="0"/>
    <x v="0"/>
    <x v="5"/>
    <x v="4"/>
    <x v="4"/>
    <x v="583"/>
    <x v="10"/>
    <x v="12"/>
    <x v="16"/>
  </r>
  <r>
    <x v="0"/>
    <x v="2251"/>
    <x v="169"/>
    <x v="42"/>
    <x v="0"/>
    <x v="298"/>
    <x v="823"/>
    <x v="4"/>
    <x v="707"/>
    <x v="1949"/>
    <x v="2862"/>
    <x v="3343"/>
    <x v="4705"/>
    <x v="4651"/>
    <x v="3887"/>
    <x v="4"/>
    <x v="4585"/>
    <x v="4708"/>
    <x v="824"/>
    <x v="0"/>
    <x v="0"/>
    <x v="1"/>
    <x v="278"/>
    <x v="2"/>
    <x v="515"/>
    <x v="53"/>
    <x v="1"/>
    <x v="267"/>
  </r>
  <r>
    <x v="0"/>
    <x v="469"/>
    <x v="107"/>
    <x v="59"/>
    <x v="0"/>
    <x v="796"/>
    <x v="35"/>
    <x v="2305"/>
    <x v="381"/>
    <x v="157"/>
    <x v="1515"/>
    <x v="1808"/>
    <x v="2461"/>
    <x v="4652"/>
    <x v="2300"/>
    <x v="0"/>
    <x v="2441"/>
    <x v="2461"/>
    <x v="862"/>
    <x v="0"/>
    <x v="0"/>
    <x v="4"/>
    <x v="212"/>
    <x v="33"/>
    <x v="539"/>
    <x v="0"/>
    <x v="1"/>
    <x v="85"/>
  </r>
  <r>
    <x v="1"/>
    <x v="859"/>
    <x v="325"/>
    <x v="45"/>
    <x v="0"/>
    <x v="206"/>
    <x v="839"/>
    <x v="4"/>
    <x v="152"/>
    <x v="1950"/>
    <x v="2863"/>
    <x v="259"/>
    <x v="4706"/>
    <x v="4653"/>
    <x v="3888"/>
    <x v="1"/>
    <x v="4586"/>
    <x v="4709"/>
    <x v="819"/>
    <x v="0"/>
    <x v="0"/>
    <x v="9"/>
    <x v="278"/>
    <x v="76"/>
    <x v="830"/>
    <x v="49"/>
    <x v="10"/>
    <x v="13"/>
  </r>
  <r>
    <x v="0"/>
    <x v="2252"/>
    <x v="359"/>
    <x v="105"/>
    <x v="221"/>
    <x v="120"/>
    <x v="326"/>
    <x v="3940"/>
    <x v="895"/>
    <x v="1113"/>
    <x v="444"/>
    <x v="1865"/>
    <x v="4707"/>
    <x v="4654"/>
    <x v="3889"/>
    <x v="0"/>
    <x v="4587"/>
    <x v="4710"/>
    <x v="83"/>
    <x v="0"/>
    <x v="0"/>
    <x v="1"/>
    <x v="4"/>
    <x v="0"/>
    <x v="242"/>
    <x v="8"/>
    <x v="3"/>
    <x v="282"/>
  </r>
  <r>
    <x v="1"/>
    <x v="1784"/>
    <x v="310"/>
    <x v="161"/>
    <x v="402"/>
    <x v="502"/>
    <x v="565"/>
    <x v="4"/>
    <x v="127"/>
    <x v="1951"/>
    <x v="2864"/>
    <x v="3344"/>
    <x v="4708"/>
    <x v="4655"/>
    <x v="1973"/>
    <x v="1"/>
    <x v="4588"/>
    <x v="4711"/>
    <x v="527"/>
    <x v="0"/>
    <x v="0"/>
    <x v="10"/>
    <x v="399"/>
    <x v="89"/>
    <x v="777"/>
    <x v="17"/>
    <x v="15"/>
    <x v="1"/>
  </r>
  <r>
    <x v="0"/>
    <x v="2253"/>
    <x v="130"/>
    <x v="50"/>
    <x v="9"/>
    <x v="320"/>
    <x v="840"/>
    <x v="3941"/>
    <x v="306"/>
    <x v="1952"/>
    <x v="2865"/>
    <x v="3345"/>
    <x v="4709"/>
    <x v="4656"/>
    <x v="3890"/>
    <x v="0"/>
    <x v="4589"/>
    <x v="4712"/>
    <x v="796"/>
    <x v="46"/>
    <x v="35"/>
    <x v="10"/>
    <x v="4"/>
    <x v="0"/>
    <x v="705"/>
    <x v="11"/>
    <x v="1"/>
    <x v="38"/>
  </r>
  <r>
    <x v="0"/>
    <x v="2254"/>
    <x v="396"/>
    <x v="52"/>
    <x v="216"/>
    <x v="904"/>
    <x v="309"/>
    <x v="3942"/>
    <x v="865"/>
    <x v="1953"/>
    <x v="2866"/>
    <x v="3346"/>
    <x v="4710"/>
    <x v="4657"/>
    <x v="825"/>
    <x v="0"/>
    <x v="4590"/>
    <x v="4713"/>
    <x v="646"/>
    <x v="0"/>
    <x v="0"/>
    <x v="4"/>
    <x v="4"/>
    <x v="17"/>
    <x v="861"/>
    <x v="25"/>
    <x v="3"/>
    <x v="1"/>
  </r>
  <r>
    <x v="0"/>
    <x v="729"/>
    <x v="272"/>
    <x v="58"/>
    <x v="293"/>
    <x v="878"/>
    <x v="118"/>
    <x v="3943"/>
    <x v="200"/>
    <x v="1954"/>
    <x v="2867"/>
    <x v="3347"/>
    <x v="4711"/>
    <x v="4658"/>
    <x v="3308"/>
    <x v="1"/>
    <x v="4591"/>
    <x v="4714"/>
    <x v="546"/>
    <x v="0"/>
    <x v="0"/>
    <x v="0"/>
    <x v="400"/>
    <x v="15"/>
    <x v="242"/>
    <x v="10"/>
    <x v="3"/>
    <x v="709"/>
  </r>
  <r>
    <x v="0"/>
    <x v="2255"/>
    <x v="392"/>
    <x v="42"/>
    <x v="123"/>
    <x v="387"/>
    <x v="14"/>
    <x v="3944"/>
    <x v="896"/>
    <x v="414"/>
    <x v="569"/>
    <x v="398"/>
    <x v="4712"/>
    <x v="3452"/>
    <x v="1916"/>
    <x v="0"/>
    <x v="4592"/>
    <x v="4715"/>
    <x v="357"/>
    <x v="0"/>
    <x v="0"/>
    <x v="4"/>
    <x v="83"/>
    <x v="16"/>
    <x v="30"/>
    <x v="4"/>
    <x v="1"/>
    <x v="1"/>
  </r>
  <r>
    <x v="0"/>
    <x v="1574"/>
    <x v="207"/>
    <x v="43"/>
    <x v="228"/>
    <x v="316"/>
    <x v="694"/>
    <x v="3945"/>
    <x v="127"/>
    <x v="1955"/>
    <x v="2868"/>
    <x v="3348"/>
    <x v="4713"/>
    <x v="4659"/>
    <x v="3891"/>
    <x v="6"/>
    <x v="4593"/>
    <x v="4716"/>
    <x v="719"/>
    <x v="3"/>
    <x v="10"/>
    <x v="4"/>
    <x v="212"/>
    <x v="25"/>
    <x v="557"/>
    <x v="8"/>
    <x v="10"/>
    <x v="758"/>
  </r>
  <r>
    <x v="0"/>
    <x v="556"/>
    <x v="333"/>
    <x v="110"/>
    <x v="91"/>
    <x v="462"/>
    <x v="0"/>
    <x v="3946"/>
    <x v="200"/>
    <x v="48"/>
    <x v="279"/>
    <x v="1259"/>
    <x v="4714"/>
    <x v="4660"/>
    <x v="3892"/>
    <x v="3"/>
    <x v="4594"/>
    <x v="4717"/>
    <x v="299"/>
    <x v="0"/>
    <x v="0"/>
    <x v="0"/>
    <x v="212"/>
    <x v="17"/>
    <x v="190"/>
    <x v="1"/>
    <x v="3"/>
    <x v="1"/>
  </r>
  <r>
    <x v="0"/>
    <x v="2256"/>
    <x v="169"/>
    <x v="37"/>
    <x v="143"/>
    <x v="621"/>
    <x v="841"/>
    <x v="4"/>
    <x v="270"/>
    <x v="1956"/>
    <x v="2869"/>
    <x v="3349"/>
    <x v="4715"/>
    <x v="4661"/>
    <x v="1679"/>
    <x v="0"/>
    <x v="4595"/>
    <x v="4718"/>
    <x v="791"/>
    <x v="0"/>
    <x v="1"/>
    <x v="1"/>
    <x v="4"/>
    <x v="20"/>
    <x v="866"/>
    <x v="23"/>
    <x v="8"/>
    <x v="645"/>
  </r>
  <r>
    <x v="0"/>
    <x v="1912"/>
    <x v="343"/>
    <x v="93"/>
    <x v="12"/>
    <x v="713"/>
    <x v="592"/>
    <x v="3947"/>
    <x v="270"/>
    <x v="1957"/>
    <x v="2870"/>
    <x v="3350"/>
    <x v="4716"/>
    <x v="4662"/>
    <x v="1113"/>
    <x v="4"/>
    <x v="4596"/>
    <x v="4719"/>
    <x v="448"/>
    <x v="0"/>
    <x v="0"/>
    <x v="10"/>
    <x v="212"/>
    <x v="7"/>
    <x v="462"/>
    <x v="10"/>
    <x v="10"/>
    <x v="786"/>
  </r>
  <r>
    <x v="0"/>
    <x v="1912"/>
    <x v="357"/>
    <x v="110"/>
    <x v="12"/>
    <x v="713"/>
    <x v="842"/>
    <x v="3948"/>
    <x v="270"/>
    <x v="1958"/>
    <x v="2870"/>
    <x v="3350"/>
    <x v="4717"/>
    <x v="4663"/>
    <x v="3893"/>
    <x v="1"/>
    <x v="4597"/>
    <x v="4720"/>
    <x v="137"/>
    <x v="0"/>
    <x v="0"/>
    <x v="4"/>
    <x v="401"/>
    <x v="8"/>
    <x v="462"/>
    <x v="1"/>
    <x v="3"/>
    <x v="1"/>
  </r>
  <r>
    <x v="0"/>
    <x v="2257"/>
    <x v="393"/>
    <x v="76"/>
    <x v="78"/>
    <x v="376"/>
    <x v="132"/>
    <x v="4"/>
    <x v="270"/>
    <x v="1959"/>
    <x v="2119"/>
    <x v="3152"/>
    <x v="4718"/>
    <x v="4664"/>
    <x v="3616"/>
    <x v="0"/>
    <x v="4598"/>
    <x v="4721"/>
    <x v="790"/>
    <x v="0"/>
    <x v="0"/>
    <x v="4"/>
    <x v="212"/>
    <x v="5"/>
    <x v="825"/>
    <x v="31"/>
    <x v="2"/>
    <x v="802"/>
  </r>
  <r>
    <x v="0"/>
    <x v="2258"/>
    <x v="368"/>
    <x v="47"/>
    <x v="0"/>
    <x v="298"/>
    <x v="147"/>
    <x v="4"/>
    <x v="352"/>
    <x v="1960"/>
    <x v="2871"/>
    <x v="3351"/>
    <x v="4719"/>
    <x v="4665"/>
    <x v="3693"/>
    <x v="1"/>
    <x v="4599"/>
    <x v="4722"/>
    <x v="169"/>
    <x v="3"/>
    <x v="10"/>
    <x v="9"/>
    <x v="212"/>
    <x v="52"/>
    <x v="347"/>
    <x v="16"/>
    <x v="1"/>
    <x v="43"/>
  </r>
  <r>
    <x v="0"/>
    <x v="2259"/>
    <x v="434"/>
    <x v="27"/>
    <x v="0"/>
    <x v="4"/>
    <x v="129"/>
    <x v="3949"/>
    <x v="4"/>
    <x v="1961"/>
    <x v="2872"/>
    <x v="4"/>
    <x v="4720"/>
    <x v="4313"/>
    <x v="489"/>
    <x v="1"/>
    <x v="4"/>
    <x v="4723"/>
    <x v="824"/>
    <x v="0"/>
    <x v="62"/>
    <x v="9"/>
    <x v="4"/>
    <x v="12"/>
    <x v="253"/>
    <x v="7"/>
    <x v="2"/>
    <x v="741"/>
  </r>
  <r>
    <x v="0"/>
    <x v="2189"/>
    <x v="464"/>
    <x v="58"/>
    <x v="424"/>
    <x v="4"/>
    <x v="790"/>
    <x v="3950"/>
    <x v="4"/>
    <x v="1763"/>
    <x v="217"/>
    <x v="4"/>
    <x v="4721"/>
    <x v="4666"/>
    <x v="2095"/>
    <x v="0"/>
    <x v="4600"/>
    <x v="4724"/>
    <x v="818"/>
    <x v="0"/>
    <x v="16"/>
    <x v="1"/>
    <x v="212"/>
    <x v="18"/>
    <x v="147"/>
    <x v="32"/>
    <x v="3"/>
    <x v="848"/>
  </r>
  <r>
    <x v="1"/>
    <x v="2260"/>
    <x v="431"/>
    <x v="54"/>
    <x v="0"/>
    <x v="163"/>
    <x v="367"/>
    <x v="3951"/>
    <x v="17"/>
    <x v="666"/>
    <x v="2873"/>
    <x v="3352"/>
    <x v="4722"/>
    <x v="1988"/>
    <x v="3056"/>
    <x v="1"/>
    <x v="4601"/>
    <x v="4725"/>
    <x v="721"/>
    <x v="0"/>
    <x v="0"/>
    <x v="9"/>
    <x v="402"/>
    <x v="53"/>
    <x v="622"/>
    <x v="14"/>
    <x v="2"/>
    <x v="849"/>
  </r>
  <r>
    <x v="0"/>
    <x v="1613"/>
    <x v="441"/>
    <x v="50"/>
    <x v="19"/>
    <x v="342"/>
    <x v="843"/>
    <x v="3952"/>
    <x v="17"/>
    <x v="1962"/>
    <x v="2874"/>
    <x v="3353"/>
    <x v="4723"/>
    <x v="4667"/>
    <x v="2592"/>
    <x v="0"/>
    <x v="4602"/>
    <x v="4726"/>
    <x v="655"/>
    <x v="0"/>
    <x v="0"/>
    <x v="4"/>
    <x v="212"/>
    <x v="13"/>
    <x v="482"/>
    <x v="34"/>
    <x v="2"/>
    <x v="285"/>
  </r>
  <r>
    <x v="0"/>
    <x v="2261"/>
    <x v="457"/>
    <x v="56"/>
    <x v="221"/>
    <x v="401"/>
    <x v="824"/>
    <x v="3953"/>
    <x v="291"/>
    <x v="1963"/>
    <x v="2875"/>
    <x v="3354"/>
    <x v="4724"/>
    <x v="4668"/>
    <x v="3894"/>
    <x v="0"/>
    <x v="4603"/>
    <x v="4727"/>
    <x v="790"/>
    <x v="0"/>
    <x v="0"/>
    <x v="4"/>
    <x v="401"/>
    <x v="14"/>
    <x v="844"/>
    <x v="4"/>
    <x v="1"/>
    <x v="427"/>
  </r>
  <r>
    <x v="0"/>
    <x v="2262"/>
    <x v="385"/>
    <x v="78"/>
    <x v="0"/>
    <x v="792"/>
    <x v="653"/>
    <x v="4"/>
    <x v="3"/>
    <x v="1964"/>
    <x v="2876"/>
    <x v="3355"/>
    <x v="4725"/>
    <x v="4669"/>
    <x v="3895"/>
    <x v="0"/>
    <x v="4604"/>
    <x v="4728"/>
    <x v="684"/>
    <x v="0"/>
    <x v="0"/>
    <x v="0"/>
    <x v="278"/>
    <x v="0"/>
    <x v="39"/>
    <x v="75"/>
    <x v="2"/>
    <x v="93"/>
  </r>
  <r>
    <x v="0"/>
    <x v="508"/>
    <x v="150"/>
    <x v="82"/>
    <x v="152"/>
    <x v="203"/>
    <x v="15"/>
    <x v="1063"/>
    <x v="403"/>
    <x v="460"/>
    <x v="765"/>
    <x v="900"/>
    <x v="1104"/>
    <x v="4670"/>
    <x v="1080"/>
    <x v="0"/>
    <x v="1096"/>
    <x v="1104"/>
    <x v="279"/>
    <x v="0"/>
    <x v="0"/>
    <x v="0"/>
    <x v="91"/>
    <x v="1"/>
    <x v="198"/>
    <x v="38"/>
    <x v="1"/>
    <x v="57"/>
  </r>
  <r>
    <x v="0"/>
    <x v="2263"/>
    <x v="169"/>
    <x v="47"/>
    <x v="137"/>
    <x v="402"/>
    <x v="844"/>
    <x v="3954"/>
    <x v="419"/>
    <x v="1965"/>
    <x v="2877"/>
    <x v="3356"/>
    <x v="4726"/>
    <x v="4671"/>
    <x v="1299"/>
    <x v="0"/>
    <x v="4"/>
    <x v="4729"/>
    <x v="326"/>
    <x v="0"/>
    <x v="0"/>
    <x v="1"/>
    <x v="4"/>
    <x v="2"/>
    <x v="238"/>
    <x v="4"/>
    <x v="2"/>
    <x v="472"/>
  </r>
  <r>
    <x v="0"/>
    <x v="2264"/>
    <x v="328"/>
    <x v="110"/>
    <x v="171"/>
    <x v="405"/>
    <x v="57"/>
    <x v="4"/>
    <x v="897"/>
    <x v="237"/>
    <x v="875"/>
    <x v="919"/>
    <x v="4727"/>
    <x v="4672"/>
    <x v="3896"/>
    <x v="0"/>
    <x v="4605"/>
    <x v="4730"/>
    <x v="568"/>
    <x v="0"/>
    <x v="0"/>
    <x v="4"/>
    <x v="212"/>
    <x v="57"/>
    <x v="506"/>
    <x v="5"/>
    <x v="3"/>
    <x v="1"/>
  </r>
  <r>
    <x v="0"/>
    <x v="2265"/>
    <x v="81"/>
    <x v="54"/>
    <x v="0"/>
    <x v="735"/>
    <x v="316"/>
    <x v="3955"/>
    <x v="582"/>
    <x v="1966"/>
    <x v="2274"/>
    <x v="2206"/>
    <x v="4728"/>
    <x v="4673"/>
    <x v="3897"/>
    <x v="3"/>
    <x v="4606"/>
    <x v="4731"/>
    <x v="685"/>
    <x v="0"/>
    <x v="0"/>
    <x v="4"/>
    <x v="212"/>
    <x v="11"/>
    <x v="860"/>
    <x v="30"/>
    <x v="3"/>
    <x v="212"/>
  </r>
  <r>
    <x v="2"/>
    <x v="2266"/>
    <x v="93"/>
    <x v="50"/>
    <x v="0"/>
    <x v="163"/>
    <x v="845"/>
    <x v="4"/>
    <x v="429"/>
    <x v="1967"/>
    <x v="2878"/>
    <x v="3357"/>
    <x v="4729"/>
    <x v="4674"/>
    <x v="3898"/>
    <x v="0"/>
    <x v="4607"/>
    <x v="4732"/>
    <x v="854"/>
    <x v="0"/>
    <x v="0"/>
    <x v="4"/>
    <x v="4"/>
    <x v="22"/>
    <x v="364"/>
    <x v="33"/>
    <x v="2"/>
    <x v="404"/>
  </r>
  <r>
    <x v="0"/>
    <x v="2267"/>
    <x v="385"/>
    <x v="42"/>
    <x v="221"/>
    <x v="644"/>
    <x v="496"/>
    <x v="4"/>
    <x v="105"/>
    <x v="920"/>
    <x v="2879"/>
    <x v="3358"/>
    <x v="4730"/>
    <x v="4296"/>
    <x v="3899"/>
    <x v="6"/>
    <x v="4608"/>
    <x v="4733"/>
    <x v="791"/>
    <x v="0"/>
    <x v="0"/>
    <x v="4"/>
    <x v="212"/>
    <x v="5"/>
    <x v="320"/>
    <x v="13"/>
    <x v="2"/>
    <x v="833"/>
  </r>
  <r>
    <x v="0"/>
    <x v="2268"/>
    <x v="435"/>
    <x v="42"/>
    <x v="126"/>
    <x v="298"/>
    <x v="841"/>
    <x v="4"/>
    <x v="225"/>
    <x v="1968"/>
    <x v="2880"/>
    <x v="3359"/>
    <x v="4731"/>
    <x v="4675"/>
    <x v="3527"/>
    <x v="0"/>
    <x v="4609"/>
    <x v="4734"/>
    <x v="326"/>
    <x v="0"/>
    <x v="10"/>
    <x v="10"/>
    <x v="149"/>
    <x v="2"/>
    <x v="253"/>
    <x v="44"/>
    <x v="0"/>
    <x v="850"/>
  </r>
  <r>
    <x v="0"/>
    <x v="2269"/>
    <x v="239"/>
    <x v="45"/>
    <x v="78"/>
    <x v="866"/>
    <x v="672"/>
    <x v="4"/>
    <x v="364"/>
    <x v="1352"/>
    <x v="2881"/>
    <x v="3360"/>
    <x v="4732"/>
    <x v="4676"/>
    <x v="2753"/>
    <x v="0"/>
    <x v="4610"/>
    <x v="4735"/>
    <x v="695"/>
    <x v="0"/>
    <x v="0"/>
    <x v="4"/>
    <x v="403"/>
    <x v="37"/>
    <x v="541"/>
    <x v="33"/>
    <x v="3"/>
    <x v="666"/>
  </r>
  <r>
    <x v="0"/>
    <x v="2270"/>
    <x v="333"/>
    <x v="55"/>
    <x v="107"/>
    <x v="698"/>
    <x v="322"/>
    <x v="4"/>
    <x v="898"/>
    <x v="1795"/>
    <x v="1474"/>
    <x v="3361"/>
    <x v="4733"/>
    <x v="2477"/>
    <x v="3064"/>
    <x v="4"/>
    <x v="4"/>
    <x v="4736"/>
    <x v="695"/>
    <x v="0"/>
    <x v="0"/>
    <x v="4"/>
    <x v="212"/>
    <x v="10"/>
    <x v="728"/>
    <x v="21"/>
    <x v="3"/>
    <x v="1"/>
  </r>
  <r>
    <x v="0"/>
    <x v="2271"/>
    <x v="87"/>
    <x v="78"/>
    <x v="73"/>
    <x v="545"/>
    <x v="418"/>
    <x v="3956"/>
    <x v="393"/>
    <x v="1969"/>
    <x v="2882"/>
    <x v="3362"/>
    <x v="4734"/>
    <x v="4677"/>
    <x v="3900"/>
    <x v="0"/>
    <x v="4611"/>
    <x v="4737"/>
    <x v="509"/>
    <x v="0"/>
    <x v="0"/>
    <x v="4"/>
    <x v="404"/>
    <x v="3"/>
    <x v="870"/>
    <x v="21"/>
    <x v="1"/>
    <x v="1"/>
  </r>
  <r>
    <x v="0"/>
    <x v="609"/>
    <x v="304"/>
    <x v="18"/>
    <x v="0"/>
    <x v="674"/>
    <x v="57"/>
    <x v="3957"/>
    <x v="105"/>
    <x v="109"/>
    <x v="1060"/>
    <x v="1220"/>
    <x v="4735"/>
    <x v="4678"/>
    <x v="3901"/>
    <x v="7"/>
    <x v="4612"/>
    <x v="4738"/>
    <x v="953"/>
    <x v="0"/>
    <x v="0"/>
    <x v="4"/>
    <x v="403"/>
    <x v="13"/>
    <x v="30"/>
    <x v="11"/>
    <x v="3"/>
    <x v="1"/>
  </r>
  <r>
    <x v="0"/>
    <x v="1452"/>
    <x v="184"/>
    <x v="43"/>
    <x v="281"/>
    <x v="577"/>
    <x v="432"/>
    <x v="3958"/>
    <x v="105"/>
    <x v="1970"/>
    <x v="1148"/>
    <x v="3363"/>
    <x v="4736"/>
    <x v="4679"/>
    <x v="3902"/>
    <x v="3"/>
    <x v="4613"/>
    <x v="4739"/>
    <x v="432"/>
    <x v="0"/>
    <x v="0"/>
    <x v="4"/>
    <x v="403"/>
    <x v="18"/>
    <x v="612"/>
    <x v="8"/>
    <x v="3"/>
    <x v="772"/>
  </r>
  <r>
    <x v="0"/>
    <x v="2272"/>
    <x v="4"/>
    <x v="78"/>
    <x v="216"/>
    <x v="345"/>
    <x v="830"/>
    <x v="4"/>
    <x v="899"/>
    <x v="1971"/>
    <x v="1399"/>
    <x v="3364"/>
    <x v="4737"/>
    <x v="4607"/>
    <x v="1627"/>
    <x v="4"/>
    <x v="4614"/>
    <x v="4740"/>
    <x v="4"/>
    <x v="0"/>
    <x v="0"/>
    <x v="4"/>
    <x v="405"/>
    <x v="5"/>
    <x v="14"/>
    <x v="44"/>
    <x v="3"/>
    <x v="745"/>
  </r>
  <r>
    <x v="0"/>
    <x v="41"/>
    <x v="359"/>
    <x v="42"/>
    <x v="29"/>
    <x v="170"/>
    <x v="537"/>
    <x v="3959"/>
    <x v="352"/>
    <x v="1972"/>
    <x v="2883"/>
    <x v="3365"/>
    <x v="4738"/>
    <x v="4680"/>
    <x v="3650"/>
    <x v="1"/>
    <x v="4615"/>
    <x v="4741"/>
    <x v="460"/>
    <x v="0"/>
    <x v="0"/>
    <x v="4"/>
    <x v="403"/>
    <x v="19"/>
    <x v="814"/>
    <x v="13"/>
    <x v="3"/>
    <x v="576"/>
  </r>
  <r>
    <x v="0"/>
    <x v="2273"/>
    <x v="430"/>
    <x v="50"/>
    <x v="198"/>
    <x v="567"/>
    <x v="846"/>
    <x v="3960"/>
    <x v="105"/>
    <x v="1973"/>
    <x v="1979"/>
    <x v="3366"/>
    <x v="4739"/>
    <x v="4681"/>
    <x v="3798"/>
    <x v="0"/>
    <x v="4616"/>
    <x v="4742"/>
    <x v="225"/>
    <x v="0"/>
    <x v="0"/>
    <x v="4"/>
    <x v="403"/>
    <x v="16"/>
    <x v="382"/>
    <x v="12"/>
    <x v="3"/>
    <x v="535"/>
  </r>
  <r>
    <x v="0"/>
    <x v="760"/>
    <x v="349"/>
    <x v="45"/>
    <x v="137"/>
    <x v="262"/>
    <x v="219"/>
    <x v="3961"/>
    <x v="200"/>
    <x v="405"/>
    <x v="2884"/>
    <x v="3367"/>
    <x v="4740"/>
    <x v="4682"/>
    <x v="3020"/>
    <x v="0"/>
    <x v="4617"/>
    <x v="4743"/>
    <x v="736"/>
    <x v="0"/>
    <x v="0"/>
    <x v="4"/>
    <x v="403"/>
    <x v="21"/>
    <x v="908"/>
    <x v="4"/>
    <x v="3"/>
    <x v="702"/>
  </r>
  <r>
    <x v="0"/>
    <x v="2274"/>
    <x v="435"/>
    <x v="7"/>
    <x v="0"/>
    <x v="636"/>
    <x v="847"/>
    <x v="3962"/>
    <x v="105"/>
    <x v="1974"/>
    <x v="2885"/>
    <x v="3368"/>
    <x v="4741"/>
    <x v="4683"/>
    <x v="3236"/>
    <x v="4"/>
    <x v="4618"/>
    <x v="4744"/>
    <x v="408"/>
    <x v="0"/>
    <x v="0"/>
    <x v="10"/>
    <x v="403"/>
    <x v="18"/>
    <x v="646"/>
    <x v="10"/>
    <x v="3"/>
    <x v="270"/>
  </r>
  <r>
    <x v="0"/>
    <x v="2275"/>
    <x v="4"/>
    <x v="78"/>
    <x v="0"/>
    <x v="905"/>
    <x v="568"/>
    <x v="4"/>
    <x v="718"/>
    <x v="1975"/>
    <x v="2886"/>
    <x v="3369"/>
    <x v="4742"/>
    <x v="4256"/>
    <x v="1077"/>
    <x v="0"/>
    <x v="4"/>
    <x v="4745"/>
    <x v="4"/>
    <x v="0"/>
    <x v="0"/>
    <x v="1"/>
    <x v="212"/>
    <x v="11"/>
    <x v="7"/>
    <x v="44"/>
    <x v="2"/>
    <x v="810"/>
  </r>
  <r>
    <x v="0"/>
    <x v="727"/>
    <x v="414"/>
    <x v="78"/>
    <x v="124"/>
    <x v="552"/>
    <x v="591"/>
    <x v="3963"/>
    <x v="361"/>
    <x v="1144"/>
    <x v="1027"/>
    <x v="3370"/>
    <x v="4743"/>
    <x v="4684"/>
    <x v="3903"/>
    <x v="0"/>
    <x v="4619"/>
    <x v="4746"/>
    <x v="691"/>
    <x v="0"/>
    <x v="4"/>
    <x v="4"/>
    <x v="406"/>
    <x v="13"/>
    <x v="544"/>
    <x v="11"/>
    <x v="3"/>
    <x v="59"/>
  </r>
  <r>
    <x v="0"/>
    <x v="2276"/>
    <x v="152"/>
    <x v="93"/>
    <x v="0"/>
    <x v="312"/>
    <x v="473"/>
    <x v="3964"/>
    <x v="127"/>
    <x v="416"/>
    <x v="723"/>
    <x v="3371"/>
    <x v="4744"/>
    <x v="4685"/>
    <x v="2726"/>
    <x v="1"/>
    <x v="4620"/>
    <x v="4747"/>
    <x v="732"/>
    <x v="0"/>
    <x v="5"/>
    <x v="4"/>
    <x v="403"/>
    <x v="25"/>
    <x v="435"/>
    <x v="21"/>
    <x v="2"/>
    <x v="851"/>
  </r>
  <r>
    <x v="0"/>
    <x v="2277"/>
    <x v="307"/>
    <x v="128"/>
    <x v="176"/>
    <x v="298"/>
    <x v="87"/>
    <x v="3965"/>
    <x v="900"/>
    <x v="1976"/>
    <x v="2887"/>
    <x v="3372"/>
    <x v="4745"/>
    <x v="4686"/>
    <x v="3904"/>
    <x v="0"/>
    <x v="4621"/>
    <x v="4748"/>
    <x v="732"/>
    <x v="0"/>
    <x v="0"/>
    <x v="4"/>
    <x v="403"/>
    <x v="13"/>
    <x v="556"/>
    <x v="15"/>
    <x v="3"/>
    <x v="852"/>
  </r>
  <r>
    <x v="0"/>
    <x v="2200"/>
    <x v="425"/>
    <x v="98"/>
    <x v="143"/>
    <x v="667"/>
    <x v="305"/>
    <x v="3966"/>
    <x v="150"/>
    <x v="1977"/>
    <x v="2888"/>
    <x v="1207"/>
    <x v="4746"/>
    <x v="4687"/>
    <x v="1510"/>
    <x v="1"/>
    <x v="4622"/>
    <x v="4749"/>
    <x v="398"/>
    <x v="0"/>
    <x v="0"/>
    <x v="4"/>
    <x v="386"/>
    <x v="14"/>
    <x v="197"/>
    <x v="34"/>
    <x v="3"/>
    <x v="699"/>
  </r>
  <r>
    <x v="0"/>
    <x v="2278"/>
    <x v="278"/>
    <x v="78"/>
    <x v="79"/>
    <x v="813"/>
    <x v="31"/>
    <x v="3967"/>
    <x v="17"/>
    <x v="37"/>
    <x v="2889"/>
    <x v="3373"/>
    <x v="4747"/>
    <x v="4688"/>
    <x v="3905"/>
    <x v="1"/>
    <x v="4623"/>
    <x v="4750"/>
    <x v="549"/>
    <x v="0"/>
    <x v="0"/>
    <x v="0"/>
    <x v="403"/>
    <x v="10"/>
    <x v="908"/>
    <x v="10"/>
    <x v="0"/>
    <x v="85"/>
  </r>
  <r>
    <x v="0"/>
    <x v="2279"/>
    <x v="4"/>
    <x v="45"/>
    <x v="0"/>
    <x v="764"/>
    <x v="541"/>
    <x v="4"/>
    <x v="429"/>
    <x v="1978"/>
    <x v="2769"/>
    <x v="3374"/>
    <x v="4748"/>
    <x v="4689"/>
    <x v="3906"/>
    <x v="0"/>
    <x v="4624"/>
    <x v="4751"/>
    <x v="188"/>
    <x v="0"/>
    <x v="0"/>
    <x v="1"/>
    <x v="212"/>
    <x v="2"/>
    <x v="788"/>
    <x v="44"/>
    <x v="12"/>
    <x v="550"/>
  </r>
  <r>
    <x v="0"/>
    <x v="1711"/>
    <x v="207"/>
    <x v="80"/>
    <x v="154"/>
    <x v="775"/>
    <x v="848"/>
    <x v="3968"/>
    <x v="430"/>
    <x v="1979"/>
    <x v="1598"/>
    <x v="3375"/>
    <x v="4749"/>
    <x v="4690"/>
    <x v="1684"/>
    <x v="4"/>
    <x v="4625"/>
    <x v="4752"/>
    <x v="636"/>
    <x v="0"/>
    <x v="1"/>
    <x v="4"/>
    <x v="403"/>
    <x v="15"/>
    <x v="392"/>
    <x v="9"/>
    <x v="2"/>
    <x v="853"/>
  </r>
  <r>
    <x v="0"/>
    <x v="2280"/>
    <x v="434"/>
    <x v="128"/>
    <x v="314"/>
    <x v="321"/>
    <x v="849"/>
    <x v="3969"/>
    <x v="200"/>
    <x v="1980"/>
    <x v="2890"/>
    <x v="3376"/>
    <x v="4750"/>
    <x v="4691"/>
    <x v="3907"/>
    <x v="1"/>
    <x v="4626"/>
    <x v="4753"/>
    <x v="744"/>
    <x v="13"/>
    <x v="0"/>
    <x v="1"/>
    <x v="4"/>
    <x v="12"/>
    <x v="820"/>
    <x v="2"/>
    <x v="3"/>
    <x v="685"/>
  </r>
  <r>
    <x v="0"/>
    <x v="1218"/>
    <x v="57"/>
    <x v="77"/>
    <x v="351"/>
    <x v="158"/>
    <x v="243"/>
    <x v="3970"/>
    <x v="306"/>
    <x v="1981"/>
    <x v="2891"/>
    <x v="3377"/>
    <x v="4751"/>
    <x v="4692"/>
    <x v="3908"/>
    <x v="0"/>
    <x v="4627"/>
    <x v="4754"/>
    <x v="499"/>
    <x v="0"/>
    <x v="0"/>
    <x v="4"/>
    <x v="403"/>
    <x v="9"/>
    <x v="487"/>
    <x v="65"/>
    <x v="1"/>
    <x v="1"/>
  </r>
  <r>
    <x v="0"/>
    <x v="113"/>
    <x v="492"/>
    <x v="187"/>
    <x v="88"/>
    <x v="701"/>
    <x v="110"/>
    <x v="4"/>
    <x v="152"/>
    <x v="206"/>
    <x v="2892"/>
    <x v="3378"/>
    <x v="4752"/>
    <x v="4693"/>
    <x v="2360"/>
    <x v="1"/>
    <x v="4628"/>
    <x v="4755"/>
    <x v="247"/>
    <x v="0"/>
    <x v="1"/>
    <x v="7"/>
    <x v="4"/>
    <x v="4"/>
    <x v="752"/>
    <x v="3"/>
    <x v="12"/>
    <x v="7"/>
  </r>
  <r>
    <x v="0"/>
    <x v="2281"/>
    <x v="396"/>
    <x v="107"/>
    <x v="78"/>
    <x v="318"/>
    <x v="603"/>
    <x v="4"/>
    <x v="270"/>
    <x v="1982"/>
    <x v="2893"/>
    <x v="3379"/>
    <x v="4753"/>
    <x v="4694"/>
    <x v="3454"/>
    <x v="3"/>
    <x v="4629"/>
    <x v="4756"/>
    <x v="83"/>
    <x v="0"/>
    <x v="0"/>
    <x v="4"/>
    <x v="4"/>
    <x v="14"/>
    <x v="863"/>
    <x v="8"/>
    <x v="2"/>
    <x v="627"/>
  </r>
  <r>
    <x v="0"/>
    <x v="1008"/>
    <x v="69"/>
    <x v="80"/>
    <x v="329"/>
    <x v="458"/>
    <x v="641"/>
    <x v="3971"/>
    <x v="306"/>
    <x v="1983"/>
    <x v="2894"/>
    <x v="3380"/>
    <x v="4754"/>
    <x v="4695"/>
    <x v="2411"/>
    <x v="0"/>
    <x v="4630"/>
    <x v="4757"/>
    <x v="646"/>
    <x v="0"/>
    <x v="0"/>
    <x v="0"/>
    <x v="4"/>
    <x v="1"/>
    <x v="776"/>
    <x v="11"/>
    <x v="1"/>
    <x v="196"/>
  </r>
  <r>
    <x v="0"/>
    <x v="2282"/>
    <x v="379"/>
    <x v="59"/>
    <x v="184"/>
    <x v="815"/>
    <x v="61"/>
    <x v="4"/>
    <x v="60"/>
    <x v="105"/>
    <x v="2895"/>
    <x v="3381"/>
    <x v="4755"/>
    <x v="4696"/>
    <x v="3909"/>
    <x v="0"/>
    <x v="4631"/>
    <x v="4758"/>
    <x v="452"/>
    <x v="0"/>
    <x v="1"/>
    <x v="9"/>
    <x v="4"/>
    <x v="0"/>
    <x v="843"/>
    <x v="8"/>
    <x v="1"/>
    <x v="57"/>
  </r>
  <r>
    <x v="1"/>
    <x v="2283"/>
    <x v="385"/>
    <x v="113"/>
    <x v="0"/>
    <x v="531"/>
    <x v="721"/>
    <x v="3972"/>
    <x v="652"/>
    <x v="1984"/>
    <x v="2896"/>
    <x v="3382"/>
    <x v="4756"/>
    <x v="4697"/>
    <x v="3910"/>
    <x v="0"/>
    <x v="4632"/>
    <x v="4759"/>
    <x v="791"/>
    <x v="0"/>
    <x v="0"/>
    <x v="1"/>
    <x v="403"/>
    <x v="13"/>
    <x v="893"/>
    <x v="22"/>
    <x v="3"/>
    <x v="854"/>
  </r>
  <r>
    <x v="0"/>
    <x v="2284"/>
    <x v="451"/>
    <x v="41"/>
    <x v="143"/>
    <x v="413"/>
    <x v="155"/>
    <x v="4"/>
    <x v="787"/>
    <x v="1985"/>
    <x v="2897"/>
    <x v="3383"/>
    <x v="4757"/>
    <x v="4698"/>
    <x v="3235"/>
    <x v="0"/>
    <x v="4633"/>
    <x v="4760"/>
    <x v="684"/>
    <x v="0"/>
    <x v="0"/>
    <x v="3"/>
    <x v="4"/>
    <x v="8"/>
    <x v="696"/>
    <x v="73"/>
    <x v="3"/>
    <x v="671"/>
  </r>
  <r>
    <x v="0"/>
    <x v="2285"/>
    <x v="320"/>
    <x v="54"/>
    <x v="16"/>
    <x v="708"/>
    <x v="0"/>
    <x v="4"/>
    <x v="270"/>
    <x v="1157"/>
    <x v="2898"/>
    <x v="3384"/>
    <x v="4758"/>
    <x v="4699"/>
    <x v="3911"/>
    <x v="1"/>
    <x v="4"/>
    <x v="4761"/>
    <x v="824"/>
    <x v="0"/>
    <x v="4"/>
    <x v="2"/>
    <x v="403"/>
    <x v="5"/>
    <x v="844"/>
    <x v="20"/>
    <x v="0"/>
    <x v="388"/>
  </r>
  <r>
    <x v="0"/>
    <x v="2286"/>
    <x v="240"/>
    <x v="86"/>
    <x v="117"/>
    <x v="862"/>
    <x v="850"/>
    <x v="4"/>
    <x v="901"/>
    <x v="1986"/>
    <x v="2899"/>
    <x v="3385"/>
    <x v="4759"/>
    <x v="4700"/>
    <x v="3411"/>
    <x v="0"/>
    <x v="4634"/>
    <x v="4762"/>
    <x v="699"/>
    <x v="0"/>
    <x v="0"/>
    <x v="1"/>
    <x v="4"/>
    <x v="0"/>
    <x v="440"/>
    <x v="15"/>
    <x v="0"/>
    <x v="59"/>
  </r>
  <r>
    <x v="0"/>
    <x v="2287"/>
    <x v="169"/>
    <x v="42"/>
    <x v="221"/>
    <x v="342"/>
    <x v="851"/>
    <x v="4"/>
    <x v="463"/>
    <x v="1987"/>
    <x v="2900"/>
    <x v="3386"/>
    <x v="4760"/>
    <x v="4701"/>
    <x v="3912"/>
    <x v="4"/>
    <x v="4635"/>
    <x v="4763"/>
    <x v="896"/>
    <x v="0"/>
    <x v="0"/>
    <x v="2"/>
    <x v="403"/>
    <x v="5"/>
    <x v="696"/>
    <x v="5"/>
    <x v="2"/>
    <x v="1"/>
  </r>
  <r>
    <x v="0"/>
    <x v="2288"/>
    <x v="4"/>
    <x v="188"/>
    <x v="216"/>
    <x v="869"/>
    <x v="430"/>
    <x v="4"/>
    <x v="902"/>
    <x v="1988"/>
    <x v="2901"/>
    <x v="3387"/>
    <x v="4761"/>
    <x v="4702"/>
    <x v="3913"/>
    <x v="7"/>
    <x v="4636"/>
    <x v="4764"/>
    <x v="4"/>
    <x v="0"/>
    <x v="0"/>
    <x v="1"/>
    <x v="4"/>
    <x v="1"/>
    <x v="359"/>
    <x v="8"/>
    <x v="2"/>
    <x v="1"/>
  </r>
  <r>
    <x v="0"/>
    <x v="2289"/>
    <x v="464"/>
    <x v="26"/>
    <x v="211"/>
    <x v="866"/>
    <x v="820"/>
    <x v="4"/>
    <x v="152"/>
    <x v="1878"/>
    <x v="2902"/>
    <x v="3388"/>
    <x v="4762"/>
    <x v="4703"/>
    <x v="2934"/>
    <x v="0"/>
    <x v="4637"/>
    <x v="4765"/>
    <x v="684"/>
    <x v="0"/>
    <x v="0"/>
    <x v="4"/>
    <x v="4"/>
    <x v="26"/>
    <x v="267"/>
    <x v="33"/>
    <x v="3"/>
    <x v="507"/>
  </r>
  <r>
    <x v="0"/>
    <x v="2290"/>
    <x v="93"/>
    <x v="180"/>
    <x v="0"/>
    <x v="298"/>
    <x v="471"/>
    <x v="4"/>
    <x v="4"/>
    <x v="1989"/>
    <x v="2903"/>
    <x v="3389"/>
    <x v="4763"/>
    <x v="276"/>
    <x v="2095"/>
    <x v="4"/>
    <x v="4"/>
    <x v="4766"/>
    <x v="326"/>
    <x v="0"/>
    <x v="0"/>
    <x v="2"/>
    <x v="403"/>
    <x v="9"/>
    <x v="253"/>
    <x v="6"/>
    <x v="2"/>
    <x v="93"/>
  </r>
  <r>
    <x v="0"/>
    <x v="2291"/>
    <x v="329"/>
    <x v="54"/>
    <x v="143"/>
    <x v="700"/>
    <x v="852"/>
    <x v="4"/>
    <x v="381"/>
    <x v="1990"/>
    <x v="2904"/>
    <x v="3390"/>
    <x v="4764"/>
    <x v="4704"/>
    <x v="2106"/>
    <x v="1"/>
    <x v="4428"/>
    <x v="4767"/>
    <x v="510"/>
    <x v="0"/>
    <x v="0"/>
    <x v="0"/>
    <x v="403"/>
    <x v="3"/>
    <x v="553"/>
    <x v="46"/>
    <x v="2"/>
    <x v="855"/>
  </r>
  <r>
    <x v="0"/>
    <x v="1131"/>
    <x v="4"/>
    <x v="77"/>
    <x v="176"/>
    <x v="813"/>
    <x v="0"/>
    <x v="4"/>
    <x v="594"/>
    <x v="543"/>
    <x v="1620"/>
    <x v="1931"/>
    <x v="2670"/>
    <x v="2665"/>
    <x v="2469"/>
    <x v="1"/>
    <x v="2649"/>
    <x v="2670"/>
    <x v="388"/>
    <x v="0"/>
    <x v="0"/>
    <x v="10"/>
    <x v="4"/>
    <x v="20"/>
    <x v="2"/>
    <x v="38"/>
    <x v="8"/>
    <x v="483"/>
  </r>
  <r>
    <x v="0"/>
    <x v="2223"/>
    <x v="93"/>
    <x v="26"/>
    <x v="427"/>
    <x v="708"/>
    <x v="330"/>
    <x v="4"/>
    <x v="784"/>
    <x v="1991"/>
    <x v="2905"/>
    <x v="3391"/>
    <x v="4765"/>
    <x v="4705"/>
    <x v="3401"/>
    <x v="5"/>
    <x v="4"/>
    <x v="4768"/>
    <x v="326"/>
    <x v="0"/>
    <x v="0"/>
    <x v="2"/>
    <x v="403"/>
    <x v="11"/>
    <x v="745"/>
    <x v="4"/>
    <x v="2"/>
    <x v="856"/>
  </r>
  <r>
    <x v="0"/>
    <x v="2292"/>
    <x v="489"/>
    <x v="78"/>
    <x v="164"/>
    <x v="671"/>
    <x v="487"/>
    <x v="4"/>
    <x v="4"/>
    <x v="903"/>
    <x v="981"/>
    <x v="1924"/>
    <x v="4766"/>
    <x v="4706"/>
    <x v="3318"/>
    <x v="0"/>
    <x v="4638"/>
    <x v="4769"/>
    <x v="188"/>
    <x v="0"/>
    <x v="0"/>
    <x v="1"/>
    <x v="403"/>
    <x v="11"/>
    <x v="500"/>
    <x v="25"/>
    <x v="2"/>
    <x v="681"/>
  </r>
  <r>
    <x v="1"/>
    <x v="1544"/>
    <x v="422"/>
    <x v="12"/>
    <x v="91"/>
    <x v="423"/>
    <x v="853"/>
    <x v="4"/>
    <x v="387"/>
    <x v="1992"/>
    <x v="2906"/>
    <x v="3392"/>
    <x v="4767"/>
    <x v="4707"/>
    <x v="1216"/>
    <x v="0"/>
    <x v="4639"/>
    <x v="4770"/>
    <x v="727"/>
    <x v="1"/>
    <x v="0"/>
    <x v="9"/>
    <x v="407"/>
    <x v="90"/>
    <x v="4"/>
    <x v="24"/>
    <x v="8"/>
    <x v="605"/>
  </r>
  <r>
    <x v="0"/>
    <x v="2293"/>
    <x v="412"/>
    <x v="105"/>
    <x v="69"/>
    <x v="272"/>
    <x v="0"/>
    <x v="4"/>
    <x v="125"/>
    <x v="1316"/>
    <x v="2907"/>
    <x v="3393"/>
    <x v="4768"/>
    <x v="4708"/>
    <x v="2673"/>
    <x v="0"/>
    <x v="4640"/>
    <x v="4771"/>
    <x v="326"/>
    <x v="0"/>
    <x v="0"/>
    <x v="1"/>
    <x v="408"/>
    <x v="7"/>
    <x v="787"/>
    <x v="12"/>
    <x v="2"/>
    <x v="857"/>
  </r>
  <r>
    <x v="0"/>
    <x v="2294"/>
    <x v="479"/>
    <x v="26"/>
    <x v="0"/>
    <x v="667"/>
    <x v="672"/>
    <x v="4"/>
    <x v="434"/>
    <x v="1993"/>
    <x v="2908"/>
    <x v="3394"/>
    <x v="4769"/>
    <x v="4326"/>
    <x v="3914"/>
    <x v="3"/>
    <x v="4"/>
    <x v="4772"/>
    <x v="188"/>
    <x v="0"/>
    <x v="0"/>
    <x v="1"/>
    <x v="403"/>
    <x v="9"/>
    <x v="702"/>
    <x v="1"/>
    <x v="3"/>
    <x v="505"/>
  </r>
  <r>
    <x v="0"/>
    <x v="1099"/>
    <x v="117"/>
    <x v="80"/>
    <x v="0"/>
    <x v="831"/>
    <x v="3"/>
    <x v="3973"/>
    <x v="517"/>
    <x v="3"/>
    <x v="2909"/>
    <x v="3395"/>
    <x v="4770"/>
    <x v="4709"/>
    <x v="3915"/>
    <x v="0"/>
    <x v="4641"/>
    <x v="4773"/>
    <x v="147"/>
    <x v="0"/>
    <x v="1"/>
    <x v="4"/>
    <x v="4"/>
    <x v="8"/>
    <x v="258"/>
    <x v="1"/>
    <x v="3"/>
    <x v="31"/>
  </r>
  <r>
    <x v="0"/>
    <x v="2295"/>
    <x v="451"/>
    <x v="72"/>
    <x v="143"/>
    <x v="627"/>
    <x v="854"/>
    <x v="4"/>
    <x v="903"/>
    <x v="1994"/>
    <x v="2910"/>
    <x v="3396"/>
    <x v="4771"/>
    <x v="4710"/>
    <x v="3916"/>
    <x v="0"/>
    <x v="4642"/>
    <x v="4774"/>
    <x v="854"/>
    <x v="0"/>
    <x v="0"/>
    <x v="1"/>
    <x v="403"/>
    <x v="2"/>
    <x v="516"/>
    <x v="61"/>
    <x v="2"/>
    <x v="653"/>
  </r>
  <r>
    <x v="0"/>
    <x v="2296"/>
    <x v="417"/>
    <x v="107"/>
    <x v="5"/>
    <x v="298"/>
    <x v="129"/>
    <x v="3974"/>
    <x v="4"/>
    <x v="1995"/>
    <x v="2911"/>
    <x v="3397"/>
    <x v="4772"/>
    <x v="4711"/>
    <x v="489"/>
    <x v="0"/>
    <x v="4643"/>
    <x v="4775"/>
    <x v="843"/>
    <x v="0"/>
    <x v="0"/>
    <x v="9"/>
    <x v="390"/>
    <x v="3"/>
    <x v="253"/>
    <x v="7"/>
    <x v="1"/>
    <x v="858"/>
  </r>
  <r>
    <x v="0"/>
    <x v="2297"/>
    <x v="428"/>
    <x v="11"/>
    <x v="0"/>
    <x v="845"/>
    <x v="714"/>
    <x v="3975"/>
    <x v="270"/>
    <x v="1996"/>
    <x v="520"/>
    <x v="3398"/>
    <x v="4773"/>
    <x v="4712"/>
    <x v="2888"/>
    <x v="1"/>
    <x v="4644"/>
    <x v="4776"/>
    <x v="546"/>
    <x v="0"/>
    <x v="0"/>
    <x v="4"/>
    <x v="390"/>
    <x v="21"/>
    <x v="338"/>
    <x v="15"/>
    <x v="3"/>
    <x v="857"/>
  </r>
  <r>
    <x v="0"/>
    <x v="2298"/>
    <x v="152"/>
    <x v="41"/>
    <x v="0"/>
    <x v="298"/>
    <x v="795"/>
    <x v="4"/>
    <x v="200"/>
    <x v="1997"/>
    <x v="2912"/>
    <x v="3399"/>
    <x v="4774"/>
    <x v="4713"/>
    <x v="1736"/>
    <x v="0"/>
    <x v="4645"/>
    <x v="4777"/>
    <x v="685"/>
    <x v="0"/>
    <x v="0"/>
    <x v="14"/>
    <x v="344"/>
    <x v="50"/>
    <x v="4"/>
    <x v="61"/>
    <x v="15"/>
    <x v="810"/>
  </r>
  <r>
    <x v="1"/>
    <x v="2299"/>
    <x v="334"/>
    <x v="110"/>
    <x v="143"/>
    <x v="502"/>
    <x v="204"/>
    <x v="1980"/>
    <x v="904"/>
    <x v="1998"/>
    <x v="2913"/>
    <x v="3400"/>
    <x v="4775"/>
    <x v="4714"/>
    <x v="3525"/>
    <x v="0"/>
    <x v="4646"/>
    <x v="4778"/>
    <x v="244"/>
    <x v="0"/>
    <x v="0"/>
    <x v="11"/>
    <x v="409"/>
    <x v="62"/>
    <x v="383"/>
    <x v="10"/>
    <x v="15"/>
    <x v="859"/>
  </r>
  <r>
    <x v="0"/>
    <x v="810"/>
    <x v="474"/>
    <x v="46"/>
    <x v="190"/>
    <x v="636"/>
    <x v="423"/>
    <x v="4"/>
    <x v="772"/>
    <x v="391"/>
    <x v="2147"/>
    <x v="2549"/>
    <x v="3641"/>
    <x v="4715"/>
    <x v="2743"/>
    <x v="0"/>
    <x v="3597"/>
    <x v="3643"/>
    <x v="586"/>
    <x v="0"/>
    <x v="0"/>
    <x v="11"/>
    <x v="240"/>
    <x v="63"/>
    <x v="844"/>
    <x v="13"/>
    <x v="15"/>
    <x v="1"/>
  </r>
  <r>
    <x v="0"/>
    <x v="83"/>
    <x v="132"/>
    <x v="41"/>
    <x v="66"/>
    <x v="222"/>
    <x v="855"/>
    <x v="4"/>
    <x v="18"/>
    <x v="1999"/>
    <x v="2914"/>
    <x v="3401"/>
    <x v="4776"/>
    <x v="4716"/>
    <x v="3782"/>
    <x v="0"/>
    <x v="4647"/>
    <x v="4779"/>
    <x v="677"/>
    <x v="0"/>
    <x v="5"/>
    <x v="4"/>
    <x v="401"/>
    <x v="28"/>
    <x v="699"/>
    <x v="15"/>
    <x v="1"/>
    <x v="7"/>
  </r>
  <r>
    <x v="0"/>
    <x v="52"/>
    <x v="379"/>
    <x v="45"/>
    <x v="37"/>
    <x v="738"/>
    <x v="41"/>
    <x v="3976"/>
    <x v="200"/>
    <x v="211"/>
    <x v="2915"/>
    <x v="3402"/>
    <x v="4777"/>
    <x v="4717"/>
    <x v="630"/>
    <x v="0"/>
    <x v="4648"/>
    <x v="4780"/>
    <x v="418"/>
    <x v="0"/>
    <x v="0"/>
    <x v="4"/>
    <x v="401"/>
    <x v="25"/>
    <x v="403"/>
    <x v="38"/>
    <x v="3"/>
    <x v="1"/>
  </r>
  <r>
    <x v="0"/>
    <x v="737"/>
    <x v="270"/>
    <x v="77"/>
    <x v="0"/>
    <x v="823"/>
    <x v="17"/>
    <x v="2284"/>
    <x v="572"/>
    <x v="303"/>
    <x v="2916"/>
    <x v="3403"/>
    <x v="4778"/>
    <x v="4718"/>
    <x v="3917"/>
    <x v="1"/>
    <x v="4649"/>
    <x v="4781"/>
    <x v="527"/>
    <x v="17"/>
    <x v="20"/>
    <x v="4"/>
    <x v="401"/>
    <x v="53"/>
    <x v="134"/>
    <x v="25"/>
    <x v="1"/>
    <x v="1"/>
  </r>
  <r>
    <x v="1"/>
    <x v="2300"/>
    <x v="311"/>
    <x v="180"/>
    <x v="106"/>
    <x v="222"/>
    <x v="814"/>
    <x v="4"/>
    <x v="905"/>
    <x v="2000"/>
    <x v="2917"/>
    <x v="3404"/>
    <x v="4779"/>
    <x v="4719"/>
    <x v="1877"/>
    <x v="1"/>
    <x v="4650"/>
    <x v="4782"/>
    <x v="247"/>
    <x v="0"/>
    <x v="0"/>
    <x v="11"/>
    <x v="401"/>
    <x v="87"/>
    <x v="326"/>
    <x v="12"/>
    <x v="15"/>
    <x v="251"/>
  </r>
  <r>
    <x v="0"/>
    <x v="2301"/>
    <x v="464"/>
    <x v="79"/>
    <x v="0"/>
    <x v="298"/>
    <x v="399"/>
    <x v="3977"/>
    <x v="4"/>
    <x v="2001"/>
    <x v="2918"/>
    <x v="3405"/>
    <x v="4780"/>
    <x v="4720"/>
    <x v="1693"/>
    <x v="0"/>
    <x v="4"/>
    <x v="4783"/>
    <x v="96"/>
    <x v="0"/>
    <x v="0"/>
    <x v="10"/>
    <x v="401"/>
    <x v="14"/>
    <x v="253"/>
    <x v="13"/>
    <x v="0"/>
    <x v="427"/>
  </r>
  <r>
    <x v="0"/>
    <x v="2302"/>
    <x v="429"/>
    <x v="59"/>
    <x v="0"/>
    <x v="403"/>
    <x v="856"/>
    <x v="3978"/>
    <x v="270"/>
    <x v="2002"/>
    <x v="2919"/>
    <x v="3406"/>
    <x v="4781"/>
    <x v="4721"/>
    <x v="3918"/>
    <x v="6"/>
    <x v="4651"/>
    <x v="4784"/>
    <x v="721"/>
    <x v="0"/>
    <x v="0"/>
    <x v="0"/>
    <x v="401"/>
    <x v="5"/>
    <x v="244"/>
    <x v="21"/>
    <x v="2"/>
    <x v="1"/>
  </r>
  <r>
    <x v="0"/>
    <x v="906"/>
    <x v="447"/>
    <x v="55"/>
    <x v="64"/>
    <x v="805"/>
    <x v="0"/>
    <x v="3979"/>
    <x v="270"/>
    <x v="834"/>
    <x v="269"/>
    <x v="3407"/>
    <x v="4782"/>
    <x v="4722"/>
    <x v="3314"/>
    <x v="4"/>
    <x v="4"/>
    <x v="4785"/>
    <x v="896"/>
    <x v="0"/>
    <x v="0"/>
    <x v="4"/>
    <x v="401"/>
    <x v="3"/>
    <x v="30"/>
    <x v="12"/>
    <x v="1"/>
    <x v="774"/>
  </r>
  <r>
    <x v="0"/>
    <x v="178"/>
    <x v="352"/>
    <x v="73"/>
    <x v="128"/>
    <x v="777"/>
    <x v="611"/>
    <x v="3980"/>
    <x v="105"/>
    <x v="2003"/>
    <x v="2920"/>
    <x v="3408"/>
    <x v="4783"/>
    <x v="4723"/>
    <x v="3919"/>
    <x v="0"/>
    <x v="4652"/>
    <x v="4786"/>
    <x v="684"/>
    <x v="15"/>
    <x v="8"/>
    <x v="10"/>
    <x v="4"/>
    <x v="5"/>
    <x v="658"/>
    <x v="2"/>
    <x v="1"/>
    <x v="43"/>
  </r>
  <r>
    <x v="0"/>
    <x v="2303"/>
    <x v="329"/>
    <x v="33"/>
    <x v="174"/>
    <x v="568"/>
    <x v="806"/>
    <x v="3981"/>
    <x v="419"/>
    <x v="2004"/>
    <x v="2921"/>
    <x v="3409"/>
    <x v="4784"/>
    <x v="4724"/>
    <x v="3920"/>
    <x v="0"/>
    <x v="4653"/>
    <x v="4787"/>
    <x v="792"/>
    <x v="0"/>
    <x v="0"/>
    <x v="1"/>
    <x v="401"/>
    <x v="19"/>
    <x v="903"/>
    <x v="8"/>
    <x v="2"/>
    <x v="860"/>
  </r>
  <r>
    <x v="0"/>
    <x v="2304"/>
    <x v="478"/>
    <x v="107"/>
    <x v="0"/>
    <x v="100"/>
    <x v="768"/>
    <x v="3982"/>
    <x v="881"/>
    <x v="2005"/>
    <x v="2922"/>
    <x v="3410"/>
    <x v="4785"/>
    <x v="4725"/>
    <x v="3921"/>
    <x v="3"/>
    <x v="4654"/>
    <x v="4788"/>
    <x v="188"/>
    <x v="0"/>
    <x v="0"/>
    <x v="0"/>
    <x v="401"/>
    <x v="8"/>
    <x v="909"/>
    <x v="7"/>
    <x v="2"/>
    <x v="285"/>
  </r>
  <r>
    <x v="0"/>
    <x v="151"/>
    <x v="14"/>
    <x v="11"/>
    <x v="0"/>
    <x v="689"/>
    <x v="30"/>
    <x v="1584"/>
    <x v="168"/>
    <x v="50"/>
    <x v="1084"/>
    <x v="1279"/>
    <x v="1652"/>
    <x v="4726"/>
    <x v="1594"/>
    <x v="0"/>
    <x v="1641"/>
    <x v="1652"/>
    <x v="459"/>
    <x v="0"/>
    <x v="0"/>
    <x v="4"/>
    <x v="116"/>
    <x v="9"/>
    <x v="588"/>
    <x v="1"/>
    <x v="3"/>
    <x v="5"/>
  </r>
  <r>
    <x v="0"/>
    <x v="2305"/>
    <x v="370"/>
    <x v="78"/>
    <x v="73"/>
    <x v="567"/>
    <x v="836"/>
    <x v="4"/>
    <x v="353"/>
    <x v="1939"/>
    <x v="2923"/>
    <x v="3411"/>
    <x v="4786"/>
    <x v="4727"/>
    <x v="3356"/>
    <x v="0"/>
    <x v="4655"/>
    <x v="4789"/>
    <x v="137"/>
    <x v="0"/>
    <x v="0"/>
    <x v="4"/>
    <x v="401"/>
    <x v="17"/>
    <x v="681"/>
    <x v="37"/>
    <x v="8"/>
    <x v="861"/>
  </r>
  <r>
    <x v="0"/>
    <x v="1069"/>
    <x v="169"/>
    <x v="54"/>
    <x v="262"/>
    <x v="657"/>
    <x v="541"/>
    <x v="4"/>
    <x v="200"/>
    <x v="2006"/>
    <x v="2924"/>
    <x v="3412"/>
    <x v="4787"/>
    <x v="4728"/>
    <x v="1768"/>
    <x v="0"/>
    <x v="4656"/>
    <x v="4790"/>
    <x v="326"/>
    <x v="0"/>
    <x v="0"/>
    <x v="1"/>
    <x v="403"/>
    <x v="2"/>
    <x v="646"/>
    <x v="5"/>
    <x v="2"/>
    <x v="726"/>
  </r>
  <r>
    <x v="0"/>
    <x v="921"/>
    <x v="372"/>
    <x v="50"/>
    <x v="216"/>
    <x v="906"/>
    <x v="857"/>
    <x v="4"/>
    <x v="321"/>
    <x v="2007"/>
    <x v="2925"/>
    <x v="3413"/>
    <x v="4788"/>
    <x v="4729"/>
    <x v="2264"/>
    <x v="0"/>
    <x v="4657"/>
    <x v="4791"/>
    <x v="636"/>
    <x v="0"/>
    <x v="0"/>
    <x v="0"/>
    <x v="185"/>
    <x v="5"/>
    <x v="186"/>
    <x v="65"/>
    <x v="1"/>
    <x v="1"/>
  </r>
  <r>
    <x v="0"/>
    <x v="1342"/>
    <x v="197"/>
    <x v="95"/>
    <x v="330"/>
    <x v="729"/>
    <x v="98"/>
    <x v="3983"/>
    <x v="722"/>
    <x v="1566"/>
    <x v="2926"/>
    <x v="3414"/>
    <x v="4789"/>
    <x v="4730"/>
    <x v="2319"/>
    <x v="0"/>
    <x v="4658"/>
    <x v="4792"/>
    <x v="408"/>
    <x v="0"/>
    <x v="0"/>
    <x v="4"/>
    <x v="4"/>
    <x v="8"/>
    <x v="910"/>
    <x v="19"/>
    <x v="3"/>
    <x v="541"/>
  </r>
  <r>
    <x v="0"/>
    <x v="2306"/>
    <x v="93"/>
    <x v="71"/>
    <x v="0"/>
    <x v="100"/>
    <x v="858"/>
    <x v="4"/>
    <x v="906"/>
    <x v="2008"/>
    <x v="2927"/>
    <x v="3415"/>
    <x v="4790"/>
    <x v="4619"/>
    <x v="2506"/>
    <x v="0"/>
    <x v="4"/>
    <x v="4793"/>
    <x v="326"/>
    <x v="0"/>
    <x v="0"/>
    <x v="1"/>
    <x v="4"/>
    <x v="11"/>
    <x v="332"/>
    <x v="2"/>
    <x v="2"/>
    <x v="862"/>
  </r>
  <r>
    <x v="0"/>
    <x v="2307"/>
    <x v="441"/>
    <x v="189"/>
    <x v="308"/>
    <x v="298"/>
    <x v="668"/>
    <x v="4"/>
    <x v="4"/>
    <x v="2009"/>
    <x v="2928"/>
    <x v="3416"/>
    <x v="4791"/>
    <x v="4731"/>
    <x v="3922"/>
    <x v="0"/>
    <x v="4"/>
    <x v="4794"/>
    <x v="854"/>
    <x v="3"/>
    <x v="10"/>
    <x v="1"/>
    <x v="386"/>
    <x v="14"/>
    <x v="253"/>
    <x v="38"/>
    <x v="15"/>
    <x v="623"/>
  </r>
  <r>
    <x v="1"/>
    <x v="2308"/>
    <x v="390"/>
    <x v="51"/>
    <x v="366"/>
    <x v="298"/>
    <x v="471"/>
    <x v="4"/>
    <x v="370"/>
    <x v="2010"/>
    <x v="2929"/>
    <x v="3417"/>
    <x v="4792"/>
    <x v="2989"/>
    <x v="2095"/>
    <x v="0"/>
    <x v="4659"/>
    <x v="4795"/>
    <x v="769"/>
    <x v="31"/>
    <x v="23"/>
    <x v="9"/>
    <x v="4"/>
    <x v="83"/>
    <x v="253"/>
    <x v="14"/>
    <x v="15"/>
    <x v="111"/>
  </r>
  <r>
    <x v="0"/>
    <x v="2309"/>
    <x v="428"/>
    <x v="107"/>
    <x v="103"/>
    <x v="811"/>
    <x v="22"/>
    <x v="3984"/>
    <x v="105"/>
    <x v="23"/>
    <x v="1165"/>
    <x v="1925"/>
    <x v="4793"/>
    <x v="4732"/>
    <x v="3923"/>
    <x v="0"/>
    <x v="4660"/>
    <x v="4796"/>
    <x v="794"/>
    <x v="0"/>
    <x v="0"/>
    <x v="4"/>
    <x v="4"/>
    <x v="8"/>
    <x v="621"/>
    <x v="12"/>
    <x v="3"/>
    <x v="1"/>
  </r>
  <r>
    <x v="0"/>
    <x v="2135"/>
    <x v="240"/>
    <x v="101"/>
    <x v="195"/>
    <x v="845"/>
    <x v="859"/>
    <x v="4"/>
    <x v="377"/>
    <x v="2011"/>
    <x v="2115"/>
    <x v="3418"/>
    <x v="4794"/>
    <x v="4733"/>
    <x v="3924"/>
    <x v="0"/>
    <x v="4661"/>
    <x v="4797"/>
    <x v="725"/>
    <x v="0"/>
    <x v="0"/>
    <x v="9"/>
    <x v="401"/>
    <x v="1"/>
    <x v="842"/>
    <x v="25"/>
    <x v="0"/>
    <x v="34"/>
  </r>
  <r>
    <x v="0"/>
    <x v="2310"/>
    <x v="492"/>
    <x v="11"/>
    <x v="5"/>
    <x v="298"/>
    <x v="129"/>
    <x v="3985"/>
    <x v="835"/>
    <x v="2012"/>
    <x v="2930"/>
    <x v="3419"/>
    <x v="4795"/>
    <x v="4734"/>
    <x v="489"/>
    <x v="0"/>
    <x v="4662"/>
    <x v="4798"/>
    <x v="896"/>
    <x v="0"/>
    <x v="0"/>
    <x v="0"/>
    <x v="401"/>
    <x v="7"/>
    <x v="253"/>
    <x v="16"/>
    <x v="10"/>
    <x v="352"/>
  </r>
  <r>
    <x v="0"/>
    <x v="2311"/>
    <x v="489"/>
    <x v="107"/>
    <x v="131"/>
    <x v="792"/>
    <x v="130"/>
    <x v="4"/>
    <x v="463"/>
    <x v="245"/>
    <x v="2931"/>
    <x v="3420"/>
    <x v="4796"/>
    <x v="4735"/>
    <x v="3925"/>
    <x v="1"/>
    <x v="4663"/>
    <x v="4799"/>
    <x v="646"/>
    <x v="0"/>
    <x v="0"/>
    <x v="1"/>
    <x v="401"/>
    <x v="14"/>
    <x v="613"/>
    <x v="13"/>
    <x v="8"/>
    <x v="366"/>
  </r>
  <r>
    <x v="1"/>
    <x v="2312"/>
    <x v="429"/>
    <x v="71"/>
    <x v="0"/>
    <x v="738"/>
    <x v="852"/>
    <x v="4"/>
    <x v="907"/>
    <x v="2013"/>
    <x v="2932"/>
    <x v="3421"/>
    <x v="4797"/>
    <x v="98"/>
    <x v="3926"/>
    <x v="3"/>
    <x v="4664"/>
    <x v="4800"/>
    <x v="896"/>
    <x v="0"/>
    <x v="0"/>
    <x v="2"/>
    <x v="139"/>
    <x v="8"/>
    <x v="581"/>
    <x v="28"/>
    <x v="0"/>
    <x v="361"/>
  </r>
  <r>
    <x v="0"/>
    <x v="2313"/>
    <x v="457"/>
    <x v="72"/>
    <x v="0"/>
    <x v="783"/>
    <x v="768"/>
    <x v="4"/>
    <x v="379"/>
    <x v="2014"/>
    <x v="2933"/>
    <x v="3422"/>
    <x v="4798"/>
    <x v="4706"/>
    <x v="3927"/>
    <x v="0"/>
    <x v="4"/>
    <x v="4801"/>
    <x v="326"/>
    <x v="0"/>
    <x v="0"/>
    <x v="1"/>
    <x v="401"/>
    <x v="3"/>
    <x v="776"/>
    <x v="10"/>
    <x v="2"/>
    <x v="673"/>
  </r>
  <r>
    <x v="0"/>
    <x v="2314"/>
    <x v="465"/>
    <x v="41"/>
    <x v="0"/>
    <x v="503"/>
    <x v="706"/>
    <x v="4"/>
    <x v="211"/>
    <x v="2015"/>
    <x v="2934"/>
    <x v="755"/>
    <x v="4799"/>
    <x v="4639"/>
    <x v="3538"/>
    <x v="0"/>
    <x v="4"/>
    <x v="4802"/>
    <x v="326"/>
    <x v="0"/>
    <x v="0"/>
    <x v="1"/>
    <x v="4"/>
    <x v="11"/>
    <x v="534"/>
    <x v="22"/>
    <x v="2"/>
    <x v="863"/>
  </r>
  <r>
    <x v="0"/>
    <x v="2315"/>
    <x v="320"/>
    <x v="50"/>
    <x v="0"/>
    <x v="661"/>
    <x v="176"/>
    <x v="4"/>
    <x v="270"/>
    <x v="498"/>
    <x v="2935"/>
    <x v="3423"/>
    <x v="4800"/>
    <x v="4609"/>
    <x v="732"/>
    <x v="1"/>
    <x v="4"/>
    <x v="4803"/>
    <x v="416"/>
    <x v="0"/>
    <x v="0"/>
    <x v="1"/>
    <x v="401"/>
    <x v="3"/>
    <x v="911"/>
    <x v="14"/>
    <x v="0"/>
    <x v="791"/>
  </r>
  <r>
    <x v="0"/>
    <x v="2316"/>
    <x v="303"/>
    <x v="71"/>
    <x v="428"/>
    <x v="783"/>
    <x v="860"/>
    <x v="3986"/>
    <x v="463"/>
    <x v="2016"/>
    <x v="2936"/>
    <x v="3424"/>
    <x v="4801"/>
    <x v="2425"/>
    <x v="3928"/>
    <x v="0"/>
    <x v="4665"/>
    <x v="4804"/>
    <x v="140"/>
    <x v="44"/>
    <x v="44"/>
    <x v="2"/>
    <x v="410"/>
    <x v="13"/>
    <x v="213"/>
    <x v="3"/>
    <x v="3"/>
    <x v="1"/>
  </r>
  <r>
    <x v="0"/>
    <x v="2317"/>
    <x v="262"/>
    <x v="55"/>
    <x v="3"/>
    <x v="305"/>
    <x v="719"/>
    <x v="3987"/>
    <x v="17"/>
    <x v="1510"/>
    <x v="2937"/>
    <x v="3425"/>
    <x v="4802"/>
    <x v="4736"/>
    <x v="1098"/>
    <x v="0"/>
    <x v="4666"/>
    <x v="4805"/>
    <x v="749"/>
    <x v="0"/>
    <x v="1"/>
    <x v="9"/>
    <x v="411"/>
    <x v="10"/>
    <x v="912"/>
    <x v="16"/>
    <x v="3"/>
    <x v="1"/>
  </r>
  <r>
    <x v="1"/>
    <x v="437"/>
    <x v="396"/>
    <x v="76"/>
    <x v="0"/>
    <x v="490"/>
    <x v="184"/>
    <x v="3988"/>
    <x v="127"/>
    <x v="2017"/>
    <x v="2938"/>
    <x v="3426"/>
    <x v="4803"/>
    <x v="4737"/>
    <x v="2699"/>
    <x v="0"/>
    <x v="4667"/>
    <x v="4806"/>
    <x v="721"/>
    <x v="0"/>
    <x v="0"/>
    <x v="4"/>
    <x v="412"/>
    <x v="43"/>
    <x v="844"/>
    <x v="12"/>
    <x v="3"/>
    <x v="732"/>
  </r>
  <r>
    <x v="0"/>
    <x v="2318"/>
    <x v="4"/>
    <x v="98"/>
    <x v="0"/>
    <x v="298"/>
    <x v="471"/>
    <x v="4"/>
    <x v="4"/>
    <x v="2018"/>
    <x v="2939"/>
    <x v="3427"/>
    <x v="4804"/>
    <x v="4372"/>
    <x v="2095"/>
    <x v="0"/>
    <x v="4"/>
    <x v="4807"/>
    <x v="326"/>
    <x v="0"/>
    <x v="0"/>
    <x v="1"/>
    <x v="410"/>
    <x v="11"/>
    <x v="253"/>
    <x v="50"/>
    <x v="2"/>
    <x v="536"/>
  </r>
  <r>
    <x v="0"/>
    <x v="2319"/>
    <x v="451"/>
    <x v="27"/>
    <x v="0"/>
    <x v="298"/>
    <x v="471"/>
    <x v="4"/>
    <x v="270"/>
    <x v="2019"/>
    <x v="2940"/>
    <x v="3428"/>
    <x v="4805"/>
    <x v="4738"/>
    <x v="2095"/>
    <x v="1"/>
    <x v="4"/>
    <x v="4808"/>
    <x v="326"/>
    <x v="43"/>
    <x v="29"/>
    <x v="1"/>
    <x v="413"/>
    <x v="2"/>
    <x v="253"/>
    <x v="12"/>
    <x v="2"/>
    <x v="831"/>
  </r>
  <r>
    <x v="0"/>
    <x v="2091"/>
    <x v="354"/>
    <x v="80"/>
    <x v="417"/>
    <x v="618"/>
    <x v="737"/>
    <x v="3989"/>
    <x v="377"/>
    <x v="2020"/>
    <x v="2941"/>
    <x v="3429"/>
    <x v="4806"/>
    <x v="4739"/>
    <x v="3929"/>
    <x v="1"/>
    <x v="4668"/>
    <x v="4809"/>
    <x v="658"/>
    <x v="0"/>
    <x v="0"/>
    <x v="0"/>
    <x v="344"/>
    <x v="10"/>
    <x v="360"/>
    <x v="15"/>
    <x v="3"/>
    <x v="90"/>
  </r>
  <r>
    <x v="0"/>
    <x v="1874"/>
    <x v="422"/>
    <x v="26"/>
    <x v="125"/>
    <x v="99"/>
    <x v="35"/>
    <x v="4"/>
    <x v="582"/>
    <x v="507"/>
    <x v="1009"/>
    <x v="2902"/>
    <x v="4134"/>
    <x v="4114"/>
    <x v="3554"/>
    <x v="4"/>
    <x v="4069"/>
    <x v="4137"/>
    <x v="510"/>
    <x v="0"/>
    <x v="0"/>
    <x v="4"/>
    <x v="4"/>
    <x v="11"/>
    <x v="30"/>
    <x v="27"/>
    <x v="2"/>
    <x v="1"/>
  </r>
  <r>
    <x v="0"/>
    <x v="2320"/>
    <x v="428"/>
    <x v="55"/>
    <x v="114"/>
    <x v="760"/>
    <x v="63"/>
    <x v="3990"/>
    <x v="168"/>
    <x v="848"/>
    <x v="1289"/>
    <x v="3430"/>
    <x v="4807"/>
    <x v="4740"/>
    <x v="3930"/>
    <x v="1"/>
    <x v="4669"/>
    <x v="4810"/>
    <x v="724"/>
    <x v="0"/>
    <x v="0"/>
    <x v="4"/>
    <x v="149"/>
    <x v="49"/>
    <x v="376"/>
    <x v="34"/>
    <x v="15"/>
    <x v="475"/>
  </r>
  <r>
    <x v="0"/>
    <x v="2321"/>
    <x v="4"/>
    <x v="56"/>
    <x v="0"/>
    <x v="713"/>
    <x v="861"/>
    <x v="4"/>
    <x v="270"/>
    <x v="2021"/>
    <x v="2942"/>
    <x v="3431"/>
    <x v="4808"/>
    <x v="4"/>
    <x v="3931"/>
    <x v="3"/>
    <x v="4670"/>
    <x v="4811"/>
    <x v="4"/>
    <x v="0"/>
    <x v="0"/>
    <x v="1"/>
    <x v="401"/>
    <x v="11"/>
    <x v="659"/>
    <x v="15"/>
    <x v="2"/>
    <x v="864"/>
  </r>
  <r>
    <x v="0"/>
    <x v="236"/>
    <x v="74"/>
    <x v="98"/>
    <x v="28"/>
    <x v="127"/>
    <x v="862"/>
    <x v="3991"/>
    <x v="105"/>
    <x v="2022"/>
    <x v="2943"/>
    <x v="510"/>
    <x v="4809"/>
    <x v="4741"/>
    <x v="3932"/>
    <x v="4"/>
    <x v="4671"/>
    <x v="4812"/>
    <x v="420"/>
    <x v="0"/>
    <x v="0"/>
    <x v="0"/>
    <x v="386"/>
    <x v="21"/>
    <x v="318"/>
    <x v="22"/>
    <x v="3"/>
    <x v="698"/>
  </r>
  <r>
    <x v="0"/>
    <x v="1461"/>
    <x v="221"/>
    <x v="79"/>
    <x v="182"/>
    <x v="325"/>
    <x v="863"/>
    <x v="3992"/>
    <x v="484"/>
    <x v="2023"/>
    <x v="2944"/>
    <x v="3432"/>
    <x v="4810"/>
    <x v="4742"/>
    <x v="3933"/>
    <x v="0"/>
    <x v="4672"/>
    <x v="4813"/>
    <x v="166"/>
    <x v="0"/>
    <x v="25"/>
    <x v="4"/>
    <x v="410"/>
    <x v="1"/>
    <x v="745"/>
    <x v="0"/>
    <x v="3"/>
    <x v="18"/>
  </r>
  <r>
    <x v="1"/>
    <x v="2322"/>
    <x v="465"/>
    <x v="76"/>
    <x v="125"/>
    <x v="708"/>
    <x v="198"/>
    <x v="3993"/>
    <x v="125"/>
    <x v="2024"/>
    <x v="2945"/>
    <x v="3433"/>
    <x v="4811"/>
    <x v="2760"/>
    <x v="3879"/>
    <x v="0"/>
    <x v="4673"/>
    <x v="4814"/>
    <x v="636"/>
    <x v="0"/>
    <x v="0"/>
    <x v="1"/>
    <x v="340"/>
    <x v="15"/>
    <x v="131"/>
    <x v="11"/>
    <x v="2"/>
    <x v="776"/>
  </r>
  <r>
    <x v="0"/>
    <x v="2323"/>
    <x v="207"/>
    <x v="41"/>
    <x v="0"/>
    <x v="621"/>
    <x v="834"/>
    <x v="3994"/>
    <x v="4"/>
    <x v="2025"/>
    <x v="2946"/>
    <x v="3434"/>
    <x v="4812"/>
    <x v="4743"/>
    <x v="3934"/>
    <x v="0"/>
    <x v="4674"/>
    <x v="4815"/>
    <x v="561"/>
    <x v="0"/>
    <x v="0"/>
    <x v="10"/>
    <x v="402"/>
    <x v="0"/>
    <x v="556"/>
    <x v="38"/>
    <x v="3"/>
    <x v="1"/>
  </r>
  <r>
    <x v="0"/>
    <x v="2324"/>
    <x v="402"/>
    <x v="107"/>
    <x v="85"/>
    <x v="656"/>
    <x v="792"/>
    <x v="4"/>
    <x v="429"/>
    <x v="2026"/>
    <x v="2947"/>
    <x v="3435"/>
    <x v="4813"/>
    <x v="4744"/>
    <x v="2704"/>
    <x v="0"/>
    <x v="4675"/>
    <x v="4816"/>
    <x v="788"/>
    <x v="0"/>
    <x v="1"/>
    <x v="1"/>
    <x v="4"/>
    <x v="3"/>
    <x v="575"/>
    <x v="28"/>
    <x v="1"/>
    <x v="1"/>
  </r>
  <r>
    <x v="0"/>
    <x v="2325"/>
    <x v="412"/>
    <x v="42"/>
    <x v="0"/>
    <x v="502"/>
    <x v="592"/>
    <x v="4"/>
    <x v="258"/>
    <x v="2027"/>
    <x v="2948"/>
    <x v="3436"/>
    <x v="4814"/>
    <x v="4614"/>
    <x v="3935"/>
    <x v="0"/>
    <x v="4676"/>
    <x v="4817"/>
    <x v="326"/>
    <x v="0"/>
    <x v="0"/>
    <x v="0"/>
    <x v="4"/>
    <x v="2"/>
    <x v="721"/>
    <x v="1"/>
    <x v="2"/>
    <x v="865"/>
  </r>
  <r>
    <x v="0"/>
    <x v="624"/>
    <x v="403"/>
    <x v="76"/>
    <x v="15"/>
    <x v="491"/>
    <x v="82"/>
    <x v="2966"/>
    <x v="381"/>
    <x v="858"/>
    <x v="1910"/>
    <x v="2278"/>
    <x v="3221"/>
    <x v="4745"/>
    <x v="2914"/>
    <x v="0"/>
    <x v="3186"/>
    <x v="3223"/>
    <x v="910"/>
    <x v="0"/>
    <x v="0"/>
    <x v="4"/>
    <x v="262"/>
    <x v="55"/>
    <x v="641"/>
    <x v="7"/>
    <x v="3"/>
    <x v="1"/>
  </r>
  <r>
    <x v="0"/>
    <x v="2326"/>
    <x v="425"/>
    <x v="111"/>
    <x v="151"/>
    <x v="783"/>
    <x v="76"/>
    <x v="4"/>
    <x v="233"/>
    <x v="2028"/>
    <x v="2949"/>
    <x v="3437"/>
    <x v="4815"/>
    <x v="4746"/>
    <x v="3650"/>
    <x v="0"/>
    <x v="4677"/>
    <x v="4818"/>
    <x v="189"/>
    <x v="0"/>
    <x v="0"/>
    <x v="8"/>
    <x v="386"/>
    <x v="52"/>
    <x v="721"/>
    <x v="26"/>
    <x v="8"/>
    <x v="1"/>
  </r>
  <r>
    <x v="0"/>
    <x v="2327"/>
    <x v="451"/>
    <x v="151"/>
    <x v="0"/>
    <x v="298"/>
    <x v="471"/>
    <x v="3995"/>
    <x v="908"/>
    <x v="2029"/>
    <x v="2950"/>
    <x v="3438"/>
    <x v="4816"/>
    <x v="4747"/>
    <x v="2095"/>
    <x v="0"/>
    <x v="4"/>
    <x v="4819"/>
    <x v="188"/>
    <x v="0"/>
    <x v="0"/>
    <x v="1"/>
    <x v="386"/>
    <x v="2"/>
    <x v="253"/>
    <x v="15"/>
    <x v="2"/>
    <x v="355"/>
  </r>
  <r>
    <x v="1"/>
    <x v="2328"/>
    <x v="441"/>
    <x v="180"/>
    <x v="198"/>
    <x v="336"/>
    <x v="653"/>
    <x v="4"/>
    <x v="4"/>
    <x v="2030"/>
    <x v="2951"/>
    <x v="3439"/>
    <x v="4817"/>
    <x v="4748"/>
    <x v="3936"/>
    <x v="0"/>
    <x v="4678"/>
    <x v="4820"/>
    <x v="561"/>
    <x v="0"/>
    <x v="0"/>
    <x v="1"/>
    <x v="386"/>
    <x v="9"/>
    <x v="692"/>
    <x v="43"/>
    <x v="2"/>
    <x v="664"/>
  </r>
  <r>
    <x v="0"/>
    <x v="2329"/>
    <x v="465"/>
    <x v="110"/>
    <x v="0"/>
    <x v="298"/>
    <x v="471"/>
    <x v="3996"/>
    <x v="4"/>
    <x v="2031"/>
    <x v="2952"/>
    <x v="3440"/>
    <x v="4818"/>
    <x v="4749"/>
    <x v="2095"/>
    <x v="0"/>
    <x v="4"/>
    <x v="4821"/>
    <x v="188"/>
    <x v="0"/>
    <x v="0"/>
    <x v="1"/>
    <x v="386"/>
    <x v="11"/>
    <x v="253"/>
    <x v="1"/>
    <x v="2"/>
    <x v="473"/>
  </r>
  <r>
    <x v="0"/>
    <x v="942"/>
    <x v="361"/>
    <x v="43"/>
    <x v="325"/>
    <x v="736"/>
    <x v="474"/>
    <x v="3997"/>
    <x v="4"/>
    <x v="1250"/>
    <x v="2953"/>
    <x v="3441"/>
    <x v="4819"/>
    <x v="4750"/>
    <x v="3937"/>
    <x v="0"/>
    <x v="4679"/>
    <x v="4822"/>
    <x v="431"/>
    <x v="0"/>
    <x v="0"/>
    <x v="4"/>
    <x v="402"/>
    <x v="30"/>
    <x v="448"/>
    <x v="7"/>
    <x v="10"/>
    <x v="866"/>
  </r>
  <r>
    <x v="0"/>
    <x v="1218"/>
    <x v="335"/>
    <x v="41"/>
    <x v="351"/>
    <x v="306"/>
    <x v="56"/>
    <x v="4"/>
    <x v="560"/>
    <x v="98"/>
    <x v="225"/>
    <x v="478"/>
    <x v="2855"/>
    <x v="2848"/>
    <x v="2622"/>
    <x v="1"/>
    <x v="2828"/>
    <x v="2855"/>
    <x v="170"/>
    <x v="0"/>
    <x v="0"/>
    <x v="4"/>
    <x v="135"/>
    <x v="26"/>
    <x v="153"/>
    <x v="9"/>
    <x v="3"/>
    <x v="1"/>
  </r>
  <r>
    <x v="0"/>
    <x v="2330"/>
    <x v="320"/>
    <x v="71"/>
    <x v="0"/>
    <x v="294"/>
    <x v="823"/>
    <x v="4"/>
    <x v="270"/>
    <x v="2032"/>
    <x v="2954"/>
    <x v="3442"/>
    <x v="4820"/>
    <x v="4751"/>
    <x v="3938"/>
    <x v="0"/>
    <x v="4680"/>
    <x v="4823"/>
    <x v="416"/>
    <x v="0"/>
    <x v="0"/>
    <x v="4"/>
    <x v="414"/>
    <x v="11"/>
    <x v="913"/>
    <x v="13"/>
    <x v="2"/>
    <x v="857"/>
  </r>
  <r>
    <x v="0"/>
    <x v="1534"/>
    <x v="243"/>
    <x v="79"/>
    <x v="12"/>
    <x v="624"/>
    <x v="761"/>
    <x v="3998"/>
    <x v="178"/>
    <x v="2033"/>
    <x v="2484"/>
    <x v="3443"/>
    <x v="4821"/>
    <x v="4752"/>
    <x v="3939"/>
    <x v="0"/>
    <x v="4681"/>
    <x v="4824"/>
    <x v="212"/>
    <x v="0"/>
    <x v="0"/>
    <x v="4"/>
    <x v="4"/>
    <x v="10"/>
    <x v="39"/>
    <x v="10"/>
    <x v="3"/>
    <x v="1"/>
  </r>
  <r>
    <x v="0"/>
    <x v="2331"/>
    <x v="4"/>
    <x v="190"/>
    <x v="38"/>
    <x v="4"/>
    <x v="790"/>
    <x v="4"/>
    <x v="909"/>
    <x v="1763"/>
    <x v="217"/>
    <x v="4"/>
    <x v="4822"/>
    <x v="2313"/>
    <x v="2095"/>
    <x v="1"/>
    <x v="4682"/>
    <x v="4825"/>
    <x v="4"/>
    <x v="32"/>
    <x v="63"/>
    <x v="1"/>
    <x v="414"/>
    <x v="9"/>
    <x v="147"/>
    <x v="17"/>
    <x v="2"/>
    <x v="730"/>
  </r>
  <r>
    <x v="0"/>
    <x v="2332"/>
    <x v="329"/>
    <x v="78"/>
    <x v="0"/>
    <x v="4"/>
    <x v="790"/>
    <x v="4"/>
    <x v="837"/>
    <x v="1763"/>
    <x v="217"/>
    <x v="4"/>
    <x v="4823"/>
    <x v="2320"/>
    <x v="2095"/>
    <x v="1"/>
    <x v="4683"/>
    <x v="4826"/>
    <x v="791"/>
    <x v="0"/>
    <x v="0"/>
    <x v="1"/>
    <x v="411"/>
    <x v="12"/>
    <x v="147"/>
    <x v="4"/>
    <x v="10"/>
    <x v="751"/>
  </r>
  <r>
    <x v="0"/>
    <x v="2333"/>
    <x v="380"/>
    <x v="78"/>
    <x v="283"/>
    <x v="777"/>
    <x v="864"/>
    <x v="3999"/>
    <x v="200"/>
    <x v="2034"/>
    <x v="2955"/>
    <x v="3444"/>
    <x v="4824"/>
    <x v="4753"/>
    <x v="3940"/>
    <x v="4"/>
    <x v="4684"/>
    <x v="4827"/>
    <x v="496"/>
    <x v="0"/>
    <x v="0"/>
    <x v="4"/>
    <x v="414"/>
    <x v="10"/>
    <x v="667"/>
    <x v="10"/>
    <x v="2"/>
    <x v="67"/>
  </r>
  <r>
    <x v="0"/>
    <x v="2334"/>
    <x v="4"/>
    <x v="4"/>
    <x v="0"/>
    <x v="4"/>
    <x v="498"/>
    <x v="4"/>
    <x v="822"/>
    <x v="2035"/>
    <x v="2956"/>
    <x v="4"/>
    <x v="4825"/>
    <x v="3539"/>
    <x v="3456"/>
    <x v="4"/>
    <x v="4"/>
    <x v="4828"/>
    <x v="4"/>
    <x v="0"/>
    <x v="0"/>
    <x v="0"/>
    <x v="414"/>
    <x v="2"/>
    <x v="253"/>
    <x v="37"/>
    <x v="2"/>
    <x v="1"/>
  </r>
  <r>
    <x v="0"/>
    <x v="2335"/>
    <x v="385"/>
    <x v="76"/>
    <x v="429"/>
    <x v="417"/>
    <x v="201"/>
    <x v="4"/>
    <x v="125"/>
    <x v="379"/>
    <x v="1101"/>
    <x v="3445"/>
    <x v="4826"/>
    <x v="4754"/>
    <x v="3941"/>
    <x v="4"/>
    <x v="4685"/>
    <x v="4829"/>
    <x v="835"/>
    <x v="0"/>
    <x v="4"/>
    <x v="1"/>
    <x v="411"/>
    <x v="1"/>
    <x v="594"/>
    <x v="15"/>
    <x v="0"/>
    <x v="351"/>
  </r>
  <r>
    <x v="0"/>
    <x v="2335"/>
    <x v="385"/>
    <x v="76"/>
    <x v="429"/>
    <x v="417"/>
    <x v="201"/>
    <x v="4"/>
    <x v="125"/>
    <x v="379"/>
    <x v="1101"/>
    <x v="3445"/>
    <x v="4826"/>
    <x v="4754"/>
    <x v="3941"/>
    <x v="4"/>
    <x v="4685"/>
    <x v="4829"/>
    <x v="835"/>
    <x v="0"/>
    <x v="4"/>
    <x v="1"/>
    <x v="411"/>
    <x v="1"/>
    <x v="594"/>
    <x v="15"/>
    <x v="0"/>
    <x v="351"/>
  </r>
  <r>
    <x v="1"/>
    <x v="233"/>
    <x v="62"/>
    <x v="45"/>
    <x v="0"/>
    <x v="149"/>
    <x v="469"/>
    <x v="4"/>
    <x v="791"/>
    <x v="1479"/>
    <x v="2253"/>
    <x v="2665"/>
    <x v="3814"/>
    <x v="3798"/>
    <x v="3359"/>
    <x v="7"/>
    <x v="3761"/>
    <x v="3817"/>
    <x v="830"/>
    <x v="0"/>
    <x v="0"/>
    <x v="10"/>
    <x v="308"/>
    <x v="38"/>
    <x v="450"/>
    <x v="25"/>
    <x v="3"/>
    <x v="1"/>
  </r>
  <r>
    <x v="1"/>
    <x v="2258"/>
    <x v="413"/>
    <x v="50"/>
    <x v="0"/>
    <x v="531"/>
    <x v="795"/>
    <x v="4"/>
    <x v="270"/>
    <x v="2036"/>
    <x v="2957"/>
    <x v="3446"/>
    <x v="4827"/>
    <x v="4755"/>
    <x v="3922"/>
    <x v="0"/>
    <x v="4686"/>
    <x v="4830"/>
    <x v="896"/>
    <x v="3"/>
    <x v="10"/>
    <x v="1"/>
    <x v="411"/>
    <x v="53"/>
    <x v="420"/>
    <x v="38"/>
    <x v="15"/>
    <x v="342"/>
  </r>
  <r>
    <x v="0"/>
    <x v="2336"/>
    <x v="152"/>
    <x v="60"/>
    <x v="430"/>
    <x v="369"/>
    <x v="618"/>
    <x v="4"/>
    <x v="113"/>
    <x v="2037"/>
    <x v="586"/>
    <x v="1284"/>
    <x v="4828"/>
    <x v="4756"/>
    <x v="1717"/>
    <x v="1"/>
    <x v="4"/>
    <x v="4831"/>
    <x v="824"/>
    <x v="0"/>
    <x v="0"/>
    <x v="4"/>
    <x v="70"/>
    <x v="6"/>
    <x v="335"/>
    <x v="28"/>
    <x v="1"/>
    <x v="1"/>
  </r>
  <r>
    <x v="0"/>
    <x v="2337"/>
    <x v="93"/>
    <x v="91"/>
    <x v="143"/>
    <x v="691"/>
    <x v="663"/>
    <x v="4"/>
    <x v="125"/>
    <x v="2038"/>
    <x v="2685"/>
    <x v="3447"/>
    <x v="4829"/>
    <x v="4757"/>
    <x v="3847"/>
    <x v="0"/>
    <x v="4687"/>
    <x v="4832"/>
    <x v="685"/>
    <x v="0"/>
    <x v="0"/>
    <x v="1"/>
    <x v="415"/>
    <x v="17"/>
    <x v="479"/>
    <x v="20"/>
    <x v="2"/>
    <x v="1"/>
  </r>
  <r>
    <x v="0"/>
    <x v="1896"/>
    <x v="308"/>
    <x v="70"/>
    <x v="409"/>
    <x v="636"/>
    <x v="702"/>
    <x v="4000"/>
    <x v="291"/>
    <x v="1463"/>
    <x v="2958"/>
    <x v="3448"/>
    <x v="4830"/>
    <x v="1464"/>
    <x v="3397"/>
    <x v="0"/>
    <x v="4688"/>
    <x v="4833"/>
    <x v="696"/>
    <x v="0"/>
    <x v="0"/>
    <x v="2"/>
    <x v="344"/>
    <x v="7"/>
    <x v="38"/>
    <x v="10"/>
    <x v="3"/>
    <x v="1"/>
  </r>
  <r>
    <x v="0"/>
    <x v="2338"/>
    <x v="171"/>
    <x v="113"/>
    <x v="221"/>
    <x v="321"/>
    <x v="608"/>
    <x v="4001"/>
    <x v="381"/>
    <x v="2039"/>
    <x v="2959"/>
    <x v="3449"/>
    <x v="4831"/>
    <x v="4758"/>
    <x v="3942"/>
    <x v="0"/>
    <x v="4689"/>
    <x v="4834"/>
    <x v="549"/>
    <x v="0"/>
    <x v="0"/>
    <x v="4"/>
    <x v="344"/>
    <x v="2"/>
    <x v="383"/>
    <x v="39"/>
    <x v="3"/>
    <x v="1"/>
  </r>
  <r>
    <x v="1"/>
    <x v="507"/>
    <x v="194"/>
    <x v="71"/>
    <x v="0"/>
    <x v="817"/>
    <x v="725"/>
    <x v="4"/>
    <x v="712"/>
    <x v="2040"/>
    <x v="2960"/>
    <x v="3450"/>
    <x v="4832"/>
    <x v="4759"/>
    <x v="3370"/>
    <x v="1"/>
    <x v="4690"/>
    <x v="4835"/>
    <x v="391"/>
    <x v="0"/>
    <x v="0"/>
    <x v="10"/>
    <x v="416"/>
    <x v="47"/>
    <x v="877"/>
    <x v="38"/>
    <x v="15"/>
    <x v="1"/>
  </r>
  <r>
    <x v="1"/>
    <x v="2339"/>
    <x v="93"/>
    <x v="47"/>
    <x v="0"/>
    <x v="298"/>
    <x v="129"/>
    <x v="3546"/>
    <x v="152"/>
    <x v="2041"/>
    <x v="2961"/>
    <x v="3451"/>
    <x v="4833"/>
    <x v="4546"/>
    <x v="1701"/>
    <x v="1"/>
    <x v="4691"/>
    <x v="4836"/>
    <x v="326"/>
    <x v="1"/>
    <x v="0"/>
    <x v="1"/>
    <x v="344"/>
    <x v="91"/>
    <x v="556"/>
    <x v="30"/>
    <x v="8"/>
    <x v="1"/>
  </r>
  <r>
    <x v="0"/>
    <x v="2340"/>
    <x v="152"/>
    <x v="113"/>
    <x v="431"/>
    <x v="489"/>
    <x v="554"/>
    <x v="4002"/>
    <x v="125"/>
    <x v="2042"/>
    <x v="2962"/>
    <x v="2556"/>
    <x v="4834"/>
    <x v="4760"/>
    <x v="3716"/>
    <x v="1"/>
    <x v="4692"/>
    <x v="4837"/>
    <x v="646"/>
    <x v="0"/>
    <x v="0"/>
    <x v="4"/>
    <x v="344"/>
    <x v="42"/>
    <x v="504"/>
    <x v="15"/>
    <x v="3"/>
    <x v="278"/>
  </r>
  <r>
    <x v="0"/>
    <x v="163"/>
    <x v="394"/>
    <x v="7"/>
    <x v="80"/>
    <x v="678"/>
    <x v="0"/>
    <x v="4003"/>
    <x v="200"/>
    <x v="1028"/>
    <x v="2439"/>
    <x v="1232"/>
    <x v="4835"/>
    <x v="4761"/>
    <x v="3943"/>
    <x v="2"/>
    <x v="4693"/>
    <x v="4838"/>
    <x v="277"/>
    <x v="0"/>
    <x v="0"/>
    <x v="0"/>
    <x v="4"/>
    <x v="20"/>
    <x v="199"/>
    <x v="11"/>
    <x v="3"/>
    <x v="1"/>
  </r>
  <r>
    <x v="0"/>
    <x v="2341"/>
    <x v="430"/>
    <x v="77"/>
    <x v="134"/>
    <x v="567"/>
    <x v="539"/>
    <x v="4"/>
    <x v="509"/>
    <x v="2043"/>
    <x v="2963"/>
    <x v="3452"/>
    <x v="4836"/>
    <x v="4762"/>
    <x v="3558"/>
    <x v="4"/>
    <x v="4694"/>
    <x v="4839"/>
    <x v="896"/>
    <x v="0"/>
    <x v="0"/>
    <x v="4"/>
    <x v="344"/>
    <x v="28"/>
    <x v="893"/>
    <x v="27"/>
    <x v="3"/>
    <x v="485"/>
  </r>
  <r>
    <x v="1"/>
    <x v="2342"/>
    <x v="343"/>
    <x v="78"/>
    <x v="28"/>
    <x v="149"/>
    <x v="865"/>
    <x v="4004"/>
    <x v="658"/>
    <x v="2044"/>
    <x v="2964"/>
    <x v="3453"/>
    <x v="4837"/>
    <x v="4763"/>
    <x v="3944"/>
    <x v="1"/>
    <x v="4695"/>
    <x v="4840"/>
    <x v="173"/>
    <x v="0"/>
    <x v="0"/>
    <x v="2"/>
    <x v="417"/>
    <x v="18"/>
    <x v="699"/>
    <x v="15"/>
    <x v="3"/>
    <x v="1"/>
  </r>
  <r>
    <x v="0"/>
    <x v="2343"/>
    <x v="412"/>
    <x v="87"/>
    <x v="143"/>
    <x v="570"/>
    <x v="866"/>
    <x v="4"/>
    <x v="784"/>
    <x v="2045"/>
    <x v="2965"/>
    <x v="3454"/>
    <x v="4838"/>
    <x v="4764"/>
    <x v="2545"/>
    <x v="0"/>
    <x v="4"/>
    <x v="4841"/>
    <x v="854"/>
    <x v="0"/>
    <x v="0"/>
    <x v="2"/>
    <x v="416"/>
    <x v="11"/>
    <x v="685"/>
    <x v="75"/>
    <x v="3"/>
    <x v="852"/>
  </r>
  <r>
    <x v="0"/>
    <x v="2344"/>
    <x v="229"/>
    <x v="76"/>
    <x v="221"/>
    <x v="253"/>
    <x v="22"/>
    <x v="4005"/>
    <x v="910"/>
    <x v="1736"/>
    <x v="348"/>
    <x v="3455"/>
    <x v="4839"/>
    <x v="4765"/>
    <x v="2026"/>
    <x v="3"/>
    <x v="4696"/>
    <x v="4842"/>
    <x v="802"/>
    <x v="0"/>
    <x v="0"/>
    <x v="9"/>
    <x v="401"/>
    <x v="9"/>
    <x v="233"/>
    <x v="2"/>
    <x v="1"/>
    <x v="1"/>
  </r>
  <r>
    <x v="0"/>
    <x v="2345"/>
    <x v="401"/>
    <x v="33"/>
    <x v="0"/>
    <x v="298"/>
    <x v="471"/>
    <x v="4"/>
    <x v="4"/>
    <x v="2046"/>
    <x v="2966"/>
    <x v="3456"/>
    <x v="4840"/>
    <x v="4766"/>
    <x v="2095"/>
    <x v="0"/>
    <x v="4697"/>
    <x v="4843"/>
    <x v="790"/>
    <x v="0"/>
    <x v="4"/>
    <x v="9"/>
    <x v="344"/>
    <x v="3"/>
    <x v="253"/>
    <x v="16"/>
    <x v="12"/>
    <x v="1"/>
  </r>
  <r>
    <x v="0"/>
    <x v="2346"/>
    <x v="258"/>
    <x v="110"/>
    <x v="221"/>
    <x v="36"/>
    <x v="427"/>
    <x v="4"/>
    <x v="582"/>
    <x v="1223"/>
    <x v="2967"/>
    <x v="44"/>
    <x v="4841"/>
    <x v="4767"/>
    <x v="3945"/>
    <x v="1"/>
    <x v="4698"/>
    <x v="4844"/>
    <x v="704"/>
    <x v="0"/>
    <x v="1"/>
    <x v="4"/>
    <x v="164"/>
    <x v="1"/>
    <x v="452"/>
    <x v="23"/>
    <x v="3"/>
    <x v="352"/>
  </r>
  <r>
    <x v="1"/>
    <x v="2347"/>
    <x v="93"/>
    <x v="153"/>
    <x v="216"/>
    <x v="503"/>
    <x v="198"/>
    <x v="4"/>
    <x v="152"/>
    <x v="2047"/>
    <x v="2968"/>
    <x v="3457"/>
    <x v="4842"/>
    <x v="3871"/>
    <x v="3946"/>
    <x v="3"/>
    <x v="4699"/>
    <x v="4845"/>
    <x v="561"/>
    <x v="0"/>
    <x v="0"/>
    <x v="11"/>
    <x v="4"/>
    <x v="74"/>
    <x v="678"/>
    <x v="1"/>
    <x v="15"/>
    <x v="761"/>
  </r>
  <r>
    <x v="0"/>
    <x v="2348"/>
    <x v="451"/>
    <x v="113"/>
    <x v="0"/>
    <x v="567"/>
    <x v="222"/>
    <x v="4"/>
    <x v="102"/>
    <x v="2048"/>
    <x v="2969"/>
    <x v="3458"/>
    <x v="4843"/>
    <x v="4356"/>
    <x v="3947"/>
    <x v="4"/>
    <x v="4700"/>
    <x v="4846"/>
    <x v="326"/>
    <x v="0"/>
    <x v="0"/>
    <x v="1"/>
    <x v="344"/>
    <x v="9"/>
    <x v="332"/>
    <x v="57"/>
    <x v="0"/>
    <x v="810"/>
  </r>
  <r>
    <x v="0"/>
    <x v="2349"/>
    <x v="369"/>
    <x v="11"/>
    <x v="85"/>
    <x v="170"/>
    <x v="410"/>
    <x v="4"/>
    <x v="444"/>
    <x v="1940"/>
    <x v="2970"/>
    <x v="3459"/>
    <x v="4844"/>
    <x v="4132"/>
    <x v="3948"/>
    <x v="1"/>
    <x v="4701"/>
    <x v="4847"/>
    <x v="786"/>
    <x v="0"/>
    <x v="0"/>
    <x v="16"/>
    <x v="4"/>
    <x v="49"/>
    <x v="561"/>
    <x v="2"/>
    <x v="2"/>
    <x v="864"/>
  </r>
  <r>
    <x v="0"/>
    <x v="2350"/>
    <x v="451"/>
    <x v="91"/>
    <x v="0"/>
    <x v="298"/>
    <x v="424"/>
    <x v="4"/>
    <x v="865"/>
    <x v="2049"/>
    <x v="2971"/>
    <x v="3460"/>
    <x v="4845"/>
    <x v="2705"/>
    <x v="3949"/>
    <x v="0"/>
    <x v="4702"/>
    <x v="4848"/>
    <x v="326"/>
    <x v="0"/>
    <x v="0"/>
    <x v="10"/>
    <x v="344"/>
    <x v="11"/>
    <x v="253"/>
    <x v="32"/>
    <x v="0"/>
    <x v="771"/>
  </r>
  <r>
    <x v="0"/>
    <x v="1096"/>
    <x v="330"/>
    <x v="37"/>
    <x v="195"/>
    <x v="611"/>
    <x v="207"/>
    <x v="2437"/>
    <x v="444"/>
    <x v="1022"/>
    <x v="347"/>
    <x v="1897"/>
    <x v="2608"/>
    <x v="4768"/>
    <x v="2420"/>
    <x v="0"/>
    <x v="2587"/>
    <x v="2608"/>
    <x v="491"/>
    <x v="0"/>
    <x v="0"/>
    <x v="4"/>
    <x v="159"/>
    <x v="0"/>
    <x v="232"/>
    <x v="4"/>
    <x v="3"/>
    <x v="1"/>
  </r>
  <r>
    <x v="0"/>
    <x v="2351"/>
    <x v="441"/>
    <x v="110"/>
    <x v="221"/>
    <x v="298"/>
    <x v="536"/>
    <x v="4"/>
    <x v="4"/>
    <x v="1372"/>
    <x v="2972"/>
    <x v="3461"/>
    <x v="4846"/>
    <x v="4769"/>
    <x v="3950"/>
    <x v="3"/>
    <x v="4703"/>
    <x v="4849"/>
    <x v="96"/>
    <x v="0"/>
    <x v="0"/>
    <x v="1"/>
    <x v="418"/>
    <x v="14"/>
    <x v="253"/>
    <x v="24"/>
    <x v="2"/>
    <x v="444"/>
  </r>
  <r>
    <x v="1"/>
    <x v="121"/>
    <x v="291"/>
    <x v="95"/>
    <x v="0"/>
    <x v="475"/>
    <x v="0"/>
    <x v="4006"/>
    <x v="150"/>
    <x v="441"/>
    <x v="2973"/>
    <x v="3462"/>
    <x v="4847"/>
    <x v="4770"/>
    <x v="3951"/>
    <x v="0"/>
    <x v="4704"/>
    <x v="4850"/>
    <x v="954"/>
    <x v="0"/>
    <x v="0"/>
    <x v="4"/>
    <x v="382"/>
    <x v="20"/>
    <x v="424"/>
    <x v="7"/>
    <x v="10"/>
    <x v="4"/>
  </r>
  <r>
    <x v="0"/>
    <x v="2352"/>
    <x v="451"/>
    <x v="107"/>
    <x v="69"/>
    <x v="240"/>
    <x v="867"/>
    <x v="4007"/>
    <x v="127"/>
    <x v="2050"/>
    <x v="2974"/>
    <x v="3463"/>
    <x v="4848"/>
    <x v="4771"/>
    <x v="3648"/>
    <x v="1"/>
    <x v="4705"/>
    <x v="4851"/>
    <x v="83"/>
    <x v="0"/>
    <x v="0"/>
    <x v="4"/>
    <x v="4"/>
    <x v="13"/>
    <x v="914"/>
    <x v="28"/>
    <x v="2"/>
    <x v="629"/>
  </r>
  <r>
    <x v="0"/>
    <x v="2353"/>
    <x v="424"/>
    <x v="101"/>
    <x v="0"/>
    <x v="772"/>
    <x v="0"/>
    <x v="4008"/>
    <x v="465"/>
    <x v="227"/>
    <x v="2975"/>
    <x v="3464"/>
    <x v="4849"/>
    <x v="4772"/>
    <x v="3607"/>
    <x v="0"/>
    <x v="4706"/>
    <x v="4852"/>
    <x v="536"/>
    <x v="0"/>
    <x v="0"/>
    <x v="4"/>
    <x v="382"/>
    <x v="20"/>
    <x v="423"/>
    <x v="43"/>
    <x v="3"/>
    <x v="427"/>
  </r>
  <r>
    <x v="0"/>
    <x v="2354"/>
    <x v="465"/>
    <x v="110"/>
    <x v="143"/>
    <x v="708"/>
    <x v="868"/>
    <x v="4"/>
    <x v="222"/>
    <x v="2051"/>
    <x v="2976"/>
    <x v="3465"/>
    <x v="4850"/>
    <x v="4725"/>
    <x v="3952"/>
    <x v="0"/>
    <x v="4"/>
    <x v="4853"/>
    <x v="684"/>
    <x v="0"/>
    <x v="0"/>
    <x v="1"/>
    <x v="419"/>
    <x v="2"/>
    <x v="562"/>
    <x v="33"/>
    <x v="2"/>
    <x v="831"/>
  </r>
  <r>
    <x v="0"/>
    <x v="1323"/>
    <x v="229"/>
    <x v="7"/>
    <x v="36"/>
    <x v="298"/>
    <x v="471"/>
    <x v="4009"/>
    <x v="911"/>
    <x v="2052"/>
    <x v="2977"/>
    <x v="3466"/>
    <x v="4851"/>
    <x v="4773"/>
    <x v="2095"/>
    <x v="4"/>
    <x v="4707"/>
    <x v="4854"/>
    <x v="825"/>
    <x v="0"/>
    <x v="0"/>
    <x v="2"/>
    <x v="420"/>
    <x v="14"/>
    <x v="253"/>
    <x v="11"/>
    <x v="0"/>
    <x v="1"/>
  </r>
  <r>
    <x v="0"/>
    <x v="2355"/>
    <x v="240"/>
    <x v="87"/>
    <x v="211"/>
    <x v="898"/>
    <x v="193"/>
    <x v="4010"/>
    <x v="125"/>
    <x v="360"/>
    <x v="2978"/>
    <x v="3467"/>
    <x v="4852"/>
    <x v="4774"/>
    <x v="3953"/>
    <x v="0"/>
    <x v="4708"/>
    <x v="4855"/>
    <x v="636"/>
    <x v="0"/>
    <x v="0"/>
    <x v="4"/>
    <x v="382"/>
    <x v="10"/>
    <x v="845"/>
    <x v="23"/>
    <x v="1"/>
    <x v="1"/>
  </r>
  <r>
    <x v="0"/>
    <x v="2204"/>
    <x v="409"/>
    <x v="87"/>
    <x v="426"/>
    <x v="227"/>
    <x v="14"/>
    <x v="4011"/>
    <x v="200"/>
    <x v="219"/>
    <x v="2979"/>
    <x v="1705"/>
    <x v="4853"/>
    <x v="4775"/>
    <x v="3954"/>
    <x v="3"/>
    <x v="4709"/>
    <x v="4856"/>
    <x v="790"/>
    <x v="0"/>
    <x v="0"/>
    <x v="4"/>
    <x v="418"/>
    <x v="11"/>
    <x v="716"/>
    <x v="23"/>
    <x v="3"/>
    <x v="198"/>
  </r>
  <r>
    <x v="1"/>
    <x v="2356"/>
    <x v="299"/>
    <x v="184"/>
    <x v="216"/>
    <x v="423"/>
    <x v="611"/>
    <x v="4"/>
    <x v="577"/>
    <x v="2053"/>
    <x v="2980"/>
    <x v="3468"/>
    <x v="4854"/>
    <x v="4776"/>
    <x v="2651"/>
    <x v="1"/>
    <x v="4710"/>
    <x v="4857"/>
    <x v="270"/>
    <x v="0"/>
    <x v="0"/>
    <x v="11"/>
    <x v="421"/>
    <x v="34"/>
    <x v="866"/>
    <x v="54"/>
    <x v="10"/>
    <x v="103"/>
  </r>
  <r>
    <x v="0"/>
    <x v="2357"/>
    <x v="457"/>
    <x v="128"/>
    <x v="0"/>
    <x v="490"/>
    <x v="254"/>
    <x v="4"/>
    <x v="270"/>
    <x v="2054"/>
    <x v="2981"/>
    <x v="3469"/>
    <x v="4855"/>
    <x v="3172"/>
    <x v="896"/>
    <x v="4"/>
    <x v="4711"/>
    <x v="4858"/>
    <x v="824"/>
    <x v="0"/>
    <x v="0"/>
    <x v="10"/>
    <x v="344"/>
    <x v="11"/>
    <x v="710"/>
    <x v="2"/>
    <x v="0"/>
    <x v="697"/>
  </r>
  <r>
    <x v="0"/>
    <x v="2358"/>
    <x v="464"/>
    <x v="101"/>
    <x v="193"/>
    <x v="260"/>
    <x v="328"/>
    <x v="4"/>
    <x v="125"/>
    <x v="1808"/>
    <x v="2177"/>
    <x v="2148"/>
    <x v="4856"/>
    <x v="4777"/>
    <x v="2187"/>
    <x v="0"/>
    <x v="4712"/>
    <x v="4859"/>
    <x v="854"/>
    <x v="0"/>
    <x v="0"/>
    <x v="9"/>
    <x v="4"/>
    <x v="3"/>
    <x v="847"/>
    <x v="22"/>
    <x v="2"/>
    <x v="316"/>
  </r>
  <r>
    <x v="0"/>
    <x v="1607"/>
    <x v="211"/>
    <x v="101"/>
    <x v="68"/>
    <x v="777"/>
    <x v="641"/>
    <x v="4"/>
    <x v="791"/>
    <x v="2055"/>
    <x v="2982"/>
    <x v="3470"/>
    <x v="4857"/>
    <x v="2118"/>
    <x v="2964"/>
    <x v="0"/>
    <x v="4713"/>
    <x v="4860"/>
    <x v="736"/>
    <x v="0"/>
    <x v="0"/>
    <x v="4"/>
    <x v="418"/>
    <x v="10"/>
    <x v="470"/>
    <x v="27"/>
    <x v="0"/>
    <x v="67"/>
  </r>
  <r>
    <x v="0"/>
    <x v="1734"/>
    <x v="413"/>
    <x v="42"/>
    <x v="0"/>
    <x v="413"/>
    <x v="858"/>
    <x v="4012"/>
    <x v="105"/>
    <x v="2056"/>
    <x v="2983"/>
    <x v="3471"/>
    <x v="4858"/>
    <x v="4778"/>
    <x v="3955"/>
    <x v="0"/>
    <x v="4714"/>
    <x v="4861"/>
    <x v="225"/>
    <x v="0"/>
    <x v="0"/>
    <x v="4"/>
    <x v="422"/>
    <x v="16"/>
    <x v="644"/>
    <x v="4"/>
    <x v="3"/>
    <x v="257"/>
  </r>
  <r>
    <x v="0"/>
    <x v="2359"/>
    <x v="345"/>
    <x v="105"/>
    <x v="193"/>
    <x v="316"/>
    <x v="869"/>
    <x v="4"/>
    <x v="168"/>
    <x v="2057"/>
    <x v="2984"/>
    <x v="3472"/>
    <x v="4859"/>
    <x v="4779"/>
    <x v="3956"/>
    <x v="0"/>
    <x v="4715"/>
    <x v="4862"/>
    <x v="408"/>
    <x v="0"/>
    <x v="4"/>
    <x v="9"/>
    <x v="4"/>
    <x v="9"/>
    <x v="897"/>
    <x v="10"/>
    <x v="2"/>
    <x v="103"/>
  </r>
  <r>
    <x v="0"/>
    <x v="2360"/>
    <x v="93"/>
    <x v="77"/>
    <x v="134"/>
    <x v="708"/>
    <x v="516"/>
    <x v="4"/>
    <x v="105"/>
    <x v="2058"/>
    <x v="2985"/>
    <x v="3473"/>
    <x v="4860"/>
    <x v="4780"/>
    <x v="3957"/>
    <x v="0"/>
    <x v="4716"/>
    <x v="4863"/>
    <x v="561"/>
    <x v="30"/>
    <x v="49"/>
    <x v="4"/>
    <x v="4"/>
    <x v="45"/>
    <x v="115"/>
    <x v="21"/>
    <x v="1"/>
    <x v="850"/>
  </r>
  <r>
    <x v="0"/>
    <x v="2361"/>
    <x v="316"/>
    <x v="42"/>
    <x v="432"/>
    <x v="103"/>
    <x v="328"/>
    <x v="4013"/>
    <x v="105"/>
    <x v="1808"/>
    <x v="430"/>
    <x v="3474"/>
    <x v="4861"/>
    <x v="4781"/>
    <x v="162"/>
    <x v="0"/>
    <x v="4717"/>
    <x v="4864"/>
    <x v="816"/>
    <x v="0"/>
    <x v="0"/>
    <x v="9"/>
    <x v="420"/>
    <x v="5"/>
    <x v="289"/>
    <x v="22"/>
    <x v="1"/>
    <x v="1"/>
  </r>
  <r>
    <x v="0"/>
    <x v="2362"/>
    <x v="457"/>
    <x v="41"/>
    <x v="134"/>
    <x v="634"/>
    <x v="127"/>
    <x v="4"/>
    <x v="912"/>
    <x v="239"/>
    <x v="2986"/>
    <x v="3475"/>
    <x v="4862"/>
    <x v="4126"/>
    <x v="3958"/>
    <x v="0"/>
    <x v="4"/>
    <x v="4865"/>
    <x v="685"/>
    <x v="0"/>
    <x v="0"/>
    <x v="9"/>
    <x v="382"/>
    <x v="3"/>
    <x v="494"/>
    <x v="53"/>
    <x v="0"/>
    <x v="390"/>
  </r>
  <r>
    <x v="0"/>
    <x v="2363"/>
    <x v="4"/>
    <x v="4"/>
    <x v="0"/>
    <x v="100"/>
    <x v="0"/>
    <x v="4"/>
    <x v="200"/>
    <x v="1157"/>
    <x v="2987"/>
    <x v="3476"/>
    <x v="4863"/>
    <x v="4782"/>
    <x v="3959"/>
    <x v="0"/>
    <x v="4718"/>
    <x v="4866"/>
    <x v="416"/>
    <x v="0"/>
    <x v="0"/>
    <x v="1"/>
    <x v="4"/>
    <x v="7"/>
    <x v="721"/>
    <x v="55"/>
    <x v="2"/>
    <x v="680"/>
  </r>
  <r>
    <x v="0"/>
    <x v="2364"/>
    <x v="329"/>
    <x v="70"/>
    <x v="85"/>
    <x v="4"/>
    <x v="790"/>
    <x v="4"/>
    <x v="4"/>
    <x v="1763"/>
    <x v="217"/>
    <x v="4"/>
    <x v="4864"/>
    <x v="4783"/>
    <x v="2095"/>
    <x v="0"/>
    <x v="4719"/>
    <x v="4867"/>
    <x v="326"/>
    <x v="0"/>
    <x v="0"/>
    <x v="1"/>
    <x v="423"/>
    <x v="2"/>
    <x v="147"/>
    <x v="19"/>
    <x v="0"/>
    <x v="829"/>
  </r>
  <r>
    <x v="1"/>
    <x v="2365"/>
    <x v="370"/>
    <x v="191"/>
    <x v="216"/>
    <x v="531"/>
    <x v="841"/>
    <x v="4"/>
    <x v="208"/>
    <x v="2059"/>
    <x v="2988"/>
    <x v="3477"/>
    <x v="4865"/>
    <x v="4784"/>
    <x v="3960"/>
    <x v="0"/>
    <x v="4720"/>
    <x v="4868"/>
    <x v="195"/>
    <x v="0"/>
    <x v="0"/>
    <x v="1"/>
    <x v="423"/>
    <x v="12"/>
    <x v="557"/>
    <x v="11"/>
    <x v="8"/>
    <x v="1"/>
  </r>
  <r>
    <x v="0"/>
    <x v="2366"/>
    <x v="81"/>
    <x v="80"/>
    <x v="0"/>
    <x v="4"/>
    <x v="471"/>
    <x v="4"/>
    <x v="4"/>
    <x v="2060"/>
    <x v="217"/>
    <x v="4"/>
    <x v="4866"/>
    <x v="4614"/>
    <x v="2095"/>
    <x v="0"/>
    <x v="4"/>
    <x v="4869"/>
    <x v="896"/>
    <x v="0"/>
    <x v="0"/>
    <x v="1"/>
    <x v="423"/>
    <x v="9"/>
    <x v="147"/>
    <x v="0"/>
    <x v="12"/>
    <x v="574"/>
  </r>
  <r>
    <x v="0"/>
    <x v="2367"/>
    <x v="331"/>
    <x v="55"/>
    <x v="174"/>
    <x v="38"/>
    <x v="86"/>
    <x v="4"/>
    <x v="232"/>
    <x v="627"/>
    <x v="2989"/>
    <x v="3478"/>
    <x v="4867"/>
    <x v="4785"/>
    <x v="3961"/>
    <x v="0"/>
    <x v="4721"/>
    <x v="4870"/>
    <x v="454"/>
    <x v="0"/>
    <x v="0"/>
    <x v="0"/>
    <x v="213"/>
    <x v="11"/>
    <x v="352"/>
    <x v="9"/>
    <x v="1"/>
    <x v="7"/>
  </r>
  <r>
    <x v="0"/>
    <x v="2368"/>
    <x v="478"/>
    <x v="113"/>
    <x v="221"/>
    <x v="325"/>
    <x v="870"/>
    <x v="4"/>
    <x v="894"/>
    <x v="2061"/>
    <x v="2990"/>
    <x v="3479"/>
    <x v="4868"/>
    <x v="4786"/>
    <x v="3477"/>
    <x v="6"/>
    <x v="4722"/>
    <x v="4871"/>
    <x v="188"/>
    <x v="0"/>
    <x v="0"/>
    <x v="1"/>
    <x v="423"/>
    <x v="11"/>
    <x v="658"/>
    <x v="38"/>
    <x v="2"/>
    <x v="361"/>
  </r>
  <r>
    <x v="0"/>
    <x v="2369"/>
    <x v="384"/>
    <x v="105"/>
    <x v="221"/>
    <x v="691"/>
    <x v="339"/>
    <x v="4"/>
    <x v="270"/>
    <x v="2062"/>
    <x v="2991"/>
    <x v="3480"/>
    <x v="4869"/>
    <x v="4787"/>
    <x v="3728"/>
    <x v="0"/>
    <x v="4723"/>
    <x v="4872"/>
    <x v="791"/>
    <x v="0"/>
    <x v="0"/>
    <x v="4"/>
    <x v="424"/>
    <x v="9"/>
    <x v="584"/>
    <x v="4"/>
    <x v="12"/>
    <x v="800"/>
  </r>
  <r>
    <x v="0"/>
    <x v="2370"/>
    <x v="4"/>
    <x v="45"/>
    <x v="163"/>
    <x v="254"/>
    <x v="499"/>
    <x v="4"/>
    <x v="125"/>
    <x v="924"/>
    <x v="2992"/>
    <x v="3481"/>
    <x v="4870"/>
    <x v="4788"/>
    <x v="3962"/>
    <x v="7"/>
    <x v="4724"/>
    <x v="4873"/>
    <x v="854"/>
    <x v="0"/>
    <x v="0"/>
    <x v="1"/>
    <x v="425"/>
    <x v="9"/>
    <x v="623"/>
    <x v="34"/>
    <x v="1"/>
    <x v="857"/>
  </r>
  <r>
    <x v="0"/>
    <x v="473"/>
    <x v="346"/>
    <x v="78"/>
    <x v="212"/>
    <x v="100"/>
    <x v="576"/>
    <x v="4014"/>
    <x v="270"/>
    <x v="2063"/>
    <x v="2993"/>
    <x v="3482"/>
    <x v="4871"/>
    <x v="4789"/>
    <x v="3963"/>
    <x v="0"/>
    <x v="4725"/>
    <x v="4874"/>
    <x v="758"/>
    <x v="0"/>
    <x v="0"/>
    <x v="10"/>
    <x v="424"/>
    <x v="21"/>
    <x v="498"/>
    <x v="7"/>
    <x v="1"/>
    <x v="219"/>
  </r>
  <r>
    <x v="0"/>
    <x v="2371"/>
    <x v="152"/>
    <x v="78"/>
    <x v="198"/>
    <x v="41"/>
    <x v="24"/>
    <x v="4015"/>
    <x v="127"/>
    <x v="2064"/>
    <x v="2994"/>
    <x v="3483"/>
    <x v="4872"/>
    <x v="4790"/>
    <x v="3964"/>
    <x v="7"/>
    <x v="4726"/>
    <x v="4875"/>
    <x v="721"/>
    <x v="0"/>
    <x v="0"/>
    <x v="4"/>
    <x v="417"/>
    <x v="15"/>
    <x v="354"/>
    <x v="32"/>
    <x v="3"/>
    <x v="1"/>
  </r>
  <r>
    <x v="0"/>
    <x v="2372"/>
    <x v="320"/>
    <x v="54"/>
    <x v="0"/>
    <x v="208"/>
    <x v="23"/>
    <x v="4"/>
    <x v="211"/>
    <x v="371"/>
    <x v="2995"/>
    <x v="3484"/>
    <x v="4873"/>
    <x v="4791"/>
    <x v="2825"/>
    <x v="0"/>
    <x v="4"/>
    <x v="4876"/>
    <x v="188"/>
    <x v="0"/>
    <x v="0"/>
    <x v="1"/>
    <x v="419"/>
    <x v="11"/>
    <x v="378"/>
    <x v="40"/>
    <x v="2"/>
    <x v="796"/>
  </r>
  <r>
    <x v="0"/>
    <x v="2373"/>
    <x v="412"/>
    <x v="105"/>
    <x v="204"/>
    <x v="862"/>
    <x v="617"/>
    <x v="4"/>
    <x v="429"/>
    <x v="2065"/>
    <x v="2996"/>
    <x v="3485"/>
    <x v="4874"/>
    <x v="3469"/>
    <x v="484"/>
    <x v="0"/>
    <x v="4727"/>
    <x v="4877"/>
    <x v="843"/>
    <x v="0"/>
    <x v="0"/>
    <x v="10"/>
    <x v="417"/>
    <x v="10"/>
    <x v="777"/>
    <x v="75"/>
    <x v="1"/>
    <x v="867"/>
  </r>
  <r>
    <x v="0"/>
    <x v="48"/>
    <x v="184"/>
    <x v="85"/>
    <x v="33"/>
    <x v="236"/>
    <x v="871"/>
    <x v="4016"/>
    <x v="305"/>
    <x v="2066"/>
    <x v="2997"/>
    <x v="3486"/>
    <x v="4875"/>
    <x v="4792"/>
    <x v="3965"/>
    <x v="0"/>
    <x v="4728"/>
    <x v="4878"/>
    <x v="277"/>
    <x v="0"/>
    <x v="0"/>
    <x v="2"/>
    <x v="4"/>
    <x v="33"/>
    <x v="848"/>
    <x v="17"/>
    <x v="3"/>
    <x v="1"/>
  </r>
  <r>
    <x v="0"/>
    <x v="2374"/>
    <x v="478"/>
    <x v="128"/>
    <x v="125"/>
    <x v="352"/>
    <x v="872"/>
    <x v="4"/>
    <x v="381"/>
    <x v="2067"/>
    <x v="2998"/>
    <x v="3487"/>
    <x v="4876"/>
    <x v="4793"/>
    <x v="1912"/>
    <x v="0"/>
    <x v="4"/>
    <x v="4879"/>
    <x v="685"/>
    <x v="0"/>
    <x v="0"/>
    <x v="1"/>
    <x v="423"/>
    <x v="3"/>
    <x v="628"/>
    <x v="42"/>
    <x v="1"/>
    <x v="669"/>
  </r>
  <r>
    <x v="0"/>
    <x v="2375"/>
    <x v="258"/>
    <x v="139"/>
    <x v="216"/>
    <x v="280"/>
    <x v="98"/>
    <x v="4017"/>
    <x v="270"/>
    <x v="795"/>
    <x v="1075"/>
    <x v="3488"/>
    <x v="4877"/>
    <x v="4794"/>
    <x v="3966"/>
    <x v="0"/>
    <x v="4729"/>
    <x v="4880"/>
    <x v="896"/>
    <x v="0"/>
    <x v="0"/>
    <x v="10"/>
    <x v="4"/>
    <x v="0"/>
    <x v="582"/>
    <x v="22"/>
    <x v="2"/>
    <x v="351"/>
  </r>
  <r>
    <x v="0"/>
    <x v="2376"/>
    <x v="320"/>
    <x v="98"/>
    <x v="85"/>
    <x v="367"/>
    <x v="873"/>
    <x v="4018"/>
    <x v="713"/>
    <x v="2068"/>
    <x v="2999"/>
    <x v="3489"/>
    <x v="4878"/>
    <x v="4633"/>
    <x v="3214"/>
    <x v="0"/>
    <x v="4"/>
    <x v="4881"/>
    <x v="561"/>
    <x v="0"/>
    <x v="0"/>
    <x v="4"/>
    <x v="426"/>
    <x v="1"/>
    <x v="288"/>
    <x v="54"/>
    <x v="1"/>
    <x v="868"/>
  </r>
  <r>
    <x v="1"/>
    <x v="2377"/>
    <x v="460"/>
    <x v="56"/>
    <x v="129"/>
    <x v="708"/>
    <x v="870"/>
    <x v="4"/>
    <x v="125"/>
    <x v="2069"/>
    <x v="3000"/>
    <x v="3490"/>
    <x v="4879"/>
    <x v="4795"/>
    <x v="3967"/>
    <x v="0"/>
    <x v="4730"/>
    <x v="4882"/>
    <x v="790"/>
    <x v="0"/>
    <x v="0"/>
    <x v="4"/>
    <x v="4"/>
    <x v="12"/>
    <x v="794"/>
    <x v="8"/>
    <x v="10"/>
    <x v="118"/>
  </r>
  <r>
    <x v="0"/>
    <x v="2378"/>
    <x v="4"/>
    <x v="71"/>
    <x v="216"/>
    <x v="298"/>
    <x v="87"/>
    <x v="4"/>
    <x v="429"/>
    <x v="2070"/>
    <x v="3001"/>
    <x v="3491"/>
    <x v="4880"/>
    <x v="4796"/>
    <x v="272"/>
    <x v="0"/>
    <x v="4731"/>
    <x v="4883"/>
    <x v="188"/>
    <x v="0"/>
    <x v="0"/>
    <x v="9"/>
    <x v="382"/>
    <x v="9"/>
    <x v="253"/>
    <x v="28"/>
    <x v="2"/>
    <x v="729"/>
  </r>
  <r>
    <x v="0"/>
    <x v="2159"/>
    <x v="302"/>
    <x v="41"/>
    <x v="309"/>
    <x v="79"/>
    <x v="169"/>
    <x v="4019"/>
    <x v="539"/>
    <x v="315"/>
    <x v="3002"/>
    <x v="3492"/>
    <x v="4881"/>
    <x v="4797"/>
    <x v="1951"/>
    <x v="2"/>
    <x v="4732"/>
    <x v="4884"/>
    <x v="636"/>
    <x v="0"/>
    <x v="1"/>
    <x v="4"/>
    <x v="4"/>
    <x v="0"/>
    <x v="635"/>
    <x v="12"/>
    <x v="2"/>
    <x v="869"/>
  </r>
  <r>
    <x v="1"/>
    <x v="609"/>
    <x v="243"/>
    <x v="58"/>
    <x v="0"/>
    <x v="748"/>
    <x v="121"/>
    <x v="4020"/>
    <x v="125"/>
    <x v="1088"/>
    <x v="3003"/>
    <x v="3493"/>
    <x v="4882"/>
    <x v="4798"/>
    <x v="3174"/>
    <x v="2"/>
    <x v="4733"/>
    <x v="4885"/>
    <x v="410"/>
    <x v="0"/>
    <x v="0"/>
    <x v="4"/>
    <x v="427"/>
    <x v="24"/>
    <x v="915"/>
    <x v="6"/>
    <x v="15"/>
    <x v="1"/>
  </r>
  <r>
    <x v="0"/>
    <x v="2379"/>
    <x v="385"/>
    <x v="161"/>
    <x v="0"/>
    <x v="4"/>
    <x v="471"/>
    <x v="4021"/>
    <x v="370"/>
    <x v="2071"/>
    <x v="3004"/>
    <x v="4"/>
    <x v="4883"/>
    <x v="4799"/>
    <x v="2095"/>
    <x v="1"/>
    <x v="4734"/>
    <x v="4886"/>
    <x v="655"/>
    <x v="0"/>
    <x v="0"/>
    <x v="9"/>
    <x v="428"/>
    <x v="49"/>
    <x v="253"/>
    <x v="10"/>
    <x v="15"/>
    <x v="550"/>
  </r>
  <r>
    <x v="0"/>
    <x v="2377"/>
    <x v="425"/>
    <x v="79"/>
    <x v="129"/>
    <x v="708"/>
    <x v="870"/>
    <x v="4"/>
    <x v="200"/>
    <x v="2069"/>
    <x v="3000"/>
    <x v="3490"/>
    <x v="4884"/>
    <x v="4800"/>
    <x v="3968"/>
    <x v="1"/>
    <x v="4735"/>
    <x v="4887"/>
    <x v="666"/>
    <x v="0"/>
    <x v="0"/>
    <x v="1"/>
    <x v="4"/>
    <x v="19"/>
    <x v="794"/>
    <x v="21"/>
    <x v="15"/>
    <x v="619"/>
  </r>
  <r>
    <x v="0"/>
    <x v="856"/>
    <x v="227"/>
    <x v="55"/>
    <x v="202"/>
    <x v="321"/>
    <x v="548"/>
    <x v="4022"/>
    <x v="200"/>
    <x v="2072"/>
    <x v="750"/>
    <x v="3494"/>
    <x v="4885"/>
    <x v="4801"/>
    <x v="3869"/>
    <x v="0"/>
    <x v="4736"/>
    <x v="4888"/>
    <x v="435"/>
    <x v="0"/>
    <x v="4"/>
    <x v="4"/>
    <x v="422"/>
    <x v="13"/>
    <x v="450"/>
    <x v="11"/>
    <x v="3"/>
    <x v="474"/>
  </r>
  <r>
    <x v="0"/>
    <x v="50"/>
    <x v="167"/>
    <x v="56"/>
    <x v="278"/>
    <x v="209"/>
    <x v="0"/>
    <x v="1420"/>
    <x v="28"/>
    <x v="610"/>
    <x v="999"/>
    <x v="1158"/>
    <x v="1478"/>
    <x v="4802"/>
    <x v="1435"/>
    <x v="3"/>
    <x v="1468"/>
    <x v="1478"/>
    <x v="657"/>
    <x v="0"/>
    <x v="0"/>
    <x v="4"/>
    <x v="82"/>
    <x v="11"/>
    <x v="553"/>
    <x v="20"/>
    <x v="3"/>
    <x v="7"/>
  </r>
  <r>
    <x v="0"/>
    <x v="2380"/>
    <x v="419"/>
    <x v="139"/>
    <x v="221"/>
    <x v="736"/>
    <x v="581"/>
    <x v="4"/>
    <x v="463"/>
    <x v="2073"/>
    <x v="3005"/>
    <x v="3495"/>
    <x v="4886"/>
    <x v="4803"/>
    <x v="2551"/>
    <x v="0"/>
    <x v="4737"/>
    <x v="4889"/>
    <x v="732"/>
    <x v="0"/>
    <x v="0"/>
    <x v="1"/>
    <x v="429"/>
    <x v="19"/>
    <x v="514"/>
    <x v="15"/>
    <x v="0"/>
    <x v="686"/>
  </r>
  <r>
    <x v="0"/>
    <x v="388"/>
    <x v="459"/>
    <x v="110"/>
    <x v="220"/>
    <x v="737"/>
    <x v="60"/>
    <x v="4"/>
    <x v="23"/>
    <x v="102"/>
    <x v="3006"/>
    <x v="1496"/>
    <x v="4887"/>
    <x v="4804"/>
    <x v="1774"/>
    <x v="0"/>
    <x v="4738"/>
    <x v="4890"/>
    <x v="756"/>
    <x v="0"/>
    <x v="4"/>
    <x v="4"/>
    <x v="4"/>
    <x v="0"/>
    <x v="656"/>
    <x v="22"/>
    <x v="1"/>
    <x v="1"/>
  </r>
  <r>
    <x v="1"/>
    <x v="776"/>
    <x v="258"/>
    <x v="7"/>
    <x v="0"/>
    <x v="298"/>
    <x v="87"/>
    <x v="4023"/>
    <x v="200"/>
    <x v="2074"/>
    <x v="3007"/>
    <x v="3496"/>
    <x v="4888"/>
    <x v="4805"/>
    <x v="272"/>
    <x v="0"/>
    <x v="4739"/>
    <x v="4891"/>
    <x v="670"/>
    <x v="0"/>
    <x v="0"/>
    <x v="4"/>
    <x v="430"/>
    <x v="23"/>
    <x v="253"/>
    <x v="1"/>
    <x v="15"/>
    <x v="43"/>
  </r>
  <r>
    <x v="0"/>
    <x v="2381"/>
    <x v="4"/>
    <x v="78"/>
    <x v="0"/>
    <x v="777"/>
    <x v="874"/>
    <x v="4"/>
    <x v="168"/>
    <x v="2075"/>
    <x v="3008"/>
    <x v="3497"/>
    <x v="4889"/>
    <x v="363"/>
    <x v="3969"/>
    <x v="4"/>
    <x v="4"/>
    <x v="4892"/>
    <x v="188"/>
    <x v="0"/>
    <x v="0"/>
    <x v="1"/>
    <x v="422"/>
    <x v="2"/>
    <x v="681"/>
    <x v="30"/>
    <x v="2"/>
    <x v="574"/>
  </r>
  <r>
    <x v="0"/>
    <x v="2373"/>
    <x v="93"/>
    <x v="78"/>
    <x v="204"/>
    <x v="343"/>
    <x v="875"/>
    <x v="4"/>
    <x v="127"/>
    <x v="2076"/>
    <x v="3009"/>
    <x v="3498"/>
    <x v="4890"/>
    <x v="2230"/>
    <x v="3186"/>
    <x v="1"/>
    <x v="4740"/>
    <x v="4893"/>
    <x v="416"/>
    <x v="0"/>
    <x v="0"/>
    <x v="1"/>
    <x v="431"/>
    <x v="9"/>
    <x v="423"/>
    <x v="47"/>
    <x v="0"/>
    <x v="367"/>
  </r>
  <r>
    <x v="0"/>
    <x v="1896"/>
    <x v="451"/>
    <x v="60"/>
    <x v="409"/>
    <x v="597"/>
    <x v="233"/>
    <x v="4"/>
    <x v="270"/>
    <x v="2077"/>
    <x v="3010"/>
    <x v="3499"/>
    <x v="4891"/>
    <x v="4806"/>
    <x v="1216"/>
    <x v="1"/>
    <x v="4741"/>
    <x v="4894"/>
    <x v="769"/>
    <x v="0"/>
    <x v="0"/>
    <x v="1"/>
    <x v="416"/>
    <x v="17"/>
    <x v="764"/>
    <x v="8"/>
    <x v="3"/>
    <x v="572"/>
  </r>
  <r>
    <x v="0"/>
    <x v="2382"/>
    <x v="425"/>
    <x v="43"/>
    <x v="433"/>
    <x v="161"/>
    <x v="876"/>
    <x v="4"/>
    <x v="236"/>
    <x v="2078"/>
    <x v="695"/>
    <x v="3500"/>
    <x v="4892"/>
    <x v="4807"/>
    <x v="3970"/>
    <x v="0"/>
    <x v="4742"/>
    <x v="4895"/>
    <x v="631"/>
    <x v="0"/>
    <x v="0"/>
    <x v="4"/>
    <x v="4"/>
    <x v="2"/>
    <x v="424"/>
    <x v="51"/>
    <x v="3"/>
    <x v="1"/>
  </r>
  <r>
    <x v="2"/>
    <x v="2383"/>
    <x v="4"/>
    <x v="14"/>
    <x v="193"/>
    <x v="316"/>
    <x v="283"/>
    <x v="4"/>
    <x v="327"/>
    <x v="2079"/>
    <x v="3011"/>
    <x v="3501"/>
    <x v="4893"/>
    <x v="4808"/>
    <x v="3971"/>
    <x v="0"/>
    <x v="4743"/>
    <x v="4896"/>
    <x v="824"/>
    <x v="0"/>
    <x v="0"/>
    <x v="1"/>
    <x v="432"/>
    <x v="10"/>
    <x v="897"/>
    <x v="56"/>
    <x v="2"/>
    <x v="574"/>
  </r>
  <r>
    <x v="0"/>
    <x v="1342"/>
    <x v="359"/>
    <x v="79"/>
    <x v="330"/>
    <x v="567"/>
    <x v="864"/>
    <x v="4024"/>
    <x v="105"/>
    <x v="2034"/>
    <x v="3012"/>
    <x v="3502"/>
    <x v="4894"/>
    <x v="4809"/>
    <x v="3539"/>
    <x v="0"/>
    <x v="4744"/>
    <x v="4897"/>
    <x v="409"/>
    <x v="0"/>
    <x v="0"/>
    <x v="4"/>
    <x v="392"/>
    <x v="12"/>
    <x v="542"/>
    <x v="4"/>
    <x v="2"/>
    <x v="813"/>
  </r>
  <r>
    <x v="1"/>
    <x v="2384"/>
    <x v="489"/>
    <x v="84"/>
    <x v="0"/>
    <x v="597"/>
    <x v="374"/>
    <x v="4"/>
    <x v="270"/>
    <x v="2080"/>
    <x v="3013"/>
    <x v="3503"/>
    <x v="4895"/>
    <x v="4810"/>
    <x v="3558"/>
    <x v="0"/>
    <x v="4"/>
    <x v="4898"/>
    <x v="326"/>
    <x v="47"/>
    <x v="64"/>
    <x v="1"/>
    <x v="392"/>
    <x v="11"/>
    <x v="897"/>
    <x v="38"/>
    <x v="2"/>
    <x v="870"/>
  </r>
  <r>
    <x v="0"/>
    <x v="2385"/>
    <x v="417"/>
    <x v="76"/>
    <x v="47"/>
    <x v="603"/>
    <x v="697"/>
    <x v="4025"/>
    <x v="822"/>
    <x v="2081"/>
    <x v="3014"/>
    <x v="991"/>
    <x v="4896"/>
    <x v="4811"/>
    <x v="3032"/>
    <x v="4"/>
    <x v="4"/>
    <x v="4899"/>
    <x v="824"/>
    <x v="0"/>
    <x v="0"/>
    <x v="1"/>
    <x v="392"/>
    <x v="0"/>
    <x v="819"/>
    <x v="5"/>
    <x v="1"/>
    <x v="871"/>
  </r>
  <r>
    <x v="0"/>
    <x v="2386"/>
    <x v="372"/>
    <x v="98"/>
    <x v="159"/>
    <x v="745"/>
    <x v="822"/>
    <x v="4"/>
    <x v="232"/>
    <x v="2082"/>
    <x v="3015"/>
    <x v="3504"/>
    <x v="4897"/>
    <x v="4812"/>
    <x v="3972"/>
    <x v="0"/>
    <x v="4745"/>
    <x v="4900"/>
    <x v="816"/>
    <x v="0"/>
    <x v="0"/>
    <x v="10"/>
    <x v="416"/>
    <x v="10"/>
    <x v="448"/>
    <x v="61"/>
    <x v="1"/>
    <x v="245"/>
  </r>
  <r>
    <x v="0"/>
    <x v="1204"/>
    <x v="345"/>
    <x v="26"/>
    <x v="0"/>
    <x v="43"/>
    <x v="425"/>
    <x v="4026"/>
    <x v="913"/>
    <x v="2083"/>
    <x v="3016"/>
    <x v="3505"/>
    <x v="4898"/>
    <x v="4813"/>
    <x v="2322"/>
    <x v="4"/>
    <x v="4746"/>
    <x v="4901"/>
    <x v="562"/>
    <x v="0"/>
    <x v="0"/>
    <x v="13"/>
    <x v="433"/>
    <x v="36"/>
    <x v="599"/>
    <x v="9"/>
    <x v="15"/>
    <x v="1"/>
  </r>
  <r>
    <x v="0"/>
    <x v="1209"/>
    <x v="225"/>
    <x v="47"/>
    <x v="95"/>
    <x v="657"/>
    <x v="157"/>
    <x v="4027"/>
    <x v="484"/>
    <x v="2084"/>
    <x v="3017"/>
    <x v="3506"/>
    <x v="4899"/>
    <x v="3067"/>
    <x v="3385"/>
    <x v="1"/>
    <x v="4747"/>
    <x v="4902"/>
    <x v="592"/>
    <x v="3"/>
    <x v="10"/>
    <x v="4"/>
    <x v="434"/>
    <x v="14"/>
    <x v="517"/>
    <x v="8"/>
    <x v="1"/>
    <x v="872"/>
  </r>
  <r>
    <x v="0"/>
    <x v="2387"/>
    <x v="272"/>
    <x v="78"/>
    <x v="434"/>
    <x v="298"/>
    <x v="87"/>
    <x v="4028"/>
    <x v="270"/>
    <x v="2085"/>
    <x v="3018"/>
    <x v="3507"/>
    <x v="4900"/>
    <x v="4814"/>
    <x v="272"/>
    <x v="0"/>
    <x v="4748"/>
    <x v="4903"/>
    <x v="721"/>
    <x v="44"/>
    <x v="44"/>
    <x v="9"/>
    <x v="433"/>
    <x v="21"/>
    <x v="253"/>
    <x v="7"/>
    <x v="3"/>
    <x v="204"/>
  </r>
  <r>
    <x v="1"/>
    <x v="2388"/>
    <x v="329"/>
    <x v="105"/>
    <x v="174"/>
    <x v="298"/>
    <x v="877"/>
    <x v="4"/>
    <x v="429"/>
    <x v="2086"/>
    <x v="3019"/>
    <x v="3508"/>
    <x v="4901"/>
    <x v="363"/>
    <x v="3774"/>
    <x v="0"/>
    <x v="4"/>
    <x v="4904"/>
    <x v="326"/>
    <x v="0"/>
    <x v="25"/>
    <x v="1"/>
    <x v="433"/>
    <x v="1"/>
    <x v="624"/>
    <x v="10"/>
    <x v="8"/>
    <x v="873"/>
  </r>
  <r>
    <x v="0"/>
    <x v="2389"/>
    <x v="239"/>
    <x v="70"/>
    <x v="110"/>
    <x v="423"/>
    <x v="722"/>
    <x v="4029"/>
    <x v="353"/>
    <x v="2087"/>
    <x v="3020"/>
    <x v="3509"/>
    <x v="4902"/>
    <x v="4815"/>
    <x v="3973"/>
    <x v="0"/>
    <x v="4749"/>
    <x v="4905"/>
    <x v="724"/>
    <x v="2"/>
    <x v="7"/>
    <x v="1"/>
    <x v="138"/>
    <x v="13"/>
    <x v="766"/>
    <x v="38"/>
    <x v="3"/>
    <x v="325"/>
  </r>
  <r>
    <x v="0"/>
    <x v="2390"/>
    <x v="4"/>
    <x v="95"/>
    <x v="78"/>
    <x v="74"/>
    <x v="146"/>
    <x v="4"/>
    <x v="270"/>
    <x v="2088"/>
    <x v="3021"/>
    <x v="3510"/>
    <x v="4903"/>
    <x v="4816"/>
    <x v="3934"/>
    <x v="4"/>
    <x v="4750"/>
    <x v="4906"/>
    <x v="416"/>
    <x v="0"/>
    <x v="0"/>
    <x v="1"/>
    <x v="4"/>
    <x v="14"/>
    <x v="658"/>
    <x v="9"/>
    <x v="2"/>
    <x v="517"/>
  </r>
  <r>
    <x v="0"/>
    <x v="2391"/>
    <x v="457"/>
    <x v="87"/>
    <x v="299"/>
    <x v="19"/>
    <x v="596"/>
    <x v="4"/>
    <x v="662"/>
    <x v="2089"/>
    <x v="3022"/>
    <x v="3511"/>
    <x v="4904"/>
    <x v="4319"/>
    <x v="3530"/>
    <x v="9"/>
    <x v="4751"/>
    <x v="4907"/>
    <x v="824"/>
    <x v="0"/>
    <x v="0"/>
    <x v="1"/>
    <x v="401"/>
    <x v="3"/>
    <x v="561"/>
    <x v="28"/>
    <x v="12"/>
    <x v="874"/>
  </r>
  <r>
    <x v="0"/>
    <x v="2392"/>
    <x v="81"/>
    <x v="42"/>
    <x v="221"/>
    <x v="869"/>
    <x v="183"/>
    <x v="4"/>
    <x v="152"/>
    <x v="344"/>
    <x v="3023"/>
    <x v="3512"/>
    <x v="4905"/>
    <x v="4817"/>
    <x v="3473"/>
    <x v="1"/>
    <x v="4752"/>
    <x v="4908"/>
    <x v="792"/>
    <x v="0"/>
    <x v="0"/>
    <x v="1"/>
    <x v="4"/>
    <x v="16"/>
    <x v="613"/>
    <x v="21"/>
    <x v="2"/>
    <x v="875"/>
  </r>
  <r>
    <x v="0"/>
    <x v="2393"/>
    <x v="262"/>
    <x v="91"/>
    <x v="435"/>
    <x v="316"/>
    <x v="878"/>
    <x v="4030"/>
    <x v="211"/>
    <x v="2090"/>
    <x v="3024"/>
    <x v="3513"/>
    <x v="4906"/>
    <x v="4818"/>
    <x v="3974"/>
    <x v="0"/>
    <x v="4753"/>
    <x v="4909"/>
    <x v="706"/>
    <x v="0"/>
    <x v="0"/>
    <x v="0"/>
    <x v="435"/>
    <x v="14"/>
    <x v="767"/>
    <x v="15"/>
    <x v="3"/>
    <x v="64"/>
  </r>
  <r>
    <x v="0"/>
    <x v="2394"/>
    <x v="311"/>
    <x v="110"/>
    <x v="0"/>
    <x v="298"/>
    <x v="471"/>
    <x v="4031"/>
    <x v="582"/>
    <x v="2091"/>
    <x v="3025"/>
    <x v="3514"/>
    <x v="4907"/>
    <x v="4819"/>
    <x v="2095"/>
    <x v="0"/>
    <x v="4754"/>
    <x v="4910"/>
    <x v="816"/>
    <x v="0"/>
    <x v="65"/>
    <x v="9"/>
    <x v="435"/>
    <x v="12"/>
    <x v="253"/>
    <x v="22"/>
    <x v="2"/>
    <x v="571"/>
  </r>
  <r>
    <x v="0"/>
    <x v="423"/>
    <x v="392"/>
    <x v="113"/>
    <x v="0"/>
    <x v="423"/>
    <x v="775"/>
    <x v="4032"/>
    <x v="400"/>
    <x v="2092"/>
    <x v="3026"/>
    <x v="3515"/>
    <x v="4908"/>
    <x v="4820"/>
    <x v="3956"/>
    <x v="0"/>
    <x v="4755"/>
    <x v="4911"/>
    <x v="140"/>
    <x v="6"/>
    <x v="0"/>
    <x v="4"/>
    <x v="435"/>
    <x v="29"/>
    <x v="658"/>
    <x v="8"/>
    <x v="15"/>
    <x v="1"/>
  </r>
  <r>
    <x v="0"/>
    <x v="2395"/>
    <x v="4"/>
    <x v="95"/>
    <x v="216"/>
    <x v="621"/>
    <x v="424"/>
    <x v="4"/>
    <x v="152"/>
    <x v="2093"/>
    <x v="3027"/>
    <x v="3516"/>
    <x v="4909"/>
    <x v="4821"/>
    <x v="3975"/>
    <x v="0"/>
    <x v="4756"/>
    <x v="4912"/>
    <x v="326"/>
    <x v="0"/>
    <x v="0"/>
    <x v="0"/>
    <x v="436"/>
    <x v="12"/>
    <x v="462"/>
    <x v="6"/>
    <x v="2"/>
    <x v="404"/>
  </r>
  <r>
    <x v="0"/>
    <x v="1734"/>
    <x v="369"/>
    <x v="54"/>
    <x v="0"/>
    <x v="634"/>
    <x v="416"/>
    <x v="4033"/>
    <x v="200"/>
    <x v="2094"/>
    <x v="3028"/>
    <x v="3517"/>
    <x v="4910"/>
    <x v="4735"/>
    <x v="3976"/>
    <x v="1"/>
    <x v="4757"/>
    <x v="4913"/>
    <x v="792"/>
    <x v="0"/>
    <x v="0"/>
    <x v="9"/>
    <x v="437"/>
    <x v="10"/>
    <x v="916"/>
    <x v="21"/>
    <x v="2"/>
    <x v="128"/>
  </r>
  <r>
    <x v="0"/>
    <x v="2396"/>
    <x v="93"/>
    <x v="101"/>
    <x v="216"/>
    <x v="461"/>
    <x v="660"/>
    <x v="4"/>
    <x v="200"/>
    <x v="1507"/>
    <x v="3029"/>
    <x v="865"/>
    <x v="4911"/>
    <x v="4822"/>
    <x v="3943"/>
    <x v="4"/>
    <x v="4758"/>
    <x v="4914"/>
    <x v="843"/>
    <x v="0"/>
    <x v="4"/>
    <x v="1"/>
    <x v="4"/>
    <x v="9"/>
    <x v="917"/>
    <x v="16"/>
    <x v="2"/>
    <x v="643"/>
  </r>
  <r>
    <x v="0"/>
    <x v="113"/>
    <x v="425"/>
    <x v="116"/>
    <x v="88"/>
    <x v="552"/>
    <x v="236"/>
    <x v="4"/>
    <x v="171"/>
    <x v="2095"/>
    <x v="3030"/>
    <x v="3518"/>
    <x v="4912"/>
    <x v="4823"/>
    <x v="465"/>
    <x v="1"/>
    <x v="4759"/>
    <x v="4915"/>
    <x v="844"/>
    <x v="0"/>
    <x v="0"/>
    <x v="5"/>
    <x v="4"/>
    <x v="4"/>
    <x v="325"/>
    <x v="7"/>
    <x v="12"/>
    <x v="121"/>
  </r>
  <r>
    <x v="0"/>
    <x v="2397"/>
    <x v="457"/>
    <x v="93"/>
    <x v="0"/>
    <x v="298"/>
    <x v="471"/>
    <x v="4"/>
    <x v="327"/>
    <x v="2096"/>
    <x v="3031"/>
    <x v="3519"/>
    <x v="4913"/>
    <x v="3734"/>
    <x v="2095"/>
    <x v="0"/>
    <x v="4"/>
    <x v="4916"/>
    <x v="416"/>
    <x v="0"/>
    <x v="0"/>
    <x v="1"/>
    <x v="438"/>
    <x v="9"/>
    <x v="253"/>
    <x v="22"/>
    <x v="2"/>
    <x v="745"/>
  </r>
  <r>
    <x v="0"/>
    <x v="2398"/>
    <x v="369"/>
    <x v="7"/>
    <x v="0"/>
    <x v="244"/>
    <x v="505"/>
    <x v="4034"/>
    <x v="105"/>
    <x v="946"/>
    <x v="78"/>
    <x v="3520"/>
    <x v="4914"/>
    <x v="4824"/>
    <x v="3977"/>
    <x v="7"/>
    <x v="4"/>
    <x v="4917"/>
    <x v="561"/>
    <x v="0"/>
    <x v="0"/>
    <x v="0"/>
    <x v="4"/>
    <x v="3"/>
    <x v="57"/>
    <x v="22"/>
    <x v="1"/>
    <x v="339"/>
  </r>
  <r>
    <x v="0"/>
    <x v="1878"/>
    <x v="425"/>
    <x v="78"/>
    <x v="106"/>
    <x v="403"/>
    <x v="780"/>
    <x v="4035"/>
    <x v="4"/>
    <x v="2097"/>
    <x v="3032"/>
    <x v="3521"/>
    <x v="4915"/>
    <x v="4825"/>
    <x v="3542"/>
    <x v="0"/>
    <x v="4760"/>
    <x v="4918"/>
    <x v="591"/>
    <x v="0"/>
    <x v="0"/>
    <x v="2"/>
    <x v="439"/>
    <x v="14"/>
    <x v="131"/>
    <x v="4"/>
    <x v="3"/>
    <x v="7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25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  <x v="0"/>
    <x v="0"/>
    <x v="1"/>
    <x v="1"/>
    <x v="1"/>
    <x v="1"/>
    <x v="1"/>
    <x v="1"/>
    <x v="0"/>
    <x v="1"/>
  </r>
  <r>
    <x v="0"/>
    <x v="2"/>
    <x v="2"/>
    <x v="2"/>
    <x v="0"/>
    <x v="2"/>
    <x v="2"/>
    <x v="2"/>
    <x v="2"/>
    <x v="2"/>
    <x v="2"/>
    <x v="2"/>
    <x v="2"/>
    <x v="2"/>
    <x v="2"/>
    <x v="1"/>
    <x v="2"/>
    <x v="2"/>
    <x v="2"/>
    <x v="0"/>
    <x v="1"/>
    <x v="0"/>
    <x v="2"/>
    <x v="2"/>
    <x v="2"/>
    <x v="2"/>
    <x v="1"/>
    <x v="2"/>
    <x v="0"/>
    <x v="2"/>
  </r>
  <r>
    <x v="0"/>
    <x v="3"/>
    <x v="3"/>
    <x v="3"/>
    <x v="2"/>
    <x v="3"/>
    <x v="3"/>
    <x v="3"/>
    <x v="3"/>
    <x v="3"/>
    <x v="3"/>
    <x v="3"/>
    <x v="3"/>
    <x v="3"/>
    <x v="3"/>
    <x v="0"/>
    <x v="3"/>
    <x v="3"/>
    <x v="3"/>
    <x v="0"/>
    <x v="0"/>
    <x v="0"/>
    <x v="3"/>
    <x v="3"/>
    <x v="3"/>
    <x v="3"/>
    <x v="1"/>
    <x v="3"/>
    <x v="0"/>
    <x v="3"/>
  </r>
  <r>
    <x v="0"/>
    <x v="4"/>
    <x v="4"/>
    <x v="4"/>
    <x v="3"/>
    <x v="4"/>
    <x v="4"/>
    <x v="4"/>
    <x v="4"/>
    <x v="4"/>
    <x v="4"/>
    <x v="4"/>
    <x v="4"/>
    <x v="4"/>
    <x v="4"/>
    <x v="0"/>
    <x v="4"/>
    <x v="4"/>
    <x v="4"/>
    <x v="1"/>
    <x v="2"/>
    <x v="1"/>
    <x v="4"/>
    <x v="4"/>
    <x v="4"/>
    <x v="1"/>
    <x v="2"/>
    <x v="1"/>
    <x v="0"/>
    <x v="4"/>
  </r>
  <r>
    <x v="0"/>
    <x v="5"/>
    <x v="5"/>
    <x v="5"/>
    <x v="4"/>
    <x v="5"/>
    <x v="5"/>
    <x v="5"/>
    <x v="5"/>
    <x v="5"/>
    <x v="5"/>
    <x v="5"/>
    <x v="5"/>
    <x v="5"/>
    <x v="5"/>
    <x v="1"/>
    <x v="5"/>
    <x v="5"/>
    <x v="5"/>
    <x v="0"/>
    <x v="0"/>
    <x v="0"/>
    <x v="5"/>
    <x v="3"/>
    <x v="5"/>
    <x v="4"/>
    <x v="1"/>
    <x v="4"/>
    <x v="0"/>
    <x v="5"/>
  </r>
  <r>
    <x v="0"/>
    <x v="6"/>
    <x v="6"/>
    <x v="6"/>
    <x v="0"/>
    <x v="6"/>
    <x v="6"/>
    <x v="6"/>
    <x v="6"/>
    <x v="6"/>
    <x v="6"/>
    <x v="6"/>
    <x v="6"/>
    <x v="6"/>
    <x v="6"/>
    <x v="0"/>
    <x v="6"/>
    <x v="6"/>
    <x v="6"/>
    <x v="0"/>
    <x v="0"/>
    <x v="0"/>
    <x v="6"/>
    <x v="1"/>
    <x v="6"/>
    <x v="5"/>
    <x v="1"/>
    <x v="1"/>
    <x v="0"/>
    <x v="6"/>
  </r>
  <r>
    <x v="0"/>
    <x v="7"/>
    <x v="7"/>
    <x v="7"/>
    <x v="5"/>
    <x v="7"/>
    <x v="7"/>
    <x v="7"/>
    <x v="7"/>
    <x v="7"/>
    <x v="7"/>
    <x v="7"/>
    <x v="7"/>
    <x v="7"/>
    <x v="7"/>
    <x v="1"/>
    <x v="7"/>
    <x v="7"/>
    <x v="7"/>
    <x v="0"/>
    <x v="0"/>
    <x v="2"/>
    <x v="7"/>
    <x v="5"/>
    <x v="7"/>
    <x v="6"/>
    <x v="3"/>
    <x v="5"/>
    <x v="0"/>
    <x v="7"/>
  </r>
  <r>
    <x v="0"/>
    <x v="8"/>
    <x v="8"/>
    <x v="8"/>
    <x v="0"/>
    <x v="8"/>
    <x v="8"/>
    <x v="8"/>
    <x v="5"/>
    <x v="8"/>
    <x v="8"/>
    <x v="8"/>
    <x v="8"/>
    <x v="8"/>
    <x v="8"/>
    <x v="2"/>
    <x v="8"/>
    <x v="8"/>
    <x v="8"/>
    <x v="0"/>
    <x v="0"/>
    <x v="0"/>
    <x v="3"/>
    <x v="2"/>
    <x v="8"/>
    <x v="7"/>
    <x v="1"/>
    <x v="6"/>
    <x v="0"/>
    <x v="8"/>
  </r>
  <r>
    <x v="0"/>
    <x v="9"/>
    <x v="9"/>
    <x v="9"/>
    <x v="6"/>
    <x v="9"/>
    <x v="9"/>
    <x v="9"/>
    <x v="8"/>
    <x v="9"/>
    <x v="9"/>
    <x v="9"/>
    <x v="9"/>
    <x v="9"/>
    <x v="9"/>
    <x v="3"/>
    <x v="9"/>
    <x v="9"/>
    <x v="9"/>
    <x v="0"/>
    <x v="1"/>
    <x v="2"/>
    <x v="3"/>
    <x v="0"/>
    <x v="6"/>
    <x v="7"/>
    <x v="1"/>
    <x v="7"/>
    <x v="0"/>
    <x v="9"/>
  </r>
  <r>
    <x v="0"/>
    <x v="10"/>
    <x v="10"/>
    <x v="10"/>
    <x v="0"/>
    <x v="10"/>
    <x v="10"/>
    <x v="10"/>
    <x v="5"/>
    <x v="10"/>
    <x v="10"/>
    <x v="10"/>
    <x v="10"/>
    <x v="10"/>
    <x v="10"/>
    <x v="0"/>
    <x v="10"/>
    <x v="10"/>
    <x v="10"/>
    <x v="0"/>
    <x v="0"/>
    <x v="0"/>
    <x v="3"/>
    <x v="6"/>
    <x v="9"/>
    <x v="8"/>
    <x v="1"/>
    <x v="8"/>
    <x v="0"/>
    <x v="10"/>
  </r>
  <r>
    <x v="0"/>
    <x v="11"/>
    <x v="11"/>
    <x v="1"/>
    <x v="0"/>
    <x v="11"/>
    <x v="11"/>
    <x v="11"/>
    <x v="5"/>
    <x v="11"/>
    <x v="11"/>
    <x v="11"/>
    <x v="11"/>
    <x v="11"/>
    <x v="11"/>
    <x v="0"/>
    <x v="11"/>
    <x v="11"/>
    <x v="11"/>
    <x v="0"/>
    <x v="0"/>
    <x v="0"/>
    <x v="8"/>
    <x v="7"/>
    <x v="10"/>
    <x v="9"/>
    <x v="1"/>
    <x v="1"/>
    <x v="0"/>
    <x v="11"/>
  </r>
  <r>
    <x v="0"/>
    <x v="12"/>
    <x v="12"/>
    <x v="11"/>
    <x v="7"/>
    <x v="12"/>
    <x v="12"/>
    <x v="12"/>
    <x v="9"/>
    <x v="12"/>
    <x v="12"/>
    <x v="12"/>
    <x v="12"/>
    <x v="12"/>
    <x v="12"/>
    <x v="1"/>
    <x v="12"/>
    <x v="12"/>
    <x v="12"/>
    <x v="0"/>
    <x v="1"/>
    <x v="0"/>
    <x v="9"/>
    <x v="8"/>
    <x v="11"/>
    <x v="10"/>
    <x v="1"/>
    <x v="1"/>
    <x v="0"/>
    <x v="12"/>
  </r>
  <r>
    <x v="0"/>
    <x v="1"/>
    <x v="13"/>
    <x v="12"/>
    <x v="1"/>
    <x v="1"/>
    <x v="1"/>
    <x v="13"/>
    <x v="1"/>
    <x v="1"/>
    <x v="1"/>
    <x v="1"/>
    <x v="13"/>
    <x v="13"/>
    <x v="13"/>
    <x v="4"/>
    <x v="13"/>
    <x v="13"/>
    <x v="13"/>
    <x v="0"/>
    <x v="0"/>
    <x v="0"/>
    <x v="10"/>
    <x v="7"/>
    <x v="1"/>
    <x v="11"/>
    <x v="1"/>
    <x v="9"/>
    <x v="0"/>
    <x v="13"/>
  </r>
  <r>
    <x v="0"/>
    <x v="1"/>
    <x v="14"/>
    <x v="13"/>
    <x v="1"/>
    <x v="1"/>
    <x v="1"/>
    <x v="14"/>
    <x v="10"/>
    <x v="1"/>
    <x v="13"/>
    <x v="13"/>
    <x v="14"/>
    <x v="14"/>
    <x v="14"/>
    <x v="1"/>
    <x v="14"/>
    <x v="14"/>
    <x v="14"/>
    <x v="0"/>
    <x v="0"/>
    <x v="0"/>
    <x v="11"/>
    <x v="9"/>
    <x v="12"/>
    <x v="12"/>
    <x v="1"/>
    <x v="10"/>
    <x v="0"/>
    <x v="14"/>
  </r>
  <r>
    <x v="0"/>
    <x v="10"/>
    <x v="15"/>
    <x v="14"/>
    <x v="0"/>
    <x v="13"/>
    <x v="10"/>
    <x v="15"/>
    <x v="0"/>
    <x v="10"/>
    <x v="14"/>
    <x v="14"/>
    <x v="15"/>
    <x v="15"/>
    <x v="15"/>
    <x v="0"/>
    <x v="15"/>
    <x v="15"/>
    <x v="15"/>
    <x v="0"/>
    <x v="0"/>
    <x v="0"/>
    <x v="10"/>
    <x v="9"/>
    <x v="13"/>
    <x v="13"/>
    <x v="1"/>
    <x v="6"/>
    <x v="0"/>
    <x v="15"/>
  </r>
  <r>
    <x v="0"/>
    <x v="13"/>
    <x v="16"/>
    <x v="13"/>
    <x v="8"/>
    <x v="14"/>
    <x v="13"/>
    <x v="16"/>
    <x v="11"/>
    <x v="13"/>
    <x v="15"/>
    <x v="15"/>
    <x v="16"/>
    <x v="16"/>
    <x v="16"/>
    <x v="2"/>
    <x v="16"/>
    <x v="16"/>
    <x v="16"/>
    <x v="0"/>
    <x v="0"/>
    <x v="2"/>
    <x v="10"/>
    <x v="8"/>
    <x v="14"/>
    <x v="4"/>
    <x v="1"/>
    <x v="1"/>
    <x v="0"/>
    <x v="16"/>
  </r>
  <r>
    <x v="0"/>
    <x v="8"/>
    <x v="17"/>
    <x v="15"/>
    <x v="0"/>
    <x v="8"/>
    <x v="8"/>
    <x v="17"/>
    <x v="5"/>
    <x v="8"/>
    <x v="8"/>
    <x v="8"/>
    <x v="17"/>
    <x v="17"/>
    <x v="17"/>
    <x v="3"/>
    <x v="17"/>
    <x v="17"/>
    <x v="17"/>
    <x v="0"/>
    <x v="0"/>
    <x v="0"/>
    <x v="12"/>
    <x v="3"/>
    <x v="8"/>
    <x v="14"/>
    <x v="3"/>
    <x v="11"/>
    <x v="0"/>
    <x v="17"/>
  </r>
  <r>
    <x v="0"/>
    <x v="14"/>
    <x v="18"/>
    <x v="16"/>
    <x v="9"/>
    <x v="1"/>
    <x v="1"/>
    <x v="18"/>
    <x v="1"/>
    <x v="1"/>
    <x v="16"/>
    <x v="16"/>
    <x v="18"/>
    <x v="18"/>
    <x v="18"/>
    <x v="2"/>
    <x v="18"/>
    <x v="18"/>
    <x v="18"/>
    <x v="0"/>
    <x v="0"/>
    <x v="0"/>
    <x v="3"/>
    <x v="10"/>
    <x v="6"/>
    <x v="10"/>
    <x v="1"/>
    <x v="12"/>
    <x v="0"/>
    <x v="18"/>
  </r>
  <r>
    <x v="0"/>
    <x v="15"/>
    <x v="19"/>
    <x v="11"/>
    <x v="10"/>
    <x v="15"/>
    <x v="14"/>
    <x v="19"/>
    <x v="12"/>
    <x v="14"/>
    <x v="17"/>
    <x v="17"/>
    <x v="19"/>
    <x v="19"/>
    <x v="19"/>
    <x v="1"/>
    <x v="19"/>
    <x v="19"/>
    <x v="19"/>
    <x v="0"/>
    <x v="0"/>
    <x v="0"/>
    <x v="10"/>
    <x v="3"/>
    <x v="15"/>
    <x v="2"/>
    <x v="3"/>
    <x v="13"/>
    <x v="0"/>
    <x v="19"/>
  </r>
  <r>
    <x v="0"/>
    <x v="16"/>
    <x v="20"/>
    <x v="3"/>
    <x v="0"/>
    <x v="16"/>
    <x v="15"/>
    <x v="20"/>
    <x v="13"/>
    <x v="15"/>
    <x v="18"/>
    <x v="18"/>
    <x v="20"/>
    <x v="20"/>
    <x v="20"/>
    <x v="0"/>
    <x v="20"/>
    <x v="20"/>
    <x v="20"/>
    <x v="0"/>
    <x v="3"/>
    <x v="0"/>
    <x v="3"/>
    <x v="11"/>
    <x v="16"/>
    <x v="7"/>
    <x v="1"/>
    <x v="14"/>
    <x v="0"/>
    <x v="20"/>
  </r>
  <r>
    <x v="0"/>
    <x v="17"/>
    <x v="21"/>
    <x v="9"/>
    <x v="11"/>
    <x v="17"/>
    <x v="10"/>
    <x v="21"/>
    <x v="1"/>
    <x v="16"/>
    <x v="19"/>
    <x v="19"/>
    <x v="21"/>
    <x v="21"/>
    <x v="21"/>
    <x v="0"/>
    <x v="21"/>
    <x v="21"/>
    <x v="21"/>
    <x v="0"/>
    <x v="0"/>
    <x v="0"/>
    <x v="13"/>
    <x v="3"/>
    <x v="10"/>
    <x v="15"/>
    <x v="1"/>
    <x v="15"/>
    <x v="0"/>
    <x v="21"/>
  </r>
  <r>
    <x v="0"/>
    <x v="18"/>
    <x v="22"/>
    <x v="6"/>
    <x v="0"/>
    <x v="18"/>
    <x v="16"/>
    <x v="22"/>
    <x v="14"/>
    <x v="17"/>
    <x v="20"/>
    <x v="20"/>
    <x v="22"/>
    <x v="22"/>
    <x v="22"/>
    <x v="0"/>
    <x v="22"/>
    <x v="22"/>
    <x v="22"/>
    <x v="0"/>
    <x v="0"/>
    <x v="0"/>
    <x v="9"/>
    <x v="5"/>
    <x v="17"/>
    <x v="10"/>
    <x v="1"/>
    <x v="16"/>
    <x v="0"/>
    <x v="22"/>
  </r>
  <r>
    <x v="0"/>
    <x v="16"/>
    <x v="23"/>
    <x v="17"/>
    <x v="0"/>
    <x v="16"/>
    <x v="15"/>
    <x v="23"/>
    <x v="13"/>
    <x v="15"/>
    <x v="18"/>
    <x v="18"/>
    <x v="23"/>
    <x v="23"/>
    <x v="20"/>
    <x v="5"/>
    <x v="23"/>
    <x v="23"/>
    <x v="23"/>
    <x v="0"/>
    <x v="0"/>
    <x v="0"/>
    <x v="10"/>
    <x v="9"/>
    <x v="16"/>
    <x v="0"/>
    <x v="1"/>
    <x v="17"/>
    <x v="0"/>
    <x v="23"/>
  </r>
  <r>
    <x v="0"/>
    <x v="19"/>
    <x v="24"/>
    <x v="18"/>
    <x v="12"/>
    <x v="1"/>
    <x v="17"/>
    <x v="24"/>
    <x v="15"/>
    <x v="18"/>
    <x v="21"/>
    <x v="21"/>
    <x v="24"/>
    <x v="24"/>
    <x v="23"/>
    <x v="4"/>
    <x v="24"/>
    <x v="24"/>
    <x v="24"/>
    <x v="0"/>
    <x v="0"/>
    <x v="0"/>
    <x v="14"/>
    <x v="1"/>
    <x v="18"/>
    <x v="9"/>
    <x v="1"/>
    <x v="1"/>
    <x v="0"/>
    <x v="24"/>
  </r>
  <r>
    <x v="0"/>
    <x v="16"/>
    <x v="25"/>
    <x v="19"/>
    <x v="0"/>
    <x v="19"/>
    <x v="18"/>
    <x v="25"/>
    <x v="16"/>
    <x v="19"/>
    <x v="22"/>
    <x v="22"/>
    <x v="25"/>
    <x v="25"/>
    <x v="24"/>
    <x v="0"/>
    <x v="25"/>
    <x v="25"/>
    <x v="25"/>
    <x v="0"/>
    <x v="3"/>
    <x v="0"/>
    <x v="15"/>
    <x v="12"/>
    <x v="19"/>
    <x v="13"/>
    <x v="1"/>
    <x v="1"/>
    <x v="0"/>
    <x v="25"/>
  </r>
  <r>
    <x v="0"/>
    <x v="0"/>
    <x v="26"/>
    <x v="20"/>
    <x v="0"/>
    <x v="20"/>
    <x v="19"/>
    <x v="26"/>
    <x v="17"/>
    <x v="20"/>
    <x v="23"/>
    <x v="23"/>
    <x v="26"/>
    <x v="26"/>
    <x v="25"/>
    <x v="0"/>
    <x v="26"/>
    <x v="26"/>
    <x v="26"/>
    <x v="0"/>
    <x v="0"/>
    <x v="0"/>
    <x v="9"/>
    <x v="13"/>
    <x v="20"/>
    <x v="16"/>
    <x v="1"/>
    <x v="18"/>
    <x v="0"/>
    <x v="26"/>
  </r>
  <r>
    <x v="0"/>
    <x v="20"/>
    <x v="27"/>
    <x v="21"/>
    <x v="13"/>
    <x v="21"/>
    <x v="20"/>
    <x v="27"/>
    <x v="5"/>
    <x v="21"/>
    <x v="24"/>
    <x v="24"/>
    <x v="27"/>
    <x v="27"/>
    <x v="26"/>
    <x v="0"/>
    <x v="27"/>
    <x v="27"/>
    <x v="27"/>
    <x v="0"/>
    <x v="0"/>
    <x v="0"/>
    <x v="3"/>
    <x v="6"/>
    <x v="21"/>
    <x v="17"/>
    <x v="1"/>
    <x v="19"/>
    <x v="0"/>
    <x v="27"/>
  </r>
  <r>
    <x v="0"/>
    <x v="21"/>
    <x v="28"/>
    <x v="22"/>
    <x v="14"/>
    <x v="22"/>
    <x v="21"/>
    <x v="28"/>
    <x v="18"/>
    <x v="22"/>
    <x v="25"/>
    <x v="25"/>
    <x v="28"/>
    <x v="28"/>
    <x v="27"/>
    <x v="0"/>
    <x v="28"/>
    <x v="28"/>
    <x v="28"/>
    <x v="0"/>
    <x v="0"/>
    <x v="0"/>
    <x v="8"/>
    <x v="3"/>
    <x v="10"/>
    <x v="18"/>
    <x v="1"/>
    <x v="20"/>
    <x v="0"/>
    <x v="28"/>
  </r>
  <r>
    <x v="0"/>
    <x v="22"/>
    <x v="29"/>
    <x v="23"/>
    <x v="15"/>
    <x v="1"/>
    <x v="22"/>
    <x v="29"/>
    <x v="18"/>
    <x v="23"/>
    <x v="26"/>
    <x v="26"/>
    <x v="29"/>
    <x v="29"/>
    <x v="28"/>
    <x v="0"/>
    <x v="29"/>
    <x v="29"/>
    <x v="29"/>
    <x v="0"/>
    <x v="0"/>
    <x v="0"/>
    <x v="16"/>
    <x v="2"/>
    <x v="12"/>
    <x v="15"/>
    <x v="4"/>
    <x v="21"/>
    <x v="0"/>
    <x v="29"/>
  </r>
  <r>
    <x v="0"/>
    <x v="2"/>
    <x v="30"/>
    <x v="14"/>
    <x v="0"/>
    <x v="12"/>
    <x v="23"/>
    <x v="30"/>
    <x v="2"/>
    <x v="24"/>
    <x v="27"/>
    <x v="12"/>
    <x v="30"/>
    <x v="30"/>
    <x v="29"/>
    <x v="0"/>
    <x v="30"/>
    <x v="30"/>
    <x v="30"/>
    <x v="0"/>
    <x v="1"/>
    <x v="0"/>
    <x v="9"/>
    <x v="3"/>
    <x v="22"/>
    <x v="6"/>
    <x v="1"/>
    <x v="22"/>
    <x v="0"/>
    <x v="30"/>
  </r>
  <r>
    <x v="0"/>
    <x v="6"/>
    <x v="31"/>
    <x v="24"/>
    <x v="0"/>
    <x v="6"/>
    <x v="6"/>
    <x v="31"/>
    <x v="19"/>
    <x v="6"/>
    <x v="6"/>
    <x v="6"/>
    <x v="31"/>
    <x v="31"/>
    <x v="30"/>
    <x v="1"/>
    <x v="31"/>
    <x v="31"/>
    <x v="31"/>
    <x v="0"/>
    <x v="0"/>
    <x v="0"/>
    <x v="9"/>
    <x v="14"/>
    <x v="6"/>
    <x v="11"/>
    <x v="1"/>
    <x v="1"/>
    <x v="0"/>
    <x v="31"/>
  </r>
  <r>
    <x v="0"/>
    <x v="23"/>
    <x v="32"/>
    <x v="25"/>
    <x v="16"/>
    <x v="23"/>
    <x v="20"/>
    <x v="32"/>
    <x v="5"/>
    <x v="21"/>
    <x v="28"/>
    <x v="27"/>
    <x v="32"/>
    <x v="32"/>
    <x v="31"/>
    <x v="3"/>
    <x v="32"/>
    <x v="32"/>
    <x v="32"/>
    <x v="0"/>
    <x v="0"/>
    <x v="0"/>
    <x v="9"/>
    <x v="9"/>
    <x v="9"/>
    <x v="13"/>
    <x v="1"/>
    <x v="23"/>
    <x v="0"/>
    <x v="32"/>
  </r>
  <r>
    <x v="0"/>
    <x v="24"/>
    <x v="19"/>
    <x v="26"/>
    <x v="17"/>
    <x v="21"/>
    <x v="1"/>
    <x v="33"/>
    <x v="15"/>
    <x v="1"/>
    <x v="29"/>
    <x v="28"/>
    <x v="33"/>
    <x v="33"/>
    <x v="32"/>
    <x v="0"/>
    <x v="33"/>
    <x v="33"/>
    <x v="33"/>
    <x v="0"/>
    <x v="0"/>
    <x v="2"/>
    <x v="9"/>
    <x v="5"/>
    <x v="23"/>
    <x v="12"/>
    <x v="3"/>
    <x v="4"/>
    <x v="0"/>
    <x v="33"/>
  </r>
  <r>
    <x v="0"/>
    <x v="25"/>
    <x v="33"/>
    <x v="27"/>
    <x v="18"/>
    <x v="24"/>
    <x v="24"/>
    <x v="34"/>
    <x v="20"/>
    <x v="25"/>
    <x v="30"/>
    <x v="29"/>
    <x v="34"/>
    <x v="34"/>
    <x v="33"/>
    <x v="0"/>
    <x v="34"/>
    <x v="34"/>
    <x v="34"/>
    <x v="0"/>
    <x v="4"/>
    <x v="0"/>
    <x v="17"/>
    <x v="7"/>
    <x v="24"/>
    <x v="2"/>
    <x v="1"/>
    <x v="1"/>
    <x v="0"/>
    <x v="34"/>
  </r>
  <r>
    <x v="0"/>
    <x v="26"/>
    <x v="34"/>
    <x v="27"/>
    <x v="19"/>
    <x v="25"/>
    <x v="25"/>
    <x v="35"/>
    <x v="21"/>
    <x v="26"/>
    <x v="31"/>
    <x v="30"/>
    <x v="35"/>
    <x v="35"/>
    <x v="34"/>
    <x v="0"/>
    <x v="35"/>
    <x v="35"/>
    <x v="35"/>
    <x v="0"/>
    <x v="0"/>
    <x v="3"/>
    <x v="9"/>
    <x v="9"/>
    <x v="25"/>
    <x v="11"/>
    <x v="3"/>
    <x v="20"/>
    <x v="0"/>
    <x v="35"/>
  </r>
  <r>
    <x v="0"/>
    <x v="27"/>
    <x v="35"/>
    <x v="13"/>
    <x v="0"/>
    <x v="26"/>
    <x v="26"/>
    <x v="36"/>
    <x v="5"/>
    <x v="27"/>
    <x v="32"/>
    <x v="31"/>
    <x v="36"/>
    <x v="36"/>
    <x v="35"/>
    <x v="0"/>
    <x v="36"/>
    <x v="36"/>
    <x v="36"/>
    <x v="0"/>
    <x v="0"/>
    <x v="0"/>
    <x v="9"/>
    <x v="0"/>
    <x v="26"/>
    <x v="19"/>
    <x v="1"/>
    <x v="1"/>
    <x v="0"/>
    <x v="36"/>
  </r>
  <r>
    <x v="0"/>
    <x v="27"/>
    <x v="36"/>
    <x v="28"/>
    <x v="0"/>
    <x v="27"/>
    <x v="27"/>
    <x v="37"/>
    <x v="5"/>
    <x v="28"/>
    <x v="33"/>
    <x v="32"/>
    <x v="37"/>
    <x v="37"/>
    <x v="36"/>
    <x v="4"/>
    <x v="37"/>
    <x v="37"/>
    <x v="37"/>
    <x v="0"/>
    <x v="0"/>
    <x v="0"/>
    <x v="17"/>
    <x v="11"/>
    <x v="27"/>
    <x v="20"/>
    <x v="1"/>
    <x v="15"/>
    <x v="0"/>
    <x v="37"/>
  </r>
  <r>
    <x v="0"/>
    <x v="6"/>
    <x v="37"/>
    <x v="29"/>
    <x v="0"/>
    <x v="21"/>
    <x v="28"/>
    <x v="38"/>
    <x v="15"/>
    <x v="29"/>
    <x v="34"/>
    <x v="33"/>
    <x v="38"/>
    <x v="38"/>
    <x v="37"/>
    <x v="2"/>
    <x v="38"/>
    <x v="38"/>
    <x v="38"/>
    <x v="0"/>
    <x v="0"/>
    <x v="2"/>
    <x v="11"/>
    <x v="9"/>
    <x v="28"/>
    <x v="21"/>
    <x v="1"/>
    <x v="24"/>
    <x v="0"/>
    <x v="38"/>
  </r>
  <r>
    <x v="0"/>
    <x v="17"/>
    <x v="38"/>
    <x v="30"/>
    <x v="11"/>
    <x v="28"/>
    <x v="10"/>
    <x v="39"/>
    <x v="0"/>
    <x v="16"/>
    <x v="19"/>
    <x v="34"/>
    <x v="39"/>
    <x v="39"/>
    <x v="38"/>
    <x v="0"/>
    <x v="39"/>
    <x v="39"/>
    <x v="39"/>
    <x v="0"/>
    <x v="0"/>
    <x v="0"/>
    <x v="9"/>
    <x v="11"/>
    <x v="10"/>
    <x v="10"/>
    <x v="1"/>
    <x v="25"/>
    <x v="0"/>
    <x v="39"/>
  </r>
  <r>
    <x v="0"/>
    <x v="28"/>
    <x v="39"/>
    <x v="31"/>
    <x v="20"/>
    <x v="1"/>
    <x v="25"/>
    <x v="40"/>
    <x v="5"/>
    <x v="30"/>
    <x v="35"/>
    <x v="35"/>
    <x v="40"/>
    <x v="40"/>
    <x v="39"/>
    <x v="0"/>
    <x v="40"/>
    <x v="40"/>
    <x v="40"/>
    <x v="0"/>
    <x v="0"/>
    <x v="2"/>
    <x v="18"/>
    <x v="5"/>
    <x v="10"/>
    <x v="2"/>
    <x v="1"/>
    <x v="26"/>
    <x v="0"/>
    <x v="40"/>
  </r>
  <r>
    <x v="0"/>
    <x v="29"/>
    <x v="40"/>
    <x v="11"/>
    <x v="21"/>
    <x v="29"/>
    <x v="0"/>
    <x v="41"/>
    <x v="22"/>
    <x v="31"/>
    <x v="22"/>
    <x v="36"/>
    <x v="41"/>
    <x v="41"/>
    <x v="40"/>
    <x v="0"/>
    <x v="41"/>
    <x v="41"/>
    <x v="41"/>
    <x v="0"/>
    <x v="0"/>
    <x v="3"/>
    <x v="9"/>
    <x v="10"/>
    <x v="19"/>
    <x v="22"/>
    <x v="1"/>
    <x v="7"/>
    <x v="0"/>
    <x v="41"/>
  </r>
  <r>
    <x v="0"/>
    <x v="30"/>
    <x v="41"/>
    <x v="32"/>
    <x v="22"/>
    <x v="30"/>
    <x v="17"/>
    <x v="42"/>
    <x v="5"/>
    <x v="32"/>
    <x v="36"/>
    <x v="37"/>
    <x v="42"/>
    <x v="42"/>
    <x v="41"/>
    <x v="4"/>
    <x v="42"/>
    <x v="42"/>
    <x v="42"/>
    <x v="0"/>
    <x v="0"/>
    <x v="0"/>
    <x v="9"/>
    <x v="10"/>
    <x v="29"/>
    <x v="23"/>
    <x v="1"/>
    <x v="4"/>
    <x v="0"/>
    <x v="42"/>
  </r>
  <r>
    <x v="0"/>
    <x v="31"/>
    <x v="42"/>
    <x v="33"/>
    <x v="23"/>
    <x v="31"/>
    <x v="10"/>
    <x v="43"/>
    <x v="21"/>
    <x v="33"/>
    <x v="37"/>
    <x v="38"/>
    <x v="43"/>
    <x v="43"/>
    <x v="42"/>
    <x v="3"/>
    <x v="43"/>
    <x v="43"/>
    <x v="43"/>
    <x v="0"/>
    <x v="0"/>
    <x v="3"/>
    <x v="9"/>
    <x v="5"/>
    <x v="30"/>
    <x v="24"/>
    <x v="3"/>
    <x v="26"/>
    <x v="0"/>
    <x v="43"/>
  </r>
  <r>
    <x v="0"/>
    <x v="32"/>
    <x v="20"/>
    <x v="34"/>
    <x v="24"/>
    <x v="32"/>
    <x v="29"/>
    <x v="44"/>
    <x v="5"/>
    <x v="34"/>
    <x v="38"/>
    <x v="39"/>
    <x v="44"/>
    <x v="44"/>
    <x v="43"/>
    <x v="0"/>
    <x v="44"/>
    <x v="44"/>
    <x v="44"/>
    <x v="0"/>
    <x v="0"/>
    <x v="0"/>
    <x v="9"/>
    <x v="0"/>
    <x v="13"/>
    <x v="4"/>
    <x v="1"/>
    <x v="1"/>
    <x v="0"/>
    <x v="44"/>
  </r>
  <r>
    <x v="0"/>
    <x v="33"/>
    <x v="43"/>
    <x v="35"/>
    <x v="0"/>
    <x v="33"/>
    <x v="8"/>
    <x v="45"/>
    <x v="23"/>
    <x v="35"/>
    <x v="39"/>
    <x v="40"/>
    <x v="45"/>
    <x v="45"/>
    <x v="44"/>
    <x v="0"/>
    <x v="45"/>
    <x v="45"/>
    <x v="45"/>
    <x v="0"/>
    <x v="0"/>
    <x v="0"/>
    <x v="19"/>
    <x v="2"/>
    <x v="3"/>
    <x v="13"/>
    <x v="1"/>
    <x v="27"/>
    <x v="0"/>
    <x v="45"/>
  </r>
  <r>
    <x v="0"/>
    <x v="12"/>
    <x v="44"/>
    <x v="32"/>
    <x v="7"/>
    <x v="1"/>
    <x v="30"/>
    <x v="46"/>
    <x v="24"/>
    <x v="36"/>
    <x v="40"/>
    <x v="41"/>
    <x v="46"/>
    <x v="46"/>
    <x v="45"/>
    <x v="0"/>
    <x v="46"/>
    <x v="46"/>
    <x v="46"/>
    <x v="0"/>
    <x v="0"/>
    <x v="0"/>
    <x v="19"/>
    <x v="9"/>
    <x v="6"/>
    <x v="15"/>
    <x v="1"/>
    <x v="28"/>
    <x v="0"/>
    <x v="46"/>
  </r>
  <r>
    <x v="0"/>
    <x v="11"/>
    <x v="45"/>
    <x v="36"/>
    <x v="0"/>
    <x v="34"/>
    <x v="31"/>
    <x v="47"/>
    <x v="20"/>
    <x v="37"/>
    <x v="41"/>
    <x v="42"/>
    <x v="47"/>
    <x v="47"/>
    <x v="46"/>
    <x v="6"/>
    <x v="47"/>
    <x v="47"/>
    <x v="47"/>
    <x v="0"/>
    <x v="0"/>
    <x v="0"/>
    <x v="9"/>
    <x v="11"/>
    <x v="31"/>
    <x v="25"/>
    <x v="1"/>
    <x v="29"/>
    <x v="0"/>
    <x v="47"/>
  </r>
  <r>
    <x v="0"/>
    <x v="34"/>
    <x v="46"/>
    <x v="5"/>
    <x v="25"/>
    <x v="35"/>
    <x v="32"/>
    <x v="48"/>
    <x v="5"/>
    <x v="38"/>
    <x v="42"/>
    <x v="43"/>
    <x v="48"/>
    <x v="48"/>
    <x v="47"/>
    <x v="0"/>
    <x v="48"/>
    <x v="48"/>
    <x v="48"/>
    <x v="0"/>
    <x v="0"/>
    <x v="0"/>
    <x v="19"/>
    <x v="9"/>
    <x v="32"/>
    <x v="6"/>
    <x v="1"/>
    <x v="30"/>
    <x v="0"/>
    <x v="48"/>
  </r>
  <r>
    <x v="0"/>
    <x v="11"/>
    <x v="47"/>
    <x v="37"/>
    <x v="0"/>
    <x v="36"/>
    <x v="33"/>
    <x v="49"/>
    <x v="13"/>
    <x v="39"/>
    <x v="43"/>
    <x v="44"/>
    <x v="49"/>
    <x v="49"/>
    <x v="48"/>
    <x v="1"/>
    <x v="49"/>
    <x v="49"/>
    <x v="49"/>
    <x v="0"/>
    <x v="0"/>
    <x v="0"/>
    <x v="20"/>
    <x v="9"/>
    <x v="33"/>
    <x v="22"/>
    <x v="1"/>
    <x v="31"/>
    <x v="0"/>
    <x v="49"/>
  </r>
  <r>
    <x v="0"/>
    <x v="35"/>
    <x v="48"/>
    <x v="14"/>
    <x v="16"/>
    <x v="37"/>
    <x v="19"/>
    <x v="50"/>
    <x v="17"/>
    <x v="20"/>
    <x v="44"/>
    <x v="45"/>
    <x v="50"/>
    <x v="50"/>
    <x v="49"/>
    <x v="2"/>
    <x v="50"/>
    <x v="50"/>
    <x v="50"/>
    <x v="0"/>
    <x v="5"/>
    <x v="0"/>
    <x v="21"/>
    <x v="9"/>
    <x v="34"/>
    <x v="11"/>
    <x v="1"/>
    <x v="32"/>
    <x v="0"/>
    <x v="50"/>
  </r>
  <r>
    <x v="0"/>
    <x v="36"/>
    <x v="49"/>
    <x v="38"/>
    <x v="26"/>
    <x v="38"/>
    <x v="10"/>
    <x v="51"/>
    <x v="19"/>
    <x v="40"/>
    <x v="45"/>
    <x v="46"/>
    <x v="51"/>
    <x v="51"/>
    <x v="50"/>
    <x v="4"/>
    <x v="51"/>
    <x v="51"/>
    <x v="51"/>
    <x v="0"/>
    <x v="0"/>
    <x v="0"/>
    <x v="9"/>
    <x v="5"/>
    <x v="35"/>
    <x v="4"/>
    <x v="1"/>
    <x v="33"/>
    <x v="0"/>
    <x v="51"/>
  </r>
  <r>
    <x v="0"/>
    <x v="37"/>
    <x v="50"/>
    <x v="22"/>
    <x v="0"/>
    <x v="39"/>
    <x v="17"/>
    <x v="52"/>
    <x v="5"/>
    <x v="41"/>
    <x v="46"/>
    <x v="47"/>
    <x v="52"/>
    <x v="52"/>
    <x v="51"/>
    <x v="0"/>
    <x v="52"/>
    <x v="52"/>
    <x v="52"/>
    <x v="0"/>
    <x v="0"/>
    <x v="0"/>
    <x v="19"/>
    <x v="9"/>
    <x v="36"/>
    <x v="15"/>
    <x v="3"/>
    <x v="17"/>
    <x v="0"/>
    <x v="52"/>
  </r>
  <r>
    <x v="0"/>
    <x v="27"/>
    <x v="51"/>
    <x v="39"/>
    <x v="0"/>
    <x v="40"/>
    <x v="26"/>
    <x v="53"/>
    <x v="5"/>
    <x v="27"/>
    <x v="47"/>
    <x v="48"/>
    <x v="53"/>
    <x v="53"/>
    <x v="52"/>
    <x v="4"/>
    <x v="53"/>
    <x v="53"/>
    <x v="53"/>
    <x v="0"/>
    <x v="0"/>
    <x v="0"/>
    <x v="20"/>
    <x v="10"/>
    <x v="37"/>
    <x v="22"/>
    <x v="1"/>
    <x v="34"/>
    <x v="0"/>
    <x v="53"/>
  </r>
  <r>
    <x v="0"/>
    <x v="38"/>
    <x v="52"/>
    <x v="40"/>
    <x v="25"/>
    <x v="1"/>
    <x v="2"/>
    <x v="54"/>
    <x v="1"/>
    <x v="42"/>
    <x v="48"/>
    <x v="49"/>
    <x v="54"/>
    <x v="54"/>
    <x v="53"/>
    <x v="4"/>
    <x v="54"/>
    <x v="54"/>
    <x v="54"/>
    <x v="0"/>
    <x v="0"/>
    <x v="0"/>
    <x v="22"/>
    <x v="8"/>
    <x v="30"/>
    <x v="5"/>
    <x v="1"/>
    <x v="9"/>
    <x v="0"/>
    <x v="54"/>
  </r>
  <r>
    <x v="0"/>
    <x v="39"/>
    <x v="53"/>
    <x v="41"/>
    <x v="27"/>
    <x v="41"/>
    <x v="34"/>
    <x v="55"/>
    <x v="21"/>
    <x v="43"/>
    <x v="49"/>
    <x v="50"/>
    <x v="55"/>
    <x v="55"/>
    <x v="54"/>
    <x v="0"/>
    <x v="55"/>
    <x v="55"/>
    <x v="55"/>
    <x v="0"/>
    <x v="0"/>
    <x v="2"/>
    <x v="4"/>
    <x v="2"/>
    <x v="38"/>
    <x v="2"/>
    <x v="1"/>
    <x v="35"/>
    <x v="0"/>
    <x v="55"/>
  </r>
  <r>
    <x v="0"/>
    <x v="40"/>
    <x v="54"/>
    <x v="41"/>
    <x v="28"/>
    <x v="42"/>
    <x v="35"/>
    <x v="56"/>
    <x v="21"/>
    <x v="44"/>
    <x v="37"/>
    <x v="51"/>
    <x v="56"/>
    <x v="56"/>
    <x v="55"/>
    <x v="0"/>
    <x v="56"/>
    <x v="56"/>
    <x v="56"/>
    <x v="0"/>
    <x v="0"/>
    <x v="2"/>
    <x v="22"/>
    <x v="3"/>
    <x v="30"/>
    <x v="13"/>
    <x v="1"/>
    <x v="36"/>
    <x v="0"/>
    <x v="56"/>
  </r>
  <r>
    <x v="0"/>
    <x v="41"/>
    <x v="55"/>
    <x v="40"/>
    <x v="29"/>
    <x v="43"/>
    <x v="36"/>
    <x v="57"/>
    <x v="18"/>
    <x v="45"/>
    <x v="50"/>
    <x v="52"/>
    <x v="57"/>
    <x v="57"/>
    <x v="56"/>
    <x v="2"/>
    <x v="57"/>
    <x v="57"/>
    <x v="57"/>
    <x v="0"/>
    <x v="0"/>
    <x v="0"/>
    <x v="22"/>
    <x v="6"/>
    <x v="39"/>
    <x v="7"/>
    <x v="1"/>
    <x v="26"/>
    <x v="0"/>
    <x v="57"/>
  </r>
  <r>
    <x v="0"/>
    <x v="5"/>
    <x v="56"/>
    <x v="42"/>
    <x v="4"/>
    <x v="44"/>
    <x v="0"/>
    <x v="58"/>
    <x v="25"/>
    <x v="46"/>
    <x v="51"/>
    <x v="53"/>
    <x v="58"/>
    <x v="58"/>
    <x v="57"/>
    <x v="0"/>
    <x v="58"/>
    <x v="58"/>
    <x v="58"/>
    <x v="0"/>
    <x v="0"/>
    <x v="3"/>
    <x v="14"/>
    <x v="8"/>
    <x v="40"/>
    <x v="26"/>
    <x v="1"/>
    <x v="37"/>
    <x v="0"/>
    <x v="58"/>
  </r>
  <r>
    <x v="0"/>
    <x v="25"/>
    <x v="57"/>
    <x v="43"/>
    <x v="18"/>
    <x v="45"/>
    <x v="37"/>
    <x v="59"/>
    <x v="26"/>
    <x v="47"/>
    <x v="52"/>
    <x v="54"/>
    <x v="59"/>
    <x v="59"/>
    <x v="58"/>
    <x v="4"/>
    <x v="59"/>
    <x v="59"/>
    <x v="59"/>
    <x v="0"/>
    <x v="0"/>
    <x v="0"/>
    <x v="23"/>
    <x v="1"/>
    <x v="41"/>
    <x v="5"/>
    <x v="1"/>
    <x v="1"/>
    <x v="0"/>
    <x v="59"/>
  </r>
  <r>
    <x v="0"/>
    <x v="42"/>
    <x v="58"/>
    <x v="44"/>
    <x v="30"/>
    <x v="46"/>
    <x v="0"/>
    <x v="60"/>
    <x v="5"/>
    <x v="48"/>
    <x v="53"/>
    <x v="55"/>
    <x v="60"/>
    <x v="60"/>
    <x v="59"/>
    <x v="0"/>
    <x v="60"/>
    <x v="60"/>
    <x v="60"/>
    <x v="0"/>
    <x v="0"/>
    <x v="0"/>
    <x v="9"/>
    <x v="0"/>
    <x v="42"/>
    <x v="27"/>
    <x v="1"/>
    <x v="38"/>
    <x v="0"/>
    <x v="60"/>
  </r>
  <r>
    <x v="0"/>
    <x v="43"/>
    <x v="59"/>
    <x v="45"/>
    <x v="0"/>
    <x v="9"/>
    <x v="11"/>
    <x v="61"/>
    <x v="27"/>
    <x v="49"/>
    <x v="54"/>
    <x v="56"/>
    <x v="61"/>
    <x v="61"/>
    <x v="60"/>
    <x v="0"/>
    <x v="61"/>
    <x v="61"/>
    <x v="61"/>
    <x v="0"/>
    <x v="0"/>
    <x v="2"/>
    <x v="9"/>
    <x v="0"/>
    <x v="20"/>
    <x v="2"/>
    <x v="1"/>
    <x v="1"/>
    <x v="0"/>
    <x v="61"/>
  </r>
  <r>
    <x v="0"/>
    <x v="44"/>
    <x v="60"/>
    <x v="46"/>
    <x v="0"/>
    <x v="47"/>
    <x v="30"/>
    <x v="62"/>
    <x v="5"/>
    <x v="50"/>
    <x v="34"/>
    <x v="57"/>
    <x v="62"/>
    <x v="62"/>
    <x v="61"/>
    <x v="1"/>
    <x v="62"/>
    <x v="62"/>
    <x v="62"/>
    <x v="0"/>
    <x v="0"/>
    <x v="0"/>
    <x v="24"/>
    <x v="2"/>
    <x v="28"/>
    <x v="28"/>
    <x v="1"/>
    <x v="20"/>
    <x v="0"/>
    <x v="62"/>
  </r>
  <r>
    <x v="0"/>
    <x v="9"/>
    <x v="61"/>
    <x v="47"/>
    <x v="6"/>
    <x v="48"/>
    <x v="2"/>
    <x v="63"/>
    <x v="16"/>
    <x v="2"/>
    <x v="25"/>
    <x v="58"/>
    <x v="63"/>
    <x v="63"/>
    <x v="62"/>
    <x v="4"/>
    <x v="63"/>
    <x v="63"/>
    <x v="63"/>
    <x v="0"/>
    <x v="0"/>
    <x v="0"/>
    <x v="14"/>
    <x v="6"/>
    <x v="10"/>
    <x v="4"/>
    <x v="1"/>
    <x v="5"/>
    <x v="0"/>
    <x v="63"/>
  </r>
  <r>
    <x v="0"/>
    <x v="13"/>
    <x v="62"/>
    <x v="13"/>
    <x v="8"/>
    <x v="49"/>
    <x v="0"/>
    <x v="64"/>
    <x v="15"/>
    <x v="51"/>
    <x v="55"/>
    <x v="59"/>
    <x v="64"/>
    <x v="64"/>
    <x v="63"/>
    <x v="7"/>
    <x v="64"/>
    <x v="64"/>
    <x v="64"/>
    <x v="0"/>
    <x v="0"/>
    <x v="2"/>
    <x v="14"/>
    <x v="12"/>
    <x v="43"/>
    <x v="8"/>
    <x v="1"/>
    <x v="1"/>
    <x v="0"/>
    <x v="64"/>
  </r>
  <r>
    <x v="0"/>
    <x v="11"/>
    <x v="63"/>
    <x v="48"/>
    <x v="0"/>
    <x v="1"/>
    <x v="31"/>
    <x v="65"/>
    <x v="5"/>
    <x v="37"/>
    <x v="56"/>
    <x v="60"/>
    <x v="65"/>
    <x v="65"/>
    <x v="64"/>
    <x v="5"/>
    <x v="65"/>
    <x v="65"/>
    <x v="65"/>
    <x v="0"/>
    <x v="0"/>
    <x v="0"/>
    <x v="25"/>
    <x v="6"/>
    <x v="44"/>
    <x v="11"/>
    <x v="1"/>
    <x v="39"/>
    <x v="0"/>
    <x v="65"/>
  </r>
  <r>
    <x v="0"/>
    <x v="3"/>
    <x v="64"/>
    <x v="49"/>
    <x v="2"/>
    <x v="21"/>
    <x v="29"/>
    <x v="66"/>
    <x v="28"/>
    <x v="34"/>
    <x v="57"/>
    <x v="61"/>
    <x v="66"/>
    <x v="66"/>
    <x v="65"/>
    <x v="0"/>
    <x v="66"/>
    <x v="66"/>
    <x v="66"/>
    <x v="0"/>
    <x v="0"/>
    <x v="0"/>
    <x v="22"/>
    <x v="8"/>
    <x v="44"/>
    <x v="29"/>
    <x v="1"/>
    <x v="40"/>
    <x v="0"/>
    <x v="66"/>
  </r>
  <r>
    <x v="0"/>
    <x v="45"/>
    <x v="65"/>
    <x v="45"/>
    <x v="0"/>
    <x v="50"/>
    <x v="0"/>
    <x v="67"/>
    <x v="29"/>
    <x v="46"/>
    <x v="58"/>
    <x v="62"/>
    <x v="67"/>
    <x v="67"/>
    <x v="66"/>
    <x v="1"/>
    <x v="67"/>
    <x v="67"/>
    <x v="67"/>
    <x v="0"/>
    <x v="0"/>
    <x v="2"/>
    <x v="26"/>
    <x v="0"/>
    <x v="45"/>
    <x v="24"/>
    <x v="3"/>
    <x v="41"/>
    <x v="0"/>
    <x v="67"/>
  </r>
  <r>
    <x v="0"/>
    <x v="46"/>
    <x v="66"/>
    <x v="50"/>
    <x v="31"/>
    <x v="51"/>
    <x v="0"/>
    <x v="68"/>
    <x v="30"/>
    <x v="52"/>
    <x v="59"/>
    <x v="63"/>
    <x v="68"/>
    <x v="68"/>
    <x v="67"/>
    <x v="4"/>
    <x v="68"/>
    <x v="68"/>
    <x v="68"/>
    <x v="0"/>
    <x v="0"/>
    <x v="2"/>
    <x v="26"/>
    <x v="0"/>
    <x v="46"/>
    <x v="12"/>
    <x v="1"/>
    <x v="1"/>
    <x v="0"/>
    <x v="68"/>
  </r>
  <r>
    <x v="0"/>
    <x v="47"/>
    <x v="67"/>
    <x v="51"/>
    <x v="32"/>
    <x v="6"/>
    <x v="20"/>
    <x v="69"/>
    <x v="5"/>
    <x v="21"/>
    <x v="60"/>
    <x v="64"/>
    <x v="69"/>
    <x v="69"/>
    <x v="68"/>
    <x v="3"/>
    <x v="69"/>
    <x v="69"/>
    <x v="60"/>
    <x v="0"/>
    <x v="0"/>
    <x v="0"/>
    <x v="23"/>
    <x v="8"/>
    <x v="47"/>
    <x v="0"/>
    <x v="1"/>
    <x v="7"/>
    <x v="0"/>
    <x v="69"/>
  </r>
  <r>
    <x v="0"/>
    <x v="48"/>
    <x v="68"/>
    <x v="51"/>
    <x v="33"/>
    <x v="1"/>
    <x v="30"/>
    <x v="70"/>
    <x v="31"/>
    <x v="53"/>
    <x v="61"/>
    <x v="65"/>
    <x v="70"/>
    <x v="70"/>
    <x v="69"/>
    <x v="0"/>
    <x v="70"/>
    <x v="70"/>
    <x v="69"/>
    <x v="0"/>
    <x v="0"/>
    <x v="2"/>
    <x v="18"/>
    <x v="10"/>
    <x v="48"/>
    <x v="7"/>
    <x v="3"/>
    <x v="42"/>
    <x v="0"/>
    <x v="70"/>
  </r>
  <r>
    <x v="0"/>
    <x v="15"/>
    <x v="69"/>
    <x v="11"/>
    <x v="10"/>
    <x v="52"/>
    <x v="14"/>
    <x v="71"/>
    <x v="32"/>
    <x v="14"/>
    <x v="62"/>
    <x v="66"/>
    <x v="71"/>
    <x v="71"/>
    <x v="70"/>
    <x v="4"/>
    <x v="71"/>
    <x v="71"/>
    <x v="70"/>
    <x v="0"/>
    <x v="0"/>
    <x v="0"/>
    <x v="18"/>
    <x v="15"/>
    <x v="9"/>
    <x v="30"/>
    <x v="3"/>
    <x v="1"/>
    <x v="0"/>
    <x v="71"/>
  </r>
  <r>
    <x v="0"/>
    <x v="49"/>
    <x v="70"/>
    <x v="52"/>
    <x v="34"/>
    <x v="53"/>
    <x v="15"/>
    <x v="72"/>
    <x v="33"/>
    <x v="54"/>
    <x v="63"/>
    <x v="67"/>
    <x v="72"/>
    <x v="72"/>
    <x v="71"/>
    <x v="4"/>
    <x v="72"/>
    <x v="72"/>
    <x v="71"/>
    <x v="0"/>
    <x v="0"/>
    <x v="0"/>
    <x v="27"/>
    <x v="8"/>
    <x v="13"/>
    <x v="31"/>
    <x v="1"/>
    <x v="1"/>
    <x v="0"/>
    <x v="72"/>
  </r>
  <r>
    <x v="0"/>
    <x v="50"/>
    <x v="71"/>
    <x v="32"/>
    <x v="35"/>
    <x v="54"/>
    <x v="14"/>
    <x v="73"/>
    <x v="34"/>
    <x v="14"/>
    <x v="64"/>
    <x v="68"/>
    <x v="73"/>
    <x v="73"/>
    <x v="72"/>
    <x v="8"/>
    <x v="73"/>
    <x v="73"/>
    <x v="72"/>
    <x v="0"/>
    <x v="0"/>
    <x v="0"/>
    <x v="26"/>
    <x v="6"/>
    <x v="49"/>
    <x v="8"/>
    <x v="1"/>
    <x v="22"/>
    <x v="0"/>
    <x v="73"/>
  </r>
  <r>
    <x v="0"/>
    <x v="51"/>
    <x v="72"/>
    <x v="45"/>
    <x v="36"/>
    <x v="55"/>
    <x v="38"/>
    <x v="74"/>
    <x v="35"/>
    <x v="55"/>
    <x v="65"/>
    <x v="69"/>
    <x v="74"/>
    <x v="74"/>
    <x v="73"/>
    <x v="0"/>
    <x v="74"/>
    <x v="74"/>
    <x v="73"/>
    <x v="0"/>
    <x v="0"/>
    <x v="2"/>
    <x v="26"/>
    <x v="1"/>
    <x v="6"/>
    <x v="28"/>
    <x v="1"/>
    <x v="43"/>
    <x v="0"/>
    <x v="74"/>
  </r>
  <r>
    <x v="0"/>
    <x v="52"/>
    <x v="73"/>
    <x v="18"/>
    <x v="37"/>
    <x v="56"/>
    <x v="14"/>
    <x v="75"/>
    <x v="5"/>
    <x v="56"/>
    <x v="66"/>
    <x v="70"/>
    <x v="75"/>
    <x v="75"/>
    <x v="74"/>
    <x v="1"/>
    <x v="75"/>
    <x v="75"/>
    <x v="74"/>
    <x v="0"/>
    <x v="0"/>
    <x v="0"/>
    <x v="25"/>
    <x v="11"/>
    <x v="50"/>
    <x v="0"/>
    <x v="1"/>
    <x v="44"/>
    <x v="0"/>
    <x v="75"/>
  </r>
  <r>
    <x v="0"/>
    <x v="53"/>
    <x v="74"/>
    <x v="53"/>
    <x v="38"/>
    <x v="57"/>
    <x v="39"/>
    <x v="76"/>
    <x v="18"/>
    <x v="57"/>
    <x v="67"/>
    <x v="71"/>
    <x v="76"/>
    <x v="76"/>
    <x v="75"/>
    <x v="0"/>
    <x v="76"/>
    <x v="76"/>
    <x v="75"/>
    <x v="0"/>
    <x v="0"/>
    <x v="0"/>
    <x v="26"/>
    <x v="16"/>
    <x v="51"/>
    <x v="9"/>
    <x v="3"/>
    <x v="1"/>
    <x v="0"/>
    <x v="76"/>
  </r>
  <r>
    <x v="0"/>
    <x v="54"/>
    <x v="75"/>
    <x v="34"/>
    <x v="39"/>
    <x v="58"/>
    <x v="29"/>
    <x v="77"/>
    <x v="18"/>
    <x v="58"/>
    <x v="68"/>
    <x v="72"/>
    <x v="77"/>
    <x v="77"/>
    <x v="76"/>
    <x v="2"/>
    <x v="77"/>
    <x v="77"/>
    <x v="76"/>
    <x v="0"/>
    <x v="0"/>
    <x v="0"/>
    <x v="26"/>
    <x v="0"/>
    <x v="12"/>
    <x v="27"/>
    <x v="1"/>
    <x v="1"/>
    <x v="0"/>
    <x v="77"/>
  </r>
  <r>
    <x v="0"/>
    <x v="45"/>
    <x v="76"/>
    <x v="54"/>
    <x v="0"/>
    <x v="59"/>
    <x v="0"/>
    <x v="78"/>
    <x v="36"/>
    <x v="52"/>
    <x v="69"/>
    <x v="73"/>
    <x v="78"/>
    <x v="78"/>
    <x v="77"/>
    <x v="1"/>
    <x v="78"/>
    <x v="78"/>
    <x v="77"/>
    <x v="0"/>
    <x v="0"/>
    <x v="2"/>
    <x v="26"/>
    <x v="2"/>
    <x v="52"/>
    <x v="24"/>
    <x v="3"/>
    <x v="6"/>
    <x v="0"/>
    <x v="78"/>
  </r>
  <r>
    <x v="0"/>
    <x v="47"/>
    <x v="77"/>
    <x v="11"/>
    <x v="32"/>
    <x v="60"/>
    <x v="32"/>
    <x v="79"/>
    <x v="37"/>
    <x v="59"/>
    <x v="70"/>
    <x v="74"/>
    <x v="79"/>
    <x v="79"/>
    <x v="78"/>
    <x v="0"/>
    <x v="79"/>
    <x v="79"/>
    <x v="78"/>
    <x v="0"/>
    <x v="1"/>
    <x v="2"/>
    <x v="26"/>
    <x v="6"/>
    <x v="44"/>
    <x v="6"/>
    <x v="3"/>
    <x v="14"/>
    <x v="0"/>
    <x v="79"/>
  </r>
  <r>
    <x v="0"/>
    <x v="47"/>
    <x v="42"/>
    <x v="23"/>
    <x v="32"/>
    <x v="6"/>
    <x v="20"/>
    <x v="80"/>
    <x v="5"/>
    <x v="21"/>
    <x v="24"/>
    <x v="64"/>
    <x v="80"/>
    <x v="80"/>
    <x v="79"/>
    <x v="2"/>
    <x v="80"/>
    <x v="80"/>
    <x v="79"/>
    <x v="0"/>
    <x v="0"/>
    <x v="0"/>
    <x v="9"/>
    <x v="5"/>
    <x v="21"/>
    <x v="15"/>
    <x v="1"/>
    <x v="45"/>
    <x v="0"/>
    <x v="80"/>
  </r>
  <r>
    <x v="0"/>
    <x v="55"/>
    <x v="78"/>
    <x v="5"/>
    <x v="40"/>
    <x v="21"/>
    <x v="8"/>
    <x v="81"/>
    <x v="38"/>
    <x v="8"/>
    <x v="71"/>
    <x v="75"/>
    <x v="81"/>
    <x v="81"/>
    <x v="80"/>
    <x v="0"/>
    <x v="81"/>
    <x v="81"/>
    <x v="80"/>
    <x v="0"/>
    <x v="0"/>
    <x v="0"/>
    <x v="18"/>
    <x v="3"/>
    <x v="53"/>
    <x v="9"/>
    <x v="1"/>
    <x v="46"/>
    <x v="0"/>
    <x v="81"/>
  </r>
  <r>
    <x v="0"/>
    <x v="56"/>
    <x v="79"/>
    <x v="55"/>
    <x v="41"/>
    <x v="61"/>
    <x v="2"/>
    <x v="82"/>
    <x v="39"/>
    <x v="60"/>
    <x v="72"/>
    <x v="76"/>
    <x v="82"/>
    <x v="82"/>
    <x v="81"/>
    <x v="4"/>
    <x v="82"/>
    <x v="82"/>
    <x v="81"/>
    <x v="0"/>
    <x v="0"/>
    <x v="2"/>
    <x v="14"/>
    <x v="11"/>
    <x v="12"/>
    <x v="15"/>
    <x v="1"/>
    <x v="47"/>
    <x v="0"/>
    <x v="82"/>
  </r>
  <r>
    <x v="0"/>
    <x v="57"/>
    <x v="80"/>
    <x v="29"/>
    <x v="42"/>
    <x v="62"/>
    <x v="14"/>
    <x v="83"/>
    <x v="40"/>
    <x v="61"/>
    <x v="26"/>
    <x v="77"/>
    <x v="83"/>
    <x v="83"/>
    <x v="82"/>
    <x v="0"/>
    <x v="83"/>
    <x v="83"/>
    <x v="82"/>
    <x v="0"/>
    <x v="0"/>
    <x v="0"/>
    <x v="18"/>
    <x v="11"/>
    <x v="12"/>
    <x v="32"/>
    <x v="3"/>
    <x v="48"/>
    <x v="0"/>
    <x v="83"/>
  </r>
  <r>
    <x v="0"/>
    <x v="58"/>
    <x v="81"/>
    <x v="56"/>
    <x v="43"/>
    <x v="63"/>
    <x v="40"/>
    <x v="4"/>
    <x v="41"/>
    <x v="62"/>
    <x v="73"/>
    <x v="78"/>
    <x v="84"/>
    <x v="84"/>
    <x v="83"/>
    <x v="3"/>
    <x v="84"/>
    <x v="84"/>
    <x v="83"/>
    <x v="0"/>
    <x v="6"/>
    <x v="4"/>
    <x v="4"/>
    <x v="2"/>
    <x v="54"/>
    <x v="33"/>
    <x v="2"/>
    <x v="49"/>
    <x v="0"/>
    <x v="84"/>
  </r>
  <r>
    <x v="0"/>
    <x v="59"/>
    <x v="82"/>
    <x v="57"/>
    <x v="44"/>
    <x v="64"/>
    <x v="11"/>
    <x v="84"/>
    <x v="38"/>
    <x v="63"/>
    <x v="74"/>
    <x v="79"/>
    <x v="85"/>
    <x v="85"/>
    <x v="84"/>
    <x v="4"/>
    <x v="85"/>
    <x v="85"/>
    <x v="84"/>
    <x v="0"/>
    <x v="0"/>
    <x v="0"/>
    <x v="26"/>
    <x v="9"/>
    <x v="30"/>
    <x v="22"/>
    <x v="1"/>
    <x v="50"/>
    <x v="0"/>
    <x v="85"/>
  </r>
  <r>
    <x v="0"/>
    <x v="20"/>
    <x v="83"/>
    <x v="16"/>
    <x v="13"/>
    <x v="10"/>
    <x v="32"/>
    <x v="85"/>
    <x v="5"/>
    <x v="59"/>
    <x v="75"/>
    <x v="80"/>
    <x v="86"/>
    <x v="86"/>
    <x v="85"/>
    <x v="1"/>
    <x v="86"/>
    <x v="86"/>
    <x v="85"/>
    <x v="0"/>
    <x v="0"/>
    <x v="0"/>
    <x v="18"/>
    <x v="11"/>
    <x v="6"/>
    <x v="6"/>
    <x v="1"/>
    <x v="51"/>
    <x v="0"/>
    <x v="86"/>
  </r>
  <r>
    <x v="0"/>
    <x v="60"/>
    <x v="84"/>
    <x v="41"/>
    <x v="45"/>
    <x v="65"/>
    <x v="41"/>
    <x v="86"/>
    <x v="21"/>
    <x v="64"/>
    <x v="76"/>
    <x v="81"/>
    <x v="87"/>
    <x v="87"/>
    <x v="86"/>
    <x v="4"/>
    <x v="87"/>
    <x v="87"/>
    <x v="86"/>
    <x v="0"/>
    <x v="0"/>
    <x v="2"/>
    <x v="28"/>
    <x v="5"/>
    <x v="55"/>
    <x v="21"/>
    <x v="1"/>
    <x v="1"/>
    <x v="0"/>
    <x v="87"/>
  </r>
  <r>
    <x v="0"/>
    <x v="61"/>
    <x v="85"/>
    <x v="29"/>
    <x v="46"/>
    <x v="66"/>
    <x v="35"/>
    <x v="87"/>
    <x v="42"/>
    <x v="65"/>
    <x v="77"/>
    <x v="82"/>
    <x v="88"/>
    <x v="88"/>
    <x v="87"/>
    <x v="4"/>
    <x v="88"/>
    <x v="88"/>
    <x v="87"/>
    <x v="0"/>
    <x v="0"/>
    <x v="2"/>
    <x v="19"/>
    <x v="2"/>
    <x v="56"/>
    <x v="12"/>
    <x v="5"/>
    <x v="40"/>
    <x v="0"/>
    <x v="88"/>
  </r>
  <r>
    <x v="0"/>
    <x v="62"/>
    <x v="60"/>
    <x v="58"/>
    <x v="47"/>
    <x v="67"/>
    <x v="42"/>
    <x v="88"/>
    <x v="43"/>
    <x v="66"/>
    <x v="78"/>
    <x v="83"/>
    <x v="89"/>
    <x v="89"/>
    <x v="88"/>
    <x v="0"/>
    <x v="89"/>
    <x v="89"/>
    <x v="88"/>
    <x v="0"/>
    <x v="0"/>
    <x v="2"/>
    <x v="28"/>
    <x v="11"/>
    <x v="57"/>
    <x v="0"/>
    <x v="6"/>
    <x v="25"/>
    <x v="0"/>
    <x v="89"/>
  </r>
  <r>
    <x v="0"/>
    <x v="63"/>
    <x v="28"/>
    <x v="59"/>
    <x v="48"/>
    <x v="68"/>
    <x v="43"/>
    <x v="89"/>
    <x v="44"/>
    <x v="67"/>
    <x v="79"/>
    <x v="84"/>
    <x v="90"/>
    <x v="90"/>
    <x v="89"/>
    <x v="1"/>
    <x v="90"/>
    <x v="90"/>
    <x v="55"/>
    <x v="0"/>
    <x v="0"/>
    <x v="2"/>
    <x v="28"/>
    <x v="3"/>
    <x v="58"/>
    <x v="6"/>
    <x v="1"/>
    <x v="13"/>
    <x v="0"/>
    <x v="90"/>
  </r>
  <r>
    <x v="0"/>
    <x v="43"/>
    <x v="86"/>
    <x v="7"/>
    <x v="0"/>
    <x v="69"/>
    <x v="10"/>
    <x v="90"/>
    <x v="45"/>
    <x v="33"/>
    <x v="80"/>
    <x v="85"/>
    <x v="91"/>
    <x v="91"/>
    <x v="90"/>
    <x v="0"/>
    <x v="91"/>
    <x v="91"/>
    <x v="89"/>
    <x v="0"/>
    <x v="0"/>
    <x v="3"/>
    <x v="28"/>
    <x v="14"/>
    <x v="59"/>
    <x v="4"/>
    <x v="1"/>
    <x v="7"/>
    <x v="0"/>
    <x v="91"/>
  </r>
  <r>
    <x v="0"/>
    <x v="42"/>
    <x v="87"/>
    <x v="60"/>
    <x v="30"/>
    <x v="70"/>
    <x v="44"/>
    <x v="91"/>
    <x v="5"/>
    <x v="68"/>
    <x v="81"/>
    <x v="86"/>
    <x v="92"/>
    <x v="92"/>
    <x v="91"/>
    <x v="0"/>
    <x v="92"/>
    <x v="92"/>
    <x v="90"/>
    <x v="0"/>
    <x v="0"/>
    <x v="0"/>
    <x v="28"/>
    <x v="6"/>
    <x v="60"/>
    <x v="34"/>
    <x v="1"/>
    <x v="52"/>
    <x v="0"/>
    <x v="92"/>
  </r>
  <r>
    <x v="0"/>
    <x v="64"/>
    <x v="88"/>
    <x v="42"/>
    <x v="49"/>
    <x v="71"/>
    <x v="11"/>
    <x v="92"/>
    <x v="45"/>
    <x v="69"/>
    <x v="82"/>
    <x v="87"/>
    <x v="93"/>
    <x v="93"/>
    <x v="92"/>
    <x v="0"/>
    <x v="93"/>
    <x v="93"/>
    <x v="91"/>
    <x v="0"/>
    <x v="0"/>
    <x v="2"/>
    <x v="28"/>
    <x v="5"/>
    <x v="61"/>
    <x v="17"/>
    <x v="1"/>
    <x v="0"/>
    <x v="0"/>
    <x v="93"/>
  </r>
  <r>
    <x v="0"/>
    <x v="65"/>
    <x v="89"/>
    <x v="56"/>
    <x v="50"/>
    <x v="72"/>
    <x v="45"/>
    <x v="93"/>
    <x v="46"/>
    <x v="70"/>
    <x v="83"/>
    <x v="88"/>
    <x v="94"/>
    <x v="94"/>
    <x v="93"/>
    <x v="0"/>
    <x v="94"/>
    <x v="94"/>
    <x v="92"/>
    <x v="0"/>
    <x v="0"/>
    <x v="4"/>
    <x v="9"/>
    <x v="17"/>
    <x v="62"/>
    <x v="21"/>
    <x v="1"/>
    <x v="1"/>
    <x v="0"/>
    <x v="94"/>
  </r>
  <r>
    <x v="0"/>
    <x v="66"/>
    <x v="90"/>
    <x v="61"/>
    <x v="51"/>
    <x v="23"/>
    <x v="21"/>
    <x v="94"/>
    <x v="5"/>
    <x v="71"/>
    <x v="84"/>
    <x v="89"/>
    <x v="95"/>
    <x v="95"/>
    <x v="94"/>
    <x v="3"/>
    <x v="95"/>
    <x v="95"/>
    <x v="93"/>
    <x v="0"/>
    <x v="0"/>
    <x v="0"/>
    <x v="18"/>
    <x v="11"/>
    <x v="20"/>
    <x v="14"/>
    <x v="1"/>
    <x v="53"/>
    <x v="0"/>
    <x v="95"/>
  </r>
  <r>
    <x v="0"/>
    <x v="3"/>
    <x v="91"/>
    <x v="1"/>
    <x v="2"/>
    <x v="73"/>
    <x v="2"/>
    <x v="95"/>
    <x v="47"/>
    <x v="72"/>
    <x v="85"/>
    <x v="90"/>
    <x v="96"/>
    <x v="96"/>
    <x v="95"/>
    <x v="1"/>
    <x v="96"/>
    <x v="96"/>
    <x v="94"/>
    <x v="0"/>
    <x v="0"/>
    <x v="0"/>
    <x v="28"/>
    <x v="11"/>
    <x v="6"/>
    <x v="35"/>
    <x v="1"/>
    <x v="54"/>
    <x v="0"/>
    <x v="96"/>
  </r>
  <r>
    <x v="0"/>
    <x v="3"/>
    <x v="92"/>
    <x v="2"/>
    <x v="2"/>
    <x v="3"/>
    <x v="19"/>
    <x v="96"/>
    <x v="18"/>
    <x v="20"/>
    <x v="86"/>
    <x v="3"/>
    <x v="97"/>
    <x v="97"/>
    <x v="96"/>
    <x v="0"/>
    <x v="97"/>
    <x v="97"/>
    <x v="95"/>
    <x v="0"/>
    <x v="0"/>
    <x v="0"/>
    <x v="29"/>
    <x v="5"/>
    <x v="63"/>
    <x v="36"/>
    <x v="1"/>
    <x v="55"/>
    <x v="0"/>
    <x v="97"/>
  </r>
  <r>
    <x v="0"/>
    <x v="67"/>
    <x v="93"/>
    <x v="60"/>
    <x v="52"/>
    <x v="74"/>
    <x v="46"/>
    <x v="4"/>
    <x v="48"/>
    <x v="73"/>
    <x v="87"/>
    <x v="91"/>
    <x v="98"/>
    <x v="98"/>
    <x v="97"/>
    <x v="0"/>
    <x v="98"/>
    <x v="98"/>
    <x v="96"/>
    <x v="2"/>
    <x v="7"/>
    <x v="1"/>
    <x v="4"/>
    <x v="6"/>
    <x v="64"/>
    <x v="17"/>
    <x v="1"/>
    <x v="1"/>
    <x v="0"/>
    <x v="98"/>
  </r>
  <r>
    <x v="0"/>
    <x v="16"/>
    <x v="64"/>
    <x v="62"/>
    <x v="0"/>
    <x v="16"/>
    <x v="15"/>
    <x v="97"/>
    <x v="13"/>
    <x v="15"/>
    <x v="18"/>
    <x v="18"/>
    <x v="99"/>
    <x v="99"/>
    <x v="20"/>
    <x v="9"/>
    <x v="99"/>
    <x v="99"/>
    <x v="97"/>
    <x v="0"/>
    <x v="0"/>
    <x v="0"/>
    <x v="14"/>
    <x v="3"/>
    <x v="16"/>
    <x v="0"/>
    <x v="1"/>
    <x v="56"/>
    <x v="0"/>
    <x v="99"/>
  </r>
  <r>
    <x v="0"/>
    <x v="49"/>
    <x v="94"/>
    <x v="11"/>
    <x v="34"/>
    <x v="6"/>
    <x v="29"/>
    <x v="98"/>
    <x v="23"/>
    <x v="74"/>
    <x v="84"/>
    <x v="92"/>
    <x v="100"/>
    <x v="100"/>
    <x v="98"/>
    <x v="4"/>
    <x v="100"/>
    <x v="100"/>
    <x v="98"/>
    <x v="0"/>
    <x v="0"/>
    <x v="0"/>
    <x v="30"/>
    <x v="18"/>
    <x v="20"/>
    <x v="10"/>
    <x v="1"/>
    <x v="57"/>
    <x v="0"/>
    <x v="100"/>
  </r>
  <r>
    <x v="0"/>
    <x v="68"/>
    <x v="95"/>
    <x v="63"/>
    <x v="53"/>
    <x v="39"/>
    <x v="2"/>
    <x v="99"/>
    <x v="49"/>
    <x v="75"/>
    <x v="88"/>
    <x v="93"/>
    <x v="101"/>
    <x v="101"/>
    <x v="99"/>
    <x v="4"/>
    <x v="101"/>
    <x v="101"/>
    <x v="99"/>
    <x v="0"/>
    <x v="0"/>
    <x v="0"/>
    <x v="16"/>
    <x v="8"/>
    <x v="30"/>
    <x v="6"/>
    <x v="1"/>
    <x v="33"/>
    <x v="0"/>
    <x v="101"/>
  </r>
  <r>
    <x v="0"/>
    <x v="69"/>
    <x v="96"/>
    <x v="5"/>
    <x v="54"/>
    <x v="1"/>
    <x v="31"/>
    <x v="100"/>
    <x v="5"/>
    <x v="37"/>
    <x v="56"/>
    <x v="94"/>
    <x v="102"/>
    <x v="102"/>
    <x v="100"/>
    <x v="3"/>
    <x v="102"/>
    <x v="102"/>
    <x v="100"/>
    <x v="0"/>
    <x v="0"/>
    <x v="0"/>
    <x v="29"/>
    <x v="10"/>
    <x v="44"/>
    <x v="6"/>
    <x v="1"/>
    <x v="39"/>
    <x v="0"/>
    <x v="102"/>
  </r>
  <r>
    <x v="0"/>
    <x v="70"/>
    <x v="97"/>
    <x v="64"/>
    <x v="55"/>
    <x v="33"/>
    <x v="31"/>
    <x v="101"/>
    <x v="50"/>
    <x v="37"/>
    <x v="89"/>
    <x v="95"/>
    <x v="103"/>
    <x v="103"/>
    <x v="101"/>
    <x v="1"/>
    <x v="103"/>
    <x v="103"/>
    <x v="101"/>
    <x v="0"/>
    <x v="0"/>
    <x v="0"/>
    <x v="29"/>
    <x v="2"/>
    <x v="31"/>
    <x v="4"/>
    <x v="1"/>
    <x v="58"/>
    <x v="0"/>
    <x v="103"/>
  </r>
  <r>
    <x v="0"/>
    <x v="71"/>
    <x v="98"/>
    <x v="56"/>
    <x v="56"/>
    <x v="75"/>
    <x v="25"/>
    <x v="102"/>
    <x v="11"/>
    <x v="76"/>
    <x v="90"/>
    <x v="96"/>
    <x v="104"/>
    <x v="104"/>
    <x v="102"/>
    <x v="0"/>
    <x v="104"/>
    <x v="104"/>
    <x v="102"/>
    <x v="0"/>
    <x v="0"/>
    <x v="2"/>
    <x v="16"/>
    <x v="5"/>
    <x v="65"/>
    <x v="9"/>
    <x v="1"/>
    <x v="59"/>
    <x v="0"/>
    <x v="104"/>
  </r>
  <r>
    <x v="0"/>
    <x v="72"/>
    <x v="99"/>
    <x v="42"/>
    <x v="57"/>
    <x v="76"/>
    <x v="38"/>
    <x v="103"/>
    <x v="51"/>
    <x v="55"/>
    <x v="91"/>
    <x v="97"/>
    <x v="105"/>
    <x v="105"/>
    <x v="103"/>
    <x v="0"/>
    <x v="105"/>
    <x v="105"/>
    <x v="103"/>
    <x v="0"/>
    <x v="0"/>
    <x v="0"/>
    <x v="29"/>
    <x v="7"/>
    <x v="12"/>
    <x v="23"/>
    <x v="1"/>
    <x v="1"/>
    <x v="0"/>
    <x v="105"/>
  </r>
  <r>
    <x v="0"/>
    <x v="73"/>
    <x v="82"/>
    <x v="18"/>
    <x v="58"/>
    <x v="21"/>
    <x v="1"/>
    <x v="104"/>
    <x v="15"/>
    <x v="1"/>
    <x v="29"/>
    <x v="28"/>
    <x v="106"/>
    <x v="106"/>
    <x v="104"/>
    <x v="1"/>
    <x v="106"/>
    <x v="106"/>
    <x v="104"/>
    <x v="0"/>
    <x v="0"/>
    <x v="2"/>
    <x v="18"/>
    <x v="6"/>
    <x v="23"/>
    <x v="21"/>
    <x v="3"/>
    <x v="26"/>
    <x v="0"/>
    <x v="106"/>
  </r>
  <r>
    <x v="0"/>
    <x v="74"/>
    <x v="100"/>
    <x v="41"/>
    <x v="59"/>
    <x v="77"/>
    <x v="22"/>
    <x v="105"/>
    <x v="21"/>
    <x v="77"/>
    <x v="92"/>
    <x v="98"/>
    <x v="107"/>
    <x v="107"/>
    <x v="105"/>
    <x v="4"/>
    <x v="107"/>
    <x v="107"/>
    <x v="105"/>
    <x v="0"/>
    <x v="0"/>
    <x v="2"/>
    <x v="29"/>
    <x v="1"/>
    <x v="66"/>
    <x v="9"/>
    <x v="3"/>
    <x v="1"/>
    <x v="0"/>
    <x v="107"/>
  </r>
  <r>
    <x v="0"/>
    <x v="75"/>
    <x v="101"/>
    <x v="32"/>
    <x v="0"/>
    <x v="78"/>
    <x v="22"/>
    <x v="106"/>
    <x v="1"/>
    <x v="78"/>
    <x v="93"/>
    <x v="99"/>
    <x v="108"/>
    <x v="108"/>
    <x v="106"/>
    <x v="0"/>
    <x v="108"/>
    <x v="108"/>
    <x v="106"/>
    <x v="0"/>
    <x v="0"/>
    <x v="0"/>
    <x v="29"/>
    <x v="6"/>
    <x v="67"/>
    <x v="11"/>
    <x v="1"/>
    <x v="47"/>
    <x v="0"/>
    <x v="108"/>
  </r>
  <r>
    <x v="0"/>
    <x v="76"/>
    <x v="102"/>
    <x v="51"/>
    <x v="60"/>
    <x v="10"/>
    <x v="6"/>
    <x v="107"/>
    <x v="5"/>
    <x v="6"/>
    <x v="94"/>
    <x v="100"/>
    <x v="109"/>
    <x v="109"/>
    <x v="107"/>
    <x v="4"/>
    <x v="109"/>
    <x v="109"/>
    <x v="107"/>
    <x v="0"/>
    <x v="0"/>
    <x v="0"/>
    <x v="31"/>
    <x v="2"/>
    <x v="10"/>
    <x v="4"/>
    <x v="1"/>
    <x v="29"/>
    <x v="0"/>
    <x v="109"/>
  </r>
  <r>
    <x v="0"/>
    <x v="77"/>
    <x v="103"/>
    <x v="18"/>
    <x v="61"/>
    <x v="79"/>
    <x v="47"/>
    <x v="108"/>
    <x v="15"/>
    <x v="79"/>
    <x v="95"/>
    <x v="101"/>
    <x v="110"/>
    <x v="110"/>
    <x v="108"/>
    <x v="2"/>
    <x v="110"/>
    <x v="110"/>
    <x v="108"/>
    <x v="0"/>
    <x v="0"/>
    <x v="2"/>
    <x v="31"/>
    <x v="5"/>
    <x v="68"/>
    <x v="22"/>
    <x v="0"/>
    <x v="59"/>
    <x v="0"/>
    <x v="110"/>
  </r>
  <r>
    <x v="1"/>
    <x v="27"/>
    <x v="104"/>
    <x v="65"/>
    <x v="0"/>
    <x v="80"/>
    <x v="22"/>
    <x v="109"/>
    <x v="52"/>
    <x v="80"/>
    <x v="96"/>
    <x v="102"/>
    <x v="111"/>
    <x v="111"/>
    <x v="109"/>
    <x v="0"/>
    <x v="111"/>
    <x v="111"/>
    <x v="109"/>
    <x v="0"/>
    <x v="0"/>
    <x v="0"/>
    <x v="23"/>
    <x v="18"/>
    <x v="69"/>
    <x v="9"/>
    <x v="1"/>
    <x v="1"/>
    <x v="0"/>
    <x v="111"/>
  </r>
  <r>
    <x v="0"/>
    <x v="27"/>
    <x v="63"/>
    <x v="48"/>
    <x v="0"/>
    <x v="40"/>
    <x v="48"/>
    <x v="110"/>
    <x v="5"/>
    <x v="81"/>
    <x v="97"/>
    <x v="48"/>
    <x v="112"/>
    <x v="112"/>
    <x v="110"/>
    <x v="0"/>
    <x v="112"/>
    <x v="112"/>
    <x v="110"/>
    <x v="0"/>
    <x v="0"/>
    <x v="0"/>
    <x v="16"/>
    <x v="1"/>
    <x v="70"/>
    <x v="1"/>
    <x v="1"/>
    <x v="60"/>
    <x v="0"/>
    <x v="112"/>
  </r>
  <r>
    <x v="0"/>
    <x v="78"/>
    <x v="61"/>
    <x v="66"/>
    <x v="0"/>
    <x v="60"/>
    <x v="25"/>
    <x v="111"/>
    <x v="53"/>
    <x v="82"/>
    <x v="98"/>
    <x v="103"/>
    <x v="113"/>
    <x v="113"/>
    <x v="111"/>
    <x v="3"/>
    <x v="113"/>
    <x v="113"/>
    <x v="111"/>
    <x v="0"/>
    <x v="8"/>
    <x v="4"/>
    <x v="31"/>
    <x v="14"/>
    <x v="6"/>
    <x v="34"/>
    <x v="1"/>
    <x v="1"/>
    <x v="0"/>
    <x v="113"/>
  </r>
  <r>
    <x v="0"/>
    <x v="9"/>
    <x v="105"/>
    <x v="67"/>
    <x v="6"/>
    <x v="81"/>
    <x v="20"/>
    <x v="112"/>
    <x v="8"/>
    <x v="83"/>
    <x v="9"/>
    <x v="104"/>
    <x v="114"/>
    <x v="114"/>
    <x v="112"/>
    <x v="3"/>
    <x v="114"/>
    <x v="114"/>
    <x v="112"/>
    <x v="0"/>
    <x v="1"/>
    <x v="0"/>
    <x v="16"/>
    <x v="1"/>
    <x v="6"/>
    <x v="7"/>
    <x v="1"/>
    <x v="1"/>
    <x v="0"/>
    <x v="114"/>
  </r>
  <r>
    <x v="0"/>
    <x v="36"/>
    <x v="106"/>
    <x v="68"/>
    <x v="26"/>
    <x v="9"/>
    <x v="20"/>
    <x v="113"/>
    <x v="8"/>
    <x v="83"/>
    <x v="9"/>
    <x v="9"/>
    <x v="115"/>
    <x v="115"/>
    <x v="113"/>
    <x v="1"/>
    <x v="115"/>
    <x v="115"/>
    <x v="113"/>
    <x v="0"/>
    <x v="1"/>
    <x v="0"/>
    <x v="16"/>
    <x v="12"/>
    <x v="6"/>
    <x v="32"/>
    <x v="1"/>
    <x v="1"/>
    <x v="0"/>
    <x v="115"/>
  </r>
  <r>
    <x v="0"/>
    <x v="21"/>
    <x v="107"/>
    <x v="58"/>
    <x v="14"/>
    <x v="82"/>
    <x v="14"/>
    <x v="114"/>
    <x v="54"/>
    <x v="14"/>
    <x v="99"/>
    <x v="105"/>
    <x v="116"/>
    <x v="116"/>
    <x v="114"/>
    <x v="0"/>
    <x v="116"/>
    <x v="116"/>
    <x v="114"/>
    <x v="0"/>
    <x v="0"/>
    <x v="0"/>
    <x v="16"/>
    <x v="8"/>
    <x v="71"/>
    <x v="21"/>
    <x v="1"/>
    <x v="1"/>
    <x v="0"/>
    <x v="116"/>
  </r>
  <r>
    <x v="0"/>
    <x v="70"/>
    <x v="108"/>
    <x v="27"/>
    <x v="55"/>
    <x v="83"/>
    <x v="14"/>
    <x v="115"/>
    <x v="55"/>
    <x v="14"/>
    <x v="100"/>
    <x v="106"/>
    <x v="117"/>
    <x v="117"/>
    <x v="115"/>
    <x v="0"/>
    <x v="117"/>
    <x v="117"/>
    <x v="115"/>
    <x v="0"/>
    <x v="0"/>
    <x v="0"/>
    <x v="16"/>
    <x v="1"/>
    <x v="30"/>
    <x v="13"/>
    <x v="1"/>
    <x v="59"/>
    <x v="0"/>
    <x v="117"/>
  </r>
  <r>
    <x v="0"/>
    <x v="24"/>
    <x v="109"/>
    <x v="69"/>
    <x v="17"/>
    <x v="84"/>
    <x v="1"/>
    <x v="116"/>
    <x v="56"/>
    <x v="1"/>
    <x v="61"/>
    <x v="107"/>
    <x v="118"/>
    <x v="118"/>
    <x v="116"/>
    <x v="3"/>
    <x v="118"/>
    <x v="118"/>
    <x v="116"/>
    <x v="0"/>
    <x v="0"/>
    <x v="2"/>
    <x v="16"/>
    <x v="12"/>
    <x v="48"/>
    <x v="10"/>
    <x v="3"/>
    <x v="1"/>
    <x v="0"/>
    <x v="118"/>
  </r>
  <r>
    <x v="0"/>
    <x v="61"/>
    <x v="107"/>
    <x v="70"/>
    <x v="46"/>
    <x v="85"/>
    <x v="0"/>
    <x v="117"/>
    <x v="57"/>
    <x v="84"/>
    <x v="37"/>
    <x v="108"/>
    <x v="119"/>
    <x v="119"/>
    <x v="117"/>
    <x v="0"/>
    <x v="119"/>
    <x v="119"/>
    <x v="117"/>
    <x v="0"/>
    <x v="0"/>
    <x v="3"/>
    <x v="16"/>
    <x v="1"/>
    <x v="30"/>
    <x v="25"/>
    <x v="1"/>
    <x v="7"/>
    <x v="0"/>
    <x v="119"/>
  </r>
  <r>
    <x v="0"/>
    <x v="3"/>
    <x v="110"/>
    <x v="57"/>
    <x v="2"/>
    <x v="21"/>
    <x v="29"/>
    <x v="118"/>
    <x v="9"/>
    <x v="34"/>
    <x v="101"/>
    <x v="61"/>
    <x v="120"/>
    <x v="120"/>
    <x v="118"/>
    <x v="0"/>
    <x v="120"/>
    <x v="120"/>
    <x v="118"/>
    <x v="0"/>
    <x v="0"/>
    <x v="0"/>
    <x v="16"/>
    <x v="12"/>
    <x v="20"/>
    <x v="24"/>
    <x v="1"/>
    <x v="61"/>
    <x v="0"/>
    <x v="120"/>
  </r>
  <r>
    <x v="0"/>
    <x v="79"/>
    <x v="111"/>
    <x v="71"/>
    <x v="62"/>
    <x v="86"/>
    <x v="0"/>
    <x v="119"/>
    <x v="58"/>
    <x v="85"/>
    <x v="102"/>
    <x v="109"/>
    <x v="121"/>
    <x v="121"/>
    <x v="119"/>
    <x v="0"/>
    <x v="121"/>
    <x v="121"/>
    <x v="119"/>
    <x v="0"/>
    <x v="0"/>
    <x v="2"/>
    <x v="16"/>
    <x v="8"/>
    <x v="72"/>
    <x v="10"/>
    <x v="3"/>
    <x v="1"/>
    <x v="0"/>
    <x v="121"/>
  </r>
  <r>
    <x v="0"/>
    <x v="80"/>
    <x v="112"/>
    <x v="72"/>
    <x v="63"/>
    <x v="1"/>
    <x v="49"/>
    <x v="120"/>
    <x v="56"/>
    <x v="86"/>
    <x v="103"/>
    <x v="110"/>
    <x v="122"/>
    <x v="122"/>
    <x v="120"/>
    <x v="4"/>
    <x v="122"/>
    <x v="122"/>
    <x v="120"/>
    <x v="0"/>
    <x v="0"/>
    <x v="2"/>
    <x v="16"/>
    <x v="0"/>
    <x v="13"/>
    <x v="18"/>
    <x v="1"/>
    <x v="43"/>
    <x v="0"/>
    <x v="122"/>
  </r>
  <r>
    <x v="0"/>
    <x v="81"/>
    <x v="113"/>
    <x v="73"/>
    <x v="64"/>
    <x v="10"/>
    <x v="24"/>
    <x v="121"/>
    <x v="20"/>
    <x v="25"/>
    <x v="104"/>
    <x v="111"/>
    <x v="123"/>
    <x v="123"/>
    <x v="121"/>
    <x v="0"/>
    <x v="123"/>
    <x v="123"/>
    <x v="121"/>
    <x v="0"/>
    <x v="0"/>
    <x v="0"/>
    <x v="16"/>
    <x v="0"/>
    <x v="48"/>
    <x v="10"/>
    <x v="1"/>
    <x v="1"/>
    <x v="0"/>
    <x v="123"/>
  </r>
  <r>
    <x v="0"/>
    <x v="44"/>
    <x v="114"/>
    <x v="74"/>
    <x v="0"/>
    <x v="87"/>
    <x v="50"/>
    <x v="122"/>
    <x v="46"/>
    <x v="87"/>
    <x v="105"/>
    <x v="112"/>
    <x v="124"/>
    <x v="124"/>
    <x v="122"/>
    <x v="0"/>
    <x v="124"/>
    <x v="124"/>
    <x v="122"/>
    <x v="0"/>
    <x v="5"/>
    <x v="4"/>
    <x v="16"/>
    <x v="17"/>
    <x v="73"/>
    <x v="10"/>
    <x v="1"/>
    <x v="1"/>
    <x v="0"/>
    <x v="124"/>
  </r>
  <r>
    <x v="0"/>
    <x v="82"/>
    <x v="115"/>
    <x v="58"/>
    <x v="65"/>
    <x v="88"/>
    <x v="0"/>
    <x v="123"/>
    <x v="59"/>
    <x v="88"/>
    <x v="106"/>
    <x v="113"/>
    <x v="125"/>
    <x v="125"/>
    <x v="123"/>
    <x v="0"/>
    <x v="125"/>
    <x v="125"/>
    <x v="123"/>
    <x v="0"/>
    <x v="0"/>
    <x v="2"/>
    <x v="16"/>
    <x v="9"/>
    <x v="74"/>
    <x v="32"/>
    <x v="7"/>
    <x v="12"/>
    <x v="0"/>
    <x v="125"/>
  </r>
  <r>
    <x v="0"/>
    <x v="44"/>
    <x v="101"/>
    <x v="67"/>
    <x v="0"/>
    <x v="89"/>
    <x v="51"/>
    <x v="124"/>
    <x v="46"/>
    <x v="89"/>
    <x v="107"/>
    <x v="114"/>
    <x v="126"/>
    <x v="126"/>
    <x v="124"/>
    <x v="0"/>
    <x v="126"/>
    <x v="126"/>
    <x v="124"/>
    <x v="0"/>
    <x v="0"/>
    <x v="4"/>
    <x v="16"/>
    <x v="17"/>
    <x v="75"/>
    <x v="13"/>
    <x v="1"/>
    <x v="1"/>
    <x v="0"/>
    <x v="126"/>
  </r>
  <r>
    <x v="0"/>
    <x v="76"/>
    <x v="67"/>
    <x v="52"/>
    <x v="60"/>
    <x v="90"/>
    <x v="8"/>
    <x v="125"/>
    <x v="1"/>
    <x v="8"/>
    <x v="108"/>
    <x v="115"/>
    <x v="127"/>
    <x v="127"/>
    <x v="125"/>
    <x v="3"/>
    <x v="127"/>
    <x v="127"/>
    <x v="125"/>
    <x v="0"/>
    <x v="0"/>
    <x v="0"/>
    <x v="18"/>
    <x v="9"/>
    <x v="76"/>
    <x v="1"/>
    <x v="1"/>
    <x v="62"/>
    <x v="0"/>
    <x v="127"/>
  </r>
  <r>
    <x v="0"/>
    <x v="83"/>
    <x v="116"/>
    <x v="60"/>
    <x v="66"/>
    <x v="91"/>
    <x v="3"/>
    <x v="126"/>
    <x v="18"/>
    <x v="3"/>
    <x v="99"/>
    <x v="116"/>
    <x v="128"/>
    <x v="128"/>
    <x v="126"/>
    <x v="0"/>
    <x v="128"/>
    <x v="128"/>
    <x v="126"/>
    <x v="0"/>
    <x v="5"/>
    <x v="4"/>
    <x v="16"/>
    <x v="2"/>
    <x v="71"/>
    <x v="14"/>
    <x v="1"/>
    <x v="63"/>
    <x v="0"/>
    <x v="128"/>
  </r>
  <r>
    <x v="0"/>
    <x v="84"/>
    <x v="53"/>
    <x v="75"/>
    <x v="67"/>
    <x v="92"/>
    <x v="10"/>
    <x v="127"/>
    <x v="60"/>
    <x v="33"/>
    <x v="109"/>
    <x v="117"/>
    <x v="129"/>
    <x v="129"/>
    <x v="127"/>
    <x v="4"/>
    <x v="129"/>
    <x v="129"/>
    <x v="127"/>
    <x v="0"/>
    <x v="0"/>
    <x v="0"/>
    <x v="16"/>
    <x v="0"/>
    <x v="77"/>
    <x v="10"/>
    <x v="1"/>
    <x v="1"/>
    <x v="0"/>
    <x v="129"/>
  </r>
  <r>
    <x v="0"/>
    <x v="85"/>
    <x v="27"/>
    <x v="69"/>
    <x v="0"/>
    <x v="90"/>
    <x v="8"/>
    <x v="128"/>
    <x v="1"/>
    <x v="8"/>
    <x v="108"/>
    <x v="115"/>
    <x v="130"/>
    <x v="130"/>
    <x v="128"/>
    <x v="1"/>
    <x v="130"/>
    <x v="130"/>
    <x v="5"/>
    <x v="0"/>
    <x v="0"/>
    <x v="0"/>
    <x v="16"/>
    <x v="10"/>
    <x v="76"/>
    <x v="15"/>
    <x v="1"/>
    <x v="62"/>
    <x v="0"/>
    <x v="130"/>
  </r>
  <r>
    <x v="0"/>
    <x v="86"/>
    <x v="117"/>
    <x v="45"/>
    <x v="68"/>
    <x v="93"/>
    <x v="30"/>
    <x v="129"/>
    <x v="61"/>
    <x v="53"/>
    <x v="110"/>
    <x v="118"/>
    <x v="131"/>
    <x v="131"/>
    <x v="129"/>
    <x v="0"/>
    <x v="131"/>
    <x v="131"/>
    <x v="128"/>
    <x v="0"/>
    <x v="0"/>
    <x v="2"/>
    <x v="16"/>
    <x v="8"/>
    <x v="78"/>
    <x v="8"/>
    <x v="3"/>
    <x v="1"/>
    <x v="0"/>
    <x v="131"/>
  </r>
  <r>
    <x v="0"/>
    <x v="87"/>
    <x v="118"/>
    <x v="76"/>
    <x v="69"/>
    <x v="94"/>
    <x v="52"/>
    <x v="130"/>
    <x v="62"/>
    <x v="90"/>
    <x v="111"/>
    <x v="119"/>
    <x v="132"/>
    <x v="132"/>
    <x v="130"/>
    <x v="0"/>
    <x v="132"/>
    <x v="132"/>
    <x v="129"/>
    <x v="0"/>
    <x v="0"/>
    <x v="2"/>
    <x v="16"/>
    <x v="0"/>
    <x v="79"/>
    <x v="37"/>
    <x v="1"/>
    <x v="1"/>
    <x v="0"/>
    <x v="132"/>
  </r>
  <r>
    <x v="0"/>
    <x v="88"/>
    <x v="119"/>
    <x v="77"/>
    <x v="70"/>
    <x v="95"/>
    <x v="21"/>
    <x v="131"/>
    <x v="1"/>
    <x v="22"/>
    <x v="112"/>
    <x v="120"/>
    <x v="133"/>
    <x v="133"/>
    <x v="131"/>
    <x v="0"/>
    <x v="133"/>
    <x v="133"/>
    <x v="130"/>
    <x v="0"/>
    <x v="0"/>
    <x v="0"/>
    <x v="16"/>
    <x v="3"/>
    <x v="80"/>
    <x v="27"/>
    <x v="3"/>
    <x v="64"/>
    <x v="0"/>
    <x v="133"/>
  </r>
  <r>
    <x v="0"/>
    <x v="24"/>
    <x v="120"/>
    <x v="18"/>
    <x v="17"/>
    <x v="96"/>
    <x v="1"/>
    <x v="132"/>
    <x v="63"/>
    <x v="1"/>
    <x v="113"/>
    <x v="121"/>
    <x v="134"/>
    <x v="134"/>
    <x v="132"/>
    <x v="6"/>
    <x v="134"/>
    <x v="134"/>
    <x v="131"/>
    <x v="0"/>
    <x v="0"/>
    <x v="0"/>
    <x v="32"/>
    <x v="3"/>
    <x v="53"/>
    <x v="5"/>
    <x v="3"/>
    <x v="29"/>
    <x v="0"/>
    <x v="134"/>
  </r>
  <r>
    <x v="0"/>
    <x v="89"/>
    <x v="121"/>
    <x v="22"/>
    <x v="10"/>
    <x v="97"/>
    <x v="14"/>
    <x v="133"/>
    <x v="2"/>
    <x v="56"/>
    <x v="114"/>
    <x v="122"/>
    <x v="135"/>
    <x v="135"/>
    <x v="133"/>
    <x v="0"/>
    <x v="135"/>
    <x v="135"/>
    <x v="132"/>
    <x v="0"/>
    <x v="9"/>
    <x v="0"/>
    <x v="16"/>
    <x v="2"/>
    <x v="10"/>
    <x v="38"/>
    <x v="1"/>
    <x v="65"/>
    <x v="0"/>
    <x v="135"/>
  </r>
  <r>
    <x v="0"/>
    <x v="90"/>
    <x v="122"/>
    <x v="73"/>
    <x v="71"/>
    <x v="98"/>
    <x v="25"/>
    <x v="134"/>
    <x v="64"/>
    <x v="82"/>
    <x v="115"/>
    <x v="123"/>
    <x v="136"/>
    <x v="136"/>
    <x v="134"/>
    <x v="0"/>
    <x v="136"/>
    <x v="136"/>
    <x v="57"/>
    <x v="0"/>
    <x v="0"/>
    <x v="4"/>
    <x v="16"/>
    <x v="5"/>
    <x v="81"/>
    <x v="27"/>
    <x v="3"/>
    <x v="1"/>
    <x v="0"/>
    <x v="136"/>
  </r>
  <r>
    <x v="0"/>
    <x v="9"/>
    <x v="61"/>
    <x v="47"/>
    <x v="6"/>
    <x v="48"/>
    <x v="2"/>
    <x v="63"/>
    <x v="16"/>
    <x v="2"/>
    <x v="25"/>
    <x v="58"/>
    <x v="63"/>
    <x v="63"/>
    <x v="62"/>
    <x v="4"/>
    <x v="63"/>
    <x v="63"/>
    <x v="63"/>
    <x v="0"/>
    <x v="0"/>
    <x v="0"/>
    <x v="14"/>
    <x v="6"/>
    <x v="10"/>
    <x v="4"/>
    <x v="1"/>
    <x v="5"/>
    <x v="0"/>
    <x v="137"/>
  </r>
  <r>
    <x v="0"/>
    <x v="91"/>
    <x v="123"/>
    <x v="43"/>
    <x v="38"/>
    <x v="99"/>
    <x v="35"/>
    <x v="135"/>
    <x v="29"/>
    <x v="91"/>
    <x v="116"/>
    <x v="124"/>
    <x v="137"/>
    <x v="137"/>
    <x v="135"/>
    <x v="0"/>
    <x v="137"/>
    <x v="137"/>
    <x v="133"/>
    <x v="0"/>
    <x v="0"/>
    <x v="2"/>
    <x v="16"/>
    <x v="1"/>
    <x v="82"/>
    <x v="5"/>
    <x v="3"/>
    <x v="1"/>
    <x v="0"/>
    <x v="138"/>
  </r>
  <r>
    <x v="0"/>
    <x v="92"/>
    <x v="62"/>
    <x v="78"/>
    <x v="72"/>
    <x v="100"/>
    <x v="2"/>
    <x v="136"/>
    <x v="58"/>
    <x v="60"/>
    <x v="117"/>
    <x v="125"/>
    <x v="138"/>
    <x v="138"/>
    <x v="136"/>
    <x v="0"/>
    <x v="138"/>
    <x v="138"/>
    <x v="120"/>
    <x v="0"/>
    <x v="0"/>
    <x v="2"/>
    <x v="16"/>
    <x v="10"/>
    <x v="10"/>
    <x v="11"/>
    <x v="1"/>
    <x v="35"/>
    <x v="0"/>
    <x v="139"/>
  </r>
  <r>
    <x v="0"/>
    <x v="93"/>
    <x v="89"/>
    <x v="33"/>
    <x v="0"/>
    <x v="101"/>
    <x v="0"/>
    <x v="137"/>
    <x v="11"/>
    <x v="92"/>
    <x v="118"/>
    <x v="126"/>
    <x v="139"/>
    <x v="139"/>
    <x v="137"/>
    <x v="0"/>
    <x v="139"/>
    <x v="139"/>
    <x v="134"/>
    <x v="0"/>
    <x v="0"/>
    <x v="2"/>
    <x v="16"/>
    <x v="5"/>
    <x v="83"/>
    <x v="39"/>
    <x v="1"/>
    <x v="45"/>
    <x v="0"/>
    <x v="140"/>
  </r>
  <r>
    <x v="0"/>
    <x v="34"/>
    <x v="119"/>
    <x v="23"/>
    <x v="25"/>
    <x v="82"/>
    <x v="13"/>
    <x v="138"/>
    <x v="2"/>
    <x v="93"/>
    <x v="119"/>
    <x v="105"/>
    <x v="140"/>
    <x v="140"/>
    <x v="138"/>
    <x v="0"/>
    <x v="140"/>
    <x v="140"/>
    <x v="135"/>
    <x v="0"/>
    <x v="0"/>
    <x v="0"/>
    <x v="16"/>
    <x v="7"/>
    <x v="10"/>
    <x v="8"/>
    <x v="1"/>
    <x v="1"/>
    <x v="0"/>
    <x v="141"/>
  </r>
  <r>
    <x v="0"/>
    <x v="42"/>
    <x v="124"/>
    <x v="22"/>
    <x v="30"/>
    <x v="102"/>
    <x v="30"/>
    <x v="139"/>
    <x v="65"/>
    <x v="50"/>
    <x v="120"/>
    <x v="127"/>
    <x v="141"/>
    <x v="141"/>
    <x v="139"/>
    <x v="4"/>
    <x v="141"/>
    <x v="141"/>
    <x v="136"/>
    <x v="0"/>
    <x v="0"/>
    <x v="0"/>
    <x v="16"/>
    <x v="9"/>
    <x v="84"/>
    <x v="21"/>
    <x v="1"/>
    <x v="0"/>
    <x v="0"/>
    <x v="142"/>
  </r>
  <r>
    <x v="0"/>
    <x v="94"/>
    <x v="125"/>
    <x v="76"/>
    <x v="73"/>
    <x v="103"/>
    <x v="53"/>
    <x v="140"/>
    <x v="30"/>
    <x v="94"/>
    <x v="121"/>
    <x v="128"/>
    <x v="142"/>
    <x v="142"/>
    <x v="140"/>
    <x v="0"/>
    <x v="142"/>
    <x v="142"/>
    <x v="137"/>
    <x v="0"/>
    <x v="0"/>
    <x v="2"/>
    <x v="16"/>
    <x v="10"/>
    <x v="85"/>
    <x v="28"/>
    <x v="1"/>
    <x v="1"/>
    <x v="0"/>
    <x v="143"/>
  </r>
  <r>
    <x v="0"/>
    <x v="95"/>
    <x v="126"/>
    <x v="79"/>
    <x v="74"/>
    <x v="104"/>
    <x v="24"/>
    <x v="141"/>
    <x v="29"/>
    <x v="25"/>
    <x v="23"/>
    <x v="129"/>
    <x v="143"/>
    <x v="143"/>
    <x v="141"/>
    <x v="0"/>
    <x v="143"/>
    <x v="143"/>
    <x v="138"/>
    <x v="0"/>
    <x v="1"/>
    <x v="2"/>
    <x v="33"/>
    <x v="7"/>
    <x v="20"/>
    <x v="10"/>
    <x v="3"/>
    <x v="1"/>
    <x v="0"/>
    <x v="144"/>
  </r>
  <r>
    <x v="0"/>
    <x v="96"/>
    <x v="127"/>
    <x v="70"/>
    <x v="75"/>
    <x v="105"/>
    <x v="24"/>
    <x v="142"/>
    <x v="15"/>
    <x v="25"/>
    <x v="122"/>
    <x v="130"/>
    <x v="144"/>
    <x v="144"/>
    <x v="142"/>
    <x v="2"/>
    <x v="144"/>
    <x v="144"/>
    <x v="139"/>
    <x v="0"/>
    <x v="0"/>
    <x v="2"/>
    <x v="16"/>
    <x v="2"/>
    <x v="86"/>
    <x v="27"/>
    <x v="1"/>
    <x v="4"/>
    <x v="0"/>
    <x v="145"/>
  </r>
  <r>
    <x v="0"/>
    <x v="97"/>
    <x v="128"/>
    <x v="80"/>
    <x v="59"/>
    <x v="106"/>
    <x v="22"/>
    <x v="143"/>
    <x v="44"/>
    <x v="95"/>
    <x v="123"/>
    <x v="131"/>
    <x v="145"/>
    <x v="145"/>
    <x v="143"/>
    <x v="4"/>
    <x v="145"/>
    <x v="145"/>
    <x v="140"/>
    <x v="0"/>
    <x v="0"/>
    <x v="2"/>
    <x v="27"/>
    <x v="11"/>
    <x v="30"/>
    <x v="8"/>
    <x v="3"/>
    <x v="59"/>
    <x v="0"/>
    <x v="146"/>
  </r>
  <r>
    <x v="0"/>
    <x v="72"/>
    <x v="129"/>
    <x v="81"/>
    <x v="57"/>
    <x v="107"/>
    <x v="2"/>
    <x v="144"/>
    <x v="66"/>
    <x v="75"/>
    <x v="1"/>
    <x v="132"/>
    <x v="146"/>
    <x v="146"/>
    <x v="144"/>
    <x v="4"/>
    <x v="146"/>
    <x v="146"/>
    <x v="141"/>
    <x v="0"/>
    <x v="0"/>
    <x v="4"/>
    <x v="26"/>
    <x v="14"/>
    <x v="1"/>
    <x v="13"/>
    <x v="1"/>
    <x v="1"/>
    <x v="0"/>
    <x v="147"/>
  </r>
  <r>
    <x v="0"/>
    <x v="79"/>
    <x v="130"/>
    <x v="41"/>
    <x v="62"/>
    <x v="86"/>
    <x v="54"/>
    <x v="145"/>
    <x v="29"/>
    <x v="96"/>
    <x v="124"/>
    <x v="109"/>
    <x v="147"/>
    <x v="147"/>
    <x v="145"/>
    <x v="0"/>
    <x v="147"/>
    <x v="147"/>
    <x v="142"/>
    <x v="0"/>
    <x v="0"/>
    <x v="2"/>
    <x v="27"/>
    <x v="3"/>
    <x v="87"/>
    <x v="8"/>
    <x v="3"/>
    <x v="16"/>
    <x v="0"/>
    <x v="148"/>
  </r>
  <r>
    <x v="1"/>
    <x v="98"/>
    <x v="70"/>
    <x v="82"/>
    <x v="76"/>
    <x v="108"/>
    <x v="55"/>
    <x v="146"/>
    <x v="2"/>
    <x v="97"/>
    <x v="125"/>
    <x v="133"/>
    <x v="148"/>
    <x v="148"/>
    <x v="146"/>
    <x v="0"/>
    <x v="148"/>
    <x v="148"/>
    <x v="143"/>
    <x v="0"/>
    <x v="1"/>
    <x v="0"/>
    <x v="34"/>
    <x v="19"/>
    <x v="88"/>
    <x v="9"/>
    <x v="1"/>
    <x v="1"/>
    <x v="0"/>
    <x v="149"/>
  </r>
  <r>
    <x v="0"/>
    <x v="99"/>
    <x v="131"/>
    <x v="38"/>
    <x v="77"/>
    <x v="109"/>
    <x v="56"/>
    <x v="147"/>
    <x v="67"/>
    <x v="98"/>
    <x v="126"/>
    <x v="134"/>
    <x v="149"/>
    <x v="149"/>
    <x v="147"/>
    <x v="2"/>
    <x v="149"/>
    <x v="149"/>
    <x v="144"/>
    <x v="0"/>
    <x v="0"/>
    <x v="0"/>
    <x v="35"/>
    <x v="6"/>
    <x v="89"/>
    <x v="34"/>
    <x v="1"/>
    <x v="66"/>
    <x v="0"/>
    <x v="150"/>
  </r>
  <r>
    <x v="0"/>
    <x v="27"/>
    <x v="111"/>
    <x v="9"/>
    <x v="0"/>
    <x v="110"/>
    <x v="57"/>
    <x v="148"/>
    <x v="18"/>
    <x v="99"/>
    <x v="127"/>
    <x v="135"/>
    <x v="150"/>
    <x v="150"/>
    <x v="148"/>
    <x v="0"/>
    <x v="150"/>
    <x v="150"/>
    <x v="48"/>
    <x v="0"/>
    <x v="0"/>
    <x v="0"/>
    <x v="23"/>
    <x v="20"/>
    <x v="47"/>
    <x v="4"/>
    <x v="1"/>
    <x v="59"/>
    <x v="0"/>
    <x v="151"/>
  </r>
  <r>
    <x v="0"/>
    <x v="15"/>
    <x v="132"/>
    <x v="76"/>
    <x v="10"/>
    <x v="99"/>
    <x v="14"/>
    <x v="149"/>
    <x v="68"/>
    <x v="14"/>
    <x v="128"/>
    <x v="124"/>
    <x v="151"/>
    <x v="151"/>
    <x v="149"/>
    <x v="4"/>
    <x v="151"/>
    <x v="151"/>
    <x v="145"/>
    <x v="0"/>
    <x v="0"/>
    <x v="0"/>
    <x v="23"/>
    <x v="19"/>
    <x v="13"/>
    <x v="9"/>
    <x v="3"/>
    <x v="43"/>
    <x v="0"/>
    <x v="152"/>
  </r>
  <r>
    <x v="0"/>
    <x v="43"/>
    <x v="133"/>
    <x v="69"/>
    <x v="0"/>
    <x v="111"/>
    <x v="11"/>
    <x v="150"/>
    <x v="69"/>
    <x v="49"/>
    <x v="129"/>
    <x v="136"/>
    <x v="152"/>
    <x v="152"/>
    <x v="150"/>
    <x v="1"/>
    <x v="152"/>
    <x v="152"/>
    <x v="146"/>
    <x v="0"/>
    <x v="0"/>
    <x v="0"/>
    <x v="16"/>
    <x v="1"/>
    <x v="47"/>
    <x v="22"/>
    <x v="1"/>
    <x v="67"/>
    <x v="0"/>
    <x v="153"/>
  </r>
  <r>
    <x v="0"/>
    <x v="100"/>
    <x v="134"/>
    <x v="54"/>
    <x v="78"/>
    <x v="112"/>
    <x v="6"/>
    <x v="151"/>
    <x v="58"/>
    <x v="6"/>
    <x v="98"/>
    <x v="137"/>
    <x v="153"/>
    <x v="153"/>
    <x v="151"/>
    <x v="0"/>
    <x v="153"/>
    <x v="153"/>
    <x v="147"/>
    <x v="0"/>
    <x v="0"/>
    <x v="2"/>
    <x v="27"/>
    <x v="6"/>
    <x v="6"/>
    <x v="13"/>
    <x v="1"/>
    <x v="4"/>
    <x v="0"/>
    <x v="154"/>
  </r>
  <r>
    <x v="0"/>
    <x v="61"/>
    <x v="135"/>
    <x v="82"/>
    <x v="46"/>
    <x v="113"/>
    <x v="14"/>
    <x v="152"/>
    <x v="2"/>
    <x v="56"/>
    <x v="114"/>
    <x v="138"/>
    <x v="154"/>
    <x v="154"/>
    <x v="152"/>
    <x v="3"/>
    <x v="154"/>
    <x v="154"/>
    <x v="148"/>
    <x v="0"/>
    <x v="0"/>
    <x v="0"/>
    <x v="27"/>
    <x v="10"/>
    <x v="10"/>
    <x v="38"/>
    <x v="1"/>
    <x v="50"/>
    <x v="0"/>
    <x v="155"/>
  </r>
  <r>
    <x v="0"/>
    <x v="101"/>
    <x v="127"/>
    <x v="55"/>
    <x v="79"/>
    <x v="2"/>
    <x v="24"/>
    <x v="153"/>
    <x v="45"/>
    <x v="25"/>
    <x v="130"/>
    <x v="139"/>
    <x v="155"/>
    <x v="155"/>
    <x v="153"/>
    <x v="0"/>
    <x v="155"/>
    <x v="155"/>
    <x v="149"/>
    <x v="0"/>
    <x v="0"/>
    <x v="2"/>
    <x v="27"/>
    <x v="3"/>
    <x v="90"/>
    <x v="11"/>
    <x v="3"/>
    <x v="68"/>
    <x v="0"/>
    <x v="156"/>
  </r>
  <r>
    <x v="0"/>
    <x v="102"/>
    <x v="126"/>
    <x v="78"/>
    <x v="80"/>
    <x v="87"/>
    <x v="58"/>
    <x v="154"/>
    <x v="70"/>
    <x v="100"/>
    <x v="131"/>
    <x v="140"/>
    <x v="156"/>
    <x v="156"/>
    <x v="154"/>
    <x v="1"/>
    <x v="156"/>
    <x v="156"/>
    <x v="150"/>
    <x v="0"/>
    <x v="0"/>
    <x v="0"/>
    <x v="32"/>
    <x v="12"/>
    <x v="91"/>
    <x v="9"/>
    <x v="1"/>
    <x v="43"/>
    <x v="0"/>
    <x v="157"/>
  </r>
  <r>
    <x v="0"/>
    <x v="103"/>
    <x v="136"/>
    <x v="39"/>
    <x v="81"/>
    <x v="114"/>
    <x v="14"/>
    <x v="155"/>
    <x v="71"/>
    <x v="56"/>
    <x v="132"/>
    <x v="141"/>
    <x v="157"/>
    <x v="157"/>
    <x v="155"/>
    <x v="1"/>
    <x v="157"/>
    <x v="157"/>
    <x v="151"/>
    <x v="0"/>
    <x v="0"/>
    <x v="4"/>
    <x v="23"/>
    <x v="17"/>
    <x v="27"/>
    <x v="16"/>
    <x v="1"/>
    <x v="1"/>
    <x v="0"/>
    <x v="158"/>
  </r>
  <r>
    <x v="0"/>
    <x v="18"/>
    <x v="137"/>
    <x v="13"/>
    <x v="0"/>
    <x v="13"/>
    <x v="29"/>
    <x v="156"/>
    <x v="72"/>
    <x v="34"/>
    <x v="133"/>
    <x v="142"/>
    <x v="158"/>
    <x v="158"/>
    <x v="156"/>
    <x v="0"/>
    <x v="158"/>
    <x v="158"/>
    <x v="45"/>
    <x v="0"/>
    <x v="1"/>
    <x v="0"/>
    <x v="23"/>
    <x v="11"/>
    <x v="92"/>
    <x v="9"/>
    <x v="1"/>
    <x v="69"/>
    <x v="0"/>
    <x v="159"/>
  </r>
  <r>
    <x v="0"/>
    <x v="34"/>
    <x v="138"/>
    <x v="46"/>
    <x v="25"/>
    <x v="115"/>
    <x v="8"/>
    <x v="157"/>
    <x v="5"/>
    <x v="8"/>
    <x v="134"/>
    <x v="143"/>
    <x v="159"/>
    <x v="159"/>
    <x v="157"/>
    <x v="0"/>
    <x v="159"/>
    <x v="159"/>
    <x v="152"/>
    <x v="0"/>
    <x v="0"/>
    <x v="0"/>
    <x v="16"/>
    <x v="0"/>
    <x v="47"/>
    <x v="25"/>
    <x v="1"/>
    <x v="64"/>
    <x v="0"/>
    <x v="160"/>
  </r>
  <r>
    <x v="0"/>
    <x v="6"/>
    <x v="139"/>
    <x v="61"/>
    <x v="0"/>
    <x v="6"/>
    <x v="6"/>
    <x v="158"/>
    <x v="19"/>
    <x v="6"/>
    <x v="6"/>
    <x v="6"/>
    <x v="160"/>
    <x v="160"/>
    <x v="158"/>
    <x v="0"/>
    <x v="160"/>
    <x v="160"/>
    <x v="153"/>
    <x v="0"/>
    <x v="0"/>
    <x v="0"/>
    <x v="36"/>
    <x v="19"/>
    <x v="6"/>
    <x v="11"/>
    <x v="3"/>
    <x v="9"/>
    <x v="0"/>
    <x v="161"/>
  </r>
  <r>
    <x v="0"/>
    <x v="64"/>
    <x v="140"/>
    <x v="58"/>
    <x v="49"/>
    <x v="116"/>
    <x v="11"/>
    <x v="159"/>
    <x v="73"/>
    <x v="69"/>
    <x v="135"/>
    <x v="144"/>
    <x v="161"/>
    <x v="161"/>
    <x v="159"/>
    <x v="7"/>
    <x v="161"/>
    <x v="161"/>
    <x v="154"/>
    <x v="0"/>
    <x v="0"/>
    <x v="2"/>
    <x v="27"/>
    <x v="11"/>
    <x v="13"/>
    <x v="0"/>
    <x v="1"/>
    <x v="34"/>
    <x v="0"/>
    <x v="162"/>
  </r>
  <r>
    <x v="0"/>
    <x v="104"/>
    <x v="141"/>
    <x v="51"/>
    <x v="82"/>
    <x v="7"/>
    <x v="11"/>
    <x v="160"/>
    <x v="1"/>
    <x v="69"/>
    <x v="136"/>
    <x v="145"/>
    <x v="162"/>
    <x v="162"/>
    <x v="160"/>
    <x v="2"/>
    <x v="162"/>
    <x v="162"/>
    <x v="155"/>
    <x v="0"/>
    <x v="0"/>
    <x v="0"/>
    <x v="23"/>
    <x v="6"/>
    <x v="93"/>
    <x v="34"/>
    <x v="1"/>
    <x v="4"/>
    <x v="0"/>
    <x v="163"/>
  </r>
  <r>
    <x v="0"/>
    <x v="49"/>
    <x v="118"/>
    <x v="61"/>
    <x v="34"/>
    <x v="117"/>
    <x v="59"/>
    <x v="161"/>
    <x v="18"/>
    <x v="101"/>
    <x v="137"/>
    <x v="146"/>
    <x v="163"/>
    <x v="163"/>
    <x v="161"/>
    <x v="0"/>
    <x v="163"/>
    <x v="163"/>
    <x v="156"/>
    <x v="0"/>
    <x v="0"/>
    <x v="0"/>
    <x v="37"/>
    <x v="12"/>
    <x v="94"/>
    <x v="40"/>
    <x v="1"/>
    <x v="1"/>
    <x v="0"/>
    <x v="164"/>
  </r>
  <r>
    <x v="0"/>
    <x v="10"/>
    <x v="19"/>
    <x v="83"/>
    <x v="0"/>
    <x v="118"/>
    <x v="60"/>
    <x v="162"/>
    <x v="74"/>
    <x v="102"/>
    <x v="138"/>
    <x v="147"/>
    <x v="164"/>
    <x v="164"/>
    <x v="162"/>
    <x v="1"/>
    <x v="164"/>
    <x v="164"/>
    <x v="157"/>
    <x v="0"/>
    <x v="0"/>
    <x v="4"/>
    <x v="38"/>
    <x v="0"/>
    <x v="77"/>
    <x v="16"/>
    <x v="1"/>
    <x v="45"/>
    <x v="0"/>
    <x v="165"/>
  </r>
  <r>
    <x v="0"/>
    <x v="105"/>
    <x v="142"/>
    <x v="46"/>
    <x v="83"/>
    <x v="119"/>
    <x v="15"/>
    <x v="163"/>
    <x v="23"/>
    <x v="54"/>
    <x v="139"/>
    <x v="148"/>
    <x v="165"/>
    <x v="165"/>
    <x v="163"/>
    <x v="4"/>
    <x v="165"/>
    <x v="165"/>
    <x v="158"/>
    <x v="0"/>
    <x v="0"/>
    <x v="4"/>
    <x v="23"/>
    <x v="20"/>
    <x v="24"/>
    <x v="4"/>
    <x v="1"/>
    <x v="1"/>
    <x v="0"/>
    <x v="166"/>
  </r>
  <r>
    <x v="0"/>
    <x v="106"/>
    <x v="143"/>
    <x v="67"/>
    <x v="0"/>
    <x v="120"/>
    <x v="59"/>
    <x v="164"/>
    <x v="46"/>
    <x v="103"/>
    <x v="140"/>
    <x v="149"/>
    <x v="166"/>
    <x v="166"/>
    <x v="164"/>
    <x v="0"/>
    <x v="166"/>
    <x v="166"/>
    <x v="159"/>
    <x v="0"/>
    <x v="0"/>
    <x v="0"/>
    <x v="39"/>
    <x v="17"/>
    <x v="95"/>
    <x v="20"/>
    <x v="3"/>
    <x v="1"/>
    <x v="0"/>
    <x v="167"/>
  </r>
  <r>
    <x v="0"/>
    <x v="107"/>
    <x v="144"/>
    <x v="40"/>
    <x v="84"/>
    <x v="121"/>
    <x v="30"/>
    <x v="165"/>
    <x v="18"/>
    <x v="50"/>
    <x v="141"/>
    <x v="150"/>
    <x v="167"/>
    <x v="167"/>
    <x v="165"/>
    <x v="5"/>
    <x v="167"/>
    <x v="167"/>
    <x v="160"/>
    <x v="0"/>
    <x v="0"/>
    <x v="0"/>
    <x v="38"/>
    <x v="9"/>
    <x v="47"/>
    <x v="27"/>
    <x v="1"/>
    <x v="42"/>
    <x v="0"/>
    <x v="168"/>
  </r>
  <r>
    <x v="0"/>
    <x v="108"/>
    <x v="145"/>
    <x v="23"/>
    <x v="74"/>
    <x v="122"/>
    <x v="2"/>
    <x v="166"/>
    <x v="75"/>
    <x v="72"/>
    <x v="59"/>
    <x v="151"/>
    <x v="168"/>
    <x v="168"/>
    <x v="166"/>
    <x v="3"/>
    <x v="168"/>
    <x v="168"/>
    <x v="161"/>
    <x v="0"/>
    <x v="1"/>
    <x v="0"/>
    <x v="38"/>
    <x v="12"/>
    <x v="46"/>
    <x v="19"/>
    <x v="1"/>
    <x v="1"/>
    <x v="0"/>
    <x v="169"/>
  </r>
  <r>
    <x v="0"/>
    <x v="109"/>
    <x v="146"/>
    <x v="11"/>
    <x v="85"/>
    <x v="123"/>
    <x v="25"/>
    <x v="167"/>
    <x v="76"/>
    <x v="26"/>
    <x v="142"/>
    <x v="152"/>
    <x v="169"/>
    <x v="169"/>
    <x v="167"/>
    <x v="1"/>
    <x v="169"/>
    <x v="169"/>
    <x v="162"/>
    <x v="0"/>
    <x v="0"/>
    <x v="0"/>
    <x v="39"/>
    <x v="18"/>
    <x v="12"/>
    <x v="21"/>
    <x v="3"/>
    <x v="1"/>
    <x v="0"/>
    <x v="170"/>
  </r>
  <r>
    <x v="0"/>
    <x v="90"/>
    <x v="147"/>
    <x v="23"/>
    <x v="71"/>
    <x v="10"/>
    <x v="2"/>
    <x v="168"/>
    <x v="5"/>
    <x v="104"/>
    <x v="143"/>
    <x v="80"/>
    <x v="170"/>
    <x v="170"/>
    <x v="168"/>
    <x v="0"/>
    <x v="170"/>
    <x v="170"/>
    <x v="163"/>
    <x v="0"/>
    <x v="0"/>
    <x v="0"/>
    <x v="23"/>
    <x v="10"/>
    <x v="13"/>
    <x v="8"/>
    <x v="1"/>
    <x v="34"/>
    <x v="0"/>
    <x v="171"/>
  </r>
  <r>
    <x v="0"/>
    <x v="77"/>
    <x v="148"/>
    <x v="57"/>
    <x v="61"/>
    <x v="124"/>
    <x v="61"/>
    <x v="169"/>
    <x v="2"/>
    <x v="105"/>
    <x v="144"/>
    <x v="153"/>
    <x v="171"/>
    <x v="171"/>
    <x v="169"/>
    <x v="4"/>
    <x v="171"/>
    <x v="171"/>
    <x v="164"/>
    <x v="0"/>
    <x v="1"/>
    <x v="0"/>
    <x v="37"/>
    <x v="15"/>
    <x v="96"/>
    <x v="21"/>
    <x v="1"/>
    <x v="43"/>
    <x v="0"/>
    <x v="172"/>
  </r>
  <r>
    <x v="0"/>
    <x v="110"/>
    <x v="149"/>
    <x v="67"/>
    <x v="86"/>
    <x v="125"/>
    <x v="62"/>
    <x v="170"/>
    <x v="77"/>
    <x v="106"/>
    <x v="145"/>
    <x v="154"/>
    <x v="172"/>
    <x v="172"/>
    <x v="170"/>
    <x v="1"/>
    <x v="172"/>
    <x v="172"/>
    <x v="165"/>
    <x v="0"/>
    <x v="0"/>
    <x v="0"/>
    <x v="16"/>
    <x v="17"/>
    <x v="97"/>
    <x v="38"/>
    <x v="1"/>
    <x v="1"/>
    <x v="0"/>
    <x v="173"/>
  </r>
  <r>
    <x v="0"/>
    <x v="111"/>
    <x v="55"/>
    <x v="69"/>
    <x v="87"/>
    <x v="90"/>
    <x v="20"/>
    <x v="171"/>
    <x v="78"/>
    <x v="83"/>
    <x v="71"/>
    <x v="155"/>
    <x v="173"/>
    <x v="173"/>
    <x v="171"/>
    <x v="3"/>
    <x v="173"/>
    <x v="173"/>
    <x v="166"/>
    <x v="0"/>
    <x v="0"/>
    <x v="0"/>
    <x v="40"/>
    <x v="3"/>
    <x v="53"/>
    <x v="34"/>
    <x v="1"/>
    <x v="14"/>
    <x v="0"/>
    <x v="174"/>
  </r>
  <r>
    <x v="0"/>
    <x v="83"/>
    <x v="150"/>
    <x v="7"/>
    <x v="66"/>
    <x v="32"/>
    <x v="49"/>
    <x v="172"/>
    <x v="79"/>
    <x v="86"/>
    <x v="40"/>
    <x v="39"/>
    <x v="174"/>
    <x v="174"/>
    <x v="172"/>
    <x v="0"/>
    <x v="174"/>
    <x v="174"/>
    <x v="167"/>
    <x v="0"/>
    <x v="5"/>
    <x v="2"/>
    <x v="37"/>
    <x v="10"/>
    <x v="6"/>
    <x v="18"/>
    <x v="1"/>
    <x v="1"/>
    <x v="0"/>
    <x v="175"/>
  </r>
  <r>
    <x v="0"/>
    <x v="112"/>
    <x v="151"/>
    <x v="24"/>
    <x v="49"/>
    <x v="126"/>
    <x v="22"/>
    <x v="173"/>
    <x v="5"/>
    <x v="95"/>
    <x v="146"/>
    <x v="156"/>
    <x v="175"/>
    <x v="175"/>
    <x v="173"/>
    <x v="0"/>
    <x v="175"/>
    <x v="175"/>
    <x v="168"/>
    <x v="0"/>
    <x v="0"/>
    <x v="0"/>
    <x v="16"/>
    <x v="8"/>
    <x v="30"/>
    <x v="2"/>
    <x v="1"/>
    <x v="1"/>
    <x v="0"/>
    <x v="176"/>
  </r>
  <r>
    <x v="0"/>
    <x v="113"/>
    <x v="152"/>
    <x v="84"/>
    <x v="88"/>
    <x v="127"/>
    <x v="63"/>
    <x v="4"/>
    <x v="80"/>
    <x v="107"/>
    <x v="147"/>
    <x v="157"/>
    <x v="176"/>
    <x v="176"/>
    <x v="174"/>
    <x v="4"/>
    <x v="176"/>
    <x v="176"/>
    <x v="169"/>
    <x v="0"/>
    <x v="0"/>
    <x v="5"/>
    <x v="41"/>
    <x v="4"/>
    <x v="98"/>
    <x v="7"/>
    <x v="8"/>
    <x v="1"/>
    <x v="0"/>
    <x v="177"/>
  </r>
  <r>
    <x v="0"/>
    <x v="38"/>
    <x v="153"/>
    <x v="85"/>
    <x v="25"/>
    <x v="128"/>
    <x v="64"/>
    <x v="174"/>
    <x v="15"/>
    <x v="108"/>
    <x v="148"/>
    <x v="158"/>
    <x v="177"/>
    <x v="177"/>
    <x v="175"/>
    <x v="0"/>
    <x v="177"/>
    <x v="177"/>
    <x v="170"/>
    <x v="0"/>
    <x v="1"/>
    <x v="2"/>
    <x v="23"/>
    <x v="6"/>
    <x v="99"/>
    <x v="2"/>
    <x v="1"/>
    <x v="41"/>
    <x v="0"/>
    <x v="178"/>
  </r>
  <r>
    <x v="0"/>
    <x v="114"/>
    <x v="154"/>
    <x v="6"/>
    <x v="0"/>
    <x v="129"/>
    <x v="19"/>
    <x v="175"/>
    <x v="81"/>
    <x v="20"/>
    <x v="86"/>
    <x v="159"/>
    <x v="178"/>
    <x v="178"/>
    <x v="176"/>
    <x v="0"/>
    <x v="178"/>
    <x v="178"/>
    <x v="171"/>
    <x v="0"/>
    <x v="0"/>
    <x v="4"/>
    <x v="37"/>
    <x v="2"/>
    <x v="63"/>
    <x v="14"/>
    <x v="1"/>
    <x v="70"/>
    <x v="0"/>
    <x v="179"/>
  </r>
  <r>
    <x v="0"/>
    <x v="115"/>
    <x v="146"/>
    <x v="45"/>
    <x v="89"/>
    <x v="130"/>
    <x v="17"/>
    <x v="176"/>
    <x v="22"/>
    <x v="32"/>
    <x v="149"/>
    <x v="160"/>
    <x v="179"/>
    <x v="179"/>
    <x v="177"/>
    <x v="0"/>
    <x v="179"/>
    <x v="179"/>
    <x v="129"/>
    <x v="0"/>
    <x v="0"/>
    <x v="2"/>
    <x v="37"/>
    <x v="9"/>
    <x v="100"/>
    <x v="12"/>
    <x v="1"/>
    <x v="38"/>
    <x v="0"/>
    <x v="180"/>
  </r>
  <r>
    <x v="0"/>
    <x v="1"/>
    <x v="95"/>
    <x v="86"/>
    <x v="1"/>
    <x v="131"/>
    <x v="1"/>
    <x v="177"/>
    <x v="82"/>
    <x v="1"/>
    <x v="48"/>
    <x v="161"/>
    <x v="180"/>
    <x v="180"/>
    <x v="178"/>
    <x v="0"/>
    <x v="180"/>
    <x v="180"/>
    <x v="172"/>
    <x v="0"/>
    <x v="0"/>
    <x v="2"/>
    <x v="37"/>
    <x v="10"/>
    <x v="30"/>
    <x v="13"/>
    <x v="1"/>
    <x v="18"/>
    <x v="0"/>
    <x v="181"/>
  </r>
  <r>
    <x v="0"/>
    <x v="79"/>
    <x v="155"/>
    <x v="80"/>
    <x v="62"/>
    <x v="132"/>
    <x v="32"/>
    <x v="178"/>
    <x v="29"/>
    <x v="38"/>
    <x v="150"/>
    <x v="162"/>
    <x v="181"/>
    <x v="181"/>
    <x v="179"/>
    <x v="0"/>
    <x v="181"/>
    <x v="181"/>
    <x v="173"/>
    <x v="0"/>
    <x v="0"/>
    <x v="2"/>
    <x v="42"/>
    <x v="11"/>
    <x v="101"/>
    <x v="10"/>
    <x v="3"/>
    <x v="59"/>
    <x v="0"/>
    <x v="182"/>
  </r>
  <r>
    <x v="0"/>
    <x v="116"/>
    <x v="105"/>
    <x v="69"/>
    <x v="90"/>
    <x v="133"/>
    <x v="57"/>
    <x v="179"/>
    <x v="83"/>
    <x v="109"/>
    <x v="112"/>
    <x v="163"/>
    <x v="182"/>
    <x v="182"/>
    <x v="180"/>
    <x v="0"/>
    <x v="182"/>
    <x v="182"/>
    <x v="174"/>
    <x v="0"/>
    <x v="0"/>
    <x v="0"/>
    <x v="43"/>
    <x v="1"/>
    <x v="80"/>
    <x v="14"/>
    <x v="1"/>
    <x v="1"/>
    <x v="0"/>
    <x v="183"/>
  </r>
  <r>
    <x v="0"/>
    <x v="117"/>
    <x v="156"/>
    <x v="80"/>
    <x v="91"/>
    <x v="67"/>
    <x v="2"/>
    <x v="180"/>
    <x v="58"/>
    <x v="60"/>
    <x v="151"/>
    <x v="164"/>
    <x v="183"/>
    <x v="183"/>
    <x v="181"/>
    <x v="0"/>
    <x v="183"/>
    <x v="183"/>
    <x v="175"/>
    <x v="0"/>
    <x v="0"/>
    <x v="2"/>
    <x v="38"/>
    <x v="8"/>
    <x v="102"/>
    <x v="32"/>
    <x v="1"/>
    <x v="71"/>
    <x v="0"/>
    <x v="184"/>
  </r>
  <r>
    <x v="0"/>
    <x v="118"/>
    <x v="157"/>
    <x v="85"/>
    <x v="92"/>
    <x v="134"/>
    <x v="35"/>
    <x v="181"/>
    <x v="34"/>
    <x v="65"/>
    <x v="152"/>
    <x v="165"/>
    <x v="184"/>
    <x v="184"/>
    <x v="182"/>
    <x v="5"/>
    <x v="184"/>
    <x v="184"/>
    <x v="176"/>
    <x v="0"/>
    <x v="0"/>
    <x v="0"/>
    <x v="38"/>
    <x v="2"/>
    <x v="12"/>
    <x v="38"/>
    <x v="3"/>
    <x v="72"/>
    <x v="0"/>
    <x v="185"/>
  </r>
  <r>
    <x v="0"/>
    <x v="70"/>
    <x v="158"/>
    <x v="75"/>
    <x v="55"/>
    <x v="135"/>
    <x v="31"/>
    <x v="182"/>
    <x v="84"/>
    <x v="37"/>
    <x v="153"/>
    <x v="166"/>
    <x v="185"/>
    <x v="185"/>
    <x v="183"/>
    <x v="1"/>
    <x v="185"/>
    <x v="185"/>
    <x v="177"/>
    <x v="0"/>
    <x v="0"/>
    <x v="0"/>
    <x v="38"/>
    <x v="9"/>
    <x v="20"/>
    <x v="32"/>
    <x v="1"/>
    <x v="29"/>
    <x v="0"/>
    <x v="186"/>
  </r>
  <r>
    <x v="0"/>
    <x v="111"/>
    <x v="55"/>
    <x v="69"/>
    <x v="87"/>
    <x v="90"/>
    <x v="20"/>
    <x v="171"/>
    <x v="78"/>
    <x v="83"/>
    <x v="71"/>
    <x v="155"/>
    <x v="173"/>
    <x v="173"/>
    <x v="171"/>
    <x v="3"/>
    <x v="173"/>
    <x v="173"/>
    <x v="166"/>
    <x v="0"/>
    <x v="0"/>
    <x v="0"/>
    <x v="40"/>
    <x v="3"/>
    <x v="53"/>
    <x v="34"/>
    <x v="1"/>
    <x v="14"/>
    <x v="0"/>
    <x v="187"/>
  </r>
  <r>
    <x v="0"/>
    <x v="119"/>
    <x v="159"/>
    <x v="50"/>
    <x v="69"/>
    <x v="136"/>
    <x v="30"/>
    <x v="183"/>
    <x v="85"/>
    <x v="110"/>
    <x v="154"/>
    <x v="167"/>
    <x v="186"/>
    <x v="186"/>
    <x v="184"/>
    <x v="0"/>
    <x v="186"/>
    <x v="186"/>
    <x v="178"/>
    <x v="0"/>
    <x v="0"/>
    <x v="2"/>
    <x v="37"/>
    <x v="2"/>
    <x v="74"/>
    <x v="10"/>
    <x v="3"/>
    <x v="18"/>
    <x v="0"/>
    <x v="188"/>
  </r>
  <r>
    <x v="0"/>
    <x v="38"/>
    <x v="79"/>
    <x v="38"/>
    <x v="25"/>
    <x v="137"/>
    <x v="14"/>
    <x v="184"/>
    <x v="84"/>
    <x v="56"/>
    <x v="155"/>
    <x v="168"/>
    <x v="187"/>
    <x v="187"/>
    <x v="185"/>
    <x v="0"/>
    <x v="187"/>
    <x v="187"/>
    <x v="179"/>
    <x v="0"/>
    <x v="0"/>
    <x v="0"/>
    <x v="42"/>
    <x v="12"/>
    <x v="30"/>
    <x v="12"/>
    <x v="3"/>
    <x v="1"/>
    <x v="0"/>
    <x v="189"/>
  </r>
  <r>
    <x v="0"/>
    <x v="27"/>
    <x v="160"/>
    <x v="21"/>
    <x v="0"/>
    <x v="138"/>
    <x v="14"/>
    <x v="185"/>
    <x v="26"/>
    <x v="14"/>
    <x v="156"/>
    <x v="169"/>
    <x v="188"/>
    <x v="188"/>
    <x v="186"/>
    <x v="1"/>
    <x v="188"/>
    <x v="188"/>
    <x v="38"/>
    <x v="0"/>
    <x v="0"/>
    <x v="4"/>
    <x v="38"/>
    <x v="17"/>
    <x v="103"/>
    <x v="4"/>
    <x v="1"/>
    <x v="1"/>
    <x v="0"/>
    <x v="190"/>
  </r>
  <r>
    <x v="0"/>
    <x v="74"/>
    <x v="161"/>
    <x v="78"/>
    <x v="59"/>
    <x v="139"/>
    <x v="41"/>
    <x v="186"/>
    <x v="73"/>
    <x v="111"/>
    <x v="157"/>
    <x v="170"/>
    <x v="189"/>
    <x v="189"/>
    <x v="87"/>
    <x v="0"/>
    <x v="189"/>
    <x v="189"/>
    <x v="180"/>
    <x v="0"/>
    <x v="0"/>
    <x v="2"/>
    <x v="38"/>
    <x v="10"/>
    <x v="104"/>
    <x v="10"/>
    <x v="1"/>
    <x v="37"/>
    <x v="0"/>
    <x v="191"/>
  </r>
  <r>
    <x v="0"/>
    <x v="120"/>
    <x v="162"/>
    <x v="59"/>
    <x v="77"/>
    <x v="140"/>
    <x v="2"/>
    <x v="187"/>
    <x v="86"/>
    <x v="60"/>
    <x v="158"/>
    <x v="171"/>
    <x v="190"/>
    <x v="190"/>
    <x v="187"/>
    <x v="1"/>
    <x v="190"/>
    <x v="190"/>
    <x v="181"/>
    <x v="0"/>
    <x v="0"/>
    <x v="0"/>
    <x v="43"/>
    <x v="5"/>
    <x v="105"/>
    <x v="21"/>
    <x v="1"/>
    <x v="33"/>
    <x v="0"/>
    <x v="192"/>
  </r>
  <r>
    <x v="0"/>
    <x v="121"/>
    <x v="11"/>
    <x v="67"/>
    <x v="0"/>
    <x v="141"/>
    <x v="25"/>
    <x v="188"/>
    <x v="72"/>
    <x v="82"/>
    <x v="159"/>
    <x v="172"/>
    <x v="191"/>
    <x v="191"/>
    <x v="188"/>
    <x v="4"/>
    <x v="191"/>
    <x v="191"/>
    <x v="182"/>
    <x v="0"/>
    <x v="0"/>
    <x v="0"/>
    <x v="44"/>
    <x v="11"/>
    <x v="71"/>
    <x v="27"/>
    <x v="3"/>
    <x v="73"/>
    <x v="0"/>
    <x v="193"/>
  </r>
  <r>
    <x v="0"/>
    <x v="38"/>
    <x v="163"/>
    <x v="86"/>
    <x v="25"/>
    <x v="142"/>
    <x v="35"/>
    <x v="189"/>
    <x v="87"/>
    <x v="112"/>
    <x v="160"/>
    <x v="173"/>
    <x v="192"/>
    <x v="192"/>
    <x v="189"/>
    <x v="1"/>
    <x v="192"/>
    <x v="192"/>
    <x v="183"/>
    <x v="0"/>
    <x v="0"/>
    <x v="2"/>
    <x v="37"/>
    <x v="10"/>
    <x v="106"/>
    <x v="38"/>
    <x v="1"/>
    <x v="20"/>
    <x v="0"/>
    <x v="194"/>
  </r>
  <r>
    <x v="0"/>
    <x v="122"/>
    <x v="164"/>
    <x v="30"/>
    <x v="0"/>
    <x v="9"/>
    <x v="2"/>
    <x v="190"/>
    <x v="8"/>
    <x v="113"/>
    <x v="117"/>
    <x v="9"/>
    <x v="193"/>
    <x v="193"/>
    <x v="190"/>
    <x v="3"/>
    <x v="193"/>
    <x v="193"/>
    <x v="184"/>
    <x v="0"/>
    <x v="1"/>
    <x v="2"/>
    <x v="38"/>
    <x v="14"/>
    <x v="10"/>
    <x v="6"/>
    <x v="1"/>
    <x v="59"/>
    <x v="0"/>
    <x v="195"/>
  </r>
  <r>
    <x v="0"/>
    <x v="35"/>
    <x v="114"/>
    <x v="28"/>
    <x v="16"/>
    <x v="143"/>
    <x v="50"/>
    <x v="191"/>
    <x v="88"/>
    <x v="87"/>
    <x v="161"/>
    <x v="174"/>
    <x v="194"/>
    <x v="194"/>
    <x v="191"/>
    <x v="0"/>
    <x v="194"/>
    <x v="194"/>
    <x v="185"/>
    <x v="0"/>
    <x v="5"/>
    <x v="0"/>
    <x v="38"/>
    <x v="8"/>
    <x v="62"/>
    <x v="4"/>
    <x v="1"/>
    <x v="1"/>
    <x v="0"/>
    <x v="196"/>
  </r>
  <r>
    <x v="0"/>
    <x v="93"/>
    <x v="165"/>
    <x v="7"/>
    <x v="0"/>
    <x v="144"/>
    <x v="14"/>
    <x v="192"/>
    <x v="5"/>
    <x v="14"/>
    <x v="162"/>
    <x v="175"/>
    <x v="195"/>
    <x v="195"/>
    <x v="192"/>
    <x v="0"/>
    <x v="195"/>
    <x v="195"/>
    <x v="186"/>
    <x v="0"/>
    <x v="0"/>
    <x v="0"/>
    <x v="38"/>
    <x v="9"/>
    <x v="107"/>
    <x v="41"/>
    <x v="1"/>
    <x v="40"/>
    <x v="0"/>
    <x v="197"/>
  </r>
  <r>
    <x v="0"/>
    <x v="123"/>
    <x v="118"/>
    <x v="87"/>
    <x v="0"/>
    <x v="145"/>
    <x v="0"/>
    <x v="193"/>
    <x v="89"/>
    <x v="114"/>
    <x v="163"/>
    <x v="176"/>
    <x v="196"/>
    <x v="196"/>
    <x v="193"/>
    <x v="1"/>
    <x v="196"/>
    <x v="196"/>
    <x v="187"/>
    <x v="0"/>
    <x v="0"/>
    <x v="2"/>
    <x v="45"/>
    <x v="21"/>
    <x v="108"/>
    <x v="12"/>
    <x v="3"/>
    <x v="1"/>
    <x v="0"/>
    <x v="198"/>
  </r>
  <r>
    <x v="0"/>
    <x v="124"/>
    <x v="93"/>
    <x v="4"/>
    <x v="0"/>
    <x v="146"/>
    <x v="14"/>
    <x v="4"/>
    <x v="90"/>
    <x v="115"/>
    <x v="164"/>
    <x v="177"/>
    <x v="197"/>
    <x v="197"/>
    <x v="194"/>
    <x v="1"/>
    <x v="4"/>
    <x v="197"/>
    <x v="188"/>
    <x v="0"/>
    <x v="1"/>
    <x v="1"/>
    <x v="4"/>
    <x v="10"/>
    <x v="109"/>
    <x v="7"/>
    <x v="2"/>
    <x v="74"/>
    <x v="0"/>
    <x v="199"/>
  </r>
  <r>
    <x v="0"/>
    <x v="80"/>
    <x v="166"/>
    <x v="42"/>
    <x v="63"/>
    <x v="1"/>
    <x v="49"/>
    <x v="194"/>
    <x v="56"/>
    <x v="86"/>
    <x v="103"/>
    <x v="110"/>
    <x v="198"/>
    <x v="198"/>
    <x v="195"/>
    <x v="6"/>
    <x v="197"/>
    <x v="198"/>
    <x v="189"/>
    <x v="0"/>
    <x v="0"/>
    <x v="2"/>
    <x v="46"/>
    <x v="11"/>
    <x v="13"/>
    <x v="5"/>
    <x v="3"/>
    <x v="59"/>
    <x v="0"/>
    <x v="200"/>
  </r>
  <r>
    <x v="0"/>
    <x v="125"/>
    <x v="167"/>
    <x v="54"/>
    <x v="93"/>
    <x v="141"/>
    <x v="6"/>
    <x v="195"/>
    <x v="91"/>
    <x v="6"/>
    <x v="40"/>
    <x v="178"/>
    <x v="199"/>
    <x v="199"/>
    <x v="196"/>
    <x v="3"/>
    <x v="198"/>
    <x v="199"/>
    <x v="68"/>
    <x v="0"/>
    <x v="0"/>
    <x v="2"/>
    <x v="38"/>
    <x v="5"/>
    <x v="6"/>
    <x v="11"/>
    <x v="1"/>
    <x v="38"/>
    <x v="0"/>
    <x v="201"/>
  </r>
  <r>
    <x v="0"/>
    <x v="126"/>
    <x v="16"/>
    <x v="88"/>
    <x v="0"/>
    <x v="147"/>
    <x v="2"/>
    <x v="196"/>
    <x v="15"/>
    <x v="113"/>
    <x v="165"/>
    <x v="179"/>
    <x v="200"/>
    <x v="200"/>
    <x v="197"/>
    <x v="2"/>
    <x v="199"/>
    <x v="200"/>
    <x v="190"/>
    <x v="0"/>
    <x v="1"/>
    <x v="2"/>
    <x v="44"/>
    <x v="18"/>
    <x v="110"/>
    <x v="7"/>
    <x v="1"/>
    <x v="37"/>
    <x v="0"/>
    <x v="202"/>
  </r>
  <r>
    <x v="0"/>
    <x v="127"/>
    <x v="132"/>
    <x v="45"/>
    <x v="94"/>
    <x v="1"/>
    <x v="17"/>
    <x v="197"/>
    <x v="92"/>
    <x v="32"/>
    <x v="60"/>
    <x v="180"/>
    <x v="201"/>
    <x v="201"/>
    <x v="198"/>
    <x v="4"/>
    <x v="200"/>
    <x v="201"/>
    <x v="191"/>
    <x v="0"/>
    <x v="0"/>
    <x v="0"/>
    <x v="38"/>
    <x v="9"/>
    <x v="47"/>
    <x v="23"/>
    <x v="1"/>
    <x v="35"/>
    <x v="0"/>
    <x v="203"/>
  </r>
  <r>
    <x v="0"/>
    <x v="67"/>
    <x v="93"/>
    <x v="60"/>
    <x v="52"/>
    <x v="74"/>
    <x v="46"/>
    <x v="4"/>
    <x v="48"/>
    <x v="73"/>
    <x v="87"/>
    <x v="91"/>
    <x v="98"/>
    <x v="98"/>
    <x v="97"/>
    <x v="0"/>
    <x v="98"/>
    <x v="98"/>
    <x v="96"/>
    <x v="2"/>
    <x v="7"/>
    <x v="1"/>
    <x v="4"/>
    <x v="6"/>
    <x v="64"/>
    <x v="17"/>
    <x v="1"/>
    <x v="1"/>
    <x v="0"/>
    <x v="204"/>
  </r>
  <r>
    <x v="0"/>
    <x v="1"/>
    <x v="168"/>
    <x v="14"/>
    <x v="1"/>
    <x v="1"/>
    <x v="1"/>
    <x v="198"/>
    <x v="1"/>
    <x v="1"/>
    <x v="1"/>
    <x v="1"/>
    <x v="202"/>
    <x v="202"/>
    <x v="199"/>
    <x v="3"/>
    <x v="201"/>
    <x v="202"/>
    <x v="192"/>
    <x v="0"/>
    <x v="0"/>
    <x v="0"/>
    <x v="23"/>
    <x v="17"/>
    <x v="1"/>
    <x v="14"/>
    <x v="1"/>
    <x v="7"/>
    <x v="0"/>
    <x v="205"/>
  </r>
  <r>
    <x v="0"/>
    <x v="124"/>
    <x v="169"/>
    <x v="4"/>
    <x v="0"/>
    <x v="1"/>
    <x v="14"/>
    <x v="4"/>
    <x v="93"/>
    <x v="115"/>
    <x v="166"/>
    <x v="181"/>
    <x v="203"/>
    <x v="203"/>
    <x v="200"/>
    <x v="1"/>
    <x v="4"/>
    <x v="203"/>
    <x v="188"/>
    <x v="0"/>
    <x v="1"/>
    <x v="1"/>
    <x v="4"/>
    <x v="5"/>
    <x v="12"/>
    <x v="21"/>
    <x v="2"/>
    <x v="75"/>
    <x v="0"/>
    <x v="206"/>
  </r>
  <r>
    <x v="0"/>
    <x v="70"/>
    <x v="12"/>
    <x v="32"/>
    <x v="55"/>
    <x v="33"/>
    <x v="31"/>
    <x v="199"/>
    <x v="84"/>
    <x v="37"/>
    <x v="89"/>
    <x v="95"/>
    <x v="204"/>
    <x v="204"/>
    <x v="101"/>
    <x v="1"/>
    <x v="202"/>
    <x v="204"/>
    <x v="193"/>
    <x v="0"/>
    <x v="0"/>
    <x v="0"/>
    <x v="44"/>
    <x v="11"/>
    <x v="31"/>
    <x v="10"/>
    <x v="1"/>
    <x v="76"/>
    <x v="0"/>
    <x v="207"/>
  </r>
  <r>
    <x v="0"/>
    <x v="84"/>
    <x v="170"/>
    <x v="89"/>
    <x v="67"/>
    <x v="148"/>
    <x v="10"/>
    <x v="200"/>
    <x v="60"/>
    <x v="33"/>
    <x v="167"/>
    <x v="182"/>
    <x v="205"/>
    <x v="205"/>
    <x v="201"/>
    <x v="4"/>
    <x v="203"/>
    <x v="205"/>
    <x v="194"/>
    <x v="0"/>
    <x v="0"/>
    <x v="0"/>
    <x v="44"/>
    <x v="7"/>
    <x v="111"/>
    <x v="4"/>
    <x v="1"/>
    <x v="1"/>
    <x v="0"/>
    <x v="208"/>
  </r>
  <r>
    <x v="0"/>
    <x v="128"/>
    <x v="171"/>
    <x v="59"/>
    <x v="95"/>
    <x v="149"/>
    <x v="65"/>
    <x v="201"/>
    <x v="94"/>
    <x v="116"/>
    <x v="168"/>
    <x v="183"/>
    <x v="206"/>
    <x v="206"/>
    <x v="202"/>
    <x v="0"/>
    <x v="204"/>
    <x v="206"/>
    <x v="195"/>
    <x v="0"/>
    <x v="0"/>
    <x v="3"/>
    <x v="47"/>
    <x v="11"/>
    <x v="112"/>
    <x v="21"/>
    <x v="1"/>
    <x v="1"/>
    <x v="0"/>
    <x v="209"/>
  </r>
  <r>
    <x v="0"/>
    <x v="11"/>
    <x v="172"/>
    <x v="90"/>
    <x v="0"/>
    <x v="101"/>
    <x v="24"/>
    <x v="202"/>
    <x v="20"/>
    <x v="25"/>
    <x v="169"/>
    <x v="184"/>
    <x v="207"/>
    <x v="207"/>
    <x v="203"/>
    <x v="2"/>
    <x v="205"/>
    <x v="207"/>
    <x v="60"/>
    <x v="0"/>
    <x v="4"/>
    <x v="0"/>
    <x v="43"/>
    <x v="17"/>
    <x v="113"/>
    <x v="7"/>
    <x v="1"/>
    <x v="1"/>
    <x v="0"/>
    <x v="210"/>
  </r>
  <r>
    <x v="0"/>
    <x v="41"/>
    <x v="173"/>
    <x v="5"/>
    <x v="29"/>
    <x v="90"/>
    <x v="29"/>
    <x v="203"/>
    <x v="23"/>
    <x v="74"/>
    <x v="84"/>
    <x v="185"/>
    <x v="208"/>
    <x v="208"/>
    <x v="204"/>
    <x v="3"/>
    <x v="206"/>
    <x v="208"/>
    <x v="196"/>
    <x v="0"/>
    <x v="0"/>
    <x v="0"/>
    <x v="44"/>
    <x v="10"/>
    <x v="20"/>
    <x v="11"/>
    <x v="1"/>
    <x v="39"/>
    <x v="0"/>
    <x v="211"/>
  </r>
  <r>
    <x v="0"/>
    <x v="129"/>
    <x v="174"/>
    <x v="74"/>
    <x v="0"/>
    <x v="150"/>
    <x v="20"/>
    <x v="204"/>
    <x v="95"/>
    <x v="21"/>
    <x v="170"/>
    <x v="186"/>
    <x v="209"/>
    <x v="209"/>
    <x v="205"/>
    <x v="4"/>
    <x v="207"/>
    <x v="209"/>
    <x v="197"/>
    <x v="0"/>
    <x v="0"/>
    <x v="0"/>
    <x v="44"/>
    <x v="10"/>
    <x v="114"/>
    <x v="7"/>
    <x v="1"/>
    <x v="36"/>
    <x v="0"/>
    <x v="212"/>
  </r>
  <r>
    <x v="0"/>
    <x v="112"/>
    <x v="175"/>
    <x v="11"/>
    <x v="49"/>
    <x v="151"/>
    <x v="21"/>
    <x v="205"/>
    <x v="1"/>
    <x v="22"/>
    <x v="88"/>
    <x v="187"/>
    <x v="210"/>
    <x v="210"/>
    <x v="206"/>
    <x v="0"/>
    <x v="208"/>
    <x v="210"/>
    <x v="198"/>
    <x v="0"/>
    <x v="0"/>
    <x v="0"/>
    <x v="44"/>
    <x v="5"/>
    <x v="30"/>
    <x v="27"/>
    <x v="1"/>
    <x v="61"/>
    <x v="0"/>
    <x v="213"/>
  </r>
  <r>
    <x v="0"/>
    <x v="130"/>
    <x v="128"/>
    <x v="18"/>
    <x v="96"/>
    <x v="152"/>
    <x v="66"/>
    <x v="206"/>
    <x v="46"/>
    <x v="117"/>
    <x v="171"/>
    <x v="188"/>
    <x v="211"/>
    <x v="211"/>
    <x v="207"/>
    <x v="0"/>
    <x v="209"/>
    <x v="211"/>
    <x v="199"/>
    <x v="0"/>
    <x v="0"/>
    <x v="4"/>
    <x v="48"/>
    <x v="22"/>
    <x v="115"/>
    <x v="7"/>
    <x v="3"/>
    <x v="1"/>
    <x v="0"/>
    <x v="214"/>
  </r>
  <r>
    <x v="0"/>
    <x v="131"/>
    <x v="69"/>
    <x v="58"/>
    <x v="97"/>
    <x v="153"/>
    <x v="67"/>
    <x v="207"/>
    <x v="96"/>
    <x v="118"/>
    <x v="172"/>
    <x v="189"/>
    <x v="212"/>
    <x v="212"/>
    <x v="208"/>
    <x v="1"/>
    <x v="210"/>
    <x v="212"/>
    <x v="22"/>
    <x v="0"/>
    <x v="0"/>
    <x v="4"/>
    <x v="49"/>
    <x v="15"/>
    <x v="116"/>
    <x v="4"/>
    <x v="1"/>
    <x v="1"/>
    <x v="0"/>
    <x v="215"/>
  </r>
  <r>
    <x v="0"/>
    <x v="132"/>
    <x v="41"/>
    <x v="24"/>
    <x v="84"/>
    <x v="154"/>
    <x v="14"/>
    <x v="208"/>
    <x v="2"/>
    <x v="119"/>
    <x v="173"/>
    <x v="190"/>
    <x v="213"/>
    <x v="213"/>
    <x v="209"/>
    <x v="0"/>
    <x v="211"/>
    <x v="213"/>
    <x v="200"/>
    <x v="0"/>
    <x v="0"/>
    <x v="0"/>
    <x v="44"/>
    <x v="3"/>
    <x v="117"/>
    <x v="10"/>
    <x v="1"/>
    <x v="77"/>
    <x v="0"/>
    <x v="216"/>
  </r>
  <r>
    <x v="0"/>
    <x v="133"/>
    <x v="176"/>
    <x v="31"/>
    <x v="98"/>
    <x v="155"/>
    <x v="68"/>
    <x v="209"/>
    <x v="97"/>
    <x v="120"/>
    <x v="174"/>
    <x v="191"/>
    <x v="214"/>
    <x v="214"/>
    <x v="210"/>
    <x v="3"/>
    <x v="212"/>
    <x v="214"/>
    <x v="201"/>
    <x v="0"/>
    <x v="0"/>
    <x v="0"/>
    <x v="44"/>
    <x v="13"/>
    <x v="118"/>
    <x v="42"/>
    <x v="3"/>
    <x v="1"/>
    <x v="0"/>
    <x v="217"/>
  </r>
  <r>
    <x v="0"/>
    <x v="84"/>
    <x v="177"/>
    <x v="47"/>
    <x v="67"/>
    <x v="156"/>
    <x v="0"/>
    <x v="210"/>
    <x v="35"/>
    <x v="121"/>
    <x v="175"/>
    <x v="192"/>
    <x v="215"/>
    <x v="215"/>
    <x v="211"/>
    <x v="0"/>
    <x v="213"/>
    <x v="215"/>
    <x v="202"/>
    <x v="0"/>
    <x v="0"/>
    <x v="2"/>
    <x v="50"/>
    <x v="21"/>
    <x v="119"/>
    <x v="19"/>
    <x v="3"/>
    <x v="1"/>
    <x v="0"/>
    <x v="218"/>
  </r>
  <r>
    <x v="0"/>
    <x v="42"/>
    <x v="178"/>
    <x v="23"/>
    <x v="30"/>
    <x v="157"/>
    <x v="10"/>
    <x v="211"/>
    <x v="18"/>
    <x v="40"/>
    <x v="68"/>
    <x v="193"/>
    <x v="216"/>
    <x v="216"/>
    <x v="212"/>
    <x v="0"/>
    <x v="214"/>
    <x v="216"/>
    <x v="203"/>
    <x v="0"/>
    <x v="0"/>
    <x v="0"/>
    <x v="44"/>
    <x v="14"/>
    <x v="12"/>
    <x v="21"/>
    <x v="1"/>
    <x v="64"/>
    <x v="0"/>
    <x v="219"/>
  </r>
  <r>
    <x v="0"/>
    <x v="134"/>
    <x v="179"/>
    <x v="32"/>
    <x v="99"/>
    <x v="117"/>
    <x v="14"/>
    <x v="212"/>
    <x v="2"/>
    <x v="56"/>
    <x v="176"/>
    <x v="146"/>
    <x v="217"/>
    <x v="217"/>
    <x v="213"/>
    <x v="0"/>
    <x v="215"/>
    <x v="217"/>
    <x v="204"/>
    <x v="0"/>
    <x v="0"/>
    <x v="0"/>
    <x v="44"/>
    <x v="21"/>
    <x v="120"/>
    <x v="9"/>
    <x v="1"/>
    <x v="1"/>
    <x v="0"/>
    <x v="220"/>
  </r>
  <r>
    <x v="0"/>
    <x v="72"/>
    <x v="99"/>
    <x v="29"/>
    <x v="57"/>
    <x v="158"/>
    <x v="69"/>
    <x v="213"/>
    <x v="51"/>
    <x v="122"/>
    <x v="177"/>
    <x v="194"/>
    <x v="218"/>
    <x v="218"/>
    <x v="214"/>
    <x v="0"/>
    <x v="216"/>
    <x v="218"/>
    <x v="205"/>
    <x v="0"/>
    <x v="0"/>
    <x v="0"/>
    <x v="23"/>
    <x v="21"/>
    <x v="56"/>
    <x v="21"/>
    <x v="1"/>
    <x v="1"/>
    <x v="0"/>
    <x v="221"/>
  </r>
  <r>
    <x v="0"/>
    <x v="135"/>
    <x v="180"/>
    <x v="80"/>
    <x v="100"/>
    <x v="76"/>
    <x v="2"/>
    <x v="214"/>
    <x v="18"/>
    <x v="104"/>
    <x v="178"/>
    <x v="97"/>
    <x v="219"/>
    <x v="219"/>
    <x v="215"/>
    <x v="3"/>
    <x v="217"/>
    <x v="219"/>
    <x v="206"/>
    <x v="0"/>
    <x v="0"/>
    <x v="2"/>
    <x v="38"/>
    <x v="1"/>
    <x v="12"/>
    <x v="23"/>
    <x v="1"/>
    <x v="1"/>
    <x v="0"/>
    <x v="222"/>
  </r>
  <r>
    <x v="0"/>
    <x v="106"/>
    <x v="181"/>
    <x v="46"/>
    <x v="0"/>
    <x v="159"/>
    <x v="70"/>
    <x v="215"/>
    <x v="98"/>
    <x v="123"/>
    <x v="179"/>
    <x v="195"/>
    <x v="220"/>
    <x v="220"/>
    <x v="216"/>
    <x v="0"/>
    <x v="218"/>
    <x v="220"/>
    <x v="207"/>
    <x v="0"/>
    <x v="0"/>
    <x v="2"/>
    <x v="40"/>
    <x v="3"/>
    <x v="121"/>
    <x v="25"/>
    <x v="3"/>
    <x v="78"/>
    <x v="0"/>
    <x v="223"/>
  </r>
  <r>
    <x v="0"/>
    <x v="136"/>
    <x v="109"/>
    <x v="32"/>
    <x v="101"/>
    <x v="160"/>
    <x v="25"/>
    <x v="216"/>
    <x v="99"/>
    <x v="76"/>
    <x v="180"/>
    <x v="196"/>
    <x v="221"/>
    <x v="221"/>
    <x v="217"/>
    <x v="1"/>
    <x v="219"/>
    <x v="221"/>
    <x v="208"/>
    <x v="0"/>
    <x v="0"/>
    <x v="0"/>
    <x v="43"/>
    <x v="1"/>
    <x v="122"/>
    <x v="31"/>
    <x v="1"/>
    <x v="1"/>
    <x v="0"/>
    <x v="224"/>
  </r>
  <r>
    <x v="0"/>
    <x v="116"/>
    <x v="143"/>
    <x v="32"/>
    <x v="90"/>
    <x v="161"/>
    <x v="57"/>
    <x v="217"/>
    <x v="3"/>
    <x v="109"/>
    <x v="181"/>
    <x v="197"/>
    <x v="222"/>
    <x v="222"/>
    <x v="218"/>
    <x v="0"/>
    <x v="220"/>
    <x v="222"/>
    <x v="209"/>
    <x v="0"/>
    <x v="1"/>
    <x v="0"/>
    <x v="40"/>
    <x v="6"/>
    <x v="123"/>
    <x v="1"/>
    <x v="1"/>
    <x v="77"/>
    <x v="0"/>
    <x v="225"/>
  </r>
  <r>
    <x v="0"/>
    <x v="32"/>
    <x v="182"/>
    <x v="86"/>
    <x v="24"/>
    <x v="1"/>
    <x v="35"/>
    <x v="218"/>
    <x v="100"/>
    <x v="124"/>
    <x v="182"/>
    <x v="198"/>
    <x v="223"/>
    <x v="223"/>
    <x v="219"/>
    <x v="0"/>
    <x v="221"/>
    <x v="223"/>
    <x v="210"/>
    <x v="0"/>
    <x v="0"/>
    <x v="0"/>
    <x v="40"/>
    <x v="17"/>
    <x v="30"/>
    <x v="30"/>
    <x v="1"/>
    <x v="1"/>
    <x v="0"/>
    <x v="226"/>
  </r>
  <r>
    <x v="0"/>
    <x v="18"/>
    <x v="183"/>
    <x v="23"/>
    <x v="0"/>
    <x v="97"/>
    <x v="57"/>
    <x v="219"/>
    <x v="101"/>
    <x v="125"/>
    <x v="99"/>
    <x v="122"/>
    <x v="224"/>
    <x v="224"/>
    <x v="220"/>
    <x v="0"/>
    <x v="222"/>
    <x v="224"/>
    <x v="211"/>
    <x v="0"/>
    <x v="0"/>
    <x v="4"/>
    <x v="38"/>
    <x v="3"/>
    <x v="71"/>
    <x v="15"/>
    <x v="1"/>
    <x v="79"/>
    <x v="0"/>
    <x v="227"/>
  </r>
  <r>
    <x v="0"/>
    <x v="97"/>
    <x v="184"/>
    <x v="91"/>
    <x v="59"/>
    <x v="110"/>
    <x v="71"/>
    <x v="220"/>
    <x v="21"/>
    <x v="126"/>
    <x v="183"/>
    <x v="199"/>
    <x v="225"/>
    <x v="225"/>
    <x v="221"/>
    <x v="0"/>
    <x v="223"/>
    <x v="225"/>
    <x v="212"/>
    <x v="0"/>
    <x v="0"/>
    <x v="2"/>
    <x v="40"/>
    <x v="19"/>
    <x v="124"/>
    <x v="28"/>
    <x v="3"/>
    <x v="80"/>
    <x v="0"/>
    <x v="228"/>
  </r>
  <r>
    <x v="0"/>
    <x v="137"/>
    <x v="185"/>
    <x v="56"/>
    <x v="102"/>
    <x v="1"/>
    <x v="57"/>
    <x v="221"/>
    <x v="102"/>
    <x v="109"/>
    <x v="72"/>
    <x v="200"/>
    <x v="226"/>
    <x v="226"/>
    <x v="222"/>
    <x v="0"/>
    <x v="224"/>
    <x v="226"/>
    <x v="213"/>
    <x v="0"/>
    <x v="0"/>
    <x v="4"/>
    <x v="51"/>
    <x v="9"/>
    <x v="12"/>
    <x v="4"/>
    <x v="1"/>
    <x v="72"/>
    <x v="0"/>
    <x v="229"/>
  </r>
  <r>
    <x v="0"/>
    <x v="138"/>
    <x v="186"/>
    <x v="90"/>
    <x v="103"/>
    <x v="162"/>
    <x v="21"/>
    <x v="222"/>
    <x v="18"/>
    <x v="127"/>
    <x v="184"/>
    <x v="201"/>
    <x v="227"/>
    <x v="227"/>
    <x v="223"/>
    <x v="0"/>
    <x v="225"/>
    <x v="227"/>
    <x v="24"/>
    <x v="0"/>
    <x v="0"/>
    <x v="0"/>
    <x v="21"/>
    <x v="14"/>
    <x v="125"/>
    <x v="10"/>
    <x v="1"/>
    <x v="1"/>
    <x v="0"/>
    <x v="230"/>
  </r>
  <r>
    <x v="0"/>
    <x v="139"/>
    <x v="187"/>
    <x v="85"/>
    <x v="104"/>
    <x v="1"/>
    <x v="14"/>
    <x v="223"/>
    <x v="103"/>
    <x v="61"/>
    <x v="185"/>
    <x v="202"/>
    <x v="228"/>
    <x v="228"/>
    <x v="224"/>
    <x v="0"/>
    <x v="226"/>
    <x v="228"/>
    <x v="214"/>
    <x v="0"/>
    <x v="0"/>
    <x v="0"/>
    <x v="32"/>
    <x v="11"/>
    <x v="12"/>
    <x v="5"/>
    <x v="1"/>
    <x v="24"/>
    <x v="0"/>
    <x v="231"/>
  </r>
  <r>
    <x v="0"/>
    <x v="44"/>
    <x v="62"/>
    <x v="24"/>
    <x v="0"/>
    <x v="163"/>
    <x v="72"/>
    <x v="224"/>
    <x v="104"/>
    <x v="128"/>
    <x v="186"/>
    <x v="203"/>
    <x v="229"/>
    <x v="229"/>
    <x v="225"/>
    <x v="0"/>
    <x v="227"/>
    <x v="229"/>
    <x v="215"/>
    <x v="0"/>
    <x v="0"/>
    <x v="2"/>
    <x v="40"/>
    <x v="8"/>
    <x v="126"/>
    <x v="9"/>
    <x v="1"/>
    <x v="1"/>
    <x v="0"/>
    <x v="232"/>
  </r>
  <r>
    <x v="0"/>
    <x v="140"/>
    <x v="188"/>
    <x v="61"/>
    <x v="40"/>
    <x v="164"/>
    <x v="73"/>
    <x v="225"/>
    <x v="105"/>
    <x v="129"/>
    <x v="187"/>
    <x v="204"/>
    <x v="230"/>
    <x v="230"/>
    <x v="226"/>
    <x v="2"/>
    <x v="228"/>
    <x v="230"/>
    <x v="216"/>
    <x v="0"/>
    <x v="0"/>
    <x v="0"/>
    <x v="40"/>
    <x v="5"/>
    <x v="14"/>
    <x v="43"/>
    <x v="3"/>
    <x v="1"/>
    <x v="0"/>
    <x v="233"/>
  </r>
  <r>
    <x v="0"/>
    <x v="141"/>
    <x v="189"/>
    <x v="85"/>
    <x v="105"/>
    <x v="138"/>
    <x v="14"/>
    <x v="226"/>
    <x v="106"/>
    <x v="56"/>
    <x v="188"/>
    <x v="169"/>
    <x v="231"/>
    <x v="231"/>
    <x v="227"/>
    <x v="0"/>
    <x v="229"/>
    <x v="231"/>
    <x v="217"/>
    <x v="0"/>
    <x v="0"/>
    <x v="0"/>
    <x v="52"/>
    <x v="5"/>
    <x v="46"/>
    <x v="22"/>
    <x v="1"/>
    <x v="59"/>
    <x v="0"/>
    <x v="234"/>
  </r>
  <r>
    <x v="0"/>
    <x v="28"/>
    <x v="45"/>
    <x v="23"/>
    <x v="20"/>
    <x v="1"/>
    <x v="2"/>
    <x v="227"/>
    <x v="107"/>
    <x v="130"/>
    <x v="119"/>
    <x v="205"/>
    <x v="232"/>
    <x v="232"/>
    <x v="228"/>
    <x v="0"/>
    <x v="230"/>
    <x v="232"/>
    <x v="218"/>
    <x v="0"/>
    <x v="0"/>
    <x v="0"/>
    <x v="40"/>
    <x v="9"/>
    <x v="10"/>
    <x v="15"/>
    <x v="1"/>
    <x v="73"/>
    <x v="0"/>
    <x v="235"/>
  </r>
  <r>
    <x v="0"/>
    <x v="142"/>
    <x v="190"/>
    <x v="35"/>
    <x v="0"/>
    <x v="6"/>
    <x v="24"/>
    <x v="228"/>
    <x v="0"/>
    <x v="131"/>
    <x v="61"/>
    <x v="206"/>
    <x v="233"/>
    <x v="233"/>
    <x v="229"/>
    <x v="2"/>
    <x v="231"/>
    <x v="233"/>
    <x v="219"/>
    <x v="0"/>
    <x v="0"/>
    <x v="0"/>
    <x v="53"/>
    <x v="12"/>
    <x v="48"/>
    <x v="32"/>
    <x v="1"/>
    <x v="7"/>
    <x v="0"/>
    <x v="236"/>
  </r>
  <r>
    <x v="0"/>
    <x v="142"/>
    <x v="62"/>
    <x v="30"/>
    <x v="0"/>
    <x v="6"/>
    <x v="24"/>
    <x v="229"/>
    <x v="0"/>
    <x v="131"/>
    <x v="61"/>
    <x v="206"/>
    <x v="234"/>
    <x v="234"/>
    <x v="230"/>
    <x v="3"/>
    <x v="232"/>
    <x v="234"/>
    <x v="220"/>
    <x v="0"/>
    <x v="0"/>
    <x v="2"/>
    <x v="51"/>
    <x v="19"/>
    <x v="48"/>
    <x v="10"/>
    <x v="0"/>
    <x v="1"/>
    <x v="0"/>
    <x v="237"/>
  </r>
  <r>
    <x v="0"/>
    <x v="45"/>
    <x v="75"/>
    <x v="80"/>
    <x v="0"/>
    <x v="16"/>
    <x v="25"/>
    <x v="230"/>
    <x v="21"/>
    <x v="26"/>
    <x v="37"/>
    <x v="207"/>
    <x v="235"/>
    <x v="235"/>
    <x v="231"/>
    <x v="0"/>
    <x v="233"/>
    <x v="235"/>
    <x v="221"/>
    <x v="0"/>
    <x v="0"/>
    <x v="3"/>
    <x v="51"/>
    <x v="18"/>
    <x v="30"/>
    <x v="14"/>
    <x v="3"/>
    <x v="1"/>
    <x v="0"/>
    <x v="238"/>
  </r>
  <r>
    <x v="0"/>
    <x v="141"/>
    <x v="163"/>
    <x v="67"/>
    <x v="105"/>
    <x v="165"/>
    <x v="24"/>
    <x v="231"/>
    <x v="18"/>
    <x v="25"/>
    <x v="189"/>
    <x v="208"/>
    <x v="236"/>
    <x v="236"/>
    <x v="232"/>
    <x v="1"/>
    <x v="234"/>
    <x v="236"/>
    <x v="222"/>
    <x v="0"/>
    <x v="0"/>
    <x v="0"/>
    <x v="40"/>
    <x v="9"/>
    <x v="127"/>
    <x v="10"/>
    <x v="1"/>
    <x v="81"/>
    <x v="0"/>
    <x v="239"/>
  </r>
  <r>
    <x v="0"/>
    <x v="142"/>
    <x v="191"/>
    <x v="16"/>
    <x v="0"/>
    <x v="1"/>
    <x v="24"/>
    <x v="232"/>
    <x v="0"/>
    <x v="131"/>
    <x v="101"/>
    <x v="209"/>
    <x v="237"/>
    <x v="237"/>
    <x v="233"/>
    <x v="1"/>
    <x v="235"/>
    <x v="237"/>
    <x v="223"/>
    <x v="0"/>
    <x v="0"/>
    <x v="2"/>
    <x v="51"/>
    <x v="15"/>
    <x v="20"/>
    <x v="12"/>
    <x v="1"/>
    <x v="38"/>
    <x v="0"/>
    <x v="240"/>
  </r>
  <r>
    <x v="0"/>
    <x v="143"/>
    <x v="192"/>
    <x v="42"/>
    <x v="106"/>
    <x v="90"/>
    <x v="17"/>
    <x v="233"/>
    <x v="21"/>
    <x v="32"/>
    <x v="190"/>
    <x v="210"/>
    <x v="238"/>
    <x v="238"/>
    <x v="234"/>
    <x v="3"/>
    <x v="236"/>
    <x v="238"/>
    <x v="224"/>
    <x v="0"/>
    <x v="0"/>
    <x v="2"/>
    <x v="37"/>
    <x v="9"/>
    <x v="28"/>
    <x v="11"/>
    <x v="1"/>
    <x v="82"/>
    <x v="0"/>
    <x v="241"/>
  </r>
  <r>
    <x v="0"/>
    <x v="144"/>
    <x v="193"/>
    <x v="38"/>
    <x v="0"/>
    <x v="166"/>
    <x v="74"/>
    <x v="4"/>
    <x v="56"/>
    <x v="132"/>
    <x v="191"/>
    <x v="211"/>
    <x v="239"/>
    <x v="239"/>
    <x v="235"/>
    <x v="1"/>
    <x v="237"/>
    <x v="239"/>
    <x v="225"/>
    <x v="3"/>
    <x v="10"/>
    <x v="1"/>
    <x v="54"/>
    <x v="8"/>
    <x v="128"/>
    <x v="37"/>
    <x v="1"/>
    <x v="83"/>
    <x v="0"/>
    <x v="242"/>
  </r>
  <r>
    <x v="0"/>
    <x v="134"/>
    <x v="194"/>
    <x v="9"/>
    <x v="99"/>
    <x v="167"/>
    <x v="25"/>
    <x v="234"/>
    <x v="108"/>
    <x v="76"/>
    <x v="192"/>
    <x v="212"/>
    <x v="240"/>
    <x v="240"/>
    <x v="236"/>
    <x v="0"/>
    <x v="238"/>
    <x v="240"/>
    <x v="226"/>
    <x v="0"/>
    <x v="0"/>
    <x v="4"/>
    <x v="51"/>
    <x v="19"/>
    <x v="129"/>
    <x v="19"/>
    <x v="1"/>
    <x v="1"/>
    <x v="0"/>
    <x v="243"/>
  </r>
  <r>
    <x v="0"/>
    <x v="145"/>
    <x v="99"/>
    <x v="60"/>
    <x v="107"/>
    <x v="168"/>
    <x v="8"/>
    <x v="235"/>
    <x v="38"/>
    <x v="8"/>
    <x v="16"/>
    <x v="213"/>
    <x v="241"/>
    <x v="241"/>
    <x v="237"/>
    <x v="4"/>
    <x v="239"/>
    <x v="241"/>
    <x v="227"/>
    <x v="0"/>
    <x v="0"/>
    <x v="0"/>
    <x v="51"/>
    <x v="6"/>
    <x v="6"/>
    <x v="9"/>
    <x v="1"/>
    <x v="37"/>
    <x v="0"/>
    <x v="244"/>
  </r>
  <r>
    <x v="0"/>
    <x v="88"/>
    <x v="195"/>
    <x v="59"/>
    <x v="70"/>
    <x v="169"/>
    <x v="75"/>
    <x v="236"/>
    <x v="34"/>
    <x v="133"/>
    <x v="193"/>
    <x v="214"/>
    <x v="242"/>
    <x v="242"/>
    <x v="238"/>
    <x v="0"/>
    <x v="240"/>
    <x v="242"/>
    <x v="228"/>
    <x v="0"/>
    <x v="0"/>
    <x v="0"/>
    <x v="44"/>
    <x v="11"/>
    <x v="130"/>
    <x v="18"/>
    <x v="1"/>
    <x v="66"/>
    <x v="0"/>
    <x v="245"/>
  </r>
  <r>
    <x v="0"/>
    <x v="122"/>
    <x v="196"/>
    <x v="43"/>
    <x v="0"/>
    <x v="170"/>
    <x v="76"/>
    <x v="237"/>
    <x v="109"/>
    <x v="134"/>
    <x v="194"/>
    <x v="215"/>
    <x v="243"/>
    <x v="243"/>
    <x v="239"/>
    <x v="0"/>
    <x v="241"/>
    <x v="243"/>
    <x v="229"/>
    <x v="0"/>
    <x v="1"/>
    <x v="0"/>
    <x v="32"/>
    <x v="9"/>
    <x v="131"/>
    <x v="6"/>
    <x v="1"/>
    <x v="84"/>
    <x v="0"/>
    <x v="246"/>
  </r>
  <r>
    <x v="0"/>
    <x v="146"/>
    <x v="197"/>
    <x v="26"/>
    <x v="108"/>
    <x v="171"/>
    <x v="77"/>
    <x v="238"/>
    <x v="2"/>
    <x v="135"/>
    <x v="195"/>
    <x v="216"/>
    <x v="244"/>
    <x v="244"/>
    <x v="240"/>
    <x v="1"/>
    <x v="242"/>
    <x v="244"/>
    <x v="230"/>
    <x v="0"/>
    <x v="0"/>
    <x v="0"/>
    <x v="55"/>
    <x v="13"/>
    <x v="132"/>
    <x v="27"/>
    <x v="1"/>
    <x v="1"/>
    <x v="0"/>
    <x v="247"/>
  </r>
  <r>
    <x v="0"/>
    <x v="147"/>
    <x v="198"/>
    <x v="52"/>
    <x v="89"/>
    <x v="172"/>
    <x v="15"/>
    <x v="239"/>
    <x v="34"/>
    <x v="136"/>
    <x v="196"/>
    <x v="217"/>
    <x v="245"/>
    <x v="245"/>
    <x v="241"/>
    <x v="9"/>
    <x v="243"/>
    <x v="245"/>
    <x v="231"/>
    <x v="0"/>
    <x v="0"/>
    <x v="0"/>
    <x v="37"/>
    <x v="6"/>
    <x v="133"/>
    <x v="22"/>
    <x v="1"/>
    <x v="85"/>
    <x v="0"/>
    <x v="248"/>
  </r>
  <r>
    <x v="0"/>
    <x v="148"/>
    <x v="199"/>
    <x v="7"/>
    <x v="109"/>
    <x v="173"/>
    <x v="78"/>
    <x v="240"/>
    <x v="5"/>
    <x v="137"/>
    <x v="197"/>
    <x v="218"/>
    <x v="246"/>
    <x v="246"/>
    <x v="242"/>
    <x v="3"/>
    <x v="244"/>
    <x v="246"/>
    <x v="232"/>
    <x v="0"/>
    <x v="0"/>
    <x v="0"/>
    <x v="40"/>
    <x v="2"/>
    <x v="134"/>
    <x v="44"/>
    <x v="1"/>
    <x v="25"/>
    <x v="0"/>
    <x v="249"/>
  </r>
  <r>
    <x v="0"/>
    <x v="80"/>
    <x v="200"/>
    <x v="26"/>
    <x v="63"/>
    <x v="1"/>
    <x v="49"/>
    <x v="241"/>
    <x v="110"/>
    <x v="86"/>
    <x v="103"/>
    <x v="110"/>
    <x v="247"/>
    <x v="247"/>
    <x v="243"/>
    <x v="4"/>
    <x v="245"/>
    <x v="247"/>
    <x v="89"/>
    <x v="0"/>
    <x v="0"/>
    <x v="2"/>
    <x v="43"/>
    <x v="7"/>
    <x v="13"/>
    <x v="21"/>
    <x v="3"/>
    <x v="67"/>
    <x v="0"/>
    <x v="250"/>
  </r>
  <r>
    <x v="0"/>
    <x v="149"/>
    <x v="201"/>
    <x v="37"/>
    <x v="110"/>
    <x v="62"/>
    <x v="25"/>
    <x v="242"/>
    <x v="51"/>
    <x v="138"/>
    <x v="178"/>
    <x v="219"/>
    <x v="248"/>
    <x v="248"/>
    <x v="244"/>
    <x v="0"/>
    <x v="246"/>
    <x v="248"/>
    <x v="233"/>
    <x v="0"/>
    <x v="0"/>
    <x v="0"/>
    <x v="43"/>
    <x v="2"/>
    <x v="12"/>
    <x v="9"/>
    <x v="1"/>
    <x v="76"/>
    <x v="0"/>
    <x v="251"/>
  </r>
  <r>
    <x v="0"/>
    <x v="150"/>
    <x v="202"/>
    <x v="73"/>
    <x v="111"/>
    <x v="174"/>
    <x v="79"/>
    <x v="243"/>
    <x v="2"/>
    <x v="139"/>
    <x v="125"/>
    <x v="220"/>
    <x v="249"/>
    <x v="249"/>
    <x v="245"/>
    <x v="3"/>
    <x v="247"/>
    <x v="249"/>
    <x v="234"/>
    <x v="0"/>
    <x v="1"/>
    <x v="0"/>
    <x v="43"/>
    <x v="13"/>
    <x v="88"/>
    <x v="12"/>
    <x v="1"/>
    <x v="1"/>
    <x v="0"/>
    <x v="252"/>
  </r>
  <r>
    <x v="0"/>
    <x v="42"/>
    <x v="203"/>
    <x v="30"/>
    <x v="30"/>
    <x v="1"/>
    <x v="57"/>
    <x v="244"/>
    <x v="71"/>
    <x v="140"/>
    <x v="198"/>
    <x v="13"/>
    <x v="250"/>
    <x v="250"/>
    <x v="246"/>
    <x v="1"/>
    <x v="248"/>
    <x v="250"/>
    <x v="235"/>
    <x v="0"/>
    <x v="0"/>
    <x v="4"/>
    <x v="43"/>
    <x v="21"/>
    <x v="12"/>
    <x v="1"/>
    <x v="1"/>
    <x v="86"/>
    <x v="0"/>
    <x v="253"/>
  </r>
  <r>
    <x v="0"/>
    <x v="151"/>
    <x v="204"/>
    <x v="31"/>
    <x v="0"/>
    <x v="175"/>
    <x v="2"/>
    <x v="245"/>
    <x v="111"/>
    <x v="75"/>
    <x v="199"/>
    <x v="221"/>
    <x v="251"/>
    <x v="251"/>
    <x v="247"/>
    <x v="0"/>
    <x v="249"/>
    <x v="251"/>
    <x v="236"/>
    <x v="0"/>
    <x v="0"/>
    <x v="0"/>
    <x v="43"/>
    <x v="14"/>
    <x v="135"/>
    <x v="21"/>
    <x v="1"/>
    <x v="1"/>
    <x v="0"/>
    <x v="254"/>
  </r>
  <r>
    <x v="0"/>
    <x v="52"/>
    <x v="167"/>
    <x v="51"/>
    <x v="37"/>
    <x v="109"/>
    <x v="2"/>
    <x v="246"/>
    <x v="112"/>
    <x v="75"/>
    <x v="98"/>
    <x v="222"/>
    <x v="252"/>
    <x v="252"/>
    <x v="248"/>
    <x v="4"/>
    <x v="250"/>
    <x v="252"/>
    <x v="237"/>
    <x v="0"/>
    <x v="0"/>
    <x v="0"/>
    <x v="40"/>
    <x v="12"/>
    <x v="6"/>
    <x v="12"/>
    <x v="1"/>
    <x v="1"/>
    <x v="0"/>
    <x v="255"/>
  </r>
  <r>
    <x v="0"/>
    <x v="127"/>
    <x v="205"/>
    <x v="73"/>
    <x v="94"/>
    <x v="1"/>
    <x v="21"/>
    <x v="247"/>
    <x v="84"/>
    <x v="141"/>
    <x v="200"/>
    <x v="223"/>
    <x v="253"/>
    <x v="253"/>
    <x v="249"/>
    <x v="0"/>
    <x v="251"/>
    <x v="253"/>
    <x v="150"/>
    <x v="0"/>
    <x v="0"/>
    <x v="0"/>
    <x v="43"/>
    <x v="2"/>
    <x v="1"/>
    <x v="22"/>
    <x v="1"/>
    <x v="41"/>
    <x v="0"/>
    <x v="256"/>
  </r>
  <r>
    <x v="1"/>
    <x v="48"/>
    <x v="143"/>
    <x v="92"/>
    <x v="33"/>
    <x v="176"/>
    <x v="19"/>
    <x v="248"/>
    <x v="113"/>
    <x v="20"/>
    <x v="201"/>
    <x v="224"/>
    <x v="254"/>
    <x v="254"/>
    <x v="250"/>
    <x v="0"/>
    <x v="252"/>
    <x v="254"/>
    <x v="238"/>
    <x v="0"/>
    <x v="0"/>
    <x v="0"/>
    <x v="43"/>
    <x v="14"/>
    <x v="13"/>
    <x v="7"/>
    <x v="1"/>
    <x v="1"/>
    <x v="0"/>
    <x v="257"/>
  </r>
  <r>
    <x v="0"/>
    <x v="46"/>
    <x v="141"/>
    <x v="79"/>
    <x v="31"/>
    <x v="177"/>
    <x v="80"/>
    <x v="249"/>
    <x v="56"/>
    <x v="142"/>
    <x v="202"/>
    <x v="225"/>
    <x v="255"/>
    <x v="255"/>
    <x v="251"/>
    <x v="1"/>
    <x v="253"/>
    <x v="255"/>
    <x v="239"/>
    <x v="0"/>
    <x v="0"/>
    <x v="2"/>
    <x v="56"/>
    <x v="5"/>
    <x v="136"/>
    <x v="41"/>
    <x v="1"/>
    <x v="1"/>
    <x v="0"/>
    <x v="258"/>
  </r>
  <r>
    <x v="0"/>
    <x v="152"/>
    <x v="206"/>
    <x v="73"/>
    <x v="16"/>
    <x v="178"/>
    <x v="2"/>
    <x v="250"/>
    <x v="114"/>
    <x v="2"/>
    <x v="203"/>
    <x v="226"/>
    <x v="256"/>
    <x v="256"/>
    <x v="252"/>
    <x v="0"/>
    <x v="254"/>
    <x v="256"/>
    <x v="240"/>
    <x v="0"/>
    <x v="0"/>
    <x v="0"/>
    <x v="40"/>
    <x v="10"/>
    <x v="30"/>
    <x v="27"/>
    <x v="1"/>
    <x v="57"/>
    <x v="0"/>
    <x v="259"/>
  </r>
  <r>
    <x v="0"/>
    <x v="113"/>
    <x v="207"/>
    <x v="84"/>
    <x v="88"/>
    <x v="179"/>
    <x v="81"/>
    <x v="4"/>
    <x v="115"/>
    <x v="143"/>
    <x v="204"/>
    <x v="227"/>
    <x v="257"/>
    <x v="257"/>
    <x v="253"/>
    <x v="2"/>
    <x v="255"/>
    <x v="257"/>
    <x v="241"/>
    <x v="0"/>
    <x v="0"/>
    <x v="6"/>
    <x v="4"/>
    <x v="4"/>
    <x v="137"/>
    <x v="32"/>
    <x v="9"/>
    <x v="1"/>
    <x v="0"/>
    <x v="260"/>
  </r>
  <r>
    <x v="0"/>
    <x v="153"/>
    <x v="35"/>
    <x v="58"/>
    <x v="112"/>
    <x v="1"/>
    <x v="18"/>
    <x v="251"/>
    <x v="116"/>
    <x v="144"/>
    <x v="205"/>
    <x v="228"/>
    <x v="258"/>
    <x v="258"/>
    <x v="254"/>
    <x v="0"/>
    <x v="256"/>
    <x v="258"/>
    <x v="242"/>
    <x v="0"/>
    <x v="0"/>
    <x v="4"/>
    <x v="43"/>
    <x v="11"/>
    <x v="30"/>
    <x v="5"/>
    <x v="1"/>
    <x v="73"/>
    <x v="0"/>
    <x v="261"/>
  </r>
  <r>
    <x v="0"/>
    <x v="154"/>
    <x v="208"/>
    <x v="33"/>
    <x v="113"/>
    <x v="180"/>
    <x v="82"/>
    <x v="252"/>
    <x v="21"/>
    <x v="145"/>
    <x v="206"/>
    <x v="229"/>
    <x v="259"/>
    <x v="259"/>
    <x v="255"/>
    <x v="3"/>
    <x v="257"/>
    <x v="259"/>
    <x v="243"/>
    <x v="0"/>
    <x v="0"/>
    <x v="2"/>
    <x v="43"/>
    <x v="10"/>
    <x v="138"/>
    <x v="34"/>
    <x v="0"/>
    <x v="77"/>
    <x v="0"/>
    <x v="262"/>
  </r>
  <r>
    <x v="0"/>
    <x v="155"/>
    <x v="209"/>
    <x v="93"/>
    <x v="85"/>
    <x v="181"/>
    <x v="25"/>
    <x v="253"/>
    <x v="117"/>
    <x v="26"/>
    <x v="207"/>
    <x v="230"/>
    <x v="260"/>
    <x v="260"/>
    <x v="256"/>
    <x v="0"/>
    <x v="258"/>
    <x v="260"/>
    <x v="244"/>
    <x v="0"/>
    <x v="0"/>
    <x v="2"/>
    <x v="43"/>
    <x v="14"/>
    <x v="139"/>
    <x v="28"/>
    <x v="0"/>
    <x v="87"/>
    <x v="0"/>
    <x v="263"/>
  </r>
  <r>
    <x v="0"/>
    <x v="127"/>
    <x v="198"/>
    <x v="60"/>
    <x v="94"/>
    <x v="91"/>
    <x v="18"/>
    <x v="254"/>
    <x v="118"/>
    <x v="19"/>
    <x v="200"/>
    <x v="116"/>
    <x v="261"/>
    <x v="261"/>
    <x v="257"/>
    <x v="3"/>
    <x v="259"/>
    <x v="261"/>
    <x v="245"/>
    <x v="0"/>
    <x v="0"/>
    <x v="0"/>
    <x v="43"/>
    <x v="6"/>
    <x v="1"/>
    <x v="27"/>
    <x v="1"/>
    <x v="85"/>
    <x v="0"/>
    <x v="264"/>
  </r>
  <r>
    <x v="0"/>
    <x v="80"/>
    <x v="210"/>
    <x v="46"/>
    <x v="63"/>
    <x v="182"/>
    <x v="24"/>
    <x v="255"/>
    <x v="119"/>
    <x v="25"/>
    <x v="208"/>
    <x v="231"/>
    <x v="262"/>
    <x v="262"/>
    <x v="258"/>
    <x v="1"/>
    <x v="260"/>
    <x v="262"/>
    <x v="246"/>
    <x v="0"/>
    <x v="0"/>
    <x v="0"/>
    <x v="43"/>
    <x v="10"/>
    <x v="140"/>
    <x v="1"/>
    <x v="1"/>
    <x v="88"/>
    <x v="0"/>
    <x v="265"/>
  </r>
  <r>
    <x v="0"/>
    <x v="154"/>
    <x v="211"/>
    <x v="72"/>
    <x v="113"/>
    <x v="183"/>
    <x v="83"/>
    <x v="256"/>
    <x v="21"/>
    <x v="146"/>
    <x v="209"/>
    <x v="232"/>
    <x v="263"/>
    <x v="263"/>
    <x v="259"/>
    <x v="3"/>
    <x v="261"/>
    <x v="263"/>
    <x v="247"/>
    <x v="0"/>
    <x v="0"/>
    <x v="2"/>
    <x v="21"/>
    <x v="9"/>
    <x v="141"/>
    <x v="28"/>
    <x v="3"/>
    <x v="1"/>
    <x v="0"/>
    <x v="266"/>
  </r>
  <r>
    <x v="0"/>
    <x v="156"/>
    <x v="212"/>
    <x v="61"/>
    <x v="114"/>
    <x v="184"/>
    <x v="84"/>
    <x v="257"/>
    <x v="120"/>
    <x v="147"/>
    <x v="36"/>
    <x v="233"/>
    <x v="264"/>
    <x v="264"/>
    <x v="260"/>
    <x v="0"/>
    <x v="262"/>
    <x v="264"/>
    <x v="248"/>
    <x v="0"/>
    <x v="0"/>
    <x v="0"/>
    <x v="29"/>
    <x v="13"/>
    <x v="29"/>
    <x v="42"/>
    <x v="1"/>
    <x v="89"/>
    <x v="0"/>
    <x v="267"/>
  </r>
  <r>
    <x v="0"/>
    <x v="81"/>
    <x v="213"/>
    <x v="37"/>
    <x v="64"/>
    <x v="185"/>
    <x v="2"/>
    <x v="258"/>
    <x v="46"/>
    <x v="42"/>
    <x v="210"/>
    <x v="234"/>
    <x v="265"/>
    <x v="265"/>
    <x v="261"/>
    <x v="2"/>
    <x v="263"/>
    <x v="265"/>
    <x v="210"/>
    <x v="0"/>
    <x v="0"/>
    <x v="0"/>
    <x v="43"/>
    <x v="9"/>
    <x v="142"/>
    <x v="10"/>
    <x v="1"/>
    <x v="11"/>
    <x v="0"/>
    <x v="268"/>
  </r>
  <r>
    <x v="0"/>
    <x v="157"/>
    <x v="151"/>
    <x v="74"/>
    <x v="92"/>
    <x v="186"/>
    <x v="57"/>
    <x v="259"/>
    <x v="2"/>
    <x v="99"/>
    <x v="211"/>
    <x v="235"/>
    <x v="266"/>
    <x v="266"/>
    <x v="262"/>
    <x v="1"/>
    <x v="264"/>
    <x v="266"/>
    <x v="249"/>
    <x v="0"/>
    <x v="0"/>
    <x v="0"/>
    <x v="43"/>
    <x v="1"/>
    <x v="95"/>
    <x v="13"/>
    <x v="1"/>
    <x v="1"/>
    <x v="0"/>
    <x v="269"/>
  </r>
  <r>
    <x v="0"/>
    <x v="16"/>
    <x v="214"/>
    <x v="94"/>
    <x v="0"/>
    <x v="187"/>
    <x v="17"/>
    <x v="260"/>
    <x v="38"/>
    <x v="18"/>
    <x v="1"/>
    <x v="236"/>
    <x v="267"/>
    <x v="267"/>
    <x v="263"/>
    <x v="4"/>
    <x v="265"/>
    <x v="267"/>
    <x v="250"/>
    <x v="0"/>
    <x v="3"/>
    <x v="0"/>
    <x v="57"/>
    <x v="18"/>
    <x v="1"/>
    <x v="36"/>
    <x v="1"/>
    <x v="90"/>
    <x v="0"/>
    <x v="270"/>
  </r>
  <r>
    <x v="0"/>
    <x v="158"/>
    <x v="86"/>
    <x v="60"/>
    <x v="115"/>
    <x v="188"/>
    <x v="0"/>
    <x v="261"/>
    <x v="121"/>
    <x v="51"/>
    <x v="212"/>
    <x v="237"/>
    <x v="268"/>
    <x v="268"/>
    <x v="264"/>
    <x v="0"/>
    <x v="266"/>
    <x v="268"/>
    <x v="251"/>
    <x v="0"/>
    <x v="0"/>
    <x v="2"/>
    <x v="43"/>
    <x v="14"/>
    <x v="30"/>
    <x v="27"/>
    <x v="1"/>
    <x v="1"/>
    <x v="0"/>
    <x v="271"/>
  </r>
  <r>
    <x v="1"/>
    <x v="159"/>
    <x v="215"/>
    <x v="28"/>
    <x v="0"/>
    <x v="189"/>
    <x v="14"/>
    <x v="262"/>
    <x v="122"/>
    <x v="14"/>
    <x v="102"/>
    <x v="238"/>
    <x v="269"/>
    <x v="269"/>
    <x v="265"/>
    <x v="1"/>
    <x v="267"/>
    <x v="269"/>
    <x v="252"/>
    <x v="0"/>
    <x v="0"/>
    <x v="4"/>
    <x v="58"/>
    <x v="18"/>
    <x v="72"/>
    <x v="2"/>
    <x v="1"/>
    <x v="1"/>
    <x v="0"/>
    <x v="272"/>
  </r>
  <r>
    <x v="0"/>
    <x v="160"/>
    <x v="216"/>
    <x v="87"/>
    <x v="116"/>
    <x v="190"/>
    <x v="85"/>
    <x v="263"/>
    <x v="56"/>
    <x v="148"/>
    <x v="213"/>
    <x v="239"/>
    <x v="270"/>
    <x v="270"/>
    <x v="266"/>
    <x v="1"/>
    <x v="268"/>
    <x v="270"/>
    <x v="253"/>
    <x v="0"/>
    <x v="0"/>
    <x v="2"/>
    <x v="59"/>
    <x v="17"/>
    <x v="143"/>
    <x v="45"/>
    <x v="3"/>
    <x v="91"/>
    <x v="0"/>
    <x v="273"/>
  </r>
  <r>
    <x v="0"/>
    <x v="104"/>
    <x v="117"/>
    <x v="69"/>
    <x v="82"/>
    <x v="191"/>
    <x v="14"/>
    <x v="264"/>
    <x v="123"/>
    <x v="14"/>
    <x v="42"/>
    <x v="240"/>
    <x v="271"/>
    <x v="271"/>
    <x v="267"/>
    <x v="1"/>
    <x v="269"/>
    <x v="271"/>
    <x v="254"/>
    <x v="0"/>
    <x v="0"/>
    <x v="0"/>
    <x v="40"/>
    <x v="14"/>
    <x v="32"/>
    <x v="1"/>
    <x v="1"/>
    <x v="1"/>
    <x v="0"/>
    <x v="274"/>
  </r>
  <r>
    <x v="0"/>
    <x v="18"/>
    <x v="178"/>
    <x v="20"/>
    <x v="0"/>
    <x v="192"/>
    <x v="21"/>
    <x v="265"/>
    <x v="77"/>
    <x v="22"/>
    <x v="1"/>
    <x v="241"/>
    <x v="272"/>
    <x v="272"/>
    <x v="268"/>
    <x v="1"/>
    <x v="270"/>
    <x v="272"/>
    <x v="255"/>
    <x v="0"/>
    <x v="0"/>
    <x v="4"/>
    <x v="38"/>
    <x v="12"/>
    <x v="1"/>
    <x v="13"/>
    <x v="1"/>
    <x v="1"/>
    <x v="0"/>
    <x v="275"/>
  </r>
  <r>
    <x v="0"/>
    <x v="97"/>
    <x v="217"/>
    <x v="95"/>
    <x v="59"/>
    <x v="77"/>
    <x v="33"/>
    <x v="266"/>
    <x v="56"/>
    <x v="149"/>
    <x v="214"/>
    <x v="242"/>
    <x v="273"/>
    <x v="273"/>
    <x v="269"/>
    <x v="0"/>
    <x v="271"/>
    <x v="273"/>
    <x v="256"/>
    <x v="0"/>
    <x v="8"/>
    <x v="2"/>
    <x v="60"/>
    <x v="15"/>
    <x v="144"/>
    <x v="18"/>
    <x v="3"/>
    <x v="1"/>
    <x v="0"/>
    <x v="276"/>
  </r>
  <r>
    <x v="0"/>
    <x v="161"/>
    <x v="103"/>
    <x v="55"/>
    <x v="117"/>
    <x v="193"/>
    <x v="86"/>
    <x v="267"/>
    <x v="124"/>
    <x v="150"/>
    <x v="215"/>
    <x v="243"/>
    <x v="274"/>
    <x v="274"/>
    <x v="270"/>
    <x v="0"/>
    <x v="272"/>
    <x v="274"/>
    <x v="178"/>
    <x v="0"/>
    <x v="0"/>
    <x v="3"/>
    <x v="21"/>
    <x v="0"/>
    <x v="145"/>
    <x v="1"/>
    <x v="3"/>
    <x v="9"/>
    <x v="0"/>
    <x v="277"/>
  </r>
  <r>
    <x v="0"/>
    <x v="18"/>
    <x v="218"/>
    <x v="12"/>
    <x v="0"/>
    <x v="194"/>
    <x v="57"/>
    <x v="268"/>
    <x v="47"/>
    <x v="109"/>
    <x v="216"/>
    <x v="244"/>
    <x v="275"/>
    <x v="275"/>
    <x v="271"/>
    <x v="1"/>
    <x v="273"/>
    <x v="275"/>
    <x v="257"/>
    <x v="0"/>
    <x v="0"/>
    <x v="0"/>
    <x v="61"/>
    <x v="2"/>
    <x v="146"/>
    <x v="14"/>
    <x v="1"/>
    <x v="92"/>
    <x v="0"/>
    <x v="278"/>
  </r>
  <r>
    <x v="2"/>
    <x v="162"/>
    <x v="4"/>
    <x v="96"/>
    <x v="0"/>
    <x v="4"/>
    <x v="87"/>
    <x v="4"/>
    <x v="125"/>
    <x v="151"/>
    <x v="217"/>
    <x v="4"/>
    <x v="276"/>
    <x v="276"/>
    <x v="272"/>
    <x v="0"/>
    <x v="4"/>
    <x v="276"/>
    <x v="4"/>
    <x v="1"/>
    <x v="2"/>
    <x v="1"/>
    <x v="4"/>
    <x v="4"/>
    <x v="147"/>
    <x v="13"/>
    <x v="2"/>
    <x v="1"/>
    <x v="0"/>
    <x v="279"/>
  </r>
  <r>
    <x v="0"/>
    <x v="27"/>
    <x v="192"/>
    <x v="16"/>
    <x v="0"/>
    <x v="23"/>
    <x v="32"/>
    <x v="269"/>
    <x v="126"/>
    <x v="59"/>
    <x v="127"/>
    <x v="89"/>
    <x v="277"/>
    <x v="277"/>
    <x v="273"/>
    <x v="1"/>
    <x v="274"/>
    <x v="277"/>
    <x v="53"/>
    <x v="0"/>
    <x v="0"/>
    <x v="0"/>
    <x v="62"/>
    <x v="12"/>
    <x v="47"/>
    <x v="8"/>
    <x v="1"/>
    <x v="1"/>
    <x v="0"/>
    <x v="280"/>
  </r>
  <r>
    <x v="0"/>
    <x v="163"/>
    <x v="219"/>
    <x v="27"/>
    <x v="80"/>
    <x v="60"/>
    <x v="88"/>
    <x v="270"/>
    <x v="127"/>
    <x v="152"/>
    <x v="218"/>
    <x v="74"/>
    <x v="278"/>
    <x v="278"/>
    <x v="274"/>
    <x v="0"/>
    <x v="275"/>
    <x v="278"/>
    <x v="258"/>
    <x v="0"/>
    <x v="11"/>
    <x v="4"/>
    <x v="63"/>
    <x v="18"/>
    <x v="148"/>
    <x v="46"/>
    <x v="3"/>
    <x v="93"/>
    <x v="0"/>
    <x v="281"/>
  </r>
  <r>
    <x v="0"/>
    <x v="164"/>
    <x v="177"/>
    <x v="46"/>
    <x v="118"/>
    <x v="23"/>
    <x v="25"/>
    <x v="271"/>
    <x v="23"/>
    <x v="76"/>
    <x v="98"/>
    <x v="245"/>
    <x v="279"/>
    <x v="279"/>
    <x v="275"/>
    <x v="1"/>
    <x v="276"/>
    <x v="279"/>
    <x v="259"/>
    <x v="0"/>
    <x v="0"/>
    <x v="0"/>
    <x v="63"/>
    <x v="21"/>
    <x v="6"/>
    <x v="12"/>
    <x v="1"/>
    <x v="1"/>
    <x v="0"/>
    <x v="282"/>
  </r>
  <r>
    <x v="0"/>
    <x v="18"/>
    <x v="220"/>
    <x v="94"/>
    <x v="0"/>
    <x v="195"/>
    <x v="22"/>
    <x v="272"/>
    <x v="128"/>
    <x v="153"/>
    <x v="219"/>
    <x v="246"/>
    <x v="280"/>
    <x v="280"/>
    <x v="276"/>
    <x v="0"/>
    <x v="277"/>
    <x v="280"/>
    <x v="260"/>
    <x v="0"/>
    <x v="0"/>
    <x v="4"/>
    <x v="47"/>
    <x v="21"/>
    <x v="149"/>
    <x v="3"/>
    <x v="1"/>
    <x v="90"/>
    <x v="0"/>
    <x v="283"/>
  </r>
  <r>
    <x v="0"/>
    <x v="38"/>
    <x v="153"/>
    <x v="97"/>
    <x v="25"/>
    <x v="196"/>
    <x v="14"/>
    <x v="273"/>
    <x v="123"/>
    <x v="56"/>
    <x v="220"/>
    <x v="247"/>
    <x v="281"/>
    <x v="281"/>
    <x v="277"/>
    <x v="0"/>
    <x v="278"/>
    <x v="281"/>
    <x v="261"/>
    <x v="0"/>
    <x v="0"/>
    <x v="0"/>
    <x v="64"/>
    <x v="19"/>
    <x v="150"/>
    <x v="16"/>
    <x v="1"/>
    <x v="1"/>
    <x v="0"/>
    <x v="284"/>
  </r>
  <r>
    <x v="0"/>
    <x v="126"/>
    <x v="221"/>
    <x v="89"/>
    <x v="0"/>
    <x v="168"/>
    <x v="2"/>
    <x v="274"/>
    <x v="8"/>
    <x v="113"/>
    <x v="221"/>
    <x v="248"/>
    <x v="282"/>
    <x v="282"/>
    <x v="278"/>
    <x v="1"/>
    <x v="279"/>
    <x v="282"/>
    <x v="262"/>
    <x v="0"/>
    <x v="1"/>
    <x v="2"/>
    <x v="32"/>
    <x v="19"/>
    <x v="10"/>
    <x v="38"/>
    <x v="1"/>
    <x v="1"/>
    <x v="0"/>
    <x v="285"/>
  </r>
  <r>
    <x v="1"/>
    <x v="30"/>
    <x v="222"/>
    <x v="48"/>
    <x v="22"/>
    <x v="197"/>
    <x v="18"/>
    <x v="275"/>
    <x v="2"/>
    <x v="144"/>
    <x v="222"/>
    <x v="249"/>
    <x v="283"/>
    <x v="283"/>
    <x v="279"/>
    <x v="1"/>
    <x v="280"/>
    <x v="283"/>
    <x v="263"/>
    <x v="0"/>
    <x v="1"/>
    <x v="0"/>
    <x v="16"/>
    <x v="7"/>
    <x v="30"/>
    <x v="25"/>
    <x v="1"/>
    <x v="1"/>
    <x v="0"/>
    <x v="286"/>
  </r>
  <r>
    <x v="0"/>
    <x v="24"/>
    <x v="223"/>
    <x v="73"/>
    <x v="17"/>
    <x v="162"/>
    <x v="0"/>
    <x v="276"/>
    <x v="18"/>
    <x v="154"/>
    <x v="223"/>
    <x v="250"/>
    <x v="284"/>
    <x v="284"/>
    <x v="280"/>
    <x v="0"/>
    <x v="281"/>
    <x v="284"/>
    <x v="264"/>
    <x v="0"/>
    <x v="0"/>
    <x v="0"/>
    <x v="32"/>
    <x v="18"/>
    <x v="151"/>
    <x v="20"/>
    <x v="1"/>
    <x v="1"/>
    <x v="0"/>
    <x v="287"/>
  </r>
  <r>
    <x v="0"/>
    <x v="0"/>
    <x v="134"/>
    <x v="9"/>
    <x v="0"/>
    <x v="198"/>
    <x v="89"/>
    <x v="277"/>
    <x v="46"/>
    <x v="155"/>
    <x v="224"/>
    <x v="251"/>
    <x v="285"/>
    <x v="285"/>
    <x v="281"/>
    <x v="0"/>
    <x v="282"/>
    <x v="285"/>
    <x v="265"/>
    <x v="0"/>
    <x v="0"/>
    <x v="4"/>
    <x v="64"/>
    <x v="23"/>
    <x v="152"/>
    <x v="3"/>
    <x v="1"/>
    <x v="38"/>
    <x v="0"/>
    <x v="288"/>
  </r>
  <r>
    <x v="0"/>
    <x v="159"/>
    <x v="122"/>
    <x v="35"/>
    <x v="0"/>
    <x v="1"/>
    <x v="1"/>
    <x v="278"/>
    <x v="129"/>
    <x v="1"/>
    <x v="3"/>
    <x v="16"/>
    <x v="286"/>
    <x v="286"/>
    <x v="282"/>
    <x v="1"/>
    <x v="283"/>
    <x v="286"/>
    <x v="266"/>
    <x v="0"/>
    <x v="0"/>
    <x v="4"/>
    <x v="32"/>
    <x v="0"/>
    <x v="3"/>
    <x v="15"/>
    <x v="1"/>
    <x v="1"/>
    <x v="0"/>
    <x v="289"/>
  </r>
  <r>
    <x v="0"/>
    <x v="18"/>
    <x v="31"/>
    <x v="53"/>
    <x v="0"/>
    <x v="199"/>
    <x v="11"/>
    <x v="279"/>
    <x v="130"/>
    <x v="156"/>
    <x v="225"/>
    <x v="252"/>
    <x v="287"/>
    <x v="287"/>
    <x v="283"/>
    <x v="0"/>
    <x v="284"/>
    <x v="287"/>
    <x v="267"/>
    <x v="0"/>
    <x v="0"/>
    <x v="4"/>
    <x v="32"/>
    <x v="1"/>
    <x v="153"/>
    <x v="6"/>
    <x v="3"/>
    <x v="1"/>
    <x v="0"/>
    <x v="290"/>
  </r>
  <r>
    <x v="0"/>
    <x v="0"/>
    <x v="160"/>
    <x v="8"/>
    <x v="0"/>
    <x v="200"/>
    <x v="35"/>
    <x v="280"/>
    <x v="131"/>
    <x v="157"/>
    <x v="226"/>
    <x v="253"/>
    <x v="288"/>
    <x v="288"/>
    <x v="284"/>
    <x v="0"/>
    <x v="285"/>
    <x v="288"/>
    <x v="268"/>
    <x v="0"/>
    <x v="0"/>
    <x v="4"/>
    <x v="51"/>
    <x v="24"/>
    <x v="30"/>
    <x v="13"/>
    <x v="1"/>
    <x v="1"/>
    <x v="0"/>
    <x v="291"/>
  </r>
  <r>
    <x v="0"/>
    <x v="165"/>
    <x v="143"/>
    <x v="11"/>
    <x v="119"/>
    <x v="201"/>
    <x v="11"/>
    <x v="281"/>
    <x v="23"/>
    <x v="156"/>
    <x v="227"/>
    <x v="254"/>
    <x v="289"/>
    <x v="289"/>
    <x v="285"/>
    <x v="1"/>
    <x v="286"/>
    <x v="289"/>
    <x v="269"/>
    <x v="0"/>
    <x v="0"/>
    <x v="4"/>
    <x v="32"/>
    <x v="0"/>
    <x v="154"/>
    <x v="21"/>
    <x v="1"/>
    <x v="1"/>
    <x v="0"/>
    <x v="292"/>
  </r>
  <r>
    <x v="0"/>
    <x v="166"/>
    <x v="224"/>
    <x v="42"/>
    <x v="8"/>
    <x v="202"/>
    <x v="13"/>
    <x v="282"/>
    <x v="127"/>
    <x v="158"/>
    <x v="228"/>
    <x v="255"/>
    <x v="290"/>
    <x v="290"/>
    <x v="286"/>
    <x v="10"/>
    <x v="287"/>
    <x v="290"/>
    <x v="270"/>
    <x v="0"/>
    <x v="0"/>
    <x v="0"/>
    <x v="32"/>
    <x v="5"/>
    <x v="155"/>
    <x v="34"/>
    <x v="3"/>
    <x v="1"/>
    <x v="0"/>
    <x v="293"/>
  </r>
  <r>
    <x v="0"/>
    <x v="167"/>
    <x v="220"/>
    <x v="38"/>
    <x v="120"/>
    <x v="203"/>
    <x v="25"/>
    <x v="283"/>
    <x v="132"/>
    <x v="138"/>
    <x v="229"/>
    <x v="256"/>
    <x v="291"/>
    <x v="291"/>
    <x v="287"/>
    <x v="4"/>
    <x v="288"/>
    <x v="291"/>
    <x v="271"/>
    <x v="0"/>
    <x v="0"/>
    <x v="0"/>
    <x v="32"/>
    <x v="5"/>
    <x v="135"/>
    <x v="10"/>
    <x v="1"/>
    <x v="37"/>
    <x v="0"/>
    <x v="294"/>
  </r>
  <r>
    <x v="0"/>
    <x v="168"/>
    <x v="225"/>
    <x v="69"/>
    <x v="111"/>
    <x v="204"/>
    <x v="0"/>
    <x v="284"/>
    <x v="133"/>
    <x v="159"/>
    <x v="230"/>
    <x v="257"/>
    <x v="292"/>
    <x v="292"/>
    <x v="288"/>
    <x v="1"/>
    <x v="289"/>
    <x v="292"/>
    <x v="104"/>
    <x v="0"/>
    <x v="0"/>
    <x v="4"/>
    <x v="32"/>
    <x v="25"/>
    <x v="156"/>
    <x v="9"/>
    <x v="1"/>
    <x v="1"/>
    <x v="0"/>
    <x v="295"/>
  </r>
  <r>
    <x v="0"/>
    <x v="169"/>
    <x v="226"/>
    <x v="28"/>
    <x v="121"/>
    <x v="161"/>
    <x v="19"/>
    <x v="285"/>
    <x v="134"/>
    <x v="20"/>
    <x v="231"/>
    <x v="197"/>
    <x v="293"/>
    <x v="293"/>
    <x v="289"/>
    <x v="1"/>
    <x v="290"/>
    <x v="293"/>
    <x v="272"/>
    <x v="0"/>
    <x v="0"/>
    <x v="4"/>
    <x v="32"/>
    <x v="3"/>
    <x v="6"/>
    <x v="3"/>
    <x v="1"/>
    <x v="94"/>
    <x v="0"/>
    <x v="296"/>
  </r>
  <r>
    <x v="0"/>
    <x v="170"/>
    <x v="227"/>
    <x v="43"/>
    <x v="122"/>
    <x v="205"/>
    <x v="35"/>
    <x v="286"/>
    <x v="135"/>
    <x v="124"/>
    <x v="232"/>
    <x v="258"/>
    <x v="294"/>
    <x v="294"/>
    <x v="290"/>
    <x v="0"/>
    <x v="291"/>
    <x v="294"/>
    <x v="273"/>
    <x v="0"/>
    <x v="0"/>
    <x v="3"/>
    <x v="32"/>
    <x v="25"/>
    <x v="157"/>
    <x v="8"/>
    <x v="0"/>
    <x v="1"/>
    <x v="0"/>
    <x v="297"/>
  </r>
  <r>
    <x v="0"/>
    <x v="171"/>
    <x v="142"/>
    <x v="98"/>
    <x v="123"/>
    <x v="206"/>
    <x v="90"/>
    <x v="287"/>
    <x v="21"/>
    <x v="160"/>
    <x v="233"/>
    <x v="259"/>
    <x v="295"/>
    <x v="295"/>
    <x v="29"/>
    <x v="1"/>
    <x v="292"/>
    <x v="295"/>
    <x v="209"/>
    <x v="0"/>
    <x v="0"/>
    <x v="3"/>
    <x v="32"/>
    <x v="21"/>
    <x v="158"/>
    <x v="11"/>
    <x v="10"/>
    <x v="1"/>
    <x v="0"/>
    <x v="298"/>
  </r>
  <r>
    <x v="0"/>
    <x v="172"/>
    <x v="228"/>
    <x v="33"/>
    <x v="124"/>
    <x v="47"/>
    <x v="8"/>
    <x v="288"/>
    <x v="2"/>
    <x v="35"/>
    <x v="234"/>
    <x v="260"/>
    <x v="296"/>
    <x v="296"/>
    <x v="291"/>
    <x v="3"/>
    <x v="293"/>
    <x v="296"/>
    <x v="274"/>
    <x v="0"/>
    <x v="0"/>
    <x v="4"/>
    <x v="65"/>
    <x v="3"/>
    <x v="44"/>
    <x v="10"/>
    <x v="1"/>
    <x v="95"/>
    <x v="0"/>
    <x v="299"/>
  </r>
  <r>
    <x v="0"/>
    <x v="71"/>
    <x v="229"/>
    <x v="22"/>
    <x v="56"/>
    <x v="159"/>
    <x v="25"/>
    <x v="289"/>
    <x v="136"/>
    <x v="76"/>
    <x v="235"/>
    <x v="261"/>
    <x v="297"/>
    <x v="297"/>
    <x v="292"/>
    <x v="0"/>
    <x v="294"/>
    <x v="297"/>
    <x v="275"/>
    <x v="0"/>
    <x v="0"/>
    <x v="2"/>
    <x v="32"/>
    <x v="14"/>
    <x v="159"/>
    <x v="8"/>
    <x v="1"/>
    <x v="1"/>
    <x v="0"/>
    <x v="300"/>
  </r>
  <r>
    <x v="1"/>
    <x v="173"/>
    <x v="230"/>
    <x v="27"/>
    <x v="125"/>
    <x v="207"/>
    <x v="22"/>
    <x v="290"/>
    <x v="11"/>
    <x v="153"/>
    <x v="236"/>
    <x v="262"/>
    <x v="298"/>
    <x v="298"/>
    <x v="293"/>
    <x v="0"/>
    <x v="295"/>
    <x v="298"/>
    <x v="276"/>
    <x v="0"/>
    <x v="0"/>
    <x v="2"/>
    <x v="32"/>
    <x v="7"/>
    <x v="160"/>
    <x v="37"/>
    <x v="1"/>
    <x v="1"/>
    <x v="0"/>
    <x v="301"/>
  </r>
  <r>
    <x v="0"/>
    <x v="174"/>
    <x v="231"/>
    <x v="59"/>
    <x v="0"/>
    <x v="208"/>
    <x v="91"/>
    <x v="291"/>
    <x v="37"/>
    <x v="161"/>
    <x v="237"/>
    <x v="263"/>
    <x v="299"/>
    <x v="299"/>
    <x v="294"/>
    <x v="0"/>
    <x v="296"/>
    <x v="299"/>
    <x v="156"/>
    <x v="0"/>
    <x v="8"/>
    <x v="2"/>
    <x v="32"/>
    <x v="0"/>
    <x v="42"/>
    <x v="2"/>
    <x v="1"/>
    <x v="59"/>
    <x v="0"/>
    <x v="302"/>
  </r>
  <r>
    <x v="0"/>
    <x v="96"/>
    <x v="127"/>
    <x v="70"/>
    <x v="75"/>
    <x v="105"/>
    <x v="24"/>
    <x v="142"/>
    <x v="15"/>
    <x v="25"/>
    <x v="122"/>
    <x v="130"/>
    <x v="144"/>
    <x v="144"/>
    <x v="142"/>
    <x v="2"/>
    <x v="144"/>
    <x v="144"/>
    <x v="139"/>
    <x v="0"/>
    <x v="0"/>
    <x v="2"/>
    <x v="16"/>
    <x v="2"/>
    <x v="86"/>
    <x v="27"/>
    <x v="1"/>
    <x v="4"/>
    <x v="0"/>
    <x v="303"/>
  </r>
  <r>
    <x v="0"/>
    <x v="175"/>
    <x v="232"/>
    <x v="58"/>
    <x v="126"/>
    <x v="209"/>
    <x v="21"/>
    <x v="292"/>
    <x v="45"/>
    <x v="162"/>
    <x v="238"/>
    <x v="264"/>
    <x v="300"/>
    <x v="300"/>
    <x v="295"/>
    <x v="4"/>
    <x v="297"/>
    <x v="300"/>
    <x v="277"/>
    <x v="0"/>
    <x v="0"/>
    <x v="2"/>
    <x v="32"/>
    <x v="9"/>
    <x v="161"/>
    <x v="10"/>
    <x v="1"/>
    <x v="16"/>
    <x v="0"/>
    <x v="304"/>
  </r>
  <r>
    <x v="0"/>
    <x v="176"/>
    <x v="233"/>
    <x v="33"/>
    <x v="127"/>
    <x v="23"/>
    <x v="1"/>
    <x v="293"/>
    <x v="137"/>
    <x v="1"/>
    <x v="98"/>
    <x v="265"/>
    <x v="301"/>
    <x v="301"/>
    <x v="296"/>
    <x v="0"/>
    <x v="298"/>
    <x v="301"/>
    <x v="278"/>
    <x v="0"/>
    <x v="0"/>
    <x v="0"/>
    <x v="32"/>
    <x v="5"/>
    <x v="6"/>
    <x v="19"/>
    <x v="1"/>
    <x v="68"/>
    <x v="0"/>
    <x v="305"/>
  </r>
  <r>
    <x v="0"/>
    <x v="177"/>
    <x v="215"/>
    <x v="61"/>
    <x v="0"/>
    <x v="53"/>
    <x v="0"/>
    <x v="294"/>
    <x v="138"/>
    <x v="0"/>
    <x v="239"/>
    <x v="266"/>
    <x v="302"/>
    <x v="302"/>
    <x v="297"/>
    <x v="0"/>
    <x v="299"/>
    <x v="302"/>
    <x v="279"/>
    <x v="0"/>
    <x v="0"/>
    <x v="4"/>
    <x v="66"/>
    <x v="15"/>
    <x v="30"/>
    <x v="20"/>
    <x v="1"/>
    <x v="43"/>
    <x v="0"/>
    <x v="306"/>
  </r>
  <r>
    <x v="0"/>
    <x v="103"/>
    <x v="146"/>
    <x v="14"/>
    <x v="81"/>
    <x v="210"/>
    <x v="19"/>
    <x v="295"/>
    <x v="139"/>
    <x v="20"/>
    <x v="135"/>
    <x v="267"/>
    <x v="303"/>
    <x v="303"/>
    <x v="298"/>
    <x v="0"/>
    <x v="300"/>
    <x v="303"/>
    <x v="45"/>
    <x v="0"/>
    <x v="8"/>
    <x v="4"/>
    <x v="32"/>
    <x v="7"/>
    <x v="13"/>
    <x v="25"/>
    <x v="1"/>
    <x v="57"/>
    <x v="0"/>
    <x v="307"/>
  </r>
  <r>
    <x v="0"/>
    <x v="48"/>
    <x v="234"/>
    <x v="99"/>
    <x v="33"/>
    <x v="6"/>
    <x v="19"/>
    <x v="296"/>
    <x v="140"/>
    <x v="20"/>
    <x v="240"/>
    <x v="64"/>
    <x v="304"/>
    <x v="304"/>
    <x v="299"/>
    <x v="3"/>
    <x v="301"/>
    <x v="304"/>
    <x v="280"/>
    <x v="0"/>
    <x v="0"/>
    <x v="4"/>
    <x v="32"/>
    <x v="9"/>
    <x v="6"/>
    <x v="17"/>
    <x v="1"/>
    <x v="96"/>
    <x v="0"/>
    <x v="308"/>
  </r>
  <r>
    <x v="0"/>
    <x v="133"/>
    <x v="235"/>
    <x v="61"/>
    <x v="98"/>
    <x v="134"/>
    <x v="68"/>
    <x v="297"/>
    <x v="1"/>
    <x v="120"/>
    <x v="241"/>
    <x v="268"/>
    <x v="305"/>
    <x v="305"/>
    <x v="300"/>
    <x v="2"/>
    <x v="302"/>
    <x v="305"/>
    <x v="281"/>
    <x v="0"/>
    <x v="0"/>
    <x v="0"/>
    <x v="32"/>
    <x v="16"/>
    <x v="162"/>
    <x v="28"/>
    <x v="3"/>
    <x v="1"/>
    <x v="0"/>
    <x v="309"/>
  </r>
  <r>
    <x v="0"/>
    <x v="130"/>
    <x v="203"/>
    <x v="74"/>
    <x v="96"/>
    <x v="211"/>
    <x v="92"/>
    <x v="298"/>
    <x v="141"/>
    <x v="163"/>
    <x v="242"/>
    <x v="269"/>
    <x v="306"/>
    <x v="306"/>
    <x v="301"/>
    <x v="0"/>
    <x v="303"/>
    <x v="306"/>
    <x v="282"/>
    <x v="0"/>
    <x v="0"/>
    <x v="4"/>
    <x v="21"/>
    <x v="13"/>
    <x v="163"/>
    <x v="13"/>
    <x v="3"/>
    <x v="1"/>
    <x v="0"/>
    <x v="310"/>
  </r>
  <r>
    <x v="0"/>
    <x v="178"/>
    <x v="236"/>
    <x v="100"/>
    <x v="128"/>
    <x v="1"/>
    <x v="10"/>
    <x v="299"/>
    <x v="142"/>
    <x v="33"/>
    <x v="243"/>
    <x v="49"/>
    <x v="307"/>
    <x v="307"/>
    <x v="302"/>
    <x v="7"/>
    <x v="304"/>
    <x v="307"/>
    <x v="283"/>
    <x v="0"/>
    <x v="8"/>
    <x v="4"/>
    <x v="64"/>
    <x v="3"/>
    <x v="1"/>
    <x v="7"/>
    <x v="1"/>
    <x v="97"/>
    <x v="0"/>
    <x v="311"/>
  </r>
  <r>
    <x v="0"/>
    <x v="10"/>
    <x v="86"/>
    <x v="59"/>
    <x v="0"/>
    <x v="212"/>
    <x v="35"/>
    <x v="300"/>
    <x v="143"/>
    <x v="164"/>
    <x v="244"/>
    <x v="270"/>
    <x v="308"/>
    <x v="308"/>
    <x v="303"/>
    <x v="1"/>
    <x v="305"/>
    <x v="308"/>
    <x v="284"/>
    <x v="0"/>
    <x v="0"/>
    <x v="2"/>
    <x v="67"/>
    <x v="5"/>
    <x v="164"/>
    <x v="15"/>
    <x v="1"/>
    <x v="37"/>
    <x v="0"/>
    <x v="312"/>
  </r>
  <r>
    <x v="0"/>
    <x v="179"/>
    <x v="237"/>
    <x v="101"/>
    <x v="129"/>
    <x v="213"/>
    <x v="93"/>
    <x v="301"/>
    <x v="144"/>
    <x v="165"/>
    <x v="245"/>
    <x v="271"/>
    <x v="309"/>
    <x v="309"/>
    <x v="304"/>
    <x v="0"/>
    <x v="306"/>
    <x v="309"/>
    <x v="285"/>
    <x v="0"/>
    <x v="0"/>
    <x v="0"/>
    <x v="32"/>
    <x v="14"/>
    <x v="165"/>
    <x v="47"/>
    <x v="1"/>
    <x v="1"/>
    <x v="0"/>
    <x v="313"/>
  </r>
  <r>
    <x v="0"/>
    <x v="25"/>
    <x v="114"/>
    <x v="59"/>
    <x v="18"/>
    <x v="214"/>
    <x v="25"/>
    <x v="302"/>
    <x v="9"/>
    <x v="138"/>
    <x v="246"/>
    <x v="272"/>
    <x v="310"/>
    <x v="310"/>
    <x v="305"/>
    <x v="0"/>
    <x v="307"/>
    <x v="310"/>
    <x v="286"/>
    <x v="0"/>
    <x v="0"/>
    <x v="0"/>
    <x v="32"/>
    <x v="11"/>
    <x v="13"/>
    <x v="19"/>
    <x v="1"/>
    <x v="90"/>
    <x v="0"/>
    <x v="314"/>
  </r>
  <r>
    <x v="0"/>
    <x v="161"/>
    <x v="238"/>
    <x v="54"/>
    <x v="117"/>
    <x v="215"/>
    <x v="29"/>
    <x v="303"/>
    <x v="25"/>
    <x v="58"/>
    <x v="124"/>
    <x v="273"/>
    <x v="311"/>
    <x v="311"/>
    <x v="306"/>
    <x v="0"/>
    <x v="308"/>
    <x v="311"/>
    <x v="287"/>
    <x v="0"/>
    <x v="0"/>
    <x v="2"/>
    <x v="23"/>
    <x v="19"/>
    <x v="87"/>
    <x v="1"/>
    <x v="11"/>
    <x v="1"/>
    <x v="0"/>
    <x v="315"/>
  </r>
  <r>
    <x v="0"/>
    <x v="180"/>
    <x v="111"/>
    <x v="58"/>
    <x v="79"/>
    <x v="216"/>
    <x v="94"/>
    <x v="304"/>
    <x v="145"/>
    <x v="166"/>
    <x v="247"/>
    <x v="274"/>
    <x v="312"/>
    <x v="312"/>
    <x v="307"/>
    <x v="1"/>
    <x v="309"/>
    <x v="312"/>
    <x v="288"/>
    <x v="0"/>
    <x v="0"/>
    <x v="0"/>
    <x v="32"/>
    <x v="0"/>
    <x v="166"/>
    <x v="28"/>
    <x v="3"/>
    <x v="1"/>
    <x v="0"/>
    <x v="316"/>
  </r>
  <r>
    <x v="0"/>
    <x v="181"/>
    <x v="191"/>
    <x v="22"/>
    <x v="130"/>
    <x v="21"/>
    <x v="8"/>
    <x v="305"/>
    <x v="2"/>
    <x v="35"/>
    <x v="234"/>
    <x v="275"/>
    <x v="313"/>
    <x v="313"/>
    <x v="308"/>
    <x v="11"/>
    <x v="310"/>
    <x v="313"/>
    <x v="268"/>
    <x v="0"/>
    <x v="0"/>
    <x v="0"/>
    <x v="63"/>
    <x v="11"/>
    <x v="44"/>
    <x v="9"/>
    <x v="1"/>
    <x v="15"/>
    <x v="0"/>
    <x v="317"/>
  </r>
  <r>
    <x v="0"/>
    <x v="182"/>
    <x v="145"/>
    <x v="37"/>
    <x v="107"/>
    <x v="122"/>
    <x v="0"/>
    <x v="306"/>
    <x v="146"/>
    <x v="167"/>
    <x v="112"/>
    <x v="151"/>
    <x v="314"/>
    <x v="314"/>
    <x v="309"/>
    <x v="1"/>
    <x v="311"/>
    <x v="314"/>
    <x v="289"/>
    <x v="0"/>
    <x v="0"/>
    <x v="0"/>
    <x v="21"/>
    <x v="2"/>
    <x v="80"/>
    <x v="43"/>
    <x v="1"/>
    <x v="40"/>
    <x v="0"/>
    <x v="318"/>
  </r>
  <r>
    <x v="0"/>
    <x v="183"/>
    <x v="239"/>
    <x v="50"/>
    <x v="85"/>
    <x v="217"/>
    <x v="95"/>
    <x v="307"/>
    <x v="35"/>
    <x v="168"/>
    <x v="248"/>
    <x v="276"/>
    <x v="315"/>
    <x v="315"/>
    <x v="310"/>
    <x v="0"/>
    <x v="312"/>
    <x v="315"/>
    <x v="63"/>
    <x v="0"/>
    <x v="0"/>
    <x v="2"/>
    <x v="68"/>
    <x v="12"/>
    <x v="167"/>
    <x v="48"/>
    <x v="3"/>
    <x v="98"/>
    <x v="0"/>
    <x v="319"/>
  </r>
  <r>
    <x v="0"/>
    <x v="84"/>
    <x v="172"/>
    <x v="40"/>
    <x v="67"/>
    <x v="218"/>
    <x v="8"/>
    <x v="308"/>
    <x v="147"/>
    <x v="8"/>
    <x v="249"/>
    <x v="277"/>
    <x v="316"/>
    <x v="316"/>
    <x v="311"/>
    <x v="0"/>
    <x v="313"/>
    <x v="316"/>
    <x v="290"/>
    <x v="0"/>
    <x v="0"/>
    <x v="0"/>
    <x v="32"/>
    <x v="2"/>
    <x v="168"/>
    <x v="15"/>
    <x v="3"/>
    <x v="41"/>
    <x v="0"/>
    <x v="320"/>
  </r>
  <r>
    <x v="0"/>
    <x v="184"/>
    <x v="240"/>
    <x v="54"/>
    <x v="45"/>
    <x v="219"/>
    <x v="22"/>
    <x v="309"/>
    <x v="148"/>
    <x v="169"/>
    <x v="250"/>
    <x v="278"/>
    <x v="317"/>
    <x v="317"/>
    <x v="312"/>
    <x v="1"/>
    <x v="314"/>
    <x v="317"/>
    <x v="291"/>
    <x v="0"/>
    <x v="0"/>
    <x v="0"/>
    <x v="32"/>
    <x v="19"/>
    <x v="169"/>
    <x v="45"/>
    <x v="3"/>
    <x v="99"/>
    <x v="0"/>
    <x v="321"/>
  </r>
  <r>
    <x v="0"/>
    <x v="116"/>
    <x v="156"/>
    <x v="69"/>
    <x v="90"/>
    <x v="220"/>
    <x v="57"/>
    <x v="310"/>
    <x v="149"/>
    <x v="109"/>
    <x v="251"/>
    <x v="279"/>
    <x v="318"/>
    <x v="318"/>
    <x v="313"/>
    <x v="1"/>
    <x v="315"/>
    <x v="318"/>
    <x v="292"/>
    <x v="0"/>
    <x v="10"/>
    <x v="4"/>
    <x v="32"/>
    <x v="5"/>
    <x v="170"/>
    <x v="8"/>
    <x v="1"/>
    <x v="1"/>
    <x v="0"/>
    <x v="322"/>
  </r>
  <r>
    <x v="0"/>
    <x v="185"/>
    <x v="132"/>
    <x v="76"/>
    <x v="131"/>
    <x v="221"/>
    <x v="96"/>
    <x v="311"/>
    <x v="29"/>
    <x v="170"/>
    <x v="252"/>
    <x v="280"/>
    <x v="319"/>
    <x v="319"/>
    <x v="314"/>
    <x v="0"/>
    <x v="316"/>
    <x v="319"/>
    <x v="293"/>
    <x v="0"/>
    <x v="0"/>
    <x v="3"/>
    <x v="69"/>
    <x v="2"/>
    <x v="171"/>
    <x v="13"/>
    <x v="3"/>
    <x v="0"/>
    <x v="0"/>
    <x v="323"/>
  </r>
  <r>
    <x v="0"/>
    <x v="186"/>
    <x v="241"/>
    <x v="47"/>
    <x v="132"/>
    <x v="12"/>
    <x v="97"/>
    <x v="312"/>
    <x v="150"/>
    <x v="171"/>
    <x v="253"/>
    <x v="281"/>
    <x v="320"/>
    <x v="320"/>
    <x v="315"/>
    <x v="0"/>
    <x v="317"/>
    <x v="320"/>
    <x v="294"/>
    <x v="0"/>
    <x v="0"/>
    <x v="2"/>
    <x v="70"/>
    <x v="13"/>
    <x v="172"/>
    <x v="11"/>
    <x v="3"/>
    <x v="100"/>
    <x v="0"/>
    <x v="324"/>
  </r>
  <r>
    <x v="0"/>
    <x v="54"/>
    <x v="242"/>
    <x v="29"/>
    <x v="39"/>
    <x v="60"/>
    <x v="25"/>
    <x v="313"/>
    <x v="151"/>
    <x v="138"/>
    <x v="63"/>
    <x v="282"/>
    <x v="321"/>
    <x v="321"/>
    <x v="316"/>
    <x v="7"/>
    <x v="318"/>
    <x v="321"/>
    <x v="295"/>
    <x v="0"/>
    <x v="0"/>
    <x v="0"/>
    <x v="71"/>
    <x v="18"/>
    <x v="13"/>
    <x v="22"/>
    <x v="1"/>
    <x v="1"/>
    <x v="0"/>
    <x v="325"/>
  </r>
  <r>
    <x v="0"/>
    <x v="48"/>
    <x v="167"/>
    <x v="102"/>
    <x v="33"/>
    <x v="1"/>
    <x v="19"/>
    <x v="314"/>
    <x v="152"/>
    <x v="20"/>
    <x v="101"/>
    <x v="49"/>
    <x v="322"/>
    <x v="322"/>
    <x v="317"/>
    <x v="3"/>
    <x v="319"/>
    <x v="322"/>
    <x v="296"/>
    <x v="0"/>
    <x v="0"/>
    <x v="4"/>
    <x v="32"/>
    <x v="19"/>
    <x v="20"/>
    <x v="7"/>
    <x v="1"/>
    <x v="1"/>
    <x v="0"/>
    <x v="326"/>
  </r>
  <r>
    <x v="0"/>
    <x v="187"/>
    <x v="243"/>
    <x v="75"/>
    <x v="133"/>
    <x v="222"/>
    <x v="29"/>
    <x v="315"/>
    <x v="153"/>
    <x v="34"/>
    <x v="254"/>
    <x v="283"/>
    <x v="323"/>
    <x v="323"/>
    <x v="318"/>
    <x v="4"/>
    <x v="320"/>
    <x v="323"/>
    <x v="140"/>
    <x v="4"/>
    <x v="9"/>
    <x v="4"/>
    <x v="72"/>
    <x v="10"/>
    <x v="173"/>
    <x v="32"/>
    <x v="1"/>
    <x v="38"/>
    <x v="0"/>
    <x v="327"/>
  </r>
  <r>
    <x v="0"/>
    <x v="188"/>
    <x v="166"/>
    <x v="79"/>
    <x v="134"/>
    <x v="223"/>
    <x v="25"/>
    <x v="316"/>
    <x v="154"/>
    <x v="30"/>
    <x v="255"/>
    <x v="284"/>
    <x v="324"/>
    <x v="324"/>
    <x v="319"/>
    <x v="0"/>
    <x v="321"/>
    <x v="324"/>
    <x v="137"/>
    <x v="0"/>
    <x v="0"/>
    <x v="2"/>
    <x v="32"/>
    <x v="1"/>
    <x v="6"/>
    <x v="2"/>
    <x v="3"/>
    <x v="1"/>
    <x v="0"/>
    <x v="328"/>
  </r>
  <r>
    <x v="0"/>
    <x v="189"/>
    <x v="244"/>
    <x v="41"/>
    <x v="0"/>
    <x v="224"/>
    <x v="2"/>
    <x v="317"/>
    <x v="155"/>
    <x v="172"/>
    <x v="256"/>
    <x v="285"/>
    <x v="325"/>
    <x v="325"/>
    <x v="320"/>
    <x v="1"/>
    <x v="322"/>
    <x v="325"/>
    <x v="297"/>
    <x v="0"/>
    <x v="0"/>
    <x v="0"/>
    <x v="63"/>
    <x v="14"/>
    <x v="12"/>
    <x v="31"/>
    <x v="3"/>
    <x v="1"/>
    <x v="0"/>
    <x v="329"/>
  </r>
  <r>
    <x v="0"/>
    <x v="18"/>
    <x v="245"/>
    <x v="49"/>
    <x v="0"/>
    <x v="225"/>
    <x v="35"/>
    <x v="318"/>
    <x v="156"/>
    <x v="173"/>
    <x v="257"/>
    <x v="286"/>
    <x v="326"/>
    <x v="326"/>
    <x v="321"/>
    <x v="0"/>
    <x v="323"/>
    <x v="326"/>
    <x v="298"/>
    <x v="0"/>
    <x v="0"/>
    <x v="4"/>
    <x v="65"/>
    <x v="18"/>
    <x v="174"/>
    <x v="16"/>
    <x v="1"/>
    <x v="7"/>
    <x v="0"/>
    <x v="330"/>
  </r>
  <r>
    <x v="0"/>
    <x v="190"/>
    <x v="246"/>
    <x v="79"/>
    <x v="135"/>
    <x v="54"/>
    <x v="94"/>
    <x v="319"/>
    <x v="125"/>
    <x v="166"/>
    <x v="258"/>
    <x v="287"/>
    <x v="327"/>
    <x v="327"/>
    <x v="322"/>
    <x v="0"/>
    <x v="324"/>
    <x v="327"/>
    <x v="299"/>
    <x v="0"/>
    <x v="0"/>
    <x v="4"/>
    <x v="73"/>
    <x v="3"/>
    <x v="175"/>
    <x v="5"/>
    <x v="3"/>
    <x v="45"/>
    <x v="0"/>
    <x v="331"/>
  </r>
  <r>
    <x v="0"/>
    <x v="191"/>
    <x v="247"/>
    <x v="51"/>
    <x v="0"/>
    <x v="9"/>
    <x v="21"/>
    <x v="320"/>
    <x v="5"/>
    <x v="174"/>
    <x v="259"/>
    <x v="56"/>
    <x v="328"/>
    <x v="328"/>
    <x v="323"/>
    <x v="4"/>
    <x v="325"/>
    <x v="328"/>
    <x v="85"/>
    <x v="0"/>
    <x v="10"/>
    <x v="0"/>
    <x v="57"/>
    <x v="13"/>
    <x v="44"/>
    <x v="16"/>
    <x v="1"/>
    <x v="45"/>
    <x v="0"/>
    <x v="332"/>
  </r>
  <r>
    <x v="0"/>
    <x v="192"/>
    <x v="248"/>
    <x v="75"/>
    <x v="136"/>
    <x v="226"/>
    <x v="98"/>
    <x v="321"/>
    <x v="105"/>
    <x v="175"/>
    <x v="260"/>
    <x v="288"/>
    <x v="329"/>
    <x v="329"/>
    <x v="324"/>
    <x v="2"/>
    <x v="326"/>
    <x v="329"/>
    <x v="300"/>
    <x v="0"/>
    <x v="0"/>
    <x v="4"/>
    <x v="32"/>
    <x v="5"/>
    <x v="176"/>
    <x v="44"/>
    <x v="3"/>
    <x v="1"/>
    <x v="0"/>
    <x v="333"/>
  </r>
  <r>
    <x v="0"/>
    <x v="193"/>
    <x v="249"/>
    <x v="71"/>
    <x v="123"/>
    <x v="227"/>
    <x v="35"/>
    <x v="322"/>
    <x v="157"/>
    <x v="176"/>
    <x v="261"/>
    <x v="289"/>
    <x v="330"/>
    <x v="330"/>
    <x v="325"/>
    <x v="1"/>
    <x v="327"/>
    <x v="330"/>
    <x v="301"/>
    <x v="0"/>
    <x v="0"/>
    <x v="2"/>
    <x v="73"/>
    <x v="21"/>
    <x v="19"/>
    <x v="8"/>
    <x v="3"/>
    <x v="1"/>
    <x v="0"/>
    <x v="334"/>
  </r>
  <r>
    <x v="0"/>
    <x v="185"/>
    <x v="167"/>
    <x v="76"/>
    <x v="131"/>
    <x v="228"/>
    <x v="13"/>
    <x v="323"/>
    <x v="29"/>
    <x v="13"/>
    <x v="262"/>
    <x v="290"/>
    <x v="331"/>
    <x v="331"/>
    <x v="326"/>
    <x v="0"/>
    <x v="328"/>
    <x v="331"/>
    <x v="301"/>
    <x v="0"/>
    <x v="0"/>
    <x v="2"/>
    <x v="73"/>
    <x v="3"/>
    <x v="30"/>
    <x v="4"/>
    <x v="1"/>
    <x v="57"/>
    <x v="0"/>
    <x v="335"/>
  </r>
  <r>
    <x v="0"/>
    <x v="85"/>
    <x v="22"/>
    <x v="72"/>
    <x v="0"/>
    <x v="95"/>
    <x v="35"/>
    <x v="324"/>
    <x v="158"/>
    <x v="177"/>
    <x v="263"/>
    <x v="120"/>
    <x v="332"/>
    <x v="332"/>
    <x v="327"/>
    <x v="1"/>
    <x v="329"/>
    <x v="332"/>
    <x v="302"/>
    <x v="0"/>
    <x v="0"/>
    <x v="2"/>
    <x v="73"/>
    <x v="2"/>
    <x v="177"/>
    <x v="15"/>
    <x v="1"/>
    <x v="15"/>
    <x v="0"/>
    <x v="336"/>
  </r>
  <r>
    <x v="0"/>
    <x v="16"/>
    <x v="250"/>
    <x v="24"/>
    <x v="0"/>
    <x v="46"/>
    <x v="99"/>
    <x v="325"/>
    <x v="159"/>
    <x v="178"/>
    <x v="264"/>
    <x v="55"/>
    <x v="333"/>
    <x v="333"/>
    <x v="328"/>
    <x v="1"/>
    <x v="330"/>
    <x v="333"/>
    <x v="221"/>
    <x v="0"/>
    <x v="0"/>
    <x v="0"/>
    <x v="48"/>
    <x v="0"/>
    <x v="178"/>
    <x v="10"/>
    <x v="1"/>
    <x v="37"/>
    <x v="0"/>
    <x v="337"/>
  </r>
  <r>
    <x v="0"/>
    <x v="5"/>
    <x v="251"/>
    <x v="7"/>
    <x v="4"/>
    <x v="172"/>
    <x v="0"/>
    <x v="326"/>
    <x v="29"/>
    <x v="179"/>
    <x v="265"/>
    <x v="217"/>
    <x v="334"/>
    <x v="334"/>
    <x v="329"/>
    <x v="0"/>
    <x v="331"/>
    <x v="334"/>
    <x v="303"/>
    <x v="0"/>
    <x v="0"/>
    <x v="3"/>
    <x v="72"/>
    <x v="17"/>
    <x v="179"/>
    <x v="17"/>
    <x v="3"/>
    <x v="59"/>
    <x v="0"/>
    <x v="338"/>
  </r>
  <r>
    <x v="0"/>
    <x v="16"/>
    <x v="252"/>
    <x v="103"/>
    <x v="0"/>
    <x v="229"/>
    <x v="15"/>
    <x v="327"/>
    <x v="38"/>
    <x v="180"/>
    <x v="266"/>
    <x v="291"/>
    <x v="335"/>
    <x v="335"/>
    <x v="330"/>
    <x v="4"/>
    <x v="332"/>
    <x v="335"/>
    <x v="304"/>
    <x v="0"/>
    <x v="0"/>
    <x v="0"/>
    <x v="72"/>
    <x v="17"/>
    <x v="180"/>
    <x v="49"/>
    <x v="1"/>
    <x v="37"/>
    <x v="0"/>
    <x v="339"/>
  </r>
  <r>
    <x v="0"/>
    <x v="16"/>
    <x v="170"/>
    <x v="100"/>
    <x v="0"/>
    <x v="187"/>
    <x v="17"/>
    <x v="328"/>
    <x v="38"/>
    <x v="18"/>
    <x v="1"/>
    <x v="236"/>
    <x v="336"/>
    <x v="336"/>
    <x v="331"/>
    <x v="1"/>
    <x v="333"/>
    <x v="336"/>
    <x v="305"/>
    <x v="0"/>
    <x v="0"/>
    <x v="0"/>
    <x v="72"/>
    <x v="19"/>
    <x v="1"/>
    <x v="50"/>
    <x v="1"/>
    <x v="7"/>
    <x v="0"/>
    <x v="340"/>
  </r>
  <r>
    <x v="0"/>
    <x v="194"/>
    <x v="177"/>
    <x v="58"/>
    <x v="137"/>
    <x v="230"/>
    <x v="25"/>
    <x v="329"/>
    <x v="1"/>
    <x v="30"/>
    <x v="135"/>
    <x v="292"/>
    <x v="337"/>
    <x v="337"/>
    <x v="332"/>
    <x v="2"/>
    <x v="334"/>
    <x v="337"/>
    <x v="142"/>
    <x v="0"/>
    <x v="0"/>
    <x v="0"/>
    <x v="73"/>
    <x v="11"/>
    <x v="13"/>
    <x v="34"/>
    <x v="1"/>
    <x v="37"/>
    <x v="0"/>
    <x v="341"/>
  </r>
  <r>
    <x v="0"/>
    <x v="172"/>
    <x v="253"/>
    <x v="7"/>
    <x v="124"/>
    <x v="231"/>
    <x v="2"/>
    <x v="330"/>
    <x v="151"/>
    <x v="60"/>
    <x v="267"/>
    <x v="293"/>
    <x v="338"/>
    <x v="338"/>
    <x v="333"/>
    <x v="1"/>
    <x v="335"/>
    <x v="338"/>
    <x v="306"/>
    <x v="0"/>
    <x v="0"/>
    <x v="0"/>
    <x v="51"/>
    <x v="18"/>
    <x v="34"/>
    <x v="20"/>
    <x v="1"/>
    <x v="1"/>
    <x v="0"/>
    <x v="342"/>
  </r>
  <r>
    <x v="0"/>
    <x v="195"/>
    <x v="254"/>
    <x v="73"/>
    <x v="0"/>
    <x v="232"/>
    <x v="1"/>
    <x v="331"/>
    <x v="160"/>
    <x v="1"/>
    <x v="65"/>
    <x v="294"/>
    <x v="339"/>
    <x v="339"/>
    <x v="334"/>
    <x v="1"/>
    <x v="336"/>
    <x v="339"/>
    <x v="307"/>
    <x v="0"/>
    <x v="1"/>
    <x v="0"/>
    <x v="32"/>
    <x v="11"/>
    <x v="6"/>
    <x v="22"/>
    <x v="1"/>
    <x v="40"/>
    <x v="0"/>
    <x v="343"/>
  </r>
  <r>
    <x v="0"/>
    <x v="90"/>
    <x v="204"/>
    <x v="80"/>
    <x v="71"/>
    <x v="233"/>
    <x v="100"/>
    <x v="332"/>
    <x v="18"/>
    <x v="181"/>
    <x v="268"/>
    <x v="295"/>
    <x v="340"/>
    <x v="340"/>
    <x v="335"/>
    <x v="0"/>
    <x v="337"/>
    <x v="340"/>
    <x v="308"/>
    <x v="0"/>
    <x v="0"/>
    <x v="0"/>
    <x v="57"/>
    <x v="18"/>
    <x v="181"/>
    <x v="18"/>
    <x v="3"/>
    <x v="1"/>
    <x v="0"/>
    <x v="344"/>
  </r>
  <r>
    <x v="0"/>
    <x v="196"/>
    <x v="255"/>
    <x v="72"/>
    <x v="138"/>
    <x v="234"/>
    <x v="2"/>
    <x v="333"/>
    <x v="102"/>
    <x v="182"/>
    <x v="269"/>
    <x v="296"/>
    <x v="341"/>
    <x v="341"/>
    <x v="336"/>
    <x v="0"/>
    <x v="338"/>
    <x v="341"/>
    <x v="309"/>
    <x v="0"/>
    <x v="0"/>
    <x v="0"/>
    <x v="57"/>
    <x v="10"/>
    <x v="30"/>
    <x v="32"/>
    <x v="1"/>
    <x v="65"/>
    <x v="0"/>
    <x v="345"/>
  </r>
  <r>
    <x v="0"/>
    <x v="197"/>
    <x v="204"/>
    <x v="86"/>
    <x v="139"/>
    <x v="235"/>
    <x v="101"/>
    <x v="334"/>
    <x v="15"/>
    <x v="183"/>
    <x v="270"/>
    <x v="297"/>
    <x v="342"/>
    <x v="342"/>
    <x v="337"/>
    <x v="0"/>
    <x v="339"/>
    <x v="342"/>
    <x v="310"/>
    <x v="0"/>
    <x v="0"/>
    <x v="2"/>
    <x v="63"/>
    <x v="8"/>
    <x v="182"/>
    <x v="4"/>
    <x v="1"/>
    <x v="1"/>
    <x v="0"/>
    <x v="346"/>
  </r>
  <r>
    <x v="0"/>
    <x v="198"/>
    <x v="256"/>
    <x v="59"/>
    <x v="140"/>
    <x v="236"/>
    <x v="57"/>
    <x v="335"/>
    <x v="3"/>
    <x v="99"/>
    <x v="271"/>
    <x v="298"/>
    <x v="343"/>
    <x v="343"/>
    <x v="338"/>
    <x v="4"/>
    <x v="340"/>
    <x v="343"/>
    <x v="311"/>
    <x v="0"/>
    <x v="0"/>
    <x v="4"/>
    <x v="65"/>
    <x v="9"/>
    <x v="183"/>
    <x v="43"/>
    <x v="3"/>
    <x v="101"/>
    <x v="0"/>
    <x v="347"/>
  </r>
  <r>
    <x v="0"/>
    <x v="199"/>
    <x v="257"/>
    <x v="64"/>
    <x v="141"/>
    <x v="138"/>
    <x v="35"/>
    <x v="336"/>
    <x v="161"/>
    <x v="184"/>
    <x v="188"/>
    <x v="169"/>
    <x v="344"/>
    <x v="344"/>
    <x v="339"/>
    <x v="0"/>
    <x v="341"/>
    <x v="344"/>
    <x v="312"/>
    <x v="0"/>
    <x v="0"/>
    <x v="0"/>
    <x v="58"/>
    <x v="14"/>
    <x v="46"/>
    <x v="19"/>
    <x v="1"/>
    <x v="102"/>
    <x v="0"/>
    <x v="348"/>
  </r>
  <r>
    <x v="0"/>
    <x v="61"/>
    <x v="189"/>
    <x v="69"/>
    <x v="46"/>
    <x v="237"/>
    <x v="0"/>
    <x v="337"/>
    <x v="162"/>
    <x v="185"/>
    <x v="272"/>
    <x v="299"/>
    <x v="345"/>
    <x v="345"/>
    <x v="340"/>
    <x v="0"/>
    <x v="342"/>
    <x v="345"/>
    <x v="313"/>
    <x v="0"/>
    <x v="0"/>
    <x v="2"/>
    <x v="65"/>
    <x v="14"/>
    <x v="184"/>
    <x v="25"/>
    <x v="1"/>
    <x v="1"/>
    <x v="0"/>
    <x v="349"/>
  </r>
  <r>
    <x v="0"/>
    <x v="200"/>
    <x v="258"/>
    <x v="23"/>
    <x v="140"/>
    <x v="238"/>
    <x v="0"/>
    <x v="338"/>
    <x v="121"/>
    <x v="186"/>
    <x v="273"/>
    <x v="300"/>
    <x v="346"/>
    <x v="346"/>
    <x v="341"/>
    <x v="3"/>
    <x v="343"/>
    <x v="346"/>
    <x v="314"/>
    <x v="0"/>
    <x v="0"/>
    <x v="0"/>
    <x v="71"/>
    <x v="16"/>
    <x v="185"/>
    <x v="23"/>
    <x v="1"/>
    <x v="103"/>
    <x v="0"/>
    <x v="350"/>
  </r>
  <r>
    <x v="0"/>
    <x v="126"/>
    <x v="259"/>
    <x v="34"/>
    <x v="0"/>
    <x v="1"/>
    <x v="94"/>
    <x v="339"/>
    <x v="15"/>
    <x v="187"/>
    <x v="128"/>
    <x v="110"/>
    <x v="347"/>
    <x v="347"/>
    <x v="342"/>
    <x v="0"/>
    <x v="344"/>
    <x v="347"/>
    <x v="315"/>
    <x v="0"/>
    <x v="1"/>
    <x v="2"/>
    <x v="73"/>
    <x v="5"/>
    <x v="13"/>
    <x v="18"/>
    <x v="1"/>
    <x v="104"/>
    <x v="0"/>
    <x v="351"/>
  </r>
  <r>
    <x v="0"/>
    <x v="15"/>
    <x v="177"/>
    <x v="42"/>
    <x v="10"/>
    <x v="154"/>
    <x v="14"/>
    <x v="340"/>
    <x v="163"/>
    <x v="14"/>
    <x v="274"/>
    <x v="301"/>
    <x v="348"/>
    <x v="348"/>
    <x v="343"/>
    <x v="0"/>
    <x v="345"/>
    <x v="348"/>
    <x v="316"/>
    <x v="0"/>
    <x v="0"/>
    <x v="0"/>
    <x v="63"/>
    <x v="13"/>
    <x v="117"/>
    <x v="11"/>
    <x v="3"/>
    <x v="1"/>
    <x v="0"/>
    <x v="352"/>
  </r>
  <r>
    <x v="0"/>
    <x v="29"/>
    <x v="104"/>
    <x v="87"/>
    <x v="21"/>
    <x v="112"/>
    <x v="10"/>
    <x v="341"/>
    <x v="21"/>
    <x v="33"/>
    <x v="37"/>
    <x v="137"/>
    <x v="349"/>
    <x v="349"/>
    <x v="344"/>
    <x v="4"/>
    <x v="346"/>
    <x v="349"/>
    <x v="317"/>
    <x v="0"/>
    <x v="0"/>
    <x v="3"/>
    <x v="63"/>
    <x v="15"/>
    <x v="30"/>
    <x v="0"/>
    <x v="3"/>
    <x v="1"/>
    <x v="0"/>
    <x v="353"/>
  </r>
  <r>
    <x v="0"/>
    <x v="165"/>
    <x v="260"/>
    <x v="42"/>
    <x v="119"/>
    <x v="1"/>
    <x v="11"/>
    <x v="342"/>
    <x v="3"/>
    <x v="156"/>
    <x v="128"/>
    <x v="302"/>
    <x v="350"/>
    <x v="350"/>
    <x v="345"/>
    <x v="1"/>
    <x v="347"/>
    <x v="350"/>
    <x v="105"/>
    <x v="0"/>
    <x v="0"/>
    <x v="0"/>
    <x v="32"/>
    <x v="5"/>
    <x v="13"/>
    <x v="2"/>
    <x v="1"/>
    <x v="45"/>
    <x v="0"/>
    <x v="354"/>
  </r>
  <r>
    <x v="0"/>
    <x v="25"/>
    <x v="238"/>
    <x v="78"/>
    <x v="18"/>
    <x v="166"/>
    <x v="102"/>
    <x v="343"/>
    <x v="26"/>
    <x v="188"/>
    <x v="275"/>
    <x v="303"/>
    <x v="351"/>
    <x v="351"/>
    <x v="346"/>
    <x v="4"/>
    <x v="348"/>
    <x v="351"/>
    <x v="318"/>
    <x v="0"/>
    <x v="0"/>
    <x v="0"/>
    <x v="63"/>
    <x v="18"/>
    <x v="186"/>
    <x v="4"/>
    <x v="1"/>
    <x v="1"/>
    <x v="0"/>
    <x v="355"/>
  </r>
  <r>
    <x v="0"/>
    <x v="43"/>
    <x v="112"/>
    <x v="29"/>
    <x v="0"/>
    <x v="239"/>
    <x v="2"/>
    <x v="344"/>
    <x v="164"/>
    <x v="42"/>
    <x v="276"/>
    <x v="304"/>
    <x v="352"/>
    <x v="352"/>
    <x v="347"/>
    <x v="0"/>
    <x v="349"/>
    <x v="352"/>
    <x v="164"/>
    <x v="0"/>
    <x v="0"/>
    <x v="0"/>
    <x v="32"/>
    <x v="21"/>
    <x v="187"/>
    <x v="4"/>
    <x v="1"/>
    <x v="1"/>
    <x v="0"/>
    <x v="356"/>
  </r>
  <r>
    <x v="0"/>
    <x v="201"/>
    <x v="104"/>
    <x v="78"/>
    <x v="142"/>
    <x v="149"/>
    <x v="40"/>
    <x v="345"/>
    <x v="165"/>
    <x v="189"/>
    <x v="277"/>
    <x v="305"/>
    <x v="353"/>
    <x v="353"/>
    <x v="348"/>
    <x v="1"/>
    <x v="350"/>
    <x v="353"/>
    <x v="319"/>
    <x v="0"/>
    <x v="0"/>
    <x v="2"/>
    <x v="32"/>
    <x v="0"/>
    <x v="188"/>
    <x v="15"/>
    <x v="1"/>
    <x v="1"/>
    <x v="0"/>
    <x v="357"/>
  </r>
  <r>
    <x v="0"/>
    <x v="128"/>
    <x v="86"/>
    <x v="50"/>
    <x v="95"/>
    <x v="240"/>
    <x v="103"/>
    <x v="346"/>
    <x v="58"/>
    <x v="190"/>
    <x v="278"/>
    <x v="306"/>
    <x v="354"/>
    <x v="354"/>
    <x v="349"/>
    <x v="0"/>
    <x v="351"/>
    <x v="354"/>
    <x v="320"/>
    <x v="0"/>
    <x v="0"/>
    <x v="2"/>
    <x v="63"/>
    <x v="0"/>
    <x v="189"/>
    <x v="15"/>
    <x v="3"/>
    <x v="1"/>
    <x v="0"/>
    <x v="358"/>
  </r>
  <r>
    <x v="0"/>
    <x v="202"/>
    <x v="95"/>
    <x v="37"/>
    <x v="0"/>
    <x v="211"/>
    <x v="22"/>
    <x v="347"/>
    <x v="166"/>
    <x v="191"/>
    <x v="279"/>
    <x v="307"/>
    <x v="355"/>
    <x v="355"/>
    <x v="350"/>
    <x v="1"/>
    <x v="352"/>
    <x v="355"/>
    <x v="317"/>
    <x v="0"/>
    <x v="0"/>
    <x v="2"/>
    <x v="63"/>
    <x v="9"/>
    <x v="190"/>
    <x v="11"/>
    <x v="1"/>
    <x v="105"/>
    <x v="0"/>
    <x v="359"/>
  </r>
  <r>
    <x v="0"/>
    <x v="32"/>
    <x v="198"/>
    <x v="50"/>
    <x v="24"/>
    <x v="191"/>
    <x v="57"/>
    <x v="348"/>
    <x v="167"/>
    <x v="192"/>
    <x v="280"/>
    <x v="308"/>
    <x v="356"/>
    <x v="356"/>
    <x v="351"/>
    <x v="0"/>
    <x v="353"/>
    <x v="356"/>
    <x v="168"/>
    <x v="0"/>
    <x v="0"/>
    <x v="0"/>
    <x v="65"/>
    <x v="21"/>
    <x v="30"/>
    <x v="34"/>
    <x v="1"/>
    <x v="1"/>
    <x v="0"/>
    <x v="360"/>
  </r>
  <r>
    <x v="0"/>
    <x v="48"/>
    <x v="261"/>
    <x v="12"/>
    <x v="33"/>
    <x v="1"/>
    <x v="19"/>
    <x v="349"/>
    <x v="168"/>
    <x v="20"/>
    <x v="281"/>
    <x v="65"/>
    <x v="357"/>
    <x v="357"/>
    <x v="352"/>
    <x v="0"/>
    <x v="354"/>
    <x v="357"/>
    <x v="54"/>
    <x v="0"/>
    <x v="0"/>
    <x v="4"/>
    <x v="63"/>
    <x v="7"/>
    <x v="44"/>
    <x v="3"/>
    <x v="1"/>
    <x v="5"/>
    <x v="0"/>
    <x v="361"/>
  </r>
  <r>
    <x v="0"/>
    <x v="203"/>
    <x v="262"/>
    <x v="76"/>
    <x v="143"/>
    <x v="241"/>
    <x v="35"/>
    <x v="350"/>
    <x v="169"/>
    <x v="193"/>
    <x v="282"/>
    <x v="309"/>
    <x v="358"/>
    <x v="358"/>
    <x v="353"/>
    <x v="0"/>
    <x v="355"/>
    <x v="358"/>
    <x v="321"/>
    <x v="0"/>
    <x v="0"/>
    <x v="3"/>
    <x v="63"/>
    <x v="20"/>
    <x v="191"/>
    <x v="7"/>
    <x v="10"/>
    <x v="85"/>
    <x v="0"/>
    <x v="362"/>
  </r>
  <r>
    <x v="0"/>
    <x v="202"/>
    <x v="250"/>
    <x v="61"/>
    <x v="0"/>
    <x v="242"/>
    <x v="20"/>
    <x v="351"/>
    <x v="170"/>
    <x v="21"/>
    <x v="212"/>
    <x v="310"/>
    <x v="359"/>
    <x v="359"/>
    <x v="354"/>
    <x v="3"/>
    <x v="356"/>
    <x v="359"/>
    <x v="322"/>
    <x v="0"/>
    <x v="0"/>
    <x v="4"/>
    <x v="65"/>
    <x v="8"/>
    <x v="30"/>
    <x v="15"/>
    <x v="1"/>
    <x v="1"/>
    <x v="0"/>
    <x v="363"/>
  </r>
  <r>
    <x v="0"/>
    <x v="68"/>
    <x v="157"/>
    <x v="44"/>
    <x v="53"/>
    <x v="243"/>
    <x v="11"/>
    <x v="352"/>
    <x v="171"/>
    <x v="49"/>
    <x v="283"/>
    <x v="311"/>
    <x v="360"/>
    <x v="360"/>
    <x v="355"/>
    <x v="1"/>
    <x v="357"/>
    <x v="360"/>
    <x v="323"/>
    <x v="0"/>
    <x v="0"/>
    <x v="4"/>
    <x v="63"/>
    <x v="10"/>
    <x v="30"/>
    <x v="6"/>
    <x v="1"/>
    <x v="39"/>
    <x v="0"/>
    <x v="364"/>
  </r>
  <r>
    <x v="0"/>
    <x v="131"/>
    <x v="263"/>
    <x v="57"/>
    <x v="97"/>
    <x v="244"/>
    <x v="57"/>
    <x v="353"/>
    <x v="2"/>
    <x v="99"/>
    <x v="284"/>
    <x v="312"/>
    <x v="361"/>
    <x v="361"/>
    <x v="356"/>
    <x v="1"/>
    <x v="358"/>
    <x v="361"/>
    <x v="324"/>
    <x v="0"/>
    <x v="0"/>
    <x v="4"/>
    <x v="63"/>
    <x v="16"/>
    <x v="192"/>
    <x v="32"/>
    <x v="1"/>
    <x v="1"/>
    <x v="0"/>
    <x v="365"/>
  </r>
  <r>
    <x v="0"/>
    <x v="129"/>
    <x v="264"/>
    <x v="57"/>
    <x v="0"/>
    <x v="245"/>
    <x v="20"/>
    <x v="354"/>
    <x v="95"/>
    <x v="21"/>
    <x v="170"/>
    <x v="313"/>
    <x v="362"/>
    <x v="362"/>
    <x v="357"/>
    <x v="3"/>
    <x v="359"/>
    <x v="362"/>
    <x v="325"/>
    <x v="0"/>
    <x v="0"/>
    <x v="0"/>
    <x v="63"/>
    <x v="0"/>
    <x v="114"/>
    <x v="32"/>
    <x v="3"/>
    <x v="35"/>
    <x v="0"/>
    <x v="366"/>
  </r>
  <r>
    <x v="0"/>
    <x v="204"/>
    <x v="93"/>
    <x v="8"/>
    <x v="144"/>
    <x v="246"/>
    <x v="2"/>
    <x v="4"/>
    <x v="172"/>
    <x v="130"/>
    <x v="109"/>
    <x v="314"/>
    <x v="363"/>
    <x v="363"/>
    <x v="358"/>
    <x v="4"/>
    <x v="4"/>
    <x v="363"/>
    <x v="326"/>
    <x v="0"/>
    <x v="0"/>
    <x v="0"/>
    <x v="4"/>
    <x v="6"/>
    <x v="77"/>
    <x v="9"/>
    <x v="1"/>
    <x v="1"/>
    <x v="0"/>
    <x v="367"/>
  </r>
  <r>
    <x v="0"/>
    <x v="170"/>
    <x v="265"/>
    <x v="54"/>
    <x v="122"/>
    <x v="247"/>
    <x v="25"/>
    <x v="355"/>
    <x v="173"/>
    <x v="194"/>
    <x v="285"/>
    <x v="315"/>
    <x v="364"/>
    <x v="364"/>
    <x v="359"/>
    <x v="0"/>
    <x v="360"/>
    <x v="364"/>
    <x v="316"/>
    <x v="0"/>
    <x v="0"/>
    <x v="2"/>
    <x v="40"/>
    <x v="18"/>
    <x v="193"/>
    <x v="2"/>
    <x v="1"/>
    <x v="1"/>
    <x v="0"/>
    <x v="368"/>
  </r>
  <r>
    <x v="0"/>
    <x v="205"/>
    <x v="266"/>
    <x v="80"/>
    <x v="69"/>
    <x v="1"/>
    <x v="104"/>
    <x v="356"/>
    <x v="174"/>
    <x v="195"/>
    <x v="286"/>
    <x v="316"/>
    <x v="365"/>
    <x v="365"/>
    <x v="360"/>
    <x v="0"/>
    <x v="361"/>
    <x v="365"/>
    <x v="327"/>
    <x v="0"/>
    <x v="0"/>
    <x v="2"/>
    <x v="63"/>
    <x v="2"/>
    <x v="30"/>
    <x v="40"/>
    <x v="3"/>
    <x v="1"/>
    <x v="0"/>
    <x v="369"/>
  </r>
  <r>
    <x v="0"/>
    <x v="11"/>
    <x v="267"/>
    <x v="61"/>
    <x v="0"/>
    <x v="39"/>
    <x v="14"/>
    <x v="357"/>
    <x v="175"/>
    <x v="56"/>
    <x v="203"/>
    <x v="317"/>
    <x v="366"/>
    <x v="366"/>
    <x v="361"/>
    <x v="0"/>
    <x v="362"/>
    <x v="366"/>
    <x v="132"/>
    <x v="0"/>
    <x v="0"/>
    <x v="0"/>
    <x v="74"/>
    <x v="8"/>
    <x v="30"/>
    <x v="1"/>
    <x v="3"/>
    <x v="1"/>
    <x v="0"/>
    <x v="370"/>
  </r>
  <r>
    <x v="0"/>
    <x v="206"/>
    <x v="204"/>
    <x v="18"/>
    <x v="145"/>
    <x v="247"/>
    <x v="2"/>
    <x v="358"/>
    <x v="170"/>
    <x v="196"/>
    <x v="287"/>
    <x v="318"/>
    <x v="367"/>
    <x v="367"/>
    <x v="362"/>
    <x v="0"/>
    <x v="363"/>
    <x v="367"/>
    <x v="328"/>
    <x v="0"/>
    <x v="0"/>
    <x v="0"/>
    <x v="63"/>
    <x v="8"/>
    <x v="194"/>
    <x v="34"/>
    <x v="3"/>
    <x v="1"/>
    <x v="0"/>
    <x v="371"/>
  </r>
  <r>
    <x v="0"/>
    <x v="126"/>
    <x v="268"/>
    <x v="11"/>
    <x v="0"/>
    <x v="1"/>
    <x v="13"/>
    <x v="359"/>
    <x v="176"/>
    <x v="13"/>
    <x v="288"/>
    <x v="319"/>
    <x v="368"/>
    <x v="368"/>
    <x v="363"/>
    <x v="0"/>
    <x v="364"/>
    <x v="368"/>
    <x v="329"/>
    <x v="0"/>
    <x v="0"/>
    <x v="0"/>
    <x v="75"/>
    <x v="2"/>
    <x v="6"/>
    <x v="23"/>
    <x v="1"/>
    <x v="36"/>
    <x v="0"/>
    <x v="372"/>
  </r>
  <r>
    <x v="0"/>
    <x v="38"/>
    <x v="269"/>
    <x v="75"/>
    <x v="25"/>
    <x v="248"/>
    <x v="22"/>
    <x v="360"/>
    <x v="47"/>
    <x v="197"/>
    <x v="20"/>
    <x v="320"/>
    <x v="369"/>
    <x v="369"/>
    <x v="364"/>
    <x v="0"/>
    <x v="365"/>
    <x v="369"/>
    <x v="330"/>
    <x v="0"/>
    <x v="0"/>
    <x v="0"/>
    <x v="32"/>
    <x v="18"/>
    <x v="17"/>
    <x v="1"/>
    <x v="3"/>
    <x v="59"/>
    <x v="0"/>
    <x v="373"/>
  </r>
  <r>
    <x v="0"/>
    <x v="97"/>
    <x v="270"/>
    <x v="76"/>
    <x v="59"/>
    <x v="249"/>
    <x v="105"/>
    <x v="361"/>
    <x v="177"/>
    <x v="198"/>
    <x v="289"/>
    <x v="321"/>
    <x v="370"/>
    <x v="370"/>
    <x v="365"/>
    <x v="0"/>
    <x v="366"/>
    <x v="370"/>
    <x v="256"/>
    <x v="0"/>
    <x v="0"/>
    <x v="2"/>
    <x v="63"/>
    <x v="17"/>
    <x v="195"/>
    <x v="41"/>
    <x v="1"/>
    <x v="106"/>
    <x v="0"/>
    <x v="374"/>
  </r>
  <r>
    <x v="0"/>
    <x v="43"/>
    <x v="171"/>
    <x v="13"/>
    <x v="0"/>
    <x v="250"/>
    <x v="2"/>
    <x v="362"/>
    <x v="178"/>
    <x v="72"/>
    <x v="290"/>
    <x v="322"/>
    <x v="371"/>
    <x v="371"/>
    <x v="366"/>
    <x v="4"/>
    <x v="367"/>
    <x v="371"/>
    <x v="331"/>
    <x v="0"/>
    <x v="0"/>
    <x v="2"/>
    <x v="63"/>
    <x v="13"/>
    <x v="30"/>
    <x v="38"/>
    <x v="1"/>
    <x v="61"/>
    <x v="0"/>
    <x v="375"/>
  </r>
  <r>
    <x v="0"/>
    <x v="130"/>
    <x v="224"/>
    <x v="73"/>
    <x v="96"/>
    <x v="211"/>
    <x v="75"/>
    <x v="363"/>
    <x v="179"/>
    <x v="199"/>
    <x v="291"/>
    <x v="307"/>
    <x v="372"/>
    <x v="372"/>
    <x v="367"/>
    <x v="0"/>
    <x v="368"/>
    <x v="372"/>
    <x v="332"/>
    <x v="0"/>
    <x v="0"/>
    <x v="4"/>
    <x v="73"/>
    <x v="21"/>
    <x v="196"/>
    <x v="20"/>
    <x v="3"/>
    <x v="1"/>
    <x v="0"/>
    <x v="376"/>
  </r>
  <r>
    <x v="0"/>
    <x v="207"/>
    <x v="100"/>
    <x v="57"/>
    <x v="90"/>
    <x v="251"/>
    <x v="106"/>
    <x v="364"/>
    <x v="180"/>
    <x v="200"/>
    <x v="292"/>
    <x v="323"/>
    <x v="373"/>
    <x v="373"/>
    <x v="368"/>
    <x v="1"/>
    <x v="369"/>
    <x v="373"/>
    <x v="333"/>
    <x v="5"/>
    <x v="1"/>
    <x v="0"/>
    <x v="67"/>
    <x v="12"/>
    <x v="197"/>
    <x v="21"/>
    <x v="1"/>
    <x v="1"/>
    <x v="0"/>
    <x v="377"/>
  </r>
  <r>
    <x v="0"/>
    <x v="208"/>
    <x v="176"/>
    <x v="11"/>
    <x v="146"/>
    <x v="242"/>
    <x v="94"/>
    <x v="365"/>
    <x v="15"/>
    <x v="187"/>
    <x v="293"/>
    <x v="310"/>
    <x v="374"/>
    <x v="374"/>
    <x v="369"/>
    <x v="0"/>
    <x v="370"/>
    <x v="374"/>
    <x v="334"/>
    <x v="0"/>
    <x v="0"/>
    <x v="2"/>
    <x v="63"/>
    <x v="9"/>
    <x v="27"/>
    <x v="18"/>
    <x v="1"/>
    <x v="82"/>
    <x v="0"/>
    <x v="378"/>
  </r>
  <r>
    <x v="0"/>
    <x v="156"/>
    <x v="271"/>
    <x v="85"/>
    <x v="114"/>
    <x v="23"/>
    <x v="11"/>
    <x v="366"/>
    <x v="1"/>
    <x v="69"/>
    <x v="98"/>
    <x v="89"/>
    <x v="375"/>
    <x v="375"/>
    <x v="370"/>
    <x v="1"/>
    <x v="371"/>
    <x v="375"/>
    <x v="271"/>
    <x v="0"/>
    <x v="0"/>
    <x v="0"/>
    <x v="73"/>
    <x v="17"/>
    <x v="6"/>
    <x v="34"/>
    <x v="1"/>
    <x v="1"/>
    <x v="0"/>
    <x v="379"/>
  </r>
  <r>
    <x v="0"/>
    <x v="107"/>
    <x v="128"/>
    <x v="74"/>
    <x v="84"/>
    <x v="252"/>
    <x v="2"/>
    <x v="367"/>
    <x v="181"/>
    <x v="113"/>
    <x v="65"/>
    <x v="324"/>
    <x v="376"/>
    <x v="376"/>
    <x v="371"/>
    <x v="5"/>
    <x v="372"/>
    <x v="376"/>
    <x v="301"/>
    <x v="0"/>
    <x v="0"/>
    <x v="0"/>
    <x v="63"/>
    <x v="6"/>
    <x v="6"/>
    <x v="8"/>
    <x v="1"/>
    <x v="61"/>
    <x v="0"/>
    <x v="380"/>
  </r>
  <r>
    <x v="0"/>
    <x v="120"/>
    <x v="272"/>
    <x v="38"/>
    <x v="77"/>
    <x v="19"/>
    <x v="107"/>
    <x v="368"/>
    <x v="126"/>
    <x v="201"/>
    <x v="294"/>
    <x v="325"/>
    <x v="377"/>
    <x v="377"/>
    <x v="372"/>
    <x v="0"/>
    <x v="373"/>
    <x v="377"/>
    <x v="335"/>
    <x v="0"/>
    <x v="0"/>
    <x v="0"/>
    <x v="76"/>
    <x v="13"/>
    <x v="198"/>
    <x v="5"/>
    <x v="1"/>
    <x v="1"/>
    <x v="0"/>
    <x v="381"/>
  </r>
  <r>
    <x v="0"/>
    <x v="165"/>
    <x v="273"/>
    <x v="37"/>
    <x v="119"/>
    <x v="253"/>
    <x v="2"/>
    <x v="369"/>
    <x v="23"/>
    <x v="75"/>
    <x v="295"/>
    <x v="326"/>
    <x v="378"/>
    <x v="378"/>
    <x v="373"/>
    <x v="4"/>
    <x v="374"/>
    <x v="378"/>
    <x v="336"/>
    <x v="0"/>
    <x v="8"/>
    <x v="4"/>
    <x v="65"/>
    <x v="18"/>
    <x v="199"/>
    <x v="15"/>
    <x v="1"/>
    <x v="1"/>
    <x v="0"/>
    <x v="382"/>
  </r>
  <r>
    <x v="0"/>
    <x v="209"/>
    <x v="198"/>
    <x v="37"/>
    <x v="0"/>
    <x v="254"/>
    <x v="22"/>
    <x v="370"/>
    <x v="84"/>
    <x v="202"/>
    <x v="219"/>
    <x v="327"/>
    <x v="379"/>
    <x v="379"/>
    <x v="374"/>
    <x v="0"/>
    <x v="375"/>
    <x v="379"/>
    <x v="337"/>
    <x v="0"/>
    <x v="0"/>
    <x v="2"/>
    <x v="63"/>
    <x v="21"/>
    <x v="149"/>
    <x v="23"/>
    <x v="1"/>
    <x v="1"/>
    <x v="0"/>
    <x v="383"/>
  </r>
  <r>
    <x v="0"/>
    <x v="128"/>
    <x v="59"/>
    <x v="45"/>
    <x v="95"/>
    <x v="175"/>
    <x v="2"/>
    <x v="371"/>
    <x v="94"/>
    <x v="203"/>
    <x v="296"/>
    <x v="328"/>
    <x v="380"/>
    <x v="380"/>
    <x v="375"/>
    <x v="0"/>
    <x v="376"/>
    <x v="380"/>
    <x v="139"/>
    <x v="0"/>
    <x v="0"/>
    <x v="3"/>
    <x v="63"/>
    <x v="10"/>
    <x v="178"/>
    <x v="15"/>
    <x v="1"/>
    <x v="64"/>
    <x v="0"/>
    <x v="384"/>
  </r>
  <r>
    <x v="0"/>
    <x v="126"/>
    <x v="197"/>
    <x v="5"/>
    <x v="0"/>
    <x v="255"/>
    <x v="49"/>
    <x v="372"/>
    <x v="182"/>
    <x v="86"/>
    <x v="297"/>
    <x v="329"/>
    <x v="381"/>
    <x v="381"/>
    <x v="376"/>
    <x v="0"/>
    <x v="377"/>
    <x v="381"/>
    <x v="338"/>
    <x v="0"/>
    <x v="0"/>
    <x v="2"/>
    <x v="32"/>
    <x v="15"/>
    <x v="30"/>
    <x v="2"/>
    <x v="3"/>
    <x v="1"/>
    <x v="0"/>
    <x v="385"/>
  </r>
  <r>
    <x v="0"/>
    <x v="210"/>
    <x v="274"/>
    <x v="27"/>
    <x v="138"/>
    <x v="256"/>
    <x v="22"/>
    <x v="373"/>
    <x v="102"/>
    <x v="202"/>
    <x v="298"/>
    <x v="330"/>
    <x v="382"/>
    <x v="382"/>
    <x v="377"/>
    <x v="0"/>
    <x v="378"/>
    <x v="382"/>
    <x v="339"/>
    <x v="0"/>
    <x v="0"/>
    <x v="0"/>
    <x v="63"/>
    <x v="13"/>
    <x v="200"/>
    <x v="28"/>
    <x v="3"/>
    <x v="43"/>
    <x v="0"/>
    <x v="386"/>
  </r>
  <r>
    <x v="0"/>
    <x v="211"/>
    <x v="240"/>
    <x v="70"/>
    <x v="108"/>
    <x v="10"/>
    <x v="2"/>
    <x v="374"/>
    <x v="28"/>
    <x v="42"/>
    <x v="40"/>
    <x v="331"/>
    <x v="383"/>
    <x v="383"/>
    <x v="378"/>
    <x v="0"/>
    <x v="379"/>
    <x v="383"/>
    <x v="340"/>
    <x v="0"/>
    <x v="0"/>
    <x v="4"/>
    <x v="77"/>
    <x v="13"/>
    <x v="6"/>
    <x v="9"/>
    <x v="1"/>
    <x v="107"/>
    <x v="0"/>
    <x v="387"/>
  </r>
  <r>
    <x v="0"/>
    <x v="212"/>
    <x v="243"/>
    <x v="67"/>
    <x v="0"/>
    <x v="257"/>
    <x v="21"/>
    <x v="375"/>
    <x v="175"/>
    <x v="22"/>
    <x v="299"/>
    <x v="332"/>
    <x v="384"/>
    <x v="384"/>
    <x v="379"/>
    <x v="1"/>
    <x v="380"/>
    <x v="384"/>
    <x v="341"/>
    <x v="0"/>
    <x v="1"/>
    <x v="0"/>
    <x v="32"/>
    <x v="19"/>
    <x v="201"/>
    <x v="10"/>
    <x v="1"/>
    <x v="1"/>
    <x v="0"/>
    <x v="388"/>
  </r>
  <r>
    <x v="0"/>
    <x v="148"/>
    <x v="199"/>
    <x v="7"/>
    <x v="109"/>
    <x v="173"/>
    <x v="78"/>
    <x v="240"/>
    <x v="5"/>
    <x v="137"/>
    <x v="197"/>
    <x v="218"/>
    <x v="246"/>
    <x v="246"/>
    <x v="242"/>
    <x v="3"/>
    <x v="244"/>
    <x v="246"/>
    <x v="232"/>
    <x v="0"/>
    <x v="0"/>
    <x v="0"/>
    <x v="40"/>
    <x v="2"/>
    <x v="134"/>
    <x v="44"/>
    <x v="1"/>
    <x v="25"/>
    <x v="0"/>
    <x v="389"/>
  </r>
  <r>
    <x v="0"/>
    <x v="213"/>
    <x v="146"/>
    <x v="74"/>
    <x v="147"/>
    <x v="136"/>
    <x v="108"/>
    <x v="376"/>
    <x v="13"/>
    <x v="204"/>
    <x v="300"/>
    <x v="333"/>
    <x v="385"/>
    <x v="385"/>
    <x v="380"/>
    <x v="0"/>
    <x v="381"/>
    <x v="385"/>
    <x v="172"/>
    <x v="0"/>
    <x v="0"/>
    <x v="4"/>
    <x v="78"/>
    <x v="26"/>
    <x v="202"/>
    <x v="8"/>
    <x v="1"/>
    <x v="1"/>
    <x v="0"/>
    <x v="390"/>
  </r>
  <r>
    <x v="0"/>
    <x v="84"/>
    <x v="275"/>
    <x v="48"/>
    <x v="67"/>
    <x v="110"/>
    <x v="109"/>
    <x v="377"/>
    <x v="122"/>
    <x v="205"/>
    <x v="301"/>
    <x v="334"/>
    <x v="386"/>
    <x v="386"/>
    <x v="381"/>
    <x v="0"/>
    <x v="382"/>
    <x v="386"/>
    <x v="342"/>
    <x v="0"/>
    <x v="0"/>
    <x v="0"/>
    <x v="75"/>
    <x v="12"/>
    <x v="203"/>
    <x v="25"/>
    <x v="1"/>
    <x v="1"/>
    <x v="0"/>
    <x v="391"/>
  </r>
  <r>
    <x v="0"/>
    <x v="214"/>
    <x v="276"/>
    <x v="47"/>
    <x v="93"/>
    <x v="258"/>
    <x v="110"/>
    <x v="378"/>
    <x v="183"/>
    <x v="206"/>
    <x v="214"/>
    <x v="335"/>
    <x v="387"/>
    <x v="387"/>
    <x v="382"/>
    <x v="0"/>
    <x v="383"/>
    <x v="387"/>
    <x v="343"/>
    <x v="0"/>
    <x v="1"/>
    <x v="2"/>
    <x v="63"/>
    <x v="5"/>
    <x v="144"/>
    <x v="46"/>
    <x v="1"/>
    <x v="108"/>
    <x v="0"/>
    <x v="392"/>
  </r>
  <r>
    <x v="1"/>
    <x v="215"/>
    <x v="177"/>
    <x v="35"/>
    <x v="148"/>
    <x v="259"/>
    <x v="25"/>
    <x v="379"/>
    <x v="184"/>
    <x v="30"/>
    <x v="302"/>
    <x v="336"/>
    <x v="388"/>
    <x v="388"/>
    <x v="383"/>
    <x v="0"/>
    <x v="384"/>
    <x v="388"/>
    <x v="344"/>
    <x v="0"/>
    <x v="0"/>
    <x v="0"/>
    <x v="79"/>
    <x v="17"/>
    <x v="204"/>
    <x v="11"/>
    <x v="1"/>
    <x v="1"/>
    <x v="0"/>
    <x v="393"/>
  </r>
  <r>
    <x v="0"/>
    <x v="156"/>
    <x v="277"/>
    <x v="18"/>
    <x v="114"/>
    <x v="122"/>
    <x v="13"/>
    <x v="380"/>
    <x v="51"/>
    <x v="93"/>
    <x v="303"/>
    <x v="337"/>
    <x v="389"/>
    <x v="389"/>
    <x v="384"/>
    <x v="0"/>
    <x v="385"/>
    <x v="389"/>
    <x v="345"/>
    <x v="0"/>
    <x v="0"/>
    <x v="0"/>
    <x v="65"/>
    <x v="25"/>
    <x v="205"/>
    <x v="22"/>
    <x v="1"/>
    <x v="1"/>
    <x v="0"/>
    <x v="394"/>
  </r>
  <r>
    <x v="0"/>
    <x v="49"/>
    <x v="94"/>
    <x v="11"/>
    <x v="34"/>
    <x v="6"/>
    <x v="29"/>
    <x v="98"/>
    <x v="23"/>
    <x v="74"/>
    <x v="84"/>
    <x v="92"/>
    <x v="100"/>
    <x v="100"/>
    <x v="98"/>
    <x v="4"/>
    <x v="100"/>
    <x v="100"/>
    <x v="98"/>
    <x v="0"/>
    <x v="0"/>
    <x v="0"/>
    <x v="30"/>
    <x v="18"/>
    <x v="20"/>
    <x v="10"/>
    <x v="1"/>
    <x v="57"/>
    <x v="0"/>
    <x v="395"/>
  </r>
  <r>
    <x v="0"/>
    <x v="43"/>
    <x v="248"/>
    <x v="14"/>
    <x v="0"/>
    <x v="260"/>
    <x v="10"/>
    <x v="381"/>
    <x v="185"/>
    <x v="33"/>
    <x v="304"/>
    <x v="338"/>
    <x v="390"/>
    <x v="390"/>
    <x v="385"/>
    <x v="1"/>
    <x v="386"/>
    <x v="390"/>
    <x v="346"/>
    <x v="0"/>
    <x v="0"/>
    <x v="0"/>
    <x v="63"/>
    <x v="21"/>
    <x v="206"/>
    <x v="16"/>
    <x v="3"/>
    <x v="33"/>
    <x v="0"/>
    <x v="396"/>
  </r>
  <r>
    <x v="0"/>
    <x v="83"/>
    <x v="278"/>
    <x v="26"/>
    <x v="66"/>
    <x v="261"/>
    <x v="49"/>
    <x v="382"/>
    <x v="186"/>
    <x v="86"/>
    <x v="305"/>
    <x v="339"/>
    <x v="391"/>
    <x v="391"/>
    <x v="386"/>
    <x v="0"/>
    <x v="387"/>
    <x v="391"/>
    <x v="347"/>
    <x v="0"/>
    <x v="0"/>
    <x v="2"/>
    <x v="32"/>
    <x v="7"/>
    <x v="76"/>
    <x v="12"/>
    <x v="1"/>
    <x v="1"/>
    <x v="0"/>
    <x v="397"/>
  </r>
  <r>
    <x v="0"/>
    <x v="116"/>
    <x v="178"/>
    <x v="26"/>
    <x v="90"/>
    <x v="262"/>
    <x v="57"/>
    <x v="383"/>
    <x v="83"/>
    <x v="109"/>
    <x v="306"/>
    <x v="340"/>
    <x v="392"/>
    <x v="392"/>
    <x v="224"/>
    <x v="1"/>
    <x v="388"/>
    <x v="392"/>
    <x v="348"/>
    <x v="0"/>
    <x v="0"/>
    <x v="0"/>
    <x v="74"/>
    <x v="14"/>
    <x v="207"/>
    <x v="6"/>
    <x v="1"/>
    <x v="1"/>
    <x v="0"/>
    <x v="398"/>
  </r>
  <r>
    <x v="0"/>
    <x v="72"/>
    <x v="273"/>
    <x v="23"/>
    <x v="57"/>
    <x v="263"/>
    <x v="2"/>
    <x v="384"/>
    <x v="51"/>
    <x v="42"/>
    <x v="117"/>
    <x v="341"/>
    <x v="393"/>
    <x v="393"/>
    <x v="387"/>
    <x v="1"/>
    <x v="389"/>
    <x v="393"/>
    <x v="349"/>
    <x v="0"/>
    <x v="0"/>
    <x v="4"/>
    <x v="49"/>
    <x v="13"/>
    <x v="10"/>
    <x v="21"/>
    <x v="1"/>
    <x v="1"/>
    <x v="0"/>
    <x v="399"/>
  </r>
  <r>
    <x v="0"/>
    <x v="151"/>
    <x v="72"/>
    <x v="38"/>
    <x v="0"/>
    <x v="264"/>
    <x v="2"/>
    <x v="385"/>
    <x v="111"/>
    <x v="75"/>
    <x v="182"/>
    <x v="342"/>
    <x v="394"/>
    <x v="394"/>
    <x v="388"/>
    <x v="2"/>
    <x v="390"/>
    <x v="394"/>
    <x v="350"/>
    <x v="0"/>
    <x v="0"/>
    <x v="0"/>
    <x v="49"/>
    <x v="18"/>
    <x v="30"/>
    <x v="6"/>
    <x v="1"/>
    <x v="1"/>
    <x v="0"/>
    <x v="400"/>
  </r>
  <r>
    <x v="0"/>
    <x v="216"/>
    <x v="103"/>
    <x v="47"/>
    <x v="149"/>
    <x v="265"/>
    <x v="21"/>
    <x v="386"/>
    <x v="6"/>
    <x v="174"/>
    <x v="307"/>
    <x v="343"/>
    <x v="395"/>
    <x v="395"/>
    <x v="389"/>
    <x v="8"/>
    <x v="391"/>
    <x v="395"/>
    <x v="351"/>
    <x v="0"/>
    <x v="8"/>
    <x v="0"/>
    <x v="74"/>
    <x v="10"/>
    <x v="135"/>
    <x v="27"/>
    <x v="1"/>
    <x v="64"/>
    <x v="0"/>
    <x v="401"/>
  </r>
  <r>
    <x v="0"/>
    <x v="217"/>
    <x v="127"/>
    <x v="43"/>
    <x v="150"/>
    <x v="21"/>
    <x v="25"/>
    <x v="387"/>
    <x v="57"/>
    <x v="26"/>
    <x v="288"/>
    <x v="344"/>
    <x v="396"/>
    <x v="396"/>
    <x v="390"/>
    <x v="4"/>
    <x v="392"/>
    <x v="396"/>
    <x v="352"/>
    <x v="0"/>
    <x v="0"/>
    <x v="2"/>
    <x v="49"/>
    <x v="3"/>
    <x v="6"/>
    <x v="1"/>
    <x v="3"/>
    <x v="82"/>
    <x v="0"/>
    <x v="402"/>
  </r>
  <r>
    <x v="0"/>
    <x v="218"/>
    <x v="279"/>
    <x v="86"/>
    <x v="151"/>
    <x v="266"/>
    <x v="111"/>
    <x v="388"/>
    <x v="187"/>
    <x v="207"/>
    <x v="308"/>
    <x v="345"/>
    <x v="397"/>
    <x v="397"/>
    <x v="391"/>
    <x v="4"/>
    <x v="393"/>
    <x v="397"/>
    <x v="353"/>
    <x v="0"/>
    <x v="0"/>
    <x v="2"/>
    <x v="49"/>
    <x v="1"/>
    <x v="208"/>
    <x v="1"/>
    <x v="1"/>
    <x v="1"/>
    <x v="0"/>
    <x v="403"/>
  </r>
  <r>
    <x v="0"/>
    <x v="113"/>
    <x v="280"/>
    <x v="104"/>
    <x v="88"/>
    <x v="267"/>
    <x v="46"/>
    <x v="4"/>
    <x v="188"/>
    <x v="208"/>
    <x v="309"/>
    <x v="346"/>
    <x v="398"/>
    <x v="398"/>
    <x v="392"/>
    <x v="1"/>
    <x v="394"/>
    <x v="398"/>
    <x v="354"/>
    <x v="0"/>
    <x v="0"/>
    <x v="5"/>
    <x v="4"/>
    <x v="4"/>
    <x v="209"/>
    <x v="35"/>
    <x v="0"/>
    <x v="109"/>
    <x v="0"/>
    <x v="404"/>
  </r>
  <r>
    <x v="0"/>
    <x v="219"/>
    <x v="53"/>
    <x v="69"/>
    <x v="108"/>
    <x v="268"/>
    <x v="11"/>
    <x v="389"/>
    <x v="86"/>
    <x v="156"/>
    <x v="104"/>
    <x v="347"/>
    <x v="399"/>
    <x v="399"/>
    <x v="393"/>
    <x v="1"/>
    <x v="395"/>
    <x v="399"/>
    <x v="355"/>
    <x v="0"/>
    <x v="0"/>
    <x v="4"/>
    <x v="49"/>
    <x v="3"/>
    <x v="48"/>
    <x v="2"/>
    <x v="1"/>
    <x v="64"/>
    <x v="0"/>
    <x v="405"/>
  </r>
  <r>
    <x v="0"/>
    <x v="218"/>
    <x v="274"/>
    <x v="7"/>
    <x v="151"/>
    <x v="269"/>
    <x v="35"/>
    <x v="390"/>
    <x v="189"/>
    <x v="173"/>
    <x v="92"/>
    <x v="348"/>
    <x v="400"/>
    <x v="400"/>
    <x v="394"/>
    <x v="1"/>
    <x v="396"/>
    <x v="400"/>
    <x v="356"/>
    <x v="0"/>
    <x v="0"/>
    <x v="3"/>
    <x v="49"/>
    <x v="21"/>
    <x v="66"/>
    <x v="30"/>
    <x v="3"/>
    <x v="110"/>
    <x v="0"/>
    <x v="406"/>
  </r>
  <r>
    <x v="0"/>
    <x v="25"/>
    <x v="281"/>
    <x v="27"/>
    <x v="18"/>
    <x v="70"/>
    <x v="35"/>
    <x v="391"/>
    <x v="132"/>
    <x v="91"/>
    <x v="310"/>
    <x v="86"/>
    <x v="401"/>
    <x v="401"/>
    <x v="395"/>
    <x v="7"/>
    <x v="397"/>
    <x v="401"/>
    <x v="357"/>
    <x v="0"/>
    <x v="0"/>
    <x v="0"/>
    <x v="74"/>
    <x v="10"/>
    <x v="210"/>
    <x v="5"/>
    <x v="1"/>
    <x v="1"/>
    <x v="0"/>
    <x v="407"/>
  </r>
  <r>
    <x v="0"/>
    <x v="220"/>
    <x v="271"/>
    <x v="67"/>
    <x v="152"/>
    <x v="65"/>
    <x v="21"/>
    <x v="392"/>
    <x v="127"/>
    <x v="141"/>
    <x v="246"/>
    <x v="349"/>
    <x v="402"/>
    <x v="402"/>
    <x v="396"/>
    <x v="3"/>
    <x v="398"/>
    <x v="402"/>
    <x v="358"/>
    <x v="0"/>
    <x v="0"/>
    <x v="0"/>
    <x v="49"/>
    <x v="7"/>
    <x v="13"/>
    <x v="8"/>
    <x v="3"/>
    <x v="64"/>
    <x v="0"/>
    <x v="408"/>
  </r>
  <r>
    <x v="0"/>
    <x v="165"/>
    <x v="225"/>
    <x v="35"/>
    <x v="119"/>
    <x v="270"/>
    <x v="14"/>
    <x v="393"/>
    <x v="80"/>
    <x v="14"/>
    <x v="311"/>
    <x v="350"/>
    <x v="403"/>
    <x v="403"/>
    <x v="397"/>
    <x v="2"/>
    <x v="399"/>
    <x v="403"/>
    <x v="359"/>
    <x v="0"/>
    <x v="0"/>
    <x v="4"/>
    <x v="63"/>
    <x v="20"/>
    <x v="211"/>
    <x v="11"/>
    <x v="1"/>
    <x v="1"/>
    <x v="0"/>
    <x v="409"/>
  </r>
  <r>
    <x v="0"/>
    <x v="220"/>
    <x v="94"/>
    <x v="60"/>
    <x v="152"/>
    <x v="17"/>
    <x v="2"/>
    <x v="394"/>
    <x v="105"/>
    <x v="209"/>
    <x v="312"/>
    <x v="351"/>
    <x v="404"/>
    <x v="404"/>
    <x v="398"/>
    <x v="4"/>
    <x v="400"/>
    <x v="404"/>
    <x v="178"/>
    <x v="0"/>
    <x v="0"/>
    <x v="4"/>
    <x v="49"/>
    <x v="0"/>
    <x v="12"/>
    <x v="4"/>
    <x v="3"/>
    <x v="1"/>
    <x v="0"/>
    <x v="410"/>
  </r>
  <r>
    <x v="0"/>
    <x v="151"/>
    <x v="282"/>
    <x v="40"/>
    <x v="0"/>
    <x v="21"/>
    <x v="21"/>
    <x v="395"/>
    <x v="111"/>
    <x v="210"/>
    <x v="281"/>
    <x v="352"/>
    <x v="405"/>
    <x v="405"/>
    <x v="399"/>
    <x v="3"/>
    <x v="401"/>
    <x v="405"/>
    <x v="160"/>
    <x v="0"/>
    <x v="0"/>
    <x v="0"/>
    <x v="49"/>
    <x v="1"/>
    <x v="44"/>
    <x v="8"/>
    <x v="1"/>
    <x v="1"/>
    <x v="0"/>
    <x v="411"/>
  </r>
  <r>
    <x v="0"/>
    <x v="221"/>
    <x v="283"/>
    <x v="105"/>
    <x v="52"/>
    <x v="271"/>
    <x v="41"/>
    <x v="396"/>
    <x v="29"/>
    <x v="211"/>
    <x v="313"/>
    <x v="353"/>
    <x v="406"/>
    <x v="406"/>
    <x v="400"/>
    <x v="1"/>
    <x v="402"/>
    <x v="406"/>
    <x v="360"/>
    <x v="0"/>
    <x v="0"/>
    <x v="2"/>
    <x v="49"/>
    <x v="7"/>
    <x v="212"/>
    <x v="5"/>
    <x v="3"/>
    <x v="111"/>
    <x v="0"/>
    <x v="412"/>
  </r>
  <r>
    <x v="0"/>
    <x v="222"/>
    <x v="284"/>
    <x v="106"/>
    <x v="153"/>
    <x v="1"/>
    <x v="21"/>
    <x v="397"/>
    <x v="101"/>
    <x v="141"/>
    <x v="200"/>
    <x v="223"/>
    <x v="407"/>
    <x v="407"/>
    <x v="401"/>
    <x v="4"/>
    <x v="403"/>
    <x v="407"/>
    <x v="361"/>
    <x v="0"/>
    <x v="0"/>
    <x v="0"/>
    <x v="49"/>
    <x v="11"/>
    <x v="1"/>
    <x v="10"/>
    <x v="1"/>
    <x v="112"/>
    <x v="0"/>
    <x v="413"/>
  </r>
  <r>
    <x v="0"/>
    <x v="223"/>
    <x v="94"/>
    <x v="22"/>
    <x v="37"/>
    <x v="272"/>
    <x v="15"/>
    <x v="398"/>
    <x v="156"/>
    <x v="212"/>
    <x v="314"/>
    <x v="354"/>
    <x v="408"/>
    <x v="408"/>
    <x v="402"/>
    <x v="1"/>
    <x v="404"/>
    <x v="408"/>
    <x v="362"/>
    <x v="0"/>
    <x v="0"/>
    <x v="4"/>
    <x v="76"/>
    <x v="18"/>
    <x v="213"/>
    <x v="32"/>
    <x v="1"/>
    <x v="1"/>
    <x v="0"/>
    <x v="414"/>
  </r>
  <r>
    <x v="0"/>
    <x v="21"/>
    <x v="285"/>
    <x v="27"/>
    <x v="14"/>
    <x v="225"/>
    <x v="25"/>
    <x v="399"/>
    <x v="75"/>
    <x v="138"/>
    <x v="128"/>
    <x v="286"/>
    <x v="409"/>
    <x v="409"/>
    <x v="403"/>
    <x v="1"/>
    <x v="405"/>
    <x v="409"/>
    <x v="363"/>
    <x v="0"/>
    <x v="0"/>
    <x v="0"/>
    <x v="49"/>
    <x v="17"/>
    <x v="13"/>
    <x v="10"/>
    <x v="1"/>
    <x v="1"/>
    <x v="0"/>
    <x v="415"/>
  </r>
  <r>
    <x v="0"/>
    <x v="131"/>
    <x v="227"/>
    <x v="29"/>
    <x v="97"/>
    <x v="235"/>
    <x v="112"/>
    <x v="400"/>
    <x v="190"/>
    <x v="213"/>
    <x v="315"/>
    <x v="297"/>
    <x v="410"/>
    <x v="410"/>
    <x v="404"/>
    <x v="1"/>
    <x v="406"/>
    <x v="410"/>
    <x v="73"/>
    <x v="0"/>
    <x v="0"/>
    <x v="0"/>
    <x v="80"/>
    <x v="27"/>
    <x v="104"/>
    <x v="5"/>
    <x v="1"/>
    <x v="1"/>
    <x v="0"/>
    <x v="416"/>
  </r>
  <r>
    <x v="0"/>
    <x v="14"/>
    <x v="286"/>
    <x v="97"/>
    <x v="9"/>
    <x v="273"/>
    <x v="113"/>
    <x v="401"/>
    <x v="17"/>
    <x v="214"/>
    <x v="300"/>
    <x v="355"/>
    <x v="411"/>
    <x v="411"/>
    <x v="405"/>
    <x v="1"/>
    <x v="407"/>
    <x v="411"/>
    <x v="347"/>
    <x v="0"/>
    <x v="0"/>
    <x v="0"/>
    <x v="49"/>
    <x v="12"/>
    <x v="202"/>
    <x v="11"/>
    <x v="1"/>
    <x v="1"/>
    <x v="0"/>
    <x v="417"/>
  </r>
  <r>
    <x v="0"/>
    <x v="41"/>
    <x v="287"/>
    <x v="27"/>
    <x v="29"/>
    <x v="146"/>
    <x v="114"/>
    <x v="402"/>
    <x v="23"/>
    <x v="215"/>
    <x v="316"/>
    <x v="356"/>
    <x v="412"/>
    <x v="412"/>
    <x v="406"/>
    <x v="7"/>
    <x v="408"/>
    <x v="412"/>
    <x v="364"/>
    <x v="0"/>
    <x v="0"/>
    <x v="0"/>
    <x v="49"/>
    <x v="7"/>
    <x v="214"/>
    <x v="19"/>
    <x v="1"/>
    <x v="1"/>
    <x v="0"/>
    <x v="418"/>
  </r>
  <r>
    <x v="0"/>
    <x v="224"/>
    <x v="136"/>
    <x v="55"/>
    <x v="85"/>
    <x v="199"/>
    <x v="0"/>
    <x v="403"/>
    <x v="21"/>
    <x v="51"/>
    <x v="317"/>
    <x v="357"/>
    <x v="413"/>
    <x v="413"/>
    <x v="407"/>
    <x v="1"/>
    <x v="409"/>
    <x v="413"/>
    <x v="365"/>
    <x v="0"/>
    <x v="1"/>
    <x v="2"/>
    <x v="32"/>
    <x v="10"/>
    <x v="215"/>
    <x v="1"/>
    <x v="3"/>
    <x v="1"/>
    <x v="0"/>
    <x v="419"/>
  </r>
  <r>
    <x v="0"/>
    <x v="225"/>
    <x v="288"/>
    <x v="0"/>
    <x v="141"/>
    <x v="274"/>
    <x v="25"/>
    <x v="404"/>
    <x v="49"/>
    <x v="82"/>
    <x v="40"/>
    <x v="358"/>
    <x v="414"/>
    <x v="414"/>
    <x v="408"/>
    <x v="0"/>
    <x v="410"/>
    <x v="414"/>
    <x v="366"/>
    <x v="0"/>
    <x v="0"/>
    <x v="0"/>
    <x v="63"/>
    <x v="20"/>
    <x v="6"/>
    <x v="1"/>
    <x v="3"/>
    <x v="7"/>
    <x v="0"/>
    <x v="420"/>
  </r>
  <r>
    <x v="0"/>
    <x v="226"/>
    <x v="126"/>
    <x v="26"/>
    <x v="154"/>
    <x v="275"/>
    <x v="115"/>
    <x v="405"/>
    <x v="65"/>
    <x v="216"/>
    <x v="318"/>
    <x v="359"/>
    <x v="415"/>
    <x v="415"/>
    <x v="409"/>
    <x v="1"/>
    <x v="411"/>
    <x v="415"/>
    <x v="367"/>
    <x v="0"/>
    <x v="0"/>
    <x v="4"/>
    <x v="49"/>
    <x v="19"/>
    <x v="216"/>
    <x v="34"/>
    <x v="3"/>
    <x v="113"/>
    <x v="0"/>
    <x v="421"/>
  </r>
  <r>
    <x v="0"/>
    <x v="227"/>
    <x v="274"/>
    <x v="32"/>
    <x v="63"/>
    <x v="163"/>
    <x v="116"/>
    <x v="4"/>
    <x v="191"/>
    <x v="217"/>
    <x v="319"/>
    <x v="360"/>
    <x v="416"/>
    <x v="416"/>
    <x v="410"/>
    <x v="0"/>
    <x v="412"/>
    <x v="416"/>
    <x v="368"/>
    <x v="0"/>
    <x v="0"/>
    <x v="4"/>
    <x v="4"/>
    <x v="28"/>
    <x v="217"/>
    <x v="6"/>
    <x v="3"/>
    <x v="1"/>
    <x v="0"/>
    <x v="422"/>
  </r>
  <r>
    <x v="0"/>
    <x v="228"/>
    <x v="174"/>
    <x v="11"/>
    <x v="155"/>
    <x v="276"/>
    <x v="94"/>
    <x v="406"/>
    <x v="192"/>
    <x v="218"/>
    <x v="214"/>
    <x v="361"/>
    <x v="417"/>
    <x v="417"/>
    <x v="411"/>
    <x v="1"/>
    <x v="413"/>
    <x v="417"/>
    <x v="369"/>
    <x v="0"/>
    <x v="0"/>
    <x v="2"/>
    <x v="49"/>
    <x v="3"/>
    <x v="144"/>
    <x v="23"/>
    <x v="3"/>
    <x v="45"/>
    <x v="0"/>
    <x v="423"/>
  </r>
  <r>
    <x v="0"/>
    <x v="229"/>
    <x v="289"/>
    <x v="52"/>
    <x v="16"/>
    <x v="277"/>
    <x v="14"/>
    <x v="407"/>
    <x v="193"/>
    <x v="219"/>
    <x v="320"/>
    <x v="362"/>
    <x v="418"/>
    <x v="418"/>
    <x v="412"/>
    <x v="0"/>
    <x v="414"/>
    <x v="418"/>
    <x v="370"/>
    <x v="0"/>
    <x v="0"/>
    <x v="0"/>
    <x v="81"/>
    <x v="5"/>
    <x v="30"/>
    <x v="7"/>
    <x v="3"/>
    <x v="88"/>
    <x v="0"/>
    <x v="424"/>
  </r>
  <r>
    <x v="0"/>
    <x v="230"/>
    <x v="290"/>
    <x v="24"/>
    <x v="151"/>
    <x v="278"/>
    <x v="26"/>
    <x v="408"/>
    <x v="18"/>
    <x v="27"/>
    <x v="321"/>
    <x v="363"/>
    <x v="419"/>
    <x v="419"/>
    <x v="413"/>
    <x v="0"/>
    <x v="415"/>
    <x v="419"/>
    <x v="371"/>
    <x v="0"/>
    <x v="0"/>
    <x v="0"/>
    <x v="81"/>
    <x v="17"/>
    <x v="218"/>
    <x v="28"/>
    <x v="1"/>
    <x v="1"/>
    <x v="0"/>
    <x v="425"/>
  </r>
  <r>
    <x v="0"/>
    <x v="231"/>
    <x v="160"/>
    <x v="56"/>
    <x v="156"/>
    <x v="218"/>
    <x v="117"/>
    <x v="409"/>
    <x v="194"/>
    <x v="220"/>
    <x v="322"/>
    <x v="364"/>
    <x v="420"/>
    <x v="420"/>
    <x v="414"/>
    <x v="1"/>
    <x v="416"/>
    <x v="420"/>
    <x v="372"/>
    <x v="0"/>
    <x v="0"/>
    <x v="0"/>
    <x v="48"/>
    <x v="21"/>
    <x v="219"/>
    <x v="44"/>
    <x v="3"/>
    <x v="114"/>
    <x v="0"/>
    <x v="426"/>
  </r>
  <r>
    <x v="0"/>
    <x v="154"/>
    <x v="291"/>
    <x v="107"/>
    <x v="113"/>
    <x v="279"/>
    <x v="41"/>
    <x v="410"/>
    <x v="195"/>
    <x v="221"/>
    <x v="323"/>
    <x v="365"/>
    <x v="421"/>
    <x v="421"/>
    <x v="415"/>
    <x v="3"/>
    <x v="417"/>
    <x v="421"/>
    <x v="373"/>
    <x v="0"/>
    <x v="0"/>
    <x v="2"/>
    <x v="68"/>
    <x v="19"/>
    <x v="12"/>
    <x v="41"/>
    <x v="3"/>
    <x v="1"/>
    <x v="0"/>
    <x v="427"/>
  </r>
  <r>
    <x v="0"/>
    <x v="232"/>
    <x v="135"/>
    <x v="54"/>
    <x v="47"/>
    <x v="280"/>
    <x v="118"/>
    <x v="411"/>
    <x v="46"/>
    <x v="222"/>
    <x v="324"/>
    <x v="366"/>
    <x v="422"/>
    <x v="422"/>
    <x v="416"/>
    <x v="0"/>
    <x v="418"/>
    <x v="422"/>
    <x v="374"/>
    <x v="0"/>
    <x v="1"/>
    <x v="4"/>
    <x v="82"/>
    <x v="3"/>
    <x v="126"/>
    <x v="1"/>
    <x v="1"/>
    <x v="34"/>
    <x v="0"/>
    <x v="428"/>
  </r>
  <r>
    <x v="0"/>
    <x v="158"/>
    <x v="247"/>
    <x v="86"/>
    <x v="115"/>
    <x v="87"/>
    <x v="2"/>
    <x v="412"/>
    <x v="196"/>
    <x v="196"/>
    <x v="325"/>
    <x v="367"/>
    <x v="423"/>
    <x v="423"/>
    <x v="417"/>
    <x v="1"/>
    <x v="419"/>
    <x v="423"/>
    <x v="375"/>
    <x v="0"/>
    <x v="0"/>
    <x v="0"/>
    <x v="80"/>
    <x v="7"/>
    <x v="30"/>
    <x v="21"/>
    <x v="3"/>
    <x v="115"/>
    <x v="0"/>
    <x v="429"/>
  </r>
  <r>
    <x v="0"/>
    <x v="233"/>
    <x v="238"/>
    <x v="29"/>
    <x v="0"/>
    <x v="154"/>
    <x v="119"/>
    <x v="4"/>
    <x v="63"/>
    <x v="223"/>
    <x v="326"/>
    <x v="368"/>
    <x v="424"/>
    <x v="424"/>
    <x v="418"/>
    <x v="0"/>
    <x v="420"/>
    <x v="424"/>
    <x v="376"/>
    <x v="0"/>
    <x v="0"/>
    <x v="4"/>
    <x v="83"/>
    <x v="26"/>
    <x v="117"/>
    <x v="8"/>
    <x v="3"/>
    <x v="1"/>
    <x v="0"/>
    <x v="430"/>
  </r>
  <r>
    <x v="0"/>
    <x v="149"/>
    <x v="74"/>
    <x v="87"/>
    <x v="110"/>
    <x v="281"/>
    <x v="43"/>
    <x v="413"/>
    <x v="197"/>
    <x v="67"/>
    <x v="327"/>
    <x v="369"/>
    <x v="425"/>
    <x v="425"/>
    <x v="419"/>
    <x v="0"/>
    <x v="421"/>
    <x v="425"/>
    <x v="377"/>
    <x v="0"/>
    <x v="0"/>
    <x v="2"/>
    <x v="49"/>
    <x v="5"/>
    <x v="220"/>
    <x v="44"/>
    <x v="3"/>
    <x v="1"/>
    <x v="0"/>
    <x v="431"/>
  </r>
  <r>
    <x v="0"/>
    <x v="52"/>
    <x v="282"/>
    <x v="76"/>
    <x v="37"/>
    <x v="282"/>
    <x v="30"/>
    <x v="414"/>
    <x v="18"/>
    <x v="224"/>
    <x v="328"/>
    <x v="370"/>
    <x v="426"/>
    <x v="426"/>
    <x v="420"/>
    <x v="0"/>
    <x v="422"/>
    <x v="426"/>
    <x v="378"/>
    <x v="0"/>
    <x v="0"/>
    <x v="0"/>
    <x v="49"/>
    <x v="8"/>
    <x v="9"/>
    <x v="9"/>
    <x v="1"/>
    <x v="1"/>
    <x v="0"/>
    <x v="432"/>
  </r>
  <r>
    <x v="0"/>
    <x v="37"/>
    <x v="292"/>
    <x v="60"/>
    <x v="0"/>
    <x v="283"/>
    <x v="22"/>
    <x v="415"/>
    <x v="198"/>
    <x v="225"/>
    <x v="329"/>
    <x v="371"/>
    <x v="427"/>
    <x v="427"/>
    <x v="421"/>
    <x v="0"/>
    <x v="423"/>
    <x v="427"/>
    <x v="329"/>
    <x v="0"/>
    <x v="0"/>
    <x v="0"/>
    <x v="49"/>
    <x v="8"/>
    <x v="221"/>
    <x v="15"/>
    <x v="3"/>
    <x v="67"/>
    <x v="0"/>
    <x v="433"/>
  </r>
  <r>
    <x v="0"/>
    <x v="68"/>
    <x v="28"/>
    <x v="108"/>
    <x v="53"/>
    <x v="284"/>
    <x v="20"/>
    <x v="416"/>
    <x v="199"/>
    <x v="21"/>
    <x v="330"/>
    <x v="372"/>
    <x v="428"/>
    <x v="428"/>
    <x v="422"/>
    <x v="0"/>
    <x v="424"/>
    <x v="428"/>
    <x v="379"/>
    <x v="0"/>
    <x v="0"/>
    <x v="4"/>
    <x v="48"/>
    <x v="1"/>
    <x v="28"/>
    <x v="16"/>
    <x v="1"/>
    <x v="85"/>
    <x v="0"/>
    <x v="434"/>
  </r>
  <r>
    <x v="0"/>
    <x v="150"/>
    <x v="230"/>
    <x v="32"/>
    <x v="111"/>
    <x v="285"/>
    <x v="22"/>
    <x v="417"/>
    <x v="123"/>
    <x v="226"/>
    <x v="331"/>
    <x v="373"/>
    <x v="429"/>
    <x v="429"/>
    <x v="423"/>
    <x v="1"/>
    <x v="425"/>
    <x v="429"/>
    <x v="316"/>
    <x v="0"/>
    <x v="0"/>
    <x v="0"/>
    <x v="84"/>
    <x v="21"/>
    <x v="222"/>
    <x v="18"/>
    <x v="1"/>
    <x v="1"/>
    <x v="0"/>
    <x v="435"/>
  </r>
  <r>
    <x v="0"/>
    <x v="51"/>
    <x v="104"/>
    <x v="59"/>
    <x v="36"/>
    <x v="1"/>
    <x v="2"/>
    <x v="418"/>
    <x v="200"/>
    <x v="130"/>
    <x v="332"/>
    <x v="374"/>
    <x v="430"/>
    <x v="430"/>
    <x v="424"/>
    <x v="1"/>
    <x v="426"/>
    <x v="430"/>
    <x v="380"/>
    <x v="0"/>
    <x v="0"/>
    <x v="0"/>
    <x v="85"/>
    <x v="17"/>
    <x v="223"/>
    <x v="10"/>
    <x v="3"/>
    <x v="1"/>
    <x v="0"/>
    <x v="436"/>
  </r>
  <r>
    <x v="0"/>
    <x v="234"/>
    <x v="43"/>
    <x v="18"/>
    <x v="17"/>
    <x v="265"/>
    <x v="8"/>
    <x v="419"/>
    <x v="2"/>
    <x v="35"/>
    <x v="234"/>
    <x v="375"/>
    <x v="431"/>
    <x v="431"/>
    <x v="425"/>
    <x v="12"/>
    <x v="427"/>
    <x v="431"/>
    <x v="74"/>
    <x v="0"/>
    <x v="0"/>
    <x v="4"/>
    <x v="67"/>
    <x v="5"/>
    <x v="44"/>
    <x v="12"/>
    <x v="1"/>
    <x v="116"/>
    <x v="0"/>
    <x v="437"/>
  </r>
  <r>
    <x v="0"/>
    <x v="209"/>
    <x v="166"/>
    <x v="47"/>
    <x v="0"/>
    <x v="286"/>
    <x v="14"/>
    <x v="420"/>
    <x v="2"/>
    <x v="56"/>
    <x v="333"/>
    <x v="376"/>
    <x v="432"/>
    <x v="432"/>
    <x v="426"/>
    <x v="0"/>
    <x v="428"/>
    <x v="432"/>
    <x v="364"/>
    <x v="0"/>
    <x v="0"/>
    <x v="0"/>
    <x v="67"/>
    <x v="25"/>
    <x v="30"/>
    <x v="1"/>
    <x v="1"/>
    <x v="1"/>
    <x v="0"/>
    <x v="438"/>
  </r>
  <r>
    <x v="0"/>
    <x v="215"/>
    <x v="10"/>
    <x v="30"/>
    <x v="148"/>
    <x v="287"/>
    <x v="31"/>
    <x v="421"/>
    <x v="109"/>
    <x v="37"/>
    <x v="153"/>
    <x v="377"/>
    <x v="433"/>
    <x v="433"/>
    <x v="427"/>
    <x v="0"/>
    <x v="429"/>
    <x v="433"/>
    <x v="381"/>
    <x v="0"/>
    <x v="0"/>
    <x v="0"/>
    <x v="54"/>
    <x v="3"/>
    <x v="20"/>
    <x v="11"/>
    <x v="1"/>
    <x v="117"/>
    <x v="0"/>
    <x v="439"/>
  </r>
  <r>
    <x v="0"/>
    <x v="235"/>
    <x v="228"/>
    <x v="58"/>
    <x v="157"/>
    <x v="158"/>
    <x v="21"/>
    <x v="422"/>
    <x v="125"/>
    <x v="71"/>
    <x v="334"/>
    <x v="378"/>
    <x v="434"/>
    <x v="434"/>
    <x v="428"/>
    <x v="0"/>
    <x v="430"/>
    <x v="434"/>
    <x v="382"/>
    <x v="0"/>
    <x v="0"/>
    <x v="4"/>
    <x v="67"/>
    <x v="10"/>
    <x v="224"/>
    <x v="12"/>
    <x v="1"/>
    <x v="15"/>
    <x v="0"/>
    <x v="440"/>
  </r>
  <r>
    <x v="0"/>
    <x v="24"/>
    <x v="155"/>
    <x v="51"/>
    <x v="17"/>
    <x v="288"/>
    <x v="68"/>
    <x v="423"/>
    <x v="97"/>
    <x v="120"/>
    <x v="335"/>
    <x v="379"/>
    <x v="435"/>
    <x v="435"/>
    <x v="429"/>
    <x v="0"/>
    <x v="431"/>
    <x v="435"/>
    <x v="383"/>
    <x v="0"/>
    <x v="0"/>
    <x v="0"/>
    <x v="67"/>
    <x v="29"/>
    <x v="225"/>
    <x v="15"/>
    <x v="3"/>
    <x v="1"/>
    <x v="0"/>
    <x v="441"/>
  </r>
  <r>
    <x v="0"/>
    <x v="119"/>
    <x v="146"/>
    <x v="105"/>
    <x v="69"/>
    <x v="289"/>
    <x v="57"/>
    <x v="424"/>
    <x v="29"/>
    <x v="99"/>
    <x v="332"/>
    <x v="380"/>
    <x v="436"/>
    <x v="436"/>
    <x v="430"/>
    <x v="1"/>
    <x v="432"/>
    <x v="436"/>
    <x v="384"/>
    <x v="0"/>
    <x v="0"/>
    <x v="2"/>
    <x v="67"/>
    <x v="7"/>
    <x v="223"/>
    <x v="2"/>
    <x v="3"/>
    <x v="1"/>
    <x v="0"/>
    <x v="442"/>
  </r>
  <r>
    <x v="0"/>
    <x v="64"/>
    <x v="224"/>
    <x v="79"/>
    <x v="49"/>
    <x v="290"/>
    <x v="0"/>
    <x v="425"/>
    <x v="201"/>
    <x v="227"/>
    <x v="336"/>
    <x v="381"/>
    <x v="437"/>
    <x v="437"/>
    <x v="431"/>
    <x v="0"/>
    <x v="433"/>
    <x v="437"/>
    <x v="385"/>
    <x v="0"/>
    <x v="0"/>
    <x v="2"/>
    <x v="67"/>
    <x v="19"/>
    <x v="226"/>
    <x v="13"/>
    <x v="10"/>
    <x v="1"/>
    <x v="0"/>
    <x v="443"/>
  </r>
  <r>
    <x v="0"/>
    <x v="236"/>
    <x v="293"/>
    <x v="55"/>
    <x v="28"/>
    <x v="291"/>
    <x v="25"/>
    <x v="426"/>
    <x v="35"/>
    <x v="26"/>
    <x v="199"/>
    <x v="382"/>
    <x v="438"/>
    <x v="438"/>
    <x v="432"/>
    <x v="0"/>
    <x v="434"/>
    <x v="438"/>
    <x v="386"/>
    <x v="0"/>
    <x v="0"/>
    <x v="3"/>
    <x v="4"/>
    <x v="7"/>
    <x v="135"/>
    <x v="21"/>
    <x v="3"/>
    <x v="1"/>
    <x v="0"/>
    <x v="444"/>
  </r>
  <r>
    <x v="0"/>
    <x v="237"/>
    <x v="211"/>
    <x v="60"/>
    <x v="158"/>
    <x v="23"/>
    <x v="2"/>
    <x v="427"/>
    <x v="202"/>
    <x v="130"/>
    <x v="28"/>
    <x v="245"/>
    <x v="439"/>
    <x v="439"/>
    <x v="433"/>
    <x v="0"/>
    <x v="435"/>
    <x v="439"/>
    <x v="387"/>
    <x v="0"/>
    <x v="0"/>
    <x v="0"/>
    <x v="74"/>
    <x v="20"/>
    <x v="9"/>
    <x v="9"/>
    <x v="1"/>
    <x v="1"/>
    <x v="0"/>
    <x v="445"/>
  </r>
  <r>
    <x v="0"/>
    <x v="102"/>
    <x v="294"/>
    <x v="38"/>
    <x v="80"/>
    <x v="292"/>
    <x v="57"/>
    <x v="428"/>
    <x v="26"/>
    <x v="99"/>
    <x v="129"/>
    <x v="383"/>
    <x v="440"/>
    <x v="440"/>
    <x v="434"/>
    <x v="6"/>
    <x v="436"/>
    <x v="440"/>
    <x v="49"/>
    <x v="0"/>
    <x v="0"/>
    <x v="0"/>
    <x v="68"/>
    <x v="9"/>
    <x v="47"/>
    <x v="10"/>
    <x v="1"/>
    <x v="31"/>
    <x v="0"/>
    <x v="446"/>
  </r>
  <r>
    <x v="0"/>
    <x v="231"/>
    <x v="295"/>
    <x v="18"/>
    <x v="156"/>
    <x v="181"/>
    <x v="2"/>
    <x v="429"/>
    <x v="203"/>
    <x v="196"/>
    <x v="337"/>
    <x v="384"/>
    <x v="441"/>
    <x v="441"/>
    <x v="435"/>
    <x v="13"/>
    <x v="437"/>
    <x v="441"/>
    <x v="271"/>
    <x v="0"/>
    <x v="0"/>
    <x v="0"/>
    <x v="84"/>
    <x v="12"/>
    <x v="227"/>
    <x v="21"/>
    <x v="1"/>
    <x v="1"/>
    <x v="0"/>
    <x v="447"/>
  </r>
  <r>
    <x v="0"/>
    <x v="60"/>
    <x v="74"/>
    <x v="101"/>
    <x v="45"/>
    <x v="129"/>
    <x v="0"/>
    <x v="430"/>
    <x v="174"/>
    <x v="52"/>
    <x v="338"/>
    <x v="385"/>
    <x v="442"/>
    <x v="442"/>
    <x v="436"/>
    <x v="0"/>
    <x v="438"/>
    <x v="442"/>
    <x v="388"/>
    <x v="0"/>
    <x v="0"/>
    <x v="3"/>
    <x v="74"/>
    <x v="10"/>
    <x v="30"/>
    <x v="46"/>
    <x v="3"/>
    <x v="1"/>
    <x v="0"/>
    <x v="448"/>
  </r>
  <r>
    <x v="0"/>
    <x v="206"/>
    <x v="296"/>
    <x v="59"/>
    <x v="145"/>
    <x v="21"/>
    <x v="25"/>
    <x v="431"/>
    <x v="125"/>
    <x v="26"/>
    <x v="288"/>
    <x v="344"/>
    <x v="443"/>
    <x v="443"/>
    <x v="437"/>
    <x v="2"/>
    <x v="439"/>
    <x v="443"/>
    <x v="363"/>
    <x v="0"/>
    <x v="0"/>
    <x v="0"/>
    <x v="67"/>
    <x v="9"/>
    <x v="6"/>
    <x v="28"/>
    <x v="3"/>
    <x v="57"/>
    <x v="0"/>
    <x v="449"/>
  </r>
  <r>
    <x v="0"/>
    <x v="231"/>
    <x v="220"/>
    <x v="47"/>
    <x v="156"/>
    <x v="21"/>
    <x v="57"/>
    <x v="432"/>
    <x v="121"/>
    <x v="192"/>
    <x v="141"/>
    <x v="28"/>
    <x v="444"/>
    <x v="444"/>
    <x v="438"/>
    <x v="1"/>
    <x v="440"/>
    <x v="444"/>
    <x v="328"/>
    <x v="0"/>
    <x v="0"/>
    <x v="0"/>
    <x v="67"/>
    <x v="8"/>
    <x v="47"/>
    <x v="12"/>
    <x v="3"/>
    <x v="1"/>
    <x v="0"/>
    <x v="450"/>
  </r>
  <r>
    <x v="0"/>
    <x v="220"/>
    <x v="118"/>
    <x v="57"/>
    <x v="152"/>
    <x v="293"/>
    <x v="11"/>
    <x v="433"/>
    <x v="105"/>
    <x v="63"/>
    <x v="28"/>
    <x v="386"/>
    <x v="445"/>
    <x v="445"/>
    <x v="439"/>
    <x v="1"/>
    <x v="441"/>
    <x v="445"/>
    <x v="382"/>
    <x v="0"/>
    <x v="0"/>
    <x v="0"/>
    <x v="67"/>
    <x v="17"/>
    <x v="9"/>
    <x v="10"/>
    <x v="3"/>
    <x v="1"/>
    <x v="0"/>
    <x v="451"/>
  </r>
  <r>
    <x v="0"/>
    <x v="48"/>
    <x v="48"/>
    <x v="67"/>
    <x v="33"/>
    <x v="294"/>
    <x v="19"/>
    <x v="434"/>
    <x v="60"/>
    <x v="20"/>
    <x v="339"/>
    <x v="387"/>
    <x v="446"/>
    <x v="446"/>
    <x v="440"/>
    <x v="0"/>
    <x v="442"/>
    <x v="446"/>
    <x v="389"/>
    <x v="0"/>
    <x v="0"/>
    <x v="4"/>
    <x v="67"/>
    <x v="5"/>
    <x v="228"/>
    <x v="14"/>
    <x v="1"/>
    <x v="46"/>
    <x v="0"/>
    <x v="452"/>
  </r>
  <r>
    <x v="0"/>
    <x v="238"/>
    <x v="142"/>
    <x v="76"/>
    <x v="159"/>
    <x v="64"/>
    <x v="41"/>
    <x v="435"/>
    <x v="105"/>
    <x v="211"/>
    <x v="340"/>
    <x v="388"/>
    <x v="447"/>
    <x v="447"/>
    <x v="441"/>
    <x v="4"/>
    <x v="443"/>
    <x v="447"/>
    <x v="390"/>
    <x v="0"/>
    <x v="8"/>
    <x v="0"/>
    <x v="67"/>
    <x v="8"/>
    <x v="13"/>
    <x v="23"/>
    <x v="3"/>
    <x v="1"/>
    <x v="0"/>
    <x v="453"/>
  </r>
  <r>
    <x v="0"/>
    <x v="175"/>
    <x v="145"/>
    <x v="43"/>
    <x v="126"/>
    <x v="295"/>
    <x v="0"/>
    <x v="436"/>
    <x v="44"/>
    <x v="51"/>
    <x v="341"/>
    <x v="389"/>
    <x v="448"/>
    <x v="448"/>
    <x v="442"/>
    <x v="1"/>
    <x v="444"/>
    <x v="448"/>
    <x v="286"/>
    <x v="0"/>
    <x v="0"/>
    <x v="2"/>
    <x v="74"/>
    <x v="12"/>
    <x v="229"/>
    <x v="22"/>
    <x v="3"/>
    <x v="1"/>
    <x v="0"/>
    <x v="454"/>
  </r>
  <r>
    <x v="0"/>
    <x v="134"/>
    <x v="297"/>
    <x v="67"/>
    <x v="99"/>
    <x v="296"/>
    <x v="25"/>
    <x v="437"/>
    <x v="103"/>
    <x v="76"/>
    <x v="342"/>
    <x v="390"/>
    <x v="449"/>
    <x v="449"/>
    <x v="443"/>
    <x v="0"/>
    <x v="445"/>
    <x v="449"/>
    <x v="391"/>
    <x v="0"/>
    <x v="0"/>
    <x v="4"/>
    <x v="67"/>
    <x v="13"/>
    <x v="30"/>
    <x v="11"/>
    <x v="1"/>
    <x v="59"/>
    <x v="0"/>
    <x v="455"/>
  </r>
  <r>
    <x v="0"/>
    <x v="239"/>
    <x v="235"/>
    <x v="77"/>
    <x v="160"/>
    <x v="284"/>
    <x v="2"/>
    <x v="438"/>
    <x v="204"/>
    <x v="196"/>
    <x v="343"/>
    <x v="391"/>
    <x v="450"/>
    <x v="450"/>
    <x v="444"/>
    <x v="0"/>
    <x v="446"/>
    <x v="450"/>
    <x v="392"/>
    <x v="0"/>
    <x v="0"/>
    <x v="2"/>
    <x v="67"/>
    <x v="8"/>
    <x v="230"/>
    <x v="9"/>
    <x v="1"/>
    <x v="1"/>
    <x v="0"/>
    <x v="456"/>
  </r>
  <r>
    <x v="0"/>
    <x v="2"/>
    <x v="84"/>
    <x v="85"/>
    <x v="0"/>
    <x v="297"/>
    <x v="10"/>
    <x v="439"/>
    <x v="168"/>
    <x v="33"/>
    <x v="344"/>
    <x v="392"/>
    <x v="451"/>
    <x v="451"/>
    <x v="445"/>
    <x v="0"/>
    <x v="447"/>
    <x v="451"/>
    <x v="393"/>
    <x v="0"/>
    <x v="0"/>
    <x v="4"/>
    <x v="67"/>
    <x v="19"/>
    <x v="30"/>
    <x v="16"/>
    <x v="1"/>
    <x v="1"/>
    <x v="0"/>
    <x v="457"/>
  </r>
  <r>
    <x v="0"/>
    <x v="206"/>
    <x v="298"/>
    <x v="85"/>
    <x v="145"/>
    <x v="247"/>
    <x v="2"/>
    <x v="440"/>
    <x v="127"/>
    <x v="196"/>
    <x v="345"/>
    <x v="318"/>
    <x v="452"/>
    <x v="452"/>
    <x v="446"/>
    <x v="1"/>
    <x v="448"/>
    <x v="452"/>
    <x v="394"/>
    <x v="0"/>
    <x v="0"/>
    <x v="0"/>
    <x v="67"/>
    <x v="10"/>
    <x v="13"/>
    <x v="21"/>
    <x v="3"/>
    <x v="64"/>
    <x v="0"/>
    <x v="458"/>
  </r>
  <r>
    <x v="2"/>
    <x v="113"/>
    <x v="299"/>
    <x v="109"/>
    <x v="88"/>
    <x v="298"/>
    <x v="120"/>
    <x v="4"/>
    <x v="205"/>
    <x v="228"/>
    <x v="346"/>
    <x v="393"/>
    <x v="453"/>
    <x v="453"/>
    <x v="447"/>
    <x v="0"/>
    <x v="449"/>
    <x v="453"/>
    <x v="318"/>
    <x v="0"/>
    <x v="0"/>
    <x v="7"/>
    <x v="4"/>
    <x v="4"/>
    <x v="231"/>
    <x v="36"/>
    <x v="12"/>
    <x v="51"/>
    <x v="0"/>
    <x v="459"/>
  </r>
  <r>
    <x v="0"/>
    <x v="172"/>
    <x v="296"/>
    <x v="32"/>
    <x v="124"/>
    <x v="299"/>
    <x v="25"/>
    <x v="441"/>
    <x v="23"/>
    <x v="26"/>
    <x v="347"/>
    <x v="394"/>
    <x v="454"/>
    <x v="454"/>
    <x v="448"/>
    <x v="5"/>
    <x v="450"/>
    <x v="454"/>
    <x v="367"/>
    <x v="0"/>
    <x v="0"/>
    <x v="4"/>
    <x v="74"/>
    <x v="13"/>
    <x v="232"/>
    <x v="2"/>
    <x v="1"/>
    <x v="1"/>
    <x v="0"/>
    <x v="460"/>
  </r>
  <r>
    <x v="0"/>
    <x v="240"/>
    <x v="300"/>
    <x v="34"/>
    <x v="161"/>
    <x v="300"/>
    <x v="22"/>
    <x v="442"/>
    <x v="83"/>
    <x v="169"/>
    <x v="348"/>
    <x v="395"/>
    <x v="455"/>
    <x v="455"/>
    <x v="449"/>
    <x v="3"/>
    <x v="451"/>
    <x v="455"/>
    <x v="395"/>
    <x v="0"/>
    <x v="0"/>
    <x v="0"/>
    <x v="67"/>
    <x v="8"/>
    <x v="233"/>
    <x v="4"/>
    <x v="1"/>
    <x v="1"/>
    <x v="0"/>
    <x v="461"/>
  </r>
  <r>
    <x v="0"/>
    <x v="241"/>
    <x v="204"/>
    <x v="39"/>
    <x v="162"/>
    <x v="96"/>
    <x v="13"/>
    <x v="443"/>
    <x v="206"/>
    <x v="93"/>
    <x v="108"/>
    <x v="396"/>
    <x v="456"/>
    <x v="456"/>
    <x v="450"/>
    <x v="3"/>
    <x v="452"/>
    <x v="456"/>
    <x v="396"/>
    <x v="0"/>
    <x v="0"/>
    <x v="4"/>
    <x v="86"/>
    <x v="17"/>
    <x v="76"/>
    <x v="13"/>
    <x v="1"/>
    <x v="1"/>
    <x v="0"/>
    <x v="462"/>
  </r>
  <r>
    <x v="0"/>
    <x v="242"/>
    <x v="301"/>
    <x v="34"/>
    <x v="163"/>
    <x v="9"/>
    <x v="11"/>
    <x v="444"/>
    <x v="51"/>
    <x v="156"/>
    <x v="34"/>
    <x v="56"/>
    <x v="457"/>
    <x v="457"/>
    <x v="451"/>
    <x v="0"/>
    <x v="453"/>
    <x v="457"/>
    <x v="397"/>
    <x v="0"/>
    <x v="0"/>
    <x v="4"/>
    <x v="67"/>
    <x v="5"/>
    <x v="28"/>
    <x v="8"/>
    <x v="1"/>
    <x v="35"/>
    <x v="0"/>
    <x v="463"/>
  </r>
  <r>
    <x v="0"/>
    <x v="243"/>
    <x v="302"/>
    <x v="78"/>
    <x v="123"/>
    <x v="146"/>
    <x v="49"/>
    <x v="445"/>
    <x v="207"/>
    <x v="86"/>
    <x v="349"/>
    <x v="397"/>
    <x v="458"/>
    <x v="458"/>
    <x v="452"/>
    <x v="1"/>
    <x v="454"/>
    <x v="458"/>
    <x v="398"/>
    <x v="0"/>
    <x v="0"/>
    <x v="2"/>
    <x v="67"/>
    <x v="13"/>
    <x v="109"/>
    <x v="31"/>
    <x v="3"/>
    <x v="1"/>
    <x v="0"/>
    <x v="464"/>
  </r>
  <r>
    <x v="0"/>
    <x v="156"/>
    <x v="111"/>
    <x v="18"/>
    <x v="114"/>
    <x v="301"/>
    <x v="21"/>
    <x v="446"/>
    <x v="208"/>
    <x v="22"/>
    <x v="350"/>
    <x v="398"/>
    <x v="459"/>
    <x v="459"/>
    <x v="453"/>
    <x v="0"/>
    <x v="455"/>
    <x v="459"/>
    <x v="399"/>
    <x v="0"/>
    <x v="0"/>
    <x v="0"/>
    <x v="67"/>
    <x v="15"/>
    <x v="234"/>
    <x v="41"/>
    <x v="1"/>
    <x v="1"/>
    <x v="0"/>
    <x v="465"/>
  </r>
  <r>
    <x v="0"/>
    <x v="244"/>
    <x v="303"/>
    <x v="76"/>
    <x v="164"/>
    <x v="302"/>
    <x v="57"/>
    <x v="447"/>
    <x v="209"/>
    <x v="192"/>
    <x v="151"/>
    <x v="399"/>
    <x v="460"/>
    <x v="460"/>
    <x v="454"/>
    <x v="1"/>
    <x v="456"/>
    <x v="460"/>
    <x v="400"/>
    <x v="0"/>
    <x v="0"/>
    <x v="2"/>
    <x v="67"/>
    <x v="25"/>
    <x v="102"/>
    <x v="22"/>
    <x v="13"/>
    <x v="1"/>
    <x v="0"/>
    <x v="466"/>
  </r>
  <r>
    <x v="0"/>
    <x v="80"/>
    <x v="304"/>
    <x v="41"/>
    <x v="63"/>
    <x v="303"/>
    <x v="0"/>
    <x v="448"/>
    <x v="210"/>
    <x v="229"/>
    <x v="351"/>
    <x v="400"/>
    <x v="461"/>
    <x v="461"/>
    <x v="455"/>
    <x v="0"/>
    <x v="457"/>
    <x v="461"/>
    <x v="401"/>
    <x v="0"/>
    <x v="0"/>
    <x v="2"/>
    <x v="48"/>
    <x v="7"/>
    <x v="235"/>
    <x v="23"/>
    <x v="3"/>
    <x v="1"/>
    <x v="0"/>
    <x v="467"/>
  </r>
  <r>
    <x v="0"/>
    <x v="245"/>
    <x v="109"/>
    <x v="27"/>
    <x v="165"/>
    <x v="304"/>
    <x v="11"/>
    <x v="449"/>
    <x v="211"/>
    <x v="63"/>
    <x v="352"/>
    <x v="401"/>
    <x v="462"/>
    <x v="462"/>
    <x v="456"/>
    <x v="0"/>
    <x v="458"/>
    <x v="462"/>
    <x v="100"/>
    <x v="0"/>
    <x v="0"/>
    <x v="0"/>
    <x v="67"/>
    <x v="8"/>
    <x v="9"/>
    <x v="34"/>
    <x v="1"/>
    <x v="1"/>
    <x v="0"/>
    <x v="468"/>
  </r>
  <r>
    <x v="0"/>
    <x v="105"/>
    <x v="227"/>
    <x v="24"/>
    <x v="83"/>
    <x v="305"/>
    <x v="94"/>
    <x v="450"/>
    <x v="212"/>
    <x v="218"/>
    <x v="353"/>
    <x v="402"/>
    <x v="463"/>
    <x v="463"/>
    <x v="457"/>
    <x v="1"/>
    <x v="459"/>
    <x v="463"/>
    <x v="402"/>
    <x v="0"/>
    <x v="0"/>
    <x v="4"/>
    <x v="74"/>
    <x v="13"/>
    <x v="236"/>
    <x v="10"/>
    <x v="1"/>
    <x v="1"/>
    <x v="0"/>
    <x v="469"/>
  </r>
  <r>
    <x v="0"/>
    <x v="50"/>
    <x v="115"/>
    <x v="90"/>
    <x v="35"/>
    <x v="306"/>
    <x v="2"/>
    <x v="451"/>
    <x v="108"/>
    <x v="75"/>
    <x v="307"/>
    <x v="403"/>
    <x v="464"/>
    <x v="464"/>
    <x v="458"/>
    <x v="2"/>
    <x v="460"/>
    <x v="464"/>
    <x v="403"/>
    <x v="0"/>
    <x v="0"/>
    <x v="4"/>
    <x v="76"/>
    <x v="11"/>
    <x v="135"/>
    <x v="32"/>
    <x v="1"/>
    <x v="29"/>
    <x v="0"/>
    <x v="470"/>
  </r>
  <r>
    <x v="0"/>
    <x v="246"/>
    <x v="241"/>
    <x v="42"/>
    <x v="166"/>
    <x v="139"/>
    <x v="2"/>
    <x v="452"/>
    <x v="213"/>
    <x v="42"/>
    <x v="298"/>
    <x v="170"/>
    <x v="465"/>
    <x v="465"/>
    <x v="459"/>
    <x v="4"/>
    <x v="461"/>
    <x v="465"/>
    <x v="291"/>
    <x v="0"/>
    <x v="0"/>
    <x v="0"/>
    <x v="80"/>
    <x v="20"/>
    <x v="200"/>
    <x v="20"/>
    <x v="1"/>
    <x v="1"/>
    <x v="0"/>
    <x v="471"/>
  </r>
  <r>
    <x v="0"/>
    <x v="247"/>
    <x v="262"/>
    <x v="110"/>
    <x v="167"/>
    <x v="307"/>
    <x v="22"/>
    <x v="453"/>
    <x v="29"/>
    <x v="77"/>
    <x v="354"/>
    <x v="404"/>
    <x v="466"/>
    <x v="466"/>
    <x v="460"/>
    <x v="0"/>
    <x v="462"/>
    <x v="466"/>
    <x v="360"/>
    <x v="0"/>
    <x v="0"/>
    <x v="2"/>
    <x v="67"/>
    <x v="5"/>
    <x v="237"/>
    <x v="51"/>
    <x v="3"/>
    <x v="1"/>
    <x v="0"/>
    <x v="472"/>
  </r>
  <r>
    <x v="0"/>
    <x v="248"/>
    <x v="257"/>
    <x v="105"/>
    <x v="122"/>
    <x v="284"/>
    <x v="57"/>
    <x v="454"/>
    <x v="214"/>
    <x v="109"/>
    <x v="355"/>
    <x v="405"/>
    <x v="467"/>
    <x v="467"/>
    <x v="461"/>
    <x v="0"/>
    <x v="463"/>
    <x v="467"/>
    <x v="404"/>
    <x v="0"/>
    <x v="0"/>
    <x v="3"/>
    <x v="67"/>
    <x v="19"/>
    <x v="238"/>
    <x v="15"/>
    <x v="1"/>
    <x v="86"/>
    <x v="0"/>
    <x v="473"/>
  </r>
  <r>
    <x v="0"/>
    <x v="158"/>
    <x v="305"/>
    <x v="58"/>
    <x v="115"/>
    <x v="308"/>
    <x v="22"/>
    <x v="455"/>
    <x v="215"/>
    <x v="169"/>
    <x v="356"/>
    <x v="406"/>
    <x v="468"/>
    <x v="468"/>
    <x v="462"/>
    <x v="1"/>
    <x v="464"/>
    <x v="468"/>
    <x v="405"/>
    <x v="0"/>
    <x v="0"/>
    <x v="2"/>
    <x v="67"/>
    <x v="10"/>
    <x v="30"/>
    <x v="31"/>
    <x v="1"/>
    <x v="1"/>
    <x v="0"/>
    <x v="474"/>
  </r>
  <r>
    <x v="0"/>
    <x v="249"/>
    <x v="182"/>
    <x v="29"/>
    <x v="138"/>
    <x v="309"/>
    <x v="14"/>
    <x v="456"/>
    <x v="216"/>
    <x v="61"/>
    <x v="20"/>
    <x v="407"/>
    <x v="469"/>
    <x v="469"/>
    <x v="463"/>
    <x v="0"/>
    <x v="465"/>
    <x v="469"/>
    <x v="406"/>
    <x v="0"/>
    <x v="0"/>
    <x v="0"/>
    <x v="67"/>
    <x v="20"/>
    <x v="17"/>
    <x v="37"/>
    <x v="1"/>
    <x v="1"/>
    <x v="0"/>
    <x v="475"/>
  </r>
  <r>
    <x v="0"/>
    <x v="250"/>
    <x v="306"/>
    <x v="74"/>
    <x v="168"/>
    <x v="95"/>
    <x v="11"/>
    <x v="457"/>
    <x v="178"/>
    <x v="156"/>
    <x v="357"/>
    <x v="408"/>
    <x v="470"/>
    <x v="470"/>
    <x v="464"/>
    <x v="1"/>
    <x v="466"/>
    <x v="470"/>
    <x v="407"/>
    <x v="0"/>
    <x v="0"/>
    <x v="4"/>
    <x v="67"/>
    <x v="14"/>
    <x v="30"/>
    <x v="4"/>
    <x v="3"/>
    <x v="1"/>
    <x v="0"/>
    <x v="476"/>
  </r>
  <r>
    <x v="0"/>
    <x v="251"/>
    <x v="307"/>
    <x v="85"/>
    <x v="65"/>
    <x v="163"/>
    <x v="121"/>
    <x v="458"/>
    <x v="17"/>
    <x v="230"/>
    <x v="295"/>
    <x v="409"/>
    <x v="471"/>
    <x v="471"/>
    <x v="465"/>
    <x v="0"/>
    <x v="467"/>
    <x v="471"/>
    <x v="408"/>
    <x v="0"/>
    <x v="0"/>
    <x v="0"/>
    <x v="4"/>
    <x v="13"/>
    <x v="199"/>
    <x v="15"/>
    <x v="3"/>
    <x v="118"/>
    <x v="0"/>
    <x v="477"/>
  </r>
  <r>
    <x v="0"/>
    <x v="217"/>
    <x v="194"/>
    <x v="71"/>
    <x v="150"/>
    <x v="310"/>
    <x v="25"/>
    <x v="459"/>
    <x v="57"/>
    <x v="26"/>
    <x v="288"/>
    <x v="410"/>
    <x v="472"/>
    <x v="472"/>
    <x v="466"/>
    <x v="0"/>
    <x v="468"/>
    <x v="472"/>
    <x v="241"/>
    <x v="0"/>
    <x v="0"/>
    <x v="2"/>
    <x v="67"/>
    <x v="2"/>
    <x v="6"/>
    <x v="10"/>
    <x v="3"/>
    <x v="37"/>
    <x v="0"/>
    <x v="478"/>
  </r>
  <r>
    <x v="1"/>
    <x v="113"/>
    <x v="308"/>
    <x v="111"/>
    <x v="88"/>
    <x v="311"/>
    <x v="0"/>
    <x v="4"/>
    <x v="35"/>
    <x v="231"/>
    <x v="358"/>
    <x v="411"/>
    <x v="473"/>
    <x v="473"/>
    <x v="467"/>
    <x v="1"/>
    <x v="469"/>
    <x v="473"/>
    <x v="409"/>
    <x v="0"/>
    <x v="0"/>
    <x v="8"/>
    <x v="4"/>
    <x v="4"/>
    <x v="234"/>
    <x v="32"/>
    <x v="9"/>
    <x v="1"/>
    <x v="0"/>
    <x v="479"/>
  </r>
  <r>
    <x v="0"/>
    <x v="252"/>
    <x v="309"/>
    <x v="112"/>
    <x v="31"/>
    <x v="312"/>
    <x v="122"/>
    <x v="460"/>
    <x v="217"/>
    <x v="232"/>
    <x v="359"/>
    <x v="412"/>
    <x v="474"/>
    <x v="474"/>
    <x v="468"/>
    <x v="0"/>
    <x v="470"/>
    <x v="474"/>
    <x v="139"/>
    <x v="0"/>
    <x v="0"/>
    <x v="3"/>
    <x v="67"/>
    <x v="15"/>
    <x v="239"/>
    <x v="11"/>
    <x v="0"/>
    <x v="119"/>
    <x v="0"/>
    <x v="480"/>
  </r>
  <r>
    <x v="0"/>
    <x v="94"/>
    <x v="310"/>
    <x v="45"/>
    <x v="73"/>
    <x v="313"/>
    <x v="16"/>
    <x v="461"/>
    <x v="5"/>
    <x v="17"/>
    <x v="360"/>
    <x v="413"/>
    <x v="475"/>
    <x v="475"/>
    <x v="469"/>
    <x v="0"/>
    <x v="471"/>
    <x v="475"/>
    <x v="410"/>
    <x v="0"/>
    <x v="0"/>
    <x v="0"/>
    <x v="67"/>
    <x v="19"/>
    <x v="240"/>
    <x v="18"/>
    <x v="1"/>
    <x v="67"/>
    <x v="0"/>
    <x v="481"/>
  </r>
  <r>
    <x v="0"/>
    <x v="184"/>
    <x v="311"/>
    <x v="37"/>
    <x v="45"/>
    <x v="194"/>
    <x v="123"/>
    <x v="462"/>
    <x v="218"/>
    <x v="233"/>
    <x v="361"/>
    <x v="414"/>
    <x v="476"/>
    <x v="476"/>
    <x v="470"/>
    <x v="0"/>
    <x v="472"/>
    <x v="476"/>
    <x v="244"/>
    <x v="0"/>
    <x v="0"/>
    <x v="2"/>
    <x v="63"/>
    <x v="20"/>
    <x v="241"/>
    <x v="23"/>
    <x v="3"/>
    <x v="1"/>
    <x v="0"/>
    <x v="482"/>
  </r>
  <r>
    <x v="0"/>
    <x v="164"/>
    <x v="146"/>
    <x v="77"/>
    <x v="118"/>
    <x v="268"/>
    <x v="24"/>
    <x v="463"/>
    <x v="23"/>
    <x v="25"/>
    <x v="362"/>
    <x v="347"/>
    <x v="477"/>
    <x v="477"/>
    <x v="471"/>
    <x v="2"/>
    <x v="473"/>
    <x v="477"/>
    <x v="411"/>
    <x v="0"/>
    <x v="0"/>
    <x v="4"/>
    <x v="67"/>
    <x v="18"/>
    <x v="13"/>
    <x v="12"/>
    <x v="1"/>
    <x v="1"/>
    <x v="0"/>
    <x v="483"/>
  </r>
  <r>
    <x v="0"/>
    <x v="30"/>
    <x v="312"/>
    <x v="74"/>
    <x v="22"/>
    <x v="294"/>
    <x v="35"/>
    <x v="464"/>
    <x v="10"/>
    <x v="234"/>
    <x v="363"/>
    <x v="415"/>
    <x v="478"/>
    <x v="478"/>
    <x v="472"/>
    <x v="1"/>
    <x v="474"/>
    <x v="478"/>
    <x v="412"/>
    <x v="6"/>
    <x v="0"/>
    <x v="2"/>
    <x v="74"/>
    <x v="12"/>
    <x v="242"/>
    <x v="18"/>
    <x v="1"/>
    <x v="120"/>
    <x v="0"/>
    <x v="484"/>
  </r>
  <r>
    <x v="0"/>
    <x v="253"/>
    <x v="313"/>
    <x v="18"/>
    <x v="73"/>
    <x v="262"/>
    <x v="49"/>
    <x v="465"/>
    <x v="49"/>
    <x v="86"/>
    <x v="364"/>
    <x v="416"/>
    <x v="479"/>
    <x v="479"/>
    <x v="473"/>
    <x v="1"/>
    <x v="475"/>
    <x v="479"/>
    <x v="413"/>
    <x v="0"/>
    <x v="0"/>
    <x v="0"/>
    <x v="49"/>
    <x v="20"/>
    <x v="243"/>
    <x v="15"/>
    <x v="1"/>
    <x v="121"/>
    <x v="0"/>
    <x v="485"/>
  </r>
  <r>
    <x v="0"/>
    <x v="254"/>
    <x v="314"/>
    <x v="78"/>
    <x v="169"/>
    <x v="314"/>
    <x v="2"/>
    <x v="466"/>
    <x v="219"/>
    <x v="196"/>
    <x v="365"/>
    <x v="417"/>
    <x v="480"/>
    <x v="480"/>
    <x v="474"/>
    <x v="0"/>
    <x v="476"/>
    <x v="480"/>
    <x v="414"/>
    <x v="0"/>
    <x v="0"/>
    <x v="0"/>
    <x v="67"/>
    <x v="21"/>
    <x v="6"/>
    <x v="43"/>
    <x v="3"/>
    <x v="1"/>
    <x v="0"/>
    <x v="486"/>
  </r>
  <r>
    <x v="0"/>
    <x v="255"/>
    <x v="167"/>
    <x v="34"/>
    <x v="0"/>
    <x v="315"/>
    <x v="57"/>
    <x v="467"/>
    <x v="220"/>
    <x v="109"/>
    <x v="57"/>
    <x v="418"/>
    <x v="481"/>
    <x v="481"/>
    <x v="475"/>
    <x v="4"/>
    <x v="477"/>
    <x v="481"/>
    <x v="91"/>
    <x v="0"/>
    <x v="0"/>
    <x v="0"/>
    <x v="75"/>
    <x v="12"/>
    <x v="44"/>
    <x v="18"/>
    <x v="3"/>
    <x v="1"/>
    <x v="0"/>
    <x v="487"/>
  </r>
  <r>
    <x v="0"/>
    <x v="24"/>
    <x v="125"/>
    <x v="11"/>
    <x v="17"/>
    <x v="129"/>
    <x v="24"/>
    <x v="468"/>
    <x v="148"/>
    <x v="131"/>
    <x v="124"/>
    <x v="159"/>
    <x v="482"/>
    <x v="482"/>
    <x v="476"/>
    <x v="3"/>
    <x v="478"/>
    <x v="482"/>
    <x v="415"/>
    <x v="0"/>
    <x v="0"/>
    <x v="0"/>
    <x v="80"/>
    <x v="25"/>
    <x v="87"/>
    <x v="22"/>
    <x v="1"/>
    <x v="1"/>
    <x v="0"/>
    <x v="488"/>
  </r>
  <r>
    <x v="0"/>
    <x v="256"/>
    <x v="315"/>
    <x v="113"/>
    <x v="170"/>
    <x v="316"/>
    <x v="124"/>
    <x v="4"/>
    <x v="221"/>
    <x v="235"/>
    <x v="366"/>
    <x v="419"/>
    <x v="483"/>
    <x v="483"/>
    <x v="477"/>
    <x v="0"/>
    <x v="479"/>
    <x v="483"/>
    <x v="416"/>
    <x v="3"/>
    <x v="10"/>
    <x v="1"/>
    <x v="4"/>
    <x v="2"/>
    <x v="244"/>
    <x v="21"/>
    <x v="1"/>
    <x v="122"/>
    <x v="0"/>
    <x v="489"/>
  </r>
  <r>
    <x v="0"/>
    <x v="98"/>
    <x v="299"/>
    <x v="85"/>
    <x v="76"/>
    <x v="317"/>
    <x v="25"/>
    <x v="469"/>
    <x v="51"/>
    <x v="82"/>
    <x v="367"/>
    <x v="420"/>
    <x v="484"/>
    <x v="484"/>
    <x v="271"/>
    <x v="4"/>
    <x v="480"/>
    <x v="484"/>
    <x v="417"/>
    <x v="0"/>
    <x v="0"/>
    <x v="4"/>
    <x v="4"/>
    <x v="13"/>
    <x v="30"/>
    <x v="8"/>
    <x v="1"/>
    <x v="1"/>
    <x v="0"/>
    <x v="490"/>
  </r>
  <r>
    <x v="0"/>
    <x v="65"/>
    <x v="16"/>
    <x v="71"/>
    <x v="50"/>
    <x v="1"/>
    <x v="57"/>
    <x v="470"/>
    <x v="222"/>
    <x v="99"/>
    <x v="368"/>
    <x v="421"/>
    <x v="485"/>
    <x v="485"/>
    <x v="478"/>
    <x v="7"/>
    <x v="481"/>
    <x v="485"/>
    <x v="418"/>
    <x v="0"/>
    <x v="0"/>
    <x v="0"/>
    <x v="67"/>
    <x v="0"/>
    <x v="30"/>
    <x v="22"/>
    <x v="1"/>
    <x v="1"/>
    <x v="0"/>
    <x v="491"/>
  </r>
  <r>
    <x v="0"/>
    <x v="146"/>
    <x v="57"/>
    <x v="97"/>
    <x v="108"/>
    <x v="136"/>
    <x v="125"/>
    <x v="471"/>
    <x v="223"/>
    <x v="236"/>
    <x v="369"/>
    <x v="422"/>
    <x v="486"/>
    <x v="486"/>
    <x v="479"/>
    <x v="1"/>
    <x v="482"/>
    <x v="486"/>
    <x v="419"/>
    <x v="0"/>
    <x v="0"/>
    <x v="0"/>
    <x v="67"/>
    <x v="21"/>
    <x v="245"/>
    <x v="11"/>
    <x v="3"/>
    <x v="1"/>
    <x v="0"/>
    <x v="492"/>
  </r>
  <r>
    <x v="0"/>
    <x v="49"/>
    <x v="258"/>
    <x v="37"/>
    <x v="34"/>
    <x v="302"/>
    <x v="57"/>
    <x v="472"/>
    <x v="51"/>
    <x v="237"/>
    <x v="370"/>
    <x v="423"/>
    <x v="487"/>
    <x v="487"/>
    <x v="480"/>
    <x v="0"/>
    <x v="483"/>
    <x v="487"/>
    <x v="420"/>
    <x v="0"/>
    <x v="0"/>
    <x v="0"/>
    <x v="67"/>
    <x v="25"/>
    <x v="10"/>
    <x v="27"/>
    <x v="3"/>
    <x v="1"/>
    <x v="0"/>
    <x v="493"/>
  </r>
  <r>
    <x v="0"/>
    <x v="257"/>
    <x v="316"/>
    <x v="101"/>
    <x v="171"/>
    <x v="273"/>
    <x v="126"/>
    <x v="473"/>
    <x v="224"/>
    <x v="238"/>
    <x v="371"/>
    <x v="424"/>
    <x v="488"/>
    <x v="488"/>
    <x v="481"/>
    <x v="0"/>
    <x v="484"/>
    <x v="488"/>
    <x v="421"/>
    <x v="0"/>
    <x v="0"/>
    <x v="2"/>
    <x v="67"/>
    <x v="9"/>
    <x v="246"/>
    <x v="31"/>
    <x v="1"/>
    <x v="1"/>
    <x v="0"/>
    <x v="494"/>
  </r>
  <r>
    <x v="0"/>
    <x v="258"/>
    <x v="215"/>
    <x v="73"/>
    <x v="172"/>
    <x v="318"/>
    <x v="127"/>
    <x v="474"/>
    <x v="5"/>
    <x v="239"/>
    <x v="294"/>
    <x v="425"/>
    <x v="489"/>
    <x v="489"/>
    <x v="482"/>
    <x v="0"/>
    <x v="485"/>
    <x v="489"/>
    <x v="422"/>
    <x v="0"/>
    <x v="0"/>
    <x v="0"/>
    <x v="87"/>
    <x v="21"/>
    <x v="198"/>
    <x v="52"/>
    <x v="1"/>
    <x v="1"/>
    <x v="0"/>
    <x v="495"/>
  </r>
  <r>
    <x v="0"/>
    <x v="259"/>
    <x v="217"/>
    <x v="43"/>
    <x v="173"/>
    <x v="195"/>
    <x v="22"/>
    <x v="475"/>
    <x v="85"/>
    <x v="240"/>
    <x v="372"/>
    <x v="426"/>
    <x v="490"/>
    <x v="490"/>
    <x v="483"/>
    <x v="2"/>
    <x v="486"/>
    <x v="490"/>
    <x v="284"/>
    <x v="0"/>
    <x v="8"/>
    <x v="2"/>
    <x v="67"/>
    <x v="17"/>
    <x v="247"/>
    <x v="20"/>
    <x v="1"/>
    <x v="123"/>
    <x v="0"/>
    <x v="496"/>
  </r>
  <r>
    <x v="1"/>
    <x v="14"/>
    <x v="317"/>
    <x v="34"/>
    <x v="9"/>
    <x v="89"/>
    <x v="128"/>
    <x v="476"/>
    <x v="225"/>
    <x v="241"/>
    <x v="373"/>
    <x v="427"/>
    <x v="491"/>
    <x v="491"/>
    <x v="484"/>
    <x v="2"/>
    <x v="487"/>
    <x v="491"/>
    <x v="423"/>
    <x v="0"/>
    <x v="0"/>
    <x v="0"/>
    <x v="67"/>
    <x v="0"/>
    <x v="248"/>
    <x v="27"/>
    <x v="1"/>
    <x v="1"/>
    <x v="0"/>
    <x v="497"/>
  </r>
  <r>
    <x v="0"/>
    <x v="105"/>
    <x v="318"/>
    <x v="38"/>
    <x v="83"/>
    <x v="64"/>
    <x v="29"/>
    <x v="477"/>
    <x v="5"/>
    <x v="74"/>
    <x v="374"/>
    <x v="428"/>
    <x v="492"/>
    <x v="492"/>
    <x v="485"/>
    <x v="0"/>
    <x v="488"/>
    <x v="492"/>
    <x v="424"/>
    <x v="0"/>
    <x v="0"/>
    <x v="0"/>
    <x v="67"/>
    <x v="17"/>
    <x v="249"/>
    <x v="23"/>
    <x v="1"/>
    <x v="1"/>
    <x v="0"/>
    <x v="498"/>
  </r>
  <r>
    <x v="0"/>
    <x v="260"/>
    <x v="212"/>
    <x v="114"/>
    <x v="0"/>
    <x v="52"/>
    <x v="61"/>
    <x v="478"/>
    <x v="40"/>
    <x v="242"/>
    <x v="375"/>
    <x v="429"/>
    <x v="493"/>
    <x v="493"/>
    <x v="486"/>
    <x v="1"/>
    <x v="489"/>
    <x v="493"/>
    <x v="425"/>
    <x v="0"/>
    <x v="0"/>
    <x v="4"/>
    <x v="67"/>
    <x v="13"/>
    <x v="250"/>
    <x v="19"/>
    <x v="1"/>
    <x v="1"/>
    <x v="0"/>
    <x v="499"/>
  </r>
  <r>
    <x v="0"/>
    <x v="83"/>
    <x v="258"/>
    <x v="55"/>
    <x v="66"/>
    <x v="319"/>
    <x v="0"/>
    <x v="479"/>
    <x v="192"/>
    <x v="243"/>
    <x v="376"/>
    <x v="430"/>
    <x v="494"/>
    <x v="494"/>
    <x v="487"/>
    <x v="0"/>
    <x v="490"/>
    <x v="494"/>
    <x v="404"/>
    <x v="0"/>
    <x v="5"/>
    <x v="3"/>
    <x v="67"/>
    <x v="20"/>
    <x v="251"/>
    <x v="27"/>
    <x v="3"/>
    <x v="124"/>
    <x v="0"/>
    <x v="500"/>
  </r>
  <r>
    <x v="0"/>
    <x v="108"/>
    <x v="242"/>
    <x v="11"/>
    <x v="74"/>
    <x v="256"/>
    <x v="21"/>
    <x v="480"/>
    <x v="1"/>
    <x v="127"/>
    <x v="377"/>
    <x v="431"/>
    <x v="495"/>
    <x v="495"/>
    <x v="488"/>
    <x v="0"/>
    <x v="491"/>
    <x v="495"/>
    <x v="426"/>
    <x v="0"/>
    <x v="0"/>
    <x v="0"/>
    <x v="63"/>
    <x v="2"/>
    <x v="252"/>
    <x v="19"/>
    <x v="1"/>
    <x v="90"/>
    <x v="0"/>
    <x v="501"/>
  </r>
  <r>
    <x v="0"/>
    <x v="261"/>
    <x v="118"/>
    <x v="11"/>
    <x v="125"/>
    <x v="298"/>
    <x v="129"/>
    <x v="481"/>
    <x v="222"/>
    <x v="244"/>
    <x v="378"/>
    <x v="432"/>
    <x v="496"/>
    <x v="496"/>
    <x v="489"/>
    <x v="1"/>
    <x v="492"/>
    <x v="496"/>
    <x v="217"/>
    <x v="0"/>
    <x v="0"/>
    <x v="0"/>
    <x v="80"/>
    <x v="21"/>
    <x v="253"/>
    <x v="20"/>
    <x v="1"/>
    <x v="125"/>
    <x v="0"/>
    <x v="502"/>
  </r>
  <r>
    <x v="0"/>
    <x v="191"/>
    <x v="217"/>
    <x v="50"/>
    <x v="0"/>
    <x v="320"/>
    <x v="130"/>
    <x v="482"/>
    <x v="45"/>
    <x v="245"/>
    <x v="379"/>
    <x v="433"/>
    <x v="497"/>
    <x v="497"/>
    <x v="490"/>
    <x v="0"/>
    <x v="493"/>
    <x v="497"/>
    <x v="398"/>
    <x v="0"/>
    <x v="10"/>
    <x v="2"/>
    <x v="77"/>
    <x v="7"/>
    <x v="254"/>
    <x v="19"/>
    <x v="1"/>
    <x v="113"/>
    <x v="0"/>
    <x v="503"/>
  </r>
  <r>
    <x v="0"/>
    <x v="262"/>
    <x v="316"/>
    <x v="27"/>
    <x v="117"/>
    <x v="321"/>
    <x v="131"/>
    <x v="483"/>
    <x v="226"/>
    <x v="246"/>
    <x v="380"/>
    <x v="434"/>
    <x v="498"/>
    <x v="498"/>
    <x v="491"/>
    <x v="0"/>
    <x v="494"/>
    <x v="498"/>
    <x v="427"/>
    <x v="3"/>
    <x v="10"/>
    <x v="3"/>
    <x v="88"/>
    <x v="0"/>
    <x v="255"/>
    <x v="6"/>
    <x v="1"/>
    <x v="1"/>
    <x v="0"/>
    <x v="504"/>
  </r>
  <r>
    <x v="0"/>
    <x v="177"/>
    <x v="316"/>
    <x v="58"/>
    <x v="0"/>
    <x v="322"/>
    <x v="0"/>
    <x v="484"/>
    <x v="24"/>
    <x v="247"/>
    <x v="381"/>
    <x v="435"/>
    <x v="499"/>
    <x v="499"/>
    <x v="492"/>
    <x v="0"/>
    <x v="495"/>
    <x v="499"/>
    <x v="428"/>
    <x v="0"/>
    <x v="1"/>
    <x v="0"/>
    <x v="89"/>
    <x v="12"/>
    <x v="256"/>
    <x v="39"/>
    <x v="1"/>
    <x v="126"/>
    <x v="0"/>
    <x v="505"/>
  </r>
  <r>
    <x v="0"/>
    <x v="216"/>
    <x v="319"/>
    <x v="72"/>
    <x v="149"/>
    <x v="323"/>
    <x v="132"/>
    <x v="485"/>
    <x v="227"/>
    <x v="248"/>
    <x v="382"/>
    <x v="436"/>
    <x v="500"/>
    <x v="500"/>
    <x v="493"/>
    <x v="0"/>
    <x v="496"/>
    <x v="500"/>
    <x v="429"/>
    <x v="0"/>
    <x v="4"/>
    <x v="0"/>
    <x v="67"/>
    <x v="11"/>
    <x v="97"/>
    <x v="23"/>
    <x v="1"/>
    <x v="35"/>
    <x v="0"/>
    <x v="506"/>
  </r>
  <r>
    <x v="0"/>
    <x v="263"/>
    <x v="320"/>
    <x v="71"/>
    <x v="0"/>
    <x v="280"/>
    <x v="133"/>
    <x v="4"/>
    <x v="228"/>
    <x v="249"/>
    <x v="383"/>
    <x v="437"/>
    <x v="501"/>
    <x v="501"/>
    <x v="494"/>
    <x v="0"/>
    <x v="4"/>
    <x v="501"/>
    <x v="326"/>
    <x v="6"/>
    <x v="12"/>
    <x v="2"/>
    <x v="83"/>
    <x v="2"/>
    <x v="257"/>
    <x v="46"/>
    <x v="2"/>
    <x v="127"/>
    <x v="0"/>
    <x v="507"/>
  </r>
  <r>
    <x v="0"/>
    <x v="84"/>
    <x v="317"/>
    <x v="24"/>
    <x v="67"/>
    <x v="70"/>
    <x v="0"/>
    <x v="486"/>
    <x v="113"/>
    <x v="243"/>
    <x v="384"/>
    <x v="86"/>
    <x v="502"/>
    <x v="502"/>
    <x v="495"/>
    <x v="0"/>
    <x v="497"/>
    <x v="502"/>
    <x v="48"/>
    <x v="0"/>
    <x v="0"/>
    <x v="0"/>
    <x v="90"/>
    <x v="18"/>
    <x v="219"/>
    <x v="17"/>
    <x v="3"/>
    <x v="5"/>
    <x v="0"/>
    <x v="508"/>
  </r>
  <r>
    <x v="0"/>
    <x v="221"/>
    <x v="72"/>
    <x v="115"/>
    <x v="52"/>
    <x v="324"/>
    <x v="35"/>
    <x v="487"/>
    <x v="229"/>
    <x v="91"/>
    <x v="214"/>
    <x v="438"/>
    <x v="503"/>
    <x v="503"/>
    <x v="496"/>
    <x v="0"/>
    <x v="498"/>
    <x v="503"/>
    <x v="430"/>
    <x v="0"/>
    <x v="0"/>
    <x v="3"/>
    <x v="91"/>
    <x v="24"/>
    <x v="144"/>
    <x v="3"/>
    <x v="10"/>
    <x v="16"/>
    <x v="0"/>
    <x v="509"/>
  </r>
  <r>
    <x v="0"/>
    <x v="149"/>
    <x v="305"/>
    <x v="50"/>
    <x v="110"/>
    <x v="226"/>
    <x v="21"/>
    <x v="488"/>
    <x v="12"/>
    <x v="162"/>
    <x v="141"/>
    <x v="288"/>
    <x v="504"/>
    <x v="504"/>
    <x v="497"/>
    <x v="3"/>
    <x v="499"/>
    <x v="504"/>
    <x v="431"/>
    <x v="0"/>
    <x v="0"/>
    <x v="2"/>
    <x v="86"/>
    <x v="3"/>
    <x v="47"/>
    <x v="27"/>
    <x v="3"/>
    <x v="1"/>
    <x v="0"/>
    <x v="510"/>
  </r>
  <r>
    <x v="0"/>
    <x v="264"/>
    <x v="244"/>
    <x v="54"/>
    <x v="174"/>
    <x v="325"/>
    <x v="40"/>
    <x v="489"/>
    <x v="230"/>
    <x v="189"/>
    <x v="385"/>
    <x v="439"/>
    <x v="505"/>
    <x v="505"/>
    <x v="498"/>
    <x v="0"/>
    <x v="500"/>
    <x v="505"/>
    <x v="432"/>
    <x v="0"/>
    <x v="0"/>
    <x v="2"/>
    <x v="54"/>
    <x v="9"/>
    <x v="258"/>
    <x v="12"/>
    <x v="1"/>
    <x v="61"/>
    <x v="0"/>
    <x v="511"/>
  </r>
  <r>
    <x v="0"/>
    <x v="25"/>
    <x v="134"/>
    <x v="23"/>
    <x v="18"/>
    <x v="326"/>
    <x v="13"/>
    <x v="490"/>
    <x v="168"/>
    <x v="93"/>
    <x v="129"/>
    <x v="440"/>
    <x v="506"/>
    <x v="506"/>
    <x v="499"/>
    <x v="0"/>
    <x v="501"/>
    <x v="506"/>
    <x v="433"/>
    <x v="0"/>
    <x v="8"/>
    <x v="4"/>
    <x v="54"/>
    <x v="19"/>
    <x v="47"/>
    <x v="13"/>
    <x v="1"/>
    <x v="1"/>
    <x v="0"/>
    <x v="512"/>
  </r>
  <r>
    <x v="0"/>
    <x v="90"/>
    <x v="321"/>
    <x v="16"/>
    <x v="71"/>
    <x v="1"/>
    <x v="6"/>
    <x v="491"/>
    <x v="10"/>
    <x v="6"/>
    <x v="370"/>
    <x v="228"/>
    <x v="507"/>
    <x v="507"/>
    <x v="500"/>
    <x v="1"/>
    <x v="502"/>
    <x v="507"/>
    <x v="55"/>
    <x v="0"/>
    <x v="0"/>
    <x v="0"/>
    <x v="32"/>
    <x v="14"/>
    <x v="10"/>
    <x v="10"/>
    <x v="1"/>
    <x v="1"/>
    <x v="0"/>
    <x v="513"/>
  </r>
  <r>
    <x v="0"/>
    <x v="206"/>
    <x v="150"/>
    <x v="43"/>
    <x v="145"/>
    <x v="327"/>
    <x v="21"/>
    <x v="492"/>
    <x v="125"/>
    <x v="210"/>
    <x v="288"/>
    <x v="441"/>
    <x v="508"/>
    <x v="508"/>
    <x v="501"/>
    <x v="4"/>
    <x v="503"/>
    <x v="508"/>
    <x v="434"/>
    <x v="0"/>
    <x v="0"/>
    <x v="2"/>
    <x v="86"/>
    <x v="10"/>
    <x v="6"/>
    <x v="53"/>
    <x v="3"/>
    <x v="1"/>
    <x v="0"/>
    <x v="514"/>
  </r>
  <r>
    <x v="0"/>
    <x v="265"/>
    <x v="322"/>
    <x v="86"/>
    <x v="175"/>
    <x v="328"/>
    <x v="29"/>
    <x v="493"/>
    <x v="23"/>
    <x v="74"/>
    <x v="271"/>
    <x v="442"/>
    <x v="509"/>
    <x v="509"/>
    <x v="502"/>
    <x v="7"/>
    <x v="504"/>
    <x v="509"/>
    <x v="406"/>
    <x v="0"/>
    <x v="0"/>
    <x v="0"/>
    <x v="92"/>
    <x v="17"/>
    <x v="183"/>
    <x v="18"/>
    <x v="1"/>
    <x v="1"/>
    <x v="0"/>
    <x v="515"/>
  </r>
  <r>
    <x v="0"/>
    <x v="117"/>
    <x v="323"/>
    <x v="26"/>
    <x v="91"/>
    <x v="73"/>
    <x v="25"/>
    <x v="494"/>
    <x v="231"/>
    <x v="30"/>
    <x v="6"/>
    <x v="90"/>
    <x v="510"/>
    <x v="510"/>
    <x v="503"/>
    <x v="1"/>
    <x v="505"/>
    <x v="510"/>
    <x v="398"/>
    <x v="0"/>
    <x v="10"/>
    <x v="2"/>
    <x v="93"/>
    <x v="2"/>
    <x v="6"/>
    <x v="6"/>
    <x v="1"/>
    <x v="77"/>
    <x v="0"/>
    <x v="516"/>
  </r>
  <r>
    <x v="0"/>
    <x v="266"/>
    <x v="221"/>
    <x v="77"/>
    <x v="114"/>
    <x v="329"/>
    <x v="0"/>
    <x v="495"/>
    <x v="232"/>
    <x v="229"/>
    <x v="386"/>
    <x v="443"/>
    <x v="511"/>
    <x v="511"/>
    <x v="504"/>
    <x v="4"/>
    <x v="506"/>
    <x v="511"/>
    <x v="155"/>
    <x v="0"/>
    <x v="0"/>
    <x v="0"/>
    <x v="67"/>
    <x v="1"/>
    <x v="259"/>
    <x v="18"/>
    <x v="3"/>
    <x v="1"/>
    <x v="0"/>
    <x v="517"/>
  </r>
  <r>
    <x v="0"/>
    <x v="267"/>
    <x v="324"/>
    <x v="80"/>
    <x v="78"/>
    <x v="330"/>
    <x v="13"/>
    <x v="496"/>
    <x v="21"/>
    <x v="158"/>
    <x v="387"/>
    <x v="444"/>
    <x v="512"/>
    <x v="512"/>
    <x v="505"/>
    <x v="0"/>
    <x v="507"/>
    <x v="512"/>
    <x v="435"/>
    <x v="0"/>
    <x v="0"/>
    <x v="2"/>
    <x v="92"/>
    <x v="21"/>
    <x v="30"/>
    <x v="54"/>
    <x v="3"/>
    <x v="128"/>
    <x v="0"/>
    <x v="518"/>
  </r>
  <r>
    <x v="0"/>
    <x v="268"/>
    <x v="159"/>
    <x v="101"/>
    <x v="31"/>
    <x v="331"/>
    <x v="0"/>
    <x v="497"/>
    <x v="233"/>
    <x v="250"/>
    <x v="388"/>
    <x v="445"/>
    <x v="513"/>
    <x v="513"/>
    <x v="506"/>
    <x v="0"/>
    <x v="508"/>
    <x v="513"/>
    <x v="293"/>
    <x v="0"/>
    <x v="7"/>
    <x v="2"/>
    <x v="74"/>
    <x v="6"/>
    <x v="260"/>
    <x v="2"/>
    <x v="3"/>
    <x v="88"/>
    <x v="0"/>
    <x v="519"/>
  </r>
  <r>
    <x v="1"/>
    <x v="269"/>
    <x v="242"/>
    <x v="47"/>
    <x v="176"/>
    <x v="142"/>
    <x v="0"/>
    <x v="498"/>
    <x v="0"/>
    <x v="251"/>
    <x v="389"/>
    <x v="173"/>
    <x v="514"/>
    <x v="514"/>
    <x v="507"/>
    <x v="3"/>
    <x v="509"/>
    <x v="514"/>
    <x v="436"/>
    <x v="0"/>
    <x v="0"/>
    <x v="0"/>
    <x v="54"/>
    <x v="17"/>
    <x v="261"/>
    <x v="27"/>
    <x v="1"/>
    <x v="1"/>
    <x v="0"/>
    <x v="520"/>
  </r>
  <r>
    <x v="0"/>
    <x v="270"/>
    <x v="49"/>
    <x v="42"/>
    <x v="177"/>
    <x v="1"/>
    <x v="134"/>
    <x v="499"/>
    <x v="165"/>
    <x v="252"/>
    <x v="390"/>
    <x v="110"/>
    <x v="515"/>
    <x v="515"/>
    <x v="508"/>
    <x v="0"/>
    <x v="510"/>
    <x v="515"/>
    <x v="437"/>
    <x v="0"/>
    <x v="0"/>
    <x v="2"/>
    <x v="92"/>
    <x v="9"/>
    <x v="12"/>
    <x v="7"/>
    <x v="3"/>
    <x v="15"/>
    <x v="0"/>
    <x v="521"/>
  </r>
  <r>
    <x v="0"/>
    <x v="42"/>
    <x v="112"/>
    <x v="39"/>
    <x v="30"/>
    <x v="332"/>
    <x v="14"/>
    <x v="500"/>
    <x v="5"/>
    <x v="14"/>
    <x v="198"/>
    <x v="446"/>
    <x v="516"/>
    <x v="516"/>
    <x v="509"/>
    <x v="0"/>
    <x v="511"/>
    <x v="516"/>
    <x v="438"/>
    <x v="0"/>
    <x v="0"/>
    <x v="0"/>
    <x v="74"/>
    <x v="25"/>
    <x v="12"/>
    <x v="8"/>
    <x v="1"/>
    <x v="37"/>
    <x v="0"/>
    <x v="522"/>
  </r>
  <r>
    <x v="0"/>
    <x v="38"/>
    <x v="325"/>
    <x v="74"/>
    <x v="25"/>
    <x v="217"/>
    <x v="135"/>
    <x v="501"/>
    <x v="5"/>
    <x v="253"/>
    <x v="391"/>
    <x v="447"/>
    <x v="517"/>
    <x v="517"/>
    <x v="510"/>
    <x v="0"/>
    <x v="512"/>
    <x v="517"/>
    <x v="439"/>
    <x v="0"/>
    <x v="0"/>
    <x v="0"/>
    <x v="94"/>
    <x v="13"/>
    <x v="262"/>
    <x v="12"/>
    <x v="3"/>
    <x v="1"/>
    <x v="0"/>
    <x v="523"/>
  </r>
  <r>
    <x v="0"/>
    <x v="79"/>
    <x v="198"/>
    <x v="107"/>
    <x v="62"/>
    <x v="132"/>
    <x v="54"/>
    <x v="502"/>
    <x v="29"/>
    <x v="96"/>
    <x v="392"/>
    <x v="162"/>
    <x v="518"/>
    <x v="518"/>
    <x v="511"/>
    <x v="0"/>
    <x v="513"/>
    <x v="518"/>
    <x v="440"/>
    <x v="0"/>
    <x v="0"/>
    <x v="2"/>
    <x v="74"/>
    <x v="12"/>
    <x v="263"/>
    <x v="8"/>
    <x v="3"/>
    <x v="1"/>
    <x v="0"/>
    <x v="524"/>
  </r>
  <r>
    <x v="0"/>
    <x v="122"/>
    <x v="326"/>
    <x v="56"/>
    <x v="0"/>
    <x v="325"/>
    <x v="17"/>
    <x v="503"/>
    <x v="211"/>
    <x v="41"/>
    <x v="393"/>
    <x v="448"/>
    <x v="519"/>
    <x v="519"/>
    <x v="512"/>
    <x v="0"/>
    <x v="514"/>
    <x v="519"/>
    <x v="441"/>
    <x v="0"/>
    <x v="0"/>
    <x v="4"/>
    <x v="92"/>
    <x v="7"/>
    <x v="264"/>
    <x v="0"/>
    <x v="3"/>
    <x v="16"/>
    <x v="0"/>
    <x v="525"/>
  </r>
  <r>
    <x v="0"/>
    <x v="11"/>
    <x v="327"/>
    <x v="27"/>
    <x v="0"/>
    <x v="333"/>
    <x v="24"/>
    <x v="504"/>
    <x v="5"/>
    <x v="25"/>
    <x v="394"/>
    <x v="449"/>
    <x v="520"/>
    <x v="520"/>
    <x v="513"/>
    <x v="0"/>
    <x v="515"/>
    <x v="520"/>
    <x v="442"/>
    <x v="0"/>
    <x v="0"/>
    <x v="0"/>
    <x v="74"/>
    <x v="21"/>
    <x v="265"/>
    <x v="38"/>
    <x v="1"/>
    <x v="1"/>
    <x v="0"/>
    <x v="526"/>
  </r>
  <r>
    <x v="0"/>
    <x v="204"/>
    <x v="260"/>
    <x v="47"/>
    <x v="144"/>
    <x v="32"/>
    <x v="2"/>
    <x v="505"/>
    <x v="234"/>
    <x v="60"/>
    <x v="65"/>
    <x v="39"/>
    <x v="521"/>
    <x v="521"/>
    <x v="514"/>
    <x v="0"/>
    <x v="516"/>
    <x v="521"/>
    <x v="361"/>
    <x v="0"/>
    <x v="0"/>
    <x v="4"/>
    <x v="74"/>
    <x v="8"/>
    <x v="6"/>
    <x v="10"/>
    <x v="1"/>
    <x v="1"/>
    <x v="0"/>
    <x v="527"/>
  </r>
  <r>
    <x v="0"/>
    <x v="27"/>
    <x v="270"/>
    <x v="16"/>
    <x v="0"/>
    <x v="317"/>
    <x v="25"/>
    <x v="506"/>
    <x v="2"/>
    <x v="76"/>
    <x v="395"/>
    <x v="450"/>
    <x v="522"/>
    <x v="522"/>
    <x v="515"/>
    <x v="1"/>
    <x v="517"/>
    <x v="522"/>
    <x v="359"/>
    <x v="0"/>
    <x v="0"/>
    <x v="4"/>
    <x v="74"/>
    <x v="25"/>
    <x v="12"/>
    <x v="38"/>
    <x v="1"/>
    <x v="69"/>
    <x v="0"/>
    <x v="528"/>
  </r>
  <r>
    <x v="0"/>
    <x v="128"/>
    <x v="328"/>
    <x v="69"/>
    <x v="95"/>
    <x v="153"/>
    <x v="103"/>
    <x v="507"/>
    <x v="73"/>
    <x v="190"/>
    <x v="396"/>
    <x v="451"/>
    <x v="523"/>
    <x v="523"/>
    <x v="208"/>
    <x v="0"/>
    <x v="518"/>
    <x v="523"/>
    <x v="130"/>
    <x v="0"/>
    <x v="0"/>
    <x v="2"/>
    <x v="67"/>
    <x v="7"/>
    <x v="266"/>
    <x v="8"/>
    <x v="3"/>
    <x v="1"/>
    <x v="0"/>
    <x v="529"/>
  </r>
  <r>
    <x v="0"/>
    <x v="231"/>
    <x v="304"/>
    <x v="77"/>
    <x v="156"/>
    <x v="334"/>
    <x v="2"/>
    <x v="508"/>
    <x v="127"/>
    <x v="196"/>
    <x v="397"/>
    <x v="452"/>
    <x v="524"/>
    <x v="524"/>
    <x v="516"/>
    <x v="4"/>
    <x v="519"/>
    <x v="524"/>
    <x v="253"/>
    <x v="0"/>
    <x v="0"/>
    <x v="0"/>
    <x v="74"/>
    <x v="14"/>
    <x v="267"/>
    <x v="2"/>
    <x v="1"/>
    <x v="59"/>
    <x v="0"/>
    <x v="530"/>
  </r>
  <r>
    <x v="0"/>
    <x v="239"/>
    <x v="66"/>
    <x v="85"/>
    <x v="160"/>
    <x v="335"/>
    <x v="136"/>
    <x v="509"/>
    <x v="235"/>
    <x v="254"/>
    <x v="398"/>
    <x v="453"/>
    <x v="525"/>
    <x v="525"/>
    <x v="517"/>
    <x v="12"/>
    <x v="520"/>
    <x v="525"/>
    <x v="443"/>
    <x v="0"/>
    <x v="0"/>
    <x v="2"/>
    <x v="74"/>
    <x v="1"/>
    <x v="268"/>
    <x v="10"/>
    <x v="1"/>
    <x v="1"/>
    <x v="0"/>
    <x v="531"/>
  </r>
  <r>
    <x v="0"/>
    <x v="200"/>
    <x v="111"/>
    <x v="31"/>
    <x v="140"/>
    <x v="105"/>
    <x v="62"/>
    <x v="510"/>
    <x v="236"/>
    <x v="106"/>
    <x v="399"/>
    <x v="454"/>
    <x v="526"/>
    <x v="526"/>
    <x v="518"/>
    <x v="0"/>
    <x v="521"/>
    <x v="526"/>
    <x v="429"/>
    <x v="0"/>
    <x v="0"/>
    <x v="4"/>
    <x v="95"/>
    <x v="14"/>
    <x v="259"/>
    <x v="37"/>
    <x v="4"/>
    <x v="129"/>
    <x v="0"/>
    <x v="532"/>
  </r>
  <r>
    <x v="0"/>
    <x v="271"/>
    <x v="266"/>
    <x v="47"/>
    <x v="106"/>
    <x v="77"/>
    <x v="35"/>
    <x v="511"/>
    <x v="237"/>
    <x v="91"/>
    <x v="241"/>
    <x v="98"/>
    <x v="527"/>
    <x v="527"/>
    <x v="519"/>
    <x v="0"/>
    <x v="522"/>
    <x v="527"/>
    <x v="444"/>
    <x v="0"/>
    <x v="0"/>
    <x v="2"/>
    <x v="74"/>
    <x v="15"/>
    <x v="162"/>
    <x v="54"/>
    <x v="3"/>
    <x v="130"/>
    <x v="0"/>
    <x v="533"/>
  </r>
  <r>
    <x v="0"/>
    <x v="112"/>
    <x v="60"/>
    <x v="31"/>
    <x v="49"/>
    <x v="17"/>
    <x v="2"/>
    <x v="512"/>
    <x v="180"/>
    <x v="130"/>
    <x v="400"/>
    <x v="455"/>
    <x v="528"/>
    <x v="528"/>
    <x v="520"/>
    <x v="5"/>
    <x v="523"/>
    <x v="528"/>
    <x v="103"/>
    <x v="0"/>
    <x v="0"/>
    <x v="0"/>
    <x v="74"/>
    <x v="9"/>
    <x v="269"/>
    <x v="11"/>
    <x v="1"/>
    <x v="131"/>
    <x v="0"/>
    <x v="534"/>
  </r>
  <r>
    <x v="0"/>
    <x v="206"/>
    <x v="200"/>
    <x v="58"/>
    <x v="145"/>
    <x v="6"/>
    <x v="25"/>
    <x v="513"/>
    <x v="125"/>
    <x v="26"/>
    <x v="288"/>
    <x v="456"/>
    <x v="529"/>
    <x v="529"/>
    <x v="521"/>
    <x v="2"/>
    <x v="524"/>
    <x v="529"/>
    <x v="445"/>
    <x v="0"/>
    <x v="0"/>
    <x v="0"/>
    <x v="67"/>
    <x v="5"/>
    <x v="6"/>
    <x v="19"/>
    <x v="3"/>
    <x v="85"/>
    <x v="0"/>
    <x v="535"/>
  </r>
  <r>
    <x v="0"/>
    <x v="38"/>
    <x v="285"/>
    <x v="57"/>
    <x v="25"/>
    <x v="336"/>
    <x v="10"/>
    <x v="514"/>
    <x v="200"/>
    <x v="33"/>
    <x v="401"/>
    <x v="457"/>
    <x v="530"/>
    <x v="530"/>
    <x v="522"/>
    <x v="0"/>
    <x v="525"/>
    <x v="530"/>
    <x v="446"/>
    <x v="0"/>
    <x v="0"/>
    <x v="0"/>
    <x v="81"/>
    <x v="14"/>
    <x v="270"/>
    <x v="11"/>
    <x v="3"/>
    <x v="37"/>
    <x v="0"/>
    <x v="536"/>
  </r>
  <r>
    <x v="0"/>
    <x v="113"/>
    <x v="329"/>
    <x v="116"/>
    <x v="88"/>
    <x v="337"/>
    <x v="0"/>
    <x v="4"/>
    <x v="64"/>
    <x v="255"/>
    <x v="402"/>
    <x v="458"/>
    <x v="531"/>
    <x v="531"/>
    <x v="523"/>
    <x v="1"/>
    <x v="526"/>
    <x v="531"/>
    <x v="447"/>
    <x v="0"/>
    <x v="0"/>
    <x v="5"/>
    <x v="4"/>
    <x v="4"/>
    <x v="178"/>
    <x v="7"/>
    <x v="12"/>
    <x v="7"/>
    <x v="0"/>
    <x v="537"/>
  </r>
  <r>
    <x v="0"/>
    <x v="208"/>
    <x v="283"/>
    <x v="7"/>
    <x v="146"/>
    <x v="338"/>
    <x v="22"/>
    <x v="515"/>
    <x v="238"/>
    <x v="202"/>
    <x v="403"/>
    <x v="459"/>
    <x v="532"/>
    <x v="532"/>
    <x v="524"/>
    <x v="2"/>
    <x v="527"/>
    <x v="532"/>
    <x v="448"/>
    <x v="0"/>
    <x v="0"/>
    <x v="2"/>
    <x v="82"/>
    <x v="0"/>
    <x v="271"/>
    <x v="28"/>
    <x v="3"/>
    <x v="103"/>
    <x v="0"/>
    <x v="538"/>
  </r>
  <r>
    <x v="0"/>
    <x v="30"/>
    <x v="295"/>
    <x v="23"/>
    <x v="22"/>
    <x v="13"/>
    <x v="137"/>
    <x v="516"/>
    <x v="51"/>
    <x v="256"/>
    <x v="173"/>
    <x v="142"/>
    <x v="533"/>
    <x v="533"/>
    <x v="525"/>
    <x v="0"/>
    <x v="528"/>
    <x v="533"/>
    <x v="449"/>
    <x v="0"/>
    <x v="0"/>
    <x v="0"/>
    <x v="74"/>
    <x v="21"/>
    <x v="117"/>
    <x v="18"/>
    <x v="3"/>
    <x v="1"/>
    <x v="0"/>
    <x v="539"/>
  </r>
  <r>
    <x v="0"/>
    <x v="272"/>
    <x v="267"/>
    <x v="58"/>
    <x v="0"/>
    <x v="339"/>
    <x v="13"/>
    <x v="517"/>
    <x v="239"/>
    <x v="93"/>
    <x v="404"/>
    <x v="460"/>
    <x v="534"/>
    <x v="534"/>
    <x v="526"/>
    <x v="1"/>
    <x v="529"/>
    <x v="534"/>
    <x v="316"/>
    <x v="0"/>
    <x v="0"/>
    <x v="4"/>
    <x v="74"/>
    <x v="1"/>
    <x v="28"/>
    <x v="1"/>
    <x v="3"/>
    <x v="1"/>
    <x v="0"/>
    <x v="540"/>
  </r>
  <r>
    <x v="0"/>
    <x v="193"/>
    <x v="262"/>
    <x v="78"/>
    <x v="123"/>
    <x v="21"/>
    <x v="13"/>
    <x v="518"/>
    <x v="29"/>
    <x v="158"/>
    <x v="405"/>
    <x v="461"/>
    <x v="535"/>
    <x v="535"/>
    <x v="527"/>
    <x v="0"/>
    <x v="530"/>
    <x v="535"/>
    <x v="160"/>
    <x v="0"/>
    <x v="0"/>
    <x v="2"/>
    <x v="74"/>
    <x v="14"/>
    <x v="53"/>
    <x v="19"/>
    <x v="3"/>
    <x v="1"/>
    <x v="0"/>
    <x v="541"/>
  </r>
  <r>
    <x v="0"/>
    <x v="111"/>
    <x v="330"/>
    <x v="29"/>
    <x v="87"/>
    <x v="193"/>
    <x v="138"/>
    <x v="519"/>
    <x v="240"/>
    <x v="257"/>
    <x v="406"/>
    <x v="243"/>
    <x v="536"/>
    <x v="536"/>
    <x v="528"/>
    <x v="0"/>
    <x v="531"/>
    <x v="536"/>
    <x v="311"/>
    <x v="0"/>
    <x v="0"/>
    <x v="0"/>
    <x v="80"/>
    <x v="7"/>
    <x v="272"/>
    <x v="12"/>
    <x v="1"/>
    <x v="1"/>
    <x v="0"/>
    <x v="542"/>
  </r>
  <r>
    <x v="0"/>
    <x v="113"/>
    <x v="329"/>
    <x v="117"/>
    <x v="88"/>
    <x v="298"/>
    <x v="139"/>
    <x v="4"/>
    <x v="241"/>
    <x v="258"/>
    <x v="407"/>
    <x v="462"/>
    <x v="537"/>
    <x v="537"/>
    <x v="529"/>
    <x v="1"/>
    <x v="532"/>
    <x v="537"/>
    <x v="450"/>
    <x v="0"/>
    <x v="0"/>
    <x v="1"/>
    <x v="4"/>
    <x v="4"/>
    <x v="273"/>
    <x v="24"/>
    <x v="2"/>
    <x v="1"/>
    <x v="0"/>
    <x v="543"/>
  </r>
  <r>
    <x v="0"/>
    <x v="273"/>
    <x v="331"/>
    <x v="34"/>
    <x v="70"/>
    <x v="134"/>
    <x v="25"/>
    <x v="520"/>
    <x v="242"/>
    <x v="138"/>
    <x v="408"/>
    <x v="268"/>
    <x v="538"/>
    <x v="538"/>
    <x v="530"/>
    <x v="2"/>
    <x v="533"/>
    <x v="538"/>
    <x v="451"/>
    <x v="0"/>
    <x v="0"/>
    <x v="0"/>
    <x v="96"/>
    <x v="12"/>
    <x v="30"/>
    <x v="20"/>
    <x v="14"/>
    <x v="1"/>
    <x v="0"/>
    <x v="544"/>
  </r>
  <r>
    <x v="0"/>
    <x v="38"/>
    <x v="53"/>
    <x v="118"/>
    <x v="25"/>
    <x v="340"/>
    <x v="140"/>
    <x v="521"/>
    <x v="223"/>
    <x v="259"/>
    <x v="409"/>
    <x v="463"/>
    <x v="539"/>
    <x v="539"/>
    <x v="531"/>
    <x v="0"/>
    <x v="534"/>
    <x v="539"/>
    <x v="306"/>
    <x v="0"/>
    <x v="10"/>
    <x v="4"/>
    <x v="80"/>
    <x v="12"/>
    <x v="274"/>
    <x v="32"/>
    <x v="1"/>
    <x v="1"/>
    <x v="0"/>
    <x v="545"/>
  </r>
  <r>
    <x v="0"/>
    <x v="274"/>
    <x v="332"/>
    <x v="30"/>
    <x v="178"/>
    <x v="341"/>
    <x v="57"/>
    <x v="522"/>
    <x v="149"/>
    <x v="99"/>
    <x v="290"/>
    <x v="464"/>
    <x v="540"/>
    <x v="540"/>
    <x v="532"/>
    <x v="1"/>
    <x v="535"/>
    <x v="540"/>
    <x v="318"/>
    <x v="0"/>
    <x v="0"/>
    <x v="4"/>
    <x v="80"/>
    <x v="17"/>
    <x v="30"/>
    <x v="4"/>
    <x v="1"/>
    <x v="1"/>
    <x v="0"/>
    <x v="546"/>
  </r>
  <r>
    <x v="0"/>
    <x v="275"/>
    <x v="321"/>
    <x v="7"/>
    <x v="179"/>
    <x v="289"/>
    <x v="32"/>
    <x v="523"/>
    <x v="243"/>
    <x v="260"/>
    <x v="155"/>
    <x v="380"/>
    <x v="541"/>
    <x v="541"/>
    <x v="533"/>
    <x v="4"/>
    <x v="536"/>
    <x v="541"/>
    <x v="452"/>
    <x v="0"/>
    <x v="0"/>
    <x v="0"/>
    <x v="74"/>
    <x v="5"/>
    <x v="30"/>
    <x v="28"/>
    <x v="1"/>
    <x v="1"/>
    <x v="0"/>
    <x v="547"/>
  </r>
  <r>
    <x v="0"/>
    <x v="129"/>
    <x v="95"/>
    <x v="38"/>
    <x v="0"/>
    <x v="342"/>
    <x v="10"/>
    <x v="524"/>
    <x v="121"/>
    <x v="10"/>
    <x v="44"/>
    <x v="465"/>
    <x v="542"/>
    <x v="542"/>
    <x v="534"/>
    <x v="4"/>
    <x v="537"/>
    <x v="542"/>
    <x v="175"/>
    <x v="0"/>
    <x v="0"/>
    <x v="0"/>
    <x v="74"/>
    <x v="2"/>
    <x v="34"/>
    <x v="11"/>
    <x v="1"/>
    <x v="132"/>
    <x v="0"/>
    <x v="548"/>
  </r>
  <r>
    <x v="0"/>
    <x v="140"/>
    <x v="310"/>
    <x v="22"/>
    <x v="40"/>
    <x v="343"/>
    <x v="2"/>
    <x v="525"/>
    <x v="105"/>
    <x v="196"/>
    <x v="410"/>
    <x v="466"/>
    <x v="543"/>
    <x v="543"/>
    <x v="535"/>
    <x v="4"/>
    <x v="538"/>
    <x v="543"/>
    <x v="329"/>
    <x v="0"/>
    <x v="0"/>
    <x v="0"/>
    <x v="67"/>
    <x v="14"/>
    <x v="275"/>
    <x v="12"/>
    <x v="3"/>
    <x v="1"/>
    <x v="0"/>
    <x v="549"/>
  </r>
  <r>
    <x v="0"/>
    <x v="276"/>
    <x v="136"/>
    <x v="43"/>
    <x v="180"/>
    <x v="289"/>
    <x v="25"/>
    <x v="526"/>
    <x v="244"/>
    <x v="26"/>
    <x v="411"/>
    <x v="380"/>
    <x v="544"/>
    <x v="544"/>
    <x v="536"/>
    <x v="0"/>
    <x v="539"/>
    <x v="544"/>
    <x v="453"/>
    <x v="0"/>
    <x v="0"/>
    <x v="2"/>
    <x v="74"/>
    <x v="7"/>
    <x v="276"/>
    <x v="4"/>
    <x v="1"/>
    <x v="1"/>
    <x v="0"/>
    <x v="550"/>
  </r>
  <r>
    <x v="0"/>
    <x v="277"/>
    <x v="125"/>
    <x v="32"/>
    <x v="181"/>
    <x v="344"/>
    <x v="57"/>
    <x v="527"/>
    <x v="245"/>
    <x v="99"/>
    <x v="412"/>
    <x v="467"/>
    <x v="545"/>
    <x v="545"/>
    <x v="537"/>
    <x v="4"/>
    <x v="540"/>
    <x v="545"/>
    <x v="292"/>
    <x v="0"/>
    <x v="0"/>
    <x v="0"/>
    <x v="67"/>
    <x v="18"/>
    <x v="277"/>
    <x v="4"/>
    <x v="1"/>
    <x v="1"/>
    <x v="0"/>
    <x v="551"/>
  </r>
  <r>
    <x v="0"/>
    <x v="278"/>
    <x v="302"/>
    <x v="90"/>
    <x v="182"/>
    <x v="251"/>
    <x v="108"/>
    <x v="528"/>
    <x v="246"/>
    <x v="261"/>
    <x v="413"/>
    <x v="468"/>
    <x v="546"/>
    <x v="546"/>
    <x v="538"/>
    <x v="3"/>
    <x v="541"/>
    <x v="546"/>
    <x v="454"/>
    <x v="0"/>
    <x v="0"/>
    <x v="0"/>
    <x v="97"/>
    <x v="16"/>
    <x v="278"/>
    <x v="18"/>
    <x v="3"/>
    <x v="1"/>
    <x v="0"/>
    <x v="552"/>
  </r>
  <r>
    <x v="0"/>
    <x v="279"/>
    <x v="74"/>
    <x v="2"/>
    <x v="183"/>
    <x v="345"/>
    <x v="141"/>
    <x v="529"/>
    <x v="247"/>
    <x v="262"/>
    <x v="414"/>
    <x v="469"/>
    <x v="547"/>
    <x v="547"/>
    <x v="539"/>
    <x v="4"/>
    <x v="542"/>
    <x v="547"/>
    <x v="287"/>
    <x v="0"/>
    <x v="0"/>
    <x v="0"/>
    <x v="74"/>
    <x v="15"/>
    <x v="279"/>
    <x v="10"/>
    <x v="1"/>
    <x v="1"/>
    <x v="0"/>
    <x v="553"/>
  </r>
  <r>
    <x v="0"/>
    <x v="228"/>
    <x v="62"/>
    <x v="47"/>
    <x v="155"/>
    <x v="346"/>
    <x v="10"/>
    <x v="530"/>
    <x v="248"/>
    <x v="10"/>
    <x v="415"/>
    <x v="470"/>
    <x v="548"/>
    <x v="548"/>
    <x v="540"/>
    <x v="1"/>
    <x v="543"/>
    <x v="548"/>
    <x v="415"/>
    <x v="0"/>
    <x v="0"/>
    <x v="4"/>
    <x v="74"/>
    <x v="10"/>
    <x v="30"/>
    <x v="9"/>
    <x v="3"/>
    <x v="26"/>
    <x v="0"/>
    <x v="554"/>
  </r>
  <r>
    <x v="0"/>
    <x v="280"/>
    <x v="194"/>
    <x v="18"/>
    <x v="184"/>
    <x v="71"/>
    <x v="38"/>
    <x v="531"/>
    <x v="80"/>
    <x v="55"/>
    <x v="259"/>
    <x v="471"/>
    <x v="549"/>
    <x v="549"/>
    <x v="541"/>
    <x v="0"/>
    <x v="544"/>
    <x v="549"/>
    <x v="160"/>
    <x v="0"/>
    <x v="0"/>
    <x v="4"/>
    <x v="89"/>
    <x v="12"/>
    <x v="44"/>
    <x v="4"/>
    <x v="1"/>
    <x v="1"/>
    <x v="0"/>
    <x v="555"/>
  </r>
  <r>
    <x v="0"/>
    <x v="281"/>
    <x v="333"/>
    <x v="50"/>
    <x v="185"/>
    <x v="252"/>
    <x v="57"/>
    <x v="532"/>
    <x v="249"/>
    <x v="109"/>
    <x v="387"/>
    <x v="472"/>
    <x v="550"/>
    <x v="550"/>
    <x v="542"/>
    <x v="0"/>
    <x v="545"/>
    <x v="550"/>
    <x v="455"/>
    <x v="0"/>
    <x v="0"/>
    <x v="2"/>
    <x v="74"/>
    <x v="21"/>
    <x v="30"/>
    <x v="4"/>
    <x v="1"/>
    <x v="1"/>
    <x v="0"/>
    <x v="556"/>
  </r>
  <r>
    <x v="0"/>
    <x v="282"/>
    <x v="125"/>
    <x v="38"/>
    <x v="186"/>
    <x v="347"/>
    <x v="2"/>
    <x v="533"/>
    <x v="26"/>
    <x v="42"/>
    <x v="42"/>
    <x v="473"/>
    <x v="551"/>
    <x v="551"/>
    <x v="543"/>
    <x v="4"/>
    <x v="546"/>
    <x v="551"/>
    <x v="351"/>
    <x v="0"/>
    <x v="0"/>
    <x v="0"/>
    <x v="74"/>
    <x v="17"/>
    <x v="233"/>
    <x v="43"/>
    <x v="1"/>
    <x v="133"/>
    <x v="0"/>
    <x v="557"/>
  </r>
  <r>
    <x v="0"/>
    <x v="216"/>
    <x v="334"/>
    <x v="77"/>
    <x v="149"/>
    <x v="196"/>
    <x v="142"/>
    <x v="534"/>
    <x v="250"/>
    <x v="263"/>
    <x v="416"/>
    <x v="474"/>
    <x v="552"/>
    <x v="552"/>
    <x v="544"/>
    <x v="1"/>
    <x v="547"/>
    <x v="552"/>
    <x v="456"/>
    <x v="0"/>
    <x v="1"/>
    <x v="4"/>
    <x v="74"/>
    <x v="20"/>
    <x v="119"/>
    <x v="19"/>
    <x v="1"/>
    <x v="1"/>
    <x v="0"/>
    <x v="558"/>
  </r>
  <r>
    <x v="0"/>
    <x v="283"/>
    <x v="335"/>
    <x v="95"/>
    <x v="123"/>
    <x v="105"/>
    <x v="22"/>
    <x v="535"/>
    <x v="251"/>
    <x v="264"/>
    <x v="417"/>
    <x v="475"/>
    <x v="553"/>
    <x v="553"/>
    <x v="545"/>
    <x v="0"/>
    <x v="548"/>
    <x v="553"/>
    <x v="119"/>
    <x v="0"/>
    <x v="0"/>
    <x v="0"/>
    <x v="4"/>
    <x v="0"/>
    <x v="280"/>
    <x v="19"/>
    <x v="1"/>
    <x v="1"/>
    <x v="0"/>
    <x v="559"/>
  </r>
  <r>
    <x v="0"/>
    <x v="284"/>
    <x v="336"/>
    <x v="41"/>
    <x v="187"/>
    <x v="348"/>
    <x v="22"/>
    <x v="536"/>
    <x v="252"/>
    <x v="240"/>
    <x v="418"/>
    <x v="476"/>
    <x v="554"/>
    <x v="554"/>
    <x v="546"/>
    <x v="0"/>
    <x v="549"/>
    <x v="554"/>
    <x v="372"/>
    <x v="0"/>
    <x v="0"/>
    <x v="0"/>
    <x v="74"/>
    <x v="18"/>
    <x v="281"/>
    <x v="55"/>
    <x v="3"/>
    <x v="134"/>
    <x v="0"/>
    <x v="560"/>
  </r>
  <r>
    <x v="0"/>
    <x v="198"/>
    <x v="277"/>
    <x v="18"/>
    <x v="140"/>
    <x v="239"/>
    <x v="35"/>
    <x v="537"/>
    <x v="51"/>
    <x v="184"/>
    <x v="419"/>
    <x v="304"/>
    <x v="555"/>
    <x v="555"/>
    <x v="547"/>
    <x v="2"/>
    <x v="550"/>
    <x v="555"/>
    <x v="321"/>
    <x v="0"/>
    <x v="0"/>
    <x v="0"/>
    <x v="91"/>
    <x v="14"/>
    <x v="282"/>
    <x v="9"/>
    <x v="1"/>
    <x v="103"/>
    <x v="0"/>
    <x v="561"/>
  </r>
  <r>
    <x v="0"/>
    <x v="93"/>
    <x v="170"/>
    <x v="11"/>
    <x v="0"/>
    <x v="17"/>
    <x v="11"/>
    <x v="538"/>
    <x v="178"/>
    <x v="49"/>
    <x v="259"/>
    <x v="455"/>
    <x v="556"/>
    <x v="556"/>
    <x v="548"/>
    <x v="0"/>
    <x v="551"/>
    <x v="556"/>
    <x v="457"/>
    <x v="0"/>
    <x v="0"/>
    <x v="0"/>
    <x v="74"/>
    <x v="21"/>
    <x v="44"/>
    <x v="13"/>
    <x v="1"/>
    <x v="1"/>
    <x v="0"/>
    <x v="562"/>
  </r>
  <r>
    <x v="0"/>
    <x v="285"/>
    <x v="250"/>
    <x v="43"/>
    <x v="188"/>
    <x v="1"/>
    <x v="134"/>
    <x v="539"/>
    <x v="91"/>
    <x v="252"/>
    <x v="352"/>
    <x v="110"/>
    <x v="557"/>
    <x v="557"/>
    <x v="549"/>
    <x v="0"/>
    <x v="552"/>
    <x v="557"/>
    <x v="458"/>
    <x v="0"/>
    <x v="0"/>
    <x v="2"/>
    <x v="98"/>
    <x v="2"/>
    <x v="9"/>
    <x v="21"/>
    <x v="3"/>
    <x v="105"/>
    <x v="0"/>
    <x v="563"/>
  </r>
  <r>
    <x v="0"/>
    <x v="10"/>
    <x v="337"/>
    <x v="57"/>
    <x v="0"/>
    <x v="99"/>
    <x v="41"/>
    <x v="540"/>
    <x v="90"/>
    <x v="64"/>
    <x v="185"/>
    <x v="477"/>
    <x v="558"/>
    <x v="558"/>
    <x v="550"/>
    <x v="2"/>
    <x v="553"/>
    <x v="558"/>
    <x v="37"/>
    <x v="0"/>
    <x v="0"/>
    <x v="0"/>
    <x v="84"/>
    <x v="10"/>
    <x v="12"/>
    <x v="9"/>
    <x v="1"/>
    <x v="42"/>
    <x v="0"/>
    <x v="564"/>
  </r>
  <r>
    <x v="0"/>
    <x v="209"/>
    <x v="338"/>
    <x v="42"/>
    <x v="0"/>
    <x v="306"/>
    <x v="25"/>
    <x v="541"/>
    <x v="180"/>
    <x v="76"/>
    <x v="420"/>
    <x v="478"/>
    <x v="559"/>
    <x v="559"/>
    <x v="551"/>
    <x v="1"/>
    <x v="554"/>
    <x v="559"/>
    <x v="187"/>
    <x v="0"/>
    <x v="0"/>
    <x v="4"/>
    <x v="99"/>
    <x v="20"/>
    <x v="50"/>
    <x v="18"/>
    <x v="1"/>
    <x v="135"/>
    <x v="0"/>
    <x v="565"/>
  </r>
  <r>
    <x v="0"/>
    <x v="277"/>
    <x v="339"/>
    <x v="90"/>
    <x v="181"/>
    <x v="349"/>
    <x v="143"/>
    <x v="542"/>
    <x v="178"/>
    <x v="265"/>
    <x v="421"/>
    <x v="479"/>
    <x v="560"/>
    <x v="560"/>
    <x v="552"/>
    <x v="3"/>
    <x v="555"/>
    <x v="560"/>
    <x v="459"/>
    <x v="0"/>
    <x v="0"/>
    <x v="0"/>
    <x v="74"/>
    <x v="20"/>
    <x v="283"/>
    <x v="19"/>
    <x v="1"/>
    <x v="1"/>
    <x v="0"/>
    <x v="566"/>
  </r>
  <r>
    <x v="0"/>
    <x v="286"/>
    <x v="142"/>
    <x v="55"/>
    <x v="85"/>
    <x v="350"/>
    <x v="13"/>
    <x v="543"/>
    <x v="253"/>
    <x v="13"/>
    <x v="262"/>
    <x v="480"/>
    <x v="561"/>
    <x v="561"/>
    <x v="553"/>
    <x v="0"/>
    <x v="556"/>
    <x v="561"/>
    <x v="189"/>
    <x v="0"/>
    <x v="0"/>
    <x v="2"/>
    <x v="94"/>
    <x v="6"/>
    <x v="30"/>
    <x v="22"/>
    <x v="3"/>
    <x v="57"/>
    <x v="0"/>
    <x v="567"/>
  </r>
  <r>
    <x v="0"/>
    <x v="279"/>
    <x v="340"/>
    <x v="52"/>
    <x v="183"/>
    <x v="351"/>
    <x v="2"/>
    <x v="544"/>
    <x v="254"/>
    <x v="72"/>
    <x v="48"/>
    <x v="481"/>
    <x v="562"/>
    <x v="562"/>
    <x v="554"/>
    <x v="0"/>
    <x v="557"/>
    <x v="562"/>
    <x v="460"/>
    <x v="0"/>
    <x v="0"/>
    <x v="0"/>
    <x v="80"/>
    <x v="8"/>
    <x v="30"/>
    <x v="23"/>
    <x v="1"/>
    <x v="1"/>
    <x v="0"/>
    <x v="568"/>
  </r>
  <r>
    <x v="0"/>
    <x v="287"/>
    <x v="223"/>
    <x v="9"/>
    <x v="0"/>
    <x v="352"/>
    <x v="2"/>
    <x v="545"/>
    <x v="200"/>
    <x v="196"/>
    <x v="422"/>
    <x v="482"/>
    <x v="563"/>
    <x v="563"/>
    <x v="555"/>
    <x v="1"/>
    <x v="558"/>
    <x v="563"/>
    <x v="428"/>
    <x v="0"/>
    <x v="0"/>
    <x v="4"/>
    <x v="74"/>
    <x v="0"/>
    <x v="284"/>
    <x v="21"/>
    <x v="3"/>
    <x v="1"/>
    <x v="0"/>
    <x v="569"/>
  </r>
  <r>
    <x v="0"/>
    <x v="21"/>
    <x v="294"/>
    <x v="47"/>
    <x v="14"/>
    <x v="158"/>
    <x v="22"/>
    <x v="546"/>
    <x v="65"/>
    <x v="80"/>
    <x v="423"/>
    <x v="483"/>
    <x v="564"/>
    <x v="564"/>
    <x v="556"/>
    <x v="1"/>
    <x v="559"/>
    <x v="564"/>
    <x v="316"/>
    <x v="0"/>
    <x v="0"/>
    <x v="4"/>
    <x v="80"/>
    <x v="1"/>
    <x v="56"/>
    <x v="1"/>
    <x v="1"/>
    <x v="1"/>
    <x v="0"/>
    <x v="570"/>
  </r>
  <r>
    <x v="0"/>
    <x v="167"/>
    <x v="328"/>
    <x v="40"/>
    <x v="120"/>
    <x v="353"/>
    <x v="94"/>
    <x v="547"/>
    <x v="255"/>
    <x v="166"/>
    <x v="356"/>
    <x v="484"/>
    <x v="565"/>
    <x v="565"/>
    <x v="557"/>
    <x v="7"/>
    <x v="560"/>
    <x v="565"/>
    <x v="461"/>
    <x v="0"/>
    <x v="0"/>
    <x v="0"/>
    <x v="94"/>
    <x v="7"/>
    <x v="30"/>
    <x v="4"/>
    <x v="1"/>
    <x v="1"/>
    <x v="0"/>
    <x v="571"/>
  </r>
  <r>
    <x v="0"/>
    <x v="288"/>
    <x v="74"/>
    <x v="101"/>
    <x v="186"/>
    <x v="354"/>
    <x v="0"/>
    <x v="548"/>
    <x v="35"/>
    <x v="266"/>
    <x v="424"/>
    <x v="485"/>
    <x v="566"/>
    <x v="566"/>
    <x v="558"/>
    <x v="0"/>
    <x v="561"/>
    <x v="566"/>
    <x v="167"/>
    <x v="0"/>
    <x v="0"/>
    <x v="2"/>
    <x v="100"/>
    <x v="18"/>
    <x v="285"/>
    <x v="51"/>
    <x v="1"/>
    <x v="136"/>
    <x v="0"/>
    <x v="572"/>
  </r>
  <r>
    <x v="0"/>
    <x v="289"/>
    <x v="125"/>
    <x v="0"/>
    <x v="0"/>
    <x v="355"/>
    <x v="144"/>
    <x v="549"/>
    <x v="256"/>
    <x v="267"/>
    <x v="425"/>
    <x v="486"/>
    <x v="567"/>
    <x v="567"/>
    <x v="559"/>
    <x v="1"/>
    <x v="562"/>
    <x v="567"/>
    <x v="462"/>
    <x v="0"/>
    <x v="0"/>
    <x v="4"/>
    <x v="100"/>
    <x v="16"/>
    <x v="270"/>
    <x v="26"/>
    <x v="1"/>
    <x v="16"/>
    <x v="0"/>
    <x v="573"/>
  </r>
  <r>
    <x v="0"/>
    <x v="2"/>
    <x v="180"/>
    <x v="31"/>
    <x v="0"/>
    <x v="273"/>
    <x v="10"/>
    <x v="550"/>
    <x v="108"/>
    <x v="40"/>
    <x v="426"/>
    <x v="487"/>
    <x v="568"/>
    <x v="568"/>
    <x v="560"/>
    <x v="0"/>
    <x v="563"/>
    <x v="568"/>
    <x v="45"/>
    <x v="0"/>
    <x v="8"/>
    <x v="4"/>
    <x v="80"/>
    <x v="12"/>
    <x v="286"/>
    <x v="1"/>
    <x v="1"/>
    <x v="1"/>
    <x v="0"/>
    <x v="574"/>
  </r>
  <r>
    <x v="0"/>
    <x v="290"/>
    <x v="341"/>
    <x v="101"/>
    <x v="164"/>
    <x v="103"/>
    <x v="140"/>
    <x v="551"/>
    <x v="257"/>
    <x v="268"/>
    <x v="427"/>
    <x v="488"/>
    <x v="569"/>
    <x v="569"/>
    <x v="561"/>
    <x v="0"/>
    <x v="564"/>
    <x v="569"/>
    <x v="463"/>
    <x v="0"/>
    <x v="0"/>
    <x v="0"/>
    <x v="74"/>
    <x v="1"/>
    <x v="287"/>
    <x v="38"/>
    <x v="1"/>
    <x v="1"/>
    <x v="0"/>
    <x v="575"/>
  </r>
  <r>
    <x v="0"/>
    <x v="291"/>
    <x v="342"/>
    <x v="49"/>
    <x v="0"/>
    <x v="331"/>
    <x v="145"/>
    <x v="552"/>
    <x v="17"/>
    <x v="269"/>
    <x v="326"/>
    <x v="489"/>
    <x v="570"/>
    <x v="570"/>
    <x v="562"/>
    <x v="1"/>
    <x v="565"/>
    <x v="570"/>
    <x v="425"/>
    <x v="0"/>
    <x v="0"/>
    <x v="2"/>
    <x v="100"/>
    <x v="18"/>
    <x v="117"/>
    <x v="8"/>
    <x v="3"/>
    <x v="1"/>
    <x v="0"/>
    <x v="576"/>
  </r>
  <r>
    <x v="0"/>
    <x v="200"/>
    <x v="216"/>
    <x v="38"/>
    <x v="140"/>
    <x v="356"/>
    <x v="57"/>
    <x v="553"/>
    <x v="258"/>
    <x v="237"/>
    <x v="223"/>
    <x v="490"/>
    <x v="571"/>
    <x v="571"/>
    <x v="563"/>
    <x v="0"/>
    <x v="566"/>
    <x v="571"/>
    <x v="324"/>
    <x v="0"/>
    <x v="0"/>
    <x v="0"/>
    <x v="100"/>
    <x v="18"/>
    <x v="151"/>
    <x v="33"/>
    <x v="1"/>
    <x v="137"/>
    <x v="0"/>
    <x v="577"/>
  </r>
  <r>
    <x v="0"/>
    <x v="223"/>
    <x v="343"/>
    <x v="56"/>
    <x v="37"/>
    <x v="316"/>
    <x v="146"/>
    <x v="554"/>
    <x v="259"/>
    <x v="270"/>
    <x v="428"/>
    <x v="491"/>
    <x v="572"/>
    <x v="572"/>
    <x v="564"/>
    <x v="0"/>
    <x v="567"/>
    <x v="572"/>
    <x v="390"/>
    <x v="0"/>
    <x v="10"/>
    <x v="2"/>
    <x v="101"/>
    <x v="14"/>
    <x v="288"/>
    <x v="1"/>
    <x v="1"/>
    <x v="43"/>
    <x v="0"/>
    <x v="578"/>
  </r>
  <r>
    <x v="0"/>
    <x v="93"/>
    <x v="344"/>
    <x v="26"/>
    <x v="0"/>
    <x v="126"/>
    <x v="22"/>
    <x v="555"/>
    <x v="260"/>
    <x v="23"/>
    <x v="26"/>
    <x v="156"/>
    <x v="573"/>
    <x v="573"/>
    <x v="565"/>
    <x v="0"/>
    <x v="568"/>
    <x v="573"/>
    <x v="464"/>
    <x v="0"/>
    <x v="0"/>
    <x v="0"/>
    <x v="81"/>
    <x v="14"/>
    <x v="12"/>
    <x v="12"/>
    <x v="3"/>
    <x v="1"/>
    <x v="0"/>
    <x v="579"/>
  </r>
  <r>
    <x v="0"/>
    <x v="292"/>
    <x v="345"/>
    <x v="79"/>
    <x v="50"/>
    <x v="53"/>
    <x v="0"/>
    <x v="556"/>
    <x v="35"/>
    <x v="48"/>
    <x v="429"/>
    <x v="492"/>
    <x v="574"/>
    <x v="574"/>
    <x v="566"/>
    <x v="0"/>
    <x v="569"/>
    <x v="574"/>
    <x v="465"/>
    <x v="0"/>
    <x v="0"/>
    <x v="0"/>
    <x v="102"/>
    <x v="20"/>
    <x v="30"/>
    <x v="43"/>
    <x v="3"/>
    <x v="138"/>
    <x v="0"/>
    <x v="580"/>
  </r>
  <r>
    <x v="0"/>
    <x v="93"/>
    <x v="132"/>
    <x v="11"/>
    <x v="0"/>
    <x v="357"/>
    <x v="147"/>
    <x v="557"/>
    <x v="211"/>
    <x v="271"/>
    <x v="430"/>
    <x v="493"/>
    <x v="575"/>
    <x v="575"/>
    <x v="567"/>
    <x v="0"/>
    <x v="570"/>
    <x v="575"/>
    <x v="466"/>
    <x v="0"/>
    <x v="0"/>
    <x v="0"/>
    <x v="100"/>
    <x v="19"/>
    <x v="289"/>
    <x v="10"/>
    <x v="3"/>
    <x v="1"/>
    <x v="0"/>
    <x v="581"/>
  </r>
  <r>
    <x v="0"/>
    <x v="13"/>
    <x v="317"/>
    <x v="41"/>
    <x v="8"/>
    <x v="358"/>
    <x v="148"/>
    <x v="558"/>
    <x v="261"/>
    <x v="272"/>
    <x v="431"/>
    <x v="494"/>
    <x v="576"/>
    <x v="576"/>
    <x v="568"/>
    <x v="1"/>
    <x v="571"/>
    <x v="576"/>
    <x v="358"/>
    <x v="0"/>
    <x v="0"/>
    <x v="2"/>
    <x v="16"/>
    <x v="14"/>
    <x v="290"/>
    <x v="13"/>
    <x v="3"/>
    <x v="1"/>
    <x v="0"/>
    <x v="582"/>
  </r>
  <r>
    <x v="0"/>
    <x v="29"/>
    <x v="127"/>
    <x v="85"/>
    <x v="21"/>
    <x v="359"/>
    <x v="0"/>
    <x v="559"/>
    <x v="22"/>
    <x v="46"/>
    <x v="432"/>
    <x v="495"/>
    <x v="577"/>
    <x v="577"/>
    <x v="569"/>
    <x v="0"/>
    <x v="572"/>
    <x v="577"/>
    <x v="467"/>
    <x v="0"/>
    <x v="0"/>
    <x v="3"/>
    <x v="40"/>
    <x v="7"/>
    <x v="291"/>
    <x v="13"/>
    <x v="1"/>
    <x v="1"/>
    <x v="0"/>
    <x v="583"/>
  </r>
  <r>
    <x v="0"/>
    <x v="293"/>
    <x v="280"/>
    <x v="38"/>
    <x v="0"/>
    <x v="360"/>
    <x v="94"/>
    <x v="560"/>
    <x v="127"/>
    <x v="218"/>
    <x v="14"/>
    <x v="496"/>
    <x v="578"/>
    <x v="578"/>
    <x v="570"/>
    <x v="4"/>
    <x v="573"/>
    <x v="578"/>
    <x v="363"/>
    <x v="0"/>
    <x v="0"/>
    <x v="2"/>
    <x v="80"/>
    <x v="15"/>
    <x v="13"/>
    <x v="34"/>
    <x v="1"/>
    <x v="1"/>
    <x v="0"/>
    <x v="584"/>
  </r>
  <r>
    <x v="0"/>
    <x v="49"/>
    <x v="104"/>
    <x v="5"/>
    <x v="34"/>
    <x v="322"/>
    <x v="21"/>
    <x v="561"/>
    <x v="2"/>
    <x v="127"/>
    <x v="433"/>
    <x v="497"/>
    <x v="579"/>
    <x v="579"/>
    <x v="571"/>
    <x v="0"/>
    <x v="574"/>
    <x v="579"/>
    <x v="468"/>
    <x v="0"/>
    <x v="0"/>
    <x v="0"/>
    <x v="80"/>
    <x v="19"/>
    <x v="228"/>
    <x v="27"/>
    <x v="1"/>
    <x v="7"/>
    <x v="0"/>
    <x v="585"/>
  </r>
  <r>
    <x v="0"/>
    <x v="294"/>
    <x v="304"/>
    <x v="80"/>
    <x v="78"/>
    <x v="361"/>
    <x v="149"/>
    <x v="562"/>
    <x v="21"/>
    <x v="273"/>
    <x v="434"/>
    <x v="498"/>
    <x v="580"/>
    <x v="580"/>
    <x v="572"/>
    <x v="0"/>
    <x v="575"/>
    <x v="580"/>
    <x v="431"/>
    <x v="0"/>
    <x v="0"/>
    <x v="2"/>
    <x v="98"/>
    <x v="2"/>
    <x v="292"/>
    <x v="19"/>
    <x v="3"/>
    <x v="37"/>
    <x v="0"/>
    <x v="586"/>
  </r>
  <r>
    <x v="0"/>
    <x v="84"/>
    <x v="212"/>
    <x v="106"/>
    <x v="67"/>
    <x v="27"/>
    <x v="150"/>
    <x v="563"/>
    <x v="111"/>
    <x v="274"/>
    <x v="58"/>
    <x v="499"/>
    <x v="581"/>
    <x v="581"/>
    <x v="573"/>
    <x v="1"/>
    <x v="576"/>
    <x v="581"/>
    <x v="469"/>
    <x v="0"/>
    <x v="0"/>
    <x v="4"/>
    <x v="67"/>
    <x v="25"/>
    <x v="45"/>
    <x v="4"/>
    <x v="3"/>
    <x v="103"/>
    <x v="0"/>
    <x v="587"/>
  </r>
  <r>
    <x v="0"/>
    <x v="169"/>
    <x v="67"/>
    <x v="9"/>
    <x v="121"/>
    <x v="21"/>
    <x v="57"/>
    <x v="564"/>
    <x v="262"/>
    <x v="125"/>
    <x v="40"/>
    <x v="500"/>
    <x v="582"/>
    <x v="582"/>
    <x v="574"/>
    <x v="1"/>
    <x v="577"/>
    <x v="582"/>
    <x v="470"/>
    <x v="0"/>
    <x v="0"/>
    <x v="4"/>
    <x v="74"/>
    <x v="0"/>
    <x v="6"/>
    <x v="24"/>
    <x v="1"/>
    <x v="42"/>
    <x v="0"/>
    <x v="588"/>
  </r>
  <r>
    <x v="0"/>
    <x v="38"/>
    <x v="346"/>
    <x v="30"/>
    <x v="25"/>
    <x v="265"/>
    <x v="49"/>
    <x v="565"/>
    <x v="56"/>
    <x v="86"/>
    <x v="199"/>
    <x v="501"/>
    <x v="583"/>
    <x v="583"/>
    <x v="575"/>
    <x v="1"/>
    <x v="578"/>
    <x v="583"/>
    <x v="407"/>
    <x v="0"/>
    <x v="0"/>
    <x v="2"/>
    <x v="80"/>
    <x v="23"/>
    <x v="135"/>
    <x v="10"/>
    <x v="1"/>
    <x v="38"/>
    <x v="0"/>
    <x v="589"/>
  </r>
  <r>
    <x v="0"/>
    <x v="25"/>
    <x v="114"/>
    <x v="59"/>
    <x v="18"/>
    <x v="214"/>
    <x v="25"/>
    <x v="302"/>
    <x v="9"/>
    <x v="138"/>
    <x v="246"/>
    <x v="272"/>
    <x v="310"/>
    <x v="310"/>
    <x v="305"/>
    <x v="0"/>
    <x v="307"/>
    <x v="310"/>
    <x v="286"/>
    <x v="0"/>
    <x v="0"/>
    <x v="0"/>
    <x v="32"/>
    <x v="11"/>
    <x v="13"/>
    <x v="19"/>
    <x v="1"/>
    <x v="90"/>
    <x v="0"/>
    <x v="590"/>
  </r>
  <r>
    <x v="0"/>
    <x v="200"/>
    <x v="273"/>
    <x v="23"/>
    <x v="140"/>
    <x v="362"/>
    <x v="57"/>
    <x v="566"/>
    <x v="3"/>
    <x v="99"/>
    <x v="435"/>
    <x v="502"/>
    <x v="584"/>
    <x v="584"/>
    <x v="576"/>
    <x v="0"/>
    <x v="579"/>
    <x v="584"/>
    <x v="271"/>
    <x v="0"/>
    <x v="0"/>
    <x v="4"/>
    <x v="80"/>
    <x v="22"/>
    <x v="233"/>
    <x v="1"/>
    <x v="1"/>
    <x v="1"/>
    <x v="0"/>
    <x v="591"/>
  </r>
  <r>
    <x v="0"/>
    <x v="295"/>
    <x v="235"/>
    <x v="85"/>
    <x v="65"/>
    <x v="1"/>
    <x v="14"/>
    <x v="567"/>
    <x v="263"/>
    <x v="119"/>
    <x v="436"/>
    <x v="503"/>
    <x v="585"/>
    <x v="585"/>
    <x v="577"/>
    <x v="1"/>
    <x v="580"/>
    <x v="585"/>
    <x v="471"/>
    <x v="0"/>
    <x v="0"/>
    <x v="0"/>
    <x v="67"/>
    <x v="17"/>
    <x v="30"/>
    <x v="19"/>
    <x v="1"/>
    <x v="1"/>
    <x v="0"/>
    <x v="592"/>
  </r>
  <r>
    <x v="0"/>
    <x v="113"/>
    <x v="347"/>
    <x v="117"/>
    <x v="88"/>
    <x v="283"/>
    <x v="121"/>
    <x v="4"/>
    <x v="264"/>
    <x v="275"/>
    <x v="437"/>
    <x v="504"/>
    <x v="586"/>
    <x v="586"/>
    <x v="578"/>
    <x v="0"/>
    <x v="581"/>
    <x v="586"/>
    <x v="472"/>
    <x v="0"/>
    <x v="0"/>
    <x v="5"/>
    <x v="4"/>
    <x v="4"/>
    <x v="116"/>
    <x v="7"/>
    <x v="12"/>
    <x v="57"/>
    <x v="0"/>
    <x v="593"/>
  </r>
  <r>
    <x v="0"/>
    <x v="296"/>
    <x v="155"/>
    <x v="8"/>
    <x v="189"/>
    <x v="56"/>
    <x v="14"/>
    <x v="568"/>
    <x v="265"/>
    <x v="56"/>
    <x v="438"/>
    <x v="70"/>
    <x v="587"/>
    <x v="587"/>
    <x v="579"/>
    <x v="1"/>
    <x v="582"/>
    <x v="587"/>
    <x v="473"/>
    <x v="0"/>
    <x v="0"/>
    <x v="4"/>
    <x v="76"/>
    <x v="18"/>
    <x v="293"/>
    <x v="8"/>
    <x v="3"/>
    <x v="1"/>
    <x v="0"/>
    <x v="594"/>
  </r>
  <r>
    <x v="0"/>
    <x v="93"/>
    <x v="62"/>
    <x v="47"/>
    <x v="0"/>
    <x v="363"/>
    <x v="22"/>
    <x v="569"/>
    <x v="266"/>
    <x v="23"/>
    <x v="439"/>
    <x v="505"/>
    <x v="588"/>
    <x v="588"/>
    <x v="580"/>
    <x v="1"/>
    <x v="583"/>
    <x v="588"/>
    <x v="474"/>
    <x v="0"/>
    <x v="0"/>
    <x v="0"/>
    <x v="80"/>
    <x v="7"/>
    <x v="215"/>
    <x v="23"/>
    <x v="3"/>
    <x v="1"/>
    <x v="0"/>
    <x v="595"/>
  </r>
  <r>
    <x v="0"/>
    <x v="216"/>
    <x v="348"/>
    <x v="56"/>
    <x v="149"/>
    <x v="245"/>
    <x v="71"/>
    <x v="570"/>
    <x v="179"/>
    <x v="276"/>
    <x v="125"/>
    <x v="506"/>
    <x v="589"/>
    <x v="589"/>
    <x v="581"/>
    <x v="0"/>
    <x v="584"/>
    <x v="589"/>
    <x v="475"/>
    <x v="0"/>
    <x v="0"/>
    <x v="0"/>
    <x v="81"/>
    <x v="14"/>
    <x v="88"/>
    <x v="23"/>
    <x v="1"/>
    <x v="1"/>
    <x v="0"/>
    <x v="596"/>
  </r>
  <r>
    <x v="0"/>
    <x v="292"/>
    <x v="283"/>
    <x v="76"/>
    <x v="50"/>
    <x v="1"/>
    <x v="0"/>
    <x v="571"/>
    <x v="267"/>
    <x v="52"/>
    <x v="440"/>
    <x v="316"/>
    <x v="590"/>
    <x v="590"/>
    <x v="582"/>
    <x v="0"/>
    <x v="585"/>
    <x v="590"/>
    <x v="465"/>
    <x v="0"/>
    <x v="0"/>
    <x v="2"/>
    <x v="74"/>
    <x v="0"/>
    <x v="30"/>
    <x v="33"/>
    <x v="3"/>
    <x v="43"/>
    <x v="0"/>
    <x v="597"/>
  </r>
  <r>
    <x v="0"/>
    <x v="297"/>
    <x v="142"/>
    <x v="23"/>
    <x v="190"/>
    <x v="364"/>
    <x v="41"/>
    <x v="572"/>
    <x v="71"/>
    <x v="64"/>
    <x v="188"/>
    <x v="507"/>
    <x v="591"/>
    <x v="591"/>
    <x v="583"/>
    <x v="0"/>
    <x v="586"/>
    <x v="591"/>
    <x v="85"/>
    <x v="0"/>
    <x v="0"/>
    <x v="4"/>
    <x v="74"/>
    <x v="19"/>
    <x v="46"/>
    <x v="1"/>
    <x v="1"/>
    <x v="9"/>
    <x v="0"/>
    <x v="598"/>
  </r>
  <r>
    <x v="0"/>
    <x v="274"/>
    <x v="201"/>
    <x v="73"/>
    <x v="178"/>
    <x v="365"/>
    <x v="11"/>
    <x v="573"/>
    <x v="3"/>
    <x v="69"/>
    <x v="65"/>
    <x v="508"/>
    <x v="592"/>
    <x v="592"/>
    <x v="584"/>
    <x v="3"/>
    <x v="587"/>
    <x v="592"/>
    <x v="100"/>
    <x v="0"/>
    <x v="0"/>
    <x v="4"/>
    <x v="80"/>
    <x v="9"/>
    <x v="6"/>
    <x v="12"/>
    <x v="1"/>
    <x v="48"/>
    <x v="0"/>
    <x v="599"/>
  </r>
  <r>
    <x v="0"/>
    <x v="298"/>
    <x v="202"/>
    <x v="33"/>
    <x v="191"/>
    <x v="13"/>
    <x v="0"/>
    <x v="574"/>
    <x v="18"/>
    <x v="277"/>
    <x v="441"/>
    <x v="509"/>
    <x v="593"/>
    <x v="593"/>
    <x v="585"/>
    <x v="0"/>
    <x v="588"/>
    <x v="593"/>
    <x v="317"/>
    <x v="0"/>
    <x v="0"/>
    <x v="2"/>
    <x v="90"/>
    <x v="20"/>
    <x v="210"/>
    <x v="21"/>
    <x v="1"/>
    <x v="103"/>
    <x v="0"/>
    <x v="600"/>
  </r>
  <r>
    <x v="0"/>
    <x v="88"/>
    <x v="254"/>
    <x v="38"/>
    <x v="70"/>
    <x v="26"/>
    <x v="75"/>
    <x v="575"/>
    <x v="46"/>
    <x v="133"/>
    <x v="442"/>
    <x v="31"/>
    <x v="594"/>
    <x v="594"/>
    <x v="586"/>
    <x v="0"/>
    <x v="589"/>
    <x v="594"/>
    <x v="476"/>
    <x v="0"/>
    <x v="0"/>
    <x v="0"/>
    <x v="80"/>
    <x v="10"/>
    <x v="294"/>
    <x v="27"/>
    <x v="1"/>
    <x v="68"/>
    <x v="0"/>
    <x v="601"/>
  </r>
  <r>
    <x v="0"/>
    <x v="24"/>
    <x v="98"/>
    <x v="31"/>
    <x v="17"/>
    <x v="133"/>
    <x v="25"/>
    <x v="576"/>
    <x v="98"/>
    <x v="26"/>
    <x v="443"/>
    <x v="163"/>
    <x v="595"/>
    <x v="595"/>
    <x v="587"/>
    <x v="0"/>
    <x v="590"/>
    <x v="595"/>
    <x v="477"/>
    <x v="0"/>
    <x v="0"/>
    <x v="0"/>
    <x v="80"/>
    <x v="17"/>
    <x v="30"/>
    <x v="25"/>
    <x v="15"/>
    <x v="18"/>
    <x v="0"/>
    <x v="602"/>
  </r>
  <r>
    <x v="0"/>
    <x v="272"/>
    <x v="349"/>
    <x v="31"/>
    <x v="0"/>
    <x v="127"/>
    <x v="151"/>
    <x v="577"/>
    <x v="268"/>
    <x v="278"/>
    <x v="444"/>
    <x v="510"/>
    <x v="596"/>
    <x v="596"/>
    <x v="413"/>
    <x v="1"/>
    <x v="591"/>
    <x v="596"/>
    <x v="180"/>
    <x v="0"/>
    <x v="0"/>
    <x v="4"/>
    <x v="80"/>
    <x v="24"/>
    <x v="242"/>
    <x v="5"/>
    <x v="3"/>
    <x v="1"/>
    <x v="0"/>
    <x v="603"/>
  </r>
  <r>
    <x v="1"/>
    <x v="38"/>
    <x v="350"/>
    <x v="75"/>
    <x v="25"/>
    <x v="82"/>
    <x v="9"/>
    <x v="578"/>
    <x v="269"/>
    <x v="279"/>
    <x v="445"/>
    <x v="105"/>
    <x v="597"/>
    <x v="597"/>
    <x v="588"/>
    <x v="1"/>
    <x v="592"/>
    <x v="597"/>
    <x v="378"/>
    <x v="0"/>
    <x v="0"/>
    <x v="0"/>
    <x v="103"/>
    <x v="10"/>
    <x v="21"/>
    <x v="13"/>
    <x v="1"/>
    <x v="82"/>
    <x v="0"/>
    <x v="604"/>
  </r>
  <r>
    <x v="0"/>
    <x v="299"/>
    <x v="351"/>
    <x v="34"/>
    <x v="0"/>
    <x v="363"/>
    <x v="57"/>
    <x v="579"/>
    <x v="269"/>
    <x v="192"/>
    <x v="281"/>
    <x v="505"/>
    <x v="598"/>
    <x v="598"/>
    <x v="589"/>
    <x v="6"/>
    <x v="593"/>
    <x v="598"/>
    <x v="478"/>
    <x v="0"/>
    <x v="0"/>
    <x v="0"/>
    <x v="80"/>
    <x v="11"/>
    <x v="44"/>
    <x v="9"/>
    <x v="1"/>
    <x v="139"/>
    <x v="0"/>
    <x v="605"/>
  </r>
  <r>
    <x v="0"/>
    <x v="0"/>
    <x v="249"/>
    <x v="94"/>
    <x v="0"/>
    <x v="366"/>
    <x v="35"/>
    <x v="580"/>
    <x v="109"/>
    <x v="280"/>
    <x v="446"/>
    <x v="511"/>
    <x v="599"/>
    <x v="599"/>
    <x v="590"/>
    <x v="0"/>
    <x v="594"/>
    <x v="599"/>
    <x v="328"/>
    <x v="0"/>
    <x v="0"/>
    <x v="0"/>
    <x v="104"/>
    <x v="30"/>
    <x v="212"/>
    <x v="32"/>
    <x v="1"/>
    <x v="1"/>
    <x v="0"/>
    <x v="606"/>
  </r>
  <r>
    <x v="0"/>
    <x v="78"/>
    <x v="214"/>
    <x v="16"/>
    <x v="0"/>
    <x v="367"/>
    <x v="152"/>
    <x v="581"/>
    <x v="270"/>
    <x v="281"/>
    <x v="384"/>
    <x v="512"/>
    <x v="600"/>
    <x v="600"/>
    <x v="591"/>
    <x v="4"/>
    <x v="595"/>
    <x v="600"/>
    <x v="479"/>
    <x v="0"/>
    <x v="0"/>
    <x v="0"/>
    <x v="80"/>
    <x v="5"/>
    <x v="219"/>
    <x v="22"/>
    <x v="1"/>
    <x v="38"/>
    <x v="0"/>
    <x v="607"/>
  </r>
  <r>
    <x v="0"/>
    <x v="300"/>
    <x v="344"/>
    <x v="80"/>
    <x v="52"/>
    <x v="211"/>
    <x v="22"/>
    <x v="582"/>
    <x v="271"/>
    <x v="78"/>
    <x v="447"/>
    <x v="513"/>
    <x v="601"/>
    <x v="601"/>
    <x v="592"/>
    <x v="1"/>
    <x v="596"/>
    <x v="601"/>
    <x v="480"/>
    <x v="0"/>
    <x v="0"/>
    <x v="0"/>
    <x v="80"/>
    <x v="11"/>
    <x v="285"/>
    <x v="22"/>
    <x v="1"/>
    <x v="40"/>
    <x v="0"/>
    <x v="608"/>
  </r>
  <r>
    <x v="0"/>
    <x v="103"/>
    <x v="293"/>
    <x v="38"/>
    <x v="81"/>
    <x v="368"/>
    <x v="11"/>
    <x v="583"/>
    <x v="3"/>
    <x v="156"/>
    <x v="259"/>
    <x v="514"/>
    <x v="602"/>
    <x v="602"/>
    <x v="593"/>
    <x v="0"/>
    <x v="597"/>
    <x v="602"/>
    <x v="481"/>
    <x v="0"/>
    <x v="0"/>
    <x v="4"/>
    <x v="80"/>
    <x v="20"/>
    <x v="44"/>
    <x v="22"/>
    <x v="1"/>
    <x v="1"/>
    <x v="0"/>
    <x v="609"/>
  </r>
  <r>
    <x v="0"/>
    <x v="69"/>
    <x v="103"/>
    <x v="46"/>
    <x v="54"/>
    <x v="279"/>
    <x v="10"/>
    <x v="584"/>
    <x v="272"/>
    <x v="10"/>
    <x v="448"/>
    <x v="515"/>
    <x v="603"/>
    <x v="603"/>
    <x v="594"/>
    <x v="8"/>
    <x v="598"/>
    <x v="603"/>
    <x v="91"/>
    <x v="0"/>
    <x v="1"/>
    <x v="0"/>
    <x v="80"/>
    <x v="1"/>
    <x v="295"/>
    <x v="16"/>
    <x v="1"/>
    <x v="61"/>
    <x v="0"/>
    <x v="610"/>
  </r>
  <r>
    <x v="0"/>
    <x v="223"/>
    <x v="352"/>
    <x v="16"/>
    <x v="37"/>
    <x v="369"/>
    <x v="2"/>
    <x v="585"/>
    <x v="273"/>
    <x v="75"/>
    <x v="300"/>
    <x v="516"/>
    <x v="604"/>
    <x v="604"/>
    <x v="595"/>
    <x v="1"/>
    <x v="599"/>
    <x v="604"/>
    <x v="119"/>
    <x v="0"/>
    <x v="0"/>
    <x v="0"/>
    <x v="80"/>
    <x v="13"/>
    <x v="202"/>
    <x v="15"/>
    <x v="1"/>
    <x v="1"/>
    <x v="0"/>
    <x v="611"/>
  </r>
  <r>
    <x v="0"/>
    <x v="84"/>
    <x v="112"/>
    <x v="70"/>
    <x v="67"/>
    <x v="124"/>
    <x v="30"/>
    <x v="586"/>
    <x v="200"/>
    <x v="50"/>
    <x v="449"/>
    <x v="517"/>
    <x v="605"/>
    <x v="605"/>
    <x v="596"/>
    <x v="4"/>
    <x v="600"/>
    <x v="605"/>
    <x v="482"/>
    <x v="0"/>
    <x v="0"/>
    <x v="0"/>
    <x v="80"/>
    <x v="10"/>
    <x v="30"/>
    <x v="43"/>
    <x v="1"/>
    <x v="1"/>
    <x v="0"/>
    <x v="612"/>
  </r>
  <r>
    <x v="0"/>
    <x v="133"/>
    <x v="342"/>
    <x v="38"/>
    <x v="98"/>
    <x v="59"/>
    <x v="25"/>
    <x v="587"/>
    <x v="75"/>
    <x v="82"/>
    <x v="450"/>
    <x v="518"/>
    <x v="606"/>
    <x v="606"/>
    <x v="597"/>
    <x v="4"/>
    <x v="601"/>
    <x v="606"/>
    <x v="483"/>
    <x v="0"/>
    <x v="0"/>
    <x v="0"/>
    <x v="80"/>
    <x v="19"/>
    <x v="296"/>
    <x v="23"/>
    <x v="1"/>
    <x v="140"/>
    <x v="0"/>
    <x v="613"/>
  </r>
  <r>
    <x v="0"/>
    <x v="301"/>
    <x v="179"/>
    <x v="18"/>
    <x v="171"/>
    <x v="210"/>
    <x v="25"/>
    <x v="588"/>
    <x v="274"/>
    <x v="138"/>
    <x v="451"/>
    <x v="519"/>
    <x v="607"/>
    <x v="607"/>
    <x v="598"/>
    <x v="0"/>
    <x v="602"/>
    <x v="607"/>
    <x v="213"/>
    <x v="0"/>
    <x v="1"/>
    <x v="4"/>
    <x v="81"/>
    <x v="12"/>
    <x v="297"/>
    <x v="31"/>
    <x v="1"/>
    <x v="1"/>
    <x v="0"/>
    <x v="614"/>
  </r>
  <r>
    <x v="0"/>
    <x v="292"/>
    <x v="353"/>
    <x v="55"/>
    <x v="50"/>
    <x v="370"/>
    <x v="153"/>
    <x v="589"/>
    <x v="75"/>
    <x v="282"/>
    <x v="452"/>
    <x v="520"/>
    <x v="608"/>
    <x v="608"/>
    <x v="599"/>
    <x v="1"/>
    <x v="603"/>
    <x v="608"/>
    <x v="482"/>
    <x v="0"/>
    <x v="0"/>
    <x v="0"/>
    <x v="80"/>
    <x v="19"/>
    <x v="298"/>
    <x v="28"/>
    <x v="15"/>
    <x v="141"/>
    <x v="0"/>
    <x v="615"/>
  </r>
  <r>
    <x v="0"/>
    <x v="302"/>
    <x v="354"/>
    <x v="76"/>
    <x v="192"/>
    <x v="371"/>
    <x v="15"/>
    <x v="590"/>
    <x v="275"/>
    <x v="283"/>
    <x v="453"/>
    <x v="521"/>
    <x v="609"/>
    <x v="609"/>
    <x v="600"/>
    <x v="1"/>
    <x v="604"/>
    <x v="609"/>
    <x v="484"/>
    <x v="0"/>
    <x v="0"/>
    <x v="4"/>
    <x v="80"/>
    <x v="3"/>
    <x v="299"/>
    <x v="21"/>
    <x v="1"/>
    <x v="4"/>
    <x v="0"/>
    <x v="616"/>
  </r>
  <r>
    <x v="0"/>
    <x v="239"/>
    <x v="355"/>
    <x v="16"/>
    <x v="160"/>
    <x v="372"/>
    <x v="154"/>
    <x v="591"/>
    <x v="276"/>
    <x v="284"/>
    <x v="454"/>
    <x v="522"/>
    <x v="610"/>
    <x v="610"/>
    <x v="601"/>
    <x v="6"/>
    <x v="605"/>
    <x v="610"/>
    <x v="485"/>
    <x v="0"/>
    <x v="0"/>
    <x v="0"/>
    <x v="74"/>
    <x v="3"/>
    <x v="300"/>
    <x v="18"/>
    <x v="1"/>
    <x v="0"/>
    <x v="0"/>
    <x v="617"/>
  </r>
  <r>
    <x v="0"/>
    <x v="303"/>
    <x v="356"/>
    <x v="31"/>
    <x v="167"/>
    <x v="373"/>
    <x v="57"/>
    <x v="592"/>
    <x v="269"/>
    <x v="99"/>
    <x v="271"/>
    <x v="523"/>
    <x v="611"/>
    <x v="611"/>
    <x v="602"/>
    <x v="0"/>
    <x v="606"/>
    <x v="611"/>
    <x v="216"/>
    <x v="0"/>
    <x v="0"/>
    <x v="4"/>
    <x v="81"/>
    <x v="19"/>
    <x v="183"/>
    <x v="22"/>
    <x v="1"/>
    <x v="142"/>
    <x v="0"/>
    <x v="618"/>
  </r>
  <r>
    <x v="0"/>
    <x v="304"/>
    <x v="357"/>
    <x v="38"/>
    <x v="78"/>
    <x v="13"/>
    <x v="8"/>
    <x v="593"/>
    <x v="23"/>
    <x v="35"/>
    <x v="455"/>
    <x v="142"/>
    <x v="612"/>
    <x v="612"/>
    <x v="603"/>
    <x v="4"/>
    <x v="607"/>
    <x v="612"/>
    <x v="486"/>
    <x v="0"/>
    <x v="1"/>
    <x v="4"/>
    <x v="82"/>
    <x v="10"/>
    <x v="31"/>
    <x v="12"/>
    <x v="1"/>
    <x v="16"/>
    <x v="0"/>
    <x v="619"/>
  </r>
  <r>
    <x v="0"/>
    <x v="131"/>
    <x v="285"/>
    <x v="42"/>
    <x v="97"/>
    <x v="288"/>
    <x v="0"/>
    <x v="594"/>
    <x v="277"/>
    <x v="285"/>
    <x v="456"/>
    <x v="379"/>
    <x v="613"/>
    <x v="613"/>
    <x v="604"/>
    <x v="3"/>
    <x v="608"/>
    <x v="613"/>
    <x v="316"/>
    <x v="0"/>
    <x v="0"/>
    <x v="4"/>
    <x v="80"/>
    <x v="19"/>
    <x v="301"/>
    <x v="56"/>
    <x v="1"/>
    <x v="143"/>
    <x v="0"/>
    <x v="620"/>
  </r>
  <r>
    <x v="0"/>
    <x v="305"/>
    <x v="358"/>
    <x v="43"/>
    <x v="193"/>
    <x v="374"/>
    <x v="155"/>
    <x v="595"/>
    <x v="103"/>
    <x v="286"/>
    <x v="457"/>
    <x v="524"/>
    <x v="614"/>
    <x v="614"/>
    <x v="605"/>
    <x v="1"/>
    <x v="609"/>
    <x v="614"/>
    <x v="230"/>
    <x v="0"/>
    <x v="0"/>
    <x v="4"/>
    <x v="80"/>
    <x v="19"/>
    <x v="302"/>
    <x v="57"/>
    <x v="1"/>
    <x v="144"/>
    <x v="0"/>
    <x v="621"/>
  </r>
  <r>
    <x v="0"/>
    <x v="306"/>
    <x v="212"/>
    <x v="55"/>
    <x v="89"/>
    <x v="195"/>
    <x v="2"/>
    <x v="596"/>
    <x v="28"/>
    <x v="130"/>
    <x v="458"/>
    <x v="525"/>
    <x v="615"/>
    <x v="615"/>
    <x v="606"/>
    <x v="0"/>
    <x v="610"/>
    <x v="615"/>
    <x v="189"/>
    <x v="0"/>
    <x v="0"/>
    <x v="4"/>
    <x v="80"/>
    <x v="20"/>
    <x v="92"/>
    <x v="27"/>
    <x v="1"/>
    <x v="145"/>
    <x v="0"/>
    <x v="622"/>
  </r>
  <r>
    <x v="0"/>
    <x v="307"/>
    <x v="225"/>
    <x v="54"/>
    <x v="114"/>
    <x v="290"/>
    <x v="35"/>
    <x v="597"/>
    <x v="278"/>
    <x v="287"/>
    <x v="459"/>
    <x v="526"/>
    <x v="616"/>
    <x v="616"/>
    <x v="607"/>
    <x v="0"/>
    <x v="611"/>
    <x v="616"/>
    <x v="400"/>
    <x v="0"/>
    <x v="0"/>
    <x v="2"/>
    <x v="80"/>
    <x v="18"/>
    <x v="34"/>
    <x v="5"/>
    <x v="1"/>
    <x v="43"/>
    <x v="0"/>
    <x v="623"/>
  </r>
  <r>
    <x v="0"/>
    <x v="155"/>
    <x v="359"/>
    <x v="76"/>
    <x v="85"/>
    <x v="375"/>
    <x v="35"/>
    <x v="598"/>
    <x v="279"/>
    <x v="288"/>
    <x v="297"/>
    <x v="527"/>
    <x v="617"/>
    <x v="617"/>
    <x v="608"/>
    <x v="1"/>
    <x v="612"/>
    <x v="617"/>
    <x v="487"/>
    <x v="0"/>
    <x v="0"/>
    <x v="2"/>
    <x v="80"/>
    <x v="9"/>
    <x v="30"/>
    <x v="23"/>
    <x v="2"/>
    <x v="9"/>
    <x v="0"/>
    <x v="624"/>
  </r>
  <r>
    <x v="0"/>
    <x v="159"/>
    <x v="344"/>
    <x v="82"/>
    <x v="0"/>
    <x v="376"/>
    <x v="8"/>
    <x v="599"/>
    <x v="80"/>
    <x v="8"/>
    <x v="460"/>
    <x v="528"/>
    <x v="618"/>
    <x v="618"/>
    <x v="609"/>
    <x v="1"/>
    <x v="613"/>
    <x v="618"/>
    <x v="488"/>
    <x v="0"/>
    <x v="0"/>
    <x v="4"/>
    <x v="80"/>
    <x v="2"/>
    <x v="303"/>
    <x v="28"/>
    <x v="1"/>
    <x v="59"/>
    <x v="0"/>
    <x v="625"/>
  </r>
  <r>
    <x v="0"/>
    <x v="308"/>
    <x v="148"/>
    <x v="11"/>
    <x v="125"/>
    <x v="52"/>
    <x v="2"/>
    <x v="600"/>
    <x v="118"/>
    <x v="60"/>
    <x v="461"/>
    <x v="66"/>
    <x v="619"/>
    <x v="619"/>
    <x v="610"/>
    <x v="4"/>
    <x v="614"/>
    <x v="619"/>
    <x v="489"/>
    <x v="0"/>
    <x v="0"/>
    <x v="2"/>
    <x v="80"/>
    <x v="14"/>
    <x v="30"/>
    <x v="9"/>
    <x v="3"/>
    <x v="1"/>
    <x v="0"/>
    <x v="626"/>
  </r>
  <r>
    <x v="0"/>
    <x v="309"/>
    <x v="171"/>
    <x v="38"/>
    <x v="194"/>
    <x v="377"/>
    <x v="156"/>
    <x v="601"/>
    <x v="180"/>
    <x v="289"/>
    <x v="462"/>
    <x v="529"/>
    <x v="620"/>
    <x v="620"/>
    <x v="611"/>
    <x v="1"/>
    <x v="615"/>
    <x v="620"/>
    <x v="490"/>
    <x v="0"/>
    <x v="1"/>
    <x v="4"/>
    <x v="80"/>
    <x v="7"/>
    <x v="40"/>
    <x v="39"/>
    <x v="1"/>
    <x v="146"/>
    <x v="0"/>
    <x v="627"/>
  </r>
  <r>
    <x v="0"/>
    <x v="310"/>
    <x v="87"/>
    <x v="69"/>
    <x v="114"/>
    <x v="243"/>
    <x v="57"/>
    <x v="602"/>
    <x v="280"/>
    <x v="237"/>
    <x v="463"/>
    <x v="530"/>
    <x v="621"/>
    <x v="621"/>
    <x v="612"/>
    <x v="1"/>
    <x v="616"/>
    <x v="621"/>
    <x v="491"/>
    <x v="0"/>
    <x v="0"/>
    <x v="4"/>
    <x v="95"/>
    <x v="9"/>
    <x v="30"/>
    <x v="10"/>
    <x v="1"/>
    <x v="139"/>
    <x v="0"/>
    <x v="628"/>
  </r>
  <r>
    <x v="0"/>
    <x v="200"/>
    <x v="150"/>
    <x v="77"/>
    <x v="140"/>
    <x v="94"/>
    <x v="157"/>
    <x v="603"/>
    <x v="1"/>
    <x v="290"/>
    <x v="464"/>
    <x v="531"/>
    <x v="622"/>
    <x v="622"/>
    <x v="613"/>
    <x v="0"/>
    <x v="617"/>
    <x v="622"/>
    <x v="492"/>
    <x v="0"/>
    <x v="0"/>
    <x v="0"/>
    <x v="80"/>
    <x v="11"/>
    <x v="121"/>
    <x v="39"/>
    <x v="1"/>
    <x v="85"/>
    <x v="0"/>
    <x v="629"/>
  </r>
  <r>
    <x v="0"/>
    <x v="311"/>
    <x v="340"/>
    <x v="23"/>
    <x v="45"/>
    <x v="378"/>
    <x v="2"/>
    <x v="604"/>
    <x v="65"/>
    <x v="130"/>
    <x v="301"/>
    <x v="532"/>
    <x v="623"/>
    <x v="623"/>
    <x v="614"/>
    <x v="0"/>
    <x v="618"/>
    <x v="623"/>
    <x v="493"/>
    <x v="0"/>
    <x v="0"/>
    <x v="0"/>
    <x v="76"/>
    <x v="19"/>
    <x v="203"/>
    <x v="21"/>
    <x v="1"/>
    <x v="1"/>
    <x v="0"/>
    <x v="630"/>
  </r>
  <r>
    <x v="0"/>
    <x v="312"/>
    <x v="360"/>
    <x v="23"/>
    <x v="41"/>
    <x v="9"/>
    <x v="20"/>
    <x v="605"/>
    <x v="78"/>
    <x v="83"/>
    <x v="71"/>
    <x v="533"/>
    <x v="624"/>
    <x v="624"/>
    <x v="615"/>
    <x v="3"/>
    <x v="619"/>
    <x v="624"/>
    <x v="259"/>
    <x v="0"/>
    <x v="0"/>
    <x v="0"/>
    <x v="76"/>
    <x v="5"/>
    <x v="53"/>
    <x v="41"/>
    <x v="1"/>
    <x v="5"/>
    <x v="0"/>
    <x v="631"/>
  </r>
  <r>
    <x v="0"/>
    <x v="189"/>
    <x v="142"/>
    <x v="23"/>
    <x v="0"/>
    <x v="379"/>
    <x v="13"/>
    <x v="606"/>
    <x v="168"/>
    <x v="158"/>
    <x v="11"/>
    <x v="534"/>
    <x v="625"/>
    <x v="625"/>
    <x v="616"/>
    <x v="0"/>
    <x v="620"/>
    <x v="625"/>
    <x v="494"/>
    <x v="0"/>
    <x v="0"/>
    <x v="4"/>
    <x v="76"/>
    <x v="18"/>
    <x v="10"/>
    <x v="2"/>
    <x v="1"/>
    <x v="1"/>
    <x v="0"/>
    <x v="632"/>
  </r>
  <r>
    <x v="0"/>
    <x v="270"/>
    <x v="40"/>
    <x v="101"/>
    <x v="177"/>
    <x v="380"/>
    <x v="134"/>
    <x v="607"/>
    <x v="233"/>
    <x v="252"/>
    <x v="390"/>
    <x v="535"/>
    <x v="626"/>
    <x v="626"/>
    <x v="617"/>
    <x v="0"/>
    <x v="621"/>
    <x v="626"/>
    <x v="495"/>
    <x v="0"/>
    <x v="0"/>
    <x v="2"/>
    <x v="99"/>
    <x v="5"/>
    <x v="12"/>
    <x v="16"/>
    <x v="3"/>
    <x v="77"/>
    <x v="0"/>
    <x v="633"/>
  </r>
  <r>
    <x v="0"/>
    <x v="313"/>
    <x v="361"/>
    <x v="72"/>
    <x v="195"/>
    <x v="381"/>
    <x v="114"/>
    <x v="608"/>
    <x v="281"/>
    <x v="291"/>
    <x v="465"/>
    <x v="536"/>
    <x v="627"/>
    <x v="627"/>
    <x v="618"/>
    <x v="1"/>
    <x v="622"/>
    <x v="627"/>
    <x v="496"/>
    <x v="0"/>
    <x v="0"/>
    <x v="4"/>
    <x v="76"/>
    <x v="16"/>
    <x v="304"/>
    <x v="23"/>
    <x v="1"/>
    <x v="147"/>
    <x v="0"/>
    <x v="634"/>
  </r>
  <r>
    <x v="0"/>
    <x v="314"/>
    <x v="89"/>
    <x v="31"/>
    <x v="196"/>
    <x v="23"/>
    <x v="21"/>
    <x v="609"/>
    <x v="125"/>
    <x v="22"/>
    <x v="65"/>
    <x v="537"/>
    <x v="628"/>
    <x v="628"/>
    <x v="619"/>
    <x v="0"/>
    <x v="623"/>
    <x v="628"/>
    <x v="453"/>
    <x v="0"/>
    <x v="0"/>
    <x v="4"/>
    <x v="76"/>
    <x v="2"/>
    <x v="6"/>
    <x v="21"/>
    <x v="1"/>
    <x v="26"/>
    <x v="0"/>
    <x v="635"/>
  </r>
  <r>
    <x v="0"/>
    <x v="315"/>
    <x v="224"/>
    <x v="8"/>
    <x v="197"/>
    <x v="382"/>
    <x v="158"/>
    <x v="610"/>
    <x v="282"/>
    <x v="292"/>
    <x v="466"/>
    <x v="538"/>
    <x v="629"/>
    <x v="629"/>
    <x v="620"/>
    <x v="4"/>
    <x v="624"/>
    <x v="629"/>
    <x v="497"/>
    <x v="0"/>
    <x v="13"/>
    <x v="4"/>
    <x v="80"/>
    <x v="0"/>
    <x v="305"/>
    <x v="13"/>
    <x v="1"/>
    <x v="5"/>
    <x v="0"/>
    <x v="636"/>
  </r>
  <r>
    <x v="0"/>
    <x v="316"/>
    <x v="211"/>
    <x v="61"/>
    <x v="174"/>
    <x v="29"/>
    <x v="0"/>
    <x v="611"/>
    <x v="67"/>
    <x v="84"/>
    <x v="467"/>
    <x v="36"/>
    <x v="630"/>
    <x v="630"/>
    <x v="621"/>
    <x v="2"/>
    <x v="625"/>
    <x v="630"/>
    <x v="127"/>
    <x v="0"/>
    <x v="0"/>
    <x v="0"/>
    <x v="48"/>
    <x v="15"/>
    <x v="306"/>
    <x v="19"/>
    <x v="3"/>
    <x v="1"/>
    <x v="0"/>
    <x v="637"/>
  </r>
  <r>
    <x v="0"/>
    <x v="307"/>
    <x v="179"/>
    <x v="70"/>
    <x v="114"/>
    <x v="248"/>
    <x v="159"/>
    <x v="612"/>
    <x v="127"/>
    <x v="293"/>
    <x v="468"/>
    <x v="539"/>
    <x v="631"/>
    <x v="631"/>
    <x v="622"/>
    <x v="3"/>
    <x v="626"/>
    <x v="631"/>
    <x v="498"/>
    <x v="0"/>
    <x v="0"/>
    <x v="4"/>
    <x v="105"/>
    <x v="10"/>
    <x v="19"/>
    <x v="18"/>
    <x v="1"/>
    <x v="7"/>
    <x v="0"/>
    <x v="638"/>
  </r>
  <r>
    <x v="0"/>
    <x v="159"/>
    <x v="306"/>
    <x v="68"/>
    <x v="0"/>
    <x v="134"/>
    <x v="21"/>
    <x v="613"/>
    <x v="283"/>
    <x v="210"/>
    <x v="274"/>
    <x v="268"/>
    <x v="632"/>
    <x v="632"/>
    <x v="623"/>
    <x v="1"/>
    <x v="627"/>
    <x v="632"/>
    <x v="373"/>
    <x v="0"/>
    <x v="0"/>
    <x v="4"/>
    <x v="76"/>
    <x v="15"/>
    <x v="117"/>
    <x v="0"/>
    <x v="1"/>
    <x v="1"/>
    <x v="0"/>
    <x v="639"/>
  </r>
  <r>
    <x v="0"/>
    <x v="317"/>
    <x v="305"/>
    <x v="85"/>
    <x v="137"/>
    <x v="383"/>
    <x v="160"/>
    <x v="614"/>
    <x v="284"/>
    <x v="294"/>
    <x v="469"/>
    <x v="540"/>
    <x v="633"/>
    <x v="633"/>
    <x v="624"/>
    <x v="0"/>
    <x v="628"/>
    <x v="633"/>
    <x v="277"/>
    <x v="0"/>
    <x v="0"/>
    <x v="0"/>
    <x v="4"/>
    <x v="6"/>
    <x v="85"/>
    <x v="2"/>
    <x v="1"/>
    <x v="85"/>
    <x v="0"/>
    <x v="640"/>
  </r>
  <r>
    <x v="0"/>
    <x v="18"/>
    <x v="282"/>
    <x v="57"/>
    <x v="0"/>
    <x v="250"/>
    <x v="19"/>
    <x v="615"/>
    <x v="65"/>
    <x v="20"/>
    <x v="470"/>
    <x v="541"/>
    <x v="634"/>
    <x v="634"/>
    <x v="625"/>
    <x v="1"/>
    <x v="629"/>
    <x v="634"/>
    <x v="294"/>
    <x v="0"/>
    <x v="0"/>
    <x v="4"/>
    <x v="80"/>
    <x v="8"/>
    <x v="307"/>
    <x v="1"/>
    <x v="1"/>
    <x v="1"/>
    <x v="0"/>
    <x v="641"/>
  </r>
  <r>
    <x v="0"/>
    <x v="190"/>
    <x v="136"/>
    <x v="37"/>
    <x v="135"/>
    <x v="64"/>
    <x v="134"/>
    <x v="616"/>
    <x v="125"/>
    <x v="252"/>
    <x v="471"/>
    <x v="143"/>
    <x v="635"/>
    <x v="635"/>
    <x v="626"/>
    <x v="4"/>
    <x v="630"/>
    <x v="635"/>
    <x v="434"/>
    <x v="0"/>
    <x v="0"/>
    <x v="0"/>
    <x v="4"/>
    <x v="5"/>
    <x v="30"/>
    <x v="18"/>
    <x v="3"/>
    <x v="1"/>
    <x v="0"/>
    <x v="642"/>
  </r>
  <r>
    <x v="0"/>
    <x v="204"/>
    <x v="289"/>
    <x v="72"/>
    <x v="144"/>
    <x v="384"/>
    <x v="22"/>
    <x v="617"/>
    <x v="275"/>
    <x v="295"/>
    <x v="143"/>
    <x v="542"/>
    <x v="636"/>
    <x v="636"/>
    <x v="627"/>
    <x v="0"/>
    <x v="631"/>
    <x v="636"/>
    <x v="217"/>
    <x v="0"/>
    <x v="0"/>
    <x v="4"/>
    <x v="99"/>
    <x v="3"/>
    <x v="13"/>
    <x v="18"/>
    <x v="1"/>
    <x v="148"/>
    <x v="0"/>
    <x v="643"/>
  </r>
  <r>
    <x v="0"/>
    <x v="230"/>
    <x v="291"/>
    <x v="18"/>
    <x v="151"/>
    <x v="336"/>
    <x v="161"/>
    <x v="618"/>
    <x v="120"/>
    <x v="296"/>
    <x v="472"/>
    <x v="543"/>
    <x v="637"/>
    <x v="637"/>
    <x v="628"/>
    <x v="1"/>
    <x v="632"/>
    <x v="637"/>
    <x v="459"/>
    <x v="0"/>
    <x v="0"/>
    <x v="0"/>
    <x v="103"/>
    <x v="15"/>
    <x v="267"/>
    <x v="5"/>
    <x v="1"/>
    <x v="1"/>
    <x v="0"/>
    <x v="644"/>
  </r>
  <r>
    <x v="0"/>
    <x v="113"/>
    <x v="169"/>
    <x v="119"/>
    <x v="88"/>
    <x v="385"/>
    <x v="162"/>
    <x v="4"/>
    <x v="125"/>
    <x v="297"/>
    <x v="473"/>
    <x v="544"/>
    <x v="638"/>
    <x v="638"/>
    <x v="629"/>
    <x v="1"/>
    <x v="633"/>
    <x v="638"/>
    <x v="499"/>
    <x v="0"/>
    <x v="0"/>
    <x v="6"/>
    <x v="4"/>
    <x v="4"/>
    <x v="308"/>
    <x v="38"/>
    <x v="12"/>
    <x v="1"/>
    <x v="0"/>
    <x v="645"/>
  </r>
  <r>
    <x v="0"/>
    <x v="318"/>
    <x v="273"/>
    <x v="61"/>
    <x v="47"/>
    <x v="331"/>
    <x v="145"/>
    <x v="619"/>
    <x v="178"/>
    <x v="269"/>
    <x v="474"/>
    <x v="489"/>
    <x v="639"/>
    <x v="639"/>
    <x v="630"/>
    <x v="0"/>
    <x v="634"/>
    <x v="639"/>
    <x v="209"/>
    <x v="0"/>
    <x v="0"/>
    <x v="0"/>
    <x v="103"/>
    <x v="20"/>
    <x v="117"/>
    <x v="15"/>
    <x v="1"/>
    <x v="1"/>
    <x v="0"/>
    <x v="646"/>
  </r>
  <r>
    <x v="0"/>
    <x v="319"/>
    <x v="362"/>
    <x v="58"/>
    <x v="198"/>
    <x v="386"/>
    <x v="21"/>
    <x v="620"/>
    <x v="285"/>
    <x v="298"/>
    <x v="475"/>
    <x v="545"/>
    <x v="640"/>
    <x v="640"/>
    <x v="631"/>
    <x v="0"/>
    <x v="635"/>
    <x v="640"/>
    <x v="149"/>
    <x v="0"/>
    <x v="1"/>
    <x v="0"/>
    <x v="82"/>
    <x v="1"/>
    <x v="309"/>
    <x v="28"/>
    <x v="1"/>
    <x v="1"/>
    <x v="0"/>
    <x v="647"/>
  </r>
  <r>
    <x v="0"/>
    <x v="38"/>
    <x v="66"/>
    <x v="1"/>
    <x v="25"/>
    <x v="47"/>
    <x v="10"/>
    <x v="621"/>
    <x v="108"/>
    <x v="33"/>
    <x v="84"/>
    <x v="546"/>
    <x v="641"/>
    <x v="641"/>
    <x v="632"/>
    <x v="4"/>
    <x v="636"/>
    <x v="641"/>
    <x v="500"/>
    <x v="0"/>
    <x v="0"/>
    <x v="4"/>
    <x v="80"/>
    <x v="20"/>
    <x v="20"/>
    <x v="35"/>
    <x v="3"/>
    <x v="31"/>
    <x v="0"/>
    <x v="648"/>
  </r>
  <r>
    <x v="0"/>
    <x v="320"/>
    <x v="210"/>
    <x v="5"/>
    <x v="199"/>
    <x v="26"/>
    <x v="22"/>
    <x v="622"/>
    <x v="28"/>
    <x v="299"/>
    <x v="143"/>
    <x v="31"/>
    <x v="642"/>
    <x v="642"/>
    <x v="633"/>
    <x v="1"/>
    <x v="637"/>
    <x v="642"/>
    <x v="324"/>
    <x v="0"/>
    <x v="0"/>
    <x v="0"/>
    <x v="103"/>
    <x v="11"/>
    <x v="13"/>
    <x v="12"/>
    <x v="1"/>
    <x v="121"/>
    <x v="0"/>
    <x v="649"/>
  </r>
  <r>
    <x v="0"/>
    <x v="220"/>
    <x v="290"/>
    <x v="46"/>
    <x v="152"/>
    <x v="387"/>
    <x v="35"/>
    <x v="623"/>
    <x v="286"/>
    <x v="65"/>
    <x v="476"/>
    <x v="547"/>
    <x v="643"/>
    <x v="643"/>
    <x v="634"/>
    <x v="1"/>
    <x v="638"/>
    <x v="643"/>
    <x v="345"/>
    <x v="0"/>
    <x v="0"/>
    <x v="0"/>
    <x v="80"/>
    <x v="21"/>
    <x v="310"/>
    <x v="21"/>
    <x v="15"/>
    <x v="1"/>
    <x v="0"/>
    <x v="650"/>
  </r>
  <r>
    <x v="0"/>
    <x v="175"/>
    <x v="229"/>
    <x v="33"/>
    <x v="126"/>
    <x v="388"/>
    <x v="0"/>
    <x v="624"/>
    <x v="29"/>
    <x v="300"/>
    <x v="265"/>
    <x v="548"/>
    <x v="644"/>
    <x v="644"/>
    <x v="635"/>
    <x v="0"/>
    <x v="639"/>
    <x v="644"/>
    <x v="501"/>
    <x v="0"/>
    <x v="0"/>
    <x v="2"/>
    <x v="106"/>
    <x v="19"/>
    <x v="179"/>
    <x v="32"/>
    <x v="3"/>
    <x v="67"/>
    <x v="0"/>
    <x v="651"/>
  </r>
  <r>
    <x v="0"/>
    <x v="321"/>
    <x v="177"/>
    <x v="16"/>
    <x v="200"/>
    <x v="389"/>
    <x v="2"/>
    <x v="625"/>
    <x v="251"/>
    <x v="130"/>
    <x v="97"/>
    <x v="549"/>
    <x v="645"/>
    <x v="645"/>
    <x v="636"/>
    <x v="1"/>
    <x v="640"/>
    <x v="645"/>
    <x v="362"/>
    <x v="0"/>
    <x v="0"/>
    <x v="4"/>
    <x v="76"/>
    <x v="17"/>
    <x v="70"/>
    <x v="34"/>
    <x v="1"/>
    <x v="86"/>
    <x v="0"/>
    <x v="652"/>
  </r>
  <r>
    <x v="0"/>
    <x v="38"/>
    <x v="363"/>
    <x v="13"/>
    <x v="25"/>
    <x v="390"/>
    <x v="29"/>
    <x v="626"/>
    <x v="256"/>
    <x v="58"/>
    <x v="326"/>
    <x v="550"/>
    <x v="646"/>
    <x v="646"/>
    <x v="637"/>
    <x v="0"/>
    <x v="641"/>
    <x v="646"/>
    <x v="62"/>
    <x v="0"/>
    <x v="0"/>
    <x v="0"/>
    <x v="48"/>
    <x v="3"/>
    <x v="117"/>
    <x v="38"/>
    <x v="1"/>
    <x v="73"/>
    <x v="0"/>
    <x v="653"/>
  </r>
  <r>
    <x v="0"/>
    <x v="44"/>
    <x v="13"/>
    <x v="16"/>
    <x v="0"/>
    <x v="345"/>
    <x v="11"/>
    <x v="627"/>
    <x v="46"/>
    <x v="63"/>
    <x v="477"/>
    <x v="551"/>
    <x v="647"/>
    <x v="647"/>
    <x v="638"/>
    <x v="3"/>
    <x v="642"/>
    <x v="647"/>
    <x v="502"/>
    <x v="0"/>
    <x v="0"/>
    <x v="4"/>
    <x v="107"/>
    <x v="15"/>
    <x v="311"/>
    <x v="50"/>
    <x v="1"/>
    <x v="68"/>
    <x v="0"/>
    <x v="654"/>
  </r>
  <r>
    <x v="0"/>
    <x v="84"/>
    <x v="171"/>
    <x v="35"/>
    <x v="67"/>
    <x v="391"/>
    <x v="10"/>
    <x v="628"/>
    <x v="172"/>
    <x v="33"/>
    <x v="478"/>
    <x v="552"/>
    <x v="648"/>
    <x v="648"/>
    <x v="639"/>
    <x v="0"/>
    <x v="643"/>
    <x v="648"/>
    <x v="495"/>
    <x v="0"/>
    <x v="0"/>
    <x v="2"/>
    <x v="108"/>
    <x v="16"/>
    <x v="36"/>
    <x v="32"/>
    <x v="1"/>
    <x v="9"/>
    <x v="0"/>
    <x v="655"/>
  </r>
  <r>
    <x v="0"/>
    <x v="130"/>
    <x v="128"/>
    <x v="18"/>
    <x v="96"/>
    <x v="152"/>
    <x v="66"/>
    <x v="206"/>
    <x v="46"/>
    <x v="117"/>
    <x v="171"/>
    <x v="188"/>
    <x v="211"/>
    <x v="211"/>
    <x v="207"/>
    <x v="0"/>
    <x v="209"/>
    <x v="211"/>
    <x v="199"/>
    <x v="0"/>
    <x v="0"/>
    <x v="4"/>
    <x v="48"/>
    <x v="22"/>
    <x v="115"/>
    <x v="7"/>
    <x v="3"/>
    <x v="1"/>
    <x v="0"/>
    <x v="656"/>
  </r>
  <r>
    <x v="0"/>
    <x v="322"/>
    <x v="227"/>
    <x v="27"/>
    <x v="91"/>
    <x v="392"/>
    <x v="163"/>
    <x v="629"/>
    <x v="35"/>
    <x v="301"/>
    <x v="479"/>
    <x v="553"/>
    <x v="649"/>
    <x v="649"/>
    <x v="640"/>
    <x v="0"/>
    <x v="644"/>
    <x v="649"/>
    <x v="392"/>
    <x v="0"/>
    <x v="0"/>
    <x v="3"/>
    <x v="81"/>
    <x v="19"/>
    <x v="180"/>
    <x v="34"/>
    <x v="3"/>
    <x v="103"/>
    <x v="0"/>
    <x v="657"/>
  </r>
  <r>
    <x v="0"/>
    <x v="323"/>
    <x v="54"/>
    <x v="44"/>
    <x v="0"/>
    <x v="21"/>
    <x v="24"/>
    <x v="630"/>
    <x v="225"/>
    <x v="25"/>
    <x v="480"/>
    <x v="28"/>
    <x v="650"/>
    <x v="650"/>
    <x v="641"/>
    <x v="1"/>
    <x v="645"/>
    <x v="650"/>
    <x v="350"/>
    <x v="0"/>
    <x v="0"/>
    <x v="0"/>
    <x v="109"/>
    <x v="3"/>
    <x v="44"/>
    <x v="32"/>
    <x v="3"/>
    <x v="149"/>
    <x v="0"/>
    <x v="658"/>
  </r>
  <r>
    <x v="0"/>
    <x v="324"/>
    <x v="155"/>
    <x v="73"/>
    <x v="0"/>
    <x v="299"/>
    <x v="10"/>
    <x v="631"/>
    <x v="105"/>
    <x v="33"/>
    <x v="481"/>
    <x v="394"/>
    <x v="651"/>
    <x v="651"/>
    <x v="642"/>
    <x v="4"/>
    <x v="646"/>
    <x v="651"/>
    <x v="503"/>
    <x v="0"/>
    <x v="0"/>
    <x v="2"/>
    <x v="48"/>
    <x v="20"/>
    <x v="312"/>
    <x v="12"/>
    <x v="3"/>
    <x v="1"/>
    <x v="0"/>
    <x v="659"/>
  </r>
  <r>
    <x v="0"/>
    <x v="167"/>
    <x v="247"/>
    <x v="11"/>
    <x v="120"/>
    <x v="43"/>
    <x v="94"/>
    <x v="632"/>
    <x v="125"/>
    <x v="166"/>
    <x v="201"/>
    <x v="554"/>
    <x v="652"/>
    <x v="652"/>
    <x v="643"/>
    <x v="4"/>
    <x v="647"/>
    <x v="652"/>
    <x v="230"/>
    <x v="0"/>
    <x v="0"/>
    <x v="4"/>
    <x v="48"/>
    <x v="8"/>
    <x v="13"/>
    <x v="8"/>
    <x v="1"/>
    <x v="1"/>
    <x v="0"/>
    <x v="660"/>
  </r>
  <r>
    <x v="0"/>
    <x v="30"/>
    <x v="150"/>
    <x v="16"/>
    <x v="22"/>
    <x v="393"/>
    <x v="25"/>
    <x v="633"/>
    <x v="287"/>
    <x v="82"/>
    <x v="482"/>
    <x v="555"/>
    <x v="653"/>
    <x v="653"/>
    <x v="644"/>
    <x v="0"/>
    <x v="648"/>
    <x v="653"/>
    <x v="395"/>
    <x v="0"/>
    <x v="0"/>
    <x v="0"/>
    <x v="48"/>
    <x v="20"/>
    <x v="216"/>
    <x v="10"/>
    <x v="1"/>
    <x v="1"/>
    <x v="0"/>
    <x v="661"/>
  </r>
  <r>
    <x v="0"/>
    <x v="235"/>
    <x v="364"/>
    <x v="54"/>
    <x v="157"/>
    <x v="88"/>
    <x v="20"/>
    <x v="634"/>
    <x v="200"/>
    <x v="21"/>
    <x v="422"/>
    <x v="556"/>
    <x v="654"/>
    <x v="654"/>
    <x v="645"/>
    <x v="3"/>
    <x v="649"/>
    <x v="654"/>
    <x v="269"/>
    <x v="0"/>
    <x v="0"/>
    <x v="4"/>
    <x v="48"/>
    <x v="5"/>
    <x v="284"/>
    <x v="4"/>
    <x v="1"/>
    <x v="68"/>
    <x v="0"/>
    <x v="662"/>
  </r>
  <r>
    <x v="0"/>
    <x v="325"/>
    <x v="55"/>
    <x v="64"/>
    <x v="201"/>
    <x v="224"/>
    <x v="55"/>
    <x v="635"/>
    <x v="288"/>
    <x v="302"/>
    <x v="483"/>
    <x v="557"/>
    <x v="655"/>
    <x v="655"/>
    <x v="646"/>
    <x v="0"/>
    <x v="650"/>
    <x v="655"/>
    <x v="268"/>
    <x v="0"/>
    <x v="0"/>
    <x v="0"/>
    <x v="48"/>
    <x v="11"/>
    <x v="313"/>
    <x v="13"/>
    <x v="1"/>
    <x v="50"/>
    <x v="0"/>
    <x v="663"/>
  </r>
  <r>
    <x v="1"/>
    <x v="326"/>
    <x v="244"/>
    <x v="29"/>
    <x v="121"/>
    <x v="229"/>
    <x v="17"/>
    <x v="636"/>
    <x v="2"/>
    <x v="303"/>
    <x v="484"/>
    <x v="558"/>
    <x v="656"/>
    <x v="656"/>
    <x v="647"/>
    <x v="1"/>
    <x v="651"/>
    <x v="656"/>
    <x v="105"/>
    <x v="0"/>
    <x v="0"/>
    <x v="0"/>
    <x v="48"/>
    <x v="21"/>
    <x v="314"/>
    <x v="21"/>
    <x v="1"/>
    <x v="1"/>
    <x v="0"/>
    <x v="664"/>
  </r>
  <r>
    <x v="0"/>
    <x v="200"/>
    <x v="336"/>
    <x v="23"/>
    <x v="140"/>
    <x v="394"/>
    <x v="57"/>
    <x v="637"/>
    <x v="2"/>
    <x v="237"/>
    <x v="485"/>
    <x v="559"/>
    <x v="657"/>
    <x v="657"/>
    <x v="648"/>
    <x v="1"/>
    <x v="652"/>
    <x v="657"/>
    <x v="497"/>
    <x v="0"/>
    <x v="0"/>
    <x v="4"/>
    <x v="80"/>
    <x v="27"/>
    <x v="315"/>
    <x v="21"/>
    <x v="1"/>
    <x v="1"/>
    <x v="0"/>
    <x v="665"/>
  </r>
  <r>
    <x v="0"/>
    <x v="134"/>
    <x v="365"/>
    <x v="26"/>
    <x v="99"/>
    <x v="158"/>
    <x v="164"/>
    <x v="638"/>
    <x v="23"/>
    <x v="304"/>
    <x v="486"/>
    <x v="194"/>
    <x v="658"/>
    <x v="658"/>
    <x v="649"/>
    <x v="4"/>
    <x v="653"/>
    <x v="658"/>
    <x v="483"/>
    <x v="0"/>
    <x v="0"/>
    <x v="4"/>
    <x v="95"/>
    <x v="25"/>
    <x v="316"/>
    <x v="19"/>
    <x v="1"/>
    <x v="1"/>
    <x v="0"/>
    <x v="666"/>
  </r>
  <r>
    <x v="0"/>
    <x v="71"/>
    <x v="366"/>
    <x v="27"/>
    <x v="56"/>
    <x v="212"/>
    <x v="57"/>
    <x v="639"/>
    <x v="35"/>
    <x v="99"/>
    <x v="487"/>
    <x v="560"/>
    <x v="659"/>
    <x v="659"/>
    <x v="650"/>
    <x v="1"/>
    <x v="654"/>
    <x v="659"/>
    <x v="301"/>
    <x v="0"/>
    <x v="0"/>
    <x v="2"/>
    <x v="81"/>
    <x v="21"/>
    <x v="317"/>
    <x v="9"/>
    <x v="3"/>
    <x v="1"/>
    <x v="0"/>
    <x v="667"/>
  </r>
  <r>
    <x v="0"/>
    <x v="78"/>
    <x v="354"/>
    <x v="74"/>
    <x v="0"/>
    <x v="395"/>
    <x v="25"/>
    <x v="640"/>
    <x v="223"/>
    <x v="76"/>
    <x v="488"/>
    <x v="561"/>
    <x v="660"/>
    <x v="660"/>
    <x v="651"/>
    <x v="0"/>
    <x v="655"/>
    <x v="660"/>
    <x v="504"/>
    <x v="0"/>
    <x v="0"/>
    <x v="0"/>
    <x v="107"/>
    <x v="7"/>
    <x v="30"/>
    <x v="19"/>
    <x v="3"/>
    <x v="1"/>
    <x v="0"/>
    <x v="668"/>
  </r>
  <r>
    <x v="0"/>
    <x v="36"/>
    <x v="142"/>
    <x v="85"/>
    <x v="26"/>
    <x v="355"/>
    <x v="94"/>
    <x v="641"/>
    <x v="270"/>
    <x v="218"/>
    <x v="489"/>
    <x v="562"/>
    <x v="661"/>
    <x v="661"/>
    <x v="652"/>
    <x v="1"/>
    <x v="656"/>
    <x v="661"/>
    <x v="434"/>
    <x v="0"/>
    <x v="0"/>
    <x v="0"/>
    <x v="48"/>
    <x v="17"/>
    <x v="9"/>
    <x v="21"/>
    <x v="3"/>
    <x v="1"/>
    <x v="0"/>
    <x v="669"/>
  </r>
  <r>
    <x v="0"/>
    <x v="327"/>
    <x v="13"/>
    <x v="77"/>
    <x v="202"/>
    <x v="396"/>
    <x v="165"/>
    <x v="642"/>
    <x v="127"/>
    <x v="305"/>
    <x v="490"/>
    <x v="563"/>
    <x v="662"/>
    <x v="662"/>
    <x v="653"/>
    <x v="0"/>
    <x v="657"/>
    <x v="662"/>
    <x v="505"/>
    <x v="0"/>
    <x v="0"/>
    <x v="4"/>
    <x v="48"/>
    <x v="3"/>
    <x v="318"/>
    <x v="21"/>
    <x v="1"/>
    <x v="109"/>
    <x v="0"/>
    <x v="670"/>
  </r>
  <r>
    <x v="0"/>
    <x v="328"/>
    <x v="89"/>
    <x v="88"/>
    <x v="0"/>
    <x v="282"/>
    <x v="14"/>
    <x v="643"/>
    <x v="150"/>
    <x v="56"/>
    <x v="491"/>
    <x v="564"/>
    <x v="663"/>
    <x v="663"/>
    <x v="654"/>
    <x v="1"/>
    <x v="658"/>
    <x v="663"/>
    <x v="506"/>
    <x v="0"/>
    <x v="1"/>
    <x v="4"/>
    <x v="48"/>
    <x v="15"/>
    <x v="319"/>
    <x v="11"/>
    <x v="10"/>
    <x v="7"/>
    <x v="0"/>
    <x v="671"/>
  </r>
  <r>
    <x v="0"/>
    <x v="329"/>
    <x v="340"/>
    <x v="34"/>
    <x v="146"/>
    <x v="165"/>
    <x v="35"/>
    <x v="644"/>
    <x v="289"/>
    <x v="306"/>
    <x v="357"/>
    <x v="565"/>
    <x v="664"/>
    <x v="664"/>
    <x v="655"/>
    <x v="5"/>
    <x v="659"/>
    <x v="664"/>
    <x v="507"/>
    <x v="0"/>
    <x v="0"/>
    <x v="2"/>
    <x v="48"/>
    <x v="11"/>
    <x v="30"/>
    <x v="31"/>
    <x v="6"/>
    <x v="37"/>
    <x v="0"/>
    <x v="672"/>
  </r>
  <r>
    <x v="0"/>
    <x v="330"/>
    <x v="367"/>
    <x v="72"/>
    <x v="171"/>
    <x v="135"/>
    <x v="14"/>
    <x v="645"/>
    <x v="245"/>
    <x v="14"/>
    <x v="279"/>
    <x v="566"/>
    <x v="665"/>
    <x v="665"/>
    <x v="656"/>
    <x v="0"/>
    <x v="660"/>
    <x v="665"/>
    <x v="59"/>
    <x v="0"/>
    <x v="0"/>
    <x v="4"/>
    <x v="110"/>
    <x v="2"/>
    <x v="190"/>
    <x v="4"/>
    <x v="3"/>
    <x v="33"/>
    <x v="0"/>
    <x v="673"/>
  </r>
  <r>
    <x v="0"/>
    <x v="32"/>
    <x v="330"/>
    <x v="33"/>
    <x v="24"/>
    <x v="397"/>
    <x v="3"/>
    <x v="646"/>
    <x v="106"/>
    <x v="3"/>
    <x v="492"/>
    <x v="567"/>
    <x v="666"/>
    <x v="666"/>
    <x v="657"/>
    <x v="3"/>
    <x v="661"/>
    <x v="666"/>
    <x v="102"/>
    <x v="0"/>
    <x v="0"/>
    <x v="0"/>
    <x v="48"/>
    <x v="3"/>
    <x v="30"/>
    <x v="22"/>
    <x v="1"/>
    <x v="45"/>
    <x v="0"/>
    <x v="674"/>
  </r>
  <r>
    <x v="0"/>
    <x v="331"/>
    <x v="112"/>
    <x v="40"/>
    <x v="203"/>
    <x v="255"/>
    <x v="17"/>
    <x v="647"/>
    <x v="290"/>
    <x v="32"/>
    <x v="493"/>
    <x v="329"/>
    <x v="667"/>
    <x v="667"/>
    <x v="658"/>
    <x v="0"/>
    <x v="662"/>
    <x v="667"/>
    <x v="181"/>
    <x v="0"/>
    <x v="0"/>
    <x v="4"/>
    <x v="48"/>
    <x v="14"/>
    <x v="30"/>
    <x v="18"/>
    <x v="1"/>
    <x v="1"/>
    <x v="0"/>
    <x v="675"/>
  </r>
  <r>
    <x v="0"/>
    <x v="213"/>
    <x v="241"/>
    <x v="37"/>
    <x v="147"/>
    <x v="39"/>
    <x v="0"/>
    <x v="4"/>
    <x v="108"/>
    <x v="307"/>
    <x v="494"/>
    <x v="568"/>
    <x v="668"/>
    <x v="668"/>
    <x v="659"/>
    <x v="0"/>
    <x v="663"/>
    <x v="668"/>
    <x v="101"/>
    <x v="0"/>
    <x v="0"/>
    <x v="0"/>
    <x v="111"/>
    <x v="31"/>
    <x v="30"/>
    <x v="21"/>
    <x v="3"/>
    <x v="1"/>
    <x v="0"/>
    <x v="676"/>
  </r>
  <r>
    <x v="0"/>
    <x v="272"/>
    <x v="338"/>
    <x v="14"/>
    <x v="0"/>
    <x v="273"/>
    <x v="166"/>
    <x v="648"/>
    <x v="200"/>
    <x v="308"/>
    <x v="495"/>
    <x v="569"/>
    <x v="669"/>
    <x v="669"/>
    <x v="660"/>
    <x v="0"/>
    <x v="664"/>
    <x v="669"/>
    <x v="486"/>
    <x v="0"/>
    <x v="10"/>
    <x v="4"/>
    <x v="48"/>
    <x v="20"/>
    <x v="320"/>
    <x v="10"/>
    <x v="1"/>
    <x v="150"/>
    <x v="0"/>
    <x v="677"/>
  </r>
  <r>
    <x v="0"/>
    <x v="216"/>
    <x v="178"/>
    <x v="45"/>
    <x v="149"/>
    <x v="398"/>
    <x v="21"/>
    <x v="649"/>
    <x v="179"/>
    <x v="174"/>
    <x v="496"/>
    <x v="570"/>
    <x v="670"/>
    <x v="670"/>
    <x v="661"/>
    <x v="0"/>
    <x v="665"/>
    <x v="670"/>
    <x v="480"/>
    <x v="0"/>
    <x v="8"/>
    <x v="4"/>
    <x v="48"/>
    <x v="3"/>
    <x v="30"/>
    <x v="28"/>
    <x v="1"/>
    <x v="121"/>
    <x v="0"/>
    <x v="678"/>
  </r>
  <r>
    <x v="0"/>
    <x v="216"/>
    <x v="223"/>
    <x v="70"/>
    <x v="149"/>
    <x v="296"/>
    <x v="8"/>
    <x v="650"/>
    <x v="222"/>
    <x v="35"/>
    <x v="389"/>
    <x v="390"/>
    <x v="671"/>
    <x v="671"/>
    <x v="662"/>
    <x v="2"/>
    <x v="666"/>
    <x v="671"/>
    <x v="376"/>
    <x v="0"/>
    <x v="0"/>
    <x v="4"/>
    <x v="91"/>
    <x v="8"/>
    <x v="261"/>
    <x v="21"/>
    <x v="1"/>
    <x v="1"/>
    <x v="0"/>
    <x v="679"/>
  </r>
  <r>
    <x v="0"/>
    <x v="200"/>
    <x v="160"/>
    <x v="61"/>
    <x v="140"/>
    <x v="399"/>
    <x v="154"/>
    <x v="651"/>
    <x v="80"/>
    <x v="309"/>
    <x v="497"/>
    <x v="571"/>
    <x v="672"/>
    <x v="672"/>
    <x v="663"/>
    <x v="4"/>
    <x v="667"/>
    <x v="672"/>
    <x v="269"/>
    <x v="0"/>
    <x v="0"/>
    <x v="4"/>
    <x v="48"/>
    <x v="25"/>
    <x v="321"/>
    <x v="10"/>
    <x v="1"/>
    <x v="86"/>
    <x v="0"/>
    <x v="680"/>
  </r>
  <r>
    <x v="0"/>
    <x v="332"/>
    <x v="295"/>
    <x v="24"/>
    <x v="204"/>
    <x v="127"/>
    <x v="167"/>
    <x v="652"/>
    <x v="65"/>
    <x v="310"/>
    <x v="498"/>
    <x v="572"/>
    <x v="673"/>
    <x v="673"/>
    <x v="664"/>
    <x v="1"/>
    <x v="668"/>
    <x v="673"/>
    <x v="35"/>
    <x v="0"/>
    <x v="0"/>
    <x v="4"/>
    <x v="48"/>
    <x v="21"/>
    <x v="322"/>
    <x v="5"/>
    <x v="1"/>
    <x v="151"/>
    <x v="0"/>
    <x v="681"/>
  </r>
  <r>
    <x v="0"/>
    <x v="47"/>
    <x v="243"/>
    <x v="59"/>
    <x v="32"/>
    <x v="198"/>
    <x v="30"/>
    <x v="653"/>
    <x v="12"/>
    <x v="224"/>
    <x v="153"/>
    <x v="573"/>
    <x v="674"/>
    <x v="674"/>
    <x v="665"/>
    <x v="0"/>
    <x v="669"/>
    <x v="674"/>
    <x v="492"/>
    <x v="0"/>
    <x v="0"/>
    <x v="2"/>
    <x v="48"/>
    <x v="12"/>
    <x v="20"/>
    <x v="9"/>
    <x v="3"/>
    <x v="1"/>
    <x v="0"/>
    <x v="682"/>
  </r>
  <r>
    <x v="0"/>
    <x v="68"/>
    <x v="26"/>
    <x v="12"/>
    <x v="53"/>
    <x v="348"/>
    <x v="2"/>
    <x v="654"/>
    <x v="270"/>
    <x v="75"/>
    <x v="499"/>
    <x v="574"/>
    <x v="675"/>
    <x v="675"/>
    <x v="666"/>
    <x v="4"/>
    <x v="670"/>
    <x v="675"/>
    <x v="508"/>
    <x v="0"/>
    <x v="0"/>
    <x v="4"/>
    <x v="107"/>
    <x v="15"/>
    <x v="323"/>
    <x v="36"/>
    <x v="1"/>
    <x v="10"/>
    <x v="0"/>
    <x v="683"/>
  </r>
  <r>
    <x v="0"/>
    <x v="32"/>
    <x v="368"/>
    <x v="22"/>
    <x v="24"/>
    <x v="204"/>
    <x v="2"/>
    <x v="655"/>
    <x v="291"/>
    <x v="72"/>
    <x v="500"/>
    <x v="575"/>
    <x v="676"/>
    <x v="676"/>
    <x v="667"/>
    <x v="0"/>
    <x v="671"/>
    <x v="676"/>
    <x v="509"/>
    <x v="0"/>
    <x v="0"/>
    <x v="2"/>
    <x v="48"/>
    <x v="7"/>
    <x v="289"/>
    <x v="1"/>
    <x v="1"/>
    <x v="1"/>
    <x v="0"/>
    <x v="684"/>
  </r>
  <r>
    <x v="0"/>
    <x v="113"/>
    <x v="369"/>
    <x v="84"/>
    <x v="88"/>
    <x v="287"/>
    <x v="0"/>
    <x v="4"/>
    <x v="241"/>
    <x v="251"/>
    <x v="501"/>
    <x v="576"/>
    <x v="677"/>
    <x v="677"/>
    <x v="668"/>
    <x v="0"/>
    <x v="672"/>
    <x v="677"/>
    <x v="510"/>
    <x v="0"/>
    <x v="1"/>
    <x v="1"/>
    <x v="4"/>
    <x v="4"/>
    <x v="156"/>
    <x v="14"/>
    <x v="2"/>
    <x v="1"/>
    <x v="0"/>
    <x v="685"/>
  </r>
  <r>
    <x v="0"/>
    <x v="333"/>
    <x v="370"/>
    <x v="7"/>
    <x v="151"/>
    <x v="258"/>
    <x v="57"/>
    <x v="656"/>
    <x v="121"/>
    <x v="99"/>
    <x v="230"/>
    <x v="335"/>
    <x v="678"/>
    <x v="678"/>
    <x v="669"/>
    <x v="0"/>
    <x v="673"/>
    <x v="678"/>
    <x v="61"/>
    <x v="0"/>
    <x v="0"/>
    <x v="4"/>
    <x v="80"/>
    <x v="23"/>
    <x v="156"/>
    <x v="20"/>
    <x v="3"/>
    <x v="1"/>
    <x v="0"/>
    <x v="686"/>
  </r>
  <r>
    <x v="0"/>
    <x v="324"/>
    <x v="370"/>
    <x v="72"/>
    <x v="0"/>
    <x v="400"/>
    <x v="43"/>
    <x v="657"/>
    <x v="70"/>
    <x v="311"/>
    <x v="502"/>
    <x v="577"/>
    <x v="679"/>
    <x v="679"/>
    <x v="670"/>
    <x v="1"/>
    <x v="674"/>
    <x v="679"/>
    <x v="212"/>
    <x v="0"/>
    <x v="10"/>
    <x v="4"/>
    <x v="48"/>
    <x v="21"/>
    <x v="324"/>
    <x v="40"/>
    <x v="3"/>
    <x v="152"/>
    <x v="0"/>
    <x v="687"/>
  </r>
  <r>
    <x v="0"/>
    <x v="334"/>
    <x v="250"/>
    <x v="80"/>
    <x v="183"/>
    <x v="239"/>
    <x v="97"/>
    <x v="658"/>
    <x v="292"/>
    <x v="312"/>
    <x v="503"/>
    <x v="304"/>
    <x v="680"/>
    <x v="680"/>
    <x v="671"/>
    <x v="0"/>
    <x v="675"/>
    <x v="680"/>
    <x v="357"/>
    <x v="0"/>
    <x v="5"/>
    <x v="0"/>
    <x v="48"/>
    <x v="11"/>
    <x v="325"/>
    <x v="37"/>
    <x v="1"/>
    <x v="61"/>
    <x v="0"/>
    <x v="688"/>
  </r>
  <r>
    <x v="0"/>
    <x v="335"/>
    <x v="238"/>
    <x v="29"/>
    <x v="67"/>
    <x v="401"/>
    <x v="37"/>
    <x v="659"/>
    <x v="152"/>
    <x v="313"/>
    <x v="504"/>
    <x v="578"/>
    <x v="681"/>
    <x v="681"/>
    <x v="672"/>
    <x v="0"/>
    <x v="676"/>
    <x v="681"/>
    <x v="460"/>
    <x v="0"/>
    <x v="1"/>
    <x v="0"/>
    <x v="95"/>
    <x v="12"/>
    <x v="326"/>
    <x v="8"/>
    <x v="1"/>
    <x v="1"/>
    <x v="0"/>
    <x v="689"/>
  </r>
  <r>
    <x v="0"/>
    <x v="318"/>
    <x v="128"/>
    <x v="7"/>
    <x v="47"/>
    <x v="1"/>
    <x v="22"/>
    <x v="660"/>
    <x v="234"/>
    <x v="80"/>
    <x v="74"/>
    <x v="579"/>
    <x v="682"/>
    <x v="682"/>
    <x v="673"/>
    <x v="0"/>
    <x v="677"/>
    <x v="682"/>
    <x v="328"/>
    <x v="0"/>
    <x v="4"/>
    <x v="0"/>
    <x v="112"/>
    <x v="12"/>
    <x v="30"/>
    <x v="30"/>
    <x v="1"/>
    <x v="1"/>
    <x v="0"/>
    <x v="690"/>
  </r>
  <r>
    <x v="1"/>
    <x v="336"/>
    <x v="124"/>
    <x v="58"/>
    <x v="205"/>
    <x v="73"/>
    <x v="29"/>
    <x v="661"/>
    <x v="23"/>
    <x v="58"/>
    <x v="259"/>
    <x v="580"/>
    <x v="683"/>
    <x v="683"/>
    <x v="674"/>
    <x v="3"/>
    <x v="678"/>
    <x v="683"/>
    <x v="63"/>
    <x v="0"/>
    <x v="0"/>
    <x v="4"/>
    <x v="48"/>
    <x v="11"/>
    <x v="44"/>
    <x v="12"/>
    <x v="3"/>
    <x v="121"/>
    <x v="0"/>
    <x v="691"/>
  </r>
  <r>
    <x v="0"/>
    <x v="207"/>
    <x v="368"/>
    <x v="82"/>
    <x v="90"/>
    <x v="223"/>
    <x v="2"/>
    <x v="662"/>
    <x v="293"/>
    <x v="42"/>
    <x v="333"/>
    <x v="581"/>
    <x v="684"/>
    <x v="684"/>
    <x v="675"/>
    <x v="1"/>
    <x v="679"/>
    <x v="684"/>
    <x v="511"/>
    <x v="0"/>
    <x v="0"/>
    <x v="4"/>
    <x v="113"/>
    <x v="15"/>
    <x v="30"/>
    <x v="37"/>
    <x v="3"/>
    <x v="153"/>
    <x v="0"/>
    <x v="692"/>
  </r>
  <r>
    <x v="0"/>
    <x v="337"/>
    <x v="371"/>
    <x v="61"/>
    <x v="206"/>
    <x v="402"/>
    <x v="168"/>
    <x v="663"/>
    <x v="294"/>
    <x v="314"/>
    <x v="505"/>
    <x v="582"/>
    <x v="685"/>
    <x v="685"/>
    <x v="676"/>
    <x v="0"/>
    <x v="680"/>
    <x v="685"/>
    <x v="35"/>
    <x v="0"/>
    <x v="1"/>
    <x v="0"/>
    <x v="97"/>
    <x v="2"/>
    <x v="319"/>
    <x v="1"/>
    <x v="1"/>
    <x v="13"/>
    <x v="0"/>
    <x v="693"/>
  </r>
  <r>
    <x v="0"/>
    <x v="178"/>
    <x v="84"/>
    <x v="21"/>
    <x v="128"/>
    <x v="403"/>
    <x v="169"/>
    <x v="664"/>
    <x v="295"/>
    <x v="315"/>
    <x v="506"/>
    <x v="583"/>
    <x v="686"/>
    <x v="686"/>
    <x v="677"/>
    <x v="0"/>
    <x v="681"/>
    <x v="686"/>
    <x v="202"/>
    <x v="0"/>
    <x v="8"/>
    <x v="4"/>
    <x v="95"/>
    <x v="7"/>
    <x v="327"/>
    <x v="7"/>
    <x v="1"/>
    <x v="18"/>
    <x v="0"/>
    <x v="694"/>
  </r>
  <r>
    <x v="0"/>
    <x v="190"/>
    <x v="123"/>
    <x v="50"/>
    <x v="135"/>
    <x v="404"/>
    <x v="170"/>
    <x v="665"/>
    <x v="132"/>
    <x v="316"/>
    <x v="507"/>
    <x v="584"/>
    <x v="687"/>
    <x v="687"/>
    <x v="678"/>
    <x v="4"/>
    <x v="682"/>
    <x v="687"/>
    <x v="512"/>
    <x v="0"/>
    <x v="0"/>
    <x v="0"/>
    <x v="107"/>
    <x v="19"/>
    <x v="328"/>
    <x v="5"/>
    <x v="1"/>
    <x v="1"/>
    <x v="0"/>
    <x v="695"/>
  </r>
  <r>
    <x v="0"/>
    <x v="95"/>
    <x v="291"/>
    <x v="50"/>
    <x v="74"/>
    <x v="405"/>
    <x v="25"/>
    <x v="666"/>
    <x v="91"/>
    <x v="76"/>
    <x v="99"/>
    <x v="585"/>
    <x v="688"/>
    <x v="688"/>
    <x v="679"/>
    <x v="1"/>
    <x v="683"/>
    <x v="688"/>
    <x v="356"/>
    <x v="0"/>
    <x v="14"/>
    <x v="2"/>
    <x v="48"/>
    <x v="0"/>
    <x v="71"/>
    <x v="22"/>
    <x v="1"/>
    <x v="1"/>
    <x v="0"/>
    <x v="696"/>
  </r>
  <r>
    <x v="0"/>
    <x v="38"/>
    <x v="250"/>
    <x v="46"/>
    <x v="25"/>
    <x v="72"/>
    <x v="171"/>
    <x v="667"/>
    <x v="84"/>
    <x v="317"/>
    <x v="508"/>
    <x v="586"/>
    <x v="689"/>
    <x v="689"/>
    <x v="680"/>
    <x v="0"/>
    <x v="684"/>
    <x v="689"/>
    <x v="513"/>
    <x v="0"/>
    <x v="0"/>
    <x v="0"/>
    <x v="107"/>
    <x v="27"/>
    <x v="329"/>
    <x v="14"/>
    <x v="3"/>
    <x v="64"/>
    <x v="0"/>
    <x v="697"/>
  </r>
  <r>
    <x v="0"/>
    <x v="321"/>
    <x v="361"/>
    <x v="120"/>
    <x v="200"/>
    <x v="157"/>
    <x v="35"/>
    <x v="668"/>
    <x v="296"/>
    <x v="184"/>
    <x v="509"/>
    <x v="587"/>
    <x v="690"/>
    <x v="690"/>
    <x v="681"/>
    <x v="0"/>
    <x v="685"/>
    <x v="690"/>
    <x v="147"/>
    <x v="0"/>
    <x v="0"/>
    <x v="0"/>
    <x v="107"/>
    <x v="24"/>
    <x v="330"/>
    <x v="4"/>
    <x v="1"/>
    <x v="1"/>
    <x v="0"/>
    <x v="698"/>
  </r>
  <r>
    <x v="0"/>
    <x v="120"/>
    <x v="372"/>
    <x v="8"/>
    <x v="77"/>
    <x v="406"/>
    <x v="2"/>
    <x v="669"/>
    <x v="28"/>
    <x v="42"/>
    <x v="510"/>
    <x v="588"/>
    <x v="691"/>
    <x v="691"/>
    <x v="682"/>
    <x v="1"/>
    <x v="686"/>
    <x v="691"/>
    <x v="431"/>
    <x v="0"/>
    <x v="0"/>
    <x v="0"/>
    <x v="108"/>
    <x v="24"/>
    <x v="331"/>
    <x v="8"/>
    <x v="1"/>
    <x v="1"/>
    <x v="0"/>
    <x v="699"/>
  </r>
  <r>
    <x v="0"/>
    <x v="338"/>
    <x v="373"/>
    <x v="33"/>
    <x v="123"/>
    <x v="321"/>
    <x v="146"/>
    <x v="670"/>
    <x v="14"/>
    <x v="318"/>
    <x v="511"/>
    <x v="589"/>
    <x v="692"/>
    <x v="692"/>
    <x v="683"/>
    <x v="3"/>
    <x v="687"/>
    <x v="692"/>
    <x v="514"/>
    <x v="4"/>
    <x v="9"/>
    <x v="4"/>
    <x v="48"/>
    <x v="2"/>
    <x v="332"/>
    <x v="9"/>
    <x v="1"/>
    <x v="1"/>
    <x v="0"/>
    <x v="700"/>
  </r>
  <r>
    <x v="0"/>
    <x v="339"/>
    <x v="239"/>
    <x v="42"/>
    <x v="207"/>
    <x v="407"/>
    <x v="33"/>
    <x v="671"/>
    <x v="70"/>
    <x v="149"/>
    <x v="512"/>
    <x v="590"/>
    <x v="693"/>
    <x v="693"/>
    <x v="684"/>
    <x v="1"/>
    <x v="688"/>
    <x v="693"/>
    <x v="68"/>
    <x v="0"/>
    <x v="0"/>
    <x v="0"/>
    <x v="113"/>
    <x v="7"/>
    <x v="333"/>
    <x v="44"/>
    <x v="3"/>
    <x v="1"/>
    <x v="0"/>
    <x v="701"/>
  </r>
  <r>
    <x v="0"/>
    <x v="65"/>
    <x v="305"/>
    <x v="38"/>
    <x v="50"/>
    <x v="408"/>
    <x v="2"/>
    <x v="672"/>
    <x v="297"/>
    <x v="72"/>
    <x v="22"/>
    <x v="591"/>
    <x v="694"/>
    <x v="694"/>
    <x v="685"/>
    <x v="0"/>
    <x v="689"/>
    <x v="694"/>
    <x v="515"/>
    <x v="0"/>
    <x v="10"/>
    <x v="0"/>
    <x v="108"/>
    <x v="21"/>
    <x v="19"/>
    <x v="4"/>
    <x v="1"/>
    <x v="1"/>
    <x v="0"/>
    <x v="702"/>
  </r>
  <r>
    <x v="0"/>
    <x v="340"/>
    <x v="346"/>
    <x v="37"/>
    <x v="0"/>
    <x v="210"/>
    <x v="172"/>
    <x v="673"/>
    <x v="105"/>
    <x v="319"/>
    <x v="486"/>
    <x v="592"/>
    <x v="695"/>
    <x v="695"/>
    <x v="686"/>
    <x v="0"/>
    <x v="690"/>
    <x v="695"/>
    <x v="178"/>
    <x v="0"/>
    <x v="0"/>
    <x v="0"/>
    <x v="108"/>
    <x v="16"/>
    <x v="316"/>
    <x v="2"/>
    <x v="1"/>
    <x v="1"/>
    <x v="0"/>
    <x v="703"/>
  </r>
  <r>
    <x v="0"/>
    <x v="341"/>
    <x v="322"/>
    <x v="101"/>
    <x v="69"/>
    <x v="147"/>
    <x v="22"/>
    <x v="674"/>
    <x v="298"/>
    <x v="77"/>
    <x v="513"/>
    <x v="179"/>
    <x v="696"/>
    <x v="696"/>
    <x v="687"/>
    <x v="5"/>
    <x v="691"/>
    <x v="696"/>
    <x v="384"/>
    <x v="0"/>
    <x v="0"/>
    <x v="0"/>
    <x v="108"/>
    <x v="8"/>
    <x v="334"/>
    <x v="45"/>
    <x v="1"/>
    <x v="1"/>
    <x v="0"/>
    <x v="704"/>
  </r>
  <r>
    <x v="0"/>
    <x v="342"/>
    <x v="316"/>
    <x v="31"/>
    <x v="31"/>
    <x v="409"/>
    <x v="2"/>
    <x v="675"/>
    <x v="26"/>
    <x v="172"/>
    <x v="514"/>
    <x v="593"/>
    <x v="697"/>
    <x v="697"/>
    <x v="688"/>
    <x v="4"/>
    <x v="692"/>
    <x v="697"/>
    <x v="353"/>
    <x v="0"/>
    <x v="0"/>
    <x v="4"/>
    <x v="114"/>
    <x v="18"/>
    <x v="260"/>
    <x v="18"/>
    <x v="1"/>
    <x v="1"/>
    <x v="0"/>
    <x v="705"/>
  </r>
  <r>
    <x v="0"/>
    <x v="169"/>
    <x v="374"/>
    <x v="121"/>
    <x v="121"/>
    <x v="1"/>
    <x v="173"/>
    <x v="676"/>
    <x v="299"/>
    <x v="320"/>
    <x v="344"/>
    <x v="205"/>
    <x v="698"/>
    <x v="698"/>
    <x v="689"/>
    <x v="1"/>
    <x v="693"/>
    <x v="698"/>
    <x v="201"/>
    <x v="0"/>
    <x v="0"/>
    <x v="4"/>
    <x v="87"/>
    <x v="2"/>
    <x v="30"/>
    <x v="0"/>
    <x v="16"/>
    <x v="154"/>
    <x v="0"/>
    <x v="706"/>
  </r>
  <r>
    <x v="0"/>
    <x v="343"/>
    <x v="104"/>
    <x v="41"/>
    <x v="193"/>
    <x v="223"/>
    <x v="94"/>
    <x v="677"/>
    <x v="300"/>
    <x v="166"/>
    <x v="515"/>
    <x v="284"/>
    <x v="699"/>
    <x v="699"/>
    <x v="690"/>
    <x v="4"/>
    <x v="694"/>
    <x v="699"/>
    <x v="516"/>
    <x v="0"/>
    <x v="0"/>
    <x v="0"/>
    <x v="109"/>
    <x v="1"/>
    <x v="30"/>
    <x v="22"/>
    <x v="3"/>
    <x v="1"/>
    <x v="0"/>
    <x v="707"/>
  </r>
  <r>
    <x v="0"/>
    <x v="344"/>
    <x v="150"/>
    <x v="54"/>
    <x v="73"/>
    <x v="269"/>
    <x v="153"/>
    <x v="678"/>
    <x v="21"/>
    <x v="282"/>
    <x v="516"/>
    <x v="594"/>
    <x v="700"/>
    <x v="700"/>
    <x v="691"/>
    <x v="0"/>
    <x v="695"/>
    <x v="700"/>
    <x v="517"/>
    <x v="0"/>
    <x v="0"/>
    <x v="2"/>
    <x v="107"/>
    <x v="10"/>
    <x v="335"/>
    <x v="34"/>
    <x v="3"/>
    <x v="1"/>
    <x v="0"/>
    <x v="708"/>
  </r>
  <r>
    <x v="0"/>
    <x v="10"/>
    <x v="375"/>
    <x v="85"/>
    <x v="0"/>
    <x v="188"/>
    <x v="11"/>
    <x v="679"/>
    <x v="116"/>
    <x v="69"/>
    <x v="56"/>
    <x v="595"/>
    <x v="701"/>
    <x v="701"/>
    <x v="692"/>
    <x v="0"/>
    <x v="696"/>
    <x v="701"/>
    <x v="518"/>
    <x v="0"/>
    <x v="0"/>
    <x v="4"/>
    <x v="48"/>
    <x v="7"/>
    <x v="44"/>
    <x v="16"/>
    <x v="1"/>
    <x v="38"/>
    <x v="0"/>
    <x v="709"/>
  </r>
  <r>
    <x v="0"/>
    <x v="190"/>
    <x v="142"/>
    <x v="11"/>
    <x v="135"/>
    <x v="202"/>
    <x v="13"/>
    <x v="680"/>
    <x v="127"/>
    <x v="158"/>
    <x v="228"/>
    <x v="255"/>
    <x v="702"/>
    <x v="702"/>
    <x v="693"/>
    <x v="5"/>
    <x v="697"/>
    <x v="702"/>
    <x v="56"/>
    <x v="0"/>
    <x v="0"/>
    <x v="0"/>
    <x v="67"/>
    <x v="14"/>
    <x v="155"/>
    <x v="22"/>
    <x v="3"/>
    <x v="1"/>
    <x v="0"/>
    <x v="710"/>
  </r>
  <r>
    <x v="0"/>
    <x v="345"/>
    <x v="224"/>
    <x v="69"/>
    <x v="172"/>
    <x v="410"/>
    <x v="35"/>
    <x v="681"/>
    <x v="301"/>
    <x v="321"/>
    <x v="517"/>
    <x v="596"/>
    <x v="703"/>
    <x v="703"/>
    <x v="694"/>
    <x v="0"/>
    <x v="698"/>
    <x v="703"/>
    <x v="519"/>
    <x v="0"/>
    <x v="0"/>
    <x v="2"/>
    <x v="81"/>
    <x v="8"/>
    <x v="336"/>
    <x v="1"/>
    <x v="1"/>
    <x v="59"/>
    <x v="0"/>
    <x v="711"/>
  </r>
  <r>
    <x v="0"/>
    <x v="291"/>
    <x v="72"/>
    <x v="122"/>
    <x v="0"/>
    <x v="411"/>
    <x v="10"/>
    <x v="682"/>
    <x v="302"/>
    <x v="33"/>
    <x v="518"/>
    <x v="597"/>
    <x v="704"/>
    <x v="704"/>
    <x v="695"/>
    <x v="0"/>
    <x v="699"/>
    <x v="704"/>
    <x v="520"/>
    <x v="0"/>
    <x v="0"/>
    <x v="4"/>
    <x v="81"/>
    <x v="15"/>
    <x v="77"/>
    <x v="3"/>
    <x v="3"/>
    <x v="26"/>
    <x v="0"/>
    <x v="712"/>
  </r>
  <r>
    <x v="0"/>
    <x v="205"/>
    <x v="325"/>
    <x v="7"/>
    <x v="69"/>
    <x v="412"/>
    <x v="174"/>
    <x v="683"/>
    <x v="121"/>
    <x v="322"/>
    <x v="519"/>
    <x v="598"/>
    <x v="705"/>
    <x v="705"/>
    <x v="696"/>
    <x v="3"/>
    <x v="700"/>
    <x v="705"/>
    <x v="363"/>
    <x v="0"/>
    <x v="0"/>
    <x v="0"/>
    <x v="4"/>
    <x v="1"/>
    <x v="337"/>
    <x v="18"/>
    <x v="1"/>
    <x v="1"/>
    <x v="0"/>
    <x v="713"/>
  </r>
  <r>
    <x v="0"/>
    <x v="171"/>
    <x v="331"/>
    <x v="113"/>
    <x v="123"/>
    <x v="139"/>
    <x v="91"/>
    <x v="684"/>
    <x v="44"/>
    <x v="161"/>
    <x v="51"/>
    <x v="170"/>
    <x v="706"/>
    <x v="706"/>
    <x v="697"/>
    <x v="0"/>
    <x v="701"/>
    <x v="706"/>
    <x v="521"/>
    <x v="0"/>
    <x v="0"/>
    <x v="3"/>
    <x v="16"/>
    <x v="12"/>
    <x v="40"/>
    <x v="27"/>
    <x v="3"/>
    <x v="155"/>
    <x v="0"/>
    <x v="714"/>
  </r>
  <r>
    <x v="0"/>
    <x v="68"/>
    <x v="218"/>
    <x v="36"/>
    <x v="53"/>
    <x v="395"/>
    <x v="103"/>
    <x v="685"/>
    <x v="171"/>
    <x v="323"/>
    <x v="81"/>
    <x v="599"/>
    <x v="707"/>
    <x v="707"/>
    <x v="698"/>
    <x v="0"/>
    <x v="702"/>
    <x v="707"/>
    <x v="522"/>
    <x v="0"/>
    <x v="0"/>
    <x v="4"/>
    <x v="109"/>
    <x v="11"/>
    <x v="60"/>
    <x v="14"/>
    <x v="1"/>
    <x v="156"/>
    <x v="0"/>
    <x v="715"/>
  </r>
  <r>
    <x v="0"/>
    <x v="52"/>
    <x v="376"/>
    <x v="73"/>
    <x v="37"/>
    <x v="413"/>
    <x v="57"/>
    <x v="686"/>
    <x v="83"/>
    <x v="109"/>
    <x v="520"/>
    <x v="600"/>
    <x v="708"/>
    <x v="708"/>
    <x v="699"/>
    <x v="1"/>
    <x v="703"/>
    <x v="708"/>
    <x v="523"/>
    <x v="0"/>
    <x v="0"/>
    <x v="0"/>
    <x v="81"/>
    <x v="19"/>
    <x v="338"/>
    <x v="0"/>
    <x v="1"/>
    <x v="1"/>
    <x v="0"/>
    <x v="716"/>
  </r>
  <r>
    <x v="0"/>
    <x v="30"/>
    <x v="312"/>
    <x v="29"/>
    <x v="22"/>
    <x v="414"/>
    <x v="154"/>
    <x v="687"/>
    <x v="2"/>
    <x v="324"/>
    <x v="521"/>
    <x v="601"/>
    <x v="709"/>
    <x v="709"/>
    <x v="700"/>
    <x v="4"/>
    <x v="704"/>
    <x v="709"/>
    <x v="524"/>
    <x v="0"/>
    <x v="1"/>
    <x v="0"/>
    <x v="90"/>
    <x v="16"/>
    <x v="339"/>
    <x v="13"/>
    <x v="1"/>
    <x v="1"/>
    <x v="0"/>
    <x v="717"/>
  </r>
  <r>
    <x v="0"/>
    <x v="172"/>
    <x v="316"/>
    <x v="38"/>
    <x v="124"/>
    <x v="415"/>
    <x v="120"/>
    <x v="688"/>
    <x v="150"/>
    <x v="325"/>
    <x v="522"/>
    <x v="602"/>
    <x v="710"/>
    <x v="710"/>
    <x v="701"/>
    <x v="0"/>
    <x v="705"/>
    <x v="710"/>
    <x v="459"/>
    <x v="0"/>
    <x v="0"/>
    <x v="4"/>
    <x v="73"/>
    <x v="15"/>
    <x v="340"/>
    <x v="22"/>
    <x v="1"/>
    <x v="157"/>
    <x v="0"/>
    <x v="718"/>
  </r>
  <r>
    <x v="0"/>
    <x v="110"/>
    <x v="377"/>
    <x v="33"/>
    <x v="86"/>
    <x v="362"/>
    <x v="35"/>
    <x v="689"/>
    <x v="182"/>
    <x v="326"/>
    <x v="523"/>
    <x v="603"/>
    <x v="711"/>
    <x v="711"/>
    <x v="702"/>
    <x v="1"/>
    <x v="706"/>
    <x v="711"/>
    <x v="525"/>
    <x v="0"/>
    <x v="0"/>
    <x v="2"/>
    <x v="81"/>
    <x v="20"/>
    <x v="341"/>
    <x v="14"/>
    <x v="3"/>
    <x v="45"/>
    <x v="0"/>
    <x v="719"/>
  </r>
  <r>
    <x v="0"/>
    <x v="346"/>
    <x v="293"/>
    <x v="77"/>
    <x v="68"/>
    <x v="416"/>
    <x v="101"/>
    <x v="690"/>
    <x v="303"/>
    <x v="183"/>
    <x v="524"/>
    <x v="604"/>
    <x v="712"/>
    <x v="712"/>
    <x v="310"/>
    <x v="4"/>
    <x v="707"/>
    <x v="712"/>
    <x v="526"/>
    <x v="0"/>
    <x v="0"/>
    <x v="2"/>
    <x v="80"/>
    <x v="20"/>
    <x v="342"/>
    <x v="15"/>
    <x v="3"/>
    <x v="1"/>
    <x v="0"/>
    <x v="720"/>
  </r>
  <r>
    <x v="0"/>
    <x v="288"/>
    <x v="225"/>
    <x v="80"/>
    <x v="186"/>
    <x v="44"/>
    <x v="0"/>
    <x v="691"/>
    <x v="238"/>
    <x v="327"/>
    <x v="476"/>
    <x v="53"/>
    <x v="713"/>
    <x v="713"/>
    <x v="703"/>
    <x v="1"/>
    <x v="708"/>
    <x v="713"/>
    <x v="392"/>
    <x v="0"/>
    <x v="0"/>
    <x v="2"/>
    <x v="81"/>
    <x v="17"/>
    <x v="310"/>
    <x v="34"/>
    <x v="3"/>
    <x v="137"/>
    <x v="0"/>
    <x v="721"/>
  </r>
  <r>
    <x v="0"/>
    <x v="337"/>
    <x v="220"/>
    <x v="56"/>
    <x v="206"/>
    <x v="51"/>
    <x v="11"/>
    <x v="692"/>
    <x v="281"/>
    <x v="156"/>
    <x v="525"/>
    <x v="605"/>
    <x v="714"/>
    <x v="714"/>
    <x v="704"/>
    <x v="1"/>
    <x v="709"/>
    <x v="714"/>
    <x v="497"/>
    <x v="0"/>
    <x v="0"/>
    <x v="4"/>
    <x v="109"/>
    <x v="9"/>
    <x v="343"/>
    <x v="10"/>
    <x v="1"/>
    <x v="31"/>
    <x v="0"/>
    <x v="722"/>
  </r>
  <r>
    <x v="0"/>
    <x v="183"/>
    <x v="353"/>
    <x v="101"/>
    <x v="85"/>
    <x v="417"/>
    <x v="22"/>
    <x v="693"/>
    <x v="197"/>
    <x v="328"/>
    <x v="516"/>
    <x v="606"/>
    <x v="715"/>
    <x v="715"/>
    <x v="705"/>
    <x v="0"/>
    <x v="710"/>
    <x v="715"/>
    <x v="527"/>
    <x v="0"/>
    <x v="0"/>
    <x v="2"/>
    <x v="81"/>
    <x v="18"/>
    <x v="335"/>
    <x v="31"/>
    <x v="3"/>
    <x v="1"/>
    <x v="0"/>
    <x v="723"/>
  </r>
  <r>
    <x v="0"/>
    <x v="273"/>
    <x v="297"/>
    <x v="70"/>
    <x v="70"/>
    <x v="49"/>
    <x v="8"/>
    <x v="694"/>
    <x v="23"/>
    <x v="35"/>
    <x v="99"/>
    <x v="607"/>
    <x v="716"/>
    <x v="716"/>
    <x v="706"/>
    <x v="5"/>
    <x v="711"/>
    <x v="716"/>
    <x v="87"/>
    <x v="0"/>
    <x v="0"/>
    <x v="0"/>
    <x v="81"/>
    <x v="17"/>
    <x v="71"/>
    <x v="15"/>
    <x v="1"/>
    <x v="1"/>
    <x v="0"/>
    <x v="724"/>
  </r>
  <r>
    <x v="0"/>
    <x v="347"/>
    <x v="378"/>
    <x v="59"/>
    <x v="164"/>
    <x v="171"/>
    <x v="0"/>
    <x v="695"/>
    <x v="127"/>
    <x v="329"/>
    <x v="526"/>
    <x v="608"/>
    <x v="717"/>
    <x v="717"/>
    <x v="707"/>
    <x v="4"/>
    <x v="712"/>
    <x v="717"/>
    <x v="286"/>
    <x v="0"/>
    <x v="0"/>
    <x v="0"/>
    <x v="81"/>
    <x v="19"/>
    <x v="344"/>
    <x v="9"/>
    <x v="3"/>
    <x v="1"/>
    <x v="0"/>
    <x v="725"/>
  </r>
  <r>
    <x v="0"/>
    <x v="79"/>
    <x v="333"/>
    <x v="105"/>
    <x v="62"/>
    <x v="418"/>
    <x v="57"/>
    <x v="696"/>
    <x v="29"/>
    <x v="237"/>
    <x v="527"/>
    <x v="609"/>
    <x v="718"/>
    <x v="718"/>
    <x v="708"/>
    <x v="0"/>
    <x v="713"/>
    <x v="718"/>
    <x v="316"/>
    <x v="0"/>
    <x v="0"/>
    <x v="2"/>
    <x v="21"/>
    <x v="20"/>
    <x v="6"/>
    <x v="4"/>
    <x v="3"/>
    <x v="1"/>
    <x v="0"/>
    <x v="726"/>
  </r>
  <r>
    <x v="0"/>
    <x v="348"/>
    <x v="146"/>
    <x v="18"/>
    <x v="0"/>
    <x v="31"/>
    <x v="41"/>
    <x v="697"/>
    <x v="125"/>
    <x v="211"/>
    <x v="528"/>
    <x v="610"/>
    <x v="719"/>
    <x v="719"/>
    <x v="709"/>
    <x v="5"/>
    <x v="714"/>
    <x v="719"/>
    <x v="245"/>
    <x v="0"/>
    <x v="0"/>
    <x v="0"/>
    <x v="81"/>
    <x v="0"/>
    <x v="119"/>
    <x v="34"/>
    <x v="3"/>
    <x v="1"/>
    <x v="0"/>
    <x v="727"/>
  </r>
  <r>
    <x v="0"/>
    <x v="165"/>
    <x v="370"/>
    <x v="86"/>
    <x v="119"/>
    <x v="195"/>
    <x v="14"/>
    <x v="698"/>
    <x v="258"/>
    <x v="56"/>
    <x v="340"/>
    <x v="525"/>
    <x v="720"/>
    <x v="720"/>
    <x v="710"/>
    <x v="0"/>
    <x v="715"/>
    <x v="720"/>
    <x v="241"/>
    <x v="0"/>
    <x v="0"/>
    <x v="0"/>
    <x v="81"/>
    <x v="22"/>
    <x v="13"/>
    <x v="18"/>
    <x v="1"/>
    <x v="1"/>
    <x v="0"/>
    <x v="728"/>
  </r>
  <r>
    <x v="0"/>
    <x v="239"/>
    <x v="379"/>
    <x v="50"/>
    <x v="160"/>
    <x v="10"/>
    <x v="25"/>
    <x v="699"/>
    <x v="189"/>
    <x v="330"/>
    <x v="529"/>
    <x v="611"/>
    <x v="721"/>
    <x v="721"/>
    <x v="711"/>
    <x v="5"/>
    <x v="716"/>
    <x v="721"/>
    <x v="528"/>
    <x v="0"/>
    <x v="0"/>
    <x v="2"/>
    <x v="81"/>
    <x v="12"/>
    <x v="13"/>
    <x v="28"/>
    <x v="1"/>
    <x v="158"/>
    <x v="0"/>
    <x v="729"/>
  </r>
  <r>
    <x v="0"/>
    <x v="349"/>
    <x v="376"/>
    <x v="5"/>
    <x v="44"/>
    <x v="231"/>
    <x v="175"/>
    <x v="700"/>
    <x v="222"/>
    <x v="331"/>
    <x v="350"/>
    <x v="612"/>
    <x v="722"/>
    <x v="722"/>
    <x v="712"/>
    <x v="0"/>
    <x v="717"/>
    <x v="722"/>
    <x v="175"/>
    <x v="0"/>
    <x v="0"/>
    <x v="0"/>
    <x v="109"/>
    <x v="2"/>
    <x v="234"/>
    <x v="21"/>
    <x v="1"/>
    <x v="4"/>
    <x v="0"/>
    <x v="730"/>
  </r>
  <r>
    <x v="0"/>
    <x v="350"/>
    <x v="377"/>
    <x v="35"/>
    <x v="208"/>
    <x v="331"/>
    <x v="2"/>
    <x v="701"/>
    <x v="17"/>
    <x v="182"/>
    <x v="199"/>
    <x v="613"/>
    <x v="723"/>
    <x v="723"/>
    <x v="713"/>
    <x v="1"/>
    <x v="718"/>
    <x v="723"/>
    <x v="529"/>
    <x v="0"/>
    <x v="0"/>
    <x v="0"/>
    <x v="81"/>
    <x v="5"/>
    <x v="135"/>
    <x v="20"/>
    <x v="3"/>
    <x v="18"/>
    <x v="0"/>
    <x v="731"/>
  </r>
  <r>
    <x v="0"/>
    <x v="25"/>
    <x v="313"/>
    <x v="31"/>
    <x v="18"/>
    <x v="22"/>
    <x v="25"/>
    <x v="702"/>
    <x v="196"/>
    <x v="76"/>
    <x v="362"/>
    <x v="614"/>
    <x v="724"/>
    <x v="724"/>
    <x v="714"/>
    <x v="1"/>
    <x v="719"/>
    <x v="724"/>
    <x v="302"/>
    <x v="0"/>
    <x v="0"/>
    <x v="0"/>
    <x v="81"/>
    <x v="21"/>
    <x v="13"/>
    <x v="10"/>
    <x v="1"/>
    <x v="1"/>
    <x v="0"/>
    <x v="732"/>
  </r>
  <r>
    <x v="0"/>
    <x v="127"/>
    <x v="26"/>
    <x v="70"/>
    <x v="94"/>
    <x v="419"/>
    <x v="57"/>
    <x v="703"/>
    <x v="26"/>
    <x v="99"/>
    <x v="65"/>
    <x v="615"/>
    <x v="725"/>
    <x v="725"/>
    <x v="715"/>
    <x v="2"/>
    <x v="720"/>
    <x v="725"/>
    <x v="234"/>
    <x v="0"/>
    <x v="0"/>
    <x v="0"/>
    <x v="90"/>
    <x v="5"/>
    <x v="6"/>
    <x v="1"/>
    <x v="1"/>
    <x v="121"/>
    <x v="0"/>
    <x v="733"/>
  </r>
  <r>
    <x v="0"/>
    <x v="78"/>
    <x v="380"/>
    <x v="6"/>
    <x v="0"/>
    <x v="1"/>
    <x v="21"/>
    <x v="704"/>
    <x v="291"/>
    <x v="210"/>
    <x v="68"/>
    <x v="503"/>
    <x v="726"/>
    <x v="726"/>
    <x v="716"/>
    <x v="7"/>
    <x v="721"/>
    <x v="726"/>
    <x v="530"/>
    <x v="0"/>
    <x v="0"/>
    <x v="4"/>
    <x v="97"/>
    <x v="15"/>
    <x v="12"/>
    <x v="2"/>
    <x v="1"/>
    <x v="1"/>
    <x v="0"/>
    <x v="734"/>
  </r>
  <r>
    <x v="0"/>
    <x v="351"/>
    <x v="368"/>
    <x v="92"/>
    <x v="0"/>
    <x v="420"/>
    <x v="32"/>
    <x v="705"/>
    <x v="304"/>
    <x v="59"/>
    <x v="333"/>
    <x v="616"/>
    <x v="727"/>
    <x v="727"/>
    <x v="717"/>
    <x v="0"/>
    <x v="722"/>
    <x v="727"/>
    <x v="294"/>
    <x v="0"/>
    <x v="0"/>
    <x v="0"/>
    <x v="81"/>
    <x v="20"/>
    <x v="30"/>
    <x v="12"/>
    <x v="3"/>
    <x v="1"/>
    <x v="0"/>
    <x v="735"/>
  </r>
  <r>
    <x v="0"/>
    <x v="159"/>
    <x v="341"/>
    <x v="60"/>
    <x v="0"/>
    <x v="134"/>
    <x v="14"/>
    <x v="706"/>
    <x v="168"/>
    <x v="56"/>
    <x v="102"/>
    <x v="268"/>
    <x v="728"/>
    <x v="728"/>
    <x v="718"/>
    <x v="0"/>
    <x v="723"/>
    <x v="728"/>
    <x v="531"/>
    <x v="0"/>
    <x v="0"/>
    <x v="4"/>
    <x v="48"/>
    <x v="14"/>
    <x v="72"/>
    <x v="32"/>
    <x v="1"/>
    <x v="1"/>
    <x v="0"/>
    <x v="736"/>
  </r>
  <r>
    <x v="0"/>
    <x v="168"/>
    <x v="111"/>
    <x v="7"/>
    <x v="111"/>
    <x v="229"/>
    <x v="25"/>
    <x v="707"/>
    <x v="151"/>
    <x v="138"/>
    <x v="530"/>
    <x v="291"/>
    <x v="729"/>
    <x v="729"/>
    <x v="719"/>
    <x v="2"/>
    <x v="724"/>
    <x v="729"/>
    <x v="57"/>
    <x v="0"/>
    <x v="0"/>
    <x v="0"/>
    <x v="81"/>
    <x v="19"/>
    <x v="30"/>
    <x v="34"/>
    <x v="1"/>
    <x v="1"/>
    <x v="0"/>
    <x v="737"/>
  </r>
  <r>
    <x v="0"/>
    <x v="352"/>
    <x v="211"/>
    <x v="69"/>
    <x v="89"/>
    <x v="421"/>
    <x v="35"/>
    <x v="708"/>
    <x v="65"/>
    <x v="332"/>
    <x v="488"/>
    <x v="617"/>
    <x v="730"/>
    <x v="730"/>
    <x v="720"/>
    <x v="4"/>
    <x v="725"/>
    <x v="730"/>
    <x v="451"/>
    <x v="0"/>
    <x v="0"/>
    <x v="0"/>
    <x v="97"/>
    <x v="14"/>
    <x v="30"/>
    <x v="12"/>
    <x v="3"/>
    <x v="1"/>
    <x v="0"/>
    <x v="738"/>
  </r>
  <r>
    <x v="0"/>
    <x v="89"/>
    <x v="381"/>
    <x v="29"/>
    <x v="10"/>
    <x v="1"/>
    <x v="14"/>
    <x v="709"/>
    <x v="86"/>
    <x v="56"/>
    <x v="340"/>
    <x v="618"/>
    <x v="731"/>
    <x v="731"/>
    <x v="721"/>
    <x v="4"/>
    <x v="726"/>
    <x v="731"/>
    <x v="532"/>
    <x v="0"/>
    <x v="0"/>
    <x v="0"/>
    <x v="81"/>
    <x v="3"/>
    <x v="13"/>
    <x v="15"/>
    <x v="1"/>
    <x v="58"/>
    <x v="0"/>
    <x v="739"/>
  </r>
  <r>
    <x v="0"/>
    <x v="200"/>
    <x v="253"/>
    <x v="72"/>
    <x v="140"/>
    <x v="422"/>
    <x v="0"/>
    <x v="710"/>
    <x v="222"/>
    <x v="285"/>
    <x v="331"/>
    <x v="619"/>
    <x v="732"/>
    <x v="732"/>
    <x v="722"/>
    <x v="1"/>
    <x v="727"/>
    <x v="732"/>
    <x v="168"/>
    <x v="0"/>
    <x v="0"/>
    <x v="4"/>
    <x v="81"/>
    <x v="15"/>
    <x v="222"/>
    <x v="27"/>
    <x v="1"/>
    <x v="1"/>
    <x v="0"/>
    <x v="740"/>
  </r>
  <r>
    <x v="0"/>
    <x v="353"/>
    <x v="243"/>
    <x v="70"/>
    <x v="209"/>
    <x v="423"/>
    <x v="176"/>
    <x v="711"/>
    <x v="305"/>
    <x v="333"/>
    <x v="531"/>
    <x v="620"/>
    <x v="733"/>
    <x v="733"/>
    <x v="723"/>
    <x v="0"/>
    <x v="728"/>
    <x v="733"/>
    <x v="533"/>
    <x v="0"/>
    <x v="0"/>
    <x v="2"/>
    <x v="81"/>
    <x v="0"/>
    <x v="345"/>
    <x v="11"/>
    <x v="0"/>
    <x v="1"/>
    <x v="0"/>
    <x v="741"/>
  </r>
  <r>
    <x v="0"/>
    <x v="151"/>
    <x v="41"/>
    <x v="11"/>
    <x v="0"/>
    <x v="424"/>
    <x v="57"/>
    <x v="712"/>
    <x v="306"/>
    <x v="109"/>
    <x v="532"/>
    <x v="621"/>
    <x v="734"/>
    <x v="734"/>
    <x v="724"/>
    <x v="2"/>
    <x v="729"/>
    <x v="734"/>
    <x v="333"/>
    <x v="0"/>
    <x v="0"/>
    <x v="0"/>
    <x v="81"/>
    <x v="10"/>
    <x v="346"/>
    <x v="4"/>
    <x v="3"/>
    <x v="42"/>
    <x v="0"/>
    <x v="742"/>
  </r>
  <r>
    <x v="0"/>
    <x v="354"/>
    <x v="345"/>
    <x v="71"/>
    <x v="174"/>
    <x v="425"/>
    <x v="177"/>
    <x v="713"/>
    <x v="100"/>
    <x v="334"/>
    <x v="533"/>
    <x v="622"/>
    <x v="735"/>
    <x v="735"/>
    <x v="725"/>
    <x v="0"/>
    <x v="730"/>
    <x v="735"/>
    <x v="339"/>
    <x v="0"/>
    <x v="0"/>
    <x v="2"/>
    <x v="81"/>
    <x v="17"/>
    <x v="347"/>
    <x v="46"/>
    <x v="1"/>
    <x v="159"/>
    <x v="0"/>
    <x v="743"/>
  </r>
  <r>
    <x v="1"/>
    <x v="284"/>
    <x v="119"/>
    <x v="7"/>
    <x v="187"/>
    <x v="426"/>
    <x v="50"/>
    <x v="714"/>
    <x v="307"/>
    <x v="335"/>
    <x v="534"/>
    <x v="623"/>
    <x v="736"/>
    <x v="736"/>
    <x v="726"/>
    <x v="1"/>
    <x v="731"/>
    <x v="736"/>
    <x v="491"/>
    <x v="0"/>
    <x v="0"/>
    <x v="2"/>
    <x v="81"/>
    <x v="0"/>
    <x v="298"/>
    <x v="16"/>
    <x v="3"/>
    <x v="7"/>
    <x v="0"/>
    <x v="744"/>
  </r>
  <r>
    <x v="0"/>
    <x v="93"/>
    <x v="108"/>
    <x v="43"/>
    <x v="0"/>
    <x v="427"/>
    <x v="2"/>
    <x v="715"/>
    <x v="232"/>
    <x v="336"/>
    <x v="303"/>
    <x v="624"/>
    <x v="737"/>
    <x v="737"/>
    <x v="727"/>
    <x v="0"/>
    <x v="732"/>
    <x v="737"/>
    <x v="534"/>
    <x v="0"/>
    <x v="0"/>
    <x v="4"/>
    <x v="115"/>
    <x v="8"/>
    <x v="205"/>
    <x v="40"/>
    <x v="3"/>
    <x v="71"/>
    <x v="0"/>
    <x v="745"/>
  </r>
  <r>
    <x v="0"/>
    <x v="165"/>
    <x v="380"/>
    <x v="75"/>
    <x v="119"/>
    <x v="428"/>
    <x v="11"/>
    <x v="716"/>
    <x v="28"/>
    <x v="156"/>
    <x v="535"/>
    <x v="625"/>
    <x v="738"/>
    <x v="738"/>
    <x v="728"/>
    <x v="4"/>
    <x v="733"/>
    <x v="738"/>
    <x v="535"/>
    <x v="0"/>
    <x v="0"/>
    <x v="4"/>
    <x v="80"/>
    <x v="14"/>
    <x v="127"/>
    <x v="16"/>
    <x v="1"/>
    <x v="57"/>
    <x v="0"/>
    <x v="746"/>
  </r>
  <r>
    <x v="0"/>
    <x v="355"/>
    <x v="352"/>
    <x v="42"/>
    <x v="210"/>
    <x v="226"/>
    <x v="20"/>
    <x v="717"/>
    <x v="35"/>
    <x v="21"/>
    <x v="0"/>
    <x v="288"/>
    <x v="739"/>
    <x v="739"/>
    <x v="729"/>
    <x v="0"/>
    <x v="734"/>
    <x v="739"/>
    <x v="536"/>
    <x v="0"/>
    <x v="0"/>
    <x v="2"/>
    <x v="95"/>
    <x v="7"/>
    <x v="0"/>
    <x v="46"/>
    <x v="1"/>
    <x v="160"/>
    <x v="0"/>
    <x v="747"/>
  </r>
  <r>
    <x v="0"/>
    <x v="235"/>
    <x v="247"/>
    <x v="59"/>
    <x v="157"/>
    <x v="429"/>
    <x v="178"/>
    <x v="718"/>
    <x v="70"/>
    <x v="337"/>
    <x v="343"/>
    <x v="626"/>
    <x v="740"/>
    <x v="740"/>
    <x v="730"/>
    <x v="7"/>
    <x v="735"/>
    <x v="740"/>
    <x v="429"/>
    <x v="0"/>
    <x v="0"/>
    <x v="0"/>
    <x v="81"/>
    <x v="14"/>
    <x v="230"/>
    <x v="9"/>
    <x v="1"/>
    <x v="1"/>
    <x v="0"/>
    <x v="748"/>
  </r>
  <r>
    <x v="0"/>
    <x v="356"/>
    <x v="225"/>
    <x v="50"/>
    <x v="211"/>
    <x v="430"/>
    <x v="179"/>
    <x v="719"/>
    <x v="238"/>
    <x v="338"/>
    <x v="536"/>
    <x v="627"/>
    <x v="741"/>
    <x v="741"/>
    <x v="731"/>
    <x v="1"/>
    <x v="736"/>
    <x v="741"/>
    <x v="402"/>
    <x v="0"/>
    <x v="0"/>
    <x v="2"/>
    <x v="81"/>
    <x v="25"/>
    <x v="348"/>
    <x v="28"/>
    <x v="3"/>
    <x v="1"/>
    <x v="0"/>
    <x v="749"/>
  </r>
  <r>
    <x v="0"/>
    <x v="37"/>
    <x v="354"/>
    <x v="5"/>
    <x v="0"/>
    <x v="283"/>
    <x v="180"/>
    <x v="720"/>
    <x v="308"/>
    <x v="339"/>
    <x v="537"/>
    <x v="371"/>
    <x v="742"/>
    <x v="742"/>
    <x v="732"/>
    <x v="1"/>
    <x v="737"/>
    <x v="742"/>
    <x v="537"/>
    <x v="0"/>
    <x v="0"/>
    <x v="0"/>
    <x v="103"/>
    <x v="14"/>
    <x v="349"/>
    <x v="2"/>
    <x v="3"/>
    <x v="1"/>
    <x v="0"/>
    <x v="750"/>
  </r>
  <r>
    <x v="0"/>
    <x v="357"/>
    <x v="382"/>
    <x v="69"/>
    <x v="212"/>
    <x v="282"/>
    <x v="22"/>
    <x v="721"/>
    <x v="270"/>
    <x v="226"/>
    <x v="538"/>
    <x v="564"/>
    <x v="743"/>
    <x v="743"/>
    <x v="733"/>
    <x v="1"/>
    <x v="738"/>
    <x v="743"/>
    <x v="339"/>
    <x v="0"/>
    <x v="0"/>
    <x v="0"/>
    <x v="81"/>
    <x v="20"/>
    <x v="280"/>
    <x v="12"/>
    <x v="1"/>
    <x v="103"/>
    <x v="0"/>
    <x v="751"/>
  </r>
  <r>
    <x v="0"/>
    <x v="358"/>
    <x v="252"/>
    <x v="80"/>
    <x v="52"/>
    <x v="104"/>
    <x v="14"/>
    <x v="722"/>
    <x v="21"/>
    <x v="219"/>
    <x v="539"/>
    <x v="628"/>
    <x v="744"/>
    <x v="744"/>
    <x v="734"/>
    <x v="0"/>
    <x v="739"/>
    <x v="744"/>
    <x v="538"/>
    <x v="0"/>
    <x v="0"/>
    <x v="2"/>
    <x v="81"/>
    <x v="3"/>
    <x v="350"/>
    <x v="15"/>
    <x v="1"/>
    <x v="85"/>
    <x v="0"/>
    <x v="752"/>
  </r>
  <r>
    <x v="0"/>
    <x v="309"/>
    <x v="383"/>
    <x v="23"/>
    <x v="194"/>
    <x v="431"/>
    <x v="6"/>
    <x v="723"/>
    <x v="263"/>
    <x v="6"/>
    <x v="259"/>
    <x v="629"/>
    <x v="745"/>
    <x v="745"/>
    <x v="735"/>
    <x v="0"/>
    <x v="740"/>
    <x v="745"/>
    <x v="108"/>
    <x v="0"/>
    <x v="0"/>
    <x v="4"/>
    <x v="81"/>
    <x v="13"/>
    <x v="44"/>
    <x v="22"/>
    <x v="1"/>
    <x v="1"/>
    <x v="0"/>
    <x v="753"/>
  </r>
  <r>
    <x v="0"/>
    <x v="134"/>
    <x v="128"/>
    <x v="73"/>
    <x v="99"/>
    <x v="432"/>
    <x v="181"/>
    <x v="724"/>
    <x v="123"/>
    <x v="340"/>
    <x v="137"/>
    <x v="630"/>
    <x v="746"/>
    <x v="746"/>
    <x v="736"/>
    <x v="0"/>
    <x v="741"/>
    <x v="746"/>
    <x v="539"/>
    <x v="0"/>
    <x v="0"/>
    <x v="0"/>
    <x v="81"/>
    <x v="17"/>
    <x v="94"/>
    <x v="22"/>
    <x v="1"/>
    <x v="1"/>
    <x v="0"/>
    <x v="754"/>
  </r>
  <r>
    <x v="0"/>
    <x v="359"/>
    <x v="384"/>
    <x v="23"/>
    <x v="59"/>
    <x v="406"/>
    <x v="0"/>
    <x v="725"/>
    <x v="17"/>
    <x v="31"/>
    <x v="540"/>
    <x v="588"/>
    <x v="747"/>
    <x v="747"/>
    <x v="737"/>
    <x v="4"/>
    <x v="742"/>
    <x v="747"/>
    <x v="487"/>
    <x v="0"/>
    <x v="0"/>
    <x v="0"/>
    <x v="81"/>
    <x v="25"/>
    <x v="351"/>
    <x v="9"/>
    <x v="3"/>
    <x v="161"/>
    <x v="0"/>
    <x v="755"/>
  </r>
  <r>
    <x v="0"/>
    <x v="360"/>
    <x v="378"/>
    <x v="41"/>
    <x v="174"/>
    <x v="11"/>
    <x v="123"/>
    <x v="726"/>
    <x v="21"/>
    <x v="341"/>
    <x v="256"/>
    <x v="11"/>
    <x v="748"/>
    <x v="748"/>
    <x v="738"/>
    <x v="0"/>
    <x v="743"/>
    <x v="748"/>
    <x v="170"/>
    <x v="0"/>
    <x v="1"/>
    <x v="3"/>
    <x v="81"/>
    <x v="8"/>
    <x v="12"/>
    <x v="9"/>
    <x v="1"/>
    <x v="1"/>
    <x v="0"/>
    <x v="756"/>
  </r>
  <r>
    <x v="0"/>
    <x v="113"/>
    <x v="385"/>
    <x v="96"/>
    <x v="88"/>
    <x v="160"/>
    <x v="182"/>
    <x v="4"/>
    <x v="127"/>
    <x v="342"/>
    <x v="541"/>
    <x v="631"/>
    <x v="749"/>
    <x v="749"/>
    <x v="739"/>
    <x v="3"/>
    <x v="744"/>
    <x v="749"/>
    <x v="540"/>
    <x v="0"/>
    <x v="0"/>
    <x v="6"/>
    <x v="4"/>
    <x v="4"/>
    <x v="79"/>
    <x v="11"/>
    <x v="0"/>
    <x v="1"/>
    <x v="0"/>
    <x v="757"/>
  </r>
  <r>
    <x v="0"/>
    <x v="361"/>
    <x v="225"/>
    <x v="42"/>
    <x v="31"/>
    <x v="203"/>
    <x v="159"/>
    <x v="727"/>
    <x v="148"/>
    <x v="343"/>
    <x v="542"/>
    <x v="632"/>
    <x v="750"/>
    <x v="750"/>
    <x v="740"/>
    <x v="4"/>
    <x v="745"/>
    <x v="750"/>
    <x v="488"/>
    <x v="0"/>
    <x v="0"/>
    <x v="0"/>
    <x v="81"/>
    <x v="19"/>
    <x v="352"/>
    <x v="43"/>
    <x v="3"/>
    <x v="162"/>
    <x v="0"/>
    <x v="758"/>
  </r>
  <r>
    <x v="0"/>
    <x v="362"/>
    <x v="276"/>
    <x v="80"/>
    <x v="125"/>
    <x v="433"/>
    <x v="183"/>
    <x v="728"/>
    <x v="3"/>
    <x v="344"/>
    <x v="543"/>
    <x v="633"/>
    <x v="751"/>
    <x v="751"/>
    <x v="741"/>
    <x v="1"/>
    <x v="746"/>
    <x v="751"/>
    <x v="189"/>
    <x v="0"/>
    <x v="0"/>
    <x v="4"/>
    <x v="81"/>
    <x v="16"/>
    <x v="177"/>
    <x v="28"/>
    <x v="3"/>
    <x v="103"/>
    <x v="0"/>
    <x v="759"/>
  </r>
  <r>
    <x v="0"/>
    <x v="85"/>
    <x v="13"/>
    <x v="72"/>
    <x v="0"/>
    <x v="434"/>
    <x v="184"/>
    <x v="729"/>
    <x v="65"/>
    <x v="345"/>
    <x v="475"/>
    <x v="634"/>
    <x v="752"/>
    <x v="752"/>
    <x v="742"/>
    <x v="3"/>
    <x v="747"/>
    <x v="752"/>
    <x v="316"/>
    <x v="0"/>
    <x v="0"/>
    <x v="0"/>
    <x v="81"/>
    <x v="11"/>
    <x v="309"/>
    <x v="5"/>
    <x v="1"/>
    <x v="16"/>
    <x v="0"/>
    <x v="760"/>
  </r>
  <r>
    <x v="0"/>
    <x v="363"/>
    <x v="26"/>
    <x v="23"/>
    <x v="213"/>
    <x v="33"/>
    <x v="31"/>
    <x v="730"/>
    <x v="309"/>
    <x v="37"/>
    <x v="455"/>
    <x v="635"/>
    <x v="753"/>
    <x v="753"/>
    <x v="743"/>
    <x v="3"/>
    <x v="748"/>
    <x v="753"/>
    <x v="541"/>
    <x v="0"/>
    <x v="0"/>
    <x v="0"/>
    <x v="81"/>
    <x v="2"/>
    <x v="31"/>
    <x v="4"/>
    <x v="3"/>
    <x v="4"/>
    <x v="0"/>
    <x v="761"/>
  </r>
  <r>
    <x v="0"/>
    <x v="364"/>
    <x v="117"/>
    <x v="77"/>
    <x v="192"/>
    <x v="435"/>
    <x v="11"/>
    <x v="731"/>
    <x v="28"/>
    <x v="69"/>
    <x v="535"/>
    <x v="636"/>
    <x v="754"/>
    <x v="754"/>
    <x v="744"/>
    <x v="3"/>
    <x v="749"/>
    <x v="754"/>
    <x v="451"/>
    <x v="0"/>
    <x v="1"/>
    <x v="4"/>
    <x v="81"/>
    <x v="6"/>
    <x v="127"/>
    <x v="18"/>
    <x v="1"/>
    <x v="82"/>
    <x v="0"/>
    <x v="762"/>
  </r>
  <r>
    <x v="0"/>
    <x v="365"/>
    <x v="386"/>
    <x v="38"/>
    <x v="0"/>
    <x v="406"/>
    <x v="0"/>
    <x v="732"/>
    <x v="310"/>
    <x v="346"/>
    <x v="544"/>
    <x v="588"/>
    <x v="755"/>
    <x v="755"/>
    <x v="745"/>
    <x v="0"/>
    <x v="750"/>
    <x v="755"/>
    <x v="430"/>
    <x v="0"/>
    <x v="0"/>
    <x v="4"/>
    <x v="74"/>
    <x v="13"/>
    <x v="353"/>
    <x v="22"/>
    <x v="1"/>
    <x v="1"/>
    <x v="0"/>
    <x v="763"/>
  </r>
  <r>
    <x v="0"/>
    <x v="274"/>
    <x v="204"/>
    <x v="23"/>
    <x v="178"/>
    <x v="436"/>
    <x v="77"/>
    <x v="733"/>
    <x v="80"/>
    <x v="347"/>
    <x v="545"/>
    <x v="637"/>
    <x v="756"/>
    <x v="756"/>
    <x v="746"/>
    <x v="0"/>
    <x v="751"/>
    <x v="756"/>
    <x v="542"/>
    <x v="0"/>
    <x v="0"/>
    <x v="4"/>
    <x v="109"/>
    <x v="1"/>
    <x v="354"/>
    <x v="13"/>
    <x v="1"/>
    <x v="1"/>
    <x v="0"/>
    <x v="764"/>
  </r>
  <r>
    <x v="0"/>
    <x v="366"/>
    <x v="66"/>
    <x v="45"/>
    <x v="143"/>
    <x v="437"/>
    <x v="185"/>
    <x v="734"/>
    <x v="21"/>
    <x v="348"/>
    <x v="546"/>
    <x v="638"/>
    <x v="757"/>
    <x v="757"/>
    <x v="747"/>
    <x v="3"/>
    <x v="752"/>
    <x v="757"/>
    <x v="138"/>
    <x v="0"/>
    <x v="0"/>
    <x v="2"/>
    <x v="81"/>
    <x v="11"/>
    <x v="355"/>
    <x v="2"/>
    <x v="3"/>
    <x v="59"/>
    <x v="0"/>
    <x v="765"/>
  </r>
  <r>
    <x v="0"/>
    <x v="367"/>
    <x v="358"/>
    <x v="27"/>
    <x v="124"/>
    <x v="438"/>
    <x v="0"/>
    <x v="735"/>
    <x v="196"/>
    <x v="300"/>
    <x v="547"/>
    <x v="639"/>
    <x v="758"/>
    <x v="758"/>
    <x v="748"/>
    <x v="1"/>
    <x v="753"/>
    <x v="758"/>
    <x v="73"/>
    <x v="0"/>
    <x v="0"/>
    <x v="0"/>
    <x v="115"/>
    <x v="20"/>
    <x v="102"/>
    <x v="9"/>
    <x v="1"/>
    <x v="1"/>
    <x v="0"/>
    <x v="766"/>
  </r>
  <r>
    <x v="0"/>
    <x v="201"/>
    <x v="337"/>
    <x v="7"/>
    <x v="142"/>
    <x v="10"/>
    <x v="2"/>
    <x v="736"/>
    <x v="73"/>
    <x v="130"/>
    <x v="229"/>
    <x v="640"/>
    <x v="759"/>
    <x v="759"/>
    <x v="749"/>
    <x v="0"/>
    <x v="754"/>
    <x v="759"/>
    <x v="543"/>
    <x v="0"/>
    <x v="5"/>
    <x v="2"/>
    <x v="81"/>
    <x v="11"/>
    <x v="135"/>
    <x v="6"/>
    <x v="1"/>
    <x v="163"/>
    <x v="0"/>
    <x v="767"/>
  </r>
  <r>
    <x v="0"/>
    <x v="368"/>
    <x v="387"/>
    <x v="69"/>
    <x v="31"/>
    <x v="437"/>
    <x v="0"/>
    <x v="737"/>
    <x v="132"/>
    <x v="349"/>
    <x v="110"/>
    <x v="641"/>
    <x v="760"/>
    <x v="760"/>
    <x v="750"/>
    <x v="4"/>
    <x v="755"/>
    <x v="760"/>
    <x v="319"/>
    <x v="0"/>
    <x v="0"/>
    <x v="0"/>
    <x v="91"/>
    <x v="12"/>
    <x v="78"/>
    <x v="40"/>
    <x v="1"/>
    <x v="164"/>
    <x v="0"/>
    <x v="768"/>
  </r>
  <r>
    <x v="0"/>
    <x v="318"/>
    <x v="291"/>
    <x v="59"/>
    <x v="47"/>
    <x v="21"/>
    <x v="29"/>
    <x v="738"/>
    <x v="20"/>
    <x v="34"/>
    <x v="374"/>
    <x v="642"/>
    <x v="761"/>
    <x v="761"/>
    <x v="751"/>
    <x v="0"/>
    <x v="756"/>
    <x v="761"/>
    <x v="544"/>
    <x v="0"/>
    <x v="0"/>
    <x v="0"/>
    <x v="81"/>
    <x v="19"/>
    <x v="249"/>
    <x v="5"/>
    <x v="1"/>
    <x v="1"/>
    <x v="0"/>
    <x v="769"/>
  </r>
  <r>
    <x v="0"/>
    <x v="369"/>
    <x v="264"/>
    <x v="18"/>
    <x v="214"/>
    <x v="439"/>
    <x v="186"/>
    <x v="739"/>
    <x v="28"/>
    <x v="350"/>
    <x v="548"/>
    <x v="643"/>
    <x v="762"/>
    <x v="762"/>
    <x v="752"/>
    <x v="3"/>
    <x v="757"/>
    <x v="762"/>
    <x v="434"/>
    <x v="0"/>
    <x v="0"/>
    <x v="4"/>
    <x v="81"/>
    <x v="9"/>
    <x v="356"/>
    <x v="10"/>
    <x v="1"/>
    <x v="13"/>
    <x v="0"/>
    <x v="770"/>
  </r>
  <r>
    <x v="0"/>
    <x v="370"/>
    <x v="230"/>
    <x v="7"/>
    <x v="201"/>
    <x v="440"/>
    <x v="14"/>
    <x v="740"/>
    <x v="311"/>
    <x v="351"/>
    <x v="297"/>
    <x v="644"/>
    <x v="763"/>
    <x v="763"/>
    <x v="753"/>
    <x v="4"/>
    <x v="758"/>
    <x v="763"/>
    <x v="394"/>
    <x v="0"/>
    <x v="0"/>
    <x v="0"/>
    <x v="81"/>
    <x v="0"/>
    <x v="30"/>
    <x v="41"/>
    <x v="3"/>
    <x v="1"/>
    <x v="0"/>
    <x v="771"/>
  </r>
  <r>
    <x v="0"/>
    <x v="326"/>
    <x v="49"/>
    <x v="90"/>
    <x v="121"/>
    <x v="441"/>
    <x v="57"/>
    <x v="741"/>
    <x v="312"/>
    <x v="109"/>
    <x v="65"/>
    <x v="645"/>
    <x v="764"/>
    <x v="764"/>
    <x v="754"/>
    <x v="1"/>
    <x v="759"/>
    <x v="764"/>
    <x v="545"/>
    <x v="0"/>
    <x v="0"/>
    <x v="0"/>
    <x v="81"/>
    <x v="0"/>
    <x v="6"/>
    <x v="38"/>
    <x v="1"/>
    <x v="33"/>
    <x v="0"/>
    <x v="772"/>
  </r>
  <r>
    <x v="0"/>
    <x v="371"/>
    <x v="153"/>
    <x v="46"/>
    <x v="215"/>
    <x v="442"/>
    <x v="11"/>
    <x v="742"/>
    <x v="171"/>
    <x v="49"/>
    <x v="549"/>
    <x v="646"/>
    <x v="765"/>
    <x v="765"/>
    <x v="755"/>
    <x v="3"/>
    <x v="760"/>
    <x v="765"/>
    <x v="527"/>
    <x v="0"/>
    <x v="0"/>
    <x v="0"/>
    <x v="4"/>
    <x v="0"/>
    <x v="357"/>
    <x v="1"/>
    <x v="1"/>
    <x v="1"/>
    <x v="0"/>
    <x v="773"/>
  </r>
  <r>
    <x v="0"/>
    <x v="132"/>
    <x v="130"/>
    <x v="31"/>
    <x v="84"/>
    <x v="443"/>
    <x v="94"/>
    <x v="743"/>
    <x v="313"/>
    <x v="218"/>
    <x v="203"/>
    <x v="647"/>
    <x v="766"/>
    <x v="766"/>
    <x v="756"/>
    <x v="0"/>
    <x v="761"/>
    <x v="766"/>
    <x v="335"/>
    <x v="0"/>
    <x v="0"/>
    <x v="0"/>
    <x v="81"/>
    <x v="0"/>
    <x v="30"/>
    <x v="5"/>
    <x v="1"/>
    <x v="1"/>
    <x v="0"/>
    <x v="774"/>
  </r>
  <r>
    <x v="0"/>
    <x v="372"/>
    <x v="324"/>
    <x v="50"/>
    <x v="8"/>
    <x v="444"/>
    <x v="0"/>
    <x v="744"/>
    <x v="207"/>
    <x v="352"/>
    <x v="550"/>
    <x v="648"/>
    <x v="767"/>
    <x v="767"/>
    <x v="757"/>
    <x v="4"/>
    <x v="762"/>
    <x v="767"/>
    <x v="546"/>
    <x v="0"/>
    <x v="0"/>
    <x v="2"/>
    <x v="48"/>
    <x v="15"/>
    <x v="358"/>
    <x v="41"/>
    <x v="3"/>
    <x v="165"/>
    <x v="0"/>
    <x v="775"/>
  </r>
  <r>
    <x v="0"/>
    <x v="295"/>
    <x v="331"/>
    <x v="86"/>
    <x v="65"/>
    <x v="445"/>
    <x v="187"/>
    <x v="745"/>
    <x v="23"/>
    <x v="353"/>
    <x v="551"/>
    <x v="649"/>
    <x v="768"/>
    <x v="768"/>
    <x v="758"/>
    <x v="0"/>
    <x v="763"/>
    <x v="768"/>
    <x v="507"/>
    <x v="0"/>
    <x v="0"/>
    <x v="0"/>
    <x v="81"/>
    <x v="7"/>
    <x v="359"/>
    <x v="9"/>
    <x v="1"/>
    <x v="166"/>
    <x v="0"/>
    <x v="776"/>
  </r>
  <r>
    <x v="0"/>
    <x v="373"/>
    <x v="150"/>
    <x v="43"/>
    <x v="216"/>
    <x v="446"/>
    <x v="25"/>
    <x v="746"/>
    <x v="44"/>
    <x v="138"/>
    <x v="117"/>
    <x v="650"/>
    <x v="769"/>
    <x v="769"/>
    <x v="759"/>
    <x v="1"/>
    <x v="764"/>
    <x v="769"/>
    <x v="547"/>
    <x v="0"/>
    <x v="13"/>
    <x v="2"/>
    <x v="80"/>
    <x v="0"/>
    <x v="10"/>
    <x v="9"/>
    <x v="1"/>
    <x v="1"/>
    <x v="0"/>
    <x v="777"/>
  </r>
  <r>
    <x v="0"/>
    <x v="374"/>
    <x v="208"/>
    <x v="38"/>
    <x v="217"/>
    <x v="447"/>
    <x v="3"/>
    <x v="747"/>
    <x v="18"/>
    <x v="3"/>
    <x v="552"/>
    <x v="651"/>
    <x v="770"/>
    <x v="770"/>
    <x v="760"/>
    <x v="0"/>
    <x v="765"/>
    <x v="770"/>
    <x v="548"/>
    <x v="0"/>
    <x v="0"/>
    <x v="0"/>
    <x v="81"/>
    <x v="19"/>
    <x v="30"/>
    <x v="21"/>
    <x v="1"/>
    <x v="1"/>
    <x v="0"/>
    <x v="778"/>
  </r>
  <r>
    <x v="0"/>
    <x v="375"/>
    <x v="331"/>
    <x v="7"/>
    <x v="0"/>
    <x v="273"/>
    <x v="188"/>
    <x v="748"/>
    <x v="314"/>
    <x v="354"/>
    <x v="553"/>
    <x v="652"/>
    <x v="771"/>
    <x v="771"/>
    <x v="761"/>
    <x v="1"/>
    <x v="766"/>
    <x v="771"/>
    <x v="302"/>
    <x v="0"/>
    <x v="0"/>
    <x v="0"/>
    <x v="81"/>
    <x v="17"/>
    <x v="360"/>
    <x v="22"/>
    <x v="3"/>
    <x v="1"/>
    <x v="0"/>
    <x v="779"/>
  </r>
  <r>
    <x v="0"/>
    <x v="376"/>
    <x v="178"/>
    <x v="70"/>
    <x v="218"/>
    <x v="158"/>
    <x v="17"/>
    <x v="749"/>
    <x v="291"/>
    <x v="303"/>
    <x v="554"/>
    <x v="194"/>
    <x v="772"/>
    <x v="772"/>
    <x v="762"/>
    <x v="0"/>
    <x v="767"/>
    <x v="772"/>
    <x v="549"/>
    <x v="0"/>
    <x v="0"/>
    <x v="0"/>
    <x v="4"/>
    <x v="3"/>
    <x v="80"/>
    <x v="2"/>
    <x v="1"/>
    <x v="59"/>
    <x v="0"/>
    <x v="780"/>
  </r>
  <r>
    <x v="0"/>
    <x v="30"/>
    <x v="16"/>
    <x v="85"/>
    <x v="22"/>
    <x v="443"/>
    <x v="35"/>
    <x v="750"/>
    <x v="171"/>
    <x v="355"/>
    <x v="48"/>
    <x v="647"/>
    <x v="773"/>
    <x v="773"/>
    <x v="763"/>
    <x v="1"/>
    <x v="768"/>
    <x v="773"/>
    <x v="541"/>
    <x v="0"/>
    <x v="1"/>
    <x v="4"/>
    <x v="67"/>
    <x v="5"/>
    <x v="30"/>
    <x v="4"/>
    <x v="1"/>
    <x v="1"/>
    <x v="0"/>
    <x v="781"/>
  </r>
  <r>
    <x v="0"/>
    <x v="177"/>
    <x v="299"/>
    <x v="47"/>
    <x v="0"/>
    <x v="448"/>
    <x v="189"/>
    <x v="751"/>
    <x v="315"/>
    <x v="356"/>
    <x v="555"/>
    <x v="653"/>
    <x v="774"/>
    <x v="774"/>
    <x v="559"/>
    <x v="0"/>
    <x v="769"/>
    <x v="774"/>
    <x v="550"/>
    <x v="0"/>
    <x v="1"/>
    <x v="4"/>
    <x v="88"/>
    <x v="13"/>
    <x v="361"/>
    <x v="20"/>
    <x v="1"/>
    <x v="167"/>
    <x v="0"/>
    <x v="782"/>
  </r>
  <r>
    <x v="0"/>
    <x v="370"/>
    <x v="353"/>
    <x v="45"/>
    <x v="201"/>
    <x v="38"/>
    <x v="13"/>
    <x v="752"/>
    <x v="70"/>
    <x v="158"/>
    <x v="556"/>
    <x v="654"/>
    <x v="775"/>
    <x v="775"/>
    <x v="764"/>
    <x v="1"/>
    <x v="770"/>
    <x v="775"/>
    <x v="460"/>
    <x v="0"/>
    <x v="0"/>
    <x v="4"/>
    <x v="81"/>
    <x v="19"/>
    <x v="309"/>
    <x v="18"/>
    <x v="3"/>
    <x v="168"/>
    <x v="0"/>
    <x v="783"/>
  </r>
  <r>
    <x v="0"/>
    <x v="359"/>
    <x v="204"/>
    <x v="59"/>
    <x v="59"/>
    <x v="1"/>
    <x v="13"/>
    <x v="753"/>
    <x v="80"/>
    <x v="158"/>
    <x v="557"/>
    <x v="655"/>
    <x v="776"/>
    <x v="776"/>
    <x v="765"/>
    <x v="4"/>
    <x v="771"/>
    <x v="776"/>
    <x v="248"/>
    <x v="0"/>
    <x v="0"/>
    <x v="4"/>
    <x v="81"/>
    <x v="8"/>
    <x v="20"/>
    <x v="19"/>
    <x v="1"/>
    <x v="1"/>
    <x v="0"/>
    <x v="784"/>
  </r>
  <r>
    <x v="0"/>
    <x v="377"/>
    <x v="212"/>
    <x v="70"/>
    <x v="184"/>
    <x v="449"/>
    <x v="57"/>
    <x v="754"/>
    <x v="28"/>
    <x v="99"/>
    <x v="478"/>
    <x v="656"/>
    <x v="777"/>
    <x v="777"/>
    <x v="766"/>
    <x v="1"/>
    <x v="772"/>
    <x v="777"/>
    <x v="405"/>
    <x v="0"/>
    <x v="0"/>
    <x v="4"/>
    <x v="81"/>
    <x v="20"/>
    <x v="36"/>
    <x v="9"/>
    <x v="1"/>
    <x v="1"/>
    <x v="0"/>
    <x v="785"/>
  </r>
  <r>
    <x v="0"/>
    <x v="96"/>
    <x v="134"/>
    <x v="85"/>
    <x v="75"/>
    <x v="450"/>
    <x v="20"/>
    <x v="755"/>
    <x v="316"/>
    <x v="21"/>
    <x v="265"/>
    <x v="657"/>
    <x v="778"/>
    <x v="778"/>
    <x v="767"/>
    <x v="0"/>
    <x v="773"/>
    <x v="778"/>
    <x v="498"/>
    <x v="0"/>
    <x v="1"/>
    <x v="0"/>
    <x v="81"/>
    <x v="0"/>
    <x v="179"/>
    <x v="10"/>
    <x v="1"/>
    <x v="1"/>
    <x v="0"/>
    <x v="786"/>
  </r>
  <r>
    <x v="0"/>
    <x v="351"/>
    <x v="211"/>
    <x v="51"/>
    <x v="0"/>
    <x v="168"/>
    <x v="57"/>
    <x v="756"/>
    <x v="317"/>
    <x v="109"/>
    <x v="558"/>
    <x v="213"/>
    <x v="779"/>
    <x v="779"/>
    <x v="768"/>
    <x v="3"/>
    <x v="774"/>
    <x v="779"/>
    <x v="312"/>
    <x v="0"/>
    <x v="0"/>
    <x v="0"/>
    <x v="81"/>
    <x v="21"/>
    <x v="10"/>
    <x v="10"/>
    <x v="3"/>
    <x v="1"/>
    <x v="0"/>
    <x v="787"/>
  </r>
  <r>
    <x v="0"/>
    <x v="296"/>
    <x v="290"/>
    <x v="49"/>
    <x v="189"/>
    <x v="451"/>
    <x v="13"/>
    <x v="757"/>
    <x v="318"/>
    <x v="93"/>
    <x v="255"/>
    <x v="658"/>
    <x v="780"/>
    <x v="780"/>
    <x v="769"/>
    <x v="1"/>
    <x v="775"/>
    <x v="780"/>
    <x v="99"/>
    <x v="0"/>
    <x v="0"/>
    <x v="4"/>
    <x v="81"/>
    <x v="21"/>
    <x v="6"/>
    <x v="0"/>
    <x v="3"/>
    <x v="61"/>
    <x v="0"/>
    <x v="788"/>
  </r>
  <r>
    <x v="0"/>
    <x v="344"/>
    <x v="379"/>
    <x v="107"/>
    <x v="73"/>
    <x v="161"/>
    <x v="57"/>
    <x v="758"/>
    <x v="57"/>
    <x v="192"/>
    <x v="530"/>
    <x v="659"/>
    <x v="781"/>
    <x v="781"/>
    <x v="770"/>
    <x v="0"/>
    <x v="776"/>
    <x v="781"/>
    <x v="169"/>
    <x v="0"/>
    <x v="1"/>
    <x v="2"/>
    <x v="4"/>
    <x v="7"/>
    <x v="30"/>
    <x v="40"/>
    <x v="3"/>
    <x v="169"/>
    <x v="0"/>
    <x v="789"/>
  </r>
  <r>
    <x v="0"/>
    <x v="98"/>
    <x v="379"/>
    <x v="59"/>
    <x v="76"/>
    <x v="337"/>
    <x v="190"/>
    <x v="759"/>
    <x v="263"/>
    <x v="357"/>
    <x v="559"/>
    <x v="660"/>
    <x v="782"/>
    <x v="782"/>
    <x v="226"/>
    <x v="4"/>
    <x v="777"/>
    <x v="782"/>
    <x v="507"/>
    <x v="0"/>
    <x v="0"/>
    <x v="0"/>
    <x v="79"/>
    <x v="12"/>
    <x v="362"/>
    <x v="44"/>
    <x v="1"/>
    <x v="1"/>
    <x v="0"/>
    <x v="790"/>
  </r>
  <r>
    <x v="0"/>
    <x v="378"/>
    <x v="117"/>
    <x v="101"/>
    <x v="94"/>
    <x v="37"/>
    <x v="191"/>
    <x v="760"/>
    <x v="319"/>
    <x v="358"/>
    <x v="560"/>
    <x v="661"/>
    <x v="783"/>
    <x v="783"/>
    <x v="771"/>
    <x v="0"/>
    <x v="778"/>
    <x v="783"/>
    <x v="551"/>
    <x v="0"/>
    <x v="0"/>
    <x v="0"/>
    <x v="81"/>
    <x v="10"/>
    <x v="363"/>
    <x v="20"/>
    <x v="1"/>
    <x v="35"/>
    <x v="0"/>
    <x v="791"/>
  </r>
  <r>
    <x v="0"/>
    <x v="379"/>
    <x v="288"/>
    <x v="79"/>
    <x v="0"/>
    <x v="49"/>
    <x v="2"/>
    <x v="761"/>
    <x v="320"/>
    <x v="75"/>
    <x v="561"/>
    <x v="662"/>
    <x v="784"/>
    <x v="784"/>
    <x v="772"/>
    <x v="0"/>
    <x v="779"/>
    <x v="784"/>
    <x v="552"/>
    <x v="0"/>
    <x v="0"/>
    <x v="2"/>
    <x v="81"/>
    <x v="17"/>
    <x v="364"/>
    <x v="10"/>
    <x v="10"/>
    <x v="135"/>
    <x v="0"/>
    <x v="792"/>
  </r>
  <r>
    <x v="0"/>
    <x v="216"/>
    <x v="208"/>
    <x v="29"/>
    <x v="149"/>
    <x v="391"/>
    <x v="192"/>
    <x v="762"/>
    <x v="321"/>
    <x v="359"/>
    <x v="562"/>
    <x v="552"/>
    <x v="785"/>
    <x v="785"/>
    <x v="773"/>
    <x v="0"/>
    <x v="780"/>
    <x v="785"/>
    <x v="553"/>
    <x v="0"/>
    <x v="1"/>
    <x v="4"/>
    <x v="81"/>
    <x v="13"/>
    <x v="297"/>
    <x v="10"/>
    <x v="1"/>
    <x v="7"/>
    <x v="0"/>
    <x v="793"/>
  </r>
  <r>
    <x v="0"/>
    <x v="8"/>
    <x v="17"/>
    <x v="15"/>
    <x v="0"/>
    <x v="8"/>
    <x v="8"/>
    <x v="17"/>
    <x v="5"/>
    <x v="8"/>
    <x v="8"/>
    <x v="8"/>
    <x v="17"/>
    <x v="17"/>
    <x v="17"/>
    <x v="3"/>
    <x v="17"/>
    <x v="17"/>
    <x v="17"/>
    <x v="0"/>
    <x v="0"/>
    <x v="0"/>
    <x v="12"/>
    <x v="3"/>
    <x v="8"/>
    <x v="14"/>
    <x v="3"/>
    <x v="11"/>
    <x v="0"/>
    <x v="794"/>
  </r>
  <r>
    <x v="0"/>
    <x v="51"/>
    <x v="338"/>
    <x v="27"/>
    <x v="36"/>
    <x v="102"/>
    <x v="89"/>
    <x v="763"/>
    <x v="322"/>
    <x v="155"/>
    <x v="563"/>
    <x v="127"/>
    <x v="786"/>
    <x v="786"/>
    <x v="774"/>
    <x v="0"/>
    <x v="781"/>
    <x v="786"/>
    <x v="554"/>
    <x v="0"/>
    <x v="0"/>
    <x v="0"/>
    <x v="81"/>
    <x v="19"/>
    <x v="365"/>
    <x v="9"/>
    <x v="1"/>
    <x v="1"/>
    <x v="0"/>
    <x v="795"/>
  </r>
  <r>
    <x v="0"/>
    <x v="209"/>
    <x v="59"/>
    <x v="61"/>
    <x v="0"/>
    <x v="375"/>
    <x v="32"/>
    <x v="764"/>
    <x v="171"/>
    <x v="59"/>
    <x v="564"/>
    <x v="663"/>
    <x v="787"/>
    <x v="787"/>
    <x v="775"/>
    <x v="0"/>
    <x v="782"/>
    <x v="787"/>
    <x v="555"/>
    <x v="0"/>
    <x v="8"/>
    <x v="4"/>
    <x v="95"/>
    <x v="7"/>
    <x v="16"/>
    <x v="23"/>
    <x v="1"/>
    <x v="1"/>
    <x v="0"/>
    <x v="796"/>
  </r>
  <r>
    <x v="1"/>
    <x v="380"/>
    <x v="318"/>
    <x v="35"/>
    <x v="80"/>
    <x v="421"/>
    <x v="2"/>
    <x v="765"/>
    <x v="323"/>
    <x v="182"/>
    <x v="31"/>
    <x v="664"/>
    <x v="788"/>
    <x v="788"/>
    <x v="776"/>
    <x v="1"/>
    <x v="783"/>
    <x v="788"/>
    <x v="556"/>
    <x v="0"/>
    <x v="1"/>
    <x v="0"/>
    <x v="81"/>
    <x v="7"/>
    <x v="25"/>
    <x v="4"/>
    <x v="1"/>
    <x v="43"/>
    <x v="0"/>
    <x v="797"/>
  </r>
  <r>
    <x v="0"/>
    <x v="381"/>
    <x v="382"/>
    <x v="22"/>
    <x v="19"/>
    <x v="452"/>
    <x v="193"/>
    <x v="766"/>
    <x v="65"/>
    <x v="360"/>
    <x v="58"/>
    <x v="665"/>
    <x v="789"/>
    <x v="789"/>
    <x v="777"/>
    <x v="3"/>
    <x v="784"/>
    <x v="789"/>
    <x v="481"/>
    <x v="0"/>
    <x v="0"/>
    <x v="4"/>
    <x v="81"/>
    <x v="18"/>
    <x v="45"/>
    <x v="8"/>
    <x v="1"/>
    <x v="1"/>
    <x v="0"/>
    <x v="798"/>
  </r>
  <r>
    <x v="0"/>
    <x v="382"/>
    <x v="388"/>
    <x v="43"/>
    <x v="71"/>
    <x v="453"/>
    <x v="194"/>
    <x v="767"/>
    <x v="321"/>
    <x v="361"/>
    <x v="565"/>
    <x v="666"/>
    <x v="790"/>
    <x v="790"/>
    <x v="778"/>
    <x v="0"/>
    <x v="785"/>
    <x v="790"/>
    <x v="557"/>
    <x v="0"/>
    <x v="0"/>
    <x v="0"/>
    <x v="48"/>
    <x v="21"/>
    <x v="366"/>
    <x v="30"/>
    <x v="1"/>
    <x v="170"/>
    <x v="0"/>
    <x v="799"/>
  </r>
  <r>
    <x v="0"/>
    <x v="383"/>
    <x v="357"/>
    <x v="34"/>
    <x v="100"/>
    <x v="454"/>
    <x v="24"/>
    <x v="768"/>
    <x v="324"/>
    <x v="362"/>
    <x v="20"/>
    <x v="667"/>
    <x v="791"/>
    <x v="791"/>
    <x v="779"/>
    <x v="0"/>
    <x v="786"/>
    <x v="791"/>
    <x v="189"/>
    <x v="0"/>
    <x v="0"/>
    <x v="0"/>
    <x v="81"/>
    <x v="11"/>
    <x v="17"/>
    <x v="5"/>
    <x v="1"/>
    <x v="16"/>
    <x v="0"/>
    <x v="800"/>
  </r>
  <r>
    <x v="0"/>
    <x v="384"/>
    <x v="237"/>
    <x v="29"/>
    <x v="159"/>
    <x v="1"/>
    <x v="15"/>
    <x v="769"/>
    <x v="325"/>
    <x v="15"/>
    <x v="566"/>
    <x v="668"/>
    <x v="792"/>
    <x v="792"/>
    <x v="780"/>
    <x v="3"/>
    <x v="787"/>
    <x v="792"/>
    <x v="424"/>
    <x v="0"/>
    <x v="0"/>
    <x v="0"/>
    <x v="81"/>
    <x v="9"/>
    <x v="12"/>
    <x v="19"/>
    <x v="1"/>
    <x v="20"/>
    <x v="0"/>
    <x v="801"/>
  </r>
  <r>
    <x v="0"/>
    <x v="355"/>
    <x v="238"/>
    <x v="78"/>
    <x v="210"/>
    <x v="455"/>
    <x v="195"/>
    <x v="770"/>
    <x v="326"/>
    <x v="363"/>
    <x v="567"/>
    <x v="669"/>
    <x v="793"/>
    <x v="793"/>
    <x v="781"/>
    <x v="1"/>
    <x v="788"/>
    <x v="793"/>
    <x v="558"/>
    <x v="0"/>
    <x v="0"/>
    <x v="2"/>
    <x v="81"/>
    <x v="8"/>
    <x v="99"/>
    <x v="41"/>
    <x v="3"/>
    <x v="171"/>
    <x v="0"/>
    <x v="802"/>
  </r>
  <r>
    <x v="0"/>
    <x v="385"/>
    <x v="128"/>
    <x v="33"/>
    <x v="26"/>
    <x v="163"/>
    <x v="196"/>
    <x v="771"/>
    <x v="327"/>
    <x v="364"/>
    <x v="568"/>
    <x v="670"/>
    <x v="794"/>
    <x v="794"/>
    <x v="782"/>
    <x v="4"/>
    <x v="789"/>
    <x v="794"/>
    <x v="333"/>
    <x v="0"/>
    <x v="0"/>
    <x v="0"/>
    <x v="116"/>
    <x v="12"/>
    <x v="367"/>
    <x v="23"/>
    <x v="1"/>
    <x v="1"/>
    <x v="0"/>
    <x v="803"/>
  </r>
  <r>
    <x v="0"/>
    <x v="84"/>
    <x v="389"/>
    <x v="40"/>
    <x v="67"/>
    <x v="1"/>
    <x v="2"/>
    <x v="772"/>
    <x v="200"/>
    <x v="72"/>
    <x v="569"/>
    <x v="671"/>
    <x v="795"/>
    <x v="795"/>
    <x v="783"/>
    <x v="0"/>
    <x v="790"/>
    <x v="795"/>
    <x v="224"/>
    <x v="0"/>
    <x v="0"/>
    <x v="0"/>
    <x v="97"/>
    <x v="15"/>
    <x v="30"/>
    <x v="9"/>
    <x v="3"/>
    <x v="172"/>
    <x v="0"/>
    <x v="804"/>
  </r>
  <r>
    <x v="0"/>
    <x v="386"/>
    <x v="331"/>
    <x v="11"/>
    <x v="116"/>
    <x v="191"/>
    <x v="22"/>
    <x v="773"/>
    <x v="15"/>
    <x v="240"/>
    <x v="570"/>
    <x v="672"/>
    <x v="796"/>
    <x v="796"/>
    <x v="784"/>
    <x v="3"/>
    <x v="791"/>
    <x v="796"/>
    <x v="472"/>
    <x v="0"/>
    <x v="8"/>
    <x v="2"/>
    <x v="81"/>
    <x v="8"/>
    <x v="30"/>
    <x v="9"/>
    <x v="1"/>
    <x v="1"/>
    <x v="0"/>
    <x v="805"/>
  </r>
  <r>
    <x v="0"/>
    <x v="336"/>
    <x v="386"/>
    <x v="33"/>
    <x v="205"/>
    <x v="456"/>
    <x v="32"/>
    <x v="774"/>
    <x v="234"/>
    <x v="59"/>
    <x v="96"/>
    <x v="673"/>
    <x v="797"/>
    <x v="797"/>
    <x v="785"/>
    <x v="1"/>
    <x v="792"/>
    <x v="797"/>
    <x v="511"/>
    <x v="0"/>
    <x v="0"/>
    <x v="0"/>
    <x v="81"/>
    <x v="8"/>
    <x v="69"/>
    <x v="30"/>
    <x v="1"/>
    <x v="43"/>
    <x v="0"/>
    <x v="806"/>
  </r>
  <r>
    <x v="0"/>
    <x v="387"/>
    <x v="198"/>
    <x v="86"/>
    <x v="219"/>
    <x v="457"/>
    <x v="1"/>
    <x v="775"/>
    <x v="328"/>
    <x v="1"/>
    <x v="571"/>
    <x v="674"/>
    <x v="798"/>
    <x v="798"/>
    <x v="786"/>
    <x v="4"/>
    <x v="793"/>
    <x v="798"/>
    <x v="559"/>
    <x v="0"/>
    <x v="1"/>
    <x v="4"/>
    <x v="81"/>
    <x v="2"/>
    <x v="12"/>
    <x v="34"/>
    <x v="1"/>
    <x v="85"/>
    <x v="0"/>
    <x v="807"/>
  </r>
  <r>
    <x v="0"/>
    <x v="388"/>
    <x v="321"/>
    <x v="6"/>
    <x v="220"/>
    <x v="313"/>
    <x v="8"/>
    <x v="776"/>
    <x v="151"/>
    <x v="35"/>
    <x v="572"/>
    <x v="675"/>
    <x v="799"/>
    <x v="799"/>
    <x v="787"/>
    <x v="3"/>
    <x v="794"/>
    <x v="799"/>
    <x v="560"/>
    <x v="0"/>
    <x v="8"/>
    <x v="0"/>
    <x v="81"/>
    <x v="1"/>
    <x v="29"/>
    <x v="45"/>
    <x v="1"/>
    <x v="1"/>
    <x v="0"/>
    <x v="808"/>
  </r>
  <r>
    <x v="0"/>
    <x v="30"/>
    <x v="390"/>
    <x v="46"/>
    <x v="22"/>
    <x v="167"/>
    <x v="2"/>
    <x v="777"/>
    <x v="88"/>
    <x v="60"/>
    <x v="573"/>
    <x v="212"/>
    <x v="800"/>
    <x v="800"/>
    <x v="788"/>
    <x v="4"/>
    <x v="795"/>
    <x v="800"/>
    <x v="319"/>
    <x v="0"/>
    <x v="0"/>
    <x v="4"/>
    <x v="82"/>
    <x v="17"/>
    <x v="368"/>
    <x v="12"/>
    <x v="1"/>
    <x v="1"/>
    <x v="0"/>
    <x v="809"/>
  </r>
  <r>
    <x v="0"/>
    <x v="389"/>
    <x v="369"/>
    <x v="73"/>
    <x v="221"/>
    <x v="458"/>
    <x v="113"/>
    <x v="4"/>
    <x v="1"/>
    <x v="214"/>
    <x v="574"/>
    <x v="676"/>
    <x v="801"/>
    <x v="801"/>
    <x v="789"/>
    <x v="1"/>
    <x v="796"/>
    <x v="801"/>
    <x v="561"/>
    <x v="0"/>
    <x v="9"/>
    <x v="1"/>
    <x v="117"/>
    <x v="6"/>
    <x v="126"/>
    <x v="19"/>
    <x v="1"/>
    <x v="173"/>
    <x v="0"/>
    <x v="810"/>
  </r>
  <r>
    <x v="1"/>
    <x v="390"/>
    <x v="225"/>
    <x v="5"/>
    <x v="3"/>
    <x v="357"/>
    <x v="2"/>
    <x v="778"/>
    <x v="108"/>
    <x v="182"/>
    <x v="575"/>
    <x v="677"/>
    <x v="802"/>
    <x v="802"/>
    <x v="790"/>
    <x v="0"/>
    <x v="797"/>
    <x v="802"/>
    <x v="562"/>
    <x v="7"/>
    <x v="0"/>
    <x v="4"/>
    <x v="67"/>
    <x v="12"/>
    <x v="369"/>
    <x v="10"/>
    <x v="1"/>
    <x v="1"/>
    <x v="0"/>
    <x v="811"/>
  </r>
  <r>
    <x v="0"/>
    <x v="391"/>
    <x v="391"/>
    <x v="26"/>
    <x v="50"/>
    <x v="459"/>
    <x v="17"/>
    <x v="779"/>
    <x v="329"/>
    <x v="32"/>
    <x v="576"/>
    <x v="678"/>
    <x v="803"/>
    <x v="803"/>
    <x v="791"/>
    <x v="0"/>
    <x v="798"/>
    <x v="803"/>
    <x v="563"/>
    <x v="0"/>
    <x v="0"/>
    <x v="4"/>
    <x v="90"/>
    <x v="6"/>
    <x v="207"/>
    <x v="14"/>
    <x v="1"/>
    <x v="174"/>
    <x v="0"/>
    <x v="812"/>
  </r>
  <r>
    <x v="0"/>
    <x v="392"/>
    <x v="392"/>
    <x v="37"/>
    <x v="169"/>
    <x v="460"/>
    <x v="127"/>
    <x v="780"/>
    <x v="200"/>
    <x v="365"/>
    <x v="577"/>
    <x v="679"/>
    <x v="804"/>
    <x v="804"/>
    <x v="792"/>
    <x v="1"/>
    <x v="799"/>
    <x v="804"/>
    <x v="244"/>
    <x v="0"/>
    <x v="0"/>
    <x v="2"/>
    <x v="81"/>
    <x v="20"/>
    <x v="315"/>
    <x v="41"/>
    <x v="1"/>
    <x v="175"/>
    <x v="0"/>
    <x v="813"/>
  </r>
  <r>
    <x v="0"/>
    <x v="326"/>
    <x v="48"/>
    <x v="82"/>
    <x v="121"/>
    <x v="461"/>
    <x v="21"/>
    <x v="781"/>
    <x v="330"/>
    <x v="71"/>
    <x v="578"/>
    <x v="680"/>
    <x v="805"/>
    <x v="805"/>
    <x v="793"/>
    <x v="0"/>
    <x v="800"/>
    <x v="805"/>
    <x v="564"/>
    <x v="0"/>
    <x v="0"/>
    <x v="4"/>
    <x v="118"/>
    <x v="11"/>
    <x v="370"/>
    <x v="11"/>
    <x v="1"/>
    <x v="176"/>
    <x v="0"/>
    <x v="814"/>
  </r>
  <r>
    <x v="0"/>
    <x v="46"/>
    <x v="82"/>
    <x v="33"/>
    <x v="31"/>
    <x v="462"/>
    <x v="35"/>
    <x v="782"/>
    <x v="331"/>
    <x v="366"/>
    <x v="579"/>
    <x v="681"/>
    <x v="806"/>
    <x v="806"/>
    <x v="794"/>
    <x v="2"/>
    <x v="801"/>
    <x v="806"/>
    <x v="142"/>
    <x v="0"/>
    <x v="0"/>
    <x v="2"/>
    <x v="90"/>
    <x v="2"/>
    <x v="30"/>
    <x v="21"/>
    <x v="1"/>
    <x v="50"/>
    <x v="0"/>
    <x v="815"/>
  </r>
  <r>
    <x v="0"/>
    <x v="113"/>
    <x v="393"/>
    <x v="96"/>
    <x v="88"/>
    <x v="279"/>
    <x v="149"/>
    <x v="4"/>
    <x v="35"/>
    <x v="367"/>
    <x v="580"/>
    <x v="682"/>
    <x v="807"/>
    <x v="807"/>
    <x v="795"/>
    <x v="1"/>
    <x v="802"/>
    <x v="807"/>
    <x v="447"/>
    <x v="0"/>
    <x v="0"/>
    <x v="8"/>
    <x v="119"/>
    <x v="4"/>
    <x v="108"/>
    <x v="4"/>
    <x v="8"/>
    <x v="177"/>
    <x v="0"/>
    <x v="816"/>
  </r>
  <r>
    <x v="0"/>
    <x v="197"/>
    <x v="273"/>
    <x v="54"/>
    <x v="139"/>
    <x v="463"/>
    <x v="197"/>
    <x v="783"/>
    <x v="286"/>
    <x v="368"/>
    <x v="438"/>
    <x v="683"/>
    <x v="808"/>
    <x v="808"/>
    <x v="796"/>
    <x v="1"/>
    <x v="803"/>
    <x v="808"/>
    <x v="294"/>
    <x v="0"/>
    <x v="0"/>
    <x v="0"/>
    <x v="90"/>
    <x v="12"/>
    <x v="293"/>
    <x v="10"/>
    <x v="3"/>
    <x v="1"/>
    <x v="0"/>
    <x v="817"/>
  </r>
  <r>
    <x v="0"/>
    <x v="356"/>
    <x v="394"/>
    <x v="78"/>
    <x v="211"/>
    <x v="276"/>
    <x v="0"/>
    <x v="784"/>
    <x v="332"/>
    <x v="369"/>
    <x v="581"/>
    <x v="361"/>
    <x v="809"/>
    <x v="809"/>
    <x v="797"/>
    <x v="0"/>
    <x v="804"/>
    <x v="809"/>
    <x v="432"/>
    <x v="0"/>
    <x v="0"/>
    <x v="2"/>
    <x v="81"/>
    <x v="21"/>
    <x v="371"/>
    <x v="57"/>
    <x v="3"/>
    <x v="178"/>
    <x v="0"/>
    <x v="818"/>
  </r>
  <r>
    <x v="0"/>
    <x v="393"/>
    <x v="274"/>
    <x v="101"/>
    <x v="123"/>
    <x v="464"/>
    <x v="57"/>
    <x v="785"/>
    <x v="333"/>
    <x v="237"/>
    <x v="582"/>
    <x v="684"/>
    <x v="810"/>
    <x v="810"/>
    <x v="798"/>
    <x v="1"/>
    <x v="805"/>
    <x v="810"/>
    <x v="372"/>
    <x v="0"/>
    <x v="0"/>
    <x v="4"/>
    <x v="107"/>
    <x v="32"/>
    <x v="30"/>
    <x v="20"/>
    <x v="1"/>
    <x v="43"/>
    <x v="0"/>
    <x v="819"/>
  </r>
  <r>
    <x v="0"/>
    <x v="299"/>
    <x v="72"/>
    <x v="37"/>
    <x v="0"/>
    <x v="292"/>
    <x v="198"/>
    <x v="786"/>
    <x v="334"/>
    <x v="370"/>
    <x v="583"/>
    <x v="685"/>
    <x v="811"/>
    <x v="811"/>
    <x v="799"/>
    <x v="8"/>
    <x v="806"/>
    <x v="811"/>
    <x v="452"/>
    <x v="0"/>
    <x v="0"/>
    <x v="0"/>
    <x v="90"/>
    <x v="8"/>
    <x v="198"/>
    <x v="19"/>
    <x v="3"/>
    <x v="179"/>
    <x v="0"/>
    <x v="820"/>
  </r>
  <r>
    <x v="0"/>
    <x v="158"/>
    <x v="302"/>
    <x v="73"/>
    <x v="115"/>
    <x v="21"/>
    <x v="25"/>
    <x v="4"/>
    <x v="335"/>
    <x v="330"/>
    <x v="288"/>
    <x v="344"/>
    <x v="812"/>
    <x v="812"/>
    <x v="800"/>
    <x v="2"/>
    <x v="807"/>
    <x v="812"/>
    <x v="498"/>
    <x v="0"/>
    <x v="0"/>
    <x v="5"/>
    <x v="4"/>
    <x v="2"/>
    <x v="6"/>
    <x v="41"/>
    <x v="1"/>
    <x v="1"/>
    <x v="0"/>
    <x v="821"/>
  </r>
  <r>
    <x v="0"/>
    <x v="347"/>
    <x v="395"/>
    <x v="33"/>
    <x v="164"/>
    <x v="245"/>
    <x v="168"/>
    <x v="787"/>
    <x v="105"/>
    <x v="314"/>
    <x v="584"/>
    <x v="686"/>
    <x v="813"/>
    <x v="813"/>
    <x v="801"/>
    <x v="4"/>
    <x v="808"/>
    <x v="813"/>
    <x v="239"/>
    <x v="0"/>
    <x v="0"/>
    <x v="0"/>
    <x v="90"/>
    <x v="0"/>
    <x v="372"/>
    <x v="55"/>
    <x v="1"/>
    <x v="1"/>
    <x v="0"/>
    <x v="822"/>
  </r>
  <r>
    <x v="0"/>
    <x v="80"/>
    <x v="161"/>
    <x v="31"/>
    <x v="63"/>
    <x v="465"/>
    <x v="0"/>
    <x v="788"/>
    <x v="125"/>
    <x v="88"/>
    <x v="585"/>
    <x v="687"/>
    <x v="814"/>
    <x v="814"/>
    <x v="802"/>
    <x v="4"/>
    <x v="809"/>
    <x v="814"/>
    <x v="481"/>
    <x v="0"/>
    <x v="0"/>
    <x v="0"/>
    <x v="90"/>
    <x v="9"/>
    <x v="373"/>
    <x v="22"/>
    <x v="1"/>
    <x v="31"/>
    <x v="0"/>
    <x v="823"/>
  </r>
  <r>
    <x v="0"/>
    <x v="216"/>
    <x v="268"/>
    <x v="55"/>
    <x v="149"/>
    <x v="466"/>
    <x v="21"/>
    <x v="789"/>
    <x v="274"/>
    <x v="174"/>
    <x v="496"/>
    <x v="688"/>
    <x v="815"/>
    <x v="815"/>
    <x v="803"/>
    <x v="1"/>
    <x v="810"/>
    <x v="815"/>
    <x v="565"/>
    <x v="0"/>
    <x v="8"/>
    <x v="4"/>
    <x v="81"/>
    <x v="5"/>
    <x v="30"/>
    <x v="18"/>
    <x v="1"/>
    <x v="64"/>
    <x v="0"/>
    <x v="824"/>
  </r>
  <r>
    <x v="0"/>
    <x v="394"/>
    <x v="235"/>
    <x v="31"/>
    <x v="222"/>
    <x v="467"/>
    <x v="0"/>
    <x v="790"/>
    <x v="77"/>
    <x v="247"/>
    <x v="586"/>
    <x v="689"/>
    <x v="816"/>
    <x v="816"/>
    <x v="804"/>
    <x v="0"/>
    <x v="811"/>
    <x v="816"/>
    <x v="155"/>
    <x v="0"/>
    <x v="0"/>
    <x v="0"/>
    <x v="90"/>
    <x v="3"/>
    <x v="335"/>
    <x v="18"/>
    <x v="1"/>
    <x v="1"/>
    <x v="0"/>
    <x v="825"/>
  </r>
  <r>
    <x v="0"/>
    <x v="113"/>
    <x v="303"/>
    <x v="119"/>
    <x v="88"/>
    <x v="468"/>
    <x v="98"/>
    <x v="4"/>
    <x v="127"/>
    <x v="175"/>
    <x v="528"/>
    <x v="690"/>
    <x v="817"/>
    <x v="817"/>
    <x v="691"/>
    <x v="0"/>
    <x v="812"/>
    <x v="817"/>
    <x v="102"/>
    <x v="0"/>
    <x v="0"/>
    <x v="7"/>
    <x v="4"/>
    <x v="4"/>
    <x v="119"/>
    <x v="15"/>
    <x v="8"/>
    <x v="1"/>
    <x v="0"/>
    <x v="826"/>
  </r>
  <r>
    <x v="0"/>
    <x v="332"/>
    <x v="338"/>
    <x v="16"/>
    <x v="204"/>
    <x v="168"/>
    <x v="11"/>
    <x v="791"/>
    <x v="150"/>
    <x v="63"/>
    <x v="557"/>
    <x v="213"/>
    <x v="818"/>
    <x v="818"/>
    <x v="805"/>
    <x v="4"/>
    <x v="813"/>
    <x v="818"/>
    <x v="566"/>
    <x v="0"/>
    <x v="0"/>
    <x v="4"/>
    <x v="120"/>
    <x v="13"/>
    <x v="20"/>
    <x v="7"/>
    <x v="1"/>
    <x v="59"/>
    <x v="0"/>
    <x v="827"/>
  </r>
  <r>
    <x v="0"/>
    <x v="395"/>
    <x v="271"/>
    <x v="38"/>
    <x v="223"/>
    <x v="469"/>
    <x v="2"/>
    <x v="792"/>
    <x v="125"/>
    <x v="196"/>
    <x v="587"/>
    <x v="691"/>
    <x v="819"/>
    <x v="819"/>
    <x v="806"/>
    <x v="4"/>
    <x v="814"/>
    <x v="819"/>
    <x v="567"/>
    <x v="0"/>
    <x v="0"/>
    <x v="4"/>
    <x v="80"/>
    <x v="3"/>
    <x v="13"/>
    <x v="23"/>
    <x v="1"/>
    <x v="85"/>
    <x v="0"/>
    <x v="828"/>
  </r>
  <r>
    <x v="0"/>
    <x v="49"/>
    <x v="370"/>
    <x v="33"/>
    <x v="34"/>
    <x v="183"/>
    <x v="35"/>
    <x v="793"/>
    <x v="1"/>
    <x v="184"/>
    <x v="588"/>
    <x v="692"/>
    <x v="820"/>
    <x v="820"/>
    <x v="807"/>
    <x v="0"/>
    <x v="815"/>
    <x v="820"/>
    <x v="301"/>
    <x v="0"/>
    <x v="0"/>
    <x v="0"/>
    <x v="120"/>
    <x v="25"/>
    <x v="374"/>
    <x v="21"/>
    <x v="1"/>
    <x v="1"/>
    <x v="0"/>
    <x v="829"/>
  </r>
  <r>
    <x v="0"/>
    <x v="25"/>
    <x v="338"/>
    <x v="55"/>
    <x v="18"/>
    <x v="470"/>
    <x v="41"/>
    <x v="794"/>
    <x v="336"/>
    <x v="111"/>
    <x v="362"/>
    <x v="693"/>
    <x v="821"/>
    <x v="821"/>
    <x v="808"/>
    <x v="4"/>
    <x v="816"/>
    <x v="821"/>
    <x v="568"/>
    <x v="0"/>
    <x v="0"/>
    <x v="0"/>
    <x v="90"/>
    <x v="14"/>
    <x v="13"/>
    <x v="22"/>
    <x v="1"/>
    <x v="180"/>
    <x v="0"/>
    <x v="830"/>
  </r>
  <r>
    <x v="0"/>
    <x v="396"/>
    <x v="133"/>
    <x v="45"/>
    <x v="224"/>
    <x v="1"/>
    <x v="25"/>
    <x v="795"/>
    <x v="99"/>
    <x v="76"/>
    <x v="589"/>
    <x v="694"/>
    <x v="822"/>
    <x v="822"/>
    <x v="809"/>
    <x v="1"/>
    <x v="817"/>
    <x v="822"/>
    <x v="569"/>
    <x v="0"/>
    <x v="0"/>
    <x v="0"/>
    <x v="120"/>
    <x v="10"/>
    <x v="30"/>
    <x v="44"/>
    <x v="1"/>
    <x v="45"/>
    <x v="0"/>
    <x v="831"/>
  </r>
  <r>
    <x v="0"/>
    <x v="397"/>
    <x v="368"/>
    <x v="22"/>
    <x v="225"/>
    <x v="471"/>
    <x v="29"/>
    <x v="796"/>
    <x v="337"/>
    <x v="34"/>
    <x v="590"/>
    <x v="695"/>
    <x v="823"/>
    <x v="823"/>
    <x v="810"/>
    <x v="4"/>
    <x v="818"/>
    <x v="823"/>
    <x v="570"/>
    <x v="0"/>
    <x v="1"/>
    <x v="4"/>
    <x v="120"/>
    <x v="18"/>
    <x v="239"/>
    <x v="18"/>
    <x v="1"/>
    <x v="1"/>
    <x v="0"/>
    <x v="832"/>
  </r>
  <r>
    <x v="0"/>
    <x v="113"/>
    <x v="396"/>
    <x v="96"/>
    <x v="88"/>
    <x v="472"/>
    <x v="23"/>
    <x v="4"/>
    <x v="127"/>
    <x v="371"/>
    <x v="591"/>
    <x v="696"/>
    <x v="824"/>
    <x v="824"/>
    <x v="811"/>
    <x v="1"/>
    <x v="819"/>
    <x v="824"/>
    <x v="487"/>
    <x v="0"/>
    <x v="0"/>
    <x v="1"/>
    <x v="4"/>
    <x v="4"/>
    <x v="122"/>
    <x v="10"/>
    <x v="12"/>
    <x v="1"/>
    <x v="0"/>
    <x v="833"/>
  </r>
  <r>
    <x v="0"/>
    <x v="239"/>
    <x v="211"/>
    <x v="54"/>
    <x v="160"/>
    <x v="473"/>
    <x v="21"/>
    <x v="797"/>
    <x v="338"/>
    <x v="127"/>
    <x v="183"/>
    <x v="697"/>
    <x v="825"/>
    <x v="825"/>
    <x v="812"/>
    <x v="0"/>
    <x v="820"/>
    <x v="825"/>
    <x v="571"/>
    <x v="0"/>
    <x v="4"/>
    <x v="2"/>
    <x v="121"/>
    <x v="12"/>
    <x v="124"/>
    <x v="34"/>
    <x v="1"/>
    <x v="1"/>
    <x v="0"/>
    <x v="834"/>
  </r>
  <r>
    <x v="0"/>
    <x v="398"/>
    <x v="338"/>
    <x v="107"/>
    <x v="123"/>
    <x v="474"/>
    <x v="25"/>
    <x v="798"/>
    <x v="339"/>
    <x v="138"/>
    <x v="592"/>
    <x v="698"/>
    <x v="826"/>
    <x v="826"/>
    <x v="813"/>
    <x v="1"/>
    <x v="821"/>
    <x v="826"/>
    <x v="59"/>
    <x v="0"/>
    <x v="0"/>
    <x v="0"/>
    <x v="121"/>
    <x v="14"/>
    <x v="66"/>
    <x v="5"/>
    <x v="1"/>
    <x v="1"/>
    <x v="0"/>
    <x v="835"/>
  </r>
  <r>
    <x v="1"/>
    <x v="43"/>
    <x v="290"/>
    <x v="30"/>
    <x v="0"/>
    <x v="475"/>
    <x v="10"/>
    <x v="799"/>
    <x v="200"/>
    <x v="33"/>
    <x v="593"/>
    <x v="699"/>
    <x v="827"/>
    <x v="827"/>
    <x v="814"/>
    <x v="0"/>
    <x v="822"/>
    <x v="827"/>
    <x v="572"/>
    <x v="0"/>
    <x v="0"/>
    <x v="0"/>
    <x v="97"/>
    <x v="24"/>
    <x v="167"/>
    <x v="36"/>
    <x v="1"/>
    <x v="109"/>
    <x v="0"/>
    <x v="836"/>
  </r>
  <r>
    <x v="0"/>
    <x v="344"/>
    <x v="333"/>
    <x v="80"/>
    <x v="73"/>
    <x v="476"/>
    <x v="0"/>
    <x v="800"/>
    <x v="267"/>
    <x v="372"/>
    <x v="594"/>
    <x v="700"/>
    <x v="828"/>
    <x v="828"/>
    <x v="815"/>
    <x v="0"/>
    <x v="823"/>
    <x v="828"/>
    <x v="368"/>
    <x v="0"/>
    <x v="0"/>
    <x v="2"/>
    <x v="81"/>
    <x v="1"/>
    <x v="317"/>
    <x v="31"/>
    <x v="3"/>
    <x v="1"/>
    <x v="0"/>
    <x v="837"/>
  </r>
  <r>
    <x v="0"/>
    <x v="190"/>
    <x v="322"/>
    <x v="26"/>
    <x v="135"/>
    <x v="202"/>
    <x v="13"/>
    <x v="801"/>
    <x v="125"/>
    <x v="158"/>
    <x v="228"/>
    <x v="255"/>
    <x v="829"/>
    <x v="829"/>
    <x v="816"/>
    <x v="4"/>
    <x v="824"/>
    <x v="829"/>
    <x v="573"/>
    <x v="0"/>
    <x v="0"/>
    <x v="0"/>
    <x v="97"/>
    <x v="21"/>
    <x v="155"/>
    <x v="15"/>
    <x v="3"/>
    <x v="1"/>
    <x v="0"/>
    <x v="838"/>
  </r>
  <r>
    <x v="0"/>
    <x v="399"/>
    <x v="358"/>
    <x v="95"/>
    <x v="69"/>
    <x v="477"/>
    <x v="29"/>
    <x v="802"/>
    <x v="340"/>
    <x v="34"/>
    <x v="595"/>
    <x v="701"/>
    <x v="830"/>
    <x v="830"/>
    <x v="817"/>
    <x v="1"/>
    <x v="825"/>
    <x v="830"/>
    <x v="404"/>
    <x v="0"/>
    <x v="0"/>
    <x v="3"/>
    <x v="97"/>
    <x v="16"/>
    <x v="12"/>
    <x v="4"/>
    <x v="0"/>
    <x v="1"/>
    <x v="0"/>
    <x v="839"/>
  </r>
  <r>
    <x v="0"/>
    <x v="105"/>
    <x v="244"/>
    <x v="123"/>
    <x v="83"/>
    <x v="214"/>
    <x v="14"/>
    <x v="803"/>
    <x v="341"/>
    <x v="373"/>
    <x v="596"/>
    <x v="702"/>
    <x v="831"/>
    <x v="831"/>
    <x v="818"/>
    <x v="0"/>
    <x v="826"/>
    <x v="831"/>
    <x v="87"/>
    <x v="0"/>
    <x v="0"/>
    <x v="2"/>
    <x v="97"/>
    <x v="33"/>
    <x v="325"/>
    <x v="11"/>
    <x v="1"/>
    <x v="1"/>
    <x v="0"/>
    <x v="840"/>
  </r>
  <r>
    <x v="0"/>
    <x v="51"/>
    <x v="394"/>
    <x v="54"/>
    <x v="36"/>
    <x v="299"/>
    <x v="54"/>
    <x v="804"/>
    <x v="194"/>
    <x v="96"/>
    <x v="230"/>
    <x v="394"/>
    <x v="832"/>
    <x v="832"/>
    <x v="819"/>
    <x v="1"/>
    <x v="827"/>
    <x v="832"/>
    <x v="195"/>
    <x v="0"/>
    <x v="0"/>
    <x v="0"/>
    <x v="122"/>
    <x v="25"/>
    <x v="156"/>
    <x v="23"/>
    <x v="3"/>
    <x v="181"/>
    <x v="0"/>
    <x v="841"/>
  </r>
  <r>
    <x v="0"/>
    <x v="279"/>
    <x v="380"/>
    <x v="34"/>
    <x v="183"/>
    <x v="248"/>
    <x v="14"/>
    <x v="805"/>
    <x v="127"/>
    <x v="14"/>
    <x v="331"/>
    <x v="320"/>
    <x v="833"/>
    <x v="833"/>
    <x v="820"/>
    <x v="1"/>
    <x v="828"/>
    <x v="833"/>
    <x v="574"/>
    <x v="0"/>
    <x v="0"/>
    <x v="0"/>
    <x v="80"/>
    <x v="12"/>
    <x v="222"/>
    <x v="4"/>
    <x v="1"/>
    <x v="1"/>
    <x v="0"/>
    <x v="842"/>
  </r>
  <r>
    <x v="0"/>
    <x v="400"/>
    <x v="302"/>
    <x v="80"/>
    <x v="218"/>
    <x v="478"/>
    <x v="22"/>
    <x v="806"/>
    <x v="342"/>
    <x v="240"/>
    <x v="469"/>
    <x v="703"/>
    <x v="834"/>
    <x v="834"/>
    <x v="821"/>
    <x v="0"/>
    <x v="829"/>
    <x v="834"/>
    <x v="575"/>
    <x v="0"/>
    <x v="0"/>
    <x v="2"/>
    <x v="97"/>
    <x v="13"/>
    <x v="85"/>
    <x v="28"/>
    <x v="3"/>
    <x v="9"/>
    <x v="0"/>
    <x v="843"/>
  </r>
  <r>
    <x v="0"/>
    <x v="401"/>
    <x v="155"/>
    <x v="112"/>
    <x v="38"/>
    <x v="479"/>
    <x v="22"/>
    <x v="807"/>
    <x v="127"/>
    <x v="374"/>
    <x v="597"/>
    <x v="704"/>
    <x v="835"/>
    <x v="835"/>
    <x v="822"/>
    <x v="3"/>
    <x v="830"/>
    <x v="835"/>
    <x v="576"/>
    <x v="0"/>
    <x v="0"/>
    <x v="4"/>
    <x v="97"/>
    <x v="17"/>
    <x v="375"/>
    <x v="22"/>
    <x v="1"/>
    <x v="1"/>
    <x v="0"/>
    <x v="844"/>
  </r>
  <r>
    <x v="0"/>
    <x v="116"/>
    <x v="397"/>
    <x v="90"/>
    <x v="90"/>
    <x v="480"/>
    <x v="10"/>
    <x v="808"/>
    <x v="283"/>
    <x v="33"/>
    <x v="598"/>
    <x v="705"/>
    <x v="836"/>
    <x v="836"/>
    <x v="823"/>
    <x v="0"/>
    <x v="831"/>
    <x v="836"/>
    <x v="577"/>
    <x v="0"/>
    <x v="0"/>
    <x v="0"/>
    <x v="97"/>
    <x v="9"/>
    <x v="376"/>
    <x v="0"/>
    <x v="1"/>
    <x v="14"/>
    <x v="0"/>
    <x v="845"/>
  </r>
  <r>
    <x v="0"/>
    <x v="80"/>
    <x v="348"/>
    <x v="59"/>
    <x v="63"/>
    <x v="55"/>
    <x v="10"/>
    <x v="809"/>
    <x v="313"/>
    <x v="375"/>
    <x v="6"/>
    <x v="69"/>
    <x v="837"/>
    <x v="837"/>
    <x v="824"/>
    <x v="4"/>
    <x v="832"/>
    <x v="837"/>
    <x v="488"/>
    <x v="0"/>
    <x v="0"/>
    <x v="0"/>
    <x v="97"/>
    <x v="5"/>
    <x v="6"/>
    <x v="22"/>
    <x v="1"/>
    <x v="1"/>
    <x v="0"/>
    <x v="846"/>
  </r>
  <r>
    <x v="0"/>
    <x v="180"/>
    <x v="396"/>
    <x v="7"/>
    <x v="79"/>
    <x v="105"/>
    <x v="132"/>
    <x v="810"/>
    <x v="35"/>
    <x v="376"/>
    <x v="599"/>
    <x v="706"/>
    <x v="838"/>
    <x v="838"/>
    <x v="825"/>
    <x v="0"/>
    <x v="833"/>
    <x v="838"/>
    <x v="578"/>
    <x v="0"/>
    <x v="0"/>
    <x v="2"/>
    <x v="95"/>
    <x v="16"/>
    <x v="182"/>
    <x v="19"/>
    <x v="3"/>
    <x v="1"/>
    <x v="0"/>
    <x v="847"/>
  </r>
  <r>
    <x v="0"/>
    <x v="274"/>
    <x v="140"/>
    <x v="5"/>
    <x v="178"/>
    <x v="219"/>
    <x v="11"/>
    <x v="811"/>
    <x v="23"/>
    <x v="156"/>
    <x v="113"/>
    <x v="707"/>
    <x v="839"/>
    <x v="839"/>
    <x v="826"/>
    <x v="0"/>
    <x v="834"/>
    <x v="839"/>
    <x v="206"/>
    <x v="0"/>
    <x v="0"/>
    <x v="4"/>
    <x v="97"/>
    <x v="11"/>
    <x v="53"/>
    <x v="13"/>
    <x v="1"/>
    <x v="15"/>
    <x v="0"/>
    <x v="848"/>
  </r>
  <r>
    <x v="0"/>
    <x v="402"/>
    <x v="277"/>
    <x v="72"/>
    <x v="226"/>
    <x v="202"/>
    <x v="15"/>
    <x v="812"/>
    <x v="105"/>
    <x v="212"/>
    <x v="600"/>
    <x v="708"/>
    <x v="840"/>
    <x v="840"/>
    <x v="827"/>
    <x v="4"/>
    <x v="835"/>
    <x v="840"/>
    <x v="579"/>
    <x v="0"/>
    <x v="0"/>
    <x v="0"/>
    <x v="97"/>
    <x v="19"/>
    <x v="377"/>
    <x v="37"/>
    <x v="1"/>
    <x v="1"/>
    <x v="0"/>
    <x v="849"/>
  </r>
  <r>
    <x v="0"/>
    <x v="165"/>
    <x v="249"/>
    <x v="32"/>
    <x v="119"/>
    <x v="481"/>
    <x v="11"/>
    <x v="813"/>
    <x v="149"/>
    <x v="156"/>
    <x v="370"/>
    <x v="709"/>
    <x v="841"/>
    <x v="841"/>
    <x v="828"/>
    <x v="0"/>
    <x v="836"/>
    <x v="841"/>
    <x v="357"/>
    <x v="0"/>
    <x v="0"/>
    <x v="4"/>
    <x v="96"/>
    <x v="16"/>
    <x v="10"/>
    <x v="11"/>
    <x v="1"/>
    <x v="1"/>
    <x v="0"/>
    <x v="850"/>
  </r>
  <r>
    <x v="0"/>
    <x v="403"/>
    <x v="275"/>
    <x v="85"/>
    <x v="23"/>
    <x v="125"/>
    <x v="14"/>
    <x v="814"/>
    <x v="113"/>
    <x v="14"/>
    <x v="601"/>
    <x v="710"/>
    <x v="842"/>
    <x v="842"/>
    <x v="194"/>
    <x v="0"/>
    <x v="837"/>
    <x v="842"/>
    <x v="331"/>
    <x v="0"/>
    <x v="0"/>
    <x v="0"/>
    <x v="97"/>
    <x v="7"/>
    <x v="341"/>
    <x v="25"/>
    <x v="1"/>
    <x v="121"/>
    <x v="0"/>
    <x v="851"/>
  </r>
  <r>
    <x v="0"/>
    <x v="127"/>
    <x v="99"/>
    <x v="42"/>
    <x v="94"/>
    <x v="389"/>
    <x v="199"/>
    <x v="815"/>
    <x v="150"/>
    <x v="377"/>
    <x v="602"/>
    <x v="711"/>
    <x v="843"/>
    <x v="843"/>
    <x v="829"/>
    <x v="1"/>
    <x v="838"/>
    <x v="843"/>
    <x v="580"/>
    <x v="0"/>
    <x v="0"/>
    <x v="0"/>
    <x v="97"/>
    <x v="12"/>
    <x v="378"/>
    <x v="5"/>
    <x v="1"/>
    <x v="1"/>
    <x v="0"/>
    <x v="852"/>
  </r>
  <r>
    <x v="0"/>
    <x v="277"/>
    <x v="398"/>
    <x v="57"/>
    <x v="181"/>
    <x v="204"/>
    <x v="35"/>
    <x v="816"/>
    <x v="306"/>
    <x v="124"/>
    <x v="603"/>
    <x v="257"/>
    <x v="844"/>
    <x v="844"/>
    <x v="830"/>
    <x v="0"/>
    <x v="839"/>
    <x v="844"/>
    <x v="581"/>
    <x v="0"/>
    <x v="0"/>
    <x v="4"/>
    <x v="97"/>
    <x v="24"/>
    <x v="60"/>
    <x v="19"/>
    <x v="1"/>
    <x v="1"/>
    <x v="0"/>
    <x v="853"/>
  </r>
  <r>
    <x v="0"/>
    <x v="180"/>
    <x v="382"/>
    <x v="37"/>
    <x v="79"/>
    <x v="198"/>
    <x v="25"/>
    <x v="817"/>
    <x v="49"/>
    <x v="76"/>
    <x v="158"/>
    <x v="712"/>
    <x v="845"/>
    <x v="845"/>
    <x v="831"/>
    <x v="1"/>
    <x v="840"/>
    <x v="845"/>
    <x v="302"/>
    <x v="0"/>
    <x v="8"/>
    <x v="0"/>
    <x v="97"/>
    <x v="20"/>
    <x v="105"/>
    <x v="10"/>
    <x v="1"/>
    <x v="1"/>
    <x v="0"/>
    <x v="854"/>
  </r>
  <r>
    <x v="1"/>
    <x v="169"/>
    <x v="151"/>
    <x v="70"/>
    <x v="121"/>
    <x v="482"/>
    <x v="200"/>
    <x v="818"/>
    <x v="97"/>
    <x v="378"/>
    <x v="174"/>
    <x v="713"/>
    <x v="846"/>
    <x v="846"/>
    <x v="832"/>
    <x v="0"/>
    <x v="841"/>
    <x v="846"/>
    <x v="582"/>
    <x v="0"/>
    <x v="0"/>
    <x v="4"/>
    <x v="116"/>
    <x v="17"/>
    <x v="118"/>
    <x v="14"/>
    <x v="1"/>
    <x v="38"/>
    <x v="0"/>
    <x v="855"/>
  </r>
  <r>
    <x v="0"/>
    <x v="189"/>
    <x v="321"/>
    <x v="79"/>
    <x v="0"/>
    <x v="88"/>
    <x v="20"/>
    <x v="819"/>
    <x v="125"/>
    <x v="21"/>
    <x v="604"/>
    <x v="714"/>
    <x v="847"/>
    <x v="847"/>
    <x v="833"/>
    <x v="4"/>
    <x v="842"/>
    <x v="847"/>
    <x v="583"/>
    <x v="0"/>
    <x v="0"/>
    <x v="0"/>
    <x v="97"/>
    <x v="15"/>
    <x v="379"/>
    <x v="21"/>
    <x v="15"/>
    <x v="1"/>
    <x v="0"/>
    <x v="856"/>
  </r>
  <r>
    <x v="0"/>
    <x v="113"/>
    <x v="379"/>
    <x v="104"/>
    <x v="88"/>
    <x v="483"/>
    <x v="201"/>
    <x v="4"/>
    <x v="40"/>
    <x v="379"/>
    <x v="605"/>
    <x v="715"/>
    <x v="848"/>
    <x v="848"/>
    <x v="834"/>
    <x v="2"/>
    <x v="843"/>
    <x v="848"/>
    <x v="339"/>
    <x v="0"/>
    <x v="0"/>
    <x v="5"/>
    <x v="123"/>
    <x v="4"/>
    <x v="287"/>
    <x v="26"/>
    <x v="8"/>
    <x v="1"/>
    <x v="0"/>
    <x v="857"/>
  </r>
  <r>
    <x v="1"/>
    <x v="169"/>
    <x v="40"/>
    <x v="64"/>
    <x v="121"/>
    <x v="474"/>
    <x v="44"/>
    <x v="820"/>
    <x v="28"/>
    <x v="68"/>
    <x v="606"/>
    <x v="698"/>
    <x v="849"/>
    <x v="849"/>
    <x v="835"/>
    <x v="0"/>
    <x v="844"/>
    <x v="849"/>
    <x v="584"/>
    <x v="0"/>
    <x v="0"/>
    <x v="4"/>
    <x v="116"/>
    <x v="14"/>
    <x v="339"/>
    <x v="25"/>
    <x v="1"/>
    <x v="1"/>
    <x v="0"/>
    <x v="858"/>
  </r>
  <r>
    <x v="0"/>
    <x v="214"/>
    <x v="399"/>
    <x v="55"/>
    <x v="93"/>
    <x v="355"/>
    <x v="57"/>
    <x v="821"/>
    <x v="26"/>
    <x v="237"/>
    <x v="607"/>
    <x v="716"/>
    <x v="850"/>
    <x v="850"/>
    <x v="836"/>
    <x v="1"/>
    <x v="845"/>
    <x v="850"/>
    <x v="585"/>
    <x v="0"/>
    <x v="0"/>
    <x v="4"/>
    <x v="97"/>
    <x v="30"/>
    <x v="272"/>
    <x v="22"/>
    <x v="1"/>
    <x v="1"/>
    <x v="0"/>
    <x v="859"/>
  </r>
  <r>
    <x v="0"/>
    <x v="43"/>
    <x v="324"/>
    <x v="27"/>
    <x v="0"/>
    <x v="157"/>
    <x v="57"/>
    <x v="822"/>
    <x v="63"/>
    <x v="99"/>
    <x v="608"/>
    <x v="587"/>
    <x v="851"/>
    <x v="851"/>
    <x v="837"/>
    <x v="3"/>
    <x v="846"/>
    <x v="851"/>
    <x v="86"/>
    <x v="0"/>
    <x v="0"/>
    <x v="0"/>
    <x v="97"/>
    <x v="29"/>
    <x v="6"/>
    <x v="21"/>
    <x v="3"/>
    <x v="60"/>
    <x v="0"/>
    <x v="860"/>
  </r>
  <r>
    <x v="0"/>
    <x v="404"/>
    <x v="265"/>
    <x v="47"/>
    <x v="134"/>
    <x v="220"/>
    <x v="202"/>
    <x v="823"/>
    <x v="343"/>
    <x v="380"/>
    <x v="609"/>
    <x v="717"/>
    <x v="852"/>
    <x v="852"/>
    <x v="838"/>
    <x v="4"/>
    <x v="847"/>
    <x v="852"/>
    <x v="300"/>
    <x v="0"/>
    <x v="0"/>
    <x v="0"/>
    <x v="97"/>
    <x v="21"/>
    <x v="380"/>
    <x v="4"/>
    <x v="1"/>
    <x v="1"/>
    <x v="0"/>
    <x v="861"/>
  </r>
  <r>
    <x v="0"/>
    <x v="374"/>
    <x v="370"/>
    <x v="82"/>
    <x v="217"/>
    <x v="399"/>
    <x v="0"/>
    <x v="824"/>
    <x v="2"/>
    <x v="48"/>
    <x v="137"/>
    <x v="718"/>
    <x v="853"/>
    <x v="853"/>
    <x v="839"/>
    <x v="0"/>
    <x v="848"/>
    <x v="853"/>
    <x v="245"/>
    <x v="0"/>
    <x v="0"/>
    <x v="4"/>
    <x v="97"/>
    <x v="25"/>
    <x v="94"/>
    <x v="21"/>
    <x v="1"/>
    <x v="1"/>
    <x v="0"/>
    <x v="862"/>
  </r>
  <r>
    <x v="0"/>
    <x v="197"/>
    <x v="357"/>
    <x v="50"/>
    <x v="139"/>
    <x v="378"/>
    <x v="0"/>
    <x v="825"/>
    <x v="35"/>
    <x v="381"/>
    <x v="610"/>
    <x v="532"/>
    <x v="854"/>
    <x v="854"/>
    <x v="840"/>
    <x v="1"/>
    <x v="849"/>
    <x v="854"/>
    <x v="586"/>
    <x v="0"/>
    <x v="0"/>
    <x v="2"/>
    <x v="97"/>
    <x v="10"/>
    <x v="272"/>
    <x v="19"/>
    <x v="3"/>
    <x v="57"/>
    <x v="0"/>
    <x v="863"/>
  </r>
  <r>
    <x v="0"/>
    <x v="97"/>
    <x v="278"/>
    <x v="27"/>
    <x v="59"/>
    <x v="451"/>
    <x v="15"/>
    <x v="826"/>
    <x v="1"/>
    <x v="54"/>
    <x v="611"/>
    <x v="658"/>
    <x v="855"/>
    <x v="855"/>
    <x v="841"/>
    <x v="0"/>
    <x v="850"/>
    <x v="855"/>
    <x v="491"/>
    <x v="0"/>
    <x v="0"/>
    <x v="0"/>
    <x v="97"/>
    <x v="8"/>
    <x v="370"/>
    <x v="4"/>
    <x v="1"/>
    <x v="1"/>
    <x v="0"/>
    <x v="864"/>
  </r>
  <r>
    <x v="0"/>
    <x v="405"/>
    <x v="378"/>
    <x v="43"/>
    <x v="218"/>
    <x v="67"/>
    <x v="0"/>
    <x v="827"/>
    <x v="29"/>
    <x v="52"/>
    <x v="612"/>
    <x v="164"/>
    <x v="856"/>
    <x v="856"/>
    <x v="842"/>
    <x v="1"/>
    <x v="851"/>
    <x v="856"/>
    <x v="546"/>
    <x v="0"/>
    <x v="0"/>
    <x v="2"/>
    <x v="97"/>
    <x v="9"/>
    <x v="381"/>
    <x v="18"/>
    <x v="3"/>
    <x v="1"/>
    <x v="0"/>
    <x v="865"/>
  </r>
  <r>
    <x v="0"/>
    <x v="68"/>
    <x v="134"/>
    <x v="97"/>
    <x v="53"/>
    <x v="484"/>
    <x v="203"/>
    <x v="828"/>
    <x v="310"/>
    <x v="382"/>
    <x v="613"/>
    <x v="719"/>
    <x v="857"/>
    <x v="857"/>
    <x v="843"/>
    <x v="0"/>
    <x v="852"/>
    <x v="857"/>
    <x v="587"/>
    <x v="0"/>
    <x v="0"/>
    <x v="4"/>
    <x v="95"/>
    <x v="29"/>
    <x v="382"/>
    <x v="21"/>
    <x v="1"/>
    <x v="1"/>
    <x v="0"/>
    <x v="866"/>
  </r>
  <r>
    <x v="0"/>
    <x v="406"/>
    <x v="352"/>
    <x v="24"/>
    <x v="227"/>
    <x v="485"/>
    <x v="204"/>
    <x v="829"/>
    <x v="344"/>
    <x v="383"/>
    <x v="614"/>
    <x v="720"/>
    <x v="858"/>
    <x v="858"/>
    <x v="844"/>
    <x v="1"/>
    <x v="853"/>
    <x v="858"/>
    <x v="357"/>
    <x v="0"/>
    <x v="0"/>
    <x v="2"/>
    <x v="97"/>
    <x v="25"/>
    <x v="383"/>
    <x v="22"/>
    <x v="1"/>
    <x v="1"/>
    <x v="0"/>
    <x v="867"/>
  </r>
  <r>
    <x v="0"/>
    <x v="407"/>
    <x v="290"/>
    <x v="40"/>
    <x v="173"/>
    <x v="250"/>
    <x v="13"/>
    <x v="830"/>
    <x v="263"/>
    <x v="158"/>
    <x v="615"/>
    <x v="721"/>
    <x v="859"/>
    <x v="859"/>
    <x v="845"/>
    <x v="4"/>
    <x v="854"/>
    <x v="859"/>
    <x v="588"/>
    <x v="0"/>
    <x v="1"/>
    <x v="4"/>
    <x v="97"/>
    <x v="20"/>
    <x v="12"/>
    <x v="11"/>
    <x v="1"/>
    <x v="1"/>
    <x v="0"/>
    <x v="868"/>
  </r>
  <r>
    <x v="0"/>
    <x v="249"/>
    <x v="219"/>
    <x v="47"/>
    <x v="138"/>
    <x v="294"/>
    <x v="0"/>
    <x v="831"/>
    <x v="345"/>
    <x v="384"/>
    <x v="616"/>
    <x v="722"/>
    <x v="860"/>
    <x v="860"/>
    <x v="846"/>
    <x v="0"/>
    <x v="855"/>
    <x v="860"/>
    <x v="293"/>
    <x v="0"/>
    <x v="0"/>
    <x v="4"/>
    <x v="97"/>
    <x v="25"/>
    <x v="384"/>
    <x v="2"/>
    <x v="1"/>
    <x v="1"/>
    <x v="0"/>
    <x v="869"/>
  </r>
  <r>
    <x v="0"/>
    <x v="408"/>
    <x v="400"/>
    <x v="54"/>
    <x v="184"/>
    <x v="486"/>
    <x v="205"/>
    <x v="832"/>
    <x v="57"/>
    <x v="385"/>
    <x v="617"/>
    <x v="723"/>
    <x v="861"/>
    <x v="861"/>
    <x v="722"/>
    <x v="0"/>
    <x v="856"/>
    <x v="861"/>
    <x v="149"/>
    <x v="0"/>
    <x v="1"/>
    <x v="2"/>
    <x v="97"/>
    <x v="11"/>
    <x v="119"/>
    <x v="13"/>
    <x v="1"/>
    <x v="26"/>
    <x v="0"/>
    <x v="870"/>
  </r>
  <r>
    <x v="0"/>
    <x v="409"/>
    <x v="220"/>
    <x v="58"/>
    <x v="228"/>
    <x v="110"/>
    <x v="40"/>
    <x v="833"/>
    <x v="148"/>
    <x v="189"/>
    <x v="618"/>
    <x v="334"/>
    <x v="862"/>
    <x v="862"/>
    <x v="847"/>
    <x v="2"/>
    <x v="857"/>
    <x v="862"/>
    <x v="488"/>
    <x v="0"/>
    <x v="0"/>
    <x v="4"/>
    <x v="76"/>
    <x v="3"/>
    <x v="381"/>
    <x v="20"/>
    <x v="1"/>
    <x v="61"/>
    <x v="0"/>
    <x v="871"/>
  </r>
  <r>
    <x v="0"/>
    <x v="410"/>
    <x v="126"/>
    <x v="50"/>
    <x v="229"/>
    <x v="349"/>
    <x v="142"/>
    <x v="834"/>
    <x v="28"/>
    <x v="263"/>
    <x v="619"/>
    <x v="724"/>
    <x v="863"/>
    <x v="863"/>
    <x v="848"/>
    <x v="1"/>
    <x v="858"/>
    <x v="863"/>
    <x v="589"/>
    <x v="0"/>
    <x v="0"/>
    <x v="4"/>
    <x v="97"/>
    <x v="17"/>
    <x v="385"/>
    <x v="19"/>
    <x v="3"/>
    <x v="1"/>
    <x v="0"/>
    <x v="872"/>
  </r>
  <r>
    <x v="0"/>
    <x v="71"/>
    <x v="388"/>
    <x v="51"/>
    <x v="56"/>
    <x v="153"/>
    <x v="25"/>
    <x v="835"/>
    <x v="306"/>
    <x v="82"/>
    <x v="620"/>
    <x v="725"/>
    <x v="864"/>
    <x v="864"/>
    <x v="849"/>
    <x v="1"/>
    <x v="859"/>
    <x v="864"/>
    <x v="423"/>
    <x v="0"/>
    <x v="0"/>
    <x v="4"/>
    <x v="97"/>
    <x v="15"/>
    <x v="34"/>
    <x v="12"/>
    <x v="1"/>
    <x v="1"/>
    <x v="0"/>
    <x v="873"/>
  </r>
  <r>
    <x v="0"/>
    <x v="307"/>
    <x v="318"/>
    <x v="34"/>
    <x v="114"/>
    <x v="329"/>
    <x v="57"/>
    <x v="836"/>
    <x v="125"/>
    <x v="109"/>
    <x v="621"/>
    <x v="726"/>
    <x v="865"/>
    <x v="865"/>
    <x v="850"/>
    <x v="4"/>
    <x v="860"/>
    <x v="865"/>
    <x v="142"/>
    <x v="0"/>
    <x v="0"/>
    <x v="0"/>
    <x v="97"/>
    <x v="17"/>
    <x v="386"/>
    <x v="27"/>
    <x v="1"/>
    <x v="1"/>
    <x v="0"/>
    <x v="874"/>
  </r>
  <r>
    <x v="0"/>
    <x v="411"/>
    <x v="328"/>
    <x v="77"/>
    <x v="221"/>
    <x v="88"/>
    <x v="94"/>
    <x v="837"/>
    <x v="300"/>
    <x v="166"/>
    <x v="620"/>
    <x v="556"/>
    <x v="866"/>
    <x v="866"/>
    <x v="851"/>
    <x v="3"/>
    <x v="861"/>
    <x v="866"/>
    <x v="119"/>
    <x v="0"/>
    <x v="0"/>
    <x v="4"/>
    <x v="97"/>
    <x v="8"/>
    <x v="34"/>
    <x v="27"/>
    <x v="1"/>
    <x v="1"/>
    <x v="0"/>
    <x v="875"/>
  </r>
  <r>
    <x v="0"/>
    <x v="412"/>
    <x v="282"/>
    <x v="76"/>
    <x v="159"/>
    <x v="60"/>
    <x v="41"/>
    <x v="838"/>
    <x v="29"/>
    <x v="111"/>
    <x v="622"/>
    <x v="103"/>
    <x v="867"/>
    <x v="867"/>
    <x v="852"/>
    <x v="0"/>
    <x v="862"/>
    <x v="867"/>
    <x v="420"/>
    <x v="0"/>
    <x v="1"/>
    <x v="2"/>
    <x v="97"/>
    <x v="3"/>
    <x v="387"/>
    <x v="10"/>
    <x v="1"/>
    <x v="1"/>
    <x v="0"/>
    <x v="876"/>
  </r>
  <r>
    <x v="0"/>
    <x v="326"/>
    <x v="70"/>
    <x v="8"/>
    <x v="121"/>
    <x v="198"/>
    <x v="2"/>
    <x v="839"/>
    <x v="171"/>
    <x v="60"/>
    <x v="623"/>
    <x v="712"/>
    <x v="868"/>
    <x v="868"/>
    <x v="853"/>
    <x v="0"/>
    <x v="863"/>
    <x v="868"/>
    <x v="7"/>
    <x v="0"/>
    <x v="0"/>
    <x v="4"/>
    <x v="97"/>
    <x v="8"/>
    <x v="388"/>
    <x v="6"/>
    <x v="1"/>
    <x v="57"/>
    <x v="0"/>
    <x v="877"/>
  </r>
  <r>
    <x v="0"/>
    <x v="226"/>
    <x v="276"/>
    <x v="86"/>
    <x v="154"/>
    <x v="40"/>
    <x v="11"/>
    <x v="840"/>
    <x v="102"/>
    <x v="63"/>
    <x v="65"/>
    <x v="48"/>
    <x v="869"/>
    <x v="869"/>
    <x v="854"/>
    <x v="1"/>
    <x v="864"/>
    <x v="869"/>
    <x v="581"/>
    <x v="0"/>
    <x v="0"/>
    <x v="0"/>
    <x v="95"/>
    <x v="25"/>
    <x v="6"/>
    <x v="23"/>
    <x v="3"/>
    <x v="103"/>
    <x v="0"/>
    <x v="878"/>
  </r>
  <r>
    <x v="0"/>
    <x v="165"/>
    <x v="401"/>
    <x v="38"/>
    <x v="119"/>
    <x v="391"/>
    <x v="13"/>
    <x v="841"/>
    <x v="346"/>
    <x v="158"/>
    <x v="601"/>
    <x v="727"/>
    <x v="870"/>
    <x v="870"/>
    <x v="855"/>
    <x v="3"/>
    <x v="865"/>
    <x v="870"/>
    <x v="258"/>
    <x v="0"/>
    <x v="0"/>
    <x v="4"/>
    <x v="97"/>
    <x v="25"/>
    <x v="341"/>
    <x v="27"/>
    <x v="1"/>
    <x v="1"/>
    <x v="0"/>
    <x v="879"/>
  </r>
  <r>
    <x v="1"/>
    <x v="133"/>
    <x v="155"/>
    <x v="14"/>
    <x v="98"/>
    <x v="5"/>
    <x v="11"/>
    <x v="842"/>
    <x v="347"/>
    <x v="69"/>
    <x v="458"/>
    <x v="728"/>
    <x v="871"/>
    <x v="871"/>
    <x v="856"/>
    <x v="0"/>
    <x v="866"/>
    <x v="871"/>
    <x v="590"/>
    <x v="0"/>
    <x v="1"/>
    <x v="0"/>
    <x v="80"/>
    <x v="14"/>
    <x v="92"/>
    <x v="38"/>
    <x v="1"/>
    <x v="1"/>
    <x v="0"/>
    <x v="880"/>
  </r>
  <r>
    <x v="0"/>
    <x v="413"/>
    <x v="242"/>
    <x v="37"/>
    <x v="230"/>
    <x v="138"/>
    <x v="57"/>
    <x v="843"/>
    <x v="256"/>
    <x v="386"/>
    <x v="185"/>
    <x v="169"/>
    <x v="872"/>
    <x v="872"/>
    <x v="857"/>
    <x v="1"/>
    <x v="867"/>
    <x v="872"/>
    <x v="404"/>
    <x v="0"/>
    <x v="1"/>
    <x v="0"/>
    <x v="97"/>
    <x v="1"/>
    <x v="12"/>
    <x v="8"/>
    <x v="3"/>
    <x v="1"/>
    <x v="0"/>
    <x v="881"/>
  </r>
  <r>
    <x v="0"/>
    <x v="414"/>
    <x v="305"/>
    <x v="41"/>
    <x v="176"/>
    <x v="487"/>
    <x v="123"/>
    <x v="844"/>
    <x v="46"/>
    <x v="233"/>
    <x v="624"/>
    <x v="729"/>
    <x v="873"/>
    <x v="873"/>
    <x v="858"/>
    <x v="0"/>
    <x v="868"/>
    <x v="873"/>
    <x v="125"/>
    <x v="0"/>
    <x v="0"/>
    <x v="0"/>
    <x v="108"/>
    <x v="12"/>
    <x v="389"/>
    <x v="34"/>
    <x v="1"/>
    <x v="1"/>
    <x v="0"/>
    <x v="882"/>
  </r>
  <r>
    <x v="0"/>
    <x v="415"/>
    <x v="274"/>
    <x v="124"/>
    <x v="58"/>
    <x v="305"/>
    <x v="183"/>
    <x v="845"/>
    <x v="156"/>
    <x v="387"/>
    <x v="625"/>
    <x v="730"/>
    <x v="874"/>
    <x v="874"/>
    <x v="859"/>
    <x v="0"/>
    <x v="869"/>
    <x v="874"/>
    <x v="87"/>
    <x v="0"/>
    <x v="0"/>
    <x v="0"/>
    <x v="121"/>
    <x v="17"/>
    <x v="390"/>
    <x v="22"/>
    <x v="1"/>
    <x v="182"/>
    <x v="0"/>
    <x v="883"/>
  </r>
  <r>
    <x v="0"/>
    <x v="416"/>
    <x v="402"/>
    <x v="7"/>
    <x v="0"/>
    <x v="331"/>
    <x v="162"/>
    <x v="846"/>
    <x v="3"/>
    <x v="297"/>
    <x v="626"/>
    <x v="489"/>
    <x v="875"/>
    <x v="875"/>
    <x v="860"/>
    <x v="0"/>
    <x v="870"/>
    <x v="875"/>
    <x v="591"/>
    <x v="0"/>
    <x v="0"/>
    <x v="4"/>
    <x v="124"/>
    <x v="13"/>
    <x v="391"/>
    <x v="55"/>
    <x v="1"/>
    <x v="183"/>
    <x v="0"/>
    <x v="884"/>
  </r>
  <r>
    <x v="0"/>
    <x v="417"/>
    <x v="197"/>
    <x v="86"/>
    <x v="31"/>
    <x v="400"/>
    <x v="206"/>
    <x v="847"/>
    <x v="348"/>
    <x v="388"/>
    <x v="627"/>
    <x v="577"/>
    <x v="876"/>
    <x v="876"/>
    <x v="861"/>
    <x v="4"/>
    <x v="871"/>
    <x v="876"/>
    <x v="592"/>
    <x v="0"/>
    <x v="0"/>
    <x v="2"/>
    <x v="97"/>
    <x v="0"/>
    <x v="392"/>
    <x v="23"/>
    <x v="1"/>
    <x v="184"/>
    <x v="0"/>
    <x v="885"/>
  </r>
  <r>
    <x v="0"/>
    <x v="73"/>
    <x v="403"/>
    <x v="73"/>
    <x v="58"/>
    <x v="488"/>
    <x v="22"/>
    <x v="848"/>
    <x v="349"/>
    <x v="95"/>
    <x v="628"/>
    <x v="731"/>
    <x v="877"/>
    <x v="877"/>
    <x v="862"/>
    <x v="2"/>
    <x v="872"/>
    <x v="877"/>
    <x v="472"/>
    <x v="0"/>
    <x v="0"/>
    <x v="2"/>
    <x v="95"/>
    <x v="11"/>
    <x v="12"/>
    <x v="21"/>
    <x v="3"/>
    <x v="7"/>
    <x v="0"/>
    <x v="886"/>
  </r>
  <r>
    <x v="0"/>
    <x v="298"/>
    <x v="352"/>
    <x v="54"/>
    <x v="191"/>
    <x v="489"/>
    <x v="207"/>
    <x v="849"/>
    <x v="237"/>
    <x v="389"/>
    <x v="629"/>
    <x v="732"/>
    <x v="878"/>
    <x v="878"/>
    <x v="863"/>
    <x v="0"/>
    <x v="873"/>
    <x v="878"/>
    <x v="453"/>
    <x v="0"/>
    <x v="1"/>
    <x v="2"/>
    <x v="120"/>
    <x v="14"/>
    <x v="215"/>
    <x v="39"/>
    <x v="3"/>
    <x v="185"/>
    <x v="0"/>
    <x v="887"/>
  </r>
  <r>
    <x v="0"/>
    <x v="418"/>
    <x v="148"/>
    <x v="73"/>
    <x v="68"/>
    <x v="472"/>
    <x v="35"/>
    <x v="850"/>
    <x v="350"/>
    <x v="321"/>
    <x v="630"/>
    <x v="733"/>
    <x v="879"/>
    <x v="879"/>
    <x v="864"/>
    <x v="1"/>
    <x v="874"/>
    <x v="879"/>
    <x v="321"/>
    <x v="0"/>
    <x v="0"/>
    <x v="0"/>
    <x v="97"/>
    <x v="5"/>
    <x v="393"/>
    <x v="21"/>
    <x v="1"/>
    <x v="64"/>
    <x v="0"/>
    <x v="888"/>
  </r>
  <r>
    <x v="0"/>
    <x v="365"/>
    <x v="72"/>
    <x v="82"/>
    <x v="0"/>
    <x v="490"/>
    <x v="208"/>
    <x v="851"/>
    <x v="351"/>
    <x v="390"/>
    <x v="631"/>
    <x v="734"/>
    <x v="880"/>
    <x v="880"/>
    <x v="865"/>
    <x v="1"/>
    <x v="875"/>
    <x v="880"/>
    <x v="63"/>
    <x v="3"/>
    <x v="10"/>
    <x v="4"/>
    <x v="125"/>
    <x v="14"/>
    <x v="394"/>
    <x v="16"/>
    <x v="1"/>
    <x v="1"/>
    <x v="0"/>
    <x v="889"/>
  </r>
  <r>
    <x v="1"/>
    <x v="328"/>
    <x v="280"/>
    <x v="49"/>
    <x v="0"/>
    <x v="491"/>
    <x v="209"/>
    <x v="4"/>
    <x v="352"/>
    <x v="391"/>
    <x v="632"/>
    <x v="735"/>
    <x v="881"/>
    <x v="881"/>
    <x v="866"/>
    <x v="0"/>
    <x v="876"/>
    <x v="881"/>
    <x v="488"/>
    <x v="0"/>
    <x v="1"/>
    <x v="9"/>
    <x v="126"/>
    <x v="34"/>
    <x v="395"/>
    <x v="16"/>
    <x v="10"/>
    <x v="1"/>
    <x v="0"/>
    <x v="890"/>
  </r>
  <r>
    <x v="0"/>
    <x v="419"/>
    <x v="240"/>
    <x v="45"/>
    <x v="89"/>
    <x v="492"/>
    <x v="57"/>
    <x v="4"/>
    <x v="353"/>
    <x v="237"/>
    <x v="633"/>
    <x v="736"/>
    <x v="882"/>
    <x v="882"/>
    <x v="867"/>
    <x v="1"/>
    <x v="877"/>
    <x v="882"/>
    <x v="593"/>
    <x v="0"/>
    <x v="0"/>
    <x v="4"/>
    <x v="97"/>
    <x v="19"/>
    <x v="50"/>
    <x v="43"/>
    <x v="1"/>
    <x v="165"/>
    <x v="0"/>
    <x v="891"/>
  </r>
  <r>
    <x v="0"/>
    <x v="37"/>
    <x v="400"/>
    <x v="85"/>
    <x v="0"/>
    <x v="142"/>
    <x v="25"/>
    <x v="852"/>
    <x v="179"/>
    <x v="392"/>
    <x v="22"/>
    <x v="173"/>
    <x v="883"/>
    <x v="883"/>
    <x v="868"/>
    <x v="1"/>
    <x v="878"/>
    <x v="883"/>
    <x v="594"/>
    <x v="0"/>
    <x v="0"/>
    <x v="4"/>
    <x v="122"/>
    <x v="19"/>
    <x v="19"/>
    <x v="10"/>
    <x v="3"/>
    <x v="1"/>
    <x v="0"/>
    <x v="892"/>
  </r>
  <r>
    <x v="0"/>
    <x v="403"/>
    <x v="242"/>
    <x v="32"/>
    <x v="23"/>
    <x v="388"/>
    <x v="14"/>
    <x v="853"/>
    <x v="17"/>
    <x v="14"/>
    <x v="128"/>
    <x v="737"/>
    <x v="884"/>
    <x v="884"/>
    <x v="869"/>
    <x v="1"/>
    <x v="879"/>
    <x v="884"/>
    <x v="595"/>
    <x v="0"/>
    <x v="0"/>
    <x v="0"/>
    <x v="97"/>
    <x v="8"/>
    <x v="13"/>
    <x v="16"/>
    <x v="1"/>
    <x v="18"/>
    <x v="0"/>
    <x v="893"/>
  </r>
  <r>
    <x v="0"/>
    <x v="382"/>
    <x v="367"/>
    <x v="80"/>
    <x v="71"/>
    <x v="493"/>
    <x v="57"/>
    <x v="854"/>
    <x v="3"/>
    <x v="237"/>
    <x v="634"/>
    <x v="738"/>
    <x v="885"/>
    <x v="885"/>
    <x v="870"/>
    <x v="3"/>
    <x v="880"/>
    <x v="885"/>
    <x v="104"/>
    <x v="0"/>
    <x v="0"/>
    <x v="4"/>
    <x v="97"/>
    <x v="3"/>
    <x v="6"/>
    <x v="20"/>
    <x v="3"/>
    <x v="7"/>
    <x v="0"/>
    <x v="894"/>
  </r>
  <r>
    <x v="0"/>
    <x v="420"/>
    <x v="382"/>
    <x v="92"/>
    <x v="0"/>
    <x v="494"/>
    <x v="21"/>
    <x v="855"/>
    <x v="152"/>
    <x v="210"/>
    <x v="635"/>
    <x v="739"/>
    <x v="886"/>
    <x v="886"/>
    <x v="871"/>
    <x v="1"/>
    <x v="881"/>
    <x v="886"/>
    <x v="596"/>
    <x v="0"/>
    <x v="0"/>
    <x v="4"/>
    <x v="122"/>
    <x v="22"/>
    <x v="30"/>
    <x v="32"/>
    <x v="3"/>
    <x v="1"/>
    <x v="0"/>
    <x v="895"/>
  </r>
  <r>
    <x v="0"/>
    <x v="296"/>
    <x v="136"/>
    <x v="32"/>
    <x v="189"/>
    <x v="10"/>
    <x v="15"/>
    <x v="856"/>
    <x v="105"/>
    <x v="180"/>
    <x v="489"/>
    <x v="740"/>
    <x v="887"/>
    <x v="887"/>
    <x v="417"/>
    <x v="0"/>
    <x v="882"/>
    <x v="887"/>
    <x v="597"/>
    <x v="0"/>
    <x v="0"/>
    <x v="0"/>
    <x v="120"/>
    <x v="12"/>
    <x v="9"/>
    <x v="21"/>
    <x v="3"/>
    <x v="1"/>
    <x v="0"/>
    <x v="896"/>
  </r>
  <r>
    <x v="0"/>
    <x v="20"/>
    <x v="243"/>
    <x v="47"/>
    <x v="13"/>
    <x v="231"/>
    <x v="210"/>
    <x v="857"/>
    <x v="127"/>
    <x v="393"/>
    <x v="636"/>
    <x v="741"/>
    <x v="888"/>
    <x v="840"/>
    <x v="872"/>
    <x v="1"/>
    <x v="883"/>
    <x v="888"/>
    <x v="224"/>
    <x v="0"/>
    <x v="0"/>
    <x v="0"/>
    <x v="122"/>
    <x v="7"/>
    <x v="396"/>
    <x v="23"/>
    <x v="3"/>
    <x v="1"/>
    <x v="0"/>
    <x v="897"/>
  </r>
  <r>
    <x v="0"/>
    <x v="421"/>
    <x v="313"/>
    <x v="38"/>
    <x v="137"/>
    <x v="495"/>
    <x v="211"/>
    <x v="858"/>
    <x v="41"/>
    <x v="394"/>
    <x v="545"/>
    <x v="742"/>
    <x v="889"/>
    <x v="888"/>
    <x v="873"/>
    <x v="2"/>
    <x v="884"/>
    <x v="889"/>
    <x v="286"/>
    <x v="0"/>
    <x v="0"/>
    <x v="2"/>
    <x v="122"/>
    <x v="35"/>
    <x v="354"/>
    <x v="2"/>
    <x v="1"/>
    <x v="1"/>
    <x v="0"/>
    <x v="898"/>
  </r>
  <r>
    <x v="0"/>
    <x v="225"/>
    <x v="333"/>
    <x v="61"/>
    <x v="141"/>
    <x v="496"/>
    <x v="212"/>
    <x v="859"/>
    <x v="314"/>
    <x v="395"/>
    <x v="637"/>
    <x v="743"/>
    <x v="890"/>
    <x v="889"/>
    <x v="874"/>
    <x v="0"/>
    <x v="885"/>
    <x v="890"/>
    <x v="598"/>
    <x v="0"/>
    <x v="0"/>
    <x v="4"/>
    <x v="122"/>
    <x v="17"/>
    <x v="397"/>
    <x v="52"/>
    <x v="1"/>
    <x v="43"/>
    <x v="0"/>
    <x v="899"/>
  </r>
  <r>
    <x v="1"/>
    <x v="357"/>
    <x v="238"/>
    <x v="57"/>
    <x v="212"/>
    <x v="40"/>
    <x v="21"/>
    <x v="860"/>
    <x v="306"/>
    <x v="141"/>
    <x v="129"/>
    <x v="48"/>
    <x v="891"/>
    <x v="890"/>
    <x v="875"/>
    <x v="0"/>
    <x v="886"/>
    <x v="891"/>
    <x v="128"/>
    <x v="0"/>
    <x v="8"/>
    <x v="0"/>
    <x v="97"/>
    <x v="7"/>
    <x v="47"/>
    <x v="5"/>
    <x v="3"/>
    <x v="1"/>
    <x v="0"/>
    <x v="900"/>
  </r>
  <r>
    <x v="0"/>
    <x v="265"/>
    <x v="202"/>
    <x v="77"/>
    <x v="175"/>
    <x v="212"/>
    <x v="29"/>
    <x v="861"/>
    <x v="23"/>
    <x v="34"/>
    <x v="638"/>
    <x v="560"/>
    <x v="892"/>
    <x v="891"/>
    <x v="876"/>
    <x v="0"/>
    <x v="887"/>
    <x v="892"/>
    <x v="428"/>
    <x v="0"/>
    <x v="8"/>
    <x v="4"/>
    <x v="127"/>
    <x v="21"/>
    <x v="30"/>
    <x v="18"/>
    <x v="1"/>
    <x v="1"/>
    <x v="0"/>
    <x v="901"/>
  </r>
  <r>
    <x v="0"/>
    <x v="281"/>
    <x v="239"/>
    <x v="50"/>
    <x v="185"/>
    <x v="497"/>
    <x v="41"/>
    <x v="862"/>
    <x v="354"/>
    <x v="396"/>
    <x v="30"/>
    <x v="744"/>
    <x v="893"/>
    <x v="892"/>
    <x v="877"/>
    <x v="1"/>
    <x v="888"/>
    <x v="893"/>
    <x v="251"/>
    <x v="0"/>
    <x v="0"/>
    <x v="3"/>
    <x v="95"/>
    <x v="13"/>
    <x v="24"/>
    <x v="1"/>
    <x v="1"/>
    <x v="1"/>
    <x v="0"/>
    <x v="902"/>
  </r>
  <r>
    <x v="1"/>
    <x v="35"/>
    <x v="306"/>
    <x v="46"/>
    <x v="16"/>
    <x v="117"/>
    <x v="0"/>
    <x v="863"/>
    <x v="225"/>
    <x v="51"/>
    <x v="639"/>
    <x v="146"/>
    <x v="894"/>
    <x v="893"/>
    <x v="878"/>
    <x v="1"/>
    <x v="889"/>
    <x v="894"/>
    <x v="599"/>
    <x v="0"/>
    <x v="0"/>
    <x v="0"/>
    <x v="128"/>
    <x v="18"/>
    <x v="202"/>
    <x v="32"/>
    <x v="1"/>
    <x v="7"/>
    <x v="0"/>
    <x v="903"/>
  </r>
  <r>
    <x v="0"/>
    <x v="377"/>
    <x v="288"/>
    <x v="71"/>
    <x v="184"/>
    <x v="498"/>
    <x v="25"/>
    <x v="864"/>
    <x v="180"/>
    <x v="26"/>
    <x v="573"/>
    <x v="745"/>
    <x v="895"/>
    <x v="894"/>
    <x v="879"/>
    <x v="1"/>
    <x v="890"/>
    <x v="895"/>
    <x v="600"/>
    <x v="0"/>
    <x v="0"/>
    <x v="0"/>
    <x v="96"/>
    <x v="18"/>
    <x v="368"/>
    <x v="34"/>
    <x v="1"/>
    <x v="186"/>
    <x v="0"/>
    <x v="904"/>
  </r>
  <r>
    <x v="0"/>
    <x v="422"/>
    <x v="404"/>
    <x v="32"/>
    <x v="225"/>
    <x v="23"/>
    <x v="1"/>
    <x v="865"/>
    <x v="130"/>
    <x v="1"/>
    <x v="445"/>
    <x v="746"/>
    <x v="896"/>
    <x v="895"/>
    <x v="880"/>
    <x v="6"/>
    <x v="891"/>
    <x v="896"/>
    <x v="316"/>
    <x v="0"/>
    <x v="0"/>
    <x v="4"/>
    <x v="96"/>
    <x v="2"/>
    <x v="21"/>
    <x v="15"/>
    <x v="1"/>
    <x v="20"/>
    <x v="0"/>
    <x v="905"/>
  </r>
  <r>
    <x v="0"/>
    <x v="326"/>
    <x v="367"/>
    <x v="24"/>
    <x v="121"/>
    <x v="46"/>
    <x v="29"/>
    <x v="866"/>
    <x v="156"/>
    <x v="74"/>
    <x v="77"/>
    <x v="55"/>
    <x v="897"/>
    <x v="896"/>
    <x v="881"/>
    <x v="0"/>
    <x v="892"/>
    <x v="897"/>
    <x v="359"/>
    <x v="0"/>
    <x v="0"/>
    <x v="4"/>
    <x v="63"/>
    <x v="7"/>
    <x v="56"/>
    <x v="1"/>
    <x v="1"/>
    <x v="1"/>
    <x v="0"/>
    <x v="906"/>
  </r>
  <r>
    <x v="0"/>
    <x v="273"/>
    <x v="405"/>
    <x v="34"/>
    <x v="70"/>
    <x v="17"/>
    <x v="11"/>
    <x v="867"/>
    <x v="168"/>
    <x v="69"/>
    <x v="356"/>
    <x v="455"/>
    <x v="898"/>
    <x v="897"/>
    <x v="882"/>
    <x v="0"/>
    <x v="893"/>
    <x v="898"/>
    <x v="601"/>
    <x v="0"/>
    <x v="0"/>
    <x v="4"/>
    <x v="95"/>
    <x v="0"/>
    <x v="30"/>
    <x v="38"/>
    <x v="1"/>
    <x v="90"/>
    <x v="0"/>
    <x v="907"/>
  </r>
  <r>
    <x v="0"/>
    <x v="423"/>
    <x v="75"/>
    <x v="122"/>
    <x v="0"/>
    <x v="1"/>
    <x v="17"/>
    <x v="868"/>
    <x v="355"/>
    <x v="397"/>
    <x v="128"/>
    <x v="205"/>
    <x v="899"/>
    <x v="898"/>
    <x v="883"/>
    <x v="0"/>
    <x v="894"/>
    <x v="899"/>
    <x v="125"/>
    <x v="0"/>
    <x v="0"/>
    <x v="4"/>
    <x v="96"/>
    <x v="1"/>
    <x v="13"/>
    <x v="32"/>
    <x v="1"/>
    <x v="1"/>
    <x v="0"/>
    <x v="908"/>
  </r>
  <r>
    <x v="0"/>
    <x v="250"/>
    <x v="239"/>
    <x v="100"/>
    <x v="168"/>
    <x v="191"/>
    <x v="86"/>
    <x v="869"/>
    <x v="356"/>
    <x v="150"/>
    <x v="640"/>
    <x v="747"/>
    <x v="900"/>
    <x v="899"/>
    <x v="884"/>
    <x v="1"/>
    <x v="895"/>
    <x v="900"/>
    <x v="488"/>
    <x v="0"/>
    <x v="0"/>
    <x v="4"/>
    <x v="97"/>
    <x v="20"/>
    <x v="398"/>
    <x v="18"/>
    <x v="3"/>
    <x v="187"/>
    <x v="0"/>
    <x v="909"/>
  </r>
  <r>
    <x v="0"/>
    <x v="424"/>
    <x v="257"/>
    <x v="23"/>
    <x v="231"/>
    <x v="248"/>
    <x v="20"/>
    <x v="870"/>
    <x v="357"/>
    <x v="21"/>
    <x v="340"/>
    <x v="748"/>
    <x v="901"/>
    <x v="900"/>
    <x v="885"/>
    <x v="1"/>
    <x v="896"/>
    <x v="901"/>
    <x v="377"/>
    <x v="0"/>
    <x v="0"/>
    <x v="0"/>
    <x v="97"/>
    <x v="1"/>
    <x v="13"/>
    <x v="18"/>
    <x v="1"/>
    <x v="188"/>
    <x v="0"/>
    <x v="910"/>
  </r>
  <r>
    <x v="0"/>
    <x v="38"/>
    <x v="123"/>
    <x v="8"/>
    <x v="25"/>
    <x v="23"/>
    <x v="19"/>
    <x v="871"/>
    <x v="130"/>
    <x v="20"/>
    <x v="404"/>
    <x v="749"/>
    <x v="902"/>
    <x v="901"/>
    <x v="886"/>
    <x v="0"/>
    <x v="897"/>
    <x v="902"/>
    <x v="602"/>
    <x v="0"/>
    <x v="0"/>
    <x v="0"/>
    <x v="89"/>
    <x v="19"/>
    <x v="28"/>
    <x v="25"/>
    <x v="3"/>
    <x v="61"/>
    <x v="0"/>
    <x v="911"/>
  </r>
  <r>
    <x v="0"/>
    <x v="212"/>
    <x v="406"/>
    <x v="68"/>
    <x v="0"/>
    <x v="499"/>
    <x v="0"/>
    <x v="872"/>
    <x v="223"/>
    <x v="398"/>
    <x v="367"/>
    <x v="750"/>
    <x v="903"/>
    <x v="902"/>
    <x v="887"/>
    <x v="0"/>
    <x v="898"/>
    <x v="903"/>
    <x v="603"/>
    <x v="0"/>
    <x v="0"/>
    <x v="4"/>
    <x v="88"/>
    <x v="3"/>
    <x v="30"/>
    <x v="38"/>
    <x v="3"/>
    <x v="36"/>
    <x v="0"/>
    <x v="912"/>
  </r>
  <r>
    <x v="0"/>
    <x v="118"/>
    <x v="176"/>
    <x v="11"/>
    <x v="92"/>
    <x v="500"/>
    <x v="41"/>
    <x v="873"/>
    <x v="105"/>
    <x v="211"/>
    <x v="641"/>
    <x v="751"/>
    <x v="904"/>
    <x v="903"/>
    <x v="888"/>
    <x v="1"/>
    <x v="899"/>
    <x v="904"/>
    <x v="358"/>
    <x v="0"/>
    <x v="0"/>
    <x v="0"/>
    <x v="89"/>
    <x v="7"/>
    <x v="399"/>
    <x v="27"/>
    <x v="3"/>
    <x v="1"/>
    <x v="0"/>
    <x v="913"/>
  </r>
  <r>
    <x v="0"/>
    <x v="425"/>
    <x v="282"/>
    <x v="26"/>
    <x v="38"/>
    <x v="42"/>
    <x v="21"/>
    <x v="874"/>
    <x v="358"/>
    <x v="298"/>
    <x v="608"/>
    <x v="51"/>
    <x v="905"/>
    <x v="904"/>
    <x v="889"/>
    <x v="1"/>
    <x v="900"/>
    <x v="905"/>
    <x v="331"/>
    <x v="0"/>
    <x v="0"/>
    <x v="0"/>
    <x v="89"/>
    <x v="8"/>
    <x v="6"/>
    <x v="22"/>
    <x v="1"/>
    <x v="7"/>
    <x v="0"/>
    <x v="914"/>
  </r>
  <r>
    <x v="0"/>
    <x v="293"/>
    <x v="72"/>
    <x v="31"/>
    <x v="0"/>
    <x v="21"/>
    <x v="21"/>
    <x v="875"/>
    <x v="127"/>
    <x v="71"/>
    <x v="642"/>
    <x v="28"/>
    <x v="906"/>
    <x v="905"/>
    <x v="890"/>
    <x v="14"/>
    <x v="901"/>
    <x v="906"/>
    <x v="376"/>
    <x v="0"/>
    <x v="0"/>
    <x v="0"/>
    <x v="89"/>
    <x v="5"/>
    <x v="47"/>
    <x v="20"/>
    <x v="3"/>
    <x v="104"/>
    <x v="0"/>
    <x v="915"/>
  </r>
  <r>
    <x v="0"/>
    <x v="426"/>
    <x v="235"/>
    <x v="86"/>
    <x v="232"/>
    <x v="442"/>
    <x v="213"/>
    <x v="876"/>
    <x v="121"/>
    <x v="399"/>
    <x v="643"/>
    <x v="646"/>
    <x v="907"/>
    <x v="906"/>
    <x v="891"/>
    <x v="7"/>
    <x v="902"/>
    <x v="907"/>
    <x v="604"/>
    <x v="0"/>
    <x v="0"/>
    <x v="0"/>
    <x v="95"/>
    <x v="12"/>
    <x v="400"/>
    <x v="37"/>
    <x v="1"/>
    <x v="1"/>
    <x v="0"/>
    <x v="916"/>
  </r>
  <r>
    <x v="0"/>
    <x v="427"/>
    <x v="150"/>
    <x v="83"/>
    <x v="0"/>
    <x v="130"/>
    <x v="45"/>
    <x v="877"/>
    <x v="269"/>
    <x v="70"/>
    <x v="644"/>
    <x v="752"/>
    <x v="908"/>
    <x v="907"/>
    <x v="892"/>
    <x v="0"/>
    <x v="903"/>
    <x v="908"/>
    <x v="605"/>
    <x v="0"/>
    <x v="0"/>
    <x v="4"/>
    <x v="89"/>
    <x v="20"/>
    <x v="401"/>
    <x v="32"/>
    <x v="1"/>
    <x v="1"/>
    <x v="0"/>
    <x v="917"/>
  </r>
  <r>
    <x v="0"/>
    <x v="428"/>
    <x v="300"/>
    <x v="34"/>
    <x v="233"/>
    <x v="501"/>
    <x v="17"/>
    <x v="878"/>
    <x v="219"/>
    <x v="32"/>
    <x v="35"/>
    <x v="753"/>
    <x v="909"/>
    <x v="908"/>
    <x v="893"/>
    <x v="4"/>
    <x v="904"/>
    <x v="909"/>
    <x v="585"/>
    <x v="0"/>
    <x v="0"/>
    <x v="4"/>
    <x v="89"/>
    <x v="10"/>
    <x v="10"/>
    <x v="21"/>
    <x v="1"/>
    <x v="38"/>
    <x v="0"/>
    <x v="918"/>
  </r>
  <r>
    <x v="0"/>
    <x v="429"/>
    <x v="321"/>
    <x v="34"/>
    <x v="234"/>
    <x v="502"/>
    <x v="214"/>
    <x v="879"/>
    <x v="309"/>
    <x v="400"/>
    <x v="645"/>
    <x v="754"/>
    <x v="910"/>
    <x v="909"/>
    <x v="894"/>
    <x v="1"/>
    <x v="905"/>
    <x v="910"/>
    <x v="176"/>
    <x v="0"/>
    <x v="1"/>
    <x v="4"/>
    <x v="89"/>
    <x v="15"/>
    <x v="327"/>
    <x v="38"/>
    <x v="1"/>
    <x v="1"/>
    <x v="0"/>
    <x v="919"/>
  </r>
  <r>
    <x v="0"/>
    <x v="48"/>
    <x v="395"/>
    <x v="0"/>
    <x v="33"/>
    <x v="354"/>
    <x v="13"/>
    <x v="880"/>
    <x v="130"/>
    <x v="158"/>
    <x v="646"/>
    <x v="485"/>
    <x v="911"/>
    <x v="910"/>
    <x v="895"/>
    <x v="4"/>
    <x v="906"/>
    <x v="911"/>
    <x v="222"/>
    <x v="0"/>
    <x v="0"/>
    <x v="4"/>
    <x v="89"/>
    <x v="16"/>
    <x v="402"/>
    <x v="17"/>
    <x v="1"/>
    <x v="59"/>
    <x v="0"/>
    <x v="920"/>
  </r>
  <r>
    <x v="0"/>
    <x v="430"/>
    <x v="232"/>
    <x v="80"/>
    <x v="235"/>
    <x v="503"/>
    <x v="215"/>
    <x v="881"/>
    <x v="3"/>
    <x v="401"/>
    <x v="647"/>
    <x v="755"/>
    <x v="912"/>
    <x v="911"/>
    <x v="896"/>
    <x v="1"/>
    <x v="907"/>
    <x v="912"/>
    <x v="376"/>
    <x v="0"/>
    <x v="10"/>
    <x v="4"/>
    <x v="89"/>
    <x v="5"/>
    <x v="403"/>
    <x v="12"/>
    <x v="1"/>
    <x v="1"/>
    <x v="0"/>
    <x v="921"/>
  </r>
  <r>
    <x v="0"/>
    <x v="431"/>
    <x v="238"/>
    <x v="27"/>
    <x v="89"/>
    <x v="293"/>
    <x v="216"/>
    <x v="882"/>
    <x v="92"/>
    <x v="402"/>
    <x v="300"/>
    <x v="756"/>
    <x v="913"/>
    <x v="912"/>
    <x v="897"/>
    <x v="3"/>
    <x v="908"/>
    <x v="913"/>
    <x v="454"/>
    <x v="0"/>
    <x v="0"/>
    <x v="0"/>
    <x v="89"/>
    <x v="17"/>
    <x v="202"/>
    <x v="34"/>
    <x v="1"/>
    <x v="168"/>
    <x v="0"/>
    <x v="922"/>
  </r>
  <r>
    <x v="0"/>
    <x v="307"/>
    <x v="297"/>
    <x v="38"/>
    <x v="114"/>
    <x v="504"/>
    <x v="194"/>
    <x v="883"/>
    <x v="125"/>
    <x v="361"/>
    <x v="648"/>
    <x v="757"/>
    <x v="914"/>
    <x v="913"/>
    <x v="898"/>
    <x v="1"/>
    <x v="909"/>
    <x v="914"/>
    <x v="606"/>
    <x v="0"/>
    <x v="0"/>
    <x v="4"/>
    <x v="129"/>
    <x v="21"/>
    <x v="196"/>
    <x v="12"/>
    <x v="3"/>
    <x v="1"/>
    <x v="0"/>
    <x v="923"/>
  </r>
  <r>
    <x v="0"/>
    <x v="432"/>
    <x v="288"/>
    <x v="78"/>
    <x v="77"/>
    <x v="135"/>
    <x v="217"/>
    <x v="884"/>
    <x v="233"/>
    <x v="403"/>
    <x v="296"/>
    <x v="758"/>
    <x v="915"/>
    <x v="914"/>
    <x v="899"/>
    <x v="1"/>
    <x v="910"/>
    <x v="915"/>
    <x v="293"/>
    <x v="0"/>
    <x v="8"/>
    <x v="2"/>
    <x v="129"/>
    <x v="7"/>
    <x v="178"/>
    <x v="23"/>
    <x v="3"/>
    <x v="189"/>
    <x v="0"/>
    <x v="924"/>
  </r>
  <r>
    <x v="0"/>
    <x v="433"/>
    <x v="184"/>
    <x v="41"/>
    <x v="125"/>
    <x v="505"/>
    <x v="35"/>
    <x v="885"/>
    <x v="238"/>
    <x v="91"/>
    <x v="649"/>
    <x v="759"/>
    <x v="916"/>
    <x v="915"/>
    <x v="900"/>
    <x v="0"/>
    <x v="911"/>
    <x v="916"/>
    <x v="472"/>
    <x v="0"/>
    <x v="0"/>
    <x v="2"/>
    <x v="4"/>
    <x v="7"/>
    <x v="30"/>
    <x v="41"/>
    <x v="3"/>
    <x v="103"/>
    <x v="0"/>
    <x v="925"/>
  </r>
  <r>
    <x v="0"/>
    <x v="19"/>
    <x v="341"/>
    <x v="29"/>
    <x v="12"/>
    <x v="90"/>
    <x v="20"/>
    <x v="886"/>
    <x v="78"/>
    <x v="83"/>
    <x v="71"/>
    <x v="155"/>
    <x v="917"/>
    <x v="916"/>
    <x v="901"/>
    <x v="4"/>
    <x v="912"/>
    <x v="917"/>
    <x v="607"/>
    <x v="0"/>
    <x v="0"/>
    <x v="0"/>
    <x v="95"/>
    <x v="0"/>
    <x v="53"/>
    <x v="51"/>
    <x v="1"/>
    <x v="38"/>
    <x v="0"/>
    <x v="926"/>
  </r>
  <r>
    <x v="0"/>
    <x v="13"/>
    <x v="237"/>
    <x v="78"/>
    <x v="8"/>
    <x v="502"/>
    <x v="218"/>
    <x v="887"/>
    <x v="21"/>
    <x v="404"/>
    <x v="650"/>
    <x v="760"/>
    <x v="918"/>
    <x v="917"/>
    <x v="902"/>
    <x v="1"/>
    <x v="913"/>
    <x v="918"/>
    <x v="608"/>
    <x v="0"/>
    <x v="0"/>
    <x v="2"/>
    <x v="81"/>
    <x v="18"/>
    <x v="404"/>
    <x v="0"/>
    <x v="3"/>
    <x v="1"/>
    <x v="0"/>
    <x v="927"/>
  </r>
  <r>
    <x v="0"/>
    <x v="434"/>
    <x v="407"/>
    <x v="11"/>
    <x v="217"/>
    <x v="506"/>
    <x v="57"/>
    <x v="888"/>
    <x v="359"/>
    <x v="109"/>
    <x v="623"/>
    <x v="761"/>
    <x v="919"/>
    <x v="918"/>
    <x v="903"/>
    <x v="4"/>
    <x v="914"/>
    <x v="919"/>
    <x v="297"/>
    <x v="0"/>
    <x v="0"/>
    <x v="0"/>
    <x v="130"/>
    <x v="10"/>
    <x v="388"/>
    <x v="1"/>
    <x v="3"/>
    <x v="88"/>
    <x v="0"/>
    <x v="928"/>
  </r>
  <r>
    <x v="0"/>
    <x v="53"/>
    <x v="334"/>
    <x v="125"/>
    <x v="38"/>
    <x v="215"/>
    <x v="9"/>
    <x v="889"/>
    <x v="16"/>
    <x v="9"/>
    <x v="65"/>
    <x v="273"/>
    <x v="920"/>
    <x v="919"/>
    <x v="904"/>
    <x v="0"/>
    <x v="915"/>
    <x v="920"/>
    <x v="302"/>
    <x v="0"/>
    <x v="0"/>
    <x v="0"/>
    <x v="115"/>
    <x v="23"/>
    <x v="6"/>
    <x v="8"/>
    <x v="3"/>
    <x v="1"/>
    <x v="0"/>
    <x v="929"/>
  </r>
  <r>
    <x v="0"/>
    <x v="296"/>
    <x v="216"/>
    <x v="106"/>
    <x v="189"/>
    <x v="507"/>
    <x v="14"/>
    <x v="890"/>
    <x v="334"/>
    <x v="56"/>
    <x v="213"/>
    <x v="762"/>
    <x v="921"/>
    <x v="920"/>
    <x v="905"/>
    <x v="0"/>
    <x v="916"/>
    <x v="921"/>
    <x v="395"/>
    <x v="0"/>
    <x v="0"/>
    <x v="4"/>
    <x v="95"/>
    <x v="25"/>
    <x v="143"/>
    <x v="11"/>
    <x v="3"/>
    <x v="1"/>
    <x v="0"/>
    <x v="930"/>
  </r>
  <r>
    <x v="0"/>
    <x v="314"/>
    <x v="408"/>
    <x v="52"/>
    <x v="196"/>
    <x v="1"/>
    <x v="10"/>
    <x v="891"/>
    <x v="219"/>
    <x v="375"/>
    <x v="651"/>
    <x v="763"/>
    <x v="922"/>
    <x v="921"/>
    <x v="906"/>
    <x v="1"/>
    <x v="917"/>
    <x v="922"/>
    <x v="609"/>
    <x v="0"/>
    <x v="0"/>
    <x v="4"/>
    <x v="95"/>
    <x v="3"/>
    <x v="13"/>
    <x v="15"/>
    <x v="3"/>
    <x v="190"/>
    <x v="0"/>
    <x v="931"/>
  </r>
  <r>
    <x v="0"/>
    <x v="140"/>
    <x v="150"/>
    <x v="106"/>
    <x v="40"/>
    <x v="508"/>
    <x v="219"/>
    <x v="892"/>
    <x v="105"/>
    <x v="405"/>
    <x v="427"/>
    <x v="764"/>
    <x v="923"/>
    <x v="922"/>
    <x v="907"/>
    <x v="0"/>
    <x v="918"/>
    <x v="923"/>
    <x v="610"/>
    <x v="0"/>
    <x v="0"/>
    <x v="0"/>
    <x v="95"/>
    <x v="13"/>
    <x v="287"/>
    <x v="16"/>
    <x v="3"/>
    <x v="59"/>
    <x v="0"/>
    <x v="932"/>
  </r>
  <r>
    <x v="0"/>
    <x v="51"/>
    <x v="398"/>
    <x v="69"/>
    <x v="36"/>
    <x v="509"/>
    <x v="49"/>
    <x v="893"/>
    <x v="360"/>
    <x v="86"/>
    <x v="89"/>
    <x v="765"/>
    <x v="924"/>
    <x v="923"/>
    <x v="908"/>
    <x v="1"/>
    <x v="919"/>
    <x v="924"/>
    <x v="611"/>
    <x v="0"/>
    <x v="0"/>
    <x v="0"/>
    <x v="95"/>
    <x v="20"/>
    <x v="31"/>
    <x v="10"/>
    <x v="1"/>
    <x v="1"/>
    <x v="0"/>
    <x v="933"/>
  </r>
  <r>
    <x v="0"/>
    <x v="167"/>
    <x v="319"/>
    <x v="14"/>
    <x v="120"/>
    <x v="55"/>
    <x v="2"/>
    <x v="894"/>
    <x v="125"/>
    <x v="42"/>
    <x v="229"/>
    <x v="69"/>
    <x v="925"/>
    <x v="924"/>
    <x v="909"/>
    <x v="4"/>
    <x v="920"/>
    <x v="925"/>
    <x v="324"/>
    <x v="0"/>
    <x v="0"/>
    <x v="0"/>
    <x v="95"/>
    <x v="9"/>
    <x v="135"/>
    <x v="22"/>
    <x v="1"/>
    <x v="25"/>
    <x v="0"/>
    <x v="934"/>
  </r>
  <r>
    <x v="0"/>
    <x v="254"/>
    <x v="338"/>
    <x v="45"/>
    <x v="169"/>
    <x v="510"/>
    <x v="25"/>
    <x v="895"/>
    <x v="127"/>
    <x v="26"/>
    <x v="288"/>
    <x v="766"/>
    <x v="926"/>
    <x v="925"/>
    <x v="910"/>
    <x v="1"/>
    <x v="921"/>
    <x v="926"/>
    <x v="75"/>
    <x v="0"/>
    <x v="0"/>
    <x v="0"/>
    <x v="95"/>
    <x v="19"/>
    <x v="6"/>
    <x v="27"/>
    <x v="3"/>
    <x v="1"/>
    <x v="0"/>
    <x v="935"/>
  </r>
  <r>
    <x v="0"/>
    <x v="34"/>
    <x v="45"/>
    <x v="52"/>
    <x v="25"/>
    <x v="511"/>
    <x v="0"/>
    <x v="896"/>
    <x v="361"/>
    <x v="406"/>
    <x v="264"/>
    <x v="767"/>
    <x v="927"/>
    <x v="926"/>
    <x v="911"/>
    <x v="0"/>
    <x v="922"/>
    <x v="927"/>
    <x v="523"/>
    <x v="0"/>
    <x v="0"/>
    <x v="0"/>
    <x v="95"/>
    <x v="10"/>
    <x v="178"/>
    <x v="1"/>
    <x v="1"/>
    <x v="40"/>
    <x v="0"/>
    <x v="936"/>
  </r>
  <r>
    <x v="0"/>
    <x v="151"/>
    <x v="244"/>
    <x v="22"/>
    <x v="0"/>
    <x v="314"/>
    <x v="94"/>
    <x v="897"/>
    <x v="113"/>
    <x v="218"/>
    <x v="652"/>
    <x v="768"/>
    <x v="928"/>
    <x v="927"/>
    <x v="912"/>
    <x v="0"/>
    <x v="923"/>
    <x v="928"/>
    <x v="259"/>
    <x v="0"/>
    <x v="0"/>
    <x v="4"/>
    <x v="89"/>
    <x v="21"/>
    <x v="405"/>
    <x v="11"/>
    <x v="3"/>
    <x v="1"/>
    <x v="0"/>
    <x v="937"/>
  </r>
  <r>
    <x v="0"/>
    <x v="372"/>
    <x v="321"/>
    <x v="38"/>
    <x v="8"/>
    <x v="512"/>
    <x v="2"/>
    <x v="898"/>
    <x v="127"/>
    <x v="72"/>
    <x v="569"/>
    <x v="769"/>
    <x v="929"/>
    <x v="928"/>
    <x v="913"/>
    <x v="4"/>
    <x v="924"/>
    <x v="929"/>
    <x v="612"/>
    <x v="0"/>
    <x v="0"/>
    <x v="0"/>
    <x v="95"/>
    <x v="17"/>
    <x v="30"/>
    <x v="21"/>
    <x v="3"/>
    <x v="1"/>
    <x v="0"/>
    <x v="938"/>
  </r>
  <r>
    <x v="0"/>
    <x v="201"/>
    <x v="162"/>
    <x v="52"/>
    <x v="142"/>
    <x v="513"/>
    <x v="30"/>
    <x v="899"/>
    <x v="132"/>
    <x v="50"/>
    <x v="653"/>
    <x v="770"/>
    <x v="930"/>
    <x v="929"/>
    <x v="914"/>
    <x v="4"/>
    <x v="925"/>
    <x v="930"/>
    <x v="302"/>
    <x v="0"/>
    <x v="0"/>
    <x v="4"/>
    <x v="95"/>
    <x v="11"/>
    <x v="406"/>
    <x v="1"/>
    <x v="1"/>
    <x v="4"/>
    <x v="0"/>
    <x v="939"/>
  </r>
  <r>
    <x v="0"/>
    <x v="435"/>
    <x v="293"/>
    <x v="32"/>
    <x v="236"/>
    <x v="6"/>
    <x v="2"/>
    <x v="900"/>
    <x v="362"/>
    <x v="75"/>
    <x v="119"/>
    <x v="6"/>
    <x v="931"/>
    <x v="930"/>
    <x v="915"/>
    <x v="0"/>
    <x v="926"/>
    <x v="931"/>
    <x v="613"/>
    <x v="0"/>
    <x v="0"/>
    <x v="4"/>
    <x v="81"/>
    <x v="24"/>
    <x v="10"/>
    <x v="32"/>
    <x v="3"/>
    <x v="59"/>
    <x v="0"/>
    <x v="940"/>
  </r>
  <r>
    <x v="0"/>
    <x v="118"/>
    <x v="136"/>
    <x v="27"/>
    <x v="92"/>
    <x v="1"/>
    <x v="21"/>
    <x v="901"/>
    <x v="127"/>
    <x v="71"/>
    <x v="255"/>
    <x v="771"/>
    <x v="932"/>
    <x v="931"/>
    <x v="916"/>
    <x v="1"/>
    <x v="927"/>
    <x v="932"/>
    <x v="554"/>
    <x v="0"/>
    <x v="0"/>
    <x v="0"/>
    <x v="80"/>
    <x v="8"/>
    <x v="6"/>
    <x v="2"/>
    <x v="1"/>
    <x v="1"/>
    <x v="0"/>
    <x v="941"/>
  </r>
  <r>
    <x v="0"/>
    <x v="436"/>
    <x v="325"/>
    <x v="86"/>
    <x v="171"/>
    <x v="450"/>
    <x v="25"/>
    <x v="902"/>
    <x v="132"/>
    <x v="138"/>
    <x v="22"/>
    <x v="772"/>
    <x v="933"/>
    <x v="932"/>
    <x v="917"/>
    <x v="4"/>
    <x v="928"/>
    <x v="933"/>
    <x v="472"/>
    <x v="0"/>
    <x v="0"/>
    <x v="0"/>
    <x v="95"/>
    <x v="6"/>
    <x v="19"/>
    <x v="4"/>
    <x v="1"/>
    <x v="7"/>
    <x v="0"/>
    <x v="942"/>
  </r>
  <r>
    <x v="0"/>
    <x v="126"/>
    <x v="409"/>
    <x v="23"/>
    <x v="0"/>
    <x v="514"/>
    <x v="94"/>
    <x v="903"/>
    <x v="200"/>
    <x v="218"/>
    <x v="654"/>
    <x v="773"/>
    <x v="934"/>
    <x v="933"/>
    <x v="918"/>
    <x v="4"/>
    <x v="929"/>
    <x v="934"/>
    <x v="418"/>
    <x v="0"/>
    <x v="0"/>
    <x v="0"/>
    <x v="95"/>
    <x v="20"/>
    <x v="407"/>
    <x v="10"/>
    <x v="1"/>
    <x v="1"/>
    <x v="0"/>
    <x v="943"/>
  </r>
  <r>
    <x v="0"/>
    <x v="395"/>
    <x v="118"/>
    <x v="45"/>
    <x v="223"/>
    <x v="109"/>
    <x v="94"/>
    <x v="904"/>
    <x v="238"/>
    <x v="166"/>
    <x v="323"/>
    <x v="774"/>
    <x v="935"/>
    <x v="934"/>
    <x v="919"/>
    <x v="4"/>
    <x v="930"/>
    <x v="935"/>
    <x v="140"/>
    <x v="0"/>
    <x v="0"/>
    <x v="0"/>
    <x v="95"/>
    <x v="2"/>
    <x v="12"/>
    <x v="9"/>
    <x v="3"/>
    <x v="38"/>
    <x v="0"/>
    <x v="944"/>
  </r>
  <r>
    <x v="0"/>
    <x v="14"/>
    <x v="233"/>
    <x v="31"/>
    <x v="9"/>
    <x v="9"/>
    <x v="1"/>
    <x v="905"/>
    <x v="363"/>
    <x v="1"/>
    <x v="608"/>
    <x v="533"/>
    <x v="936"/>
    <x v="41"/>
    <x v="920"/>
    <x v="1"/>
    <x v="931"/>
    <x v="936"/>
    <x v="205"/>
    <x v="0"/>
    <x v="0"/>
    <x v="2"/>
    <x v="95"/>
    <x v="11"/>
    <x v="6"/>
    <x v="19"/>
    <x v="6"/>
    <x v="191"/>
    <x v="0"/>
    <x v="945"/>
  </r>
  <r>
    <x v="0"/>
    <x v="437"/>
    <x v="223"/>
    <x v="74"/>
    <x v="0"/>
    <x v="515"/>
    <x v="11"/>
    <x v="906"/>
    <x v="171"/>
    <x v="156"/>
    <x v="655"/>
    <x v="775"/>
    <x v="937"/>
    <x v="935"/>
    <x v="921"/>
    <x v="4"/>
    <x v="932"/>
    <x v="937"/>
    <x v="309"/>
    <x v="0"/>
    <x v="0"/>
    <x v="4"/>
    <x v="91"/>
    <x v="7"/>
    <x v="11"/>
    <x v="32"/>
    <x v="1"/>
    <x v="1"/>
    <x v="0"/>
    <x v="946"/>
  </r>
  <r>
    <x v="0"/>
    <x v="438"/>
    <x v="262"/>
    <x v="78"/>
    <x v="237"/>
    <x v="229"/>
    <x v="0"/>
    <x v="907"/>
    <x v="28"/>
    <x v="407"/>
    <x v="656"/>
    <x v="558"/>
    <x v="938"/>
    <x v="936"/>
    <x v="922"/>
    <x v="1"/>
    <x v="933"/>
    <x v="938"/>
    <x v="318"/>
    <x v="0"/>
    <x v="0"/>
    <x v="4"/>
    <x v="95"/>
    <x v="15"/>
    <x v="314"/>
    <x v="1"/>
    <x v="1"/>
    <x v="1"/>
    <x v="0"/>
    <x v="947"/>
  </r>
  <r>
    <x v="0"/>
    <x v="439"/>
    <x v="398"/>
    <x v="56"/>
    <x v="238"/>
    <x v="516"/>
    <x v="220"/>
    <x v="908"/>
    <x v="107"/>
    <x v="408"/>
    <x v="521"/>
    <x v="776"/>
    <x v="939"/>
    <x v="937"/>
    <x v="923"/>
    <x v="0"/>
    <x v="934"/>
    <x v="939"/>
    <x v="568"/>
    <x v="0"/>
    <x v="0"/>
    <x v="0"/>
    <x v="95"/>
    <x v="16"/>
    <x v="339"/>
    <x v="40"/>
    <x v="3"/>
    <x v="1"/>
    <x v="0"/>
    <x v="948"/>
  </r>
  <r>
    <x v="0"/>
    <x v="296"/>
    <x v="192"/>
    <x v="23"/>
    <x v="189"/>
    <x v="1"/>
    <x v="32"/>
    <x v="909"/>
    <x v="301"/>
    <x v="59"/>
    <x v="281"/>
    <x v="180"/>
    <x v="940"/>
    <x v="938"/>
    <x v="924"/>
    <x v="3"/>
    <x v="935"/>
    <x v="940"/>
    <x v="614"/>
    <x v="0"/>
    <x v="0"/>
    <x v="2"/>
    <x v="4"/>
    <x v="10"/>
    <x v="44"/>
    <x v="1"/>
    <x v="3"/>
    <x v="31"/>
    <x v="0"/>
    <x v="949"/>
  </r>
  <r>
    <x v="0"/>
    <x v="104"/>
    <x v="367"/>
    <x v="61"/>
    <x v="82"/>
    <x v="54"/>
    <x v="25"/>
    <x v="910"/>
    <x v="178"/>
    <x v="76"/>
    <x v="657"/>
    <x v="777"/>
    <x v="941"/>
    <x v="939"/>
    <x v="925"/>
    <x v="0"/>
    <x v="936"/>
    <x v="941"/>
    <x v="615"/>
    <x v="0"/>
    <x v="0"/>
    <x v="0"/>
    <x v="95"/>
    <x v="0"/>
    <x v="357"/>
    <x v="5"/>
    <x v="1"/>
    <x v="1"/>
    <x v="0"/>
    <x v="950"/>
  </r>
  <r>
    <x v="0"/>
    <x v="404"/>
    <x v="262"/>
    <x v="54"/>
    <x v="134"/>
    <x v="21"/>
    <x v="21"/>
    <x v="911"/>
    <x v="127"/>
    <x v="71"/>
    <x v="240"/>
    <x v="778"/>
    <x v="942"/>
    <x v="940"/>
    <x v="926"/>
    <x v="4"/>
    <x v="937"/>
    <x v="942"/>
    <x v="579"/>
    <x v="0"/>
    <x v="0"/>
    <x v="0"/>
    <x v="95"/>
    <x v="7"/>
    <x v="6"/>
    <x v="23"/>
    <x v="1"/>
    <x v="43"/>
    <x v="0"/>
    <x v="951"/>
  </r>
  <r>
    <x v="0"/>
    <x v="440"/>
    <x v="128"/>
    <x v="57"/>
    <x v="110"/>
    <x v="517"/>
    <x v="18"/>
    <x v="912"/>
    <x v="364"/>
    <x v="19"/>
    <x v="658"/>
    <x v="779"/>
    <x v="943"/>
    <x v="941"/>
    <x v="927"/>
    <x v="0"/>
    <x v="938"/>
    <x v="943"/>
    <x v="397"/>
    <x v="0"/>
    <x v="0"/>
    <x v="0"/>
    <x v="4"/>
    <x v="12"/>
    <x v="408"/>
    <x v="28"/>
    <x v="3"/>
    <x v="1"/>
    <x v="0"/>
    <x v="952"/>
  </r>
  <r>
    <x v="0"/>
    <x v="330"/>
    <x v="119"/>
    <x v="34"/>
    <x v="171"/>
    <x v="55"/>
    <x v="186"/>
    <x v="913"/>
    <x v="105"/>
    <x v="350"/>
    <x v="190"/>
    <x v="69"/>
    <x v="944"/>
    <x v="942"/>
    <x v="928"/>
    <x v="6"/>
    <x v="939"/>
    <x v="944"/>
    <x v="616"/>
    <x v="0"/>
    <x v="0"/>
    <x v="0"/>
    <x v="95"/>
    <x v="10"/>
    <x v="28"/>
    <x v="38"/>
    <x v="6"/>
    <x v="20"/>
    <x v="0"/>
    <x v="953"/>
  </r>
  <r>
    <x v="0"/>
    <x v="441"/>
    <x v="410"/>
    <x v="110"/>
    <x v="69"/>
    <x v="471"/>
    <x v="57"/>
    <x v="914"/>
    <x v="57"/>
    <x v="192"/>
    <x v="659"/>
    <x v="780"/>
    <x v="945"/>
    <x v="943"/>
    <x v="929"/>
    <x v="0"/>
    <x v="940"/>
    <x v="945"/>
    <x v="423"/>
    <x v="0"/>
    <x v="0"/>
    <x v="2"/>
    <x v="82"/>
    <x v="14"/>
    <x v="409"/>
    <x v="40"/>
    <x v="3"/>
    <x v="192"/>
    <x v="0"/>
    <x v="954"/>
  </r>
  <r>
    <x v="0"/>
    <x v="442"/>
    <x v="353"/>
    <x v="77"/>
    <x v="239"/>
    <x v="518"/>
    <x v="35"/>
    <x v="915"/>
    <x v="238"/>
    <x v="157"/>
    <x v="432"/>
    <x v="781"/>
    <x v="946"/>
    <x v="944"/>
    <x v="930"/>
    <x v="1"/>
    <x v="941"/>
    <x v="946"/>
    <x v="120"/>
    <x v="0"/>
    <x v="0"/>
    <x v="2"/>
    <x v="81"/>
    <x v="14"/>
    <x v="291"/>
    <x v="31"/>
    <x v="1"/>
    <x v="1"/>
    <x v="0"/>
    <x v="955"/>
  </r>
  <r>
    <x v="0"/>
    <x v="443"/>
    <x v="411"/>
    <x v="82"/>
    <x v="240"/>
    <x v="21"/>
    <x v="13"/>
    <x v="916"/>
    <x v="122"/>
    <x v="93"/>
    <x v="660"/>
    <x v="352"/>
    <x v="947"/>
    <x v="945"/>
    <x v="931"/>
    <x v="1"/>
    <x v="942"/>
    <x v="947"/>
    <x v="617"/>
    <x v="0"/>
    <x v="0"/>
    <x v="0"/>
    <x v="95"/>
    <x v="10"/>
    <x v="249"/>
    <x v="32"/>
    <x v="3"/>
    <x v="41"/>
    <x v="0"/>
    <x v="956"/>
  </r>
  <r>
    <x v="0"/>
    <x v="72"/>
    <x v="272"/>
    <x v="46"/>
    <x v="57"/>
    <x v="27"/>
    <x v="11"/>
    <x v="917"/>
    <x v="65"/>
    <x v="11"/>
    <x v="65"/>
    <x v="499"/>
    <x v="948"/>
    <x v="946"/>
    <x v="932"/>
    <x v="3"/>
    <x v="943"/>
    <x v="948"/>
    <x v="140"/>
    <x v="0"/>
    <x v="0"/>
    <x v="4"/>
    <x v="95"/>
    <x v="16"/>
    <x v="6"/>
    <x v="4"/>
    <x v="3"/>
    <x v="1"/>
    <x v="0"/>
    <x v="957"/>
  </r>
  <r>
    <x v="0"/>
    <x v="444"/>
    <x v="190"/>
    <x v="11"/>
    <x v="241"/>
    <x v="518"/>
    <x v="21"/>
    <x v="918"/>
    <x v="83"/>
    <x v="22"/>
    <x v="586"/>
    <x v="782"/>
    <x v="949"/>
    <x v="947"/>
    <x v="933"/>
    <x v="0"/>
    <x v="944"/>
    <x v="949"/>
    <x v="618"/>
    <x v="0"/>
    <x v="1"/>
    <x v="0"/>
    <x v="95"/>
    <x v="11"/>
    <x v="335"/>
    <x v="15"/>
    <x v="1"/>
    <x v="4"/>
    <x v="0"/>
    <x v="958"/>
  </r>
  <r>
    <x v="0"/>
    <x v="445"/>
    <x v="146"/>
    <x v="42"/>
    <x v="154"/>
    <x v="103"/>
    <x v="25"/>
    <x v="919"/>
    <x v="365"/>
    <x v="138"/>
    <x v="661"/>
    <x v="128"/>
    <x v="950"/>
    <x v="948"/>
    <x v="934"/>
    <x v="3"/>
    <x v="945"/>
    <x v="950"/>
    <x v="472"/>
    <x v="0"/>
    <x v="0"/>
    <x v="2"/>
    <x v="48"/>
    <x v="0"/>
    <x v="96"/>
    <x v="20"/>
    <x v="1"/>
    <x v="1"/>
    <x v="0"/>
    <x v="959"/>
  </r>
  <r>
    <x v="0"/>
    <x v="446"/>
    <x v="37"/>
    <x v="5"/>
    <x v="101"/>
    <x v="290"/>
    <x v="24"/>
    <x v="920"/>
    <x v="65"/>
    <x v="131"/>
    <x v="170"/>
    <x v="783"/>
    <x v="951"/>
    <x v="949"/>
    <x v="935"/>
    <x v="1"/>
    <x v="946"/>
    <x v="951"/>
    <x v="619"/>
    <x v="0"/>
    <x v="0"/>
    <x v="4"/>
    <x v="122"/>
    <x v="12"/>
    <x v="114"/>
    <x v="17"/>
    <x v="1"/>
    <x v="10"/>
    <x v="0"/>
    <x v="960"/>
  </r>
  <r>
    <x v="0"/>
    <x v="428"/>
    <x v="159"/>
    <x v="37"/>
    <x v="233"/>
    <x v="237"/>
    <x v="221"/>
    <x v="921"/>
    <x v="121"/>
    <x v="409"/>
    <x v="662"/>
    <x v="784"/>
    <x v="952"/>
    <x v="950"/>
    <x v="936"/>
    <x v="4"/>
    <x v="947"/>
    <x v="952"/>
    <x v="620"/>
    <x v="0"/>
    <x v="0"/>
    <x v="0"/>
    <x v="95"/>
    <x v="17"/>
    <x v="410"/>
    <x v="5"/>
    <x v="1"/>
    <x v="193"/>
    <x v="0"/>
    <x v="961"/>
  </r>
  <r>
    <x v="0"/>
    <x v="113"/>
    <x v="412"/>
    <x v="117"/>
    <x v="88"/>
    <x v="519"/>
    <x v="222"/>
    <x v="4"/>
    <x v="152"/>
    <x v="410"/>
    <x v="663"/>
    <x v="785"/>
    <x v="953"/>
    <x v="951"/>
    <x v="937"/>
    <x v="4"/>
    <x v="4"/>
    <x v="953"/>
    <x v="561"/>
    <x v="0"/>
    <x v="1"/>
    <x v="1"/>
    <x v="4"/>
    <x v="4"/>
    <x v="411"/>
    <x v="0"/>
    <x v="2"/>
    <x v="1"/>
    <x v="0"/>
    <x v="962"/>
  </r>
  <r>
    <x v="0"/>
    <x v="447"/>
    <x v="314"/>
    <x v="98"/>
    <x v="78"/>
    <x v="1"/>
    <x v="94"/>
    <x v="922"/>
    <x v="29"/>
    <x v="166"/>
    <x v="595"/>
    <x v="786"/>
    <x v="954"/>
    <x v="952"/>
    <x v="938"/>
    <x v="0"/>
    <x v="948"/>
    <x v="954"/>
    <x v="173"/>
    <x v="0"/>
    <x v="0"/>
    <x v="3"/>
    <x v="95"/>
    <x v="7"/>
    <x v="12"/>
    <x v="4"/>
    <x v="3"/>
    <x v="194"/>
    <x v="0"/>
    <x v="963"/>
  </r>
  <r>
    <x v="0"/>
    <x v="448"/>
    <x v="338"/>
    <x v="59"/>
    <x v="80"/>
    <x v="347"/>
    <x v="92"/>
    <x v="923"/>
    <x v="366"/>
    <x v="411"/>
    <x v="664"/>
    <x v="787"/>
    <x v="955"/>
    <x v="953"/>
    <x v="939"/>
    <x v="1"/>
    <x v="949"/>
    <x v="955"/>
    <x v="352"/>
    <x v="0"/>
    <x v="0"/>
    <x v="3"/>
    <x v="95"/>
    <x v="12"/>
    <x v="412"/>
    <x v="55"/>
    <x v="3"/>
    <x v="103"/>
    <x v="0"/>
    <x v="964"/>
  </r>
  <r>
    <x v="0"/>
    <x v="449"/>
    <x v="316"/>
    <x v="18"/>
    <x v="218"/>
    <x v="520"/>
    <x v="0"/>
    <x v="924"/>
    <x v="171"/>
    <x v="48"/>
    <x v="665"/>
    <x v="788"/>
    <x v="956"/>
    <x v="954"/>
    <x v="940"/>
    <x v="0"/>
    <x v="950"/>
    <x v="956"/>
    <x v="248"/>
    <x v="0"/>
    <x v="0"/>
    <x v="4"/>
    <x v="95"/>
    <x v="18"/>
    <x v="413"/>
    <x v="22"/>
    <x v="1"/>
    <x v="195"/>
    <x v="0"/>
    <x v="965"/>
  </r>
  <r>
    <x v="0"/>
    <x v="450"/>
    <x v="165"/>
    <x v="42"/>
    <x v="158"/>
    <x v="214"/>
    <x v="14"/>
    <x v="925"/>
    <x v="275"/>
    <x v="119"/>
    <x v="666"/>
    <x v="272"/>
    <x v="957"/>
    <x v="955"/>
    <x v="941"/>
    <x v="4"/>
    <x v="951"/>
    <x v="957"/>
    <x v="621"/>
    <x v="0"/>
    <x v="8"/>
    <x v="4"/>
    <x v="95"/>
    <x v="9"/>
    <x v="177"/>
    <x v="9"/>
    <x v="1"/>
    <x v="48"/>
    <x v="0"/>
    <x v="966"/>
  </r>
  <r>
    <x v="0"/>
    <x v="451"/>
    <x v="194"/>
    <x v="23"/>
    <x v="242"/>
    <x v="194"/>
    <x v="205"/>
    <x v="926"/>
    <x v="306"/>
    <x v="412"/>
    <x v="667"/>
    <x v="789"/>
    <x v="958"/>
    <x v="956"/>
    <x v="942"/>
    <x v="0"/>
    <x v="952"/>
    <x v="958"/>
    <x v="222"/>
    <x v="0"/>
    <x v="0"/>
    <x v="4"/>
    <x v="95"/>
    <x v="19"/>
    <x v="325"/>
    <x v="10"/>
    <x v="3"/>
    <x v="1"/>
    <x v="0"/>
    <x v="967"/>
  </r>
  <r>
    <x v="0"/>
    <x v="240"/>
    <x v="88"/>
    <x v="56"/>
    <x v="161"/>
    <x v="521"/>
    <x v="10"/>
    <x v="927"/>
    <x v="18"/>
    <x v="413"/>
    <x v="668"/>
    <x v="790"/>
    <x v="959"/>
    <x v="957"/>
    <x v="943"/>
    <x v="1"/>
    <x v="953"/>
    <x v="959"/>
    <x v="166"/>
    <x v="0"/>
    <x v="0"/>
    <x v="0"/>
    <x v="81"/>
    <x v="10"/>
    <x v="414"/>
    <x v="9"/>
    <x v="3"/>
    <x v="41"/>
    <x v="0"/>
    <x v="968"/>
  </r>
  <r>
    <x v="0"/>
    <x v="452"/>
    <x v="201"/>
    <x v="57"/>
    <x v="108"/>
    <x v="522"/>
    <x v="57"/>
    <x v="928"/>
    <x v="306"/>
    <x v="109"/>
    <x v="669"/>
    <x v="791"/>
    <x v="960"/>
    <x v="958"/>
    <x v="944"/>
    <x v="0"/>
    <x v="954"/>
    <x v="960"/>
    <x v="622"/>
    <x v="0"/>
    <x v="0"/>
    <x v="4"/>
    <x v="95"/>
    <x v="12"/>
    <x v="185"/>
    <x v="15"/>
    <x v="1"/>
    <x v="1"/>
    <x v="0"/>
    <x v="969"/>
  </r>
  <r>
    <x v="0"/>
    <x v="27"/>
    <x v="298"/>
    <x v="48"/>
    <x v="0"/>
    <x v="248"/>
    <x v="55"/>
    <x v="929"/>
    <x v="149"/>
    <x v="97"/>
    <x v="670"/>
    <x v="792"/>
    <x v="961"/>
    <x v="959"/>
    <x v="670"/>
    <x v="0"/>
    <x v="955"/>
    <x v="961"/>
    <x v="623"/>
    <x v="0"/>
    <x v="0"/>
    <x v="4"/>
    <x v="95"/>
    <x v="6"/>
    <x v="59"/>
    <x v="38"/>
    <x v="1"/>
    <x v="20"/>
    <x v="0"/>
    <x v="970"/>
  </r>
  <r>
    <x v="0"/>
    <x v="453"/>
    <x v="150"/>
    <x v="54"/>
    <x v="116"/>
    <x v="523"/>
    <x v="30"/>
    <x v="930"/>
    <x v="261"/>
    <x v="50"/>
    <x v="671"/>
    <x v="793"/>
    <x v="962"/>
    <x v="960"/>
    <x v="945"/>
    <x v="1"/>
    <x v="956"/>
    <x v="962"/>
    <x v="386"/>
    <x v="0"/>
    <x v="0"/>
    <x v="2"/>
    <x v="95"/>
    <x v="11"/>
    <x v="415"/>
    <x v="11"/>
    <x v="1"/>
    <x v="45"/>
    <x v="0"/>
    <x v="971"/>
  </r>
  <r>
    <x v="0"/>
    <x v="454"/>
    <x v="380"/>
    <x v="72"/>
    <x v="69"/>
    <x v="524"/>
    <x v="38"/>
    <x v="931"/>
    <x v="111"/>
    <x v="55"/>
    <x v="672"/>
    <x v="794"/>
    <x v="963"/>
    <x v="961"/>
    <x v="946"/>
    <x v="1"/>
    <x v="957"/>
    <x v="963"/>
    <x v="624"/>
    <x v="0"/>
    <x v="0"/>
    <x v="0"/>
    <x v="95"/>
    <x v="7"/>
    <x v="6"/>
    <x v="27"/>
    <x v="1"/>
    <x v="196"/>
    <x v="0"/>
    <x v="972"/>
  </r>
  <r>
    <x v="0"/>
    <x v="326"/>
    <x v="352"/>
    <x v="61"/>
    <x v="121"/>
    <x v="99"/>
    <x v="17"/>
    <x v="932"/>
    <x v="28"/>
    <x v="303"/>
    <x v="239"/>
    <x v="477"/>
    <x v="964"/>
    <x v="962"/>
    <x v="947"/>
    <x v="0"/>
    <x v="958"/>
    <x v="964"/>
    <x v="593"/>
    <x v="0"/>
    <x v="0"/>
    <x v="4"/>
    <x v="95"/>
    <x v="13"/>
    <x v="30"/>
    <x v="10"/>
    <x v="1"/>
    <x v="103"/>
    <x v="0"/>
    <x v="973"/>
  </r>
  <r>
    <x v="0"/>
    <x v="18"/>
    <x v="241"/>
    <x v="31"/>
    <x v="0"/>
    <x v="255"/>
    <x v="14"/>
    <x v="933"/>
    <x v="108"/>
    <x v="414"/>
    <x v="673"/>
    <x v="329"/>
    <x v="965"/>
    <x v="963"/>
    <x v="948"/>
    <x v="1"/>
    <x v="959"/>
    <x v="965"/>
    <x v="593"/>
    <x v="0"/>
    <x v="0"/>
    <x v="4"/>
    <x v="95"/>
    <x v="13"/>
    <x v="12"/>
    <x v="27"/>
    <x v="1"/>
    <x v="43"/>
    <x v="0"/>
    <x v="974"/>
  </r>
  <r>
    <x v="0"/>
    <x v="68"/>
    <x v="271"/>
    <x v="74"/>
    <x v="53"/>
    <x v="63"/>
    <x v="223"/>
    <x v="934"/>
    <x v="150"/>
    <x v="415"/>
    <x v="674"/>
    <x v="795"/>
    <x v="966"/>
    <x v="964"/>
    <x v="949"/>
    <x v="1"/>
    <x v="960"/>
    <x v="966"/>
    <x v="625"/>
    <x v="0"/>
    <x v="0"/>
    <x v="4"/>
    <x v="95"/>
    <x v="13"/>
    <x v="167"/>
    <x v="6"/>
    <x v="1"/>
    <x v="68"/>
    <x v="0"/>
    <x v="975"/>
  </r>
  <r>
    <x v="0"/>
    <x v="455"/>
    <x v="143"/>
    <x v="5"/>
    <x v="59"/>
    <x v="525"/>
    <x v="224"/>
    <x v="935"/>
    <x v="367"/>
    <x v="416"/>
    <x v="656"/>
    <x v="796"/>
    <x v="967"/>
    <x v="965"/>
    <x v="950"/>
    <x v="0"/>
    <x v="961"/>
    <x v="967"/>
    <x v="626"/>
    <x v="0"/>
    <x v="4"/>
    <x v="4"/>
    <x v="95"/>
    <x v="7"/>
    <x v="314"/>
    <x v="4"/>
    <x v="1"/>
    <x v="1"/>
    <x v="0"/>
    <x v="976"/>
  </r>
  <r>
    <x v="0"/>
    <x v="456"/>
    <x v="378"/>
    <x v="34"/>
    <x v="186"/>
    <x v="243"/>
    <x v="11"/>
    <x v="936"/>
    <x v="300"/>
    <x v="63"/>
    <x v="28"/>
    <x v="797"/>
    <x v="968"/>
    <x v="966"/>
    <x v="951"/>
    <x v="1"/>
    <x v="962"/>
    <x v="968"/>
    <x v="292"/>
    <x v="0"/>
    <x v="0"/>
    <x v="0"/>
    <x v="95"/>
    <x v="21"/>
    <x v="9"/>
    <x v="12"/>
    <x v="3"/>
    <x v="1"/>
    <x v="0"/>
    <x v="977"/>
  </r>
  <r>
    <x v="0"/>
    <x v="457"/>
    <x v="139"/>
    <x v="18"/>
    <x v="188"/>
    <x v="1"/>
    <x v="22"/>
    <x v="937"/>
    <x v="125"/>
    <x v="374"/>
    <x v="675"/>
    <x v="798"/>
    <x v="969"/>
    <x v="967"/>
    <x v="952"/>
    <x v="6"/>
    <x v="963"/>
    <x v="969"/>
    <x v="339"/>
    <x v="0"/>
    <x v="0"/>
    <x v="4"/>
    <x v="95"/>
    <x v="3"/>
    <x v="30"/>
    <x v="10"/>
    <x v="3"/>
    <x v="36"/>
    <x v="0"/>
    <x v="978"/>
  </r>
  <r>
    <x v="0"/>
    <x v="273"/>
    <x v="373"/>
    <x v="35"/>
    <x v="70"/>
    <x v="92"/>
    <x v="11"/>
    <x v="938"/>
    <x v="80"/>
    <x v="11"/>
    <x v="676"/>
    <x v="799"/>
    <x v="970"/>
    <x v="968"/>
    <x v="953"/>
    <x v="4"/>
    <x v="964"/>
    <x v="970"/>
    <x v="491"/>
    <x v="0"/>
    <x v="8"/>
    <x v="4"/>
    <x v="95"/>
    <x v="20"/>
    <x v="416"/>
    <x v="11"/>
    <x v="1"/>
    <x v="67"/>
    <x v="0"/>
    <x v="979"/>
  </r>
  <r>
    <x v="0"/>
    <x v="458"/>
    <x v="103"/>
    <x v="71"/>
    <x v="126"/>
    <x v="146"/>
    <x v="95"/>
    <x v="939"/>
    <x v="3"/>
    <x v="417"/>
    <x v="677"/>
    <x v="800"/>
    <x v="971"/>
    <x v="969"/>
    <x v="954"/>
    <x v="0"/>
    <x v="965"/>
    <x v="971"/>
    <x v="191"/>
    <x v="0"/>
    <x v="0"/>
    <x v="0"/>
    <x v="95"/>
    <x v="11"/>
    <x v="369"/>
    <x v="27"/>
    <x v="3"/>
    <x v="61"/>
    <x v="0"/>
    <x v="980"/>
  </r>
  <r>
    <x v="0"/>
    <x v="459"/>
    <x v="413"/>
    <x v="27"/>
    <x v="243"/>
    <x v="396"/>
    <x v="225"/>
    <x v="940"/>
    <x v="26"/>
    <x v="418"/>
    <x v="678"/>
    <x v="801"/>
    <x v="972"/>
    <x v="970"/>
    <x v="955"/>
    <x v="1"/>
    <x v="966"/>
    <x v="972"/>
    <x v="340"/>
    <x v="0"/>
    <x v="0"/>
    <x v="4"/>
    <x v="97"/>
    <x v="24"/>
    <x v="417"/>
    <x v="34"/>
    <x v="3"/>
    <x v="197"/>
    <x v="0"/>
    <x v="981"/>
  </r>
  <r>
    <x v="0"/>
    <x v="259"/>
    <x v="353"/>
    <x v="11"/>
    <x v="173"/>
    <x v="429"/>
    <x v="17"/>
    <x v="941"/>
    <x v="63"/>
    <x v="18"/>
    <x v="679"/>
    <x v="802"/>
    <x v="973"/>
    <x v="971"/>
    <x v="956"/>
    <x v="0"/>
    <x v="967"/>
    <x v="973"/>
    <x v="627"/>
    <x v="0"/>
    <x v="0"/>
    <x v="0"/>
    <x v="95"/>
    <x v="22"/>
    <x v="418"/>
    <x v="22"/>
    <x v="3"/>
    <x v="1"/>
    <x v="0"/>
    <x v="982"/>
  </r>
  <r>
    <x v="0"/>
    <x v="428"/>
    <x v="109"/>
    <x v="8"/>
    <x v="233"/>
    <x v="23"/>
    <x v="20"/>
    <x v="942"/>
    <x v="152"/>
    <x v="21"/>
    <x v="340"/>
    <x v="803"/>
    <x v="974"/>
    <x v="972"/>
    <x v="957"/>
    <x v="1"/>
    <x v="968"/>
    <x v="974"/>
    <x v="458"/>
    <x v="0"/>
    <x v="0"/>
    <x v="4"/>
    <x v="95"/>
    <x v="11"/>
    <x v="13"/>
    <x v="38"/>
    <x v="1"/>
    <x v="65"/>
    <x v="0"/>
    <x v="983"/>
  </r>
  <r>
    <x v="0"/>
    <x v="237"/>
    <x v="197"/>
    <x v="23"/>
    <x v="158"/>
    <x v="120"/>
    <x v="226"/>
    <x v="943"/>
    <x v="3"/>
    <x v="419"/>
    <x v="613"/>
    <x v="804"/>
    <x v="975"/>
    <x v="973"/>
    <x v="958"/>
    <x v="4"/>
    <x v="969"/>
    <x v="975"/>
    <x v="319"/>
    <x v="0"/>
    <x v="0"/>
    <x v="4"/>
    <x v="95"/>
    <x v="13"/>
    <x v="382"/>
    <x v="18"/>
    <x v="1"/>
    <x v="1"/>
    <x v="0"/>
    <x v="984"/>
  </r>
  <r>
    <x v="0"/>
    <x v="460"/>
    <x v="104"/>
    <x v="42"/>
    <x v="47"/>
    <x v="526"/>
    <x v="21"/>
    <x v="944"/>
    <x v="179"/>
    <x v="174"/>
    <x v="22"/>
    <x v="805"/>
    <x v="976"/>
    <x v="974"/>
    <x v="959"/>
    <x v="1"/>
    <x v="970"/>
    <x v="976"/>
    <x v="628"/>
    <x v="0"/>
    <x v="8"/>
    <x v="4"/>
    <x v="91"/>
    <x v="14"/>
    <x v="19"/>
    <x v="5"/>
    <x v="1"/>
    <x v="1"/>
    <x v="0"/>
    <x v="985"/>
  </r>
  <r>
    <x v="0"/>
    <x v="461"/>
    <x v="262"/>
    <x v="26"/>
    <x v="184"/>
    <x v="480"/>
    <x v="21"/>
    <x v="945"/>
    <x v="105"/>
    <x v="298"/>
    <x v="680"/>
    <x v="806"/>
    <x v="977"/>
    <x v="975"/>
    <x v="960"/>
    <x v="1"/>
    <x v="971"/>
    <x v="977"/>
    <x v="545"/>
    <x v="0"/>
    <x v="1"/>
    <x v="4"/>
    <x v="88"/>
    <x v="14"/>
    <x v="30"/>
    <x v="18"/>
    <x v="1"/>
    <x v="1"/>
    <x v="0"/>
    <x v="986"/>
  </r>
  <r>
    <x v="0"/>
    <x v="462"/>
    <x v="310"/>
    <x v="37"/>
    <x v="244"/>
    <x v="527"/>
    <x v="11"/>
    <x v="946"/>
    <x v="368"/>
    <x v="156"/>
    <x v="681"/>
    <x v="807"/>
    <x v="978"/>
    <x v="976"/>
    <x v="961"/>
    <x v="3"/>
    <x v="972"/>
    <x v="978"/>
    <x v="486"/>
    <x v="0"/>
    <x v="0"/>
    <x v="4"/>
    <x v="95"/>
    <x v="17"/>
    <x v="144"/>
    <x v="12"/>
    <x v="1"/>
    <x v="103"/>
    <x v="0"/>
    <x v="987"/>
  </r>
  <r>
    <x v="0"/>
    <x v="463"/>
    <x v="276"/>
    <x v="59"/>
    <x v="0"/>
    <x v="528"/>
    <x v="179"/>
    <x v="947"/>
    <x v="2"/>
    <x v="420"/>
    <x v="682"/>
    <x v="808"/>
    <x v="979"/>
    <x v="977"/>
    <x v="962"/>
    <x v="1"/>
    <x v="973"/>
    <x v="979"/>
    <x v="629"/>
    <x v="0"/>
    <x v="0"/>
    <x v="4"/>
    <x v="95"/>
    <x v="24"/>
    <x v="200"/>
    <x v="46"/>
    <x v="1"/>
    <x v="198"/>
    <x v="0"/>
    <x v="988"/>
  </r>
  <r>
    <x v="0"/>
    <x v="423"/>
    <x v="240"/>
    <x v="41"/>
    <x v="0"/>
    <x v="529"/>
    <x v="25"/>
    <x v="948"/>
    <x v="11"/>
    <x v="330"/>
    <x v="528"/>
    <x v="809"/>
    <x v="980"/>
    <x v="978"/>
    <x v="963"/>
    <x v="1"/>
    <x v="974"/>
    <x v="980"/>
    <x v="299"/>
    <x v="0"/>
    <x v="0"/>
    <x v="2"/>
    <x v="95"/>
    <x v="12"/>
    <x v="119"/>
    <x v="58"/>
    <x v="3"/>
    <x v="1"/>
    <x v="0"/>
    <x v="989"/>
  </r>
  <r>
    <x v="0"/>
    <x v="464"/>
    <x v="378"/>
    <x v="73"/>
    <x v="0"/>
    <x v="530"/>
    <x v="19"/>
    <x v="949"/>
    <x v="139"/>
    <x v="20"/>
    <x v="683"/>
    <x v="810"/>
    <x v="981"/>
    <x v="979"/>
    <x v="964"/>
    <x v="0"/>
    <x v="975"/>
    <x v="981"/>
    <x v="347"/>
    <x v="0"/>
    <x v="0"/>
    <x v="4"/>
    <x v="95"/>
    <x v="21"/>
    <x v="419"/>
    <x v="4"/>
    <x v="1"/>
    <x v="1"/>
    <x v="0"/>
    <x v="990"/>
  </r>
  <r>
    <x v="0"/>
    <x v="293"/>
    <x v="197"/>
    <x v="73"/>
    <x v="0"/>
    <x v="190"/>
    <x v="227"/>
    <x v="950"/>
    <x v="105"/>
    <x v="421"/>
    <x v="253"/>
    <x v="239"/>
    <x v="982"/>
    <x v="980"/>
    <x v="965"/>
    <x v="1"/>
    <x v="976"/>
    <x v="982"/>
    <x v="170"/>
    <x v="0"/>
    <x v="0"/>
    <x v="0"/>
    <x v="95"/>
    <x v="14"/>
    <x v="172"/>
    <x v="19"/>
    <x v="3"/>
    <x v="199"/>
    <x v="0"/>
    <x v="991"/>
  </r>
  <r>
    <x v="0"/>
    <x v="446"/>
    <x v="98"/>
    <x v="77"/>
    <x v="101"/>
    <x v="483"/>
    <x v="228"/>
    <x v="951"/>
    <x v="23"/>
    <x v="422"/>
    <x v="684"/>
    <x v="811"/>
    <x v="983"/>
    <x v="981"/>
    <x v="966"/>
    <x v="0"/>
    <x v="977"/>
    <x v="983"/>
    <x v="357"/>
    <x v="0"/>
    <x v="0"/>
    <x v="4"/>
    <x v="88"/>
    <x v="0"/>
    <x v="39"/>
    <x v="21"/>
    <x v="1"/>
    <x v="1"/>
    <x v="0"/>
    <x v="992"/>
  </r>
  <r>
    <x v="0"/>
    <x v="6"/>
    <x v="316"/>
    <x v="64"/>
    <x v="0"/>
    <x v="179"/>
    <x v="6"/>
    <x v="952"/>
    <x v="357"/>
    <x v="6"/>
    <x v="213"/>
    <x v="812"/>
    <x v="984"/>
    <x v="982"/>
    <x v="967"/>
    <x v="0"/>
    <x v="978"/>
    <x v="984"/>
    <x v="630"/>
    <x v="0"/>
    <x v="0"/>
    <x v="0"/>
    <x v="95"/>
    <x v="15"/>
    <x v="143"/>
    <x v="12"/>
    <x v="1"/>
    <x v="1"/>
    <x v="0"/>
    <x v="993"/>
  </r>
  <r>
    <x v="0"/>
    <x v="113"/>
    <x v="369"/>
    <x v="72"/>
    <x v="88"/>
    <x v="531"/>
    <x v="229"/>
    <x v="4"/>
    <x v="241"/>
    <x v="423"/>
    <x v="685"/>
    <x v="813"/>
    <x v="985"/>
    <x v="983"/>
    <x v="968"/>
    <x v="1"/>
    <x v="979"/>
    <x v="985"/>
    <x v="631"/>
    <x v="0"/>
    <x v="1"/>
    <x v="1"/>
    <x v="4"/>
    <x v="4"/>
    <x v="420"/>
    <x v="6"/>
    <x v="8"/>
    <x v="186"/>
    <x v="0"/>
    <x v="994"/>
  </r>
  <r>
    <x v="0"/>
    <x v="465"/>
    <x v="359"/>
    <x v="85"/>
    <x v="45"/>
    <x v="273"/>
    <x v="35"/>
    <x v="953"/>
    <x v="369"/>
    <x v="124"/>
    <x v="686"/>
    <x v="569"/>
    <x v="986"/>
    <x v="984"/>
    <x v="969"/>
    <x v="1"/>
    <x v="980"/>
    <x v="986"/>
    <x v="173"/>
    <x v="0"/>
    <x v="0"/>
    <x v="4"/>
    <x v="88"/>
    <x v="25"/>
    <x v="421"/>
    <x v="44"/>
    <x v="3"/>
    <x v="200"/>
    <x v="0"/>
    <x v="995"/>
  </r>
  <r>
    <x v="0"/>
    <x v="404"/>
    <x v="288"/>
    <x v="101"/>
    <x v="134"/>
    <x v="1"/>
    <x v="10"/>
    <x v="954"/>
    <x v="238"/>
    <x v="16"/>
    <x v="26"/>
    <x v="110"/>
    <x v="987"/>
    <x v="985"/>
    <x v="970"/>
    <x v="0"/>
    <x v="981"/>
    <x v="987"/>
    <x v="632"/>
    <x v="0"/>
    <x v="0"/>
    <x v="2"/>
    <x v="95"/>
    <x v="5"/>
    <x v="12"/>
    <x v="39"/>
    <x v="1"/>
    <x v="1"/>
    <x v="0"/>
    <x v="996"/>
  </r>
  <r>
    <x v="0"/>
    <x v="326"/>
    <x v="26"/>
    <x v="74"/>
    <x v="121"/>
    <x v="188"/>
    <x v="57"/>
    <x v="955"/>
    <x v="370"/>
    <x v="109"/>
    <x v="687"/>
    <x v="237"/>
    <x v="988"/>
    <x v="986"/>
    <x v="971"/>
    <x v="0"/>
    <x v="982"/>
    <x v="988"/>
    <x v="451"/>
    <x v="0"/>
    <x v="0"/>
    <x v="0"/>
    <x v="95"/>
    <x v="5"/>
    <x v="22"/>
    <x v="12"/>
    <x v="1"/>
    <x v="37"/>
    <x v="0"/>
    <x v="997"/>
  </r>
  <r>
    <x v="0"/>
    <x v="466"/>
    <x v="243"/>
    <x v="69"/>
    <x v="38"/>
    <x v="532"/>
    <x v="186"/>
    <x v="956"/>
    <x v="180"/>
    <x v="350"/>
    <x v="688"/>
    <x v="814"/>
    <x v="989"/>
    <x v="987"/>
    <x v="972"/>
    <x v="0"/>
    <x v="983"/>
    <x v="989"/>
    <x v="529"/>
    <x v="0"/>
    <x v="0"/>
    <x v="4"/>
    <x v="95"/>
    <x v="19"/>
    <x v="422"/>
    <x v="9"/>
    <x v="3"/>
    <x v="1"/>
    <x v="0"/>
    <x v="998"/>
  </r>
  <r>
    <x v="1"/>
    <x v="105"/>
    <x v="258"/>
    <x v="5"/>
    <x v="83"/>
    <x v="140"/>
    <x v="230"/>
    <x v="957"/>
    <x v="23"/>
    <x v="424"/>
    <x v="234"/>
    <x v="815"/>
    <x v="990"/>
    <x v="988"/>
    <x v="973"/>
    <x v="0"/>
    <x v="984"/>
    <x v="990"/>
    <x v="591"/>
    <x v="0"/>
    <x v="10"/>
    <x v="4"/>
    <x v="95"/>
    <x v="16"/>
    <x v="44"/>
    <x v="22"/>
    <x v="3"/>
    <x v="1"/>
    <x v="0"/>
    <x v="999"/>
  </r>
  <r>
    <x v="0"/>
    <x v="467"/>
    <x v="306"/>
    <x v="22"/>
    <x v="244"/>
    <x v="294"/>
    <x v="113"/>
    <x v="958"/>
    <x v="168"/>
    <x v="214"/>
    <x v="689"/>
    <x v="816"/>
    <x v="991"/>
    <x v="989"/>
    <x v="974"/>
    <x v="0"/>
    <x v="985"/>
    <x v="991"/>
    <x v="633"/>
    <x v="0"/>
    <x v="1"/>
    <x v="4"/>
    <x v="95"/>
    <x v="1"/>
    <x v="423"/>
    <x v="5"/>
    <x v="1"/>
    <x v="67"/>
    <x v="0"/>
    <x v="1000"/>
  </r>
  <r>
    <x v="0"/>
    <x v="340"/>
    <x v="414"/>
    <x v="54"/>
    <x v="0"/>
    <x v="527"/>
    <x v="57"/>
    <x v="959"/>
    <x v="105"/>
    <x v="99"/>
    <x v="690"/>
    <x v="817"/>
    <x v="992"/>
    <x v="990"/>
    <x v="975"/>
    <x v="1"/>
    <x v="986"/>
    <x v="992"/>
    <x v="549"/>
    <x v="0"/>
    <x v="0"/>
    <x v="4"/>
    <x v="95"/>
    <x v="15"/>
    <x v="192"/>
    <x v="18"/>
    <x v="3"/>
    <x v="1"/>
    <x v="0"/>
    <x v="1001"/>
  </r>
  <r>
    <x v="0"/>
    <x v="468"/>
    <x v="53"/>
    <x v="31"/>
    <x v="21"/>
    <x v="14"/>
    <x v="231"/>
    <x v="960"/>
    <x v="126"/>
    <x v="425"/>
    <x v="691"/>
    <x v="818"/>
    <x v="993"/>
    <x v="991"/>
    <x v="976"/>
    <x v="3"/>
    <x v="987"/>
    <x v="993"/>
    <x v="539"/>
    <x v="0"/>
    <x v="0"/>
    <x v="0"/>
    <x v="88"/>
    <x v="9"/>
    <x v="367"/>
    <x v="18"/>
    <x v="1"/>
    <x v="132"/>
    <x v="0"/>
    <x v="1002"/>
  </r>
  <r>
    <x v="0"/>
    <x v="131"/>
    <x v="333"/>
    <x v="42"/>
    <x v="97"/>
    <x v="533"/>
    <x v="142"/>
    <x v="961"/>
    <x v="80"/>
    <x v="263"/>
    <x v="692"/>
    <x v="819"/>
    <x v="994"/>
    <x v="992"/>
    <x v="977"/>
    <x v="0"/>
    <x v="988"/>
    <x v="994"/>
    <x v="634"/>
    <x v="0"/>
    <x v="8"/>
    <x v="4"/>
    <x v="95"/>
    <x v="17"/>
    <x v="148"/>
    <x v="12"/>
    <x v="1"/>
    <x v="1"/>
    <x v="0"/>
    <x v="1003"/>
  </r>
  <r>
    <x v="0"/>
    <x v="326"/>
    <x v="265"/>
    <x v="47"/>
    <x v="121"/>
    <x v="40"/>
    <x v="17"/>
    <x v="962"/>
    <x v="80"/>
    <x v="303"/>
    <x v="693"/>
    <x v="820"/>
    <x v="995"/>
    <x v="993"/>
    <x v="978"/>
    <x v="1"/>
    <x v="989"/>
    <x v="995"/>
    <x v="635"/>
    <x v="0"/>
    <x v="0"/>
    <x v="4"/>
    <x v="95"/>
    <x v="19"/>
    <x v="30"/>
    <x v="21"/>
    <x v="1"/>
    <x v="201"/>
    <x v="0"/>
    <x v="1004"/>
  </r>
  <r>
    <x v="0"/>
    <x v="178"/>
    <x v="114"/>
    <x v="34"/>
    <x v="128"/>
    <x v="92"/>
    <x v="18"/>
    <x v="963"/>
    <x v="80"/>
    <x v="19"/>
    <x v="412"/>
    <x v="117"/>
    <x v="996"/>
    <x v="994"/>
    <x v="979"/>
    <x v="0"/>
    <x v="990"/>
    <x v="996"/>
    <x v="600"/>
    <x v="0"/>
    <x v="0"/>
    <x v="4"/>
    <x v="95"/>
    <x v="0"/>
    <x v="277"/>
    <x v="12"/>
    <x v="1"/>
    <x v="1"/>
    <x v="0"/>
    <x v="1005"/>
  </r>
  <r>
    <x v="0"/>
    <x v="469"/>
    <x v="209"/>
    <x v="59"/>
    <x v="0"/>
    <x v="534"/>
    <x v="25"/>
    <x v="964"/>
    <x v="18"/>
    <x v="26"/>
    <x v="694"/>
    <x v="821"/>
    <x v="997"/>
    <x v="995"/>
    <x v="980"/>
    <x v="0"/>
    <x v="991"/>
    <x v="997"/>
    <x v="108"/>
    <x v="0"/>
    <x v="0"/>
    <x v="4"/>
    <x v="95"/>
    <x v="25"/>
    <x v="103"/>
    <x v="20"/>
    <x v="1"/>
    <x v="1"/>
    <x v="0"/>
    <x v="1006"/>
  </r>
  <r>
    <x v="0"/>
    <x v="113"/>
    <x v="169"/>
    <x v="84"/>
    <x v="88"/>
    <x v="535"/>
    <x v="232"/>
    <x v="4"/>
    <x v="150"/>
    <x v="426"/>
    <x v="695"/>
    <x v="822"/>
    <x v="998"/>
    <x v="996"/>
    <x v="981"/>
    <x v="4"/>
    <x v="4"/>
    <x v="998"/>
    <x v="636"/>
    <x v="0"/>
    <x v="0"/>
    <x v="1"/>
    <x v="4"/>
    <x v="4"/>
    <x v="424"/>
    <x v="7"/>
    <x v="12"/>
    <x v="202"/>
    <x v="0"/>
    <x v="1007"/>
  </r>
  <r>
    <x v="0"/>
    <x v="61"/>
    <x v="57"/>
    <x v="78"/>
    <x v="46"/>
    <x v="282"/>
    <x v="21"/>
    <x v="965"/>
    <x v="43"/>
    <x v="127"/>
    <x v="692"/>
    <x v="823"/>
    <x v="999"/>
    <x v="997"/>
    <x v="982"/>
    <x v="1"/>
    <x v="992"/>
    <x v="999"/>
    <x v="181"/>
    <x v="0"/>
    <x v="0"/>
    <x v="2"/>
    <x v="80"/>
    <x v="15"/>
    <x v="148"/>
    <x v="25"/>
    <x v="1"/>
    <x v="1"/>
    <x v="0"/>
    <x v="1008"/>
  </r>
  <r>
    <x v="0"/>
    <x v="470"/>
    <x v="415"/>
    <x v="73"/>
    <x v="0"/>
    <x v="476"/>
    <x v="57"/>
    <x v="966"/>
    <x v="371"/>
    <x v="192"/>
    <x v="693"/>
    <x v="700"/>
    <x v="1000"/>
    <x v="998"/>
    <x v="983"/>
    <x v="8"/>
    <x v="993"/>
    <x v="1000"/>
    <x v="323"/>
    <x v="0"/>
    <x v="0"/>
    <x v="4"/>
    <x v="95"/>
    <x v="14"/>
    <x v="30"/>
    <x v="11"/>
    <x v="1"/>
    <x v="1"/>
    <x v="0"/>
    <x v="1009"/>
  </r>
  <r>
    <x v="0"/>
    <x v="215"/>
    <x v="212"/>
    <x v="106"/>
    <x v="148"/>
    <x v="498"/>
    <x v="2"/>
    <x v="967"/>
    <x v="372"/>
    <x v="72"/>
    <x v="696"/>
    <x v="824"/>
    <x v="1001"/>
    <x v="999"/>
    <x v="984"/>
    <x v="1"/>
    <x v="994"/>
    <x v="1001"/>
    <x v="637"/>
    <x v="0"/>
    <x v="0"/>
    <x v="4"/>
    <x v="95"/>
    <x v="6"/>
    <x v="280"/>
    <x v="10"/>
    <x v="3"/>
    <x v="7"/>
    <x v="0"/>
    <x v="1010"/>
  </r>
  <r>
    <x v="0"/>
    <x v="406"/>
    <x v="142"/>
    <x v="29"/>
    <x v="227"/>
    <x v="102"/>
    <x v="11"/>
    <x v="968"/>
    <x v="168"/>
    <x v="11"/>
    <x v="23"/>
    <x v="127"/>
    <x v="1002"/>
    <x v="1000"/>
    <x v="985"/>
    <x v="0"/>
    <x v="995"/>
    <x v="1002"/>
    <x v="638"/>
    <x v="0"/>
    <x v="0"/>
    <x v="4"/>
    <x v="95"/>
    <x v="17"/>
    <x v="20"/>
    <x v="7"/>
    <x v="1"/>
    <x v="1"/>
    <x v="0"/>
    <x v="1011"/>
  </r>
  <r>
    <x v="0"/>
    <x v="392"/>
    <x v="349"/>
    <x v="7"/>
    <x v="169"/>
    <x v="536"/>
    <x v="0"/>
    <x v="969"/>
    <x v="170"/>
    <x v="427"/>
    <x v="697"/>
    <x v="825"/>
    <x v="1003"/>
    <x v="1001"/>
    <x v="163"/>
    <x v="7"/>
    <x v="996"/>
    <x v="1003"/>
    <x v="447"/>
    <x v="0"/>
    <x v="0"/>
    <x v="0"/>
    <x v="88"/>
    <x v="12"/>
    <x v="425"/>
    <x v="28"/>
    <x v="1"/>
    <x v="203"/>
    <x v="0"/>
    <x v="1012"/>
  </r>
  <r>
    <x v="0"/>
    <x v="444"/>
    <x v="281"/>
    <x v="37"/>
    <x v="241"/>
    <x v="390"/>
    <x v="21"/>
    <x v="970"/>
    <x v="28"/>
    <x v="22"/>
    <x v="400"/>
    <x v="550"/>
    <x v="1004"/>
    <x v="1002"/>
    <x v="986"/>
    <x v="4"/>
    <x v="997"/>
    <x v="1004"/>
    <x v="49"/>
    <x v="0"/>
    <x v="0"/>
    <x v="4"/>
    <x v="95"/>
    <x v="2"/>
    <x v="269"/>
    <x v="4"/>
    <x v="1"/>
    <x v="61"/>
    <x v="0"/>
    <x v="1013"/>
  </r>
  <r>
    <x v="0"/>
    <x v="471"/>
    <x v="416"/>
    <x v="45"/>
    <x v="0"/>
    <x v="56"/>
    <x v="14"/>
    <x v="971"/>
    <x v="180"/>
    <x v="414"/>
    <x v="698"/>
    <x v="826"/>
    <x v="1005"/>
    <x v="1003"/>
    <x v="987"/>
    <x v="1"/>
    <x v="998"/>
    <x v="1005"/>
    <x v="78"/>
    <x v="0"/>
    <x v="0"/>
    <x v="4"/>
    <x v="131"/>
    <x v="1"/>
    <x v="18"/>
    <x v="16"/>
    <x v="3"/>
    <x v="1"/>
    <x v="0"/>
    <x v="1014"/>
  </r>
  <r>
    <x v="0"/>
    <x v="472"/>
    <x v="293"/>
    <x v="47"/>
    <x v="245"/>
    <x v="537"/>
    <x v="29"/>
    <x v="972"/>
    <x v="263"/>
    <x v="74"/>
    <x v="699"/>
    <x v="827"/>
    <x v="1006"/>
    <x v="1004"/>
    <x v="988"/>
    <x v="3"/>
    <x v="999"/>
    <x v="1006"/>
    <x v="369"/>
    <x v="0"/>
    <x v="0"/>
    <x v="0"/>
    <x v="95"/>
    <x v="12"/>
    <x v="30"/>
    <x v="27"/>
    <x v="1"/>
    <x v="1"/>
    <x v="0"/>
    <x v="1015"/>
  </r>
  <r>
    <x v="0"/>
    <x v="191"/>
    <x v="387"/>
    <x v="44"/>
    <x v="0"/>
    <x v="100"/>
    <x v="233"/>
    <x v="973"/>
    <x v="273"/>
    <x v="428"/>
    <x v="700"/>
    <x v="828"/>
    <x v="1007"/>
    <x v="1005"/>
    <x v="989"/>
    <x v="0"/>
    <x v="1000"/>
    <x v="1007"/>
    <x v="639"/>
    <x v="0"/>
    <x v="10"/>
    <x v="4"/>
    <x v="132"/>
    <x v="15"/>
    <x v="383"/>
    <x v="21"/>
    <x v="1"/>
    <x v="1"/>
    <x v="0"/>
    <x v="1016"/>
  </r>
  <r>
    <x v="0"/>
    <x v="473"/>
    <x v="132"/>
    <x v="58"/>
    <x v="212"/>
    <x v="21"/>
    <x v="24"/>
    <x v="974"/>
    <x v="373"/>
    <x v="131"/>
    <x v="255"/>
    <x v="33"/>
    <x v="1008"/>
    <x v="1006"/>
    <x v="990"/>
    <x v="3"/>
    <x v="1001"/>
    <x v="1008"/>
    <x v="459"/>
    <x v="0"/>
    <x v="0"/>
    <x v="4"/>
    <x v="133"/>
    <x v="10"/>
    <x v="6"/>
    <x v="23"/>
    <x v="1"/>
    <x v="45"/>
    <x v="0"/>
    <x v="1017"/>
  </r>
  <r>
    <x v="0"/>
    <x v="474"/>
    <x v="215"/>
    <x v="95"/>
    <x v="246"/>
    <x v="77"/>
    <x v="18"/>
    <x v="975"/>
    <x v="150"/>
    <x v="19"/>
    <x v="701"/>
    <x v="829"/>
    <x v="1009"/>
    <x v="860"/>
    <x v="991"/>
    <x v="0"/>
    <x v="1002"/>
    <x v="1009"/>
    <x v="180"/>
    <x v="0"/>
    <x v="0"/>
    <x v="0"/>
    <x v="97"/>
    <x v="10"/>
    <x v="426"/>
    <x v="19"/>
    <x v="1"/>
    <x v="1"/>
    <x v="0"/>
    <x v="1018"/>
  </r>
  <r>
    <x v="0"/>
    <x v="475"/>
    <x v="349"/>
    <x v="69"/>
    <x v="162"/>
    <x v="538"/>
    <x v="234"/>
    <x v="976"/>
    <x v="168"/>
    <x v="429"/>
    <x v="228"/>
    <x v="830"/>
    <x v="1010"/>
    <x v="1007"/>
    <x v="992"/>
    <x v="4"/>
    <x v="1003"/>
    <x v="1010"/>
    <x v="546"/>
    <x v="0"/>
    <x v="0"/>
    <x v="0"/>
    <x v="95"/>
    <x v="13"/>
    <x v="155"/>
    <x v="5"/>
    <x v="1"/>
    <x v="204"/>
    <x v="0"/>
    <x v="1019"/>
  </r>
  <r>
    <x v="0"/>
    <x v="476"/>
    <x v="417"/>
    <x v="77"/>
    <x v="211"/>
    <x v="468"/>
    <x v="0"/>
    <x v="977"/>
    <x v="374"/>
    <x v="31"/>
    <x v="702"/>
    <x v="690"/>
    <x v="1011"/>
    <x v="1008"/>
    <x v="993"/>
    <x v="1"/>
    <x v="1004"/>
    <x v="1011"/>
    <x v="365"/>
    <x v="0"/>
    <x v="0"/>
    <x v="2"/>
    <x v="95"/>
    <x v="24"/>
    <x v="427"/>
    <x v="18"/>
    <x v="3"/>
    <x v="1"/>
    <x v="0"/>
    <x v="1020"/>
  </r>
  <r>
    <x v="0"/>
    <x v="58"/>
    <x v="384"/>
    <x v="24"/>
    <x v="43"/>
    <x v="10"/>
    <x v="14"/>
    <x v="978"/>
    <x v="17"/>
    <x v="61"/>
    <x v="340"/>
    <x v="831"/>
    <x v="1012"/>
    <x v="1009"/>
    <x v="994"/>
    <x v="1"/>
    <x v="1005"/>
    <x v="1012"/>
    <x v="129"/>
    <x v="0"/>
    <x v="0"/>
    <x v="4"/>
    <x v="95"/>
    <x v="16"/>
    <x v="13"/>
    <x v="37"/>
    <x v="1"/>
    <x v="205"/>
    <x v="0"/>
    <x v="1021"/>
  </r>
  <r>
    <x v="0"/>
    <x v="52"/>
    <x v="418"/>
    <x v="26"/>
    <x v="37"/>
    <x v="417"/>
    <x v="18"/>
    <x v="979"/>
    <x v="283"/>
    <x v="19"/>
    <x v="703"/>
    <x v="832"/>
    <x v="1013"/>
    <x v="1010"/>
    <x v="995"/>
    <x v="4"/>
    <x v="1006"/>
    <x v="1013"/>
    <x v="405"/>
    <x v="0"/>
    <x v="0"/>
    <x v="0"/>
    <x v="134"/>
    <x v="5"/>
    <x v="13"/>
    <x v="2"/>
    <x v="1"/>
    <x v="104"/>
    <x v="0"/>
    <x v="1022"/>
  </r>
  <r>
    <x v="0"/>
    <x v="113"/>
    <x v="419"/>
    <x v="116"/>
    <x v="88"/>
    <x v="539"/>
    <x v="22"/>
    <x v="4"/>
    <x v="250"/>
    <x v="430"/>
    <x v="419"/>
    <x v="833"/>
    <x v="1014"/>
    <x v="1011"/>
    <x v="996"/>
    <x v="3"/>
    <x v="1007"/>
    <x v="1014"/>
    <x v="585"/>
    <x v="0"/>
    <x v="0"/>
    <x v="7"/>
    <x v="4"/>
    <x v="4"/>
    <x v="282"/>
    <x v="15"/>
    <x v="0"/>
    <x v="1"/>
    <x v="0"/>
    <x v="1023"/>
  </r>
  <r>
    <x v="0"/>
    <x v="165"/>
    <x v="72"/>
    <x v="46"/>
    <x v="119"/>
    <x v="540"/>
    <x v="235"/>
    <x v="980"/>
    <x v="375"/>
    <x v="431"/>
    <x v="704"/>
    <x v="834"/>
    <x v="1015"/>
    <x v="1012"/>
    <x v="997"/>
    <x v="0"/>
    <x v="1008"/>
    <x v="1015"/>
    <x v="278"/>
    <x v="0"/>
    <x v="10"/>
    <x v="4"/>
    <x v="95"/>
    <x v="12"/>
    <x v="428"/>
    <x v="19"/>
    <x v="1"/>
    <x v="1"/>
    <x v="0"/>
    <x v="1024"/>
  </r>
  <r>
    <x v="0"/>
    <x v="410"/>
    <x v="401"/>
    <x v="86"/>
    <x v="229"/>
    <x v="154"/>
    <x v="35"/>
    <x v="981"/>
    <x v="168"/>
    <x v="280"/>
    <x v="705"/>
    <x v="301"/>
    <x v="1016"/>
    <x v="1013"/>
    <x v="998"/>
    <x v="0"/>
    <x v="1009"/>
    <x v="1016"/>
    <x v="640"/>
    <x v="0"/>
    <x v="0"/>
    <x v="4"/>
    <x v="95"/>
    <x v="16"/>
    <x v="114"/>
    <x v="37"/>
    <x v="3"/>
    <x v="206"/>
    <x v="0"/>
    <x v="1025"/>
  </r>
  <r>
    <x v="0"/>
    <x v="396"/>
    <x v="224"/>
    <x v="54"/>
    <x v="224"/>
    <x v="1"/>
    <x v="11"/>
    <x v="982"/>
    <x v="222"/>
    <x v="69"/>
    <x v="307"/>
    <x v="835"/>
    <x v="1017"/>
    <x v="1014"/>
    <x v="999"/>
    <x v="1"/>
    <x v="1010"/>
    <x v="1017"/>
    <x v="479"/>
    <x v="0"/>
    <x v="0"/>
    <x v="4"/>
    <x v="95"/>
    <x v="0"/>
    <x v="135"/>
    <x v="27"/>
    <x v="3"/>
    <x v="1"/>
    <x v="0"/>
    <x v="1026"/>
  </r>
  <r>
    <x v="0"/>
    <x v="477"/>
    <x v="99"/>
    <x v="23"/>
    <x v="247"/>
    <x v="541"/>
    <x v="0"/>
    <x v="983"/>
    <x v="49"/>
    <x v="432"/>
    <x v="706"/>
    <x v="836"/>
    <x v="1018"/>
    <x v="1015"/>
    <x v="670"/>
    <x v="6"/>
    <x v="1011"/>
    <x v="1018"/>
    <x v="150"/>
    <x v="0"/>
    <x v="0"/>
    <x v="0"/>
    <x v="81"/>
    <x v="9"/>
    <x v="82"/>
    <x v="5"/>
    <x v="1"/>
    <x v="57"/>
    <x v="0"/>
    <x v="1027"/>
  </r>
  <r>
    <x v="0"/>
    <x v="478"/>
    <x v="353"/>
    <x v="56"/>
    <x v="0"/>
    <x v="276"/>
    <x v="49"/>
    <x v="984"/>
    <x v="369"/>
    <x v="86"/>
    <x v="335"/>
    <x v="361"/>
    <x v="1019"/>
    <x v="1016"/>
    <x v="1000"/>
    <x v="4"/>
    <x v="1012"/>
    <x v="1019"/>
    <x v="19"/>
    <x v="0"/>
    <x v="1"/>
    <x v="4"/>
    <x v="97"/>
    <x v="19"/>
    <x v="225"/>
    <x v="21"/>
    <x v="3"/>
    <x v="1"/>
    <x v="0"/>
    <x v="1028"/>
  </r>
  <r>
    <x v="0"/>
    <x v="202"/>
    <x v="84"/>
    <x v="58"/>
    <x v="0"/>
    <x v="1"/>
    <x v="21"/>
    <x v="985"/>
    <x v="125"/>
    <x v="174"/>
    <x v="229"/>
    <x v="198"/>
    <x v="1020"/>
    <x v="1017"/>
    <x v="1001"/>
    <x v="2"/>
    <x v="1013"/>
    <x v="1020"/>
    <x v="549"/>
    <x v="0"/>
    <x v="0"/>
    <x v="0"/>
    <x v="95"/>
    <x v="6"/>
    <x v="135"/>
    <x v="30"/>
    <x v="1"/>
    <x v="82"/>
    <x v="0"/>
    <x v="1029"/>
  </r>
  <r>
    <x v="0"/>
    <x v="479"/>
    <x v="346"/>
    <x v="76"/>
    <x v="78"/>
    <x v="542"/>
    <x v="2"/>
    <x v="986"/>
    <x v="70"/>
    <x v="130"/>
    <x v="707"/>
    <x v="837"/>
    <x v="1021"/>
    <x v="1018"/>
    <x v="1002"/>
    <x v="7"/>
    <x v="1014"/>
    <x v="1021"/>
    <x v="641"/>
    <x v="0"/>
    <x v="0"/>
    <x v="0"/>
    <x v="95"/>
    <x v="14"/>
    <x v="339"/>
    <x v="41"/>
    <x v="1"/>
    <x v="207"/>
    <x v="0"/>
    <x v="1030"/>
  </r>
  <r>
    <x v="0"/>
    <x v="272"/>
    <x v="249"/>
    <x v="101"/>
    <x v="0"/>
    <x v="60"/>
    <x v="35"/>
    <x v="987"/>
    <x v="376"/>
    <x v="65"/>
    <x v="708"/>
    <x v="74"/>
    <x v="1022"/>
    <x v="1019"/>
    <x v="1003"/>
    <x v="0"/>
    <x v="1015"/>
    <x v="1022"/>
    <x v="552"/>
    <x v="0"/>
    <x v="0"/>
    <x v="4"/>
    <x v="95"/>
    <x v="21"/>
    <x v="201"/>
    <x v="23"/>
    <x v="3"/>
    <x v="208"/>
    <x v="0"/>
    <x v="1031"/>
  </r>
  <r>
    <x v="0"/>
    <x v="480"/>
    <x v="420"/>
    <x v="27"/>
    <x v="233"/>
    <x v="64"/>
    <x v="25"/>
    <x v="988"/>
    <x v="99"/>
    <x v="76"/>
    <x v="709"/>
    <x v="388"/>
    <x v="1023"/>
    <x v="1020"/>
    <x v="1004"/>
    <x v="1"/>
    <x v="1016"/>
    <x v="1023"/>
    <x v="376"/>
    <x v="0"/>
    <x v="0"/>
    <x v="4"/>
    <x v="95"/>
    <x v="10"/>
    <x v="12"/>
    <x v="34"/>
    <x v="3"/>
    <x v="61"/>
    <x v="0"/>
    <x v="1032"/>
  </r>
  <r>
    <x v="0"/>
    <x v="301"/>
    <x v="280"/>
    <x v="45"/>
    <x v="171"/>
    <x v="37"/>
    <x v="236"/>
    <x v="989"/>
    <x v="80"/>
    <x v="433"/>
    <x v="710"/>
    <x v="838"/>
    <x v="1024"/>
    <x v="1021"/>
    <x v="1005"/>
    <x v="4"/>
    <x v="1017"/>
    <x v="1024"/>
    <x v="256"/>
    <x v="0"/>
    <x v="4"/>
    <x v="0"/>
    <x v="135"/>
    <x v="0"/>
    <x v="429"/>
    <x v="42"/>
    <x v="1"/>
    <x v="1"/>
    <x v="0"/>
    <x v="1033"/>
  </r>
  <r>
    <x v="0"/>
    <x v="481"/>
    <x v="288"/>
    <x v="79"/>
    <x v="139"/>
    <x v="122"/>
    <x v="8"/>
    <x v="990"/>
    <x v="222"/>
    <x v="35"/>
    <x v="711"/>
    <x v="151"/>
    <x v="1025"/>
    <x v="1022"/>
    <x v="1006"/>
    <x v="1"/>
    <x v="1018"/>
    <x v="1025"/>
    <x v="642"/>
    <x v="0"/>
    <x v="0"/>
    <x v="0"/>
    <x v="136"/>
    <x v="18"/>
    <x v="1"/>
    <x v="18"/>
    <x v="1"/>
    <x v="1"/>
    <x v="0"/>
    <x v="1034"/>
  </r>
  <r>
    <x v="0"/>
    <x v="113"/>
    <x v="421"/>
    <x v="126"/>
    <x v="88"/>
    <x v="127"/>
    <x v="0"/>
    <x v="4"/>
    <x v="377"/>
    <x v="434"/>
    <x v="712"/>
    <x v="839"/>
    <x v="1026"/>
    <x v="1023"/>
    <x v="1007"/>
    <x v="8"/>
    <x v="1019"/>
    <x v="1026"/>
    <x v="627"/>
    <x v="0"/>
    <x v="0"/>
    <x v="7"/>
    <x v="4"/>
    <x v="4"/>
    <x v="430"/>
    <x v="3"/>
    <x v="12"/>
    <x v="77"/>
    <x v="0"/>
    <x v="1035"/>
  </r>
  <r>
    <x v="0"/>
    <x v="200"/>
    <x v="422"/>
    <x v="27"/>
    <x v="140"/>
    <x v="420"/>
    <x v="113"/>
    <x v="991"/>
    <x v="378"/>
    <x v="435"/>
    <x v="713"/>
    <x v="840"/>
    <x v="1027"/>
    <x v="1024"/>
    <x v="1008"/>
    <x v="7"/>
    <x v="1020"/>
    <x v="1027"/>
    <x v="277"/>
    <x v="0"/>
    <x v="0"/>
    <x v="4"/>
    <x v="88"/>
    <x v="22"/>
    <x v="178"/>
    <x v="22"/>
    <x v="1"/>
    <x v="43"/>
    <x v="0"/>
    <x v="1036"/>
  </r>
  <r>
    <x v="0"/>
    <x v="482"/>
    <x v="423"/>
    <x v="24"/>
    <x v="248"/>
    <x v="543"/>
    <x v="13"/>
    <x v="992"/>
    <x v="379"/>
    <x v="93"/>
    <x v="714"/>
    <x v="841"/>
    <x v="1028"/>
    <x v="1025"/>
    <x v="1009"/>
    <x v="4"/>
    <x v="1021"/>
    <x v="1028"/>
    <x v="120"/>
    <x v="0"/>
    <x v="1"/>
    <x v="4"/>
    <x v="4"/>
    <x v="0"/>
    <x v="17"/>
    <x v="38"/>
    <x v="1"/>
    <x v="90"/>
    <x v="0"/>
    <x v="1037"/>
  </r>
  <r>
    <x v="0"/>
    <x v="151"/>
    <x v="386"/>
    <x v="127"/>
    <x v="0"/>
    <x v="349"/>
    <x v="237"/>
    <x v="993"/>
    <x v="168"/>
    <x v="436"/>
    <x v="715"/>
    <x v="842"/>
    <x v="1029"/>
    <x v="1026"/>
    <x v="1010"/>
    <x v="0"/>
    <x v="1022"/>
    <x v="1029"/>
    <x v="107"/>
    <x v="0"/>
    <x v="0"/>
    <x v="4"/>
    <x v="115"/>
    <x v="21"/>
    <x v="360"/>
    <x v="32"/>
    <x v="3"/>
    <x v="1"/>
    <x v="0"/>
    <x v="1038"/>
  </r>
  <r>
    <x v="0"/>
    <x v="38"/>
    <x v="290"/>
    <x v="46"/>
    <x v="25"/>
    <x v="460"/>
    <x v="2"/>
    <x v="994"/>
    <x v="1"/>
    <x v="42"/>
    <x v="716"/>
    <x v="843"/>
    <x v="1030"/>
    <x v="1027"/>
    <x v="1011"/>
    <x v="7"/>
    <x v="1023"/>
    <x v="1030"/>
    <x v="643"/>
    <x v="0"/>
    <x v="0"/>
    <x v="0"/>
    <x v="115"/>
    <x v="30"/>
    <x v="431"/>
    <x v="24"/>
    <x v="1"/>
    <x v="1"/>
    <x v="0"/>
    <x v="1039"/>
  </r>
  <r>
    <x v="0"/>
    <x v="96"/>
    <x v="7"/>
    <x v="74"/>
    <x v="75"/>
    <x v="298"/>
    <x v="35"/>
    <x v="995"/>
    <x v="17"/>
    <x v="44"/>
    <x v="717"/>
    <x v="844"/>
    <x v="1031"/>
    <x v="1028"/>
    <x v="1012"/>
    <x v="1"/>
    <x v="1024"/>
    <x v="1031"/>
    <x v="630"/>
    <x v="0"/>
    <x v="1"/>
    <x v="4"/>
    <x v="4"/>
    <x v="3"/>
    <x v="213"/>
    <x v="4"/>
    <x v="1"/>
    <x v="88"/>
    <x v="0"/>
    <x v="1040"/>
  </r>
  <r>
    <x v="0"/>
    <x v="137"/>
    <x v="351"/>
    <x v="60"/>
    <x v="102"/>
    <x v="95"/>
    <x v="24"/>
    <x v="996"/>
    <x v="380"/>
    <x v="25"/>
    <x v="72"/>
    <x v="408"/>
    <x v="1032"/>
    <x v="1029"/>
    <x v="1013"/>
    <x v="0"/>
    <x v="1025"/>
    <x v="1032"/>
    <x v="236"/>
    <x v="0"/>
    <x v="0"/>
    <x v="4"/>
    <x v="136"/>
    <x v="2"/>
    <x v="12"/>
    <x v="8"/>
    <x v="1"/>
    <x v="52"/>
    <x v="0"/>
    <x v="1041"/>
  </r>
  <r>
    <x v="0"/>
    <x v="120"/>
    <x v="346"/>
    <x v="34"/>
    <x v="77"/>
    <x v="448"/>
    <x v="11"/>
    <x v="997"/>
    <x v="171"/>
    <x v="156"/>
    <x v="98"/>
    <x v="845"/>
    <x v="1033"/>
    <x v="1030"/>
    <x v="1014"/>
    <x v="4"/>
    <x v="1026"/>
    <x v="1033"/>
    <x v="644"/>
    <x v="0"/>
    <x v="0"/>
    <x v="4"/>
    <x v="115"/>
    <x v="15"/>
    <x v="6"/>
    <x v="10"/>
    <x v="1"/>
    <x v="1"/>
    <x v="0"/>
    <x v="1042"/>
  </r>
  <r>
    <x v="0"/>
    <x v="68"/>
    <x v="167"/>
    <x v="52"/>
    <x v="53"/>
    <x v="544"/>
    <x v="30"/>
    <x v="998"/>
    <x v="168"/>
    <x v="224"/>
    <x v="718"/>
    <x v="846"/>
    <x v="1034"/>
    <x v="1031"/>
    <x v="1015"/>
    <x v="0"/>
    <x v="1027"/>
    <x v="1034"/>
    <x v="645"/>
    <x v="0"/>
    <x v="0"/>
    <x v="4"/>
    <x v="115"/>
    <x v="19"/>
    <x v="302"/>
    <x v="2"/>
    <x v="1"/>
    <x v="1"/>
    <x v="0"/>
    <x v="1043"/>
  </r>
  <r>
    <x v="0"/>
    <x v="483"/>
    <x v="424"/>
    <x v="71"/>
    <x v="74"/>
    <x v="545"/>
    <x v="238"/>
    <x v="4"/>
    <x v="381"/>
    <x v="437"/>
    <x v="719"/>
    <x v="847"/>
    <x v="1035"/>
    <x v="1032"/>
    <x v="1016"/>
    <x v="0"/>
    <x v="1028"/>
    <x v="1035"/>
    <x v="646"/>
    <x v="0"/>
    <x v="0"/>
    <x v="1"/>
    <x v="41"/>
    <x v="7"/>
    <x v="432"/>
    <x v="51"/>
    <x v="0"/>
    <x v="209"/>
    <x v="0"/>
    <x v="1044"/>
  </r>
  <r>
    <x v="0"/>
    <x v="363"/>
    <x v="322"/>
    <x v="37"/>
    <x v="213"/>
    <x v="12"/>
    <x v="35"/>
    <x v="999"/>
    <x v="382"/>
    <x v="65"/>
    <x v="720"/>
    <x v="848"/>
    <x v="1036"/>
    <x v="1033"/>
    <x v="1017"/>
    <x v="1"/>
    <x v="1029"/>
    <x v="1036"/>
    <x v="397"/>
    <x v="0"/>
    <x v="0"/>
    <x v="4"/>
    <x v="115"/>
    <x v="15"/>
    <x v="81"/>
    <x v="1"/>
    <x v="1"/>
    <x v="67"/>
    <x v="0"/>
    <x v="1045"/>
  </r>
  <r>
    <x v="0"/>
    <x v="219"/>
    <x v="208"/>
    <x v="64"/>
    <x v="108"/>
    <x v="475"/>
    <x v="3"/>
    <x v="1000"/>
    <x v="168"/>
    <x v="3"/>
    <x v="721"/>
    <x v="849"/>
    <x v="1037"/>
    <x v="1034"/>
    <x v="1018"/>
    <x v="3"/>
    <x v="1030"/>
    <x v="1037"/>
    <x v="647"/>
    <x v="0"/>
    <x v="15"/>
    <x v="4"/>
    <x v="95"/>
    <x v="2"/>
    <x v="433"/>
    <x v="21"/>
    <x v="1"/>
    <x v="45"/>
    <x v="0"/>
    <x v="1046"/>
  </r>
  <r>
    <x v="0"/>
    <x v="278"/>
    <x v="280"/>
    <x v="52"/>
    <x v="182"/>
    <x v="546"/>
    <x v="239"/>
    <x v="1001"/>
    <x v="311"/>
    <x v="438"/>
    <x v="722"/>
    <x v="850"/>
    <x v="1038"/>
    <x v="1035"/>
    <x v="1019"/>
    <x v="8"/>
    <x v="1031"/>
    <x v="1038"/>
    <x v="87"/>
    <x v="0"/>
    <x v="4"/>
    <x v="0"/>
    <x v="115"/>
    <x v="18"/>
    <x v="434"/>
    <x v="21"/>
    <x v="1"/>
    <x v="1"/>
    <x v="0"/>
    <x v="1047"/>
  </r>
  <r>
    <x v="0"/>
    <x v="386"/>
    <x v="321"/>
    <x v="60"/>
    <x v="116"/>
    <x v="1"/>
    <x v="11"/>
    <x v="1002"/>
    <x v="383"/>
    <x v="11"/>
    <x v="60"/>
    <x v="851"/>
    <x v="1039"/>
    <x v="1036"/>
    <x v="1020"/>
    <x v="1"/>
    <x v="1032"/>
    <x v="1039"/>
    <x v="648"/>
    <x v="0"/>
    <x v="0"/>
    <x v="0"/>
    <x v="115"/>
    <x v="18"/>
    <x v="47"/>
    <x v="38"/>
    <x v="1"/>
    <x v="1"/>
    <x v="0"/>
    <x v="1048"/>
  </r>
  <r>
    <x v="0"/>
    <x v="141"/>
    <x v="211"/>
    <x v="32"/>
    <x v="105"/>
    <x v="547"/>
    <x v="24"/>
    <x v="1003"/>
    <x v="286"/>
    <x v="25"/>
    <x v="493"/>
    <x v="852"/>
    <x v="1040"/>
    <x v="1037"/>
    <x v="1021"/>
    <x v="1"/>
    <x v="1033"/>
    <x v="1040"/>
    <x v="271"/>
    <x v="0"/>
    <x v="0"/>
    <x v="0"/>
    <x v="115"/>
    <x v="18"/>
    <x v="30"/>
    <x v="21"/>
    <x v="3"/>
    <x v="1"/>
    <x v="0"/>
    <x v="1049"/>
  </r>
  <r>
    <x v="0"/>
    <x v="370"/>
    <x v="211"/>
    <x v="41"/>
    <x v="201"/>
    <x v="241"/>
    <x v="22"/>
    <x v="1004"/>
    <x v="286"/>
    <x v="240"/>
    <x v="723"/>
    <x v="853"/>
    <x v="1041"/>
    <x v="1038"/>
    <x v="1022"/>
    <x v="4"/>
    <x v="1034"/>
    <x v="1041"/>
    <x v="351"/>
    <x v="0"/>
    <x v="0"/>
    <x v="0"/>
    <x v="115"/>
    <x v="21"/>
    <x v="435"/>
    <x v="19"/>
    <x v="1"/>
    <x v="1"/>
    <x v="0"/>
    <x v="1050"/>
  </r>
  <r>
    <x v="0"/>
    <x v="420"/>
    <x v="413"/>
    <x v="32"/>
    <x v="0"/>
    <x v="252"/>
    <x v="25"/>
    <x v="1005"/>
    <x v="384"/>
    <x v="76"/>
    <x v="724"/>
    <x v="854"/>
    <x v="1042"/>
    <x v="1039"/>
    <x v="1023"/>
    <x v="1"/>
    <x v="1035"/>
    <x v="1042"/>
    <x v="591"/>
    <x v="0"/>
    <x v="0"/>
    <x v="4"/>
    <x v="90"/>
    <x v="31"/>
    <x v="1"/>
    <x v="12"/>
    <x v="3"/>
    <x v="210"/>
    <x v="0"/>
    <x v="1051"/>
  </r>
  <r>
    <x v="0"/>
    <x v="141"/>
    <x v="106"/>
    <x v="40"/>
    <x v="105"/>
    <x v="539"/>
    <x v="29"/>
    <x v="1006"/>
    <x v="385"/>
    <x v="34"/>
    <x v="307"/>
    <x v="855"/>
    <x v="1043"/>
    <x v="1040"/>
    <x v="1024"/>
    <x v="1"/>
    <x v="1036"/>
    <x v="1043"/>
    <x v="397"/>
    <x v="0"/>
    <x v="0"/>
    <x v="4"/>
    <x v="97"/>
    <x v="1"/>
    <x v="135"/>
    <x v="6"/>
    <x v="1"/>
    <x v="1"/>
    <x v="0"/>
    <x v="1052"/>
  </r>
  <r>
    <x v="0"/>
    <x v="484"/>
    <x v="279"/>
    <x v="69"/>
    <x v="249"/>
    <x v="548"/>
    <x v="21"/>
    <x v="1007"/>
    <x v="3"/>
    <x v="22"/>
    <x v="176"/>
    <x v="856"/>
    <x v="1044"/>
    <x v="1041"/>
    <x v="933"/>
    <x v="0"/>
    <x v="1037"/>
    <x v="1044"/>
    <x v="451"/>
    <x v="0"/>
    <x v="10"/>
    <x v="0"/>
    <x v="115"/>
    <x v="11"/>
    <x v="120"/>
    <x v="19"/>
    <x v="1"/>
    <x v="58"/>
    <x v="0"/>
    <x v="1053"/>
  </r>
  <r>
    <x v="0"/>
    <x v="151"/>
    <x v="287"/>
    <x v="32"/>
    <x v="0"/>
    <x v="549"/>
    <x v="22"/>
    <x v="1008"/>
    <x v="368"/>
    <x v="202"/>
    <x v="725"/>
    <x v="857"/>
    <x v="1045"/>
    <x v="1042"/>
    <x v="395"/>
    <x v="1"/>
    <x v="1038"/>
    <x v="1045"/>
    <x v="649"/>
    <x v="0"/>
    <x v="0"/>
    <x v="4"/>
    <x v="115"/>
    <x v="20"/>
    <x v="77"/>
    <x v="15"/>
    <x v="3"/>
    <x v="1"/>
    <x v="0"/>
    <x v="1054"/>
  </r>
  <r>
    <x v="0"/>
    <x v="202"/>
    <x v="365"/>
    <x v="45"/>
    <x v="0"/>
    <x v="550"/>
    <x v="35"/>
    <x v="1009"/>
    <x v="386"/>
    <x v="91"/>
    <x v="387"/>
    <x v="858"/>
    <x v="1046"/>
    <x v="1043"/>
    <x v="1025"/>
    <x v="1"/>
    <x v="1039"/>
    <x v="1046"/>
    <x v="55"/>
    <x v="0"/>
    <x v="0"/>
    <x v="0"/>
    <x v="125"/>
    <x v="25"/>
    <x v="30"/>
    <x v="19"/>
    <x v="1"/>
    <x v="1"/>
    <x v="0"/>
    <x v="1055"/>
  </r>
  <r>
    <x v="0"/>
    <x v="485"/>
    <x v="384"/>
    <x v="47"/>
    <x v="250"/>
    <x v="79"/>
    <x v="240"/>
    <x v="1010"/>
    <x v="387"/>
    <x v="439"/>
    <x v="726"/>
    <x v="859"/>
    <x v="1047"/>
    <x v="1044"/>
    <x v="1026"/>
    <x v="0"/>
    <x v="1040"/>
    <x v="1047"/>
    <x v="650"/>
    <x v="8"/>
    <x v="16"/>
    <x v="10"/>
    <x v="4"/>
    <x v="20"/>
    <x v="364"/>
    <x v="6"/>
    <x v="2"/>
    <x v="211"/>
    <x v="0"/>
    <x v="1056"/>
  </r>
  <r>
    <x v="0"/>
    <x v="486"/>
    <x v="365"/>
    <x v="72"/>
    <x v="251"/>
    <x v="329"/>
    <x v="241"/>
    <x v="1011"/>
    <x v="388"/>
    <x v="440"/>
    <x v="218"/>
    <x v="726"/>
    <x v="1048"/>
    <x v="1045"/>
    <x v="1027"/>
    <x v="1"/>
    <x v="1041"/>
    <x v="1048"/>
    <x v="291"/>
    <x v="0"/>
    <x v="0"/>
    <x v="2"/>
    <x v="32"/>
    <x v="22"/>
    <x v="148"/>
    <x v="9"/>
    <x v="3"/>
    <x v="43"/>
    <x v="0"/>
    <x v="1057"/>
  </r>
  <r>
    <x v="0"/>
    <x v="131"/>
    <x v="194"/>
    <x v="18"/>
    <x v="97"/>
    <x v="388"/>
    <x v="0"/>
    <x v="1012"/>
    <x v="389"/>
    <x v="441"/>
    <x v="727"/>
    <x v="548"/>
    <x v="1049"/>
    <x v="1046"/>
    <x v="1028"/>
    <x v="0"/>
    <x v="1042"/>
    <x v="1049"/>
    <x v="315"/>
    <x v="0"/>
    <x v="0"/>
    <x v="4"/>
    <x v="115"/>
    <x v="15"/>
    <x v="436"/>
    <x v="2"/>
    <x v="1"/>
    <x v="1"/>
    <x v="0"/>
    <x v="1058"/>
  </r>
  <r>
    <x v="0"/>
    <x v="487"/>
    <x v="332"/>
    <x v="5"/>
    <x v="149"/>
    <x v="137"/>
    <x v="108"/>
    <x v="1013"/>
    <x v="309"/>
    <x v="442"/>
    <x v="728"/>
    <x v="860"/>
    <x v="1050"/>
    <x v="1047"/>
    <x v="655"/>
    <x v="1"/>
    <x v="1043"/>
    <x v="1050"/>
    <x v="191"/>
    <x v="0"/>
    <x v="0"/>
    <x v="0"/>
    <x v="115"/>
    <x v="18"/>
    <x v="225"/>
    <x v="21"/>
    <x v="3"/>
    <x v="1"/>
    <x v="0"/>
    <x v="1059"/>
  </r>
  <r>
    <x v="0"/>
    <x v="488"/>
    <x v="118"/>
    <x v="41"/>
    <x v="252"/>
    <x v="70"/>
    <x v="57"/>
    <x v="4"/>
    <x v="72"/>
    <x v="237"/>
    <x v="729"/>
    <x v="861"/>
    <x v="1051"/>
    <x v="1048"/>
    <x v="1029"/>
    <x v="1"/>
    <x v="1044"/>
    <x v="1051"/>
    <x v="425"/>
    <x v="0"/>
    <x v="0"/>
    <x v="4"/>
    <x v="137"/>
    <x v="26"/>
    <x v="437"/>
    <x v="16"/>
    <x v="1"/>
    <x v="1"/>
    <x v="0"/>
    <x v="1060"/>
  </r>
  <r>
    <x v="1"/>
    <x v="489"/>
    <x v="235"/>
    <x v="69"/>
    <x v="0"/>
    <x v="74"/>
    <x v="242"/>
    <x v="4"/>
    <x v="383"/>
    <x v="443"/>
    <x v="730"/>
    <x v="862"/>
    <x v="1052"/>
    <x v="1049"/>
    <x v="1030"/>
    <x v="0"/>
    <x v="1045"/>
    <x v="1052"/>
    <x v="651"/>
    <x v="9"/>
    <x v="17"/>
    <x v="2"/>
    <x v="138"/>
    <x v="36"/>
    <x v="438"/>
    <x v="14"/>
    <x v="1"/>
    <x v="1"/>
    <x v="0"/>
    <x v="1061"/>
  </r>
  <r>
    <x v="0"/>
    <x v="490"/>
    <x v="197"/>
    <x v="128"/>
    <x v="0"/>
    <x v="551"/>
    <x v="41"/>
    <x v="1014"/>
    <x v="21"/>
    <x v="221"/>
    <x v="731"/>
    <x v="863"/>
    <x v="1053"/>
    <x v="1050"/>
    <x v="1031"/>
    <x v="3"/>
    <x v="1046"/>
    <x v="1053"/>
    <x v="409"/>
    <x v="0"/>
    <x v="0"/>
    <x v="2"/>
    <x v="125"/>
    <x v="7"/>
    <x v="439"/>
    <x v="33"/>
    <x v="3"/>
    <x v="212"/>
    <x v="0"/>
    <x v="1062"/>
  </r>
  <r>
    <x v="0"/>
    <x v="491"/>
    <x v="303"/>
    <x v="26"/>
    <x v="253"/>
    <x v="37"/>
    <x v="94"/>
    <x v="1015"/>
    <x v="268"/>
    <x v="218"/>
    <x v="732"/>
    <x v="864"/>
    <x v="1054"/>
    <x v="1051"/>
    <x v="1032"/>
    <x v="1"/>
    <x v="1047"/>
    <x v="1054"/>
    <x v="241"/>
    <x v="0"/>
    <x v="0"/>
    <x v="4"/>
    <x v="125"/>
    <x v="25"/>
    <x v="440"/>
    <x v="27"/>
    <x v="3"/>
    <x v="213"/>
    <x v="0"/>
    <x v="1063"/>
  </r>
  <r>
    <x v="0"/>
    <x v="492"/>
    <x v="274"/>
    <x v="72"/>
    <x v="195"/>
    <x v="77"/>
    <x v="94"/>
    <x v="1016"/>
    <x v="127"/>
    <x v="218"/>
    <x v="733"/>
    <x v="98"/>
    <x v="1055"/>
    <x v="1052"/>
    <x v="1033"/>
    <x v="1"/>
    <x v="1048"/>
    <x v="1055"/>
    <x v="314"/>
    <x v="0"/>
    <x v="0"/>
    <x v="0"/>
    <x v="127"/>
    <x v="13"/>
    <x v="30"/>
    <x v="22"/>
    <x v="1"/>
    <x v="1"/>
    <x v="0"/>
    <x v="1064"/>
  </r>
  <r>
    <x v="0"/>
    <x v="442"/>
    <x v="273"/>
    <x v="58"/>
    <x v="239"/>
    <x v="250"/>
    <x v="94"/>
    <x v="1017"/>
    <x v="127"/>
    <x v="218"/>
    <x v="59"/>
    <x v="322"/>
    <x v="1056"/>
    <x v="1053"/>
    <x v="1034"/>
    <x v="2"/>
    <x v="1049"/>
    <x v="1056"/>
    <x v="154"/>
    <x v="0"/>
    <x v="0"/>
    <x v="0"/>
    <x v="115"/>
    <x v="18"/>
    <x v="46"/>
    <x v="20"/>
    <x v="1"/>
    <x v="98"/>
    <x v="0"/>
    <x v="1065"/>
  </r>
  <r>
    <x v="0"/>
    <x v="3"/>
    <x v="112"/>
    <x v="34"/>
    <x v="2"/>
    <x v="552"/>
    <x v="21"/>
    <x v="1018"/>
    <x v="150"/>
    <x v="210"/>
    <x v="620"/>
    <x v="865"/>
    <x v="1057"/>
    <x v="1054"/>
    <x v="1035"/>
    <x v="0"/>
    <x v="1050"/>
    <x v="1057"/>
    <x v="652"/>
    <x v="0"/>
    <x v="0"/>
    <x v="4"/>
    <x v="127"/>
    <x v="19"/>
    <x v="34"/>
    <x v="13"/>
    <x v="1"/>
    <x v="1"/>
    <x v="0"/>
    <x v="1066"/>
  </r>
  <r>
    <x v="0"/>
    <x v="298"/>
    <x v="262"/>
    <x v="70"/>
    <x v="191"/>
    <x v="447"/>
    <x v="0"/>
    <x v="1019"/>
    <x v="390"/>
    <x v="277"/>
    <x v="734"/>
    <x v="651"/>
    <x v="1058"/>
    <x v="1055"/>
    <x v="1036"/>
    <x v="4"/>
    <x v="1051"/>
    <x v="1058"/>
    <x v="634"/>
    <x v="0"/>
    <x v="0"/>
    <x v="0"/>
    <x v="91"/>
    <x v="25"/>
    <x v="30"/>
    <x v="32"/>
    <x v="1"/>
    <x v="67"/>
    <x v="0"/>
    <x v="1067"/>
  </r>
  <r>
    <x v="0"/>
    <x v="405"/>
    <x v="305"/>
    <x v="113"/>
    <x v="218"/>
    <x v="553"/>
    <x v="57"/>
    <x v="1020"/>
    <x v="391"/>
    <x v="125"/>
    <x v="735"/>
    <x v="866"/>
    <x v="1059"/>
    <x v="1056"/>
    <x v="1037"/>
    <x v="1"/>
    <x v="1052"/>
    <x v="1059"/>
    <x v="538"/>
    <x v="0"/>
    <x v="0"/>
    <x v="0"/>
    <x v="125"/>
    <x v="5"/>
    <x v="441"/>
    <x v="55"/>
    <x v="1"/>
    <x v="1"/>
    <x v="0"/>
    <x v="1068"/>
  </r>
  <r>
    <x v="0"/>
    <x v="103"/>
    <x v="409"/>
    <x v="38"/>
    <x v="81"/>
    <x v="99"/>
    <x v="11"/>
    <x v="1021"/>
    <x v="392"/>
    <x v="156"/>
    <x v="281"/>
    <x v="477"/>
    <x v="1060"/>
    <x v="1057"/>
    <x v="1038"/>
    <x v="1"/>
    <x v="1053"/>
    <x v="1060"/>
    <x v="653"/>
    <x v="0"/>
    <x v="0"/>
    <x v="4"/>
    <x v="127"/>
    <x v="25"/>
    <x v="44"/>
    <x v="4"/>
    <x v="3"/>
    <x v="214"/>
    <x v="0"/>
    <x v="1069"/>
  </r>
  <r>
    <x v="0"/>
    <x v="51"/>
    <x v="345"/>
    <x v="107"/>
    <x v="36"/>
    <x v="554"/>
    <x v="166"/>
    <x v="1022"/>
    <x v="286"/>
    <x v="308"/>
    <x v="736"/>
    <x v="867"/>
    <x v="1061"/>
    <x v="1058"/>
    <x v="1039"/>
    <x v="1"/>
    <x v="1054"/>
    <x v="1061"/>
    <x v="554"/>
    <x v="0"/>
    <x v="0"/>
    <x v="0"/>
    <x v="91"/>
    <x v="13"/>
    <x v="65"/>
    <x v="2"/>
    <x v="3"/>
    <x v="1"/>
    <x v="0"/>
    <x v="1070"/>
  </r>
  <r>
    <x v="0"/>
    <x v="493"/>
    <x v="365"/>
    <x v="46"/>
    <x v="169"/>
    <x v="414"/>
    <x v="160"/>
    <x v="1023"/>
    <x v="393"/>
    <x v="444"/>
    <x v="737"/>
    <x v="868"/>
    <x v="1062"/>
    <x v="1059"/>
    <x v="1040"/>
    <x v="1"/>
    <x v="4"/>
    <x v="1062"/>
    <x v="654"/>
    <x v="0"/>
    <x v="1"/>
    <x v="4"/>
    <x v="131"/>
    <x v="6"/>
    <x v="442"/>
    <x v="11"/>
    <x v="1"/>
    <x v="1"/>
    <x v="0"/>
    <x v="1071"/>
  </r>
  <r>
    <x v="0"/>
    <x v="494"/>
    <x v="81"/>
    <x v="35"/>
    <x v="170"/>
    <x v="44"/>
    <x v="0"/>
    <x v="4"/>
    <x v="156"/>
    <x v="445"/>
    <x v="738"/>
    <x v="869"/>
    <x v="1063"/>
    <x v="1060"/>
    <x v="1041"/>
    <x v="1"/>
    <x v="1055"/>
    <x v="1063"/>
    <x v="655"/>
    <x v="0"/>
    <x v="18"/>
    <x v="2"/>
    <x v="115"/>
    <x v="37"/>
    <x v="443"/>
    <x v="59"/>
    <x v="1"/>
    <x v="215"/>
    <x v="0"/>
    <x v="1072"/>
  </r>
  <r>
    <x v="0"/>
    <x v="356"/>
    <x v="311"/>
    <x v="43"/>
    <x v="211"/>
    <x v="555"/>
    <x v="243"/>
    <x v="1024"/>
    <x v="35"/>
    <x v="446"/>
    <x v="516"/>
    <x v="870"/>
    <x v="1064"/>
    <x v="1061"/>
    <x v="22"/>
    <x v="4"/>
    <x v="1056"/>
    <x v="1064"/>
    <x v="432"/>
    <x v="0"/>
    <x v="0"/>
    <x v="2"/>
    <x v="91"/>
    <x v="24"/>
    <x v="335"/>
    <x v="30"/>
    <x v="8"/>
    <x v="1"/>
    <x v="0"/>
    <x v="1073"/>
  </r>
  <r>
    <x v="0"/>
    <x v="484"/>
    <x v="201"/>
    <x v="42"/>
    <x v="249"/>
    <x v="83"/>
    <x v="21"/>
    <x v="1025"/>
    <x v="23"/>
    <x v="22"/>
    <x v="739"/>
    <x v="871"/>
    <x v="1065"/>
    <x v="1062"/>
    <x v="1042"/>
    <x v="0"/>
    <x v="1057"/>
    <x v="1065"/>
    <x v="656"/>
    <x v="0"/>
    <x v="10"/>
    <x v="0"/>
    <x v="91"/>
    <x v="3"/>
    <x v="372"/>
    <x v="22"/>
    <x v="1"/>
    <x v="62"/>
    <x v="0"/>
    <x v="1074"/>
  </r>
  <r>
    <x v="0"/>
    <x v="495"/>
    <x v="285"/>
    <x v="95"/>
    <x v="202"/>
    <x v="556"/>
    <x v="244"/>
    <x v="1026"/>
    <x v="125"/>
    <x v="447"/>
    <x v="740"/>
    <x v="872"/>
    <x v="1066"/>
    <x v="1063"/>
    <x v="1043"/>
    <x v="6"/>
    <x v="1058"/>
    <x v="1066"/>
    <x v="539"/>
    <x v="0"/>
    <x v="0"/>
    <x v="0"/>
    <x v="115"/>
    <x v="17"/>
    <x v="94"/>
    <x v="34"/>
    <x v="3"/>
    <x v="1"/>
    <x v="0"/>
    <x v="1075"/>
  </r>
  <r>
    <x v="0"/>
    <x v="372"/>
    <x v="321"/>
    <x v="56"/>
    <x v="8"/>
    <x v="65"/>
    <x v="245"/>
    <x v="1027"/>
    <x v="394"/>
    <x v="448"/>
    <x v="741"/>
    <x v="873"/>
    <x v="1067"/>
    <x v="1064"/>
    <x v="1044"/>
    <x v="1"/>
    <x v="1059"/>
    <x v="1067"/>
    <x v="406"/>
    <x v="0"/>
    <x v="0"/>
    <x v="0"/>
    <x v="91"/>
    <x v="21"/>
    <x v="444"/>
    <x v="5"/>
    <x v="3"/>
    <x v="1"/>
    <x v="0"/>
    <x v="1076"/>
  </r>
  <r>
    <x v="0"/>
    <x v="247"/>
    <x v="275"/>
    <x v="41"/>
    <x v="167"/>
    <x v="412"/>
    <x v="21"/>
    <x v="1028"/>
    <x v="395"/>
    <x v="162"/>
    <x v="63"/>
    <x v="874"/>
    <x v="1068"/>
    <x v="1065"/>
    <x v="1045"/>
    <x v="0"/>
    <x v="1060"/>
    <x v="1068"/>
    <x v="657"/>
    <x v="0"/>
    <x v="0"/>
    <x v="2"/>
    <x v="91"/>
    <x v="8"/>
    <x v="13"/>
    <x v="27"/>
    <x v="3"/>
    <x v="1"/>
    <x v="0"/>
    <x v="1077"/>
  </r>
  <r>
    <x v="0"/>
    <x v="293"/>
    <x v="379"/>
    <x v="18"/>
    <x v="0"/>
    <x v="360"/>
    <x v="2"/>
    <x v="1029"/>
    <x v="215"/>
    <x v="203"/>
    <x v="429"/>
    <x v="496"/>
    <x v="1069"/>
    <x v="1066"/>
    <x v="448"/>
    <x v="4"/>
    <x v="1061"/>
    <x v="1069"/>
    <x v="270"/>
    <x v="0"/>
    <x v="0"/>
    <x v="3"/>
    <x v="88"/>
    <x v="14"/>
    <x v="30"/>
    <x v="20"/>
    <x v="3"/>
    <x v="103"/>
    <x v="0"/>
    <x v="1078"/>
  </r>
  <r>
    <x v="0"/>
    <x v="211"/>
    <x v="425"/>
    <x v="8"/>
    <x v="108"/>
    <x v="285"/>
    <x v="11"/>
    <x v="1030"/>
    <x v="171"/>
    <x v="156"/>
    <x v="199"/>
    <x v="373"/>
    <x v="1070"/>
    <x v="1067"/>
    <x v="1046"/>
    <x v="0"/>
    <x v="1062"/>
    <x v="1070"/>
    <x v="258"/>
    <x v="0"/>
    <x v="0"/>
    <x v="0"/>
    <x v="91"/>
    <x v="27"/>
    <x v="135"/>
    <x v="12"/>
    <x v="1"/>
    <x v="1"/>
    <x v="0"/>
    <x v="1079"/>
  </r>
  <r>
    <x v="0"/>
    <x v="133"/>
    <x v="347"/>
    <x v="73"/>
    <x v="98"/>
    <x v="274"/>
    <x v="246"/>
    <x v="1031"/>
    <x v="171"/>
    <x v="449"/>
    <x v="742"/>
    <x v="875"/>
    <x v="1071"/>
    <x v="1068"/>
    <x v="1047"/>
    <x v="3"/>
    <x v="1063"/>
    <x v="1071"/>
    <x v="447"/>
    <x v="0"/>
    <x v="0"/>
    <x v="0"/>
    <x v="91"/>
    <x v="24"/>
    <x v="199"/>
    <x v="10"/>
    <x v="1"/>
    <x v="103"/>
    <x v="0"/>
    <x v="1080"/>
  </r>
  <r>
    <x v="0"/>
    <x v="340"/>
    <x v="186"/>
    <x v="55"/>
    <x v="0"/>
    <x v="25"/>
    <x v="2"/>
    <x v="1032"/>
    <x v="371"/>
    <x v="130"/>
    <x v="743"/>
    <x v="30"/>
    <x v="1072"/>
    <x v="1069"/>
    <x v="1048"/>
    <x v="1"/>
    <x v="1064"/>
    <x v="1072"/>
    <x v="505"/>
    <x v="0"/>
    <x v="0"/>
    <x v="0"/>
    <x v="91"/>
    <x v="1"/>
    <x v="12"/>
    <x v="38"/>
    <x v="3"/>
    <x v="31"/>
    <x v="0"/>
    <x v="1081"/>
  </r>
  <r>
    <x v="0"/>
    <x v="120"/>
    <x v="276"/>
    <x v="85"/>
    <x v="77"/>
    <x v="448"/>
    <x v="2"/>
    <x v="1033"/>
    <x v="3"/>
    <x v="42"/>
    <x v="744"/>
    <x v="876"/>
    <x v="1073"/>
    <x v="1070"/>
    <x v="1049"/>
    <x v="1"/>
    <x v="1065"/>
    <x v="1073"/>
    <x v="180"/>
    <x v="0"/>
    <x v="0"/>
    <x v="4"/>
    <x v="91"/>
    <x v="29"/>
    <x v="445"/>
    <x v="8"/>
    <x v="1"/>
    <x v="1"/>
    <x v="0"/>
    <x v="1082"/>
  </r>
  <r>
    <x v="0"/>
    <x v="275"/>
    <x v="125"/>
    <x v="59"/>
    <x v="179"/>
    <x v="104"/>
    <x v="22"/>
    <x v="1034"/>
    <x v="127"/>
    <x v="191"/>
    <x v="745"/>
    <x v="628"/>
    <x v="1074"/>
    <x v="1071"/>
    <x v="1050"/>
    <x v="0"/>
    <x v="1066"/>
    <x v="1074"/>
    <x v="658"/>
    <x v="0"/>
    <x v="8"/>
    <x v="0"/>
    <x v="81"/>
    <x v="12"/>
    <x v="446"/>
    <x v="34"/>
    <x v="1"/>
    <x v="1"/>
    <x v="0"/>
    <x v="1083"/>
  </r>
  <r>
    <x v="0"/>
    <x v="496"/>
    <x v="426"/>
    <x v="9"/>
    <x v="254"/>
    <x v="1"/>
    <x v="24"/>
    <x v="1035"/>
    <x v="171"/>
    <x v="25"/>
    <x v="330"/>
    <x v="877"/>
    <x v="1075"/>
    <x v="1072"/>
    <x v="1051"/>
    <x v="4"/>
    <x v="1067"/>
    <x v="1075"/>
    <x v="82"/>
    <x v="0"/>
    <x v="0"/>
    <x v="4"/>
    <x v="127"/>
    <x v="9"/>
    <x v="28"/>
    <x v="14"/>
    <x v="3"/>
    <x v="216"/>
    <x v="0"/>
    <x v="1084"/>
  </r>
  <r>
    <x v="0"/>
    <x v="274"/>
    <x v="216"/>
    <x v="40"/>
    <x v="178"/>
    <x v="375"/>
    <x v="11"/>
    <x v="1036"/>
    <x v="168"/>
    <x v="156"/>
    <x v="149"/>
    <x v="878"/>
    <x v="1076"/>
    <x v="1073"/>
    <x v="1052"/>
    <x v="4"/>
    <x v="1068"/>
    <x v="1076"/>
    <x v="659"/>
    <x v="0"/>
    <x v="0"/>
    <x v="4"/>
    <x v="91"/>
    <x v="18"/>
    <x v="100"/>
    <x v="16"/>
    <x v="1"/>
    <x v="1"/>
    <x v="0"/>
    <x v="1085"/>
  </r>
  <r>
    <x v="0"/>
    <x v="102"/>
    <x v="377"/>
    <x v="58"/>
    <x v="80"/>
    <x v="86"/>
    <x v="9"/>
    <x v="1037"/>
    <x v="145"/>
    <x v="9"/>
    <x v="746"/>
    <x v="879"/>
    <x v="1077"/>
    <x v="1074"/>
    <x v="1053"/>
    <x v="3"/>
    <x v="1069"/>
    <x v="1077"/>
    <x v="660"/>
    <x v="0"/>
    <x v="0"/>
    <x v="2"/>
    <x v="91"/>
    <x v="15"/>
    <x v="447"/>
    <x v="11"/>
    <x v="1"/>
    <x v="64"/>
    <x v="0"/>
    <x v="1086"/>
  </r>
  <r>
    <x v="0"/>
    <x v="339"/>
    <x v="238"/>
    <x v="105"/>
    <x v="207"/>
    <x v="132"/>
    <x v="0"/>
    <x v="1038"/>
    <x v="125"/>
    <x v="450"/>
    <x v="386"/>
    <x v="162"/>
    <x v="1078"/>
    <x v="1075"/>
    <x v="1054"/>
    <x v="6"/>
    <x v="1070"/>
    <x v="1078"/>
    <x v="347"/>
    <x v="0"/>
    <x v="0"/>
    <x v="4"/>
    <x v="91"/>
    <x v="18"/>
    <x v="259"/>
    <x v="31"/>
    <x v="3"/>
    <x v="1"/>
    <x v="0"/>
    <x v="1087"/>
  </r>
  <r>
    <x v="0"/>
    <x v="73"/>
    <x v="427"/>
    <x v="33"/>
    <x v="58"/>
    <x v="19"/>
    <x v="197"/>
    <x v="1039"/>
    <x v="396"/>
    <x v="451"/>
    <x v="747"/>
    <x v="880"/>
    <x v="1079"/>
    <x v="1076"/>
    <x v="1055"/>
    <x v="3"/>
    <x v="1071"/>
    <x v="1079"/>
    <x v="418"/>
    <x v="0"/>
    <x v="0"/>
    <x v="2"/>
    <x v="91"/>
    <x v="10"/>
    <x v="448"/>
    <x v="1"/>
    <x v="3"/>
    <x v="18"/>
    <x v="0"/>
    <x v="1088"/>
  </r>
  <r>
    <x v="0"/>
    <x v="269"/>
    <x v="141"/>
    <x v="47"/>
    <x v="176"/>
    <x v="53"/>
    <x v="71"/>
    <x v="1040"/>
    <x v="397"/>
    <x v="276"/>
    <x v="748"/>
    <x v="266"/>
    <x v="1080"/>
    <x v="1077"/>
    <x v="1056"/>
    <x v="1"/>
    <x v="1072"/>
    <x v="1080"/>
    <x v="661"/>
    <x v="0"/>
    <x v="0"/>
    <x v="4"/>
    <x v="91"/>
    <x v="20"/>
    <x v="212"/>
    <x v="1"/>
    <x v="1"/>
    <x v="1"/>
    <x v="0"/>
    <x v="1089"/>
  </r>
  <r>
    <x v="0"/>
    <x v="497"/>
    <x v="238"/>
    <x v="16"/>
    <x v="255"/>
    <x v="536"/>
    <x v="30"/>
    <x v="1041"/>
    <x v="291"/>
    <x v="50"/>
    <x v="749"/>
    <x v="881"/>
    <x v="1081"/>
    <x v="1078"/>
    <x v="1057"/>
    <x v="0"/>
    <x v="1073"/>
    <x v="1081"/>
    <x v="120"/>
    <x v="0"/>
    <x v="0"/>
    <x v="0"/>
    <x v="116"/>
    <x v="12"/>
    <x v="449"/>
    <x v="13"/>
    <x v="1"/>
    <x v="1"/>
    <x v="0"/>
    <x v="1090"/>
  </r>
  <r>
    <x v="0"/>
    <x v="498"/>
    <x v="111"/>
    <x v="43"/>
    <x v="59"/>
    <x v="305"/>
    <x v="247"/>
    <x v="1042"/>
    <x v="306"/>
    <x v="452"/>
    <x v="750"/>
    <x v="882"/>
    <x v="1082"/>
    <x v="1079"/>
    <x v="1058"/>
    <x v="0"/>
    <x v="1074"/>
    <x v="1082"/>
    <x v="662"/>
    <x v="0"/>
    <x v="0"/>
    <x v="4"/>
    <x v="91"/>
    <x v="19"/>
    <x v="450"/>
    <x v="12"/>
    <x v="1"/>
    <x v="1"/>
    <x v="0"/>
    <x v="1091"/>
  </r>
  <r>
    <x v="0"/>
    <x v="499"/>
    <x v="323"/>
    <x v="71"/>
    <x v="255"/>
    <x v="557"/>
    <x v="35"/>
    <x v="1043"/>
    <x v="398"/>
    <x v="176"/>
    <x v="751"/>
    <x v="883"/>
    <x v="1083"/>
    <x v="1080"/>
    <x v="1059"/>
    <x v="0"/>
    <x v="1075"/>
    <x v="1083"/>
    <x v="484"/>
    <x v="0"/>
    <x v="0"/>
    <x v="0"/>
    <x v="91"/>
    <x v="13"/>
    <x v="451"/>
    <x v="51"/>
    <x v="1"/>
    <x v="1"/>
    <x v="0"/>
    <x v="1092"/>
  </r>
  <r>
    <x v="0"/>
    <x v="354"/>
    <x v="297"/>
    <x v="86"/>
    <x v="174"/>
    <x v="24"/>
    <x v="79"/>
    <x v="1044"/>
    <x v="399"/>
    <x v="453"/>
    <x v="752"/>
    <x v="884"/>
    <x v="1084"/>
    <x v="1081"/>
    <x v="1060"/>
    <x v="7"/>
    <x v="1076"/>
    <x v="1084"/>
    <x v="449"/>
    <x v="0"/>
    <x v="0"/>
    <x v="0"/>
    <x v="91"/>
    <x v="21"/>
    <x v="159"/>
    <x v="23"/>
    <x v="1"/>
    <x v="1"/>
    <x v="0"/>
    <x v="1093"/>
  </r>
  <r>
    <x v="0"/>
    <x v="482"/>
    <x v="82"/>
    <x v="74"/>
    <x v="248"/>
    <x v="558"/>
    <x v="21"/>
    <x v="1045"/>
    <x v="105"/>
    <x v="298"/>
    <x v="101"/>
    <x v="885"/>
    <x v="1085"/>
    <x v="1082"/>
    <x v="1061"/>
    <x v="12"/>
    <x v="1077"/>
    <x v="1085"/>
    <x v="663"/>
    <x v="0"/>
    <x v="1"/>
    <x v="4"/>
    <x v="91"/>
    <x v="17"/>
    <x v="20"/>
    <x v="16"/>
    <x v="1"/>
    <x v="76"/>
    <x v="0"/>
    <x v="1094"/>
  </r>
  <r>
    <x v="0"/>
    <x v="29"/>
    <x v="338"/>
    <x v="54"/>
    <x v="21"/>
    <x v="1"/>
    <x v="11"/>
    <x v="1046"/>
    <x v="21"/>
    <x v="11"/>
    <x v="753"/>
    <x v="886"/>
    <x v="1086"/>
    <x v="1083"/>
    <x v="1062"/>
    <x v="0"/>
    <x v="1078"/>
    <x v="1086"/>
    <x v="664"/>
    <x v="0"/>
    <x v="0"/>
    <x v="3"/>
    <x v="40"/>
    <x v="20"/>
    <x v="30"/>
    <x v="13"/>
    <x v="1"/>
    <x v="1"/>
    <x v="0"/>
    <x v="1095"/>
  </r>
  <r>
    <x v="0"/>
    <x v="242"/>
    <x v="132"/>
    <x v="40"/>
    <x v="163"/>
    <x v="36"/>
    <x v="1"/>
    <x v="1047"/>
    <x v="236"/>
    <x v="1"/>
    <x v="88"/>
    <x v="887"/>
    <x v="1087"/>
    <x v="1084"/>
    <x v="1063"/>
    <x v="1"/>
    <x v="1079"/>
    <x v="1087"/>
    <x v="665"/>
    <x v="0"/>
    <x v="0"/>
    <x v="4"/>
    <x v="82"/>
    <x v="18"/>
    <x v="30"/>
    <x v="2"/>
    <x v="1"/>
    <x v="1"/>
    <x v="0"/>
    <x v="1096"/>
  </r>
  <r>
    <x v="0"/>
    <x v="499"/>
    <x v="428"/>
    <x v="47"/>
    <x v="255"/>
    <x v="280"/>
    <x v="57"/>
    <x v="1048"/>
    <x v="400"/>
    <x v="237"/>
    <x v="754"/>
    <x v="888"/>
    <x v="1088"/>
    <x v="1085"/>
    <x v="1064"/>
    <x v="4"/>
    <x v="1080"/>
    <x v="1088"/>
    <x v="392"/>
    <x v="0"/>
    <x v="19"/>
    <x v="4"/>
    <x v="91"/>
    <x v="24"/>
    <x v="452"/>
    <x v="28"/>
    <x v="3"/>
    <x v="1"/>
    <x v="0"/>
    <x v="1097"/>
  </r>
  <r>
    <x v="0"/>
    <x v="282"/>
    <x v="422"/>
    <x v="24"/>
    <x v="186"/>
    <x v="27"/>
    <x v="63"/>
    <x v="1049"/>
    <x v="334"/>
    <x v="107"/>
    <x v="432"/>
    <x v="499"/>
    <x v="1089"/>
    <x v="1086"/>
    <x v="1065"/>
    <x v="0"/>
    <x v="1081"/>
    <x v="1089"/>
    <x v="546"/>
    <x v="0"/>
    <x v="0"/>
    <x v="4"/>
    <x v="91"/>
    <x v="25"/>
    <x v="291"/>
    <x v="22"/>
    <x v="1"/>
    <x v="103"/>
    <x v="0"/>
    <x v="1098"/>
  </r>
  <r>
    <x v="0"/>
    <x v="500"/>
    <x v="385"/>
    <x v="70"/>
    <x v="78"/>
    <x v="363"/>
    <x v="18"/>
    <x v="4"/>
    <x v="238"/>
    <x v="454"/>
    <x v="755"/>
    <x v="889"/>
    <x v="1090"/>
    <x v="1087"/>
    <x v="1066"/>
    <x v="0"/>
    <x v="1082"/>
    <x v="1090"/>
    <x v="666"/>
    <x v="0"/>
    <x v="0"/>
    <x v="10"/>
    <x v="139"/>
    <x v="38"/>
    <x v="453"/>
    <x v="13"/>
    <x v="3"/>
    <x v="1"/>
    <x v="0"/>
    <x v="1099"/>
  </r>
  <r>
    <x v="0"/>
    <x v="401"/>
    <x v="160"/>
    <x v="54"/>
    <x v="38"/>
    <x v="23"/>
    <x v="21"/>
    <x v="1050"/>
    <x v="401"/>
    <x v="162"/>
    <x v="229"/>
    <x v="245"/>
    <x v="1091"/>
    <x v="1088"/>
    <x v="1067"/>
    <x v="1"/>
    <x v="1083"/>
    <x v="1091"/>
    <x v="173"/>
    <x v="0"/>
    <x v="0"/>
    <x v="2"/>
    <x v="91"/>
    <x v="12"/>
    <x v="135"/>
    <x v="23"/>
    <x v="1"/>
    <x v="217"/>
    <x v="0"/>
    <x v="1100"/>
  </r>
  <r>
    <x v="0"/>
    <x v="501"/>
    <x v="109"/>
    <x v="56"/>
    <x v="19"/>
    <x v="512"/>
    <x v="2"/>
    <x v="1051"/>
    <x v="145"/>
    <x v="336"/>
    <x v="756"/>
    <x v="769"/>
    <x v="1092"/>
    <x v="1089"/>
    <x v="1068"/>
    <x v="0"/>
    <x v="1084"/>
    <x v="1092"/>
    <x v="667"/>
    <x v="0"/>
    <x v="0"/>
    <x v="2"/>
    <x v="95"/>
    <x v="12"/>
    <x v="12"/>
    <x v="2"/>
    <x v="1"/>
    <x v="7"/>
    <x v="0"/>
    <x v="1101"/>
  </r>
  <r>
    <x v="0"/>
    <x v="502"/>
    <x v="349"/>
    <x v="41"/>
    <x v="47"/>
    <x v="559"/>
    <x v="0"/>
    <x v="1052"/>
    <x v="204"/>
    <x v="455"/>
    <x v="757"/>
    <x v="890"/>
    <x v="1093"/>
    <x v="1090"/>
    <x v="1069"/>
    <x v="1"/>
    <x v="1085"/>
    <x v="1093"/>
    <x v="552"/>
    <x v="0"/>
    <x v="0"/>
    <x v="2"/>
    <x v="140"/>
    <x v="14"/>
    <x v="454"/>
    <x v="44"/>
    <x v="1"/>
    <x v="141"/>
    <x v="0"/>
    <x v="1102"/>
  </r>
  <r>
    <x v="0"/>
    <x v="503"/>
    <x v="405"/>
    <x v="50"/>
    <x v="256"/>
    <x v="290"/>
    <x v="21"/>
    <x v="1053"/>
    <x v="179"/>
    <x v="174"/>
    <x v="758"/>
    <x v="891"/>
    <x v="1094"/>
    <x v="1091"/>
    <x v="1070"/>
    <x v="1"/>
    <x v="1086"/>
    <x v="1094"/>
    <x v="217"/>
    <x v="0"/>
    <x v="10"/>
    <x v="4"/>
    <x v="91"/>
    <x v="1"/>
    <x v="455"/>
    <x v="22"/>
    <x v="1"/>
    <x v="1"/>
    <x v="0"/>
    <x v="1103"/>
  </r>
  <r>
    <x v="0"/>
    <x v="158"/>
    <x v="247"/>
    <x v="85"/>
    <x v="115"/>
    <x v="560"/>
    <x v="104"/>
    <x v="1054"/>
    <x v="127"/>
    <x v="195"/>
    <x v="288"/>
    <x v="892"/>
    <x v="1095"/>
    <x v="1092"/>
    <x v="1071"/>
    <x v="0"/>
    <x v="1087"/>
    <x v="1095"/>
    <x v="335"/>
    <x v="0"/>
    <x v="0"/>
    <x v="0"/>
    <x v="88"/>
    <x v="11"/>
    <x v="6"/>
    <x v="12"/>
    <x v="3"/>
    <x v="85"/>
    <x v="0"/>
    <x v="1104"/>
  </r>
  <r>
    <x v="0"/>
    <x v="402"/>
    <x v="414"/>
    <x v="52"/>
    <x v="226"/>
    <x v="561"/>
    <x v="0"/>
    <x v="1055"/>
    <x v="371"/>
    <x v="285"/>
    <x v="526"/>
    <x v="893"/>
    <x v="1096"/>
    <x v="1093"/>
    <x v="1072"/>
    <x v="1"/>
    <x v="1088"/>
    <x v="1096"/>
    <x v="392"/>
    <x v="0"/>
    <x v="0"/>
    <x v="0"/>
    <x v="91"/>
    <x v="7"/>
    <x v="344"/>
    <x v="21"/>
    <x v="1"/>
    <x v="1"/>
    <x v="0"/>
    <x v="1105"/>
  </r>
  <r>
    <x v="0"/>
    <x v="424"/>
    <x v="372"/>
    <x v="70"/>
    <x v="231"/>
    <x v="519"/>
    <x v="2"/>
    <x v="1056"/>
    <x v="263"/>
    <x v="209"/>
    <x v="759"/>
    <x v="894"/>
    <x v="1097"/>
    <x v="1094"/>
    <x v="1073"/>
    <x v="1"/>
    <x v="1089"/>
    <x v="1097"/>
    <x v="212"/>
    <x v="0"/>
    <x v="0"/>
    <x v="0"/>
    <x v="91"/>
    <x v="24"/>
    <x v="456"/>
    <x v="22"/>
    <x v="1"/>
    <x v="1"/>
    <x v="0"/>
    <x v="1106"/>
  </r>
  <r>
    <x v="0"/>
    <x v="189"/>
    <x v="429"/>
    <x v="45"/>
    <x v="0"/>
    <x v="408"/>
    <x v="0"/>
    <x v="1057"/>
    <x v="402"/>
    <x v="250"/>
    <x v="760"/>
    <x v="591"/>
    <x v="1098"/>
    <x v="1095"/>
    <x v="1074"/>
    <x v="1"/>
    <x v="1090"/>
    <x v="1098"/>
    <x v="637"/>
    <x v="0"/>
    <x v="0"/>
    <x v="2"/>
    <x v="91"/>
    <x v="16"/>
    <x v="282"/>
    <x v="18"/>
    <x v="3"/>
    <x v="1"/>
    <x v="0"/>
    <x v="1107"/>
  </r>
  <r>
    <x v="1"/>
    <x v="78"/>
    <x v="124"/>
    <x v="8"/>
    <x v="0"/>
    <x v="562"/>
    <x v="248"/>
    <x v="1058"/>
    <x v="168"/>
    <x v="456"/>
    <x v="761"/>
    <x v="895"/>
    <x v="1099"/>
    <x v="1096"/>
    <x v="1075"/>
    <x v="2"/>
    <x v="1091"/>
    <x v="1099"/>
    <x v="286"/>
    <x v="0"/>
    <x v="0"/>
    <x v="4"/>
    <x v="91"/>
    <x v="3"/>
    <x v="457"/>
    <x v="12"/>
    <x v="1"/>
    <x v="82"/>
    <x v="0"/>
    <x v="1108"/>
  </r>
  <r>
    <x v="0"/>
    <x v="504"/>
    <x v="238"/>
    <x v="50"/>
    <x v="101"/>
    <x v="563"/>
    <x v="249"/>
    <x v="1059"/>
    <x v="23"/>
    <x v="457"/>
    <x v="762"/>
    <x v="896"/>
    <x v="1100"/>
    <x v="1097"/>
    <x v="1076"/>
    <x v="1"/>
    <x v="1092"/>
    <x v="1100"/>
    <x v="668"/>
    <x v="0"/>
    <x v="0"/>
    <x v="0"/>
    <x v="131"/>
    <x v="14"/>
    <x v="14"/>
    <x v="12"/>
    <x v="1"/>
    <x v="43"/>
    <x v="0"/>
    <x v="1109"/>
  </r>
  <r>
    <x v="0"/>
    <x v="505"/>
    <x v="270"/>
    <x v="101"/>
    <x v="195"/>
    <x v="564"/>
    <x v="250"/>
    <x v="1060"/>
    <x v="121"/>
    <x v="458"/>
    <x v="763"/>
    <x v="897"/>
    <x v="1101"/>
    <x v="1098"/>
    <x v="1077"/>
    <x v="1"/>
    <x v="1093"/>
    <x v="1101"/>
    <x v="269"/>
    <x v="0"/>
    <x v="1"/>
    <x v="2"/>
    <x v="82"/>
    <x v="17"/>
    <x v="458"/>
    <x v="9"/>
    <x v="3"/>
    <x v="43"/>
    <x v="0"/>
    <x v="1110"/>
  </r>
  <r>
    <x v="0"/>
    <x v="506"/>
    <x v="353"/>
    <x v="76"/>
    <x v="193"/>
    <x v="141"/>
    <x v="25"/>
    <x v="1061"/>
    <x v="21"/>
    <x v="76"/>
    <x v="608"/>
    <x v="898"/>
    <x v="1102"/>
    <x v="1099"/>
    <x v="1078"/>
    <x v="1"/>
    <x v="1094"/>
    <x v="1102"/>
    <x v="640"/>
    <x v="0"/>
    <x v="0"/>
    <x v="2"/>
    <x v="95"/>
    <x v="7"/>
    <x v="6"/>
    <x v="18"/>
    <x v="3"/>
    <x v="218"/>
    <x v="0"/>
    <x v="1111"/>
  </r>
  <r>
    <x v="0"/>
    <x v="507"/>
    <x v="235"/>
    <x v="114"/>
    <x v="0"/>
    <x v="184"/>
    <x v="251"/>
    <x v="1062"/>
    <x v="5"/>
    <x v="459"/>
    <x v="764"/>
    <x v="899"/>
    <x v="1103"/>
    <x v="1100"/>
    <x v="1079"/>
    <x v="3"/>
    <x v="1095"/>
    <x v="1103"/>
    <x v="544"/>
    <x v="0"/>
    <x v="0"/>
    <x v="0"/>
    <x v="88"/>
    <x v="31"/>
    <x v="459"/>
    <x v="4"/>
    <x v="1"/>
    <x v="59"/>
    <x v="0"/>
    <x v="1112"/>
  </r>
  <r>
    <x v="0"/>
    <x v="508"/>
    <x v="150"/>
    <x v="82"/>
    <x v="152"/>
    <x v="203"/>
    <x v="15"/>
    <x v="1063"/>
    <x v="403"/>
    <x v="460"/>
    <x v="765"/>
    <x v="900"/>
    <x v="1104"/>
    <x v="1101"/>
    <x v="1080"/>
    <x v="0"/>
    <x v="1096"/>
    <x v="1104"/>
    <x v="279"/>
    <x v="0"/>
    <x v="0"/>
    <x v="0"/>
    <x v="91"/>
    <x v="1"/>
    <x v="198"/>
    <x v="38"/>
    <x v="1"/>
    <x v="57"/>
    <x v="0"/>
    <x v="1113"/>
  </r>
  <r>
    <x v="0"/>
    <x v="2"/>
    <x v="108"/>
    <x v="73"/>
    <x v="0"/>
    <x v="9"/>
    <x v="19"/>
    <x v="1064"/>
    <x v="17"/>
    <x v="20"/>
    <x v="23"/>
    <x v="901"/>
    <x v="1105"/>
    <x v="1102"/>
    <x v="1081"/>
    <x v="0"/>
    <x v="1097"/>
    <x v="1105"/>
    <x v="215"/>
    <x v="0"/>
    <x v="0"/>
    <x v="4"/>
    <x v="82"/>
    <x v="8"/>
    <x v="20"/>
    <x v="11"/>
    <x v="1"/>
    <x v="1"/>
    <x v="0"/>
    <x v="1114"/>
  </r>
  <r>
    <x v="0"/>
    <x v="105"/>
    <x v="253"/>
    <x v="58"/>
    <x v="83"/>
    <x v="537"/>
    <x v="57"/>
    <x v="1065"/>
    <x v="28"/>
    <x v="99"/>
    <x v="766"/>
    <x v="902"/>
    <x v="1106"/>
    <x v="1103"/>
    <x v="1082"/>
    <x v="4"/>
    <x v="1098"/>
    <x v="1106"/>
    <x v="669"/>
    <x v="0"/>
    <x v="8"/>
    <x v="0"/>
    <x v="89"/>
    <x v="7"/>
    <x v="140"/>
    <x v="4"/>
    <x v="1"/>
    <x v="1"/>
    <x v="0"/>
    <x v="1115"/>
  </r>
  <r>
    <x v="0"/>
    <x v="509"/>
    <x v="328"/>
    <x v="59"/>
    <x v="257"/>
    <x v="565"/>
    <x v="21"/>
    <x v="1066"/>
    <x v="18"/>
    <x v="127"/>
    <x v="767"/>
    <x v="903"/>
    <x v="1107"/>
    <x v="1104"/>
    <x v="1083"/>
    <x v="0"/>
    <x v="1099"/>
    <x v="1107"/>
    <x v="178"/>
    <x v="0"/>
    <x v="10"/>
    <x v="0"/>
    <x v="80"/>
    <x v="8"/>
    <x v="431"/>
    <x v="23"/>
    <x v="1"/>
    <x v="1"/>
    <x v="0"/>
    <x v="1116"/>
  </r>
  <r>
    <x v="0"/>
    <x v="510"/>
    <x v="347"/>
    <x v="43"/>
    <x v="195"/>
    <x v="109"/>
    <x v="35"/>
    <x v="1067"/>
    <x v="281"/>
    <x v="461"/>
    <x v="768"/>
    <x v="904"/>
    <x v="1108"/>
    <x v="1105"/>
    <x v="1084"/>
    <x v="1"/>
    <x v="1100"/>
    <x v="1108"/>
    <x v="670"/>
    <x v="0"/>
    <x v="0"/>
    <x v="4"/>
    <x v="91"/>
    <x v="25"/>
    <x v="460"/>
    <x v="43"/>
    <x v="3"/>
    <x v="219"/>
    <x v="0"/>
    <x v="1117"/>
  </r>
  <r>
    <x v="0"/>
    <x v="370"/>
    <x v="425"/>
    <x v="85"/>
    <x v="201"/>
    <x v="428"/>
    <x v="252"/>
    <x v="1068"/>
    <x v="194"/>
    <x v="462"/>
    <x v="769"/>
    <x v="905"/>
    <x v="1109"/>
    <x v="1106"/>
    <x v="1085"/>
    <x v="0"/>
    <x v="1101"/>
    <x v="1109"/>
    <x v="671"/>
    <x v="0"/>
    <x v="0"/>
    <x v="0"/>
    <x v="91"/>
    <x v="25"/>
    <x v="461"/>
    <x v="19"/>
    <x v="1"/>
    <x v="1"/>
    <x v="0"/>
    <x v="1118"/>
  </r>
  <r>
    <x v="0"/>
    <x v="511"/>
    <x v="249"/>
    <x v="107"/>
    <x v="89"/>
    <x v="327"/>
    <x v="0"/>
    <x v="1069"/>
    <x v="404"/>
    <x v="463"/>
    <x v="770"/>
    <x v="441"/>
    <x v="1110"/>
    <x v="1107"/>
    <x v="1086"/>
    <x v="3"/>
    <x v="1102"/>
    <x v="1110"/>
    <x v="650"/>
    <x v="0"/>
    <x v="0"/>
    <x v="2"/>
    <x v="91"/>
    <x v="0"/>
    <x v="122"/>
    <x v="28"/>
    <x v="3"/>
    <x v="220"/>
    <x v="0"/>
    <x v="1119"/>
  </r>
  <r>
    <x v="0"/>
    <x v="512"/>
    <x v="322"/>
    <x v="23"/>
    <x v="0"/>
    <x v="566"/>
    <x v="253"/>
    <x v="1070"/>
    <x v="171"/>
    <x v="464"/>
    <x v="771"/>
    <x v="906"/>
    <x v="1111"/>
    <x v="1108"/>
    <x v="1087"/>
    <x v="0"/>
    <x v="1103"/>
    <x v="1111"/>
    <x v="672"/>
    <x v="0"/>
    <x v="0"/>
    <x v="4"/>
    <x v="91"/>
    <x v="18"/>
    <x v="462"/>
    <x v="2"/>
    <x v="1"/>
    <x v="1"/>
    <x v="0"/>
    <x v="1120"/>
  </r>
  <r>
    <x v="0"/>
    <x v="513"/>
    <x v="188"/>
    <x v="90"/>
    <x v="47"/>
    <x v="10"/>
    <x v="2"/>
    <x v="1071"/>
    <x v="405"/>
    <x v="172"/>
    <x v="229"/>
    <x v="907"/>
    <x v="1112"/>
    <x v="1109"/>
    <x v="1088"/>
    <x v="3"/>
    <x v="1104"/>
    <x v="1112"/>
    <x v="673"/>
    <x v="0"/>
    <x v="0"/>
    <x v="0"/>
    <x v="91"/>
    <x v="12"/>
    <x v="135"/>
    <x v="21"/>
    <x v="1"/>
    <x v="1"/>
    <x v="0"/>
    <x v="1121"/>
  </r>
  <r>
    <x v="0"/>
    <x v="232"/>
    <x v="135"/>
    <x v="54"/>
    <x v="47"/>
    <x v="280"/>
    <x v="118"/>
    <x v="411"/>
    <x v="46"/>
    <x v="222"/>
    <x v="324"/>
    <x v="366"/>
    <x v="422"/>
    <x v="1110"/>
    <x v="416"/>
    <x v="0"/>
    <x v="418"/>
    <x v="422"/>
    <x v="374"/>
    <x v="0"/>
    <x v="1"/>
    <x v="4"/>
    <x v="82"/>
    <x v="3"/>
    <x v="126"/>
    <x v="1"/>
    <x v="1"/>
    <x v="34"/>
    <x v="0"/>
    <x v="1122"/>
  </r>
  <r>
    <x v="0"/>
    <x v="514"/>
    <x v="370"/>
    <x v="7"/>
    <x v="80"/>
    <x v="421"/>
    <x v="0"/>
    <x v="1072"/>
    <x v="190"/>
    <x v="154"/>
    <x v="772"/>
    <x v="908"/>
    <x v="1113"/>
    <x v="1111"/>
    <x v="1084"/>
    <x v="0"/>
    <x v="1105"/>
    <x v="1113"/>
    <x v="627"/>
    <x v="0"/>
    <x v="5"/>
    <x v="2"/>
    <x v="91"/>
    <x v="25"/>
    <x v="237"/>
    <x v="41"/>
    <x v="1"/>
    <x v="1"/>
    <x v="0"/>
    <x v="1123"/>
  </r>
  <r>
    <x v="0"/>
    <x v="515"/>
    <x v="69"/>
    <x v="129"/>
    <x v="0"/>
    <x v="268"/>
    <x v="57"/>
    <x v="1073"/>
    <x v="304"/>
    <x v="109"/>
    <x v="773"/>
    <x v="347"/>
    <x v="1114"/>
    <x v="1112"/>
    <x v="1089"/>
    <x v="4"/>
    <x v="1106"/>
    <x v="1114"/>
    <x v="562"/>
    <x v="0"/>
    <x v="0"/>
    <x v="0"/>
    <x v="120"/>
    <x v="21"/>
    <x v="292"/>
    <x v="27"/>
    <x v="1"/>
    <x v="221"/>
    <x v="0"/>
    <x v="1124"/>
  </r>
  <r>
    <x v="1"/>
    <x v="78"/>
    <x v="383"/>
    <x v="120"/>
    <x v="0"/>
    <x v="296"/>
    <x v="25"/>
    <x v="1074"/>
    <x v="406"/>
    <x v="82"/>
    <x v="724"/>
    <x v="390"/>
    <x v="1115"/>
    <x v="1113"/>
    <x v="1090"/>
    <x v="0"/>
    <x v="1107"/>
    <x v="1115"/>
    <x v="290"/>
    <x v="0"/>
    <x v="0"/>
    <x v="4"/>
    <x v="95"/>
    <x v="16"/>
    <x v="1"/>
    <x v="1"/>
    <x v="1"/>
    <x v="202"/>
    <x v="0"/>
    <x v="1125"/>
  </r>
  <r>
    <x v="0"/>
    <x v="335"/>
    <x v="22"/>
    <x v="57"/>
    <x v="67"/>
    <x v="561"/>
    <x v="179"/>
    <x v="1075"/>
    <x v="60"/>
    <x v="338"/>
    <x v="774"/>
    <x v="893"/>
    <x v="1116"/>
    <x v="1114"/>
    <x v="1091"/>
    <x v="4"/>
    <x v="1108"/>
    <x v="1116"/>
    <x v="674"/>
    <x v="0"/>
    <x v="10"/>
    <x v="0"/>
    <x v="91"/>
    <x v="5"/>
    <x v="88"/>
    <x v="13"/>
    <x v="1"/>
    <x v="61"/>
    <x v="0"/>
    <x v="1126"/>
  </r>
  <r>
    <x v="0"/>
    <x v="54"/>
    <x v="257"/>
    <x v="11"/>
    <x v="39"/>
    <x v="0"/>
    <x v="22"/>
    <x v="1076"/>
    <x v="274"/>
    <x v="153"/>
    <x v="88"/>
    <x v="0"/>
    <x v="1117"/>
    <x v="1115"/>
    <x v="1092"/>
    <x v="0"/>
    <x v="1109"/>
    <x v="1117"/>
    <x v="155"/>
    <x v="0"/>
    <x v="0"/>
    <x v="4"/>
    <x v="91"/>
    <x v="20"/>
    <x v="30"/>
    <x v="19"/>
    <x v="1"/>
    <x v="1"/>
    <x v="0"/>
    <x v="1127"/>
  </r>
  <r>
    <x v="0"/>
    <x v="437"/>
    <x v="287"/>
    <x v="130"/>
    <x v="0"/>
    <x v="99"/>
    <x v="29"/>
    <x v="1077"/>
    <x v="407"/>
    <x v="58"/>
    <x v="775"/>
    <x v="909"/>
    <x v="1118"/>
    <x v="1116"/>
    <x v="1093"/>
    <x v="0"/>
    <x v="1110"/>
    <x v="1118"/>
    <x v="417"/>
    <x v="0"/>
    <x v="0"/>
    <x v="4"/>
    <x v="91"/>
    <x v="8"/>
    <x v="30"/>
    <x v="19"/>
    <x v="1"/>
    <x v="1"/>
    <x v="0"/>
    <x v="1128"/>
  </r>
  <r>
    <x v="0"/>
    <x v="187"/>
    <x v="357"/>
    <x v="37"/>
    <x v="133"/>
    <x v="567"/>
    <x v="113"/>
    <x v="1078"/>
    <x v="17"/>
    <x v="214"/>
    <x v="776"/>
    <x v="910"/>
    <x v="1119"/>
    <x v="1117"/>
    <x v="1094"/>
    <x v="4"/>
    <x v="1111"/>
    <x v="1119"/>
    <x v="453"/>
    <x v="4"/>
    <x v="9"/>
    <x v="4"/>
    <x v="91"/>
    <x v="7"/>
    <x v="394"/>
    <x v="15"/>
    <x v="1"/>
    <x v="1"/>
    <x v="0"/>
    <x v="1129"/>
  </r>
  <r>
    <x v="0"/>
    <x v="516"/>
    <x v="211"/>
    <x v="77"/>
    <x v="5"/>
    <x v="568"/>
    <x v="25"/>
    <x v="1079"/>
    <x v="23"/>
    <x v="76"/>
    <x v="777"/>
    <x v="911"/>
    <x v="1120"/>
    <x v="1118"/>
    <x v="1095"/>
    <x v="1"/>
    <x v="1112"/>
    <x v="1120"/>
    <x v="142"/>
    <x v="0"/>
    <x v="0"/>
    <x v="4"/>
    <x v="88"/>
    <x v="8"/>
    <x v="463"/>
    <x v="28"/>
    <x v="3"/>
    <x v="1"/>
    <x v="0"/>
    <x v="1130"/>
  </r>
  <r>
    <x v="0"/>
    <x v="15"/>
    <x v="314"/>
    <x v="112"/>
    <x v="10"/>
    <x v="569"/>
    <x v="2"/>
    <x v="1080"/>
    <x v="408"/>
    <x v="336"/>
    <x v="387"/>
    <x v="912"/>
    <x v="1121"/>
    <x v="1119"/>
    <x v="1096"/>
    <x v="4"/>
    <x v="1113"/>
    <x v="1121"/>
    <x v="139"/>
    <x v="0"/>
    <x v="0"/>
    <x v="0"/>
    <x v="88"/>
    <x v="19"/>
    <x v="30"/>
    <x v="12"/>
    <x v="3"/>
    <x v="151"/>
    <x v="0"/>
    <x v="1131"/>
  </r>
  <r>
    <x v="0"/>
    <x v="36"/>
    <x v="389"/>
    <x v="106"/>
    <x v="26"/>
    <x v="570"/>
    <x v="254"/>
    <x v="1081"/>
    <x v="17"/>
    <x v="465"/>
    <x v="778"/>
    <x v="913"/>
    <x v="1122"/>
    <x v="1120"/>
    <x v="1097"/>
    <x v="0"/>
    <x v="1114"/>
    <x v="1122"/>
    <x v="231"/>
    <x v="0"/>
    <x v="0"/>
    <x v="4"/>
    <x v="91"/>
    <x v="1"/>
    <x v="464"/>
    <x v="21"/>
    <x v="1"/>
    <x v="1"/>
    <x v="0"/>
    <x v="1132"/>
  </r>
  <r>
    <x v="0"/>
    <x v="113"/>
    <x v="430"/>
    <x v="131"/>
    <x v="88"/>
    <x v="571"/>
    <x v="255"/>
    <x v="4"/>
    <x v="409"/>
    <x v="466"/>
    <x v="779"/>
    <x v="914"/>
    <x v="1123"/>
    <x v="1121"/>
    <x v="1098"/>
    <x v="12"/>
    <x v="1115"/>
    <x v="1123"/>
    <x v="637"/>
    <x v="3"/>
    <x v="10"/>
    <x v="7"/>
    <x v="4"/>
    <x v="4"/>
    <x v="465"/>
    <x v="24"/>
    <x v="12"/>
    <x v="16"/>
    <x v="0"/>
    <x v="1133"/>
  </r>
  <r>
    <x v="0"/>
    <x v="517"/>
    <x v="431"/>
    <x v="33"/>
    <x v="258"/>
    <x v="308"/>
    <x v="256"/>
    <x v="1082"/>
    <x v="3"/>
    <x v="467"/>
    <x v="738"/>
    <x v="406"/>
    <x v="1124"/>
    <x v="1122"/>
    <x v="1099"/>
    <x v="4"/>
    <x v="1116"/>
    <x v="1124"/>
    <x v="540"/>
    <x v="0"/>
    <x v="0"/>
    <x v="4"/>
    <x v="91"/>
    <x v="13"/>
    <x v="443"/>
    <x v="41"/>
    <x v="1"/>
    <x v="222"/>
    <x v="0"/>
    <x v="1134"/>
  </r>
  <r>
    <x v="0"/>
    <x v="518"/>
    <x v="194"/>
    <x v="59"/>
    <x v="211"/>
    <x v="342"/>
    <x v="257"/>
    <x v="1083"/>
    <x v="100"/>
    <x v="468"/>
    <x v="780"/>
    <x v="915"/>
    <x v="1125"/>
    <x v="1123"/>
    <x v="1100"/>
    <x v="1"/>
    <x v="1117"/>
    <x v="1125"/>
    <x v="593"/>
    <x v="0"/>
    <x v="0"/>
    <x v="2"/>
    <x v="91"/>
    <x v="10"/>
    <x v="466"/>
    <x v="22"/>
    <x v="1"/>
    <x v="16"/>
    <x v="0"/>
    <x v="1135"/>
  </r>
  <r>
    <x v="0"/>
    <x v="519"/>
    <x v="329"/>
    <x v="43"/>
    <x v="31"/>
    <x v="572"/>
    <x v="136"/>
    <x v="4"/>
    <x v="410"/>
    <x v="254"/>
    <x v="781"/>
    <x v="916"/>
    <x v="1126"/>
    <x v="1124"/>
    <x v="745"/>
    <x v="0"/>
    <x v="1118"/>
    <x v="1126"/>
    <x v="421"/>
    <x v="0"/>
    <x v="0"/>
    <x v="2"/>
    <x v="48"/>
    <x v="3"/>
    <x v="467"/>
    <x v="60"/>
    <x v="2"/>
    <x v="1"/>
    <x v="0"/>
    <x v="1136"/>
  </r>
  <r>
    <x v="0"/>
    <x v="520"/>
    <x v="432"/>
    <x v="29"/>
    <x v="0"/>
    <x v="473"/>
    <x v="0"/>
    <x v="1084"/>
    <x v="411"/>
    <x v="469"/>
    <x v="782"/>
    <x v="697"/>
    <x v="1127"/>
    <x v="1125"/>
    <x v="274"/>
    <x v="1"/>
    <x v="1119"/>
    <x v="1127"/>
    <x v="232"/>
    <x v="0"/>
    <x v="0"/>
    <x v="4"/>
    <x v="141"/>
    <x v="3"/>
    <x v="211"/>
    <x v="16"/>
    <x v="1"/>
    <x v="47"/>
    <x v="0"/>
    <x v="1137"/>
  </r>
  <r>
    <x v="0"/>
    <x v="226"/>
    <x v="323"/>
    <x v="29"/>
    <x v="154"/>
    <x v="157"/>
    <x v="2"/>
    <x v="1085"/>
    <x v="412"/>
    <x v="42"/>
    <x v="783"/>
    <x v="193"/>
    <x v="1128"/>
    <x v="1126"/>
    <x v="1101"/>
    <x v="1"/>
    <x v="1120"/>
    <x v="1128"/>
    <x v="354"/>
    <x v="0"/>
    <x v="0"/>
    <x v="0"/>
    <x v="87"/>
    <x v="27"/>
    <x v="30"/>
    <x v="6"/>
    <x v="3"/>
    <x v="1"/>
    <x v="0"/>
    <x v="1138"/>
  </r>
  <r>
    <x v="0"/>
    <x v="279"/>
    <x v="331"/>
    <x v="47"/>
    <x v="183"/>
    <x v="573"/>
    <x v="11"/>
    <x v="1086"/>
    <x v="106"/>
    <x v="69"/>
    <x v="357"/>
    <x v="917"/>
    <x v="1129"/>
    <x v="1127"/>
    <x v="1102"/>
    <x v="1"/>
    <x v="1121"/>
    <x v="1129"/>
    <x v="675"/>
    <x v="0"/>
    <x v="0"/>
    <x v="0"/>
    <x v="88"/>
    <x v="5"/>
    <x v="30"/>
    <x v="34"/>
    <x v="1"/>
    <x v="1"/>
    <x v="0"/>
    <x v="1139"/>
  </r>
  <r>
    <x v="1"/>
    <x v="277"/>
    <x v="345"/>
    <x v="21"/>
    <x v="181"/>
    <x v="574"/>
    <x v="13"/>
    <x v="1087"/>
    <x v="168"/>
    <x v="158"/>
    <x v="40"/>
    <x v="918"/>
    <x v="1130"/>
    <x v="1128"/>
    <x v="1103"/>
    <x v="3"/>
    <x v="1122"/>
    <x v="1130"/>
    <x v="545"/>
    <x v="0"/>
    <x v="0"/>
    <x v="4"/>
    <x v="87"/>
    <x v="25"/>
    <x v="6"/>
    <x v="7"/>
    <x v="1"/>
    <x v="1"/>
    <x v="0"/>
    <x v="1140"/>
  </r>
  <r>
    <x v="0"/>
    <x v="517"/>
    <x v="368"/>
    <x v="45"/>
    <x v="258"/>
    <x v="405"/>
    <x v="57"/>
    <x v="1088"/>
    <x v="333"/>
    <x v="237"/>
    <x v="784"/>
    <x v="919"/>
    <x v="1131"/>
    <x v="1129"/>
    <x v="1104"/>
    <x v="0"/>
    <x v="1123"/>
    <x v="1131"/>
    <x v="287"/>
    <x v="0"/>
    <x v="0"/>
    <x v="4"/>
    <x v="87"/>
    <x v="39"/>
    <x v="468"/>
    <x v="21"/>
    <x v="1"/>
    <x v="1"/>
    <x v="0"/>
    <x v="1141"/>
  </r>
  <r>
    <x v="0"/>
    <x v="521"/>
    <x v="419"/>
    <x v="34"/>
    <x v="89"/>
    <x v="575"/>
    <x v="29"/>
    <x v="1089"/>
    <x v="306"/>
    <x v="58"/>
    <x v="673"/>
    <x v="920"/>
    <x v="1132"/>
    <x v="1130"/>
    <x v="1105"/>
    <x v="1"/>
    <x v="1124"/>
    <x v="1132"/>
    <x v="496"/>
    <x v="0"/>
    <x v="0"/>
    <x v="4"/>
    <x v="87"/>
    <x v="25"/>
    <x v="12"/>
    <x v="23"/>
    <x v="1"/>
    <x v="223"/>
    <x v="0"/>
    <x v="1142"/>
  </r>
  <r>
    <x v="0"/>
    <x v="522"/>
    <x v="353"/>
    <x v="76"/>
    <x v="221"/>
    <x v="183"/>
    <x v="0"/>
    <x v="1090"/>
    <x v="413"/>
    <x v="470"/>
    <x v="785"/>
    <x v="921"/>
    <x v="1133"/>
    <x v="1131"/>
    <x v="1106"/>
    <x v="0"/>
    <x v="1125"/>
    <x v="1133"/>
    <x v="568"/>
    <x v="0"/>
    <x v="0"/>
    <x v="11"/>
    <x v="142"/>
    <x v="40"/>
    <x v="248"/>
    <x v="7"/>
    <x v="15"/>
    <x v="1"/>
    <x v="0"/>
    <x v="1143"/>
  </r>
  <r>
    <x v="0"/>
    <x v="523"/>
    <x v="182"/>
    <x v="132"/>
    <x v="259"/>
    <x v="576"/>
    <x v="25"/>
    <x v="1091"/>
    <x v="414"/>
    <x v="30"/>
    <x v="786"/>
    <x v="922"/>
    <x v="1134"/>
    <x v="1132"/>
    <x v="1107"/>
    <x v="0"/>
    <x v="1126"/>
    <x v="1134"/>
    <x v="483"/>
    <x v="0"/>
    <x v="0"/>
    <x v="4"/>
    <x v="87"/>
    <x v="35"/>
    <x v="469"/>
    <x v="2"/>
    <x v="1"/>
    <x v="103"/>
    <x v="0"/>
    <x v="1144"/>
  </r>
  <r>
    <x v="0"/>
    <x v="157"/>
    <x v="278"/>
    <x v="58"/>
    <x v="92"/>
    <x v="397"/>
    <x v="207"/>
    <x v="1092"/>
    <x v="20"/>
    <x v="389"/>
    <x v="419"/>
    <x v="923"/>
    <x v="1135"/>
    <x v="1133"/>
    <x v="1108"/>
    <x v="1"/>
    <x v="1127"/>
    <x v="1135"/>
    <x v="676"/>
    <x v="0"/>
    <x v="0"/>
    <x v="4"/>
    <x v="95"/>
    <x v="7"/>
    <x v="282"/>
    <x v="2"/>
    <x v="1"/>
    <x v="1"/>
    <x v="0"/>
    <x v="1145"/>
  </r>
  <r>
    <x v="0"/>
    <x v="524"/>
    <x v="171"/>
    <x v="47"/>
    <x v="249"/>
    <x v="489"/>
    <x v="2"/>
    <x v="1093"/>
    <x v="251"/>
    <x v="113"/>
    <x v="589"/>
    <x v="924"/>
    <x v="1136"/>
    <x v="1134"/>
    <x v="1109"/>
    <x v="4"/>
    <x v="1128"/>
    <x v="1136"/>
    <x v="552"/>
    <x v="0"/>
    <x v="0"/>
    <x v="0"/>
    <x v="88"/>
    <x v="2"/>
    <x v="30"/>
    <x v="19"/>
    <x v="1"/>
    <x v="59"/>
    <x v="0"/>
    <x v="1146"/>
  </r>
  <r>
    <x v="0"/>
    <x v="525"/>
    <x v="312"/>
    <x v="16"/>
    <x v="260"/>
    <x v="577"/>
    <x v="112"/>
    <x v="1094"/>
    <x v="270"/>
    <x v="213"/>
    <x v="787"/>
    <x v="925"/>
    <x v="1137"/>
    <x v="1135"/>
    <x v="1110"/>
    <x v="1"/>
    <x v="1129"/>
    <x v="1137"/>
    <x v="209"/>
    <x v="0"/>
    <x v="0"/>
    <x v="0"/>
    <x v="112"/>
    <x v="21"/>
    <x v="89"/>
    <x v="11"/>
    <x v="1"/>
    <x v="1"/>
    <x v="0"/>
    <x v="1147"/>
  </r>
  <r>
    <x v="0"/>
    <x v="292"/>
    <x v="410"/>
    <x v="33"/>
    <x v="50"/>
    <x v="410"/>
    <x v="25"/>
    <x v="1095"/>
    <x v="200"/>
    <x v="26"/>
    <x v="370"/>
    <x v="926"/>
    <x v="1138"/>
    <x v="1136"/>
    <x v="1111"/>
    <x v="1"/>
    <x v="1130"/>
    <x v="1138"/>
    <x v="357"/>
    <x v="0"/>
    <x v="0"/>
    <x v="0"/>
    <x v="112"/>
    <x v="21"/>
    <x v="10"/>
    <x v="19"/>
    <x v="15"/>
    <x v="1"/>
    <x v="0"/>
    <x v="1148"/>
  </r>
  <r>
    <x v="0"/>
    <x v="112"/>
    <x v="325"/>
    <x v="33"/>
    <x v="49"/>
    <x v="265"/>
    <x v="2"/>
    <x v="1096"/>
    <x v="28"/>
    <x v="130"/>
    <x v="711"/>
    <x v="501"/>
    <x v="1139"/>
    <x v="1137"/>
    <x v="1112"/>
    <x v="1"/>
    <x v="1131"/>
    <x v="1139"/>
    <x v="677"/>
    <x v="0"/>
    <x v="10"/>
    <x v="4"/>
    <x v="91"/>
    <x v="12"/>
    <x v="1"/>
    <x v="15"/>
    <x v="1"/>
    <x v="1"/>
    <x v="0"/>
    <x v="1149"/>
  </r>
  <r>
    <x v="0"/>
    <x v="526"/>
    <x v="414"/>
    <x v="78"/>
    <x v="106"/>
    <x v="403"/>
    <x v="258"/>
    <x v="1097"/>
    <x v="127"/>
    <x v="471"/>
    <x v="788"/>
    <x v="927"/>
    <x v="1140"/>
    <x v="1138"/>
    <x v="1113"/>
    <x v="3"/>
    <x v="1132"/>
    <x v="1140"/>
    <x v="478"/>
    <x v="0"/>
    <x v="0"/>
    <x v="4"/>
    <x v="112"/>
    <x v="19"/>
    <x v="470"/>
    <x v="37"/>
    <x v="3"/>
    <x v="1"/>
    <x v="0"/>
    <x v="1150"/>
  </r>
  <r>
    <x v="0"/>
    <x v="207"/>
    <x v="392"/>
    <x v="39"/>
    <x v="90"/>
    <x v="255"/>
    <x v="14"/>
    <x v="1098"/>
    <x v="150"/>
    <x v="56"/>
    <x v="789"/>
    <x v="928"/>
    <x v="1141"/>
    <x v="1139"/>
    <x v="1114"/>
    <x v="0"/>
    <x v="1133"/>
    <x v="1141"/>
    <x v="593"/>
    <x v="0"/>
    <x v="0"/>
    <x v="4"/>
    <x v="114"/>
    <x v="27"/>
    <x v="30"/>
    <x v="2"/>
    <x v="3"/>
    <x v="1"/>
    <x v="0"/>
    <x v="1151"/>
  </r>
  <r>
    <x v="0"/>
    <x v="527"/>
    <x v="338"/>
    <x v="77"/>
    <x v="80"/>
    <x v="250"/>
    <x v="259"/>
    <x v="1099"/>
    <x v="49"/>
    <x v="472"/>
    <x v="790"/>
    <x v="929"/>
    <x v="1142"/>
    <x v="1140"/>
    <x v="1115"/>
    <x v="1"/>
    <x v="1134"/>
    <x v="1142"/>
    <x v="678"/>
    <x v="0"/>
    <x v="0"/>
    <x v="0"/>
    <x v="87"/>
    <x v="5"/>
    <x v="41"/>
    <x v="12"/>
    <x v="1"/>
    <x v="1"/>
    <x v="0"/>
    <x v="1152"/>
  </r>
  <r>
    <x v="0"/>
    <x v="172"/>
    <x v="153"/>
    <x v="41"/>
    <x v="124"/>
    <x v="175"/>
    <x v="8"/>
    <x v="1100"/>
    <x v="23"/>
    <x v="35"/>
    <x v="132"/>
    <x v="221"/>
    <x v="1143"/>
    <x v="1141"/>
    <x v="1116"/>
    <x v="0"/>
    <x v="1135"/>
    <x v="1143"/>
    <x v="339"/>
    <x v="0"/>
    <x v="0"/>
    <x v="4"/>
    <x v="88"/>
    <x v="10"/>
    <x v="27"/>
    <x v="4"/>
    <x v="1"/>
    <x v="37"/>
    <x v="0"/>
    <x v="1153"/>
  </r>
  <r>
    <x v="0"/>
    <x v="201"/>
    <x v="9"/>
    <x v="56"/>
    <x v="142"/>
    <x v="465"/>
    <x v="30"/>
    <x v="1101"/>
    <x v="132"/>
    <x v="50"/>
    <x v="791"/>
    <x v="687"/>
    <x v="1144"/>
    <x v="1142"/>
    <x v="1117"/>
    <x v="4"/>
    <x v="1136"/>
    <x v="1144"/>
    <x v="55"/>
    <x v="0"/>
    <x v="0"/>
    <x v="4"/>
    <x v="114"/>
    <x v="3"/>
    <x v="251"/>
    <x v="13"/>
    <x v="1"/>
    <x v="36"/>
    <x v="0"/>
    <x v="1154"/>
  </r>
  <r>
    <x v="0"/>
    <x v="498"/>
    <x v="322"/>
    <x v="23"/>
    <x v="59"/>
    <x v="309"/>
    <x v="94"/>
    <x v="1102"/>
    <x v="105"/>
    <x v="218"/>
    <x v="792"/>
    <x v="930"/>
    <x v="1145"/>
    <x v="1143"/>
    <x v="1118"/>
    <x v="1"/>
    <x v="1137"/>
    <x v="1145"/>
    <x v="515"/>
    <x v="0"/>
    <x v="1"/>
    <x v="0"/>
    <x v="114"/>
    <x v="15"/>
    <x v="227"/>
    <x v="15"/>
    <x v="1"/>
    <x v="59"/>
    <x v="0"/>
    <x v="1155"/>
  </r>
  <r>
    <x v="0"/>
    <x v="412"/>
    <x v="94"/>
    <x v="95"/>
    <x v="159"/>
    <x v="445"/>
    <x v="260"/>
    <x v="1103"/>
    <x v="61"/>
    <x v="473"/>
    <x v="793"/>
    <x v="931"/>
    <x v="1146"/>
    <x v="1144"/>
    <x v="1119"/>
    <x v="0"/>
    <x v="1138"/>
    <x v="1146"/>
    <x v="583"/>
    <x v="0"/>
    <x v="1"/>
    <x v="3"/>
    <x v="91"/>
    <x v="21"/>
    <x v="445"/>
    <x v="15"/>
    <x v="3"/>
    <x v="1"/>
    <x v="0"/>
    <x v="1156"/>
  </r>
  <r>
    <x v="0"/>
    <x v="528"/>
    <x v="339"/>
    <x v="78"/>
    <x v="195"/>
    <x v="473"/>
    <x v="13"/>
    <x v="1104"/>
    <x v="127"/>
    <x v="93"/>
    <x v="794"/>
    <x v="932"/>
    <x v="1147"/>
    <x v="1145"/>
    <x v="1120"/>
    <x v="1"/>
    <x v="1139"/>
    <x v="1147"/>
    <x v="679"/>
    <x v="0"/>
    <x v="0"/>
    <x v="0"/>
    <x v="114"/>
    <x v="14"/>
    <x v="425"/>
    <x v="18"/>
    <x v="3"/>
    <x v="1"/>
    <x v="0"/>
    <x v="1157"/>
  </r>
  <r>
    <x v="0"/>
    <x v="529"/>
    <x v="152"/>
    <x v="85"/>
    <x v="233"/>
    <x v="578"/>
    <x v="253"/>
    <x v="1105"/>
    <x v="105"/>
    <x v="474"/>
    <x v="795"/>
    <x v="933"/>
    <x v="1148"/>
    <x v="1146"/>
    <x v="1121"/>
    <x v="1"/>
    <x v="1140"/>
    <x v="1148"/>
    <x v="540"/>
    <x v="0"/>
    <x v="0"/>
    <x v="4"/>
    <x v="88"/>
    <x v="29"/>
    <x v="108"/>
    <x v="28"/>
    <x v="3"/>
    <x v="1"/>
    <x v="0"/>
    <x v="1158"/>
  </r>
  <r>
    <x v="0"/>
    <x v="99"/>
    <x v="433"/>
    <x v="32"/>
    <x v="77"/>
    <x v="579"/>
    <x v="43"/>
    <x v="1106"/>
    <x v="132"/>
    <x v="311"/>
    <x v="796"/>
    <x v="934"/>
    <x v="1149"/>
    <x v="1147"/>
    <x v="1122"/>
    <x v="6"/>
    <x v="1141"/>
    <x v="1149"/>
    <x v="328"/>
    <x v="0"/>
    <x v="0"/>
    <x v="4"/>
    <x v="112"/>
    <x v="9"/>
    <x v="471"/>
    <x v="4"/>
    <x v="1"/>
    <x v="4"/>
    <x v="0"/>
    <x v="1159"/>
  </r>
  <r>
    <x v="0"/>
    <x v="530"/>
    <x v="365"/>
    <x v="133"/>
    <x v="261"/>
    <x v="53"/>
    <x v="145"/>
    <x v="1107"/>
    <x v="415"/>
    <x v="269"/>
    <x v="797"/>
    <x v="935"/>
    <x v="1150"/>
    <x v="1148"/>
    <x v="1123"/>
    <x v="4"/>
    <x v="1142"/>
    <x v="1150"/>
    <x v="620"/>
    <x v="0"/>
    <x v="1"/>
    <x v="11"/>
    <x v="143"/>
    <x v="41"/>
    <x v="59"/>
    <x v="15"/>
    <x v="5"/>
    <x v="1"/>
    <x v="0"/>
    <x v="1160"/>
  </r>
  <r>
    <x v="0"/>
    <x v="158"/>
    <x v="166"/>
    <x v="72"/>
    <x v="115"/>
    <x v="580"/>
    <x v="41"/>
    <x v="1108"/>
    <x v="255"/>
    <x v="111"/>
    <x v="798"/>
    <x v="936"/>
    <x v="1151"/>
    <x v="1149"/>
    <x v="1124"/>
    <x v="4"/>
    <x v="1143"/>
    <x v="1151"/>
    <x v="137"/>
    <x v="0"/>
    <x v="0"/>
    <x v="2"/>
    <x v="114"/>
    <x v="3"/>
    <x v="393"/>
    <x v="12"/>
    <x v="3"/>
    <x v="16"/>
    <x v="0"/>
    <x v="1161"/>
  </r>
  <r>
    <x v="0"/>
    <x v="462"/>
    <x v="277"/>
    <x v="69"/>
    <x v="244"/>
    <x v="333"/>
    <x v="2"/>
    <x v="1109"/>
    <x v="171"/>
    <x v="130"/>
    <x v="201"/>
    <x v="449"/>
    <x v="1152"/>
    <x v="1150"/>
    <x v="1125"/>
    <x v="1"/>
    <x v="1144"/>
    <x v="1152"/>
    <x v="509"/>
    <x v="0"/>
    <x v="0"/>
    <x v="0"/>
    <x v="114"/>
    <x v="19"/>
    <x v="13"/>
    <x v="22"/>
    <x v="1"/>
    <x v="129"/>
    <x v="0"/>
    <x v="1162"/>
  </r>
  <r>
    <x v="0"/>
    <x v="531"/>
    <x v="434"/>
    <x v="40"/>
    <x v="0"/>
    <x v="581"/>
    <x v="25"/>
    <x v="1110"/>
    <x v="105"/>
    <x v="30"/>
    <x v="384"/>
    <x v="937"/>
    <x v="1153"/>
    <x v="1151"/>
    <x v="1126"/>
    <x v="0"/>
    <x v="1145"/>
    <x v="1153"/>
    <x v="409"/>
    <x v="0"/>
    <x v="0"/>
    <x v="0"/>
    <x v="114"/>
    <x v="25"/>
    <x v="219"/>
    <x v="12"/>
    <x v="3"/>
    <x v="1"/>
    <x v="0"/>
    <x v="1163"/>
  </r>
  <r>
    <x v="0"/>
    <x v="532"/>
    <x v="146"/>
    <x v="73"/>
    <x v="262"/>
    <x v="582"/>
    <x v="77"/>
    <x v="1111"/>
    <x v="416"/>
    <x v="475"/>
    <x v="799"/>
    <x v="938"/>
    <x v="1154"/>
    <x v="1152"/>
    <x v="1127"/>
    <x v="0"/>
    <x v="1146"/>
    <x v="1154"/>
    <x v="680"/>
    <x v="0"/>
    <x v="0"/>
    <x v="0"/>
    <x v="144"/>
    <x v="19"/>
    <x v="170"/>
    <x v="12"/>
    <x v="1"/>
    <x v="1"/>
    <x v="0"/>
    <x v="1164"/>
  </r>
  <r>
    <x v="0"/>
    <x v="327"/>
    <x v="88"/>
    <x v="113"/>
    <x v="202"/>
    <x v="340"/>
    <x v="261"/>
    <x v="1112"/>
    <x v="125"/>
    <x v="476"/>
    <x v="800"/>
    <x v="939"/>
    <x v="1155"/>
    <x v="1153"/>
    <x v="1128"/>
    <x v="1"/>
    <x v="1147"/>
    <x v="1155"/>
    <x v="681"/>
    <x v="0"/>
    <x v="0"/>
    <x v="4"/>
    <x v="114"/>
    <x v="0"/>
    <x v="104"/>
    <x v="27"/>
    <x v="3"/>
    <x v="1"/>
    <x v="0"/>
    <x v="1165"/>
  </r>
  <r>
    <x v="0"/>
    <x v="533"/>
    <x v="338"/>
    <x v="82"/>
    <x v="263"/>
    <x v="583"/>
    <x v="262"/>
    <x v="1113"/>
    <x v="2"/>
    <x v="477"/>
    <x v="801"/>
    <x v="940"/>
    <x v="1156"/>
    <x v="1154"/>
    <x v="1129"/>
    <x v="0"/>
    <x v="1148"/>
    <x v="1156"/>
    <x v="664"/>
    <x v="0"/>
    <x v="1"/>
    <x v="0"/>
    <x v="144"/>
    <x v="30"/>
    <x v="472"/>
    <x v="4"/>
    <x v="1"/>
    <x v="1"/>
    <x v="0"/>
    <x v="1166"/>
  </r>
  <r>
    <x v="0"/>
    <x v="534"/>
    <x v="139"/>
    <x v="7"/>
    <x v="264"/>
    <x v="301"/>
    <x v="14"/>
    <x v="1114"/>
    <x v="208"/>
    <x v="61"/>
    <x v="709"/>
    <x v="398"/>
    <x v="1157"/>
    <x v="1155"/>
    <x v="1130"/>
    <x v="4"/>
    <x v="1149"/>
    <x v="1157"/>
    <x v="41"/>
    <x v="0"/>
    <x v="0"/>
    <x v="0"/>
    <x v="114"/>
    <x v="10"/>
    <x v="12"/>
    <x v="28"/>
    <x v="1"/>
    <x v="35"/>
    <x v="0"/>
    <x v="1167"/>
  </r>
  <r>
    <x v="0"/>
    <x v="535"/>
    <x v="285"/>
    <x v="60"/>
    <x v="184"/>
    <x v="27"/>
    <x v="13"/>
    <x v="1115"/>
    <x v="28"/>
    <x v="158"/>
    <x v="99"/>
    <x v="32"/>
    <x v="1158"/>
    <x v="1156"/>
    <x v="1131"/>
    <x v="1"/>
    <x v="1150"/>
    <x v="1158"/>
    <x v="35"/>
    <x v="0"/>
    <x v="0"/>
    <x v="4"/>
    <x v="114"/>
    <x v="18"/>
    <x v="71"/>
    <x v="9"/>
    <x v="1"/>
    <x v="224"/>
    <x v="0"/>
    <x v="1168"/>
  </r>
  <r>
    <x v="0"/>
    <x v="536"/>
    <x v="413"/>
    <x v="27"/>
    <x v="78"/>
    <x v="81"/>
    <x v="15"/>
    <x v="1116"/>
    <x v="404"/>
    <x v="212"/>
    <x v="802"/>
    <x v="104"/>
    <x v="1159"/>
    <x v="1157"/>
    <x v="1132"/>
    <x v="0"/>
    <x v="1151"/>
    <x v="1159"/>
    <x v="511"/>
    <x v="0"/>
    <x v="1"/>
    <x v="2"/>
    <x v="114"/>
    <x v="27"/>
    <x v="473"/>
    <x v="61"/>
    <x v="3"/>
    <x v="1"/>
    <x v="0"/>
    <x v="1169"/>
  </r>
  <r>
    <x v="0"/>
    <x v="468"/>
    <x v="188"/>
    <x v="40"/>
    <x v="21"/>
    <x v="403"/>
    <x v="25"/>
    <x v="1117"/>
    <x v="168"/>
    <x v="76"/>
    <x v="803"/>
    <x v="941"/>
    <x v="1160"/>
    <x v="1158"/>
    <x v="1133"/>
    <x v="4"/>
    <x v="1152"/>
    <x v="1160"/>
    <x v="461"/>
    <x v="0"/>
    <x v="0"/>
    <x v="4"/>
    <x v="95"/>
    <x v="12"/>
    <x v="474"/>
    <x v="32"/>
    <x v="1"/>
    <x v="7"/>
    <x v="0"/>
    <x v="1170"/>
  </r>
  <r>
    <x v="1"/>
    <x v="187"/>
    <x v="189"/>
    <x v="110"/>
    <x v="133"/>
    <x v="362"/>
    <x v="15"/>
    <x v="1118"/>
    <x v="96"/>
    <x v="54"/>
    <x v="804"/>
    <x v="942"/>
    <x v="1161"/>
    <x v="1159"/>
    <x v="1134"/>
    <x v="2"/>
    <x v="1153"/>
    <x v="1161"/>
    <x v="682"/>
    <x v="4"/>
    <x v="9"/>
    <x v="0"/>
    <x v="145"/>
    <x v="19"/>
    <x v="200"/>
    <x v="0"/>
    <x v="1"/>
    <x v="1"/>
    <x v="0"/>
    <x v="1171"/>
  </r>
  <r>
    <x v="0"/>
    <x v="537"/>
    <x v="238"/>
    <x v="43"/>
    <x v="164"/>
    <x v="378"/>
    <x v="263"/>
    <x v="1119"/>
    <x v="112"/>
    <x v="478"/>
    <x v="805"/>
    <x v="943"/>
    <x v="1162"/>
    <x v="1160"/>
    <x v="1135"/>
    <x v="1"/>
    <x v="1154"/>
    <x v="1162"/>
    <x v="314"/>
    <x v="0"/>
    <x v="0"/>
    <x v="0"/>
    <x v="88"/>
    <x v="3"/>
    <x v="475"/>
    <x v="43"/>
    <x v="1"/>
    <x v="64"/>
    <x v="0"/>
    <x v="1172"/>
  </r>
  <r>
    <x v="0"/>
    <x v="538"/>
    <x v="360"/>
    <x v="52"/>
    <x v="265"/>
    <x v="584"/>
    <x v="2"/>
    <x v="1120"/>
    <x v="125"/>
    <x v="182"/>
    <x v="806"/>
    <x v="944"/>
    <x v="1163"/>
    <x v="1161"/>
    <x v="1136"/>
    <x v="2"/>
    <x v="1155"/>
    <x v="1163"/>
    <x v="683"/>
    <x v="0"/>
    <x v="0"/>
    <x v="4"/>
    <x v="87"/>
    <x v="11"/>
    <x v="136"/>
    <x v="4"/>
    <x v="1"/>
    <x v="225"/>
    <x v="0"/>
    <x v="1173"/>
  </r>
  <r>
    <x v="0"/>
    <x v="539"/>
    <x v="299"/>
    <x v="7"/>
    <x v="107"/>
    <x v="103"/>
    <x v="264"/>
    <x v="1121"/>
    <x v="417"/>
    <x v="479"/>
    <x v="807"/>
    <x v="945"/>
    <x v="1164"/>
    <x v="1162"/>
    <x v="1137"/>
    <x v="1"/>
    <x v="1156"/>
    <x v="1164"/>
    <x v="386"/>
    <x v="0"/>
    <x v="3"/>
    <x v="4"/>
    <x v="91"/>
    <x v="5"/>
    <x v="476"/>
    <x v="22"/>
    <x v="1"/>
    <x v="1"/>
    <x v="0"/>
    <x v="1174"/>
  </r>
  <r>
    <x v="1"/>
    <x v="113"/>
    <x v="169"/>
    <x v="119"/>
    <x v="88"/>
    <x v="206"/>
    <x v="149"/>
    <x v="4"/>
    <x v="418"/>
    <x v="273"/>
    <x v="808"/>
    <x v="946"/>
    <x v="1165"/>
    <x v="1163"/>
    <x v="1138"/>
    <x v="1"/>
    <x v="1157"/>
    <x v="1165"/>
    <x v="684"/>
    <x v="0"/>
    <x v="0"/>
    <x v="8"/>
    <x v="4"/>
    <x v="4"/>
    <x v="62"/>
    <x v="7"/>
    <x v="9"/>
    <x v="226"/>
    <x v="0"/>
    <x v="1175"/>
  </r>
  <r>
    <x v="0"/>
    <x v="365"/>
    <x v="377"/>
    <x v="72"/>
    <x v="0"/>
    <x v="585"/>
    <x v="0"/>
    <x v="1122"/>
    <x v="132"/>
    <x v="480"/>
    <x v="809"/>
    <x v="947"/>
    <x v="1166"/>
    <x v="1164"/>
    <x v="1139"/>
    <x v="2"/>
    <x v="1158"/>
    <x v="1166"/>
    <x v="409"/>
    <x v="3"/>
    <x v="10"/>
    <x v="4"/>
    <x v="146"/>
    <x v="0"/>
    <x v="97"/>
    <x v="13"/>
    <x v="1"/>
    <x v="1"/>
    <x v="0"/>
    <x v="1176"/>
  </r>
  <r>
    <x v="0"/>
    <x v="424"/>
    <x v="323"/>
    <x v="47"/>
    <x v="231"/>
    <x v="455"/>
    <x v="0"/>
    <x v="1123"/>
    <x v="419"/>
    <x v="481"/>
    <x v="90"/>
    <x v="948"/>
    <x v="1167"/>
    <x v="1165"/>
    <x v="1140"/>
    <x v="0"/>
    <x v="1159"/>
    <x v="1167"/>
    <x v="504"/>
    <x v="0"/>
    <x v="0"/>
    <x v="4"/>
    <x v="147"/>
    <x v="19"/>
    <x v="65"/>
    <x v="15"/>
    <x v="1"/>
    <x v="1"/>
    <x v="0"/>
    <x v="1177"/>
  </r>
  <r>
    <x v="0"/>
    <x v="540"/>
    <x v="435"/>
    <x v="59"/>
    <x v="257"/>
    <x v="423"/>
    <x v="265"/>
    <x v="4"/>
    <x v="29"/>
    <x v="482"/>
    <x v="810"/>
    <x v="949"/>
    <x v="1168"/>
    <x v="1166"/>
    <x v="896"/>
    <x v="0"/>
    <x v="1160"/>
    <x v="1168"/>
    <x v="685"/>
    <x v="3"/>
    <x v="10"/>
    <x v="1"/>
    <x v="4"/>
    <x v="2"/>
    <x v="477"/>
    <x v="41"/>
    <x v="2"/>
    <x v="227"/>
    <x v="0"/>
    <x v="1178"/>
  </r>
  <r>
    <x v="0"/>
    <x v="438"/>
    <x v="111"/>
    <x v="48"/>
    <x v="237"/>
    <x v="586"/>
    <x v="57"/>
    <x v="1124"/>
    <x v="6"/>
    <x v="140"/>
    <x v="246"/>
    <x v="950"/>
    <x v="1169"/>
    <x v="1167"/>
    <x v="1141"/>
    <x v="1"/>
    <x v="1161"/>
    <x v="1169"/>
    <x v="686"/>
    <x v="0"/>
    <x v="0"/>
    <x v="0"/>
    <x v="48"/>
    <x v="18"/>
    <x v="13"/>
    <x v="8"/>
    <x v="1"/>
    <x v="1"/>
    <x v="0"/>
    <x v="1179"/>
  </r>
  <r>
    <x v="0"/>
    <x v="541"/>
    <x v="288"/>
    <x v="26"/>
    <x v="198"/>
    <x v="587"/>
    <x v="266"/>
    <x v="1125"/>
    <x v="92"/>
    <x v="483"/>
    <x v="811"/>
    <x v="951"/>
    <x v="1170"/>
    <x v="1168"/>
    <x v="1142"/>
    <x v="1"/>
    <x v="1162"/>
    <x v="1170"/>
    <x v="320"/>
    <x v="0"/>
    <x v="14"/>
    <x v="0"/>
    <x v="147"/>
    <x v="17"/>
    <x v="478"/>
    <x v="31"/>
    <x v="1"/>
    <x v="228"/>
    <x v="0"/>
    <x v="1180"/>
  </r>
  <r>
    <x v="0"/>
    <x v="93"/>
    <x v="294"/>
    <x v="86"/>
    <x v="0"/>
    <x v="230"/>
    <x v="57"/>
    <x v="1126"/>
    <x v="150"/>
    <x v="99"/>
    <x v="812"/>
    <x v="292"/>
    <x v="1171"/>
    <x v="1169"/>
    <x v="1143"/>
    <x v="0"/>
    <x v="1163"/>
    <x v="1171"/>
    <x v="518"/>
    <x v="0"/>
    <x v="0"/>
    <x v="0"/>
    <x v="88"/>
    <x v="15"/>
    <x v="13"/>
    <x v="14"/>
    <x v="3"/>
    <x v="57"/>
    <x v="0"/>
    <x v="1181"/>
  </r>
  <r>
    <x v="0"/>
    <x v="542"/>
    <x v="16"/>
    <x v="58"/>
    <x v="131"/>
    <x v="588"/>
    <x v="267"/>
    <x v="1127"/>
    <x v="23"/>
    <x v="484"/>
    <x v="813"/>
    <x v="952"/>
    <x v="1172"/>
    <x v="1170"/>
    <x v="1144"/>
    <x v="5"/>
    <x v="1164"/>
    <x v="1172"/>
    <x v="243"/>
    <x v="0"/>
    <x v="0"/>
    <x v="0"/>
    <x v="114"/>
    <x v="3"/>
    <x v="479"/>
    <x v="4"/>
    <x v="1"/>
    <x v="59"/>
    <x v="0"/>
    <x v="1182"/>
  </r>
  <r>
    <x v="0"/>
    <x v="345"/>
    <x v="339"/>
    <x v="7"/>
    <x v="172"/>
    <x v="589"/>
    <x v="268"/>
    <x v="1128"/>
    <x v="125"/>
    <x v="485"/>
    <x v="814"/>
    <x v="953"/>
    <x v="1173"/>
    <x v="1171"/>
    <x v="1145"/>
    <x v="0"/>
    <x v="1165"/>
    <x v="1173"/>
    <x v="310"/>
    <x v="0"/>
    <x v="0"/>
    <x v="2"/>
    <x v="147"/>
    <x v="10"/>
    <x v="111"/>
    <x v="5"/>
    <x v="1"/>
    <x v="59"/>
    <x v="0"/>
    <x v="1183"/>
  </r>
  <r>
    <x v="0"/>
    <x v="543"/>
    <x v="225"/>
    <x v="51"/>
    <x v="8"/>
    <x v="577"/>
    <x v="269"/>
    <x v="1129"/>
    <x v="420"/>
    <x v="486"/>
    <x v="815"/>
    <x v="954"/>
    <x v="1174"/>
    <x v="1172"/>
    <x v="1146"/>
    <x v="0"/>
    <x v="1166"/>
    <x v="1174"/>
    <x v="527"/>
    <x v="0"/>
    <x v="0"/>
    <x v="2"/>
    <x v="83"/>
    <x v="31"/>
    <x v="454"/>
    <x v="13"/>
    <x v="3"/>
    <x v="1"/>
    <x v="0"/>
    <x v="1184"/>
  </r>
  <r>
    <x v="0"/>
    <x v="363"/>
    <x v="363"/>
    <x v="67"/>
    <x v="213"/>
    <x v="33"/>
    <x v="31"/>
    <x v="1130"/>
    <x v="152"/>
    <x v="37"/>
    <x v="3"/>
    <x v="635"/>
    <x v="1175"/>
    <x v="1173"/>
    <x v="1147"/>
    <x v="7"/>
    <x v="1167"/>
    <x v="1175"/>
    <x v="28"/>
    <x v="0"/>
    <x v="0"/>
    <x v="4"/>
    <x v="88"/>
    <x v="9"/>
    <x v="3"/>
    <x v="11"/>
    <x v="1"/>
    <x v="62"/>
    <x v="0"/>
    <x v="1185"/>
  </r>
  <r>
    <x v="0"/>
    <x v="544"/>
    <x v="400"/>
    <x v="26"/>
    <x v="247"/>
    <x v="407"/>
    <x v="17"/>
    <x v="1131"/>
    <x v="105"/>
    <x v="32"/>
    <x v="816"/>
    <x v="955"/>
    <x v="1176"/>
    <x v="1174"/>
    <x v="1148"/>
    <x v="1"/>
    <x v="1168"/>
    <x v="1176"/>
    <x v="155"/>
    <x v="0"/>
    <x v="0"/>
    <x v="0"/>
    <x v="88"/>
    <x v="0"/>
    <x v="480"/>
    <x v="10"/>
    <x v="1"/>
    <x v="7"/>
    <x v="0"/>
    <x v="1186"/>
  </r>
  <r>
    <x v="0"/>
    <x v="545"/>
    <x v="309"/>
    <x v="72"/>
    <x v="266"/>
    <x v="374"/>
    <x v="235"/>
    <x v="1132"/>
    <x v="180"/>
    <x v="236"/>
    <x v="817"/>
    <x v="956"/>
    <x v="1177"/>
    <x v="1175"/>
    <x v="680"/>
    <x v="0"/>
    <x v="1169"/>
    <x v="1177"/>
    <x v="687"/>
    <x v="0"/>
    <x v="0"/>
    <x v="4"/>
    <x v="80"/>
    <x v="15"/>
    <x v="476"/>
    <x v="21"/>
    <x v="1"/>
    <x v="1"/>
    <x v="0"/>
    <x v="1187"/>
  </r>
  <r>
    <x v="0"/>
    <x v="43"/>
    <x v="211"/>
    <x v="26"/>
    <x v="0"/>
    <x v="113"/>
    <x v="0"/>
    <x v="1133"/>
    <x v="145"/>
    <x v="307"/>
    <x v="818"/>
    <x v="957"/>
    <x v="1178"/>
    <x v="1176"/>
    <x v="1149"/>
    <x v="0"/>
    <x v="1170"/>
    <x v="1178"/>
    <x v="688"/>
    <x v="0"/>
    <x v="0"/>
    <x v="2"/>
    <x v="88"/>
    <x v="30"/>
    <x v="230"/>
    <x v="6"/>
    <x v="3"/>
    <x v="85"/>
    <x v="0"/>
    <x v="1188"/>
  </r>
  <r>
    <x v="0"/>
    <x v="191"/>
    <x v="436"/>
    <x v="71"/>
    <x v="0"/>
    <x v="11"/>
    <x v="32"/>
    <x v="1134"/>
    <x v="222"/>
    <x v="59"/>
    <x v="65"/>
    <x v="958"/>
    <x v="1179"/>
    <x v="1177"/>
    <x v="1150"/>
    <x v="0"/>
    <x v="1171"/>
    <x v="1179"/>
    <x v="37"/>
    <x v="0"/>
    <x v="10"/>
    <x v="4"/>
    <x v="88"/>
    <x v="11"/>
    <x v="6"/>
    <x v="21"/>
    <x v="1"/>
    <x v="17"/>
    <x v="0"/>
    <x v="1189"/>
  </r>
  <r>
    <x v="0"/>
    <x v="546"/>
    <x v="95"/>
    <x v="74"/>
    <x v="75"/>
    <x v="432"/>
    <x v="0"/>
    <x v="1135"/>
    <x v="17"/>
    <x v="398"/>
    <x v="739"/>
    <x v="630"/>
    <x v="1180"/>
    <x v="1178"/>
    <x v="1151"/>
    <x v="0"/>
    <x v="1172"/>
    <x v="1180"/>
    <x v="689"/>
    <x v="0"/>
    <x v="0"/>
    <x v="4"/>
    <x v="88"/>
    <x v="2"/>
    <x v="372"/>
    <x v="54"/>
    <x v="1"/>
    <x v="229"/>
    <x v="0"/>
    <x v="1190"/>
  </r>
  <r>
    <x v="0"/>
    <x v="423"/>
    <x v="197"/>
    <x v="95"/>
    <x v="0"/>
    <x v="10"/>
    <x v="57"/>
    <x v="1136"/>
    <x v="237"/>
    <x v="237"/>
    <x v="62"/>
    <x v="959"/>
    <x v="1181"/>
    <x v="1179"/>
    <x v="1152"/>
    <x v="3"/>
    <x v="1173"/>
    <x v="1181"/>
    <x v="559"/>
    <x v="0"/>
    <x v="0"/>
    <x v="2"/>
    <x v="30"/>
    <x v="17"/>
    <x v="9"/>
    <x v="54"/>
    <x v="3"/>
    <x v="230"/>
    <x v="0"/>
    <x v="1191"/>
  </r>
  <r>
    <x v="0"/>
    <x v="133"/>
    <x v="184"/>
    <x v="36"/>
    <x v="98"/>
    <x v="1"/>
    <x v="11"/>
    <x v="1137"/>
    <x v="168"/>
    <x v="11"/>
    <x v="240"/>
    <x v="94"/>
    <x v="1182"/>
    <x v="1180"/>
    <x v="1153"/>
    <x v="3"/>
    <x v="1174"/>
    <x v="1182"/>
    <x v="651"/>
    <x v="0"/>
    <x v="0"/>
    <x v="4"/>
    <x v="88"/>
    <x v="25"/>
    <x v="6"/>
    <x v="38"/>
    <x v="1"/>
    <x v="1"/>
    <x v="0"/>
    <x v="1192"/>
  </r>
  <r>
    <x v="0"/>
    <x v="80"/>
    <x v="209"/>
    <x v="50"/>
    <x v="63"/>
    <x v="507"/>
    <x v="22"/>
    <x v="1138"/>
    <x v="238"/>
    <x v="487"/>
    <x v="819"/>
    <x v="762"/>
    <x v="1183"/>
    <x v="1181"/>
    <x v="1154"/>
    <x v="11"/>
    <x v="1175"/>
    <x v="1183"/>
    <x v="160"/>
    <x v="0"/>
    <x v="0"/>
    <x v="2"/>
    <x v="88"/>
    <x v="17"/>
    <x v="12"/>
    <x v="27"/>
    <x v="3"/>
    <x v="1"/>
    <x v="0"/>
    <x v="1193"/>
  </r>
  <r>
    <x v="0"/>
    <x v="21"/>
    <x v="437"/>
    <x v="61"/>
    <x v="14"/>
    <x v="590"/>
    <x v="80"/>
    <x v="1139"/>
    <x v="421"/>
    <x v="488"/>
    <x v="820"/>
    <x v="960"/>
    <x v="1184"/>
    <x v="1182"/>
    <x v="242"/>
    <x v="0"/>
    <x v="1176"/>
    <x v="1184"/>
    <x v="638"/>
    <x v="0"/>
    <x v="0"/>
    <x v="4"/>
    <x v="88"/>
    <x v="9"/>
    <x v="481"/>
    <x v="32"/>
    <x v="1"/>
    <x v="12"/>
    <x v="0"/>
    <x v="1194"/>
  </r>
  <r>
    <x v="1"/>
    <x v="487"/>
    <x v="438"/>
    <x v="57"/>
    <x v="149"/>
    <x v="591"/>
    <x v="10"/>
    <x v="1140"/>
    <x v="422"/>
    <x v="33"/>
    <x v="821"/>
    <x v="961"/>
    <x v="1185"/>
    <x v="1183"/>
    <x v="1155"/>
    <x v="3"/>
    <x v="1177"/>
    <x v="1185"/>
    <x v="690"/>
    <x v="0"/>
    <x v="0"/>
    <x v="2"/>
    <x v="88"/>
    <x v="29"/>
    <x v="425"/>
    <x v="13"/>
    <x v="1"/>
    <x v="1"/>
    <x v="0"/>
    <x v="1195"/>
  </r>
  <r>
    <x v="0"/>
    <x v="33"/>
    <x v="31"/>
    <x v="90"/>
    <x v="0"/>
    <x v="592"/>
    <x v="0"/>
    <x v="1141"/>
    <x v="236"/>
    <x v="489"/>
    <x v="723"/>
    <x v="962"/>
    <x v="1186"/>
    <x v="1184"/>
    <x v="1156"/>
    <x v="0"/>
    <x v="1178"/>
    <x v="1186"/>
    <x v="491"/>
    <x v="0"/>
    <x v="0"/>
    <x v="4"/>
    <x v="88"/>
    <x v="6"/>
    <x v="435"/>
    <x v="6"/>
    <x v="1"/>
    <x v="13"/>
    <x v="0"/>
    <x v="1196"/>
  </r>
  <r>
    <x v="0"/>
    <x v="68"/>
    <x v="154"/>
    <x v="60"/>
    <x v="53"/>
    <x v="593"/>
    <x v="14"/>
    <x v="1142"/>
    <x v="113"/>
    <x v="490"/>
    <x v="822"/>
    <x v="963"/>
    <x v="1187"/>
    <x v="1185"/>
    <x v="1157"/>
    <x v="0"/>
    <x v="1179"/>
    <x v="1187"/>
    <x v="691"/>
    <x v="0"/>
    <x v="0"/>
    <x v="0"/>
    <x v="88"/>
    <x v="5"/>
    <x v="472"/>
    <x v="16"/>
    <x v="1"/>
    <x v="190"/>
    <x v="0"/>
    <x v="1197"/>
  </r>
  <r>
    <x v="0"/>
    <x v="547"/>
    <x v="331"/>
    <x v="74"/>
    <x v="74"/>
    <x v="594"/>
    <x v="270"/>
    <x v="1143"/>
    <x v="105"/>
    <x v="491"/>
    <x v="823"/>
    <x v="964"/>
    <x v="1188"/>
    <x v="1186"/>
    <x v="1158"/>
    <x v="6"/>
    <x v="1180"/>
    <x v="1188"/>
    <x v="394"/>
    <x v="0"/>
    <x v="0"/>
    <x v="0"/>
    <x v="88"/>
    <x v="0"/>
    <x v="404"/>
    <x v="21"/>
    <x v="1"/>
    <x v="85"/>
    <x v="0"/>
    <x v="1198"/>
  </r>
  <r>
    <x v="0"/>
    <x v="495"/>
    <x v="285"/>
    <x v="71"/>
    <x v="202"/>
    <x v="137"/>
    <x v="35"/>
    <x v="1144"/>
    <x v="125"/>
    <x v="492"/>
    <x v="343"/>
    <x v="965"/>
    <x v="1189"/>
    <x v="1187"/>
    <x v="1159"/>
    <x v="8"/>
    <x v="1181"/>
    <x v="1189"/>
    <x v="565"/>
    <x v="0"/>
    <x v="0"/>
    <x v="0"/>
    <x v="91"/>
    <x v="7"/>
    <x v="230"/>
    <x v="37"/>
    <x v="3"/>
    <x v="103"/>
    <x v="0"/>
    <x v="1199"/>
  </r>
  <r>
    <x v="0"/>
    <x v="548"/>
    <x v="237"/>
    <x v="38"/>
    <x v="0"/>
    <x v="304"/>
    <x v="190"/>
    <x v="1145"/>
    <x v="364"/>
    <x v="493"/>
    <x v="824"/>
    <x v="966"/>
    <x v="1190"/>
    <x v="1188"/>
    <x v="1160"/>
    <x v="2"/>
    <x v="1182"/>
    <x v="1190"/>
    <x v="692"/>
    <x v="0"/>
    <x v="0"/>
    <x v="4"/>
    <x v="88"/>
    <x v="21"/>
    <x v="482"/>
    <x v="34"/>
    <x v="1"/>
    <x v="1"/>
    <x v="0"/>
    <x v="1200"/>
  </r>
  <r>
    <x v="0"/>
    <x v="43"/>
    <x v="387"/>
    <x v="34"/>
    <x v="0"/>
    <x v="113"/>
    <x v="0"/>
    <x v="1146"/>
    <x v="423"/>
    <x v="307"/>
    <x v="818"/>
    <x v="957"/>
    <x v="1191"/>
    <x v="1189"/>
    <x v="621"/>
    <x v="0"/>
    <x v="1183"/>
    <x v="1191"/>
    <x v="294"/>
    <x v="0"/>
    <x v="0"/>
    <x v="2"/>
    <x v="88"/>
    <x v="22"/>
    <x v="230"/>
    <x v="38"/>
    <x v="15"/>
    <x v="1"/>
    <x v="0"/>
    <x v="1201"/>
  </r>
  <r>
    <x v="0"/>
    <x v="549"/>
    <x v="247"/>
    <x v="86"/>
    <x v="267"/>
    <x v="407"/>
    <x v="94"/>
    <x v="1147"/>
    <x v="70"/>
    <x v="166"/>
    <x v="825"/>
    <x v="955"/>
    <x v="1192"/>
    <x v="1190"/>
    <x v="614"/>
    <x v="4"/>
    <x v="1184"/>
    <x v="1192"/>
    <x v="245"/>
    <x v="0"/>
    <x v="0"/>
    <x v="4"/>
    <x v="88"/>
    <x v="2"/>
    <x v="12"/>
    <x v="19"/>
    <x v="3"/>
    <x v="57"/>
    <x v="0"/>
    <x v="1202"/>
  </r>
  <r>
    <x v="0"/>
    <x v="420"/>
    <x v="198"/>
    <x v="125"/>
    <x v="0"/>
    <x v="9"/>
    <x v="11"/>
    <x v="1148"/>
    <x v="424"/>
    <x v="63"/>
    <x v="129"/>
    <x v="56"/>
    <x v="1193"/>
    <x v="1191"/>
    <x v="1161"/>
    <x v="0"/>
    <x v="1185"/>
    <x v="1193"/>
    <x v="693"/>
    <x v="0"/>
    <x v="0"/>
    <x v="4"/>
    <x v="88"/>
    <x v="29"/>
    <x v="47"/>
    <x v="7"/>
    <x v="3"/>
    <x v="57"/>
    <x v="0"/>
    <x v="1203"/>
  </r>
  <r>
    <x v="0"/>
    <x v="324"/>
    <x v="153"/>
    <x v="32"/>
    <x v="0"/>
    <x v="595"/>
    <x v="2"/>
    <x v="1149"/>
    <x v="425"/>
    <x v="209"/>
    <x v="826"/>
    <x v="967"/>
    <x v="1194"/>
    <x v="1192"/>
    <x v="1162"/>
    <x v="4"/>
    <x v="1186"/>
    <x v="1194"/>
    <x v="230"/>
    <x v="0"/>
    <x v="0"/>
    <x v="0"/>
    <x v="88"/>
    <x v="0"/>
    <x v="372"/>
    <x v="15"/>
    <x v="3"/>
    <x v="38"/>
    <x v="0"/>
    <x v="1204"/>
  </r>
  <r>
    <x v="0"/>
    <x v="438"/>
    <x v="405"/>
    <x v="57"/>
    <x v="237"/>
    <x v="286"/>
    <x v="2"/>
    <x v="1150"/>
    <x v="122"/>
    <x v="42"/>
    <x v="14"/>
    <x v="968"/>
    <x v="1195"/>
    <x v="1193"/>
    <x v="1163"/>
    <x v="0"/>
    <x v="1187"/>
    <x v="1195"/>
    <x v="694"/>
    <x v="0"/>
    <x v="0"/>
    <x v="0"/>
    <x v="88"/>
    <x v="9"/>
    <x v="13"/>
    <x v="7"/>
    <x v="1"/>
    <x v="82"/>
    <x v="0"/>
    <x v="1205"/>
  </r>
  <r>
    <x v="0"/>
    <x v="241"/>
    <x v="232"/>
    <x v="106"/>
    <x v="162"/>
    <x v="1"/>
    <x v="13"/>
    <x v="1151"/>
    <x v="168"/>
    <x v="93"/>
    <x v="281"/>
    <x v="1"/>
    <x v="1196"/>
    <x v="1194"/>
    <x v="1164"/>
    <x v="1"/>
    <x v="1188"/>
    <x v="1196"/>
    <x v="691"/>
    <x v="0"/>
    <x v="0"/>
    <x v="4"/>
    <x v="88"/>
    <x v="15"/>
    <x v="44"/>
    <x v="11"/>
    <x v="3"/>
    <x v="1"/>
    <x v="0"/>
    <x v="1206"/>
  </r>
  <r>
    <x v="0"/>
    <x v="307"/>
    <x v="82"/>
    <x v="56"/>
    <x v="114"/>
    <x v="465"/>
    <x v="57"/>
    <x v="1152"/>
    <x v="125"/>
    <x v="192"/>
    <x v="517"/>
    <x v="687"/>
    <x v="1197"/>
    <x v="1195"/>
    <x v="1165"/>
    <x v="1"/>
    <x v="1189"/>
    <x v="1197"/>
    <x v="269"/>
    <x v="0"/>
    <x v="0"/>
    <x v="0"/>
    <x v="82"/>
    <x v="11"/>
    <x v="336"/>
    <x v="20"/>
    <x v="3"/>
    <x v="51"/>
    <x v="0"/>
    <x v="1207"/>
  </r>
  <r>
    <x v="0"/>
    <x v="439"/>
    <x v="378"/>
    <x v="60"/>
    <x v="238"/>
    <x v="251"/>
    <x v="29"/>
    <x v="1153"/>
    <x v="259"/>
    <x v="74"/>
    <x v="42"/>
    <x v="969"/>
    <x v="1198"/>
    <x v="1196"/>
    <x v="1166"/>
    <x v="1"/>
    <x v="1190"/>
    <x v="1198"/>
    <x v="294"/>
    <x v="0"/>
    <x v="0"/>
    <x v="2"/>
    <x v="88"/>
    <x v="7"/>
    <x v="483"/>
    <x v="11"/>
    <x v="1"/>
    <x v="59"/>
    <x v="0"/>
    <x v="1208"/>
  </r>
  <r>
    <x v="0"/>
    <x v="220"/>
    <x v="330"/>
    <x v="61"/>
    <x v="152"/>
    <x v="27"/>
    <x v="13"/>
    <x v="1154"/>
    <x v="200"/>
    <x v="158"/>
    <x v="85"/>
    <x v="499"/>
    <x v="1199"/>
    <x v="1197"/>
    <x v="1167"/>
    <x v="4"/>
    <x v="1191"/>
    <x v="1199"/>
    <x v="621"/>
    <x v="0"/>
    <x v="0"/>
    <x v="0"/>
    <x v="82"/>
    <x v="2"/>
    <x v="6"/>
    <x v="13"/>
    <x v="3"/>
    <x v="39"/>
    <x v="0"/>
    <x v="1209"/>
  </r>
  <r>
    <x v="0"/>
    <x v="135"/>
    <x v="323"/>
    <x v="58"/>
    <x v="100"/>
    <x v="390"/>
    <x v="35"/>
    <x v="1155"/>
    <x v="170"/>
    <x v="494"/>
    <x v="827"/>
    <x v="550"/>
    <x v="1200"/>
    <x v="1198"/>
    <x v="592"/>
    <x v="0"/>
    <x v="1192"/>
    <x v="1200"/>
    <x v="695"/>
    <x v="0"/>
    <x v="0"/>
    <x v="0"/>
    <x v="88"/>
    <x v="6"/>
    <x v="484"/>
    <x v="18"/>
    <x v="1"/>
    <x v="1"/>
    <x v="0"/>
    <x v="1210"/>
  </r>
  <r>
    <x v="0"/>
    <x v="159"/>
    <x v="332"/>
    <x v="85"/>
    <x v="0"/>
    <x v="109"/>
    <x v="271"/>
    <x v="1156"/>
    <x v="426"/>
    <x v="495"/>
    <x v="828"/>
    <x v="970"/>
    <x v="1201"/>
    <x v="1199"/>
    <x v="59"/>
    <x v="1"/>
    <x v="1193"/>
    <x v="1201"/>
    <x v="696"/>
    <x v="0"/>
    <x v="0"/>
    <x v="4"/>
    <x v="88"/>
    <x v="29"/>
    <x v="308"/>
    <x v="6"/>
    <x v="1"/>
    <x v="1"/>
    <x v="0"/>
    <x v="1211"/>
  </r>
  <r>
    <x v="0"/>
    <x v="332"/>
    <x v="306"/>
    <x v="0"/>
    <x v="204"/>
    <x v="13"/>
    <x v="272"/>
    <x v="1157"/>
    <x v="316"/>
    <x v="496"/>
    <x v="829"/>
    <x v="14"/>
    <x v="1202"/>
    <x v="1200"/>
    <x v="1168"/>
    <x v="0"/>
    <x v="1194"/>
    <x v="1202"/>
    <x v="88"/>
    <x v="0"/>
    <x v="0"/>
    <x v="0"/>
    <x v="88"/>
    <x v="14"/>
    <x v="485"/>
    <x v="16"/>
    <x v="3"/>
    <x v="1"/>
    <x v="0"/>
    <x v="1212"/>
  </r>
  <r>
    <x v="1"/>
    <x v="336"/>
    <x v="439"/>
    <x v="21"/>
    <x v="205"/>
    <x v="424"/>
    <x v="22"/>
    <x v="1158"/>
    <x v="111"/>
    <x v="169"/>
    <x v="830"/>
    <x v="971"/>
    <x v="1203"/>
    <x v="1201"/>
    <x v="1169"/>
    <x v="1"/>
    <x v="1195"/>
    <x v="1203"/>
    <x v="697"/>
    <x v="0"/>
    <x v="0"/>
    <x v="4"/>
    <x v="88"/>
    <x v="12"/>
    <x v="421"/>
    <x v="14"/>
    <x v="3"/>
    <x v="38"/>
    <x v="0"/>
    <x v="1213"/>
  </r>
  <r>
    <x v="0"/>
    <x v="232"/>
    <x v="98"/>
    <x v="78"/>
    <x v="47"/>
    <x v="126"/>
    <x v="35"/>
    <x v="1159"/>
    <x v="171"/>
    <x v="184"/>
    <x v="112"/>
    <x v="156"/>
    <x v="1204"/>
    <x v="1202"/>
    <x v="1170"/>
    <x v="2"/>
    <x v="1196"/>
    <x v="1204"/>
    <x v="698"/>
    <x v="0"/>
    <x v="0"/>
    <x v="0"/>
    <x v="88"/>
    <x v="8"/>
    <x v="80"/>
    <x v="4"/>
    <x v="1"/>
    <x v="1"/>
    <x v="0"/>
    <x v="1214"/>
  </r>
  <r>
    <x v="0"/>
    <x v="528"/>
    <x v="300"/>
    <x v="72"/>
    <x v="195"/>
    <x v="596"/>
    <x v="6"/>
    <x v="1160"/>
    <x v="127"/>
    <x v="6"/>
    <x v="28"/>
    <x v="972"/>
    <x v="1205"/>
    <x v="1203"/>
    <x v="1171"/>
    <x v="4"/>
    <x v="1197"/>
    <x v="1205"/>
    <x v="699"/>
    <x v="0"/>
    <x v="0"/>
    <x v="4"/>
    <x v="88"/>
    <x v="0"/>
    <x v="9"/>
    <x v="1"/>
    <x v="3"/>
    <x v="1"/>
    <x v="0"/>
    <x v="1215"/>
  </r>
  <r>
    <x v="0"/>
    <x v="307"/>
    <x v="216"/>
    <x v="37"/>
    <x v="114"/>
    <x v="535"/>
    <x v="273"/>
    <x v="1161"/>
    <x v="196"/>
    <x v="497"/>
    <x v="301"/>
    <x v="973"/>
    <x v="1206"/>
    <x v="1204"/>
    <x v="1172"/>
    <x v="4"/>
    <x v="1198"/>
    <x v="1206"/>
    <x v="246"/>
    <x v="0"/>
    <x v="0"/>
    <x v="0"/>
    <x v="88"/>
    <x v="18"/>
    <x v="203"/>
    <x v="18"/>
    <x v="3"/>
    <x v="1"/>
    <x v="0"/>
    <x v="1216"/>
  </r>
  <r>
    <x v="1"/>
    <x v="78"/>
    <x v="211"/>
    <x v="66"/>
    <x v="0"/>
    <x v="597"/>
    <x v="176"/>
    <x v="1162"/>
    <x v="223"/>
    <x v="498"/>
    <x v="831"/>
    <x v="974"/>
    <x v="1207"/>
    <x v="1205"/>
    <x v="1173"/>
    <x v="1"/>
    <x v="1199"/>
    <x v="1207"/>
    <x v="700"/>
    <x v="0"/>
    <x v="10"/>
    <x v="4"/>
    <x v="88"/>
    <x v="23"/>
    <x v="189"/>
    <x v="25"/>
    <x v="1"/>
    <x v="1"/>
    <x v="0"/>
    <x v="1217"/>
  </r>
  <r>
    <x v="0"/>
    <x v="433"/>
    <x v="409"/>
    <x v="77"/>
    <x v="125"/>
    <x v="598"/>
    <x v="30"/>
    <x v="1163"/>
    <x v="70"/>
    <x v="53"/>
    <x v="832"/>
    <x v="975"/>
    <x v="1208"/>
    <x v="1206"/>
    <x v="1174"/>
    <x v="0"/>
    <x v="1200"/>
    <x v="1208"/>
    <x v="517"/>
    <x v="0"/>
    <x v="0"/>
    <x v="0"/>
    <x v="88"/>
    <x v="7"/>
    <x v="117"/>
    <x v="51"/>
    <x v="3"/>
    <x v="231"/>
    <x v="0"/>
    <x v="1218"/>
  </r>
  <r>
    <x v="0"/>
    <x v="1"/>
    <x v="211"/>
    <x v="32"/>
    <x v="1"/>
    <x v="141"/>
    <x v="6"/>
    <x v="1164"/>
    <x v="427"/>
    <x v="6"/>
    <x v="40"/>
    <x v="898"/>
    <x v="1209"/>
    <x v="1207"/>
    <x v="1175"/>
    <x v="0"/>
    <x v="1201"/>
    <x v="1209"/>
    <x v="701"/>
    <x v="0"/>
    <x v="0"/>
    <x v="4"/>
    <x v="148"/>
    <x v="18"/>
    <x v="6"/>
    <x v="9"/>
    <x v="1"/>
    <x v="43"/>
    <x v="0"/>
    <x v="1219"/>
  </r>
  <r>
    <x v="0"/>
    <x v="325"/>
    <x v="55"/>
    <x v="64"/>
    <x v="201"/>
    <x v="224"/>
    <x v="55"/>
    <x v="635"/>
    <x v="288"/>
    <x v="302"/>
    <x v="483"/>
    <x v="557"/>
    <x v="655"/>
    <x v="655"/>
    <x v="646"/>
    <x v="0"/>
    <x v="650"/>
    <x v="655"/>
    <x v="268"/>
    <x v="0"/>
    <x v="0"/>
    <x v="0"/>
    <x v="48"/>
    <x v="11"/>
    <x v="313"/>
    <x v="13"/>
    <x v="1"/>
    <x v="50"/>
    <x v="0"/>
    <x v="1220"/>
  </r>
  <r>
    <x v="0"/>
    <x v="527"/>
    <x v="104"/>
    <x v="58"/>
    <x v="80"/>
    <x v="512"/>
    <x v="35"/>
    <x v="1165"/>
    <x v="428"/>
    <x v="499"/>
    <x v="312"/>
    <x v="769"/>
    <x v="1210"/>
    <x v="1208"/>
    <x v="1176"/>
    <x v="1"/>
    <x v="1202"/>
    <x v="1210"/>
    <x v="647"/>
    <x v="0"/>
    <x v="0"/>
    <x v="0"/>
    <x v="78"/>
    <x v="0"/>
    <x v="12"/>
    <x v="21"/>
    <x v="1"/>
    <x v="1"/>
    <x v="0"/>
    <x v="1221"/>
  </r>
  <r>
    <x v="0"/>
    <x v="550"/>
    <x v="104"/>
    <x v="56"/>
    <x v="268"/>
    <x v="599"/>
    <x v="63"/>
    <x v="1166"/>
    <x v="127"/>
    <x v="107"/>
    <x v="833"/>
    <x v="976"/>
    <x v="1211"/>
    <x v="1209"/>
    <x v="1177"/>
    <x v="4"/>
    <x v="1203"/>
    <x v="1211"/>
    <x v="483"/>
    <x v="0"/>
    <x v="0"/>
    <x v="0"/>
    <x v="88"/>
    <x v="11"/>
    <x v="251"/>
    <x v="19"/>
    <x v="1"/>
    <x v="37"/>
    <x v="0"/>
    <x v="1222"/>
  </r>
  <r>
    <x v="0"/>
    <x v="504"/>
    <x v="248"/>
    <x v="87"/>
    <x v="101"/>
    <x v="13"/>
    <x v="274"/>
    <x v="1167"/>
    <x v="429"/>
    <x v="500"/>
    <x v="834"/>
    <x v="977"/>
    <x v="1212"/>
    <x v="1210"/>
    <x v="1178"/>
    <x v="0"/>
    <x v="1204"/>
    <x v="1212"/>
    <x v="511"/>
    <x v="0"/>
    <x v="0"/>
    <x v="4"/>
    <x v="88"/>
    <x v="0"/>
    <x v="486"/>
    <x v="31"/>
    <x v="1"/>
    <x v="1"/>
    <x v="0"/>
    <x v="1223"/>
  </r>
  <r>
    <x v="0"/>
    <x v="38"/>
    <x v="284"/>
    <x v="30"/>
    <x v="25"/>
    <x v="211"/>
    <x v="10"/>
    <x v="1168"/>
    <x v="223"/>
    <x v="33"/>
    <x v="835"/>
    <x v="978"/>
    <x v="1213"/>
    <x v="1211"/>
    <x v="1179"/>
    <x v="0"/>
    <x v="1205"/>
    <x v="1213"/>
    <x v="668"/>
    <x v="0"/>
    <x v="0"/>
    <x v="0"/>
    <x v="88"/>
    <x v="2"/>
    <x v="376"/>
    <x v="32"/>
    <x v="1"/>
    <x v="51"/>
    <x v="0"/>
    <x v="1224"/>
  </r>
  <r>
    <x v="0"/>
    <x v="198"/>
    <x v="333"/>
    <x v="11"/>
    <x v="140"/>
    <x v="600"/>
    <x v="275"/>
    <x v="1169"/>
    <x v="149"/>
    <x v="501"/>
    <x v="836"/>
    <x v="979"/>
    <x v="1214"/>
    <x v="1212"/>
    <x v="1180"/>
    <x v="4"/>
    <x v="1206"/>
    <x v="1214"/>
    <x v="333"/>
    <x v="0"/>
    <x v="0"/>
    <x v="0"/>
    <x v="88"/>
    <x v="18"/>
    <x v="22"/>
    <x v="21"/>
    <x v="1"/>
    <x v="1"/>
    <x v="0"/>
    <x v="1225"/>
  </r>
  <r>
    <x v="0"/>
    <x v="551"/>
    <x v="279"/>
    <x v="37"/>
    <x v="262"/>
    <x v="491"/>
    <x v="276"/>
    <x v="1170"/>
    <x v="430"/>
    <x v="502"/>
    <x v="837"/>
    <x v="980"/>
    <x v="1215"/>
    <x v="1213"/>
    <x v="1181"/>
    <x v="4"/>
    <x v="1207"/>
    <x v="1215"/>
    <x v="435"/>
    <x v="0"/>
    <x v="0"/>
    <x v="4"/>
    <x v="4"/>
    <x v="5"/>
    <x v="57"/>
    <x v="21"/>
    <x v="3"/>
    <x v="85"/>
    <x v="0"/>
    <x v="1226"/>
  </r>
  <r>
    <x v="0"/>
    <x v="163"/>
    <x v="378"/>
    <x v="11"/>
    <x v="80"/>
    <x v="601"/>
    <x v="0"/>
    <x v="1171"/>
    <x v="105"/>
    <x v="503"/>
    <x v="838"/>
    <x v="981"/>
    <x v="1216"/>
    <x v="1214"/>
    <x v="1182"/>
    <x v="4"/>
    <x v="1208"/>
    <x v="1216"/>
    <x v="376"/>
    <x v="0"/>
    <x v="0"/>
    <x v="0"/>
    <x v="95"/>
    <x v="14"/>
    <x v="325"/>
    <x v="9"/>
    <x v="3"/>
    <x v="1"/>
    <x v="0"/>
    <x v="1227"/>
  </r>
  <r>
    <x v="0"/>
    <x v="259"/>
    <x v="388"/>
    <x v="26"/>
    <x v="173"/>
    <x v="602"/>
    <x v="41"/>
    <x v="1172"/>
    <x v="237"/>
    <x v="396"/>
    <x v="839"/>
    <x v="982"/>
    <x v="1217"/>
    <x v="1215"/>
    <x v="1183"/>
    <x v="0"/>
    <x v="1209"/>
    <x v="1217"/>
    <x v="301"/>
    <x v="0"/>
    <x v="0"/>
    <x v="0"/>
    <x v="88"/>
    <x v="20"/>
    <x v="487"/>
    <x v="9"/>
    <x v="1"/>
    <x v="1"/>
    <x v="0"/>
    <x v="1228"/>
  </r>
  <r>
    <x v="0"/>
    <x v="552"/>
    <x v="266"/>
    <x v="42"/>
    <x v="131"/>
    <x v="232"/>
    <x v="35"/>
    <x v="1173"/>
    <x v="397"/>
    <x v="504"/>
    <x v="595"/>
    <x v="983"/>
    <x v="1218"/>
    <x v="1216"/>
    <x v="1184"/>
    <x v="0"/>
    <x v="1210"/>
    <x v="1218"/>
    <x v="120"/>
    <x v="0"/>
    <x v="0"/>
    <x v="4"/>
    <x v="88"/>
    <x v="13"/>
    <x v="12"/>
    <x v="31"/>
    <x v="3"/>
    <x v="1"/>
    <x v="0"/>
    <x v="1229"/>
  </r>
  <r>
    <x v="0"/>
    <x v="53"/>
    <x v="291"/>
    <x v="22"/>
    <x v="38"/>
    <x v="215"/>
    <x v="10"/>
    <x v="1174"/>
    <x v="431"/>
    <x v="10"/>
    <x v="699"/>
    <x v="273"/>
    <x v="1219"/>
    <x v="1217"/>
    <x v="1185"/>
    <x v="1"/>
    <x v="1211"/>
    <x v="1219"/>
    <x v="702"/>
    <x v="0"/>
    <x v="1"/>
    <x v="0"/>
    <x v="82"/>
    <x v="19"/>
    <x v="30"/>
    <x v="16"/>
    <x v="3"/>
    <x v="1"/>
    <x v="0"/>
    <x v="1230"/>
  </r>
  <r>
    <x v="0"/>
    <x v="493"/>
    <x v="164"/>
    <x v="34"/>
    <x v="169"/>
    <x v="366"/>
    <x v="2"/>
    <x v="1175"/>
    <x v="168"/>
    <x v="72"/>
    <x v="840"/>
    <x v="984"/>
    <x v="1220"/>
    <x v="1218"/>
    <x v="1186"/>
    <x v="1"/>
    <x v="1212"/>
    <x v="1220"/>
    <x v="394"/>
    <x v="0"/>
    <x v="0"/>
    <x v="4"/>
    <x v="88"/>
    <x v="10"/>
    <x v="488"/>
    <x v="11"/>
    <x v="1"/>
    <x v="68"/>
    <x v="0"/>
    <x v="1231"/>
  </r>
  <r>
    <x v="0"/>
    <x v="444"/>
    <x v="165"/>
    <x v="18"/>
    <x v="241"/>
    <x v="429"/>
    <x v="21"/>
    <x v="1176"/>
    <x v="83"/>
    <x v="22"/>
    <x v="273"/>
    <x v="985"/>
    <x v="1221"/>
    <x v="1219"/>
    <x v="1185"/>
    <x v="3"/>
    <x v="1213"/>
    <x v="1221"/>
    <x v="576"/>
    <x v="0"/>
    <x v="1"/>
    <x v="0"/>
    <x v="116"/>
    <x v="10"/>
    <x v="185"/>
    <x v="8"/>
    <x v="1"/>
    <x v="5"/>
    <x v="0"/>
    <x v="1232"/>
  </r>
  <r>
    <x v="0"/>
    <x v="3"/>
    <x v="440"/>
    <x v="29"/>
    <x v="2"/>
    <x v="8"/>
    <x v="29"/>
    <x v="1177"/>
    <x v="178"/>
    <x v="34"/>
    <x v="305"/>
    <x v="8"/>
    <x v="1222"/>
    <x v="1220"/>
    <x v="1187"/>
    <x v="1"/>
    <x v="1214"/>
    <x v="1222"/>
    <x v="703"/>
    <x v="0"/>
    <x v="0"/>
    <x v="0"/>
    <x v="88"/>
    <x v="7"/>
    <x v="76"/>
    <x v="3"/>
    <x v="1"/>
    <x v="112"/>
    <x v="0"/>
    <x v="1233"/>
  </r>
  <r>
    <x v="0"/>
    <x v="395"/>
    <x v="128"/>
    <x v="38"/>
    <x v="223"/>
    <x v="224"/>
    <x v="11"/>
    <x v="1178"/>
    <x v="70"/>
    <x v="11"/>
    <x v="231"/>
    <x v="986"/>
    <x v="1223"/>
    <x v="1221"/>
    <x v="1188"/>
    <x v="6"/>
    <x v="1215"/>
    <x v="1223"/>
    <x v="68"/>
    <x v="0"/>
    <x v="0"/>
    <x v="4"/>
    <x v="114"/>
    <x v="11"/>
    <x v="6"/>
    <x v="22"/>
    <x v="1"/>
    <x v="85"/>
    <x v="0"/>
    <x v="1234"/>
  </r>
  <r>
    <x v="0"/>
    <x v="553"/>
    <x v="383"/>
    <x v="71"/>
    <x v="143"/>
    <x v="119"/>
    <x v="22"/>
    <x v="1179"/>
    <x v="44"/>
    <x v="240"/>
    <x v="841"/>
    <x v="987"/>
    <x v="1224"/>
    <x v="1222"/>
    <x v="1189"/>
    <x v="4"/>
    <x v="1216"/>
    <x v="1224"/>
    <x v="704"/>
    <x v="0"/>
    <x v="0"/>
    <x v="2"/>
    <x v="88"/>
    <x v="9"/>
    <x v="43"/>
    <x v="18"/>
    <x v="1"/>
    <x v="1"/>
    <x v="0"/>
    <x v="1235"/>
  </r>
  <r>
    <x v="0"/>
    <x v="289"/>
    <x v="189"/>
    <x v="106"/>
    <x v="0"/>
    <x v="566"/>
    <x v="277"/>
    <x v="1180"/>
    <x v="51"/>
    <x v="505"/>
    <x v="842"/>
    <x v="988"/>
    <x v="1225"/>
    <x v="1223"/>
    <x v="498"/>
    <x v="0"/>
    <x v="1217"/>
    <x v="1225"/>
    <x v="58"/>
    <x v="10"/>
    <x v="0"/>
    <x v="4"/>
    <x v="88"/>
    <x v="7"/>
    <x v="489"/>
    <x v="6"/>
    <x v="3"/>
    <x v="57"/>
    <x v="0"/>
    <x v="1236"/>
  </r>
  <r>
    <x v="0"/>
    <x v="533"/>
    <x v="353"/>
    <x v="29"/>
    <x v="263"/>
    <x v="98"/>
    <x v="278"/>
    <x v="1181"/>
    <x v="2"/>
    <x v="506"/>
    <x v="843"/>
    <x v="123"/>
    <x v="1226"/>
    <x v="1224"/>
    <x v="725"/>
    <x v="1"/>
    <x v="1218"/>
    <x v="1226"/>
    <x v="484"/>
    <x v="0"/>
    <x v="1"/>
    <x v="2"/>
    <x v="116"/>
    <x v="42"/>
    <x v="490"/>
    <x v="10"/>
    <x v="1"/>
    <x v="1"/>
    <x v="0"/>
    <x v="1237"/>
  </r>
  <r>
    <x v="0"/>
    <x v="554"/>
    <x v="144"/>
    <x v="86"/>
    <x v="269"/>
    <x v="397"/>
    <x v="35"/>
    <x v="1182"/>
    <x v="18"/>
    <x v="507"/>
    <x v="100"/>
    <x v="989"/>
    <x v="1227"/>
    <x v="1225"/>
    <x v="1190"/>
    <x v="0"/>
    <x v="1219"/>
    <x v="1227"/>
    <x v="413"/>
    <x v="0"/>
    <x v="0"/>
    <x v="4"/>
    <x v="88"/>
    <x v="5"/>
    <x v="30"/>
    <x v="21"/>
    <x v="1"/>
    <x v="16"/>
    <x v="0"/>
    <x v="1238"/>
  </r>
  <r>
    <x v="0"/>
    <x v="246"/>
    <x v="441"/>
    <x v="38"/>
    <x v="166"/>
    <x v="441"/>
    <x v="279"/>
    <x v="1183"/>
    <x v="314"/>
    <x v="508"/>
    <x v="844"/>
    <x v="990"/>
    <x v="1228"/>
    <x v="1226"/>
    <x v="1191"/>
    <x v="3"/>
    <x v="1220"/>
    <x v="1228"/>
    <x v="705"/>
    <x v="0"/>
    <x v="0"/>
    <x v="2"/>
    <x v="88"/>
    <x v="43"/>
    <x v="401"/>
    <x v="18"/>
    <x v="1"/>
    <x v="232"/>
    <x v="0"/>
    <x v="1239"/>
  </r>
  <r>
    <x v="0"/>
    <x v="387"/>
    <x v="423"/>
    <x v="45"/>
    <x v="219"/>
    <x v="561"/>
    <x v="1"/>
    <x v="1184"/>
    <x v="60"/>
    <x v="1"/>
    <x v="845"/>
    <x v="893"/>
    <x v="1229"/>
    <x v="1227"/>
    <x v="1192"/>
    <x v="1"/>
    <x v="1221"/>
    <x v="1229"/>
    <x v="672"/>
    <x v="0"/>
    <x v="0"/>
    <x v="0"/>
    <x v="88"/>
    <x v="14"/>
    <x v="400"/>
    <x v="4"/>
    <x v="1"/>
    <x v="1"/>
    <x v="0"/>
    <x v="1240"/>
  </r>
  <r>
    <x v="0"/>
    <x v="555"/>
    <x v="177"/>
    <x v="77"/>
    <x v="174"/>
    <x v="603"/>
    <x v="11"/>
    <x v="1185"/>
    <x v="49"/>
    <x v="63"/>
    <x v="846"/>
    <x v="991"/>
    <x v="1230"/>
    <x v="1228"/>
    <x v="1193"/>
    <x v="0"/>
    <x v="1222"/>
    <x v="1230"/>
    <x v="347"/>
    <x v="0"/>
    <x v="0"/>
    <x v="2"/>
    <x v="88"/>
    <x v="7"/>
    <x v="491"/>
    <x v="2"/>
    <x v="1"/>
    <x v="1"/>
    <x v="0"/>
    <x v="1241"/>
  </r>
  <r>
    <x v="1"/>
    <x v="386"/>
    <x v="229"/>
    <x v="27"/>
    <x v="116"/>
    <x v="457"/>
    <x v="245"/>
    <x v="1186"/>
    <x v="236"/>
    <x v="509"/>
    <x v="847"/>
    <x v="992"/>
    <x v="1231"/>
    <x v="1229"/>
    <x v="1194"/>
    <x v="0"/>
    <x v="1223"/>
    <x v="1231"/>
    <x v="706"/>
    <x v="0"/>
    <x v="0"/>
    <x v="0"/>
    <x v="112"/>
    <x v="12"/>
    <x v="492"/>
    <x v="12"/>
    <x v="1"/>
    <x v="1"/>
    <x v="0"/>
    <x v="1242"/>
  </r>
  <r>
    <x v="0"/>
    <x v="556"/>
    <x v="244"/>
    <x v="72"/>
    <x v="91"/>
    <x v="32"/>
    <x v="22"/>
    <x v="1187"/>
    <x v="348"/>
    <x v="80"/>
    <x v="848"/>
    <x v="39"/>
    <x v="1232"/>
    <x v="1230"/>
    <x v="1195"/>
    <x v="0"/>
    <x v="1224"/>
    <x v="1232"/>
    <x v="472"/>
    <x v="0"/>
    <x v="0"/>
    <x v="2"/>
    <x v="131"/>
    <x v="3"/>
    <x v="12"/>
    <x v="4"/>
    <x v="3"/>
    <x v="59"/>
    <x v="0"/>
    <x v="1243"/>
  </r>
  <r>
    <x v="0"/>
    <x v="557"/>
    <x v="342"/>
    <x v="59"/>
    <x v="123"/>
    <x v="248"/>
    <x v="0"/>
    <x v="1188"/>
    <x v="127"/>
    <x v="510"/>
    <x v="849"/>
    <x v="320"/>
    <x v="1233"/>
    <x v="1231"/>
    <x v="1196"/>
    <x v="4"/>
    <x v="1225"/>
    <x v="1233"/>
    <x v="420"/>
    <x v="0"/>
    <x v="0"/>
    <x v="0"/>
    <x v="88"/>
    <x v="8"/>
    <x v="493"/>
    <x v="27"/>
    <x v="1"/>
    <x v="67"/>
    <x v="0"/>
    <x v="1244"/>
  </r>
  <r>
    <x v="0"/>
    <x v="326"/>
    <x v="376"/>
    <x v="90"/>
    <x v="121"/>
    <x v="545"/>
    <x v="280"/>
    <x v="1189"/>
    <x v="432"/>
    <x v="511"/>
    <x v="850"/>
    <x v="993"/>
    <x v="1234"/>
    <x v="1232"/>
    <x v="1197"/>
    <x v="1"/>
    <x v="1226"/>
    <x v="1234"/>
    <x v="600"/>
    <x v="0"/>
    <x v="0"/>
    <x v="4"/>
    <x v="88"/>
    <x v="11"/>
    <x v="494"/>
    <x v="8"/>
    <x v="1"/>
    <x v="37"/>
    <x v="0"/>
    <x v="1245"/>
  </r>
  <r>
    <x v="0"/>
    <x v="420"/>
    <x v="74"/>
    <x v="24"/>
    <x v="0"/>
    <x v="301"/>
    <x v="57"/>
    <x v="1190"/>
    <x v="168"/>
    <x v="109"/>
    <x v="851"/>
    <x v="398"/>
    <x v="1235"/>
    <x v="1233"/>
    <x v="1198"/>
    <x v="1"/>
    <x v="1227"/>
    <x v="1235"/>
    <x v="482"/>
    <x v="0"/>
    <x v="0"/>
    <x v="0"/>
    <x v="88"/>
    <x v="13"/>
    <x v="0"/>
    <x v="1"/>
    <x v="1"/>
    <x v="1"/>
    <x v="0"/>
    <x v="1246"/>
  </r>
  <r>
    <x v="0"/>
    <x v="509"/>
    <x v="186"/>
    <x v="42"/>
    <x v="257"/>
    <x v="229"/>
    <x v="20"/>
    <x v="1191"/>
    <x v="236"/>
    <x v="21"/>
    <x v="845"/>
    <x v="291"/>
    <x v="1236"/>
    <x v="1234"/>
    <x v="1199"/>
    <x v="1"/>
    <x v="1228"/>
    <x v="1236"/>
    <x v="425"/>
    <x v="0"/>
    <x v="0"/>
    <x v="4"/>
    <x v="88"/>
    <x v="17"/>
    <x v="400"/>
    <x v="27"/>
    <x v="3"/>
    <x v="1"/>
    <x v="0"/>
    <x v="1247"/>
  </r>
  <r>
    <x v="0"/>
    <x v="38"/>
    <x v="379"/>
    <x v="125"/>
    <x v="25"/>
    <x v="21"/>
    <x v="25"/>
    <x v="1192"/>
    <x v="433"/>
    <x v="82"/>
    <x v="65"/>
    <x v="642"/>
    <x v="1237"/>
    <x v="1235"/>
    <x v="1200"/>
    <x v="4"/>
    <x v="1229"/>
    <x v="1237"/>
    <x v="108"/>
    <x v="0"/>
    <x v="0"/>
    <x v="4"/>
    <x v="105"/>
    <x v="13"/>
    <x v="6"/>
    <x v="13"/>
    <x v="3"/>
    <x v="1"/>
    <x v="0"/>
    <x v="1248"/>
  </r>
  <r>
    <x v="0"/>
    <x v="131"/>
    <x v="429"/>
    <x v="11"/>
    <x v="97"/>
    <x v="298"/>
    <x v="281"/>
    <x v="1193"/>
    <x v="185"/>
    <x v="512"/>
    <x v="852"/>
    <x v="994"/>
    <x v="1238"/>
    <x v="1236"/>
    <x v="1201"/>
    <x v="4"/>
    <x v="1230"/>
    <x v="1238"/>
    <x v="388"/>
    <x v="0"/>
    <x v="0"/>
    <x v="0"/>
    <x v="88"/>
    <x v="29"/>
    <x v="495"/>
    <x v="19"/>
    <x v="1"/>
    <x v="138"/>
    <x v="0"/>
    <x v="1249"/>
  </r>
  <r>
    <x v="0"/>
    <x v="558"/>
    <x v="130"/>
    <x v="58"/>
    <x v="73"/>
    <x v="604"/>
    <x v="0"/>
    <x v="1194"/>
    <x v="179"/>
    <x v="513"/>
    <x v="853"/>
    <x v="995"/>
    <x v="1239"/>
    <x v="1237"/>
    <x v="1202"/>
    <x v="0"/>
    <x v="1231"/>
    <x v="1239"/>
    <x v="707"/>
    <x v="0"/>
    <x v="0"/>
    <x v="4"/>
    <x v="88"/>
    <x v="1"/>
    <x v="496"/>
    <x v="55"/>
    <x v="1"/>
    <x v="1"/>
    <x v="0"/>
    <x v="1250"/>
  </r>
  <r>
    <x v="0"/>
    <x v="372"/>
    <x v="307"/>
    <x v="54"/>
    <x v="8"/>
    <x v="489"/>
    <x v="22"/>
    <x v="1195"/>
    <x v="238"/>
    <x v="514"/>
    <x v="854"/>
    <x v="996"/>
    <x v="1240"/>
    <x v="1238"/>
    <x v="1203"/>
    <x v="1"/>
    <x v="1232"/>
    <x v="1240"/>
    <x v="592"/>
    <x v="0"/>
    <x v="0"/>
    <x v="2"/>
    <x v="88"/>
    <x v="24"/>
    <x v="277"/>
    <x v="31"/>
    <x v="3"/>
    <x v="1"/>
    <x v="0"/>
    <x v="1251"/>
  </r>
  <r>
    <x v="0"/>
    <x v="559"/>
    <x v="217"/>
    <x v="33"/>
    <x v="270"/>
    <x v="104"/>
    <x v="6"/>
    <x v="1196"/>
    <x v="17"/>
    <x v="6"/>
    <x v="855"/>
    <x v="628"/>
    <x v="1241"/>
    <x v="1239"/>
    <x v="1204"/>
    <x v="4"/>
    <x v="1233"/>
    <x v="1241"/>
    <x v="454"/>
    <x v="0"/>
    <x v="0"/>
    <x v="0"/>
    <x v="88"/>
    <x v="21"/>
    <x v="30"/>
    <x v="34"/>
    <x v="3"/>
    <x v="1"/>
    <x v="0"/>
    <x v="1252"/>
  </r>
  <r>
    <x v="0"/>
    <x v="347"/>
    <x v="177"/>
    <x v="54"/>
    <x v="164"/>
    <x v="410"/>
    <x v="7"/>
    <x v="1197"/>
    <x v="434"/>
    <x v="7"/>
    <x v="856"/>
    <x v="596"/>
    <x v="1242"/>
    <x v="1240"/>
    <x v="1205"/>
    <x v="2"/>
    <x v="1234"/>
    <x v="1242"/>
    <x v="708"/>
    <x v="0"/>
    <x v="0"/>
    <x v="0"/>
    <x v="4"/>
    <x v="1"/>
    <x v="497"/>
    <x v="12"/>
    <x v="3"/>
    <x v="1"/>
    <x v="0"/>
    <x v="1253"/>
  </r>
  <r>
    <x v="0"/>
    <x v="560"/>
    <x v="173"/>
    <x v="56"/>
    <x v="154"/>
    <x v="426"/>
    <x v="282"/>
    <x v="1198"/>
    <x v="145"/>
    <x v="515"/>
    <x v="857"/>
    <x v="997"/>
    <x v="1243"/>
    <x v="1241"/>
    <x v="1206"/>
    <x v="0"/>
    <x v="1235"/>
    <x v="1243"/>
    <x v="709"/>
    <x v="0"/>
    <x v="0"/>
    <x v="4"/>
    <x v="88"/>
    <x v="10"/>
    <x v="498"/>
    <x v="15"/>
    <x v="1"/>
    <x v="42"/>
    <x v="0"/>
    <x v="1254"/>
  </r>
  <r>
    <x v="0"/>
    <x v="544"/>
    <x v="304"/>
    <x v="54"/>
    <x v="247"/>
    <x v="173"/>
    <x v="259"/>
    <x v="1199"/>
    <x v="200"/>
    <x v="516"/>
    <x v="858"/>
    <x v="998"/>
    <x v="1244"/>
    <x v="1242"/>
    <x v="1207"/>
    <x v="1"/>
    <x v="1236"/>
    <x v="1244"/>
    <x v="575"/>
    <x v="0"/>
    <x v="0"/>
    <x v="0"/>
    <x v="88"/>
    <x v="3"/>
    <x v="121"/>
    <x v="27"/>
    <x v="1"/>
    <x v="1"/>
    <x v="0"/>
    <x v="1255"/>
  </r>
  <r>
    <x v="0"/>
    <x v="548"/>
    <x v="442"/>
    <x v="70"/>
    <x v="0"/>
    <x v="81"/>
    <x v="35"/>
    <x v="1200"/>
    <x v="364"/>
    <x v="517"/>
    <x v="859"/>
    <x v="999"/>
    <x v="1245"/>
    <x v="1243"/>
    <x v="1208"/>
    <x v="0"/>
    <x v="1237"/>
    <x v="1245"/>
    <x v="710"/>
    <x v="0"/>
    <x v="0"/>
    <x v="4"/>
    <x v="88"/>
    <x v="10"/>
    <x v="496"/>
    <x v="5"/>
    <x v="1"/>
    <x v="18"/>
    <x v="0"/>
    <x v="1256"/>
  </r>
  <r>
    <x v="0"/>
    <x v="133"/>
    <x v="291"/>
    <x v="32"/>
    <x v="98"/>
    <x v="45"/>
    <x v="25"/>
    <x v="1201"/>
    <x v="60"/>
    <x v="76"/>
    <x v="77"/>
    <x v="1000"/>
    <x v="1246"/>
    <x v="1244"/>
    <x v="1209"/>
    <x v="1"/>
    <x v="1238"/>
    <x v="1246"/>
    <x v="711"/>
    <x v="0"/>
    <x v="8"/>
    <x v="4"/>
    <x v="88"/>
    <x v="15"/>
    <x v="56"/>
    <x v="12"/>
    <x v="1"/>
    <x v="1"/>
    <x v="0"/>
    <x v="1257"/>
  </r>
  <r>
    <x v="0"/>
    <x v="78"/>
    <x v="249"/>
    <x v="35"/>
    <x v="0"/>
    <x v="391"/>
    <x v="283"/>
    <x v="1202"/>
    <x v="432"/>
    <x v="518"/>
    <x v="403"/>
    <x v="552"/>
    <x v="1247"/>
    <x v="1245"/>
    <x v="1210"/>
    <x v="1"/>
    <x v="1239"/>
    <x v="1247"/>
    <x v="120"/>
    <x v="0"/>
    <x v="0"/>
    <x v="4"/>
    <x v="30"/>
    <x v="23"/>
    <x v="271"/>
    <x v="13"/>
    <x v="1"/>
    <x v="1"/>
    <x v="0"/>
    <x v="1258"/>
  </r>
  <r>
    <x v="0"/>
    <x v="561"/>
    <x v="275"/>
    <x v="50"/>
    <x v="79"/>
    <x v="605"/>
    <x v="262"/>
    <x v="1203"/>
    <x v="125"/>
    <x v="519"/>
    <x v="806"/>
    <x v="1001"/>
    <x v="1248"/>
    <x v="1246"/>
    <x v="1211"/>
    <x v="4"/>
    <x v="1240"/>
    <x v="1248"/>
    <x v="469"/>
    <x v="0"/>
    <x v="0"/>
    <x v="4"/>
    <x v="88"/>
    <x v="11"/>
    <x v="136"/>
    <x v="37"/>
    <x v="3"/>
    <x v="1"/>
    <x v="0"/>
    <x v="1259"/>
  </r>
  <r>
    <x v="0"/>
    <x v="562"/>
    <x v="249"/>
    <x v="50"/>
    <x v="0"/>
    <x v="545"/>
    <x v="139"/>
    <x v="1204"/>
    <x v="200"/>
    <x v="258"/>
    <x v="860"/>
    <x v="1002"/>
    <x v="1249"/>
    <x v="1247"/>
    <x v="1212"/>
    <x v="3"/>
    <x v="1241"/>
    <x v="1249"/>
    <x v="140"/>
    <x v="0"/>
    <x v="8"/>
    <x v="0"/>
    <x v="81"/>
    <x v="21"/>
    <x v="409"/>
    <x v="55"/>
    <x v="3"/>
    <x v="233"/>
    <x v="0"/>
    <x v="1260"/>
  </r>
  <r>
    <x v="0"/>
    <x v="458"/>
    <x v="403"/>
    <x v="80"/>
    <x v="126"/>
    <x v="284"/>
    <x v="284"/>
    <x v="1205"/>
    <x v="429"/>
    <x v="520"/>
    <x v="861"/>
    <x v="1003"/>
    <x v="1250"/>
    <x v="1248"/>
    <x v="1213"/>
    <x v="0"/>
    <x v="1242"/>
    <x v="1250"/>
    <x v="108"/>
    <x v="0"/>
    <x v="0"/>
    <x v="4"/>
    <x v="88"/>
    <x v="10"/>
    <x v="499"/>
    <x v="18"/>
    <x v="1"/>
    <x v="35"/>
    <x v="0"/>
    <x v="1261"/>
  </r>
  <r>
    <x v="0"/>
    <x v="563"/>
    <x v="362"/>
    <x v="58"/>
    <x v="85"/>
    <x v="513"/>
    <x v="39"/>
    <x v="1206"/>
    <x v="314"/>
    <x v="57"/>
    <x v="862"/>
    <x v="1004"/>
    <x v="1251"/>
    <x v="1249"/>
    <x v="649"/>
    <x v="1"/>
    <x v="1243"/>
    <x v="1251"/>
    <x v="426"/>
    <x v="0"/>
    <x v="1"/>
    <x v="0"/>
    <x v="88"/>
    <x v="15"/>
    <x v="500"/>
    <x v="27"/>
    <x v="3"/>
    <x v="234"/>
    <x v="0"/>
    <x v="1262"/>
  </r>
  <r>
    <x v="0"/>
    <x v="237"/>
    <x v="271"/>
    <x v="32"/>
    <x v="158"/>
    <x v="418"/>
    <x v="11"/>
    <x v="1207"/>
    <x v="270"/>
    <x v="11"/>
    <x v="812"/>
    <x v="1005"/>
    <x v="1252"/>
    <x v="1250"/>
    <x v="1214"/>
    <x v="4"/>
    <x v="1244"/>
    <x v="1252"/>
    <x v="285"/>
    <x v="0"/>
    <x v="0"/>
    <x v="0"/>
    <x v="88"/>
    <x v="21"/>
    <x v="13"/>
    <x v="13"/>
    <x v="3"/>
    <x v="37"/>
    <x v="0"/>
    <x v="1263"/>
  </r>
  <r>
    <x v="0"/>
    <x v="307"/>
    <x v="310"/>
    <x v="27"/>
    <x v="114"/>
    <x v="606"/>
    <x v="285"/>
    <x v="1208"/>
    <x v="334"/>
    <x v="521"/>
    <x v="863"/>
    <x v="1006"/>
    <x v="1253"/>
    <x v="1251"/>
    <x v="1215"/>
    <x v="1"/>
    <x v="1245"/>
    <x v="1253"/>
    <x v="369"/>
    <x v="0"/>
    <x v="0"/>
    <x v="0"/>
    <x v="116"/>
    <x v="12"/>
    <x v="501"/>
    <x v="5"/>
    <x v="1"/>
    <x v="1"/>
    <x v="0"/>
    <x v="1264"/>
  </r>
  <r>
    <x v="0"/>
    <x v="113"/>
    <x v="320"/>
    <x v="119"/>
    <x v="88"/>
    <x v="74"/>
    <x v="233"/>
    <x v="4"/>
    <x v="233"/>
    <x v="522"/>
    <x v="864"/>
    <x v="1007"/>
    <x v="1254"/>
    <x v="1252"/>
    <x v="1216"/>
    <x v="0"/>
    <x v="1246"/>
    <x v="1254"/>
    <x v="712"/>
    <x v="0"/>
    <x v="4"/>
    <x v="12"/>
    <x v="4"/>
    <x v="4"/>
    <x v="244"/>
    <x v="38"/>
    <x v="8"/>
    <x v="235"/>
    <x v="0"/>
    <x v="1265"/>
  </r>
  <r>
    <x v="0"/>
    <x v="254"/>
    <x v="265"/>
    <x v="58"/>
    <x v="169"/>
    <x v="88"/>
    <x v="0"/>
    <x v="1209"/>
    <x v="200"/>
    <x v="503"/>
    <x v="865"/>
    <x v="556"/>
    <x v="1255"/>
    <x v="1253"/>
    <x v="1217"/>
    <x v="1"/>
    <x v="1247"/>
    <x v="1255"/>
    <x v="420"/>
    <x v="0"/>
    <x v="0"/>
    <x v="0"/>
    <x v="88"/>
    <x v="8"/>
    <x v="502"/>
    <x v="20"/>
    <x v="1"/>
    <x v="236"/>
    <x v="0"/>
    <x v="1266"/>
  </r>
  <r>
    <x v="0"/>
    <x v="314"/>
    <x v="443"/>
    <x v="16"/>
    <x v="196"/>
    <x v="23"/>
    <x v="21"/>
    <x v="1210"/>
    <x v="335"/>
    <x v="22"/>
    <x v="99"/>
    <x v="537"/>
    <x v="1256"/>
    <x v="1254"/>
    <x v="1218"/>
    <x v="3"/>
    <x v="1248"/>
    <x v="1256"/>
    <x v="524"/>
    <x v="0"/>
    <x v="0"/>
    <x v="4"/>
    <x v="88"/>
    <x v="11"/>
    <x v="71"/>
    <x v="9"/>
    <x v="1"/>
    <x v="4"/>
    <x v="0"/>
    <x v="1267"/>
  </r>
  <r>
    <x v="0"/>
    <x v="503"/>
    <x v="266"/>
    <x v="41"/>
    <x v="256"/>
    <x v="565"/>
    <x v="243"/>
    <x v="1211"/>
    <x v="435"/>
    <x v="446"/>
    <x v="866"/>
    <x v="1008"/>
    <x v="1257"/>
    <x v="1255"/>
    <x v="1219"/>
    <x v="0"/>
    <x v="1249"/>
    <x v="1257"/>
    <x v="368"/>
    <x v="0"/>
    <x v="0"/>
    <x v="0"/>
    <x v="131"/>
    <x v="24"/>
    <x v="181"/>
    <x v="19"/>
    <x v="3"/>
    <x v="1"/>
    <x v="0"/>
    <x v="1268"/>
  </r>
  <r>
    <x v="0"/>
    <x v="564"/>
    <x v="189"/>
    <x v="74"/>
    <x v="144"/>
    <x v="607"/>
    <x v="10"/>
    <x v="1212"/>
    <x v="436"/>
    <x v="33"/>
    <x v="867"/>
    <x v="1009"/>
    <x v="1258"/>
    <x v="1256"/>
    <x v="1220"/>
    <x v="1"/>
    <x v="1250"/>
    <x v="1258"/>
    <x v="19"/>
    <x v="0"/>
    <x v="0"/>
    <x v="0"/>
    <x v="88"/>
    <x v="10"/>
    <x v="354"/>
    <x v="8"/>
    <x v="1"/>
    <x v="36"/>
    <x v="0"/>
    <x v="1269"/>
  </r>
  <r>
    <x v="0"/>
    <x v="498"/>
    <x v="237"/>
    <x v="86"/>
    <x v="59"/>
    <x v="471"/>
    <x v="286"/>
    <x v="1213"/>
    <x v="105"/>
    <x v="523"/>
    <x v="868"/>
    <x v="1010"/>
    <x v="1259"/>
    <x v="1257"/>
    <x v="1221"/>
    <x v="0"/>
    <x v="1251"/>
    <x v="1259"/>
    <x v="319"/>
    <x v="0"/>
    <x v="0"/>
    <x v="0"/>
    <x v="88"/>
    <x v="5"/>
    <x v="198"/>
    <x v="12"/>
    <x v="1"/>
    <x v="1"/>
    <x v="0"/>
    <x v="1270"/>
  </r>
  <r>
    <x v="0"/>
    <x v="474"/>
    <x v="288"/>
    <x v="85"/>
    <x v="246"/>
    <x v="249"/>
    <x v="0"/>
    <x v="1214"/>
    <x v="437"/>
    <x v="524"/>
    <x v="869"/>
    <x v="321"/>
    <x v="1260"/>
    <x v="1258"/>
    <x v="1222"/>
    <x v="0"/>
    <x v="1252"/>
    <x v="1260"/>
    <x v="437"/>
    <x v="0"/>
    <x v="0"/>
    <x v="4"/>
    <x v="88"/>
    <x v="12"/>
    <x v="30"/>
    <x v="40"/>
    <x v="1"/>
    <x v="1"/>
    <x v="0"/>
    <x v="1271"/>
  </r>
  <r>
    <x v="0"/>
    <x v="565"/>
    <x v="382"/>
    <x v="38"/>
    <x v="174"/>
    <x v="251"/>
    <x v="35"/>
    <x v="1215"/>
    <x v="263"/>
    <x v="280"/>
    <x v="74"/>
    <x v="1011"/>
    <x v="1261"/>
    <x v="1259"/>
    <x v="1223"/>
    <x v="0"/>
    <x v="1253"/>
    <x v="1261"/>
    <x v="713"/>
    <x v="0"/>
    <x v="0"/>
    <x v="4"/>
    <x v="88"/>
    <x v="21"/>
    <x v="30"/>
    <x v="20"/>
    <x v="1"/>
    <x v="169"/>
    <x v="0"/>
    <x v="1272"/>
  </r>
  <r>
    <x v="0"/>
    <x v="126"/>
    <x v="265"/>
    <x v="24"/>
    <x v="0"/>
    <x v="351"/>
    <x v="22"/>
    <x v="1216"/>
    <x v="225"/>
    <x v="169"/>
    <x v="870"/>
    <x v="1012"/>
    <x v="1262"/>
    <x v="1260"/>
    <x v="1224"/>
    <x v="1"/>
    <x v="1254"/>
    <x v="1262"/>
    <x v="714"/>
    <x v="0"/>
    <x v="0"/>
    <x v="0"/>
    <x v="88"/>
    <x v="12"/>
    <x v="30"/>
    <x v="15"/>
    <x v="1"/>
    <x v="67"/>
    <x v="0"/>
    <x v="1273"/>
  </r>
  <r>
    <x v="0"/>
    <x v="168"/>
    <x v="388"/>
    <x v="86"/>
    <x v="111"/>
    <x v="92"/>
    <x v="22"/>
    <x v="1217"/>
    <x v="438"/>
    <x v="295"/>
    <x v="871"/>
    <x v="1013"/>
    <x v="1263"/>
    <x v="1261"/>
    <x v="1225"/>
    <x v="0"/>
    <x v="1255"/>
    <x v="1263"/>
    <x v="559"/>
    <x v="0"/>
    <x v="0"/>
    <x v="4"/>
    <x v="88"/>
    <x v="21"/>
    <x v="503"/>
    <x v="37"/>
    <x v="1"/>
    <x v="237"/>
    <x v="0"/>
    <x v="1274"/>
  </r>
  <r>
    <x v="0"/>
    <x v="400"/>
    <x v="219"/>
    <x v="78"/>
    <x v="218"/>
    <x v="273"/>
    <x v="287"/>
    <x v="1218"/>
    <x v="125"/>
    <x v="525"/>
    <x v="872"/>
    <x v="1014"/>
    <x v="1264"/>
    <x v="1262"/>
    <x v="1226"/>
    <x v="4"/>
    <x v="1256"/>
    <x v="1264"/>
    <x v="715"/>
    <x v="0"/>
    <x v="0"/>
    <x v="0"/>
    <x v="88"/>
    <x v="15"/>
    <x v="504"/>
    <x v="43"/>
    <x v="3"/>
    <x v="238"/>
    <x v="0"/>
    <x v="1275"/>
  </r>
  <r>
    <x v="0"/>
    <x v="407"/>
    <x v="266"/>
    <x v="77"/>
    <x v="173"/>
    <x v="608"/>
    <x v="14"/>
    <x v="1219"/>
    <x v="321"/>
    <x v="373"/>
    <x v="36"/>
    <x v="1015"/>
    <x v="1265"/>
    <x v="1263"/>
    <x v="1227"/>
    <x v="4"/>
    <x v="1257"/>
    <x v="1265"/>
    <x v="291"/>
    <x v="0"/>
    <x v="0"/>
    <x v="0"/>
    <x v="88"/>
    <x v="25"/>
    <x v="29"/>
    <x v="46"/>
    <x v="1"/>
    <x v="1"/>
    <x v="0"/>
    <x v="1276"/>
  </r>
  <r>
    <x v="0"/>
    <x v="177"/>
    <x v="283"/>
    <x v="27"/>
    <x v="0"/>
    <x v="329"/>
    <x v="288"/>
    <x v="1220"/>
    <x v="6"/>
    <x v="526"/>
    <x v="873"/>
    <x v="1016"/>
    <x v="1266"/>
    <x v="1264"/>
    <x v="1228"/>
    <x v="0"/>
    <x v="1258"/>
    <x v="1266"/>
    <x v="708"/>
    <x v="0"/>
    <x v="8"/>
    <x v="0"/>
    <x v="88"/>
    <x v="18"/>
    <x v="58"/>
    <x v="55"/>
    <x v="1"/>
    <x v="239"/>
    <x v="0"/>
    <x v="1277"/>
  </r>
  <r>
    <x v="0"/>
    <x v="566"/>
    <x v="244"/>
    <x v="69"/>
    <x v="28"/>
    <x v="8"/>
    <x v="24"/>
    <x v="1221"/>
    <x v="415"/>
    <x v="131"/>
    <x v="24"/>
    <x v="1017"/>
    <x v="1267"/>
    <x v="1265"/>
    <x v="1229"/>
    <x v="3"/>
    <x v="1259"/>
    <x v="1267"/>
    <x v="418"/>
    <x v="0"/>
    <x v="1"/>
    <x v="0"/>
    <x v="82"/>
    <x v="8"/>
    <x v="21"/>
    <x v="10"/>
    <x v="3"/>
    <x v="1"/>
    <x v="0"/>
    <x v="1278"/>
  </r>
  <r>
    <x v="0"/>
    <x v="567"/>
    <x v="160"/>
    <x v="73"/>
    <x v="143"/>
    <x v="11"/>
    <x v="11"/>
    <x v="1222"/>
    <x v="17"/>
    <x v="63"/>
    <x v="99"/>
    <x v="11"/>
    <x v="1268"/>
    <x v="1266"/>
    <x v="1230"/>
    <x v="1"/>
    <x v="1260"/>
    <x v="1268"/>
    <x v="459"/>
    <x v="0"/>
    <x v="0"/>
    <x v="0"/>
    <x v="88"/>
    <x v="18"/>
    <x v="71"/>
    <x v="10"/>
    <x v="3"/>
    <x v="60"/>
    <x v="0"/>
    <x v="1279"/>
  </r>
  <r>
    <x v="0"/>
    <x v="249"/>
    <x v="136"/>
    <x v="77"/>
    <x v="138"/>
    <x v="250"/>
    <x v="289"/>
    <x v="1223"/>
    <x v="381"/>
    <x v="527"/>
    <x v="874"/>
    <x v="1018"/>
    <x v="1269"/>
    <x v="1267"/>
    <x v="1231"/>
    <x v="0"/>
    <x v="1261"/>
    <x v="1269"/>
    <x v="128"/>
    <x v="0"/>
    <x v="0"/>
    <x v="4"/>
    <x v="88"/>
    <x v="1"/>
    <x v="505"/>
    <x v="20"/>
    <x v="1"/>
    <x v="1"/>
    <x v="0"/>
    <x v="1280"/>
  </r>
  <r>
    <x v="0"/>
    <x v="48"/>
    <x v="356"/>
    <x v="52"/>
    <x v="33"/>
    <x v="389"/>
    <x v="13"/>
    <x v="1224"/>
    <x v="368"/>
    <x v="158"/>
    <x v="875"/>
    <x v="1019"/>
    <x v="1270"/>
    <x v="1268"/>
    <x v="1232"/>
    <x v="0"/>
    <x v="1262"/>
    <x v="1270"/>
    <x v="533"/>
    <x v="0"/>
    <x v="0"/>
    <x v="4"/>
    <x v="149"/>
    <x v="44"/>
    <x v="506"/>
    <x v="38"/>
    <x v="3"/>
    <x v="1"/>
    <x v="0"/>
    <x v="1281"/>
  </r>
  <r>
    <x v="0"/>
    <x v="487"/>
    <x v="329"/>
    <x v="57"/>
    <x v="149"/>
    <x v="609"/>
    <x v="56"/>
    <x v="1225"/>
    <x v="200"/>
    <x v="98"/>
    <x v="876"/>
    <x v="1020"/>
    <x v="1271"/>
    <x v="1269"/>
    <x v="1233"/>
    <x v="1"/>
    <x v="1263"/>
    <x v="1271"/>
    <x v="666"/>
    <x v="0"/>
    <x v="0"/>
    <x v="0"/>
    <x v="88"/>
    <x v="24"/>
    <x v="507"/>
    <x v="9"/>
    <x v="3"/>
    <x v="240"/>
    <x v="0"/>
    <x v="1282"/>
  </r>
  <r>
    <x v="0"/>
    <x v="484"/>
    <x v="275"/>
    <x v="52"/>
    <x v="249"/>
    <x v="610"/>
    <x v="290"/>
    <x v="1226"/>
    <x v="28"/>
    <x v="528"/>
    <x v="877"/>
    <x v="1021"/>
    <x v="1272"/>
    <x v="1270"/>
    <x v="1234"/>
    <x v="0"/>
    <x v="1264"/>
    <x v="1272"/>
    <x v="394"/>
    <x v="0"/>
    <x v="10"/>
    <x v="0"/>
    <x v="88"/>
    <x v="10"/>
    <x v="468"/>
    <x v="21"/>
    <x v="1"/>
    <x v="61"/>
    <x v="0"/>
    <x v="1283"/>
  </r>
  <r>
    <x v="0"/>
    <x v="568"/>
    <x v="384"/>
    <x v="107"/>
    <x v="143"/>
    <x v="537"/>
    <x v="14"/>
    <x v="1227"/>
    <x v="439"/>
    <x v="61"/>
    <x v="878"/>
    <x v="1022"/>
    <x v="1273"/>
    <x v="1271"/>
    <x v="1235"/>
    <x v="0"/>
    <x v="1265"/>
    <x v="1273"/>
    <x v="450"/>
    <x v="0"/>
    <x v="0"/>
    <x v="3"/>
    <x v="88"/>
    <x v="20"/>
    <x v="508"/>
    <x v="5"/>
    <x v="3"/>
    <x v="1"/>
    <x v="0"/>
    <x v="1284"/>
  </r>
  <r>
    <x v="0"/>
    <x v="309"/>
    <x v="209"/>
    <x v="26"/>
    <x v="194"/>
    <x v="611"/>
    <x v="13"/>
    <x v="1228"/>
    <x v="171"/>
    <x v="158"/>
    <x v="6"/>
    <x v="1023"/>
    <x v="1274"/>
    <x v="1272"/>
    <x v="1236"/>
    <x v="1"/>
    <x v="1266"/>
    <x v="1274"/>
    <x v="690"/>
    <x v="0"/>
    <x v="0"/>
    <x v="4"/>
    <x v="81"/>
    <x v="19"/>
    <x v="6"/>
    <x v="5"/>
    <x v="1"/>
    <x v="99"/>
    <x v="0"/>
    <x v="1285"/>
  </r>
  <r>
    <x v="1"/>
    <x v="569"/>
    <x v="398"/>
    <x v="57"/>
    <x v="116"/>
    <x v="612"/>
    <x v="291"/>
    <x v="1229"/>
    <x v="17"/>
    <x v="529"/>
    <x v="214"/>
    <x v="1024"/>
    <x v="1275"/>
    <x v="1273"/>
    <x v="1237"/>
    <x v="1"/>
    <x v="1267"/>
    <x v="1275"/>
    <x v="170"/>
    <x v="0"/>
    <x v="0"/>
    <x v="0"/>
    <x v="81"/>
    <x v="15"/>
    <x v="144"/>
    <x v="18"/>
    <x v="3"/>
    <x v="1"/>
    <x v="0"/>
    <x v="1286"/>
  </r>
  <r>
    <x v="0"/>
    <x v="570"/>
    <x v="366"/>
    <x v="95"/>
    <x v="58"/>
    <x v="1"/>
    <x v="0"/>
    <x v="1230"/>
    <x v="132"/>
    <x v="530"/>
    <x v="488"/>
    <x v="1025"/>
    <x v="1276"/>
    <x v="1274"/>
    <x v="1238"/>
    <x v="0"/>
    <x v="1268"/>
    <x v="1276"/>
    <x v="488"/>
    <x v="0"/>
    <x v="0"/>
    <x v="0"/>
    <x v="88"/>
    <x v="14"/>
    <x v="30"/>
    <x v="61"/>
    <x v="1"/>
    <x v="1"/>
    <x v="0"/>
    <x v="1287"/>
  </r>
  <r>
    <x v="0"/>
    <x v="377"/>
    <x v="401"/>
    <x v="70"/>
    <x v="184"/>
    <x v="494"/>
    <x v="21"/>
    <x v="1231"/>
    <x v="306"/>
    <x v="210"/>
    <x v="879"/>
    <x v="739"/>
    <x v="1277"/>
    <x v="1275"/>
    <x v="1239"/>
    <x v="4"/>
    <x v="1269"/>
    <x v="1277"/>
    <x v="716"/>
    <x v="0"/>
    <x v="0"/>
    <x v="4"/>
    <x v="88"/>
    <x v="25"/>
    <x v="428"/>
    <x v="5"/>
    <x v="3"/>
    <x v="241"/>
    <x v="0"/>
    <x v="1288"/>
  </r>
  <r>
    <x v="0"/>
    <x v="130"/>
    <x v="198"/>
    <x v="22"/>
    <x v="96"/>
    <x v="219"/>
    <x v="17"/>
    <x v="1232"/>
    <x v="270"/>
    <x v="531"/>
    <x v="880"/>
    <x v="1026"/>
    <x v="1278"/>
    <x v="1276"/>
    <x v="1240"/>
    <x v="0"/>
    <x v="1270"/>
    <x v="1278"/>
    <x v="185"/>
    <x v="0"/>
    <x v="10"/>
    <x v="13"/>
    <x v="91"/>
    <x v="16"/>
    <x v="92"/>
    <x v="51"/>
    <x v="1"/>
    <x v="1"/>
    <x v="0"/>
    <x v="1289"/>
  </r>
  <r>
    <x v="0"/>
    <x v="571"/>
    <x v="444"/>
    <x v="32"/>
    <x v="0"/>
    <x v="99"/>
    <x v="41"/>
    <x v="1233"/>
    <x v="415"/>
    <x v="396"/>
    <x v="881"/>
    <x v="124"/>
    <x v="1279"/>
    <x v="1277"/>
    <x v="1241"/>
    <x v="1"/>
    <x v="1271"/>
    <x v="1279"/>
    <x v="413"/>
    <x v="0"/>
    <x v="0"/>
    <x v="0"/>
    <x v="88"/>
    <x v="7"/>
    <x v="509"/>
    <x v="21"/>
    <x v="3"/>
    <x v="1"/>
    <x v="0"/>
    <x v="1290"/>
  </r>
  <r>
    <x v="0"/>
    <x v="466"/>
    <x v="361"/>
    <x v="59"/>
    <x v="38"/>
    <x v="378"/>
    <x v="25"/>
    <x v="1234"/>
    <x v="23"/>
    <x v="76"/>
    <x v="331"/>
    <x v="532"/>
    <x v="1280"/>
    <x v="1278"/>
    <x v="1242"/>
    <x v="3"/>
    <x v="1272"/>
    <x v="1280"/>
    <x v="716"/>
    <x v="0"/>
    <x v="0"/>
    <x v="4"/>
    <x v="88"/>
    <x v="16"/>
    <x v="222"/>
    <x v="18"/>
    <x v="3"/>
    <x v="242"/>
    <x v="0"/>
    <x v="1291"/>
  </r>
  <r>
    <x v="0"/>
    <x v="572"/>
    <x v="182"/>
    <x v="58"/>
    <x v="107"/>
    <x v="613"/>
    <x v="57"/>
    <x v="1235"/>
    <x v="28"/>
    <x v="237"/>
    <x v="793"/>
    <x v="1027"/>
    <x v="1281"/>
    <x v="1279"/>
    <x v="1243"/>
    <x v="1"/>
    <x v="1273"/>
    <x v="1281"/>
    <x v="437"/>
    <x v="0"/>
    <x v="0"/>
    <x v="4"/>
    <x v="88"/>
    <x v="21"/>
    <x v="445"/>
    <x v="37"/>
    <x v="1"/>
    <x v="243"/>
    <x v="0"/>
    <x v="1292"/>
  </r>
  <r>
    <x v="0"/>
    <x v="573"/>
    <x v="351"/>
    <x v="37"/>
    <x v="41"/>
    <x v="7"/>
    <x v="18"/>
    <x v="1236"/>
    <x v="306"/>
    <x v="19"/>
    <x v="882"/>
    <x v="1028"/>
    <x v="1282"/>
    <x v="1280"/>
    <x v="1244"/>
    <x v="0"/>
    <x v="1274"/>
    <x v="1282"/>
    <x v="302"/>
    <x v="0"/>
    <x v="13"/>
    <x v="0"/>
    <x v="91"/>
    <x v="3"/>
    <x v="510"/>
    <x v="32"/>
    <x v="1"/>
    <x v="39"/>
    <x v="0"/>
    <x v="1293"/>
  </r>
  <r>
    <x v="0"/>
    <x v="574"/>
    <x v="324"/>
    <x v="86"/>
    <x v="94"/>
    <x v="614"/>
    <x v="292"/>
    <x v="1237"/>
    <x v="440"/>
    <x v="532"/>
    <x v="218"/>
    <x v="1029"/>
    <x v="1283"/>
    <x v="1281"/>
    <x v="1245"/>
    <x v="4"/>
    <x v="1275"/>
    <x v="1283"/>
    <x v="189"/>
    <x v="0"/>
    <x v="0"/>
    <x v="0"/>
    <x v="129"/>
    <x v="42"/>
    <x v="148"/>
    <x v="39"/>
    <x v="3"/>
    <x v="244"/>
    <x v="0"/>
    <x v="1294"/>
  </r>
  <r>
    <x v="0"/>
    <x v="470"/>
    <x v="445"/>
    <x v="101"/>
    <x v="0"/>
    <x v="408"/>
    <x v="57"/>
    <x v="1238"/>
    <x v="441"/>
    <x v="192"/>
    <x v="608"/>
    <x v="1030"/>
    <x v="1284"/>
    <x v="1282"/>
    <x v="1246"/>
    <x v="0"/>
    <x v="1276"/>
    <x v="1284"/>
    <x v="479"/>
    <x v="0"/>
    <x v="0"/>
    <x v="2"/>
    <x v="88"/>
    <x v="0"/>
    <x v="6"/>
    <x v="6"/>
    <x v="3"/>
    <x v="61"/>
    <x v="0"/>
    <x v="1295"/>
  </r>
  <r>
    <x v="0"/>
    <x v="392"/>
    <x v="366"/>
    <x v="33"/>
    <x v="169"/>
    <x v="412"/>
    <x v="2"/>
    <x v="1239"/>
    <x v="127"/>
    <x v="60"/>
    <x v="540"/>
    <x v="1031"/>
    <x v="1285"/>
    <x v="1283"/>
    <x v="1247"/>
    <x v="4"/>
    <x v="1277"/>
    <x v="1285"/>
    <x v="528"/>
    <x v="0"/>
    <x v="0"/>
    <x v="0"/>
    <x v="88"/>
    <x v="19"/>
    <x v="351"/>
    <x v="27"/>
    <x v="1"/>
    <x v="245"/>
    <x v="0"/>
    <x v="1296"/>
  </r>
  <r>
    <x v="0"/>
    <x v="469"/>
    <x v="361"/>
    <x v="77"/>
    <x v="0"/>
    <x v="160"/>
    <x v="293"/>
    <x v="1240"/>
    <x v="442"/>
    <x v="533"/>
    <x v="883"/>
    <x v="1032"/>
    <x v="1286"/>
    <x v="1284"/>
    <x v="1248"/>
    <x v="4"/>
    <x v="1278"/>
    <x v="1286"/>
    <x v="421"/>
    <x v="0"/>
    <x v="0"/>
    <x v="0"/>
    <x v="88"/>
    <x v="29"/>
    <x v="151"/>
    <x v="18"/>
    <x v="1"/>
    <x v="246"/>
    <x v="0"/>
    <x v="1297"/>
  </r>
  <r>
    <x v="1"/>
    <x v="365"/>
    <x v="354"/>
    <x v="40"/>
    <x v="0"/>
    <x v="588"/>
    <x v="265"/>
    <x v="1241"/>
    <x v="127"/>
    <x v="534"/>
    <x v="884"/>
    <x v="1033"/>
    <x v="1287"/>
    <x v="1285"/>
    <x v="1249"/>
    <x v="0"/>
    <x v="1279"/>
    <x v="1287"/>
    <x v="717"/>
    <x v="3"/>
    <x v="10"/>
    <x v="4"/>
    <x v="150"/>
    <x v="18"/>
    <x v="303"/>
    <x v="26"/>
    <x v="1"/>
    <x v="36"/>
    <x v="0"/>
    <x v="1298"/>
  </r>
  <r>
    <x v="0"/>
    <x v="575"/>
    <x v="266"/>
    <x v="43"/>
    <x v="195"/>
    <x v="615"/>
    <x v="294"/>
    <x v="1242"/>
    <x v="443"/>
    <x v="535"/>
    <x v="885"/>
    <x v="1034"/>
    <x v="1288"/>
    <x v="1286"/>
    <x v="1250"/>
    <x v="1"/>
    <x v="1280"/>
    <x v="1288"/>
    <x v="718"/>
    <x v="0"/>
    <x v="0"/>
    <x v="2"/>
    <x v="116"/>
    <x v="14"/>
    <x v="124"/>
    <x v="30"/>
    <x v="3"/>
    <x v="247"/>
    <x v="0"/>
    <x v="1299"/>
  </r>
  <r>
    <x v="0"/>
    <x v="576"/>
    <x v="126"/>
    <x v="33"/>
    <x v="125"/>
    <x v="271"/>
    <x v="191"/>
    <x v="1243"/>
    <x v="105"/>
    <x v="536"/>
    <x v="832"/>
    <x v="353"/>
    <x v="1289"/>
    <x v="1287"/>
    <x v="1251"/>
    <x v="2"/>
    <x v="1281"/>
    <x v="1289"/>
    <x v="368"/>
    <x v="0"/>
    <x v="1"/>
    <x v="4"/>
    <x v="81"/>
    <x v="14"/>
    <x v="117"/>
    <x v="5"/>
    <x v="3"/>
    <x v="1"/>
    <x v="0"/>
    <x v="1300"/>
  </r>
  <r>
    <x v="0"/>
    <x v="547"/>
    <x v="211"/>
    <x v="86"/>
    <x v="74"/>
    <x v="616"/>
    <x v="119"/>
    <x v="1244"/>
    <x v="425"/>
    <x v="223"/>
    <x v="886"/>
    <x v="1035"/>
    <x v="1290"/>
    <x v="1288"/>
    <x v="1252"/>
    <x v="3"/>
    <x v="1282"/>
    <x v="1290"/>
    <x v="421"/>
    <x v="0"/>
    <x v="0"/>
    <x v="2"/>
    <x v="88"/>
    <x v="3"/>
    <x v="511"/>
    <x v="12"/>
    <x v="1"/>
    <x v="1"/>
    <x v="0"/>
    <x v="1301"/>
  </r>
  <r>
    <x v="0"/>
    <x v="577"/>
    <x v="390"/>
    <x v="11"/>
    <x v="188"/>
    <x v="617"/>
    <x v="35"/>
    <x v="1245"/>
    <x v="270"/>
    <x v="461"/>
    <x v="772"/>
    <x v="1036"/>
    <x v="1291"/>
    <x v="1289"/>
    <x v="1253"/>
    <x v="1"/>
    <x v="1283"/>
    <x v="1291"/>
    <x v="718"/>
    <x v="0"/>
    <x v="0"/>
    <x v="0"/>
    <x v="88"/>
    <x v="15"/>
    <x v="237"/>
    <x v="22"/>
    <x v="3"/>
    <x v="248"/>
    <x v="0"/>
    <x v="1302"/>
  </r>
  <r>
    <x v="0"/>
    <x v="578"/>
    <x v="209"/>
    <x v="59"/>
    <x v="19"/>
    <x v="53"/>
    <x v="35"/>
    <x v="1246"/>
    <x v="444"/>
    <x v="326"/>
    <x v="887"/>
    <x v="266"/>
    <x v="1292"/>
    <x v="1290"/>
    <x v="1254"/>
    <x v="1"/>
    <x v="1284"/>
    <x v="1292"/>
    <x v="156"/>
    <x v="0"/>
    <x v="1"/>
    <x v="4"/>
    <x v="114"/>
    <x v="19"/>
    <x v="144"/>
    <x v="47"/>
    <x v="1"/>
    <x v="249"/>
    <x v="0"/>
    <x v="1303"/>
  </r>
  <r>
    <x v="0"/>
    <x v="166"/>
    <x v="271"/>
    <x v="56"/>
    <x v="8"/>
    <x v="388"/>
    <x v="21"/>
    <x v="1247"/>
    <x v="151"/>
    <x v="162"/>
    <x v="62"/>
    <x v="1037"/>
    <x v="1293"/>
    <x v="1291"/>
    <x v="1255"/>
    <x v="3"/>
    <x v="1285"/>
    <x v="1293"/>
    <x v="486"/>
    <x v="0"/>
    <x v="0"/>
    <x v="0"/>
    <x v="88"/>
    <x v="0"/>
    <x v="9"/>
    <x v="18"/>
    <x v="1"/>
    <x v="1"/>
    <x v="0"/>
    <x v="1304"/>
  </r>
  <r>
    <x v="0"/>
    <x v="524"/>
    <x v="171"/>
    <x v="47"/>
    <x v="249"/>
    <x v="489"/>
    <x v="2"/>
    <x v="1093"/>
    <x v="251"/>
    <x v="113"/>
    <x v="589"/>
    <x v="924"/>
    <x v="1136"/>
    <x v="1134"/>
    <x v="1109"/>
    <x v="4"/>
    <x v="1128"/>
    <x v="1136"/>
    <x v="552"/>
    <x v="0"/>
    <x v="0"/>
    <x v="0"/>
    <x v="88"/>
    <x v="2"/>
    <x v="30"/>
    <x v="19"/>
    <x v="1"/>
    <x v="59"/>
    <x v="0"/>
    <x v="1305"/>
  </r>
  <r>
    <x v="0"/>
    <x v="478"/>
    <x v="239"/>
    <x v="71"/>
    <x v="0"/>
    <x v="572"/>
    <x v="0"/>
    <x v="1248"/>
    <x v="125"/>
    <x v="537"/>
    <x v="276"/>
    <x v="916"/>
    <x v="1294"/>
    <x v="1292"/>
    <x v="1256"/>
    <x v="0"/>
    <x v="1286"/>
    <x v="1294"/>
    <x v="568"/>
    <x v="0"/>
    <x v="0"/>
    <x v="0"/>
    <x v="88"/>
    <x v="17"/>
    <x v="187"/>
    <x v="27"/>
    <x v="3"/>
    <x v="1"/>
    <x v="0"/>
    <x v="1306"/>
  </r>
  <r>
    <x v="0"/>
    <x v="579"/>
    <x v="343"/>
    <x v="7"/>
    <x v="170"/>
    <x v="526"/>
    <x v="0"/>
    <x v="1249"/>
    <x v="379"/>
    <x v="85"/>
    <x v="327"/>
    <x v="805"/>
    <x v="1295"/>
    <x v="1293"/>
    <x v="1257"/>
    <x v="4"/>
    <x v="1287"/>
    <x v="1295"/>
    <x v="719"/>
    <x v="0"/>
    <x v="0"/>
    <x v="4"/>
    <x v="4"/>
    <x v="8"/>
    <x v="220"/>
    <x v="12"/>
    <x v="1"/>
    <x v="250"/>
    <x v="0"/>
    <x v="1307"/>
  </r>
  <r>
    <x v="0"/>
    <x v="580"/>
    <x v="424"/>
    <x v="73"/>
    <x v="78"/>
    <x v="251"/>
    <x v="247"/>
    <x v="1250"/>
    <x v="51"/>
    <x v="538"/>
    <x v="888"/>
    <x v="1011"/>
    <x v="1296"/>
    <x v="1294"/>
    <x v="1258"/>
    <x v="0"/>
    <x v="1288"/>
    <x v="1296"/>
    <x v="640"/>
    <x v="0"/>
    <x v="1"/>
    <x v="2"/>
    <x v="105"/>
    <x v="35"/>
    <x v="116"/>
    <x v="55"/>
    <x v="1"/>
    <x v="251"/>
    <x v="0"/>
    <x v="1308"/>
  </r>
  <r>
    <x v="0"/>
    <x v="581"/>
    <x v="346"/>
    <x v="105"/>
    <x v="143"/>
    <x v="440"/>
    <x v="35"/>
    <x v="1251"/>
    <x v="46"/>
    <x v="504"/>
    <x v="889"/>
    <x v="644"/>
    <x v="1297"/>
    <x v="1295"/>
    <x v="1259"/>
    <x v="0"/>
    <x v="1289"/>
    <x v="1297"/>
    <x v="402"/>
    <x v="0"/>
    <x v="0"/>
    <x v="4"/>
    <x v="151"/>
    <x v="15"/>
    <x v="199"/>
    <x v="54"/>
    <x v="3"/>
    <x v="252"/>
    <x v="0"/>
    <x v="1309"/>
  </r>
  <r>
    <x v="0"/>
    <x v="582"/>
    <x v="66"/>
    <x v="26"/>
    <x v="188"/>
    <x v="568"/>
    <x v="25"/>
    <x v="1252"/>
    <x v="445"/>
    <x v="392"/>
    <x v="68"/>
    <x v="1038"/>
    <x v="1298"/>
    <x v="1296"/>
    <x v="1260"/>
    <x v="0"/>
    <x v="1290"/>
    <x v="1298"/>
    <x v="505"/>
    <x v="0"/>
    <x v="8"/>
    <x v="4"/>
    <x v="152"/>
    <x v="0"/>
    <x v="12"/>
    <x v="2"/>
    <x v="1"/>
    <x v="7"/>
    <x v="0"/>
    <x v="1310"/>
  </r>
  <r>
    <x v="0"/>
    <x v="449"/>
    <x v="383"/>
    <x v="58"/>
    <x v="218"/>
    <x v="618"/>
    <x v="0"/>
    <x v="1253"/>
    <x v="178"/>
    <x v="346"/>
    <x v="890"/>
    <x v="1039"/>
    <x v="1299"/>
    <x v="1297"/>
    <x v="1261"/>
    <x v="2"/>
    <x v="1291"/>
    <x v="1299"/>
    <x v="488"/>
    <x v="0"/>
    <x v="0"/>
    <x v="4"/>
    <x v="88"/>
    <x v="18"/>
    <x v="30"/>
    <x v="5"/>
    <x v="3"/>
    <x v="151"/>
    <x v="0"/>
    <x v="1311"/>
  </r>
  <r>
    <x v="0"/>
    <x v="565"/>
    <x v="302"/>
    <x v="41"/>
    <x v="174"/>
    <x v="290"/>
    <x v="22"/>
    <x v="1254"/>
    <x v="2"/>
    <x v="295"/>
    <x v="891"/>
    <x v="783"/>
    <x v="1300"/>
    <x v="1298"/>
    <x v="1262"/>
    <x v="0"/>
    <x v="1292"/>
    <x v="1300"/>
    <x v="517"/>
    <x v="0"/>
    <x v="1"/>
    <x v="0"/>
    <x v="88"/>
    <x v="19"/>
    <x v="512"/>
    <x v="33"/>
    <x v="1"/>
    <x v="253"/>
    <x v="0"/>
    <x v="1312"/>
  </r>
  <r>
    <x v="0"/>
    <x v="583"/>
    <x v="258"/>
    <x v="95"/>
    <x v="193"/>
    <x v="619"/>
    <x v="245"/>
    <x v="1255"/>
    <x v="446"/>
    <x v="539"/>
    <x v="892"/>
    <x v="1040"/>
    <x v="1301"/>
    <x v="1299"/>
    <x v="1263"/>
    <x v="3"/>
    <x v="1293"/>
    <x v="1301"/>
    <x v="465"/>
    <x v="0"/>
    <x v="10"/>
    <x v="0"/>
    <x v="88"/>
    <x v="18"/>
    <x v="513"/>
    <x v="27"/>
    <x v="1"/>
    <x v="254"/>
    <x v="0"/>
    <x v="1313"/>
  </r>
  <r>
    <x v="0"/>
    <x v="464"/>
    <x v="250"/>
    <x v="86"/>
    <x v="0"/>
    <x v="563"/>
    <x v="2"/>
    <x v="1256"/>
    <x v="84"/>
    <x v="104"/>
    <x v="893"/>
    <x v="1041"/>
    <x v="1302"/>
    <x v="1300"/>
    <x v="1264"/>
    <x v="0"/>
    <x v="1294"/>
    <x v="1302"/>
    <x v="720"/>
    <x v="0"/>
    <x v="1"/>
    <x v="4"/>
    <x v="140"/>
    <x v="1"/>
    <x v="116"/>
    <x v="11"/>
    <x v="1"/>
    <x v="61"/>
    <x v="0"/>
    <x v="1314"/>
  </r>
  <r>
    <x v="0"/>
    <x v="355"/>
    <x v="266"/>
    <x v="43"/>
    <x v="210"/>
    <x v="530"/>
    <x v="295"/>
    <x v="1257"/>
    <x v="200"/>
    <x v="540"/>
    <x v="894"/>
    <x v="1042"/>
    <x v="1303"/>
    <x v="1301"/>
    <x v="1265"/>
    <x v="8"/>
    <x v="1295"/>
    <x v="1303"/>
    <x v="641"/>
    <x v="0"/>
    <x v="0"/>
    <x v="0"/>
    <x v="88"/>
    <x v="3"/>
    <x v="514"/>
    <x v="18"/>
    <x v="1"/>
    <x v="1"/>
    <x v="0"/>
    <x v="1315"/>
  </r>
  <r>
    <x v="0"/>
    <x v="584"/>
    <x v="438"/>
    <x v="50"/>
    <x v="0"/>
    <x v="442"/>
    <x v="132"/>
    <x v="1258"/>
    <x v="447"/>
    <x v="376"/>
    <x v="895"/>
    <x v="1043"/>
    <x v="1304"/>
    <x v="1302"/>
    <x v="1079"/>
    <x v="1"/>
    <x v="1296"/>
    <x v="1304"/>
    <x v="721"/>
    <x v="0"/>
    <x v="0"/>
    <x v="2"/>
    <x v="88"/>
    <x v="8"/>
    <x v="507"/>
    <x v="46"/>
    <x v="3"/>
    <x v="255"/>
    <x v="0"/>
    <x v="1316"/>
  </r>
  <r>
    <x v="0"/>
    <x v="430"/>
    <x v="400"/>
    <x v="69"/>
    <x v="235"/>
    <x v="163"/>
    <x v="0"/>
    <x v="1259"/>
    <x v="80"/>
    <x v="167"/>
    <x v="835"/>
    <x v="1044"/>
    <x v="1305"/>
    <x v="1303"/>
    <x v="1266"/>
    <x v="0"/>
    <x v="1297"/>
    <x v="1305"/>
    <x v="472"/>
    <x v="0"/>
    <x v="0"/>
    <x v="4"/>
    <x v="88"/>
    <x v="2"/>
    <x v="376"/>
    <x v="27"/>
    <x v="1"/>
    <x v="1"/>
    <x v="0"/>
    <x v="1317"/>
  </r>
  <r>
    <x v="0"/>
    <x v="585"/>
    <x v="240"/>
    <x v="41"/>
    <x v="89"/>
    <x v="45"/>
    <x v="10"/>
    <x v="1260"/>
    <x v="448"/>
    <x v="413"/>
    <x v="624"/>
    <x v="1045"/>
    <x v="1306"/>
    <x v="1239"/>
    <x v="1267"/>
    <x v="3"/>
    <x v="1298"/>
    <x v="1306"/>
    <x v="68"/>
    <x v="0"/>
    <x v="8"/>
    <x v="2"/>
    <x v="88"/>
    <x v="7"/>
    <x v="389"/>
    <x v="37"/>
    <x v="1"/>
    <x v="256"/>
    <x v="0"/>
    <x v="1318"/>
  </r>
  <r>
    <x v="0"/>
    <x v="240"/>
    <x v="268"/>
    <x v="72"/>
    <x v="161"/>
    <x v="95"/>
    <x v="296"/>
    <x v="1261"/>
    <x v="150"/>
    <x v="541"/>
    <x v="896"/>
    <x v="408"/>
    <x v="1307"/>
    <x v="1304"/>
    <x v="1268"/>
    <x v="0"/>
    <x v="1299"/>
    <x v="1307"/>
    <x v="228"/>
    <x v="0"/>
    <x v="0"/>
    <x v="0"/>
    <x v="78"/>
    <x v="1"/>
    <x v="341"/>
    <x v="8"/>
    <x v="3"/>
    <x v="1"/>
    <x v="0"/>
    <x v="1319"/>
  </r>
  <r>
    <x v="0"/>
    <x v="386"/>
    <x v="212"/>
    <x v="86"/>
    <x v="116"/>
    <x v="620"/>
    <x v="2"/>
    <x v="1262"/>
    <x v="369"/>
    <x v="60"/>
    <x v="802"/>
    <x v="1046"/>
    <x v="1308"/>
    <x v="1305"/>
    <x v="1269"/>
    <x v="1"/>
    <x v="1300"/>
    <x v="1308"/>
    <x v="533"/>
    <x v="0"/>
    <x v="0"/>
    <x v="0"/>
    <x v="78"/>
    <x v="16"/>
    <x v="473"/>
    <x v="5"/>
    <x v="1"/>
    <x v="85"/>
    <x v="0"/>
    <x v="1320"/>
  </r>
  <r>
    <x v="0"/>
    <x v="586"/>
    <x v="160"/>
    <x v="59"/>
    <x v="44"/>
    <x v="621"/>
    <x v="297"/>
    <x v="1263"/>
    <x v="449"/>
    <x v="542"/>
    <x v="897"/>
    <x v="1047"/>
    <x v="1309"/>
    <x v="1306"/>
    <x v="529"/>
    <x v="4"/>
    <x v="1301"/>
    <x v="1309"/>
    <x v="129"/>
    <x v="0"/>
    <x v="0"/>
    <x v="4"/>
    <x v="131"/>
    <x v="1"/>
    <x v="515"/>
    <x v="8"/>
    <x v="1"/>
    <x v="1"/>
    <x v="0"/>
    <x v="1321"/>
  </r>
  <r>
    <x v="1"/>
    <x v="375"/>
    <x v="379"/>
    <x v="70"/>
    <x v="0"/>
    <x v="201"/>
    <x v="0"/>
    <x v="1264"/>
    <x v="219"/>
    <x v="543"/>
    <x v="898"/>
    <x v="1048"/>
    <x v="1310"/>
    <x v="1307"/>
    <x v="1270"/>
    <x v="4"/>
    <x v="1302"/>
    <x v="1310"/>
    <x v="376"/>
    <x v="0"/>
    <x v="1"/>
    <x v="2"/>
    <x v="116"/>
    <x v="24"/>
    <x v="276"/>
    <x v="11"/>
    <x v="3"/>
    <x v="1"/>
    <x v="0"/>
    <x v="1322"/>
  </r>
  <r>
    <x v="0"/>
    <x v="587"/>
    <x v="257"/>
    <x v="18"/>
    <x v="45"/>
    <x v="622"/>
    <x v="15"/>
    <x v="1265"/>
    <x v="52"/>
    <x v="54"/>
    <x v="899"/>
    <x v="1049"/>
    <x v="1311"/>
    <x v="1308"/>
    <x v="1271"/>
    <x v="4"/>
    <x v="1303"/>
    <x v="1311"/>
    <x v="666"/>
    <x v="4"/>
    <x v="14"/>
    <x v="4"/>
    <x v="88"/>
    <x v="1"/>
    <x v="516"/>
    <x v="1"/>
    <x v="1"/>
    <x v="1"/>
    <x v="0"/>
    <x v="1323"/>
  </r>
  <r>
    <x v="0"/>
    <x v="194"/>
    <x v="421"/>
    <x v="52"/>
    <x v="137"/>
    <x v="196"/>
    <x v="0"/>
    <x v="1266"/>
    <x v="156"/>
    <x v="544"/>
    <x v="900"/>
    <x v="474"/>
    <x v="1312"/>
    <x v="1309"/>
    <x v="1272"/>
    <x v="0"/>
    <x v="1304"/>
    <x v="1312"/>
    <x v="646"/>
    <x v="11"/>
    <x v="10"/>
    <x v="4"/>
    <x v="131"/>
    <x v="12"/>
    <x v="319"/>
    <x v="19"/>
    <x v="1"/>
    <x v="257"/>
    <x v="0"/>
    <x v="1324"/>
  </r>
  <r>
    <x v="0"/>
    <x v="588"/>
    <x v="54"/>
    <x v="51"/>
    <x v="271"/>
    <x v="535"/>
    <x v="2"/>
    <x v="1267"/>
    <x v="102"/>
    <x v="104"/>
    <x v="43"/>
    <x v="1050"/>
    <x v="1313"/>
    <x v="1310"/>
    <x v="1273"/>
    <x v="7"/>
    <x v="1305"/>
    <x v="1313"/>
    <x v="181"/>
    <x v="0"/>
    <x v="18"/>
    <x v="4"/>
    <x v="153"/>
    <x v="9"/>
    <x v="33"/>
    <x v="15"/>
    <x v="3"/>
    <x v="12"/>
    <x v="0"/>
    <x v="1325"/>
  </r>
  <r>
    <x v="0"/>
    <x v="193"/>
    <x v="315"/>
    <x v="78"/>
    <x v="123"/>
    <x v="347"/>
    <x v="0"/>
    <x v="4"/>
    <x v="450"/>
    <x v="243"/>
    <x v="901"/>
    <x v="1051"/>
    <x v="1314"/>
    <x v="1311"/>
    <x v="1274"/>
    <x v="0"/>
    <x v="1306"/>
    <x v="1314"/>
    <x v="408"/>
    <x v="3"/>
    <x v="10"/>
    <x v="2"/>
    <x v="131"/>
    <x v="10"/>
    <x v="192"/>
    <x v="2"/>
    <x v="3"/>
    <x v="1"/>
    <x v="0"/>
    <x v="1326"/>
  </r>
  <r>
    <x v="0"/>
    <x v="589"/>
    <x v="372"/>
    <x v="41"/>
    <x v="80"/>
    <x v="623"/>
    <x v="35"/>
    <x v="1268"/>
    <x v="125"/>
    <x v="91"/>
    <x v="759"/>
    <x v="1052"/>
    <x v="1315"/>
    <x v="1312"/>
    <x v="1275"/>
    <x v="10"/>
    <x v="1307"/>
    <x v="1315"/>
    <x v="592"/>
    <x v="0"/>
    <x v="0"/>
    <x v="4"/>
    <x v="4"/>
    <x v="14"/>
    <x v="456"/>
    <x v="20"/>
    <x v="3"/>
    <x v="258"/>
    <x v="0"/>
    <x v="1327"/>
  </r>
  <r>
    <x v="0"/>
    <x v="104"/>
    <x v="378"/>
    <x v="42"/>
    <x v="82"/>
    <x v="420"/>
    <x v="283"/>
    <x v="1269"/>
    <x v="451"/>
    <x v="518"/>
    <x v="902"/>
    <x v="840"/>
    <x v="1316"/>
    <x v="1313"/>
    <x v="1276"/>
    <x v="0"/>
    <x v="1308"/>
    <x v="1316"/>
    <x v="596"/>
    <x v="0"/>
    <x v="0"/>
    <x v="4"/>
    <x v="154"/>
    <x v="24"/>
    <x v="26"/>
    <x v="32"/>
    <x v="3"/>
    <x v="61"/>
    <x v="0"/>
    <x v="1328"/>
  </r>
  <r>
    <x v="0"/>
    <x v="590"/>
    <x v="402"/>
    <x v="88"/>
    <x v="59"/>
    <x v="483"/>
    <x v="298"/>
    <x v="1270"/>
    <x v="452"/>
    <x v="545"/>
    <x v="903"/>
    <x v="1053"/>
    <x v="1317"/>
    <x v="1314"/>
    <x v="1277"/>
    <x v="1"/>
    <x v="1309"/>
    <x v="1317"/>
    <x v="565"/>
    <x v="12"/>
    <x v="16"/>
    <x v="1"/>
    <x v="155"/>
    <x v="2"/>
    <x v="517"/>
    <x v="26"/>
    <x v="3"/>
    <x v="90"/>
    <x v="0"/>
    <x v="1329"/>
  </r>
  <r>
    <x v="0"/>
    <x v="127"/>
    <x v="418"/>
    <x v="86"/>
    <x v="94"/>
    <x v="624"/>
    <x v="299"/>
    <x v="1271"/>
    <x v="453"/>
    <x v="546"/>
    <x v="904"/>
    <x v="1054"/>
    <x v="1318"/>
    <x v="1315"/>
    <x v="1278"/>
    <x v="1"/>
    <x v="1310"/>
    <x v="1318"/>
    <x v="722"/>
    <x v="0"/>
    <x v="0"/>
    <x v="0"/>
    <x v="156"/>
    <x v="0"/>
    <x v="208"/>
    <x v="1"/>
    <x v="1"/>
    <x v="38"/>
    <x v="0"/>
    <x v="1330"/>
  </r>
  <r>
    <x v="0"/>
    <x v="333"/>
    <x v="382"/>
    <x v="58"/>
    <x v="151"/>
    <x v="103"/>
    <x v="300"/>
    <x v="1272"/>
    <x v="127"/>
    <x v="547"/>
    <x v="905"/>
    <x v="128"/>
    <x v="1319"/>
    <x v="1316"/>
    <x v="1279"/>
    <x v="1"/>
    <x v="1311"/>
    <x v="1319"/>
    <x v="335"/>
    <x v="0"/>
    <x v="0"/>
    <x v="0"/>
    <x v="4"/>
    <x v="1"/>
    <x v="158"/>
    <x v="23"/>
    <x v="3"/>
    <x v="1"/>
    <x v="0"/>
    <x v="1331"/>
  </r>
  <r>
    <x v="0"/>
    <x v="49"/>
    <x v="94"/>
    <x v="11"/>
    <x v="34"/>
    <x v="6"/>
    <x v="29"/>
    <x v="98"/>
    <x v="23"/>
    <x v="74"/>
    <x v="84"/>
    <x v="92"/>
    <x v="100"/>
    <x v="1317"/>
    <x v="98"/>
    <x v="4"/>
    <x v="100"/>
    <x v="100"/>
    <x v="98"/>
    <x v="0"/>
    <x v="0"/>
    <x v="0"/>
    <x v="30"/>
    <x v="18"/>
    <x v="20"/>
    <x v="10"/>
    <x v="1"/>
    <x v="57"/>
    <x v="0"/>
    <x v="1332"/>
  </r>
  <r>
    <x v="1"/>
    <x v="24"/>
    <x v="77"/>
    <x v="101"/>
    <x v="17"/>
    <x v="341"/>
    <x v="145"/>
    <x v="1273"/>
    <x v="454"/>
    <x v="269"/>
    <x v="509"/>
    <x v="1055"/>
    <x v="1320"/>
    <x v="1318"/>
    <x v="1280"/>
    <x v="0"/>
    <x v="1312"/>
    <x v="1320"/>
    <x v="550"/>
    <x v="0"/>
    <x v="0"/>
    <x v="2"/>
    <x v="156"/>
    <x v="3"/>
    <x v="330"/>
    <x v="15"/>
    <x v="3"/>
    <x v="68"/>
    <x v="0"/>
    <x v="1333"/>
  </r>
  <r>
    <x v="0"/>
    <x v="8"/>
    <x v="109"/>
    <x v="73"/>
    <x v="0"/>
    <x v="208"/>
    <x v="35"/>
    <x v="1274"/>
    <x v="18"/>
    <x v="548"/>
    <x v="906"/>
    <x v="1056"/>
    <x v="1321"/>
    <x v="1319"/>
    <x v="1281"/>
    <x v="0"/>
    <x v="1313"/>
    <x v="1321"/>
    <x v="723"/>
    <x v="0"/>
    <x v="0"/>
    <x v="0"/>
    <x v="88"/>
    <x v="12"/>
    <x v="113"/>
    <x v="25"/>
    <x v="1"/>
    <x v="57"/>
    <x v="0"/>
    <x v="1334"/>
  </r>
  <r>
    <x v="0"/>
    <x v="591"/>
    <x v="352"/>
    <x v="47"/>
    <x v="272"/>
    <x v="533"/>
    <x v="191"/>
    <x v="1275"/>
    <x v="455"/>
    <x v="536"/>
    <x v="845"/>
    <x v="819"/>
    <x v="1322"/>
    <x v="1320"/>
    <x v="1282"/>
    <x v="4"/>
    <x v="1314"/>
    <x v="1322"/>
    <x v="724"/>
    <x v="0"/>
    <x v="0"/>
    <x v="0"/>
    <x v="156"/>
    <x v="14"/>
    <x v="400"/>
    <x v="43"/>
    <x v="1"/>
    <x v="152"/>
    <x v="0"/>
    <x v="1335"/>
  </r>
  <r>
    <x v="0"/>
    <x v="421"/>
    <x v="299"/>
    <x v="31"/>
    <x v="137"/>
    <x v="495"/>
    <x v="211"/>
    <x v="1276"/>
    <x v="148"/>
    <x v="394"/>
    <x v="907"/>
    <x v="742"/>
    <x v="1323"/>
    <x v="1321"/>
    <x v="1283"/>
    <x v="1"/>
    <x v="1315"/>
    <x v="1323"/>
    <x v="288"/>
    <x v="0"/>
    <x v="1"/>
    <x v="2"/>
    <x v="156"/>
    <x v="45"/>
    <x v="518"/>
    <x v="41"/>
    <x v="1"/>
    <x v="1"/>
    <x v="0"/>
    <x v="1336"/>
  </r>
  <r>
    <x v="0"/>
    <x v="231"/>
    <x v="130"/>
    <x v="18"/>
    <x v="156"/>
    <x v="625"/>
    <x v="13"/>
    <x v="1277"/>
    <x v="300"/>
    <x v="158"/>
    <x v="234"/>
    <x v="1057"/>
    <x v="1324"/>
    <x v="1322"/>
    <x v="1284"/>
    <x v="1"/>
    <x v="1316"/>
    <x v="1324"/>
    <x v="231"/>
    <x v="0"/>
    <x v="0"/>
    <x v="0"/>
    <x v="88"/>
    <x v="9"/>
    <x v="44"/>
    <x v="21"/>
    <x v="3"/>
    <x v="85"/>
    <x v="0"/>
    <x v="1337"/>
  </r>
  <r>
    <x v="0"/>
    <x v="134"/>
    <x v="202"/>
    <x v="13"/>
    <x v="99"/>
    <x v="626"/>
    <x v="301"/>
    <x v="1278"/>
    <x v="77"/>
    <x v="549"/>
    <x v="804"/>
    <x v="1058"/>
    <x v="1325"/>
    <x v="1323"/>
    <x v="1285"/>
    <x v="2"/>
    <x v="1317"/>
    <x v="1325"/>
    <x v="715"/>
    <x v="4"/>
    <x v="9"/>
    <x v="4"/>
    <x v="157"/>
    <x v="8"/>
    <x v="200"/>
    <x v="38"/>
    <x v="1"/>
    <x v="1"/>
    <x v="0"/>
    <x v="1338"/>
  </r>
  <r>
    <x v="0"/>
    <x v="279"/>
    <x v="241"/>
    <x v="26"/>
    <x v="183"/>
    <x v="363"/>
    <x v="63"/>
    <x v="1279"/>
    <x v="127"/>
    <x v="550"/>
    <x v="826"/>
    <x v="1059"/>
    <x v="1326"/>
    <x v="1324"/>
    <x v="1286"/>
    <x v="1"/>
    <x v="1318"/>
    <x v="1326"/>
    <x v="633"/>
    <x v="0"/>
    <x v="0"/>
    <x v="0"/>
    <x v="30"/>
    <x v="19"/>
    <x v="372"/>
    <x v="9"/>
    <x v="1"/>
    <x v="1"/>
    <x v="0"/>
    <x v="1339"/>
  </r>
  <r>
    <x v="0"/>
    <x v="275"/>
    <x v="215"/>
    <x v="45"/>
    <x v="179"/>
    <x v="85"/>
    <x v="11"/>
    <x v="1280"/>
    <x v="127"/>
    <x v="69"/>
    <x v="641"/>
    <x v="1060"/>
    <x v="1327"/>
    <x v="1325"/>
    <x v="1287"/>
    <x v="4"/>
    <x v="1319"/>
    <x v="1327"/>
    <x v="314"/>
    <x v="0"/>
    <x v="0"/>
    <x v="4"/>
    <x v="30"/>
    <x v="0"/>
    <x v="399"/>
    <x v="12"/>
    <x v="1"/>
    <x v="104"/>
    <x v="0"/>
    <x v="1340"/>
  </r>
  <r>
    <x v="0"/>
    <x v="592"/>
    <x v="430"/>
    <x v="41"/>
    <x v="151"/>
    <x v="583"/>
    <x v="302"/>
    <x v="1281"/>
    <x v="125"/>
    <x v="551"/>
    <x v="908"/>
    <x v="1061"/>
    <x v="1328"/>
    <x v="1326"/>
    <x v="1288"/>
    <x v="4"/>
    <x v="1320"/>
    <x v="1328"/>
    <x v="546"/>
    <x v="0"/>
    <x v="0"/>
    <x v="2"/>
    <x v="156"/>
    <x v="25"/>
    <x v="519"/>
    <x v="20"/>
    <x v="1"/>
    <x v="259"/>
    <x v="0"/>
    <x v="1341"/>
  </r>
  <r>
    <x v="0"/>
    <x v="423"/>
    <x v="280"/>
    <x v="7"/>
    <x v="0"/>
    <x v="1"/>
    <x v="25"/>
    <x v="1282"/>
    <x v="237"/>
    <x v="26"/>
    <x v="909"/>
    <x v="1062"/>
    <x v="1329"/>
    <x v="1327"/>
    <x v="1289"/>
    <x v="1"/>
    <x v="1321"/>
    <x v="1329"/>
    <x v="653"/>
    <x v="0"/>
    <x v="0"/>
    <x v="2"/>
    <x v="30"/>
    <x v="19"/>
    <x v="12"/>
    <x v="37"/>
    <x v="3"/>
    <x v="259"/>
    <x v="0"/>
    <x v="1342"/>
  </r>
  <r>
    <x v="0"/>
    <x v="593"/>
    <x v="288"/>
    <x v="34"/>
    <x v="174"/>
    <x v="447"/>
    <x v="0"/>
    <x v="1283"/>
    <x v="118"/>
    <x v="277"/>
    <x v="303"/>
    <x v="651"/>
    <x v="1330"/>
    <x v="1328"/>
    <x v="1290"/>
    <x v="0"/>
    <x v="1322"/>
    <x v="1330"/>
    <x v="61"/>
    <x v="0"/>
    <x v="0"/>
    <x v="2"/>
    <x v="82"/>
    <x v="24"/>
    <x v="205"/>
    <x v="4"/>
    <x v="1"/>
    <x v="1"/>
    <x v="0"/>
    <x v="1343"/>
  </r>
  <r>
    <x v="0"/>
    <x v="594"/>
    <x v="446"/>
    <x v="40"/>
    <x v="0"/>
    <x v="321"/>
    <x v="303"/>
    <x v="1284"/>
    <x v="456"/>
    <x v="552"/>
    <x v="910"/>
    <x v="1063"/>
    <x v="1331"/>
    <x v="1329"/>
    <x v="1291"/>
    <x v="1"/>
    <x v="1323"/>
    <x v="1331"/>
    <x v="718"/>
    <x v="4"/>
    <x v="14"/>
    <x v="0"/>
    <x v="158"/>
    <x v="9"/>
    <x v="366"/>
    <x v="12"/>
    <x v="1"/>
    <x v="38"/>
    <x v="0"/>
    <x v="1344"/>
  </r>
  <r>
    <x v="0"/>
    <x v="70"/>
    <x v="367"/>
    <x v="60"/>
    <x v="55"/>
    <x v="1"/>
    <x v="20"/>
    <x v="1285"/>
    <x v="17"/>
    <x v="83"/>
    <x v="231"/>
    <x v="35"/>
    <x v="1332"/>
    <x v="1330"/>
    <x v="1292"/>
    <x v="1"/>
    <x v="1324"/>
    <x v="1332"/>
    <x v="635"/>
    <x v="0"/>
    <x v="0"/>
    <x v="0"/>
    <x v="30"/>
    <x v="10"/>
    <x v="6"/>
    <x v="8"/>
    <x v="1"/>
    <x v="0"/>
    <x v="0"/>
    <x v="1345"/>
  </r>
  <r>
    <x v="0"/>
    <x v="113"/>
    <x v="417"/>
    <x v="84"/>
    <x v="88"/>
    <x v="561"/>
    <x v="29"/>
    <x v="4"/>
    <x v="207"/>
    <x v="58"/>
    <x v="151"/>
    <x v="1064"/>
    <x v="1333"/>
    <x v="1331"/>
    <x v="1293"/>
    <x v="2"/>
    <x v="1325"/>
    <x v="1333"/>
    <x v="514"/>
    <x v="0"/>
    <x v="0"/>
    <x v="6"/>
    <x v="4"/>
    <x v="4"/>
    <x v="102"/>
    <x v="6"/>
    <x v="8"/>
    <x v="1"/>
    <x v="0"/>
    <x v="1346"/>
  </r>
  <r>
    <x v="0"/>
    <x v="595"/>
    <x v="169"/>
    <x v="76"/>
    <x v="0"/>
    <x v="490"/>
    <x v="304"/>
    <x v="4"/>
    <x v="45"/>
    <x v="553"/>
    <x v="911"/>
    <x v="1065"/>
    <x v="1334"/>
    <x v="1332"/>
    <x v="1294"/>
    <x v="0"/>
    <x v="4"/>
    <x v="1334"/>
    <x v="684"/>
    <x v="0"/>
    <x v="9"/>
    <x v="1"/>
    <x v="88"/>
    <x v="11"/>
    <x v="495"/>
    <x v="21"/>
    <x v="2"/>
    <x v="1"/>
    <x v="0"/>
    <x v="1347"/>
  </r>
  <r>
    <x v="1"/>
    <x v="596"/>
    <x v="409"/>
    <x v="75"/>
    <x v="152"/>
    <x v="627"/>
    <x v="11"/>
    <x v="1286"/>
    <x v="122"/>
    <x v="156"/>
    <x v="912"/>
    <x v="1066"/>
    <x v="1335"/>
    <x v="1333"/>
    <x v="1295"/>
    <x v="0"/>
    <x v="1326"/>
    <x v="1335"/>
    <x v="35"/>
    <x v="0"/>
    <x v="0"/>
    <x v="4"/>
    <x v="30"/>
    <x v="15"/>
    <x v="453"/>
    <x v="32"/>
    <x v="3"/>
    <x v="1"/>
    <x v="0"/>
    <x v="1348"/>
  </r>
  <r>
    <x v="0"/>
    <x v="77"/>
    <x v="288"/>
    <x v="69"/>
    <x v="61"/>
    <x v="573"/>
    <x v="197"/>
    <x v="1287"/>
    <x v="168"/>
    <x v="451"/>
    <x v="913"/>
    <x v="1067"/>
    <x v="1336"/>
    <x v="1334"/>
    <x v="1296"/>
    <x v="1"/>
    <x v="1327"/>
    <x v="1336"/>
    <x v="722"/>
    <x v="0"/>
    <x v="0"/>
    <x v="0"/>
    <x v="30"/>
    <x v="19"/>
    <x v="19"/>
    <x v="23"/>
    <x v="1"/>
    <x v="1"/>
    <x v="0"/>
    <x v="1349"/>
  </r>
  <r>
    <x v="0"/>
    <x v="597"/>
    <x v="410"/>
    <x v="32"/>
    <x v="143"/>
    <x v="77"/>
    <x v="199"/>
    <x v="1288"/>
    <x v="314"/>
    <x v="554"/>
    <x v="895"/>
    <x v="242"/>
    <x v="1337"/>
    <x v="1335"/>
    <x v="1297"/>
    <x v="3"/>
    <x v="1328"/>
    <x v="1337"/>
    <x v="404"/>
    <x v="0"/>
    <x v="0"/>
    <x v="0"/>
    <x v="82"/>
    <x v="18"/>
    <x v="507"/>
    <x v="5"/>
    <x v="1"/>
    <x v="260"/>
    <x v="0"/>
    <x v="1350"/>
  </r>
  <r>
    <x v="0"/>
    <x v="445"/>
    <x v="352"/>
    <x v="50"/>
    <x v="154"/>
    <x v="628"/>
    <x v="238"/>
    <x v="1289"/>
    <x v="132"/>
    <x v="555"/>
    <x v="914"/>
    <x v="1068"/>
    <x v="1338"/>
    <x v="1336"/>
    <x v="1298"/>
    <x v="1"/>
    <x v="1329"/>
    <x v="1338"/>
    <x v="400"/>
    <x v="0"/>
    <x v="0"/>
    <x v="2"/>
    <x v="116"/>
    <x v="2"/>
    <x v="33"/>
    <x v="46"/>
    <x v="3"/>
    <x v="60"/>
    <x v="0"/>
    <x v="1351"/>
  </r>
  <r>
    <x v="0"/>
    <x v="598"/>
    <x v="257"/>
    <x v="58"/>
    <x v="171"/>
    <x v="457"/>
    <x v="305"/>
    <x v="1290"/>
    <x v="17"/>
    <x v="556"/>
    <x v="915"/>
    <x v="1069"/>
    <x v="1339"/>
    <x v="1337"/>
    <x v="1299"/>
    <x v="0"/>
    <x v="1330"/>
    <x v="1339"/>
    <x v="454"/>
    <x v="0"/>
    <x v="0"/>
    <x v="4"/>
    <x v="30"/>
    <x v="18"/>
    <x v="520"/>
    <x v="23"/>
    <x v="3"/>
    <x v="261"/>
    <x v="0"/>
    <x v="1352"/>
  </r>
  <r>
    <x v="0"/>
    <x v="368"/>
    <x v="398"/>
    <x v="42"/>
    <x v="31"/>
    <x v="191"/>
    <x v="179"/>
    <x v="1291"/>
    <x v="200"/>
    <x v="338"/>
    <x v="916"/>
    <x v="308"/>
    <x v="1340"/>
    <x v="1338"/>
    <x v="1300"/>
    <x v="1"/>
    <x v="1331"/>
    <x v="1340"/>
    <x v="432"/>
    <x v="0"/>
    <x v="0"/>
    <x v="2"/>
    <x v="30"/>
    <x v="18"/>
    <x v="521"/>
    <x v="34"/>
    <x v="3"/>
    <x v="262"/>
    <x v="0"/>
    <x v="1353"/>
  </r>
  <r>
    <x v="0"/>
    <x v="335"/>
    <x v="208"/>
    <x v="82"/>
    <x v="67"/>
    <x v="347"/>
    <x v="1"/>
    <x v="1292"/>
    <x v="60"/>
    <x v="1"/>
    <x v="273"/>
    <x v="473"/>
    <x v="1341"/>
    <x v="1339"/>
    <x v="1301"/>
    <x v="1"/>
    <x v="1332"/>
    <x v="1341"/>
    <x v="725"/>
    <x v="0"/>
    <x v="13"/>
    <x v="4"/>
    <x v="30"/>
    <x v="15"/>
    <x v="185"/>
    <x v="10"/>
    <x v="1"/>
    <x v="1"/>
    <x v="0"/>
    <x v="1354"/>
  </r>
  <r>
    <x v="0"/>
    <x v="77"/>
    <x v="276"/>
    <x v="34"/>
    <x v="61"/>
    <x v="94"/>
    <x v="6"/>
    <x v="1293"/>
    <x v="171"/>
    <x v="6"/>
    <x v="917"/>
    <x v="1070"/>
    <x v="1342"/>
    <x v="1340"/>
    <x v="1302"/>
    <x v="0"/>
    <x v="1333"/>
    <x v="1342"/>
    <x v="678"/>
    <x v="0"/>
    <x v="0"/>
    <x v="4"/>
    <x v="30"/>
    <x v="25"/>
    <x v="522"/>
    <x v="9"/>
    <x v="1"/>
    <x v="209"/>
    <x v="0"/>
    <x v="1355"/>
  </r>
  <r>
    <x v="0"/>
    <x v="392"/>
    <x v="283"/>
    <x v="72"/>
    <x v="169"/>
    <x v="629"/>
    <x v="306"/>
    <x v="1294"/>
    <x v="419"/>
    <x v="557"/>
    <x v="918"/>
    <x v="1071"/>
    <x v="1343"/>
    <x v="1341"/>
    <x v="1303"/>
    <x v="0"/>
    <x v="1334"/>
    <x v="1343"/>
    <x v="251"/>
    <x v="0"/>
    <x v="0"/>
    <x v="4"/>
    <x v="120"/>
    <x v="18"/>
    <x v="523"/>
    <x v="5"/>
    <x v="1"/>
    <x v="1"/>
    <x v="0"/>
    <x v="1356"/>
  </r>
  <r>
    <x v="0"/>
    <x v="599"/>
    <x v="108"/>
    <x v="56"/>
    <x v="273"/>
    <x v="630"/>
    <x v="145"/>
    <x v="1295"/>
    <x v="270"/>
    <x v="558"/>
    <x v="310"/>
    <x v="1072"/>
    <x v="1344"/>
    <x v="1342"/>
    <x v="1304"/>
    <x v="0"/>
    <x v="1335"/>
    <x v="1344"/>
    <x v="458"/>
    <x v="0"/>
    <x v="0"/>
    <x v="4"/>
    <x v="70"/>
    <x v="0"/>
    <x v="210"/>
    <x v="11"/>
    <x v="3"/>
    <x v="85"/>
    <x v="0"/>
    <x v="1357"/>
  </r>
  <r>
    <x v="0"/>
    <x v="18"/>
    <x v="447"/>
    <x v="74"/>
    <x v="0"/>
    <x v="64"/>
    <x v="25"/>
    <x v="1296"/>
    <x v="457"/>
    <x v="30"/>
    <x v="919"/>
    <x v="428"/>
    <x v="1345"/>
    <x v="1343"/>
    <x v="1305"/>
    <x v="2"/>
    <x v="1336"/>
    <x v="1345"/>
    <x v="258"/>
    <x v="0"/>
    <x v="0"/>
    <x v="0"/>
    <x v="30"/>
    <x v="25"/>
    <x v="30"/>
    <x v="4"/>
    <x v="1"/>
    <x v="263"/>
    <x v="0"/>
    <x v="1358"/>
  </r>
  <r>
    <x v="0"/>
    <x v="469"/>
    <x v="214"/>
    <x v="56"/>
    <x v="0"/>
    <x v="416"/>
    <x v="58"/>
    <x v="1297"/>
    <x v="458"/>
    <x v="559"/>
    <x v="920"/>
    <x v="1073"/>
    <x v="1346"/>
    <x v="1344"/>
    <x v="1306"/>
    <x v="0"/>
    <x v="1337"/>
    <x v="1346"/>
    <x v="726"/>
    <x v="0"/>
    <x v="0"/>
    <x v="4"/>
    <x v="159"/>
    <x v="26"/>
    <x v="524"/>
    <x v="17"/>
    <x v="1"/>
    <x v="33"/>
    <x v="0"/>
    <x v="1359"/>
  </r>
  <r>
    <x v="0"/>
    <x v="138"/>
    <x v="1"/>
    <x v="46"/>
    <x v="103"/>
    <x v="317"/>
    <x v="21"/>
    <x v="1298"/>
    <x v="222"/>
    <x v="127"/>
    <x v="921"/>
    <x v="450"/>
    <x v="1347"/>
    <x v="1345"/>
    <x v="1307"/>
    <x v="0"/>
    <x v="1338"/>
    <x v="1347"/>
    <x v="154"/>
    <x v="0"/>
    <x v="0"/>
    <x v="4"/>
    <x v="30"/>
    <x v="9"/>
    <x v="525"/>
    <x v="21"/>
    <x v="1"/>
    <x v="36"/>
    <x v="0"/>
    <x v="1360"/>
  </r>
  <r>
    <x v="0"/>
    <x v="600"/>
    <x v="428"/>
    <x v="34"/>
    <x v="31"/>
    <x v="74"/>
    <x v="307"/>
    <x v="1299"/>
    <x v="180"/>
    <x v="560"/>
    <x v="922"/>
    <x v="1074"/>
    <x v="1348"/>
    <x v="1346"/>
    <x v="1308"/>
    <x v="1"/>
    <x v="1339"/>
    <x v="1348"/>
    <x v="671"/>
    <x v="0"/>
    <x v="0"/>
    <x v="4"/>
    <x v="160"/>
    <x v="13"/>
    <x v="4"/>
    <x v="21"/>
    <x v="1"/>
    <x v="264"/>
    <x v="0"/>
    <x v="1361"/>
  </r>
  <r>
    <x v="0"/>
    <x v="601"/>
    <x v="308"/>
    <x v="47"/>
    <x v="255"/>
    <x v="309"/>
    <x v="0"/>
    <x v="1300"/>
    <x v="459"/>
    <x v="561"/>
    <x v="923"/>
    <x v="1075"/>
    <x v="1349"/>
    <x v="1347"/>
    <x v="1309"/>
    <x v="4"/>
    <x v="1340"/>
    <x v="1349"/>
    <x v="450"/>
    <x v="0"/>
    <x v="0"/>
    <x v="0"/>
    <x v="30"/>
    <x v="18"/>
    <x v="195"/>
    <x v="31"/>
    <x v="1"/>
    <x v="265"/>
    <x v="0"/>
    <x v="1362"/>
  </r>
  <r>
    <x v="0"/>
    <x v="276"/>
    <x v="378"/>
    <x v="78"/>
    <x v="180"/>
    <x v="335"/>
    <x v="57"/>
    <x v="1301"/>
    <x v="460"/>
    <x v="192"/>
    <x v="166"/>
    <x v="1076"/>
    <x v="1350"/>
    <x v="1348"/>
    <x v="1310"/>
    <x v="0"/>
    <x v="1341"/>
    <x v="1350"/>
    <x v="386"/>
    <x v="0"/>
    <x v="0"/>
    <x v="2"/>
    <x v="97"/>
    <x v="8"/>
    <x v="12"/>
    <x v="12"/>
    <x v="1"/>
    <x v="1"/>
    <x v="0"/>
    <x v="1363"/>
  </r>
  <r>
    <x v="0"/>
    <x v="602"/>
    <x v="448"/>
    <x v="48"/>
    <x v="0"/>
    <x v="100"/>
    <x v="308"/>
    <x v="1302"/>
    <x v="270"/>
    <x v="562"/>
    <x v="924"/>
    <x v="1077"/>
    <x v="1351"/>
    <x v="1349"/>
    <x v="1311"/>
    <x v="15"/>
    <x v="1342"/>
    <x v="1351"/>
    <x v="415"/>
    <x v="0"/>
    <x v="0"/>
    <x v="4"/>
    <x v="144"/>
    <x v="3"/>
    <x v="332"/>
    <x v="1"/>
    <x v="3"/>
    <x v="41"/>
    <x v="0"/>
    <x v="1364"/>
  </r>
  <r>
    <x v="0"/>
    <x v="603"/>
    <x v="152"/>
    <x v="55"/>
    <x v="216"/>
    <x v="152"/>
    <x v="41"/>
    <x v="4"/>
    <x v="461"/>
    <x v="563"/>
    <x v="925"/>
    <x v="1078"/>
    <x v="1352"/>
    <x v="1350"/>
    <x v="1312"/>
    <x v="4"/>
    <x v="1343"/>
    <x v="1352"/>
    <x v="510"/>
    <x v="0"/>
    <x v="20"/>
    <x v="4"/>
    <x v="30"/>
    <x v="1"/>
    <x v="526"/>
    <x v="30"/>
    <x v="3"/>
    <x v="266"/>
    <x v="0"/>
    <x v="1365"/>
  </r>
  <r>
    <x v="1"/>
    <x v="449"/>
    <x v="366"/>
    <x v="29"/>
    <x v="218"/>
    <x v="492"/>
    <x v="35"/>
    <x v="1303"/>
    <x v="122"/>
    <x v="184"/>
    <x v="926"/>
    <x v="736"/>
    <x v="1353"/>
    <x v="1351"/>
    <x v="1313"/>
    <x v="0"/>
    <x v="1344"/>
    <x v="1353"/>
    <x v="727"/>
    <x v="0"/>
    <x v="0"/>
    <x v="2"/>
    <x v="88"/>
    <x v="8"/>
    <x v="103"/>
    <x v="11"/>
    <x v="1"/>
    <x v="1"/>
    <x v="0"/>
    <x v="1366"/>
  </r>
  <r>
    <x v="0"/>
    <x v="604"/>
    <x v="123"/>
    <x v="52"/>
    <x v="78"/>
    <x v="631"/>
    <x v="30"/>
    <x v="1304"/>
    <x v="18"/>
    <x v="53"/>
    <x v="927"/>
    <x v="1079"/>
    <x v="1354"/>
    <x v="1352"/>
    <x v="1314"/>
    <x v="0"/>
    <x v="1345"/>
    <x v="1354"/>
    <x v="728"/>
    <x v="0"/>
    <x v="0"/>
    <x v="0"/>
    <x v="30"/>
    <x v="6"/>
    <x v="30"/>
    <x v="31"/>
    <x v="1"/>
    <x v="57"/>
    <x v="0"/>
    <x v="1367"/>
  </r>
  <r>
    <x v="0"/>
    <x v="605"/>
    <x v="449"/>
    <x v="82"/>
    <x v="0"/>
    <x v="383"/>
    <x v="57"/>
    <x v="1305"/>
    <x v="291"/>
    <x v="237"/>
    <x v="928"/>
    <x v="540"/>
    <x v="1355"/>
    <x v="1353"/>
    <x v="1315"/>
    <x v="1"/>
    <x v="1346"/>
    <x v="1355"/>
    <x v="338"/>
    <x v="0"/>
    <x v="0"/>
    <x v="0"/>
    <x v="82"/>
    <x v="2"/>
    <x v="527"/>
    <x v="16"/>
    <x v="1"/>
    <x v="105"/>
    <x v="0"/>
    <x v="1368"/>
  </r>
  <r>
    <x v="0"/>
    <x v="520"/>
    <x v="36"/>
    <x v="13"/>
    <x v="0"/>
    <x v="445"/>
    <x v="14"/>
    <x v="1306"/>
    <x v="168"/>
    <x v="119"/>
    <x v="352"/>
    <x v="1080"/>
    <x v="1356"/>
    <x v="1354"/>
    <x v="1316"/>
    <x v="6"/>
    <x v="1347"/>
    <x v="1356"/>
    <x v="638"/>
    <x v="0"/>
    <x v="0"/>
    <x v="4"/>
    <x v="160"/>
    <x v="5"/>
    <x v="9"/>
    <x v="32"/>
    <x v="1"/>
    <x v="5"/>
    <x v="0"/>
    <x v="1369"/>
  </r>
  <r>
    <x v="0"/>
    <x v="606"/>
    <x v="230"/>
    <x v="47"/>
    <x v="79"/>
    <x v="512"/>
    <x v="14"/>
    <x v="1307"/>
    <x v="105"/>
    <x v="219"/>
    <x v="68"/>
    <x v="769"/>
    <x v="1357"/>
    <x v="1355"/>
    <x v="1317"/>
    <x v="14"/>
    <x v="1348"/>
    <x v="1357"/>
    <x v="258"/>
    <x v="0"/>
    <x v="0"/>
    <x v="0"/>
    <x v="88"/>
    <x v="3"/>
    <x v="12"/>
    <x v="20"/>
    <x v="1"/>
    <x v="57"/>
    <x v="0"/>
    <x v="1370"/>
  </r>
  <r>
    <x v="0"/>
    <x v="607"/>
    <x v="440"/>
    <x v="45"/>
    <x v="16"/>
    <x v="248"/>
    <x v="6"/>
    <x v="1308"/>
    <x v="200"/>
    <x v="6"/>
    <x v="40"/>
    <x v="320"/>
    <x v="1358"/>
    <x v="1356"/>
    <x v="1318"/>
    <x v="0"/>
    <x v="1349"/>
    <x v="1358"/>
    <x v="596"/>
    <x v="0"/>
    <x v="0"/>
    <x v="4"/>
    <x v="160"/>
    <x v="8"/>
    <x v="6"/>
    <x v="15"/>
    <x v="3"/>
    <x v="1"/>
    <x v="0"/>
    <x v="1371"/>
  </r>
  <r>
    <x v="0"/>
    <x v="608"/>
    <x v="296"/>
    <x v="45"/>
    <x v="221"/>
    <x v="632"/>
    <x v="11"/>
    <x v="1309"/>
    <x v="56"/>
    <x v="69"/>
    <x v="929"/>
    <x v="1081"/>
    <x v="1359"/>
    <x v="1357"/>
    <x v="1319"/>
    <x v="3"/>
    <x v="1350"/>
    <x v="1359"/>
    <x v="472"/>
    <x v="0"/>
    <x v="0"/>
    <x v="2"/>
    <x v="160"/>
    <x v="8"/>
    <x v="68"/>
    <x v="19"/>
    <x v="1"/>
    <x v="1"/>
    <x v="0"/>
    <x v="1372"/>
  </r>
  <r>
    <x v="0"/>
    <x v="84"/>
    <x v="289"/>
    <x v="32"/>
    <x v="67"/>
    <x v="264"/>
    <x v="8"/>
    <x v="1310"/>
    <x v="462"/>
    <x v="8"/>
    <x v="35"/>
    <x v="1082"/>
    <x v="1360"/>
    <x v="1358"/>
    <x v="1320"/>
    <x v="0"/>
    <x v="1351"/>
    <x v="1360"/>
    <x v="729"/>
    <x v="0"/>
    <x v="1"/>
    <x v="4"/>
    <x v="30"/>
    <x v="9"/>
    <x v="10"/>
    <x v="14"/>
    <x v="1"/>
    <x v="17"/>
    <x v="0"/>
    <x v="1373"/>
  </r>
  <r>
    <x v="0"/>
    <x v="602"/>
    <x v="400"/>
    <x v="123"/>
    <x v="0"/>
    <x v="260"/>
    <x v="309"/>
    <x v="1311"/>
    <x v="270"/>
    <x v="564"/>
    <x v="930"/>
    <x v="1083"/>
    <x v="1361"/>
    <x v="1359"/>
    <x v="1321"/>
    <x v="1"/>
    <x v="1352"/>
    <x v="1361"/>
    <x v="730"/>
    <x v="0"/>
    <x v="0"/>
    <x v="4"/>
    <x v="160"/>
    <x v="15"/>
    <x v="159"/>
    <x v="25"/>
    <x v="1"/>
    <x v="38"/>
    <x v="0"/>
    <x v="1374"/>
  </r>
  <r>
    <x v="0"/>
    <x v="609"/>
    <x v="232"/>
    <x v="86"/>
    <x v="0"/>
    <x v="354"/>
    <x v="57"/>
    <x v="1312"/>
    <x v="132"/>
    <x v="99"/>
    <x v="931"/>
    <x v="485"/>
    <x v="1362"/>
    <x v="1360"/>
    <x v="1322"/>
    <x v="4"/>
    <x v="1353"/>
    <x v="1362"/>
    <x v="538"/>
    <x v="0"/>
    <x v="0"/>
    <x v="4"/>
    <x v="160"/>
    <x v="5"/>
    <x v="237"/>
    <x v="23"/>
    <x v="1"/>
    <x v="1"/>
    <x v="0"/>
    <x v="1375"/>
  </r>
  <r>
    <x v="0"/>
    <x v="610"/>
    <x v="263"/>
    <x v="47"/>
    <x v="31"/>
    <x v="60"/>
    <x v="35"/>
    <x v="1313"/>
    <x v="127"/>
    <x v="517"/>
    <x v="932"/>
    <x v="1084"/>
    <x v="1363"/>
    <x v="1361"/>
    <x v="1323"/>
    <x v="2"/>
    <x v="1354"/>
    <x v="1363"/>
    <x v="536"/>
    <x v="0"/>
    <x v="0"/>
    <x v="4"/>
    <x v="30"/>
    <x v="6"/>
    <x v="83"/>
    <x v="9"/>
    <x v="1"/>
    <x v="61"/>
    <x v="0"/>
    <x v="1376"/>
  </r>
  <r>
    <x v="0"/>
    <x v="611"/>
    <x v="333"/>
    <x v="18"/>
    <x v="10"/>
    <x v="559"/>
    <x v="2"/>
    <x v="1314"/>
    <x v="463"/>
    <x v="130"/>
    <x v="933"/>
    <x v="1085"/>
    <x v="1364"/>
    <x v="1362"/>
    <x v="1324"/>
    <x v="7"/>
    <x v="1355"/>
    <x v="1364"/>
    <x v="514"/>
    <x v="0"/>
    <x v="0"/>
    <x v="2"/>
    <x v="160"/>
    <x v="10"/>
    <x v="352"/>
    <x v="8"/>
    <x v="3"/>
    <x v="1"/>
    <x v="0"/>
    <x v="1377"/>
  </r>
  <r>
    <x v="0"/>
    <x v="534"/>
    <x v="113"/>
    <x v="40"/>
    <x v="264"/>
    <x v="9"/>
    <x v="30"/>
    <x v="1315"/>
    <x v="49"/>
    <x v="224"/>
    <x v="642"/>
    <x v="533"/>
    <x v="1365"/>
    <x v="1363"/>
    <x v="1325"/>
    <x v="1"/>
    <x v="1356"/>
    <x v="1365"/>
    <x v="731"/>
    <x v="0"/>
    <x v="0"/>
    <x v="0"/>
    <x v="160"/>
    <x v="8"/>
    <x v="47"/>
    <x v="31"/>
    <x v="1"/>
    <x v="64"/>
    <x v="0"/>
    <x v="1378"/>
  </r>
  <r>
    <x v="0"/>
    <x v="550"/>
    <x v="309"/>
    <x v="38"/>
    <x v="268"/>
    <x v="633"/>
    <x v="11"/>
    <x v="1316"/>
    <x v="168"/>
    <x v="156"/>
    <x v="934"/>
    <x v="920"/>
    <x v="1366"/>
    <x v="1364"/>
    <x v="1326"/>
    <x v="1"/>
    <x v="1357"/>
    <x v="1366"/>
    <x v="318"/>
    <x v="0"/>
    <x v="0"/>
    <x v="0"/>
    <x v="105"/>
    <x v="19"/>
    <x v="528"/>
    <x v="15"/>
    <x v="3"/>
    <x v="1"/>
    <x v="0"/>
    <x v="1379"/>
  </r>
  <r>
    <x v="0"/>
    <x v="243"/>
    <x v="361"/>
    <x v="41"/>
    <x v="123"/>
    <x v="417"/>
    <x v="183"/>
    <x v="1317"/>
    <x v="26"/>
    <x v="344"/>
    <x v="935"/>
    <x v="1086"/>
    <x v="1367"/>
    <x v="1365"/>
    <x v="1327"/>
    <x v="1"/>
    <x v="1358"/>
    <x v="1367"/>
    <x v="245"/>
    <x v="0"/>
    <x v="0"/>
    <x v="0"/>
    <x v="48"/>
    <x v="15"/>
    <x v="529"/>
    <x v="22"/>
    <x v="3"/>
    <x v="1"/>
    <x v="0"/>
    <x v="1380"/>
  </r>
  <r>
    <x v="0"/>
    <x v="436"/>
    <x v="172"/>
    <x v="34"/>
    <x v="171"/>
    <x v="512"/>
    <x v="310"/>
    <x v="1318"/>
    <x v="70"/>
    <x v="565"/>
    <x v="936"/>
    <x v="769"/>
    <x v="1368"/>
    <x v="1366"/>
    <x v="1328"/>
    <x v="2"/>
    <x v="1359"/>
    <x v="1368"/>
    <x v="428"/>
    <x v="0"/>
    <x v="0"/>
    <x v="4"/>
    <x v="160"/>
    <x v="9"/>
    <x v="530"/>
    <x v="15"/>
    <x v="1"/>
    <x v="50"/>
    <x v="0"/>
    <x v="1381"/>
  </r>
  <r>
    <x v="0"/>
    <x v="612"/>
    <x v="369"/>
    <x v="69"/>
    <x v="62"/>
    <x v="89"/>
    <x v="311"/>
    <x v="4"/>
    <x v="5"/>
    <x v="566"/>
    <x v="937"/>
    <x v="1087"/>
    <x v="1369"/>
    <x v="1367"/>
    <x v="1329"/>
    <x v="0"/>
    <x v="1360"/>
    <x v="1369"/>
    <x v="732"/>
    <x v="9"/>
    <x v="21"/>
    <x v="1"/>
    <x v="161"/>
    <x v="0"/>
    <x v="213"/>
    <x v="43"/>
    <x v="2"/>
    <x v="267"/>
    <x v="0"/>
    <x v="1382"/>
  </r>
  <r>
    <x v="0"/>
    <x v="65"/>
    <x v="365"/>
    <x v="41"/>
    <x v="50"/>
    <x v="399"/>
    <x v="312"/>
    <x v="1319"/>
    <x v="80"/>
    <x v="567"/>
    <x v="83"/>
    <x v="718"/>
    <x v="1370"/>
    <x v="1368"/>
    <x v="1330"/>
    <x v="0"/>
    <x v="1361"/>
    <x v="1370"/>
    <x v="733"/>
    <x v="0"/>
    <x v="0"/>
    <x v="4"/>
    <x v="105"/>
    <x v="13"/>
    <x v="62"/>
    <x v="8"/>
    <x v="1"/>
    <x v="1"/>
    <x v="0"/>
    <x v="1383"/>
  </r>
  <r>
    <x v="0"/>
    <x v="613"/>
    <x v="332"/>
    <x v="61"/>
    <x v="274"/>
    <x v="634"/>
    <x v="313"/>
    <x v="1320"/>
    <x v="2"/>
    <x v="568"/>
    <x v="938"/>
    <x v="1088"/>
    <x v="1371"/>
    <x v="1369"/>
    <x v="1331"/>
    <x v="3"/>
    <x v="1362"/>
    <x v="1371"/>
    <x v="178"/>
    <x v="0"/>
    <x v="1"/>
    <x v="2"/>
    <x v="105"/>
    <x v="45"/>
    <x v="97"/>
    <x v="5"/>
    <x v="1"/>
    <x v="1"/>
    <x v="0"/>
    <x v="1384"/>
  </r>
  <r>
    <x v="0"/>
    <x v="614"/>
    <x v="220"/>
    <x v="59"/>
    <x v="47"/>
    <x v="461"/>
    <x v="314"/>
    <x v="1321"/>
    <x v="376"/>
    <x v="569"/>
    <x v="939"/>
    <x v="865"/>
    <x v="1372"/>
    <x v="1370"/>
    <x v="1332"/>
    <x v="8"/>
    <x v="1363"/>
    <x v="1372"/>
    <x v="554"/>
    <x v="0"/>
    <x v="0"/>
    <x v="4"/>
    <x v="105"/>
    <x v="5"/>
    <x v="386"/>
    <x v="21"/>
    <x v="3"/>
    <x v="85"/>
    <x v="0"/>
    <x v="1385"/>
  </r>
  <r>
    <x v="0"/>
    <x v="611"/>
    <x v="390"/>
    <x v="86"/>
    <x v="10"/>
    <x v="559"/>
    <x v="2"/>
    <x v="1322"/>
    <x v="463"/>
    <x v="130"/>
    <x v="940"/>
    <x v="1085"/>
    <x v="1373"/>
    <x v="1371"/>
    <x v="1333"/>
    <x v="0"/>
    <x v="1364"/>
    <x v="1373"/>
    <x v="631"/>
    <x v="0"/>
    <x v="0"/>
    <x v="2"/>
    <x v="105"/>
    <x v="11"/>
    <x v="454"/>
    <x v="21"/>
    <x v="3"/>
    <x v="1"/>
    <x v="0"/>
    <x v="1386"/>
  </r>
  <r>
    <x v="0"/>
    <x v="407"/>
    <x v="450"/>
    <x v="23"/>
    <x v="173"/>
    <x v="415"/>
    <x v="123"/>
    <x v="1323"/>
    <x v="464"/>
    <x v="233"/>
    <x v="699"/>
    <x v="602"/>
    <x v="1374"/>
    <x v="1372"/>
    <x v="1334"/>
    <x v="0"/>
    <x v="1365"/>
    <x v="1374"/>
    <x v="657"/>
    <x v="0"/>
    <x v="0"/>
    <x v="4"/>
    <x v="148"/>
    <x v="21"/>
    <x v="30"/>
    <x v="20"/>
    <x v="1"/>
    <x v="268"/>
    <x v="0"/>
    <x v="1387"/>
  </r>
  <r>
    <x v="0"/>
    <x v="273"/>
    <x v="382"/>
    <x v="56"/>
    <x v="70"/>
    <x v="52"/>
    <x v="21"/>
    <x v="1324"/>
    <x v="28"/>
    <x v="127"/>
    <x v="913"/>
    <x v="429"/>
    <x v="1375"/>
    <x v="1373"/>
    <x v="1335"/>
    <x v="0"/>
    <x v="1366"/>
    <x v="1375"/>
    <x v="675"/>
    <x v="0"/>
    <x v="0"/>
    <x v="4"/>
    <x v="105"/>
    <x v="17"/>
    <x v="19"/>
    <x v="9"/>
    <x v="1"/>
    <x v="1"/>
    <x v="0"/>
    <x v="1388"/>
  </r>
  <r>
    <x v="0"/>
    <x v="296"/>
    <x v="291"/>
    <x v="72"/>
    <x v="189"/>
    <x v="47"/>
    <x v="10"/>
    <x v="1325"/>
    <x v="105"/>
    <x v="16"/>
    <x v="941"/>
    <x v="1089"/>
    <x v="1376"/>
    <x v="1374"/>
    <x v="1336"/>
    <x v="1"/>
    <x v="1367"/>
    <x v="1376"/>
    <x v="497"/>
    <x v="0"/>
    <x v="0"/>
    <x v="0"/>
    <x v="160"/>
    <x v="2"/>
    <x v="20"/>
    <x v="28"/>
    <x v="3"/>
    <x v="59"/>
    <x v="0"/>
    <x v="1389"/>
  </r>
  <r>
    <x v="0"/>
    <x v="340"/>
    <x v="308"/>
    <x v="29"/>
    <x v="0"/>
    <x v="407"/>
    <x v="35"/>
    <x v="1326"/>
    <x v="433"/>
    <x v="461"/>
    <x v="942"/>
    <x v="955"/>
    <x v="1377"/>
    <x v="1375"/>
    <x v="1337"/>
    <x v="0"/>
    <x v="1368"/>
    <x v="1377"/>
    <x v="448"/>
    <x v="0"/>
    <x v="0"/>
    <x v="0"/>
    <x v="105"/>
    <x v="25"/>
    <x v="413"/>
    <x v="10"/>
    <x v="3"/>
    <x v="269"/>
    <x v="0"/>
    <x v="1390"/>
  </r>
  <r>
    <x v="0"/>
    <x v="615"/>
    <x v="299"/>
    <x v="46"/>
    <x v="93"/>
    <x v="212"/>
    <x v="315"/>
    <x v="1327"/>
    <x v="260"/>
    <x v="570"/>
    <x v="943"/>
    <x v="560"/>
    <x v="1378"/>
    <x v="1376"/>
    <x v="1338"/>
    <x v="1"/>
    <x v="1369"/>
    <x v="1378"/>
    <x v="357"/>
    <x v="0"/>
    <x v="0"/>
    <x v="0"/>
    <x v="105"/>
    <x v="15"/>
    <x v="201"/>
    <x v="2"/>
    <x v="1"/>
    <x v="168"/>
    <x v="0"/>
    <x v="1391"/>
  </r>
  <r>
    <x v="0"/>
    <x v="310"/>
    <x v="143"/>
    <x v="37"/>
    <x v="114"/>
    <x v="10"/>
    <x v="25"/>
    <x v="1328"/>
    <x v="416"/>
    <x v="82"/>
    <x v="944"/>
    <x v="1090"/>
    <x v="1379"/>
    <x v="1377"/>
    <x v="1339"/>
    <x v="1"/>
    <x v="1370"/>
    <x v="1379"/>
    <x v="435"/>
    <x v="0"/>
    <x v="0"/>
    <x v="0"/>
    <x v="160"/>
    <x v="10"/>
    <x v="13"/>
    <x v="19"/>
    <x v="1"/>
    <x v="33"/>
    <x v="0"/>
    <x v="1392"/>
  </r>
  <r>
    <x v="0"/>
    <x v="468"/>
    <x v="177"/>
    <x v="11"/>
    <x v="21"/>
    <x v="399"/>
    <x v="316"/>
    <x v="1329"/>
    <x v="211"/>
    <x v="571"/>
    <x v="945"/>
    <x v="1091"/>
    <x v="1380"/>
    <x v="1378"/>
    <x v="1340"/>
    <x v="4"/>
    <x v="1371"/>
    <x v="1380"/>
    <x v="121"/>
    <x v="0"/>
    <x v="0"/>
    <x v="0"/>
    <x v="105"/>
    <x v="13"/>
    <x v="531"/>
    <x v="6"/>
    <x v="1"/>
    <x v="16"/>
    <x v="0"/>
    <x v="1393"/>
  </r>
  <r>
    <x v="0"/>
    <x v="465"/>
    <x v="315"/>
    <x v="54"/>
    <x v="45"/>
    <x v="635"/>
    <x v="317"/>
    <x v="1330"/>
    <x v="465"/>
    <x v="572"/>
    <x v="214"/>
    <x v="1092"/>
    <x v="1381"/>
    <x v="1379"/>
    <x v="1341"/>
    <x v="0"/>
    <x v="1372"/>
    <x v="1381"/>
    <x v="398"/>
    <x v="0"/>
    <x v="0"/>
    <x v="4"/>
    <x v="105"/>
    <x v="21"/>
    <x v="144"/>
    <x v="43"/>
    <x v="3"/>
    <x v="270"/>
    <x v="0"/>
    <x v="1394"/>
  </r>
  <r>
    <x v="0"/>
    <x v="143"/>
    <x v="69"/>
    <x v="113"/>
    <x v="106"/>
    <x v="174"/>
    <x v="318"/>
    <x v="1331"/>
    <x v="44"/>
    <x v="573"/>
    <x v="946"/>
    <x v="1093"/>
    <x v="1382"/>
    <x v="1380"/>
    <x v="1342"/>
    <x v="0"/>
    <x v="1373"/>
    <x v="1382"/>
    <x v="727"/>
    <x v="0"/>
    <x v="0"/>
    <x v="3"/>
    <x v="160"/>
    <x v="8"/>
    <x v="532"/>
    <x v="33"/>
    <x v="1"/>
    <x v="238"/>
    <x v="0"/>
    <x v="1395"/>
  </r>
  <r>
    <x v="0"/>
    <x v="616"/>
    <x v="402"/>
    <x v="54"/>
    <x v="0"/>
    <x v="437"/>
    <x v="0"/>
    <x v="1332"/>
    <x v="125"/>
    <x v="85"/>
    <x v="603"/>
    <x v="638"/>
    <x v="1383"/>
    <x v="1381"/>
    <x v="1343"/>
    <x v="1"/>
    <x v="1374"/>
    <x v="1383"/>
    <x v="670"/>
    <x v="0"/>
    <x v="0"/>
    <x v="0"/>
    <x v="162"/>
    <x v="17"/>
    <x v="60"/>
    <x v="28"/>
    <x v="3"/>
    <x v="271"/>
    <x v="0"/>
    <x v="1396"/>
  </r>
  <r>
    <x v="0"/>
    <x v="235"/>
    <x v="33"/>
    <x v="26"/>
    <x v="157"/>
    <x v="526"/>
    <x v="21"/>
    <x v="1333"/>
    <x v="125"/>
    <x v="71"/>
    <x v="947"/>
    <x v="805"/>
    <x v="1384"/>
    <x v="1382"/>
    <x v="1344"/>
    <x v="3"/>
    <x v="1375"/>
    <x v="1384"/>
    <x v="117"/>
    <x v="0"/>
    <x v="0"/>
    <x v="4"/>
    <x v="82"/>
    <x v="0"/>
    <x v="533"/>
    <x v="6"/>
    <x v="1"/>
    <x v="4"/>
    <x v="0"/>
    <x v="1397"/>
  </r>
  <r>
    <x v="0"/>
    <x v="617"/>
    <x v="239"/>
    <x v="72"/>
    <x v="73"/>
    <x v="636"/>
    <x v="319"/>
    <x v="1334"/>
    <x v="466"/>
    <x v="574"/>
    <x v="948"/>
    <x v="1094"/>
    <x v="1385"/>
    <x v="1383"/>
    <x v="1345"/>
    <x v="0"/>
    <x v="1376"/>
    <x v="1385"/>
    <x v="727"/>
    <x v="13"/>
    <x v="14"/>
    <x v="0"/>
    <x v="105"/>
    <x v="2"/>
    <x v="534"/>
    <x v="13"/>
    <x v="1"/>
    <x v="85"/>
    <x v="0"/>
    <x v="1398"/>
  </r>
  <r>
    <x v="0"/>
    <x v="190"/>
    <x v="253"/>
    <x v="54"/>
    <x v="135"/>
    <x v="404"/>
    <x v="230"/>
    <x v="1335"/>
    <x v="100"/>
    <x v="424"/>
    <x v="949"/>
    <x v="584"/>
    <x v="1386"/>
    <x v="1384"/>
    <x v="1346"/>
    <x v="1"/>
    <x v="1377"/>
    <x v="1386"/>
    <x v="734"/>
    <x v="0"/>
    <x v="0"/>
    <x v="0"/>
    <x v="152"/>
    <x v="15"/>
    <x v="535"/>
    <x v="4"/>
    <x v="1"/>
    <x v="1"/>
    <x v="0"/>
    <x v="1399"/>
  </r>
  <r>
    <x v="0"/>
    <x v="24"/>
    <x v="72"/>
    <x v="51"/>
    <x v="17"/>
    <x v="433"/>
    <x v="68"/>
    <x v="1336"/>
    <x v="9"/>
    <x v="120"/>
    <x v="607"/>
    <x v="1095"/>
    <x v="1387"/>
    <x v="1385"/>
    <x v="678"/>
    <x v="0"/>
    <x v="1378"/>
    <x v="1387"/>
    <x v="735"/>
    <x v="0"/>
    <x v="0"/>
    <x v="0"/>
    <x v="82"/>
    <x v="30"/>
    <x v="272"/>
    <x v="32"/>
    <x v="3"/>
    <x v="85"/>
    <x v="0"/>
    <x v="1400"/>
  </r>
  <r>
    <x v="0"/>
    <x v="58"/>
    <x v="379"/>
    <x v="58"/>
    <x v="43"/>
    <x v="625"/>
    <x v="290"/>
    <x v="1337"/>
    <x v="467"/>
    <x v="528"/>
    <x v="176"/>
    <x v="1096"/>
    <x v="1388"/>
    <x v="1386"/>
    <x v="1347"/>
    <x v="0"/>
    <x v="1379"/>
    <x v="1388"/>
    <x v="327"/>
    <x v="0"/>
    <x v="13"/>
    <x v="0"/>
    <x v="105"/>
    <x v="10"/>
    <x v="120"/>
    <x v="18"/>
    <x v="1"/>
    <x v="43"/>
    <x v="0"/>
    <x v="1401"/>
  </r>
  <r>
    <x v="0"/>
    <x v="105"/>
    <x v="373"/>
    <x v="61"/>
    <x v="83"/>
    <x v="393"/>
    <x v="320"/>
    <x v="1338"/>
    <x v="23"/>
    <x v="575"/>
    <x v="363"/>
    <x v="555"/>
    <x v="1389"/>
    <x v="1387"/>
    <x v="1348"/>
    <x v="4"/>
    <x v="1380"/>
    <x v="1389"/>
    <x v="736"/>
    <x v="0"/>
    <x v="0"/>
    <x v="4"/>
    <x v="82"/>
    <x v="29"/>
    <x v="242"/>
    <x v="10"/>
    <x v="1"/>
    <x v="1"/>
    <x v="0"/>
    <x v="1402"/>
  </r>
  <r>
    <x v="0"/>
    <x v="199"/>
    <x v="344"/>
    <x v="74"/>
    <x v="141"/>
    <x v="271"/>
    <x v="321"/>
    <x v="1339"/>
    <x v="122"/>
    <x v="576"/>
    <x v="950"/>
    <x v="1097"/>
    <x v="1390"/>
    <x v="1388"/>
    <x v="1349"/>
    <x v="0"/>
    <x v="1381"/>
    <x v="1390"/>
    <x v="638"/>
    <x v="0"/>
    <x v="0"/>
    <x v="0"/>
    <x v="163"/>
    <x v="0"/>
    <x v="536"/>
    <x v="16"/>
    <x v="3"/>
    <x v="58"/>
    <x v="0"/>
    <x v="1403"/>
  </r>
  <r>
    <x v="0"/>
    <x v="113"/>
    <x v="451"/>
    <x v="116"/>
    <x v="88"/>
    <x v="210"/>
    <x v="322"/>
    <x v="4"/>
    <x v="132"/>
    <x v="577"/>
    <x v="951"/>
    <x v="592"/>
    <x v="1391"/>
    <x v="1389"/>
    <x v="1350"/>
    <x v="4"/>
    <x v="4"/>
    <x v="1391"/>
    <x v="737"/>
    <x v="0"/>
    <x v="0"/>
    <x v="5"/>
    <x v="4"/>
    <x v="4"/>
    <x v="537"/>
    <x v="27"/>
    <x v="12"/>
    <x v="1"/>
    <x v="0"/>
    <x v="1404"/>
  </r>
  <r>
    <x v="0"/>
    <x v="423"/>
    <x v="270"/>
    <x v="76"/>
    <x v="0"/>
    <x v="482"/>
    <x v="35"/>
    <x v="1340"/>
    <x v="237"/>
    <x v="461"/>
    <x v="432"/>
    <x v="1098"/>
    <x v="1392"/>
    <x v="1390"/>
    <x v="1351"/>
    <x v="0"/>
    <x v="1382"/>
    <x v="1392"/>
    <x v="49"/>
    <x v="0"/>
    <x v="0"/>
    <x v="2"/>
    <x v="82"/>
    <x v="18"/>
    <x v="291"/>
    <x v="28"/>
    <x v="3"/>
    <x v="1"/>
    <x v="0"/>
    <x v="1405"/>
  </r>
  <r>
    <x v="0"/>
    <x v="238"/>
    <x v="452"/>
    <x v="11"/>
    <x v="159"/>
    <x v="607"/>
    <x v="11"/>
    <x v="1341"/>
    <x v="70"/>
    <x v="11"/>
    <x v="952"/>
    <x v="1099"/>
    <x v="1393"/>
    <x v="1391"/>
    <x v="1352"/>
    <x v="7"/>
    <x v="1383"/>
    <x v="1393"/>
    <x v="7"/>
    <x v="0"/>
    <x v="0"/>
    <x v="4"/>
    <x v="82"/>
    <x v="10"/>
    <x v="154"/>
    <x v="8"/>
    <x v="1"/>
    <x v="77"/>
    <x v="0"/>
    <x v="1406"/>
  </r>
  <r>
    <x v="0"/>
    <x v="607"/>
    <x v="453"/>
    <x v="47"/>
    <x v="16"/>
    <x v="637"/>
    <x v="57"/>
    <x v="1342"/>
    <x v="414"/>
    <x v="109"/>
    <x v="60"/>
    <x v="1100"/>
    <x v="1394"/>
    <x v="1392"/>
    <x v="1353"/>
    <x v="0"/>
    <x v="1384"/>
    <x v="1394"/>
    <x v="738"/>
    <x v="0"/>
    <x v="0"/>
    <x v="0"/>
    <x v="30"/>
    <x v="5"/>
    <x v="47"/>
    <x v="16"/>
    <x v="1"/>
    <x v="88"/>
    <x v="0"/>
    <x v="1407"/>
  </r>
  <r>
    <x v="0"/>
    <x v="345"/>
    <x v="132"/>
    <x v="56"/>
    <x v="172"/>
    <x v="333"/>
    <x v="2"/>
    <x v="1343"/>
    <x v="105"/>
    <x v="209"/>
    <x v="85"/>
    <x v="1101"/>
    <x v="1395"/>
    <x v="1393"/>
    <x v="1354"/>
    <x v="0"/>
    <x v="1385"/>
    <x v="1395"/>
    <x v="739"/>
    <x v="0"/>
    <x v="0"/>
    <x v="0"/>
    <x v="82"/>
    <x v="7"/>
    <x v="6"/>
    <x v="2"/>
    <x v="1"/>
    <x v="1"/>
    <x v="0"/>
    <x v="1408"/>
  </r>
  <r>
    <x v="0"/>
    <x v="618"/>
    <x v="295"/>
    <x v="14"/>
    <x v="275"/>
    <x v="575"/>
    <x v="25"/>
    <x v="1344"/>
    <x v="101"/>
    <x v="194"/>
    <x v="953"/>
    <x v="1102"/>
    <x v="1396"/>
    <x v="1394"/>
    <x v="1355"/>
    <x v="4"/>
    <x v="1386"/>
    <x v="1396"/>
    <x v="415"/>
    <x v="0"/>
    <x v="0"/>
    <x v="2"/>
    <x v="82"/>
    <x v="28"/>
    <x v="335"/>
    <x v="21"/>
    <x v="1"/>
    <x v="1"/>
    <x v="0"/>
    <x v="1409"/>
  </r>
  <r>
    <x v="0"/>
    <x v="238"/>
    <x v="101"/>
    <x v="60"/>
    <x v="159"/>
    <x v="134"/>
    <x v="41"/>
    <x v="1345"/>
    <x v="70"/>
    <x v="211"/>
    <x v="388"/>
    <x v="165"/>
    <x v="1397"/>
    <x v="1395"/>
    <x v="1356"/>
    <x v="4"/>
    <x v="1387"/>
    <x v="1397"/>
    <x v="423"/>
    <x v="0"/>
    <x v="0"/>
    <x v="4"/>
    <x v="82"/>
    <x v="9"/>
    <x v="260"/>
    <x v="20"/>
    <x v="1"/>
    <x v="16"/>
    <x v="0"/>
    <x v="1410"/>
  </r>
  <r>
    <x v="0"/>
    <x v="48"/>
    <x v="293"/>
    <x v="57"/>
    <x v="33"/>
    <x v="174"/>
    <x v="13"/>
    <x v="1346"/>
    <x v="111"/>
    <x v="158"/>
    <x v="954"/>
    <x v="220"/>
    <x v="1398"/>
    <x v="1396"/>
    <x v="1357"/>
    <x v="0"/>
    <x v="1388"/>
    <x v="1398"/>
    <x v="292"/>
    <x v="0"/>
    <x v="0"/>
    <x v="4"/>
    <x v="82"/>
    <x v="23"/>
    <x v="30"/>
    <x v="11"/>
    <x v="1"/>
    <x v="1"/>
    <x v="0"/>
    <x v="1411"/>
  </r>
  <r>
    <x v="0"/>
    <x v="275"/>
    <x v="235"/>
    <x v="32"/>
    <x v="179"/>
    <x v="1"/>
    <x v="11"/>
    <x v="1347"/>
    <x v="168"/>
    <x v="11"/>
    <x v="243"/>
    <x v="319"/>
    <x v="1399"/>
    <x v="1397"/>
    <x v="1358"/>
    <x v="4"/>
    <x v="1389"/>
    <x v="1399"/>
    <x v="341"/>
    <x v="0"/>
    <x v="0"/>
    <x v="0"/>
    <x v="82"/>
    <x v="8"/>
    <x v="1"/>
    <x v="2"/>
    <x v="1"/>
    <x v="1"/>
    <x v="0"/>
    <x v="1412"/>
  </r>
  <r>
    <x v="0"/>
    <x v="287"/>
    <x v="454"/>
    <x v="74"/>
    <x v="0"/>
    <x v="65"/>
    <x v="323"/>
    <x v="1348"/>
    <x v="127"/>
    <x v="578"/>
    <x v="806"/>
    <x v="1103"/>
    <x v="1400"/>
    <x v="1398"/>
    <x v="1359"/>
    <x v="1"/>
    <x v="1390"/>
    <x v="1400"/>
    <x v="75"/>
    <x v="0"/>
    <x v="7"/>
    <x v="4"/>
    <x v="82"/>
    <x v="2"/>
    <x v="136"/>
    <x v="22"/>
    <x v="1"/>
    <x v="68"/>
    <x v="0"/>
    <x v="1413"/>
  </r>
  <r>
    <x v="0"/>
    <x v="619"/>
    <x v="209"/>
    <x v="72"/>
    <x v="193"/>
    <x v="638"/>
    <x v="0"/>
    <x v="1349"/>
    <x v="127"/>
    <x v="85"/>
    <x v="955"/>
    <x v="1104"/>
    <x v="1401"/>
    <x v="1399"/>
    <x v="1360"/>
    <x v="4"/>
    <x v="1391"/>
    <x v="1401"/>
    <x v="284"/>
    <x v="0"/>
    <x v="0"/>
    <x v="0"/>
    <x v="82"/>
    <x v="12"/>
    <x v="121"/>
    <x v="18"/>
    <x v="3"/>
    <x v="272"/>
    <x v="0"/>
    <x v="1414"/>
  </r>
  <r>
    <x v="0"/>
    <x v="241"/>
    <x v="410"/>
    <x v="108"/>
    <x v="162"/>
    <x v="148"/>
    <x v="21"/>
    <x v="1350"/>
    <x v="387"/>
    <x v="298"/>
    <x v="333"/>
    <x v="182"/>
    <x v="1402"/>
    <x v="1400"/>
    <x v="1361"/>
    <x v="0"/>
    <x v="1392"/>
    <x v="1402"/>
    <x v="424"/>
    <x v="0"/>
    <x v="0"/>
    <x v="4"/>
    <x v="146"/>
    <x v="25"/>
    <x v="30"/>
    <x v="38"/>
    <x v="3"/>
    <x v="1"/>
    <x v="0"/>
    <x v="1415"/>
  </r>
  <r>
    <x v="0"/>
    <x v="424"/>
    <x v="325"/>
    <x v="67"/>
    <x v="231"/>
    <x v="273"/>
    <x v="11"/>
    <x v="1351"/>
    <x v="171"/>
    <x v="11"/>
    <x v="956"/>
    <x v="569"/>
    <x v="1403"/>
    <x v="1401"/>
    <x v="1362"/>
    <x v="4"/>
    <x v="1393"/>
    <x v="1403"/>
    <x v="622"/>
    <x v="0"/>
    <x v="0"/>
    <x v="4"/>
    <x v="82"/>
    <x v="13"/>
    <x v="538"/>
    <x v="24"/>
    <x v="1"/>
    <x v="59"/>
    <x v="0"/>
    <x v="1416"/>
  </r>
  <r>
    <x v="0"/>
    <x v="60"/>
    <x v="238"/>
    <x v="7"/>
    <x v="45"/>
    <x v="60"/>
    <x v="324"/>
    <x v="1352"/>
    <x v="468"/>
    <x v="579"/>
    <x v="213"/>
    <x v="1084"/>
    <x v="1404"/>
    <x v="1402"/>
    <x v="1363"/>
    <x v="3"/>
    <x v="1394"/>
    <x v="1404"/>
    <x v="287"/>
    <x v="0"/>
    <x v="0"/>
    <x v="2"/>
    <x v="82"/>
    <x v="12"/>
    <x v="539"/>
    <x v="5"/>
    <x v="1"/>
    <x v="1"/>
    <x v="0"/>
    <x v="1417"/>
  </r>
  <r>
    <x v="0"/>
    <x v="189"/>
    <x v="383"/>
    <x v="78"/>
    <x v="0"/>
    <x v="639"/>
    <x v="32"/>
    <x v="1353"/>
    <x v="125"/>
    <x v="260"/>
    <x v="957"/>
    <x v="1105"/>
    <x v="1405"/>
    <x v="1403"/>
    <x v="1364"/>
    <x v="0"/>
    <x v="1395"/>
    <x v="1405"/>
    <x v="460"/>
    <x v="0"/>
    <x v="0"/>
    <x v="0"/>
    <x v="82"/>
    <x v="13"/>
    <x v="399"/>
    <x v="22"/>
    <x v="3"/>
    <x v="1"/>
    <x v="0"/>
    <x v="1418"/>
  </r>
  <r>
    <x v="0"/>
    <x v="146"/>
    <x v="241"/>
    <x v="26"/>
    <x v="108"/>
    <x v="401"/>
    <x v="325"/>
    <x v="1354"/>
    <x v="179"/>
    <x v="580"/>
    <x v="958"/>
    <x v="1106"/>
    <x v="1406"/>
    <x v="1404"/>
    <x v="1365"/>
    <x v="0"/>
    <x v="1396"/>
    <x v="1406"/>
    <x v="629"/>
    <x v="0"/>
    <x v="0"/>
    <x v="4"/>
    <x v="82"/>
    <x v="16"/>
    <x v="78"/>
    <x v="27"/>
    <x v="1"/>
    <x v="1"/>
    <x v="0"/>
    <x v="1419"/>
  </r>
  <r>
    <x v="0"/>
    <x v="548"/>
    <x v="127"/>
    <x v="59"/>
    <x v="0"/>
    <x v="354"/>
    <x v="1"/>
    <x v="1355"/>
    <x v="429"/>
    <x v="1"/>
    <x v="959"/>
    <x v="1107"/>
    <x v="1407"/>
    <x v="1405"/>
    <x v="1366"/>
    <x v="1"/>
    <x v="1397"/>
    <x v="1407"/>
    <x v="740"/>
    <x v="0"/>
    <x v="0"/>
    <x v="14"/>
    <x v="164"/>
    <x v="31"/>
    <x v="82"/>
    <x v="7"/>
    <x v="3"/>
    <x v="7"/>
    <x v="0"/>
    <x v="1420"/>
  </r>
  <r>
    <x v="0"/>
    <x v="228"/>
    <x v="117"/>
    <x v="56"/>
    <x v="155"/>
    <x v="412"/>
    <x v="326"/>
    <x v="1356"/>
    <x v="321"/>
    <x v="581"/>
    <x v="120"/>
    <x v="1031"/>
    <x v="1408"/>
    <x v="1406"/>
    <x v="1367"/>
    <x v="1"/>
    <x v="1398"/>
    <x v="1408"/>
    <x v="741"/>
    <x v="0"/>
    <x v="0"/>
    <x v="4"/>
    <x v="152"/>
    <x v="21"/>
    <x v="84"/>
    <x v="22"/>
    <x v="1"/>
    <x v="1"/>
    <x v="0"/>
    <x v="1421"/>
  </r>
  <r>
    <x v="0"/>
    <x v="297"/>
    <x v="383"/>
    <x v="5"/>
    <x v="190"/>
    <x v="640"/>
    <x v="19"/>
    <x v="1357"/>
    <x v="9"/>
    <x v="20"/>
    <x v="960"/>
    <x v="1108"/>
    <x v="1409"/>
    <x v="1407"/>
    <x v="1368"/>
    <x v="1"/>
    <x v="1399"/>
    <x v="1409"/>
    <x v="412"/>
    <x v="0"/>
    <x v="0"/>
    <x v="0"/>
    <x v="82"/>
    <x v="20"/>
    <x v="273"/>
    <x v="21"/>
    <x v="3"/>
    <x v="1"/>
    <x v="0"/>
    <x v="1422"/>
  </r>
  <r>
    <x v="0"/>
    <x v="297"/>
    <x v="202"/>
    <x v="32"/>
    <x v="190"/>
    <x v="641"/>
    <x v="327"/>
    <x v="1358"/>
    <x v="469"/>
    <x v="582"/>
    <x v="961"/>
    <x v="1109"/>
    <x v="1410"/>
    <x v="1408"/>
    <x v="1369"/>
    <x v="0"/>
    <x v="1400"/>
    <x v="1410"/>
    <x v="736"/>
    <x v="0"/>
    <x v="0"/>
    <x v="2"/>
    <x v="82"/>
    <x v="5"/>
    <x v="56"/>
    <x v="13"/>
    <x v="1"/>
    <x v="1"/>
    <x v="0"/>
    <x v="1423"/>
  </r>
  <r>
    <x v="0"/>
    <x v="620"/>
    <x v="104"/>
    <x v="101"/>
    <x v="125"/>
    <x v="80"/>
    <x v="2"/>
    <x v="1359"/>
    <x v="62"/>
    <x v="104"/>
    <x v="962"/>
    <x v="102"/>
    <x v="1411"/>
    <x v="1409"/>
    <x v="1370"/>
    <x v="0"/>
    <x v="1401"/>
    <x v="1411"/>
    <x v="376"/>
    <x v="0"/>
    <x v="14"/>
    <x v="2"/>
    <x v="148"/>
    <x v="1"/>
    <x v="9"/>
    <x v="22"/>
    <x v="1"/>
    <x v="1"/>
    <x v="0"/>
    <x v="1424"/>
  </r>
  <r>
    <x v="0"/>
    <x v="621"/>
    <x v="336"/>
    <x v="56"/>
    <x v="107"/>
    <x v="239"/>
    <x v="0"/>
    <x v="1360"/>
    <x v="122"/>
    <x v="114"/>
    <x v="963"/>
    <x v="1110"/>
    <x v="1412"/>
    <x v="1410"/>
    <x v="1371"/>
    <x v="1"/>
    <x v="1402"/>
    <x v="1412"/>
    <x v="216"/>
    <x v="0"/>
    <x v="0"/>
    <x v="2"/>
    <x v="82"/>
    <x v="17"/>
    <x v="160"/>
    <x v="8"/>
    <x v="3"/>
    <x v="1"/>
    <x v="0"/>
    <x v="1425"/>
  </r>
  <r>
    <x v="0"/>
    <x v="329"/>
    <x v="282"/>
    <x v="56"/>
    <x v="146"/>
    <x v="595"/>
    <x v="10"/>
    <x v="1361"/>
    <x v="127"/>
    <x v="375"/>
    <x v="964"/>
    <x v="1111"/>
    <x v="1413"/>
    <x v="1411"/>
    <x v="1372"/>
    <x v="4"/>
    <x v="1403"/>
    <x v="1413"/>
    <x v="357"/>
    <x v="0"/>
    <x v="0"/>
    <x v="4"/>
    <x v="82"/>
    <x v="10"/>
    <x v="13"/>
    <x v="4"/>
    <x v="1"/>
    <x v="25"/>
    <x v="0"/>
    <x v="1426"/>
  </r>
  <r>
    <x v="0"/>
    <x v="551"/>
    <x v="325"/>
    <x v="80"/>
    <x v="262"/>
    <x v="642"/>
    <x v="30"/>
    <x v="1362"/>
    <x v="125"/>
    <x v="53"/>
    <x v="965"/>
    <x v="1112"/>
    <x v="1414"/>
    <x v="1412"/>
    <x v="1373"/>
    <x v="0"/>
    <x v="1404"/>
    <x v="1414"/>
    <x v="718"/>
    <x v="0"/>
    <x v="0"/>
    <x v="4"/>
    <x v="82"/>
    <x v="6"/>
    <x v="367"/>
    <x v="19"/>
    <x v="1"/>
    <x v="1"/>
    <x v="0"/>
    <x v="1427"/>
  </r>
  <r>
    <x v="0"/>
    <x v="199"/>
    <x v="455"/>
    <x v="31"/>
    <x v="141"/>
    <x v="28"/>
    <x v="10"/>
    <x v="1363"/>
    <x v="470"/>
    <x v="33"/>
    <x v="13"/>
    <x v="34"/>
    <x v="1415"/>
    <x v="1413"/>
    <x v="1374"/>
    <x v="4"/>
    <x v="1405"/>
    <x v="1415"/>
    <x v="624"/>
    <x v="0"/>
    <x v="0"/>
    <x v="0"/>
    <x v="82"/>
    <x v="9"/>
    <x v="12"/>
    <x v="7"/>
    <x v="1"/>
    <x v="36"/>
    <x v="0"/>
    <x v="1428"/>
  </r>
  <r>
    <x v="0"/>
    <x v="437"/>
    <x v="258"/>
    <x v="134"/>
    <x v="0"/>
    <x v="461"/>
    <x v="11"/>
    <x v="1364"/>
    <x v="415"/>
    <x v="156"/>
    <x v="58"/>
    <x v="1113"/>
    <x v="1416"/>
    <x v="1414"/>
    <x v="1375"/>
    <x v="0"/>
    <x v="1406"/>
    <x v="1416"/>
    <x v="319"/>
    <x v="0"/>
    <x v="0"/>
    <x v="0"/>
    <x v="152"/>
    <x v="29"/>
    <x v="45"/>
    <x v="16"/>
    <x v="3"/>
    <x v="1"/>
    <x v="0"/>
    <x v="1429"/>
  </r>
  <r>
    <x v="0"/>
    <x v="287"/>
    <x v="456"/>
    <x v="90"/>
    <x v="0"/>
    <x v="209"/>
    <x v="128"/>
    <x v="1365"/>
    <x v="125"/>
    <x v="583"/>
    <x v="966"/>
    <x v="1114"/>
    <x v="1417"/>
    <x v="1415"/>
    <x v="1376"/>
    <x v="4"/>
    <x v="1407"/>
    <x v="1417"/>
    <x v="248"/>
    <x v="0"/>
    <x v="0"/>
    <x v="4"/>
    <x v="82"/>
    <x v="3"/>
    <x v="273"/>
    <x v="5"/>
    <x v="1"/>
    <x v="45"/>
    <x v="0"/>
    <x v="1430"/>
  </r>
  <r>
    <x v="0"/>
    <x v="205"/>
    <x v="310"/>
    <x v="76"/>
    <x v="69"/>
    <x v="500"/>
    <x v="49"/>
    <x v="1366"/>
    <x v="238"/>
    <x v="86"/>
    <x v="182"/>
    <x v="751"/>
    <x v="1418"/>
    <x v="1416"/>
    <x v="1377"/>
    <x v="4"/>
    <x v="1408"/>
    <x v="1418"/>
    <x v="452"/>
    <x v="0"/>
    <x v="0"/>
    <x v="2"/>
    <x v="82"/>
    <x v="0"/>
    <x v="30"/>
    <x v="28"/>
    <x v="3"/>
    <x v="1"/>
    <x v="0"/>
    <x v="1431"/>
  </r>
  <r>
    <x v="0"/>
    <x v="622"/>
    <x v="328"/>
    <x v="80"/>
    <x v="239"/>
    <x v="217"/>
    <x v="291"/>
    <x v="1367"/>
    <x v="20"/>
    <x v="584"/>
    <x v="503"/>
    <x v="1115"/>
    <x v="1419"/>
    <x v="1417"/>
    <x v="1378"/>
    <x v="1"/>
    <x v="1409"/>
    <x v="1419"/>
    <x v="314"/>
    <x v="0"/>
    <x v="0"/>
    <x v="4"/>
    <x v="82"/>
    <x v="0"/>
    <x v="325"/>
    <x v="4"/>
    <x v="1"/>
    <x v="1"/>
    <x v="0"/>
    <x v="1432"/>
  </r>
  <r>
    <x v="0"/>
    <x v="547"/>
    <x v="293"/>
    <x v="43"/>
    <x v="74"/>
    <x v="230"/>
    <x v="49"/>
    <x v="1368"/>
    <x v="127"/>
    <x v="86"/>
    <x v="967"/>
    <x v="1116"/>
    <x v="1420"/>
    <x v="1418"/>
    <x v="1379"/>
    <x v="3"/>
    <x v="1410"/>
    <x v="1420"/>
    <x v="119"/>
    <x v="0"/>
    <x v="0"/>
    <x v="0"/>
    <x v="82"/>
    <x v="1"/>
    <x v="540"/>
    <x v="43"/>
    <x v="1"/>
    <x v="273"/>
    <x v="0"/>
    <x v="1433"/>
  </r>
  <r>
    <x v="0"/>
    <x v="206"/>
    <x v="362"/>
    <x v="128"/>
    <x v="145"/>
    <x v="327"/>
    <x v="2"/>
    <x v="1369"/>
    <x v="298"/>
    <x v="172"/>
    <x v="411"/>
    <x v="441"/>
    <x v="1421"/>
    <x v="1419"/>
    <x v="1380"/>
    <x v="4"/>
    <x v="1411"/>
    <x v="1421"/>
    <x v="120"/>
    <x v="0"/>
    <x v="0"/>
    <x v="0"/>
    <x v="152"/>
    <x v="7"/>
    <x v="276"/>
    <x v="23"/>
    <x v="3"/>
    <x v="1"/>
    <x v="0"/>
    <x v="1434"/>
  </r>
  <r>
    <x v="0"/>
    <x v="623"/>
    <x v="293"/>
    <x v="42"/>
    <x v="164"/>
    <x v="410"/>
    <x v="317"/>
    <x v="1370"/>
    <x v="127"/>
    <x v="572"/>
    <x v="968"/>
    <x v="926"/>
    <x v="1422"/>
    <x v="1420"/>
    <x v="1381"/>
    <x v="4"/>
    <x v="1412"/>
    <x v="1422"/>
    <x v="742"/>
    <x v="0"/>
    <x v="0"/>
    <x v="0"/>
    <x v="116"/>
    <x v="12"/>
    <x v="428"/>
    <x v="18"/>
    <x v="1"/>
    <x v="1"/>
    <x v="0"/>
    <x v="1435"/>
  </r>
  <r>
    <x v="0"/>
    <x v="36"/>
    <x v="338"/>
    <x v="21"/>
    <x v="26"/>
    <x v="643"/>
    <x v="1"/>
    <x v="1371"/>
    <x v="130"/>
    <x v="1"/>
    <x v="557"/>
    <x v="920"/>
    <x v="1423"/>
    <x v="1421"/>
    <x v="1382"/>
    <x v="4"/>
    <x v="1413"/>
    <x v="1423"/>
    <x v="722"/>
    <x v="0"/>
    <x v="0"/>
    <x v="4"/>
    <x v="82"/>
    <x v="13"/>
    <x v="20"/>
    <x v="6"/>
    <x v="1"/>
    <x v="1"/>
    <x v="0"/>
    <x v="1436"/>
  </r>
  <r>
    <x v="0"/>
    <x v="216"/>
    <x v="84"/>
    <x v="7"/>
    <x v="149"/>
    <x v="230"/>
    <x v="21"/>
    <x v="1372"/>
    <x v="310"/>
    <x v="174"/>
    <x v="969"/>
    <x v="1117"/>
    <x v="1424"/>
    <x v="1422"/>
    <x v="1383"/>
    <x v="0"/>
    <x v="1414"/>
    <x v="1424"/>
    <x v="280"/>
    <x v="0"/>
    <x v="1"/>
    <x v="4"/>
    <x v="152"/>
    <x v="19"/>
    <x v="12"/>
    <x v="10"/>
    <x v="3"/>
    <x v="1"/>
    <x v="0"/>
    <x v="1437"/>
  </r>
  <r>
    <x v="0"/>
    <x v="624"/>
    <x v="386"/>
    <x v="60"/>
    <x v="15"/>
    <x v="407"/>
    <x v="110"/>
    <x v="1373"/>
    <x v="471"/>
    <x v="585"/>
    <x v="970"/>
    <x v="955"/>
    <x v="1425"/>
    <x v="1423"/>
    <x v="1384"/>
    <x v="0"/>
    <x v="1415"/>
    <x v="1425"/>
    <x v="589"/>
    <x v="0"/>
    <x v="0"/>
    <x v="2"/>
    <x v="165"/>
    <x v="26"/>
    <x v="87"/>
    <x v="38"/>
    <x v="1"/>
    <x v="59"/>
    <x v="0"/>
    <x v="1438"/>
  </r>
  <r>
    <x v="0"/>
    <x v="607"/>
    <x v="229"/>
    <x v="27"/>
    <x v="16"/>
    <x v="131"/>
    <x v="6"/>
    <x v="1374"/>
    <x v="408"/>
    <x v="6"/>
    <x v="404"/>
    <x v="161"/>
    <x v="1426"/>
    <x v="1424"/>
    <x v="1385"/>
    <x v="1"/>
    <x v="1416"/>
    <x v="1426"/>
    <x v="743"/>
    <x v="0"/>
    <x v="0"/>
    <x v="4"/>
    <x v="82"/>
    <x v="14"/>
    <x v="28"/>
    <x v="5"/>
    <x v="3"/>
    <x v="1"/>
    <x v="0"/>
    <x v="1439"/>
  </r>
  <r>
    <x v="0"/>
    <x v="198"/>
    <x v="103"/>
    <x v="33"/>
    <x v="140"/>
    <x v="644"/>
    <x v="10"/>
    <x v="1375"/>
    <x v="80"/>
    <x v="375"/>
    <x v="971"/>
    <x v="1118"/>
    <x v="1427"/>
    <x v="1425"/>
    <x v="1386"/>
    <x v="1"/>
    <x v="1417"/>
    <x v="1427"/>
    <x v="78"/>
    <x v="0"/>
    <x v="4"/>
    <x v="0"/>
    <x v="82"/>
    <x v="8"/>
    <x v="280"/>
    <x v="28"/>
    <x v="1"/>
    <x v="1"/>
    <x v="0"/>
    <x v="1440"/>
  </r>
  <r>
    <x v="0"/>
    <x v="468"/>
    <x v="355"/>
    <x v="56"/>
    <x v="21"/>
    <x v="23"/>
    <x v="24"/>
    <x v="1376"/>
    <x v="222"/>
    <x v="362"/>
    <x v="35"/>
    <x v="1119"/>
    <x v="1428"/>
    <x v="1426"/>
    <x v="1387"/>
    <x v="4"/>
    <x v="1418"/>
    <x v="1428"/>
    <x v="161"/>
    <x v="0"/>
    <x v="0"/>
    <x v="0"/>
    <x v="88"/>
    <x v="10"/>
    <x v="10"/>
    <x v="10"/>
    <x v="1"/>
    <x v="76"/>
    <x v="0"/>
    <x v="1441"/>
  </r>
  <r>
    <x v="0"/>
    <x v="625"/>
    <x v="263"/>
    <x v="27"/>
    <x v="106"/>
    <x v="513"/>
    <x v="0"/>
    <x v="1377"/>
    <x v="127"/>
    <x v="586"/>
    <x v="591"/>
    <x v="1120"/>
    <x v="1429"/>
    <x v="1427"/>
    <x v="1388"/>
    <x v="0"/>
    <x v="1419"/>
    <x v="1429"/>
    <x v="241"/>
    <x v="0"/>
    <x v="0"/>
    <x v="0"/>
    <x v="82"/>
    <x v="5"/>
    <x v="157"/>
    <x v="43"/>
    <x v="1"/>
    <x v="1"/>
    <x v="0"/>
    <x v="1442"/>
  </r>
  <r>
    <x v="0"/>
    <x v="626"/>
    <x v="342"/>
    <x v="52"/>
    <x v="74"/>
    <x v="455"/>
    <x v="328"/>
    <x v="1378"/>
    <x v="105"/>
    <x v="587"/>
    <x v="972"/>
    <x v="1121"/>
    <x v="1430"/>
    <x v="1428"/>
    <x v="1129"/>
    <x v="2"/>
    <x v="1420"/>
    <x v="1430"/>
    <x v="243"/>
    <x v="0"/>
    <x v="0"/>
    <x v="0"/>
    <x v="82"/>
    <x v="10"/>
    <x v="117"/>
    <x v="18"/>
    <x v="3"/>
    <x v="38"/>
    <x v="0"/>
    <x v="1443"/>
  </r>
  <r>
    <x v="0"/>
    <x v="113"/>
    <x v="320"/>
    <x v="84"/>
    <x v="88"/>
    <x v="555"/>
    <x v="329"/>
    <x v="4"/>
    <x v="17"/>
    <x v="588"/>
    <x v="640"/>
    <x v="1122"/>
    <x v="1431"/>
    <x v="1429"/>
    <x v="1389"/>
    <x v="2"/>
    <x v="1421"/>
    <x v="1431"/>
    <x v="744"/>
    <x v="0"/>
    <x v="0"/>
    <x v="1"/>
    <x v="4"/>
    <x v="4"/>
    <x v="398"/>
    <x v="15"/>
    <x v="2"/>
    <x v="257"/>
    <x v="0"/>
    <x v="1444"/>
  </r>
  <r>
    <x v="0"/>
    <x v="627"/>
    <x v="303"/>
    <x v="54"/>
    <x v="107"/>
    <x v="188"/>
    <x v="0"/>
    <x v="1379"/>
    <x v="373"/>
    <x v="384"/>
    <x v="973"/>
    <x v="595"/>
    <x v="1432"/>
    <x v="1430"/>
    <x v="1390"/>
    <x v="1"/>
    <x v="1422"/>
    <x v="1432"/>
    <x v="291"/>
    <x v="0"/>
    <x v="0"/>
    <x v="0"/>
    <x v="95"/>
    <x v="18"/>
    <x v="202"/>
    <x v="30"/>
    <x v="1"/>
    <x v="1"/>
    <x v="0"/>
    <x v="1445"/>
  </r>
  <r>
    <x v="0"/>
    <x v="628"/>
    <x v="361"/>
    <x v="58"/>
    <x v="80"/>
    <x v="426"/>
    <x v="330"/>
    <x v="4"/>
    <x v="472"/>
    <x v="589"/>
    <x v="974"/>
    <x v="1123"/>
    <x v="1433"/>
    <x v="1431"/>
    <x v="1391"/>
    <x v="1"/>
    <x v="1423"/>
    <x v="1433"/>
    <x v="552"/>
    <x v="0"/>
    <x v="0"/>
    <x v="2"/>
    <x v="4"/>
    <x v="46"/>
    <x v="347"/>
    <x v="11"/>
    <x v="3"/>
    <x v="1"/>
    <x v="0"/>
    <x v="1446"/>
  </r>
  <r>
    <x v="0"/>
    <x v="629"/>
    <x v="315"/>
    <x v="58"/>
    <x v="265"/>
    <x v="113"/>
    <x v="35"/>
    <x v="1380"/>
    <x v="75"/>
    <x v="193"/>
    <x v="975"/>
    <x v="1124"/>
    <x v="1434"/>
    <x v="1432"/>
    <x v="1392"/>
    <x v="1"/>
    <x v="1424"/>
    <x v="1434"/>
    <x v="557"/>
    <x v="0"/>
    <x v="7"/>
    <x v="0"/>
    <x v="82"/>
    <x v="24"/>
    <x v="30"/>
    <x v="45"/>
    <x v="1"/>
    <x v="1"/>
    <x v="0"/>
    <x v="1447"/>
  </r>
  <r>
    <x v="1"/>
    <x v="335"/>
    <x v="229"/>
    <x v="13"/>
    <x v="67"/>
    <x v="220"/>
    <x v="331"/>
    <x v="1381"/>
    <x v="467"/>
    <x v="590"/>
    <x v="976"/>
    <x v="1125"/>
    <x v="1435"/>
    <x v="1433"/>
    <x v="1393"/>
    <x v="0"/>
    <x v="1425"/>
    <x v="1435"/>
    <x v="745"/>
    <x v="0"/>
    <x v="10"/>
    <x v="4"/>
    <x v="82"/>
    <x v="19"/>
    <x v="541"/>
    <x v="3"/>
    <x v="3"/>
    <x v="90"/>
    <x v="0"/>
    <x v="1448"/>
  </r>
  <r>
    <x v="0"/>
    <x v="242"/>
    <x v="132"/>
    <x v="40"/>
    <x v="163"/>
    <x v="36"/>
    <x v="1"/>
    <x v="1047"/>
    <x v="236"/>
    <x v="1"/>
    <x v="88"/>
    <x v="887"/>
    <x v="1087"/>
    <x v="1084"/>
    <x v="1063"/>
    <x v="1"/>
    <x v="1079"/>
    <x v="1087"/>
    <x v="665"/>
    <x v="0"/>
    <x v="0"/>
    <x v="4"/>
    <x v="82"/>
    <x v="18"/>
    <x v="30"/>
    <x v="2"/>
    <x v="1"/>
    <x v="1"/>
    <x v="0"/>
    <x v="1449"/>
  </r>
  <r>
    <x v="0"/>
    <x v="534"/>
    <x v="270"/>
    <x v="59"/>
    <x v="264"/>
    <x v="445"/>
    <x v="332"/>
    <x v="1382"/>
    <x v="402"/>
    <x v="591"/>
    <x v="977"/>
    <x v="1126"/>
    <x v="1436"/>
    <x v="1434"/>
    <x v="1394"/>
    <x v="0"/>
    <x v="1426"/>
    <x v="1436"/>
    <x v="394"/>
    <x v="0"/>
    <x v="0"/>
    <x v="2"/>
    <x v="116"/>
    <x v="7"/>
    <x v="542"/>
    <x v="2"/>
    <x v="1"/>
    <x v="1"/>
    <x v="0"/>
    <x v="1450"/>
  </r>
  <r>
    <x v="0"/>
    <x v="444"/>
    <x v="103"/>
    <x v="26"/>
    <x v="241"/>
    <x v="371"/>
    <x v="52"/>
    <x v="1383"/>
    <x v="429"/>
    <x v="592"/>
    <x v="978"/>
    <x v="1127"/>
    <x v="1437"/>
    <x v="1435"/>
    <x v="1395"/>
    <x v="0"/>
    <x v="1427"/>
    <x v="1437"/>
    <x v="746"/>
    <x v="0"/>
    <x v="5"/>
    <x v="4"/>
    <x v="116"/>
    <x v="12"/>
    <x v="67"/>
    <x v="43"/>
    <x v="3"/>
    <x v="1"/>
    <x v="0"/>
    <x v="1451"/>
  </r>
  <r>
    <x v="0"/>
    <x v="272"/>
    <x v="237"/>
    <x v="42"/>
    <x v="0"/>
    <x v="549"/>
    <x v="24"/>
    <x v="1384"/>
    <x v="17"/>
    <x v="131"/>
    <x v="199"/>
    <x v="1128"/>
    <x v="1438"/>
    <x v="1436"/>
    <x v="1396"/>
    <x v="4"/>
    <x v="1428"/>
    <x v="1438"/>
    <x v="747"/>
    <x v="0"/>
    <x v="0"/>
    <x v="4"/>
    <x v="146"/>
    <x v="14"/>
    <x v="135"/>
    <x v="11"/>
    <x v="3"/>
    <x v="85"/>
    <x v="0"/>
    <x v="1452"/>
  </r>
  <r>
    <x v="0"/>
    <x v="326"/>
    <x v="6"/>
    <x v="64"/>
    <x v="121"/>
    <x v="645"/>
    <x v="19"/>
    <x v="1385"/>
    <x v="130"/>
    <x v="20"/>
    <x v="698"/>
    <x v="1129"/>
    <x v="1439"/>
    <x v="1437"/>
    <x v="1397"/>
    <x v="0"/>
    <x v="1429"/>
    <x v="1439"/>
    <x v="491"/>
    <x v="0"/>
    <x v="0"/>
    <x v="4"/>
    <x v="82"/>
    <x v="10"/>
    <x v="18"/>
    <x v="4"/>
    <x v="1"/>
    <x v="37"/>
    <x v="0"/>
    <x v="1453"/>
  </r>
  <r>
    <x v="0"/>
    <x v="630"/>
    <x v="132"/>
    <x v="52"/>
    <x v="219"/>
    <x v="107"/>
    <x v="0"/>
    <x v="1386"/>
    <x v="364"/>
    <x v="251"/>
    <x v="979"/>
    <x v="132"/>
    <x v="1440"/>
    <x v="1438"/>
    <x v="1398"/>
    <x v="0"/>
    <x v="1430"/>
    <x v="1440"/>
    <x v="423"/>
    <x v="0"/>
    <x v="0"/>
    <x v="4"/>
    <x v="82"/>
    <x v="8"/>
    <x v="543"/>
    <x v="5"/>
    <x v="1"/>
    <x v="9"/>
    <x v="0"/>
    <x v="1454"/>
  </r>
  <r>
    <x v="0"/>
    <x v="631"/>
    <x v="312"/>
    <x v="59"/>
    <x v="210"/>
    <x v="383"/>
    <x v="333"/>
    <x v="1387"/>
    <x v="362"/>
    <x v="593"/>
    <x v="980"/>
    <x v="1130"/>
    <x v="1441"/>
    <x v="1439"/>
    <x v="1399"/>
    <x v="4"/>
    <x v="1431"/>
    <x v="1441"/>
    <x v="232"/>
    <x v="0"/>
    <x v="0"/>
    <x v="4"/>
    <x v="82"/>
    <x v="19"/>
    <x v="441"/>
    <x v="31"/>
    <x v="1"/>
    <x v="1"/>
    <x v="0"/>
    <x v="1455"/>
  </r>
  <r>
    <x v="0"/>
    <x v="249"/>
    <x v="323"/>
    <x v="33"/>
    <x v="138"/>
    <x v="156"/>
    <x v="35"/>
    <x v="1388"/>
    <x v="310"/>
    <x v="548"/>
    <x v="981"/>
    <x v="1131"/>
    <x v="1442"/>
    <x v="1440"/>
    <x v="1400"/>
    <x v="0"/>
    <x v="1432"/>
    <x v="1442"/>
    <x v="708"/>
    <x v="0"/>
    <x v="0"/>
    <x v="4"/>
    <x v="82"/>
    <x v="22"/>
    <x v="500"/>
    <x v="5"/>
    <x v="15"/>
    <x v="1"/>
    <x v="0"/>
    <x v="1456"/>
  </r>
  <r>
    <x v="0"/>
    <x v="303"/>
    <x v="423"/>
    <x v="59"/>
    <x v="167"/>
    <x v="535"/>
    <x v="35"/>
    <x v="1389"/>
    <x v="168"/>
    <x v="332"/>
    <x v="982"/>
    <x v="1132"/>
    <x v="1443"/>
    <x v="1441"/>
    <x v="1401"/>
    <x v="1"/>
    <x v="1433"/>
    <x v="1443"/>
    <x v="479"/>
    <x v="0"/>
    <x v="0"/>
    <x v="4"/>
    <x v="82"/>
    <x v="8"/>
    <x v="544"/>
    <x v="5"/>
    <x v="1"/>
    <x v="1"/>
    <x v="0"/>
    <x v="1457"/>
  </r>
  <r>
    <x v="0"/>
    <x v="632"/>
    <x v="299"/>
    <x v="52"/>
    <x v="19"/>
    <x v="446"/>
    <x v="22"/>
    <x v="1390"/>
    <x v="473"/>
    <x v="240"/>
    <x v="983"/>
    <x v="1133"/>
    <x v="1444"/>
    <x v="1442"/>
    <x v="1402"/>
    <x v="0"/>
    <x v="1434"/>
    <x v="1444"/>
    <x v="63"/>
    <x v="0"/>
    <x v="0"/>
    <x v="0"/>
    <x v="82"/>
    <x v="15"/>
    <x v="484"/>
    <x v="4"/>
    <x v="1"/>
    <x v="1"/>
    <x v="0"/>
    <x v="1458"/>
  </r>
  <r>
    <x v="0"/>
    <x v="633"/>
    <x v="388"/>
    <x v="70"/>
    <x v="192"/>
    <x v="470"/>
    <x v="106"/>
    <x v="4"/>
    <x v="5"/>
    <x v="594"/>
    <x v="984"/>
    <x v="1134"/>
    <x v="1445"/>
    <x v="1443"/>
    <x v="1403"/>
    <x v="1"/>
    <x v="1435"/>
    <x v="1445"/>
    <x v="556"/>
    <x v="0"/>
    <x v="1"/>
    <x v="2"/>
    <x v="78"/>
    <x v="35"/>
    <x v="545"/>
    <x v="21"/>
    <x v="1"/>
    <x v="85"/>
    <x v="0"/>
    <x v="1459"/>
  </r>
  <r>
    <x v="0"/>
    <x v="609"/>
    <x v="328"/>
    <x v="58"/>
    <x v="0"/>
    <x v="359"/>
    <x v="206"/>
    <x v="1391"/>
    <x v="105"/>
    <x v="388"/>
    <x v="420"/>
    <x v="495"/>
    <x v="1446"/>
    <x v="1444"/>
    <x v="1404"/>
    <x v="7"/>
    <x v="1436"/>
    <x v="1446"/>
    <x v="583"/>
    <x v="0"/>
    <x v="0"/>
    <x v="0"/>
    <x v="82"/>
    <x v="14"/>
    <x v="50"/>
    <x v="5"/>
    <x v="1"/>
    <x v="1"/>
    <x v="0"/>
    <x v="1460"/>
  </r>
  <r>
    <x v="0"/>
    <x v="49"/>
    <x v="130"/>
    <x v="59"/>
    <x v="34"/>
    <x v="646"/>
    <x v="334"/>
    <x v="1392"/>
    <x v="86"/>
    <x v="595"/>
    <x v="985"/>
    <x v="1135"/>
    <x v="1447"/>
    <x v="1445"/>
    <x v="1405"/>
    <x v="0"/>
    <x v="1437"/>
    <x v="1447"/>
    <x v="748"/>
    <x v="0"/>
    <x v="0"/>
    <x v="0"/>
    <x v="82"/>
    <x v="3"/>
    <x v="546"/>
    <x v="37"/>
    <x v="1"/>
    <x v="59"/>
    <x v="0"/>
    <x v="1461"/>
  </r>
  <r>
    <x v="0"/>
    <x v="326"/>
    <x v="74"/>
    <x v="125"/>
    <x v="121"/>
    <x v="647"/>
    <x v="11"/>
    <x v="1393"/>
    <x v="171"/>
    <x v="11"/>
    <x v="768"/>
    <x v="1136"/>
    <x v="1448"/>
    <x v="1446"/>
    <x v="1406"/>
    <x v="4"/>
    <x v="1438"/>
    <x v="1448"/>
    <x v="404"/>
    <x v="0"/>
    <x v="0"/>
    <x v="4"/>
    <x v="116"/>
    <x v="13"/>
    <x v="460"/>
    <x v="4"/>
    <x v="3"/>
    <x v="1"/>
    <x v="0"/>
    <x v="1462"/>
  </r>
  <r>
    <x v="0"/>
    <x v="634"/>
    <x v="402"/>
    <x v="41"/>
    <x v="193"/>
    <x v="83"/>
    <x v="13"/>
    <x v="4"/>
    <x v="23"/>
    <x v="158"/>
    <x v="286"/>
    <x v="871"/>
    <x v="1449"/>
    <x v="1447"/>
    <x v="1407"/>
    <x v="1"/>
    <x v="1439"/>
    <x v="1449"/>
    <x v="448"/>
    <x v="0"/>
    <x v="0"/>
    <x v="4"/>
    <x v="166"/>
    <x v="2"/>
    <x v="30"/>
    <x v="9"/>
    <x v="1"/>
    <x v="1"/>
    <x v="0"/>
    <x v="1463"/>
  </r>
  <r>
    <x v="0"/>
    <x v="635"/>
    <x v="241"/>
    <x v="56"/>
    <x v="192"/>
    <x v="563"/>
    <x v="190"/>
    <x v="1394"/>
    <x v="35"/>
    <x v="596"/>
    <x v="986"/>
    <x v="1137"/>
    <x v="1450"/>
    <x v="1448"/>
    <x v="1408"/>
    <x v="7"/>
    <x v="1440"/>
    <x v="1450"/>
    <x v="247"/>
    <x v="0"/>
    <x v="1"/>
    <x v="2"/>
    <x v="82"/>
    <x v="5"/>
    <x v="547"/>
    <x v="9"/>
    <x v="1"/>
    <x v="1"/>
    <x v="0"/>
    <x v="1464"/>
  </r>
  <r>
    <x v="0"/>
    <x v="478"/>
    <x v="424"/>
    <x v="35"/>
    <x v="0"/>
    <x v="273"/>
    <x v="188"/>
    <x v="1395"/>
    <x v="130"/>
    <x v="597"/>
    <x v="987"/>
    <x v="569"/>
    <x v="1451"/>
    <x v="1449"/>
    <x v="1409"/>
    <x v="4"/>
    <x v="1441"/>
    <x v="1451"/>
    <x v="749"/>
    <x v="0"/>
    <x v="0"/>
    <x v="4"/>
    <x v="82"/>
    <x v="29"/>
    <x v="342"/>
    <x v="4"/>
    <x v="1"/>
    <x v="274"/>
    <x v="0"/>
    <x v="1465"/>
  </r>
  <r>
    <x v="0"/>
    <x v="636"/>
    <x v="433"/>
    <x v="26"/>
    <x v="276"/>
    <x v="589"/>
    <x v="327"/>
    <x v="1396"/>
    <x v="178"/>
    <x v="598"/>
    <x v="93"/>
    <x v="1138"/>
    <x v="1452"/>
    <x v="1450"/>
    <x v="1410"/>
    <x v="0"/>
    <x v="1442"/>
    <x v="1452"/>
    <x v="91"/>
    <x v="0"/>
    <x v="0"/>
    <x v="0"/>
    <x v="116"/>
    <x v="8"/>
    <x v="67"/>
    <x v="18"/>
    <x v="1"/>
    <x v="1"/>
    <x v="0"/>
    <x v="1466"/>
  </r>
  <r>
    <x v="0"/>
    <x v="637"/>
    <x v="332"/>
    <x v="45"/>
    <x v="89"/>
    <x v="648"/>
    <x v="2"/>
    <x v="1397"/>
    <x v="204"/>
    <x v="203"/>
    <x v="212"/>
    <x v="1139"/>
    <x v="1453"/>
    <x v="1451"/>
    <x v="1411"/>
    <x v="1"/>
    <x v="1443"/>
    <x v="1453"/>
    <x v="412"/>
    <x v="0"/>
    <x v="0"/>
    <x v="2"/>
    <x v="82"/>
    <x v="14"/>
    <x v="30"/>
    <x v="22"/>
    <x v="3"/>
    <x v="1"/>
    <x v="0"/>
    <x v="1467"/>
  </r>
  <r>
    <x v="0"/>
    <x v="638"/>
    <x v="66"/>
    <x v="32"/>
    <x v="5"/>
    <x v="331"/>
    <x v="14"/>
    <x v="1398"/>
    <x v="122"/>
    <x v="14"/>
    <x v="170"/>
    <x v="445"/>
    <x v="1454"/>
    <x v="1452"/>
    <x v="1412"/>
    <x v="0"/>
    <x v="1444"/>
    <x v="1454"/>
    <x v="460"/>
    <x v="0"/>
    <x v="1"/>
    <x v="0"/>
    <x v="82"/>
    <x v="2"/>
    <x v="114"/>
    <x v="1"/>
    <x v="1"/>
    <x v="33"/>
    <x v="0"/>
    <x v="1468"/>
  </r>
  <r>
    <x v="0"/>
    <x v="265"/>
    <x v="224"/>
    <x v="11"/>
    <x v="175"/>
    <x v="649"/>
    <x v="289"/>
    <x v="1399"/>
    <x v="83"/>
    <x v="599"/>
    <x v="988"/>
    <x v="1140"/>
    <x v="1455"/>
    <x v="1453"/>
    <x v="1413"/>
    <x v="1"/>
    <x v="1445"/>
    <x v="1455"/>
    <x v="86"/>
    <x v="0"/>
    <x v="0"/>
    <x v="0"/>
    <x v="82"/>
    <x v="10"/>
    <x v="548"/>
    <x v="40"/>
    <x v="1"/>
    <x v="38"/>
    <x v="0"/>
    <x v="1469"/>
  </r>
  <r>
    <x v="0"/>
    <x v="639"/>
    <x v="197"/>
    <x v="93"/>
    <x v="216"/>
    <x v="483"/>
    <x v="0"/>
    <x v="1400"/>
    <x v="474"/>
    <x v="51"/>
    <x v="774"/>
    <x v="1141"/>
    <x v="1456"/>
    <x v="1454"/>
    <x v="1414"/>
    <x v="0"/>
    <x v="1446"/>
    <x v="1456"/>
    <x v="670"/>
    <x v="0"/>
    <x v="1"/>
    <x v="3"/>
    <x v="82"/>
    <x v="12"/>
    <x v="88"/>
    <x v="23"/>
    <x v="3"/>
    <x v="275"/>
    <x v="0"/>
    <x v="1470"/>
  </r>
  <r>
    <x v="0"/>
    <x v="424"/>
    <x v="247"/>
    <x v="86"/>
    <x v="231"/>
    <x v="650"/>
    <x v="20"/>
    <x v="1401"/>
    <x v="200"/>
    <x v="21"/>
    <x v="274"/>
    <x v="1142"/>
    <x v="1457"/>
    <x v="1455"/>
    <x v="1415"/>
    <x v="7"/>
    <x v="1447"/>
    <x v="1457"/>
    <x v="750"/>
    <x v="0"/>
    <x v="0"/>
    <x v="4"/>
    <x v="97"/>
    <x v="21"/>
    <x v="117"/>
    <x v="38"/>
    <x v="1"/>
    <x v="1"/>
    <x v="0"/>
    <x v="1471"/>
  </r>
  <r>
    <x v="0"/>
    <x v="640"/>
    <x v="313"/>
    <x v="87"/>
    <x v="228"/>
    <x v="601"/>
    <x v="0"/>
    <x v="1402"/>
    <x v="475"/>
    <x v="600"/>
    <x v="931"/>
    <x v="1143"/>
    <x v="1458"/>
    <x v="1456"/>
    <x v="1416"/>
    <x v="5"/>
    <x v="1448"/>
    <x v="1458"/>
    <x v="86"/>
    <x v="0"/>
    <x v="0"/>
    <x v="0"/>
    <x v="82"/>
    <x v="8"/>
    <x v="237"/>
    <x v="33"/>
    <x v="3"/>
    <x v="1"/>
    <x v="0"/>
    <x v="1472"/>
  </r>
  <r>
    <x v="0"/>
    <x v="641"/>
    <x v="53"/>
    <x v="56"/>
    <x v="72"/>
    <x v="651"/>
    <x v="0"/>
    <x v="1403"/>
    <x v="168"/>
    <x v="601"/>
    <x v="655"/>
    <x v="1144"/>
    <x v="1459"/>
    <x v="1457"/>
    <x v="1417"/>
    <x v="3"/>
    <x v="1449"/>
    <x v="1459"/>
    <x v="227"/>
    <x v="0"/>
    <x v="0"/>
    <x v="4"/>
    <x v="82"/>
    <x v="9"/>
    <x v="11"/>
    <x v="5"/>
    <x v="1"/>
    <x v="1"/>
    <x v="0"/>
    <x v="1473"/>
  </r>
  <r>
    <x v="0"/>
    <x v="548"/>
    <x v="287"/>
    <x v="77"/>
    <x v="0"/>
    <x v="397"/>
    <x v="0"/>
    <x v="1404"/>
    <x v="476"/>
    <x v="602"/>
    <x v="989"/>
    <x v="989"/>
    <x v="1460"/>
    <x v="1458"/>
    <x v="1418"/>
    <x v="0"/>
    <x v="1450"/>
    <x v="1460"/>
    <x v="751"/>
    <x v="0"/>
    <x v="0"/>
    <x v="0"/>
    <x v="82"/>
    <x v="12"/>
    <x v="549"/>
    <x v="40"/>
    <x v="1"/>
    <x v="1"/>
    <x v="0"/>
    <x v="1474"/>
  </r>
  <r>
    <x v="0"/>
    <x v="387"/>
    <x v="61"/>
    <x v="43"/>
    <x v="219"/>
    <x v="101"/>
    <x v="29"/>
    <x v="1405"/>
    <x v="23"/>
    <x v="58"/>
    <x v="675"/>
    <x v="126"/>
    <x v="1461"/>
    <x v="1459"/>
    <x v="1419"/>
    <x v="0"/>
    <x v="1451"/>
    <x v="1461"/>
    <x v="128"/>
    <x v="0"/>
    <x v="0"/>
    <x v="0"/>
    <x v="82"/>
    <x v="3"/>
    <x v="30"/>
    <x v="12"/>
    <x v="1"/>
    <x v="35"/>
    <x v="0"/>
    <x v="1475"/>
  </r>
  <r>
    <x v="0"/>
    <x v="544"/>
    <x v="297"/>
    <x v="101"/>
    <x v="247"/>
    <x v="206"/>
    <x v="281"/>
    <x v="1406"/>
    <x v="132"/>
    <x v="603"/>
    <x v="990"/>
    <x v="1145"/>
    <x v="1462"/>
    <x v="1460"/>
    <x v="1420"/>
    <x v="4"/>
    <x v="1452"/>
    <x v="1462"/>
    <x v="173"/>
    <x v="0"/>
    <x v="0"/>
    <x v="0"/>
    <x v="82"/>
    <x v="2"/>
    <x v="550"/>
    <x v="37"/>
    <x v="1"/>
    <x v="1"/>
    <x v="0"/>
    <x v="1476"/>
  </r>
  <r>
    <x v="0"/>
    <x v="413"/>
    <x v="353"/>
    <x v="31"/>
    <x v="230"/>
    <x v="530"/>
    <x v="22"/>
    <x v="1407"/>
    <x v="88"/>
    <x v="153"/>
    <x v="991"/>
    <x v="1146"/>
    <x v="1463"/>
    <x v="1461"/>
    <x v="1421"/>
    <x v="4"/>
    <x v="1453"/>
    <x v="1463"/>
    <x v="699"/>
    <x v="0"/>
    <x v="1"/>
    <x v="0"/>
    <x v="82"/>
    <x v="19"/>
    <x v="498"/>
    <x v="12"/>
    <x v="1"/>
    <x v="1"/>
    <x v="0"/>
    <x v="1477"/>
  </r>
  <r>
    <x v="0"/>
    <x v="332"/>
    <x v="400"/>
    <x v="34"/>
    <x v="204"/>
    <x v="478"/>
    <x v="8"/>
    <x v="1408"/>
    <x v="120"/>
    <x v="35"/>
    <x v="46"/>
    <x v="1147"/>
    <x v="1464"/>
    <x v="1462"/>
    <x v="1422"/>
    <x v="0"/>
    <x v="1454"/>
    <x v="1464"/>
    <x v="482"/>
    <x v="0"/>
    <x v="0"/>
    <x v="4"/>
    <x v="82"/>
    <x v="9"/>
    <x v="36"/>
    <x v="5"/>
    <x v="1"/>
    <x v="16"/>
    <x v="0"/>
    <x v="1478"/>
  </r>
  <r>
    <x v="0"/>
    <x v="454"/>
    <x v="309"/>
    <x v="42"/>
    <x v="69"/>
    <x v="652"/>
    <x v="41"/>
    <x v="1409"/>
    <x v="298"/>
    <x v="396"/>
    <x v="28"/>
    <x v="1148"/>
    <x v="1465"/>
    <x v="1463"/>
    <x v="1423"/>
    <x v="1"/>
    <x v="1455"/>
    <x v="1465"/>
    <x v="86"/>
    <x v="0"/>
    <x v="1"/>
    <x v="0"/>
    <x v="145"/>
    <x v="14"/>
    <x v="9"/>
    <x v="22"/>
    <x v="1"/>
    <x v="1"/>
    <x v="0"/>
    <x v="1479"/>
  </r>
  <r>
    <x v="0"/>
    <x v="526"/>
    <x v="217"/>
    <x v="80"/>
    <x v="106"/>
    <x v="560"/>
    <x v="22"/>
    <x v="1410"/>
    <x v="238"/>
    <x v="240"/>
    <x v="992"/>
    <x v="1149"/>
    <x v="1466"/>
    <x v="1464"/>
    <x v="1424"/>
    <x v="1"/>
    <x v="1456"/>
    <x v="1466"/>
    <x v="591"/>
    <x v="0"/>
    <x v="0"/>
    <x v="2"/>
    <x v="82"/>
    <x v="5"/>
    <x v="30"/>
    <x v="45"/>
    <x v="3"/>
    <x v="1"/>
    <x v="0"/>
    <x v="1480"/>
  </r>
  <r>
    <x v="0"/>
    <x v="642"/>
    <x v="118"/>
    <x v="41"/>
    <x v="0"/>
    <x v="396"/>
    <x v="335"/>
    <x v="4"/>
    <x v="310"/>
    <x v="604"/>
    <x v="993"/>
    <x v="1150"/>
    <x v="1467"/>
    <x v="1465"/>
    <x v="1425"/>
    <x v="1"/>
    <x v="1457"/>
    <x v="1467"/>
    <x v="517"/>
    <x v="0"/>
    <x v="5"/>
    <x v="4"/>
    <x v="116"/>
    <x v="3"/>
    <x v="492"/>
    <x v="31"/>
    <x v="3"/>
    <x v="1"/>
    <x v="0"/>
    <x v="1481"/>
  </r>
  <r>
    <x v="0"/>
    <x v="643"/>
    <x v="394"/>
    <x v="38"/>
    <x v="258"/>
    <x v="653"/>
    <x v="21"/>
    <x v="4"/>
    <x v="1"/>
    <x v="22"/>
    <x v="498"/>
    <x v="1151"/>
    <x v="1468"/>
    <x v="1466"/>
    <x v="1426"/>
    <x v="1"/>
    <x v="1458"/>
    <x v="1468"/>
    <x v="128"/>
    <x v="0"/>
    <x v="1"/>
    <x v="2"/>
    <x v="146"/>
    <x v="45"/>
    <x v="322"/>
    <x v="19"/>
    <x v="1"/>
    <x v="1"/>
    <x v="0"/>
    <x v="1482"/>
  </r>
  <r>
    <x v="0"/>
    <x v="351"/>
    <x v="100"/>
    <x v="80"/>
    <x v="0"/>
    <x v="9"/>
    <x v="2"/>
    <x v="1411"/>
    <x v="477"/>
    <x v="209"/>
    <x v="119"/>
    <x v="1152"/>
    <x v="1469"/>
    <x v="1467"/>
    <x v="1427"/>
    <x v="3"/>
    <x v="1459"/>
    <x v="1469"/>
    <x v="752"/>
    <x v="0"/>
    <x v="0"/>
    <x v="4"/>
    <x v="82"/>
    <x v="1"/>
    <x v="10"/>
    <x v="5"/>
    <x v="1"/>
    <x v="1"/>
    <x v="0"/>
    <x v="1483"/>
  </r>
  <r>
    <x v="0"/>
    <x v="213"/>
    <x v="457"/>
    <x v="69"/>
    <x v="147"/>
    <x v="370"/>
    <x v="66"/>
    <x v="1412"/>
    <x v="149"/>
    <x v="605"/>
    <x v="994"/>
    <x v="1153"/>
    <x v="1470"/>
    <x v="1468"/>
    <x v="1428"/>
    <x v="3"/>
    <x v="1460"/>
    <x v="1470"/>
    <x v="592"/>
    <x v="0"/>
    <x v="0"/>
    <x v="0"/>
    <x v="82"/>
    <x v="23"/>
    <x v="395"/>
    <x v="20"/>
    <x v="1"/>
    <x v="276"/>
    <x v="0"/>
    <x v="1484"/>
  </r>
  <r>
    <x v="0"/>
    <x v="561"/>
    <x v="380"/>
    <x v="60"/>
    <x v="79"/>
    <x v="654"/>
    <x v="336"/>
    <x v="1413"/>
    <x v="430"/>
    <x v="606"/>
    <x v="995"/>
    <x v="1154"/>
    <x v="1471"/>
    <x v="1469"/>
    <x v="1429"/>
    <x v="1"/>
    <x v="1461"/>
    <x v="1471"/>
    <x v="694"/>
    <x v="0"/>
    <x v="0"/>
    <x v="4"/>
    <x v="82"/>
    <x v="1"/>
    <x v="551"/>
    <x v="10"/>
    <x v="1"/>
    <x v="1"/>
    <x v="0"/>
    <x v="1485"/>
  </r>
  <r>
    <x v="0"/>
    <x v="644"/>
    <x v="323"/>
    <x v="70"/>
    <x v="277"/>
    <x v="333"/>
    <x v="11"/>
    <x v="1414"/>
    <x v="270"/>
    <x v="11"/>
    <x v="173"/>
    <x v="1155"/>
    <x v="1472"/>
    <x v="1470"/>
    <x v="1430"/>
    <x v="3"/>
    <x v="1462"/>
    <x v="1472"/>
    <x v="369"/>
    <x v="0"/>
    <x v="0"/>
    <x v="4"/>
    <x v="82"/>
    <x v="18"/>
    <x v="117"/>
    <x v="2"/>
    <x v="1"/>
    <x v="1"/>
    <x v="0"/>
    <x v="1486"/>
  </r>
  <r>
    <x v="0"/>
    <x v="243"/>
    <x v="402"/>
    <x v="50"/>
    <x v="123"/>
    <x v="166"/>
    <x v="337"/>
    <x v="1415"/>
    <x v="478"/>
    <x v="607"/>
    <x v="627"/>
    <x v="303"/>
    <x v="1473"/>
    <x v="1471"/>
    <x v="1431"/>
    <x v="4"/>
    <x v="1463"/>
    <x v="1473"/>
    <x v="402"/>
    <x v="0"/>
    <x v="0"/>
    <x v="0"/>
    <x v="82"/>
    <x v="18"/>
    <x v="392"/>
    <x v="19"/>
    <x v="3"/>
    <x v="277"/>
    <x v="0"/>
    <x v="1487"/>
  </r>
  <r>
    <x v="0"/>
    <x v="645"/>
    <x v="86"/>
    <x v="7"/>
    <x v="140"/>
    <x v="39"/>
    <x v="35"/>
    <x v="1416"/>
    <x v="415"/>
    <x v="608"/>
    <x v="680"/>
    <x v="317"/>
    <x v="1474"/>
    <x v="1472"/>
    <x v="1432"/>
    <x v="1"/>
    <x v="1464"/>
    <x v="1474"/>
    <x v="360"/>
    <x v="0"/>
    <x v="1"/>
    <x v="2"/>
    <x v="82"/>
    <x v="0"/>
    <x v="30"/>
    <x v="11"/>
    <x v="1"/>
    <x v="1"/>
    <x v="0"/>
    <x v="1488"/>
  </r>
  <r>
    <x v="0"/>
    <x v="164"/>
    <x v="146"/>
    <x v="59"/>
    <x v="118"/>
    <x v="444"/>
    <x v="0"/>
    <x v="1417"/>
    <x v="86"/>
    <x v="561"/>
    <x v="996"/>
    <x v="1156"/>
    <x v="1475"/>
    <x v="1473"/>
    <x v="1433"/>
    <x v="1"/>
    <x v="1465"/>
    <x v="1475"/>
    <x v="593"/>
    <x v="0"/>
    <x v="0"/>
    <x v="4"/>
    <x v="82"/>
    <x v="0"/>
    <x v="552"/>
    <x v="34"/>
    <x v="1"/>
    <x v="1"/>
    <x v="0"/>
    <x v="1489"/>
  </r>
  <r>
    <x v="0"/>
    <x v="427"/>
    <x v="458"/>
    <x v="106"/>
    <x v="0"/>
    <x v="81"/>
    <x v="2"/>
    <x v="1418"/>
    <x v="370"/>
    <x v="75"/>
    <x v="997"/>
    <x v="104"/>
    <x v="1476"/>
    <x v="1474"/>
    <x v="1434"/>
    <x v="0"/>
    <x v="1466"/>
    <x v="1476"/>
    <x v="753"/>
    <x v="0"/>
    <x v="0"/>
    <x v="0"/>
    <x v="144"/>
    <x v="10"/>
    <x v="30"/>
    <x v="10"/>
    <x v="3"/>
    <x v="36"/>
    <x v="0"/>
    <x v="1490"/>
  </r>
  <r>
    <x v="0"/>
    <x v="646"/>
    <x v="334"/>
    <x v="43"/>
    <x v="256"/>
    <x v="43"/>
    <x v="338"/>
    <x v="1419"/>
    <x v="131"/>
    <x v="609"/>
    <x v="998"/>
    <x v="1157"/>
    <x v="1477"/>
    <x v="1475"/>
    <x v="758"/>
    <x v="0"/>
    <x v="1467"/>
    <x v="1477"/>
    <x v="482"/>
    <x v="0"/>
    <x v="22"/>
    <x v="4"/>
    <x v="82"/>
    <x v="20"/>
    <x v="523"/>
    <x v="30"/>
    <x v="1"/>
    <x v="278"/>
    <x v="0"/>
    <x v="1491"/>
  </r>
  <r>
    <x v="0"/>
    <x v="50"/>
    <x v="167"/>
    <x v="56"/>
    <x v="278"/>
    <x v="209"/>
    <x v="0"/>
    <x v="1420"/>
    <x v="28"/>
    <x v="610"/>
    <x v="999"/>
    <x v="1158"/>
    <x v="1478"/>
    <x v="1476"/>
    <x v="1435"/>
    <x v="3"/>
    <x v="1468"/>
    <x v="1478"/>
    <x v="657"/>
    <x v="0"/>
    <x v="0"/>
    <x v="4"/>
    <x v="82"/>
    <x v="11"/>
    <x v="553"/>
    <x v="20"/>
    <x v="3"/>
    <x v="7"/>
    <x v="0"/>
    <x v="1492"/>
  </r>
  <r>
    <x v="0"/>
    <x v="438"/>
    <x v="356"/>
    <x v="58"/>
    <x v="237"/>
    <x v="590"/>
    <x v="57"/>
    <x v="1421"/>
    <x v="83"/>
    <x v="140"/>
    <x v="581"/>
    <x v="1159"/>
    <x v="1479"/>
    <x v="1477"/>
    <x v="361"/>
    <x v="1"/>
    <x v="1469"/>
    <x v="1479"/>
    <x v="334"/>
    <x v="0"/>
    <x v="0"/>
    <x v="4"/>
    <x v="30"/>
    <x v="17"/>
    <x v="371"/>
    <x v="37"/>
    <x v="3"/>
    <x v="279"/>
    <x v="0"/>
    <x v="1493"/>
  </r>
  <r>
    <x v="0"/>
    <x v="647"/>
    <x v="285"/>
    <x v="33"/>
    <x v="63"/>
    <x v="230"/>
    <x v="22"/>
    <x v="1422"/>
    <x v="28"/>
    <x v="430"/>
    <x v="151"/>
    <x v="1117"/>
    <x v="1480"/>
    <x v="1478"/>
    <x v="1436"/>
    <x v="1"/>
    <x v="1470"/>
    <x v="1480"/>
    <x v="754"/>
    <x v="0"/>
    <x v="0"/>
    <x v="4"/>
    <x v="82"/>
    <x v="8"/>
    <x v="102"/>
    <x v="19"/>
    <x v="1"/>
    <x v="1"/>
    <x v="0"/>
    <x v="1494"/>
  </r>
  <r>
    <x v="0"/>
    <x v="441"/>
    <x v="315"/>
    <x v="105"/>
    <x v="69"/>
    <x v="113"/>
    <x v="35"/>
    <x v="1423"/>
    <x v="479"/>
    <x v="611"/>
    <x v="274"/>
    <x v="957"/>
    <x v="1481"/>
    <x v="1479"/>
    <x v="1437"/>
    <x v="7"/>
    <x v="1471"/>
    <x v="1481"/>
    <x v="277"/>
    <x v="0"/>
    <x v="0"/>
    <x v="2"/>
    <x v="82"/>
    <x v="7"/>
    <x v="117"/>
    <x v="39"/>
    <x v="3"/>
    <x v="280"/>
    <x v="0"/>
    <x v="1495"/>
  </r>
  <r>
    <x v="0"/>
    <x v="43"/>
    <x v="445"/>
    <x v="32"/>
    <x v="0"/>
    <x v="423"/>
    <x v="29"/>
    <x v="1424"/>
    <x v="480"/>
    <x v="58"/>
    <x v="1000"/>
    <x v="1160"/>
    <x v="1482"/>
    <x v="1480"/>
    <x v="371"/>
    <x v="0"/>
    <x v="1472"/>
    <x v="1482"/>
    <x v="224"/>
    <x v="0"/>
    <x v="0"/>
    <x v="2"/>
    <x v="82"/>
    <x v="2"/>
    <x v="554"/>
    <x v="38"/>
    <x v="1"/>
    <x v="4"/>
    <x v="0"/>
    <x v="1496"/>
  </r>
  <r>
    <x v="0"/>
    <x v="648"/>
    <x v="431"/>
    <x v="59"/>
    <x v="45"/>
    <x v="655"/>
    <x v="72"/>
    <x v="1425"/>
    <x v="1"/>
    <x v="612"/>
    <x v="1001"/>
    <x v="1161"/>
    <x v="1483"/>
    <x v="1481"/>
    <x v="1438"/>
    <x v="0"/>
    <x v="1473"/>
    <x v="1483"/>
    <x v="755"/>
    <x v="0"/>
    <x v="0"/>
    <x v="2"/>
    <x v="82"/>
    <x v="13"/>
    <x v="555"/>
    <x v="51"/>
    <x v="1"/>
    <x v="1"/>
    <x v="0"/>
    <x v="1497"/>
  </r>
  <r>
    <x v="0"/>
    <x v="18"/>
    <x v="304"/>
    <x v="85"/>
    <x v="0"/>
    <x v="162"/>
    <x v="23"/>
    <x v="1426"/>
    <x v="105"/>
    <x v="613"/>
    <x v="652"/>
    <x v="1162"/>
    <x v="1484"/>
    <x v="1482"/>
    <x v="341"/>
    <x v="1"/>
    <x v="1474"/>
    <x v="1484"/>
    <x v="216"/>
    <x v="0"/>
    <x v="0"/>
    <x v="0"/>
    <x v="82"/>
    <x v="7"/>
    <x v="405"/>
    <x v="8"/>
    <x v="1"/>
    <x v="104"/>
    <x v="0"/>
    <x v="1498"/>
  </r>
  <r>
    <x v="0"/>
    <x v="113"/>
    <x v="359"/>
    <x v="84"/>
    <x v="88"/>
    <x v="102"/>
    <x v="35"/>
    <x v="4"/>
    <x v="171"/>
    <x v="614"/>
    <x v="462"/>
    <x v="1163"/>
    <x v="1485"/>
    <x v="1483"/>
    <x v="1439"/>
    <x v="1"/>
    <x v="1475"/>
    <x v="1485"/>
    <x v="715"/>
    <x v="0"/>
    <x v="1"/>
    <x v="7"/>
    <x v="4"/>
    <x v="4"/>
    <x v="40"/>
    <x v="35"/>
    <x v="12"/>
    <x v="35"/>
    <x v="0"/>
    <x v="1499"/>
  </r>
  <r>
    <x v="0"/>
    <x v="105"/>
    <x v="81"/>
    <x v="37"/>
    <x v="83"/>
    <x v="306"/>
    <x v="35"/>
    <x v="1427"/>
    <x v="270"/>
    <x v="548"/>
    <x v="597"/>
    <x v="478"/>
    <x v="1486"/>
    <x v="1484"/>
    <x v="1440"/>
    <x v="3"/>
    <x v="1476"/>
    <x v="1486"/>
    <x v="409"/>
    <x v="0"/>
    <x v="0"/>
    <x v="0"/>
    <x v="82"/>
    <x v="29"/>
    <x v="375"/>
    <x v="8"/>
    <x v="1"/>
    <x v="151"/>
    <x v="0"/>
    <x v="1500"/>
  </r>
  <r>
    <x v="0"/>
    <x v="332"/>
    <x v="329"/>
    <x v="135"/>
    <x v="204"/>
    <x v="406"/>
    <x v="164"/>
    <x v="1428"/>
    <x v="152"/>
    <x v="304"/>
    <x v="1002"/>
    <x v="588"/>
    <x v="1487"/>
    <x v="1485"/>
    <x v="1441"/>
    <x v="4"/>
    <x v="1477"/>
    <x v="1487"/>
    <x v="756"/>
    <x v="0"/>
    <x v="0"/>
    <x v="4"/>
    <x v="82"/>
    <x v="27"/>
    <x v="250"/>
    <x v="25"/>
    <x v="10"/>
    <x v="71"/>
    <x v="0"/>
    <x v="1501"/>
  </r>
  <r>
    <x v="0"/>
    <x v="649"/>
    <x v="401"/>
    <x v="61"/>
    <x v="111"/>
    <x v="242"/>
    <x v="0"/>
    <x v="1429"/>
    <x v="102"/>
    <x v="51"/>
    <x v="203"/>
    <x v="93"/>
    <x v="1488"/>
    <x v="1486"/>
    <x v="1442"/>
    <x v="1"/>
    <x v="1478"/>
    <x v="1488"/>
    <x v="195"/>
    <x v="0"/>
    <x v="23"/>
    <x v="4"/>
    <x v="82"/>
    <x v="13"/>
    <x v="30"/>
    <x v="21"/>
    <x v="1"/>
    <x v="281"/>
    <x v="0"/>
    <x v="1502"/>
  </r>
  <r>
    <x v="0"/>
    <x v="209"/>
    <x v="290"/>
    <x v="37"/>
    <x v="0"/>
    <x v="656"/>
    <x v="143"/>
    <x v="1430"/>
    <x v="171"/>
    <x v="265"/>
    <x v="1003"/>
    <x v="1164"/>
    <x v="1489"/>
    <x v="1487"/>
    <x v="1443"/>
    <x v="1"/>
    <x v="1479"/>
    <x v="1489"/>
    <x v="423"/>
    <x v="0"/>
    <x v="10"/>
    <x v="4"/>
    <x v="82"/>
    <x v="19"/>
    <x v="369"/>
    <x v="22"/>
    <x v="3"/>
    <x v="282"/>
    <x v="0"/>
    <x v="1503"/>
  </r>
  <r>
    <x v="1"/>
    <x v="650"/>
    <x v="431"/>
    <x v="6"/>
    <x v="152"/>
    <x v="251"/>
    <x v="339"/>
    <x v="4"/>
    <x v="256"/>
    <x v="615"/>
    <x v="754"/>
    <x v="468"/>
    <x v="1490"/>
    <x v="1488"/>
    <x v="1444"/>
    <x v="0"/>
    <x v="1480"/>
    <x v="1490"/>
    <x v="650"/>
    <x v="0"/>
    <x v="24"/>
    <x v="2"/>
    <x v="82"/>
    <x v="35"/>
    <x v="452"/>
    <x v="26"/>
    <x v="1"/>
    <x v="1"/>
    <x v="0"/>
    <x v="1504"/>
  </r>
  <r>
    <x v="0"/>
    <x v="651"/>
    <x v="419"/>
    <x v="24"/>
    <x v="188"/>
    <x v="657"/>
    <x v="340"/>
    <x v="1431"/>
    <x v="88"/>
    <x v="412"/>
    <x v="1004"/>
    <x v="1165"/>
    <x v="1491"/>
    <x v="1489"/>
    <x v="1445"/>
    <x v="1"/>
    <x v="1481"/>
    <x v="1491"/>
    <x v="719"/>
    <x v="3"/>
    <x v="10"/>
    <x v="4"/>
    <x v="4"/>
    <x v="16"/>
    <x v="441"/>
    <x v="1"/>
    <x v="1"/>
    <x v="283"/>
    <x v="0"/>
    <x v="1505"/>
  </r>
  <r>
    <x v="0"/>
    <x v="106"/>
    <x v="299"/>
    <x v="2"/>
    <x v="0"/>
    <x v="298"/>
    <x v="341"/>
    <x v="1432"/>
    <x v="481"/>
    <x v="616"/>
    <x v="1005"/>
    <x v="1166"/>
    <x v="1492"/>
    <x v="1490"/>
    <x v="272"/>
    <x v="0"/>
    <x v="1482"/>
    <x v="1492"/>
    <x v="757"/>
    <x v="0"/>
    <x v="0"/>
    <x v="4"/>
    <x v="82"/>
    <x v="15"/>
    <x v="556"/>
    <x v="2"/>
    <x v="1"/>
    <x v="284"/>
    <x v="0"/>
    <x v="1506"/>
  </r>
  <r>
    <x v="0"/>
    <x v="114"/>
    <x v="88"/>
    <x v="2"/>
    <x v="0"/>
    <x v="321"/>
    <x v="342"/>
    <x v="1433"/>
    <x v="270"/>
    <x v="617"/>
    <x v="1006"/>
    <x v="1167"/>
    <x v="1493"/>
    <x v="1491"/>
    <x v="1446"/>
    <x v="0"/>
    <x v="1483"/>
    <x v="1493"/>
    <x v="405"/>
    <x v="6"/>
    <x v="12"/>
    <x v="4"/>
    <x v="4"/>
    <x v="5"/>
    <x v="557"/>
    <x v="7"/>
    <x v="1"/>
    <x v="5"/>
    <x v="0"/>
    <x v="1507"/>
  </r>
  <r>
    <x v="0"/>
    <x v="58"/>
    <x v="81"/>
    <x v="56"/>
    <x v="43"/>
    <x v="140"/>
    <x v="343"/>
    <x v="4"/>
    <x v="41"/>
    <x v="62"/>
    <x v="73"/>
    <x v="78"/>
    <x v="84"/>
    <x v="84"/>
    <x v="1447"/>
    <x v="3"/>
    <x v="84"/>
    <x v="84"/>
    <x v="83"/>
    <x v="0"/>
    <x v="6"/>
    <x v="4"/>
    <x v="4"/>
    <x v="2"/>
    <x v="54"/>
    <x v="33"/>
    <x v="2"/>
    <x v="49"/>
    <x v="0"/>
    <x v="1508"/>
  </r>
  <r>
    <x v="0"/>
    <x v="652"/>
    <x v="459"/>
    <x v="41"/>
    <x v="174"/>
    <x v="371"/>
    <x v="41"/>
    <x v="4"/>
    <x v="482"/>
    <x v="111"/>
    <x v="257"/>
    <x v="1168"/>
    <x v="1494"/>
    <x v="1492"/>
    <x v="1448"/>
    <x v="4"/>
    <x v="1484"/>
    <x v="1494"/>
    <x v="758"/>
    <x v="0"/>
    <x v="10"/>
    <x v="0"/>
    <x v="144"/>
    <x v="7"/>
    <x v="174"/>
    <x v="20"/>
    <x v="1"/>
    <x v="1"/>
    <x v="0"/>
    <x v="1509"/>
  </r>
  <r>
    <x v="0"/>
    <x v="653"/>
    <x v="4"/>
    <x v="4"/>
    <x v="279"/>
    <x v="658"/>
    <x v="197"/>
    <x v="4"/>
    <x v="152"/>
    <x v="451"/>
    <x v="479"/>
    <x v="1169"/>
    <x v="1495"/>
    <x v="1493"/>
    <x v="1449"/>
    <x v="0"/>
    <x v="1485"/>
    <x v="1495"/>
    <x v="4"/>
    <x v="0"/>
    <x v="0"/>
    <x v="1"/>
    <x v="154"/>
    <x v="0"/>
    <x v="558"/>
    <x v="13"/>
    <x v="2"/>
    <x v="285"/>
    <x v="0"/>
    <x v="1510"/>
  </r>
  <r>
    <x v="0"/>
    <x v="349"/>
    <x v="214"/>
    <x v="18"/>
    <x v="44"/>
    <x v="262"/>
    <x v="175"/>
    <x v="1434"/>
    <x v="123"/>
    <x v="331"/>
    <x v="1007"/>
    <x v="1170"/>
    <x v="1496"/>
    <x v="1494"/>
    <x v="1450"/>
    <x v="0"/>
    <x v="1486"/>
    <x v="1496"/>
    <x v="279"/>
    <x v="0"/>
    <x v="0"/>
    <x v="0"/>
    <x v="148"/>
    <x v="11"/>
    <x v="307"/>
    <x v="2"/>
    <x v="1"/>
    <x v="58"/>
    <x v="0"/>
    <x v="1511"/>
  </r>
  <r>
    <x v="0"/>
    <x v="654"/>
    <x v="362"/>
    <x v="43"/>
    <x v="45"/>
    <x v="166"/>
    <x v="0"/>
    <x v="1435"/>
    <x v="125"/>
    <x v="384"/>
    <x v="1008"/>
    <x v="1171"/>
    <x v="1497"/>
    <x v="1495"/>
    <x v="1451"/>
    <x v="4"/>
    <x v="1487"/>
    <x v="1497"/>
    <x v="258"/>
    <x v="0"/>
    <x v="0"/>
    <x v="4"/>
    <x v="82"/>
    <x v="2"/>
    <x v="197"/>
    <x v="28"/>
    <x v="1"/>
    <x v="1"/>
    <x v="0"/>
    <x v="1512"/>
  </r>
  <r>
    <x v="0"/>
    <x v="48"/>
    <x v="392"/>
    <x v="106"/>
    <x v="33"/>
    <x v="393"/>
    <x v="344"/>
    <x v="1436"/>
    <x v="17"/>
    <x v="618"/>
    <x v="882"/>
    <x v="555"/>
    <x v="1498"/>
    <x v="1496"/>
    <x v="1452"/>
    <x v="3"/>
    <x v="1488"/>
    <x v="1498"/>
    <x v="549"/>
    <x v="0"/>
    <x v="0"/>
    <x v="2"/>
    <x v="116"/>
    <x v="27"/>
    <x v="510"/>
    <x v="13"/>
    <x v="1"/>
    <x v="1"/>
    <x v="0"/>
    <x v="1513"/>
  </r>
  <r>
    <x v="0"/>
    <x v="121"/>
    <x v="164"/>
    <x v="45"/>
    <x v="0"/>
    <x v="1"/>
    <x v="24"/>
    <x v="1437"/>
    <x v="142"/>
    <x v="25"/>
    <x v="1009"/>
    <x v="1172"/>
    <x v="1499"/>
    <x v="1497"/>
    <x v="1453"/>
    <x v="0"/>
    <x v="1489"/>
    <x v="1499"/>
    <x v="759"/>
    <x v="0"/>
    <x v="0"/>
    <x v="0"/>
    <x v="82"/>
    <x v="7"/>
    <x v="30"/>
    <x v="11"/>
    <x v="3"/>
    <x v="33"/>
    <x v="0"/>
    <x v="1514"/>
  </r>
  <r>
    <x v="0"/>
    <x v="655"/>
    <x v="373"/>
    <x v="58"/>
    <x v="221"/>
    <x v="659"/>
    <x v="345"/>
    <x v="1438"/>
    <x v="483"/>
    <x v="619"/>
    <x v="1010"/>
    <x v="1173"/>
    <x v="1500"/>
    <x v="1498"/>
    <x v="1194"/>
    <x v="0"/>
    <x v="1490"/>
    <x v="1500"/>
    <x v="447"/>
    <x v="0"/>
    <x v="0"/>
    <x v="4"/>
    <x v="148"/>
    <x v="15"/>
    <x v="513"/>
    <x v="31"/>
    <x v="1"/>
    <x v="286"/>
    <x v="0"/>
    <x v="1515"/>
  </r>
  <r>
    <x v="0"/>
    <x v="172"/>
    <x v="288"/>
    <x v="45"/>
    <x v="124"/>
    <x v="213"/>
    <x v="25"/>
    <x v="1439"/>
    <x v="28"/>
    <x v="76"/>
    <x v="1011"/>
    <x v="1174"/>
    <x v="1501"/>
    <x v="1499"/>
    <x v="1454"/>
    <x v="1"/>
    <x v="1491"/>
    <x v="1501"/>
    <x v="514"/>
    <x v="0"/>
    <x v="0"/>
    <x v="4"/>
    <x v="82"/>
    <x v="3"/>
    <x v="559"/>
    <x v="34"/>
    <x v="1"/>
    <x v="1"/>
    <x v="0"/>
    <x v="1516"/>
  </r>
  <r>
    <x v="0"/>
    <x v="656"/>
    <x v="127"/>
    <x v="59"/>
    <x v="280"/>
    <x v="621"/>
    <x v="346"/>
    <x v="1440"/>
    <x v="45"/>
    <x v="620"/>
    <x v="1012"/>
    <x v="1175"/>
    <x v="1502"/>
    <x v="1500"/>
    <x v="1455"/>
    <x v="0"/>
    <x v="1492"/>
    <x v="1502"/>
    <x v="245"/>
    <x v="2"/>
    <x v="7"/>
    <x v="3"/>
    <x v="148"/>
    <x v="8"/>
    <x v="515"/>
    <x v="16"/>
    <x v="3"/>
    <x v="1"/>
    <x v="0"/>
    <x v="1517"/>
  </r>
  <r>
    <x v="0"/>
    <x v="657"/>
    <x v="338"/>
    <x v="57"/>
    <x v="156"/>
    <x v="85"/>
    <x v="153"/>
    <x v="1441"/>
    <x v="17"/>
    <x v="621"/>
    <x v="1013"/>
    <x v="1176"/>
    <x v="1503"/>
    <x v="1501"/>
    <x v="1456"/>
    <x v="0"/>
    <x v="1493"/>
    <x v="1503"/>
    <x v="392"/>
    <x v="0"/>
    <x v="0"/>
    <x v="0"/>
    <x v="148"/>
    <x v="2"/>
    <x v="276"/>
    <x v="1"/>
    <x v="1"/>
    <x v="33"/>
    <x v="0"/>
    <x v="1518"/>
  </r>
  <r>
    <x v="0"/>
    <x v="658"/>
    <x v="283"/>
    <x v="56"/>
    <x v="143"/>
    <x v="1"/>
    <x v="1"/>
    <x v="1442"/>
    <x v="211"/>
    <x v="1"/>
    <x v="99"/>
    <x v="1177"/>
    <x v="1504"/>
    <x v="1502"/>
    <x v="1457"/>
    <x v="0"/>
    <x v="1494"/>
    <x v="1504"/>
    <x v="635"/>
    <x v="0"/>
    <x v="0"/>
    <x v="4"/>
    <x v="148"/>
    <x v="15"/>
    <x v="71"/>
    <x v="43"/>
    <x v="3"/>
    <x v="103"/>
    <x v="0"/>
    <x v="1519"/>
  </r>
  <r>
    <x v="0"/>
    <x v="659"/>
    <x v="460"/>
    <x v="37"/>
    <x v="263"/>
    <x v="581"/>
    <x v="347"/>
    <x v="1443"/>
    <x v="185"/>
    <x v="622"/>
    <x v="1014"/>
    <x v="1178"/>
    <x v="1505"/>
    <x v="1503"/>
    <x v="1458"/>
    <x v="1"/>
    <x v="1495"/>
    <x v="1505"/>
    <x v="666"/>
    <x v="0"/>
    <x v="0"/>
    <x v="0"/>
    <x v="148"/>
    <x v="21"/>
    <x v="560"/>
    <x v="23"/>
    <x v="1"/>
    <x v="287"/>
    <x v="0"/>
    <x v="1520"/>
  </r>
  <r>
    <x v="0"/>
    <x v="403"/>
    <x v="126"/>
    <x v="72"/>
    <x v="23"/>
    <x v="10"/>
    <x v="11"/>
    <x v="1444"/>
    <x v="298"/>
    <x v="69"/>
    <x v="68"/>
    <x v="740"/>
    <x v="1506"/>
    <x v="1504"/>
    <x v="1459"/>
    <x v="7"/>
    <x v="1496"/>
    <x v="1506"/>
    <x v="724"/>
    <x v="0"/>
    <x v="0"/>
    <x v="0"/>
    <x v="82"/>
    <x v="3"/>
    <x v="12"/>
    <x v="20"/>
    <x v="1"/>
    <x v="1"/>
    <x v="0"/>
    <x v="1521"/>
  </r>
  <r>
    <x v="0"/>
    <x v="566"/>
    <x v="130"/>
    <x v="8"/>
    <x v="28"/>
    <x v="303"/>
    <x v="240"/>
    <x v="1445"/>
    <x v="406"/>
    <x v="623"/>
    <x v="1015"/>
    <x v="1179"/>
    <x v="1507"/>
    <x v="1505"/>
    <x v="1460"/>
    <x v="1"/>
    <x v="1497"/>
    <x v="1507"/>
    <x v="586"/>
    <x v="0"/>
    <x v="1"/>
    <x v="0"/>
    <x v="82"/>
    <x v="9"/>
    <x v="561"/>
    <x v="1"/>
    <x v="1"/>
    <x v="38"/>
    <x v="0"/>
    <x v="1522"/>
  </r>
  <r>
    <x v="0"/>
    <x v="486"/>
    <x v="394"/>
    <x v="25"/>
    <x v="251"/>
    <x v="282"/>
    <x v="338"/>
    <x v="4"/>
    <x v="415"/>
    <x v="609"/>
    <x v="218"/>
    <x v="823"/>
    <x v="1508"/>
    <x v="1506"/>
    <x v="1461"/>
    <x v="0"/>
    <x v="1498"/>
    <x v="1508"/>
    <x v="405"/>
    <x v="0"/>
    <x v="0"/>
    <x v="2"/>
    <x v="82"/>
    <x v="37"/>
    <x v="148"/>
    <x v="7"/>
    <x v="3"/>
    <x v="1"/>
    <x v="0"/>
    <x v="1523"/>
  </r>
  <r>
    <x v="0"/>
    <x v="340"/>
    <x v="225"/>
    <x v="67"/>
    <x v="0"/>
    <x v="354"/>
    <x v="14"/>
    <x v="1446"/>
    <x v="306"/>
    <x v="56"/>
    <x v="673"/>
    <x v="485"/>
    <x v="1509"/>
    <x v="1507"/>
    <x v="1037"/>
    <x v="0"/>
    <x v="1499"/>
    <x v="1509"/>
    <x v="760"/>
    <x v="0"/>
    <x v="0"/>
    <x v="4"/>
    <x v="88"/>
    <x v="29"/>
    <x v="12"/>
    <x v="32"/>
    <x v="1"/>
    <x v="1"/>
    <x v="0"/>
    <x v="1524"/>
  </r>
  <r>
    <x v="0"/>
    <x v="301"/>
    <x v="283"/>
    <x v="59"/>
    <x v="171"/>
    <x v="390"/>
    <x v="35"/>
    <x v="1447"/>
    <x v="281"/>
    <x v="504"/>
    <x v="869"/>
    <x v="550"/>
    <x v="1510"/>
    <x v="1508"/>
    <x v="1462"/>
    <x v="0"/>
    <x v="1500"/>
    <x v="1510"/>
    <x v="423"/>
    <x v="0"/>
    <x v="0"/>
    <x v="4"/>
    <x v="152"/>
    <x v="18"/>
    <x v="30"/>
    <x v="34"/>
    <x v="1"/>
    <x v="288"/>
    <x v="0"/>
    <x v="1525"/>
  </r>
  <r>
    <x v="0"/>
    <x v="154"/>
    <x v="388"/>
    <x v="77"/>
    <x v="113"/>
    <x v="235"/>
    <x v="327"/>
    <x v="1448"/>
    <x v="132"/>
    <x v="624"/>
    <x v="392"/>
    <x v="1180"/>
    <x v="1511"/>
    <x v="1509"/>
    <x v="1463"/>
    <x v="1"/>
    <x v="1501"/>
    <x v="1511"/>
    <x v="627"/>
    <x v="0"/>
    <x v="0"/>
    <x v="0"/>
    <x v="116"/>
    <x v="21"/>
    <x v="263"/>
    <x v="37"/>
    <x v="3"/>
    <x v="103"/>
    <x v="0"/>
    <x v="1526"/>
  </r>
  <r>
    <x v="0"/>
    <x v="660"/>
    <x v="370"/>
    <x v="79"/>
    <x v="0"/>
    <x v="660"/>
    <x v="167"/>
    <x v="1449"/>
    <x v="21"/>
    <x v="625"/>
    <x v="1016"/>
    <x v="1181"/>
    <x v="1512"/>
    <x v="1510"/>
    <x v="1464"/>
    <x v="0"/>
    <x v="4"/>
    <x v="1512"/>
    <x v="655"/>
    <x v="0"/>
    <x v="6"/>
    <x v="1"/>
    <x v="148"/>
    <x v="9"/>
    <x v="562"/>
    <x v="22"/>
    <x v="1"/>
    <x v="1"/>
    <x v="0"/>
    <x v="1527"/>
  </r>
  <r>
    <x v="0"/>
    <x v="661"/>
    <x v="423"/>
    <x v="71"/>
    <x v="122"/>
    <x v="358"/>
    <x v="158"/>
    <x v="1450"/>
    <x v="24"/>
    <x v="292"/>
    <x v="1017"/>
    <x v="1182"/>
    <x v="1513"/>
    <x v="1511"/>
    <x v="1465"/>
    <x v="0"/>
    <x v="1502"/>
    <x v="1513"/>
    <x v="376"/>
    <x v="0"/>
    <x v="0"/>
    <x v="0"/>
    <x v="116"/>
    <x v="10"/>
    <x v="38"/>
    <x v="41"/>
    <x v="1"/>
    <x v="1"/>
    <x v="0"/>
    <x v="1528"/>
  </r>
  <r>
    <x v="0"/>
    <x v="662"/>
    <x v="313"/>
    <x v="77"/>
    <x v="62"/>
    <x v="103"/>
    <x v="22"/>
    <x v="1451"/>
    <x v="484"/>
    <x v="626"/>
    <x v="1018"/>
    <x v="1183"/>
    <x v="1514"/>
    <x v="1512"/>
    <x v="1466"/>
    <x v="0"/>
    <x v="1503"/>
    <x v="1514"/>
    <x v="547"/>
    <x v="0"/>
    <x v="0"/>
    <x v="0"/>
    <x v="152"/>
    <x v="3"/>
    <x v="563"/>
    <x v="12"/>
    <x v="1"/>
    <x v="64"/>
    <x v="0"/>
    <x v="1529"/>
  </r>
  <r>
    <x v="0"/>
    <x v="504"/>
    <x v="456"/>
    <x v="72"/>
    <x v="101"/>
    <x v="580"/>
    <x v="86"/>
    <x v="1452"/>
    <x v="485"/>
    <x v="627"/>
    <x v="946"/>
    <x v="1184"/>
    <x v="1515"/>
    <x v="1513"/>
    <x v="1467"/>
    <x v="0"/>
    <x v="1504"/>
    <x v="1515"/>
    <x v="761"/>
    <x v="0"/>
    <x v="8"/>
    <x v="4"/>
    <x v="152"/>
    <x v="7"/>
    <x v="532"/>
    <x v="23"/>
    <x v="1"/>
    <x v="86"/>
    <x v="0"/>
    <x v="1530"/>
  </r>
  <r>
    <x v="0"/>
    <x v="663"/>
    <x v="280"/>
    <x v="55"/>
    <x v="123"/>
    <x v="661"/>
    <x v="11"/>
    <x v="1453"/>
    <x v="353"/>
    <x v="63"/>
    <x v="339"/>
    <x v="1185"/>
    <x v="1516"/>
    <x v="1514"/>
    <x v="1468"/>
    <x v="0"/>
    <x v="1505"/>
    <x v="1516"/>
    <x v="339"/>
    <x v="0"/>
    <x v="0"/>
    <x v="4"/>
    <x v="152"/>
    <x v="21"/>
    <x v="228"/>
    <x v="43"/>
    <x v="3"/>
    <x v="289"/>
    <x v="0"/>
    <x v="1531"/>
  </r>
  <r>
    <x v="0"/>
    <x v="664"/>
    <x v="203"/>
    <x v="35"/>
    <x v="151"/>
    <x v="592"/>
    <x v="81"/>
    <x v="1454"/>
    <x v="28"/>
    <x v="628"/>
    <x v="1019"/>
    <x v="1186"/>
    <x v="1517"/>
    <x v="1515"/>
    <x v="1469"/>
    <x v="1"/>
    <x v="1506"/>
    <x v="1517"/>
    <x v="65"/>
    <x v="0"/>
    <x v="0"/>
    <x v="4"/>
    <x v="152"/>
    <x v="14"/>
    <x v="564"/>
    <x v="12"/>
    <x v="1"/>
    <x v="86"/>
    <x v="0"/>
    <x v="1532"/>
  </r>
  <r>
    <x v="0"/>
    <x v="665"/>
    <x v="362"/>
    <x v="34"/>
    <x v="186"/>
    <x v="212"/>
    <x v="192"/>
    <x v="1455"/>
    <x v="357"/>
    <x v="359"/>
    <x v="900"/>
    <x v="1187"/>
    <x v="1518"/>
    <x v="1516"/>
    <x v="1470"/>
    <x v="0"/>
    <x v="1507"/>
    <x v="1518"/>
    <x v="340"/>
    <x v="0"/>
    <x v="0"/>
    <x v="0"/>
    <x v="70"/>
    <x v="12"/>
    <x v="319"/>
    <x v="2"/>
    <x v="1"/>
    <x v="1"/>
    <x v="0"/>
    <x v="1533"/>
  </r>
  <r>
    <x v="0"/>
    <x v="666"/>
    <x v="16"/>
    <x v="50"/>
    <x v="281"/>
    <x v="538"/>
    <x v="8"/>
    <x v="1456"/>
    <x v="23"/>
    <x v="35"/>
    <x v="798"/>
    <x v="1188"/>
    <x v="1519"/>
    <x v="1517"/>
    <x v="1471"/>
    <x v="4"/>
    <x v="1508"/>
    <x v="1519"/>
    <x v="227"/>
    <x v="0"/>
    <x v="0"/>
    <x v="4"/>
    <x v="116"/>
    <x v="3"/>
    <x v="393"/>
    <x v="12"/>
    <x v="1"/>
    <x v="85"/>
    <x v="0"/>
    <x v="1534"/>
  </r>
  <r>
    <x v="0"/>
    <x v="36"/>
    <x v="392"/>
    <x v="23"/>
    <x v="26"/>
    <x v="274"/>
    <x v="2"/>
    <x v="1457"/>
    <x v="105"/>
    <x v="60"/>
    <x v="601"/>
    <x v="358"/>
    <x v="1520"/>
    <x v="1518"/>
    <x v="1472"/>
    <x v="3"/>
    <x v="1509"/>
    <x v="1520"/>
    <x v="509"/>
    <x v="0"/>
    <x v="0"/>
    <x v="4"/>
    <x v="30"/>
    <x v="15"/>
    <x v="341"/>
    <x v="19"/>
    <x v="1"/>
    <x v="290"/>
    <x v="0"/>
    <x v="1535"/>
  </r>
  <r>
    <x v="0"/>
    <x v="667"/>
    <x v="148"/>
    <x v="90"/>
    <x v="19"/>
    <x v="662"/>
    <x v="2"/>
    <x v="1458"/>
    <x v="0"/>
    <x v="42"/>
    <x v="1020"/>
    <x v="1189"/>
    <x v="1521"/>
    <x v="1519"/>
    <x v="1473"/>
    <x v="0"/>
    <x v="1510"/>
    <x v="1521"/>
    <x v="762"/>
    <x v="0"/>
    <x v="0"/>
    <x v="2"/>
    <x v="167"/>
    <x v="45"/>
    <x v="30"/>
    <x v="26"/>
    <x v="1"/>
    <x v="57"/>
    <x v="0"/>
    <x v="1536"/>
  </r>
  <r>
    <x v="0"/>
    <x v="668"/>
    <x v="461"/>
    <x v="18"/>
    <x v="209"/>
    <x v="496"/>
    <x v="348"/>
    <x v="1459"/>
    <x v="222"/>
    <x v="629"/>
    <x v="324"/>
    <x v="1190"/>
    <x v="1522"/>
    <x v="1520"/>
    <x v="1474"/>
    <x v="1"/>
    <x v="1511"/>
    <x v="1522"/>
    <x v="681"/>
    <x v="0"/>
    <x v="1"/>
    <x v="4"/>
    <x v="116"/>
    <x v="8"/>
    <x v="126"/>
    <x v="19"/>
    <x v="1"/>
    <x v="1"/>
    <x v="0"/>
    <x v="1537"/>
  </r>
  <r>
    <x v="0"/>
    <x v="564"/>
    <x v="341"/>
    <x v="23"/>
    <x v="144"/>
    <x v="570"/>
    <x v="21"/>
    <x v="1460"/>
    <x v="17"/>
    <x v="141"/>
    <x v="1021"/>
    <x v="1191"/>
    <x v="1523"/>
    <x v="1521"/>
    <x v="1475"/>
    <x v="0"/>
    <x v="1512"/>
    <x v="1523"/>
    <x v="406"/>
    <x v="0"/>
    <x v="0"/>
    <x v="4"/>
    <x v="144"/>
    <x v="8"/>
    <x v="217"/>
    <x v="32"/>
    <x v="3"/>
    <x v="61"/>
    <x v="0"/>
    <x v="1538"/>
  </r>
  <r>
    <x v="0"/>
    <x v="669"/>
    <x v="145"/>
    <x v="42"/>
    <x v="282"/>
    <x v="68"/>
    <x v="0"/>
    <x v="1461"/>
    <x v="125"/>
    <x v="537"/>
    <x v="1022"/>
    <x v="84"/>
    <x v="1524"/>
    <x v="1522"/>
    <x v="1476"/>
    <x v="4"/>
    <x v="1513"/>
    <x v="1524"/>
    <x v="301"/>
    <x v="0"/>
    <x v="0"/>
    <x v="4"/>
    <x v="4"/>
    <x v="3"/>
    <x v="565"/>
    <x v="23"/>
    <x v="3"/>
    <x v="1"/>
    <x v="0"/>
    <x v="1539"/>
  </r>
  <r>
    <x v="0"/>
    <x v="47"/>
    <x v="194"/>
    <x v="55"/>
    <x v="32"/>
    <x v="141"/>
    <x v="13"/>
    <x v="1462"/>
    <x v="204"/>
    <x v="13"/>
    <x v="255"/>
    <x v="178"/>
    <x v="1525"/>
    <x v="1523"/>
    <x v="1477"/>
    <x v="1"/>
    <x v="1514"/>
    <x v="1525"/>
    <x v="345"/>
    <x v="0"/>
    <x v="0"/>
    <x v="2"/>
    <x v="152"/>
    <x v="17"/>
    <x v="6"/>
    <x v="8"/>
    <x v="3"/>
    <x v="90"/>
    <x v="0"/>
    <x v="1540"/>
  </r>
  <r>
    <x v="0"/>
    <x v="71"/>
    <x v="302"/>
    <x v="32"/>
    <x v="56"/>
    <x v="663"/>
    <x v="22"/>
    <x v="1463"/>
    <x v="453"/>
    <x v="226"/>
    <x v="1023"/>
    <x v="1192"/>
    <x v="1526"/>
    <x v="1524"/>
    <x v="1478"/>
    <x v="1"/>
    <x v="1515"/>
    <x v="1526"/>
    <x v="173"/>
    <x v="0"/>
    <x v="0"/>
    <x v="2"/>
    <x v="144"/>
    <x v="25"/>
    <x v="503"/>
    <x v="21"/>
    <x v="1"/>
    <x v="1"/>
    <x v="0"/>
    <x v="1541"/>
  </r>
  <r>
    <x v="0"/>
    <x v="356"/>
    <x v="334"/>
    <x v="77"/>
    <x v="211"/>
    <x v="282"/>
    <x v="349"/>
    <x v="1464"/>
    <x v="486"/>
    <x v="630"/>
    <x v="953"/>
    <x v="823"/>
    <x v="1527"/>
    <x v="1525"/>
    <x v="839"/>
    <x v="1"/>
    <x v="1516"/>
    <x v="1527"/>
    <x v="360"/>
    <x v="0"/>
    <x v="4"/>
    <x v="2"/>
    <x v="82"/>
    <x v="19"/>
    <x v="335"/>
    <x v="37"/>
    <x v="3"/>
    <x v="1"/>
    <x v="0"/>
    <x v="1542"/>
  </r>
  <r>
    <x v="0"/>
    <x v="105"/>
    <x v="343"/>
    <x v="59"/>
    <x v="83"/>
    <x v="1"/>
    <x v="57"/>
    <x v="1465"/>
    <x v="487"/>
    <x v="192"/>
    <x v="734"/>
    <x v="1193"/>
    <x v="1528"/>
    <x v="1526"/>
    <x v="1479"/>
    <x v="1"/>
    <x v="1517"/>
    <x v="1528"/>
    <x v="757"/>
    <x v="0"/>
    <x v="0"/>
    <x v="0"/>
    <x v="144"/>
    <x v="32"/>
    <x v="30"/>
    <x v="15"/>
    <x v="3"/>
    <x v="59"/>
    <x v="0"/>
    <x v="1543"/>
  </r>
  <r>
    <x v="0"/>
    <x v="670"/>
    <x v="145"/>
    <x v="80"/>
    <x v="283"/>
    <x v="329"/>
    <x v="241"/>
    <x v="1466"/>
    <x v="488"/>
    <x v="631"/>
    <x v="210"/>
    <x v="1194"/>
    <x v="1529"/>
    <x v="1527"/>
    <x v="1480"/>
    <x v="1"/>
    <x v="1518"/>
    <x v="1529"/>
    <x v="763"/>
    <x v="0"/>
    <x v="8"/>
    <x v="2"/>
    <x v="144"/>
    <x v="7"/>
    <x v="142"/>
    <x v="20"/>
    <x v="3"/>
    <x v="1"/>
    <x v="0"/>
    <x v="1544"/>
  </r>
  <r>
    <x v="0"/>
    <x v="99"/>
    <x v="351"/>
    <x v="22"/>
    <x v="77"/>
    <x v="431"/>
    <x v="192"/>
    <x v="1467"/>
    <x v="127"/>
    <x v="632"/>
    <x v="1024"/>
    <x v="1195"/>
    <x v="1530"/>
    <x v="1528"/>
    <x v="1481"/>
    <x v="5"/>
    <x v="1519"/>
    <x v="1530"/>
    <x v="764"/>
    <x v="0"/>
    <x v="0"/>
    <x v="4"/>
    <x v="167"/>
    <x v="10"/>
    <x v="203"/>
    <x v="2"/>
    <x v="1"/>
    <x v="41"/>
    <x v="0"/>
    <x v="1545"/>
  </r>
  <r>
    <x v="0"/>
    <x v="538"/>
    <x v="71"/>
    <x v="86"/>
    <x v="265"/>
    <x v="168"/>
    <x v="30"/>
    <x v="1468"/>
    <x v="219"/>
    <x v="50"/>
    <x v="6"/>
    <x v="248"/>
    <x v="1531"/>
    <x v="1529"/>
    <x v="1482"/>
    <x v="5"/>
    <x v="1520"/>
    <x v="1531"/>
    <x v="765"/>
    <x v="0"/>
    <x v="0"/>
    <x v="4"/>
    <x v="144"/>
    <x v="9"/>
    <x v="6"/>
    <x v="10"/>
    <x v="1"/>
    <x v="79"/>
    <x v="0"/>
    <x v="1546"/>
  </r>
  <r>
    <x v="0"/>
    <x v="671"/>
    <x v="333"/>
    <x v="33"/>
    <x v="134"/>
    <x v="664"/>
    <x v="327"/>
    <x v="1469"/>
    <x v="429"/>
    <x v="624"/>
    <x v="746"/>
    <x v="1196"/>
    <x v="1532"/>
    <x v="1530"/>
    <x v="1483"/>
    <x v="0"/>
    <x v="1521"/>
    <x v="1532"/>
    <x v="78"/>
    <x v="0"/>
    <x v="0"/>
    <x v="4"/>
    <x v="163"/>
    <x v="15"/>
    <x v="447"/>
    <x v="5"/>
    <x v="1"/>
    <x v="1"/>
    <x v="0"/>
    <x v="1547"/>
  </r>
  <r>
    <x v="0"/>
    <x v="657"/>
    <x v="288"/>
    <x v="74"/>
    <x v="156"/>
    <x v="380"/>
    <x v="13"/>
    <x v="1470"/>
    <x v="113"/>
    <x v="158"/>
    <x v="99"/>
    <x v="1197"/>
    <x v="1533"/>
    <x v="1531"/>
    <x v="1484"/>
    <x v="0"/>
    <x v="1522"/>
    <x v="1533"/>
    <x v="288"/>
    <x v="0"/>
    <x v="0"/>
    <x v="4"/>
    <x v="144"/>
    <x v="21"/>
    <x v="71"/>
    <x v="13"/>
    <x v="1"/>
    <x v="1"/>
    <x v="0"/>
    <x v="1548"/>
  </r>
  <r>
    <x v="0"/>
    <x v="672"/>
    <x v="323"/>
    <x v="86"/>
    <x v="116"/>
    <x v="1"/>
    <x v="29"/>
    <x v="1471"/>
    <x v="23"/>
    <x v="74"/>
    <x v="328"/>
    <x v="1198"/>
    <x v="1534"/>
    <x v="1532"/>
    <x v="1485"/>
    <x v="7"/>
    <x v="1523"/>
    <x v="1534"/>
    <x v="320"/>
    <x v="0"/>
    <x v="0"/>
    <x v="0"/>
    <x v="78"/>
    <x v="5"/>
    <x v="9"/>
    <x v="5"/>
    <x v="1"/>
    <x v="1"/>
    <x v="0"/>
    <x v="1549"/>
  </r>
  <r>
    <x v="0"/>
    <x v="673"/>
    <x v="395"/>
    <x v="71"/>
    <x v="106"/>
    <x v="10"/>
    <x v="49"/>
    <x v="1472"/>
    <x v="125"/>
    <x v="86"/>
    <x v="455"/>
    <x v="1199"/>
    <x v="1535"/>
    <x v="1533"/>
    <x v="1486"/>
    <x v="8"/>
    <x v="1524"/>
    <x v="1535"/>
    <x v="586"/>
    <x v="0"/>
    <x v="0"/>
    <x v="4"/>
    <x v="82"/>
    <x v="9"/>
    <x v="31"/>
    <x v="23"/>
    <x v="1"/>
    <x v="1"/>
    <x v="0"/>
    <x v="1550"/>
  </r>
  <r>
    <x v="0"/>
    <x v="433"/>
    <x v="343"/>
    <x v="18"/>
    <x v="125"/>
    <x v="492"/>
    <x v="350"/>
    <x v="1473"/>
    <x v="132"/>
    <x v="633"/>
    <x v="419"/>
    <x v="1200"/>
    <x v="1536"/>
    <x v="1534"/>
    <x v="1487"/>
    <x v="4"/>
    <x v="1525"/>
    <x v="1536"/>
    <x v="637"/>
    <x v="0"/>
    <x v="0"/>
    <x v="0"/>
    <x v="144"/>
    <x v="10"/>
    <x v="282"/>
    <x v="46"/>
    <x v="1"/>
    <x v="1"/>
    <x v="0"/>
    <x v="1551"/>
  </r>
  <r>
    <x v="0"/>
    <x v="75"/>
    <x v="462"/>
    <x v="41"/>
    <x v="0"/>
    <x v="665"/>
    <x v="10"/>
    <x v="1474"/>
    <x v="361"/>
    <x v="40"/>
    <x v="1025"/>
    <x v="1201"/>
    <x v="1537"/>
    <x v="1535"/>
    <x v="594"/>
    <x v="3"/>
    <x v="1526"/>
    <x v="1537"/>
    <x v="766"/>
    <x v="0"/>
    <x v="0"/>
    <x v="0"/>
    <x v="144"/>
    <x v="10"/>
    <x v="566"/>
    <x v="7"/>
    <x v="3"/>
    <x v="15"/>
    <x v="0"/>
    <x v="1552"/>
  </r>
  <r>
    <x v="0"/>
    <x v="439"/>
    <x v="425"/>
    <x v="60"/>
    <x v="238"/>
    <x v="231"/>
    <x v="351"/>
    <x v="1475"/>
    <x v="480"/>
    <x v="634"/>
    <x v="1026"/>
    <x v="1202"/>
    <x v="1538"/>
    <x v="1536"/>
    <x v="1488"/>
    <x v="3"/>
    <x v="1527"/>
    <x v="1538"/>
    <x v="137"/>
    <x v="0"/>
    <x v="0"/>
    <x v="4"/>
    <x v="144"/>
    <x v="27"/>
    <x v="567"/>
    <x v="1"/>
    <x v="3"/>
    <x v="1"/>
    <x v="0"/>
    <x v="1553"/>
  </r>
  <r>
    <x v="0"/>
    <x v="133"/>
    <x v="400"/>
    <x v="42"/>
    <x v="98"/>
    <x v="540"/>
    <x v="94"/>
    <x v="1476"/>
    <x v="60"/>
    <x v="187"/>
    <x v="942"/>
    <x v="1203"/>
    <x v="1539"/>
    <x v="1537"/>
    <x v="1489"/>
    <x v="1"/>
    <x v="1528"/>
    <x v="1539"/>
    <x v="101"/>
    <x v="0"/>
    <x v="0"/>
    <x v="4"/>
    <x v="144"/>
    <x v="1"/>
    <x v="413"/>
    <x v="21"/>
    <x v="1"/>
    <x v="7"/>
    <x v="0"/>
    <x v="1554"/>
  </r>
  <r>
    <x v="0"/>
    <x v="365"/>
    <x v="270"/>
    <x v="72"/>
    <x v="0"/>
    <x v="606"/>
    <x v="352"/>
    <x v="1477"/>
    <x v="489"/>
    <x v="635"/>
    <x v="1027"/>
    <x v="1204"/>
    <x v="1540"/>
    <x v="1538"/>
    <x v="1490"/>
    <x v="1"/>
    <x v="1529"/>
    <x v="1540"/>
    <x v="510"/>
    <x v="0"/>
    <x v="10"/>
    <x v="2"/>
    <x v="152"/>
    <x v="9"/>
    <x v="544"/>
    <x v="1"/>
    <x v="1"/>
    <x v="9"/>
    <x v="0"/>
    <x v="1555"/>
  </r>
  <r>
    <x v="0"/>
    <x v="38"/>
    <x v="392"/>
    <x v="30"/>
    <x v="25"/>
    <x v="437"/>
    <x v="17"/>
    <x v="4"/>
    <x v="490"/>
    <x v="18"/>
    <x v="1028"/>
    <x v="641"/>
    <x v="1541"/>
    <x v="1539"/>
    <x v="1491"/>
    <x v="7"/>
    <x v="1530"/>
    <x v="1541"/>
    <x v="287"/>
    <x v="0"/>
    <x v="0"/>
    <x v="2"/>
    <x v="82"/>
    <x v="28"/>
    <x v="30"/>
    <x v="18"/>
    <x v="1"/>
    <x v="43"/>
    <x v="0"/>
    <x v="1556"/>
  </r>
  <r>
    <x v="0"/>
    <x v="674"/>
    <x v="346"/>
    <x v="42"/>
    <x v="226"/>
    <x v="666"/>
    <x v="353"/>
    <x v="1478"/>
    <x v="491"/>
    <x v="636"/>
    <x v="439"/>
    <x v="1205"/>
    <x v="1542"/>
    <x v="1540"/>
    <x v="1492"/>
    <x v="1"/>
    <x v="1531"/>
    <x v="1542"/>
    <x v="586"/>
    <x v="0"/>
    <x v="0"/>
    <x v="2"/>
    <x v="144"/>
    <x v="12"/>
    <x v="215"/>
    <x v="8"/>
    <x v="1"/>
    <x v="1"/>
    <x v="0"/>
    <x v="1557"/>
  </r>
  <r>
    <x v="0"/>
    <x v="471"/>
    <x v="463"/>
    <x v="45"/>
    <x v="0"/>
    <x v="126"/>
    <x v="14"/>
    <x v="1479"/>
    <x v="168"/>
    <x v="414"/>
    <x v="1029"/>
    <x v="156"/>
    <x v="1543"/>
    <x v="1541"/>
    <x v="181"/>
    <x v="1"/>
    <x v="1532"/>
    <x v="1543"/>
    <x v="767"/>
    <x v="0"/>
    <x v="0"/>
    <x v="4"/>
    <x v="144"/>
    <x v="12"/>
    <x v="568"/>
    <x v="7"/>
    <x v="3"/>
    <x v="1"/>
    <x v="0"/>
    <x v="1558"/>
  </r>
  <r>
    <x v="0"/>
    <x v="112"/>
    <x v="145"/>
    <x v="101"/>
    <x v="49"/>
    <x v="238"/>
    <x v="8"/>
    <x v="1480"/>
    <x v="23"/>
    <x v="35"/>
    <x v="88"/>
    <x v="300"/>
    <x v="1544"/>
    <x v="1542"/>
    <x v="1493"/>
    <x v="1"/>
    <x v="1533"/>
    <x v="1544"/>
    <x v="471"/>
    <x v="0"/>
    <x v="10"/>
    <x v="0"/>
    <x v="144"/>
    <x v="12"/>
    <x v="30"/>
    <x v="22"/>
    <x v="1"/>
    <x v="1"/>
    <x v="0"/>
    <x v="1559"/>
  </r>
  <r>
    <x v="1"/>
    <x v="6"/>
    <x v="315"/>
    <x v="86"/>
    <x v="0"/>
    <x v="146"/>
    <x v="19"/>
    <x v="1481"/>
    <x v="492"/>
    <x v="20"/>
    <x v="1030"/>
    <x v="1206"/>
    <x v="1545"/>
    <x v="1543"/>
    <x v="1494"/>
    <x v="0"/>
    <x v="1534"/>
    <x v="1545"/>
    <x v="404"/>
    <x v="0"/>
    <x v="7"/>
    <x v="4"/>
    <x v="144"/>
    <x v="16"/>
    <x v="186"/>
    <x v="21"/>
    <x v="3"/>
    <x v="1"/>
    <x v="0"/>
    <x v="1560"/>
  </r>
  <r>
    <x v="0"/>
    <x v="505"/>
    <x v="362"/>
    <x v="78"/>
    <x v="195"/>
    <x v="667"/>
    <x v="354"/>
    <x v="1482"/>
    <x v="127"/>
    <x v="637"/>
    <x v="1031"/>
    <x v="1207"/>
    <x v="1546"/>
    <x v="1544"/>
    <x v="1495"/>
    <x v="1"/>
    <x v="1535"/>
    <x v="1546"/>
    <x v="386"/>
    <x v="0"/>
    <x v="25"/>
    <x v="0"/>
    <x v="168"/>
    <x v="14"/>
    <x v="569"/>
    <x v="18"/>
    <x v="1"/>
    <x v="236"/>
    <x v="0"/>
    <x v="1561"/>
  </r>
  <r>
    <x v="0"/>
    <x v="48"/>
    <x v="145"/>
    <x v="61"/>
    <x v="33"/>
    <x v="668"/>
    <x v="25"/>
    <x v="1483"/>
    <x v="306"/>
    <x v="76"/>
    <x v="1032"/>
    <x v="1208"/>
    <x v="1547"/>
    <x v="1545"/>
    <x v="1496"/>
    <x v="0"/>
    <x v="1536"/>
    <x v="1547"/>
    <x v="696"/>
    <x v="0"/>
    <x v="0"/>
    <x v="4"/>
    <x v="97"/>
    <x v="15"/>
    <x v="29"/>
    <x v="2"/>
    <x v="1"/>
    <x v="1"/>
    <x v="0"/>
    <x v="1562"/>
  </r>
  <r>
    <x v="0"/>
    <x v="675"/>
    <x v="148"/>
    <x v="73"/>
    <x v="284"/>
    <x v="188"/>
    <x v="0"/>
    <x v="1484"/>
    <x v="103"/>
    <x v="638"/>
    <x v="422"/>
    <x v="459"/>
    <x v="1548"/>
    <x v="1546"/>
    <x v="1497"/>
    <x v="0"/>
    <x v="1537"/>
    <x v="1548"/>
    <x v="68"/>
    <x v="0"/>
    <x v="0"/>
    <x v="4"/>
    <x v="144"/>
    <x v="5"/>
    <x v="284"/>
    <x v="22"/>
    <x v="1"/>
    <x v="85"/>
    <x v="0"/>
    <x v="1563"/>
  </r>
  <r>
    <x v="0"/>
    <x v="676"/>
    <x v="197"/>
    <x v="86"/>
    <x v="129"/>
    <x v="70"/>
    <x v="194"/>
    <x v="1485"/>
    <x v="493"/>
    <x v="361"/>
    <x v="951"/>
    <x v="861"/>
    <x v="1549"/>
    <x v="1547"/>
    <x v="1498"/>
    <x v="0"/>
    <x v="1538"/>
    <x v="1549"/>
    <x v="768"/>
    <x v="0"/>
    <x v="18"/>
    <x v="0"/>
    <x v="82"/>
    <x v="1"/>
    <x v="537"/>
    <x v="57"/>
    <x v="1"/>
    <x v="1"/>
    <x v="0"/>
    <x v="1564"/>
  </r>
  <r>
    <x v="0"/>
    <x v="596"/>
    <x v="464"/>
    <x v="47"/>
    <x v="152"/>
    <x v="132"/>
    <x v="22"/>
    <x v="1486"/>
    <x v="35"/>
    <x v="197"/>
    <x v="1033"/>
    <x v="1209"/>
    <x v="1550"/>
    <x v="1548"/>
    <x v="1499"/>
    <x v="3"/>
    <x v="1539"/>
    <x v="1550"/>
    <x v="737"/>
    <x v="0"/>
    <x v="0"/>
    <x v="2"/>
    <x v="116"/>
    <x v="25"/>
    <x v="570"/>
    <x v="43"/>
    <x v="3"/>
    <x v="291"/>
    <x v="0"/>
    <x v="1565"/>
  </r>
  <r>
    <x v="0"/>
    <x v="677"/>
    <x v="444"/>
    <x v="7"/>
    <x v="62"/>
    <x v="55"/>
    <x v="25"/>
    <x v="1487"/>
    <x v="125"/>
    <x v="26"/>
    <x v="35"/>
    <x v="69"/>
    <x v="1551"/>
    <x v="1549"/>
    <x v="1500"/>
    <x v="2"/>
    <x v="1540"/>
    <x v="1551"/>
    <x v="469"/>
    <x v="0"/>
    <x v="0"/>
    <x v="0"/>
    <x v="116"/>
    <x v="9"/>
    <x v="10"/>
    <x v="18"/>
    <x v="1"/>
    <x v="38"/>
    <x v="0"/>
    <x v="1566"/>
  </r>
  <r>
    <x v="0"/>
    <x v="171"/>
    <x v="465"/>
    <x v="128"/>
    <x v="123"/>
    <x v="99"/>
    <x v="22"/>
    <x v="1488"/>
    <x v="494"/>
    <x v="639"/>
    <x v="595"/>
    <x v="1210"/>
    <x v="1552"/>
    <x v="1550"/>
    <x v="1501"/>
    <x v="0"/>
    <x v="1541"/>
    <x v="1552"/>
    <x v="769"/>
    <x v="0"/>
    <x v="0"/>
    <x v="3"/>
    <x v="144"/>
    <x v="13"/>
    <x v="12"/>
    <x v="8"/>
    <x v="8"/>
    <x v="292"/>
    <x v="0"/>
    <x v="1567"/>
  </r>
  <r>
    <x v="0"/>
    <x v="678"/>
    <x v="266"/>
    <x v="5"/>
    <x v="0"/>
    <x v="326"/>
    <x v="57"/>
    <x v="1489"/>
    <x v="270"/>
    <x v="192"/>
    <x v="1034"/>
    <x v="440"/>
    <x v="1553"/>
    <x v="1551"/>
    <x v="1502"/>
    <x v="4"/>
    <x v="1542"/>
    <x v="1553"/>
    <x v="290"/>
    <x v="0"/>
    <x v="0"/>
    <x v="4"/>
    <x v="144"/>
    <x v="15"/>
    <x v="103"/>
    <x v="8"/>
    <x v="1"/>
    <x v="293"/>
    <x v="0"/>
    <x v="1568"/>
  </r>
  <r>
    <x v="1"/>
    <x v="151"/>
    <x v="176"/>
    <x v="72"/>
    <x v="0"/>
    <x v="448"/>
    <x v="67"/>
    <x v="1490"/>
    <x v="150"/>
    <x v="118"/>
    <x v="971"/>
    <x v="845"/>
    <x v="1554"/>
    <x v="1552"/>
    <x v="1503"/>
    <x v="4"/>
    <x v="1543"/>
    <x v="1554"/>
    <x v="509"/>
    <x v="0"/>
    <x v="0"/>
    <x v="4"/>
    <x v="144"/>
    <x v="7"/>
    <x v="280"/>
    <x v="9"/>
    <x v="10"/>
    <x v="294"/>
    <x v="0"/>
    <x v="1569"/>
  </r>
  <r>
    <x v="0"/>
    <x v="679"/>
    <x v="329"/>
    <x v="41"/>
    <x v="0"/>
    <x v="659"/>
    <x v="228"/>
    <x v="4"/>
    <x v="495"/>
    <x v="640"/>
    <x v="1035"/>
    <x v="1211"/>
    <x v="1555"/>
    <x v="1553"/>
    <x v="1504"/>
    <x v="2"/>
    <x v="1544"/>
    <x v="1555"/>
    <x v="755"/>
    <x v="0"/>
    <x v="0"/>
    <x v="2"/>
    <x v="144"/>
    <x v="14"/>
    <x v="571"/>
    <x v="20"/>
    <x v="1"/>
    <x v="295"/>
    <x v="0"/>
    <x v="1570"/>
  </r>
  <r>
    <x v="0"/>
    <x v="420"/>
    <x v="344"/>
    <x v="136"/>
    <x v="0"/>
    <x v="23"/>
    <x v="2"/>
    <x v="1491"/>
    <x v="269"/>
    <x v="42"/>
    <x v="11"/>
    <x v="245"/>
    <x v="1556"/>
    <x v="1554"/>
    <x v="1505"/>
    <x v="1"/>
    <x v="1545"/>
    <x v="1556"/>
    <x v="265"/>
    <x v="0"/>
    <x v="0"/>
    <x v="4"/>
    <x v="169"/>
    <x v="28"/>
    <x v="10"/>
    <x v="3"/>
    <x v="1"/>
    <x v="64"/>
    <x v="0"/>
    <x v="1571"/>
  </r>
  <r>
    <x v="0"/>
    <x v="680"/>
    <x v="111"/>
    <x v="58"/>
    <x v="193"/>
    <x v="620"/>
    <x v="355"/>
    <x v="1492"/>
    <x v="127"/>
    <x v="641"/>
    <x v="1036"/>
    <x v="1212"/>
    <x v="1557"/>
    <x v="1555"/>
    <x v="1506"/>
    <x v="0"/>
    <x v="1546"/>
    <x v="1557"/>
    <x v="277"/>
    <x v="0"/>
    <x v="0"/>
    <x v="4"/>
    <x v="144"/>
    <x v="5"/>
    <x v="315"/>
    <x v="22"/>
    <x v="1"/>
    <x v="1"/>
    <x v="0"/>
    <x v="1572"/>
  </r>
  <r>
    <x v="0"/>
    <x v="392"/>
    <x v="372"/>
    <x v="14"/>
    <x v="169"/>
    <x v="669"/>
    <x v="43"/>
    <x v="1493"/>
    <x v="419"/>
    <x v="642"/>
    <x v="1037"/>
    <x v="1213"/>
    <x v="1558"/>
    <x v="1556"/>
    <x v="1507"/>
    <x v="1"/>
    <x v="1547"/>
    <x v="1558"/>
    <x v="142"/>
    <x v="0"/>
    <x v="0"/>
    <x v="2"/>
    <x v="170"/>
    <x v="16"/>
    <x v="218"/>
    <x v="11"/>
    <x v="1"/>
    <x v="1"/>
    <x v="0"/>
    <x v="1573"/>
  </r>
  <r>
    <x v="0"/>
    <x v="681"/>
    <x v="335"/>
    <x v="18"/>
    <x v="116"/>
    <x v="670"/>
    <x v="14"/>
    <x v="1494"/>
    <x v="496"/>
    <x v="61"/>
    <x v="1038"/>
    <x v="1214"/>
    <x v="1559"/>
    <x v="1557"/>
    <x v="1508"/>
    <x v="4"/>
    <x v="1548"/>
    <x v="1559"/>
    <x v="360"/>
    <x v="0"/>
    <x v="1"/>
    <x v="4"/>
    <x v="169"/>
    <x v="6"/>
    <x v="572"/>
    <x v="22"/>
    <x v="1"/>
    <x v="1"/>
    <x v="0"/>
    <x v="1574"/>
  </r>
  <r>
    <x v="0"/>
    <x v="207"/>
    <x v="240"/>
    <x v="137"/>
    <x v="90"/>
    <x v="127"/>
    <x v="2"/>
    <x v="1495"/>
    <x v="425"/>
    <x v="209"/>
    <x v="1039"/>
    <x v="572"/>
    <x v="1560"/>
    <x v="1558"/>
    <x v="1509"/>
    <x v="0"/>
    <x v="1549"/>
    <x v="1560"/>
    <x v="694"/>
    <x v="0"/>
    <x v="0"/>
    <x v="2"/>
    <x v="145"/>
    <x v="39"/>
    <x v="406"/>
    <x v="13"/>
    <x v="3"/>
    <x v="1"/>
    <x v="0"/>
    <x v="1575"/>
  </r>
  <r>
    <x v="0"/>
    <x v="43"/>
    <x v="466"/>
    <x v="67"/>
    <x v="0"/>
    <x v="517"/>
    <x v="11"/>
    <x v="1496"/>
    <x v="306"/>
    <x v="156"/>
    <x v="42"/>
    <x v="1215"/>
    <x v="1561"/>
    <x v="1559"/>
    <x v="203"/>
    <x v="0"/>
    <x v="1550"/>
    <x v="1561"/>
    <x v="228"/>
    <x v="0"/>
    <x v="0"/>
    <x v="4"/>
    <x v="145"/>
    <x v="3"/>
    <x v="483"/>
    <x v="11"/>
    <x v="1"/>
    <x v="163"/>
    <x v="0"/>
    <x v="1576"/>
  </r>
  <r>
    <x v="0"/>
    <x v="682"/>
    <x v="313"/>
    <x v="51"/>
    <x v="171"/>
    <x v="491"/>
    <x v="356"/>
    <x v="1497"/>
    <x v="18"/>
    <x v="643"/>
    <x v="1040"/>
    <x v="735"/>
    <x v="1562"/>
    <x v="1560"/>
    <x v="1510"/>
    <x v="4"/>
    <x v="1551"/>
    <x v="1562"/>
    <x v="642"/>
    <x v="0"/>
    <x v="1"/>
    <x v="2"/>
    <x v="148"/>
    <x v="28"/>
    <x v="464"/>
    <x v="22"/>
    <x v="1"/>
    <x v="1"/>
    <x v="0"/>
    <x v="1577"/>
  </r>
  <r>
    <x v="0"/>
    <x v="470"/>
    <x v="76"/>
    <x v="77"/>
    <x v="0"/>
    <x v="671"/>
    <x v="57"/>
    <x v="1498"/>
    <x v="497"/>
    <x v="192"/>
    <x v="203"/>
    <x v="1216"/>
    <x v="1563"/>
    <x v="1561"/>
    <x v="1511"/>
    <x v="0"/>
    <x v="1552"/>
    <x v="1563"/>
    <x v="555"/>
    <x v="0"/>
    <x v="0"/>
    <x v="4"/>
    <x v="131"/>
    <x v="11"/>
    <x v="30"/>
    <x v="14"/>
    <x v="15"/>
    <x v="296"/>
    <x v="0"/>
    <x v="1578"/>
  </r>
  <r>
    <x v="0"/>
    <x v="615"/>
    <x v="126"/>
    <x v="59"/>
    <x v="93"/>
    <x v="227"/>
    <x v="25"/>
    <x v="1499"/>
    <x v="498"/>
    <x v="82"/>
    <x v="361"/>
    <x v="1217"/>
    <x v="1564"/>
    <x v="1562"/>
    <x v="1512"/>
    <x v="1"/>
    <x v="1553"/>
    <x v="1564"/>
    <x v="679"/>
    <x v="0"/>
    <x v="0"/>
    <x v="0"/>
    <x v="145"/>
    <x v="18"/>
    <x v="314"/>
    <x v="8"/>
    <x v="1"/>
    <x v="1"/>
    <x v="0"/>
    <x v="1579"/>
  </r>
  <r>
    <x v="0"/>
    <x v="439"/>
    <x v="336"/>
    <x v="33"/>
    <x v="238"/>
    <x v="672"/>
    <x v="266"/>
    <x v="1500"/>
    <x v="499"/>
    <x v="483"/>
    <x v="1041"/>
    <x v="1218"/>
    <x v="1565"/>
    <x v="1563"/>
    <x v="1299"/>
    <x v="0"/>
    <x v="1554"/>
    <x v="1565"/>
    <x v="736"/>
    <x v="0"/>
    <x v="0"/>
    <x v="0"/>
    <x v="145"/>
    <x v="22"/>
    <x v="161"/>
    <x v="22"/>
    <x v="3"/>
    <x v="1"/>
    <x v="0"/>
    <x v="1580"/>
  </r>
  <r>
    <x v="0"/>
    <x v="303"/>
    <x v="188"/>
    <x v="34"/>
    <x v="167"/>
    <x v="167"/>
    <x v="35"/>
    <x v="1501"/>
    <x v="500"/>
    <x v="184"/>
    <x v="158"/>
    <x v="212"/>
    <x v="1566"/>
    <x v="1564"/>
    <x v="1513"/>
    <x v="0"/>
    <x v="1555"/>
    <x v="1566"/>
    <x v="770"/>
    <x v="0"/>
    <x v="0"/>
    <x v="0"/>
    <x v="145"/>
    <x v="21"/>
    <x v="105"/>
    <x v="11"/>
    <x v="1"/>
    <x v="1"/>
    <x v="0"/>
    <x v="1581"/>
  </r>
  <r>
    <x v="0"/>
    <x v="99"/>
    <x v="131"/>
    <x v="38"/>
    <x v="77"/>
    <x v="109"/>
    <x v="56"/>
    <x v="147"/>
    <x v="67"/>
    <x v="98"/>
    <x v="126"/>
    <x v="134"/>
    <x v="149"/>
    <x v="1565"/>
    <x v="147"/>
    <x v="2"/>
    <x v="149"/>
    <x v="149"/>
    <x v="144"/>
    <x v="0"/>
    <x v="0"/>
    <x v="0"/>
    <x v="35"/>
    <x v="6"/>
    <x v="89"/>
    <x v="34"/>
    <x v="1"/>
    <x v="66"/>
    <x v="0"/>
    <x v="1582"/>
  </r>
  <r>
    <x v="0"/>
    <x v="683"/>
    <x v="298"/>
    <x v="77"/>
    <x v="0"/>
    <x v="658"/>
    <x v="8"/>
    <x v="1502"/>
    <x v="311"/>
    <x v="8"/>
    <x v="1042"/>
    <x v="1169"/>
    <x v="1567"/>
    <x v="1566"/>
    <x v="1514"/>
    <x v="2"/>
    <x v="1556"/>
    <x v="1567"/>
    <x v="623"/>
    <x v="0"/>
    <x v="0"/>
    <x v="4"/>
    <x v="145"/>
    <x v="2"/>
    <x v="47"/>
    <x v="9"/>
    <x v="1"/>
    <x v="82"/>
    <x v="0"/>
    <x v="1583"/>
  </r>
  <r>
    <x v="0"/>
    <x v="15"/>
    <x v="368"/>
    <x v="72"/>
    <x v="10"/>
    <x v="548"/>
    <x v="164"/>
    <x v="1503"/>
    <x v="408"/>
    <x v="304"/>
    <x v="139"/>
    <x v="856"/>
    <x v="1568"/>
    <x v="1567"/>
    <x v="1515"/>
    <x v="2"/>
    <x v="1557"/>
    <x v="1568"/>
    <x v="549"/>
    <x v="0"/>
    <x v="0"/>
    <x v="4"/>
    <x v="171"/>
    <x v="16"/>
    <x v="24"/>
    <x v="8"/>
    <x v="3"/>
    <x v="1"/>
    <x v="0"/>
    <x v="1584"/>
  </r>
  <r>
    <x v="1"/>
    <x v="14"/>
    <x v="386"/>
    <x v="18"/>
    <x v="9"/>
    <x v="673"/>
    <x v="184"/>
    <x v="1504"/>
    <x v="501"/>
    <x v="345"/>
    <x v="1043"/>
    <x v="1219"/>
    <x v="1569"/>
    <x v="1568"/>
    <x v="1516"/>
    <x v="0"/>
    <x v="1558"/>
    <x v="1569"/>
    <x v="771"/>
    <x v="0"/>
    <x v="0"/>
    <x v="0"/>
    <x v="91"/>
    <x v="19"/>
    <x v="161"/>
    <x v="13"/>
    <x v="3"/>
    <x v="1"/>
    <x v="0"/>
    <x v="1585"/>
  </r>
  <r>
    <x v="0"/>
    <x v="206"/>
    <x v="356"/>
    <x v="41"/>
    <x v="145"/>
    <x v="674"/>
    <x v="25"/>
    <x v="1505"/>
    <x v="200"/>
    <x v="26"/>
    <x v="288"/>
    <x v="1220"/>
    <x v="1570"/>
    <x v="1569"/>
    <x v="1517"/>
    <x v="0"/>
    <x v="1559"/>
    <x v="1570"/>
    <x v="316"/>
    <x v="0"/>
    <x v="0"/>
    <x v="0"/>
    <x v="172"/>
    <x v="15"/>
    <x v="6"/>
    <x v="21"/>
    <x v="3"/>
    <x v="1"/>
    <x v="0"/>
    <x v="1586"/>
  </r>
  <r>
    <x v="0"/>
    <x v="684"/>
    <x v="273"/>
    <x v="26"/>
    <x v="85"/>
    <x v="1"/>
    <x v="22"/>
    <x v="1506"/>
    <x v="125"/>
    <x v="374"/>
    <x v="1044"/>
    <x v="798"/>
    <x v="1571"/>
    <x v="1570"/>
    <x v="1518"/>
    <x v="0"/>
    <x v="1560"/>
    <x v="1571"/>
    <x v="566"/>
    <x v="0"/>
    <x v="0"/>
    <x v="4"/>
    <x v="116"/>
    <x v="18"/>
    <x v="30"/>
    <x v="21"/>
    <x v="3"/>
    <x v="1"/>
    <x v="0"/>
    <x v="1587"/>
  </r>
  <r>
    <x v="0"/>
    <x v="29"/>
    <x v="146"/>
    <x v="112"/>
    <x v="21"/>
    <x v="675"/>
    <x v="10"/>
    <x v="1507"/>
    <x v="21"/>
    <x v="33"/>
    <x v="37"/>
    <x v="1221"/>
    <x v="1572"/>
    <x v="1571"/>
    <x v="1519"/>
    <x v="1"/>
    <x v="1561"/>
    <x v="1572"/>
    <x v="199"/>
    <x v="0"/>
    <x v="0"/>
    <x v="3"/>
    <x v="116"/>
    <x v="16"/>
    <x v="30"/>
    <x v="24"/>
    <x v="3"/>
    <x v="1"/>
    <x v="0"/>
    <x v="1588"/>
  </r>
  <r>
    <x v="0"/>
    <x v="156"/>
    <x v="277"/>
    <x v="38"/>
    <x v="114"/>
    <x v="189"/>
    <x v="11"/>
    <x v="1508"/>
    <x v="263"/>
    <x v="63"/>
    <x v="303"/>
    <x v="238"/>
    <x v="1573"/>
    <x v="1572"/>
    <x v="1520"/>
    <x v="0"/>
    <x v="1562"/>
    <x v="1573"/>
    <x v="456"/>
    <x v="0"/>
    <x v="0"/>
    <x v="4"/>
    <x v="131"/>
    <x v="24"/>
    <x v="205"/>
    <x v="13"/>
    <x v="1"/>
    <x v="1"/>
    <x v="0"/>
    <x v="1589"/>
  </r>
  <r>
    <x v="0"/>
    <x v="685"/>
    <x v="418"/>
    <x v="27"/>
    <x v="80"/>
    <x v="254"/>
    <x v="30"/>
    <x v="1509"/>
    <x v="17"/>
    <x v="50"/>
    <x v="1045"/>
    <x v="1222"/>
    <x v="1574"/>
    <x v="1573"/>
    <x v="1521"/>
    <x v="0"/>
    <x v="1563"/>
    <x v="1574"/>
    <x v="291"/>
    <x v="0"/>
    <x v="0"/>
    <x v="0"/>
    <x v="116"/>
    <x v="3"/>
    <x v="570"/>
    <x v="2"/>
    <x v="1"/>
    <x v="121"/>
    <x v="0"/>
    <x v="1590"/>
  </r>
  <r>
    <x v="0"/>
    <x v="686"/>
    <x v="450"/>
    <x v="11"/>
    <x v="69"/>
    <x v="676"/>
    <x v="2"/>
    <x v="1510"/>
    <x v="270"/>
    <x v="42"/>
    <x v="63"/>
    <x v="1223"/>
    <x v="1575"/>
    <x v="1574"/>
    <x v="1522"/>
    <x v="4"/>
    <x v="1564"/>
    <x v="1575"/>
    <x v="398"/>
    <x v="0"/>
    <x v="0"/>
    <x v="2"/>
    <x v="145"/>
    <x v="5"/>
    <x v="13"/>
    <x v="12"/>
    <x v="3"/>
    <x v="1"/>
    <x v="0"/>
    <x v="1591"/>
  </r>
  <r>
    <x v="0"/>
    <x v="666"/>
    <x v="271"/>
    <x v="60"/>
    <x v="281"/>
    <x v="1"/>
    <x v="186"/>
    <x v="1511"/>
    <x v="122"/>
    <x v="350"/>
    <x v="1046"/>
    <x v="302"/>
    <x v="1576"/>
    <x v="1575"/>
    <x v="1523"/>
    <x v="1"/>
    <x v="1565"/>
    <x v="1576"/>
    <x v="382"/>
    <x v="0"/>
    <x v="0"/>
    <x v="2"/>
    <x v="116"/>
    <x v="21"/>
    <x v="249"/>
    <x v="6"/>
    <x v="1"/>
    <x v="1"/>
    <x v="0"/>
    <x v="1592"/>
  </r>
  <r>
    <x v="0"/>
    <x v="131"/>
    <x v="209"/>
    <x v="24"/>
    <x v="97"/>
    <x v="284"/>
    <x v="327"/>
    <x v="1512"/>
    <x v="2"/>
    <x v="582"/>
    <x v="424"/>
    <x v="1003"/>
    <x v="1577"/>
    <x v="1576"/>
    <x v="1524"/>
    <x v="1"/>
    <x v="1566"/>
    <x v="1577"/>
    <x v="187"/>
    <x v="0"/>
    <x v="0"/>
    <x v="2"/>
    <x v="116"/>
    <x v="22"/>
    <x v="285"/>
    <x v="32"/>
    <x v="1"/>
    <x v="1"/>
    <x v="0"/>
    <x v="1593"/>
  </r>
  <r>
    <x v="0"/>
    <x v="599"/>
    <x v="40"/>
    <x v="5"/>
    <x v="273"/>
    <x v="286"/>
    <x v="10"/>
    <x v="1513"/>
    <x v="113"/>
    <x v="413"/>
    <x v="269"/>
    <x v="376"/>
    <x v="1578"/>
    <x v="1577"/>
    <x v="1525"/>
    <x v="0"/>
    <x v="1567"/>
    <x v="1578"/>
    <x v="451"/>
    <x v="0"/>
    <x v="0"/>
    <x v="0"/>
    <x v="116"/>
    <x v="9"/>
    <x v="30"/>
    <x v="13"/>
    <x v="3"/>
    <x v="25"/>
    <x v="0"/>
    <x v="1594"/>
  </r>
  <r>
    <x v="1"/>
    <x v="436"/>
    <x v="104"/>
    <x v="80"/>
    <x v="171"/>
    <x v="263"/>
    <x v="153"/>
    <x v="1514"/>
    <x v="300"/>
    <x v="282"/>
    <x v="265"/>
    <x v="1224"/>
    <x v="1579"/>
    <x v="1578"/>
    <x v="1526"/>
    <x v="0"/>
    <x v="1568"/>
    <x v="1579"/>
    <x v="633"/>
    <x v="0"/>
    <x v="0"/>
    <x v="0"/>
    <x v="78"/>
    <x v="14"/>
    <x v="179"/>
    <x v="10"/>
    <x v="1"/>
    <x v="1"/>
    <x v="0"/>
    <x v="1595"/>
  </r>
  <r>
    <x v="0"/>
    <x v="15"/>
    <x v="398"/>
    <x v="77"/>
    <x v="10"/>
    <x v="86"/>
    <x v="0"/>
    <x v="1515"/>
    <x v="219"/>
    <x v="327"/>
    <x v="975"/>
    <x v="1225"/>
    <x v="1580"/>
    <x v="1579"/>
    <x v="1527"/>
    <x v="0"/>
    <x v="1569"/>
    <x v="1580"/>
    <x v="310"/>
    <x v="0"/>
    <x v="0"/>
    <x v="0"/>
    <x v="30"/>
    <x v="23"/>
    <x v="30"/>
    <x v="2"/>
    <x v="3"/>
    <x v="9"/>
    <x v="0"/>
    <x v="1596"/>
  </r>
  <r>
    <x v="0"/>
    <x v="432"/>
    <x v="349"/>
    <x v="78"/>
    <x v="77"/>
    <x v="431"/>
    <x v="47"/>
    <x v="1516"/>
    <x v="311"/>
    <x v="79"/>
    <x v="768"/>
    <x v="629"/>
    <x v="1581"/>
    <x v="1580"/>
    <x v="1528"/>
    <x v="0"/>
    <x v="1570"/>
    <x v="1581"/>
    <x v="128"/>
    <x v="0"/>
    <x v="0"/>
    <x v="0"/>
    <x v="116"/>
    <x v="16"/>
    <x v="460"/>
    <x v="22"/>
    <x v="1"/>
    <x v="1"/>
    <x v="0"/>
    <x v="1597"/>
  </r>
  <r>
    <x v="0"/>
    <x v="293"/>
    <x v="339"/>
    <x v="70"/>
    <x v="0"/>
    <x v="466"/>
    <x v="2"/>
    <x v="1517"/>
    <x v="215"/>
    <x v="203"/>
    <x v="671"/>
    <x v="1226"/>
    <x v="1582"/>
    <x v="1581"/>
    <x v="1529"/>
    <x v="4"/>
    <x v="1571"/>
    <x v="1582"/>
    <x v="428"/>
    <x v="0"/>
    <x v="0"/>
    <x v="3"/>
    <x v="160"/>
    <x v="18"/>
    <x v="415"/>
    <x v="5"/>
    <x v="3"/>
    <x v="1"/>
    <x v="0"/>
    <x v="1598"/>
  </r>
  <r>
    <x v="0"/>
    <x v="632"/>
    <x v="401"/>
    <x v="33"/>
    <x v="19"/>
    <x v="210"/>
    <x v="317"/>
    <x v="1518"/>
    <x v="125"/>
    <x v="572"/>
    <x v="880"/>
    <x v="267"/>
    <x v="1583"/>
    <x v="1582"/>
    <x v="1530"/>
    <x v="3"/>
    <x v="1572"/>
    <x v="1583"/>
    <x v="426"/>
    <x v="0"/>
    <x v="0"/>
    <x v="2"/>
    <x v="140"/>
    <x v="25"/>
    <x v="92"/>
    <x v="5"/>
    <x v="3"/>
    <x v="1"/>
    <x v="0"/>
    <x v="1599"/>
  </r>
  <r>
    <x v="0"/>
    <x v="68"/>
    <x v="405"/>
    <x v="46"/>
    <x v="53"/>
    <x v="677"/>
    <x v="2"/>
    <x v="1519"/>
    <x v="171"/>
    <x v="130"/>
    <x v="40"/>
    <x v="1227"/>
    <x v="1584"/>
    <x v="1583"/>
    <x v="1531"/>
    <x v="0"/>
    <x v="1573"/>
    <x v="1584"/>
    <x v="772"/>
    <x v="0"/>
    <x v="0"/>
    <x v="4"/>
    <x v="152"/>
    <x v="16"/>
    <x v="6"/>
    <x v="35"/>
    <x v="1"/>
    <x v="36"/>
    <x v="0"/>
    <x v="1600"/>
  </r>
  <r>
    <x v="0"/>
    <x v="137"/>
    <x v="467"/>
    <x v="52"/>
    <x v="102"/>
    <x v="203"/>
    <x v="35"/>
    <x v="1520"/>
    <x v="222"/>
    <x v="644"/>
    <x v="1047"/>
    <x v="1228"/>
    <x v="1585"/>
    <x v="1584"/>
    <x v="1532"/>
    <x v="0"/>
    <x v="1574"/>
    <x v="1585"/>
    <x v="773"/>
    <x v="0"/>
    <x v="26"/>
    <x v="4"/>
    <x v="116"/>
    <x v="0"/>
    <x v="573"/>
    <x v="25"/>
    <x v="3"/>
    <x v="31"/>
    <x v="0"/>
    <x v="1601"/>
  </r>
  <r>
    <x v="0"/>
    <x v="687"/>
    <x v="332"/>
    <x v="101"/>
    <x v="44"/>
    <x v="152"/>
    <x v="32"/>
    <x v="1521"/>
    <x v="21"/>
    <x v="59"/>
    <x v="1048"/>
    <x v="1229"/>
    <x v="1586"/>
    <x v="1585"/>
    <x v="1533"/>
    <x v="0"/>
    <x v="1575"/>
    <x v="1586"/>
    <x v="139"/>
    <x v="0"/>
    <x v="0"/>
    <x v="2"/>
    <x v="116"/>
    <x v="14"/>
    <x v="518"/>
    <x v="15"/>
    <x v="3"/>
    <x v="1"/>
    <x v="0"/>
    <x v="1602"/>
  </r>
  <r>
    <x v="0"/>
    <x v="326"/>
    <x v="286"/>
    <x v="67"/>
    <x v="121"/>
    <x v="50"/>
    <x v="357"/>
    <x v="1522"/>
    <x v="171"/>
    <x v="645"/>
    <x v="1049"/>
    <x v="1230"/>
    <x v="1587"/>
    <x v="1586"/>
    <x v="1340"/>
    <x v="0"/>
    <x v="1576"/>
    <x v="1587"/>
    <x v="584"/>
    <x v="0"/>
    <x v="0"/>
    <x v="4"/>
    <x v="131"/>
    <x v="17"/>
    <x v="441"/>
    <x v="25"/>
    <x v="1"/>
    <x v="85"/>
    <x v="0"/>
    <x v="1603"/>
  </r>
  <r>
    <x v="0"/>
    <x v="326"/>
    <x v="468"/>
    <x v="5"/>
    <x v="121"/>
    <x v="162"/>
    <x v="17"/>
    <x v="1523"/>
    <x v="291"/>
    <x v="303"/>
    <x v="65"/>
    <x v="1231"/>
    <x v="1588"/>
    <x v="1587"/>
    <x v="1534"/>
    <x v="1"/>
    <x v="1577"/>
    <x v="1588"/>
    <x v="52"/>
    <x v="0"/>
    <x v="0"/>
    <x v="0"/>
    <x v="116"/>
    <x v="14"/>
    <x v="6"/>
    <x v="14"/>
    <x v="1"/>
    <x v="57"/>
    <x v="0"/>
    <x v="1604"/>
  </r>
  <r>
    <x v="0"/>
    <x v="370"/>
    <x v="118"/>
    <x v="33"/>
    <x v="201"/>
    <x v="156"/>
    <x v="13"/>
    <x v="1524"/>
    <x v="70"/>
    <x v="158"/>
    <x v="705"/>
    <x v="192"/>
    <x v="1589"/>
    <x v="1588"/>
    <x v="1535"/>
    <x v="4"/>
    <x v="1578"/>
    <x v="1589"/>
    <x v="172"/>
    <x v="0"/>
    <x v="0"/>
    <x v="4"/>
    <x v="116"/>
    <x v="15"/>
    <x v="114"/>
    <x v="10"/>
    <x v="3"/>
    <x v="1"/>
    <x v="0"/>
    <x v="1605"/>
  </r>
  <r>
    <x v="0"/>
    <x v="550"/>
    <x v="325"/>
    <x v="32"/>
    <x v="268"/>
    <x v="678"/>
    <x v="186"/>
    <x v="1525"/>
    <x v="17"/>
    <x v="350"/>
    <x v="961"/>
    <x v="1232"/>
    <x v="1590"/>
    <x v="1589"/>
    <x v="1536"/>
    <x v="0"/>
    <x v="1579"/>
    <x v="1590"/>
    <x v="774"/>
    <x v="0"/>
    <x v="0"/>
    <x v="0"/>
    <x v="163"/>
    <x v="14"/>
    <x v="56"/>
    <x v="0"/>
    <x v="1"/>
    <x v="116"/>
    <x v="0"/>
    <x v="1606"/>
  </r>
  <r>
    <x v="0"/>
    <x v="544"/>
    <x v="177"/>
    <x v="70"/>
    <x v="247"/>
    <x v="304"/>
    <x v="35"/>
    <x v="1526"/>
    <x v="127"/>
    <x v="65"/>
    <x v="1050"/>
    <x v="1233"/>
    <x v="1591"/>
    <x v="1590"/>
    <x v="1537"/>
    <x v="1"/>
    <x v="1580"/>
    <x v="1591"/>
    <x v="142"/>
    <x v="0"/>
    <x v="0"/>
    <x v="0"/>
    <x v="116"/>
    <x v="8"/>
    <x v="207"/>
    <x v="9"/>
    <x v="1"/>
    <x v="1"/>
    <x v="0"/>
    <x v="1607"/>
  </r>
  <r>
    <x v="0"/>
    <x v="163"/>
    <x v="333"/>
    <x v="58"/>
    <x v="80"/>
    <x v="246"/>
    <x v="0"/>
    <x v="1527"/>
    <x v="502"/>
    <x v="646"/>
    <x v="638"/>
    <x v="314"/>
    <x v="1592"/>
    <x v="1591"/>
    <x v="1538"/>
    <x v="4"/>
    <x v="1581"/>
    <x v="1592"/>
    <x v="629"/>
    <x v="0"/>
    <x v="0"/>
    <x v="3"/>
    <x v="116"/>
    <x v="0"/>
    <x v="30"/>
    <x v="39"/>
    <x v="3"/>
    <x v="1"/>
    <x v="0"/>
    <x v="1608"/>
  </r>
  <r>
    <x v="0"/>
    <x v="688"/>
    <x v="438"/>
    <x v="98"/>
    <x v="0"/>
    <x v="679"/>
    <x v="358"/>
    <x v="1528"/>
    <x v="157"/>
    <x v="647"/>
    <x v="1051"/>
    <x v="1234"/>
    <x v="1593"/>
    <x v="1592"/>
    <x v="1539"/>
    <x v="0"/>
    <x v="1582"/>
    <x v="1593"/>
    <x v="769"/>
    <x v="0"/>
    <x v="8"/>
    <x v="3"/>
    <x v="116"/>
    <x v="21"/>
    <x v="431"/>
    <x v="9"/>
    <x v="3"/>
    <x v="297"/>
    <x v="0"/>
    <x v="1609"/>
  </r>
  <r>
    <x v="0"/>
    <x v="531"/>
    <x v="421"/>
    <x v="5"/>
    <x v="0"/>
    <x v="564"/>
    <x v="55"/>
    <x v="1529"/>
    <x v="17"/>
    <x v="648"/>
    <x v="228"/>
    <x v="1235"/>
    <x v="1594"/>
    <x v="1593"/>
    <x v="1540"/>
    <x v="1"/>
    <x v="1583"/>
    <x v="1594"/>
    <x v="558"/>
    <x v="0"/>
    <x v="0"/>
    <x v="4"/>
    <x v="116"/>
    <x v="23"/>
    <x v="155"/>
    <x v="4"/>
    <x v="3"/>
    <x v="298"/>
    <x v="0"/>
    <x v="1610"/>
  </r>
  <r>
    <x v="0"/>
    <x v="103"/>
    <x v="394"/>
    <x v="82"/>
    <x v="81"/>
    <x v="242"/>
    <x v="25"/>
    <x v="1530"/>
    <x v="481"/>
    <x v="82"/>
    <x v="40"/>
    <x v="93"/>
    <x v="1595"/>
    <x v="1594"/>
    <x v="1541"/>
    <x v="4"/>
    <x v="1584"/>
    <x v="1595"/>
    <x v="166"/>
    <x v="0"/>
    <x v="0"/>
    <x v="4"/>
    <x v="116"/>
    <x v="24"/>
    <x v="6"/>
    <x v="7"/>
    <x v="3"/>
    <x v="59"/>
    <x v="0"/>
    <x v="1611"/>
  </r>
  <r>
    <x v="0"/>
    <x v="689"/>
    <x v="404"/>
    <x v="26"/>
    <x v="285"/>
    <x v="680"/>
    <x v="6"/>
    <x v="1531"/>
    <x v="17"/>
    <x v="6"/>
    <x v="1052"/>
    <x v="1236"/>
    <x v="1596"/>
    <x v="1595"/>
    <x v="1542"/>
    <x v="0"/>
    <x v="1585"/>
    <x v="1596"/>
    <x v="530"/>
    <x v="0"/>
    <x v="0"/>
    <x v="4"/>
    <x v="131"/>
    <x v="0"/>
    <x v="10"/>
    <x v="38"/>
    <x v="3"/>
    <x v="64"/>
    <x v="0"/>
    <x v="1612"/>
  </r>
  <r>
    <x v="0"/>
    <x v="690"/>
    <x v="259"/>
    <x v="31"/>
    <x v="286"/>
    <x v="109"/>
    <x v="359"/>
    <x v="1532"/>
    <x v="200"/>
    <x v="649"/>
    <x v="1053"/>
    <x v="1237"/>
    <x v="1597"/>
    <x v="1596"/>
    <x v="1543"/>
    <x v="1"/>
    <x v="1586"/>
    <x v="1597"/>
    <x v="604"/>
    <x v="0"/>
    <x v="0"/>
    <x v="4"/>
    <x v="116"/>
    <x v="19"/>
    <x v="361"/>
    <x v="13"/>
    <x v="3"/>
    <x v="1"/>
    <x v="0"/>
    <x v="1613"/>
  </r>
  <r>
    <x v="0"/>
    <x v="691"/>
    <x v="469"/>
    <x v="42"/>
    <x v="12"/>
    <x v="321"/>
    <x v="360"/>
    <x v="1533"/>
    <x v="503"/>
    <x v="650"/>
    <x v="1054"/>
    <x v="1238"/>
    <x v="1598"/>
    <x v="1597"/>
    <x v="1544"/>
    <x v="0"/>
    <x v="1587"/>
    <x v="1598"/>
    <x v="105"/>
    <x v="0"/>
    <x v="0"/>
    <x v="0"/>
    <x v="82"/>
    <x v="9"/>
    <x v="332"/>
    <x v="8"/>
    <x v="1"/>
    <x v="299"/>
    <x v="0"/>
    <x v="1614"/>
  </r>
  <r>
    <x v="0"/>
    <x v="692"/>
    <x v="470"/>
    <x v="73"/>
    <x v="0"/>
    <x v="95"/>
    <x v="29"/>
    <x v="1534"/>
    <x v="380"/>
    <x v="58"/>
    <x v="259"/>
    <x v="1239"/>
    <x v="1599"/>
    <x v="1598"/>
    <x v="1545"/>
    <x v="0"/>
    <x v="1588"/>
    <x v="1599"/>
    <x v="602"/>
    <x v="0"/>
    <x v="0"/>
    <x v="4"/>
    <x v="116"/>
    <x v="3"/>
    <x v="44"/>
    <x v="38"/>
    <x v="1"/>
    <x v="300"/>
    <x v="0"/>
    <x v="1615"/>
  </r>
  <r>
    <x v="0"/>
    <x v="19"/>
    <x v="258"/>
    <x v="101"/>
    <x v="12"/>
    <x v="24"/>
    <x v="33"/>
    <x v="1535"/>
    <x v="219"/>
    <x v="149"/>
    <x v="581"/>
    <x v="1240"/>
    <x v="1600"/>
    <x v="1599"/>
    <x v="1546"/>
    <x v="1"/>
    <x v="1589"/>
    <x v="1600"/>
    <x v="138"/>
    <x v="0"/>
    <x v="0"/>
    <x v="0"/>
    <x v="116"/>
    <x v="18"/>
    <x v="371"/>
    <x v="28"/>
    <x v="3"/>
    <x v="301"/>
    <x v="0"/>
    <x v="1616"/>
  </r>
  <r>
    <x v="0"/>
    <x v="693"/>
    <x v="212"/>
    <x v="43"/>
    <x v="225"/>
    <x v="441"/>
    <x v="259"/>
    <x v="1536"/>
    <x v="301"/>
    <x v="516"/>
    <x v="1055"/>
    <x v="990"/>
    <x v="1601"/>
    <x v="1600"/>
    <x v="1547"/>
    <x v="0"/>
    <x v="1590"/>
    <x v="1601"/>
    <x v="417"/>
    <x v="0"/>
    <x v="5"/>
    <x v="3"/>
    <x v="116"/>
    <x v="16"/>
    <x v="29"/>
    <x v="2"/>
    <x v="3"/>
    <x v="9"/>
    <x v="0"/>
    <x v="1617"/>
  </r>
  <r>
    <x v="0"/>
    <x v="345"/>
    <x v="294"/>
    <x v="7"/>
    <x v="172"/>
    <x v="54"/>
    <x v="2"/>
    <x v="1537"/>
    <x v="105"/>
    <x v="209"/>
    <x v="332"/>
    <x v="1241"/>
    <x v="1602"/>
    <x v="1601"/>
    <x v="1548"/>
    <x v="4"/>
    <x v="1591"/>
    <x v="1602"/>
    <x v="128"/>
    <x v="0"/>
    <x v="0"/>
    <x v="0"/>
    <x v="116"/>
    <x v="3"/>
    <x v="223"/>
    <x v="22"/>
    <x v="1"/>
    <x v="1"/>
    <x v="0"/>
    <x v="1618"/>
  </r>
  <r>
    <x v="0"/>
    <x v="551"/>
    <x v="268"/>
    <x v="34"/>
    <x v="262"/>
    <x v="651"/>
    <x v="10"/>
    <x v="1538"/>
    <x v="105"/>
    <x v="375"/>
    <x v="1056"/>
    <x v="1242"/>
    <x v="1603"/>
    <x v="1602"/>
    <x v="1549"/>
    <x v="1"/>
    <x v="1592"/>
    <x v="1603"/>
    <x v="751"/>
    <x v="0"/>
    <x v="0"/>
    <x v="4"/>
    <x v="116"/>
    <x v="8"/>
    <x v="222"/>
    <x v="13"/>
    <x v="3"/>
    <x v="1"/>
    <x v="0"/>
    <x v="1619"/>
  </r>
  <r>
    <x v="0"/>
    <x v="113"/>
    <x v="359"/>
    <x v="104"/>
    <x v="88"/>
    <x v="113"/>
    <x v="358"/>
    <x v="4"/>
    <x v="291"/>
    <x v="651"/>
    <x v="859"/>
    <x v="1243"/>
    <x v="1604"/>
    <x v="1603"/>
    <x v="1550"/>
    <x v="1"/>
    <x v="1593"/>
    <x v="1604"/>
    <x v="73"/>
    <x v="0"/>
    <x v="0"/>
    <x v="5"/>
    <x v="4"/>
    <x v="4"/>
    <x v="496"/>
    <x v="50"/>
    <x v="0"/>
    <x v="1"/>
    <x v="0"/>
    <x v="1620"/>
  </r>
  <r>
    <x v="0"/>
    <x v="265"/>
    <x v="318"/>
    <x v="56"/>
    <x v="175"/>
    <x v="548"/>
    <x v="0"/>
    <x v="1539"/>
    <x v="80"/>
    <x v="652"/>
    <x v="1057"/>
    <x v="1244"/>
    <x v="1605"/>
    <x v="1604"/>
    <x v="1551"/>
    <x v="3"/>
    <x v="1594"/>
    <x v="1605"/>
    <x v="471"/>
    <x v="0"/>
    <x v="0"/>
    <x v="4"/>
    <x v="91"/>
    <x v="12"/>
    <x v="574"/>
    <x v="8"/>
    <x v="1"/>
    <x v="1"/>
    <x v="0"/>
    <x v="1621"/>
  </r>
  <r>
    <x v="0"/>
    <x v="694"/>
    <x v="118"/>
    <x v="77"/>
    <x v="78"/>
    <x v="681"/>
    <x v="35"/>
    <x v="1540"/>
    <x v="127"/>
    <x v="653"/>
    <x v="515"/>
    <x v="1245"/>
    <x v="1606"/>
    <x v="1605"/>
    <x v="1552"/>
    <x v="4"/>
    <x v="1595"/>
    <x v="1606"/>
    <x v="241"/>
    <x v="0"/>
    <x v="0"/>
    <x v="0"/>
    <x v="116"/>
    <x v="8"/>
    <x v="30"/>
    <x v="19"/>
    <x v="3"/>
    <x v="1"/>
    <x v="0"/>
    <x v="1622"/>
  </r>
  <r>
    <x v="0"/>
    <x v="695"/>
    <x v="409"/>
    <x v="37"/>
    <x v="0"/>
    <x v="678"/>
    <x v="197"/>
    <x v="1541"/>
    <x v="17"/>
    <x v="451"/>
    <x v="692"/>
    <x v="1232"/>
    <x v="1607"/>
    <x v="1606"/>
    <x v="1553"/>
    <x v="1"/>
    <x v="1596"/>
    <x v="1607"/>
    <x v="402"/>
    <x v="0"/>
    <x v="0"/>
    <x v="0"/>
    <x v="116"/>
    <x v="20"/>
    <x v="148"/>
    <x v="18"/>
    <x v="3"/>
    <x v="1"/>
    <x v="0"/>
    <x v="1623"/>
  </r>
  <r>
    <x v="0"/>
    <x v="236"/>
    <x v="194"/>
    <x v="71"/>
    <x v="28"/>
    <x v="678"/>
    <x v="2"/>
    <x v="1542"/>
    <x v="127"/>
    <x v="203"/>
    <x v="972"/>
    <x v="1246"/>
    <x v="1608"/>
    <x v="1607"/>
    <x v="1554"/>
    <x v="4"/>
    <x v="1597"/>
    <x v="1608"/>
    <x v="756"/>
    <x v="0"/>
    <x v="0"/>
    <x v="2"/>
    <x v="116"/>
    <x v="0"/>
    <x v="117"/>
    <x v="28"/>
    <x v="3"/>
    <x v="1"/>
    <x v="0"/>
    <x v="1624"/>
  </r>
  <r>
    <x v="0"/>
    <x v="254"/>
    <x v="160"/>
    <x v="54"/>
    <x v="169"/>
    <x v="377"/>
    <x v="361"/>
    <x v="1543"/>
    <x v="195"/>
    <x v="654"/>
    <x v="1058"/>
    <x v="1247"/>
    <x v="1609"/>
    <x v="1608"/>
    <x v="1555"/>
    <x v="3"/>
    <x v="1598"/>
    <x v="1609"/>
    <x v="270"/>
    <x v="0"/>
    <x v="0"/>
    <x v="0"/>
    <x v="166"/>
    <x v="14"/>
    <x v="523"/>
    <x v="18"/>
    <x v="1"/>
    <x v="1"/>
    <x v="0"/>
    <x v="1625"/>
  </r>
  <r>
    <x v="0"/>
    <x v="236"/>
    <x v="323"/>
    <x v="42"/>
    <x v="28"/>
    <x v="196"/>
    <x v="22"/>
    <x v="1544"/>
    <x v="286"/>
    <x v="80"/>
    <x v="26"/>
    <x v="1248"/>
    <x v="1610"/>
    <x v="1609"/>
    <x v="1556"/>
    <x v="1"/>
    <x v="1599"/>
    <x v="1610"/>
    <x v="367"/>
    <x v="0"/>
    <x v="0"/>
    <x v="0"/>
    <x v="160"/>
    <x v="14"/>
    <x v="12"/>
    <x v="9"/>
    <x v="3"/>
    <x v="1"/>
    <x v="0"/>
    <x v="1626"/>
  </r>
  <r>
    <x v="0"/>
    <x v="696"/>
    <x v="471"/>
    <x v="50"/>
    <x v="201"/>
    <x v="136"/>
    <x v="209"/>
    <x v="1545"/>
    <x v="286"/>
    <x v="655"/>
    <x v="1059"/>
    <x v="1249"/>
    <x v="1611"/>
    <x v="1610"/>
    <x v="958"/>
    <x v="1"/>
    <x v="1600"/>
    <x v="1611"/>
    <x v="775"/>
    <x v="0"/>
    <x v="13"/>
    <x v="0"/>
    <x v="173"/>
    <x v="10"/>
    <x v="575"/>
    <x v="16"/>
    <x v="3"/>
    <x v="302"/>
    <x v="0"/>
    <x v="1627"/>
  </r>
  <r>
    <x v="0"/>
    <x v="697"/>
    <x v="313"/>
    <x v="79"/>
    <x v="143"/>
    <x v="80"/>
    <x v="21"/>
    <x v="1546"/>
    <x v="29"/>
    <x v="22"/>
    <x v="63"/>
    <x v="829"/>
    <x v="1612"/>
    <x v="1611"/>
    <x v="1557"/>
    <x v="0"/>
    <x v="1601"/>
    <x v="1612"/>
    <x v="398"/>
    <x v="0"/>
    <x v="4"/>
    <x v="2"/>
    <x v="114"/>
    <x v="11"/>
    <x v="13"/>
    <x v="27"/>
    <x v="3"/>
    <x v="1"/>
    <x v="0"/>
    <x v="1628"/>
  </r>
  <r>
    <x v="0"/>
    <x v="698"/>
    <x v="304"/>
    <x v="23"/>
    <x v="44"/>
    <x v="138"/>
    <x v="1"/>
    <x v="1547"/>
    <x v="130"/>
    <x v="1"/>
    <x v="1060"/>
    <x v="169"/>
    <x v="1613"/>
    <x v="1612"/>
    <x v="1558"/>
    <x v="1"/>
    <x v="1602"/>
    <x v="1613"/>
    <x v="246"/>
    <x v="0"/>
    <x v="0"/>
    <x v="4"/>
    <x v="116"/>
    <x v="18"/>
    <x v="30"/>
    <x v="32"/>
    <x v="1"/>
    <x v="38"/>
    <x v="0"/>
    <x v="1629"/>
  </r>
  <r>
    <x v="0"/>
    <x v="598"/>
    <x v="69"/>
    <x v="22"/>
    <x v="171"/>
    <x v="148"/>
    <x v="11"/>
    <x v="1548"/>
    <x v="17"/>
    <x v="49"/>
    <x v="1061"/>
    <x v="1250"/>
    <x v="1614"/>
    <x v="1613"/>
    <x v="1559"/>
    <x v="0"/>
    <x v="1603"/>
    <x v="1614"/>
    <x v="533"/>
    <x v="0"/>
    <x v="0"/>
    <x v="0"/>
    <x v="97"/>
    <x v="15"/>
    <x v="576"/>
    <x v="9"/>
    <x v="1"/>
    <x v="1"/>
    <x v="0"/>
    <x v="1630"/>
  </r>
  <r>
    <x v="0"/>
    <x v="699"/>
    <x v="288"/>
    <x v="86"/>
    <x v="0"/>
    <x v="575"/>
    <x v="25"/>
    <x v="1549"/>
    <x v="18"/>
    <x v="194"/>
    <x v="953"/>
    <x v="1102"/>
    <x v="1615"/>
    <x v="1614"/>
    <x v="1560"/>
    <x v="1"/>
    <x v="1604"/>
    <x v="1615"/>
    <x v="300"/>
    <x v="0"/>
    <x v="0"/>
    <x v="2"/>
    <x v="174"/>
    <x v="30"/>
    <x v="335"/>
    <x v="28"/>
    <x v="1"/>
    <x v="1"/>
    <x v="0"/>
    <x v="1631"/>
  </r>
  <r>
    <x v="0"/>
    <x v="511"/>
    <x v="347"/>
    <x v="77"/>
    <x v="89"/>
    <x v="682"/>
    <x v="0"/>
    <x v="1550"/>
    <x v="504"/>
    <x v="656"/>
    <x v="1062"/>
    <x v="1251"/>
    <x v="1616"/>
    <x v="1615"/>
    <x v="1561"/>
    <x v="6"/>
    <x v="1605"/>
    <x v="1616"/>
    <x v="547"/>
    <x v="0"/>
    <x v="0"/>
    <x v="2"/>
    <x v="116"/>
    <x v="19"/>
    <x v="281"/>
    <x v="37"/>
    <x v="3"/>
    <x v="103"/>
    <x v="0"/>
    <x v="1632"/>
  </r>
  <r>
    <x v="0"/>
    <x v="231"/>
    <x v="425"/>
    <x v="105"/>
    <x v="156"/>
    <x v="474"/>
    <x v="22"/>
    <x v="1551"/>
    <x v="70"/>
    <x v="639"/>
    <x v="1063"/>
    <x v="1252"/>
    <x v="1617"/>
    <x v="1616"/>
    <x v="1562"/>
    <x v="7"/>
    <x v="1606"/>
    <x v="1617"/>
    <x v="432"/>
    <x v="0"/>
    <x v="0"/>
    <x v="0"/>
    <x v="116"/>
    <x v="24"/>
    <x v="577"/>
    <x v="21"/>
    <x v="3"/>
    <x v="103"/>
    <x v="0"/>
    <x v="1633"/>
  </r>
  <r>
    <x v="0"/>
    <x v="533"/>
    <x v="339"/>
    <x v="22"/>
    <x v="263"/>
    <x v="103"/>
    <x v="0"/>
    <x v="1552"/>
    <x v="2"/>
    <x v="657"/>
    <x v="1064"/>
    <x v="1253"/>
    <x v="1618"/>
    <x v="1617"/>
    <x v="1563"/>
    <x v="4"/>
    <x v="1607"/>
    <x v="1618"/>
    <x v="776"/>
    <x v="0"/>
    <x v="1"/>
    <x v="2"/>
    <x v="116"/>
    <x v="39"/>
    <x v="578"/>
    <x v="22"/>
    <x v="1"/>
    <x v="1"/>
    <x v="0"/>
    <x v="1634"/>
  </r>
  <r>
    <x v="0"/>
    <x v="700"/>
    <x v="306"/>
    <x v="79"/>
    <x v="134"/>
    <x v="624"/>
    <x v="362"/>
    <x v="1553"/>
    <x v="505"/>
    <x v="658"/>
    <x v="1065"/>
    <x v="1254"/>
    <x v="1619"/>
    <x v="1618"/>
    <x v="1564"/>
    <x v="0"/>
    <x v="1608"/>
    <x v="1619"/>
    <x v="649"/>
    <x v="0"/>
    <x v="1"/>
    <x v="3"/>
    <x v="116"/>
    <x v="12"/>
    <x v="73"/>
    <x v="7"/>
    <x v="3"/>
    <x v="1"/>
    <x v="0"/>
    <x v="1635"/>
  </r>
  <r>
    <x v="0"/>
    <x v="477"/>
    <x v="333"/>
    <x v="51"/>
    <x v="247"/>
    <x v="683"/>
    <x v="11"/>
    <x v="1554"/>
    <x v="17"/>
    <x v="69"/>
    <x v="692"/>
    <x v="1255"/>
    <x v="1620"/>
    <x v="1619"/>
    <x v="1565"/>
    <x v="1"/>
    <x v="1609"/>
    <x v="1620"/>
    <x v="554"/>
    <x v="0"/>
    <x v="0"/>
    <x v="0"/>
    <x v="116"/>
    <x v="1"/>
    <x v="148"/>
    <x v="1"/>
    <x v="3"/>
    <x v="35"/>
    <x v="0"/>
    <x v="1636"/>
  </r>
  <r>
    <x v="0"/>
    <x v="568"/>
    <x v="345"/>
    <x v="58"/>
    <x v="143"/>
    <x v="282"/>
    <x v="235"/>
    <x v="1555"/>
    <x v="506"/>
    <x v="236"/>
    <x v="1066"/>
    <x v="823"/>
    <x v="1621"/>
    <x v="1620"/>
    <x v="1566"/>
    <x v="0"/>
    <x v="1610"/>
    <x v="1621"/>
    <x v="514"/>
    <x v="0"/>
    <x v="0"/>
    <x v="2"/>
    <x v="4"/>
    <x v="12"/>
    <x v="93"/>
    <x v="31"/>
    <x v="3"/>
    <x v="303"/>
    <x v="0"/>
    <x v="1637"/>
  </r>
  <r>
    <x v="0"/>
    <x v="96"/>
    <x v="260"/>
    <x v="32"/>
    <x v="75"/>
    <x v="684"/>
    <x v="32"/>
    <x v="1556"/>
    <x v="351"/>
    <x v="38"/>
    <x v="1067"/>
    <x v="1256"/>
    <x v="1622"/>
    <x v="1621"/>
    <x v="1567"/>
    <x v="1"/>
    <x v="1611"/>
    <x v="1622"/>
    <x v="777"/>
    <x v="0"/>
    <x v="1"/>
    <x v="4"/>
    <x v="116"/>
    <x v="1"/>
    <x v="30"/>
    <x v="6"/>
    <x v="3"/>
    <x v="85"/>
    <x v="0"/>
    <x v="1638"/>
  </r>
  <r>
    <x v="0"/>
    <x v="236"/>
    <x v="171"/>
    <x v="72"/>
    <x v="28"/>
    <x v="458"/>
    <x v="121"/>
    <x v="1557"/>
    <x v="105"/>
    <x v="230"/>
    <x v="1068"/>
    <x v="1257"/>
    <x v="1623"/>
    <x v="1622"/>
    <x v="789"/>
    <x v="1"/>
    <x v="1612"/>
    <x v="1623"/>
    <x v="319"/>
    <x v="0"/>
    <x v="0"/>
    <x v="2"/>
    <x v="116"/>
    <x v="5"/>
    <x v="51"/>
    <x v="12"/>
    <x v="1"/>
    <x v="38"/>
    <x v="0"/>
    <x v="1639"/>
  </r>
  <r>
    <x v="0"/>
    <x v="18"/>
    <x v="315"/>
    <x v="31"/>
    <x v="0"/>
    <x v="544"/>
    <x v="206"/>
    <x v="1558"/>
    <x v="23"/>
    <x v="388"/>
    <x v="1069"/>
    <x v="1258"/>
    <x v="1624"/>
    <x v="1623"/>
    <x v="1568"/>
    <x v="4"/>
    <x v="1613"/>
    <x v="1624"/>
    <x v="119"/>
    <x v="0"/>
    <x v="0"/>
    <x v="4"/>
    <x v="116"/>
    <x v="30"/>
    <x v="579"/>
    <x v="4"/>
    <x v="1"/>
    <x v="1"/>
    <x v="0"/>
    <x v="1640"/>
  </r>
  <r>
    <x v="0"/>
    <x v="307"/>
    <x v="57"/>
    <x v="80"/>
    <x v="114"/>
    <x v="25"/>
    <x v="358"/>
    <x v="1559"/>
    <x v="125"/>
    <x v="659"/>
    <x v="1070"/>
    <x v="30"/>
    <x v="1625"/>
    <x v="1624"/>
    <x v="1569"/>
    <x v="0"/>
    <x v="1614"/>
    <x v="1625"/>
    <x v="483"/>
    <x v="0"/>
    <x v="0"/>
    <x v="2"/>
    <x v="4"/>
    <x v="3"/>
    <x v="379"/>
    <x v="37"/>
    <x v="3"/>
    <x v="38"/>
    <x v="0"/>
    <x v="1641"/>
  </r>
  <r>
    <x v="0"/>
    <x v="24"/>
    <x v="143"/>
    <x v="91"/>
    <x v="17"/>
    <x v="648"/>
    <x v="1"/>
    <x v="1560"/>
    <x v="507"/>
    <x v="1"/>
    <x v="61"/>
    <x v="1139"/>
    <x v="1626"/>
    <x v="1625"/>
    <x v="1570"/>
    <x v="1"/>
    <x v="1615"/>
    <x v="1626"/>
    <x v="501"/>
    <x v="0"/>
    <x v="0"/>
    <x v="2"/>
    <x v="88"/>
    <x v="12"/>
    <x v="48"/>
    <x v="38"/>
    <x v="3"/>
    <x v="1"/>
    <x v="0"/>
    <x v="1642"/>
  </r>
  <r>
    <x v="0"/>
    <x v="701"/>
    <x v="299"/>
    <x v="34"/>
    <x v="0"/>
    <x v="462"/>
    <x v="363"/>
    <x v="1561"/>
    <x v="122"/>
    <x v="660"/>
    <x v="1071"/>
    <x v="1259"/>
    <x v="1627"/>
    <x v="1626"/>
    <x v="1571"/>
    <x v="1"/>
    <x v="1616"/>
    <x v="1627"/>
    <x v="147"/>
    <x v="0"/>
    <x v="0"/>
    <x v="2"/>
    <x v="4"/>
    <x v="7"/>
    <x v="374"/>
    <x v="13"/>
    <x v="1"/>
    <x v="1"/>
    <x v="0"/>
    <x v="1643"/>
  </r>
  <r>
    <x v="0"/>
    <x v="496"/>
    <x v="110"/>
    <x v="61"/>
    <x v="254"/>
    <x v="619"/>
    <x v="364"/>
    <x v="1562"/>
    <x v="80"/>
    <x v="661"/>
    <x v="1072"/>
    <x v="1260"/>
    <x v="1628"/>
    <x v="1627"/>
    <x v="782"/>
    <x v="4"/>
    <x v="1617"/>
    <x v="1628"/>
    <x v="656"/>
    <x v="0"/>
    <x v="0"/>
    <x v="4"/>
    <x v="116"/>
    <x v="2"/>
    <x v="580"/>
    <x v="32"/>
    <x v="6"/>
    <x v="109"/>
    <x v="0"/>
    <x v="1644"/>
  </r>
  <r>
    <x v="0"/>
    <x v="274"/>
    <x v="472"/>
    <x v="23"/>
    <x v="178"/>
    <x v="685"/>
    <x v="10"/>
    <x v="1563"/>
    <x v="291"/>
    <x v="40"/>
    <x v="463"/>
    <x v="1261"/>
    <x v="1629"/>
    <x v="1628"/>
    <x v="1572"/>
    <x v="0"/>
    <x v="1618"/>
    <x v="1629"/>
    <x v="230"/>
    <x v="0"/>
    <x v="0"/>
    <x v="4"/>
    <x v="116"/>
    <x v="2"/>
    <x v="30"/>
    <x v="7"/>
    <x v="1"/>
    <x v="20"/>
    <x v="0"/>
    <x v="1645"/>
  </r>
  <r>
    <x v="0"/>
    <x v="6"/>
    <x v="473"/>
    <x v="77"/>
    <x v="0"/>
    <x v="510"/>
    <x v="35"/>
    <x v="1564"/>
    <x v="381"/>
    <x v="355"/>
    <x v="443"/>
    <x v="1262"/>
    <x v="1630"/>
    <x v="1629"/>
    <x v="1573"/>
    <x v="0"/>
    <x v="1619"/>
    <x v="1630"/>
    <x v="778"/>
    <x v="0"/>
    <x v="0"/>
    <x v="0"/>
    <x v="116"/>
    <x v="0"/>
    <x v="30"/>
    <x v="4"/>
    <x v="1"/>
    <x v="59"/>
    <x v="0"/>
    <x v="1646"/>
  </r>
  <r>
    <x v="0"/>
    <x v="702"/>
    <x v="418"/>
    <x v="52"/>
    <x v="171"/>
    <x v="1"/>
    <x v="2"/>
    <x v="1565"/>
    <x v="49"/>
    <x v="42"/>
    <x v="1073"/>
    <x v="1263"/>
    <x v="1631"/>
    <x v="1630"/>
    <x v="1574"/>
    <x v="1"/>
    <x v="1620"/>
    <x v="1631"/>
    <x v="120"/>
    <x v="0"/>
    <x v="0"/>
    <x v="0"/>
    <x v="131"/>
    <x v="2"/>
    <x v="12"/>
    <x v="13"/>
    <x v="1"/>
    <x v="139"/>
    <x v="0"/>
    <x v="1647"/>
  </r>
  <r>
    <x v="0"/>
    <x v="703"/>
    <x v="249"/>
    <x v="70"/>
    <x v="80"/>
    <x v="1"/>
    <x v="22"/>
    <x v="1566"/>
    <x v="301"/>
    <x v="197"/>
    <x v="340"/>
    <x v="1264"/>
    <x v="1632"/>
    <x v="1631"/>
    <x v="1575"/>
    <x v="1"/>
    <x v="1621"/>
    <x v="1632"/>
    <x v="616"/>
    <x v="0"/>
    <x v="0"/>
    <x v="2"/>
    <x v="116"/>
    <x v="17"/>
    <x v="13"/>
    <x v="32"/>
    <x v="3"/>
    <x v="1"/>
    <x v="0"/>
    <x v="1648"/>
  </r>
  <r>
    <x v="0"/>
    <x v="107"/>
    <x v="291"/>
    <x v="86"/>
    <x v="84"/>
    <x v="419"/>
    <x v="35"/>
    <x v="1567"/>
    <x v="484"/>
    <x v="662"/>
    <x v="1018"/>
    <x v="1265"/>
    <x v="1633"/>
    <x v="1632"/>
    <x v="1576"/>
    <x v="0"/>
    <x v="1622"/>
    <x v="1633"/>
    <x v="514"/>
    <x v="0"/>
    <x v="0"/>
    <x v="0"/>
    <x v="116"/>
    <x v="5"/>
    <x v="563"/>
    <x v="5"/>
    <x v="3"/>
    <x v="37"/>
    <x v="0"/>
    <x v="1649"/>
  </r>
  <r>
    <x v="0"/>
    <x v="472"/>
    <x v="474"/>
    <x v="27"/>
    <x v="245"/>
    <x v="607"/>
    <x v="365"/>
    <x v="1568"/>
    <x v="357"/>
    <x v="663"/>
    <x v="361"/>
    <x v="1266"/>
    <x v="1634"/>
    <x v="1633"/>
    <x v="1577"/>
    <x v="3"/>
    <x v="1623"/>
    <x v="1634"/>
    <x v="404"/>
    <x v="0"/>
    <x v="0"/>
    <x v="0"/>
    <x v="116"/>
    <x v="19"/>
    <x v="314"/>
    <x v="23"/>
    <x v="3"/>
    <x v="1"/>
    <x v="0"/>
    <x v="1650"/>
  </r>
  <r>
    <x v="0"/>
    <x v="12"/>
    <x v="268"/>
    <x v="18"/>
    <x v="7"/>
    <x v="37"/>
    <x v="94"/>
    <x v="1569"/>
    <x v="196"/>
    <x v="166"/>
    <x v="1074"/>
    <x v="1267"/>
    <x v="1635"/>
    <x v="1634"/>
    <x v="1578"/>
    <x v="1"/>
    <x v="1624"/>
    <x v="1635"/>
    <x v="342"/>
    <x v="0"/>
    <x v="0"/>
    <x v="0"/>
    <x v="30"/>
    <x v="7"/>
    <x v="581"/>
    <x v="32"/>
    <x v="3"/>
    <x v="38"/>
    <x v="0"/>
    <x v="1651"/>
  </r>
  <r>
    <x v="0"/>
    <x v="312"/>
    <x v="40"/>
    <x v="18"/>
    <x v="41"/>
    <x v="649"/>
    <x v="231"/>
    <x v="1570"/>
    <x v="429"/>
    <x v="664"/>
    <x v="1075"/>
    <x v="1268"/>
    <x v="1636"/>
    <x v="1635"/>
    <x v="468"/>
    <x v="0"/>
    <x v="1625"/>
    <x v="1636"/>
    <x v="577"/>
    <x v="0"/>
    <x v="0"/>
    <x v="4"/>
    <x v="144"/>
    <x v="1"/>
    <x v="582"/>
    <x v="4"/>
    <x v="1"/>
    <x v="1"/>
    <x v="0"/>
    <x v="1652"/>
  </r>
  <r>
    <x v="0"/>
    <x v="704"/>
    <x v="475"/>
    <x v="54"/>
    <x v="287"/>
    <x v="427"/>
    <x v="8"/>
    <x v="1571"/>
    <x v="208"/>
    <x v="8"/>
    <x v="1076"/>
    <x v="624"/>
    <x v="1637"/>
    <x v="1636"/>
    <x v="1579"/>
    <x v="0"/>
    <x v="1626"/>
    <x v="1637"/>
    <x v="779"/>
    <x v="0"/>
    <x v="0"/>
    <x v="4"/>
    <x v="116"/>
    <x v="3"/>
    <x v="583"/>
    <x v="15"/>
    <x v="1"/>
    <x v="101"/>
    <x v="0"/>
    <x v="1653"/>
  </r>
  <r>
    <x v="0"/>
    <x v="705"/>
    <x v="387"/>
    <x v="107"/>
    <x v="228"/>
    <x v="148"/>
    <x v="366"/>
    <x v="1572"/>
    <x v="125"/>
    <x v="665"/>
    <x v="110"/>
    <x v="1269"/>
    <x v="1638"/>
    <x v="1637"/>
    <x v="1580"/>
    <x v="0"/>
    <x v="1627"/>
    <x v="1638"/>
    <x v="673"/>
    <x v="0"/>
    <x v="0"/>
    <x v="0"/>
    <x v="116"/>
    <x v="8"/>
    <x v="78"/>
    <x v="59"/>
    <x v="3"/>
    <x v="1"/>
    <x v="0"/>
    <x v="1654"/>
  </r>
  <r>
    <x v="0"/>
    <x v="225"/>
    <x v="379"/>
    <x v="51"/>
    <x v="141"/>
    <x v="378"/>
    <x v="13"/>
    <x v="1573"/>
    <x v="26"/>
    <x v="158"/>
    <x v="1077"/>
    <x v="532"/>
    <x v="1639"/>
    <x v="1638"/>
    <x v="1581"/>
    <x v="1"/>
    <x v="1628"/>
    <x v="1639"/>
    <x v="699"/>
    <x v="0"/>
    <x v="0"/>
    <x v="4"/>
    <x v="116"/>
    <x v="32"/>
    <x v="26"/>
    <x v="32"/>
    <x v="3"/>
    <x v="1"/>
    <x v="0"/>
    <x v="1655"/>
  </r>
  <r>
    <x v="0"/>
    <x v="706"/>
    <x v="293"/>
    <x v="59"/>
    <x v="288"/>
    <x v="59"/>
    <x v="367"/>
    <x v="1574"/>
    <x v="103"/>
    <x v="666"/>
    <x v="1078"/>
    <x v="1270"/>
    <x v="1640"/>
    <x v="1639"/>
    <x v="1582"/>
    <x v="1"/>
    <x v="1629"/>
    <x v="1640"/>
    <x v="630"/>
    <x v="0"/>
    <x v="0"/>
    <x v="4"/>
    <x v="146"/>
    <x v="42"/>
    <x v="584"/>
    <x v="4"/>
    <x v="15"/>
    <x v="1"/>
    <x v="0"/>
    <x v="1656"/>
  </r>
  <r>
    <x v="0"/>
    <x v="189"/>
    <x v="315"/>
    <x v="58"/>
    <x v="0"/>
    <x v="118"/>
    <x v="57"/>
    <x v="1575"/>
    <x v="508"/>
    <x v="192"/>
    <x v="1079"/>
    <x v="1271"/>
    <x v="1641"/>
    <x v="1640"/>
    <x v="1583"/>
    <x v="4"/>
    <x v="1630"/>
    <x v="1641"/>
    <x v="550"/>
    <x v="0"/>
    <x v="0"/>
    <x v="0"/>
    <x v="131"/>
    <x v="43"/>
    <x v="50"/>
    <x v="8"/>
    <x v="3"/>
    <x v="1"/>
    <x v="0"/>
    <x v="1657"/>
  </r>
  <r>
    <x v="0"/>
    <x v="96"/>
    <x v="476"/>
    <x v="70"/>
    <x v="75"/>
    <x v="502"/>
    <x v="368"/>
    <x v="1576"/>
    <x v="65"/>
    <x v="667"/>
    <x v="1080"/>
    <x v="1272"/>
    <x v="1642"/>
    <x v="1641"/>
    <x v="1584"/>
    <x v="0"/>
    <x v="1631"/>
    <x v="1642"/>
    <x v="16"/>
    <x v="0"/>
    <x v="0"/>
    <x v="0"/>
    <x v="116"/>
    <x v="10"/>
    <x v="585"/>
    <x v="2"/>
    <x v="1"/>
    <x v="58"/>
    <x v="0"/>
    <x v="1658"/>
  </r>
  <r>
    <x v="0"/>
    <x v="113"/>
    <x v="435"/>
    <x v="84"/>
    <x v="88"/>
    <x v="686"/>
    <x v="358"/>
    <x v="4"/>
    <x v="498"/>
    <x v="651"/>
    <x v="306"/>
    <x v="1273"/>
    <x v="1643"/>
    <x v="1309"/>
    <x v="1585"/>
    <x v="2"/>
    <x v="1632"/>
    <x v="1643"/>
    <x v="737"/>
    <x v="0"/>
    <x v="0"/>
    <x v="6"/>
    <x v="4"/>
    <x v="4"/>
    <x v="207"/>
    <x v="7"/>
    <x v="12"/>
    <x v="1"/>
    <x v="0"/>
    <x v="1659"/>
  </r>
  <r>
    <x v="0"/>
    <x v="707"/>
    <x v="349"/>
    <x v="54"/>
    <x v="167"/>
    <x v="687"/>
    <x v="369"/>
    <x v="1577"/>
    <x v="20"/>
    <x v="668"/>
    <x v="801"/>
    <x v="1274"/>
    <x v="1644"/>
    <x v="1642"/>
    <x v="1586"/>
    <x v="0"/>
    <x v="1633"/>
    <x v="1644"/>
    <x v="541"/>
    <x v="0"/>
    <x v="0"/>
    <x v="0"/>
    <x v="116"/>
    <x v="13"/>
    <x v="472"/>
    <x v="42"/>
    <x v="3"/>
    <x v="103"/>
    <x v="0"/>
    <x v="1660"/>
  </r>
  <r>
    <x v="0"/>
    <x v="708"/>
    <x v="82"/>
    <x v="42"/>
    <x v="289"/>
    <x v="688"/>
    <x v="10"/>
    <x v="1578"/>
    <x v="105"/>
    <x v="33"/>
    <x v="947"/>
    <x v="1275"/>
    <x v="1645"/>
    <x v="1643"/>
    <x v="1587"/>
    <x v="0"/>
    <x v="1634"/>
    <x v="1645"/>
    <x v="335"/>
    <x v="0"/>
    <x v="0"/>
    <x v="0"/>
    <x v="116"/>
    <x v="10"/>
    <x v="533"/>
    <x v="9"/>
    <x v="1"/>
    <x v="1"/>
    <x v="0"/>
    <x v="1661"/>
  </r>
  <r>
    <x v="0"/>
    <x v="709"/>
    <x v="190"/>
    <x v="7"/>
    <x v="225"/>
    <x v="492"/>
    <x v="30"/>
    <x v="1579"/>
    <x v="362"/>
    <x v="53"/>
    <x v="26"/>
    <x v="1200"/>
    <x v="1646"/>
    <x v="1644"/>
    <x v="1588"/>
    <x v="1"/>
    <x v="1635"/>
    <x v="1646"/>
    <x v="706"/>
    <x v="0"/>
    <x v="0"/>
    <x v="4"/>
    <x v="116"/>
    <x v="9"/>
    <x v="12"/>
    <x v="18"/>
    <x v="1"/>
    <x v="36"/>
    <x v="0"/>
    <x v="1662"/>
  </r>
  <r>
    <x v="0"/>
    <x v="710"/>
    <x v="217"/>
    <x v="34"/>
    <x v="221"/>
    <x v="269"/>
    <x v="0"/>
    <x v="1580"/>
    <x v="419"/>
    <x v="114"/>
    <x v="1081"/>
    <x v="1276"/>
    <x v="1647"/>
    <x v="1645"/>
    <x v="1589"/>
    <x v="0"/>
    <x v="1636"/>
    <x v="1647"/>
    <x v="405"/>
    <x v="0"/>
    <x v="0"/>
    <x v="0"/>
    <x v="116"/>
    <x v="7"/>
    <x v="586"/>
    <x v="10"/>
    <x v="3"/>
    <x v="1"/>
    <x v="0"/>
    <x v="1663"/>
  </r>
  <r>
    <x v="0"/>
    <x v="113"/>
    <x v="460"/>
    <x v="138"/>
    <x v="88"/>
    <x v="362"/>
    <x v="109"/>
    <x v="4"/>
    <x v="200"/>
    <x v="669"/>
    <x v="961"/>
    <x v="1277"/>
    <x v="1648"/>
    <x v="1646"/>
    <x v="1590"/>
    <x v="4"/>
    <x v="1637"/>
    <x v="1648"/>
    <x v="147"/>
    <x v="0"/>
    <x v="0"/>
    <x v="7"/>
    <x v="4"/>
    <x v="4"/>
    <x v="56"/>
    <x v="3"/>
    <x v="0"/>
    <x v="1"/>
    <x v="0"/>
    <x v="1664"/>
  </r>
  <r>
    <x v="0"/>
    <x v="711"/>
    <x v="69"/>
    <x v="31"/>
    <x v="122"/>
    <x v="40"/>
    <x v="25"/>
    <x v="1581"/>
    <x v="509"/>
    <x v="138"/>
    <x v="1082"/>
    <x v="48"/>
    <x v="1649"/>
    <x v="1647"/>
    <x v="1591"/>
    <x v="1"/>
    <x v="1638"/>
    <x v="1649"/>
    <x v="227"/>
    <x v="0"/>
    <x v="0"/>
    <x v="0"/>
    <x v="116"/>
    <x v="7"/>
    <x v="12"/>
    <x v="8"/>
    <x v="1"/>
    <x v="1"/>
    <x v="0"/>
    <x v="1665"/>
  </r>
  <r>
    <x v="0"/>
    <x v="400"/>
    <x v="272"/>
    <x v="50"/>
    <x v="218"/>
    <x v="400"/>
    <x v="0"/>
    <x v="1582"/>
    <x v="70"/>
    <x v="85"/>
    <x v="781"/>
    <x v="577"/>
    <x v="1650"/>
    <x v="1648"/>
    <x v="1592"/>
    <x v="0"/>
    <x v="1639"/>
    <x v="1650"/>
    <x v="591"/>
    <x v="0"/>
    <x v="0"/>
    <x v="0"/>
    <x v="91"/>
    <x v="18"/>
    <x v="467"/>
    <x v="34"/>
    <x v="3"/>
    <x v="87"/>
    <x v="0"/>
    <x v="1666"/>
  </r>
  <r>
    <x v="0"/>
    <x v="712"/>
    <x v="205"/>
    <x v="139"/>
    <x v="164"/>
    <x v="161"/>
    <x v="145"/>
    <x v="1583"/>
    <x v="510"/>
    <x v="269"/>
    <x v="1083"/>
    <x v="1278"/>
    <x v="1651"/>
    <x v="1649"/>
    <x v="1593"/>
    <x v="0"/>
    <x v="1640"/>
    <x v="1651"/>
    <x v="479"/>
    <x v="0"/>
    <x v="0"/>
    <x v="0"/>
    <x v="116"/>
    <x v="0"/>
    <x v="587"/>
    <x v="1"/>
    <x v="3"/>
    <x v="38"/>
    <x v="0"/>
    <x v="1667"/>
  </r>
  <r>
    <x v="0"/>
    <x v="151"/>
    <x v="14"/>
    <x v="11"/>
    <x v="0"/>
    <x v="689"/>
    <x v="30"/>
    <x v="1584"/>
    <x v="168"/>
    <x v="50"/>
    <x v="1084"/>
    <x v="1279"/>
    <x v="1652"/>
    <x v="1650"/>
    <x v="1594"/>
    <x v="0"/>
    <x v="1641"/>
    <x v="1652"/>
    <x v="459"/>
    <x v="0"/>
    <x v="0"/>
    <x v="4"/>
    <x v="116"/>
    <x v="9"/>
    <x v="588"/>
    <x v="1"/>
    <x v="3"/>
    <x v="5"/>
    <x v="0"/>
    <x v="1668"/>
  </r>
  <r>
    <x v="0"/>
    <x v="713"/>
    <x v="69"/>
    <x v="70"/>
    <x v="118"/>
    <x v="690"/>
    <x v="0"/>
    <x v="1585"/>
    <x v="215"/>
    <x v="670"/>
    <x v="793"/>
    <x v="1280"/>
    <x v="1653"/>
    <x v="1651"/>
    <x v="1217"/>
    <x v="1"/>
    <x v="1642"/>
    <x v="1653"/>
    <x v="142"/>
    <x v="0"/>
    <x v="0"/>
    <x v="2"/>
    <x v="4"/>
    <x v="14"/>
    <x v="445"/>
    <x v="18"/>
    <x v="3"/>
    <x v="1"/>
    <x v="0"/>
    <x v="1669"/>
  </r>
  <r>
    <x v="0"/>
    <x v="714"/>
    <x v="57"/>
    <x v="140"/>
    <x v="5"/>
    <x v="691"/>
    <x v="370"/>
    <x v="1586"/>
    <x v="94"/>
    <x v="671"/>
    <x v="1085"/>
    <x v="1281"/>
    <x v="1654"/>
    <x v="1652"/>
    <x v="1595"/>
    <x v="0"/>
    <x v="1643"/>
    <x v="1654"/>
    <x v="650"/>
    <x v="0"/>
    <x v="0"/>
    <x v="3"/>
    <x v="116"/>
    <x v="10"/>
    <x v="548"/>
    <x v="11"/>
    <x v="3"/>
    <x v="1"/>
    <x v="0"/>
    <x v="1670"/>
  </r>
  <r>
    <x v="0"/>
    <x v="715"/>
    <x v="69"/>
    <x v="79"/>
    <x v="125"/>
    <x v="124"/>
    <x v="120"/>
    <x v="1587"/>
    <x v="125"/>
    <x v="228"/>
    <x v="1086"/>
    <x v="1282"/>
    <x v="1655"/>
    <x v="1653"/>
    <x v="1596"/>
    <x v="0"/>
    <x v="1644"/>
    <x v="1655"/>
    <x v="312"/>
    <x v="0"/>
    <x v="0"/>
    <x v="0"/>
    <x v="166"/>
    <x v="17"/>
    <x v="589"/>
    <x v="53"/>
    <x v="15"/>
    <x v="103"/>
    <x v="0"/>
    <x v="1671"/>
  </r>
  <r>
    <x v="0"/>
    <x v="486"/>
    <x v="382"/>
    <x v="26"/>
    <x v="251"/>
    <x v="220"/>
    <x v="213"/>
    <x v="1588"/>
    <x v="105"/>
    <x v="672"/>
    <x v="1087"/>
    <x v="1283"/>
    <x v="1656"/>
    <x v="1654"/>
    <x v="1597"/>
    <x v="1"/>
    <x v="1645"/>
    <x v="1656"/>
    <x v="108"/>
    <x v="0"/>
    <x v="0"/>
    <x v="4"/>
    <x v="116"/>
    <x v="20"/>
    <x v="590"/>
    <x v="2"/>
    <x v="3"/>
    <x v="1"/>
    <x v="0"/>
    <x v="1672"/>
  </r>
  <r>
    <x v="0"/>
    <x v="716"/>
    <x v="159"/>
    <x v="106"/>
    <x v="61"/>
    <x v="369"/>
    <x v="247"/>
    <x v="1589"/>
    <x v="316"/>
    <x v="673"/>
    <x v="1088"/>
    <x v="1284"/>
    <x v="1657"/>
    <x v="1655"/>
    <x v="1598"/>
    <x v="0"/>
    <x v="1646"/>
    <x v="1657"/>
    <x v="780"/>
    <x v="0"/>
    <x v="0"/>
    <x v="0"/>
    <x v="116"/>
    <x v="11"/>
    <x v="566"/>
    <x v="8"/>
    <x v="3"/>
    <x v="59"/>
    <x v="0"/>
    <x v="1673"/>
  </r>
  <r>
    <x v="0"/>
    <x v="462"/>
    <x v="272"/>
    <x v="46"/>
    <x v="244"/>
    <x v="103"/>
    <x v="2"/>
    <x v="1590"/>
    <x v="270"/>
    <x v="209"/>
    <x v="20"/>
    <x v="128"/>
    <x v="1658"/>
    <x v="1656"/>
    <x v="1599"/>
    <x v="3"/>
    <x v="1647"/>
    <x v="1658"/>
    <x v="137"/>
    <x v="0"/>
    <x v="0"/>
    <x v="4"/>
    <x v="116"/>
    <x v="20"/>
    <x v="17"/>
    <x v="15"/>
    <x v="3"/>
    <x v="304"/>
    <x v="0"/>
    <x v="1674"/>
  </r>
  <r>
    <x v="0"/>
    <x v="717"/>
    <x v="402"/>
    <x v="11"/>
    <x v="211"/>
    <x v="473"/>
    <x v="11"/>
    <x v="1591"/>
    <x v="103"/>
    <x v="156"/>
    <x v="1089"/>
    <x v="1285"/>
    <x v="1659"/>
    <x v="1657"/>
    <x v="1600"/>
    <x v="1"/>
    <x v="1648"/>
    <x v="1659"/>
    <x v="244"/>
    <x v="0"/>
    <x v="0"/>
    <x v="4"/>
    <x v="116"/>
    <x v="16"/>
    <x v="184"/>
    <x v="34"/>
    <x v="1"/>
    <x v="1"/>
    <x v="0"/>
    <x v="1675"/>
  </r>
  <r>
    <x v="0"/>
    <x v="246"/>
    <x v="304"/>
    <x v="54"/>
    <x v="166"/>
    <x v="24"/>
    <x v="195"/>
    <x v="1592"/>
    <x v="194"/>
    <x v="674"/>
    <x v="1090"/>
    <x v="1240"/>
    <x v="1660"/>
    <x v="1658"/>
    <x v="1601"/>
    <x v="1"/>
    <x v="1649"/>
    <x v="1660"/>
    <x v="394"/>
    <x v="0"/>
    <x v="0"/>
    <x v="0"/>
    <x v="116"/>
    <x v="7"/>
    <x v="591"/>
    <x v="37"/>
    <x v="1"/>
    <x v="103"/>
    <x v="0"/>
    <x v="1676"/>
  </r>
  <r>
    <x v="0"/>
    <x v="245"/>
    <x v="354"/>
    <x v="34"/>
    <x v="165"/>
    <x v="540"/>
    <x v="35"/>
    <x v="1593"/>
    <x v="236"/>
    <x v="494"/>
    <x v="357"/>
    <x v="834"/>
    <x v="1661"/>
    <x v="1659"/>
    <x v="1602"/>
    <x v="0"/>
    <x v="1650"/>
    <x v="1661"/>
    <x v="781"/>
    <x v="0"/>
    <x v="0"/>
    <x v="4"/>
    <x v="116"/>
    <x v="11"/>
    <x v="30"/>
    <x v="5"/>
    <x v="1"/>
    <x v="45"/>
    <x v="0"/>
    <x v="1677"/>
  </r>
  <r>
    <x v="0"/>
    <x v="718"/>
    <x v="149"/>
    <x v="26"/>
    <x v="192"/>
    <x v="117"/>
    <x v="35"/>
    <x v="1594"/>
    <x v="139"/>
    <x v="173"/>
    <x v="1091"/>
    <x v="146"/>
    <x v="1662"/>
    <x v="1660"/>
    <x v="1603"/>
    <x v="0"/>
    <x v="1651"/>
    <x v="1662"/>
    <x v="699"/>
    <x v="0"/>
    <x v="0"/>
    <x v="4"/>
    <x v="116"/>
    <x v="10"/>
    <x v="592"/>
    <x v="18"/>
    <x v="3"/>
    <x v="59"/>
    <x v="0"/>
    <x v="1678"/>
  </r>
  <r>
    <x v="0"/>
    <x v="719"/>
    <x v="345"/>
    <x v="72"/>
    <x v="116"/>
    <x v="437"/>
    <x v="0"/>
    <x v="1595"/>
    <x v="105"/>
    <x v="185"/>
    <x v="1092"/>
    <x v="1286"/>
    <x v="1663"/>
    <x v="1661"/>
    <x v="1604"/>
    <x v="1"/>
    <x v="1652"/>
    <x v="1663"/>
    <x v="392"/>
    <x v="0"/>
    <x v="0"/>
    <x v="0"/>
    <x v="82"/>
    <x v="14"/>
    <x v="588"/>
    <x v="31"/>
    <x v="1"/>
    <x v="305"/>
    <x v="0"/>
    <x v="1679"/>
  </r>
  <r>
    <x v="0"/>
    <x v="551"/>
    <x v="221"/>
    <x v="22"/>
    <x v="262"/>
    <x v="194"/>
    <x v="35"/>
    <x v="1596"/>
    <x v="127"/>
    <x v="517"/>
    <x v="1093"/>
    <x v="414"/>
    <x v="1664"/>
    <x v="851"/>
    <x v="1605"/>
    <x v="4"/>
    <x v="1653"/>
    <x v="1664"/>
    <x v="482"/>
    <x v="0"/>
    <x v="0"/>
    <x v="4"/>
    <x v="116"/>
    <x v="3"/>
    <x v="593"/>
    <x v="5"/>
    <x v="3"/>
    <x v="59"/>
    <x v="0"/>
    <x v="1680"/>
  </r>
  <r>
    <x v="0"/>
    <x v="720"/>
    <x v="315"/>
    <x v="27"/>
    <x v="164"/>
    <x v="246"/>
    <x v="0"/>
    <x v="1597"/>
    <x v="334"/>
    <x v="85"/>
    <x v="1094"/>
    <x v="1287"/>
    <x v="1665"/>
    <x v="1662"/>
    <x v="1606"/>
    <x v="1"/>
    <x v="1654"/>
    <x v="1665"/>
    <x v="377"/>
    <x v="0"/>
    <x v="0"/>
    <x v="0"/>
    <x v="116"/>
    <x v="14"/>
    <x v="370"/>
    <x v="34"/>
    <x v="3"/>
    <x v="306"/>
    <x v="0"/>
    <x v="1681"/>
  </r>
  <r>
    <x v="0"/>
    <x v="721"/>
    <x v="178"/>
    <x v="82"/>
    <x v="290"/>
    <x v="293"/>
    <x v="14"/>
    <x v="1598"/>
    <x v="368"/>
    <x v="351"/>
    <x v="1095"/>
    <x v="1288"/>
    <x v="1666"/>
    <x v="1663"/>
    <x v="1607"/>
    <x v="0"/>
    <x v="1655"/>
    <x v="1666"/>
    <x v="414"/>
    <x v="0"/>
    <x v="0"/>
    <x v="0"/>
    <x v="82"/>
    <x v="5"/>
    <x v="387"/>
    <x v="38"/>
    <x v="1"/>
    <x v="41"/>
    <x v="0"/>
    <x v="1682"/>
  </r>
  <r>
    <x v="0"/>
    <x v="722"/>
    <x v="287"/>
    <x v="50"/>
    <x v="291"/>
    <x v="515"/>
    <x v="21"/>
    <x v="1599"/>
    <x v="179"/>
    <x v="174"/>
    <x v="1096"/>
    <x v="1289"/>
    <x v="1667"/>
    <x v="1664"/>
    <x v="1608"/>
    <x v="1"/>
    <x v="1656"/>
    <x v="1667"/>
    <x v="782"/>
    <x v="0"/>
    <x v="0"/>
    <x v="0"/>
    <x v="116"/>
    <x v="7"/>
    <x v="37"/>
    <x v="46"/>
    <x v="3"/>
    <x v="1"/>
    <x v="0"/>
    <x v="1683"/>
  </r>
  <r>
    <x v="0"/>
    <x v="723"/>
    <x v="194"/>
    <x v="56"/>
    <x v="73"/>
    <x v="692"/>
    <x v="279"/>
    <x v="1600"/>
    <x v="28"/>
    <x v="508"/>
    <x v="1097"/>
    <x v="1290"/>
    <x v="1668"/>
    <x v="1665"/>
    <x v="922"/>
    <x v="1"/>
    <x v="1657"/>
    <x v="1668"/>
    <x v="570"/>
    <x v="0"/>
    <x v="0"/>
    <x v="4"/>
    <x v="78"/>
    <x v="12"/>
    <x v="247"/>
    <x v="22"/>
    <x v="1"/>
    <x v="307"/>
    <x v="0"/>
    <x v="1684"/>
  </r>
  <r>
    <x v="0"/>
    <x v="274"/>
    <x v="353"/>
    <x v="45"/>
    <x v="178"/>
    <x v="433"/>
    <x v="291"/>
    <x v="1601"/>
    <x v="23"/>
    <x v="529"/>
    <x v="46"/>
    <x v="633"/>
    <x v="1669"/>
    <x v="1666"/>
    <x v="1609"/>
    <x v="4"/>
    <x v="1658"/>
    <x v="1669"/>
    <x v="713"/>
    <x v="0"/>
    <x v="0"/>
    <x v="4"/>
    <x v="116"/>
    <x v="20"/>
    <x v="36"/>
    <x v="9"/>
    <x v="1"/>
    <x v="308"/>
    <x v="0"/>
    <x v="1685"/>
  </r>
  <r>
    <x v="0"/>
    <x v="724"/>
    <x v="413"/>
    <x v="72"/>
    <x v="292"/>
    <x v="110"/>
    <x v="41"/>
    <x v="1602"/>
    <x v="511"/>
    <x v="111"/>
    <x v="1098"/>
    <x v="135"/>
    <x v="1670"/>
    <x v="1667"/>
    <x v="1610"/>
    <x v="1"/>
    <x v="1659"/>
    <x v="1670"/>
    <x v="654"/>
    <x v="0"/>
    <x v="0"/>
    <x v="4"/>
    <x v="131"/>
    <x v="25"/>
    <x v="284"/>
    <x v="43"/>
    <x v="3"/>
    <x v="309"/>
    <x v="0"/>
    <x v="1686"/>
  </r>
  <r>
    <x v="0"/>
    <x v="725"/>
    <x v="198"/>
    <x v="77"/>
    <x v="31"/>
    <x v="615"/>
    <x v="32"/>
    <x v="1603"/>
    <x v="512"/>
    <x v="59"/>
    <x v="1099"/>
    <x v="1034"/>
    <x v="1671"/>
    <x v="1668"/>
    <x v="1611"/>
    <x v="1"/>
    <x v="1660"/>
    <x v="1671"/>
    <x v="708"/>
    <x v="0"/>
    <x v="0"/>
    <x v="0"/>
    <x v="116"/>
    <x v="19"/>
    <x v="61"/>
    <x v="28"/>
    <x v="1"/>
    <x v="1"/>
    <x v="0"/>
    <x v="1687"/>
  </r>
  <r>
    <x v="0"/>
    <x v="103"/>
    <x v="66"/>
    <x v="52"/>
    <x v="81"/>
    <x v="10"/>
    <x v="10"/>
    <x v="1604"/>
    <x v="105"/>
    <x v="40"/>
    <x v="85"/>
    <x v="740"/>
    <x v="1672"/>
    <x v="1669"/>
    <x v="1612"/>
    <x v="0"/>
    <x v="1661"/>
    <x v="1672"/>
    <x v="699"/>
    <x v="0"/>
    <x v="0"/>
    <x v="4"/>
    <x v="116"/>
    <x v="5"/>
    <x v="6"/>
    <x v="10"/>
    <x v="3"/>
    <x v="4"/>
    <x v="0"/>
    <x v="1688"/>
  </r>
  <r>
    <x v="0"/>
    <x v="359"/>
    <x v="287"/>
    <x v="26"/>
    <x v="59"/>
    <x v="627"/>
    <x v="21"/>
    <x v="1605"/>
    <x v="171"/>
    <x v="210"/>
    <x v="526"/>
    <x v="1066"/>
    <x v="1673"/>
    <x v="1670"/>
    <x v="1613"/>
    <x v="1"/>
    <x v="1662"/>
    <x v="1673"/>
    <x v="742"/>
    <x v="0"/>
    <x v="0"/>
    <x v="4"/>
    <x v="116"/>
    <x v="1"/>
    <x v="222"/>
    <x v="18"/>
    <x v="1"/>
    <x v="1"/>
    <x v="0"/>
    <x v="1689"/>
  </r>
  <r>
    <x v="0"/>
    <x v="726"/>
    <x v="297"/>
    <x v="51"/>
    <x v="223"/>
    <x v="517"/>
    <x v="14"/>
    <x v="1606"/>
    <x v="270"/>
    <x v="119"/>
    <x v="99"/>
    <x v="779"/>
    <x v="1674"/>
    <x v="1671"/>
    <x v="1614"/>
    <x v="2"/>
    <x v="1663"/>
    <x v="1674"/>
    <x v="178"/>
    <x v="0"/>
    <x v="0"/>
    <x v="4"/>
    <x v="82"/>
    <x v="12"/>
    <x v="71"/>
    <x v="11"/>
    <x v="1"/>
    <x v="1"/>
    <x v="0"/>
    <x v="1690"/>
  </r>
  <r>
    <x v="0"/>
    <x v="456"/>
    <x v="336"/>
    <x v="42"/>
    <x v="186"/>
    <x v="693"/>
    <x v="57"/>
    <x v="1607"/>
    <x v="408"/>
    <x v="99"/>
    <x v="1100"/>
    <x v="1291"/>
    <x v="1675"/>
    <x v="1672"/>
    <x v="1615"/>
    <x v="7"/>
    <x v="1664"/>
    <x v="1675"/>
    <x v="137"/>
    <x v="0"/>
    <x v="0"/>
    <x v="0"/>
    <x v="88"/>
    <x v="14"/>
    <x v="12"/>
    <x v="34"/>
    <x v="3"/>
    <x v="310"/>
    <x v="0"/>
    <x v="1691"/>
  </r>
  <r>
    <x v="0"/>
    <x v="727"/>
    <x v="477"/>
    <x v="27"/>
    <x v="124"/>
    <x v="363"/>
    <x v="325"/>
    <x v="1608"/>
    <x v="55"/>
    <x v="675"/>
    <x v="1101"/>
    <x v="1292"/>
    <x v="1676"/>
    <x v="1673"/>
    <x v="1616"/>
    <x v="0"/>
    <x v="1665"/>
    <x v="1676"/>
    <x v="783"/>
    <x v="0"/>
    <x v="4"/>
    <x v="4"/>
    <x v="140"/>
    <x v="0"/>
    <x v="594"/>
    <x v="27"/>
    <x v="3"/>
    <x v="85"/>
    <x v="0"/>
    <x v="1692"/>
  </r>
  <r>
    <x v="0"/>
    <x v="728"/>
    <x v="225"/>
    <x v="47"/>
    <x v="193"/>
    <x v="109"/>
    <x v="0"/>
    <x v="1609"/>
    <x v="329"/>
    <x v="307"/>
    <x v="424"/>
    <x v="1293"/>
    <x v="1677"/>
    <x v="1674"/>
    <x v="1617"/>
    <x v="1"/>
    <x v="1666"/>
    <x v="1677"/>
    <x v="286"/>
    <x v="0"/>
    <x v="0"/>
    <x v="2"/>
    <x v="82"/>
    <x v="43"/>
    <x v="285"/>
    <x v="51"/>
    <x v="3"/>
    <x v="1"/>
    <x v="0"/>
    <x v="1693"/>
  </r>
  <r>
    <x v="0"/>
    <x v="729"/>
    <x v="166"/>
    <x v="29"/>
    <x v="293"/>
    <x v="694"/>
    <x v="0"/>
    <x v="1610"/>
    <x v="168"/>
    <x v="398"/>
    <x v="749"/>
    <x v="1294"/>
    <x v="1678"/>
    <x v="1675"/>
    <x v="1618"/>
    <x v="0"/>
    <x v="1667"/>
    <x v="1678"/>
    <x v="320"/>
    <x v="0"/>
    <x v="0"/>
    <x v="4"/>
    <x v="116"/>
    <x v="8"/>
    <x v="449"/>
    <x v="10"/>
    <x v="3"/>
    <x v="1"/>
    <x v="0"/>
    <x v="1694"/>
  </r>
  <r>
    <x v="0"/>
    <x v="730"/>
    <x v="321"/>
    <x v="41"/>
    <x v="216"/>
    <x v="120"/>
    <x v="256"/>
    <x v="1611"/>
    <x v="513"/>
    <x v="676"/>
    <x v="271"/>
    <x v="804"/>
    <x v="1679"/>
    <x v="1676"/>
    <x v="1395"/>
    <x v="0"/>
    <x v="1668"/>
    <x v="1679"/>
    <x v="742"/>
    <x v="0"/>
    <x v="0"/>
    <x v="0"/>
    <x v="116"/>
    <x v="12"/>
    <x v="183"/>
    <x v="37"/>
    <x v="1"/>
    <x v="1"/>
    <x v="0"/>
    <x v="1695"/>
  </r>
  <r>
    <x v="0"/>
    <x v="340"/>
    <x v="345"/>
    <x v="45"/>
    <x v="0"/>
    <x v="352"/>
    <x v="345"/>
    <x v="1612"/>
    <x v="127"/>
    <x v="619"/>
    <x v="1102"/>
    <x v="1295"/>
    <x v="1680"/>
    <x v="1677"/>
    <x v="1619"/>
    <x v="4"/>
    <x v="1669"/>
    <x v="1680"/>
    <x v="715"/>
    <x v="0"/>
    <x v="0"/>
    <x v="0"/>
    <x v="116"/>
    <x v="17"/>
    <x v="553"/>
    <x v="23"/>
    <x v="3"/>
    <x v="293"/>
    <x v="0"/>
    <x v="1696"/>
  </r>
  <r>
    <x v="0"/>
    <x v="524"/>
    <x v="288"/>
    <x v="37"/>
    <x v="249"/>
    <x v="183"/>
    <x v="371"/>
    <x v="1613"/>
    <x v="260"/>
    <x v="677"/>
    <x v="1103"/>
    <x v="1296"/>
    <x v="1681"/>
    <x v="1678"/>
    <x v="723"/>
    <x v="0"/>
    <x v="1670"/>
    <x v="1681"/>
    <x v="752"/>
    <x v="0"/>
    <x v="0"/>
    <x v="0"/>
    <x v="116"/>
    <x v="14"/>
    <x v="595"/>
    <x v="15"/>
    <x v="1"/>
    <x v="1"/>
    <x v="0"/>
    <x v="1697"/>
  </r>
  <r>
    <x v="0"/>
    <x v="317"/>
    <x v="201"/>
    <x v="11"/>
    <x v="137"/>
    <x v="634"/>
    <x v="78"/>
    <x v="1614"/>
    <x v="476"/>
    <x v="678"/>
    <x v="1104"/>
    <x v="1297"/>
    <x v="1682"/>
    <x v="1679"/>
    <x v="1620"/>
    <x v="1"/>
    <x v="1671"/>
    <x v="1682"/>
    <x v="579"/>
    <x v="0"/>
    <x v="0"/>
    <x v="4"/>
    <x v="116"/>
    <x v="10"/>
    <x v="596"/>
    <x v="21"/>
    <x v="3"/>
    <x v="33"/>
    <x v="0"/>
    <x v="1698"/>
  </r>
  <r>
    <x v="0"/>
    <x v="427"/>
    <x v="279"/>
    <x v="13"/>
    <x v="0"/>
    <x v="0"/>
    <x v="29"/>
    <x v="1615"/>
    <x v="415"/>
    <x v="34"/>
    <x v="1105"/>
    <x v="0"/>
    <x v="1683"/>
    <x v="1680"/>
    <x v="1621"/>
    <x v="0"/>
    <x v="1672"/>
    <x v="1683"/>
    <x v="784"/>
    <x v="0"/>
    <x v="0"/>
    <x v="0"/>
    <x v="116"/>
    <x v="12"/>
    <x v="324"/>
    <x v="10"/>
    <x v="1"/>
    <x v="1"/>
    <x v="0"/>
    <x v="1699"/>
  </r>
  <r>
    <x v="0"/>
    <x v="731"/>
    <x v="69"/>
    <x v="7"/>
    <x v="47"/>
    <x v="148"/>
    <x v="79"/>
    <x v="1616"/>
    <x v="5"/>
    <x v="679"/>
    <x v="1106"/>
    <x v="182"/>
    <x v="1684"/>
    <x v="1681"/>
    <x v="1622"/>
    <x v="3"/>
    <x v="1673"/>
    <x v="1684"/>
    <x v="542"/>
    <x v="0"/>
    <x v="0"/>
    <x v="0"/>
    <x v="116"/>
    <x v="15"/>
    <x v="597"/>
    <x v="54"/>
    <x v="1"/>
    <x v="159"/>
    <x v="0"/>
    <x v="1700"/>
  </r>
  <r>
    <x v="0"/>
    <x v="435"/>
    <x v="219"/>
    <x v="7"/>
    <x v="236"/>
    <x v="273"/>
    <x v="20"/>
    <x v="1617"/>
    <x v="159"/>
    <x v="21"/>
    <x v="1107"/>
    <x v="569"/>
    <x v="1685"/>
    <x v="1682"/>
    <x v="1623"/>
    <x v="0"/>
    <x v="1674"/>
    <x v="1685"/>
    <x v="627"/>
    <x v="0"/>
    <x v="0"/>
    <x v="4"/>
    <x v="116"/>
    <x v="15"/>
    <x v="52"/>
    <x v="34"/>
    <x v="3"/>
    <x v="311"/>
    <x v="0"/>
    <x v="1701"/>
  </r>
  <r>
    <x v="0"/>
    <x v="481"/>
    <x v="335"/>
    <x v="7"/>
    <x v="139"/>
    <x v="345"/>
    <x v="372"/>
    <x v="1618"/>
    <x v="20"/>
    <x v="680"/>
    <x v="1108"/>
    <x v="469"/>
    <x v="1686"/>
    <x v="1683"/>
    <x v="1624"/>
    <x v="0"/>
    <x v="1675"/>
    <x v="1686"/>
    <x v="279"/>
    <x v="0"/>
    <x v="0"/>
    <x v="2"/>
    <x v="91"/>
    <x v="0"/>
    <x v="90"/>
    <x v="59"/>
    <x v="1"/>
    <x v="1"/>
    <x v="0"/>
    <x v="1702"/>
  </r>
  <r>
    <x v="0"/>
    <x v="732"/>
    <x v="34"/>
    <x v="86"/>
    <x v="294"/>
    <x v="143"/>
    <x v="358"/>
    <x v="1619"/>
    <x v="23"/>
    <x v="651"/>
    <x v="1109"/>
    <x v="1298"/>
    <x v="1687"/>
    <x v="1684"/>
    <x v="1625"/>
    <x v="4"/>
    <x v="1676"/>
    <x v="1687"/>
    <x v="150"/>
    <x v="0"/>
    <x v="0"/>
    <x v="4"/>
    <x v="91"/>
    <x v="9"/>
    <x v="598"/>
    <x v="21"/>
    <x v="1"/>
    <x v="4"/>
    <x v="0"/>
    <x v="1703"/>
  </r>
  <r>
    <x v="0"/>
    <x v="733"/>
    <x v="335"/>
    <x v="58"/>
    <x v="85"/>
    <x v="609"/>
    <x v="13"/>
    <x v="1620"/>
    <x v="251"/>
    <x v="158"/>
    <x v="1096"/>
    <x v="1299"/>
    <x v="1688"/>
    <x v="1685"/>
    <x v="1626"/>
    <x v="1"/>
    <x v="1677"/>
    <x v="1688"/>
    <x v="251"/>
    <x v="0"/>
    <x v="0"/>
    <x v="0"/>
    <x v="131"/>
    <x v="14"/>
    <x v="37"/>
    <x v="30"/>
    <x v="1"/>
    <x v="312"/>
    <x v="0"/>
    <x v="1704"/>
  </r>
  <r>
    <x v="0"/>
    <x v="734"/>
    <x v="409"/>
    <x v="59"/>
    <x v="221"/>
    <x v="209"/>
    <x v="373"/>
    <x v="1621"/>
    <x v="127"/>
    <x v="681"/>
    <x v="1110"/>
    <x v="1300"/>
    <x v="1689"/>
    <x v="1686"/>
    <x v="1627"/>
    <x v="0"/>
    <x v="1678"/>
    <x v="1689"/>
    <x v="756"/>
    <x v="0"/>
    <x v="0"/>
    <x v="0"/>
    <x v="154"/>
    <x v="14"/>
    <x v="599"/>
    <x v="9"/>
    <x v="1"/>
    <x v="1"/>
    <x v="0"/>
    <x v="1705"/>
  </r>
  <r>
    <x v="0"/>
    <x v="735"/>
    <x v="379"/>
    <x v="107"/>
    <x v="85"/>
    <x v="695"/>
    <x v="0"/>
    <x v="1622"/>
    <x v="233"/>
    <x v="52"/>
    <x v="1111"/>
    <x v="1301"/>
    <x v="1690"/>
    <x v="1687"/>
    <x v="1628"/>
    <x v="0"/>
    <x v="1679"/>
    <x v="1690"/>
    <x v="785"/>
    <x v="0"/>
    <x v="0"/>
    <x v="2"/>
    <x v="116"/>
    <x v="10"/>
    <x v="180"/>
    <x v="30"/>
    <x v="3"/>
    <x v="1"/>
    <x v="0"/>
    <x v="1706"/>
  </r>
  <r>
    <x v="0"/>
    <x v="644"/>
    <x v="283"/>
    <x v="26"/>
    <x v="277"/>
    <x v="666"/>
    <x v="2"/>
    <x v="1623"/>
    <x v="270"/>
    <x v="130"/>
    <x v="568"/>
    <x v="1302"/>
    <x v="1691"/>
    <x v="1688"/>
    <x v="1629"/>
    <x v="3"/>
    <x v="1680"/>
    <x v="1691"/>
    <x v="270"/>
    <x v="0"/>
    <x v="0"/>
    <x v="0"/>
    <x v="116"/>
    <x v="12"/>
    <x v="367"/>
    <x v="15"/>
    <x v="1"/>
    <x v="1"/>
    <x v="0"/>
    <x v="1707"/>
  </r>
  <r>
    <x v="0"/>
    <x v="255"/>
    <x v="140"/>
    <x v="32"/>
    <x v="0"/>
    <x v="147"/>
    <x v="14"/>
    <x v="1624"/>
    <x v="514"/>
    <x v="490"/>
    <x v="1112"/>
    <x v="179"/>
    <x v="1692"/>
    <x v="1689"/>
    <x v="1630"/>
    <x v="1"/>
    <x v="1681"/>
    <x v="1692"/>
    <x v="191"/>
    <x v="0"/>
    <x v="1"/>
    <x v="0"/>
    <x v="88"/>
    <x v="0"/>
    <x v="600"/>
    <x v="2"/>
    <x v="3"/>
    <x v="64"/>
    <x v="0"/>
    <x v="1708"/>
  </r>
  <r>
    <x v="0"/>
    <x v="736"/>
    <x v="229"/>
    <x v="90"/>
    <x v="69"/>
    <x v="54"/>
    <x v="16"/>
    <x v="1625"/>
    <x v="200"/>
    <x v="17"/>
    <x v="1113"/>
    <x v="1303"/>
    <x v="1693"/>
    <x v="1690"/>
    <x v="5"/>
    <x v="4"/>
    <x v="1682"/>
    <x v="1693"/>
    <x v="499"/>
    <x v="0"/>
    <x v="4"/>
    <x v="4"/>
    <x v="4"/>
    <x v="5"/>
    <x v="389"/>
    <x v="11"/>
    <x v="1"/>
    <x v="1"/>
    <x v="0"/>
    <x v="1709"/>
  </r>
  <r>
    <x v="0"/>
    <x v="113"/>
    <x v="441"/>
    <x v="141"/>
    <x v="88"/>
    <x v="636"/>
    <x v="374"/>
    <x v="4"/>
    <x v="168"/>
    <x v="682"/>
    <x v="1114"/>
    <x v="1304"/>
    <x v="1694"/>
    <x v="1691"/>
    <x v="1631"/>
    <x v="0"/>
    <x v="1683"/>
    <x v="1694"/>
    <x v="786"/>
    <x v="14"/>
    <x v="27"/>
    <x v="1"/>
    <x v="4"/>
    <x v="4"/>
    <x v="255"/>
    <x v="17"/>
    <x v="12"/>
    <x v="1"/>
    <x v="0"/>
    <x v="1710"/>
  </r>
  <r>
    <x v="0"/>
    <x v="493"/>
    <x v="141"/>
    <x v="76"/>
    <x v="169"/>
    <x v="248"/>
    <x v="22"/>
    <x v="1626"/>
    <x v="111"/>
    <x v="77"/>
    <x v="1115"/>
    <x v="792"/>
    <x v="1695"/>
    <x v="1692"/>
    <x v="1632"/>
    <x v="3"/>
    <x v="1684"/>
    <x v="1695"/>
    <x v="581"/>
    <x v="0"/>
    <x v="0"/>
    <x v="4"/>
    <x v="116"/>
    <x v="9"/>
    <x v="294"/>
    <x v="23"/>
    <x v="1"/>
    <x v="1"/>
    <x v="0"/>
    <x v="1711"/>
  </r>
  <r>
    <x v="0"/>
    <x v="505"/>
    <x v="318"/>
    <x v="56"/>
    <x v="195"/>
    <x v="119"/>
    <x v="239"/>
    <x v="1627"/>
    <x v="28"/>
    <x v="683"/>
    <x v="1116"/>
    <x v="1305"/>
    <x v="1696"/>
    <x v="1693"/>
    <x v="1633"/>
    <x v="4"/>
    <x v="1685"/>
    <x v="1696"/>
    <x v="59"/>
    <x v="0"/>
    <x v="0"/>
    <x v="0"/>
    <x v="116"/>
    <x v="18"/>
    <x v="346"/>
    <x v="9"/>
    <x v="1"/>
    <x v="1"/>
    <x v="0"/>
    <x v="1712"/>
  </r>
  <r>
    <x v="0"/>
    <x v="103"/>
    <x v="370"/>
    <x v="40"/>
    <x v="81"/>
    <x v="10"/>
    <x v="11"/>
    <x v="1628"/>
    <x v="156"/>
    <x v="156"/>
    <x v="65"/>
    <x v="907"/>
    <x v="1697"/>
    <x v="1694"/>
    <x v="1634"/>
    <x v="3"/>
    <x v="1686"/>
    <x v="1697"/>
    <x v="787"/>
    <x v="0"/>
    <x v="0"/>
    <x v="4"/>
    <x v="135"/>
    <x v="30"/>
    <x v="6"/>
    <x v="0"/>
    <x v="3"/>
    <x v="1"/>
    <x v="0"/>
    <x v="1713"/>
  </r>
  <r>
    <x v="0"/>
    <x v="737"/>
    <x v="387"/>
    <x v="133"/>
    <x v="0"/>
    <x v="437"/>
    <x v="13"/>
    <x v="1629"/>
    <x v="152"/>
    <x v="158"/>
    <x v="862"/>
    <x v="641"/>
    <x v="1698"/>
    <x v="1695"/>
    <x v="1635"/>
    <x v="8"/>
    <x v="1687"/>
    <x v="1698"/>
    <x v="597"/>
    <x v="0"/>
    <x v="20"/>
    <x v="4"/>
    <x v="116"/>
    <x v="31"/>
    <x v="500"/>
    <x v="26"/>
    <x v="3"/>
    <x v="85"/>
    <x v="0"/>
    <x v="1714"/>
  </r>
  <r>
    <x v="0"/>
    <x v="738"/>
    <x v="259"/>
    <x v="34"/>
    <x v="199"/>
    <x v="396"/>
    <x v="22"/>
    <x v="1630"/>
    <x v="28"/>
    <x v="78"/>
    <x v="1117"/>
    <x v="1306"/>
    <x v="1699"/>
    <x v="1696"/>
    <x v="1636"/>
    <x v="4"/>
    <x v="1688"/>
    <x v="1699"/>
    <x v="405"/>
    <x v="0"/>
    <x v="0"/>
    <x v="4"/>
    <x v="116"/>
    <x v="9"/>
    <x v="601"/>
    <x v="12"/>
    <x v="1"/>
    <x v="1"/>
    <x v="0"/>
    <x v="1715"/>
  </r>
  <r>
    <x v="0"/>
    <x v="739"/>
    <x v="338"/>
    <x v="22"/>
    <x v="217"/>
    <x v="558"/>
    <x v="21"/>
    <x v="1631"/>
    <x v="17"/>
    <x v="210"/>
    <x v="160"/>
    <x v="885"/>
    <x v="1700"/>
    <x v="1697"/>
    <x v="1637"/>
    <x v="3"/>
    <x v="1689"/>
    <x v="1700"/>
    <x v="290"/>
    <x v="0"/>
    <x v="0"/>
    <x v="4"/>
    <x v="135"/>
    <x v="14"/>
    <x v="106"/>
    <x v="1"/>
    <x v="1"/>
    <x v="1"/>
    <x v="0"/>
    <x v="1716"/>
  </r>
  <r>
    <x v="0"/>
    <x v="435"/>
    <x v="353"/>
    <x v="56"/>
    <x v="236"/>
    <x v="414"/>
    <x v="35"/>
    <x v="1632"/>
    <x v="400"/>
    <x v="684"/>
    <x v="1118"/>
    <x v="601"/>
    <x v="1701"/>
    <x v="1698"/>
    <x v="887"/>
    <x v="0"/>
    <x v="1690"/>
    <x v="1701"/>
    <x v="575"/>
    <x v="0"/>
    <x v="10"/>
    <x v="4"/>
    <x v="131"/>
    <x v="19"/>
    <x v="602"/>
    <x v="4"/>
    <x v="3"/>
    <x v="313"/>
    <x v="0"/>
    <x v="1717"/>
  </r>
  <r>
    <x v="0"/>
    <x v="740"/>
    <x v="438"/>
    <x v="110"/>
    <x v="134"/>
    <x v="99"/>
    <x v="30"/>
    <x v="1633"/>
    <x v="515"/>
    <x v="50"/>
    <x v="91"/>
    <x v="1307"/>
    <x v="1702"/>
    <x v="1699"/>
    <x v="1638"/>
    <x v="1"/>
    <x v="1691"/>
    <x v="1702"/>
    <x v="785"/>
    <x v="0"/>
    <x v="0"/>
    <x v="0"/>
    <x v="4"/>
    <x v="12"/>
    <x v="12"/>
    <x v="61"/>
    <x v="3"/>
    <x v="223"/>
    <x v="0"/>
    <x v="1718"/>
  </r>
  <r>
    <x v="0"/>
    <x v="693"/>
    <x v="310"/>
    <x v="76"/>
    <x v="225"/>
    <x v="250"/>
    <x v="375"/>
    <x v="1634"/>
    <x v="425"/>
    <x v="685"/>
    <x v="1119"/>
    <x v="1308"/>
    <x v="1703"/>
    <x v="1700"/>
    <x v="1639"/>
    <x v="1"/>
    <x v="1692"/>
    <x v="1703"/>
    <x v="593"/>
    <x v="0"/>
    <x v="1"/>
    <x v="2"/>
    <x v="116"/>
    <x v="7"/>
    <x v="208"/>
    <x v="15"/>
    <x v="1"/>
    <x v="1"/>
    <x v="0"/>
    <x v="1719"/>
  </r>
  <r>
    <x v="0"/>
    <x v="741"/>
    <x v="362"/>
    <x v="33"/>
    <x v="176"/>
    <x v="203"/>
    <x v="371"/>
    <x v="1635"/>
    <x v="451"/>
    <x v="686"/>
    <x v="1120"/>
    <x v="1309"/>
    <x v="1704"/>
    <x v="1701"/>
    <x v="1094"/>
    <x v="0"/>
    <x v="1693"/>
    <x v="1704"/>
    <x v="320"/>
    <x v="4"/>
    <x v="9"/>
    <x v="0"/>
    <x v="81"/>
    <x v="12"/>
    <x v="603"/>
    <x v="23"/>
    <x v="1"/>
    <x v="234"/>
    <x v="0"/>
    <x v="1720"/>
  </r>
  <r>
    <x v="0"/>
    <x v="742"/>
    <x v="382"/>
    <x v="101"/>
    <x v="80"/>
    <x v="13"/>
    <x v="327"/>
    <x v="1636"/>
    <x v="9"/>
    <x v="687"/>
    <x v="1121"/>
    <x v="1310"/>
    <x v="1705"/>
    <x v="1702"/>
    <x v="1640"/>
    <x v="2"/>
    <x v="1694"/>
    <x v="1705"/>
    <x v="454"/>
    <x v="0"/>
    <x v="0"/>
    <x v="0"/>
    <x v="175"/>
    <x v="7"/>
    <x v="15"/>
    <x v="30"/>
    <x v="1"/>
    <x v="1"/>
    <x v="0"/>
    <x v="1721"/>
  </r>
  <r>
    <x v="0"/>
    <x v="743"/>
    <x v="446"/>
    <x v="130"/>
    <x v="214"/>
    <x v="268"/>
    <x v="2"/>
    <x v="1637"/>
    <x v="516"/>
    <x v="75"/>
    <x v="114"/>
    <x v="347"/>
    <x v="1706"/>
    <x v="1703"/>
    <x v="1641"/>
    <x v="0"/>
    <x v="1695"/>
    <x v="1706"/>
    <x v="359"/>
    <x v="0"/>
    <x v="0"/>
    <x v="4"/>
    <x v="116"/>
    <x v="1"/>
    <x v="10"/>
    <x v="7"/>
    <x v="1"/>
    <x v="1"/>
    <x v="0"/>
    <x v="1722"/>
  </r>
  <r>
    <x v="0"/>
    <x v="744"/>
    <x v="315"/>
    <x v="61"/>
    <x v="0"/>
    <x v="696"/>
    <x v="27"/>
    <x v="1638"/>
    <x v="77"/>
    <x v="28"/>
    <x v="682"/>
    <x v="1311"/>
    <x v="1707"/>
    <x v="1704"/>
    <x v="1642"/>
    <x v="0"/>
    <x v="1696"/>
    <x v="1707"/>
    <x v="788"/>
    <x v="4"/>
    <x v="9"/>
    <x v="4"/>
    <x v="135"/>
    <x v="10"/>
    <x v="200"/>
    <x v="19"/>
    <x v="1"/>
    <x v="1"/>
    <x v="0"/>
    <x v="1723"/>
  </r>
  <r>
    <x v="0"/>
    <x v="745"/>
    <x v="392"/>
    <x v="43"/>
    <x v="216"/>
    <x v="237"/>
    <x v="376"/>
    <x v="4"/>
    <x v="238"/>
    <x v="688"/>
    <x v="1122"/>
    <x v="1312"/>
    <x v="1708"/>
    <x v="1705"/>
    <x v="1643"/>
    <x v="6"/>
    <x v="1697"/>
    <x v="1708"/>
    <x v="789"/>
    <x v="3"/>
    <x v="10"/>
    <x v="1"/>
    <x v="4"/>
    <x v="0"/>
    <x v="141"/>
    <x v="13"/>
    <x v="3"/>
    <x v="1"/>
    <x v="0"/>
    <x v="1724"/>
  </r>
  <r>
    <x v="0"/>
    <x v="172"/>
    <x v="335"/>
    <x v="80"/>
    <x v="124"/>
    <x v="697"/>
    <x v="8"/>
    <x v="4"/>
    <x v="28"/>
    <x v="35"/>
    <x v="302"/>
    <x v="1313"/>
    <x v="1709"/>
    <x v="1706"/>
    <x v="1644"/>
    <x v="0"/>
    <x v="1698"/>
    <x v="1709"/>
    <x v="340"/>
    <x v="0"/>
    <x v="0"/>
    <x v="4"/>
    <x v="116"/>
    <x v="2"/>
    <x v="204"/>
    <x v="23"/>
    <x v="1"/>
    <x v="1"/>
    <x v="0"/>
    <x v="1725"/>
  </r>
  <r>
    <x v="0"/>
    <x v="12"/>
    <x v="295"/>
    <x v="74"/>
    <x v="7"/>
    <x v="698"/>
    <x v="11"/>
    <x v="1639"/>
    <x v="517"/>
    <x v="69"/>
    <x v="1123"/>
    <x v="1314"/>
    <x v="1710"/>
    <x v="1707"/>
    <x v="1645"/>
    <x v="1"/>
    <x v="1699"/>
    <x v="1710"/>
    <x v="390"/>
    <x v="0"/>
    <x v="0"/>
    <x v="4"/>
    <x v="116"/>
    <x v="10"/>
    <x v="30"/>
    <x v="2"/>
    <x v="1"/>
    <x v="90"/>
    <x v="0"/>
    <x v="1726"/>
  </r>
  <r>
    <x v="0"/>
    <x v="746"/>
    <x v="413"/>
    <x v="41"/>
    <x v="143"/>
    <x v="446"/>
    <x v="0"/>
    <x v="4"/>
    <x v="233"/>
    <x v="51"/>
    <x v="1034"/>
    <x v="650"/>
    <x v="1711"/>
    <x v="1708"/>
    <x v="1646"/>
    <x v="0"/>
    <x v="1700"/>
    <x v="1711"/>
    <x v="704"/>
    <x v="15"/>
    <x v="8"/>
    <x v="2"/>
    <x v="4"/>
    <x v="5"/>
    <x v="103"/>
    <x v="41"/>
    <x v="6"/>
    <x v="157"/>
    <x v="0"/>
    <x v="1727"/>
  </r>
  <r>
    <x v="0"/>
    <x v="649"/>
    <x v="303"/>
    <x v="34"/>
    <x v="111"/>
    <x v="660"/>
    <x v="240"/>
    <x v="4"/>
    <x v="406"/>
    <x v="623"/>
    <x v="1124"/>
    <x v="1315"/>
    <x v="1712"/>
    <x v="1709"/>
    <x v="4"/>
    <x v="1"/>
    <x v="1701"/>
    <x v="1712"/>
    <x v="790"/>
    <x v="0"/>
    <x v="8"/>
    <x v="4"/>
    <x v="116"/>
    <x v="1"/>
    <x v="604"/>
    <x v="1"/>
    <x v="1"/>
    <x v="1"/>
    <x v="0"/>
    <x v="1728"/>
  </r>
  <r>
    <x v="0"/>
    <x v="747"/>
    <x v="478"/>
    <x v="47"/>
    <x v="174"/>
    <x v="179"/>
    <x v="263"/>
    <x v="4"/>
    <x v="184"/>
    <x v="478"/>
    <x v="22"/>
    <x v="1316"/>
    <x v="1713"/>
    <x v="1710"/>
    <x v="678"/>
    <x v="2"/>
    <x v="1702"/>
    <x v="1713"/>
    <x v="636"/>
    <x v="0"/>
    <x v="10"/>
    <x v="9"/>
    <x v="151"/>
    <x v="11"/>
    <x v="19"/>
    <x v="62"/>
    <x v="1"/>
    <x v="1"/>
    <x v="0"/>
    <x v="1729"/>
  </r>
  <r>
    <x v="0"/>
    <x v="748"/>
    <x v="125"/>
    <x v="33"/>
    <x v="226"/>
    <x v="397"/>
    <x v="168"/>
    <x v="4"/>
    <x v="425"/>
    <x v="689"/>
    <x v="273"/>
    <x v="923"/>
    <x v="1714"/>
    <x v="1711"/>
    <x v="1647"/>
    <x v="3"/>
    <x v="1703"/>
    <x v="1714"/>
    <x v="496"/>
    <x v="0"/>
    <x v="28"/>
    <x v="1"/>
    <x v="116"/>
    <x v="11"/>
    <x v="185"/>
    <x v="20"/>
    <x v="1"/>
    <x v="71"/>
    <x v="0"/>
    <x v="1730"/>
  </r>
  <r>
    <x v="0"/>
    <x v="749"/>
    <x v="451"/>
    <x v="79"/>
    <x v="0"/>
    <x v="502"/>
    <x v="377"/>
    <x v="4"/>
    <x v="518"/>
    <x v="690"/>
    <x v="937"/>
    <x v="1317"/>
    <x v="1715"/>
    <x v="1712"/>
    <x v="1648"/>
    <x v="1"/>
    <x v="1704"/>
    <x v="1715"/>
    <x v="791"/>
    <x v="9"/>
    <x v="21"/>
    <x v="1"/>
    <x v="116"/>
    <x v="2"/>
    <x v="213"/>
    <x v="54"/>
    <x v="2"/>
    <x v="227"/>
    <x v="0"/>
    <x v="1731"/>
  </r>
  <r>
    <x v="0"/>
    <x v="750"/>
    <x v="392"/>
    <x v="47"/>
    <x v="68"/>
    <x v="670"/>
    <x v="0"/>
    <x v="4"/>
    <x v="171"/>
    <x v="167"/>
    <x v="176"/>
    <x v="1318"/>
    <x v="1716"/>
    <x v="1713"/>
    <x v="1649"/>
    <x v="0"/>
    <x v="1705"/>
    <x v="1716"/>
    <x v="586"/>
    <x v="0"/>
    <x v="20"/>
    <x v="4"/>
    <x v="116"/>
    <x v="19"/>
    <x v="120"/>
    <x v="10"/>
    <x v="3"/>
    <x v="314"/>
    <x v="0"/>
    <x v="1732"/>
  </r>
  <r>
    <x v="0"/>
    <x v="751"/>
    <x v="409"/>
    <x v="71"/>
    <x v="78"/>
    <x v="584"/>
    <x v="2"/>
    <x v="4"/>
    <x v="519"/>
    <x v="182"/>
    <x v="62"/>
    <x v="944"/>
    <x v="1717"/>
    <x v="1714"/>
    <x v="1650"/>
    <x v="0"/>
    <x v="1706"/>
    <x v="1717"/>
    <x v="792"/>
    <x v="0"/>
    <x v="0"/>
    <x v="4"/>
    <x v="166"/>
    <x v="6"/>
    <x v="9"/>
    <x v="7"/>
    <x v="3"/>
    <x v="38"/>
    <x v="0"/>
    <x v="1733"/>
  </r>
  <r>
    <x v="0"/>
    <x v="752"/>
    <x v="248"/>
    <x v="69"/>
    <x v="0"/>
    <x v="427"/>
    <x v="14"/>
    <x v="1640"/>
    <x v="430"/>
    <x v="219"/>
    <x v="1125"/>
    <x v="1319"/>
    <x v="1718"/>
    <x v="1715"/>
    <x v="1651"/>
    <x v="8"/>
    <x v="1707"/>
    <x v="1718"/>
    <x v="647"/>
    <x v="0"/>
    <x v="0"/>
    <x v="0"/>
    <x v="163"/>
    <x v="2"/>
    <x v="30"/>
    <x v="12"/>
    <x v="3"/>
    <x v="13"/>
    <x v="0"/>
    <x v="1734"/>
  </r>
  <r>
    <x v="0"/>
    <x v="141"/>
    <x v="139"/>
    <x v="9"/>
    <x v="105"/>
    <x v="150"/>
    <x v="378"/>
    <x v="1641"/>
    <x v="520"/>
    <x v="691"/>
    <x v="1126"/>
    <x v="1320"/>
    <x v="1719"/>
    <x v="1716"/>
    <x v="1652"/>
    <x v="0"/>
    <x v="1708"/>
    <x v="1719"/>
    <x v="313"/>
    <x v="0"/>
    <x v="0"/>
    <x v="0"/>
    <x v="168"/>
    <x v="12"/>
    <x v="296"/>
    <x v="0"/>
    <x v="6"/>
    <x v="59"/>
    <x v="0"/>
    <x v="1735"/>
  </r>
  <r>
    <x v="0"/>
    <x v="113"/>
    <x v="457"/>
    <x v="142"/>
    <x v="88"/>
    <x v="227"/>
    <x v="379"/>
    <x v="4"/>
    <x v="521"/>
    <x v="692"/>
    <x v="1127"/>
    <x v="1321"/>
    <x v="1720"/>
    <x v="1717"/>
    <x v="1653"/>
    <x v="0"/>
    <x v="1709"/>
    <x v="1720"/>
    <x v="388"/>
    <x v="0"/>
    <x v="0"/>
    <x v="5"/>
    <x v="4"/>
    <x v="4"/>
    <x v="454"/>
    <x v="32"/>
    <x v="12"/>
    <x v="85"/>
    <x v="0"/>
    <x v="1736"/>
  </r>
  <r>
    <x v="0"/>
    <x v="753"/>
    <x v="263"/>
    <x v="57"/>
    <x v="0"/>
    <x v="418"/>
    <x v="380"/>
    <x v="1642"/>
    <x v="105"/>
    <x v="693"/>
    <x v="1128"/>
    <x v="609"/>
    <x v="1721"/>
    <x v="1718"/>
    <x v="1654"/>
    <x v="3"/>
    <x v="1710"/>
    <x v="1721"/>
    <x v="545"/>
    <x v="0"/>
    <x v="0"/>
    <x v="0"/>
    <x v="116"/>
    <x v="21"/>
    <x v="230"/>
    <x v="21"/>
    <x v="3"/>
    <x v="1"/>
    <x v="0"/>
    <x v="1737"/>
  </r>
  <r>
    <x v="0"/>
    <x v="441"/>
    <x v="372"/>
    <x v="71"/>
    <x v="69"/>
    <x v="699"/>
    <x v="0"/>
    <x v="1643"/>
    <x v="56"/>
    <x v="51"/>
    <x v="1129"/>
    <x v="1322"/>
    <x v="1722"/>
    <x v="1719"/>
    <x v="1137"/>
    <x v="0"/>
    <x v="1711"/>
    <x v="1722"/>
    <x v="592"/>
    <x v="0"/>
    <x v="1"/>
    <x v="2"/>
    <x v="163"/>
    <x v="13"/>
    <x v="605"/>
    <x v="27"/>
    <x v="3"/>
    <x v="1"/>
    <x v="0"/>
    <x v="1738"/>
  </r>
  <r>
    <x v="0"/>
    <x v="84"/>
    <x v="1"/>
    <x v="40"/>
    <x v="67"/>
    <x v="1"/>
    <x v="35"/>
    <x v="1644"/>
    <x v="270"/>
    <x v="112"/>
    <x v="449"/>
    <x v="94"/>
    <x v="1723"/>
    <x v="1720"/>
    <x v="312"/>
    <x v="1"/>
    <x v="1712"/>
    <x v="1723"/>
    <x v="187"/>
    <x v="0"/>
    <x v="0"/>
    <x v="4"/>
    <x v="82"/>
    <x v="8"/>
    <x v="30"/>
    <x v="16"/>
    <x v="1"/>
    <x v="1"/>
    <x v="0"/>
    <x v="1739"/>
  </r>
  <r>
    <x v="0"/>
    <x v="299"/>
    <x v="198"/>
    <x v="18"/>
    <x v="0"/>
    <x v="700"/>
    <x v="381"/>
    <x v="4"/>
    <x v="522"/>
    <x v="694"/>
    <x v="1130"/>
    <x v="1323"/>
    <x v="1724"/>
    <x v="1721"/>
    <x v="1655"/>
    <x v="0"/>
    <x v="1713"/>
    <x v="1724"/>
    <x v="355"/>
    <x v="0"/>
    <x v="0"/>
    <x v="4"/>
    <x v="163"/>
    <x v="19"/>
    <x v="338"/>
    <x v="1"/>
    <x v="1"/>
    <x v="67"/>
    <x v="0"/>
    <x v="1740"/>
  </r>
  <r>
    <x v="0"/>
    <x v="529"/>
    <x v="272"/>
    <x v="77"/>
    <x v="233"/>
    <x v="513"/>
    <x v="35"/>
    <x v="1645"/>
    <x v="127"/>
    <x v="499"/>
    <x v="1131"/>
    <x v="1004"/>
    <x v="1725"/>
    <x v="1722"/>
    <x v="1656"/>
    <x v="4"/>
    <x v="1714"/>
    <x v="1725"/>
    <x v="420"/>
    <x v="0"/>
    <x v="8"/>
    <x v="0"/>
    <x v="163"/>
    <x v="19"/>
    <x v="57"/>
    <x v="43"/>
    <x v="3"/>
    <x v="315"/>
    <x v="0"/>
    <x v="1741"/>
  </r>
  <r>
    <x v="0"/>
    <x v="754"/>
    <x v="166"/>
    <x v="77"/>
    <x v="295"/>
    <x v="161"/>
    <x v="13"/>
    <x v="1646"/>
    <x v="125"/>
    <x v="13"/>
    <x v="31"/>
    <x v="659"/>
    <x v="1726"/>
    <x v="1723"/>
    <x v="1657"/>
    <x v="1"/>
    <x v="1715"/>
    <x v="1726"/>
    <x v="793"/>
    <x v="0"/>
    <x v="0"/>
    <x v="4"/>
    <x v="163"/>
    <x v="6"/>
    <x v="25"/>
    <x v="43"/>
    <x v="3"/>
    <x v="1"/>
    <x v="0"/>
    <x v="1742"/>
  </r>
  <r>
    <x v="0"/>
    <x v="755"/>
    <x v="479"/>
    <x v="21"/>
    <x v="0"/>
    <x v="369"/>
    <x v="11"/>
    <x v="1647"/>
    <x v="406"/>
    <x v="156"/>
    <x v="472"/>
    <x v="1324"/>
    <x v="1727"/>
    <x v="1724"/>
    <x v="1658"/>
    <x v="0"/>
    <x v="1716"/>
    <x v="1727"/>
    <x v="794"/>
    <x v="0"/>
    <x v="1"/>
    <x v="2"/>
    <x v="163"/>
    <x v="42"/>
    <x v="267"/>
    <x v="7"/>
    <x v="1"/>
    <x v="1"/>
    <x v="0"/>
    <x v="1743"/>
  </r>
  <r>
    <x v="1"/>
    <x v="321"/>
    <x v="409"/>
    <x v="52"/>
    <x v="200"/>
    <x v="332"/>
    <x v="2"/>
    <x v="1648"/>
    <x v="200"/>
    <x v="336"/>
    <x v="734"/>
    <x v="446"/>
    <x v="1728"/>
    <x v="1725"/>
    <x v="1659"/>
    <x v="2"/>
    <x v="1717"/>
    <x v="1728"/>
    <x v="400"/>
    <x v="0"/>
    <x v="0"/>
    <x v="4"/>
    <x v="168"/>
    <x v="15"/>
    <x v="30"/>
    <x v="8"/>
    <x v="1"/>
    <x v="316"/>
    <x v="0"/>
    <x v="1744"/>
  </r>
  <r>
    <x v="0"/>
    <x v="756"/>
    <x v="263"/>
    <x v="76"/>
    <x v="172"/>
    <x v="645"/>
    <x v="0"/>
    <x v="1649"/>
    <x v="499"/>
    <x v="251"/>
    <x v="266"/>
    <x v="1325"/>
    <x v="1729"/>
    <x v="1726"/>
    <x v="1660"/>
    <x v="0"/>
    <x v="1718"/>
    <x v="1729"/>
    <x v="178"/>
    <x v="0"/>
    <x v="29"/>
    <x v="4"/>
    <x v="176"/>
    <x v="14"/>
    <x v="180"/>
    <x v="41"/>
    <x v="3"/>
    <x v="1"/>
    <x v="0"/>
    <x v="1745"/>
  </r>
  <r>
    <x v="0"/>
    <x v="757"/>
    <x v="331"/>
    <x v="50"/>
    <x v="31"/>
    <x v="213"/>
    <x v="0"/>
    <x v="1650"/>
    <x v="178"/>
    <x v="543"/>
    <x v="1132"/>
    <x v="1326"/>
    <x v="1730"/>
    <x v="1727"/>
    <x v="1661"/>
    <x v="0"/>
    <x v="1719"/>
    <x v="1730"/>
    <x v="294"/>
    <x v="0"/>
    <x v="0"/>
    <x v="4"/>
    <x v="163"/>
    <x v="12"/>
    <x v="606"/>
    <x v="1"/>
    <x v="1"/>
    <x v="1"/>
    <x v="0"/>
    <x v="1746"/>
  </r>
  <r>
    <x v="0"/>
    <x v="161"/>
    <x v="310"/>
    <x v="78"/>
    <x v="117"/>
    <x v="559"/>
    <x v="49"/>
    <x v="1651"/>
    <x v="7"/>
    <x v="86"/>
    <x v="595"/>
    <x v="1327"/>
    <x v="1731"/>
    <x v="1728"/>
    <x v="1662"/>
    <x v="0"/>
    <x v="1720"/>
    <x v="1731"/>
    <x v="412"/>
    <x v="0"/>
    <x v="0"/>
    <x v="3"/>
    <x v="168"/>
    <x v="29"/>
    <x v="12"/>
    <x v="25"/>
    <x v="8"/>
    <x v="1"/>
    <x v="0"/>
    <x v="1747"/>
  </r>
  <r>
    <x v="0"/>
    <x v="273"/>
    <x v="165"/>
    <x v="143"/>
    <x v="70"/>
    <x v="498"/>
    <x v="382"/>
    <x v="1652"/>
    <x v="523"/>
    <x v="695"/>
    <x v="1133"/>
    <x v="1328"/>
    <x v="1732"/>
    <x v="1729"/>
    <x v="1663"/>
    <x v="0"/>
    <x v="1721"/>
    <x v="1732"/>
    <x v="569"/>
    <x v="0"/>
    <x v="0"/>
    <x v="4"/>
    <x v="168"/>
    <x v="2"/>
    <x v="267"/>
    <x v="0"/>
    <x v="1"/>
    <x v="317"/>
    <x v="0"/>
    <x v="1748"/>
  </r>
  <r>
    <x v="0"/>
    <x v="38"/>
    <x v="263"/>
    <x v="34"/>
    <x v="25"/>
    <x v="544"/>
    <x v="2"/>
    <x v="1653"/>
    <x v="9"/>
    <x v="42"/>
    <x v="1134"/>
    <x v="1258"/>
    <x v="1733"/>
    <x v="1730"/>
    <x v="1664"/>
    <x v="4"/>
    <x v="1722"/>
    <x v="1733"/>
    <x v="279"/>
    <x v="0"/>
    <x v="0"/>
    <x v="2"/>
    <x v="168"/>
    <x v="31"/>
    <x v="607"/>
    <x v="32"/>
    <x v="1"/>
    <x v="1"/>
    <x v="0"/>
    <x v="1749"/>
  </r>
  <r>
    <x v="0"/>
    <x v="758"/>
    <x v="399"/>
    <x v="105"/>
    <x v="78"/>
    <x v="525"/>
    <x v="358"/>
    <x v="1654"/>
    <x v="524"/>
    <x v="647"/>
    <x v="1135"/>
    <x v="1329"/>
    <x v="1734"/>
    <x v="1731"/>
    <x v="1389"/>
    <x v="0"/>
    <x v="1723"/>
    <x v="1734"/>
    <x v="450"/>
    <x v="0"/>
    <x v="0"/>
    <x v="3"/>
    <x v="151"/>
    <x v="20"/>
    <x v="238"/>
    <x v="18"/>
    <x v="3"/>
    <x v="318"/>
    <x v="0"/>
    <x v="1750"/>
  </r>
  <r>
    <x v="0"/>
    <x v="98"/>
    <x v="395"/>
    <x v="27"/>
    <x v="76"/>
    <x v="509"/>
    <x v="2"/>
    <x v="1655"/>
    <x v="168"/>
    <x v="130"/>
    <x v="709"/>
    <x v="765"/>
    <x v="1735"/>
    <x v="1732"/>
    <x v="1665"/>
    <x v="0"/>
    <x v="1724"/>
    <x v="1735"/>
    <x v="664"/>
    <x v="0"/>
    <x v="0"/>
    <x v="4"/>
    <x v="81"/>
    <x v="18"/>
    <x v="12"/>
    <x v="22"/>
    <x v="1"/>
    <x v="1"/>
    <x v="0"/>
    <x v="1751"/>
  </r>
  <r>
    <x v="0"/>
    <x v="491"/>
    <x v="314"/>
    <x v="47"/>
    <x v="253"/>
    <x v="666"/>
    <x v="2"/>
    <x v="4"/>
    <x v="525"/>
    <x v="209"/>
    <x v="1136"/>
    <x v="1330"/>
    <x v="1736"/>
    <x v="1733"/>
    <x v="1666"/>
    <x v="3"/>
    <x v="1725"/>
    <x v="1736"/>
    <x v="646"/>
    <x v="0"/>
    <x v="1"/>
    <x v="0"/>
    <x v="163"/>
    <x v="6"/>
    <x v="209"/>
    <x v="1"/>
    <x v="1"/>
    <x v="1"/>
    <x v="0"/>
    <x v="1752"/>
  </r>
  <r>
    <x v="0"/>
    <x v="423"/>
    <x v="305"/>
    <x v="58"/>
    <x v="0"/>
    <x v="326"/>
    <x v="1"/>
    <x v="1656"/>
    <x v="23"/>
    <x v="1"/>
    <x v="62"/>
    <x v="1331"/>
    <x v="1737"/>
    <x v="1734"/>
    <x v="1667"/>
    <x v="1"/>
    <x v="1726"/>
    <x v="1737"/>
    <x v="543"/>
    <x v="0"/>
    <x v="0"/>
    <x v="4"/>
    <x v="163"/>
    <x v="17"/>
    <x v="9"/>
    <x v="21"/>
    <x v="0"/>
    <x v="1"/>
    <x v="0"/>
    <x v="1753"/>
  </r>
  <r>
    <x v="0"/>
    <x v="131"/>
    <x v="167"/>
    <x v="22"/>
    <x v="97"/>
    <x v="347"/>
    <x v="9"/>
    <x v="1657"/>
    <x v="3"/>
    <x v="9"/>
    <x v="259"/>
    <x v="1332"/>
    <x v="1738"/>
    <x v="1735"/>
    <x v="1668"/>
    <x v="0"/>
    <x v="1727"/>
    <x v="1738"/>
    <x v="795"/>
    <x v="0"/>
    <x v="0"/>
    <x v="4"/>
    <x v="168"/>
    <x v="32"/>
    <x v="44"/>
    <x v="17"/>
    <x v="1"/>
    <x v="68"/>
    <x v="0"/>
    <x v="1754"/>
  </r>
  <r>
    <x v="0"/>
    <x v="669"/>
    <x v="247"/>
    <x v="59"/>
    <x v="282"/>
    <x v="216"/>
    <x v="75"/>
    <x v="1658"/>
    <x v="125"/>
    <x v="696"/>
    <x v="916"/>
    <x v="274"/>
    <x v="1739"/>
    <x v="1736"/>
    <x v="1669"/>
    <x v="1"/>
    <x v="1728"/>
    <x v="1739"/>
    <x v="796"/>
    <x v="0"/>
    <x v="8"/>
    <x v="4"/>
    <x v="168"/>
    <x v="8"/>
    <x v="521"/>
    <x v="8"/>
    <x v="3"/>
    <x v="1"/>
    <x v="0"/>
    <x v="1755"/>
  </r>
  <r>
    <x v="0"/>
    <x v="167"/>
    <x v="480"/>
    <x v="29"/>
    <x v="120"/>
    <x v="429"/>
    <x v="186"/>
    <x v="1659"/>
    <x v="239"/>
    <x v="350"/>
    <x v="3"/>
    <x v="1333"/>
    <x v="1740"/>
    <x v="1737"/>
    <x v="1670"/>
    <x v="2"/>
    <x v="1729"/>
    <x v="1740"/>
    <x v="278"/>
    <x v="0"/>
    <x v="0"/>
    <x v="4"/>
    <x v="168"/>
    <x v="2"/>
    <x v="3"/>
    <x v="6"/>
    <x v="1"/>
    <x v="319"/>
    <x v="0"/>
    <x v="1756"/>
  </r>
  <r>
    <x v="0"/>
    <x v="106"/>
    <x v="134"/>
    <x v="60"/>
    <x v="0"/>
    <x v="273"/>
    <x v="260"/>
    <x v="1660"/>
    <x v="379"/>
    <x v="473"/>
    <x v="1137"/>
    <x v="1334"/>
    <x v="1741"/>
    <x v="1738"/>
    <x v="1671"/>
    <x v="14"/>
    <x v="1730"/>
    <x v="1741"/>
    <x v="409"/>
    <x v="0"/>
    <x v="0"/>
    <x v="4"/>
    <x v="116"/>
    <x v="0"/>
    <x v="476"/>
    <x v="10"/>
    <x v="3"/>
    <x v="1"/>
    <x v="0"/>
    <x v="1757"/>
  </r>
  <r>
    <x v="0"/>
    <x v="729"/>
    <x v="309"/>
    <x v="24"/>
    <x v="293"/>
    <x v="701"/>
    <x v="383"/>
    <x v="1661"/>
    <x v="312"/>
    <x v="697"/>
    <x v="523"/>
    <x v="1335"/>
    <x v="1742"/>
    <x v="1739"/>
    <x v="1672"/>
    <x v="0"/>
    <x v="1731"/>
    <x v="1742"/>
    <x v="316"/>
    <x v="0"/>
    <x v="0"/>
    <x v="2"/>
    <x v="168"/>
    <x v="14"/>
    <x v="341"/>
    <x v="7"/>
    <x v="14"/>
    <x v="1"/>
    <x v="0"/>
    <x v="1758"/>
  </r>
  <r>
    <x v="0"/>
    <x v="10"/>
    <x v="133"/>
    <x v="47"/>
    <x v="0"/>
    <x v="1"/>
    <x v="22"/>
    <x v="1662"/>
    <x v="355"/>
    <x v="95"/>
    <x v="566"/>
    <x v="223"/>
    <x v="1743"/>
    <x v="1740"/>
    <x v="1673"/>
    <x v="0"/>
    <x v="1732"/>
    <x v="1743"/>
    <x v="797"/>
    <x v="0"/>
    <x v="0"/>
    <x v="4"/>
    <x v="140"/>
    <x v="14"/>
    <x v="12"/>
    <x v="38"/>
    <x v="1"/>
    <x v="115"/>
    <x v="0"/>
    <x v="1759"/>
  </r>
  <r>
    <x v="0"/>
    <x v="239"/>
    <x v="339"/>
    <x v="33"/>
    <x v="160"/>
    <x v="232"/>
    <x v="2"/>
    <x v="1663"/>
    <x v="127"/>
    <x v="72"/>
    <x v="26"/>
    <x v="1336"/>
    <x v="1744"/>
    <x v="1741"/>
    <x v="1674"/>
    <x v="4"/>
    <x v="1733"/>
    <x v="1744"/>
    <x v="453"/>
    <x v="0"/>
    <x v="8"/>
    <x v="0"/>
    <x v="82"/>
    <x v="18"/>
    <x v="12"/>
    <x v="31"/>
    <x v="1"/>
    <x v="1"/>
    <x v="0"/>
    <x v="1760"/>
  </r>
  <r>
    <x v="0"/>
    <x v="759"/>
    <x v="219"/>
    <x v="69"/>
    <x v="122"/>
    <x v="702"/>
    <x v="384"/>
    <x v="4"/>
    <x v="526"/>
    <x v="698"/>
    <x v="1138"/>
    <x v="1337"/>
    <x v="1745"/>
    <x v="1742"/>
    <x v="1675"/>
    <x v="0"/>
    <x v="1734"/>
    <x v="1745"/>
    <x v="510"/>
    <x v="2"/>
    <x v="7"/>
    <x v="9"/>
    <x v="116"/>
    <x v="9"/>
    <x v="608"/>
    <x v="12"/>
    <x v="1"/>
    <x v="1"/>
    <x v="0"/>
    <x v="1761"/>
  </r>
  <r>
    <x v="0"/>
    <x v="470"/>
    <x v="129"/>
    <x v="47"/>
    <x v="0"/>
    <x v="329"/>
    <x v="57"/>
    <x v="1664"/>
    <x v="200"/>
    <x v="192"/>
    <x v="693"/>
    <x v="726"/>
    <x v="1746"/>
    <x v="1743"/>
    <x v="1676"/>
    <x v="1"/>
    <x v="1735"/>
    <x v="1746"/>
    <x v="798"/>
    <x v="0"/>
    <x v="0"/>
    <x v="4"/>
    <x v="175"/>
    <x v="18"/>
    <x v="30"/>
    <x v="32"/>
    <x v="1"/>
    <x v="1"/>
    <x v="0"/>
    <x v="1762"/>
  </r>
  <r>
    <x v="0"/>
    <x v="141"/>
    <x v="243"/>
    <x v="43"/>
    <x v="105"/>
    <x v="518"/>
    <x v="0"/>
    <x v="1665"/>
    <x v="60"/>
    <x v="469"/>
    <x v="1139"/>
    <x v="781"/>
    <x v="1747"/>
    <x v="1744"/>
    <x v="1222"/>
    <x v="0"/>
    <x v="1736"/>
    <x v="1747"/>
    <x v="799"/>
    <x v="0"/>
    <x v="0"/>
    <x v="4"/>
    <x v="116"/>
    <x v="17"/>
    <x v="261"/>
    <x v="11"/>
    <x v="1"/>
    <x v="59"/>
    <x v="0"/>
    <x v="1763"/>
  </r>
  <r>
    <x v="0"/>
    <x v="71"/>
    <x v="279"/>
    <x v="72"/>
    <x v="56"/>
    <x v="681"/>
    <x v="13"/>
    <x v="1666"/>
    <x v="127"/>
    <x v="158"/>
    <x v="65"/>
    <x v="1245"/>
    <x v="1748"/>
    <x v="1745"/>
    <x v="1677"/>
    <x v="4"/>
    <x v="1737"/>
    <x v="1748"/>
    <x v="86"/>
    <x v="0"/>
    <x v="0"/>
    <x v="0"/>
    <x v="168"/>
    <x v="9"/>
    <x v="6"/>
    <x v="4"/>
    <x v="1"/>
    <x v="41"/>
    <x v="0"/>
    <x v="1764"/>
  </r>
  <r>
    <x v="0"/>
    <x v="533"/>
    <x v="356"/>
    <x v="46"/>
    <x v="263"/>
    <x v="124"/>
    <x v="156"/>
    <x v="1667"/>
    <x v="2"/>
    <x v="699"/>
    <x v="1140"/>
    <x v="153"/>
    <x v="1749"/>
    <x v="1746"/>
    <x v="1678"/>
    <x v="1"/>
    <x v="1738"/>
    <x v="1749"/>
    <x v="294"/>
    <x v="0"/>
    <x v="1"/>
    <x v="2"/>
    <x v="168"/>
    <x v="37"/>
    <x v="609"/>
    <x v="2"/>
    <x v="1"/>
    <x v="43"/>
    <x v="0"/>
    <x v="1765"/>
  </r>
  <r>
    <x v="0"/>
    <x v="163"/>
    <x v="270"/>
    <x v="87"/>
    <x v="80"/>
    <x v="423"/>
    <x v="385"/>
    <x v="1668"/>
    <x v="127"/>
    <x v="700"/>
    <x v="1141"/>
    <x v="1338"/>
    <x v="1750"/>
    <x v="1747"/>
    <x v="1679"/>
    <x v="0"/>
    <x v="1739"/>
    <x v="1750"/>
    <x v="278"/>
    <x v="0"/>
    <x v="0"/>
    <x v="0"/>
    <x v="168"/>
    <x v="18"/>
    <x v="557"/>
    <x v="8"/>
    <x v="3"/>
    <x v="85"/>
    <x v="0"/>
    <x v="1766"/>
  </r>
  <r>
    <x v="0"/>
    <x v="177"/>
    <x v="219"/>
    <x v="77"/>
    <x v="0"/>
    <x v="480"/>
    <x v="386"/>
    <x v="1669"/>
    <x v="103"/>
    <x v="701"/>
    <x v="301"/>
    <x v="1339"/>
    <x v="1751"/>
    <x v="1748"/>
    <x v="1680"/>
    <x v="1"/>
    <x v="1740"/>
    <x v="1751"/>
    <x v="231"/>
    <x v="0"/>
    <x v="4"/>
    <x v="4"/>
    <x v="146"/>
    <x v="24"/>
    <x v="203"/>
    <x v="27"/>
    <x v="1"/>
    <x v="1"/>
    <x v="0"/>
    <x v="1767"/>
  </r>
  <r>
    <x v="0"/>
    <x v="202"/>
    <x v="126"/>
    <x v="78"/>
    <x v="0"/>
    <x v="141"/>
    <x v="21"/>
    <x v="1670"/>
    <x v="125"/>
    <x v="174"/>
    <x v="25"/>
    <x v="178"/>
    <x v="1752"/>
    <x v="1749"/>
    <x v="1681"/>
    <x v="0"/>
    <x v="1741"/>
    <x v="1752"/>
    <x v="242"/>
    <x v="0"/>
    <x v="8"/>
    <x v="0"/>
    <x v="168"/>
    <x v="18"/>
    <x v="10"/>
    <x v="4"/>
    <x v="1"/>
    <x v="1"/>
    <x v="0"/>
    <x v="1768"/>
  </r>
  <r>
    <x v="0"/>
    <x v="644"/>
    <x v="141"/>
    <x v="69"/>
    <x v="277"/>
    <x v="703"/>
    <x v="157"/>
    <x v="1671"/>
    <x v="527"/>
    <x v="702"/>
    <x v="1142"/>
    <x v="1340"/>
    <x v="1753"/>
    <x v="1750"/>
    <x v="1682"/>
    <x v="0"/>
    <x v="1742"/>
    <x v="1753"/>
    <x v="284"/>
    <x v="0"/>
    <x v="0"/>
    <x v="0"/>
    <x v="168"/>
    <x v="9"/>
    <x v="610"/>
    <x v="10"/>
    <x v="1"/>
    <x v="33"/>
    <x v="0"/>
    <x v="1769"/>
  </r>
  <r>
    <x v="0"/>
    <x v="353"/>
    <x v="413"/>
    <x v="45"/>
    <x v="209"/>
    <x v="656"/>
    <x v="387"/>
    <x v="1672"/>
    <x v="35"/>
    <x v="703"/>
    <x v="1143"/>
    <x v="1341"/>
    <x v="1754"/>
    <x v="1751"/>
    <x v="1683"/>
    <x v="0"/>
    <x v="1743"/>
    <x v="1754"/>
    <x v="320"/>
    <x v="0"/>
    <x v="0"/>
    <x v="2"/>
    <x v="168"/>
    <x v="27"/>
    <x v="49"/>
    <x v="10"/>
    <x v="3"/>
    <x v="37"/>
    <x v="0"/>
    <x v="1770"/>
  </r>
  <r>
    <x v="0"/>
    <x v="615"/>
    <x v="380"/>
    <x v="27"/>
    <x v="93"/>
    <x v="363"/>
    <x v="388"/>
    <x v="1673"/>
    <x v="105"/>
    <x v="704"/>
    <x v="1144"/>
    <x v="505"/>
    <x v="1755"/>
    <x v="1752"/>
    <x v="1347"/>
    <x v="4"/>
    <x v="1744"/>
    <x v="1755"/>
    <x v="528"/>
    <x v="0"/>
    <x v="0"/>
    <x v="2"/>
    <x v="168"/>
    <x v="1"/>
    <x v="611"/>
    <x v="22"/>
    <x v="1"/>
    <x v="1"/>
    <x v="0"/>
    <x v="1771"/>
  </r>
  <r>
    <x v="0"/>
    <x v="69"/>
    <x v="206"/>
    <x v="85"/>
    <x v="54"/>
    <x v="201"/>
    <x v="336"/>
    <x v="1674"/>
    <x v="170"/>
    <x v="705"/>
    <x v="1145"/>
    <x v="254"/>
    <x v="1756"/>
    <x v="1753"/>
    <x v="1177"/>
    <x v="1"/>
    <x v="1745"/>
    <x v="1756"/>
    <x v="720"/>
    <x v="0"/>
    <x v="1"/>
    <x v="4"/>
    <x v="116"/>
    <x v="5"/>
    <x v="545"/>
    <x v="16"/>
    <x v="1"/>
    <x v="88"/>
    <x v="0"/>
    <x v="1772"/>
  </r>
  <r>
    <x v="0"/>
    <x v="369"/>
    <x v="129"/>
    <x v="105"/>
    <x v="214"/>
    <x v="51"/>
    <x v="389"/>
    <x v="1675"/>
    <x v="132"/>
    <x v="342"/>
    <x v="1146"/>
    <x v="605"/>
    <x v="1757"/>
    <x v="1754"/>
    <x v="1684"/>
    <x v="3"/>
    <x v="1746"/>
    <x v="1757"/>
    <x v="138"/>
    <x v="0"/>
    <x v="8"/>
    <x v="4"/>
    <x v="168"/>
    <x v="10"/>
    <x v="215"/>
    <x v="9"/>
    <x v="1"/>
    <x v="1"/>
    <x v="0"/>
    <x v="1773"/>
  </r>
  <r>
    <x v="0"/>
    <x v="480"/>
    <x v="270"/>
    <x v="77"/>
    <x v="233"/>
    <x v="1"/>
    <x v="11"/>
    <x v="1676"/>
    <x v="528"/>
    <x v="69"/>
    <x v="1147"/>
    <x v="1342"/>
    <x v="1758"/>
    <x v="1755"/>
    <x v="1685"/>
    <x v="0"/>
    <x v="1747"/>
    <x v="1758"/>
    <x v="787"/>
    <x v="0"/>
    <x v="0"/>
    <x v="4"/>
    <x v="168"/>
    <x v="21"/>
    <x v="30"/>
    <x v="41"/>
    <x v="1"/>
    <x v="1"/>
    <x v="0"/>
    <x v="1774"/>
  </r>
  <r>
    <x v="0"/>
    <x v="760"/>
    <x v="323"/>
    <x v="113"/>
    <x v="137"/>
    <x v="23"/>
    <x v="104"/>
    <x v="1677"/>
    <x v="238"/>
    <x v="195"/>
    <x v="332"/>
    <x v="749"/>
    <x v="1759"/>
    <x v="1756"/>
    <x v="1686"/>
    <x v="5"/>
    <x v="1748"/>
    <x v="1759"/>
    <x v="432"/>
    <x v="0"/>
    <x v="0"/>
    <x v="2"/>
    <x v="168"/>
    <x v="11"/>
    <x v="223"/>
    <x v="5"/>
    <x v="6"/>
    <x v="85"/>
    <x v="0"/>
    <x v="1775"/>
  </r>
  <r>
    <x v="0"/>
    <x v="96"/>
    <x v="325"/>
    <x v="24"/>
    <x v="75"/>
    <x v="153"/>
    <x v="390"/>
    <x v="1678"/>
    <x v="17"/>
    <x v="706"/>
    <x v="1148"/>
    <x v="1343"/>
    <x v="1760"/>
    <x v="1757"/>
    <x v="1687"/>
    <x v="4"/>
    <x v="1749"/>
    <x v="1760"/>
    <x v="563"/>
    <x v="0"/>
    <x v="10"/>
    <x v="2"/>
    <x v="168"/>
    <x v="12"/>
    <x v="612"/>
    <x v="6"/>
    <x v="1"/>
    <x v="16"/>
    <x v="0"/>
    <x v="1776"/>
  </r>
  <r>
    <x v="0"/>
    <x v="18"/>
    <x v="1"/>
    <x v="85"/>
    <x v="0"/>
    <x v="282"/>
    <x v="2"/>
    <x v="1679"/>
    <x v="232"/>
    <x v="42"/>
    <x v="1149"/>
    <x v="823"/>
    <x v="1761"/>
    <x v="1758"/>
    <x v="1688"/>
    <x v="4"/>
    <x v="1750"/>
    <x v="1761"/>
    <x v="800"/>
    <x v="0"/>
    <x v="0"/>
    <x v="4"/>
    <x v="168"/>
    <x v="26"/>
    <x v="78"/>
    <x v="17"/>
    <x v="1"/>
    <x v="139"/>
    <x v="0"/>
    <x v="1777"/>
  </r>
  <r>
    <x v="0"/>
    <x v="309"/>
    <x v="402"/>
    <x v="106"/>
    <x v="194"/>
    <x v="704"/>
    <x v="21"/>
    <x v="1680"/>
    <x v="529"/>
    <x v="22"/>
    <x v="88"/>
    <x v="1344"/>
    <x v="1762"/>
    <x v="1759"/>
    <x v="1689"/>
    <x v="1"/>
    <x v="1751"/>
    <x v="1762"/>
    <x v="189"/>
    <x v="0"/>
    <x v="0"/>
    <x v="4"/>
    <x v="168"/>
    <x v="16"/>
    <x v="30"/>
    <x v="8"/>
    <x v="1"/>
    <x v="1"/>
    <x v="0"/>
    <x v="1778"/>
  </r>
  <r>
    <x v="0"/>
    <x v="32"/>
    <x v="130"/>
    <x v="32"/>
    <x v="24"/>
    <x v="571"/>
    <x v="142"/>
    <x v="1681"/>
    <x v="65"/>
    <x v="263"/>
    <x v="1150"/>
    <x v="1345"/>
    <x v="1763"/>
    <x v="1760"/>
    <x v="1690"/>
    <x v="0"/>
    <x v="1752"/>
    <x v="1763"/>
    <x v="376"/>
    <x v="0"/>
    <x v="0"/>
    <x v="0"/>
    <x v="168"/>
    <x v="11"/>
    <x v="613"/>
    <x v="5"/>
    <x v="1"/>
    <x v="7"/>
    <x v="0"/>
    <x v="1779"/>
  </r>
  <r>
    <x v="0"/>
    <x v="761"/>
    <x v="279"/>
    <x v="85"/>
    <x v="296"/>
    <x v="381"/>
    <x v="22"/>
    <x v="1682"/>
    <x v="168"/>
    <x v="226"/>
    <x v="1151"/>
    <x v="1346"/>
    <x v="1764"/>
    <x v="1761"/>
    <x v="1691"/>
    <x v="2"/>
    <x v="1753"/>
    <x v="1764"/>
    <x v="614"/>
    <x v="0"/>
    <x v="0"/>
    <x v="4"/>
    <x v="175"/>
    <x v="1"/>
    <x v="299"/>
    <x v="8"/>
    <x v="3"/>
    <x v="1"/>
    <x v="0"/>
    <x v="1780"/>
  </r>
  <r>
    <x v="0"/>
    <x v="762"/>
    <x v="388"/>
    <x v="55"/>
    <x v="297"/>
    <x v="120"/>
    <x v="391"/>
    <x v="1683"/>
    <x v="327"/>
    <x v="707"/>
    <x v="1152"/>
    <x v="1347"/>
    <x v="1765"/>
    <x v="1762"/>
    <x v="1692"/>
    <x v="4"/>
    <x v="1754"/>
    <x v="1765"/>
    <x v="713"/>
    <x v="0"/>
    <x v="0"/>
    <x v="4"/>
    <x v="168"/>
    <x v="21"/>
    <x v="614"/>
    <x v="30"/>
    <x v="1"/>
    <x v="316"/>
    <x v="0"/>
    <x v="1781"/>
  </r>
  <r>
    <x v="0"/>
    <x v="262"/>
    <x v="388"/>
    <x v="113"/>
    <x v="117"/>
    <x v="4"/>
    <x v="392"/>
    <x v="1684"/>
    <x v="4"/>
    <x v="708"/>
    <x v="1153"/>
    <x v="4"/>
    <x v="1766"/>
    <x v="1763"/>
    <x v="1693"/>
    <x v="0"/>
    <x v="1755"/>
    <x v="1766"/>
    <x v="243"/>
    <x v="0"/>
    <x v="10"/>
    <x v="3"/>
    <x v="29"/>
    <x v="18"/>
    <x v="515"/>
    <x v="25"/>
    <x v="3"/>
    <x v="103"/>
    <x v="0"/>
    <x v="1782"/>
  </r>
  <r>
    <x v="0"/>
    <x v="372"/>
    <x v="288"/>
    <x v="33"/>
    <x v="8"/>
    <x v="243"/>
    <x v="393"/>
    <x v="1685"/>
    <x v="286"/>
    <x v="709"/>
    <x v="612"/>
    <x v="797"/>
    <x v="1767"/>
    <x v="1764"/>
    <x v="1694"/>
    <x v="3"/>
    <x v="1756"/>
    <x v="1767"/>
    <x v="585"/>
    <x v="0"/>
    <x v="0"/>
    <x v="0"/>
    <x v="168"/>
    <x v="7"/>
    <x v="381"/>
    <x v="43"/>
    <x v="3"/>
    <x v="1"/>
    <x v="0"/>
    <x v="1783"/>
  </r>
  <r>
    <x v="0"/>
    <x v="190"/>
    <x v="336"/>
    <x v="73"/>
    <x v="135"/>
    <x v="201"/>
    <x v="394"/>
    <x v="1686"/>
    <x v="422"/>
    <x v="710"/>
    <x v="1154"/>
    <x v="1348"/>
    <x v="1768"/>
    <x v="1765"/>
    <x v="1695"/>
    <x v="0"/>
    <x v="1757"/>
    <x v="1768"/>
    <x v="400"/>
    <x v="0"/>
    <x v="4"/>
    <x v="4"/>
    <x v="168"/>
    <x v="15"/>
    <x v="615"/>
    <x v="10"/>
    <x v="1"/>
    <x v="273"/>
    <x v="0"/>
    <x v="1784"/>
  </r>
  <r>
    <x v="0"/>
    <x v="356"/>
    <x v="241"/>
    <x v="50"/>
    <x v="211"/>
    <x v="705"/>
    <x v="0"/>
    <x v="1687"/>
    <x v="530"/>
    <x v="381"/>
    <x v="276"/>
    <x v="1349"/>
    <x v="1769"/>
    <x v="1766"/>
    <x v="1696"/>
    <x v="2"/>
    <x v="1758"/>
    <x v="1769"/>
    <x v="409"/>
    <x v="0"/>
    <x v="0"/>
    <x v="2"/>
    <x v="168"/>
    <x v="5"/>
    <x v="616"/>
    <x v="28"/>
    <x v="3"/>
    <x v="1"/>
    <x v="0"/>
    <x v="1785"/>
  </r>
  <r>
    <x v="0"/>
    <x v="628"/>
    <x v="152"/>
    <x v="71"/>
    <x v="80"/>
    <x v="706"/>
    <x v="0"/>
    <x v="1688"/>
    <x v="35"/>
    <x v="711"/>
    <x v="1155"/>
    <x v="1350"/>
    <x v="1770"/>
    <x v="1767"/>
    <x v="1697"/>
    <x v="3"/>
    <x v="1759"/>
    <x v="1770"/>
    <x v="732"/>
    <x v="0"/>
    <x v="0"/>
    <x v="2"/>
    <x v="168"/>
    <x v="13"/>
    <x v="617"/>
    <x v="28"/>
    <x v="3"/>
    <x v="320"/>
    <x v="0"/>
    <x v="1786"/>
  </r>
  <r>
    <x v="0"/>
    <x v="469"/>
    <x v="150"/>
    <x v="42"/>
    <x v="0"/>
    <x v="693"/>
    <x v="8"/>
    <x v="1689"/>
    <x v="310"/>
    <x v="35"/>
    <x v="1156"/>
    <x v="1291"/>
    <x v="1771"/>
    <x v="1768"/>
    <x v="1698"/>
    <x v="7"/>
    <x v="1760"/>
    <x v="1771"/>
    <x v="680"/>
    <x v="0"/>
    <x v="0"/>
    <x v="4"/>
    <x v="168"/>
    <x v="18"/>
    <x v="30"/>
    <x v="41"/>
    <x v="1"/>
    <x v="1"/>
    <x v="0"/>
    <x v="1787"/>
  </r>
  <r>
    <x v="0"/>
    <x v="473"/>
    <x v="211"/>
    <x v="86"/>
    <x v="212"/>
    <x v="518"/>
    <x v="0"/>
    <x v="1690"/>
    <x v="200"/>
    <x v="712"/>
    <x v="1157"/>
    <x v="782"/>
    <x v="1772"/>
    <x v="1769"/>
    <x v="1699"/>
    <x v="4"/>
    <x v="1761"/>
    <x v="1772"/>
    <x v="724"/>
    <x v="0"/>
    <x v="0"/>
    <x v="4"/>
    <x v="168"/>
    <x v="2"/>
    <x v="370"/>
    <x v="9"/>
    <x v="3"/>
    <x v="1"/>
    <x v="0"/>
    <x v="1788"/>
  </r>
  <r>
    <x v="0"/>
    <x v="527"/>
    <x v="117"/>
    <x v="26"/>
    <x v="80"/>
    <x v="142"/>
    <x v="35"/>
    <x v="1691"/>
    <x v="531"/>
    <x v="713"/>
    <x v="1158"/>
    <x v="76"/>
    <x v="1773"/>
    <x v="1770"/>
    <x v="1700"/>
    <x v="0"/>
    <x v="1762"/>
    <x v="1773"/>
    <x v="227"/>
    <x v="0"/>
    <x v="0"/>
    <x v="0"/>
    <x v="168"/>
    <x v="6"/>
    <x v="379"/>
    <x v="27"/>
    <x v="1"/>
    <x v="321"/>
    <x v="0"/>
    <x v="1789"/>
  </r>
  <r>
    <x v="0"/>
    <x v="48"/>
    <x v="69"/>
    <x v="90"/>
    <x v="33"/>
    <x v="298"/>
    <x v="129"/>
    <x v="1692"/>
    <x v="256"/>
    <x v="714"/>
    <x v="1159"/>
    <x v="1351"/>
    <x v="1774"/>
    <x v="1771"/>
    <x v="1701"/>
    <x v="0"/>
    <x v="1763"/>
    <x v="1774"/>
    <x v="426"/>
    <x v="0"/>
    <x v="0"/>
    <x v="0"/>
    <x v="168"/>
    <x v="13"/>
    <x v="556"/>
    <x v="15"/>
    <x v="1"/>
    <x v="1"/>
    <x v="0"/>
    <x v="1790"/>
  </r>
  <r>
    <x v="0"/>
    <x v="763"/>
    <x v="126"/>
    <x v="47"/>
    <x v="217"/>
    <x v="163"/>
    <x v="80"/>
    <x v="1693"/>
    <x v="105"/>
    <x v="142"/>
    <x v="1160"/>
    <x v="1352"/>
    <x v="1775"/>
    <x v="1772"/>
    <x v="1702"/>
    <x v="2"/>
    <x v="1764"/>
    <x v="1775"/>
    <x v="465"/>
    <x v="0"/>
    <x v="1"/>
    <x v="4"/>
    <x v="146"/>
    <x v="8"/>
    <x v="618"/>
    <x v="12"/>
    <x v="3"/>
    <x v="1"/>
    <x v="0"/>
    <x v="1791"/>
  </r>
  <r>
    <x v="0"/>
    <x v="764"/>
    <x v="113"/>
    <x v="33"/>
    <x v="169"/>
    <x v="417"/>
    <x v="30"/>
    <x v="1694"/>
    <x v="132"/>
    <x v="53"/>
    <x v="1161"/>
    <x v="1353"/>
    <x v="1776"/>
    <x v="1773"/>
    <x v="1703"/>
    <x v="0"/>
    <x v="1765"/>
    <x v="1776"/>
    <x v="364"/>
    <x v="0"/>
    <x v="0"/>
    <x v="4"/>
    <x v="168"/>
    <x v="9"/>
    <x v="619"/>
    <x v="4"/>
    <x v="1"/>
    <x v="88"/>
    <x v="0"/>
    <x v="1792"/>
  </r>
  <r>
    <x v="0"/>
    <x v="765"/>
    <x v="308"/>
    <x v="97"/>
    <x v="89"/>
    <x v="638"/>
    <x v="14"/>
    <x v="4"/>
    <x v="532"/>
    <x v="414"/>
    <x v="1162"/>
    <x v="1354"/>
    <x v="1777"/>
    <x v="1774"/>
    <x v="1704"/>
    <x v="1"/>
    <x v="1766"/>
    <x v="1777"/>
    <x v="591"/>
    <x v="6"/>
    <x v="13"/>
    <x v="1"/>
    <x v="151"/>
    <x v="7"/>
    <x v="30"/>
    <x v="9"/>
    <x v="3"/>
    <x v="1"/>
    <x v="0"/>
    <x v="1793"/>
  </r>
  <r>
    <x v="0"/>
    <x v="766"/>
    <x v="325"/>
    <x v="7"/>
    <x v="31"/>
    <x v="199"/>
    <x v="29"/>
    <x v="1695"/>
    <x v="28"/>
    <x v="74"/>
    <x v="1163"/>
    <x v="252"/>
    <x v="1778"/>
    <x v="1775"/>
    <x v="1705"/>
    <x v="4"/>
    <x v="1767"/>
    <x v="1778"/>
    <x v="137"/>
    <x v="0"/>
    <x v="10"/>
    <x v="0"/>
    <x v="168"/>
    <x v="11"/>
    <x v="620"/>
    <x v="20"/>
    <x v="1"/>
    <x v="1"/>
    <x v="0"/>
    <x v="1794"/>
  </r>
  <r>
    <x v="0"/>
    <x v="533"/>
    <x v="257"/>
    <x v="22"/>
    <x v="263"/>
    <x v="516"/>
    <x v="395"/>
    <x v="1696"/>
    <x v="2"/>
    <x v="715"/>
    <x v="1164"/>
    <x v="1355"/>
    <x v="1779"/>
    <x v="1776"/>
    <x v="1706"/>
    <x v="0"/>
    <x v="1768"/>
    <x v="1779"/>
    <x v="571"/>
    <x v="0"/>
    <x v="1"/>
    <x v="2"/>
    <x v="177"/>
    <x v="45"/>
    <x v="278"/>
    <x v="4"/>
    <x v="1"/>
    <x v="1"/>
    <x v="0"/>
    <x v="1795"/>
  </r>
  <r>
    <x v="0"/>
    <x v="287"/>
    <x v="24"/>
    <x v="82"/>
    <x v="0"/>
    <x v="466"/>
    <x v="2"/>
    <x v="1697"/>
    <x v="127"/>
    <x v="716"/>
    <x v="1165"/>
    <x v="1356"/>
    <x v="1780"/>
    <x v="1777"/>
    <x v="1707"/>
    <x v="4"/>
    <x v="1769"/>
    <x v="1780"/>
    <x v="594"/>
    <x v="0"/>
    <x v="0"/>
    <x v="4"/>
    <x v="116"/>
    <x v="1"/>
    <x v="621"/>
    <x v="15"/>
    <x v="3"/>
    <x v="1"/>
    <x v="0"/>
    <x v="1796"/>
  </r>
  <r>
    <x v="0"/>
    <x v="550"/>
    <x v="263"/>
    <x v="56"/>
    <x v="268"/>
    <x v="707"/>
    <x v="84"/>
    <x v="1698"/>
    <x v="270"/>
    <x v="147"/>
    <x v="1166"/>
    <x v="1357"/>
    <x v="1781"/>
    <x v="1778"/>
    <x v="1708"/>
    <x v="4"/>
    <x v="1770"/>
    <x v="1781"/>
    <x v="335"/>
    <x v="0"/>
    <x v="0"/>
    <x v="0"/>
    <x v="116"/>
    <x v="0"/>
    <x v="476"/>
    <x v="38"/>
    <x v="1"/>
    <x v="61"/>
    <x v="0"/>
    <x v="1797"/>
  </r>
  <r>
    <x v="0"/>
    <x v="579"/>
    <x v="352"/>
    <x v="37"/>
    <x v="170"/>
    <x v="86"/>
    <x v="145"/>
    <x v="1699"/>
    <x v="105"/>
    <x v="558"/>
    <x v="758"/>
    <x v="109"/>
    <x v="1782"/>
    <x v="1779"/>
    <x v="1709"/>
    <x v="3"/>
    <x v="1771"/>
    <x v="1782"/>
    <x v="592"/>
    <x v="0"/>
    <x v="0"/>
    <x v="0"/>
    <x v="82"/>
    <x v="8"/>
    <x v="455"/>
    <x v="43"/>
    <x v="3"/>
    <x v="322"/>
    <x v="0"/>
    <x v="1798"/>
  </r>
  <r>
    <x v="0"/>
    <x v="767"/>
    <x v="460"/>
    <x v="3"/>
    <x v="298"/>
    <x v="98"/>
    <x v="396"/>
    <x v="1700"/>
    <x v="172"/>
    <x v="717"/>
    <x v="1167"/>
    <x v="123"/>
    <x v="1783"/>
    <x v="1780"/>
    <x v="1710"/>
    <x v="0"/>
    <x v="1772"/>
    <x v="1783"/>
    <x v="258"/>
    <x v="0"/>
    <x v="1"/>
    <x v="2"/>
    <x v="178"/>
    <x v="31"/>
    <x v="228"/>
    <x v="38"/>
    <x v="3"/>
    <x v="323"/>
    <x v="0"/>
    <x v="1799"/>
  </r>
  <r>
    <x v="0"/>
    <x v="768"/>
    <x v="129"/>
    <x v="80"/>
    <x v="125"/>
    <x v="173"/>
    <x v="397"/>
    <x v="1701"/>
    <x v="368"/>
    <x v="718"/>
    <x v="1168"/>
    <x v="1358"/>
    <x v="1784"/>
    <x v="1781"/>
    <x v="1711"/>
    <x v="0"/>
    <x v="1773"/>
    <x v="1784"/>
    <x v="481"/>
    <x v="0"/>
    <x v="1"/>
    <x v="4"/>
    <x v="159"/>
    <x v="7"/>
    <x v="622"/>
    <x v="38"/>
    <x v="3"/>
    <x v="1"/>
    <x v="0"/>
    <x v="1800"/>
  </r>
  <r>
    <x v="0"/>
    <x v="81"/>
    <x v="333"/>
    <x v="40"/>
    <x v="64"/>
    <x v="21"/>
    <x v="6"/>
    <x v="1702"/>
    <x v="306"/>
    <x v="6"/>
    <x v="330"/>
    <x v="1359"/>
    <x v="1785"/>
    <x v="1782"/>
    <x v="1712"/>
    <x v="4"/>
    <x v="1774"/>
    <x v="1785"/>
    <x v="435"/>
    <x v="0"/>
    <x v="0"/>
    <x v="4"/>
    <x v="177"/>
    <x v="1"/>
    <x v="28"/>
    <x v="2"/>
    <x v="1"/>
    <x v="1"/>
    <x v="0"/>
    <x v="1801"/>
  </r>
  <r>
    <x v="0"/>
    <x v="113"/>
    <x v="478"/>
    <x v="142"/>
    <x v="88"/>
    <x v="70"/>
    <x v="61"/>
    <x v="4"/>
    <x v="533"/>
    <x v="105"/>
    <x v="177"/>
    <x v="1360"/>
    <x v="1786"/>
    <x v="1783"/>
    <x v="407"/>
    <x v="4"/>
    <x v="1775"/>
    <x v="1786"/>
    <x v="104"/>
    <x v="0"/>
    <x v="0"/>
    <x v="5"/>
    <x v="4"/>
    <x v="4"/>
    <x v="56"/>
    <x v="0"/>
    <x v="12"/>
    <x v="59"/>
    <x v="0"/>
    <x v="1802"/>
  </r>
  <r>
    <x v="0"/>
    <x v="769"/>
    <x v="356"/>
    <x v="47"/>
    <x v="299"/>
    <x v="410"/>
    <x v="25"/>
    <x v="1703"/>
    <x v="18"/>
    <x v="194"/>
    <x v="582"/>
    <x v="1361"/>
    <x v="1787"/>
    <x v="1784"/>
    <x v="1713"/>
    <x v="0"/>
    <x v="1776"/>
    <x v="1787"/>
    <x v="559"/>
    <x v="0"/>
    <x v="0"/>
    <x v="2"/>
    <x v="116"/>
    <x v="23"/>
    <x v="30"/>
    <x v="13"/>
    <x v="1"/>
    <x v="1"/>
    <x v="0"/>
    <x v="1803"/>
  </r>
  <r>
    <x v="0"/>
    <x v="770"/>
    <x v="197"/>
    <x v="38"/>
    <x v="300"/>
    <x v="520"/>
    <x v="0"/>
    <x v="1704"/>
    <x v="270"/>
    <x v="719"/>
    <x v="1169"/>
    <x v="1362"/>
    <x v="1788"/>
    <x v="1785"/>
    <x v="1714"/>
    <x v="2"/>
    <x v="1777"/>
    <x v="1788"/>
    <x v="614"/>
    <x v="0"/>
    <x v="0"/>
    <x v="0"/>
    <x v="146"/>
    <x v="19"/>
    <x v="623"/>
    <x v="19"/>
    <x v="1"/>
    <x v="1"/>
    <x v="0"/>
    <x v="1804"/>
  </r>
  <r>
    <x v="0"/>
    <x v="47"/>
    <x v="77"/>
    <x v="11"/>
    <x v="32"/>
    <x v="60"/>
    <x v="32"/>
    <x v="79"/>
    <x v="37"/>
    <x v="59"/>
    <x v="70"/>
    <x v="74"/>
    <x v="79"/>
    <x v="1786"/>
    <x v="78"/>
    <x v="0"/>
    <x v="79"/>
    <x v="79"/>
    <x v="78"/>
    <x v="0"/>
    <x v="1"/>
    <x v="2"/>
    <x v="26"/>
    <x v="6"/>
    <x v="44"/>
    <x v="6"/>
    <x v="3"/>
    <x v="14"/>
    <x v="0"/>
    <x v="1805"/>
  </r>
  <r>
    <x v="0"/>
    <x v="449"/>
    <x v="383"/>
    <x v="69"/>
    <x v="218"/>
    <x v="612"/>
    <x v="2"/>
    <x v="1705"/>
    <x v="171"/>
    <x v="130"/>
    <x v="132"/>
    <x v="1363"/>
    <x v="1789"/>
    <x v="1787"/>
    <x v="1715"/>
    <x v="1"/>
    <x v="1778"/>
    <x v="1789"/>
    <x v="498"/>
    <x v="0"/>
    <x v="0"/>
    <x v="4"/>
    <x v="146"/>
    <x v="13"/>
    <x v="27"/>
    <x v="4"/>
    <x v="1"/>
    <x v="1"/>
    <x v="0"/>
    <x v="1806"/>
  </r>
  <r>
    <x v="0"/>
    <x v="459"/>
    <x v="211"/>
    <x v="2"/>
    <x v="243"/>
    <x v="30"/>
    <x v="0"/>
    <x v="1706"/>
    <x v="534"/>
    <x v="720"/>
    <x v="1170"/>
    <x v="1364"/>
    <x v="1790"/>
    <x v="1788"/>
    <x v="1716"/>
    <x v="1"/>
    <x v="1779"/>
    <x v="1790"/>
    <x v="760"/>
    <x v="0"/>
    <x v="0"/>
    <x v="4"/>
    <x v="146"/>
    <x v="35"/>
    <x v="130"/>
    <x v="0"/>
    <x v="3"/>
    <x v="57"/>
    <x v="0"/>
    <x v="1807"/>
  </r>
  <r>
    <x v="0"/>
    <x v="771"/>
    <x v="345"/>
    <x v="73"/>
    <x v="171"/>
    <x v="135"/>
    <x v="398"/>
    <x v="1707"/>
    <x v="535"/>
    <x v="721"/>
    <x v="228"/>
    <x v="1365"/>
    <x v="1791"/>
    <x v="1789"/>
    <x v="1717"/>
    <x v="2"/>
    <x v="1780"/>
    <x v="1791"/>
    <x v="631"/>
    <x v="0"/>
    <x v="0"/>
    <x v="0"/>
    <x v="4"/>
    <x v="8"/>
    <x v="155"/>
    <x v="5"/>
    <x v="3"/>
    <x v="89"/>
    <x v="0"/>
    <x v="1808"/>
  </r>
  <r>
    <x v="0"/>
    <x v="772"/>
    <x v="288"/>
    <x v="34"/>
    <x v="301"/>
    <x v="351"/>
    <x v="0"/>
    <x v="1708"/>
    <x v="430"/>
    <x v="722"/>
    <x v="1171"/>
    <x v="1012"/>
    <x v="1792"/>
    <x v="1790"/>
    <x v="1349"/>
    <x v="2"/>
    <x v="1781"/>
    <x v="1792"/>
    <x v="409"/>
    <x v="0"/>
    <x v="0"/>
    <x v="0"/>
    <x v="131"/>
    <x v="3"/>
    <x v="156"/>
    <x v="20"/>
    <x v="1"/>
    <x v="1"/>
    <x v="0"/>
    <x v="1809"/>
  </r>
  <r>
    <x v="0"/>
    <x v="19"/>
    <x v="287"/>
    <x v="59"/>
    <x v="12"/>
    <x v="708"/>
    <x v="399"/>
    <x v="1709"/>
    <x v="105"/>
    <x v="723"/>
    <x v="1172"/>
    <x v="1366"/>
    <x v="1793"/>
    <x v="1791"/>
    <x v="1308"/>
    <x v="0"/>
    <x v="1782"/>
    <x v="1793"/>
    <x v="199"/>
    <x v="0"/>
    <x v="1"/>
    <x v="0"/>
    <x v="116"/>
    <x v="19"/>
    <x v="624"/>
    <x v="1"/>
    <x v="1"/>
    <x v="1"/>
    <x v="0"/>
    <x v="1810"/>
  </r>
  <r>
    <x v="0"/>
    <x v="601"/>
    <x v="194"/>
    <x v="87"/>
    <x v="255"/>
    <x v="169"/>
    <x v="0"/>
    <x v="1710"/>
    <x v="512"/>
    <x v="48"/>
    <x v="418"/>
    <x v="1367"/>
    <x v="1794"/>
    <x v="1792"/>
    <x v="1718"/>
    <x v="0"/>
    <x v="1783"/>
    <x v="1794"/>
    <x v="196"/>
    <x v="0"/>
    <x v="0"/>
    <x v="4"/>
    <x v="146"/>
    <x v="15"/>
    <x v="625"/>
    <x v="23"/>
    <x v="1"/>
    <x v="43"/>
    <x v="0"/>
    <x v="1811"/>
  </r>
  <r>
    <x v="0"/>
    <x v="524"/>
    <x v="242"/>
    <x v="47"/>
    <x v="249"/>
    <x v="1"/>
    <x v="57"/>
    <x v="1711"/>
    <x v="171"/>
    <x v="99"/>
    <x v="65"/>
    <x v="1368"/>
    <x v="1795"/>
    <x v="1793"/>
    <x v="1719"/>
    <x v="3"/>
    <x v="1784"/>
    <x v="1795"/>
    <x v="573"/>
    <x v="0"/>
    <x v="8"/>
    <x v="4"/>
    <x v="146"/>
    <x v="7"/>
    <x v="6"/>
    <x v="6"/>
    <x v="1"/>
    <x v="7"/>
    <x v="0"/>
    <x v="1812"/>
  </r>
  <r>
    <x v="0"/>
    <x v="773"/>
    <x v="227"/>
    <x v="144"/>
    <x v="265"/>
    <x v="268"/>
    <x v="35"/>
    <x v="1712"/>
    <x v="172"/>
    <x v="184"/>
    <x v="173"/>
    <x v="347"/>
    <x v="1796"/>
    <x v="1794"/>
    <x v="1720"/>
    <x v="0"/>
    <x v="1785"/>
    <x v="1796"/>
    <x v="796"/>
    <x v="0"/>
    <x v="0"/>
    <x v="2"/>
    <x v="146"/>
    <x v="45"/>
    <x v="117"/>
    <x v="0"/>
    <x v="3"/>
    <x v="1"/>
    <x v="0"/>
    <x v="1813"/>
  </r>
  <r>
    <x v="0"/>
    <x v="42"/>
    <x v="88"/>
    <x v="29"/>
    <x v="30"/>
    <x v="128"/>
    <x v="121"/>
    <x v="1713"/>
    <x v="223"/>
    <x v="230"/>
    <x v="562"/>
    <x v="158"/>
    <x v="1797"/>
    <x v="1795"/>
    <x v="1721"/>
    <x v="3"/>
    <x v="1786"/>
    <x v="1797"/>
    <x v="736"/>
    <x v="0"/>
    <x v="1"/>
    <x v="0"/>
    <x v="116"/>
    <x v="10"/>
    <x v="453"/>
    <x v="8"/>
    <x v="1"/>
    <x v="61"/>
    <x v="0"/>
    <x v="1814"/>
  </r>
  <r>
    <x v="0"/>
    <x v="72"/>
    <x v="414"/>
    <x v="50"/>
    <x v="57"/>
    <x v="279"/>
    <x v="378"/>
    <x v="4"/>
    <x v="37"/>
    <x v="724"/>
    <x v="1173"/>
    <x v="1369"/>
    <x v="1798"/>
    <x v="1796"/>
    <x v="1722"/>
    <x v="1"/>
    <x v="1787"/>
    <x v="1798"/>
    <x v="437"/>
    <x v="0"/>
    <x v="30"/>
    <x v="2"/>
    <x v="146"/>
    <x v="31"/>
    <x v="478"/>
    <x v="38"/>
    <x v="1"/>
    <x v="90"/>
    <x v="0"/>
    <x v="1815"/>
  </r>
  <r>
    <x v="0"/>
    <x v="104"/>
    <x v="279"/>
    <x v="70"/>
    <x v="82"/>
    <x v="383"/>
    <x v="22"/>
    <x v="1714"/>
    <x v="536"/>
    <x v="295"/>
    <x v="20"/>
    <x v="1130"/>
    <x v="1799"/>
    <x v="1797"/>
    <x v="1723"/>
    <x v="1"/>
    <x v="1788"/>
    <x v="1799"/>
    <x v="801"/>
    <x v="0"/>
    <x v="5"/>
    <x v="4"/>
    <x v="146"/>
    <x v="20"/>
    <x v="17"/>
    <x v="16"/>
    <x v="1"/>
    <x v="57"/>
    <x v="0"/>
    <x v="1816"/>
  </r>
  <r>
    <x v="0"/>
    <x v="774"/>
    <x v="123"/>
    <x v="47"/>
    <x v="123"/>
    <x v="107"/>
    <x v="22"/>
    <x v="1715"/>
    <x v="415"/>
    <x v="78"/>
    <x v="152"/>
    <x v="1370"/>
    <x v="1800"/>
    <x v="1798"/>
    <x v="1724"/>
    <x v="3"/>
    <x v="1789"/>
    <x v="1800"/>
    <x v="629"/>
    <x v="0"/>
    <x v="1"/>
    <x v="0"/>
    <x v="179"/>
    <x v="8"/>
    <x v="12"/>
    <x v="8"/>
    <x v="1"/>
    <x v="1"/>
    <x v="0"/>
    <x v="1817"/>
  </r>
  <r>
    <x v="1"/>
    <x v="113"/>
    <x v="464"/>
    <x v="119"/>
    <x v="88"/>
    <x v="393"/>
    <x v="400"/>
    <x v="4"/>
    <x v="238"/>
    <x v="725"/>
    <x v="1174"/>
    <x v="1371"/>
    <x v="1801"/>
    <x v="1799"/>
    <x v="1725"/>
    <x v="2"/>
    <x v="1790"/>
    <x v="1801"/>
    <x v="755"/>
    <x v="0"/>
    <x v="0"/>
    <x v="1"/>
    <x v="4"/>
    <x v="4"/>
    <x v="626"/>
    <x v="50"/>
    <x v="8"/>
    <x v="80"/>
    <x v="0"/>
    <x v="1818"/>
  </r>
  <r>
    <x v="0"/>
    <x v="775"/>
    <x v="392"/>
    <x v="56"/>
    <x v="214"/>
    <x v="709"/>
    <x v="360"/>
    <x v="4"/>
    <x v="537"/>
    <x v="726"/>
    <x v="1175"/>
    <x v="1372"/>
    <x v="1802"/>
    <x v="1800"/>
    <x v="1231"/>
    <x v="0"/>
    <x v="1791"/>
    <x v="1802"/>
    <x v="369"/>
    <x v="0"/>
    <x v="1"/>
    <x v="2"/>
    <x v="131"/>
    <x v="39"/>
    <x v="627"/>
    <x v="10"/>
    <x v="3"/>
    <x v="1"/>
    <x v="0"/>
    <x v="1819"/>
  </r>
  <r>
    <x v="0"/>
    <x v="776"/>
    <x v="315"/>
    <x v="32"/>
    <x v="0"/>
    <x v="371"/>
    <x v="2"/>
    <x v="1716"/>
    <x v="538"/>
    <x v="72"/>
    <x v="1176"/>
    <x v="1168"/>
    <x v="1803"/>
    <x v="1801"/>
    <x v="1726"/>
    <x v="2"/>
    <x v="1792"/>
    <x v="1803"/>
    <x v="592"/>
    <x v="0"/>
    <x v="0"/>
    <x v="0"/>
    <x v="146"/>
    <x v="20"/>
    <x v="527"/>
    <x v="19"/>
    <x v="1"/>
    <x v="324"/>
    <x v="0"/>
    <x v="1820"/>
  </r>
  <r>
    <x v="0"/>
    <x v="582"/>
    <x v="111"/>
    <x v="56"/>
    <x v="188"/>
    <x v="665"/>
    <x v="21"/>
    <x v="1717"/>
    <x v="236"/>
    <x v="71"/>
    <x v="93"/>
    <x v="1373"/>
    <x v="1804"/>
    <x v="1802"/>
    <x v="1727"/>
    <x v="1"/>
    <x v="1793"/>
    <x v="1804"/>
    <x v="149"/>
    <x v="0"/>
    <x v="0"/>
    <x v="4"/>
    <x v="146"/>
    <x v="0"/>
    <x v="67"/>
    <x v="5"/>
    <x v="1"/>
    <x v="1"/>
    <x v="0"/>
    <x v="1821"/>
  </r>
  <r>
    <x v="0"/>
    <x v="777"/>
    <x v="217"/>
    <x v="77"/>
    <x v="91"/>
    <x v="535"/>
    <x v="401"/>
    <x v="1718"/>
    <x v="171"/>
    <x v="727"/>
    <x v="1137"/>
    <x v="1374"/>
    <x v="1805"/>
    <x v="1803"/>
    <x v="1728"/>
    <x v="0"/>
    <x v="1794"/>
    <x v="1805"/>
    <x v="301"/>
    <x v="0"/>
    <x v="0"/>
    <x v="4"/>
    <x v="146"/>
    <x v="14"/>
    <x v="476"/>
    <x v="18"/>
    <x v="8"/>
    <x v="325"/>
    <x v="0"/>
    <x v="1822"/>
  </r>
  <r>
    <x v="0"/>
    <x v="778"/>
    <x v="378"/>
    <x v="11"/>
    <x v="171"/>
    <x v="431"/>
    <x v="0"/>
    <x v="1719"/>
    <x v="301"/>
    <x v="48"/>
    <x v="391"/>
    <x v="629"/>
    <x v="1806"/>
    <x v="1804"/>
    <x v="1729"/>
    <x v="0"/>
    <x v="1795"/>
    <x v="1806"/>
    <x v="409"/>
    <x v="0"/>
    <x v="0"/>
    <x v="2"/>
    <x v="146"/>
    <x v="1"/>
    <x v="262"/>
    <x v="2"/>
    <x v="3"/>
    <x v="1"/>
    <x v="0"/>
    <x v="1823"/>
  </r>
  <r>
    <x v="0"/>
    <x v="423"/>
    <x v="352"/>
    <x v="71"/>
    <x v="0"/>
    <x v="482"/>
    <x v="35"/>
    <x v="1720"/>
    <x v="237"/>
    <x v="461"/>
    <x v="1177"/>
    <x v="1098"/>
    <x v="1807"/>
    <x v="1805"/>
    <x v="1730"/>
    <x v="7"/>
    <x v="1796"/>
    <x v="1807"/>
    <x v="536"/>
    <x v="0"/>
    <x v="0"/>
    <x v="2"/>
    <x v="146"/>
    <x v="10"/>
    <x v="536"/>
    <x v="57"/>
    <x v="3"/>
    <x v="1"/>
    <x v="0"/>
    <x v="1824"/>
  </r>
  <r>
    <x v="0"/>
    <x v="779"/>
    <x v="468"/>
    <x v="42"/>
    <x v="0"/>
    <x v="366"/>
    <x v="94"/>
    <x v="1721"/>
    <x v="168"/>
    <x v="218"/>
    <x v="483"/>
    <x v="1375"/>
    <x v="1808"/>
    <x v="1806"/>
    <x v="1731"/>
    <x v="1"/>
    <x v="1797"/>
    <x v="1808"/>
    <x v="575"/>
    <x v="0"/>
    <x v="0"/>
    <x v="4"/>
    <x v="146"/>
    <x v="6"/>
    <x v="313"/>
    <x v="10"/>
    <x v="1"/>
    <x v="1"/>
    <x v="0"/>
    <x v="1825"/>
  </r>
  <r>
    <x v="0"/>
    <x v="648"/>
    <x v="299"/>
    <x v="41"/>
    <x v="45"/>
    <x v="426"/>
    <x v="56"/>
    <x v="1722"/>
    <x v="26"/>
    <x v="728"/>
    <x v="1178"/>
    <x v="1376"/>
    <x v="1809"/>
    <x v="1807"/>
    <x v="552"/>
    <x v="4"/>
    <x v="1798"/>
    <x v="1809"/>
    <x v="713"/>
    <x v="0"/>
    <x v="1"/>
    <x v="4"/>
    <x v="168"/>
    <x v="18"/>
    <x v="628"/>
    <x v="22"/>
    <x v="1"/>
    <x v="1"/>
    <x v="0"/>
    <x v="1826"/>
  </r>
  <r>
    <x v="0"/>
    <x v="133"/>
    <x v="239"/>
    <x v="52"/>
    <x v="98"/>
    <x v="366"/>
    <x v="13"/>
    <x v="1723"/>
    <x v="539"/>
    <x v="158"/>
    <x v="89"/>
    <x v="1375"/>
    <x v="1810"/>
    <x v="1808"/>
    <x v="1732"/>
    <x v="1"/>
    <x v="1799"/>
    <x v="1810"/>
    <x v="715"/>
    <x v="0"/>
    <x v="0"/>
    <x v="4"/>
    <x v="159"/>
    <x v="15"/>
    <x v="31"/>
    <x v="21"/>
    <x v="3"/>
    <x v="1"/>
    <x v="0"/>
    <x v="1827"/>
  </r>
  <r>
    <x v="0"/>
    <x v="200"/>
    <x v="238"/>
    <x v="59"/>
    <x v="140"/>
    <x v="579"/>
    <x v="0"/>
    <x v="1724"/>
    <x v="353"/>
    <x v="285"/>
    <x v="46"/>
    <x v="1377"/>
    <x v="1811"/>
    <x v="1809"/>
    <x v="1733"/>
    <x v="0"/>
    <x v="1800"/>
    <x v="1811"/>
    <x v="630"/>
    <x v="0"/>
    <x v="0"/>
    <x v="4"/>
    <x v="146"/>
    <x v="14"/>
    <x v="36"/>
    <x v="21"/>
    <x v="1"/>
    <x v="43"/>
    <x v="0"/>
    <x v="1828"/>
  </r>
  <r>
    <x v="0"/>
    <x v="277"/>
    <x v="312"/>
    <x v="27"/>
    <x v="181"/>
    <x v="710"/>
    <x v="13"/>
    <x v="1725"/>
    <x v="200"/>
    <x v="158"/>
    <x v="660"/>
    <x v="1378"/>
    <x v="1812"/>
    <x v="1810"/>
    <x v="1734"/>
    <x v="1"/>
    <x v="1801"/>
    <x v="1812"/>
    <x v="718"/>
    <x v="0"/>
    <x v="0"/>
    <x v="4"/>
    <x v="131"/>
    <x v="8"/>
    <x v="249"/>
    <x v="20"/>
    <x v="1"/>
    <x v="323"/>
    <x v="0"/>
    <x v="1829"/>
  </r>
  <r>
    <x v="1"/>
    <x v="596"/>
    <x v="390"/>
    <x v="60"/>
    <x v="152"/>
    <x v="174"/>
    <x v="156"/>
    <x v="1726"/>
    <x v="306"/>
    <x v="289"/>
    <x v="125"/>
    <x v="1379"/>
    <x v="1813"/>
    <x v="1811"/>
    <x v="1735"/>
    <x v="2"/>
    <x v="1802"/>
    <x v="1813"/>
    <x v="802"/>
    <x v="0"/>
    <x v="4"/>
    <x v="4"/>
    <x v="154"/>
    <x v="17"/>
    <x v="88"/>
    <x v="5"/>
    <x v="3"/>
    <x v="326"/>
    <x v="0"/>
    <x v="1830"/>
  </r>
  <r>
    <x v="0"/>
    <x v="85"/>
    <x v="428"/>
    <x v="24"/>
    <x v="0"/>
    <x v="708"/>
    <x v="87"/>
    <x v="4"/>
    <x v="225"/>
    <x v="729"/>
    <x v="1179"/>
    <x v="1380"/>
    <x v="1814"/>
    <x v="1812"/>
    <x v="1736"/>
    <x v="1"/>
    <x v="1803"/>
    <x v="1814"/>
    <x v="786"/>
    <x v="0"/>
    <x v="10"/>
    <x v="1"/>
    <x v="146"/>
    <x v="7"/>
    <x v="231"/>
    <x v="4"/>
    <x v="1"/>
    <x v="327"/>
    <x v="0"/>
    <x v="1831"/>
  </r>
  <r>
    <x v="0"/>
    <x v="288"/>
    <x v="111"/>
    <x v="43"/>
    <x v="186"/>
    <x v="334"/>
    <x v="362"/>
    <x v="1727"/>
    <x v="132"/>
    <x v="730"/>
    <x v="1180"/>
    <x v="452"/>
    <x v="1815"/>
    <x v="1813"/>
    <x v="1737"/>
    <x v="1"/>
    <x v="1804"/>
    <x v="1815"/>
    <x v="781"/>
    <x v="0"/>
    <x v="0"/>
    <x v="2"/>
    <x v="140"/>
    <x v="0"/>
    <x v="609"/>
    <x v="31"/>
    <x v="3"/>
    <x v="1"/>
    <x v="0"/>
    <x v="1832"/>
  </r>
  <r>
    <x v="0"/>
    <x v="197"/>
    <x v="309"/>
    <x v="55"/>
    <x v="139"/>
    <x v="463"/>
    <x v="35"/>
    <x v="1728"/>
    <x v="540"/>
    <x v="157"/>
    <x v="1181"/>
    <x v="683"/>
    <x v="1816"/>
    <x v="1814"/>
    <x v="1738"/>
    <x v="4"/>
    <x v="1805"/>
    <x v="1816"/>
    <x v="484"/>
    <x v="0"/>
    <x v="0"/>
    <x v="2"/>
    <x v="140"/>
    <x v="17"/>
    <x v="629"/>
    <x v="9"/>
    <x v="3"/>
    <x v="1"/>
    <x v="0"/>
    <x v="1833"/>
  </r>
  <r>
    <x v="0"/>
    <x v="287"/>
    <x v="259"/>
    <x v="82"/>
    <x v="0"/>
    <x v="337"/>
    <x v="134"/>
    <x v="1729"/>
    <x v="127"/>
    <x v="252"/>
    <x v="513"/>
    <x v="1381"/>
    <x v="1817"/>
    <x v="1815"/>
    <x v="1739"/>
    <x v="1"/>
    <x v="1806"/>
    <x v="1817"/>
    <x v="22"/>
    <x v="0"/>
    <x v="0"/>
    <x v="4"/>
    <x v="140"/>
    <x v="12"/>
    <x v="334"/>
    <x v="1"/>
    <x v="3"/>
    <x v="1"/>
    <x v="0"/>
    <x v="1834"/>
  </r>
  <r>
    <x v="0"/>
    <x v="397"/>
    <x v="295"/>
    <x v="32"/>
    <x v="225"/>
    <x v="659"/>
    <x v="0"/>
    <x v="1730"/>
    <x v="105"/>
    <x v="384"/>
    <x v="1182"/>
    <x v="1211"/>
    <x v="1818"/>
    <x v="1816"/>
    <x v="1740"/>
    <x v="0"/>
    <x v="1807"/>
    <x v="1818"/>
    <x v="47"/>
    <x v="0"/>
    <x v="0"/>
    <x v="4"/>
    <x v="131"/>
    <x v="20"/>
    <x v="630"/>
    <x v="13"/>
    <x v="1"/>
    <x v="1"/>
    <x v="0"/>
    <x v="1835"/>
  </r>
  <r>
    <x v="0"/>
    <x v="780"/>
    <x v="268"/>
    <x v="37"/>
    <x v="233"/>
    <x v="698"/>
    <x v="21"/>
    <x v="1731"/>
    <x v="171"/>
    <x v="22"/>
    <x v="1183"/>
    <x v="1382"/>
    <x v="1819"/>
    <x v="1817"/>
    <x v="1741"/>
    <x v="0"/>
    <x v="1808"/>
    <x v="1819"/>
    <x v="488"/>
    <x v="0"/>
    <x v="0"/>
    <x v="4"/>
    <x v="168"/>
    <x v="11"/>
    <x v="578"/>
    <x v="12"/>
    <x v="1"/>
    <x v="61"/>
    <x v="0"/>
    <x v="1836"/>
  </r>
  <r>
    <x v="0"/>
    <x v="246"/>
    <x v="303"/>
    <x v="70"/>
    <x v="166"/>
    <x v="651"/>
    <x v="127"/>
    <x v="1732"/>
    <x v="132"/>
    <x v="239"/>
    <x v="556"/>
    <x v="1383"/>
    <x v="1820"/>
    <x v="1818"/>
    <x v="1742"/>
    <x v="2"/>
    <x v="1809"/>
    <x v="1820"/>
    <x v="558"/>
    <x v="0"/>
    <x v="0"/>
    <x v="0"/>
    <x v="140"/>
    <x v="22"/>
    <x v="309"/>
    <x v="19"/>
    <x v="3"/>
    <x v="1"/>
    <x v="0"/>
    <x v="1837"/>
  </r>
  <r>
    <x v="0"/>
    <x v="473"/>
    <x v="221"/>
    <x v="85"/>
    <x v="212"/>
    <x v="39"/>
    <x v="2"/>
    <x v="1733"/>
    <x v="132"/>
    <x v="182"/>
    <x v="658"/>
    <x v="1384"/>
    <x v="1821"/>
    <x v="1819"/>
    <x v="1743"/>
    <x v="3"/>
    <x v="1810"/>
    <x v="1821"/>
    <x v="278"/>
    <x v="0"/>
    <x v="0"/>
    <x v="4"/>
    <x v="146"/>
    <x v="8"/>
    <x v="408"/>
    <x v="15"/>
    <x v="1"/>
    <x v="1"/>
    <x v="0"/>
    <x v="1838"/>
  </r>
  <r>
    <x v="0"/>
    <x v="279"/>
    <x v="358"/>
    <x v="61"/>
    <x v="183"/>
    <x v="293"/>
    <x v="0"/>
    <x v="1734"/>
    <x v="105"/>
    <x v="327"/>
    <x v="176"/>
    <x v="1385"/>
    <x v="1822"/>
    <x v="1820"/>
    <x v="1744"/>
    <x v="1"/>
    <x v="1811"/>
    <x v="1822"/>
    <x v="55"/>
    <x v="0"/>
    <x v="0"/>
    <x v="0"/>
    <x v="140"/>
    <x v="20"/>
    <x v="120"/>
    <x v="15"/>
    <x v="1"/>
    <x v="1"/>
    <x v="0"/>
    <x v="1839"/>
  </r>
  <r>
    <x v="0"/>
    <x v="260"/>
    <x v="155"/>
    <x v="106"/>
    <x v="0"/>
    <x v="78"/>
    <x v="22"/>
    <x v="1735"/>
    <x v="304"/>
    <x v="226"/>
    <x v="1184"/>
    <x v="1386"/>
    <x v="1823"/>
    <x v="1821"/>
    <x v="1745"/>
    <x v="0"/>
    <x v="1812"/>
    <x v="1823"/>
    <x v="803"/>
    <x v="0"/>
    <x v="0"/>
    <x v="4"/>
    <x v="134"/>
    <x v="17"/>
    <x v="631"/>
    <x v="7"/>
    <x v="1"/>
    <x v="1"/>
    <x v="0"/>
    <x v="1840"/>
  </r>
  <r>
    <x v="0"/>
    <x v="133"/>
    <x v="324"/>
    <x v="69"/>
    <x v="98"/>
    <x v="227"/>
    <x v="94"/>
    <x v="1736"/>
    <x v="251"/>
    <x v="218"/>
    <x v="297"/>
    <x v="1217"/>
    <x v="1824"/>
    <x v="1822"/>
    <x v="1746"/>
    <x v="7"/>
    <x v="1813"/>
    <x v="1824"/>
    <x v="627"/>
    <x v="0"/>
    <x v="0"/>
    <x v="4"/>
    <x v="140"/>
    <x v="22"/>
    <x v="30"/>
    <x v="4"/>
    <x v="1"/>
    <x v="1"/>
    <x v="0"/>
    <x v="1841"/>
  </r>
  <r>
    <x v="0"/>
    <x v="113"/>
    <x v="212"/>
    <x v="96"/>
    <x v="88"/>
    <x v="685"/>
    <x v="116"/>
    <x v="4"/>
    <x v="125"/>
    <x v="731"/>
    <x v="1185"/>
    <x v="1387"/>
    <x v="1825"/>
    <x v="1823"/>
    <x v="700"/>
    <x v="7"/>
    <x v="1814"/>
    <x v="1825"/>
    <x v="748"/>
    <x v="0"/>
    <x v="0"/>
    <x v="7"/>
    <x v="4"/>
    <x v="4"/>
    <x v="632"/>
    <x v="36"/>
    <x v="8"/>
    <x v="1"/>
    <x v="0"/>
    <x v="1842"/>
  </r>
  <r>
    <x v="1"/>
    <x v="755"/>
    <x v="392"/>
    <x v="145"/>
    <x v="0"/>
    <x v="320"/>
    <x v="402"/>
    <x v="1737"/>
    <x v="156"/>
    <x v="732"/>
    <x v="1186"/>
    <x v="1388"/>
    <x v="1826"/>
    <x v="1824"/>
    <x v="1747"/>
    <x v="16"/>
    <x v="1815"/>
    <x v="1826"/>
    <x v="191"/>
    <x v="0"/>
    <x v="0"/>
    <x v="2"/>
    <x v="140"/>
    <x v="47"/>
    <x v="633"/>
    <x v="38"/>
    <x v="1"/>
    <x v="1"/>
    <x v="0"/>
    <x v="1843"/>
  </r>
  <r>
    <x v="0"/>
    <x v="548"/>
    <x v="400"/>
    <x v="79"/>
    <x v="0"/>
    <x v="661"/>
    <x v="403"/>
    <x v="1738"/>
    <x v="60"/>
    <x v="733"/>
    <x v="1187"/>
    <x v="1389"/>
    <x v="1827"/>
    <x v="1825"/>
    <x v="1748"/>
    <x v="0"/>
    <x v="1816"/>
    <x v="1827"/>
    <x v="804"/>
    <x v="0"/>
    <x v="0"/>
    <x v="0"/>
    <x v="140"/>
    <x v="12"/>
    <x v="520"/>
    <x v="12"/>
    <x v="1"/>
    <x v="1"/>
    <x v="0"/>
    <x v="1844"/>
  </r>
  <r>
    <x v="0"/>
    <x v="504"/>
    <x v="177"/>
    <x v="78"/>
    <x v="101"/>
    <x v="688"/>
    <x v="401"/>
    <x v="1739"/>
    <x v="381"/>
    <x v="734"/>
    <x v="1188"/>
    <x v="1390"/>
    <x v="1828"/>
    <x v="1826"/>
    <x v="1749"/>
    <x v="0"/>
    <x v="1817"/>
    <x v="1828"/>
    <x v="805"/>
    <x v="0"/>
    <x v="0"/>
    <x v="4"/>
    <x v="140"/>
    <x v="17"/>
    <x v="578"/>
    <x v="5"/>
    <x v="3"/>
    <x v="1"/>
    <x v="0"/>
    <x v="1845"/>
  </r>
  <r>
    <x v="0"/>
    <x v="375"/>
    <x v="148"/>
    <x v="86"/>
    <x v="0"/>
    <x v="212"/>
    <x v="0"/>
    <x v="1740"/>
    <x v="541"/>
    <x v="185"/>
    <x v="886"/>
    <x v="560"/>
    <x v="1829"/>
    <x v="1827"/>
    <x v="1750"/>
    <x v="3"/>
    <x v="1818"/>
    <x v="1829"/>
    <x v="806"/>
    <x v="0"/>
    <x v="1"/>
    <x v="0"/>
    <x v="140"/>
    <x v="21"/>
    <x v="511"/>
    <x v="6"/>
    <x v="1"/>
    <x v="37"/>
    <x v="0"/>
    <x v="1846"/>
  </r>
  <r>
    <x v="0"/>
    <x v="378"/>
    <x v="84"/>
    <x v="7"/>
    <x v="94"/>
    <x v="492"/>
    <x v="35"/>
    <x v="1741"/>
    <x v="275"/>
    <x v="184"/>
    <x v="1189"/>
    <x v="736"/>
    <x v="1830"/>
    <x v="1828"/>
    <x v="1751"/>
    <x v="0"/>
    <x v="1819"/>
    <x v="1830"/>
    <x v="419"/>
    <x v="0"/>
    <x v="0"/>
    <x v="4"/>
    <x v="140"/>
    <x v="5"/>
    <x v="125"/>
    <x v="31"/>
    <x v="1"/>
    <x v="1"/>
    <x v="0"/>
    <x v="1847"/>
  </r>
  <r>
    <x v="0"/>
    <x v="27"/>
    <x v="445"/>
    <x v="74"/>
    <x v="0"/>
    <x v="201"/>
    <x v="25"/>
    <x v="1742"/>
    <x v="539"/>
    <x v="138"/>
    <x v="1190"/>
    <x v="254"/>
    <x v="1831"/>
    <x v="1829"/>
    <x v="1752"/>
    <x v="2"/>
    <x v="1820"/>
    <x v="1831"/>
    <x v="158"/>
    <x v="0"/>
    <x v="0"/>
    <x v="4"/>
    <x v="140"/>
    <x v="9"/>
    <x v="11"/>
    <x v="12"/>
    <x v="1"/>
    <x v="132"/>
    <x v="0"/>
    <x v="1848"/>
  </r>
  <r>
    <x v="0"/>
    <x v="166"/>
    <x v="271"/>
    <x v="56"/>
    <x v="8"/>
    <x v="10"/>
    <x v="32"/>
    <x v="1743"/>
    <x v="105"/>
    <x v="59"/>
    <x v="703"/>
    <x v="1391"/>
    <x v="1832"/>
    <x v="1830"/>
    <x v="1753"/>
    <x v="4"/>
    <x v="1821"/>
    <x v="1832"/>
    <x v="178"/>
    <x v="0"/>
    <x v="0"/>
    <x v="0"/>
    <x v="140"/>
    <x v="14"/>
    <x v="13"/>
    <x v="12"/>
    <x v="3"/>
    <x v="328"/>
    <x v="0"/>
    <x v="1849"/>
  </r>
  <r>
    <x v="0"/>
    <x v="298"/>
    <x v="474"/>
    <x v="50"/>
    <x v="191"/>
    <x v="711"/>
    <x v="35"/>
    <x v="1744"/>
    <x v="542"/>
    <x v="280"/>
    <x v="1191"/>
    <x v="1392"/>
    <x v="1833"/>
    <x v="1831"/>
    <x v="1754"/>
    <x v="0"/>
    <x v="1822"/>
    <x v="1833"/>
    <x v="447"/>
    <x v="0"/>
    <x v="0"/>
    <x v="2"/>
    <x v="140"/>
    <x v="19"/>
    <x v="634"/>
    <x v="31"/>
    <x v="3"/>
    <x v="329"/>
    <x v="0"/>
    <x v="1850"/>
  </r>
  <r>
    <x v="0"/>
    <x v="321"/>
    <x v="303"/>
    <x v="82"/>
    <x v="200"/>
    <x v="305"/>
    <x v="327"/>
    <x v="1745"/>
    <x v="543"/>
    <x v="582"/>
    <x v="1192"/>
    <x v="1393"/>
    <x v="1834"/>
    <x v="1832"/>
    <x v="1755"/>
    <x v="2"/>
    <x v="1823"/>
    <x v="1834"/>
    <x v="585"/>
    <x v="0"/>
    <x v="0"/>
    <x v="0"/>
    <x v="140"/>
    <x v="39"/>
    <x v="273"/>
    <x v="13"/>
    <x v="1"/>
    <x v="1"/>
    <x v="0"/>
    <x v="1851"/>
  </r>
  <r>
    <x v="0"/>
    <x v="474"/>
    <x v="259"/>
    <x v="72"/>
    <x v="246"/>
    <x v="23"/>
    <x v="24"/>
    <x v="1746"/>
    <x v="306"/>
    <x v="131"/>
    <x v="330"/>
    <x v="1394"/>
    <x v="1835"/>
    <x v="1833"/>
    <x v="1756"/>
    <x v="0"/>
    <x v="1824"/>
    <x v="1835"/>
    <x v="781"/>
    <x v="0"/>
    <x v="0"/>
    <x v="4"/>
    <x v="140"/>
    <x v="0"/>
    <x v="28"/>
    <x v="1"/>
    <x v="1"/>
    <x v="7"/>
    <x v="0"/>
    <x v="1852"/>
  </r>
  <r>
    <x v="0"/>
    <x v="781"/>
    <x v="398"/>
    <x v="7"/>
    <x v="193"/>
    <x v="84"/>
    <x v="0"/>
    <x v="1747"/>
    <x v="544"/>
    <x v="735"/>
    <x v="1066"/>
    <x v="107"/>
    <x v="1836"/>
    <x v="1834"/>
    <x v="861"/>
    <x v="2"/>
    <x v="1825"/>
    <x v="1836"/>
    <x v="704"/>
    <x v="0"/>
    <x v="0"/>
    <x v="2"/>
    <x v="140"/>
    <x v="14"/>
    <x v="93"/>
    <x v="33"/>
    <x v="1"/>
    <x v="330"/>
    <x v="0"/>
    <x v="1853"/>
  </r>
  <r>
    <x v="0"/>
    <x v="293"/>
    <x v="245"/>
    <x v="18"/>
    <x v="0"/>
    <x v="253"/>
    <x v="13"/>
    <x v="1748"/>
    <x v="127"/>
    <x v="158"/>
    <x v="400"/>
    <x v="1395"/>
    <x v="1837"/>
    <x v="1835"/>
    <x v="1757"/>
    <x v="11"/>
    <x v="1826"/>
    <x v="1837"/>
    <x v="227"/>
    <x v="0"/>
    <x v="0"/>
    <x v="0"/>
    <x v="121"/>
    <x v="10"/>
    <x v="269"/>
    <x v="20"/>
    <x v="3"/>
    <x v="35"/>
    <x v="0"/>
    <x v="1854"/>
  </r>
  <r>
    <x v="0"/>
    <x v="782"/>
    <x v="197"/>
    <x v="34"/>
    <x v="255"/>
    <x v="712"/>
    <x v="2"/>
    <x v="1749"/>
    <x v="260"/>
    <x v="60"/>
    <x v="1193"/>
    <x v="1396"/>
    <x v="1838"/>
    <x v="1836"/>
    <x v="1758"/>
    <x v="1"/>
    <x v="1827"/>
    <x v="1838"/>
    <x v="339"/>
    <x v="0"/>
    <x v="10"/>
    <x v="4"/>
    <x v="114"/>
    <x v="18"/>
    <x v="14"/>
    <x v="19"/>
    <x v="1"/>
    <x v="67"/>
    <x v="0"/>
    <x v="1855"/>
  </r>
  <r>
    <x v="0"/>
    <x v="446"/>
    <x v="220"/>
    <x v="47"/>
    <x v="101"/>
    <x v="309"/>
    <x v="404"/>
    <x v="1750"/>
    <x v="180"/>
    <x v="736"/>
    <x v="164"/>
    <x v="1397"/>
    <x v="1839"/>
    <x v="1837"/>
    <x v="367"/>
    <x v="1"/>
    <x v="1828"/>
    <x v="1839"/>
    <x v="600"/>
    <x v="0"/>
    <x v="0"/>
    <x v="4"/>
    <x v="140"/>
    <x v="3"/>
    <x v="109"/>
    <x v="21"/>
    <x v="1"/>
    <x v="50"/>
    <x v="0"/>
    <x v="1856"/>
  </r>
  <r>
    <x v="0"/>
    <x v="372"/>
    <x v="249"/>
    <x v="47"/>
    <x v="8"/>
    <x v="56"/>
    <x v="327"/>
    <x v="1751"/>
    <x v="127"/>
    <x v="737"/>
    <x v="396"/>
    <x v="1398"/>
    <x v="1840"/>
    <x v="1838"/>
    <x v="1759"/>
    <x v="4"/>
    <x v="1829"/>
    <x v="1840"/>
    <x v="581"/>
    <x v="0"/>
    <x v="0"/>
    <x v="0"/>
    <x v="140"/>
    <x v="14"/>
    <x v="266"/>
    <x v="31"/>
    <x v="3"/>
    <x v="331"/>
    <x v="0"/>
    <x v="1857"/>
  </r>
  <r>
    <x v="0"/>
    <x v="783"/>
    <x v="424"/>
    <x v="77"/>
    <x v="78"/>
    <x v="70"/>
    <x v="0"/>
    <x v="1752"/>
    <x v="545"/>
    <x v="738"/>
    <x v="300"/>
    <x v="1399"/>
    <x v="1841"/>
    <x v="1839"/>
    <x v="1760"/>
    <x v="0"/>
    <x v="1830"/>
    <x v="1841"/>
    <x v="167"/>
    <x v="0"/>
    <x v="4"/>
    <x v="0"/>
    <x v="140"/>
    <x v="24"/>
    <x v="202"/>
    <x v="44"/>
    <x v="1"/>
    <x v="332"/>
    <x v="0"/>
    <x v="1858"/>
  </r>
  <r>
    <x v="0"/>
    <x v="784"/>
    <x v="372"/>
    <x v="59"/>
    <x v="164"/>
    <x v="606"/>
    <x v="0"/>
    <x v="1753"/>
    <x v="168"/>
    <x v="255"/>
    <x v="420"/>
    <x v="1204"/>
    <x v="1842"/>
    <x v="1840"/>
    <x v="1761"/>
    <x v="3"/>
    <x v="1831"/>
    <x v="1842"/>
    <x v="650"/>
    <x v="0"/>
    <x v="0"/>
    <x v="4"/>
    <x v="134"/>
    <x v="25"/>
    <x v="50"/>
    <x v="9"/>
    <x v="3"/>
    <x v="333"/>
    <x v="0"/>
    <x v="1859"/>
  </r>
  <r>
    <x v="0"/>
    <x v="785"/>
    <x v="417"/>
    <x v="7"/>
    <x v="216"/>
    <x v="463"/>
    <x v="405"/>
    <x v="4"/>
    <x v="471"/>
    <x v="739"/>
    <x v="77"/>
    <x v="1400"/>
    <x v="1843"/>
    <x v="1841"/>
    <x v="1762"/>
    <x v="4"/>
    <x v="1832"/>
    <x v="1843"/>
    <x v="212"/>
    <x v="0"/>
    <x v="0"/>
    <x v="4"/>
    <x v="140"/>
    <x v="13"/>
    <x v="56"/>
    <x v="22"/>
    <x v="3"/>
    <x v="1"/>
    <x v="0"/>
    <x v="1860"/>
  </r>
  <r>
    <x v="0"/>
    <x v="696"/>
    <x v="410"/>
    <x v="33"/>
    <x v="201"/>
    <x v="515"/>
    <x v="2"/>
    <x v="1754"/>
    <x v="546"/>
    <x v="740"/>
    <x v="880"/>
    <x v="775"/>
    <x v="1844"/>
    <x v="1842"/>
    <x v="1763"/>
    <x v="0"/>
    <x v="1833"/>
    <x v="1844"/>
    <x v="128"/>
    <x v="0"/>
    <x v="0"/>
    <x v="0"/>
    <x v="140"/>
    <x v="18"/>
    <x v="92"/>
    <x v="2"/>
    <x v="15"/>
    <x v="334"/>
    <x v="0"/>
    <x v="1861"/>
  </r>
  <r>
    <x v="0"/>
    <x v="363"/>
    <x v="392"/>
    <x v="7"/>
    <x v="213"/>
    <x v="658"/>
    <x v="10"/>
    <x v="4"/>
    <x v="127"/>
    <x v="40"/>
    <x v="1194"/>
    <x v="1169"/>
    <x v="1845"/>
    <x v="1843"/>
    <x v="1764"/>
    <x v="7"/>
    <x v="1834"/>
    <x v="1845"/>
    <x v="510"/>
    <x v="0"/>
    <x v="0"/>
    <x v="0"/>
    <x v="140"/>
    <x v="2"/>
    <x v="488"/>
    <x v="61"/>
    <x v="3"/>
    <x v="1"/>
    <x v="0"/>
    <x v="1862"/>
  </r>
  <r>
    <x v="0"/>
    <x v="786"/>
    <x v="430"/>
    <x v="54"/>
    <x v="0"/>
    <x v="713"/>
    <x v="359"/>
    <x v="1755"/>
    <x v="547"/>
    <x v="741"/>
    <x v="1195"/>
    <x v="1401"/>
    <x v="1846"/>
    <x v="1844"/>
    <x v="1765"/>
    <x v="1"/>
    <x v="1835"/>
    <x v="1846"/>
    <x v="721"/>
    <x v="0"/>
    <x v="0"/>
    <x v="2"/>
    <x v="180"/>
    <x v="25"/>
    <x v="635"/>
    <x v="31"/>
    <x v="1"/>
    <x v="335"/>
    <x v="0"/>
    <x v="1863"/>
  </r>
  <r>
    <x v="0"/>
    <x v="228"/>
    <x v="305"/>
    <x v="85"/>
    <x v="155"/>
    <x v="135"/>
    <x v="17"/>
    <x v="1756"/>
    <x v="123"/>
    <x v="32"/>
    <x v="1196"/>
    <x v="166"/>
    <x v="1847"/>
    <x v="1845"/>
    <x v="1766"/>
    <x v="0"/>
    <x v="1836"/>
    <x v="1847"/>
    <x v="189"/>
    <x v="0"/>
    <x v="0"/>
    <x v="0"/>
    <x v="140"/>
    <x v="2"/>
    <x v="521"/>
    <x v="12"/>
    <x v="1"/>
    <x v="59"/>
    <x v="0"/>
    <x v="1864"/>
  </r>
  <r>
    <x v="0"/>
    <x v="787"/>
    <x v="84"/>
    <x v="74"/>
    <x v="302"/>
    <x v="714"/>
    <x v="23"/>
    <x v="1757"/>
    <x v="260"/>
    <x v="613"/>
    <x v="393"/>
    <x v="1402"/>
    <x v="1848"/>
    <x v="1846"/>
    <x v="1767"/>
    <x v="0"/>
    <x v="1837"/>
    <x v="1848"/>
    <x v="493"/>
    <x v="0"/>
    <x v="1"/>
    <x v="4"/>
    <x v="159"/>
    <x v="12"/>
    <x v="264"/>
    <x v="7"/>
    <x v="3"/>
    <x v="1"/>
    <x v="0"/>
    <x v="1865"/>
  </r>
  <r>
    <x v="0"/>
    <x v="289"/>
    <x v="115"/>
    <x v="60"/>
    <x v="0"/>
    <x v="41"/>
    <x v="406"/>
    <x v="1758"/>
    <x v="270"/>
    <x v="742"/>
    <x v="1197"/>
    <x v="1403"/>
    <x v="1849"/>
    <x v="1847"/>
    <x v="1768"/>
    <x v="0"/>
    <x v="1838"/>
    <x v="1849"/>
    <x v="807"/>
    <x v="16"/>
    <x v="0"/>
    <x v="4"/>
    <x v="116"/>
    <x v="14"/>
    <x v="636"/>
    <x v="1"/>
    <x v="1"/>
    <x v="38"/>
    <x v="0"/>
    <x v="1866"/>
  </r>
  <r>
    <x v="0"/>
    <x v="126"/>
    <x v="394"/>
    <x v="31"/>
    <x v="0"/>
    <x v="715"/>
    <x v="49"/>
    <x v="1759"/>
    <x v="535"/>
    <x v="86"/>
    <x v="1198"/>
    <x v="1404"/>
    <x v="1850"/>
    <x v="1848"/>
    <x v="1769"/>
    <x v="7"/>
    <x v="1839"/>
    <x v="1850"/>
    <x v="533"/>
    <x v="0"/>
    <x v="0"/>
    <x v="0"/>
    <x v="131"/>
    <x v="27"/>
    <x v="30"/>
    <x v="8"/>
    <x v="1"/>
    <x v="1"/>
    <x v="0"/>
    <x v="1867"/>
  </r>
  <r>
    <x v="0"/>
    <x v="277"/>
    <x v="388"/>
    <x v="82"/>
    <x v="181"/>
    <x v="555"/>
    <x v="14"/>
    <x v="1760"/>
    <x v="270"/>
    <x v="56"/>
    <x v="694"/>
    <x v="1405"/>
    <x v="1851"/>
    <x v="1849"/>
    <x v="1770"/>
    <x v="3"/>
    <x v="1840"/>
    <x v="1851"/>
    <x v="569"/>
    <x v="0"/>
    <x v="0"/>
    <x v="4"/>
    <x v="131"/>
    <x v="32"/>
    <x v="103"/>
    <x v="25"/>
    <x v="3"/>
    <x v="85"/>
    <x v="0"/>
    <x v="1868"/>
  </r>
  <r>
    <x v="0"/>
    <x v="326"/>
    <x v="35"/>
    <x v="38"/>
    <x v="121"/>
    <x v="716"/>
    <x v="17"/>
    <x v="1761"/>
    <x v="270"/>
    <x v="303"/>
    <x v="1199"/>
    <x v="1406"/>
    <x v="1852"/>
    <x v="1850"/>
    <x v="1771"/>
    <x v="0"/>
    <x v="1841"/>
    <x v="1852"/>
    <x v="135"/>
    <x v="0"/>
    <x v="0"/>
    <x v="4"/>
    <x v="152"/>
    <x v="8"/>
    <x v="637"/>
    <x v="17"/>
    <x v="1"/>
    <x v="82"/>
    <x v="0"/>
    <x v="1869"/>
  </r>
  <r>
    <x v="0"/>
    <x v="78"/>
    <x v="354"/>
    <x v="74"/>
    <x v="0"/>
    <x v="390"/>
    <x v="35"/>
    <x v="1762"/>
    <x v="406"/>
    <x v="112"/>
    <x v="173"/>
    <x v="550"/>
    <x v="1853"/>
    <x v="1851"/>
    <x v="1772"/>
    <x v="1"/>
    <x v="1842"/>
    <x v="1853"/>
    <x v="519"/>
    <x v="0"/>
    <x v="0"/>
    <x v="0"/>
    <x v="181"/>
    <x v="8"/>
    <x v="117"/>
    <x v="21"/>
    <x v="1"/>
    <x v="1"/>
    <x v="0"/>
    <x v="1870"/>
  </r>
  <r>
    <x v="0"/>
    <x v="430"/>
    <x v="481"/>
    <x v="41"/>
    <x v="235"/>
    <x v="440"/>
    <x v="21"/>
    <x v="1763"/>
    <x v="3"/>
    <x v="22"/>
    <x v="1121"/>
    <x v="644"/>
    <x v="1854"/>
    <x v="1852"/>
    <x v="1773"/>
    <x v="0"/>
    <x v="1843"/>
    <x v="1854"/>
    <x v="44"/>
    <x v="0"/>
    <x v="10"/>
    <x v="0"/>
    <x v="131"/>
    <x v="8"/>
    <x v="15"/>
    <x v="0"/>
    <x v="1"/>
    <x v="5"/>
    <x v="0"/>
    <x v="1871"/>
  </r>
  <r>
    <x v="0"/>
    <x v="788"/>
    <x v="69"/>
    <x v="34"/>
    <x v="142"/>
    <x v="456"/>
    <x v="333"/>
    <x v="1764"/>
    <x v="17"/>
    <x v="743"/>
    <x v="1200"/>
    <x v="1407"/>
    <x v="1855"/>
    <x v="1853"/>
    <x v="1774"/>
    <x v="0"/>
    <x v="1844"/>
    <x v="1855"/>
    <x v="195"/>
    <x v="0"/>
    <x v="0"/>
    <x v="0"/>
    <x v="140"/>
    <x v="11"/>
    <x v="74"/>
    <x v="10"/>
    <x v="1"/>
    <x v="64"/>
    <x v="0"/>
    <x v="1872"/>
  </r>
  <r>
    <x v="0"/>
    <x v="210"/>
    <x v="422"/>
    <x v="74"/>
    <x v="138"/>
    <x v="717"/>
    <x v="197"/>
    <x v="1765"/>
    <x v="548"/>
    <x v="451"/>
    <x v="420"/>
    <x v="1408"/>
    <x v="1856"/>
    <x v="1854"/>
    <x v="1775"/>
    <x v="0"/>
    <x v="1845"/>
    <x v="1856"/>
    <x v="189"/>
    <x v="0"/>
    <x v="0"/>
    <x v="4"/>
    <x v="131"/>
    <x v="29"/>
    <x v="50"/>
    <x v="9"/>
    <x v="3"/>
    <x v="1"/>
    <x v="0"/>
    <x v="1873"/>
  </r>
  <r>
    <x v="1"/>
    <x v="38"/>
    <x v="215"/>
    <x v="146"/>
    <x v="25"/>
    <x v="322"/>
    <x v="21"/>
    <x v="1766"/>
    <x v="406"/>
    <x v="22"/>
    <x v="1201"/>
    <x v="1409"/>
    <x v="1857"/>
    <x v="1855"/>
    <x v="1776"/>
    <x v="0"/>
    <x v="1846"/>
    <x v="1857"/>
    <x v="808"/>
    <x v="0"/>
    <x v="0"/>
    <x v="4"/>
    <x v="134"/>
    <x v="27"/>
    <x v="66"/>
    <x v="49"/>
    <x v="3"/>
    <x v="25"/>
    <x v="0"/>
    <x v="1874"/>
  </r>
  <r>
    <x v="0"/>
    <x v="716"/>
    <x v="482"/>
    <x v="75"/>
    <x v="61"/>
    <x v="10"/>
    <x v="10"/>
    <x v="1767"/>
    <x v="270"/>
    <x v="16"/>
    <x v="38"/>
    <x v="1410"/>
    <x v="1858"/>
    <x v="1856"/>
    <x v="1777"/>
    <x v="4"/>
    <x v="1847"/>
    <x v="1858"/>
    <x v="680"/>
    <x v="0"/>
    <x v="0"/>
    <x v="0"/>
    <x v="131"/>
    <x v="10"/>
    <x v="13"/>
    <x v="14"/>
    <x v="3"/>
    <x v="300"/>
    <x v="0"/>
    <x v="1875"/>
  </r>
  <r>
    <x v="0"/>
    <x v="111"/>
    <x v="400"/>
    <x v="57"/>
    <x v="87"/>
    <x v="207"/>
    <x v="32"/>
    <x v="1768"/>
    <x v="283"/>
    <x v="38"/>
    <x v="1202"/>
    <x v="1411"/>
    <x v="1859"/>
    <x v="1857"/>
    <x v="1778"/>
    <x v="1"/>
    <x v="1848"/>
    <x v="1859"/>
    <x v="715"/>
    <x v="0"/>
    <x v="0"/>
    <x v="4"/>
    <x v="168"/>
    <x v="9"/>
    <x v="53"/>
    <x v="5"/>
    <x v="1"/>
    <x v="59"/>
    <x v="0"/>
    <x v="1876"/>
  </r>
  <r>
    <x v="0"/>
    <x v="154"/>
    <x v="160"/>
    <x v="41"/>
    <x v="113"/>
    <x v="623"/>
    <x v="41"/>
    <x v="1769"/>
    <x v="549"/>
    <x v="221"/>
    <x v="323"/>
    <x v="1052"/>
    <x v="1860"/>
    <x v="1858"/>
    <x v="1779"/>
    <x v="0"/>
    <x v="1849"/>
    <x v="1860"/>
    <x v="585"/>
    <x v="0"/>
    <x v="0"/>
    <x v="2"/>
    <x v="67"/>
    <x v="14"/>
    <x v="12"/>
    <x v="41"/>
    <x v="3"/>
    <x v="336"/>
    <x v="0"/>
    <x v="1877"/>
  </r>
  <r>
    <x v="0"/>
    <x v="789"/>
    <x v="429"/>
    <x v="86"/>
    <x v="0"/>
    <x v="358"/>
    <x v="0"/>
    <x v="4"/>
    <x v="550"/>
    <x v="251"/>
    <x v="1203"/>
    <x v="1412"/>
    <x v="1861"/>
    <x v="1859"/>
    <x v="1780"/>
    <x v="1"/>
    <x v="1850"/>
    <x v="1861"/>
    <x v="684"/>
    <x v="9"/>
    <x v="21"/>
    <x v="1"/>
    <x v="140"/>
    <x v="11"/>
    <x v="638"/>
    <x v="28"/>
    <x v="3"/>
    <x v="1"/>
    <x v="0"/>
    <x v="1878"/>
  </r>
  <r>
    <x v="0"/>
    <x v="648"/>
    <x v="446"/>
    <x v="55"/>
    <x v="45"/>
    <x v="718"/>
    <x v="350"/>
    <x v="1770"/>
    <x v="355"/>
    <x v="744"/>
    <x v="1204"/>
    <x v="1413"/>
    <x v="1862"/>
    <x v="1860"/>
    <x v="1781"/>
    <x v="0"/>
    <x v="1851"/>
    <x v="1862"/>
    <x v="809"/>
    <x v="0"/>
    <x v="0"/>
    <x v="4"/>
    <x v="116"/>
    <x v="17"/>
    <x v="153"/>
    <x v="27"/>
    <x v="1"/>
    <x v="67"/>
    <x v="0"/>
    <x v="1879"/>
  </r>
  <r>
    <x v="0"/>
    <x v="790"/>
    <x v="239"/>
    <x v="59"/>
    <x v="303"/>
    <x v="590"/>
    <x v="344"/>
    <x v="4"/>
    <x v="270"/>
    <x v="745"/>
    <x v="1205"/>
    <x v="1414"/>
    <x v="1863"/>
    <x v="1861"/>
    <x v="1782"/>
    <x v="4"/>
    <x v="4"/>
    <x v="1863"/>
    <x v="719"/>
    <x v="0"/>
    <x v="1"/>
    <x v="9"/>
    <x v="4"/>
    <x v="11"/>
    <x v="639"/>
    <x v="55"/>
    <x v="1"/>
    <x v="337"/>
    <x v="0"/>
    <x v="1880"/>
  </r>
  <r>
    <x v="0"/>
    <x v="506"/>
    <x v="240"/>
    <x v="87"/>
    <x v="193"/>
    <x v="132"/>
    <x v="101"/>
    <x v="1771"/>
    <x v="30"/>
    <x v="183"/>
    <x v="1206"/>
    <x v="1209"/>
    <x v="1864"/>
    <x v="1862"/>
    <x v="1783"/>
    <x v="0"/>
    <x v="1852"/>
    <x v="1864"/>
    <x v="173"/>
    <x v="0"/>
    <x v="0"/>
    <x v="3"/>
    <x v="116"/>
    <x v="18"/>
    <x v="640"/>
    <x v="19"/>
    <x v="3"/>
    <x v="338"/>
    <x v="0"/>
    <x v="1881"/>
  </r>
  <r>
    <x v="0"/>
    <x v="57"/>
    <x v="284"/>
    <x v="79"/>
    <x v="42"/>
    <x v="174"/>
    <x v="35"/>
    <x v="1772"/>
    <x v="274"/>
    <x v="746"/>
    <x v="1207"/>
    <x v="1415"/>
    <x v="1865"/>
    <x v="1863"/>
    <x v="1784"/>
    <x v="0"/>
    <x v="1853"/>
    <x v="1865"/>
    <x v="810"/>
    <x v="0"/>
    <x v="0"/>
    <x v="0"/>
    <x v="131"/>
    <x v="8"/>
    <x v="30"/>
    <x v="15"/>
    <x v="3"/>
    <x v="1"/>
    <x v="0"/>
    <x v="1882"/>
  </r>
  <r>
    <x v="0"/>
    <x v="791"/>
    <x v="373"/>
    <x v="76"/>
    <x v="116"/>
    <x v="114"/>
    <x v="405"/>
    <x v="1773"/>
    <x v="237"/>
    <x v="747"/>
    <x v="1208"/>
    <x v="1416"/>
    <x v="1866"/>
    <x v="1864"/>
    <x v="1785"/>
    <x v="0"/>
    <x v="1854"/>
    <x v="1866"/>
    <x v="641"/>
    <x v="0"/>
    <x v="0"/>
    <x v="2"/>
    <x v="131"/>
    <x v="23"/>
    <x v="226"/>
    <x v="19"/>
    <x v="3"/>
    <x v="1"/>
    <x v="0"/>
    <x v="1883"/>
  </r>
  <r>
    <x v="0"/>
    <x v="209"/>
    <x v="318"/>
    <x v="73"/>
    <x v="0"/>
    <x v="719"/>
    <x v="13"/>
    <x v="1774"/>
    <x v="168"/>
    <x v="158"/>
    <x v="1209"/>
    <x v="1417"/>
    <x v="1867"/>
    <x v="1865"/>
    <x v="1786"/>
    <x v="1"/>
    <x v="1855"/>
    <x v="1867"/>
    <x v="598"/>
    <x v="0"/>
    <x v="0"/>
    <x v="4"/>
    <x v="131"/>
    <x v="42"/>
    <x v="641"/>
    <x v="0"/>
    <x v="1"/>
    <x v="1"/>
    <x v="0"/>
    <x v="1884"/>
  </r>
  <r>
    <x v="0"/>
    <x v="607"/>
    <x v="54"/>
    <x v="40"/>
    <x v="16"/>
    <x v="133"/>
    <x v="35"/>
    <x v="1775"/>
    <x v="168"/>
    <x v="44"/>
    <x v="265"/>
    <x v="1418"/>
    <x v="1868"/>
    <x v="1866"/>
    <x v="1787"/>
    <x v="0"/>
    <x v="1856"/>
    <x v="1868"/>
    <x v="811"/>
    <x v="0"/>
    <x v="0"/>
    <x v="4"/>
    <x v="131"/>
    <x v="1"/>
    <x v="179"/>
    <x v="14"/>
    <x v="1"/>
    <x v="90"/>
    <x v="0"/>
    <x v="1885"/>
  </r>
  <r>
    <x v="0"/>
    <x v="135"/>
    <x v="265"/>
    <x v="77"/>
    <x v="100"/>
    <x v="431"/>
    <x v="407"/>
    <x v="1776"/>
    <x v="394"/>
    <x v="748"/>
    <x v="1210"/>
    <x v="1419"/>
    <x v="1869"/>
    <x v="1867"/>
    <x v="1788"/>
    <x v="1"/>
    <x v="1857"/>
    <x v="1869"/>
    <x v="558"/>
    <x v="0"/>
    <x v="0"/>
    <x v="0"/>
    <x v="131"/>
    <x v="11"/>
    <x v="532"/>
    <x v="5"/>
    <x v="1"/>
    <x v="1"/>
    <x v="0"/>
    <x v="1886"/>
  </r>
  <r>
    <x v="0"/>
    <x v="792"/>
    <x v="188"/>
    <x v="55"/>
    <x v="31"/>
    <x v="720"/>
    <x v="21"/>
    <x v="1777"/>
    <x v="105"/>
    <x v="298"/>
    <x v="680"/>
    <x v="1420"/>
    <x v="1870"/>
    <x v="1868"/>
    <x v="1789"/>
    <x v="3"/>
    <x v="1858"/>
    <x v="1870"/>
    <x v="766"/>
    <x v="0"/>
    <x v="1"/>
    <x v="4"/>
    <x v="140"/>
    <x v="18"/>
    <x v="30"/>
    <x v="10"/>
    <x v="1"/>
    <x v="1"/>
    <x v="0"/>
    <x v="1887"/>
  </r>
  <r>
    <x v="0"/>
    <x v="644"/>
    <x v="194"/>
    <x v="61"/>
    <x v="277"/>
    <x v="294"/>
    <x v="318"/>
    <x v="1778"/>
    <x v="17"/>
    <x v="749"/>
    <x v="1211"/>
    <x v="1421"/>
    <x v="1871"/>
    <x v="1869"/>
    <x v="1790"/>
    <x v="1"/>
    <x v="1859"/>
    <x v="1871"/>
    <x v="259"/>
    <x v="0"/>
    <x v="1"/>
    <x v="0"/>
    <x v="131"/>
    <x v="21"/>
    <x v="360"/>
    <x v="11"/>
    <x v="3"/>
    <x v="45"/>
    <x v="0"/>
    <x v="1888"/>
  </r>
  <r>
    <x v="0"/>
    <x v="793"/>
    <x v="395"/>
    <x v="54"/>
    <x v="0"/>
    <x v="575"/>
    <x v="408"/>
    <x v="1779"/>
    <x v="125"/>
    <x v="750"/>
    <x v="301"/>
    <x v="1422"/>
    <x v="1872"/>
    <x v="1870"/>
    <x v="1487"/>
    <x v="4"/>
    <x v="1860"/>
    <x v="1872"/>
    <x v="209"/>
    <x v="0"/>
    <x v="0"/>
    <x v="0"/>
    <x v="91"/>
    <x v="17"/>
    <x v="203"/>
    <x v="51"/>
    <x v="3"/>
    <x v="339"/>
    <x v="0"/>
    <x v="1889"/>
  </r>
  <r>
    <x v="0"/>
    <x v="445"/>
    <x v="296"/>
    <x v="72"/>
    <x v="154"/>
    <x v="103"/>
    <x v="22"/>
    <x v="1780"/>
    <x v="238"/>
    <x v="751"/>
    <x v="1212"/>
    <x v="128"/>
    <x v="1873"/>
    <x v="1871"/>
    <x v="1791"/>
    <x v="7"/>
    <x v="1861"/>
    <x v="1873"/>
    <x v="653"/>
    <x v="0"/>
    <x v="0"/>
    <x v="2"/>
    <x v="131"/>
    <x v="3"/>
    <x v="243"/>
    <x v="9"/>
    <x v="3"/>
    <x v="1"/>
    <x v="0"/>
    <x v="1890"/>
  </r>
  <r>
    <x v="0"/>
    <x v="246"/>
    <x v="114"/>
    <x v="26"/>
    <x v="166"/>
    <x v="230"/>
    <x v="24"/>
    <x v="1781"/>
    <x v="127"/>
    <x v="131"/>
    <x v="1213"/>
    <x v="1116"/>
    <x v="1874"/>
    <x v="1872"/>
    <x v="1792"/>
    <x v="1"/>
    <x v="1862"/>
    <x v="1874"/>
    <x v="128"/>
    <x v="0"/>
    <x v="0"/>
    <x v="4"/>
    <x v="131"/>
    <x v="10"/>
    <x v="370"/>
    <x v="5"/>
    <x v="1"/>
    <x v="4"/>
    <x v="0"/>
    <x v="1891"/>
  </r>
  <r>
    <x v="0"/>
    <x v="517"/>
    <x v="274"/>
    <x v="90"/>
    <x v="258"/>
    <x v="620"/>
    <x v="35"/>
    <x v="1782"/>
    <x v="551"/>
    <x v="280"/>
    <x v="1214"/>
    <x v="1423"/>
    <x v="1875"/>
    <x v="1873"/>
    <x v="1793"/>
    <x v="0"/>
    <x v="1863"/>
    <x v="1875"/>
    <x v="812"/>
    <x v="0"/>
    <x v="0"/>
    <x v="4"/>
    <x v="131"/>
    <x v="27"/>
    <x v="119"/>
    <x v="6"/>
    <x v="1"/>
    <x v="59"/>
    <x v="0"/>
    <x v="1892"/>
  </r>
  <r>
    <x v="0"/>
    <x v="301"/>
    <x v="266"/>
    <x v="69"/>
    <x v="171"/>
    <x v="392"/>
    <x v="15"/>
    <x v="1783"/>
    <x v="23"/>
    <x v="54"/>
    <x v="58"/>
    <x v="1424"/>
    <x v="1876"/>
    <x v="1874"/>
    <x v="1794"/>
    <x v="1"/>
    <x v="1864"/>
    <x v="1876"/>
    <x v="787"/>
    <x v="0"/>
    <x v="0"/>
    <x v="4"/>
    <x v="131"/>
    <x v="21"/>
    <x v="45"/>
    <x v="9"/>
    <x v="1"/>
    <x v="1"/>
    <x v="0"/>
    <x v="1893"/>
  </r>
  <r>
    <x v="0"/>
    <x v="105"/>
    <x v="166"/>
    <x v="86"/>
    <x v="83"/>
    <x v="629"/>
    <x v="409"/>
    <x v="4"/>
    <x v="552"/>
    <x v="752"/>
    <x v="1215"/>
    <x v="1425"/>
    <x v="1877"/>
    <x v="1875"/>
    <x v="1795"/>
    <x v="4"/>
    <x v="1865"/>
    <x v="1877"/>
    <x v="505"/>
    <x v="0"/>
    <x v="1"/>
    <x v="4"/>
    <x v="182"/>
    <x v="46"/>
    <x v="642"/>
    <x v="32"/>
    <x v="1"/>
    <x v="115"/>
    <x v="0"/>
    <x v="1894"/>
  </r>
  <r>
    <x v="0"/>
    <x v="481"/>
    <x v="405"/>
    <x v="107"/>
    <x v="139"/>
    <x v="461"/>
    <x v="410"/>
    <x v="1784"/>
    <x v="429"/>
    <x v="753"/>
    <x v="1216"/>
    <x v="865"/>
    <x v="1878"/>
    <x v="1876"/>
    <x v="1796"/>
    <x v="0"/>
    <x v="1866"/>
    <x v="1878"/>
    <x v="766"/>
    <x v="0"/>
    <x v="8"/>
    <x v="4"/>
    <x v="131"/>
    <x v="7"/>
    <x v="318"/>
    <x v="27"/>
    <x v="1"/>
    <x v="1"/>
    <x v="0"/>
    <x v="1895"/>
  </r>
  <r>
    <x v="0"/>
    <x v="615"/>
    <x v="230"/>
    <x v="59"/>
    <x v="93"/>
    <x v="441"/>
    <x v="411"/>
    <x v="1785"/>
    <x v="17"/>
    <x v="754"/>
    <x v="1217"/>
    <x v="1426"/>
    <x v="1879"/>
    <x v="1877"/>
    <x v="1797"/>
    <x v="0"/>
    <x v="1867"/>
    <x v="1879"/>
    <x v="170"/>
    <x v="0"/>
    <x v="0"/>
    <x v="0"/>
    <x v="131"/>
    <x v="3"/>
    <x v="304"/>
    <x v="12"/>
    <x v="1"/>
    <x v="5"/>
    <x v="0"/>
    <x v="1896"/>
  </r>
  <r>
    <x v="0"/>
    <x v="794"/>
    <x v="198"/>
    <x v="45"/>
    <x v="44"/>
    <x v="23"/>
    <x v="21"/>
    <x v="1786"/>
    <x v="37"/>
    <x v="162"/>
    <x v="255"/>
    <x v="1394"/>
    <x v="1880"/>
    <x v="1878"/>
    <x v="1798"/>
    <x v="3"/>
    <x v="1868"/>
    <x v="1880"/>
    <x v="370"/>
    <x v="0"/>
    <x v="0"/>
    <x v="2"/>
    <x v="173"/>
    <x v="1"/>
    <x v="6"/>
    <x v="13"/>
    <x v="3"/>
    <x v="71"/>
    <x v="0"/>
    <x v="1897"/>
  </r>
  <r>
    <x v="0"/>
    <x v="12"/>
    <x v="84"/>
    <x v="59"/>
    <x v="7"/>
    <x v="10"/>
    <x v="1"/>
    <x v="1787"/>
    <x v="553"/>
    <x v="1"/>
    <x v="23"/>
    <x v="1427"/>
    <x v="1881"/>
    <x v="1879"/>
    <x v="1799"/>
    <x v="1"/>
    <x v="1869"/>
    <x v="1881"/>
    <x v="323"/>
    <x v="0"/>
    <x v="0"/>
    <x v="2"/>
    <x v="131"/>
    <x v="14"/>
    <x v="20"/>
    <x v="6"/>
    <x v="1"/>
    <x v="1"/>
    <x v="0"/>
    <x v="1898"/>
  </r>
  <r>
    <x v="0"/>
    <x v="795"/>
    <x v="431"/>
    <x v="7"/>
    <x v="0"/>
    <x v="369"/>
    <x v="43"/>
    <x v="1788"/>
    <x v="200"/>
    <x v="642"/>
    <x v="1210"/>
    <x v="1428"/>
    <x v="1882"/>
    <x v="1510"/>
    <x v="1800"/>
    <x v="0"/>
    <x v="1870"/>
    <x v="1882"/>
    <x v="788"/>
    <x v="0"/>
    <x v="0"/>
    <x v="0"/>
    <x v="131"/>
    <x v="9"/>
    <x v="532"/>
    <x v="55"/>
    <x v="3"/>
    <x v="1"/>
    <x v="0"/>
    <x v="1899"/>
  </r>
  <r>
    <x v="0"/>
    <x v="796"/>
    <x v="65"/>
    <x v="85"/>
    <x v="304"/>
    <x v="361"/>
    <x v="21"/>
    <x v="1789"/>
    <x v="51"/>
    <x v="22"/>
    <x v="220"/>
    <x v="1429"/>
    <x v="1883"/>
    <x v="1880"/>
    <x v="1801"/>
    <x v="1"/>
    <x v="1871"/>
    <x v="1883"/>
    <x v="207"/>
    <x v="0"/>
    <x v="0"/>
    <x v="4"/>
    <x v="131"/>
    <x v="10"/>
    <x v="150"/>
    <x v="2"/>
    <x v="1"/>
    <x v="121"/>
    <x v="0"/>
    <x v="1900"/>
  </r>
  <r>
    <x v="0"/>
    <x v="797"/>
    <x v="224"/>
    <x v="59"/>
    <x v="122"/>
    <x v="538"/>
    <x v="13"/>
    <x v="1790"/>
    <x v="416"/>
    <x v="158"/>
    <x v="603"/>
    <x v="1188"/>
    <x v="1884"/>
    <x v="1881"/>
    <x v="1802"/>
    <x v="0"/>
    <x v="1872"/>
    <x v="1884"/>
    <x v="185"/>
    <x v="0"/>
    <x v="0"/>
    <x v="4"/>
    <x v="116"/>
    <x v="12"/>
    <x v="60"/>
    <x v="18"/>
    <x v="1"/>
    <x v="1"/>
    <x v="0"/>
    <x v="1901"/>
  </r>
  <r>
    <x v="0"/>
    <x v="167"/>
    <x v="198"/>
    <x v="42"/>
    <x v="120"/>
    <x v="55"/>
    <x v="412"/>
    <x v="1791"/>
    <x v="125"/>
    <x v="755"/>
    <x v="229"/>
    <x v="69"/>
    <x v="1885"/>
    <x v="1882"/>
    <x v="1803"/>
    <x v="7"/>
    <x v="1873"/>
    <x v="1885"/>
    <x v="322"/>
    <x v="0"/>
    <x v="0"/>
    <x v="0"/>
    <x v="140"/>
    <x v="14"/>
    <x v="135"/>
    <x v="13"/>
    <x v="3"/>
    <x v="1"/>
    <x v="0"/>
    <x v="1902"/>
  </r>
  <r>
    <x v="0"/>
    <x v="48"/>
    <x v="203"/>
    <x v="75"/>
    <x v="33"/>
    <x v="246"/>
    <x v="13"/>
    <x v="1792"/>
    <x v="130"/>
    <x v="158"/>
    <x v="420"/>
    <x v="1287"/>
    <x v="1886"/>
    <x v="1883"/>
    <x v="1804"/>
    <x v="3"/>
    <x v="1874"/>
    <x v="1886"/>
    <x v="813"/>
    <x v="0"/>
    <x v="0"/>
    <x v="4"/>
    <x v="131"/>
    <x v="22"/>
    <x v="50"/>
    <x v="50"/>
    <x v="3"/>
    <x v="68"/>
    <x v="0"/>
    <x v="1903"/>
  </r>
  <r>
    <x v="0"/>
    <x v="384"/>
    <x v="212"/>
    <x v="58"/>
    <x v="159"/>
    <x v="190"/>
    <x v="0"/>
    <x v="1793"/>
    <x v="554"/>
    <x v="735"/>
    <x v="1066"/>
    <x v="1430"/>
    <x v="1887"/>
    <x v="1884"/>
    <x v="1805"/>
    <x v="3"/>
    <x v="1875"/>
    <x v="1887"/>
    <x v="780"/>
    <x v="0"/>
    <x v="0"/>
    <x v="2"/>
    <x v="140"/>
    <x v="17"/>
    <x v="93"/>
    <x v="40"/>
    <x v="1"/>
    <x v="340"/>
    <x v="0"/>
    <x v="1904"/>
  </r>
  <r>
    <x v="0"/>
    <x v="606"/>
    <x v="342"/>
    <x v="55"/>
    <x v="79"/>
    <x v="421"/>
    <x v="21"/>
    <x v="1794"/>
    <x v="35"/>
    <x v="298"/>
    <x v="756"/>
    <x v="1431"/>
    <x v="1888"/>
    <x v="1885"/>
    <x v="1806"/>
    <x v="0"/>
    <x v="1876"/>
    <x v="1888"/>
    <x v="339"/>
    <x v="0"/>
    <x v="0"/>
    <x v="2"/>
    <x v="131"/>
    <x v="12"/>
    <x v="12"/>
    <x v="4"/>
    <x v="1"/>
    <x v="1"/>
    <x v="0"/>
    <x v="1905"/>
  </r>
  <r>
    <x v="0"/>
    <x v="209"/>
    <x v="304"/>
    <x v="30"/>
    <x v="0"/>
    <x v="366"/>
    <x v="21"/>
    <x v="1795"/>
    <x v="152"/>
    <x v="210"/>
    <x v="1218"/>
    <x v="511"/>
    <x v="1889"/>
    <x v="1886"/>
    <x v="1807"/>
    <x v="0"/>
    <x v="1877"/>
    <x v="1889"/>
    <x v="814"/>
    <x v="0"/>
    <x v="0"/>
    <x v="4"/>
    <x v="131"/>
    <x v="45"/>
    <x v="224"/>
    <x v="24"/>
    <x v="1"/>
    <x v="64"/>
    <x v="0"/>
    <x v="1906"/>
  </r>
  <r>
    <x v="0"/>
    <x v="432"/>
    <x v="324"/>
    <x v="42"/>
    <x v="77"/>
    <x v="686"/>
    <x v="413"/>
    <x v="1796"/>
    <x v="100"/>
    <x v="365"/>
    <x v="883"/>
    <x v="1432"/>
    <x v="1890"/>
    <x v="1887"/>
    <x v="1099"/>
    <x v="4"/>
    <x v="1878"/>
    <x v="1890"/>
    <x v="578"/>
    <x v="0"/>
    <x v="0"/>
    <x v="4"/>
    <x v="131"/>
    <x v="13"/>
    <x v="151"/>
    <x v="10"/>
    <x v="3"/>
    <x v="1"/>
    <x v="0"/>
    <x v="1907"/>
  </r>
  <r>
    <x v="0"/>
    <x v="798"/>
    <x v="346"/>
    <x v="147"/>
    <x v="305"/>
    <x v="369"/>
    <x v="0"/>
    <x v="1797"/>
    <x v="406"/>
    <x v="154"/>
    <x v="682"/>
    <x v="516"/>
    <x v="1891"/>
    <x v="1888"/>
    <x v="1808"/>
    <x v="0"/>
    <x v="1879"/>
    <x v="1891"/>
    <x v="431"/>
    <x v="0"/>
    <x v="9"/>
    <x v="0"/>
    <x v="154"/>
    <x v="42"/>
    <x v="200"/>
    <x v="6"/>
    <x v="1"/>
    <x v="1"/>
    <x v="0"/>
    <x v="1908"/>
  </r>
  <r>
    <x v="0"/>
    <x v="337"/>
    <x v="433"/>
    <x v="56"/>
    <x v="206"/>
    <x v="129"/>
    <x v="6"/>
    <x v="1798"/>
    <x v="28"/>
    <x v="6"/>
    <x v="1219"/>
    <x v="159"/>
    <x v="1892"/>
    <x v="1889"/>
    <x v="1809"/>
    <x v="3"/>
    <x v="1880"/>
    <x v="1892"/>
    <x v="290"/>
    <x v="0"/>
    <x v="0"/>
    <x v="4"/>
    <x v="131"/>
    <x v="3"/>
    <x v="643"/>
    <x v="12"/>
    <x v="1"/>
    <x v="1"/>
    <x v="0"/>
    <x v="1909"/>
  </r>
  <r>
    <x v="0"/>
    <x v="25"/>
    <x v="207"/>
    <x v="55"/>
    <x v="18"/>
    <x v="243"/>
    <x v="339"/>
    <x v="1799"/>
    <x v="26"/>
    <x v="756"/>
    <x v="1220"/>
    <x v="797"/>
    <x v="1893"/>
    <x v="1890"/>
    <x v="162"/>
    <x v="4"/>
    <x v="1881"/>
    <x v="1893"/>
    <x v="540"/>
    <x v="0"/>
    <x v="0"/>
    <x v="4"/>
    <x v="131"/>
    <x v="13"/>
    <x v="142"/>
    <x v="9"/>
    <x v="1"/>
    <x v="341"/>
    <x v="0"/>
    <x v="1910"/>
  </r>
  <r>
    <x v="0"/>
    <x v="602"/>
    <x v="427"/>
    <x v="44"/>
    <x v="0"/>
    <x v="342"/>
    <x v="414"/>
    <x v="1800"/>
    <x v="270"/>
    <x v="757"/>
    <x v="1221"/>
    <x v="1433"/>
    <x v="1894"/>
    <x v="1891"/>
    <x v="1810"/>
    <x v="0"/>
    <x v="1882"/>
    <x v="1894"/>
    <x v="815"/>
    <x v="0"/>
    <x v="0"/>
    <x v="4"/>
    <x v="131"/>
    <x v="1"/>
    <x v="644"/>
    <x v="14"/>
    <x v="1"/>
    <x v="37"/>
    <x v="0"/>
    <x v="1911"/>
  </r>
  <r>
    <x v="0"/>
    <x v="799"/>
    <x v="428"/>
    <x v="79"/>
    <x v="0"/>
    <x v="247"/>
    <x v="0"/>
    <x v="1801"/>
    <x v="21"/>
    <x v="114"/>
    <x v="1222"/>
    <x v="315"/>
    <x v="1895"/>
    <x v="1892"/>
    <x v="873"/>
    <x v="0"/>
    <x v="1883"/>
    <x v="1895"/>
    <x v="631"/>
    <x v="0"/>
    <x v="0"/>
    <x v="2"/>
    <x v="131"/>
    <x v="19"/>
    <x v="376"/>
    <x v="31"/>
    <x v="1"/>
    <x v="342"/>
    <x v="0"/>
    <x v="1912"/>
  </r>
  <r>
    <x v="0"/>
    <x v="800"/>
    <x v="399"/>
    <x v="110"/>
    <x v="0"/>
    <x v="148"/>
    <x v="358"/>
    <x v="1802"/>
    <x v="59"/>
    <x v="647"/>
    <x v="1135"/>
    <x v="1434"/>
    <x v="1896"/>
    <x v="1893"/>
    <x v="1811"/>
    <x v="0"/>
    <x v="1884"/>
    <x v="1896"/>
    <x v="816"/>
    <x v="0"/>
    <x v="0"/>
    <x v="2"/>
    <x v="131"/>
    <x v="17"/>
    <x v="238"/>
    <x v="23"/>
    <x v="1"/>
    <x v="343"/>
    <x v="0"/>
    <x v="1913"/>
  </r>
  <r>
    <x v="0"/>
    <x v="579"/>
    <x v="225"/>
    <x v="107"/>
    <x v="170"/>
    <x v="191"/>
    <x v="415"/>
    <x v="1803"/>
    <x v="170"/>
    <x v="758"/>
    <x v="1223"/>
    <x v="240"/>
    <x v="1897"/>
    <x v="1894"/>
    <x v="1399"/>
    <x v="3"/>
    <x v="1885"/>
    <x v="1897"/>
    <x v="256"/>
    <x v="0"/>
    <x v="0"/>
    <x v="0"/>
    <x v="131"/>
    <x v="19"/>
    <x v="476"/>
    <x v="27"/>
    <x v="3"/>
    <x v="1"/>
    <x v="0"/>
    <x v="1914"/>
  </r>
  <r>
    <x v="0"/>
    <x v="547"/>
    <x v="343"/>
    <x v="73"/>
    <x v="74"/>
    <x v="721"/>
    <x v="35"/>
    <x v="1804"/>
    <x v="535"/>
    <x v="746"/>
    <x v="82"/>
    <x v="1435"/>
    <x v="1898"/>
    <x v="1895"/>
    <x v="1812"/>
    <x v="0"/>
    <x v="1886"/>
    <x v="1898"/>
    <x v="533"/>
    <x v="0"/>
    <x v="0"/>
    <x v="2"/>
    <x v="131"/>
    <x v="12"/>
    <x v="61"/>
    <x v="4"/>
    <x v="1"/>
    <x v="1"/>
    <x v="0"/>
    <x v="1915"/>
  </r>
  <r>
    <x v="0"/>
    <x v="801"/>
    <x v="410"/>
    <x v="42"/>
    <x v="131"/>
    <x v="722"/>
    <x v="15"/>
    <x v="1805"/>
    <x v="28"/>
    <x v="54"/>
    <x v="418"/>
    <x v="1436"/>
    <x v="1899"/>
    <x v="1896"/>
    <x v="1813"/>
    <x v="1"/>
    <x v="1887"/>
    <x v="1899"/>
    <x v="351"/>
    <x v="0"/>
    <x v="10"/>
    <x v="4"/>
    <x v="131"/>
    <x v="18"/>
    <x v="625"/>
    <x v="4"/>
    <x v="1"/>
    <x v="1"/>
    <x v="0"/>
    <x v="1916"/>
  </r>
  <r>
    <x v="0"/>
    <x v="802"/>
    <x v="309"/>
    <x v="55"/>
    <x v="195"/>
    <x v="658"/>
    <x v="10"/>
    <x v="1806"/>
    <x v="127"/>
    <x v="16"/>
    <x v="1224"/>
    <x v="1169"/>
    <x v="1900"/>
    <x v="1897"/>
    <x v="1814"/>
    <x v="1"/>
    <x v="1888"/>
    <x v="1900"/>
    <x v="189"/>
    <x v="0"/>
    <x v="0"/>
    <x v="0"/>
    <x v="131"/>
    <x v="8"/>
    <x v="82"/>
    <x v="34"/>
    <x v="1"/>
    <x v="1"/>
    <x v="0"/>
    <x v="1917"/>
  </r>
  <r>
    <x v="0"/>
    <x v="803"/>
    <x v="365"/>
    <x v="72"/>
    <x v="80"/>
    <x v="440"/>
    <x v="0"/>
    <x v="1807"/>
    <x v="125"/>
    <x v="114"/>
    <x v="1225"/>
    <x v="1437"/>
    <x v="1901"/>
    <x v="1898"/>
    <x v="1815"/>
    <x v="1"/>
    <x v="1889"/>
    <x v="1901"/>
    <x v="247"/>
    <x v="0"/>
    <x v="0"/>
    <x v="0"/>
    <x v="4"/>
    <x v="12"/>
    <x v="427"/>
    <x v="34"/>
    <x v="1"/>
    <x v="344"/>
    <x v="0"/>
    <x v="1918"/>
  </r>
  <r>
    <x v="0"/>
    <x v="317"/>
    <x v="285"/>
    <x v="23"/>
    <x v="137"/>
    <x v="723"/>
    <x v="41"/>
    <x v="1808"/>
    <x v="122"/>
    <x v="64"/>
    <x v="1226"/>
    <x v="1438"/>
    <x v="1902"/>
    <x v="1899"/>
    <x v="1816"/>
    <x v="0"/>
    <x v="1890"/>
    <x v="1902"/>
    <x v="793"/>
    <x v="0"/>
    <x v="0"/>
    <x v="2"/>
    <x v="131"/>
    <x v="11"/>
    <x v="559"/>
    <x v="15"/>
    <x v="6"/>
    <x v="7"/>
    <x v="0"/>
    <x v="1919"/>
  </r>
  <r>
    <x v="1"/>
    <x v="120"/>
    <x v="204"/>
    <x v="55"/>
    <x v="77"/>
    <x v="9"/>
    <x v="25"/>
    <x v="1809"/>
    <x v="377"/>
    <x v="30"/>
    <x v="608"/>
    <x v="1439"/>
    <x v="1903"/>
    <x v="1900"/>
    <x v="1817"/>
    <x v="3"/>
    <x v="1891"/>
    <x v="1903"/>
    <x v="635"/>
    <x v="0"/>
    <x v="26"/>
    <x v="0"/>
    <x v="131"/>
    <x v="11"/>
    <x v="6"/>
    <x v="12"/>
    <x v="1"/>
    <x v="12"/>
    <x v="0"/>
    <x v="1920"/>
  </r>
  <r>
    <x v="0"/>
    <x v="575"/>
    <x v="240"/>
    <x v="72"/>
    <x v="195"/>
    <x v="724"/>
    <x v="21"/>
    <x v="1810"/>
    <x v="535"/>
    <x v="298"/>
    <x v="1227"/>
    <x v="1440"/>
    <x v="1904"/>
    <x v="1901"/>
    <x v="1818"/>
    <x v="1"/>
    <x v="1892"/>
    <x v="1904"/>
    <x v="357"/>
    <x v="0"/>
    <x v="0"/>
    <x v="2"/>
    <x v="78"/>
    <x v="17"/>
    <x v="30"/>
    <x v="27"/>
    <x v="1"/>
    <x v="1"/>
    <x v="0"/>
    <x v="1921"/>
  </r>
  <r>
    <x v="0"/>
    <x v="804"/>
    <x v="111"/>
    <x v="27"/>
    <x v="225"/>
    <x v="491"/>
    <x v="416"/>
    <x v="1811"/>
    <x v="429"/>
    <x v="759"/>
    <x v="1228"/>
    <x v="1441"/>
    <x v="1905"/>
    <x v="1902"/>
    <x v="1819"/>
    <x v="0"/>
    <x v="1893"/>
    <x v="1905"/>
    <x v="271"/>
    <x v="0"/>
    <x v="0"/>
    <x v="4"/>
    <x v="173"/>
    <x v="17"/>
    <x v="283"/>
    <x v="23"/>
    <x v="1"/>
    <x v="1"/>
    <x v="0"/>
    <x v="1922"/>
  </r>
  <r>
    <x v="0"/>
    <x v="805"/>
    <x v="238"/>
    <x v="59"/>
    <x v="143"/>
    <x v="460"/>
    <x v="0"/>
    <x v="1812"/>
    <x v="127"/>
    <x v="530"/>
    <x v="121"/>
    <x v="1442"/>
    <x v="1906"/>
    <x v="1903"/>
    <x v="1820"/>
    <x v="1"/>
    <x v="1894"/>
    <x v="1906"/>
    <x v="549"/>
    <x v="0"/>
    <x v="0"/>
    <x v="4"/>
    <x v="131"/>
    <x v="1"/>
    <x v="85"/>
    <x v="23"/>
    <x v="3"/>
    <x v="1"/>
    <x v="0"/>
    <x v="1923"/>
  </r>
  <r>
    <x v="0"/>
    <x v="301"/>
    <x v="216"/>
    <x v="59"/>
    <x v="171"/>
    <x v="179"/>
    <x v="15"/>
    <x v="1813"/>
    <x v="28"/>
    <x v="54"/>
    <x v="1229"/>
    <x v="1443"/>
    <x v="1907"/>
    <x v="1904"/>
    <x v="1821"/>
    <x v="4"/>
    <x v="1895"/>
    <x v="1907"/>
    <x v="647"/>
    <x v="0"/>
    <x v="0"/>
    <x v="4"/>
    <x v="116"/>
    <x v="17"/>
    <x v="537"/>
    <x v="27"/>
    <x v="1"/>
    <x v="103"/>
    <x v="0"/>
    <x v="1924"/>
  </r>
  <r>
    <x v="0"/>
    <x v="564"/>
    <x v="215"/>
    <x v="37"/>
    <x v="144"/>
    <x v="5"/>
    <x v="2"/>
    <x v="1814"/>
    <x v="17"/>
    <x v="209"/>
    <x v="295"/>
    <x v="728"/>
    <x v="1908"/>
    <x v="1905"/>
    <x v="1822"/>
    <x v="3"/>
    <x v="1896"/>
    <x v="1908"/>
    <x v="285"/>
    <x v="0"/>
    <x v="0"/>
    <x v="0"/>
    <x v="131"/>
    <x v="19"/>
    <x v="199"/>
    <x v="32"/>
    <x v="3"/>
    <x v="1"/>
    <x v="0"/>
    <x v="1925"/>
  </r>
  <r>
    <x v="0"/>
    <x v="445"/>
    <x v="74"/>
    <x v="72"/>
    <x v="154"/>
    <x v="725"/>
    <x v="30"/>
    <x v="1815"/>
    <x v="127"/>
    <x v="50"/>
    <x v="1230"/>
    <x v="1444"/>
    <x v="1909"/>
    <x v="1906"/>
    <x v="1823"/>
    <x v="0"/>
    <x v="1897"/>
    <x v="1909"/>
    <x v="292"/>
    <x v="0"/>
    <x v="0"/>
    <x v="0"/>
    <x v="78"/>
    <x v="7"/>
    <x v="30"/>
    <x v="21"/>
    <x v="3"/>
    <x v="1"/>
    <x v="0"/>
    <x v="1926"/>
  </r>
  <r>
    <x v="0"/>
    <x v="806"/>
    <x v="285"/>
    <x v="78"/>
    <x v="306"/>
    <x v="624"/>
    <x v="417"/>
    <x v="1816"/>
    <x v="238"/>
    <x v="760"/>
    <x v="1231"/>
    <x v="1445"/>
    <x v="1910"/>
    <x v="1907"/>
    <x v="1824"/>
    <x v="0"/>
    <x v="1898"/>
    <x v="1910"/>
    <x v="527"/>
    <x v="0"/>
    <x v="1"/>
    <x v="2"/>
    <x v="131"/>
    <x v="1"/>
    <x v="628"/>
    <x v="22"/>
    <x v="3"/>
    <x v="1"/>
    <x v="0"/>
    <x v="1927"/>
  </r>
  <r>
    <x v="0"/>
    <x v="807"/>
    <x v="160"/>
    <x v="55"/>
    <x v="180"/>
    <x v="44"/>
    <x v="418"/>
    <x v="1817"/>
    <x v="398"/>
    <x v="761"/>
    <x v="1232"/>
    <x v="1446"/>
    <x v="1911"/>
    <x v="1908"/>
    <x v="1825"/>
    <x v="0"/>
    <x v="1899"/>
    <x v="1911"/>
    <x v="245"/>
    <x v="0"/>
    <x v="0"/>
    <x v="0"/>
    <x v="131"/>
    <x v="14"/>
    <x v="521"/>
    <x v="51"/>
    <x v="1"/>
    <x v="345"/>
    <x v="0"/>
    <x v="1928"/>
  </r>
  <r>
    <x v="0"/>
    <x v="808"/>
    <x v="74"/>
    <x v="48"/>
    <x v="0"/>
    <x v="331"/>
    <x v="10"/>
    <x v="1818"/>
    <x v="168"/>
    <x v="375"/>
    <x v="350"/>
    <x v="613"/>
    <x v="1912"/>
    <x v="1808"/>
    <x v="1826"/>
    <x v="5"/>
    <x v="1900"/>
    <x v="1912"/>
    <x v="540"/>
    <x v="0"/>
    <x v="10"/>
    <x v="4"/>
    <x v="183"/>
    <x v="9"/>
    <x v="234"/>
    <x v="12"/>
    <x v="1"/>
    <x v="1"/>
    <x v="0"/>
    <x v="1929"/>
  </r>
  <r>
    <x v="0"/>
    <x v="809"/>
    <x v="263"/>
    <x v="37"/>
    <x v="68"/>
    <x v="355"/>
    <x v="49"/>
    <x v="1819"/>
    <x v="419"/>
    <x v="86"/>
    <x v="1233"/>
    <x v="562"/>
    <x v="1913"/>
    <x v="1909"/>
    <x v="1827"/>
    <x v="0"/>
    <x v="1901"/>
    <x v="1913"/>
    <x v="768"/>
    <x v="0"/>
    <x v="0"/>
    <x v="2"/>
    <x v="116"/>
    <x v="1"/>
    <x v="105"/>
    <x v="7"/>
    <x v="1"/>
    <x v="45"/>
    <x v="0"/>
    <x v="1930"/>
  </r>
  <r>
    <x v="0"/>
    <x v="413"/>
    <x v="142"/>
    <x v="23"/>
    <x v="230"/>
    <x v="231"/>
    <x v="330"/>
    <x v="1820"/>
    <x v="406"/>
    <x v="762"/>
    <x v="1234"/>
    <x v="1447"/>
    <x v="1914"/>
    <x v="1910"/>
    <x v="1828"/>
    <x v="1"/>
    <x v="1902"/>
    <x v="1914"/>
    <x v="673"/>
    <x v="0"/>
    <x v="1"/>
    <x v="4"/>
    <x v="131"/>
    <x v="20"/>
    <x v="197"/>
    <x v="7"/>
    <x v="3"/>
    <x v="1"/>
    <x v="0"/>
    <x v="1931"/>
  </r>
  <r>
    <x v="0"/>
    <x v="648"/>
    <x v="277"/>
    <x v="71"/>
    <x v="45"/>
    <x v="304"/>
    <x v="419"/>
    <x v="1821"/>
    <x v="555"/>
    <x v="763"/>
    <x v="1235"/>
    <x v="1448"/>
    <x v="1915"/>
    <x v="1911"/>
    <x v="1829"/>
    <x v="0"/>
    <x v="1903"/>
    <x v="1915"/>
    <x v="616"/>
    <x v="0"/>
    <x v="4"/>
    <x v="4"/>
    <x v="131"/>
    <x v="20"/>
    <x v="479"/>
    <x v="43"/>
    <x v="3"/>
    <x v="1"/>
    <x v="0"/>
    <x v="1932"/>
  </r>
  <r>
    <x v="0"/>
    <x v="810"/>
    <x v="212"/>
    <x v="130"/>
    <x v="190"/>
    <x v="434"/>
    <x v="420"/>
    <x v="1822"/>
    <x v="71"/>
    <x v="764"/>
    <x v="1236"/>
    <x v="1449"/>
    <x v="1916"/>
    <x v="1912"/>
    <x v="1830"/>
    <x v="0"/>
    <x v="1904"/>
    <x v="1916"/>
    <x v="757"/>
    <x v="0"/>
    <x v="7"/>
    <x v="3"/>
    <x v="131"/>
    <x v="48"/>
    <x v="645"/>
    <x v="7"/>
    <x v="1"/>
    <x v="1"/>
    <x v="0"/>
    <x v="1933"/>
  </r>
  <r>
    <x v="0"/>
    <x v="811"/>
    <x v="193"/>
    <x v="41"/>
    <x v="125"/>
    <x v="726"/>
    <x v="0"/>
    <x v="1823"/>
    <x v="556"/>
    <x v="251"/>
    <x v="1237"/>
    <x v="1450"/>
    <x v="1917"/>
    <x v="1913"/>
    <x v="1288"/>
    <x v="1"/>
    <x v="1905"/>
    <x v="1917"/>
    <x v="292"/>
    <x v="0"/>
    <x v="1"/>
    <x v="2"/>
    <x v="131"/>
    <x v="13"/>
    <x v="593"/>
    <x v="47"/>
    <x v="3"/>
    <x v="1"/>
    <x v="0"/>
    <x v="1934"/>
  </r>
  <r>
    <x v="0"/>
    <x v="473"/>
    <x v="265"/>
    <x v="101"/>
    <x v="212"/>
    <x v="75"/>
    <x v="272"/>
    <x v="1824"/>
    <x v="125"/>
    <x v="765"/>
    <x v="1238"/>
    <x v="1451"/>
    <x v="1918"/>
    <x v="1914"/>
    <x v="1831"/>
    <x v="3"/>
    <x v="1906"/>
    <x v="1918"/>
    <x v="340"/>
    <x v="0"/>
    <x v="0"/>
    <x v="4"/>
    <x v="4"/>
    <x v="10"/>
    <x v="432"/>
    <x v="20"/>
    <x v="3"/>
    <x v="1"/>
    <x v="0"/>
    <x v="1935"/>
  </r>
  <r>
    <x v="0"/>
    <x v="812"/>
    <x v="383"/>
    <x v="76"/>
    <x v="228"/>
    <x v="218"/>
    <x v="42"/>
    <x v="1825"/>
    <x v="557"/>
    <x v="66"/>
    <x v="1239"/>
    <x v="364"/>
    <x v="1919"/>
    <x v="1915"/>
    <x v="1832"/>
    <x v="0"/>
    <x v="1907"/>
    <x v="1919"/>
    <x v="724"/>
    <x v="0"/>
    <x v="0"/>
    <x v="0"/>
    <x v="131"/>
    <x v="0"/>
    <x v="155"/>
    <x v="58"/>
    <x v="3"/>
    <x v="346"/>
    <x v="0"/>
    <x v="1936"/>
  </r>
  <r>
    <x v="0"/>
    <x v="291"/>
    <x v="253"/>
    <x v="30"/>
    <x v="0"/>
    <x v="158"/>
    <x v="2"/>
    <x v="1826"/>
    <x v="152"/>
    <x v="130"/>
    <x v="518"/>
    <x v="194"/>
    <x v="1920"/>
    <x v="1916"/>
    <x v="1833"/>
    <x v="0"/>
    <x v="1908"/>
    <x v="1920"/>
    <x v="817"/>
    <x v="0"/>
    <x v="0"/>
    <x v="4"/>
    <x v="131"/>
    <x v="24"/>
    <x v="77"/>
    <x v="63"/>
    <x v="3"/>
    <x v="95"/>
    <x v="0"/>
    <x v="1937"/>
  </r>
  <r>
    <x v="0"/>
    <x v="514"/>
    <x v="184"/>
    <x v="80"/>
    <x v="80"/>
    <x v="98"/>
    <x v="421"/>
    <x v="1827"/>
    <x v="558"/>
    <x v="766"/>
    <x v="1240"/>
    <x v="1452"/>
    <x v="1921"/>
    <x v="1917"/>
    <x v="1834"/>
    <x v="0"/>
    <x v="1909"/>
    <x v="1921"/>
    <x v="119"/>
    <x v="0"/>
    <x v="5"/>
    <x v="2"/>
    <x v="184"/>
    <x v="18"/>
    <x v="104"/>
    <x v="30"/>
    <x v="3"/>
    <x v="312"/>
    <x v="0"/>
    <x v="1938"/>
  </r>
  <r>
    <x v="0"/>
    <x v="307"/>
    <x v="219"/>
    <x v="85"/>
    <x v="114"/>
    <x v="727"/>
    <x v="57"/>
    <x v="1828"/>
    <x v="300"/>
    <x v="192"/>
    <x v="959"/>
    <x v="1453"/>
    <x v="1922"/>
    <x v="1918"/>
    <x v="1835"/>
    <x v="4"/>
    <x v="1910"/>
    <x v="1922"/>
    <x v="647"/>
    <x v="0"/>
    <x v="0"/>
    <x v="0"/>
    <x v="146"/>
    <x v="25"/>
    <x v="82"/>
    <x v="8"/>
    <x v="1"/>
    <x v="67"/>
    <x v="0"/>
    <x v="1939"/>
  </r>
  <r>
    <x v="0"/>
    <x v="196"/>
    <x v="177"/>
    <x v="70"/>
    <x v="138"/>
    <x v="593"/>
    <x v="22"/>
    <x v="1829"/>
    <x v="168"/>
    <x v="639"/>
    <x v="1241"/>
    <x v="1454"/>
    <x v="1923"/>
    <x v="1919"/>
    <x v="1836"/>
    <x v="1"/>
    <x v="1911"/>
    <x v="1923"/>
    <x v="147"/>
    <x v="0"/>
    <x v="0"/>
    <x v="4"/>
    <x v="131"/>
    <x v="11"/>
    <x v="584"/>
    <x v="19"/>
    <x v="1"/>
    <x v="1"/>
    <x v="0"/>
    <x v="1940"/>
  </r>
  <r>
    <x v="0"/>
    <x v="813"/>
    <x v="55"/>
    <x v="61"/>
    <x v="217"/>
    <x v="141"/>
    <x v="32"/>
    <x v="1830"/>
    <x v="270"/>
    <x v="38"/>
    <x v="608"/>
    <x v="898"/>
    <x v="1924"/>
    <x v="1268"/>
    <x v="1837"/>
    <x v="3"/>
    <x v="1912"/>
    <x v="1924"/>
    <x v="269"/>
    <x v="0"/>
    <x v="0"/>
    <x v="4"/>
    <x v="131"/>
    <x v="9"/>
    <x v="6"/>
    <x v="11"/>
    <x v="1"/>
    <x v="26"/>
    <x v="0"/>
    <x v="1941"/>
  </r>
  <r>
    <x v="0"/>
    <x v="814"/>
    <x v="334"/>
    <x v="42"/>
    <x v="221"/>
    <x v="222"/>
    <x v="422"/>
    <x v="1831"/>
    <x v="472"/>
    <x v="767"/>
    <x v="1242"/>
    <x v="1455"/>
    <x v="1925"/>
    <x v="1920"/>
    <x v="1838"/>
    <x v="4"/>
    <x v="1913"/>
    <x v="1925"/>
    <x v="671"/>
    <x v="0"/>
    <x v="0"/>
    <x v="3"/>
    <x v="4"/>
    <x v="12"/>
    <x v="646"/>
    <x v="19"/>
    <x v="3"/>
    <x v="347"/>
    <x v="0"/>
    <x v="1942"/>
  </r>
  <r>
    <x v="0"/>
    <x v="815"/>
    <x v="356"/>
    <x v="86"/>
    <x v="89"/>
    <x v="143"/>
    <x v="423"/>
    <x v="1832"/>
    <x v="105"/>
    <x v="768"/>
    <x v="1243"/>
    <x v="1456"/>
    <x v="1926"/>
    <x v="1921"/>
    <x v="1839"/>
    <x v="3"/>
    <x v="1914"/>
    <x v="1926"/>
    <x v="290"/>
    <x v="0"/>
    <x v="0"/>
    <x v="0"/>
    <x v="116"/>
    <x v="12"/>
    <x v="97"/>
    <x v="4"/>
    <x v="3"/>
    <x v="1"/>
    <x v="0"/>
    <x v="1943"/>
  </r>
  <r>
    <x v="0"/>
    <x v="816"/>
    <x v="405"/>
    <x v="11"/>
    <x v="35"/>
    <x v="166"/>
    <x v="24"/>
    <x v="1833"/>
    <x v="559"/>
    <x v="25"/>
    <x v="1244"/>
    <x v="1457"/>
    <x v="1927"/>
    <x v="1922"/>
    <x v="1840"/>
    <x v="3"/>
    <x v="1915"/>
    <x v="1927"/>
    <x v="119"/>
    <x v="0"/>
    <x v="1"/>
    <x v="0"/>
    <x v="154"/>
    <x v="6"/>
    <x v="647"/>
    <x v="7"/>
    <x v="1"/>
    <x v="61"/>
    <x v="0"/>
    <x v="1944"/>
  </r>
  <r>
    <x v="0"/>
    <x v="437"/>
    <x v="422"/>
    <x v="16"/>
    <x v="0"/>
    <x v="23"/>
    <x v="11"/>
    <x v="1834"/>
    <x v="291"/>
    <x v="156"/>
    <x v="1245"/>
    <x v="1458"/>
    <x v="1928"/>
    <x v="1923"/>
    <x v="1841"/>
    <x v="0"/>
    <x v="1916"/>
    <x v="1928"/>
    <x v="558"/>
    <x v="0"/>
    <x v="0"/>
    <x v="4"/>
    <x v="131"/>
    <x v="20"/>
    <x v="20"/>
    <x v="8"/>
    <x v="3"/>
    <x v="1"/>
    <x v="0"/>
    <x v="1945"/>
  </r>
  <r>
    <x v="0"/>
    <x v="817"/>
    <x v="402"/>
    <x v="55"/>
    <x v="107"/>
    <x v="728"/>
    <x v="1"/>
    <x v="1835"/>
    <x v="105"/>
    <x v="1"/>
    <x v="11"/>
    <x v="1459"/>
    <x v="1929"/>
    <x v="1924"/>
    <x v="1842"/>
    <x v="3"/>
    <x v="1917"/>
    <x v="1929"/>
    <x v="426"/>
    <x v="0"/>
    <x v="0"/>
    <x v="0"/>
    <x v="131"/>
    <x v="24"/>
    <x v="10"/>
    <x v="2"/>
    <x v="3"/>
    <x v="1"/>
    <x v="0"/>
    <x v="1946"/>
  </r>
  <r>
    <x v="0"/>
    <x v="113"/>
    <x v="329"/>
    <x v="148"/>
    <x v="88"/>
    <x v="708"/>
    <x v="424"/>
    <x v="4"/>
    <x v="233"/>
    <x v="769"/>
    <x v="1246"/>
    <x v="1460"/>
    <x v="1930"/>
    <x v="1925"/>
    <x v="564"/>
    <x v="0"/>
    <x v="1918"/>
    <x v="1930"/>
    <x v="818"/>
    <x v="0"/>
    <x v="1"/>
    <x v="8"/>
    <x v="4"/>
    <x v="4"/>
    <x v="420"/>
    <x v="24"/>
    <x v="2"/>
    <x v="348"/>
    <x v="0"/>
    <x v="1947"/>
  </r>
  <r>
    <x v="2"/>
    <x v="644"/>
    <x v="57"/>
    <x v="26"/>
    <x v="277"/>
    <x v="113"/>
    <x v="30"/>
    <x v="1836"/>
    <x v="387"/>
    <x v="50"/>
    <x v="773"/>
    <x v="1243"/>
    <x v="1931"/>
    <x v="1926"/>
    <x v="1843"/>
    <x v="9"/>
    <x v="1919"/>
    <x v="1931"/>
    <x v="139"/>
    <x v="0"/>
    <x v="0"/>
    <x v="0"/>
    <x v="131"/>
    <x v="5"/>
    <x v="292"/>
    <x v="22"/>
    <x v="1"/>
    <x v="57"/>
    <x v="0"/>
    <x v="1948"/>
  </r>
  <r>
    <x v="0"/>
    <x v="818"/>
    <x v="377"/>
    <x v="55"/>
    <x v="186"/>
    <x v="270"/>
    <x v="2"/>
    <x v="1837"/>
    <x v="80"/>
    <x v="104"/>
    <x v="1247"/>
    <x v="1461"/>
    <x v="1932"/>
    <x v="1927"/>
    <x v="1844"/>
    <x v="1"/>
    <x v="1920"/>
    <x v="1932"/>
    <x v="550"/>
    <x v="0"/>
    <x v="0"/>
    <x v="0"/>
    <x v="131"/>
    <x v="5"/>
    <x v="648"/>
    <x v="21"/>
    <x v="1"/>
    <x v="1"/>
    <x v="0"/>
    <x v="1949"/>
  </r>
  <r>
    <x v="0"/>
    <x v="819"/>
    <x v="53"/>
    <x v="77"/>
    <x v="192"/>
    <x v="712"/>
    <x v="22"/>
    <x v="1838"/>
    <x v="560"/>
    <x v="751"/>
    <x v="560"/>
    <x v="1396"/>
    <x v="1933"/>
    <x v="1928"/>
    <x v="1845"/>
    <x v="1"/>
    <x v="1921"/>
    <x v="1933"/>
    <x v="384"/>
    <x v="0"/>
    <x v="0"/>
    <x v="4"/>
    <x v="131"/>
    <x v="5"/>
    <x v="363"/>
    <x v="23"/>
    <x v="3"/>
    <x v="7"/>
    <x v="0"/>
    <x v="1950"/>
  </r>
  <r>
    <x v="0"/>
    <x v="820"/>
    <x v="323"/>
    <x v="33"/>
    <x v="78"/>
    <x v="517"/>
    <x v="8"/>
    <x v="1839"/>
    <x v="23"/>
    <x v="35"/>
    <x v="711"/>
    <x v="1215"/>
    <x v="1934"/>
    <x v="1929"/>
    <x v="1846"/>
    <x v="0"/>
    <x v="1922"/>
    <x v="1934"/>
    <x v="690"/>
    <x v="0"/>
    <x v="0"/>
    <x v="4"/>
    <x v="131"/>
    <x v="1"/>
    <x v="1"/>
    <x v="22"/>
    <x v="1"/>
    <x v="1"/>
    <x v="0"/>
    <x v="1951"/>
  </r>
  <r>
    <x v="0"/>
    <x v="602"/>
    <x v="24"/>
    <x v="54"/>
    <x v="0"/>
    <x v="729"/>
    <x v="2"/>
    <x v="1840"/>
    <x v="561"/>
    <x v="196"/>
    <x v="1248"/>
    <x v="1462"/>
    <x v="1935"/>
    <x v="1930"/>
    <x v="1847"/>
    <x v="0"/>
    <x v="1923"/>
    <x v="1935"/>
    <x v="819"/>
    <x v="0"/>
    <x v="0"/>
    <x v="4"/>
    <x v="131"/>
    <x v="19"/>
    <x v="485"/>
    <x v="11"/>
    <x v="1"/>
    <x v="1"/>
    <x v="0"/>
    <x v="1952"/>
  </r>
  <r>
    <x v="0"/>
    <x v="821"/>
    <x v="358"/>
    <x v="41"/>
    <x v="184"/>
    <x v="677"/>
    <x v="57"/>
    <x v="1841"/>
    <x v="125"/>
    <x v="109"/>
    <x v="1249"/>
    <x v="1463"/>
    <x v="1936"/>
    <x v="1931"/>
    <x v="1848"/>
    <x v="7"/>
    <x v="1924"/>
    <x v="1936"/>
    <x v="271"/>
    <x v="0"/>
    <x v="0"/>
    <x v="4"/>
    <x v="131"/>
    <x v="14"/>
    <x v="649"/>
    <x v="4"/>
    <x v="3"/>
    <x v="1"/>
    <x v="0"/>
    <x v="1953"/>
  </r>
  <r>
    <x v="0"/>
    <x v="822"/>
    <x v="459"/>
    <x v="42"/>
    <x v="139"/>
    <x v="606"/>
    <x v="425"/>
    <x v="1842"/>
    <x v="23"/>
    <x v="770"/>
    <x v="1250"/>
    <x v="1464"/>
    <x v="1937"/>
    <x v="1932"/>
    <x v="1849"/>
    <x v="0"/>
    <x v="1925"/>
    <x v="1937"/>
    <x v="320"/>
    <x v="0"/>
    <x v="8"/>
    <x v="0"/>
    <x v="185"/>
    <x v="19"/>
    <x v="650"/>
    <x v="51"/>
    <x v="3"/>
    <x v="349"/>
    <x v="0"/>
    <x v="1954"/>
  </r>
  <r>
    <x v="0"/>
    <x v="99"/>
    <x v="345"/>
    <x v="78"/>
    <x v="77"/>
    <x v="28"/>
    <x v="199"/>
    <x v="1843"/>
    <x v="562"/>
    <x v="771"/>
    <x v="947"/>
    <x v="34"/>
    <x v="1938"/>
    <x v="1933"/>
    <x v="1850"/>
    <x v="1"/>
    <x v="1926"/>
    <x v="1938"/>
    <x v="388"/>
    <x v="0"/>
    <x v="0"/>
    <x v="2"/>
    <x v="140"/>
    <x v="7"/>
    <x v="533"/>
    <x v="37"/>
    <x v="1"/>
    <x v="350"/>
    <x v="0"/>
    <x v="1955"/>
  </r>
  <r>
    <x v="0"/>
    <x v="823"/>
    <x v="419"/>
    <x v="86"/>
    <x v="122"/>
    <x v="601"/>
    <x v="171"/>
    <x v="1844"/>
    <x v="270"/>
    <x v="772"/>
    <x v="1251"/>
    <x v="1465"/>
    <x v="1939"/>
    <x v="1934"/>
    <x v="1851"/>
    <x v="0"/>
    <x v="1927"/>
    <x v="1939"/>
    <x v="820"/>
    <x v="0"/>
    <x v="0"/>
    <x v="4"/>
    <x v="131"/>
    <x v="32"/>
    <x v="52"/>
    <x v="23"/>
    <x v="3"/>
    <x v="351"/>
    <x v="0"/>
    <x v="1956"/>
  </r>
  <r>
    <x v="0"/>
    <x v="824"/>
    <x v="307"/>
    <x v="78"/>
    <x v="210"/>
    <x v="730"/>
    <x v="145"/>
    <x v="1845"/>
    <x v="563"/>
    <x v="269"/>
    <x v="1252"/>
    <x v="1466"/>
    <x v="1940"/>
    <x v="1935"/>
    <x v="629"/>
    <x v="4"/>
    <x v="1928"/>
    <x v="1940"/>
    <x v="636"/>
    <x v="17"/>
    <x v="1"/>
    <x v="3"/>
    <x v="131"/>
    <x v="25"/>
    <x v="181"/>
    <x v="43"/>
    <x v="1"/>
    <x v="352"/>
    <x v="0"/>
    <x v="1957"/>
  </r>
  <r>
    <x v="0"/>
    <x v="825"/>
    <x v="366"/>
    <x v="60"/>
    <x v="0"/>
    <x v="471"/>
    <x v="120"/>
    <x v="1846"/>
    <x v="184"/>
    <x v="773"/>
    <x v="1253"/>
    <x v="1467"/>
    <x v="1941"/>
    <x v="1936"/>
    <x v="1852"/>
    <x v="1"/>
    <x v="1929"/>
    <x v="1941"/>
    <x v="170"/>
    <x v="0"/>
    <x v="0"/>
    <x v="2"/>
    <x v="4"/>
    <x v="12"/>
    <x v="154"/>
    <x v="7"/>
    <x v="3"/>
    <x v="1"/>
    <x v="0"/>
    <x v="1958"/>
  </r>
  <r>
    <x v="0"/>
    <x v="826"/>
    <x v="133"/>
    <x v="69"/>
    <x v="307"/>
    <x v="120"/>
    <x v="426"/>
    <x v="1847"/>
    <x v="266"/>
    <x v="281"/>
    <x v="1254"/>
    <x v="149"/>
    <x v="1942"/>
    <x v="1937"/>
    <x v="1759"/>
    <x v="1"/>
    <x v="1930"/>
    <x v="1942"/>
    <x v="425"/>
    <x v="0"/>
    <x v="0"/>
    <x v="0"/>
    <x v="178"/>
    <x v="0"/>
    <x v="651"/>
    <x v="23"/>
    <x v="1"/>
    <x v="1"/>
    <x v="0"/>
    <x v="1959"/>
  </r>
  <r>
    <x v="0"/>
    <x v="827"/>
    <x v="167"/>
    <x v="41"/>
    <x v="180"/>
    <x v="594"/>
    <x v="150"/>
    <x v="1848"/>
    <x v="429"/>
    <x v="774"/>
    <x v="1255"/>
    <x v="1468"/>
    <x v="1943"/>
    <x v="1938"/>
    <x v="1853"/>
    <x v="0"/>
    <x v="1931"/>
    <x v="1943"/>
    <x v="268"/>
    <x v="0"/>
    <x v="0"/>
    <x v="4"/>
    <x v="83"/>
    <x v="8"/>
    <x v="335"/>
    <x v="18"/>
    <x v="1"/>
    <x v="1"/>
    <x v="0"/>
    <x v="1960"/>
  </r>
  <r>
    <x v="0"/>
    <x v="828"/>
    <x v="366"/>
    <x v="77"/>
    <x v="161"/>
    <x v="731"/>
    <x v="70"/>
    <x v="1849"/>
    <x v="105"/>
    <x v="775"/>
    <x v="1256"/>
    <x v="1469"/>
    <x v="1944"/>
    <x v="1939"/>
    <x v="1854"/>
    <x v="1"/>
    <x v="1932"/>
    <x v="1944"/>
    <x v="402"/>
    <x v="0"/>
    <x v="0"/>
    <x v="0"/>
    <x v="131"/>
    <x v="21"/>
    <x v="285"/>
    <x v="55"/>
    <x v="3"/>
    <x v="353"/>
    <x v="0"/>
    <x v="1961"/>
  </r>
  <r>
    <x v="0"/>
    <x v="548"/>
    <x v="202"/>
    <x v="86"/>
    <x v="0"/>
    <x v="554"/>
    <x v="427"/>
    <x v="1850"/>
    <x v="236"/>
    <x v="776"/>
    <x v="1257"/>
    <x v="1470"/>
    <x v="1945"/>
    <x v="1940"/>
    <x v="1855"/>
    <x v="4"/>
    <x v="1933"/>
    <x v="1945"/>
    <x v="736"/>
    <x v="0"/>
    <x v="0"/>
    <x v="4"/>
    <x v="131"/>
    <x v="5"/>
    <x v="652"/>
    <x v="30"/>
    <x v="1"/>
    <x v="1"/>
    <x v="0"/>
    <x v="1962"/>
  </r>
  <r>
    <x v="0"/>
    <x v="626"/>
    <x v="450"/>
    <x v="47"/>
    <x v="74"/>
    <x v="180"/>
    <x v="428"/>
    <x v="1851"/>
    <x v="105"/>
    <x v="777"/>
    <x v="1258"/>
    <x v="1471"/>
    <x v="1946"/>
    <x v="1941"/>
    <x v="1856"/>
    <x v="4"/>
    <x v="1934"/>
    <x v="1946"/>
    <x v="821"/>
    <x v="0"/>
    <x v="0"/>
    <x v="4"/>
    <x v="131"/>
    <x v="14"/>
    <x v="653"/>
    <x v="2"/>
    <x v="3"/>
    <x v="1"/>
    <x v="0"/>
    <x v="1963"/>
  </r>
  <r>
    <x v="0"/>
    <x v="829"/>
    <x v="401"/>
    <x v="59"/>
    <x v="184"/>
    <x v="337"/>
    <x v="325"/>
    <x v="1852"/>
    <x v="212"/>
    <x v="580"/>
    <x v="1259"/>
    <x v="1472"/>
    <x v="1947"/>
    <x v="1942"/>
    <x v="1857"/>
    <x v="1"/>
    <x v="1935"/>
    <x v="1947"/>
    <x v="749"/>
    <x v="0"/>
    <x v="0"/>
    <x v="4"/>
    <x v="131"/>
    <x v="25"/>
    <x v="654"/>
    <x v="28"/>
    <x v="1"/>
    <x v="354"/>
    <x v="0"/>
    <x v="1964"/>
  </r>
  <r>
    <x v="0"/>
    <x v="830"/>
    <x v="460"/>
    <x v="79"/>
    <x v="91"/>
    <x v="470"/>
    <x v="429"/>
    <x v="1853"/>
    <x v="70"/>
    <x v="778"/>
    <x v="1260"/>
    <x v="693"/>
    <x v="1948"/>
    <x v="1943"/>
    <x v="1858"/>
    <x v="1"/>
    <x v="1936"/>
    <x v="1948"/>
    <x v="578"/>
    <x v="0"/>
    <x v="0"/>
    <x v="0"/>
    <x v="131"/>
    <x v="19"/>
    <x v="398"/>
    <x v="37"/>
    <x v="3"/>
    <x v="355"/>
    <x v="0"/>
    <x v="1965"/>
  </r>
  <r>
    <x v="0"/>
    <x v="438"/>
    <x v="444"/>
    <x v="5"/>
    <x v="237"/>
    <x v="714"/>
    <x v="3"/>
    <x v="1854"/>
    <x v="564"/>
    <x v="3"/>
    <x v="1261"/>
    <x v="1473"/>
    <x v="1949"/>
    <x v="1944"/>
    <x v="1859"/>
    <x v="4"/>
    <x v="1937"/>
    <x v="1949"/>
    <x v="149"/>
    <x v="0"/>
    <x v="1"/>
    <x v="4"/>
    <x v="116"/>
    <x v="2"/>
    <x v="626"/>
    <x v="15"/>
    <x v="1"/>
    <x v="132"/>
    <x v="0"/>
    <x v="1966"/>
  </r>
  <r>
    <x v="0"/>
    <x v="409"/>
    <x v="387"/>
    <x v="76"/>
    <x v="228"/>
    <x v="179"/>
    <x v="185"/>
    <x v="1855"/>
    <x v="125"/>
    <x v="779"/>
    <x v="1262"/>
    <x v="1474"/>
    <x v="1950"/>
    <x v="1945"/>
    <x v="1860"/>
    <x v="7"/>
    <x v="1938"/>
    <x v="1950"/>
    <x v="585"/>
    <x v="0"/>
    <x v="0"/>
    <x v="0"/>
    <x v="4"/>
    <x v="1"/>
    <x v="655"/>
    <x v="10"/>
    <x v="1"/>
    <x v="1"/>
    <x v="0"/>
    <x v="1967"/>
  </r>
  <r>
    <x v="0"/>
    <x v="504"/>
    <x v="99"/>
    <x v="78"/>
    <x v="101"/>
    <x v="291"/>
    <x v="168"/>
    <x v="1856"/>
    <x v="381"/>
    <x v="780"/>
    <x v="0"/>
    <x v="1475"/>
    <x v="1951"/>
    <x v="1946"/>
    <x v="1861"/>
    <x v="0"/>
    <x v="1939"/>
    <x v="1951"/>
    <x v="140"/>
    <x v="0"/>
    <x v="0"/>
    <x v="0"/>
    <x v="131"/>
    <x v="10"/>
    <x v="0"/>
    <x v="61"/>
    <x v="3"/>
    <x v="1"/>
    <x v="0"/>
    <x v="1968"/>
  </r>
  <r>
    <x v="0"/>
    <x v="406"/>
    <x v="414"/>
    <x v="97"/>
    <x v="227"/>
    <x v="732"/>
    <x v="375"/>
    <x v="1857"/>
    <x v="270"/>
    <x v="685"/>
    <x v="1263"/>
    <x v="1476"/>
    <x v="1952"/>
    <x v="1947"/>
    <x v="1862"/>
    <x v="1"/>
    <x v="1940"/>
    <x v="1952"/>
    <x v="289"/>
    <x v="0"/>
    <x v="0"/>
    <x v="4"/>
    <x v="131"/>
    <x v="15"/>
    <x v="359"/>
    <x v="11"/>
    <x v="3"/>
    <x v="1"/>
    <x v="0"/>
    <x v="1969"/>
  </r>
  <r>
    <x v="0"/>
    <x v="246"/>
    <x v="171"/>
    <x v="47"/>
    <x v="166"/>
    <x v="267"/>
    <x v="22"/>
    <x v="1858"/>
    <x v="291"/>
    <x v="80"/>
    <x v="401"/>
    <x v="1477"/>
    <x v="1953"/>
    <x v="1948"/>
    <x v="1072"/>
    <x v="1"/>
    <x v="1941"/>
    <x v="1953"/>
    <x v="277"/>
    <x v="0"/>
    <x v="0"/>
    <x v="4"/>
    <x v="131"/>
    <x v="11"/>
    <x v="270"/>
    <x v="2"/>
    <x v="1"/>
    <x v="57"/>
    <x v="0"/>
    <x v="1970"/>
  </r>
  <r>
    <x v="0"/>
    <x v="624"/>
    <x v="171"/>
    <x v="59"/>
    <x v="15"/>
    <x v="166"/>
    <x v="430"/>
    <x v="4"/>
    <x v="179"/>
    <x v="781"/>
    <x v="1264"/>
    <x v="1478"/>
    <x v="1954"/>
    <x v="1949"/>
    <x v="1510"/>
    <x v="0"/>
    <x v="1942"/>
    <x v="1954"/>
    <x v="483"/>
    <x v="0"/>
    <x v="1"/>
    <x v="4"/>
    <x v="131"/>
    <x v="39"/>
    <x v="654"/>
    <x v="9"/>
    <x v="1"/>
    <x v="1"/>
    <x v="0"/>
    <x v="1971"/>
  </r>
  <r>
    <x v="0"/>
    <x v="113"/>
    <x v="478"/>
    <x v="119"/>
    <x v="88"/>
    <x v="161"/>
    <x v="358"/>
    <x v="4"/>
    <x v="565"/>
    <x v="647"/>
    <x v="1265"/>
    <x v="1278"/>
    <x v="1955"/>
    <x v="1950"/>
    <x v="1863"/>
    <x v="0"/>
    <x v="1943"/>
    <x v="1955"/>
    <x v="716"/>
    <x v="0"/>
    <x v="0"/>
    <x v="15"/>
    <x v="4"/>
    <x v="4"/>
    <x v="656"/>
    <x v="13"/>
    <x v="9"/>
    <x v="356"/>
    <x v="0"/>
    <x v="1972"/>
  </r>
  <r>
    <x v="0"/>
    <x v="351"/>
    <x v="253"/>
    <x v="40"/>
    <x v="0"/>
    <x v="131"/>
    <x v="11"/>
    <x v="1859"/>
    <x v="566"/>
    <x v="49"/>
    <x v="203"/>
    <x v="161"/>
    <x v="1956"/>
    <x v="1951"/>
    <x v="1864"/>
    <x v="0"/>
    <x v="1944"/>
    <x v="1956"/>
    <x v="675"/>
    <x v="0"/>
    <x v="0"/>
    <x v="0"/>
    <x v="131"/>
    <x v="5"/>
    <x v="30"/>
    <x v="15"/>
    <x v="1"/>
    <x v="1"/>
    <x v="0"/>
    <x v="1973"/>
  </r>
  <r>
    <x v="0"/>
    <x v="534"/>
    <x v="323"/>
    <x v="86"/>
    <x v="264"/>
    <x v="722"/>
    <x v="57"/>
    <x v="1860"/>
    <x v="122"/>
    <x v="140"/>
    <x v="302"/>
    <x v="1479"/>
    <x v="1957"/>
    <x v="1952"/>
    <x v="1865"/>
    <x v="0"/>
    <x v="1945"/>
    <x v="1957"/>
    <x v="357"/>
    <x v="0"/>
    <x v="0"/>
    <x v="0"/>
    <x v="131"/>
    <x v="12"/>
    <x v="204"/>
    <x v="1"/>
    <x v="3"/>
    <x v="9"/>
    <x v="0"/>
    <x v="1974"/>
  </r>
  <r>
    <x v="0"/>
    <x v="831"/>
    <x v="293"/>
    <x v="46"/>
    <x v="151"/>
    <x v="733"/>
    <x v="431"/>
    <x v="1861"/>
    <x v="406"/>
    <x v="782"/>
    <x v="1266"/>
    <x v="1480"/>
    <x v="1958"/>
    <x v="1953"/>
    <x v="1866"/>
    <x v="6"/>
    <x v="1946"/>
    <x v="1958"/>
    <x v="388"/>
    <x v="0"/>
    <x v="31"/>
    <x v="0"/>
    <x v="140"/>
    <x v="2"/>
    <x v="657"/>
    <x v="8"/>
    <x v="1"/>
    <x v="1"/>
    <x v="0"/>
    <x v="1975"/>
  </r>
  <r>
    <x v="0"/>
    <x v="469"/>
    <x v="224"/>
    <x v="77"/>
    <x v="0"/>
    <x v="585"/>
    <x v="432"/>
    <x v="1862"/>
    <x v="190"/>
    <x v="783"/>
    <x v="1267"/>
    <x v="1481"/>
    <x v="1959"/>
    <x v="1954"/>
    <x v="1867"/>
    <x v="1"/>
    <x v="1947"/>
    <x v="1959"/>
    <x v="569"/>
    <x v="0"/>
    <x v="0"/>
    <x v="0"/>
    <x v="131"/>
    <x v="43"/>
    <x v="228"/>
    <x v="11"/>
    <x v="1"/>
    <x v="64"/>
    <x v="0"/>
    <x v="1976"/>
  </r>
  <r>
    <x v="0"/>
    <x v="832"/>
    <x v="459"/>
    <x v="27"/>
    <x v="193"/>
    <x v="316"/>
    <x v="433"/>
    <x v="4"/>
    <x v="127"/>
    <x v="784"/>
    <x v="1268"/>
    <x v="1482"/>
    <x v="1960"/>
    <x v="1955"/>
    <x v="1868"/>
    <x v="4"/>
    <x v="1948"/>
    <x v="1960"/>
    <x v="744"/>
    <x v="3"/>
    <x v="10"/>
    <x v="1"/>
    <x v="173"/>
    <x v="3"/>
    <x v="658"/>
    <x v="22"/>
    <x v="1"/>
    <x v="187"/>
    <x v="0"/>
    <x v="1977"/>
  </r>
  <r>
    <x v="0"/>
    <x v="729"/>
    <x v="483"/>
    <x v="35"/>
    <x v="293"/>
    <x v="40"/>
    <x v="3"/>
    <x v="1863"/>
    <x v="291"/>
    <x v="3"/>
    <x v="220"/>
    <x v="48"/>
    <x v="1961"/>
    <x v="1956"/>
    <x v="1869"/>
    <x v="1"/>
    <x v="1949"/>
    <x v="1961"/>
    <x v="181"/>
    <x v="0"/>
    <x v="0"/>
    <x v="0"/>
    <x v="131"/>
    <x v="10"/>
    <x v="150"/>
    <x v="17"/>
    <x v="1"/>
    <x v="44"/>
    <x v="0"/>
    <x v="1978"/>
  </r>
  <r>
    <x v="1"/>
    <x v="435"/>
    <x v="402"/>
    <x v="82"/>
    <x v="236"/>
    <x v="141"/>
    <x v="9"/>
    <x v="1864"/>
    <x v="567"/>
    <x v="9"/>
    <x v="101"/>
    <x v="898"/>
    <x v="1962"/>
    <x v="1957"/>
    <x v="1870"/>
    <x v="4"/>
    <x v="1950"/>
    <x v="1962"/>
    <x v="641"/>
    <x v="0"/>
    <x v="1"/>
    <x v="4"/>
    <x v="168"/>
    <x v="25"/>
    <x v="20"/>
    <x v="1"/>
    <x v="3"/>
    <x v="1"/>
    <x v="0"/>
    <x v="1979"/>
  </r>
  <r>
    <x v="0"/>
    <x v="415"/>
    <x v="417"/>
    <x v="149"/>
    <x v="58"/>
    <x v="591"/>
    <x v="179"/>
    <x v="1865"/>
    <x v="156"/>
    <x v="785"/>
    <x v="1269"/>
    <x v="1483"/>
    <x v="1963"/>
    <x v="1958"/>
    <x v="1871"/>
    <x v="0"/>
    <x v="1951"/>
    <x v="1963"/>
    <x v="541"/>
    <x v="0"/>
    <x v="0"/>
    <x v="2"/>
    <x v="131"/>
    <x v="27"/>
    <x v="105"/>
    <x v="16"/>
    <x v="3"/>
    <x v="1"/>
    <x v="0"/>
    <x v="1980"/>
  </r>
  <r>
    <x v="0"/>
    <x v="709"/>
    <x v="262"/>
    <x v="52"/>
    <x v="225"/>
    <x v="10"/>
    <x v="29"/>
    <x v="1866"/>
    <x v="269"/>
    <x v="58"/>
    <x v="1270"/>
    <x v="1484"/>
    <x v="1964"/>
    <x v="1959"/>
    <x v="1872"/>
    <x v="4"/>
    <x v="1952"/>
    <x v="1964"/>
    <x v="195"/>
    <x v="0"/>
    <x v="0"/>
    <x v="4"/>
    <x v="131"/>
    <x v="8"/>
    <x v="53"/>
    <x v="12"/>
    <x v="3"/>
    <x v="357"/>
    <x v="0"/>
    <x v="1981"/>
  </r>
  <r>
    <x v="0"/>
    <x v="452"/>
    <x v="365"/>
    <x v="77"/>
    <x v="108"/>
    <x v="285"/>
    <x v="17"/>
    <x v="1867"/>
    <x v="568"/>
    <x v="41"/>
    <x v="255"/>
    <x v="373"/>
    <x v="1965"/>
    <x v="1960"/>
    <x v="1873"/>
    <x v="3"/>
    <x v="1953"/>
    <x v="1965"/>
    <x v="486"/>
    <x v="0"/>
    <x v="0"/>
    <x v="0"/>
    <x v="131"/>
    <x v="19"/>
    <x v="6"/>
    <x v="41"/>
    <x v="1"/>
    <x v="212"/>
    <x v="0"/>
    <x v="1982"/>
  </r>
  <r>
    <x v="0"/>
    <x v="833"/>
    <x v="266"/>
    <x v="7"/>
    <x v="118"/>
    <x v="734"/>
    <x v="434"/>
    <x v="1868"/>
    <x v="150"/>
    <x v="786"/>
    <x v="1271"/>
    <x v="1485"/>
    <x v="1966"/>
    <x v="1961"/>
    <x v="1874"/>
    <x v="0"/>
    <x v="1954"/>
    <x v="1966"/>
    <x v="68"/>
    <x v="0"/>
    <x v="0"/>
    <x v="0"/>
    <x v="131"/>
    <x v="15"/>
    <x v="161"/>
    <x v="21"/>
    <x v="1"/>
    <x v="1"/>
    <x v="0"/>
    <x v="1983"/>
  </r>
  <r>
    <x v="0"/>
    <x v="834"/>
    <x v="70"/>
    <x v="80"/>
    <x v="164"/>
    <x v="735"/>
    <x v="435"/>
    <x v="1869"/>
    <x v="381"/>
    <x v="787"/>
    <x v="1272"/>
    <x v="1486"/>
    <x v="1967"/>
    <x v="1962"/>
    <x v="1085"/>
    <x v="0"/>
    <x v="1955"/>
    <x v="1967"/>
    <x v="402"/>
    <x v="0"/>
    <x v="0"/>
    <x v="0"/>
    <x v="137"/>
    <x v="3"/>
    <x v="577"/>
    <x v="18"/>
    <x v="1"/>
    <x v="16"/>
    <x v="0"/>
    <x v="1984"/>
  </r>
  <r>
    <x v="0"/>
    <x v="835"/>
    <x v="393"/>
    <x v="72"/>
    <x v="308"/>
    <x v="389"/>
    <x v="22"/>
    <x v="1870"/>
    <x v="105"/>
    <x v="240"/>
    <x v="1273"/>
    <x v="1487"/>
    <x v="1968"/>
    <x v="1963"/>
    <x v="1875"/>
    <x v="3"/>
    <x v="1956"/>
    <x v="1968"/>
    <x v="724"/>
    <x v="0"/>
    <x v="0"/>
    <x v="0"/>
    <x v="131"/>
    <x v="25"/>
    <x v="196"/>
    <x v="5"/>
    <x v="3"/>
    <x v="306"/>
    <x v="0"/>
    <x v="1985"/>
  </r>
  <r>
    <x v="0"/>
    <x v="381"/>
    <x v="136"/>
    <x v="47"/>
    <x v="19"/>
    <x v="171"/>
    <x v="14"/>
    <x v="1871"/>
    <x v="65"/>
    <x v="788"/>
    <x v="1274"/>
    <x v="1488"/>
    <x v="1969"/>
    <x v="1964"/>
    <x v="1876"/>
    <x v="1"/>
    <x v="1957"/>
    <x v="1969"/>
    <x v="629"/>
    <x v="0"/>
    <x v="0"/>
    <x v="4"/>
    <x v="131"/>
    <x v="10"/>
    <x v="117"/>
    <x v="27"/>
    <x v="1"/>
    <x v="115"/>
    <x v="0"/>
    <x v="1986"/>
  </r>
  <r>
    <x v="0"/>
    <x v="644"/>
    <x v="273"/>
    <x v="38"/>
    <x v="277"/>
    <x v="396"/>
    <x v="359"/>
    <x v="1872"/>
    <x v="200"/>
    <x v="649"/>
    <x v="1275"/>
    <x v="1306"/>
    <x v="1970"/>
    <x v="1965"/>
    <x v="1142"/>
    <x v="0"/>
    <x v="1958"/>
    <x v="1970"/>
    <x v="169"/>
    <x v="0"/>
    <x v="0"/>
    <x v="4"/>
    <x v="131"/>
    <x v="7"/>
    <x v="636"/>
    <x v="10"/>
    <x v="3"/>
    <x v="358"/>
    <x v="0"/>
    <x v="1987"/>
  </r>
  <r>
    <x v="0"/>
    <x v="836"/>
    <x v="434"/>
    <x v="76"/>
    <x v="188"/>
    <x v="209"/>
    <x v="436"/>
    <x v="1873"/>
    <x v="28"/>
    <x v="789"/>
    <x v="1276"/>
    <x v="1489"/>
    <x v="1971"/>
    <x v="1966"/>
    <x v="1877"/>
    <x v="1"/>
    <x v="1959"/>
    <x v="1971"/>
    <x v="496"/>
    <x v="0"/>
    <x v="0"/>
    <x v="4"/>
    <x v="173"/>
    <x v="23"/>
    <x v="628"/>
    <x v="18"/>
    <x v="3"/>
    <x v="1"/>
    <x v="0"/>
    <x v="1988"/>
  </r>
  <r>
    <x v="0"/>
    <x v="837"/>
    <x v="254"/>
    <x v="70"/>
    <x v="309"/>
    <x v="23"/>
    <x v="14"/>
    <x v="1874"/>
    <x v="457"/>
    <x v="414"/>
    <x v="99"/>
    <x v="245"/>
    <x v="1972"/>
    <x v="1967"/>
    <x v="1878"/>
    <x v="4"/>
    <x v="1960"/>
    <x v="1972"/>
    <x v="200"/>
    <x v="0"/>
    <x v="0"/>
    <x v="4"/>
    <x v="131"/>
    <x v="0"/>
    <x v="71"/>
    <x v="11"/>
    <x v="1"/>
    <x v="121"/>
    <x v="0"/>
    <x v="1989"/>
  </r>
  <r>
    <x v="0"/>
    <x v="838"/>
    <x v="152"/>
    <x v="85"/>
    <x v="233"/>
    <x v="736"/>
    <x v="176"/>
    <x v="4"/>
    <x v="13"/>
    <x v="790"/>
    <x v="1277"/>
    <x v="1490"/>
    <x v="1973"/>
    <x v="1968"/>
    <x v="1879"/>
    <x v="1"/>
    <x v="1961"/>
    <x v="1973"/>
    <x v="802"/>
    <x v="0"/>
    <x v="1"/>
    <x v="2"/>
    <x v="131"/>
    <x v="31"/>
    <x v="659"/>
    <x v="30"/>
    <x v="1"/>
    <x v="359"/>
    <x v="0"/>
    <x v="1990"/>
  </r>
  <r>
    <x v="0"/>
    <x v="839"/>
    <x v="308"/>
    <x v="54"/>
    <x v="211"/>
    <x v="371"/>
    <x v="437"/>
    <x v="1875"/>
    <x v="281"/>
    <x v="791"/>
    <x v="838"/>
    <x v="1491"/>
    <x v="1974"/>
    <x v="1969"/>
    <x v="1880"/>
    <x v="3"/>
    <x v="1962"/>
    <x v="1974"/>
    <x v="721"/>
    <x v="0"/>
    <x v="0"/>
    <x v="0"/>
    <x v="131"/>
    <x v="12"/>
    <x v="325"/>
    <x v="54"/>
    <x v="1"/>
    <x v="360"/>
    <x v="0"/>
    <x v="1991"/>
  </r>
  <r>
    <x v="0"/>
    <x v="684"/>
    <x v="314"/>
    <x v="54"/>
    <x v="85"/>
    <x v="644"/>
    <x v="256"/>
    <x v="1876"/>
    <x v="127"/>
    <x v="676"/>
    <x v="456"/>
    <x v="1492"/>
    <x v="1975"/>
    <x v="1970"/>
    <x v="1881"/>
    <x v="4"/>
    <x v="1963"/>
    <x v="1975"/>
    <x v="552"/>
    <x v="0"/>
    <x v="0"/>
    <x v="4"/>
    <x v="131"/>
    <x v="18"/>
    <x v="301"/>
    <x v="41"/>
    <x v="3"/>
    <x v="153"/>
    <x v="0"/>
    <x v="1992"/>
  </r>
  <r>
    <x v="0"/>
    <x v="146"/>
    <x v="450"/>
    <x v="46"/>
    <x v="108"/>
    <x v="570"/>
    <x v="25"/>
    <x v="1877"/>
    <x v="122"/>
    <x v="82"/>
    <x v="1278"/>
    <x v="1493"/>
    <x v="1976"/>
    <x v="1971"/>
    <x v="1882"/>
    <x v="1"/>
    <x v="1964"/>
    <x v="1976"/>
    <x v="521"/>
    <x v="0"/>
    <x v="3"/>
    <x v="0"/>
    <x v="131"/>
    <x v="12"/>
    <x v="262"/>
    <x v="0"/>
    <x v="1"/>
    <x v="59"/>
    <x v="0"/>
    <x v="1993"/>
  </r>
  <r>
    <x v="0"/>
    <x v="504"/>
    <x v="456"/>
    <x v="72"/>
    <x v="101"/>
    <x v="88"/>
    <x v="86"/>
    <x v="1452"/>
    <x v="485"/>
    <x v="627"/>
    <x v="946"/>
    <x v="1184"/>
    <x v="1515"/>
    <x v="1972"/>
    <x v="1403"/>
    <x v="0"/>
    <x v="1504"/>
    <x v="1515"/>
    <x v="761"/>
    <x v="0"/>
    <x v="8"/>
    <x v="4"/>
    <x v="152"/>
    <x v="7"/>
    <x v="532"/>
    <x v="23"/>
    <x v="1"/>
    <x v="86"/>
    <x v="0"/>
    <x v="1994"/>
  </r>
  <r>
    <x v="0"/>
    <x v="840"/>
    <x v="370"/>
    <x v="27"/>
    <x v="91"/>
    <x v="39"/>
    <x v="18"/>
    <x v="1878"/>
    <x v="148"/>
    <x v="19"/>
    <x v="821"/>
    <x v="1494"/>
    <x v="1977"/>
    <x v="1973"/>
    <x v="1883"/>
    <x v="0"/>
    <x v="1965"/>
    <x v="1977"/>
    <x v="86"/>
    <x v="0"/>
    <x v="0"/>
    <x v="4"/>
    <x v="131"/>
    <x v="16"/>
    <x v="425"/>
    <x v="31"/>
    <x v="1"/>
    <x v="1"/>
    <x v="0"/>
    <x v="1995"/>
  </r>
  <r>
    <x v="0"/>
    <x v="841"/>
    <x v="430"/>
    <x v="54"/>
    <x v="216"/>
    <x v="137"/>
    <x v="438"/>
    <x v="1879"/>
    <x v="70"/>
    <x v="792"/>
    <x v="1279"/>
    <x v="965"/>
    <x v="1978"/>
    <x v="1974"/>
    <x v="1884"/>
    <x v="6"/>
    <x v="1966"/>
    <x v="1978"/>
    <x v="822"/>
    <x v="0"/>
    <x v="0"/>
    <x v="0"/>
    <x v="159"/>
    <x v="12"/>
    <x v="413"/>
    <x v="54"/>
    <x v="3"/>
    <x v="361"/>
    <x v="0"/>
    <x v="1996"/>
  </r>
  <r>
    <x v="0"/>
    <x v="787"/>
    <x v="286"/>
    <x v="61"/>
    <x v="302"/>
    <x v="325"/>
    <x v="424"/>
    <x v="1880"/>
    <x v="178"/>
    <x v="793"/>
    <x v="1280"/>
    <x v="1495"/>
    <x v="1979"/>
    <x v="1975"/>
    <x v="1885"/>
    <x v="0"/>
    <x v="1967"/>
    <x v="1979"/>
    <x v="776"/>
    <x v="0"/>
    <x v="4"/>
    <x v="4"/>
    <x v="131"/>
    <x v="8"/>
    <x v="660"/>
    <x v="4"/>
    <x v="3"/>
    <x v="1"/>
    <x v="0"/>
    <x v="1997"/>
  </r>
  <r>
    <x v="0"/>
    <x v="388"/>
    <x v="262"/>
    <x v="80"/>
    <x v="220"/>
    <x v="737"/>
    <x v="56"/>
    <x v="1881"/>
    <x v="569"/>
    <x v="728"/>
    <x v="1252"/>
    <x v="1496"/>
    <x v="1980"/>
    <x v="1976"/>
    <x v="1886"/>
    <x v="4"/>
    <x v="1968"/>
    <x v="1980"/>
    <x v="543"/>
    <x v="0"/>
    <x v="0"/>
    <x v="4"/>
    <x v="131"/>
    <x v="12"/>
    <x v="181"/>
    <x v="64"/>
    <x v="1"/>
    <x v="362"/>
    <x v="0"/>
    <x v="1998"/>
  </r>
  <r>
    <x v="0"/>
    <x v="335"/>
    <x v="34"/>
    <x v="110"/>
    <x v="67"/>
    <x v="519"/>
    <x v="21"/>
    <x v="4"/>
    <x v="200"/>
    <x v="141"/>
    <x v="231"/>
    <x v="1497"/>
    <x v="1981"/>
    <x v="1977"/>
    <x v="1887"/>
    <x v="3"/>
    <x v="1969"/>
    <x v="1981"/>
    <x v="339"/>
    <x v="0"/>
    <x v="10"/>
    <x v="4"/>
    <x v="131"/>
    <x v="10"/>
    <x v="6"/>
    <x v="13"/>
    <x v="1"/>
    <x v="90"/>
    <x v="0"/>
    <x v="1999"/>
  </r>
  <r>
    <x v="0"/>
    <x v="842"/>
    <x v="241"/>
    <x v="86"/>
    <x v="310"/>
    <x v="88"/>
    <x v="21"/>
    <x v="1882"/>
    <x v="171"/>
    <x v="298"/>
    <x v="443"/>
    <x v="1184"/>
    <x v="1982"/>
    <x v="1978"/>
    <x v="1888"/>
    <x v="4"/>
    <x v="1970"/>
    <x v="1982"/>
    <x v="528"/>
    <x v="0"/>
    <x v="4"/>
    <x v="4"/>
    <x v="131"/>
    <x v="12"/>
    <x v="30"/>
    <x v="12"/>
    <x v="1"/>
    <x v="363"/>
    <x v="0"/>
    <x v="2000"/>
  </r>
  <r>
    <x v="0"/>
    <x v="13"/>
    <x v="345"/>
    <x v="43"/>
    <x v="8"/>
    <x v="738"/>
    <x v="372"/>
    <x v="1883"/>
    <x v="93"/>
    <x v="794"/>
    <x v="1281"/>
    <x v="1498"/>
    <x v="1983"/>
    <x v="1979"/>
    <x v="1889"/>
    <x v="0"/>
    <x v="1971"/>
    <x v="1983"/>
    <x v="816"/>
    <x v="0"/>
    <x v="0"/>
    <x v="2"/>
    <x v="4"/>
    <x v="3"/>
    <x v="661"/>
    <x v="2"/>
    <x v="2"/>
    <x v="1"/>
    <x v="0"/>
    <x v="2001"/>
  </r>
  <r>
    <x v="0"/>
    <x v="843"/>
    <x v="419"/>
    <x v="85"/>
    <x v="215"/>
    <x v="331"/>
    <x v="35"/>
    <x v="1884"/>
    <x v="122"/>
    <x v="332"/>
    <x v="347"/>
    <x v="613"/>
    <x v="1984"/>
    <x v="1980"/>
    <x v="1890"/>
    <x v="0"/>
    <x v="1972"/>
    <x v="1984"/>
    <x v="448"/>
    <x v="0"/>
    <x v="0"/>
    <x v="0"/>
    <x v="131"/>
    <x v="20"/>
    <x v="232"/>
    <x v="13"/>
    <x v="1"/>
    <x v="364"/>
    <x v="0"/>
    <x v="2002"/>
  </r>
  <r>
    <x v="0"/>
    <x v="776"/>
    <x v="202"/>
    <x v="86"/>
    <x v="0"/>
    <x v="231"/>
    <x v="98"/>
    <x v="1885"/>
    <x v="270"/>
    <x v="795"/>
    <x v="1282"/>
    <x v="1499"/>
    <x v="1985"/>
    <x v="1981"/>
    <x v="1891"/>
    <x v="3"/>
    <x v="1973"/>
    <x v="1985"/>
    <x v="212"/>
    <x v="0"/>
    <x v="1"/>
    <x v="0"/>
    <x v="131"/>
    <x v="8"/>
    <x v="662"/>
    <x v="2"/>
    <x v="1"/>
    <x v="1"/>
    <x v="0"/>
    <x v="2003"/>
  </r>
  <r>
    <x v="0"/>
    <x v="844"/>
    <x v="310"/>
    <x v="22"/>
    <x v="311"/>
    <x v="336"/>
    <x v="15"/>
    <x v="1886"/>
    <x v="570"/>
    <x v="460"/>
    <x v="1283"/>
    <x v="1500"/>
    <x v="1986"/>
    <x v="1982"/>
    <x v="1892"/>
    <x v="4"/>
    <x v="1974"/>
    <x v="1986"/>
    <x v="104"/>
    <x v="0"/>
    <x v="20"/>
    <x v="4"/>
    <x v="179"/>
    <x v="9"/>
    <x v="663"/>
    <x v="6"/>
    <x v="1"/>
    <x v="77"/>
    <x v="0"/>
    <x v="2004"/>
  </r>
  <r>
    <x v="0"/>
    <x v="845"/>
    <x v="89"/>
    <x v="40"/>
    <x v="0"/>
    <x v="373"/>
    <x v="25"/>
    <x v="1887"/>
    <x v="152"/>
    <x v="76"/>
    <x v="761"/>
    <x v="1501"/>
    <x v="1987"/>
    <x v="1983"/>
    <x v="1893"/>
    <x v="4"/>
    <x v="1975"/>
    <x v="1987"/>
    <x v="657"/>
    <x v="0"/>
    <x v="0"/>
    <x v="4"/>
    <x v="78"/>
    <x v="0"/>
    <x v="457"/>
    <x v="10"/>
    <x v="3"/>
    <x v="71"/>
    <x v="0"/>
    <x v="2005"/>
  </r>
  <r>
    <x v="0"/>
    <x v="846"/>
    <x v="392"/>
    <x v="76"/>
    <x v="198"/>
    <x v="154"/>
    <x v="56"/>
    <x v="4"/>
    <x v="224"/>
    <x v="98"/>
    <x v="1284"/>
    <x v="190"/>
    <x v="1988"/>
    <x v="1984"/>
    <x v="1449"/>
    <x v="4"/>
    <x v="1976"/>
    <x v="1988"/>
    <x v="636"/>
    <x v="0"/>
    <x v="10"/>
    <x v="2"/>
    <x v="4"/>
    <x v="5"/>
    <x v="664"/>
    <x v="9"/>
    <x v="1"/>
    <x v="1"/>
    <x v="0"/>
    <x v="2006"/>
  </r>
  <r>
    <x v="0"/>
    <x v="808"/>
    <x v="378"/>
    <x v="90"/>
    <x v="0"/>
    <x v="734"/>
    <x v="318"/>
    <x v="1888"/>
    <x v="200"/>
    <x v="796"/>
    <x v="1285"/>
    <x v="1502"/>
    <x v="1989"/>
    <x v="1985"/>
    <x v="1894"/>
    <x v="5"/>
    <x v="1977"/>
    <x v="1989"/>
    <x v="823"/>
    <x v="3"/>
    <x v="10"/>
    <x v="9"/>
    <x v="131"/>
    <x v="5"/>
    <x v="665"/>
    <x v="1"/>
    <x v="1"/>
    <x v="1"/>
    <x v="0"/>
    <x v="2007"/>
  </r>
  <r>
    <x v="0"/>
    <x v="332"/>
    <x v="324"/>
    <x v="85"/>
    <x v="204"/>
    <x v="229"/>
    <x v="439"/>
    <x v="1889"/>
    <x v="334"/>
    <x v="797"/>
    <x v="902"/>
    <x v="1503"/>
    <x v="1990"/>
    <x v="1986"/>
    <x v="1895"/>
    <x v="12"/>
    <x v="1978"/>
    <x v="1990"/>
    <x v="789"/>
    <x v="0"/>
    <x v="0"/>
    <x v="4"/>
    <x v="131"/>
    <x v="5"/>
    <x v="26"/>
    <x v="20"/>
    <x v="0"/>
    <x v="365"/>
    <x v="0"/>
    <x v="2008"/>
  </r>
  <r>
    <x v="0"/>
    <x v="847"/>
    <x v="169"/>
    <x v="110"/>
    <x v="0"/>
    <x v="298"/>
    <x v="258"/>
    <x v="4"/>
    <x v="257"/>
    <x v="798"/>
    <x v="1286"/>
    <x v="1504"/>
    <x v="1991"/>
    <x v="1987"/>
    <x v="1896"/>
    <x v="0"/>
    <x v="1979"/>
    <x v="1991"/>
    <x v="343"/>
    <x v="0"/>
    <x v="10"/>
    <x v="3"/>
    <x v="131"/>
    <x v="0"/>
    <x v="557"/>
    <x v="64"/>
    <x v="2"/>
    <x v="366"/>
    <x v="0"/>
    <x v="2009"/>
  </r>
  <r>
    <x v="0"/>
    <x v="848"/>
    <x v="441"/>
    <x v="79"/>
    <x v="0"/>
    <x v="321"/>
    <x v="146"/>
    <x v="4"/>
    <x v="29"/>
    <x v="799"/>
    <x v="1287"/>
    <x v="1505"/>
    <x v="1992"/>
    <x v="1988"/>
    <x v="1897"/>
    <x v="0"/>
    <x v="1980"/>
    <x v="1992"/>
    <x v="824"/>
    <x v="9"/>
    <x v="21"/>
    <x v="3"/>
    <x v="131"/>
    <x v="5"/>
    <x v="562"/>
    <x v="31"/>
    <x v="2"/>
    <x v="367"/>
    <x v="0"/>
    <x v="2010"/>
  </r>
  <r>
    <x v="0"/>
    <x v="18"/>
    <x v="484"/>
    <x v="67"/>
    <x v="0"/>
    <x v="1"/>
    <x v="57"/>
    <x v="1890"/>
    <x v="168"/>
    <x v="125"/>
    <x v="40"/>
    <x v="579"/>
    <x v="1993"/>
    <x v="1989"/>
    <x v="1898"/>
    <x v="2"/>
    <x v="1981"/>
    <x v="1993"/>
    <x v="566"/>
    <x v="0"/>
    <x v="0"/>
    <x v="4"/>
    <x v="131"/>
    <x v="9"/>
    <x v="6"/>
    <x v="43"/>
    <x v="1"/>
    <x v="4"/>
    <x v="0"/>
    <x v="2011"/>
  </r>
  <r>
    <x v="0"/>
    <x v="849"/>
    <x v="74"/>
    <x v="61"/>
    <x v="134"/>
    <x v="397"/>
    <x v="0"/>
    <x v="4"/>
    <x v="571"/>
    <x v="251"/>
    <x v="160"/>
    <x v="923"/>
    <x v="1994"/>
    <x v="1990"/>
    <x v="558"/>
    <x v="4"/>
    <x v="1982"/>
    <x v="1994"/>
    <x v="575"/>
    <x v="0"/>
    <x v="1"/>
    <x v="4"/>
    <x v="131"/>
    <x v="10"/>
    <x v="666"/>
    <x v="5"/>
    <x v="1"/>
    <x v="1"/>
    <x v="0"/>
    <x v="2012"/>
  </r>
  <r>
    <x v="0"/>
    <x v="850"/>
    <x v="441"/>
    <x v="90"/>
    <x v="180"/>
    <x v="163"/>
    <x v="440"/>
    <x v="4"/>
    <x v="71"/>
    <x v="800"/>
    <x v="1288"/>
    <x v="1506"/>
    <x v="1995"/>
    <x v="1991"/>
    <x v="1768"/>
    <x v="4"/>
    <x v="1983"/>
    <x v="1995"/>
    <x v="758"/>
    <x v="0"/>
    <x v="20"/>
    <x v="3"/>
    <x v="131"/>
    <x v="48"/>
    <x v="667"/>
    <x v="11"/>
    <x v="1"/>
    <x v="166"/>
    <x v="0"/>
    <x v="2013"/>
  </r>
  <r>
    <x v="0"/>
    <x v="851"/>
    <x v="409"/>
    <x v="7"/>
    <x v="221"/>
    <x v="237"/>
    <x v="441"/>
    <x v="1891"/>
    <x v="54"/>
    <x v="801"/>
    <x v="777"/>
    <x v="1507"/>
    <x v="1996"/>
    <x v="1992"/>
    <x v="1899"/>
    <x v="4"/>
    <x v="1984"/>
    <x v="1996"/>
    <x v="721"/>
    <x v="13"/>
    <x v="9"/>
    <x v="1"/>
    <x v="131"/>
    <x v="11"/>
    <x v="463"/>
    <x v="12"/>
    <x v="1"/>
    <x v="1"/>
    <x v="0"/>
    <x v="2014"/>
  </r>
  <r>
    <x v="2"/>
    <x v="852"/>
    <x v="478"/>
    <x v="7"/>
    <x v="312"/>
    <x v="733"/>
    <x v="269"/>
    <x v="4"/>
    <x v="3"/>
    <x v="486"/>
    <x v="1289"/>
    <x v="1480"/>
    <x v="1997"/>
    <x v="1993"/>
    <x v="1900"/>
    <x v="0"/>
    <x v="1985"/>
    <x v="1997"/>
    <x v="744"/>
    <x v="0"/>
    <x v="0"/>
    <x v="0"/>
    <x v="131"/>
    <x v="11"/>
    <x v="376"/>
    <x v="54"/>
    <x v="2"/>
    <x v="185"/>
    <x v="0"/>
    <x v="2015"/>
  </r>
  <r>
    <x v="0"/>
    <x v="491"/>
    <x v="359"/>
    <x v="73"/>
    <x v="253"/>
    <x v="601"/>
    <x v="11"/>
    <x v="1892"/>
    <x v="17"/>
    <x v="63"/>
    <x v="1202"/>
    <x v="1465"/>
    <x v="1998"/>
    <x v="1994"/>
    <x v="1901"/>
    <x v="4"/>
    <x v="1986"/>
    <x v="1998"/>
    <x v="498"/>
    <x v="0"/>
    <x v="0"/>
    <x v="4"/>
    <x v="137"/>
    <x v="32"/>
    <x v="53"/>
    <x v="16"/>
    <x v="3"/>
    <x v="1"/>
    <x v="0"/>
    <x v="2016"/>
  </r>
  <r>
    <x v="0"/>
    <x v="385"/>
    <x v="153"/>
    <x v="64"/>
    <x v="26"/>
    <x v="6"/>
    <x v="30"/>
    <x v="1893"/>
    <x v="457"/>
    <x v="224"/>
    <x v="370"/>
    <x v="6"/>
    <x v="1999"/>
    <x v="1995"/>
    <x v="1902"/>
    <x v="2"/>
    <x v="1987"/>
    <x v="1999"/>
    <x v="528"/>
    <x v="0"/>
    <x v="10"/>
    <x v="4"/>
    <x v="131"/>
    <x v="3"/>
    <x v="10"/>
    <x v="9"/>
    <x v="1"/>
    <x v="41"/>
    <x v="0"/>
    <x v="2017"/>
  </r>
  <r>
    <x v="0"/>
    <x v="853"/>
    <x v="257"/>
    <x v="73"/>
    <x v="119"/>
    <x v="575"/>
    <x v="25"/>
    <x v="1894"/>
    <x v="145"/>
    <x v="194"/>
    <x v="953"/>
    <x v="1102"/>
    <x v="2000"/>
    <x v="1996"/>
    <x v="1903"/>
    <x v="7"/>
    <x v="1988"/>
    <x v="2000"/>
    <x v="623"/>
    <x v="0"/>
    <x v="0"/>
    <x v="2"/>
    <x v="131"/>
    <x v="43"/>
    <x v="335"/>
    <x v="11"/>
    <x v="1"/>
    <x v="1"/>
    <x v="0"/>
    <x v="2018"/>
  </r>
  <r>
    <x v="0"/>
    <x v="234"/>
    <x v="456"/>
    <x v="106"/>
    <x v="17"/>
    <x v="158"/>
    <x v="57"/>
    <x v="1895"/>
    <x v="291"/>
    <x v="237"/>
    <x v="862"/>
    <x v="378"/>
    <x v="2001"/>
    <x v="1997"/>
    <x v="1904"/>
    <x v="0"/>
    <x v="1989"/>
    <x v="2001"/>
    <x v="798"/>
    <x v="0"/>
    <x v="0"/>
    <x v="2"/>
    <x v="151"/>
    <x v="7"/>
    <x v="500"/>
    <x v="13"/>
    <x v="3"/>
    <x v="1"/>
    <x v="0"/>
    <x v="2019"/>
  </r>
  <r>
    <x v="0"/>
    <x v="182"/>
    <x v="145"/>
    <x v="37"/>
    <x v="107"/>
    <x v="122"/>
    <x v="0"/>
    <x v="306"/>
    <x v="146"/>
    <x v="167"/>
    <x v="112"/>
    <x v="151"/>
    <x v="314"/>
    <x v="1998"/>
    <x v="309"/>
    <x v="1"/>
    <x v="311"/>
    <x v="314"/>
    <x v="289"/>
    <x v="0"/>
    <x v="0"/>
    <x v="0"/>
    <x v="21"/>
    <x v="2"/>
    <x v="80"/>
    <x v="43"/>
    <x v="1"/>
    <x v="40"/>
    <x v="0"/>
    <x v="2020"/>
  </r>
  <r>
    <x v="0"/>
    <x v="548"/>
    <x v="423"/>
    <x v="60"/>
    <x v="0"/>
    <x v="402"/>
    <x v="191"/>
    <x v="1896"/>
    <x v="364"/>
    <x v="536"/>
    <x v="102"/>
    <x v="1508"/>
    <x v="2002"/>
    <x v="1999"/>
    <x v="701"/>
    <x v="7"/>
    <x v="1990"/>
    <x v="2002"/>
    <x v="378"/>
    <x v="0"/>
    <x v="0"/>
    <x v="4"/>
    <x v="151"/>
    <x v="13"/>
    <x v="72"/>
    <x v="9"/>
    <x v="1"/>
    <x v="1"/>
    <x v="0"/>
    <x v="2021"/>
  </r>
  <r>
    <x v="0"/>
    <x v="729"/>
    <x v="318"/>
    <x v="42"/>
    <x v="293"/>
    <x v="269"/>
    <x v="24"/>
    <x v="1897"/>
    <x v="572"/>
    <x v="131"/>
    <x v="523"/>
    <x v="1509"/>
    <x v="2003"/>
    <x v="2000"/>
    <x v="1905"/>
    <x v="0"/>
    <x v="1991"/>
    <x v="2003"/>
    <x v="388"/>
    <x v="0"/>
    <x v="0"/>
    <x v="4"/>
    <x v="131"/>
    <x v="6"/>
    <x v="341"/>
    <x v="27"/>
    <x v="1"/>
    <x v="1"/>
    <x v="0"/>
    <x v="2022"/>
  </r>
  <r>
    <x v="0"/>
    <x v="135"/>
    <x v="460"/>
    <x v="11"/>
    <x v="100"/>
    <x v="472"/>
    <x v="159"/>
    <x v="1898"/>
    <x v="127"/>
    <x v="343"/>
    <x v="1290"/>
    <x v="733"/>
    <x v="2004"/>
    <x v="2001"/>
    <x v="1906"/>
    <x v="8"/>
    <x v="1992"/>
    <x v="2004"/>
    <x v="785"/>
    <x v="0"/>
    <x v="0"/>
    <x v="0"/>
    <x v="151"/>
    <x v="11"/>
    <x v="449"/>
    <x v="20"/>
    <x v="1"/>
    <x v="67"/>
    <x v="0"/>
    <x v="2023"/>
  </r>
  <r>
    <x v="0"/>
    <x v="592"/>
    <x v="309"/>
    <x v="42"/>
    <x v="151"/>
    <x v="693"/>
    <x v="57"/>
    <x v="1899"/>
    <x v="70"/>
    <x v="99"/>
    <x v="1100"/>
    <x v="1291"/>
    <x v="2005"/>
    <x v="2002"/>
    <x v="1907"/>
    <x v="2"/>
    <x v="1993"/>
    <x v="2005"/>
    <x v="395"/>
    <x v="0"/>
    <x v="0"/>
    <x v="4"/>
    <x v="151"/>
    <x v="21"/>
    <x v="12"/>
    <x v="10"/>
    <x v="3"/>
    <x v="1"/>
    <x v="0"/>
    <x v="2024"/>
  </r>
  <r>
    <x v="0"/>
    <x v="854"/>
    <x v="370"/>
    <x v="86"/>
    <x v="233"/>
    <x v="499"/>
    <x v="171"/>
    <x v="1900"/>
    <x v="484"/>
    <x v="772"/>
    <x v="688"/>
    <x v="1510"/>
    <x v="2006"/>
    <x v="2003"/>
    <x v="1908"/>
    <x v="0"/>
    <x v="1994"/>
    <x v="2006"/>
    <x v="277"/>
    <x v="0"/>
    <x v="0"/>
    <x v="2"/>
    <x v="186"/>
    <x v="31"/>
    <x v="422"/>
    <x v="12"/>
    <x v="3"/>
    <x v="1"/>
    <x v="0"/>
    <x v="2025"/>
  </r>
  <r>
    <x v="0"/>
    <x v="235"/>
    <x v="318"/>
    <x v="76"/>
    <x v="157"/>
    <x v="378"/>
    <x v="94"/>
    <x v="1901"/>
    <x v="125"/>
    <x v="166"/>
    <x v="1291"/>
    <x v="943"/>
    <x v="2007"/>
    <x v="2004"/>
    <x v="1909"/>
    <x v="2"/>
    <x v="1995"/>
    <x v="2007"/>
    <x v="825"/>
    <x v="0"/>
    <x v="0"/>
    <x v="4"/>
    <x v="151"/>
    <x v="17"/>
    <x v="324"/>
    <x v="13"/>
    <x v="1"/>
    <x v="1"/>
    <x v="0"/>
    <x v="2026"/>
  </r>
  <r>
    <x v="0"/>
    <x v="255"/>
    <x v="274"/>
    <x v="64"/>
    <x v="0"/>
    <x v="2"/>
    <x v="25"/>
    <x v="1902"/>
    <x v="487"/>
    <x v="30"/>
    <x v="1292"/>
    <x v="1511"/>
    <x v="2008"/>
    <x v="2005"/>
    <x v="788"/>
    <x v="1"/>
    <x v="1996"/>
    <x v="2008"/>
    <x v="796"/>
    <x v="0"/>
    <x v="0"/>
    <x v="4"/>
    <x v="151"/>
    <x v="23"/>
    <x v="668"/>
    <x v="32"/>
    <x v="3"/>
    <x v="85"/>
    <x v="0"/>
    <x v="2027"/>
  </r>
  <r>
    <x v="0"/>
    <x v="665"/>
    <x v="211"/>
    <x v="7"/>
    <x v="186"/>
    <x v="223"/>
    <x v="230"/>
    <x v="1903"/>
    <x v="364"/>
    <x v="424"/>
    <x v="890"/>
    <x v="581"/>
    <x v="2009"/>
    <x v="2006"/>
    <x v="1910"/>
    <x v="4"/>
    <x v="1997"/>
    <x v="2009"/>
    <x v="598"/>
    <x v="0"/>
    <x v="0"/>
    <x v="4"/>
    <x v="151"/>
    <x v="20"/>
    <x v="30"/>
    <x v="51"/>
    <x v="1"/>
    <x v="368"/>
    <x v="0"/>
    <x v="2028"/>
  </r>
  <r>
    <x v="0"/>
    <x v="855"/>
    <x v="257"/>
    <x v="69"/>
    <x v="313"/>
    <x v="507"/>
    <x v="442"/>
    <x v="1904"/>
    <x v="105"/>
    <x v="802"/>
    <x v="1079"/>
    <x v="762"/>
    <x v="2010"/>
    <x v="2007"/>
    <x v="1911"/>
    <x v="1"/>
    <x v="1998"/>
    <x v="2010"/>
    <x v="458"/>
    <x v="0"/>
    <x v="0"/>
    <x v="2"/>
    <x v="151"/>
    <x v="21"/>
    <x v="50"/>
    <x v="8"/>
    <x v="3"/>
    <x v="1"/>
    <x v="0"/>
    <x v="2029"/>
  </r>
  <r>
    <x v="0"/>
    <x v="609"/>
    <x v="348"/>
    <x v="59"/>
    <x v="0"/>
    <x v="734"/>
    <x v="298"/>
    <x v="1905"/>
    <x v="127"/>
    <x v="803"/>
    <x v="1293"/>
    <x v="1512"/>
    <x v="2011"/>
    <x v="2008"/>
    <x v="1912"/>
    <x v="6"/>
    <x v="1999"/>
    <x v="2011"/>
    <x v="554"/>
    <x v="0"/>
    <x v="0"/>
    <x v="4"/>
    <x v="151"/>
    <x v="8"/>
    <x v="14"/>
    <x v="4"/>
    <x v="3"/>
    <x v="1"/>
    <x v="0"/>
    <x v="2030"/>
  </r>
  <r>
    <x v="0"/>
    <x v="856"/>
    <x v="150"/>
    <x v="47"/>
    <x v="202"/>
    <x v="161"/>
    <x v="2"/>
    <x v="1906"/>
    <x v="539"/>
    <x v="130"/>
    <x v="1294"/>
    <x v="1513"/>
    <x v="2012"/>
    <x v="2009"/>
    <x v="1913"/>
    <x v="2"/>
    <x v="2000"/>
    <x v="2012"/>
    <x v="294"/>
    <x v="0"/>
    <x v="8"/>
    <x v="4"/>
    <x v="151"/>
    <x v="21"/>
    <x v="219"/>
    <x v="22"/>
    <x v="1"/>
    <x v="226"/>
    <x v="0"/>
    <x v="2031"/>
  </r>
  <r>
    <x v="0"/>
    <x v="857"/>
    <x v="168"/>
    <x v="50"/>
    <x v="36"/>
    <x v="131"/>
    <x v="11"/>
    <x v="1907"/>
    <x v="418"/>
    <x v="11"/>
    <x v="60"/>
    <x v="161"/>
    <x v="2013"/>
    <x v="2010"/>
    <x v="1914"/>
    <x v="0"/>
    <x v="2001"/>
    <x v="2013"/>
    <x v="679"/>
    <x v="0"/>
    <x v="0"/>
    <x v="4"/>
    <x v="131"/>
    <x v="0"/>
    <x v="47"/>
    <x v="5"/>
    <x v="1"/>
    <x v="61"/>
    <x v="0"/>
    <x v="2032"/>
  </r>
  <r>
    <x v="0"/>
    <x v="858"/>
    <x v="399"/>
    <x v="76"/>
    <x v="314"/>
    <x v="59"/>
    <x v="0"/>
    <x v="1908"/>
    <x v="26"/>
    <x v="735"/>
    <x v="1223"/>
    <x v="518"/>
    <x v="2014"/>
    <x v="2011"/>
    <x v="1915"/>
    <x v="4"/>
    <x v="2002"/>
    <x v="2014"/>
    <x v="724"/>
    <x v="0"/>
    <x v="0"/>
    <x v="0"/>
    <x v="151"/>
    <x v="18"/>
    <x v="476"/>
    <x v="43"/>
    <x v="1"/>
    <x v="309"/>
    <x v="0"/>
    <x v="2033"/>
  </r>
  <r>
    <x v="0"/>
    <x v="141"/>
    <x v="395"/>
    <x v="46"/>
    <x v="105"/>
    <x v="286"/>
    <x v="2"/>
    <x v="1909"/>
    <x v="113"/>
    <x v="60"/>
    <x v="1156"/>
    <x v="376"/>
    <x v="2015"/>
    <x v="2012"/>
    <x v="1916"/>
    <x v="0"/>
    <x v="2003"/>
    <x v="2015"/>
    <x v="440"/>
    <x v="0"/>
    <x v="0"/>
    <x v="4"/>
    <x v="151"/>
    <x v="15"/>
    <x v="30"/>
    <x v="11"/>
    <x v="3"/>
    <x v="1"/>
    <x v="0"/>
    <x v="2034"/>
  </r>
  <r>
    <x v="0"/>
    <x v="275"/>
    <x v="274"/>
    <x v="54"/>
    <x v="179"/>
    <x v="252"/>
    <x v="35"/>
    <x v="1910"/>
    <x v="127"/>
    <x v="507"/>
    <x v="658"/>
    <x v="472"/>
    <x v="2016"/>
    <x v="2013"/>
    <x v="1917"/>
    <x v="1"/>
    <x v="2004"/>
    <x v="2016"/>
    <x v="629"/>
    <x v="0"/>
    <x v="0"/>
    <x v="0"/>
    <x v="151"/>
    <x v="14"/>
    <x v="408"/>
    <x v="23"/>
    <x v="1"/>
    <x v="369"/>
    <x v="0"/>
    <x v="2035"/>
  </r>
  <r>
    <x v="0"/>
    <x v="344"/>
    <x v="266"/>
    <x v="101"/>
    <x v="73"/>
    <x v="739"/>
    <x v="0"/>
    <x v="1911"/>
    <x v="573"/>
    <x v="652"/>
    <x v="1218"/>
    <x v="1514"/>
    <x v="2017"/>
    <x v="2014"/>
    <x v="1274"/>
    <x v="0"/>
    <x v="2005"/>
    <x v="2017"/>
    <x v="360"/>
    <x v="0"/>
    <x v="0"/>
    <x v="3"/>
    <x v="151"/>
    <x v="15"/>
    <x v="224"/>
    <x v="5"/>
    <x v="3"/>
    <x v="370"/>
    <x v="0"/>
    <x v="2036"/>
  </r>
  <r>
    <x v="0"/>
    <x v="859"/>
    <x v="424"/>
    <x v="34"/>
    <x v="0"/>
    <x v="217"/>
    <x v="394"/>
    <x v="1912"/>
    <x v="574"/>
    <x v="804"/>
    <x v="1295"/>
    <x v="1515"/>
    <x v="2018"/>
    <x v="2015"/>
    <x v="1435"/>
    <x v="0"/>
    <x v="2006"/>
    <x v="2018"/>
    <x v="549"/>
    <x v="0"/>
    <x v="0"/>
    <x v="3"/>
    <x v="151"/>
    <x v="33"/>
    <x v="669"/>
    <x v="31"/>
    <x v="3"/>
    <x v="1"/>
    <x v="0"/>
    <x v="2037"/>
  </r>
  <r>
    <x v="0"/>
    <x v="355"/>
    <x v="359"/>
    <x v="86"/>
    <x v="210"/>
    <x v="680"/>
    <x v="0"/>
    <x v="1913"/>
    <x v="300"/>
    <x v="48"/>
    <x v="1296"/>
    <x v="1516"/>
    <x v="2019"/>
    <x v="2016"/>
    <x v="1918"/>
    <x v="1"/>
    <x v="2007"/>
    <x v="2019"/>
    <x v="420"/>
    <x v="0"/>
    <x v="0"/>
    <x v="0"/>
    <x v="151"/>
    <x v="21"/>
    <x v="399"/>
    <x v="43"/>
    <x v="3"/>
    <x v="371"/>
    <x v="0"/>
    <x v="2038"/>
  </r>
  <r>
    <x v="0"/>
    <x v="282"/>
    <x v="345"/>
    <x v="23"/>
    <x v="186"/>
    <x v="740"/>
    <x v="443"/>
    <x v="1914"/>
    <x v="422"/>
    <x v="805"/>
    <x v="1297"/>
    <x v="1517"/>
    <x v="2020"/>
    <x v="2017"/>
    <x v="1919"/>
    <x v="0"/>
    <x v="2008"/>
    <x v="2020"/>
    <x v="247"/>
    <x v="0"/>
    <x v="0"/>
    <x v="4"/>
    <x v="151"/>
    <x v="15"/>
    <x v="670"/>
    <x v="28"/>
    <x v="1"/>
    <x v="372"/>
    <x v="0"/>
    <x v="2039"/>
  </r>
  <r>
    <x v="0"/>
    <x v="860"/>
    <x v="244"/>
    <x v="71"/>
    <x v="186"/>
    <x v="324"/>
    <x v="35"/>
    <x v="1915"/>
    <x v="127"/>
    <x v="494"/>
    <x v="1298"/>
    <x v="1518"/>
    <x v="2021"/>
    <x v="2018"/>
    <x v="1920"/>
    <x v="0"/>
    <x v="2009"/>
    <x v="2021"/>
    <x v="749"/>
    <x v="0"/>
    <x v="0"/>
    <x v="0"/>
    <x v="151"/>
    <x v="10"/>
    <x v="30"/>
    <x v="41"/>
    <x v="3"/>
    <x v="1"/>
    <x v="0"/>
    <x v="2040"/>
  </r>
  <r>
    <x v="0"/>
    <x v="630"/>
    <x v="485"/>
    <x v="76"/>
    <x v="219"/>
    <x v="324"/>
    <x v="22"/>
    <x v="1916"/>
    <x v="476"/>
    <x v="191"/>
    <x v="1299"/>
    <x v="1518"/>
    <x v="2022"/>
    <x v="2019"/>
    <x v="1921"/>
    <x v="0"/>
    <x v="2010"/>
    <x v="2022"/>
    <x v="278"/>
    <x v="0"/>
    <x v="0"/>
    <x v="4"/>
    <x v="151"/>
    <x v="5"/>
    <x v="671"/>
    <x v="34"/>
    <x v="1"/>
    <x v="38"/>
    <x v="0"/>
    <x v="2041"/>
  </r>
  <r>
    <x v="1"/>
    <x v="861"/>
    <x v="316"/>
    <x v="34"/>
    <x v="315"/>
    <x v="684"/>
    <x v="11"/>
    <x v="1917"/>
    <x v="432"/>
    <x v="11"/>
    <x v="724"/>
    <x v="1256"/>
    <x v="2023"/>
    <x v="2020"/>
    <x v="1922"/>
    <x v="1"/>
    <x v="2011"/>
    <x v="2023"/>
    <x v="248"/>
    <x v="0"/>
    <x v="0"/>
    <x v="0"/>
    <x v="154"/>
    <x v="14"/>
    <x v="1"/>
    <x v="10"/>
    <x v="1"/>
    <x v="1"/>
    <x v="0"/>
    <x v="2042"/>
  </r>
  <r>
    <x v="0"/>
    <x v="740"/>
    <x v="465"/>
    <x v="41"/>
    <x v="134"/>
    <x v="741"/>
    <x v="29"/>
    <x v="1918"/>
    <x v="238"/>
    <x v="74"/>
    <x v="83"/>
    <x v="1519"/>
    <x v="2024"/>
    <x v="2021"/>
    <x v="1923"/>
    <x v="4"/>
    <x v="2012"/>
    <x v="2024"/>
    <x v="820"/>
    <x v="0"/>
    <x v="0"/>
    <x v="2"/>
    <x v="151"/>
    <x v="20"/>
    <x v="62"/>
    <x v="65"/>
    <x v="2"/>
    <x v="373"/>
    <x v="0"/>
    <x v="2043"/>
  </r>
  <r>
    <x v="0"/>
    <x v="862"/>
    <x v="81"/>
    <x v="110"/>
    <x v="174"/>
    <x v="413"/>
    <x v="413"/>
    <x v="1919"/>
    <x v="575"/>
    <x v="806"/>
    <x v="1300"/>
    <x v="1520"/>
    <x v="2025"/>
    <x v="2022"/>
    <x v="1924"/>
    <x v="0"/>
    <x v="2013"/>
    <x v="2025"/>
    <x v="637"/>
    <x v="0"/>
    <x v="1"/>
    <x v="3"/>
    <x v="168"/>
    <x v="27"/>
    <x v="672"/>
    <x v="13"/>
    <x v="1"/>
    <x v="374"/>
    <x v="0"/>
    <x v="2044"/>
  </r>
  <r>
    <x v="0"/>
    <x v="863"/>
    <x v="441"/>
    <x v="60"/>
    <x v="85"/>
    <x v="742"/>
    <x v="13"/>
    <x v="1920"/>
    <x v="17"/>
    <x v="158"/>
    <x v="1218"/>
    <x v="1521"/>
    <x v="2026"/>
    <x v="2023"/>
    <x v="1925"/>
    <x v="3"/>
    <x v="2014"/>
    <x v="2026"/>
    <x v="724"/>
    <x v="0"/>
    <x v="1"/>
    <x v="2"/>
    <x v="151"/>
    <x v="14"/>
    <x v="224"/>
    <x v="37"/>
    <x v="3"/>
    <x v="297"/>
    <x v="0"/>
    <x v="2045"/>
  </r>
  <r>
    <x v="0"/>
    <x v="657"/>
    <x v="128"/>
    <x v="42"/>
    <x v="156"/>
    <x v="526"/>
    <x v="25"/>
    <x v="1921"/>
    <x v="28"/>
    <x v="138"/>
    <x v="633"/>
    <x v="805"/>
    <x v="2027"/>
    <x v="2024"/>
    <x v="1926"/>
    <x v="1"/>
    <x v="2015"/>
    <x v="2027"/>
    <x v="486"/>
    <x v="0"/>
    <x v="0"/>
    <x v="4"/>
    <x v="151"/>
    <x v="5"/>
    <x v="50"/>
    <x v="12"/>
    <x v="1"/>
    <x v="85"/>
    <x v="0"/>
    <x v="2046"/>
  </r>
  <r>
    <x v="0"/>
    <x v="656"/>
    <x v="237"/>
    <x v="73"/>
    <x v="280"/>
    <x v="123"/>
    <x v="29"/>
    <x v="1922"/>
    <x v="45"/>
    <x v="34"/>
    <x v="228"/>
    <x v="152"/>
    <x v="2028"/>
    <x v="2025"/>
    <x v="1927"/>
    <x v="0"/>
    <x v="2016"/>
    <x v="2028"/>
    <x v="826"/>
    <x v="2"/>
    <x v="7"/>
    <x v="2"/>
    <x v="151"/>
    <x v="14"/>
    <x v="155"/>
    <x v="17"/>
    <x v="3"/>
    <x v="38"/>
    <x v="0"/>
    <x v="2047"/>
  </r>
  <r>
    <x v="0"/>
    <x v="369"/>
    <x v="486"/>
    <x v="76"/>
    <x v="214"/>
    <x v="660"/>
    <x v="10"/>
    <x v="1923"/>
    <x v="576"/>
    <x v="16"/>
    <x v="70"/>
    <x v="1522"/>
    <x v="2029"/>
    <x v="2026"/>
    <x v="1928"/>
    <x v="2"/>
    <x v="2017"/>
    <x v="2029"/>
    <x v="827"/>
    <x v="0"/>
    <x v="0"/>
    <x v="4"/>
    <x v="187"/>
    <x v="0"/>
    <x v="44"/>
    <x v="16"/>
    <x v="1"/>
    <x v="18"/>
    <x v="0"/>
    <x v="2048"/>
  </r>
  <r>
    <x v="0"/>
    <x v="16"/>
    <x v="25"/>
    <x v="19"/>
    <x v="0"/>
    <x v="19"/>
    <x v="18"/>
    <x v="25"/>
    <x v="16"/>
    <x v="19"/>
    <x v="22"/>
    <x v="22"/>
    <x v="25"/>
    <x v="2027"/>
    <x v="1929"/>
    <x v="0"/>
    <x v="25"/>
    <x v="25"/>
    <x v="25"/>
    <x v="0"/>
    <x v="3"/>
    <x v="0"/>
    <x v="15"/>
    <x v="12"/>
    <x v="656"/>
    <x v="13"/>
    <x v="1"/>
    <x v="1"/>
    <x v="0"/>
    <x v="2049"/>
  </r>
  <r>
    <x v="1"/>
    <x v="158"/>
    <x v="339"/>
    <x v="78"/>
    <x v="115"/>
    <x v="309"/>
    <x v="2"/>
    <x v="1924"/>
    <x v="300"/>
    <x v="196"/>
    <x v="449"/>
    <x v="1523"/>
    <x v="2030"/>
    <x v="2028"/>
    <x v="1930"/>
    <x v="0"/>
    <x v="2018"/>
    <x v="2030"/>
    <x v="776"/>
    <x v="0"/>
    <x v="0"/>
    <x v="0"/>
    <x v="78"/>
    <x v="20"/>
    <x v="30"/>
    <x v="9"/>
    <x v="3"/>
    <x v="1"/>
    <x v="0"/>
    <x v="2050"/>
  </r>
  <r>
    <x v="0"/>
    <x v="613"/>
    <x v="386"/>
    <x v="46"/>
    <x v="274"/>
    <x v="249"/>
    <x v="2"/>
    <x v="1925"/>
    <x v="0"/>
    <x v="42"/>
    <x v="1301"/>
    <x v="1524"/>
    <x v="2031"/>
    <x v="2029"/>
    <x v="1931"/>
    <x v="0"/>
    <x v="2019"/>
    <x v="2031"/>
    <x v="828"/>
    <x v="0"/>
    <x v="0"/>
    <x v="2"/>
    <x v="135"/>
    <x v="35"/>
    <x v="673"/>
    <x v="36"/>
    <x v="1"/>
    <x v="16"/>
    <x v="0"/>
    <x v="2051"/>
  </r>
  <r>
    <x v="0"/>
    <x v="27"/>
    <x v="315"/>
    <x v="73"/>
    <x v="0"/>
    <x v="124"/>
    <x v="14"/>
    <x v="1926"/>
    <x v="281"/>
    <x v="14"/>
    <x v="321"/>
    <x v="1525"/>
    <x v="2032"/>
    <x v="2030"/>
    <x v="1932"/>
    <x v="0"/>
    <x v="2020"/>
    <x v="2032"/>
    <x v="394"/>
    <x v="0"/>
    <x v="0"/>
    <x v="4"/>
    <x v="166"/>
    <x v="16"/>
    <x v="218"/>
    <x v="2"/>
    <x v="3"/>
    <x v="1"/>
    <x v="0"/>
    <x v="2052"/>
  </r>
  <r>
    <x v="0"/>
    <x v="495"/>
    <x v="425"/>
    <x v="79"/>
    <x v="202"/>
    <x v="521"/>
    <x v="22"/>
    <x v="1927"/>
    <x v="70"/>
    <x v="639"/>
    <x v="1302"/>
    <x v="1526"/>
    <x v="2033"/>
    <x v="2031"/>
    <x v="1933"/>
    <x v="5"/>
    <x v="2021"/>
    <x v="2033"/>
    <x v="499"/>
    <x v="0"/>
    <x v="0"/>
    <x v="0"/>
    <x v="154"/>
    <x v="23"/>
    <x v="414"/>
    <x v="2"/>
    <x v="3"/>
    <x v="1"/>
    <x v="0"/>
    <x v="2053"/>
  </r>
  <r>
    <x v="0"/>
    <x v="481"/>
    <x v="130"/>
    <x v="42"/>
    <x v="139"/>
    <x v="60"/>
    <x v="0"/>
    <x v="1928"/>
    <x v="381"/>
    <x v="735"/>
    <x v="1303"/>
    <x v="1527"/>
    <x v="2034"/>
    <x v="2032"/>
    <x v="1934"/>
    <x v="1"/>
    <x v="2022"/>
    <x v="2034"/>
    <x v="396"/>
    <x v="0"/>
    <x v="0"/>
    <x v="4"/>
    <x v="154"/>
    <x v="21"/>
    <x v="373"/>
    <x v="10"/>
    <x v="3"/>
    <x v="1"/>
    <x v="0"/>
    <x v="2054"/>
  </r>
  <r>
    <x v="0"/>
    <x v="299"/>
    <x v="56"/>
    <x v="59"/>
    <x v="0"/>
    <x v="1"/>
    <x v="186"/>
    <x v="1929"/>
    <x v="270"/>
    <x v="350"/>
    <x v="89"/>
    <x v="202"/>
    <x v="2035"/>
    <x v="2033"/>
    <x v="1935"/>
    <x v="1"/>
    <x v="2023"/>
    <x v="2035"/>
    <x v="160"/>
    <x v="0"/>
    <x v="0"/>
    <x v="4"/>
    <x v="188"/>
    <x v="10"/>
    <x v="31"/>
    <x v="1"/>
    <x v="1"/>
    <x v="31"/>
    <x v="0"/>
    <x v="2055"/>
  </r>
  <r>
    <x v="0"/>
    <x v="138"/>
    <x v="418"/>
    <x v="52"/>
    <x v="103"/>
    <x v="341"/>
    <x v="21"/>
    <x v="1930"/>
    <x v="577"/>
    <x v="127"/>
    <x v="535"/>
    <x v="464"/>
    <x v="2036"/>
    <x v="2034"/>
    <x v="1936"/>
    <x v="0"/>
    <x v="2024"/>
    <x v="2036"/>
    <x v="399"/>
    <x v="0"/>
    <x v="0"/>
    <x v="4"/>
    <x v="154"/>
    <x v="21"/>
    <x v="674"/>
    <x v="1"/>
    <x v="1"/>
    <x v="9"/>
    <x v="0"/>
    <x v="2056"/>
  </r>
  <r>
    <x v="0"/>
    <x v="864"/>
    <x v="358"/>
    <x v="55"/>
    <x v="316"/>
    <x v="345"/>
    <x v="24"/>
    <x v="1931"/>
    <x v="127"/>
    <x v="25"/>
    <x v="1304"/>
    <x v="1528"/>
    <x v="2037"/>
    <x v="2035"/>
    <x v="1937"/>
    <x v="3"/>
    <x v="2025"/>
    <x v="2037"/>
    <x v="713"/>
    <x v="0"/>
    <x v="0"/>
    <x v="0"/>
    <x v="154"/>
    <x v="18"/>
    <x v="84"/>
    <x v="9"/>
    <x v="3"/>
    <x v="1"/>
    <x v="0"/>
    <x v="2057"/>
  </r>
  <r>
    <x v="0"/>
    <x v="174"/>
    <x v="487"/>
    <x v="51"/>
    <x v="0"/>
    <x v="43"/>
    <x v="32"/>
    <x v="1932"/>
    <x v="377"/>
    <x v="59"/>
    <x v="1305"/>
    <x v="1529"/>
    <x v="2038"/>
    <x v="2036"/>
    <x v="247"/>
    <x v="1"/>
    <x v="2026"/>
    <x v="2038"/>
    <x v="829"/>
    <x v="0"/>
    <x v="0"/>
    <x v="4"/>
    <x v="154"/>
    <x v="9"/>
    <x v="667"/>
    <x v="25"/>
    <x v="3"/>
    <x v="375"/>
    <x v="0"/>
    <x v="2058"/>
  </r>
  <r>
    <x v="0"/>
    <x v="816"/>
    <x v="405"/>
    <x v="11"/>
    <x v="35"/>
    <x v="166"/>
    <x v="24"/>
    <x v="1833"/>
    <x v="559"/>
    <x v="25"/>
    <x v="1244"/>
    <x v="1457"/>
    <x v="1927"/>
    <x v="2037"/>
    <x v="1840"/>
    <x v="3"/>
    <x v="1915"/>
    <x v="1927"/>
    <x v="119"/>
    <x v="0"/>
    <x v="1"/>
    <x v="0"/>
    <x v="154"/>
    <x v="6"/>
    <x v="647"/>
    <x v="7"/>
    <x v="1"/>
    <x v="61"/>
    <x v="0"/>
    <x v="2059"/>
  </r>
  <r>
    <x v="0"/>
    <x v="390"/>
    <x v="321"/>
    <x v="55"/>
    <x v="3"/>
    <x v="312"/>
    <x v="29"/>
    <x v="1933"/>
    <x v="60"/>
    <x v="74"/>
    <x v="1306"/>
    <x v="1530"/>
    <x v="2039"/>
    <x v="2038"/>
    <x v="1938"/>
    <x v="4"/>
    <x v="2027"/>
    <x v="2039"/>
    <x v="367"/>
    <x v="0"/>
    <x v="0"/>
    <x v="4"/>
    <x v="154"/>
    <x v="18"/>
    <x v="479"/>
    <x v="4"/>
    <x v="1"/>
    <x v="1"/>
    <x v="0"/>
    <x v="2060"/>
  </r>
  <r>
    <x v="0"/>
    <x v="865"/>
    <x v="419"/>
    <x v="7"/>
    <x v="221"/>
    <x v="743"/>
    <x v="35"/>
    <x v="1934"/>
    <x v="15"/>
    <x v="173"/>
    <x v="1307"/>
    <x v="1531"/>
    <x v="2040"/>
    <x v="2039"/>
    <x v="1939"/>
    <x v="2"/>
    <x v="2028"/>
    <x v="2040"/>
    <x v="646"/>
    <x v="0"/>
    <x v="1"/>
    <x v="2"/>
    <x v="131"/>
    <x v="9"/>
    <x v="675"/>
    <x v="28"/>
    <x v="1"/>
    <x v="1"/>
    <x v="0"/>
    <x v="2061"/>
  </r>
  <r>
    <x v="0"/>
    <x v="402"/>
    <x v="413"/>
    <x v="37"/>
    <x v="226"/>
    <x v="373"/>
    <x v="24"/>
    <x v="1935"/>
    <x v="200"/>
    <x v="131"/>
    <x v="1308"/>
    <x v="1501"/>
    <x v="2041"/>
    <x v="2040"/>
    <x v="1940"/>
    <x v="4"/>
    <x v="2029"/>
    <x v="2041"/>
    <x v="575"/>
    <x v="0"/>
    <x v="0"/>
    <x v="0"/>
    <x v="154"/>
    <x v="15"/>
    <x v="676"/>
    <x v="9"/>
    <x v="1"/>
    <x v="271"/>
    <x v="0"/>
    <x v="2062"/>
  </r>
  <r>
    <x v="0"/>
    <x v="734"/>
    <x v="409"/>
    <x v="59"/>
    <x v="221"/>
    <x v="209"/>
    <x v="373"/>
    <x v="1621"/>
    <x v="127"/>
    <x v="681"/>
    <x v="1110"/>
    <x v="1300"/>
    <x v="1689"/>
    <x v="1686"/>
    <x v="1941"/>
    <x v="0"/>
    <x v="1678"/>
    <x v="1689"/>
    <x v="756"/>
    <x v="0"/>
    <x v="0"/>
    <x v="0"/>
    <x v="154"/>
    <x v="14"/>
    <x v="599"/>
    <x v="9"/>
    <x v="1"/>
    <x v="1"/>
    <x v="0"/>
    <x v="2063"/>
  </r>
  <r>
    <x v="0"/>
    <x v="866"/>
    <x v="302"/>
    <x v="76"/>
    <x v="69"/>
    <x v="251"/>
    <x v="289"/>
    <x v="1936"/>
    <x v="70"/>
    <x v="807"/>
    <x v="1309"/>
    <x v="1532"/>
    <x v="2042"/>
    <x v="2041"/>
    <x v="1942"/>
    <x v="2"/>
    <x v="2030"/>
    <x v="2042"/>
    <x v="637"/>
    <x v="0"/>
    <x v="0"/>
    <x v="0"/>
    <x v="154"/>
    <x v="21"/>
    <x v="677"/>
    <x v="23"/>
    <x v="3"/>
    <x v="372"/>
    <x v="0"/>
    <x v="2064"/>
  </r>
  <r>
    <x v="0"/>
    <x v="151"/>
    <x v="488"/>
    <x v="41"/>
    <x v="0"/>
    <x v="451"/>
    <x v="30"/>
    <x v="1937"/>
    <x v="3"/>
    <x v="50"/>
    <x v="56"/>
    <x v="658"/>
    <x v="2043"/>
    <x v="2042"/>
    <x v="1943"/>
    <x v="7"/>
    <x v="2031"/>
    <x v="2043"/>
    <x v="644"/>
    <x v="0"/>
    <x v="25"/>
    <x v="4"/>
    <x v="154"/>
    <x v="10"/>
    <x v="44"/>
    <x v="27"/>
    <x v="1"/>
    <x v="1"/>
    <x v="0"/>
    <x v="2065"/>
  </r>
  <r>
    <x v="0"/>
    <x v="867"/>
    <x v="227"/>
    <x v="80"/>
    <x v="292"/>
    <x v="190"/>
    <x v="138"/>
    <x v="1938"/>
    <x v="513"/>
    <x v="808"/>
    <x v="1289"/>
    <x v="1533"/>
    <x v="2044"/>
    <x v="2043"/>
    <x v="1503"/>
    <x v="0"/>
    <x v="2032"/>
    <x v="2044"/>
    <x v="101"/>
    <x v="0"/>
    <x v="0"/>
    <x v="0"/>
    <x v="154"/>
    <x v="42"/>
    <x v="376"/>
    <x v="66"/>
    <x v="1"/>
    <x v="1"/>
    <x v="0"/>
    <x v="2066"/>
  </r>
  <r>
    <x v="0"/>
    <x v="868"/>
    <x v="399"/>
    <x v="42"/>
    <x v="198"/>
    <x v="21"/>
    <x v="19"/>
    <x v="1939"/>
    <x v="270"/>
    <x v="20"/>
    <x v="455"/>
    <x v="1359"/>
    <x v="2045"/>
    <x v="2044"/>
    <x v="1944"/>
    <x v="4"/>
    <x v="2033"/>
    <x v="2045"/>
    <x v="409"/>
    <x v="0"/>
    <x v="0"/>
    <x v="0"/>
    <x v="154"/>
    <x v="25"/>
    <x v="31"/>
    <x v="10"/>
    <x v="3"/>
    <x v="103"/>
    <x v="0"/>
    <x v="2067"/>
  </r>
  <r>
    <x v="0"/>
    <x v="869"/>
    <x v="276"/>
    <x v="50"/>
    <x v="22"/>
    <x v="685"/>
    <x v="444"/>
    <x v="1940"/>
    <x v="578"/>
    <x v="809"/>
    <x v="1310"/>
    <x v="1534"/>
    <x v="2046"/>
    <x v="2045"/>
    <x v="1945"/>
    <x v="4"/>
    <x v="2034"/>
    <x v="2046"/>
    <x v="786"/>
    <x v="0"/>
    <x v="0"/>
    <x v="2"/>
    <x v="154"/>
    <x v="8"/>
    <x v="457"/>
    <x v="37"/>
    <x v="1"/>
    <x v="376"/>
    <x v="0"/>
    <x v="2068"/>
  </r>
  <r>
    <x v="0"/>
    <x v="435"/>
    <x v="362"/>
    <x v="58"/>
    <x v="236"/>
    <x v="426"/>
    <x v="289"/>
    <x v="1941"/>
    <x v="17"/>
    <x v="527"/>
    <x v="1311"/>
    <x v="1535"/>
    <x v="2047"/>
    <x v="2046"/>
    <x v="1946"/>
    <x v="0"/>
    <x v="2035"/>
    <x v="2047"/>
    <x v="550"/>
    <x v="0"/>
    <x v="1"/>
    <x v="4"/>
    <x v="154"/>
    <x v="15"/>
    <x v="618"/>
    <x v="13"/>
    <x v="3"/>
    <x v="1"/>
    <x v="0"/>
    <x v="2069"/>
  </r>
  <r>
    <x v="0"/>
    <x v="514"/>
    <x v="421"/>
    <x v="42"/>
    <x v="80"/>
    <x v="64"/>
    <x v="0"/>
    <x v="1942"/>
    <x v="579"/>
    <x v="159"/>
    <x v="226"/>
    <x v="1536"/>
    <x v="2048"/>
    <x v="2047"/>
    <x v="1947"/>
    <x v="4"/>
    <x v="2036"/>
    <x v="2048"/>
    <x v="671"/>
    <x v="0"/>
    <x v="0"/>
    <x v="4"/>
    <x v="154"/>
    <x v="23"/>
    <x v="30"/>
    <x v="19"/>
    <x v="3"/>
    <x v="1"/>
    <x v="0"/>
    <x v="2070"/>
  </r>
  <r>
    <x v="0"/>
    <x v="721"/>
    <x v="221"/>
    <x v="61"/>
    <x v="290"/>
    <x v="133"/>
    <x v="2"/>
    <x v="1943"/>
    <x v="171"/>
    <x v="182"/>
    <x v="99"/>
    <x v="1418"/>
    <x v="2049"/>
    <x v="2048"/>
    <x v="1948"/>
    <x v="4"/>
    <x v="2037"/>
    <x v="2049"/>
    <x v="288"/>
    <x v="0"/>
    <x v="0"/>
    <x v="4"/>
    <x v="4"/>
    <x v="1"/>
    <x v="71"/>
    <x v="13"/>
    <x v="1"/>
    <x v="1"/>
    <x v="0"/>
    <x v="2071"/>
  </r>
  <r>
    <x v="0"/>
    <x v="870"/>
    <x v="159"/>
    <x v="70"/>
    <x v="194"/>
    <x v="607"/>
    <x v="445"/>
    <x v="1944"/>
    <x v="113"/>
    <x v="810"/>
    <x v="1312"/>
    <x v="1537"/>
    <x v="2050"/>
    <x v="2049"/>
    <x v="1949"/>
    <x v="1"/>
    <x v="2038"/>
    <x v="2050"/>
    <x v="632"/>
    <x v="3"/>
    <x v="10"/>
    <x v="0"/>
    <x v="189"/>
    <x v="0"/>
    <x v="678"/>
    <x v="10"/>
    <x v="1"/>
    <x v="1"/>
    <x v="0"/>
    <x v="2072"/>
  </r>
  <r>
    <x v="0"/>
    <x v="871"/>
    <x v="399"/>
    <x v="78"/>
    <x v="266"/>
    <x v="215"/>
    <x v="35"/>
    <x v="4"/>
    <x v="134"/>
    <x v="124"/>
    <x v="1313"/>
    <x v="273"/>
    <x v="2051"/>
    <x v="2050"/>
    <x v="1950"/>
    <x v="1"/>
    <x v="4"/>
    <x v="2051"/>
    <x v="769"/>
    <x v="0"/>
    <x v="4"/>
    <x v="4"/>
    <x v="190"/>
    <x v="2"/>
    <x v="30"/>
    <x v="22"/>
    <x v="1"/>
    <x v="1"/>
    <x v="0"/>
    <x v="2073"/>
  </r>
  <r>
    <x v="0"/>
    <x v="491"/>
    <x v="297"/>
    <x v="7"/>
    <x v="253"/>
    <x v="89"/>
    <x v="446"/>
    <x v="1945"/>
    <x v="105"/>
    <x v="811"/>
    <x v="1314"/>
    <x v="1538"/>
    <x v="2052"/>
    <x v="2051"/>
    <x v="1951"/>
    <x v="1"/>
    <x v="2039"/>
    <x v="2052"/>
    <x v="712"/>
    <x v="0"/>
    <x v="1"/>
    <x v="4"/>
    <x v="154"/>
    <x v="0"/>
    <x v="679"/>
    <x v="5"/>
    <x v="1"/>
    <x v="1"/>
    <x v="0"/>
    <x v="2074"/>
  </r>
  <r>
    <x v="0"/>
    <x v="113"/>
    <x v="489"/>
    <x v="150"/>
    <x v="88"/>
    <x v="462"/>
    <x v="285"/>
    <x v="4"/>
    <x v="28"/>
    <x v="812"/>
    <x v="1315"/>
    <x v="1259"/>
    <x v="2053"/>
    <x v="2052"/>
    <x v="1952"/>
    <x v="0"/>
    <x v="2040"/>
    <x v="2053"/>
    <x v="790"/>
    <x v="0"/>
    <x v="0"/>
    <x v="1"/>
    <x v="4"/>
    <x v="4"/>
    <x v="357"/>
    <x v="2"/>
    <x v="2"/>
    <x v="377"/>
    <x v="0"/>
    <x v="2075"/>
  </r>
  <r>
    <x v="0"/>
    <x v="872"/>
    <x v="378"/>
    <x v="8"/>
    <x v="317"/>
    <x v="413"/>
    <x v="447"/>
    <x v="1946"/>
    <x v="270"/>
    <x v="813"/>
    <x v="1316"/>
    <x v="1539"/>
    <x v="2054"/>
    <x v="2053"/>
    <x v="1953"/>
    <x v="4"/>
    <x v="2041"/>
    <x v="2054"/>
    <x v="627"/>
    <x v="0"/>
    <x v="0"/>
    <x v="0"/>
    <x v="154"/>
    <x v="14"/>
    <x v="680"/>
    <x v="5"/>
    <x v="1"/>
    <x v="378"/>
    <x v="0"/>
    <x v="2076"/>
  </r>
  <r>
    <x v="0"/>
    <x v="851"/>
    <x v="398"/>
    <x v="106"/>
    <x v="221"/>
    <x v="203"/>
    <x v="448"/>
    <x v="4"/>
    <x v="580"/>
    <x v="814"/>
    <x v="1317"/>
    <x v="1309"/>
    <x v="2055"/>
    <x v="2054"/>
    <x v="1954"/>
    <x v="0"/>
    <x v="2042"/>
    <x v="2055"/>
    <x v="631"/>
    <x v="4"/>
    <x v="9"/>
    <x v="1"/>
    <x v="154"/>
    <x v="0"/>
    <x v="653"/>
    <x v="8"/>
    <x v="1"/>
    <x v="379"/>
    <x v="0"/>
    <x v="2077"/>
  </r>
  <r>
    <x v="0"/>
    <x v="310"/>
    <x v="137"/>
    <x v="37"/>
    <x v="114"/>
    <x v="549"/>
    <x v="449"/>
    <x v="1947"/>
    <x v="471"/>
    <x v="815"/>
    <x v="1318"/>
    <x v="1540"/>
    <x v="2056"/>
    <x v="2055"/>
    <x v="1955"/>
    <x v="0"/>
    <x v="2043"/>
    <x v="2056"/>
    <x v="830"/>
    <x v="0"/>
    <x v="0"/>
    <x v="0"/>
    <x v="131"/>
    <x v="1"/>
    <x v="681"/>
    <x v="2"/>
    <x v="1"/>
    <x v="59"/>
    <x v="0"/>
    <x v="2078"/>
  </r>
  <r>
    <x v="0"/>
    <x v="873"/>
    <x v="280"/>
    <x v="45"/>
    <x v="0"/>
    <x v="205"/>
    <x v="0"/>
    <x v="1948"/>
    <x v="145"/>
    <x v="816"/>
    <x v="1319"/>
    <x v="1541"/>
    <x v="2057"/>
    <x v="2056"/>
    <x v="1956"/>
    <x v="4"/>
    <x v="2044"/>
    <x v="2057"/>
    <x v="155"/>
    <x v="0"/>
    <x v="0"/>
    <x v="2"/>
    <x v="191"/>
    <x v="42"/>
    <x v="392"/>
    <x v="1"/>
    <x v="3"/>
    <x v="38"/>
    <x v="0"/>
    <x v="2079"/>
  </r>
  <r>
    <x v="0"/>
    <x v="874"/>
    <x v="176"/>
    <x v="70"/>
    <x v="0"/>
    <x v="744"/>
    <x v="378"/>
    <x v="1949"/>
    <x v="269"/>
    <x v="817"/>
    <x v="237"/>
    <x v="1542"/>
    <x v="2058"/>
    <x v="2057"/>
    <x v="1957"/>
    <x v="0"/>
    <x v="2045"/>
    <x v="2058"/>
    <x v="647"/>
    <x v="0"/>
    <x v="5"/>
    <x v="4"/>
    <x v="192"/>
    <x v="11"/>
    <x v="42"/>
    <x v="1"/>
    <x v="1"/>
    <x v="45"/>
    <x v="0"/>
    <x v="2080"/>
  </r>
  <r>
    <x v="0"/>
    <x v="278"/>
    <x v="379"/>
    <x v="46"/>
    <x v="182"/>
    <x v="304"/>
    <x v="35"/>
    <x v="1950"/>
    <x v="581"/>
    <x v="124"/>
    <x v="132"/>
    <x v="1543"/>
    <x v="2059"/>
    <x v="2058"/>
    <x v="1958"/>
    <x v="0"/>
    <x v="2046"/>
    <x v="2059"/>
    <x v="418"/>
    <x v="0"/>
    <x v="0"/>
    <x v="0"/>
    <x v="134"/>
    <x v="22"/>
    <x v="27"/>
    <x v="15"/>
    <x v="3"/>
    <x v="1"/>
    <x v="0"/>
    <x v="2081"/>
  </r>
  <r>
    <x v="0"/>
    <x v="307"/>
    <x v="380"/>
    <x v="86"/>
    <x v="114"/>
    <x v="727"/>
    <x v="199"/>
    <x v="1951"/>
    <x v="127"/>
    <x v="554"/>
    <x v="959"/>
    <x v="1453"/>
    <x v="2060"/>
    <x v="2059"/>
    <x v="1959"/>
    <x v="1"/>
    <x v="2047"/>
    <x v="2060"/>
    <x v="331"/>
    <x v="0"/>
    <x v="0"/>
    <x v="4"/>
    <x v="154"/>
    <x v="20"/>
    <x v="82"/>
    <x v="1"/>
    <x v="3"/>
    <x v="1"/>
    <x v="0"/>
    <x v="2082"/>
  </r>
  <r>
    <x v="0"/>
    <x v="368"/>
    <x v="272"/>
    <x v="55"/>
    <x v="31"/>
    <x v="53"/>
    <x v="163"/>
    <x v="1952"/>
    <x v="348"/>
    <x v="301"/>
    <x v="1320"/>
    <x v="492"/>
    <x v="2061"/>
    <x v="2060"/>
    <x v="1960"/>
    <x v="0"/>
    <x v="2048"/>
    <x v="2061"/>
    <x v="718"/>
    <x v="0"/>
    <x v="0"/>
    <x v="2"/>
    <x v="134"/>
    <x v="24"/>
    <x v="682"/>
    <x v="21"/>
    <x v="3"/>
    <x v="1"/>
    <x v="0"/>
    <x v="2083"/>
  </r>
  <r>
    <x v="0"/>
    <x v="199"/>
    <x v="358"/>
    <x v="46"/>
    <x v="141"/>
    <x v="1"/>
    <x v="35"/>
    <x v="1953"/>
    <x v="491"/>
    <x v="184"/>
    <x v="488"/>
    <x v="1544"/>
    <x v="2062"/>
    <x v="2061"/>
    <x v="1961"/>
    <x v="0"/>
    <x v="2049"/>
    <x v="2062"/>
    <x v="149"/>
    <x v="0"/>
    <x v="0"/>
    <x v="3"/>
    <x v="78"/>
    <x v="19"/>
    <x v="30"/>
    <x v="15"/>
    <x v="1"/>
    <x v="1"/>
    <x v="0"/>
    <x v="2084"/>
  </r>
  <r>
    <x v="0"/>
    <x v="445"/>
    <x v="356"/>
    <x v="47"/>
    <x v="154"/>
    <x v="388"/>
    <x v="25"/>
    <x v="1954"/>
    <x v="488"/>
    <x v="138"/>
    <x v="1023"/>
    <x v="737"/>
    <x v="2063"/>
    <x v="2062"/>
    <x v="1962"/>
    <x v="0"/>
    <x v="2050"/>
    <x v="2063"/>
    <x v="536"/>
    <x v="0"/>
    <x v="0"/>
    <x v="2"/>
    <x v="134"/>
    <x v="1"/>
    <x v="503"/>
    <x v="5"/>
    <x v="1"/>
    <x v="1"/>
    <x v="0"/>
    <x v="2085"/>
  </r>
  <r>
    <x v="0"/>
    <x v="326"/>
    <x v="474"/>
    <x v="24"/>
    <x v="121"/>
    <x v="745"/>
    <x v="17"/>
    <x v="1955"/>
    <x v="17"/>
    <x v="303"/>
    <x v="608"/>
    <x v="1545"/>
    <x v="2064"/>
    <x v="2063"/>
    <x v="1963"/>
    <x v="0"/>
    <x v="2051"/>
    <x v="2064"/>
    <x v="620"/>
    <x v="0"/>
    <x v="0"/>
    <x v="0"/>
    <x v="82"/>
    <x v="16"/>
    <x v="6"/>
    <x v="7"/>
    <x v="3"/>
    <x v="1"/>
    <x v="0"/>
    <x v="2086"/>
  </r>
  <r>
    <x v="0"/>
    <x v="626"/>
    <x v="346"/>
    <x v="95"/>
    <x v="74"/>
    <x v="94"/>
    <x v="188"/>
    <x v="1956"/>
    <x v="376"/>
    <x v="418"/>
    <x v="1321"/>
    <x v="1546"/>
    <x v="2065"/>
    <x v="2064"/>
    <x v="1964"/>
    <x v="1"/>
    <x v="2052"/>
    <x v="2065"/>
    <x v="320"/>
    <x v="0"/>
    <x v="0"/>
    <x v="0"/>
    <x v="134"/>
    <x v="18"/>
    <x v="683"/>
    <x v="30"/>
    <x v="3"/>
    <x v="103"/>
    <x v="0"/>
    <x v="2087"/>
  </r>
  <r>
    <x v="1"/>
    <x v="755"/>
    <x v="299"/>
    <x v="99"/>
    <x v="0"/>
    <x v="251"/>
    <x v="245"/>
    <x v="4"/>
    <x v="406"/>
    <x v="448"/>
    <x v="1134"/>
    <x v="468"/>
    <x v="2066"/>
    <x v="2065"/>
    <x v="1965"/>
    <x v="0"/>
    <x v="2053"/>
    <x v="2066"/>
    <x v="541"/>
    <x v="0"/>
    <x v="1"/>
    <x v="2"/>
    <x v="134"/>
    <x v="26"/>
    <x v="607"/>
    <x v="14"/>
    <x v="1"/>
    <x v="85"/>
    <x v="0"/>
    <x v="2088"/>
  </r>
  <r>
    <x v="0"/>
    <x v="644"/>
    <x v="224"/>
    <x v="40"/>
    <x v="277"/>
    <x v="616"/>
    <x v="59"/>
    <x v="1957"/>
    <x v="200"/>
    <x v="818"/>
    <x v="1322"/>
    <x v="1547"/>
    <x v="2067"/>
    <x v="2066"/>
    <x v="1966"/>
    <x v="3"/>
    <x v="2054"/>
    <x v="2067"/>
    <x v="647"/>
    <x v="0"/>
    <x v="0"/>
    <x v="2"/>
    <x v="134"/>
    <x v="11"/>
    <x v="684"/>
    <x v="11"/>
    <x v="1"/>
    <x v="51"/>
    <x v="0"/>
    <x v="2089"/>
  </r>
  <r>
    <x v="0"/>
    <x v="569"/>
    <x v="302"/>
    <x v="37"/>
    <x v="116"/>
    <x v="489"/>
    <x v="353"/>
    <x v="1958"/>
    <x v="80"/>
    <x v="636"/>
    <x v="1323"/>
    <x v="1548"/>
    <x v="2068"/>
    <x v="2067"/>
    <x v="1967"/>
    <x v="0"/>
    <x v="2055"/>
    <x v="2068"/>
    <x v="690"/>
    <x v="0"/>
    <x v="0"/>
    <x v="0"/>
    <x v="134"/>
    <x v="16"/>
    <x v="299"/>
    <x v="27"/>
    <x v="3"/>
    <x v="1"/>
    <x v="0"/>
    <x v="2090"/>
  </r>
  <r>
    <x v="0"/>
    <x v="875"/>
    <x v="309"/>
    <x v="5"/>
    <x v="192"/>
    <x v="400"/>
    <x v="171"/>
    <x v="1959"/>
    <x v="270"/>
    <x v="772"/>
    <x v="1279"/>
    <x v="577"/>
    <x v="2069"/>
    <x v="2068"/>
    <x v="1968"/>
    <x v="0"/>
    <x v="2056"/>
    <x v="2069"/>
    <x v="566"/>
    <x v="0"/>
    <x v="0"/>
    <x v="0"/>
    <x v="134"/>
    <x v="18"/>
    <x v="413"/>
    <x v="32"/>
    <x v="3"/>
    <x v="61"/>
    <x v="0"/>
    <x v="2091"/>
  </r>
  <r>
    <x v="0"/>
    <x v="876"/>
    <x v="258"/>
    <x v="92"/>
    <x v="73"/>
    <x v="237"/>
    <x v="450"/>
    <x v="1960"/>
    <x v="406"/>
    <x v="819"/>
    <x v="647"/>
    <x v="1549"/>
    <x v="2070"/>
    <x v="2069"/>
    <x v="1969"/>
    <x v="1"/>
    <x v="2057"/>
    <x v="2070"/>
    <x v="149"/>
    <x v="0"/>
    <x v="0"/>
    <x v="0"/>
    <x v="134"/>
    <x v="11"/>
    <x v="685"/>
    <x v="23"/>
    <x v="1"/>
    <x v="61"/>
    <x v="0"/>
    <x v="2092"/>
  </r>
  <r>
    <x v="0"/>
    <x v="157"/>
    <x v="84"/>
    <x v="82"/>
    <x v="92"/>
    <x v="43"/>
    <x v="380"/>
    <x v="1961"/>
    <x v="99"/>
    <x v="389"/>
    <x v="503"/>
    <x v="1550"/>
    <x v="2071"/>
    <x v="2070"/>
    <x v="511"/>
    <x v="0"/>
    <x v="2058"/>
    <x v="2071"/>
    <x v="348"/>
    <x v="0"/>
    <x v="1"/>
    <x v="4"/>
    <x v="134"/>
    <x v="17"/>
    <x v="325"/>
    <x v="15"/>
    <x v="1"/>
    <x v="1"/>
    <x v="0"/>
    <x v="2093"/>
  </r>
  <r>
    <x v="0"/>
    <x v="310"/>
    <x v="410"/>
    <x v="52"/>
    <x v="114"/>
    <x v="337"/>
    <x v="451"/>
    <x v="1962"/>
    <x v="306"/>
    <x v="820"/>
    <x v="422"/>
    <x v="660"/>
    <x v="2072"/>
    <x v="2071"/>
    <x v="1970"/>
    <x v="4"/>
    <x v="2059"/>
    <x v="2072"/>
    <x v="611"/>
    <x v="0"/>
    <x v="0"/>
    <x v="4"/>
    <x v="134"/>
    <x v="12"/>
    <x v="284"/>
    <x v="4"/>
    <x v="1"/>
    <x v="1"/>
    <x v="0"/>
    <x v="2094"/>
  </r>
  <r>
    <x v="0"/>
    <x v="151"/>
    <x v="61"/>
    <x v="26"/>
    <x v="0"/>
    <x v="113"/>
    <x v="57"/>
    <x v="1963"/>
    <x v="369"/>
    <x v="109"/>
    <x v="1177"/>
    <x v="957"/>
    <x v="2073"/>
    <x v="2072"/>
    <x v="1971"/>
    <x v="1"/>
    <x v="2060"/>
    <x v="2073"/>
    <x v="509"/>
    <x v="0"/>
    <x v="0"/>
    <x v="4"/>
    <x v="175"/>
    <x v="0"/>
    <x v="536"/>
    <x v="12"/>
    <x v="3"/>
    <x v="1"/>
    <x v="0"/>
    <x v="2095"/>
  </r>
  <r>
    <x v="0"/>
    <x v="755"/>
    <x v="430"/>
    <x v="69"/>
    <x v="0"/>
    <x v="746"/>
    <x v="25"/>
    <x v="1964"/>
    <x v="425"/>
    <x v="82"/>
    <x v="699"/>
    <x v="1551"/>
    <x v="2074"/>
    <x v="2073"/>
    <x v="1972"/>
    <x v="0"/>
    <x v="2061"/>
    <x v="2074"/>
    <x v="499"/>
    <x v="0"/>
    <x v="1"/>
    <x v="2"/>
    <x v="134"/>
    <x v="27"/>
    <x v="30"/>
    <x v="38"/>
    <x v="1"/>
    <x v="43"/>
    <x v="0"/>
    <x v="2096"/>
  </r>
  <r>
    <x v="0"/>
    <x v="877"/>
    <x v="288"/>
    <x v="105"/>
    <x v="216"/>
    <x v="709"/>
    <x v="106"/>
    <x v="1965"/>
    <x v="125"/>
    <x v="821"/>
    <x v="1223"/>
    <x v="1552"/>
    <x v="2075"/>
    <x v="2074"/>
    <x v="1480"/>
    <x v="0"/>
    <x v="2062"/>
    <x v="2075"/>
    <x v="690"/>
    <x v="0"/>
    <x v="0"/>
    <x v="4"/>
    <x v="134"/>
    <x v="12"/>
    <x v="476"/>
    <x v="51"/>
    <x v="3"/>
    <x v="380"/>
    <x v="0"/>
    <x v="2097"/>
  </r>
  <r>
    <x v="0"/>
    <x v="654"/>
    <x v="188"/>
    <x v="72"/>
    <x v="45"/>
    <x v="292"/>
    <x v="452"/>
    <x v="1966"/>
    <x v="200"/>
    <x v="822"/>
    <x v="1324"/>
    <x v="1553"/>
    <x v="2076"/>
    <x v="2075"/>
    <x v="1828"/>
    <x v="10"/>
    <x v="2063"/>
    <x v="2076"/>
    <x v="581"/>
    <x v="0"/>
    <x v="0"/>
    <x v="0"/>
    <x v="140"/>
    <x v="9"/>
    <x v="229"/>
    <x v="21"/>
    <x v="1"/>
    <x v="1"/>
    <x v="0"/>
    <x v="2098"/>
  </r>
  <r>
    <x v="0"/>
    <x v="524"/>
    <x v="171"/>
    <x v="47"/>
    <x v="249"/>
    <x v="489"/>
    <x v="2"/>
    <x v="1093"/>
    <x v="251"/>
    <x v="113"/>
    <x v="589"/>
    <x v="924"/>
    <x v="1136"/>
    <x v="1198"/>
    <x v="1109"/>
    <x v="4"/>
    <x v="1128"/>
    <x v="1136"/>
    <x v="552"/>
    <x v="0"/>
    <x v="0"/>
    <x v="0"/>
    <x v="88"/>
    <x v="2"/>
    <x v="30"/>
    <x v="19"/>
    <x v="1"/>
    <x v="59"/>
    <x v="0"/>
    <x v="2099"/>
  </r>
  <r>
    <x v="0"/>
    <x v="635"/>
    <x v="295"/>
    <x v="26"/>
    <x v="192"/>
    <x v="624"/>
    <x v="453"/>
    <x v="1967"/>
    <x v="582"/>
    <x v="823"/>
    <x v="1325"/>
    <x v="1554"/>
    <x v="2077"/>
    <x v="2076"/>
    <x v="1973"/>
    <x v="4"/>
    <x v="2064"/>
    <x v="2077"/>
    <x v="732"/>
    <x v="0"/>
    <x v="1"/>
    <x v="4"/>
    <x v="4"/>
    <x v="6"/>
    <x v="686"/>
    <x v="21"/>
    <x v="1"/>
    <x v="1"/>
    <x v="0"/>
    <x v="2100"/>
  </r>
  <r>
    <x v="0"/>
    <x v="206"/>
    <x v="241"/>
    <x v="45"/>
    <x v="145"/>
    <x v="292"/>
    <x v="454"/>
    <x v="1968"/>
    <x v="314"/>
    <x v="824"/>
    <x v="1326"/>
    <x v="1555"/>
    <x v="2078"/>
    <x v="2077"/>
    <x v="346"/>
    <x v="1"/>
    <x v="2065"/>
    <x v="2078"/>
    <x v="781"/>
    <x v="0"/>
    <x v="0"/>
    <x v="0"/>
    <x v="134"/>
    <x v="18"/>
    <x v="687"/>
    <x v="18"/>
    <x v="3"/>
    <x v="359"/>
    <x v="0"/>
    <x v="2101"/>
  </r>
  <r>
    <x v="0"/>
    <x v="95"/>
    <x v="343"/>
    <x v="50"/>
    <x v="74"/>
    <x v="106"/>
    <x v="43"/>
    <x v="1969"/>
    <x v="238"/>
    <x v="825"/>
    <x v="289"/>
    <x v="131"/>
    <x v="2079"/>
    <x v="2078"/>
    <x v="1974"/>
    <x v="4"/>
    <x v="2066"/>
    <x v="2079"/>
    <x v="816"/>
    <x v="0"/>
    <x v="0"/>
    <x v="2"/>
    <x v="134"/>
    <x v="3"/>
    <x v="195"/>
    <x v="21"/>
    <x v="1"/>
    <x v="1"/>
    <x v="0"/>
    <x v="2102"/>
  </r>
  <r>
    <x v="0"/>
    <x v="437"/>
    <x v="69"/>
    <x v="30"/>
    <x v="0"/>
    <x v="375"/>
    <x v="291"/>
    <x v="1970"/>
    <x v="368"/>
    <x v="529"/>
    <x v="665"/>
    <x v="663"/>
    <x v="2080"/>
    <x v="2079"/>
    <x v="1975"/>
    <x v="0"/>
    <x v="2067"/>
    <x v="2080"/>
    <x v="783"/>
    <x v="0"/>
    <x v="0"/>
    <x v="4"/>
    <x v="134"/>
    <x v="15"/>
    <x v="168"/>
    <x v="4"/>
    <x v="3"/>
    <x v="1"/>
    <x v="0"/>
    <x v="2103"/>
  </r>
  <r>
    <x v="0"/>
    <x v="609"/>
    <x v="198"/>
    <x v="27"/>
    <x v="0"/>
    <x v="286"/>
    <x v="94"/>
    <x v="1971"/>
    <x v="125"/>
    <x v="166"/>
    <x v="1044"/>
    <x v="1556"/>
    <x v="2081"/>
    <x v="2080"/>
    <x v="1976"/>
    <x v="7"/>
    <x v="2068"/>
    <x v="2081"/>
    <x v="107"/>
    <x v="0"/>
    <x v="0"/>
    <x v="4"/>
    <x v="134"/>
    <x v="18"/>
    <x v="30"/>
    <x v="8"/>
    <x v="1"/>
    <x v="1"/>
    <x v="0"/>
    <x v="2104"/>
  </r>
  <r>
    <x v="0"/>
    <x v="27"/>
    <x v="192"/>
    <x v="16"/>
    <x v="0"/>
    <x v="23"/>
    <x v="32"/>
    <x v="269"/>
    <x v="126"/>
    <x v="59"/>
    <x v="127"/>
    <x v="89"/>
    <x v="277"/>
    <x v="2081"/>
    <x v="1977"/>
    <x v="1"/>
    <x v="274"/>
    <x v="277"/>
    <x v="53"/>
    <x v="0"/>
    <x v="0"/>
    <x v="0"/>
    <x v="62"/>
    <x v="12"/>
    <x v="47"/>
    <x v="8"/>
    <x v="1"/>
    <x v="1"/>
    <x v="0"/>
    <x v="2105"/>
  </r>
  <r>
    <x v="0"/>
    <x v="878"/>
    <x v="299"/>
    <x v="11"/>
    <x v="69"/>
    <x v="53"/>
    <x v="98"/>
    <x v="1972"/>
    <x v="171"/>
    <x v="175"/>
    <x v="1327"/>
    <x v="1557"/>
    <x v="2082"/>
    <x v="2082"/>
    <x v="1978"/>
    <x v="1"/>
    <x v="2069"/>
    <x v="2082"/>
    <x v="694"/>
    <x v="0"/>
    <x v="0"/>
    <x v="0"/>
    <x v="116"/>
    <x v="18"/>
    <x v="431"/>
    <x v="27"/>
    <x v="1"/>
    <x v="381"/>
    <x v="0"/>
    <x v="2106"/>
  </r>
  <r>
    <x v="0"/>
    <x v="607"/>
    <x v="490"/>
    <x v="11"/>
    <x v="16"/>
    <x v="1"/>
    <x v="32"/>
    <x v="1973"/>
    <x v="583"/>
    <x v="59"/>
    <x v="1270"/>
    <x v="1558"/>
    <x v="2083"/>
    <x v="2083"/>
    <x v="1979"/>
    <x v="7"/>
    <x v="2070"/>
    <x v="2083"/>
    <x v="529"/>
    <x v="0"/>
    <x v="1"/>
    <x v="0"/>
    <x v="134"/>
    <x v="6"/>
    <x v="53"/>
    <x v="21"/>
    <x v="3"/>
    <x v="33"/>
    <x v="0"/>
    <x v="2107"/>
  </r>
  <r>
    <x v="0"/>
    <x v="879"/>
    <x v="197"/>
    <x v="42"/>
    <x v="198"/>
    <x v="666"/>
    <x v="22"/>
    <x v="1974"/>
    <x v="430"/>
    <x v="169"/>
    <x v="1328"/>
    <x v="1559"/>
    <x v="2084"/>
    <x v="2084"/>
    <x v="1980"/>
    <x v="0"/>
    <x v="2071"/>
    <x v="2084"/>
    <x v="579"/>
    <x v="0"/>
    <x v="4"/>
    <x v="0"/>
    <x v="134"/>
    <x v="18"/>
    <x v="274"/>
    <x v="43"/>
    <x v="3"/>
    <x v="1"/>
    <x v="0"/>
    <x v="2108"/>
  </r>
  <r>
    <x v="0"/>
    <x v="449"/>
    <x v="232"/>
    <x v="7"/>
    <x v="218"/>
    <x v="694"/>
    <x v="8"/>
    <x v="1975"/>
    <x v="28"/>
    <x v="35"/>
    <x v="6"/>
    <x v="1294"/>
    <x v="2085"/>
    <x v="2085"/>
    <x v="1981"/>
    <x v="1"/>
    <x v="2072"/>
    <x v="2085"/>
    <x v="142"/>
    <x v="0"/>
    <x v="0"/>
    <x v="4"/>
    <x v="134"/>
    <x v="9"/>
    <x v="6"/>
    <x v="12"/>
    <x v="1"/>
    <x v="61"/>
    <x v="0"/>
    <x v="2109"/>
  </r>
  <r>
    <x v="0"/>
    <x v="880"/>
    <x v="428"/>
    <x v="54"/>
    <x v="116"/>
    <x v="525"/>
    <x v="344"/>
    <x v="1976"/>
    <x v="56"/>
    <x v="618"/>
    <x v="1329"/>
    <x v="796"/>
    <x v="2086"/>
    <x v="2086"/>
    <x v="1982"/>
    <x v="1"/>
    <x v="2073"/>
    <x v="2086"/>
    <x v="785"/>
    <x v="0"/>
    <x v="8"/>
    <x v="2"/>
    <x v="134"/>
    <x v="21"/>
    <x v="578"/>
    <x v="20"/>
    <x v="3"/>
    <x v="1"/>
    <x v="0"/>
    <x v="2110"/>
  </r>
  <r>
    <x v="0"/>
    <x v="363"/>
    <x v="176"/>
    <x v="86"/>
    <x v="213"/>
    <x v="576"/>
    <x v="18"/>
    <x v="1977"/>
    <x v="125"/>
    <x v="19"/>
    <x v="487"/>
    <x v="922"/>
    <x v="2087"/>
    <x v="2087"/>
    <x v="1983"/>
    <x v="13"/>
    <x v="2074"/>
    <x v="2087"/>
    <x v="831"/>
    <x v="0"/>
    <x v="0"/>
    <x v="4"/>
    <x v="134"/>
    <x v="14"/>
    <x v="317"/>
    <x v="10"/>
    <x v="1"/>
    <x v="1"/>
    <x v="0"/>
    <x v="2111"/>
  </r>
  <r>
    <x v="0"/>
    <x v="881"/>
    <x v="346"/>
    <x v="27"/>
    <x v="146"/>
    <x v="80"/>
    <x v="0"/>
    <x v="1978"/>
    <x v="103"/>
    <x v="0"/>
    <x v="274"/>
    <x v="102"/>
    <x v="2088"/>
    <x v="2088"/>
    <x v="922"/>
    <x v="0"/>
    <x v="2075"/>
    <x v="2088"/>
    <x v="454"/>
    <x v="0"/>
    <x v="0"/>
    <x v="0"/>
    <x v="193"/>
    <x v="27"/>
    <x v="117"/>
    <x v="65"/>
    <x v="3"/>
    <x v="382"/>
    <x v="0"/>
    <x v="2112"/>
  </r>
  <r>
    <x v="0"/>
    <x v="882"/>
    <x v="465"/>
    <x v="27"/>
    <x v="217"/>
    <x v="362"/>
    <x v="35"/>
    <x v="1979"/>
    <x v="20"/>
    <x v="280"/>
    <x v="1252"/>
    <x v="502"/>
    <x v="2089"/>
    <x v="2089"/>
    <x v="1984"/>
    <x v="0"/>
    <x v="2076"/>
    <x v="2089"/>
    <x v="718"/>
    <x v="0"/>
    <x v="0"/>
    <x v="0"/>
    <x v="134"/>
    <x v="18"/>
    <x v="181"/>
    <x v="54"/>
    <x v="3"/>
    <x v="253"/>
    <x v="0"/>
    <x v="2113"/>
  </r>
  <r>
    <x v="0"/>
    <x v="883"/>
    <x v="417"/>
    <x v="14"/>
    <x v="318"/>
    <x v="736"/>
    <x v="354"/>
    <x v="1980"/>
    <x v="584"/>
    <x v="826"/>
    <x v="1330"/>
    <x v="1560"/>
    <x v="2090"/>
    <x v="2090"/>
    <x v="1985"/>
    <x v="4"/>
    <x v="2077"/>
    <x v="2090"/>
    <x v="724"/>
    <x v="0"/>
    <x v="0"/>
    <x v="3"/>
    <x v="131"/>
    <x v="48"/>
    <x v="404"/>
    <x v="5"/>
    <x v="1"/>
    <x v="383"/>
    <x v="0"/>
    <x v="2114"/>
  </r>
  <r>
    <x v="0"/>
    <x v="632"/>
    <x v="438"/>
    <x v="91"/>
    <x v="19"/>
    <x v="537"/>
    <x v="22"/>
    <x v="1981"/>
    <x v="215"/>
    <x v="240"/>
    <x v="1331"/>
    <x v="1022"/>
    <x v="2091"/>
    <x v="2091"/>
    <x v="1986"/>
    <x v="0"/>
    <x v="2078"/>
    <x v="2091"/>
    <x v="356"/>
    <x v="0"/>
    <x v="0"/>
    <x v="2"/>
    <x v="134"/>
    <x v="15"/>
    <x v="36"/>
    <x v="45"/>
    <x v="1"/>
    <x v="384"/>
    <x v="0"/>
    <x v="2115"/>
  </r>
  <r>
    <x v="0"/>
    <x v="766"/>
    <x v="263"/>
    <x v="45"/>
    <x v="31"/>
    <x v="370"/>
    <x v="447"/>
    <x v="1982"/>
    <x v="23"/>
    <x v="827"/>
    <x v="1332"/>
    <x v="1561"/>
    <x v="2092"/>
    <x v="2092"/>
    <x v="742"/>
    <x v="0"/>
    <x v="2079"/>
    <x v="2092"/>
    <x v="239"/>
    <x v="0"/>
    <x v="10"/>
    <x v="0"/>
    <x v="131"/>
    <x v="2"/>
    <x v="665"/>
    <x v="37"/>
    <x v="1"/>
    <x v="1"/>
    <x v="0"/>
    <x v="2116"/>
  </r>
  <r>
    <x v="0"/>
    <x v="884"/>
    <x v="387"/>
    <x v="37"/>
    <x v="216"/>
    <x v="162"/>
    <x v="1"/>
    <x v="1983"/>
    <x v="17"/>
    <x v="1"/>
    <x v="1333"/>
    <x v="1162"/>
    <x v="2093"/>
    <x v="2093"/>
    <x v="1987"/>
    <x v="1"/>
    <x v="2080"/>
    <x v="2093"/>
    <x v="635"/>
    <x v="0"/>
    <x v="1"/>
    <x v="4"/>
    <x v="4"/>
    <x v="14"/>
    <x v="30"/>
    <x v="21"/>
    <x v="1"/>
    <x v="1"/>
    <x v="0"/>
    <x v="2117"/>
  </r>
  <r>
    <x v="0"/>
    <x v="130"/>
    <x v="99"/>
    <x v="97"/>
    <x v="96"/>
    <x v="342"/>
    <x v="35"/>
    <x v="1984"/>
    <x v="477"/>
    <x v="608"/>
    <x v="1334"/>
    <x v="465"/>
    <x v="2094"/>
    <x v="2094"/>
    <x v="1988"/>
    <x v="1"/>
    <x v="2081"/>
    <x v="2094"/>
    <x v="423"/>
    <x v="18"/>
    <x v="32"/>
    <x v="4"/>
    <x v="175"/>
    <x v="7"/>
    <x v="321"/>
    <x v="6"/>
    <x v="1"/>
    <x v="1"/>
    <x v="0"/>
    <x v="2118"/>
  </r>
  <r>
    <x v="0"/>
    <x v="885"/>
    <x v="389"/>
    <x v="38"/>
    <x v="89"/>
    <x v="36"/>
    <x v="455"/>
    <x v="1985"/>
    <x v="585"/>
    <x v="828"/>
    <x v="809"/>
    <x v="887"/>
    <x v="2095"/>
    <x v="2095"/>
    <x v="1989"/>
    <x v="0"/>
    <x v="2082"/>
    <x v="2095"/>
    <x v="568"/>
    <x v="3"/>
    <x v="10"/>
    <x v="0"/>
    <x v="134"/>
    <x v="12"/>
    <x v="97"/>
    <x v="6"/>
    <x v="1"/>
    <x v="59"/>
    <x v="0"/>
    <x v="2119"/>
  </r>
  <r>
    <x v="0"/>
    <x v="886"/>
    <x v="340"/>
    <x v="7"/>
    <x v="122"/>
    <x v="391"/>
    <x v="21"/>
    <x v="1986"/>
    <x v="106"/>
    <x v="71"/>
    <x v="1229"/>
    <x v="1562"/>
    <x v="2096"/>
    <x v="2096"/>
    <x v="1990"/>
    <x v="7"/>
    <x v="2083"/>
    <x v="2096"/>
    <x v="780"/>
    <x v="0"/>
    <x v="0"/>
    <x v="4"/>
    <x v="126"/>
    <x v="3"/>
    <x v="537"/>
    <x v="9"/>
    <x v="1"/>
    <x v="1"/>
    <x v="0"/>
    <x v="2120"/>
  </r>
  <r>
    <x v="0"/>
    <x v="770"/>
    <x v="288"/>
    <x v="27"/>
    <x v="300"/>
    <x v="747"/>
    <x v="206"/>
    <x v="1987"/>
    <x v="408"/>
    <x v="388"/>
    <x v="1335"/>
    <x v="1563"/>
    <x v="2097"/>
    <x v="2097"/>
    <x v="1945"/>
    <x v="3"/>
    <x v="2084"/>
    <x v="2097"/>
    <x v="487"/>
    <x v="0"/>
    <x v="0"/>
    <x v="0"/>
    <x v="134"/>
    <x v="8"/>
    <x v="688"/>
    <x v="27"/>
    <x v="1"/>
    <x v="385"/>
    <x v="0"/>
    <x v="2121"/>
  </r>
  <r>
    <x v="0"/>
    <x v="887"/>
    <x v="290"/>
    <x v="80"/>
    <x v="184"/>
    <x v="319"/>
    <x v="21"/>
    <x v="1988"/>
    <x v="150"/>
    <x v="298"/>
    <x v="1336"/>
    <x v="1564"/>
    <x v="2098"/>
    <x v="2098"/>
    <x v="1991"/>
    <x v="1"/>
    <x v="2085"/>
    <x v="2098"/>
    <x v="715"/>
    <x v="0"/>
    <x v="1"/>
    <x v="4"/>
    <x v="134"/>
    <x v="11"/>
    <x v="347"/>
    <x v="22"/>
    <x v="1"/>
    <x v="59"/>
    <x v="0"/>
    <x v="2122"/>
  </r>
  <r>
    <x v="0"/>
    <x v="410"/>
    <x v="274"/>
    <x v="80"/>
    <x v="229"/>
    <x v="632"/>
    <x v="116"/>
    <x v="4"/>
    <x v="139"/>
    <x v="217"/>
    <x v="1337"/>
    <x v="1565"/>
    <x v="2099"/>
    <x v="2099"/>
    <x v="1992"/>
    <x v="0"/>
    <x v="2086"/>
    <x v="2099"/>
    <x v="392"/>
    <x v="0"/>
    <x v="0"/>
    <x v="2"/>
    <x v="176"/>
    <x v="47"/>
    <x v="326"/>
    <x v="16"/>
    <x v="3"/>
    <x v="1"/>
    <x v="0"/>
    <x v="2123"/>
  </r>
  <r>
    <x v="0"/>
    <x v="888"/>
    <x v="291"/>
    <x v="72"/>
    <x v="171"/>
    <x v="176"/>
    <x v="13"/>
    <x v="1989"/>
    <x v="306"/>
    <x v="158"/>
    <x v="1245"/>
    <x v="224"/>
    <x v="2100"/>
    <x v="2100"/>
    <x v="1993"/>
    <x v="1"/>
    <x v="2087"/>
    <x v="2100"/>
    <x v="675"/>
    <x v="0"/>
    <x v="0"/>
    <x v="4"/>
    <x v="134"/>
    <x v="5"/>
    <x v="20"/>
    <x v="28"/>
    <x v="1"/>
    <x v="1"/>
    <x v="0"/>
    <x v="2124"/>
  </r>
  <r>
    <x v="0"/>
    <x v="745"/>
    <x v="239"/>
    <x v="60"/>
    <x v="216"/>
    <x v="640"/>
    <x v="456"/>
    <x v="1990"/>
    <x v="586"/>
    <x v="829"/>
    <x v="1338"/>
    <x v="1566"/>
    <x v="2101"/>
    <x v="2101"/>
    <x v="1127"/>
    <x v="1"/>
    <x v="2088"/>
    <x v="2101"/>
    <x v="788"/>
    <x v="3"/>
    <x v="10"/>
    <x v="0"/>
    <x v="178"/>
    <x v="1"/>
    <x v="532"/>
    <x v="11"/>
    <x v="1"/>
    <x v="145"/>
    <x v="0"/>
    <x v="2125"/>
  </r>
  <r>
    <x v="0"/>
    <x v="422"/>
    <x v="88"/>
    <x v="38"/>
    <x v="225"/>
    <x v="209"/>
    <x v="29"/>
    <x v="1991"/>
    <x v="168"/>
    <x v="34"/>
    <x v="257"/>
    <x v="1567"/>
    <x v="2102"/>
    <x v="2102"/>
    <x v="1994"/>
    <x v="0"/>
    <x v="2089"/>
    <x v="2102"/>
    <x v="444"/>
    <x v="0"/>
    <x v="0"/>
    <x v="4"/>
    <x v="134"/>
    <x v="9"/>
    <x v="174"/>
    <x v="2"/>
    <x v="1"/>
    <x v="16"/>
    <x v="0"/>
    <x v="2126"/>
  </r>
  <r>
    <x v="0"/>
    <x v="132"/>
    <x v="341"/>
    <x v="73"/>
    <x v="84"/>
    <x v="282"/>
    <x v="0"/>
    <x v="1992"/>
    <x v="171"/>
    <x v="384"/>
    <x v="816"/>
    <x v="564"/>
    <x v="2103"/>
    <x v="2103"/>
    <x v="1995"/>
    <x v="0"/>
    <x v="2090"/>
    <x v="2103"/>
    <x v="407"/>
    <x v="0"/>
    <x v="0"/>
    <x v="4"/>
    <x v="131"/>
    <x v="1"/>
    <x v="480"/>
    <x v="11"/>
    <x v="1"/>
    <x v="1"/>
    <x v="0"/>
    <x v="2127"/>
  </r>
  <r>
    <x v="0"/>
    <x v="231"/>
    <x v="434"/>
    <x v="59"/>
    <x v="156"/>
    <x v="157"/>
    <x v="58"/>
    <x v="1993"/>
    <x v="311"/>
    <x v="559"/>
    <x v="1076"/>
    <x v="193"/>
    <x v="2104"/>
    <x v="2104"/>
    <x v="1996"/>
    <x v="3"/>
    <x v="2091"/>
    <x v="2104"/>
    <x v="409"/>
    <x v="0"/>
    <x v="0"/>
    <x v="0"/>
    <x v="194"/>
    <x v="25"/>
    <x v="583"/>
    <x v="12"/>
    <x v="3"/>
    <x v="386"/>
    <x v="0"/>
    <x v="2128"/>
  </r>
  <r>
    <x v="0"/>
    <x v="532"/>
    <x v="297"/>
    <x v="85"/>
    <x v="262"/>
    <x v="227"/>
    <x v="25"/>
    <x v="1994"/>
    <x v="168"/>
    <x v="30"/>
    <x v="1049"/>
    <x v="1217"/>
    <x v="2105"/>
    <x v="2105"/>
    <x v="1997"/>
    <x v="1"/>
    <x v="2092"/>
    <x v="2105"/>
    <x v="193"/>
    <x v="0"/>
    <x v="0"/>
    <x v="4"/>
    <x v="194"/>
    <x v="15"/>
    <x v="441"/>
    <x v="13"/>
    <x v="1"/>
    <x v="1"/>
    <x v="0"/>
    <x v="2129"/>
  </r>
  <r>
    <x v="0"/>
    <x v="889"/>
    <x v="249"/>
    <x v="11"/>
    <x v="319"/>
    <x v="298"/>
    <x v="457"/>
    <x v="4"/>
    <x v="587"/>
    <x v="830"/>
    <x v="1339"/>
    <x v="1568"/>
    <x v="2106"/>
    <x v="2106"/>
    <x v="1998"/>
    <x v="2"/>
    <x v="2093"/>
    <x v="2106"/>
    <x v="636"/>
    <x v="6"/>
    <x v="13"/>
    <x v="2"/>
    <x v="134"/>
    <x v="9"/>
    <x v="689"/>
    <x v="10"/>
    <x v="1"/>
    <x v="1"/>
    <x v="0"/>
    <x v="2130"/>
  </r>
  <r>
    <x v="0"/>
    <x v="696"/>
    <x v="101"/>
    <x v="52"/>
    <x v="201"/>
    <x v="146"/>
    <x v="402"/>
    <x v="1995"/>
    <x v="127"/>
    <x v="831"/>
    <x v="1167"/>
    <x v="1569"/>
    <x v="2107"/>
    <x v="2107"/>
    <x v="170"/>
    <x v="0"/>
    <x v="2094"/>
    <x v="2107"/>
    <x v="289"/>
    <x v="0"/>
    <x v="0"/>
    <x v="4"/>
    <x v="173"/>
    <x v="3"/>
    <x v="228"/>
    <x v="22"/>
    <x v="3"/>
    <x v="45"/>
    <x v="0"/>
    <x v="2131"/>
  </r>
  <r>
    <x v="0"/>
    <x v="326"/>
    <x v="425"/>
    <x v="16"/>
    <x v="121"/>
    <x v="748"/>
    <x v="17"/>
    <x v="1996"/>
    <x v="2"/>
    <x v="303"/>
    <x v="1340"/>
    <x v="1570"/>
    <x v="2108"/>
    <x v="2108"/>
    <x v="1999"/>
    <x v="1"/>
    <x v="2095"/>
    <x v="2108"/>
    <x v="465"/>
    <x v="0"/>
    <x v="0"/>
    <x v="2"/>
    <x v="175"/>
    <x v="26"/>
    <x v="677"/>
    <x v="18"/>
    <x v="1"/>
    <x v="1"/>
    <x v="0"/>
    <x v="2132"/>
  </r>
  <r>
    <x v="0"/>
    <x v="890"/>
    <x v="145"/>
    <x v="113"/>
    <x v="320"/>
    <x v="749"/>
    <x v="442"/>
    <x v="1997"/>
    <x v="588"/>
    <x v="802"/>
    <x v="92"/>
    <x v="1571"/>
    <x v="2109"/>
    <x v="2109"/>
    <x v="2000"/>
    <x v="1"/>
    <x v="2096"/>
    <x v="2109"/>
    <x v="151"/>
    <x v="0"/>
    <x v="0"/>
    <x v="4"/>
    <x v="175"/>
    <x v="15"/>
    <x v="66"/>
    <x v="6"/>
    <x v="3"/>
    <x v="1"/>
    <x v="0"/>
    <x v="2133"/>
  </r>
  <r>
    <x v="0"/>
    <x v="189"/>
    <x v="188"/>
    <x v="101"/>
    <x v="0"/>
    <x v="558"/>
    <x v="13"/>
    <x v="1998"/>
    <x v="125"/>
    <x v="13"/>
    <x v="43"/>
    <x v="885"/>
    <x v="2110"/>
    <x v="2110"/>
    <x v="2001"/>
    <x v="0"/>
    <x v="2097"/>
    <x v="2110"/>
    <x v="614"/>
    <x v="0"/>
    <x v="0"/>
    <x v="4"/>
    <x v="195"/>
    <x v="1"/>
    <x v="33"/>
    <x v="38"/>
    <x v="3"/>
    <x v="1"/>
    <x v="0"/>
    <x v="2134"/>
  </r>
  <r>
    <x v="0"/>
    <x v="891"/>
    <x v="370"/>
    <x v="45"/>
    <x v="193"/>
    <x v="726"/>
    <x v="458"/>
    <x v="1999"/>
    <x v="12"/>
    <x v="832"/>
    <x v="1341"/>
    <x v="1572"/>
    <x v="2111"/>
    <x v="2111"/>
    <x v="2002"/>
    <x v="0"/>
    <x v="2098"/>
    <x v="2111"/>
    <x v="499"/>
    <x v="0"/>
    <x v="0"/>
    <x v="2"/>
    <x v="173"/>
    <x v="27"/>
    <x v="359"/>
    <x v="30"/>
    <x v="3"/>
    <x v="103"/>
    <x v="0"/>
    <x v="2135"/>
  </r>
  <r>
    <x v="0"/>
    <x v="355"/>
    <x v="69"/>
    <x v="11"/>
    <x v="210"/>
    <x v="530"/>
    <x v="11"/>
    <x v="2000"/>
    <x v="291"/>
    <x v="63"/>
    <x v="163"/>
    <x v="1573"/>
    <x v="2112"/>
    <x v="2112"/>
    <x v="2003"/>
    <x v="3"/>
    <x v="2099"/>
    <x v="2112"/>
    <x v="104"/>
    <x v="0"/>
    <x v="0"/>
    <x v="0"/>
    <x v="175"/>
    <x v="18"/>
    <x v="108"/>
    <x v="22"/>
    <x v="3"/>
    <x v="1"/>
    <x v="0"/>
    <x v="2136"/>
  </r>
  <r>
    <x v="0"/>
    <x v="363"/>
    <x v="45"/>
    <x v="40"/>
    <x v="213"/>
    <x v="33"/>
    <x v="31"/>
    <x v="2001"/>
    <x v="105"/>
    <x v="37"/>
    <x v="455"/>
    <x v="635"/>
    <x v="2113"/>
    <x v="2113"/>
    <x v="2004"/>
    <x v="0"/>
    <x v="2100"/>
    <x v="2113"/>
    <x v="275"/>
    <x v="0"/>
    <x v="0"/>
    <x v="4"/>
    <x v="175"/>
    <x v="3"/>
    <x v="31"/>
    <x v="6"/>
    <x v="1"/>
    <x v="174"/>
    <x v="0"/>
    <x v="2137"/>
  </r>
  <r>
    <x v="0"/>
    <x v="477"/>
    <x v="274"/>
    <x v="32"/>
    <x v="247"/>
    <x v="421"/>
    <x v="35"/>
    <x v="2002"/>
    <x v="130"/>
    <x v="833"/>
    <x v="173"/>
    <x v="1431"/>
    <x v="2114"/>
    <x v="2114"/>
    <x v="2005"/>
    <x v="1"/>
    <x v="2101"/>
    <x v="2114"/>
    <x v="527"/>
    <x v="0"/>
    <x v="8"/>
    <x v="0"/>
    <x v="175"/>
    <x v="1"/>
    <x v="117"/>
    <x v="7"/>
    <x v="3"/>
    <x v="7"/>
    <x v="0"/>
    <x v="2138"/>
  </r>
  <r>
    <x v="0"/>
    <x v="795"/>
    <x v="346"/>
    <x v="82"/>
    <x v="0"/>
    <x v="348"/>
    <x v="0"/>
    <x v="2003"/>
    <x v="270"/>
    <x v="834"/>
    <x v="1279"/>
    <x v="1574"/>
    <x v="2115"/>
    <x v="2115"/>
    <x v="2006"/>
    <x v="0"/>
    <x v="2102"/>
    <x v="2115"/>
    <x v="546"/>
    <x v="0"/>
    <x v="0"/>
    <x v="4"/>
    <x v="4"/>
    <x v="5"/>
    <x v="413"/>
    <x v="19"/>
    <x v="3"/>
    <x v="1"/>
    <x v="0"/>
    <x v="2139"/>
  </r>
  <r>
    <x v="0"/>
    <x v="112"/>
    <x v="380"/>
    <x v="80"/>
    <x v="49"/>
    <x v="188"/>
    <x v="8"/>
    <x v="2004"/>
    <x v="23"/>
    <x v="35"/>
    <x v="1342"/>
    <x v="1575"/>
    <x v="2116"/>
    <x v="2116"/>
    <x v="2007"/>
    <x v="0"/>
    <x v="2103"/>
    <x v="2116"/>
    <x v="680"/>
    <x v="0"/>
    <x v="10"/>
    <x v="0"/>
    <x v="175"/>
    <x v="19"/>
    <x v="30"/>
    <x v="2"/>
    <x v="1"/>
    <x v="1"/>
    <x v="0"/>
    <x v="2140"/>
  </r>
  <r>
    <x v="0"/>
    <x v="764"/>
    <x v="321"/>
    <x v="47"/>
    <x v="169"/>
    <x v="750"/>
    <x v="22"/>
    <x v="2005"/>
    <x v="258"/>
    <x v="153"/>
    <x v="1133"/>
    <x v="1576"/>
    <x v="2117"/>
    <x v="2117"/>
    <x v="2008"/>
    <x v="1"/>
    <x v="2104"/>
    <x v="2117"/>
    <x v="335"/>
    <x v="0"/>
    <x v="0"/>
    <x v="0"/>
    <x v="78"/>
    <x v="8"/>
    <x v="267"/>
    <x v="4"/>
    <x v="1"/>
    <x v="1"/>
    <x v="0"/>
    <x v="2141"/>
  </r>
  <r>
    <x v="1"/>
    <x v="892"/>
    <x v="69"/>
    <x v="27"/>
    <x v="79"/>
    <x v="241"/>
    <x v="39"/>
    <x v="2006"/>
    <x v="321"/>
    <x v="835"/>
    <x v="1343"/>
    <x v="1577"/>
    <x v="2118"/>
    <x v="2118"/>
    <x v="2009"/>
    <x v="1"/>
    <x v="2105"/>
    <x v="2118"/>
    <x v="130"/>
    <x v="0"/>
    <x v="0"/>
    <x v="4"/>
    <x v="175"/>
    <x v="15"/>
    <x v="81"/>
    <x v="51"/>
    <x v="3"/>
    <x v="387"/>
    <x v="0"/>
    <x v="2142"/>
  </r>
  <r>
    <x v="0"/>
    <x v="113"/>
    <x v="451"/>
    <x v="84"/>
    <x v="88"/>
    <x v="4"/>
    <x v="459"/>
    <x v="4"/>
    <x v="589"/>
    <x v="836"/>
    <x v="217"/>
    <x v="4"/>
    <x v="2119"/>
    <x v="2119"/>
    <x v="2010"/>
    <x v="0"/>
    <x v="2106"/>
    <x v="2119"/>
    <x v="631"/>
    <x v="0"/>
    <x v="0"/>
    <x v="1"/>
    <x v="119"/>
    <x v="4"/>
    <x v="147"/>
    <x v="64"/>
    <x v="2"/>
    <x v="388"/>
    <x v="0"/>
    <x v="2143"/>
  </r>
  <r>
    <x v="0"/>
    <x v="2"/>
    <x v="259"/>
    <x v="42"/>
    <x v="0"/>
    <x v="646"/>
    <x v="91"/>
    <x v="2007"/>
    <x v="105"/>
    <x v="161"/>
    <x v="1344"/>
    <x v="1135"/>
    <x v="2120"/>
    <x v="2120"/>
    <x v="154"/>
    <x v="4"/>
    <x v="2107"/>
    <x v="2120"/>
    <x v="231"/>
    <x v="0"/>
    <x v="0"/>
    <x v="4"/>
    <x v="173"/>
    <x v="0"/>
    <x v="421"/>
    <x v="1"/>
    <x v="1"/>
    <x v="115"/>
    <x v="0"/>
    <x v="2144"/>
  </r>
  <r>
    <x v="0"/>
    <x v="893"/>
    <x v="333"/>
    <x v="60"/>
    <x v="0"/>
    <x v="252"/>
    <x v="0"/>
    <x v="2008"/>
    <x v="200"/>
    <x v="381"/>
    <x v="1345"/>
    <x v="472"/>
    <x v="2121"/>
    <x v="2121"/>
    <x v="2011"/>
    <x v="1"/>
    <x v="2108"/>
    <x v="2121"/>
    <x v="167"/>
    <x v="0"/>
    <x v="0"/>
    <x v="0"/>
    <x v="175"/>
    <x v="8"/>
    <x v="690"/>
    <x v="9"/>
    <x v="1"/>
    <x v="103"/>
    <x v="0"/>
    <x v="2145"/>
  </r>
  <r>
    <x v="0"/>
    <x v="180"/>
    <x v="387"/>
    <x v="52"/>
    <x v="79"/>
    <x v="731"/>
    <x v="10"/>
    <x v="2009"/>
    <x v="17"/>
    <x v="40"/>
    <x v="789"/>
    <x v="1578"/>
    <x v="2122"/>
    <x v="2122"/>
    <x v="2012"/>
    <x v="3"/>
    <x v="2109"/>
    <x v="2122"/>
    <x v="568"/>
    <x v="0"/>
    <x v="0"/>
    <x v="0"/>
    <x v="175"/>
    <x v="19"/>
    <x v="30"/>
    <x v="10"/>
    <x v="1"/>
    <x v="389"/>
    <x v="0"/>
    <x v="2146"/>
  </r>
  <r>
    <x v="0"/>
    <x v="894"/>
    <x v="491"/>
    <x v="46"/>
    <x v="321"/>
    <x v="9"/>
    <x v="32"/>
    <x v="2010"/>
    <x v="150"/>
    <x v="38"/>
    <x v="54"/>
    <x v="56"/>
    <x v="2123"/>
    <x v="2123"/>
    <x v="2013"/>
    <x v="1"/>
    <x v="2110"/>
    <x v="2123"/>
    <x v="832"/>
    <x v="0"/>
    <x v="10"/>
    <x v="4"/>
    <x v="78"/>
    <x v="10"/>
    <x v="20"/>
    <x v="1"/>
    <x v="1"/>
    <x v="4"/>
    <x v="0"/>
    <x v="2147"/>
  </r>
  <r>
    <x v="0"/>
    <x v="895"/>
    <x v="441"/>
    <x v="58"/>
    <x v="174"/>
    <x v="480"/>
    <x v="112"/>
    <x v="2011"/>
    <x v="105"/>
    <x v="837"/>
    <x v="1346"/>
    <x v="1579"/>
    <x v="2124"/>
    <x v="2124"/>
    <x v="2014"/>
    <x v="1"/>
    <x v="2111"/>
    <x v="2124"/>
    <x v="408"/>
    <x v="0"/>
    <x v="0"/>
    <x v="0"/>
    <x v="175"/>
    <x v="15"/>
    <x v="182"/>
    <x v="27"/>
    <x v="3"/>
    <x v="390"/>
    <x v="0"/>
    <x v="2148"/>
  </r>
  <r>
    <x v="0"/>
    <x v="779"/>
    <x v="109"/>
    <x v="43"/>
    <x v="0"/>
    <x v="751"/>
    <x v="31"/>
    <x v="2012"/>
    <x v="270"/>
    <x v="37"/>
    <x v="1347"/>
    <x v="1580"/>
    <x v="2125"/>
    <x v="2125"/>
    <x v="2015"/>
    <x v="0"/>
    <x v="2112"/>
    <x v="2125"/>
    <x v="627"/>
    <x v="0"/>
    <x v="0"/>
    <x v="0"/>
    <x v="175"/>
    <x v="10"/>
    <x v="567"/>
    <x v="10"/>
    <x v="1"/>
    <x v="16"/>
    <x v="0"/>
    <x v="2149"/>
  </r>
  <r>
    <x v="0"/>
    <x v="896"/>
    <x v="492"/>
    <x v="37"/>
    <x v="107"/>
    <x v="752"/>
    <x v="0"/>
    <x v="2013"/>
    <x v="405"/>
    <x v="722"/>
    <x v="1348"/>
    <x v="1581"/>
    <x v="2126"/>
    <x v="2126"/>
    <x v="2016"/>
    <x v="4"/>
    <x v="2113"/>
    <x v="2126"/>
    <x v="823"/>
    <x v="0"/>
    <x v="0"/>
    <x v="4"/>
    <x v="82"/>
    <x v="26"/>
    <x v="405"/>
    <x v="27"/>
    <x v="1"/>
    <x v="1"/>
    <x v="0"/>
    <x v="2150"/>
  </r>
  <r>
    <x v="0"/>
    <x v="471"/>
    <x v="128"/>
    <x v="69"/>
    <x v="0"/>
    <x v="432"/>
    <x v="0"/>
    <x v="2014"/>
    <x v="321"/>
    <x v="543"/>
    <x v="1349"/>
    <x v="630"/>
    <x v="2127"/>
    <x v="2127"/>
    <x v="2017"/>
    <x v="0"/>
    <x v="2114"/>
    <x v="2127"/>
    <x v="577"/>
    <x v="0"/>
    <x v="4"/>
    <x v="4"/>
    <x v="145"/>
    <x v="15"/>
    <x v="691"/>
    <x v="2"/>
    <x v="3"/>
    <x v="71"/>
    <x v="0"/>
    <x v="2151"/>
  </r>
  <r>
    <x v="0"/>
    <x v="38"/>
    <x v="294"/>
    <x v="69"/>
    <x v="25"/>
    <x v="433"/>
    <x v="2"/>
    <x v="2015"/>
    <x v="9"/>
    <x v="42"/>
    <x v="1350"/>
    <x v="1095"/>
    <x v="2128"/>
    <x v="2128"/>
    <x v="2018"/>
    <x v="1"/>
    <x v="2115"/>
    <x v="2128"/>
    <x v="833"/>
    <x v="0"/>
    <x v="0"/>
    <x v="2"/>
    <x v="135"/>
    <x v="37"/>
    <x v="323"/>
    <x v="3"/>
    <x v="1"/>
    <x v="37"/>
    <x v="0"/>
    <x v="2152"/>
  </r>
  <r>
    <x v="0"/>
    <x v="126"/>
    <x v="447"/>
    <x v="60"/>
    <x v="0"/>
    <x v="1"/>
    <x v="22"/>
    <x v="2016"/>
    <x v="189"/>
    <x v="514"/>
    <x v="320"/>
    <x v="1582"/>
    <x v="2129"/>
    <x v="2129"/>
    <x v="2019"/>
    <x v="4"/>
    <x v="2116"/>
    <x v="2129"/>
    <x v="483"/>
    <x v="0"/>
    <x v="0"/>
    <x v="2"/>
    <x v="135"/>
    <x v="29"/>
    <x v="30"/>
    <x v="4"/>
    <x v="3"/>
    <x v="1"/>
    <x v="0"/>
    <x v="2153"/>
  </r>
  <r>
    <x v="0"/>
    <x v="38"/>
    <x v="380"/>
    <x v="24"/>
    <x v="25"/>
    <x v="564"/>
    <x v="382"/>
    <x v="2017"/>
    <x v="142"/>
    <x v="838"/>
    <x v="1351"/>
    <x v="1235"/>
    <x v="2130"/>
    <x v="2130"/>
    <x v="1891"/>
    <x v="0"/>
    <x v="2117"/>
    <x v="2130"/>
    <x v="367"/>
    <x v="0"/>
    <x v="0"/>
    <x v="2"/>
    <x v="196"/>
    <x v="47"/>
    <x v="670"/>
    <x v="16"/>
    <x v="1"/>
    <x v="1"/>
    <x v="0"/>
    <x v="2154"/>
  </r>
  <r>
    <x v="0"/>
    <x v="897"/>
    <x v="263"/>
    <x v="78"/>
    <x v="216"/>
    <x v="137"/>
    <x v="17"/>
    <x v="2018"/>
    <x v="251"/>
    <x v="839"/>
    <x v="408"/>
    <x v="168"/>
    <x v="2131"/>
    <x v="2131"/>
    <x v="2020"/>
    <x v="0"/>
    <x v="2118"/>
    <x v="2131"/>
    <x v="150"/>
    <x v="0"/>
    <x v="0"/>
    <x v="0"/>
    <x v="78"/>
    <x v="7"/>
    <x v="30"/>
    <x v="55"/>
    <x v="1"/>
    <x v="1"/>
    <x v="0"/>
    <x v="2155"/>
  </r>
  <r>
    <x v="0"/>
    <x v="165"/>
    <x v="401"/>
    <x v="7"/>
    <x v="119"/>
    <x v="753"/>
    <x v="74"/>
    <x v="2019"/>
    <x v="26"/>
    <x v="840"/>
    <x v="1345"/>
    <x v="1583"/>
    <x v="2132"/>
    <x v="2132"/>
    <x v="2021"/>
    <x v="1"/>
    <x v="2119"/>
    <x v="2132"/>
    <x v="581"/>
    <x v="0"/>
    <x v="0"/>
    <x v="4"/>
    <x v="168"/>
    <x v="42"/>
    <x v="690"/>
    <x v="21"/>
    <x v="1"/>
    <x v="1"/>
    <x v="0"/>
    <x v="2156"/>
  </r>
  <r>
    <x v="0"/>
    <x v="239"/>
    <x v="313"/>
    <x v="72"/>
    <x v="160"/>
    <x v="542"/>
    <x v="0"/>
    <x v="2020"/>
    <x v="125"/>
    <x v="841"/>
    <x v="1352"/>
    <x v="1584"/>
    <x v="2133"/>
    <x v="2133"/>
    <x v="2022"/>
    <x v="4"/>
    <x v="2120"/>
    <x v="2133"/>
    <x v="651"/>
    <x v="0"/>
    <x v="0"/>
    <x v="0"/>
    <x v="152"/>
    <x v="17"/>
    <x v="605"/>
    <x v="34"/>
    <x v="1"/>
    <x v="391"/>
    <x v="0"/>
    <x v="2157"/>
  </r>
  <r>
    <x v="0"/>
    <x v="250"/>
    <x v="112"/>
    <x v="67"/>
    <x v="168"/>
    <x v="45"/>
    <x v="25"/>
    <x v="2021"/>
    <x v="438"/>
    <x v="82"/>
    <x v="173"/>
    <x v="1000"/>
    <x v="2134"/>
    <x v="2134"/>
    <x v="2023"/>
    <x v="0"/>
    <x v="2121"/>
    <x v="2134"/>
    <x v="564"/>
    <x v="0"/>
    <x v="0"/>
    <x v="4"/>
    <x v="166"/>
    <x v="23"/>
    <x v="117"/>
    <x v="35"/>
    <x v="3"/>
    <x v="13"/>
    <x v="0"/>
    <x v="2158"/>
  </r>
  <r>
    <x v="0"/>
    <x v="898"/>
    <x v="258"/>
    <x v="50"/>
    <x v="322"/>
    <x v="167"/>
    <x v="0"/>
    <x v="2022"/>
    <x v="430"/>
    <x v="227"/>
    <x v="702"/>
    <x v="1585"/>
    <x v="2135"/>
    <x v="2135"/>
    <x v="2024"/>
    <x v="4"/>
    <x v="2122"/>
    <x v="2135"/>
    <x v="538"/>
    <x v="0"/>
    <x v="0"/>
    <x v="0"/>
    <x v="78"/>
    <x v="29"/>
    <x v="427"/>
    <x v="15"/>
    <x v="3"/>
    <x v="1"/>
    <x v="0"/>
    <x v="2159"/>
  </r>
  <r>
    <x v="0"/>
    <x v="899"/>
    <x v="150"/>
    <x v="59"/>
    <x v="108"/>
    <x v="337"/>
    <x v="460"/>
    <x v="2023"/>
    <x v="590"/>
    <x v="842"/>
    <x v="1353"/>
    <x v="1586"/>
    <x v="2136"/>
    <x v="2136"/>
    <x v="2025"/>
    <x v="1"/>
    <x v="2123"/>
    <x v="2136"/>
    <x v="671"/>
    <x v="0"/>
    <x v="0"/>
    <x v="4"/>
    <x v="78"/>
    <x v="5"/>
    <x v="459"/>
    <x v="1"/>
    <x v="0"/>
    <x v="1"/>
    <x v="0"/>
    <x v="2160"/>
  </r>
  <r>
    <x v="0"/>
    <x v="900"/>
    <x v="346"/>
    <x v="22"/>
    <x v="228"/>
    <x v="754"/>
    <x v="116"/>
    <x v="2024"/>
    <x v="513"/>
    <x v="217"/>
    <x v="1354"/>
    <x v="1587"/>
    <x v="2137"/>
    <x v="2137"/>
    <x v="613"/>
    <x v="0"/>
    <x v="2124"/>
    <x v="2137"/>
    <x v="35"/>
    <x v="0"/>
    <x v="0"/>
    <x v="2"/>
    <x v="78"/>
    <x v="33"/>
    <x v="692"/>
    <x v="20"/>
    <x v="1"/>
    <x v="1"/>
    <x v="0"/>
    <x v="2161"/>
  </r>
  <r>
    <x v="0"/>
    <x v="154"/>
    <x v="388"/>
    <x v="43"/>
    <x v="113"/>
    <x v="507"/>
    <x v="35"/>
    <x v="2025"/>
    <x v="591"/>
    <x v="157"/>
    <x v="757"/>
    <x v="1588"/>
    <x v="2138"/>
    <x v="2138"/>
    <x v="2026"/>
    <x v="1"/>
    <x v="2125"/>
    <x v="2138"/>
    <x v="195"/>
    <x v="0"/>
    <x v="0"/>
    <x v="2"/>
    <x v="78"/>
    <x v="8"/>
    <x v="454"/>
    <x v="42"/>
    <x v="1"/>
    <x v="1"/>
    <x v="0"/>
    <x v="2162"/>
  </r>
  <r>
    <x v="0"/>
    <x v="33"/>
    <x v="236"/>
    <x v="52"/>
    <x v="0"/>
    <x v="306"/>
    <x v="18"/>
    <x v="2026"/>
    <x v="236"/>
    <x v="843"/>
    <x v="350"/>
    <x v="1589"/>
    <x v="2139"/>
    <x v="2139"/>
    <x v="2027"/>
    <x v="0"/>
    <x v="2126"/>
    <x v="2139"/>
    <x v="834"/>
    <x v="0"/>
    <x v="0"/>
    <x v="4"/>
    <x v="78"/>
    <x v="9"/>
    <x v="234"/>
    <x v="7"/>
    <x v="1"/>
    <x v="392"/>
    <x v="0"/>
    <x v="2163"/>
  </r>
  <r>
    <x v="0"/>
    <x v="356"/>
    <x v="346"/>
    <x v="54"/>
    <x v="211"/>
    <x v="408"/>
    <x v="327"/>
    <x v="2027"/>
    <x v="562"/>
    <x v="624"/>
    <x v="931"/>
    <x v="1590"/>
    <x v="2140"/>
    <x v="2140"/>
    <x v="2028"/>
    <x v="4"/>
    <x v="2127"/>
    <x v="2140"/>
    <x v="585"/>
    <x v="0"/>
    <x v="0"/>
    <x v="2"/>
    <x v="144"/>
    <x v="12"/>
    <x v="237"/>
    <x v="51"/>
    <x v="3"/>
    <x v="196"/>
    <x v="0"/>
    <x v="2164"/>
  </r>
  <r>
    <x v="0"/>
    <x v="754"/>
    <x v="263"/>
    <x v="7"/>
    <x v="295"/>
    <x v="161"/>
    <x v="153"/>
    <x v="2028"/>
    <x v="125"/>
    <x v="282"/>
    <x v="1355"/>
    <x v="659"/>
    <x v="2141"/>
    <x v="2141"/>
    <x v="2029"/>
    <x v="0"/>
    <x v="2128"/>
    <x v="2141"/>
    <x v="245"/>
    <x v="0"/>
    <x v="0"/>
    <x v="4"/>
    <x v="78"/>
    <x v="11"/>
    <x v="693"/>
    <x v="41"/>
    <x v="3"/>
    <x v="59"/>
    <x v="0"/>
    <x v="2165"/>
  </r>
  <r>
    <x v="0"/>
    <x v="240"/>
    <x v="268"/>
    <x v="72"/>
    <x v="161"/>
    <x v="561"/>
    <x v="296"/>
    <x v="1261"/>
    <x v="150"/>
    <x v="541"/>
    <x v="896"/>
    <x v="408"/>
    <x v="1307"/>
    <x v="2142"/>
    <x v="829"/>
    <x v="0"/>
    <x v="1299"/>
    <x v="1307"/>
    <x v="228"/>
    <x v="0"/>
    <x v="0"/>
    <x v="0"/>
    <x v="78"/>
    <x v="1"/>
    <x v="341"/>
    <x v="8"/>
    <x v="3"/>
    <x v="1"/>
    <x v="0"/>
    <x v="2166"/>
  </r>
  <r>
    <x v="0"/>
    <x v="776"/>
    <x v="298"/>
    <x v="26"/>
    <x v="0"/>
    <x v="755"/>
    <x v="35"/>
    <x v="2029"/>
    <x v="430"/>
    <x v="844"/>
    <x v="79"/>
    <x v="1591"/>
    <x v="2142"/>
    <x v="2143"/>
    <x v="2030"/>
    <x v="1"/>
    <x v="2129"/>
    <x v="2142"/>
    <x v="131"/>
    <x v="0"/>
    <x v="0"/>
    <x v="0"/>
    <x v="82"/>
    <x v="17"/>
    <x v="58"/>
    <x v="1"/>
    <x v="3"/>
    <x v="1"/>
    <x v="0"/>
    <x v="2167"/>
  </r>
  <r>
    <x v="0"/>
    <x v="216"/>
    <x v="365"/>
    <x v="59"/>
    <x v="149"/>
    <x v="678"/>
    <x v="0"/>
    <x v="2030"/>
    <x v="20"/>
    <x v="738"/>
    <x v="74"/>
    <x v="1592"/>
    <x v="2143"/>
    <x v="2144"/>
    <x v="2031"/>
    <x v="0"/>
    <x v="2130"/>
    <x v="2143"/>
    <x v="41"/>
    <x v="0"/>
    <x v="0"/>
    <x v="0"/>
    <x v="135"/>
    <x v="16"/>
    <x v="30"/>
    <x v="27"/>
    <x v="3"/>
    <x v="1"/>
    <x v="0"/>
    <x v="2168"/>
  </r>
  <r>
    <x v="0"/>
    <x v="524"/>
    <x v="288"/>
    <x v="37"/>
    <x v="249"/>
    <x v="183"/>
    <x v="371"/>
    <x v="1613"/>
    <x v="260"/>
    <x v="677"/>
    <x v="1103"/>
    <x v="1296"/>
    <x v="1681"/>
    <x v="1678"/>
    <x v="723"/>
    <x v="0"/>
    <x v="1670"/>
    <x v="1681"/>
    <x v="752"/>
    <x v="0"/>
    <x v="0"/>
    <x v="0"/>
    <x v="116"/>
    <x v="14"/>
    <x v="595"/>
    <x v="15"/>
    <x v="1"/>
    <x v="1"/>
    <x v="0"/>
    <x v="2169"/>
  </r>
  <r>
    <x v="0"/>
    <x v="339"/>
    <x v="219"/>
    <x v="56"/>
    <x v="207"/>
    <x v="756"/>
    <x v="0"/>
    <x v="2031"/>
    <x v="70"/>
    <x v="510"/>
    <x v="96"/>
    <x v="1593"/>
    <x v="2144"/>
    <x v="2145"/>
    <x v="2032"/>
    <x v="2"/>
    <x v="2131"/>
    <x v="2144"/>
    <x v="521"/>
    <x v="0"/>
    <x v="0"/>
    <x v="0"/>
    <x v="160"/>
    <x v="14"/>
    <x v="234"/>
    <x v="28"/>
    <x v="3"/>
    <x v="1"/>
    <x v="0"/>
    <x v="2170"/>
  </r>
  <r>
    <x v="0"/>
    <x v="690"/>
    <x v="493"/>
    <x v="69"/>
    <x v="286"/>
    <x v="391"/>
    <x v="94"/>
    <x v="2032"/>
    <x v="200"/>
    <x v="845"/>
    <x v="1356"/>
    <x v="1562"/>
    <x v="2145"/>
    <x v="2146"/>
    <x v="2033"/>
    <x v="0"/>
    <x v="2132"/>
    <x v="2145"/>
    <x v="812"/>
    <x v="0"/>
    <x v="0"/>
    <x v="4"/>
    <x v="78"/>
    <x v="10"/>
    <x v="620"/>
    <x v="11"/>
    <x v="1"/>
    <x v="31"/>
    <x v="0"/>
    <x v="2171"/>
  </r>
  <r>
    <x v="1"/>
    <x v="226"/>
    <x v="257"/>
    <x v="85"/>
    <x v="154"/>
    <x v="143"/>
    <x v="78"/>
    <x v="2033"/>
    <x v="592"/>
    <x v="137"/>
    <x v="1357"/>
    <x v="1594"/>
    <x v="2146"/>
    <x v="2147"/>
    <x v="2034"/>
    <x v="0"/>
    <x v="2133"/>
    <x v="2146"/>
    <x v="569"/>
    <x v="0"/>
    <x v="0"/>
    <x v="2"/>
    <x v="78"/>
    <x v="17"/>
    <x v="365"/>
    <x v="1"/>
    <x v="3"/>
    <x v="1"/>
    <x v="0"/>
    <x v="2172"/>
  </r>
  <r>
    <x v="0"/>
    <x v="537"/>
    <x v="318"/>
    <x v="86"/>
    <x v="164"/>
    <x v="461"/>
    <x v="413"/>
    <x v="2034"/>
    <x v="593"/>
    <x v="365"/>
    <x v="1358"/>
    <x v="1595"/>
    <x v="2147"/>
    <x v="2148"/>
    <x v="2035"/>
    <x v="1"/>
    <x v="2134"/>
    <x v="2147"/>
    <x v="647"/>
    <x v="0"/>
    <x v="0"/>
    <x v="2"/>
    <x v="78"/>
    <x v="5"/>
    <x v="134"/>
    <x v="27"/>
    <x v="1"/>
    <x v="7"/>
    <x v="0"/>
    <x v="2173"/>
  </r>
  <r>
    <x v="0"/>
    <x v="901"/>
    <x v="494"/>
    <x v="90"/>
    <x v="0"/>
    <x v="572"/>
    <x v="35"/>
    <x v="2035"/>
    <x v="406"/>
    <x v="306"/>
    <x v="782"/>
    <x v="1596"/>
    <x v="2148"/>
    <x v="2149"/>
    <x v="1286"/>
    <x v="0"/>
    <x v="2135"/>
    <x v="2148"/>
    <x v="232"/>
    <x v="0"/>
    <x v="0"/>
    <x v="4"/>
    <x v="78"/>
    <x v="9"/>
    <x v="211"/>
    <x v="14"/>
    <x v="1"/>
    <x v="17"/>
    <x v="0"/>
    <x v="2174"/>
  </r>
  <r>
    <x v="0"/>
    <x v="720"/>
    <x v="272"/>
    <x v="34"/>
    <x v="164"/>
    <x v="7"/>
    <x v="98"/>
    <x v="2036"/>
    <x v="399"/>
    <x v="846"/>
    <x v="838"/>
    <x v="1597"/>
    <x v="2149"/>
    <x v="2150"/>
    <x v="2036"/>
    <x v="0"/>
    <x v="2136"/>
    <x v="2149"/>
    <x v="647"/>
    <x v="0"/>
    <x v="0"/>
    <x v="0"/>
    <x v="78"/>
    <x v="19"/>
    <x v="325"/>
    <x v="20"/>
    <x v="1"/>
    <x v="43"/>
    <x v="0"/>
    <x v="2175"/>
  </r>
  <r>
    <x v="0"/>
    <x v="795"/>
    <x v="361"/>
    <x v="61"/>
    <x v="0"/>
    <x v="31"/>
    <x v="35"/>
    <x v="2037"/>
    <x v="105"/>
    <x v="504"/>
    <x v="1359"/>
    <x v="610"/>
    <x v="2150"/>
    <x v="2151"/>
    <x v="1961"/>
    <x v="8"/>
    <x v="2137"/>
    <x v="2150"/>
    <x v="749"/>
    <x v="0"/>
    <x v="0"/>
    <x v="0"/>
    <x v="78"/>
    <x v="5"/>
    <x v="694"/>
    <x v="46"/>
    <x v="3"/>
    <x v="1"/>
    <x v="0"/>
    <x v="2176"/>
  </r>
  <r>
    <x v="0"/>
    <x v="24"/>
    <x v="387"/>
    <x v="72"/>
    <x v="17"/>
    <x v="314"/>
    <x v="1"/>
    <x v="2038"/>
    <x v="594"/>
    <x v="1"/>
    <x v="547"/>
    <x v="768"/>
    <x v="2151"/>
    <x v="2152"/>
    <x v="2037"/>
    <x v="0"/>
    <x v="2138"/>
    <x v="2151"/>
    <x v="374"/>
    <x v="0"/>
    <x v="0"/>
    <x v="0"/>
    <x v="78"/>
    <x v="22"/>
    <x v="102"/>
    <x v="0"/>
    <x v="3"/>
    <x v="37"/>
    <x v="0"/>
    <x v="2177"/>
  </r>
  <r>
    <x v="0"/>
    <x v="902"/>
    <x v="285"/>
    <x v="47"/>
    <x v="184"/>
    <x v="601"/>
    <x v="2"/>
    <x v="2039"/>
    <x v="17"/>
    <x v="847"/>
    <x v="94"/>
    <x v="1598"/>
    <x v="2152"/>
    <x v="2153"/>
    <x v="2038"/>
    <x v="0"/>
    <x v="2139"/>
    <x v="2152"/>
    <x v="140"/>
    <x v="0"/>
    <x v="1"/>
    <x v="0"/>
    <x v="78"/>
    <x v="6"/>
    <x v="10"/>
    <x v="32"/>
    <x v="1"/>
    <x v="69"/>
    <x v="0"/>
    <x v="2178"/>
  </r>
  <r>
    <x v="0"/>
    <x v="795"/>
    <x v="308"/>
    <x v="37"/>
    <x v="0"/>
    <x v="52"/>
    <x v="63"/>
    <x v="2040"/>
    <x v="539"/>
    <x v="848"/>
    <x v="1229"/>
    <x v="1599"/>
    <x v="2153"/>
    <x v="2154"/>
    <x v="2039"/>
    <x v="7"/>
    <x v="2140"/>
    <x v="2153"/>
    <x v="724"/>
    <x v="0"/>
    <x v="0"/>
    <x v="0"/>
    <x v="78"/>
    <x v="3"/>
    <x v="537"/>
    <x v="30"/>
    <x v="3"/>
    <x v="1"/>
    <x v="0"/>
    <x v="2179"/>
  </r>
  <r>
    <x v="0"/>
    <x v="410"/>
    <x v="291"/>
    <x v="27"/>
    <x v="229"/>
    <x v="757"/>
    <x v="116"/>
    <x v="4"/>
    <x v="28"/>
    <x v="217"/>
    <x v="1360"/>
    <x v="1600"/>
    <x v="2154"/>
    <x v="2155"/>
    <x v="2040"/>
    <x v="0"/>
    <x v="2141"/>
    <x v="2154"/>
    <x v="754"/>
    <x v="0"/>
    <x v="0"/>
    <x v="4"/>
    <x v="164"/>
    <x v="49"/>
    <x v="186"/>
    <x v="6"/>
    <x v="3"/>
    <x v="1"/>
    <x v="0"/>
    <x v="2180"/>
  </r>
  <r>
    <x v="0"/>
    <x v="903"/>
    <x v="225"/>
    <x v="7"/>
    <x v="192"/>
    <x v="758"/>
    <x v="10"/>
    <x v="2041"/>
    <x v="125"/>
    <x v="375"/>
    <x v="488"/>
    <x v="1601"/>
    <x v="2155"/>
    <x v="2156"/>
    <x v="2041"/>
    <x v="12"/>
    <x v="2142"/>
    <x v="2155"/>
    <x v="835"/>
    <x v="0"/>
    <x v="0"/>
    <x v="4"/>
    <x v="78"/>
    <x v="6"/>
    <x v="30"/>
    <x v="10"/>
    <x v="2"/>
    <x v="45"/>
    <x v="0"/>
    <x v="2181"/>
  </r>
  <r>
    <x v="0"/>
    <x v="904"/>
    <x v="414"/>
    <x v="79"/>
    <x v="172"/>
    <x v="479"/>
    <x v="22"/>
    <x v="2042"/>
    <x v="127"/>
    <x v="374"/>
    <x v="343"/>
    <x v="704"/>
    <x v="2156"/>
    <x v="2157"/>
    <x v="2042"/>
    <x v="0"/>
    <x v="2143"/>
    <x v="2156"/>
    <x v="836"/>
    <x v="0"/>
    <x v="0"/>
    <x v="0"/>
    <x v="78"/>
    <x v="7"/>
    <x v="230"/>
    <x v="59"/>
    <x v="3"/>
    <x v="393"/>
    <x v="0"/>
    <x v="2182"/>
  </r>
  <r>
    <x v="0"/>
    <x v="905"/>
    <x v="227"/>
    <x v="151"/>
    <x v="216"/>
    <x v="190"/>
    <x v="0"/>
    <x v="2043"/>
    <x v="45"/>
    <x v="229"/>
    <x v="1206"/>
    <x v="239"/>
    <x v="2157"/>
    <x v="2158"/>
    <x v="2043"/>
    <x v="1"/>
    <x v="2144"/>
    <x v="2157"/>
    <x v="167"/>
    <x v="0"/>
    <x v="0"/>
    <x v="3"/>
    <x v="78"/>
    <x v="19"/>
    <x v="640"/>
    <x v="27"/>
    <x v="10"/>
    <x v="394"/>
    <x v="0"/>
    <x v="2183"/>
  </r>
  <r>
    <x v="0"/>
    <x v="906"/>
    <x v="495"/>
    <x v="57"/>
    <x v="64"/>
    <x v="291"/>
    <x v="0"/>
    <x v="2044"/>
    <x v="406"/>
    <x v="247"/>
    <x v="203"/>
    <x v="382"/>
    <x v="2158"/>
    <x v="2159"/>
    <x v="2044"/>
    <x v="0"/>
    <x v="2145"/>
    <x v="2158"/>
    <x v="657"/>
    <x v="0"/>
    <x v="1"/>
    <x v="0"/>
    <x v="78"/>
    <x v="11"/>
    <x v="30"/>
    <x v="7"/>
    <x v="1"/>
    <x v="31"/>
    <x v="0"/>
    <x v="2184"/>
  </r>
  <r>
    <x v="0"/>
    <x v="907"/>
    <x v="69"/>
    <x v="151"/>
    <x v="0"/>
    <x v="59"/>
    <x v="22"/>
    <x v="2045"/>
    <x v="595"/>
    <x v="197"/>
    <x v="1361"/>
    <x v="1602"/>
    <x v="2159"/>
    <x v="2160"/>
    <x v="2045"/>
    <x v="0"/>
    <x v="2146"/>
    <x v="2159"/>
    <x v="695"/>
    <x v="0"/>
    <x v="0"/>
    <x v="3"/>
    <x v="78"/>
    <x v="17"/>
    <x v="422"/>
    <x v="28"/>
    <x v="3"/>
    <x v="395"/>
    <x v="0"/>
    <x v="2185"/>
  </r>
  <r>
    <x v="0"/>
    <x v="572"/>
    <x v="321"/>
    <x v="71"/>
    <x v="107"/>
    <x v="464"/>
    <x v="461"/>
    <x v="2046"/>
    <x v="416"/>
    <x v="849"/>
    <x v="1362"/>
    <x v="1603"/>
    <x v="2160"/>
    <x v="2161"/>
    <x v="1652"/>
    <x v="0"/>
    <x v="2147"/>
    <x v="2160"/>
    <x v="837"/>
    <x v="0"/>
    <x v="0"/>
    <x v="0"/>
    <x v="78"/>
    <x v="12"/>
    <x v="136"/>
    <x v="54"/>
    <x v="3"/>
    <x v="103"/>
    <x v="0"/>
    <x v="2186"/>
  </r>
  <r>
    <x v="0"/>
    <x v="908"/>
    <x v="141"/>
    <x v="45"/>
    <x v="134"/>
    <x v="203"/>
    <x v="327"/>
    <x v="2047"/>
    <x v="150"/>
    <x v="624"/>
    <x v="276"/>
    <x v="1604"/>
    <x v="2161"/>
    <x v="2162"/>
    <x v="479"/>
    <x v="0"/>
    <x v="2148"/>
    <x v="2161"/>
    <x v="172"/>
    <x v="0"/>
    <x v="0"/>
    <x v="0"/>
    <x v="78"/>
    <x v="1"/>
    <x v="616"/>
    <x v="18"/>
    <x v="1"/>
    <x v="1"/>
    <x v="0"/>
    <x v="2187"/>
  </r>
  <r>
    <x v="0"/>
    <x v="909"/>
    <x v="332"/>
    <x v="91"/>
    <x v="73"/>
    <x v="403"/>
    <x v="462"/>
    <x v="2048"/>
    <x v="596"/>
    <x v="850"/>
    <x v="1363"/>
    <x v="1605"/>
    <x v="2162"/>
    <x v="2163"/>
    <x v="2046"/>
    <x v="0"/>
    <x v="2149"/>
    <x v="2162"/>
    <x v="327"/>
    <x v="0"/>
    <x v="0"/>
    <x v="3"/>
    <x v="116"/>
    <x v="21"/>
    <x v="505"/>
    <x v="22"/>
    <x v="0"/>
    <x v="396"/>
    <x v="0"/>
    <x v="2188"/>
  </r>
  <r>
    <x v="0"/>
    <x v="444"/>
    <x v="220"/>
    <x v="32"/>
    <x v="241"/>
    <x v="154"/>
    <x v="38"/>
    <x v="2049"/>
    <x v="236"/>
    <x v="55"/>
    <x v="342"/>
    <x v="1606"/>
    <x v="2163"/>
    <x v="2164"/>
    <x v="2047"/>
    <x v="1"/>
    <x v="2150"/>
    <x v="2163"/>
    <x v="101"/>
    <x v="0"/>
    <x v="0"/>
    <x v="4"/>
    <x v="4"/>
    <x v="0"/>
    <x v="30"/>
    <x v="15"/>
    <x v="3"/>
    <x v="35"/>
    <x v="0"/>
    <x v="2189"/>
  </r>
  <r>
    <x v="0"/>
    <x v="666"/>
    <x v="258"/>
    <x v="70"/>
    <x v="281"/>
    <x v="470"/>
    <x v="0"/>
    <x v="2050"/>
    <x v="547"/>
    <x v="544"/>
    <x v="1364"/>
    <x v="1607"/>
    <x v="2164"/>
    <x v="2165"/>
    <x v="2048"/>
    <x v="0"/>
    <x v="2151"/>
    <x v="2164"/>
    <x v="499"/>
    <x v="0"/>
    <x v="0"/>
    <x v="2"/>
    <x v="78"/>
    <x v="2"/>
    <x v="695"/>
    <x v="2"/>
    <x v="1"/>
    <x v="0"/>
    <x v="0"/>
    <x v="2190"/>
  </r>
  <r>
    <x v="0"/>
    <x v="113"/>
    <x v="320"/>
    <x v="119"/>
    <x v="88"/>
    <x v="436"/>
    <x v="287"/>
    <x v="4"/>
    <x v="125"/>
    <x v="851"/>
    <x v="1365"/>
    <x v="1608"/>
    <x v="2165"/>
    <x v="2166"/>
    <x v="2049"/>
    <x v="4"/>
    <x v="2152"/>
    <x v="2165"/>
    <x v="822"/>
    <x v="0"/>
    <x v="0"/>
    <x v="1"/>
    <x v="4"/>
    <x v="4"/>
    <x v="602"/>
    <x v="58"/>
    <x v="3"/>
    <x v="255"/>
    <x v="0"/>
    <x v="2191"/>
  </r>
  <r>
    <x v="0"/>
    <x v="705"/>
    <x v="356"/>
    <x v="41"/>
    <x v="228"/>
    <x v="479"/>
    <x v="200"/>
    <x v="2051"/>
    <x v="311"/>
    <x v="378"/>
    <x v="343"/>
    <x v="704"/>
    <x v="2166"/>
    <x v="2167"/>
    <x v="2050"/>
    <x v="13"/>
    <x v="2153"/>
    <x v="2166"/>
    <x v="24"/>
    <x v="0"/>
    <x v="0"/>
    <x v="0"/>
    <x v="78"/>
    <x v="1"/>
    <x v="230"/>
    <x v="67"/>
    <x v="3"/>
    <x v="1"/>
    <x v="0"/>
    <x v="2192"/>
  </r>
  <r>
    <x v="0"/>
    <x v="213"/>
    <x v="146"/>
    <x v="74"/>
    <x v="147"/>
    <x v="136"/>
    <x v="108"/>
    <x v="376"/>
    <x v="13"/>
    <x v="204"/>
    <x v="300"/>
    <x v="333"/>
    <x v="385"/>
    <x v="1199"/>
    <x v="380"/>
    <x v="0"/>
    <x v="381"/>
    <x v="385"/>
    <x v="172"/>
    <x v="0"/>
    <x v="0"/>
    <x v="4"/>
    <x v="78"/>
    <x v="26"/>
    <x v="202"/>
    <x v="8"/>
    <x v="1"/>
    <x v="1"/>
    <x v="0"/>
    <x v="2193"/>
  </r>
  <r>
    <x v="0"/>
    <x v="910"/>
    <x v="102"/>
    <x v="57"/>
    <x v="323"/>
    <x v="37"/>
    <x v="140"/>
    <x v="2052"/>
    <x v="597"/>
    <x v="852"/>
    <x v="1366"/>
    <x v="1609"/>
    <x v="2167"/>
    <x v="2168"/>
    <x v="2051"/>
    <x v="4"/>
    <x v="2154"/>
    <x v="2167"/>
    <x v="673"/>
    <x v="0"/>
    <x v="0"/>
    <x v="4"/>
    <x v="78"/>
    <x v="2"/>
    <x v="696"/>
    <x v="14"/>
    <x v="3"/>
    <x v="22"/>
    <x v="0"/>
    <x v="2194"/>
  </r>
  <r>
    <x v="0"/>
    <x v="856"/>
    <x v="159"/>
    <x v="47"/>
    <x v="202"/>
    <x v="759"/>
    <x v="0"/>
    <x v="2053"/>
    <x v="168"/>
    <x v="544"/>
    <x v="873"/>
    <x v="1610"/>
    <x v="2168"/>
    <x v="2169"/>
    <x v="2052"/>
    <x v="1"/>
    <x v="2155"/>
    <x v="2168"/>
    <x v="675"/>
    <x v="0"/>
    <x v="0"/>
    <x v="0"/>
    <x v="134"/>
    <x v="8"/>
    <x v="58"/>
    <x v="9"/>
    <x v="1"/>
    <x v="1"/>
    <x v="0"/>
    <x v="2195"/>
  </r>
  <r>
    <x v="0"/>
    <x v="911"/>
    <x v="333"/>
    <x v="64"/>
    <x v="139"/>
    <x v="26"/>
    <x v="41"/>
    <x v="2054"/>
    <x v="381"/>
    <x v="221"/>
    <x v="1367"/>
    <x v="1611"/>
    <x v="2169"/>
    <x v="2170"/>
    <x v="2053"/>
    <x v="0"/>
    <x v="2156"/>
    <x v="2169"/>
    <x v="437"/>
    <x v="0"/>
    <x v="0"/>
    <x v="0"/>
    <x v="78"/>
    <x v="7"/>
    <x v="350"/>
    <x v="40"/>
    <x v="3"/>
    <x v="397"/>
    <x v="0"/>
    <x v="2196"/>
  </r>
  <r>
    <x v="0"/>
    <x v="619"/>
    <x v="207"/>
    <x v="23"/>
    <x v="193"/>
    <x v="336"/>
    <x v="463"/>
    <x v="2055"/>
    <x v="105"/>
    <x v="853"/>
    <x v="421"/>
    <x v="457"/>
    <x v="2170"/>
    <x v="2171"/>
    <x v="2054"/>
    <x v="1"/>
    <x v="2157"/>
    <x v="2170"/>
    <x v="794"/>
    <x v="0"/>
    <x v="0"/>
    <x v="4"/>
    <x v="78"/>
    <x v="20"/>
    <x v="283"/>
    <x v="34"/>
    <x v="3"/>
    <x v="1"/>
    <x v="0"/>
    <x v="2197"/>
  </r>
  <r>
    <x v="0"/>
    <x v="441"/>
    <x v="425"/>
    <x v="41"/>
    <x v="69"/>
    <x v="156"/>
    <x v="11"/>
    <x v="2056"/>
    <x v="598"/>
    <x v="63"/>
    <x v="731"/>
    <x v="1612"/>
    <x v="2171"/>
    <x v="2172"/>
    <x v="2055"/>
    <x v="4"/>
    <x v="2158"/>
    <x v="2171"/>
    <x v="426"/>
    <x v="0"/>
    <x v="0"/>
    <x v="2"/>
    <x v="78"/>
    <x v="23"/>
    <x v="439"/>
    <x v="5"/>
    <x v="3"/>
    <x v="1"/>
    <x v="0"/>
    <x v="2198"/>
  </r>
  <r>
    <x v="0"/>
    <x v="277"/>
    <x v="387"/>
    <x v="69"/>
    <x v="181"/>
    <x v="1"/>
    <x v="49"/>
    <x v="2057"/>
    <x v="561"/>
    <x v="86"/>
    <x v="628"/>
    <x v="1613"/>
    <x v="2172"/>
    <x v="2173"/>
    <x v="2056"/>
    <x v="1"/>
    <x v="2159"/>
    <x v="2172"/>
    <x v="651"/>
    <x v="0"/>
    <x v="0"/>
    <x v="0"/>
    <x v="78"/>
    <x v="7"/>
    <x v="12"/>
    <x v="5"/>
    <x v="1"/>
    <x v="1"/>
    <x v="0"/>
    <x v="2199"/>
  </r>
  <r>
    <x v="0"/>
    <x v="912"/>
    <x v="362"/>
    <x v="42"/>
    <x v="131"/>
    <x v="283"/>
    <x v="194"/>
    <x v="4"/>
    <x v="46"/>
    <x v="361"/>
    <x v="1368"/>
    <x v="1614"/>
    <x v="2173"/>
    <x v="2174"/>
    <x v="2057"/>
    <x v="0"/>
    <x v="2160"/>
    <x v="2173"/>
    <x v="273"/>
    <x v="0"/>
    <x v="0"/>
    <x v="2"/>
    <x v="78"/>
    <x v="28"/>
    <x v="572"/>
    <x v="18"/>
    <x v="1"/>
    <x v="86"/>
    <x v="0"/>
    <x v="2200"/>
  </r>
  <r>
    <x v="0"/>
    <x v="913"/>
    <x v="231"/>
    <x v="72"/>
    <x v="324"/>
    <x v="760"/>
    <x v="291"/>
    <x v="2058"/>
    <x v="168"/>
    <x v="854"/>
    <x v="1369"/>
    <x v="1615"/>
    <x v="2174"/>
    <x v="2175"/>
    <x v="2058"/>
    <x v="1"/>
    <x v="2161"/>
    <x v="2174"/>
    <x v="161"/>
    <x v="0"/>
    <x v="0"/>
    <x v="4"/>
    <x v="78"/>
    <x v="5"/>
    <x v="697"/>
    <x v="22"/>
    <x v="1"/>
    <x v="7"/>
    <x v="0"/>
    <x v="2201"/>
  </r>
  <r>
    <x v="0"/>
    <x v="914"/>
    <x v="447"/>
    <x v="46"/>
    <x v="106"/>
    <x v="733"/>
    <x v="464"/>
    <x v="2059"/>
    <x v="316"/>
    <x v="855"/>
    <x v="157"/>
    <x v="1480"/>
    <x v="2175"/>
    <x v="2176"/>
    <x v="2059"/>
    <x v="1"/>
    <x v="2162"/>
    <x v="2175"/>
    <x v="293"/>
    <x v="0"/>
    <x v="0"/>
    <x v="2"/>
    <x v="78"/>
    <x v="13"/>
    <x v="363"/>
    <x v="10"/>
    <x v="1"/>
    <x v="1"/>
    <x v="0"/>
    <x v="2202"/>
  </r>
  <r>
    <x v="0"/>
    <x v="705"/>
    <x v="270"/>
    <x v="87"/>
    <x v="228"/>
    <x v="389"/>
    <x v="370"/>
    <x v="2060"/>
    <x v="125"/>
    <x v="856"/>
    <x v="1370"/>
    <x v="1616"/>
    <x v="2176"/>
    <x v="2177"/>
    <x v="2060"/>
    <x v="6"/>
    <x v="2163"/>
    <x v="2176"/>
    <x v="68"/>
    <x v="0"/>
    <x v="0"/>
    <x v="0"/>
    <x v="78"/>
    <x v="5"/>
    <x v="593"/>
    <x v="58"/>
    <x v="3"/>
    <x v="37"/>
    <x v="0"/>
    <x v="2203"/>
  </r>
  <r>
    <x v="0"/>
    <x v="114"/>
    <x v="456"/>
    <x v="14"/>
    <x v="0"/>
    <x v="636"/>
    <x v="2"/>
    <x v="2061"/>
    <x v="270"/>
    <x v="75"/>
    <x v="1371"/>
    <x v="1617"/>
    <x v="2177"/>
    <x v="2178"/>
    <x v="2061"/>
    <x v="3"/>
    <x v="2164"/>
    <x v="2177"/>
    <x v="838"/>
    <x v="0"/>
    <x v="10"/>
    <x v="4"/>
    <x v="131"/>
    <x v="7"/>
    <x v="39"/>
    <x v="7"/>
    <x v="3"/>
    <x v="1"/>
    <x v="0"/>
    <x v="2204"/>
  </r>
  <r>
    <x v="0"/>
    <x v="80"/>
    <x v="150"/>
    <x v="33"/>
    <x v="63"/>
    <x v="761"/>
    <x v="35"/>
    <x v="2062"/>
    <x v="200"/>
    <x v="653"/>
    <x v="492"/>
    <x v="1618"/>
    <x v="2178"/>
    <x v="2179"/>
    <x v="2062"/>
    <x v="8"/>
    <x v="2165"/>
    <x v="2178"/>
    <x v="147"/>
    <x v="0"/>
    <x v="0"/>
    <x v="4"/>
    <x v="197"/>
    <x v="11"/>
    <x v="30"/>
    <x v="4"/>
    <x v="1"/>
    <x v="57"/>
    <x v="0"/>
    <x v="2205"/>
  </r>
  <r>
    <x v="0"/>
    <x v="915"/>
    <x v="360"/>
    <x v="27"/>
    <x v="217"/>
    <x v="449"/>
    <x v="13"/>
    <x v="2063"/>
    <x v="498"/>
    <x v="93"/>
    <x v="608"/>
    <x v="656"/>
    <x v="2179"/>
    <x v="2180"/>
    <x v="2063"/>
    <x v="0"/>
    <x v="2166"/>
    <x v="2179"/>
    <x v="589"/>
    <x v="0"/>
    <x v="0"/>
    <x v="0"/>
    <x v="78"/>
    <x v="8"/>
    <x v="6"/>
    <x v="7"/>
    <x v="3"/>
    <x v="1"/>
    <x v="0"/>
    <x v="2206"/>
  </r>
  <r>
    <x v="0"/>
    <x v="890"/>
    <x v="167"/>
    <x v="42"/>
    <x v="320"/>
    <x v="749"/>
    <x v="465"/>
    <x v="2064"/>
    <x v="170"/>
    <x v="857"/>
    <x v="106"/>
    <x v="1571"/>
    <x v="2180"/>
    <x v="2181"/>
    <x v="2064"/>
    <x v="7"/>
    <x v="2167"/>
    <x v="2180"/>
    <x v="839"/>
    <x v="0"/>
    <x v="0"/>
    <x v="4"/>
    <x v="116"/>
    <x v="14"/>
    <x v="74"/>
    <x v="13"/>
    <x v="1"/>
    <x v="1"/>
    <x v="0"/>
    <x v="2207"/>
  </r>
  <r>
    <x v="0"/>
    <x v="672"/>
    <x v="496"/>
    <x v="80"/>
    <x v="116"/>
    <x v="109"/>
    <x v="82"/>
    <x v="2065"/>
    <x v="381"/>
    <x v="858"/>
    <x v="1372"/>
    <x v="1619"/>
    <x v="2181"/>
    <x v="2182"/>
    <x v="2065"/>
    <x v="0"/>
    <x v="2168"/>
    <x v="2181"/>
    <x v="363"/>
    <x v="0"/>
    <x v="0"/>
    <x v="4"/>
    <x v="190"/>
    <x v="9"/>
    <x v="698"/>
    <x v="30"/>
    <x v="1"/>
    <x v="37"/>
    <x v="0"/>
    <x v="2208"/>
  </r>
  <r>
    <x v="0"/>
    <x v="230"/>
    <x v="394"/>
    <x v="32"/>
    <x v="151"/>
    <x v="559"/>
    <x v="14"/>
    <x v="2066"/>
    <x v="171"/>
    <x v="859"/>
    <x v="789"/>
    <x v="1085"/>
    <x v="2182"/>
    <x v="2183"/>
    <x v="2066"/>
    <x v="0"/>
    <x v="2169"/>
    <x v="2182"/>
    <x v="629"/>
    <x v="0"/>
    <x v="0"/>
    <x v="4"/>
    <x v="78"/>
    <x v="16"/>
    <x v="30"/>
    <x v="4"/>
    <x v="1"/>
    <x v="1"/>
    <x v="0"/>
    <x v="2209"/>
  </r>
  <r>
    <x v="0"/>
    <x v="579"/>
    <x v="155"/>
    <x v="76"/>
    <x v="170"/>
    <x v="156"/>
    <x v="466"/>
    <x v="2067"/>
    <x v="125"/>
    <x v="860"/>
    <x v="149"/>
    <x v="192"/>
    <x v="2183"/>
    <x v="2184"/>
    <x v="2067"/>
    <x v="8"/>
    <x v="2170"/>
    <x v="2183"/>
    <x v="299"/>
    <x v="0"/>
    <x v="0"/>
    <x v="0"/>
    <x v="78"/>
    <x v="9"/>
    <x v="100"/>
    <x v="58"/>
    <x v="3"/>
    <x v="38"/>
    <x v="0"/>
    <x v="2210"/>
  </r>
  <r>
    <x v="0"/>
    <x v="916"/>
    <x v="393"/>
    <x v="44"/>
    <x v="211"/>
    <x v="511"/>
    <x v="17"/>
    <x v="4"/>
    <x v="599"/>
    <x v="303"/>
    <x v="1373"/>
    <x v="1620"/>
    <x v="2184"/>
    <x v="2185"/>
    <x v="2068"/>
    <x v="3"/>
    <x v="2171"/>
    <x v="2184"/>
    <x v="170"/>
    <x v="0"/>
    <x v="0"/>
    <x v="0"/>
    <x v="78"/>
    <x v="50"/>
    <x v="83"/>
    <x v="10"/>
    <x v="1"/>
    <x v="1"/>
    <x v="0"/>
    <x v="2211"/>
  </r>
  <r>
    <x v="0"/>
    <x v="525"/>
    <x v="7"/>
    <x v="57"/>
    <x v="260"/>
    <x v="762"/>
    <x v="2"/>
    <x v="2068"/>
    <x v="406"/>
    <x v="182"/>
    <x v="816"/>
    <x v="1621"/>
    <x v="2185"/>
    <x v="2186"/>
    <x v="2069"/>
    <x v="1"/>
    <x v="2172"/>
    <x v="2185"/>
    <x v="481"/>
    <x v="0"/>
    <x v="0"/>
    <x v="4"/>
    <x v="78"/>
    <x v="8"/>
    <x v="480"/>
    <x v="32"/>
    <x v="3"/>
    <x v="7"/>
    <x v="0"/>
    <x v="2212"/>
  </r>
  <r>
    <x v="0"/>
    <x v="53"/>
    <x v="270"/>
    <x v="86"/>
    <x v="38"/>
    <x v="702"/>
    <x v="467"/>
    <x v="2069"/>
    <x v="600"/>
    <x v="861"/>
    <x v="1374"/>
    <x v="1622"/>
    <x v="2186"/>
    <x v="2187"/>
    <x v="2070"/>
    <x v="4"/>
    <x v="2173"/>
    <x v="2186"/>
    <x v="426"/>
    <x v="0"/>
    <x v="0"/>
    <x v="0"/>
    <x v="78"/>
    <x v="6"/>
    <x v="699"/>
    <x v="22"/>
    <x v="1"/>
    <x v="90"/>
    <x v="0"/>
    <x v="2213"/>
  </r>
  <r>
    <x v="0"/>
    <x v="917"/>
    <x v="150"/>
    <x v="43"/>
    <x v="184"/>
    <x v="173"/>
    <x v="203"/>
    <x v="2070"/>
    <x v="429"/>
    <x v="862"/>
    <x v="1375"/>
    <x v="1623"/>
    <x v="2187"/>
    <x v="2188"/>
    <x v="1687"/>
    <x v="0"/>
    <x v="2174"/>
    <x v="2187"/>
    <x v="274"/>
    <x v="0"/>
    <x v="0"/>
    <x v="4"/>
    <x v="82"/>
    <x v="19"/>
    <x v="700"/>
    <x v="34"/>
    <x v="3"/>
    <x v="1"/>
    <x v="0"/>
    <x v="2214"/>
  </r>
  <r>
    <x v="0"/>
    <x v="918"/>
    <x v="331"/>
    <x v="78"/>
    <x v="69"/>
    <x v="763"/>
    <x v="309"/>
    <x v="2071"/>
    <x v="311"/>
    <x v="564"/>
    <x v="664"/>
    <x v="1624"/>
    <x v="2188"/>
    <x v="2189"/>
    <x v="2071"/>
    <x v="2"/>
    <x v="2175"/>
    <x v="2188"/>
    <x v="641"/>
    <x v="0"/>
    <x v="0"/>
    <x v="4"/>
    <x v="166"/>
    <x v="10"/>
    <x v="412"/>
    <x v="22"/>
    <x v="1"/>
    <x v="90"/>
    <x v="0"/>
    <x v="2215"/>
  </r>
  <r>
    <x v="0"/>
    <x v="919"/>
    <x v="474"/>
    <x v="69"/>
    <x v="218"/>
    <x v="741"/>
    <x v="57"/>
    <x v="2072"/>
    <x v="171"/>
    <x v="192"/>
    <x v="1297"/>
    <x v="1625"/>
    <x v="2189"/>
    <x v="2190"/>
    <x v="1235"/>
    <x v="3"/>
    <x v="2176"/>
    <x v="2189"/>
    <x v="837"/>
    <x v="0"/>
    <x v="0"/>
    <x v="4"/>
    <x v="78"/>
    <x v="20"/>
    <x v="670"/>
    <x v="12"/>
    <x v="1"/>
    <x v="1"/>
    <x v="0"/>
    <x v="2216"/>
  </r>
  <r>
    <x v="0"/>
    <x v="920"/>
    <x v="313"/>
    <x v="59"/>
    <x v="195"/>
    <x v="169"/>
    <x v="326"/>
    <x v="2073"/>
    <x v="111"/>
    <x v="863"/>
    <x v="1208"/>
    <x v="1626"/>
    <x v="2190"/>
    <x v="2191"/>
    <x v="2072"/>
    <x v="0"/>
    <x v="2177"/>
    <x v="2190"/>
    <x v="119"/>
    <x v="0"/>
    <x v="0"/>
    <x v="0"/>
    <x v="4"/>
    <x v="0"/>
    <x v="226"/>
    <x v="23"/>
    <x v="1"/>
    <x v="1"/>
    <x v="0"/>
    <x v="2217"/>
  </r>
  <r>
    <x v="0"/>
    <x v="397"/>
    <x v="16"/>
    <x v="18"/>
    <x v="225"/>
    <x v="458"/>
    <x v="0"/>
    <x v="2074"/>
    <x v="306"/>
    <x v="384"/>
    <x v="1376"/>
    <x v="1627"/>
    <x v="2191"/>
    <x v="2192"/>
    <x v="2073"/>
    <x v="3"/>
    <x v="2178"/>
    <x v="2191"/>
    <x v="550"/>
    <x v="0"/>
    <x v="0"/>
    <x v="4"/>
    <x v="78"/>
    <x v="5"/>
    <x v="701"/>
    <x v="8"/>
    <x v="1"/>
    <x v="1"/>
    <x v="0"/>
    <x v="2218"/>
  </r>
  <r>
    <x v="0"/>
    <x v="491"/>
    <x v="215"/>
    <x v="18"/>
    <x v="253"/>
    <x v="270"/>
    <x v="0"/>
    <x v="2075"/>
    <x v="399"/>
    <x v="600"/>
    <x v="350"/>
    <x v="350"/>
    <x v="2192"/>
    <x v="2193"/>
    <x v="2074"/>
    <x v="0"/>
    <x v="2179"/>
    <x v="2192"/>
    <x v="515"/>
    <x v="0"/>
    <x v="1"/>
    <x v="4"/>
    <x v="78"/>
    <x v="21"/>
    <x v="234"/>
    <x v="32"/>
    <x v="3"/>
    <x v="7"/>
    <x v="0"/>
    <x v="2219"/>
  </r>
  <r>
    <x v="0"/>
    <x v="921"/>
    <x v="142"/>
    <x v="101"/>
    <x v="216"/>
    <x v="764"/>
    <x v="468"/>
    <x v="2076"/>
    <x v="364"/>
    <x v="864"/>
    <x v="1377"/>
    <x v="1628"/>
    <x v="2193"/>
    <x v="2194"/>
    <x v="2075"/>
    <x v="1"/>
    <x v="2180"/>
    <x v="2193"/>
    <x v="483"/>
    <x v="0"/>
    <x v="7"/>
    <x v="0"/>
    <x v="146"/>
    <x v="8"/>
    <x v="702"/>
    <x v="65"/>
    <x v="3"/>
    <x v="1"/>
    <x v="0"/>
    <x v="2220"/>
  </r>
  <r>
    <x v="0"/>
    <x v="828"/>
    <x v="308"/>
    <x v="59"/>
    <x v="161"/>
    <x v="378"/>
    <x v="0"/>
    <x v="2077"/>
    <x v="168"/>
    <x v="31"/>
    <x v="1378"/>
    <x v="532"/>
    <x v="2194"/>
    <x v="2195"/>
    <x v="1056"/>
    <x v="1"/>
    <x v="2181"/>
    <x v="2194"/>
    <x v="356"/>
    <x v="0"/>
    <x v="0"/>
    <x v="4"/>
    <x v="78"/>
    <x v="25"/>
    <x v="15"/>
    <x v="9"/>
    <x v="3"/>
    <x v="398"/>
    <x v="0"/>
    <x v="2221"/>
  </r>
  <r>
    <x v="0"/>
    <x v="146"/>
    <x v="279"/>
    <x v="70"/>
    <x v="108"/>
    <x v="489"/>
    <x v="8"/>
    <x v="2078"/>
    <x v="368"/>
    <x v="35"/>
    <x v="1379"/>
    <x v="924"/>
    <x v="2195"/>
    <x v="2196"/>
    <x v="2076"/>
    <x v="0"/>
    <x v="2182"/>
    <x v="2195"/>
    <x v="483"/>
    <x v="0"/>
    <x v="1"/>
    <x v="4"/>
    <x v="78"/>
    <x v="8"/>
    <x v="225"/>
    <x v="11"/>
    <x v="1"/>
    <x v="1"/>
    <x v="0"/>
    <x v="2222"/>
  </r>
  <r>
    <x v="0"/>
    <x v="152"/>
    <x v="446"/>
    <x v="26"/>
    <x v="16"/>
    <x v="1"/>
    <x v="21"/>
    <x v="2079"/>
    <x v="453"/>
    <x v="141"/>
    <x v="489"/>
    <x v="13"/>
    <x v="2196"/>
    <x v="2197"/>
    <x v="2077"/>
    <x v="1"/>
    <x v="2183"/>
    <x v="2196"/>
    <x v="840"/>
    <x v="0"/>
    <x v="0"/>
    <x v="4"/>
    <x v="78"/>
    <x v="14"/>
    <x v="9"/>
    <x v="24"/>
    <x v="3"/>
    <x v="76"/>
    <x v="0"/>
    <x v="2223"/>
  </r>
  <r>
    <x v="0"/>
    <x v="445"/>
    <x v="74"/>
    <x v="72"/>
    <x v="154"/>
    <x v="488"/>
    <x v="35"/>
    <x v="2080"/>
    <x v="215"/>
    <x v="157"/>
    <x v="1380"/>
    <x v="1629"/>
    <x v="2197"/>
    <x v="2198"/>
    <x v="2078"/>
    <x v="5"/>
    <x v="2184"/>
    <x v="2197"/>
    <x v="736"/>
    <x v="0"/>
    <x v="0"/>
    <x v="2"/>
    <x v="78"/>
    <x v="5"/>
    <x v="703"/>
    <x v="27"/>
    <x v="1"/>
    <x v="1"/>
    <x v="0"/>
    <x v="2224"/>
  </r>
  <r>
    <x v="0"/>
    <x v="50"/>
    <x v="136"/>
    <x v="56"/>
    <x v="278"/>
    <x v="10"/>
    <x v="11"/>
    <x v="2081"/>
    <x v="28"/>
    <x v="63"/>
    <x v="75"/>
    <x v="1630"/>
    <x v="2198"/>
    <x v="2199"/>
    <x v="2079"/>
    <x v="2"/>
    <x v="2185"/>
    <x v="2198"/>
    <x v="483"/>
    <x v="0"/>
    <x v="0"/>
    <x v="4"/>
    <x v="78"/>
    <x v="8"/>
    <x v="6"/>
    <x v="2"/>
    <x v="1"/>
    <x v="1"/>
    <x v="0"/>
    <x v="2225"/>
  </r>
  <r>
    <x v="0"/>
    <x v="229"/>
    <x v="497"/>
    <x v="56"/>
    <x v="16"/>
    <x v="670"/>
    <x v="169"/>
    <x v="2082"/>
    <x v="148"/>
    <x v="315"/>
    <x v="1381"/>
    <x v="1631"/>
    <x v="2199"/>
    <x v="2200"/>
    <x v="2080"/>
    <x v="5"/>
    <x v="2186"/>
    <x v="2199"/>
    <x v="443"/>
    <x v="0"/>
    <x v="1"/>
    <x v="4"/>
    <x v="78"/>
    <x v="9"/>
    <x v="704"/>
    <x v="15"/>
    <x v="1"/>
    <x v="112"/>
    <x v="0"/>
    <x v="2226"/>
  </r>
  <r>
    <x v="0"/>
    <x v="922"/>
    <x v="197"/>
    <x v="77"/>
    <x v="129"/>
    <x v="473"/>
    <x v="283"/>
    <x v="2083"/>
    <x v="601"/>
    <x v="865"/>
    <x v="934"/>
    <x v="697"/>
    <x v="2200"/>
    <x v="2201"/>
    <x v="2081"/>
    <x v="7"/>
    <x v="2187"/>
    <x v="2200"/>
    <x v="386"/>
    <x v="0"/>
    <x v="0"/>
    <x v="2"/>
    <x v="78"/>
    <x v="1"/>
    <x v="528"/>
    <x v="18"/>
    <x v="1"/>
    <x v="399"/>
    <x v="0"/>
    <x v="2227"/>
  </r>
  <r>
    <x v="0"/>
    <x v="923"/>
    <x v="140"/>
    <x v="42"/>
    <x v="62"/>
    <x v="403"/>
    <x v="469"/>
    <x v="2084"/>
    <x v="179"/>
    <x v="866"/>
    <x v="1382"/>
    <x v="1632"/>
    <x v="2201"/>
    <x v="2202"/>
    <x v="2082"/>
    <x v="0"/>
    <x v="2188"/>
    <x v="2201"/>
    <x v="481"/>
    <x v="0"/>
    <x v="5"/>
    <x v="4"/>
    <x v="78"/>
    <x v="0"/>
    <x v="705"/>
    <x v="12"/>
    <x v="1"/>
    <x v="1"/>
    <x v="0"/>
    <x v="2228"/>
  </r>
  <r>
    <x v="0"/>
    <x v="924"/>
    <x v="224"/>
    <x v="27"/>
    <x v="125"/>
    <x v="765"/>
    <x v="35"/>
    <x v="2085"/>
    <x v="127"/>
    <x v="746"/>
    <x v="584"/>
    <x v="1633"/>
    <x v="2202"/>
    <x v="2203"/>
    <x v="2083"/>
    <x v="1"/>
    <x v="2189"/>
    <x v="2202"/>
    <x v="104"/>
    <x v="0"/>
    <x v="0"/>
    <x v="4"/>
    <x v="78"/>
    <x v="5"/>
    <x v="93"/>
    <x v="21"/>
    <x v="1"/>
    <x v="1"/>
    <x v="0"/>
    <x v="2229"/>
  </r>
  <r>
    <x v="0"/>
    <x v="925"/>
    <x v="160"/>
    <x v="56"/>
    <x v="5"/>
    <x v="175"/>
    <x v="22"/>
    <x v="2086"/>
    <x v="562"/>
    <x v="867"/>
    <x v="1383"/>
    <x v="1634"/>
    <x v="2203"/>
    <x v="2204"/>
    <x v="2084"/>
    <x v="3"/>
    <x v="2190"/>
    <x v="2203"/>
    <x v="704"/>
    <x v="0"/>
    <x v="33"/>
    <x v="2"/>
    <x v="78"/>
    <x v="10"/>
    <x v="682"/>
    <x v="27"/>
    <x v="3"/>
    <x v="71"/>
    <x v="0"/>
    <x v="2230"/>
  </r>
  <r>
    <x v="0"/>
    <x v="926"/>
    <x v="356"/>
    <x v="128"/>
    <x v="107"/>
    <x v="766"/>
    <x v="0"/>
    <x v="2087"/>
    <x v="381"/>
    <x v="243"/>
    <x v="1066"/>
    <x v="1635"/>
    <x v="2204"/>
    <x v="2205"/>
    <x v="2085"/>
    <x v="0"/>
    <x v="2191"/>
    <x v="2204"/>
    <x v="481"/>
    <x v="0"/>
    <x v="0"/>
    <x v="0"/>
    <x v="195"/>
    <x v="7"/>
    <x v="93"/>
    <x v="37"/>
    <x v="1"/>
    <x v="1"/>
    <x v="0"/>
    <x v="2231"/>
  </r>
  <r>
    <x v="0"/>
    <x v="514"/>
    <x v="393"/>
    <x v="73"/>
    <x v="80"/>
    <x v="13"/>
    <x v="9"/>
    <x v="2088"/>
    <x v="602"/>
    <x v="9"/>
    <x v="1384"/>
    <x v="142"/>
    <x v="2205"/>
    <x v="2206"/>
    <x v="2086"/>
    <x v="1"/>
    <x v="2192"/>
    <x v="2205"/>
    <x v="241"/>
    <x v="0"/>
    <x v="5"/>
    <x v="0"/>
    <x v="78"/>
    <x v="22"/>
    <x v="21"/>
    <x v="2"/>
    <x v="1"/>
    <x v="1"/>
    <x v="0"/>
    <x v="2232"/>
  </r>
  <r>
    <x v="0"/>
    <x v="927"/>
    <x v="274"/>
    <x v="78"/>
    <x v="0"/>
    <x v="488"/>
    <x v="83"/>
    <x v="2089"/>
    <x v="157"/>
    <x v="868"/>
    <x v="781"/>
    <x v="1629"/>
    <x v="2206"/>
    <x v="2207"/>
    <x v="2087"/>
    <x v="0"/>
    <x v="2193"/>
    <x v="2206"/>
    <x v="591"/>
    <x v="0"/>
    <x v="0"/>
    <x v="2"/>
    <x v="78"/>
    <x v="5"/>
    <x v="467"/>
    <x v="43"/>
    <x v="3"/>
    <x v="1"/>
    <x v="0"/>
    <x v="2233"/>
  </r>
  <r>
    <x v="0"/>
    <x v="200"/>
    <x v="293"/>
    <x v="55"/>
    <x v="140"/>
    <x v="348"/>
    <x v="150"/>
    <x v="2090"/>
    <x v="528"/>
    <x v="774"/>
    <x v="1029"/>
    <x v="1636"/>
    <x v="2207"/>
    <x v="2208"/>
    <x v="2088"/>
    <x v="0"/>
    <x v="2194"/>
    <x v="2207"/>
    <x v="709"/>
    <x v="0"/>
    <x v="0"/>
    <x v="0"/>
    <x v="78"/>
    <x v="7"/>
    <x v="568"/>
    <x v="43"/>
    <x v="1"/>
    <x v="67"/>
    <x v="0"/>
    <x v="2234"/>
  </r>
  <r>
    <x v="0"/>
    <x v="928"/>
    <x v="362"/>
    <x v="33"/>
    <x v="45"/>
    <x v="129"/>
    <x v="25"/>
    <x v="2091"/>
    <x v="422"/>
    <x v="30"/>
    <x v="1385"/>
    <x v="1637"/>
    <x v="2208"/>
    <x v="2209"/>
    <x v="2089"/>
    <x v="3"/>
    <x v="2195"/>
    <x v="2208"/>
    <x v="390"/>
    <x v="0"/>
    <x v="8"/>
    <x v="0"/>
    <x v="4"/>
    <x v="7"/>
    <x v="706"/>
    <x v="21"/>
    <x v="3"/>
    <x v="1"/>
    <x v="0"/>
    <x v="2235"/>
  </r>
  <r>
    <x v="0"/>
    <x v="423"/>
    <x v="280"/>
    <x v="71"/>
    <x v="0"/>
    <x v="767"/>
    <x v="38"/>
    <x v="2092"/>
    <x v="35"/>
    <x v="55"/>
    <x v="1386"/>
    <x v="1638"/>
    <x v="2209"/>
    <x v="2210"/>
    <x v="2090"/>
    <x v="2"/>
    <x v="2196"/>
    <x v="2209"/>
    <x v="820"/>
    <x v="0"/>
    <x v="0"/>
    <x v="2"/>
    <x v="88"/>
    <x v="0"/>
    <x v="109"/>
    <x v="41"/>
    <x v="3"/>
    <x v="400"/>
    <x v="0"/>
    <x v="2236"/>
  </r>
  <r>
    <x v="0"/>
    <x v="525"/>
    <x v="349"/>
    <x v="11"/>
    <x v="260"/>
    <x v="478"/>
    <x v="0"/>
    <x v="2093"/>
    <x v="539"/>
    <x v="869"/>
    <x v="151"/>
    <x v="703"/>
    <x v="2210"/>
    <x v="2211"/>
    <x v="2091"/>
    <x v="0"/>
    <x v="2197"/>
    <x v="2210"/>
    <x v="402"/>
    <x v="0"/>
    <x v="0"/>
    <x v="4"/>
    <x v="78"/>
    <x v="16"/>
    <x v="102"/>
    <x v="2"/>
    <x v="3"/>
    <x v="103"/>
    <x v="0"/>
    <x v="2237"/>
  </r>
  <r>
    <x v="0"/>
    <x v="929"/>
    <x v="366"/>
    <x v="45"/>
    <x v="192"/>
    <x v="646"/>
    <x v="470"/>
    <x v="2094"/>
    <x v="603"/>
    <x v="870"/>
    <x v="1387"/>
    <x v="1639"/>
    <x v="2211"/>
    <x v="2212"/>
    <x v="2092"/>
    <x v="0"/>
    <x v="2198"/>
    <x v="2211"/>
    <x v="816"/>
    <x v="0"/>
    <x v="0"/>
    <x v="0"/>
    <x v="78"/>
    <x v="6"/>
    <x v="363"/>
    <x v="1"/>
    <x v="2"/>
    <x v="1"/>
    <x v="0"/>
    <x v="2238"/>
  </r>
  <r>
    <x v="0"/>
    <x v="930"/>
    <x v="136"/>
    <x v="69"/>
    <x v="0"/>
    <x v="203"/>
    <x v="14"/>
    <x v="2095"/>
    <x v="604"/>
    <x v="414"/>
    <x v="1388"/>
    <x v="1640"/>
    <x v="2212"/>
    <x v="2213"/>
    <x v="2093"/>
    <x v="0"/>
    <x v="2199"/>
    <x v="2212"/>
    <x v="492"/>
    <x v="0"/>
    <x v="0"/>
    <x v="4"/>
    <x v="4"/>
    <x v="8"/>
    <x v="229"/>
    <x v="2"/>
    <x v="1"/>
    <x v="1"/>
    <x v="0"/>
    <x v="2239"/>
  </r>
  <r>
    <x v="0"/>
    <x v="469"/>
    <x v="277"/>
    <x v="27"/>
    <x v="0"/>
    <x v="138"/>
    <x v="35"/>
    <x v="2096"/>
    <x v="355"/>
    <x v="871"/>
    <x v="74"/>
    <x v="1641"/>
    <x v="2213"/>
    <x v="2214"/>
    <x v="2094"/>
    <x v="0"/>
    <x v="2200"/>
    <x v="2213"/>
    <x v="478"/>
    <x v="0"/>
    <x v="0"/>
    <x v="4"/>
    <x v="78"/>
    <x v="20"/>
    <x v="30"/>
    <x v="9"/>
    <x v="1"/>
    <x v="1"/>
    <x v="0"/>
    <x v="2240"/>
  </r>
  <r>
    <x v="0"/>
    <x v="113"/>
    <x v="489"/>
    <x v="152"/>
    <x v="88"/>
    <x v="4"/>
    <x v="471"/>
    <x v="4"/>
    <x v="143"/>
    <x v="872"/>
    <x v="217"/>
    <x v="4"/>
    <x v="2214"/>
    <x v="2215"/>
    <x v="2095"/>
    <x v="0"/>
    <x v="2201"/>
    <x v="2214"/>
    <x v="794"/>
    <x v="2"/>
    <x v="7"/>
    <x v="1"/>
    <x v="4"/>
    <x v="4"/>
    <x v="147"/>
    <x v="15"/>
    <x v="2"/>
    <x v="401"/>
    <x v="0"/>
    <x v="2241"/>
  </r>
  <r>
    <x v="1"/>
    <x v="931"/>
    <x v="327"/>
    <x v="26"/>
    <x v="17"/>
    <x v="508"/>
    <x v="472"/>
    <x v="1436"/>
    <x v="236"/>
    <x v="873"/>
    <x v="1389"/>
    <x v="1642"/>
    <x v="2215"/>
    <x v="2216"/>
    <x v="2096"/>
    <x v="4"/>
    <x v="2202"/>
    <x v="2215"/>
    <x v="474"/>
    <x v="0"/>
    <x v="0"/>
    <x v="4"/>
    <x v="198"/>
    <x v="51"/>
    <x v="707"/>
    <x v="3"/>
    <x v="3"/>
    <x v="45"/>
    <x v="0"/>
    <x v="2242"/>
  </r>
  <r>
    <x v="0"/>
    <x v="456"/>
    <x v="227"/>
    <x v="52"/>
    <x v="186"/>
    <x v="88"/>
    <x v="0"/>
    <x v="2097"/>
    <x v="127"/>
    <x v="530"/>
    <x v="1390"/>
    <x v="1643"/>
    <x v="2216"/>
    <x v="2217"/>
    <x v="1135"/>
    <x v="3"/>
    <x v="2203"/>
    <x v="2216"/>
    <x v="360"/>
    <x v="0"/>
    <x v="0"/>
    <x v="4"/>
    <x v="88"/>
    <x v="8"/>
    <x v="191"/>
    <x v="18"/>
    <x v="3"/>
    <x v="1"/>
    <x v="0"/>
    <x v="2243"/>
  </r>
  <r>
    <x v="0"/>
    <x v="932"/>
    <x v="288"/>
    <x v="27"/>
    <x v="107"/>
    <x v="768"/>
    <x v="10"/>
    <x v="2098"/>
    <x v="17"/>
    <x v="413"/>
    <x v="42"/>
    <x v="1644"/>
    <x v="2217"/>
    <x v="2218"/>
    <x v="2097"/>
    <x v="0"/>
    <x v="2204"/>
    <x v="2217"/>
    <x v="758"/>
    <x v="0"/>
    <x v="0"/>
    <x v="0"/>
    <x v="78"/>
    <x v="11"/>
    <x v="408"/>
    <x v="22"/>
    <x v="1"/>
    <x v="1"/>
    <x v="0"/>
    <x v="2244"/>
  </r>
  <r>
    <x v="0"/>
    <x v="293"/>
    <x v="343"/>
    <x v="18"/>
    <x v="0"/>
    <x v="761"/>
    <x v="162"/>
    <x v="2099"/>
    <x v="200"/>
    <x v="297"/>
    <x v="1391"/>
    <x v="1618"/>
    <x v="2218"/>
    <x v="2219"/>
    <x v="2098"/>
    <x v="3"/>
    <x v="2205"/>
    <x v="2218"/>
    <x v="310"/>
    <x v="0"/>
    <x v="0"/>
    <x v="4"/>
    <x v="78"/>
    <x v="1"/>
    <x v="222"/>
    <x v="18"/>
    <x v="1"/>
    <x v="230"/>
    <x v="0"/>
    <x v="2245"/>
  </r>
  <r>
    <x v="0"/>
    <x v="933"/>
    <x v="457"/>
    <x v="42"/>
    <x v="5"/>
    <x v="254"/>
    <x v="105"/>
    <x v="2100"/>
    <x v="125"/>
    <x v="874"/>
    <x v="1392"/>
    <x v="1645"/>
    <x v="2219"/>
    <x v="2220"/>
    <x v="923"/>
    <x v="0"/>
    <x v="2206"/>
    <x v="2219"/>
    <x v="705"/>
    <x v="0"/>
    <x v="0"/>
    <x v="2"/>
    <x v="78"/>
    <x v="37"/>
    <x v="652"/>
    <x v="28"/>
    <x v="0"/>
    <x v="402"/>
    <x v="0"/>
    <x v="2246"/>
  </r>
  <r>
    <x v="0"/>
    <x v="105"/>
    <x v="460"/>
    <x v="61"/>
    <x v="83"/>
    <x v="666"/>
    <x v="35"/>
    <x v="4"/>
    <x v="605"/>
    <x v="91"/>
    <x v="1393"/>
    <x v="1646"/>
    <x v="2220"/>
    <x v="2221"/>
    <x v="1783"/>
    <x v="4"/>
    <x v="2207"/>
    <x v="2220"/>
    <x v="647"/>
    <x v="0"/>
    <x v="0"/>
    <x v="0"/>
    <x v="78"/>
    <x v="39"/>
    <x v="708"/>
    <x v="15"/>
    <x v="1"/>
    <x v="1"/>
    <x v="0"/>
    <x v="2247"/>
  </r>
  <r>
    <x v="0"/>
    <x v="136"/>
    <x v="370"/>
    <x v="37"/>
    <x v="101"/>
    <x v="279"/>
    <x v="0"/>
    <x v="2101"/>
    <x v="301"/>
    <x v="48"/>
    <x v="1394"/>
    <x v="608"/>
    <x v="2221"/>
    <x v="2222"/>
    <x v="937"/>
    <x v="4"/>
    <x v="2208"/>
    <x v="2221"/>
    <x v="623"/>
    <x v="0"/>
    <x v="0"/>
    <x v="2"/>
    <x v="116"/>
    <x v="20"/>
    <x v="395"/>
    <x v="8"/>
    <x v="3"/>
    <x v="1"/>
    <x v="0"/>
    <x v="2248"/>
  </r>
  <r>
    <x v="0"/>
    <x v="934"/>
    <x v="166"/>
    <x v="23"/>
    <x v="118"/>
    <x v="769"/>
    <x v="2"/>
    <x v="2102"/>
    <x v="270"/>
    <x v="196"/>
    <x v="362"/>
    <x v="1647"/>
    <x v="2222"/>
    <x v="1324"/>
    <x v="2099"/>
    <x v="4"/>
    <x v="2209"/>
    <x v="2222"/>
    <x v="444"/>
    <x v="0"/>
    <x v="0"/>
    <x v="4"/>
    <x v="78"/>
    <x v="1"/>
    <x v="13"/>
    <x v="7"/>
    <x v="1"/>
    <x v="1"/>
    <x v="0"/>
    <x v="2249"/>
  </r>
  <r>
    <x v="0"/>
    <x v="512"/>
    <x v="164"/>
    <x v="2"/>
    <x v="0"/>
    <x v="99"/>
    <x v="30"/>
    <x v="2103"/>
    <x v="606"/>
    <x v="224"/>
    <x v="20"/>
    <x v="1210"/>
    <x v="2223"/>
    <x v="2223"/>
    <x v="2100"/>
    <x v="0"/>
    <x v="2210"/>
    <x v="2223"/>
    <x v="841"/>
    <x v="0"/>
    <x v="0"/>
    <x v="4"/>
    <x v="159"/>
    <x v="1"/>
    <x v="17"/>
    <x v="17"/>
    <x v="1"/>
    <x v="317"/>
    <x v="0"/>
    <x v="2250"/>
  </r>
  <r>
    <x v="0"/>
    <x v="235"/>
    <x v="382"/>
    <x v="26"/>
    <x v="157"/>
    <x v="421"/>
    <x v="197"/>
    <x v="2104"/>
    <x v="125"/>
    <x v="368"/>
    <x v="79"/>
    <x v="617"/>
    <x v="2224"/>
    <x v="2224"/>
    <x v="2101"/>
    <x v="1"/>
    <x v="2211"/>
    <x v="2224"/>
    <x v="241"/>
    <x v="0"/>
    <x v="0"/>
    <x v="0"/>
    <x v="78"/>
    <x v="7"/>
    <x v="58"/>
    <x v="18"/>
    <x v="1"/>
    <x v="305"/>
    <x v="0"/>
    <x v="2251"/>
  </r>
  <r>
    <x v="0"/>
    <x v="935"/>
    <x v="247"/>
    <x v="54"/>
    <x v="224"/>
    <x v="445"/>
    <x v="473"/>
    <x v="2105"/>
    <x v="607"/>
    <x v="416"/>
    <x v="656"/>
    <x v="649"/>
    <x v="2225"/>
    <x v="2225"/>
    <x v="2102"/>
    <x v="0"/>
    <x v="2212"/>
    <x v="2225"/>
    <x v="570"/>
    <x v="0"/>
    <x v="10"/>
    <x v="4"/>
    <x v="78"/>
    <x v="3"/>
    <x v="709"/>
    <x v="40"/>
    <x v="1"/>
    <x v="68"/>
    <x v="0"/>
    <x v="2252"/>
  </r>
  <r>
    <x v="0"/>
    <x v="423"/>
    <x v="159"/>
    <x v="26"/>
    <x v="0"/>
    <x v="107"/>
    <x v="17"/>
    <x v="2106"/>
    <x v="608"/>
    <x v="397"/>
    <x v="62"/>
    <x v="1301"/>
    <x v="2226"/>
    <x v="2226"/>
    <x v="2103"/>
    <x v="4"/>
    <x v="2213"/>
    <x v="2226"/>
    <x v="842"/>
    <x v="0"/>
    <x v="0"/>
    <x v="4"/>
    <x v="166"/>
    <x v="25"/>
    <x v="9"/>
    <x v="11"/>
    <x v="3"/>
    <x v="85"/>
    <x v="0"/>
    <x v="2253"/>
  </r>
  <r>
    <x v="0"/>
    <x v="936"/>
    <x v="399"/>
    <x v="153"/>
    <x v="0"/>
    <x v="206"/>
    <x v="462"/>
    <x v="2107"/>
    <x v="609"/>
    <x v="850"/>
    <x v="1148"/>
    <x v="259"/>
    <x v="2227"/>
    <x v="2227"/>
    <x v="2104"/>
    <x v="0"/>
    <x v="2214"/>
    <x v="2227"/>
    <x v="646"/>
    <x v="0"/>
    <x v="0"/>
    <x v="3"/>
    <x v="78"/>
    <x v="12"/>
    <x v="612"/>
    <x v="21"/>
    <x v="3"/>
    <x v="403"/>
    <x v="0"/>
    <x v="2254"/>
  </r>
  <r>
    <x v="0"/>
    <x v="779"/>
    <x v="399"/>
    <x v="33"/>
    <x v="0"/>
    <x v="770"/>
    <x v="20"/>
    <x v="2108"/>
    <x v="105"/>
    <x v="21"/>
    <x v="789"/>
    <x v="1648"/>
    <x v="2228"/>
    <x v="2228"/>
    <x v="2105"/>
    <x v="1"/>
    <x v="2215"/>
    <x v="2228"/>
    <x v="758"/>
    <x v="0"/>
    <x v="0"/>
    <x v="0"/>
    <x v="78"/>
    <x v="16"/>
    <x v="30"/>
    <x v="4"/>
    <x v="3"/>
    <x v="1"/>
    <x v="0"/>
    <x v="2255"/>
  </r>
  <r>
    <x v="0"/>
    <x v="937"/>
    <x v="28"/>
    <x v="77"/>
    <x v="0"/>
    <x v="79"/>
    <x v="409"/>
    <x v="2109"/>
    <x v="610"/>
    <x v="875"/>
    <x v="1395"/>
    <x v="1649"/>
    <x v="2229"/>
    <x v="2229"/>
    <x v="2106"/>
    <x v="1"/>
    <x v="2216"/>
    <x v="2229"/>
    <x v="783"/>
    <x v="13"/>
    <x v="14"/>
    <x v="4"/>
    <x v="78"/>
    <x v="14"/>
    <x v="397"/>
    <x v="6"/>
    <x v="1"/>
    <x v="1"/>
    <x v="0"/>
    <x v="2256"/>
  </r>
  <r>
    <x v="0"/>
    <x v="113"/>
    <x v="4"/>
    <x v="119"/>
    <x v="88"/>
    <x v="349"/>
    <x v="474"/>
    <x v="4"/>
    <x v="125"/>
    <x v="876"/>
    <x v="1396"/>
    <x v="1650"/>
    <x v="2230"/>
    <x v="2230"/>
    <x v="2107"/>
    <x v="4"/>
    <x v="2217"/>
    <x v="2230"/>
    <x v="843"/>
    <x v="0"/>
    <x v="0"/>
    <x v="1"/>
    <x v="4"/>
    <x v="4"/>
    <x v="358"/>
    <x v="10"/>
    <x v="8"/>
    <x v="404"/>
    <x v="0"/>
    <x v="2257"/>
  </r>
  <r>
    <x v="0"/>
    <x v="938"/>
    <x v="425"/>
    <x v="76"/>
    <x v="0"/>
    <x v="131"/>
    <x v="22"/>
    <x v="2110"/>
    <x v="611"/>
    <x v="197"/>
    <x v="1331"/>
    <x v="161"/>
    <x v="2231"/>
    <x v="2231"/>
    <x v="2108"/>
    <x v="1"/>
    <x v="2218"/>
    <x v="2231"/>
    <x v="678"/>
    <x v="0"/>
    <x v="0"/>
    <x v="3"/>
    <x v="82"/>
    <x v="19"/>
    <x v="36"/>
    <x v="61"/>
    <x v="3"/>
    <x v="206"/>
    <x v="0"/>
    <x v="2258"/>
  </r>
  <r>
    <x v="0"/>
    <x v="12"/>
    <x v="275"/>
    <x v="57"/>
    <x v="7"/>
    <x v="2"/>
    <x v="111"/>
    <x v="2111"/>
    <x v="270"/>
    <x v="877"/>
    <x v="1397"/>
    <x v="1651"/>
    <x v="2232"/>
    <x v="2232"/>
    <x v="2109"/>
    <x v="0"/>
    <x v="2219"/>
    <x v="2232"/>
    <x v="273"/>
    <x v="19"/>
    <x v="0"/>
    <x v="0"/>
    <x v="78"/>
    <x v="1"/>
    <x v="553"/>
    <x v="32"/>
    <x v="1"/>
    <x v="1"/>
    <x v="0"/>
    <x v="2259"/>
  </r>
  <r>
    <x v="0"/>
    <x v="114"/>
    <x v="203"/>
    <x v="23"/>
    <x v="0"/>
    <x v="185"/>
    <x v="18"/>
    <x v="2112"/>
    <x v="270"/>
    <x v="19"/>
    <x v="170"/>
    <x v="1652"/>
    <x v="2233"/>
    <x v="2233"/>
    <x v="2110"/>
    <x v="0"/>
    <x v="2220"/>
    <x v="2233"/>
    <x v="594"/>
    <x v="0"/>
    <x v="0"/>
    <x v="4"/>
    <x v="78"/>
    <x v="17"/>
    <x v="114"/>
    <x v="16"/>
    <x v="3"/>
    <x v="1"/>
    <x v="0"/>
    <x v="2260"/>
  </r>
  <r>
    <x v="0"/>
    <x v="939"/>
    <x v="379"/>
    <x v="95"/>
    <x v="216"/>
    <x v="620"/>
    <x v="285"/>
    <x v="2113"/>
    <x v="28"/>
    <x v="812"/>
    <x v="1398"/>
    <x v="1653"/>
    <x v="2234"/>
    <x v="2234"/>
    <x v="2111"/>
    <x v="0"/>
    <x v="2221"/>
    <x v="2234"/>
    <x v="460"/>
    <x v="0"/>
    <x v="0"/>
    <x v="0"/>
    <x v="78"/>
    <x v="14"/>
    <x v="432"/>
    <x v="27"/>
    <x v="1"/>
    <x v="405"/>
    <x v="0"/>
    <x v="2261"/>
  </r>
  <r>
    <x v="0"/>
    <x v="534"/>
    <x v="113"/>
    <x v="40"/>
    <x v="264"/>
    <x v="9"/>
    <x v="30"/>
    <x v="1315"/>
    <x v="49"/>
    <x v="224"/>
    <x v="642"/>
    <x v="533"/>
    <x v="1365"/>
    <x v="2235"/>
    <x v="2112"/>
    <x v="1"/>
    <x v="1356"/>
    <x v="1365"/>
    <x v="731"/>
    <x v="0"/>
    <x v="0"/>
    <x v="0"/>
    <x v="160"/>
    <x v="8"/>
    <x v="47"/>
    <x v="31"/>
    <x v="1"/>
    <x v="64"/>
    <x v="0"/>
    <x v="2262"/>
  </r>
  <r>
    <x v="0"/>
    <x v="940"/>
    <x v="225"/>
    <x v="59"/>
    <x v="89"/>
    <x v="771"/>
    <x v="475"/>
    <x v="2114"/>
    <x v="127"/>
    <x v="878"/>
    <x v="719"/>
    <x v="1654"/>
    <x v="2235"/>
    <x v="2236"/>
    <x v="2113"/>
    <x v="3"/>
    <x v="2222"/>
    <x v="2235"/>
    <x v="578"/>
    <x v="0"/>
    <x v="0"/>
    <x v="0"/>
    <x v="78"/>
    <x v="17"/>
    <x v="432"/>
    <x v="23"/>
    <x v="3"/>
    <x v="252"/>
    <x v="0"/>
    <x v="2263"/>
  </r>
  <r>
    <x v="0"/>
    <x v="941"/>
    <x v="225"/>
    <x v="42"/>
    <x v="222"/>
    <x v="772"/>
    <x v="476"/>
    <x v="2115"/>
    <x v="127"/>
    <x v="879"/>
    <x v="1399"/>
    <x v="1655"/>
    <x v="2236"/>
    <x v="2237"/>
    <x v="2114"/>
    <x v="4"/>
    <x v="2223"/>
    <x v="2236"/>
    <x v="469"/>
    <x v="0"/>
    <x v="0"/>
    <x v="0"/>
    <x v="78"/>
    <x v="21"/>
    <x v="14"/>
    <x v="43"/>
    <x v="3"/>
    <x v="103"/>
    <x v="0"/>
    <x v="2264"/>
  </r>
  <r>
    <x v="0"/>
    <x v="942"/>
    <x v="279"/>
    <x v="72"/>
    <x v="325"/>
    <x v="45"/>
    <x v="0"/>
    <x v="2116"/>
    <x v="612"/>
    <x v="880"/>
    <x v="502"/>
    <x v="1656"/>
    <x v="2237"/>
    <x v="2238"/>
    <x v="2115"/>
    <x v="0"/>
    <x v="2224"/>
    <x v="2237"/>
    <x v="559"/>
    <x v="0"/>
    <x v="0"/>
    <x v="4"/>
    <x v="4"/>
    <x v="0"/>
    <x v="324"/>
    <x v="38"/>
    <x v="3"/>
    <x v="7"/>
    <x v="0"/>
    <x v="2265"/>
  </r>
  <r>
    <x v="0"/>
    <x v="943"/>
    <x v="434"/>
    <x v="154"/>
    <x v="179"/>
    <x v="184"/>
    <x v="145"/>
    <x v="2117"/>
    <x v="406"/>
    <x v="269"/>
    <x v="1400"/>
    <x v="899"/>
    <x v="2238"/>
    <x v="2239"/>
    <x v="2116"/>
    <x v="5"/>
    <x v="2225"/>
    <x v="2238"/>
    <x v="360"/>
    <x v="0"/>
    <x v="0"/>
    <x v="3"/>
    <x v="78"/>
    <x v="52"/>
    <x v="345"/>
    <x v="4"/>
    <x v="16"/>
    <x v="103"/>
    <x v="0"/>
    <x v="2266"/>
  </r>
  <r>
    <x v="0"/>
    <x v="944"/>
    <x v="297"/>
    <x v="70"/>
    <x v="217"/>
    <x v="87"/>
    <x v="94"/>
    <x v="4"/>
    <x v="171"/>
    <x v="218"/>
    <x v="623"/>
    <x v="1657"/>
    <x v="2239"/>
    <x v="2240"/>
    <x v="2117"/>
    <x v="0"/>
    <x v="2226"/>
    <x v="2239"/>
    <x v="671"/>
    <x v="0"/>
    <x v="0"/>
    <x v="0"/>
    <x v="199"/>
    <x v="2"/>
    <x v="388"/>
    <x v="5"/>
    <x v="1"/>
    <x v="1"/>
    <x v="0"/>
    <x v="2267"/>
  </r>
  <r>
    <x v="0"/>
    <x v="705"/>
    <x v="387"/>
    <x v="76"/>
    <x v="228"/>
    <x v="54"/>
    <x v="366"/>
    <x v="2118"/>
    <x v="125"/>
    <x v="665"/>
    <x v="648"/>
    <x v="68"/>
    <x v="2240"/>
    <x v="2241"/>
    <x v="137"/>
    <x v="0"/>
    <x v="2227"/>
    <x v="2240"/>
    <x v="844"/>
    <x v="0"/>
    <x v="0"/>
    <x v="0"/>
    <x v="131"/>
    <x v="8"/>
    <x v="196"/>
    <x v="68"/>
    <x v="3"/>
    <x v="1"/>
    <x v="0"/>
    <x v="2268"/>
  </r>
  <r>
    <x v="0"/>
    <x v="554"/>
    <x v="283"/>
    <x v="76"/>
    <x v="269"/>
    <x v="294"/>
    <x v="477"/>
    <x v="2119"/>
    <x v="23"/>
    <x v="881"/>
    <x v="1063"/>
    <x v="1658"/>
    <x v="2241"/>
    <x v="2242"/>
    <x v="2118"/>
    <x v="5"/>
    <x v="2228"/>
    <x v="2241"/>
    <x v="472"/>
    <x v="0"/>
    <x v="0"/>
    <x v="0"/>
    <x v="146"/>
    <x v="0"/>
    <x v="577"/>
    <x v="20"/>
    <x v="1"/>
    <x v="1"/>
    <x v="0"/>
    <x v="2269"/>
  </r>
  <r>
    <x v="0"/>
    <x v="230"/>
    <x v="384"/>
    <x v="50"/>
    <x v="151"/>
    <x v="452"/>
    <x v="57"/>
    <x v="2120"/>
    <x v="26"/>
    <x v="192"/>
    <x v="630"/>
    <x v="1659"/>
    <x v="2242"/>
    <x v="2243"/>
    <x v="2119"/>
    <x v="1"/>
    <x v="2229"/>
    <x v="2242"/>
    <x v="360"/>
    <x v="0"/>
    <x v="0"/>
    <x v="2"/>
    <x v="78"/>
    <x v="13"/>
    <x v="393"/>
    <x v="4"/>
    <x v="3"/>
    <x v="1"/>
    <x v="0"/>
    <x v="2270"/>
  </r>
  <r>
    <x v="0"/>
    <x v="945"/>
    <x v="285"/>
    <x v="85"/>
    <x v="131"/>
    <x v="773"/>
    <x v="2"/>
    <x v="2121"/>
    <x v="127"/>
    <x v="104"/>
    <x v="1401"/>
    <x v="1660"/>
    <x v="2243"/>
    <x v="2244"/>
    <x v="2120"/>
    <x v="1"/>
    <x v="2230"/>
    <x v="2243"/>
    <x v="552"/>
    <x v="0"/>
    <x v="0"/>
    <x v="4"/>
    <x v="78"/>
    <x v="10"/>
    <x v="260"/>
    <x v="19"/>
    <x v="3"/>
    <x v="1"/>
    <x v="0"/>
    <x v="2271"/>
  </r>
  <r>
    <x v="0"/>
    <x v="946"/>
    <x v="172"/>
    <x v="54"/>
    <x v="198"/>
    <x v="640"/>
    <x v="160"/>
    <x v="2122"/>
    <x v="18"/>
    <x v="444"/>
    <x v="1402"/>
    <x v="1661"/>
    <x v="2244"/>
    <x v="2245"/>
    <x v="2121"/>
    <x v="4"/>
    <x v="2231"/>
    <x v="2244"/>
    <x v="651"/>
    <x v="0"/>
    <x v="10"/>
    <x v="0"/>
    <x v="78"/>
    <x v="3"/>
    <x v="610"/>
    <x v="9"/>
    <x v="1"/>
    <x v="7"/>
    <x v="0"/>
    <x v="2272"/>
  </r>
  <r>
    <x v="0"/>
    <x v="277"/>
    <x v="352"/>
    <x v="77"/>
    <x v="181"/>
    <x v="312"/>
    <x v="0"/>
    <x v="2123"/>
    <x v="125"/>
    <x v="52"/>
    <x v="1403"/>
    <x v="1662"/>
    <x v="2245"/>
    <x v="2246"/>
    <x v="2114"/>
    <x v="1"/>
    <x v="2232"/>
    <x v="2245"/>
    <x v="538"/>
    <x v="0"/>
    <x v="0"/>
    <x v="0"/>
    <x v="88"/>
    <x v="14"/>
    <x v="710"/>
    <x v="30"/>
    <x v="3"/>
    <x v="406"/>
    <x v="0"/>
    <x v="2273"/>
  </r>
  <r>
    <x v="0"/>
    <x v="396"/>
    <x v="322"/>
    <x v="45"/>
    <x v="224"/>
    <x v="774"/>
    <x v="8"/>
    <x v="2124"/>
    <x v="103"/>
    <x v="35"/>
    <x v="46"/>
    <x v="1663"/>
    <x v="2246"/>
    <x v="2247"/>
    <x v="2122"/>
    <x v="0"/>
    <x v="2233"/>
    <x v="2246"/>
    <x v="533"/>
    <x v="0"/>
    <x v="0"/>
    <x v="4"/>
    <x v="78"/>
    <x v="0"/>
    <x v="36"/>
    <x v="5"/>
    <x v="3"/>
    <x v="1"/>
    <x v="0"/>
    <x v="2274"/>
  </r>
  <r>
    <x v="0"/>
    <x v="696"/>
    <x v="334"/>
    <x v="42"/>
    <x v="201"/>
    <x v="112"/>
    <x v="0"/>
    <x v="2125"/>
    <x v="70"/>
    <x v="51"/>
    <x v="705"/>
    <x v="1664"/>
    <x v="2247"/>
    <x v="2248"/>
    <x v="2123"/>
    <x v="2"/>
    <x v="2234"/>
    <x v="2247"/>
    <x v="514"/>
    <x v="0"/>
    <x v="0"/>
    <x v="4"/>
    <x v="78"/>
    <x v="24"/>
    <x v="114"/>
    <x v="7"/>
    <x v="3"/>
    <x v="107"/>
    <x v="0"/>
    <x v="2275"/>
  </r>
  <r>
    <x v="0"/>
    <x v="947"/>
    <x v="413"/>
    <x v="32"/>
    <x v="85"/>
    <x v="754"/>
    <x v="318"/>
    <x v="2126"/>
    <x v="406"/>
    <x v="882"/>
    <x v="1404"/>
    <x v="1665"/>
    <x v="2248"/>
    <x v="2249"/>
    <x v="2124"/>
    <x v="0"/>
    <x v="2235"/>
    <x v="2248"/>
    <x v="299"/>
    <x v="0"/>
    <x v="0"/>
    <x v="2"/>
    <x v="78"/>
    <x v="7"/>
    <x v="197"/>
    <x v="22"/>
    <x v="1"/>
    <x v="1"/>
    <x v="0"/>
    <x v="2276"/>
  </r>
  <r>
    <x v="0"/>
    <x v="120"/>
    <x v="290"/>
    <x v="59"/>
    <x v="77"/>
    <x v="666"/>
    <x v="22"/>
    <x v="2127"/>
    <x v="613"/>
    <x v="240"/>
    <x v="1405"/>
    <x v="1205"/>
    <x v="2249"/>
    <x v="2250"/>
    <x v="2125"/>
    <x v="4"/>
    <x v="2236"/>
    <x v="2249"/>
    <x v="614"/>
    <x v="0"/>
    <x v="1"/>
    <x v="4"/>
    <x v="116"/>
    <x v="19"/>
    <x v="41"/>
    <x v="1"/>
    <x v="1"/>
    <x v="407"/>
    <x v="0"/>
    <x v="2277"/>
  </r>
  <r>
    <x v="0"/>
    <x v="1"/>
    <x v="150"/>
    <x v="58"/>
    <x v="1"/>
    <x v="201"/>
    <x v="25"/>
    <x v="2128"/>
    <x v="200"/>
    <x v="76"/>
    <x v="1406"/>
    <x v="254"/>
    <x v="2250"/>
    <x v="2251"/>
    <x v="2126"/>
    <x v="1"/>
    <x v="2237"/>
    <x v="2250"/>
    <x v="271"/>
    <x v="0"/>
    <x v="0"/>
    <x v="4"/>
    <x v="134"/>
    <x v="12"/>
    <x v="104"/>
    <x v="4"/>
    <x v="3"/>
    <x v="1"/>
    <x v="0"/>
    <x v="2278"/>
  </r>
  <r>
    <x v="1"/>
    <x v="382"/>
    <x v="272"/>
    <x v="50"/>
    <x v="71"/>
    <x v="493"/>
    <x v="263"/>
    <x v="2129"/>
    <x v="614"/>
    <x v="478"/>
    <x v="467"/>
    <x v="738"/>
    <x v="2251"/>
    <x v="2252"/>
    <x v="300"/>
    <x v="4"/>
    <x v="2238"/>
    <x v="2251"/>
    <x v="244"/>
    <x v="0"/>
    <x v="0"/>
    <x v="4"/>
    <x v="78"/>
    <x v="19"/>
    <x v="306"/>
    <x v="9"/>
    <x v="1"/>
    <x v="408"/>
    <x v="0"/>
    <x v="2279"/>
  </r>
  <r>
    <x v="0"/>
    <x v="387"/>
    <x v="134"/>
    <x v="58"/>
    <x v="219"/>
    <x v="738"/>
    <x v="478"/>
    <x v="2130"/>
    <x v="196"/>
    <x v="883"/>
    <x v="1407"/>
    <x v="1666"/>
    <x v="2252"/>
    <x v="2253"/>
    <x v="2127"/>
    <x v="3"/>
    <x v="2239"/>
    <x v="2252"/>
    <x v="568"/>
    <x v="0"/>
    <x v="0"/>
    <x v="0"/>
    <x v="78"/>
    <x v="8"/>
    <x v="711"/>
    <x v="10"/>
    <x v="3"/>
    <x v="1"/>
    <x v="0"/>
    <x v="2280"/>
  </r>
  <r>
    <x v="0"/>
    <x v="200"/>
    <x v="316"/>
    <x v="26"/>
    <x v="140"/>
    <x v="731"/>
    <x v="328"/>
    <x v="2131"/>
    <x v="23"/>
    <x v="884"/>
    <x v="592"/>
    <x v="1667"/>
    <x v="2253"/>
    <x v="2254"/>
    <x v="2128"/>
    <x v="1"/>
    <x v="2240"/>
    <x v="2253"/>
    <x v="277"/>
    <x v="0"/>
    <x v="0"/>
    <x v="0"/>
    <x v="134"/>
    <x v="0"/>
    <x v="120"/>
    <x v="23"/>
    <x v="1"/>
    <x v="1"/>
    <x v="0"/>
    <x v="2281"/>
  </r>
  <r>
    <x v="0"/>
    <x v="57"/>
    <x v="498"/>
    <x v="38"/>
    <x v="42"/>
    <x v="62"/>
    <x v="30"/>
    <x v="2132"/>
    <x v="409"/>
    <x v="53"/>
    <x v="579"/>
    <x v="77"/>
    <x v="2254"/>
    <x v="2255"/>
    <x v="2129"/>
    <x v="0"/>
    <x v="2241"/>
    <x v="2254"/>
    <x v="196"/>
    <x v="0"/>
    <x v="1"/>
    <x v="4"/>
    <x v="78"/>
    <x v="5"/>
    <x v="30"/>
    <x v="13"/>
    <x v="1"/>
    <x v="68"/>
    <x v="0"/>
    <x v="2282"/>
  </r>
  <r>
    <x v="0"/>
    <x v="948"/>
    <x v="451"/>
    <x v="41"/>
    <x v="174"/>
    <x v="775"/>
    <x v="432"/>
    <x v="2133"/>
    <x v="530"/>
    <x v="783"/>
    <x v="1408"/>
    <x v="1668"/>
    <x v="2255"/>
    <x v="2256"/>
    <x v="2130"/>
    <x v="0"/>
    <x v="2242"/>
    <x v="2255"/>
    <x v="721"/>
    <x v="0"/>
    <x v="0"/>
    <x v="2"/>
    <x v="78"/>
    <x v="24"/>
    <x v="304"/>
    <x v="44"/>
    <x v="3"/>
    <x v="409"/>
    <x v="0"/>
    <x v="2283"/>
  </r>
  <r>
    <x v="0"/>
    <x v="152"/>
    <x v="61"/>
    <x v="58"/>
    <x v="16"/>
    <x v="764"/>
    <x v="268"/>
    <x v="2134"/>
    <x v="125"/>
    <x v="885"/>
    <x v="1409"/>
    <x v="1669"/>
    <x v="2256"/>
    <x v="2257"/>
    <x v="1458"/>
    <x v="4"/>
    <x v="2243"/>
    <x v="2256"/>
    <x v="527"/>
    <x v="0"/>
    <x v="1"/>
    <x v="0"/>
    <x v="78"/>
    <x v="8"/>
    <x v="22"/>
    <x v="21"/>
    <x v="1"/>
    <x v="1"/>
    <x v="0"/>
    <x v="2284"/>
  </r>
  <r>
    <x v="0"/>
    <x v="491"/>
    <x v="312"/>
    <x v="33"/>
    <x v="253"/>
    <x v="345"/>
    <x v="15"/>
    <x v="2135"/>
    <x v="615"/>
    <x v="212"/>
    <x v="1410"/>
    <x v="1670"/>
    <x v="2257"/>
    <x v="2258"/>
    <x v="449"/>
    <x v="1"/>
    <x v="2244"/>
    <x v="2257"/>
    <x v="454"/>
    <x v="0"/>
    <x v="1"/>
    <x v="4"/>
    <x v="78"/>
    <x v="12"/>
    <x v="602"/>
    <x v="1"/>
    <x v="3"/>
    <x v="1"/>
    <x v="0"/>
    <x v="2285"/>
  </r>
  <r>
    <x v="0"/>
    <x v="837"/>
    <x v="418"/>
    <x v="69"/>
    <x v="309"/>
    <x v="232"/>
    <x v="21"/>
    <x v="2136"/>
    <x v="28"/>
    <x v="141"/>
    <x v="1042"/>
    <x v="294"/>
    <x v="2258"/>
    <x v="2259"/>
    <x v="2131"/>
    <x v="3"/>
    <x v="2245"/>
    <x v="2258"/>
    <x v="170"/>
    <x v="0"/>
    <x v="0"/>
    <x v="4"/>
    <x v="78"/>
    <x v="6"/>
    <x v="47"/>
    <x v="22"/>
    <x v="1"/>
    <x v="1"/>
    <x v="0"/>
    <x v="2286"/>
  </r>
  <r>
    <x v="0"/>
    <x v="696"/>
    <x v="209"/>
    <x v="45"/>
    <x v="201"/>
    <x v="606"/>
    <x v="2"/>
    <x v="2137"/>
    <x v="125"/>
    <x v="740"/>
    <x v="1411"/>
    <x v="1204"/>
    <x v="2259"/>
    <x v="2260"/>
    <x v="2132"/>
    <x v="4"/>
    <x v="2246"/>
    <x v="2259"/>
    <x v="104"/>
    <x v="0"/>
    <x v="0"/>
    <x v="4"/>
    <x v="78"/>
    <x v="13"/>
    <x v="712"/>
    <x v="38"/>
    <x v="3"/>
    <x v="1"/>
    <x v="0"/>
    <x v="2287"/>
  </r>
  <r>
    <x v="0"/>
    <x v="949"/>
    <x v="225"/>
    <x v="42"/>
    <x v="198"/>
    <x v="551"/>
    <x v="35"/>
    <x v="2138"/>
    <x v="127"/>
    <x v="499"/>
    <x v="297"/>
    <x v="1671"/>
    <x v="2260"/>
    <x v="2261"/>
    <x v="2133"/>
    <x v="4"/>
    <x v="2247"/>
    <x v="2260"/>
    <x v="239"/>
    <x v="0"/>
    <x v="5"/>
    <x v="0"/>
    <x v="78"/>
    <x v="15"/>
    <x v="30"/>
    <x v="9"/>
    <x v="15"/>
    <x v="410"/>
    <x v="0"/>
    <x v="2288"/>
  </r>
  <r>
    <x v="0"/>
    <x v="813"/>
    <x v="177"/>
    <x v="59"/>
    <x v="217"/>
    <x v="379"/>
    <x v="21"/>
    <x v="2139"/>
    <x v="200"/>
    <x v="71"/>
    <x v="1412"/>
    <x v="1672"/>
    <x v="2261"/>
    <x v="2262"/>
    <x v="2134"/>
    <x v="1"/>
    <x v="2248"/>
    <x v="2261"/>
    <x v="756"/>
    <x v="0"/>
    <x v="0"/>
    <x v="4"/>
    <x v="78"/>
    <x v="2"/>
    <x v="30"/>
    <x v="4"/>
    <x v="1"/>
    <x v="68"/>
    <x v="0"/>
    <x v="2289"/>
  </r>
  <r>
    <x v="0"/>
    <x v="435"/>
    <x v="393"/>
    <x v="11"/>
    <x v="236"/>
    <x v="204"/>
    <x v="13"/>
    <x v="2140"/>
    <x v="70"/>
    <x v="158"/>
    <x v="673"/>
    <x v="1673"/>
    <x v="2262"/>
    <x v="2263"/>
    <x v="2135"/>
    <x v="0"/>
    <x v="2249"/>
    <x v="2262"/>
    <x v="427"/>
    <x v="0"/>
    <x v="0"/>
    <x v="0"/>
    <x v="78"/>
    <x v="30"/>
    <x v="12"/>
    <x v="19"/>
    <x v="1"/>
    <x v="411"/>
    <x v="0"/>
    <x v="2290"/>
  </r>
  <r>
    <x v="0"/>
    <x v="696"/>
    <x v="474"/>
    <x v="59"/>
    <x v="201"/>
    <x v="621"/>
    <x v="0"/>
    <x v="2141"/>
    <x v="616"/>
    <x v="450"/>
    <x v="1413"/>
    <x v="1674"/>
    <x v="2263"/>
    <x v="2264"/>
    <x v="337"/>
    <x v="0"/>
    <x v="2250"/>
    <x v="2263"/>
    <x v="629"/>
    <x v="0"/>
    <x v="0"/>
    <x v="4"/>
    <x v="78"/>
    <x v="25"/>
    <x v="713"/>
    <x v="2"/>
    <x v="3"/>
    <x v="1"/>
    <x v="0"/>
    <x v="2291"/>
  </r>
  <r>
    <x v="0"/>
    <x v="189"/>
    <x v="188"/>
    <x v="101"/>
    <x v="0"/>
    <x v="558"/>
    <x v="13"/>
    <x v="1998"/>
    <x v="125"/>
    <x v="13"/>
    <x v="43"/>
    <x v="885"/>
    <x v="2110"/>
    <x v="2110"/>
    <x v="2001"/>
    <x v="0"/>
    <x v="2097"/>
    <x v="2110"/>
    <x v="614"/>
    <x v="0"/>
    <x v="0"/>
    <x v="4"/>
    <x v="195"/>
    <x v="1"/>
    <x v="33"/>
    <x v="38"/>
    <x v="3"/>
    <x v="1"/>
    <x v="0"/>
    <x v="2292"/>
  </r>
  <r>
    <x v="0"/>
    <x v="33"/>
    <x v="146"/>
    <x v="70"/>
    <x v="0"/>
    <x v="776"/>
    <x v="479"/>
    <x v="2142"/>
    <x v="23"/>
    <x v="886"/>
    <x v="213"/>
    <x v="1675"/>
    <x v="2264"/>
    <x v="2265"/>
    <x v="1653"/>
    <x v="0"/>
    <x v="2251"/>
    <x v="2264"/>
    <x v="845"/>
    <x v="0"/>
    <x v="0"/>
    <x v="4"/>
    <x v="78"/>
    <x v="1"/>
    <x v="539"/>
    <x v="2"/>
    <x v="1"/>
    <x v="1"/>
    <x v="0"/>
    <x v="2293"/>
  </r>
  <r>
    <x v="0"/>
    <x v="606"/>
    <x v="202"/>
    <x v="77"/>
    <x v="79"/>
    <x v="267"/>
    <x v="13"/>
    <x v="2143"/>
    <x v="457"/>
    <x v="158"/>
    <x v="699"/>
    <x v="1676"/>
    <x v="2265"/>
    <x v="2266"/>
    <x v="2136"/>
    <x v="1"/>
    <x v="2252"/>
    <x v="2265"/>
    <x v="426"/>
    <x v="0"/>
    <x v="0"/>
    <x v="0"/>
    <x v="175"/>
    <x v="0"/>
    <x v="30"/>
    <x v="13"/>
    <x v="1"/>
    <x v="7"/>
    <x v="0"/>
    <x v="2294"/>
  </r>
  <r>
    <x v="0"/>
    <x v="950"/>
    <x v="424"/>
    <x v="76"/>
    <x v="50"/>
    <x v="491"/>
    <x v="77"/>
    <x v="2144"/>
    <x v="207"/>
    <x v="887"/>
    <x v="1414"/>
    <x v="1677"/>
    <x v="2266"/>
    <x v="2267"/>
    <x v="2137"/>
    <x v="3"/>
    <x v="2253"/>
    <x v="2266"/>
    <x v="756"/>
    <x v="0"/>
    <x v="8"/>
    <x v="2"/>
    <x v="78"/>
    <x v="14"/>
    <x v="714"/>
    <x v="68"/>
    <x v="1"/>
    <x v="1"/>
    <x v="0"/>
    <x v="2295"/>
  </r>
  <r>
    <x v="0"/>
    <x v="243"/>
    <x v="365"/>
    <x v="105"/>
    <x v="123"/>
    <x v="691"/>
    <x v="65"/>
    <x v="2145"/>
    <x v="132"/>
    <x v="116"/>
    <x v="1415"/>
    <x v="1678"/>
    <x v="2267"/>
    <x v="2268"/>
    <x v="2138"/>
    <x v="4"/>
    <x v="2254"/>
    <x v="2267"/>
    <x v="758"/>
    <x v="0"/>
    <x v="8"/>
    <x v="0"/>
    <x v="152"/>
    <x v="12"/>
    <x v="622"/>
    <x v="34"/>
    <x v="3"/>
    <x v="412"/>
    <x v="0"/>
    <x v="2296"/>
  </r>
  <r>
    <x v="0"/>
    <x v="243"/>
    <x v="302"/>
    <x v="43"/>
    <x v="123"/>
    <x v="86"/>
    <x v="352"/>
    <x v="2146"/>
    <x v="132"/>
    <x v="635"/>
    <x v="799"/>
    <x v="109"/>
    <x v="2268"/>
    <x v="2269"/>
    <x v="2139"/>
    <x v="3"/>
    <x v="2255"/>
    <x v="2268"/>
    <x v="721"/>
    <x v="0"/>
    <x v="0"/>
    <x v="0"/>
    <x v="78"/>
    <x v="1"/>
    <x v="170"/>
    <x v="33"/>
    <x v="3"/>
    <x v="413"/>
    <x v="0"/>
    <x v="2297"/>
  </r>
  <r>
    <x v="0"/>
    <x v="322"/>
    <x v="352"/>
    <x v="26"/>
    <x v="91"/>
    <x v="130"/>
    <x v="309"/>
    <x v="2147"/>
    <x v="242"/>
    <x v="888"/>
    <x v="1416"/>
    <x v="752"/>
    <x v="2269"/>
    <x v="2270"/>
    <x v="1825"/>
    <x v="3"/>
    <x v="2256"/>
    <x v="2269"/>
    <x v="426"/>
    <x v="0"/>
    <x v="0"/>
    <x v="0"/>
    <x v="78"/>
    <x v="14"/>
    <x v="35"/>
    <x v="22"/>
    <x v="3"/>
    <x v="414"/>
    <x v="0"/>
    <x v="2298"/>
  </r>
  <r>
    <x v="0"/>
    <x v="227"/>
    <x v="464"/>
    <x v="39"/>
    <x v="63"/>
    <x v="145"/>
    <x v="262"/>
    <x v="4"/>
    <x v="617"/>
    <x v="889"/>
    <x v="1417"/>
    <x v="1679"/>
    <x v="2270"/>
    <x v="2271"/>
    <x v="1285"/>
    <x v="0"/>
    <x v="2257"/>
    <x v="2270"/>
    <x v="398"/>
    <x v="0"/>
    <x v="0"/>
    <x v="3"/>
    <x v="78"/>
    <x v="50"/>
    <x v="454"/>
    <x v="15"/>
    <x v="1"/>
    <x v="415"/>
    <x v="0"/>
    <x v="2299"/>
  </r>
  <r>
    <x v="0"/>
    <x v="602"/>
    <x v="79"/>
    <x v="2"/>
    <x v="0"/>
    <x v="424"/>
    <x v="480"/>
    <x v="2148"/>
    <x v="618"/>
    <x v="890"/>
    <x v="1418"/>
    <x v="1680"/>
    <x v="2271"/>
    <x v="2272"/>
    <x v="2140"/>
    <x v="0"/>
    <x v="2258"/>
    <x v="2271"/>
    <x v="579"/>
    <x v="0"/>
    <x v="0"/>
    <x v="4"/>
    <x v="78"/>
    <x v="11"/>
    <x v="715"/>
    <x v="10"/>
    <x v="3"/>
    <x v="45"/>
    <x v="0"/>
    <x v="2300"/>
  </r>
  <r>
    <x v="0"/>
    <x v="951"/>
    <x v="308"/>
    <x v="91"/>
    <x v="221"/>
    <x v="506"/>
    <x v="285"/>
    <x v="2149"/>
    <x v="21"/>
    <x v="521"/>
    <x v="639"/>
    <x v="761"/>
    <x v="2272"/>
    <x v="2273"/>
    <x v="2141"/>
    <x v="0"/>
    <x v="2259"/>
    <x v="2272"/>
    <x v="340"/>
    <x v="0"/>
    <x v="0"/>
    <x v="3"/>
    <x v="78"/>
    <x v="7"/>
    <x v="497"/>
    <x v="66"/>
    <x v="3"/>
    <x v="416"/>
    <x v="0"/>
    <x v="2301"/>
  </r>
  <r>
    <x v="0"/>
    <x v="952"/>
    <x v="409"/>
    <x v="47"/>
    <x v="134"/>
    <x v="99"/>
    <x v="481"/>
    <x v="2150"/>
    <x v="419"/>
    <x v="891"/>
    <x v="1419"/>
    <x v="909"/>
    <x v="2273"/>
    <x v="2274"/>
    <x v="2142"/>
    <x v="17"/>
    <x v="2260"/>
    <x v="2273"/>
    <x v="719"/>
    <x v="0"/>
    <x v="0"/>
    <x v="0"/>
    <x v="78"/>
    <x v="9"/>
    <x v="503"/>
    <x v="40"/>
    <x v="3"/>
    <x v="1"/>
    <x v="0"/>
    <x v="2302"/>
  </r>
  <r>
    <x v="0"/>
    <x v="113"/>
    <x v="396"/>
    <x v="142"/>
    <x v="88"/>
    <x v="730"/>
    <x v="0"/>
    <x v="4"/>
    <x v="171"/>
    <x v="277"/>
    <x v="1420"/>
    <x v="1681"/>
    <x v="2274"/>
    <x v="2275"/>
    <x v="2143"/>
    <x v="1"/>
    <x v="4"/>
    <x v="2274"/>
    <x v="654"/>
    <x v="0"/>
    <x v="0"/>
    <x v="5"/>
    <x v="4"/>
    <x v="4"/>
    <x v="287"/>
    <x v="7"/>
    <x v="12"/>
    <x v="1"/>
    <x v="0"/>
    <x v="2303"/>
  </r>
  <r>
    <x v="0"/>
    <x v="495"/>
    <x v="399"/>
    <x v="105"/>
    <x v="202"/>
    <x v="598"/>
    <x v="482"/>
    <x v="2151"/>
    <x v="219"/>
    <x v="892"/>
    <x v="1421"/>
    <x v="1682"/>
    <x v="2275"/>
    <x v="679"/>
    <x v="2144"/>
    <x v="4"/>
    <x v="2261"/>
    <x v="2275"/>
    <x v="49"/>
    <x v="0"/>
    <x v="0"/>
    <x v="0"/>
    <x v="176"/>
    <x v="8"/>
    <x v="15"/>
    <x v="44"/>
    <x v="1"/>
    <x v="162"/>
    <x v="0"/>
    <x v="2304"/>
  </r>
  <r>
    <x v="0"/>
    <x v="423"/>
    <x v="444"/>
    <x v="86"/>
    <x v="0"/>
    <x v="345"/>
    <x v="35"/>
    <x v="2152"/>
    <x v="26"/>
    <x v="461"/>
    <x v="1422"/>
    <x v="1683"/>
    <x v="2276"/>
    <x v="2276"/>
    <x v="2145"/>
    <x v="6"/>
    <x v="2262"/>
    <x v="2276"/>
    <x v="291"/>
    <x v="0"/>
    <x v="21"/>
    <x v="4"/>
    <x v="78"/>
    <x v="9"/>
    <x v="664"/>
    <x v="23"/>
    <x v="3"/>
    <x v="10"/>
    <x v="0"/>
    <x v="2305"/>
  </r>
  <r>
    <x v="0"/>
    <x v="953"/>
    <x v="309"/>
    <x v="7"/>
    <x v="184"/>
    <x v="745"/>
    <x v="81"/>
    <x v="2153"/>
    <x v="251"/>
    <x v="628"/>
    <x v="1423"/>
    <x v="1684"/>
    <x v="2277"/>
    <x v="2277"/>
    <x v="455"/>
    <x v="0"/>
    <x v="2263"/>
    <x v="2277"/>
    <x v="507"/>
    <x v="0"/>
    <x v="4"/>
    <x v="0"/>
    <x v="134"/>
    <x v="17"/>
    <x v="607"/>
    <x v="5"/>
    <x v="1"/>
    <x v="1"/>
    <x v="0"/>
    <x v="2306"/>
  </r>
  <r>
    <x v="0"/>
    <x v="802"/>
    <x v="459"/>
    <x v="101"/>
    <x v="195"/>
    <x v="44"/>
    <x v="0"/>
    <x v="2154"/>
    <x v="311"/>
    <x v="893"/>
    <x v="592"/>
    <x v="53"/>
    <x v="2278"/>
    <x v="2278"/>
    <x v="2146"/>
    <x v="2"/>
    <x v="2264"/>
    <x v="2278"/>
    <x v="452"/>
    <x v="0"/>
    <x v="0"/>
    <x v="4"/>
    <x v="78"/>
    <x v="8"/>
    <x v="120"/>
    <x v="43"/>
    <x v="1"/>
    <x v="417"/>
    <x v="0"/>
    <x v="2307"/>
  </r>
  <r>
    <x v="0"/>
    <x v="954"/>
    <x v="280"/>
    <x v="39"/>
    <x v="86"/>
    <x v="750"/>
    <x v="0"/>
    <x v="2155"/>
    <x v="619"/>
    <x v="51"/>
    <x v="1424"/>
    <x v="1685"/>
    <x v="2279"/>
    <x v="2279"/>
    <x v="1740"/>
    <x v="1"/>
    <x v="2265"/>
    <x v="2279"/>
    <x v="492"/>
    <x v="0"/>
    <x v="1"/>
    <x v="4"/>
    <x v="70"/>
    <x v="15"/>
    <x v="158"/>
    <x v="38"/>
    <x v="10"/>
    <x v="418"/>
    <x v="0"/>
    <x v="2308"/>
  </r>
  <r>
    <x v="0"/>
    <x v="955"/>
    <x v="399"/>
    <x v="11"/>
    <x v="47"/>
    <x v="380"/>
    <x v="0"/>
    <x v="2156"/>
    <x v="269"/>
    <x v="384"/>
    <x v="74"/>
    <x v="1197"/>
    <x v="2280"/>
    <x v="2280"/>
    <x v="2147"/>
    <x v="0"/>
    <x v="4"/>
    <x v="2280"/>
    <x v="138"/>
    <x v="0"/>
    <x v="12"/>
    <x v="0"/>
    <x v="78"/>
    <x v="2"/>
    <x v="30"/>
    <x v="38"/>
    <x v="1"/>
    <x v="61"/>
    <x v="0"/>
    <x v="2309"/>
  </r>
  <r>
    <x v="0"/>
    <x v="471"/>
    <x v="292"/>
    <x v="77"/>
    <x v="0"/>
    <x v="80"/>
    <x v="57"/>
    <x v="2157"/>
    <x v="283"/>
    <x v="125"/>
    <x v="370"/>
    <x v="829"/>
    <x v="2281"/>
    <x v="2281"/>
    <x v="232"/>
    <x v="3"/>
    <x v="2266"/>
    <x v="2281"/>
    <x v="600"/>
    <x v="0"/>
    <x v="1"/>
    <x v="4"/>
    <x v="159"/>
    <x v="10"/>
    <x v="10"/>
    <x v="12"/>
    <x v="3"/>
    <x v="88"/>
    <x v="0"/>
    <x v="2310"/>
  </r>
  <r>
    <x v="0"/>
    <x v="776"/>
    <x v="221"/>
    <x v="7"/>
    <x v="0"/>
    <x v="373"/>
    <x v="20"/>
    <x v="2158"/>
    <x v="620"/>
    <x v="21"/>
    <x v="1425"/>
    <x v="523"/>
    <x v="2282"/>
    <x v="2282"/>
    <x v="2148"/>
    <x v="0"/>
    <x v="2267"/>
    <x v="2282"/>
    <x v="300"/>
    <x v="0"/>
    <x v="0"/>
    <x v="4"/>
    <x v="200"/>
    <x v="7"/>
    <x v="249"/>
    <x v="1"/>
    <x v="3"/>
    <x v="1"/>
    <x v="0"/>
    <x v="2311"/>
  </r>
  <r>
    <x v="0"/>
    <x v="77"/>
    <x v="410"/>
    <x v="38"/>
    <x v="61"/>
    <x v="285"/>
    <x v="11"/>
    <x v="2159"/>
    <x v="122"/>
    <x v="69"/>
    <x v="492"/>
    <x v="1686"/>
    <x v="2283"/>
    <x v="2283"/>
    <x v="2149"/>
    <x v="4"/>
    <x v="2268"/>
    <x v="2283"/>
    <x v="678"/>
    <x v="0"/>
    <x v="0"/>
    <x v="2"/>
    <x v="78"/>
    <x v="3"/>
    <x v="30"/>
    <x v="13"/>
    <x v="3"/>
    <x v="38"/>
    <x v="0"/>
    <x v="2312"/>
  </r>
  <r>
    <x v="0"/>
    <x v="388"/>
    <x v="263"/>
    <x v="50"/>
    <x v="220"/>
    <x v="593"/>
    <x v="187"/>
    <x v="2160"/>
    <x v="577"/>
    <x v="894"/>
    <x v="1426"/>
    <x v="1687"/>
    <x v="2284"/>
    <x v="2284"/>
    <x v="2150"/>
    <x v="0"/>
    <x v="2269"/>
    <x v="2284"/>
    <x v="373"/>
    <x v="0"/>
    <x v="4"/>
    <x v="4"/>
    <x v="78"/>
    <x v="12"/>
    <x v="167"/>
    <x v="67"/>
    <x v="1"/>
    <x v="103"/>
    <x v="0"/>
    <x v="2313"/>
  </r>
  <r>
    <x v="0"/>
    <x v="772"/>
    <x v="212"/>
    <x v="70"/>
    <x v="301"/>
    <x v="775"/>
    <x v="72"/>
    <x v="2161"/>
    <x v="502"/>
    <x v="128"/>
    <x v="1427"/>
    <x v="1688"/>
    <x v="2285"/>
    <x v="2285"/>
    <x v="1444"/>
    <x v="3"/>
    <x v="2270"/>
    <x v="2285"/>
    <x v="592"/>
    <x v="0"/>
    <x v="0"/>
    <x v="2"/>
    <x v="78"/>
    <x v="0"/>
    <x v="542"/>
    <x v="21"/>
    <x v="1"/>
    <x v="103"/>
    <x v="0"/>
    <x v="2314"/>
  </r>
  <r>
    <x v="0"/>
    <x v="956"/>
    <x v="111"/>
    <x v="7"/>
    <x v="222"/>
    <x v="185"/>
    <x v="483"/>
    <x v="2162"/>
    <x v="260"/>
    <x v="895"/>
    <x v="298"/>
    <x v="1652"/>
    <x v="2286"/>
    <x v="2286"/>
    <x v="2151"/>
    <x v="1"/>
    <x v="2271"/>
    <x v="2286"/>
    <x v="336"/>
    <x v="0"/>
    <x v="0"/>
    <x v="4"/>
    <x v="78"/>
    <x v="14"/>
    <x v="588"/>
    <x v="9"/>
    <x v="3"/>
    <x v="1"/>
    <x v="0"/>
    <x v="2315"/>
  </r>
  <r>
    <x v="0"/>
    <x v="957"/>
    <x v="113"/>
    <x v="31"/>
    <x v="266"/>
    <x v="331"/>
    <x v="0"/>
    <x v="2163"/>
    <x v="28"/>
    <x v="247"/>
    <x v="1428"/>
    <x v="445"/>
    <x v="2287"/>
    <x v="2287"/>
    <x v="2152"/>
    <x v="0"/>
    <x v="2272"/>
    <x v="2287"/>
    <x v="454"/>
    <x v="0"/>
    <x v="0"/>
    <x v="4"/>
    <x v="78"/>
    <x v="11"/>
    <x v="716"/>
    <x v="15"/>
    <x v="1"/>
    <x v="1"/>
    <x v="0"/>
    <x v="2316"/>
  </r>
  <r>
    <x v="0"/>
    <x v="958"/>
    <x v="429"/>
    <x v="37"/>
    <x v="326"/>
    <x v="182"/>
    <x v="0"/>
    <x v="4"/>
    <x v="153"/>
    <x v="896"/>
    <x v="1105"/>
    <x v="1689"/>
    <x v="2288"/>
    <x v="2288"/>
    <x v="2153"/>
    <x v="0"/>
    <x v="2273"/>
    <x v="2288"/>
    <x v="386"/>
    <x v="0"/>
    <x v="4"/>
    <x v="4"/>
    <x v="78"/>
    <x v="8"/>
    <x v="413"/>
    <x v="12"/>
    <x v="1"/>
    <x v="419"/>
    <x v="0"/>
    <x v="2317"/>
  </r>
  <r>
    <x v="0"/>
    <x v="959"/>
    <x v="414"/>
    <x v="73"/>
    <x v="174"/>
    <x v="777"/>
    <x v="457"/>
    <x v="2164"/>
    <x v="113"/>
    <x v="897"/>
    <x v="1429"/>
    <x v="1690"/>
    <x v="2289"/>
    <x v="2289"/>
    <x v="2154"/>
    <x v="0"/>
    <x v="2274"/>
    <x v="2289"/>
    <x v="727"/>
    <x v="0"/>
    <x v="0"/>
    <x v="0"/>
    <x v="78"/>
    <x v="8"/>
    <x v="332"/>
    <x v="15"/>
    <x v="1"/>
    <x v="1"/>
    <x v="0"/>
    <x v="2318"/>
  </r>
  <r>
    <x v="1"/>
    <x v="960"/>
    <x v="99"/>
    <x v="24"/>
    <x v="215"/>
    <x v="707"/>
    <x v="29"/>
    <x v="2165"/>
    <x v="316"/>
    <x v="34"/>
    <x v="57"/>
    <x v="1691"/>
    <x v="2290"/>
    <x v="2290"/>
    <x v="2155"/>
    <x v="0"/>
    <x v="2275"/>
    <x v="2290"/>
    <x v="273"/>
    <x v="0"/>
    <x v="0"/>
    <x v="4"/>
    <x v="78"/>
    <x v="1"/>
    <x v="44"/>
    <x v="15"/>
    <x v="1"/>
    <x v="1"/>
    <x v="0"/>
    <x v="2319"/>
  </r>
  <r>
    <x v="0"/>
    <x v="961"/>
    <x v="323"/>
    <x v="41"/>
    <x v="107"/>
    <x v="270"/>
    <x v="10"/>
    <x v="2166"/>
    <x v="3"/>
    <x v="10"/>
    <x v="259"/>
    <x v="1461"/>
    <x v="2291"/>
    <x v="2291"/>
    <x v="2156"/>
    <x v="3"/>
    <x v="2276"/>
    <x v="2291"/>
    <x v="277"/>
    <x v="0"/>
    <x v="0"/>
    <x v="0"/>
    <x v="78"/>
    <x v="3"/>
    <x v="44"/>
    <x v="41"/>
    <x v="1"/>
    <x v="1"/>
    <x v="0"/>
    <x v="2320"/>
  </r>
  <r>
    <x v="0"/>
    <x v="692"/>
    <x v="499"/>
    <x v="37"/>
    <x v="0"/>
    <x v="338"/>
    <x v="43"/>
    <x v="2167"/>
    <x v="621"/>
    <x v="825"/>
    <x v="1368"/>
    <x v="1692"/>
    <x v="2292"/>
    <x v="2292"/>
    <x v="2157"/>
    <x v="2"/>
    <x v="2277"/>
    <x v="2292"/>
    <x v="715"/>
    <x v="0"/>
    <x v="0"/>
    <x v="0"/>
    <x v="78"/>
    <x v="8"/>
    <x v="572"/>
    <x v="8"/>
    <x v="1"/>
    <x v="1"/>
    <x v="0"/>
    <x v="2321"/>
  </r>
  <r>
    <x v="0"/>
    <x v="962"/>
    <x v="114"/>
    <x v="23"/>
    <x v="0"/>
    <x v="559"/>
    <x v="13"/>
    <x v="2168"/>
    <x v="105"/>
    <x v="93"/>
    <x v="344"/>
    <x v="1693"/>
    <x v="2293"/>
    <x v="2293"/>
    <x v="2158"/>
    <x v="0"/>
    <x v="2278"/>
    <x v="2293"/>
    <x v="459"/>
    <x v="0"/>
    <x v="0"/>
    <x v="4"/>
    <x v="175"/>
    <x v="8"/>
    <x v="30"/>
    <x v="7"/>
    <x v="1"/>
    <x v="38"/>
    <x v="0"/>
    <x v="2322"/>
  </r>
  <r>
    <x v="0"/>
    <x v="656"/>
    <x v="215"/>
    <x v="90"/>
    <x v="280"/>
    <x v="331"/>
    <x v="442"/>
    <x v="2169"/>
    <x v="518"/>
    <x v="802"/>
    <x v="102"/>
    <x v="613"/>
    <x v="2294"/>
    <x v="2294"/>
    <x v="807"/>
    <x v="0"/>
    <x v="2279"/>
    <x v="2294"/>
    <x v="846"/>
    <x v="2"/>
    <x v="7"/>
    <x v="0"/>
    <x v="201"/>
    <x v="13"/>
    <x v="72"/>
    <x v="26"/>
    <x v="3"/>
    <x v="59"/>
    <x v="0"/>
    <x v="2323"/>
  </r>
  <r>
    <x v="1"/>
    <x v="651"/>
    <x v="474"/>
    <x v="37"/>
    <x v="188"/>
    <x v="118"/>
    <x v="484"/>
    <x v="2170"/>
    <x v="622"/>
    <x v="898"/>
    <x v="1430"/>
    <x v="1694"/>
    <x v="2295"/>
    <x v="2295"/>
    <x v="2159"/>
    <x v="7"/>
    <x v="2280"/>
    <x v="2295"/>
    <x v="327"/>
    <x v="3"/>
    <x v="10"/>
    <x v="0"/>
    <x v="78"/>
    <x v="17"/>
    <x v="86"/>
    <x v="8"/>
    <x v="1"/>
    <x v="420"/>
    <x v="0"/>
    <x v="2324"/>
  </r>
  <r>
    <x v="0"/>
    <x v="963"/>
    <x v="396"/>
    <x v="23"/>
    <x v="74"/>
    <x v="2"/>
    <x v="485"/>
    <x v="2171"/>
    <x v="623"/>
    <x v="899"/>
    <x v="1431"/>
    <x v="1695"/>
    <x v="2296"/>
    <x v="2296"/>
    <x v="2160"/>
    <x v="0"/>
    <x v="2281"/>
    <x v="2296"/>
    <x v="169"/>
    <x v="0"/>
    <x v="0"/>
    <x v="2"/>
    <x v="78"/>
    <x v="35"/>
    <x v="216"/>
    <x v="33"/>
    <x v="1"/>
    <x v="103"/>
    <x v="0"/>
    <x v="2325"/>
  </r>
  <r>
    <x v="0"/>
    <x v="837"/>
    <x v="188"/>
    <x v="27"/>
    <x v="309"/>
    <x v="185"/>
    <x v="0"/>
    <x v="2172"/>
    <x v="604"/>
    <x v="167"/>
    <x v="267"/>
    <x v="1652"/>
    <x v="2297"/>
    <x v="2297"/>
    <x v="680"/>
    <x v="1"/>
    <x v="2282"/>
    <x v="2297"/>
    <x v="423"/>
    <x v="0"/>
    <x v="5"/>
    <x v="4"/>
    <x v="126"/>
    <x v="12"/>
    <x v="34"/>
    <x v="38"/>
    <x v="1"/>
    <x v="1"/>
    <x v="0"/>
    <x v="2326"/>
  </r>
  <r>
    <x v="0"/>
    <x v="964"/>
    <x v="434"/>
    <x v="34"/>
    <x v="125"/>
    <x v="369"/>
    <x v="35"/>
    <x v="2173"/>
    <x v="122"/>
    <x v="900"/>
    <x v="1432"/>
    <x v="1696"/>
    <x v="2298"/>
    <x v="2298"/>
    <x v="2161"/>
    <x v="2"/>
    <x v="2283"/>
    <x v="2298"/>
    <x v="822"/>
    <x v="0"/>
    <x v="0"/>
    <x v="2"/>
    <x v="78"/>
    <x v="2"/>
    <x v="439"/>
    <x v="15"/>
    <x v="1"/>
    <x v="1"/>
    <x v="0"/>
    <x v="2327"/>
  </r>
  <r>
    <x v="0"/>
    <x v="835"/>
    <x v="419"/>
    <x v="110"/>
    <x v="308"/>
    <x v="763"/>
    <x v="276"/>
    <x v="2174"/>
    <x v="430"/>
    <x v="901"/>
    <x v="1273"/>
    <x v="1624"/>
    <x v="2299"/>
    <x v="2299"/>
    <x v="2162"/>
    <x v="4"/>
    <x v="2284"/>
    <x v="2299"/>
    <x v="421"/>
    <x v="0"/>
    <x v="0"/>
    <x v="4"/>
    <x v="78"/>
    <x v="17"/>
    <x v="196"/>
    <x v="66"/>
    <x v="3"/>
    <x v="421"/>
    <x v="0"/>
    <x v="2328"/>
  </r>
  <r>
    <x v="0"/>
    <x v="722"/>
    <x v="265"/>
    <x v="86"/>
    <x v="291"/>
    <x v="226"/>
    <x v="29"/>
    <x v="2175"/>
    <x v="102"/>
    <x v="34"/>
    <x v="1248"/>
    <x v="1697"/>
    <x v="2300"/>
    <x v="2300"/>
    <x v="2163"/>
    <x v="4"/>
    <x v="2285"/>
    <x v="2300"/>
    <x v="847"/>
    <x v="0"/>
    <x v="0"/>
    <x v="4"/>
    <x v="78"/>
    <x v="19"/>
    <x v="485"/>
    <x v="7"/>
    <x v="1"/>
    <x v="35"/>
    <x v="0"/>
    <x v="2329"/>
  </r>
  <r>
    <x v="0"/>
    <x v="150"/>
    <x v="334"/>
    <x v="31"/>
    <x v="111"/>
    <x v="621"/>
    <x v="473"/>
    <x v="2176"/>
    <x v="269"/>
    <x v="416"/>
    <x v="1433"/>
    <x v="1698"/>
    <x v="2301"/>
    <x v="2301"/>
    <x v="2164"/>
    <x v="2"/>
    <x v="2286"/>
    <x v="2301"/>
    <x v="631"/>
    <x v="0"/>
    <x v="5"/>
    <x v="4"/>
    <x v="88"/>
    <x v="8"/>
    <x v="689"/>
    <x v="1"/>
    <x v="1"/>
    <x v="103"/>
    <x v="0"/>
    <x v="2330"/>
  </r>
  <r>
    <x v="0"/>
    <x v="761"/>
    <x v="197"/>
    <x v="69"/>
    <x v="296"/>
    <x v="728"/>
    <x v="123"/>
    <x v="2177"/>
    <x v="368"/>
    <x v="233"/>
    <x v="1009"/>
    <x v="1459"/>
    <x v="2302"/>
    <x v="2302"/>
    <x v="2165"/>
    <x v="4"/>
    <x v="2287"/>
    <x v="2302"/>
    <x v="460"/>
    <x v="0"/>
    <x v="0"/>
    <x v="4"/>
    <x v="151"/>
    <x v="21"/>
    <x v="30"/>
    <x v="21"/>
    <x v="1"/>
    <x v="252"/>
    <x v="0"/>
    <x v="2331"/>
  </r>
  <r>
    <x v="0"/>
    <x v="965"/>
    <x v="419"/>
    <x v="76"/>
    <x v="69"/>
    <x v="319"/>
    <x v="33"/>
    <x v="2178"/>
    <x v="563"/>
    <x v="149"/>
    <x v="1434"/>
    <x v="1699"/>
    <x v="2303"/>
    <x v="2303"/>
    <x v="2166"/>
    <x v="0"/>
    <x v="2288"/>
    <x v="2303"/>
    <x v="536"/>
    <x v="0"/>
    <x v="0"/>
    <x v="3"/>
    <x v="78"/>
    <x v="3"/>
    <x v="717"/>
    <x v="10"/>
    <x v="2"/>
    <x v="422"/>
    <x v="0"/>
    <x v="2332"/>
  </r>
  <r>
    <x v="0"/>
    <x v="325"/>
    <x v="333"/>
    <x v="40"/>
    <x v="201"/>
    <x v="719"/>
    <x v="2"/>
    <x v="2179"/>
    <x v="17"/>
    <x v="75"/>
    <x v="98"/>
    <x v="1700"/>
    <x v="2304"/>
    <x v="2304"/>
    <x v="2167"/>
    <x v="0"/>
    <x v="2289"/>
    <x v="2304"/>
    <x v="666"/>
    <x v="0"/>
    <x v="0"/>
    <x v="4"/>
    <x v="70"/>
    <x v="2"/>
    <x v="6"/>
    <x v="43"/>
    <x v="1"/>
    <x v="1"/>
    <x v="0"/>
    <x v="2333"/>
  </r>
  <r>
    <x v="0"/>
    <x v="966"/>
    <x v="353"/>
    <x v="33"/>
    <x v="266"/>
    <x v="760"/>
    <x v="486"/>
    <x v="2180"/>
    <x v="624"/>
    <x v="902"/>
    <x v="64"/>
    <x v="1701"/>
    <x v="2305"/>
    <x v="2305"/>
    <x v="2168"/>
    <x v="1"/>
    <x v="2290"/>
    <x v="2305"/>
    <x v="167"/>
    <x v="2"/>
    <x v="7"/>
    <x v="0"/>
    <x v="202"/>
    <x v="14"/>
    <x v="49"/>
    <x v="8"/>
    <x v="3"/>
    <x v="423"/>
    <x v="0"/>
    <x v="2334"/>
  </r>
  <r>
    <x v="0"/>
    <x v="967"/>
    <x v="152"/>
    <x v="59"/>
    <x v="73"/>
    <x v="373"/>
    <x v="11"/>
    <x v="2181"/>
    <x v="184"/>
    <x v="69"/>
    <x v="1089"/>
    <x v="1702"/>
    <x v="2306"/>
    <x v="2306"/>
    <x v="283"/>
    <x v="0"/>
    <x v="2291"/>
    <x v="2306"/>
    <x v="835"/>
    <x v="0"/>
    <x v="0"/>
    <x v="2"/>
    <x v="78"/>
    <x v="12"/>
    <x v="184"/>
    <x v="5"/>
    <x v="1"/>
    <x v="234"/>
    <x v="0"/>
    <x v="2335"/>
  </r>
  <r>
    <x v="0"/>
    <x v="968"/>
    <x v="321"/>
    <x v="59"/>
    <x v="263"/>
    <x v="704"/>
    <x v="186"/>
    <x v="2182"/>
    <x v="625"/>
    <x v="350"/>
    <x v="489"/>
    <x v="11"/>
    <x v="2307"/>
    <x v="2307"/>
    <x v="2169"/>
    <x v="4"/>
    <x v="2292"/>
    <x v="2307"/>
    <x v="450"/>
    <x v="0"/>
    <x v="0"/>
    <x v="4"/>
    <x v="4"/>
    <x v="5"/>
    <x v="9"/>
    <x v="22"/>
    <x v="3"/>
    <x v="1"/>
    <x v="0"/>
    <x v="2336"/>
  </r>
  <r>
    <x v="0"/>
    <x v="53"/>
    <x v="435"/>
    <x v="86"/>
    <x v="38"/>
    <x v="371"/>
    <x v="487"/>
    <x v="2183"/>
    <x v="227"/>
    <x v="903"/>
    <x v="336"/>
    <x v="521"/>
    <x v="2308"/>
    <x v="2308"/>
    <x v="2170"/>
    <x v="1"/>
    <x v="2293"/>
    <x v="2308"/>
    <x v="719"/>
    <x v="0"/>
    <x v="0"/>
    <x v="4"/>
    <x v="78"/>
    <x v="24"/>
    <x v="226"/>
    <x v="21"/>
    <x v="1"/>
    <x v="424"/>
    <x v="0"/>
    <x v="2337"/>
  </r>
  <r>
    <x v="0"/>
    <x v="937"/>
    <x v="383"/>
    <x v="107"/>
    <x v="0"/>
    <x v="708"/>
    <x v="488"/>
    <x v="2184"/>
    <x v="207"/>
    <x v="904"/>
    <x v="1435"/>
    <x v="1703"/>
    <x v="2309"/>
    <x v="2309"/>
    <x v="2171"/>
    <x v="1"/>
    <x v="2294"/>
    <x v="2309"/>
    <x v="421"/>
    <x v="13"/>
    <x v="14"/>
    <x v="2"/>
    <x v="4"/>
    <x v="8"/>
    <x v="585"/>
    <x v="12"/>
    <x v="1"/>
    <x v="103"/>
    <x v="0"/>
    <x v="2338"/>
  </r>
  <r>
    <x v="0"/>
    <x v="583"/>
    <x v="385"/>
    <x v="34"/>
    <x v="193"/>
    <x v="660"/>
    <x v="489"/>
    <x v="2185"/>
    <x v="626"/>
    <x v="905"/>
    <x v="1436"/>
    <x v="1704"/>
    <x v="2310"/>
    <x v="2310"/>
    <x v="2172"/>
    <x v="0"/>
    <x v="2295"/>
    <x v="2310"/>
    <x v="655"/>
    <x v="3"/>
    <x v="10"/>
    <x v="1"/>
    <x v="23"/>
    <x v="20"/>
    <x v="718"/>
    <x v="19"/>
    <x v="1"/>
    <x v="425"/>
    <x v="0"/>
    <x v="2339"/>
  </r>
  <r>
    <x v="0"/>
    <x v="620"/>
    <x v="291"/>
    <x v="86"/>
    <x v="125"/>
    <x v="412"/>
    <x v="490"/>
    <x v="2186"/>
    <x v="627"/>
    <x v="906"/>
    <x v="1437"/>
    <x v="874"/>
    <x v="2311"/>
    <x v="2311"/>
    <x v="2173"/>
    <x v="1"/>
    <x v="2296"/>
    <x v="2311"/>
    <x v="678"/>
    <x v="0"/>
    <x v="0"/>
    <x v="0"/>
    <x v="78"/>
    <x v="5"/>
    <x v="29"/>
    <x v="37"/>
    <x v="1"/>
    <x v="1"/>
    <x v="0"/>
    <x v="2340"/>
  </r>
  <r>
    <x v="0"/>
    <x v="969"/>
    <x v="372"/>
    <x v="7"/>
    <x v="221"/>
    <x v="227"/>
    <x v="21"/>
    <x v="2187"/>
    <x v="241"/>
    <x v="210"/>
    <x v="391"/>
    <x v="1705"/>
    <x v="2312"/>
    <x v="2312"/>
    <x v="2174"/>
    <x v="3"/>
    <x v="2297"/>
    <x v="2312"/>
    <x v="671"/>
    <x v="0"/>
    <x v="0"/>
    <x v="4"/>
    <x v="134"/>
    <x v="19"/>
    <x v="262"/>
    <x v="34"/>
    <x v="3"/>
    <x v="426"/>
    <x v="0"/>
    <x v="2341"/>
  </r>
  <r>
    <x v="0"/>
    <x v="113"/>
    <x v="4"/>
    <x v="119"/>
    <x v="88"/>
    <x v="777"/>
    <x v="187"/>
    <x v="4"/>
    <x v="463"/>
    <x v="907"/>
    <x v="1438"/>
    <x v="1706"/>
    <x v="2313"/>
    <x v="2313"/>
    <x v="968"/>
    <x v="2"/>
    <x v="4"/>
    <x v="2313"/>
    <x v="4"/>
    <x v="0"/>
    <x v="1"/>
    <x v="1"/>
    <x v="4"/>
    <x v="4"/>
    <x v="604"/>
    <x v="13"/>
    <x v="2"/>
    <x v="1"/>
    <x v="0"/>
    <x v="2342"/>
  </r>
  <r>
    <x v="0"/>
    <x v="508"/>
    <x v="358"/>
    <x v="47"/>
    <x v="152"/>
    <x v="775"/>
    <x v="22"/>
    <x v="2188"/>
    <x v="196"/>
    <x v="153"/>
    <x v="943"/>
    <x v="1707"/>
    <x v="2314"/>
    <x v="2314"/>
    <x v="2175"/>
    <x v="4"/>
    <x v="2298"/>
    <x v="2314"/>
    <x v="225"/>
    <x v="0"/>
    <x v="0"/>
    <x v="0"/>
    <x v="78"/>
    <x v="5"/>
    <x v="201"/>
    <x v="28"/>
    <x v="1"/>
    <x v="1"/>
    <x v="0"/>
    <x v="2343"/>
  </r>
  <r>
    <x v="0"/>
    <x v="315"/>
    <x v="321"/>
    <x v="11"/>
    <x v="197"/>
    <x v="78"/>
    <x v="123"/>
    <x v="2189"/>
    <x v="171"/>
    <x v="341"/>
    <x v="1439"/>
    <x v="1386"/>
    <x v="2315"/>
    <x v="2315"/>
    <x v="2176"/>
    <x v="1"/>
    <x v="2299"/>
    <x v="2315"/>
    <x v="496"/>
    <x v="0"/>
    <x v="13"/>
    <x v="4"/>
    <x v="4"/>
    <x v="2"/>
    <x v="719"/>
    <x v="20"/>
    <x v="1"/>
    <x v="1"/>
    <x v="0"/>
    <x v="2344"/>
  </r>
  <r>
    <x v="0"/>
    <x v="970"/>
    <x v="4"/>
    <x v="148"/>
    <x v="80"/>
    <x v="636"/>
    <x v="351"/>
    <x v="4"/>
    <x v="628"/>
    <x v="908"/>
    <x v="1440"/>
    <x v="1708"/>
    <x v="2316"/>
    <x v="2316"/>
    <x v="2177"/>
    <x v="0"/>
    <x v="2300"/>
    <x v="2316"/>
    <x v="4"/>
    <x v="0"/>
    <x v="0"/>
    <x v="1"/>
    <x v="203"/>
    <x v="1"/>
    <x v="677"/>
    <x v="31"/>
    <x v="3"/>
    <x v="427"/>
    <x v="0"/>
    <x v="2345"/>
  </r>
  <r>
    <x v="0"/>
    <x v="338"/>
    <x v="207"/>
    <x v="58"/>
    <x v="123"/>
    <x v="57"/>
    <x v="491"/>
    <x v="4"/>
    <x v="71"/>
    <x v="909"/>
    <x v="1441"/>
    <x v="1709"/>
    <x v="2317"/>
    <x v="2317"/>
    <x v="2178"/>
    <x v="3"/>
    <x v="2301"/>
    <x v="2317"/>
    <x v="654"/>
    <x v="4"/>
    <x v="9"/>
    <x v="4"/>
    <x v="131"/>
    <x v="8"/>
    <x v="421"/>
    <x v="5"/>
    <x v="1"/>
    <x v="287"/>
    <x v="0"/>
    <x v="2346"/>
  </r>
  <r>
    <x v="0"/>
    <x v="971"/>
    <x v="207"/>
    <x v="42"/>
    <x v="78"/>
    <x v="432"/>
    <x v="11"/>
    <x v="4"/>
    <x v="168"/>
    <x v="69"/>
    <x v="1442"/>
    <x v="630"/>
    <x v="2318"/>
    <x v="2318"/>
    <x v="2179"/>
    <x v="1"/>
    <x v="2302"/>
    <x v="2318"/>
    <x v="173"/>
    <x v="0"/>
    <x v="1"/>
    <x v="4"/>
    <x v="78"/>
    <x v="1"/>
    <x v="720"/>
    <x v="10"/>
    <x v="1"/>
    <x v="1"/>
    <x v="0"/>
    <x v="2347"/>
  </r>
  <r>
    <x v="0"/>
    <x v="972"/>
    <x v="347"/>
    <x v="105"/>
    <x v="0"/>
    <x v="697"/>
    <x v="25"/>
    <x v="4"/>
    <x v="29"/>
    <x v="194"/>
    <x v="1111"/>
    <x v="1710"/>
    <x v="2319"/>
    <x v="2319"/>
    <x v="2180"/>
    <x v="0"/>
    <x v="2303"/>
    <x v="2319"/>
    <x v="744"/>
    <x v="0"/>
    <x v="26"/>
    <x v="3"/>
    <x v="78"/>
    <x v="3"/>
    <x v="180"/>
    <x v="27"/>
    <x v="0"/>
    <x v="103"/>
    <x v="0"/>
    <x v="2348"/>
  </r>
  <r>
    <x v="0"/>
    <x v="973"/>
    <x v="412"/>
    <x v="9"/>
    <x v="0"/>
    <x v="321"/>
    <x v="492"/>
    <x v="4"/>
    <x v="406"/>
    <x v="910"/>
    <x v="1443"/>
    <x v="1711"/>
    <x v="2320"/>
    <x v="2320"/>
    <x v="844"/>
    <x v="0"/>
    <x v="2304"/>
    <x v="2320"/>
    <x v="326"/>
    <x v="0"/>
    <x v="16"/>
    <x v="1"/>
    <x v="4"/>
    <x v="11"/>
    <x v="721"/>
    <x v="15"/>
    <x v="1"/>
    <x v="428"/>
    <x v="0"/>
    <x v="2349"/>
  </r>
  <r>
    <x v="0"/>
    <x v="974"/>
    <x v="412"/>
    <x v="42"/>
    <x v="216"/>
    <x v="778"/>
    <x v="493"/>
    <x v="4"/>
    <x v="629"/>
    <x v="911"/>
    <x v="1444"/>
    <x v="1712"/>
    <x v="2321"/>
    <x v="2321"/>
    <x v="2181"/>
    <x v="2"/>
    <x v="2305"/>
    <x v="2321"/>
    <x v="416"/>
    <x v="0"/>
    <x v="0"/>
    <x v="2"/>
    <x v="78"/>
    <x v="11"/>
    <x v="722"/>
    <x v="30"/>
    <x v="2"/>
    <x v="429"/>
    <x v="0"/>
    <x v="2350"/>
  </r>
  <r>
    <x v="0"/>
    <x v="975"/>
    <x v="4"/>
    <x v="72"/>
    <x v="80"/>
    <x v="540"/>
    <x v="13"/>
    <x v="4"/>
    <x v="462"/>
    <x v="158"/>
    <x v="1082"/>
    <x v="834"/>
    <x v="2322"/>
    <x v="2322"/>
    <x v="2182"/>
    <x v="0"/>
    <x v="2306"/>
    <x v="2322"/>
    <x v="326"/>
    <x v="0"/>
    <x v="34"/>
    <x v="4"/>
    <x v="78"/>
    <x v="6"/>
    <x v="12"/>
    <x v="13"/>
    <x v="2"/>
    <x v="1"/>
    <x v="0"/>
    <x v="2351"/>
  </r>
  <r>
    <x v="0"/>
    <x v="446"/>
    <x v="272"/>
    <x v="45"/>
    <x v="101"/>
    <x v="494"/>
    <x v="21"/>
    <x v="4"/>
    <x v="23"/>
    <x v="174"/>
    <x v="530"/>
    <x v="1713"/>
    <x v="2323"/>
    <x v="2323"/>
    <x v="2183"/>
    <x v="4"/>
    <x v="2307"/>
    <x v="2323"/>
    <x v="420"/>
    <x v="0"/>
    <x v="0"/>
    <x v="0"/>
    <x v="78"/>
    <x v="2"/>
    <x v="30"/>
    <x v="23"/>
    <x v="1"/>
    <x v="1"/>
    <x v="0"/>
    <x v="2352"/>
  </r>
  <r>
    <x v="0"/>
    <x v="976"/>
    <x v="293"/>
    <x v="72"/>
    <x v="184"/>
    <x v="540"/>
    <x v="25"/>
    <x v="4"/>
    <x v="171"/>
    <x v="76"/>
    <x v="535"/>
    <x v="1714"/>
    <x v="2324"/>
    <x v="2324"/>
    <x v="2184"/>
    <x v="3"/>
    <x v="2308"/>
    <x v="2324"/>
    <x v="431"/>
    <x v="0"/>
    <x v="0"/>
    <x v="4"/>
    <x v="204"/>
    <x v="9"/>
    <x v="674"/>
    <x v="21"/>
    <x v="1"/>
    <x v="59"/>
    <x v="0"/>
    <x v="2353"/>
  </r>
  <r>
    <x v="0"/>
    <x v="888"/>
    <x v="262"/>
    <x v="31"/>
    <x v="171"/>
    <x v="321"/>
    <x v="35"/>
    <x v="2190"/>
    <x v="17"/>
    <x v="112"/>
    <x v="1445"/>
    <x v="1715"/>
    <x v="2325"/>
    <x v="2325"/>
    <x v="2185"/>
    <x v="0"/>
    <x v="2309"/>
    <x v="2325"/>
    <x v="570"/>
    <x v="4"/>
    <x v="9"/>
    <x v="0"/>
    <x v="205"/>
    <x v="7"/>
    <x v="563"/>
    <x v="7"/>
    <x v="1"/>
    <x v="1"/>
    <x v="0"/>
    <x v="2354"/>
  </r>
  <r>
    <x v="0"/>
    <x v="880"/>
    <x v="202"/>
    <x v="65"/>
    <x v="116"/>
    <x v="712"/>
    <x v="494"/>
    <x v="2191"/>
    <x v="517"/>
    <x v="912"/>
    <x v="1446"/>
    <x v="1716"/>
    <x v="2326"/>
    <x v="2326"/>
    <x v="2186"/>
    <x v="4"/>
    <x v="2310"/>
    <x v="2326"/>
    <x v="472"/>
    <x v="15"/>
    <x v="8"/>
    <x v="4"/>
    <x v="78"/>
    <x v="8"/>
    <x v="723"/>
    <x v="38"/>
    <x v="3"/>
    <x v="1"/>
    <x v="0"/>
    <x v="2355"/>
  </r>
  <r>
    <x v="0"/>
    <x v="260"/>
    <x v="358"/>
    <x v="155"/>
    <x v="0"/>
    <x v="336"/>
    <x v="142"/>
    <x v="2192"/>
    <x v="414"/>
    <x v="913"/>
    <x v="1447"/>
    <x v="543"/>
    <x v="2327"/>
    <x v="2327"/>
    <x v="2187"/>
    <x v="1"/>
    <x v="2311"/>
    <x v="2327"/>
    <x v="696"/>
    <x v="0"/>
    <x v="0"/>
    <x v="0"/>
    <x v="134"/>
    <x v="22"/>
    <x v="533"/>
    <x v="25"/>
    <x v="1"/>
    <x v="1"/>
    <x v="0"/>
    <x v="2356"/>
  </r>
  <r>
    <x v="0"/>
    <x v="561"/>
    <x v="87"/>
    <x v="55"/>
    <x v="79"/>
    <x v="59"/>
    <x v="22"/>
    <x v="2193"/>
    <x v="125"/>
    <x v="77"/>
    <x v="641"/>
    <x v="73"/>
    <x v="2328"/>
    <x v="2328"/>
    <x v="2188"/>
    <x v="0"/>
    <x v="2312"/>
    <x v="2328"/>
    <x v="495"/>
    <x v="0"/>
    <x v="0"/>
    <x v="4"/>
    <x v="78"/>
    <x v="10"/>
    <x v="399"/>
    <x v="20"/>
    <x v="3"/>
    <x v="37"/>
    <x v="0"/>
    <x v="2357"/>
  </r>
  <r>
    <x v="0"/>
    <x v="377"/>
    <x v="425"/>
    <x v="18"/>
    <x v="184"/>
    <x v="274"/>
    <x v="21"/>
    <x v="2194"/>
    <x v="171"/>
    <x v="210"/>
    <x v="97"/>
    <x v="727"/>
    <x v="2329"/>
    <x v="2329"/>
    <x v="2189"/>
    <x v="1"/>
    <x v="2313"/>
    <x v="2329"/>
    <x v="137"/>
    <x v="0"/>
    <x v="0"/>
    <x v="4"/>
    <x v="166"/>
    <x v="30"/>
    <x v="70"/>
    <x v="2"/>
    <x v="3"/>
    <x v="1"/>
    <x v="0"/>
    <x v="2358"/>
  </r>
  <r>
    <x v="0"/>
    <x v="977"/>
    <x v="474"/>
    <x v="54"/>
    <x v="5"/>
    <x v="711"/>
    <x v="0"/>
    <x v="2195"/>
    <x v="215"/>
    <x v="914"/>
    <x v="959"/>
    <x v="1717"/>
    <x v="2330"/>
    <x v="2330"/>
    <x v="2190"/>
    <x v="4"/>
    <x v="2314"/>
    <x v="2330"/>
    <x v="423"/>
    <x v="0"/>
    <x v="0"/>
    <x v="2"/>
    <x v="78"/>
    <x v="14"/>
    <x v="82"/>
    <x v="18"/>
    <x v="3"/>
    <x v="1"/>
    <x v="0"/>
    <x v="2359"/>
  </r>
  <r>
    <x v="0"/>
    <x v="548"/>
    <x v="354"/>
    <x v="33"/>
    <x v="0"/>
    <x v="164"/>
    <x v="117"/>
    <x v="2196"/>
    <x v="364"/>
    <x v="915"/>
    <x v="1448"/>
    <x v="1718"/>
    <x v="2331"/>
    <x v="2331"/>
    <x v="2191"/>
    <x v="0"/>
    <x v="2315"/>
    <x v="2331"/>
    <x v="848"/>
    <x v="0"/>
    <x v="0"/>
    <x v="4"/>
    <x v="159"/>
    <x v="25"/>
    <x v="259"/>
    <x v="13"/>
    <x v="1"/>
    <x v="59"/>
    <x v="0"/>
    <x v="2360"/>
  </r>
  <r>
    <x v="0"/>
    <x v="917"/>
    <x v="290"/>
    <x v="43"/>
    <x v="184"/>
    <x v="671"/>
    <x v="0"/>
    <x v="2197"/>
    <x v="429"/>
    <x v="602"/>
    <x v="1201"/>
    <x v="1216"/>
    <x v="2332"/>
    <x v="2332"/>
    <x v="2192"/>
    <x v="0"/>
    <x v="2316"/>
    <x v="2332"/>
    <x v="849"/>
    <x v="0"/>
    <x v="0"/>
    <x v="4"/>
    <x v="78"/>
    <x v="18"/>
    <x v="66"/>
    <x v="34"/>
    <x v="8"/>
    <x v="1"/>
    <x v="0"/>
    <x v="2361"/>
  </r>
  <r>
    <x v="0"/>
    <x v="328"/>
    <x v="268"/>
    <x v="75"/>
    <x v="0"/>
    <x v="118"/>
    <x v="495"/>
    <x v="4"/>
    <x v="630"/>
    <x v="916"/>
    <x v="1449"/>
    <x v="1719"/>
    <x v="2333"/>
    <x v="2333"/>
    <x v="2193"/>
    <x v="0"/>
    <x v="2317"/>
    <x v="2333"/>
    <x v="850"/>
    <x v="0"/>
    <x v="0"/>
    <x v="4"/>
    <x v="166"/>
    <x v="35"/>
    <x v="434"/>
    <x v="26"/>
    <x v="15"/>
    <x v="40"/>
    <x v="0"/>
    <x v="2362"/>
  </r>
  <r>
    <x v="0"/>
    <x v="43"/>
    <x v="204"/>
    <x v="38"/>
    <x v="0"/>
    <x v="51"/>
    <x v="0"/>
    <x v="2198"/>
    <x v="145"/>
    <x v="307"/>
    <x v="1450"/>
    <x v="1720"/>
    <x v="2334"/>
    <x v="2334"/>
    <x v="2194"/>
    <x v="0"/>
    <x v="2318"/>
    <x v="2334"/>
    <x v="851"/>
    <x v="0"/>
    <x v="0"/>
    <x v="2"/>
    <x v="166"/>
    <x v="39"/>
    <x v="497"/>
    <x v="3"/>
    <x v="17"/>
    <x v="36"/>
    <x v="0"/>
    <x v="2363"/>
  </r>
  <r>
    <x v="0"/>
    <x v="578"/>
    <x v="304"/>
    <x v="41"/>
    <x v="19"/>
    <x v="678"/>
    <x v="482"/>
    <x v="2199"/>
    <x v="236"/>
    <x v="917"/>
    <x v="630"/>
    <x v="1592"/>
    <x v="2335"/>
    <x v="2335"/>
    <x v="2195"/>
    <x v="0"/>
    <x v="2319"/>
    <x v="2335"/>
    <x v="852"/>
    <x v="0"/>
    <x v="0"/>
    <x v="4"/>
    <x v="166"/>
    <x v="15"/>
    <x v="393"/>
    <x v="23"/>
    <x v="15"/>
    <x v="1"/>
    <x v="0"/>
    <x v="2364"/>
  </r>
  <r>
    <x v="0"/>
    <x v="795"/>
    <x v="413"/>
    <x v="18"/>
    <x v="0"/>
    <x v="102"/>
    <x v="287"/>
    <x v="2200"/>
    <x v="200"/>
    <x v="918"/>
    <x v="1451"/>
    <x v="1721"/>
    <x v="2336"/>
    <x v="2336"/>
    <x v="2196"/>
    <x v="5"/>
    <x v="2320"/>
    <x v="2336"/>
    <x v="247"/>
    <x v="0"/>
    <x v="0"/>
    <x v="0"/>
    <x v="185"/>
    <x v="0"/>
    <x v="73"/>
    <x v="54"/>
    <x v="3"/>
    <x v="103"/>
    <x v="0"/>
    <x v="2365"/>
  </r>
  <r>
    <x v="0"/>
    <x v="978"/>
    <x v="489"/>
    <x v="78"/>
    <x v="142"/>
    <x v="552"/>
    <x v="389"/>
    <x v="4"/>
    <x v="54"/>
    <x v="919"/>
    <x v="1452"/>
    <x v="1722"/>
    <x v="2337"/>
    <x v="2337"/>
    <x v="2197"/>
    <x v="2"/>
    <x v="4"/>
    <x v="2337"/>
    <x v="843"/>
    <x v="0"/>
    <x v="0"/>
    <x v="1"/>
    <x v="146"/>
    <x v="6"/>
    <x v="649"/>
    <x v="40"/>
    <x v="2"/>
    <x v="103"/>
    <x v="0"/>
    <x v="2366"/>
  </r>
  <r>
    <x v="0"/>
    <x v="343"/>
    <x v="198"/>
    <x v="59"/>
    <x v="193"/>
    <x v="292"/>
    <x v="46"/>
    <x v="2201"/>
    <x v="105"/>
    <x v="208"/>
    <x v="820"/>
    <x v="1723"/>
    <x v="2338"/>
    <x v="2338"/>
    <x v="2198"/>
    <x v="4"/>
    <x v="2321"/>
    <x v="2338"/>
    <x v="452"/>
    <x v="0"/>
    <x v="0"/>
    <x v="0"/>
    <x v="166"/>
    <x v="5"/>
    <x v="481"/>
    <x v="9"/>
    <x v="1"/>
    <x v="1"/>
    <x v="0"/>
    <x v="2367"/>
  </r>
  <r>
    <x v="0"/>
    <x v="80"/>
    <x v="241"/>
    <x v="54"/>
    <x v="63"/>
    <x v="779"/>
    <x v="496"/>
    <x v="2202"/>
    <x v="127"/>
    <x v="920"/>
    <x v="1453"/>
    <x v="1724"/>
    <x v="2339"/>
    <x v="2339"/>
    <x v="2199"/>
    <x v="4"/>
    <x v="2322"/>
    <x v="2339"/>
    <x v="49"/>
    <x v="0"/>
    <x v="0"/>
    <x v="0"/>
    <x v="135"/>
    <x v="17"/>
    <x v="115"/>
    <x v="28"/>
    <x v="3"/>
    <x v="1"/>
    <x v="0"/>
    <x v="2368"/>
  </r>
  <r>
    <x v="0"/>
    <x v="98"/>
    <x v="111"/>
    <x v="56"/>
    <x v="76"/>
    <x v="282"/>
    <x v="466"/>
    <x v="2203"/>
    <x v="283"/>
    <x v="921"/>
    <x v="143"/>
    <x v="1725"/>
    <x v="2340"/>
    <x v="2340"/>
    <x v="2200"/>
    <x v="1"/>
    <x v="2323"/>
    <x v="2340"/>
    <x v="310"/>
    <x v="0"/>
    <x v="6"/>
    <x v="4"/>
    <x v="159"/>
    <x v="10"/>
    <x v="13"/>
    <x v="1"/>
    <x v="1"/>
    <x v="57"/>
    <x v="0"/>
    <x v="2369"/>
  </r>
  <r>
    <x v="0"/>
    <x v="113"/>
    <x v="4"/>
    <x v="116"/>
    <x v="88"/>
    <x v="603"/>
    <x v="497"/>
    <x v="4"/>
    <x v="631"/>
    <x v="922"/>
    <x v="1454"/>
    <x v="1726"/>
    <x v="2341"/>
    <x v="2341"/>
    <x v="2160"/>
    <x v="1"/>
    <x v="2324"/>
    <x v="2341"/>
    <x v="4"/>
    <x v="0"/>
    <x v="2"/>
    <x v="5"/>
    <x v="4"/>
    <x v="4"/>
    <x v="724"/>
    <x v="4"/>
    <x v="8"/>
    <x v="1"/>
    <x v="0"/>
    <x v="2370"/>
  </r>
  <r>
    <x v="0"/>
    <x v="979"/>
    <x v="276"/>
    <x v="79"/>
    <x v="216"/>
    <x v="160"/>
    <x v="0"/>
    <x v="2204"/>
    <x v="192"/>
    <x v="711"/>
    <x v="1455"/>
    <x v="196"/>
    <x v="2342"/>
    <x v="2342"/>
    <x v="2201"/>
    <x v="1"/>
    <x v="2325"/>
    <x v="2342"/>
    <x v="119"/>
    <x v="0"/>
    <x v="1"/>
    <x v="3"/>
    <x v="166"/>
    <x v="21"/>
    <x v="680"/>
    <x v="57"/>
    <x v="3"/>
    <x v="231"/>
    <x v="0"/>
    <x v="2371"/>
  </r>
  <r>
    <x v="0"/>
    <x v="108"/>
    <x v="250"/>
    <x v="59"/>
    <x v="74"/>
    <x v="619"/>
    <x v="473"/>
    <x v="2205"/>
    <x v="381"/>
    <x v="416"/>
    <x v="759"/>
    <x v="1040"/>
    <x v="2343"/>
    <x v="2343"/>
    <x v="2064"/>
    <x v="0"/>
    <x v="2326"/>
    <x v="2343"/>
    <x v="521"/>
    <x v="0"/>
    <x v="0"/>
    <x v="4"/>
    <x v="78"/>
    <x v="5"/>
    <x v="456"/>
    <x v="12"/>
    <x v="1"/>
    <x v="1"/>
    <x v="0"/>
    <x v="2372"/>
  </r>
  <r>
    <x v="0"/>
    <x v="656"/>
    <x v="161"/>
    <x v="31"/>
    <x v="280"/>
    <x v="321"/>
    <x v="498"/>
    <x v="2206"/>
    <x v="45"/>
    <x v="923"/>
    <x v="1456"/>
    <x v="1727"/>
    <x v="2344"/>
    <x v="2344"/>
    <x v="2202"/>
    <x v="0"/>
    <x v="2327"/>
    <x v="2344"/>
    <x v="853"/>
    <x v="2"/>
    <x v="7"/>
    <x v="2"/>
    <x v="166"/>
    <x v="18"/>
    <x v="689"/>
    <x v="35"/>
    <x v="3"/>
    <x v="82"/>
    <x v="0"/>
    <x v="2373"/>
  </r>
  <r>
    <x v="0"/>
    <x v="980"/>
    <x v="430"/>
    <x v="34"/>
    <x v="0"/>
    <x v="89"/>
    <x v="491"/>
    <x v="4"/>
    <x v="23"/>
    <x v="909"/>
    <x v="1457"/>
    <x v="1728"/>
    <x v="2345"/>
    <x v="2345"/>
    <x v="2203"/>
    <x v="1"/>
    <x v="2328"/>
    <x v="2345"/>
    <x v="818"/>
    <x v="4"/>
    <x v="9"/>
    <x v="1"/>
    <x v="4"/>
    <x v="9"/>
    <x v="448"/>
    <x v="5"/>
    <x v="1"/>
    <x v="430"/>
    <x v="0"/>
    <x v="2374"/>
  </r>
  <r>
    <x v="0"/>
    <x v="146"/>
    <x v="207"/>
    <x v="5"/>
    <x v="108"/>
    <x v="1"/>
    <x v="21"/>
    <x v="2207"/>
    <x v="227"/>
    <x v="22"/>
    <x v="129"/>
    <x v="1729"/>
    <x v="2346"/>
    <x v="2346"/>
    <x v="2204"/>
    <x v="4"/>
    <x v="2329"/>
    <x v="2346"/>
    <x v="581"/>
    <x v="0"/>
    <x v="1"/>
    <x v="2"/>
    <x v="131"/>
    <x v="31"/>
    <x v="47"/>
    <x v="15"/>
    <x v="1"/>
    <x v="103"/>
    <x v="0"/>
    <x v="2375"/>
  </r>
  <r>
    <x v="0"/>
    <x v="981"/>
    <x v="153"/>
    <x v="22"/>
    <x v="58"/>
    <x v="30"/>
    <x v="375"/>
    <x v="2208"/>
    <x v="269"/>
    <x v="685"/>
    <x v="1458"/>
    <x v="1730"/>
    <x v="2347"/>
    <x v="2347"/>
    <x v="2205"/>
    <x v="1"/>
    <x v="2330"/>
    <x v="2347"/>
    <x v="651"/>
    <x v="0"/>
    <x v="0"/>
    <x v="0"/>
    <x v="166"/>
    <x v="9"/>
    <x v="188"/>
    <x v="32"/>
    <x v="1"/>
    <x v="46"/>
    <x v="0"/>
    <x v="2376"/>
  </r>
  <r>
    <x v="0"/>
    <x v="395"/>
    <x v="182"/>
    <x v="74"/>
    <x v="223"/>
    <x v="780"/>
    <x v="499"/>
    <x v="2209"/>
    <x v="632"/>
    <x v="924"/>
    <x v="676"/>
    <x v="890"/>
    <x v="2348"/>
    <x v="2348"/>
    <x v="1202"/>
    <x v="1"/>
    <x v="2331"/>
    <x v="2348"/>
    <x v="575"/>
    <x v="0"/>
    <x v="0"/>
    <x v="4"/>
    <x v="166"/>
    <x v="8"/>
    <x v="416"/>
    <x v="12"/>
    <x v="3"/>
    <x v="1"/>
    <x v="0"/>
    <x v="2377"/>
  </r>
  <r>
    <x v="0"/>
    <x v="982"/>
    <x v="295"/>
    <x v="7"/>
    <x v="125"/>
    <x v="781"/>
    <x v="22"/>
    <x v="2210"/>
    <x v="127"/>
    <x v="191"/>
    <x v="1185"/>
    <x v="1731"/>
    <x v="2349"/>
    <x v="2349"/>
    <x v="2206"/>
    <x v="4"/>
    <x v="2332"/>
    <x v="2349"/>
    <x v="339"/>
    <x v="0"/>
    <x v="0"/>
    <x v="2"/>
    <x v="166"/>
    <x v="5"/>
    <x v="632"/>
    <x v="21"/>
    <x v="1"/>
    <x v="38"/>
    <x v="0"/>
    <x v="2378"/>
  </r>
  <r>
    <x v="0"/>
    <x v="983"/>
    <x v="421"/>
    <x v="100"/>
    <x v="158"/>
    <x v="313"/>
    <x v="209"/>
    <x v="4"/>
    <x v="156"/>
    <x v="391"/>
    <x v="1459"/>
    <x v="1732"/>
    <x v="2350"/>
    <x v="2350"/>
    <x v="2207"/>
    <x v="0"/>
    <x v="2333"/>
    <x v="2350"/>
    <x v="552"/>
    <x v="0"/>
    <x v="0"/>
    <x v="11"/>
    <x v="166"/>
    <x v="53"/>
    <x v="685"/>
    <x v="10"/>
    <x v="5"/>
    <x v="431"/>
    <x v="0"/>
    <x v="2379"/>
  </r>
  <r>
    <x v="0"/>
    <x v="984"/>
    <x v="243"/>
    <x v="55"/>
    <x v="45"/>
    <x v="67"/>
    <x v="35"/>
    <x v="2211"/>
    <x v="105"/>
    <x v="507"/>
    <x v="395"/>
    <x v="164"/>
    <x v="2351"/>
    <x v="2351"/>
    <x v="2208"/>
    <x v="2"/>
    <x v="2334"/>
    <x v="2351"/>
    <x v="536"/>
    <x v="0"/>
    <x v="0"/>
    <x v="4"/>
    <x v="154"/>
    <x v="10"/>
    <x v="12"/>
    <x v="22"/>
    <x v="1"/>
    <x v="1"/>
    <x v="0"/>
    <x v="2380"/>
  </r>
  <r>
    <x v="0"/>
    <x v="985"/>
    <x v="182"/>
    <x v="61"/>
    <x v="58"/>
    <x v="333"/>
    <x v="0"/>
    <x v="2212"/>
    <x v="270"/>
    <x v="185"/>
    <x v="261"/>
    <x v="1733"/>
    <x v="2352"/>
    <x v="2352"/>
    <x v="2209"/>
    <x v="4"/>
    <x v="2335"/>
    <x v="2352"/>
    <x v="820"/>
    <x v="0"/>
    <x v="0"/>
    <x v="2"/>
    <x v="4"/>
    <x v="3"/>
    <x v="19"/>
    <x v="21"/>
    <x v="1"/>
    <x v="1"/>
    <x v="0"/>
    <x v="2381"/>
  </r>
  <r>
    <x v="0"/>
    <x v="986"/>
    <x v="81"/>
    <x v="80"/>
    <x v="188"/>
    <x v="298"/>
    <x v="129"/>
    <x v="2213"/>
    <x v="633"/>
    <x v="925"/>
    <x v="1460"/>
    <x v="1734"/>
    <x v="2353"/>
    <x v="2353"/>
    <x v="489"/>
    <x v="0"/>
    <x v="2336"/>
    <x v="2353"/>
    <x v="83"/>
    <x v="0"/>
    <x v="0"/>
    <x v="3"/>
    <x v="166"/>
    <x v="27"/>
    <x v="253"/>
    <x v="20"/>
    <x v="3"/>
    <x v="432"/>
    <x v="0"/>
    <x v="2382"/>
  </r>
  <r>
    <x v="0"/>
    <x v="987"/>
    <x v="308"/>
    <x v="38"/>
    <x v="327"/>
    <x v="5"/>
    <x v="25"/>
    <x v="2214"/>
    <x v="634"/>
    <x v="26"/>
    <x v="344"/>
    <x v="728"/>
    <x v="2354"/>
    <x v="2354"/>
    <x v="2210"/>
    <x v="4"/>
    <x v="2337"/>
    <x v="2354"/>
    <x v="704"/>
    <x v="0"/>
    <x v="10"/>
    <x v="4"/>
    <x v="166"/>
    <x v="25"/>
    <x v="30"/>
    <x v="22"/>
    <x v="3"/>
    <x v="433"/>
    <x v="0"/>
    <x v="2383"/>
  </r>
  <r>
    <x v="0"/>
    <x v="988"/>
    <x v="315"/>
    <x v="47"/>
    <x v="137"/>
    <x v="754"/>
    <x v="94"/>
    <x v="2215"/>
    <x v="270"/>
    <x v="187"/>
    <x v="447"/>
    <x v="1735"/>
    <x v="2355"/>
    <x v="2355"/>
    <x v="2211"/>
    <x v="0"/>
    <x v="1485"/>
    <x v="2355"/>
    <x v="416"/>
    <x v="20"/>
    <x v="0"/>
    <x v="4"/>
    <x v="4"/>
    <x v="6"/>
    <x v="202"/>
    <x v="6"/>
    <x v="4"/>
    <x v="434"/>
    <x v="0"/>
    <x v="2384"/>
  </r>
  <r>
    <x v="0"/>
    <x v="989"/>
    <x v="129"/>
    <x v="78"/>
    <x v="5"/>
    <x v="96"/>
    <x v="38"/>
    <x v="2216"/>
    <x v="416"/>
    <x v="55"/>
    <x v="113"/>
    <x v="1736"/>
    <x v="2356"/>
    <x v="2356"/>
    <x v="2212"/>
    <x v="0"/>
    <x v="2338"/>
    <x v="2356"/>
    <x v="710"/>
    <x v="0"/>
    <x v="0"/>
    <x v="4"/>
    <x v="166"/>
    <x v="12"/>
    <x v="53"/>
    <x v="19"/>
    <x v="1"/>
    <x v="1"/>
    <x v="0"/>
    <x v="2385"/>
  </r>
  <r>
    <x v="0"/>
    <x v="174"/>
    <x v="330"/>
    <x v="113"/>
    <x v="0"/>
    <x v="782"/>
    <x v="25"/>
    <x v="2217"/>
    <x v="200"/>
    <x v="76"/>
    <x v="608"/>
    <x v="1737"/>
    <x v="2357"/>
    <x v="2357"/>
    <x v="2213"/>
    <x v="0"/>
    <x v="2339"/>
    <x v="2357"/>
    <x v="80"/>
    <x v="0"/>
    <x v="0"/>
    <x v="4"/>
    <x v="166"/>
    <x v="19"/>
    <x v="6"/>
    <x v="16"/>
    <x v="3"/>
    <x v="1"/>
    <x v="0"/>
    <x v="2386"/>
  </r>
  <r>
    <x v="1"/>
    <x v="233"/>
    <x v="153"/>
    <x v="55"/>
    <x v="0"/>
    <x v="87"/>
    <x v="500"/>
    <x v="2218"/>
    <x v="429"/>
    <x v="926"/>
    <x v="1461"/>
    <x v="1738"/>
    <x v="2358"/>
    <x v="2358"/>
    <x v="2214"/>
    <x v="8"/>
    <x v="2340"/>
    <x v="2358"/>
    <x v="362"/>
    <x v="0"/>
    <x v="4"/>
    <x v="4"/>
    <x v="159"/>
    <x v="12"/>
    <x v="289"/>
    <x v="5"/>
    <x v="1"/>
    <x v="1"/>
    <x v="0"/>
    <x v="2387"/>
  </r>
  <r>
    <x v="0"/>
    <x v="516"/>
    <x v="430"/>
    <x v="86"/>
    <x v="5"/>
    <x v="783"/>
    <x v="501"/>
    <x v="4"/>
    <x v="97"/>
    <x v="927"/>
    <x v="1462"/>
    <x v="1739"/>
    <x v="2359"/>
    <x v="2359"/>
    <x v="2215"/>
    <x v="4"/>
    <x v="4"/>
    <x v="2359"/>
    <x v="854"/>
    <x v="21"/>
    <x v="9"/>
    <x v="0"/>
    <x v="4"/>
    <x v="9"/>
    <x v="725"/>
    <x v="20"/>
    <x v="3"/>
    <x v="401"/>
    <x v="0"/>
    <x v="2388"/>
  </r>
  <r>
    <x v="0"/>
    <x v="255"/>
    <x v="150"/>
    <x v="34"/>
    <x v="0"/>
    <x v="274"/>
    <x v="1"/>
    <x v="2219"/>
    <x v="371"/>
    <x v="1"/>
    <x v="1184"/>
    <x v="727"/>
    <x v="2360"/>
    <x v="2360"/>
    <x v="2216"/>
    <x v="0"/>
    <x v="2341"/>
    <x v="2360"/>
    <x v="70"/>
    <x v="0"/>
    <x v="0"/>
    <x v="4"/>
    <x v="206"/>
    <x v="20"/>
    <x v="631"/>
    <x v="16"/>
    <x v="1"/>
    <x v="61"/>
    <x v="0"/>
    <x v="2389"/>
  </r>
  <r>
    <x v="0"/>
    <x v="990"/>
    <x v="203"/>
    <x v="7"/>
    <x v="0"/>
    <x v="784"/>
    <x v="22"/>
    <x v="2220"/>
    <x v="286"/>
    <x v="80"/>
    <x v="628"/>
    <x v="1740"/>
    <x v="2361"/>
    <x v="2361"/>
    <x v="2217"/>
    <x v="3"/>
    <x v="2342"/>
    <x v="2361"/>
    <x v="158"/>
    <x v="0"/>
    <x v="0"/>
    <x v="0"/>
    <x v="206"/>
    <x v="0"/>
    <x v="12"/>
    <x v="21"/>
    <x v="3"/>
    <x v="38"/>
    <x v="0"/>
    <x v="2390"/>
  </r>
  <r>
    <x v="0"/>
    <x v="551"/>
    <x v="144"/>
    <x v="55"/>
    <x v="262"/>
    <x v="54"/>
    <x v="68"/>
    <x v="2221"/>
    <x v="125"/>
    <x v="928"/>
    <x v="1463"/>
    <x v="68"/>
    <x v="2362"/>
    <x v="2362"/>
    <x v="2218"/>
    <x v="3"/>
    <x v="2343"/>
    <x v="2362"/>
    <x v="644"/>
    <x v="0"/>
    <x v="0"/>
    <x v="4"/>
    <x v="135"/>
    <x v="11"/>
    <x v="150"/>
    <x v="21"/>
    <x v="1"/>
    <x v="90"/>
    <x v="0"/>
    <x v="2391"/>
  </r>
  <r>
    <x v="0"/>
    <x v="168"/>
    <x v="394"/>
    <x v="37"/>
    <x v="111"/>
    <x v="677"/>
    <x v="183"/>
    <x v="2222"/>
    <x v="610"/>
    <x v="344"/>
    <x v="1464"/>
    <x v="1227"/>
    <x v="2363"/>
    <x v="2363"/>
    <x v="1145"/>
    <x v="0"/>
    <x v="2344"/>
    <x v="2363"/>
    <x v="507"/>
    <x v="0"/>
    <x v="0"/>
    <x v="0"/>
    <x v="135"/>
    <x v="24"/>
    <x v="726"/>
    <x v="8"/>
    <x v="3"/>
    <x v="1"/>
    <x v="0"/>
    <x v="2392"/>
  </r>
  <r>
    <x v="0"/>
    <x v="487"/>
    <x v="414"/>
    <x v="29"/>
    <x v="149"/>
    <x v="306"/>
    <x v="10"/>
    <x v="2223"/>
    <x v="428"/>
    <x v="33"/>
    <x v="365"/>
    <x v="478"/>
    <x v="2364"/>
    <x v="2364"/>
    <x v="2219"/>
    <x v="1"/>
    <x v="2345"/>
    <x v="2364"/>
    <x v="334"/>
    <x v="0"/>
    <x v="0"/>
    <x v="2"/>
    <x v="135"/>
    <x v="32"/>
    <x v="6"/>
    <x v="11"/>
    <x v="3"/>
    <x v="1"/>
    <x v="0"/>
    <x v="2393"/>
  </r>
  <r>
    <x v="0"/>
    <x v="327"/>
    <x v="22"/>
    <x v="87"/>
    <x v="202"/>
    <x v="423"/>
    <x v="403"/>
    <x v="2224"/>
    <x v="125"/>
    <x v="929"/>
    <x v="1465"/>
    <x v="1741"/>
    <x v="2365"/>
    <x v="2365"/>
    <x v="2220"/>
    <x v="1"/>
    <x v="2346"/>
    <x v="2365"/>
    <x v="855"/>
    <x v="0"/>
    <x v="0"/>
    <x v="4"/>
    <x v="135"/>
    <x v="7"/>
    <x v="186"/>
    <x v="11"/>
    <x v="3"/>
    <x v="1"/>
    <x v="0"/>
    <x v="2394"/>
  </r>
  <r>
    <x v="0"/>
    <x v="275"/>
    <x v="145"/>
    <x v="45"/>
    <x v="179"/>
    <x v="513"/>
    <x v="35"/>
    <x v="2225"/>
    <x v="127"/>
    <x v="930"/>
    <x v="1466"/>
    <x v="1742"/>
    <x v="2366"/>
    <x v="2366"/>
    <x v="2221"/>
    <x v="1"/>
    <x v="2347"/>
    <x v="2366"/>
    <x v="347"/>
    <x v="0"/>
    <x v="0"/>
    <x v="0"/>
    <x v="135"/>
    <x v="18"/>
    <x v="252"/>
    <x v="5"/>
    <x v="1"/>
    <x v="1"/>
    <x v="0"/>
    <x v="2395"/>
  </r>
  <r>
    <x v="0"/>
    <x v="853"/>
    <x v="382"/>
    <x v="72"/>
    <x v="119"/>
    <x v="575"/>
    <x v="25"/>
    <x v="2226"/>
    <x v="5"/>
    <x v="194"/>
    <x v="953"/>
    <x v="1102"/>
    <x v="2367"/>
    <x v="2367"/>
    <x v="2222"/>
    <x v="1"/>
    <x v="2348"/>
    <x v="2367"/>
    <x v="620"/>
    <x v="0"/>
    <x v="0"/>
    <x v="2"/>
    <x v="173"/>
    <x v="31"/>
    <x v="335"/>
    <x v="4"/>
    <x v="1"/>
    <x v="1"/>
    <x v="0"/>
    <x v="2396"/>
  </r>
  <r>
    <x v="0"/>
    <x v="245"/>
    <x v="167"/>
    <x v="40"/>
    <x v="165"/>
    <x v="785"/>
    <x v="0"/>
    <x v="2227"/>
    <x v="327"/>
    <x v="384"/>
    <x v="1455"/>
    <x v="1743"/>
    <x v="2368"/>
    <x v="2368"/>
    <x v="887"/>
    <x v="0"/>
    <x v="2349"/>
    <x v="2368"/>
    <x v="370"/>
    <x v="0"/>
    <x v="0"/>
    <x v="0"/>
    <x v="78"/>
    <x v="12"/>
    <x v="680"/>
    <x v="10"/>
    <x v="1"/>
    <x v="1"/>
    <x v="0"/>
    <x v="2397"/>
  </r>
  <r>
    <x v="0"/>
    <x v="60"/>
    <x v="74"/>
    <x v="76"/>
    <x v="45"/>
    <x v="244"/>
    <x v="0"/>
    <x v="2228"/>
    <x v="127"/>
    <x v="52"/>
    <x v="1223"/>
    <x v="1744"/>
    <x v="2369"/>
    <x v="2369"/>
    <x v="1467"/>
    <x v="1"/>
    <x v="2350"/>
    <x v="2369"/>
    <x v="492"/>
    <x v="0"/>
    <x v="0"/>
    <x v="4"/>
    <x v="173"/>
    <x v="15"/>
    <x v="476"/>
    <x v="20"/>
    <x v="3"/>
    <x v="1"/>
    <x v="0"/>
    <x v="2398"/>
  </r>
  <r>
    <x v="0"/>
    <x v="991"/>
    <x v="244"/>
    <x v="47"/>
    <x v="26"/>
    <x v="560"/>
    <x v="25"/>
    <x v="2229"/>
    <x v="635"/>
    <x v="76"/>
    <x v="1467"/>
    <x v="1745"/>
    <x v="2370"/>
    <x v="2370"/>
    <x v="2223"/>
    <x v="1"/>
    <x v="2351"/>
    <x v="2370"/>
    <x v="278"/>
    <x v="0"/>
    <x v="0"/>
    <x v="0"/>
    <x v="178"/>
    <x v="11"/>
    <x v="30"/>
    <x v="69"/>
    <x v="1"/>
    <x v="77"/>
    <x v="0"/>
    <x v="2399"/>
  </r>
  <r>
    <x v="0"/>
    <x v="925"/>
    <x v="273"/>
    <x v="33"/>
    <x v="5"/>
    <x v="275"/>
    <x v="253"/>
    <x v="2230"/>
    <x v="105"/>
    <x v="931"/>
    <x v="1468"/>
    <x v="1746"/>
    <x v="2371"/>
    <x v="2371"/>
    <x v="2224"/>
    <x v="0"/>
    <x v="2352"/>
    <x v="2371"/>
    <x v="729"/>
    <x v="0"/>
    <x v="0"/>
    <x v="0"/>
    <x v="173"/>
    <x v="12"/>
    <x v="280"/>
    <x v="22"/>
    <x v="3"/>
    <x v="1"/>
    <x v="0"/>
    <x v="2400"/>
  </r>
  <r>
    <x v="1"/>
    <x v="619"/>
    <x v="401"/>
    <x v="11"/>
    <x v="193"/>
    <x v="282"/>
    <x v="401"/>
    <x v="2231"/>
    <x v="200"/>
    <x v="727"/>
    <x v="1469"/>
    <x v="1747"/>
    <x v="2372"/>
    <x v="2372"/>
    <x v="2225"/>
    <x v="2"/>
    <x v="2353"/>
    <x v="2372"/>
    <x v="212"/>
    <x v="0"/>
    <x v="0"/>
    <x v="0"/>
    <x v="135"/>
    <x v="14"/>
    <x v="727"/>
    <x v="20"/>
    <x v="3"/>
    <x v="257"/>
    <x v="0"/>
    <x v="2401"/>
  </r>
  <r>
    <x v="0"/>
    <x v="992"/>
    <x v="423"/>
    <x v="42"/>
    <x v="183"/>
    <x v="213"/>
    <x v="0"/>
    <x v="2232"/>
    <x v="539"/>
    <x v="85"/>
    <x v="648"/>
    <x v="271"/>
    <x v="2373"/>
    <x v="2373"/>
    <x v="747"/>
    <x v="4"/>
    <x v="2354"/>
    <x v="2373"/>
    <x v="764"/>
    <x v="0"/>
    <x v="0"/>
    <x v="4"/>
    <x v="135"/>
    <x v="17"/>
    <x v="196"/>
    <x v="1"/>
    <x v="3"/>
    <x v="7"/>
    <x v="0"/>
    <x v="2402"/>
  </r>
  <r>
    <x v="0"/>
    <x v="190"/>
    <x v="309"/>
    <x v="153"/>
    <x v="135"/>
    <x v="404"/>
    <x v="94"/>
    <x v="2233"/>
    <x v="70"/>
    <x v="166"/>
    <x v="355"/>
    <x v="584"/>
    <x v="2374"/>
    <x v="2374"/>
    <x v="2226"/>
    <x v="4"/>
    <x v="2355"/>
    <x v="2374"/>
    <x v="856"/>
    <x v="0"/>
    <x v="0"/>
    <x v="0"/>
    <x v="173"/>
    <x v="13"/>
    <x v="238"/>
    <x v="15"/>
    <x v="1"/>
    <x v="1"/>
    <x v="0"/>
    <x v="2403"/>
  </r>
  <r>
    <x v="0"/>
    <x v="606"/>
    <x v="150"/>
    <x v="50"/>
    <x v="79"/>
    <x v="546"/>
    <x v="362"/>
    <x v="2234"/>
    <x v="215"/>
    <x v="932"/>
    <x v="1470"/>
    <x v="1748"/>
    <x v="2375"/>
    <x v="2375"/>
    <x v="1369"/>
    <x v="10"/>
    <x v="2356"/>
    <x v="2375"/>
    <x v="575"/>
    <x v="0"/>
    <x v="0"/>
    <x v="0"/>
    <x v="135"/>
    <x v="6"/>
    <x v="478"/>
    <x v="9"/>
    <x v="1"/>
    <x v="64"/>
    <x v="0"/>
    <x v="2404"/>
  </r>
  <r>
    <x v="0"/>
    <x v="95"/>
    <x v="280"/>
    <x v="77"/>
    <x v="74"/>
    <x v="225"/>
    <x v="43"/>
    <x v="2235"/>
    <x v="238"/>
    <x v="825"/>
    <x v="289"/>
    <x v="1749"/>
    <x v="2376"/>
    <x v="2376"/>
    <x v="2227"/>
    <x v="4"/>
    <x v="2357"/>
    <x v="2376"/>
    <x v="727"/>
    <x v="0"/>
    <x v="0"/>
    <x v="2"/>
    <x v="175"/>
    <x v="10"/>
    <x v="195"/>
    <x v="4"/>
    <x v="1"/>
    <x v="1"/>
    <x v="0"/>
    <x v="2405"/>
  </r>
  <r>
    <x v="0"/>
    <x v="131"/>
    <x v="259"/>
    <x v="86"/>
    <x v="97"/>
    <x v="20"/>
    <x v="0"/>
    <x v="2236"/>
    <x v="310"/>
    <x v="933"/>
    <x v="869"/>
    <x v="1750"/>
    <x v="2377"/>
    <x v="2377"/>
    <x v="2228"/>
    <x v="1"/>
    <x v="2358"/>
    <x v="2377"/>
    <x v="103"/>
    <x v="0"/>
    <x v="0"/>
    <x v="4"/>
    <x v="159"/>
    <x v="42"/>
    <x v="30"/>
    <x v="6"/>
    <x v="3"/>
    <x v="38"/>
    <x v="0"/>
    <x v="2406"/>
  </r>
  <r>
    <x v="0"/>
    <x v="429"/>
    <x v="295"/>
    <x v="156"/>
    <x v="234"/>
    <x v="282"/>
    <x v="148"/>
    <x v="2237"/>
    <x v="636"/>
    <x v="934"/>
    <x v="1218"/>
    <x v="370"/>
    <x v="2378"/>
    <x v="2378"/>
    <x v="2229"/>
    <x v="0"/>
    <x v="2359"/>
    <x v="2378"/>
    <x v="176"/>
    <x v="0"/>
    <x v="0"/>
    <x v="4"/>
    <x v="135"/>
    <x v="31"/>
    <x v="224"/>
    <x v="24"/>
    <x v="1"/>
    <x v="37"/>
    <x v="0"/>
    <x v="2407"/>
  </r>
  <r>
    <x v="0"/>
    <x v="920"/>
    <x v="265"/>
    <x v="71"/>
    <x v="195"/>
    <x v="478"/>
    <x v="35"/>
    <x v="2238"/>
    <x v="364"/>
    <x v="193"/>
    <x v="856"/>
    <x v="1751"/>
    <x v="2379"/>
    <x v="811"/>
    <x v="2230"/>
    <x v="0"/>
    <x v="2360"/>
    <x v="2379"/>
    <x v="635"/>
    <x v="0"/>
    <x v="0"/>
    <x v="0"/>
    <x v="78"/>
    <x v="8"/>
    <x v="497"/>
    <x v="65"/>
    <x v="1"/>
    <x v="103"/>
    <x v="0"/>
    <x v="2408"/>
  </r>
  <r>
    <x v="0"/>
    <x v="197"/>
    <x v="171"/>
    <x v="55"/>
    <x v="139"/>
    <x v="395"/>
    <x v="35"/>
    <x v="2239"/>
    <x v="125"/>
    <x v="653"/>
    <x v="515"/>
    <x v="1752"/>
    <x v="2380"/>
    <x v="2379"/>
    <x v="2231"/>
    <x v="2"/>
    <x v="2361"/>
    <x v="2380"/>
    <x v="210"/>
    <x v="0"/>
    <x v="0"/>
    <x v="0"/>
    <x v="173"/>
    <x v="14"/>
    <x v="30"/>
    <x v="15"/>
    <x v="3"/>
    <x v="1"/>
    <x v="0"/>
    <x v="2409"/>
  </r>
  <r>
    <x v="0"/>
    <x v="993"/>
    <x v="387"/>
    <x v="18"/>
    <x v="188"/>
    <x v="267"/>
    <x v="502"/>
    <x v="2240"/>
    <x v="105"/>
    <x v="935"/>
    <x v="1471"/>
    <x v="1753"/>
    <x v="2381"/>
    <x v="2380"/>
    <x v="2232"/>
    <x v="1"/>
    <x v="2362"/>
    <x v="2381"/>
    <x v="664"/>
    <x v="0"/>
    <x v="0"/>
    <x v="0"/>
    <x v="135"/>
    <x v="17"/>
    <x v="411"/>
    <x v="10"/>
    <x v="3"/>
    <x v="1"/>
    <x v="0"/>
    <x v="2410"/>
  </r>
  <r>
    <x v="0"/>
    <x v="987"/>
    <x v="94"/>
    <x v="22"/>
    <x v="327"/>
    <x v="786"/>
    <x v="0"/>
    <x v="2241"/>
    <x v="498"/>
    <x v="936"/>
    <x v="901"/>
    <x v="1754"/>
    <x v="2382"/>
    <x v="2381"/>
    <x v="2088"/>
    <x v="0"/>
    <x v="2363"/>
    <x v="2382"/>
    <x v="652"/>
    <x v="0"/>
    <x v="1"/>
    <x v="4"/>
    <x v="197"/>
    <x v="18"/>
    <x v="192"/>
    <x v="11"/>
    <x v="1"/>
    <x v="1"/>
    <x v="0"/>
    <x v="2411"/>
  </r>
  <r>
    <x v="0"/>
    <x v="113"/>
    <x v="393"/>
    <x v="104"/>
    <x v="88"/>
    <x v="473"/>
    <x v="503"/>
    <x v="4"/>
    <x v="105"/>
    <x v="937"/>
    <x v="1472"/>
    <x v="697"/>
    <x v="2383"/>
    <x v="308"/>
    <x v="2233"/>
    <x v="8"/>
    <x v="2364"/>
    <x v="2383"/>
    <x v="481"/>
    <x v="0"/>
    <x v="0"/>
    <x v="6"/>
    <x v="4"/>
    <x v="4"/>
    <x v="183"/>
    <x v="7"/>
    <x v="0"/>
    <x v="1"/>
    <x v="0"/>
    <x v="2412"/>
  </r>
  <r>
    <x v="0"/>
    <x v="420"/>
    <x v="402"/>
    <x v="33"/>
    <x v="0"/>
    <x v="296"/>
    <x v="25"/>
    <x v="2242"/>
    <x v="196"/>
    <x v="76"/>
    <x v="517"/>
    <x v="390"/>
    <x v="2384"/>
    <x v="2382"/>
    <x v="2234"/>
    <x v="0"/>
    <x v="2365"/>
    <x v="2384"/>
    <x v="793"/>
    <x v="0"/>
    <x v="0"/>
    <x v="0"/>
    <x v="135"/>
    <x v="43"/>
    <x v="336"/>
    <x v="22"/>
    <x v="3"/>
    <x v="1"/>
    <x v="0"/>
    <x v="2413"/>
  </r>
  <r>
    <x v="0"/>
    <x v="114"/>
    <x v="500"/>
    <x v="73"/>
    <x v="0"/>
    <x v="466"/>
    <x v="10"/>
    <x v="2243"/>
    <x v="105"/>
    <x v="16"/>
    <x v="698"/>
    <x v="1755"/>
    <x v="2385"/>
    <x v="2383"/>
    <x v="2235"/>
    <x v="8"/>
    <x v="2366"/>
    <x v="2385"/>
    <x v="857"/>
    <x v="0"/>
    <x v="0"/>
    <x v="4"/>
    <x v="135"/>
    <x v="11"/>
    <x v="18"/>
    <x v="6"/>
    <x v="3"/>
    <x v="154"/>
    <x v="0"/>
    <x v="2414"/>
  </r>
  <r>
    <x v="0"/>
    <x v="696"/>
    <x v="264"/>
    <x v="42"/>
    <x v="201"/>
    <x v="337"/>
    <x v="395"/>
    <x v="2244"/>
    <x v="270"/>
    <x v="938"/>
    <x v="790"/>
    <x v="1756"/>
    <x v="2386"/>
    <x v="2384"/>
    <x v="2236"/>
    <x v="1"/>
    <x v="2367"/>
    <x v="2386"/>
    <x v="618"/>
    <x v="0"/>
    <x v="0"/>
    <x v="0"/>
    <x v="135"/>
    <x v="9"/>
    <x v="41"/>
    <x v="11"/>
    <x v="1"/>
    <x v="88"/>
    <x v="0"/>
    <x v="2415"/>
  </r>
  <r>
    <x v="0"/>
    <x v="116"/>
    <x v="367"/>
    <x v="70"/>
    <x v="90"/>
    <x v="607"/>
    <x v="270"/>
    <x v="2245"/>
    <x v="223"/>
    <x v="939"/>
    <x v="1473"/>
    <x v="1757"/>
    <x v="2387"/>
    <x v="2385"/>
    <x v="2237"/>
    <x v="0"/>
    <x v="2368"/>
    <x v="2387"/>
    <x v="283"/>
    <x v="0"/>
    <x v="0"/>
    <x v="4"/>
    <x v="159"/>
    <x v="7"/>
    <x v="463"/>
    <x v="32"/>
    <x v="1"/>
    <x v="1"/>
    <x v="0"/>
    <x v="2416"/>
  </r>
  <r>
    <x v="0"/>
    <x v="803"/>
    <x v="241"/>
    <x v="50"/>
    <x v="80"/>
    <x v="52"/>
    <x v="35"/>
    <x v="2246"/>
    <x v="484"/>
    <x v="940"/>
    <x v="890"/>
    <x v="1599"/>
    <x v="2388"/>
    <x v="2386"/>
    <x v="2238"/>
    <x v="4"/>
    <x v="2369"/>
    <x v="2388"/>
    <x v="245"/>
    <x v="0"/>
    <x v="0"/>
    <x v="0"/>
    <x v="131"/>
    <x v="17"/>
    <x v="30"/>
    <x v="43"/>
    <x v="3"/>
    <x v="1"/>
    <x v="0"/>
    <x v="2417"/>
  </r>
  <r>
    <x v="0"/>
    <x v="103"/>
    <x v="370"/>
    <x v="40"/>
    <x v="81"/>
    <x v="10"/>
    <x v="11"/>
    <x v="1628"/>
    <x v="156"/>
    <x v="156"/>
    <x v="65"/>
    <x v="907"/>
    <x v="1697"/>
    <x v="2387"/>
    <x v="1634"/>
    <x v="3"/>
    <x v="1686"/>
    <x v="1697"/>
    <x v="787"/>
    <x v="0"/>
    <x v="0"/>
    <x v="4"/>
    <x v="135"/>
    <x v="30"/>
    <x v="6"/>
    <x v="0"/>
    <x v="3"/>
    <x v="1"/>
    <x v="0"/>
    <x v="2418"/>
  </r>
  <r>
    <x v="0"/>
    <x v="994"/>
    <x v="434"/>
    <x v="113"/>
    <x v="193"/>
    <x v="159"/>
    <x v="156"/>
    <x v="2247"/>
    <x v="170"/>
    <x v="941"/>
    <x v="1474"/>
    <x v="1758"/>
    <x v="2389"/>
    <x v="2388"/>
    <x v="2239"/>
    <x v="4"/>
    <x v="2370"/>
    <x v="2389"/>
    <x v="758"/>
    <x v="0"/>
    <x v="0"/>
    <x v="0"/>
    <x v="135"/>
    <x v="25"/>
    <x v="728"/>
    <x v="43"/>
    <x v="3"/>
    <x v="435"/>
    <x v="0"/>
    <x v="2419"/>
  </r>
  <r>
    <x v="0"/>
    <x v="469"/>
    <x v="237"/>
    <x v="71"/>
    <x v="0"/>
    <x v="787"/>
    <x v="35"/>
    <x v="2248"/>
    <x v="471"/>
    <x v="157"/>
    <x v="326"/>
    <x v="1759"/>
    <x v="2390"/>
    <x v="2389"/>
    <x v="2240"/>
    <x v="0"/>
    <x v="2371"/>
    <x v="2390"/>
    <x v="750"/>
    <x v="0"/>
    <x v="0"/>
    <x v="4"/>
    <x v="138"/>
    <x v="35"/>
    <x v="117"/>
    <x v="2"/>
    <x v="1"/>
    <x v="115"/>
    <x v="0"/>
    <x v="2420"/>
  </r>
  <r>
    <x v="0"/>
    <x v="995"/>
    <x v="382"/>
    <x v="11"/>
    <x v="8"/>
    <x v="407"/>
    <x v="35"/>
    <x v="2249"/>
    <x v="637"/>
    <x v="184"/>
    <x v="1475"/>
    <x v="955"/>
    <x v="2391"/>
    <x v="2390"/>
    <x v="2241"/>
    <x v="1"/>
    <x v="2372"/>
    <x v="2391"/>
    <x v="340"/>
    <x v="0"/>
    <x v="0"/>
    <x v="2"/>
    <x v="135"/>
    <x v="10"/>
    <x v="66"/>
    <x v="1"/>
    <x v="1"/>
    <x v="61"/>
    <x v="0"/>
    <x v="2421"/>
  </r>
  <r>
    <x v="0"/>
    <x v="272"/>
    <x v="399"/>
    <x v="40"/>
    <x v="0"/>
    <x v="72"/>
    <x v="303"/>
    <x v="4"/>
    <x v="638"/>
    <x v="942"/>
    <x v="901"/>
    <x v="1760"/>
    <x v="2392"/>
    <x v="2391"/>
    <x v="2242"/>
    <x v="0"/>
    <x v="2373"/>
    <x v="2392"/>
    <x v="390"/>
    <x v="0"/>
    <x v="0"/>
    <x v="4"/>
    <x v="135"/>
    <x v="48"/>
    <x v="192"/>
    <x v="13"/>
    <x v="1"/>
    <x v="1"/>
    <x v="0"/>
    <x v="2422"/>
  </r>
  <r>
    <x v="0"/>
    <x v="996"/>
    <x v="136"/>
    <x v="107"/>
    <x v="110"/>
    <x v="79"/>
    <x v="452"/>
    <x v="2250"/>
    <x v="539"/>
    <x v="943"/>
    <x v="860"/>
    <x v="1761"/>
    <x v="2393"/>
    <x v="2392"/>
    <x v="2243"/>
    <x v="1"/>
    <x v="2374"/>
    <x v="2393"/>
    <x v="248"/>
    <x v="0"/>
    <x v="0"/>
    <x v="4"/>
    <x v="135"/>
    <x v="0"/>
    <x v="409"/>
    <x v="27"/>
    <x v="1"/>
    <x v="1"/>
    <x v="0"/>
    <x v="2423"/>
  </r>
  <r>
    <x v="0"/>
    <x v="810"/>
    <x v="379"/>
    <x v="33"/>
    <x v="190"/>
    <x v="749"/>
    <x v="105"/>
    <x v="1700"/>
    <x v="1"/>
    <x v="874"/>
    <x v="1476"/>
    <x v="1762"/>
    <x v="2394"/>
    <x v="2393"/>
    <x v="2244"/>
    <x v="1"/>
    <x v="2375"/>
    <x v="2394"/>
    <x v="558"/>
    <x v="0"/>
    <x v="0"/>
    <x v="2"/>
    <x v="135"/>
    <x v="31"/>
    <x v="526"/>
    <x v="27"/>
    <x v="1"/>
    <x v="43"/>
    <x v="0"/>
    <x v="2424"/>
  </r>
  <r>
    <x v="1"/>
    <x v="48"/>
    <x v="285"/>
    <x v="61"/>
    <x v="33"/>
    <x v="781"/>
    <x v="13"/>
    <x v="2251"/>
    <x v="122"/>
    <x v="158"/>
    <x v="556"/>
    <x v="1763"/>
    <x v="2395"/>
    <x v="2394"/>
    <x v="2245"/>
    <x v="1"/>
    <x v="2376"/>
    <x v="2395"/>
    <x v="803"/>
    <x v="0"/>
    <x v="0"/>
    <x v="4"/>
    <x v="135"/>
    <x v="35"/>
    <x v="309"/>
    <x v="24"/>
    <x v="3"/>
    <x v="1"/>
    <x v="0"/>
    <x v="2425"/>
  </r>
  <r>
    <x v="0"/>
    <x v="997"/>
    <x v="387"/>
    <x v="56"/>
    <x v="143"/>
    <x v="176"/>
    <x v="35"/>
    <x v="2252"/>
    <x v="17"/>
    <x v="65"/>
    <x v="1477"/>
    <x v="224"/>
    <x v="2396"/>
    <x v="2395"/>
    <x v="2246"/>
    <x v="0"/>
    <x v="2377"/>
    <x v="2396"/>
    <x v="356"/>
    <x v="0"/>
    <x v="0"/>
    <x v="0"/>
    <x v="135"/>
    <x v="0"/>
    <x v="488"/>
    <x v="23"/>
    <x v="3"/>
    <x v="1"/>
    <x v="0"/>
    <x v="2426"/>
  </r>
  <r>
    <x v="0"/>
    <x v="277"/>
    <x v="272"/>
    <x v="56"/>
    <x v="181"/>
    <x v="788"/>
    <x v="504"/>
    <x v="2253"/>
    <x v="550"/>
    <x v="944"/>
    <x v="1478"/>
    <x v="1764"/>
    <x v="2397"/>
    <x v="2396"/>
    <x v="2247"/>
    <x v="1"/>
    <x v="2378"/>
    <x v="2397"/>
    <x v="514"/>
    <x v="0"/>
    <x v="0"/>
    <x v="0"/>
    <x v="135"/>
    <x v="39"/>
    <x v="729"/>
    <x v="2"/>
    <x v="3"/>
    <x v="1"/>
    <x v="0"/>
    <x v="2427"/>
  </r>
  <r>
    <x v="0"/>
    <x v="998"/>
    <x v="295"/>
    <x v="32"/>
    <x v="172"/>
    <x v="348"/>
    <x v="320"/>
    <x v="2254"/>
    <x v="276"/>
    <x v="945"/>
    <x v="1479"/>
    <x v="476"/>
    <x v="2398"/>
    <x v="2397"/>
    <x v="2248"/>
    <x v="0"/>
    <x v="2379"/>
    <x v="2398"/>
    <x v="517"/>
    <x v="0"/>
    <x v="0"/>
    <x v="2"/>
    <x v="135"/>
    <x v="0"/>
    <x v="353"/>
    <x v="40"/>
    <x v="1"/>
    <x v="1"/>
    <x v="0"/>
    <x v="2428"/>
  </r>
  <r>
    <x v="0"/>
    <x v="464"/>
    <x v="14"/>
    <x v="50"/>
    <x v="0"/>
    <x v="606"/>
    <x v="2"/>
    <x v="2255"/>
    <x v="480"/>
    <x v="182"/>
    <x v="772"/>
    <x v="1765"/>
    <x v="2399"/>
    <x v="2398"/>
    <x v="2249"/>
    <x v="0"/>
    <x v="2380"/>
    <x v="2399"/>
    <x v="132"/>
    <x v="0"/>
    <x v="0"/>
    <x v="4"/>
    <x v="135"/>
    <x v="5"/>
    <x v="237"/>
    <x v="32"/>
    <x v="3"/>
    <x v="62"/>
    <x v="0"/>
    <x v="2429"/>
  </r>
  <r>
    <x v="0"/>
    <x v="696"/>
    <x v="342"/>
    <x v="50"/>
    <x v="201"/>
    <x v="380"/>
    <x v="2"/>
    <x v="2256"/>
    <x v="70"/>
    <x v="740"/>
    <x v="365"/>
    <x v="1197"/>
    <x v="2400"/>
    <x v="2399"/>
    <x v="2250"/>
    <x v="0"/>
    <x v="2381"/>
    <x v="2400"/>
    <x v="620"/>
    <x v="0"/>
    <x v="0"/>
    <x v="2"/>
    <x v="135"/>
    <x v="21"/>
    <x v="6"/>
    <x v="10"/>
    <x v="3"/>
    <x v="198"/>
    <x v="0"/>
    <x v="2430"/>
  </r>
  <r>
    <x v="0"/>
    <x v="999"/>
    <x v="373"/>
    <x v="69"/>
    <x v="89"/>
    <x v="180"/>
    <x v="379"/>
    <x v="2257"/>
    <x v="484"/>
    <x v="692"/>
    <x v="1480"/>
    <x v="1766"/>
    <x v="2401"/>
    <x v="2400"/>
    <x v="2251"/>
    <x v="4"/>
    <x v="2382"/>
    <x v="2401"/>
    <x v="191"/>
    <x v="0"/>
    <x v="0"/>
    <x v="0"/>
    <x v="135"/>
    <x v="21"/>
    <x v="304"/>
    <x v="10"/>
    <x v="1"/>
    <x v="1"/>
    <x v="0"/>
    <x v="2431"/>
  </r>
  <r>
    <x v="0"/>
    <x v="875"/>
    <x v="241"/>
    <x v="86"/>
    <x v="192"/>
    <x v="754"/>
    <x v="14"/>
    <x v="2258"/>
    <x v="125"/>
    <x v="351"/>
    <x v="1481"/>
    <x v="1767"/>
    <x v="2402"/>
    <x v="2401"/>
    <x v="2252"/>
    <x v="18"/>
    <x v="2383"/>
    <x v="2402"/>
    <x v="749"/>
    <x v="0"/>
    <x v="0"/>
    <x v="0"/>
    <x v="173"/>
    <x v="2"/>
    <x v="730"/>
    <x v="20"/>
    <x v="1"/>
    <x v="1"/>
    <x v="0"/>
    <x v="2432"/>
  </r>
  <r>
    <x v="0"/>
    <x v="1000"/>
    <x v="390"/>
    <x v="43"/>
    <x v="47"/>
    <x v="148"/>
    <x v="30"/>
    <x v="2259"/>
    <x v="70"/>
    <x v="224"/>
    <x v="1482"/>
    <x v="1768"/>
    <x v="2403"/>
    <x v="2402"/>
    <x v="2253"/>
    <x v="0"/>
    <x v="2384"/>
    <x v="2403"/>
    <x v="769"/>
    <x v="0"/>
    <x v="0"/>
    <x v="2"/>
    <x v="135"/>
    <x v="14"/>
    <x v="5"/>
    <x v="31"/>
    <x v="3"/>
    <x v="269"/>
    <x v="0"/>
    <x v="2433"/>
  </r>
  <r>
    <x v="0"/>
    <x v="569"/>
    <x v="414"/>
    <x v="31"/>
    <x v="116"/>
    <x v="1"/>
    <x v="17"/>
    <x v="2260"/>
    <x v="270"/>
    <x v="839"/>
    <x v="328"/>
    <x v="21"/>
    <x v="2404"/>
    <x v="2403"/>
    <x v="2254"/>
    <x v="0"/>
    <x v="2385"/>
    <x v="2404"/>
    <x v="844"/>
    <x v="0"/>
    <x v="0"/>
    <x v="4"/>
    <x v="135"/>
    <x v="18"/>
    <x v="9"/>
    <x v="7"/>
    <x v="1"/>
    <x v="1"/>
    <x v="0"/>
    <x v="2434"/>
  </r>
  <r>
    <x v="0"/>
    <x v="464"/>
    <x v="256"/>
    <x v="40"/>
    <x v="0"/>
    <x v="658"/>
    <x v="21"/>
    <x v="2261"/>
    <x v="113"/>
    <x v="141"/>
    <x v="56"/>
    <x v="1769"/>
    <x v="2405"/>
    <x v="2404"/>
    <x v="2255"/>
    <x v="0"/>
    <x v="2386"/>
    <x v="2405"/>
    <x v="649"/>
    <x v="0"/>
    <x v="1"/>
    <x v="4"/>
    <x v="116"/>
    <x v="2"/>
    <x v="44"/>
    <x v="13"/>
    <x v="1"/>
    <x v="33"/>
    <x v="0"/>
    <x v="2435"/>
  </r>
  <r>
    <x v="0"/>
    <x v="126"/>
    <x v="283"/>
    <x v="58"/>
    <x v="0"/>
    <x v="466"/>
    <x v="505"/>
    <x v="2262"/>
    <x v="127"/>
    <x v="946"/>
    <x v="1483"/>
    <x v="688"/>
    <x v="2406"/>
    <x v="2405"/>
    <x v="2256"/>
    <x v="1"/>
    <x v="2387"/>
    <x v="2406"/>
    <x v="670"/>
    <x v="0"/>
    <x v="4"/>
    <x v="0"/>
    <x v="135"/>
    <x v="0"/>
    <x v="731"/>
    <x v="43"/>
    <x v="3"/>
    <x v="1"/>
    <x v="0"/>
    <x v="2436"/>
  </r>
  <r>
    <x v="0"/>
    <x v="760"/>
    <x v="203"/>
    <x v="78"/>
    <x v="137"/>
    <x v="479"/>
    <x v="25"/>
    <x v="2263"/>
    <x v="105"/>
    <x v="26"/>
    <x v="1401"/>
    <x v="704"/>
    <x v="2407"/>
    <x v="2406"/>
    <x v="2257"/>
    <x v="4"/>
    <x v="2388"/>
    <x v="2407"/>
    <x v="715"/>
    <x v="0"/>
    <x v="0"/>
    <x v="4"/>
    <x v="135"/>
    <x v="0"/>
    <x v="260"/>
    <x v="12"/>
    <x v="3"/>
    <x v="1"/>
    <x v="0"/>
    <x v="2437"/>
  </r>
  <r>
    <x v="0"/>
    <x v="1001"/>
    <x v="429"/>
    <x v="42"/>
    <x v="52"/>
    <x v="313"/>
    <x v="345"/>
    <x v="2117"/>
    <x v="10"/>
    <x v="947"/>
    <x v="1484"/>
    <x v="1770"/>
    <x v="2408"/>
    <x v="2407"/>
    <x v="2258"/>
    <x v="0"/>
    <x v="2389"/>
    <x v="2408"/>
    <x v="540"/>
    <x v="0"/>
    <x v="0"/>
    <x v="2"/>
    <x v="135"/>
    <x v="37"/>
    <x v="732"/>
    <x v="40"/>
    <x v="1"/>
    <x v="416"/>
    <x v="0"/>
    <x v="2438"/>
  </r>
  <r>
    <x v="0"/>
    <x v="1002"/>
    <x v="209"/>
    <x v="56"/>
    <x v="109"/>
    <x v="1"/>
    <x v="2"/>
    <x v="2264"/>
    <x v="306"/>
    <x v="113"/>
    <x v="1485"/>
    <x v="1172"/>
    <x v="2409"/>
    <x v="2408"/>
    <x v="2259"/>
    <x v="0"/>
    <x v="2390"/>
    <x v="2409"/>
    <x v="507"/>
    <x v="0"/>
    <x v="0"/>
    <x v="4"/>
    <x v="135"/>
    <x v="18"/>
    <x v="12"/>
    <x v="9"/>
    <x v="1"/>
    <x v="436"/>
    <x v="0"/>
    <x v="2439"/>
  </r>
  <r>
    <x v="0"/>
    <x v="209"/>
    <x v="293"/>
    <x v="86"/>
    <x v="0"/>
    <x v="760"/>
    <x v="506"/>
    <x v="4"/>
    <x v="60"/>
    <x v="948"/>
    <x v="1486"/>
    <x v="1771"/>
    <x v="2410"/>
    <x v="2409"/>
    <x v="2260"/>
    <x v="0"/>
    <x v="2391"/>
    <x v="2410"/>
    <x v="585"/>
    <x v="0"/>
    <x v="0"/>
    <x v="4"/>
    <x v="135"/>
    <x v="37"/>
    <x v="733"/>
    <x v="38"/>
    <x v="1"/>
    <x v="43"/>
    <x v="0"/>
    <x v="2440"/>
  </r>
  <r>
    <x v="0"/>
    <x v="1003"/>
    <x v="265"/>
    <x v="78"/>
    <x v="45"/>
    <x v="132"/>
    <x v="507"/>
    <x v="2265"/>
    <x v="23"/>
    <x v="949"/>
    <x v="1487"/>
    <x v="1772"/>
    <x v="2411"/>
    <x v="2410"/>
    <x v="2261"/>
    <x v="1"/>
    <x v="2392"/>
    <x v="2411"/>
    <x v="558"/>
    <x v="0"/>
    <x v="0"/>
    <x v="0"/>
    <x v="135"/>
    <x v="9"/>
    <x v="734"/>
    <x v="46"/>
    <x v="1"/>
    <x v="86"/>
    <x v="0"/>
    <x v="2441"/>
  </r>
  <r>
    <x v="0"/>
    <x v="106"/>
    <x v="310"/>
    <x v="52"/>
    <x v="0"/>
    <x v="491"/>
    <x v="447"/>
    <x v="2266"/>
    <x v="270"/>
    <x v="950"/>
    <x v="1267"/>
    <x v="1773"/>
    <x v="2412"/>
    <x v="2411"/>
    <x v="2262"/>
    <x v="0"/>
    <x v="2393"/>
    <x v="2412"/>
    <x v="158"/>
    <x v="0"/>
    <x v="0"/>
    <x v="4"/>
    <x v="135"/>
    <x v="13"/>
    <x v="228"/>
    <x v="7"/>
    <x v="3"/>
    <x v="1"/>
    <x v="0"/>
    <x v="2442"/>
  </r>
  <r>
    <x v="0"/>
    <x v="340"/>
    <x v="283"/>
    <x v="50"/>
    <x v="0"/>
    <x v="740"/>
    <x v="508"/>
    <x v="2267"/>
    <x v="105"/>
    <x v="951"/>
    <x v="1488"/>
    <x v="1774"/>
    <x v="2413"/>
    <x v="2412"/>
    <x v="517"/>
    <x v="4"/>
    <x v="2394"/>
    <x v="2413"/>
    <x v="823"/>
    <x v="0"/>
    <x v="0"/>
    <x v="0"/>
    <x v="135"/>
    <x v="11"/>
    <x v="735"/>
    <x v="20"/>
    <x v="1"/>
    <x v="67"/>
    <x v="0"/>
    <x v="2443"/>
  </r>
  <r>
    <x v="0"/>
    <x v="1004"/>
    <x v="492"/>
    <x v="72"/>
    <x v="85"/>
    <x v="789"/>
    <x v="253"/>
    <x v="2268"/>
    <x v="311"/>
    <x v="931"/>
    <x v="1489"/>
    <x v="1775"/>
    <x v="2414"/>
    <x v="2413"/>
    <x v="2263"/>
    <x v="1"/>
    <x v="2395"/>
    <x v="2414"/>
    <x v="816"/>
    <x v="0"/>
    <x v="0"/>
    <x v="2"/>
    <x v="135"/>
    <x v="30"/>
    <x v="259"/>
    <x v="34"/>
    <x v="15"/>
    <x v="1"/>
    <x v="0"/>
    <x v="2444"/>
  </r>
  <r>
    <x v="0"/>
    <x v="1005"/>
    <x v="197"/>
    <x v="27"/>
    <x v="182"/>
    <x v="184"/>
    <x v="259"/>
    <x v="2269"/>
    <x v="105"/>
    <x v="516"/>
    <x v="1490"/>
    <x v="1776"/>
    <x v="2415"/>
    <x v="2414"/>
    <x v="872"/>
    <x v="4"/>
    <x v="2396"/>
    <x v="2415"/>
    <x v="137"/>
    <x v="0"/>
    <x v="4"/>
    <x v="4"/>
    <x v="135"/>
    <x v="14"/>
    <x v="575"/>
    <x v="1"/>
    <x v="3"/>
    <x v="437"/>
    <x v="0"/>
    <x v="2445"/>
  </r>
  <r>
    <x v="0"/>
    <x v="451"/>
    <x v="428"/>
    <x v="52"/>
    <x v="242"/>
    <x v="657"/>
    <x v="362"/>
    <x v="2270"/>
    <x v="17"/>
    <x v="952"/>
    <x v="1491"/>
    <x v="1777"/>
    <x v="2416"/>
    <x v="2415"/>
    <x v="2264"/>
    <x v="0"/>
    <x v="2397"/>
    <x v="2416"/>
    <x v="173"/>
    <x v="0"/>
    <x v="0"/>
    <x v="4"/>
    <x v="173"/>
    <x v="43"/>
    <x v="736"/>
    <x v="18"/>
    <x v="3"/>
    <x v="1"/>
    <x v="0"/>
    <x v="2446"/>
  </r>
  <r>
    <x v="0"/>
    <x v="1006"/>
    <x v="370"/>
    <x v="26"/>
    <x v="73"/>
    <x v="393"/>
    <x v="0"/>
    <x v="2271"/>
    <x v="1"/>
    <x v="953"/>
    <x v="1492"/>
    <x v="1778"/>
    <x v="2417"/>
    <x v="2416"/>
    <x v="2265"/>
    <x v="0"/>
    <x v="2398"/>
    <x v="2417"/>
    <x v="386"/>
    <x v="0"/>
    <x v="0"/>
    <x v="2"/>
    <x v="135"/>
    <x v="37"/>
    <x v="440"/>
    <x v="10"/>
    <x v="1"/>
    <x v="1"/>
    <x v="0"/>
    <x v="2447"/>
  </r>
  <r>
    <x v="0"/>
    <x v="788"/>
    <x v="141"/>
    <x v="52"/>
    <x v="142"/>
    <x v="319"/>
    <x v="120"/>
    <x v="2272"/>
    <x v="425"/>
    <x v="954"/>
    <x v="1493"/>
    <x v="1564"/>
    <x v="2418"/>
    <x v="1785"/>
    <x v="2266"/>
    <x v="4"/>
    <x v="2399"/>
    <x v="2418"/>
    <x v="517"/>
    <x v="0"/>
    <x v="8"/>
    <x v="4"/>
    <x v="185"/>
    <x v="0"/>
    <x v="384"/>
    <x v="15"/>
    <x v="1"/>
    <x v="1"/>
    <x v="0"/>
    <x v="2448"/>
  </r>
  <r>
    <x v="1"/>
    <x v="24"/>
    <x v="263"/>
    <x v="46"/>
    <x v="17"/>
    <x v="680"/>
    <x v="1"/>
    <x v="2273"/>
    <x v="309"/>
    <x v="1"/>
    <x v="70"/>
    <x v="1516"/>
    <x v="2419"/>
    <x v="2417"/>
    <x v="2267"/>
    <x v="1"/>
    <x v="2400"/>
    <x v="2419"/>
    <x v="638"/>
    <x v="0"/>
    <x v="0"/>
    <x v="4"/>
    <x v="135"/>
    <x v="24"/>
    <x v="44"/>
    <x v="0"/>
    <x v="3"/>
    <x v="1"/>
    <x v="0"/>
    <x v="2449"/>
  </r>
  <r>
    <x v="0"/>
    <x v="689"/>
    <x v="259"/>
    <x v="70"/>
    <x v="285"/>
    <x v="417"/>
    <x v="6"/>
    <x v="2274"/>
    <x v="270"/>
    <x v="6"/>
    <x v="23"/>
    <x v="832"/>
    <x v="2420"/>
    <x v="2418"/>
    <x v="2268"/>
    <x v="1"/>
    <x v="2401"/>
    <x v="2420"/>
    <x v="718"/>
    <x v="0"/>
    <x v="0"/>
    <x v="0"/>
    <x v="135"/>
    <x v="9"/>
    <x v="20"/>
    <x v="8"/>
    <x v="1"/>
    <x v="1"/>
    <x v="0"/>
    <x v="2450"/>
  </r>
  <r>
    <x v="0"/>
    <x v="194"/>
    <x v="202"/>
    <x v="51"/>
    <x v="137"/>
    <x v="777"/>
    <x v="227"/>
    <x v="2275"/>
    <x v="273"/>
    <x v="955"/>
    <x v="1494"/>
    <x v="1779"/>
    <x v="2421"/>
    <x v="2419"/>
    <x v="2269"/>
    <x v="0"/>
    <x v="2402"/>
    <x v="2421"/>
    <x v="550"/>
    <x v="22"/>
    <x v="21"/>
    <x v="4"/>
    <x v="78"/>
    <x v="1"/>
    <x v="4"/>
    <x v="11"/>
    <x v="1"/>
    <x v="1"/>
    <x v="0"/>
    <x v="2451"/>
  </r>
  <r>
    <x v="0"/>
    <x v="129"/>
    <x v="306"/>
    <x v="37"/>
    <x v="0"/>
    <x v="1"/>
    <x v="3"/>
    <x v="2276"/>
    <x v="23"/>
    <x v="3"/>
    <x v="374"/>
    <x v="13"/>
    <x v="2422"/>
    <x v="2420"/>
    <x v="2270"/>
    <x v="2"/>
    <x v="2403"/>
    <x v="2422"/>
    <x v="620"/>
    <x v="0"/>
    <x v="1"/>
    <x v="4"/>
    <x v="135"/>
    <x v="8"/>
    <x v="249"/>
    <x v="11"/>
    <x v="1"/>
    <x v="85"/>
    <x v="0"/>
    <x v="2452"/>
  </r>
  <r>
    <x v="0"/>
    <x v="1007"/>
    <x v="361"/>
    <x v="77"/>
    <x v="328"/>
    <x v="591"/>
    <x v="509"/>
    <x v="2277"/>
    <x v="46"/>
    <x v="956"/>
    <x v="1495"/>
    <x v="1780"/>
    <x v="2423"/>
    <x v="2022"/>
    <x v="2271"/>
    <x v="4"/>
    <x v="2404"/>
    <x v="2423"/>
    <x v="487"/>
    <x v="0"/>
    <x v="0"/>
    <x v="2"/>
    <x v="78"/>
    <x v="26"/>
    <x v="737"/>
    <x v="58"/>
    <x v="3"/>
    <x v="1"/>
    <x v="0"/>
    <x v="2453"/>
  </r>
  <r>
    <x v="0"/>
    <x v="85"/>
    <x v="69"/>
    <x v="13"/>
    <x v="0"/>
    <x v="532"/>
    <x v="510"/>
    <x v="2278"/>
    <x v="270"/>
    <x v="957"/>
    <x v="1496"/>
    <x v="1781"/>
    <x v="2424"/>
    <x v="2421"/>
    <x v="1054"/>
    <x v="0"/>
    <x v="2405"/>
    <x v="2424"/>
    <x v="288"/>
    <x v="0"/>
    <x v="1"/>
    <x v="0"/>
    <x v="135"/>
    <x v="25"/>
    <x v="381"/>
    <x v="6"/>
    <x v="5"/>
    <x v="1"/>
    <x v="0"/>
    <x v="2454"/>
  </r>
  <r>
    <x v="0"/>
    <x v="545"/>
    <x v="383"/>
    <x v="85"/>
    <x v="266"/>
    <x v="790"/>
    <x v="153"/>
    <x v="2279"/>
    <x v="520"/>
    <x v="236"/>
    <x v="1497"/>
    <x v="1782"/>
    <x v="2425"/>
    <x v="2422"/>
    <x v="2272"/>
    <x v="0"/>
    <x v="2406"/>
    <x v="2425"/>
    <x v="327"/>
    <x v="0"/>
    <x v="5"/>
    <x v="2"/>
    <x v="4"/>
    <x v="0"/>
    <x v="409"/>
    <x v="38"/>
    <x v="3"/>
    <x v="1"/>
    <x v="0"/>
    <x v="2455"/>
  </r>
  <r>
    <x v="0"/>
    <x v="1008"/>
    <x v="205"/>
    <x v="52"/>
    <x v="329"/>
    <x v="14"/>
    <x v="41"/>
    <x v="2280"/>
    <x v="109"/>
    <x v="396"/>
    <x v="257"/>
    <x v="1783"/>
    <x v="2426"/>
    <x v="2423"/>
    <x v="2273"/>
    <x v="0"/>
    <x v="2407"/>
    <x v="2426"/>
    <x v="319"/>
    <x v="0"/>
    <x v="35"/>
    <x v="0"/>
    <x v="135"/>
    <x v="6"/>
    <x v="174"/>
    <x v="10"/>
    <x v="1"/>
    <x v="1"/>
    <x v="0"/>
    <x v="2456"/>
  </r>
  <r>
    <x v="0"/>
    <x v="696"/>
    <x v="342"/>
    <x v="26"/>
    <x v="201"/>
    <x v="791"/>
    <x v="2"/>
    <x v="2281"/>
    <x v="127"/>
    <x v="740"/>
    <x v="540"/>
    <x v="1784"/>
    <x v="2427"/>
    <x v="2424"/>
    <x v="2274"/>
    <x v="4"/>
    <x v="2408"/>
    <x v="2427"/>
    <x v="293"/>
    <x v="0"/>
    <x v="0"/>
    <x v="4"/>
    <x v="135"/>
    <x v="17"/>
    <x v="351"/>
    <x v="21"/>
    <x v="1"/>
    <x v="438"/>
    <x v="0"/>
    <x v="2457"/>
  </r>
  <r>
    <x v="0"/>
    <x v="1009"/>
    <x v="72"/>
    <x v="38"/>
    <x v="85"/>
    <x v="322"/>
    <x v="9"/>
    <x v="2282"/>
    <x v="639"/>
    <x v="279"/>
    <x v="54"/>
    <x v="1785"/>
    <x v="2428"/>
    <x v="2425"/>
    <x v="2275"/>
    <x v="4"/>
    <x v="2409"/>
    <x v="2428"/>
    <x v="119"/>
    <x v="0"/>
    <x v="5"/>
    <x v="4"/>
    <x v="135"/>
    <x v="9"/>
    <x v="20"/>
    <x v="1"/>
    <x v="1"/>
    <x v="45"/>
    <x v="0"/>
    <x v="2458"/>
  </r>
  <r>
    <x v="2"/>
    <x v="113"/>
    <x v="369"/>
    <x v="84"/>
    <x v="88"/>
    <x v="417"/>
    <x v="500"/>
    <x v="4"/>
    <x v="498"/>
    <x v="958"/>
    <x v="846"/>
    <x v="1786"/>
    <x v="2429"/>
    <x v="2426"/>
    <x v="1321"/>
    <x v="1"/>
    <x v="2410"/>
    <x v="2429"/>
    <x v="704"/>
    <x v="1"/>
    <x v="0"/>
    <x v="1"/>
    <x v="4"/>
    <x v="4"/>
    <x v="491"/>
    <x v="10"/>
    <x v="2"/>
    <x v="1"/>
    <x v="0"/>
    <x v="2459"/>
  </r>
  <r>
    <x v="1"/>
    <x v="1010"/>
    <x v="140"/>
    <x v="48"/>
    <x v="0"/>
    <x v="403"/>
    <x v="392"/>
    <x v="2283"/>
    <x v="498"/>
    <x v="959"/>
    <x v="1498"/>
    <x v="1787"/>
    <x v="2430"/>
    <x v="2427"/>
    <x v="2276"/>
    <x v="0"/>
    <x v="2411"/>
    <x v="2430"/>
    <x v="858"/>
    <x v="15"/>
    <x v="8"/>
    <x v="4"/>
    <x v="176"/>
    <x v="0"/>
    <x v="474"/>
    <x v="6"/>
    <x v="3"/>
    <x v="1"/>
    <x v="0"/>
    <x v="2460"/>
  </r>
  <r>
    <x v="0"/>
    <x v="1011"/>
    <x v="464"/>
    <x v="80"/>
    <x v="102"/>
    <x v="2"/>
    <x v="48"/>
    <x v="4"/>
    <x v="429"/>
    <x v="81"/>
    <x v="1499"/>
    <x v="1788"/>
    <x v="2431"/>
    <x v="2428"/>
    <x v="2277"/>
    <x v="0"/>
    <x v="4"/>
    <x v="2431"/>
    <x v="843"/>
    <x v="0"/>
    <x v="0"/>
    <x v="1"/>
    <x v="4"/>
    <x v="6"/>
    <x v="366"/>
    <x v="61"/>
    <x v="2"/>
    <x v="353"/>
    <x v="0"/>
    <x v="2461"/>
  </r>
  <r>
    <x v="0"/>
    <x v="1012"/>
    <x v="266"/>
    <x v="41"/>
    <x v="52"/>
    <x v="350"/>
    <x v="0"/>
    <x v="2284"/>
    <x v="640"/>
    <x v="121"/>
    <x v="250"/>
    <x v="1789"/>
    <x v="2432"/>
    <x v="2429"/>
    <x v="2278"/>
    <x v="4"/>
    <x v="2412"/>
    <x v="2432"/>
    <x v="360"/>
    <x v="0"/>
    <x v="0"/>
    <x v="4"/>
    <x v="207"/>
    <x v="43"/>
    <x v="169"/>
    <x v="18"/>
    <x v="3"/>
    <x v="1"/>
    <x v="0"/>
    <x v="2462"/>
  </r>
  <r>
    <x v="0"/>
    <x v="240"/>
    <x v="212"/>
    <x v="33"/>
    <x v="161"/>
    <x v="362"/>
    <x v="0"/>
    <x v="2285"/>
    <x v="171"/>
    <x v="243"/>
    <x v="499"/>
    <x v="270"/>
    <x v="2433"/>
    <x v="2430"/>
    <x v="2206"/>
    <x v="0"/>
    <x v="2413"/>
    <x v="2433"/>
    <x v="454"/>
    <x v="0"/>
    <x v="0"/>
    <x v="4"/>
    <x v="135"/>
    <x v="19"/>
    <x v="323"/>
    <x v="13"/>
    <x v="3"/>
    <x v="43"/>
    <x v="0"/>
    <x v="2463"/>
  </r>
  <r>
    <x v="0"/>
    <x v="554"/>
    <x v="280"/>
    <x v="41"/>
    <x v="269"/>
    <x v="714"/>
    <x v="511"/>
    <x v="2286"/>
    <x v="641"/>
    <x v="960"/>
    <x v="1500"/>
    <x v="1790"/>
    <x v="2434"/>
    <x v="2431"/>
    <x v="1687"/>
    <x v="0"/>
    <x v="2414"/>
    <x v="2434"/>
    <x v="388"/>
    <x v="0"/>
    <x v="0"/>
    <x v="4"/>
    <x v="4"/>
    <x v="9"/>
    <x v="505"/>
    <x v="13"/>
    <x v="1"/>
    <x v="64"/>
    <x v="0"/>
    <x v="2464"/>
  </r>
  <r>
    <x v="0"/>
    <x v="1013"/>
    <x v="241"/>
    <x v="42"/>
    <x v="116"/>
    <x v="105"/>
    <x v="369"/>
    <x v="4"/>
    <x v="168"/>
    <x v="961"/>
    <x v="1501"/>
    <x v="475"/>
    <x v="2435"/>
    <x v="2432"/>
    <x v="2279"/>
    <x v="1"/>
    <x v="2415"/>
    <x v="2435"/>
    <x v="641"/>
    <x v="0"/>
    <x v="8"/>
    <x v="4"/>
    <x v="135"/>
    <x v="8"/>
    <x v="84"/>
    <x v="37"/>
    <x v="1"/>
    <x v="103"/>
    <x v="0"/>
    <x v="2465"/>
  </r>
  <r>
    <x v="0"/>
    <x v="113"/>
    <x v="339"/>
    <x v="157"/>
    <x v="88"/>
    <x v="89"/>
    <x v="329"/>
    <x v="2287"/>
    <x v="393"/>
    <x v="962"/>
    <x v="1502"/>
    <x v="1791"/>
    <x v="2436"/>
    <x v="2433"/>
    <x v="2280"/>
    <x v="0"/>
    <x v="2416"/>
    <x v="2436"/>
    <x v="225"/>
    <x v="0"/>
    <x v="10"/>
    <x v="9"/>
    <x v="4"/>
    <x v="4"/>
    <x v="660"/>
    <x v="16"/>
    <x v="1"/>
    <x v="1"/>
    <x v="0"/>
    <x v="2466"/>
  </r>
  <r>
    <x v="0"/>
    <x v="1014"/>
    <x v="349"/>
    <x v="37"/>
    <x v="330"/>
    <x v="792"/>
    <x v="512"/>
    <x v="4"/>
    <x v="582"/>
    <x v="963"/>
    <x v="1503"/>
    <x v="1792"/>
    <x v="2437"/>
    <x v="2022"/>
    <x v="2281"/>
    <x v="0"/>
    <x v="2417"/>
    <x v="2437"/>
    <x v="822"/>
    <x v="0"/>
    <x v="10"/>
    <x v="9"/>
    <x v="135"/>
    <x v="0"/>
    <x v="213"/>
    <x v="34"/>
    <x v="1"/>
    <x v="439"/>
    <x v="0"/>
    <x v="2467"/>
  </r>
  <r>
    <x v="0"/>
    <x v="1015"/>
    <x v="81"/>
    <x v="61"/>
    <x v="0"/>
    <x v="609"/>
    <x v="179"/>
    <x v="2288"/>
    <x v="642"/>
    <x v="785"/>
    <x v="1504"/>
    <x v="1793"/>
    <x v="2438"/>
    <x v="2434"/>
    <x v="161"/>
    <x v="4"/>
    <x v="2418"/>
    <x v="2438"/>
    <x v="427"/>
    <x v="0"/>
    <x v="13"/>
    <x v="4"/>
    <x v="208"/>
    <x v="15"/>
    <x v="145"/>
    <x v="5"/>
    <x v="1"/>
    <x v="440"/>
    <x v="0"/>
    <x v="2468"/>
  </r>
  <r>
    <x v="0"/>
    <x v="233"/>
    <x v="141"/>
    <x v="101"/>
    <x v="0"/>
    <x v="666"/>
    <x v="0"/>
    <x v="4"/>
    <x v="429"/>
    <x v="964"/>
    <x v="1505"/>
    <x v="1794"/>
    <x v="2439"/>
    <x v="2435"/>
    <x v="2170"/>
    <x v="1"/>
    <x v="2419"/>
    <x v="2439"/>
    <x v="315"/>
    <x v="0"/>
    <x v="0"/>
    <x v="10"/>
    <x v="209"/>
    <x v="39"/>
    <x v="235"/>
    <x v="13"/>
    <x v="3"/>
    <x v="67"/>
    <x v="0"/>
    <x v="2469"/>
  </r>
  <r>
    <x v="0"/>
    <x v="168"/>
    <x v="430"/>
    <x v="80"/>
    <x v="111"/>
    <x v="793"/>
    <x v="0"/>
    <x v="4"/>
    <x v="28"/>
    <x v="513"/>
    <x v="1139"/>
    <x v="1795"/>
    <x v="2440"/>
    <x v="2436"/>
    <x v="2282"/>
    <x v="1"/>
    <x v="2420"/>
    <x v="2440"/>
    <x v="724"/>
    <x v="0"/>
    <x v="0"/>
    <x v="4"/>
    <x v="135"/>
    <x v="6"/>
    <x v="261"/>
    <x v="31"/>
    <x v="2"/>
    <x v="1"/>
    <x v="0"/>
    <x v="2470"/>
  </r>
  <r>
    <x v="0"/>
    <x v="1016"/>
    <x v="356"/>
    <x v="72"/>
    <x v="216"/>
    <x v="691"/>
    <x v="447"/>
    <x v="2289"/>
    <x v="643"/>
    <x v="813"/>
    <x v="381"/>
    <x v="1796"/>
    <x v="2441"/>
    <x v="2437"/>
    <x v="1547"/>
    <x v="0"/>
    <x v="2421"/>
    <x v="2441"/>
    <x v="129"/>
    <x v="0"/>
    <x v="10"/>
    <x v="4"/>
    <x v="137"/>
    <x v="7"/>
    <x v="738"/>
    <x v="10"/>
    <x v="1"/>
    <x v="1"/>
    <x v="0"/>
    <x v="2471"/>
  </r>
  <r>
    <x v="0"/>
    <x v="871"/>
    <x v="399"/>
    <x v="78"/>
    <x v="266"/>
    <x v="215"/>
    <x v="35"/>
    <x v="4"/>
    <x v="134"/>
    <x v="124"/>
    <x v="1313"/>
    <x v="273"/>
    <x v="2051"/>
    <x v="2050"/>
    <x v="1950"/>
    <x v="1"/>
    <x v="4"/>
    <x v="2051"/>
    <x v="769"/>
    <x v="0"/>
    <x v="4"/>
    <x v="4"/>
    <x v="190"/>
    <x v="2"/>
    <x v="30"/>
    <x v="22"/>
    <x v="1"/>
    <x v="1"/>
    <x v="0"/>
    <x v="2472"/>
  </r>
  <r>
    <x v="0"/>
    <x v="810"/>
    <x v="349"/>
    <x v="71"/>
    <x v="190"/>
    <x v="136"/>
    <x v="513"/>
    <x v="4"/>
    <x v="1"/>
    <x v="965"/>
    <x v="1506"/>
    <x v="333"/>
    <x v="2442"/>
    <x v="2438"/>
    <x v="2283"/>
    <x v="1"/>
    <x v="2422"/>
    <x v="2442"/>
    <x v="581"/>
    <x v="0"/>
    <x v="32"/>
    <x v="0"/>
    <x v="210"/>
    <x v="39"/>
    <x v="478"/>
    <x v="40"/>
    <x v="1"/>
    <x v="1"/>
    <x v="0"/>
    <x v="2473"/>
  </r>
  <r>
    <x v="0"/>
    <x v="1017"/>
    <x v="423"/>
    <x v="37"/>
    <x v="262"/>
    <x v="794"/>
    <x v="13"/>
    <x v="4"/>
    <x v="416"/>
    <x v="158"/>
    <x v="166"/>
    <x v="1797"/>
    <x v="2443"/>
    <x v="2439"/>
    <x v="2284"/>
    <x v="4"/>
    <x v="2423"/>
    <x v="2443"/>
    <x v="629"/>
    <x v="0"/>
    <x v="13"/>
    <x v="4"/>
    <x v="137"/>
    <x v="3"/>
    <x v="12"/>
    <x v="5"/>
    <x v="1"/>
    <x v="7"/>
    <x v="0"/>
    <x v="2474"/>
  </r>
  <r>
    <x v="0"/>
    <x v="560"/>
    <x v="127"/>
    <x v="73"/>
    <x v="154"/>
    <x v="454"/>
    <x v="10"/>
    <x v="2290"/>
    <x v="125"/>
    <x v="16"/>
    <x v="1507"/>
    <x v="667"/>
    <x v="2444"/>
    <x v="2440"/>
    <x v="2285"/>
    <x v="4"/>
    <x v="2424"/>
    <x v="2444"/>
    <x v="859"/>
    <x v="0"/>
    <x v="0"/>
    <x v="4"/>
    <x v="78"/>
    <x v="1"/>
    <x v="133"/>
    <x v="32"/>
    <x v="3"/>
    <x v="1"/>
    <x v="0"/>
    <x v="2475"/>
  </r>
  <r>
    <x v="0"/>
    <x v="795"/>
    <x v="402"/>
    <x v="33"/>
    <x v="0"/>
    <x v="462"/>
    <x v="514"/>
    <x v="2291"/>
    <x v="539"/>
    <x v="966"/>
    <x v="1225"/>
    <x v="1259"/>
    <x v="2445"/>
    <x v="2441"/>
    <x v="2286"/>
    <x v="0"/>
    <x v="2425"/>
    <x v="2445"/>
    <x v="727"/>
    <x v="0"/>
    <x v="0"/>
    <x v="0"/>
    <x v="4"/>
    <x v="0"/>
    <x v="427"/>
    <x v="54"/>
    <x v="3"/>
    <x v="381"/>
    <x v="0"/>
    <x v="2476"/>
  </r>
  <r>
    <x v="0"/>
    <x v="1018"/>
    <x v="349"/>
    <x v="43"/>
    <x v="331"/>
    <x v="118"/>
    <x v="2"/>
    <x v="4"/>
    <x v="397"/>
    <x v="967"/>
    <x v="1265"/>
    <x v="147"/>
    <x v="2446"/>
    <x v="2442"/>
    <x v="2287"/>
    <x v="4"/>
    <x v="2426"/>
    <x v="2446"/>
    <x v="705"/>
    <x v="0"/>
    <x v="10"/>
    <x v="4"/>
    <x v="135"/>
    <x v="11"/>
    <x v="656"/>
    <x v="43"/>
    <x v="1"/>
    <x v="1"/>
    <x v="0"/>
    <x v="2477"/>
  </r>
  <r>
    <x v="0"/>
    <x v="107"/>
    <x v="241"/>
    <x v="42"/>
    <x v="84"/>
    <x v="262"/>
    <x v="515"/>
    <x v="2292"/>
    <x v="350"/>
    <x v="968"/>
    <x v="1508"/>
    <x v="1798"/>
    <x v="2447"/>
    <x v="2443"/>
    <x v="2288"/>
    <x v="4"/>
    <x v="2427"/>
    <x v="2447"/>
    <x v="586"/>
    <x v="0"/>
    <x v="0"/>
    <x v="0"/>
    <x v="154"/>
    <x v="8"/>
    <x v="477"/>
    <x v="5"/>
    <x v="3"/>
    <x v="1"/>
    <x v="0"/>
    <x v="2478"/>
  </r>
  <r>
    <x v="0"/>
    <x v="1019"/>
    <x v="273"/>
    <x v="110"/>
    <x v="107"/>
    <x v="375"/>
    <x v="2"/>
    <x v="2293"/>
    <x v="644"/>
    <x v="203"/>
    <x v="705"/>
    <x v="527"/>
    <x v="2448"/>
    <x v="2444"/>
    <x v="2289"/>
    <x v="1"/>
    <x v="2428"/>
    <x v="2448"/>
    <x v="556"/>
    <x v="0"/>
    <x v="0"/>
    <x v="2"/>
    <x v="211"/>
    <x v="12"/>
    <x v="114"/>
    <x v="12"/>
    <x v="3"/>
    <x v="1"/>
    <x v="0"/>
    <x v="2479"/>
  </r>
  <r>
    <x v="0"/>
    <x v="1020"/>
    <x v="94"/>
    <x v="61"/>
    <x v="224"/>
    <x v="357"/>
    <x v="22"/>
    <x v="2294"/>
    <x v="156"/>
    <x v="202"/>
    <x v="624"/>
    <x v="1799"/>
    <x v="2449"/>
    <x v="2445"/>
    <x v="1950"/>
    <x v="1"/>
    <x v="2429"/>
    <x v="2449"/>
    <x v="660"/>
    <x v="0"/>
    <x v="1"/>
    <x v="0"/>
    <x v="211"/>
    <x v="14"/>
    <x v="389"/>
    <x v="14"/>
    <x v="1"/>
    <x v="85"/>
    <x v="0"/>
    <x v="2480"/>
  </r>
  <r>
    <x v="0"/>
    <x v="1021"/>
    <x v="229"/>
    <x v="50"/>
    <x v="146"/>
    <x v="457"/>
    <x v="516"/>
    <x v="2295"/>
    <x v="28"/>
    <x v="969"/>
    <x v="176"/>
    <x v="674"/>
    <x v="2450"/>
    <x v="2446"/>
    <x v="2290"/>
    <x v="1"/>
    <x v="2430"/>
    <x v="2450"/>
    <x v="425"/>
    <x v="0"/>
    <x v="10"/>
    <x v="4"/>
    <x v="151"/>
    <x v="1"/>
    <x v="120"/>
    <x v="22"/>
    <x v="1"/>
    <x v="1"/>
    <x v="0"/>
    <x v="2481"/>
  </r>
  <r>
    <x v="0"/>
    <x v="1022"/>
    <x v="361"/>
    <x v="41"/>
    <x v="239"/>
    <x v="795"/>
    <x v="517"/>
    <x v="2296"/>
    <x v="645"/>
    <x v="970"/>
    <x v="1451"/>
    <x v="1800"/>
    <x v="2451"/>
    <x v="2447"/>
    <x v="2291"/>
    <x v="7"/>
    <x v="2431"/>
    <x v="2451"/>
    <x v="789"/>
    <x v="0"/>
    <x v="0"/>
    <x v="2"/>
    <x v="211"/>
    <x v="9"/>
    <x v="73"/>
    <x v="46"/>
    <x v="1"/>
    <x v="1"/>
    <x v="0"/>
    <x v="2482"/>
  </r>
  <r>
    <x v="0"/>
    <x v="1023"/>
    <x v="303"/>
    <x v="41"/>
    <x v="211"/>
    <x v="1"/>
    <x v="57"/>
    <x v="4"/>
    <x v="3"/>
    <x v="99"/>
    <x v="463"/>
    <x v="1801"/>
    <x v="2452"/>
    <x v="2448"/>
    <x v="2292"/>
    <x v="2"/>
    <x v="2432"/>
    <x v="2452"/>
    <x v="420"/>
    <x v="0"/>
    <x v="0"/>
    <x v="4"/>
    <x v="135"/>
    <x v="11"/>
    <x v="30"/>
    <x v="51"/>
    <x v="1"/>
    <x v="1"/>
    <x v="0"/>
    <x v="2483"/>
  </r>
  <r>
    <x v="0"/>
    <x v="1024"/>
    <x v="428"/>
    <x v="38"/>
    <x v="0"/>
    <x v="570"/>
    <x v="492"/>
    <x v="2297"/>
    <x v="168"/>
    <x v="971"/>
    <x v="1509"/>
    <x v="1802"/>
    <x v="2453"/>
    <x v="1367"/>
    <x v="2293"/>
    <x v="0"/>
    <x v="2433"/>
    <x v="2453"/>
    <x v="450"/>
    <x v="0"/>
    <x v="0"/>
    <x v="4"/>
    <x v="211"/>
    <x v="19"/>
    <x v="736"/>
    <x v="19"/>
    <x v="3"/>
    <x v="309"/>
    <x v="0"/>
    <x v="2484"/>
  </r>
  <r>
    <x v="0"/>
    <x v="315"/>
    <x v="178"/>
    <x v="59"/>
    <x v="197"/>
    <x v="666"/>
    <x v="518"/>
    <x v="2298"/>
    <x v="560"/>
    <x v="972"/>
    <x v="1510"/>
    <x v="1803"/>
    <x v="2454"/>
    <x v="2449"/>
    <x v="2294"/>
    <x v="0"/>
    <x v="2434"/>
    <x v="2454"/>
    <x v="860"/>
    <x v="0"/>
    <x v="0"/>
    <x v="0"/>
    <x v="173"/>
    <x v="18"/>
    <x v="739"/>
    <x v="32"/>
    <x v="3"/>
    <x v="35"/>
    <x v="0"/>
    <x v="2485"/>
  </r>
  <r>
    <x v="0"/>
    <x v="0"/>
    <x v="75"/>
    <x v="39"/>
    <x v="0"/>
    <x v="66"/>
    <x v="35"/>
    <x v="2299"/>
    <x v="5"/>
    <x v="280"/>
    <x v="1511"/>
    <x v="1804"/>
    <x v="2455"/>
    <x v="2450"/>
    <x v="2295"/>
    <x v="1"/>
    <x v="2435"/>
    <x v="2455"/>
    <x v="861"/>
    <x v="0"/>
    <x v="0"/>
    <x v="4"/>
    <x v="206"/>
    <x v="43"/>
    <x v="616"/>
    <x v="26"/>
    <x v="3"/>
    <x v="45"/>
    <x v="0"/>
    <x v="2486"/>
  </r>
  <r>
    <x v="0"/>
    <x v="1025"/>
    <x v="249"/>
    <x v="92"/>
    <x v="124"/>
    <x v="124"/>
    <x v="519"/>
    <x v="2300"/>
    <x v="646"/>
    <x v="973"/>
    <x v="1512"/>
    <x v="1805"/>
    <x v="2456"/>
    <x v="2451"/>
    <x v="2296"/>
    <x v="1"/>
    <x v="2436"/>
    <x v="2456"/>
    <x v="150"/>
    <x v="0"/>
    <x v="0"/>
    <x v="11"/>
    <x v="173"/>
    <x v="53"/>
    <x v="740"/>
    <x v="0"/>
    <x v="5"/>
    <x v="1"/>
    <x v="0"/>
    <x v="2487"/>
  </r>
  <r>
    <x v="0"/>
    <x v="419"/>
    <x v="321"/>
    <x v="77"/>
    <x v="89"/>
    <x v="248"/>
    <x v="230"/>
    <x v="2301"/>
    <x v="236"/>
    <x v="424"/>
    <x v="962"/>
    <x v="920"/>
    <x v="2457"/>
    <x v="2452"/>
    <x v="2297"/>
    <x v="1"/>
    <x v="2437"/>
    <x v="2457"/>
    <x v="315"/>
    <x v="0"/>
    <x v="0"/>
    <x v="4"/>
    <x v="173"/>
    <x v="13"/>
    <x v="9"/>
    <x v="23"/>
    <x v="1"/>
    <x v="1"/>
    <x v="0"/>
    <x v="2488"/>
  </r>
  <r>
    <x v="0"/>
    <x v="626"/>
    <x v="309"/>
    <x v="27"/>
    <x v="74"/>
    <x v="617"/>
    <x v="355"/>
    <x v="2302"/>
    <x v="125"/>
    <x v="641"/>
    <x v="932"/>
    <x v="1806"/>
    <x v="2458"/>
    <x v="2453"/>
    <x v="2298"/>
    <x v="1"/>
    <x v="2438"/>
    <x v="2458"/>
    <x v="568"/>
    <x v="0"/>
    <x v="0"/>
    <x v="4"/>
    <x v="173"/>
    <x v="11"/>
    <x v="83"/>
    <x v="12"/>
    <x v="3"/>
    <x v="57"/>
    <x v="0"/>
    <x v="2489"/>
  </r>
  <r>
    <x v="0"/>
    <x v="690"/>
    <x v="456"/>
    <x v="51"/>
    <x v="286"/>
    <x v="7"/>
    <x v="138"/>
    <x v="2303"/>
    <x v="621"/>
    <x v="459"/>
    <x v="1513"/>
    <x v="7"/>
    <x v="2459"/>
    <x v="2454"/>
    <x v="1762"/>
    <x v="0"/>
    <x v="2439"/>
    <x v="2459"/>
    <x v="683"/>
    <x v="0"/>
    <x v="0"/>
    <x v="4"/>
    <x v="176"/>
    <x v="14"/>
    <x v="738"/>
    <x v="7"/>
    <x v="3"/>
    <x v="1"/>
    <x v="0"/>
    <x v="2490"/>
  </r>
  <r>
    <x v="0"/>
    <x v="426"/>
    <x v="74"/>
    <x v="47"/>
    <x v="232"/>
    <x v="123"/>
    <x v="186"/>
    <x v="2304"/>
    <x v="125"/>
    <x v="974"/>
    <x v="1514"/>
    <x v="1807"/>
    <x v="2460"/>
    <x v="2455"/>
    <x v="2299"/>
    <x v="4"/>
    <x v="2440"/>
    <x v="2460"/>
    <x v="299"/>
    <x v="0"/>
    <x v="0"/>
    <x v="4"/>
    <x v="211"/>
    <x v="7"/>
    <x v="577"/>
    <x v="22"/>
    <x v="1"/>
    <x v="1"/>
    <x v="0"/>
    <x v="2491"/>
  </r>
  <r>
    <x v="0"/>
    <x v="469"/>
    <x v="107"/>
    <x v="59"/>
    <x v="0"/>
    <x v="796"/>
    <x v="35"/>
    <x v="2305"/>
    <x v="381"/>
    <x v="157"/>
    <x v="1515"/>
    <x v="1808"/>
    <x v="2461"/>
    <x v="2456"/>
    <x v="2300"/>
    <x v="0"/>
    <x v="2441"/>
    <x v="2461"/>
    <x v="862"/>
    <x v="0"/>
    <x v="0"/>
    <x v="4"/>
    <x v="212"/>
    <x v="33"/>
    <x v="539"/>
    <x v="0"/>
    <x v="1"/>
    <x v="85"/>
    <x v="0"/>
    <x v="2492"/>
  </r>
  <r>
    <x v="1"/>
    <x v="187"/>
    <x v="189"/>
    <x v="110"/>
    <x v="133"/>
    <x v="362"/>
    <x v="15"/>
    <x v="1118"/>
    <x v="96"/>
    <x v="54"/>
    <x v="804"/>
    <x v="942"/>
    <x v="1161"/>
    <x v="1159"/>
    <x v="1134"/>
    <x v="2"/>
    <x v="1153"/>
    <x v="1161"/>
    <x v="682"/>
    <x v="4"/>
    <x v="9"/>
    <x v="0"/>
    <x v="145"/>
    <x v="19"/>
    <x v="200"/>
    <x v="0"/>
    <x v="1"/>
    <x v="1"/>
    <x v="0"/>
    <x v="2493"/>
  </r>
  <r>
    <x v="0"/>
    <x v="1026"/>
    <x v="460"/>
    <x v="101"/>
    <x v="134"/>
    <x v="247"/>
    <x v="347"/>
    <x v="2306"/>
    <x v="647"/>
    <x v="622"/>
    <x v="1516"/>
    <x v="318"/>
    <x v="2462"/>
    <x v="2457"/>
    <x v="2301"/>
    <x v="1"/>
    <x v="2442"/>
    <x v="2462"/>
    <x v="823"/>
    <x v="0"/>
    <x v="0"/>
    <x v="2"/>
    <x v="173"/>
    <x v="17"/>
    <x v="741"/>
    <x v="37"/>
    <x v="3"/>
    <x v="241"/>
    <x v="0"/>
    <x v="2494"/>
  </r>
  <r>
    <x v="0"/>
    <x v="579"/>
    <x v="392"/>
    <x v="32"/>
    <x v="170"/>
    <x v="797"/>
    <x v="0"/>
    <x v="2307"/>
    <x v="200"/>
    <x v="255"/>
    <x v="681"/>
    <x v="1809"/>
    <x v="2463"/>
    <x v="2458"/>
    <x v="2302"/>
    <x v="7"/>
    <x v="2443"/>
    <x v="2463"/>
    <x v="398"/>
    <x v="0"/>
    <x v="0"/>
    <x v="4"/>
    <x v="173"/>
    <x v="9"/>
    <x v="144"/>
    <x v="10"/>
    <x v="1"/>
    <x v="115"/>
    <x v="0"/>
    <x v="2495"/>
  </r>
  <r>
    <x v="0"/>
    <x v="796"/>
    <x v="72"/>
    <x v="56"/>
    <x v="304"/>
    <x v="232"/>
    <x v="17"/>
    <x v="2308"/>
    <x v="28"/>
    <x v="32"/>
    <x v="400"/>
    <x v="1336"/>
    <x v="2464"/>
    <x v="2459"/>
    <x v="2303"/>
    <x v="0"/>
    <x v="2444"/>
    <x v="2464"/>
    <x v="202"/>
    <x v="0"/>
    <x v="1"/>
    <x v="4"/>
    <x v="173"/>
    <x v="7"/>
    <x v="269"/>
    <x v="10"/>
    <x v="1"/>
    <x v="67"/>
    <x v="0"/>
    <x v="2496"/>
  </r>
  <r>
    <x v="0"/>
    <x v="1027"/>
    <x v="305"/>
    <x v="78"/>
    <x v="79"/>
    <x v="374"/>
    <x v="253"/>
    <x v="2309"/>
    <x v="364"/>
    <x v="464"/>
    <x v="1216"/>
    <x v="1810"/>
    <x v="2465"/>
    <x v="2460"/>
    <x v="2166"/>
    <x v="0"/>
    <x v="2445"/>
    <x v="2465"/>
    <x v="491"/>
    <x v="0"/>
    <x v="4"/>
    <x v="4"/>
    <x v="78"/>
    <x v="5"/>
    <x v="318"/>
    <x v="23"/>
    <x v="3"/>
    <x v="85"/>
    <x v="0"/>
    <x v="2497"/>
  </r>
  <r>
    <x v="0"/>
    <x v="333"/>
    <x v="321"/>
    <x v="45"/>
    <x v="151"/>
    <x v="798"/>
    <x v="0"/>
    <x v="2310"/>
    <x v="127"/>
    <x v="975"/>
    <x v="491"/>
    <x v="1811"/>
    <x v="2466"/>
    <x v="2461"/>
    <x v="2304"/>
    <x v="0"/>
    <x v="2446"/>
    <x v="2466"/>
    <x v="488"/>
    <x v="0"/>
    <x v="0"/>
    <x v="4"/>
    <x v="173"/>
    <x v="19"/>
    <x v="319"/>
    <x v="23"/>
    <x v="3"/>
    <x v="43"/>
    <x v="0"/>
    <x v="2498"/>
  </r>
  <r>
    <x v="0"/>
    <x v="28"/>
    <x v="39"/>
    <x v="31"/>
    <x v="20"/>
    <x v="1"/>
    <x v="25"/>
    <x v="40"/>
    <x v="5"/>
    <x v="30"/>
    <x v="35"/>
    <x v="35"/>
    <x v="40"/>
    <x v="2462"/>
    <x v="2305"/>
    <x v="0"/>
    <x v="40"/>
    <x v="40"/>
    <x v="40"/>
    <x v="0"/>
    <x v="0"/>
    <x v="2"/>
    <x v="18"/>
    <x v="5"/>
    <x v="10"/>
    <x v="2"/>
    <x v="1"/>
    <x v="26"/>
    <x v="0"/>
    <x v="2499"/>
  </r>
  <r>
    <x v="0"/>
    <x v="1028"/>
    <x v="315"/>
    <x v="87"/>
    <x v="69"/>
    <x v="254"/>
    <x v="94"/>
    <x v="2311"/>
    <x v="434"/>
    <x v="166"/>
    <x v="1517"/>
    <x v="1812"/>
    <x v="2467"/>
    <x v="2463"/>
    <x v="322"/>
    <x v="4"/>
    <x v="2447"/>
    <x v="2467"/>
    <x v="63"/>
    <x v="0"/>
    <x v="0"/>
    <x v="0"/>
    <x v="173"/>
    <x v="20"/>
    <x v="742"/>
    <x v="5"/>
    <x v="3"/>
    <x v="1"/>
    <x v="0"/>
    <x v="2500"/>
  </r>
  <r>
    <x v="0"/>
    <x v="985"/>
    <x v="263"/>
    <x v="107"/>
    <x v="58"/>
    <x v="799"/>
    <x v="10"/>
    <x v="2312"/>
    <x v="49"/>
    <x v="413"/>
    <x v="1518"/>
    <x v="1813"/>
    <x v="2468"/>
    <x v="2464"/>
    <x v="2306"/>
    <x v="1"/>
    <x v="2448"/>
    <x v="2468"/>
    <x v="756"/>
    <x v="0"/>
    <x v="0"/>
    <x v="0"/>
    <x v="173"/>
    <x v="10"/>
    <x v="344"/>
    <x v="23"/>
    <x v="1"/>
    <x v="37"/>
    <x v="0"/>
    <x v="2501"/>
  </r>
  <r>
    <x v="0"/>
    <x v="630"/>
    <x v="220"/>
    <x v="26"/>
    <x v="219"/>
    <x v="379"/>
    <x v="0"/>
    <x v="2313"/>
    <x v="429"/>
    <x v="914"/>
    <x v="1519"/>
    <x v="1814"/>
    <x v="2469"/>
    <x v="2465"/>
    <x v="2307"/>
    <x v="0"/>
    <x v="2449"/>
    <x v="2469"/>
    <x v="863"/>
    <x v="0"/>
    <x v="0"/>
    <x v="4"/>
    <x v="159"/>
    <x v="7"/>
    <x v="30"/>
    <x v="21"/>
    <x v="1"/>
    <x v="1"/>
    <x v="0"/>
    <x v="2502"/>
  </r>
  <r>
    <x v="0"/>
    <x v="400"/>
    <x v="346"/>
    <x v="42"/>
    <x v="218"/>
    <x v="800"/>
    <x v="211"/>
    <x v="2314"/>
    <x v="125"/>
    <x v="976"/>
    <x v="619"/>
    <x v="1815"/>
    <x v="2470"/>
    <x v="2466"/>
    <x v="2308"/>
    <x v="1"/>
    <x v="2450"/>
    <x v="2470"/>
    <x v="426"/>
    <x v="0"/>
    <x v="0"/>
    <x v="0"/>
    <x v="173"/>
    <x v="17"/>
    <x v="316"/>
    <x v="23"/>
    <x v="1"/>
    <x v="441"/>
    <x v="0"/>
    <x v="2503"/>
  </r>
  <r>
    <x v="0"/>
    <x v="726"/>
    <x v="316"/>
    <x v="74"/>
    <x v="223"/>
    <x v="700"/>
    <x v="250"/>
    <x v="2315"/>
    <x v="122"/>
    <x v="977"/>
    <x v="1520"/>
    <x v="1816"/>
    <x v="2471"/>
    <x v="2467"/>
    <x v="2309"/>
    <x v="0"/>
    <x v="2451"/>
    <x v="2471"/>
    <x v="536"/>
    <x v="0"/>
    <x v="0"/>
    <x v="2"/>
    <x v="173"/>
    <x v="2"/>
    <x v="663"/>
    <x v="38"/>
    <x v="1"/>
    <x v="90"/>
    <x v="0"/>
    <x v="2504"/>
  </r>
  <r>
    <x v="0"/>
    <x v="1029"/>
    <x v="219"/>
    <x v="77"/>
    <x v="184"/>
    <x v="99"/>
    <x v="350"/>
    <x v="2316"/>
    <x v="125"/>
    <x v="633"/>
    <x v="1279"/>
    <x v="1817"/>
    <x v="2472"/>
    <x v="2468"/>
    <x v="2310"/>
    <x v="6"/>
    <x v="2452"/>
    <x v="2472"/>
    <x v="737"/>
    <x v="0"/>
    <x v="0"/>
    <x v="0"/>
    <x v="4"/>
    <x v="5"/>
    <x v="413"/>
    <x v="41"/>
    <x v="1"/>
    <x v="1"/>
    <x v="0"/>
    <x v="2505"/>
  </r>
  <r>
    <x v="0"/>
    <x v="1030"/>
    <x v="390"/>
    <x v="72"/>
    <x v="255"/>
    <x v="342"/>
    <x v="109"/>
    <x v="2317"/>
    <x v="648"/>
    <x v="978"/>
    <x v="1521"/>
    <x v="1818"/>
    <x v="2473"/>
    <x v="2469"/>
    <x v="2311"/>
    <x v="0"/>
    <x v="2453"/>
    <x v="2473"/>
    <x v="578"/>
    <x v="0"/>
    <x v="0"/>
    <x v="0"/>
    <x v="4"/>
    <x v="7"/>
    <x v="238"/>
    <x v="19"/>
    <x v="1"/>
    <x v="329"/>
    <x v="0"/>
    <x v="2506"/>
  </r>
  <r>
    <x v="0"/>
    <x v="1031"/>
    <x v="386"/>
    <x v="52"/>
    <x v="151"/>
    <x v="108"/>
    <x v="14"/>
    <x v="2318"/>
    <x v="434"/>
    <x v="219"/>
    <x v="1522"/>
    <x v="1819"/>
    <x v="2474"/>
    <x v="2470"/>
    <x v="2312"/>
    <x v="2"/>
    <x v="2454"/>
    <x v="2474"/>
    <x v="384"/>
    <x v="0"/>
    <x v="0"/>
    <x v="0"/>
    <x v="173"/>
    <x v="3"/>
    <x v="743"/>
    <x v="13"/>
    <x v="3"/>
    <x v="88"/>
    <x v="0"/>
    <x v="2507"/>
  </r>
  <r>
    <x v="0"/>
    <x v="621"/>
    <x v="401"/>
    <x v="26"/>
    <x v="107"/>
    <x v="333"/>
    <x v="195"/>
    <x v="2319"/>
    <x v="334"/>
    <x v="363"/>
    <x v="729"/>
    <x v="449"/>
    <x v="2475"/>
    <x v="2471"/>
    <x v="2313"/>
    <x v="4"/>
    <x v="2455"/>
    <x v="2475"/>
    <x v="653"/>
    <x v="0"/>
    <x v="0"/>
    <x v="0"/>
    <x v="148"/>
    <x v="18"/>
    <x v="437"/>
    <x v="41"/>
    <x v="3"/>
    <x v="442"/>
    <x v="0"/>
    <x v="2508"/>
  </r>
  <r>
    <x v="0"/>
    <x v="6"/>
    <x v="211"/>
    <x v="61"/>
    <x v="0"/>
    <x v="124"/>
    <x v="153"/>
    <x v="2320"/>
    <x v="168"/>
    <x v="282"/>
    <x v="418"/>
    <x v="517"/>
    <x v="2476"/>
    <x v="2472"/>
    <x v="2314"/>
    <x v="1"/>
    <x v="2456"/>
    <x v="2476"/>
    <x v="524"/>
    <x v="0"/>
    <x v="1"/>
    <x v="4"/>
    <x v="173"/>
    <x v="20"/>
    <x v="625"/>
    <x v="7"/>
    <x v="3"/>
    <x v="1"/>
    <x v="0"/>
    <x v="2509"/>
  </r>
  <r>
    <x v="0"/>
    <x v="1032"/>
    <x v="225"/>
    <x v="71"/>
    <x v="31"/>
    <x v="648"/>
    <x v="0"/>
    <x v="2321"/>
    <x v="236"/>
    <x v="179"/>
    <x v="348"/>
    <x v="1820"/>
    <x v="2477"/>
    <x v="2473"/>
    <x v="2315"/>
    <x v="0"/>
    <x v="2457"/>
    <x v="2477"/>
    <x v="484"/>
    <x v="0"/>
    <x v="0"/>
    <x v="0"/>
    <x v="173"/>
    <x v="19"/>
    <x v="233"/>
    <x v="30"/>
    <x v="1"/>
    <x v="443"/>
    <x v="0"/>
    <x v="2510"/>
  </r>
  <r>
    <x v="0"/>
    <x v="1033"/>
    <x v="447"/>
    <x v="71"/>
    <x v="0"/>
    <x v="527"/>
    <x v="72"/>
    <x v="2322"/>
    <x v="127"/>
    <x v="979"/>
    <x v="1523"/>
    <x v="1821"/>
    <x v="2478"/>
    <x v="2474"/>
    <x v="2316"/>
    <x v="4"/>
    <x v="2458"/>
    <x v="2478"/>
    <x v="137"/>
    <x v="0"/>
    <x v="0"/>
    <x v="0"/>
    <x v="213"/>
    <x v="7"/>
    <x v="99"/>
    <x v="69"/>
    <x v="8"/>
    <x v="444"/>
    <x v="0"/>
    <x v="2511"/>
  </r>
  <r>
    <x v="0"/>
    <x v="1034"/>
    <x v="402"/>
    <x v="115"/>
    <x v="31"/>
    <x v="667"/>
    <x v="0"/>
    <x v="2323"/>
    <x v="649"/>
    <x v="159"/>
    <x v="1524"/>
    <x v="1822"/>
    <x v="2479"/>
    <x v="2475"/>
    <x v="2199"/>
    <x v="0"/>
    <x v="2459"/>
    <x v="2479"/>
    <x v="820"/>
    <x v="0"/>
    <x v="0"/>
    <x v="3"/>
    <x v="173"/>
    <x v="15"/>
    <x v="263"/>
    <x v="27"/>
    <x v="3"/>
    <x v="445"/>
    <x v="0"/>
    <x v="2512"/>
  </r>
  <r>
    <x v="0"/>
    <x v="274"/>
    <x v="148"/>
    <x v="5"/>
    <x v="332"/>
    <x v="395"/>
    <x v="22"/>
    <x v="2324"/>
    <x v="168"/>
    <x v="202"/>
    <x v="350"/>
    <x v="561"/>
    <x v="2480"/>
    <x v="2476"/>
    <x v="2317"/>
    <x v="1"/>
    <x v="2460"/>
    <x v="2480"/>
    <x v="460"/>
    <x v="0"/>
    <x v="0"/>
    <x v="4"/>
    <x v="173"/>
    <x v="0"/>
    <x v="234"/>
    <x v="10"/>
    <x v="1"/>
    <x v="86"/>
    <x v="0"/>
    <x v="2513"/>
  </r>
  <r>
    <x v="0"/>
    <x v="1035"/>
    <x v="464"/>
    <x v="39"/>
    <x v="163"/>
    <x v="745"/>
    <x v="520"/>
    <x v="4"/>
    <x v="77"/>
    <x v="980"/>
    <x v="1525"/>
    <x v="1823"/>
    <x v="2481"/>
    <x v="2477"/>
    <x v="2318"/>
    <x v="3"/>
    <x v="2461"/>
    <x v="2481"/>
    <x v="724"/>
    <x v="0"/>
    <x v="0"/>
    <x v="10"/>
    <x v="195"/>
    <x v="41"/>
    <x v="81"/>
    <x v="2"/>
    <x v="5"/>
    <x v="446"/>
    <x v="0"/>
    <x v="2514"/>
  </r>
  <r>
    <x v="0"/>
    <x v="1036"/>
    <x v="501"/>
    <x v="45"/>
    <x v="333"/>
    <x v="471"/>
    <x v="154"/>
    <x v="2325"/>
    <x v="429"/>
    <x v="981"/>
    <x v="1526"/>
    <x v="1824"/>
    <x v="2482"/>
    <x v="2478"/>
    <x v="1795"/>
    <x v="0"/>
    <x v="2462"/>
    <x v="2482"/>
    <x v="254"/>
    <x v="0"/>
    <x v="0"/>
    <x v="4"/>
    <x v="173"/>
    <x v="9"/>
    <x v="38"/>
    <x v="12"/>
    <x v="1"/>
    <x v="105"/>
    <x v="0"/>
    <x v="2515"/>
  </r>
  <r>
    <x v="0"/>
    <x v="372"/>
    <x v="356"/>
    <x v="42"/>
    <x v="8"/>
    <x v="733"/>
    <x v="362"/>
    <x v="2326"/>
    <x v="127"/>
    <x v="932"/>
    <x v="1527"/>
    <x v="1825"/>
    <x v="2483"/>
    <x v="2479"/>
    <x v="2319"/>
    <x v="1"/>
    <x v="2463"/>
    <x v="2483"/>
    <x v="678"/>
    <x v="0"/>
    <x v="0"/>
    <x v="0"/>
    <x v="173"/>
    <x v="0"/>
    <x v="238"/>
    <x v="18"/>
    <x v="3"/>
    <x v="1"/>
    <x v="0"/>
    <x v="2516"/>
  </r>
  <r>
    <x v="0"/>
    <x v="166"/>
    <x v="155"/>
    <x v="86"/>
    <x v="8"/>
    <x v="364"/>
    <x v="35"/>
    <x v="2327"/>
    <x v="430"/>
    <x v="65"/>
    <x v="68"/>
    <x v="507"/>
    <x v="2484"/>
    <x v="2480"/>
    <x v="2320"/>
    <x v="5"/>
    <x v="2464"/>
    <x v="2484"/>
    <x v="287"/>
    <x v="0"/>
    <x v="0"/>
    <x v="0"/>
    <x v="166"/>
    <x v="7"/>
    <x v="12"/>
    <x v="34"/>
    <x v="3"/>
    <x v="447"/>
    <x v="0"/>
    <x v="2517"/>
  </r>
  <r>
    <x v="0"/>
    <x v="1037"/>
    <x v="160"/>
    <x v="90"/>
    <x v="188"/>
    <x v="433"/>
    <x v="0"/>
    <x v="2328"/>
    <x v="479"/>
    <x v="51"/>
    <x v="596"/>
    <x v="1095"/>
    <x v="2485"/>
    <x v="2481"/>
    <x v="2321"/>
    <x v="5"/>
    <x v="2465"/>
    <x v="2485"/>
    <x v="545"/>
    <x v="0"/>
    <x v="1"/>
    <x v="2"/>
    <x v="173"/>
    <x v="42"/>
    <x v="325"/>
    <x v="57"/>
    <x v="1"/>
    <x v="103"/>
    <x v="0"/>
    <x v="2518"/>
  </r>
  <r>
    <x v="0"/>
    <x v="1038"/>
    <x v="219"/>
    <x v="50"/>
    <x v="193"/>
    <x v="372"/>
    <x v="417"/>
    <x v="2329"/>
    <x v="270"/>
    <x v="982"/>
    <x v="1528"/>
    <x v="1826"/>
    <x v="2486"/>
    <x v="2482"/>
    <x v="2322"/>
    <x v="0"/>
    <x v="2466"/>
    <x v="2486"/>
    <x v="684"/>
    <x v="0"/>
    <x v="4"/>
    <x v="0"/>
    <x v="4"/>
    <x v="1"/>
    <x v="744"/>
    <x v="47"/>
    <x v="3"/>
    <x v="432"/>
    <x v="0"/>
    <x v="2519"/>
  </r>
  <r>
    <x v="0"/>
    <x v="1039"/>
    <x v="271"/>
    <x v="40"/>
    <x v="44"/>
    <x v="197"/>
    <x v="29"/>
    <x v="2330"/>
    <x v="28"/>
    <x v="74"/>
    <x v="705"/>
    <x v="249"/>
    <x v="2487"/>
    <x v="2483"/>
    <x v="2323"/>
    <x v="4"/>
    <x v="2467"/>
    <x v="2487"/>
    <x v="315"/>
    <x v="0"/>
    <x v="8"/>
    <x v="4"/>
    <x v="173"/>
    <x v="7"/>
    <x v="114"/>
    <x v="38"/>
    <x v="1"/>
    <x v="1"/>
    <x v="0"/>
    <x v="2520"/>
  </r>
  <r>
    <x v="0"/>
    <x v="1040"/>
    <x v="311"/>
    <x v="57"/>
    <x v="134"/>
    <x v="344"/>
    <x v="521"/>
    <x v="2331"/>
    <x v="455"/>
    <x v="983"/>
    <x v="1323"/>
    <x v="1827"/>
    <x v="2488"/>
    <x v="2484"/>
    <x v="2324"/>
    <x v="3"/>
    <x v="2468"/>
    <x v="2488"/>
    <x v="398"/>
    <x v="0"/>
    <x v="0"/>
    <x v="2"/>
    <x v="4"/>
    <x v="14"/>
    <x v="299"/>
    <x v="10"/>
    <x v="1"/>
    <x v="209"/>
    <x v="0"/>
    <x v="2521"/>
  </r>
  <r>
    <x v="0"/>
    <x v="1041"/>
    <x v="152"/>
    <x v="55"/>
    <x v="221"/>
    <x v="2"/>
    <x v="432"/>
    <x v="2332"/>
    <x v="650"/>
    <x v="783"/>
    <x v="1487"/>
    <x v="1828"/>
    <x v="2489"/>
    <x v="2485"/>
    <x v="2325"/>
    <x v="0"/>
    <x v="2469"/>
    <x v="2489"/>
    <x v="510"/>
    <x v="0"/>
    <x v="1"/>
    <x v="0"/>
    <x v="173"/>
    <x v="43"/>
    <x v="734"/>
    <x v="56"/>
    <x v="3"/>
    <x v="448"/>
    <x v="0"/>
    <x v="2522"/>
  </r>
  <r>
    <x v="0"/>
    <x v="222"/>
    <x v="281"/>
    <x v="47"/>
    <x v="153"/>
    <x v="587"/>
    <x v="22"/>
    <x v="2333"/>
    <x v="260"/>
    <x v="295"/>
    <x v="170"/>
    <x v="1829"/>
    <x v="2490"/>
    <x v="2486"/>
    <x v="2326"/>
    <x v="3"/>
    <x v="2470"/>
    <x v="2490"/>
    <x v="864"/>
    <x v="0"/>
    <x v="0"/>
    <x v="0"/>
    <x v="178"/>
    <x v="7"/>
    <x v="114"/>
    <x v="32"/>
    <x v="3"/>
    <x v="61"/>
    <x v="0"/>
    <x v="2523"/>
  </r>
  <r>
    <x v="0"/>
    <x v="1042"/>
    <x v="401"/>
    <x v="58"/>
    <x v="198"/>
    <x v="57"/>
    <x v="522"/>
    <x v="2171"/>
    <x v="513"/>
    <x v="984"/>
    <x v="1529"/>
    <x v="71"/>
    <x v="2491"/>
    <x v="2487"/>
    <x v="778"/>
    <x v="0"/>
    <x v="2471"/>
    <x v="2491"/>
    <x v="788"/>
    <x v="0"/>
    <x v="0"/>
    <x v="2"/>
    <x v="173"/>
    <x v="37"/>
    <x v="170"/>
    <x v="21"/>
    <x v="1"/>
    <x v="1"/>
    <x v="0"/>
    <x v="2524"/>
  </r>
  <r>
    <x v="0"/>
    <x v="133"/>
    <x v="257"/>
    <x v="42"/>
    <x v="98"/>
    <x v="304"/>
    <x v="523"/>
    <x v="2334"/>
    <x v="393"/>
    <x v="985"/>
    <x v="1530"/>
    <x v="1830"/>
    <x v="2492"/>
    <x v="2488"/>
    <x v="2327"/>
    <x v="1"/>
    <x v="2472"/>
    <x v="2492"/>
    <x v="277"/>
    <x v="0"/>
    <x v="25"/>
    <x v="4"/>
    <x v="173"/>
    <x v="17"/>
    <x v="745"/>
    <x v="8"/>
    <x v="1"/>
    <x v="1"/>
    <x v="0"/>
    <x v="2525"/>
  </r>
  <r>
    <x v="0"/>
    <x v="1043"/>
    <x v="257"/>
    <x v="60"/>
    <x v="164"/>
    <x v="237"/>
    <x v="21"/>
    <x v="2335"/>
    <x v="368"/>
    <x v="162"/>
    <x v="1531"/>
    <x v="1831"/>
    <x v="2493"/>
    <x v="2489"/>
    <x v="2328"/>
    <x v="1"/>
    <x v="2473"/>
    <x v="2493"/>
    <x v="592"/>
    <x v="0"/>
    <x v="10"/>
    <x v="4"/>
    <x v="173"/>
    <x v="11"/>
    <x v="746"/>
    <x v="4"/>
    <x v="2"/>
    <x v="1"/>
    <x v="0"/>
    <x v="2526"/>
  </r>
  <r>
    <x v="0"/>
    <x v="826"/>
    <x v="247"/>
    <x v="130"/>
    <x v="307"/>
    <x v="349"/>
    <x v="0"/>
    <x v="2336"/>
    <x v="651"/>
    <x v="84"/>
    <x v="829"/>
    <x v="1832"/>
    <x v="2494"/>
    <x v="2490"/>
    <x v="2329"/>
    <x v="5"/>
    <x v="2474"/>
    <x v="2494"/>
    <x v="102"/>
    <x v="0"/>
    <x v="10"/>
    <x v="4"/>
    <x v="173"/>
    <x v="7"/>
    <x v="485"/>
    <x v="34"/>
    <x v="1"/>
    <x v="1"/>
    <x v="0"/>
    <x v="2527"/>
  </r>
  <r>
    <x v="0"/>
    <x v="1044"/>
    <x v="438"/>
    <x v="110"/>
    <x v="0"/>
    <x v="125"/>
    <x v="217"/>
    <x v="4"/>
    <x v="45"/>
    <x v="403"/>
    <x v="1532"/>
    <x v="1833"/>
    <x v="2495"/>
    <x v="2491"/>
    <x v="2330"/>
    <x v="0"/>
    <x v="2475"/>
    <x v="2495"/>
    <x v="592"/>
    <x v="3"/>
    <x v="10"/>
    <x v="2"/>
    <x v="190"/>
    <x v="8"/>
    <x v="732"/>
    <x v="4"/>
    <x v="2"/>
    <x v="1"/>
    <x v="0"/>
    <x v="2528"/>
  </r>
  <r>
    <x v="0"/>
    <x v="1045"/>
    <x v="438"/>
    <x v="43"/>
    <x v="188"/>
    <x v="554"/>
    <x v="81"/>
    <x v="4"/>
    <x v="652"/>
    <x v="143"/>
    <x v="1533"/>
    <x v="1834"/>
    <x v="2496"/>
    <x v="2492"/>
    <x v="93"/>
    <x v="0"/>
    <x v="2476"/>
    <x v="2496"/>
    <x v="409"/>
    <x v="0"/>
    <x v="0"/>
    <x v="2"/>
    <x v="173"/>
    <x v="47"/>
    <x v="237"/>
    <x v="31"/>
    <x v="1"/>
    <x v="449"/>
    <x v="0"/>
    <x v="2529"/>
  </r>
  <r>
    <x v="0"/>
    <x v="1046"/>
    <x v="118"/>
    <x v="105"/>
    <x v="118"/>
    <x v="312"/>
    <x v="335"/>
    <x v="2337"/>
    <x v="381"/>
    <x v="986"/>
    <x v="1534"/>
    <x v="1835"/>
    <x v="2497"/>
    <x v="2493"/>
    <x v="2331"/>
    <x v="1"/>
    <x v="2477"/>
    <x v="2497"/>
    <x v="586"/>
    <x v="0"/>
    <x v="0"/>
    <x v="0"/>
    <x v="173"/>
    <x v="3"/>
    <x v="477"/>
    <x v="54"/>
    <x v="1"/>
    <x v="1"/>
    <x v="0"/>
    <x v="2530"/>
  </r>
  <r>
    <x v="0"/>
    <x v="1047"/>
    <x v="308"/>
    <x v="58"/>
    <x v="85"/>
    <x v="143"/>
    <x v="22"/>
    <x v="2338"/>
    <x v="535"/>
    <x v="514"/>
    <x v="1485"/>
    <x v="1836"/>
    <x v="2498"/>
    <x v="2494"/>
    <x v="2332"/>
    <x v="1"/>
    <x v="2478"/>
    <x v="2498"/>
    <x v="231"/>
    <x v="0"/>
    <x v="0"/>
    <x v="0"/>
    <x v="214"/>
    <x v="23"/>
    <x v="12"/>
    <x v="2"/>
    <x v="3"/>
    <x v="1"/>
    <x v="0"/>
    <x v="2531"/>
  </r>
  <r>
    <x v="0"/>
    <x v="1048"/>
    <x v="353"/>
    <x v="40"/>
    <x v="164"/>
    <x v="335"/>
    <x v="20"/>
    <x v="2339"/>
    <x v="425"/>
    <x v="21"/>
    <x v="703"/>
    <x v="1837"/>
    <x v="2499"/>
    <x v="2495"/>
    <x v="2333"/>
    <x v="4"/>
    <x v="2479"/>
    <x v="2499"/>
    <x v="241"/>
    <x v="0"/>
    <x v="0"/>
    <x v="4"/>
    <x v="215"/>
    <x v="7"/>
    <x v="13"/>
    <x v="12"/>
    <x v="3"/>
    <x v="1"/>
    <x v="0"/>
    <x v="2532"/>
  </r>
  <r>
    <x v="0"/>
    <x v="222"/>
    <x v="281"/>
    <x v="47"/>
    <x v="153"/>
    <x v="587"/>
    <x v="22"/>
    <x v="2333"/>
    <x v="260"/>
    <x v="295"/>
    <x v="170"/>
    <x v="1829"/>
    <x v="2490"/>
    <x v="2486"/>
    <x v="2326"/>
    <x v="3"/>
    <x v="2470"/>
    <x v="2490"/>
    <x v="864"/>
    <x v="0"/>
    <x v="0"/>
    <x v="0"/>
    <x v="178"/>
    <x v="7"/>
    <x v="114"/>
    <x v="32"/>
    <x v="3"/>
    <x v="61"/>
    <x v="0"/>
    <x v="2533"/>
  </r>
  <r>
    <x v="0"/>
    <x v="78"/>
    <x v="277"/>
    <x v="51"/>
    <x v="0"/>
    <x v="125"/>
    <x v="327"/>
    <x v="2340"/>
    <x v="152"/>
    <x v="987"/>
    <x v="1535"/>
    <x v="710"/>
    <x v="2500"/>
    <x v="2496"/>
    <x v="2334"/>
    <x v="4"/>
    <x v="2480"/>
    <x v="2500"/>
    <x v="623"/>
    <x v="0"/>
    <x v="0"/>
    <x v="4"/>
    <x v="159"/>
    <x v="42"/>
    <x v="172"/>
    <x v="38"/>
    <x v="3"/>
    <x v="1"/>
    <x v="0"/>
    <x v="2534"/>
  </r>
  <r>
    <x v="0"/>
    <x v="106"/>
    <x v="474"/>
    <x v="16"/>
    <x v="0"/>
    <x v="1"/>
    <x v="9"/>
    <x v="2341"/>
    <x v="17"/>
    <x v="9"/>
    <x v="23"/>
    <x v="13"/>
    <x v="2501"/>
    <x v="2497"/>
    <x v="2335"/>
    <x v="4"/>
    <x v="2481"/>
    <x v="2501"/>
    <x v="216"/>
    <x v="0"/>
    <x v="0"/>
    <x v="2"/>
    <x v="214"/>
    <x v="16"/>
    <x v="20"/>
    <x v="16"/>
    <x v="3"/>
    <x v="1"/>
    <x v="0"/>
    <x v="2535"/>
  </r>
  <r>
    <x v="0"/>
    <x v="1049"/>
    <x v="322"/>
    <x v="60"/>
    <x v="31"/>
    <x v="254"/>
    <x v="2"/>
    <x v="2342"/>
    <x v="425"/>
    <x v="203"/>
    <x v="1536"/>
    <x v="1838"/>
    <x v="2502"/>
    <x v="2498"/>
    <x v="2336"/>
    <x v="1"/>
    <x v="2482"/>
    <x v="2502"/>
    <x v="748"/>
    <x v="0"/>
    <x v="1"/>
    <x v="2"/>
    <x v="214"/>
    <x v="1"/>
    <x v="540"/>
    <x v="1"/>
    <x v="1"/>
    <x v="1"/>
    <x v="0"/>
    <x v="2536"/>
  </r>
  <r>
    <x v="0"/>
    <x v="1050"/>
    <x v="365"/>
    <x v="26"/>
    <x v="174"/>
    <x v="103"/>
    <x v="524"/>
    <x v="2343"/>
    <x v="127"/>
    <x v="988"/>
    <x v="180"/>
    <x v="1839"/>
    <x v="2503"/>
    <x v="2499"/>
    <x v="2337"/>
    <x v="4"/>
    <x v="2483"/>
    <x v="2503"/>
    <x v="724"/>
    <x v="0"/>
    <x v="0"/>
    <x v="0"/>
    <x v="214"/>
    <x v="1"/>
    <x v="122"/>
    <x v="22"/>
    <x v="1"/>
    <x v="1"/>
    <x v="0"/>
    <x v="2537"/>
  </r>
  <r>
    <x v="0"/>
    <x v="1051"/>
    <x v="287"/>
    <x v="51"/>
    <x v="129"/>
    <x v="201"/>
    <x v="354"/>
    <x v="2344"/>
    <x v="270"/>
    <x v="637"/>
    <x v="291"/>
    <x v="1348"/>
    <x v="2504"/>
    <x v="2500"/>
    <x v="2338"/>
    <x v="0"/>
    <x v="2484"/>
    <x v="2504"/>
    <x v="865"/>
    <x v="0"/>
    <x v="0"/>
    <x v="4"/>
    <x v="159"/>
    <x v="17"/>
    <x v="196"/>
    <x v="32"/>
    <x v="3"/>
    <x v="1"/>
    <x v="0"/>
    <x v="2538"/>
  </r>
  <r>
    <x v="0"/>
    <x v="110"/>
    <x v="368"/>
    <x v="57"/>
    <x v="86"/>
    <x v="1"/>
    <x v="49"/>
    <x v="2345"/>
    <x v="200"/>
    <x v="86"/>
    <x v="436"/>
    <x v="1840"/>
    <x v="2505"/>
    <x v="2501"/>
    <x v="2339"/>
    <x v="0"/>
    <x v="2485"/>
    <x v="2505"/>
    <x v="228"/>
    <x v="0"/>
    <x v="0"/>
    <x v="2"/>
    <x v="216"/>
    <x v="30"/>
    <x v="30"/>
    <x v="25"/>
    <x v="3"/>
    <x v="33"/>
    <x v="0"/>
    <x v="2539"/>
  </r>
  <r>
    <x v="0"/>
    <x v="1052"/>
    <x v="274"/>
    <x v="18"/>
    <x v="334"/>
    <x v="404"/>
    <x v="113"/>
    <x v="2346"/>
    <x v="125"/>
    <x v="435"/>
    <x v="420"/>
    <x v="1841"/>
    <x v="2506"/>
    <x v="2502"/>
    <x v="2340"/>
    <x v="4"/>
    <x v="2486"/>
    <x v="2506"/>
    <x v="16"/>
    <x v="0"/>
    <x v="0"/>
    <x v="0"/>
    <x v="178"/>
    <x v="24"/>
    <x v="50"/>
    <x v="11"/>
    <x v="3"/>
    <x v="1"/>
    <x v="0"/>
    <x v="2540"/>
  </r>
  <r>
    <x v="0"/>
    <x v="340"/>
    <x v="277"/>
    <x v="71"/>
    <x v="0"/>
    <x v="312"/>
    <x v="525"/>
    <x v="2347"/>
    <x v="105"/>
    <x v="989"/>
    <x v="1537"/>
    <x v="1842"/>
    <x v="2507"/>
    <x v="2503"/>
    <x v="2341"/>
    <x v="0"/>
    <x v="2487"/>
    <x v="2507"/>
    <x v="155"/>
    <x v="0"/>
    <x v="0"/>
    <x v="4"/>
    <x v="178"/>
    <x v="30"/>
    <x v="548"/>
    <x v="32"/>
    <x v="3"/>
    <x v="1"/>
    <x v="0"/>
    <x v="2541"/>
  </r>
  <r>
    <x v="0"/>
    <x v="859"/>
    <x v="212"/>
    <x v="74"/>
    <x v="0"/>
    <x v="385"/>
    <x v="156"/>
    <x v="2348"/>
    <x v="270"/>
    <x v="289"/>
    <x v="1538"/>
    <x v="1843"/>
    <x v="2508"/>
    <x v="2504"/>
    <x v="2342"/>
    <x v="0"/>
    <x v="2488"/>
    <x v="2508"/>
    <x v="142"/>
    <x v="0"/>
    <x v="0"/>
    <x v="4"/>
    <x v="178"/>
    <x v="26"/>
    <x v="341"/>
    <x v="6"/>
    <x v="3"/>
    <x v="1"/>
    <x v="0"/>
    <x v="2542"/>
  </r>
  <r>
    <x v="0"/>
    <x v="235"/>
    <x v="280"/>
    <x v="50"/>
    <x v="157"/>
    <x v="798"/>
    <x v="0"/>
    <x v="2349"/>
    <x v="125"/>
    <x v="990"/>
    <x v="1343"/>
    <x v="1811"/>
    <x v="2509"/>
    <x v="2505"/>
    <x v="1751"/>
    <x v="7"/>
    <x v="2489"/>
    <x v="2509"/>
    <x v="529"/>
    <x v="0"/>
    <x v="0"/>
    <x v="4"/>
    <x v="217"/>
    <x v="21"/>
    <x v="81"/>
    <x v="12"/>
    <x v="3"/>
    <x v="1"/>
    <x v="0"/>
    <x v="2543"/>
  </r>
  <r>
    <x v="0"/>
    <x v="355"/>
    <x v="334"/>
    <x v="11"/>
    <x v="210"/>
    <x v="632"/>
    <x v="29"/>
    <x v="2350"/>
    <x v="334"/>
    <x v="74"/>
    <x v="1539"/>
    <x v="1844"/>
    <x v="2510"/>
    <x v="2506"/>
    <x v="2343"/>
    <x v="0"/>
    <x v="2490"/>
    <x v="2510"/>
    <x v="312"/>
    <x v="0"/>
    <x v="0"/>
    <x v="4"/>
    <x v="178"/>
    <x v="15"/>
    <x v="579"/>
    <x v="21"/>
    <x v="3"/>
    <x v="1"/>
    <x v="0"/>
    <x v="2544"/>
  </r>
  <r>
    <x v="1"/>
    <x v="1053"/>
    <x v="83"/>
    <x v="7"/>
    <x v="335"/>
    <x v="555"/>
    <x v="526"/>
    <x v="2351"/>
    <x v="105"/>
    <x v="991"/>
    <x v="554"/>
    <x v="1405"/>
    <x v="2511"/>
    <x v="2507"/>
    <x v="2344"/>
    <x v="0"/>
    <x v="2491"/>
    <x v="2511"/>
    <x v="866"/>
    <x v="0"/>
    <x v="10"/>
    <x v="0"/>
    <x v="159"/>
    <x v="10"/>
    <x v="80"/>
    <x v="25"/>
    <x v="8"/>
    <x v="26"/>
    <x v="0"/>
    <x v="2545"/>
  </r>
  <r>
    <x v="0"/>
    <x v="331"/>
    <x v="305"/>
    <x v="71"/>
    <x v="203"/>
    <x v="600"/>
    <x v="14"/>
    <x v="2352"/>
    <x v="164"/>
    <x v="61"/>
    <x v="1540"/>
    <x v="1845"/>
    <x v="2512"/>
    <x v="2508"/>
    <x v="2345"/>
    <x v="1"/>
    <x v="2492"/>
    <x v="2512"/>
    <x v="273"/>
    <x v="0"/>
    <x v="0"/>
    <x v="0"/>
    <x v="178"/>
    <x v="0"/>
    <x v="183"/>
    <x v="30"/>
    <x v="1"/>
    <x v="1"/>
    <x v="0"/>
    <x v="2546"/>
  </r>
  <r>
    <x v="0"/>
    <x v="470"/>
    <x v="471"/>
    <x v="50"/>
    <x v="0"/>
    <x v="363"/>
    <x v="57"/>
    <x v="2353"/>
    <x v="621"/>
    <x v="99"/>
    <x v="70"/>
    <x v="505"/>
    <x v="2513"/>
    <x v="2509"/>
    <x v="2346"/>
    <x v="4"/>
    <x v="2493"/>
    <x v="2513"/>
    <x v="455"/>
    <x v="0"/>
    <x v="0"/>
    <x v="0"/>
    <x v="178"/>
    <x v="3"/>
    <x v="44"/>
    <x v="6"/>
    <x v="3"/>
    <x v="73"/>
    <x v="0"/>
    <x v="2547"/>
  </r>
  <r>
    <x v="0"/>
    <x v="88"/>
    <x v="128"/>
    <x v="105"/>
    <x v="70"/>
    <x v="507"/>
    <x v="24"/>
    <x v="2354"/>
    <x v="429"/>
    <x v="362"/>
    <x v="1541"/>
    <x v="1846"/>
    <x v="2514"/>
    <x v="2510"/>
    <x v="2347"/>
    <x v="0"/>
    <x v="2494"/>
    <x v="2514"/>
    <x v="196"/>
    <x v="0"/>
    <x v="0"/>
    <x v="4"/>
    <x v="178"/>
    <x v="7"/>
    <x v="9"/>
    <x v="18"/>
    <x v="3"/>
    <x v="1"/>
    <x v="0"/>
    <x v="2548"/>
  </r>
  <r>
    <x v="0"/>
    <x v="1054"/>
    <x v="431"/>
    <x v="70"/>
    <x v="107"/>
    <x v="203"/>
    <x v="527"/>
    <x v="2355"/>
    <x v="270"/>
    <x v="992"/>
    <x v="1542"/>
    <x v="1847"/>
    <x v="2515"/>
    <x v="2511"/>
    <x v="2348"/>
    <x v="0"/>
    <x v="1485"/>
    <x v="2515"/>
    <x v="737"/>
    <x v="0"/>
    <x v="0"/>
    <x v="0"/>
    <x v="206"/>
    <x v="6"/>
    <x v="747"/>
    <x v="28"/>
    <x v="1"/>
    <x v="1"/>
    <x v="0"/>
    <x v="2549"/>
  </r>
  <r>
    <x v="0"/>
    <x v="1055"/>
    <x v="392"/>
    <x v="110"/>
    <x v="31"/>
    <x v="771"/>
    <x v="528"/>
    <x v="2356"/>
    <x v="238"/>
    <x v="993"/>
    <x v="946"/>
    <x v="1654"/>
    <x v="2516"/>
    <x v="2512"/>
    <x v="2349"/>
    <x v="4"/>
    <x v="2495"/>
    <x v="2516"/>
    <x v="649"/>
    <x v="0"/>
    <x v="0"/>
    <x v="2"/>
    <x v="178"/>
    <x v="19"/>
    <x v="532"/>
    <x v="47"/>
    <x v="3"/>
    <x v="103"/>
    <x v="0"/>
    <x v="2550"/>
  </r>
  <r>
    <x v="0"/>
    <x v="37"/>
    <x v="115"/>
    <x v="52"/>
    <x v="0"/>
    <x v="701"/>
    <x v="522"/>
    <x v="2357"/>
    <x v="653"/>
    <x v="994"/>
    <x v="1543"/>
    <x v="1848"/>
    <x v="2517"/>
    <x v="2513"/>
    <x v="2350"/>
    <x v="0"/>
    <x v="2496"/>
    <x v="2517"/>
    <x v="867"/>
    <x v="6"/>
    <x v="13"/>
    <x v="4"/>
    <x v="179"/>
    <x v="7"/>
    <x v="73"/>
    <x v="17"/>
    <x v="3"/>
    <x v="41"/>
    <x v="0"/>
    <x v="2551"/>
  </r>
  <r>
    <x v="0"/>
    <x v="113"/>
    <x v="320"/>
    <x v="84"/>
    <x v="88"/>
    <x v="615"/>
    <x v="0"/>
    <x v="4"/>
    <x v="266"/>
    <x v="406"/>
    <x v="1544"/>
    <x v="1034"/>
    <x v="2518"/>
    <x v="2514"/>
    <x v="2351"/>
    <x v="0"/>
    <x v="4"/>
    <x v="2518"/>
    <x v="448"/>
    <x v="0"/>
    <x v="0"/>
    <x v="1"/>
    <x v="4"/>
    <x v="4"/>
    <x v="748"/>
    <x v="4"/>
    <x v="12"/>
    <x v="1"/>
    <x v="0"/>
    <x v="2552"/>
  </r>
  <r>
    <x v="0"/>
    <x v="433"/>
    <x v="359"/>
    <x v="50"/>
    <x v="125"/>
    <x v="246"/>
    <x v="0"/>
    <x v="2358"/>
    <x v="654"/>
    <x v="995"/>
    <x v="1545"/>
    <x v="1287"/>
    <x v="2519"/>
    <x v="2515"/>
    <x v="2352"/>
    <x v="0"/>
    <x v="2497"/>
    <x v="2519"/>
    <x v="327"/>
    <x v="0"/>
    <x v="0"/>
    <x v="2"/>
    <x v="82"/>
    <x v="18"/>
    <x v="30"/>
    <x v="28"/>
    <x v="3"/>
    <x v="450"/>
    <x v="0"/>
    <x v="2553"/>
  </r>
  <r>
    <x v="1"/>
    <x v="265"/>
    <x v="438"/>
    <x v="29"/>
    <x v="175"/>
    <x v="44"/>
    <x v="206"/>
    <x v="2359"/>
    <x v="368"/>
    <x v="558"/>
    <x v="149"/>
    <x v="1849"/>
    <x v="2520"/>
    <x v="2516"/>
    <x v="2353"/>
    <x v="4"/>
    <x v="2498"/>
    <x v="2520"/>
    <x v="671"/>
    <x v="0"/>
    <x v="0"/>
    <x v="4"/>
    <x v="178"/>
    <x v="18"/>
    <x v="100"/>
    <x v="21"/>
    <x v="3"/>
    <x v="103"/>
    <x v="0"/>
    <x v="2554"/>
  </r>
  <r>
    <x v="0"/>
    <x v="1056"/>
    <x v="291"/>
    <x v="43"/>
    <x v="129"/>
    <x v="366"/>
    <x v="22"/>
    <x v="2360"/>
    <x v="327"/>
    <x v="867"/>
    <x v="1546"/>
    <x v="984"/>
    <x v="2521"/>
    <x v="2517"/>
    <x v="2354"/>
    <x v="1"/>
    <x v="2499"/>
    <x v="2521"/>
    <x v="231"/>
    <x v="0"/>
    <x v="0"/>
    <x v="0"/>
    <x v="178"/>
    <x v="10"/>
    <x v="30"/>
    <x v="30"/>
    <x v="1"/>
    <x v="1"/>
    <x v="0"/>
    <x v="2555"/>
  </r>
  <r>
    <x v="0"/>
    <x v="575"/>
    <x v="239"/>
    <x v="43"/>
    <x v="195"/>
    <x v="51"/>
    <x v="529"/>
    <x v="2361"/>
    <x v="371"/>
    <x v="996"/>
    <x v="667"/>
    <x v="605"/>
    <x v="2522"/>
    <x v="2518"/>
    <x v="2355"/>
    <x v="0"/>
    <x v="2500"/>
    <x v="2522"/>
    <x v="49"/>
    <x v="0"/>
    <x v="0"/>
    <x v="0"/>
    <x v="218"/>
    <x v="18"/>
    <x v="325"/>
    <x v="18"/>
    <x v="3"/>
    <x v="1"/>
    <x v="0"/>
    <x v="2556"/>
  </r>
  <r>
    <x v="0"/>
    <x v="1057"/>
    <x v="361"/>
    <x v="47"/>
    <x v="80"/>
    <x v="636"/>
    <x v="530"/>
    <x v="2362"/>
    <x v="339"/>
    <x v="997"/>
    <x v="1547"/>
    <x v="1850"/>
    <x v="2523"/>
    <x v="2519"/>
    <x v="2356"/>
    <x v="4"/>
    <x v="2501"/>
    <x v="2523"/>
    <x v="547"/>
    <x v="0"/>
    <x v="0"/>
    <x v="4"/>
    <x v="159"/>
    <x v="23"/>
    <x v="736"/>
    <x v="34"/>
    <x v="3"/>
    <x v="1"/>
    <x v="0"/>
    <x v="2557"/>
  </r>
  <r>
    <x v="0"/>
    <x v="229"/>
    <x v="456"/>
    <x v="61"/>
    <x v="16"/>
    <x v="629"/>
    <x v="531"/>
    <x v="2363"/>
    <x v="655"/>
    <x v="998"/>
    <x v="1548"/>
    <x v="1425"/>
    <x v="2524"/>
    <x v="2520"/>
    <x v="2341"/>
    <x v="1"/>
    <x v="2502"/>
    <x v="2524"/>
    <x v="868"/>
    <x v="0"/>
    <x v="1"/>
    <x v="4"/>
    <x v="83"/>
    <x v="1"/>
    <x v="440"/>
    <x v="0"/>
    <x v="1"/>
    <x v="16"/>
    <x v="0"/>
    <x v="2558"/>
  </r>
  <r>
    <x v="0"/>
    <x v="1058"/>
    <x v="310"/>
    <x v="37"/>
    <x v="5"/>
    <x v="473"/>
    <x v="54"/>
    <x v="2364"/>
    <x v="200"/>
    <x v="96"/>
    <x v="542"/>
    <x v="932"/>
    <x v="2525"/>
    <x v="2521"/>
    <x v="2357"/>
    <x v="2"/>
    <x v="2503"/>
    <x v="2525"/>
    <x v="310"/>
    <x v="0"/>
    <x v="0"/>
    <x v="0"/>
    <x v="214"/>
    <x v="8"/>
    <x v="352"/>
    <x v="41"/>
    <x v="3"/>
    <x v="1"/>
    <x v="0"/>
    <x v="2559"/>
  </r>
  <r>
    <x v="0"/>
    <x v="696"/>
    <x v="101"/>
    <x v="45"/>
    <x v="201"/>
    <x v="564"/>
    <x v="32"/>
    <x v="2365"/>
    <x v="17"/>
    <x v="59"/>
    <x v="32"/>
    <x v="1851"/>
    <x v="2526"/>
    <x v="2522"/>
    <x v="2358"/>
    <x v="0"/>
    <x v="2504"/>
    <x v="2526"/>
    <x v="787"/>
    <x v="0"/>
    <x v="13"/>
    <x v="0"/>
    <x v="219"/>
    <x v="8"/>
    <x v="26"/>
    <x v="13"/>
    <x v="3"/>
    <x v="57"/>
    <x v="0"/>
    <x v="2560"/>
  </r>
  <r>
    <x v="0"/>
    <x v="1059"/>
    <x v="384"/>
    <x v="158"/>
    <x v="78"/>
    <x v="581"/>
    <x v="439"/>
    <x v="4"/>
    <x v="426"/>
    <x v="999"/>
    <x v="1549"/>
    <x v="1178"/>
    <x v="2527"/>
    <x v="2523"/>
    <x v="266"/>
    <x v="1"/>
    <x v="2505"/>
    <x v="2527"/>
    <x v="487"/>
    <x v="23"/>
    <x v="36"/>
    <x v="1"/>
    <x v="131"/>
    <x v="1"/>
    <x v="497"/>
    <x v="4"/>
    <x v="1"/>
    <x v="1"/>
    <x v="0"/>
    <x v="2561"/>
  </r>
  <r>
    <x v="0"/>
    <x v="903"/>
    <x v="225"/>
    <x v="7"/>
    <x v="192"/>
    <x v="758"/>
    <x v="10"/>
    <x v="2041"/>
    <x v="125"/>
    <x v="375"/>
    <x v="488"/>
    <x v="1601"/>
    <x v="2155"/>
    <x v="2156"/>
    <x v="2041"/>
    <x v="12"/>
    <x v="2142"/>
    <x v="2155"/>
    <x v="835"/>
    <x v="0"/>
    <x v="0"/>
    <x v="4"/>
    <x v="78"/>
    <x v="6"/>
    <x v="30"/>
    <x v="10"/>
    <x v="2"/>
    <x v="45"/>
    <x v="0"/>
    <x v="2562"/>
  </r>
  <r>
    <x v="0"/>
    <x v="1060"/>
    <x v="334"/>
    <x v="50"/>
    <x v="143"/>
    <x v="220"/>
    <x v="22"/>
    <x v="2366"/>
    <x v="105"/>
    <x v="374"/>
    <x v="1550"/>
    <x v="1852"/>
    <x v="2528"/>
    <x v="2524"/>
    <x v="2359"/>
    <x v="3"/>
    <x v="2506"/>
    <x v="2528"/>
    <x v="227"/>
    <x v="0"/>
    <x v="0"/>
    <x v="0"/>
    <x v="178"/>
    <x v="21"/>
    <x v="346"/>
    <x v="43"/>
    <x v="3"/>
    <x v="451"/>
    <x v="0"/>
    <x v="2563"/>
  </r>
  <r>
    <x v="0"/>
    <x v="1061"/>
    <x v="280"/>
    <x v="56"/>
    <x v="143"/>
    <x v="635"/>
    <x v="103"/>
    <x v="2367"/>
    <x v="270"/>
    <x v="323"/>
    <x v="271"/>
    <x v="1853"/>
    <x v="2529"/>
    <x v="2525"/>
    <x v="2360"/>
    <x v="0"/>
    <x v="2507"/>
    <x v="2529"/>
    <x v="372"/>
    <x v="0"/>
    <x v="0"/>
    <x v="0"/>
    <x v="178"/>
    <x v="19"/>
    <x v="183"/>
    <x v="13"/>
    <x v="3"/>
    <x v="1"/>
    <x v="0"/>
    <x v="2564"/>
  </r>
  <r>
    <x v="0"/>
    <x v="414"/>
    <x v="31"/>
    <x v="86"/>
    <x v="176"/>
    <x v="279"/>
    <x v="6"/>
    <x v="2368"/>
    <x v="63"/>
    <x v="6"/>
    <x v="1551"/>
    <x v="1854"/>
    <x v="2530"/>
    <x v="2526"/>
    <x v="2361"/>
    <x v="1"/>
    <x v="2508"/>
    <x v="2530"/>
    <x v="642"/>
    <x v="0"/>
    <x v="0"/>
    <x v="4"/>
    <x v="178"/>
    <x v="0"/>
    <x v="246"/>
    <x v="37"/>
    <x v="3"/>
    <x v="71"/>
    <x v="0"/>
    <x v="2565"/>
  </r>
  <r>
    <x v="0"/>
    <x v="1062"/>
    <x v="274"/>
    <x v="45"/>
    <x v="188"/>
    <x v="371"/>
    <x v="94"/>
    <x v="2369"/>
    <x v="656"/>
    <x v="166"/>
    <x v="1485"/>
    <x v="1855"/>
    <x v="2531"/>
    <x v="2527"/>
    <x v="2362"/>
    <x v="0"/>
    <x v="2509"/>
    <x v="2531"/>
    <x v="627"/>
    <x v="0"/>
    <x v="0"/>
    <x v="0"/>
    <x v="178"/>
    <x v="21"/>
    <x v="12"/>
    <x v="23"/>
    <x v="3"/>
    <x v="452"/>
    <x v="0"/>
    <x v="2566"/>
  </r>
  <r>
    <x v="0"/>
    <x v="696"/>
    <x v="272"/>
    <x v="76"/>
    <x v="201"/>
    <x v="87"/>
    <x v="179"/>
    <x v="2370"/>
    <x v="125"/>
    <x v="420"/>
    <x v="1552"/>
    <x v="367"/>
    <x v="2532"/>
    <x v="2528"/>
    <x v="1596"/>
    <x v="0"/>
    <x v="2510"/>
    <x v="2532"/>
    <x v="552"/>
    <x v="0"/>
    <x v="0"/>
    <x v="2"/>
    <x v="178"/>
    <x v="42"/>
    <x v="206"/>
    <x v="32"/>
    <x v="3"/>
    <x v="1"/>
    <x v="0"/>
    <x v="2567"/>
  </r>
  <r>
    <x v="0"/>
    <x v="991"/>
    <x v="244"/>
    <x v="47"/>
    <x v="26"/>
    <x v="560"/>
    <x v="25"/>
    <x v="2229"/>
    <x v="635"/>
    <x v="76"/>
    <x v="1467"/>
    <x v="1745"/>
    <x v="2370"/>
    <x v="2370"/>
    <x v="2223"/>
    <x v="1"/>
    <x v="2351"/>
    <x v="2370"/>
    <x v="278"/>
    <x v="0"/>
    <x v="0"/>
    <x v="0"/>
    <x v="178"/>
    <x v="11"/>
    <x v="30"/>
    <x v="69"/>
    <x v="1"/>
    <x v="77"/>
    <x v="0"/>
    <x v="2568"/>
  </r>
  <r>
    <x v="0"/>
    <x v="1063"/>
    <x v="287"/>
    <x v="18"/>
    <x v="44"/>
    <x v="790"/>
    <x v="20"/>
    <x v="2371"/>
    <x v="17"/>
    <x v="83"/>
    <x v="980"/>
    <x v="1856"/>
    <x v="2533"/>
    <x v="2529"/>
    <x v="2363"/>
    <x v="0"/>
    <x v="2511"/>
    <x v="2533"/>
    <x v="336"/>
    <x v="0"/>
    <x v="0"/>
    <x v="0"/>
    <x v="178"/>
    <x v="5"/>
    <x v="441"/>
    <x v="13"/>
    <x v="3"/>
    <x v="4"/>
    <x v="0"/>
    <x v="2569"/>
  </r>
  <r>
    <x v="0"/>
    <x v="1064"/>
    <x v="303"/>
    <x v="59"/>
    <x v="85"/>
    <x v="120"/>
    <x v="326"/>
    <x v="2372"/>
    <x v="105"/>
    <x v="581"/>
    <x v="1553"/>
    <x v="1857"/>
    <x v="2534"/>
    <x v="1701"/>
    <x v="2364"/>
    <x v="1"/>
    <x v="2512"/>
    <x v="2534"/>
    <x v="581"/>
    <x v="0"/>
    <x v="0"/>
    <x v="0"/>
    <x v="178"/>
    <x v="17"/>
    <x v="303"/>
    <x v="20"/>
    <x v="3"/>
    <x v="453"/>
    <x v="0"/>
    <x v="2570"/>
  </r>
  <r>
    <x v="0"/>
    <x v="835"/>
    <x v="464"/>
    <x v="72"/>
    <x v="308"/>
    <x v="59"/>
    <x v="2"/>
    <x v="2373"/>
    <x v="194"/>
    <x v="172"/>
    <x v="1554"/>
    <x v="1602"/>
    <x v="2535"/>
    <x v="2530"/>
    <x v="2365"/>
    <x v="0"/>
    <x v="2513"/>
    <x v="2535"/>
    <x v="650"/>
    <x v="0"/>
    <x v="0"/>
    <x v="0"/>
    <x v="78"/>
    <x v="32"/>
    <x v="13"/>
    <x v="31"/>
    <x v="3"/>
    <x v="454"/>
    <x v="0"/>
    <x v="2571"/>
  </r>
  <r>
    <x v="0"/>
    <x v="250"/>
    <x v="373"/>
    <x v="31"/>
    <x v="168"/>
    <x v="194"/>
    <x v="11"/>
    <x v="2374"/>
    <x v="270"/>
    <x v="156"/>
    <x v="404"/>
    <x v="1858"/>
    <x v="2536"/>
    <x v="2531"/>
    <x v="2366"/>
    <x v="4"/>
    <x v="2514"/>
    <x v="2536"/>
    <x v="292"/>
    <x v="0"/>
    <x v="0"/>
    <x v="0"/>
    <x v="140"/>
    <x v="27"/>
    <x v="28"/>
    <x v="16"/>
    <x v="3"/>
    <x v="1"/>
    <x v="0"/>
    <x v="2572"/>
  </r>
  <r>
    <x v="0"/>
    <x v="1065"/>
    <x v="387"/>
    <x v="7"/>
    <x v="134"/>
    <x v="645"/>
    <x v="237"/>
    <x v="2375"/>
    <x v="361"/>
    <x v="1000"/>
    <x v="497"/>
    <x v="1859"/>
    <x v="2537"/>
    <x v="2532"/>
    <x v="2367"/>
    <x v="0"/>
    <x v="2515"/>
    <x v="2537"/>
    <x v="529"/>
    <x v="0"/>
    <x v="8"/>
    <x v="4"/>
    <x v="178"/>
    <x v="15"/>
    <x v="321"/>
    <x v="15"/>
    <x v="1"/>
    <x v="1"/>
    <x v="0"/>
    <x v="2573"/>
  </r>
  <r>
    <x v="0"/>
    <x v="1066"/>
    <x v="152"/>
    <x v="55"/>
    <x v="221"/>
    <x v="801"/>
    <x v="0"/>
    <x v="2376"/>
    <x v="125"/>
    <x v="1001"/>
    <x v="912"/>
    <x v="1860"/>
    <x v="2538"/>
    <x v="2533"/>
    <x v="2368"/>
    <x v="1"/>
    <x v="2516"/>
    <x v="2538"/>
    <x v="822"/>
    <x v="0"/>
    <x v="0"/>
    <x v="0"/>
    <x v="4"/>
    <x v="14"/>
    <x v="453"/>
    <x v="57"/>
    <x v="3"/>
    <x v="152"/>
    <x v="0"/>
    <x v="2574"/>
  </r>
  <r>
    <x v="0"/>
    <x v="1067"/>
    <x v="372"/>
    <x v="26"/>
    <x v="47"/>
    <x v="802"/>
    <x v="145"/>
    <x v="4"/>
    <x v="102"/>
    <x v="269"/>
    <x v="1555"/>
    <x v="1861"/>
    <x v="2539"/>
    <x v="2534"/>
    <x v="2065"/>
    <x v="6"/>
    <x v="2517"/>
    <x v="2539"/>
    <x v="129"/>
    <x v="0"/>
    <x v="0"/>
    <x v="2"/>
    <x v="178"/>
    <x v="28"/>
    <x v="384"/>
    <x v="41"/>
    <x v="1"/>
    <x v="455"/>
    <x v="0"/>
    <x v="2575"/>
  </r>
  <r>
    <x v="0"/>
    <x v="1068"/>
    <x v="409"/>
    <x v="52"/>
    <x v="52"/>
    <x v="349"/>
    <x v="532"/>
    <x v="2377"/>
    <x v="379"/>
    <x v="1002"/>
    <x v="1556"/>
    <x v="479"/>
    <x v="2540"/>
    <x v="2535"/>
    <x v="348"/>
    <x v="0"/>
    <x v="2518"/>
    <x v="2540"/>
    <x v="400"/>
    <x v="0"/>
    <x v="0"/>
    <x v="4"/>
    <x v="159"/>
    <x v="21"/>
    <x v="564"/>
    <x v="19"/>
    <x v="3"/>
    <x v="456"/>
    <x v="0"/>
    <x v="2576"/>
  </r>
  <r>
    <x v="0"/>
    <x v="696"/>
    <x v="216"/>
    <x v="52"/>
    <x v="201"/>
    <x v="437"/>
    <x v="2"/>
    <x v="2378"/>
    <x v="127"/>
    <x v="740"/>
    <x v="313"/>
    <x v="641"/>
    <x v="2541"/>
    <x v="2536"/>
    <x v="2369"/>
    <x v="0"/>
    <x v="2519"/>
    <x v="2541"/>
    <x v="627"/>
    <x v="0"/>
    <x v="0"/>
    <x v="0"/>
    <x v="178"/>
    <x v="19"/>
    <x v="212"/>
    <x v="4"/>
    <x v="3"/>
    <x v="457"/>
    <x v="0"/>
    <x v="2577"/>
  </r>
  <r>
    <x v="0"/>
    <x v="1069"/>
    <x v="372"/>
    <x v="54"/>
    <x v="262"/>
    <x v="109"/>
    <x v="0"/>
    <x v="2379"/>
    <x v="430"/>
    <x v="450"/>
    <x v="959"/>
    <x v="1862"/>
    <x v="2542"/>
    <x v="2537"/>
    <x v="2370"/>
    <x v="0"/>
    <x v="2520"/>
    <x v="2542"/>
    <x v="357"/>
    <x v="0"/>
    <x v="0"/>
    <x v="4"/>
    <x v="159"/>
    <x v="15"/>
    <x v="82"/>
    <x v="2"/>
    <x v="1"/>
    <x v="1"/>
    <x v="0"/>
    <x v="2578"/>
  </r>
  <r>
    <x v="0"/>
    <x v="503"/>
    <x v="356"/>
    <x v="47"/>
    <x v="256"/>
    <x v="480"/>
    <x v="0"/>
    <x v="2380"/>
    <x v="1"/>
    <x v="738"/>
    <x v="1557"/>
    <x v="806"/>
    <x v="2543"/>
    <x v="2538"/>
    <x v="1797"/>
    <x v="1"/>
    <x v="2521"/>
    <x v="2543"/>
    <x v="271"/>
    <x v="0"/>
    <x v="1"/>
    <x v="4"/>
    <x v="178"/>
    <x v="43"/>
    <x v="290"/>
    <x v="13"/>
    <x v="3"/>
    <x v="1"/>
    <x v="0"/>
    <x v="2579"/>
  </r>
  <r>
    <x v="0"/>
    <x v="1070"/>
    <x v="265"/>
    <x v="34"/>
    <x v="336"/>
    <x v="436"/>
    <x v="0"/>
    <x v="2381"/>
    <x v="270"/>
    <x v="1003"/>
    <x v="90"/>
    <x v="1863"/>
    <x v="2544"/>
    <x v="2539"/>
    <x v="2371"/>
    <x v="1"/>
    <x v="2522"/>
    <x v="2544"/>
    <x v="244"/>
    <x v="0"/>
    <x v="0"/>
    <x v="4"/>
    <x v="178"/>
    <x v="1"/>
    <x v="65"/>
    <x v="13"/>
    <x v="1"/>
    <x v="1"/>
    <x v="0"/>
    <x v="2580"/>
  </r>
  <r>
    <x v="0"/>
    <x v="1071"/>
    <x v="413"/>
    <x v="55"/>
    <x v="116"/>
    <x v="224"/>
    <x v="533"/>
    <x v="2382"/>
    <x v="657"/>
    <x v="1004"/>
    <x v="817"/>
    <x v="747"/>
    <x v="2545"/>
    <x v="2540"/>
    <x v="1958"/>
    <x v="1"/>
    <x v="2523"/>
    <x v="2545"/>
    <x v="496"/>
    <x v="0"/>
    <x v="0"/>
    <x v="0"/>
    <x v="178"/>
    <x v="13"/>
    <x v="476"/>
    <x v="66"/>
    <x v="3"/>
    <x v="1"/>
    <x v="0"/>
    <x v="2581"/>
  </r>
  <r>
    <x v="0"/>
    <x v="761"/>
    <x v="223"/>
    <x v="60"/>
    <x v="296"/>
    <x v="46"/>
    <x v="14"/>
    <x v="2383"/>
    <x v="17"/>
    <x v="119"/>
    <x v="918"/>
    <x v="1864"/>
    <x v="2546"/>
    <x v="2541"/>
    <x v="2372"/>
    <x v="3"/>
    <x v="2524"/>
    <x v="2546"/>
    <x v="640"/>
    <x v="0"/>
    <x v="0"/>
    <x v="4"/>
    <x v="178"/>
    <x v="9"/>
    <x v="523"/>
    <x v="4"/>
    <x v="1"/>
    <x v="1"/>
    <x v="0"/>
    <x v="2582"/>
  </r>
  <r>
    <x v="0"/>
    <x v="1072"/>
    <x v="272"/>
    <x v="24"/>
    <x v="265"/>
    <x v="120"/>
    <x v="121"/>
    <x v="2384"/>
    <x v="153"/>
    <x v="230"/>
    <x v="1558"/>
    <x v="1865"/>
    <x v="2547"/>
    <x v="2542"/>
    <x v="1027"/>
    <x v="0"/>
    <x v="2525"/>
    <x v="2547"/>
    <x v="365"/>
    <x v="0"/>
    <x v="1"/>
    <x v="0"/>
    <x v="178"/>
    <x v="12"/>
    <x v="368"/>
    <x v="10"/>
    <x v="10"/>
    <x v="458"/>
    <x v="0"/>
    <x v="2583"/>
  </r>
  <r>
    <x v="0"/>
    <x v="464"/>
    <x v="289"/>
    <x v="59"/>
    <x v="0"/>
    <x v="803"/>
    <x v="22"/>
    <x v="2385"/>
    <x v="171"/>
    <x v="169"/>
    <x v="589"/>
    <x v="1866"/>
    <x v="2548"/>
    <x v="2543"/>
    <x v="2373"/>
    <x v="0"/>
    <x v="2526"/>
    <x v="2548"/>
    <x v="657"/>
    <x v="0"/>
    <x v="1"/>
    <x v="4"/>
    <x v="78"/>
    <x v="9"/>
    <x v="30"/>
    <x v="15"/>
    <x v="1"/>
    <x v="33"/>
    <x v="0"/>
    <x v="2584"/>
  </r>
  <r>
    <x v="0"/>
    <x v="1073"/>
    <x v="346"/>
    <x v="80"/>
    <x v="195"/>
    <x v="200"/>
    <x v="206"/>
    <x v="2386"/>
    <x v="125"/>
    <x v="558"/>
    <x v="149"/>
    <x v="253"/>
    <x v="2549"/>
    <x v="2544"/>
    <x v="2374"/>
    <x v="12"/>
    <x v="2527"/>
    <x v="2549"/>
    <x v="549"/>
    <x v="0"/>
    <x v="0"/>
    <x v="4"/>
    <x v="178"/>
    <x v="14"/>
    <x v="100"/>
    <x v="46"/>
    <x v="3"/>
    <x v="1"/>
    <x v="0"/>
    <x v="2585"/>
  </r>
  <r>
    <x v="0"/>
    <x v="1074"/>
    <x v="239"/>
    <x v="11"/>
    <x v="337"/>
    <x v="783"/>
    <x v="433"/>
    <x v="4"/>
    <x v="127"/>
    <x v="784"/>
    <x v="1559"/>
    <x v="1867"/>
    <x v="2550"/>
    <x v="2545"/>
    <x v="2375"/>
    <x v="4"/>
    <x v="2528"/>
    <x v="2550"/>
    <x v="769"/>
    <x v="3"/>
    <x v="10"/>
    <x v="1"/>
    <x v="190"/>
    <x v="8"/>
    <x v="704"/>
    <x v="1"/>
    <x v="1"/>
    <x v="67"/>
    <x v="0"/>
    <x v="2586"/>
  </r>
  <r>
    <x v="0"/>
    <x v="1075"/>
    <x v="334"/>
    <x v="80"/>
    <x v="85"/>
    <x v="217"/>
    <x v="14"/>
    <x v="2387"/>
    <x v="387"/>
    <x v="414"/>
    <x v="1560"/>
    <x v="1115"/>
    <x v="2551"/>
    <x v="2546"/>
    <x v="2376"/>
    <x v="1"/>
    <x v="2529"/>
    <x v="2551"/>
    <x v="427"/>
    <x v="0"/>
    <x v="1"/>
    <x v="4"/>
    <x v="159"/>
    <x v="8"/>
    <x v="458"/>
    <x v="5"/>
    <x v="1"/>
    <x v="459"/>
    <x v="0"/>
    <x v="2587"/>
  </r>
  <r>
    <x v="0"/>
    <x v="1076"/>
    <x v="405"/>
    <x v="137"/>
    <x v="338"/>
    <x v="177"/>
    <x v="486"/>
    <x v="2388"/>
    <x v="370"/>
    <x v="1005"/>
    <x v="1561"/>
    <x v="225"/>
    <x v="2552"/>
    <x v="2547"/>
    <x v="1291"/>
    <x v="0"/>
    <x v="2530"/>
    <x v="2552"/>
    <x v="620"/>
    <x v="0"/>
    <x v="10"/>
    <x v="9"/>
    <x v="185"/>
    <x v="0"/>
    <x v="417"/>
    <x v="11"/>
    <x v="1"/>
    <x v="33"/>
    <x v="0"/>
    <x v="2588"/>
  </r>
  <r>
    <x v="0"/>
    <x v="941"/>
    <x v="390"/>
    <x v="80"/>
    <x v="222"/>
    <x v="617"/>
    <x v="0"/>
    <x v="2389"/>
    <x v="503"/>
    <x v="369"/>
    <x v="1562"/>
    <x v="1868"/>
    <x v="2553"/>
    <x v="2548"/>
    <x v="561"/>
    <x v="4"/>
    <x v="2531"/>
    <x v="2553"/>
    <x v="427"/>
    <x v="0"/>
    <x v="0"/>
    <x v="0"/>
    <x v="178"/>
    <x v="3"/>
    <x v="565"/>
    <x v="37"/>
    <x v="0"/>
    <x v="1"/>
    <x v="0"/>
    <x v="2589"/>
  </r>
  <r>
    <x v="0"/>
    <x v="644"/>
    <x v="274"/>
    <x v="41"/>
    <x v="277"/>
    <x v="296"/>
    <x v="0"/>
    <x v="4"/>
    <x v="463"/>
    <x v="154"/>
    <x v="1367"/>
    <x v="390"/>
    <x v="2554"/>
    <x v="2549"/>
    <x v="1793"/>
    <x v="0"/>
    <x v="2532"/>
    <x v="2554"/>
    <x v="621"/>
    <x v="0"/>
    <x v="0"/>
    <x v="3"/>
    <x v="178"/>
    <x v="0"/>
    <x v="350"/>
    <x v="14"/>
    <x v="3"/>
    <x v="32"/>
    <x v="0"/>
    <x v="2590"/>
  </r>
  <r>
    <x v="0"/>
    <x v="1077"/>
    <x v="474"/>
    <x v="47"/>
    <x v="188"/>
    <x v="608"/>
    <x v="15"/>
    <x v="4"/>
    <x v="168"/>
    <x v="180"/>
    <x v="1563"/>
    <x v="1869"/>
    <x v="2555"/>
    <x v="2550"/>
    <x v="2377"/>
    <x v="0"/>
    <x v="2533"/>
    <x v="2555"/>
    <x v="712"/>
    <x v="0"/>
    <x v="10"/>
    <x v="4"/>
    <x v="178"/>
    <x v="9"/>
    <x v="749"/>
    <x v="10"/>
    <x v="1"/>
    <x v="1"/>
    <x v="0"/>
    <x v="2591"/>
  </r>
  <r>
    <x v="0"/>
    <x v="1078"/>
    <x v="132"/>
    <x v="40"/>
    <x v="0"/>
    <x v="162"/>
    <x v="23"/>
    <x v="2390"/>
    <x v="134"/>
    <x v="371"/>
    <x v="886"/>
    <x v="304"/>
    <x v="2556"/>
    <x v="2551"/>
    <x v="2378"/>
    <x v="1"/>
    <x v="2534"/>
    <x v="2556"/>
    <x v="320"/>
    <x v="0"/>
    <x v="0"/>
    <x v="4"/>
    <x v="178"/>
    <x v="11"/>
    <x v="511"/>
    <x v="4"/>
    <x v="1"/>
    <x v="1"/>
    <x v="0"/>
    <x v="2592"/>
  </r>
  <r>
    <x v="0"/>
    <x v="1079"/>
    <x v="424"/>
    <x v="43"/>
    <x v="123"/>
    <x v="354"/>
    <x v="44"/>
    <x v="2391"/>
    <x v="334"/>
    <x v="68"/>
    <x v="215"/>
    <x v="485"/>
    <x v="2557"/>
    <x v="2552"/>
    <x v="842"/>
    <x v="3"/>
    <x v="2535"/>
    <x v="2557"/>
    <x v="408"/>
    <x v="0"/>
    <x v="0"/>
    <x v="0"/>
    <x v="217"/>
    <x v="19"/>
    <x v="145"/>
    <x v="33"/>
    <x v="3"/>
    <x v="460"/>
    <x v="0"/>
    <x v="2593"/>
  </r>
  <r>
    <x v="0"/>
    <x v="113"/>
    <x v="393"/>
    <x v="117"/>
    <x v="88"/>
    <x v="100"/>
    <x v="390"/>
    <x v="4"/>
    <x v="539"/>
    <x v="1006"/>
    <x v="1564"/>
    <x v="1870"/>
    <x v="2558"/>
    <x v="2553"/>
    <x v="2106"/>
    <x v="0"/>
    <x v="2536"/>
    <x v="2558"/>
    <x v="167"/>
    <x v="0"/>
    <x v="37"/>
    <x v="7"/>
    <x v="148"/>
    <x v="4"/>
    <x v="750"/>
    <x v="14"/>
    <x v="12"/>
    <x v="37"/>
    <x v="0"/>
    <x v="2594"/>
  </r>
  <r>
    <x v="0"/>
    <x v="842"/>
    <x v="239"/>
    <x v="69"/>
    <x v="310"/>
    <x v="672"/>
    <x v="534"/>
    <x v="2392"/>
    <x v="269"/>
    <x v="1007"/>
    <x v="1565"/>
    <x v="1871"/>
    <x v="2559"/>
    <x v="2554"/>
    <x v="97"/>
    <x v="1"/>
    <x v="2537"/>
    <x v="2559"/>
    <x v="454"/>
    <x v="0"/>
    <x v="4"/>
    <x v="4"/>
    <x v="4"/>
    <x v="19"/>
    <x v="38"/>
    <x v="4"/>
    <x v="10"/>
    <x v="461"/>
    <x v="0"/>
    <x v="2595"/>
  </r>
  <r>
    <x v="0"/>
    <x v="1080"/>
    <x v="152"/>
    <x v="50"/>
    <x v="198"/>
    <x v="488"/>
    <x v="156"/>
    <x v="2393"/>
    <x v="291"/>
    <x v="1008"/>
    <x v="1566"/>
    <x v="1872"/>
    <x v="2560"/>
    <x v="2555"/>
    <x v="2379"/>
    <x v="0"/>
    <x v="2538"/>
    <x v="2560"/>
    <x v="721"/>
    <x v="0"/>
    <x v="0"/>
    <x v="2"/>
    <x v="4"/>
    <x v="18"/>
    <x v="616"/>
    <x v="12"/>
    <x v="1"/>
    <x v="462"/>
    <x v="0"/>
    <x v="2596"/>
  </r>
  <r>
    <x v="0"/>
    <x v="1081"/>
    <x v="361"/>
    <x v="41"/>
    <x v="143"/>
    <x v="791"/>
    <x v="0"/>
    <x v="2394"/>
    <x v="150"/>
    <x v="481"/>
    <x v="280"/>
    <x v="1784"/>
    <x v="2561"/>
    <x v="2556"/>
    <x v="2380"/>
    <x v="0"/>
    <x v="2539"/>
    <x v="2561"/>
    <x v="343"/>
    <x v="0"/>
    <x v="0"/>
    <x v="4"/>
    <x v="219"/>
    <x v="12"/>
    <x v="30"/>
    <x v="18"/>
    <x v="3"/>
    <x v="463"/>
    <x v="0"/>
    <x v="2597"/>
  </r>
  <r>
    <x v="0"/>
    <x v="1082"/>
    <x v="361"/>
    <x v="50"/>
    <x v="143"/>
    <x v="367"/>
    <x v="535"/>
    <x v="2395"/>
    <x v="281"/>
    <x v="1009"/>
    <x v="1567"/>
    <x v="1873"/>
    <x v="2562"/>
    <x v="2557"/>
    <x v="2381"/>
    <x v="1"/>
    <x v="2540"/>
    <x v="2562"/>
    <x v="552"/>
    <x v="3"/>
    <x v="10"/>
    <x v="4"/>
    <x v="220"/>
    <x v="18"/>
    <x v="514"/>
    <x v="4"/>
    <x v="1"/>
    <x v="1"/>
    <x v="0"/>
    <x v="2598"/>
  </r>
  <r>
    <x v="0"/>
    <x v="66"/>
    <x v="24"/>
    <x v="54"/>
    <x v="51"/>
    <x v="313"/>
    <x v="297"/>
    <x v="2396"/>
    <x v="658"/>
    <x v="1010"/>
    <x v="1003"/>
    <x v="675"/>
    <x v="2563"/>
    <x v="2558"/>
    <x v="2382"/>
    <x v="0"/>
    <x v="2541"/>
    <x v="2563"/>
    <x v="869"/>
    <x v="0"/>
    <x v="4"/>
    <x v="4"/>
    <x v="219"/>
    <x v="7"/>
    <x v="369"/>
    <x v="12"/>
    <x v="3"/>
    <x v="1"/>
    <x v="0"/>
    <x v="2599"/>
  </r>
  <r>
    <x v="0"/>
    <x v="225"/>
    <x v="160"/>
    <x v="72"/>
    <x v="141"/>
    <x v="204"/>
    <x v="163"/>
    <x v="2397"/>
    <x v="132"/>
    <x v="301"/>
    <x v="627"/>
    <x v="1673"/>
    <x v="2564"/>
    <x v="2559"/>
    <x v="2383"/>
    <x v="1"/>
    <x v="2542"/>
    <x v="2564"/>
    <x v="509"/>
    <x v="0"/>
    <x v="0"/>
    <x v="4"/>
    <x v="137"/>
    <x v="31"/>
    <x v="392"/>
    <x v="11"/>
    <x v="3"/>
    <x v="1"/>
    <x v="0"/>
    <x v="2600"/>
  </r>
  <r>
    <x v="0"/>
    <x v="126"/>
    <x v="182"/>
    <x v="33"/>
    <x v="0"/>
    <x v="289"/>
    <x v="22"/>
    <x v="2398"/>
    <x v="238"/>
    <x v="514"/>
    <x v="368"/>
    <x v="380"/>
    <x v="2565"/>
    <x v="2560"/>
    <x v="2384"/>
    <x v="7"/>
    <x v="2543"/>
    <x v="2565"/>
    <x v="669"/>
    <x v="0"/>
    <x v="0"/>
    <x v="2"/>
    <x v="135"/>
    <x v="22"/>
    <x v="30"/>
    <x v="7"/>
    <x v="3"/>
    <x v="35"/>
    <x v="0"/>
    <x v="2601"/>
  </r>
  <r>
    <x v="0"/>
    <x v="853"/>
    <x v="152"/>
    <x v="58"/>
    <x v="119"/>
    <x v="770"/>
    <x v="32"/>
    <x v="2399"/>
    <x v="301"/>
    <x v="260"/>
    <x v="1335"/>
    <x v="1648"/>
    <x v="2566"/>
    <x v="2561"/>
    <x v="2385"/>
    <x v="2"/>
    <x v="2544"/>
    <x v="2566"/>
    <x v="427"/>
    <x v="0"/>
    <x v="0"/>
    <x v="2"/>
    <x v="190"/>
    <x v="42"/>
    <x v="688"/>
    <x v="18"/>
    <x v="3"/>
    <x v="67"/>
    <x v="0"/>
    <x v="2602"/>
  </r>
  <r>
    <x v="0"/>
    <x v="207"/>
    <x v="160"/>
    <x v="38"/>
    <x v="90"/>
    <x v="404"/>
    <x v="57"/>
    <x v="2400"/>
    <x v="105"/>
    <x v="192"/>
    <x v="1568"/>
    <x v="1841"/>
    <x v="2567"/>
    <x v="2562"/>
    <x v="2386"/>
    <x v="1"/>
    <x v="2545"/>
    <x v="2567"/>
    <x v="357"/>
    <x v="0"/>
    <x v="0"/>
    <x v="2"/>
    <x v="134"/>
    <x v="26"/>
    <x v="532"/>
    <x v="38"/>
    <x v="1"/>
    <x v="1"/>
    <x v="0"/>
    <x v="2603"/>
  </r>
  <r>
    <x v="0"/>
    <x v="165"/>
    <x v="247"/>
    <x v="47"/>
    <x v="119"/>
    <x v="786"/>
    <x v="14"/>
    <x v="2401"/>
    <x v="128"/>
    <x v="56"/>
    <x v="290"/>
    <x v="1874"/>
    <x v="2568"/>
    <x v="2563"/>
    <x v="2387"/>
    <x v="4"/>
    <x v="2546"/>
    <x v="2568"/>
    <x v="156"/>
    <x v="0"/>
    <x v="0"/>
    <x v="2"/>
    <x v="159"/>
    <x v="43"/>
    <x v="30"/>
    <x v="8"/>
    <x v="8"/>
    <x v="64"/>
    <x v="0"/>
    <x v="2604"/>
  </r>
  <r>
    <x v="0"/>
    <x v="106"/>
    <x v="133"/>
    <x v="60"/>
    <x v="0"/>
    <x v="531"/>
    <x v="536"/>
    <x v="2402"/>
    <x v="128"/>
    <x v="1011"/>
    <x v="1569"/>
    <x v="1875"/>
    <x v="2569"/>
    <x v="2564"/>
    <x v="2388"/>
    <x v="3"/>
    <x v="2547"/>
    <x v="2569"/>
    <x v="870"/>
    <x v="4"/>
    <x v="38"/>
    <x v="0"/>
    <x v="159"/>
    <x v="21"/>
    <x v="244"/>
    <x v="0"/>
    <x v="1"/>
    <x v="1"/>
    <x v="0"/>
    <x v="2605"/>
  </r>
  <r>
    <x v="0"/>
    <x v="2"/>
    <x v="340"/>
    <x v="40"/>
    <x v="0"/>
    <x v="528"/>
    <x v="11"/>
    <x v="2403"/>
    <x v="270"/>
    <x v="11"/>
    <x v="630"/>
    <x v="1876"/>
    <x v="2570"/>
    <x v="2565"/>
    <x v="2389"/>
    <x v="0"/>
    <x v="2548"/>
    <x v="2570"/>
    <x v="871"/>
    <x v="0"/>
    <x v="0"/>
    <x v="4"/>
    <x v="159"/>
    <x v="15"/>
    <x v="393"/>
    <x v="26"/>
    <x v="1"/>
    <x v="31"/>
    <x v="0"/>
    <x v="2606"/>
  </r>
  <r>
    <x v="0"/>
    <x v="323"/>
    <x v="502"/>
    <x v="34"/>
    <x v="0"/>
    <x v="397"/>
    <x v="21"/>
    <x v="2404"/>
    <x v="415"/>
    <x v="298"/>
    <x v="1570"/>
    <x v="923"/>
    <x v="2571"/>
    <x v="2566"/>
    <x v="2390"/>
    <x v="0"/>
    <x v="2549"/>
    <x v="2571"/>
    <x v="872"/>
    <x v="0"/>
    <x v="1"/>
    <x v="4"/>
    <x v="159"/>
    <x v="5"/>
    <x v="30"/>
    <x v="25"/>
    <x v="3"/>
    <x v="163"/>
    <x v="0"/>
    <x v="2607"/>
  </r>
  <r>
    <x v="0"/>
    <x v="246"/>
    <x v="434"/>
    <x v="86"/>
    <x v="166"/>
    <x v="804"/>
    <x v="413"/>
    <x v="2405"/>
    <x v="70"/>
    <x v="365"/>
    <x v="1571"/>
    <x v="1877"/>
    <x v="2572"/>
    <x v="2567"/>
    <x v="757"/>
    <x v="1"/>
    <x v="2550"/>
    <x v="2572"/>
    <x v="167"/>
    <x v="0"/>
    <x v="0"/>
    <x v="2"/>
    <x v="159"/>
    <x v="32"/>
    <x v="714"/>
    <x v="19"/>
    <x v="3"/>
    <x v="1"/>
    <x v="0"/>
    <x v="2608"/>
  </r>
  <r>
    <x v="0"/>
    <x v="113"/>
    <x v="393"/>
    <x v="117"/>
    <x v="88"/>
    <x v="335"/>
    <x v="421"/>
    <x v="4"/>
    <x v="188"/>
    <x v="1012"/>
    <x v="1572"/>
    <x v="1878"/>
    <x v="2573"/>
    <x v="2568"/>
    <x v="405"/>
    <x v="0"/>
    <x v="2551"/>
    <x v="2573"/>
    <x v="749"/>
    <x v="0"/>
    <x v="0"/>
    <x v="5"/>
    <x v="4"/>
    <x v="4"/>
    <x v="751"/>
    <x v="11"/>
    <x v="12"/>
    <x v="1"/>
    <x v="0"/>
    <x v="2609"/>
  </r>
  <r>
    <x v="0"/>
    <x v="1083"/>
    <x v="370"/>
    <x v="58"/>
    <x v="198"/>
    <x v="126"/>
    <x v="30"/>
    <x v="2406"/>
    <x v="17"/>
    <x v="224"/>
    <x v="480"/>
    <x v="156"/>
    <x v="2574"/>
    <x v="2569"/>
    <x v="2391"/>
    <x v="1"/>
    <x v="2552"/>
    <x v="2574"/>
    <x v="225"/>
    <x v="0"/>
    <x v="0"/>
    <x v="0"/>
    <x v="219"/>
    <x v="8"/>
    <x v="44"/>
    <x v="2"/>
    <x v="1"/>
    <x v="103"/>
    <x v="0"/>
    <x v="2610"/>
  </r>
  <r>
    <x v="0"/>
    <x v="38"/>
    <x v="266"/>
    <x v="39"/>
    <x v="25"/>
    <x v="279"/>
    <x v="86"/>
    <x v="2407"/>
    <x v="270"/>
    <x v="150"/>
    <x v="1573"/>
    <x v="608"/>
    <x v="2575"/>
    <x v="2570"/>
    <x v="2392"/>
    <x v="0"/>
    <x v="2553"/>
    <x v="2575"/>
    <x v="614"/>
    <x v="0"/>
    <x v="0"/>
    <x v="0"/>
    <x v="159"/>
    <x v="39"/>
    <x v="26"/>
    <x v="6"/>
    <x v="3"/>
    <x v="71"/>
    <x v="0"/>
    <x v="2611"/>
  </r>
  <r>
    <x v="0"/>
    <x v="1084"/>
    <x v="425"/>
    <x v="33"/>
    <x v="216"/>
    <x v="170"/>
    <x v="537"/>
    <x v="4"/>
    <x v="659"/>
    <x v="1013"/>
    <x v="1574"/>
    <x v="1879"/>
    <x v="2576"/>
    <x v="2571"/>
    <x v="2393"/>
    <x v="4"/>
    <x v="2554"/>
    <x v="2576"/>
    <x v="719"/>
    <x v="24"/>
    <x v="18"/>
    <x v="4"/>
    <x v="4"/>
    <x v="0"/>
    <x v="254"/>
    <x v="20"/>
    <x v="1"/>
    <x v="464"/>
    <x v="0"/>
    <x v="2612"/>
  </r>
  <r>
    <x v="0"/>
    <x v="204"/>
    <x v="93"/>
    <x v="8"/>
    <x v="144"/>
    <x v="246"/>
    <x v="2"/>
    <x v="4"/>
    <x v="172"/>
    <x v="130"/>
    <x v="109"/>
    <x v="314"/>
    <x v="363"/>
    <x v="2572"/>
    <x v="879"/>
    <x v="4"/>
    <x v="2555"/>
    <x v="363"/>
    <x v="326"/>
    <x v="0"/>
    <x v="0"/>
    <x v="0"/>
    <x v="32"/>
    <x v="6"/>
    <x v="529"/>
    <x v="9"/>
    <x v="1"/>
    <x v="1"/>
    <x v="0"/>
    <x v="2613"/>
  </r>
  <r>
    <x v="0"/>
    <x v="1085"/>
    <x v="426"/>
    <x v="37"/>
    <x v="126"/>
    <x v="805"/>
    <x v="32"/>
    <x v="2408"/>
    <x v="567"/>
    <x v="38"/>
    <x v="2"/>
    <x v="1880"/>
    <x v="2577"/>
    <x v="2573"/>
    <x v="2394"/>
    <x v="1"/>
    <x v="2556"/>
    <x v="2577"/>
    <x v="873"/>
    <x v="0"/>
    <x v="1"/>
    <x v="0"/>
    <x v="137"/>
    <x v="11"/>
    <x v="2"/>
    <x v="14"/>
    <x v="1"/>
    <x v="465"/>
    <x v="0"/>
    <x v="2614"/>
  </r>
  <r>
    <x v="0"/>
    <x v="1047"/>
    <x v="429"/>
    <x v="56"/>
    <x v="85"/>
    <x v="279"/>
    <x v="0"/>
    <x v="2409"/>
    <x v="418"/>
    <x v="349"/>
    <x v="725"/>
    <x v="1369"/>
    <x v="2578"/>
    <x v="2574"/>
    <x v="2395"/>
    <x v="1"/>
    <x v="2557"/>
    <x v="2578"/>
    <x v="716"/>
    <x v="0"/>
    <x v="0"/>
    <x v="4"/>
    <x v="70"/>
    <x v="35"/>
    <x v="77"/>
    <x v="9"/>
    <x v="3"/>
    <x v="411"/>
    <x v="0"/>
    <x v="2615"/>
  </r>
  <r>
    <x v="0"/>
    <x v="77"/>
    <x v="303"/>
    <x v="23"/>
    <x v="61"/>
    <x v="614"/>
    <x v="185"/>
    <x v="2410"/>
    <x v="432"/>
    <x v="779"/>
    <x v="1378"/>
    <x v="1881"/>
    <x v="2579"/>
    <x v="2575"/>
    <x v="2396"/>
    <x v="0"/>
    <x v="2558"/>
    <x v="2579"/>
    <x v="591"/>
    <x v="0"/>
    <x v="0"/>
    <x v="2"/>
    <x v="4"/>
    <x v="35"/>
    <x v="15"/>
    <x v="7"/>
    <x v="3"/>
    <x v="1"/>
    <x v="0"/>
    <x v="2616"/>
  </r>
  <r>
    <x v="0"/>
    <x v="208"/>
    <x v="387"/>
    <x v="50"/>
    <x v="146"/>
    <x v="450"/>
    <x v="30"/>
    <x v="2411"/>
    <x v="238"/>
    <x v="53"/>
    <x v="1391"/>
    <x v="657"/>
    <x v="2580"/>
    <x v="2576"/>
    <x v="2397"/>
    <x v="1"/>
    <x v="2559"/>
    <x v="2580"/>
    <x v="575"/>
    <x v="0"/>
    <x v="0"/>
    <x v="2"/>
    <x v="159"/>
    <x v="5"/>
    <x v="222"/>
    <x v="5"/>
    <x v="3"/>
    <x v="1"/>
    <x v="0"/>
    <x v="2617"/>
  </r>
  <r>
    <x v="0"/>
    <x v="1086"/>
    <x v="289"/>
    <x v="7"/>
    <x v="136"/>
    <x v="701"/>
    <x v="0"/>
    <x v="2412"/>
    <x v="471"/>
    <x v="489"/>
    <x v="1575"/>
    <x v="1882"/>
    <x v="2581"/>
    <x v="2577"/>
    <x v="2398"/>
    <x v="1"/>
    <x v="2560"/>
    <x v="2581"/>
    <x v="621"/>
    <x v="0"/>
    <x v="4"/>
    <x v="0"/>
    <x v="78"/>
    <x v="9"/>
    <x v="752"/>
    <x v="5"/>
    <x v="3"/>
    <x v="116"/>
    <x v="0"/>
    <x v="2618"/>
  </r>
  <r>
    <x v="0"/>
    <x v="469"/>
    <x v="107"/>
    <x v="59"/>
    <x v="0"/>
    <x v="796"/>
    <x v="35"/>
    <x v="2305"/>
    <x v="381"/>
    <x v="157"/>
    <x v="1515"/>
    <x v="1808"/>
    <x v="2461"/>
    <x v="2456"/>
    <x v="2300"/>
    <x v="0"/>
    <x v="2441"/>
    <x v="2461"/>
    <x v="862"/>
    <x v="0"/>
    <x v="0"/>
    <x v="4"/>
    <x v="212"/>
    <x v="33"/>
    <x v="539"/>
    <x v="0"/>
    <x v="1"/>
    <x v="85"/>
    <x v="0"/>
    <x v="2619"/>
  </r>
  <r>
    <x v="0"/>
    <x v="370"/>
    <x v="398"/>
    <x v="42"/>
    <x v="201"/>
    <x v="271"/>
    <x v="538"/>
    <x v="2413"/>
    <x v="311"/>
    <x v="1014"/>
    <x v="250"/>
    <x v="353"/>
    <x v="2582"/>
    <x v="2578"/>
    <x v="2399"/>
    <x v="1"/>
    <x v="2561"/>
    <x v="2582"/>
    <x v="562"/>
    <x v="0"/>
    <x v="0"/>
    <x v="4"/>
    <x v="159"/>
    <x v="45"/>
    <x v="169"/>
    <x v="38"/>
    <x v="3"/>
    <x v="1"/>
    <x v="0"/>
    <x v="2620"/>
  </r>
  <r>
    <x v="0"/>
    <x v="899"/>
    <x v="271"/>
    <x v="58"/>
    <x v="108"/>
    <x v="783"/>
    <x v="91"/>
    <x v="2414"/>
    <x v="125"/>
    <x v="1015"/>
    <x v="1576"/>
    <x v="1883"/>
    <x v="2583"/>
    <x v="2579"/>
    <x v="2400"/>
    <x v="0"/>
    <x v="2562"/>
    <x v="2583"/>
    <x v="402"/>
    <x v="0"/>
    <x v="0"/>
    <x v="4"/>
    <x v="159"/>
    <x v="9"/>
    <x v="753"/>
    <x v="4"/>
    <x v="3"/>
    <x v="18"/>
    <x v="0"/>
    <x v="2621"/>
  </r>
  <r>
    <x v="0"/>
    <x v="491"/>
    <x v="89"/>
    <x v="50"/>
    <x v="253"/>
    <x v="530"/>
    <x v="265"/>
    <x v="2415"/>
    <x v="113"/>
    <x v="1016"/>
    <x v="1577"/>
    <x v="1146"/>
    <x v="2584"/>
    <x v="2580"/>
    <x v="2401"/>
    <x v="0"/>
    <x v="2563"/>
    <x v="2584"/>
    <x v="874"/>
    <x v="0"/>
    <x v="1"/>
    <x v="0"/>
    <x v="221"/>
    <x v="7"/>
    <x v="248"/>
    <x v="11"/>
    <x v="3"/>
    <x v="1"/>
    <x v="0"/>
    <x v="2622"/>
  </r>
  <r>
    <x v="0"/>
    <x v="24"/>
    <x v="216"/>
    <x v="80"/>
    <x v="17"/>
    <x v="152"/>
    <x v="91"/>
    <x v="2416"/>
    <x v="219"/>
    <x v="161"/>
    <x v="424"/>
    <x v="1884"/>
    <x v="2585"/>
    <x v="2581"/>
    <x v="2402"/>
    <x v="3"/>
    <x v="2564"/>
    <x v="2585"/>
    <x v="624"/>
    <x v="0"/>
    <x v="0"/>
    <x v="2"/>
    <x v="159"/>
    <x v="32"/>
    <x v="285"/>
    <x v="7"/>
    <x v="3"/>
    <x v="61"/>
    <x v="0"/>
    <x v="2623"/>
  </r>
  <r>
    <x v="0"/>
    <x v="795"/>
    <x v="438"/>
    <x v="18"/>
    <x v="0"/>
    <x v="806"/>
    <x v="35"/>
    <x v="2417"/>
    <x v="200"/>
    <x v="504"/>
    <x v="1578"/>
    <x v="1885"/>
    <x v="2586"/>
    <x v="2582"/>
    <x v="2403"/>
    <x v="8"/>
    <x v="2565"/>
    <x v="2586"/>
    <x v="360"/>
    <x v="0"/>
    <x v="0"/>
    <x v="0"/>
    <x v="159"/>
    <x v="1"/>
    <x v="402"/>
    <x v="23"/>
    <x v="3"/>
    <x v="103"/>
    <x v="0"/>
    <x v="2624"/>
  </r>
  <r>
    <x v="0"/>
    <x v="1087"/>
    <x v="434"/>
    <x v="69"/>
    <x v="137"/>
    <x v="704"/>
    <x v="29"/>
    <x v="2418"/>
    <x v="660"/>
    <x v="34"/>
    <x v="489"/>
    <x v="1344"/>
    <x v="2587"/>
    <x v="2583"/>
    <x v="2404"/>
    <x v="2"/>
    <x v="2566"/>
    <x v="2587"/>
    <x v="320"/>
    <x v="0"/>
    <x v="0"/>
    <x v="2"/>
    <x v="159"/>
    <x v="24"/>
    <x v="9"/>
    <x v="11"/>
    <x v="3"/>
    <x v="1"/>
    <x v="0"/>
    <x v="2625"/>
  </r>
  <r>
    <x v="0"/>
    <x v="1088"/>
    <x v="5"/>
    <x v="54"/>
    <x v="171"/>
    <x v="618"/>
    <x v="2"/>
    <x v="2419"/>
    <x v="64"/>
    <x v="113"/>
    <x v="1579"/>
    <x v="1886"/>
    <x v="2588"/>
    <x v="2584"/>
    <x v="941"/>
    <x v="0"/>
    <x v="2567"/>
    <x v="2588"/>
    <x v="775"/>
    <x v="0"/>
    <x v="1"/>
    <x v="0"/>
    <x v="173"/>
    <x v="3"/>
    <x v="303"/>
    <x v="21"/>
    <x v="1"/>
    <x v="5"/>
    <x v="0"/>
    <x v="2626"/>
  </r>
  <r>
    <x v="0"/>
    <x v="172"/>
    <x v="194"/>
    <x v="101"/>
    <x v="124"/>
    <x v="204"/>
    <x v="0"/>
    <x v="2420"/>
    <x v="381"/>
    <x v="381"/>
    <x v="1580"/>
    <x v="575"/>
    <x v="2589"/>
    <x v="2585"/>
    <x v="1721"/>
    <x v="0"/>
    <x v="2568"/>
    <x v="2589"/>
    <x v="875"/>
    <x v="0"/>
    <x v="0"/>
    <x v="0"/>
    <x v="159"/>
    <x v="7"/>
    <x v="754"/>
    <x v="40"/>
    <x v="1"/>
    <x v="1"/>
    <x v="0"/>
    <x v="2627"/>
  </r>
  <r>
    <x v="0"/>
    <x v="80"/>
    <x v="474"/>
    <x v="76"/>
    <x v="63"/>
    <x v="172"/>
    <x v="408"/>
    <x v="2421"/>
    <x v="189"/>
    <x v="1017"/>
    <x v="1161"/>
    <x v="1887"/>
    <x v="2590"/>
    <x v="2586"/>
    <x v="2405"/>
    <x v="1"/>
    <x v="2569"/>
    <x v="2590"/>
    <x v="195"/>
    <x v="0"/>
    <x v="0"/>
    <x v="2"/>
    <x v="159"/>
    <x v="19"/>
    <x v="619"/>
    <x v="28"/>
    <x v="3"/>
    <x v="466"/>
    <x v="0"/>
    <x v="2628"/>
  </r>
  <r>
    <x v="0"/>
    <x v="523"/>
    <x v="321"/>
    <x v="10"/>
    <x v="259"/>
    <x v="449"/>
    <x v="13"/>
    <x v="4"/>
    <x v="269"/>
    <x v="158"/>
    <x v="608"/>
    <x v="1888"/>
    <x v="2591"/>
    <x v="2587"/>
    <x v="2406"/>
    <x v="4"/>
    <x v="2570"/>
    <x v="2591"/>
    <x v="876"/>
    <x v="0"/>
    <x v="1"/>
    <x v="4"/>
    <x v="159"/>
    <x v="33"/>
    <x v="6"/>
    <x v="17"/>
    <x v="1"/>
    <x v="59"/>
    <x v="0"/>
    <x v="2629"/>
  </r>
  <r>
    <x v="0"/>
    <x v="277"/>
    <x v="335"/>
    <x v="55"/>
    <x v="181"/>
    <x v="255"/>
    <x v="13"/>
    <x v="2422"/>
    <x v="200"/>
    <x v="158"/>
    <x v="489"/>
    <x v="329"/>
    <x v="2592"/>
    <x v="2588"/>
    <x v="2407"/>
    <x v="0"/>
    <x v="2571"/>
    <x v="2592"/>
    <x v="733"/>
    <x v="0"/>
    <x v="0"/>
    <x v="4"/>
    <x v="159"/>
    <x v="13"/>
    <x v="9"/>
    <x v="1"/>
    <x v="3"/>
    <x v="85"/>
    <x v="0"/>
    <x v="2630"/>
  </r>
  <r>
    <x v="0"/>
    <x v="1089"/>
    <x v="240"/>
    <x v="50"/>
    <x v="89"/>
    <x v="213"/>
    <x v="91"/>
    <x v="2423"/>
    <x v="661"/>
    <x v="1018"/>
    <x v="1581"/>
    <x v="271"/>
    <x v="2593"/>
    <x v="1508"/>
    <x v="1086"/>
    <x v="1"/>
    <x v="2572"/>
    <x v="2593"/>
    <x v="497"/>
    <x v="0"/>
    <x v="0"/>
    <x v="2"/>
    <x v="173"/>
    <x v="17"/>
    <x v="468"/>
    <x v="43"/>
    <x v="1"/>
    <x v="1"/>
    <x v="0"/>
    <x v="2631"/>
  </r>
  <r>
    <x v="0"/>
    <x v="1090"/>
    <x v="282"/>
    <x v="52"/>
    <x v="195"/>
    <x v="517"/>
    <x v="25"/>
    <x v="2424"/>
    <x v="65"/>
    <x v="138"/>
    <x v="367"/>
    <x v="1215"/>
    <x v="2594"/>
    <x v="2589"/>
    <x v="2408"/>
    <x v="1"/>
    <x v="2573"/>
    <x v="2594"/>
    <x v="138"/>
    <x v="0"/>
    <x v="0"/>
    <x v="0"/>
    <x v="159"/>
    <x v="9"/>
    <x v="30"/>
    <x v="12"/>
    <x v="1"/>
    <x v="85"/>
    <x v="0"/>
    <x v="2632"/>
  </r>
  <r>
    <x v="0"/>
    <x v="1091"/>
    <x v="204"/>
    <x v="42"/>
    <x v="48"/>
    <x v="67"/>
    <x v="22"/>
    <x v="2425"/>
    <x v="63"/>
    <x v="191"/>
    <x v="1582"/>
    <x v="1889"/>
    <x v="2595"/>
    <x v="2590"/>
    <x v="2409"/>
    <x v="0"/>
    <x v="2574"/>
    <x v="2595"/>
    <x v="339"/>
    <x v="0"/>
    <x v="0"/>
    <x v="0"/>
    <x v="159"/>
    <x v="2"/>
    <x v="151"/>
    <x v="5"/>
    <x v="1"/>
    <x v="41"/>
    <x v="0"/>
    <x v="2633"/>
  </r>
  <r>
    <x v="0"/>
    <x v="423"/>
    <x v="166"/>
    <x v="27"/>
    <x v="0"/>
    <x v="1"/>
    <x v="41"/>
    <x v="2426"/>
    <x v="458"/>
    <x v="1019"/>
    <x v="62"/>
    <x v="1177"/>
    <x v="2596"/>
    <x v="2591"/>
    <x v="2410"/>
    <x v="1"/>
    <x v="2575"/>
    <x v="2596"/>
    <x v="676"/>
    <x v="0"/>
    <x v="0"/>
    <x v="4"/>
    <x v="159"/>
    <x v="20"/>
    <x v="9"/>
    <x v="21"/>
    <x v="3"/>
    <x v="1"/>
    <x v="0"/>
    <x v="2634"/>
  </r>
  <r>
    <x v="0"/>
    <x v="521"/>
    <x v="307"/>
    <x v="34"/>
    <x v="89"/>
    <x v="621"/>
    <x v="422"/>
    <x v="2427"/>
    <x v="316"/>
    <x v="1020"/>
    <x v="1583"/>
    <x v="1890"/>
    <x v="2597"/>
    <x v="2592"/>
    <x v="2411"/>
    <x v="0"/>
    <x v="2576"/>
    <x v="2597"/>
    <x v="247"/>
    <x v="0"/>
    <x v="0"/>
    <x v="4"/>
    <x v="4"/>
    <x v="27"/>
    <x v="554"/>
    <x v="13"/>
    <x v="3"/>
    <x v="1"/>
    <x v="0"/>
    <x v="2635"/>
  </r>
  <r>
    <x v="0"/>
    <x v="141"/>
    <x v="333"/>
    <x v="60"/>
    <x v="105"/>
    <x v="1"/>
    <x v="13"/>
    <x v="2428"/>
    <x v="168"/>
    <x v="158"/>
    <x v="234"/>
    <x v="1891"/>
    <x v="2598"/>
    <x v="2593"/>
    <x v="2412"/>
    <x v="3"/>
    <x v="2577"/>
    <x v="2598"/>
    <x v="488"/>
    <x v="0"/>
    <x v="0"/>
    <x v="4"/>
    <x v="70"/>
    <x v="13"/>
    <x v="44"/>
    <x v="8"/>
    <x v="3"/>
    <x v="43"/>
    <x v="0"/>
    <x v="2636"/>
  </r>
  <r>
    <x v="0"/>
    <x v="1092"/>
    <x v="241"/>
    <x v="77"/>
    <x v="31"/>
    <x v="261"/>
    <x v="2"/>
    <x v="2429"/>
    <x v="125"/>
    <x v="104"/>
    <x v="1584"/>
    <x v="1892"/>
    <x v="2599"/>
    <x v="2594"/>
    <x v="1130"/>
    <x v="0"/>
    <x v="2578"/>
    <x v="2599"/>
    <x v="349"/>
    <x v="0"/>
    <x v="0"/>
    <x v="4"/>
    <x v="178"/>
    <x v="18"/>
    <x v="755"/>
    <x v="20"/>
    <x v="3"/>
    <x v="1"/>
    <x v="0"/>
    <x v="2637"/>
  </r>
  <r>
    <x v="0"/>
    <x v="50"/>
    <x v="254"/>
    <x v="56"/>
    <x v="278"/>
    <x v="116"/>
    <x v="10"/>
    <x v="2430"/>
    <x v="168"/>
    <x v="40"/>
    <x v="1052"/>
    <x v="144"/>
    <x v="2600"/>
    <x v="2595"/>
    <x v="2413"/>
    <x v="4"/>
    <x v="2579"/>
    <x v="2600"/>
    <x v="687"/>
    <x v="0"/>
    <x v="0"/>
    <x v="4"/>
    <x v="222"/>
    <x v="3"/>
    <x v="10"/>
    <x v="16"/>
    <x v="3"/>
    <x v="58"/>
    <x v="0"/>
    <x v="2638"/>
  </r>
  <r>
    <x v="0"/>
    <x v="296"/>
    <x v="291"/>
    <x v="72"/>
    <x v="189"/>
    <x v="47"/>
    <x v="10"/>
    <x v="1325"/>
    <x v="105"/>
    <x v="16"/>
    <x v="941"/>
    <x v="1089"/>
    <x v="1376"/>
    <x v="2596"/>
    <x v="1336"/>
    <x v="1"/>
    <x v="1367"/>
    <x v="1376"/>
    <x v="497"/>
    <x v="0"/>
    <x v="0"/>
    <x v="0"/>
    <x v="160"/>
    <x v="2"/>
    <x v="20"/>
    <x v="28"/>
    <x v="3"/>
    <x v="59"/>
    <x v="0"/>
    <x v="2639"/>
  </r>
  <r>
    <x v="0"/>
    <x v="49"/>
    <x v="182"/>
    <x v="11"/>
    <x v="34"/>
    <x v="133"/>
    <x v="29"/>
    <x v="2431"/>
    <x v="28"/>
    <x v="74"/>
    <x v="356"/>
    <x v="1893"/>
    <x v="2601"/>
    <x v="2597"/>
    <x v="2414"/>
    <x v="0"/>
    <x v="2580"/>
    <x v="2601"/>
    <x v="858"/>
    <x v="0"/>
    <x v="0"/>
    <x v="0"/>
    <x v="159"/>
    <x v="21"/>
    <x v="30"/>
    <x v="23"/>
    <x v="3"/>
    <x v="1"/>
    <x v="0"/>
    <x v="2640"/>
  </r>
  <r>
    <x v="0"/>
    <x v="1093"/>
    <x v="411"/>
    <x v="32"/>
    <x v="299"/>
    <x v="750"/>
    <x v="57"/>
    <x v="2432"/>
    <x v="425"/>
    <x v="386"/>
    <x v="1248"/>
    <x v="1894"/>
    <x v="2602"/>
    <x v="2598"/>
    <x v="2415"/>
    <x v="0"/>
    <x v="2581"/>
    <x v="2602"/>
    <x v="156"/>
    <x v="0"/>
    <x v="1"/>
    <x v="0"/>
    <x v="159"/>
    <x v="11"/>
    <x v="485"/>
    <x v="16"/>
    <x v="1"/>
    <x v="191"/>
    <x v="0"/>
    <x v="2641"/>
  </r>
  <r>
    <x v="0"/>
    <x v="433"/>
    <x v="447"/>
    <x v="107"/>
    <x v="125"/>
    <x v="612"/>
    <x v="75"/>
    <x v="2433"/>
    <x v="70"/>
    <x v="199"/>
    <x v="1290"/>
    <x v="1895"/>
    <x v="2603"/>
    <x v="2599"/>
    <x v="2416"/>
    <x v="3"/>
    <x v="2582"/>
    <x v="2603"/>
    <x v="499"/>
    <x v="0"/>
    <x v="0"/>
    <x v="0"/>
    <x v="178"/>
    <x v="17"/>
    <x v="449"/>
    <x v="37"/>
    <x v="1"/>
    <x v="1"/>
    <x v="0"/>
    <x v="2642"/>
  </r>
  <r>
    <x v="0"/>
    <x v="1094"/>
    <x v="239"/>
    <x v="60"/>
    <x v="174"/>
    <x v="438"/>
    <x v="24"/>
    <x v="2434"/>
    <x v="105"/>
    <x v="131"/>
    <x v="699"/>
    <x v="639"/>
    <x v="2604"/>
    <x v="2600"/>
    <x v="1112"/>
    <x v="4"/>
    <x v="2583"/>
    <x v="2604"/>
    <x v="877"/>
    <x v="0"/>
    <x v="0"/>
    <x v="0"/>
    <x v="159"/>
    <x v="21"/>
    <x v="30"/>
    <x v="2"/>
    <x v="3"/>
    <x v="1"/>
    <x v="0"/>
    <x v="2643"/>
  </r>
  <r>
    <x v="0"/>
    <x v="767"/>
    <x v="198"/>
    <x v="159"/>
    <x v="298"/>
    <x v="163"/>
    <x v="287"/>
    <x v="2271"/>
    <x v="273"/>
    <x v="1021"/>
    <x v="1585"/>
    <x v="1506"/>
    <x v="2605"/>
    <x v="2601"/>
    <x v="2417"/>
    <x v="8"/>
    <x v="2584"/>
    <x v="2605"/>
    <x v="594"/>
    <x v="0"/>
    <x v="1"/>
    <x v="2"/>
    <x v="159"/>
    <x v="34"/>
    <x v="464"/>
    <x v="26"/>
    <x v="5"/>
    <x v="59"/>
    <x v="0"/>
    <x v="2644"/>
  </r>
  <r>
    <x v="0"/>
    <x v="1095"/>
    <x v="129"/>
    <x v="73"/>
    <x v="0"/>
    <x v="506"/>
    <x v="439"/>
    <x v="2435"/>
    <x v="429"/>
    <x v="797"/>
    <x v="394"/>
    <x v="1896"/>
    <x v="2606"/>
    <x v="2602"/>
    <x v="2418"/>
    <x v="0"/>
    <x v="2585"/>
    <x v="2606"/>
    <x v="228"/>
    <x v="0"/>
    <x v="0"/>
    <x v="4"/>
    <x v="159"/>
    <x v="0"/>
    <x v="265"/>
    <x v="41"/>
    <x v="3"/>
    <x v="67"/>
    <x v="0"/>
    <x v="2645"/>
  </r>
  <r>
    <x v="0"/>
    <x v="645"/>
    <x v="165"/>
    <x v="69"/>
    <x v="140"/>
    <x v="256"/>
    <x v="35"/>
    <x v="2436"/>
    <x v="606"/>
    <x v="608"/>
    <x v="1586"/>
    <x v="330"/>
    <x v="2607"/>
    <x v="2603"/>
    <x v="2419"/>
    <x v="1"/>
    <x v="2586"/>
    <x v="2607"/>
    <x v="418"/>
    <x v="0"/>
    <x v="0"/>
    <x v="4"/>
    <x v="159"/>
    <x v="11"/>
    <x v="174"/>
    <x v="1"/>
    <x v="1"/>
    <x v="58"/>
    <x v="0"/>
    <x v="2646"/>
  </r>
  <r>
    <x v="0"/>
    <x v="1096"/>
    <x v="330"/>
    <x v="37"/>
    <x v="195"/>
    <x v="611"/>
    <x v="207"/>
    <x v="2437"/>
    <x v="444"/>
    <x v="1022"/>
    <x v="347"/>
    <x v="1897"/>
    <x v="2608"/>
    <x v="881"/>
    <x v="2420"/>
    <x v="0"/>
    <x v="2587"/>
    <x v="2608"/>
    <x v="491"/>
    <x v="0"/>
    <x v="0"/>
    <x v="4"/>
    <x v="159"/>
    <x v="0"/>
    <x v="232"/>
    <x v="4"/>
    <x v="3"/>
    <x v="1"/>
    <x v="0"/>
    <x v="2647"/>
  </r>
  <r>
    <x v="0"/>
    <x v="1064"/>
    <x v="280"/>
    <x v="78"/>
    <x v="85"/>
    <x v="478"/>
    <x v="0"/>
    <x v="2438"/>
    <x v="127"/>
    <x v="1023"/>
    <x v="313"/>
    <x v="703"/>
    <x v="2609"/>
    <x v="2604"/>
    <x v="2421"/>
    <x v="0"/>
    <x v="2588"/>
    <x v="2609"/>
    <x v="384"/>
    <x v="0"/>
    <x v="0"/>
    <x v="0"/>
    <x v="159"/>
    <x v="12"/>
    <x v="212"/>
    <x v="9"/>
    <x v="3"/>
    <x v="1"/>
    <x v="0"/>
    <x v="2648"/>
  </r>
  <r>
    <x v="0"/>
    <x v="1097"/>
    <x v="285"/>
    <x v="50"/>
    <x v="52"/>
    <x v="807"/>
    <x v="35"/>
    <x v="2439"/>
    <x v="662"/>
    <x v="157"/>
    <x v="597"/>
    <x v="1898"/>
    <x v="2610"/>
    <x v="2605"/>
    <x v="2422"/>
    <x v="7"/>
    <x v="2589"/>
    <x v="2610"/>
    <x v="878"/>
    <x v="0"/>
    <x v="0"/>
    <x v="4"/>
    <x v="159"/>
    <x v="19"/>
    <x v="375"/>
    <x v="54"/>
    <x v="1"/>
    <x v="1"/>
    <x v="0"/>
    <x v="2649"/>
  </r>
  <r>
    <x v="0"/>
    <x v="112"/>
    <x v="175"/>
    <x v="11"/>
    <x v="49"/>
    <x v="151"/>
    <x v="21"/>
    <x v="205"/>
    <x v="1"/>
    <x v="22"/>
    <x v="88"/>
    <x v="187"/>
    <x v="210"/>
    <x v="2606"/>
    <x v="206"/>
    <x v="0"/>
    <x v="208"/>
    <x v="210"/>
    <x v="198"/>
    <x v="0"/>
    <x v="0"/>
    <x v="0"/>
    <x v="44"/>
    <x v="5"/>
    <x v="30"/>
    <x v="27"/>
    <x v="1"/>
    <x v="61"/>
    <x v="0"/>
    <x v="2650"/>
  </r>
  <r>
    <x v="0"/>
    <x v="340"/>
    <x v="112"/>
    <x v="42"/>
    <x v="0"/>
    <x v="486"/>
    <x v="11"/>
    <x v="2440"/>
    <x v="272"/>
    <x v="49"/>
    <x v="1587"/>
    <x v="1899"/>
    <x v="2611"/>
    <x v="2607"/>
    <x v="2423"/>
    <x v="0"/>
    <x v="2590"/>
    <x v="2611"/>
    <x v="879"/>
    <x v="0"/>
    <x v="0"/>
    <x v="2"/>
    <x v="178"/>
    <x v="42"/>
    <x v="741"/>
    <x v="14"/>
    <x v="3"/>
    <x v="0"/>
    <x v="0"/>
    <x v="2651"/>
  </r>
  <r>
    <x v="0"/>
    <x v="1098"/>
    <x v="356"/>
    <x v="51"/>
    <x v="315"/>
    <x v="306"/>
    <x v="11"/>
    <x v="2441"/>
    <x v="113"/>
    <x v="156"/>
    <x v="1082"/>
    <x v="478"/>
    <x v="2612"/>
    <x v="2608"/>
    <x v="2424"/>
    <x v="1"/>
    <x v="2591"/>
    <x v="2612"/>
    <x v="173"/>
    <x v="0"/>
    <x v="0"/>
    <x v="0"/>
    <x v="159"/>
    <x v="1"/>
    <x v="12"/>
    <x v="32"/>
    <x v="1"/>
    <x v="1"/>
    <x v="0"/>
    <x v="2652"/>
  </r>
  <r>
    <x v="0"/>
    <x v="1099"/>
    <x v="503"/>
    <x v="7"/>
    <x v="0"/>
    <x v="707"/>
    <x v="186"/>
    <x v="2442"/>
    <x v="152"/>
    <x v="350"/>
    <x v="725"/>
    <x v="1900"/>
    <x v="2613"/>
    <x v="2609"/>
    <x v="2425"/>
    <x v="0"/>
    <x v="2592"/>
    <x v="2613"/>
    <x v="534"/>
    <x v="0"/>
    <x v="0"/>
    <x v="4"/>
    <x v="159"/>
    <x v="10"/>
    <x v="77"/>
    <x v="6"/>
    <x v="1"/>
    <x v="299"/>
    <x v="0"/>
    <x v="2653"/>
  </r>
  <r>
    <x v="0"/>
    <x v="1100"/>
    <x v="336"/>
    <x v="71"/>
    <x v="123"/>
    <x v="319"/>
    <x v="79"/>
    <x v="2443"/>
    <x v="663"/>
    <x v="453"/>
    <x v="1587"/>
    <x v="430"/>
    <x v="2614"/>
    <x v="2610"/>
    <x v="2426"/>
    <x v="8"/>
    <x v="2593"/>
    <x v="2614"/>
    <x v="715"/>
    <x v="0"/>
    <x v="8"/>
    <x v="2"/>
    <x v="159"/>
    <x v="14"/>
    <x v="741"/>
    <x v="51"/>
    <x v="3"/>
    <x v="467"/>
    <x v="0"/>
    <x v="2654"/>
  </r>
  <r>
    <x v="0"/>
    <x v="999"/>
    <x v="409"/>
    <x v="70"/>
    <x v="89"/>
    <x v="278"/>
    <x v="347"/>
    <x v="2444"/>
    <x v="105"/>
    <x v="622"/>
    <x v="1588"/>
    <x v="1901"/>
    <x v="2615"/>
    <x v="2611"/>
    <x v="1359"/>
    <x v="0"/>
    <x v="2594"/>
    <x v="2615"/>
    <x v="320"/>
    <x v="0"/>
    <x v="0"/>
    <x v="4"/>
    <x v="159"/>
    <x v="20"/>
    <x v="756"/>
    <x v="19"/>
    <x v="3"/>
    <x v="247"/>
    <x v="0"/>
    <x v="2655"/>
  </r>
  <r>
    <x v="0"/>
    <x v="1101"/>
    <x v="164"/>
    <x v="7"/>
    <x v="62"/>
    <x v="779"/>
    <x v="14"/>
    <x v="2445"/>
    <x v="55"/>
    <x v="119"/>
    <x v="367"/>
    <x v="326"/>
    <x v="2616"/>
    <x v="2612"/>
    <x v="2427"/>
    <x v="1"/>
    <x v="2595"/>
    <x v="2616"/>
    <x v="361"/>
    <x v="0"/>
    <x v="1"/>
    <x v="4"/>
    <x v="159"/>
    <x v="1"/>
    <x v="30"/>
    <x v="15"/>
    <x v="3"/>
    <x v="1"/>
    <x v="0"/>
    <x v="2656"/>
  </r>
  <r>
    <x v="0"/>
    <x v="497"/>
    <x v="401"/>
    <x v="69"/>
    <x v="255"/>
    <x v="624"/>
    <x v="539"/>
    <x v="2446"/>
    <x v="491"/>
    <x v="1024"/>
    <x v="1589"/>
    <x v="1902"/>
    <x v="2617"/>
    <x v="2613"/>
    <x v="2428"/>
    <x v="0"/>
    <x v="2596"/>
    <x v="2617"/>
    <x v="398"/>
    <x v="0"/>
    <x v="0"/>
    <x v="2"/>
    <x v="159"/>
    <x v="11"/>
    <x v="380"/>
    <x v="10"/>
    <x v="3"/>
    <x v="1"/>
    <x v="0"/>
    <x v="2657"/>
  </r>
  <r>
    <x v="0"/>
    <x v="402"/>
    <x v="368"/>
    <x v="11"/>
    <x v="226"/>
    <x v="808"/>
    <x v="334"/>
    <x v="2447"/>
    <x v="301"/>
    <x v="595"/>
    <x v="1590"/>
    <x v="1903"/>
    <x v="2618"/>
    <x v="2614"/>
    <x v="2429"/>
    <x v="7"/>
    <x v="2597"/>
    <x v="2618"/>
    <x v="244"/>
    <x v="0"/>
    <x v="0"/>
    <x v="2"/>
    <x v="137"/>
    <x v="12"/>
    <x v="449"/>
    <x v="21"/>
    <x v="3"/>
    <x v="103"/>
    <x v="0"/>
    <x v="2658"/>
  </r>
  <r>
    <x v="0"/>
    <x v="1102"/>
    <x v="373"/>
    <x v="23"/>
    <x v="95"/>
    <x v="569"/>
    <x v="0"/>
    <x v="2448"/>
    <x v="357"/>
    <x v="114"/>
    <x v="681"/>
    <x v="912"/>
    <x v="2619"/>
    <x v="2615"/>
    <x v="2430"/>
    <x v="0"/>
    <x v="2598"/>
    <x v="2619"/>
    <x v="392"/>
    <x v="0"/>
    <x v="0"/>
    <x v="0"/>
    <x v="159"/>
    <x v="21"/>
    <x v="144"/>
    <x v="13"/>
    <x v="3"/>
    <x v="1"/>
    <x v="0"/>
    <x v="2659"/>
  </r>
  <r>
    <x v="0"/>
    <x v="479"/>
    <x v="387"/>
    <x v="86"/>
    <x v="78"/>
    <x v="166"/>
    <x v="442"/>
    <x v="2449"/>
    <x v="112"/>
    <x v="802"/>
    <x v="676"/>
    <x v="1904"/>
    <x v="2620"/>
    <x v="2616"/>
    <x v="2431"/>
    <x v="1"/>
    <x v="2599"/>
    <x v="2620"/>
    <x v="495"/>
    <x v="0"/>
    <x v="0"/>
    <x v="4"/>
    <x v="159"/>
    <x v="13"/>
    <x v="416"/>
    <x v="38"/>
    <x v="3"/>
    <x v="1"/>
    <x v="0"/>
    <x v="2660"/>
  </r>
  <r>
    <x v="0"/>
    <x v="1103"/>
    <x v="342"/>
    <x v="77"/>
    <x v="221"/>
    <x v="555"/>
    <x v="21"/>
    <x v="2450"/>
    <x v="127"/>
    <x v="71"/>
    <x v="1591"/>
    <x v="1405"/>
    <x v="2621"/>
    <x v="2617"/>
    <x v="1773"/>
    <x v="3"/>
    <x v="2600"/>
    <x v="2621"/>
    <x v="498"/>
    <x v="0"/>
    <x v="0"/>
    <x v="0"/>
    <x v="159"/>
    <x v="0"/>
    <x v="233"/>
    <x v="30"/>
    <x v="3"/>
    <x v="1"/>
    <x v="0"/>
    <x v="2661"/>
  </r>
  <r>
    <x v="0"/>
    <x v="1104"/>
    <x v="202"/>
    <x v="78"/>
    <x v="45"/>
    <x v="98"/>
    <x v="540"/>
    <x v="2451"/>
    <x v="664"/>
    <x v="1025"/>
    <x v="1592"/>
    <x v="1905"/>
    <x v="2622"/>
    <x v="2618"/>
    <x v="2432"/>
    <x v="0"/>
    <x v="2601"/>
    <x v="2622"/>
    <x v="424"/>
    <x v="0"/>
    <x v="0"/>
    <x v="4"/>
    <x v="159"/>
    <x v="21"/>
    <x v="423"/>
    <x v="61"/>
    <x v="3"/>
    <x v="274"/>
    <x v="0"/>
    <x v="2662"/>
  </r>
  <r>
    <x v="0"/>
    <x v="922"/>
    <x v="197"/>
    <x v="59"/>
    <x v="129"/>
    <x v="746"/>
    <x v="205"/>
    <x v="2452"/>
    <x v="64"/>
    <x v="1026"/>
    <x v="1593"/>
    <x v="1906"/>
    <x v="2623"/>
    <x v="2619"/>
    <x v="2433"/>
    <x v="0"/>
    <x v="2602"/>
    <x v="2623"/>
    <x v="224"/>
    <x v="0"/>
    <x v="0"/>
    <x v="4"/>
    <x v="159"/>
    <x v="25"/>
    <x v="550"/>
    <x v="5"/>
    <x v="3"/>
    <x v="71"/>
    <x v="0"/>
    <x v="2663"/>
  </r>
  <r>
    <x v="0"/>
    <x v="696"/>
    <x v="504"/>
    <x v="73"/>
    <x v="201"/>
    <x v="369"/>
    <x v="32"/>
    <x v="2453"/>
    <x v="527"/>
    <x v="59"/>
    <x v="1594"/>
    <x v="1324"/>
    <x v="2624"/>
    <x v="2620"/>
    <x v="2434"/>
    <x v="3"/>
    <x v="2603"/>
    <x v="2624"/>
    <x v="880"/>
    <x v="0"/>
    <x v="1"/>
    <x v="4"/>
    <x v="159"/>
    <x v="12"/>
    <x v="35"/>
    <x v="16"/>
    <x v="3"/>
    <x v="1"/>
    <x v="0"/>
    <x v="2664"/>
  </r>
  <r>
    <x v="0"/>
    <x v="1105"/>
    <x v="225"/>
    <x v="33"/>
    <x v="131"/>
    <x v="672"/>
    <x v="443"/>
    <x v="2454"/>
    <x v="56"/>
    <x v="1027"/>
    <x v="1595"/>
    <x v="1907"/>
    <x v="2625"/>
    <x v="2621"/>
    <x v="1595"/>
    <x v="4"/>
    <x v="2604"/>
    <x v="2625"/>
    <x v="802"/>
    <x v="0"/>
    <x v="0"/>
    <x v="3"/>
    <x v="159"/>
    <x v="5"/>
    <x v="523"/>
    <x v="10"/>
    <x v="1"/>
    <x v="1"/>
    <x v="0"/>
    <x v="2665"/>
  </r>
  <r>
    <x v="0"/>
    <x v="1072"/>
    <x v="459"/>
    <x v="90"/>
    <x v="265"/>
    <x v="120"/>
    <x v="25"/>
    <x v="2455"/>
    <x v="17"/>
    <x v="82"/>
    <x v="1596"/>
    <x v="1347"/>
    <x v="2626"/>
    <x v="2622"/>
    <x v="2435"/>
    <x v="1"/>
    <x v="2605"/>
    <x v="2626"/>
    <x v="319"/>
    <x v="0"/>
    <x v="1"/>
    <x v="2"/>
    <x v="223"/>
    <x v="27"/>
    <x v="757"/>
    <x v="0"/>
    <x v="1"/>
    <x v="1"/>
    <x v="0"/>
    <x v="2666"/>
  </r>
  <r>
    <x v="0"/>
    <x v="602"/>
    <x v="155"/>
    <x v="125"/>
    <x v="0"/>
    <x v="795"/>
    <x v="22"/>
    <x v="2456"/>
    <x v="270"/>
    <x v="202"/>
    <x v="1597"/>
    <x v="1908"/>
    <x v="2627"/>
    <x v="2623"/>
    <x v="2436"/>
    <x v="11"/>
    <x v="2606"/>
    <x v="2627"/>
    <x v="397"/>
    <x v="0"/>
    <x v="0"/>
    <x v="4"/>
    <x v="159"/>
    <x v="13"/>
    <x v="134"/>
    <x v="0"/>
    <x v="1"/>
    <x v="1"/>
    <x v="0"/>
    <x v="2667"/>
  </r>
  <r>
    <x v="0"/>
    <x v="1032"/>
    <x v="429"/>
    <x v="50"/>
    <x v="31"/>
    <x v="336"/>
    <x v="0"/>
    <x v="2457"/>
    <x v="400"/>
    <x v="1028"/>
    <x v="1598"/>
    <x v="1909"/>
    <x v="2628"/>
    <x v="2624"/>
    <x v="2437"/>
    <x v="0"/>
    <x v="2607"/>
    <x v="2628"/>
    <x v="650"/>
    <x v="0"/>
    <x v="0"/>
    <x v="4"/>
    <x v="159"/>
    <x v="27"/>
    <x v="392"/>
    <x v="34"/>
    <x v="3"/>
    <x v="468"/>
    <x v="0"/>
    <x v="2668"/>
  </r>
  <r>
    <x v="0"/>
    <x v="1106"/>
    <x v="303"/>
    <x v="54"/>
    <x v="5"/>
    <x v="158"/>
    <x v="0"/>
    <x v="2458"/>
    <x v="259"/>
    <x v="1003"/>
    <x v="1599"/>
    <x v="483"/>
    <x v="2629"/>
    <x v="2625"/>
    <x v="1714"/>
    <x v="0"/>
    <x v="2608"/>
    <x v="2629"/>
    <x v="758"/>
    <x v="0"/>
    <x v="0"/>
    <x v="2"/>
    <x v="159"/>
    <x v="7"/>
    <x v="475"/>
    <x v="5"/>
    <x v="1"/>
    <x v="103"/>
    <x v="0"/>
    <x v="2669"/>
  </r>
  <r>
    <x v="0"/>
    <x v="1107"/>
    <x v="331"/>
    <x v="71"/>
    <x v="143"/>
    <x v="733"/>
    <x v="108"/>
    <x v="2459"/>
    <x v="429"/>
    <x v="1029"/>
    <x v="914"/>
    <x v="1480"/>
    <x v="2630"/>
    <x v="2626"/>
    <x v="2438"/>
    <x v="0"/>
    <x v="2609"/>
    <x v="2630"/>
    <x v="376"/>
    <x v="0"/>
    <x v="0"/>
    <x v="4"/>
    <x v="159"/>
    <x v="1"/>
    <x v="33"/>
    <x v="37"/>
    <x v="1"/>
    <x v="1"/>
    <x v="0"/>
    <x v="2670"/>
  </r>
  <r>
    <x v="0"/>
    <x v="1108"/>
    <x v="339"/>
    <x v="55"/>
    <x v="224"/>
    <x v="421"/>
    <x v="138"/>
    <x v="2460"/>
    <x v="236"/>
    <x v="257"/>
    <x v="1600"/>
    <x v="617"/>
    <x v="2631"/>
    <x v="2627"/>
    <x v="221"/>
    <x v="4"/>
    <x v="2610"/>
    <x v="2631"/>
    <x v="108"/>
    <x v="0"/>
    <x v="0"/>
    <x v="4"/>
    <x v="137"/>
    <x v="21"/>
    <x v="475"/>
    <x v="54"/>
    <x v="1"/>
    <x v="469"/>
    <x v="0"/>
    <x v="2671"/>
  </r>
  <r>
    <x v="0"/>
    <x v="352"/>
    <x v="474"/>
    <x v="78"/>
    <x v="89"/>
    <x v="617"/>
    <x v="126"/>
    <x v="2461"/>
    <x v="158"/>
    <x v="1030"/>
    <x v="983"/>
    <x v="1036"/>
    <x v="2632"/>
    <x v="2628"/>
    <x v="2439"/>
    <x v="4"/>
    <x v="2611"/>
    <x v="2632"/>
    <x v="405"/>
    <x v="0"/>
    <x v="0"/>
    <x v="2"/>
    <x v="159"/>
    <x v="19"/>
    <x v="484"/>
    <x v="10"/>
    <x v="1"/>
    <x v="1"/>
    <x v="0"/>
    <x v="2672"/>
  </r>
  <r>
    <x v="0"/>
    <x v="1109"/>
    <x v="239"/>
    <x v="80"/>
    <x v="193"/>
    <x v="262"/>
    <x v="281"/>
    <x v="2462"/>
    <x v="65"/>
    <x v="1031"/>
    <x v="1601"/>
    <x v="1910"/>
    <x v="2633"/>
    <x v="2629"/>
    <x v="2440"/>
    <x v="1"/>
    <x v="2612"/>
    <x v="2633"/>
    <x v="437"/>
    <x v="0"/>
    <x v="0"/>
    <x v="0"/>
    <x v="78"/>
    <x v="7"/>
    <x v="571"/>
    <x v="55"/>
    <x v="3"/>
    <x v="1"/>
    <x v="0"/>
    <x v="2673"/>
  </r>
  <r>
    <x v="0"/>
    <x v="1110"/>
    <x v="309"/>
    <x v="7"/>
    <x v="123"/>
    <x v="350"/>
    <x v="327"/>
    <x v="2463"/>
    <x v="170"/>
    <x v="624"/>
    <x v="1602"/>
    <x v="480"/>
    <x v="2634"/>
    <x v="2630"/>
    <x v="245"/>
    <x v="4"/>
    <x v="2613"/>
    <x v="2634"/>
    <x v="591"/>
    <x v="0"/>
    <x v="0"/>
    <x v="4"/>
    <x v="159"/>
    <x v="6"/>
    <x v="758"/>
    <x v="21"/>
    <x v="1"/>
    <x v="1"/>
    <x v="0"/>
    <x v="2674"/>
  </r>
  <r>
    <x v="0"/>
    <x v="932"/>
    <x v="126"/>
    <x v="85"/>
    <x v="107"/>
    <x v="158"/>
    <x v="22"/>
    <x v="2464"/>
    <x v="419"/>
    <x v="867"/>
    <x v="1603"/>
    <x v="483"/>
    <x v="2635"/>
    <x v="2631"/>
    <x v="2441"/>
    <x v="2"/>
    <x v="2614"/>
    <x v="2635"/>
    <x v="340"/>
    <x v="0"/>
    <x v="39"/>
    <x v="0"/>
    <x v="159"/>
    <x v="5"/>
    <x v="759"/>
    <x v="22"/>
    <x v="1"/>
    <x v="1"/>
    <x v="0"/>
    <x v="2675"/>
  </r>
  <r>
    <x v="0"/>
    <x v="1111"/>
    <x v="368"/>
    <x v="95"/>
    <x v="202"/>
    <x v="242"/>
    <x v="153"/>
    <x v="2465"/>
    <x v="315"/>
    <x v="236"/>
    <x v="348"/>
    <x v="1911"/>
    <x v="2636"/>
    <x v="2632"/>
    <x v="1028"/>
    <x v="3"/>
    <x v="2615"/>
    <x v="2636"/>
    <x v="414"/>
    <x v="0"/>
    <x v="5"/>
    <x v="4"/>
    <x v="159"/>
    <x v="20"/>
    <x v="233"/>
    <x v="34"/>
    <x v="3"/>
    <x v="470"/>
    <x v="0"/>
    <x v="2676"/>
  </r>
  <r>
    <x v="0"/>
    <x v="1112"/>
    <x v="476"/>
    <x v="35"/>
    <x v="323"/>
    <x v="270"/>
    <x v="186"/>
    <x v="2466"/>
    <x v="168"/>
    <x v="350"/>
    <x v="657"/>
    <x v="1912"/>
    <x v="2637"/>
    <x v="2633"/>
    <x v="2442"/>
    <x v="3"/>
    <x v="2616"/>
    <x v="2637"/>
    <x v="425"/>
    <x v="0"/>
    <x v="0"/>
    <x v="4"/>
    <x v="159"/>
    <x v="3"/>
    <x v="357"/>
    <x v="11"/>
    <x v="1"/>
    <x v="65"/>
    <x v="0"/>
    <x v="2677"/>
  </r>
  <r>
    <x v="0"/>
    <x v="146"/>
    <x v="208"/>
    <x v="26"/>
    <x v="108"/>
    <x v="110"/>
    <x v="333"/>
    <x v="2467"/>
    <x v="23"/>
    <x v="743"/>
    <x v="1604"/>
    <x v="135"/>
    <x v="2638"/>
    <x v="2634"/>
    <x v="2443"/>
    <x v="4"/>
    <x v="2617"/>
    <x v="2638"/>
    <x v="270"/>
    <x v="0"/>
    <x v="0"/>
    <x v="4"/>
    <x v="159"/>
    <x v="11"/>
    <x v="760"/>
    <x v="22"/>
    <x v="1"/>
    <x v="1"/>
    <x v="0"/>
    <x v="2678"/>
  </r>
  <r>
    <x v="0"/>
    <x v="1113"/>
    <x v="343"/>
    <x v="56"/>
    <x v="31"/>
    <x v="146"/>
    <x v="541"/>
    <x v="2468"/>
    <x v="150"/>
    <x v="1032"/>
    <x v="1605"/>
    <x v="1913"/>
    <x v="2639"/>
    <x v="2635"/>
    <x v="2444"/>
    <x v="1"/>
    <x v="2618"/>
    <x v="2639"/>
    <x v="359"/>
    <x v="0"/>
    <x v="4"/>
    <x v="4"/>
    <x v="159"/>
    <x v="15"/>
    <x v="115"/>
    <x v="41"/>
    <x v="1"/>
    <x v="471"/>
    <x v="0"/>
    <x v="2679"/>
  </r>
  <r>
    <x v="0"/>
    <x v="212"/>
    <x v="350"/>
    <x v="22"/>
    <x v="0"/>
    <x v="204"/>
    <x v="14"/>
    <x v="2469"/>
    <x v="175"/>
    <x v="119"/>
    <x v="299"/>
    <x v="575"/>
    <x v="2640"/>
    <x v="2636"/>
    <x v="2445"/>
    <x v="0"/>
    <x v="2619"/>
    <x v="2640"/>
    <x v="881"/>
    <x v="0"/>
    <x v="0"/>
    <x v="4"/>
    <x v="159"/>
    <x v="8"/>
    <x v="201"/>
    <x v="32"/>
    <x v="3"/>
    <x v="37"/>
    <x v="0"/>
    <x v="2680"/>
  </r>
  <r>
    <x v="0"/>
    <x v="1114"/>
    <x v="399"/>
    <x v="37"/>
    <x v="244"/>
    <x v="408"/>
    <x v="339"/>
    <x v="2470"/>
    <x v="179"/>
    <x v="756"/>
    <x v="1606"/>
    <x v="591"/>
    <x v="2641"/>
    <x v="2637"/>
    <x v="2446"/>
    <x v="1"/>
    <x v="2620"/>
    <x v="2641"/>
    <x v="793"/>
    <x v="0"/>
    <x v="0"/>
    <x v="4"/>
    <x v="159"/>
    <x v="31"/>
    <x v="574"/>
    <x v="19"/>
    <x v="1"/>
    <x v="1"/>
    <x v="0"/>
    <x v="2681"/>
  </r>
  <r>
    <x v="0"/>
    <x v="743"/>
    <x v="505"/>
    <x v="55"/>
    <x v="214"/>
    <x v="13"/>
    <x v="2"/>
    <x v="2471"/>
    <x v="111"/>
    <x v="75"/>
    <x v="257"/>
    <x v="142"/>
    <x v="2642"/>
    <x v="2638"/>
    <x v="2447"/>
    <x v="1"/>
    <x v="2621"/>
    <x v="2642"/>
    <x v="882"/>
    <x v="0"/>
    <x v="0"/>
    <x v="4"/>
    <x v="159"/>
    <x v="3"/>
    <x v="174"/>
    <x v="5"/>
    <x v="1"/>
    <x v="35"/>
    <x v="0"/>
    <x v="2682"/>
  </r>
  <r>
    <x v="0"/>
    <x v="913"/>
    <x v="139"/>
    <x v="40"/>
    <x v="324"/>
    <x v="257"/>
    <x v="13"/>
    <x v="2472"/>
    <x v="168"/>
    <x v="93"/>
    <x v="1607"/>
    <x v="1914"/>
    <x v="2643"/>
    <x v="2639"/>
    <x v="2448"/>
    <x v="3"/>
    <x v="2622"/>
    <x v="2643"/>
    <x v="469"/>
    <x v="0"/>
    <x v="1"/>
    <x v="4"/>
    <x v="159"/>
    <x v="11"/>
    <x v="761"/>
    <x v="2"/>
    <x v="1"/>
    <x v="38"/>
    <x v="0"/>
    <x v="2683"/>
  </r>
  <r>
    <x v="0"/>
    <x v="1115"/>
    <x v="241"/>
    <x v="101"/>
    <x v="339"/>
    <x v="241"/>
    <x v="327"/>
    <x v="2473"/>
    <x v="125"/>
    <x v="737"/>
    <x v="1527"/>
    <x v="1577"/>
    <x v="2644"/>
    <x v="2640"/>
    <x v="1360"/>
    <x v="1"/>
    <x v="2623"/>
    <x v="2644"/>
    <x v="413"/>
    <x v="0"/>
    <x v="0"/>
    <x v="4"/>
    <x v="159"/>
    <x v="18"/>
    <x v="238"/>
    <x v="33"/>
    <x v="3"/>
    <x v="1"/>
    <x v="0"/>
    <x v="2684"/>
  </r>
  <r>
    <x v="0"/>
    <x v="1116"/>
    <x v="447"/>
    <x v="79"/>
    <x v="69"/>
    <x v="549"/>
    <x v="542"/>
    <x v="2474"/>
    <x v="29"/>
    <x v="1033"/>
    <x v="1608"/>
    <x v="1915"/>
    <x v="2645"/>
    <x v="2641"/>
    <x v="1278"/>
    <x v="0"/>
    <x v="2624"/>
    <x v="2645"/>
    <x v="636"/>
    <x v="0"/>
    <x v="0"/>
    <x v="3"/>
    <x v="159"/>
    <x v="8"/>
    <x v="665"/>
    <x v="20"/>
    <x v="3"/>
    <x v="472"/>
    <x v="0"/>
    <x v="2685"/>
  </r>
  <r>
    <x v="0"/>
    <x v="1117"/>
    <x v="373"/>
    <x v="79"/>
    <x v="0"/>
    <x v="608"/>
    <x v="261"/>
    <x v="2475"/>
    <x v="305"/>
    <x v="476"/>
    <x v="1609"/>
    <x v="1916"/>
    <x v="2646"/>
    <x v="2642"/>
    <x v="1711"/>
    <x v="0"/>
    <x v="2625"/>
    <x v="2646"/>
    <x v="755"/>
    <x v="0"/>
    <x v="0"/>
    <x v="3"/>
    <x v="4"/>
    <x v="1"/>
    <x v="736"/>
    <x v="26"/>
    <x v="0"/>
    <x v="473"/>
    <x v="0"/>
    <x v="2686"/>
  </r>
  <r>
    <x v="0"/>
    <x v="1118"/>
    <x v="362"/>
    <x v="59"/>
    <x v="151"/>
    <x v="628"/>
    <x v="0"/>
    <x v="2476"/>
    <x v="0"/>
    <x v="738"/>
    <x v="1610"/>
    <x v="1917"/>
    <x v="2647"/>
    <x v="2643"/>
    <x v="2449"/>
    <x v="1"/>
    <x v="2626"/>
    <x v="2647"/>
    <x v="668"/>
    <x v="0"/>
    <x v="0"/>
    <x v="4"/>
    <x v="159"/>
    <x v="21"/>
    <x v="475"/>
    <x v="51"/>
    <x v="1"/>
    <x v="458"/>
    <x v="0"/>
    <x v="2687"/>
  </r>
  <r>
    <x v="0"/>
    <x v="1119"/>
    <x v="225"/>
    <x v="61"/>
    <x v="106"/>
    <x v="216"/>
    <x v="334"/>
    <x v="2477"/>
    <x v="665"/>
    <x v="595"/>
    <x v="1611"/>
    <x v="274"/>
    <x v="2648"/>
    <x v="2644"/>
    <x v="2450"/>
    <x v="2"/>
    <x v="2627"/>
    <x v="2648"/>
    <x v="552"/>
    <x v="0"/>
    <x v="0"/>
    <x v="4"/>
    <x v="159"/>
    <x v="7"/>
    <x v="297"/>
    <x v="5"/>
    <x v="1"/>
    <x v="474"/>
    <x v="0"/>
    <x v="2688"/>
  </r>
  <r>
    <x v="0"/>
    <x v="1120"/>
    <x v="248"/>
    <x v="86"/>
    <x v="170"/>
    <x v="128"/>
    <x v="2"/>
    <x v="2478"/>
    <x v="17"/>
    <x v="203"/>
    <x v="243"/>
    <x v="158"/>
    <x v="2649"/>
    <x v="2645"/>
    <x v="2451"/>
    <x v="0"/>
    <x v="2628"/>
    <x v="2649"/>
    <x v="339"/>
    <x v="0"/>
    <x v="0"/>
    <x v="0"/>
    <x v="159"/>
    <x v="10"/>
    <x v="1"/>
    <x v="15"/>
    <x v="1"/>
    <x v="112"/>
    <x v="0"/>
    <x v="2689"/>
  </r>
  <r>
    <x v="0"/>
    <x v="1121"/>
    <x v="223"/>
    <x v="70"/>
    <x v="0"/>
    <x v="245"/>
    <x v="543"/>
    <x v="2479"/>
    <x v="291"/>
    <x v="1034"/>
    <x v="1612"/>
    <x v="759"/>
    <x v="2650"/>
    <x v="2646"/>
    <x v="2452"/>
    <x v="1"/>
    <x v="2629"/>
    <x v="2650"/>
    <x v="173"/>
    <x v="0"/>
    <x v="0"/>
    <x v="0"/>
    <x v="159"/>
    <x v="0"/>
    <x v="183"/>
    <x v="8"/>
    <x v="1"/>
    <x v="7"/>
    <x v="0"/>
    <x v="2690"/>
  </r>
  <r>
    <x v="0"/>
    <x v="1122"/>
    <x v="394"/>
    <x v="80"/>
    <x v="116"/>
    <x v="302"/>
    <x v="21"/>
    <x v="2480"/>
    <x v="168"/>
    <x v="127"/>
    <x v="315"/>
    <x v="1918"/>
    <x v="2651"/>
    <x v="2647"/>
    <x v="2453"/>
    <x v="1"/>
    <x v="2630"/>
    <x v="2651"/>
    <x v="675"/>
    <x v="0"/>
    <x v="0"/>
    <x v="4"/>
    <x v="4"/>
    <x v="18"/>
    <x v="104"/>
    <x v="9"/>
    <x v="1"/>
    <x v="475"/>
    <x v="0"/>
    <x v="2691"/>
  </r>
  <r>
    <x v="0"/>
    <x v="1123"/>
    <x v="323"/>
    <x v="55"/>
    <x v="267"/>
    <x v="448"/>
    <x v="188"/>
    <x v="2481"/>
    <x v="111"/>
    <x v="418"/>
    <x v="1613"/>
    <x v="845"/>
    <x v="2652"/>
    <x v="2648"/>
    <x v="2454"/>
    <x v="3"/>
    <x v="2631"/>
    <x v="2652"/>
    <x v="245"/>
    <x v="0"/>
    <x v="0"/>
    <x v="4"/>
    <x v="159"/>
    <x v="17"/>
    <x v="302"/>
    <x v="10"/>
    <x v="1"/>
    <x v="476"/>
    <x v="0"/>
    <x v="2692"/>
  </r>
  <r>
    <x v="0"/>
    <x v="1124"/>
    <x v="241"/>
    <x v="55"/>
    <x v="340"/>
    <x v="331"/>
    <x v="25"/>
    <x v="2482"/>
    <x v="125"/>
    <x v="30"/>
    <x v="1076"/>
    <x v="445"/>
    <x v="2653"/>
    <x v="2649"/>
    <x v="2455"/>
    <x v="4"/>
    <x v="2632"/>
    <x v="2653"/>
    <x v="629"/>
    <x v="0"/>
    <x v="0"/>
    <x v="0"/>
    <x v="159"/>
    <x v="15"/>
    <x v="583"/>
    <x v="23"/>
    <x v="15"/>
    <x v="477"/>
    <x v="0"/>
    <x v="2693"/>
  </r>
  <r>
    <x v="1"/>
    <x v="569"/>
    <x v="323"/>
    <x v="31"/>
    <x v="116"/>
    <x v="809"/>
    <x v="250"/>
    <x v="2483"/>
    <x v="432"/>
    <x v="458"/>
    <x v="1614"/>
    <x v="1919"/>
    <x v="2654"/>
    <x v="2650"/>
    <x v="2456"/>
    <x v="6"/>
    <x v="2633"/>
    <x v="2654"/>
    <x v="630"/>
    <x v="0"/>
    <x v="0"/>
    <x v="0"/>
    <x v="78"/>
    <x v="14"/>
    <x v="762"/>
    <x v="4"/>
    <x v="1"/>
    <x v="103"/>
    <x v="0"/>
    <x v="2694"/>
  </r>
  <r>
    <x v="0"/>
    <x v="696"/>
    <x v="372"/>
    <x v="23"/>
    <x v="201"/>
    <x v="408"/>
    <x v="2"/>
    <x v="2484"/>
    <x v="105"/>
    <x v="740"/>
    <x v="1070"/>
    <x v="1920"/>
    <x v="2655"/>
    <x v="2651"/>
    <x v="2457"/>
    <x v="0"/>
    <x v="2634"/>
    <x v="2655"/>
    <x v="650"/>
    <x v="0"/>
    <x v="0"/>
    <x v="2"/>
    <x v="159"/>
    <x v="30"/>
    <x v="379"/>
    <x v="21"/>
    <x v="3"/>
    <x v="200"/>
    <x v="0"/>
    <x v="2695"/>
  </r>
  <r>
    <x v="0"/>
    <x v="1125"/>
    <x v="431"/>
    <x v="93"/>
    <x v="134"/>
    <x v="702"/>
    <x v="544"/>
    <x v="2485"/>
    <x v="547"/>
    <x v="1035"/>
    <x v="1615"/>
    <x v="1921"/>
    <x v="2656"/>
    <x v="2652"/>
    <x v="2458"/>
    <x v="0"/>
    <x v="2635"/>
    <x v="2656"/>
    <x v="327"/>
    <x v="0"/>
    <x v="4"/>
    <x v="3"/>
    <x v="159"/>
    <x v="20"/>
    <x v="358"/>
    <x v="66"/>
    <x v="3"/>
    <x v="478"/>
    <x v="0"/>
    <x v="2696"/>
  </r>
  <r>
    <x v="0"/>
    <x v="1126"/>
    <x v="132"/>
    <x v="86"/>
    <x v="341"/>
    <x v="609"/>
    <x v="315"/>
    <x v="2486"/>
    <x v="97"/>
    <x v="570"/>
    <x v="422"/>
    <x v="1922"/>
    <x v="2657"/>
    <x v="2653"/>
    <x v="2459"/>
    <x v="3"/>
    <x v="2636"/>
    <x v="2657"/>
    <x v="288"/>
    <x v="0"/>
    <x v="0"/>
    <x v="4"/>
    <x v="159"/>
    <x v="3"/>
    <x v="284"/>
    <x v="28"/>
    <x v="1"/>
    <x v="5"/>
    <x v="0"/>
    <x v="2697"/>
  </r>
  <r>
    <x v="0"/>
    <x v="102"/>
    <x v="372"/>
    <x v="43"/>
    <x v="80"/>
    <x v="810"/>
    <x v="91"/>
    <x v="2487"/>
    <x v="105"/>
    <x v="161"/>
    <x v="311"/>
    <x v="1923"/>
    <x v="2658"/>
    <x v="2654"/>
    <x v="649"/>
    <x v="4"/>
    <x v="2637"/>
    <x v="2658"/>
    <x v="244"/>
    <x v="0"/>
    <x v="0"/>
    <x v="0"/>
    <x v="159"/>
    <x v="20"/>
    <x v="211"/>
    <x v="40"/>
    <x v="3"/>
    <x v="479"/>
    <x v="0"/>
    <x v="2698"/>
  </r>
  <r>
    <x v="0"/>
    <x v="1127"/>
    <x v="402"/>
    <x v="45"/>
    <x v="198"/>
    <x v="671"/>
    <x v="153"/>
    <x v="2488"/>
    <x v="17"/>
    <x v="236"/>
    <x v="456"/>
    <x v="1924"/>
    <x v="2659"/>
    <x v="2655"/>
    <x v="1421"/>
    <x v="1"/>
    <x v="2638"/>
    <x v="2659"/>
    <x v="402"/>
    <x v="0"/>
    <x v="0"/>
    <x v="0"/>
    <x v="159"/>
    <x v="21"/>
    <x v="301"/>
    <x v="37"/>
    <x v="3"/>
    <x v="133"/>
    <x v="0"/>
    <x v="2699"/>
  </r>
  <r>
    <x v="0"/>
    <x v="255"/>
    <x v="223"/>
    <x v="30"/>
    <x v="0"/>
    <x v="1"/>
    <x v="13"/>
    <x v="2489"/>
    <x v="142"/>
    <x v="158"/>
    <x v="724"/>
    <x v="49"/>
    <x v="2660"/>
    <x v="2656"/>
    <x v="2460"/>
    <x v="0"/>
    <x v="2639"/>
    <x v="2660"/>
    <x v="821"/>
    <x v="0"/>
    <x v="1"/>
    <x v="4"/>
    <x v="159"/>
    <x v="39"/>
    <x v="1"/>
    <x v="25"/>
    <x v="3"/>
    <x v="37"/>
    <x v="0"/>
    <x v="2700"/>
  </r>
  <r>
    <x v="0"/>
    <x v="995"/>
    <x v="303"/>
    <x v="33"/>
    <x v="8"/>
    <x v="811"/>
    <x v="0"/>
    <x v="2490"/>
    <x v="666"/>
    <x v="1036"/>
    <x v="1139"/>
    <x v="1925"/>
    <x v="2661"/>
    <x v="2112"/>
    <x v="2461"/>
    <x v="0"/>
    <x v="2640"/>
    <x v="2661"/>
    <x v="657"/>
    <x v="0"/>
    <x v="0"/>
    <x v="2"/>
    <x v="159"/>
    <x v="14"/>
    <x v="261"/>
    <x v="18"/>
    <x v="1"/>
    <x v="103"/>
    <x v="0"/>
    <x v="2701"/>
  </r>
  <r>
    <x v="0"/>
    <x v="113"/>
    <x v="465"/>
    <x v="84"/>
    <x v="88"/>
    <x v="480"/>
    <x v="151"/>
    <x v="4"/>
    <x v="667"/>
    <x v="1037"/>
    <x v="1616"/>
    <x v="1926"/>
    <x v="2662"/>
    <x v="2657"/>
    <x v="2462"/>
    <x v="1"/>
    <x v="2641"/>
    <x v="2662"/>
    <x v="356"/>
    <x v="0"/>
    <x v="4"/>
    <x v="5"/>
    <x v="4"/>
    <x v="4"/>
    <x v="763"/>
    <x v="7"/>
    <x v="2"/>
    <x v="480"/>
    <x v="0"/>
    <x v="2702"/>
  </r>
  <r>
    <x v="0"/>
    <x v="375"/>
    <x v="376"/>
    <x v="85"/>
    <x v="0"/>
    <x v="90"/>
    <x v="13"/>
    <x v="2491"/>
    <x v="70"/>
    <x v="93"/>
    <x v="60"/>
    <x v="1927"/>
    <x v="2663"/>
    <x v="2658"/>
    <x v="2463"/>
    <x v="1"/>
    <x v="2642"/>
    <x v="2663"/>
    <x v="883"/>
    <x v="0"/>
    <x v="0"/>
    <x v="4"/>
    <x v="159"/>
    <x v="20"/>
    <x v="47"/>
    <x v="17"/>
    <x v="3"/>
    <x v="50"/>
    <x v="0"/>
    <x v="2703"/>
  </r>
  <r>
    <x v="1"/>
    <x v="1128"/>
    <x v="148"/>
    <x v="38"/>
    <x v="115"/>
    <x v="198"/>
    <x v="22"/>
    <x v="2492"/>
    <x v="419"/>
    <x v="77"/>
    <x v="1617"/>
    <x v="251"/>
    <x v="2664"/>
    <x v="2659"/>
    <x v="2464"/>
    <x v="0"/>
    <x v="2643"/>
    <x v="2664"/>
    <x v="694"/>
    <x v="0"/>
    <x v="0"/>
    <x v="4"/>
    <x v="159"/>
    <x v="7"/>
    <x v="252"/>
    <x v="15"/>
    <x v="1"/>
    <x v="1"/>
    <x v="0"/>
    <x v="2704"/>
  </r>
  <r>
    <x v="0"/>
    <x v="282"/>
    <x v="184"/>
    <x v="34"/>
    <x v="186"/>
    <x v="812"/>
    <x v="448"/>
    <x v="2493"/>
    <x v="368"/>
    <x v="1038"/>
    <x v="1310"/>
    <x v="1928"/>
    <x v="2665"/>
    <x v="2660"/>
    <x v="5"/>
    <x v="1"/>
    <x v="2644"/>
    <x v="2665"/>
    <x v="310"/>
    <x v="0"/>
    <x v="0"/>
    <x v="4"/>
    <x v="159"/>
    <x v="19"/>
    <x v="457"/>
    <x v="4"/>
    <x v="1"/>
    <x v="226"/>
    <x v="0"/>
    <x v="2705"/>
  </r>
  <r>
    <x v="0"/>
    <x v="790"/>
    <x v="136"/>
    <x v="26"/>
    <x v="303"/>
    <x v="741"/>
    <x v="2"/>
    <x v="2494"/>
    <x v="668"/>
    <x v="60"/>
    <x v="1618"/>
    <x v="1929"/>
    <x v="2666"/>
    <x v="2661"/>
    <x v="2465"/>
    <x v="0"/>
    <x v="2645"/>
    <x v="2666"/>
    <x v="173"/>
    <x v="0"/>
    <x v="0"/>
    <x v="4"/>
    <x v="178"/>
    <x v="1"/>
    <x v="405"/>
    <x v="10"/>
    <x v="1"/>
    <x v="481"/>
    <x v="0"/>
    <x v="2706"/>
  </r>
  <r>
    <x v="0"/>
    <x v="1129"/>
    <x v="401"/>
    <x v="50"/>
    <x v="134"/>
    <x v="256"/>
    <x v="2"/>
    <x v="2495"/>
    <x v="105"/>
    <x v="182"/>
    <x v="1619"/>
    <x v="1930"/>
    <x v="2667"/>
    <x v="2662"/>
    <x v="2466"/>
    <x v="2"/>
    <x v="2646"/>
    <x v="2667"/>
    <x v="258"/>
    <x v="0"/>
    <x v="0"/>
    <x v="0"/>
    <x v="159"/>
    <x v="21"/>
    <x v="80"/>
    <x v="34"/>
    <x v="3"/>
    <x v="482"/>
    <x v="0"/>
    <x v="2707"/>
  </r>
  <r>
    <x v="0"/>
    <x v="1130"/>
    <x v="315"/>
    <x v="55"/>
    <x v="216"/>
    <x v="158"/>
    <x v="44"/>
    <x v="2496"/>
    <x v="125"/>
    <x v="68"/>
    <x v="959"/>
    <x v="194"/>
    <x v="2668"/>
    <x v="2663"/>
    <x v="2467"/>
    <x v="2"/>
    <x v="2647"/>
    <x v="2668"/>
    <x v="320"/>
    <x v="0"/>
    <x v="0"/>
    <x v="4"/>
    <x v="78"/>
    <x v="19"/>
    <x v="82"/>
    <x v="41"/>
    <x v="3"/>
    <x v="103"/>
    <x v="0"/>
    <x v="2708"/>
  </r>
  <r>
    <x v="0"/>
    <x v="518"/>
    <x v="209"/>
    <x v="55"/>
    <x v="211"/>
    <x v="77"/>
    <x v="21"/>
    <x v="2497"/>
    <x v="105"/>
    <x v="298"/>
    <x v="203"/>
    <x v="98"/>
    <x v="2669"/>
    <x v="2664"/>
    <x v="2468"/>
    <x v="7"/>
    <x v="2648"/>
    <x v="2669"/>
    <x v="482"/>
    <x v="0"/>
    <x v="1"/>
    <x v="2"/>
    <x v="159"/>
    <x v="19"/>
    <x v="30"/>
    <x v="8"/>
    <x v="1"/>
    <x v="1"/>
    <x v="0"/>
    <x v="2709"/>
  </r>
  <r>
    <x v="0"/>
    <x v="1131"/>
    <x v="4"/>
    <x v="77"/>
    <x v="176"/>
    <x v="813"/>
    <x v="0"/>
    <x v="4"/>
    <x v="594"/>
    <x v="543"/>
    <x v="1620"/>
    <x v="1931"/>
    <x v="2670"/>
    <x v="2665"/>
    <x v="2469"/>
    <x v="1"/>
    <x v="2649"/>
    <x v="2670"/>
    <x v="388"/>
    <x v="0"/>
    <x v="0"/>
    <x v="10"/>
    <x v="4"/>
    <x v="20"/>
    <x v="2"/>
    <x v="38"/>
    <x v="8"/>
    <x v="483"/>
    <x v="0"/>
    <x v="2710"/>
  </r>
  <r>
    <x v="0"/>
    <x v="1132"/>
    <x v="324"/>
    <x v="43"/>
    <x v="85"/>
    <x v="623"/>
    <x v="94"/>
    <x v="2498"/>
    <x v="189"/>
    <x v="187"/>
    <x v="930"/>
    <x v="1052"/>
    <x v="2671"/>
    <x v="2666"/>
    <x v="2470"/>
    <x v="0"/>
    <x v="2650"/>
    <x v="2671"/>
    <x v="421"/>
    <x v="0"/>
    <x v="0"/>
    <x v="2"/>
    <x v="159"/>
    <x v="7"/>
    <x v="159"/>
    <x v="23"/>
    <x v="3"/>
    <x v="484"/>
    <x v="0"/>
    <x v="2711"/>
  </r>
  <r>
    <x v="0"/>
    <x v="1133"/>
    <x v="31"/>
    <x v="86"/>
    <x v="342"/>
    <x v="530"/>
    <x v="545"/>
    <x v="2499"/>
    <x v="539"/>
    <x v="1039"/>
    <x v="1621"/>
    <x v="1932"/>
    <x v="2672"/>
    <x v="2667"/>
    <x v="2471"/>
    <x v="1"/>
    <x v="2651"/>
    <x v="2672"/>
    <x v="821"/>
    <x v="0"/>
    <x v="1"/>
    <x v="4"/>
    <x v="159"/>
    <x v="8"/>
    <x v="764"/>
    <x v="25"/>
    <x v="1"/>
    <x v="121"/>
    <x v="0"/>
    <x v="2712"/>
  </r>
  <r>
    <x v="0"/>
    <x v="1134"/>
    <x v="425"/>
    <x v="54"/>
    <x v="192"/>
    <x v="641"/>
    <x v="199"/>
    <x v="2500"/>
    <x v="127"/>
    <x v="771"/>
    <x v="1622"/>
    <x v="1933"/>
    <x v="2673"/>
    <x v="2668"/>
    <x v="2472"/>
    <x v="5"/>
    <x v="2652"/>
    <x v="2673"/>
    <x v="631"/>
    <x v="0"/>
    <x v="0"/>
    <x v="0"/>
    <x v="159"/>
    <x v="9"/>
    <x v="680"/>
    <x v="43"/>
    <x v="1"/>
    <x v="1"/>
    <x v="0"/>
    <x v="2713"/>
  </r>
  <r>
    <x v="0"/>
    <x v="1135"/>
    <x v="125"/>
    <x v="58"/>
    <x v="31"/>
    <x v="1"/>
    <x v="10"/>
    <x v="2501"/>
    <x v="430"/>
    <x v="16"/>
    <x v="941"/>
    <x v="319"/>
    <x v="2674"/>
    <x v="2669"/>
    <x v="2473"/>
    <x v="2"/>
    <x v="2653"/>
    <x v="2674"/>
    <x v="780"/>
    <x v="0"/>
    <x v="0"/>
    <x v="0"/>
    <x v="159"/>
    <x v="8"/>
    <x v="20"/>
    <x v="5"/>
    <x v="3"/>
    <x v="1"/>
    <x v="0"/>
    <x v="2714"/>
  </r>
  <r>
    <x v="0"/>
    <x v="1136"/>
    <x v="241"/>
    <x v="76"/>
    <x v="93"/>
    <x v="677"/>
    <x v="6"/>
    <x v="2502"/>
    <x v="127"/>
    <x v="6"/>
    <x v="1623"/>
    <x v="1934"/>
    <x v="2675"/>
    <x v="2670"/>
    <x v="2474"/>
    <x v="1"/>
    <x v="2654"/>
    <x v="2675"/>
    <x v="327"/>
    <x v="0"/>
    <x v="0"/>
    <x v="0"/>
    <x v="159"/>
    <x v="0"/>
    <x v="251"/>
    <x v="43"/>
    <x v="3"/>
    <x v="1"/>
    <x v="0"/>
    <x v="2715"/>
  </r>
  <r>
    <x v="0"/>
    <x v="525"/>
    <x v="354"/>
    <x v="11"/>
    <x v="260"/>
    <x v="645"/>
    <x v="57"/>
    <x v="2503"/>
    <x v="270"/>
    <x v="109"/>
    <x v="326"/>
    <x v="1935"/>
    <x v="2676"/>
    <x v="2671"/>
    <x v="2475"/>
    <x v="1"/>
    <x v="2655"/>
    <x v="2676"/>
    <x v="386"/>
    <x v="0"/>
    <x v="0"/>
    <x v="4"/>
    <x v="159"/>
    <x v="3"/>
    <x v="117"/>
    <x v="4"/>
    <x v="3"/>
    <x v="7"/>
    <x v="0"/>
    <x v="2716"/>
  </r>
  <r>
    <x v="0"/>
    <x v="696"/>
    <x v="82"/>
    <x v="80"/>
    <x v="201"/>
    <x v="814"/>
    <x v="465"/>
    <x v="2504"/>
    <x v="127"/>
    <x v="1040"/>
    <x v="883"/>
    <x v="1936"/>
    <x v="2677"/>
    <x v="2672"/>
    <x v="2476"/>
    <x v="1"/>
    <x v="2656"/>
    <x v="2677"/>
    <x v="314"/>
    <x v="0"/>
    <x v="0"/>
    <x v="0"/>
    <x v="159"/>
    <x v="0"/>
    <x v="151"/>
    <x v="13"/>
    <x v="3"/>
    <x v="7"/>
    <x v="0"/>
    <x v="2717"/>
  </r>
  <r>
    <x v="1"/>
    <x v="1137"/>
    <x v="324"/>
    <x v="72"/>
    <x v="79"/>
    <x v="583"/>
    <x v="546"/>
    <x v="2505"/>
    <x v="150"/>
    <x v="1041"/>
    <x v="1624"/>
    <x v="1937"/>
    <x v="2678"/>
    <x v="2673"/>
    <x v="2477"/>
    <x v="2"/>
    <x v="2657"/>
    <x v="2678"/>
    <x v="432"/>
    <x v="0"/>
    <x v="0"/>
    <x v="0"/>
    <x v="159"/>
    <x v="21"/>
    <x v="765"/>
    <x v="51"/>
    <x v="3"/>
    <x v="485"/>
    <x v="0"/>
    <x v="2718"/>
  </r>
  <r>
    <x v="0"/>
    <x v="1078"/>
    <x v="208"/>
    <x v="86"/>
    <x v="0"/>
    <x v="815"/>
    <x v="484"/>
    <x v="2506"/>
    <x v="669"/>
    <x v="1042"/>
    <x v="718"/>
    <x v="1938"/>
    <x v="2679"/>
    <x v="2674"/>
    <x v="2478"/>
    <x v="4"/>
    <x v="2658"/>
    <x v="2679"/>
    <x v="614"/>
    <x v="0"/>
    <x v="10"/>
    <x v="4"/>
    <x v="159"/>
    <x v="12"/>
    <x v="302"/>
    <x v="7"/>
    <x v="1"/>
    <x v="1"/>
    <x v="0"/>
    <x v="2719"/>
  </r>
  <r>
    <x v="0"/>
    <x v="1138"/>
    <x v="373"/>
    <x v="60"/>
    <x v="0"/>
    <x v="411"/>
    <x v="49"/>
    <x v="2507"/>
    <x v="269"/>
    <x v="86"/>
    <x v="239"/>
    <x v="597"/>
    <x v="2680"/>
    <x v="2675"/>
    <x v="2479"/>
    <x v="4"/>
    <x v="2659"/>
    <x v="2680"/>
    <x v="258"/>
    <x v="0"/>
    <x v="10"/>
    <x v="0"/>
    <x v="159"/>
    <x v="15"/>
    <x v="30"/>
    <x v="12"/>
    <x v="3"/>
    <x v="1"/>
    <x v="0"/>
    <x v="2720"/>
  </r>
  <r>
    <x v="0"/>
    <x v="23"/>
    <x v="386"/>
    <x v="33"/>
    <x v="16"/>
    <x v="739"/>
    <x v="20"/>
    <x v="2508"/>
    <x v="656"/>
    <x v="21"/>
    <x v="1625"/>
    <x v="1939"/>
    <x v="2681"/>
    <x v="2676"/>
    <x v="2480"/>
    <x v="4"/>
    <x v="2660"/>
    <x v="2681"/>
    <x v="687"/>
    <x v="0"/>
    <x v="0"/>
    <x v="4"/>
    <x v="159"/>
    <x v="12"/>
    <x v="30"/>
    <x v="32"/>
    <x v="1"/>
    <x v="1"/>
    <x v="0"/>
    <x v="2721"/>
  </r>
  <r>
    <x v="0"/>
    <x v="1139"/>
    <x v="349"/>
    <x v="80"/>
    <x v="85"/>
    <x v="212"/>
    <x v="44"/>
    <x v="2509"/>
    <x v="499"/>
    <x v="68"/>
    <x v="51"/>
    <x v="1940"/>
    <x v="2682"/>
    <x v="2677"/>
    <x v="2481"/>
    <x v="0"/>
    <x v="2661"/>
    <x v="2682"/>
    <x v="567"/>
    <x v="0"/>
    <x v="0"/>
    <x v="4"/>
    <x v="78"/>
    <x v="15"/>
    <x v="40"/>
    <x v="5"/>
    <x v="3"/>
    <x v="1"/>
    <x v="0"/>
    <x v="2722"/>
  </r>
  <r>
    <x v="0"/>
    <x v="507"/>
    <x v="153"/>
    <x v="21"/>
    <x v="0"/>
    <x v="816"/>
    <x v="18"/>
    <x v="2510"/>
    <x v="150"/>
    <x v="19"/>
    <x v="1062"/>
    <x v="1941"/>
    <x v="2683"/>
    <x v="2678"/>
    <x v="2482"/>
    <x v="1"/>
    <x v="2662"/>
    <x v="2683"/>
    <x v="884"/>
    <x v="0"/>
    <x v="10"/>
    <x v="4"/>
    <x v="159"/>
    <x v="18"/>
    <x v="281"/>
    <x v="25"/>
    <x v="3"/>
    <x v="37"/>
    <x v="0"/>
    <x v="2723"/>
  </r>
  <r>
    <x v="0"/>
    <x v="1140"/>
    <x v="257"/>
    <x v="42"/>
    <x v="174"/>
    <x v="751"/>
    <x v="340"/>
    <x v="2511"/>
    <x v="670"/>
    <x v="412"/>
    <x v="1626"/>
    <x v="1942"/>
    <x v="2684"/>
    <x v="2679"/>
    <x v="567"/>
    <x v="0"/>
    <x v="2663"/>
    <x v="2684"/>
    <x v="600"/>
    <x v="0"/>
    <x v="0"/>
    <x v="0"/>
    <x v="4"/>
    <x v="1"/>
    <x v="99"/>
    <x v="34"/>
    <x v="1"/>
    <x v="1"/>
    <x v="0"/>
    <x v="2724"/>
  </r>
  <r>
    <x v="0"/>
    <x v="696"/>
    <x v="386"/>
    <x v="42"/>
    <x v="201"/>
    <x v="225"/>
    <x v="25"/>
    <x v="2512"/>
    <x v="105"/>
    <x v="82"/>
    <x v="698"/>
    <x v="286"/>
    <x v="2685"/>
    <x v="2680"/>
    <x v="2483"/>
    <x v="0"/>
    <x v="2664"/>
    <x v="2685"/>
    <x v="586"/>
    <x v="0"/>
    <x v="0"/>
    <x v="4"/>
    <x v="134"/>
    <x v="5"/>
    <x v="18"/>
    <x v="22"/>
    <x v="3"/>
    <x v="1"/>
    <x v="0"/>
    <x v="2725"/>
  </r>
  <r>
    <x v="0"/>
    <x v="1141"/>
    <x v="252"/>
    <x v="33"/>
    <x v="281"/>
    <x v="107"/>
    <x v="14"/>
    <x v="2513"/>
    <x v="377"/>
    <x v="490"/>
    <x v="714"/>
    <x v="1370"/>
    <x v="2686"/>
    <x v="2681"/>
    <x v="2484"/>
    <x v="0"/>
    <x v="2665"/>
    <x v="2686"/>
    <x v="519"/>
    <x v="0"/>
    <x v="1"/>
    <x v="4"/>
    <x v="159"/>
    <x v="5"/>
    <x v="17"/>
    <x v="13"/>
    <x v="1"/>
    <x v="0"/>
    <x v="0"/>
    <x v="2726"/>
  </r>
  <r>
    <x v="0"/>
    <x v="113"/>
    <x v="435"/>
    <x v="160"/>
    <x v="88"/>
    <x v="233"/>
    <x v="547"/>
    <x v="4"/>
    <x v="223"/>
    <x v="1043"/>
    <x v="1398"/>
    <x v="295"/>
    <x v="2687"/>
    <x v="2682"/>
    <x v="2485"/>
    <x v="3"/>
    <x v="2666"/>
    <x v="2687"/>
    <x v="592"/>
    <x v="0"/>
    <x v="0"/>
    <x v="1"/>
    <x v="4"/>
    <x v="4"/>
    <x v="432"/>
    <x v="0"/>
    <x v="0"/>
    <x v="486"/>
    <x v="0"/>
    <x v="2727"/>
  </r>
  <r>
    <x v="0"/>
    <x v="1142"/>
    <x v="322"/>
    <x v="70"/>
    <x v="322"/>
    <x v="401"/>
    <x v="350"/>
    <x v="2514"/>
    <x v="171"/>
    <x v="1044"/>
    <x v="1627"/>
    <x v="1943"/>
    <x v="2688"/>
    <x v="2683"/>
    <x v="2486"/>
    <x v="0"/>
    <x v="2667"/>
    <x v="2688"/>
    <x v="402"/>
    <x v="0"/>
    <x v="13"/>
    <x v="4"/>
    <x v="159"/>
    <x v="8"/>
    <x v="737"/>
    <x v="10"/>
    <x v="1"/>
    <x v="1"/>
    <x v="0"/>
    <x v="2728"/>
  </r>
  <r>
    <x v="0"/>
    <x v="1143"/>
    <x v="152"/>
    <x v="42"/>
    <x v="139"/>
    <x v="673"/>
    <x v="375"/>
    <x v="2515"/>
    <x v="98"/>
    <x v="1045"/>
    <x v="1628"/>
    <x v="1944"/>
    <x v="2689"/>
    <x v="2684"/>
    <x v="2487"/>
    <x v="0"/>
    <x v="2668"/>
    <x v="2689"/>
    <x v="496"/>
    <x v="0"/>
    <x v="0"/>
    <x v="4"/>
    <x v="159"/>
    <x v="43"/>
    <x v="302"/>
    <x v="43"/>
    <x v="1"/>
    <x v="487"/>
    <x v="0"/>
    <x v="2729"/>
  </r>
  <r>
    <x v="0"/>
    <x v="1144"/>
    <x v="419"/>
    <x v="70"/>
    <x v="0"/>
    <x v="167"/>
    <x v="56"/>
    <x v="2516"/>
    <x v="539"/>
    <x v="728"/>
    <x v="516"/>
    <x v="212"/>
    <x v="2690"/>
    <x v="1320"/>
    <x v="0"/>
    <x v="0"/>
    <x v="2669"/>
    <x v="2690"/>
    <x v="409"/>
    <x v="0"/>
    <x v="0"/>
    <x v="0"/>
    <x v="159"/>
    <x v="15"/>
    <x v="335"/>
    <x v="22"/>
    <x v="1"/>
    <x v="144"/>
    <x v="0"/>
    <x v="2730"/>
  </r>
  <r>
    <x v="0"/>
    <x v="1010"/>
    <x v="75"/>
    <x v="70"/>
    <x v="0"/>
    <x v="489"/>
    <x v="18"/>
    <x v="2517"/>
    <x v="438"/>
    <x v="19"/>
    <x v="593"/>
    <x v="732"/>
    <x v="2691"/>
    <x v="2685"/>
    <x v="2488"/>
    <x v="0"/>
    <x v="2670"/>
    <x v="2691"/>
    <x v="206"/>
    <x v="0"/>
    <x v="0"/>
    <x v="4"/>
    <x v="159"/>
    <x v="1"/>
    <x v="167"/>
    <x v="12"/>
    <x v="3"/>
    <x v="1"/>
    <x v="0"/>
    <x v="2731"/>
  </r>
  <r>
    <x v="0"/>
    <x v="1145"/>
    <x v="479"/>
    <x v="7"/>
    <x v="78"/>
    <x v="490"/>
    <x v="107"/>
    <x v="4"/>
    <x v="211"/>
    <x v="1046"/>
    <x v="1629"/>
    <x v="1945"/>
    <x v="2692"/>
    <x v="2686"/>
    <x v="2489"/>
    <x v="0"/>
    <x v="2671"/>
    <x v="2692"/>
    <x v="96"/>
    <x v="0"/>
    <x v="40"/>
    <x v="1"/>
    <x v="4"/>
    <x v="11"/>
    <x v="685"/>
    <x v="23"/>
    <x v="1"/>
    <x v="488"/>
    <x v="0"/>
    <x v="2732"/>
  </r>
  <r>
    <x v="0"/>
    <x v="842"/>
    <x v="299"/>
    <x v="38"/>
    <x v="310"/>
    <x v="304"/>
    <x v="15"/>
    <x v="2518"/>
    <x v="306"/>
    <x v="212"/>
    <x v="1510"/>
    <x v="1830"/>
    <x v="2693"/>
    <x v="2687"/>
    <x v="2490"/>
    <x v="0"/>
    <x v="2672"/>
    <x v="2693"/>
    <x v="536"/>
    <x v="0"/>
    <x v="4"/>
    <x v="0"/>
    <x v="4"/>
    <x v="15"/>
    <x v="739"/>
    <x v="15"/>
    <x v="1"/>
    <x v="390"/>
    <x v="0"/>
    <x v="2733"/>
  </r>
  <r>
    <x v="1"/>
    <x v="1146"/>
    <x v="444"/>
    <x v="97"/>
    <x v="343"/>
    <x v="325"/>
    <x v="548"/>
    <x v="2519"/>
    <x v="142"/>
    <x v="1047"/>
    <x v="1630"/>
    <x v="1946"/>
    <x v="2694"/>
    <x v="2688"/>
    <x v="2491"/>
    <x v="1"/>
    <x v="2673"/>
    <x v="2694"/>
    <x v="885"/>
    <x v="15"/>
    <x v="8"/>
    <x v="9"/>
    <x v="224"/>
    <x v="54"/>
    <x v="131"/>
    <x v="24"/>
    <x v="8"/>
    <x v="85"/>
    <x v="0"/>
    <x v="2734"/>
  </r>
  <r>
    <x v="0"/>
    <x v="430"/>
    <x v="142"/>
    <x v="95"/>
    <x v="235"/>
    <x v="471"/>
    <x v="189"/>
    <x v="2520"/>
    <x v="23"/>
    <x v="1048"/>
    <x v="1631"/>
    <x v="1947"/>
    <x v="2695"/>
    <x v="2689"/>
    <x v="2492"/>
    <x v="4"/>
    <x v="2674"/>
    <x v="2695"/>
    <x v="486"/>
    <x v="3"/>
    <x v="10"/>
    <x v="4"/>
    <x v="176"/>
    <x v="14"/>
    <x v="702"/>
    <x v="13"/>
    <x v="1"/>
    <x v="1"/>
    <x v="0"/>
    <x v="2735"/>
  </r>
  <r>
    <x v="0"/>
    <x v="449"/>
    <x v="460"/>
    <x v="69"/>
    <x v="218"/>
    <x v="437"/>
    <x v="25"/>
    <x v="2521"/>
    <x v="152"/>
    <x v="26"/>
    <x v="898"/>
    <x v="641"/>
    <x v="2696"/>
    <x v="2690"/>
    <x v="2493"/>
    <x v="4"/>
    <x v="2675"/>
    <x v="2696"/>
    <x v="245"/>
    <x v="0"/>
    <x v="0"/>
    <x v="4"/>
    <x v="222"/>
    <x v="16"/>
    <x v="276"/>
    <x v="2"/>
    <x v="3"/>
    <x v="1"/>
    <x v="0"/>
    <x v="2736"/>
  </r>
  <r>
    <x v="0"/>
    <x v="1147"/>
    <x v="317"/>
    <x v="72"/>
    <x v="344"/>
    <x v="149"/>
    <x v="0"/>
    <x v="2522"/>
    <x v="54"/>
    <x v="1049"/>
    <x v="1632"/>
    <x v="1948"/>
    <x v="2697"/>
    <x v="2691"/>
    <x v="2454"/>
    <x v="1"/>
    <x v="2676"/>
    <x v="2697"/>
    <x v="499"/>
    <x v="4"/>
    <x v="38"/>
    <x v="9"/>
    <x v="159"/>
    <x v="2"/>
    <x v="279"/>
    <x v="21"/>
    <x v="15"/>
    <x v="1"/>
    <x v="0"/>
    <x v="2737"/>
  </r>
  <r>
    <x v="0"/>
    <x v="1013"/>
    <x v="216"/>
    <x v="42"/>
    <x v="116"/>
    <x v="536"/>
    <x v="74"/>
    <x v="2523"/>
    <x v="671"/>
    <x v="840"/>
    <x v="173"/>
    <x v="1949"/>
    <x v="2698"/>
    <x v="2692"/>
    <x v="2494"/>
    <x v="1"/>
    <x v="2677"/>
    <x v="2698"/>
    <x v="718"/>
    <x v="0"/>
    <x v="1"/>
    <x v="4"/>
    <x v="159"/>
    <x v="18"/>
    <x v="117"/>
    <x v="8"/>
    <x v="1"/>
    <x v="489"/>
    <x v="0"/>
    <x v="2738"/>
  </r>
  <r>
    <x v="0"/>
    <x v="1148"/>
    <x v="280"/>
    <x v="77"/>
    <x v="345"/>
    <x v="777"/>
    <x v="457"/>
    <x v="2524"/>
    <x v="150"/>
    <x v="1050"/>
    <x v="1633"/>
    <x v="1950"/>
    <x v="2699"/>
    <x v="2693"/>
    <x v="1897"/>
    <x v="0"/>
    <x v="2678"/>
    <x v="2699"/>
    <x v="497"/>
    <x v="9"/>
    <x v="21"/>
    <x v="10"/>
    <x v="4"/>
    <x v="17"/>
    <x v="766"/>
    <x v="25"/>
    <x v="3"/>
    <x v="1"/>
    <x v="0"/>
    <x v="2739"/>
  </r>
  <r>
    <x v="0"/>
    <x v="1149"/>
    <x v="382"/>
    <x v="47"/>
    <x v="0"/>
    <x v="321"/>
    <x v="549"/>
    <x v="2525"/>
    <x v="97"/>
    <x v="1051"/>
    <x v="1634"/>
    <x v="1951"/>
    <x v="2700"/>
    <x v="2694"/>
    <x v="2495"/>
    <x v="0"/>
    <x v="2679"/>
    <x v="2700"/>
    <x v="547"/>
    <x v="25"/>
    <x v="41"/>
    <x v="4"/>
    <x v="1"/>
    <x v="8"/>
    <x v="767"/>
    <x v="5"/>
    <x v="1"/>
    <x v="1"/>
    <x v="0"/>
    <x v="2740"/>
  </r>
  <r>
    <x v="0"/>
    <x v="668"/>
    <x v="423"/>
    <x v="55"/>
    <x v="209"/>
    <x v="58"/>
    <x v="57"/>
    <x v="2526"/>
    <x v="672"/>
    <x v="125"/>
    <x v="1635"/>
    <x v="1952"/>
    <x v="2701"/>
    <x v="2695"/>
    <x v="2496"/>
    <x v="0"/>
    <x v="2680"/>
    <x v="2701"/>
    <x v="781"/>
    <x v="0"/>
    <x v="1"/>
    <x v="4"/>
    <x v="4"/>
    <x v="5"/>
    <x v="120"/>
    <x v="21"/>
    <x v="1"/>
    <x v="1"/>
    <x v="0"/>
    <x v="2741"/>
  </r>
  <r>
    <x v="0"/>
    <x v="503"/>
    <x v="369"/>
    <x v="76"/>
    <x v="256"/>
    <x v="183"/>
    <x v="550"/>
    <x v="4"/>
    <x v="65"/>
    <x v="1052"/>
    <x v="1636"/>
    <x v="1953"/>
    <x v="2702"/>
    <x v="2696"/>
    <x v="2497"/>
    <x v="0"/>
    <x v="2681"/>
    <x v="2702"/>
    <x v="654"/>
    <x v="0"/>
    <x v="4"/>
    <x v="4"/>
    <x v="195"/>
    <x v="25"/>
    <x v="526"/>
    <x v="23"/>
    <x v="1"/>
    <x v="448"/>
    <x v="0"/>
    <x v="2742"/>
  </r>
  <r>
    <x v="0"/>
    <x v="1150"/>
    <x v="325"/>
    <x v="33"/>
    <x v="12"/>
    <x v="1"/>
    <x v="21"/>
    <x v="2527"/>
    <x v="552"/>
    <x v="71"/>
    <x v="992"/>
    <x v="1954"/>
    <x v="2703"/>
    <x v="2697"/>
    <x v="2498"/>
    <x v="0"/>
    <x v="2682"/>
    <x v="2703"/>
    <x v="120"/>
    <x v="0"/>
    <x v="0"/>
    <x v="4"/>
    <x v="159"/>
    <x v="8"/>
    <x v="30"/>
    <x v="9"/>
    <x v="1"/>
    <x v="1"/>
    <x v="0"/>
    <x v="2743"/>
  </r>
  <r>
    <x v="0"/>
    <x v="1151"/>
    <x v="479"/>
    <x v="27"/>
    <x v="151"/>
    <x v="621"/>
    <x v="517"/>
    <x v="4"/>
    <x v="406"/>
    <x v="970"/>
    <x v="1637"/>
    <x v="1955"/>
    <x v="2704"/>
    <x v="2698"/>
    <x v="2499"/>
    <x v="4"/>
    <x v="2683"/>
    <x v="2704"/>
    <x v="83"/>
    <x v="0"/>
    <x v="26"/>
    <x v="4"/>
    <x v="159"/>
    <x v="10"/>
    <x v="513"/>
    <x v="19"/>
    <x v="2"/>
    <x v="201"/>
    <x v="0"/>
    <x v="2744"/>
  </r>
  <r>
    <x v="0"/>
    <x v="1152"/>
    <x v="219"/>
    <x v="78"/>
    <x v="306"/>
    <x v="437"/>
    <x v="30"/>
    <x v="2528"/>
    <x v="168"/>
    <x v="50"/>
    <x v="557"/>
    <x v="638"/>
    <x v="2705"/>
    <x v="554"/>
    <x v="2500"/>
    <x v="7"/>
    <x v="2684"/>
    <x v="2705"/>
    <x v="540"/>
    <x v="0"/>
    <x v="0"/>
    <x v="4"/>
    <x v="159"/>
    <x v="10"/>
    <x v="20"/>
    <x v="37"/>
    <x v="1"/>
    <x v="1"/>
    <x v="0"/>
    <x v="2745"/>
  </r>
  <r>
    <x v="0"/>
    <x v="1153"/>
    <x v="307"/>
    <x v="72"/>
    <x v="192"/>
    <x v="672"/>
    <x v="551"/>
    <x v="2529"/>
    <x v="673"/>
    <x v="1053"/>
    <x v="1252"/>
    <x v="1956"/>
    <x v="2706"/>
    <x v="2699"/>
    <x v="2501"/>
    <x v="1"/>
    <x v="2685"/>
    <x v="2706"/>
    <x v="408"/>
    <x v="0"/>
    <x v="8"/>
    <x v="0"/>
    <x v="131"/>
    <x v="18"/>
    <x v="181"/>
    <x v="33"/>
    <x v="1"/>
    <x v="490"/>
    <x v="0"/>
    <x v="2746"/>
  </r>
  <r>
    <x v="0"/>
    <x v="1154"/>
    <x v="401"/>
    <x v="41"/>
    <x v="184"/>
    <x v="372"/>
    <x v="0"/>
    <x v="2530"/>
    <x v="674"/>
    <x v="1054"/>
    <x v="1638"/>
    <x v="1957"/>
    <x v="2707"/>
    <x v="2700"/>
    <x v="2502"/>
    <x v="1"/>
    <x v="2686"/>
    <x v="2707"/>
    <x v="592"/>
    <x v="0"/>
    <x v="0"/>
    <x v="4"/>
    <x v="159"/>
    <x v="1"/>
    <x v="186"/>
    <x v="18"/>
    <x v="3"/>
    <x v="234"/>
    <x v="0"/>
    <x v="2747"/>
  </r>
  <r>
    <x v="0"/>
    <x v="1155"/>
    <x v="429"/>
    <x v="8"/>
    <x v="5"/>
    <x v="362"/>
    <x v="552"/>
    <x v="4"/>
    <x v="675"/>
    <x v="1055"/>
    <x v="1639"/>
    <x v="502"/>
    <x v="2708"/>
    <x v="2701"/>
    <x v="2503"/>
    <x v="1"/>
    <x v="2687"/>
    <x v="2708"/>
    <x v="646"/>
    <x v="0"/>
    <x v="42"/>
    <x v="4"/>
    <x v="4"/>
    <x v="8"/>
    <x v="187"/>
    <x v="19"/>
    <x v="1"/>
    <x v="1"/>
    <x v="0"/>
    <x v="2748"/>
  </r>
  <r>
    <x v="0"/>
    <x v="1156"/>
    <x v="347"/>
    <x v="79"/>
    <x v="0"/>
    <x v="387"/>
    <x v="21"/>
    <x v="4"/>
    <x v="224"/>
    <x v="22"/>
    <x v="127"/>
    <x v="547"/>
    <x v="2709"/>
    <x v="2702"/>
    <x v="2504"/>
    <x v="0"/>
    <x v="2688"/>
    <x v="2709"/>
    <x v="818"/>
    <x v="0"/>
    <x v="26"/>
    <x v="9"/>
    <x v="78"/>
    <x v="9"/>
    <x v="47"/>
    <x v="27"/>
    <x v="2"/>
    <x v="1"/>
    <x v="0"/>
    <x v="2749"/>
  </r>
  <r>
    <x v="0"/>
    <x v="1157"/>
    <x v="243"/>
    <x v="56"/>
    <x v="107"/>
    <x v="110"/>
    <x v="0"/>
    <x v="4"/>
    <x v="222"/>
    <x v="1056"/>
    <x v="1062"/>
    <x v="199"/>
    <x v="2710"/>
    <x v="2703"/>
    <x v="281"/>
    <x v="0"/>
    <x v="2689"/>
    <x v="2710"/>
    <x v="227"/>
    <x v="0"/>
    <x v="43"/>
    <x v="4"/>
    <x v="222"/>
    <x v="11"/>
    <x v="281"/>
    <x v="9"/>
    <x v="1"/>
    <x v="38"/>
    <x v="0"/>
    <x v="2750"/>
  </r>
  <r>
    <x v="0"/>
    <x v="1158"/>
    <x v="396"/>
    <x v="72"/>
    <x v="76"/>
    <x v="636"/>
    <x v="553"/>
    <x v="4"/>
    <x v="1"/>
    <x v="1057"/>
    <x v="1640"/>
    <x v="1958"/>
    <x v="2711"/>
    <x v="2704"/>
    <x v="2505"/>
    <x v="0"/>
    <x v="2690"/>
    <x v="2711"/>
    <x v="586"/>
    <x v="0"/>
    <x v="8"/>
    <x v="9"/>
    <x v="159"/>
    <x v="12"/>
    <x v="704"/>
    <x v="41"/>
    <x v="0"/>
    <x v="491"/>
    <x v="0"/>
    <x v="2751"/>
  </r>
  <r>
    <x v="0"/>
    <x v="1159"/>
    <x v="169"/>
    <x v="42"/>
    <x v="85"/>
    <x v="570"/>
    <x v="295"/>
    <x v="4"/>
    <x v="676"/>
    <x v="1058"/>
    <x v="1641"/>
    <x v="1959"/>
    <x v="2712"/>
    <x v="2705"/>
    <x v="2506"/>
    <x v="0"/>
    <x v="4"/>
    <x v="2712"/>
    <x v="854"/>
    <x v="6"/>
    <x v="20"/>
    <x v="1"/>
    <x v="159"/>
    <x v="2"/>
    <x v="750"/>
    <x v="20"/>
    <x v="2"/>
    <x v="492"/>
    <x v="0"/>
    <x v="2752"/>
  </r>
  <r>
    <x v="2"/>
    <x v="1160"/>
    <x v="302"/>
    <x v="73"/>
    <x v="221"/>
    <x v="566"/>
    <x v="448"/>
    <x v="4"/>
    <x v="28"/>
    <x v="814"/>
    <x v="1642"/>
    <x v="1960"/>
    <x v="2713"/>
    <x v="2706"/>
    <x v="392"/>
    <x v="2"/>
    <x v="2691"/>
    <x v="2713"/>
    <x v="327"/>
    <x v="4"/>
    <x v="14"/>
    <x v="4"/>
    <x v="159"/>
    <x v="0"/>
    <x v="768"/>
    <x v="1"/>
    <x v="1"/>
    <x v="493"/>
    <x v="0"/>
    <x v="2753"/>
  </r>
  <r>
    <x v="0"/>
    <x v="1161"/>
    <x v="417"/>
    <x v="23"/>
    <x v="113"/>
    <x v="498"/>
    <x v="213"/>
    <x v="4"/>
    <x v="113"/>
    <x v="1059"/>
    <x v="1424"/>
    <x v="1961"/>
    <x v="2714"/>
    <x v="2707"/>
    <x v="2507"/>
    <x v="1"/>
    <x v="2692"/>
    <x v="2714"/>
    <x v="646"/>
    <x v="0"/>
    <x v="1"/>
    <x v="0"/>
    <x v="159"/>
    <x v="21"/>
    <x v="158"/>
    <x v="4"/>
    <x v="2"/>
    <x v="494"/>
    <x v="0"/>
    <x v="2754"/>
  </r>
  <r>
    <x v="0"/>
    <x v="370"/>
    <x v="304"/>
    <x v="59"/>
    <x v="201"/>
    <x v="463"/>
    <x v="57"/>
    <x v="2531"/>
    <x v="286"/>
    <x v="192"/>
    <x v="1643"/>
    <x v="683"/>
    <x v="2715"/>
    <x v="2708"/>
    <x v="2508"/>
    <x v="1"/>
    <x v="2693"/>
    <x v="2715"/>
    <x v="660"/>
    <x v="0"/>
    <x v="0"/>
    <x v="2"/>
    <x v="225"/>
    <x v="27"/>
    <x v="584"/>
    <x v="14"/>
    <x v="3"/>
    <x v="58"/>
    <x v="0"/>
    <x v="2755"/>
  </r>
  <r>
    <x v="0"/>
    <x v="1162"/>
    <x v="279"/>
    <x v="69"/>
    <x v="89"/>
    <x v="437"/>
    <x v="24"/>
    <x v="2532"/>
    <x v="379"/>
    <x v="362"/>
    <x v="1270"/>
    <x v="1962"/>
    <x v="2716"/>
    <x v="2709"/>
    <x v="2509"/>
    <x v="3"/>
    <x v="2694"/>
    <x v="2716"/>
    <x v="675"/>
    <x v="0"/>
    <x v="0"/>
    <x v="4"/>
    <x v="226"/>
    <x v="2"/>
    <x v="53"/>
    <x v="20"/>
    <x v="1"/>
    <x v="25"/>
    <x v="0"/>
    <x v="2756"/>
  </r>
  <r>
    <x v="0"/>
    <x v="35"/>
    <x v="257"/>
    <x v="60"/>
    <x v="16"/>
    <x v="85"/>
    <x v="19"/>
    <x v="2533"/>
    <x v="17"/>
    <x v="20"/>
    <x v="367"/>
    <x v="108"/>
    <x v="2717"/>
    <x v="2710"/>
    <x v="2510"/>
    <x v="4"/>
    <x v="2695"/>
    <x v="2717"/>
    <x v="625"/>
    <x v="0"/>
    <x v="0"/>
    <x v="0"/>
    <x v="227"/>
    <x v="25"/>
    <x v="30"/>
    <x v="2"/>
    <x v="1"/>
    <x v="7"/>
    <x v="0"/>
    <x v="2757"/>
  </r>
  <r>
    <x v="0"/>
    <x v="1163"/>
    <x v="243"/>
    <x v="70"/>
    <x v="5"/>
    <x v="817"/>
    <x v="0"/>
    <x v="2534"/>
    <x v="269"/>
    <x v="936"/>
    <x v="1107"/>
    <x v="1963"/>
    <x v="2718"/>
    <x v="2711"/>
    <x v="2511"/>
    <x v="4"/>
    <x v="2696"/>
    <x v="2718"/>
    <x v="546"/>
    <x v="3"/>
    <x v="10"/>
    <x v="0"/>
    <x v="70"/>
    <x v="5"/>
    <x v="52"/>
    <x v="7"/>
    <x v="1"/>
    <x v="1"/>
    <x v="0"/>
    <x v="2758"/>
  </r>
  <r>
    <x v="0"/>
    <x v="1164"/>
    <x v="451"/>
    <x v="50"/>
    <x v="78"/>
    <x v="788"/>
    <x v="554"/>
    <x v="4"/>
    <x v="677"/>
    <x v="1060"/>
    <x v="551"/>
    <x v="1964"/>
    <x v="2719"/>
    <x v="2712"/>
    <x v="2512"/>
    <x v="4"/>
    <x v="2697"/>
    <x v="2719"/>
    <x v="96"/>
    <x v="0"/>
    <x v="0"/>
    <x v="4"/>
    <x v="227"/>
    <x v="11"/>
    <x v="304"/>
    <x v="5"/>
    <x v="2"/>
    <x v="495"/>
    <x v="0"/>
    <x v="2759"/>
  </r>
  <r>
    <x v="0"/>
    <x v="326"/>
    <x v="333"/>
    <x v="22"/>
    <x v="121"/>
    <x v="366"/>
    <x v="17"/>
    <x v="2535"/>
    <x v="134"/>
    <x v="303"/>
    <x v="65"/>
    <x v="984"/>
    <x v="2720"/>
    <x v="2713"/>
    <x v="2513"/>
    <x v="1"/>
    <x v="2698"/>
    <x v="2720"/>
    <x v="597"/>
    <x v="0"/>
    <x v="0"/>
    <x v="4"/>
    <x v="228"/>
    <x v="29"/>
    <x v="6"/>
    <x v="24"/>
    <x v="1"/>
    <x v="7"/>
    <x v="0"/>
    <x v="2760"/>
  </r>
  <r>
    <x v="0"/>
    <x v="1165"/>
    <x v="321"/>
    <x v="106"/>
    <x v="196"/>
    <x v="38"/>
    <x v="22"/>
    <x v="2536"/>
    <x v="270"/>
    <x v="23"/>
    <x v="1644"/>
    <x v="1965"/>
    <x v="2721"/>
    <x v="2714"/>
    <x v="2514"/>
    <x v="1"/>
    <x v="2699"/>
    <x v="2721"/>
    <x v="671"/>
    <x v="0"/>
    <x v="23"/>
    <x v="9"/>
    <x v="229"/>
    <x v="12"/>
    <x v="439"/>
    <x v="38"/>
    <x v="1"/>
    <x v="103"/>
    <x v="0"/>
    <x v="2761"/>
  </r>
  <r>
    <x v="0"/>
    <x v="464"/>
    <x v="71"/>
    <x v="60"/>
    <x v="0"/>
    <x v="183"/>
    <x v="269"/>
    <x v="2537"/>
    <x v="17"/>
    <x v="1061"/>
    <x v="1645"/>
    <x v="1966"/>
    <x v="2722"/>
    <x v="2715"/>
    <x v="2515"/>
    <x v="0"/>
    <x v="2700"/>
    <x v="2722"/>
    <x v="771"/>
    <x v="0"/>
    <x v="1"/>
    <x v="4"/>
    <x v="159"/>
    <x v="8"/>
    <x v="718"/>
    <x v="25"/>
    <x v="1"/>
    <x v="38"/>
    <x v="0"/>
    <x v="2762"/>
  </r>
  <r>
    <x v="0"/>
    <x v="451"/>
    <x v="160"/>
    <x v="73"/>
    <x v="242"/>
    <x v="251"/>
    <x v="71"/>
    <x v="2538"/>
    <x v="527"/>
    <x v="1062"/>
    <x v="1646"/>
    <x v="1011"/>
    <x v="2723"/>
    <x v="2716"/>
    <x v="2516"/>
    <x v="0"/>
    <x v="2701"/>
    <x v="2723"/>
    <x v="781"/>
    <x v="0"/>
    <x v="0"/>
    <x v="4"/>
    <x v="137"/>
    <x v="42"/>
    <x v="128"/>
    <x v="8"/>
    <x v="3"/>
    <x v="67"/>
    <x v="0"/>
    <x v="2763"/>
  </r>
  <r>
    <x v="0"/>
    <x v="293"/>
    <x v="249"/>
    <x v="31"/>
    <x v="0"/>
    <x v="697"/>
    <x v="94"/>
    <x v="2539"/>
    <x v="127"/>
    <x v="218"/>
    <x v="671"/>
    <x v="1313"/>
    <x v="2724"/>
    <x v="2717"/>
    <x v="2517"/>
    <x v="4"/>
    <x v="2702"/>
    <x v="2724"/>
    <x v="484"/>
    <x v="0"/>
    <x v="0"/>
    <x v="4"/>
    <x v="137"/>
    <x v="22"/>
    <x v="415"/>
    <x v="8"/>
    <x v="3"/>
    <x v="59"/>
    <x v="0"/>
    <x v="2764"/>
  </r>
  <r>
    <x v="0"/>
    <x v="1166"/>
    <x v="4"/>
    <x v="161"/>
    <x v="0"/>
    <x v="818"/>
    <x v="101"/>
    <x v="4"/>
    <x v="125"/>
    <x v="183"/>
    <x v="1647"/>
    <x v="1967"/>
    <x v="2725"/>
    <x v="2718"/>
    <x v="58"/>
    <x v="4"/>
    <x v="4"/>
    <x v="2725"/>
    <x v="4"/>
    <x v="0"/>
    <x v="4"/>
    <x v="1"/>
    <x v="4"/>
    <x v="4"/>
    <x v="769"/>
    <x v="70"/>
    <x v="8"/>
    <x v="1"/>
    <x v="0"/>
    <x v="2765"/>
  </r>
  <r>
    <x v="0"/>
    <x v="1167"/>
    <x v="424"/>
    <x v="26"/>
    <x v="78"/>
    <x v="426"/>
    <x v="359"/>
    <x v="2540"/>
    <x v="121"/>
    <x v="741"/>
    <x v="1648"/>
    <x v="1968"/>
    <x v="2726"/>
    <x v="2719"/>
    <x v="2518"/>
    <x v="1"/>
    <x v="2703"/>
    <x v="2726"/>
    <x v="496"/>
    <x v="0"/>
    <x v="5"/>
    <x v="2"/>
    <x v="230"/>
    <x v="32"/>
    <x v="770"/>
    <x v="34"/>
    <x v="1"/>
    <x v="474"/>
    <x v="0"/>
    <x v="2766"/>
  </r>
  <r>
    <x v="0"/>
    <x v="1168"/>
    <x v="417"/>
    <x v="59"/>
    <x v="116"/>
    <x v="515"/>
    <x v="555"/>
    <x v="4"/>
    <x v="80"/>
    <x v="1063"/>
    <x v="1649"/>
    <x v="1969"/>
    <x v="2727"/>
    <x v="2720"/>
    <x v="899"/>
    <x v="0"/>
    <x v="4"/>
    <x v="2727"/>
    <x v="822"/>
    <x v="0"/>
    <x v="0"/>
    <x v="4"/>
    <x v="159"/>
    <x v="2"/>
    <x v="771"/>
    <x v="20"/>
    <x v="1"/>
    <x v="1"/>
    <x v="0"/>
    <x v="2767"/>
  </r>
  <r>
    <x v="0"/>
    <x v="78"/>
    <x v="365"/>
    <x v="97"/>
    <x v="0"/>
    <x v="24"/>
    <x v="14"/>
    <x v="2541"/>
    <x v="467"/>
    <x v="56"/>
    <x v="633"/>
    <x v="1970"/>
    <x v="2728"/>
    <x v="2721"/>
    <x v="2519"/>
    <x v="0"/>
    <x v="2704"/>
    <x v="2728"/>
    <x v="86"/>
    <x v="0"/>
    <x v="0"/>
    <x v="4"/>
    <x v="137"/>
    <x v="30"/>
    <x v="50"/>
    <x v="13"/>
    <x v="1"/>
    <x v="86"/>
    <x v="0"/>
    <x v="2768"/>
  </r>
  <r>
    <x v="1"/>
    <x v="71"/>
    <x v="347"/>
    <x v="42"/>
    <x v="56"/>
    <x v="819"/>
    <x v="398"/>
    <x v="2542"/>
    <x v="486"/>
    <x v="1064"/>
    <x v="485"/>
    <x v="1971"/>
    <x v="2729"/>
    <x v="2722"/>
    <x v="2520"/>
    <x v="1"/>
    <x v="2705"/>
    <x v="2729"/>
    <x v="241"/>
    <x v="0"/>
    <x v="0"/>
    <x v="2"/>
    <x v="159"/>
    <x v="27"/>
    <x v="315"/>
    <x v="8"/>
    <x v="3"/>
    <x v="1"/>
    <x v="0"/>
    <x v="2769"/>
  </r>
  <r>
    <x v="0"/>
    <x v="480"/>
    <x v="70"/>
    <x v="59"/>
    <x v="233"/>
    <x v="776"/>
    <x v="14"/>
    <x v="2543"/>
    <x v="381"/>
    <x v="1065"/>
    <x v="96"/>
    <x v="1675"/>
    <x v="2730"/>
    <x v="2723"/>
    <x v="2521"/>
    <x v="0"/>
    <x v="2706"/>
    <x v="2730"/>
    <x v="679"/>
    <x v="0"/>
    <x v="0"/>
    <x v="4"/>
    <x v="159"/>
    <x v="0"/>
    <x v="234"/>
    <x v="34"/>
    <x v="3"/>
    <x v="1"/>
    <x v="0"/>
    <x v="2770"/>
  </r>
  <r>
    <x v="0"/>
    <x v="834"/>
    <x v="70"/>
    <x v="80"/>
    <x v="164"/>
    <x v="735"/>
    <x v="435"/>
    <x v="1869"/>
    <x v="381"/>
    <x v="787"/>
    <x v="1272"/>
    <x v="1486"/>
    <x v="1967"/>
    <x v="1962"/>
    <x v="1085"/>
    <x v="0"/>
    <x v="1955"/>
    <x v="1967"/>
    <x v="402"/>
    <x v="0"/>
    <x v="0"/>
    <x v="0"/>
    <x v="137"/>
    <x v="3"/>
    <x v="577"/>
    <x v="18"/>
    <x v="1"/>
    <x v="16"/>
    <x v="0"/>
    <x v="2771"/>
  </r>
  <r>
    <x v="0"/>
    <x v="488"/>
    <x v="118"/>
    <x v="41"/>
    <x v="252"/>
    <x v="70"/>
    <x v="57"/>
    <x v="4"/>
    <x v="72"/>
    <x v="237"/>
    <x v="729"/>
    <x v="861"/>
    <x v="1051"/>
    <x v="2724"/>
    <x v="1029"/>
    <x v="1"/>
    <x v="1044"/>
    <x v="1051"/>
    <x v="425"/>
    <x v="0"/>
    <x v="0"/>
    <x v="4"/>
    <x v="137"/>
    <x v="26"/>
    <x v="437"/>
    <x v="16"/>
    <x v="1"/>
    <x v="1"/>
    <x v="0"/>
    <x v="2772"/>
  </r>
  <r>
    <x v="0"/>
    <x v="818"/>
    <x v="366"/>
    <x v="56"/>
    <x v="186"/>
    <x v="13"/>
    <x v="481"/>
    <x v="2544"/>
    <x v="484"/>
    <x v="891"/>
    <x v="1274"/>
    <x v="14"/>
    <x v="2731"/>
    <x v="2725"/>
    <x v="2522"/>
    <x v="0"/>
    <x v="2707"/>
    <x v="2731"/>
    <x v="402"/>
    <x v="0"/>
    <x v="0"/>
    <x v="0"/>
    <x v="137"/>
    <x v="1"/>
    <x v="117"/>
    <x v="31"/>
    <x v="1"/>
    <x v="1"/>
    <x v="0"/>
    <x v="2773"/>
  </r>
  <r>
    <x v="0"/>
    <x v="682"/>
    <x v="356"/>
    <x v="32"/>
    <x v="171"/>
    <x v="790"/>
    <x v="509"/>
    <x v="2545"/>
    <x v="18"/>
    <x v="1066"/>
    <x v="843"/>
    <x v="1972"/>
    <x v="2732"/>
    <x v="2726"/>
    <x v="2523"/>
    <x v="4"/>
    <x v="2708"/>
    <x v="2732"/>
    <x v="458"/>
    <x v="0"/>
    <x v="1"/>
    <x v="2"/>
    <x v="137"/>
    <x v="47"/>
    <x v="490"/>
    <x v="1"/>
    <x v="1"/>
    <x v="1"/>
    <x v="0"/>
    <x v="2774"/>
  </r>
  <r>
    <x v="0"/>
    <x v="113"/>
    <x v="479"/>
    <x v="84"/>
    <x v="88"/>
    <x v="19"/>
    <x v="504"/>
    <x v="4"/>
    <x v="4"/>
    <x v="1067"/>
    <x v="1650"/>
    <x v="1973"/>
    <x v="2733"/>
    <x v="2727"/>
    <x v="2524"/>
    <x v="0"/>
    <x v="2709"/>
    <x v="2733"/>
    <x v="448"/>
    <x v="0"/>
    <x v="0"/>
    <x v="1"/>
    <x v="4"/>
    <x v="4"/>
    <x v="273"/>
    <x v="4"/>
    <x v="2"/>
    <x v="496"/>
    <x v="0"/>
    <x v="2775"/>
  </r>
  <r>
    <x v="0"/>
    <x v="1169"/>
    <x v="217"/>
    <x v="77"/>
    <x v="134"/>
    <x v="78"/>
    <x v="43"/>
    <x v="2546"/>
    <x v="236"/>
    <x v="642"/>
    <x v="1279"/>
    <x v="1386"/>
    <x v="2734"/>
    <x v="2728"/>
    <x v="1487"/>
    <x v="2"/>
    <x v="2710"/>
    <x v="2734"/>
    <x v="246"/>
    <x v="0"/>
    <x v="0"/>
    <x v="4"/>
    <x v="137"/>
    <x v="20"/>
    <x v="413"/>
    <x v="34"/>
    <x v="1"/>
    <x v="1"/>
    <x v="0"/>
    <x v="2776"/>
  </r>
  <r>
    <x v="0"/>
    <x v="491"/>
    <x v="359"/>
    <x v="73"/>
    <x v="253"/>
    <x v="601"/>
    <x v="11"/>
    <x v="1892"/>
    <x v="17"/>
    <x v="63"/>
    <x v="1202"/>
    <x v="1465"/>
    <x v="1998"/>
    <x v="1994"/>
    <x v="1901"/>
    <x v="4"/>
    <x v="1986"/>
    <x v="1998"/>
    <x v="498"/>
    <x v="0"/>
    <x v="0"/>
    <x v="4"/>
    <x v="137"/>
    <x v="32"/>
    <x v="53"/>
    <x v="16"/>
    <x v="3"/>
    <x v="1"/>
    <x v="0"/>
    <x v="2777"/>
  </r>
  <r>
    <x v="0"/>
    <x v="795"/>
    <x v="372"/>
    <x v="47"/>
    <x v="0"/>
    <x v="88"/>
    <x v="256"/>
    <x v="2547"/>
    <x v="105"/>
    <x v="676"/>
    <x v="928"/>
    <x v="714"/>
    <x v="2735"/>
    <x v="2729"/>
    <x v="2525"/>
    <x v="1"/>
    <x v="2711"/>
    <x v="2735"/>
    <x v="712"/>
    <x v="0"/>
    <x v="0"/>
    <x v="0"/>
    <x v="4"/>
    <x v="3"/>
    <x v="527"/>
    <x v="28"/>
    <x v="1"/>
    <x v="1"/>
    <x v="0"/>
    <x v="2778"/>
  </r>
  <r>
    <x v="0"/>
    <x v="1170"/>
    <x v="81"/>
    <x v="86"/>
    <x v="135"/>
    <x v="401"/>
    <x v="289"/>
    <x v="2548"/>
    <x v="457"/>
    <x v="807"/>
    <x v="938"/>
    <x v="1974"/>
    <x v="2736"/>
    <x v="2730"/>
    <x v="2524"/>
    <x v="1"/>
    <x v="2712"/>
    <x v="2736"/>
    <x v="755"/>
    <x v="0"/>
    <x v="0"/>
    <x v="2"/>
    <x v="137"/>
    <x v="23"/>
    <x v="97"/>
    <x v="10"/>
    <x v="3"/>
    <x v="1"/>
    <x v="0"/>
    <x v="2779"/>
  </r>
  <r>
    <x v="0"/>
    <x v="830"/>
    <x v="425"/>
    <x v="113"/>
    <x v="91"/>
    <x v="156"/>
    <x v="94"/>
    <x v="2549"/>
    <x v="127"/>
    <x v="166"/>
    <x v="1651"/>
    <x v="192"/>
    <x v="2737"/>
    <x v="2731"/>
    <x v="2526"/>
    <x v="1"/>
    <x v="2713"/>
    <x v="2737"/>
    <x v="284"/>
    <x v="0"/>
    <x v="0"/>
    <x v="0"/>
    <x v="137"/>
    <x v="15"/>
    <x v="224"/>
    <x v="40"/>
    <x v="3"/>
    <x v="43"/>
    <x v="0"/>
    <x v="2780"/>
  </r>
  <r>
    <x v="0"/>
    <x v="425"/>
    <x v="506"/>
    <x v="72"/>
    <x v="38"/>
    <x v="799"/>
    <x v="2"/>
    <x v="2550"/>
    <x v="406"/>
    <x v="209"/>
    <x v="680"/>
    <x v="1975"/>
    <x v="2738"/>
    <x v="2732"/>
    <x v="2527"/>
    <x v="1"/>
    <x v="2714"/>
    <x v="2738"/>
    <x v="662"/>
    <x v="0"/>
    <x v="1"/>
    <x v="0"/>
    <x v="185"/>
    <x v="10"/>
    <x v="30"/>
    <x v="21"/>
    <x v="1"/>
    <x v="45"/>
    <x v="0"/>
    <x v="2781"/>
  </r>
  <r>
    <x v="0"/>
    <x v="1116"/>
    <x v="428"/>
    <x v="87"/>
    <x v="69"/>
    <x v="316"/>
    <x v="124"/>
    <x v="2551"/>
    <x v="524"/>
    <x v="1068"/>
    <x v="1652"/>
    <x v="1976"/>
    <x v="2739"/>
    <x v="2733"/>
    <x v="2528"/>
    <x v="0"/>
    <x v="2715"/>
    <x v="2739"/>
    <x v="365"/>
    <x v="0"/>
    <x v="0"/>
    <x v="3"/>
    <x v="137"/>
    <x v="19"/>
    <x v="4"/>
    <x v="4"/>
    <x v="3"/>
    <x v="497"/>
    <x v="0"/>
    <x v="2782"/>
  </r>
  <r>
    <x v="0"/>
    <x v="265"/>
    <x v="329"/>
    <x v="56"/>
    <x v="175"/>
    <x v="208"/>
    <x v="302"/>
    <x v="2552"/>
    <x v="17"/>
    <x v="1069"/>
    <x v="1653"/>
    <x v="1977"/>
    <x v="2740"/>
    <x v="2734"/>
    <x v="2529"/>
    <x v="0"/>
    <x v="2716"/>
    <x v="2740"/>
    <x v="755"/>
    <x v="0"/>
    <x v="0"/>
    <x v="4"/>
    <x v="137"/>
    <x v="27"/>
    <x v="772"/>
    <x v="18"/>
    <x v="3"/>
    <x v="1"/>
    <x v="0"/>
    <x v="2783"/>
  </r>
  <r>
    <x v="0"/>
    <x v="398"/>
    <x v="361"/>
    <x v="54"/>
    <x v="123"/>
    <x v="180"/>
    <x v="556"/>
    <x v="2553"/>
    <x v="26"/>
    <x v="1070"/>
    <x v="1654"/>
    <x v="1978"/>
    <x v="2741"/>
    <x v="2735"/>
    <x v="2530"/>
    <x v="4"/>
    <x v="2717"/>
    <x v="2741"/>
    <x v="631"/>
    <x v="0"/>
    <x v="0"/>
    <x v="4"/>
    <x v="137"/>
    <x v="19"/>
    <x v="662"/>
    <x v="20"/>
    <x v="1"/>
    <x v="498"/>
    <x v="0"/>
    <x v="2784"/>
  </r>
  <r>
    <x v="0"/>
    <x v="548"/>
    <x v="384"/>
    <x v="7"/>
    <x v="0"/>
    <x v="553"/>
    <x v="253"/>
    <x v="2554"/>
    <x v="555"/>
    <x v="474"/>
    <x v="1448"/>
    <x v="1979"/>
    <x v="2742"/>
    <x v="2736"/>
    <x v="1085"/>
    <x v="1"/>
    <x v="2718"/>
    <x v="2742"/>
    <x v="327"/>
    <x v="0"/>
    <x v="0"/>
    <x v="4"/>
    <x v="78"/>
    <x v="16"/>
    <x v="259"/>
    <x v="33"/>
    <x v="3"/>
    <x v="103"/>
    <x v="0"/>
    <x v="2785"/>
  </r>
  <r>
    <x v="0"/>
    <x v="1002"/>
    <x v="249"/>
    <x v="34"/>
    <x v="109"/>
    <x v="214"/>
    <x v="199"/>
    <x v="4"/>
    <x v="429"/>
    <x v="1071"/>
    <x v="797"/>
    <x v="702"/>
    <x v="2743"/>
    <x v="2737"/>
    <x v="1041"/>
    <x v="6"/>
    <x v="2719"/>
    <x v="2743"/>
    <x v="418"/>
    <x v="0"/>
    <x v="0"/>
    <x v="4"/>
    <x v="137"/>
    <x v="47"/>
    <x v="59"/>
    <x v="42"/>
    <x v="3"/>
    <x v="499"/>
    <x v="0"/>
    <x v="2786"/>
  </r>
  <r>
    <x v="0"/>
    <x v="1003"/>
    <x v="211"/>
    <x v="43"/>
    <x v="45"/>
    <x v="570"/>
    <x v="185"/>
    <x v="2555"/>
    <x v="236"/>
    <x v="779"/>
    <x v="1655"/>
    <x v="1980"/>
    <x v="2744"/>
    <x v="2738"/>
    <x v="2531"/>
    <x v="0"/>
    <x v="2720"/>
    <x v="2744"/>
    <x v="886"/>
    <x v="0"/>
    <x v="1"/>
    <x v="0"/>
    <x v="137"/>
    <x v="12"/>
    <x v="502"/>
    <x v="40"/>
    <x v="1"/>
    <x v="1"/>
    <x v="0"/>
    <x v="2787"/>
  </r>
  <r>
    <x v="0"/>
    <x v="495"/>
    <x v="392"/>
    <x v="78"/>
    <x v="202"/>
    <x v="156"/>
    <x v="366"/>
    <x v="2556"/>
    <x v="127"/>
    <x v="665"/>
    <x v="31"/>
    <x v="192"/>
    <x v="2745"/>
    <x v="2739"/>
    <x v="2321"/>
    <x v="4"/>
    <x v="2721"/>
    <x v="2745"/>
    <x v="400"/>
    <x v="0"/>
    <x v="0"/>
    <x v="0"/>
    <x v="137"/>
    <x v="17"/>
    <x v="25"/>
    <x v="51"/>
    <x v="3"/>
    <x v="500"/>
    <x v="0"/>
    <x v="2788"/>
  </r>
  <r>
    <x v="0"/>
    <x v="138"/>
    <x v="202"/>
    <x v="26"/>
    <x v="103"/>
    <x v="113"/>
    <x v="8"/>
    <x v="2557"/>
    <x v="678"/>
    <x v="8"/>
    <x v="1245"/>
    <x v="1981"/>
    <x v="2746"/>
    <x v="2740"/>
    <x v="2532"/>
    <x v="2"/>
    <x v="2722"/>
    <x v="2746"/>
    <x v="699"/>
    <x v="0"/>
    <x v="0"/>
    <x v="4"/>
    <x v="137"/>
    <x v="0"/>
    <x v="20"/>
    <x v="12"/>
    <x v="1"/>
    <x v="86"/>
    <x v="0"/>
    <x v="2789"/>
  </r>
  <r>
    <x v="0"/>
    <x v="1171"/>
    <x v="184"/>
    <x v="33"/>
    <x v="137"/>
    <x v="395"/>
    <x v="398"/>
    <x v="2558"/>
    <x v="127"/>
    <x v="721"/>
    <x v="1656"/>
    <x v="1982"/>
    <x v="2747"/>
    <x v="2741"/>
    <x v="2533"/>
    <x v="4"/>
    <x v="2723"/>
    <x v="2747"/>
    <x v="822"/>
    <x v="0"/>
    <x v="0"/>
    <x v="0"/>
    <x v="137"/>
    <x v="5"/>
    <x v="469"/>
    <x v="41"/>
    <x v="1"/>
    <x v="103"/>
    <x v="0"/>
    <x v="2790"/>
  </r>
  <r>
    <x v="0"/>
    <x v="1172"/>
    <x v="447"/>
    <x v="45"/>
    <x v="0"/>
    <x v="820"/>
    <x v="22"/>
    <x v="2559"/>
    <x v="125"/>
    <x v="374"/>
    <x v="323"/>
    <x v="1983"/>
    <x v="2748"/>
    <x v="2742"/>
    <x v="2534"/>
    <x v="0"/>
    <x v="2724"/>
    <x v="2748"/>
    <x v="170"/>
    <x v="0"/>
    <x v="0"/>
    <x v="4"/>
    <x v="137"/>
    <x v="20"/>
    <x v="12"/>
    <x v="19"/>
    <x v="3"/>
    <x v="501"/>
    <x v="0"/>
    <x v="2791"/>
  </r>
  <r>
    <x v="0"/>
    <x v="1173"/>
    <x v="219"/>
    <x v="85"/>
    <x v="101"/>
    <x v="237"/>
    <x v="557"/>
    <x v="2560"/>
    <x v="638"/>
    <x v="1072"/>
    <x v="1657"/>
    <x v="1984"/>
    <x v="2749"/>
    <x v="2743"/>
    <x v="568"/>
    <x v="5"/>
    <x v="2725"/>
    <x v="2749"/>
    <x v="486"/>
    <x v="0"/>
    <x v="20"/>
    <x v="2"/>
    <x v="176"/>
    <x v="15"/>
    <x v="337"/>
    <x v="8"/>
    <x v="3"/>
    <x v="195"/>
    <x v="0"/>
    <x v="2792"/>
  </r>
  <r>
    <x v="0"/>
    <x v="1174"/>
    <x v="345"/>
    <x v="41"/>
    <x v="256"/>
    <x v="557"/>
    <x v="0"/>
    <x v="2561"/>
    <x v="471"/>
    <x v="31"/>
    <x v="1658"/>
    <x v="883"/>
    <x v="2750"/>
    <x v="2744"/>
    <x v="2535"/>
    <x v="0"/>
    <x v="2726"/>
    <x v="2750"/>
    <x v="138"/>
    <x v="0"/>
    <x v="0"/>
    <x v="4"/>
    <x v="231"/>
    <x v="25"/>
    <x v="306"/>
    <x v="20"/>
    <x v="3"/>
    <x v="1"/>
    <x v="0"/>
    <x v="2793"/>
  </r>
  <r>
    <x v="0"/>
    <x v="48"/>
    <x v="349"/>
    <x v="16"/>
    <x v="33"/>
    <x v="65"/>
    <x v="13"/>
    <x v="4"/>
    <x v="350"/>
    <x v="158"/>
    <x v="260"/>
    <x v="81"/>
    <x v="2751"/>
    <x v="2745"/>
    <x v="159"/>
    <x v="0"/>
    <x v="2727"/>
    <x v="2751"/>
    <x v="678"/>
    <x v="0"/>
    <x v="0"/>
    <x v="2"/>
    <x v="137"/>
    <x v="47"/>
    <x v="176"/>
    <x v="10"/>
    <x v="10"/>
    <x v="502"/>
    <x v="0"/>
    <x v="2794"/>
  </r>
  <r>
    <x v="0"/>
    <x v="437"/>
    <x v="429"/>
    <x v="69"/>
    <x v="0"/>
    <x v="492"/>
    <x v="0"/>
    <x v="2562"/>
    <x v="200"/>
    <x v="114"/>
    <x v="58"/>
    <x v="1985"/>
    <x v="2752"/>
    <x v="2746"/>
    <x v="2536"/>
    <x v="0"/>
    <x v="2728"/>
    <x v="2752"/>
    <x v="592"/>
    <x v="0"/>
    <x v="0"/>
    <x v="0"/>
    <x v="137"/>
    <x v="24"/>
    <x v="45"/>
    <x v="8"/>
    <x v="3"/>
    <x v="503"/>
    <x v="0"/>
    <x v="2795"/>
  </r>
  <r>
    <x v="0"/>
    <x v="616"/>
    <x v="241"/>
    <x v="50"/>
    <x v="0"/>
    <x v="478"/>
    <x v="25"/>
    <x v="2563"/>
    <x v="105"/>
    <x v="26"/>
    <x v="1659"/>
    <x v="1147"/>
    <x v="2753"/>
    <x v="2747"/>
    <x v="362"/>
    <x v="3"/>
    <x v="2729"/>
    <x v="2753"/>
    <x v="650"/>
    <x v="0"/>
    <x v="0"/>
    <x v="4"/>
    <x v="4"/>
    <x v="1"/>
    <x v="81"/>
    <x v="34"/>
    <x v="3"/>
    <x v="337"/>
    <x v="0"/>
    <x v="2796"/>
  </r>
  <r>
    <x v="0"/>
    <x v="1175"/>
    <x v="317"/>
    <x v="79"/>
    <x v="79"/>
    <x v="244"/>
    <x v="0"/>
    <x v="2564"/>
    <x v="179"/>
    <x v="1073"/>
    <x v="1660"/>
    <x v="1986"/>
    <x v="2754"/>
    <x v="2748"/>
    <x v="2537"/>
    <x v="1"/>
    <x v="2730"/>
    <x v="2754"/>
    <x v="804"/>
    <x v="0"/>
    <x v="0"/>
    <x v="4"/>
    <x v="190"/>
    <x v="18"/>
    <x v="372"/>
    <x v="46"/>
    <x v="3"/>
    <x v="1"/>
    <x v="0"/>
    <x v="2797"/>
  </r>
  <r>
    <x v="0"/>
    <x v="80"/>
    <x v="474"/>
    <x v="76"/>
    <x v="63"/>
    <x v="172"/>
    <x v="408"/>
    <x v="2421"/>
    <x v="189"/>
    <x v="1017"/>
    <x v="1161"/>
    <x v="1887"/>
    <x v="2590"/>
    <x v="2586"/>
    <x v="2405"/>
    <x v="1"/>
    <x v="2569"/>
    <x v="2590"/>
    <x v="195"/>
    <x v="0"/>
    <x v="0"/>
    <x v="2"/>
    <x v="159"/>
    <x v="19"/>
    <x v="619"/>
    <x v="28"/>
    <x v="3"/>
    <x v="466"/>
    <x v="0"/>
    <x v="2798"/>
  </r>
  <r>
    <x v="0"/>
    <x v="1176"/>
    <x v="423"/>
    <x v="52"/>
    <x v="0"/>
    <x v="204"/>
    <x v="25"/>
    <x v="2565"/>
    <x v="433"/>
    <x v="82"/>
    <x v="838"/>
    <x v="575"/>
    <x v="2755"/>
    <x v="2749"/>
    <x v="2538"/>
    <x v="0"/>
    <x v="2731"/>
    <x v="2755"/>
    <x v="354"/>
    <x v="0"/>
    <x v="0"/>
    <x v="4"/>
    <x v="137"/>
    <x v="7"/>
    <x v="325"/>
    <x v="15"/>
    <x v="1"/>
    <x v="1"/>
    <x v="0"/>
    <x v="2799"/>
  </r>
  <r>
    <x v="0"/>
    <x v="197"/>
    <x v="258"/>
    <x v="107"/>
    <x v="139"/>
    <x v="821"/>
    <x v="558"/>
    <x v="2566"/>
    <x v="679"/>
    <x v="1074"/>
    <x v="438"/>
    <x v="1987"/>
    <x v="2756"/>
    <x v="2750"/>
    <x v="1880"/>
    <x v="7"/>
    <x v="2732"/>
    <x v="2756"/>
    <x v="780"/>
    <x v="0"/>
    <x v="0"/>
    <x v="0"/>
    <x v="137"/>
    <x v="18"/>
    <x v="293"/>
    <x v="28"/>
    <x v="1"/>
    <x v="398"/>
    <x v="0"/>
    <x v="2800"/>
  </r>
  <r>
    <x v="0"/>
    <x v="1177"/>
    <x v="379"/>
    <x v="107"/>
    <x v="72"/>
    <x v="246"/>
    <x v="98"/>
    <x v="2567"/>
    <x v="311"/>
    <x v="1075"/>
    <x v="1661"/>
    <x v="1988"/>
    <x v="2757"/>
    <x v="2751"/>
    <x v="2539"/>
    <x v="1"/>
    <x v="2733"/>
    <x v="2757"/>
    <x v="646"/>
    <x v="0"/>
    <x v="0"/>
    <x v="0"/>
    <x v="137"/>
    <x v="3"/>
    <x v="330"/>
    <x v="28"/>
    <x v="1"/>
    <x v="1"/>
    <x v="0"/>
    <x v="2801"/>
  </r>
  <r>
    <x v="0"/>
    <x v="1178"/>
    <x v="415"/>
    <x v="52"/>
    <x v="346"/>
    <x v="491"/>
    <x v="559"/>
    <x v="2568"/>
    <x v="113"/>
    <x v="1076"/>
    <x v="12"/>
    <x v="1989"/>
    <x v="2758"/>
    <x v="2752"/>
    <x v="2540"/>
    <x v="1"/>
    <x v="2734"/>
    <x v="2758"/>
    <x v="509"/>
    <x v="3"/>
    <x v="10"/>
    <x v="0"/>
    <x v="4"/>
    <x v="1"/>
    <x v="11"/>
    <x v="25"/>
    <x v="3"/>
    <x v="38"/>
    <x v="0"/>
    <x v="2802"/>
  </r>
  <r>
    <x v="0"/>
    <x v="1179"/>
    <x v="24"/>
    <x v="64"/>
    <x v="222"/>
    <x v="457"/>
    <x v="21"/>
    <x v="2569"/>
    <x v="17"/>
    <x v="141"/>
    <x v="523"/>
    <x v="1990"/>
    <x v="2759"/>
    <x v="2753"/>
    <x v="2541"/>
    <x v="0"/>
    <x v="2735"/>
    <x v="2759"/>
    <x v="519"/>
    <x v="0"/>
    <x v="0"/>
    <x v="4"/>
    <x v="140"/>
    <x v="7"/>
    <x v="341"/>
    <x v="32"/>
    <x v="1"/>
    <x v="9"/>
    <x v="0"/>
    <x v="2803"/>
  </r>
  <r>
    <x v="0"/>
    <x v="1180"/>
    <x v="315"/>
    <x v="78"/>
    <x v="255"/>
    <x v="72"/>
    <x v="25"/>
    <x v="2570"/>
    <x v="150"/>
    <x v="392"/>
    <x v="1662"/>
    <x v="1991"/>
    <x v="2760"/>
    <x v="2754"/>
    <x v="2542"/>
    <x v="7"/>
    <x v="2736"/>
    <x v="2760"/>
    <x v="137"/>
    <x v="0"/>
    <x v="0"/>
    <x v="4"/>
    <x v="151"/>
    <x v="21"/>
    <x v="773"/>
    <x v="18"/>
    <x v="1"/>
    <x v="187"/>
    <x v="0"/>
    <x v="2804"/>
  </r>
  <r>
    <x v="0"/>
    <x v="864"/>
    <x v="276"/>
    <x v="86"/>
    <x v="316"/>
    <x v="41"/>
    <x v="14"/>
    <x v="2571"/>
    <x v="270"/>
    <x v="414"/>
    <x v="1663"/>
    <x v="1992"/>
    <x v="2761"/>
    <x v="2755"/>
    <x v="2543"/>
    <x v="1"/>
    <x v="2737"/>
    <x v="2761"/>
    <x v="340"/>
    <x v="0"/>
    <x v="0"/>
    <x v="4"/>
    <x v="137"/>
    <x v="15"/>
    <x v="362"/>
    <x v="4"/>
    <x v="3"/>
    <x v="504"/>
    <x v="0"/>
    <x v="2805"/>
  </r>
  <r>
    <x v="0"/>
    <x v="120"/>
    <x v="339"/>
    <x v="42"/>
    <x v="77"/>
    <x v="100"/>
    <x v="560"/>
    <x v="2572"/>
    <x v="406"/>
    <x v="1077"/>
    <x v="1664"/>
    <x v="1993"/>
    <x v="2762"/>
    <x v="2756"/>
    <x v="2544"/>
    <x v="3"/>
    <x v="2738"/>
    <x v="2762"/>
    <x v="247"/>
    <x v="0"/>
    <x v="10"/>
    <x v="0"/>
    <x v="137"/>
    <x v="7"/>
    <x v="138"/>
    <x v="10"/>
    <x v="1"/>
    <x v="314"/>
    <x v="0"/>
    <x v="2806"/>
  </r>
  <r>
    <x v="0"/>
    <x v="1181"/>
    <x v="272"/>
    <x v="95"/>
    <x v="69"/>
    <x v="313"/>
    <x v="561"/>
    <x v="2573"/>
    <x v="416"/>
    <x v="1078"/>
    <x v="1665"/>
    <x v="1994"/>
    <x v="2763"/>
    <x v="2757"/>
    <x v="2545"/>
    <x v="2"/>
    <x v="2739"/>
    <x v="2763"/>
    <x v="339"/>
    <x v="0"/>
    <x v="0"/>
    <x v="0"/>
    <x v="137"/>
    <x v="18"/>
    <x v="364"/>
    <x v="65"/>
    <x v="3"/>
    <x v="505"/>
    <x v="0"/>
    <x v="2807"/>
  </r>
  <r>
    <x v="0"/>
    <x v="1072"/>
    <x v="393"/>
    <x v="106"/>
    <x v="265"/>
    <x v="531"/>
    <x v="562"/>
    <x v="2574"/>
    <x v="415"/>
    <x v="1079"/>
    <x v="1666"/>
    <x v="1995"/>
    <x v="2764"/>
    <x v="2758"/>
    <x v="2546"/>
    <x v="1"/>
    <x v="2740"/>
    <x v="2764"/>
    <x v="788"/>
    <x v="0"/>
    <x v="10"/>
    <x v="0"/>
    <x v="137"/>
    <x v="16"/>
    <x v="562"/>
    <x v="20"/>
    <x v="3"/>
    <x v="506"/>
    <x v="0"/>
    <x v="2808"/>
  </r>
  <r>
    <x v="0"/>
    <x v="1113"/>
    <x v="126"/>
    <x v="55"/>
    <x v="31"/>
    <x v="558"/>
    <x v="21"/>
    <x v="2575"/>
    <x v="127"/>
    <x v="298"/>
    <x v="333"/>
    <x v="885"/>
    <x v="2765"/>
    <x v="2759"/>
    <x v="2547"/>
    <x v="2"/>
    <x v="2741"/>
    <x v="2765"/>
    <x v="167"/>
    <x v="0"/>
    <x v="1"/>
    <x v="0"/>
    <x v="4"/>
    <x v="8"/>
    <x v="30"/>
    <x v="10"/>
    <x v="1"/>
    <x v="43"/>
    <x v="0"/>
    <x v="2809"/>
  </r>
  <r>
    <x v="0"/>
    <x v="1182"/>
    <x v="412"/>
    <x v="46"/>
    <x v="182"/>
    <x v="371"/>
    <x v="17"/>
    <x v="2576"/>
    <x v="96"/>
    <x v="18"/>
    <x v="1667"/>
    <x v="1996"/>
    <x v="2766"/>
    <x v="2760"/>
    <x v="2548"/>
    <x v="0"/>
    <x v="2742"/>
    <x v="2766"/>
    <x v="824"/>
    <x v="0"/>
    <x v="44"/>
    <x v="2"/>
    <x v="137"/>
    <x v="33"/>
    <x v="774"/>
    <x v="12"/>
    <x v="1"/>
    <x v="507"/>
    <x v="0"/>
    <x v="2810"/>
  </r>
  <r>
    <x v="0"/>
    <x v="954"/>
    <x v="180"/>
    <x v="13"/>
    <x v="86"/>
    <x v="496"/>
    <x v="563"/>
    <x v="2577"/>
    <x v="406"/>
    <x v="1080"/>
    <x v="1668"/>
    <x v="1997"/>
    <x v="2767"/>
    <x v="2761"/>
    <x v="1206"/>
    <x v="0"/>
    <x v="2743"/>
    <x v="2767"/>
    <x v="550"/>
    <x v="0"/>
    <x v="1"/>
    <x v="4"/>
    <x v="186"/>
    <x v="11"/>
    <x v="462"/>
    <x v="2"/>
    <x v="1"/>
    <x v="1"/>
    <x v="0"/>
    <x v="2811"/>
  </r>
  <r>
    <x v="0"/>
    <x v="1183"/>
    <x v="309"/>
    <x v="27"/>
    <x v="347"/>
    <x v="79"/>
    <x v="564"/>
    <x v="2578"/>
    <x v="17"/>
    <x v="1081"/>
    <x v="1669"/>
    <x v="1998"/>
    <x v="2768"/>
    <x v="2045"/>
    <x v="2549"/>
    <x v="0"/>
    <x v="2744"/>
    <x v="2768"/>
    <x v="755"/>
    <x v="3"/>
    <x v="10"/>
    <x v="2"/>
    <x v="4"/>
    <x v="0"/>
    <x v="775"/>
    <x v="22"/>
    <x v="1"/>
    <x v="508"/>
    <x v="0"/>
    <x v="2812"/>
  </r>
  <r>
    <x v="0"/>
    <x v="475"/>
    <x v="474"/>
    <x v="5"/>
    <x v="162"/>
    <x v="7"/>
    <x v="565"/>
    <x v="2579"/>
    <x v="680"/>
    <x v="1082"/>
    <x v="1670"/>
    <x v="1999"/>
    <x v="2769"/>
    <x v="2762"/>
    <x v="2550"/>
    <x v="4"/>
    <x v="2745"/>
    <x v="2769"/>
    <x v="650"/>
    <x v="0"/>
    <x v="10"/>
    <x v="10"/>
    <x v="47"/>
    <x v="19"/>
    <x v="303"/>
    <x v="11"/>
    <x v="3"/>
    <x v="1"/>
    <x v="0"/>
    <x v="2813"/>
  </r>
  <r>
    <x v="0"/>
    <x v="1184"/>
    <x v="401"/>
    <x v="85"/>
    <x v="216"/>
    <x v="502"/>
    <x v="563"/>
    <x v="4"/>
    <x v="97"/>
    <x v="1083"/>
    <x v="1671"/>
    <x v="2000"/>
    <x v="2770"/>
    <x v="1371"/>
    <x v="2551"/>
    <x v="4"/>
    <x v="2746"/>
    <x v="2770"/>
    <x v="705"/>
    <x v="4"/>
    <x v="9"/>
    <x v="4"/>
    <x v="176"/>
    <x v="5"/>
    <x v="776"/>
    <x v="8"/>
    <x v="1"/>
    <x v="103"/>
    <x v="0"/>
    <x v="2814"/>
  </r>
  <r>
    <x v="0"/>
    <x v="222"/>
    <x v="394"/>
    <x v="69"/>
    <x v="153"/>
    <x v="109"/>
    <x v="566"/>
    <x v="2580"/>
    <x v="638"/>
    <x v="1084"/>
    <x v="1672"/>
    <x v="774"/>
    <x v="2771"/>
    <x v="2763"/>
    <x v="2552"/>
    <x v="0"/>
    <x v="2747"/>
    <x v="2771"/>
    <x v="225"/>
    <x v="0"/>
    <x v="0"/>
    <x v="4"/>
    <x v="159"/>
    <x v="8"/>
    <x v="367"/>
    <x v="15"/>
    <x v="3"/>
    <x v="236"/>
    <x v="0"/>
    <x v="2815"/>
  </r>
  <r>
    <x v="0"/>
    <x v="1185"/>
    <x v="410"/>
    <x v="17"/>
    <x v="59"/>
    <x v="542"/>
    <x v="57"/>
    <x v="2581"/>
    <x v="270"/>
    <x v="109"/>
    <x v="320"/>
    <x v="2001"/>
    <x v="2772"/>
    <x v="2764"/>
    <x v="2553"/>
    <x v="1"/>
    <x v="2748"/>
    <x v="2772"/>
    <x v="119"/>
    <x v="0"/>
    <x v="0"/>
    <x v="4"/>
    <x v="137"/>
    <x v="10"/>
    <x v="30"/>
    <x v="12"/>
    <x v="3"/>
    <x v="1"/>
    <x v="0"/>
    <x v="2816"/>
  </r>
  <r>
    <x v="0"/>
    <x v="1186"/>
    <x v="399"/>
    <x v="78"/>
    <x v="123"/>
    <x v="822"/>
    <x v="327"/>
    <x v="4"/>
    <x v="476"/>
    <x v="687"/>
    <x v="946"/>
    <x v="2002"/>
    <x v="2773"/>
    <x v="2765"/>
    <x v="2554"/>
    <x v="6"/>
    <x v="2749"/>
    <x v="2773"/>
    <x v="421"/>
    <x v="0"/>
    <x v="4"/>
    <x v="4"/>
    <x v="4"/>
    <x v="0"/>
    <x v="532"/>
    <x v="57"/>
    <x v="3"/>
    <x v="509"/>
    <x v="0"/>
    <x v="2817"/>
  </r>
  <r>
    <x v="0"/>
    <x v="340"/>
    <x v="314"/>
    <x v="78"/>
    <x v="0"/>
    <x v="429"/>
    <x v="0"/>
    <x v="2582"/>
    <x v="105"/>
    <x v="381"/>
    <x v="1139"/>
    <x v="985"/>
    <x v="2774"/>
    <x v="2766"/>
    <x v="2555"/>
    <x v="0"/>
    <x v="2750"/>
    <x v="2774"/>
    <x v="780"/>
    <x v="0"/>
    <x v="0"/>
    <x v="2"/>
    <x v="137"/>
    <x v="5"/>
    <x v="261"/>
    <x v="16"/>
    <x v="3"/>
    <x v="57"/>
    <x v="0"/>
    <x v="2818"/>
  </r>
  <r>
    <x v="0"/>
    <x v="106"/>
    <x v="122"/>
    <x v="90"/>
    <x v="0"/>
    <x v="21"/>
    <x v="10"/>
    <x v="2583"/>
    <x v="17"/>
    <x v="40"/>
    <x v="57"/>
    <x v="28"/>
    <x v="2775"/>
    <x v="2767"/>
    <x v="2556"/>
    <x v="0"/>
    <x v="2751"/>
    <x v="2775"/>
    <x v="887"/>
    <x v="0"/>
    <x v="0"/>
    <x v="4"/>
    <x v="137"/>
    <x v="12"/>
    <x v="44"/>
    <x v="16"/>
    <x v="3"/>
    <x v="38"/>
    <x v="0"/>
    <x v="2819"/>
  </r>
  <r>
    <x v="0"/>
    <x v="88"/>
    <x v="195"/>
    <x v="59"/>
    <x v="70"/>
    <x v="169"/>
    <x v="75"/>
    <x v="236"/>
    <x v="34"/>
    <x v="133"/>
    <x v="193"/>
    <x v="214"/>
    <x v="242"/>
    <x v="2768"/>
    <x v="238"/>
    <x v="0"/>
    <x v="240"/>
    <x v="242"/>
    <x v="228"/>
    <x v="0"/>
    <x v="0"/>
    <x v="0"/>
    <x v="44"/>
    <x v="11"/>
    <x v="130"/>
    <x v="18"/>
    <x v="1"/>
    <x v="66"/>
    <x v="0"/>
    <x v="2820"/>
  </r>
  <r>
    <x v="0"/>
    <x v="941"/>
    <x v="343"/>
    <x v="55"/>
    <x v="222"/>
    <x v="14"/>
    <x v="438"/>
    <x v="2584"/>
    <x v="127"/>
    <x v="792"/>
    <x v="1309"/>
    <x v="2003"/>
    <x v="2776"/>
    <x v="2769"/>
    <x v="2557"/>
    <x v="1"/>
    <x v="2752"/>
    <x v="2776"/>
    <x v="248"/>
    <x v="0"/>
    <x v="0"/>
    <x v="0"/>
    <x v="176"/>
    <x v="16"/>
    <x v="677"/>
    <x v="2"/>
    <x v="3"/>
    <x v="1"/>
    <x v="0"/>
    <x v="2821"/>
  </r>
  <r>
    <x v="0"/>
    <x v="960"/>
    <x v="198"/>
    <x v="86"/>
    <x v="215"/>
    <x v="250"/>
    <x v="35"/>
    <x v="2585"/>
    <x v="17"/>
    <x v="184"/>
    <x v="860"/>
    <x v="541"/>
    <x v="2777"/>
    <x v="2770"/>
    <x v="2558"/>
    <x v="4"/>
    <x v="2753"/>
    <x v="2777"/>
    <x v="364"/>
    <x v="0"/>
    <x v="0"/>
    <x v="0"/>
    <x v="179"/>
    <x v="19"/>
    <x v="409"/>
    <x v="38"/>
    <x v="3"/>
    <x v="1"/>
    <x v="0"/>
    <x v="2822"/>
  </r>
  <r>
    <x v="0"/>
    <x v="614"/>
    <x v="283"/>
    <x v="77"/>
    <x v="47"/>
    <x v="288"/>
    <x v="22"/>
    <x v="2586"/>
    <x v="376"/>
    <x v="191"/>
    <x v="1254"/>
    <x v="2004"/>
    <x v="2778"/>
    <x v="2771"/>
    <x v="2559"/>
    <x v="2"/>
    <x v="2754"/>
    <x v="2778"/>
    <x v="793"/>
    <x v="0"/>
    <x v="0"/>
    <x v="4"/>
    <x v="137"/>
    <x v="2"/>
    <x v="651"/>
    <x v="37"/>
    <x v="3"/>
    <x v="1"/>
    <x v="0"/>
    <x v="2823"/>
  </r>
  <r>
    <x v="0"/>
    <x v="113"/>
    <x v="302"/>
    <x v="162"/>
    <x v="88"/>
    <x v="621"/>
    <x v="457"/>
    <x v="2587"/>
    <x v="270"/>
    <x v="1085"/>
    <x v="1673"/>
    <x v="2005"/>
    <x v="2779"/>
    <x v="2772"/>
    <x v="2560"/>
    <x v="0"/>
    <x v="2755"/>
    <x v="2779"/>
    <x v="820"/>
    <x v="26"/>
    <x v="45"/>
    <x v="7"/>
    <x v="4"/>
    <x v="4"/>
    <x v="515"/>
    <x v="71"/>
    <x v="8"/>
    <x v="1"/>
    <x v="0"/>
    <x v="2824"/>
  </r>
  <r>
    <x v="0"/>
    <x v="773"/>
    <x v="125"/>
    <x v="23"/>
    <x v="265"/>
    <x v="795"/>
    <x v="21"/>
    <x v="2588"/>
    <x v="113"/>
    <x v="141"/>
    <x v="1674"/>
    <x v="2006"/>
    <x v="2780"/>
    <x v="2773"/>
    <x v="2561"/>
    <x v="1"/>
    <x v="2756"/>
    <x v="2780"/>
    <x v="888"/>
    <x v="0"/>
    <x v="1"/>
    <x v="4"/>
    <x v="179"/>
    <x v="21"/>
    <x v="724"/>
    <x v="38"/>
    <x v="3"/>
    <x v="1"/>
    <x v="0"/>
    <x v="2825"/>
  </r>
  <r>
    <x v="0"/>
    <x v="1133"/>
    <x v="79"/>
    <x v="47"/>
    <x v="342"/>
    <x v="658"/>
    <x v="35"/>
    <x v="2589"/>
    <x v="70"/>
    <x v="164"/>
    <x v="310"/>
    <x v="1769"/>
    <x v="2781"/>
    <x v="2774"/>
    <x v="2562"/>
    <x v="6"/>
    <x v="2757"/>
    <x v="2781"/>
    <x v="437"/>
    <x v="0"/>
    <x v="1"/>
    <x v="4"/>
    <x v="159"/>
    <x v="3"/>
    <x v="210"/>
    <x v="13"/>
    <x v="1"/>
    <x v="76"/>
    <x v="0"/>
    <x v="2826"/>
  </r>
  <r>
    <x v="0"/>
    <x v="1022"/>
    <x v="459"/>
    <x v="72"/>
    <x v="239"/>
    <x v="369"/>
    <x v="184"/>
    <x v="2590"/>
    <x v="681"/>
    <x v="345"/>
    <x v="1535"/>
    <x v="1284"/>
    <x v="2782"/>
    <x v="2775"/>
    <x v="2563"/>
    <x v="0"/>
    <x v="2758"/>
    <x v="2782"/>
    <x v="247"/>
    <x v="0"/>
    <x v="0"/>
    <x v="4"/>
    <x v="4"/>
    <x v="18"/>
    <x v="172"/>
    <x v="19"/>
    <x v="3"/>
    <x v="343"/>
    <x v="0"/>
    <x v="2827"/>
  </r>
  <r>
    <x v="0"/>
    <x v="113"/>
    <x v="93"/>
    <x v="163"/>
    <x v="88"/>
    <x v="621"/>
    <x v="567"/>
    <x v="4"/>
    <x v="28"/>
    <x v="1086"/>
    <x v="1675"/>
    <x v="2007"/>
    <x v="2783"/>
    <x v="2776"/>
    <x v="1308"/>
    <x v="2"/>
    <x v="4"/>
    <x v="2783"/>
    <x v="188"/>
    <x v="26"/>
    <x v="45"/>
    <x v="1"/>
    <x v="4"/>
    <x v="4"/>
    <x v="556"/>
    <x v="38"/>
    <x v="2"/>
    <x v="510"/>
    <x v="0"/>
    <x v="2828"/>
  </r>
  <r>
    <x v="0"/>
    <x v="266"/>
    <x v="203"/>
    <x v="0"/>
    <x v="114"/>
    <x v="264"/>
    <x v="350"/>
    <x v="2591"/>
    <x v="256"/>
    <x v="1044"/>
    <x v="1676"/>
    <x v="1082"/>
    <x v="2784"/>
    <x v="2777"/>
    <x v="2564"/>
    <x v="0"/>
    <x v="2759"/>
    <x v="2784"/>
    <x v="504"/>
    <x v="15"/>
    <x v="8"/>
    <x v="4"/>
    <x v="179"/>
    <x v="14"/>
    <x v="164"/>
    <x v="24"/>
    <x v="3"/>
    <x v="57"/>
    <x v="0"/>
    <x v="2829"/>
  </r>
  <r>
    <x v="0"/>
    <x v="315"/>
    <x v="271"/>
    <x v="31"/>
    <x v="197"/>
    <x v="823"/>
    <x v="73"/>
    <x v="2592"/>
    <x v="425"/>
    <x v="1087"/>
    <x v="1677"/>
    <x v="2008"/>
    <x v="2785"/>
    <x v="2778"/>
    <x v="2565"/>
    <x v="1"/>
    <x v="2760"/>
    <x v="2785"/>
    <x v="629"/>
    <x v="6"/>
    <x v="13"/>
    <x v="0"/>
    <x v="70"/>
    <x v="14"/>
    <x v="777"/>
    <x v="14"/>
    <x v="1"/>
    <x v="1"/>
    <x v="0"/>
    <x v="2830"/>
  </r>
  <r>
    <x v="0"/>
    <x v="956"/>
    <x v="426"/>
    <x v="26"/>
    <x v="222"/>
    <x v="502"/>
    <x v="32"/>
    <x v="2593"/>
    <x v="251"/>
    <x v="59"/>
    <x v="1678"/>
    <x v="2009"/>
    <x v="2786"/>
    <x v="2779"/>
    <x v="2566"/>
    <x v="0"/>
    <x v="2761"/>
    <x v="2786"/>
    <x v="889"/>
    <x v="0"/>
    <x v="1"/>
    <x v="4"/>
    <x v="4"/>
    <x v="9"/>
    <x v="404"/>
    <x v="22"/>
    <x v="3"/>
    <x v="5"/>
    <x v="0"/>
    <x v="2831"/>
  </r>
  <r>
    <x v="0"/>
    <x v="277"/>
    <x v="219"/>
    <x v="61"/>
    <x v="181"/>
    <x v="217"/>
    <x v="49"/>
    <x v="2594"/>
    <x v="682"/>
    <x v="86"/>
    <x v="987"/>
    <x v="2010"/>
    <x v="2787"/>
    <x v="2780"/>
    <x v="2567"/>
    <x v="1"/>
    <x v="2762"/>
    <x v="2787"/>
    <x v="104"/>
    <x v="0"/>
    <x v="0"/>
    <x v="4"/>
    <x v="185"/>
    <x v="42"/>
    <x v="342"/>
    <x v="11"/>
    <x v="3"/>
    <x v="1"/>
    <x v="0"/>
    <x v="2832"/>
  </r>
  <r>
    <x v="0"/>
    <x v="676"/>
    <x v="169"/>
    <x v="7"/>
    <x v="129"/>
    <x v="201"/>
    <x v="121"/>
    <x v="2595"/>
    <x v="125"/>
    <x v="1088"/>
    <x v="1679"/>
    <x v="254"/>
    <x v="2788"/>
    <x v="2781"/>
    <x v="2568"/>
    <x v="7"/>
    <x v="2763"/>
    <x v="2788"/>
    <x v="789"/>
    <x v="0"/>
    <x v="18"/>
    <x v="0"/>
    <x v="232"/>
    <x v="5"/>
    <x v="778"/>
    <x v="57"/>
    <x v="0"/>
    <x v="511"/>
    <x v="0"/>
    <x v="2833"/>
  </r>
  <r>
    <x v="0"/>
    <x v="107"/>
    <x v="274"/>
    <x v="69"/>
    <x v="84"/>
    <x v="318"/>
    <x v="568"/>
    <x v="2596"/>
    <x v="305"/>
    <x v="1089"/>
    <x v="1680"/>
    <x v="2011"/>
    <x v="2789"/>
    <x v="2782"/>
    <x v="2569"/>
    <x v="1"/>
    <x v="2764"/>
    <x v="2789"/>
    <x v="551"/>
    <x v="0"/>
    <x v="0"/>
    <x v="3"/>
    <x v="185"/>
    <x v="10"/>
    <x v="779"/>
    <x v="72"/>
    <x v="3"/>
    <x v="66"/>
    <x v="0"/>
    <x v="2834"/>
  </r>
  <r>
    <x v="0"/>
    <x v="121"/>
    <x v="507"/>
    <x v="26"/>
    <x v="0"/>
    <x v="1"/>
    <x v="24"/>
    <x v="2597"/>
    <x v="306"/>
    <x v="131"/>
    <x v="34"/>
    <x v="1172"/>
    <x v="2790"/>
    <x v="2783"/>
    <x v="2570"/>
    <x v="1"/>
    <x v="2765"/>
    <x v="2790"/>
    <x v="890"/>
    <x v="0"/>
    <x v="0"/>
    <x v="4"/>
    <x v="185"/>
    <x v="5"/>
    <x v="28"/>
    <x v="25"/>
    <x v="1"/>
    <x v="512"/>
    <x v="0"/>
    <x v="2835"/>
  </r>
  <r>
    <x v="0"/>
    <x v="139"/>
    <x v="187"/>
    <x v="85"/>
    <x v="104"/>
    <x v="1"/>
    <x v="14"/>
    <x v="223"/>
    <x v="103"/>
    <x v="61"/>
    <x v="185"/>
    <x v="202"/>
    <x v="228"/>
    <x v="2784"/>
    <x v="2571"/>
    <x v="0"/>
    <x v="226"/>
    <x v="228"/>
    <x v="214"/>
    <x v="0"/>
    <x v="0"/>
    <x v="0"/>
    <x v="32"/>
    <x v="11"/>
    <x v="12"/>
    <x v="5"/>
    <x v="1"/>
    <x v="24"/>
    <x v="0"/>
    <x v="2836"/>
  </r>
  <r>
    <x v="0"/>
    <x v="420"/>
    <x v="290"/>
    <x v="129"/>
    <x v="0"/>
    <x v="23"/>
    <x v="13"/>
    <x v="2598"/>
    <x v="152"/>
    <x v="158"/>
    <x v="557"/>
    <x v="245"/>
    <x v="2791"/>
    <x v="2785"/>
    <x v="2572"/>
    <x v="1"/>
    <x v="2766"/>
    <x v="2791"/>
    <x v="891"/>
    <x v="0"/>
    <x v="0"/>
    <x v="4"/>
    <x v="185"/>
    <x v="55"/>
    <x v="20"/>
    <x v="29"/>
    <x v="3"/>
    <x v="57"/>
    <x v="0"/>
    <x v="2837"/>
  </r>
  <r>
    <x v="0"/>
    <x v="497"/>
    <x v="217"/>
    <x v="52"/>
    <x v="255"/>
    <x v="544"/>
    <x v="569"/>
    <x v="2599"/>
    <x v="484"/>
    <x v="1090"/>
    <x v="828"/>
    <x v="2012"/>
    <x v="2792"/>
    <x v="2786"/>
    <x v="2573"/>
    <x v="0"/>
    <x v="2767"/>
    <x v="2792"/>
    <x v="519"/>
    <x v="0"/>
    <x v="0"/>
    <x v="0"/>
    <x v="185"/>
    <x v="18"/>
    <x v="308"/>
    <x v="9"/>
    <x v="3"/>
    <x v="1"/>
    <x v="0"/>
    <x v="2838"/>
  </r>
  <r>
    <x v="0"/>
    <x v="200"/>
    <x v="182"/>
    <x v="77"/>
    <x v="140"/>
    <x v="588"/>
    <x v="570"/>
    <x v="2600"/>
    <x v="560"/>
    <x v="1091"/>
    <x v="1681"/>
    <x v="2013"/>
    <x v="2793"/>
    <x v="1923"/>
    <x v="672"/>
    <x v="0"/>
    <x v="2768"/>
    <x v="2793"/>
    <x v="635"/>
    <x v="0"/>
    <x v="0"/>
    <x v="4"/>
    <x v="222"/>
    <x v="32"/>
    <x v="780"/>
    <x v="20"/>
    <x v="3"/>
    <x v="1"/>
    <x v="0"/>
    <x v="2839"/>
  </r>
  <r>
    <x v="0"/>
    <x v="831"/>
    <x v="315"/>
    <x v="56"/>
    <x v="151"/>
    <x v="421"/>
    <x v="22"/>
    <x v="2601"/>
    <x v="270"/>
    <x v="80"/>
    <x v="1682"/>
    <x v="2014"/>
    <x v="2794"/>
    <x v="2787"/>
    <x v="2574"/>
    <x v="0"/>
    <x v="2769"/>
    <x v="2794"/>
    <x v="650"/>
    <x v="0"/>
    <x v="0"/>
    <x v="2"/>
    <x v="185"/>
    <x v="6"/>
    <x v="13"/>
    <x v="2"/>
    <x v="3"/>
    <x v="37"/>
    <x v="0"/>
    <x v="2840"/>
  </r>
  <r>
    <x v="0"/>
    <x v="1187"/>
    <x v="257"/>
    <x v="105"/>
    <x v="193"/>
    <x v="256"/>
    <x v="22"/>
    <x v="2602"/>
    <x v="583"/>
    <x v="80"/>
    <x v="826"/>
    <x v="1930"/>
    <x v="2795"/>
    <x v="2788"/>
    <x v="2575"/>
    <x v="4"/>
    <x v="2770"/>
    <x v="2795"/>
    <x v="865"/>
    <x v="0"/>
    <x v="0"/>
    <x v="0"/>
    <x v="185"/>
    <x v="21"/>
    <x v="93"/>
    <x v="34"/>
    <x v="15"/>
    <x v="1"/>
    <x v="0"/>
    <x v="2841"/>
  </r>
  <r>
    <x v="0"/>
    <x v="1188"/>
    <x v="401"/>
    <x v="86"/>
    <x v="38"/>
    <x v="802"/>
    <x v="517"/>
    <x v="2603"/>
    <x v="579"/>
    <x v="1092"/>
    <x v="1683"/>
    <x v="1861"/>
    <x v="2796"/>
    <x v="2789"/>
    <x v="2576"/>
    <x v="7"/>
    <x v="2771"/>
    <x v="2796"/>
    <x v="452"/>
    <x v="0"/>
    <x v="0"/>
    <x v="4"/>
    <x v="185"/>
    <x v="32"/>
    <x v="578"/>
    <x v="2"/>
    <x v="3"/>
    <x v="1"/>
    <x v="0"/>
    <x v="2842"/>
  </r>
  <r>
    <x v="0"/>
    <x v="1189"/>
    <x v="101"/>
    <x v="58"/>
    <x v="223"/>
    <x v="677"/>
    <x v="57"/>
    <x v="2604"/>
    <x v="200"/>
    <x v="192"/>
    <x v="698"/>
    <x v="1227"/>
    <x v="2797"/>
    <x v="2790"/>
    <x v="2577"/>
    <x v="3"/>
    <x v="2772"/>
    <x v="2797"/>
    <x v="372"/>
    <x v="0"/>
    <x v="0"/>
    <x v="0"/>
    <x v="185"/>
    <x v="11"/>
    <x v="18"/>
    <x v="11"/>
    <x v="3"/>
    <x v="0"/>
    <x v="0"/>
    <x v="2843"/>
  </r>
  <r>
    <x v="0"/>
    <x v="614"/>
    <x v="362"/>
    <x v="7"/>
    <x v="47"/>
    <x v="431"/>
    <x v="75"/>
    <x v="2605"/>
    <x v="127"/>
    <x v="696"/>
    <x v="1290"/>
    <x v="1419"/>
    <x v="2798"/>
    <x v="2791"/>
    <x v="2578"/>
    <x v="2"/>
    <x v="2773"/>
    <x v="2798"/>
    <x v="427"/>
    <x v="0"/>
    <x v="0"/>
    <x v="4"/>
    <x v="188"/>
    <x v="11"/>
    <x v="449"/>
    <x v="9"/>
    <x v="1"/>
    <x v="1"/>
    <x v="0"/>
    <x v="2844"/>
  </r>
  <r>
    <x v="0"/>
    <x v="627"/>
    <x v="395"/>
    <x v="55"/>
    <x v="107"/>
    <x v="388"/>
    <x v="29"/>
    <x v="2606"/>
    <x v="105"/>
    <x v="58"/>
    <x v="57"/>
    <x v="2015"/>
    <x v="2799"/>
    <x v="2792"/>
    <x v="2579"/>
    <x v="5"/>
    <x v="2774"/>
    <x v="2799"/>
    <x v="176"/>
    <x v="0"/>
    <x v="0"/>
    <x v="0"/>
    <x v="178"/>
    <x v="15"/>
    <x v="44"/>
    <x v="13"/>
    <x v="3"/>
    <x v="7"/>
    <x v="0"/>
    <x v="2845"/>
  </r>
  <r>
    <x v="0"/>
    <x v="1190"/>
    <x v="324"/>
    <x v="80"/>
    <x v="89"/>
    <x v="376"/>
    <x v="2"/>
    <x v="2607"/>
    <x v="125"/>
    <x v="336"/>
    <x v="1223"/>
    <x v="2016"/>
    <x v="2800"/>
    <x v="2793"/>
    <x v="412"/>
    <x v="1"/>
    <x v="2775"/>
    <x v="2800"/>
    <x v="757"/>
    <x v="0"/>
    <x v="0"/>
    <x v="0"/>
    <x v="185"/>
    <x v="19"/>
    <x v="476"/>
    <x v="18"/>
    <x v="3"/>
    <x v="103"/>
    <x v="0"/>
    <x v="2846"/>
  </r>
  <r>
    <x v="0"/>
    <x v="1191"/>
    <x v="307"/>
    <x v="95"/>
    <x v="0"/>
    <x v="94"/>
    <x v="2"/>
    <x v="2608"/>
    <x v="132"/>
    <x v="172"/>
    <x v="959"/>
    <x v="1070"/>
    <x v="2801"/>
    <x v="2794"/>
    <x v="2580"/>
    <x v="4"/>
    <x v="2776"/>
    <x v="2801"/>
    <x v="547"/>
    <x v="0"/>
    <x v="0"/>
    <x v="0"/>
    <x v="186"/>
    <x v="27"/>
    <x v="82"/>
    <x v="9"/>
    <x v="3"/>
    <x v="1"/>
    <x v="0"/>
    <x v="2847"/>
  </r>
  <r>
    <x v="0"/>
    <x v="444"/>
    <x v="72"/>
    <x v="107"/>
    <x v="241"/>
    <x v="621"/>
    <x v="571"/>
    <x v="2609"/>
    <x v="327"/>
    <x v="1093"/>
    <x v="1684"/>
    <x v="2017"/>
    <x v="2802"/>
    <x v="2795"/>
    <x v="482"/>
    <x v="0"/>
    <x v="2777"/>
    <x v="2802"/>
    <x v="301"/>
    <x v="0"/>
    <x v="0"/>
    <x v="0"/>
    <x v="173"/>
    <x v="6"/>
    <x v="781"/>
    <x v="2"/>
    <x v="1"/>
    <x v="1"/>
    <x v="0"/>
    <x v="2848"/>
  </r>
  <r>
    <x v="0"/>
    <x v="1192"/>
    <x v="112"/>
    <x v="60"/>
    <x v="107"/>
    <x v="824"/>
    <x v="94"/>
    <x v="2610"/>
    <x v="232"/>
    <x v="187"/>
    <x v="751"/>
    <x v="2018"/>
    <x v="2803"/>
    <x v="2796"/>
    <x v="2581"/>
    <x v="0"/>
    <x v="2778"/>
    <x v="2803"/>
    <x v="703"/>
    <x v="0"/>
    <x v="0"/>
    <x v="4"/>
    <x v="185"/>
    <x v="14"/>
    <x v="451"/>
    <x v="16"/>
    <x v="3"/>
    <x v="61"/>
    <x v="0"/>
    <x v="2849"/>
  </r>
  <r>
    <x v="0"/>
    <x v="940"/>
    <x v="372"/>
    <x v="71"/>
    <x v="89"/>
    <x v="54"/>
    <x v="572"/>
    <x v="2611"/>
    <x v="189"/>
    <x v="1094"/>
    <x v="1685"/>
    <x v="1241"/>
    <x v="2804"/>
    <x v="2797"/>
    <x v="2582"/>
    <x v="1"/>
    <x v="2779"/>
    <x v="2804"/>
    <x v="552"/>
    <x v="0"/>
    <x v="0"/>
    <x v="2"/>
    <x v="185"/>
    <x v="21"/>
    <x v="104"/>
    <x v="41"/>
    <x v="3"/>
    <x v="1"/>
    <x v="0"/>
    <x v="2850"/>
  </r>
  <r>
    <x v="0"/>
    <x v="1193"/>
    <x v="447"/>
    <x v="85"/>
    <x v="184"/>
    <x v="387"/>
    <x v="0"/>
    <x v="2612"/>
    <x v="105"/>
    <x v="481"/>
    <x v="1686"/>
    <x v="547"/>
    <x v="2805"/>
    <x v="2798"/>
    <x v="2583"/>
    <x v="12"/>
    <x v="2780"/>
    <x v="2805"/>
    <x v="646"/>
    <x v="0"/>
    <x v="0"/>
    <x v="0"/>
    <x v="185"/>
    <x v="1"/>
    <x v="782"/>
    <x v="9"/>
    <x v="1"/>
    <x v="1"/>
    <x v="0"/>
    <x v="2851"/>
  </r>
  <r>
    <x v="0"/>
    <x v="950"/>
    <x v="399"/>
    <x v="55"/>
    <x v="50"/>
    <x v="811"/>
    <x v="573"/>
    <x v="2613"/>
    <x v="683"/>
    <x v="1095"/>
    <x v="1687"/>
    <x v="2019"/>
    <x v="2806"/>
    <x v="1611"/>
    <x v="1956"/>
    <x v="4"/>
    <x v="2781"/>
    <x v="2806"/>
    <x v="352"/>
    <x v="0"/>
    <x v="0"/>
    <x v="2"/>
    <x v="135"/>
    <x v="15"/>
    <x v="783"/>
    <x v="73"/>
    <x v="3"/>
    <x v="1"/>
    <x v="0"/>
    <x v="2852"/>
  </r>
  <r>
    <x v="0"/>
    <x v="1194"/>
    <x v="394"/>
    <x v="43"/>
    <x v="85"/>
    <x v="51"/>
    <x v="272"/>
    <x v="2614"/>
    <x v="26"/>
    <x v="496"/>
    <x v="1688"/>
    <x v="2020"/>
    <x v="2807"/>
    <x v="2799"/>
    <x v="2584"/>
    <x v="7"/>
    <x v="2782"/>
    <x v="2807"/>
    <x v="352"/>
    <x v="0"/>
    <x v="0"/>
    <x v="4"/>
    <x v="185"/>
    <x v="20"/>
    <x v="723"/>
    <x v="9"/>
    <x v="3"/>
    <x v="509"/>
    <x v="0"/>
    <x v="2853"/>
  </r>
  <r>
    <x v="0"/>
    <x v="1195"/>
    <x v="429"/>
    <x v="7"/>
    <x v="5"/>
    <x v="145"/>
    <x v="337"/>
    <x v="2615"/>
    <x v="301"/>
    <x v="607"/>
    <x v="795"/>
    <x v="2021"/>
    <x v="2808"/>
    <x v="2800"/>
    <x v="2087"/>
    <x v="1"/>
    <x v="2783"/>
    <x v="2808"/>
    <x v="427"/>
    <x v="0"/>
    <x v="0"/>
    <x v="2"/>
    <x v="185"/>
    <x v="25"/>
    <x v="108"/>
    <x v="18"/>
    <x v="3"/>
    <x v="513"/>
    <x v="0"/>
    <x v="2854"/>
  </r>
  <r>
    <x v="0"/>
    <x v="1196"/>
    <x v="349"/>
    <x v="151"/>
    <x v="78"/>
    <x v="825"/>
    <x v="574"/>
    <x v="2616"/>
    <x v="471"/>
    <x v="1096"/>
    <x v="1689"/>
    <x v="2022"/>
    <x v="2809"/>
    <x v="2801"/>
    <x v="2585"/>
    <x v="0"/>
    <x v="2784"/>
    <x v="2809"/>
    <x v="690"/>
    <x v="0"/>
    <x v="0"/>
    <x v="4"/>
    <x v="185"/>
    <x v="22"/>
    <x v="348"/>
    <x v="20"/>
    <x v="3"/>
    <x v="1"/>
    <x v="0"/>
    <x v="2855"/>
  </r>
  <r>
    <x v="0"/>
    <x v="1197"/>
    <x v="459"/>
    <x v="95"/>
    <x v="69"/>
    <x v="382"/>
    <x v="0"/>
    <x v="2617"/>
    <x v="111"/>
    <x v="995"/>
    <x v="1690"/>
    <x v="2023"/>
    <x v="2810"/>
    <x v="2802"/>
    <x v="891"/>
    <x v="4"/>
    <x v="2785"/>
    <x v="2810"/>
    <x v="591"/>
    <x v="0"/>
    <x v="0"/>
    <x v="0"/>
    <x v="233"/>
    <x v="11"/>
    <x v="218"/>
    <x v="23"/>
    <x v="1"/>
    <x v="1"/>
    <x v="0"/>
    <x v="2856"/>
  </r>
  <r>
    <x v="0"/>
    <x v="291"/>
    <x v="162"/>
    <x v="51"/>
    <x v="0"/>
    <x v="331"/>
    <x v="35"/>
    <x v="2618"/>
    <x v="429"/>
    <x v="112"/>
    <x v="184"/>
    <x v="489"/>
    <x v="2811"/>
    <x v="2803"/>
    <x v="2586"/>
    <x v="0"/>
    <x v="2786"/>
    <x v="2811"/>
    <x v="892"/>
    <x v="0"/>
    <x v="0"/>
    <x v="4"/>
    <x v="135"/>
    <x v="1"/>
    <x v="125"/>
    <x v="13"/>
    <x v="3"/>
    <x v="35"/>
    <x v="0"/>
    <x v="2857"/>
  </r>
  <r>
    <x v="1"/>
    <x v="1198"/>
    <x v="508"/>
    <x v="26"/>
    <x v="346"/>
    <x v="257"/>
    <x v="563"/>
    <x v="2619"/>
    <x v="178"/>
    <x v="1097"/>
    <x v="1691"/>
    <x v="2024"/>
    <x v="2812"/>
    <x v="2804"/>
    <x v="2587"/>
    <x v="0"/>
    <x v="2787"/>
    <x v="2812"/>
    <x v="331"/>
    <x v="0"/>
    <x v="1"/>
    <x v="4"/>
    <x v="159"/>
    <x v="2"/>
    <x v="311"/>
    <x v="16"/>
    <x v="1"/>
    <x v="514"/>
    <x v="0"/>
    <x v="2858"/>
  </r>
  <r>
    <x v="0"/>
    <x v="174"/>
    <x v="354"/>
    <x v="52"/>
    <x v="0"/>
    <x v="65"/>
    <x v="443"/>
    <x v="2620"/>
    <x v="487"/>
    <x v="805"/>
    <x v="1692"/>
    <x v="81"/>
    <x v="2813"/>
    <x v="2805"/>
    <x v="2588"/>
    <x v="4"/>
    <x v="2788"/>
    <x v="2813"/>
    <x v="893"/>
    <x v="0"/>
    <x v="0"/>
    <x v="4"/>
    <x v="185"/>
    <x v="15"/>
    <x v="14"/>
    <x v="6"/>
    <x v="3"/>
    <x v="1"/>
    <x v="0"/>
    <x v="2859"/>
  </r>
  <r>
    <x v="0"/>
    <x v="1199"/>
    <x v="361"/>
    <x v="78"/>
    <x v="143"/>
    <x v="417"/>
    <x v="206"/>
    <x v="2621"/>
    <x v="127"/>
    <x v="558"/>
    <x v="174"/>
    <x v="1086"/>
    <x v="2814"/>
    <x v="2806"/>
    <x v="2589"/>
    <x v="4"/>
    <x v="2789"/>
    <x v="2814"/>
    <x v="755"/>
    <x v="0"/>
    <x v="0"/>
    <x v="4"/>
    <x v="224"/>
    <x v="18"/>
    <x v="118"/>
    <x v="9"/>
    <x v="3"/>
    <x v="218"/>
    <x v="0"/>
    <x v="2860"/>
  </r>
  <r>
    <x v="0"/>
    <x v="147"/>
    <x v="356"/>
    <x v="43"/>
    <x v="89"/>
    <x v="36"/>
    <x v="575"/>
    <x v="2622"/>
    <x v="684"/>
    <x v="1098"/>
    <x v="1693"/>
    <x v="2025"/>
    <x v="2815"/>
    <x v="2807"/>
    <x v="2590"/>
    <x v="0"/>
    <x v="2790"/>
    <x v="2815"/>
    <x v="585"/>
    <x v="0"/>
    <x v="0"/>
    <x v="2"/>
    <x v="185"/>
    <x v="11"/>
    <x v="634"/>
    <x v="27"/>
    <x v="3"/>
    <x v="1"/>
    <x v="0"/>
    <x v="2861"/>
  </r>
  <r>
    <x v="0"/>
    <x v="472"/>
    <x v="274"/>
    <x v="24"/>
    <x v="245"/>
    <x v="193"/>
    <x v="41"/>
    <x v="2623"/>
    <x v="17"/>
    <x v="396"/>
    <x v="488"/>
    <x v="2026"/>
    <x v="2816"/>
    <x v="2808"/>
    <x v="2591"/>
    <x v="4"/>
    <x v="2791"/>
    <x v="2816"/>
    <x v="314"/>
    <x v="0"/>
    <x v="0"/>
    <x v="0"/>
    <x v="137"/>
    <x v="18"/>
    <x v="30"/>
    <x v="12"/>
    <x v="3"/>
    <x v="1"/>
    <x v="0"/>
    <x v="2862"/>
  </r>
  <r>
    <x v="0"/>
    <x v="326"/>
    <x v="24"/>
    <x v="8"/>
    <x v="121"/>
    <x v="173"/>
    <x v="308"/>
    <x v="2624"/>
    <x v="156"/>
    <x v="1099"/>
    <x v="1694"/>
    <x v="2027"/>
    <x v="2817"/>
    <x v="2809"/>
    <x v="2592"/>
    <x v="0"/>
    <x v="2792"/>
    <x v="2817"/>
    <x v="271"/>
    <x v="2"/>
    <x v="0"/>
    <x v="4"/>
    <x v="166"/>
    <x v="7"/>
    <x v="326"/>
    <x v="0"/>
    <x v="1"/>
    <x v="9"/>
    <x v="0"/>
    <x v="2863"/>
  </r>
  <r>
    <x v="0"/>
    <x v="1200"/>
    <x v="316"/>
    <x v="27"/>
    <x v="62"/>
    <x v="107"/>
    <x v="6"/>
    <x v="2625"/>
    <x v="47"/>
    <x v="6"/>
    <x v="942"/>
    <x v="2028"/>
    <x v="2818"/>
    <x v="2810"/>
    <x v="2593"/>
    <x v="0"/>
    <x v="2793"/>
    <x v="2818"/>
    <x v="528"/>
    <x v="0"/>
    <x v="0"/>
    <x v="2"/>
    <x v="185"/>
    <x v="7"/>
    <x v="413"/>
    <x v="22"/>
    <x v="1"/>
    <x v="515"/>
    <x v="0"/>
    <x v="2864"/>
  </r>
  <r>
    <x v="0"/>
    <x v="1201"/>
    <x v="430"/>
    <x v="95"/>
    <x v="174"/>
    <x v="299"/>
    <x v="0"/>
    <x v="2626"/>
    <x v="127"/>
    <x v="285"/>
    <x v="102"/>
    <x v="394"/>
    <x v="2819"/>
    <x v="2811"/>
    <x v="2594"/>
    <x v="0"/>
    <x v="2794"/>
    <x v="2819"/>
    <x v="822"/>
    <x v="0"/>
    <x v="0"/>
    <x v="4"/>
    <x v="185"/>
    <x v="20"/>
    <x v="72"/>
    <x v="45"/>
    <x v="2"/>
    <x v="309"/>
    <x v="0"/>
    <x v="2865"/>
  </r>
  <r>
    <x v="0"/>
    <x v="1202"/>
    <x v="56"/>
    <x v="34"/>
    <x v="348"/>
    <x v="580"/>
    <x v="447"/>
    <x v="2627"/>
    <x v="270"/>
    <x v="950"/>
    <x v="1695"/>
    <x v="2029"/>
    <x v="2820"/>
    <x v="2812"/>
    <x v="2595"/>
    <x v="0"/>
    <x v="2795"/>
    <x v="2820"/>
    <x v="268"/>
    <x v="0"/>
    <x v="25"/>
    <x v="4"/>
    <x v="185"/>
    <x v="2"/>
    <x v="588"/>
    <x v="24"/>
    <x v="1"/>
    <x v="19"/>
    <x v="0"/>
    <x v="2866"/>
  </r>
  <r>
    <x v="0"/>
    <x v="1203"/>
    <x v="424"/>
    <x v="87"/>
    <x v="349"/>
    <x v="92"/>
    <x v="444"/>
    <x v="2628"/>
    <x v="125"/>
    <x v="1100"/>
    <x v="1696"/>
    <x v="2030"/>
    <x v="2821"/>
    <x v="2813"/>
    <x v="1692"/>
    <x v="0"/>
    <x v="2796"/>
    <x v="2821"/>
    <x v="426"/>
    <x v="0"/>
    <x v="4"/>
    <x v="0"/>
    <x v="185"/>
    <x v="20"/>
    <x v="570"/>
    <x v="21"/>
    <x v="3"/>
    <x v="516"/>
    <x v="0"/>
    <x v="2867"/>
  </r>
  <r>
    <x v="0"/>
    <x v="1204"/>
    <x v="460"/>
    <x v="54"/>
    <x v="0"/>
    <x v="473"/>
    <x v="573"/>
    <x v="2629"/>
    <x v="408"/>
    <x v="1095"/>
    <x v="786"/>
    <x v="1285"/>
    <x v="2822"/>
    <x v="2814"/>
    <x v="2190"/>
    <x v="2"/>
    <x v="2797"/>
    <x v="2822"/>
    <x v="653"/>
    <x v="0"/>
    <x v="0"/>
    <x v="4"/>
    <x v="185"/>
    <x v="24"/>
    <x v="469"/>
    <x v="10"/>
    <x v="10"/>
    <x v="67"/>
    <x v="0"/>
    <x v="2868"/>
  </r>
  <r>
    <x v="0"/>
    <x v="922"/>
    <x v="225"/>
    <x v="50"/>
    <x v="129"/>
    <x v="6"/>
    <x v="17"/>
    <x v="2630"/>
    <x v="125"/>
    <x v="32"/>
    <x v="229"/>
    <x v="6"/>
    <x v="2823"/>
    <x v="2815"/>
    <x v="2596"/>
    <x v="4"/>
    <x v="2798"/>
    <x v="2823"/>
    <x v="191"/>
    <x v="0"/>
    <x v="10"/>
    <x v="0"/>
    <x v="185"/>
    <x v="15"/>
    <x v="135"/>
    <x v="9"/>
    <x v="3"/>
    <x v="1"/>
    <x v="0"/>
    <x v="2869"/>
  </r>
  <r>
    <x v="0"/>
    <x v="738"/>
    <x v="4"/>
    <x v="76"/>
    <x v="199"/>
    <x v="503"/>
    <x v="72"/>
    <x v="4"/>
    <x v="86"/>
    <x v="1101"/>
    <x v="1697"/>
    <x v="2031"/>
    <x v="2824"/>
    <x v="2816"/>
    <x v="2597"/>
    <x v="0"/>
    <x v="4"/>
    <x v="2824"/>
    <x v="4"/>
    <x v="23"/>
    <x v="36"/>
    <x v="1"/>
    <x v="4"/>
    <x v="4"/>
    <x v="257"/>
    <x v="14"/>
    <x v="2"/>
    <x v="517"/>
    <x v="0"/>
    <x v="2870"/>
  </r>
  <r>
    <x v="0"/>
    <x v="1205"/>
    <x v="347"/>
    <x v="77"/>
    <x v="143"/>
    <x v="536"/>
    <x v="22"/>
    <x v="2631"/>
    <x v="306"/>
    <x v="169"/>
    <x v="638"/>
    <x v="881"/>
    <x v="2825"/>
    <x v="2817"/>
    <x v="2598"/>
    <x v="3"/>
    <x v="2799"/>
    <x v="2825"/>
    <x v="592"/>
    <x v="0"/>
    <x v="0"/>
    <x v="4"/>
    <x v="185"/>
    <x v="15"/>
    <x v="30"/>
    <x v="19"/>
    <x v="3"/>
    <x v="477"/>
    <x v="0"/>
    <x v="2871"/>
  </r>
  <r>
    <x v="0"/>
    <x v="1206"/>
    <x v="315"/>
    <x v="61"/>
    <x v="5"/>
    <x v="157"/>
    <x v="41"/>
    <x v="2632"/>
    <x v="419"/>
    <x v="111"/>
    <x v="1296"/>
    <x v="193"/>
    <x v="2826"/>
    <x v="2818"/>
    <x v="2599"/>
    <x v="2"/>
    <x v="2800"/>
    <x v="2826"/>
    <x v="339"/>
    <x v="0"/>
    <x v="0"/>
    <x v="4"/>
    <x v="185"/>
    <x v="20"/>
    <x v="399"/>
    <x v="27"/>
    <x v="3"/>
    <x v="1"/>
    <x v="0"/>
    <x v="2872"/>
  </r>
  <r>
    <x v="0"/>
    <x v="1207"/>
    <x v="276"/>
    <x v="95"/>
    <x v="216"/>
    <x v="113"/>
    <x v="10"/>
    <x v="2633"/>
    <x v="685"/>
    <x v="40"/>
    <x v="1421"/>
    <x v="1981"/>
    <x v="2827"/>
    <x v="2819"/>
    <x v="2600"/>
    <x v="0"/>
    <x v="2801"/>
    <x v="2827"/>
    <x v="339"/>
    <x v="0"/>
    <x v="0"/>
    <x v="0"/>
    <x v="185"/>
    <x v="18"/>
    <x v="15"/>
    <x v="23"/>
    <x v="1"/>
    <x v="1"/>
    <x v="0"/>
    <x v="2873"/>
  </r>
  <r>
    <x v="0"/>
    <x v="1208"/>
    <x v="387"/>
    <x v="41"/>
    <x v="106"/>
    <x v="120"/>
    <x v="362"/>
    <x v="2634"/>
    <x v="408"/>
    <x v="658"/>
    <x v="1670"/>
    <x v="1347"/>
    <x v="2828"/>
    <x v="2820"/>
    <x v="1708"/>
    <x v="1"/>
    <x v="2802"/>
    <x v="2828"/>
    <x v="757"/>
    <x v="0"/>
    <x v="1"/>
    <x v="4"/>
    <x v="185"/>
    <x v="18"/>
    <x v="303"/>
    <x v="9"/>
    <x v="1"/>
    <x v="518"/>
    <x v="0"/>
    <x v="2874"/>
  </r>
  <r>
    <x v="0"/>
    <x v="903"/>
    <x v="188"/>
    <x v="41"/>
    <x v="192"/>
    <x v="771"/>
    <x v="576"/>
    <x v="2635"/>
    <x v="125"/>
    <x v="1102"/>
    <x v="1698"/>
    <x v="2032"/>
    <x v="2829"/>
    <x v="2821"/>
    <x v="1825"/>
    <x v="0"/>
    <x v="2803"/>
    <x v="2829"/>
    <x v="591"/>
    <x v="0"/>
    <x v="0"/>
    <x v="4"/>
    <x v="185"/>
    <x v="9"/>
    <x v="629"/>
    <x v="18"/>
    <x v="1"/>
    <x v="59"/>
    <x v="0"/>
    <x v="2875"/>
  </r>
  <r>
    <x v="0"/>
    <x v="1209"/>
    <x v="159"/>
    <x v="60"/>
    <x v="95"/>
    <x v="457"/>
    <x v="25"/>
    <x v="2636"/>
    <x v="105"/>
    <x v="26"/>
    <x v="793"/>
    <x v="2033"/>
    <x v="2830"/>
    <x v="2822"/>
    <x v="2601"/>
    <x v="0"/>
    <x v="2804"/>
    <x v="2830"/>
    <x v="400"/>
    <x v="3"/>
    <x v="10"/>
    <x v="4"/>
    <x v="185"/>
    <x v="7"/>
    <x v="445"/>
    <x v="11"/>
    <x v="3"/>
    <x v="1"/>
    <x v="0"/>
    <x v="2876"/>
  </r>
  <r>
    <x v="0"/>
    <x v="381"/>
    <x v="209"/>
    <x v="52"/>
    <x v="19"/>
    <x v="558"/>
    <x v="401"/>
    <x v="2637"/>
    <x v="291"/>
    <x v="727"/>
    <x v="1699"/>
    <x v="2034"/>
    <x v="2831"/>
    <x v="2823"/>
    <x v="2602"/>
    <x v="1"/>
    <x v="2805"/>
    <x v="2831"/>
    <x v="247"/>
    <x v="0"/>
    <x v="0"/>
    <x v="0"/>
    <x v="185"/>
    <x v="1"/>
    <x v="549"/>
    <x v="2"/>
    <x v="1"/>
    <x v="261"/>
    <x v="0"/>
    <x v="2877"/>
  </r>
  <r>
    <x v="0"/>
    <x v="166"/>
    <x v="322"/>
    <x v="86"/>
    <x v="8"/>
    <x v="564"/>
    <x v="35"/>
    <x v="2638"/>
    <x v="105"/>
    <x v="653"/>
    <x v="1700"/>
    <x v="1851"/>
    <x v="2832"/>
    <x v="2824"/>
    <x v="1483"/>
    <x v="4"/>
    <x v="2806"/>
    <x v="2832"/>
    <x v="499"/>
    <x v="0"/>
    <x v="0"/>
    <x v="0"/>
    <x v="185"/>
    <x v="9"/>
    <x v="347"/>
    <x v="20"/>
    <x v="1"/>
    <x v="9"/>
    <x v="0"/>
    <x v="2878"/>
  </r>
  <r>
    <x v="0"/>
    <x v="1210"/>
    <x v="258"/>
    <x v="52"/>
    <x v="224"/>
    <x v="316"/>
    <x v="35"/>
    <x v="2639"/>
    <x v="17"/>
    <x v="684"/>
    <x v="1701"/>
    <x v="2035"/>
    <x v="2833"/>
    <x v="2825"/>
    <x v="2367"/>
    <x v="1"/>
    <x v="2807"/>
    <x v="2833"/>
    <x v="212"/>
    <x v="3"/>
    <x v="10"/>
    <x v="4"/>
    <x v="32"/>
    <x v="21"/>
    <x v="89"/>
    <x v="11"/>
    <x v="1"/>
    <x v="519"/>
    <x v="0"/>
    <x v="2879"/>
  </r>
  <r>
    <x v="0"/>
    <x v="842"/>
    <x v="84"/>
    <x v="45"/>
    <x v="310"/>
    <x v="413"/>
    <x v="21"/>
    <x v="2640"/>
    <x v="260"/>
    <x v="22"/>
    <x v="1702"/>
    <x v="2036"/>
    <x v="2834"/>
    <x v="2826"/>
    <x v="2603"/>
    <x v="4"/>
    <x v="2808"/>
    <x v="2834"/>
    <x v="690"/>
    <x v="0"/>
    <x v="0"/>
    <x v="4"/>
    <x v="190"/>
    <x v="0"/>
    <x v="784"/>
    <x v="22"/>
    <x v="3"/>
    <x v="1"/>
    <x v="0"/>
    <x v="2880"/>
  </r>
  <r>
    <x v="0"/>
    <x v="1211"/>
    <x v="152"/>
    <x v="43"/>
    <x v="61"/>
    <x v="370"/>
    <x v="33"/>
    <x v="2641"/>
    <x v="539"/>
    <x v="149"/>
    <x v="1703"/>
    <x v="2037"/>
    <x v="2835"/>
    <x v="2827"/>
    <x v="1420"/>
    <x v="3"/>
    <x v="2809"/>
    <x v="2835"/>
    <x v="786"/>
    <x v="0"/>
    <x v="0"/>
    <x v="4"/>
    <x v="185"/>
    <x v="25"/>
    <x v="700"/>
    <x v="18"/>
    <x v="3"/>
    <x v="520"/>
    <x v="0"/>
    <x v="2881"/>
  </r>
  <r>
    <x v="0"/>
    <x v="474"/>
    <x v="259"/>
    <x v="72"/>
    <x v="246"/>
    <x v="1"/>
    <x v="24"/>
    <x v="1746"/>
    <x v="306"/>
    <x v="131"/>
    <x v="330"/>
    <x v="302"/>
    <x v="1835"/>
    <x v="2828"/>
    <x v="2604"/>
    <x v="0"/>
    <x v="1824"/>
    <x v="1835"/>
    <x v="781"/>
    <x v="0"/>
    <x v="0"/>
    <x v="4"/>
    <x v="140"/>
    <x v="0"/>
    <x v="28"/>
    <x v="1"/>
    <x v="1"/>
    <x v="7"/>
    <x v="0"/>
    <x v="2882"/>
  </r>
  <r>
    <x v="0"/>
    <x v="859"/>
    <x v="160"/>
    <x v="31"/>
    <x v="0"/>
    <x v="232"/>
    <x v="13"/>
    <x v="2642"/>
    <x v="140"/>
    <x v="13"/>
    <x v="84"/>
    <x v="1336"/>
    <x v="2836"/>
    <x v="2829"/>
    <x v="2605"/>
    <x v="4"/>
    <x v="2810"/>
    <x v="2836"/>
    <x v="586"/>
    <x v="0"/>
    <x v="8"/>
    <x v="4"/>
    <x v="185"/>
    <x v="7"/>
    <x v="20"/>
    <x v="1"/>
    <x v="3"/>
    <x v="1"/>
    <x v="0"/>
    <x v="2883"/>
  </r>
  <r>
    <x v="0"/>
    <x v="1212"/>
    <x v="495"/>
    <x v="58"/>
    <x v="350"/>
    <x v="151"/>
    <x v="94"/>
    <x v="2643"/>
    <x v="17"/>
    <x v="187"/>
    <x v="1704"/>
    <x v="2038"/>
    <x v="2837"/>
    <x v="2830"/>
    <x v="2606"/>
    <x v="4"/>
    <x v="2811"/>
    <x v="2837"/>
    <x v="424"/>
    <x v="0"/>
    <x v="0"/>
    <x v="0"/>
    <x v="185"/>
    <x v="3"/>
    <x v="13"/>
    <x v="25"/>
    <x v="3"/>
    <x v="392"/>
    <x v="0"/>
    <x v="2884"/>
  </r>
  <r>
    <x v="0"/>
    <x v="1213"/>
    <x v="307"/>
    <x v="101"/>
    <x v="195"/>
    <x v="826"/>
    <x v="262"/>
    <x v="2644"/>
    <x v="97"/>
    <x v="1103"/>
    <x v="1705"/>
    <x v="2039"/>
    <x v="2838"/>
    <x v="2831"/>
    <x v="2458"/>
    <x v="1"/>
    <x v="2812"/>
    <x v="2838"/>
    <x v="790"/>
    <x v="0"/>
    <x v="0"/>
    <x v="4"/>
    <x v="119"/>
    <x v="27"/>
    <x v="653"/>
    <x v="37"/>
    <x v="3"/>
    <x v="521"/>
    <x v="0"/>
    <x v="2885"/>
  </r>
  <r>
    <x v="0"/>
    <x v="860"/>
    <x v="309"/>
    <x v="34"/>
    <x v="186"/>
    <x v="227"/>
    <x v="35"/>
    <x v="2645"/>
    <x v="130"/>
    <x v="112"/>
    <x v="1706"/>
    <x v="1217"/>
    <x v="2839"/>
    <x v="2832"/>
    <x v="2607"/>
    <x v="2"/>
    <x v="2813"/>
    <x v="2839"/>
    <x v="386"/>
    <x v="0"/>
    <x v="0"/>
    <x v="4"/>
    <x v="185"/>
    <x v="7"/>
    <x v="60"/>
    <x v="1"/>
    <x v="3"/>
    <x v="1"/>
    <x v="0"/>
    <x v="2886"/>
  </r>
  <r>
    <x v="0"/>
    <x v="790"/>
    <x v="184"/>
    <x v="69"/>
    <x v="303"/>
    <x v="720"/>
    <x v="21"/>
    <x v="2646"/>
    <x v="304"/>
    <x v="174"/>
    <x v="1349"/>
    <x v="1420"/>
    <x v="2840"/>
    <x v="2833"/>
    <x v="2608"/>
    <x v="2"/>
    <x v="2814"/>
    <x v="2840"/>
    <x v="578"/>
    <x v="0"/>
    <x v="1"/>
    <x v="4"/>
    <x v="78"/>
    <x v="21"/>
    <x v="691"/>
    <x v="12"/>
    <x v="1"/>
    <x v="388"/>
    <x v="0"/>
    <x v="2887"/>
  </r>
  <r>
    <x v="0"/>
    <x v="396"/>
    <x v="197"/>
    <x v="43"/>
    <x v="224"/>
    <x v="20"/>
    <x v="22"/>
    <x v="2647"/>
    <x v="381"/>
    <x v="153"/>
    <x v="443"/>
    <x v="2040"/>
    <x v="2841"/>
    <x v="2834"/>
    <x v="2609"/>
    <x v="0"/>
    <x v="2815"/>
    <x v="2841"/>
    <x v="327"/>
    <x v="0"/>
    <x v="0"/>
    <x v="0"/>
    <x v="234"/>
    <x v="2"/>
    <x v="30"/>
    <x v="33"/>
    <x v="3"/>
    <x v="1"/>
    <x v="0"/>
    <x v="2888"/>
  </r>
  <r>
    <x v="0"/>
    <x v="1214"/>
    <x v="509"/>
    <x v="76"/>
    <x v="296"/>
    <x v="499"/>
    <x v="0"/>
    <x v="2648"/>
    <x v="475"/>
    <x v="1104"/>
    <x v="1707"/>
    <x v="2041"/>
    <x v="2842"/>
    <x v="2835"/>
    <x v="2610"/>
    <x v="5"/>
    <x v="2816"/>
    <x v="2842"/>
    <x v="209"/>
    <x v="0"/>
    <x v="1"/>
    <x v="4"/>
    <x v="185"/>
    <x v="10"/>
    <x v="785"/>
    <x v="4"/>
    <x v="1"/>
    <x v="45"/>
    <x v="0"/>
    <x v="2889"/>
  </r>
  <r>
    <x v="0"/>
    <x v="325"/>
    <x v="382"/>
    <x v="46"/>
    <x v="201"/>
    <x v="177"/>
    <x v="577"/>
    <x v="2649"/>
    <x v="387"/>
    <x v="1105"/>
    <x v="1708"/>
    <x v="2042"/>
    <x v="2843"/>
    <x v="2836"/>
    <x v="2611"/>
    <x v="0"/>
    <x v="2817"/>
    <x v="2843"/>
    <x v="454"/>
    <x v="27"/>
    <x v="0"/>
    <x v="4"/>
    <x v="185"/>
    <x v="10"/>
    <x v="761"/>
    <x v="44"/>
    <x v="1"/>
    <x v="1"/>
    <x v="0"/>
    <x v="2890"/>
  </r>
  <r>
    <x v="0"/>
    <x v="1142"/>
    <x v="456"/>
    <x v="50"/>
    <x v="322"/>
    <x v="204"/>
    <x v="99"/>
    <x v="2650"/>
    <x v="111"/>
    <x v="178"/>
    <x v="1709"/>
    <x v="257"/>
    <x v="2844"/>
    <x v="2837"/>
    <x v="2612"/>
    <x v="0"/>
    <x v="2818"/>
    <x v="2844"/>
    <x v="728"/>
    <x v="0"/>
    <x v="0"/>
    <x v="4"/>
    <x v="185"/>
    <x v="9"/>
    <x v="460"/>
    <x v="10"/>
    <x v="3"/>
    <x v="33"/>
    <x v="0"/>
    <x v="2891"/>
  </r>
  <r>
    <x v="0"/>
    <x v="1215"/>
    <x v="412"/>
    <x v="69"/>
    <x v="211"/>
    <x v="272"/>
    <x v="21"/>
    <x v="2651"/>
    <x v="71"/>
    <x v="22"/>
    <x v="1710"/>
    <x v="2043"/>
    <x v="2845"/>
    <x v="2838"/>
    <x v="2613"/>
    <x v="1"/>
    <x v="4"/>
    <x v="2845"/>
    <x v="326"/>
    <x v="0"/>
    <x v="18"/>
    <x v="1"/>
    <x v="235"/>
    <x v="6"/>
    <x v="479"/>
    <x v="2"/>
    <x v="2"/>
    <x v="522"/>
    <x v="0"/>
    <x v="2892"/>
  </r>
  <r>
    <x v="0"/>
    <x v="1216"/>
    <x v="258"/>
    <x v="78"/>
    <x v="0"/>
    <x v="744"/>
    <x v="546"/>
    <x v="2652"/>
    <x v="686"/>
    <x v="1106"/>
    <x v="1711"/>
    <x v="1542"/>
    <x v="2846"/>
    <x v="2839"/>
    <x v="2614"/>
    <x v="0"/>
    <x v="2819"/>
    <x v="2846"/>
    <x v="170"/>
    <x v="0"/>
    <x v="5"/>
    <x v="2"/>
    <x v="185"/>
    <x v="19"/>
    <x v="786"/>
    <x v="28"/>
    <x v="1"/>
    <x v="430"/>
    <x v="0"/>
    <x v="2893"/>
  </r>
  <r>
    <x v="0"/>
    <x v="330"/>
    <x v="354"/>
    <x v="58"/>
    <x v="171"/>
    <x v="41"/>
    <x v="578"/>
    <x v="2653"/>
    <x v="687"/>
    <x v="1107"/>
    <x v="1712"/>
    <x v="2044"/>
    <x v="2847"/>
    <x v="2840"/>
    <x v="2615"/>
    <x v="0"/>
    <x v="2820"/>
    <x v="2847"/>
    <x v="402"/>
    <x v="0"/>
    <x v="10"/>
    <x v="4"/>
    <x v="185"/>
    <x v="0"/>
    <x v="482"/>
    <x v="4"/>
    <x v="3"/>
    <x v="59"/>
    <x v="0"/>
    <x v="2894"/>
  </r>
  <r>
    <x v="0"/>
    <x v="223"/>
    <x v="219"/>
    <x v="7"/>
    <x v="37"/>
    <x v="119"/>
    <x v="367"/>
    <x v="4"/>
    <x v="172"/>
    <x v="1108"/>
    <x v="1713"/>
    <x v="2045"/>
    <x v="2848"/>
    <x v="2841"/>
    <x v="2615"/>
    <x v="0"/>
    <x v="2821"/>
    <x v="2848"/>
    <x v="793"/>
    <x v="28"/>
    <x v="4"/>
    <x v="4"/>
    <x v="188"/>
    <x v="37"/>
    <x v="684"/>
    <x v="38"/>
    <x v="1"/>
    <x v="1"/>
    <x v="0"/>
    <x v="2895"/>
  </r>
  <r>
    <x v="0"/>
    <x v="1098"/>
    <x v="313"/>
    <x v="85"/>
    <x v="315"/>
    <x v="462"/>
    <x v="11"/>
    <x v="2654"/>
    <x v="113"/>
    <x v="156"/>
    <x v="961"/>
    <x v="1259"/>
    <x v="2849"/>
    <x v="2842"/>
    <x v="2616"/>
    <x v="0"/>
    <x v="2822"/>
    <x v="2849"/>
    <x v="757"/>
    <x v="0"/>
    <x v="0"/>
    <x v="0"/>
    <x v="188"/>
    <x v="19"/>
    <x v="56"/>
    <x v="11"/>
    <x v="1"/>
    <x v="1"/>
    <x v="0"/>
    <x v="2896"/>
  </r>
  <r>
    <x v="0"/>
    <x v="788"/>
    <x v="383"/>
    <x v="56"/>
    <x v="142"/>
    <x v="665"/>
    <x v="57"/>
    <x v="2655"/>
    <x v="270"/>
    <x v="1109"/>
    <x v="1201"/>
    <x v="2046"/>
    <x v="2850"/>
    <x v="2843"/>
    <x v="2617"/>
    <x v="1"/>
    <x v="2823"/>
    <x v="2850"/>
    <x v="301"/>
    <x v="0"/>
    <x v="0"/>
    <x v="0"/>
    <x v="188"/>
    <x v="19"/>
    <x v="66"/>
    <x v="8"/>
    <x v="3"/>
    <x v="1"/>
    <x v="0"/>
    <x v="2897"/>
  </r>
  <r>
    <x v="0"/>
    <x v="165"/>
    <x v="270"/>
    <x v="61"/>
    <x v="119"/>
    <x v="380"/>
    <x v="2"/>
    <x v="2656"/>
    <x v="400"/>
    <x v="75"/>
    <x v="117"/>
    <x v="1197"/>
    <x v="2851"/>
    <x v="2844"/>
    <x v="2618"/>
    <x v="3"/>
    <x v="2824"/>
    <x v="2851"/>
    <x v="680"/>
    <x v="0"/>
    <x v="0"/>
    <x v="4"/>
    <x v="185"/>
    <x v="27"/>
    <x v="10"/>
    <x v="25"/>
    <x v="1"/>
    <x v="61"/>
    <x v="0"/>
    <x v="2898"/>
  </r>
  <r>
    <x v="0"/>
    <x v="1217"/>
    <x v="343"/>
    <x v="70"/>
    <x v="52"/>
    <x v="1"/>
    <x v="18"/>
    <x v="4"/>
    <x v="377"/>
    <x v="144"/>
    <x v="1714"/>
    <x v="2047"/>
    <x v="2852"/>
    <x v="2845"/>
    <x v="2619"/>
    <x v="1"/>
    <x v="2825"/>
    <x v="2852"/>
    <x v="816"/>
    <x v="0"/>
    <x v="8"/>
    <x v="10"/>
    <x v="236"/>
    <x v="5"/>
    <x v="12"/>
    <x v="21"/>
    <x v="1"/>
    <x v="1"/>
    <x v="0"/>
    <x v="2899"/>
  </r>
  <r>
    <x v="0"/>
    <x v="1123"/>
    <x v="293"/>
    <x v="7"/>
    <x v="267"/>
    <x v="345"/>
    <x v="11"/>
    <x v="2657"/>
    <x v="241"/>
    <x v="11"/>
    <x v="557"/>
    <x v="2048"/>
    <x v="2853"/>
    <x v="2846"/>
    <x v="2620"/>
    <x v="1"/>
    <x v="2826"/>
    <x v="2853"/>
    <x v="787"/>
    <x v="0"/>
    <x v="0"/>
    <x v="4"/>
    <x v="188"/>
    <x v="29"/>
    <x v="20"/>
    <x v="6"/>
    <x v="1"/>
    <x v="1"/>
    <x v="0"/>
    <x v="2900"/>
  </r>
  <r>
    <x v="0"/>
    <x v="790"/>
    <x v="117"/>
    <x v="56"/>
    <x v="303"/>
    <x v="441"/>
    <x v="347"/>
    <x v="2658"/>
    <x v="168"/>
    <x v="622"/>
    <x v="545"/>
    <x v="1426"/>
    <x v="2854"/>
    <x v="2847"/>
    <x v="2621"/>
    <x v="0"/>
    <x v="2827"/>
    <x v="2854"/>
    <x v="538"/>
    <x v="0"/>
    <x v="0"/>
    <x v="4"/>
    <x v="185"/>
    <x v="5"/>
    <x v="354"/>
    <x v="9"/>
    <x v="1"/>
    <x v="1"/>
    <x v="0"/>
    <x v="2901"/>
  </r>
  <r>
    <x v="0"/>
    <x v="1218"/>
    <x v="335"/>
    <x v="41"/>
    <x v="351"/>
    <x v="306"/>
    <x v="56"/>
    <x v="4"/>
    <x v="560"/>
    <x v="98"/>
    <x v="225"/>
    <x v="478"/>
    <x v="2855"/>
    <x v="2848"/>
    <x v="2622"/>
    <x v="1"/>
    <x v="2828"/>
    <x v="2855"/>
    <x v="170"/>
    <x v="0"/>
    <x v="0"/>
    <x v="4"/>
    <x v="135"/>
    <x v="26"/>
    <x v="153"/>
    <x v="9"/>
    <x v="3"/>
    <x v="1"/>
    <x v="0"/>
    <x v="2902"/>
  </r>
  <r>
    <x v="0"/>
    <x v="1219"/>
    <x v="111"/>
    <x v="59"/>
    <x v="123"/>
    <x v="620"/>
    <x v="0"/>
    <x v="2659"/>
    <x v="364"/>
    <x v="1110"/>
    <x v="1715"/>
    <x v="2049"/>
    <x v="2856"/>
    <x v="2849"/>
    <x v="1421"/>
    <x v="4"/>
    <x v="2829"/>
    <x v="2856"/>
    <x v="189"/>
    <x v="0"/>
    <x v="0"/>
    <x v="4"/>
    <x v="178"/>
    <x v="0"/>
    <x v="355"/>
    <x v="37"/>
    <x v="1"/>
    <x v="1"/>
    <x v="0"/>
    <x v="2903"/>
  </r>
  <r>
    <x v="1"/>
    <x v="1220"/>
    <x v="478"/>
    <x v="59"/>
    <x v="107"/>
    <x v="250"/>
    <x v="95"/>
    <x v="4"/>
    <x v="185"/>
    <x v="1111"/>
    <x v="1716"/>
    <x v="2050"/>
    <x v="2857"/>
    <x v="2850"/>
    <x v="1780"/>
    <x v="4"/>
    <x v="2830"/>
    <x v="2857"/>
    <x v="704"/>
    <x v="0"/>
    <x v="0"/>
    <x v="11"/>
    <x v="4"/>
    <x v="56"/>
    <x v="787"/>
    <x v="6"/>
    <x v="15"/>
    <x v="523"/>
    <x v="0"/>
    <x v="2904"/>
  </r>
  <r>
    <x v="0"/>
    <x v="317"/>
    <x v="84"/>
    <x v="11"/>
    <x v="137"/>
    <x v="391"/>
    <x v="186"/>
    <x v="2660"/>
    <x v="105"/>
    <x v="350"/>
    <x v="1036"/>
    <x v="2051"/>
    <x v="2858"/>
    <x v="2851"/>
    <x v="2623"/>
    <x v="1"/>
    <x v="2831"/>
    <x v="2858"/>
    <x v="845"/>
    <x v="0"/>
    <x v="0"/>
    <x v="0"/>
    <x v="176"/>
    <x v="1"/>
    <x v="315"/>
    <x v="38"/>
    <x v="3"/>
    <x v="64"/>
    <x v="0"/>
    <x v="2905"/>
  </r>
  <r>
    <x v="0"/>
    <x v="1221"/>
    <x v="112"/>
    <x v="50"/>
    <x v="218"/>
    <x v="325"/>
    <x v="579"/>
    <x v="2661"/>
    <x v="269"/>
    <x v="1112"/>
    <x v="1717"/>
    <x v="2052"/>
    <x v="2859"/>
    <x v="2852"/>
    <x v="2624"/>
    <x v="0"/>
    <x v="2832"/>
    <x v="2859"/>
    <x v="78"/>
    <x v="0"/>
    <x v="1"/>
    <x v="0"/>
    <x v="188"/>
    <x v="8"/>
    <x v="776"/>
    <x v="6"/>
    <x v="3"/>
    <x v="58"/>
    <x v="0"/>
    <x v="2906"/>
  </r>
  <r>
    <x v="0"/>
    <x v="1165"/>
    <x v="325"/>
    <x v="35"/>
    <x v="196"/>
    <x v="109"/>
    <x v="168"/>
    <x v="2662"/>
    <x v="688"/>
    <x v="526"/>
    <x v="1252"/>
    <x v="2053"/>
    <x v="2860"/>
    <x v="2853"/>
    <x v="2625"/>
    <x v="0"/>
    <x v="2833"/>
    <x v="2860"/>
    <x v="535"/>
    <x v="0"/>
    <x v="23"/>
    <x v="4"/>
    <x v="237"/>
    <x v="21"/>
    <x v="181"/>
    <x v="25"/>
    <x v="1"/>
    <x v="1"/>
    <x v="0"/>
    <x v="2907"/>
  </r>
  <r>
    <x v="0"/>
    <x v="1087"/>
    <x v="419"/>
    <x v="5"/>
    <x v="137"/>
    <x v="153"/>
    <x v="0"/>
    <x v="2663"/>
    <x v="17"/>
    <x v="384"/>
    <x v="244"/>
    <x v="189"/>
    <x v="2861"/>
    <x v="2854"/>
    <x v="1146"/>
    <x v="4"/>
    <x v="2834"/>
    <x v="2861"/>
    <x v="724"/>
    <x v="0"/>
    <x v="0"/>
    <x v="4"/>
    <x v="178"/>
    <x v="13"/>
    <x v="164"/>
    <x v="10"/>
    <x v="1"/>
    <x v="343"/>
    <x v="0"/>
    <x v="2908"/>
  </r>
  <r>
    <x v="0"/>
    <x v="1222"/>
    <x v="422"/>
    <x v="77"/>
    <x v="352"/>
    <x v="259"/>
    <x v="326"/>
    <x v="2664"/>
    <x v="152"/>
    <x v="1113"/>
    <x v="1718"/>
    <x v="855"/>
    <x v="2862"/>
    <x v="2855"/>
    <x v="2626"/>
    <x v="3"/>
    <x v="2835"/>
    <x v="2862"/>
    <x v="823"/>
    <x v="0"/>
    <x v="0"/>
    <x v="4"/>
    <x v="188"/>
    <x v="25"/>
    <x v="183"/>
    <x v="4"/>
    <x v="3"/>
    <x v="524"/>
    <x v="0"/>
    <x v="2909"/>
  </r>
  <r>
    <x v="0"/>
    <x v="1122"/>
    <x v="410"/>
    <x v="78"/>
    <x v="116"/>
    <x v="400"/>
    <x v="159"/>
    <x v="2665"/>
    <x v="105"/>
    <x v="293"/>
    <x v="1084"/>
    <x v="577"/>
    <x v="2863"/>
    <x v="2856"/>
    <x v="2439"/>
    <x v="6"/>
    <x v="2836"/>
    <x v="2863"/>
    <x v="716"/>
    <x v="0"/>
    <x v="0"/>
    <x v="4"/>
    <x v="159"/>
    <x v="0"/>
    <x v="588"/>
    <x v="21"/>
    <x v="3"/>
    <x v="1"/>
    <x v="0"/>
    <x v="2910"/>
  </r>
  <r>
    <x v="0"/>
    <x v="1223"/>
    <x v="404"/>
    <x v="72"/>
    <x v="131"/>
    <x v="107"/>
    <x v="13"/>
    <x v="2666"/>
    <x v="23"/>
    <x v="158"/>
    <x v="1719"/>
    <x v="1301"/>
    <x v="2864"/>
    <x v="2857"/>
    <x v="2627"/>
    <x v="1"/>
    <x v="2837"/>
    <x v="2864"/>
    <x v="633"/>
    <x v="0"/>
    <x v="0"/>
    <x v="4"/>
    <x v="238"/>
    <x v="5"/>
    <x v="233"/>
    <x v="10"/>
    <x v="3"/>
    <x v="20"/>
    <x v="0"/>
    <x v="2911"/>
  </r>
  <r>
    <x v="0"/>
    <x v="1224"/>
    <x v="338"/>
    <x v="26"/>
    <x v="353"/>
    <x v="125"/>
    <x v="11"/>
    <x v="2667"/>
    <x v="140"/>
    <x v="11"/>
    <x v="1720"/>
    <x v="2054"/>
    <x v="2865"/>
    <x v="2858"/>
    <x v="2628"/>
    <x v="7"/>
    <x v="2838"/>
    <x v="2865"/>
    <x v="794"/>
    <x v="0"/>
    <x v="4"/>
    <x v="4"/>
    <x v="159"/>
    <x v="5"/>
    <x v="504"/>
    <x v="5"/>
    <x v="1"/>
    <x v="1"/>
    <x v="0"/>
    <x v="2912"/>
  </r>
  <r>
    <x v="0"/>
    <x v="281"/>
    <x v="431"/>
    <x v="164"/>
    <x v="185"/>
    <x v="72"/>
    <x v="138"/>
    <x v="2668"/>
    <x v="224"/>
    <x v="808"/>
    <x v="1721"/>
    <x v="2055"/>
    <x v="2866"/>
    <x v="2859"/>
    <x v="2629"/>
    <x v="0"/>
    <x v="2839"/>
    <x v="2866"/>
    <x v="431"/>
    <x v="0"/>
    <x v="0"/>
    <x v="3"/>
    <x v="188"/>
    <x v="32"/>
    <x v="788"/>
    <x v="11"/>
    <x v="8"/>
    <x v="9"/>
    <x v="0"/>
    <x v="2913"/>
  </r>
  <r>
    <x v="0"/>
    <x v="1225"/>
    <x v="366"/>
    <x v="2"/>
    <x v="106"/>
    <x v="244"/>
    <x v="580"/>
    <x v="2669"/>
    <x v="108"/>
    <x v="1114"/>
    <x v="1722"/>
    <x v="2056"/>
    <x v="2867"/>
    <x v="2860"/>
    <x v="2630"/>
    <x v="4"/>
    <x v="2840"/>
    <x v="2867"/>
    <x v="288"/>
    <x v="24"/>
    <x v="18"/>
    <x v="4"/>
    <x v="237"/>
    <x v="14"/>
    <x v="316"/>
    <x v="14"/>
    <x v="1"/>
    <x v="1"/>
    <x v="0"/>
    <x v="2914"/>
  </r>
  <r>
    <x v="1"/>
    <x v="1226"/>
    <x v="438"/>
    <x v="34"/>
    <x v="59"/>
    <x v="390"/>
    <x v="193"/>
    <x v="2670"/>
    <x v="472"/>
    <x v="360"/>
    <x v="432"/>
    <x v="550"/>
    <x v="2868"/>
    <x v="2861"/>
    <x v="321"/>
    <x v="0"/>
    <x v="2841"/>
    <x v="2868"/>
    <x v="631"/>
    <x v="0"/>
    <x v="4"/>
    <x v="2"/>
    <x v="188"/>
    <x v="0"/>
    <x v="431"/>
    <x v="15"/>
    <x v="1"/>
    <x v="1"/>
    <x v="0"/>
    <x v="2915"/>
  </r>
  <r>
    <x v="0"/>
    <x v="410"/>
    <x v="40"/>
    <x v="5"/>
    <x v="229"/>
    <x v="618"/>
    <x v="0"/>
    <x v="2671"/>
    <x v="429"/>
    <x v="719"/>
    <x v="1723"/>
    <x v="2057"/>
    <x v="2869"/>
    <x v="2862"/>
    <x v="1759"/>
    <x v="0"/>
    <x v="2842"/>
    <x v="2869"/>
    <x v="563"/>
    <x v="0"/>
    <x v="0"/>
    <x v="4"/>
    <x v="83"/>
    <x v="44"/>
    <x v="58"/>
    <x v="25"/>
    <x v="15"/>
    <x v="45"/>
    <x v="0"/>
    <x v="2916"/>
  </r>
  <r>
    <x v="0"/>
    <x v="38"/>
    <x v="510"/>
    <x v="29"/>
    <x v="25"/>
    <x v="302"/>
    <x v="116"/>
    <x v="2672"/>
    <x v="139"/>
    <x v="217"/>
    <x v="1724"/>
    <x v="2058"/>
    <x v="2870"/>
    <x v="2863"/>
    <x v="2631"/>
    <x v="0"/>
    <x v="2843"/>
    <x v="2870"/>
    <x v="798"/>
    <x v="0"/>
    <x v="0"/>
    <x v="2"/>
    <x v="83"/>
    <x v="57"/>
    <x v="192"/>
    <x v="25"/>
    <x v="1"/>
    <x v="90"/>
    <x v="0"/>
    <x v="2917"/>
  </r>
  <r>
    <x v="0"/>
    <x v="166"/>
    <x v="118"/>
    <x v="54"/>
    <x v="8"/>
    <x v="1"/>
    <x v="22"/>
    <x v="2673"/>
    <x v="125"/>
    <x v="374"/>
    <x v="1044"/>
    <x v="798"/>
    <x v="2871"/>
    <x v="2864"/>
    <x v="2632"/>
    <x v="5"/>
    <x v="2844"/>
    <x v="2871"/>
    <x v="254"/>
    <x v="0"/>
    <x v="0"/>
    <x v="4"/>
    <x v="190"/>
    <x v="15"/>
    <x v="30"/>
    <x v="15"/>
    <x v="3"/>
    <x v="1"/>
    <x v="0"/>
    <x v="2918"/>
  </r>
  <r>
    <x v="0"/>
    <x v="1227"/>
    <x v="414"/>
    <x v="110"/>
    <x v="216"/>
    <x v="480"/>
    <x v="18"/>
    <x v="2674"/>
    <x v="689"/>
    <x v="843"/>
    <x v="1260"/>
    <x v="2059"/>
    <x v="2872"/>
    <x v="2865"/>
    <x v="2633"/>
    <x v="0"/>
    <x v="2845"/>
    <x v="2872"/>
    <x v="646"/>
    <x v="3"/>
    <x v="10"/>
    <x v="2"/>
    <x v="239"/>
    <x v="3"/>
    <x v="398"/>
    <x v="0"/>
    <x v="3"/>
    <x v="1"/>
    <x v="0"/>
    <x v="2919"/>
  </r>
  <r>
    <x v="0"/>
    <x v="628"/>
    <x v="207"/>
    <x v="50"/>
    <x v="80"/>
    <x v="267"/>
    <x v="432"/>
    <x v="2675"/>
    <x v="690"/>
    <x v="783"/>
    <x v="1725"/>
    <x v="2060"/>
    <x v="2873"/>
    <x v="2866"/>
    <x v="552"/>
    <x v="1"/>
    <x v="2846"/>
    <x v="2873"/>
    <x v="212"/>
    <x v="0"/>
    <x v="0"/>
    <x v="0"/>
    <x v="131"/>
    <x v="43"/>
    <x v="579"/>
    <x v="18"/>
    <x v="3"/>
    <x v="1"/>
    <x v="0"/>
    <x v="2920"/>
  </r>
  <r>
    <x v="0"/>
    <x v="135"/>
    <x v="379"/>
    <x v="40"/>
    <x v="100"/>
    <x v="137"/>
    <x v="481"/>
    <x v="2676"/>
    <x v="127"/>
    <x v="891"/>
    <x v="513"/>
    <x v="965"/>
    <x v="2874"/>
    <x v="2867"/>
    <x v="2634"/>
    <x v="8"/>
    <x v="2847"/>
    <x v="2874"/>
    <x v="496"/>
    <x v="0"/>
    <x v="0"/>
    <x v="0"/>
    <x v="176"/>
    <x v="3"/>
    <x v="334"/>
    <x v="4"/>
    <x v="1"/>
    <x v="1"/>
    <x v="0"/>
    <x v="2921"/>
  </r>
  <r>
    <x v="0"/>
    <x v="135"/>
    <x v="74"/>
    <x v="58"/>
    <x v="100"/>
    <x v="86"/>
    <x v="569"/>
    <x v="2677"/>
    <x v="200"/>
    <x v="1090"/>
    <x v="1726"/>
    <x v="109"/>
    <x v="2875"/>
    <x v="2868"/>
    <x v="2635"/>
    <x v="0"/>
    <x v="2848"/>
    <x v="2875"/>
    <x v="319"/>
    <x v="0"/>
    <x v="0"/>
    <x v="0"/>
    <x v="176"/>
    <x v="19"/>
    <x v="629"/>
    <x v="22"/>
    <x v="3"/>
    <x v="525"/>
    <x v="0"/>
    <x v="2922"/>
  </r>
  <r>
    <x v="0"/>
    <x v="769"/>
    <x v="263"/>
    <x v="38"/>
    <x v="299"/>
    <x v="410"/>
    <x v="25"/>
    <x v="2678"/>
    <x v="5"/>
    <x v="194"/>
    <x v="1194"/>
    <x v="1361"/>
    <x v="2876"/>
    <x v="2869"/>
    <x v="2636"/>
    <x v="4"/>
    <x v="2849"/>
    <x v="2876"/>
    <x v="844"/>
    <x v="0"/>
    <x v="0"/>
    <x v="2"/>
    <x v="190"/>
    <x v="26"/>
    <x v="488"/>
    <x v="16"/>
    <x v="1"/>
    <x v="1"/>
    <x v="0"/>
    <x v="2923"/>
  </r>
  <r>
    <x v="0"/>
    <x v="51"/>
    <x v="258"/>
    <x v="98"/>
    <x v="36"/>
    <x v="162"/>
    <x v="370"/>
    <x v="2679"/>
    <x v="125"/>
    <x v="1115"/>
    <x v="1252"/>
    <x v="2061"/>
    <x v="2877"/>
    <x v="2870"/>
    <x v="2071"/>
    <x v="1"/>
    <x v="2850"/>
    <x v="2877"/>
    <x v="579"/>
    <x v="0"/>
    <x v="0"/>
    <x v="0"/>
    <x v="176"/>
    <x v="24"/>
    <x v="181"/>
    <x v="8"/>
    <x v="3"/>
    <x v="1"/>
    <x v="0"/>
    <x v="2924"/>
  </r>
  <r>
    <x v="0"/>
    <x v="1228"/>
    <x v="274"/>
    <x v="37"/>
    <x v="350"/>
    <x v="827"/>
    <x v="35"/>
    <x v="2680"/>
    <x v="232"/>
    <x v="91"/>
    <x v="1348"/>
    <x v="2062"/>
    <x v="2878"/>
    <x v="2871"/>
    <x v="1343"/>
    <x v="0"/>
    <x v="2851"/>
    <x v="2878"/>
    <x v="270"/>
    <x v="0"/>
    <x v="0"/>
    <x v="2"/>
    <x v="176"/>
    <x v="45"/>
    <x v="405"/>
    <x v="1"/>
    <x v="3"/>
    <x v="1"/>
    <x v="0"/>
    <x v="2925"/>
  </r>
  <r>
    <x v="0"/>
    <x v="110"/>
    <x v="383"/>
    <x v="52"/>
    <x v="86"/>
    <x v="129"/>
    <x v="2"/>
    <x v="2681"/>
    <x v="368"/>
    <x v="42"/>
    <x v="370"/>
    <x v="159"/>
    <x v="2879"/>
    <x v="2872"/>
    <x v="2637"/>
    <x v="1"/>
    <x v="2852"/>
    <x v="2879"/>
    <x v="509"/>
    <x v="0"/>
    <x v="0"/>
    <x v="4"/>
    <x v="176"/>
    <x v="39"/>
    <x v="10"/>
    <x v="38"/>
    <x v="3"/>
    <x v="1"/>
    <x v="0"/>
    <x v="2926"/>
  </r>
  <r>
    <x v="0"/>
    <x v="1229"/>
    <x v="405"/>
    <x v="47"/>
    <x v="106"/>
    <x v="660"/>
    <x v="581"/>
    <x v="2682"/>
    <x v="691"/>
    <x v="1116"/>
    <x v="1727"/>
    <x v="2063"/>
    <x v="2880"/>
    <x v="2873"/>
    <x v="2638"/>
    <x v="0"/>
    <x v="2853"/>
    <x v="2880"/>
    <x v="674"/>
    <x v="0"/>
    <x v="0"/>
    <x v="4"/>
    <x v="176"/>
    <x v="3"/>
    <x v="288"/>
    <x v="12"/>
    <x v="1"/>
    <x v="61"/>
    <x v="0"/>
    <x v="2927"/>
  </r>
  <r>
    <x v="0"/>
    <x v="544"/>
    <x v="283"/>
    <x v="27"/>
    <x v="247"/>
    <x v="794"/>
    <x v="30"/>
    <x v="2683"/>
    <x v="692"/>
    <x v="50"/>
    <x v="819"/>
    <x v="2064"/>
    <x v="2881"/>
    <x v="2874"/>
    <x v="2639"/>
    <x v="0"/>
    <x v="2854"/>
    <x v="2881"/>
    <x v="484"/>
    <x v="0"/>
    <x v="0"/>
    <x v="0"/>
    <x v="176"/>
    <x v="7"/>
    <x v="12"/>
    <x v="12"/>
    <x v="1"/>
    <x v="1"/>
    <x v="0"/>
    <x v="2928"/>
  </r>
  <r>
    <x v="0"/>
    <x v="1230"/>
    <x v="315"/>
    <x v="113"/>
    <x v="320"/>
    <x v="611"/>
    <x v="57"/>
    <x v="2684"/>
    <x v="693"/>
    <x v="99"/>
    <x v="673"/>
    <x v="1023"/>
    <x v="2882"/>
    <x v="2875"/>
    <x v="2640"/>
    <x v="0"/>
    <x v="2855"/>
    <x v="2882"/>
    <x v="142"/>
    <x v="0"/>
    <x v="0"/>
    <x v="0"/>
    <x v="176"/>
    <x v="25"/>
    <x v="12"/>
    <x v="2"/>
    <x v="3"/>
    <x v="1"/>
    <x v="0"/>
    <x v="2929"/>
  </r>
  <r>
    <x v="0"/>
    <x v="169"/>
    <x v="321"/>
    <x v="39"/>
    <x v="121"/>
    <x v="494"/>
    <x v="13"/>
    <x v="2685"/>
    <x v="111"/>
    <x v="158"/>
    <x v="1728"/>
    <x v="1713"/>
    <x v="2883"/>
    <x v="2876"/>
    <x v="2641"/>
    <x v="7"/>
    <x v="2856"/>
    <x v="2883"/>
    <x v="307"/>
    <x v="0"/>
    <x v="0"/>
    <x v="4"/>
    <x v="176"/>
    <x v="13"/>
    <x v="30"/>
    <x v="7"/>
    <x v="3"/>
    <x v="1"/>
    <x v="0"/>
    <x v="2930"/>
  </r>
  <r>
    <x v="0"/>
    <x v="457"/>
    <x v="155"/>
    <x v="58"/>
    <x v="188"/>
    <x v="658"/>
    <x v="0"/>
    <x v="2686"/>
    <x v="311"/>
    <x v="586"/>
    <x v="1729"/>
    <x v="1169"/>
    <x v="2884"/>
    <x v="2877"/>
    <x v="2642"/>
    <x v="4"/>
    <x v="2857"/>
    <x v="2884"/>
    <x v="550"/>
    <x v="0"/>
    <x v="0"/>
    <x v="4"/>
    <x v="176"/>
    <x v="8"/>
    <x v="437"/>
    <x v="4"/>
    <x v="3"/>
    <x v="1"/>
    <x v="0"/>
    <x v="2931"/>
  </r>
  <r>
    <x v="0"/>
    <x v="148"/>
    <x v="505"/>
    <x v="71"/>
    <x v="109"/>
    <x v="789"/>
    <x v="168"/>
    <x v="2687"/>
    <x v="211"/>
    <x v="314"/>
    <x v="1730"/>
    <x v="2065"/>
    <x v="2885"/>
    <x v="2878"/>
    <x v="1488"/>
    <x v="0"/>
    <x v="2858"/>
    <x v="2885"/>
    <x v="543"/>
    <x v="0"/>
    <x v="0"/>
    <x v="0"/>
    <x v="176"/>
    <x v="3"/>
    <x v="695"/>
    <x v="1"/>
    <x v="3"/>
    <x v="121"/>
    <x v="0"/>
    <x v="2932"/>
  </r>
  <r>
    <x v="0"/>
    <x v="531"/>
    <x v="441"/>
    <x v="5"/>
    <x v="0"/>
    <x v="828"/>
    <x v="259"/>
    <x v="1281"/>
    <x v="225"/>
    <x v="516"/>
    <x v="1731"/>
    <x v="2066"/>
    <x v="2886"/>
    <x v="2879"/>
    <x v="259"/>
    <x v="1"/>
    <x v="2859"/>
    <x v="2886"/>
    <x v="749"/>
    <x v="0"/>
    <x v="1"/>
    <x v="2"/>
    <x v="176"/>
    <x v="45"/>
    <x v="613"/>
    <x v="4"/>
    <x v="3"/>
    <x v="1"/>
    <x v="0"/>
    <x v="2933"/>
  </r>
  <r>
    <x v="0"/>
    <x v="255"/>
    <x v="296"/>
    <x v="33"/>
    <x v="0"/>
    <x v="662"/>
    <x v="232"/>
    <x v="2688"/>
    <x v="694"/>
    <x v="1117"/>
    <x v="1732"/>
    <x v="1189"/>
    <x v="2887"/>
    <x v="2880"/>
    <x v="1825"/>
    <x v="0"/>
    <x v="2860"/>
    <x v="2887"/>
    <x v="299"/>
    <x v="0"/>
    <x v="1"/>
    <x v="2"/>
    <x v="240"/>
    <x v="37"/>
    <x v="284"/>
    <x v="15"/>
    <x v="3"/>
    <x v="1"/>
    <x v="0"/>
    <x v="2934"/>
  </r>
  <r>
    <x v="0"/>
    <x v="1231"/>
    <x v="387"/>
    <x v="41"/>
    <x v="58"/>
    <x v="250"/>
    <x v="0"/>
    <x v="2689"/>
    <x v="200"/>
    <x v="1118"/>
    <x v="1733"/>
    <x v="2067"/>
    <x v="2888"/>
    <x v="2881"/>
    <x v="663"/>
    <x v="1"/>
    <x v="2861"/>
    <x v="2888"/>
    <x v="894"/>
    <x v="0"/>
    <x v="0"/>
    <x v="0"/>
    <x v="176"/>
    <x v="19"/>
    <x v="789"/>
    <x v="47"/>
    <x v="3"/>
    <x v="1"/>
    <x v="0"/>
    <x v="2935"/>
  </r>
  <r>
    <x v="0"/>
    <x v="1232"/>
    <x v="286"/>
    <x v="41"/>
    <x v="354"/>
    <x v="254"/>
    <x v="358"/>
    <x v="2690"/>
    <x v="70"/>
    <x v="1119"/>
    <x v="1734"/>
    <x v="2068"/>
    <x v="2889"/>
    <x v="2882"/>
    <x v="2643"/>
    <x v="0"/>
    <x v="2862"/>
    <x v="2889"/>
    <x v="292"/>
    <x v="0"/>
    <x v="0"/>
    <x v="4"/>
    <x v="176"/>
    <x v="3"/>
    <x v="367"/>
    <x v="10"/>
    <x v="3"/>
    <x v="5"/>
    <x v="0"/>
    <x v="2936"/>
  </r>
  <r>
    <x v="0"/>
    <x v="1233"/>
    <x v="356"/>
    <x v="100"/>
    <x v="199"/>
    <x v="173"/>
    <x v="500"/>
    <x v="4"/>
    <x v="467"/>
    <x v="1120"/>
    <x v="1555"/>
    <x v="2069"/>
    <x v="2890"/>
    <x v="2883"/>
    <x v="2644"/>
    <x v="0"/>
    <x v="2863"/>
    <x v="2890"/>
    <x v="150"/>
    <x v="0"/>
    <x v="0"/>
    <x v="16"/>
    <x v="176"/>
    <x v="48"/>
    <x v="384"/>
    <x v="25"/>
    <x v="5"/>
    <x v="1"/>
    <x v="0"/>
    <x v="2937"/>
  </r>
  <r>
    <x v="0"/>
    <x v="1141"/>
    <x v="186"/>
    <x v="45"/>
    <x v="281"/>
    <x v="332"/>
    <x v="49"/>
    <x v="2691"/>
    <x v="306"/>
    <x v="86"/>
    <x v="658"/>
    <x v="2070"/>
    <x v="2891"/>
    <x v="2884"/>
    <x v="2645"/>
    <x v="0"/>
    <x v="2864"/>
    <x v="2891"/>
    <x v="895"/>
    <x v="0"/>
    <x v="0"/>
    <x v="4"/>
    <x v="176"/>
    <x v="19"/>
    <x v="408"/>
    <x v="2"/>
    <x v="3"/>
    <x v="1"/>
    <x v="0"/>
    <x v="2938"/>
  </r>
  <r>
    <x v="0"/>
    <x v="1234"/>
    <x v="204"/>
    <x v="71"/>
    <x v="48"/>
    <x v="1"/>
    <x v="477"/>
    <x v="2692"/>
    <x v="321"/>
    <x v="881"/>
    <x v="488"/>
    <x v="2071"/>
    <x v="2892"/>
    <x v="2885"/>
    <x v="2646"/>
    <x v="0"/>
    <x v="2865"/>
    <x v="2892"/>
    <x v="882"/>
    <x v="0"/>
    <x v="0"/>
    <x v="4"/>
    <x v="176"/>
    <x v="8"/>
    <x v="30"/>
    <x v="19"/>
    <x v="3"/>
    <x v="1"/>
    <x v="0"/>
    <x v="2939"/>
  </r>
  <r>
    <x v="0"/>
    <x v="1235"/>
    <x v="208"/>
    <x v="80"/>
    <x v="0"/>
    <x v="428"/>
    <x v="30"/>
    <x v="2693"/>
    <x v="364"/>
    <x v="53"/>
    <x v="1735"/>
    <x v="905"/>
    <x v="2893"/>
    <x v="2886"/>
    <x v="2647"/>
    <x v="1"/>
    <x v="2866"/>
    <x v="2893"/>
    <x v="319"/>
    <x v="0"/>
    <x v="0"/>
    <x v="0"/>
    <x v="176"/>
    <x v="8"/>
    <x v="790"/>
    <x v="28"/>
    <x v="1"/>
    <x v="1"/>
    <x v="0"/>
    <x v="2940"/>
  </r>
  <r>
    <x v="0"/>
    <x v="1236"/>
    <x v="399"/>
    <x v="55"/>
    <x v="198"/>
    <x v="99"/>
    <x v="0"/>
    <x v="2694"/>
    <x v="125"/>
    <x v="159"/>
    <x v="1044"/>
    <x v="1817"/>
    <x v="2894"/>
    <x v="2887"/>
    <x v="2648"/>
    <x v="7"/>
    <x v="2867"/>
    <x v="2894"/>
    <x v="769"/>
    <x v="0"/>
    <x v="0"/>
    <x v="0"/>
    <x v="176"/>
    <x v="14"/>
    <x v="30"/>
    <x v="44"/>
    <x v="1"/>
    <x v="469"/>
    <x v="0"/>
    <x v="2941"/>
  </r>
  <r>
    <x v="0"/>
    <x v="401"/>
    <x v="384"/>
    <x v="41"/>
    <x v="38"/>
    <x v="226"/>
    <x v="162"/>
    <x v="2695"/>
    <x v="219"/>
    <x v="297"/>
    <x v="51"/>
    <x v="2072"/>
    <x v="2895"/>
    <x v="2888"/>
    <x v="2649"/>
    <x v="4"/>
    <x v="2868"/>
    <x v="2895"/>
    <x v="386"/>
    <x v="0"/>
    <x v="0"/>
    <x v="4"/>
    <x v="176"/>
    <x v="18"/>
    <x v="40"/>
    <x v="5"/>
    <x v="3"/>
    <x v="1"/>
    <x v="0"/>
    <x v="2942"/>
  </r>
  <r>
    <x v="0"/>
    <x v="1237"/>
    <x v="346"/>
    <x v="71"/>
    <x v="217"/>
    <x v="19"/>
    <x v="525"/>
    <x v="2696"/>
    <x v="695"/>
    <x v="1121"/>
    <x v="1736"/>
    <x v="880"/>
    <x v="2896"/>
    <x v="2889"/>
    <x v="124"/>
    <x v="0"/>
    <x v="2869"/>
    <x v="2896"/>
    <x v="568"/>
    <x v="0"/>
    <x v="0"/>
    <x v="3"/>
    <x v="176"/>
    <x v="29"/>
    <x v="257"/>
    <x v="16"/>
    <x v="3"/>
    <x v="1"/>
    <x v="0"/>
    <x v="2943"/>
  </r>
  <r>
    <x v="1"/>
    <x v="30"/>
    <x v="222"/>
    <x v="48"/>
    <x v="22"/>
    <x v="197"/>
    <x v="18"/>
    <x v="275"/>
    <x v="2"/>
    <x v="144"/>
    <x v="222"/>
    <x v="249"/>
    <x v="283"/>
    <x v="2890"/>
    <x v="279"/>
    <x v="1"/>
    <x v="280"/>
    <x v="283"/>
    <x v="263"/>
    <x v="0"/>
    <x v="1"/>
    <x v="0"/>
    <x v="16"/>
    <x v="7"/>
    <x v="30"/>
    <x v="25"/>
    <x v="1"/>
    <x v="1"/>
    <x v="0"/>
    <x v="2944"/>
  </r>
  <r>
    <x v="1"/>
    <x v="508"/>
    <x v="342"/>
    <x v="32"/>
    <x v="152"/>
    <x v="286"/>
    <x v="41"/>
    <x v="2697"/>
    <x v="425"/>
    <x v="111"/>
    <x v="530"/>
    <x v="2073"/>
    <x v="2897"/>
    <x v="2891"/>
    <x v="2650"/>
    <x v="0"/>
    <x v="2870"/>
    <x v="2897"/>
    <x v="484"/>
    <x v="0"/>
    <x v="0"/>
    <x v="4"/>
    <x v="176"/>
    <x v="19"/>
    <x v="30"/>
    <x v="38"/>
    <x v="3"/>
    <x v="1"/>
    <x v="0"/>
    <x v="2945"/>
  </r>
  <r>
    <x v="0"/>
    <x v="1238"/>
    <x v="373"/>
    <x v="41"/>
    <x v="198"/>
    <x v="316"/>
    <x v="582"/>
    <x v="2698"/>
    <x v="305"/>
    <x v="1122"/>
    <x v="1737"/>
    <x v="2074"/>
    <x v="2898"/>
    <x v="2892"/>
    <x v="2651"/>
    <x v="0"/>
    <x v="2871"/>
    <x v="2898"/>
    <x v="724"/>
    <x v="0"/>
    <x v="0"/>
    <x v="2"/>
    <x v="176"/>
    <x v="3"/>
    <x v="557"/>
    <x v="18"/>
    <x v="3"/>
    <x v="1"/>
    <x v="0"/>
    <x v="2946"/>
  </r>
  <r>
    <x v="0"/>
    <x v="1239"/>
    <x v="213"/>
    <x v="82"/>
    <x v="3"/>
    <x v="129"/>
    <x v="94"/>
    <x v="2699"/>
    <x v="17"/>
    <x v="845"/>
    <x v="855"/>
    <x v="2075"/>
    <x v="2899"/>
    <x v="2893"/>
    <x v="2652"/>
    <x v="0"/>
    <x v="2872"/>
    <x v="2899"/>
    <x v="347"/>
    <x v="0"/>
    <x v="0"/>
    <x v="0"/>
    <x v="176"/>
    <x v="11"/>
    <x v="30"/>
    <x v="6"/>
    <x v="3"/>
    <x v="526"/>
    <x v="0"/>
    <x v="2947"/>
  </r>
  <r>
    <x v="0"/>
    <x v="390"/>
    <x v="342"/>
    <x v="61"/>
    <x v="3"/>
    <x v="259"/>
    <x v="57"/>
    <x v="2700"/>
    <x v="152"/>
    <x v="109"/>
    <x v="879"/>
    <x v="855"/>
    <x v="2900"/>
    <x v="2894"/>
    <x v="2653"/>
    <x v="4"/>
    <x v="2873"/>
    <x v="2900"/>
    <x v="511"/>
    <x v="0"/>
    <x v="0"/>
    <x v="4"/>
    <x v="176"/>
    <x v="20"/>
    <x v="428"/>
    <x v="38"/>
    <x v="1"/>
    <x v="1"/>
    <x v="0"/>
    <x v="2948"/>
  </r>
  <r>
    <x v="0"/>
    <x v="616"/>
    <x v="331"/>
    <x v="58"/>
    <x v="0"/>
    <x v="786"/>
    <x v="22"/>
    <x v="2701"/>
    <x v="127"/>
    <x v="169"/>
    <x v="513"/>
    <x v="2076"/>
    <x v="2901"/>
    <x v="2895"/>
    <x v="2654"/>
    <x v="10"/>
    <x v="2874"/>
    <x v="2901"/>
    <x v="641"/>
    <x v="0"/>
    <x v="0"/>
    <x v="4"/>
    <x v="176"/>
    <x v="11"/>
    <x v="334"/>
    <x v="12"/>
    <x v="1"/>
    <x v="1"/>
    <x v="0"/>
    <x v="2949"/>
  </r>
  <r>
    <x v="0"/>
    <x v="407"/>
    <x v="266"/>
    <x v="58"/>
    <x v="173"/>
    <x v="504"/>
    <x v="583"/>
    <x v="4"/>
    <x v="577"/>
    <x v="1123"/>
    <x v="1738"/>
    <x v="2077"/>
    <x v="2902"/>
    <x v="2896"/>
    <x v="2456"/>
    <x v="1"/>
    <x v="2875"/>
    <x v="2902"/>
    <x v="678"/>
    <x v="0"/>
    <x v="0"/>
    <x v="2"/>
    <x v="176"/>
    <x v="28"/>
    <x v="744"/>
    <x v="28"/>
    <x v="1"/>
    <x v="527"/>
    <x v="0"/>
    <x v="2950"/>
  </r>
  <r>
    <x v="0"/>
    <x v="387"/>
    <x v="328"/>
    <x v="77"/>
    <x v="219"/>
    <x v="140"/>
    <x v="584"/>
    <x v="2702"/>
    <x v="236"/>
    <x v="634"/>
    <x v="1739"/>
    <x v="2078"/>
    <x v="2903"/>
    <x v="2897"/>
    <x v="2002"/>
    <x v="0"/>
    <x v="2876"/>
    <x v="2903"/>
    <x v="278"/>
    <x v="0"/>
    <x v="0"/>
    <x v="4"/>
    <x v="176"/>
    <x v="15"/>
    <x v="356"/>
    <x v="15"/>
    <x v="3"/>
    <x v="1"/>
    <x v="0"/>
    <x v="2951"/>
  </r>
  <r>
    <x v="0"/>
    <x v="113"/>
    <x v="373"/>
    <x v="162"/>
    <x v="88"/>
    <x v="286"/>
    <x v="0"/>
    <x v="4"/>
    <x v="696"/>
    <x v="1073"/>
    <x v="1740"/>
    <x v="2079"/>
    <x v="2904"/>
    <x v="2898"/>
    <x v="2655"/>
    <x v="4"/>
    <x v="2877"/>
    <x v="2904"/>
    <x v="529"/>
    <x v="0"/>
    <x v="0"/>
    <x v="7"/>
    <x v="4"/>
    <x v="4"/>
    <x v="179"/>
    <x v="35"/>
    <x v="12"/>
    <x v="77"/>
    <x v="0"/>
    <x v="2952"/>
  </r>
  <r>
    <x v="0"/>
    <x v="491"/>
    <x v="151"/>
    <x v="42"/>
    <x v="253"/>
    <x v="109"/>
    <x v="0"/>
    <x v="2703"/>
    <x v="113"/>
    <x v="250"/>
    <x v="1741"/>
    <x v="2080"/>
    <x v="2905"/>
    <x v="2899"/>
    <x v="2656"/>
    <x v="4"/>
    <x v="2878"/>
    <x v="2905"/>
    <x v="551"/>
    <x v="0"/>
    <x v="1"/>
    <x v="0"/>
    <x v="176"/>
    <x v="9"/>
    <x v="623"/>
    <x v="32"/>
    <x v="3"/>
    <x v="40"/>
    <x v="0"/>
    <x v="2953"/>
  </r>
  <r>
    <x v="0"/>
    <x v="934"/>
    <x v="211"/>
    <x v="34"/>
    <x v="118"/>
    <x v="296"/>
    <x v="43"/>
    <x v="2704"/>
    <x v="200"/>
    <x v="642"/>
    <x v="1742"/>
    <x v="390"/>
    <x v="2906"/>
    <x v="2900"/>
    <x v="77"/>
    <x v="1"/>
    <x v="2879"/>
    <x v="2906"/>
    <x v="623"/>
    <x v="0"/>
    <x v="0"/>
    <x v="4"/>
    <x v="195"/>
    <x v="12"/>
    <x v="58"/>
    <x v="8"/>
    <x v="1"/>
    <x v="528"/>
    <x v="0"/>
    <x v="2954"/>
  </r>
  <r>
    <x v="0"/>
    <x v="1233"/>
    <x v="398"/>
    <x v="31"/>
    <x v="199"/>
    <x v="770"/>
    <x v="0"/>
    <x v="4"/>
    <x v="306"/>
    <x v="445"/>
    <x v="1743"/>
    <x v="1648"/>
    <x v="2907"/>
    <x v="2901"/>
    <x v="2657"/>
    <x v="3"/>
    <x v="2880"/>
    <x v="2907"/>
    <x v="400"/>
    <x v="0"/>
    <x v="1"/>
    <x v="4"/>
    <x v="176"/>
    <x v="33"/>
    <x v="651"/>
    <x v="15"/>
    <x v="3"/>
    <x v="1"/>
    <x v="0"/>
    <x v="2955"/>
  </r>
  <r>
    <x v="0"/>
    <x v="1105"/>
    <x v="240"/>
    <x v="27"/>
    <x v="131"/>
    <x v="529"/>
    <x v="276"/>
    <x v="2705"/>
    <x v="204"/>
    <x v="1124"/>
    <x v="1744"/>
    <x v="2081"/>
    <x v="2908"/>
    <x v="2902"/>
    <x v="2658"/>
    <x v="3"/>
    <x v="2881"/>
    <x v="2908"/>
    <x v="549"/>
    <x v="0"/>
    <x v="0"/>
    <x v="2"/>
    <x v="176"/>
    <x v="7"/>
    <x v="117"/>
    <x v="43"/>
    <x v="3"/>
    <x v="1"/>
    <x v="0"/>
    <x v="2956"/>
  </r>
  <r>
    <x v="0"/>
    <x v="1240"/>
    <x v="104"/>
    <x v="56"/>
    <x v="125"/>
    <x v="730"/>
    <x v="585"/>
    <x v="2706"/>
    <x v="293"/>
    <x v="1125"/>
    <x v="122"/>
    <x v="2082"/>
    <x v="2909"/>
    <x v="2903"/>
    <x v="2039"/>
    <x v="4"/>
    <x v="2882"/>
    <x v="2909"/>
    <x v="284"/>
    <x v="0"/>
    <x v="0"/>
    <x v="0"/>
    <x v="176"/>
    <x v="2"/>
    <x v="108"/>
    <x v="21"/>
    <x v="1"/>
    <x v="1"/>
    <x v="0"/>
    <x v="2957"/>
  </r>
  <r>
    <x v="0"/>
    <x v="1241"/>
    <x v="193"/>
    <x v="107"/>
    <x v="184"/>
    <x v="40"/>
    <x v="99"/>
    <x v="2707"/>
    <x v="125"/>
    <x v="178"/>
    <x v="973"/>
    <x v="66"/>
    <x v="2910"/>
    <x v="2904"/>
    <x v="2659"/>
    <x v="7"/>
    <x v="2883"/>
    <x v="2910"/>
    <x v="684"/>
    <x v="0"/>
    <x v="0"/>
    <x v="0"/>
    <x v="4"/>
    <x v="14"/>
    <x v="202"/>
    <x v="33"/>
    <x v="3"/>
    <x v="529"/>
    <x v="0"/>
    <x v="2958"/>
  </r>
  <r>
    <x v="1"/>
    <x v="690"/>
    <x v="436"/>
    <x v="69"/>
    <x v="286"/>
    <x v="469"/>
    <x v="0"/>
    <x v="2708"/>
    <x v="371"/>
    <x v="670"/>
    <x v="1327"/>
    <x v="691"/>
    <x v="2911"/>
    <x v="2905"/>
    <x v="2660"/>
    <x v="0"/>
    <x v="2884"/>
    <x v="2911"/>
    <x v="459"/>
    <x v="0"/>
    <x v="0"/>
    <x v="4"/>
    <x v="176"/>
    <x v="9"/>
    <x v="431"/>
    <x v="6"/>
    <x v="1"/>
    <x v="82"/>
    <x v="0"/>
    <x v="2959"/>
  </r>
  <r>
    <x v="0"/>
    <x v="1242"/>
    <x v="240"/>
    <x v="80"/>
    <x v="56"/>
    <x v="379"/>
    <x v="0"/>
    <x v="2709"/>
    <x v="528"/>
    <x v="0"/>
    <x v="102"/>
    <x v="534"/>
    <x v="2912"/>
    <x v="2906"/>
    <x v="2661"/>
    <x v="1"/>
    <x v="2885"/>
    <x v="2912"/>
    <x v="780"/>
    <x v="0"/>
    <x v="0"/>
    <x v="4"/>
    <x v="185"/>
    <x v="16"/>
    <x v="72"/>
    <x v="10"/>
    <x v="3"/>
    <x v="1"/>
    <x v="0"/>
    <x v="2960"/>
  </r>
  <r>
    <x v="0"/>
    <x v="344"/>
    <x v="447"/>
    <x v="43"/>
    <x v="73"/>
    <x v="739"/>
    <x v="75"/>
    <x v="2710"/>
    <x v="697"/>
    <x v="133"/>
    <x v="276"/>
    <x v="1939"/>
    <x v="2913"/>
    <x v="2907"/>
    <x v="2662"/>
    <x v="0"/>
    <x v="2886"/>
    <x v="2913"/>
    <x v="212"/>
    <x v="0"/>
    <x v="0"/>
    <x v="2"/>
    <x v="176"/>
    <x v="18"/>
    <x v="616"/>
    <x v="43"/>
    <x v="3"/>
    <x v="453"/>
    <x v="0"/>
    <x v="2961"/>
  </r>
  <r>
    <x v="0"/>
    <x v="689"/>
    <x v="301"/>
    <x v="50"/>
    <x v="285"/>
    <x v="288"/>
    <x v="123"/>
    <x v="2711"/>
    <x v="200"/>
    <x v="233"/>
    <x v="1745"/>
    <x v="2004"/>
    <x v="2914"/>
    <x v="2908"/>
    <x v="2663"/>
    <x v="1"/>
    <x v="2887"/>
    <x v="2914"/>
    <x v="394"/>
    <x v="0"/>
    <x v="0"/>
    <x v="4"/>
    <x v="176"/>
    <x v="10"/>
    <x v="475"/>
    <x v="22"/>
    <x v="3"/>
    <x v="1"/>
    <x v="0"/>
    <x v="2962"/>
  </r>
  <r>
    <x v="0"/>
    <x v="396"/>
    <x v="230"/>
    <x v="41"/>
    <x v="224"/>
    <x v="561"/>
    <x v="8"/>
    <x v="2712"/>
    <x v="23"/>
    <x v="35"/>
    <x v="1746"/>
    <x v="408"/>
    <x v="2915"/>
    <x v="2909"/>
    <x v="2664"/>
    <x v="1"/>
    <x v="2888"/>
    <x v="2915"/>
    <x v="89"/>
    <x v="0"/>
    <x v="0"/>
    <x v="4"/>
    <x v="176"/>
    <x v="7"/>
    <x v="791"/>
    <x v="15"/>
    <x v="0"/>
    <x v="1"/>
    <x v="0"/>
    <x v="2963"/>
  </r>
  <r>
    <x v="0"/>
    <x v="1243"/>
    <x v="492"/>
    <x v="41"/>
    <x v="221"/>
    <x v="371"/>
    <x v="0"/>
    <x v="2713"/>
    <x v="125"/>
    <x v="85"/>
    <x v="713"/>
    <x v="2083"/>
    <x v="2916"/>
    <x v="2910"/>
    <x v="2665"/>
    <x v="4"/>
    <x v="2889"/>
    <x v="2916"/>
    <x v="83"/>
    <x v="0"/>
    <x v="0"/>
    <x v="4"/>
    <x v="4"/>
    <x v="13"/>
    <x v="178"/>
    <x v="43"/>
    <x v="3"/>
    <x v="530"/>
    <x v="0"/>
    <x v="2964"/>
  </r>
  <r>
    <x v="0"/>
    <x v="477"/>
    <x v="431"/>
    <x v="7"/>
    <x v="247"/>
    <x v="66"/>
    <x v="0"/>
    <x v="2714"/>
    <x v="105"/>
    <x v="185"/>
    <x v="1747"/>
    <x v="1804"/>
    <x v="2917"/>
    <x v="2911"/>
    <x v="2666"/>
    <x v="1"/>
    <x v="2890"/>
    <x v="2917"/>
    <x v="244"/>
    <x v="0"/>
    <x v="0"/>
    <x v="4"/>
    <x v="176"/>
    <x v="20"/>
    <x v="469"/>
    <x v="4"/>
    <x v="1"/>
    <x v="531"/>
    <x v="0"/>
    <x v="2965"/>
  </r>
  <r>
    <x v="0"/>
    <x v="771"/>
    <x v="266"/>
    <x v="7"/>
    <x v="171"/>
    <x v="829"/>
    <x v="175"/>
    <x v="2715"/>
    <x v="298"/>
    <x v="1126"/>
    <x v="1274"/>
    <x v="2084"/>
    <x v="2918"/>
    <x v="2912"/>
    <x v="2667"/>
    <x v="1"/>
    <x v="2891"/>
    <x v="2918"/>
    <x v="225"/>
    <x v="0"/>
    <x v="0"/>
    <x v="2"/>
    <x v="4"/>
    <x v="5"/>
    <x v="117"/>
    <x v="27"/>
    <x v="1"/>
    <x v="1"/>
    <x v="0"/>
    <x v="2966"/>
  </r>
  <r>
    <x v="0"/>
    <x v="250"/>
    <x v="221"/>
    <x v="18"/>
    <x v="168"/>
    <x v="264"/>
    <x v="2"/>
    <x v="2716"/>
    <x v="17"/>
    <x v="203"/>
    <x v="1748"/>
    <x v="2085"/>
    <x v="2919"/>
    <x v="2913"/>
    <x v="2668"/>
    <x v="1"/>
    <x v="2892"/>
    <x v="2919"/>
    <x v="481"/>
    <x v="0"/>
    <x v="0"/>
    <x v="4"/>
    <x v="4"/>
    <x v="8"/>
    <x v="96"/>
    <x v="10"/>
    <x v="3"/>
    <x v="1"/>
    <x v="0"/>
    <x v="2967"/>
  </r>
  <r>
    <x v="0"/>
    <x v="784"/>
    <x v="384"/>
    <x v="40"/>
    <x v="164"/>
    <x v="754"/>
    <x v="0"/>
    <x v="4"/>
    <x v="368"/>
    <x v="327"/>
    <x v="1749"/>
    <x v="2086"/>
    <x v="2920"/>
    <x v="2914"/>
    <x v="2669"/>
    <x v="0"/>
    <x v="2893"/>
    <x v="2920"/>
    <x v="823"/>
    <x v="0"/>
    <x v="0"/>
    <x v="4"/>
    <x v="176"/>
    <x v="37"/>
    <x v="724"/>
    <x v="4"/>
    <x v="3"/>
    <x v="103"/>
    <x v="0"/>
    <x v="2968"/>
  </r>
  <r>
    <x v="0"/>
    <x v="467"/>
    <x v="202"/>
    <x v="7"/>
    <x v="244"/>
    <x v="1"/>
    <x v="32"/>
    <x v="2717"/>
    <x v="425"/>
    <x v="59"/>
    <x v="54"/>
    <x v="13"/>
    <x v="2921"/>
    <x v="2915"/>
    <x v="2670"/>
    <x v="0"/>
    <x v="2894"/>
    <x v="2921"/>
    <x v="495"/>
    <x v="0"/>
    <x v="1"/>
    <x v="0"/>
    <x v="4"/>
    <x v="17"/>
    <x v="20"/>
    <x v="15"/>
    <x v="1"/>
    <x v="1"/>
    <x v="0"/>
    <x v="2969"/>
  </r>
  <r>
    <x v="0"/>
    <x v="72"/>
    <x v="368"/>
    <x v="165"/>
    <x v="57"/>
    <x v="325"/>
    <x v="586"/>
    <x v="2718"/>
    <x v="698"/>
    <x v="1127"/>
    <x v="1750"/>
    <x v="2087"/>
    <x v="2922"/>
    <x v="2916"/>
    <x v="2671"/>
    <x v="0"/>
    <x v="2895"/>
    <x v="2922"/>
    <x v="246"/>
    <x v="15"/>
    <x v="30"/>
    <x v="4"/>
    <x v="137"/>
    <x v="37"/>
    <x v="244"/>
    <x v="26"/>
    <x v="3"/>
    <x v="59"/>
    <x v="0"/>
    <x v="2970"/>
  </r>
  <r>
    <x v="0"/>
    <x v="199"/>
    <x v="257"/>
    <x v="64"/>
    <x v="141"/>
    <x v="138"/>
    <x v="35"/>
    <x v="336"/>
    <x v="161"/>
    <x v="184"/>
    <x v="188"/>
    <x v="169"/>
    <x v="344"/>
    <x v="344"/>
    <x v="339"/>
    <x v="0"/>
    <x v="341"/>
    <x v="344"/>
    <x v="312"/>
    <x v="0"/>
    <x v="0"/>
    <x v="0"/>
    <x v="58"/>
    <x v="14"/>
    <x v="46"/>
    <x v="19"/>
    <x v="1"/>
    <x v="102"/>
    <x v="0"/>
    <x v="2971"/>
  </r>
  <r>
    <x v="0"/>
    <x v="1244"/>
    <x v="302"/>
    <x v="41"/>
    <x v="211"/>
    <x v="247"/>
    <x v="128"/>
    <x v="2719"/>
    <x v="125"/>
    <x v="1128"/>
    <x v="1751"/>
    <x v="2088"/>
    <x v="2923"/>
    <x v="2917"/>
    <x v="1338"/>
    <x v="3"/>
    <x v="2896"/>
    <x v="2923"/>
    <x v="715"/>
    <x v="0"/>
    <x v="0"/>
    <x v="4"/>
    <x v="176"/>
    <x v="19"/>
    <x v="188"/>
    <x v="28"/>
    <x v="3"/>
    <x v="363"/>
    <x v="0"/>
    <x v="2972"/>
  </r>
  <r>
    <x v="0"/>
    <x v="482"/>
    <x v="164"/>
    <x v="32"/>
    <x v="248"/>
    <x v="616"/>
    <x v="464"/>
    <x v="2720"/>
    <x v="49"/>
    <x v="1129"/>
    <x v="1398"/>
    <x v="2089"/>
    <x v="2924"/>
    <x v="2918"/>
    <x v="2672"/>
    <x v="1"/>
    <x v="2897"/>
    <x v="2924"/>
    <x v="199"/>
    <x v="0"/>
    <x v="1"/>
    <x v="4"/>
    <x v="176"/>
    <x v="9"/>
    <x v="432"/>
    <x v="6"/>
    <x v="1"/>
    <x v="131"/>
    <x v="0"/>
    <x v="2973"/>
  </r>
  <r>
    <x v="0"/>
    <x v="187"/>
    <x v="61"/>
    <x v="73"/>
    <x v="133"/>
    <x v="597"/>
    <x v="301"/>
    <x v="2721"/>
    <x v="16"/>
    <x v="549"/>
    <x v="1752"/>
    <x v="2090"/>
    <x v="2925"/>
    <x v="2919"/>
    <x v="2673"/>
    <x v="3"/>
    <x v="2898"/>
    <x v="2925"/>
    <x v="638"/>
    <x v="4"/>
    <x v="9"/>
    <x v="0"/>
    <x v="32"/>
    <x v="14"/>
    <x v="792"/>
    <x v="32"/>
    <x v="1"/>
    <x v="1"/>
    <x v="0"/>
    <x v="2974"/>
  </r>
  <r>
    <x v="0"/>
    <x v="1245"/>
    <x v="88"/>
    <x v="86"/>
    <x v="180"/>
    <x v="677"/>
    <x v="386"/>
    <x v="2722"/>
    <x v="306"/>
    <x v="1130"/>
    <x v="1753"/>
    <x v="1227"/>
    <x v="2926"/>
    <x v="2920"/>
    <x v="2674"/>
    <x v="1"/>
    <x v="2899"/>
    <x v="2926"/>
    <x v="147"/>
    <x v="0"/>
    <x v="0"/>
    <x v="4"/>
    <x v="176"/>
    <x v="3"/>
    <x v="381"/>
    <x v="4"/>
    <x v="3"/>
    <x v="1"/>
    <x v="0"/>
    <x v="2975"/>
  </r>
  <r>
    <x v="0"/>
    <x v="1246"/>
    <x v="325"/>
    <x v="11"/>
    <x v="106"/>
    <x v="161"/>
    <x v="583"/>
    <x v="2723"/>
    <x v="232"/>
    <x v="1131"/>
    <x v="1754"/>
    <x v="2091"/>
    <x v="2927"/>
    <x v="2921"/>
    <x v="2675"/>
    <x v="0"/>
    <x v="2900"/>
    <x v="2927"/>
    <x v="299"/>
    <x v="0"/>
    <x v="0"/>
    <x v="0"/>
    <x v="176"/>
    <x v="2"/>
    <x v="550"/>
    <x v="21"/>
    <x v="1"/>
    <x v="1"/>
    <x v="0"/>
    <x v="2976"/>
  </r>
  <r>
    <x v="0"/>
    <x v="1247"/>
    <x v="225"/>
    <x v="56"/>
    <x v="113"/>
    <x v="830"/>
    <x v="188"/>
    <x v="2724"/>
    <x v="316"/>
    <x v="354"/>
    <x v="1755"/>
    <x v="2092"/>
    <x v="2928"/>
    <x v="2922"/>
    <x v="2676"/>
    <x v="3"/>
    <x v="2901"/>
    <x v="2928"/>
    <x v="129"/>
    <x v="0"/>
    <x v="0"/>
    <x v="4"/>
    <x v="176"/>
    <x v="8"/>
    <x v="228"/>
    <x v="15"/>
    <x v="1"/>
    <x v="1"/>
    <x v="0"/>
    <x v="2977"/>
  </r>
  <r>
    <x v="0"/>
    <x v="1248"/>
    <x v="207"/>
    <x v="113"/>
    <x v="73"/>
    <x v="820"/>
    <x v="199"/>
    <x v="2725"/>
    <x v="70"/>
    <x v="554"/>
    <x v="935"/>
    <x v="2093"/>
    <x v="2929"/>
    <x v="2923"/>
    <x v="2677"/>
    <x v="0"/>
    <x v="2902"/>
    <x v="2929"/>
    <x v="212"/>
    <x v="0"/>
    <x v="0"/>
    <x v="0"/>
    <x v="70"/>
    <x v="21"/>
    <x v="529"/>
    <x v="20"/>
    <x v="3"/>
    <x v="283"/>
    <x v="0"/>
    <x v="2978"/>
  </r>
  <r>
    <x v="0"/>
    <x v="1249"/>
    <x v="459"/>
    <x v="54"/>
    <x v="355"/>
    <x v="232"/>
    <x v="0"/>
    <x v="2726"/>
    <x v="103"/>
    <x v="738"/>
    <x v="582"/>
    <x v="294"/>
    <x v="2930"/>
    <x v="2924"/>
    <x v="2678"/>
    <x v="0"/>
    <x v="2903"/>
    <x v="2930"/>
    <x v="749"/>
    <x v="0"/>
    <x v="5"/>
    <x v="4"/>
    <x v="83"/>
    <x v="29"/>
    <x v="30"/>
    <x v="18"/>
    <x v="3"/>
    <x v="103"/>
    <x v="0"/>
    <x v="2979"/>
  </r>
  <r>
    <x v="0"/>
    <x v="1250"/>
    <x v="235"/>
    <x v="107"/>
    <x v="148"/>
    <x v="773"/>
    <x v="58"/>
    <x v="2727"/>
    <x v="125"/>
    <x v="100"/>
    <x v="509"/>
    <x v="1660"/>
    <x v="2931"/>
    <x v="2925"/>
    <x v="1815"/>
    <x v="0"/>
    <x v="2904"/>
    <x v="2931"/>
    <x v="549"/>
    <x v="0"/>
    <x v="0"/>
    <x v="0"/>
    <x v="176"/>
    <x v="7"/>
    <x v="330"/>
    <x v="22"/>
    <x v="3"/>
    <x v="371"/>
    <x v="0"/>
    <x v="2980"/>
  </r>
  <r>
    <x v="1"/>
    <x v="696"/>
    <x v="277"/>
    <x v="18"/>
    <x v="201"/>
    <x v="345"/>
    <x v="161"/>
    <x v="2728"/>
    <x v="200"/>
    <x v="1132"/>
    <x v="1756"/>
    <x v="2094"/>
    <x v="2932"/>
    <x v="2926"/>
    <x v="1291"/>
    <x v="0"/>
    <x v="2905"/>
    <x v="2932"/>
    <x v="290"/>
    <x v="0"/>
    <x v="0"/>
    <x v="4"/>
    <x v="176"/>
    <x v="20"/>
    <x v="579"/>
    <x v="22"/>
    <x v="10"/>
    <x v="221"/>
    <x v="0"/>
    <x v="2981"/>
  </r>
  <r>
    <x v="0"/>
    <x v="350"/>
    <x v="125"/>
    <x v="40"/>
    <x v="208"/>
    <x v="802"/>
    <x v="176"/>
    <x v="2729"/>
    <x v="200"/>
    <x v="1133"/>
    <x v="1757"/>
    <x v="2095"/>
    <x v="2933"/>
    <x v="2927"/>
    <x v="2679"/>
    <x v="0"/>
    <x v="2906"/>
    <x v="2933"/>
    <x v="559"/>
    <x v="0"/>
    <x v="0"/>
    <x v="4"/>
    <x v="176"/>
    <x v="7"/>
    <x v="538"/>
    <x v="5"/>
    <x v="1"/>
    <x v="1"/>
    <x v="0"/>
    <x v="2982"/>
  </r>
  <r>
    <x v="0"/>
    <x v="1060"/>
    <x v="370"/>
    <x v="78"/>
    <x v="143"/>
    <x v="591"/>
    <x v="587"/>
    <x v="2730"/>
    <x v="616"/>
    <x v="1134"/>
    <x v="1758"/>
    <x v="2096"/>
    <x v="2934"/>
    <x v="2928"/>
    <x v="2680"/>
    <x v="4"/>
    <x v="2907"/>
    <x v="2934"/>
    <x v="621"/>
    <x v="0"/>
    <x v="0"/>
    <x v="2"/>
    <x v="176"/>
    <x v="17"/>
    <x v="677"/>
    <x v="74"/>
    <x v="3"/>
    <x v="1"/>
    <x v="0"/>
    <x v="2983"/>
  </r>
  <r>
    <x v="0"/>
    <x v="437"/>
    <x v="421"/>
    <x v="26"/>
    <x v="0"/>
    <x v="259"/>
    <x v="99"/>
    <x v="2731"/>
    <x v="200"/>
    <x v="178"/>
    <x v="542"/>
    <x v="855"/>
    <x v="2935"/>
    <x v="2929"/>
    <x v="2681"/>
    <x v="3"/>
    <x v="2908"/>
    <x v="2935"/>
    <x v="631"/>
    <x v="0"/>
    <x v="0"/>
    <x v="4"/>
    <x v="176"/>
    <x v="25"/>
    <x v="352"/>
    <x v="40"/>
    <x v="3"/>
    <x v="477"/>
    <x v="0"/>
    <x v="2984"/>
  </r>
  <r>
    <x v="0"/>
    <x v="1251"/>
    <x v="291"/>
    <x v="18"/>
    <x v="356"/>
    <x v="358"/>
    <x v="0"/>
    <x v="2732"/>
    <x v="60"/>
    <x v="543"/>
    <x v="1759"/>
    <x v="2097"/>
    <x v="2936"/>
    <x v="2930"/>
    <x v="2588"/>
    <x v="0"/>
    <x v="2909"/>
    <x v="2936"/>
    <x v="783"/>
    <x v="0"/>
    <x v="5"/>
    <x v="4"/>
    <x v="176"/>
    <x v="17"/>
    <x v="638"/>
    <x v="43"/>
    <x v="3"/>
    <x v="532"/>
    <x v="0"/>
    <x v="2985"/>
  </r>
  <r>
    <x v="0"/>
    <x v="761"/>
    <x v="136"/>
    <x v="47"/>
    <x v="296"/>
    <x v="48"/>
    <x v="326"/>
    <x v="2733"/>
    <x v="17"/>
    <x v="1113"/>
    <x v="491"/>
    <x v="2098"/>
    <x v="2937"/>
    <x v="2931"/>
    <x v="2682"/>
    <x v="0"/>
    <x v="2910"/>
    <x v="2937"/>
    <x v="465"/>
    <x v="0"/>
    <x v="0"/>
    <x v="4"/>
    <x v="176"/>
    <x v="8"/>
    <x v="319"/>
    <x v="1"/>
    <x v="1"/>
    <x v="1"/>
    <x v="0"/>
    <x v="2986"/>
  </r>
  <r>
    <x v="0"/>
    <x v="1252"/>
    <x v="258"/>
    <x v="56"/>
    <x v="167"/>
    <x v="20"/>
    <x v="15"/>
    <x v="2734"/>
    <x v="270"/>
    <x v="212"/>
    <x v="48"/>
    <x v="2099"/>
    <x v="2938"/>
    <x v="2932"/>
    <x v="2683"/>
    <x v="7"/>
    <x v="2911"/>
    <x v="2938"/>
    <x v="195"/>
    <x v="0"/>
    <x v="1"/>
    <x v="4"/>
    <x v="176"/>
    <x v="18"/>
    <x v="30"/>
    <x v="15"/>
    <x v="1"/>
    <x v="533"/>
    <x v="0"/>
    <x v="2987"/>
  </r>
  <r>
    <x v="0"/>
    <x v="588"/>
    <x v="511"/>
    <x v="47"/>
    <x v="271"/>
    <x v="323"/>
    <x v="232"/>
    <x v="2735"/>
    <x v="699"/>
    <x v="1135"/>
    <x v="1760"/>
    <x v="2100"/>
    <x v="993"/>
    <x v="2933"/>
    <x v="251"/>
    <x v="0"/>
    <x v="2912"/>
    <x v="2939"/>
    <x v="491"/>
    <x v="24"/>
    <x v="18"/>
    <x v="4"/>
    <x v="241"/>
    <x v="7"/>
    <x v="538"/>
    <x v="15"/>
    <x v="3"/>
    <x v="115"/>
    <x v="0"/>
    <x v="2988"/>
  </r>
  <r>
    <x v="0"/>
    <x v="150"/>
    <x v="412"/>
    <x v="7"/>
    <x v="111"/>
    <x v="322"/>
    <x v="22"/>
    <x v="4"/>
    <x v="700"/>
    <x v="226"/>
    <x v="772"/>
    <x v="2101"/>
    <x v="2939"/>
    <x v="2934"/>
    <x v="2684"/>
    <x v="0"/>
    <x v="2913"/>
    <x v="2940"/>
    <x v="896"/>
    <x v="0"/>
    <x v="0"/>
    <x v="2"/>
    <x v="176"/>
    <x v="37"/>
    <x v="237"/>
    <x v="20"/>
    <x v="3"/>
    <x v="534"/>
    <x v="0"/>
    <x v="2989"/>
  </r>
  <r>
    <x v="0"/>
    <x v="1253"/>
    <x v="333"/>
    <x v="59"/>
    <x v="226"/>
    <x v="739"/>
    <x v="55"/>
    <x v="2736"/>
    <x v="560"/>
    <x v="1136"/>
    <x v="424"/>
    <x v="1514"/>
    <x v="2940"/>
    <x v="2935"/>
    <x v="2355"/>
    <x v="0"/>
    <x v="2914"/>
    <x v="2941"/>
    <x v="271"/>
    <x v="0"/>
    <x v="15"/>
    <x v="4"/>
    <x v="176"/>
    <x v="15"/>
    <x v="285"/>
    <x v="1"/>
    <x v="1"/>
    <x v="1"/>
    <x v="0"/>
    <x v="2990"/>
  </r>
  <r>
    <x v="0"/>
    <x v="1254"/>
    <x v="265"/>
    <x v="55"/>
    <x v="131"/>
    <x v="227"/>
    <x v="20"/>
    <x v="2737"/>
    <x v="105"/>
    <x v="21"/>
    <x v="1761"/>
    <x v="1217"/>
    <x v="2941"/>
    <x v="2936"/>
    <x v="2685"/>
    <x v="7"/>
    <x v="2915"/>
    <x v="2942"/>
    <x v="390"/>
    <x v="0"/>
    <x v="0"/>
    <x v="4"/>
    <x v="176"/>
    <x v="1"/>
    <x v="195"/>
    <x v="15"/>
    <x v="3"/>
    <x v="1"/>
    <x v="0"/>
    <x v="2991"/>
  </r>
  <r>
    <x v="0"/>
    <x v="1255"/>
    <x v="89"/>
    <x v="100"/>
    <x v="357"/>
    <x v="732"/>
    <x v="215"/>
    <x v="2738"/>
    <x v="270"/>
    <x v="1137"/>
    <x v="1762"/>
    <x v="2102"/>
    <x v="2942"/>
    <x v="2937"/>
    <x v="2686"/>
    <x v="4"/>
    <x v="2916"/>
    <x v="2943"/>
    <x v="390"/>
    <x v="17"/>
    <x v="20"/>
    <x v="9"/>
    <x v="242"/>
    <x v="9"/>
    <x v="561"/>
    <x v="16"/>
    <x v="1"/>
    <x v="5"/>
    <x v="0"/>
    <x v="2992"/>
  </r>
  <r>
    <x v="0"/>
    <x v="1256"/>
    <x v="239"/>
    <x v="27"/>
    <x v="0"/>
    <x v="37"/>
    <x v="0"/>
    <x v="2739"/>
    <x v="200"/>
    <x v="1028"/>
    <x v="1763"/>
    <x v="2103"/>
    <x v="2943"/>
    <x v="2938"/>
    <x v="2198"/>
    <x v="2"/>
    <x v="2917"/>
    <x v="2944"/>
    <x v="138"/>
    <x v="0"/>
    <x v="0"/>
    <x v="4"/>
    <x v="176"/>
    <x v="19"/>
    <x v="186"/>
    <x v="1"/>
    <x v="3"/>
    <x v="49"/>
    <x v="0"/>
    <x v="2993"/>
  </r>
  <r>
    <x v="0"/>
    <x v="1257"/>
    <x v="39"/>
    <x v="77"/>
    <x v="0"/>
    <x v="397"/>
    <x v="22"/>
    <x v="2740"/>
    <x v="306"/>
    <x v="1138"/>
    <x v="1764"/>
    <x v="2104"/>
    <x v="2944"/>
    <x v="2939"/>
    <x v="1168"/>
    <x v="2"/>
    <x v="2918"/>
    <x v="2945"/>
    <x v="527"/>
    <x v="0"/>
    <x v="1"/>
    <x v="4"/>
    <x v="176"/>
    <x v="9"/>
    <x v="30"/>
    <x v="2"/>
    <x v="1"/>
    <x v="41"/>
    <x v="0"/>
    <x v="2994"/>
  </r>
  <r>
    <x v="1"/>
    <x v="594"/>
    <x v="123"/>
    <x v="74"/>
    <x v="0"/>
    <x v="362"/>
    <x v="558"/>
    <x v="2741"/>
    <x v="377"/>
    <x v="214"/>
    <x v="804"/>
    <x v="942"/>
    <x v="2945"/>
    <x v="2940"/>
    <x v="2687"/>
    <x v="0"/>
    <x v="2919"/>
    <x v="2946"/>
    <x v="191"/>
    <x v="13"/>
    <x v="14"/>
    <x v="4"/>
    <x v="176"/>
    <x v="14"/>
    <x v="200"/>
    <x v="7"/>
    <x v="1"/>
    <x v="1"/>
    <x v="0"/>
    <x v="2995"/>
  </r>
  <r>
    <x v="0"/>
    <x v="1258"/>
    <x v="313"/>
    <x v="43"/>
    <x v="353"/>
    <x v="325"/>
    <x v="588"/>
    <x v="2742"/>
    <x v="352"/>
    <x v="1139"/>
    <x v="1765"/>
    <x v="2105"/>
    <x v="2946"/>
    <x v="2941"/>
    <x v="2688"/>
    <x v="2"/>
    <x v="2920"/>
    <x v="2947"/>
    <x v="724"/>
    <x v="0"/>
    <x v="0"/>
    <x v="0"/>
    <x v="176"/>
    <x v="1"/>
    <x v="514"/>
    <x v="22"/>
    <x v="3"/>
    <x v="287"/>
    <x v="0"/>
    <x v="2996"/>
  </r>
  <r>
    <x v="0"/>
    <x v="1259"/>
    <x v="428"/>
    <x v="7"/>
    <x v="107"/>
    <x v="12"/>
    <x v="556"/>
    <x v="2743"/>
    <x v="259"/>
    <x v="1140"/>
    <x v="1406"/>
    <x v="281"/>
    <x v="2947"/>
    <x v="2942"/>
    <x v="591"/>
    <x v="0"/>
    <x v="2921"/>
    <x v="2948"/>
    <x v="712"/>
    <x v="0"/>
    <x v="0"/>
    <x v="2"/>
    <x v="176"/>
    <x v="12"/>
    <x v="104"/>
    <x v="11"/>
    <x v="3"/>
    <x v="1"/>
    <x v="0"/>
    <x v="2997"/>
  </r>
  <r>
    <x v="0"/>
    <x v="435"/>
    <x v="318"/>
    <x v="70"/>
    <x v="236"/>
    <x v="815"/>
    <x v="67"/>
    <x v="2744"/>
    <x v="293"/>
    <x v="118"/>
    <x v="453"/>
    <x v="2106"/>
    <x v="2948"/>
    <x v="2943"/>
    <x v="1682"/>
    <x v="4"/>
    <x v="2922"/>
    <x v="2949"/>
    <x v="448"/>
    <x v="0"/>
    <x v="25"/>
    <x v="0"/>
    <x v="176"/>
    <x v="0"/>
    <x v="299"/>
    <x v="2"/>
    <x v="3"/>
    <x v="1"/>
    <x v="0"/>
    <x v="2998"/>
  </r>
  <r>
    <x v="0"/>
    <x v="1260"/>
    <x v="225"/>
    <x v="37"/>
    <x v="0"/>
    <x v="355"/>
    <x v="191"/>
    <x v="2745"/>
    <x v="168"/>
    <x v="536"/>
    <x v="1766"/>
    <x v="2107"/>
    <x v="2949"/>
    <x v="2944"/>
    <x v="2689"/>
    <x v="0"/>
    <x v="2923"/>
    <x v="2950"/>
    <x v="431"/>
    <x v="0"/>
    <x v="0"/>
    <x v="4"/>
    <x v="70"/>
    <x v="21"/>
    <x v="793"/>
    <x v="13"/>
    <x v="3"/>
    <x v="1"/>
    <x v="0"/>
    <x v="2999"/>
  </r>
  <r>
    <x v="0"/>
    <x v="20"/>
    <x v="365"/>
    <x v="107"/>
    <x v="13"/>
    <x v="831"/>
    <x v="100"/>
    <x v="2746"/>
    <x v="70"/>
    <x v="181"/>
    <x v="1767"/>
    <x v="2108"/>
    <x v="2950"/>
    <x v="2945"/>
    <x v="2291"/>
    <x v="0"/>
    <x v="2924"/>
    <x v="2951"/>
    <x v="129"/>
    <x v="0"/>
    <x v="0"/>
    <x v="4"/>
    <x v="176"/>
    <x v="19"/>
    <x v="400"/>
    <x v="21"/>
    <x v="1"/>
    <x v="535"/>
    <x v="0"/>
    <x v="3000"/>
  </r>
  <r>
    <x v="0"/>
    <x v="859"/>
    <x v="429"/>
    <x v="86"/>
    <x v="0"/>
    <x v="331"/>
    <x v="435"/>
    <x v="2747"/>
    <x v="200"/>
    <x v="787"/>
    <x v="895"/>
    <x v="445"/>
    <x v="2951"/>
    <x v="2946"/>
    <x v="2690"/>
    <x v="4"/>
    <x v="2925"/>
    <x v="2952"/>
    <x v="818"/>
    <x v="0"/>
    <x v="5"/>
    <x v="4"/>
    <x v="176"/>
    <x v="13"/>
    <x v="507"/>
    <x v="19"/>
    <x v="3"/>
    <x v="536"/>
    <x v="0"/>
    <x v="3001"/>
  </r>
  <r>
    <x v="0"/>
    <x v="1051"/>
    <x v="239"/>
    <x v="78"/>
    <x v="129"/>
    <x v="175"/>
    <x v="589"/>
    <x v="2748"/>
    <x v="150"/>
    <x v="1141"/>
    <x v="1411"/>
    <x v="1634"/>
    <x v="2952"/>
    <x v="2947"/>
    <x v="1417"/>
    <x v="4"/>
    <x v="2926"/>
    <x v="2953"/>
    <x v="365"/>
    <x v="0"/>
    <x v="0"/>
    <x v="4"/>
    <x v="83"/>
    <x v="1"/>
    <x v="712"/>
    <x v="21"/>
    <x v="1"/>
    <x v="103"/>
    <x v="0"/>
    <x v="3002"/>
  </r>
  <r>
    <x v="0"/>
    <x v="321"/>
    <x v="394"/>
    <x v="33"/>
    <x v="200"/>
    <x v="268"/>
    <x v="171"/>
    <x v="2749"/>
    <x v="105"/>
    <x v="772"/>
    <x v="1355"/>
    <x v="347"/>
    <x v="2953"/>
    <x v="2948"/>
    <x v="2691"/>
    <x v="1"/>
    <x v="2927"/>
    <x v="2954"/>
    <x v="719"/>
    <x v="0"/>
    <x v="0"/>
    <x v="0"/>
    <x v="4"/>
    <x v="3"/>
    <x v="693"/>
    <x v="37"/>
    <x v="1"/>
    <x v="1"/>
    <x v="0"/>
    <x v="3003"/>
  </r>
  <r>
    <x v="0"/>
    <x v="1261"/>
    <x v="474"/>
    <x v="60"/>
    <x v="143"/>
    <x v="815"/>
    <x v="48"/>
    <x v="2750"/>
    <x v="168"/>
    <x v="81"/>
    <x v="1690"/>
    <x v="2106"/>
    <x v="2954"/>
    <x v="2949"/>
    <x v="2692"/>
    <x v="0"/>
    <x v="2928"/>
    <x v="2955"/>
    <x v="678"/>
    <x v="0"/>
    <x v="8"/>
    <x v="4"/>
    <x v="176"/>
    <x v="1"/>
    <x v="218"/>
    <x v="7"/>
    <x v="1"/>
    <x v="1"/>
    <x v="0"/>
    <x v="3004"/>
  </r>
  <r>
    <x v="0"/>
    <x v="1262"/>
    <x v="345"/>
    <x v="90"/>
    <x v="176"/>
    <x v="298"/>
    <x v="590"/>
    <x v="2751"/>
    <x v="387"/>
    <x v="1142"/>
    <x v="1768"/>
    <x v="2109"/>
    <x v="2955"/>
    <x v="2950"/>
    <x v="2693"/>
    <x v="0"/>
    <x v="2929"/>
    <x v="2956"/>
    <x v="727"/>
    <x v="29"/>
    <x v="33"/>
    <x v="4"/>
    <x v="243"/>
    <x v="12"/>
    <x v="556"/>
    <x v="1"/>
    <x v="1"/>
    <x v="119"/>
    <x v="0"/>
    <x v="3005"/>
  </r>
  <r>
    <x v="0"/>
    <x v="1263"/>
    <x v="372"/>
    <x v="47"/>
    <x v="174"/>
    <x v="569"/>
    <x v="57"/>
    <x v="2752"/>
    <x v="125"/>
    <x v="99"/>
    <x v="652"/>
    <x v="912"/>
    <x v="2956"/>
    <x v="2951"/>
    <x v="2694"/>
    <x v="1"/>
    <x v="2930"/>
    <x v="2957"/>
    <x v="431"/>
    <x v="0"/>
    <x v="0"/>
    <x v="4"/>
    <x v="176"/>
    <x v="15"/>
    <x v="405"/>
    <x v="51"/>
    <x v="3"/>
    <x v="537"/>
    <x v="0"/>
    <x v="3006"/>
  </r>
  <r>
    <x v="0"/>
    <x v="187"/>
    <x v="217"/>
    <x v="54"/>
    <x v="133"/>
    <x v="708"/>
    <x v="590"/>
    <x v="2753"/>
    <x v="200"/>
    <x v="1143"/>
    <x v="1769"/>
    <x v="2110"/>
    <x v="2957"/>
    <x v="2952"/>
    <x v="2695"/>
    <x v="1"/>
    <x v="2931"/>
    <x v="2958"/>
    <x v="822"/>
    <x v="4"/>
    <x v="9"/>
    <x v="4"/>
    <x v="4"/>
    <x v="0"/>
    <x v="231"/>
    <x v="20"/>
    <x v="1"/>
    <x v="538"/>
    <x v="0"/>
    <x v="3007"/>
  </r>
  <r>
    <x v="0"/>
    <x v="727"/>
    <x v="249"/>
    <x v="54"/>
    <x v="124"/>
    <x v="457"/>
    <x v="591"/>
    <x v="4"/>
    <x v="701"/>
    <x v="1144"/>
    <x v="1323"/>
    <x v="1069"/>
    <x v="2958"/>
    <x v="2953"/>
    <x v="2696"/>
    <x v="4"/>
    <x v="2932"/>
    <x v="2959"/>
    <x v="390"/>
    <x v="0"/>
    <x v="0"/>
    <x v="4"/>
    <x v="244"/>
    <x v="19"/>
    <x v="299"/>
    <x v="2"/>
    <x v="3"/>
    <x v="1"/>
    <x v="0"/>
    <x v="3008"/>
  </r>
  <r>
    <x v="1"/>
    <x v="1264"/>
    <x v="290"/>
    <x v="5"/>
    <x v="125"/>
    <x v="708"/>
    <x v="592"/>
    <x v="2754"/>
    <x v="156"/>
    <x v="1145"/>
    <x v="1770"/>
    <x v="2111"/>
    <x v="2959"/>
    <x v="2954"/>
    <x v="2697"/>
    <x v="0"/>
    <x v="2933"/>
    <x v="2960"/>
    <x v="496"/>
    <x v="4"/>
    <x v="9"/>
    <x v="4"/>
    <x v="176"/>
    <x v="0"/>
    <x v="776"/>
    <x v="16"/>
    <x v="1"/>
    <x v="1"/>
    <x v="0"/>
    <x v="3009"/>
  </r>
  <r>
    <x v="0"/>
    <x v="119"/>
    <x v="159"/>
    <x v="50"/>
    <x v="69"/>
    <x v="136"/>
    <x v="30"/>
    <x v="183"/>
    <x v="85"/>
    <x v="110"/>
    <x v="154"/>
    <x v="167"/>
    <x v="186"/>
    <x v="2955"/>
    <x v="184"/>
    <x v="0"/>
    <x v="186"/>
    <x v="186"/>
    <x v="178"/>
    <x v="0"/>
    <x v="0"/>
    <x v="2"/>
    <x v="37"/>
    <x v="2"/>
    <x v="74"/>
    <x v="10"/>
    <x v="3"/>
    <x v="18"/>
    <x v="0"/>
    <x v="3010"/>
  </r>
  <r>
    <x v="0"/>
    <x v="1265"/>
    <x v="451"/>
    <x v="71"/>
    <x v="0"/>
    <x v="719"/>
    <x v="197"/>
    <x v="4"/>
    <x v="58"/>
    <x v="368"/>
    <x v="1229"/>
    <x v="2112"/>
    <x v="2960"/>
    <x v="2956"/>
    <x v="2698"/>
    <x v="0"/>
    <x v="2934"/>
    <x v="2961"/>
    <x v="818"/>
    <x v="4"/>
    <x v="9"/>
    <x v="2"/>
    <x v="4"/>
    <x v="10"/>
    <x v="537"/>
    <x v="75"/>
    <x v="2"/>
    <x v="255"/>
    <x v="0"/>
    <x v="3011"/>
  </r>
  <r>
    <x v="0"/>
    <x v="1266"/>
    <x v="402"/>
    <x v="67"/>
    <x v="143"/>
    <x v="403"/>
    <x v="512"/>
    <x v="4"/>
    <x v="40"/>
    <x v="963"/>
    <x v="1771"/>
    <x v="2113"/>
    <x v="2961"/>
    <x v="2957"/>
    <x v="844"/>
    <x v="0"/>
    <x v="2935"/>
    <x v="2962"/>
    <x v="769"/>
    <x v="2"/>
    <x v="7"/>
    <x v="5"/>
    <x v="176"/>
    <x v="5"/>
    <x v="585"/>
    <x v="9"/>
    <x v="1"/>
    <x v="1"/>
    <x v="0"/>
    <x v="3012"/>
  </r>
  <r>
    <x v="0"/>
    <x v="200"/>
    <x v="336"/>
    <x v="18"/>
    <x v="140"/>
    <x v="325"/>
    <x v="362"/>
    <x v="2755"/>
    <x v="108"/>
    <x v="1146"/>
    <x v="1772"/>
    <x v="2114"/>
    <x v="2962"/>
    <x v="2958"/>
    <x v="2699"/>
    <x v="12"/>
    <x v="2936"/>
    <x v="2963"/>
    <x v="666"/>
    <x v="0"/>
    <x v="46"/>
    <x v="4"/>
    <x v="78"/>
    <x v="10"/>
    <x v="644"/>
    <x v="23"/>
    <x v="1"/>
    <x v="1"/>
    <x v="0"/>
    <x v="3013"/>
  </r>
  <r>
    <x v="0"/>
    <x v="1267"/>
    <x v="150"/>
    <x v="77"/>
    <x v="199"/>
    <x v="736"/>
    <x v="434"/>
    <x v="4"/>
    <x v="702"/>
    <x v="1147"/>
    <x v="1773"/>
    <x v="2115"/>
    <x v="2963"/>
    <x v="2959"/>
    <x v="2700"/>
    <x v="1"/>
    <x v="2937"/>
    <x v="2964"/>
    <x v="300"/>
    <x v="0"/>
    <x v="1"/>
    <x v="4"/>
    <x v="176"/>
    <x v="0"/>
    <x v="696"/>
    <x v="8"/>
    <x v="1"/>
    <x v="38"/>
    <x v="0"/>
    <x v="3014"/>
  </r>
  <r>
    <x v="0"/>
    <x v="1268"/>
    <x v="93"/>
    <x v="70"/>
    <x v="0"/>
    <x v="804"/>
    <x v="0"/>
    <x v="2756"/>
    <x v="270"/>
    <x v="738"/>
    <x v="1774"/>
    <x v="2116"/>
    <x v="2964"/>
    <x v="2960"/>
    <x v="2701"/>
    <x v="1"/>
    <x v="4"/>
    <x v="2965"/>
    <x v="896"/>
    <x v="0"/>
    <x v="0"/>
    <x v="4"/>
    <x v="176"/>
    <x v="2"/>
    <x v="546"/>
    <x v="7"/>
    <x v="3"/>
    <x v="18"/>
    <x v="0"/>
    <x v="3015"/>
  </r>
  <r>
    <x v="0"/>
    <x v="297"/>
    <x v="249"/>
    <x v="77"/>
    <x v="190"/>
    <x v="504"/>
    <x v="593"/>
    <x v="2757"/>
    <x v="113"/>
    <x v="1148"/>
    <x v="1775"/>
    <x v="757"/>
    <x v="2965"/>
    <x v="2961"/>
    <x v="2702"/>
    <x v="9"/>
    <x v="2938"/>
    <x v="2966"/>
    <x v="243"/>
    <x v="0"/>
    <x v="0"/>
    <x v="2"/>
    <x v="176"/>
    <x v="11"/>
    <x v="465"/>
    <x v="27"/>
    <x v="1"/>
    <x v="33"/>
    <x v="0"/>
    <x v="3016"/>
  </r>
  <r>
    <x v="0"/>
    <x v="129"/>
    <x v="285"/>
    <x v="27"/>
    <x v="0"/>
    <x v="1"/>
    <x v="8"/>
    <x v="2758"/>
    <x v="70"/>
    <x v="35"/>
    <x v="40"/>
    <x v="2117"/>
    <x v="2966"/>
    <x v="2962"/>
    <x v="2703"/>
    <x v="5"/>
    <x v="2939"/>
    <x v="2967"/>
    <x v="897"/>
    <x v="0"/>
    <x v="1"/>
    <x v="4"/>
    <x v="224"/>
    <x v="21"/>
    <x v="6"/>
    <x v="24"/>
    <x v="3"/>
    <x v="41"/>
    <x v="0"/>
    <x v="3017"/>
  </r>
  <r>
    <x v="0"/>
    <x v="1269"/>
    <x v="320"/>
    <x v="71"/>
    <x v="255"/>
    <x v="19"/>
    <x v="312"/>
    <x v="4"/>
    <x v="703"/>
    <x v="1149"/>
    <x v="1776"/>
    <x v="2118"/>
    <x v="2967"/>
    <x v="2963"/>
    <x v="2704"/>
    <x v="5"/>
    <x v="4"/>
    <x v="2968"/>
    <x v="791"/>
    <x v="0"/>
    <x v="0"/>
    <x v="2"/>
    <x v="176"/>
    <x v="2"/>
    <x v="326"/>
    <x v="66"/>
    <x v="2"/>
    <x v="539"/>
    <x v="0"/>
    <x v="3018"/>
  </r>
  <r>
    <x v="0"/>
    <x v="1137"/>
    <x v="288"/>
    <x v="33"/>
    <x v="79"/>
    <x v="641"/>
    <x v="328"/>
    <x v="2759"/>
    <x v="471"/>
    <x v="1150"/>
    <x v="1777"/>
    <x v="2119"/>
    <x v="2968"/>
    <x v="2964"/>
    <x v="2705"/>
    <x v="0"/>
    <x v="2940"/>
    <x v="2969"/>
    <x v="248"/>
    <x v="0"/>
    <x v="0"/>
    <x v="4"/>
    <x v="223"/>
    <x v="30"/>
    <x v="144"/>
    <x v="4"/>
    <x v="3"/>
    <x v="1"/>
    <x v="0"/>
    <x v="3019"/>
  </r>
  <r>
    <x v="0"/>
    <x v="1270"/>
    <x v="429"/>
    <x v="90"/>
    <x v="0"/>
    <x v="597"/>
    <x v="594"/>
    <x v="2760"/>
    <x v="270"/>
    <x v="1151"/>
    <x v="1778"/>
    <x v="2120"/>
    <x v="2969"/>
    <x v="2965"/>
    <x v="1998"/>
    <x v="0"/>
    <x v="2941"/>
    <x v="2970"/>
    <x v="408"/>
    <x v="2"/>
    <x v="7"/>
    <x v="1"/>
    <x v="245"/>
    <x v="27"/>
    <x v="794"/>
    <x v="7"/>
    <x v="3"/>
    <x v="540"/>
    <x v="0"/>
    <x v="3020"/>
  </r>
  <r>
    <x v="0"/>
    <x v="1271"/>
    <x v="311"/>
    <x v="7"/>
    <x v="216"/>
    <x v="145"/>
    <x v="109"/>
    <x v="4"/>
    <x v="306"/>
    <x v="205"/>
    <x v="1779"/>
    <x v="2021"/>
    <x v="2970"/>
    <x v="2966"/>
    <x v="2092"/>
    <x v="4"/>
    <x v="2942"/>
    <x v="2971"/>
    <x v="788"/>
    <x v="0"/>
    <x v="1"/>
    <x v="4"/>
    <x v="223"/>
    <x v="0"/>
    <x v="795"/>
    <x v="19"/>
    <x v="1"/>
    <x v="541"/>
    <x v="0"/>
    <x v="3021"/>
  </r>
  <r>
    <x v="0"/>
    <x v="1272"/>
    <x v="489"/>
    <x v="29"/>
    <x v="221"/>
    <x v="621"/>
    <x v="595"/>
    <x v="4"/>
    <x v="270"/>
    <x v="1152"/>
    <x v="1780"/>
    <x v="2121"/>
    <x v="2971"/>
    <x v="2967"/>
    <x v="2706"/>
    <x v="1"/>
    <x v="4"/>
    <x v="2972"/>
    <x v="843"/>
    <x v="21"/>
    <x v="9"/>
    <x v="1"/>
    <x v="176"/>
    <x v="2"/>
    <x v="327"/>
    <x v="5"/>
    <x v="1"/>
    <x v="404"/>
    <x v="0"/>
    <x v="3022"/>
  </r>
  <r>
    <x v="0"/>
    <x v="259"/>
    <x v="176"/>
    <x v="11"/>
    <x v="173"/>
    <x v="87"/>
    <x v="521"/>
    <x v="2761"/>
    <x v="63"/>
    <x v="1153"/>
    <x v="1781"/>
    <x v="2122"/>
    <x v="2972"/>
    <x v="2968"/>
    <x v="2707"/>
    <x v="0"/>
    <x v="2943"/>
    <x v="2973"/>
    <x v="479"/>
    <x v="0"/>
    <x v="0"/>
    <x v="2"/>
    <x v="190"/>
    <x v="31"/>
    <x v="677"/>
    <x v="13"/>
    <x v="5"/>
    <x v="57"/>
    <x v="0"/>
    <x v="3023"/>
  </r>
  <r>
    <x v="0"/>
    <x v="142"/>
    <x v="496"/>
    <x v="31"/>
    <x v="0"/>
    <x v="662"/>
    <x v="2"/>
    <x v="2762"/>
    <x v="0"/>
    <x v="42"/>
    <x v="1782"/>
    <x v="1189"/>
    <x v="2973"/>
    <x v="2969"/>
    <x v="2708"/>
    <x v="1"/>
    <x v="2944"/>
    <x v="2974"/>
    <x v="898"/>
    <x v="0"/>
    <x v="0"/>
    <x v="2"/>
    <x v="190"/>
    <x v="47"/>
    <x v="30"/>
    <x v="50"/>
    <x v="1"/>
    <x v="0"/>
    <x v="0"/>
    <x v="3024"/>
  </r>
  <r>
    <x v="0"/>
    <x v="1273"/>
    <x v="287"/>
    <x v="56"/>
    <x v="31"/>
    <x v="832"/>
    <x v="13"/>
    <x v="2763"/>
    <x v="125"/>
    <x v="158"/>
    <x v="706"/>
    <x v="2123"/>
    <x v="2974"/>
    <x v="2970"/>
    <x v="2709"/>
    <x v="1"/>
    <x v="2945"/>
    <x v="2975"/>
    <x v="690"/>
    <x v="0"/>
    <x v="0"/>
    <x v="4"/>
    <x v="223"/>
    <x v="6"/>
    <x v="72"/>
    <x v="19"/>
    <x v="1"/>
    <x v="59"/>
    <x v="0"/>
    <x v="3025"/>
  </r>
  <r>
    <x v="0"/>
    <x v="767"/>
    <x v="332"/>
    <x v="166"/>
    <x v="298"/>
    <x v="742"/>
    <x v="510"/>
    <x v="2764"/>
    <x v="387"/>
    <x v="957"/>
    <x v="1783"/>
    <x v="1521"/>
    <x v="2975"/>
    <x v="2971"/>
    <x v="2710"/>
    <x v="4"/>
    <x v="2946"/>
    <x v="2976"/>
    <x v="363"/>
    <x v="0"/>
    <x v="0"/>
    <x v="0"/>
    <x v="190"/>
    <x v="52"/>
    <x v="246"/>
    <x v="25"/>
    <x v="1"/>
    <x v="115"/>
    <x v="0"/>
    <x v="3026"/>
  </r>
  <r>
    <x v="0"/>
    <x v="564"/>
    <x v="217"/>
    <x v="37"/>
    <x v="144"/>
    <x v="320"/>
    <x v="365"/>
    <x v="2765"/>
    <x v="704"/>
    <x v="1154"/>
    <x v="1784"/>
    <x v="2124"/>
    <x v="2976"/>
    <x v="2972"/>
    <x v="723"/>
    <x v="0"/>
    <x v="2947"/>
    <x v="2977"/>
    <x v="721"/>
    <x v="30"/>
    <x v="1"/>
    <x v="4"/>
    <x v="4"/>
    <x v="11"/>
    <x v="463"/>
    <x v="13"/>
    <x v="1"/>
    <x v="1"/>
    <x v="0"/>
    <x v="3027"/>
  </r>
  <r>
    <x v="0"/>
    <x v="353"/>
    <x v="342"/>
    <x v="52"/>
    <x v="209"/>
    <x v="833"/>
    <x v="301"/>
    <x v="2766"/>
    <x v="235"/>
    <x v="1155"/>
    <x v="1785"/>
    <x v="2125"/>
    <x v="2977"/>
    <x v="2973"/>
    <x v="2711"/>
    <x v="1"/>
    <x v="2948"/>
    <x v="2978"/>
    <x v="372"/>
    <x v="0"/>
    <x v="0"/>
    <x v="3"/>
    <x v="190"/>
    <x v="8"/>
    <x v="536"/>
    <x v="33"/>
    <x v="3"/>
    <x v="1"/>
    <x v="0"/>
    <x v="3028"/>
  </r>
  <r>
    <x v="0"/>
    <x v="363"/>
    <x v="512"/>
    <x v="38"/>
    <x v="213"/>
    <x v="166"/>
    <x v="29"/>
    <x v="2767"/>
    <x v="122"/>
    <x v="34"/>
    <x v="1786"/>
    <x v="1171"/>
    <x v="2978"/>
    <x v="2974"/>
    <x v="2712"/>
    <x v="4"/>
    <x v="2949"/>
    <x v="2979"/>
    <x v="837"/>
    <x v="0"/>
    <x v="0"/>
    <x v="4"/>
    <x v="131"/>
    <x v="5"/>
    <x v="786"/>
    <x v="0"/>
    <x v="1"/>
    <x v="88"/>
    <x v="0"/>
    <x v="3029"/>
  </r>
  <r>
    <x v="0"/>
    <x v="899"/>
    <x v="209"/>
    <x v="80"/>
    <x v="108"/>
    <x v="337"/>
    <x v="460"/>
    <x v="2768"/>
    <x v="590"/>
    <x v="842"/>
    <x v="1353"/>
    <x v="1586"/>
    <x v="2979"/>
    <x v="2975"/>
    <x v="2713"/>
    <x v="0"/>
    <x v="2950"/>
    <x v="2980"/>
    <x v="216"/>
    <x v="0"/>
    <x v="0"/>
    <x v="4"/>
    <x v="4"/>
    <x v="7"/>
    <x v="459"/>
    <x v="1"/>
    <x v="3"/>
    <x v="172"/>
    <x v="0"/>
    <x v="3030"/>
  </r>
  <r>
    <x v="0"/>
    <x v="592"/>
    <x v="390"/>
    <x v="60"/>
    <x v="151"/>
    <x v="598"/>
    <x v="71"/>
    <x v="2769"/>
    <x v="70"/>
    <x v="1062"/>
    <x v="301"/>
    <x v="2126"/>
    <x v="2980"/>
    <x v="2976"/>
    <x v="2714"/>
    <x v="1"/>
    <x v="2951"/>
    <x v="2981"/>
    <x v="781"/>
    <x v="0"/>
    <x v="0"/>
    <x v="4"/>
    <x v="190"/>
    <x v="29"/>
    <x v="203"/>
    <x v="7"/>
    <x v="3"/>
    <x v="115"/>
    <x v="0"/>
    <x v="3031"/>
  </r>
  <r>
    <x v="0"/>
    <x v="1274"/>
    <x v="142"/>
    <x v="86"/>
    <x v="5"/>
    <x v="154"/>
    <x v="30"/>
    <x v="2770"/>
    <x v="705"/>
    <x v="53"/>
    <x v="1787"/>
    <x v="190"/>
    <x v="2981"/>
    <x v="2977"/>
    <x v="2715"/>
    <x v="3"/>
    <x v="2952"/>
    <x v="2982"/>
    <x v="320"/>
    <x v="0"/>
    <x v="0"/>
    <x v="0"/>
    <x v="190"/>
    <x v="11"/>
    <x v="30"/>
    <x v="2"/>
    <x v="1"/>
    <x v="61"/>
    <x v="0"/>
    <x v="3032"/>
  </r>
  <r>
    <x v="0"/>
    <x v="882"/>
    <x v="421"/>
    <x v="80"/>
    <x v="217"/>
    <x v="792"/>
    <x v="512"/>
    <x v="4"/>
    <x v="132"/>
    <x v="1156"/>
    <x v="1382"/>
    <x v="2127"/>
    <x v="2982"/>
    <x v="2978"/>
    <x v="2716"/>
    <x v="4"/>
    <x v="4"/>
    <x v="2983"/>
    <x v="631"/>
    <x v="0"/>
    <x v="4"/>
    <x v="9"/>
    <x v="176"/>
    <x v="11"/>
    <x v="705"/>
    <x v="44"/>
    <x v="2"/>
    <x v="542"/>
    <x v="0"/>
    <x v="3033"/>
  </r>
  <r>
    <x v="0"/>
    <x v="1275"/>
    <x v="394"/>
    <x v="86"/>
    <x v="74"/>
    <x v="27"/>
    <x v="0"/>
    <x v="2771"/>
    <x v="300"/>
    <x v="1157"/>
    <x v="633"/>
    <x v="499"/>
    <x v="2983"/>
    <x v="2979"/>
    <x v="2717"/>
    <x v="3"/>
    <x v="2953"/>
    <x v="2984"/>
    <x v="241"/>
    <x v="0"/>
    <x v="0"/>
    <x v="4"/>
    <x v="190"/>
    <x v="30"/>
    <x v="50"/>
    <x v="13"/>
    <x v="3"/>
    <x v="1"/>
    <x v="0"/>
    <x v="3034"/>
  </r>
  <r>
    <x v="0"/>
    <x v="518"/>
    <x v="392"/>
    <x v="7"/>
    <x v="211"/>
    <x v="834"/>
    <x v="596"/>
    <x v="4"/>
    <x v="125"/>
    <x v="1158"/>
    <x v="1256"/>
    <x v="2128"/>
    <x v="2984"/>
    <x v="2980"/>
    <x v="2718"/>
    <x v="7"/>
    <x v="2954"/>
    <x v="2985"/>
    <x v="386"/>
    <x v="0"/>
    <x v="1"/>
    <x v="0"/>
    <x v="179"/>
    <x v="1"/>
    <x v="285"/>
    <x v="27"/>
    <x v="3"/>
    <x v="1"/>
    <x v="0"/>
    <x v="3035"/>
  </r>
  <r>
    <x v="0"/>
    <x v="133"/>
    <x v="405"/>
    <x v="113"/>
    <x v="98"/>
    <x v="334"/>
    <x v="473"/>
    <x v="2772"/>
    <x v="111"/>
    <x v="416"/>
    <x v="1788"/>
    <x v="2129"/>
    <x v="2985"/>
    <x v="2981"/>
    <x v="2719"/>
    <x v="0"/>
    <x v="2955"/>
    <x v="2986"/>
    <x v="103"/>
    <x v="0"/>
    <x v="0"/>
    <x v="4"/>
    <x v="185"/>
    <x v="19"/>
    <x v="695"/>
    <x v="1"/>
    <x v="1"/>
    <x v="1"/>
    <x v="0"/>
    <x v="3036"/>
  </r>
  <r>
    <x v="0"/>
    <x v="239"/>
    <x v="227"/>
    <x v="59"/>
    <x v="160"/>
    <x v="433"/>
    <x v="262"/>
    <x v="2773"/>
    <x v="17"/>
    <x v="1159"/>
    <x v="1430"/>
    <x v="2130"/>
    <x v="2986"/>
    <x v="2982"/>
    <x v="2720"/>
    <x v="1"/>
    <x v="2956"/>
    <x v="2987"/>
    <x v="798"/>
    <x v="0"/>
    <x v="0"/>
    <x v="2"/>
    <x v="190"/>
    <x v="19"/>
    <x v="86"/>
    <x v="38"/>
    <x v="1"/>
    <x v="64"/>
    <x v="0"/>
    <x v="3037"/>
  </r>
  <r>
    <x v="0"/>
    <x v="678"/>
    <x v="379"/>
    <x v="40"/>
    <x v="0"/>
    <x v="72"/>
    <x v="597"/>
    <x v="2774"/>
    <x v="152"/>
    <x v="1160"/>
    <x v="860"/>
    <x v="2131"/>
    <x v="2987"/>
    <x v="2983"/>
    <x v="2721"/>
    <x v="0"/>
    <x v="2957"/>
    <x v="2988"/>
    <x v="600"/>
    <x v="0"/>
    <x v="1"/>
    <x v="4"/>
    <x v="190"/>
    <x v="16"/>
    <x v="409"/>
    <x v="32"/>
    <x v="3"/>
    <x v="1"/>
    <x v="0"/>
    <x v="3038"/>
  </r>
  <r>
    <x v="0"/>
    <x v="526"/>
    <x v="217"/>
    <x v="55"/>
    <x v="106"/>
    <x v="348"/>
    <x v="41"/>
    <x v="2775"/>
    <x v="17"/>
    <x v="221"/>
    <x v="1469"/>
    <x v="2132"/>
    <x v="2988"/>
    <x v="2984"/>
    <x v="2722"/>
    <x v="3"/>
    <x v="2958"/>
    <x v="2989"/>
    <x v="899"/>
    <x v="0"/>
    <x v="0"/>
    <x v="4"/>
    <x v="238"/>
    <x v="15"/>
    <x v="727"/>
    <x v="8"/>
    <x v="3"/>
    <x v="1"/>
    <x v="0"/>
    <x v="3039"/>
  </r>
  <r>
    <x v="0"/>
    <x v="1027"/>
    <x v="150"/>
    <x v="80"/>
    <x v="79"/>
    <x v="835"/>
    <x v="253"/>
    <x v="2776"/>
    <x v="364"/>
    <x v="464"/>
    <x v="1789"/>
    <x v="2133"/>
    <x v="2989"/>
    <x v="2985"/>
    <x v="2723"/>
    <x v="0"/>
    <x v="2959"/>
    <x v="2990"/>
    <x v="357"/>
    <x v="0"/>
    <x v="4"/>
    <x v="4"/>
    <x v="190"/>
    <x v="0"/>
    <x v="412"/>
    <x v="19"/>
    <x v="3"/>
    <x v="1"/>
    <x v="0"/>
    <x v="3040"/>
  </r>
  <r>
    <x v="0"/>
    <x v="873"/>
    <x v="422"/>
    <x v="80"/>
    <x v="0"/>
    <x v="752"/>
    <x v="0"/>
    <x v="4"/>
    <x v="125"/>
    <x v="1161"/>
    <x v="1790"/>
    <x v="1581"/>
    <x v="2990"/>
    <x v="2986"/>
    <x v="2661"/>
    <x v="0"/>
    <x v="2960"/>
    <x v="2991"/>
    <x v="104"/>
    <x v="0"/>
    <x v="0"/>
    <x v="4"/>
    <x v="190"/>
    <x v="37"/>
    <x v="103"/>
    <x v="8"/>
    <x v="1"/>
    <x v="1"/>
    <x v="0"/>
    <x v="3041"/>
  </r>
  <r>
    <x v="0"/>
    <x v="1102"/>
    <x v="216"/>
    <x v="47"/>
    <x v="95"/>
    <x v="650"/>
    <x v="386"/>
    <x v="2777"/>
    <x v="270"/>
    <x v="1130"/>
    <x v="1791"/>
    <x v="2134"/>
    <x v="2991"/>
    <x v="2987"/>
    <x v="2724"/>
    <x v="7"/>
    <x v="2961"/>
    <x v="2992"/>
    <x v="388"/>
    <x v="0"/>
    <x v="0"/>
    <x v="0"/>
    <x v="190"/>
    <x v="8"/>
    <x v="84"/>
    <x v="11"/>
    <x v="1"/>
    <x v="1"/>
    <x v="0"/>
    <x v="3042"/>
  </r>
  <r>
    <x v="0"/>
    <x v="1276"/>
    <x v="219"/>
    <x v="107"/>
    <x v="78"/>
    <x v="836"/>
    <x v="114"/>
    <x v="2778"/>
    <x v="70"/>
    <x v="291"/>
    <x v="491"/>
    <x v="2135"/>
    <x v="2992"/>
    <x v="2988"/>
    <x v="1831"/>
    <x v="1"/>
    <x v="2962"/>
    <x v="2993"/>
    <x v="360"/>
    <x v="0"/>
    <x v="0"/>
    <x v="0"/>
    <x v="190"/>
    <x v="18"/>
    <x v="319"/>
    <x v="51"/>
    <x v="3"/>
    <x v="389"/>
    <x v="0"/>
    <x v="3043"/>
  </r>
  <r>
    <x v="0"/>
    <x v="209"/>
    <x v="193"/>
    <x v="43"/>
    <x v="0"/>
    <x v="374"/>
    <x v="292"/>
    <x v="2779"/>
    <x v="168"/>
    <x v="1162"/>
    <x v="1792"/>
    <x v="524"/>
    <x v="2993"/>
    <x v="2989"/>
    <x v="1797"/>
    <x v="0"/>
    <x v="2963"/>
    <x v="2994"/>
    <x v="670"/>
    <x v="0"/>
    <x v="0"/>
    <x v="4"/>
    <x v="176"/>
    <x v="29"/>
    <x v="337"/>
    <x v="19"/>
    <x v="3"/>
    <x v="543"/>
    <x v="0"/>
    <x v="3044"/>
  </r>
  <r>
    <x v="0"/>
    <x v="596"/>
    <x v="393"/>
    <x v="97"/>
    <x v="152"/>
    <x v="208"/>
    <x v="57"/>
    <x v="4"/>
    <x v="270"/>
    <x v="237"/>
    <x v="866"/>
    <x v="2136"/>
    <x v="2994"/>
    <x v="2990"/>
    <x v="2725"/>
    <x v="4"/>
    <x v="2964"/>
    <x v="2995"/>
    <x v="816"/>
    <x v="0"/>
    <x v="0"/>
    <x v="2"/>
    <x v="190"/>
    <x v="33"/>
    <x v="181"/>
    <x v="21"/>
    <x v="3"/>
    <x v="544"/>
    <x v="0"/>
    <x v="3045"/>
  </r>
  <r>
    <x v="0"/>
    <x v="624"/>
    <x v="460"/>
    <x v="7"/>
    <x v="15"/>
    <x v="577"/>
    <x v="598"/>
    <x v="2780"/>
    <x v="577"/>
    <x v="1163"/>
    <x v="1793"/>
    <x v="954"/>
    <x v="2995"/>
    <x v="2991"/>
    <x v="2726"/>
    <x v="0"/>
    <x v="2965"/>
    <x v="2996"/>
    <x v="398"/>
    <x v="0"/>
    <x v="0"/>
    <x v="2"/>
    <x v="176"/>
    <x v="43"/>
    <x v="309"/>
    <x v="34"/>
    <x v="1"/>
    <x v="527"/>
    <x v="0"/>
    <x v="3046"/>
  </r>
  <r>
    <x v="0"/>
    <x v="1277"/>
    <x v="144"/>
    <x v="70"/>
    <x v="116"/>
    <x v="588"/>
    <x v="205"/>
    <x v="2781"/>
    <x v="17"/>
    <x v="385"/>
    <x v="1794"/>
    <x v="2137"/>
    <x v="2996"/>
    <x v="2992"/>
    <x v="2727"/>
    <x v="1"/>
    <x v="2966"/>
    <x v="2997"/>
    <x v="657"/>
    <x v="0"/>
    <x v="1"/>
    <x v="0"/>
    <x v="190"/>
    <x v="2"/>
    <x v="704"/>
    <x v="7"/>
    <x v="3"/>
    <x v="88"/>
    <x v="0"/>
    <x v="3047"/>
  </r>
  <r>
    <x v="0"/>
    <x v="328"/>
    <x v="310"/>
    <x v="65"/>
    <x v="0"/>
    <x v="180"/>
    <x v="402"/>
    <x v="4"/>
    <x v="706"/>
    <x v="732"/>
    <x v="1795"/>
    <x v="2138"/>
    <x v="2997"/>
    <x v="2993"/>
    <x v="2728"/>
    <x v="0"/>
    <x v="2967"/>
    <x v="2998"/>
    <x v="882"/>
    <x v="0"/>
    <x v="1"/>
    <x v="2"/>
    <x v="190"/>
    <x v="57"/>
    <x v="132"/>
    <x v="14"/>
    <x v="10"/>
    <x v="1"/>
    <x v="0"/>
    <x v="3048"/>
  </r>
  <r>
    <x v="0"/>
    <x v="1278"/>
    <x v="447"/>
    <x v="71"/>
    <x v="216"/>
    <x v="512"/>
    <x v="7"/>
    <x v="2782"/>
    <x v="300"/>
    <x v="1164"/>
    <x v="1796"/>
    <x v="769"/>
    <x v="2998"/>
    <x v="2994"/>
    <x v="2729"/>
    <x v="0"/>
    <x v="2968"/>
    <x v="2999"/>
    <x v="129"/>
    <x v="0"/>
    <x v="0"/>
    <x v="0"/>
    <x v="190"/>
    <x v="18"/>
    <x v="796"/>
    <x v="22"/>
    <x v="3"/>
    <x v="1"/>
    <x v="0"/>
    <x v="3049"/>
  </r>
  <r>
    <x v="0"/>
    <x v="529"/>
    <x v="459"/>
    <x v="95"/>
    <x v="233"/>
    <x v="327"/>
    <x v="94"/>
    <x v="2783"/>
    <x v="125"/>
    <x v="166"/>
    <x v="1797"/>
    <x v="441"/>
    <x v="2999"/>
    <x v="2995"/>
    <x v="2176"/>
    <x v="1"/>
    <x v="2969"/>
    <x v="3000"/>
    <x v="167"/>
    <x v="0"/>
    <x v="0"/>
    <x v="4"/>
    <x v="190"/>
    <x v="21"/>
    <x v="184"/>
    <x v="37"/>
    <x v="3"/>
    <x v="344"/>
    <x v="0"/>
    <x v="3050"/>
  </r>
  <r>
    <x v="0"/>
    <x v="1279"/>
    <x v="177"/>
    <x v="42"/>
    <x v="0"/>
    <x v="257"/>
    <x v="396"/>
    <x v="2784"/>
    <x v="200"/>
    <x v="1165"/>
    <x v="1798"/>
    <x v="2139"/>
    <x v="3000"/>
    <x v="2996"/>
    <x v="2730"/>
    <x v="2"/>
    <x v="2970"/>
    <x v="3001"/>
    <x v="189"/>
    <x v="0"/>
    <x v="1"/>
    <x v="0"/>
    <x v="190"/>
    <x v="3"/>
    <x v="797"/>
    <x v="2"/>
    <x v="1"/>
    <x v="38"/>
    <x v="0"/>
    <x v="3051"/>
  </r>
  <r>
    <x v="0"/>
    <x v="1280"/>
    <x v="346"/>
    <x v="54"/>
    <x v="78"/>
    <x v="290"/>
    <x v="0"/>
    <x v="2785"/>
    <x v="125"/>
    <x v="602"/>
    <x v="311"/>
    <x v="381"/>
    <x v="3001"/>
    <x v="2997"/>
    <x v="2731"/>
    <x v="0"/>
    <x v="2971"/>
    <x v="3002"/>
    <x v="239"/>
    <x v="0"/>
    <x v="0"/>
    <x v="4"/>
    <x v="190"/>
    <x v="18"/>
    <x v="211"/>
    <x v="43"/>
    <x v="3"/>
    <x v="545"/>
    <x v="0"/>
    <x v="3052"/>
  </r>
  <r>
    <x v="0"/>
    <x v="825"/>
    <x v="331"/>
    <x v="7"/>
    <x v="0"/>
    <x v="498"/>
    <x v="2"/>
    <x v="2786"/>
    <x v="168"/>
    <x v="72"/>
    <x v="830"/>
    <x v="745"/>
    <x v="3002"/>
    <x v="2998"/>
    <x v="2732"/>
    <x v="0"/>
    <x v="2972"/>
    <x v="3003"/>
    <x v="161"/>
    <x v="0"/>
    <x v="0"/>
    <x v="4"/>
    <x v="190"/>
    <x v="18"/>
    <x v="421"/>
    <x v="11"/>
    <x v="3"/>
    <x v="9"/>
    <x v="0"/>
    <x v="3053"/>
  </r>
  <r>
    <x v="0"/>
    <x v="1281"/>
    <x v="232"/>
    <x v="56"/>
    <x v="172"/>
    <x v="327"/>
    <x v="17"/>
    <x v="2787"/>
    <x v="406"/>
    <x v="32"/>
    <x v="423"/>
    <x v="2140"/>
    <x v="3003"/>
    <x v="2999"/>
    <x v="2733"/>
    <x v="4"/>
    <x v="2973"/>
    <x v="3004"/>
    <x v="568"/>
    <x v="0"/>
    <x v="1"/>
    <x v="0"/>
    <x v="190"/>
    <x v="2"/>
    <x v="56"/>
    <x v="11"/>
    <x v="1"/>
    <x v="139"/>
    <x v="0"/>
    <x v="3054"/>
  </r>
  <r>
    <x v="1"/>
    <x v="111"/>
    <x v="86"/>
    <x v="34"/>
    <x v="87"/>
    <x v="157"/>
    <x v="21"/>
    <x v="2788"/>
    <x v="113"/>
    <x v="22"/>
    <x v="297"/>
    <x v="2141"/>
    <x v="3004"/>
    <x v="3000"/>
    <x v="2734"/>
    <x v="0"/>
    <x v="2974"/>
    <x v="3005"/>
    <x v="334"/>
    <x v="0"/>
    <x v="0"/>
    <x v="4"/>
    <x v="190"/>
    <x v="14"/>
    <x v="30"/>
    <x v="1"/>
    <x v="1"/>
    <x v="1"/>
    <x v="0"/>
    <x v="3055"/>
  </r>
  <r>
    <x v="0"/>
    <x v="6"/>
    <x v="248"/>
    <x v="76"/>
    <x v="0"/>
    <x v="537"/>
    <x v="163"/>
    <x v="2789"/>
    <x v="63"/>
    <x v="1166"/>
    <x v="418"/>
    <x v="2142"/>
    <x v="3005"/>
    <x v="3001"/>
    <x v="2735"/>
    <x v="0"/>
    <x v="2975"/>
    <x v="3006"/>
    <x v="380"/>
    <x v="0"/>
    <x v="0"/>
    <x v="4"/>
    <x v="185"/>
    <x v="29"/>
    <x v="625"/>
    <x v="32"/>
    <x v="3"/>
    <x v="7"/>
    <x v="0"/>
    <x v="3056"/>
  </r>
  <r>
    <x v="0"/>
    <x v="1282"/>
    <x v="240"/>
    <x v="107"/>
    <x v="198"/>
    <x v="685"/>
    <x v="150"/>
    <x v="2790"/>
    <x v="127"/>
    <x v="402"/>
    <x v="1212"/>
    <x v="2143"/>
    <x v="3006"/>
    <x v="3002"/>
    <x v="2736"/>
    <x v="2"/>
    <x v="2976"/>
    <x v="3007"/>
    <x v="653"/>
    <x v="0"/>
    <x v="4"/>
    <x v="4"/>
    <x v="190"/>
    <x v="19"/>
    <x v="243"/>
    <x v="43"/>
    <x v="3"/>
    <x v="546"/>
    <x v="0"/>
    <x v="3057"/>
  </r>
  <r>
    <x v="0"/>
    <x v="644"/>
    <x v="227"/>
    <x v="34"/>
    <x v="277"/>
    <x v="620"/>
    <x v="1"/>
    <x v="2791"/>
    <x v="17"/>
    <x v="1"/>
    <x v="1799"/>
    <x v="2144"/>
    <x v="3007"/>
    <x v="3003"/>
    <x v="2737"/>
    <x v="1"/>
    <x v="2977"/>
    <x v="3008"/>
    <x v="616"/>
    <x v="0"/>
    <x v="0"/>
    <x v="0"/>
    <x v="190"/>
    <x v="27"/>
    <x v="798"/>
    <x v="6"/>
    <x v="3"/>
    <x v="57"/>
    <x v="0"/>
    <x v="3058"/>
  </r>
  <r>
    <x v="0"/>
    <x v="1283"/>
    <x v="429"/>
    <x v="31"/>
    <x v="123"/>
    <x v="757"/>
    <x v="516"/>
    <x v="2792"/>
    <x v="406"/>
    <x v="969"/>
    <x v="1800"/>
    <x v="2145"/>
    <x v="3008"/>
    <x v="3004"/>
    <x v="2738"/>
    <x v="1"/>
    <x v="2978"/>
    <x v="3009"/>
    <x v="169"/>
    <x v="0"/>
    <x v="4"/>
    <x v="0"/>
    <x v="173"/>
    <x v="17"/>
    <x v="338"/>
    <x v="16"/>
    <x v="3"/>
    <x v="1"/>
    <x v="0"/>
    <x v="3059"/>
  </r>
  <r>
    <x v="0"/>
    <x v="954"/>
    <x v="244"/>
    <x v="31"/>
    <x v="86"/>
    <x v="421"/>
    <x v="33"/>
    <x v="2793"/>
    <x v="152"/>
    <x v="39"/>
    <x v="1445"/>
    <x v="1431"/>
    <x v="3009"/>
    <x v="3005"/>
    <x v="274"/>
    <x v="1"/>
    <x v="2979"/>
    <x v="3010"/>
    <x v="550"/>
    <x v="0"/>
    <x v="1"/>
    <x v="4"/>
    <x v="190"/>
    <x v="14"/>
    <x v="563"/>
    <x v="16"/>
    <x v="3"/>
    <x v="1"/>
    <x v="0"/>
    <x v="3060"/>
  </r>
  <r>
    <x v="0"/>
    <x v="1201"/>
    <x v="266"/>
    <x v="50"/>
    <x v="174"/>
    <x v="136"/>
    <x v="177"/>
    <x v="2794"/>
    <x v="434"/>
    <x v="1167"/>
    <x v="1310"/>
    <x v="2146"/>
    <x v="3010"/>
    <x v="3006"/>
    <x v="2739"/>
    <x v="3"/>
    <x v="2980"/>
    <x v="3011"/>
    <x v="528"/>
    <x v="0"/>
    <x v="1"/>
    <x v="4"/>
    <x v="190"/>
    <x v="19"/>
    <x v="457"/>
    <x v="28"/>
    <x v="3"/>
    <x v="547"/>
    <x v="0"/>
    <x v="3061"/>
  </r>
  <r>
    <x v="0"/>
    <x v="872"/>
    <x v="464"/>
    <x v="18"/>
    <x v="317"/>
    <x v="341"/>
    <x v="0"/>
    <x v="2795"/>
    <x v="105"/>
    <x v="327"/>
    <x v="705"/>
    <x v="2147"/>
    <x v="3011"/>
    <x v="3007"/>
    <x v="1609"/>
    <x v="4"/>
    <x v="2981"/>
    <x v="3012"/>
    <x v="786"/>
    <x v="0"/>
    <x v="0"/>
    <x v="4"/>
    <x v="190"/>
    <x v="16"/>
    <x v="114"/>
    <x v="5"/>
    <x v="3"/>
    <x v="548"/>
    <x v="0"/>
    <x v="3062"/>
  </r>
  <r>
    <x v="0"/>
    <x v="607"/>
    <x v="513"/>
    <x v="27"/>
    <x v="16"/>
    <x v="260"/>
    <x v="22"/>
    <x v="2796"/>
    <x v="419"/>
    <x v="77"/>
    <x v="1801"/>
    <x v="2148"/>
    <x v="3012"/>
    <x v="3008"/>
    <x v="2740"/>
    <x v="1"/>
    <x v="2982"/>
    <x v="3013"/>
    <x v="490"/>
    <x v="0"/>
    <x v="0"/>
    <x v="4"/>
    <x v="190"/>
    <x v="9"/>
    <x v="799"/>
    <x v="38"/>
    <x v="3"/>
    <x v="18"/>
    <x v="0"/>
    <x v="3063"/>
  </r>
  <r>
    <x v="0"/>
    <x v="1284"/>
    <x v="358"/>
    <x v="54"/>
    <x v="43"/>
    <x v="306"/>
    <x v="0"/>
    <x v="2797"/>
    <x v="527"/>
    <x v="481"/>
    <x v="1802"/>
    <x v="478"/>
    <x v="3013"/>
    <x v="3009"/>
    <x v="2741"/>
    <x v="4"/>
    <x v="2983"/>
    <x v="3014"/>
    <x v="243"/>
    <x v="0"/>
    <x v="0"/>
    <x v="4"/>
    <x v="240"/>
    <x v="18"/>
    <x v="487"/>
    <x v="5"/>
    <x v="3"/>
    <x v="1"/>
    <x v="0"/>
    <x v="3064"/>
  </r>
  <r>
    <x v="0"/>
    <x v="1285"/>
    <x v="369"/>
    <x v="58"/>
    <x v="193"/>
    <x v="183"/>
    <x v="21"/>
    <x v="2798"/>
    <x v="185"/>
    <x v="174"/>
    <x v="1803"/>
    <x v="2149"/>
    <x v="3014"/>
    <x v="3010"/>
    <x v="2742"/>
    <x v="1"/>
    <x v="2984"/>
    <x v="3015"/>
    <x v="592"/>
    <x v="0"/>
    <x v="0"/>
    <x v="0"/>
    <x v="190"/>
    <x v="23"/>
    <x v="524"/>
    <x v="37"/>
    <x v="3"/>
    <x v="549"/>
    <x v="0"/>
    <x v="3065"/>
  </r>
  <r>
    <x v="0"/>
    <x v="1286"/>
    <x v="457"/>
    <x v="23"/>
    <x v="38"/>
    <x v="342"/>
    <x v="430"/>
    <x v="4"/>
    <x v="433"/>
    <x v="781"/>
    <x v="1804"/>
    <x v="2150"/>
    <x v="3015"/>
    <x v="3011"/>
    <x v="2743"/>
    <x v="0"/>
    <x v="2985"/>
    <x v="3016"/>
    <x v="225"/>
    <x v="0"/>
    <x v="0"/>
    <x v="2"/>
    <x v="190"/>
    <x v="48"/>
    <x v="799"/>
    <x v="8"/>
    <x v="1"/>
    <x v="418"/>
    <x v="0"/>
    <x v="3066"/>
  </r>
  <r>
    <x v="0"/>
    <x v="1287"/>
    <x v="314"/>
    <x v="72"/>
    <x v="0"/>
    <x v="29"/>
    <x v="21"/>
    <x v="2799"/>
    <x v="616"/>
    <x v="141"/>
    <x v="127"/>
    <x v="36"/>
    <x v="3016"/>
    <x v="3012"/>
    <x v="2744"/>
    <x v="0"/>
    <x v="2986"/>
    <x v="3017"/>
    <x v="212"/>
    <x v="0"/>
    <x v="0"/>
    <x v="4"/>
    <x v="4"/>
    <x v="12"/>
    <x v="47"/>
    <x v="22"/>
    <x v="1"/>
    <x v="1"/>
    <x v="0"/>
    <x v="3067"/>
  </r>
  <r>
    <x v="0"/>
    <x v="1288"/>
    <x v="239"/>
    <x v="27"/>
    <x v="284"/>
    <x v="458"/>
    <x v="588"/>
    <x v="2800"/>
    <x v="316"/>
    <x v="1168"/>
    <x v="1805"/>
    <x v="2151"/>
    <x v="3017"/>
    <x v="3013"/>
    <x v="2745"/>
    <x v="0"/>
    <x v="2987"/>
    <x v="3018"/>
    <x v="514"/>
    <x v="0"/>
    <x v="0"/>
    <x v="0"/>
    <x v="190"/>
    <x v="7"/>
    <x v="213"/>
    <x v="2"/>
    <x v="1"/>
    <x v="1"/>
    <x v="0"/>
    <x v="3068"/>
  </r>
  <r>
    <x v="0"/>
    <x v="624"/>
    <x v="386"/>
    <x v="60"/>
    <x v="15"/>
    <x v="407"/>
    <x v="110"/>
    <x v="1373"/>
    <x v="471"/>
    <x v="585"/>
    <x v="970"/>
    <x v="955"/>
    <x v="1425"/>
    <x v="3014"/>
    <x v="1384"/>
    <x v="0"/>
    <x v="1415"/>
    <x v="1425"/>
    <x v="589"/>
    <x v="0"/>
    <x v="0"/>
    <x v="2"/>
    <x v="165"/>
    <x v="26"/>
    <x v="87"/>
    <x v="38"/>
    <x v="1"/>
    <x v="59"/>
    <x v="0"/>
    <x v="3069"/>
  </r>
  <r>
    <x v="0"/>
    <x v="887"/>
    <x v="243"/>
    <x v="70"/>
    <x v="184"/>
    <x v="417"/>
    <x v="67"/>
    <x v="4"/>
    <x v="168"/>
    <x v="1169"/>
    <x v="1806"/>
    <x v="2152"/>
    <x v="3018"/>
    <x v="3015"/>
    <x v="2746"/>
    <x v="4"/>
    <x v="2988"/>
    <x v="3019"/>
    <x v="247"/>
    <x v="0"/>
    <x v="1"/>
    <x v="4"/>
    <x v="176"/>
    <x v="5"/>
    <x v="454"/>
    <x v="20"/>
    <x v="1"/>
    <x v="1"/>
    <x v="0"/>
    <x v="3070"/>
  </r>
  <r>
    <x v="0"/>
    <x v="1289"/>
    <x v="202"/>
    <x v="54"/>
    <x v="171"/>
    <x v="419"/>
    <x v="22"/>
    <x v="2801"/>
    <x v="364"/>
    <x v="430"/>
    <x v="1089"/>
    <x v="2153"/>
    <x v="3019"/>
    <x v="3016"/>
    <x v="2747"/>
    <x v="0"/>
    <x v="2989"/>
    <x v="3020"/>
    <x v="742"/>
    <x v="0"/>
    <x v="0"/>
    <x v="4"/>
    <x v="246"/>
    <x v="8"/>
    <x v="184"/>
    <x v="27"/>
    <x v="3"/>
    <x v="1"/>
    <x v="0"/>
    <x v="3071"/>
  </r>
  <r>
    <x v="0"/>
    <x v="1290"/>
    <x v="419"/>
    <x v="45"/>
    <x v="198"/>
    <x v="726"/>
    <x v="599"/>
    <x v="4"/>
    <x v="168"/>
    <x v="1170"/>
    <x v="1807"/>
    <x v="2154"/>
    <x v="3020"/>
    <x v="3017"/>
    <x v="1215"/>
    <x v="0"/>
    <x v="2990"/>
    <x v="3021"/>
    <x v="818"/>
    <x v="0"/>
    <x v="20"/>
    <x v="16"/>
    <x v="4"/>
    <x v="50"/>
    <x v="512"/>
    <x v="5"/>
    <x v="1"/>
    <x v="550"/>
    <x v="0"/>
    <x v="3072"/>
  </r>
  <r>
    <x v="0"/>
    <x v="1291"/>
    <x v="390"/>
    <x v="55"/>
    <x v="5"/>
    <x v="566"/>
    <x v="198"/>
    <x v="4"/>
    <x v="105"/>
    <x v="1171"/>
    <x v="1808"/>
    <x v="2155"/>
    <x v="3021"/>
    <x v="3018"/>
    <x v="2748"/>
    <x v="1"/>
    <x v="2991"/>
    <x v="3022"/>
    <x v="718"/>
    <x v="0"/>
    <x v="0"/>
    <x v="0"/>
    <x v="190"/>
    <x v="3"/>
    <x v="534"/>
    <x v="44"/>
    <x v="1"/>
    <x v="45"/>
    <x v="0"/>
    <x v="3073"/>
  </r>
  <r>
    <x v="0"/>
    <x v="1292"/>
    <x v="346"/>
    <x v="34"/>
    <x v="123"/>
    <x v="358"/>
    <x v="433"/>
    <x v="2802"/>
    <x v="171"/>
    <x v="1172"/>
    <x v="1809"/>
    <x v="2156"/>
    <x v="3022"/>
    <x v="3019"/>
    <x v="2749"/>
    <x v="4"/>
    <x v="2992"/>
    <x v="3023"/>
    <x v="231"/>
    <x v="0"/>
    <x v="5"/>
    <x v="4"/>
    <x v="159"/>
    <x v="7"/>
    <x v="141"/>
    <x v="21"/>
    <x v="1"/>
    <x v="394"/>
    <x v="0"/>
    <x v="3074"/>
  </r>
  <r>
    <x v="0"/>
    <x v="1293"/>
    <x v="393"/>
    <x v="144"/>
    <x v="101"/>
    <x v="837"/>
    <x v="94"/>
    <x v="2803"/>
    <x v="270"/>
    <x v="1173"/>
    <x v="1810"/>
    <x v="2157"/>
    <x v="3023"/>
    <x v="3020"/>
    <x v="2750"/>
    <x v="4"/>
    <x v="2993"/>
    <x v="3024"/>
    <x v="434"/>
    <x v="8"/>
    <x v="16"/>
    <x v="4"/>
    <x v="247"/>
    <x v="7"/>
    <x v="30"/>
    <x v="19"/>
    <x v="1"/>
    <x v="551"/>
    <x v="0"/>
    <x v="3075"/>
  </r>
  <r>
    <x v="0"/>
    <x v="518"/>
    <x v="353"/>
    <x v="55"/>
    <x v="211"/>
    <x v="329"/>
    <x v="442"/>
    <x v="2804"/>
    <x v="127"/>
    <x v="802"/>
    <x v="1256"/>
    <x v="443"/>
    <x v="3024"/>
    <x v="1780"/>
    <x v="2751"/>
    <x v="3"/>
    <x v="2994"/>
    <x v="3025"/>
    <x v="320"/>
    <x v="0"/>
    <x v="1"/>
    <x v="0"/>
    <x v="137"/>
    <x v="15"/>
    <x v="285"/>
    <x v="8"/>
    <x v="3"/>
    <x v="552"/>
    <x v="0"/>
    <x v="3076"/>
  </r>
  <r>
    <x v="0"/>
    <x v="1294"/>
    <x v="293"/>
    <x v="42"/>
    <x v="143"/>
    <x v="452"/>
    <x v="447"/>
    <x v="2805"/>
    <x v="321"/>
    <x v="813"/>
    <x v="774"/>
    <x v="2158"/>
    <x v="3025"/>
    <x v="3021"/>
    <x v="2752"/>
    <x v="0"/>
    <x v="2995"/>
    <x v="3026"/>
    <x v="284"/>
    <x v="0"/>
    <x v="1"/>
    <x v="4"/>
    <x v="222"/>
    <x v="9"/>
    <x v="88"/>
    <x v="34"/>
    <x v="1"/>
    <x v="1"/>
    <x v="0"/>
    <x v="3077"/>
  </r>
  <r>
    <x v="0"/>
    <x v="1295"/>
    <x v="339"/>
    <x v="33"/>
    <x v="118"/>
    <x v="519"/>
    <x v="318"/>
    <x v="2806"/>
    <x v="429"/>
    <x v="749"/>
    <x v="1811"/>
    <x v="2159"/>
    <x v="3026"/>
    <x v="3022"/>
    <x v="2753"/>
    <x v="0"/>
    <x v="2996"/>
    <x v="3027"/>
    <x v="674"/>
    <x v="0"/>
    <x v="0"/>
    <x v="0"/>
    <x v="248"/>
    <x v="19"/>
    <x v="305"/>
    <x v="28"/>
    <x v="1"/>
    <x v="103"/>
    <x v="0"/>
    <x v="3078"/>
  </r>
  <r>
    <x v="0"/>
    <x v="328"/>
    <x v="456"/>
    <x v="137"/>
    <x v="0"/>
    <x v="413"/>
    <x v="73"/>
    <x v="2807"/>
    <x v="101"/>
    <x v="1174"/>
    <x v="1812"/>
    <x v="2160"/>
    <x v="3027"/>
    <x v="3023"/>
    <x v="2243"/>
    <x v="0"/>
    <x v="2997"/>
    <x v="3028"/>
    <x v="900"/>
    <x v="0"/>
    <x v="1"/>
    <x v="3"/>
    <x v="176"/>
    <x v="38"/>
    <x v="198"/>
    <x v="24"/>
    <x v="5"/>
    <x v="4"/>
    <x v="0"/>
    <x v="3079"/>
  </r>
  <r>
    <x v="0"/>
    <x v="38"/>
    <x v="300"/>
    <x v="60"/>
    <x v="25"/>
    <x v="558"/>
    <x v="529"/>
    <x v="2808"/>
    <x v="707"/>
    <x v="1175"/>
    <x v="1813"/>
    <x v="2034"/>
    <x v="3028"/>
    <x v="3024"/>
    <x v="2754"/>
    <x v="0"/>
    <x v="2998"/>
    <x v="3029"/>
    <x v="317"/>
    <x v="0"/>
    <x v="0"/>
    <x v="2"/>
    <x v="238"/>
    <x v="26"/>
    <x v="791"/>
    <x v="0"/>
    <x v="3"/>
    <x v="139"/>
    <x v="0"/>
    <x v="3080"/>
  </r>
  <r>
    <x v="0"/>
    <x v="1296"/>
    <x v="225"/>
    <x v="55"/>
    <x v="122"/>
    <x v="771"/>
    <x v="30"/>
    <x v="2809"/>
    <x v="105"/>
    <x v="224"/>
    <x v="1162"/>
    <x v="2161"/>
    <x v="3029"/>
    <x v="3025"/>
    <x v="2755"/>
    <x v="0"/>
    <x v="2999"/>
    <x v="3030"/>
    <x v="169"/>
    <x v="0"/>
    <x v="0"/>
    <x v="0"/>
    <x v="70"/>
    <x v="1"/>
    <x v="30"/>
    <x v="12"/>
    <x v="1"/>
    <x v="103"/>
    <x v="0"/>
    <x v="3081"/>
  </r>
  <r>
    <x v="0"/>
    <x v="1297"/>
    <x v="479"/>
    <x v="55"/>
    <x v="198"/>
    <x v="475"/>
    <x v="126"/>
    <x v="4"/>
    <x v="457"/>
    <x v="1030"/>
    <x v="1814"/>
    <x v="2162"/>
    <x v="3030"/>
    <x v="3026"/>
    <x v="1682"/>
    <x v="1"/>
    <x v="3000"/>
    <x v="3031"/>
    <x v="510"/>
    <x v="0"/>
    <x v="4"/>
    <x v="2"/>
    <x v="188"/>
    <x v="14"/>
    <x v="277"/>
    <x v="22"/>
    <x v="3"/>
    <x v="455"/>
    <x v="0"/>
    <x v="3082"/>
  </r>
  <r>
    <x v="0"/>
    <x v="1298"/>
    <x v="451"/>
    <x v="77"/>
    <x v="31"/>
    <x v="329"/>
    <x v="600"/>
    <x v="2810"/>
    <x v="200"/>
    <x v="1176"/>
    <x v="1815"/>
    <x v="726"/>
    <x v="3031"/>
    <x v="3027"/>
    <x v="2756"/>
    <x v="4"/>
    <x v="3001"/>
    <x v="3032"/>
    <x v="755"/>
    <x v="0"/>
    <x v="0"/>
    <x v="4"/>
    <x v="238"/>
    <x v="24"/>
    <x v="800"/>
    <x v="21"/>
    <x v="2"/>
    <x v="553"/>
    <x v="0"/>
    <x v="3083"/>
  </r>
  <r>
    <x v="0"/>
    <x v="113"/>
    <x v="320"/>
    <x v="152"/>
    <x v="88"/>
    <x v="608"/>
    <x v="601"/>
    <x v="4"/>
    <x v="125"/>
    <x v="1177"/>
    <x v="1816"/>
    <x v="2163"/>
    <x v="3032"/>
    <x v="3028"/>
    <x v="2757"/>
    <x v="3"/>
    <x v="3002"/>
    <x v="3033"/>
    <x v="684"/>
    <x v="0"/>
    <x v="1"/>
    <x v="1"/>
    <x v="4"/>
    <x v="4"/>
    <x v="364"/>
    <x v="0"/>
    <x v="2"/>
    <x v="1"/>
    <x v="0"/>
    <x v="3084"/>
  </r>
  <r>
    <x v="0"/>
    <x v="1299"/>
    <x v="81"/>
    <x v="48"/>
    <x v="0"/>
    <x v="599"/>
    <x v="602"/>
    <x v="2811"/>
    <x v="125"/>
    <x v="1178"/>
    <x v="1817"/>
    <x v="2164"/>
    <x v="3033"/>
    <x v="3029"/>
    <x v="2758"/>
    <x v="7"/>
    <x v="3003"/>
    <x v="3034"/>
    <x v="712"/>
    <x v="8"/>
    <x v="16"/>
    <x v="1"/>
    <x v="4"/>
    <x v="5"/>
    <x v="626"/>
    <x v="43"/>
    <x v="2"/>
    <x v="554"/>
    <x v="0"/>
    <x v="3085"/>
  </r>
  <r>
    <x v="0"/>
    <x v="1188"/>
    <x v="425"/>
    <x v="70"/>
    <x v="38"/>
    <x v="120"/>
    <x v="518"/>
    <x v="2812"/>
    <x v="708"/>
    <x v="1179"/>
    <x v="1818"/>
    <x v="1857"/>
    <x v="3034"/>
    <x v="3030"/>
    <x v="2759"/>
    <x v="0"/>
    <x v="3004"/>
    <x v="3035"/>
    <x v="718"/>
    <x v="1"/>
    <x v="0"/>
    <x v="4"/>
    <x v="190"/>
    <x v="1"/>
    <x v="459"/>
    <x v="27"/>
    <x v="3"/>
    <x v="500"/>
    <x v="0"/>
    <x v="3086"/>
  </r>
  <r>
    <x v="0"/>
    <x v="1300"/>
    <x v="425"/>
    <x v="97"/>
    <x v="0"/>
    <x v="457"/>
    <x v="383"/>
    <x v="2813"/>
    <x v="156"/>
    <x v="1180"/>
    <x v="1819"/>
    <x v="2033"/>
    <x v="3035"/>
    <x v="3031"/>
    <x v="2760"/>
    <x v="1"/>
    <x v="3005"/>
    <x v="3036"/>
    <x v="448"/>
    <x v="6"/>
    <x v="12"/>
    <x v="4"/>
    <x v="249"/>
    <x v="3"/>
    <x v="645"/>
    <x v="4"/>
    <x v="1"/>
    <x v="1"/>
    <x v="0"/>
    <x v="3087"/>
  </r>
  <r>
    <x v="0"/>
    <x v="1301"/>
    <x v="160"/>
    <x v="11"/>
    <x v="143"/>
    <x v="670"/>
    <x v="603"/>
    <x v="4"/>
    <x v="379"/>
    <x v="1181"/>
    <x v="1820"/>
    <x v="2165"/>
    <x v="3036"/>
    <x v="3032"/>
    <x v="2761"/>
    <x v="2"/>
    <x v="3006"/>
    <x v="3037"/>
    <x v="788"/>
    <x v="3"/>
    <x v="10"/>
    <x v="1"/>
    <x v="190"/>
    <x v="11"/>
    <x v="438"/>
    <x v="38"/>
    <x v="3"/>
    <x v="1"/>
    <x v="0"/>
    <x v="3088"/>
  </r>
  <r>
    <x v="0"/>
    <x v="525"/>
    <x v="331"/>
    <x v="51"/>
    <x v="260"/>
    <x v="574"/>
    <x v="49"/>
    <x v="2814"/>
    <x v="270"/>
    <x v="86"/>
    <x v="281"/>
    <x v="918"/>
    <x v="3037"/>
    <x v="3033"/>
    <x v="2762"/>
    <x v="4"/>
    <x v="3007"/>
    <x v="3038"/>
    <x v="901"/>
    <x v="0"/>
    <x v="0"/>
    <x v="4"/>
    <x v="70"/>
    <x v="13"/>
    <x v="44"/>
    <x v="24"/>
    <x v="3"/>
    <x v="77"/>
    <x v="0"/>
    <x v="3089"/>
  </r>
  <r>
    <x v="0"/>
    <x v="1302"/>
    <x v="428"/>
    <x v="11"/>
    <x v="195"/>
    <x v="218"/>
    <x v="21"/>
    <x v="4"/>
    <x v="306"/>
    <x v="210"/>
    <x v="129"/>
    <x v="2166"/>
    <x v="3038"/>
    <x v="3034"/>
    <x v="2763"/>
    <x v="3"/>
    <x v="3008"/>
    <x v="3039"/>
    <x v="724"/>
    <x v="0"/>
    <x v="0"/>
    <x v="4"/>
    <x v="190"/>
    <x v="6"/>
    <x v="47"/>
    <x v="43"/>
    <x v="1"/>
    <x v="1"/>
    <x v="0"/>
    <x v="3090"/>
  </r>
  <r>
    <x v="0"/>
    <x v="1303"/>
    <x v="134"/>
    <x v="61"/>
    <x v="160"/>
    <x v="548"/>
    <x v="253"/>
    <x v="2815"/>
    <x v="364"/>
    <x v="464"/>
    <x v="1789"/>
    <x v="2167"/>
    <x v="3039"/>
    <x v="3035"/>
    <x v="2764"/>
    <x v="0"/>
    <x v="3009"/>
    <x v="3040"/>
    <x v="878"/>
    <x v="0"/>
    <x v="0"/>
    <x v="4"/>
    <x v="70"/>
    <x v="7"/>
    <x v="412"/>
    <x v="5"/>
    <x v="3"/>
    <x v="1"/>
    <x v="0"/>
    <x v="3091"/>
  </r>
  <r>
    <x v="0"/>
    <x v="246"/>
    <x v="460"/>
    <x v="85"/>
    <x v="166"/>
    <x v="838"/>
    <x v="57"/>
    <x v="2816"/>
    <x v="490"/>
    <x v="192"/>
    <x v="1821"/>
    <x v="2168"/>
    <x v="3040"/>
    <x v="3036"/>
    <x v="2765"/>
    <x v="1"/>
    <x v="3010"/>
    <x v="3041"/>
    <x v="227"/>
    <x v="0"/>
    <x v="0"/>
    <x v="4"/>
    <x v="70"/>
    <x v="37"/>
    <x v="6"/>
    <x v="8"/>
    <x v="3"/>
    <x v="1"/>
    <x v="0"/>
    <x v="3092"/>
  </r>
  <r>
    <x v="0"/>
    <x v="118"/>
    <x v="296"/>
    <x v="42"/>
    <x v="92"/>
    <x v="647"/>
    <x v="41"/>
    <x v="2817"/>
    <x v="300"/>
    <x v="396"/>
    <x v="952"/>
    <x v="2169"/>
    <x v="3041"/>
    <x v="3037"/>
    <x v="2766"/>
    <x v="1"/>
    <x v="3011"/>
    <x v="3042"/>
    <x v="440"/>
    <x v="0"/>
    <x v="0"/>
    <x v="0"/>
    <x v="70"/>
    <x v="21"/>
    <x v="154"/>
    <x v="18"/>
    <x v="3"/>
    <x v="1"/>
    <x v="0"/>
    <x v="3093"/>
  </r>
  <r>
    <x v="0"/>
    <x v="1304"/>
    <x v="159"/>
    <x v="56"/>
    <x v="169"/>
    <x v="12"/>
    <x v="427"/>
    <x v="2818"/>
    <x v="179"/>
    <x v="776"/>
    <x v="1364"/>
    <x v="848"/>
    <x v="3042"/>
    <x v="3038"/>
    <x v="270"/>
    <x v="1"/>
    <x v="3012"/>
    <x v="3043"/>
    <x v="447"/>
    <x v="0"/>
    <x v="10"/>
    <x v="4"/>
    <x v="70"/>
    <x v="6"/>
    <x v="695"/>
    <x v="9"/>
    <x v="1"/>
    <x v="1"/>
    <x v="0"/>
    <x v="3094"/>
  </r>
  <r>
    <x v="0"/>
    <x v="1060"/>
    <x v="368"/>
    <x v="54"/>
    <x v="143"/>
    <x v="1"/>
    <x v="29"/>
    <x v="2819"/>
    <x v="127"/>
    <x v="74"/>
    <x v="1156"/>
    <x v="2170"/>
    <x v="3043"/>
    <x v="3039"/>
    <x v="2767"/>
    <x v="4"/>
    <x v="3013"/>
    <x v="3044"/>
    <x v="837"/>
    <x v="0"/>
    <x v="0"/>
    <x v="0"/>
    <x v="70"/>
    <x v="15"/>
    <x v="30"/>
    <x v="27"/>
    <x v="3"/>
    <x v="1"/>
    <x v="0"/>
    <x v="3095"/>
  </r>
  <r>
    <x v="0"/>
    <x v="599"/>
    <x v="108"/>
    <x v="56"/>
    <x v="273"/>
    <x v="630"/>
    <x v="206"/>
    <x v="1295"/>
    <x v="270"/>
    <x v="558"/>
    <x v="310"/>
    <x v="1072"/>
    <x v="1344"/>
    <x v="3040"/>
    <x v="1952"/>
    <x v="0"/>
    <x v="1335"/>
    <x v="1344"/>
    <x v="458"/>
    <x v="0"/>
    <x v="0"/>
    <x v="4"/>
    <x v="70"/>
    <x v="0"/>
    <x v="210"/>
    <x v="11"/>
    <x v="3"/>
    <x v="85"/>
    <x v="0"/>
    <x v="3096"/>
  </r>
  <r>
    <x v="0"/>
    <x v="1303"/>
    <x v="136"/>
    <x v="45"/>
    <x v="160"/>
    <x v="655"/>
    <x v="253"/>
    <x v="2820"/>
    <x v="364"/>
    <x v="464"/>
    <x v="1789"/>
    <x v="1161"/>
    <x v="3044"/>
    <x v="3041"/>
    <x v="2768"/>
    <x v="0"/>
    <x v="3014"/>
    <x v="3045"/>
    <x v="760"/>
    <x v="0"/>
    <x v="0"/>
    <x v="4"/>
    <x v="70"/>
    <x v="1"/>
    <x v="412"/>
    <x v="18"/>
    <x v="3"/>
    <x v="1"/>
    <x v="0"/>
    <x v="3097"/>
  </r>
  <r>
    <x v="0"/>
    <x v="585"/>
    <x v="247"/>
    <x v="59"/>
    <x v="89"/>
    <x v="525"/>
    <x v="604"/>
    <x v="2821"/>
    <x v="416"/>
    <x v="415"/>
    <x v="1822"/>
    <x v="2171"/>
    <x v="3045"/>
    <x v="3042"/>
    <x v="2769"/>
    <x v="0"/>
    <x v="3015"/>
    <x v="3046"/>
    <x v="478"/>
    <x v="0"/>
    <x v="1"/>
    <x v="0"/>
    <x v="70"/>
    <x v="12"/>
    <x v="136"/>
    <x v="34"/>
    <x v="1"/>
    <x v="1"/>
    <x v="0"/>
    <x v="3098"/>
  </r>
  <r>
    <x v="0"/>
    <x v="795"/>
    <x v="303"/>
    <x v="86"/>
    <x v="0"/>
    <x v="612"/>
    <x v="0"/>
    <x v="2822"/>
    <x v="105"/>
    <x v="1182"/>
    <x v="1359"/>
    <x v="1895"/>
    <x v="3046"/>
    <x v="3043"/>
    <x v="2770"/>
    <x v="2"/>
    <x v="3016"/>
    <x v="3047"/>
    <x v="180"/>
    <x v="0"/>
    <x v="0"/>
    <x v="0"/>
    <x v="224"/>
    <x v="7"/>
    <x v="694"/>
    <x v="40"/>
    <x v="3"/>
    <x v="412"/>
    <x v="0"/>
    <x v="3099"/>
  </r>
  <r>
    <x v="0"/>
    <x v="48"/>
    <x v="349"/>
    <x v="73"/>
    <x v="33"/>
    <x v="366"/>
    <x v="14"/>
    <x v="2823"/>
    <x v="291"/>
    <x v="56"/>
    <x v="898"/>
    <x v="511"/>
    <x v="3047"/>
    <x v="3044"/>
    <x v="2771"/>
    <x v="1"/>
    <x v="3017"/>
    <x v="3048"/>
    <x v="231"/>
    <x v="0"/>
    <x v="0"/>
    <x v="4"/>
    <x v="250"/>
    <x v="43"/>
    <x v="276"/>
    <x v="15"/>
    <x v="3"/>
    <x v="1"/>
    <x v="0"/>
    <x v="3100"/>
  </r>
  <r>
    <x v="1"/>
    <x v="1305"/>
    <x v="302"/>
    <x v="0"/>
    <x v="107"/>
    <x v="455"/>
    <x v="605"/>
    <x v="4"/>
    <x v="71"/>
    <x v="1183"/>
    <x v="1823"/>
    <x v="2172"/>
    <x v="3048"/>
    <x v="3045"/>
    <x v="1682"/>
    <x v="3"/>
    <x v="3018"/>
    <x v="3049"/>
    <x v="620"/>
    <x v="0"/>
    <x v="0"/>
    <x v="3"/>
    <x v="70"/>
    <x v="34"/>
    <x v="197"/>
    <x v="6"/>
    <x v="1"/>
    <x v="1"/>
    <x v="0"/>
    <x v="3101"/>
  </r>
  <r>
    <x v="0"/>
    <x v="392"/>
    <x v="417"/>
    <x v="7"/>
    <x v="169"/>
    <x v="212"/>
    <x v="530"/>
    <x v="2824"/>
    <x v="472"/>
    <x v="1184"/>
    <x v="865"/>
    <x v="1940"/>
    <x v="3049"/>
    <x v="3046"/>
    <x v="2772"/>
    <x v="8"/>
    <x v="3019"/>
    <x v="3050"/>
    <x v="835"/>
    <x v="0"/>
    <x v="0"/>
    <x v="2"/>
    <x v="70"/>
    <x v="29"/>
    <x v="502"/>
    <x v="21"/>
    <x v="3"/>
    <x v="1"/>
    <x v="0"/>
    <x v="3102"/>
  </r>
  <r>
    <x v="0"/>
    <x v="911"/>
    <x v="232"/>
    <x v="42"/>
    <x v="139"/>
    <x v="501"/>
    <x v="41"/>
    <x v="2825"/>
    <x v="236"/>
    <x v="221"/>
    <x v="1156"/>
    <x v="2173"/>
    <x v="3050"/>
    <x v="3047"/>
    <x v="2773"/>
    <x v="0"/>
    <x v="3020"/>
    <x v="3051"/>
    <x v="726"/>
    <x v="0"/>
    <x v="0"/>
    <x v="0"/>
    <x v="70"/>
    <x v="14"/>
    <x v="30"/>
    <x v="18"/>
    <x v="3"/>
    <x v="86"/>
    <x v="0"/>
    <x v="3103"/>
  </r>
  <r>
    <x v="0"/>
    <x v="206"/>
    <x v="379"/>
    <x v="80"/>
    <x v="145"/>
    <x v="580"/>
    <x v="2"/>
    <x v="2826"/>
    <x v="300"/>
    <x v="196"/>
    <x v="1824"/>
    <x v="2174"/>
    <x v="3051"/>
    <x v="3048"/>
    <x v="2774"/>
    <x v="1"/>
    <x v="3021"/>
    <x v="3052"/>
    <x v="316"/>
    <x v="0"/>
    <x v="0"/>
    <x v="0"/>
    <x v="176"/>
    <x v="25"/>
    <x v="238"/>
    <x v="15"/>
    <x v="3"/>
    <x v="1"/>
    <x v="0"/>
    <x v="3104"/>
  </r>
  <r>
    <x v="0"/>
    <x v="804"/>
    <x v="136"/>
    <x v="78"/>
    <x v="225"/>
    <x v="764"/>
    <x v="0"/>
    <x v="2827"/>
    <x v="364"/>
    <x v="349"/>
    <x v="1825"/>
    <x v="2175"/>
    <x v="3052"/>
    <x v="3049"/>
    <x v="83"/>
    <x v="0"/>
    <x v="3022"/>
    <x v="3053"/>
    <x v="902"/>
    <x v="0"/>
    <x v="8"/>
    <x v="4"/>
    <x v="70"/>
    <x v="18"/>
    <x v="504"/>
    <x v="9"/>
    <x v="3"/>
    <x v="1"/>
    <x v="0"/>
    <x v="3105"/>
  </r>
  <r>
    <x v="0"/>
    <x v="392"/>
    <x v="225"/>
    <x v="78"/>
    <x v="169"/>
    <x v="536"/>
    <x v="11"/>
    <x v="2828"/>
    <x v="709"/>
    <x v="63"/>
    <x v="731"/>
    <x v="2176"/>
    <x v="3053"/>
    <x v="3050"/>
    <x v="2775"/>
    <x v="5"/>
    <x v="3023"/>
    <x v="3054"/>
    <x v="339"/>
    <x v="0"/>
    <x v="0"/>
    <x v="2"/>
    <x v="70"/>
    <x v="30"/>
    <x v="439"/>
    <x v="8"/>
    <x v="1"/>
    <x v="1"/>
    <x v="0"/>
    <x v="3106"/>
  </r>
  <r>
    <x v="0"/>
    <x v="1306"/>
    <x v="392"/>
    <x v="9"/>
    <x v="228"/>
    <x v="839"/>
    <x v="339"/>
    <x v="2829"/>
    <x v="710"/>
    <x v="615"/>
    <x v="1826"/>
    <x v="2177"/>
    <x v="3054"/>
    <x v="3051"/>
    <x v="2776"/>
    <x v="1"/>
    <x v="3024"/>
    <x v="3055"/>
    <x v="460"/>
    <x v="0"/>
    <x v="1"/>
    <x v="3"/>
    <x v="70"/>
    <x v="38"/>
    <x v="799"/>
    <x v="7"/>
    <x v="1"/>
    <x v="1"/>
    <x v="0"/>
    <x v="3107"/>
  </r>
  <r>
    <x v="0"/>
    <x v="397"/>
    <x v="70"/>
    <x v="23"/>
    <x v="225"/>
    <x v="480"/>
    <x v="0"/>
    <x v="2830"/>
    <x v="200"/>
    <x v="384"/>
    <x v="148"/>
    <x v="806"/>
    <x v="3055"/>
    <x v="3052"/>
    <x v="1706"/>
    <x v="3"/>
    <x v="3025"/>
    <x v="3056"/>
    <x v="728"/>
    <x v="0"/>
    <x v="1"/>
    <x v="0"/>
    <x v="70"/>
    <x v="10"/>
    <x v="99"/>
    <x v="11"/>
    <x v="1"/>
    <x v="10"/>
    <x v="0"/>
    <x v="3108"/>
  </r>
  <r>
    <x v="0"/>
    <x v="1307"/>
    <x v="402"/>
    <x v="87"/>
    <x v="85"/>
    <x v="414"/>
    <x v="370"/>
    <x v="2831"/>
    <x v="505"/>
    <x v="856"/>
    <x v="1827"/>
    <x v="2178"/>
    <x v="3056"/>
    <x v="3053"/>
    <x v="2777"/>
    <x v="0"/>
    <x v="3026"/>
    <x v="3057"/>
    <x v="785"/>
    <x v="0"/>
    <x v="0"/>
    <x v="3"/>
    <x v="154"/>
    <x v="18"/>
    <x v="22"/>
    <x v="12"/>
    <x v="3"/>
    <x v="395"/>
    <x v="0"/>
    <x v="3109"/>
  </r>
  <r>
    <x v="0"/>
    <x v="83"/>
    <x v="338"/>
    <x v="86"/>
    <x v="66"/>
    <x v="57"/>
    <x v="196"/>
    <x v="2832"/>
    <x v="18"/>
    <x v="1185"/>
    <x v="1828"/>
    <x v="2179"/>
    <x v="3057"/>
    <x v="3054"/>
    <x v="2778"/>
    <x v="4"/>
    <x v="3027"/>
    <x v="3058"/>
    <x v="858"/>
    <x v="0"/>
    <x v="5"/>
    <x v="0"/>
    <x v="251"/>
    <x v="39"/>
    <x v="430"/>
    <x v="5"/>
    <x v="1"/>
    <x v="1"/>
    <x v="0"/>
    <x v="3110"/>
  </r>
  <r>
    <x v="0"/>
    <x v="1114"/>
    <x v="310"/>
    <x v="128"/>
    <x v="244"/>
    <x v="40"/>
    <x v="0"/>
    <x v="4"/>
    <x v="2"/>
    <x v="407"/>
    <x v="1829"/>
    <x v="2180"/>
    <x v="3058"/>
    <x v="3055"/>
    <x v="2779"/>
    <x v="0"/>
    <x v="3028"/>
    <x v="3059"/>
    <x v="461"/>
    <x v="0"/>
    <x v="0"/>
    <x v="4"/>
    <x v="70"/>
    <x v="39"/>
    <x v="77"/>
    <x v="10"/>
    <x v="3"/>
    <x v="1"/>
    <x v="0"/>
    <x v="3111"/>
  </r>
  <r>
    <x v="0"/>
    <x v="926"/>
    <x v="171"/>
    <x v="55"/>
    <x v="107"/>
    <x v="352"/>
    <x v="41"/>
    <x v="2833"/>
    <x v="236"/>
    <x v="1186"/>
    <x v="537"/>
    <x v="2181"/>
    <x v="3059"/>
    <x v="3056"/>
    <x v="2780"/>
    <x v="0"/>
    <x v="3029"/>
    <x v="3060"/>
    <x v="293"/>
    <x v="0"/>
    <x v="0"/>
    <x v="0"/>
    <x v="70"/>
    <x v="6"/>
    <x v="349"/>
    <x v="19"/>
    <x v="1"/>
    <x v="35"/>
    <x v="0"/>
    <x v="3112"/>
  </r>
  <r>
    <x v="0"/>
    <x v="1234"/>
    <x v="446"/>
    <x v="110"/>
    <x v="48"/>
    <x v="658"/>
    <x v="35"/>
    <x v="2834"/>
    <x v="236"/>
    <x v="355"/>
    <x v="514"/>
    <x v="2182"/>
    <x v="3060"/>
    <x v="3057"/>
    <x v="2781"/>
    <x v="0"/>
    <x v="3030"/>
    <x v="3061"/>
    <x v="760"/>
    <x v="0"/>
    <x v="0"/>
    <x v="0"/>
    <x v="70"/>
    <x v="5"/>
    <x v="260"/>
    <x v="22"/>
    <x v="1"/>
    <x v="37"/>
    <x v="0"/>
    <x v="3113"/>
  </r>
  <r>
    <x v="0"/>
    <x v="1308"/>
    <x v="396"/>
    <x v="79"/>
    <x v="143"/>
    <x v="281"/>
    <x v="253"/>
    <x v="2835"/>
    <x v="200"/>
    <x v="474"/>
    <x v="758"/>
    <x v="369"/>
    <x v="3061"/>
    <x v="3058"/>
    <x v="2782"/>
    <x v="0"/>
    <x v="3031"/>
    <x v="3062"/>
    <x v="421"/>
    <x v="0"/>
    <x v="0"/>
    <x v="4"/>
    <x v="78"/>
    <x v="19"/>
    <x v="455"/>
    <x v="27"/>
    <x v="3"/>
    <x v="555"/>
    <x v="0"/>
    <x v="3114"/>
  </r>
  <r>
    <x v="0"/>
    <x v="1309"/>
    <x v="354"/>
    <x v="55"/>
    <x v="358"/>
    <x v="548"/>
    <x v="86"/>
    <x v="2836"/>
    <x v="560"/>
    <x v="627"/>
    <x v="1830"/>
    <x v="2167"/>
    <x v="3062"/>
    <x v="3059"/>
    <x v="2783"/>
    <x v="0"/>
    <x v="3032"/>
    <x v="3063"/>
    <x v="562"/>
    <x v="0"/>
    <x v="4"/>
    <x v="0"/>
    <x v="70"/>
    <x v="2"/>
    <x v="518"/>
    <x v="9"/>
    <x v="1"/>
    <x v="5"/>
    <x v="0"/>
    <x v="3115"/>
  </r>
  <r>
    <x v="0"/>
    <x v="1310"/>
    <x v="398"/>
    <x v="56"/>
    <x v="266"/>
    <x v="270"/>
    <x v="179"/>
    <x v="2837"/>
    <x v="711"/>
    <x v="420"/>
    <x v="1831"/>
    <x v="2183"/>
    <x v="3063"/>
    <x v="3060"/>
    <x v="2784"/>
    <x v="1"/>
    <x v="3033"/>
    <x v="3064"/>
    <x v="558"/>
    <x v="0"/>
    <x v="0"/>
    <x v="0"/>
    <x v="70"/>
    <x v="39"/>
    <x v="301"/>
    <x v="8"/>
    <x v="3"/>
    <x v="1"/>
    <x v="0"/>
    <x v="3116"/>
  </r>
  <r>
    <x v="0"/>
    <x v="129"/>
    <x v="285"/>
    <x v="27"/>
    <x v="0"/>
    <x v="1"/>
    <x v="8"/>
    <x v="2758"/>
    <x v="70"/>
    <x v="35"/>
    <x v="40"/>
    <x v="2117"/>
    <x v="2966"/>
    <x v="2962"/>
    <x v="2703"/>
    <x v="5"/>
    <x v="2939"/>
    <x v="2967"/>
    <x v="897"/>
    <x v="0"/>
    <x v="1"/>
    <x v="4"/>
    <x v="224"/>
    <x v="21"/>
    <x v="6"/>
    <x v="24"/>
    <x v="3"/>
    <x v="41"/>
    <x v="0"/>
    <x v="3117"/>
  </r>
  <r>
    <x v="0"/>
    <x v="717"/>
    <x v="422"/>
    <x v="35"/>
    <x v="211"/>
    <x v="209"/>
    <x v="64"/>
    <x v="2838"/>
    <x v="577"/>
    <x v="1187"/>
    <x v="1832"/>
    <x v="264"/>
    <x v="3064"/>
    <x v="3061"/>
    <x v="2785"/>
    <x v="0"/>
    <x v="3034"/>
    <x v="3065"/>
    <x v="793"/>
    <x v="0"/>
    <x v="1"/>
    <x v="4"/>
    <x v="70"/>
    <x v="29"/>
    <x v="801"/>
    <x v="28"/>
    <x v="3"/>
    <x v="1"/>
    <x v="0"/>
    <x v="3118"/>
  </r>
  <r>
    <x v="0"/>
    <x v="1311"/>
    <x v="146"/>
    <x v="78"/>
    <x v="85"/>
    <x v="167"/>
    <x v="272"/>
    <x v="2839"/>
    <x v="399"/>
    <x v="765"/>
    <x v="1833"/>
    <x v="2184"/>
    <x v="3065"/>
    <x v="3062"/>
    <x v="2786"/>
    <x v="4"/>
    <x v="3035"/>
    <x v="3066"/>
    <x v="756"/>
    <x v="0"/>
    <x v="0"/>
    <x v="0"/>
    <x v="195"/>
    <x v="8"/>
    <x v="802"/>
    <x v="10"/>
    <x v="3"/>
    <x v="1"/>
    <x v="0"/>
    <x v="3119"/>
  </r>
  <r>
    <x v="0"/>
    <x v="609"/>
    <x v="278"/>
    <x v="29"/>
    <x v="0"/>
    <x v="359"/>
    <x v="57"/>
    <x v="2840"/>
    <x v="605"/>
    <x v="109"/>
    <x v="387"/>
    <x v="495"/>
    <x v="3066"/>
    <x v="3063"/>
    <x v="2787"/>
    <x v="8"/>
    <x v="3036"/>
    <x v="3067"/>
    <x v="903"/>
    <x v="0"/>
    <x v="0"/>
    <x v="4"/>
    <x v="70"/>
    <x v="15"/>
    <x v="30"/>
    <x v="38"/>
    <x v="1"/>
    <x v="7"/>
    <x v="0"/>
    <x v="3120"/>
  </r>
  <r>
    <x v="0"/>
    <x v="1312"/>
    <x v="358"/>
    <x v="42"/>
    <x v="143"/>
    <x v="413"/>
    <x v="199"/>
    <x v="2841"/>
    <x v="200"/>
    <x v="377"/>
    <x v="1308"/>
    <x v="2185"/>
    <x v="3067"/>
    <x v="3064"/>
    <x v="2788"/>
    <x v="4"/>
    <x v="3037"/>
    <x v="3068"/>
    <x v="568"/>
    <x v="0"/>
    <x v="0"/>
    <x v="4"/>
    <x v="70"/>
    <x v="19"/>
    <x v="676"/>
    <x v="23"/>
    <x v="1"/>
    <x v="556"/>
    <x v="0"/>
    <x v="3121"/>
  </r>
  <r>
    <x v="0"/>
    <x v="259"/>
    <x v="239"/>
    <x v="59"/>
    <x v="173"/>
    <x v="596"/>
    <x v="140"/>
    <x v="2842"/>
    <x v="712"/>
    <x v="268"/>
    <x v="1834"/>
    <x v="2186"/>
    <x v="3068"/>
    <x v="3065"/>
    <x v="1140"/>
    <x v="0"/>
    <x v="3038"/>
    <x v="3069"/>
    <x v="239"/>
    <x v="0"/>
    <x v="0"/>
    <x v="2"/>
    <x v="70"/>
    <x v="45"/>
    <x v="315"/>
    <x v="12"/>
    <x v="3"/>
    <x v="1"/>
    <x v="0"/>
    <x v="3122"/>
  </r>
  <r>
    <x v="0"/>
    <x v="1040"/>
    <x v="383"/>
    <x v="37"/>
    <x v="134"/>
    <x v="191"/>
    <x v="97"/>
    <x v="2843"/>
    <x v="3"/>
    <x v="171"/>
    <x v="1835"/>
    <x v="308"/>
    <x v="3069"/>
    <x v="3066"/>
    <x v="2789"/>
    <x v="1"/>
    <x v="3039"/>
    <x v="3070"/>
    <x v="781"/>
    <x v="0"/>
    <x v="0"/>
    <x v="4"/>
    <x v="173"/>
    <x v="30"/>
    <x v="421"/>
    <x v="12"/>
    <x v="1"/>
    <x v="1"/>
    <x v="0"/>
    <x v="3123"/>
  </r>
  <r>
    <x v="0"/>
    <x v="339"/>
    <x v="385"/>
    <x v="7"/>
    <x v="207"/>
    <x v="492"/>
    <x v="54"/>
    <x v="2844"/>
    <x v="132"/>
    <x v="96"/>
    <x v="1232"/>
    <x v="736"/>
    <x v="3070"/>
    <x v="3067"/>
    <x v="2790"/>
    <x v="4"/>
    <x v="3040"/>
    <x v="3071"/>
    <x v="721"/>
    <x v="0"/>
    <x v="0"/>
    <x v="4"/>
    <x v="70"/>
    <x v="24"/>
    <x v="521"/>
    <x v="27"/>
    <x v="3"/>
    <x v="557"/>
    <x v="0"/>
    <x v="3124"/>
  </r>
  <r>
    <x v="0"/>
    <x v="797"/>
    <x v="366"/>
    <x v="79"/>
    <x v="122"/>
    <x v="811"/>
    <x v="199"/>
    <x v="2845"/>
    <x v="306"/>
    <x v="377"/>
    <x v="1836"/>
    <x v="1925"/>
    <x v="3071"/>
    <x v="3068"/>
    <x v="2791"/>
    <x v="0"/>
    <x v="3041"/>
    <x v="3072"/>
    <x v="287"/>
    <x v="0"/>
    <x v="0"/>
    <x v="0"/>
    <x v="231"/>
    <x v="19"/>
    <x v="306"/>
    <x v="40"/>
    <x v="1"/>
    <x v="558"/>
    <x v="0"/>
    <x v="3125"/>
  </r>
  <r>
    <x v="0"/>
    <x v="1313"/>
    <x v="69"/>
    <x v="33"/>
    <x v="180"/>
    <x v="492"/>
    <x v="0"/>
    <x v="2846"/>
    <x v="127"/>
    <x v="530"/>
    <x v="193"/>
    <x v="2187"/>
    <x v="3072"/>
    <x v="3069"/>
    <x v="2792"/>
    <x v="4"/>
    <x v="3042"/>
    <x v="3073"/>
    <x v="748"/>
    <x v="0"/>
    <x v="0"/>
    <x v="0"/>
    <x v="176"/>
    <x v="7"/>
    <x v="130"/>
    <x v="34"/>
    <x v="3"/>
    <x v="1"/>
    <x v="0"/>
    <x v="3126"/>
  </r>
  <r>
    <x v="0"/>
    <x v="879"/>
    <x v="352"/>
    <x v="7"/>
    <x v="198"/>
    <x v="576"/>
    <x v="63"/>
    <x v="2847"/>
    <x v="127"/>
    <x v="550"/>
    <x v="1022"/>
    <x v="2188"/>
    <x v="3073"/>
    <x v="3070"/>
    <x v="2793"/>
    <x v="2"/>
    <x v="3043"/>
    <x v="3074"/>
    <x v="556"/>
    <x v="0"/>
    <x v="0"/>
    <x v="0"/>
    <x v="70"/>
    <x v="20"/>
    <x v="565"/>
    <x v="12"/>
    <x v="3"/>
    <x v="1"/>
    <x v="0"/>
    <x v="3127"/>
  </r>
  <r>
    <x v="0"/>
    <x v="420"/>
    <x v="370"/>
    <x v="37"/>
    <x v="0"/>
    <x v="93"/>
    <x v="14"/>
    <x v="2848"/>
    <x v="152"/>
    <x v="56"/>
    <x v="1837"/>
    <x v="2189"/>
    <x v="3074"/>
    <x v="3071"/>
    <x v="2794"/>
    <x v="0"/>
    <x v="3044"/>
    <x v="3075"/>
    <x v="429"/>
    <x v="0"/>
    <x v="0"/>
    <x v="0"/>
    <x v="70"/>
    <x v="45"/>
    <x v="19"/>
    <x v="13"/>
    <x v="1"/>
    <x v="7"/>
    <x v="0"/>
    <x v="3128"/>
  </r>
  <r>
    <x v="0"/>
    <x v="1314"/>
    <x v="239"/>
    <x v="58"/>
    <x v="47"/>
    <x v="642"/>
    <x v="22"/>
    <x v="4"/>
    <x v="15"/>
    <x v="23"/>
    <x v="1838"/>
    <x v="2190"/>
    <x v="3075"/>
    <x v="2956"/>
    <x v="2795"/>
    <x v="0"/>
    <x v="4"/>
    <x v="3076"/>
    <x v="843"/>
    <x v="0"/>
    <x v="0"/>
    <x v="2"/>
    <x v="48"/>
    <x v="6"/>
    <x v="726"/>
    <x v="11"/>
    <x v="1"/>
    <x v="90"/>
    <x v="0"/>
    <x v="3129"/>
  </r>
  <r>
    <x v="0"/>
    <x v="471"/>
    <x v="356"/>
    <x v="33"/>
    <x v="0"/>
    <x v="583"/>
    <x v="0"/>
    <x v="4"/>
    <x v="321"/>
    <x v="561"/>
    <x v="1839"/>
    <x v="940"/>
    <x v="2662"/>
    <x v="3072"/>
    <x v="2769"/>
    <x v="0"/>
    <x v="3045"/>
    <x v="3077"/>
    <x v="417"/>
    <x v="0"/>
    <x v="0"/>
    <x v="4"/>
    <x v="70"/>
    <x v="45"/>
    <x v="737"/>
    <x v="13"/>
    <x v="3"/>
    <x v="1"/>
    <x v="0"/>
    <x v="3130"/>
  </r>
  <r>
    <x v="0"/>
    <x v="1315"/>
    <x v="357"/>
    <x v="55"/>
    <x v="31"/>
    <x v="751"/>
    <x v="0"/>
    <x v="2849"/>
    <x v="236"/>
    <x v="1188"/>
    <x v="655"/>
    <x v="2191"/>
    <x v="3076"/>
    <x v="3073"/>
    <x v="1742"/>
    <x v="0"/>
    <x v="3046"/>
    <x v="3078"/>
    <x v="189"/>
    <x v="0"/>
    <x v="0"/>
    <x v="4"/>
    <x v="70"/>
    <x v="2"/>
    <x v="11"/>
    <x v="31"/>
    <x v="1"/>
    <x v="38"/>
    <x v="0"/>
    <x v="3131"/>
  </r>
  <r>
    <x v="0"/>
    <x v="1316"/>
    <x v="249"/>
    <x v="38"/>
    <x v="139"/>
    <x v="526"/>
    <x v="0"/>
    <x v="2850"/>
    <x v="419"/>
    <x v="834"/>
    <x v="829"/>
    <x v="805"/>
    <x v="3077"/>
    <x v="3074"/>
    <x v="2796"/>
    <x v="6"/>
    <x v="3047"/>
    <x v="3079"/>
    <x v="823"/>
    <x v="0"/>
    <x v="0"/>
    <x v="0"/>
    <x v="173"/>
    <x v="3"/>
    <x v="485"/>
    <x v="20"/>
    <x v="1"/>
    <x v="1"/>
    <x v="0"/>
    <x v="3132"/>
  </r>
  <r>
    <x v="0"/>
    <x v="1169"/>
    <x v="293"/>
    <x v="45"/>
    <x v="134"/>
    <x v="655"/>
    <x v="72"/>
    <x v="2851"/>
    <x v="236"/>
    <x v="612"/>
    <x v="1840"/>
    <x v="2192"/>
    <x v="3078"/>
    <x v="3075"/>
    <x v="2797"/>
    <x v="1"/>
    <x v="3048"/>
    <x v="3080"/>
    <x v="706"/>
    <x v="0"/>
    <x v="0"/>
    <x v="4"/>
    <x v="70"/>
    <x v="18"/>
    <x v="226"/>
    <x v="55"/>
    <x v="1"/>
    <x v="1"/>
    <x v="0"/>
    <x v="3133"/>
  </r>
  <r>
    <x v="0"/>
    <x v="1317"/>
    <x v="176"/>
    <x v="42"/>
    <x v="38"/>
    <x v="357"/>
    <x v="21"/>
    <x v="2852"/>
    <x v="361"/>
    <x v="174"/>
    <x v="799"/>
    <x v="1799"/>
    <x v="3079"/>
    <x v="3076"/>
    <x v="2798"/>
    <x v="0"/>
    <x v="3049"/>
    <x v="3081"/>
    <x v="826"/>
    <x v="0"/>
    <x v="0"/>
    <x v="0"/>
    <x v="70"/>
    <x v="0"/>
    <x v="170"/>
    <x v="18"/>
    <x v="1"/>
    <x v="61"/>
    <x v="0"/>
    <x v="3134"/>
  </r>
  <r>
    <x v="0"/>
    <x v="987"/>
    <x v="130"/>
    <x v="72"/>
    <x v="327"/>
    <x v="15"/>
    <x v="2"/>
    <x v="2853"/>
    <x v="379"/>
    <x v="209"/>
    <x v="942"/>
    <x v="2193"/>
    <x v="3080"/>
    <x v="3077"/>
    <x v="2799"/>
    <x v="8"/>
    <x v="3050"/>
    <x v="3082"/>
    <x v="754"/>
    <x v="0"/>
    <x v="0"/>
    <x v="0"/>
    <x v="70"/>
    <x v="7"/>
    <x v="413"/>
    <x v="2"/>
    <x v="1"/>
    <x v="134"/>
    <x v="0"/>
    <x v="3135"/>
  </r>
  <r>
    <x v="1"/>
    <x v="1318"/>
    <x v="369"/>
    <x v="32"/>
    <x v="78"/>
    <x v="542"/>
    <x v="448"/>
    <x v="2854"/>
    <x v="306"/>
    <x v="1038"/>
    <x v="1841"/>
    <x v="1584"/>
    <x v="3081"/>
    <x v="2904"/>
    <x v="2800"/>
    <x v="1"/>
    <x v="3051"/>
    <x v="3083"/>
    <x v="816"/>
    <x v="0"/>
    <x v="0"/>
    <x v="4"/>
    <x v="70"/>
    <x v="27"/>
    <x v="163"/>
    <x v="18"/>
    <x v="3"/>
    <x v="559"/>
    <x v="0"/>
    <x v="3136"/>
  </r>
  <r>
    <x v="0"/>
    <x v="1319"/>
    <x v="390"/>
    <x v="86"/>
    <x v="184"/>
    <x v="778"/>
    <x v="606"/>
    <x v="4"/>
    <x v="3"/>
    <x v="1189"/>
    <x v="1842"/>
    <x v="2194"/>
    <x v="3082"/>
    <x v="3078"/>
    <x v="2801"/>
    <x v="1"/>
    <x v="3052"/>
    <x v="3084"/>
    <x v="129"/>
    <x v="0"/>
    <x v="0"/>
    <x v="4"/>
    <x v="70"/>
    <x v="39"/>
    <x v="302"/>
    <x v="43"/>
    <x v="3"/>
    <x v="1"/>
    <x v="0"/>
    <x v="3137"/>
  </r>
  <r>
    <x v="0"/>
    <x v="579"/>
    <x v="398"/>
    <x v="52"/>
    <x v="170"/>
    <x v="99"/>
    <x v="35"/>
    <x v="2855"/>
    <x v="399"/>
    <x v="1190"/>
    <x v="1843"/>
    <x v="1817"/>
    <x v="3083"/>
    <x v="3079"/>
    <x v="2802"/>
    <x v="0"/>
    <x v="3053"/>
    <x v="3085"/>
    <x v="678"/>
    <x v="0"/>
    <x v="0"/>
    <x v="0"/>
    <x v="4"/>
    <x v="12"/>
    <x v="656"/>
    <x v="19"/>
    <x v="1"/>
    <x v="142"/>
    <x v="0"/>
    <x v="3138"/>
  </r>
  <r>
    <x v="0"/>
    <x v="470"/>
    <x v="200"/>
    <x v="41"/>
    <x v="0"/>
    <x v="230"/>
    <x v="57"/>
    <x v="2856"/>
    <x v="200"/>
    <x v="192"/>
    <x v="219"/>
    <x v="292"/>
    <x v="3084"/>
    <x v="3080"/>
    <x v="2803"/>
    <x v="4"/>
    <x v="3054"/>
    <x v="3086"/>
    <x v="603"/>
    <x v="0"/>
    <x v="0"/>
    <x v="4"/>
    <x v="195"/>
    <x v="20"/>
    <x v="149"/>
    <x v="16"/>
    <x v="1"/>
    <x v="9"/>
    <x v="0"/>
    <x v="3139"/>
  </r>
  <r>
    <x v="0"/>
    <x v="558"/>
    <x v="248"/>
    <x v="55"/>
    <x v="73"/>
    <x v="756"/>
    <x v="607"/>
    <x v="2857"/>
    <x v="222"/>
    <x v="1191"/>
    <x v="1161"/>
    <x v="1593"/>
    <x v="3085"/>
    <x v="3081"/>
    <x v="1561"/>
    <x v="0"/>
    <x v="3055"/>
    <x v="3087"/>
    <x v="904"/>
    <x v="0"/>
    <x v="0"/>
    <x v="0"/>
    <x v="70"/>
    <x v="5"/>
    <x v="619"/>
    <x v="46"/>
    <x v="1"/>
    <x v="38"/>
    <x v="0"/>
    <x v="3140"/>
  </r>
  <r>
    <x v="0"/>
    <x v="397"/>
    <x v="287"/>
    <x v="40"/>
    <x v="225"/>
    <x v="180"/>
    <x v="608"/>
    <x v="2858"/>
    <x v="200"/>
    <x v="1192"/>
    <x v="1844"/>
    <x v="2195"/>
    <x v="3086"/>
    <x v="3082"/>
    <x v="1877"/>
    <x v="5"/>
    <x v="3056"/>
    <x v="3088"/>
    <x v="360"/>
    <x v="0"/>
    <x v="1"/>
    <x v="2"/>
    <x v="70"/>
    <x v="2"/>
    <x v="803"/>
    <x v="4"/>
    <x v="1"/>
    <x v="90"/>
    <x v="0"/>
    <x v="3141"/>
  </r>
  <r>
    <x v="0"/>
    <x v="1320"/>
    <x v="345"/>
    <x v="59"/>
    <x v="188"/>
    <x v="83"/>
    <x v="350"/>
    <x v="2859"/>
    <x v="463"/>
    <x v="261"/>
    <x v="1273"/>
    <x v="106"/>
    <x v="3087"/>
    <x v="3083"/>
    <x v="2804"/>
    <x v="1"/>
    <x v="3057"/>
    <x v="3089"/>
    <x v="343"/>
    <x v="0"/>
    <x v="0"/>
    <x v="3"/>
    <x v="70"/>
    <x v="8"/>
    <x v="196"/>
    <x v="10"/>
    <x v="3"/>
    <x v="560"/>
    <x v="0"/>
    <x v="3142"/>
  </r>
  <r>
    <x v="0"/>
    <x v="977"/>
    <x v="409"/>
    <x v="7"/>
    <x v="5"/>
    <x v="840"/>
    <x v="0"/>
    <x v="2860"/>
    <x v="215"/>
    <x v="1193"/>
    <x v="1094"/>
    <x v="2196"/>
    <x v="3088"/>
    <x v="3084"/>
    <x v="2805"/>
    <x v="3"/>
    <x v="3058"/>
    <x v="3090"/>
    <x v="780"/>
    <x v="0"/>
    <x v="0"/>
    <x v="2"/>
    <x v="131"/>
    <x v="12"/>
    <x v="370"/>
    <x v="34"/>
    <x v="3"/>
    <x v="378"/>
    <x v="0"/>
    <x v="3143"/>
  </r>
  <r>
    <x v="0"/>
    <x v="437"/>
    <x v="430"/>
    <x v="74"/>
    <x v="0"/>
    <x v="207"/>
    <x v="11"/>
    <x v="2861"/>
    <x v="484"/>
    <x v="156"/>
    <x v="1845"/>
    <x v="2197"/>
    <x v="3089"/>
    <x v="3085"/>
    <x v="2806"/>
    <x v="1"/>
    <x v="3059"/>
    <x v="3091"/>
    <x v="737"/>
    <x v="0"/>
    <x v="0"/>
    <x v="4"/>
    <x v="70"/>
    <x v="22"/>
    <x v="73"/>
    <x v="12"/>
    <x v="3"/>
    <x v="558"/>
    <x v="0"/>
    <x v="3144"/>
  </r>
  <r>
    <x v="0"/>
    <x v="432"/>
    <x v="315"/>
    <x v="113"/>
    <x v="77"/>
    <x v="530"/>
    <x v="282"/>
    <x v="2862"/>
    <x v="170"/>
    <x v="1194"/>
    <x v="1846"/>
    <x v="2198"/>
    <x v="3090"/>
    <x v="3086"/>
    <x v="2807"/>
    <x v="1"/>
    <x v="3060"/>
    <x v="3092"/>
    <x v="710"/>
    <x v="0"/>
    <x v="0"/>
    <x v="0"/>
    <x v="70"/>
    <x v="19"/>
    <x v="736"/>
    <x v="5"/>
    <x v="1"/>
    <x v="1"/>
    <x v="0"/>
    <x v="3145"/>
  </r>
  <r>
    <x v="0"/>
    <x v="184"/>
    <x v="125"/>
    <x v="45"/>
    <x v="45"/>
    <x v="841"/>
    <x v="475"/>
    <x v="2863"/>
    <x v="658"/>
    <x v="1195"/>
    <x v="508"/>
    <x v="2199"/>
    <x v="3091"/>
    <x v="3087"/>
    <x v="2808"/>
    <x v="0"/>
    <x v="3061"/>
    <x v="3093"/>
    <x v="248"/>
    <x v="0"/>
    <x v="0"/>
    <x v="0"/>
    <x v="190"/>
    <x v="22"/>
    <x v="329"/>
    <x v="1"/>
    <x v="3"/>
    <x v="59"/>
    <x v="0"/>
    <x v="3146"/>
  </r>
  <r>
    <x v="0"/>
    <x v="1321"/>
    <x v="104"/>
    <x v="95"/>
    <x v="151"/>
    <x v="78"/>
    <x v="35"/>
    <x v="2864"/>
    <x v="381"/>
    <x v="611"/>
    <x v="1847"/>
    <x v="1386"/>
    <x v="3092"/>
    <x v="3088"/>
    <x v="2809"/>
    <x v="1"/>
    <x v="3062"/>
    <x v="3094"/>
    <x v="905"/>
    <x v="0"/>
    <x v="0"/>
    <x v="4"/>
    <x v="252"/>
    <x v="17"/>
    <x v="500"/>
    <x v="9"/>
    <x v="3"/>
    <x v="1"/>
    <x v="0"/>
    <x v="3147"/>
  </r>
  <r>
    <x v="0"/>
    <x v="382"/>
    <x v="460"/>
    <x v="7"/>
    <x v="71"/>
    <x v="195"/>
    <x v="35"/>
    <x v="4"/>
    <x v="713"/>
    <x v="184"/>
    <x v="875"/>
    <x v="525"/>
    <x v="3093"/>
    <x v="3089"/>
    <x v="2810"/>
    <x v="0"/>
    <x v="3063"/>
    <x v="3095"/>
    <x v="365"/>
    <x v="0"/>
    <x v="0"/>
    <x v="4"/>
    <x v="70"/>
    <x v="35"/>
    <x v="506"/>
    <x v="1"/>
    <x v="3"/>
    <x v="240"/>
    <x v="0"/>
    <x v="3148"/>
  </r>
  <r>
    <x v="0"/>
    <x v="1123"/>
    <x v="74"/>
    <x v="47"/>
    <x v="267"/>
    <x v="657"/>
    <x v="609"/>
    <x v="2865"/>
    <x v="80"/>
    <x v="1196"/>
    <x v="1848"/>
    <x v="1777"/>
    <x v="3094"/>
    <x v="3090"/>
    <x v="2811"/>
    <x v="4"/>
    <x v="3064"/>
    <x v="3096"/>
    <x v="104"/>
    <x v="0"/>
    <x v="0"/>
    <x v="4"/>
    <x v="116"/>
    <x v="15"/>
    <x v="804"/>
    <x v="19"/>
    <x v="1"/>
    <x v="251"/>
    <x v="0"/>
    <x v="3149"/>
  </r>
  <r>
    <x v="0"/>
    <x v="1008"/>
    <x v="477"/>
    <x v="29"/>
    <x v="329"/>
    <x v="268"/>
    <x v="2"/>
    <x v="2866"/>
    <x v="270"/>
    <x v="72"/>
    <x v="997"/>
    <x v="347"/>
    <x v="3095"/>
    <x v="3091"/>
    <x v="2812"/>
    <x v="1"/>
    <x v="3065"/>
    <x v="3097"/>
    <x v="292"/>
    <x v="0"/>
    <x v="0"/>
    <x v="0"/>
    <x v="70"/>
    <x v="3"/>
    <x v="30"/>
    <x v="38"/>
    <x v="1"/>
    <x v="41"/>
    <x v="0"/>
    <x v="3150"/>
  </r>
  <r>
    <x v="0"/>
    <x v="1322"/>
    <x v="332"/>
    <x v="95"/>
    <x v="245"/>
    <x v="253"/>
    <x v="407"/>
    <x v="2867"/>
    <x v="70"/>
    <x v="1197"/>
    <x v="664"/>
    <x v="2200"/>
    <x v="3096"/>
    <x v="2243"/>
    <x v="1601"/>
    <x v="4"/>
    <x v="3066"/>
    <x v="3098"/>
    <x v="546"/>
    <x v="0"/>
    <x v="0"/>
    <x v="4"/>
    <x v="70"/>
    <x v="1"/>
    <x v="412"/>
    <x v="18"/>
    <x v="3"/>
    <x v="561"/>
    <x v="0"/>
    <x v="3151"/>
  </r>
  <r>
    <x v="0"/>
    <x v="1323"/>
    <x v="383"/>
    <x v="11"/>
    <x v="36"/>
    <x v="578"/>
    <x v="349"/>
    <x v="2868"/>
    <x v="305"/>
    <x v="1198"/>
    <x v="1849"/>
    <x v="2201"/>
    <x v="3097"/>
    <x v="3092"/>
    <x v="1205"/>
    <x v="13"/>
    <x v="3067"/>
    <x v="3099"/>
    <x v="749"/>
    <x v="0"/>
    <x v="0"/>
    <x v="2"/>
    <x v="70"/>
    <x v="9"/>
    <x v="536"/>
    <x v="54"/>
    <x v="3"/>
    <x v="1"/>
    <x v="0"/>
    <x v="3152"/>
  </r>
  <r>
    <x v="0"/>
    <x v="1324"/>
    <x v="383"/>
    <x v="71"/>
    <x v="80"/>
    <x v="247"/>
    <x v="355"/>
    <x v="2869"/>
    <x v="125"/>
    <x v="641"/>
    <x v="591"/>
    <x v="2202"/>
    <x v="3098"/>
    <x v="3093"/>
    <x v="2813"/>
    <x v="7"/>
    <x v="3068"/>
    <x v="3100"/>
    <x v="247"/>
    <x v="0"/>
    <x v="0"/>
    <x v="4"/>
    <x v="4"/>
    <x v="0"/>
    <x v="157"/>
    <x v="27"/>
    <x v="3"/>
    <x v="1"/>
    <x v="0"/>
    <x v="3153"/>
  </r>
  <r>
    <x v="0"/>
    <x v="1325"/>
    <x v="193"/>
    <x v="93"/>
    <x v="125"/>
    <x v="156"/>
    <x v="0"/>
    <x v="2870"/>
    <x v="29"/>
    <x v="543"/>
    <x v="335"/>
    <x v="1287"/>
    <x v="3099"/>
    <x v="3094"/>
    <x v="2814"/>
    <x v="0"/>
    <x v="3069"/>
    <x v="3101"/>
    <x v="712"/>
    <x v="0"/>
    <x v="0"/>
    <x v="2"/>
    <x v="119"/>
    <x v="19"/>
    <x v="225"/>
    <x v="18"/>
    <x v="3"/>
    <x v="395"/>
    <x v="0"/>
    <x v="3154"/>
  </r>
  <r>
    <x v="0"/>
    <x v="1281"/>
    <x v="514"/>
    <x v="77"/>
    <x v="172"/>
    <x v="242"/>
    <x v="57"/>
    <x v="2871"/>
    <x v="113"/>
    <x v="386"/>
    <x v="166"/>
    <x v="93"/>
    <x v="3100"/>
    <x v="3095"/>
    <x v="2815"/>
    <x v="1"/>
    <x v="3070"/>
    <x v="3102"/>
    <x v="404"/>
    <x v="0"/>
    <x v="1"/>
    <x v="4"/>
    <x v="253"/>
    <x v="10"/>
    <x v="12"/>
    <x v="15"/>
    <x v="1"/>
    <x v="16"/>
    <x v="0"/>
    <x v="3155"/>
  </r>
  <r>
    <x v="0"/>
    <x v="586"/>
    <x v="104"/>
    <x v="45"/>
    <x v="44"/>
    <x v="227"/>
    <x v="22"/>
    <x v="2872"/>
    <x v="369"/>
    <x v="191"/>
    <x v="1850"/>
    <x v="1217"/>
    <x v="3101"/>
    <x v="3096"/>
    <x v="2816"/>
    <x v="0"/>
    <x v="3071"/>
    <x v="3103"/>
    <x v="722"/>
    <x v="0"/>
    <x v="0"/>
    <x v="4"/>
    <x v="70"/>
    <x v="12"/>
    <x v="343"/>
    <x v="2"/>
    <x v="1"/>
    <x v="562"/>
    <x v="0"/>
    <x v="3156"/>
  </r>
  <r>
    <x v="0"/>
    <x v="1326"/>
    <x v="441"/>
    <x v="27"/>
    <x v="52"/>
    <x v="52"/>
    <x v="98"/>
    <x v="2873"/>
    <x v="17"/>
    <x v="846"/>
    <x v="832"/>
    <x v="429"/>
    <x v="3102"/>
    <x v="3097"/>
    <x v="2817"/>
    <x v="0"/>
    <x v="3072"/>
    <x v="3104"/>
    <x v="510"/>
    <x v="0"/>
    <x v="0"/>
    <x v="4"/>
    <x v="70"/>
    <x v="13"/>
    <x v="117"/>
    <x v="38"/>
    <x v="3"/>
    <x v="103"/>
    <x v="0"/>
    <x v="3157"/>
  </r>
  <r>
    <x v="0"/>
    <x v="1327"/>
    <x v="214"/>
    <x v="26"/>
    <x v="0"/>
    <x v="478"/>
    <x v="0"/>
    <x v="2874"/>
    <x v="60"/>
    <x v="510"/>
    <x v="1851"/>
    <x v="1147"/>
    <x v="3103"/>
    <x v="3098"/>
    <x v="2818"/>
    <x v="1"/>
    <x v="3073"/>
    <x v="3105"/>
    <x v="491"/>
    <x v="0"/>
    <x v="0"/>
    <x v="4"/>
    <x v="240"/>
    <x v="2"/>
    <x v="85"/>
    <x v="1"/>
    <x v="1"/>
    <x v="61"/>
    <x v="0"/>
    <x v="3158"/>
  </r>
  <r>
    <x v="0"/>
    <x v="1328"/>
    <x v="276"/>
    <x v="26"/>
    <x v="216"/>
    <x v="89"/>
    <x v="610"/>
    <x v="2875"/>
    <x v="457"/>
    <x v="1199"/>
    <x v="1852"/>
    <x v="2203"/>
    <x v="3104"/>
    <x v="3099"/>
    <x v="2051"/>
    <x v="3"/>
    <x v="3074"/>
    <x v="3106"/>
    <x v="627"/>
    <x v="0"/>
    <x v="0"/>
    <x v="0"/>
    <x v="70"/>
    <x v="12"/>
    <x v="633"/>
    <x v="15"/>
    <x v="1"/>
    <x v="103"/>
    <x v="0"/>
    <x v="3159"/>
  </r>
  <r>
    <x v="0"/>
    <x v="637"/>
    <x v="315"/>
    <x v="101"/>
    <x v="89"/>
    <x v="842"/>
    <x v="10"/>
    <x v="2876"/>
    <x v="127"/>
    <x v="375"/>
    <x v="489"/>
    <x v="2204"/>
    <x v="3105"/>
    <x v="3100"/>
    <x v="2819"/>
    <x v="1"/>
    <x v="3075"/>
    <x v="3107"/>
    <x v="454"/>
    <x v="0"/>
    <x v="0"/>
    <x v="0"/>
    <x v="134"/>
    <x v="18"/>
    <x v="9"/>
    <x v="27"/>
    <x v="1"/>
    <x v="1"/>
    <x v="0"/>
    <x v="3160"/>
  </r>
  <r>
    <x v="0"/>
    <x v="1230"/>
    <x v="235"/>
    <x v="71"/>
    <x v="320"/>
    <x v="71"/>
    <x v="153"/>
    <x v="2877"/>
    <x v="125"/>
    <x v="282"/>
    <x v="265"/>
    <x v="2205"/>
    <x v="3106"/>
    <x v="3101"/>
    <x v="2429"/>
    <x v="0"/>
    <x v="3076"/>
    <x v="3108"/>
    <x v="325"/>
    <x v="0"/>
    <x v="0"/>
    <x v="4"/>
    <x v="70"/>
    <x v="15"/>
    <x v="179"/>
    <x v="6"/>
    <x v="3"/>
    <x v="37"/>
    <x v="0"/>
    <x v="3161"/>
  </r>
  <r>
    <x v="0"/>
    <x v="1329"/>
    <x v="379"/>
    <x v="55"/>
    <x v="45"/>
    <x v="274"/>
    <x v="41"/>
    <x v="2878"/>
    <x v="714"/>
    <x v="396"/>
    <x v="1194"/>
    <x v="727"/>
    <x v="3107"/>
    <x v="3102"/>
    <x v="2820"/>
    <x v="0"/>
    <x v="3077"/>
    <x v="3109"/>
    <x v="589"/>
    <x v="0"/>
    <x v="8"/>
    <x v="0"/>
    <x v="70"/>
    <x v="15"/>
    <x v="488"/>
    <x v="12"/>
    <x v="3"/>
    <x v="1"/>
    <x v="0"/>
    <x v="3162"/>
  </r>
  <r>
    <x v="0"/>
    <x v="24"/>
    <x v="301"/>
    <x v="11"/>
    <x v="17"/>
    <x v="735"/>
    <x v="2"/>
    <x v="2879"/>
    <x v="715"/>
    <x v="2"/>
    <x v="393"/>
    <x v="2206"/>
    <x v="3108"/>
    <x v="3103"/>
    <x v="2821"/>
    <x v="3"/>
    <x v="3078"/>
    <x v="3110"/>
    <x v="568"/>
    <x v="0"/>
    <x v="0"/>
    <x v="0"/>
    <x v="70"/>
    <x v="11"/>
    <x v="264"/>
    <x v="15"/>
    <x v="3"/>
    <x v="35"/>
    <x v="0"/>
    <x v="3163"/>
  </r>
  <r>
    <x v="0"/>
    <x v="21"/>
    <x v="388"/>
    <x v="7"/>
    <x v="14"/>
    <x v="715"/>
    <x v="41"/>
    <x v="2880"/>
    <x v="408"/>
    <x v="211"/>
    <x v="1095"/>
    <x v="2207"/>
    <x v="3109"/>
    <x v="3104"/>
    <x v="2822"/>
    <x v="0"/>
    <x v="3079"/>
    <x v="3111"/>
    <x v="606"/>
    <x v="0"/>
    <x v="0"/>
    <x v="4"/>
    <x v="70"/>
    <x v="20"/>
    <x v="387"/>
    <x v="22"/>
    <x v="3"/>
    <x v="1"/>
    <x v="0"/>
    <x v="3164"/>
  </r>
  <r>
    <x v="0"/>
    <x v="1050"/>
    <x v="460"/>
    <x v="71"/>
    <x v="174"/>
    <x v="10"/>
    <x v="134"/>
    <x v="2881"/>
    <x v="127"/>
    <x v="252"/>
    <x v="909"/>
    <x v="2208"/>
    <x v="3110"/>
    <x v="3105"/>
    <x v="2823"/>
    <x v="12"/>
    <x v="3080"/>
    <x v="3112"/>
    <x v="678"/>
    <x v="0"/>
    <x v="0"/>
    <x v="2"/>
    <x v="70"/>
    <x v="14"/>
    <x v="12"/>
    <x v="43"/>
    <x v="3"/>
    <x v="1"/>
    <x v="0"/>
    <x v="3165"/>
  </r>
  <r>
    <x v="0"/>
    <x v="209"/>
    <x v="288"/>
    <x v="37"/>
    <x v="0"/>
    <x v="374"/>
    <x v="161"/>
    <x v="4"/>
    <x v="60"/>
    <x v="1132"/>
    <x v="1486"/>
    <x v="524"/>
    <x v="3111"/>
    <x v="3106"/>
    <x v="2824"/>
    <x v="0"/>
    <x v="3081"/>
    <x v="3113"/>
    <x v="128"/>
    <x v="0"/>
    <x v="0"/>
    <x v="4"/>
    <x v="70"/>
    <x v="31"/>
    <x v="733"/>
    <x v="2"/>
    <x v="3"/>
    <x v="1"/>
    <x v="0"/>
    <x v="3166"/>
  </r>
  <r>
    <x v="0"/>
    <x v="1330"/>
    <x v="145"/>
    <x v="54"/>
    <x v="359"/>
    <x v="620"/>
    <x v="0"/>
    <x v="2882"/>
    <x v="106"/>
    <x v="1200"/>
    <x v="1602"/>
    <x v="1423"/>
    <x v="3112"/>
    <x v="3107"/>
    <x v="2825"/>
    <x v="3"/>
    <x v="3082"/>
    <x v="3114"/>
    <x v="310"/>
    <x v="0"/>
    <x v="0"/>
    <x v="4"/>
    <x v="70"/>
    <x v="5"/>
    <x v="758"/>
    <x v="34"/>
    <x v="1"/>
    <x v="1"/>
    <x v="0"/>
    <x v="3167"/>
  </r>
  <r>
    <x v="0"/>
    <x v="491"/>
    <x v="312"/>
    <x v="55"/>
    <x v="253"/>
    <x v="701"/>
    <x v="421"/>
    <x v="2883"/>
    <x v="168"/>
    <x v="1201"/>
    <x v="893"/>
    <x v="1848"/>
    <x v="3113"/>
    <x v="3108"/>
    <x v="1710"/>
    <x v="1"/>
    <x v="3083"/>
    <x v="3115"/>
    <x v="394"/>
    <x v="0"/>
    <x v="1"/>
    <x v="4"/>
    <x v="70"/>
    <x v="19"/>
    <x v="116"/>
    <x v="38"/>
    <x v="3"/>
    <x v="1"/>
    <x v="0"/>
    <x v="3168"/>
  </r>
  <r>
    <x v="0"/>
    <x v="752"/>
    <x v="224"/>
    <x v="50"/>
    <x v="0"/>
    <x v="23"/>
    <x v="24"/>
    <x v="2884"/>
    <x v="125"/>
    <x v="25"/>
    <x v="23"/>
    <x v="537"/>
    <x v="3114"/>
    <x v="3109"/>
    <x v="2335"/>
    <x v="10"/>
    <x v="3084"/>
    <x v="3116"/>
    <x v="869"/>
    <x v="0"/>
    <x v="0"/>
    <x v="4"/>
    <x v="224"/>
    <x v="9"/>
    <x v="20"/>
    <x v="44"/>
    <x v="3"/>
    <x v="68"/>
    <x v="0"/>
    <x v="3169"/>
  </r>
  <r>
    <x v="0"/>
    <x v="176"/>
    <x v="233"/>
    <x v="33"/>
    <x v="127"/>
    <x v="23"/>
    <x v="1"/>
    <x v="293"/>
    <x v="137"/>
    <x v="1"/>
    <x v="98"/>
    <x v="265"/>
    <x v="301"/>
    <x v="3110"/>
    <x v="296"/>
    <x v="0"/>
    <x v="298"/>
    <x v="301"/>
    <x v="278"/>
    <x v="0"/>
    <x v="0"/>
    <x v="0"/>
    <x v="32"/>
    <x v="5"/>
    <x v="6"/>
    <x v="19"/>
    <x v="1"/>
    <x v="68"/>
    <x v="0"/>
    <x v="3170"/>
  </r>
  <r>
    <x v="0"/>
    <x v="1331"/>
    <x v="388"/>
    <x v="54"/>
    <x v="198"/>
    <x v="390"/>
    <x v="206"/>
    <x v="2885"/>
    <x v="286"/>
    <x v="388"/>
    <x v="1269"/>
    <x v="2209"/>
    <x v="3115"/>
    <x v="3111"/>
    <x v="2826"/>
    <x v="0"/>
    <x v="3085"/>
    <x v="3117"/>
    <x v="327"/>
    <x v="0"/>
    <x v="0"/>
    <x v="0"/>
    <x v="70"/>
    <x v="8"/>
    <x v="105"/>
    <x v="31"/>
    <x v="1"/>
    <x v="563"/>
    <x v="0"/>
    <x v="3171"/>
  </r>
  <r>
    <x v="1"/>
    <x v="1332"/>
    <x v="220"/>
    <x v="59"/>
    <x v="117"/>
    <x v="275"/>
    <x v="134"/>
    <x v="2886"/>
    <x v="716"/>
    <x v="252"/>
    <x v="1853"/>
    <x v="2210"/>
    <x v="3116"/>
    <x v="3112"/>
    <x v="2827"/>
    <x v="4"/>
    <x v="3086"/>
    <x v="3118"/>
    <x v="59"/>
    <x v="0"/>
    <x v="0"/>
    <x v="4"/>
    <x v="70"/>
    <x v="3"/>
    <x v="768"/>
    <x v="10"/>
    <x v="1"/>
    <x v="68"/>
    <x v="0"/>
    <x v="3172"/>
  </r>
  <r>
    <x v="0"/>
    <x v="760"/>
    <x v="237"/>
    <x v="101"/>
    <x v="137"/>
    <x v="245"/>
    <x v="0"/>
    <x v="2887"/>
    <x v="125"/>
    <x v="869"/>
    <x v="265"/>
    <x v="759"/>
    <x v="3117"/>
    <x v="3113"/>
    <x v="2828"/>
    <x v="1"/>
    <x v="3087"/>
    <x v="3119"/>
    <x v="432"/>
    <x v="0"/>
    <x v="0"/>
    <x v="4"/>
    <x v="4"/>
    <x v="10"/>
    <x v="179"/>
    <x v="22"/>
    <x v="3"/>
    <x v="1"/>
    <x v="0"/>
    <x v="3173"/>
  </r>
  <r>
    <x v="0"/>
    <x v="113"/>
    <x v="373"/>
    <x v="167"/>
    <x v="88"/>
    <x v="236"/>
    <x v="0"/>
    <x v="4"/>
    <x v="618"/>
    <x v="1202"/>
    <x v="175"/>
    <x v="2211"/>
    <x v="3118"/>
    <x v="3114"/>
    <x v="2829"/>
    <x v="4"/>
    <x v="3088"/>
    <x v="3120"/>
    <x v="86"/>
    <x v="0"/>
    <x v="0"/>
    <x v="5"/>
    <x v="4"/>
    <x v="4"/>
    <x v="119"/>
    <x v="0"/>
    <x v="0"/>
    <x v="1"/>
    <x v="0"/>
    <x v="3174"/>
  </r>
  <r>
    <x v="1"/>
    <x v="653"/>
    <x v="57"/>
    <x v="59"/>
    <x v="279"/>
    <x v="154"/>
    <x v="0"/>
    <x v="2888"/>
    <x v="152"/>
    <x v="990"/>
    <x v="1378"/>
    <x v="190"/>
    <x v="3119"/>
    <x v="3115"/>
    <x v="2830"/>
    <x v="4"/>
    <x v="3089"/>
    <x v="3121"/>
    <x v="906"/>
    <x v="0"/>
    <x v="0"/>
    <x v="4"/>
    <x v="244"/>
    <x v="20"/>
    <x v="15"/>
    <x v="35"/>
    <x v="3"/>
    <x v="50"/>
    <x v="0"/>
    <x v="3175"/>
  </r>
  <r>
    <x v="0"/>
    <x v="1333"/>
    <x v="304"/>
    <x v="87"/>
    <x v="146"/>
    <x v="843"/>
    <x v="0"/>
    <x v="2889"/>
    <x v="355"/>
    <x v="1203"/>
    <x v="1854"/>
    <x v="2212"/>
    <x v="3120"/>
    <x v="3116"/>
    <x v="2831"/>
    <x v="0"/>
    <x v="3090"/>
    <x v="3122"/>
    <x v="195"/>
    <x v="0"/>
    <x v="0"/>
    <x v="4"/>
    <x v="70"/>
    <x v="3"/>
    <x v="26"/>
    <x v="9"/>
    <x v="1"/>
    <x v="57"/>
    <x v="0"/>
    <x v="3176"/>
  </r>
  <r>
    <x v="0"/>
    <x v="1334"/>
    <x v="193"/>
    <x v="112"/>
    <x v="0"/>
    <x v="277"/>
    <x v="71"/>
    <x v="2890"/>
    <x v="494"/>
    <x v="126"/>
    <x v="30"/>
    <x v="2213"/>
    <x v="3121"/>
    <x v="3117"/>
    <x v="2832"/>
    <x v="0"/>
    <x v="3091"/>
    <x v="3123"/>
    <x v="721"/>
    <x v="0"/>
    <x v="0"/>
    <x v="2"/>
    <x v="70"/>
    <x v="14"/>
    <x v="24"/>
    <x v="27"/>
    <x v="3"/>
    <x v="564"/>
    <x v="0"/>
    <x v="3177"/>
  </r>
  <r>
    <x v="0"/>
    <x v="1335"/>
    <x v="160"/>
    <x v="29"/>
    <x v="117"/>
    <x v="621"/>
    <x v="611"/>
    <x v="2891"/>
    <x v="717"/>
    <x v="1204"/>
    <x v="1855"/>
    <x v="2214"/>
    <x v="3122"/>
    <x v="3118"/>
    <x v="2833"/>
    <x v="3"/>
    <x v="3092"/>
    <x v="3124"/>
    <x v="556"/>
    <x v="3"/>
    <x v="4"/>
    <x v="4"/>
    <x v="70"/>
    <x v="20"/>
    <x v="515"/>
    <x v="16"/>
    <x v="3"/>
    <x v="1"/>
    <x v="0"/>
    <x v="3178"/>
  </r>
  <r>
    <x v="0"/>
    <x v="507"/>
    <x v="262"/>
    <x v="52"/>
    <x v="0"/>
    <x v="14"/>
    <x v="185"/>
    <x v="2892"/>
    <x v="113"/>
    <x v="779"/>
    <x v="1484"/>
    <x v="2215"/>
    <x v="3123"/>
    <x v="3119"/>
    <x v="2487"/>
    <x v="0"/>
    <x v="3093"/>
    <x v="3125"/>
    <x v="215"/>
    <x v="0"/>
    <x v="10"/>
    <x v="3"/>
    <x v="70"/>
    <x v="15"/>
    <x v="732"/>
    <x v="25"/>
    <x v="1"/>
    <x v="1"/>
    <x v="0"/>
    <x v="3179"/>
  </r>
  <r>
    <x v="0"/>
    <x v="1336"/>
    <x v="428"/>
    <x v="45"/>
    <x v="134"/>
    <x v="121"/>
    <x v="25"/>
    <x v="2893"/>
    <x v="718"/>
    <x v="392"/>
    <x v="6"/>
    <x v="2216"/>
    <x v="3124"/>
    <x v="3120"/>
    <x v="2834"/>
    <x v="1"/>
    <x v="3094"/>
    <x v="3126"/>
    <x v="578"/>
    <x v="0"/>
    <x v="0"/>
    <x v="4"/>
    <x v="70"/>
    <x v="19"/>
    <x v="6"/>
    <x v="23"/>
    <x v="1"/>
    <x v="565"/>
    <x v="0"/>
    <x v="3180"/>
  </r>
  <r>
    <x v="0"/>
    <x v="1337"/>
    <x v="450"/>
    <x v="71"/>
    <x v="0"/>
    <x v="109"/>
    <x v="306"/>
    <x v="2894"/>
    <x v="200"/>
    <x v="557"/>
    <x v="1850"/>
    <x v="2217"/>
    <x v="3125"/>
    <x v="3121"/>
    <x v="2835"/>
    <x v="0"/>
    <x v="3095"/>
    <x v="3127"/>
    <x v="119"/>
    <x v="0"/>
    <x v="0"/>
    <x v="4"/>
    <x v="70"/>
    <x v="9"/>
    <x v="343"/>
    <x v="10"/>
    <x v="1"/>
    <x v="1"/>
    <x v="0"/>
    <x v="3181"/>
  </r>
  <r>
    <x v="0"/>
    <x v="1338"/>
    <x v="188"/>
    <x v="7"/>
    <x v="0"/>
    <x v="319"/>
    <x v="250"/>
    <x v="2895"/>
    <x v="298"/>
    <x v="1205"/>
    <x v="1856"/>
    <x v="2218"/>
    <x v="3126"/>
    <x v="3122"/>
    <x v="2836"/>
    <x v="0"/>
    <x v="3096"/>
    <x v="3128"/>
    <x v="498"/>
    <x v="0"/>
    <x v="1"/>
    <x v="0"/>
    <x v="4"/>
    <x v="1"/>
    <x v="73"/>
    <x v="4"/>
    <x v="1"/>
    <x v="1"/>
    <x v="0"/>
    <x v="3182"/>
  </r>
  <r>
    <x v="0"/>
    <x v="1339"/>
    <x v="307"/>
    <x v="98"/>
    <x v="89"/>
    <x v="822"/>
    <x v="612"/>
    <x v="4"/>
    <x v="376"/>
    <x v="1206"/>
    <x v="250"/>
    <x v="2219"/>
    <x v="3127"/>
    <x v="3123"/>
    <x v="2837"/>
    <x v="0"/>
    <x v="3097"/>
    <x v="3129"/>
    <x v="755"/>
    <x v="0"/>
    <x v="0"/>
    <x v="2"/>
    <x v="70"/>
    <x v="37"/>
    <x v="169"/>
    <x v="39"/>
    <x v="1"/>
    <x v="338"/>
    <x v="0"/>
    <x v="3183"/>
  </r>
  <r>
    <x v="0"/>
    <x v="934"/>
    <x v="74"/>
    <x v="61"/>
    <x v="118"/>
    <x v="410"/>
    <x v="0"/>
    <x v="2896"/>
    <x v="270"/>
    <x v="398"/>
    <x v="1254"/>
    <x v="2220"/>
    <x v="3128"/>
    <x v="3124"/>
    <x v="2838"/>
    <x v="4"/>
    <x v="3098"/>
    <x v="3130"/>
    <x v="448"/>
    <x v="0"/>
    <x v="0"/>
    <x v="0"/>
    <x v="195"/>
    <x v="11"/>
    <x v="651"/>
    <x v="4"/>
    <x v="1"/>
    <x v="1"/>
    <x v="0"/>
    <x v="3184"/>
  </r>
  <r>
    <x v="0"/>
    <x v="1340"/>
    <x v="303"/>
    <x v="79"/>
    <x v="255"/>
    <x v="532"/>
    <x v="136"/>
    <x v="2897"/>
    <x v="215"/>
    <x v="254"/>
    <x v="1857"/>
    <x v="2221"/>
    <x v="3129"/>
    <x v="3125"/>
    <x v="2839"/>
    <x v="4"/>
    <x v="3099"/>
    <x v="3131"/>
    <x v="167"/>
    <x v="0"/>
    <x v="0"/>
    <x v="2"/>
    <x v="178"/>
    <x v="18"/>
    <x v="296"/>
    <x v="54"/>
    <x v="3"/>
    <x v="1"/>
    <x v="0"/>
    <x v="3185"/>
  </r>
  <r>
    <x v="0"/>
    <x v="845"/>
    <x v="204"/>
    <x v="60"/>
    <x v="0"/>
    <x v="92"/>
    <x v="29"/>
    <x v="2898"/>
    <x v="719"/>
    <x v="34"/>
    <x v="1858"/>
    <x v="2222"/>
    <x v="3130"/>
    <x v="3126"/>
    <x v="845"/>
    <x v="0"/>
    <x v="3100"/>
    <x v="3132"/>
    <x v="49"/>
    <x v="0"/>
    <x v="0"/>
    <x v="0"/>
    <x v="70"/>
    <x v="7"/>
    <x v="429"/>
    <x v="11"/>
    <x v="3"/>
    <x v="1"/>
    <x v="0"/>
    <x v="3186"/>
  </r>
  <r>
    <x v="0"/>
    <x v="1341"/>
    <x v="296"/>
    <x v="11"/>
    <x v="141"/>
    <x v="223"/>
    <x v="21"/>
    <x v="2899"/>
    <x v="379"/>
    <x v="210"/>
    <x v="1859"/>
    <x v="2223"/>
    <x v="3131"/>
    <x v="3127"/>
    <x v="2840"/>
    <x v="0"/>
    <x v="3101"/>
    <x v="3133"/>
    <x v="360"/>
    <x v="0"/>
    <x v="0"/>
    <x v="4"/>
    <x v="70"/>
    <x v="2"/>
    <x v="13"/>
    <x v="1"/>
    <x v="2"/>
    <x v="1"/>
    <x v="0"/>
    <x v="3187"/>
  </r>
  <r>
    <x v="0"/>
    <x v="1342"/>
    <x v="499"/>
    <x v="105"/>
    <x v="330"/>
    <x v="40"/>
    <x v="35"/>
    <x v="2900"/>
    <x v="200"/>
    <x v="65"/>
    <x v="1860"/>
    <x v="2180"/>
    <x v="3132"/>
    <x v="3128"/>
    <x v="1245"/>
    <x v="7"/>
    <x v="3102"/>
    <x v="3134"/>
    <x v="137"/>
    <x v="0"/>
    <x v="0"/>
    <x v="4"/>
    <x v="70"/>
    <x v="10"/>
    <x v="805"/>
    <x v="12"/>
    <x v="3"/>
    <x v="1"/>
    <x v="0"/>
    <x v="3188"/>
  </r>
  <r>
    <x v="0"/>
    <x v="1343"/>
    <x v="198"/>
    <x v="60"/>
    <x v="172"/>
    <x v="483"/>
    <x v="96"/>
    <x v="2901"/>
    <x v="17"/>
    <x v="1207"/>
    <x v="1861"/>
    <x v="2224"/>
    <x v="3133"/>
    <x v="3129"/>
    <x v="2841"/>
    <x v="1"/>
    <x v="3103"/>
    <x v="3135"/>
    <x v="340"/>
    <x v="17"/>
    <x v="20"/>
    <x v="4"/>
    <x v="70"/>
    <x v="0"/>
    <x v="380"/>
    <x v="15"/>
    <x v="3"/>
    <x v="1"/>
    <x v="0"/>
    <x v="3189"/>
  </r>
  <r>
    <x v="0"/>
    <x v="1344"/>
    <x v="430"/>
    <x v="70"/>
    <x v="353"/>
    <x v="93"/>
    <x v="613"/>
    <x v="2902"/>
    <x v="383"/>
    <x v="1208"/>
    <x v="110"/>
    <x v="2225"/>
    <x v="3134"/>
    <x v="3130"/>
    <x v="2842"/>
    <x v="0"/>
    <x v="3104"/>
    <x v="3136"/>
    <x v="138"/>
    <x v="0"/>
    <x v="0"/>
    <x v="0"/>
    <x v="70"/>
    <x v="3"/>
    <x v="78"/>
    <x v="34"/>
    <x v="1"/>
    <x v="1"/>
    <x v="0"/>
    <x v="3190"/>
  </r>
  <r>
    <x v="0"/>
    <x v="1345"/>
    <x v="421"/>
    <x v="7"/>
    <x v="116"/>
    <x v="347"/>
    <x v="14"/>
    <x v="2903"/>
    <x v="28"/>
    <x v="61"/>
    <x v="544"/>
    <x v="473"/>
    <x v="3135"/>
    <x v="3131"/>
    <x v="2843"/>
    <x v="1"/>
    <x v="3105"/>
    <x v="3137"/>
    <x v="244"/>
    <x v="0"/>
    <x v="1"/>
    <x v="4"/>
    <x v="223"/>
    <x v="27"/>
    <x v="402"/>
    <x v="4"/>
    <x v="3"/>
    <x v="281"/>
    <x v="0"/>
    <x v="3191"/>
  </r>
  <r>
    <x v="0"/>
    <x v="151"/>
    <x v="387"/>
    <x v="71"/>
    <x v="0"/>
    <x v="519"/>
    <x v="614"/>
    <x v="2904"/>
    <x v="171"/>
    <x v="1209"/>
    <x v="1862"/>
    <x v="894"/>
    <x v="3136"/>
    <x v="3132"/>
    <x v="1226"/>
    <x v="0"/>
    <x v="3106"/>
    <x v="3138"/>
    <x v="877"/>
    <x v="0"/>
    <x v="0"/>
    <x v="4"/>
    <x v="195"/>
    <x v="15"/>
    <x v="806"/>
    <x v="1"/>
    <x v="3"/>
    <x v="566"/>
    <x v="0"/>
    <x v="3192"/>
  </r>
  <r>
    <x v="0"/>
    <x v="721"/>
    <x v="133"/>
    <x v="69"/>
    <x v="290"/>
    <x v="384"/>
    <x v="22"/>
    <x v="2905"/>
    <x v="168"/>
    <x v="202"/>
    <x v="1279"/>
    <x v="2226"/>
    <x v="3137"/>
    <x v="3133"/>
    <x v="2844"/>
    <x v="0"/>
    <x v="3107"/>
    <x v="3139"/>
    <x v="907"/>
    <x v="0"/>
    <x v="8"/>
    <x v="4"/>
    <x v="170"/>
    <x v="14"/>
    <x v="413"/>
    <x v="0"/>
    <x v="1"/>
    <x v="45"/>
    <x v="0"/>
    <x v="3193"/>
  </r>
  <r>
    <x v="0"/>
    <x v="1346"/>
    <x v="368"/>
    <x v="24"/>
    <x v="73"/>
    <x v="327"/>
    <x v="426"/>
    <x v="2906"/>
    <x v="17"/>
    <x v="1210"/>
    <x v="742"/>
    <x v="2140"/>
    <x v="3138"/>
    <x v="3134"/>
    <x v="2845"/>
    <x v="0"/>
    <x v="3108"/>
    <x v="3140"/>
    <x v="339"/>
    <x v="0"/>
    <x v="1"/>
    <x v="2"/>
    <x v="70"/>
    <x v="21"/>
    <x v="271"/>
    <x v="1"/>
    <x v="1"/>
    <x v="567"/>
    <x v="0"/>
    <x v="3194"/>
  </r>
  <r>
    <x v="0"/>
    <x v="1347"/>
    <x v="434"/>
    <x v="80"/>
    <x v="198"/>
    <x v="412"/>
    <x v="615"/>
    <x v="2907"/>
    <x v="65"/>
    <x v="1211"/>
    <x v="1863"/>
    <x v="2227"/>
    <x v="3139"/>
    <x v="3135"/>
    <x v="2846"/>
    <x v="2"/>
    <x v="3109"/>
    <x v="3141"/>
    <x v="820"/>
    <x v="0"/>
    <x v="0"/>
    <x v="4"/>
    <x v="70"/>
    <x v="42"/>
    <x v="302"/>
    <x v="23"/>
    <x v="3"/>
    <x v="568"/>
    <x v="0"/>
    <x v="3195"/>
  </r>
  <r>
    <x v="0"/>
    <x v="804"/>
    <x v="402"/>
    <x v="60"/>
    <x v="225"/>
    <x v="369"/>
    <x v="522"/>
    <x v="2908"/>
    <x v="357"/>
    <x v="1212"/>
    <x v="1864"/>
    <x v="814"/>
    <x v="3140"/>
    <x v="3136"/>
    <x v="2847"/>
    <x v="1"/>
    <x v="3110"/>
    <x v="3142"/>
    <x v="509"/>
    <x v="0"/>
    <x v="8"/>
    <x v="0"/>
    <x v="70"/>
    <x v="7"/>
    <x v="263"/>
    <x v="11"/>
    <x v="1"/>
    <x v="1"/>
    <x v="0"/>
    <x v="3196"/>
  </r>
  <r>
    <x v="0"/>
    <x v="1348"/>
    <x v="324"/>
    <x v="55"/>
    <x v="194"/>
    <x v="308"/>
    <x v="63"/>
    <x v="2909"/>
    <x v="125"/>
    <x v="107"/>
    <x v="1824"/>
    <x v="406"/>
    <x v="3141"/>
    <x v="3137"/>
    <x v="1403"/>
    <x v="1"/>
    <x v="3111"/>
    <x v="3143"/>
    <x v="398"/>
    <x v="0"/>
    <x v="0"/>
    <x v="4"/>
    <x v="70"/>
    <x v="10"/>
    <x v="238"/>
    <x v="47"/>
    <x v="3"/>
    <x v="1"/>
    <x v="0"/>
    <x v="3197"/>
  </r>
  <r>
    <x v="0"/>
    <x v="437"/>
    <x v="394"/>
    <x v="24"/>
    <x v="0"/>
    <x v="758"/>
    <x v="0"/>
    <x v="2910"/>
    <x v="379"/>
    <x v="1213"/>
    <x v="331"/>
    <x v="1601"/>
    <x v="3142"/>
    <x v="3138"/>
    <x v="2848"/>
    <x v="0"/>
    <x v="3112"/>
    <x v="3144"/>
    <x v="139"/>
    <x v="0"/>
    <x v="0"/>
    <x v="4"/>
    <x v="70"/>
    <x v="21"/>
    <x v="222"/>
    <x v="12"/>
    <x v="3"/>
    <x v="103"/>
    <x v="0"/>
    <x v="3198"/>
  </r>
  <r>
    <x v="0"/>
    <x v="1349"/>
    <x v="112"/>
    <x v="41"/>
    <x v="198"/>
    <x v="597"/>
    <x v="458"/>
    <x v="2911"/>
    <x v="236"/>
    <x v="1214"/>
    <x v="1865"/>
    <x v="2228"/>
    <x v="3143"/>
    <x v="3139"/>
    <x v="416"/>
    <x v="1"/>
    <x v="3113"/>
    <x v="3145"/>
    <x v="405"/>
    <x v="0"/>
    <x v="0"/>
    <x v="0"/>
    <x v="70"/>
    <x v="6"/>
    <x v="213"/>
    <x v="30"/>
    <x v="3"/>
    <x v="7"/>
    <x v="0"/>
    <x v="3199"/>
  </r>
  <r>
    <x v="0"/>
    <x v="1233"/>
    <x v="412"/>
    <x v="34"/>
    <x v="199"/>
    <x v="251"/>
    <x v="426"/>
    <x v="2912"/>
    <x v="678"/>
    <x v="281"/>
    <x v="984"/>
    <x v="468"/>
    <x v="3144"/>
    <x v="3140"/>
    <x v="2849"/>
    <x v="0"/>
    <x v="3114"/>
    <x v="3146"/>
    <x v="732"/>
    <x v="0"/>
    <x v="0"/>
    <x v="2"/>
    <x v="137"/>
    <x v="37"/>
    <x v="545"/>
    <x v="31"/>
    <x v="1"/>
    <x v="569"/>
    <x v="0"/>
    <x v="3200"/>
  </r>
  <r>
    <x v="0"/>
    <x v="1350"/>
    <x v="433"/>
    <x v="55"/>
    <x v="360"/>
    <x v="607"/>
    <x v="18"/>
    <x v="2913"/>
    <x v="200"/>
    <x v="19"/>
    <x v="1866"/>
    <x v="2229"/>
    <x v="3145"/>
    <x v="3141"/>
    <x v="2850"/>
    <x v="4"/>
    <x v="3115"/>
    <x v="3147"/>
    <x v="793"/>
    <x v="0"/>
    <x v="0"/>
    <x v="4"/>
    <x v="70"/>
    <x v="11"/>
    <x v="642"/>
    <x v="22"/>
    <x v="3"/>
    <x v="1"/>
    <x v="0"/>
    <x v="3201"/>
  </r>
  <r>
    <x v="0"/>
    <x v="19"/>
    <x v="160"/>
    <x v="42"/>
    <x v="12"/>
    <x v="402"/>
    <x v="248"/>
    <x v="2914"/>
    <x v="17"/>
    <x v="456"/>
    <x v="1867"/>
    <x v="2230"/>
    <x v="3146"/>
    <x v="3142"/>
    <x v="2851"/>
    <x v="0"/>
    <x v="3116"/>
    <x v="3148"/>
    <x v="671"/>
    <x v="0"/>
    <x v="0"/>
    <x v="0"/>
    <x v="70"/>
    <x v="10"/>
    <x v="636"/>
    <x v="13"/>
    <x v="3"/>
    <x v="1"/>
    <x v="0"/>
    <x v="3202"/>
  </r>
  <r>
    <x v="0"/>
    <x v="471"/>
    <x v="271"/>
    <x v="42"/>
    <x v="0"/>
    <x v="120"/>
    <x v="616"/>
    <x v="2915"/>
    <x v="150"/>
    <x v="1215"/>
    <x v="1868"/>
    <x v="1865"/>
    <x v="3147"/>
    <x v="3143"/>
    <x v="2852"/>
    <x v="0"/>
    <x v="3117"/>
    <x v="3149"/>
    <x v="507"/>
    <x v="0"/>
    <x v="4"/>
    <x v="4"/>
    <x v="83"/>
    <x v="19"/>
    <x v="339"/>
    <x v="2"/>
    <x v="0"/>
    <x v="1"/>
    <x v="0"/>
    <x v="3203"/>
  </r>
  <r>
    <x v="0"/>
    <x v="1351"/>
    <x v="324"/>
    <x v="59"/>
    <x v="221"/>
    <x v="99"/>
    <x v="21"/>
    <x v="2916"/>
    <x v="314"/>
    <x v="22"/>
    <x v="297"/>
    <x v="2231"/>
    <x v="3148"/>
    <x v="3144"/>
    <x v="2853"/>
    <x v="0"/>
    <x v="3118"/>
    <x v="3150"/>
    <x v="552"/>
    <x v="0"/>
    <x v="0"/>
    <x v="4"/>
    <x v="70"/>
    <x v="21"/>
    <x v="30"/>
    <x v="20"/>
    <x v="3"/>
    <x v="531"/>
    <x v="0"/>
    <x v="3204"/>
  </r>
  <r>
    <x v="0"/>
    <x v="860"/>
    <x v="227"/>
    <x v="5"/>
    <x v="186"/>
    <x v="1"/>
    <x v="17"/>
    <x v="2917"/>
    <x v="17"/>
    <x v="41"/>
    <x v="85"/>
    <x v="49"/>
    <x v="3149"/>
    <x v="3145"/>
    <x v="2854"/>
    <x v="1"/>
    <x v="3119"/>
    <x v="3151"/>
    <x v="575"/>
    <x v="0"/>
    <x v="1"/>
    <x v="2"/>
    <x v="70"/>
    <x v="19"/>
    <x v="6"/>
    <x v="13"/>
    <x v="1"/>
    <x v="1"/>
    <x v="0"/>
    <x v="3205"/>
  </r>
  <r>
    <x v="0"/>
    <x v="681"/>
    <x v="248"/>
    <x v="11"/>
    <x v="116"/>
    <x v="219"/>
    <x v="2"/>
    <x v="2918"/>
    <x v="130"/>
    <x v="104"/>
    <x v="6"/>
    <x v="1026"/>
    <x v="3150"/>
    <x v="3146"/>
    <x v="2855"/>
    <x v="1"/>
    <x v="3120"/>
    <x v="3152"/>
    <x v="245"/>
    <x v="0"/>
    <x v="0"/>
    <x v="4"/>
    <x v="70"/>
    <x v="3"/>
    <x v="6"/>
    <x v="8"/>
    <x v="3"/>
    <x v="35"/>
    <x v="0"/>
    <x v="3206"/>
  </r>
  <r>
    <x v="0"/>
    <x v="113"/>
    <x v="302"/>
    <x v="162"/>
    <x v="88"/>
    <x v="621"/>
    <x v="457"/>
    <x v="2587"/>
    <x v="270"/>
    <x v="1085"/>
    <x v="1673"/>
    <x v="2005"/>
    <x v="2779"/>
    <x v="3147"/>
    <x v="2560"/>
    <x v="0"/>
    <x v="2755"/>
    <x v="2779"/>
    <x v="820"/>
    <x v="26"/>
    <x v="45"/>
    <x v="7"/>
    <x v="4"/>
    <x v="4"/>
    <x v="515"/>
    <x v="71"/>
    <x v="8"/>
    <x v="1"/>
    <x v="0"/>
    <x v="3207"/>
  </r>
  <r>
    <x v="0"/>
    <x v="1352"/>
    <x v="393"/>
    <x v="168"/>
    <x v="217"/>
    <x v="657"/>
    <x v="617"/>
    <x v="4"/>
    <x v="41"/>
    <x v="1216"/>
    <x v="1869"/>
    <x v="2232"/>
    <x v="3151"/>
    <x v="3148"/>
    <x v="1765"/>
    <x v="0"/>
    <x v="3121"/>
    <x v="3153"/>
    <x v="472"/>
    <x v="8"/>
    <x v="16"/>
    <x v="9"/>
    <x v="70"/>
    <x v="7"/>
    <x v="807"/>
    <x v="22"/>
    <x v="1"/>
    <x v="570"/>
    <x v="0"/>
    <x v="3208"/>
  </r>
  <r>
    <x v="0"/>
    <x v="1204"/>
    <x v="362"/>
    <x v="101"/>
    <x v="0"/>
    <x v="247"/>
    <x v="43"/>
    <x v="2919"/>
    <x v="408"/>
    <x v="642"/>
    <x v="1529"/>
    <x v="318"/>
    <x v="3152"/>
    <x v="3149"/>
    <x v="2856"/>
    <x v="4"/>
    <x v="3122"/>
    <x v="3154"/>
    <x v="549"/>
    <x v="0"/>
    <x v="10"/>
    <x v="4"/>
    <x v="70"/>
    <x v="21"/>
    <x v="170"/>
    <x v="5"/>
    <x v="3"/>
    <x v="192"/>
    <x v="0"/>
    <x v="3209"/>
  </r>
  <r>
    <x v="0"/>
    <x v="410"/>
    <x v="34"/>
    <x v="42"/>
    <x v="229"/>
    <x v="591"/>
    <x v="2"/>
    <x v="2920"/>
    <x v="368"/>
    <x v="72"/>
    <x v="1870"/>
    <x v="2233"/>
    <x v="3153"/>
    <x v="3150"/>
    <x v="2857"/>
    <x v="0"/>
    <x v="3123"/>
    <x v="3155"/>
    <x v="404"/>
    <x v="0"/>
    <x v="0"/>
    <x v="4"/>
    <x v="190"/>
    <x v="10"/>
    <x v="419"/>
    <x v="10"/>
    <x v="3"/>
    <x v="85"/>
    <x v="0"/>
    <x v="3210"/>
  </r>
  <r>
    <x v="0"/>
    <x v="1353"/>
    <x v="235"/>
    <x v="45"/>
    <x v="184"/>
    <x v="844"/>
    <x v="35"/>
    <x v="2921"/>
    <x v="200"/>
    <x v="124"/>
    <x v="658"/>
    <x v="2234"/>
    <x v="3154"/>
    <x v="3151"/>
    <x v="2858"/>
    <x v="2"/>
    <x v="3124"/>
    <x v="3156"/>
    <x v="244"/>
    <x v="0"/>
    <x v="0"/>
    <x v="4"/>
    <x v="240"/>
    <x v="0"/>
    <x v="408"/>
    <x v="12"/>
    <x v="1"/>
    <x v="1"/>
    <x v="0"/>
    <x v="3211"/>
  </r>
  <r>
    <x v="0"/>
    <x v="1354"/>
    <x v="249"/>
    <x v="27"/>
    <x v="80"/>
    <x v="336"/>
    <x v="13"/>
    <x v="2922"/>
    <x v="168"/>
    <x v="93"/>
    <x v="458"/>
    <x v="543"/>
    <x v="3155"/>
    <x v="3152"/>
    <x v="2859"/>
    <x v="1"/>
    <x v="3125"/>
    <x v="3157"/>
    <x v="536"/>
    <x v="0"/>
    <x v="4"/>
    <x v="4"/>
    <x v="70"/>
    <x v="17"/>
    <x v="92"/>
    <x v="13"/>
    <x v="1"/>
    <x v="1"/>
    <x v="0"/>
    <x v="3212"/>
  </r>
  <r>
    <x v="0"/>
    <x v="1355"/>
    <x v="359"/>
    <x v="41"/>
    <x v="0"/>
    <x v="469"/>
    <x v="159"/>
    <x v="2923"/>
    <x v="125"/>
    <x v="293"/>
    <x v="1871"/>
    <x v="691"/>
    <x v="3156"/>
    <x v="3153"/>
    <x v="2860"/>
    <x v="4"/>
    <x v="3126"/>
    <x v="3158"/>
    <x v="835"/>
    <x v="0"/>
    <x v="0"/>
    <x v="4"/>
    <x v="70"/>
    <x v="1"/>
    <x v="124"/>
    <x v="43"/>
    <x v="3"/>
    <x v="332"/>
    <x v="0"/>
    <x v="3213"/>
  </r>
  <r>
    <x v="0"/>
    <x v="594"/>
    <x v="203"/>
    <x v="54"/>
    <x v="0"/>
    <x v="280"/>
    <x v="24"/>
    <x v="2924"/>
    <x v="17"/>
    <x v="131"/>
    <x v="1872"/>
    <x v="2235"/>
    <x v="3157"/>
    <x v="3154"/>
    <x v="2861"/>
    <x v="3"/>
    <x v="3127"/>
    <x v="3159"/>
    <x v="426"/>
    <x v="0"/>
    <x v="14"/>
    <x v="0"/>
    <x v="70"/>
    <x v="1"/>
    <x v="367"/>
    <x v="10"/>
    <x v="1"/>
    <x v="1"/>
    <x v="0"/>
    <x v="3214"/>
  </r>
  <r>
    <x v="0"/>
    <x v="1287"/>
    <x v="413"/>
    <x v="73"/>
    <x v="0"/>
    <x v="588"/>
    <x v="538"/>
    <x v="2925"/>
    <x v="270"/>
    <x v="1014"/>
    <x v="738"/>
    <x v="2236"/>
    <x v="3158"/>
    <x v="3155"/>
    <x v="2507"/>
    <x v="0"/>
    <x v="3128"/>
    <x v="3160"/>
    <x v="408"/>
    <x v="0"/>
    <x v="13"/>
    <x v="4"/>
    <x v="4"/>
    <x v="20"/>
    <x v="443"/>
    <x v="5"/>
    <x v="3"/>
    <x v="571"/>
    <x v="0"/>
    <x v="3215"/>
  </r>
  <r>
    <x v="0"/>
    <x v="129"/>
    <x v="184"/>
    <x v="71"/>
    <x v="0"/>
    <x v="599"/>
    <x v="618"/>
    <x v="2926"/>
    <x v="127"/>
    <x v="236"/>
    <x v="1873"/>
    <x v="976"/>
    <x v="3159"/>
    <x v="3156"/>
    <x v="2862"/>
    <x v="0"/>
    <x v="3129"/>
    <x v="3161"/>
    <x v="699"/>
    <x v="0"/>
    <x v="1"/>
    <x v="4"/>
    <x v="70"/>
    <x v="19"/>
    <x v="796"/>
    <x v="57"/>
    <x v="3"/>
    <x v="572"/>
    <x v="0"/>
    <x v="3216"/>
  </r>
  <r>
    <x v="0"/>
    <x v="1356"/>
    <x v="212"/>
    <x v="86"/>
    <x v="0"/>
    <x v="119"/>
    <x v="619"/>
    <x v="2927"/>
    <x v="131"/>
    <x v="1217"/>
    <x v="1874"/>
    <x v="1305"/>
    <x v="3160"/>
    <x v="3157"/>
    <x v="2863"/>
    <x v="3"/>
    <x v="3130"/>
    <x v="3162"/>
    <x v="137"/>
    <x v="0"/>
    <x v="0"/>
    <x v="4"/>
    <x v="70"/>
    <x v="8"/>
    <x v="547"/>
    <x v="20"/>
    <x v="0"/>
    <x v="298"/>
    <x v="0"/>
    <x v="3217"/>
  </r>
  <r>
    <x v="1"/>
    <x v="937"/>
    <x v="161"/>
    <x v="79"/>
    <x v="0"/>
    <x v="636"/>
    <x v="620"/>
    <x v="2928"/>
    <x v="255"/>
    <x v="1218"/>
    <x v="1875"/>
    <x v="1094"/>
    <x v="3161"/>
    <x v="3158"/>
    <x v="2864"/>
    <x v="4"/>
    <x v="3131"/>
    <x v="3163"/>
    <x v="554"/>
    <x v="13"/>
    <x v="14"/>
    <x v="2"/>
    <x v="70"/>
    <x v="18"/>
    <x v="672"/>
    <x v="11"/>
    <x v="3"/>
    <x v="1"/>
    <x v="0"/>
    <x v="3218"/>
  </r>
  <r>
    <x v="0"/>
    <x v="1357"/>
    <x v="389"/>
    <x v="41"/>
    <x v="361"/>
    <x v="298"/>
    <x v="285"/>
    <x v="2929"/>
    <x v="270"/>
    <x v="1219"/>
    <x v="1876"/>
    <x v="2237"/>
    <x v="3162"/>
    <x v="3159"/>
    <x v="2865"/>
    <x v="0"/>
    <x v="3132"/>
    <x v="3164"/>
    <x v="630"/>
    <x v="0"/>
    <x v="0"/>
    <x v="9"/>
    <x v="70"/>
    <x v="17"/>
    <x v="745"/>
    <x v="40"/>
    <x v="10"/>
    <x v="573"/>
    <x v="0"/>
    <x v="3219"/>
  </r>
  <r>
    <x v="0"/>
    <x v="1358"/>
    <x v="384"/>
    <x v="59"/>
    <x v="362"/>
    <x v="222"/>
    <x v="241"/>
    <x v="2930"/>
    <x v="408"/>
    <x v="1220"/>
    <x v="1004"/>
    <x v="2238"/>
    <x v="3163"/>
    <x v="3160"/>
    <x v="2866"/>
    <x v="0"/>
    <x v="3133"/>
    <x v="3165"/>
    <x v="732"/>
    <x v="3"/>
    <x v="10"/>
    <x v="1"/>
    <x v="81"/>
    <x v="13"/>
    <x v="441"/>
    <x v="4"/>
    <x v="10"/>
    <x v="574"/>
    <x v="0"/>
    <x v="3220"/>
  </r>
  <r>
    <x v="0"/>
    <x v="1359"/>
    <x v="309"/>
    <x v="33"/>
    <x v="363"/>
    <x v="153"/>
    <x v="139"/>
    <x v="2931"/>
    <x v="113"/>
    <x v="1221"/>
    <x v="1877"/>
    <x v="2239"/>
    <x v="3164"/>
    <x v="3161"/>
    <x v="2867"/>
    <x v="0"/>
    <x v="3134"/>
    <x v="3166"/>
    <x v="820"/>
    <x v="0"/>
    <x v="0"/>
    <x v="4"/>
    <x v="240"/>
    <x v="11"/>
    <x v="459"/>
    <x v="4"/>
    <x v="3"/>
    <x v="9"/>
    <x v="0"/>
    <x v="3221"/>
  </r>
  <r>
    <x v="0"/>
    <x v="1360"/>
    <x v="417"/>
    <x v="59"/>
    <x v="160"/>
    <x v="485"/>
    <x v="340"/>
    <x v="2932"/>
    <x v="17"/>
    <x v="412"/>
    <x v="1878"/>
    <x v="2240"/>
    <x v="3165"/>
    <x v="3162"/>
    <x v="2138"/>
    <x v="1"/>
    <x v="3135"/>
    <x v="3167"/>
    <x v="792"/>
    <x v="3"/>
    <x v="10"/>
    <x v="1"/>
    <x v="4"/>
    <x v="13"/>
    <x v="273"/>
    <x v="2"/>
    <x v="1"/>
    <x v="550"/>
    <x v="0"/>
    <x v="3222"/>
  </r>
  <r>
    <x v="0"/>
    <x v="1361"/>
    <x v="128"/>
    <x v="32"/>
    <x v="0"/>
    <x v="845"/>
    <x v="11"/>
    <x v="2933"/>
    <x v="477"/>
    <x v="69"/>
    <x v="466"/>
    <x v="2241"/>
    <x v="3166"/>
    <x v="3163"/>
    <x v="2868"/>
    <x v="0"/>
    <x v="3136"/>
    <x v="3168"/>
    <x v="173"/>
    <x v="0"/>
    <x v="1"/>
    <x v="4"/>
    <x v="4"/>
    <x v="10"/>
    <x v="305"/>
    <x v="5"/>
    <x v="1"/>
    <x v="85"/>
    <x v="0"/>
    <x v="3223"/>
  </r>
  <r>
    <x v="0"/>
    <x v="1362"/>
    <x v="345"/>
    <x v="70"/>
    <x v="192"/>
    <x v="666"/>
    <x v="139"/>
    <x v="2934"/>
    <x v="200"/>
    <x v="1222"/>
    <x v="1879"/>
    <x v="2242"/>
    <x v="3167"/>
    <x v="3164"/>
    <x v="2869"/>
    <x v="4"/>
    <x v="3137"/>
    <x v="3169"/>
    <x v="388"/>
    <x v="0"/>
    <x v="0"/>
    <x v="4"/>
    <x v="213"/>
    <x v="14"/>
    <x v="603"/>
    <x v="11"/>
    <x v="1"/>
    <x v="567"/>
    <x v="0"/>
    <x v="3224"/>
  </r>
  <r>
    <x v="0"/>
    <x v="1363"/>
    <x v="425"/>
    <x v="107"/>
    <x v="364"/>
    <x v="800"/>
    <x v="442"/>
    <x v="2935"/>
    <x v="720"/>
    <x v="802"/>
    <x v="1880"/>
    <x v="1815"/>
    <x v="3168"/>
    <x v="3165"/>
    <x v="2870"/>
    <x v="4"/>
    <x v="3138"/>
    <x v="3170"/>
    <x v="704"/>
    <x v="0"/>
    <x v="1"/>
    <x v="4"/>
    <x v="70"/>
    <x v="18"/>
    <x v="150"/>
    <x v="5"/>
    <x v="3"/>
    <x v="575"/>
    <x v="0"/>
    <x v="3225"/>
  </r>
  <r>
    <x v="0"/>
    <x v="1364"/>
    <x v="309"/>
    <x v="77"/>
    <x v="365"/>
    <x v="382"/>
    <x v="49"/>
    <x v="2936"/>
    <x v="200"/>
    <x v="86"/>
    <x v="1881"/>
    <x v="2023"/>
    <x v="3169"/>
    <x v="3166"/>
    <x v="2871"/>
    <x v="1"/>
    <x v="3139"/>
    <x v="3171"/>
    <x v="756"/>
    <x v="0"/>
    <x v="0"/>
    <x v="4"/>
    <x v="4"/>
    <x v="0"/>
    <x v="390"/>
    <x v="8"/>
    <x v="3"/>
    <x v="1"/>
    <x v="0"/>
    <x v="3226"/>
  </r>
  <r>
    <x v="0"/>
    <x v="1267"/>
    <x v="245"/>
    <x v="78"/>
    <x v="199"/>
    <x v="414"/>
    <x v="427"/>
    <x v="2937"/>
    <x v="662"/>
    <x v="1223"/>
    <x v="1882"/>
    <x v="2243"/>
    <x v="3170"/>
    <x v="3167"/>
    <x v="130"/>
    <x v="0"/>
    <x v="3140"/>
    <x v="3172"/>
    <x v="357"/>
    <x v="0"/>
    <x v="1"/>
    <x v="4"/>
    <x v="240"/>
    <x v="7"/>
    <x v="439"/>
    <x v="4"/>
    <x v="3"/>
    <x v="1"/>
    <x v="0"/>
    <x v="3227"/>
  </r>
  <r>
    <x v="0"/>
    <x v="1249"/>
    <x v="212"/>
    <x v="87"/>
    <x v="355"/>
    <x v="846"/>
    <x v="0"/>
    <x v="2938"/>
    <x v="306"/>
    <x v="31"/>
    <x v="1883"/>
    <x v="2244"/>
    <x v="3171"/>
    <x v="3168"/>
    <x v="2872"/>
    <x v="1"/>
    <x v="3141"/>
    <x v="3173"/>
    <x v="119"/>
    <x v="0"/>
    <x v="0"/>
    <x v="4"/>
    <x v="70"/>
    <x v="12"/>
    <x v="473"/>
    <x v="22"/>
    <x v="3"/>
    <x v="576"/>
    <x v="0"/>
    <x v="3228"/>
  </r>
  <r>
    <x v="0"/>
    <x v="1365"/>
    <x v="356"/>
    <x v="47"/>
    <x v="129"/>
    <x v="831"/>
    <x v="30"/>
    <x v="2939"/>
    <x v="270"/>
    <x v="224"/>
    <x v="1884"/>
    <x v="2245"/>
    <x v="3172"/>
    <x v="3169"/>
    <x v="2873"/>
    <x v="3"/>
    <x v="3142"/>
    <x v="3174"/>
    <x v="388"/>
    <x v="0"/>
    <x v="1"/>
    <x v="4"/>
    <x v="4"/>
    <x v="5"/>
    <x v="312"/>
    <x v="15"/>
    <x v="3"/>
    <x v="1"/>
    <x v="0"/>
    <x v="3229"/>
  </r>
  <r>
    <x v="0"/>
    <x v="1366"/>
    <x v="479"/>
    <x v="105"/>
    <x v="221"/>
    <x v="181"/>
    <x v="17"/>
    <x v="2940"/>
    <x v="70"/>
    <x v="18"/>
    <x v="1885"/>
    <x v="230"/>
    <x v="3173"/>
    <x v="3170"/>
    <x v="2874"/>
    <x v="0"/>
    <x v="3143"/>
    <x v="3175"/>
    <x v="575"/>
    <x v="0"/>
    <x v="0"/>
    <x v="2"/>
    <x v="254"/>
    <x v="24"/>
    <x v="518"/>
    <x v="47"/>
    <x v="3"/>
    <x v="577"/>
    <x v="0"/>
    <x v="3230"/>
  </r>
  <r>
    <x v="0"/>
    <x v="600"/>
    <x v="393"/>
    <x v="57"/>
    <x v="31"/>
    <x v="327"/>
    <x v="600"/>
    <x v="2941"/>
    <x v="270"/>
    <x v="1176"/>
    <x v="586"/>
    <x v="2246"/>
    <x v="3174"/>
    <x v="3171"/>
    <x v="2875"/>
    <x v="0"/>
    <x v="3144"/>
    <x v="3176"/>
    <x v="416"/>
    <x v="0"/>
    <x v="0"/>
    <x v="0"/>
    <x v="4"/>
    <x v="5"/>
    <x v="335"/>
    <x v="10"/>
    <x v="1"/>
    <x v="354"/>
    <x v="0"/>
    <x v="3231"/>
  </r>
  <r>
    <x v="0"/>
    <x v="1367"/>
    <x v="329"/>
    <x v="31"/>
    <x v="122"/>
    <x v="221"/>
    <x v="621"/>
    <x v="2942"/>
    <x v="156"/>
    <x v="1224"/>
    <x v="1886"/>
    <x v="2247"/>
    <x v="3175"/>
    <x v="3172"/>
    <x v="2876"/>
    <x v="1"/>
    <x v="4"/>
    <x v="3177"/>
    <x v="416"/>
    <x v="6"/>
    <x v="12"/>
    <x v="4"/>
    <x v="70"/>
    <x v="9"/>
    <x v="498"/>
    <x v="5"/>
    <x v="2"/>
    <x v="329"/>
    <x v="0"/>
    <x v="3232"/>
  </r>
  <r>
    <x v="0"/>
    <x v="739"/>
    <x v="349"/>
    <x v="55"/>
    <x v="217"/>
    <x v="771"/>
    <x v="98"/>
    <x v="4"/>
    <x v="105"/>
    <x v="175"/>
    <x v="1887"/>
    <x v="1654"/>
    <x v="3176"/>
    <x v="3173"/>
    <x v="2877"/>
    <x v="0"/>
    <x v="3145"/>
    <x v="3178"/>
    <x v="684"/>
    <x v="0"/>
    <x v="0"/>
    <x v="0"/>
    <x v="70"/>
    <x v="11"/>
    <x v="512"/>
    <x v="12"/>
    <x v="1"/>
    <x v="1"/>
    <x v="0"/>
    <x v="3233"/>
  </r>
  <r>
    <x v="0"/>
    <x v="1368"/>
    <x v="207"/>
    <x v="107"/>
    <x v="233"/>
    <x v="201"/>
    <x v="132"/>
    <x v="2943"/>
    <x v="125"/>
    <x v="376"/>
    <x v="1888"/>
    <x v="2248"/>
    <x v="3177"/>
    <x v="3174"/>
    <x v="2878"/>
    <x v="0"/>
    <x v="3146"/>
    <x v="3179"/>
    <x v="432"/>
    <x v="0"/>
    <x v="0"/>
    <x v="4"/>
    <x v="70"/>
    <x v="13"/>
    <x v="712"/>
    <x v="58"/>
    <x v="3"/>
    <x v="258"/>
    <x v="0"/>
    <x v="3234"/>
  </r>
  <r>
    <x v="0"/>
    <x v="1369"/>
    <x v="430"/>
    <x v="43"/>
    <x v="143"/>
    <x v="847"/>
    <x v="25"/>
    <x v="2944"/>
    <x v="200"/>
    <x v="30"/>
    <x v="964"/>
    <x v="2249"/>
    <x v="3178"/>
    <x v="3175"/>
    <x v="2879"/>
    <x v="4"/>
    <x v="3147"/>
    <x v="3180"/>
    <x v="744"/>
    <x v="0"/>
    <x v="0"/>
    <x v="0"/>
    <x v="70"/>
    <x v="0"/>
    <x v="13"/>
    <x v="34"/>
    <x v="1"/>
    <x v="578"/>
    <x v="0"/>
    <x v="3235"/>
  </r>
  <r>
    <x v="0"/>
    <x v="1370"/>
    <x v="417"/>
    <x v="78"/>
    <x v="0"/>
    <x v="167"/>
    <x v="393"/>
    <x v="2945"/>
    <x v="127"/>
    <x v="1225"/>
    <x v="856"/>
    <x v="2184"/>
    <x v="3179"/>
    <x v="3176"/>
    <x v="2880"/>
    <x v="4"/>
    <x v="3148"/>
    <x v="3181"/>
    <x v="822"/>
    <x v="0"/>
    <x v="0"/>
    <x v="4"/>
    <x v="83"/>
    <x v="0"/>
    <x v="497"/>
    <x v="18"/>
    <x v="3"/>
    <x v="103"/>
    <x v="0"/>
    <x v="3236"/>
  </r>
  <r>
    <x v="0"/>
    <x v="1371"/>
    <x v="425"/>
    <x v="78"/>
    <x v="193"/>
    <x v="284"/>
    <x v="0"/>
    <x v="2946"/>
    <x v="200"/>
    <x v="1226"/>
    <x v="458"/>
    <x v="372"/>
    <x v="3180"/>
    <x v="3125"/>
    <x v="2881"/>
    <x v="1"/>
    <x v="3149"/>
    <x v="3182"/>
    <x v="790"/>
    <x v="0"/>
    <x v="0"/>
    <x v="0"/>
    <x v="240"/>
    <x v="0"/>
    <x v="92"/>
    <x v="55"/>
    <x v="3"/>
    <x v="579"/>
    <x v="0"/>
    <x v="3237"/>
  </r>
  <r>
    <x v="0"/>
    <x v="1226"/>
    <x v="441"/>
    <x v="50"/>
    <x v="59"/>
    <x v="123"/>
    <x v="103"/>
    <x v="2947"/>
    <x v="270"/>
    <x v="1227"/>
    <x v="1482"/>
    <x v="2250"/>
    <x v="3181"/>
    <x v="3177"/>
    <x v="2882"/>
    <x v="3"/>
    <x v="4"/>
    <x v="3183"/>
    <x v="854"/>
    <x v="0"/>
    <x v="4"/>
    <x v="2"/>
    <x v="4"/>
    <x v="8"/>
    <x v="5"/>
    <x v="39"/>
    <x v="3"/>
    <x v="428"/>
    <x v="0"/>
    <x v="3238"/>
  </r>
  <r>
    <x v="0"/>
    <x v="1372"/>
    <x v="274"/>
    <x v="52"/>
    <x v="76"/>
    <x v="636"/>
    <x v="374"/>
    <x v="4"/>
    <x v="150"/>
    <x v="1228"/>
    <x v="1889"/>
    <x v="2251"/>
    <x v="3182"/>
    <x v="3178"/>
    <x v="1899"/>
    <x v="0"/>
    <x v="3150"/>
    <x v="3184"/>
    <x v="448"/>
    <x v="0"/>
    <x v="5"/>
    <x v="4"/>
    <x v="70"/>
    <x v="2"/>
    <x v="394"/>
    <x v="31"/>
    <x v="6"/>
    <x v="1"/>
    <x v="0"/>
    <x v="3239"/>
  </r>
  <r>
    <x v="0"/>
    <x v="1308"/>
    <x v="169"/>
    <x v="79"/>
    <x v="143"/>
    <x v="231"/>
    <x v="556"/>
    <x v="4"/>
    <x v="242"/>
    <x v="1070"/>
    <x v="1857"/>
    <x v="2252"/>
    <x v="3183"/>
    <x v="3179"/>
    <x v="1540"/>
    <x v="4"/>
    <x v="3151"/>
    <x v="3185"/>
    <x v="896"/>
    <x v="0"/>
    <x v="0"/>
    <x v="4"/>
    <x v="4"/>
    <x v="0"/>
    <x v="296"/>
    <x v="31"/>
    <x v="3"/>
    <x v="580"/>
    <x v="0"/>
    <x v="3240"/>
  </r>
  <r>
    <x v="0"/>
    <x v="1373"/>
    <x v="393"/>
    <x v="41"/>
    <x v="143"/>
    <x v="739"/>
    <x v="144"/>
    <x v="2948"/>
    <x v="127"/>
    <x v="1229"/>
    <x v="1890"/>
    <x v="1939"/>
    <x v="3184"/>
    <x v="3180"/>
    <x v="2883"/>
    <x v="1"/>
    <x v="3152"/>
    <x v="3186"/>
    <x v="705"/>
    <x v="0"/>
    <x v="0"/>
    <x v="0"/>
    <x v="70"/>
    <x v="1"/>
    <x v="45"/>
    <x v="65"/>
    <x v="3"/>
    <x v="581"/>
    <x v="0"/>
    <x v="3241"/>
  </r>
  <r>
    <x v="0"/>
    <x v="1374"/>
    <x v="184"/>
    <x v="27"/>
    <x v="177"/>
    <x v="313"/>
    <x v="622"/>
    <x v="2949"/>
    <x v="180"/>
    <x v="1230"/>
    <x v="1891"/>
    <x v="2253"/>
    <x v="3185"/>
    <x v="3181"/>
    <x v="2884"/>
    <x v="2"/>
    <x v="3153"/>
    <x v="3187"/>
    <x v="447"/>
    <x v="0"/>
    <x v="13"/>
    <x v="4"/>
    <x v="70"/>
    <x v="8"/>
    <x v="258"/>
    <x v="9"/>
    <x v="1"/>
    <x v="1"/>
    <x v="0"/>
    <x v="3242"/>
  </r>
  <r>
    <x v="0"/>
    <x v="1375"/>
    <x v="182"/>
    <x v="50"/>
    <x v="123"/>
    <x v="483"/>
    <x v="623"/>
    <x v="4"/>
    <x v="381"/>
    <x v="1231"/>
    <x v="1892"/>
    <x v="2254"/>
    <x v="3186"/>
    <x v="3182"/>
    <x v="2885"/>
    <x v="0"/>
    <x v="3154"/>
    <x v="3188"/>
    <x v="258"/>
    <x v="0"/>
    <x v="5"/>
    <x v="4"/>
    <x v="4"/>
    <x v="5"/>
    <x v="808"/>
    <x v="27"/>
    <x v="1"/>
    <x v="1"/>
    <x v="0"/>
    <x v="3243"/>
  </r>
  <r>
    <x v="0"/>
    <x v="1376"/>
    <x v="434"/>
    <x v="79"/>
    <x v="0"/>
    <x v="724"/>
    <x v="2"/>
    <x v="2950"/>
    <x v="200"/>
    <x v="336"/>
    <x v="274"/>
    <x v="1440"/>
    <x v="3187"/>
    <x v="3183"/>
    <x v="2886"/>
    <x v="5"/>
    <x v="3155"/>
    <x v="3189"/>
    <x v="749"/>
    <x v="0"/>
    <x v="0"/>
    <x v="4"/>
    <x v="170"/>
    <x v="14"/>
    <x v="117"/>
    <x v="10"/>
    <x v="3"/>
    <x v="376"/>
    <x v="0"/>
    <x v="3244"/>
  </r>
  <r>
    <x v="0"/>
    <x v="480"/>
    <x v="219"/>
    <x v="77"/>
    <x v="233"/>
    <x v="848"/>
    <x v="624"/>
    <x v="4"/>
    <x v="64"/>
    <x v="1232"/>
    <x v="1893"/>
    <x v="2255"/>
    <x v="3188"/>
    <x v="3184"/>
    <x v="2887"/>
    <x v="0"/>
    <x v="3156"/>
    <x v="3190"/>
    <x v="517"/>
    <x v="0"/>
    <x v="0"/>
    <x v="0"/>
    <x v="70"/>
    <x v="1"/>
    <x v="409"/>
    <x v="20"/>
    <x v="1"/>
    <x v="130"/>
    <x v="0"/>
    <x v="3245"/>
  </r>
  <r>
    <x v="0"/>
    <x v="1377"/>
    <x v="451"/>
    <x v="43"/>
    <x v="193"/>
    <x v="180"/>
    <x v="202"/>
    <x v="4"/>
    <x v="419"/>
    <x v="1233"/>
    <x v="1894"/>
    <x v="2256"/>
    <x v="3189"/>
    <x v="3185"/>
    <x v="2888"/>
    <x v="0"/>
    <x v="4"/>
    <x v="3191"/>
    <x v="744"/>
    <x v="0"/>
    <x v="4"/>
    <x v="0"/>
    <x v="70"/>
    <x v="10"/>
    <x v="477"/>
    <x v="33"/>
    <x v="1"/>
    <x v="1"/>
    <x v="0"/>
    <x v="3246"/>
  </r>
  <r>
    <x v="0"/>
    <x v="1378"/>
    <x v="352"/>
    <x v="85"/>
    <x v="89"/>
    <x v="350"/>
    <x v="15"/>
    <x v="4"/>
    <x v="306"/>
    <x v="460"/>
    <x v="566"/>
    <x v="2257"/>
    <x v="3190"/>
    <x v="3186"/>
    <x v="2889"/>
    <x v="1"/>
    <x v="3157"/>
    <x v="3192"/>
    <x v="785"/>
    <x v="0"/>
    <x v="1"/>
    <x v="4"/>
    <x v="224"/>
    <x v="8"/>
    <x v="12"/>
    <x v="8"/>
    <x v="1"/>
    <x v="1"/>
    <x v="0"/>
    <x v="3247"/>
  </r>
  <r>
    <x v="0"/>
    <x v="1379"/>
    <x v="385"/>
    <x v="79"/>
    <x v="0"/>
    <x v="455"/>
    <x v="0"/>
    <x v="4"/>
    <x v="721"/>
    <x v="600"/>
    <x v="1229"/>
    <x v="2258"/>
    <x v="3191"/>
    <x v="3187"/>
    <x v="1369"/>
    <x v="0"/>
    <x v="4"/>
    <x v="3193"/>
    <x v="188"/>
    <x v="0"/>
    <x v="18"/>
    <x v="1"/>
    <x v="70"/>
    <x v="11"/>
    <x v="537"/>
    <x v="30"/>
    <x v="2"/>
    <x v="519"/>
    <x v="0"/>
    <x v="3248"/>
  </r>
  <r>
    <x v="0"/>
    <x v="1218"/>
    <x v="346"/>
    <x v="11"/>
    <x v="351"/>
    <x v="397"/>
    <x v="625"/>
    <x v="4"/>
    <x v="269"/>
    <x v="1234"/>
    <x v="109"/>
    <x v="923"/>
    <x v="3192"/>
    <x v="3188"/>
    <x v="2890"/>
    <x v="4"/>
    <x v="3158"/>
    <x v="3194"/>
    <x v="755"/>
    <x v="0"/>
    <x v="8"/>
    <x v="4"/>
    <x v="70"/>
    <x v="8"/>
    <x v="529"/>
    <x v="22"/>
    <x v="1"/>
    <x v="170"/>
    <x v="0"/>
    <x v="3249"/>
  </r>
  <r>
    <x v="0"/>
    <x v="1380"/>
    <x v="240"/>
    <x v="113"/>
    <x v="198"/>
    <x v="531"/>
    <x v="392"/>
    <x v="2951"/>
    <x v="105"/>
    <x v="1235"/>
    <x v="1895"/>
    <x v="2259"/>
    <x v="3193"/>
    <x v="3189"/>
    <x v="2891"/>
    <x v="0"/>
    <x v="3159"/>
    <x v="3195"/>
    <x v="791"/>
    <x v="14"/>
    <x v="27"/>
    <x v="1"/>
    <x v="70"/>
    <x v="9"/>
    <x v="689"/>
    <x v="8"/>
    <x v="1"/>
    <x v="103"/>
    <x v="0"/>
    <x v="3250"/>
  </r>
  <r>
    <x v="0"/>
    <x v="1381"/>
    <x v="308"/>
    <x v="7"/>
    <x v="247"/>
    <x v="220"/>
    <x v="0"/>
    <x v="4"/>
    <x v="722"/>
    <x v="1236"/>
    <x v="581"/>
    <x v="2260"/>
    <x v="3194"/>
    <x v="3190"/>
    <x v="2892"/>
    <x v="1"/>
    <x v="3160"/>
    <x v="3196"/>
    <x v="655"/>
    <x v="0"/>
    <x v="1"/>
    <x v="0"/>
    <x v="70"/>
    <x v="5"/>
    <x v="371"/>
    <x v="28"/>
    <x v="1"/>
    <x v="582"/>
    <x v="0"/>
    <x v="3251"/>
  </r>
  <r>
    <x v="0"/>
    <x v="1382"/>
    <x v="424"/>
    <x v="78"/>
    <x v="291"/>
    <x v="715"/>
    <x v="0"/>
    <x v="4"/>
    <x v="310"/>
    <x v="167"/>
    <x v="156"/>
    <x v="2261"/>
    <x v="3195"/>
    <x v="3191"/>
    <x v="2893"/>
    <x v="2"/>
    <x v="3161"/>
    <x v="3197"/>
    <x v="716"/>
    <x v="0"/>
    <x v="0"/>
    <x v="4"/>
    <x v="70"/>
    <x v="0"/>
    <x v="103"/>
    <x v="45"/>
    <x v="3"/>
    <x v="583"/>
    <x v="0"/>
    <x v="3252"/>
  </r>
  <r>
    <x v="0"/>
    <x v="1383"/>
    <x v="479"/>
    <x v="38"/>
    <x v="192"/>
    <x v="490"/>
    <x v="626"/>
    <x v="4"/>
    <x v="17"/>
    <x v="1237"/>
    <x v="1896"/>
    <x v="2262"/>
    <x v="3196"/>
    <x v="3192"/>
    <x v="936"/>
    <x v="4"/>
    <x v="3162"/>
    <x v="3198"/>
    <x v="788"/>
    <x v="0"/>
    <x v="4"/>
    <x v="4"/>
    <x v="70"/>
    <x v="1"/>
    <x v="809"/>
    <x v="15"/>
    <x v="1"/>
    <x v="584"/>
    <x v="0"/>
    <x v="3253"/>
  </r>
  <r>
    <x v="0"/>
    <x v="1384"/>
    <x v="169"/>
    <x v="95"/>
    <x v="78"/>
    <x v="548"/>
    <x v="112"/>
    <x v="4"/>
    <x v="125"/>
    <x v="837"/>
    <x v="1897"/>
    <x v="856"/>
    <x v="3197"/>
    <x v="3193"/>
    <x v="2894"/>
    <x v="7"/>
    <x v="4"/>
    <x v="3199"/>
    <x v="416"/>
    <x v="0"/>
    <x v="0"/>
    <x v="0"/>
    <x v="70"/>
    <x v="5"/>
    <x v="810"/>
    <x v="31"/>
    <x v="2"/>
    <x v="553"/>
    <x v="0"/>
    <x v="3254"/>
  </r>
  <r>
    <x v="0"/>
    <x v="732"/>
    <x v="194"/>
    <x v="24"/>
    <x v="294"/>
    <x v="321"/>
    <x v="627"/>
    <x v="2952"/>
    <x v="343"/>
    <x v="1238"/>
    <x v="1898"/>
    <x v="2263"/>
    <x v="3198"/>
    <x v="3194"/>
    <x v="2895"/>
    <x v="0"/>
    <x v="3163"/>
    <x v="3200"/>
    <x v="169"/>
    <x v="24"/>
    <x v="18"/>
    <x v="4"/>
    <x v="70"/>
    <x v="8"/>
    <x v="307"/>
    <x v="11"/>
    <x v="1"/>
    <x v="1"/>
    <x v="0"/>
    <x v="3255"/>
  </r>
  <r>
    <x v="0"/>
    <x v="1118"/>
    <x v="309"/>
    <x v="95"/>
    <x v="151"/>
    <x v="706"/>
    <x v="0"/>
    <x v="4"/>
    <x v="381"/>
    <x v="1182"/>
    <x v="1899"/>
    <x v="1350"/>
    <x v="3199"/>
    <x v="3195"/>
    <x v="2896"/>
    <x v="0"/>
    <x v="3164"/>
    <x v="3201"/>
    <x v="678"/>
    <x v="0"/>
    <x v="0"/>
    <x v="4"/>
    <x v="70"/>
    <x v="9"/>
    <x v="606"/>
    <x v="51"/>
    <x v="1"/>
    <x v="1"/>
    <x v="0"/>
    <x v="3256"/>
  </r>
  <r>
    <x v="0"/>
    <x v="1385"/>
    <x v="464"/>
    <x v="71"/>
    <x v="221"/>
    <x v="771"/>
    <x v="628"/>
    <x v="4"/>
    <x v="723"/>
    <x v="1239"/>
    <x v="93"/>
    <x v="2161"/>
    <x v="3200"/>
    <x v="3196"/>
    <x v="796"/>
    <x v="1"/>
    <x v="3165"/>
    <x v="3202"/>
    <x v="788"/>
    <x v="0"/>
    <x v="4"/>
    <x v="1"/>
    <x v="70"/>
    <x v="5"/>
    <x v="67"/>
    <x v="12"/>
    <x v="1"/>
    <x v="585"/>
    <x v="0"/>
    <x v="3257"/>
  </r>
  <r>
    <x v="0"/>
    <x v="560"/>
    <x v="61"/>
    <x v="86"/>
    <x v="154"/>
    <x v="210"/>
    <x v="30"/>
    <x v="2953"/>
    <x v="105"/>
    <x v="224"/>
    <x v="1165"/>
    <x v="592"/>
    <x v="3201"/>
    <x v="3197"/>
    <x v="2897"/>
    <x v="5"/>
    <x v="3166"/>
    <x v="3203"/>
    <x v="570"/>
    <x v="0"/>
    <x v="0"/>
    <x v="4"/>
    <x v="4"/>
    <x v="0"/>
    <x v="621"/>
    <x v="2"/>
    <x v="3"/>
    <x v="1"/>
    <x v="0"/>
    <x v="3258"/>
  </r>
  <r>
    <x v="0"/>
    <x v="1386"/>
    <x v="460"/>
    <x v="48"/>
    <x v="0"/>
    <x v="192"/>
    <x v="309"/>
    <x v="2954"/>
    <x v="17"/>
    <x v="1240"/>
    <x v="1900"/>
    <x v="2264"/>
    <x v="3202"/>
    <x v="3198"/>
    <x v="2898"/>
    <x v="0"/>
    <x v="3167"/>
    <x v="3204"/>
    <x v="550"/>
    <x v="0"/>
    <x v="0"/>
    <x v="4"/>
    <x v="239"/>
    <x v="12"/>
    <x v="675"/>
    <x v="10"/>
    <x v="3"/>
    <x v="586"/>
    <x v="0"/>
    <x v="3259"/>
  </r>
  <r>
    <x v="0"/>
    <x v="288"/>
    <x v="398"/>
    <x v="42"/>
    <x v="186"/>
    <x v="193"/>
    <x v="253"/>
    <x v="2955"/>
    <x v="125"/>
    <x v="474"/>
    <x v="758"/>
    <x v="2026"/>
    <x v="3203"/>
    <x v="3199"/>
    <x v="2899"/>
    <x v="1"/>
    <x v="3168"/>
    <x v="3205"/>
    <x v="591"/>
    <x v="0"/>
    <x v="0"/>
    <x v="4"/>
    <x v="255"/>
    <x v="21"/>
    <x v="455"/>
    <x v="9"/>
    <x v="3"/>
    <x v="1"/>
    <x v="0"/>
    <x v="3260"/>
  </r>
  <r>
    <x v="0"/>
    <x v="1387"/>
    <x v="421"/>
    <x v="50"/>
    <x v="134"/>
    <x v="50"/>
    <x v="41"/>
    <x v="4"/>
    <x v="28"/>
    <x v="563"/>
    <x v="1541"/>
    <x v="2265"/>
    <x v="3204"/>
    <x v="3200"/>
    <x v="2900"/>
    <x v="1"/>
    <x v="3169"/>
    <x v="3206"/>
    <x v="427"/>
    <x v="0"/>
    <x v="4"/>
    <x v="4"/>
    <x v="70"/>
    <x v="11"/>
    <x v="9"/>
    <x v="31"/>
    <x v="2"/>
    <x v="1"/>
    <x v="0"/>
    <x v="3261"/>
  </r>
  <r>
    <x v="0"/>
    <x v="682"/>
    <x v="335"/>
    <x v="85"/>
    <x v="171"/>
    <x v="124"/>
    <x v="413"/>
    <x v="2956"/>
    <x v="2"/>
    <x v="806"/>
    <x v="1901"/>
    <x v="153"/>
    <x v="3205"/>
    <x v="3201"/>
    <x v="2901"/>
    <x v="0"/>
    <x v="3170"/>
    <x v="3207"/>
    <x v="312"/>
    <x v="0"/>
    <x v="1"/>
    <x v="11"/>
    <x v="255"/>
    <x v="58"/>
    <x v="811"/>
    <x v="8"/>
    <x v="1"/>
    <x v="1"/>
    <x v="0"/>
    <x v="3262"/>
  </r>
  <r>
    <x v="0"/>
    <x v="1388"/>
    <x v="207"/>
    <x v="58"/>
    <x v="143"/>
    <x v="1"/>
    <x v="466"/>
    <x v="4"/>
    <x v="336"/>
    <x v="921"/>
    <x v="1067"/>
    <x v="2266"/>
    <x v="3206"/>
    <x v="3202"/>
    <x v="2902"/>
    <x v="6"/>
    <x v="3171"/>
    <x v="3208"/>
    <x v="818"/>
    <x v="0"/>
    <x v="1"/>
    <x v="4"/>
    <x v="70"/>
    <x v="11"/>
    <x v="30"/>
    <x v="19"/>
    <x v="2"/>
    <x v="103"/>
    <x v="0"/>
    <x v="3263"/>
  </r>
  <r>
    <x v="0"/>
    <x v="1010"/>
    <x v="206"/>
    <x v="46"/>
    <x v="0"/>
    <x v="552"/>
    <x v="241"/>
    <x v="2957"/>
    <x v="17"/>
    <x v="1220"/>
    <x v="1902"/>
    <x v="2267"/>
    <x v="3207"/>
    <x v="3203"/>
    <x v="2107"/>
    <x v="1"/>
    <x v="3172"/>
    <x v="3209"/>
    <x v="600"/>
    <x v="3"/>
    <x v="10"/>
    <x v="0"/>
    <x v="256"/>
    <x v="3"/>
    <x v="812"/>
    <x v="0"/>
    <x v="3"/>
    <x v="0"/>
    <x v="0"/>
    <x v="3264"/>
  </r>
  <r>
    <x v="0"/>
    <x v="1389"/>
    <x v="240"/>
    <x v="42"/>
    <x v="184"/>
    <x v="849"/>
    <x v="0"/>
    <x v="2958"/>
    <x v="381"/>
    <x v="561"/>
    <x v="1903"/>
    <x v="2268"/>
    <x v="3208"/>
    <x v="3204"/>
    <x v="2903"/>
    <x v="0"/>
    <x v="3173"/>
    <x v="3210"/>
    <x v="340"/>
    <x v="0"/>
    <x v="0"/>
    <x v="0"/>
    <x v="238"/>
    <x v="32"/>
    <x v="509"/>
    <x v="33"/>
    <x v="3"/>
    <x v="213"/>
    <x v="0"/>
    <x v="3265"/>
  </r>
  <r>
    <x v="0"/>
    <x v="1390"/>
    <x v="465"/>
    <x v="76"/>
    <x v="85"/>
    <x v="850"/>
    <x v="629"/>
    <x v="4"/>
    <x v="397"/>
    <x v="1241"/>
    <x v="1904"/>
    <x v="2269"/>
    <x v="3209"/>
    <x v="3205"/>
    <x v="1252"/>
    <x v="0"/>
    <x v="3174"/>
    <x v="3211"/>
    <x v="721"/>
    <x v="0"/>
    <x v="0"/>
    <x v="4"/>
    <x v="255"/>
    <x v="2"/>
    <x v="366"/>
    <x v="37"/>
    <x v="0"/>
    <x v="587"/>
    <x v="0"/>
    <x v="3266"/>
  </r>
  <r>
    <x v="0"/>
    <x v="1391"/>
    <x v="258"/>
    <x v="169"/>
    <x v="77"/>
    <x v="25"/>
    <x v="243"/>
    <x v="2959"/>
    <x v="100"/>
    <x v="446"/>
    <x v="1790"/>
    <x v="2270"/>
    <x v="3210"/>
    <x v="3206"/>
    <x v="2904"/>
    <x v="0"/>
    <x v="3175"/>
    <x v="3212"/>
    <x v="701"/>
    <x v="0"/>
    <x v="0"/>
    <x v="11"/>
    <x v="257"/>
    <x v="41"/>
    <x v="103"/>
    <x v="32"/>
    <x v="16"/>
    <x v="1"/>
    <x v="0"/>
    <x v="3267"/>
  </r>
  <r>
    <x v="0"/>
    <x v="1392"/>
    <x v="221"/>
    <x v="61"/>
    <x v="0"/>
    <x v="49"/>
    <x v="630"/>
    <x v="2960"/>
    <x v="724"/>
    <x v="1242"/>
    <x v="1677"/>
    <x v="2271"/>
    <x v="3211"/>
    <x v="3207"/>
    <x v="2905"/>
    <x v="1"/>
    <x v="3176"/>
    <x v="3213"/>
    <x v="658"/>
    <x v="6"/>
    <x v="13"/>
    <x v="4"/>
    <x v="4"/>
    <x v="7"/>
    <x v="777"/>
    <x v="32"/>
    <x v="1"/>
    <x v="1"/>
    <x v="0"/>
    <x v="3268"/>
  </r>
  <r>
    <x v="0"/>
    <x v="1393"/>
    <x v="219"/>
    <x v="78"/>
    <x v="0"/>
    <x v="257"/>
    <x v="631"/>
    <x v="4"/>
    <x v="725"/>
    <x v="1243"/>
    <x v="1905"/>
    <x v="2272"/>
    <x v="3212"/>
    <x v="3208"/>
    <x v="1711"/>
    <x v="0"/>
    <x v="3177"/>
    <x v="3214"/>
    <x v="568"/>
    <x v="0"/>
    <x v="4"/>
    <x v="4"/>
    <x v="258"/>
    <x v="37"/>
    <x v="813"/>
    <x v="10"/>
    <x v="15"/>
    <x v="1"/>
    <x v="0"/>
    <x v="3269"/>
  </r>
  <r>
    <x v="0"/>
    <x v="670"/>
    <x v="257"/>
    <x v="71"/>
    <x v="283"/>
    <x v="329"/>
    <x v="186"/>
    <x v="2961"/>
    <x v="145"/>
    <x v="1244"/>
    <x v="302"/>
    <x v="1194"/>
    <x v="3213"/>
    <x v="3209"/>
    <x v="2906"/>
    <x v="6"/>
    <x v="3178"/>
    <x v="3215"/>
    <x v="487"/>
    <x v="0"/>
    <x v="0"/>
    <x v="0"/>
    <x v="4"/>
    <x v="0"/>
    <x v="204"/>
    <x v="9"/>
    <x v="2"/>
    <x v="1"/>
    <x v="0"/>
    <x v="3270"/>
  </r>
  <r>
    <x v="0"/>
    <x v="454"/>
    <x v="392"/>
    <x v="27"/>
    <x v="69"/>
    <x v="1"/>
    <x v="20"/>
    <x v="2962"/>
    <x v="269"/>
    <x v="21"/>
    <x v="680"/>
    <x v="21"/>
    <x v="3214"/>
    <x v="3210"/>
    <x v="2907"/>
    <x v="3"/>
    <x v="3179"/>
    <x v="3216"/>
    <x v="244"/>
    <x v="0"/>
    <x v="1"/>
    <x v="4"/>
    <x v="224"/>
    <x v="16"/>
    <x v="30"/>
    <x v="7"/>
    <x v="1"/>
    <x v="1"/>
    <x v="0"/>
    <x v="3271"/>
  </r>
  <r>
    <x v="2"/>
    <x v="1289"/>
    <x v="422"/>
    <x v="50"/>
    <x v="171"/>
    <x v="262"/>
    <x v="327"/>
    <x v="4"/>
    <x v="355"/>
    <x v="582"/>
    <x v="1906"/>
    <x v="2273"/>
    <x v="3215"/>
    <x v="3211"/>
    <x v="2908"/>
    <x v="2"/>
    <x v="3180"/>
    <x v="3217"/>
    <x v="785"/>
    <x v="0"/>
    <x v="0"/>
    <x v="4"/>
    <x v="70"/>
    <x v="2"/>
    <x v="526"/>
    <x v="43"/>
    <x v="3"/>
    <x v="1"/>
    <x v="0"/>
    <x v="3272"/>
  </r>
  <r>
    <x v="0"/>
    <x v="1394"/>
    <x v="438"/>
    <x v="78"/>
    <x v="135"/>
    <x v="498"/>
    <x v="395"/>
    <x v="2963"/>
    <x v="726"/>
    <x v="1245"/>
    <x v="1907"/>
    <x v="2274"/>
    <x v="3216"/>
    <x v="3212"/>
    <x v="2909"/>
    <x v="0"/>
    <x v="3181"/>
    <x v="3218"/>
    <x v="170"/>
    <x v="0"/>
    <x v="16"/>
    <x v="1"/>
    <x v="259"/>
    <x v="5"/>
    <x v="11"/>
    <x v="19"/>
    <x v="2"/>
    <x v="1"/>
    <x v="0"/>
    <x v="3273"/>
  </r>
  <r>
    <x v="0"/>
    <x v="1165"/>
    <x v="515"/>
    <x v="29"/>
    <x v="196"/>
    <x v="107"/>
    <x v="14"/>
    <x v="2964"/>
    <x v="142"/>
    <x v="788"/>
    <x v="489"/>
    <x v="1370"/>
    <x v="3217"/>
    <x v="3213"/>
    <x v="2910"/>
    <x v="1"/>
    <x v="3182"/>
    <x v="3219"/>
    <x v="908"/>
    <x v="0"/>
    <x v="23"/>
    <x v="4"/>
    <x v="260"/>
    <x v="10"/>
    <x v="9"/>
    <x v="1"/>
    <x v="1"/>
    <x v="225"/>
    <x v="0"/>
    <x v="3274"/>
  </r>
  <r>
    <x v="0"/>
    <x v="1395"/>
    <x v="390"/>
    <x v="80"/>
    <x v="73"/>
    <x v="292"/>
    <x v="166"/>
    <x v="4"/>
    <x v="727"/>
    <x v="1246"/>
    <x v="1908"/>
    <x v="2275"/>
    <x v="3218"/>
    <x v="3214"/>
    <x v="2911"/>
    <x v="0"/>
    <x v="3183"/>
    <x v="3220"/>
    <x v="670"/>
    <x v="0"/>
    <x v="5"/>
    <x v="2"/>
    <x v="231"/>
    <x v="10"/>
    <x v="800"/>
    <x v="7"/>
    <x v="1"/>
    <x v="7"/>
    <x v="0"/>
    <x v="3275"/>
  </r>
  <r>
    <x v="0"/>
    <x v="1396"/>
    <x v="401"/>
    <x v="53"/>
    <x v="366"/>
    <x v="1"/>
    <x v="94"/>
    <x v="2965"/>
    <x v="17"/>
    <x v="1173"/>
    <x v="1909"/>
    <x v="2276"/>
    <x v="3219"/>
    <x v="3215"/>
    <x v="2912"/>
    <x v="2"/>
    <x v="3184"/>
    <x v="3221"/>
    <x v="634"/>
    <x v="8"/>
    <x v="16"/>
    <x v="9"/>
    <x v="261"/>
    <x v="3"/>
    <x v="13"/>
    <x v="8"/>
    <x v="1"/>
    <x v="85"/>
    <x v="0"/>
    <x v="3276"/>
  </r>
  <r>
    <x v="0"/>
    <x v="18"/>
    <x v="6"/>
    <x v="38"/>
    <x v="0"/>
    <x v="851"/>
    <x v="0"/>
    <x v="2678"/>
    <x v="577"/>
    <x v="561"/>
    <x v="1077"/>
    <x v="2277"/>
    <x v="3220"/>
    <x v="3216"/>
    <x v="2913"/>
    <x v="0"/>
    <x v="3185"/>
    <x v="3222"/>
    <x v="909"/>
    <x v="0"/>
    <x v="1"/>
    <x v="4"/>
    <x v="190"/>
    <x v="28"/>
    <x v="26"/>
    <x v="3"/>
    <x v="1"/>
    <x v="33"/>
    <x v="0"/>
    <x v="3277"/>
  </r>
  <r>
    <x v="0"/>
    <x v="624"/>
    <x v="403"/>
    <x v="76"/>
    <x v="15"/>
    <x v="491"/>
    <x v="82"/>
    <x v="2966"/>
    <x v="381"/>
    <x v="858"/>
    <x v="1910"/>
    <x v="2278"/>
    <x v="3221"/>
    <x v="3217"/>
    <x v="2914"/>
    <x v="0"/>
    <x v="3186"/>
    <x v="3223"/>
    <x v="910"/>
    <x v="0"/>
    <x v="0"/>
    <x v="4"/>
    <x v="262"/>
    <x v="55"/>
    <x v="641"/>
    <x v="7"/>
    <x v="3"/>
    <x v="1"/>
    <x v="0"/>
    <x v="3278"/>
  </r>
  <r>
    <x v="0"/>
    <x v="1397"/>
    <x v="415"/>
    <x v="11"/>
    <x v="59"/>
    <x v="178"/>
    <x v="30"/>
    <x v="2967"/>
    <x v="316"/>
    <x v="224"/>
    <x v="1911"/>
    <x v="2279"/>
    <x v="3222"/>
    <x v="3218"/>
    <x v="2915"/>
    <x v="4"/>
    <x v="3187"/>
    <x v="3224"/>
    <x v="756"/>
    <x v="0"/>
    <x v="0"/>
    <x v="4"/>
    <x v="70"/>
    <x v="5"/>
    <x v="508"/>
    <x v="4"/>
    <x v="1"/>
    <x v="1"/>
    <x v="0"/>
    <x v="3279"/>
  </r>
  <r>
    <x v="0"/>
    <x v="596"/>
    <x v="240"/>
    <x v="170"/>
    <x v="152"/>
    <x v="636"/>
    <x v="614"/>
    <x v="2968"/>
    <x v="646"/>
    <x v="1247"/>
    <x v="1912"/>
    <x v="2280"/>
    <x v="3223"/>
    <x v="3219"/>
    <x v="2887"/>
    <x v="0"/>
    <x v="3188"/>
    <x v="3225"/>
    <x v="549"/>
    <x v="0"/>
    <x v="0"/>
    <x v="3"/>
    <x v="195"/>
    <x v="49"/>
    <x v="596"/>
    <x v="25"/>
    <x v="1"/>
    <x v="1"/>
    <x v="0"/>
    <x v="3280"/>
  </r>
  <r>
    <x v="0"/>
    <x v="494"/>
    <x v="309"/>
    <x v="29"/>
    <x v="170"/>
    <x v="491"/>
    <x v="356"/>
    <x v="2969"/>
    <x v="2"/>
    <x v="643"/>
    <x v="1913"/>
    <x v="735"/>
    <x v="3224"/>
    <x v="3220"/>
    <x v="2296"/>
    <x v="1"/>
    <x v="3189"/>
    <x v="3226"/>
    <x v="458"/>
    <x v="0"/>
    <x v="1"/>
    <x v="11"/>
    <x v="195"/>
    <x v="52"/>
    <x v="581"/>
    <x v="15"/>
    <x v="1"/>
    <x v="1"/>
    <x v="0"/>
    <x v="3281"/>
  </r>
  <r>
    <x v="0"/>
    <x v="570"/>
    <x v="389"/>
    <x v="41"/>
    <x v="58"/>
    <x v="257"/>
    <x v="21"/>
    <x v="4"/>
    <x v="658"/>
    <x v="162"/>
    <x v="1914"/>
    <x v="2281"/>
    <x v="3225"/>
    <x v="3221"/>
    <x v="2916"/>
    <x v="4"/>
    <x v="3190"/>
    <x v="3227"/>
    <x v="758"/>
    <x v="0"/>
    <x v="0"/>
    <x v="4"/>
    <x v="70"/>
    <x v="10"/>
    <x v="286"/>
    <x v="27"/>
    <x v="1"/>
    <x v="1"/>
    <x v="0"/>
    <x v="3282"/>
  </r>
  <r>
    <x v="0"/>
    <x v="1398"/>
    <x v="225"/>
    <x v="47"/>
    <x v="367"/>
    <x v="403"/>
    <x v="387"/>
    <x v="4"/>
    <x v="105"/>
    <x v="1248"/>
    <x v="1915"/>
    <x v="2282"/>
    <x v="3226"/>
    <x v="3222"/>
    <x v="391"/>
    <x v="12"/>
    <x v="3191"/>
    <x v="3228"/>
    <x v="654"/>
    <x v="17"/>
    <x v="20"/>
    <x v="1"/>
    <x v="4"/>
    <x v="5"/>
    <x v="814"/>
    <x v="11"/>
    <x v="1"/>
    <x v="1"/>
    <x v="0"/>
    <x v="3283"/>
  </r>
  <r>
    <x v="0"/>
    <x v="273"/>
    <x v="207"/>
    <x v="32"/>
    <x v="70"/>
    <x v="612"/>
    <x v="44"/>
    <x v="2970"/>
    <x v="400"/>
    <x v="68"/>
    <x v="102"/>
    <x v="1895"/>
    <x v="3227"/>
    <x v="3223"/>
    <x v="2917"/>
    <x v="2"/>
    <x v="3192"/>
    <x v="3229"/>
    <x v="640"/>
    <x v="0"/>
    <x v="0"/>
    <x v="4"/>
    <x v="195"/>
    <x v="25"/>
    <x v="72"/>
    <x v="2"/>
    <x v="1"/>
    <x v="1"/>
    <x v="0"/>
    <x v="3284"/>
  </r>
  <r>
    <x v="0"/>
    <x v="579"/>
    <x v="424"/>
    <x v="60"/>
    <x v="170"/>
    <x v="852"/>
    <x v="0"/>
    <x v="2971"/>
    <x v="200"/>
    <x v="255"/>
    <x v="681"/>
    <x v="2283"/>
    <x v="3228"/>
    <x v="3224"/>
    <x v="2918"/>
    <x v="5"/>
    <x v="3193"/>
    <x v="3230"/>
    <x v="167"/>
    <x v="0"/>
    <x v="0"/>
    <x v="4"/>
    <x v="195"/>
    <x v="15"/>
    <x v="144"/>
    <x v="10"/>
    <x v="3"/>
    <x v="1"/>
    <x v="0"/>
    <x v="3285"/>
  </r>
  <r>
    <x v="0"/>
    <x v="1174"/>
    <x v="273"/>
    <x v="101"/>
    <x v="256"/>
    <x v="266"/>
    <x v="632"/>
    <x v="2972"/>
    <x v="471"/>
    <x v="1249"/>
    <x v="1916"/>
    <x v="2284"/>
    <x v="3229"/>
    <x v="3225"/>
    <x v="2322"/>
    <x v="0"/>
    <x v="3194"/>
    <x v="3231"/>
    <x v="481"/>
    <x v="0"/>
    <x v="0"/>
    <x v="4"/>
    <x v="195"/>
    <x v="32"/>
    <x v="581"/>
    <x v="12"/>
    <x v="3"/>
    <x v="1"/>
    <x v="0"/>
    <x v="3286"/>
  </r>
  <r>
    <x v="0"/>
    <x v="942"/>
    <x v="205"/>
    <x v="32"/>
    <x v="325"/>
    <x v="127"/>
    <x v="474"/>
    <x v="2973"/>
    <x v="226"/>
    <x v="1250"/>
    <x v="1917"/>
    <x v="2285"/>
    <x v="3230"/>
    <x v="3226"/>
    <x v="2919"/>
    <x v="1"/>
    <x v="3195"/>
    <x v="3232"/>
    <x v="601"/>
    <x v="0"/>
    <x v="0"/>
    <x v="0"/>
    <x v="195"/>
    <x v="1"/>
    <x v="739"/>
    <x v="25"/>
    <x v="3"/>
    <x v="1"/>
    <x v="0"/>
    <x v="3287"/>
  </r>
  <r>
    <x v="0"/>
    <x v="1304"/>
    <x v="456"/>
    <x v="33"/>
    <x v="169"/>
    <x v="853"/>
    <x v="35"/>
    <x v="2974"/>
    <x v="179"/>
    <x v="1251"/>
    <x v="1623"/>
    <x v="2286"/>
    <x v="3231"/>
    <x v="3227"/>
    <x v="2920"/>
    <x v="0"/>
    <x v="3196"/>
    <x v="3233"/>
    <x v="412"/>
    <x v="0"/>
    <x v="0"/>
    <x v="4"/>
    <x v="195"/>
    <x v="11"/>
    <x v="251"/>
    <x v="12"/>
    <x v="1"/>
    <x v="61"/>
    <x v="0"/>
    <x v="3288"/>
  </r>
  <r>
    <x v="0"/>
    <x v="1399"/>
    <x v="272"/>
    <x v="43"/>
    <x v="0"/>
    <x v="373"/>
    <x v="22"/>
    <x v="2975"/>
    <x v="105"/>
    <x v="169"/>
    <x v="1918"/>
    <x v="1501"/>
    <x v="3232"/>
    <x v="3228"/>
    <x v="2921"/>
    <x v="1"/>
    <x v="3197"/>
    <x v="3234"/>
    <x v="86"/>
    <x v="0"/>
    <x v="0"/>
    <x v="0"/>
    <x v="195"/>
    <x v="21"/>
    <x v="500"/>
    <x v="41"/>
    <x v="3"/>
    <x v="588"/>
    <x v="0"/>
    <x v="3289"/>
  </r>
  <r>
    <x v="0"/>
    <x v="1187"/>
    <x v="322"/>
    <x v="76"/>
    <x v="193"/>
    <x v="763"/>
    <x v="63"/>
    <x v="2976"/>
    <x v="311"/>
    <x v="550"/>
    <x v="51"/>
    <x v="1624"/>
    <x v="3233"/>
    <x v="3229"/>
    <x v="2922"/>
    <x v="4"/>
    <x v="3198"/>
    <x v="3235"/>
    <x v="271"/>
    <x v="0"/>
    <x v="0"/>
    <x v="4"/>
    <x v="195"/>
    <x v="14"/>
    <x v="40"/>
    <x v="1"/>
    <x v="3"/>
    <x v="1"/>
    <x v="0"/>
    <x v="3290"/>
  </r>
  <r>
    <x v="0"/>
    <x v="381"/>
    <x v="243"/>
    <x v="51"/>
    <x v="19"/>
    <x v="133"/>
    <x v="25"/>
    <x v="2977"/>
    <x v="306"/>
    <x v="30"/>
    <x v="117"/>
    <x v="1893"/>
    <x v="3234"/>
    <x v="3230"/>
    <x v="2923"/>
    <x v="0"/>
    <x v="3199"/>
    <x v="3236"/>
    <x v="406"/>
    <x v="0"/>
    <x v="0"/>
    <x v="4"/>
    <x v="78"/>
    <x v="21"/>
    <x v="10"/>
    <x v="15"/>
    <x v="3"/>
    <x v="103"/>
    <x v="0"/>
    <x v="3291"/>
  </r>
  <r>
    <x v="0"/>
    <x v="1400"/>
    <x v="125"/>
    <x v="60"/>
    <x v="263"/>
    <x v="514"/>
    <x v="21"/>
    <x v="2978"/>
    <x v="168"/>
    <x v="127"/>
    <x v="832"/>
    <x v="773"/>
    <x v="3235"/>
    <x v="3231"/>
    <x v="2924"/>
    <x v="3"/>
    <x v="3200"/>
    <x v="3237"/>
    <x v="516"/>
    <x v="0"/>
    <x v="0"/>
    <x v="4"/>
    <x v="83"/>
    <x v="21"/>
    <x v="117"/>
    <x v="15"/>
    <x v="3"/>
    <x v="1"/>
    <x v="0"/>
    <x v="3292"/>
  </r>
  <r>
    <x v="0"/>
    <x v="459"/>
    <x v="184"/>
    <x v="38"/>
    <x v="243"/>
    <x v="726"/>
    <x v="633"/>
    <x v="2979"/>
    <x v="125"/>
    <x v="1252"/>
    <x v="1919"/>
    <x v="2287"/>
    <x v="3236"/>
    <x v="3232"/>
    <x v="2925"/>
    <x v="4"/>
    <x v="3201"/>
    <x v="3238"/>
    <x v="757"/>
    <x v="0"/>
    <x v="0"/>
    <x v="4"/>
    <x v="4"/>
    <x v="45"/>
    <x v="197"/>
    <x v="7"/>
    <x v="3"/>
    <x v="1"/>
    <x v="0"/>
    <x v="3293"/>
  </r>
  <r>
    <x v="0"/>
    <x v="953"/>
    <x v="72"/>
    <x v="50"/>
    <x v="184"/>
    <x v="132"/>
    <x v="287"/>
    <x v="2980"/>
    <x v="429"/>
    <x v="525"/>
    <x v="1920"/>
    <x v="1209"/>
    <x v="3237"/>
    <x v="3233"/>
    <x v="2926"/>
    <x v="0"/>
    <x v="3202"/>
    <x v="3239"/>
    <x v="341"/>
    <x v="0"/>
    <x v="0"/>
    <x v="4"/>
    <x v="195"/>
    <x v="7"/>
    <x v="815"/>
    <x v="33"/>
    <x v="1"/>
    <x v="1"/>
    <x v="0"/>
    <x v="3294"/>
  </r>
  <r>
    <x v="0"/>
    <x v="1401"/>
    <x v="347"/>
    <x v="79"/>
    <x v="216"/>
    <x v="590"/>
    <x v="528"/>
    <x v="2981"/>
    <x v="127"/>
    <x v="993"/>
    <x v="1921"/>
    <x v="2288"/>
    <x v="3238"/>
    <x v="3234"/>
    <x v="2927"/>
    <x v="1"/>
    <x v="3203"/>
    <x v="3240"/>
    <x v="721"/>
    <x v="0"/>
    <x v="0"/>
    <x v="0"/>
    <x v="4"/>
    <x v="14"/>
    <x v="38"/>
    <x v="34"/>
    <x v="1"/>
    <x v="136"/>
    <x v="0"/>
    <x v="3295"/>
  </r>
  <r>
    <x v="0"/>
    <x v="85"/>
    <x v="303"/>
    <x v="64"/>
    <x v="0"/>
    <x v="352"/>
    <x v="106"/>
    <x v="2982"/>
    <x v="728"/>
    <x v="594"/>
    <x v="263"/>
    <x v="2289"/>
    <x v="3239"/>
    <x v="3235"/>
    <x v="2266"/>
    <x v="1"/>
    <x v="3204"/>
    <x v="3241"/>
    <x v="586"/>
    <x v="0"/>
    <x v="1"/>
    <x v="0"/>
    <x v="195"/>
    <x v="30"/>
    <x v="177"/>
    <x v="16"/>
    <x v="3"/>
    <x v="1"/>
    <x v="0"/>
    <x v="3296"/>
  </r>
  <r>
    <x v="0"/>
    <x v="1402"/>
    <x v="275"/>
    <x v="37"/>
    <x v="50"/>
    <x v="542"/>
    <x v="13"/>
    <x v="2983"/>
    <x v="200"/>
    <x v="93"/>
    <x v="766"/>
    <x v="2290"/>
    <x v="3240"/>
    <x v="3236"/>
    <x v="2928"/>
    <x v="0"/>
    <x v="3205"/>
    <x v="3242"/>
    <x v="405"/>
    <x v="0"/>
    <x v="0"/>
    <x v="4"/>
    <x v="4"/>
    <x v="1"/>
    <x v="140"/>
    <x v="13"/>
    <x v="3"/>
    <x v="1"/>
    <x v="0"/>
    <x v="3297"/>
  </r>
  <r>
    <x v="0"/>
    <x v="1403"/>
    <x v="424"/>
    <x v="93"/>
    <x v="184"/>
    <x v="218"/>
    <x v="106"/>
    <x v="2984"/>
    <x v="127"/>
    <x v="821"/>
    <x v="439"/>
    <x v="2291"/>
    <x v="3241"/>
    <x v="3237"/>
    <x v="2048"/>
    <x v="3"/>
    <x v="3206"/>
    <x v="3243"/>
    <x v="540"/>
    <x v="0"/>
    <x v="0"/>
    <x v="2"/>
    <x v="4"/>
    <x v="17"/>
    <x v="215"/>
    <x v="30"/>
    <x v="3"/>
    <x v="446"/>
    <x v="0"/>
    <x v="3298"/>
  </r>
  <r>
    <x v="0"/>
    <x v="89"/>
    <x v="338"/>
    <x v="73"/>
    <x v="10"/>
    <x v="632"/>
    <x v="631"/>
    <x v="2985"/>
    <x v="28"/>
    <x v="1253"/>
    <x v="1922"/>
    <x v="2292"/>
    <x v="3242"/>
    <x v="3238"/>
    <x v="2929"/>
    <x v="2"/>
    <x v="3207"/>
    <x v="3244"/>
    <x v="688"/>
    <x v="0"/>
    <x v="0"/>
    <x v="4"/>
    <x v="231"/>
    <x v="21"/>
    <x v="816"/>
    <x v="10"/>
    <x v="3"/>
    <x v="103"/>
    <x v="0"/>
    <x v="3299"/>
  </r>
  <r>
    <x v="0"/>
    <x v="527"/>
    <x v="243"/>
    <x v="77"/>
    <x v="80"/>
    <x v="264"/>
    <x v="0"/>
    <x v="2986"/>
    <x v="200"/>
    <x v="1028"/>
    <x v="1923"/>
    <x v="2085"/>
    <x v="3243"/>
    <x v="3239"/>
    <x v="2930"/>
    <x v="1"/>
    <x v="3208"/>
    <x v="3245"/>
    <x v="102"/>
    <x v="0"/>
    <x v="0"/>
    <x v="4"/>
    <x v="195"/>
    <x v="19"/>
    <x v="162"/>
    <x v="15"/>
    <x v="1"/>
    <x v="589"/>
    <x v="0"/>
    <x v="3300"/>
  </r>
  <r>
    <x v="0"/>
    <x v="1404"/>
    <x v="464"/>
    <x v="139"/>
    <x v="330"/>
    <x v="619"/>
    <x v="41"/>
    <x v="2987"/>
    <x v="125"/>
    <x v="211"/>
    <x v="892"/>
    <x v="2293"/>
    <x v="3244"/>
    <x v="3240"/>
    <x v="2931"/>
    <x v="3"/>
    <x v="3209"/>
    <x v="3246"/>
    <x v="802"/>
    <x v="0"/>
    <x v="0"/>
    <x v="0"/>
    <x v="83"/>
    <x v="24"/>
    <x v="513"/>
    <x v="12"/>
    <x v="3"/>
    <x v="1"/>
    <x v="0"/>
    <x v="3301"/>
  </r>
  <r>
    <x v="0"/>
    <x v="947"/>
    <x v="303"/>
    <x v="37"/>
    <x v="85"/>
    <x v="598"/>
    <x v="197"/>
    <x v="2988"/>
    <x v="660"/>
    <x v="451"/>
    <x v="1924"/>
    <x v="753"/>
    <x v="3245"/>
    <x v="3241"/>
    <x v="2932"/>
    <x v="4"/>
    <x v="3210"/>
    <x v="3247"/>
    <x v="671"/>
    <x v="0"/>
    <x v="0"/>
    <x v="2"/>
    <x v="4"/>
    <x v="7"/>
    <x v="210"/>
    <x v="38"/>
    <x v="3"/>
    <x v="1"/>
    <x v="0"/>
    <x v="3302"/>
  </r>
  <r>
    <x v="0"/>
    <x v="113"/>
    <x v="93"/>
    <x v="119"/>
    <x v="88"/>
    <x v="36"/>
    <x v="169"/>
    <x v="4"/>
    <x v="17"/>
    <x v="1254"/>
    <x v="1925"/>
    <x v="2294"/>
    <x v="3246"/>
    <x v="3242"/>
    <x v="2933"/>
    <x v="0"/>
    <x v="3211"/>
    <x v="3248"/>
    <x v="487"/>
    <x v="0"/>
    <x v="0"/>
    <x v="5"/>
    <x v="4"/>
    <x v="4"/>
    <x v="749"/>
    <x v="58"/>
    <x v="0"/>
    <x v="224"/>
    <x v="0"/>
    <x v="3303"/>
  </r>
  <r>
    <x v="0"/>
    <x v="1405"/>
    <x v="438"/>
    <x v="43"/>
    <x v="69"/>
    <x v="186"/>
    <x v="0"/>
    <x v="4"/>
    <x v="329"/>
    <x v="327"/>
    <x v="1926"/>
    <x v="2295"/>
    <x v="3247"/>
    <x v="3243"/>
    <x v="2934"/>
    <x v="2"/>
    <x v="3212"/>
    <x v="3249"/>
    <x v="388"/>
    <x v="0"/>
    <x v="0"/>
    <x v="2"/>
    <x v="195"/>
    <x v="31"/>
    <x v="95"/>
    <x v="20"/>
    <x v="3"/>
    <x v="1"/>
    <x v="0"/>
    <x v="3304"/>
  </r>
  <r>
    <x v="0"/>
    <x v="1180"/>
    <x v="409"/>
    <x v="54"/>
    <x v="255"/>
    <x v="546"/>
    <x v="634"/>
    <x v="2989"/>
    <x v="122"/>
    <x v="520"/>
    <x v="1927"/>
    <x v="2296"/>
    <x v="3248"/>
    <x v="3244"/>
    <x v="2935"/>
    <x v="1"/>
    <x v="3213"/>
    <x v="3250"/>
    <x v="788"/>
    <x v="0"/>
    <x v="0"/>
    <x v="0"/>
    <x v="195"/>
    <x v="1"/>
    <x v="805"/>
    <x v="5"/>
    <x v="1"/>
    <x v="590"/>
    <x v="0"/>
    <x v="3305"/>
  </r>
  <r>
    <x v="0"/>
    <x v="1000"/>
    <x v="388"/>
    <x v="33"/>
    <x v="47"/>
    <x v="802"/>
    <x v="140"/>
    <x v="2990"/>
    <x v="105"/>
    <x v="852"/>
    <x v="1928"/>
    <x v="2095"/>
    <x v="3249"/>
    <x v="3245"/>
    <x v="1728"/>
    <x v="3"/>
    <x v="3214"/>
    <x v="3251"/>
    <x v="377"/>
    <x v="0"/>
    <x v="0"/>
    <x v="4"/>
    <x v="195"/>
    <x v="12"/>
    <x v="381"/>
    <x v="20"/>
    <x v="1"/>
    <x v="355"/>
    <x v="0"/>
    <x v="3306"/>
  </r>
  <r>
    <x v="0"/>
    <x v="922"/>
    <x v="309"/>
    <x v="80"/>
    <x v="129"/>
    <x v="739"/>
    <x v="0"/>
    <x v="2991"/>
    <x v="430"/>
    <x v="250"/>
    <x v="515"/>
    <x v="1514"/>
    <x v="3250"/>
    <x v="3246"/>
    <x v="2936"/>
    <x v="1"/>
    <x v="3215"/>
    <x v="3252"/>
    <x v="758"/>
    <x v="0"/>
    <x v="0"/>
    <x v="4"/>
    <x v="195"/>
    <x v="8"/>
    <x v="30"/>
    <x v="21"/>
    <x v="3"/>
    <x v="103"/>
    <x v="0"/>
    <x v="3307"/>
  </r>
  <r>
    <x v="0"/>
    <x v="960"/>
    <x v="280"/>
    <x v="23"/>
    <x v="215"/>
    <x v="515"/>
    <x v="29"/>
    <x v="2992"/>
    <x v="419"/>
    <x v="34"/>
    <x v="1090"/>
    <x v="2297"/>
    <x v="3251"/>
    <x v="3247"/>
    <x v="2937"/>
    <x v="3"/>
    <x v="3216"/>
    <x v="3253"/>
    <x v="888"/>
    <x v="0"/>
    <x v="1"/>
    <x v="4"/>
    <x v="4"/>
    <x v="20"/>
    <x v="591"/>
    <x v="15"/>
    <x v="3"/>
    <x v="1"/>
    <x v="0"/>
    <x v="3308"/>
  </r>
  <r>
    <x v="0"/>
    <x v="1406"/>
    <x v="379"/>
    <x v="6"/>
    <x v="171"/>
    <x v="298"/>
    <x v="424"/>
    <x v="2993"/>
    <x v="208"/>
    <x v="1255"/>
    <x v="1929"/>
    <x v="2298"/>
    <x v="3252"/>
    <x v="3248"/>
    <x v="1446"/>
    <x v="0"/>
    <x v="3217"/>
    <x v="3254"/>
    <x v="343"/>
    <x v="24"/>
    <x v="18"/>
    <x v="9"/>
    <x v="4"/>
    <x v="6"/>
    <x v="624"/>
    <x v="16"/>
    <x v="1"/>
    <x v="1"/>
    <x v="0"/>
    <x v="3309"/>
  </r>
  <r>
    <x v="0"/>
    <x v="998"/>
    <x v="334"/>
    <x v="95"/>
    <x v="172"/>
    <x v="13"/>
    <x v="35"/>
    <x v="2994"/>
    <x v="305"/>
    <x v="288"/>
    <x v="1930"/>
    <x v="2299"/>
    <x v="3253"/>
    <x v="3249"/>
    <x v="2938"/>
    <x v="0"/>
    <x v="3218"/>
    <x v="3255"/>
    <x v="732"/>
    <x v="0"/>
    <x v="0"/>
    <x v="2"/>
    <x v="195"/>
    <x v="10"/>
    <x v="817"/>
    <x v="28"/>
    <x v="3"/>
    <x v="1"/>
    <x v="0"/>
    <x v="3310"/>
  </r>
  <r>
    <x v="0"/>
    <x v="1407"/>
    <x v="308"/>
    <x v="171"/>
    <x v="85"/>
    <x v="423"/>
    <x v="635"/>
    <x v="2995"/>
    <x v="77"/>
    <x v="1256"/>
    <x v="1931"/>
    <x v="2300"/>
    <x v="3254"/>
    <x v="3250"/>
    <x v="2939"/>
    <x v="3"/>
    <x v="3219"/>
    <x v="3256"/>
    <x v="637"/>
    <x v="25"/>
    <x v="41"/>
    <x v="4"/>
    <x v="263"/>
    <x v="18"/>
    <x v="794"/>
    <x v="4"/>
    <x v="3"/>
    <x v="401"/>
    <x v="0"/>
    <x v="3311"/>
  </r>
  <r>
    <x v="0"/>
    <x v="1408"/>
    <x v="352"/>
    <x v="60"/>
    <x v="368"/>
    <x v="103"/>
    <x v="63"/>
    <x v="2996"/>
    <x v="429"/>
    <x v="848"/>
    <x v="1932"/>
    <x v="2301"/>
    <x v="3255"/>
    <x v="3251"/>
    <x v="2940"/>
    <x v="1"/>
    <x v="3220"/>
    <x v="3257"/>
    <x v="727"/>
    <x v="0"/>
    <x v="20"/>
    <x v="4"/>
    <x v="195"/>
    <x v="22"/>
    <x v="201"/>
    <x v="9"/>
    <x v="3"/>
    <x v="591"/>
    <x v="0"/>
    <x v="3312"/>
  </r>
  <r>
    <x v="0"/>
    <x v="1409"/>
    <x v="479"/>
    <x v="42"/>
    <x v="0"/>
    <x v="531"/>
    <x v="636"/>
    <x v="4"/>
    <x v="125"/>
    <x v="1257"/>
    <x v="1933"/>
    <x v="2302"/>
    <x v="3256"/>
    <x v="3252"/>
    <x v="677"/>
    <x v="1"/>
    <x v="4"/>
    <x v="3258"/>
    <x v="326"/>
    <x v="3"/>
    <x v="10"/>
    <x v="1"/>
    <x v="4"/>
    <x v="11"/>
    <x v="711"/>
    <x v="9"/>
    <x v="1"/>
    <x v="358"/>
    <x v="0"/>
    <x v="3313"/>
  </r>
  <r>
    <x v="0"/>
    <x v="954"/>
    <x v="225"/>
    <x v="61"/>
    <x v="86"/>
    <x v="401"/>
    <x v="563"/>
    <x v="2997"/>
    <x v="270"/>
    <x v="1080"/>
    <x v="1668"/>
    <x v="2303"/>
    <x v="3257"/>
    <x v="3253"/>
    <x v="2941"/>
    <x v="0"/>
    <x v="3221"/>
    <x v="3259"/>
    <x v="447"/>
    <x v="0"/>
    <x v="1"/>
    <x v="4"/>
    <x v="195"/>
    <x v="19"/>
    <x v="462"/>
    <x v="32"/>
    <x v="3"/>
    <x v="305"/>
    <x v="0"/>
    <x v="3314"/>
  </r>
  <r>
    <x v="0"/>
    <x v="1410"/>
    <x v="396"/>
    <x v="55"/>
    <x v="221"/>
    <x v="441"/>
    <x v="637"/>
    <x v="2998"/>
    <x v="270"/>
    <x v="1258"/>
    <x v="799"/>
    <x v="2304"/>
    <x v="3258"/>
    <x v="3254"/>
    <x v="2942"/>
    <x v="3"/>
    <x v="3222"/>
    <x v="3260"/>
    <x v="792"/>
    <x v="0"/>
    <x v="0"/>
    <x v="2"/>
    <x v="195"/>
    <x v="0"/>
    <x v="170"/>
    <x v="5"/>
    <x v="1"/>
    <x v="1"/>
    <x v="0"/>
    <x v="3315"/>
  </r>
  <r>
    <x v="0"/>
    <x v="1135"/>
    <x v="431"/>
    <x v="107"/>
    <x v="31"/>
    <x v="325"/>
    <x v="638"/>
    <x v="2999"/>
    <x v="463"/>
    <x v="1259"/>
    <x v="1934"/>
    <x v="2305"/>
    <x v="3259"/>
    <x v="3255"/>
    <x v="2943"/>
    <x v="0"/>
    <x v="3223"/>
    <x v="3261"/>
    <x v="843"/>
    <x v="0"/>
    <x v="5"/>
    <x v="2"/>
    <x v="264"/>
    <x v="7"/>
    <x v="397"/>
    <x v="4"/>
    <x v="3"/>
    <x v="534"/>
    <x v="0"/>
    <x v="3316"/>
  </r>
  <r>
    <x v="0"/>
    <x v="634"/>
    <x v="402"/>
    <x v="41"/>
    <x v="193"/>
    <x v="83"/>
    <x v="13"/>
    <x v="4"/>
    <x v="23"/>
    <x v="158"/>
    <x v="286"/>
    <x v="871"/>
    <x v="1449"/>
    <x v="3256"/>
    <x v="1407"/>
    <x v="1"/>
    <x v="1439"/>
    <x v="1449"/>
    <x v="448"/>
    <x v="0"/>
    <x v="0"/>
    <x v="4"/>
    <x v="166"/>
    <x v="2"/>
    <x v="30"/>
    <x v="9"/>
    <x v="1"/>
    <x v="1"/>
    <x v="0"/>
    <x v="3317"/>
  </r>
  <r>
    <x v="0"/>
    <x v="1411"/>
    <x v="227"/>
    <x v="117"/>
    <x v="52"/>
    <x v="342"/>
    <x v="639"/>
    <x v="3000"/>
    <x v="175"/>
    <x v="1260"/>
    <x v="1935"/>
    <x v="465"/>
    <x v="3260"/>
    <x v="3257"/>
    <x v="2944"/>
    <x v="1"/>
    <x v="3224"/>
    <x v="3262"/>
    <x v="704"/>
    <x v="31"/>
    <x v="23"/>
    <x v="9"/>
    <x v="91"/>
    <x v="8"/>
    <x v="818"/>
    <x v="11"/>
    <x v="1"/>
    <x v="1"/>
    <x v="0"/>
    <x v="3318"/>
  </r>
  <r>
    <x v="0"/>
    <x v="1412"/>
    <x v="438"/>
    <x v="55"/>
    <x v="0"/>
    <x v="444"/>
    <x v="263"/>
    <x v="3001"/>
    <x v="434"/>
    <x v="478"/>
    <x v="1936"/>
    <x v="2306"/>
    <x v="3261"/>
    <x v="3258"/>
    <x v="2945"/>
    <x v="2"/>
    <x v="3225"/>
    <x v="3263"/>
    <x v="727"/>
    <x v="0"/>
    <x v="8"/>
    <x v="0"/>
    <x v="195"/>
    <x v="12"/>
    <x v="652"/>
    <x v="39"/>
    <x v="1"/>
    <x v="592"/>
    <x v="0"/>
    <x v="3319"/>
  </r>
  <r>
    <x v="0"/>
    <x v="1049"/>
    <x v="74"/>
    <x v="58"/>
    <x v="31"/>
    <x v="632"/>
    <x v="14"/>
    <x v="4"/>
    <x v="171"/>
    <x v="490"/>
    <x v="1340"/>
    <x v="2307"/>
    <x v="3262"/>
    <x v="3259"/>
    <x v="2946"/>
    <x v="0"/>
    <x v="3226"/>
    <x v="3264"/>
    <x v="704"/>
    <x v="0"/>
    <x v="1"/>
    <x v="9"/>
    <x v="4"/>
    <x v="0"/>
    <x v="677"/>
    <x v="1"/>
    <x v="3"/>
    <x v="1"/>
    <x v="0"/>
    <x v="3320"/>
  </r>
  <r>
    <x v="0"/>
    <x v="1413"/>
    <x v="240"/>
    <x v="72"/>
    <x v="73"/>
    <x v="729"/>
    <x v="168"/>
    <x v="3002"/>
    <x v="270"/>
    <x v="526"/>
    <x v="1937"/>
    <x v="2308"/>
    <x v="3263"/>
    <x v="3260"/>
    <x v="653"/>
    <x v="1"/>
    <x v="3227"/>
    <x v="3265"/>
    <x v="792"/>
    <x v="3"/>
    <x v="10"/>
    <x v="10"/>
    <x v="4"/>
    <x v="0"/>
    <x v="696"/>
    <x v="19"/>
    <x v="1"/>
    <x v="286"/>
    <x v="0"/>
    <x v="3321"/>
  </r>
  <r>
    <x v="0"/>
    <x v="1414"/>
    <x v="307"/>
    <x v="33"/>
    <x v="85"/>
    <x v="410"/>
    <x v="41"/>
    <x v="4"/>
    <x v="17"/>
    <x v="221"/>
    <x v="1742"/>
    <x v="2309"/>
    <x v="3264"/>
    <x v="2017"/>
    <x v="2947"/>
    <x v="1"/>
    <x v="3228"/>
    <x v="3266"/>
    <x v="427"/>
    <x v="0"/>
    <x v="0"/>
    <x v="4"/>
    <x v="195"/>
    <x v="0"/>
    <x v="58"/>
    <x v="12"/>
    <x v="1"/>
    <x v="67"/>
    <x v="0"/>
    <x v="3322"/>
  </r>
  <r>
    <x v="0"/>
    <x v="1415"/>
    <x v="311"/>
    <x v="41"/>
    <x v="198"/>
    <x v="823"/>
    <x v="359"/>
    <x v="3003"/>
    <x v="311"/>
    <x v="741"/>
    <x v="1648"/>
    <x v="2310"/>
    <x v="3265"/>
    <x v="3261"/>
    <x v="2948"/>
    <x v="1"/>
    <x v="3229"/>
    <x v="3267"/>
    <x v="641"/>
    <x v="0"/>
    <x v="5"/>
    <x v="0"/>
    <x v="265"/>
    <x v="43"/>
    <x v="770"/>
    <x v="12"/>
    <x v="1"/>
    <x v="1"/>
    <x v="0"/>
    <x v="3323"/>
  </r>
  <r>
    <x v="0"/>
    <x v="1416"/>
    <x v="307"/>
    <x v="93"/>
    <x v="198"/>
    <x v="714"/>
    <x v="192"/>
    <x v="4"/>
    <x v="729"/>
    <x v="359"/>
    <x v="1938"/>
    <x v="1402"/>
    <x v="3266"/>
    <x v="3262"/>
    <x v="2002"/>
    <x v="0"/>
    <x v="3230"/>
    <x v="3268"/>
    <x v="398"/>
    <x v="0"/>
    <x v="1"/>
    <x v="4"/>
    <x v="4"/>
    <x v="5"/>
    <x v="819"/>
    <x v="20"/>
    <x v="3"/>
    <x v="1"/>
    <x v="0"/>
    <x v="3324"/>
  </r>
  <r>
    <x v="0"/>
    <x v="1417"/>
    <x v="193"/>
    <x v="78"/>
    <x v="221"/>
    <x v="329"/>
    <x v="0"/>
    <x v="4"/>
    <x v="361"/>
    <x v="1054"/>
    <x v="1349"/>
    <x v="1016"/>
    <x v="3267"/>
    <x v="3263"/>
    <x v="2949"/>
    <x v="4"/>
    <x v="3231"/>
    <x v="3269"/>
    <x v="448"/>
    <x v="0"/>
    <x v="1"/>
    <x v="4"/>
    <x v="265"/>
    <x v="14"/>
    <x v="691"/>
    <x v="9"/>
    <x v="1"/>
    <x v="537"/>
    <x v="0"/>
    <x v="3325"/>
  </r>
  <r>
    <x v="0"/>
    <x v="1418"/>
    <x v="479"/>
    <x v="40"/>
    <x v="193"/>
    <x v="79"/>
    <x v="436"/>
    <x v="4"/>
    <x v="156"/>
    <x v="1261"/>
    <x v="1892"/>
    <x v="2311"/>
    <x v="3268"/>
    <x v="3264"/>
    <x v="2950"/>
    <x v="14"/>
    <x v="3232"/>
    <x v="3270"/>
    <x v="592"/>
    <x v="0"/>
    <x v="5"/>
    <x v="4"/>
    <x v="195"/>
    <x v="5"/>
    <x v="808"/>
    <x v="1"/>
    <x v="1"/>
    <x v="1"/>
    <x v="0"/>
    <x v="3326"/>
  </r>
  <r>
    <x v="0"/>
    <x v="1419"/>
    <x v="145"/>
    <x v="46"/>
    <x v="369"/>
    <x v="453"/>
    <x v="387"/>
    <x v="3004"/>
    <x v="152"/>
    <x v="1248"/>
    <x v="1939"/>
    <x v="2312"/>
    <x v="3269"/>
    <x v="3265"/>
    <x v="2951"/>
    <x v="1"/>
    <x v="3233"/>
    <x v="3271"/>
    <x v="631"/>
    <x v="3"/>
    <x v="10"/>
    <x v="9"/>
    <x v="4"/>
    <x v="10"/>
    <x v="598"/>
    <x v="11"/>
    <x v="3"/>
    <x v="1"/>
    <x v="0"/>
    <x v="3327"/>
  </r>
  <r>
    <x v="0"/>
    <x v="1420"/>
    <x v="395"/>
    <x v="95"/>
    <x v="193"/>
    <x v="443"/>
    <x v="41"/>
    <x v="3005"/>
    <x v="180"/>
    <x v="563"/>
    <x v="802"/>
    <x v="647"/>
    <x v="3270"/>
    <x v="3266"/>
    <x v="2952"/>
    <x v="0"/>
    <x v="3234"/>
    <x v="3272"/>
    <x v="216"/>
    <x v="0"/>
    <x v="0"/>
    <x v="4"/>
    <x v="266"/>
    <x v="1"/>
    <x v="473"/>
    <x v="12"/>
    <x v="1"/>
    <x v="1"/>
    <x v="0"/>
    <x v="3328"/>
  </r>
  <r>
    <x v="0"/>
    <x v="113"/>
    <x v="276"/>
    <x v="172"/>
    <x v="88"/>
    <x v="161"/>
    <x v="269"/>
    <x v="4"/>
    <x v="730"/>
    <x v="1262"/>
    <x v="1940"/>
    <x v="1278"/>
    <x v="3271"/>
    <x v="3267"/>
    <x v="1966"/>
    <x v="0"/>
    <x v="3235"/>
    <x v="3273"/>
    <x v="546"/>
    <x v="0"/>
    <x v="0"/>
    <x v="6"/>
    <x v="4"/>
    <x v="4"/>
    <x v="806"/>
    <x v="0"/>
    <x v="1"/>
    <x v="43"/>
    <x v="0"/>
    <x v="3329"/>
  </r>
  <r>
    <x v="0"/>
    <x v="1421"/>
    <x v="240"/>
    <x v="45"/>
    <x v="221"/>
    <x v="805"/>
    <x v="35"/>
    <x v="3006"/>
    <x v="23"/>
    <x v="504"/>
    <x v="572"/>
    <x v="2313"/>
    <x v="3272"/>
    <x v="3268"/>
    <x v="2953"/>
    <x v="7"/>
    <x v="3236"/>
    <x v="3274"/>
    <x v="785"/>
    <x v="0"/>
    <x v="41"/>
    <x v="4"/>
    <x v="195"/>
    <x v="11"/>
    <x v="29"/>
    <x v="20"/>
    <x v="1"/>
    <x v="1"/>
    <x v="0"/>
    <x v="3330"/>
  </r>
  <r>
    <x v="0"/>
    <x v="133"/>
    <x v="304"/>
    <x v="55"/>
    <x v="98"/>
    <x v="854"/>
    <x v="171"/>
    <x v="3007"/>
    <x v="63"/>
    <x v="772"/>
    <x v="1941"/>
    <x v="2314"/>
    <x v="3273"/>
    <x v="3269"/>
    <x v="2954"/>
    <x v="3"/>
    <x v="3237"/>
    <x v="3275"/>
    <x v="367"/>
    <x v="0"/>
    <x v="0"/>
    <x v="4"/>
    <x v="4"/>
    <x v="42"/>
    <x v="373"/>
    <x v="13"/>
    <x v="1"/>
    <x v="64"/>
    <x v="0"/>
    <x v="3331"/>
  </r>
  <r>
    <x v="0"/>
    <x v="422"/>
    <x v="446"/>
    <x v="52"/>
    <x v="225"/>
    <x v="424"/>
    <x v="25"/>
    <x v="3008"/>
    <x v="484"/>
    <x v="30"/>
    <x v="1689"/>
    <x v="2315"/>
    <x v="3274"/>
    <x v="3270"/>
    <x v="2955"/>
    <x v="0"/>
    <x v="3238"/>
    <x v="3276"/>
    <x v="630"/>
    <x v="0"/>
    <x v="0"/>
    <x v="4"/>
    <x v="222"/>
    <x v="0"/>
    <x v="348"/>
    <x v="11"/>
    <x v="1"/>
    <x v="1"/>
    <x v="0"/>
    <x v="3332"/>
  </r>
  <r>
    <x v="0"/>
    <x v="1422"/>
    <x v="424"/>
    <x v="31"/>
    <x v="171"/>
    <x v="828"/>
    <x v="130"/>
    <x v="3009"/>
    <x v="484"/>
    <x v="1263"/>
    <x v="1942"/>
    <x v="2316"/>
    <x v="3275"/>
    <x v="3271"/>
    <x v="2956"/>
    <x v="0"/>
    <x v="3239"/>
    <x v="3277"/>
    <x v="802"/>
    <x v="0"/>
    <x v="0"/>
    <x v="4"/>
    <x v="231"/>
    <x v="28"/>
    <x v="598"/>
    <x v="8"/>
    <x v="3"/>
    <x v="103"/>
    <x v="0"/>
    <x v="3333"/>
  </r>
  <r>
    <x v="0"/>
    <x v="1423"/>
    <x v="460"/>
    <x v="45"/>
    <x v="306"/>
    <x v="1"/>
    <x v="22"/>
    <x v="3010"/>
    <x v="125"/>
    <x v="153"/>
    <x v="408"/>
    <x v="421"/>
    <x v="3276"/>
    <x v="3272"/>
    <x v="2957"/>
    <x v="12"/>
    <x v="3240"/>
    <x v="3278"/>
    <x v="540"/>
    <x v="0"/>
    <x v="0"/>
    <x v="0"/>
    <x v="231"/>
    <x v="9"/>
    <x v="30"/>
    <x v="40"/>
    <x v="3"/>
    <x v="1"/>
    <x v="0"/>
    <x v="3334"/>
  </r>
  <r>
    <x v="0"/>
    <x v="1424"/>
    <x v="283"/>
    <x v="42"/>
    <x v="62"/>
    <x v="795"/>
    <x v="640"/>
    <x v="4"/>
    <x v="694"/>
    <x v="1264"/>
    <x v="1943"/>
    <x v="2317"/>
    <x v="3277"/>
    <x v="3273"/>
    <x v="2958"/>
    <x v="4"/>
    <x v="3241"/>
    <x v="3279"/>
    <x v="139"/>
    <x v="0"/>
    <x v="10"/>
    <x v="2"/>
    <x v="195"/>
    <x v="38"/>
    <x v="715"/>
    <x v="18"/>
    <x v="1"/>
    <x v="1"/>
    <x v="0"/>
    <x v="3335"/>
  </r>
  <r>
    <x v="0"/>
    <x v="1425"/>
    <x v="489"/>
    <x v="80"/>
    <x v="193"/>
    <x v="708"/>
    <x v="641"/>
    <x v="4"/>
    <x v="547"/>
    <x v="1265"/>
    <x v="1944"/>
    <x v="2318"/>
    <x v="3278"/>
    <x v="3274"/>
    <x v="2959"/>
    <x v="4"/>
    <x v="3242"/>
    <x v="3280"/>
    <x v="792"/>
    <x v="0"/>
    <x v="37"/>
    <x v="2"/>
    <x v="81"/>
    <x v="22"/>
    <x v="794"/>
    <x v="10"/>
    <x v="1"/>
    <x v="593"/>
    <x v="0"/>
    <x v="3336"/>
  </r>
  <r>
    <x v="0"/>
    <x v="690"/>
    <x v="177"/>
    <x v="33"/>
    <x v="286"/>
    <x v="634"/>
    <x v="35"/>
    <x v="3011"/>
    <x v="200"/>
    <x v="91"/>
    <x v="456"/>
    <x v="2319"/>
    <x v="3279"/>
    <x v="3275"/>
    <x v="2960"/>
    <x v="0"/>
    <x v="3243"/>
    <x v="3281"/>
    <x v="763"/>
    <x v="0"/>
    <x v="0"/>
    <x v="4"/>
    <x v="83"/>
    <x v="15"/>
    <x v="301"/>
    <x v="11"/>
    <x v="1"/>
    <x v="1"/>
    <x v="0"/>
    <x v="3337"/>
  </r>
  <r>
    <x v="0"/>
    <x v="872"/>
    <x v="111"/>
    <x v="40"/>
    <x v="317"/>
    <x v="159"/>
    <x v="260"/>
    <x v="3012"/>
    <x v="270"/>
    <x v="1266"/>
    <x v="450"/>
    <x v="195"/>
    <x v="3280"/>
    <x v="3276"/>
    <x v="2961"/>
    <x v="1"/>
    <x v="3244"/>
    <x v="3282"/>
    <x v="426"/>
    <x v="0"/>
    <x v="0"/>
    <x v="0"/>
    <x v="4"/>
    <x v="7"/>
    <x v="296"/>
    <x v="32"/>
    <x v="3"/>
    <x v="1"/>
    <x v="0"/>
    <x v="3338"/>
  </r>
  <r>
    <x v="0"/>
    <x v="1426"/>
    <x v="125"/>
    <x v="59"/>
    <x v="184"/>
    <x v="169"/>
    <x v="104"/>
    <x v="3013"/>
    <x v="125"/>
    <x v="195"/>
    <x v="513"/>
    <x v="1626"/>
    <x v="3281"/>
    <x v="3277"/>
    <x v="2962"/>
    <x v="2"/>
    <x v="3245"/>
    <x v="3283"/>
    <x v="392"/>
    <x v="0"/>
    <x v="0"/>
    <x v="0"/>
    <x v="231"/>
    <x v="2"/>
    <x v="334"/>
    <x v="12"/>
    <x v="1"/>
    <x v="60"/>
    <x v="0"/>
    <x v="3339"/>
  </r>
  <r>
    <x v="0"/>
    <x v="1427"/>
    <x v="240"/>
    <x v="27"/>
    <x v="258"/>
    <x v="184"/>
    <x v="642"/>
    <x v="3014"/>
    <x v="484"/>
    <x v="1267"/>
    <x v="1945"/>
    <x v="2320"/>
    <x v="3282"/>
    <x v="3278"/>
    <x v="2698"/>
    <x v="1"/>
    <x v="3246"/>
    <x v="3284"/>
    <x v="429"/>
    <x v="0"/>
    <x v="0"/>
    <x v="0"/>
    <x v="134"/>
    <x v="18"/>
    <x v="804"/>
    <x v="74"/>
    <x v="1"/>
    <x v="1"/>
    <x v="0"/>
    <x v="3340"/>
  </r>
  <r>
    <x v="0"/>
    <x v="1428"/>
    <x v="212"/>
    <x v="59"/>
    <x v="125"/>
    <x v="363"/>
    <x v="0"/>
    <x v="4"/>
    <x v="416"/>
    <x v="1268"/>
    <x v="1359"/>
    <x v="2321"/>
    <x v="3283"/>
    <x v="3279"/>
    <x v="2963"/>
    <x v="0"/>
    <x v="3247"/>
    <x v="3285"/>
    <x v="448"/>
    <x v="0"/>
    <x v="0"/>
    <x v="4"/>
    <x v="195"/>
    <x v="9"/>
    <x v="694"/>
    <x v="43"/>
    <x v="1"/>
    <x v="1"/>
    <x v="0"/>
    <x v="3341"/>
  </r>
  <r>
    <x v="0"/>
    <x v="1429"/>
    <x v="464"/>
    <x v="24"/>
    <x v="0"/>
    <x v="170"/>
    <x v="582"/>
    <x v="4"/>
    <x v="54"/>
    <x v="1269"/>
    <x v="1946"/>
    <x v="1879"/>
    <x v="3284"/>
    <x v="3280"/>
    <x v="2964"/>
    <x v="0"/>
    <x v="3248"/>
    <x v="3286"/>
    <x v="789"/>
    <x v="24"/>
    <x v="18"/>
    <x v="1"/>
    <x v="83"/>
    <x v="17"/>
    <x v="562"/>
    <x v="13"/>
    <x v="1"/>
    <x v="312"/>
    <x v="0"/>
    <x v="3342"/>
  </r>
  <r>
    <x v="0"/>
    <x v="1251"/>
    <x v="279"/>
    <x v="73"/>
    <x v="356"/>
    <x v="132"/>
    <x v="35"/>
    <x v="3015"/>
    <x v="425"/>
    <x v="164"/>
    <x v="1468"/>
    <x v="2322"/>
    <x v="3285"/>
    <x v="3281"/>
    <x v="2965"/>
    <x v="0"/>
    <x v="3249"/>
    <x v="3287"/>
    <x v="472"/>
    <x v="0"/>
    <x v="1"/>
    <x v="2"/>
    <x v="231"/>
    <x v="0"/>
    <x v="280"/>
    <x v="15"/>
    <x v="3"/>
    <x v="1"/>
    <x v="0"/>
    <x v="3343"/>
  </r>
  <r>
    <x v="0"/>
    <x v="1293"/>
    <x v="134"/>
    <x v="57"/>
    <x v="101"/>
    <x v="593"/>
    <x v="94"/>
    <x v="3016"/>
    <x v="139"/>
    <x v="1173"/>
    <x v="1947"/>
    <x v="2323"/>
    <x v="3286"/>
    <x v="3282"/>
    <x v="2966"/>
    <x v="4"/>
    <x v="3250"/>
    <x v="3288"/>
    <x v="527"/>
    <x v="8"/>
    <x v="16"/>
    <x v="0"/>
    <x v="176"/>
    <x v="5"/>
    <x v="299"/>
    <x v="25"/>
    <x v="1"/>
    <x v="41"/>
    <x v="0"/>
    <x v="3344"/>
  </r>
  <r>
    <x v="0"/>
    <x v="854"/>
    <x v="370"/>
    <x v="86"/>
    <x v="233"/>
    <x v="499"/>
    <x v="171"/>
    <x v="1900"/>
    <x v="484"/>
    <x v="772"/>
    <x v="688"/>
    <x v="1510"/>
    <x v="2006"/>
    <x v="2003"/>
    <x v="1908"/>
    <x v="0"/>
    <x v="1994"/>
    <x v="2006"/>
    <x v="277"/>
    <x v="0"/>
    <x v="0"/>
    <x v="2"/>
    <x v="186"/>
    <x v="31"/>
    <x v="422"/>
    <x v="12"/>
    <x v="3"/>
    <x v="1"/>
    <x v="0"/>
    <x v="3345"/>
  </r>
  <r>
    <x v="0"/>
    <x v="957"/>
    <x v="516"/>
    <x v="11"/>
    <x v="266"/>
    <x v="4"/>
    <x v="471"/>
    <x v="3017"/>
    <x v="72"/>
    <x v="1270"/>
    <x v="217"/>
    <x v="4"/>
    <x v="3287"/>
    <x v="3283"/>
    <x v="2095"/>
    <x v="0"/>
    <x v="3251"/>
    <x v="3289"/>
    <x v="617"/>
    <x v="0"/>
    <x v="0"/>
    <x v="0"/>
    <x v="195"/>
    <x v="9"/>
    <x v="147"/>
    <x v="8"/>
    <x v="1"/>
    <x v="45"/>
    <x v="0"/>
    <x v="3346"/>
  </r>
  <r>
    <x v="0"/>
    <x v="1430"/>
    <x v="303"/>
    <x v="51"/>
    <x v="370"/>
    <x v="530"/>
    <x v="354"/>
    <x v="3018"/>
    <x v="139"/>
    <x v="1271"/>
    <x v="1948"/>
    <x v="2324"/>
    <x v="3288"/>
    <x v="3284"/>
    <x v="2967"/>
    <x v="0"/>
    <x v="3252"/>
    <x v="3290"/>
    <x v="629"/>
    <x v="0"/>
    <x v="0"/>
    <x v="4"/>
    <x v="83"/>
    <x v="15"/>
    <x v="126"/>
    <x v="1"/>
    <x v="3"/>
    <x v="594"/>
    <x v="0"/>
    <x v="3347"/>
  </r>
  <r>
    <x v="0"/>
    <x v="1431"/>
    <x v="464"/>
    <x v="57"/>
    <x v="31"/>
    <x v="599"/>
    <x v="22"/>
    <x v="3019"/>
    <x v="105"/>
    <x v="1272"/>
    <x v="1949"/>
    <x v="2164"/>
    <x v="3289"/>
    <x v="3285"/>
    <x v="2968"/>
    <x v="4"/>
    <x v="3253"/>
    <x v="3291"/>
    <x v="637"/>
    <x v="8"/>
    <x v="16"/>
    <x v="1"/>
    <x v="4"/>
    <x v="1"/>
    <x v="110"/>
    <x v="11"/>
    <x v="2"/>
    <x v="595"/>
    <x v="0"/>
    <x v="3348"/>
  </r>
  <r>
    <x v="0"/>
    <x v="1432"/>
    <x v="244"/>
    <x v="46"/>
    <x v="243"/>
    <x v="423"/>
    <x v="270"/>
    <x v="3020"/>
    <x v="269"/>
    <x v="1273"/>
    <x v="1950"/>
    <x v="2325"/>
    <x v="3290"/>
    <x v="3286"/>
    <x v="2969"/>
    <x v="1"/>
    <x v="3254"/>
    <x v="3292"/>
    <x v="321"/>
    <x v="0"/>
    <x v="25"/>
    <x v="9"/>
    <x v="4"/>
    <x v="7"/>
    <x v="820"/>
    <x v="7"/>
    <x v="3"/>
    <x v="1"/>
    <x v="0"/>
    <x v="3349"/>
  </r>
  <r>
    <x v="0"/>
    <x v="1433"/>
    <x v="429"/>
    <x v="130"/>
    <x v="0"/>
    <x v="511"/>
    <x v="288"/>
    <x v="3021"/>
    <x v="276"/>
    <x v="1274"/>
    <x v="1951"/>
    <x v="2326"/>
    <x v="3291"/>
    <x v="3287"/>
    <x v="2970"/>
    <x v="4"/>
    <x v="3255"/>
    <x v="3293"/>
    <x v="386"/>
    <x v="8"/>
    <x v="16"/>
    <x v="9"/>
    <x v="4"/>
    <x v="9"/>
    <x v="84"/>
    <x v="8"/>
    <x v="2"/>
    <x v="1"/>
    <x v="0"/>
    <x v="3350"/>
  </r>
  <r>
    <x v="0"/>
    <x v="543"/>
    <x v="225"/>
    <x v="51"/>
    <x v="8"/>
    <x v="577"/>
    <x v="269"/>
    <x v="1129"/>
    <x v="420"/>
    <x v="486"/>
    <x v="815"/>
    <x v="954"/>
    <x v="1174"/>
    <x v="3288"/>
    <x v="1146"/>
    <x v="0"/>
    <x v="1166"/>
    <x v="1174"/>
    <x v="527"/>
    <x v="0"/>
    <x v="0"/>
    <x v="2"/>
    <x v="83"/>
    <x v="31"/>
    <x v="454"/>
    <x v="13"/>
    <x v="3"/>
    <x v="1"/>
    <x v="0"/>
    <x v="3351"/>
  </r>
  <r>
    <x v="0"/>
    <x v="1434"/>
    <x v="390"/>
    <x v="94"/>
    <x v="91"/>
    <x v="101"/>
    <x v="410"/>
    <x v="4"/>
    <x v="415"/>
    <x v="1275"/>
    <x v="1952"/>
    <x v="2327"/>
    <x v="3292"/>
    <x v="3289"/>
    <x v="2291"/>
    <x v="0"/>
    <x v="3256"/>
    <x v="3294"/>
    <x v="129"/>
    <x v="0"/>
    <x v="0"/>
    <x v="17"/>
    <x v="267"/>
    <x v="59"/>
    <x v="491"/>
    <x v="13"/>
    <x v="15"/>
    <x v="103"/>
    <x v="0"/>
    <x v="3352"/>
  </r>
  <r>
    <x v="0"/>
    <x v="1303"/>
    <x v="304"/>
    <x v="13"/>
    <x v="160"/>
    <x v="156"/>
    <x v="35"/>
    <x v="3022"/>
    <x v="731"/>
    <x v="461"/>
    <x v="978"/>
    <x v="1287"/>
    <x v="3293"/>
    <x v="3290"/>
    <x v="2971"/>
    <x v="1"/>
    <x v="3257"/>
    <x v="3295"/>
    <x v="545"/>
    <x v="0"/>
    <x v="0"/>
    <x v="4"/>
    <x v="231"/>
    <x v="8"/>
    <x v="67"/>
    <x v="10"/>
    <x v="3"/>
    <x v="60"/>
    <x v="0"/>
    <x v="3353"/>
  </r>
  <r>
    <x v="0"/>
    <x v="1435"/>
    <x v="441"/>
    <x v="40"/>
    <x v="31"/>
    <x v="45"/>
    <x v="643"/>
    <x v="4"/>
    <x v="9"/>
    <x v="1276"/>
    <x v="1953"/>
    <x v="2328"/>
    <x v="3294"/>
    <x v="3291"/>
    <x v="2972"/>
    <x v="3"/>
    <x v="3258"/>
    <x v="3296"/>
    <x v="757"/>
    <x v="32"/>
    <x v="47"/>
    <x v="1"/>
    <x v="268"/>
    <x v="7"/>
    <x v="818"/>
    <x v="19"/>
    <x v="3"/>
    <x v="596"/>
    <x v="0"/>
    <x v="3354"/>
  </r>
  <r>
    <x v="0"/>
    <x v="169"/>
    <x v="300"/>
    <x v="0"/>
    <x v="121"/>
    <x v="187"/>
    <x v="57"/>
    <x v="3023"/>
    <x v="152"/>
    <x v="99"/>
    <x v="751"/>
    <x v="2329"/>
    <x v="3295"/>
    <x v="3292"/>
    <x v="2973"/>
    <x v="1"/>
    <x v="3259"/>
    <x v="3297"/>
    <x v="911"/>
    <x v="0"/>
    <x v="0"/>
    <x v="4"/>
    <x v="83"/>
    <x v="24"/>
    <x v="451"/>
    <x v="49"/>
    <x v="1"/>
    <x v="48"/>
    <x v="0"/>
    <x v="3355"/>
  </r>
  <r>
    <x v="0"/>
    <x v="1436"/>
    <x v="315"/>
    <x v="54"/>
    <x v="122"/>
    <x v="752"/>
    <x v="0"/>
    <x v="3024"/>
    <x v="396"/>
    <x v="1161"/>
    <x v="1954"/>
    <x v="1581"/>
    <x v="3296"/>
    <x v="3293"/>
    <x v="2974"/>
    <x v="0"/>
    <x v="3260"/>
    <x v="3298"/>
    <x v="578"/>
    <x v="0"/>
    <x v="1"/>
    <x v="3"/>
    <x v="4"/>
    <x v="28"/>
    <x v="621"/>
    <x v="16"/>
    <x v="3"/>
    <x v="1"/>
    <x v="0"/>
    <x v="3356"/>
  </r>
  <r>
    <x v="0"/>
    <x v="1437"/>
    <x v="517"/>
    <x v="85"/>
    <x v="48"/>
    <x v="754"/>
    <x v="10"/>
    <x v="3025"/>
    <x v="168"/>
    <x v="40"/>
    <x v="1321"/>
    <x v="2330"/>
    <x v="3297"/>
    <x v="3294"/>
    <x v="2975"/>
    <x v="1"/>
    <x v="3261"/>
    <x v="3299"/>
    <x v="439"/>
    <x v="0"/>
    <x v="0"/>
    <x v="4"/>
    <x v="231"/>
    <x v="11"/>
    <x v="683"/>
    <x v="0"/>
    <x v="1"/>
    <x v="14"/>
    <x v="0"/>
    <x v="3357"/>
  </r>
  <r>
    <x v="0"/>
    <x v="426"/>
    <x v="240"/>
    <x v="73"/>
    <x v="232"/>
    <x v="123"/>
    <x v="529"/>
    <x v="3026"/>
    <x v="662"/>
    <x v="996"/>
    <x v="1955"/>
    <x v="1807"/>
    <x v="3298"/>
    <x v="3295"/>
    <x v="2976"/>
    <x v="4"/>
    <x v="3262"/>
    <x v="3300"/>
    <x v="781"/>
    <x v="0"/>
    <x v="0"/>
    <x v="4"/>
    <x v="269"/>
    <x v="14"/>
    <x v="657"/>
    <x v="23"/>
    <x v="1"/>
    <x v="406"/>
    <x v="0"/>
    <x v="3358"/>
  </r>
  <r>
    <x v="0"/>
    <x v="618"/>
    <x v="323"/>
    <x v="89"/>
    <x v="275"/>
    <x v="192"/>
    <x v="542"/>
    <x v="3027"/>
    <x v="732"/>
    <x v="1277"/>
    <x v="1956"/>
    <x v="2331"/>
    <x v="3299"/>
    <x v="3296"/>
    <x v="2977"/>
    <x v="3"/>
    <x v="3263"/>
    <x v="3301"/>
    <x v="613"/>
    <x v="0"/>
    <x v="0"/>
    <x v="3"/>
    <x v="186"/>
    <x v="52"/>
    <x v="821"/>
    <x v="25"/>
    <x v="1"/>
    <x v="61"/>
    <x v="0"/>
    <x v="3359"/>
  </r>
  <r>
    <x v="0"/>
    <x v="84"/>
    <x v="425"/>
    <x v="70"/>
    <x v="67"/>
    <x v="636"/>
    <x v="10"/>
    <x v="2409"/>
    <x v="286"/>
    <x v="33"/>
    <x v="1957"/>
    <x v="2332"/>
    <x v="3300"/>
    <x v="3297"/>
    <x v="2978"/>
    <x v="4"/>
    <x v="3264"/>
    <x v="3302"/>
    <x v="195"/>
    <x v="0"/>
    <x v="0"/>
    <x v="2"/>
    <x v="83"/>
    <x v="31"/>
    <x v="258"/>
    <x v="5"/>
    <x v="3"/>
    <x v="1"/>
    <x v="0"/>
    <x v="3360"/>
  </r>
  <r>
    <x v="0"/>
    <x v="1438"/>
    <x v="433"/>
    <x v="59"/>
    <x v="151"/>
    <x v="783"/>
    <x v="134"/>
    <x v="3028"/>
    <x v="200"/>
    <x v="252"/>
    <x v="1958"/>
    <x v="2333"/>
    <x v="3301"/>
    <x v="3298"/>
    <x v="2979"/>
    <x v="1"/>
    <x v="3265"/>
    <x v="3303"/>
    <x v="912"/>
    <x v="0"/>
    <x v="0"/>
    <x v="4"/>
    <x v="83"/>
    <x v="7"/>
    <x v="38"/>
    <x v="0"/>
    <x v="1"/>
    <x v="61"/>
    <x v="0"/>
    <x v="3361"/>
  </r>
  <r>
    <x v="0"/>
    <x v="340"/>
    <x v="414"/>
    <x v="71"/>
    <x v="0"/>
    <x v="203"/>
    <x v="644"/>
    <x v="3029"/>
    <x v="457"/>
    <x v="1278"/>
    <x v="1959"/>
    <x v="2334"/>
    <x v="3302"/>
    <x v="3299"/>
    <x v="2980"/>
    <x v="4"/>
    <x v="3266"/>
    <x v="3304"/>
    <x v="467"/>
    <x v="0"/>
    <x v="0"/>
    <x v="4"/>
    <x v="83"/>
    <x v="43"/>
    <x v="126"/>
    <x v="14"/>
    <x v="3"/>
    <x v="4"/>
    <x v="0"/>
    <x v="3362"/>
  </r>
  <r>
    <x v="0"/>
    <x v="464"/>
    <x v="400"/>
    <x v="18"/>
    <x v="0"/>
    <x v="783"/>
    <x v="645"/>
    <x v="3030"/>
    <x v="251"/>
    <x v="1279"/>
    <x v="1960"/>
    <x v="2335"/>
    <x v="3303"/>
    <x v="3300"/>
    <x v="2981"/>
    <x v="0"/>
    <x v="3267"/>
    <x v="3305"/>
    <x v="913"/>
    <x v="0"/>
    <x v="1"/>
    <x v="4"/>
    <x v="83"/>
    <x v="19"/>
    <x v="776"/>
    <x v="32"/>
    <x v="3"/>
    <x v="59"/>
    <x v="0"/>
    <x v="3363"/>
  </r>
  <r>
    <x v="0"/>
    <x v="1439"/>
    <x v="459"/>
    <x v="54"/>
    <x v="371"/>
    <x v="677"/>
    <x v="646"/>
    <x v="3031"/>
    <x v="419"/>
    <x v="1280"/>
    <x v="1961"/>
    <x v="2336"/>
    <x v="3304"/>
    <x v="3301"/>
    <x v="2982"/>
    <x v="0"/>
    <x v="3268"/>
    <x v="3306"/>
    <x v="556"/>
    <x v="0"/>
    <x v="0"/>
    <x v="0"/>
    <x v="83"/>
    <x v="14"/>
    <x v="308"/>
    <x v="58"/>
    <x v="3"/>
    <x v="1"/>
    <x v="0"/>
    <x v="3364"/>
  </r>
  <r>
    <x v="0"/>
    <x v="1440"/>
    <x v="302"/>
    <x v="52"/>
    <x v="240"/>
    <x v="51"/>
    <x v="17"/>
    <x v="3032"/>
    <x v="130"/>
    <x v="303"/>
    <x v="425"/>
    <x v="605"/>
    <x v="3305"/>
    <x v="3302"/>
    <x v="2983"/>
    <x v="0"/>
    <x v="3269"/>
    <x v="3307"/>
    <x v="593"/>
    <x v="0"/>
    <x v="0"/>
    <x v="2"/>
    <x v="83"/>
    <x v="28"/>
    <x v="270"/>
    <x v="32"/>
    <x v="3"/>
    <x v="1"/>
    <x v="0"/>
    <x v="3365"/>
  </r>
  <r>
    <x v="0"/>
    <x v="1171"/>
    <x v="447"/>
    <x v="56"/>
    <x v="137"/>
    <x v="478"/>
    <x v="0"/>
    <x v="3033"/>
    <x v="399"/>
    <x v="1182"/>
    <x v="681"/>
    <x v="1147"/>
    <x v="3306"/>
    <x v="3303"/>
    <x v="2984"/>
    <x v="1"/>
    <x v="3270"/>
    <x v="3308"/>
    <x v="716"/>
    <x v="0"/>
    <x v="0"/>
    <x v="0"/>
    <x v="83"/>
    <x v="19"/>
    <x v="144"/>
    <x v="12"/>
    <x v="3"/>
    <x v="1"/>
    <x v="0"/>
    <x v="3366"/>
  </r>
  <r>
    <x v="0"/>
    <x v="1441"/>
    <x v="492"/>
    <x v="26"/>
    <x v="0"/>
    <x v="145"/>
    <x v="365"/>
    <x v="3034"/>
    <x v="733"/>
    <x v="663"/>
    <x v="1962"/>
    <x v="176"/>
    <x v="3307"/>
    <x v="3304"/>
    <x v="2192"/>
    <x v="4"/>
    <x v="3271"/>
    <x v="3309"/>
    <x v="792"/>
    <x v="0"/>
    <x v="0"/>
    <x v="4"/>
    <x v="83"/>
    <x v="25"/>
    <x v="655"/>
    <x v="23"/>
    <x v="1"/>
    <x v="294"/>
    <x v="0"/>
    <x v="3367"/>
  </r>
  <r>
    <x v="0"/>
    <x v="691"/>
    <x v="210"/>
    <x v="7"/>
    <x v="12"/>
    <x v="23"/>
    <x v="29"/>
    <x v="3035"/>
    <x v="105"/>
    <x v="58"/>
    <x v="1052"/>
    <x v="2337"/>
    <x v="3308"/>
    <x v="3305"/>
    <x v="2985"/>
    <x v="4"/>
    <x v="3272"/>
    <x v="3310"/>
    <x v="364"/>
    <x v="0"/>
    <x v="0"/>
    <x v="4"/>
    <x v="83"/>
    <x v="10"/>
    <x v="10"/>
    <x v="16"/>
    <x v="3"/>
    <x v="13"/>
    <x v="0"/>
    <x v="3368"/>
  </r>
  <r>
    <x v="0"/>
    <x v="1442"/>
    <x v="126"/>
    <x v="78"/>
    <x v="78"/>
    <x v="186"/>
    <x v="647"/>
    <x v="3036"/>
    <x v="236"/>
    <x v="1281"/>
    <x v="1963"/>
    <x v="2338"/>
    <x v="3309"/>
    <x v="3306"/>
    <x v="2986"/>
    <x v="1"/>
    <x v="3273"/>
    <x v="3311"/>
    <x v="627"/>
    <x v="0"/>
    <x v="0"/>
    <x v="0"/>
    <x v="83"/>
    <x v="8"/>
    <x v="707"/>
    <x v="31"/>
    <x v="3"/>
    <x v="1"/>
    <x v="0"/>
    <x v="3369"/>
  </r>
  <r>
    <x v="0"/>
    <x v="233"/>
    <x v="238"/>
    <x v="29"/>
    <x v="0"/>
    <x v="154"/>
    <x v="119"/>
    <x v="4"/>
    <x v="63"/>
    <x v="223"/>
    <x v="326"/>
    <x v="368"/>
    <x v="424"/>
    <x v="3307"/>
    <x v="418"/>
    <x v="0"/>
    <x v="420"/>
    <x v="424"/>
    <x v="376"/>
    <x v="0"/>
    <x v="0"/>
    <x v="4"/>
    <x v="83"/>
    <x v="26"/>
    <x v="117"/>
    <x v="8"/>
    <x v="3"/>
    <x v="1"/>
    <x v="0"/>
    <x v="3370"/>
  </r>
  <r>
    <x v="0"/>
    <x v="1443"/>
    <x v="328"/>
    <x v="50"/>
    <x v="107"/>
    <x v="240"/>
    <x v="648"/>
    <x v="3037"/>
    <x v="127"/>
    <x v="1282"/>
    <x v="1964"/>
    <x v="2339"/>
    <x v="3310"/>
    <x v="3308"/>
    <x v="2987"/>
    <x v="3"/>
    <x v="3274"/>
    <x v="3312"/>
    <x v="360"/>
    <x v="0"/>
    <x v="0"/>
    <x v="4"/>
    <x v="83"/>
    <x v="11"/>
    <x v="429"/>
    <x v="9"/>
    <x v="1"/>
    <x v="1"/>
    <x v="0"/>
    <x v="3371"/>
  </r>
  <r>
    <x v="0"/>
    <x v="1444"/>
    <x v="369"/>
    <x v="41"/>
    <x v="216"/>
    <x v="65"/>
    <x v="649"/>
    <x v="4"/>
    <x v="446"/>
    <x v="1283"/>
    <x v="1965"/>
    <x v="81"/>
    <x v="3311"/>
    <x v="3309"/>
    <x v="2988"/>
    <x v="1"/>
    <x v="3275"/>
    <x v="3313"/>
    <x v="823"/>
    <x v="0"/>
    <x v="0"/>
    <x v="2"/>
    <x v="83"/>
    <x v="37"/>
    <x v="218"/>
    <x v="40"/>
    <x v="3"/>
    <x v="597"/>
    <x v="0"/>
    <x v="3372"/>
  </r>
  <r>
    <x v="0"/>
    <x v="1445"/>
    <x v="489"/>
    <x v="110"/>
    <x v="216"/>
    <x v="313"/>
    <x v="529"/>
    <x v="4"/>
    <x v="66"/>
    <x v="1284"/>
    <x v="1966"/>
    <x v="2340"/>
    <x v="3312"/>
    <x v="3310"/>
    <x v="2989"/>
    <x v="9"/>
    <x v="4"/>
    <x v="3314"/>
    <x v="843"/>
    <x v="0"/>
    <x v="0"/>
    <x v="4"/>
    <x v="4"/>
    <x v="6"/>
    <x v="524"/>
    <x v="6"/>
    <x v="2"/>
    <x v="267"/>
    <x v="0"/>
    <x v="3373"/>
  </r>
  <r>
    <x v="0"/>
    <x v="85"/>
    <x v="438"/>
    <x v="70"/>
    <x v="0"/>
    <x v="60"/>
    <x v="11"/>
    <x v="3038"/>
    <x v="105"/>
    <x v="63"/>
    <x v="1046"/>
    <x v="103"/>
    <x v="3313"/>
    <x v="3311"/>
    <x v="2990"/>
    <x v="0"/>
    <x v="3276"/>
    <x v="3315"/>
    <x v="550"/>
    <x v="0"/>
    <x v="1"/>
    <x v="0"/>
    <x v="83"/>
    <x v="27"/>
    <x v="249"/>
    <x v="38"/>
    <x v="3"/>
    <x v="1"/>
    <x v="0"/>
    <x v="3374"/>
  </r>
  <r>
    <x v="0"/>
    <x v="1446"/>
    <x v="262"/>
    <x v="30"/>
    <x v="89"/>
    <x v="124"/>
    <x v="575"/>
    <x v="3039"/>
    <x v="2"/>
    <x v="1285"/>
    <x v="1967"/>
    <x v="153"/>
    <x v="3314"/>
    <x v="3312"/>
    <x v="93"/>
    <x v="4"/>
    <x v="3277"/>
    <x v="3316"/>
    <x v="530"/>
    <x v="0"/>
    <x v="1"/>
    <x v="18"/>
    <x v="222"/>
    <x v="50"/>
    <x v="822"/>
    <x v="2"/>
    <x v="1"/>
    <x v="1"/>
    <x v="0"/>
    <x v="3375"/>
  </r>
  <r>
    <x v="0"/>
    <x v="113"/>
    <x v="435"/>
    <x v="84"/>
    <x v="88"/>
    <x v="431"/>
    <x v="650"/>
    <x v="4"/>
    <x v="28"/>
    <x v="1286"/>
    <x v="629"/>
    <x v="2341"/>
    <x v="3315"/>
    <x v="1934"/>
    <x v="1047"/>
    <x v="4"/>
    <x v="3278"/>
    <x v="3317"/>
    <x v="719"/>
    <x v="0"/>
    <x v="0"/>
    <x v="5"/>
    <x v="4"/>
    <x v="4"/>
    <x v="215"/>
    <x v="1"/>
    <x v="12"/>
    <x v="1"/>
    <x v="0"/>
    <x v="3376"/>
  </r>
  <r>
    <x v="0"/>
    <x v="548"/>
    <x v="216"/>
    <x v="86"/>
    <x v="0"/>
    <x v="386"/>
    <x v="328"/>
    <x v="3040"/>
    <x v="208"/>
    <x v="1150"/>
    <x v="1968"/>
    <x v="2342"/>
    <x v="3316"/>
    <x v="3313"/>
    <x v="1708"/>
    <x v="0"/>
    <x v="3279"/>
    <x v="3318"/>
    <x v="484"/>
    <x v="0"/>
    <x v="0"/>
    <x v="4"/>
    <x v="83"/>
    <x v="24"/>
    <x v="481"/>
    <x v="21"/>
    <x v="3"/>
    <x v="1"/>
    <x v="0"/>
    <x v="3377"/>
  </r>
  <r>
    <x v="0"/>
    <x v="511"/>
    <x v="349"/>
    <x v="43"/>
    <x v="89"/>
    <x v="581"/>
    <x v="583"/>
    <x v="3041"/>
    <x v="105"/>
    <x v="1287"/>
    <x v="1685"/>
    <x v="2343"/>
    <x v="3317"/>
    <x v="3314"/>
    <x v="2991"/>
    <x v="4"/>
    <x v="3280"/>
    <x v="3319"/>
    <x v="568"/>
    <x v="0"/>
    <x v="0"/>
    <x v="0"/>
    <x v="83"/>
    <x v="15"/>
    <x v="104"/>
    <x v="20"/>
    <x v="3"/>
    <x v="1"/>
    <x v="0"/>
    <x v="3378"/>
  </r>
  <r>
    <x v="0"/>
    <x v="1447"/>
    <x v="299"/>
    <x v="52"/>
    <x v="221"/>
    <x v="171"/>
    <x v="375"/>
    <x v="3042"/>
    <x v="270"/>
    <x v="1045"/>
    <x v="1969"/>
    <x v="216"/>
    <x v="3318"/>
    <x v="3315"/>
    <x v="2992"/>
    <x v="0"/>
    <x v="3281"/>
    <x v="3320"/>
    <x v="497"/>
    <x v="0"/>
    <x v="0"/>
    <x v="2"/>
    <x v="4"/>
    <x v="7"/>
    <x v="146"/>
    <x v="7"/>
    <x v="1"/>
    <x v="1"/>
    <x v="0"/>
    <x v="3379"/>
  </r>
  <r>
    <x v="0"/>
    <x v="1231"/>
    <x v="361"/>
    <x v="87"/>
    <x v="58"/>
    <x v="415"/>
    <x v="415"/>
    <x v="3043"/>
    <x v="70"/>
    <x v="758"/>
    <x v="1527"/>
    <x v="602"/>
    <x v="3319"/>
    <x v="3316"/>
    <x v="2993"/>
    <x v="0"/>
    <x v="3282"/>
    <x v="3321"/>
    <x v="291"/>
    <x v="0"/>
    <x v="0"/>
    <x v="4"/>
    <x v="83"/>
    <x v="20"/>
    <x v="238"/>
    <x v="10"/>
    <x v="3"/>
    <x v="1"/>
    <x v="0"/>
    <x v="3380"/>
  </r>
  <r>
    <x v="0"/>
    <x v="1448"/>
    <x v="313"/>
    <x v="55"/>
    <x v="221"/>
    <x v="559"/>
    <x v="6"/>
    <x v="3044"/>
    <x v="127"/>
    <x v="6"/>
    <x v="600"/>
    <x v="1085"/>
    <x v="3320"/>
    <x v="3317"/>
    <x v="2994"/>
    <x v="1"/>
    <x v="3283"/>
    <x v="3322"/>
    <x v="365"/>
    <x v="0"/>
    <x v="0"/>
    <x v="2"/>
    <x v="83"/>
    <x v="0"/>
    <x v="377"/>
    <x v="23"/>
    <x v="3"/>
    <x v="1"/>
    <x v="0"/>
    <x v="3381"/>
  </r>
  <r>
    <x v="0"/>
    <x v="452"/>
    <x v="201"/>
    <x v="57"/>
    <x v="108"/>
    <x v="522"/>
    <x v="57"/>
    <x v="928"/>
    <x v="306"/>
    <x v="109"/>
    <x v="669"/>
    <x v="791"/>
    <x v="960"/>
    <x v="3318"/>
    <x v="944"/>
    <x v="0"/>
    <x v="954"/>
    <x v="960"/>
    <x v="622"/>
    <x v="0"/>
    <x v="0"/>
    <x v="4"/>
    <x v="95"/>
    <x v="12"/>
    <x v="185"/>
    <x v="15"/>
    <x v="1"/>
    <x v="1"/>
    <x v="0"/>
    <x v="3382"/>
  </r>
  <r>
    <x v="0"/>
    <x v="1449"/>
    <x v="88"/>
    <x v="58"/>
    <x v="179"/>
    <x v="106"/>
    <x v="29"/>
    <x v="3045"/>
    <x v="152"/>
    <x v="34"/>
    <x v="1970"/>
    <x v="2344"/>
    <x v="3321"/>
    <x v="3319"/>
    <x v="2995"/>
    <x v="1"/>
    <x v="3284"/>
    <x v="3323"/>
    <x v="914"/>
    <x v="0"/>
    <x v="0"/>
    <x v="4"/>
    <x v="222"/>
    <x v="21"/>
    <x v="30"/>
    <x v="32"/>
    <x v="1"/>
    <x v="45"/>
    <x v="0"/>
    <x v="3383"/>
  </r>
  <r>
    <x v="0"/>
    <x v="760"/>
    <x v="283"/>
    <x v="41"/>
    <x v="137"/>
    <x v="623"/>
    <x v="10"/>
    <x v="3046"/>
    <x v="17"/>
    <x v="40"/>
    <x v="255"/>
    <x v="1052"/>
    <x v="3322"/>
    <x v="3320"/>
    <x v="2996"/>
    <x v="3"/>
    <x v="3285"/>
    <x v="3324"/>
    <x v="752"/>
    <x v="0"/>
    <x v="0"/>
    <x v="4"/>
    <x v="240"/>
    <x v="19"/>
    <x v="6"/>
    <x v="12"/>
    <x v="3"/>
    <x v="598"/>
    <x v="0"/>
    <x v="3384"/>
  </r>
  <r>
    <x v="0"/>
    <x v="1450"/>
    <x v="419"/>
    <x v="38"/>
    <x v="45"/>
    <x v="570"/>
    <x v="184"/>
    <x v="4"/>
    <x v="26"/>
    <x v="345"/>
    <x v="1971"/>
    <x v="2345"/>
    <x v="3323"/>
    <x v="3321"/>
    <x v="2704"/>
    <x v="4"/>
    <x v="3286"/>
    <x v="3325"/>
    <x v="129"/>
    <x v="0"/>
    <x v="4"/>
    <x v="4"/>
    <x v="83"/>
    <x v="7"/>
    <x v="366"/>
    <x v="15"/>
    <x v="1"/>
    <x v="386"/>
    <x v="0"/>
    <x v="3385"/>
  </r>
  <r>
    <x v="0"/>
    <x v="1451"/>
    <x v="74"/>
    <x v="67"/>
    <x v="266"/>
    <x v="232"/>
    <x v="25"/>
    <x v="3047"/>
    <x v="23"/>
    <x v="392"/>
    <x v="1972"/>
    <x v="294"/>
    <x v="3324"/>
    <x v="3322"/>
    <x v="2997"/>
    <x v="0"/>
    <x v="3287"/>
    <x v="3326"/>
    <x v="559"/>
    <x v="0"/>
    <x v="0"/>
    <x v="4"/>
    <x v="83"/>
    <x v="0"/>
    <x v="13"/>
    <x v="22"/>
    <x v="1"/>
    <x v="1"/>
    <x v="0"/>
    <x v="3386"/>
  </r>
  <r>
    <x v="0"/>
    <x v="1072"/>
    <x v="398"/>
    <x v="85"/>
    <x v="265"/>
    <x v="745"/>
    <x v="541"/>
    <x v="4"/>
    <x v="17"/>
    <x v="1288"/>
    <x v="1973"/>
    <x v="2346"/>
    <x v="3325"/>
    <x v="3323"/>
    <x v="1702"/>
    <x v="1"/>
    <x v="3288"/>
    <x v="3327"/>
    <x v="719"/>
    <x v="0"/>
    <x v="0"/>
    <x v="0"/>
    <x v="268"/>
    <x v="0"/>
    <x v="242"/>
    <x v="21"/>
    <x v="3"/>
    <x v="271"/>
    <x v="0"/>
    <x v="3387"/>
  </r>
  <r>
    <x v="0"/>
    <x v="1452"/>
    <x v="99"/>
    <x v="41"/>
    <x v="281"/>
    <x v="748"/>
    <x v="651"/>
    <x v="3048"/>
    <x v="105"/>
    <x v="1289"/>
    <x v="1974"/>
    <x v="2347"/>
    <x v="3326"/>
    <x v="3324"/>
    <x v="2998"/>
    <x v="4"/>
    <x v="3289"/>
    <x v="3328"/>
    <x v="593"/>
    <x v="0"/>
    <x v="0"/>
    <x v="0"/>
    <x v="83"/>
    <x v="9"/>
    <x v="365"/>
    <x v="1"/>
    <x v="3"/>
    <x v="85"/>
    <x v="0"/>
    <x v="3388"/>
  </r>
  <r>
    <x v="0"/>
    <x v="329"/>
    <x v="180"/>
    <x v="80"/>
    <x v="146"/>
    <x v="685"/>
    <x v="10"/>
    <x v="3049"/>
    <x v="127"/>
    <x v="16"/>
    <x v="1975"/>
    <x v="2348"/>
    <x v="3327"/>
    <x v="3325"/>
    <x v="2999"/>
    <x v="1"/>
    <x v="3290"/>
    <x v="3329"/>
    <x v="434"/>
    <x v="0"/>
    <x v="0"/>
    <x v="0"/>
    <x v="83"/>
    <x v="5"/>
    <x v="30"/>
    <x v="1"/>
    <x v="3"/>
    <x v="64"/>
    <x v="0"/>
    <x v="3389"/>
  </r>
  <r>
    <x v="0"/>
    <x v="1453"/>
    <x v="478"/>
    <x v="47"/>
    <x v="123"/>
    <x v="52"/>
    <x v="54"/>
    <x v="3050"/>
    <x v="105"/>
    <x v="96"/>
    <x v="137"/>
    <x v="429"/>
    <x v="3328"/>
    <x v="3326"/>
    <x v="3000"/>
    <x v="0"/>
    <x v="3291"/>
    <x v="3330"/>
    <x v="744"/>
    <x v="0"/>
    <x v="0"/>
    <x v="4"/>
    <x v="4"/>
    <x v="24"/>
    <x v="94"/>
    <x v="12"/>
    <x v="3"/>
    <x v="581"/>
    <x v="0"/>
    <x v="3390"/>
  </r>
  <r>
    <x v="1"/>
    <x v="777"/>
    <x v="128"/>
    <x v="80"/>
    <x v="91"/>
    <x v="779"/>
    <x v="551"/>
    <x v="3051"/>
    <x v="630"/>
    <x v="1053"/>
    <x v="1252"/>
    <x v="326"/>
    <x v="3329"/>
    <x v="3327"/>
    <x v="923"/>
    <x v="1"/>
    <x v="3292"/>
    <x v="3331"/>
    <x v="367"/>
    <x v="0"/>
    <x v="1"/>
    <x v="4"/>
    <x v="83"/>
    <x v="21"/>
    <x v="181"/>
    <x v="8"/>
    <x v="1"/>
    <x v="1"/>
    <x v="0"/>
    <x v="3391"/>
  </r>
  <r>
    <x v="0"/>
    <x v="1050"/>
    <x v="383"/>
    <x v="27"/>
    <x v="174"/>
    <x v="178"/>
    <x v="0"/>
    <x v="3052"/>
    <x v="200"/>
    <x v="1290"/>
    <x v="611"/>
    <x v="2349"/>
    <x v="3330"/>
    <x v="3328"/>
    <x v="3001"/>
    <x v="0"/>
    <x v="3293"/>
    <x v="3332"/>
    <x v="646"/>
    <x v="0"/>
    <x v="0"/>
    <x v="2"/>
    <x v="83"/>
    <x v="10"/>
    <x v="370"/>
    <x v="28"/>
    <x v="3"/>
    <x v="1"/>
    <x v="0"/>
    <x v="3392"/>
  </r>
  <r>
    <x v="0"/>
    <x v="57"/>
    <x v="465"/>
    <x v="42"/>
    <x v="42"/>
    <x v="156"/>
    <x v="0"/>
    <x v="4"/>
    <x v="127"/>
    <x v="441"/>
    <x v="331"/>
    <x v="2350"/>
    <x v="3331"/>
    <x v="3329"/>
    <x v="3002"/>
    <x v="4"/>
    <x v="3294"/>
    <x v="3333"/>
    <x v="650"/>
    <x v="0"/>
    <x v="0"/>
    <x v="0"/>
    <x v="83"/>
    <x v="25"/>
    <x v="222"/>
    <x v="41"/>
    <x v="3"/>
    <x v="599"/>
    <x v="0"/>
    <x v="3393"/>
  </r>
  <r>
    <x v="0"/>
    <x v="933"/>
    <x v="492"/>
    <x v="71"/>
    <x v="5"/>
    <x v="518"/>
    <x v="23"/>
    <x v="3053"/>
    <x v="125"/>
    <x v="371"/>
    <x v="832"/>
    <x v="781"/>
    <x v="3332"/>
    <x v="3330"/>
    <x v="3003"/>
    <x v="4"/>
    <x v="3295"/>
    <x v="3334"/>
    <x v="705"/>
    <x v="0"/>
    <x v="0"/>
    <x v="0"/>
    <x v="83"/>
    <x v="15"/>
    <x v="117"/>
    <x v="37"/>
    <x v="3"/>
    <x v="600"/>
    <x v="0"/>
    <x v="3394"/>
  </r>
  <r>
    <x v="0"/>
    <x v="1454"/>
    <x v="365"/>
    <x v="80"/>
    <x v="129"/>
    <x v="511"/>
    <x v="0"/>
    <x v="3054"/>
    <x v="286"/>
    <x v="255"/>
    <x v="1976"/>
    <x v="2351"/>
    <x v="3333"/>
    <x v="3331"/>
    <x v="3004"/>
    <x v="0"/>
    <x v="3296"/>
    <x v="3335"/>
    <x v="514"/>
    <x v="0"/>
    <x v="0"/>
    <x v="4"/>
    <x v="83"/>
    <x v="21"/>
    <x v="823"/>
    <x v="43"/>
    <x v="1"/>
    <x v="601"/>
    <x v="0"/>
    <x v="3395"/>
  </r>
  <r>
    <x v="0"/>
    <x v="1072"/>
    <x v="359"/>
    <x v="35"/>
    <x v="265"/>
    <x v="653"/>
    <x v="25"/>
    <x v="3055"/>
    <x v="17"/>
    <x v="82"/>
    <x v="1034"/>
    <x v="2352"/>
    <x v="3334"/>
    <x v="3332"/>
    <x v="3005"/>
    <x v="3"/>
    <x v="3297"/>
    <x v="3336"/>
    <x v="514"/>
    <x v="0"/>
    <x v="1"/>
    <x v="2"/>
    <x v="4"/>
    <x v="29"/>
    <x v="103"/>
    <x v="7"/>
    <x v="1"/>
    <x v="108"/>
    <x v="0"/>
    <x v="3396"/>
  </r>
  <r>
    <x v="0"/>
    <x v="113"/>
    <x v="465"/>
    <x v="84"/>
    <x v="88"/>
    <x v="78"/>
    <x v="22"/>
    <x v="4"/>
    <x v="734"/>
    <x v="78"/>
    <x v="377"/>
    <x v="99"/>
    <x v="3335"/>
    <x v="3333"/>
    <x v="3006"/>
    <x v="0"/>
    <x v="3298"/>
    <x v="3337"/>
    <x v="432"/>
    <x v="0"/>
    <x v="2"/>
    <x v="7"/>
    <x v="4"/>
    <x v="4"/>
    <x v="252"/>
    <x v="24"/>
    <x v="12"/>
    <x v="45"/>
    <x v="0"/>
    <x v="3397"/>
  </r>
  <r>
    <x v="0"/>
    <x v="1455"/>
    <x v="252"/>
    <x v="78"/>
    <x v="129"/>
    <x v="298"/>
    <x v="0"/>
    <x v="3056"/>
    <x v="735"/>
    <x v="543"/>
    <x v="315"/>
    <x v="2353"/>
    <x v="3336"/>
    <x v="3334"/>
    <x v="3007"/>
    <x v="0"/>
    <x v="3299"/>
    <x v="3338"/>
    <x v="629"/>
    <x v="0"/>
    <x v="0"/>
    <x v="4"/>
    <x v="83"/>
    <x v="2"/>
    <x v="104"/>
    <x v="11"/>
    <x v="1"/>
    <x v="1"/>
    <x v="0"/>
    <x v="3398"/>
  </r>
  <r>
    <x v="0"/>
    <x v="954"/>
    <x v="61"/>
    <x v="74"/>
    <x v="86"/>
    <x v="814"/>
    <x v="0"/>
    <x v="3057"/>
    <x v="200"/>
    <x v="51"/>
    <x v="317"/>
    <x v="2354"/>
    <x v="3337"/>
    <x v="3335"/>
    <x v="3008"/>
    <x v="0"/>
    <x v="3300"/>
    <x v="3339"/>
    <x v="482"/>
    <x v="0"/>
    <x v="1"/>
    <x v="0"/>
    <x v="70"/>
    <x v="5"/>
    <x v="215"/>
    <x v="11"/>
    <x v="1"/>
    <x v="1"/>
    <x v="0"/>
    <x v="3399"/>
  </r>
  <r>
    <x v="0"/>
    <x v="1456"/>
    <x v="342"/>
    <x v="70"/>
    <x v="372"/>
    <x v="450"/>
    <x v="168"/>
    <x v="3058"/>
    <x v="736"/>
    <x v="526"/>
    <x v="1117"/>
    <x v="2355"/>
    <x v="3338"/>
    <x v="3336"/>
    <x v="3009"/>
    <x v="1"/>
    <x v="3301"/>
    <x v="3340"/>
    <x v="402"/>
    <x v="3"/>
    <x v="10"/>
    <x v="4"/>
    <x v="83"/>
    <x v="19"/>
    <x v="601"/>
    <x v="1"/>
    <x v="3"/>
    <x v="1"/>
    <x v="0"/>
    <x v="3400"/>
  </r>
  <r>
    <x v="0"/>
    <x v="1114"/>
    <x v="399"/>
    <x v="139"/>
    <x v="244"/>
    <x v="386"/>
    <x v="0"/>
    <x v="3059"/>
    <x v="26"/>
    <x v="154"/>
    <x v="226"/>
    <x v="2356"/>
    <x v="3339"/>
    <x v="3337"/>
    <x v="3010"/>
    <x v="4"/>
    <x v="3302"/>
    <x v="3341"/>
    <x v="386"/>
    <x v="0"/>
    <x v="0"/>
    <x v="4"/>
    <x v="83"/>
    <x v="23"/>
    <x v="30"/>
    <x v="19"/>
    <x v="3"/>
    <x v="1"/>
    <x v="0"/>
    <x v="3401"/>
  </r>
  <r>
    <x v="0"/>
    <x v="428"/>
    <x v="324"/>
    <x v="27"/>
    <x v="233"/>
    <x v="125"/>
    <x v="0"/>
    <x v="3060"/>
    <x v="70"/>
    <x v="84"/>
    <x v="1977"/>
    <x v="2357"/>
    <x v="3340"/>
    <x v="3338"/>
    <x v="1957"/>
    <x v="1"/>
    <x v="3303"/>
    <x v="3342"/>
    <x v="558"/>
    <x v="0"/>
    <x v="8"/>
    <x v="4"/>
    <x v="83"/>
    <x v="20"/>
    <x v="618"/>
    <x v="4"/>
    <x v="3"/>
    <x v="483"/>
    <x v="0"/>
    <x v="3402"/>
  </r>
  <r>
    <x v="0"/>
    <x v="1457"/>
    <x v="145"/>
    <x v="59"/>
    <x v="106"/>
    <x v="620"/>
    <x v="388"/>
    <x v="3061"/>
    <x v="105"/>
    <x v="704"/>
    <x v="1644"/>
    <x v="1212"/>
    <x v="3341"/>
    <x v="3339"/>
    <x v="3011"/>
    <x v="3"/>
    <x v="3304"/>
    <x v="3343"/>
    <x v="549"/>
    <x v="0"/>
    <x v="0"/>
    <x v="0"/>
    <x v="83"/>
    <x v="5"/>
    <x v="439"/>
    <x v="13"/>
    <x v="3"/>
    <x v="35"/>
    <x v="0"/>
    <x v="3403"/>
  </r>
  <r>
    <x v="0"/>
    <x v="815"/>
    <x v="145"/>
    <x v="18"/>
    <x v="89"/>
    <x v="486"/>
    <x v="15"/>
    <x v="3062"/>
    <x v="239"/>
    <x v="212"/>
    <x v="1978"/>
    <x v="723"/>
    <x v="3342"/>
    <x v="3340"/>
    <x v="3012"/>
    <x v="5"/>
    <x v="3305"/>
    <x v="3344"/>
    <x v="546"/>
    <x v="0"/>
    <x v="1"/>
    <x v="4"/>
    <x v="270"/>
    <x v="5"/>
    <x v="434"/>
    <x v="13"/>
    <x v="1"/>
    <x v="1"/>
    <x v="0"/>
    <x v="3404"/>
  </r>
  <r>
    <x v="0"/>
    <x v="982"/>
    <x v="362"/>
    <x v="80"/>
    <x v="125"/>
    <x v="855"/>
    <x v="21"/>
    <x v="3063"/>
    <x v="113"/>
    <x v="298"/>
    <x v="680"/>
    <x v="2358"/>
    <x v="3343"/>
    <x v="3341"/>
    <x v="3013"/>
    <x v="4"/>
    <x v="3306"/>
    <x v="3345"/>
    <x v="705"/>
    <x v="0"/>
    <x v="1"/>
    <x v="0"/>
    <x v="83"/>
    <x v="1"/>
    <x v="30"/>
    <x v="8"/>
    <x v="1"/>
    <x v="602"/>
    <x v="0"/>
    <x v="3405"/>
  </r>
  <r>
    <x v="0"/>
    <x v="1458"/>
    <x v="430"/>
    <x v="11"/>
    <x v="80"/>
    <x v="850"/>
    <x v="0"/>
    <x v="3064"/>
    <x v="455"/>
    <x v="869"/>
    <x v="1979"/>
    <x v="2359"/>
    <x v="3344"/>
    <x v="3342"/>
    <x v="1138"/>
    <x v="4"/>
    <x v="3307"/>
    <x v="3346"/>
    <x v="820"/>
    <x v="0"/>
    <x v="0"/>
    <x v="0"/>
    <x v="83"/>
    <x v="13"/>
    <x v="382"/>
    <x v="2"/>
    <x v="10"/>
    <x v="1"/>
    <x v="0"/>
    <x v="3406"/>
  </r>
  <r>
    <x v="0"/>
    <x v="1459"/>
    <x v="479"/>
    <x v="42"/>
    <x v="282"/>
    <x v="251"/>
    <x v="652"/>
    <x v="4"/>
    <x v="457"/>
    <x v="1291"/>
    <x v="1980"/>
    <x v="468"/>
    <x v="3345"/>
    <x v="3343"/>
    <x v="1881"/>
    <x v="0"/>
    <x v="3308"/>
    <x v="3347"/>
    <x v="83"/>
    <x v="0"/>
    <x v="1"/>
    <x v="4"/>
    <x v="83"/>
    <x v="45"/>
    <x v="560"/>
    <x v="61"/>
    <x v="3"/>
    <x v="603"/>
    <x v="0"/>
    <x v="3407"/>
  </r>
  <r>
    <x v="0"/>
    <x v="1460"/>
    <x v="378"/>
    <x v="128"/>
    <x v="176"/>
    <x v="597"/>
    <x v="295"/>
    <x v="3065"/>
    <x v="45"/>
    <x v="1292"/>
    <x v="1981"/>
    <x v="2360"/>
    <x v="3346"/>
    <x v="3344"/>
    <x v="3014"/>
    <x v="0"/>
    <x v="3309"/>
    <x v="3348"/>
    <x v="409"/>
    <x v="0"/>
    <x v="10"/>
    <x v="9"/>
    <x v="170"/>
    <x v="0"/>
    <x v="624"/>
    <x v="16"/>
    <x v="3"/>
    <x v="59"/>
    <x v="0"/>
    <x v="3408"/>
  </r>
  <r>
    <x v="0"/>
    <x v="1461"/>
    <x v="189"/>
    <x v="27"/>
    <x v="182"/>
    <x v="321"/>
    <x v="80"/>
    <x v="3066"/>
    <x v="419"/>
    <x v="142"/>
    <x v="1982"/>
    <x v="2361"/>
    <x v="3347"/>
    <x v="3345"/>
    <x v="3015"/>
    <x v="1"/>
    <x v="3310"/>
    <x v="3349"/>
    <x v="417"/>
    <x v="0"/>
    <x v="0"/>
    <x v="4"/>
    <x v="83"/>
    <x v="9"/>
    <x v="4"/>
    <x v="38"/>
    <x v="3"/>
    <x v="132"/>
    <x v="0"/>
    <x v="3409"/>
  </r>
  <r>
    <x v="0"/>
    <x v="1462"/>
    <x v="336"/>
    <x v="26"/>
    <x v="69"/>
    <x v="856"/>
    <x v="35"/>
    <x v="3067"/>
    <x v="527"/>
    <x v="833"/>
    <x v="1327"/>
    <x v="2362"/>
    <x v="3348"/>
    <x v="3346"/>
    <x v="3016"/>
    <x v="4"/>
    <x v="3311"/>
    <x v="3350"/>
    <x v="472"/>
    <x v="0"/>
    <x v="0"/>
    <x v="4"/>
    <x v="83"/>
    <x v="12"/>
    <x v="431"/>
    <x v="12"/>
    <x v="1"/>
    <x v="604"/>
    <x v="0"/>
    <x v="3410"/>
  </r>
  <r>
    <x v="0"/>
    <x v="1463"/>
    <x v="438"/>
    <x v="77"/>
    <x v="164"/>
    <x v="857"/>
    <x v="80"/>
    <x v="3068"/>
    <x v="152"/>
    <x v="488"/>
    <x v="1983"/>
    <x v="2363"/>
    <x v="3349"/>
    <x v="3347"/>
    <x v="3017"/>
    <x v="3"/>
    <x v="3312"/>
    <x v="3351"/>
    <x v="823"/>
    <x v="0"/>
    <x v="0"/>
    <x v="4"/>
    <x v="83"/>
    <x v="1"/>
    <x v="347"/>
    <x v="21"/>
    <x v="1"/>
    <x v="605"/>
    <x v="0"/>
    <x v="3411"/>
  </r>
  <r>
    <x v="0"/>
    <x v="1464"/>
    <x v="479"/>
    <x v="156"/>
    <x v="0"/>
    <x v="107"/>
    <x v="22"/>
    <x v="4"/>
    <x v="17"/>
    <x v="295"/>
    <x v="152"/>
    <x v="1370"/>
    <x v="3350"/>
    <x v="3348"/>
    <x v="3018"/>
    <x v="4"/>
    <x v="3313"/>
    <x v="3352"/>
    <x v="818"/>
    <x v="0"/>
    <x v="1"/>
    <x v="1"/>
    <x v="4"/>
    <x v="3"/>
    <x v="12"/>
    <x v="13"/>
    <x v="12"/>
    <x v="606"/>
    <x v="0"/>
    <x v="3412"/>
  </r>
  <r>
    <x v="0"/>
    <x v="1465"/>
    <x v="240"/>
    <x v="56"/>
    <x v="373"/>
    <x v="1"/>
    <x v="20"/>
    <x v="3069"/>
    <x v="737"/>
    <x v="21"/>
    <x v="660"/>
    <x v="851"/>
    <x v="3351"/>
    <x v="3349"/>
    <x v="3019"/>
    <x v="4"/>
    <x v="3314"/>
    <x v="3353"/>
    <x v="167"/>
    <x v="0"/>
    <x v="0"/>
    <x v="4"/>
    <x v="83"/>
    <x v="17"/>
    <x v="249"/>
    <x v="23"/>
    <x v="3"/>
    <x v="280"/>
    <x v="0"/>
    <x v="3413"/>
  </r>
  <r>
    <x v="0"/>
    <x v="603"/>
    <x v="413"/>
    <x v="70"/>
    <x v="216"/>
    <x v="217"/>
    <x v="552"/>
    <x v="3070"/>
    <x v="387"/>
    <x v="1055"/>
    <x v="381"/>
    <x v="1115"/>
    <x v="3352"/>
    <x v="3350"/>
    <x v="3020"/>
    <x v="3"/>
    <x v="3315"/>
    <x v="3354"/>
    <x v="788"/>
    <x v="0"/>
    <x v="1"/>
    <x v="4"/>
    <x v="4"/>
    <x v="20"/>
    <x v="738"/>
    <x v="22"/>
    <x v="1"/>
    <x v="607"/>
    <x v="0"/>
    <x v="3414"/>
  </r>
  <r>
    <x v="1"/>
    <x v="1466"/>
    <x v="321"/>
    <x v="41"/>
    <x v="193"/>
    <x v="858"/>
    <x v="336"/>
    <x v="3071"/>
    <x v="699"/>
    <x v="1293"/>
    <x v="351"/>
    <x v="2364"/>
    <x v="3353"/>
    <x v="3351"/>
    <x v="3021"/>
    <x v="1"/>
    <x v="3316"/>
    <x v="3355"/>
    <x v="465"/>
    <x v="0"/>
    <x v="4"/>
    <x v="4"/>
    <x v="83"/>
    <x v="7"/>
    <x v="235"/>
    <x v="2"/>
    <x v="1"/>
    <x v="1"/>
    <x v="0"/>
    <x v="3415"/>
  </r>
  <r>
    <x v="0"/>
    <x v="1467"/>
    <x v="424"/>
    <x v="77"/>
    <x v="360"/>
    <x v="733"/>
    <x v="94"/>
    <x v="3072"/>
    <x v="105"/>
    <x v="166"/>
    <x v="1223"/>
    <x v="1480"/>
    <x v="3354"/>
    <x v="3352"/>
    <x v="3022"/>
    <x v="2"/>
    <x v="3317"/>
    <x v="3356"/>
    <x v="788"/>
    <x v="0"/>
    <x v="0"/>
    <x v="0"/>
    <x v="83"/>
    <x v="12"/>
    <x v="476"/>
    <x v="34"/>
    <x v="1"/>
    <x v="608"/>
    <x v="0"/>
    <x v="3416"/>
  </r>
  <r>
    <x v="0"/>
    <x v="592"/>
    <x v="373"/>
    <x v="42"/>
    <x v="151"/>
    <x v="417"/>
    <x v="14"/>
    <x v="3073"/>
    <x v="132"/>
    <x v="115"/>
    <x v="1256"/>
    <x v="2152"/>
    <x v="3355"/>
    <x v="3353"/>
    <x v="3023"/>
    <x v="2"/>
    <x v="3318"/>
    <x v="3357"/>
    <x v="514"/>
    <x v="0"/>
    <x v="1"/>
    <x v="0"/>
    <x v="83"/>
    <x v="5"/>
    <x v="285"/>
    <x v="8"/>
    <x v="1"/>
    <x v="1"/>
    <x v="0"/>
    <x v="3417"/>
  </r>
  <r>
    <x v="0"/>
    <x v="1468"/>
    <x v="212"/>
    <x v="54"/>
    <x v="221"/>
    <x v="655"/>
    <x v="252"/>
    <x v="3074"/>
    <x v="444"/>
    <x v="462"/>
    <x v="1984"/>
    <x v="2192"/>
    <x v="3356"/>
    <x v="3354"/>
    <x v="1398"/>
    <x v="0"/>
    <x v="3319"/>
    <x v="3358"/>
    <x v="653"/>
    <x v="0"/>
    <x v="0"/>
    <x v="4"/>
    <x v="83"/>
    <x v="8"/>
    <x v="139"/>
    <x v="19"/>
    <x v="1"/>
    <x v="67"/>
    <x v="0"/>
    <x v="3418"/>
  </r>
  <r>
    <x v="0"/>
    <x v="113"/>
    <x v="435"/>
    <x v="30"/>
    <x v="88"/>
    <x v="309"/>
    <x v="3"/>
    <x v="4"/>
    <x v="17"/>
    <x v="3"/>
    <x v="483"/>
    <x v="1397"/>
    <x v="3357"/>
    <x v="3355"/>
    <x v="3024"/>
    <x v="4"/>
    <x v="3320"/>
    <x v="3359"/>
    <x v="631"/>
    <x v="0"/>
    <x v="1"/>
    <x v="1"/>
    <x v="4"/>
    <x v="4"/>
    <x v="313"/>
    <x v="16"/>
    <x v="2"/>
    <x v="1"/>
    <x v="0"/>
    <x v="3419"/>
  </r>
  <r>
    <x v="0"/>
    <x v="1469"/>
    <x v="396"/>
    <x v="86"/>
    <x v="217"/>
    <x v="130"/>
    <x v="279"/>
    <x v="3075"/>
    <x v="168"/>
    <x v="508"/>
    <x v="1501"/>
    <x v="752"/>
    <x v="3358"/>
    <x v="3356"/>
    <x v="3025"/>
    <x v="7"/>
    <x v="3321"/>
    <x v="3360"/>
    <x v="705"/>
    <x v="0"/>
    <x v="0"/>
    <x v="4"/>
    <x v="83"/>
    <x v="7"/>
    <x v="84"/>
    <x v="21"/>
    <x v="1"/>
    <x v="609"/>
    <x v="0"/>
    <x v="3420"/>
  </r>
  <r>
    <x v="0"/>
    <x v="1470"/>
    <x v="388"/>
    <x v="58"/>
    <x v="374"/>
    <x v="433"/>
    <x v="324"/>
    <x v="3076"/>
    <x v="245"/>
    <x v="579"/>
    <x v="1985"/>
    <x v="1095"/>
    <x v="3359"/>
    <x v="3357"/>
    <x v="2360"/>
    <x v="0"/>
    <x v="3322"/>
    <x v="3361"/>
    <x v="695"/>
    <x v="0"/>
    <x v="20"/>
    <x v="10"/>
    <x v="95"/>
    <x v="14"/>
    <x v="188"/>
    <x v="4"/>
    <x v="10"/>
    <x v="377"/>
    <x v="0"/>
    <x v="3421"/>
  </r>
  <r>
    <x v="0"/>
    <x v="1471"/>
    <x v="392"/>
    <x v="55"/>
    <x v="171"/>
    <x v="702"/>
    <x v="96"/>
    <x v="3077"/>
    <x v="270"/>
    <x v="1294"/>
    <x v="1986"/>
    <x v="2365"/>
    <x v="3360"/>
    <x v="3358"/>
    <x v="3026"/>
    <x v="1"/>
    <x v="4"/>
    <x v="3362"/>
    <x v="744"/>
    <x v="0"/>
    <x v="13"/>
    <x v="4"/>
    <x v="83"/>
    <x v="11"/>
    <x v="255"/>
    <x v="43"/>
    <x v="1"/>
    <x v="282"/>
    <x v="0"/>
    <x v="3422"/>
  </r>
  <r>
    <x v="0"/>
    <x v="966"/>
    <x v="322"/>
    <x v="23"/>
    <x v="266"/>
    <x v="597"/>
    <x v="346"/>
    <x v="3078"/>
    <x v="738"/>
    <x v="1295"/>
    <x v="1987"/>
    <x v="2366"/>
    <x v="3361"/>
    <x v="3359"/>
    <x v="3027"/>
    <x v="0"/>
    <x v="3323"/>
    <x v="3363"/>
    <x v="915"/>
    <x v="2"/>
    <x v="7"/>
    <x v="4"/>
    <x v="271"/>
    <x v="32"/>
    <x v="624"/>
    <x v="14"/>
    <x v="3"/>
    <x v="1"/>
    <x v="0"/>
    <x v="3423"/>
  </r>
  <r>
    <x v="0"/>
    <x v="535"/>
    <x v="421"/>
    <x v="55"/>
    <x v="184"/>
    <x v="1"/>
    <x v="29"/>
    <x v="4"/>
    <x v="23"/>
    <x v="74"/>
    <x v="35"/>
    <x v="2117"/>
    <x v="3362"/>
    <x v="3360"/>
    <x v="3028"/>
    <x v="4"/>
    <x v="3324"/>
    <x v="3364"/>
    <x v="755"/>
    <x v="0"/>
    <x v="0"/>
    <x v="4"/>
    <x v="134"/>
    <x v="1"/>
    <x v="10"/>
    <x v="18"/>
    <x v="1"/>
    <x v="1"/>
    <x v="0"/>
    <x v="3424"/>
  </r>
  <r>
    <x v="0"/>
    <x v="1472"/>
    <x v="393"/>
    <x v="23"/>
    <x v="216"/>
    <x v="549"/>
    <x v="559"/>
    <x v="4"/>
    <x v="122"/>
    <x v="1296"/>
    <x v="1988"/>
    <x v="2367"/>
    <x v="3363"/>
    <x v="3361"/>
    <x v="3029"/>
    <x v="0"/>
    <x v="3325"/>
    <x v="3365"/>
    <x v="755"/>
    <x v="3"/>
    <x v="4"/>
    <x v="2"/>
    <x v="83"/>
    <x v="12"/>
    <x v="365"/>
    <x v="16"/>
    <x v="1"/>
    <x v="610"/>
    <x v="0"/>
    <x v="3425"/>
  </r>
  <r>
    <x v="0"/>
    <x v="1473"/>
    <x v="152"/>
    <x v="45"/>
    <x v="216"/>
    <x v="539"/>
    <x v="466"/>
    <x v="4"/>
    <x v="28"/>
    <x v="1297"/>
    <x v="1989"/>
    <x v="833"/>
    <x v="3364"/>
    <x v="3362"/>
    <x v="3030"/>
    <x v="5"/>
    <x v="3326"/>
    <x v="3366"/>
    <x v="343"/>
    <x v="0"/>
    <x v="0"/>
    <x v="4"/>
    <x v="83"/>
    <x v="11"/>
    <x v="406"/>
    <x v="51"/>
    <x v="2"/>
    <x v="611"/>
    <x v="0"/>
    <x v="3426"/>
  </r>
  <r>
    <x v="0"/>
    <x v="575"/>
    <x v="492"/>
    <x v="37"/>
    <x v="195"/>
    <x v="660"/>
    <x v="133"/>
    <x v="3079"/>
    <x v="213"/>
    <x v="1298"/>
    <x v="1990"/>
    <x v="2368"/>
    <x v="3365"/>
    <x v="3363"/>
    <x v="3031"/>
    <x v="4"/>
    <x v="4"/>
    <x v="3367"/>
    <x v="188"/>
    <x v="21"/>
    <x v="9"/>
    <x v="1"/>
    <x v="4"/>
    <x v="9"/>
    <x v="658"/>
    <x v="37"/>
    <x v="1"/>
    <x v="612"/>
    <x v="0"/>
    <x v="3427"/>
  </r>
  <r>
    <x v="0"/>
    <x v="1474"/>
    <x v="69"/>
    <x v="78"/>
    <x v="122"/>
    <x v="386"/>
    <x v="636"/>
    <x v="3080"/>
    <x v="105"/>
    <x v="1299"/>
    <x v="684"/>
    <x v="2369"/>
    <x v="3366"/>
    <x v="3364"/>
    <x v="484"/>
    <x v="0"/>
    <x v="3327"/>
    <x v="3368"/>
    <x v="585"/>
    <x v="0"/>
    <x v="1"/>
    <x v="4"/>
    <x v="272"/>
    <x v="12"/>
    <x v="39"/>
    <x v="8"/>
    <x v="1"/>
    <x v="1"/>
    <x v="0"/>
    <x v="3428"/>
  </r>
  <r>
    <x v="0"/>
    <x v="545"/>
    <x v="451"/>
    <x v="27"/>
    <x v="266"/>
    <x v="859"/>
    <x v="653"/>
    <x v="4"/>
    <x v="270"/>
    <x v="1300"/>
    <x v="1991"/>
    <x v="2370"/>
    <x v="3367"/>
    <x v="3365"/>
    <x v="3032"/>
    <x v="0"/>
    <x v="4"/>
    <x v="3369"/>
    <x v="685"/>
    <x v="0"/>
    <x v="0"/>
    <x v="0"/>
    <x v="83"/>
    <x v="6"/>
    <x v="553"/>
    <x v="25"/>
    <x v="1"/>
    <x v="613"/>
    <x v="0"/>
    <x v="3429"/>
  </r>
  <r>
    <x v="0"/>
    <x v="1456"/>
    <x v="202"/>
    <x v="58"/>
    <x v="372"/>
    <x v="100"/>
    <x v="156"/>
    <x v="3081"/>
    <x v="171"/>
    <x v="289"/>
    <x v="1338"/>
    <x v="2371"/>
    <x v="3368"/>
    <x v="3366"/>
    <x v="3033"/>
    <x v="0"/>
    <x v="3328"/>
    <x v="3370"/>
    <x v="160"/>
    <x v="0"/>
    <x v="10"/>
    <x v="4"/>
    <x v="4"/>
    <x v="17"/>
    <x v="532"/>
    <x v="2"/>
    <x v="3"/>
    <x v="1"/>
    <x v="0"/>
    <x v="3430"/>
  </r>
  <r>
    <x v="0"/>
    <x v="1475"/>
    <x v="429"/>
    <x v="41"/>
    <x v="106"/>
    <x v="730"/>
    <x v="0"/>
    <x v="4"/>
    <x v="54"/>
    <x v="1301"/>
    <x v="1992"/>
    <x v="2372"/>
    <x v="3369"/>
    <x v="1503"/>
    <x v="3034"/>
    <x v="4"/>
    <x v="3329"/>
    <x v="3371"/>
    <x v="96"/>
    <x v="0"/>
    <x v="1"/>
    <x v="4"/>
    <x v="4"/>
    <x v="9"/>
    <x v="824"/>
    <x v="28"/>
    <x v="1"/>
    <x v="1"/>
    <x v="0"/>
    <x v="3431"/>
  </r>
  <r>
    <x v="0"/>
    <x v="1476"/>
    <x v="152"/>
    <x v="78"/>
    <x v="244"/>
    <x v="713"/>
    <x v="164"/>
    <x v="3082"/>
    <x v="277"/>
    <x v="304"/>
    <x v="682"/>
    <x v="2373"/>
    <x v="3370"/>
    <x v="3367"/>
    <x v="2759"/>
    <x v="4"/>
    <x v="3330"/>
    <x v="3372"/>
    <x v="712"/>
    <x v="0"/>
    <x v="5"/>
    <x v="4"/>
    <x v="70"/>
    <x v="30"/>
    <x v="200"/>
    <x v="12"/>
    <x v="8"/>
    <x v="307"/>
    <x v="0"/>
    <x v="3432"/>
  </r>
  <r>
    <x v="0"/>
    <x v="1477"/>
    <x v="464"/>
    <x v="11"/>
    <x v="238"/>
    <x v="860"/>
    <x v="125"/>
    <x v="4"/>
    <x v="97"/>
    <x v="1302"/>
    <x v="1993"/>
    <x v="2374"/>
    <x v="3371"/>
    <x v="3368"/>
    <x v="3035"/>
    <x v="0"/>
    <x v="3331"/>
    <x v="3373"/>
    <x v="792"/>
    <x v="0"/>
    <x v="0"/>
    <x v="4"/>
    <x v="83"/>
    <x v="6"/>
    <x v="113"/>
    <x v="39"/>
    <x v="2"/>
    <x v="261"/>
    <x v="0"/>
    <x v="3433"/>
  </r>
  <r>
    <x v="0"/>
    <x v="545"/>
    <x v="258"/>
    <x v="77"/>
    <x v="266"/>
    <x v="703"/>
    <x v="2"/>
    <x v="3083"/>
    <x v="301"/>
    <x v="130"/>
    <x v="1994"/>
    <x v="2375"/>
    <x v="3372"/>
    <x v="3369"/>
    <x v="3036"/>
    <x v="1"/>
    <x v="3332"/>
    <x v="3374"/>
    <x v="227"/>
    <x v="0"/>
    <x v="0"/>
    <x v="2"/>
    <x v="244"/>
    <x v="30"/>
    <x v="34"/>
    <x v="38"/>
    <x v="3"/>
    <x v="67"/>
    <x v="0"/>
    <x v="3434"/>
  </r>
  <r>
    <x v="0"/>
    <x v="657"/>
    <x v="384"/>
    <x v="69"/>
    <x v="156"/>
    <x v="861"/>
    <x v="0"/>
    <x v="3084"/>
    <x v="200"/>
    <x v="159"/>
    <x v="890"/>
    <x v="2376"/>
    <x v="3373"/>
    <x v="3370"/>
    <x v="3037"/>
    <x v="5"/>
    <x v="3333"/>
    <x v="3375"/>
    <x v="737"/>
    <x v="0"/>
    <x v="0"/>
    <x v="4"/>
    <x v="244"/>
    <x v="13"/>
    <x v="30"/>
    <x v="8"/>
    <x v="3"/>
    <x v="614"/>
    <x v="0"/>
    <x v="3435"/>
  </r>
  <r>
    <x v="0"/>
    <x v="1478"/>
    <x v="219"/>
    <x v="71"/>
    <x v="143"/>
    <x v="221"/>
    <x v="636"/>
    <x v="3085"/>
    <x v="170"/>
    <x v="1303"/>
    <x v="1995"/>
    <x v="2377"/>
    <x v="3374"/>
    <x v="3371"/>
    <x v="3038"/>
    <x v="1"/>
    <x v="3334"/>
    <x v="3376"/>
    <x v="671"/>
    <x v="13"/>
    <x v="14"/>
    <x v="4"/>
    <x v="244"/>
    <x v="16"/>
    <x v="338"/>
    <x v="10"/>
    <x v="1"/>
    <x v="1"/>
    <x v="0"/>
    <x v="3436"/>
  </r>
  <r>
    <x v="0"/>
    <x v="1479"/>
    <x v="182"/>
    <x v="59"/>
    <x v="216"/>
    <x v="183"/>
    <x v="14"/>
    <x v="4"/>
    <x v="739"/>
    <x v="414"/>
    <x v="1996"/>
    <x v="2378"/>
    <x v="3375"/>
    <x v="3372"/>
    <x v="3039"/>
    <x v="0"/>
    <x v="3335"/>
    <x v="3377"/>
    <x v="786"/>
    <x v="3"/>
    <x v="10"/>
    <x v="1"/>
    <x v="273"/>
    <x v="11"/>
    <x v="626"/>
    <x v="11"/>
    <x v="1"/>
    <x v="43"/>
    <x v="0"/>
    <x v="3437"/>
  </r>
  <r>
    <x v="0"/>
    <x v="689"/>
    <x v="178"/>
    <x v="80"/>
    <x v="285"/>
    <x v="743"/>
    <x v="6"/>
    <x v="3086"/>
    <x v="200"/>
    <x v="6"/>
    <x v="1096"/>
    <x v="2379"/>
    <x v="3376"/>
    <x v="3373"/>
    <x v="3040"/>
    <x v="0"/>
    <x v="3336"/>
    <x v="3378"/>
    <x v="451"/>
    <x v="0"/>
    <x v="0"/>
    <x v="4"/>
    <x v="170"/>
    <x v="12"/>
    <x v="37"/>
    <x v="32"/>
    <x v="1"/>
    <x v="1"/>
    <x v="0"/>
    <x v="3438"/>
  </r>
  <r>
    <x v="0"/>
    <x v="1480"/>
    <x v="153"/>
    <x v="50"/>
    <x v="0"/>
    <x v="314"/>
    <x v="0"/>
    <x v="3087"/>
    <x v="429"/>
    <x v="544"/>
    <x v="1918"/>
    <x v="2380"/>
    <x v="3377"/>
    <x v="3374"/>
    <x v="3041"/>
    <x v="0"/>
    <x v="3337"/>
    <x v="3379"/>
    <x v="618"/>
    <x v="0"/>
    <x v="0"/>
    <x v="4"/>
    <x v="70"/>
    <x v="1"/>
    <x v="500"/>
    <x v="28"/>
    <x v="1"/>
    <x v="1"/>
    <x v="0"/>
    <x v="3439"/>
  </r>
  <r>
    <x v="0"/>
    <x v="1120"/>
    <x v="504"/>
    <x v="7"/>
    <x v="170"/>
    <x v="402"/>
    <x v="22"/>
    <x v="3088"/>
    <x v="270"/>
    <x v="78"/>
    <x v="774"/>
    <x v="2381"/>
    <x v="3378"/>
    <x v="3375"/>
    <x v="3042"/>
    <x v="0"/>
    <x v="3338"/>
    <x v="3380"/>
    <x v="414"/>
    <x v="0"/>
    <x v="1"/>
    <x v="0"/>
    <x v="274"/>
    <x v="0"/>
    <x v="88"/>
    <x v="11"/>
    <x v="1"/>
    <x v="85"/>
    <x v="0"/>
    <x v="3440"/>
  </r>
  <r>
    <x v="0"/>
    <x v="982"/>
    <x v="310"/>
    <x v="11"/>
    <x v="125"/>
    <x v="2"/>
    <x v="93"/>
    <x v="3089"/>
    <x v="17"/>
    <x v="165"/>
    <x v="891"/>
    <x v="1828"/>
    <x v="3379"/>
    <x v="3376"/>
    <x v="3043"/>
    <x v="3"/>
    <x v="3339"/>
    <x v="3381"/>
    <x v="679"/>
    <x v="0"/>
    <x v="0"/>
    <x v="4"/>
    <x v="4"/>
    <x v="12"/>
    <x v="512"/>
    <x v="21"/>
    <x v="1"/>
    <x v="103"/>
    <x v="0"/>
    <x v="3441"/>
  </r>
  <r>
    <x v="0"/>
    <x v="1481"/>
    <x v="435"/>
    <x v="56"/>
    <x v="110"/>
    <x v="488"/>
    <x v="114"/>
    <x v="3090"/>
    <x v="105"/>
    <x v="1304"/>
    <x v="971"/>
    <x v="2382"/>
    <x v="3380"/>
    <x v="3377"/>
    <x v="380"/>
    <x v="0"/>
    <x v="3340"/>
    <x v="3382"/>
    <x v="666"/>
    <x v="0"/>
    <x v="1"/>
    <x v="4"/>
    <x v="244"/>
    <x v="31"/>
    <x v="280"/>
    <x v="19"/>
    <x v="3"/>
    <x v="567"/>
    <x v="0"/>
    <x v="3442"/>
  </r>
  <r>
    <x v="0"/>
    <x v="796"/>
    <x v="238"/>
    <x v="72"/>
    <x v="304"/>
    <x v="826"/>
    <x v="84"/>
    <x v="3091"/>
    <x v="171"/>
    <x v="147"/>
    <x v="401"/>
    <x v="2383"/>
    <x v="3381"/>
    <x v="3378"/>
    <x v="3007"/>
    <x v="1"/>
    <x v="3341"/>
    <x v="3383"/>
    <x v="178"/>
    <x v="0"/>
    <x v="0"/>
    <x v="4"/>
    <x v="244"/>
    <x v="19"/>
    <x v="270"/>
    <x v="13"/>
    <x v="3"/>
    <x v="103"/>
    <x v="0"/>
    <x v="3443"/>
  </r>
  <r>
    <x v="0"/>
    <x v="958"/>
    <x v="435"/>
    <x v="58"/>
    <x v="326"/>
    <x v="457"/>
    <x v="117"/>
    <x v="3092"/>
    <x v="334"/>
    <x v="1305"/>
    <x v="1997"/>
    <x v="1069"/>
    <x v="3382"/>
    <x v="3379"/>
    <x v="2075"/>
    <x v="3"/>
    <x v="3342"/>
    <x v="3384"/>
    <x v="536"/>
    <x v="0"/>
    <x v="4"/>
    <x v="4"/>
    <x v="244"/>
    <x v="19"/>
    <x v="367"/>
    <x v="19"/>
    <x v="3"/>
    <x v="1"/>
    <x v="0"/>
    <x v="3444"/>
  </r>
  <r>
    <x v="0"/>
    <x v="1482"/>
    <x v="311"/>
    <x v="55"/>
    <x v="174"/>
    <x v="724"/>
    <x v="181"/>
    <x v="3093"/>
    <x v="70"/>
    <x v="340"/>
    <x v="1284"/>
    <x v="2384"/>
    <x v="3383"/>
    <x v="3380"/>
    <x v="3044"/>
    <x v="4"/>
    <x v="3343"/>
    <x v="3385"/>
    <x v="822"/>
    <x v="0"/>
    <x v="0"/>
    <x v="0"/>
    <x v="244"/>
    <x v="8"/>
    <x v="664"/>
    <x v="69"/>
    <x v="3"/>
    <x v="615"/>
    <x v="0"/>
    <x v="3445"/>
  </r>
  <r>
    <x v="0"/>
    <x v="1483"/>
    <x v="489"/>
    <x v="34"/>
    <x v="0"/>
    <x v="251"/>
    <x v="654"/>
    <x v="3094"/>
    <x v="17"/>
    <x v="1306"/>
    <x v="1998"/>
    <x v="2385"/>
    <x v="3384"/>
    <x v="3381"/>
    <x v="725"/>
    <x v="1"/>
    <x v="3344"/>
    <x v="3386"/>
    <x v="631"/>
    <x v="0"/>
    <x v="0"/>
    <x v="2"/>
    <x v="244"/>
    <x v="14"/>
    <x v="662"/>
    <x v="8"/>
    <x v="2"/>
    <x v="616"/>
    <x v="0"/>
    <x v="3446"/>
  </r>
  <r>
    <x v="0"/>
    <x v="1230"/>
    <x v="203"/>
    <x v="80"/>
    <x v="320"/>
    <x v="232"/>
    <x v="6"/>
    <x v="3095"/>
    <x v="314"/>
    <x v="6"/>
    <x v="34"/>
    <x v="294"/>
    <x v="3385"/>
    <x v="3382"/>
    <x v="3045"/>
    <x v="5"/>
    <x v="3345"/>
    <x v="3387"/>
    <x v="170"/>
    <x v="0"/>
    <x v="0"/>
    <x v="4"/>
    <x v="83"/>
    <x v="0"/>
    <x v="28"/>
    <x v="5"/>
    <x v="3"/>
    <x v="1"/>
    <x v="0"/>
    <x v="3447"/>
  </r>
  <r>
    <x v="0"/>
    <x v="327"/>
    <x v="359"/>
    <x v="52"/>
    <x v="202"/>
    <x v="107"/>
    <x v="25"/>
    <x v="3096"/>
    <x v="379"/>
    <x v="30"/>
    <x v="432"/>
    <x v="2028"/>
    <x v="3386"/>
    <x v="3383"/>
    <x v="3046"/>
    <x v="0"/>
    <x v="3346"/>
    <x v="3388"/>
    <x v="581"/>
    <x v="0"/>
    <x v="0"/>
    <x v="0"/>
    <x v="4"/>
    <x v="17"/>
    <x v="431"/>
    <x v="34"/>
    <x v="3"/>
    <x v="617"/>
    <x v="0"/>
    <x v="3448"/>
  </r>
  <r>
    <x v="0"/>
    <x v="1484"/>
    <x v="428"/>
    <x v="33"/>
    <x v="180"/>
    <x v="79"/>
    <x v="655"/>
    <x v="3097"/>
    <x v="733"/>
    <x v="1307"/>
    <x v="1999"/>
    <x v="2386"/>
    <x v="3387"/>
    <x v="3384"/>
    <x v="3047"/>
    <x v="0"/>
    <x v="3347"/>
    <x v="3389"/>
    <x v="721"/>
    <x v="3"/>
    <x v="10"/>
    <x v="1"/>
    <x v="95"/>
    <x v="18"/>
    <x v="608"/>
    <x v="8"/>
    <x v="2"/>
    <x v="285"/>
    <x v="0"/>
    <x v="3449"/>
  </r>
  <r>
    <x v="0"/>
    <x v="790"/>
    <x v="395"/>
    <x v="41"/>
    <x v="303"/>
    <x v="528"/>
    <x v="213"/>
    <x v="3098"/>
    <x v="740"/>
    <x v="1059"/>
    <x v="2000"/>
    <x v="2387"/>
    <x v="3388"/>
    <x v="3385"/>
    <x v="3048"/>
    <x v="0"/>
    <x v="3348"/>
    <x v="3390"/>
    <x v="549"/>
    <x v="0"/>
    <x v="1"/>
    <x v="4"/>
    <x v="244"/>
    <x v="17"/>
    <x v="524"/>
    <x v="22"/>
    <x v="1"/>
    <x v="1"/>
    <x v="0"/>
    <x v="3450"/>
  </r>
  <r>
    <x v="0"/>
    <x v="1485"/>
    <x v="169"/>
    <x v="59"/>
    <x v="188"/>
    <x v="188"/>
    <x v="15"/>
    <x v="4"/>
    <x v="125"/>
    <x v="212"/>
    <x v="2001"/>
    <x v="595"/>
    <x v="3389"/>
    <x v="3386"/>
    <x v="3049"/>
    <x v="3"/>
    <x v="4"/>
    <x v="3391"/>
    <x v="416"/>
    <x v="0"/>
    <x v="1"/>
    <x v="1"/>
    <x v="244"/>
    <x v="3"/>
    <x v="825"/>
    <x v="30"/>
    <x v="2"/>
    <x v="618"/>
    <x v="0"/>
    <x v="3451"/>
  </r>
  <r>
    <x v="0"/>
    <x v="721"/>
    <x v="133"/>
    <x v="69"/>
    <x v="290"/>
    <x v="384"/>
    <x v="22"/>
    <x v="2905"/>
    <x v="168"/>
    <x v="202"/>
    <x v="1279"/>
    <x v="2226"/>
    <x v="3137"/>
    <x v="3133"/>
    <x v="2844"/>
    <x v="0"/>
    <x v="3107"/>
    <x v="3139"/>
    <x v="907"/>
    <x v="0"/>
    <x v="8"/>
    <x v="4"/>
    <x v="170"/>
    <x v="14"/>
    <x v="413"/>
    <x v="0"/>
    <x v="1"/>
    <x v="45"/>
    <x v="0"/>
    <x v="3452"/>
  </r>
  <r>
    <x v="0"/>
    <x v="1486"/>
    <x v="279"/>
    <x v="18"/>
    <x v="136"/>
    <x v="699"/>
    <x v="22"/>
    <x v="3099"/>
    <x v="270"/>
    <x v="1138"/>
    <x v="2002"/>
    <x v="1322"/>
    <x v="3390"/>
    <x v="3387"/>
    <x v="3050"/>
    <x v="3"/>
    <x v="3349"/>
    <x v="3392"/>
    <x v="465"/>
    <x v="0"/>
    <x v="1"/>
    <x v="4"/>
    <x v="83"/>
    <x v="10"/>
    <x v="826"/>
    <x v="10"/>
    <x v="1"/>
    <x v="1"/>
    <x v="0"/>
    <x v="3453"/>
  </r>
  <r>
    <x v="0"/>
    <x v="1487"/>
    <x v="489"/>
    <x v="54"/>
    <x v="131"/>
    <x v="221"/>
    <x v="656"/>
    <x v="4"/>
    <x v="28"/>
    <x v="1308"/>
    <x v="2003"/>
    <x v="2388"/>
    <x v="3391"/>
    <x v="3388"/>
    <x v="2327"/>
    <x v="3"/>
    <x v="3350"/>
    <x v="3393"/>
    <x v="854"/>
    <x v="0"/>
    <x v="48"/>
    <x v="1"/>
    <x v="244"/>
    <x v="3"/>
    <x v="638"/>
    <x v="23"/>
    <x v="2"/>
    <x v="264"/>
    <x v="0"/>
    <x v="3454"/>
  </r>
  <r>
    <x v="0"/>
    <x v="1488"/>
    <x v="441"/>
    <x v="9"/>
    <x v="78"/>
    <x v="57"/>
    <x v="657"/>
    <x v="3100"/>
    <x v="215"/>
    <x v="1309"/>
    <x v="2004"/>
    <x v="2389"/>
    <x v="3392"/>
    <x v="3389"/>
    <x v="225"/>
    <x v="3"/>
    <x v="3351"/>
    <x v="3394"/>
    <x v="820"/>
    <x v="8"/>
    <x v="0"/>
    <x v="1"/>
    <x v="224"/>
    <x v="1"/>
    <x v="197"/>
    <x v="28"/>
    <x v="2"/>
    <x v="619"/>
    <x v="0"/>
    <x v="3455"/>
  </r>
  <r>
    <x v="0"/>
    <x v="1489"/>
    <x v="354"/>
    <x v="71"/>
    <x v="123"/>
    <x v="278"/>
    <x v="168"/>
    <x v="3101"/>
    <x v="741"/>
    <x v="526"/>
    <x v="1807"/>
    <x v="2390"/>
    <x v="3393"/>
    <x v="3390"/>
    <x v="3051"/>
    <x v="0"/>
    <x v="3352"/>
    <x v="3395"/>
    <x v="469"/>
    <x v="3"/>
    <x v="10"/>
    <x v="0"/>
    <x v="275"/>
    <x v="1"/>
    <x v="512"/>
    <x v="25"/>
    <x v="3"/>
    <x v="57"/>
    <x v="0"/>
    <x v="3456"/>
  </r>
  <r>
    <x v="0"/>
    <x v="259"/>
    <x v="304"/>
    <x v="80"/>
    <x v="173"/>
    <x v="410"/>
    <x v="156"/>
    <x v="4"/>
    <x v="742"/>
    <x v="1008"/>
    <x v="573"/>
    <x v="596"/>
    <x v="3394"/>
    <x v="3391"/>
    <x v="3052"/>
    <x v="4"/>
    <x v="3353"/>
    <x v="3396"/>
    <x v="212"/>
    <x v="0"/>
    <x v="0"/>
    <x v="0"/>
    <x v="176"/>
    <x v="0"/>
    <x v="368"/>
    <x v="20"/>
    <x v="3"/>
    <x v="1"/>
    <x v="0"/>
    <x v="3457"/>
  </r>
  <r>
    <x v="0"/>
    <x v="1490"/>
    <x v="197"/>
    <x v="86"/>
    <x v="80"/>
    <x v="823"/>
    <x v="190"/>
    <x v="4"/>
    <x v="306"/>
    <x v="1310"/>
    <x v="2005"/>
    <x v="2391"/>
    <x v="3395"/>
    <x v="480"/>
    <x v="2203"/>
    <x v="0"/>
    <x v="3354"/>
    <x v="3397"/>
    <x v="793"/>
    <x v="15"/>
    <x v="8"/>
    <x v="1"/>
    <x v="240"/>
    <x v="8"/>
    <x v="38"/>
    <x v="32"/>
    <x v="1"/>
    <x v="68"/>
    <x v="0"/>
    <x v="3458"/>
  </r>
  <r>
    <x v="0"/>
    <x v="1099"/>
    <x v="268"/>
    <x v="34"/>
    <x v="0"/>
    <x v="572"/>
    <x v="11"/>
    <x v="3102"/>
    <x v="381"/>
    <x v="63"/>
    <x v="1158"/>
    <x v="2392"/>
    <x v="3396"/>
    <x v="3392"/>
    <x v="3053"/>
    <x v="4"/>
    <x v="3355"/>
    <x v="3398"/>
    <x v="546"/>
    <x v="0"/>
    <x v="10"/>
    <x v="4"/>
    <x v="222"/>
    <x v="6"/>
    <x v="379"/>
    <x v="15"/>
    <x v="1"/>
    <x v="1"/>
    <x v="0"/>
    <x v="3459"/>
  </r>
  <r>
    <x v="0"/>
    <x v="1491"/>
    <x v="400"/>
    <x v="55"/>
    <x v="69"/>
    <x v="97"/>
    <x v="160"/>
    <x v="3103"/>
    <x v="28"/>
    <x v="444"/>
    <x v="483"/>
    <x v="122"/>
    <x v="3397"/>
    <x v="3393"/>
    <x v="2087"/>
    <x v="1"/>
    <x v="3356"/>
    <x v="3399"/>
    <x v="288"/>
    <x v="0"/>
    <x v="1"/>
    <x v="4"/>
    <x v="275"/>
    <x v="0"/>
    <x v="313"/>
    <x v="13"/>
    <x v="1"/>
    <x v="1"/>
    <x v="0"/>
    <x v="3460"/>
  </r>
  <r>
    <x v="0"/>
    <x v="6"/>
    <x v="6"/>
    <x v="6"/>
    <x v="0"/>
    <x v="6"/>
    <x v="6"/>
    <x v="6"/>
    <x v="6"/>
    <x v="6"/>
    <x v="6"/>
    <x v="6"/>
    <x v="6"/>
    <x v="3394"/>
    <x v="6"/>
    <x v="0"/>
    <x v="6"/>
    <x v="6"/>
    <x v="6"/>
    <x v="0"/>
    <x v="0"/>
    <x v="0"/>
    <x v="6"/>
    <x v="1"/>
    <x v="6"/>
    <x v="5"/>
    <x v="1"/>
    <x v="1"/>
    <x v="0"/>
    <x v="3461"/>
  </r>
  <r>
    <x v="0"/>
    <x v="1492"/>
    <x v="347"/>
    <x v="7"/>
    <x v="0"/>
    <x v="460"/>
    <x v="486"/>
    <x v="3104"/>
    <x v="20"/>
    <x v="1311"/>
    <x v="984"/>
    <x v="2393"/>
    <x v="3398"/>
    <x v="3395"/>
    <x v="3054"/>
    <x v="0"/>
    <x v="3357"/>
    <x v="3400"/>
    <x v="133"/>
    <x v="0"/>
    <x v="0"/>
    <x v="0"/>
    <x v="244"/>
    <x v="15"/>
    <x v="545"/>
    <x v="58"/>
    <x v="15"/>
    <x v="620"/>
    <x v="0"/>
    <x v="3462"/>
  </r>
  <r>
    <x v="0"/>
    <x v="689"/>
    <x v="381"/>
    <x v="45"/>
    <x v="285"/>
    <x v="648"/>
    <x v="6"/>
    <x v="3105"/>
    <x v="105"/>
    <x v="6"/>
    <x v="1859"/>
    <x v="2394"/>
    <x v="3399"/>
    <x v="3396"/>
    <x v="3055"/>
    <x v="0"/>
    <x v="3358"/>
    <x v="3401"/>
    <x v="916"/>
    <x v="0"/>
    <x v="0"/>
    <x v="0"/>
    <x v="244"/>
    <x v="1"/>
    <x v="13"/>
    <x v="7"/>
    <x v="3"/>
    <x v="7"/>
    <x v="0"/>
    <x v="3463"/>
  </r>
  <r>
    <x v="0"/>
    <x v="1493"/>
    <x v="413"/>
    <x v="27"/>
    <x v="57"/>
    <x v="587"/>
    <x v="226"/>
    <x v="4"/>
    <x v="3"/>
    <x v="1312"/>
    <x v="2006"/>
    <x v="2395"/>
    <x v="3400"/>
    <x v="3397"/>
    <x v="3056"/>
    <x v="0"/>
    <x v="3359"/>
    <x v="3402"/>
    <x v="654"/>
    <x v="0"/>
    <x v="4"/>
    <x v="4"/>
    <x v="244"/>
    <x v="2"/>
    <x v="62"/>
    <x v="37"/>
    <x v="3"/>
    <x v="1"/>
    <x v="0"/>
    <x v="3464"/>
  </r>
  <r>
    <x v="0"/>
    <x v="1494"/>
    <x v="293"/>
    <x v="60"/>
    <x v="228"/>
    <x v="424"/>
    <x v="356"/>
    <x v="3106"/>
    <x v="2"/>
    <x v="643"/>
    <x v="2007"/>
    <x v="2396"/>
    <x v="3401"/>
    <x v="3398"/>
    <x v="3057"/>
    <x v="4"/>
    <x v="3360"/>
    <x v="3403"/>
    <x v="355"/>
    <x v="0"/>
    <x v="1"/>
    <x v="16"/>
    <x v="270"/>
    <x v="49"/>
    <x v="235"/>
    <x v="10"/>
    <x v="1"/>
    <x v="1"/>
    <x v="0"/>
    <x v="3465"/>
  </r>
  <r>
    <x v="0"/>
    <x v="420"/>
    <x v="132"/>
    <x v="145"/>
    <x v="0"/>
    <x v="23"/>
    <x v="21"/>
    <x v="3107"/>
    <x v="152"/>
    <x v="210"/>
    <x v="11"/>
    <x v="245"/>
    <x v="3402"/>
    <x v="3399"/>
    <x v="3058"/>
    <x v="1"/>
    <x v="3361"/>
    <x v="3404"/>
    <x v="917"/>
    <x v="0"/>
    <x v="0"/>
    <x v="4"/>
    <x v="224"/>
    <x v="36"/>
    <x v="10"/>
    <x v="76"/>
    <x v="3"/>
    <x v="132"/>
    <x v="0"/>
    <x v="3466"/>
  </r>
  <r>
    <x v="0"/>
    <x v="451"/>
    <x v="359"/>
    <x v="54"/>
    <x v="242"/>
    <x v="734"/>
    <x v="658"/>
    <x v="3108"/>
    <x v="484"/>
    <x v="1313"/>
    <x v="2008"/>
    <x v="2397"/>
    <x v="3403"/>
    <x v="3400"/>
    <x v="3059"/>
    <x v="0"/>
    <x v="3362"/>
    <x v="3405"/>
    <x v="528"/>
    <x v="0"/>
    <x v="0"/>
    <x v="4"/>
    <x v="213"/>
    <x v="45"/>
    <x v="216"/>
    <x v="9"/>
    <x v="3"/>
    <x v="1"/>
    <x v="0"/>
    <x v="3467"/>
  </r>
  <r>
    <x v="0"/>
    <x v="17"/>
    <x v="506"/>
    <x v="54"/>
    <x v="11"/>
    <x v="21"/>
    <x v="29"/>
    <x v="3109"/>
    <x v="105"/>
    <x v="58"/>
    <x v="113"/>
    <x v="778"/>
    <x v="3404"/>
    <x v="3401"/>
    <x v="3060"/>
    <x v="19"/>
    <x v="3363"/>
    <x v="3406"/>
    <x v="803"/>
    <x v="0"/>
    <x v="0"/>
    <x v="0"/>
    <x v="244"/>
    <x v="0"/>
    <x v="53"/>
    <x v="16"/>
    <x v="1"/>
    <x v="13"/>
    <x v="0"/>
    <x v="3468"/>
  </r>
  <r>
    <x v="0"/>
    <x v="1251"/>
    <x v="383"/>
    <x v="61"/>
    <x v="356"/>
    <x v="660"/>
    <x v="0"/>
    <x v="3110"/>
    <x v="484"/>
    <x v="185"/>
    <x v="2009"/>
    <x v="2398"/>
    <x v="3405"/>
    <x v="3402"/>
    <x v="3061"/>
    <x v="1"/>
    <x v="3364"/>
    <x v="3407"/>
    <x v="187"/>
    <x v="0"/>
    <x v="3"/>
    <x v="4"/>
    <x v="222"/>
    <x v="27"/>
    <x v="332"/>
    <x v="32"/>
    <x v="3"/>
    <x v="1"/>
    <x v="0"/>
    <x v="3469"/>
  </r>
  <r>
    <x v="0"/>
    <x v="151"/>
    <x v="7"/>
    <x v="47"/>
    <x v="0"/>
    <x v="21"/>
    <x v="30"/>
    <x v="3111"/>
    <x v="200"/>
    <x v="50"/>
    <x v="2010"/>
    <x v="642"/>
    <x v="3406"/>
    <x v="3403"/>
    <x v="3062"/>
    <x v="1"/>
    <x v="3365"/>
    <x v="3408"/>
    <x v="481"/>
    <x v="0"/>
    <x v="0"/>
    <x v="4"/>
    <x v="222"/>
    <x v="3"/>
    <x v="28"/>
    <x v="9"/>
    <x v="1"/>
    <x v="39"/>
    <x v="0"/>
    <x v="3470"/>
  </r>
  <r>
    <x v="0"/>
    <x v="88"/>
    <x v="321"/>
    <x v="45"/>
    <x v="375"/>
    <x v="49"/>
    <x v="0"/>
    <x v="3112"/>
    <x v="236"/>
    <x v="1314"/>
    <x v="2011"/>
    <x v="2399"/>
    <x v="3407"/>
    <x v="2205"/>
    <x v="3063"/>
    <x v="0"/>
    <x v="3366"/>
    <x v="3409"/>
    <x v="882"/>
    <x v="0"/>
    <x v="0"/>
    <x v="0"/>
    <x v="190"/>
    <x v="17"/>
    <x v="276"/>
    <x v="41"/>
    <x v="1"/>
    <x v="43"/>
    <x v="0"/>
    <x v="3471"/>
  </r>
  <r>
    <x v="0"/>
    <x v="1494"/>
    <x v="243"/>
    <x v="61"/>
    <x v="228"/>
    <x v="859"/>
    <x v="367"/>
    <x v="3113"/>
    <x v="2"/>
    <x v="666"/>
    <x v="2012"/>
    <x v="2400"/>
    <x v="3408"/>
    <x v="3404"/>
    <x v="781"/>
    <x v="3"/>
    <x v="3367"/>
    <x v="3410"/>
    <x v="521"/>
    <x v="0"/>
    <x v="1"/>
    <x v="2"/>
    <x v="222"/>
    <x v="44"/>
    <x v="632"/>
    <x v="2"/>
    <x v="10"/>
    <x v="1"/>
    <x v="0"/>
    <x v="3472"/>
  </r>
  <r>
    <x v="0"/>
    <x v="352"/>
    <x v="212"/>
    <x v="54"/>
    <x v="89"/>
    <x v="185"/>
    <x v="0"/>
    <x v="3114"/>
    <x v="491"/>
    <x v="121"/>
    <x v="1066"/>
    <x v="2401"/>
    <x v="3409"/>
    <x v="3405"/>
    <x v="3064"/>
    <x v="0"/>
    <x v="3368"/>
    <x v="3411"/>
    <x v="585"/>
    <x v="0"/>
    <x v="0"/>
    <x v="2"/>
    <x v="240"/>
    <x v="21"/>
    <x v="93"/>
    <x v="15"/>
    <x v="15"/>
    <x v="1"/>
    <x v="0"/>
    <x v="3473"/>
  </r>
  <r>
    <x v="0"/>
    <x v="1495"/>
    <x v="202"/>
    <x v="52"/>
    <x v="131"/>
    <x v="568"/>
    <x v="17"/>
    <x v="3115"/>
    <x v="105"/>
    <x v="32"/>
    <x v="2013"/>
    <x v="2402"/>
    <x v="3410"/>
    <x v="3406"/>
    <x v="3065"/>
    <x v="7"/>
    <x v="3369"/>
    <x v="3412"/>
    <x v="352"/>
    <x v="0"/>
    <x v="8"/>
    <x v="0"/>
    <x v="4"/>
    <x v="8"/>
    <x v="808"/>
    <x v="13"/>
    <x v="1"/>
    <x v="1"/>
    <x v="0"/>
    <x v="3474"/>
  </r>
  <r>
    <x v="0"/>
    <x v="1316"/>
    <x v="460"/>
    <x v="52"/>
    <x v="139"/>
    <x v="99"/>
    <x v="0"/>
    <x v="3116"/>
    <x v="200"/>
    <x v="346"/>
    <x v="1279"/>
    <x v="909"/>
    <x v="3411"/>
    <x v="3407"/>
    <x v="3066"/>
    <x v="8"/>
    <x v="3370"/>
    <x v="3413"/>
    <x v="247"/>
    <x v="0"/>
    <x v="0"/>
    <x v="0"/>
    <x v="276"/>
    <x v="10"/>
    <x v="413"/>
    <x v="20"/>
    <x v="3"/>
    <x v="1"/>
    <x v="0"/>
    <x v="3475"/>
  </r>
  <r>
    <x v="0"/>
    <x v="35"/>
    <x v="48"/>
    <x v="14"/>
    <x v="16"/>
    <x v="862"/>
    <x v="19"/>
    <x v="50"/>
    <x v="17"/>
    <x v="20"/>
    <x v="44"/>
    <x v="45"/>
    <x v="50"/>
    <x v="3408"/>
    <x v="3067"/>
    <x v="2"/>
    <x v="50"/>
    <x v="50"/>
    <x v="50"/>
    <x v="0"/>
    <x v="5"/>
    <x v="0"/>
    <x v="21"/>
    <x v="9"/>
    <x v="34"/>
    <x v="11"/>
    <x v="1"/>
    <x v="32"/>
    <x v="0"/>
    <x v="3476"/>
  </r>
  <r>
    <x v="1"/>
    <x v="299"/>
    <x v="144"/>
    <x v="41"/>
    <x v="0"/>
    <x v="213"/>
    <x v="20"/>
    <x v="3117"/>
    <x v="406"/>
    <x v="21"/>
    <x v="2014"/>
    <x v="271"/>
    <x v="3412"/>
    <x v="3409"/>
    <x v="2424"/>
    <x v="0"/>
    <x v="3371"/>
    <x v="3414"/>
    <x v="918"/>
    <x v="0"/>
    <x v="0"/>
    <x v="2"/>
    <x v="244"/>
    <x v="12"/>
    <x v="212"/>
    <x v="7"/>
    <x v="3"/>
    <x v="1"/>
    <x v="0"/>
    <x v="3477"/>
  </r>
  <r>
    <x v="0"/>
    <x v="443"/>
    <x v="168"/>
    <x v="47"/>
    <x v="240"/>
    <x v="783"/>
    <x v="13"/>
    <x v="3118"/>
    <x v="130"/>
    <x v="93"/>
    <x v="2015"/>
    <x v="2403"/>
    <x v="3413"/>
    <x v="3410"/>
    <x v="3068"/>
    <x v="1"/>
    <x v="3372"/>
    <x v="3415"/>
    <x v="524"/>
    <x v="0"/>
    <x v="4"/>
    <x v="4"/>
    <x v="222"/>
    <x v="12"/>
    <x v="463"/>
    <x v="38"/>
    <x v="1"/>
    <x v="1"/>
    <x v="0"/>
    <x v="3478"/>
  </r>
  <r>
    <x v="0"/>
    <x v="423"/>
    <x v="197"/>
    <x v="27"/>
    <x v="0"/>
    <x v="6"/>
    <x v="17"/>
    <x v="3119"/>
    <x v="23"/>
    <x v="397"/>
    <x v="127"/>
    <x v="456"/>
    <x v="3414"/>
    <x v="3411"/>
    <x v="3069"/>
    <x v="0"/>
    <x v="3373"/>
    <x v="3416"/>
    <x v="492"/>
    <x v="0"/>
    <x v="0"/>
    <x v="4"/>
    <x v="222"/>
    <x v="16"/>
    <x v="47"/>
    <x v="13"/>
    <x v="3"/>
    <x v="1"/>
    <x v="0"/>
    <x v="3479"/>
  </r>
  <r>
    <x v="0"/>
    <x v="790"/>
    <x v="184"/>
    <x v="69"/>
    <x v="303"/>
    <x v="720"/>
    <x v="21"/>
    <x v="2646"/>
    <x v="304"/>
    <x v="174"/>
    <x v="1349"/>
    <x v="1420"/>
    <x v="2840"/>
    <x v="2833"/>
    <x v="2608"/>
    <x v="2"/>
    <x v="2814"/>
    <x v="2840"/>
    <x v="578"/>
    <x v="0"/>
    <x v="1"/>
    <x v="4"/>
    <x v="78"/>
    <x v="21"/>
    <x v="691"/>
    <x v="12"/>
    <x v="1"/>
    <x v="388"/>
    <x v="0"/>
    <x v="3480"/>
  </r>
  <r>
    <x v="0"/>
    <x v="113"/>
    <x v="390"/>
    <x v="173"/>
    <x v="88"/>
    <x v="1"/>
    <x v="41"/>
    <x v="4"/>
    <x v="168"/>
    <x v="396"/>
    <x v="569"/>
    <x v="94"/>
    <x v="3415"/>
    <x v="3412"/>
    <x v="3070"/>
    <x v="0"/>
    <x v="3374"/>
    <x v="3417"/>
    <x v="86"/>
    <x v="0"/>
    <x v="0"/>
    <x v="7"/>
    <x v="4"/>
    <x v="4"/>
    <x v="30"/>
    <x v="29"/>
    <x v="0"/>
    <x v="72"/>
    <x v="0"/>
    <x v="3481"/>
  </r>
  <r>
    <x v="0"/>
    <x v="1496"/>
    <x v="356"/>
    <x v="73"/>
    <x v="80"/>
    <x v="460"/>
    <x v="0"/>
    <x v="3120"/>
    <x v="5"/>
    <x v="1001"/>
    <x v="2001"/>
    <x v="2404"/>
    <x v="3416"/>
    <x v="3413"/>
    <x v="3071"/>
    <x v="1"/>
    <x v="3375"/>
    <x v="3418"/>
    <x v="579"/>
    <x v="0"/>
    <x v="0"/>
    <x v="2"/>
    <x v="195"/>
    <x v="46"/>
    <x v="825"/>
    <x v="2"/>
    <x v="1"/>
    <x v="1"/>
    <x v="0"/>
    <x v="3482"/>
  </r>
  <r>
    <x v="0"/>
    <x v="1494"/>
    <x v="378"/>
    <x v="31"/>
    <x v="228"/>
    <x v="124"/>
    <x v="17"/>
    <x v="3121"/>
    <x v="2"/>
    <x v="18"/>
    <x v="2016"/>
    <x v="153"/>
    <x v="3417"/>
    <x v="3414"/>
    <x v="3072"/>
    <x v="3"/>
    <x v="3376"/>
    <x v="3419"/>
    <x v="150"/>
    <x v="0"/>
    <x v="1"/>
    <x v="2"/>
    <x v="185"/>
    <x v="55"/>
    <x v="339"/>
    <x v="2"/>
    <x v="10"/>
    <x v="43"/>
    <x v="0"/>
    <x v="3483"/>
  </r>
  <r>
    <x v="0"/>
    <x v="836"/>
    <x v="311"/>
    <x v="45"/>
    <x v="188"/>
    <x v="20"/>
    <x v="0"/>
    <x v="3122"/>
    <x v="26"/>
    <x v="407"/>
    <x v="1831"/>
    <x v="1750"/>
    <x v="3418"/>
    <x v="3415"/>
    <x v="3073"/>
    <x v="4"/>
    <x v="3377"/>
    <x v="3420"/>
    <x v="632"/>
    <x v="0"/>
    <x v="0"/>
    <x v="4"/>
    <x v="222"/>
    <x v="32"/>
    <x v="301"/>
    <x v="31"/>
    <x v="3"/>
    <x v="621"/>
    <x v="0"/>
    <x v="3484"/>
  </r>
  <r>
    <x v="0"/>
    <x v="668"/>
    <x v="173"/>
    <x v="7"/>
    <x v="209"/>
    <x v="146"/>
    <x v="659"/>
    <x v="3123"/>
    <x v="513"/>
    <x v="1315"/>
    <x v="2017"/>
    <x v="2405"/>
    <x v="3419"/>
    <x v="3416"/>
    <x v="3074"/>
    <x v="0"/>
    <x v="3378"/>
    <x v="3421"/>
    <x v="703"/>
    <x v="0"/>
    <x v="1"/>
    <x v="4"/>
    <x v="209"/>
    <x v="12"/>
    <x v="571"/>
    <x v="13"/>
    <x v="1"/>
    <x v="7"/>
    <x v="0"/>
    <x v="3485"/>
  </r>
  <r>
    <x v="0"/>
    <x v="1497"/>
    <x v="369"/>
    <x v="174"/>
    <x v="0"/>
    <x v="691"/>
    <x v="57"/>
    <x v="3124"/>
    <x v="743"/>
    <x v="192"/>
    <x v="2018"/>
    <x v="2406"/>
    <x v="3420"/>
    <x v="3417"/>
    <x v="3075"/>
    <x v="0"/>
    <x v="3379"/>
    <x v="3422"/>
    <x v="96"/>
    <x v="0"/>
    <x v="0"/>
    <x v="1"/>
    <x v="4"/>
    <x v="21"/>
    <x v="692"/>
    <x v="7"/>
    <x v="18"/>
    <x v="622"/>
    <x v="0"/>
    <x v="3486"/>
  </r>
  <r>
    <x v="0"/>
    <x v="1498"/>
    <x v="312"/>
    <x v="71"/>
    <x v="125"/>
    <x v="764"/>
    <x v="358"/>
    <x v="3125"/>
    <x v="364"/>
    <x v="651"/>
    <x v="2019"/>
    <x v="2407"/>
    <x v="3421"/>
    <x v="3418"/>
    <x v="712"/>
    <x v="0"/>
    <x v="3380"/>
    <x v="3423"/>
    <x v="452"/>
    <x v="0"/>
    <x v="0"/>
    <x v="4"/>
    <x v="222"/>
    <x v="11"/>
    <x v="827"/>
    <x v="61"/>
    <x v="3"/>
    <x v="1"/>
    <x v="0"/>
    <x v="3487"/>
  </r>
  <r>
    <x v="0"/>
    <x v="363"/>
    <x v="401"/>
    <x v="80"/>
    <x v="213"/>
    <x v="420"/>
    <x v="557"/>
    <x v="3126"/>
    <x v="125"/>
    <x v="1072"/>
    <x v="2020"/>
    <x v="840"/>
    <x v="3422"/>
    <x v="3419"/>
    <x v="2143"/>
    <x v="3"/>
    <x v="3381"/>
    <x v="3424"/>
    <x v="715"/>
    <x v="0"/>
    <x v="0"/>
    <x v="4"/>
    <x v="222"/>
    <x v="25"/>
    <x v="824"/>
    <x v="2"/>
    <x v="3"/>
    <x v="461"/>
    <x v="0"/>
    <x v="3488"/>
  </r>
  <r>
    <x v="0"/>
    <x v="1095"/>
    <x v="344"/>
    <x v="56"/>
    <x v="0"/>
    <x v="507"/>
    <x v="0"/>
    <x v="3127"/>
    <x v="744"/>
    <x v="1316"/>
    <x v="2021"/>
    <x v="1846"/>
    <x v="3423"/>
    <x v="3420"/>
    <x v="2522"/>
    <x v="0"/>
    <x v="3382"/>
    <x v="3425"/>
    <x v="868"/>
    <x v="0"/>
    <x v="0"/>
    <x v="4"/>
    <x v="222"/>
    <x v="12"/>
    <x v="560"/>
    <x v="8"/>
    <x v="3"/>
    <x v="1"/>
    <x v="0"/>
    <x v="3489"/>
  </r>
  <r>
    <x v="0"/>
    <x v="113"/>
    <x v="368"/>
    <x v="104"/>
    <x v="88"/>
    <x v="223"/>
    <x v="41"/>
    <x v="4"/>
    <x v="248"/>
    <x v="221"/>
    <x v="1554"/>
    <x v="2408"/>
    <x v="3424"/>
    <x v="3421"/>
    <x v="3076"/>
    <x v="0"/>
    <x v="3383"/>
    <x v="3426"/>
    <x v="40"/>
    <x v="0"/>
    <x v="0"/>
    <x v="5"/>
    <x v="277"/>
    <x v="4"/>
    <x v="13"/>
    <x v="17"/>
    <x v="8"/>
    <x v="71"/>
    <x v="0"/>
    <x v="3490"/>
  </r>
  <r>
    <x v="0"/>
    <x v="1171"/>
    <x v="224"/>
    <x v="33"/>
    <x v="137"/>
    <x v="642"/>
    <x v="660"/>
    <x v="3128"/>
    <x v="539"/>
    <x v="1317"/>
    <x v="2022"/>
    <x v="1112"/>
    <x v="3425"/>
    <x v="3422"/>
    <x v="1139"/>
    <x v="3"/>
    <x v="3384"/>
    <x v="3427"/>
    <x v="258"/>
    <x v="0"/>
    <x v="0"/>
    <x v="4"/>
    <x v="222"/>
    <x v="2"/>
    <x v="189"/>
    <x v="11"/>
    <x v="1"/>
    <x v="33"/>
    <x v="0"/>
    <x v="3491"/>
  </r>
  <r>
    <x v="0"/>
    <x v="631"/>
    <x v="419"/>
    <x v="54"/>
    <x v="210"/>
    <x v="99"/>
    <x v="0"/>
    <x v="3129"/>
    <x v="168"/>
    <x v="285"/>
    <x v="2023"/>
    <x v="2409"/>
    <x v="3426"/>
    <x v="3423"/>
    <x v="3077"/>
    <x v="1"/>
    <x v="3385"/>
    <x v="3428"/>
    <x v="654"/>
    <x v="0"/>
    <x v="0"/>
    <x v="4"/>
    <x v="222"/>
    <x v="15"/>
    <x v="828"/>
    <x v="9"/>
    <x v="1"/>
    <x v="591"/>
    <x v="0"/>
    <x v="3492"/>
  </r>
  <r>
    <x v="0"/>
    <x v="2"/>
    <x v="30"/>
    <x v="14"/>
    <x v="0"/>
    <x v="12"/>
    <x v="23"/>
    <x v="30"/>
    <x v="2"/>
    <x v="24"/>
    <x v="27"/>
    <x v="12"/>
    <x v="30"/>
    <x v="3424"/>
    <x v="29"/>
    <x v="0"/>
    <x v="30"/>
    <x v="30"/>
    <x v="30"/>
    <x v="0"/>
    <x v="1"/>
    <x v="0"/>
    <x v="9"/>
    <x v="3"/>
    <x v="22"/>
    <x v="6"/>
    <x v="1"/>
    <x v="22"/>
    <x v="0"/>
    <x v="3493"/>
  </r>
  <r>
    <x v="1"/>
    <x v="1095"/>
    <x v="242"/>
    <x v="72"/>
    <x v="0"/>
    <x v="498"/>
    <x v="0"/>
    <x v="3130"/>
    <x v="429"/>
    <x v="1316"/>
    <x v="2024"/>
    <x v="2410"/>
    <x v="3427"/>
    <x v="3425"/>
    <x v="145"/>
    <x v="0"/>
    <x v="3386"/>
    <x v="3429"/>
    <x v="919"/>
    <x v="0"/>
    <x v="0"/>
    <x v="4"/>
    <x v="222"/>
    <x v="17"/>
    <x v="752"/>
    <x v="19"/>
    <x v="3"/>
    <x v="1"/>
    <x v="0"/>
    <x v="3494"/>
  </r>
  <r>
    <x v="0"/>
    <x v="1499"/>
    <x v="385"/>
    <x v="139"/>
    <x v="0"/>
    <x v="549"/>
    <x v="661"/>
    <x v="4"/>
    <x v="429"/>
    <x v="1318"/>
    <x v="2025"/>
    <x v="2411"/>
    <x v="3428"/>
    <x v="3426"/>
    <x v="3078"/>
    <x v="0"/>
    <x v="3387"/>
    <x v="3430"/>
    <x v="732"/>
    <x v="0"/>
    <x v="0"/>
    <x v="2"/>
    <x v="278"/>
    <x v="33"/>
    <x v="438"/>
    <x v="54"/>
    <x v="2"/>
    <x v="623"/>
    <x v="0"/>
    <x v="3495"/>
  </r>
  <r>
    <x v="0"/>
    <x v="607"/>
    <x v="440"/>
    <x v="11"/>
    <x v="16"/>
    <x v="729"/>
    <x v="538"/>
    <x v="3131"/>
    <x v="200"/>
    <x v="1319"/>
    <x v="2026"/>
    <x v="2412"/>
    <x v="3429"/>
    <x v="3427"/>
    <x v="2382"/>
    <x v="1"/>
    <x v="3388"/>
    <x v="3431"/>
    <x v="84"/>
    <x v="0"/>
    <x v="0"/>
    <x v="4"/>
    <x v="222"/>
    <x v="0"/>
    <x v="829"/>
    <x v="15"/>
    <x v="3"/>
    <x v="7"/>
    <x v="0"/>
    <x v="3496"/>
  </r>
  <r>
    <x v="0"/>
    <x v="1500"/>
    <x v="202"/>
    <x v="7"/>
    <x v="31"/>
    <x v="223"/>
    <x v="57"/>
    <x v="3132"/>
    <x v="498"/>
    <x v="192"/>
    <x v="340"/>
    <x v="581"/>
    <x v="3430"/>
    <x v="3428"/>
    <x v="3079"/>
    <x v="1"/>
    <x v="3389"/>
    <x v="3432"/>
    <x v="241"/>
    <x v="0"/>
    <x v="0"/>
    <x v="0"/>
    <x v="244"/>
    <x v="0"/>
    <x v="13"/>
    <x v="1"/>
    <x v="1"/>
    <x v="1"/>
    <x v="0"/>
    <x v="3497"/>
  </r>
  <r>
    <x v="0"/>
    <x v="601"/>
    <x v="308"/>
    <x v="33"/>
    <x v="255"/>
    <x v="499"/>
    <x v="266"/>
    <x v="3133"/>
    <x v="528"/>
    <x v="483"/>
    <x v="2027"/>
    <x v="1510"/>
    <x v="3431"/>
    <x v="3429"/>
    <x v="523"/>
    <x v="0"/>
    <x v="3390"/>
    <x v="3433"/>
    <x v="167"/>
    <x v="0"/>
    <x v="0"/>
    <x v="4"/>
    <x v="222"/>
    <x v="30"/>
    <x v="137"/>
    <x v="5"/>
    <x v="3"/>
    <x v="1"/>
    <x v="0"/>
    <x v="3498"/>
  </r>
  <r>
    <x v="0"/>
    <x v="1102"/>
    <x v="184"/>
    <x v="38"/>
    <x v="95"/>
    <x v="314"/>
    <x v="442"/>
    <x v="3134"/>
    <x v="419"/>
    <x v="802"/>
    <x v="586"/>
    <x v="2413"/>
    <x v="3432"/>
    <x v="3430"/>
    <x v="3080"/>
    <x v="1"/>
    <x v="3391"/>
    <x v="3434"/>
    <x v="820"/>
    <x v="0"/>
    <x v="0"/>
    <x v="0"/>
    <x v="222"/>
    <x v="11"/>
    <x v="335"/>
    <x v="8"/>
    <x v="2"/>
    <x v="1"/>
    <x v="0"/>
    <x v="3499"/>
  </r>
  <r>
    <x v="0"/>
    <x v="1501"/>
    <x v="269"/>
    <x v="77"/>
    <x v="219"/>
    <x v="581"/>
    <x v="21"/>
    <x v="3135"/>
    <x v="17"/>
    <x v="298"/>
    <x v="2028"/>
    <x v="2343"/>
    <x v="3433"/>
    <x v="3431"/>
    <x v="3081"/>
    <x v="4"/>
    <x v="3392"/>
    <x v="3435"/>
    <x v="556"/>
    <x v="0"/>
    <x v="0"/>
    <x v="4"/>
    <x v="222"/>
    <x v="0"/>
    <x v="596"/>
    <x v="32"/>
    <x v="1"/>
    <x v="37"/>
    <x v="0"/>
    <x v="3500"/>
  </r>
  <r>
    <x v="0"/>
    <x v="48"/>
    <x v="277"/>
    <x v="3"/>
    <x v="33"/>
    <x v="146"/>
    <x v="23"/>
    <x v="3136"/>
    <x v="270"/>
    <x v="1320"/>
    <x v="2029"/>
    <x v="1206"/>
    <x v="3434"/>
    <x v="3432"/>
    <x v="2116"/>
    <x v="0"/>
    <x v="3393"/>
    <x v="3436"/>
    <x v="429"/>
    <x v="0"/>
    <x v="0"/>
    <x v="4"/>
    <x v="222"/>
    <x v="32"/>
    <x v="537"/>
    <x v="32"/>
    <x v="3"/>
    <x v="1"/>
    <x v="0"/>
    <x v="3501"/>
  </r>
  <r>
    <x v="0"/>
    <x v="1463"/>
    <x v="365"/>
    <x v="45"/>
    <x v="164"/>
    <x v="373"/>
    <x v="662"/>
    <x v="3137"/>
    <x v="105"/>
    <x v="1321"/>
    <x v="2030"/>
    <x v="1501"/>
    <x v="3435"/>
    <x v="3433"/>
    <x v="740"/>
    <x v="3"/>
    <x v="3394"/>
    <x v="3437"/>
    <x v="360"/>
    <x v="0"/>
    <x v="0"/>
    <x v="4"/>
    <x v="222"/>
    <x v="15"/>
    <x v="11"/>
    <x v="21"/>
    <x v="3"/>
    <x v="1"/>
    <x v="0"/>
    <x v="3502"/>
  </r>
  <r>
    <x v="0"/>
    <x v="1381"/>
    <x v="323"/>
    <x v="40"/>
    <x v="247"/>
    <x v="139"/>
    <x v="493"/>
    <x v="3138"/>
    <x v="276"/>
    <x v="1322"/>
    <x v="505"/>
    <x v="2414"/>
    <x v="3436"/>
    <x v="1804"/>
    <x v="701"/>
    <x v="1"/>
    <x v="3395"/>
    <x v="3438"/>
    <x v="355"/>
    <x v="0"/>
    <x v="1"/>
    <x v="0"/>
    <x v="222"/>
    <x v="14"/>
    <x v="215"/>
    <x v="5"/>
    <x v="1"/>
    <x v="1"/>
    <x v="0"/>
    <x v="3503"/>
  </r>
  <r>
    <x v="0"/>
    <x v="120"/>
    <x v="336"/>
    <x v="50"/>
    <x v="77"/>
    <x v="490"/>
    <x v="539"/>
    <x v="3139"/>
    <x v="745"/>
    <x v="1323"/>
    <x v="2031"/>
    <x v="2415"/>
    <x v="3437"/>
    <x v="3434"/>
    <x v="3082"/>
    <x v="1"/>
    <x v="3396"/>
    <x v="3439"/>
    <x v="61"/>
    <x v="5"/>
    <x v="5"/>
    <x v="2"/>
    <x v="224"/>
    <x v="19"/>
    <x v="595"/>
    <x v="7"/>
    <x v="1"/>
    <x v="1"/>
    <x v="0"/>
    <x v="3504"/>
  </r>
  <r>
    <x v="0"/>
    <x v="822"/>
    <x v="429"/>
    <x v="41"/>
    <x v="139"/>
    <x v="227"/>
    <x v="148"/>
    <x v="3140"/>
    <x v="300"/>
    <x v="934"/>
    <x v="1611"/>
    <x v="2416"/>
    <x v="3438"/>
    <x v="3435"/>
    <x v="3083"/>
    <x v="0"/>
    <x v="3397"/>
    <x v="3440"/>
    <x v="835"/>
    <x v="0"/>
    <x v="0"/>
    <x v="0"/>
    <x v="222"/>
    <x v="1"/>
    <x v="297"/>
    <x v="62"/>
    <x v="3"/>
    <x v="624"/>
    <x v="0"/>
    <x v="3505"/>
  </r>
  <r>
    <x v="0"/>
    <x v="1502"/>
    <x v="347"/>
    <x v="45"/>
    <x v="85"/>
    <x v="303"/>
    <x v="663"/>
    <x v="3141"/>
    <x v="746"/>
    <x v="1324"/>
    <x v="498"/>
    <x v="2417"/>
    <x v="3439"/>
    <x v="3436"/>
    <x v="3084"/>
    <x v="0"/>
    <x v="3398"/>
    <x v="3441"/>
    <x v="678"/>
    <x v="0"/>
    <x v="1"/>
    <x v="4"/>
    <x v="222"/>
    <x v="29"/>
    <x v="322"/>
    <x v="5"/>
    <x v="3"/>
    <x v="1"/>
    <x v="0"/>
    <x v="3506"/>
  </r>
  <r>
    <x v="0"/>
    <x v="113"/>
    <x v="434"/>
    <x v="84"/>
    <x v="88"/>
    <x v="101"/>
    <x v="285"/>
    <x v="4"/>
    <x v="28"/>
    <x v="1325"/>
    <x v="945"/>
    <x v="184"/>
    <x v="3440"/>
    <x v="3437"/>
    <x v="3085"/>
    <x v="1"/>
    <x v="3399"/>
    <x v="3442"/>
    <x v="536"/>
    <x v="0"/>
    <x v="0"/>
    <x v="1"/>
    <x v="4"/>
    <x v="4"/>
    <x v="531"/>
    <x v="16"/>
    <x v="12"/>
    <x v="1"/>
    <x v="0"/>
    <x v="3507"/>
  </r>
  <r>
    <x v="0"/>
    <x v="1503"/>
    <x v="434"/>
    <x v="18"/>
    <x v="143"/>
    <x v="632"/>
    <x v="2"/>
    <x v="3142"/>
    <x v="606"/>
    <x v="203"/>
    <x v="2032"/>
    <x v="2418"/>
    <x v="3441"/>
    <x v="3438"/>
    <x v="3086"/>
    <x v="4"/>
    <x v="3400"/>
    <x v="3443"/>
    <x v="432"/>
    <x v="0"/>
    <x v="0"/>
    <x v="2"/>
    <x v="222"/>
    <x v="18"/>
    <x v="474"/>
    <x v="12"/>
    <x v="3"/>
    <x v="371"/>
    <x v="0"/>
    <x v="3508"/>
  </r>
  <r>
    <x v="0"/>
    <x v="113"/>
    <x v="492"/>
    <x v="84"/>
    <x v="88"/>
    <x v="449"/>
    <x v="14"/>
    <x v="4"/>
    <x v="74"/>
    <x v="1065"/>
    <x v="592"/>
    <x v="1888"/>
    <x v="3442"/>
    <x v="3439"/>
    <x v="3087"/>
    <x v="1"/>
    <x v="3401"/>
    <x v="3444"/>
    <x v="284"/>
    <x v="0"/>
    <x v="0"/>
    <x v="5"/>
    <x v="4"/>
    <x v="4"/>
    <x v="120"/>
    <x v="38"/>
    <x v="8"/>
    <x v="1"/>
    <x v="0"/>
    <x v="3509"/>
  </r>
  <r>
    <x v="0"/>
    <x v="1396"/>
    <x v="207"/>
    <x v="103"/>
    <x v="366"/>
    <x v="139"/>
    <x v="94"/>
    <x v="3143"/>
    <x v="225"/>
    <x v="1173"/>
    <x v="2033"/>
    <x v="2414"/>
    <x v="3443"/>
    <x v="3440"/>
    <x v="3088"/>
    <x v="0"/>
    <x v="3402"/>
    <x v="3445"/>
    <x v="119"/>
    <x v="8"/>
    <x v="16"/>
    <x v="1"/>
    <x v="222"/>
    <x v="14"/>
    <x v="379"/>
    <x v="0"/>
    <x v="1"/>
    <x v="43"/>
    <x v="0"/>
    <x v="3510"/>
  </r>
  <r>
    <x v="0"/>
    <x v="186"/>
    <x v="287"/>
    <x v="77"/>
    <x v="132"/>
    <x v="561"/>
    <x v="0"/>
    <x v="3144"/>
    <x v="291"/>
    <x v="638"/>
    <x v="2034"/>
    <x v="408"/>
    <x v="3444"/>
    <x v="3441"/>
    <x v="3089"/>
    <x v="0"/>
    <x v="3403"/>
    <x v="3446"/>
    <x v="119"/>
    <x v="0"/>
    <x v="0"/>
    <x v="4"/>
    <x v="222"/>
    <x v="8"/>
    <x v="385"/>
    <x v="2"/>
    <x v="1"/>
    <x v="1"/>
    <x v="0"/>
    <x v="3511"/>
  </r>
  <r>
    <x v="0"/>
    <x v="1342"/>
    <x v="386"/>
    <x v="43"/>
    <x v="330"/>
    <x v="813"/>
    <x v="95"/>
    <x v="3145"/>
    <x v="105"/>
    <x v="417"/>
    <x v="2035"/>
    <x v="2419"/>
    <x v="3445"/>
    <x v="3442"/>
    <x v="2073"/>
    <x v="4"/>
    <x v="3404"/>
    <x v="3447"/>
    <x v="189"/>
    <x v="0"/>
    <x v="0"/>
    <x v="4"/>
    <x v="222"/>
    <x v="5"/>
    <x v="830"/>
    <x v="22"/>
    <x v="3"/>
    <x v="1"/>
    <x v="0"/>
    <x v="3512"/>
  </r>
  <r>
    <x v="0"/>
    <x v="1504"/>
    <x v="429"/>
    <x v="7"/>
    <x v="0"/>
    <x v="385"/>
    <x v="407"/>
    <x v="3146"/>
    <x v="463"/>
    <x v="748"/>
    <x v="2036"/>
    <x v="1843"/>
    <x v="3446"/>
    <x v="3443"/>
    <x v="1321"/>
    <x v="0"/>
    <x v="3405"/>
    <x v="3448"/>
    <x v="822"/>
    <x v="0"/>
    <x v="0"/>
    <x v="2"/>
    <x v="222"/>
    <x v="15"/>
    <x v="526"/>
    <x v="22"/>
    <x v="3"/>
    <x v="485"/>
    <x v="0"/>
    <x v="3513"/>
  </r>
  <r>
    <x v="0"/>
    <x v="1218"/>
    <x v="241"/>
    <x v="72"/>
    <x v="351"/>
    <x v="167"/>
    <x v="56"/>
    <x v="3147"/>
    <x v="130"/>
    <x v="98"/>
    <x v="883"/>
    <x v="1585"/>
    <x v="3447"/>
    <x v="3444"/>
    <x v="214"/>
    <x v="3"/>
    <x v="3406"/>
    <x v="3449"/>
    <x v="568"/>
    <x v="0"/>
    <x v="0"/>
    <x v="4"/>
    <x v="222"/>
    <x v="19"/>
    <x v="151"/>
    <x v="4"/>
    <x v="3"/>
    <x v="625"/>
    <x v="0"/>
    <x v="3514"/>
  </r>
  <r>
    <x v="0"/>
    <x v="1224"/>
    <x v="338"/>
    <x v="77"/>
    <x v="353"/>
    <x v="555"/>
    <x v="41"/>
    <x v="3148"/>
    <x v="113"/>
    <x v="563"/>
    <x v="1612"/>
    <x v="1405"/>
    <x v="3448"/>
    <x v="3445"/>
    <x v="3090"/>
    <x v="0"/>
    <x v="3407"/>
    <x v="3450"/>
    <x v="170"/>
    <x v="0"/>
    <x v="0"/>
    <x v="4"/>
    <x v="222"/>
    <x v="7"/>
    <x v="183"/>
    <x v="21"/>
    <x v="3"/>
    <x v="67"/>
    <x v="0"/>
    <x v="3515"/>
  </r>
  <r>
    <x v="0"/>
    <x v="1505"/>
    <x v="97"/>
    <x v="52"/>
    <x v="230"/>
    <x v="37"/>
    <x v="22"/>
    <x v="3149"/>
    <x v="306"/>
    <x v="1326"/>
    <x v="593"/>
    <x v="2420"/>
    <x v="3449"/>
    <x v="3446"/>
    <x v="3091"/>
    <x v="0"/>
    <x v="3408"/>
    <x v="3451"/>
    <x v="428"/>
    <x v="0"/>
    <x v="1"/>
    <x v="4"/>
    <x v="222"/>
    <x v="10"/>
    <x v="167"/>
    <x v="7"/>
    <x v="1"/>
    <x v="58"/>
    <x v="0"/>
    <x v="3516"/>
  </r>
  <r>
    <x v="0"/>
    <x v="1506"/>
    <x v="435"/>
    <x v="7"/>
    <x v="0"/>
    <x v="750"/>
    <x v="35"/>
    <x v="3150"/>
    <x v="463"/>
    <x v="1327"/>
    <x v="1639"/>
    <x v="1685"/>
    <x v="3450"/>
    <x v="3447"/>
    <x v="3092"/>
    <x v="0"/>
    <x v="3409"/>
    <x v="3452"/>
    <x v="705"/>
    <x v="0"/>
    <x v="1"/>
    <x v="2"/>
    <x v="4"/>
    <x v="9"/>
    <x v="187"/>
    <x v="27"/>
    <x v="2"/>
    <x v="626"/>
    <x v="0"/>
    <x v="3517"/>
  </r>
  <r>
    <x v="0"/>
    <x v="1507"/>
    <x v="384"/>
    <x v="77"/>
    <x v="216"/>
    <x v="470"/>
    <x v="0"/>
    <x v="3151"/>
    <x v="291"/>
    <x v="719"/>
    <x v="2037"/>
    <x v="2421"/>
    <x v="3451"/>
    <x v="3448"/>
    <x v="3093"/>
    <x v="4"/>
    <x v="3410"/>
    <x v="3453"/>
    <x v="818"/>
    <x v="0"/>
    <x v="0"/>
    <x v="3"/>
    <x v="222"/>
    <x v="0"/>
    <x v="497"/>
    <x v="12"/>
    <x v="1"/>
    <x v="162"/>
    <x v="0"/>
    <x v="3518"/>
  </r>
  <r>
    <x v="0"/>
    <x v="424"/>
    <x v="478"/>
    <x v="7"/>
    <x v="231"/>
    <x v="275"/>
    <x v="14"/>
    <x v="4"/>
    <x v="301"/>
    <x v="56"/>
    <x v="1489"/>
    <x v="2422"/>
    <x v="3452"/>
    <x v="3449"/>
    <x v="3094"/>
    <x v="0"/>
    <x v="3411"/>
    <x v="3454"/>
    <x v="655"/>
    <x v="0"/>
    <x v="4"/>
    <x v="4"/>
    <x v="222"/>
    <x v="45"/>
    <x v="259"/>
    <x v="30"/>
    <x v="2"/>
    <x v="262"/>
    <x v="0"/>
    <x v="3519"/>
  </r>
  <r>
    <x v="0"/>
    <x v="1486"/>
    <x v="331"/>
    <x v="31"/>
    <x v="136"/>
    <x v="694"/>
    <x v="18"/>
    <x v="3152"/>
    <x v="17"/>
    <x v="19"/>
    <x v="871"/>
    <x v="2423"/>
    <x v="3453"/>
    <x v="3450"/>
    <x v="3095"/>
    <x v="5"/>
    <x v="3412"/>
    <x v="3455"/>
    <x v="632"/>
    <x v="0"/>
    <x v="0"/>
    <x v="4"/>
    <x v="279"/>
    <x v="0"/>
    <x v="503"/>
    <x v="13"/>
    <x v="1"/>
    <x v="1"/>
    <x v="0"/>
    <x v="3520"/>
  </r>
  <r>
    <x v="0"/>
    <x v="1508"/>
    <x v="489"/>
    <x v="86"/>
    <x v="85"/>
    <x v="307"/>
    <x v="168"/>
    <x v="2576"/>
    <x v="88"/>
    <x v="526"/>
    <x v="2038"/>
    <x v="2424"/>
    <x v="3454"/>
    <x v="3451"/>
    <x v="3096"/>
    <x v="1"/>
    <x v="3413"/>
    <x v="3456"/>
    <x v="721"/>
    <x v="0"/>
    <x v="1"/>
    <x v="2"/>
    <x v="195"/>
    <x v="47"/>
    <x v="719"/>
    <x v="22"/>
    <x v="3"/>
    <x v="627"/>
    <x v="0"/>
    <x v="3521"/>
  </r>
  <r>
    <x v="0"/>
    <x v="583"/>
    <x v="441"/>
    <x v="86"/>
    <x v="193"/>
    <x v="530"/>
    <x v="489"/>
    <x v="3153"/>
    <x v="446"/>
    <x v="905"/>
    <x v="2039"/>
    <x v="2425"/>
    <x v="3455"/>
    <x v="3452"/>
    <x v="3097"/>
    <x v="1"/>
    <x v="3414"/>
    <x v="3457"/>
    <x v="365"/>
    <x v="3"/>
    <x v="10"/>
    <x v="4"/>
    <x v="95"/>
    <x v="27"/>
    <x v="659"/>
    <x v="15"/>
    <x v="1"/>
    <x v="1"/>
    <x v="0"/>
    <x v="3522"/>
  </r>
  <r>
    <x v="0"/>
    <x v="571"/>
    <x v="251"/>
    <x v="55"/>
    <x v="0"/>
    <x v="278"/>
    <x v="525"/>
    <x v="3154"/>
    <x v="200"/>
    <x v="1328"/>
    <x v="2040"/>
    <x v="2426"/>
    <x v="3456"/>
    <x v="3453"/>
    <x v="3098"/>
    <x v="0"/>
    <x v="3415"/>
    <x v="3458"/>
    <x v="567"/>
    <x v="0"/>
    <x v="0"/>
    <x v="4"/>
    <x v="222"/>
    <x v="5"/>
    <x v="804"/>
    <x v="22"/>
    <x v="3"/>
    <x v="1"/>
    <x v="0"/>
    <x v="3523"/>
  </r>
  <r>
    <x v="0"/>
    <x v="1509"/>
    <x v="460"/>
    <x v="72"/>
    <x v="123"/>
    <x v="127"/>
    <x v="42"/>
    <x v="3155"/>
    <x v="125"/>
    <x v="1329"/>
    <x v="2041"/>
    <x v="2427"/>
    <x v="3457"/>
    <x v="3454"/>
    <x v="771"/>
    <x v="1"/>
    <x v="3416"/>
    <x v="3459"/>
    <x v="547"/>
    <x v="0"/>
    <x v="0"/>
    <x v="4"/>
    <x v="4"/>
    <x v="0"/>
    <x v="14"/>
    <x v="43"/>
    <x v="1"/>
    <x v="1"/>
    <x v="0"/>
    <x v="3524"/>
  </r>
  <r>
    <x v="0"/>
    <x v="1510"/>
    <x v="329"/>
    <x v="54"/>
    <x v="171"/>
    <x v="739"/>
    <x v="0"/>
    <x v="3156"/>
    <x v="125"/>
    <x v="369"/>
    <x v="1466"/>
    <x v="1939"/>
    <x v="3458"/>
    <x v="3455"/>
    <x v="3099"/>
    <x v="1"/>
    <x v="3417"/>
    <x v="3460"/>
    <x v="496"/>
    <x v="0"/>
    <x v="0"/>
    <x v="0"/>
    <x v="70"/>
    <x v="20"/>
    <x v="252"/>
    <x v="67"/>
    <x v="3"/>
    <x v="628"/>
    <x v="0"/>
    <x v="3525"/>
  </r>
  <r>
    <x v="0"/>
    <x v="1511"/>
    <x v="295"/>
    <x v="11"/>
    <x v="38"/>
    <x v="648"/>
    <x v="29"/>
    <x v="3157"/>
    <x v="270"/>
    <x v="58"/>
    <x v="108"/>
    <x v="2394"/>
    <x v="3459"/>
    <x v="3456"/>
    <x v="3100"/>
    <x v="0"/>
    <x v="3418"/>
    <x v="3461"/>
    <x v="195"/>
    <x v="0"/>
    <x v="0"/>
    <x v="4"/>
    <x v="222"/>
    <x v="5"/>
    <x v="76"/>
    <x v="1"/>
    <x v="1"/>
    <x v="64"/>
    <x v="0"/>
    <x v="3526"/>
  </r>
  <r>
    <x v="0"/>
    <x v="586"/>
    <x v="285"/>
    <x v="41"/>
    <x v="44"/>
    <x v="170"/>
    <x v="344"/>
    <x v="3158"/>
    <x v="539"/>
    <x v="618"/>
    <x v="1992"/>
    <x v="2428"/>
    <x v="3460"/>
    <x v="3457"/>
    <x v="3057"/>
    <x v="4"/>
    <x v="3419"/>
    <x v="3462"/>
    <x v="421"/>
    <x v="0"/>
    <x v="1"/>
    <x v="4"/>
    <x v="4"/>
    <x v="9"/>
    <x v="824"/>
    <x v="5"/>
    <x v="1"/>
    <x v="1"/>
    <x v="0"/>
    <x v="3527"/>
  </r>
  <r>
    <x v="0"/>
    <x v="525"/>
    <x v="280"/>
    <x v="33"/>
    <x v="260"/>
    <x v="4"/>
    <x v="57"/>
    <x v="3159"/>
    <x v="436"/>
    <x v="109"/>
    <x v="2042"/>
    <x v="4"/>
    <x v="3461"/>
    <x v="3458"/>
    <x v="3101"/>
    <x v="0"/>
    <x v="3420"/>
    <x v="3463"/>
    <x v="511"/>
    <x v="0"/>
    <x v="0"/>
    <x v="4"/>
    <x v="209"/>
    <x v="19"/>
    <x v="253"/>
    <x v="5"/>
    <x v="1"/>
    <x v="1"/>
    <x v="0"/>
    <x v="3528"/>
  </r>
  <r>
    <x v="0"/>
    <x v="1512"/>
    <x v="347"/>
    <x v="45"/>
    <x v="78"/>
    <x v="585"/>
    <x v="61"/>
    <x v="3160"/>
    <x v="17"/>
    <x v="242"/>
    <x v="464"/>
    <x v="2429"/>
    <x v="3462"/>
    <x v="3459"/>
    <x v="3102"/>
    <x v="3"/>
    <x v="3421"/>
    <x v="3464"/>
    <x v="719"/>
    <x v="0"/>
    <x v="1"/>
    <x v="4"/>
    <x v="222"/>
    <x v="19"/>
    <x v="121"/>
    <x v="10"/>
    <x v="3"/>
    <x v="629"/>
    <x v="0"/>
    <x v="3529"/>
  </r>
  <r>
    <x v="0"/>
    <x v="1311"/>
    <x v="395"/>
    <x v="33"/>
    <x v="85"/>
    <x v="524"/>
    <x v="134"/>
    <x v="3161"/>
    <x v="425"/>
    <x v="252"/>
    <x v="436"/>
    <x v="2430"/>
    <x v="3463"/>
    <x v="3460"/>
    <x v="3103"/>
    <x v="0"/>
    <x v="3422"/>
    <x v="3465"/>
    <x v="719"/>
    <x v="0"/>
    <x v="0"/>
    <x v="0"/>
    <x v="222"/>
    <x v="2"/>
    <x v="30"/>
    <x v="12"/>
    <x v="3"/>
    <x v="1"/>
    <x v="0"/>
    <x v="3530"/>
  </r>
  <r>
    <x v="0"/>
    <x v="1513"/>
    <x v="209"/>
    <x v="26"/>
    <x v="164"/>
    <x v="254"/>
    <x v="664"/>
    <x v="3162"/>
    <x v="125"/>
    <x v="1330"/>
    <x v="1556"/>
    <x v="1812"/>
    <x v="3464"/>
    <x v="3461"/>
    <x v="3104"/>
    <x v="2"/>
    <x v="3423"/>
    <x v="3466"/>
    <x v="654"/>
    <x v="0"/>
    <x v="0"/>
    <x v="4"/>
    <x v="222"/>
    <x v="5"/>
    <x v="564"/>
    <x v="18"/>
    <x v="1"/>
    <x v="220"/>
    <x v="0"/>
    <x v="3531"/>
  </r>
  <r>
    <x v="1"/>
    <x v="1514"/>
    <x v="313"/>
    <x v="114"/>
    <x v="80"/>
    <x v="298"/>
    <x v="665"/>
    <x v="4"/>
    <x v="142"/>
    <x v="1331"/>
    <x v="2043"/>
    <x v="2431"/>
    <x v="3465"/>
    <x v="3462"/>
    <x v="3105"/>
    <x v="0"/>
    <x v="3424"/>
    <x v="3467"/>
    <x v="510"/>
    <x v="9"/>
    <x v="21"/>
    <x v="9"/>
    <x v="222"/>
    <x v="9"/>
    <x v="231"/>
    <x v="10"/>
    <x v="10"/>
    <x v="103"/>
    <x v="0"/>
    <x v="3532"/>
  </r>
  <r>
    <x v="0"/>
    <x v="1515"/>
    <x v="434"/>
    <x v="34"/>
    <x v="0"/>
    <x v="863"/>
    <x v="8"/>
    <x v="3163"/>
    <x v="408"/>
    <x v="8"/>
    <x v="420"/>
    <x v="2432"/>
    <x v="3466"/>
    <x v="3463"/>
    <x v="3106"/>
    <x v="4"/>
    <x v="3425"/>
    <x v="3468"/>
    <x v="785"/>
    <x v="0"/>
    <x v="0"/>
    <x v="4"/>
    <x v="222"/>
    <x v="5"/>
    <x v="50"/>
    <x v="19"/>
    <x v="3"/>
    <x v="138"/>
    <x v="0"/>
    <x v="3533"/>
  </r>
  <r>
    <x v="0"/>
    <x v="1516"/>
    <x v="324"/>
    <x v="55"/>
    <x v="376"/>
    <x v="5"/>
    <x v="375"/>
    <x v="3164"/>
    <x v="270"/>
    <x v="685"/>
    <x v="1536"/>
    <x v="728"/>
    <x v="3467"/>
    <x v="3464"/>
    <x v="1180"/>
    <x v="3"/>
    <x v="3426"/>
    <x v="3469"/>
    <x v="724"/>
    <x v="0"/>
    <x v="1"/>
    <x v="4"/>
    <x v="222"/>
    <x v="12"/>
    <x v="540"/>
    <x v="8"/>
    <x v="1"/>
    <x v="410"/>
    <x v="0"/>
    <x v="3534"/>
  </r>
  <r>
    <x v="1"/>
    <x v="1451"/>
    <x v="388"/>
    <x v="58"/>
    <x v="266"/>
    <x v="127"/>
    <x v="25"/>
    <x v="4"/>
    <x v="23"/>
    <x v="392"/>
    <x v="2044"/>
    <x v="2433"/>
    <x v="3468"/>
    <x v="3465"/>
    <x v="3107"/>
    <x v="4"/>
    <x v="3427"/>
    <x v="3470"/>
    <x v="881"/>
    <x v="0"/>
    <x v="4"/>
    <x v="4"/>
    <x v="222"/>
    <x v="15"/>
    <x v="698"/>
    <x v="0"/>
    <x v="1"/>
    <x v="37"/>
    <x v="0"/>
    <x v="3535"/>
  </r>
  <r>
    <x v="0"/>
    <x v="1517"/>
    <x v="329"/>
    <x v="80"/>
    <x v="198"/>
    <x v="597"/>
    <x v="666"/>
    <x v="4"/>
    <x v="339"/>
    <x v="1332"/>
    <x v="2045"/>
    <x v="2434"/>
    <x v="3469"/>
    <x v="3466"/>
    <x v="2281"/>
    <x v="1"/>
    <x v="4"/>
    <x v="3471"/>
    <x v="326"/>
    <x v="13"/>
    <x v="14"/>
    <x v="1"/>
    <x v="222"/>
    <x v="11"/>
    <x v="68"/>
    <x v="43"/>
    <x v="1"/>
    <x v="630"/>
    <x v="0"/>
    <x v="3536"/>
  </r>
  <r>
    <x v="0"/>
    <x v="420"/>
    <x v="356"/>
    <x v="76"/>
    <x v="0"/>
    <x v="452"/>
    <x v="0"/>
    <x v="4"/>
    <x v="747"/>
    <x v="432"/>
    <x v="1327"/>
    <x v="1659"/>
    <x v="3470"/>
    <x v="3467"/>
    <x v="801"/>
    <x v="0"/>
    <x v="3428"/>
    <x v="3472"/>
    <x v="640"/>
    <x v="0"/>
    <x v="0"/>
    <x v="4"/>
    <x v="222"/>
    <x v="10"/>
    <x v="431"/>
    <x v="30"/>
    <x v="3"/>
    <x v="1"/>
    <x v="0"/>
    <x v="3537"/>
  </r>
  <r>
    <x v="0"/>
    <x v="1518"/>
    <x v="81"/>
    <x v="110"/>
    <x v="0"/>
    <x v="713"/>
    <x v="667"/>
    <x v="4"/>
    <x v="224"/>
    <x v="1333"/>
    <x v="2046"/>
    <x v="2435"/>
    <x v="3471"/>
    <x v="3468"/>
    <x v="3108"/>
    <x v="1"/>
    <x v="3429"/>
    <x v="3473"/>
    <x v="561"/>
    <x v="9"/>
    <x v="21"/>
    <x v="2"/>
    <x v="222"/>
    <x v="3"/>
    <x v="397"/>
    <x v="43"/>
    <x v="2"/>
    <x v="631"/>
    <x v="0"/>
    <x v="3538"/>
  </r>
  <r>
    <x v="2"/>
    <x v="1519"/>
    <x v="412"/>
    <x v="117"/>
    <x v="192"/>
    <x v="272"/>
    <x v="623"/>
    <x v="4"/>
    <x v="748"/>
    <x v="1334"/>
    <x v="2047"/>
    <x v="2436"/>
    <x v="3472"/>
    <x v="3469"/>
    <x v="3109"/>
    <x v="0"/>
    <x v="3430"/>
    <x v="3474"/>
    <x v="843"/>
    <x v="1"/>
    <x v="0"/>
    <x v="1"/>
    <x v="222"/>
    <x v="11"/>
    <x v="213"/>
    <x v="19"/>
    <x v="2"/>
    <x v="632"/>
    <x v="0"/>
    <x v="3539"/>
  </r>
  <r>
    <x v="0"/>
    <x v="326"/>
    <x v="428"/>
    <x v="69"/>
    <x v="121"/>
    <x v="231"/>
    <x v="17"/>
    <x v="3165"/>
    <x v="713"/>
    <x v="303"/>
    <x v="688"/>
    <x v="2437"/>
    <x v="3473"/>
    <x v="3470"/>
    <x v="3110"/>
    <x v="0"/>
    <x v="3431"/>
    <x v="3475"/>
    <x v="460"/>
    <x v="0"/>
    <x v="0"/>
    <x v="4"/>
    <x v="280"/>
    <x v="39"/>
    <x v="422"/>
    <x v="11"/>
    <x v="1"/>
    <x v="1"/>
    <x v="0"/>
    <x v="3540"/>
  </r>
  <r>
    <x v="0"/>
    <x v="1520"/>
    <x v="465"/>
    <x v="55"/>
    <x v="255"/>
    <x v="81"/>
    <x v="558"/>
    <x v="4"/>
    <x v="749"/>
    <x v="1335"/>
    <x v="2048"/>
    <x v="2438"/>
    <x v="3474"/>
    <x v="3471"/>
    <x v="1440"/>
    <x v="7"/>
    <x v="3432"/>
    <x v="3476"/>
    <x v="427"/>
    <x v="0"/>
    <x v="0"/>
    <x v="1"/>
    <x v="4"/>
    <x v="8"/>
    <x v="373"/>
    <x v="38"/>
    <x v="0"/>
    <x v="264"/>
    <x v="0"/>
    <x v="3541"/>
  </r>
  <r>
    <x v="0"/>
    <x v="776"/>
    <x v="194"/>
    <x v="58"/>
    <x v="0"/>
    <x v="341"/>
    <x v="21"/>
    <x v="3166"/>
    <x v="125"/>
    <x v="174"/>
    <x v="569"/>
    <x v="464"/>
    <x v="3475"/>
    <x v="3472"/>
    <x v="3111"/>
    <x v="1"/>
    <x v="3433"/>
    <x v="3477"/>
    <x v="920"/>
    <x v="0"/>
    <x v="0"/>
    <x v="4"/>
    <x v="280"/>
    <x v="27"/>
    <x v="30"/>
    <x v="16"/>
    <x v="3"/>
    <x v="7"/>
    <x v="0"/>
    <x v="3542"/>
  </r>
  <r>
    <x v="0"/>
    <x v="353"/>
    <x v="402"/>
    <x v="70"/>
    <x v="209"/>
    <x v="801"/>
    <x v="301"/>
    <x v="4"/>
    <x v="235"/>
    <x v="1155"/>
    <x v="1482"/>
    <x v="2439"/>
    <x v="3476"/>
    <x v="3473"/>
    <x v="3112"/>
    <x v="7"/>
    <x v="3434"/>
    <x v="3478"/>
    <x v="402"/>
    <x v="0"/>
    <x v="0"/>
    <x v="8"/>
    <x v="222"/>
    <x v="1"/>
    <x v="5"/>
    <x v="30"/>
    <x v="0"/>
    <x v="633"/>
    <x v="0"/>
    <x v="3543"/>
  </r>
  <r>
    <x v="0"/>
    <x v="1521"/>
    <x v="489"/>
    <x v="45"/>
    <x v="106"/>
    <x v="649"/>
    <x v="563"/>
    <x v="4"/>
    <x v="17"/>
    <x v="1336"/>
    <x v="2049"/>
    <x v="2440"/>
    <x v="3477"/>
    <x v="3474"/>
    <x v="3113"/>
    <x v="0"/>
    <x v="4"/>
    <x v="3479"/>
    <x v="843"/>
    <x v="0"/>
    <x v="4"/>
    <x v="1"/>
    <x v="200"/>
    <x v="6"/>
    <x v="338"/>
    <x v="13"/>
    <x v="1"/>
    <x v="342"/>
    <x v="0"/>
    <x v="3544"/>
  </r>
  <r>
    <x v="0"/>
    <x v="1522"/>
    <x v="303"/>
    <x v="50"/>
    <x v="0"/>
    <x v="864"/>
    <x v="10"/>
    <x v="4"/>
    <x v="168"/>
    <x v="1337"/>
    <x v="1746"/>
    <x v="2441"/>
    <x v="3478"/>
    <x v="3475"/>
    <x v="3114"/>
    <x v="3"/>
    <x v="3435"/>
    <x v="3480"/>
    <x v="785"/>
    <x v="0"/>
    <x v="0"/>
    <x v="1"/>
    <x v="222"/>
    <x v="2"/>
    <x v="791"/>
    <x v="27"/>
    <x v="1"/>
    <x v="1"/>
    <x v="0"/>
    <x v="3545"/>
  </r>
  <r>
    <x v="0"/>
    <x v="1523"/>
    <x v="315"/>
    <x v="31"/>
    <x v="198"/>
    <x v="221"/>
    <x v="169"/>
    <x v="3167"/>
    <x v="639"/>
    <x v="1338"/>
    <x v="2050"/>
    <x v="2442"/>
    <x v="3479"/>
    <x v="3476"/>
    <x v="3115"/>
    <x v="1"/>
    <x v="3436"/>
    <x v="3481"/>
    <x v="794"/>
    <x v="15"/>
    <x v="8"/>
    <x v="1"/>
    <x v="159"/>
    <x v="15"/>
    <x v="762"/>
    <x v="11"/>
    <x v="3"/>
    <x v="385"/>
    <x v="0"/>
    <x v="3546"/>
  </r>
  <r>
    <x v="0"/>
    <x v="1524"/>
    <x v="336"/>
    <x v="26"/>
    <x v="221"/>
    <x v="86"/>
    <x v="147"/>
    <x v="3168"/>
    <x v="200"/>
    <x v="271"/>
    <x v="1115"/>
    <x v="2443"/>
    <x v="3480"/>
    <x v="3477"/>
    <x v="3116"/>
    <x v="1"/>
    <x v="3437"/>
    <x v="3482"/>
    <x v="756"/>
    <x v="0"/>
    <x v="0"/>
    <x v="4"/>
    <x v="281"/>
    <x v="12"/>
    <x v="294"/>
    <x v="15"/>
    <x v="1"/>
    <x v="103"/>
    <x v="0"/>
    <x v="3547"/>
  </r>
  <r>
    <x v="0"/>
    <x v="1525"/>
    <x v="429"/>
    <x v="59"/>
    <x v="0"/>
    <x v="666"/>
    <x v="454"/>
    <x v="3169"/>
    <x v="111"/>
    <x v="1339"/>
    <x v="2051"/>
    <x v="2444"/>
    <x v="3481"/>
    <x v="3478"/>
    <x v="3117"/>
    <x v="8"/>
    <x v="3438"/>
    <x v="3483"/>
    <x v="632"/>
    <x v="0"/>
    <x v="0"/>
    <x v="4"/>
    <x v="281"/>
    <x v="17"/>
    <x v="672"/>
    <x v="21"/>
    <x v="1"/>
    <x v="128"/>
    <x v="0"/>
    <x v="3548"/>
  </r>
  <r>
    <x v="0"/>
    <x v="1526"/>
    <x v="400"/>
    <x v="59"/>
    <x v="89"/>
    <x v="546"/>
    <x v="31"/>
    <x v="3170"/>
    <x v="327"/>
    <x v="37"/>
    <x v="921"/>
    <x v="2445"/>
    <x v="3482"/>
    <x v="3479"/>
    <x v="3118"/>
    <x v="1"/>
    <x v="3439"/>
    <x v="3484"/>
    <x v="284"/>
    <x v="0"/>
    <x v="4"/>
    <x v="0"/>
    <x v="280"/>
    <x v="3"/>
    <x v="525"/>
    <x v="23"/>
    <x v="1"/>
    <x v="7"/>
    <x v="0"/>
    <x v="3549"/>
  </r>
  <r>
    <x v="0"/>
    <x v="496"/>
    <x v="84"/>
    <x v="106"/>
    <x v="254"/>
    <x v="471"/>
    <x v="4"/>
    <x v="3171"/>
    <x v="750"/>
    <x v="1340"/>
    <x v="2052"/>
    <x v="2446"/>
    <x v="3483"/>
    <x v="3480"/>
    <x v="3119"/>
    <x v="0"/>
    <x v="3440"/>
    <x v="3485"/>
    <x v="319"/>
    <x v="3"/>
    <x v="4"/>
    <x v="4"/>
    <x v="281"/>
    <x v="5"/>
    <x v="762"/>
    <x v="17"/>
    <x v="3"/>
    <x v="40"/>
    <x v="0"/>
    <x v="3550"/>
  </r>
  <r>
    <x v="0"/>
    <x v="403"/>
    <x v="413"/>
    <x v="31"/>
    <x v="23"/>
    <x v="660"/>
    <x v="588"/>
    <x v="3172"/>
    <x v="105"/>
    <x v="1341"/>
    <x v="2053"/>
    <x v="2447"/>
    <x v="3484"/>
    <x v="3481"/>
    <x v="1113"/>
    <x v="1"/>
    <x v="3441"/>
    <x v="3486"/>
    <x v="732"/>
    <x v="17"/>
    <x v="20"/>
    <x v="4"/>
    <x v="240"/>
    <x v="17"/>
    <x v="438"/>
    <x v="12"/>
    <x v="1"/>
    <x v="462"/>
    <x v="0"/>
    <x v="3551"/>
  </r>
  <r>
    <x v="0"/>
    <x v="1527"/>
    <x v="390"/>
    <x v="76"/>
    <x v="31"/>
    <x v="350"/>
    <x v="0"/>
    <x v="3173"/>
    <x v="751"/>
    <x v="51"/>
    <x v="2054"/>
    <x v="2257"/>
    <x v="3485"/>
    <x v="3482"/>
    <x v="382"/>
    <x v="8"/>
    <x v="3442"/>
    <x v="3487"/>
    <x v="755"/>
    <x v="0"/>
    <x v="25"/>
    <x v="4"/>
    <x v="4"/>
    <x v="0"/>
    <x v="65"/>
    <x v="21"/>
    <x v="1"/>
    <x v="231"/>
    <x v="0"/>
    <x v="3552"/>
  </r>
  <r>
    <x v="0"/>
    <x v="139"/>
    <x v="273"/>
    <x v="69"/>
    <x v="104"/>
    <x v="100"/>
    <x v="365"/>
    <x v="3174"/>
    <x v="28"/>
    <x v="1154"/>
    <x v="2055"/>
    <x v="2448"/>
    <x v="3486"/>
    <x v="3483"/>
    <x v="3120"/>
    <x v="1"/>
    <x v="3443"/>
    <x v="3488"/>
    <x v="653"/>
    <x v="30"/>
    <x v="49"/>
    <x v="4"/>
    <x v="213"/>
    <x v="1"/>
    <x v="725"/>
    <x v="14"/>
    <x v="3"/>
    <x v="59"/>
    <x v="0"/>
    <x v="3553"/>
  </r>
  <r>
    <x v="0"/>
    <x v="707"/>
    <x v="168"/>
    <x v="77"/>
    <x v="167"/>
    <x v="439"/>
    <x v="0"/>
    <x v="3175"/>
    <x v="364"/>
    <x v="114"/>
    <x v="2056"/>
    <x v="2449"/>
    <x v="3487"/>
    <x v="3484"/>
    <x v="504"/>
    <x v="0"/>
    <x v="3444"/>
    <x v="3489"/>
    <x v="708"/>
    <x v="0"/>
    <x v="0"/>
    <x v="4"/>
    <x v="170"/>
    <x v="11"/>
    <x v="831"/>
    <x v="28"/>
    <x v="1"/>
    <x v="48"/>
    <x v="0"/>
    <x v="3554"/>
  </r>
  <r>
    <x v="0"/>
    <x v="1528"/>
    <x v="193"/>
    <x v="76"/>
    <x v="221"/>
    <x v="303"/>
    <x v="488"/>
    <x v="3176"/>
    <x v="752"/>
    <x v="1342"/>
    <x v="2057"/>
    <x v="2450"/>
    <x v="3488"/>
    <x v="3485"/>
    <x v="3121"/>
    <x v="6"/>
    <x v="3445"/>
    <x v="3490"/>
    <x v="755"/>
    <x v="0"/>
    <x v="5"/>
    <x v="0"/>
    <x v="170"/>
    <x v="0"/>
    <x v="514"/>
    <x v="22"/>
    <x v="1"/>
    <x v="634"/>
    <x v="0"/>
    <x v="3555"/>
  </r>
  <r>
    <x v="0"/>
    <x v="265"/>
    <x v="272"/>
    <x v="52"/>
    <x v="175"/>
    <x v="100"/>
    <x v="668"/>
    <x v="3177"/>
    <x v="152"/>
    <x v="1343"/>
    <x v="2058"/>
    <x v="2451"/>
    <x v="3489"/>
    <x v="3486"/>
    <x v="3122"/>
    <x v="4"/>
    <x v="3446"/>
    <x v="3491"/>
    <x v="562"/>
    <x v="0"/>
    <x v="0"/>
    <x v="4"/>
    <x v="224"/>
    <x v="23"/>
    <x v="814"/>
    <x v="6"/>
    <x v="3"/>
    <x v="1"/>
    <x v="0"/>
    <x v="3556"/>
  </r>
  <r>
    <x v="0"/>
    <x v="1529"/>
    <x v="465"/>
    <x v="26"/>
    <x v="143"/>
    <x v="636"/>
    <x v="487"/>
    <x v="3178"/>
    <x v="316"/>
    <x v="903"/>
    <x v="2059"/>
    <x v="2452"/>
    <x v="3490"/>
    <x v="3487"/>
    <x v="3123"/>
    <x v="1"/>
    <x v="3447"/>
    <x v="3492"/>
    <x v="377"/>
    <x v="0"/>
    <x v="0"/>
    <x v="0"/>
    <x v="170"/>
    <x v="42"/>
    <x v="255"/>
    <x v="2"/>
    <x v="3"/>
    <x v="1"/>
    <x v="0"/>
    <x v="3557"/>
  </r>
  <r>
    <x v="0"/>
    <x v="1530"/>
    <x v="489"/>
    <x v="86"/>
    <x v="0"/>
    <x v="831"/>
    <x v="669"/>
    <x v="4"/>
    <x v="200"/>
    <x v="1344"/>
    <x v="2060"/>
    <x v="2453"/>
    <x v="3491"/>
    <x v="3488"/>
    <x v="3124"/>
    <x v="4"/>
    <x v="3448"/>
    <x v="3493"/>
    <x v="631"/>
    <x v="0"/>
    <x v="0"/>
    <x v="2"/>
    <x v="4"/>
    <x v="37"/>
    <x v="832"/>
    <x v="13"/>
    <x v="3"/>
    <x v="523"/>
    <x v="0"/>
    <x v="3558"/>
  </r>
  <r>
    <x v="0"/>
    <x v="209"/>
    <x v="313"/>
    <x v="27"/>
    <x v="0"/>
    <x v="106"/>
    <x v="615"/>
    <x v="3179"/>
    <x v="753"/>
    <x v="1345"/>
    <x v="2061"/>
    <x v="2454"/>
    <x v="3492"/>
    <x v="3489"/>
    <x v="3125"/>
    <x v="0"/>
    <x v="3449"/>
    <x v="3494"/>
    <x v="781"/>
    <x v="0"/>
    <x v="0"/>
    <x v="14"/>
    <x v="170"/>
    <x v="35"/>
    <x v="35"/>
    <x v="1"/>
    <x v="1"/>
    <x v="1"/>
    <x v="0"/>
    <x v="3559"/>
  </r>
  <r>
    <x v="0"/>
    <x v="54"/>
    <x v="369"/>
    <x v="26"/>
    <x v="39"/>
    <x v="865"/>
    <x v="375"/>
    <x v="3180"/>
    <x v="754"/>
    <x v="1045"/>
    <x v="600"/>
    <x v="920"/>
    <x v="3493"/>
    <x v="3490"/>
    <x v="3126"/>
    <x v="0"/>
    <x v="3450"/>
    <x v="3495"/>
    <x v="487"/>
    <x v="0"/>
    <x v="0"/>
    <x v="2"/>
    <x v="170"/>
    <x v="27"/>
    <x v="377"/>
    <x v="5"/>
    <x v="3"/>
    <x v="144"/>
    <x v="0"/>
    <x v="3560"/>
  </r>
  <r>
    <x v="0"/>
    <x v="52"/>
    <x v="312"/>
    <x v="58"/>
    <x v="37"/>
    <x v="730"/>
    <x v="325"/>
    <x v="3181"/>
    <x v="70"/>
    <x v="675"/>
    <x v="687"/>
    <x v="1681"/>
    <x v="3494"/>
    <x v="3491"/>
    <x v="3127"/>
    <x v="3"/>
    <x v="3451"/>
    <x v="3496"/>
    <x v="598"/>
    <x v="0"/>
    <x v="0"/>
    <x v="4"/>
    <x v="170"/>
    <x v="15"/>
    <x v="22"/>
    <x v="11"/>
    <x v="1"/>
    <x v="1"/>
    <x v="0"/>
    <x v="3561"/>
  </r>
  <r>
    <x v="0"/>
    <x v="1452"/>
    <x v="387"/>
    <x v="76"/>
    <x v="281"/>
    <x v="866"/>
    <x v="670"/>
    <x v="3182"/>
    <x v="105"/>
    <x v="1346"/>
    <x v="2062"/>
    <x v="2455"/>
    <x v="3495"/>
    <x v="3492"/>
    <x v="3128"/>
    <x v="4"/>
    <x v="3452"/>
    <x v="3497"/>
    <x v="690"/>
    <x v="0"/>
    <x v="0"/>
    <x v="4"/>
    <x v="170"/>
    <x v="7"/>
    <x v="724"/>
    <x v="18"/>
    <x v="1"/>
    <x v="483"/>
    <x v="0"/>
    <x v="3562"/>
  </r>
  <r>
    <x v="0"/>
    <x v="618"/>
    <x v="394"/>
    <x v="69"/>
    <x v="275"/>
    <x v="657"/>
    <x v="539"/>
    <x v="4"/>
    <x v="232"/>
    <x v="1347"/>
    <x v="2063"/>
    <x v="2456"/>
    <x v="3496"/>
    <x v="3493"/>
    <x v="3129"/>
    <x v="0"/>
    <x v="3453"/>
    <x v="3498"/>
    <x v="372"/>
    <x v="0"/>
    <x v="0"/>
    <x v="3"/>
    <x v="170"/>
    <x v="49"/>
    <x v="833"/>
    <x v="13"/>
    <x v="1"/>
    <x v="1"/>
    <x v="0"/>
    <x v="3563"/>
  </r>
  <r>
    <x v="0"/>
    <x v="1531"/>
    <x v="241"/>
    <x v="43"/>
    <x v="47"/>
    <x v="119"/>
    <x v="52"/>
    <x v="3183"/>
    <x v="321"/>
    <x v="1348"/>
    <x v="768"/>
    <x v="1305"/>
    <x v="3497"/>
    <x v="3494"/>
    <x v="3130"/>
    <x v="0"/>
    <x v="3454"/>
    <x v="3499"/>
    <x v="284"/>
    <x v="0"/>
    <x v="0"/>
    <x v="0"/>
    <x v="170"/>
    <x v="15"/>
    <x v="460"/>
    <x v="57"/>
    <x v="1"/>
    <x v="439"/>
    <x v="0"/>
    <x v="3564"/>
  </r>
  <r>
    <x v="0"/>
    <x v="1532"/>
    <x v="345"/>
    <x v="8"/>
    <x v="31"/>
    <x v="316"/>
    <x v="671"/>
    <x v="3184"/>
    <x v="113"/>
    <x v="1349"/>
    <x v="2064"/>
    <x v="2457"/>
    <x v="3498"/>
    <x v="3495"/>
    <x v="3131"/>
    <x v="0"/>
    <x v="3455"/>
    <x v="3500"/>
    <x v="591"/>
    <x v="0"/>
    <x v="8"/>
    <x v="4"/>
    <x v="222"/>
    <x v="18"/>
    <x v="721"/>
    <x v="16"/>
    <x v="1"/>
    <x v="635"/>
    <x v="0"/>
    <x v="3565"/>
  </r>
  <r>
    <x v="0"/>
    <x v="901"/>
    <x v="67"/>
    <x v="59"/>
    <x v="0"/>
    <x v="361"/>
    <x v="57"/>
    <x v="3185"/>
    <x v="270"/>
    <x v="125"/>
    <x v="926"/>
    <x v="1429"/>
    <x v="3499"/>
    <x v="3496"/>
    <x v="3132"/>
    <x v="0"/>
    <x v="3456"/>
    <x v="3501"/>
    <x v="611"/>
    <x v="0"/>
    <x v="1"/>
    <x v="13"/>
    <x v="170"/>
    <x v="10"/>
    <x v="103"/>
    <x v="11"/>
    <x v="1"/>
    <x v="33"/>
    <x v="0"/>
    <x v="3566"/>
  </r>
  <r>
    <x v="0"/>
    <x v="69"/>
    <x v="290"/>
    <x v="72"/>
    <x v="54"/>
    <x v="191"/>
    <x v="3"/>
    <x v="3186"/>
    <x v="168"/>
    <x v="3"/>
    <x v="1445"/>
    <x v="672"/>
    <x v="3500"/>
    <x v="3497"/>
    <x v="3133"/>
    <x v="1"/>
    <x v="3457"/>
    <x v="3502"/>
    <x v="294"/>
    <x v="0"/>
    <x v="1"/>
    <x v="4"/>
    <x v="213"/>
    <x v="14"/>
    <x v="563"/>
    <x v="38"/>
    <x v="1"/>
    <x v="1"/>
    <x v="0"/>
    <x v="3567"/>
  </r>
  <r>
    <x v="0"/>
    <x v="1533"/>
    <x v="169"/>
    <x v="7"/>
    <x v="0"/>
    <x v="746"/>
    <x v="0"/>
    <x v="3187"/>
    <x v="134"/>
    <x v="1350"/>
    <x v="2065"/>
    <x v="1906"/>
    <x v="3501"/>
    <x v="3498"/>
    <x v="1340"/>
    <x v="4"/>
    <x v="3458"/>
    <x v="3503"/>
    <x v="732"/>
    <x v="0"/>
    <x v="0"/>
    <x v="0"/>
    <x v="170"/>
    <x v="12"/>
    <x v="834"/>
    <x v="4"/>
    <x v="1"/>
    <x v="636"/>
    <x v="0"/>
    <x v="3568"/>
  </r>
  <r>
    <x v="0"/>
    <x v="1534"/>
    <x v="245"/>
    <x v="38"/>
    <x v="12"/>
    <x v="811"/>
    <x v="14"/>
    <x v="3188"/>
    <x v="306"/>
    <x v="788"/>
    <x v="2066"/>
    <x v="1925"/>
    <x v="3502"/>
    <x v="3499"/>
    <x v="3005"/>
    <x v="2"/>
    <x v="3459"/>
    <x v="3504"/>
    <x v="119"/>
    <x v="0"/>
    <x v="1"/>
    <x v="0"/>
    <x v="170"/>
    <x v="9"/>
    <x v="656"/>
    <x v="8"/>
    <x v="1"/>
    <x v="85"/>
    <x v="0"/>
    <x v="3569"/>
  </r>
  <r>
    <x v="0"/>
    <x v="1106"/>
    <x v="274"/>
    <x v="55"/>
    <x v="5"/>
    <x v="517"/>
    <x v="11"/>
    <x v="3189"/>
    <x v="17"/>
    <x v="49"/>
    <x v="2067"/>
    <x v="779"/>
    <x v="3503"/>
    <x v="3500"/>
    <x v="3134"/>
    <x v="4"/>
    <x v="3460"/>
    <x v="3505"/>
    <x v="675"/>
    <x v="0"/>
    <x v="0"/>
    <x v="4"/>
    <x v="170"/>
    <x v="14"/>
    <x v="835"/>
    <x v="2"/>
    <x v="1"/>
    <x v="103"/>
    <x v="0"/>
    <x v="3570"/>
  </r>
  <r>
    <x v="0"/>
    <x v="1535"/>
    <x v="419"/>
    <x v="11"/>
    <x v="107"/>
    <x v="298"/>
    <x v="156"/>
    <x v="3190"/>
    <x v="270"/>
    <x v="289"/>
    <x v="2068"/>
    <x v="2458"/>
    <x v="3504"/>
    <x v="3501"/>
    <x v="3135"/>
    <x v="0"/>
    <x v="3461"/>
    <x v="3506"/>
    <x v="816"/>
    <x v="0"/>
    <x v="1"/>
    <x v="1"/>
    <x v="170"/>
    <x v="21"/>
    <x v="556"/>
    <x v="11"/>
    <x v="3"/>
    <x v="331"/>
    <x v="0"/>
    <x v="3571"/>
  </r>
  <r>
    <x v="0"/>
    <x v="1536"/>
    <x v="259"/>
    <x v="72"/>
    <x v="47"/>
    <x v="526"/>
    <x v="25"/>
    <x v="3191"/>
    <x v="387"/>
    <x v="26"/>
    <x v="1081"/>
    <x v="2459"/>
    <x v="3505"/>
    <x v="3502"/>
    <x v="3136"/>
    <x v="0"/>
    <x v="3462"/>
    <x v="3507"/>
    <x v="578"/>
    <x v="0"/>
    <x v="0"/>
    <x v="4"/>
    <x v="170"/>
    <x v="0"/>
    <x v="586"/>
    <x v="13"/>
    <x v="1"/>
    <x v="1"/>
    <x v="0"/>
    <x v="3572"/>
  </r>
  <r>
    <x v="0"/>
    <x v="1537"/>
    <x v="329"/>
    <x v="58"/>
    <x v="134"/>
    <x v="525"/>
    <x v="0"/>
    <x v="4"/>
    <x v="755"/>
    <x v="167"/>
    <x v="1047"/>
    <x v="2460"/>
    <x v="3506"/>
    <x v="3503"/>
    <x v="3137"/>
    <x v="0"/>
    <x v="3463"/>
    <x v="3508"/>
    <x v="684"/>
    <x v="0"/>
    <x v="3"/>
    <x v="4"/>
    <x v="170"/>
    <x v="5"/>
    <x v="573"/>
    <x v="12"/>
    <x v="1"/>
    <x v="637"/>
    <x v="0"/>
    <x v="3573"/>
  </r>
  <r>
    <x v="1"/>
    <x v="913"/>
    <x v="176"/>
    <x v="40"/>
    <x v="324"/>
    <x v="264"/>
    <x v="67"/>
    <x v="3192"/>
    <x v="316"/>
    <x v="1169"/>
    <x v="5"/>
    <x v="1082"/>
    <x v="3507"/>
    <x v="3504"/>
    <x v="467"/>
    <x v="1"/>
    <x v="3464"/>
    <x v="3509"/>
    <x v="498"/>
    <x v="0"/>
    <x v="1"/>
    <x v="4"/>
    <x v="274"/>
    <x v="1"/>
    <x v="148"/>
    <x v="16"/>
    <x v="1"/>
    <x v="38"/>
    <x v="0"/>
    <x v="3574"/>
  </r>
  <r>
    <x v="0"/>
    <x v="0"/>
    <x v="298"/>
    <x v="86"/>
    <x v="0"/>
    <x v="554"/>
    <x v="35"/>
    <x v="3193"/>
    <x v="46"/>
    <x v="280"/>
    <x v="588"/>
    <x v="1834"/>
    <x v="3508"/>
    <x v="3505"/>
    <x v="3138"/>
    <x v="1"/>
    <x v="3465"/>
    <x v="3510"/>
    <x v="275"/>
    <x v="0"/>
    <x v="1"/>
    <x v="4"/>
    <x v="170"/>
    <x v="31"/>
    <x v="374"/>
    <x v="14"/>
    <x v="3"/>
    <x v="38"/>
    <x v="0"/>
    <x v="3575"/>
  </r>
  <r>
    <x v="1"/>
    <x v="1538"/>
    <x v="155"/>
    <x v="61"/>
    <x v="45"/>
    <x v="496"/>
    <x v="545"/>
    <x v="3194"/>
    <x v="17"/>
    <x v="1351"/>
    <x v="2069"/>
    <x v="2461"/>
    <x v="3509"/>
    <x v="3506"/>
    <x v="3139"/>
    <x v="4"/>
    <x v="3466"/>
    <x v="3511"/>
    <x v="571"/>
    <x v="15"/>
    <x v="8"/>
    <x v="4"/>
    <x v="282"/>
    <x v="17"/>
    <x v="836"/>
    <x v="16"/>
    <x v="3"/>
    <x v="59"/>
    <x v="0"/>
    <x v="3576"/>
  </r>
  <r>
    <x v="0"/>
    <x v="323"/>
    <x v="118"/>
    <x v="42"/>
    <x v="0"/>
    <x v="783"/>
    <x v="0"/>
    <x v="3195"/>
    <x v="122"/>
    <x v="1054"/>
    <x v="2070"/>
    <x v="2462"/>
    <x v="3510"/>
    <x v="3507"/>
    <x v="3140"/>
    <x v="4"/>
    <x v="3467"/>
    <x v="3512"/>
    <x v="678"/>
    <x v="0"/>
    <x v="1"/>
    <x v="4"/>
    <x v="70"/>
    <x v="0"/>
    <x v="659"/>
    <x v="32"/>
    <x v="3"/>
    <x v="1"/>
    <x v="0"/>
    <x v="3577"/>
  </r>
  <r>
    <x v="0"/>
    <x v="1539"/>
    <x v="232"/>
    <x v="26"/>
    <x v="377"/>
    <x v="128"/>
    <x v="672"/>
    <x v="4"/>
    <x v="658"/>
    <x v="1352"/>
    <x v="2071"/>
    <x v="2463"/>
    <x v="3511"/>
    <x v="3508"/>
    <x v="2199"/>
    <x v="0"/>
    <x v="3468"/>
    <x v="3513"/>
    <x v="776"/>
    <x v="0"/>
    <x v="0"/>
    <x v="4"/>
    <x v="213"/>
    <x v="39"/>
    <x v="491"/>
    <x v="11"/>
    <x v="3"/>
    <x v="1"/>
    <x v="0"/>
    <x v="3578"/>
  </r>
  <r>
    <x v="0"/>
    <x v="113"/>
    <x v="81"/>
    <x v="162"/>
    <x v="88"/>
    <x v="531"/>
    <x v="673"/>
    <x v="4"/>
    <x v="168"/>
    <x v="1353"/>
    <x v="2072"/>
    <x v="2464"/>
    <x v="3512"/>
    <x v="3509"/>
    <x v="3141"/>
    <x v="7"/>
    <x v="4"/>
    <x v="3514"/>
    <x v="719"/>
    <x v="17"/>
    <x v="20"/>
    <x v="7"/>
    <x v="4"/>
    <x v="4"/>
    <x v="557"/>
    <x v="50"/>
    <x v="3"/>
    <x v="1"/>
    <x v="0"/>
    <x v="3579"/>
  </r>
  <r>
    <x v="0"/>
    <x v="609"/>
    <x v="197"/>
    <x v="32"/>
    <x v="0"/>
    <x v="674"/>
    <x v="0"/>
    <x v="3196"/>
    <x v="127"/>
    <x v="990"/>
    <x v="2073"/>
    <x v="1220"/>
    <x v="3513"/>
    <x v="3510"/>
    <x v="3142"/>
    <x v="5"/>
    <x v="3469"/>
    <x v="3515"/>
    <x v="136"/>
    <x v="0"/>
    <x v="0"/>
    <x v="4"/>
    <x v="224"/>
    <x v="16"/>
    <x v="103"/>
    <x v="13"/>
    <x v="3"/>
    <x v="1"/>
    <x v="0"/>
    <x v="3580"/>
  </r>
  <r>
    <x v="0"/>
    <x v="1170"/>
    <x v="310"/>
    <x v="47"/>
    <x v="135"/>
    <x v="286"/>
    <x v="0"/>
    <x v="3197"/>
    <x v="756"/>
    <x v="1354"/>
    <x v="540"/>
    <x v="2465"/>
    <x v="3514"/>
    <x v="3511"/>
    <x v="3143"/>
    <x v="4"/>
    <x v="3470"/>
    <x v="3516"/>
    <x v="662"/>
    <x v="0"/>
    <x v="0"/>
    <x v="0"/>
    <x v="224"/>
    <x v="33"/>
    <x v="351"/>
    <x v="13"/>
    <x v="1"/>
    <x v="38"/>
    <x v="0"/>
    <x v="3581"/>
  </r>
  <r>
    <x v="0"/>
    <x v="78"/>
    <x v="293"/>
    <x v="60"/>
    <x v="0"/>
    <x v="362"/>
    <x v="1"/>
    <x v="3198"/>
    <x v="269"/>
    <x v="1"/>
    <x v="633"/>
    <x v="1277"/>
    <x v="3515"/>
    <x v="3512"/>
    <x v="3144"/>
    <x v="0"/>
    <x v="3471"/>
    <x v="3517"/>
    <x v="146"/>
    <x v="0"/>
    <x v="1"/>
    <x v="4"/>
    <x v="224"/>
    <x v="43"/>
    <x v="50"/>
    <x v="14"/>
    <x v="3"/>
    <x v="104"/>
    <x v="0"/>
    <x v="3582"/>
  </r>
  <r>
    <x v="0"/>
    <x v="942"/>
    <x v="88"/>
    <x v="40"/>
    <x v="325"/>
    <x v="140"/>
    <x v="533"/>
    <x v="3199"/>
    <x v="757"/>
    <x v="1355"/>
    <x v="2074"/>
    <x v="2466"/>
    <x v="3516"/>
    <x v="3513"/>
    <x v="3145"/>
    <x v="0"/>
    <x v="3472"/>
    <x v="3518"/>
    <x v="921"/>
    <x v="0"/>
    <x v="0"/>
    <x v="4"/>
    <x v="224"/>
    <x v="14"/>
    <x v="550"/>
    <x v="7"/>
    <x v="3"/>
    <x v="1"/>
    <x v="0"/>
    <x v="3583"/>
  </r>
  <r>
    <x v="0"/>
    <x v="1540"/>
    <x v="335"/>
    <x v="47"/>
    <x v="3"/>
    <x v="733"/>
    <x v="5"/>
    <x v="3200"/>
    <x v="758"/>
    <x v="1356"/>
    <x v="2075"/>
    <x v="2467"/>
    <x v="3517"/>
    <x v="3514"/>
    <x v="3146"/>
    <x v="1"/>
    <x v="3473"/>
    <x v="3519"/>
    <x v="75"/>
    <x v="0"/>
    <x v="0"/>
    <x v="18"/>
    <x v="224"/>
    <x v="50"/>
    <x v="730"/>
    <x v="14"/>
    <x v="1"/>
    <x v="1"/>
    <x v="0"/>
    <x v="3584"/>
  </r>
  <r>
    <x v="0"/>
    <x v="1541"/>
    <x v="118"/>
    <x v="106"/>
    <x v="111"/>
    <x v="746"/>
    <x v="674"/>
    <x v="3201"/>
    <x v="759"/>
    <x v="1357"/>
    <x v="2076"/>
    <x v="2468"/>
    <x v="3518"/>
    <x v="3515"/>
    <x v="3147"/>
    <x v="4"/>
    <x v="3474"/>
    <x v="3520"/>
    <x v="545"/>
    <x v="0"/>
    <x v="0"/>
    <x v="11"/>
    <x v="224"/>
    <x v="53"/>
    <x v="452"/>
    <x v="6"/>
    <x v="10"/>
    <x v="1"/>
    <x v="0"/>
    <x v="3585"/>
  </r>
  <r>
    <x v="0"/>
    <x v="351"/>
    <x v="219"/>
    <x v="23"/>
    <x v="0"/>
    <x v="70"/>
    <x v="35"/>
    <x v="3202"/>
    <x v="270"/>
    <x v="548"/>
    <x v="2077"/>
    <x v="86"/>
    <x v="3519"/>
    <x v="3516"/>
    <x v="3148"/>
    <x v="3"/>
    <x v="3475"/>
    <x v="3521"/>
    <x v="41"/>
    <x v="0"/>
    <x v="0"/>
    <x v="4"/>
    <x v="224"/>
    <x v="35"/>
    <x v="7"/>
    <x v="6"/>
    <x v="3"/>
    <x v="1"/>
    <x v="0"/>
    <x v="3586"/>
  </r>
  <r>
    <x v="0"/>
    <x v="158"/>
    <x v="86"/>
    <x v="60"/>
    <x v="115"/>
    <x v="188"/>
    <x v="0"/>
    <x v="261"/>
    <x v="121"/>
    <x v="51"/>
    <x v="212"/>
    <x v="237"/>
    <x v="268"/>
    <x v="3517"/>
    <x v="264"/>
    <x v="0"/>
    <x v="266"/>
    <x v="268"/>
    <x v="251"/>
    <x v="0"/>
    <x v="0"/>
    <x v="2"/>
    <x v="43"/>
    <x v="14"/>
    <x v="30"/>
    <x v="27"/>
    <x v="1"/>
    <x v="1"/>
    <x v="0"/>
    <x v="3587"/>
  </r>
  <r>
    <x v="0"/>
    <x v="1542"/>
    <x v="293"/>
    <x v="49"/>
    <x v="116"/>
    <x v="251"/>
    <x v="669"/>
    <x v="3203"/>
    <x v="760"/>
    <x v="1344"/>
    <x v="2078"/>
    <x v="2469"/>
    <x v="3520"/>
    <x v="3518"/>
    <x v="3149"/>
    <x v="0"/>
    <x v="3476"/>
    <x v="3522"/>
    <x v="271"/>
    <x v="0"/>
    <x v="0"/>
    <x v="10"/>
    <x v="224"/>
    <x v="60"/>
    <x v="587"/>
    <x v="32"/>
    <x v="5"/>
    <x v="1"/>
    <x v="0"/>
    <x v="3588"/>
  </r>
  <r>
    <x v="0"/>
    <x v="370"/>
    <x v="184"/>
    <x v="42"/>
    <x v="201"/>
    <x v="241"/>
    <x v="57"/>
    <x v="3204"/>
    <x v="300"/>
    <x v="192"/>
    <x v="2079"/>
    <x v="853"/>
    <x v="3521"/>
    <x v="3519"/>
    <x v="3150"/>
    <x v="3"/>
    <x v="3477"/>
    <x v="3523"/>
    <x v="384"/>
    <x v="0"/>
    <x v="0"/>
    <x v="4"/>
    <x v="224"/>
    <x v="35"/>
    <x v="549"/>
    <x v="38"/>
    <x v="3"/>
    <x v="1"/>
    <x v="0"/>
    <x v="3589"/>
  </r>
  <r>
    <x v="0"/>
    <x v="1543"/>
    <x v="460"/>
    <x v="11"/>
    <x v="123"/>
    <x v="801"/>
    <x v="22"/>
    <x v="3205"/>
    <x v="200"/>
    <x v="430"/>
    <x v="1766"/>
    <x v="1860"/>
    <x v="3522"/>
    <x v="3520"/>
    <x v="3151"/>
    <x v="2"/>
    <x v="3478"/>
    <x v="3524"/>
    <x v="712"/>
    <x v="0"/>
    <x v="0"/>
    <x v="4"/>
    <x v="224"/>
    <x v="18"/>
    <x v="793"/>
    <x v="22"/>
    <x v="3"/>
    <x v="259"/>
    <x v="0"/>
    <x v="3590"/>
  </r>
  <r>
    <x v="0"/>
    <x v="1171"/>
    <x v="465"/>
    <x v="11"/>
    <x v="137"/>
    <x v="334"/>
    <x v="191"/>
    <x v="3206"/>
    <x v="105"/>
    <x v="536"/>
    <x v="1857"/>
    <x v="2129"/>
    <x v="3523"/>
    <x v="3521"/>
    <x v="3152"/>
    <x v="0"/>
    <x v="3479"/>
    <x v="3525"/>
    <x v="724"/>
    <x v="0"/>
    <x v="0"/>
    <x v="4"/>
    <x v="224"/>
    <x v="15"/>
    <x v="296"/>
    <x v="8"/>
    <x v="3"/>
    <x v="177"/>
    <x v="0"/>
    <x v="3591"/>
  </r>
  <r>
    <x v="0"/>
    <x v="11"/>
    <x v="57"/>
    <x v="11"/>
    <x v="0"/>
    <x v="354"/>
    <x v="11"/>
    <x v="3207"/>
    <x v="171"/>
    <x v="11"/>
    <x v="705"/>
    <x v="485"/>
    <x v="3524"/>
    <x v="3522"/>
    <x v="3153"/>
    <x v="2"/>
    <x v="3480"/>
    <x v="3526"/>
    <x v="922"/>
    <x v="0"/>
    <x v="0"/>
    <x v="4"/>
    <x v="224"/>
    <x v="16"/>
    <x v="114"/>
    <x v="35"/>
    <x v="1"/>
    <x v="82"/>
    <x v="0"/>
    <x v="3592"/>
  </r>
  <r>
    <x v="1"/>
    <x v="249"/>
    <x v="343"/>
    <x v="71"/>
    <x v="138"/>
    <x v="734"/>
    <x v="675"/>
    <x v="3208"/>
    <x v="761"/>
    <x v="1358"/>
    <x v="2080"/>
    <x v="2470"/>
    <x v="3525"/>
    <x v="3523"/>
    <x v="3154"/>
    <x v="0"/>
    <x v="3481"/>
    <x v="3527"/>
    <x v="108"/>
    <x v="0"/>
    <x v="0"/>
    <x v="14"/>
    <x v="83"/>
    <x v="30"/>
    <x v="837"/>
    <x v="37"/>
    <x v="3"/>
    <x v="103"/>
    <x v="0"/>
    <x v="3593"/>
  </r>
  <r>
    <x v="0"/>
    <x v="205"/>
    <x v="368"/>
    <x v="50"/>
    <x v="69"/>
    <x v="799"/>
    <x v="17"/>
    <x v="3209"/>
    <x v="127"/>
    <x v="32"/>
    <x v="829"/>
    <x v="2471"/>
    <x v="3526"/>
    <x v="3524"/>
    <x v="3155"/>
    <x v="0"/>
    <x v="3482"/>
    <x v="3528"/>
    <x v="150"/>
    <x v="0"/>
    <x v="8"/>
    <x v="4"/>
    <x v="224"/>
    <x v="19"/>
    <x v="485"/>
    <x v="21"/>
    <x v="3"/>
    <x v="1"/>
    <x v="0"/>
    <x v="3594"/>
  </r>
  <r>
    <x v="0"/>
    <x v="121"/>
    <x v="404"/>
    <x v="56"/>
    <x v="0"/>
    <x v="209"/>
    <x v="0"/>
    <x v="3210"/>
    <x v="291"/>
    <x v="441"/>
    <x v="2081"/>
    <x v="2472"/>
    <x v="3527"/>
    <x v="3525"/>
    <x v="3156"/>
    <x v="0"/>
    <x v="3483"/>
    <x v="3529"/>
    <x v="923"/>
    <x v="0"/>
    <x v="0"/>
    <x v="4"/>
    <x v="224"/>
    <x v="8"/>
    <x v="396"/>
    <x v="0"/>
    <x v="1"/>
    <x v="7"/>
    <x v="0"/>
    <x v="3595"/>
  </r>
  <r>
    <x v="0"/>
    <x v="1544"/>
    <x v="424"/>
    <x v="48"/>
    <x v="91"/>
    <x v="759"/>
    <x v="420"/>
    <x v="3211"/>
    <x v="304"/>
    <x v="764"/>
    <x v="2082"/>
    <x v="2473"/>
    <x v="3528"/>
    <x v="3526"/>
    <x v="169"/>
    <x v="0"/>
    <x v="3484"/>
    <x v="3530"/>
    <x v="499"/>
    <x v="0"/>
    <x v="0"/>
    <x v="10"/>
    <x v="83"/>
    <x v="61"/>
    <x v="263"/>
    <x v="8"/>
    <x v="15"/>
    <x v="638"/>
    <x v="0"/>
    <x v="3596"/>
  </r>
  <r>
    <x v="0"/>
    <x v="1250"/>
    <x v="323"/>
    <x v="78"/>
    <x v="148"/>
    <x v="314"/>
    <x v="58"/>
    <x v="3212"/>
    <x v="125"/>
    <x v="100"/>
    <x v="509"/>
    <x v="417"/>
    <x v="3529"/>
    <x v="3527"/>
    <x v="3157"/>
    <x v="12"/>
    <x v="3485"/>
    <x v="3531"/>
    <x v="471"/>
    <x v="0"/>
    <x v="0"/>
    <x v="0"/>
    <x v="224"/>
    <x v="21"/>
    <x v="330"/>
    <x v="7"/>
    <x v="3"/>
    <x v="1"/>
    <x v="0"/>
    <x v="3597"/>
  </r>
  <r>
    <x v="0"/>
    <x v="469"/>
    <x v="275"/>
    <x v="11"/>
    <x v="0"/>
    <x v="867"/>
    <x v="413"/>
    <x v="3213"/>
    <x v="46"/>
    <x v="806"/>
    <x v="1932"/>
    <x v="2474"/>
    <x v="3530"/>
    <x v="3528"/>
    <x v="3158"/>
    <x v="1"/>
    <x v="3486"/>
    <x v="3532"/>
    <x v="437"/>
    <x v="0"/>
    <x v="1"/>
    <x v="4"/>
    <x v="224"/>
    <x v="37"/>
    <x v="201"/>
    <x v="13"/>
    <x v="1"/>
    <x v="1"/>
    <x v="0"/>
    <x v="3598"/>
  </r>
  <r>
    <x v="0"/>
    <x v="437"/>
    <x v="417"/>
    <x v="61"/>
    <x v="0"/>
    <x v="94"/>
    <x v="559"/>
    <x v="3214"/>
    <x v="752"/>
    <x v="1359"/>
    <x v="2083"/>
    <x v="1070"/>
    <x v="3531"/>
    <x v="3529"/>
    <x v="3159"/>
    <x v="2"/>
    <x v="3487"/>
    <x v="3533"/>
    <x v="785"/>
    <x v="0"/>
    <x v="0"/>
    <x v="4"/>
    <x v="170"/>
    <x v="32"/>
    <x v="722"/>
    <x v="27"/>
    <x v="3"/>
    <x v="194"/>
    <x v="0"/>
    <x v="3599"/>
  </r>
  <r>
    <x v="0"/>
    <x v="1545"/>
    <x v="460"/>
    <x v="71"/>
    <x v="0"/>
    <x v="417"/>
    <x v="532"/>
    <x v="3215"/>
    <x v="238"/>
    <x v="1002"/>
    <x v="769"/>
    <x v="1086"/>
    <x v="3532"/>
    <x v="3530"/>
    <x v="846"/>
    <x v="4"/>
    <x v="3488"/>
    <x v="3534"/>
    <x v="646"/>
    <x v="0"/>
    <x v="0"/>
    <x v="2"/>
    <x v="224"/>
    <x v="1"/>
    <x v="461"/>
    <x v="64"/>
    <x v="3"/>
    <x v="639"/>
    <x v="0"/>
    <x v="3600"/>
  </r>
  <r>
    <x v="0"/>
    <x v="1546"/>
    <x v="315"/>
    <x v="107"/>
    <x v="378"/>
    <x v="607"/>
    <x v="281"/>
    <x v="3216"/>
    <x v="132"/>
    <x v="1360"/>
    <x v="2084"/>
    <x v="2475"/>
    <x v="3533"/>
    <x v="3531"/>
    <x v="1989"/>
    <x v="1"/>
    <x v="3489"/>
    <x v="3535"/>
    <x v="640"/>
    <x v="0"/>
    <x v="14"/>
    <x v="0"/>
    <x v="4"/>
    <x v="13"/>
    <x v="653"/>
    <x v="5"/>
    <x v="1"/>
    <x v="540"/>
    <x v="0"/>
    <x v="3601"/>
  </r>
  <r>
    <x v="0"/>
    <x v="1250"/>
    <x v="241"/>
    <x v="43"/>
    <x v="148"/>
    <x v="414"/>
    <x v="177"/>
    <x v="3217"/>
    <x v="430"/>
    <x v="1167"/>
    <x v="1410"/>
    <x v="2243"/>
    <x v="3534"/>
    <x v="3532"/>
    <x v="2054"/>
    <x v="0"/>
    <x v="3490"/>
    <x v="3536"/>
    <x v="924"/>
    <x v="0"/>
    <x v="0"/>
    <x v="0"/>
    <x v="4"/>
    <x v="17"/>
    <x v="602"/>
    <x v="11"/>
    <x v="3"/>
    <x v="1"/>
    <x v="0"/>
    <x v="3602"/>
  </r>
  <r>
    <x v="0"/>
    <x v="372"/>
    <x v="384"/>
    <x v="27"/>
    <x v="8"/>
    <x v="314"/>
    <x v="94"/>
    <x v="3218"/>
    <x v="105"/>
    <x v="218"/>
    <x v="350"/>
    <x v="768"/>
    <x v="3535"/>
    <x v="3533"/>
    <x v="3160"/>
    <x v="2"/>
    <x v="3491"/>
    <x v="3537"/>
    <x v="546"/>
    <x v="0"/>
    <x v="0"/>
    <x v="4"/>
    <x v="224"/>
    <x v="32"/>
    <x v="234"/>
    <x v="5"/>
    <x v="3"/>
    <x v="1"/>
    <x v="0"/>
    <x v="3603"/>
  </r>
  <r>
    <x v="0"/>
    <x v="113"/>
    <x v="81"/>
    <x v="4"/>
    <x v="88"/>
    <x v="95"/>
    <x v="0"/>
    <x v="4"/>
    <x v="153"/>
    <x v="51"/>
    <x v="2085"/>
    <x v="120"/>
    <x v="3536"/>
    <x v="3534"/>
    <x v="284"/>
    <x v="1"/>
    <x v="3492"/>
    <x v="3538"/>
    <x v="704"/>
    <x v="0"/>
    <x v="1"/>
    <x v="5"/>
    <x v="4"/>
    <x v="4"/>
    <x v="625"/>
    <x v="17"/>
    <x v="12"/>
    <x v="59"/>
    <x v="0"/>
    <x v="3604"/>
  </r>
  <r>
    <x v="0"/>
    <x v="505"/>
    <x v="343"/>
    <x v="77"/>
    <x v="195"/>
    <x v="2"/>
    <x v="39"/>
    <x v="3219"/>
    <x v="196"/>
    <x v="57"/>
    <x v="472"/>
    <x v="2476"/>
    <x v="3537"/>
    <x v="1216"/>
    <x v="2160"/>
    <x v="1"/>
    <x v="3493"/>
    <x v="3539"/>
    <x v="341"/>
    <x v="0"/>
    <x v="1"/>
    <x v="4"/>
    <x v="195"/>
    <x v="20"/>
    <x v="267"/>
    <x v="2"/>
    <x v="3"/>
    <x v="1"/>
    <x v="0"/>
    <x v="3605"/>
  </r>
  <r>
    <x v="0"/>
    <x v="1547"/>
    <x v="429"/>
    <x v="42"/>
    <x v="47"/>
    <x v="677"/>
    <x v="0"/>
    <x v="3220"/>
    <x v="662"/>
    <x v="1157"/>
    <x v="1841"/>
    <x v="2477"/>
    <x v="3538"/>
    <x v="3535"/>
    <x v="3161"/>
    <x v="0"/>
    <x v="3494"/>
    <x v="3540"/>
    <x v="802"/>
    <x v="0"/>
    <x v="0"/>
    <x v="4"/>
    <x v="224"/>
    <x v="16"/>
    <x v="163"/>
    <x v="9"/>
    <x v="3"/>
    <x v="640"/>
    <x v="0"/>
    <x v="3606"/>
  </r>
  <r>
    <x v="0"/>
    <x v="371"/>
    <x v="153"/>
    <x v="61"/>
    <x v="215"/>
    <x v="401"/>
    <x v="0"/>
    <x v="3221"/>
    <x v="411"/>
    <x v="247"/>
    <x v="470"/>
    <x v="2478"/>
    <x v="3539"/>
    <x v="3536"/>
    <x v="3162"/>
    <x v="1"/>
    <x v="3495"/>
    <x v="3541"/>
    <x v="268"/>
    <x v="0"/>
    <x v="1"/>
    <x v="4"/>
    <x v="224"/>
    <x v="7"/>
    <x v="307"/>
    <x v="16"/>
    <x v="1"/>
    <x v="1"/>
    <x v="0"/>
    <x v="3607"/>
  </r>
  <r>
    <x v="0"/>
    <x v="1548"/>
    <x v="312"/>
    <x v="45"/>
    <x v="216"/>
    <x v="209"/>
    <x v="413"/>
    <x v="3222"/>
    <x v="381"/>
    <x v="806"/>
    <x v="2086"/>
    <x v="264"/>
    <x v="3540"/>
    <x v="3537"/>
    <x v="3163"/>
    <x v="1"/>
    <x v="3496"/>
    <x v="3542"/>
    <x v="158"/>
    <x v="0"/>
    <x v="0"/>
    <x v="14"/>
    <x v="119"/>
    <x v="30"/>
    <x v="189"/>
    <x v="31"/>
    <x v="3"/>
    <x v="641"/>
    <x v="0"/>
    <x v="3608"/>
  </r>
  <r>
    <x v="0"/>
    <x v="776"/>
    <x v="99"/>
    <x v="77"/>
    <x v="0"/>
    <x v="19"/>
    <x v="2"/>
    <x v="3223"/>
    <x v="539"/>
    <x v="72"/>
    <x v="2087"/>
    <x v="2479"/>
    <x v="3541"/>
    <x v="3538"/>
    <x v="3164"/>
    <x v="1"/>
    <x v="3497"/>
    <x v="3543"/>
    <x v="736"/>
    <x v="0"/>
    <x v="0"/>
    <x v="0"/>
    <x v="240"/>
    <x v="10"/>
    <x v="64"/>
    <x v="2"/>
    <x v="3"/>
    <x v="61"/>
    <x v="0"/>
    <x v="3609"/>
  </r>
  <r>
    <x v="0"/>
    <x v="1549"/>
    <x v="435"/>
    <x v="142"/>
    <x v="0"/>
    <x v="4"/>
    <x v="156"/>
    <x v="3224"/>
    <x v="762"/>
    <x v="289"/>
    <x v="2088"/>
    <x v="4"/>
    <x v="3542"/>
    <x v="3539"/>
    <x v="3165"/>
    <x v="0"/>
    <x v="3498"/>
    <x v="3544"/>
    <x v="685"/>
    <x v="0"/>
    <x v="1"/>
    <x v="1"/>
    <x v="224"/>
    <x v="8"/>
    <x v="253"/>
    <x v="12"/>
    <x v="0"/>
    <x v="642"/>
    <x v="0"/>
    <x v="3610"/>
  </r>
  <r>
    <x v="0"/>
    <x v="930"/>
    <x v="389"/>
    <x v="40"/>
    <x v="0"/>
    <x v="402"/>
    <x v="566"/>
    <x v="3225"/>
    <x v="113"/>
    <x v="1084"/>
    <x v="1793"/>
    <x v="2480"/>
    <x v="3543"/>
    <x v="3364"/>
    <x v="3166"/>
    <x v="0"/>
    <x v="3499"/>
    <x v="3545"/>
    <x v="627"/>
    <x v="0"/>
    <x v="0"/>
    <x v="4"/>
    <x v="224"/>
    <x v="21"/>
    <x v="309"/>
    <x v="15"/>
    <x v="3"/>
    <x v="1"/>
    <x v="0"/>
    <x v="3611"/>
  </r>
  <r>
    <x v="0"/>
    <x v="1550"/>
    <x v="334"/>
    <x v="59"/>
    <x v="379"/>
    <x v="256"/>
    <x v="0"/>
    <x v="3226"/>
    <x v="105"/>
    <x v="84"/>
    <x v="935"/>
    <x v="330"/>
    <x v="3544"/>
    <x v="3540"/>
    <x v="3167"/>
    <x v="7"/>
    <x v="3500"/>
    <x v="3546"/>
    <x v="417"/>
    <x v="0"/>
    <x v="0"/>
    <x v="4"/>
    <x v="224"/>
    <x v="15"/>
    <x v="529"/>
    <x v="18"/>
    <x v="3"/>
    <x v="1"/>
    <x v="0"/>
    <x v="3612"/>
  </r>
  <r>
    <x v="0"/>
    <x v="1551"/>
    <x v="405"/>
    <x v="58"/>
    <x v="255"/>
    <x v="9"/>
    <x v="6"/>
    <x v="3227"/>
    <x v="260"/>
    <x v="6"/>
    <x v="941"/>
    <x v="2481"/>
    <x v="3545"/>
    <x v="3541"/>
    <x v="3168"/>
    <x v="1"/>
    <x v="3501"/>
    <x v="3547"/>
    <x v="140"/>
    <x v="0"/>
    <x v="0"/>
    <x v="0"/>
    <x v="224"/>
    <x v="3"/>
    <x v="20"/>
    <x v="1"/>
    <x v="3"/>
    <x v="90"/>
    <x v="0"/>
    <x v="3613"/>
  </r>
  <r>
    <x v="0"/>
    <x v="1552"/>
    <x v="395"/>
    <x v="95"/>
    <x v="198"/>
    <x v="868"/>
    <x v="94"/>
    <x v="3228"/>
    <x v="335"/>
    <x v="166"/>
    <x v="279"/>
    <x v="2482"/>
    <x v="3546"/>
    <x v="3542"/>
    <x v="3169"/>
    <x v="1"/>
    <x v="3502"/>
    <x v="3548"/>
    <x v="640"/>
    <x v="6"/>
    <x v="0"/>
    <x v="4"/>
    <x v="224"/>
    <x v="3"/>
    <x v="190"/>
    <x v="34"/>
    <x v="1"/>
    <x v="104"/>
    <x v="0"/>
    <x v="3614"/>
  </r>
  <r>
    <x v="0"/>
    <x v="1553"/>
    <x v="290"/>
    <x v="27"/>
    <x v="131"/>
    <x v="352"/>
    <x v="22"/>
    <x v="3229"/>
    <x v="200"/>
    <x v="1326"/>
    <x v="1753"/>
    <x v="2483"/>
    <x v="3547"/>
    <x v="3543"/>
    <x v="3170"/>
    <x v="5"/>
    <x v="3503"/>
    <x v="3549"/>
    <x v="420"/>
    <x v="0"/>
    <x v="0"/>
    <x v="0"/>
    <x v="224"/>
    <x v="0"/>
    <x v="381"/>
    <x v="38"/>
    <x v="3"/>
    <x v="1"/>
    <x v="0"/>
    <x v="3615"/>
  </r>
  <r>
    <x v="0"/>
    <x v="1554"/>
    <x v="344"/>
    <x v="45"/>
    <x v="223"/>
    <x v="222"/>
    <x v="22"/>
    <x v="3230"/>
    <x v="408"/>
    <x v="202"/>
    <x v="1169"/>
    <x v="2484"/>
    <x v="3548"/>
    <x v="3544"/>
    <x v="3171"/>
    <x v="0"/>
    <x v="3504"/>
    <x v="3550"/>
    <x v="104"/>
    <x v="0"/>
    <x v="25"/>
    <x v="4"/>
    <x v="224"/>
    <x v="10"/>
    <x v="623"/>
    <x v="11"/>
    <x v="1"/>
    <x v="16"/>
    <x v="0"/>
    <x v="3616"/>
  </r>
  <r>
    <x v="0"/>
    <x v="1555"/>
    <x v="372"/>
    <x v="50"/>
    <x v="0"/>
    <x v="410"/>
    <x v="0"/>
    <x v="3231"/>
    <x v="125"/>
    <x v="600"/>
    <x v="2089"/>
    <x v="596"/>
    <x v="3549"/>
    <x v="3545"/>
    <x v="3172"/>
    <x v="0"/>
    <x v="3505"/>
    <x v="3551"/>
    <x v="365"/>
    <x v="0"/>
    <x v="0"/>
    <x v="4"/>
    <x v="170"/>
    <x v="8"/>
    <x v="30"/>
    <x v="51"/>
    <x v="3"/>
    <x v="206"/>
    <x v="0"/>
    <x v="3617"/>
  </r>
  <r>
    <x v="0"/>
    <x v="571"/>
    <x v="194"/>
    <x v="78"/>
    <x v="0"/>
    <x v="99"/>
    <x v="41"/>
    <x v="3232"/>
    <x v="17"/>
    <x v="396"/>
    <x v="517"/>
    <x v="477"/>
    <x v="3550"/>
    <x v="3546"/>
    <x v="3173"/>
    <x v="0"/>
    <x v="3506"/>
    <x v="3552"/>
    <x v="90"/>
    <x v="0"/>
    <x v="0"/>
    <x v="4"/>
    <x v="224"/>
    <x v="15"/>
    <x v="336"/>
    <x v="13"/>
    <x v="3"/>
    <x v="1"/>
    <x v="0"/>
    <x v="3618"/>
  </r>
  <r>
    <x v="0"/>
    <x v="1221"/>
    <x v="272"/>
    <x v="55"/>
    <x v="218"/>
    <x v="684"/>
    <x v="0"/>
    <x v="3233"/>
    <x v="399"/>
    <x v="51"/>
    <x v="2090"/>
    <x v="1256"/>
    <x v="3551"/>
    <x v="3547"/>
    <x v="3174"/>
    <x v="2"/>
    <x v="3507"/>
    <x v="3553"/>
    <x v="284"/>
    <x v="0"/>
    <x v="1"/>
    <x v="4"/>
    <x v="4"/>
    <x v="20"/>
    <x v="343"/>
    <x v="15"/>
    <x v="3"/>
    <x v="202"/>
    <x v="0"/>
    <x v="3619"/>
  </r>
  <r>
    <x v="0"/>
    <x v="1556"/>
    <x v="352"/>
    <x v="78"/>
    <x v="204"/>
    <x v="399"/>
    <x v="654"/>
    <x v="3234"/>
    <x v="127"/>
    <x v="1361"/>
    <x v="2091"/>
    <x v="2485"/>
    <x v="3552"/>
    <x v="3548"/>
    <x v="1649"/>
    <x v="4"/>
    <x v="3508"/>
    <x v="3554"/>
    <x v="546"/>
    <x v="0"/>
    <x v="0"/>
    <x v="4"/>
    <x v="224"/>
    <x v="0"/>
    <x v="115"/>
    <x v="37"/>
    <x v="3"/>
    <x v="640"/>
    <x v="0"/>
    <x v="3620"/>
  </r>
  <r>
    <x v="0"/>
    <x v="1557"/>
    <x v="290"/>
    <x v="11"/>
    <x v="0"/>
    <x v="442"/>
    <x v="30"/>
    <x v="3235"/>
    <x v="200"/>
    <x v="110"/>
    <x v="262"/>
    <x v="646"/>
    <x v="3553"/>
    <x v="3549"/>
    <x v="3175"/>
    <x v="2"/>
    <x v="3509"/>
    <x v="3555"/>
    <x v="641"/>
    <x v="0"/>
    <x v="0"/>
    <x v="4"/>
    <x v="224"/>
    <x v="11"/>
    <x v="30"/>
    <x v="10"/>
    <x v="1"/>
    <x v="1"/>
    <x v="0"/>
    <x v="3621"/>
  </r>
  <r>
    <x v="0"/>
    <x v="1558"/>
    <x v="311"/>
    <x v="45"/>
    <x v="221"/>
    <x v="609"/>
    <x v="41"/>
    <x v="3236"/>
    <x v="196"/>
    <x v="221"/>
    <x v="603"/>
    <x v="2486"/>
    <x v="3554"/>
    <x v="3550"/>
    <x v="3176"/>
    <x v="1"/>
    <x v="3510"/>
    <x v="3556"/>
    <x v="600"/>
    <x v="0"/>
    <x v="8"/>
    <x v="0"/>
    <x v="224"/>
    <x v="15"/>
    <x v="60"/>
    <x v="43"/>
    <x v="1"/>
    <x v="347"/>
    <x v="0"/>
    <x v="3622"/>
  </r>
  <r>
    <x v="0"/>
    <x v="113"/>
    <x v="276"/>
    <x v="104"/>
    <x v="88"/>
    <x v="631"/>
    <x v="676"/>
    <x v="4"/>
    <x v="241"/>
    <x v="1362"/>
    <x v="2092"/>
    <x v="2487"/>
    <x v="3555"/>
    <x v="3551"/>
    <x v="3177"/>
    <x v="1"/>
    <x v="3511"/>
    <x v="3557"/>
    <x v="419"/>
    <x v="0"/>
    <x v="0"/>
    <x v="5"/>
    <x v="4"/>
    <x v="4"/>
    <x v="393"/>
    <x v="26"/>
    <x v="0"/>
    <x v="1"/>
    <x v="0"/>
    <x v="3623"/>
  </r>
  <r>
    <x v="0"/>
    <x v="1559"/>
    <x v="339"/>
    <x v="54"/>
    <x v="112"/>
    <x v="132"/>
    <x v="677"/>
    <x v="3237"/>
    <x v="191"/>
    <x v="1363"/>
    <x v="2093"/>
    <x v="1209"/>
    <x v="3556"/>
    <x v="3552"/>
    <x v="226"/>
    <x v="0"/>
    <x v="3512"/>
    <x v="3558"/>
    <x v="444"/>
    <x v="0"/>
    <x v="0"/>
    <x v="4"/>
    <x v="224"/>
    <x v="18"/>
    <x v="618"/>
    <x v="6"/>
    <x v="3"/>
    <x v="1"/>
    <x v="0"/>
    <x v="3624"/>
  </r>
  <r>
    <x v="0"/>
    <x v="1057"/>
    <x v="479"/>
    <x v="77"/>
    <x v="80"/>
    <x v="49"/>
    <x v="270"/>
    <x v="3238"/>
    <x v="54"/>
    <x v="1364"/>
    <x v="2094"/>
    <x v="2488"/>
    <x v="3557"/>
    <x v="3553"/>
    <x v="3178"/>
    <x v="1"/>
    <x v="3513"/>
    <x v="3559"/>
    <x v="724"/>
    <x v="0"/>
    <x v="0"/>
    <x v="0"/>
    <x v="224"/>
    <x v="27"/>
    <x v="448"/>
    <x v="10"/>
    <x v="3"/>
    <x v="1"/>
    <x v="0"/>
    <x v="3625"/>
  </r>
  <r>
    <x v="0"/>
    <x v="1560"/>
    <x v="329"/>
    <x v="41"/>
    <x v="123"/>
    <x v="485"/>
    <x v="678"/>
    <x v="4"/>
    <x v="416"/>
    <x v="1365"/>
    <x v="2095"/>
    <x v="2489"/>
    <x v="3558"/>
    <x v="3554"/>
    <x v="3179"/>
    <x v="0"/>
    <x v="3514"/>
    <x v="3560"/>
    <x v="685"/>
    <x v="0"/>
    <x v="0"/>
    <x v="1"/>
    <x v="4"/>
    <x v="2"/>
    <x v="838"/>
    <x v="28"/>
    <x v="1"/>
    <x v="643"/>
    <x v="0"/>
    <x v="3626"/>
  </r>
  <r>
    <x v="0"/>
    <x v="944"/>
    <x v="309"/>
    <x v="77"/>
    <x v="217"/>
    <x v="580"/>
    <x v="41"/>
    <x v="3239"/>
    <x v="433"/>
    <x v="563"/>
    <x v="128"/>
    <x v="2029"/>
    <x v="3559"/>
    <x v="3555"/>
    <x v="3180"/>
    <x v="0"/>
    <x v="3515"/>
    <x v="3561"/>
    <x v="600"/>
    <x v="0"/>
    <x v="0"/>
    <x v="0"/>
    <x v="224"/>
    <x v="17"/>
    <x v="13"/>
    <x v="13"/>
    <x v="1"/>
    <x v="1"/>
    <x v="0"/>
    <x v="3627"/>
  </r>
  <r>
    <x v="0"/>
    <x v="1561"/>
    <x v="274"/>
    <x v="54"/>
    <x v="193"/>
    <x v="100"/>
    <x v="356"/>
    <x v="3240"/>
    <x v="369"/>
    <x v="1366"/>
    <x v="2096"/>
    <x v="2490"/>
    <x v="3560"/>
    <x v="3556"/>
    <x v="3181"/>
    <x v="3"/>
    <x v="3516"/>
    <x v="3562"/>
    <x v="715"/>
    <x v="0"/>
    <x v="0"/>
    <x v="4"/>
    <x v="224"/>
    <x v="18"/>
    <x v="724"/>
    <x v="27"/>
    <x v="3"/>
    <x v="644"/>
    <x v="0"/>
    <x v="3628"/>
  </r>
  <r>
    <x v="0"/>
    <x v="1562"/>
    <x v="258"/>
    <x v="95"/>
    <x v="78"/>
    <x v="869"/>
    <x v="317"/>
    <x v="3241"/>
    <x v="306"/>
    <x v="572"/>
    <x v="1983"/>
    <x v="2491"/>
    <x v="3561"/>
    <x v="3557"/>
    <x v="3182"/>
    <x v="4"/>
    <x v="3517"/>
    <x v="3563"/>
    <x v="365"/>
    <x v="0"/>
    <x v="0"/>
    <x v="4"/>
    <x v="4"/>
    <x v="18"/>
    <x v="347"/>
    <x v="21"/>
    <x v="3"/>
    <x v="645"/>
    <x v="0"/>
    <x v="3629"/>
  </r>
  <r>
    <x v="0"/>
    <x v="1563"/>
    <x v="304"/>
    <x v="48"/>
    <x v="98"/>
    <x v="357"/>
    <x v="679"/>
    <x v="4"/>
    <x v="10"/>
    <x v="1367"/>
    <x v="2097"/>
    <x v="2492"/>
    <x v="3562"/>
    <x v="3558"/>
    <x v="3183"/>
    <x v="1"/>
    <x v="3518"/>
    <x v="3564"/>
    <x v="158"/>
    <x v="0"/>
    <x v="0"/>
    <x v="4"/>
    <x v="283"/>
    <x v="50"/>
    <x v="839"/>
    <x v="25"/>
    <x v="1"/>
    <x v="1"/>
    <x v="0"/>
    <x v="3630"/>
  </r>
  <r>
    <x v="0"/>
    <x v="691"/>
    <x v="304"/>
    <x v="77"/>
    <x v="12"/>
    <x v="148"/>
    <x v="294"/>
    <x v="3242"/>
    <x v="105"/>
    <x v="535"/>
    <x v="896"/>
    <x v="1269"/>
    <x v="3563"/>
    <x v="3559"/>
    <x v="3184"/>
    <x v="4"/>
    <x v="3519"/>
    <x v="3565"/>
    <x v="678"/>
    <x v="0"/>
    <x v="0"/>
    <x v="4"/>
    <x v="224"/>
    <x v="8"/>
    <x v="341"/>
    <x v="15"/>
    <x v="1"/>
    <x v="1"/>
    <x v="0"/>
    <x v="3631"/>
  </r>
  <r>
    <x v="1"/>
    <x v="1564"/>
    <x v="430"/>
    <x v="47"/>
    <x v="380"/>
    <x v="280"/>
    <x v="631"/>
    <x v="4"/>
    <x v="763"/>
    <x v="1368"/>
    <x v="2098"/>
    <x v="2493"/>
    <x v="3564"/>
    <x v="3560"/>
    <x v="3185"/>
    <x v="4"/>
    <x v="3520"/>
    <x v="3566"/>
    <x v="724"/>
    <x v="0"/>
    <x v="1"/>
    <x v="2"/>
    <x v="224"/>
    <x v="28"/>
    <x v="840"/>
    <x v="15"/>
    <x v="3"/>
    <x v="292"/>
    <x v="0"/>
    <x v="3632"/>
  </r>
  <r>
    <x v="0"/>
    <x v="1505"/>
    <x v="346"/>
    <x v="55"/>
    <x v="230"/>
    <x v="778"/>
    <x v="213"/>
    <x v="3243"/>
    <x v="270"/>
    <x v="1059"/>
    <x v="2099"/>
    <x v="2494"/>
    <x v="3565"/>
    <x v="3561"/>
    <x v="3186"/>
    <x v="0"/>
    <x v="3521"/>
    <x v="3567"/>
    <x v="718"/>
    <x v="0"/>
    <x v="1"/>
    <x v="4"/>
    <x v="4"/>
    <x v="19"/>
    <x v="686"/>
    <x v="10"/>
    <x v="3"/>
    <x v="189"/>
    <x v="0"/>
    <x v="3633"/>
  </r>
  <r>
    <x v="0"/>
    <x v="1565"/>
    <x v="479"/>
    <x v="86"/>
    <x v="0"/>
    <x v="7"/>
    <x v="444"/>
    <x v="3244"/>
    <x v="0"/>
    <x v="1369"/>
    <x v="2100"/>
    <x v="2495"/>
    <x v="3566"/>
    <x v="3562"/>
    <x v="3187"/>
    <x v="4"/>
    <x v="3522"/>
    <x v="3568"/>
    <x v="655"/>
    <x v="0"/>
    <x v="0"/>
    <x v="0"/>
    <x v="224"/>
    <x v="23"/>
    <x v="841"/>
    <x v="45"/>
    <x v="3"/>
    <x v="599"/>
    <x v="0"/>
    <x v="3634"/>
  </r>
  <r>
    <x v="0"/>
    <x v="1566"/>
    <x v="441"/>
    <x v="78"/>
    <x v="31"/>
    <x v="802"/>
    <x v="521"/>
    <x v="3245"/>
    <x v="122"/>
    <x v="983"/>
    <x v="2101"/>
    <x v="2496"/>
    <x v="3567"/>
    <x v="3563"/>
    <x v="328"/>
    <x v="4"/>
    <x v="3523"/>
    <x v="3569"/>
    <x v="654"/>
    <x v="0"/>
    <x v="0"/>
    <x v="2"/>
    <x v="224"/>
    <x v="5"/>
    <x v="289"/>
    <x v="20"/>
    <x v="3"/>
    <x v="1"/>
    <x v="0"/>
    <x v="3635"/>
  </r>
  <r>
    <x v="0"/>
    <x v="1358"/>
    <x v="370"/>
    <x v="27"/>
    <x v="362"/>
    <x v="783"/>
    <x v="384"/>
    <x v="3246"/>
    <x v="270"/>
    <x v="1370"/>
    <x v="2102"/>
    <x v="2497"/>
    <x v="3568"/>
    <x v="3564"/>
    <x v="3188"/>
    <x v="7"/>
    <x v="3524"/>
    <x v="3570"/>
    <x v="225"/>
    <x v="3"/>
    <x v="10"/>
    <x v="4"/>
    <x v="4"/>
    <x v="17"/>
    <x v="736"/>
    <x v="4"/>
    <x v="10"/>
    <x v="646"/>
    <x v="0"/>
    <x v="3636"/>
  </r>
  <r>
    <x v="0"/>
    <x v="932"/>
    <x v="315"/>
    <x v="45"/>
    <x v="107"/>
    <x v="304"/>
    <x v="0"/>
    <x v="3247"/>
    <x v="17"/>
    <x v="398"/>
    <x v="162"/>
    <x v="2498"/>
    <x v="3569"/>
    <x v="3565"/>
    <x v="3189"/>
    <x v="4"/>
    <x v="3525"/>
    <x v="3571"/>
    <x v="724"/>
    <x v="0"/>
    <x v="0"/>
    <x v="4"/>
    <x v="224"/>
    <x v="0"/>
    <x v="107"/>
    <x v="10"/>
    <x v="1"/>
    <x v="1"/>
    <x v="0"/>
    <x v="3637"/>
  </r>
  <r>
    <x v="2"/>
    <x v="402"/>
    <x v="392"/>
    <x v="27"/>
    <x v="226"/>
    <x v="428"/>
    <x v="27"/>
    <x v="3248"/>
    <x v="433"/>
    <x v="28"/>
    <x v="2103"/>
    <x v="2499"/>
    <x v="3570"/>
    <x v="3566"/>
    <x v="3190"/>
    <x v="0"/>
    <x v="3526"/>
    <x v="3572"/>
    <x v="636"/>
    <x v="0"/>
    <x v="9"/>
    <x v="0"/>
    <x v="224"/>
    <x v="10"/>
    <x v="181"/>
    <x v="9"/>
    <x v="1"/>
    <x v="1"/>
    <x v="0"/>
    <x v="3638"/>
  </r>
  <r>
    <x v="0"/>
    <x v="1567"/>
    <x v="413"/>
    <x v="55"/>
    <x v="381"/>
    <x v="673"/>
    <x v="78"/>
    <x v="3249"/>
    <x v="17"/>
    <x v="137"/>
    <x v="2104"/>
    <x v="2500"/>
    <x v="3571"/>
    <x v="3567"/>
    <x v="3191"/>
    <x v="0"/>
    <x v="3527"/>
    <x v="3573"/>
    <x v="654"/>
    <x v="0"/>
    <x v="0"/>
    <x v="4"/>
    <x v="224"/>
    <x v="7"/>
    <x v="553"/>
    <x v="5"/>
    <x v="3"/>
    <x v="647"/>
    <x v="0"/>
    <x v="3639"/>
  </r>
  <r>
    <x v="0"/>
    <x v="1135"/>
    <x v="276"/>
    <x v="86"/>
    <x v="31"/>
    <x v="870"/>
    <x v="349"/>
    <x v="3250"/>
    <x v="314"/>
    <x v="1371"/>
    <x v="774"/>
    <x v="2501"/>
    <x v="3572"/>
    <x v="3568"/>
    <x v="2674"/>
    <x v="0"/>
    <x v="3528"/>
    <x v="3574"/>
    <x v="705"/>
    <x v="0"/>
    <x v="1"/>
    <x v="0"/>
    <x v="224"/>
    <x v="18"/>
    <x v="88"/>
    <x v="5"/>
    <x v="1"/>
    <x v="427"/>
    <x v="0"/>
    <x v="3640"/>
  </r>
  <r>
    <x v="0"/>
    <x v="1568"/>
    <x v="428"/>
    <x v="85"/>
    <x v="101"/>
    <x v="286"/>
    <x v="2"/>
    <x v="4"/>
    <x v="270"/>
    <x v="209"/>
    <x v="745"/>
    <x v="376"/>
    <x v="3573"/>
    <x v="2942"/>
    <x v="3192"/>
    <x v="4"/>
    <x v="3529"/>
    <x v="3575"/>
    <x v="704"/>
    <x v="0"/>
    <x v="0"/>
    <x v="2"/>
    <x v="284"/>
    <x v="47"/>
    <x v="446"/>
    <x v="38"/>
    <x v="3"/>
    <x v="486"/>
    <x v="0"/>
    <x v="3641"/>
  </r>
  <r>
    <x v="0"/>
    <x v="1569"/>
    <x v="396"/>
    <x v="79"/>
    <x v="0"/>
    <x v="771"/>
    <x v="2"/>
    <x v="3251"/>
    <x v="125"/>
    <x v="72"/>
    <x v="173"/>
    <x v="2032"/>
    <x v="3574"/>
    <x v="3569"/>
    <x v="3193"/>
    <x v="0"/>
    <x v="3530"/>
    <x v="3576"/>
    <x v="820"/>
    <x v="0"/>
    <x v="0"/>
    <x v="4"/>
    <x v="224"/>
    <x v="8"/>
    <x v="117"/>
    <x v="55"/>
    <x v="3"/>
    <x v="585"/>
    <x v="0"/>
    <x v="3642"/>
  </r>
  <r>
    <x v="1"/>
    <x v="653"/>
    <x v="276"/>
    <x v="49"/>
    <x v="279"/>
    <x v="298"/>
    <x v="536"/>
    <x v="3252"/>
    <x v="4"/>
    <x v="1372"/>
    <x v="2105"/>
    <x v="2502"/>
    <x v="3575"/>
    <x v="3570"/>
    <x v="3131"/>
    <x v="0"/>
    <x v="3531"/>
    <x v="3577"/>
    <x v="654"/>
    <x v="0"/>
    <x v="0"/>
    <x v="10"/>
    <x v="4"/>
    <x v="7"/>
    <x v="556"/>
    <x v="24"/>
    <x v="2"/>
    <x v="648"/>
    <x v="0"/>
    <x v="3643"/>
  </r>
  <r>
    <x v="0"/>
    <x v="1570"/>
    <x v="373"/>
    <x v="79"/>
    <x v="134"/>
    <x v="373"/>
    <x v="529"/>
    <x v="4"/>
    <x v="539"/>
    <x v="1175"/>
    <x v="2029"/>
    <x v="1501"/>
    <x v="3576"/>
    <x v="3571"/>
    <x v="3194"/>
    <x v="1"/>
    <x v="3532"/>
    <x v="3578"/>
    <x v="431"/>
    <x v="0"/>
    <x v="0"/>
    <x v="4"/>
    <x v="224"/>
    <x v="17"/>
    <x v="537"/>
    <x v="13"/>
    <x v="3"/>
    <x v="1"/>
    <x v="0"/>
    <x v="3644"/>
  </r>
  <r>
    <x v="0"/>
    <x v="1571"/>
    <x v="307"/>
    <x v="93"/>
    <x v="184"/>
    <x v="618"/>
    <x v="292"/>
    <x v="4"/>
    <x v="65"/>
    <x v="1373"/>
    <x v="1835"/>
    <x v="1039"/>
    <x v="3577"/>
    <x v="3572"/>
    <x v="3195"/>
    <x v="1"/>
    <x v="3533"/>
    <x v="3579"/>
    <x v="785"/>
    <x v="0"/>
    <x v="0"/>
    <x v="4"/>
    <x v="266"/>
    <x v="24"/>
    <x v="421"/>
    <x v="27"/>
    <x v="1"/>
    <x v="649"/>
    <x v="0"/>
    <x v="3645"/>
  </r>
  <r>
    <x v="0"/>
    <x v="1572"/>
    <x v="347"/>
    <x v="101"/>
    <x v="216"/>
    <x v="345"/>
    <x v="302"/>
    <x v="4"/>
    <x v="150"/>
    <x v="1374"/>
    <x v="2106"/>
    <x v="2503"/>
    <x v="3578"/>
    <x v="3573"/>
    <x v="348"/>
    <x v="1"/>
    <x v="3534"/>
    <x v="3580"/>
    <x v="789"/>
    <x v="0"/>
    <x v="0"/>
    <x v="4"/>
    <x v="4"/>
    <x v="0"/>
    <x v="532"/>
    <x v="18"/>
    <x v="3"/>
    <x v="650"/>
    <x v="0"/>
    <x v="3646"/>
  </r>
  <r>
    <x v="0"/>
    <x v="1153"/>
    <x v="57"/>
    <x v="54"/>
    <x v="192"/>
    <x v="517"/>
    <x v="17"/>
    <x v="3253"/>
    <x v="168"/>
    <x v="41"/>
    <x v="35"/>
    <x v="779"/>
    <x v="3579"/>
    <x v="3574"/>
    <x v="3196"/>
    <x v="1"/>
    <x v="3535"/>
    <x v="3581"/>
    <x v="514"/>
    <x v="0"/>
    <x v="0"/>
    <x v="4"/>
    <x v="176"/>
    <x v="3"/>
    <x v="10"/>
    <x v="22"/>
    <x v="1"/>
    <x v="1"/>
    <x v="0"/>
    <x v="3647"/>
  </r>
  <r>
    <x v="0"/>
    <x v="1383"/>
    <x v="447"/>
    <x v="59"/>
    <x v="192"/>
    <x v="352"/>
    <x v="142"/>
    <x v="4"/>
    <x v="463"/>
    <x v="263"/>
    <x v="1107"/>
    <x v="2504"/>
    <x v="3580"/>
    <x v="3575"/>
    <x v="3197"/>
    <x v="4"/>
    <x v="3536"/>
    <x v="3582"/>
    <x v="786"/>
    <x v="0"/>
    <x v="4"/>
    <x v="2"/>
    <x v="224"/>
    <x v="0"/>
    <x v="52"/>
    <x v="13"/>
    <x v="1"/>
    <x v="103"/>
    <x v="0"/>
    <x v="3648"/>
  </r>
  <r>
    <x v="0"/>
    <x v="1573"/>
    <x v="396"/>
    <x v="78"/>
    <x v="38"/>
    <x v="341"/>
    <x v="164"/>
    <x v="4"/>
    <x v="3"/>
    <x v="1375"/>
    <x v="2107"/>
    <x v="464"/>
    <x v="3581"/>
    <x v="3576"/>
    <x v="3198"/>
    <x v="1"/>
    <x v="3537"/>
    <x v="3583"/>
    <x v="592"/>
    <x v="0"/>
    <x v="0"/>
    <x v="4"/>
    <x v="224"/>
    <x v="10"/>
    <x v="15"/>
    <x v="28"/>
    <x v="3"/>
    <x v="1"/>
    <x v="0"/>
    <x v="3649"/>
  </r>
  <r>
    <x v="0"/>
    <x v="113"/>
    <x v="81"/>
    <x v="99"/>
    <x v="88"/>
    <x v="382"/>
    <x v="447"/>
    <x v="4"/>
    <x v="105"/>
    <x v="813"/>
    <x v="2108"/>
    <x v="538"/>
    <x v="3582"/>
    <x v="3577"/>
    <x v="3199"/>
    <x v="1"/>
    <x v="3538"/>
    <x v="3584"/>
    <x v="724"/>
    <x v="0"/>
    <x v="1"/>
    <x v="1"/>
    <x v="4"/>
    <x v="4"/>
    <x v="812"/>
    <x v="17"/>
    <x v="0"/>
    <x v="1"/>
    <x v="0"/>
    <x v="3650"/>
  </r>
  <r>
    <x v="0"/>
    <x v="471"/>
    <x v="200"/>
    <x v="71"/>
    <x v="0"/>
    <x v="100"/>
    <x v="680"/>
    <x v="4"/>
    <x v="315"/>
    <x v="1376"/>
    <x v="2109"/>
    <x v="2505"/>
    <x v="3583"/>
    <x v="3578"/>
    <x v="3200"/>
    <x v="0"/>
    <x v="3539"/>
    <x v="3585"/>
    <x v="658"/>
    <x v="0"/>
    <x v="4"/>
    <x v="4"/>
    <x v="285"/>
    <x v="45"/>
    <x v="658"/>
    <x v="11"/>
    <x v="3"/>
    <x v="1"/>
    <x v="0"/>
    <x v="3651"/>
  </r>
  <r>
    <x v="0"/>
    <x v="1574"/>
    <x v="343"/>
    <x v="70"/>
    <x v="228"/>
    <x v="308"/>
    <x v="456"/>
    <x v="3254"/>
    <x v="200"/>
    <x v="829"/>
    <x v="2110"/>
    <x v="2506"/>
    <x v="3584"/>
    <x v="3579"/>
    <x v="3201"/>
    <x v="0"/>
    <x v="3540"/>
    <x v="3586"/>
    <x v="585"/>
    <x v="3"/>
    <x v="10"/>
    <x v="4"/>
    <x v="286"/>
    <x v="19"/>
    <x v="610"/>
    <x v="11"/>
    <x v="3"/>
    <x v="1"/>
    <x v="0"/>
    <x v="3652"/>
  </r>
  <r>
    <x v="0"/>
    <x v="1575"/>
    <x v="425"/>
    <x v="107"/>
    <x v="198"/>
    <x v="843"/>
    <x v="2"/>
    <x v="3255"/>
    <x v="419"/>
    <x v="203"/>
    <x v="2111"/>
    <x v="2507"/>
    <x v="3585"/>
    <x v="3580"/>
    <x v="3202"/>
    <x v="1"/>
    <x v="3541"/>
    <x v="3587"/>
    <x v="732"/>
    <x v="0"/>
    <x v="0"/>
    <x v="0"/>
    <x v="224"/>
    <x v="11"/>
    <x v="531"/>
    <x v="27"/>
    <x v="2"/>
    <x v="1"/>
    <x v="0"/>
    <x v="3653"/>
  </r>
  <r>
    <x v="0"/>
    <x v="466"/>
    <x v="243"/>
    <x v="69"/>
    <x v="38"/>
    <x v="369"/>
    <x v="186"/>
    <x v="956"/>
    <x v="180"/>
    <x v="350"/>
    <x v="688"/>
    <x v="814"/>
    <x v="989"/>
    <x v="3581"/>
    <x v="3203"/>
    <x v="0"/>
    <x v="983"/>
    <x v="989"/>
    <x v="529"/>
    <x v="0"/>
    <x v="0"/>
    <x v="4"/>
    <x v="95"/>
    <x v="19"/>
    <x v="422"/>
    <x v="9"/>
    <x v="3"/>
    <x v="1"/>
    <x v="0"/>
    <x v="3654"/>
  </r>
  <r>
    <x v="0"/>
    <x v="1576"/>
    <x v="387"/>
    <x v="33"/>
    <x v="69"/>
    <x v="566"/>
    <x v="133"/>
    <x v="3256"/>
    <x v="156"/>
    <x v="1377"/>
    <x v="2112"/>
    <x v="2508"/>
    <x v="3586"/>
    <x v="3582"/>
    <x v="3031"/>
    <x v="1"/>
    <x v="3542"/>
    <x v="3588"/>
    <x v="820"/>
    <x v="18"/>
    <x v="32"/>
    <x v="4"/>
    <x v="213"/>
    <x v="8"/>
    <x v="658"/>
    <x v="1"/>
    <x v="1"/>
    <x v="1"/>
    <x v="0"/>
    <x v="3655"/>
  </r>
  <r>
    <x v="2"/>
    <x v="1577"/>
    <x v="457"/>
    <x v="78"/>
    <x v="350"/>
    <x v="1"/>
    <x v="35"/>
    <x v="4"/>
    <x v="408"/>
    <x v="332"/>
    <x v="2113"/>
    <x v="2509"/>
    <x v="3587"/>
    <x v="3583"/>
    <x v="3204"/>
    <x v="0"/>
    <x v="3543"/>
    <x v="3589"/>
    <x v="744"/>
    <x v="0"/>
    <x v="0"/>
    <x v="4"/>
    <x v="224"/>
    <x v="3"/>
    <x v="12"/>
    <x v="12"/>
    <x v="2"/>
    <x v="1"/>
    <x v="0"/>
    <x v="3656"/>
  </r>
  <r>
    <x v="1"/>
    <x v="407"/>
    <x v="272"/>
    <x v="82"/>
    <x v="173"/>
    <x v="222"/>
    <x v="681"/>
    <x v="4"/>
    <x v="764"/>
    <x v="1378"/>
    <x v="2114"/>
    <x v="2510"/>
    <x v="3588"/>
    <x v="3584"/>
    <x v="3205"/>
    <x v="0"/>
    <x v="3544"/>
    <x v="3590"/>
    <x v="390"/>
    <x v="0"/>
    <x v="10"/>
    <x v="10"/>
    <x v="287"/>
    <x v="53"/>
    <x v="257"/>
    <x v="0"/>
    <x v="10"/>
    <x v="1"/>
    <x v="0"/>
    <x v="3657"/>
  </r>
  <r>
    <x v="0"/>
    <x v="1578"/>
    <x v="489"/>
    <x v="76"/>
    <x v="0"/>
    <x v="426"/>
    <x v="291"/>
    <x v="3257"/>
    <x v="306"/>
    <x v="529"/>
    <x v="2115"/>
    <x v="2511"/>
    <x v="3589"/>
    <x v="3585"/>
    <x v="3206"/>
    <x v="4"/>
    <x v="3545"/>
    <x v="3591"/>
    <x v="824"/>
    <x v="0"/>
    <x v="0"/>
    <x v="0"/>
    <x v="4"/>
    <x v="3"/>
    <x v="842"/>
    <x v="28"/>
    <x v="1"/>
    <x v="651"/>
    <x v="0"/>
    <x v="3658"/>
  </r>
  <r>
    <x v="0"/>
    <x v="1579"/>
    <x v="356"/>
    <x v="70"/>
    <x v="172"/>
    <x v="420"/>
    <x v="322"/>
    <x v="3258"/>
    <x v="28"/>
    <x v="577"/>
    <x v="2116"/>
    <x v="2512"/>
    <x v="3590"/>
    <x v="3586"/>
    <x v="3207"/>
    <x v="0"/>
    <x v="3546"/>
    <x v="3592"/>
    <x v="178"/>
    <x v="25"/>
    <x v="41"/>
    <x v="4"/>
    <x v="9"/>
    <x v="12"/>
    <x v="142"/>
    <x v="1"/>
    <x v="3"/>
    <x v="1"/>
    <x v="0"/>
    <x v="3659"/>
  </r>
  <r>
    <x v="0"/>
    <x v="1580"/>
    <x v="329"/>
    <x v="50"/>
    <x v="0"/>
    <x v="653"/>
    <x v="192"/>
    <x v="3259"/>
    <x v="125"/>
    <x v="359"/>
    <x v="976"/>
    <x v="2352"/>
    <x v="3591"/>
    <x v="3587"/>
    <x v="3208"/>
    <x v="4"/>
    <x v="3547"/>
    <x v="3593"/>
    <x v="732"/>
    <x v="0"/>
    <x v="1"/>
    <x v="4"/>
    <x v="4"/>
    <x v="20"/>
    <x v="541"/>
    <x v="21"/>
    <x v="3"/>
    <x v="652"/>
    <x v="0"/>
    <x v="3660"/>
  </r>
  <r>
    <x v="0"/>
    <x v="113"/>
    <x v="464"/>
    <x v="111"/>
    <x v="88"/>
    <x v="751"/>
    <x v="682"/>
    <x v="4"/>
    <x v="127"/>
    <x v="1379"/>
    <x v="2117"/>
    <x v="2513"/>
    <x v="3592"/>
    <x v="3588"/>
    <x v="3209"/>
    <x v="0"/>
    <x v="3548"/>
    <x v="3594"/>
    <x v="427"/>
    <x v="0"/>
    <x v="1"/>
    <x v="5"/>
    <x v="4"/>
    <x v="4"/>
    <x v="228"/>
    <x v="26"/>
    <x v="12"/>
    <x v="1"/>
    <x v="0"/>
    <x v="3661"/>
  </r>
  <r>
    <x v="0"/>
    <x v="1381"/>
    <x v="331"/>
    <x v="52"/>
    <x v="247"/>
    <x v="139"/>
    <x v="23"/>
    <x v="3260"/>
    <x v="334"/>
    <x v="613"/>
    <x v="2118"/>
    <x v="2414"/>
    <x v="3593"/>
    <x v="3589"/>
    <x v="3210"/>
    <x v="0"/>
    <x v="3549"/>
    <x v="3595"/>
    <x v="16"/>
    <x v="0"/>
    <x v="1"/>
    <x v="0"/>
    <x v="288"/>
    <x v="19"/>
    <x v="629"/>
    <x v="10"/>
    <x v="3"/>
    <x v="1"/>
    <x v="0"/>
    <x v="3662"/>
  </r>
  <r>
    <x v="0"/>
    <x v="1430"/>
    <x v="373"/>
    <x v="8"/>
    <x v="370"/>
    <x v="561"/>
    <x v="65"/>
    <x v="3261"/>
    <x v="17"/>
    <x v="116"/>
    <x v="2119"/>
    <x v="893"/>
    <x v="3594"/>
    <x v="3590"/>
    <x v="3211"/>
    <x v="5"/>
    <x v="3550"/>
    <x v="3596"/>
    <x v="671"/>
    <x v="0"/>
    <x v="0"/>
    <x v="0"/>
    <x v="289"/>
    <x v="19"/>
    <x v="825"/>
    <x v="8"/>
    <x v="3"/>
    <x v="581"/>
    <x v="0"/>
    <x v="3663"/>
  </r>
  <r>
    <x v="0"/>
    <x v="1193"/>
    <x v="429"/>
    <x v="54"/>
    <x v="184"/>
    <x v="554"/>
    <x v="302"/>
    <x v="3262"/>
    <x v="765"/>
    <x v="1380"/>
    <x v="2120"/>
    <x v="2514"/>
    <x v="3595"/>
    <x v="3591"/>
    <x v="3187"/>
    <x v="5"/>
    <x v="3551"/>
    <x v="3597"/>
    <x v="225"/>
    <x v="0"/>
    <x v="0"/>
    <x v="0"/>
    <x v="289"/>
    <x v="7"/>
    <x v="602"/>
    <x v="74"/>
    <x v="3"/>
    <x v="653"/>
    <x v="0"/>
    <x v="3664"/>
  </r>
  <r>
    <x v="0"/>
    <x v="1581"/>
    <x v="430"/>
    <x v="8"/>
    <x v="216"/>
    <x v="568"/>
    <x v="522"/>
    <x v="3263"/>
    <x v="170"/>
    <x v="1381"/>
    <x v="2121"/>
    <x v="2515"/>
    <x v="3596"/>
    <x v="3592"/>
    <x v="3212"/>
    <x v="1"/>
    <x v="3552"/>
    <x v="3598"/>
    <x v="755"/>
    <x v="8"/>
    <x v="16"/>
    <x v="9"/>
    <x v="4"/>
    <x v="3"/>
    <x v="62"/>
    <x v="44"/>
    <x v="2"/>
    <x v="389"/>
    <x v="0"/>
    <x v="3665"/>
  </r>
  <r>
    <x v="0"/>
    <x v="1295"/>
    <x v="279"/>
    <x v="79"/>
    <x v="118"/>
    <x v="423"/>
    <x v="307"/>
    <x v="3264"/>
    <x v="429"/>
    <x v="1382"/>
    <x v="2122"/>
    <x v="2516"/>
    <x v="3597"/>
    <x v="3593"/>
    <x v="3213"/>
    <x v="0"/>
    <x v="3553"/>
    <x v="3599"/>
    <x v="627"/>
    <x v="6"/>
    <x v="13"/>
    <x v="4"/>
    <x v="289"/>
    <x v="0"/>
    <x v="557"/>
    <x v="4"/>
    <x v="3"/>
    <x v="86"/>
    <x v="0"/>
    <x v="3666"/>
  </r>
  <r>
    <x v="0"/>
    <x v="1405"/>
    <x v="435"/>
    <x v="72"/>
    <x v="69"/>
    <x v="567"/>
    <x v="683"/>
    <x v="3265"/>
    <x v="766"/>
    <x v="1383"/>
    <x v="2123"/>
    <x v="2517"/>
    <x v="3598"/>
    <x v="3594"/>
    <x v="3214"/>
    <x v="12"/>
    <x v="3554"/>
    <x v="3600"/>
    <x v="843"/>
    <x v="0"/>
    <x v="0"/>
    <x v="2"/>
    <x v="4"/>
    <x v="5"/>
    <x v="604"/>
    <x v="53"/>
    <x v="2"/>
    <x v="494"/>
    <x v="0"/>
    <x v="3667"/>
  </r>
  <r>
    <x v="0"/>
    <x v="1540"/>
    <x v="323"/>
    <x v="74"/>
    <x v="3"/>
    <x v="511"/>
    <x v="0"/>
    <x v="3266"/>
    <x v="539"/>
    <x v="349"/>
    <x v="1724"/>
    <x v="1620"/>
    <x v="3599"/>
    <x v="3595"/>
    <x v="3215"/>
    <x v="0"/>
    <x v="3555"/>
    <x v="3601"/>
    <x v="418"/>
    <x v="0"/>
    <x v="0"/>
    <x v="2"/>
    <x v="290"/>
    <x v="44"/>
    <x v="192"/>
    <x v="24"/>
    <x v="3"/>
    <x v="1"/>
    <x v="0"/>
    <x v="3668"/>
  </r>
  <r>
    <x v="0"/>
    <x v="659"/>
    <x v="362"/>
    <x v="31"/>
    <x v="263"/>
    <x v="251"/>
    <x v="684"/>
    <x v="3267"/>
    <x v="122"/>
    <x v="1384"/>
    <x v="413"/>
    <x v="468"/>
    <x v="3600"/>
    <x v="3596"/>
    <x v="1127"/>
    <x v="0"/>
    <x v="3556"/>
    <x v="3602"/>
    <x v="507"/>
    <x v="0"/>
    <x v="1"/>
    <x v="2"/>
    <x v="290"/>
    <x v="37"/>
    <x v="278"/>
    <x v="13"/>
    <x v="3"/>
    <x v="1"/>
    <x v="0"/>
    <x v="3669"/>
  </r>
  <r>
    <x v="0"/>
    <x v="1582"/>
    <x v="219"/>
    <x v="38"/>
    <x v="0"/>
    <x v="236"/>
    <x v="334"/>
    <x v="3268"/>
    <x v="105"/>
    <x v="595"/>
    <x v="640"/>
    <x v="2211"/>
    <x v="3601"/>
    <x v="3597"/>
    <x v="3216"/>
    <x v="0"/>
    <x v="3557"/>
    <x v="3603"/>
    <x v="492"/>
    <x v="0"/>
    <x v="0"/>
    <x v="0"/>
    <x v="290"/>
    <x v="12"/>
    <x v="398"/>
    <x v="23"/>
    <x v="3"/>
    <x v="1"/>
    <x v="0"/>
    <x v="3670"/>
  </r>
  <r>
    <x v="0"/>
    <x v="615"/>
    <x v="184"/>
    <x v="72"/>
    <x v="93"/>
    <x v="632"/>
    <x v="166"/>
    <x v="3269"/>
    <x v="520"/>
    <x v="1246"/>
    <x v="674"/>
    <x v="2518"/>
    <x v="3602"/>
    <x v="3598"/>
    <x v="3217"/>
    <x v="0"/>
    <x v="3558"/>
    <x v="3604"/>
    <x v="780"/>
    <x v="0"/>
    <x v="5"/>
    <x v="0"/>
    <x v="290"/>
    <x v="25"/>
    <x v="167"/>
    <x v="16"/>
    <x v="3"/>
    <x v="1"/>
    <x v="0"/>
    <x v="3671"/>
  </r>
  <r>
    <x v="0"/>
    <x v="1583"/>
    <x v="495"/>
    <x v="78"/>
    <x v="382"/>
    <x v="871"/>
    <x v="29"/>
    <x v="3270"/>
    <x v="105"/>
    <x v="58"/>
    <x v="24"/>
    <x v="2519"/>
    <x v="3603"/>
    <x v="3599"/>
    <x v="3218"/>
    <x v="1"/>
    <x v="3559"/>
    <x v="3605"/>
    <x v="888"/>
    <x v="0"/>
    <x v="0"/>
    <x v="4"/>
    <x v="119"/>
    <x v="9"/>
    <x v="21"/>
    <x v="4"/>
    <x v="1"/>
    <x v="0"/>
    <x v="0"/>
    <x v="3672"/>
  </r>
  <r>
    <x v="0"/>
    <x v="326"/>
    <x v="365"/>
    <x v="72"/>
    <x v="121"/>
    <x v="120"/>
    <x v="17"/>
    <x v="4"/>
    <x v="767"/>
    <x v="303"/>
    <x v="2124"/>
    <x v="2520"/>
    <x v="3604"/>
    <x v="3600"/>
    <x v="3219"/>
    <x v="0"/>
    <x v="3560"/>
    <x v="3606"/>
    <x v="314"/>
    <x v="0"/>
    <x v="0"/>
    <x v="4"/>
    <x v="290"/>
    <x v="44"/>
    <x v="539"/>
    <x v="32"/>
    <x v="1"/>
    <x v="1"/>
    <x v="0"/>
    <x v="3673"/>
  </r>
  <r>
    <x v="0"/>
    <x v="992"/>
    <x v="270"/>
    <x v="70"/>
    <x v="183"/>
    <x v="226"/>
    <x v="32"/>
    <x v="3271"/>
    <x v="200"/>
    <x v="59"/>
    <x v="127"/>
    <x v="2072"/>
    <x v="3605"/>
    <x v="3601"/>
    <x v="3220"/>
    <x v="0"/>
    <x v="3561"/>
    <x v="3607"/>
    <x v="378"/>
    <x v="0"/>
    <x v="0"/>
    <x v="4"/>
    <x v="222"/>
    <x v="18"/>
    <x v="47"/>
    <x v="38"/>
    <x v="3"/>
    <x v="9"/>
    <x v="0"/>
    <x v="3674"/>
  </r>
  <r>
    <x v="0"/>
    <x v="768"/>
    <x v="388"/>
    <x v="43"/>
    <x v="125"/>
    <x v="558"/>
    <x v="21"/>
    <x v="3272"/>
    <x v="425"/>
    <x v="141"/>
    <x v="680"/>
    <x v="885"/>
    <x v="3606"/>
    <x v="2040"/>
    <x v="3221"/>
    <x v="1"/>
    <x v="3562"/>
    <x v="3608"/>
    <x v="245"/>
    <x v="0"/>
    <x v="1"/>
    <x v="4"/>
    <x v="290"/>
    <x v="18"/>
    <x v="30"/>
    <x v="1"/>
    <x v="3"/>
    <x v="1"/>
    <x v="0"/>
    <x v="3675"/>
  </r>
  <r>
    <x v="0"/>
    <x v="1584"/>
    <x v="431"/>
    <x v="54"/>
    <x v="125"/>
    <x v="57"/>
    <x v="240"/>
    <x v="4"/>
    <x v="376"/>
    <x v="1385"/>
    <x v="2125"/>
    <x v="2179"/>
    <x v="3607"/>
    <x v="3602"/>
    <x v="3222"/>
    <x v="0"/>
    <x v="3563"/>
    <x v="3609"/>
    <x v="704"/>
    <x v="0"/>
    <x v="0"/>
    <x v="4"/>
    <x v="4"/>
    <x v="35"/>
    <x v="380"/>
    <x v="53"/>
    <x v="1"/>
    <x v="611"/>
    <x v="0"/>
    <x v="3676"/>
  </r>
  <r>
    <x v="0"/>
    <x v="1585"/>
    <x v="356"/>
    <x v="55"/>
    <x v="73"/>
    <x v="426"/>
    <x v="506"/>
    <x v="3273"/>
    <x v="419"/>
    <x v="1386"/>
    <x v="2126"/>
    <x v="2521"/>
    <x v="3608"/>
    <x v="3603"/>
    <x v="3223"/>
    <x v="0"/>
    <x v="3564"/>
    <x v="3610"/>
    <x v="472"/>
    <x v="3"/>
    <x v="10"/>
    <x v="0"/>
    <x v="290"/>
    <x v="14"/>
    <x v="678"/>
    <x v="0"/>
    <x v="1"/>
    <x v="1"/>
    <x v="0"/>
    <x v="3677"/>
  </r>
  <r>
    <x v="0"/>
    <x v="1586"/>
    <x v="334"/>
    <x v="80"/>
    <x v="134"/>
    <x v="304"/>
    <x v="292"/>
    <x v="3274"/>
    <x v="200"/>
    <x v="609"/>
    <x v="2127"/>
    <x v="2522"/>
    <x v="3609"/>
    <x v="3604"/>
    <x v="3224"/>
    <x v="0"/>
    <x v="3565"/>
    <x v="3611"/>
    <x v="450"/>
    <x v="0"/>
    <x v="4"/>
    <x v="4"/>
    <x v="240"/>
    <x v="17"/>
    <x v="522"/>
    <x v="10"/>
    <x v="3"/>
    <x v="209"/>
    <x v="0"/>
    <x v="3678"/>
  </r>
  <r>
    <x v="0"/>
    <x v="1587"/>
    <x v="74"/>
    <x v="27"/>
    <x v="123"/>
    <x v="823"/>
    <x v="520"/>
    <x v="3275"/>
    <x v="171"/>
    <x v="1387"/>
    <x v="2128"/>
    <x v="2523"/>
    <x v="3610"/>
    <x v="3605"/>
    <x v="1834"/>
    <x v="0"/>
    <x v="3566"/>
    <x v="3612"/>
    <x v="243"/>
    <x v="0"/>
    <x v="0"/>
    <x v="4"/>
    <x v="240"/>
    <x v="17"/>
    <x v="263"/>
    <x v="4"/>
    <x v="3"/>
    <x v="103"/>
    <x v="0"/>
    <x v="3679"/>
  </r>
  <r>
    <x v="0"/>
    <x v="437"/>
    <x v="280"/>
    <x v="60"/>
    <x v="0"/>
    <x v="145"/>
    <x v="293"/>
    <x v="3276"/>
    <x v="270"/>
    <x v="1388"/>
    <x v="1061"/>
    <x v="2524"/>
    <x v="3611"/>
    <x v="3606"/>
    <x v="3225"/>
    <x v="4"/>
    <x v="3567"/>
    <x v="3613"/>
    <x v="598"/>
    <x v="0"/>
    <x v="0"/>
    <x v="4"/>
    <x v="170"/>
    <x v="30"/>
    <x v="576"/>
    <x v="0"/>
    <x v="3"/>
    <x v="1"/>
    <x v="0"/>
    <x v="3680"/>
  </r>
  <r>
    <x v="0"/>
    <x v="1588"/>
    <x v="434"/>
    <x v="77"/>
    <x v="28"/>
    <x v="674"/>
    <x v="41"/>
    <x v="3277"/>
    <x v="733"/>
    <x v="221"/>
    <x v="751"/>
    <x v="1220"/>
    <x v="3612"/>
    <x v="3607"/>
    <x v="3226"/>
    <x v="3"/>
    <x v="3568"/>
    <x v="3614"/>
    <x v="212"/>
    <x v="0"/>
    <x v="0"/>
    <x v="4"/>
    <x v="290"/>
    <x v="18"/>
    <x v="451"/>
    <x v="41"/>
    <x v="1"/>
    <x v="654"/>
    <x v="0"/>
    <x v="3681"/>
  </r>
  <r>
    <x v="0"/>
    <x v="1589"/>
    <x v="317"/>
    <x v="41"/>
    <x v="383"/>
    <x v="221"/>
    <x v="534"/>
    <x v="3278"/>
    <x v="200"/>
    <x v="1389"/>
    <x v="2129"/>
    <x v="2525"/>
    <x v="3613"/>
    <x v="3608"/>
    <x v="1474"/>
    <x v="1"/>
    <x v="3569"/>
    <x v="3615"/>
    <x v="540"/>
    <x v="3"/>
    <x v="50"/>
    <x v="9"/>
    <x v="291"/>
    <x v="10"/>
    <x v="736"/>
    <x v="13"/>
    <x v="3"/>
    <x v="1"/>
    <x v="0"/>
    <x v="3682"/>
  </r>
  <r>
    <x v="0"/>
    <x v="1076"/>
    <x v="203"/>
    <x v="77"/>
    <x v="338"/>
    <x v="777"/>
    <x v="671"/>
    <x v="3279"/>
    <x v="171"/>
    <x v="1390"/>
    <x v="2130"/>
    <x v="2526"/>
    <x v="3614"/>
    <x v="3609"/>
    <x v="3227"/>
    <x v="0"/>
    <x v="3570"/>
    <x v="3616"/>
    <x v="925"/>
    <x v="3"/>
    <x v="10"/>
    <x v="9"/>
    <x v="4"/>
    <x v="19"/>
    <x v="514"/>
    <x v="38"/>
    <x v="1"/>
    <x v="38"/>
    <x v="0"/>
    <x v="3683"/>
  </r>
  <r>
    <x v="0"/>
    <x v="1590"/>
    <x v="365"/>
    <x v="77"/>
    <x v="184"/>
    <x v="403"/>
    <x v="685"/>
    <x v="3280"/>
    <x v="200"/>
    <x v="1391"/>
    <x v="2131"/>
    <x v="2527"/>
    <x v="3615"/>
    <x v="3610"/>
    <x v="2891"/>
    <x v="0"/>
    <x v="3571"/>
    <x v="3617"/>
    <x v="818"/>
    <x v="2"/>
    <x v="7"/>
    <x v="10"/>
    <x v="290"/>
    <x v="9"/>
    <x v="288"/>
    <x v="9"/>
    <x v="3"/>
    <x v="651"/>
    <x v="0"/>
    <x v="3684"/>
  </r>
  <r>
    <x v="0"/>
    <x v="1591"/>
    <x v="193"/>
    <x v="68"/>
    <x v="256"/>
    <x v="726"/>
    <x v="678"/>
    <x v="3281"/>
    <x v="768"/>
    <x v="1392"/>
    <x v="2132"/>
    <x v="2528"/>
    <x v="3616"/>
    <x v="3611"/>
    <x v="3228"/>
    <x v="0"/>
    <x v="3572"/>
    <x v="3618"/>
    <x v="589"/>
    <x v="8"/>
    <x v="16"/>
    <x v="9"/>
    <x v="4"/>
    <x v="7"/>
    <x v="214"/>
    <x v="26"/>
    <x v="1"/>
    <x v="1"/>
    <x v="0"/>
    <x v="3685"/>
  </r>
  <r>
    <x v="0"/>
    <x v="1592"/>
    <x v="417"/>
    <x v="78"/>
    <x v="198"/>
    <x v="747"/>
    <x v="408"/>
    <x v="4"/>
    <x v="270"/>
    <x v="1393"/>
    <x v="1115"/>
    <x v="2529"/>
    <x v="3617"/>
    <x v="3612"/>
    <x v="3229"/>
    <x v="0"/>
    <x v="3573"/>
    <x v="3619"/>
    <x v="824"/>
    <x v="0"/>
    <x v="0"/>
    <x v="1"/>
    <x v="4"/>
    <x v="11"/>
    <x v="294"/>
    <x v="5"/>
    <x v="1"/>
    <x v="516"/>
    <x v="0"/>
    <x v="3686"/>
  </r>
  <r>
    <x v="0"/>
    <x v="1593"/>
    <x v="422"/>
    <x v="45"/>
    <x v="221"/>
    <x v="303"/>
    <x v="281"/>
    <x v="3282"/>
    <x v="659"/>
    <x v="603"/>
    <x v="2133"/>
    <x v="2530"/>
    <x v="3618"/>
    <x v="3613"/>
    <x v="1413"/>
    <x v="7"/>
    <x v="3574"/>
    <x v="3620"/>
    <x v="755"/>
    <x v="0"/>
    <x v="0"/>
    <x v="4"/>
    <x v="195"/>
    <x v="10"/>
    <x v="725"/>
    <x v="43"/>
    <x v="3"/>
    <x v="103"/>
    <x v="0"/>
    <x v="3687"/>
  </r>
  <r>
    <x v="0"/>
    <x v="669"/>
    <x v="409"/>
    <x v="45"/>
    <x v="282"/>
    <x v="839"/>
    <x v="41"/>
    <x v="3283"/>
    <x v="127"/>
    <x v="64"/>
    <x v="916"/>
    <x v="2531"/>
    <x v="3619"/>
    <x v="3614"/>
    <x v="3230"/>
    <x v="2"/>
    <x v="3575"/>
    <x v="3621"/>
    <x v="426"/>
    <x v="0"/>
    <x v="0"/>
    <x v="4"/>
    <x v="292"/>
    <x v="1"/>
    <x v="521"/>
    <x v="40"/>
    <x v="3"/>
    <x v="202"/>
    <x v="0"/>
    <x v="3688"/>
  </r>
  <r>
    <x v="0"/>
    <x v="1594"/>
    <x v="207"/>
    <x v="78"/>
    <x v="384"/>
    <x v="346"/>
    <x v="15"/>
    <x v="3284"/>
    <x v="200"/>
    <x v="212"/>
    <x v="2134"/>
    <x v="2532"/>
    <x v="3620"/>
    <x v="3615"/>
    <x v="3231"/>
    <x v="4"/>
    <x v="3576"/>
    <x v="3622"/>
    <x v="637"/>
    <x v="0"/>
    <x v="1"/>
    <x v="4"/>
    <x v="4"/>
    <x v="15"/>
    <x v="352"/>
    <x v="16"/>
    <x v="3"/>
    <x v="305"/>
    <x v="0"/>
    <x v="3689"/>
  </r>
  <r>
    <x v="0"/>
    <x v="1085"/>
    <x v="62"/>
    <x v="7"/>
    <x v="126"/>
    <x v="783"/>
    <x v="686"/>
    <x v="3285"/>
    <x v="168"/>
    <x v="1394"/>
    <x v="2135"/>
    <x v="2533"/>
    <x v="3621"/>
    <x v="3616"/>
    <x v="3232"/>
    <x v="3"/>
    <x v="3577"/>
    <x v="3623"/>
    <x v="239"/>
    <x v="33"/>
    <x v="37"/>
    <x v="4"/>
    <x v="293"/>
    <x v="10"/>
    <x v="394"/>
    <x v="32"/>
    <x v="6"/>
    <x v="33"/>
    <x v="0"/>
    <x v="3690"/>
  </r>
  <r>
    <x v="0"/>
    <x v="1595"/>
    <x v="94"/>
    <x v="50"/>
    <x v="198"/>
    <x v="571"/>
    <x v="543"/>
    <x v="4"/>
    <x v="769"/>
    <x v="1395"/>
    <x v="45"/>
    <x v="2534"/>
    <x v="3622"/>
    <x v="3617"/>
    <x v="3233"/>
    <x v="0"/>
    <x v="3578"/>
    <x v="3624"/>
    <x v="640"/>
    <x v="0"/>
    <x v="1"/>
    <x v="9"/>
    <x v="213"/>
    <x v="3"/>
    <x v="35"/>
    <x v="22"/>
    <x v="1"/>
    <x v="59"/>
    <x v="0"/>
    <x v="3691"/>
  </r>
  <r>
    <x v="0"/>
    <x v="1596"/>
    <x v="276"/>
    <x v="42"/>
    <x v="69"/>
    <x v="750"/>
    <x v="687"/>
    <x v="3286"/>
    <x v="422"/>
    <x v="1396"/>
    <x v="2136"/>
    <x v="2535"/>
    <x v="3623"/>
    <x v="3618"/>
    <x v="3234"/>
    <x v="1"/>
    <x v="3579"/>
    <x v="3625"/>
    <x v="802"/>
    <x v="0"/>
    <x v="4"/>
    <x v="0"/>
    <x v="224"/>
    <x v="14"/>
    <x v="830"/>
    <x v="32"/>
    <x v="3"/>
    <x v="260"/>
    <x v="0"/>
    <x v="3692"/>
  </r>
  <r>
    <x v="0"/>
    <x v="1597"/>
    <x v="343"/>
    <x v="74"/>
    <x v="385"/>
    <x v="298"/>
    <x v="213"/>
    <x v="4"/>
    <x v="17"/>
    <x v="1059"/>
    <x v="2137"/>
    <x v="2536"/>
    <x v="3624"/>
    <x v="3619"/>
    <x v="3235"/>
    <x v="4"/>
    <x v="3580"/>
    <x v="3626"/>
    <x v="792"/>
    <x v="0"/>
    <x v="37"/>
    <x v="0"/>
    <x v="290"/>
    <x v="11"/>
    <x v="253"/>
    <x v="23"/>
    <x v="2"/>
    <x v="1"/>
    <x v="0"/>
    <x v="3693"/>
  </r>
  <r>
    <x v="0"/>
    <x v="900"/>
    <x v="438"/>
    <x v="33"/>
    <x v="228"/>
    <x v="792"/>
    <x v="688"/>
    <x v="4"/>
    <x v="49"/>
    <x v="1397"/>
    <x v="2138"/>
    <x v="2537"/>
    <x v="3625"/>
    <x v="3620"/>
    <x v="3236"/>
    <x v="4"/>
    <x v="3581"/>
    <x v="3627"/>
    <x v="61"/>
    <x v="0"/>
    <x v="0"/>
    <x v="2"/>
    <x v="294"/>
    <x v="35"/>
    <x v="697"/>
    <x v="11"/>
    <x v="3"/>
    <x v="1"/>
    <x v="0"/>
    <x v="3694"/>
  </r>
  <r>
    <x v="0"/>
    <x v="1598"/>
    <x v="431"/>
    <x v="57"/>
    <x v="198"/>
    <x v="702"/>
    <x v="139"/>
    <x v="3287"/>
    <x v="28"/>
    <x v="1398"/>
    <x v="2139"/>
    <x v="2538"/>
    <x v="3626"/>
    <x v="3621"/>
    <x v="3237"/>
    <x v="0"/>
    <x v="3582"/>
    <x v="3628"/>
    <x v="788"/>
    <x v="8"/>
    <x v="16"/>
    <x v="4"/>
    <x v="4"/>
    <x v="10"/>
    <x v="722"/>
    <x v="5"/>
    <x v="2"/>
    <x v="655"/>
    <x v="0"/>
    <x v="3695"/>
  </r>
  <r>
    <x v="0"/>
    <x v="33"/>
    <x v="107"/>
    <x v="11"/>
    <x v="0"/>
    <x v="548"/>
    <x v="86"/>
    <x v="3288"/>
    <x v="560"/>
    <x v="627"/>
    <x v="2029"/>
    <x v="2167"/>
    <x v="3627"/>
    <x v="3622"/>
    <x v="57"/>
    <x v="0"/>
    <x v="3583"/>
    <x v="3629"/>
    <x v="286"/>
    <x v="0"/>
    <x v="0"/>
    <x v="0"/>
    <x v="240"/>
    <x v="9"/>
    <x v="537"/>
    <x v="4"/>
    <x v="1"/>
    <x v="50"/>
    <x v="0"/>
    <x v="3696"/>
  </r>
  <r>
    <x v="0"/>
    <x v="1303"/>
    <x v="75"/>
    <x v="54"/>
    <x v="160"/>
    <x v="512"/>
    <x v="0"/>
    <x v="3289"/>
    <x v="364"/>
    <x v="975"/>
    <x v="1057"/>
    <x v="2539"/>
    <x v="3628"/>
    <x v="3623"/>
    <x v="3238"/>
    <x v="0"/>
    <x v="3584"/>
    <x v="3630"/>
    <x v="926"/>
    <x v="0"/>
    <x v="0"/>
    <x v="4"/>
    <x v="213"/>
    <x v="12"/>
    <x v="574"/>
    <x v="4"/>
    <x v="3"/>
    <x v="1"/>
    <x v="0"/>
    <x v="3697"/>
  </r>
  <r>
    <x v="0"/>
    <x v="1599"/>
    <x v="518"/>
    <x v="27"/>
    <x v="106"/>
    <x v="49"/>
    <x v="21"/>
    <x v="3290"/>
    <x v="770"/>
    <x v="71"/>
    <x v="2140"/>
    <x v="2540"/>
    <x v="3629"/>
    <x v="3624"/>
    <x v="1475"/>
    <x v="0"/>
    <x v="3585"/>
    <x v="3631"/>
    <x v="132"/>
    <x v="0"/>
    <x v="0"/>
    <x v="0"/>
    <x v="159"/>
    <x v="6"/>
    <x v="541"/>
    <x v="11"/>
    <x v="1"/>
    <x v="0"/>
    <x v="0"/>
    <x v="3698"/>
  </r>
  <r>
    <x v="0"/>
    <x v="899"/>
    <x v="257"/>
    <x v="101"/>
    <x v="108"/>
    <x v="337"/>
    <x v="460"/>
    <x v="3291"/>
    <x v="771"/>
    <x v="842"/>
    <x v="1353"/>
    <x v="1586"/>
    <x v="3630"/>
    <x v="3625"/>
    <x v="3239"/>
    <x v="0"/>
    <x v="3586"/>
    <x v="3632"/>
    <x v="688"/>
    <x v="0"/>
    <x v="0"/>
    <x v="4"/>
    <x v="240"/>
    <x v="19"/>
    <x v="459"/>
    <x v="4"/>
    <x v="3"/>
    <x v="1"/>
    <x v="0"/>
    <x v="3699"/>
  </r>
  <r>
    <x v="0"/>
    <x v="1600"/>
    <x v="171"/>
    <x v="113"/>
    <x v="129"/>
    <x v="439"/>
    <x v="35"/>
    <x v="3292"/>
    <x v="429"/>
    <x v="332"/>
    <x v="2141"/>
    <x v="2449"/>
    <x v="3631"/>
    <x v="3626"/>
    <x v="2313"/>
    <x v="0"/>
    <x v="3587"/>
    <x v="3633"/>
    <x v="581"/>
    <x v="0"/>
    <x v="0"/>
    <x v="0"/>
    <x v="295"/>
    <x v="6"/>
    <x v="34"/>
    <x v="8"/>
    <x v="1"/>
    <x v="1"/>
    <x v="0"/>
    <x v="3700"/>
  </r>
  <r>
    <x v="0"/>
    <x v="929"/>
    <x v="24"/>
    <x v="50"/>
    <x v="192"/>
    <x v="190"/>
    <x v="367"/>
    <x v="3293"/>
    <x v="429"/>
    <x v="1399"/>
    <x v="2142"/>
    <x v="2541"/>
    <x v="3632"/>
    <x v="3627"/>
    <x v="1129"/>
    <x v="0"/>
    <x v="3588"/>
    <x v="3634"/>
    <x v="888"/>
    <x v="0"/>
    <x v="0"/>
    <x v="4"/>
    <x v="240"/>
    <x v="10"/>
    <x v="843"/>
    <x v="27"/>
    <x v="3"/>
    <x v="4"/>
    <x v="0"/>
    <x v="3701"/>
  </r>
  <r>
    <x v="0"/>
    <x v="1601"/>
    <x v="176"/>
    <x v="71"/>
    <x v="123"/>
    <x v="872"/>
    <x v="86"/>
    <x v="3294"/>
    <x v="471"/>
    <x v="627"/>
    <x v="2143"/>
    <x v="2542"/>
    <x v="3633"/>
    <x v="3628"/>
    <x v="2373"/>
    <x v="0"/>
    <x v="3589"/>
    <x v="3635"/>
    <x v="757"/>
    <x v="0"/>
    <x v="0"/>
    <x v="0"/>
    <x v="240"/>
    <x v="11"/>
    <x v="530"/>
    <x v="46"/>
    <x v="1"/>
    <x v="45"/>
    <x v="0"/>
    <x v="3702"/>
  </r>
  <r>
    <x v="0"/>
    <x v="168"/>
    <x v="333"/>
    <x v="76"/>
    <x v="111"/>
    <x v="370"/>
    <x v="361"/>
    <x v="3295"/>
    <x v="528"/>
    <x v="1400"/>
    <x v="1968"/>
    <x v="2543"/>
    <x v="3634"/>
    <x v="3629"/>
    <x v="3240"/>
    <x v="0"/>
    <x v="3590"/>
    <x v="3636"/>
    <x v="445"/>
    <x v="0"/>
    <x v="0"/>
    <x v="14"/>
    <x v="274"/>
    <x v="42"/>
    <x v="481"/>
    <x v="4"/>
    <x v="3"/>
    <x v="1"/>
    <x v="0"/>
    <x v="3703"/>
  </r>
  <r>
    <x v="0"/>
    <x v="1327"/>
    <x v="214"/>
    <x v="26"/>
    <x v="0"/>
    <x v="478"/>
    <x v="0"/>
    <x v="2874"/>
    <x v="60"/>
    <x v="510"/>
    <x v="1851"/>
    <x v="1147"/>
    <x v="3103"/>
    <x v="3630"/>
    <x v="2818"/>
    <x v="1"/>
    <x v="3073"/>
    <x v="3105"/>
    <x v="491"/>
    <x v="0"/>
    <x v="0"/>
    <x v="4"/>
    <x v="240"/>
    <x v="2"/>
    <x v="85"/>
    <x v="1"/>
    <x v="1"/>
    <x v="61"/>
    <x v="0"/>
    <x v="3704"/>
  </r>
  <r>
    <x v="0"/>
    <x v="1602"/>
    <x v="438"/>
    <x v="69"/>
    <x v="386"/>
    <x v="666"/>
    <x v="593"/>
    <x v="3296"/>
    <x v="200"/>
    <x v="1401"/>
    <x v="2144"/>
    <x v="2544"/>
    <x v="3635"/>
    <x v="3631"/>
    <x v="3241"/>
    <x v="1"/>
    <x v="3591"/>
    <x v="3637"/>
    <x v="671"/>
    <x v="6"/>
    <x v="12"/>
    <x v="0"/>
    <x v="240"/>
    <x v="9"/>
    <x v="646"/>
    <x v="32"/>
    <x v="3"/>
    <x v="57"/>
    <x v="0"/>
    <x v="3705"/>
  </r>
  <r>
    <x v="0"/>
    <x v="929"/>
    <x v="61"/>
    <x v="45"/>
    <x v="192"/>
    <x v="41"/>
    <x v="535"/>
    <x v="3297"/>
    <x v="429"/>
    <x v="1402"/>
    <x v="2145"/>
    <x v="2545"/>
    <x v="3636"/>
    <x v="3632"/>
    <x v="2549"/>
    <x v="0"/>
    <x v="3592"/>
    <x v="3638"/>
    <x v="556"/>
    <x v="0"/>
    <x v="0"/>
    <x v="4"/>
    <x v="240"/>
    <x v="3"/>
    <x v="39"/>
    <x v="51"/>
    <x v="3"/>
    <x v="18"/>
    <x v="0"/>
    <x v="3706"/>
  </r>
  <r>
    <x v="0"/>
    <x v="1603"/>
    <x v="372"/>
    <x v="24"/>
    <x v="52"/>
    <x v="583"/>
    <x v="605"/>
    <x v="3298"/>
    <x v="433"/>
    <x v="1183"/>
    <x v="2146"/>
    <x v="2546"/>
    <x v="3637"/>
    <x v="3633"/>
    <x v="3242"/>
    <x v="1"/>
    <x v="3593"/>
    <x v="3639"/>
    <x v="212"/>
    <x v="0"/>
    <x v="0"/>
    <x v="10"/>
    <x v="240"/>
    <x v="62"/>
    <x v="259"/>
    <x v="2"/>
    <x v="5"/>
    <x v="1"/>
    <x v="0"/>
    <x v="3707"/>
  </r>
  <r>
    <x v="0"/>
    <x v="883"/>
    <x v="193"/>
    <x v="18"/>
    <x v="318"/>
    <x v="640"/>
    <x v="425"/>
    <x v="4"/>
    <x v="656"/>
    <x v="1403"/>
    <x v="1839"/>
    <x v="2547"/>
    <x v="3638"/>
    <x v="3634"/>
    <x v="482"/>
    <x v="0"/>
    <x v="3594"/>
    <x v="3640"/>
    <x v="546"/>
    <x v="0"/>
    <x v="1"/>
    <x v="3"/>
    <x v="240"/>
    <x v="57"/>
    <x v="737"/>
    <x v="1"/>
    <x v="1"/>
    <x v="656"/>
    <x v="0"/>
    <x v="3708"/>
  </r>
  <r>
    <x v="0"/>
    <x v="840"/>
    <x v="74"/>
    <x v="41"/>
    <x v="91"/>
    <x v="40"/>
    <x v="1"/>
    <x v="3299"/>
    <x v="499"/>
    <x v="1"/>
    <x v="1229"/>
    <x v="2548"/>
    <x v="3639"/>
    <x v="3635"/>
    <x v="3243"/>
    <x v="0"/>
    <x v="3595"/>
    <x v="3641"/>
    <x v="418"/>
    <x v="0"/>
    <x v="0"/>
    <x v="4"/>
    <x v="231"/>
    <x v="23"/>
    <x v="537"/>
    <x v="41"/>
    <x v="3"/>
    <x v="657"/>
    <x v="0"/>
    <x v="3709"/>
  </r>
  <r>
    <x v="0"/>
    <x v="1604"/>
    <x v="112"/>
    <x v="56"/>
    <x v="246"/>
    <x v="541"/>
    <x v="123"/>
    <x v="3300"/>
    <x v="393"/>
    <x v="233"/>
    <x v="1327"/>
    <x v="836"/>
    <x v="3640"/>
    <x v="3636"/>
    <x v="3244"/>
    <x v="4"/>
    <x v="3596"/>
    <x v="3642"/>
    <x v="222"/>
    <x v="0"/>
    <x v="0"/>
    <x v="4"/>
    <x v="274"/>
    <x v="17"/>
    <x v="431"/>
    <x v="11"/>
    <x v="3"/>
    <x v="1"/>
    <x v="0"/>
    <x v="3710"/>
  </r>
  <r>
    <x v="0"/>
    <x v="810"/>
    <x v="474"/>
    <x v="46"/>
    <x v="190"/>
    <x v="636"/>
    <x v="209"/>
    <x v="4"/>
    <x v="772"/>
    <x v="391"/>
    <x v="2147"/>
    <x v="2549"/>
    <x v="3641"/>
    <x v="3637"/>
    <x v="2549"/>
    <x v="0"/>
    <x v="3597"/>
    <x v="3643"/>
    <x v="586"/>
    <x v="0"/>
    <x v="0"/>
    <x v="11"/>
    <x v="240"/>
    <x v="63"/>
    <x v="844"/>
    <x v="13"/>
    <x v="15"/>
    <x v="1"/>
    <x v="0"/>
    <x v="3711"/>
  </r>
  <r>
    <x v="0"/>
    <x v="1605"/>
    <x v="129"/>
    <x v="59"/>
    <x v="79"/>
    <x v="759"/>
    <x v="189"/>
    <x v="3301"/>
    <x v="560"/>
    <x v="1404"/>
    <x v="2148"/>
    <x v="2550"/>
    <x v="3642"/>
    <x v="3638"/>
    <x v="3245"/>
    <x v="0"/>
    <x v="3598"/>
    <x v="3644"/>
    <x v="293"/>
    <x v="0"/>
    <x v="0"/>
    <x v="4"/>
    <x v="240"/>
    <x v="11"/>
    <x v="121"/>
    <x v="40"/>
    <x v="0"/>
    <x v="7"/>
    <x v="0"/>
    <x v="3712"/>
  </r>
  <r>
    <x v="1"/>
    <x v="507"/>
    <x v="338"/>
    <x v="23"/>
    <x v="0"/>
    <x v="210"/>
    <x v="25"/>
    <x v="4"/>
    <x v="113"/>
    <x v="82"/>
    <x v="895"/>
    <x v="519"/>
    <x v="3643"/>
    <x v="3639"/>
    <x v="3246"/>
    <x v="1"/>
    <x v="3599"/>
    <x v="3645"/>
    <x v="485"/>
    <x v="0"/>
    <x v="0"/>
    <x v="2"/>
    <x v="240"/>
    <x v="35"/>
    <x v="507"/>
    <x v="17"/>
    <x v="1"/>
    <x v="104"/>
    <x v="0"/>
    <x v="3713"/>
  </r>
  <r>
    <x v="0"/>
    <x v="645"/>
    <x v="519"/>
    <x v="85"/>
    <x v="140"/>
    <x v="443"/>
    <x v="2"/>
    <x v="3302"/>
    <x v="113"/>
    <x v="72"/>
    <x v="1859"/>
    <x v="647"/>
    <x v="3644"/>
    <x v="3640"/>
    <x v="3247"/>
    <x v="0"/>
    <x v="3600"/>
    <x v="3646"/>
    <x v="471"/>
    <x v="0"/>
    <x v="0"/>
    <x v="4"/>
    <x v="240"/>
    <x v="9"/>
    <x v="13"/>
    <x v="25"/>
    <x v="1"/>
    <x v="14"/>
    <x v="0"/>
    <x v="3714"/>
  </r>
  <r>
    <x v="0"/>
    <x v="1606"/>
    <x v="194"/>
    <x v="105"/>
    <x v="129"/>
    <x v="770"/>
    <x v="14"/>
    <x v="3303"/>
    <x v="321"/>
    <x v="351"/>
    <x v="1355"/>
    <x v="2551"/>
    <x v="3645"/>
    <x v="3641"/>
    <x v="3248"/>
    <x v="0"/>
    <x v="3601"/>
    <x v="3647"/>
    <x v="189"/>
    <x v="0"/>
    <x v="0"/>
    <x v="0"/>
    <x v="296"/>
    <x v="2"/>
    <x v="693"/>
    <x v="31"/>
    <x v="1"/>
    <x v="1"/>
    <x v="0"/>
    <x v="3715"/>
  </r>
  <r>
    <x v="1"/>
    <x v="3"/>
    <x v="164"/>
    <x v="18"/>
    <x v="2"/>
    <x v="442"/>
    <x v="352"/>
    <x v="3304"/>
    <x v="60"/>
    <x v="635"/>
    <x v="664"/>
    <x v="2552"/>
    <x v="3646"/>
    <x v="3642"/>
    <x v="154"/>
    <x v="0"/>
    <x v="3602"/>
    <x v="3648"/>
    <x v="927"/>
    <x v="0"/>
    <x v="0"/>
    <x v="4"/>
    <x v="195"/>
    <x v="21"/>
    <x v="412"/>
    <x v="3"/>
    <x v="1"/>
    <x v="13"/>
    <x v="0"/>
    <x v="3716"/>
  </r>
  <r>
    <x v="0"/>
    <x v="1607"/>
    <x v="484"/>
    <x v="27"/>
    <x v="68"/>
    <x v="184"/>
    <x v="234"/>
    <x v="3305"/>
    <x v="364"/>
    <x v="1405"/>
    <x v="2149"/>
    <x v="2553"/>
    <x v="3647"/>
    <x v="3643"/>
    <x v="3249"/>
    <x v="0"/>
    <x v="3603"/>
    <x v="3649"/>
    <x v="367"/>
    <x v="0"/>
    <x v="0"/>
    <x v="4"/>
    <x v="240"/>
    <x v="9"/>
    <x v="845"/>
    <x v="12"/>
    <x v="1"/>
    <x v="33"/>
    <x v="0"/>
    <x v="3717"/>
  </r>
  <r>
    <x v="1"/>
    <x v="609"/>
    <x v="215"/>
    <x v="55"/>
    <x v="0"/>
    <x v="873"/>
    <x v="0"/>
    <x v="3306"/>
    <x v="125"/>
    <x v="990"/>
    <x v="2073"/>
    <x v="2554"/>
    <x v="3648"/>
    <x v="3644"/>
    <x v="2017"/>
    <x v="3"/>
    <x v="3604"/>
    <x v="3650"/>
    <x v="805"/>
    <x v="0"/>
    <x v="0"/>
    <x v="4"/>
    <x v="240"/>
    <x v="7"/>
    <x v="103"/>
    <x v="38"/>
    <x v="3"/>
    <x v="1"/>
    <x v="0"/>
    <x v="3718"/>
  </r>
  <r>
    <x v="0"/>
    <x v="564"/>
    <x v="285"/>
    <x v="47"/>
    <x v="144"/>
    <x v="485"/>
    <x v="205"/>
    <x v="3307"/>
    <x v="419"/>
    <x v="385"/>
    <x v="2150"/>
    <x v="2555"/>
    <x v="3649"/>
    <x v="3645"/>
    <x v="3250"/>
    <x v="0"/>
    <x v="3605"/>
    <x v="3651"/>
    <x v="88"/>
    <x v="0"/>
    <x v="1"/>
    <x v="4"/>
    <x v="240"/>
    <x v="21"/>
    <x v="739"/>
    <x v="16"/>
    <x v="3"/>
    <x v="1"/>
    <x v="0"/>
    <x v="3719"/>
  </r>
  <r>
    <x v="0"/>
    <x v="1608"/>
    <x v="109"/>
    <x v="33"/>
    <x v="309"/>
    <x v="685"/>
    <x v="134"/>
    <x v="3308"/>
    <x v="200"/>
    <x v="252"/>
    <x v="53"/>
    <x v="2143"/>
    <x v="3650"/>
    <x v="3646"/>
    <x v="3251"/>
    <x v="1"/>
    <x v="3606"/>
    <x v="3652"/>
    <x v="404"/>
    <x v="0"/>
    <x v="0"/>
    <x v="0"/>
    <x v="240"/>
    <x v="9"/>
    <x v="42"/>
    <x v="38"/>
    <x v="3"/>
    <x v="31"/>
    <x v="0"/>
    <x v="3720"/>
  </r>
  <r>
    <x v="0"/>
    <x v="1609"/>
    <x v="329"/>
    <x v="50"/>
    <x v="0"/>
    <x v="489"/>
    <x v="163"/>
    <x v="3309"/>
    <x v="399"/>
    <x v="1406"/>
    <x v="2151"/>
    <x v="2556"/>
    <x v="3651"/>
    <x v="3341"/>
    <x v="381"/>
    <x v="0"/>
    <x v="3607"/>
    <x v="3653"/>
    <x v="744"/>
    <x v="0"/>
    <x v="0"/>
    <x v="4"/>
    <x v="240"/>
    <x v="23"/>
    <x v="494"/>
    <x v="37"/>
    <x v="3"/>
    <x v="658"/>
    <x v="0"/>
    <x v="3721"/>
  </r>
  <r>
    <x v="0"/>
    <x v="83"/>
    <x v="465"/>
    <x v="58"/>
    <x v="174"/>
    <x v="503"/>
    <x v="323"/>
    <x v="4"/>
    <x v="773"/>
    <x v="1407"/>
    <x v="2152"/>
    <x v="2557"/>
    <x v="3652"/>
    <x v="3647"/>
    <x v="3252"/>
    <x v="0"/>
    <x v="3608"/>
    <x v="3654"/>
    <x v="388"/>
    <x v="0"/>
    <x v="5"/>
    <x v="2"/>
    <x v="209"/>
    <x v="26"/>
    <x v="653"/>
    <x v="11"/>
    <x v="1"/>
    <x v="1"/>
    <x v="0"/>
    <x v="3722"/>
  </r>
  <r>
    <x v="0"/>
    <x v="1610"/>
    <x v="419"/>
    <x v="91"/>
    <x v="0"/>
    <x v="413"/>
    <x v="35"/>
    <x v="3310"/>
    <x v="233"/>
    <x v="176"/>
    <x v="2153"/>
    <x v="2558"/>
    <x v="3653"/>
    <x v="3648"/>
    <x v="873"/>
    <x v="1"/>
    <x v="3609"/>
    <x v="3655"/>
    <x v="684"/>
    <x v="0"/>
    <x v="0"/>
    <x v="3"/>
    <x v="240"/>
    <x v="15"/>
    <x v="706"/>
    <x v="40"/>
    <x v="8"/>
    <x v="627"/>
    <x v="0"/>
    <x v="3723"/>
  </r>
  <r>
    <x v="0"/>
    <x v="1611"/>
    <x v="299"/>
    <x v="90"/>
    <x v="196"/>
    <x v="37"/>
    <x v="643"/>
    <x v="3311"/>
    <x v="270"/>
    <x v="1408"/>
    <x v="1192"/>
    <x v="2559"/>
    <x v="3654"/>
    <x v="3649"/>
    <x v="936"/>
    <x v="1"/>
    <x v="3610"/>
    <x v="3656"/>
    <x v="486"/>
    <x v="0"/>
    <x v="0"/>
    <x v="0"/>
    <x v="240"/>
    <x v="13"/>
    <x v="273"/>
    <x v="13"/>
    <x v="3"/>
    <x v="103"/>
    <x v="0"/>
    <x v="3724"/>
  </r>
  <r>
    <x v="0"/>
    <x v="1612"/>
    <x v="336"/>
    <x v="74"/>
    <x v="192"/>
    <x v="164"/>
    <x v="652"/>
    <x v="4"/>
    <x v="113"/>
    <x v="1291"/>
    <x v="945"/>
    <x v="2560"/>
    <x v="3655"/>
    <x v="3650"/>
    <x v="3253"/>
    <x v="1"/>
    <x v="3611"/>
    <x v="3657"/>
    <x v="290"/>
    <x v="0"/>
    <x v="0"/>
    <x v="4"/>
    <x v="240"/>
    <x v="37"/>
    <x v="531"/>
    <x v="10"/>
    <x v="3"/>
    <x v="1"/>
    <x v="0"/>
    <x v="3725"/>
  </r>
  <r>
    <x v="0"/>
    <x v="1613"/>
    <x v="200"/>
    <x v="78"/>
    <x v="19"/>
    <x v="1"/>
    <x v="2"/>
    <x v="3312"/>
    <x v="200"/>
    <x v="336"/>
    <x v="201"/>
    <x v="110"/>
    <x v="3656"/>
    <x v="3651"/>
    <x v="3254"/>
    <x v="1"/>
    <x v="3612"/>
    <x v="3658"/>
    <x v="231"/>
    <x v="0"/>
    <x v="0"/>
    <x v="4"/>
    <x v="240"/>
    <x v="10"/>
    <x v="13"/>
    <x v="21"/>
    <x v="3"/>
    <x v="59"/>
    <x v="0"/>
    <x v="3726"/>
  </r>
  <r>
    <x v="0"/>
    <x v="249"/>
    <x v="211"/>
    <x v="90"/>
    <x v="138"/>
    <x v="145"/>
    <x v="126"/>
    <x v="3313"/>
    <x v="122"/>
    <x v="1030"/>
    <x v="419"/>
    <x v="2561"/>
    <x v="3657"/>
    <x v="3652"/>
    <x v="3255"/>
    <x v="0"/>
    <x v="3613"/>
    <x v="3659"/>
    <x v="769"/>
    <x v="0"/>
    <x v="4"/>
    <x v="0"/>
    <x v="4"/>
    <x v="6"/>
    <x v="282"/>
    <x v="1"/>
    <x v="1"/>
    <x v="1"/>
    <x v="0"/>
    <x v="3727"/>
  </r>
  <r>
    <x v="0"/>
    <x v="1614"/>
    <x v="417"/>
    <x v="27"/>
    <x v="0"/>
    <x v="874"/>
    <x v="0"/>
    <x v="3314"/>
    <x v="200"/>
    <x v="85"/>
    <x v="2154"/>
    <x v="2562"/>
    <x v="3658"/>
    <x v="3653"/>
    <x v="3256"/>
    <x v="12"/>
    <x v="3614"/>
    <x v="3660"/>
    <x v="721"/>
    <x v="0"/>
    <x v="0"/>
    <x v="4"/>
    <x v="274"/>
    <x v="20"/>
    <x v="527"/>
    <x v="23"/>
    <x v="3"/>
    <x v="659"/>
    <x v="0"/>
    <x v="3728"/>
  </r>
  <r>
    <x v="0"/>
    <x v="1284"/>
    <x v="358"/>
    <x v="54"/>
    <x v="43"/>
    <x v="306"/>
    <x v="0"/>
    <x v="2797"/>
    <x v="527"/>
    <x v="481"/>
    <x v="1802"/>
    <x v="478"/>
    <x v="3013"/>
    <x v="3009"/>
    <x v="2741"/>
    <x v="4"/>
    <x v="2983"/>
    <x v="3014"/>
    <x v="243"/>
    <x v="0"/>
    <x v="0"/>
    <x v="4"/>
    <x v="240"/>
    <x v="18"/>
    <x v="487"/>
    <x v="5"/>
    <x v="3"/>
    <x v="1"/>
    <x v="0"/>
    <x v="3729"/>
  </r>
  <r>
    <x v="0"/>
    <x v="1234"/>
    <x v="128"/>
    <x v="41"/>
    <x v="48"/>
    <x v="2"/>
    <x v="0"/>
    <x v="3315"/>
    <x v="236"/>
    <x v="1193"/>
    <x v="2155"/>
    <x v="2563"/>
    <x v="3659"/>
    <x v="3654"/>
    <x v="3257"/>
    <x v="0"/>
    <x v="3615"/>
    <x v="3661"/>
    <x v="376"/>
    <x v="0"/>
    <x v="0"/>
    <x v="4"/>
    <x v="240"/>
    <x v="11"/>
    <x v="807"/>
    <x v="9"/>
    <x v="3"/>
    <x v="57"/>
    <x v="0"/>
    <x v="3730"/>
  </r>
  <r>
    <x v="0"/>
    <x v="803"/>
    <x v="435"/>
    <x v="11"/>
    <x v="80"/>
    <x v="214"/>
    <x v="0"/>
    <x v="3316"/>
    <x v="306"/>
    <x v="1182"/>
    <x v="2156"/>
    <x v="2564"/>
    <x v="3660"/>
    <x v="3655"/>
    <x v="3258"/>
    <x v="0"/>
    <x v="3616"/>
    <x v="3662"/>
    <x v="631"/>
    <x v="6"/>
    <x v="0"/>
    <x v="4"/>
    <x v="240"/>
    <x v="11"/>
    <x v="426"/>
    <x v="31"/>
    <x v="3"/>
    <x v="1"/>
    <x v="0"/>
    <x v="3731"/>
  </r>
  <r>
    <x v="0"/>
    <x v="1022"/>
    <x v="308"/>
    <x v="56"/>
    <x v="239"/>
    <x v="641"/>
    <x v="35"/>
    <x v="3317"/>
    <x v="270"/>
    <x v="1190"/>
    <x v="1962"/>
    <x v="1933"/>
    <x v="3661"/>
    <x v="3656"/>
    <x v="3259"/>
    <x v="4"/>
    <x v="3617"/>
    <x v="3663"/>
    <x v="120"/>
    <x v="0"/>
    <x v="0"/>
    <x v="4"/>
    <x v="224"/>
    <x v="13"/>
    <x v="655"/>
    <x v="11"/>
    <x v="3"/>
    <x v="434"/>
    <x v="0"/>
    <x v="3732"/>
  </r>
  <r>
    <x v="0"/>
    <x v="1615"/>
    <x v="481"/>
    <x v="59"/>
    <x v="73"/>
    <x v="211"/>
    <x v="30"/>
    <x v="3318"/>
    <x v="270"/>
    <x v="224"/>
    <x v="312"/>
    <x v="269"/>
    <x v="3662"/>
    <x v="3657"/>
    <x v="3260"/>
    <x v="1"/>
    <x v="3618"/>
    <x v="3664"/>
    <x v="224"/>
    <x v="0"/>
    <x v="0"/>
    <x v="0"/>
    <x v="240"/>
    <x v="11"/>
    <x v="12"/>
    <x v="7"/>
    <x v="3"/>
    <x v="48"/>
    <x v="0"/>
    <x v="3733"/>
  </r>
  <r>
    <x v="0"/>
    <x v="1616"/>
    <x v="464"/>
    <x v="106"/>
    <x v="387"/>
    <x v="123"/>
    <x v="64"/>
    <x v="4"/>
    <x v="433"/>
    <x v="1409"/>
    <x v="2157"/>
    <x v="152"/>
    <x v="3663"/>
    <x v="3658"/>
    <x v="3261"/>
    <x v="0"/>
    <x v="3619"/>
    <x v="3665"/>
    <x v="450"/>
    <x v="0"/>
    <x v="0"/>
    <x v="11"/>
    <x v="240"/>
    <x v="63"/>
    <x v="287"/>
    <x v="4"/>
    <x v="19"/>
    <x v="376"/>
    <x v="0"/>
    <x v="3734"/>
  </r>
  <r>
    <x v="0"/>
    <x v="1617"/>
    <x v="413"/>
    <x v="77"/>
    <x v="85"/>
    <x v="667"/>
    <x v="57"/>
    <x v="4"/>
    <x v="23"/>
    <x v="237"/>
    <x v="2158"/>
    <x v="2565"/>
    <x v="3664"/>
    <x v="2754"/>
    <x v="3262"/>
    <x v="4"/>
    <x v="3620"/>
    <x v="3666"/>
    <x v="653"/>
    <x v="0"/>
    <x v="0"/>
    <x v="4"/>
    <x v="240"/>
    <x v="37"/>
    <x v="276"/>
    <x v="21"/>
    <x v="3"/>
    <x v="1"/>
    <x v="0"/>
    <x v="3735"/>
  </r>
  <r>
    <x v="0"/>
    <x v="1618"/>
    <x v="309"/>
    <x v="7"/>
    <x v="85"/>
    <x v="809"/>
    <x v="689"/>
    <x v="3319"/>
    <x v="774"/>
    <x v="1410"/>
    <x v="2159"/>
    <x v="2566"/>
    <x v="3665"/>
    <x v="3659"/>
    <x v="56"/>
    <x v="0"/>
    <x v="3621"/>
    <x v="3667"/>
    <x v="708"/>
    <x v="0"/>
    <x v="0"/>
    <x v="4"/>
    <x v="240"/>
    <x v="30"/>
    <x v="846"/>
    <x v="33"/>
    <x v="3"/>
    <x v="103"/>
    <x v="0"/>
    <x v="3736"/>
  </r>
  <r>
    <x v="0"/>
    <x v="502"/>
    <x v="188"/>
    <x v="54"/>
    <x v="47"/>
    <x v="251"/>
    <x v="362"/>
    <x v="3320"/>
    <x v="215"/>
    <x v="932"/>
    <x v="1470"/>
    <x v="1532"/>
    <x v="3666"/>
    <x v="3660"/>
    <x v="2977"/>
    <x v="3"/>
    <x v="3622"/>
    <x v="3668"/>
    <x v="928"/>
    <x v="0"/>
    <x v="0"/>
    <x v="2"/>
    <x v="240"/>
    <x v="19"/>
    <x v="478"/>
    <x v="4"/>
    <x v="3"/>
    <x v="9"/>
    <x v="0"/>
    <x v="3737"/>
  </r>
  <r>
    <x v="0"/>
    <x v="1619"/>
    <x v="520"/>
    <x v="50"/>
    <x v="388"/>
    <x v="830"/>
    <x v="2"/>
    <x v="3321"/>
    <x v="152"/>
    <x v="182"/>
    <x v="1930"/>
    <x v="2567"/>
    <x v="3667"/>
    <x v="3661"/>
    <x v="3263"/>
    <x v="2"/>
    <x v="3623"/>
    <x v="3669"/>
    <x v="929"/>
    <x v="0"/>
    <x v="0"/>
    <x v="4"/>
    <x v="240"/>
    <x v="3"/>
    <x v="817"/>
    <x v="43"/>
    <x v="1"/>
    <x v="68"/>
    <x v="0"/>
    <x v="3738"/>
  </r>
  <r>
    <x v="0"/>
    <x v="1620"/>
    <x v="318"/>
    <x v="41"/>
    <x v="89"/>
    <x v="166"/>
    <x v="413"/>
    <x v="3322"/>
    <x v="381"/>
    <x v="806"/>
    <x v="2160"/>
    <x v="1904"/>
    <x v="3668"/>
    <x v="3662"/>
    <x v="348"/>
    <x v="0"/>
    <x v="3624"/>
    <x v="3670"/>
    <x v="750"/>
    <x v="0"/>
    <x v="0"/>
    <x v="4"/>
    <x v="240"/>
    <x v="16"/>
    <x v="477"/>
    <x v="41"/>
    <x v="3"/>
    <x v="1"/>
    <x v="0"/>
    <x v="3739"/>
  </r>
  <r>
    <x v="0"/>
    <x v="122"/>
    <x v="247"/>
    <x v="11"/>
    <x v="0"/>
    <x v="566"/>
    <x v="690"/>
    <x v="3323"/>
    <x v="621"/>
    <x v="1411"/>
    <x v="2161"/>
    <x v="2568"/>
    <x v="3669"/>
    <x v="3663"/>
    <x v="2807"/>
    <x v="1"/>
    <x v="3625"/>
    <x v="3671"/>
    <x v="440"/>
    <x v="6"/>
    <x v="12"/>
    <x v="4"/>
    <x v="126"/>
    <x v="18"/>
    <x v="474"/>
    <x v="16"/>
    <x v="3"/>
    <x v="1"/>
    <x v="0"/>
    <x v="3740"/>
  </r>
  <r>
    <x v="0"/>
    <x v="229"/>
    <x v="161"/>
    <x v="77"/>
    <x v="16"/>
    <x v="128"/>
    <x v="66"/>
    <x v="3324"/>
    <x v="476"/>
    <x v="1412"/>
    <x v="2162"/>
    <x v="158"/>
    <x v="3670"/>
    <x v="3664"/>
    <x v="1266"/>
    <x v="5"/>
    <x v="3626"/>
    <x v="3672"/>
    <x v="930"/>
    <x v="0"/>
    <x v="1"/>
    <x v="4"/>
    <x v="213"/>
    <x v="14"/>
    <x v="267"/>
    <x v="25"/>
    <x v="1"/>
    <x v="64"/>
    <x v="0"/>
    <x v="3741"/>
  </r>
  <r>
    <x v="0"/>
    <x v="1621"/>
    <x v="336"/>
    <x v="87"/>
    <x v="143"/>
    <x v="410"/>
    <x v="0"/>
    <x v="3325"/>
    <x v="327"/>
    <x v="1413"/>
    <x v="2163"/>
    <x v="596"/>
    <x v="3671"/>
    <x v="3665"/>
    <x v="3264"/>
    <x v="7"/>
    <x v="3627"/>
    <x v="3673"/>
    <x v="277"/>
    <x v="0"/>
    <x v="0"/>
    <x v="0"/>
    <x v="240"/>
    <x v="8"/>
    <x v="483"/>
    <x v="45"/>
    <x v="3"/>
    <x v="437"/>
    <x v="0"/>
    <x v="3742"/>
  </r>
  <r>
    <x v="0"/>
    <x v="1430"/>
    <x v="373"/>
    <x v="24"/>
    <x v="370"/>
    <x v="180"/>
    <x v="2"/>
    <x v="3326"/>
    <x v="498"/>
    <x v="72"/>
    <x v="2164"/>
    <x v="2569"/>
    <x v="3672"/>
    <x v="3666"/>
    <x v="3265"/>
    <x v="4"/>
    <x v="3628"/>
    <x v="3674"/>
    <x v="86"/>
    <x v="0"/>
    <x v="0"/>
    <x v="4"/>
    <x v="240"/>
    <x v="25"/>
    <x v="581"/>
    <x v="32"/>
    <x v="1"/>
    <x v="1"/>
    <x v="0"/>
    <x v="3743"/>
  </r>
  <r>
    <x v="0"/>
    <x v="807"/>
    <x v="235"/>
    <x v="76"/>
    <x v="180"/>
    <x v="760"/>
    <x v="413"/>
    <x v="3327"/>
    <x v="381"/>
    <x v="806"/>
    <x v="2165"/>
    <x v="2570"/>
    <x v="3673"/>
    <x v="3667"/>
    <x v="2073"/>
    <x v="0"/>
    <x v="3629"/>
    <x v="3675"/>
    <x v="278"/>
    <x v="0"/>
    <x v="0"/>
    <x v="4"/>
    <x v="240"/>
    <x v="32"/>
    <x v="846"/>
    <x v="18"/>
    <x v="3"/>
    <x v="1"/>
    <x v="0"/>
    <x v="3744"/>
  </r>
  <r>
    <x v="0"/>
    <x v="1622"/>
    <x v="368"/>
    <x v="71"/>
    <x v="184"/>
    <x v="754"/>
    <x v="72"/>
    <x v="3328"/>
    <x v="364"/>
    <x v="979"/>
    <x v="2166"/>
    <x v="2571"/>
    <x v="3674"/>
    <x v="3668"/>
    <x v="3266"/>
    <x v="0"/>
    <x v="3630"/>
    <x v="3676"/>
    <x v="310"/>
    <x v="0"/>
    <x v="0"/>
    <x v="4"/>
    <x v="240"/>
    <x v="43"/>
    <x v="43"/>
    <x v="5"/>
    <x v="1"/>
    <x v="1"/>
    <x v="0"/>
    <x v="3745"/>
  </r>
  <r>
    <x v="0"/>
    <x v="277"/>
    <x v="372"/>
    <x v="47"/>
    <x v="181"/>
    <x v="274"/>
    <x v="485"/>
    <x v="3329"/>
    <x v="200"/>
    <x v="899"/>
    <x v="1095"/>
    <x v="727"/>
    <x v="3675"/>
    <x v="3669"/>
    <x v="1563"/>
    <x v="5"/>
    <x v="3631"/>
    <x v="3677"/>
    <x v="499"/>
    <x v="0"/>
    <x v="0"/>
    <x v="4"/>
    <x v="240"/>
    <x v="26"/>
    <x v="387"/>
    <x v="13"/>
    <x v="3"/>
    <x v="1"/>
    <x v="0"/>
    <x v="3746"/>
  </r>
  <r>
    <x v="0"/>
    <x v="1623"/>
    <x v="207"/>
    <x v="86"/>
    <x v="193"/>
    <x v="171"/>
    <x v="200"/>
    <x v="3330"/>
    <x v="579"/>
    <x v="378"/>
    <x v="2167"/>
    <x v="2572"/>
    <x v="3676"/>
    <x v="3407"/>
    <x v="3267"/>
    <x v="0"/>
    <x v="3632"/>
    <x v="3678"/>
    <x v="632"/>
    <x v="0"/>
    <x v="0"/>
    <x v="2"/>
    <x v="240"/>
    <x v="45"/>
    <x v="99"/>
    <x v="22"/>
    <x v="3"/>
    <x v="1"/>
    <x v="0"/>
    <x v="3747"/>
  </r>
  <r>
    <x v="0"/>
    <x v="1624"/>
    <x v="103"/>
    <x v="107"/>
    <x v="184"/>
    <x v="875"/>
    <x v="691"/>
    <x v="3331"/>
    <x v="315"/>
    <x v="1414"/>
    <x v="2168"/>
    <x v="2573"/>
    <x v="3677"/>
    <x v="3670"/>
    <x v="613"/>
    <x v="0"/>
    <x v="3633"/>
    <x v="3679"/>
    <x v="451"/>
    <x v="0"/>
    <x v="0"/>
    <x v="0"/>
    <x v="240"/>
    <x v="10"/>
    <x v="283"/>
    <x v="31"/>
    <x v="8"/>
    <x v="1"/>
    <x v="0"/>
    <x v="3748"/>
  </r>
  <r>
    <x v="0"/>
    <x v="1625"/>
    <x v="423"/>
    <x v="43"/>
    <x v="107"/>
    <x v="335"/>
    <x v="193"/>
    <x v="3332"/>
    <x v="200"/>
    <x v="360"/>
    <x v="826"/>
    <x v="453"/>
    <x v="3678"/>
    <x v="3671"/>
    <x v="2503"/>
    <x v="0"/>
    <x v="3634"/>
    <x v="3680"/>
    <x v="227"/>
    <x v="0"/>
    <x v="0"/>
    <x v="4"/>
    <x v="83"/>
    <x v="8"/>
    <x v="93"/>
    <x v="8"/>
    <x v="1"/>
    <x v="1"/>
    <x v="0"/>
    <x v="3749"/>
  </r>
  <r>
    <x v="0"/>
    <x v="1234"/>
    <x v="232"/>
    <x v="33"/>
    <x v="48"/>
    <x v="170"/>
    <x v="504"/>
    <x v="3333"/>
    <x v="3"/>
    <x v="1415"/>
    <x v="2169"/>
    <x v="2574"/>
    <x v="3679"/>
    <x v="3672"/>
    <x v="3268"/>
    <x v="0"/>
    <x v="3635"/>
    <x v="3681"/>
    <x v="178"/>
    <x v="0"/>
    <x v="0"/>
    <x v="4"/>
    <x v="240"/>
    <x v="2"/>
    <x v="489"/>
    <x v="2"/>
    <x v="3"/>
    <x v="37"/>
    <x v="0"/>
    <x v="3750"/>
  </r>
  <r>
    <x v="0"/>
    <x v="1626"/>
    <x v="402"/>
    <x v="78"/>
    <x v="240"/>
    <x v="99"/>
    <x v="20"/>
    <x v="4"/>
    <x v="1"/>
    <x v="1416"/>
    <x v="435"/>
    <x v="124"/>
    <x v="3680"/>
    <x v="3673"/>
    <x v="3269"/>
    <x v="0"/>
    <x v="3636"/>
    <x v="3682"/>
    <x v="499"/>
    <x v="0"/>
    <x v="0"/>
    <x v="2"/>
    <x v="83"/>
    <x v="26"/>
    <x v="233"/>
    <x v="5"/>
    <x v="3"/>
    <x v="1"/>
    <x v="0"/>
    <x v="3751"/>
  </r>
  <r>
    <x v="0"/>
    <x v="1544"/>
    <x v="369"/>
    <x v="8"/>
    <x v="91"/>
    <x v="732"/>
    <x v="315"/>
    <x v="4"/>
    <x v="153"/>
    <x v="1417"/>
    <x v="2170"/>
    <x v="2575"/>
    <x v="3681"/>
    <x v="3674"/>
    <x v="3270"/>
    <x v="4"/>
    <x v="3637"/>
    <x v="3683"/>
    <x v="631"/>
    <x v="0"/>
    <x v="0"/>
    <x v="1"/>
    <x v="240"/>
    <x v="64"/>
    <x v="698"/>
    <x v="5"/>
    <x v="5"/>
    <x v="660"/>
    <x v="0"/>
    <x v="3752"/>
  </r>
  <r>
    <x v="0"/>
    <x v="1627"/>
    <x v="349"/>
    <x v="80"/>
    <x v="262"/>
    <x v="665"/>
    <x v="493"/>
    <x v="3334"/>
    <x v="125"/>
    <x v="1418"/>
    <x v="758"/>
    <x v="1201"/>
    <x v="3682"/>
    <x v="3675"/>
    <x v="2145"/>
    <x v="2"/>
    <x v="3638"/>
    <x v="3684"/>
    <x v="327"/>
    <x v="0"/>
    <x v="0"/>
    <x v="4"/>
    <x v="240"/>
    <x v="6"/>
    <x v="455"/>
    <x v="58"/>
    <x v="2"/>
    <x v="59"/>
    <x v="0"/>
    <x v="3753"/>
  </r>
  <r>
    <x v="0"/>
    <x v="1628"/>
    <x v="399"/>
    <x v="77"/>
    <x v="16"/>
    <x v="155"/>
    <x v="256"/>
    <x v="3335"/>
    <x v="17"/>
    <x v="676"/>
    <x v="215"/>
    <x v="2576"/>
    <x v="3683"/>
    <x v="3676"/>
    <x v="3271"/>
    <x v="1"/>
    <x v="3639"/>
    <x v="3685"/>
    <x v="732"/>
    <x v="0"/>
    <x v="0"/>
    <x v="0"/>
    <x v="83"/>
    <x v="0"/>
    <x v="145"/>
    <x v="9"/>
    <x v="3"/>
    <x v="661"/>
    <x v="0"/>
    <x v="3754"/>
  </r>
  <r>
    <x v="1"/>
    <x v="1629"/>
    <x v="372"/>
    <x v="139"/>
    <x v="118"/>
    <x v="345"/>
    <x v="36"/>
    <x v="4"/>
    <x v="387"/>
    <x v="1419"/>
    <x v="2171"/>
    <x v="2577"/>
    <x v="3684"/>
    <x v="3677"/>
    <x v="3159"/>
    <x v="1"/>
    <x v="3640"/>
    <x v="3686"/>
    <x v="835"/>
    <x v="0"/>
    <x v="0"/>
    <x v="10"/>
    <x v="297"/>
    <x v="65"/>
    <x v="761"/>
    <x v="4"/>
    <x v="15"/>
    <x v="662"/>
    <x v="0"/>
    <x v="3755"/>
  </r>
  <r>
    <x v="0"/>
    <x v="803"/>
    <x v="329"/>
    <x v="45"/>
    <x v="80"/>
    <x v="247"/>
    <x v="438"/>
    <x v="3336"/>
    <x v="127"/>
    <x v="792"/>
    <x v="459"/>
    <x v="2578"/>
    <x v="3685"/>
    <x v="3678"/>
    <x v="1298"/>
    <x v="5"/>
    <x v="4"/>
    <x v="3687"/>
    <x v="561"/>
    <x v="0"/>
    <x v="0"/>
    <x v="4"/>
    <x v="240"/>
    <x v="6"/>
    <x v="34"/>
    <x v="33"/>
    <x v="2"/>
    <x v="663"/>
    <x v="0"/>
    <x v="3756"/>
  </r>
  <r>
    <x v="0"/>
    <x v="1630"/>
    <x v="207"/>
    <x v="87"/>
    <x v="154"/>
    <x v="608"/>
    <x v="581"/>
    <x v="3337"/>
    <x v="249"/>
    <x v="1420"/>
    <x v="2172"/>
    <x v="2579"/>
    <x v="3686"/>
    <x v="3679"/>
    <x v="3272"/>
    <x v="0"/>
    <x v="3641"/>
    <x v="3688"/>
    <x v="632"/>
    <x v="0"/>
    <x v="0"/>
    <x v="2"/>
    <x v="240"/>
    <x v="21"/>
    <x v="767"/>
    <x v="18"/>
    <x v="3"/>
    <x v="664"/>
    <x v="0"/>
    <x v="3757"/>
  </r>
  <r>
    <x v="0"/>
    <x v="1631"/>
    <x v="313"/>
    <x v="80"/>
    <x v="69"/>
    <x v="876"/>
    <x v="22"/>
    <x v="3338"/>
    <x v="200"/>
    <x v="514"/>
    <x v="2173"/>
    <x v="2580"/>
    <x v="3687"/>
    <x v="3680"/>
    <x v="3176"/>
    <x v="7"/>
    <x v="3642"/>
    <x v="3689"/>
    <x v="84"/>
    <x v="0"/>
    <x v="0"/>
    <x v="0"/>
    <x v="240"/>
    <x v="14"/>
    <x v="487"/>
    <x v="8"/>
    <x v="3"/>
    <x v="1"/>
    <x v="0"/>
    <x v="3758"/>
  </r>
  <r>
    <x v="0"/>
    <x v="1632"/>
    <x v="126"/>
    <x v="52"/>
    <x v="48"/>
    <x v="502"/>
    <x v="453"/>
    <x v="3339"/>
    <x v="618"/>
    <x v="1421"/>
    <x v="2174"/>
    <x v="2581"/>
    <x v="3688"/>
    <x v="3681"/>
    <x v="677"/>
    <x v="4"/>
    <x v="3643"/>
    <x v="3690"/>
    <x v="690"/>
    <x v="3"/>
    <x v="4"/>
    <x v="4"/>
    <x v="224"/>
    <x v="17"/>
    <x v="470"/>
    <x v="16"/>
    <x v="1"/>
    <x v="1"/>
    <x v="0"/>
    <x v="3759"/>
  </r>
  <r>
    <x v="0"/>
    <x v="421"/>
    <x v="434"/>
    <x v="11"/>
    <x v="137"/>
    <x v="653"/>
    <x v="382"/>
    <x v="4"/>
    <x v="185"/>
    <x v="1422"/>
    <x v="1919"/>
    <x v="2582"/>
    <x v="3689"/>
    <x v="3682"/>
    <x v="3273"/>
    <x v="10"/>
    <x v="3644"/>
    <x v="3691"/>
    <x v="129"/>
    <x v="0"/>
    <x v="0"/>
    <x v="2"/>
    <x v="240"/>
    <x v="46"/>
    <x v="197"/>
    <x v="4"/>
    <x v="3"/>
    <x v="188"/>
    <x v="0"/>
    <x v="3760"/>
  </r>
  <r>
    <x v="0"/>
    <x v="1633"/>
    <x v="392"/>
    <x v="78"/>
    <x v="80"/>
    <x v="24"/>
    <x v="201"/>
    <x v="3340"/>
    <x v="381"/>
    <x v="1423"/>
    <x v="2175"/>
    <x v="884"/>
    <x v="3690"/>
    <x v="3683"/>
    <x v="1483"/>
    <x v="2"/>
    <x v="3645"/>
    <x v="3692"/>
    <x v="104"/>
    <x v="0"/>
    <x v="0"/>
    <x v="4"/>
    <x v="240"/>
    <x v="18"/>
    <x v="381"/>
    <x v="43"/>
    <x v="3"/>
    <x v="471"/>
    <x v="0"/>
    <x v="3761"/>
  </r>
  <r>
    <x v="1"/>
    <x v="1494"/>
    <x v="417"/>
    <x v="51"/>
    <x v="228"/>
    <x v="362"/>
    <x v="2"/>
    <x v="4"/>
    <x v="108"/>
    <x v="42"/>
    <x v="2176"/>
    <x v="502"/>
    <x v="3691"/>
    <x v="3684"/>
    <x v="3274"/>
    <x v="4"/>
    <x v="3646"/>
    <x v="3693"/>
    <x v="670"/>
    <x v="0"/>
    <x v="1"/>
    <x v="2"/>
    <x v="240"/>
    <x v="33"/>
    <x v="120"/>
    <x v="22"/>
    <x v="1"/>
    <x v="665"/>
    <x v="0"/>
    <x v="3762"/>
  </r>
  <r>
    <x v="0"/>
    <x v="1634"/>
    <x v="349"/>
    <x v="13"/>
    <x v="221"/>
    <x v="655"/>
    <x v="692"/>
    <x v="3341"/>
    <x v="200"/>
    <x v="1424"/>
    <x v="1212"/>
    <x v="2583"/>
    <x v="3692"/>
    <x v="3685"/>
    <x v="3275"/>
    <x v="1"/>
    <x v="3647"/>
    <x v="3694"/>
    <x v="567"/>
    <x v="0"/>
    <x v="0"/>
    <x v="0"/>
    <x v="240"/>
    <x v="30"/>
    <x v="243"/>
    <x v="15"/>
    <x v="3"/>
    <x v="1"/>
    <x v="0"/>
    <x v="3763"/>
  </r>
  <r>
    <x v="0"/>
    <x v="1635"/>
    <x v="258"/>
    <x v="78"/>
    <x v="198"/>
    <x v="877"/>
    <x v="35"/>
    <x v="3342"/>
    <x v="125"/>
    <x v="930"/>
    <x v="0"/>
    <x v="2584"/>
    <x v="3693"/>
    <x v="3686"/>
    <x v="3276"/>
    <x v="0"/>
    <x v="3648"/>
    <x v="3695"/>
    <x v="492"/>
    <x v="0"/>
    <x v="0"/>
    <x v="4"/>
    <x v="4"/>
    <x v="7"/>
    <x v="0"/>
    <x v="15"/>
    <x v="1"/>
    <x v="1"/>
    <x v="0"/>
    <x v="3764"/>
  </r>
  <r>
    <x v="0"/>
    <x v="1402"/>
    <x v="370"/>
    <x v="43"/>
    <x v="50"/>
    <x v="614"/>
    <x v="0"/>
    <x v="3343"/>
    <x v="200"/>
    <x v="450"/>
    <x v="2177"/>
    <x v="2585"/>
    <x v="3694"/>
    <x v="2691"/>
    <x v="3277"/>
    <x v="0"/>
    <x v="3649"/>
    <x v="3696"/>
    <x v="167"/>
    <x v="0"/>
    <x v="0"/>
    <x v="4"/>
    <x v="240"/>
    <x v="20"/>
    <x v="847"/>
    <x v="4"/>
    <x v="3"/>
    <x v="310"/>
    <x v="0"/>
    <x v="3765"/>
  </r>
  <r>
    <x v="0"/>
    <x v="737"/>
    <x v="328"/>
    <x v="97"/>
    <x v="0"/>
    <x v="688"/>
    <x v="195"/>
    <x v="4"/>
    <x v="713"/>
    <x v="1425"/>
    <x v="2178"/>
    <x v="2586"/>
    <x v="3695"/>
    <x v="3687"/>
    <x v="3093"/>
    <x v="1"/>
    <x v="3650"/>
    <x v="3697"/>
    <x v="931"/>
    <x v="0"/>
    <x v="20"/>
    <x v="0"/>
    <x v="240"/>
    <x v="38"/>
    <x v="442"/>
    <x v="35"/>
    <x v="1"/>
    <x v="7"/>
    <x v="0"/>
    <x v="3766"/>
  </r>
  <r>
    <x v="0"/>
    <x v="47"/>
    <x v="225"/>
    <x v="54"/>
    <x v="32"/>
    <x v="382"/>
    <x v="41"/>
    <x v="3344"/>
    <x v="369"/>
    <x v="211"/>
    <x v="1611"/>
    <x v="2587"/>
    <x v="3696"/>
    <x v="3688"/>
    <x v="3278"/>
    <x v="4"/>
    <x v="3651"/>
    <x v="3698"/>
    <x v="550"/>
    <x v="0"/>
    <x v="0"/>
    <x v="4"/>
    <x v="240"/>
    <x v="18"/>
    <x v="297"/>
    <x v="21"/>
    <x v="3"/>
    <x v="450"/>
    <x v="0"/>
    <x v="3767"/>
  </r>
  <r>
    <x v="0"/>
    <x v="75"/>
    <x v="264"/>
    <x v="55"/>
    <x v="0"/>
    <x v="194"/>
    <x v="11"/>
    <x v="3345"/>
    <x v="383"/>
    <x v="11"/>
    <x v="2179"/>
    <x v="244"/>
    <x v="3697"/>
    <x v="3689"/>
    <x v="3279"/>
    <x v="0"/>
    <x v="3652"/>
    <x v="3699"/>
    <x v="764"/>
    <x v="0"/>
    <x v="1"/>
    <x v="4"/>
    <x v="240"/>
    <x v="0"/>
    <x v="848"/>
    <x v="0"/>
    <x v="1"/>
    <x v="65"/>
    <x v="0"/>
    <x v="3768"/>
  </r>
  <r>
    <x v="0"/>
    <x v="1373"/>
    <x v="425"/>
    <x v="78"/>
    <x v="143"/>
    <x v="514"/>
    <x v="35"/>
    <x v="3346"/>
    <x v="125"/>
    <x v="844"/>
    <x v="1941"/>
    <x v="2588"/>
    <x v="3698"/>
    <x v="3690"/>
    <x v="3280"/>
    <x v="0"/>
    <x v="3653"/>
    <x v="3700"/>
    <x v="540"/>
    <x v="0"/>
    <x v="0"/>
    <x v="0"/>
    <x v="4"/>
    <x v="7"/>
    <x v="373"/>
    <x v="28"/>
    <x v="3"/>
    <x v="666"/>
    <x v="0"/>
    <x v="3769"/>
  </r>
  <r>
    <x v="0"/>
    <x v="1636"/>
    <x v="478"/>
    <x v="163"/>
    <x v="0"/>
    <x v="298"/>
    <x v="693"/>
    <x v="3347"/>
    <x v="4"/>
    <x v="1426"/>
    <x v="2180"/>
    <x v="2589"/>
    <x v="3699"/>
    <x v="3691"/>
    <x v="564"/>
    <x v="0"/>
    <x v="3654"/>
    <x v="3701"/>
    <x v="854"/>
    <x v="0"/>
    <x v="1"/>
    <x v="1"/>
    <x v="240"/>
    <x v="5"/>
    <x v="253"/>
    <x v="8"/>
    <x v="0"/>
    <x v="258"/>
    <x v="0"/>
    <x v="3770"/>
  </r>
  <r>
    <x v="0"/>
    <x v="842"/>
    <x v="293"/>
    <x v="52"/>
    <x v="310"/>
    <x v="582"/>
    <x v="618"/>
    <x v="3348"/>
    <x v="270"/>
    <x v="236"/>
    <x v="1349"/>
    <x v="2590"/>
    <x v="3700"/>
    <x v="3692"/>
    <x v="840"/>
    <x v="0"/>
    <x v="3655"/>
    <x v="3702"/>
    <x v="216"/>
    <x v="0"/>
    <x v="4"/>
    <x v="4"/>
    <x v="240"/>
    <x v="13"/>
    <x v="691"/>
    <x v="16"/>
    <x v="1"/>
    <x v="667"/>
    <x v="0"/>
    <x v="3771"/>
  </r>
  <r>
    <x v="0"/>
    <x v="1637"/>
    <x v="423"/>
    <x v="40"/>
    <x v="188"/>
    <x v="792"/>
    <x v="636"/>
    <x v="3349"/>
    <x v="270"/>
    <x v="1257"/>
    <x v="2181"/>
    <x v="2591"/>
    <x v="3701"/>
    <x v="3148"/>
    <x v="3281"/>
    <x v="0"/>
    <x v="3656"/>
    <x v="3703"/>
    <x v="258"/>
    <x v="3"/>
    <x v="10"/>
    <x v="0"/>
    <x v="213"/>
    <x v="5"/>
    <x v="403"/>
    <x v="13"/>
    <x v="1"/>
    <x v="1"/>
    <x v="0"/>
    <x v="3772"/>
  </r>
  <r>
    <x v="0"/>
    <x v="1638"/>
    <x v="216"/>
    <x v="47"/>
    <x v="107"/>
    <x v="530"/>
    <x v="9"/>
    <x v="3350"/>
    <x v="200"/>
    <x v="9"/>
    <x v="439"/>
    <x v="1042"/>
    <x v="3702"/>
    <x v="3693"/>
    <x v="3282"/>
    <x v="0"/>
    <x v="3657"/>
    <x v="3704"/>
    <x v="258"/>
    <x v="0"/>
    <x v="0"/>
    <x v="0"/>
    <x v="240"/>
    <x v="8"/>
    <x v="215"/>
    <x v="2"/>
    <x v="1"/>
    <x v="1"/>
    <x v="0"/>
    <x v="3773"/>
  </r>
  <r>
    <x v="0"/>
    <x v="1639"/>
    <x v="152"/>
    <x v="101"/>
    <x v="221"/>
    <x v="666"/>
    <x v="263"/>
    <x v="4"/>
    <x v="775"/>
    <x v="1427"/>
    <x v="2182"/>
    <x v="2592"/>
    <x v="3703"/>
    <x v="3694"/>
    <x v="3283"/>
    <x v="0"/>
    <x v="3658"/>
    <x v="3705"/>
    <x v="646"/>
    <x v="0"/>
    <x v="0"/>
    <x v="4"/>
    <x v="240"/>
    <x v="26"/>
    <x v="770"/>
    <x v="5"/>
    <x v="2"/>
    <x v="668"/>
    <x v="0"/>
    <x v="3774"/>
  </r>
  <r>
    <x v="0"/>
    <x v="16"/>
    <x v="197"/>
    <x v="26"/>
    <x v="0"/>
    <x v="743"/>
    <x v="21"/>
    <x v="3351"/>
    <x v="776"/>
    <x v="141"/>
    <x v="1047"/>
    <x v="2593"/>
    <x v="3704"/>
    <x v="3695"/>
    <x v="798"/>
    <x v="4"/>
    <x v="3659"/>
    <x v="3706"/>
    <x v="35"/>
    <x v="0"/>
    <x v="3"/>
    <x v="4"/>
    <x v="240"/>
    <x v="24"/>
    <x v="573"/>
    <x v="38"/>
    <x v="1"/>
    <x v="1"/>
    <x v="0"/>
    <x v="3775"/>
  </r>
  <r>
    <x v="0"/>
    <x v="1200"/>
    <x v="329"/>
    <x v="61"/>
    <x v="62"/>
    <x v="604"/>
    <x v="41"/>
    <x v="3352"/>
    <x v="270"/>
    <x v="563"/>
    <x v="2183"/>
    <x v="2594"/>
    <x v="3705"/>
    <x v="3696"/>
    <x v="3284"/>
    <x v="0"/>
    <x v="3660"/>
    <x v="3707"/>
    <x v="654"/>
    <x v="0"/>
    <x v="0"/>
    <x v="0"/>
    <x v="240"/>
    <x v="2"/>
    <x v="469"/>
    <x v="51"/>
    <x v="1"/>
    <x v="1"/>
    <x v="0"/>
    <x v="3776"/>
  </r>
  <r>
    <x v="0"/>
    <x v="1640"/>
    <x v="297"/>
    <x v="55"/>
    <x v="143"/>
    <x v="131"/>
    <x v="94"/>
    <x v="3353"/>
    <x v="200"/>
    <x v="166"/>
    <x v="2184"/>
    <x v="161"/>
    <x v="3706"/>
    <x v="3697"/>
    <x v="3285"/>
    <x v="1"/>
    <x v="3661"/>
    <x v="3708"/>
    <x v="514"/>
    <x v="0"/>
    <x v="0"/>
    <x v="4"/>
    <x v="240"/>
    <x v="5"/>
    <x v="32"/>
    <x v="21"/>
    <x v="1"/>
    <x v="1"/>
    <x v="0"/>
    <x v="3777"/>
  </r>
  <r>
    <x v="0"/>
    <x v="561"/>
    <x v="225"/>
    <x v="38"/>
    <x v="79"/>
    <x v="313"/>
    <x v="264"/>
    <x v="3354"/>
    <x v="777"/>
    <x v="1428"/>
    <x v="1703"/>
    <x v="2595"/>
    <x v="3707"/>
    <x v="3698"/>
    <x v="3286"/>
    <x v="4"/>
    <x v="3662"/>
    <x v="3709"/>
    <x v="748"/>
    <x v="0"/>
    <x v="0"/>
    <x v="4"/>
    <x v="240"/>
    <x v="20"/>
    <x v="700"/>
    <x v="15"/>
    <x v="3"/>
    <x v="363"/>
    <x v="0"/>
    <x v="3778"/>
  </r>
  <r>
    <x v="0"/>
    <x v="1142"/>
    <x v="298"/>
    <x v="50"/>
    <x v="322"/>
    <x v="677"/>
    <x v="29"/>
    <x v="3355"/>
    <x v="306"/>
    <x v="34"/>
    <x v="344"/>
    <x v="1227"/>
    <x v="3708"/>
    <x v="3699"/>
    <x v="3287"/>
    <x v="0"/>
    <x v="3663"/>
    <x v="3710"/>
    <x v="267"/>
    <x v="0"/>
    <x v="13"/>
    <x v="4"/>
    <x v="240"/>
    <x v="14"/>
    <x v="30"/>
    <x v="16"/>
    <x v="1"/>
    <x v="90"/>
    <x v="0"/>
    <x v="3779"/>
  </r>
  <r>
    <x v="0"/>
    <x v="1218"/>
    <x v="307"/>
    <x v="33"/>
    <x v="351"/>
    <x v="416"/>
    <x v="192"/>
    <x v="3356"/>
    <x v="152"/>
    <x v="1429"/>
    <x v="2185"/>
    <x v="1073"/>
    <x v="3709"/>
    <x v="3031"/>
    <x v="2251"/>
    <x v="0"/>
    <x v="3664"/>
    <x v="3711"/>
    <x v="592"/>
    <x v="0"/>
    <x v="0"/>
    <x v="4"/>
    <x v="240"/>
    <x v="29"/>
    <x v="849"/>
    <x v="2"/>
    <x v="3"/>
    <x v="479"/>
    <x v="0"/>
    <x v="3780"/>
  </r>
  <r>
    <x v="0"/>
    <x v="1641"/>
    <x v="145"/>
    <x v="52"/>
    <x v="79"/>
    <x v="844"/>
    <x v="14"/>
    <x v="3357"/>
    <x v="778"/>
    <x v="119"/>
    <x v="410"/>
    <x v="2234"/>
    <x v="3710"/>
    <x v="3700"/>
    <x v="3288"/>
    <x v="1"/>
    <x v="3665"/>
    <x v="3712"/>
    <x v="195"/>
    <x v="0"/>
    <x v="0"/>
    <x v="4"/>
    <x v="240"/>
    <x v="11"/>
    <x v="388"/>
    <x v="15"/>
    <x v="1"/>
    <x v="38"/>
    <x v="0"/>
    <x v="3781"/>
  </r>
  <r>
    <x v="0"/>
    <x v="1559"/>
    <x v="61"/>
    <x v="43"/>
    <x v="112"/>
    <x v="830"/>
    <x v="171"/>
    <x v="3358"/>
    <x v="270"/>
    <x v="772"/>
    <x v="678"/>
    <x v="2092"/>
    <x v="3711"/>
    <x v="3701"/>
    <x v="3156"/>
    <x v="0"/>
    <x v="3666"/>
    <x v="3713"/>
    <x v="245"/>
    <x v="0"/>
    <x v="0"/>
    <x v="0"/>
    <x v="240"/>
    <x v="5"/>
    <x v="417"/>
    <x v="15"/>
    <x v="3"/>
    <x v="1"/>
    <x v="0"/>
    <x v="3782"/>
  </r>
  <r>
    <x v="0"/>
    <x v="1642"/>
    <x v="347"/>
    <x v="42"/>
    <x v="89"/>
    <x v="539"/>
    <x v="22"/>
    <x v="3359"/>
    <x v="393"/>
    <x v="514"/>
    <x v="564"/>
    <x v="2596"/>
    <x v="3712"/>
    <x v="3702"/>
    <x v="3289"/>
    <x v="1"/>
    <x v="3667"/>
    <x v="3714"/>
    <x v="469"/>
    <x v="0"/>
    <x v="0"/>
    <x v="4"/>
    <x v="240"/>
    <x v="17"/>
    <x v="251"/>
    <x v="22"/>
    <x v="3"/>
    <x v="1"/>
    <x v="0"/>
    <x v="3783"/>
  </r>
  <r>
    <x v="0"/>
    <x v="1643"/>
    <x v="55"/>
    <x v="54"/>
    <x v="118"/>
    <x v="87"/>
    <x v="502"/>
    <x v="3360"/>
    <x v="779"/>
    <x v="1430"/>
    <x v="1685"/>
    <x v="1657"/>
    <x v="3713"/>
    <x v="3703"/>
    <x v="2909"/>
    <x v="0"/>
    <x v="3668"/>
    <x v="3715"/>
    <x v="310"/>
    <x v="0"/>
    <x v="0"/>
    <x v="4"/>
    <x v="240"/>
    <x v="2"/>
    <x v="104"/>
    <x v="1"/>
    <x v="1"/>
    <x v="7"/>
    <x v="0"/>
    <x v="3784"/>
  </r>
  <r>
    <x v="0"/>
    <x v="1644"/>
    <x v="401"/>
    <x v="76"/>
    <x v="0"/>
    <x v="878"/>
    <x v="310"/>
    <x v="4"/>
    <x v="105"/>
    <x v="1431"/>
    <x v="2186"/>
    <x v="2597"/>
    <x v="3714"/>
    <x v="3704"/>
    <x v="3290"/>
    <x v="0"/>
    <x v="3669"/>
    <x v="3716"/>
    <x v="388"/>
    <x v="0"/>
    <x v="0"/>
    <x v="4"/>
    <x v="240"/>
    <x v="7"/>
    <x v="159"/>
    <x v="23"/>
    <x v="1"/>
    <x v="208"/>
    <x v="0"/>
    <x v="3785"/>
  </r>
  <r>
    <x v="0"/>
    <x v="1645"/>
    <x v="329"/>
    <x v="77"/>
    <x v="0"/>
    <x v="459"/>
    <x v="275"/>
    <x v="3361"/>
    <x v="383"/>
    <x v="501"/>
    <x v="2187"/>
    <x v="2598"/>
    <x v="3715"/>
    <x v="3705"/>
    <x v="269"/>
    <x v="0"/>
    <x v="3670"/>
    <x v="3717"/>
    <x v="388"/>
    <x v="0"/>
    <x v="0"/>
    <x v="0"/>
    <x v="240"/>
    <x v="11"/>
    <x v="850"/>
    <x v="46"/>
    <x v="2"/>
    <x v="1"/>
    <x v="0"/>
    <x v="3786"/>
  </r>
  <r>
    <x v="0"/>
    <x v="470"/>
    <x v="383"/>
    <x v="43"/>
    <x v="0"/>
    <x v="809"/>
    <x v="278"/>
    <x v="3362"/>
    <x v="539"/>
    <x v="1432"/>
    <x v="2188"/>
    <x v="2599"/>
    <x v="3716"/>
    <x v="3706"/>
    <x v="3291"/>
    <x v="0"/>
    <x v="3671"/>
    <x v="3718"/>
    <x v="335"/>
    <x v="0"/>
    <x v="0"/>
    <x v="4"/>
    <x v="222"/>
    <x v="25"/>
    <x v="745"/>
    <x v="1"/>
    <x v="3"/>
    <x v="1"/>
    <x v="0"/>
    <x v="3787"/>
  </r>
  <r>
    <x v="0"/>
    <x v="861"/>
    <x v="447"/>
    <x v="55"/>
    <x v="315"/>
    <x v="728"/>
    <x v="14"/>
    <x v="3363"/>
    <x v="168"/>
    <x v="414"/>
    <x v="635"/>
    <x v="1459"/>
    <x v="3717"/>
    <x v="3707"/>
    <x v="3292"/>
    <x v="3"/>
    <x v="3672"/>
    <x v="3719"/>
    <x v="212"/>
    <x v="0"/>
    <x v="0"/>
    <x v="4"/>
    <x v="240"/>
    <x v="25"/>
    <x v="30"/>
    <x v="9"/>
    <x v="1"/>
    <x v="669"/>
    <x v="0"/>
    <x v="3788"/>
  </r>
  <r>
    <x v="0"/>
    <x v="1646"/>
    <x v="441"/>
    <x v="16"/>
    <x v="0"/>
    <x v="320"/>
    <x v="694"/>
    <x v="3364"/>
    <x v="406"/>
    <x v="1433"/>
    <x v="2189"/>
    <x v="2600"/>
    <x v="3718"/>
    <x v="3708"/>
    <x v="3293"/>
    <x v="0"/>
    <x v="3673"/>
    <x v="3720"/>
    <x v="719"/>
    <x v="8"/>
    <x v="16"/>
    <x v="1"/>
    <x v="4"/>
    <x v="1"/>
    <x v="767"/>
    <x v="38"/>
    <x v="1"/>
    <x v="270"/>
    <x v="0"/>
    <x v="3789"/>
  </r>
  <r>
    <x v="0"/>
    <x v="1647"/>
    <x v="313"/>
    <x v="34"/>
    <x v="389"/>
    <x v="298"/>
    <x v="346"/>
    <x v="3365"/>
    <x v="780"/>
    <x v="1434"/>
    <x v="2190"/>
    <x v="2601"/>
    <x v="3719"/>
    <x v="3709"/>
    <x v="3294"/>
    <x v="0"/>
    <x v="3674"/>
    <x v="3721"/>
    <x v="636"/>
    <x v="0"/>
    <x v="0"/>
    <x v="4"/>
    <x v="4"/>
    <x v="8"/>
    <x v="253"/>
    <x v="7"/>
    <x v="1"/>
    <x v="474"/>
    <x v="0"/>
    <x v="3790"/>
  </r>
  <r>
    <x v="0"/>
    <x v="1648"/>
    <x v="431"/>
    <x v="50"/>
    <x v="0"/>
    <x v="636"/>
    <x v="632"/>
    <x v="4"/>
    <x v="270"/>
    <x v="1435"/>
    <x v="2191"/>
    <x v="2602"/>
    <x v="3720"/>
    <x v="3710"/>
    <x v="2950"/>
    <x v="1"/>
    <x v="3675"/>
    <x v="3722"/>
    <x v="788"/>
    <x v="0"/>
    <x v="4"/>
    <x v="4"/>
    <x v="298"/>
    <x v="35"/>
    <x v="608"/>
    <x v="13"/>
    <x v="3"/>
    <x v="670"/>
    <x v="0"/>
    <x v="3791"/>
  </r>
  <r>
    <x v="0"/>
    <x v="1649"/>
    <x v="7"/>
    <x v="71"/>
    <x v="180"/>
    <x v="460"/>
    <x v="499"/>
    <x v="3366"/>
    <x v="476"/>
    <x v="924"/>
    <x v="31"/>
    <x v="1442"/>
    <x v="3721"/>
    <x v="3711"/>
    <x v="245"/>
    <x v="1"/>
    <x v="3676"/>
    <x v="3723"/>
    <x v="694"/>
    <x v="0"/>
    <x v="4"/>
    <x v="4"/>
    <x v="4"/>
    <x v="5"/>
    <x v="25"/>
    <x v="32"/>
    <x v="1"/>
    <x v="112"/>
    <x v="0"/>
    <x v="3792"/>
  </r>
  <r>
    <x v="0"/>
    <x v="1650"/>
    <x v="434"/>
    <x v="78"/>
    <x v="85"/>
    <x v="680"/>
    <x v="22"/>
    <x v="3367"/>
    <x v="17"/>
    <x v="191"/>
    <x v="1009"/>
    <x v="1516"/>
    <x v="3722"/>
    <x v="3712"/>
    <x v="3295"/>
    <x v="0"/>
    <x v="3677"/>
    <x v="3724"/>
    <x v="83"/>
    <x v="0"/>
    <x v="0"/>
    <x v="2"/>
    <x v="240"/>
    <x v="8"/>
    <x v="30"/>
    <x v="11"/>
    <x v="3"/>
    <x v="671"/>
    <x v="0"/>
    <x v="3793"/>
  </r>
  <r>
    <x v="0"/>
    <x v="1651"/>
    <x v="435"/>
    <x v="54"/>
    <x v="78"/>
    <x v="624"/>
    <x v="695"/>
    <x v="4"/>
    <x v="185"/>
    <x v="1436"/>
    <x v="2192"/>
    <x v="2603"/>
    <x v="3723"/>
    <x v="3713"/>
    <x v="1097"/>
    <x v="1"/>
    <x v="3678"/>
    <x v="3725"/>
    <x v="790"/>
    <x v="0"/>
    <x v="0"/>
    <x v="11"/>
    <x v="299"/>
    <x v="66"/>
    <x v="465"/>
    <x v="5"/>
    <x v="15"/>
    <x v="623"/>
    <x v="0"/>
    <x v="3794"/>
  </r>
  <r>
    <x v="0"/>
    <x v="1652"/>
    <x v="308"/>
    <x v="78"/>
    <x v="390"/>
    <x v="306"/>
    <x v="0"/>
    <x v="3368"/>
    <x v="270"/>
    <x v="990"/>
    <x v="1115"/>
    <x v="2604"/>
    <x v="3724"/>
    <x v="3714"/>
    <x v="3296"/>
    <x v="3"/>
    <x v="3679"/>
    <x v="3726"/>
    <x v="510"/>
    <x v="0"/>
    <x v="0"/>
    <x v="4"/>
    <x v="126"/>
    <x v="20"/>
    <x v="294"/>
    <x v="5"/>
    <x v="3"/>
    <x v="520"/>
    <x v="0"/>
    <x v="3795"/>
  </r>
  <r>
    <x v="0"/>
    <x v="1653"/>
    <x v="311"/>
    <x v="54"/>
    <x v="221"/>
    <x v="204"/>
    <x v="194"/>
    <x v="4"/>
    <x v="658"/>
    <x v="1437"/>
    <x v="2193"/>
    <x v="2605"/>
    <x v="3725"/>
    <x v="3715"/>
    <x v="3297"/>
    <x v="0"/>
    <x v="3680"/>
    <x v="3727"/>
    <x v="421"/>
    <x v="0"/>
    <x v="4"/>
    <x v="4"/>
    <x v="240"/>
    <x v="14"/>
    <x v="352"/>
    <x v="51"/>
    <x v="3"/>
    <x v="548"/>
    <x v="0"/>
    <x v="3796"/>
  </r>
  <r>
    <x v="0"/>
    <x v="93"/>
    <x v="351"/>
    <x v="50"/>
    <x v="0"/>
    <x v="345"/>
    <x v="696"/>
    <x v="3369"/>
    <x v="381"/>
    <x v="1438"/>
    <x v="2194"/>
    <x v="2606"/>
    <x v="3726"/>
    <x v="3716"/>
    <x v="3298"/>
    <x v="9"/>
    <x v="3681"/>
    <x v="3728"/>
    <x v="344"/>
    <x v="0"/>
    <x v="0"/>
    <x v="0"/>
    <x v="240"/>
    <x v="2"/>
    <x v="290"/>
    <x v="5"/>
    <x v="3"/>
    <x v="41"/>
    <x v="0"/>
    <x v="3797"/>
  </r>
  <r>
    <x v="0"/>
    <x v="209"/>
    <x v="395"/>
    <x v="78"/>
    <x v="0"/>
    <x v="100"/>
    <x v="681"/>
    <x v="3370"/>
    <x v="781"/>
    <x v="1439"/>
    <x v="2195"/>
    <x v="2607"/>
    <x v="3727"/>
    <x v="3717"/>
    <x v="3299"/>
    <x v="0"/>
    <x v="3682"/>
    <x v="3729"/>
    <x v="586"/>
    <x v="0"/>
    <x v="0"/>
    <x v="4"/>
    <x v="240"/>
    <x v="1"/>
    <x v="438"/>
    <x v="5"/>
    <x v="3"/>
    <x v="294"/>
    <x v="0"/>
    <x v="3798"/>
  </r>
  <r>
    <x v="0"/>
    <x v="1654"/>
    <x v="457"/>
    <x v="33"/>
    <x v="116"/>
    <x v="217"/>
    <x v="79"/>
    <x v="3371"/>
    <x v="753"/>
    <x v="453"/>
    <x v="2196"/>
    <x v="2608"/>
    <x v="3728"/>
    <x v="3718"/>
    <x v="3300"/>
    <x v="0"/>
    <x v="3683"/>
    <x v="3730"/>
    <x v="704"/>
    <x v="0"/>
    <x v="8"/>
    <x v="4"/>
    <x v="240"/>
    <x v="14"/>
    <x v="328"/>
    <x v="47"/>
    <x v="1"/>
    <x v="74"/>
    <x v="0"/>
    <x v="3799"/>
  </r>
  <r>
    <x v="0"/>
    <x v="113"/>
    <x v="435"/>
    <x v="84"/>
    <x v="88"/>
    <x v="317"/>
    <x v="0"/>
    <x v="4"/>
    <x v="370"/>
    <x v="185"/>
    <x v="579"/>
    <x v="450"/>
    <x v="3729"/>
    <x v="3719"/>
    <x v="3301"/>
    <x v="1"/>
    <x v="3684"/>
    <x v="3731"/>
    <x v="637"/>
    <x v="0"/>
    <x v="0"/>
    <x v="7"/>
    <x v="4"/>
    <x v="4"/>
    <x v="30"/>
    <x v="7"/>
    <x v="0"/>
    <x v="539"/>
    <x v="0"/>
    <x v="3800"/>
  </r>
  <r>
    <x v="0"/>
    <x v="1655"/>
    <x v="392"/>
    <x v="43"/>
    <x v="291"/>
    <x v="320"/>
    <x v="488"/>
    <x v="4"/>
    <x v="321"/>
    <x v="1440"/>
    <x v="2197"/>
    <x v="2609"/>
    <x v="3730"/>
    <x v="3720"/>
    <x v="3302"/>
    <x v="0"/>
    <x v="3685"/>
    <x v="3732"/>
    <x v="650"/>
    <x v="0"/>
    <x v="0"/>
    <x v="4"/>
    <x v="240"/>
    <x v="2"/>
    <x v="244"/>
    <x v="39"/>
    <x v="2"/>
    <x v="1"/>
    <x v="0"/>
    <x v="3801"/>
  </r>
  <r>
    <x v="0"/>
    <x v="1295"/>
    <x v="104"/>
    <x v="58"/>
    <x v="118"/>
    <x v="173"/>
    <x v="697"/>
    <x v="4"/>
    <x v="327"/>
    <x v="1441"/>
    <x v="2198"/>
    <x v="2610"/>
    <x v="3731"/>
    <x v="3721"/>
    <x v="3303"/>
    <x v="0"/>
    <x v="3686"/>
    <x v="3733"/>
    <x v="823"/>
    <x v="6"/>
    <x v="13"/>
    <x v="9"/>
    <x v="240"/>
    <x v="10"/>
    <x v="595"/>
    <x v="13"/>
    <x v="1"/>
    <x v="1"/>
    <x v="0"/>
    <x v="3802"/>
  </r>
  <r>
    <x v="0"/>
    <x v="1656"/>
    <x v="227"/>
    <x v="80"/>
    <x v="263"/>
    <x v="166"/>
    <x v="698"/>
    <x v="4"/>
    <x v="782"/>
    <x v="1442"/>
    <x v="2199"/>
    <x v="2611"/>
    <x v="3732"/>
    <x v="3722"/>
    <x v="349"/>
    <x v="0"/>
    <x v="3687"/>
    <x v="3734"/>
    <x v="517"/>
    <x v="0"/>
    <x v="1"/>
    <x v="10"/>
    <x v="139"/>
    <x v="8"/>
    <x v="444"/>
    <x v="5"/>
    <x v="1"/>
    <x v="672"/>
    <x v="0"/>
    <x v="3803"/>
  </r>
  <r>
    <x v="0"/>
    <x v="392"/>
    <x v="307"/>
    <x v="101"/>
    <x v="169"/>
    <x v="879"/>
    <x v="516"/>
    <x v="4"/>
    <x v="487"/>
    <x v="969"/>
    <x v="877"/>
    <x v="999"/>
    <x v="3733"/>
    <x v="3723"/>
    <x v="3304"/>
    <x v="1"/>
    <x v="3688"/>
    <x v="3735"/>
    <x v="670"/>
    <x v="0"/>
    <x v="0"/>
    <x v="4"/>
    <x v="240"/>
    <x v="0"/>
    <x v="468"/>
    <x v="9"/>
    <x v="0"/>
    <x v="380"/>
    <x v="0"/>
    <x v="3804"/>
  </r>
  <r>
    <x v="0"/>
    <x v="1203"/>
    <x v="307"/>
    <x v="110"/>
    <x v="349"/>
    <x v="375"/>
    <x v="22"/>
    <x v="4"/>
    <x v="783"/>
    <x v="374"/>
    <x v="2200"/>
    <x v="527"/>
    <x v="3734"/>
    <x v="3724"/>
    <x v="3305"/>
    <x v="0"/>
    <x v="3689"/>
    <x v="3736"/>
    <x v="637"/>
    <x v="0"/>
    <x v="0"/>
    <x v="4"/>
    <x v="4"/>
    <x v="7"/>
    <x v="12"/>
    <x v="39"/>
    <x v="3"/>
    <x v="446"/>
    <x v="0"/>
    <x v="3805"/>
  </r>
  <r>
    <x v="0"/>
    <x v="1657"/>
    <x v="4"/>
    <x v="78"/>
    <x v="0"/>
    <x v="622"/>
    <x v="339"/>
    <x v="4"/>
    <x v="677"/>
    <x v="756"/>
    <x v="2201"/>
    <x v="2612"/>
    <x v="3735"/>
    <x v="3725"/>
    <x v="3306"/>
    <x v="5"/>
    <x v="4"/>
    <x v="3737"/>
    <x v="188"/>
    <x v="0"/>
    <x v="0"/>
    <x v="0"/>
    <x v="4"/>
    <x v="0"/>
    <x v="341"/>
    <x v="33"/>
    <x v="2"/>
    <x v="673"/>
    <x v="0"/>
    <x v="3806"/>
  </r>
  <r>
    <x v="0"/>
    <x v="113"/>
    <x v="428"/>
    <x v="104"/>
    <x v="88"/>
    <x v="658"/>
    <x v="0"/>
    <x v="4"/>
    <x v="656"/>
    <x v="1157"/>
    <x v="1883"/>
    <x v="2613"/>
    <x v="3736"/>
    <x v="3726"/>
    <x v="3307"/>
    <x v="4"/>
    <x v="3690"/>
    <x v="3738"/>
    <x v="405"/>
    <x v="0"/>
    <x v="0"/>
    <x v="6"/>
    <x v="4"/>
    <x v="4"/>
    <x v="473"/>
    <x v="26"/>
    <x v="0"/>
    <x v="1"/>
    <x v="0"/>
    <x v="3807"/>
  </r>
  <r>
    <x v="0"/>
    <x v="1658"/>
    <x v="402"/>
    <x v="72"/>
    <x v="0"/>
    <x v="105"/>
    <x v="140"/>
    <x v="3372"/>
    <x v="379"/>
    <x v="852"/>
    <x v="253"/>
    <x v="2614"/>
    <x v="3737"/>
    <x v="3727"/>
    <x v="3308"/>
    <x v="1"/>
    <x v="3691"/>
    <x v="3739"/>
    <x v="716"/>
    <x v="0"/>
    <x v="0"/>
    <x v="4"/>
    <x v="240"/>
    <x v="11"/>
    <x v="172"/>
    <x v="7"/>
    <x v="2"/>
    <x v="1"/>
    <x v="0"/>
    <x v="3808"/>
  </r>
  <r>
    <x v="0"/>
    <x v="1659"/>
    <x v="320"/>
    <x v="175"/>
    <x v="0"/>
    <x v="145"/>
    <x v="33"/>
    <x v="4"/>
    <x v="228"/>
    <x v="149"/>
    <x v="2202"/>
    <x v="2524"/>
    <x v="3738"/>
    <x v="3728"/>
    <x v="3309"/>
    <x v="4"/>
    <x v="3692"/>
    <x v="3740"/>
    <x v="326"/>
    <x v="0"/>
    <x v="0"/>
    <x v="2"/>
    <x v="70"/>
    <x v="11"/>
    <x v="647"/>
    <x v="10"/>
    <x v="2"/>
    <x v="674"/>
    <x v="0"/>
    <x v="3809"/>
  </r>
  <r>
    <x v="0"/>
    <x v="1503"/>
    <x v="489"/>
    <x v="54"/>
    <x v="143"/>
    <x v="347"/>
    <x v="153"/>
    <x v="4"/>
    <x v="125"/>
    <x v="282"/>
    <x v="411"/>
    <x v="787"/>
    <x v="3739"/>
    <x v="3729"/>
    <x v="3310"/>
    <x v="6"/>
    <x v="4"/>
    <x v="3741"/>
    <x v="83"/>
    <x v="0"/>
    <x v="0"/>
    <x v="2"/>
    <x v="4"/>
    <x v="2"/>
    <x v="276"/>
    <x v="37"/>
    <x v="2"/>
    <x v="1"/>
    <x v="0"/>
    <x v="3810"/>
  </r>
  <r>
    <x v="0"/>
    <x v="1340"/>
    <x v="4"/>
    <x v="101"/>
    <x v="255"/>
    <x v="880"/>
    <x v="277"/>
    <x v="4"/>
    <x v="168"/>
    <x v="1443"/>
    <x v="2203"/>
    <x v="2615"/>
    <x v="3740"/>
    <x v="3730"/>
    <x v="2856"/>
    <x v="1"/>
    <x v="3693"/>
    <x v="3742"/>
    <x v="416"/>
    <x v="0"/>
    <x v="0"/>
    <x v="6"/>
    <x v="240"/>
    <x v="10"/>
    <x v="851"/>
    <x v="34"/>
    <x v="0"/>
    <x v="428"/>
    <x v="0"/>
    <x v="3811"/>
  </r>
  <r>
    <x v="0"/>
    <x v="1218"/>
    <x v="272"/>
    <x v="50"/>
    <x v="351"/>
    <x v="132"/>
    <x v="25"/>
    <x v="4"/>
    <x v="306"/>
    <x v="76"/>
    <x v="2204"/>
    <x v="2616"/>
    <x v="3741"/>
    <x v="3731"/>
    <x v="2312"/>
    <x v="1"/>
    <x v="3694"/>
    <x v="3743"/>
    <x v="637"/>
    <x v="0"/>
    <x v="51"/>
    <x v="4"/>
    <x v="240"/>
    <x v="11"/>
    <x v="523"/>
    <x v="46"/>
    <x v="1"/>
    <x v="1"/>
    <x v="0"/>
    <x v="3812"/>
  </r>
  <r>
    <x v="0"/>
    <x v="1660"/>
    <x v="385"/>
    <x v="56"/>
    <x v="221"/>
    <x v="848"/>
    <x v="0"/>
    <x v="4"/>
    <x v="149"/>
    <x v="1444"/>
    <x v="2205"/>
    <x v="2617"/>
    <x v="3742"/>
    <x v="3732"/>
    <x v="3311"/>
    <x v="3"/>
    <x v="3695"/>
    <x v="3744"/>
    <x v="416"/>
    <x v="0"/>
    <x v="1"/>
    <x v="4"/>
    <x v="240"/>
    <x v="11"/>
    <x v="662"/>
    <x v="46"/>
    <x v="2"/>
    <x v="675"/>
    <x v="0"/>
    <x v="3813"/>
  </r>
  <r>
    <x v="0"/>
    <x v="177"/>
    <x v="272"/>
    <x v="29"/>
    <x v="0"/>
    <x v="99"/>
    <x v="0"/>
    <x v="4"/>
    <x v="222"/>
    <x v="1445"/>
    <x v="786"/>
    <x v="1210"/>
    <x v="3743"/>
    <x v="3733"/>
    <x v="3312"/>
    <x v="0"/>
    <x v="3696"/>
    <x v="3745"/>
    <x v="243"/>
    <x v="0"/>
    <x v="0"/>
    <x v="2"/>
    <x v="240"/>
    <x v="47"/>
    <x v="469"/>
    <x v="2"/>
    <x v="1"/>
    <x v="43"/>
    <x v="0"/>
    <x v="3814"/>
  </r>
  <r>
    <x v="0"/>
    <x v="1661"/>
    <x v="412"/>
    <x v="4"/>
    <x v="221"/>
    <x v="407"/>
    <x v="43"/>
    <x v="4"/>
    <x v="200"/>
    <x v="311"/>
    <x v="2206"/>
    <x v="2618"/>
    <x v="3744"/>
    <x v="3734"/>
    <x v="3313"/>
    <x v="11"/>
    <x v="4"/>
    <x v="3746"/>
    <x v="188"/>
    <x v="0"/>
    <x v="0"/>
    <x v="1"/>
    <x v="240"/>
    <x v="3"/>
    <x v="691"/>
    <x v="10"/>
    <x v="2"/>
    <x v="676"/>
    <x v="0"/>
    <x v="3815"/>
  </r>
  <r>
    <x v="0"/>
    <x v="1662"/>
    <x v="4"/>
    <x v="76"/>
    <x v="125"/>
    <x v="405"/>
    <x v="69"/>
    <x v="4"/>
    <x v="784"/>
    <x v="1446"/>
    <x v="2207"/>
    <x v="919"/>
    <x v="3745"/>
    <x v="4"/>
    <x v="3314"/>
    <x v="4"/>
    <x v="4"/>
    <x v="3747"/>
    <x v="4"/>
    <x v="0"/>
    <x v="0"/>
    <x v="1"/>
    <x v="240"/>
    <x v="2"/>
    <x v="611"/>
    <x v="35"/>
    <x v="2"/>
    <x v="564"/>
    <x v="0"/>
    <x v="3816"/>
  </r>
  <r>
    <x v="0"/>
    <x v="609"/>
    <x v="311"/>
    <x v="76"/>
    <x v="0"/>
    <x v="1"/>
    <x v="1"/>
    <x v="4"/>
    <x v="499"/>
    <x v="1"/>
    <x v="812"/>
    <x v="798"/>
    <x v="3746"/>
    <x v="3735"/>
    <x v="3315"/>
    <x v="6"/>
    <x v="3697"/>
    <x v="3748"/>
    <x v="854"/>
    <x v="0"/>
    <x v="0"/>
    <x v="0"/>
    <x v="240"/>
    <x v="6"/>
    <x v="13"/>
    <x v="30"/>
    <x v="2"/>
    <x v="1"/>
    <x v="0"/>
    <x v="3817"/>
  </r>
  <r>
    <x v="0"/>
    <x v="1663"/>
    <x v="152"/>
    <x v="55"/>
    <x v="131"/>
    <x v="637"/>
    <x v="468"/>
    <x v="4"/>
    <x v="397"/>
    <x v="1447"/>
    <x v="2208"/>
    <x v="2619"/>
    <x v="3747"/>
    <x v="3736"/>
    <x v="3316"/>
    <x v="1"/>
    <x v="3698"/>
    <x v="3749"/>
    <x v="792"/>
    <x v="0"/>
    <x v="0"/>
    <x v="1"/>
    <x v="4"/>
    <x v="2"/>
    <x v="852"/>
    <x v="53"/>
    <x v="2"/>
    <x v="1"/>
    <x v="0"/>
    <x v="3818"/>
  </r>
  <r>
    <x v="0"/>
    <x v="1664"/>
    <x v="414"/>
    <x v="18"/>
    <x v="137"/>
    <x v="597"/>
    <x v="295"/>
    <x v="3373"/>
    <x v="785"/>
    <x v="1448"/>
    <x v="2209"/>
    <x v="2620"/>
    <x v="3748"/>
    <x v="3737"/>
    <x v="3317"/>
    <x v="1"/>
    <x v="3699"/>
    <x v="3750"/>
    <x v="788"/>
    <x v="34"/>
    <x v="15"/>
    <x v="4"/>
    <x v="300"/>
    <x v="7"/>
    <x v="4"/>
    <x v="38"/>
    <x v="3"/>
    <x v="103"/>
    <x v="0"/>
    <x v="3819"/>
  </r>
  <r>
    <x v="0"/>
    <x v="1665"/>
    <x v="389"/>
    <x v="77"/>
    <x v="391"/>
    <x v="308"/>
    <x v="544"/>
    <x v="3374"/>
    <x v="200"/>
    <x v="1449"/>
    <x v="409"/>
    <x v="2621"/>
    <x v="3749"/>
    <x v="3738"/>
    <x v="3228"/>
    <x v="3"/>
    <x v="3700"/>
    <x v="3751"/>
    <x v="721"/>
    <x v="15"/>
    <x v="8"/>
    <x v="1"/>
    <x v="213"/>
    <x v="0"/>
    <x v="274"/>
    <x v="11"/>
    <x v="3"/>
    <x v="1"/>
    <x v="0"/>
    <x v="3820"/>
  </r>
  <r>
    <x v="0"/>
    <x v="515"/>
    <x v="209"/>
    <x v="2"/>
    <x v="0"/>
    <x v="399"/>
    <x v="22"/>
    <x v="3375"/>
    <x v="270"/>
    <x v="226"/>
    <x v="718"/>
    <x v="718"/>
    <x v="3750"/>
    <x v="3739"/>
    <x v="3318"/>
    <x v="0"/>
    <x v="3701"/>
    <x v="3752"/>
    <x v="75"/>
    <x v="0"/>
    <x v="0"/>
    <x v="4"/>
    <x v="301"/>
    <x v="25"/>
    <x v="302"/>
    <x v="25"/>
    <x v="3"/>
    <x v="1"/>
    <x v="0"/>
    <x v="3821"/>
  </r>
  <r>
    <x v="0"/>
    <x v="1666"/>
    <x v="423"/>
    <x v="86"/>
    <x v="38"/>
    <x v="110"/>
    <x v="185"/>
    <x v="4"/>
    <x v="381"/>
    <x v="348"/>
    <x v="317"/>
    <x v="2622"/>
    <x v="3751"/>
    <x v="3740"/>
    <x v="3319"/>
    <x v="1"/>
    <x v="3702"/>
    <x v="3753"/>
    <x v="137"/>
    <x v="0"/>
    <x v="1"/>
    <x v="4"/>
    <x v="119"/>
    <x v="10"/>
    <x v="215"/>
    <x v="12"/>
    <x v="1"/>
    <x v="7"/>
    <x v="0"/>
    <x v="3822"/>
  </r>
  <r>
    <x v="0"/>
    <x v="1480"/>
    <x v="443"/>
    <x v="41"/>
    <x v="0"/>
    <x v="40"/>
    <x v="0"/>
    <x v="3376"/>
    <x v="429"/>
    <x v="544"/>
    <x v="2210"/>
    <x v="820"/>
    <x v="3752"/>
    <x v="3741"/>
    <x v="2017"/>
    <x v="0"/>
    <x v="3703"/>
    <x v="3754"/>
    <x v="932"/>
    <x v="0"/>
    <x v="0"/>
    <x v="4"/>
    <x v="282"/>
    <x v="12"/>
    <x v="30"/>
    <x v="18"/>
    <x v="1"/>
    <x v="1"/>
    <x v="0"/>
    <x v="3823"/>
  </r>
  <r>
    <x v="0"/>
    <x v="790"/>
    <x v="270"/>
    <x v="50"/>
    <x v="303"/>
    <x v="309"/>
    <x v="0"/>
    <x v="3377"/>
    <x v="200"/>
    <x v="250"/>
    <x v="881"/>
    <x v="930"/>
    <x v="3753"/>
    <x v="3742"/>
    <x v="3320"/>
    <x v="0"/>
    <x v="3704"/>
    <x v="3755"/>
    <x v="400"/>
    <x v="0"/>
    <x v="1"/>
    <x v="4"/>
    <x v="182"/>
    <x v="12"/>
    <x v="509"/>
    <x v="2"/>
    <x v="1"/>
    <x v="677"/>
    <x v="0"/>
    <x v="3824"/>
  </r>
  <r>
    <x v="0"/>
    <x v="1008"/>
    <x v="190"/>
    <x v="61"/>
    <x v="329"/>
    <x v="318"/>
    <x v="63"/>
    <x v="3378"/>
    <x v="306"/>
    <x v="1450"/>
    <x v="761"/>
    <x v="2623"/>
    <x v="3754"/>
    <x v="3743"/>
    <x v="613"/>
    <x v="0"/>
    <x v="3705"/>
    <x v="3756"/>
    <x v="623"/>
    <x v="0"/>
    <x v="0"/>
    <x v="4"/>
    <x v="240"/>
    <x v="10"/>
    <x v="457"/>
    <x v="38"/>
    <x v="1"/>
    <x v="57"/>
    <x v="0"/>
    <x v="3825"/>
  </r>
  <r>
    <x v="0"/>
    <x v="1667"/>
    <x v="335"/>
    <x v="34"/>
    <x v="143"/>
    <x v="881"/>
    <x v="193"/>
    <x v="3379"/>
    <x v="208"/>
    <x v="1451"/>
    <x v="2211"/>
    <x v="2624"/>
    <x v="3755"/>
    <x v="3744"/>
    <x v="3321"/>
    <x v="0"/>
    <x v="3706"/>
    <x v="3757"/>
    <x v="212"/>
    <x v="0"/>
    <x v="0"/>
    <x v="4"/>
    <x v="302"/>
    <x v="32"/>
    <x v="853"/>
    <x v="10"/>
    <x v="3"/>
    <x v="1"/>
    <x v="0"/>
    <x v="3826"/>
  </r>
  <r>
    <x v="0"/>
    <x v="1668"/>
    <x v="272"/>
    <x v="42"/>
    <x v="106"/>
    <x v="834"/>
    <x v="14"/>
    <x v="3380"/>
    <x v="200"/>
    <x v="115"/>
    <x v="1536"/>
    <x v="2128"/>
    <x v="3756"/>
    <x v="3745"/>
    <x v="3322"/>
    <x v="0"/>
    <x v="3707"/>
    <x v="3758"/>
    <x v="640"/>
    <x v="0"/>
    <x v="1"/>
    <x v="0"/>
    <x v="4"/>
    <x v="7"/>
    <x v="540"/>
    <x v="2"/>
    <x v="3"/>
    <x v="678"/>
    <x v="0"/>
    <x v="3827"/>
  </r>
  <r>
    <x v="0"/>
    <x v="1669"/>
    <x v="457"/>
    <x v="87"/>
    <x v="0"/>
    <x v="802"/>
    <x v="438"/>
    <x v="4"/>
    <x v="70"/>
    <x v="792"/>
    <x v="2212"/>
    <x v="2095"/>
    <x v="3757"/>
    <x v="3234"/>
    <x v="3323"/>
    <x v="4"/>
    <x v="3708"/>
    <x v="3759"/>
    <x v="744"/>
    <x v="0"/>
    <x v="0"/>
    <x v="10"/>
    <x v="240"/>
    <x v="11"/>
    <x v="133"/>
    <x v="28"/>
    <x v="2"/>
    <x v="1"/>
    <x v="0"/>
    <x v="3828"/>
  </r>
  <r>
    <x v="0"/>
    <x v="624"/>
    <x v="171"/>
    <x v="59"/>
    <x v="15"/>
    <x v="320"/>
    <x v="699"/>
    <x v="3381"/>
    <x v="476"/>
    <x v="1452"/>
    <x v="2213"/>
    <x v="2625"/>
    <x v="3758"/>
    <x v="3746"/>
    <x v="3324"/>
    <x v="3"/>
    <x v="3709"/>
    <x v="3760"/>
    <x v="150"/>
    <x v="0"/>
    <x v="0"/>
    <x v="14"/>
    <x v="302"/>
    <x v="43"/>
    <x v="470"/>
    <x v="34"/>
    <x v="3"/>
    <x v="1"/>
    <x v="0"/>
    <x v="3829"/>
  </r>
  <r>
    <x v="0"/>
    <x v="1563"/>
    <x v="390"/>
    <x v="11"/>
    <x v="98"/>
    <x v="194"/>
    <x v="349"/>
    <x v="4"/>
    <x v="786"/>
    <x v="630"/>
    <x v="2214"/>
    <x v="1858"/>
    <x v="3759"/>
    <x v="3747"/>
    <x v="3325"/>
    <x v="0"/>
    <x v="3710"/>
    <x v="3761"/>
    <x v="170"/>
    <x v="0"/>
    <x v="0"/>
    <x v="4"/>
    <x v="303"/>
    <x v="44"/>
    <x v="526"/>
    <x v="38"/>
    <x v="1"/>
    <x v="1"/>
    <x v="0"/>
    <x v="3830"/>
  </r>
  <r>
    <x v="0"/>
    <x v="1099"/>
    <x v="163"/>
    <x v="78"/>
    <x v="0"/>
    <x v="800"/>
    <x v="186"/>
    <x v="3382"/>
    <x v="152"/>
    <x v="350"/>
    <x v="333"/>
    <x v="2626"/>
    <x v="3760"/>
    <x v="3748"/>
    <x v="3326"/>
    <x v="1"/>
    <x v="3711"/>
    <x v="3762"/>
    <x v="729"/>
    <x v="0"/>
    <x v="23"/>
    <x v="4"/>
    <x v="282"/>
    <x v="9"/>
    <x v="30"/>
    <x v="20"/>
    <x v="3"/>
    <x v="26"/>
    <x v="0"/>
    <x v="3831"/>
  </r>
  <r>
    <x v="0"/>
    <x v="1670"/>
    <x v="478"/>
    <x v="139"/>
    <x v="0"/>
    <x v="280"/>
    <x v="208"/>
    <x v="4"/>
    <x v="270"/>
    <x v="390"/>
    <x v="2215"/>
    <x v="2627"/>
    <x v="3761"/>
    <x v="3749"/>
    <x v="874"/>
    <x v="0"/>
    <x v="3712"/>
    <x v="3763"/>
    <x v="843"/>
    <x v="3"/>
    <x v="10"/>
    <x v="1"/>
    <x v="4"/>
    <x v="12"/>
    <x v="383"/>
    <x v="28"/>
    <x v="2"/>
    <x v="679"/>
    <x v="0"/>
    <x v="3832"/>
  </r>
  <r>
    <x v="0"/>
    <x v="1671"/>
    <x v="169"/>
    <x v="101"/>
    <x v="131"/>
    <x v="54"/>
    <x v="572"/>
    <x v="4"/>
    <x v="125"/>
    <x v="1453"/>
    <x v="1690"/>
    <x v="2628"/>
    <x v="3762"/>
    <x v="2946"/>
    <x v="2862"/>
    <x v="5"/>
    <x v="3713"/>
    <x v="3764"/>
    <x v="818"/>
    <x v="0"/>
    <x v="0"/>
    <x v="4"/>
    <x v="302"/>
    <x v="10"/>
    <x v="218"/>
    <x v="75"/>
    <x v="2"/>
    <x v="306"/>
    <x v="0"/>
    <x v="3833"/>
  </r>
  <r>
    <x v="0"/>
    <x v="1672"/>
    <x v="93"/>
    <x v="4"/>
    <x v="0"/>
    <x v="298"/>
    <x v="87"/>
    <x v="4"/>
    <x v="127"/>
    <x v="1454"/>
    <x v="2216"/>
    <x v="2629"/>
    <x v="3763"/>
    <x v="363"/>
    <x v="272"/>
    <x v="4"/>
    <x v="4"/>
    <x v="3765"/>
    <x v="326"/>
    <x v="35"/>
    <x v="16"/>
    <x v="1"/>
    <x v="4"/>
    <x v="9"/>
    <x v="253"/>
    <x v="1"/>
    <x v="2"/>
    <x v="680"/>
    <x v="0"/>
    <x v="3834"/>
  </r>
  <r>
    <x v="0"/>
    <x v="1673"/>
    <x v="368"/>
    <x v="72"/>
    <x v="31"/>
    <x v="403"/>
    <x v="11"/>
    <x v="3383"/>
    <x v="17"/>
    <x v="69"/>
    <x v="2217"/>
    <x v="2630"/>
    <x v="3764"/>
    <x v="3750"/>
    <x v="3327"/>
    <x v="0"/>
    <x v="3714"/>
    <x v="3766"/>
    <x v="417"/>
    <x v="0"/>
    <x v="1"/>
    <x v="0"/>
    <x v="4"/>
    <x v="14"/>
    <x v="762"/>
    <x v="6"/>
    <x v="3"/>
    <x v="43"/>
    <x v="0"/>
    <x v="3835"/>
  </r>
  <r>
    <x v="0"/>
    <x v="1674"/>
    <x v="385"/>
    <x v="71"/>
    <x v="0"/>
    <x v="118"/>
    <x v="114"/>
    <x v="4"/>
    <x v="713"/>
    <x v="1455"/>
    <x v="2218"/>
    <x v="147"/>
    <x v="3765"/>
    <x v="2428"/>
    <x v="686"/>
    <x v="4"/>
    <x v="3715"/>
    <x v="3767"/>
    <x v="824"/>
    <x v="0"/>
    <x v="4"/>
    <x v="4"/>
    <x v="240"/>
    <x v="1"/>
    <x v="319"/>
    <x v="43"/>
    <x v="1"/>
    <x v="616"/>
    <x v="0"/>
    <x v="3836"/>
  </r>
  <r>
    <x v="0"/>
    <x v="1675"/>
    <x v="314"/>
    <x v="7"/>
    <x v="221"/>
    <x v="777"/>
    <x v="700"/>
    <x v="3384"/>
    <x v="105"/>
    <x v="1456"/>
    <x v="2219"/>
    <x v="2631"/>
    <x v="3766"/>
    <x v="3526"/>
    <x v="4"/>
    <x v="1"/>
    <x v="3716"/>
    <x v="3768"/>
    <x v="732"/>
    <x v="3"/>
    <x v="10"/>
    <x v="4"/>
    <x v="304"/>
    <x v="5"/>
    <x v="394"/>
    <x v="13"/>
    <x v="3"/>
    <x v="1"/>
    <x v="0"/>
    <x v="3837"/>
  </r>
  <r>
    <x v="0"/>
    <x v="1676"/>
    <x v="81"/>
    <x v="80"/>
    <x v="198"/>
    <x v="36"/>
    <x v="388"/>
    <x v="4"/>
    <x v="200"/>
    <x v="704"/>
    <x v="2220"/>
    <x v="2632"/>
    <x v="3767"/>
    <x v="3751"/>
    <x v="1957"/>
    <x v="1"/>
    <x v="4"/>
    <x v="3769"/>
    <x v="416"/>
    <x v="0"/>
    <x v="12"/>
    <x v="1"/>
    <x v="302"/>
    <x v="9"/>
    <x v="854"/>
    <x v="5"/>
    <x v="2"/>
    <x v="681"/>
    <x v="0"/>
    <x v="3838"/>
  </r>
  <r>
    <x v="0"/>
    <x v="1677"/>
    <x v="313"/>
    <x v="55"/>
    <x v="198"/>
    <x v="212"/>
    <x v="57"/>
    <x v="3385"/>
    <x v="270"/>
    <x v="386"/>
    <x v="1162"/>
    <x v="1187"/>
    <x v="3768"/>
    <x v="3752"/>
    <x v="3328"/>
    <x v="1"/>
    <x v="3717"/>
    <x v="3770"/>
    <x v="632"/>
    <x v="0"/>
    <x v="13"/>
    <x v="9"/>
    <x v="304"/>
    <x v="1"/>
    <x v="30"/>
    <x v="18"/>
    <x v="3"/>
    <x v="1"/>
    <x v="0"/>
    <x v="3839"/>
  </r>
  <r>
    <x v="0"/>
    <x v="1678"/>
    <x v="425"/>
    <x v="7"/>
    <x v="0"/>
    <x v="708"/>
    <x v="492"/>
    <x v="3386"/>
    <x v="152"/>
    <x v="1457"/>
    <x v="2221"/>
    <x v="2633"/>
    <x v="3720"/>
    <x v="3753"/>
    <x v="3329"/>
    <x v="0"/>
    <x v="3718"/>
    <x v="3771"/>
    <x v="636"/>
    <x v="0"/>
    <x v="3"/>
    <x v="1"/>
    <x v="4"/>
    <x v="7"/>
    <x v="689"/>
    <x v="11"/>
    <x v="3"/>
    <x v="682"/>
    <x v="0"/>
    <x v="3840"/>
  </r>
  <r>
    <x v="0"/>
    <x v="632"/>
    <x v="399"/>
    <x v="45"/>
    <x v="19"/>
    <x v="205"/>
    <x v="485"/>
    <x v="3387"/>
    <x v="125"/>
    <x v="899"/>
    <x v="2222"/>
    <x v="1541"/>
    <x v="3769"/>
    <x v="3754"/>
    <x v="3330"/>
    <x v="0"/>
    <x v="3719"/>
    <x v="3772"/>
    <x v="431"/>
    <x v="0"/>
    <x v="0"/>
    <x v="4"/>
    <x v="274"/>
    <x v="31"/>
    <x v="220"/>
    <x v="10"/>
    <x v="3"/>
    <x v="1"/>
    <x v="0"/>
    <x v="3841"/>
  </r>
  <r>
    <x v="0"/>
    <x v="1170"/>
    <x v="413"/>
    <x v="27"/>
    <x v="135"/>
    <x v="666"/>
    <x v="0"/>
    <x v="4"/>
    <x v="185"/>
    <x v="1458"/>
    <x v="2223"/>
    <x v="1646"/>
    <x v="3770"/>
    <x v="3755"/>
    <x v="3331"/>
    <x v="0"/>
    <x v="3720"/>
    <x v="3773"/>
    <x v="629"/>
    <x v="0"/>
    <x v="0"/>
    <x v="4"/>
    <x v="274"/>
    <x v="35"/>
    <x v="756"/>
    <x v="20"/>
    <x v="3"/>
    <x v="1"/>
    <x v="0"/>
    <x v="3842"/>
  </r>
  <r>
    <x v="0"/>
    <x v="36"/>
    <x v="274"/>
    <x v="85"/>
    <x v="26"/>
    <x v="659"/>
    <x v="0"/>
    <x v="3388"/>
    <x v="105"/>
    <x v="936"/>
    <x v="2224"/>
    <x v="1211"/>
    <x v="3771"/>
    <x v="3756"/>
    <x v="3332"/>
    <x v="2"/>
    <x v="3721"/>
    <x v="3774"/>
    <x v="435"/>
    <x v="0"/>
    <x v="1"/>
    <x v="4"/>
    <x v="274"/>
    <x v="24"/>
    <x v="538"/>
    <x v="1"/>
    <x v="10"/>
    <x v="1"/>
    <x v="0"/>
    <x v="3843"/>
  </r>
  <r>
    <x v="0"/>
    <x v="941"/>
    <x v="378"/>
    <x v="78"/>
    <x v="222"/>
    <x v="422"/>
    <x v="0"/>
    <x v="4"/>
    <x v="200"/>
    <x v="543"/>
    <x v="1345"/>
    <x v="2634"/>
    <x v="3772"/>
    <x v="3757"/>
    <x v="3333"/>
    <x v="1"/>
    <x v="3722"/>
    <x v="3775"/>
    <x v="658"/>
    <x v="0"/>
    <x v="0"/>
    <x v="14"/>
    <x v="274"/>
    <x v="26"/>
    <x v="690"/>
    <x v="13"/>
    <x v="3"/>
    <x v="1"/>
    <x v="0"/>
    <x v="3844"/>
  </r>
  <r>
    <x v="0"/>
    <x v="1679"/>
    <x v="372"/>
    <x v="69"/>
    <x v="16"/>
    <x v="453"/>
    <x v="534"/>
    <x v="4"/>
    <x v="457"/>
    <x v="1459"/>
    <x v="2225"/>
    <x v="2635"/>
    <x v="3773"/>
    <x v="3758"/>
    <x v="3334"/>
    <x v="0"/>
    <x v="3723"/>
    <x v="3776"/>
    <x v="231"/>
    <x v="0"/>
    <x v="0"/>
    <x v="10"/>
    <x v="274"/>
    <x v="67"/>
    <x v="221"/>
    <x v="38"/>
    <x v="10"/>
    <x v="1"/>
    <x v="0"/>
    <x v="3845"/>
  </r>
  <r>
    <x v="0"/>
    <x v="437"/>
    <x v="242"/>
    <x v="26"/>
    <x v="0"/>
    <x v="101"/>
    <x v="13"/>
    <x v="3389"/>
    <x v="270"/>
    <x v="93"/>
    <x v="128"/>
    <x v="184"/>
    <x v="3774"/>
    <x v="3759"/>
    <x v="3335"/>
    <x v="0"/>
    <x v="3724"/>
    <x v="3777"/>
    <x v="226"/>
    <x v="0"/>
    <x v="0"/>
    <x v="4"/>
    <x v="159"/>
    <x v="19"/>
    <x v="13"/>
    <x v="16"/>
    <x v="1"/>
    <x v="1"/>
    <x v="0"/>
    <x v="3846"/>
  </r>
  <r>
    <x v="0"/>
    <x v="113"/>
    <x v="451"/>
    <x v="116"/>
    <x v="88"/>
    <x v="374"/>
    <x v="431"/>
    <x v="4"/>
    <x v="152"/>
    <x v="1460"/>
    <x v="2226"/>
    <x v="2636"/>
    <x v="3775"/>
    <x v="3760"/>
    <x v="3336"/>
    <x v="0"/>
    <x v="4"/>
    <x v="3778"/>
    <x v="788"/>
    <x v="0"/>
    <x v="0"/>
    <x v="1"/>
    <x v="4"/>
    <x v="4"/>
    <x v="178"/>
    <x v="16"/>
    <x v="12"/>
    <x v="43"/>
    <x v="0"/>
    <x v="3847"/>
  </r>
  <r>
    <x v="0"/>
    <x v="44"/>
    <x v="293"/>
    <x v="56"/>
    <x v="0"/>
    <x v="848"/>
    <x v="22"/>
    <x v="3390"/>
    <x v="368"/>
    <x v="264"/>
    <x v="2227"/>
    <x v="2637"/>
    <x v="3776"/>
    <x v="3761"/>
    <x v="3337"/>
    <x v="0"/>
    <x v="3725"/>
    <x v="3779"/>
    <x v="369"/>
    <x v="0"/>
    <x v="0"/>
    <x v="4"/>
    <x v="274"/>
    <x v="25"/>
    <x v="363"/>
    <x v="38"/>
    <x v="3"/>
    <x v="43"/>
    <x v="0"/>
    <x v="3848"/>
  </r>
  <r>
    <x v="0"/>
    <x v="121"/>
    <x v="294"/>
    <x v="58"/>
    <x v="0"/>
    <x v="563"/>
    <x v="0"/>
    <x v="3391"/>
    <x v="270"/>
    <x v="719"/>
    <x v="239"/>
    <x v="2638"/>
    <x v="3777"/>
    <x v="3762"/>
    <x v="3338"/>
    <x v="0"/>
    <x v="3726"/>
    <x v="3780"/>
    <x v="933"/>
    <x v="0"/>
    <x v="0"/>
    <x v="4"/>
    <x v="274"/>
    <x v="21"/>
    <x v="30"/>
    <x v="26"/>
    <x v="15"/>
    <x v="58"/>
    <x v="0"/>
    <x v="3849"/>
  </r>
  <r>
    <x v="0"/>
    <x v="1680"/>
    <x v="479"/>
    <x v="7"/>
    <x v="134"/>
    <x v="683"/>
    <x v="701"/>
    <x v="4"/>
    <x v="756"/>
    <x v="1461"/>
    <x v="2228"/>
    <x v="2639"/>
    <x v="3778"/>
    <x v="3763"/>
    <x v="3339"/>
    <x v="4"/>
    <x v="3727"/>
    <x v="3781"/>
    <x v="650"/>
    <x v="0"/>
    <x v="0"/>
    <x v="11"/>
    <x v="4"/>
    <x v="68"/>
    <x v="403"/>
    <x v="1"/>
    <x v="15"/>
    <x v="402"/>
    <x v="0"/>
    <x v="3850"/>
  </r>
  <r>
    <x v="0"/>
    <x v="1681"/>
    <x v="311"/>
    <x v="69"/>
    <x v="247"/>
    <x v="597"/>
    <x v="497"/>
    <x v="3392"/>
    <x v="787"/>
    <x v="1462"/>
    <x v="2229"/>
    <x v="2640"/>
    <x v="3779"/>
    <x v="3764"/>
    <x v="1026"/>
    <x v="3"/>
    <x v="3728"/>
    <x v="3782"/>
    <x v="408"/>
    <x v="6"/>
    <x v="13"/>
    <x v="0"/>
    <x v="247"/>
    <x v="20"/>
    <x v="814"/>
    <x v="13"/>
    <x v="4"/>
    <x v="683"/>
    <x v="0"/>
    <x v="3851"/>
  </r>
  <r>
    <x v="0"/>
    <x v="78"/>
    <x v="422"/>
    <x v="40"/>
    <x v="0"/>
    <x v="580"/>
    <x v="179"/>
    <x v="4"/>
    <x v="175"/>
    <x v="338"/>
    <x v="1061"/>
    <x v="2641"/>
    <x v="3780"/>
    <x v="3765"/>
    <x v="266"/>
    <x v="0"/>
    <x v="3729"/>
    <x v="3783"/>
    <x v="258"/>
    <x v="0"/>
    <x v="1"/>
    <x v="4"/>
    <x v="274"/>
    <x v="43"/>
    <x v="576"/>
    <x v="7"/>
    <x v="3"/>
    <x v="103"/>
    <x v="0"/>
    <x v="3852"/>
  </r>
  <r>
    <x v="0"/>
    <x v="1682"/>
    <x v="324"/>
    <x v="42"/>
    <x v="123"/>
    <x v="160"/>
    <x v="702"/>
    <x v="3393"/>
    <x v="125"/>
    <x v="1463"/>
    <x v="2230"/>
    <x v="1032"/>
    <x v="3781"/>
    <x v="3766"/>
    <x v="161"/>
    <x v="9"/>
    <x v="3730"/>
    <x v="3784"/>
    <x v="310"/>
    <x v="0"/>
    <x v="0"/>
    <x v="2"/>
    <x v="240"/>
    <x v="11"/>
    <x v="384"/>
    <x v="28"/>
    <x v="1"/>
    <x v="1"/>
    <x v="0"/>
    <x v="3853"/>
  </r>
  <r>
    <x v="0"/>
    <x v="826"/>
    <x v="189"/>
    <x v="82"/>
    <x v="307"/>
    <x v="514"/>
    <x v="10"/>
    <x v="3394"/>
    <x v="211"/>
    <x v="40"/>
    <x v="2231"/>
    <x v="2642"/>
    <x v="3782"/>
    <x v="3767"/>
    <x v="3340"/>
    <x v="1"/>
    <x v="3731"/>
    <x v="3785"/>
    <x v="934"/>
    <x v="0"/>
    <x v="0"/>
    <x v="4"/>
    <x v="274"/>
    <x v="18"/>
    <x v="149"/>
    <x v="14"/>
    <x v="1"/>
    <x v="0"/>
    <x v="0"/>
    <x v="3854"/>
  </r>
  <r>
    <x v="0"/>
    <x v="1683"/>
    <x v="441"/>
    <x v="72"/>
    <x v="78"/>
    <x v="828"/>
    <x v="703"/>
    <x v="3395"/>
    <x v="788"/>
    <x v="1464"/>
    <x v="2232"/>
    <x v="2643"/>
    <x v="3783"/>
    <x v="3768"/>
    <x v="1087"/>
    <x v="5"/>
    <x v="3732"/>
    <x v="3786"/>
    <x v="792"/>
    <x v="6"/>
    <x v="12"/>
    <x v="0"/>
    <x v="4"/>
    <x v="10"/>
    <x v="626"/>
    <x v="19"/>
    <x v="1"/>
    <x v="1"/>
    <x v="0"/>
    <x v="3855"/>
  </r>
  <r>
    <x v="0"/>
    <x v="1684"/>
    <x v="390"/>
    <x v="40"/>
    <x v="198"/>
    <x v="708"/>
    <x v="683"/>
    <x v="3396"/>
    <x v="241"/>
    <x v="1465"/>
    <x v="2233"/>
    <x v="2644"/>
    <x v="3784"/>
    <x v="3769"/>
    <x v="1897"/>
    <x v="1"/>
    <x v="3733"/>
    <x v="3787"/>
    <x v="749"/>
    <x v="18"/>
    <x v="32"/>
    <x v="4"/>
    <x v="274"/>
    <x v="13"/>
    <x v="658"/>
    <x v="6"/>
    <x v="3"/>
    <x v="261"/>
    <x v="0"/>
    <x v="3856"/>
  </r>
  <r>
    <x v="0"/>
    <x v="1685"/>
    <x v="358"/>
    <x v="11"/>
    <x v="306"/>
    <x v="860"/>
    <x v="103"/>
    <x v="3397"/>
    <x v="539"/>
    <x v="323"/>
    <x v="2234"/>
    <x v="2645"/>
    <x v="3785"/>
    <x v="3770"/>
    <x v="2057"/>
    <x v="0"/>
    <x v="3734"/>
    <x v="3788"/>
    <x v="614"/>
    <x v="0"/>
    <x v="0"/>
    <x v="4"/>
    <x v="126"/>
    <x v="19"/>
    <x v="637"/>
    <x v="2"/>
    <x v="3"/>
    <x v="67"/>
    <x v="0"/>
    <x v="3857"/>
  </r>
  <r>
    <x v="0"/>
    <x v="1686"/>
    <x v="171"/>
    <x v="42"/>
    <x v="392"/>
    <x v="107"/>
    <x v="0"/>
    <x v="3398"/>
    <x v="200"/>
    <x v="1466"/>
    <x v="881"/>
    <x v="1370"/>
    <x v="3786"/>
    <x v="3771"/>
    <x v="3341"/>
    <x v="1"/>
    <x v="3735"/>
    <x v="3789"/>
    <x v="820"/>
    <x v="0"/>
    <x v="0"/>
    <x v="4"/>
    <x v="4"/>
    <x v="0"/>
    <x v="509"/>
    <x v="12"/>
    <x v="3"/>
    <x v="1"/>
    <x v="0"/>
    <x v="3858"/>
  </r>
  <r>
    <x v="0"/>
    <x v="1257"/>
    <x v="242"/>
    <x v="52"/>
    <x v="0"/>
    <x v="303"/>
    <x v="580"/>
    <x v="3399"/>
    <x v="152"/>
    <x v="1114"/>
    <x v="2235"/>
    <x v="2646"/>
    <x v="3787"/>
    <x v="3772"/>
    <x v="3342"/>
    <x v="0"/>
    <x v="3736"/>
    <x v="3790"/>
    <x v="104"/>
    <x v="24"/>
    <x v="18"/>
    <x v="4"/>
    <x v="305"/>
    <x v="12"/>
    <x v="855"/>
    <x v="16"/>
    <x v="1"/>
    <x v="86"/>
    <x v="0"/>
    <x v="3859"/>
  </r>
  <r>
    <x v="0"/>
    <x v="1687"/>
    <x v="401"/>
    <x v="60"/>
    <x v="0"/>
    <x v="777"/>
    <x v="611"/>
    <x v="3400"/>
    <x v="520"/>
    <x v="1467"/>
    <x v="2236"/>
    <x v="2647"/>
    <x v="3788"/>
    <x v="3773"/>
    <x v="1896"/>
    <x v="4"/>
    <x v="3737"/>
    <x v="3791"/>
    <x v="789"/>
    <x v="3"/>
    <x v="10"/>
    <x v="1"/>
    <x v="4"/>
    <x v="5"/>
    <x v="4"/>
    <x v="21"/>
    <x v="3"/>
    <x v="1"/>
    <x v="0"/>
    <x v="3860"/>
  </r>
  <r>
    <x v="0"/>
    <x v="1688"/>
    <x v="390"/>
    <x v="77"/>
    <x v="0"/>
    <x v="694"/>
    <x v="8"/>
    <x v="3401"/>
    <x v="422"/>
    <x v="35"/>
    <x v="88"/>
    <x v="2648"/>
    <x v="3789"/>
    <x v="3774"/>
    <x v="3343"/>
    <x v="1"/>
    <x v="3738"/>
    <x v="3792"/>
    <x v="591"/>
    <x v="0"/>
    <x v="1"/>
    <x v="4"/>
    <x v="139"/>
    <x v="18"/>
    <x v="30"/>
    <x v="12"/>
    <x v="3"/>
    <x v="1"/>
    <x v="0"/>
    <x v="3861"/>
  </r>
  <r>
    <x v="0"/>
    <x v="1689"/>
    <x v="288"/>
    <x v="47"/>
    <x v="222"/>
    <x v="862"/>
    <x v="504"/>
    <x v="3402"/>
    <x v="23"/>
    <x v="1468"/>
    <x v="2237"/>
    <x v="838"/>
    <x v="3790"/>
    <x v="3775"/>
    <x v="3344"/>
    <x v="0"/>
    <x v="3739"/>
    <x v="3793"/>
    <x v="721"/>
    <x v="13"/>
    <x v="14"/>
    <x v="4"/>
    <x v="82"/>
    <x v="7"/>
    <x v="745"/>
    <x v="11"/>
    <x v="1"/>
    <x v="684"/>
    <x v="0"/>
    <x v="3862"/>
  </r>
  <r>
    <x v="0"/>
    <x v="1690"/>
    <x v="358"/>
    <x v="58"/>
    <x v="221"/>
    <x v="329"/>
    <x v="59"/>
    <x v="3403"/>
    <x v="10"/>
    <x v="101"/>
    <x v="2238"/>
    <x v="1016"/>
    <x v="3791"/>
    <x v="3776"/>
    <x v="175"/>
    <x v="0"/>
    <x v="3740"/>
    <x v="3794"/>
    <x v="408"/>
    <x v="0"/>
    <x v="13"/>
    <x v="4"/>
    <x v="4"/>
    <x v="10"/>
    <x v="856"/>
    <x v="4"/>
    <x v="1"/>
    <x v="1"/>
    <x v="0"/>
    <x v="3863"/>
  </r>
  <r>
    <x v="0"/>
    <x v="1691"/>
    <x v="356"/>
    <x v="56"/>
    <x v="303"/>
    <x v="298"/>
    <x v="449"/>
    <x v="3404"/>
    <x v="152"/>
    <x v="1469"/>
    <x v="2239"/>
    <x v="2649"/>
    <x v="3792"/>
    <x v="3777"/>
    <x v="3345"/>
    <x v="1"/>
    <x v="3741"/>
    <x v="3795"/>
    <x v="133"/>
    <x v="9"/>
    <x v="36"/>
    <x v="4"/>
    <x v="4"/>
    <x v="19"/>
    <x v="556"/>
    <x v="0"/>
    <x v="3"/>
    <x v="1"/>
    <x v="0"/>
    <x v="3864"/>
  </r>
  <r>
    <x v="0"/>
    <x v="1692"/>
    <x v="291"/>
    <x v="27"/>
    <x v="0"/>
    <x v="54"/>
    <x v="21"/>
    <x v="3405"/>
    <x v="416"/>
    <x v="22"/>
    <x v="436"/>
    <x v="777"/>
    <x v="3793"/>
    <x v="3778"/>
    <x v="3346"/>
    <x v="1"/>
    <x v="3742"/>
    <x v="3796"/>
    <x v="180"/>
    <x v="0"/>
    <x v="0"/>
    <x v="4"/>
    <x v="274"/>
    <x v="0"/>
    <x v="30"/>
    <x v="18"/>
    <x v="1"/>
    <x v="115"/>
    <x v="0"/>
    <x v="3865"/>
  </r>
  <r>
    <x v="0"/>
    <x v="1693"/>
    <x v="435"/>
    <x v="90"/>
    <x v="0"/>
    <x v="312"/>
    <x v="289"/>
    <x v="4"/>
    <x v="306"/>
    <x v="1470"/>
    <x v="2240"/>
    <x v="2650"/>
    <x v="3794"/>
    <x v="3443"/>
    <x v="3339"/>
    <x v="2"/>
    <x v="4"/>
    <x v="3797"/>
    <x v="791"/>
    <x v="8"/>
    <x v="16"/>
    <x v="1"/>
    <x v="4"/>
    <x v="11"/>
    <x v="68"/>
    <x v="55"/>
    <x v="2"/>
    <x v="685"/>
    <x v="0"/>
    <x v="3866"/>
  </r>
  <r>
    <x v="0"/>
    <x v="429"/>
    <x v="290"/>
    <x v="82"/>
    <x v="234"/>
    <x v="882"/>
    <x v="495"/>
    <x v="3406"/>
    <x v="270"/>
    <x v="916"/>
    <x v="2241"/>
    <x v="2651"/>
    <x v="3795"/>
    <x v="3779"/>
    <x v="1288"/>
    <x v="0"/>
    <x v="3743"/>
    <x v="3798"/>
    <x v="841"/>
    <x v="0"/>
    <x v="0"/>
    <x v="4"/>
    <x v="306"/>
    <x v="57"/>
    <x v="402"/>
    <x v="50"/>
    <x v="3"/>
    <x v="121"/>
    <x v="0"/>
    <x v="3867"/>
  </r>
  <r>
    <x v="0"/>
    <x v="1694"/>
    <x v="451"/>
    <x v="79"/>
    <x v="393"/>
    <x v="322"/>
    <x v="32"/>
    <x v="4"/>
    <x v="125"/>
    <x v="1471"/>
    <x v="2242"/>
    <x v="2652"/>
    <x v="3796"/>
    <x v="3780"/>
    <x v="3347"/>
    <x v="3"/>
    <x v="3744"/>
    <x v="3799"/>
    <x v="854"/>
    <x v="0"/>
    <x v="0"/>
    <x v="2"/>
    <x v="306"/>
    <x v="2"/>
    <x v="109"/>
    <x v="18"/>
    <x v="0"/>
    <x v="647"/>
    <x v="0"/>
    <x v="3868"/>
  </r>
  <r>
    <x v="0"/>
    <x v="873"/>
    <x v="347"/>
    <x v="101"/>
    <x v="0"/>
    <x v="497"/>
    <x v="121"/>
    <x v="4"/>
    <x v="127"/>
    <x v="1472"/>
    <x v="1687"/>
    <x v="744"/>
    <x v="3797"/>
    <x v="3781"/>
    <x v="3071"/>
    <x v="0"/>
    <x v="3745"/>
    <x v="3800"/>
    <x v="666"/>
    <x v="1"/>
    <x v="0"/>
    <x v="2"/>
    <x v="306"/>
    <x v="46"/>
    <x v="783"/>
    <x v="10"/>
    <x v="3"/>
    <x v="308"/>
    <x v="0"/>
    <x v="3869"/>
  </r>
  <r>
    <x v="0"/>
    <x v="1695"/>
    <x v="347"/>
    <x v="29"/>
    <x v="85"/>
    <x v="74"/>
    <x v="704"/>
    <x v="4"/>
    <x v="789"/>
    <x v="1473"/>
    <x v="2243"/>
    <x v="2653"/>
    <x v="3798"/>
    <x v="3782"/>
    <x v="2215"/>
    <x v="1"/>
    <x v="3746"/>
    <x v="3801"/>
    <x v="128"/>
    <x v="8"/>
    <x v="16"/>
    <x v="1"/>
    <x v="306"/>
    <x v="6"/>
    <x v="814"/>
    <x v="3"/>
    <x v="1"/>
    <x v="7"/>
    <x v="0"/>
    <x v="3870"/>
  </r>
  <r>
    <x v="0"/>
    <x v="113"/>
    <x v="412"/>
    <x v="176"/>
    <x v="88"/>
    <x v="333"/>
    <x v="48"/>
    <x v="4"/>
    <x v="463"/>
    <x v="81"/>
    <x v="2244"/>
    <x v="2654"/>
    <x v="3799"/>
    <x v="3783"/>
    <x v="2396"/>
    <x v="0"/>
    <x v="3747"/>
    <x v="3802"/>
    <x v="169"/>
    <x v="0"/>
    <x v="4"/>
    <x v="8"/>
    <x v="4"/>
    <x v="4"/>
    <x v="316"/>
    <x v="26"/>
    <x v="8"/>
    <x v="1"/>
    <x v="0"/>
    <x v="3871"/>
  </r>
  <r>
    <x v="0"/>
    <x v="1493"/>
    <x v="207"/>
    <x v="33"/>
    <x v="57"/>
    <x v="546"/>
    <x v="35"/>
    <x v="3407"/>
    <x v="9"/>
    <x v="504"/>
    <x v="2245"/>
    <x v="2655"/>
    <x v="3800"/>
    <x v="3784"/>
    <x v="3348"/>
    <x v="1"/>
    <x v="4"/>
    <x v="3803"/>
    <x v="646"/>
    <x v="0"/>
    <x v="0"/>
    <x v="4"/>
    <x v="274"/>
    <x v="11"/>
    <x v="369"/>
    <x v="27"/>
    <x v="2"/>
    <x v="1"/>
    <x v="0"/>
    <x v="3872"/>
  </r>
  <r>
    <x v="0"/>
    <x v="1696"/>
    <x v="387"/>
    <x v="52"/>
    <x v="117"/>
    <x v="123"/>
    <x v="35"/>
    <x v="3408"/>
    <x v="718"/>
    <x v="177"/>
    <x v="48"/>
    <x v="2656"/>
    <x v="3801"/>
    <x v="3785"/>
    <x v="3349"/>
    <x v="2"/>
    <x v="3748"/>
    <x v="3804"/>
    <x v="195"/>
    <x v="0"/>
    <x v="1"/>
    <x v="4"/>
    <x v="119"/>
    <x v="3"/>
    <x v="30"/>
    <x v="9"/>
    <x v="1"/>
    <x v="1"/>
    <x v="0"/>
    <x v="3873"/>
  </r>
  <r>
    <x v="0"/>
    <x v="956"/>
    <x v="290"/>
    <x v="71"/>
    <x v="222"/>
    <x v="624"/>
    <x v="0"/>
    <x v="3409"/>
    <x v="111"/>
    <x v="167"/>
    <x v="2246"/>
    <x v="2657"/>
    <x v="3802"/>
    <x v="3786"/>
    <x v="2679"/>
    <x v="5"/>
    <x v="3749"/>
    <x v="3805"/>
    <x v="324"/>
    <x v="0"/>
    <x v="1"/>
    <x v="4"/>
    <x v="4"/>
    <x v="21"/>
    <x v="627"/>
    <x v="11"/>
    <x v="1"/>
    <x v="1"/>
    <x v="0"/>
    <x v="3874"/>
  </r>
  <r>
    <x v="0"/>
    <x v="219"/>
    <x v="362"/>
    <x v="23"/>
    <x v="108"/>
    <x v="823"/>
    <x v="50"/>
    <x v="3410"/>
    <x v="28"/>
    <x v="1474"/>
    <x v="721"/>
    <x v="2658"/>
    <x v="3803"/>
    <x v="3787"/>
    <x v="2801"/>
    <x v="1"/>
    <x v="3750"/>
    <x v="3806"/>
    <x v="719"/>
    <x v="23"/>
    <x v="36"/>
    <x v="4"/>
    <x v="4"/>
    <x v="5"/>
    <x v="433"/>
    <x v="10"/>
    <x v="1"/>
    <x v="1"/>
    <x v="0"/>
    <x v="3875"/>
  </r>
  <r>
    <x v="0"/>
    <x v="726"/>
    <x v="290"/>
    <x v="59"/>
    <x v="223"/>
    <x v="316"/>
    <x v="332"/>
    <x v="3411"/>
    <x v="463"/>
    <x v="591"/>
    <x v="2247"/>
    <x v="2659"/>
    <x v="3804"/>
    <x v="3788"/>
    <x v="3350"/>
    <x v="1"/>
    <x v="3751"/>
    <x v="3807"/>
    <x v="324"/>
    <x v="0"/>
    <x v="3"/>
    <x v="0"/>
    <x v="224"/>
    <x v="19"/>
    <x v="658"/>
    <x v="32"/>
    <x v="1"/>
    <x v="1"/>
    <x v="0"/>
    <x v="3876"/>
  </r>
  <r>
    <x v="0"/>
    <x v="1697"/>
    <x v="329"/>
    <x v="82"/>
    <x v="69"/>
    <x v="278"/>
    <x v="705"/>
    <x v="3412"/>
    <x v="200"/>
    <x v="1475"/>
    <x v="2248"/>
    <x v="2660"/>
    <x v="3805"/>
    <x v="3789"/>
    <x v="2440"/>
    <x v="0"/>
    <x v="3752"/>
    <x v="3808"/>
    <x v="769"/>
    <x v="8"/>
    <x v="16"/>
    <x v="1"/>
    <x v="16"/>
    <x v="0"/>
    <x v="652"/>
    <x v="13"/>
    <x v="1"/>
    <x v="335"/>
    <x v="0"/>
    <x v="3877"/>
  </r>
  <r>
    <x v="0"/>
    <x v="1698"/>
    <x v="272"/>
    <x v="52"/>
    <x v="0"/>
    <x v="321"/>
    <x v="242"/>
    <x v="4"/>
    <x v="361"/>
    <x v="1476"/>
    <x v="2249"/>
    <x v="2661"/>
    <x v="3806"/>
    <x v="3790"/>
    <x v="3351"/>
    <x v="0"/>
    <x v="3753"/>
    <x v="3809"/>
    <x v="496"/>
    <x v="15"/>
    <x v="28"/>
    <x v="1"/>
    <x v="274"/>
    <x v="0"/>
    <x v="557"/>
    <x v="5"/>
    <x v="1"/>
    <x v="43"/>
    <x v="0"/>
    <x v="3878"/>
  </r>
  <r>
    <x v="0"/>
    <x v="96"/>
    <x v="127"/>
    <x v="70"/>
    <x v="75"/>
    <x v="105"/>
    <x v="24"/>
    <x v="142"/>
    <x v="15"/>
    <x v="25"/>
    <x v="122"/>
    <x v="130"/>
    <x v="144"/>
    <x v="3791"/>
    <x v="3352"/>
    <x v="2"/>
    <x v="144"/>
    <x v="144"/>
    <x v="139"/>
    <x v="0"/>
    <x v="0"/>
    <x v="2"/>
    <x v="16"/>
    <x v="2"/>
    <x v="192"/>
    <x v="27"/>
    <x v="1"/>
    <x v="4"/>
    <x v="0"/>
    <x v="3879"/>
  </r>
  <r>
    <x v="0"/>
    <x v="353"/>
    <x v="394"/>
    <x v="42"/>
    <x v="209"/>
    <x v="801"/>
    <x v="301"/>
    <x v="4"/>
    <x v="235"/>
    <x v="1155"/>
    <x v="1482"/>
    <x v="2439"/>
    <x v="3807"/>
    <x v="3792"/>
    <x v="3353"/>
    <x v="0"/>
    <x v="3754"/>
    <x v="3810"/>
    <x v="897"/>
    <x v="0"/>
    <x v="0"/>
    <x v="8"/>
    <x v="307"/>
    <x v="7"/>
    <x v="5"/>
    <x v="31"/>
    <x v="8"/>
    <x v="1"/>
    <x v="0"/>
    <x v="3880"/>
  </r>
  <r>
    <x v="0"/>
    <x v="113"/>
    <x v="385"/>
    <x v="84"/>
    <x v="88"/>
    <x v="274"/>
    <x v="0"/>
    <x v="4"/>
    <x v="152"/>
    <x v="329"/>
    <x v="914"/>
    <x v="727"/>
    <x v="3808"/>
    <x v="3793"/>
    <x v="3354"/>
    <x v="0"/>
    <x v="3755"/>
    <x v="3811"/>
    <x v="790"/>
    <x v="0"/>
    <x v="0"/>
    <x v="1"/>
    <x v="4"/>
    <x v="4"/>
    <x v="33"/>
    <x v="14"/>
    <x v="12"/>
    <x v="1"/>
    <x v="0"/>
    <x v="3881"/>
  </r>
  <r>
    <x v="0"/>
    <x v="1354"/>
    <x v="401"/>
    <x v="41"/>
    <x v="80"/>
    <x v="352"/>
    <x v="541"/>
    <x v="3413"/>
    <x v="200"/>
    <x v="1032"/>
    <x v="2250"/>
    <x v="2289"/>
    <x v="3809"/>
    <x v="2457"/>
    <x v="3355"/>
    <x v="1"/>
    <x v="3756"/>
    <x v="3812"/>
    <x v="823"/>
    <x v="0"/>
    <x v="1"/>
    <x v="0"/>
    <x v="4"/>
    <x v="13"/>
    <x v="633"/>
    <x v="1"/>
    <x v="3"/>
    <x v="686"/>
    <x v="0"/>
    <x v="3882"/>
  </r>
  <r>
    <x v="0"/>
    <x v="204"/>
    <x v="221"/>
    <x v="27"/>
    <x v="144"/>
    <x v="403"/>
    <x v="377"/>
    <x v="3414"/>
    <x v="790"/>
    <x v="690"/>
    <x v="2251"/>
    <x v="2662"/>
    <x v="3810"/>
    <x v="3794"/>
    <x v="3356"/>
    <x v="0"/>
    <x v="3757"/>
    <x v="3813"/>
    <x v="505"/>
    <x v="9"/>
    <x v="21"/>
    <x v="4"/>
    <x v="307"/>
    <x v="14"/>
    <x v="470"/>
    <x v="12"/>
    <x v="3"/>
    <x v="1"/>
    <x v="0"/>
    <x v="3883"/>
  </r>
  <r>
    <x v="0"/>
    <x v="435"/>
    <x v="315"/>
    <x v="52"/>
    <x v="236"/>
    <x v="329"/>
    <x v="0"/>
    <x v="3415"/>
    <x v="368"/>
    <x v="51"/>
    <x v="793"/>
    <x v="1016"/>
    <x v="3811"/>
    <x v="3795"/>
    <x v="3357"/>
    <x v="0"/>
    <x v="3758"/>
    <x v="3814"/>
    <x v="627"/>
    <x v="0"/>
    <x v="1"/>
    <x v="4"/>
    <x v="277"/>
    <x v="29"/>
    <x v="445"/>
    <x v="11"/>
    <x v="1"/>
    <x v="1"/>
    <x v="0"/>
    <x v="3884"/>
  </r>
  <r>
    <x v="0"/>
    <x v="950"/>
    <x v="346"/>
    <x v="50"/>
    <x v="50"/>
    <x v="220"/>
    <x v="706"/>
    <x v="3416"/>
    <x v="125"/>
    <x v="1477"/>
    <x v="2252"/>
    <x v="2663"/>
    <x v="3812"/>
    <x v="3796"/>
    <x v="1874"/>
    <x v="0"/>
    <x v="3759"/>
    <x v="3815"/>
    <x v="270"/>
    <x v="0"/>
    <x v="4"/>
    <x v="4"/>
    <x v="213"/>
    <x v="37"/>
    <x v="635"/>
    <x v="5"/>
    <x v="3"/>
    <x v="1"/>
    <x v="0"/>
    <x v="3885"/>
  </r>
  <r>
    <x v="0"/>
    <x v="233"/>
    <x v="164"/>
    <x v="78"/>
    <x v="0"/>
    <x v="319"/>
    <x v="45"/>
    <x v="3417"/>
    <x v="429"/>
    <x v="1478"/>
    <x v="1461"/>
    <x v="2664"/>
    <x v="3813"/>
    <x v="3797"/>
    <x v="3358"/>
    <x v="0"/>
    <x v="3760"/>
    <x v="3816"/>
    <x v="757"/>
    <x v="0"/>
    <x v="0"/>
    <x v="4"/>
    <x v="213"/>
    <x v="0"/>
    <x v="289"/>
    <x v="40"/>
    <x v="1"/>
    <x v="1"/>
    <x v="0"/>
    <x v="3886"/>
  </r>
  <r>
    <x v="1"/>
    <x v="233"/>
    <x v="62"/>
    <x v="45"/>
    <x v="0"/>
    <x v="149"/>
    <x v="469"/>
    <x v="4"/>
    <x v="791"/>
    <x v="1479"/>
    <x v="2253"/>
    <x v="2665"/>
    <x v="3814"/>
    <x v="3798"/>
    <x v="3359"/>
    <x v="7"/>
    <x v="3761"/>
    <x v="3817"/>
    <x v="830"/>
    <x v="0"/>
    <x v="0"/>
    <x v="10"/>
    <x v="308"/>
    <x v="38"/>
    <x v="450"/>
    <x v="25"/>
    <x v="3"/>
    <x v="1"/>
    <x v="0"/>
    <x v="3887"/>
  </r>
  <r>
    <x v="0"/>
    <x v="571"/>
    <x v="220"/>
    <x v="59"/>
    <x v="0"/>
    <x v="660"/>
    <x v="32"/>
    <x v="3418"/>
    <x v="270"/>
    <x v="59"/>
    <x v="70"/>
    <x v="2666"/>
    <x v="3815"/>
    <x v="3799"/>
    <x v="3360"/>
    <x v="0"/>
    <x v="3762"/>
    <x v="3818"/>
    <x v="935"/>
    <x v="0"/>
    <x v="0"/>
    <x v="4"/>
    <x v="213"/>
    <x v="17"/>
    <x v="44"/>
    <x v="6"/>
    <x v="3"/>
    <x v="16"/>
    <x v="0"/>
    <x v="3888"/>
  </r>
  <r>
    <x v="0"/>
    <x v="696"/>
    <x v="166"/>
    <x v="41"/>
    <x v="201"/>
    <x v="810"/>
    <x v="2"/>
    <x v="3419"/>
    <x v="127"/>
    <x v="740"/>
    <x v="1587"/>
    <x v="1923"/>
    <x v="3816"/>
    <x v="3800"/>
    <x v="3361"/>
    <x v="0"/>
    <x v="3763"/>
    <x v="3819"/>
    <x v="228"/>
    <x v="0"/>
    <x v="0"/>
    <x v="2"/>
    <x v="213"/>
    <x v="47"/>
    <x v="741"/>
    <x v="14"/>
    <x v="15"/>
    <x v="1"/>
    <x v="0"/>
    <x v="3889"/>
  </r>
  <r>
    <x v="0"/>
    <x v="1699"/>
    <x v="402"/>
    <x v="49"/>
    <x v="175"/>
    <x v="519"/>
    <x v="534"/>
    <x v="3298"/>
    <x v="660"/>
    <x v="1480"/>
    <x v="2254"/>
    <x v="2667"/>
    <x v="3817"/>
    <x v="3801"/>
    <x v="3362"/>
    <x v="0"/>
    <x v="3764"/>
    <x v="3820"/>
    <x v="653"/>
    <x v="0"/>
    <x v="0"/>
    <x v="9"/>
    <x v="213"/>
    <x v="69"/>
    <x v="715"/>
    <x v="10"/>
    <x v="15"/>
    <x v="293"/>
    <x v="0"/>
    <x v="3890"/>
  </r>
  <r>
    <x v="0"/>
    <x v="18"/>
    <x v="137"/>
    <x v="13"/>
    <x v="0"/>
    <x v="13"/>
    <x v="29"/>
    <x v="156"/>
    <x v="72"/>
    <x v="34"/>
    <x v="133"/>
    <x v="142"/>
    <x v="158"/>
    <x v="3802"/>
    <x v="3363"/>
    <x v="0"/>
    <x v="158"/>
    <x v="158"/>
    <x v="45"/>
    <x v="0"/>
    <x v="1"/>
    <x v="0"/>
    <x v="23"/>
    <x v="11"/>
    <x v="817"/>
    <x v="9"/>
    <x v="1"/>
    <x v="69"/>
    <x v="0"/>
    <x v="3891"/>
  </r>
  <r>
    <x v="0"/>
    <x v="12"/>
    <x v="155"/>
    <x v="52"/>
    <x v="7"/>
    <x v="640"/>
    <x v="57"/>
    <x v="3420"/>
    <x v="17"/>
    <x v="140"/>
    <x v="866"/>
    <x v="2668"/>
    <x v="3818"/>
    <x v="3803"/>
    <x v="3364"/>
    <x v="1"/>
    <x v="3765"/>
    <x v="3821"/>
    <x v="370"/>
    <x v="0"/>
    <x v="0"/>
    <x v="4"/>
    <x v="213"/>
    <x v="18"/>
    <x v="181"/>
    <x v="1"/>
    <x v="1"/>
    <x v="1"/>
    <x v="0"/>
    <x v="3892"/>
  </r>
  <r>
    <x v="0"/>
    <x v="1700"/>
    <x v="127"/>
    <x v="54"/>
    <x v="134"/>
    <x v="800"/>
    <x v="114"/>
    <x v="3421"/>
    <x v="630"/>
    <x v="1304"/>
    <x v="2255"/>
    <x v="2669"/>
    <x v="3819"/>
    <x v="3804"/>
    <x v="2096"/>
    <x v="4"/>
    <x v="3766"/>
    <x v="3822"/>
    <x v="694"/>
    <x v="0"/>
    <x v="0"/>
    <x v="0"/>
    <x v="231"/>
    <x v="2"/>
    <x v="264"/>
    <x v="23"/>
    <x v="1"/>
    <x v="31"/>
    <x v="0"/>
    <x v="3893"/>
  </r>
  <r>
    <x v="0"/>
    <x v="1701"/>
    <x v="318"/>
    <x v="70"/>
    <x v="138"/>
    <x v="81"/>
    <x v="25"/>
    <x v="3422"/>
    <x v="17"/>
    <x v="76"/>
    <x v="694"/>
    <x v="2438"/>
    <x v="3820"/>
    <x v="3805"/>
    <x v="149"/>
    <x v="0"/>
    <x v="3767"/>
    <x v="3823"/>
    <x v="634"/>
    <x v="0"/>
    <x v="0"/>
    <x v="4"/>
    <x v="309"/>
    <x v="16"/>
    <x v="103"/>
    <x v="32"/>
    <x v="10"/>
    <x v="1"/>
    <x v="0"/>
    <x v="3894"/>
  </r>
  <r>
    <x v="0"/>
    <x v="1702"/>
    <x v="303"/>
    <x v="107"/>
    <x v="216"/>
    <x v="786"/>
    <x v="707"/>
    <x v="4"/>
    <x v="476"/>
    <x v="1481"/>
    <x v="702"/>
    <x v="2670"/>
    <x v="3821"/>
    <x v="3806"/>
    <x v="3365"/>
    <x v="0"/>
    <x v="3768"/>
    <x v="3824"/>
    <x v="744"/>
    <x v="0"/>
    <x v="0"/>
    <x v="1"/>
    <x v="274"/>
    <x v="9"/>
    <x v="427"/>
    <x v="44"/>
    <x v="0"/>
    <x v="1"/>
    <x v="0"/>
    <x v="3895"/>
  </r>
  <r>
    <x v="0"/>
    <x v="1539"/>
    <x v="232"/>
    <x v="26"/>
    <x v="377"/>
    <x v="128"/>
    <x v="672"/>
    <x v="4"/>
    <x v="658"/>
    <x v="1352"/>
    <x v="2071"/>
    <x v="2463"/>
    <x v="3511"/>
    <x v="3807"/>
    <x v="2199"/>
    <x v="0"/>
    <x v="3468"/>
    <x v="3513"/>
    <x v="776"/>
    <x v="0"/>
    <x v="0"/>
    <x v="4"/>
    <x v="213"/>
    <x v="39"/>
    <x v="491"/>
    <x v="11"/>
    <x v="3"/>
    <x v="1"/>
    <x v="0"/>
    <x v="3896"/>
  </r>
  <r>
    <x v="0"/>
    <x v="1703"/>
    <x v="384"/>
    <x v="72"/>
    <x v="0"/>
    <x v="177"/>
    <x v="510"/>
    <x v="4"/>
    <x v="105"/>
    <x v="551"/>
    <x v="2256"/>
    <x v="2671"/>
    <x v="3822"/>
    <x v="3808"/>
    <x v="3366"/>
    <x v="4"/>
    <x v="3769"/>
    <x v="3825"/>
    <x v="724"/>
    <x v="0"/>
    <x v="0"/>
    <x v="2"/>
    <x v="213"/>
    <x v="55"/>
    <x v="857"/>
    <x v="11"/>
    <x v="1"/>
    <x v="576"/>
    <x v="0"/>
    <x v="3897"/>
  </r>
  <r>
    <x v="0"/>
    <x v="49"/>
    <x v="290"/>
    <x v="43"/>
    <x v="34"/>
    <x v="30"/>
    <x v="22"/>
    <x v="3423"/>
    <x v="60"/>
    <x v="626"/>
    <x v="2257"/>
    <x v="2672"/>
    <x v="3823"/>
    <x v="3809"/>
    <x v="3367"/>
    <x v="1"/>
    <x v="3770"/>
    <x v="3826"/>
    <x v="104"/>
    <x v="0"/>
    <x v="0"/>
    <x v="4"/>
    <x v="213"/>
    <x v="2"/>
    <x v="695"/>
    <x v="51"/>
    <x v="1"/>
    <x v="60"/>
    <x v="0"/>
    <x v="3898"/>
  </r>
  <r>
    <x v="0"/>
    <x v="1306"/>
    <x v="393"/>
    <x v="72"/>
    <x v="228"/>
    <x v="691"/>
    <x v="315"/>
    <x v="4"/>
    <x v="17"/>
    <x v="1417"/>
    <x v="2258"/>
    <x v="2673"/>
    <x v="3824"/>
    <x v="3810"/>
    <x v="3368"/>
    <x v="0"/>
    <x v="3771"/>
    <x v="3827"/>
    <x v="816"/>
    <x v="0"/>
    <x v="0"/>
    <x v="11"/>
    <x v="213"/>
    <x v="67"/>
    <x v="39"/>
    <x v="2"/>
    <x v="1"/>
    <x v="687"/>
    <x v="0"/>
    <x v="3899"/>
  </r>
  <r>
    <x v="0"/>
    <x v="113"/>
    <x v="435"/>
    <x v="84"/>
    <x v="88"/>
    <x v="317"/>
    <x v="0"/>
    <x v="4"/>
    <x v="370"/>
    <x v="185"/>
    <x v="579"/>
    <x v="450"/>
    <x v="3729"/>
    <x v="3719"/>
    <x v="3301"/>
    <x v="1"/>
    <x v="3684"/>
    <x v="3731"/>
    <x v="637"/>
    <x v="0"/>
    <x v="0"/>
    <x v="7"/>
    <x v="4"/>
    <x v="4"/>
    <x v="30"/>
    <x v="7"/>
    <x v="0"/>
    <x v="539"/>
    <x v="0"/>
    <x v="3900"/>
  </r>
  <r>
    <x v="0"/>
    <x v="1704"/>
    <x v="108"/>
    <x v="11"/>
    <x v="394"/>
    <x v="883"/>
    <x v="21"/>
    <x v="3424"/>
    <x v="200"/>
    <x v="162"/>
    <x v="2259"/>
    <x v="2674"/>
    <x v="3825"/>
    <x v="3811"/>
    <x v="3369"/>
    <x v="1"/>
    <x v="3772"/>
    <x v="3828"/>
    <x v="708"/>
    <x v="0"/>
    <x v="0"/>
    <x v="4"/>
    <x v="209"/>
    <x v="5"/>
    <x v="13"/>
    <x v="1"/>
    <x v="3"/>
    <x v="37"/>
    <x v="0"/>
    <x v="3901"/>
  </r>
  <r>
    <x v="0"/>
    <x v="469"/>
    <x v="208"/>
    <x v="41"/>
    <x v="0"/>
    <x v="634"/>
    <x v="428"/>
    <x v="3425"/>
    <x v="321"/>
    <x v="1482"/>
    <x v="1041"/>
    <x v="2675"/>
    <x v="3826"/>
    <x v="3812"/>
    <x v="3370"/>
    <x v="0"/>
    <x v="3773"/>
    <x v="3829"/>
    <x v="936"/>
    <x v="0"/>
    <x v="0"/>
    <x v="4"/>
    <x v="213"/>
    <x v="32"/>
    <x v="161"/>
    <x v="11"/>
    <x v="1"/>
    <x v="41"/>
    <x v="0"/>
    <x v="3902"/>
  </r>
  <r>
    <x v="0"/>
    <x v="1705"/>
    <x v="387"/>
    <x v="100"/>
    <x v="299"/>
    <x v="416"/>
    <x v="349"/>
    <x v="4"/>
    <x v="792"/>
    <x v="630"/>
    <x v="1515"/>
    <x v="2676"/>
    <x v="3827"/>
    <x v="3813"/>
    <x v="3371"/>
    <x v="0"/>
    <x v="3774"/>
    <x v="3830"/>
    <x v="428"/>
    <x v="0"/>
    <x v="0"/>
    <x v="11"/>
    <x v="213"/>
    <x v="41"/>
    <x v="539"/>
    <x v="24"/>
    <x v="1"/>
    <x v="60"/>
    <x v="0"/>
    <x v="3903"/>
  </r>
  <r>
    <x v="1"/>
    <x v="1706"/>
    <x v="336"/>
    <x v="56"/>
    <x v="0"/>
    <x v="800"/>
    <x v="201"/>
    <x v="3426"/>
    <x v="793"/>
    <x v="1483"/>
    <x v="1651"/>
    <x v="2677"/>
    <x v="3828"/>
    <x v="3814"/>
    <x v="3372"/>
    <x v="0"/>
    <x v="3775"/>
    <x v="3831"/>
    <x v="937"/>
    <x v="0"/>
    <x v="0"/>
    <x v="10"/>
    <x v="4"/>
    <x v="14"/>
    <x v="224"/>
    <x v="28"/>
    <x v="3"/>
    <x v="43"/>
    <x v="0"/>
    <x v="3904"/>
  </r>
  <r>
    <x v="0"/>
    <x v="1707"/>
    <x v="331"/>
    <x v="41"/>
    <x v="193"/>
    <x v="369"/>
    <x v="230"/>
    <x v="3427"/>
    <x v="327"/>
    <x v="424"/>
    <x v="1049"/>
    <x v="2678"/>
    <x v="3829"/>
    <x v="3815"/>
    <x v="3373"/>
    <x v="0"/>
    <x v="3776"/>
    <x v="3832"/>
    <x v="749"/>
    <x v="0"/>
    <x v="10"/>
    <x v="0"/>
    <x v="240"/>
    <x v="9"/>
    <x v="441"/>
    <x v="61"/>
    <x v="1"/>
    <x v="1"/>
    <x v="0"/>
    <x v="3905"/>
  </r>
  <r>
    <x v="0"/>
    <x v="776"/>
    <x v="521"/>
    <x v="28"/>
    <x v="0"/>
    <x v="590"/>
    <x v="708"/>
    <x v="3428"/>
    <x v="270"/>
    <x v="1484"/>
    <x v="2260"/>
    <x v="2679"/>
    <x v="3830"/>
    <x v="3816"/>
    <x v="1795"/>
    <x v="0"/>
    <x v="3777"/>
    <x v="3833"/>
    <x v="531"/>
    <x v="0"/>
    <x v="0"/>
    <x v="4"/>
    <x v="213"/>
    <x v="11"/>
    <x v="734"/>
    <x v="25"/>
    <x v="3"/>
    <x v="30"/>
    <x v="0"/>
    <x v="3906"/>
  </r>
  <r>
    <x v="0"/>
    <x v="696"/>
    <x v="325"/>
    <x v="45"/>
    <x v="201"/>
    <x v="417"/>
    <x v="32"/>
    <x v="3429"/>
    <x v="656"/>
    <x v="59"/>
    <x v="472"/>
    <x v="2152"/>
    <x v="3831"/>
    <x v="3817"/>
    <x v="3374"/>
    <x v="0"/>
    <x v="3778"/>
    <x v="3834"/>
    <x v="248"/>
    <x v="0"/>
    <x v="1"/>
    <x v="0"/>
    <x v="213"/>
    <x v="7"/>
    <x v="267"/>
    <x v="10"/>
    <x v="3"/>
    <x v="1"/>
    <x v="0"/>
    <x v="3907"/>
  </r>
  <r>
    <x v="0"/>
    <x v="24"/>
    <x v="223"/>
    <x v="73"/>
    <x v="17"/>
    <x v="162"/>
    <x v="0"/>
    <x v="276"/>
    <x v="18"/>
    <x v="154"/>
    <x v="223"/>
    <x v="250"/>
    <x v="284"/>
    <x v="3818"/>
    <x v="280"/>
    <x v="0"/>
    <x v="281"/>
    <x v="284"/>
    <x v="264"/>
    <x v="0"/>
    <x v="0"/>
    <x v="0"/>
    <x v="32"/>
    <x v="18"/>
    <x v="151"/>
    <x v="20"/>
    <x v="1"/>
    <x v="1"/>
    <x v="0"/>
    <x v="3908"/>
  </r>
  <r>
    <x v="0"/>
    <x v="1708"/>
    <x v="434"/>
    <x v="41"/>
    <x v="65"/>
    <x v="691"/>
    <x v="709"/>
    <x v="3430"/>
    <x v="125"/>
    <x v="1485"/>
    <x v="2261"/>
    <x v="2680"/>
    <x v="3832"/>
    <x v="3130"/>
    <x v="3234"/>
    <x v="4"/>
    <x v="3779"/>
    <x v="3835"/>
    <x v="785"/>
    <x v="0"/>
    <x v="0"/>
    <x v="4"/>
    <x v="213"/>
    <x v="18"/>
    <x v="858"/>
    <x v="51"/>
    <x v="3"/>
    <x v="688"/>
    <x v="0"/>
    <x v="3909"/>
  </r>
  <r>
    <x v="0"/>
    <x v="1708"/>
    <x v="417"/>
    <x v="87"/>
    <x v="65"/>
    <x v="243"/>
    <x v="206"/>
    <x v="3431"/>
    <x v="125"/>
    <x v="558"/>
    <x v="758"/>
    <x v="797"/>
    <x v="3833"/>
    <x v="3819"/>
    <x v="3375"/>
    <x v="1"/>
    <x v="3780"/>
    <x v="3836"/>
    <x v="896"/>
    <x v="0"/>
    <x v="0"/>
    <x v="4"/>
    <x v="224"/>
    <x v="21"/>
    <x v="455"/>
    <x v="61"/>
    <x v="3"/>
    <x v="689"/>
    <x v="0"/>
    <x v="3910"/>
  </r>
  <r>
    <x v="0"/>
    <x v="1039"/>
    <x v="271"/>
    <x v="59"/>
    <x v="44"/>
    <x v="373"/>
    <x v="177"/>
    <x v="3432"/>
    <x v="794"/>
    <x v="334"/>
    <x v="1220"/>
    <x v="1501"/>
    <x v="3834"/>
    <x v="3820"/>
    <x v="561"/>
    <x v="1"/>
    <x v="3781"/>
    <x v="3837"/>
    <x v="699"/>
    <x v="0"/>
    <x v="0"/>
    <x v="4"/>
    <x v="310"/>
    <x v="17"/>
    <x v="741"/>
    <x v="15"/>
    <x v="1"/>
    <x v="457"/>
    <x v="0"/>
    <x v="3911"/>
  </r>
  <r>
    <x v="1"/>
    <x v="1679"/>
    <x v="266"/>
    <x v="60"/>
    <x v="16"/>
    <x v="171"/>
    <x v="710"/>
    <x v="4"/>
    <x v="304"/>
    <x v="1486"/>
    <x v="2262"/>
    <x v="2681"/>
    <x v="3835"/>
    <x v="3821"/>
    <x v="3376"/>
    <x v="4"/>
    <x v="3782"/>
    <x v="3838"/>
    <x v="239"/>
    <x v="0"/>
    <x v="0"/>
    <x v="11"/>
    <x v="213"/>
    <x v="60"/>
    <x v="564"/>
    <x v="38"/>
    <x v="10"/>
    <x v="1"/>
    <x v="0"/>
    <x v="3912"/>
  </r>
  <r>
    <x v="0"/>
    <x v="1562"/>
    <x v="211"/>
    <x v="113"/>
    <x v="78"/>
    <x v="856"/>
    <x v="49"/>
    <x v="3433"/>
    <x v="180"/>
    <x v="86"/>
    <x v="137"/>
    <x v="2362"/>
    <x v="3836"/>
    <x v="3822"/>
    <x v="3377"/>
    <x v="0"/>
    <x v="3783"/>
    <x v="3839"/>
    <x v="319"/>
    <x v="0"/>
    <x v="0"/>
    <x v="4"/>
    <x v="213"/>
    <x v="7"/>
    <x v="94"/>
    <x v="18"/>
    <x v="3"/>
    <x v="480"/>
    <x v="0"/>
    <x v="3913"/>
  </r>
  <r>
    <x v="0"/>
    <x v="1709"/>
    <x v="81"/>
    <x v="87"/>
    <x v="143"/>
    <x v="783"/>
    <x v="114"/>
    <x v="3434"/>
    <x v="70"/>
    <x v="291"/>
    <x v="2263"/>
    <x v="2682"/>
    <x v="3837"/>
    <x v="3823"/>
    <x v="1595"/>
    <x v="0"/>
    <x v="3784"/>
    <x v="3840"/>
    <x v="820"/>
    <x v="0"/>
    <x v="0"/>
    <x v="4"/>
    <x v="4"/>
    <x v="16"/>
    <x v="654"/>
    <x v="51"/>
    <x v="3"/>
    <x v="127"/>
    <x v="0"/>
    <x v="3914"/>
  </r>
  <r>
    <x v="0"/>
    <x v="548"/>
    <x v="202"/>
    <x v="86"/>
    <x v="0"/>
    <x v="554"/>
    <x v="427"/>
    <x v="1850"/>
    <x v="236"/>
    <x v="776"/>
    <x v="1257"/>
    <x v="1470"/>
    <x v="1945"/>
    <x v="1940"/>
    <x v="1855"/>
    <x v="4"/>
    <x v="1933"/>
    <x v="1945"/>
    <x v="736"/>
    <x v="0"/>
    <x v="0"/>
    <x v="4"/>
    <x v="131"/>
    <x v="5"/>
    <x v="652"/>
    <x v="30"/>
    <x v="1"/>
    <x v="1"/>
    <x v="0"/>
    <x v="3915"/>
  </r>
  <r>
    <x v="0"/>
    <x v="573"/>
    <x v="31"/>
    <x v="72"/>
    <x v="41"/>
    <x v="884"/>
    <x v="674"/>
    <x v="3435"/>
    <x v="150"/>
    <x v="1487"/>
    <x v="2264"/>
    <x v="2683"/>
    <x v="3838"/>
    <x v="3824"/>
    <x v="3378"/>
    <x v="0"/>
    <x v="3785"/>
    <x v="3841"/>
    <x v="429"/>
    <x v="6"/>
    <x v="13"/>
    <x v="4"/>
    <x v="311"/>
    <x v="1"/>
    <x v="382"/>
    <x v="7"/>
    <x v="1"/>
    <x v="59"/>
    <x v="0"/>
    <x v="3916"/>
  </r>
  <r>
    <x v="0"/>
    <x v="1627"/>
    <x v="474"/>
    <x v="107"/>
    <x v="262"/>
    <x v="533"/>
    <x v="60"/>
    <x v="3436"/>
    <x v="219"/>
    <x v="1488"/>
    <x v="1239"/>
    <x v="2684"/>
    <x v="3839"/>
    <x v="3825"/>
    <x v="436"/>
    <x v="4"/>
    <x v="3786"/>
    <x v="3842"/>
    <x v="823"/>
    <x v="0"/>
    <x v="0"/>
    <x v="4"/>
    <x v="213"/>
    <x v="11"/>
    <x v="155"/>
    <x v="55"/>
    <x v="3"/>
    <x v="1"/>
    <x v="0"/>
    <x v="3917"/>
  </r>
  <r>
    <x v="0"/>
    <x v="1710"/>
    <x v="262"/>
    <x v="47"/>
    <x v="395"/>
    <x v="232"/>
    <x v="17"/>
    <x v="3437"/>
    <x v="105"/>
    <x v="839"/>
    <x v="727"/>
    <x v="294"/>
    <x v="3840"/>
    <x v="3826"/>
    <x v="3379"/>
    <x v="4"/>
    <x v="3787"/>
    <x v="3843"/>
    <x v="856"/>
    <x v="0"/>
    <x v="0"/>
    <x v="4"/>
    <x v="213"/>
    <x v="19"/>
    <x v="436"/>
    <x v="10"/>
    <x v="3"/>
    <x v="1"/>
    <x v="0"/>
    <x v="3918"/>
  </r>
  <r>
    <x v="0"/>
    <x v="931"/>
    <x v="401"/>
    <x v="46"/>
    <x v="17"/>
    <x v="267"/>
    <x v="480"/>
    <x v="4"/>
    <x v="306"/>
    <x v="1489"/>
    <x v="2265"/>
    <x v="2685"/>
    <x v="3841"/>
    <x v="3827"/>
    <x v="3380"/>
    <x v="0"/>
    <x v="3788"/>
    <x v="3844"/>
    <x v="258"/>
    <x v="0"/>
    <x v="0"/>
    <x v="18"/>
    <x v="213"/>
    <x v="50"/>
    <x v="859"/>
    <x v="22"/>
    <x v="3"/>
    <x v="690"/>
    <x v="0"/>
    <x v="3919"/>
  </r>
  <r>
    <x v="0"/>
    <x v="1355"/>
    <x v="303"/>
    <x v="78"/>
    <x v="0"/>
    <x v="357"/>
    <x v="326"/>
    <x v="3438"/>
    <x v="70"/>
    <x v="581"/>
    <x v="401"/>
    <x v="2686"/>
    <x v="3842"/>
    <x v="3828"/>
    <x v="3381"/>
    <x v="0"/>
    <x v="3789"/>
    <x v="3845"/>
    <x v="695"/>
    <x v="0"/>
    <x v="0"/>
    <x v="4"/>
    <x v="4"/>
    <x v="7"/>
    <x v="270"/>
    <x v="19"/>
    <x v="3"/>
    <x v="691"/>
    <x v="0"/>
    <x v="3920"/>
  </r>
  <r>
    <x v="0"/>
    <x v="1711"/>
    <x v="359"/>
    <x v="47"/>
    <x v="154"/>
    <x v="725"/>
    <x v="41"/>
    <x v="3439"/>
    <x v="219"/>
    <x v="111"/>
    <x v="526"/>
    <x v="2687"/>
    <x v="3843"/>
    <x v="3829"/>
    <x v="3382"/>
    <x v="5"/>
    <x v="3790"/>
    <x v="3846"/>
    <x v="299"/>
    <x v="0"/>
    <x v="0"/>
    <x v="4"/>
    <x v="213"/>
    <x v="16"/>
    <x v="222"/>
    <x v="10"/>
    <x v="3"/>
    <x v="1"/>
    <x v="0"/>
    <x v="3921"/>
  </r>
  <r>
    <x v="0"/>
    <x v="1048"/>
    <x v="145"/>
    <x v="27"/>
    <x v="164"/>
    <x v="589"/>
    <x v="55"/>
    <x v="3440"/>
    <x v="105"/>
    <x v="1136"/>
    <x v="2266"/>
    <x v="2688"/>
    <x v="3844"/>
    <x v="3830"/>
    <x v="1783"/>
    <x v="1"/>
    <x v="3791"/>
    <x v="3847"/>
    <x v="639"/>
    <x v="0"/>
    <x v="0"/>
    <x v="4"/>
    <x v="213"/>
    <x v="19"/>
    <x v="494"/>
    <x v="1"/>
    <x v="3"/>
    <x v="61"/>
    <x v="0"/>
    <x v="3922"/>
  </r>
  <r>
    <x v="0"/>
    <x v="1712"/>
    <x v="460"/>
    <x v="45"/>
    <x v="216"/>
    <x v="298"/>
    <x v="150"/>
    <x v="3441"/>
    <x v="4"/>
    <x v="774"/>
    <x v="2267"/>
    <x v="2689"/>
    <x v="3845"/>
    <x v="3831"/>
    <x v="3383"/>
    <x v="1"/>
    <x v="3792"/>
    <x v="3848"/>
    <x v="496"/>
    <x v="0"/>
    <x v="0"/>
    <x v="4"/>
    <x v="83"/>
    <x v="17"/>
    <x v="4"/>
    <x v="59"/>
    <x v="3"/>
    <x v="692"/>
    <x v="0"/>
    <x v="3923"/>
  </r>
  <r>
    <x v="0"/>
    <x v="78"/>
    <x v="361"/>
    <x v="47"/>
    <x v="0"/>
    <x v="544"/>
    <x v="444"/>
    <x v="3442"/>
    <x v="270"/>
    <x v="518"/>
    <x v="1259"/>
    <x v="2690"/>
    <x v="3846"/>
    <x v="3832"/>
    <x v="2710"/>
    <x v="0"/>
    <x v="3793"/>
    <x v="3849"/>
    <x v="365"/>
    <x v="0"/>
    <x v="0"/>
    <x v="4"/>
    <x v="213"/>
    <x v="32"/>
    <x v="654"/>
    <x v="11"/>
    <x v="3"/>
    <x v="482"/>
    <x v="0"/>
    <x v="3924"/>
  </r>
  <r>
    <x v="0"/>
    <x v="1250"/>
    <x v="401"/>
    <x v="95"/>
    <x v="148"/>
    <x v="739"/>
    <x v="91"/>
    <x v="3443"/>
    <x v="125"/>
    <x v="161"/>
    <x v="51"/>
    <x v="1939"/>
    <x v="3847"/>
    <x v="3833"/>
    <x v="3384"/>
    <x v="0"/>
    <x v="3794"/>
    <x v="3850"/>
    <x v="492"/>
    <x v="0"/>
    <x v="0"/>
    <x v="4"/>
    <x v="213"/>
    <x v="25"/>
    <x v="40"/>
    <x v="32"/>
    <x v="3"/>
    <x v="1"/>
    <x v="0"/>
    <x v="3925"/>
  </r>
  <r>
    <x v="0"/>
    <x v="1713"/>
    <x v="399"/>
    <x v="50"/>
    <x v="192"/>
    <x v="678"/>
    <x v="181"/>
    <x v="3444"/>
    <x v="125"/>
    <x v="340"/>
    <x v="752"/>
    <x v="1592"/>
    <x v="3848"/>
    <x v="1124"/>
    <x v="418"/>
    <x v="3"/>
    <x v="3795"/>
    <x v="3851"/>
    <x v="432"/>
    <x v="0"/>
    <x v="0"/>
    <x v="4"/>
    <x v="213"/>
    <x v="15"/>
    <x v="159"/>
    <x v="27"/>
    <x v="3"/>
    <x v="241"/>
    <x v="0"/>
    <x v="3926"/>
  </r>
  <r>
    <x v="0"/>
    <x v="390"/>
    <x v="313"/>
    <x v="41"/>
    <x v="3"/>
    <x v="673"/>
    <x v="391"/>
    <x v="3445"/>
    <x v="313"/>
    <x v="707"/>
    <x v="2268"/>
    <x v="1219"/>
    <x v="3849"/>
    <x v="3834"/>
    <x v="3385"/>
    <x v="1"/>
    <x v="3796"/>
    <x v="3852"/>
    <x v="758"/>
    <x v="0"/>
    <x v="0"/>
    <x v="4"/>
    <x v="213"/>
    <x v="1"/>
    <x v="138"/>
    <x v="12"/>
    <x v="19"/>
    <x v="637"/>
    <x v="0"/>
    <x v="3927"/>
  </r>
  <r>
    <x v="0"/>
    <x v="1714"/>
    <x v="277"/>
    <x v="45"/>
    <x v="114"/>
    <x v="304"/>
    <x v="52"/>
    <x v="3446"/>
    <x v="200"/>
    <x v="90"/>
    <x v="2269"/>
    <x v="966"/>
    <x v="3850"/>
    <x v="3835"/>
    <x v="3386"/>
    <x v="0"/>
    <x v="3797"/>
    <x v="3853"/>
    <x v="552"/>
    <x v="0"/>
    <x v="0"/>
    <x v="4"/>
    <x v="213"/>
    <x v="12"/>
    <x v="309"/>
    <x v="4"/>
    <x v="1"/>
    <x v="488"/>
    <x v="0"/>
    <x v="3928"/>
  </r>
  <r>
    <x v="0"/>
    <x v="609"/>
    <x v="433"/>
    <x v="76"/>
    <x v="0"/>
    <x v="131"/>
    <x v="0"/>
    <x v="4"/>
    <x v="795"/>
    <x v="1490"/>
    <x v="302"/>
    <x v="161"/>
    <x v="3851"/>
    <x v="3836"/>
    <x v="3387"/>
    <x v="0"/>
    <x v="3798"/>
    <x v="3854"/>
    <x v="158"/>
    <x v="0"/>
    <x v="0"/>
    <x v="4"/>
    <x v="213"/>
    <x v="10"/>
    <x v="204"/>
    <x v="5"/>
    <x v="3"/>
    <x v="37"/>
    <x v="0"/>
    <x v="3929"/>
  </r>
  <r>
    <x v="0"/>
    <x v="1715"/>
    <x v="410"/>
    <x v="59"/>
    <x v="122"/>
    <x v="2"/>
    <x v="711"/>
    <x v="3447"/>
    <x v="13"/>
    <x v="1491"/>
    <x v="2270"/>
    <x v="2691"/>
    <x v="3852"/>
    <x v="3837"/>
    <x v="3388"/>
    <x v="0"/>
    <x v="3799"/>
    <x v="3855"/>
    <x v="748"/>
    <x v="0"/>
    <x v="1"/>
    <x v="2"/>
    <x v="213"/>
    <x v="12"/>
    <x v="589"/>
    <x v="8"/>
    <x v="3"/>
    <x v="1"/>
    <x v="0"/>
    <x v="3930"/>
  </r>
  <r>
    <x v="0"/>
    <x v="1716"/>
    <x v="389"/>
    <x v="58"/>
    <x v="396"/>
    <x v="298"/>
    <x v="712"/>
    <x v="3448"/>
    <x v="305"/>
    <x v="1492"/>
    <x v="2271"/>
    <x v="2692"/>
    <x v="3853"/>
    <x v="3838"/>
    <x v="1897"/>
    <x v="0"/>
    <x v="3800"/>
    <x v="3856"/>
    <x v="212"/>
    <x v="28"/>
    <x v="0"/>
    <x v="0"/>
    <x v="213"/>
    <x v="10"/>
    <x v="253"/>
    <x v="3"/>
    <x v="1"/>
    <x v="18"/>
    <x v="0"/>
    <x v="3931"/>
  </r>
  <r>
    <x v="0"/>
    <x v="1717"/>
    <x v="464"/>
    <x v="101"/>
    <x v="114"/>
    <x v="371"/>
    <x v="444"/>
    <x v="2912"/>
    <x v="13"/>
    <x v="1369"/>
    <x v="2272"/>
    <x v="2693"/>
    <x v="3854"/>
    <x v="1691"/>
    <x v="3389"/>
    <x v="0"/>
    <x v="3801"/>
    <x v="3857"/>
    <x v="816"/>
    <x v="0"/>
    <x v="0"/>
    <x v="4"/>
    <x v="213"/>
    <x v="42"/>
    <x v="271"/>
    <x v="30"/>
    <x v="3"/>
    <x v="547"/>
    <x v="0"/>
    <x v="3932"/>
  </r>
  <r>
    <x v="0"/>
    <x v="1718"/>
    <x v="270"/>
    <x v="105"/>
    <x v="107"/>
    <x v="109"/>
    <x v="324"/>
    <x v="3449"/>
    <x v="17"/>
    <x v="579"/>
    <x v="2273"/>
    <x v="817"/>
    <x v="3855"/>
    <x v="3839"/>
    <x v="1016"/>
    <x v="1"/>
    <x v="3802"/>
    <x v="3858"/>
    <x v="409"/>
    <x v="0"/>
    <x v="0"/>
    <x v="0"/>
    <x v="4"/>
    <x v="10"/>
    <x v="793"/>
    <x v="4"/>
    <x v="1"/>
    <x v="1"/>
    <x v="0"/>
    <x v="3933"/>
  </r>
  <r>
    <x v="0"/>
    <x v="1719"/>
    <x v="311"/>
    <x v="33"/>
    <x v="78"/>
    <x v="752"/>
    <x v="0"/>
    <x v="4"/>
    <x v="306"/>
    <x v="167"/>
    <x v="1230"/>
    <x v="2694"/>
    <x v="3856"/>
    <x v="3840"/>
    <x v="3390"/>
    <x v="0"/>
    <x v="3803"/>
    <x v="3859"/>
    <x v="822"/>
    <x v="0"/>
    <x v="0"/>
    <x v="4"/>
    <x v="274"/>
    <x v="2"/>
    <x v="30"/>
    <x v="20"/>
    <x v="1"/>
    <x v="693"/>
    <x v="0"/>
    <x v="3934"/>
  </r>
  <r>
    <x v="0"/>
    <x v="1720"/>
    <x v="438"/>
    <x v="77"/>
    <x v="353"/>
    <x v="843"/>
    <x v="33"/>
    <x v="3450"/>
    <x v="306"/>
    <x v="149"/>
    <x v="2274"/>
    <x v="1416"/>
    <x v="3857"/>
    <x v="3841"/>
    <x v="3391"/>
    <x v="2"/>
    <x v="3804"/>
    <x v="3860"/>
    <x v="277"/>
    <x v="0"/>
    <x v="0"/>
    <x v="4"/>
    <x v="213"/>
    <x v="19"/>
    <x v="860"/>
    <x v="15"/>
    <x v="3"/>
    <x v="694"/>
    <x v="0"/>
    <x v="3935"/>
  </r>
  <r>
    <x v="0"/>
    <x v="1701"/>
    <x v="308"/>
    <x v="11"/>
    <x v="138"/>
    <x v="81"/>
    <x v="35"/>
    <x v="3451"/>
    <x v="270"/>
    <x v="44"/>
    <x v="1379"/>
    <x v="2438"/>
    <x v="3858"/>
    <x v="3842"/>
    <x v="3392"/>
    <x v="0"/>
    <x v="3805"/>
    <x v="3861"/>
    <x v="640"/>
    <x v="0"/>
    <x v="0"/>
    <x v="4"/>
    <x v="213"/>
    <x v="15"/>
    <x v="225"/>
    <x v="28"/>
    <x v="0"/>
    <x v="695"/>
    <x v="0"/>
    <x v="3936"/>
  </r>
  <r>
    <x v="0"/>
    <x v="1721"/>
    <x v="454"/>
    <x v="69"/>
    <x v="397"/>
    <x v="425"/>
    <x v="72"/>
    <x v="4"/>
    <x v="370"/>
    <x v="1493"/>
    <x v="2275"/>
    <x v="2695"/>
    <x v="3859"/>
    <x v="3843"/>
    <x v="3393"/>
    <x v="0"/>
    <x v="3806"/>
    <x v="3862"/>
    <x v="472"/>
    <x v="3"/>
    <x v="10"/>
    <x v="9"/>
    <x v="4"/>
    <x v="3"/>
    <x v="214"/>
    <x v="1"/>
    <x v="3"/>
    <x v="85"/>
    <x v="0"/>
    <x v="3937"/>
  </r>
  <r>
    <x v="0"/>
    <x v="473"/>
    <x v="221"/>
    <x v="85"/>
    <x v="212"/>
    <x v="402"/>
    <x v="25"/>
    <x v="3452"/>
    <x v="270"/>
    <x v="76"/>
    <x v="997"/>
    <x v="2696"/>
    <x v="3860"/>
    <x v="3844"/>
    <x v="256"/>
    <x v="4"/>
    <x v="3807"/>
    <x v="3863"/>
    <x v="173"/>
    <x v="0"/>
    <x v="0"/>
    <x v="4"/>
    <x v="213"/>
    <x v="9"/>
    <x v="30"/>
    <x v="8"/>
    <x v="1"/>
    <x v="59"/>
    <x v="0"/>
    <x v="3938"/>
  </r>
  <r>
    <x v="0"/>
    <x v="1722"/>
    <x v="425"/>
    <x v="77"/>
    <x v="89"/>
    <x v="146"/>
    <x v="174"/>
    <x v="3453"/>
    <x v="314"/>
    <x v="1494"/>
    <x v="2276"/>
    <x v="177"/>
    <x v="3861"/>
    <x v="3845"/>
    <x v="3394"/>
    <x v="3"/>
    <x v="3808"/>
    <x v="3864"/>
    <x v="327"/>
    <x v="0"/>
    <x v="1"/>
    <x v="2"/>
    <x v="119"/>
    <x v="13"/>
    <x v="433"/>
    <x v="4"/>
    <x v="1"/>
    <x v="330"/>
    <x v="0"/>
    <x v="3939"/>
  </r>
  <r>
    <x v="0"/>
    <x v="200"/>
    <x v="373"/>
    <x v="58"/>
    <x v="140"/>
    <x v="192"/>
    <x v="14"/>
    <x v="3454"/>
    <x v="438"/>
    <x v="414"/>
    <x v="2277"/>
    <x v="2697"/>
    <x v="3862"/>
    <x v="3846"/>
    <x v="3395"/>
    <x v="0"/>
    <x v="3809"/>
    <x v="3865"/>
    <x v="785"/>
    <x v="0"/>
    <x v="0"/>
    <x v="4"/>
    <x v="312"/>
    <x v="42"/>
    <x v="861"/>
    <x v="18"/>
    <x v="3"/>
    <x v="287"/>
    <x v="0"/>
    <x v="3940"/>
  </r>
  <r>
    <x v="0"/>
    <x v="1723"/>
    <x v="359"/>
    <x v="79"/>
    <x v="0"/>
    <x v="857"/>
    <x v="713"/>
    <x v="3455"/>
    <x v="796"/>
    <x v="1495"/>
    <x v="2278"/>
    <x v="2698"/>
    <x v="3863"/>
    <x v="3847"/>
    <x v="2338"/>
    <x v="1"/>
    <x v="3810"/>
    <x v="3866"/>
    <x v="641"/>
    <x v="0"/>
    <x v="5"/>
    <x v="10"/>
    <x v="41"/>
    <x v="21"/>
    <x v="559"/>
    <x v="22"/>
    <x v="3"/>
    <x v="696"/>
    <x v="0"/>
    <x v="3941"/>
  </r>
  <r>
    <x v="0"/>
    <x v="781"/>
    <x v="193"/>
    <x v="107"/>
    <x v="193"/>
    <x v="800"/>
    <x v="370"/>
    <x v="3456"/>
    <x v="125"/>
    <x v="671"/>
    <x v="423"/>
    <x v="1815"/>
    <x v="3864"/>
    <x v="3848"/>
    <x v="3396"/>
    <x v="1"/>
    <x v="3811"/>
    <x v="3867"/>
    <x v="755"/>
    <x v="0"/>
    <x v="1"/>
    <x v="4"/>
    <x v="213"/>
    <x v="15"/>
    <x v="56"/>
    <x v="22"/>
    <x v="3"/>
    <x v="697"/>
    <x v="0"/>
    <x v="3942"/>
  </r>
  <r>
    <x v="0"/>
    <x v="1724"/>
    <x v="396"/>
    <x v="60"/>
    <x v="176"/>
    <x v="691"/>
    <x v="97"/>
    <x v="3457"/>
    <x v="270"/>
    <x v="1496"/>
    <x v="2279"/>
    <x v="2699"/>
    <x v="3865"/>
    <x v="3849"/>
    <x v="2348"/>
    <x v="0"/>
    <x v="4"/>
    <x v="3868"/>
    <x v="791"/>
    <x v="15"/>
    <x v="12"/>
    <x v="0"/>
    <x v="213"/>
    <x v="9"/>
    <x v="326"/>
    <x v="16"/>
    <x v="1"/>
    <x v="1"/>
    <x v="0"/>
    <x v="3943"/>
  </r>
  <r>
    <x v="0"/>
    <x v="1338"/>
    <x v="216"/>
    <x v="11"/>
    <x v="0"/>
    <x v="305"/>
    <x v="209"/>
    <x v="3458"/>
    <x v="168"/>
    <x v="1497"/>
    <x v="2280"/>
    <x v="2700"/>
    <x v="3866"/>
    <x v="3850"/>
    <x v="3397"/>
    <x v="0"/>
    <x v="3812"/>
    <x v="3869"/>
    <x v="180"/>
    <x v="0"/>
    <x v="0"/>
    <x v="4"/>
    <x v="255"/>
    <x v="5"/>
    <x v="524"/>
    <x v="15"/>
    <x v="1"/>
    <x v="7"/>
    <x v="0"/>
    <x v="3944"/>
  </r>
  <r>
    <x v="0"/>
    <x v="277"/>
    <x v="384"/>
    <x v="33"/>
    <x v="181"/>
    <x v="732"/>
    <x v="642"/>
    <x v="3459"/>
    <x v="125"/>
    <x v="1055"/>
    <x v="412"/>
    <x v="1476"/>
    <x v="3867"/>
    <x v="3851"/>
    <x v="866"/>
    <x v="2"/>
    <x v="3813"/>
    <x v="3870"/>
    <x v="721"/>
    <x v="0"/>
    <x v="0"/>
    <x v="4"/>
    <x v="137"/>
    <x v="21"/>
    <x v="277"/>
    <x v="22"/>
    <x v="3"/>
    <x v="698"/>
    <x v="0"/>
    <x v="3945"/>
  </r>
  <r>
    <x v="0"/>
    <x v="1197"/>
    <x v="308"/>
    <x v="41"/>
    <x v="69"/>
    <x v="100"/>
    <x v="275"/>
    <x v="3460"/>
    <x v="127"/>
    <x v="1498"/>
    <x v="2281"/>
    <x v="2701"/>
    <x v="3868"/>
    <x v="3852"/>
    <x v="3398"/>
    <x v="1"/>
    <x v="3814"/>
    <x v="3871"/>
    <x v="721"/>
    <x v="0"/>
    <x v="1"/>
    <x v="4"/>
    <x v="139"/>
    <x v="20"/>
    <x v="438"/>
    <x v="18"/>
    <x v="2"/>
    <x v="619"/>
    <x v="0"/>
    <x v="3946"/>
  </r>
  <r>
    <x v="0"/>
    <x v="870"/>
    <x v="142"/>
    <x v="52"/>
    <x v="194"/>
    <x v="13"/>
    <x v="11"/>
    <x v="3461"/>
    <x v="17"/>
    <x v="49"/>
    <x v="698"/>
    <x v="142"/>
    <x v="3869"/>
    <x v="3853"/>
    <x v="3399"/>
    <x v="0"/>
    <x v="3815"/>
    <x v="3872"/>
    <x v="499"/>
    <x v="0"/>
    <x v="5"/>
    <x v="4"/>
    <x v="178"/>
    <x v="9"/>
    <x v="18"/>
    <x v="5"/>
    <x v="1"/>
    <x v="1"/>
    <x v="0"/>
    <x v="3947"/>
  </r>
  <r>
    <x v="0"/>
    <x v="1725"/>
    <x v="307"/>
    <x v="7"/>
    <x v="334"/>
    <x v="236"/>
    <x v="41"/>
    <x v="4"/>
    <x v="105"/>
    <x v="111"/>
    <x v="2282"/>
    <x v="2702"/>
    <x v="3870"/>
    <x v="3854"/>
    <x v="3400"/>
    <x v="0"/>
    <x v="3816"/>
    <x v="3873"/>
    <x v="408"/>
    <x v="0"/>
    <x v="0"/>
    <x v="4"/>
    <x v="213"/>
    <x v="20"/>
    <x v="435"/>
    <x v="40"/>
    <x v="1"/>
    <x v="699"/>
    <x v="0"/>
    <x v="3948"/>
  </r>
  <r>
    <x v="0"/>
    <x v="1726"/>
    <x v="272"/>
    <x v="18"/>
    <x v="38"/>
    <x v="777"/>
    <x v="697"/>
    <x v="3462"/>
    <x v="200"/>
    <x v="1441"/>
    <x v="2283"/>
    <x v="2703"/>
    <x v="3871"/>
    <x v="1724"/>
    <x v="3401"/>
    <x v="1"/>
    <x v="3817"/>
    <x v="3874"/>
    <x v="785"/>
    <x v="6"/>
    <x v="13"/>
    <x v="4"/>
    <x v="213"/>
    <x v="19"/>
    <x v="327"/>
    <x v="16"/>
    <x v="3"/>
    <x v="1"/>
    <x v="0"/>
    <x v="3949"/>
  </r>
  <r>
    <x v="0"/>
    <x v="1727"/>
    <x v="300"/>
    <x v="42"/>
    <x v="217"/>
    <x v="809"/>
    <x v="616"/>
    <x v="3463"/>
    <x v="55"/>
    <x v="1499"/>
    <x v="2284"/>
    <x v="2704"/>
    <x v="3872"/>
    <x v="3855"/>
    <x v="3402"/>
    <x v="1"/>
    <x v="3818"/>
    <x v="3875"/>
    <x v="482"/>
    <x v="0"/>
    <x v="0"/>
    <x v="4"/>
    <x v="313"/>
    <x v="5"/>
    <x v="786"/>
    <x v="12"/>
    <x v="1"/>
    <x v="1"/>
    <x v="0"/>
    <x v="3950"/>
  </r>
  <r>
    <x v="0"/>
    <x v="113"/>
    <x v="451"/>
    <x v="172"/>
    <x v="88"/>
    <x v="337"/>
    <x v="714"/>
    <x v="4"/>
    <x v="215"/>
    <x v="1500"/>
    <x v="2285"/>
    <x v="2705"/>
    <x v="3873"/>
    <x v="3856"/>
    <x v="3403"/>
    <x v="1"/>
    <x v="3819"/>
    <x v="3876"/>
    <x v="637"/>
    <x v="0"/>
    <x v="0"/>
    <x v="8"/>
    <x v="4"/>
    <x v="4"/>
    <x v="513"/>
    <x v="9"/>
    <x v="8"/>
    <x v="700"/>
    <x v="0"/>
    <x v="3951"/>
  </r>
  <r>
    <x v="0"/>
    <x v="572"/>
    <x v="329"/>
    <x v="80"/>
    <x v="107"/>
    <x v="259"/>
    <x v="11"/>
    <x v="3464"/>
    <x v="113"/>
    <x v="63"/>
    <x v="958"/>
    <x v="855"/>
    <x v="3874"/>
    <x v="3857"/>
    <x v="3404"/>
    <x v="1"/>
    <x v="3820"/>
    <x v="3877"/>
    <x v="510"/>
    <x v="0"/>
    <x v="0"/>
    <x v="4"/>
    <x v="213"/>
    <x v="13"/>
    <x v="78"/>
    <x v="27"/>
    <x v="3"/>
    <x v="227"/>
    <x v="0"/>
    <x v="3952"/>
  </r>
  <r>
    <x v="0"/>
    <x v="1728"/>
    <x v="266"/>
    <x v="11"/>
    <x v="107"/>
    <x v="777"/>
    <x v="365"/>
    <x v="3465"/>
    <x v="270"/>
    <x v="1154"/>
    <x v="2286"/>
    <x v="2706"/>
    <x v="3875"/>
    <x v="3858"/>
    <x v="3405"/>
    <x v="4"/>
    <x v="3821"/>
    <x v="3878"/>
    <x v="896"/>
    <x v="30"/>
    <x v="49"/>
    <x v="10"/>
    <x v="213"/>
    <x v="11"/>
    <x v="438"/>
    <x v="9"/>
    <x v="1"/>
    <x v="593"/>
    <x v="0"/>
    <x v="3953"/>
  </r>
  <r>
    <x v="0"/>
    <x v="1729"/>
    <x v="303"/>
    <x v="73"/>
    <x v="193"/>
    <x v="10"/>
    <x v="22"/>
    <x v="4"/>
    <x v="200"/>
    <x v="639"/>
    <x v="1704"/>
    <x v="831"/>
    <x v="3876"/>
    <x v="3859"/>
    <x v="3406"/>
    <x v="2"/>
    <x v="3822"/>
    <x v="3879"/>
    <x v="427"/>
    <x v="0"/>
    <x v="0"/>
    <x v="4"/>
    <x v="213"/>
    <x v="10"/>
    <x v="13"/>
    <x v="19"/>
    <x v="1"/>
    <x v="701"/>
    <x v="0"/>
    <x v="3954"/>
  </r>
  <r>
    <x v="0"/>
    <x v="1388"/>
    <x v="126"/>
    <x v="77"/>
    <x v="143"/>
    <x v="97"/>
    <x v="715"/>
    <x v="4"/>
    <x v="263"/>
    <x v="1501"/>
    <x v="2287"/>
    <x v="122"/>
    <x v="3877"/>
    <x v="1514"/>
    <x v="3407"/>
    <x v="1"/>
    <x v="3823"/>
    <x v="3880"/>
    <x v="241"/>
    <x v="0"/>
    <x v="1"/>
    <x v="4"/>
    <x v="213"/>
    <x v="10"/>
    <x v="455"/>
    <x v="22"/>
    <x v="1"/>
    <x v="1"/>
    <x v="0"/>
    <x v="3955"/>
  </r>
  <r>
    <x v="0"/>
    <x v="727"/>
    <x v="428"/>
    <x v="78"/>
    <x v="124"/>
    <x v="370"/>
    <x v="591"/>
    <x v="4"/>
    <x v="219"/>
    <x v="1144"/>
    <x v="2288"/>
    <x v="2707"/>
    <x v="3878"/>
    <x v="3860"/>
    <x v="3393"/>
    <x v="0"/>
    <x v="3824"/>
    <x v="3881"/>
    <x v="724"/>
    <x v="0"/>
    <x v="4"/>
    <x v="4"/>
    <x v="4"/>
    <x v="17"/>
    <x v="654"/>
    <x v="22"/>
    <x v="1"/>
    <x v="150"/>
    <x v="0"/>
    <x v="3956"/>
  </r>
  <r>
    <x v="0"/>
    <x v="1730"/>
    <x v="385"/>
    <x v="60"/>
    <x v="0"/>
    <x v="458"/>
    <x v="377"/>
    <x v="4"/>
    <x v="457"/>
    <x v="690"/>
    <x v="2289"/>
    <x v="2708"/>
    <x v="3879"/>
    <x v="3861"/>
    <x v="3408"/>
    <x v="0"/>
    <x v="3825"/>
    <x v="3882"/>
    <x v="416"/>
    <x v="9"/>
    <x v="21"/>
    <x v="1"/>
    <x v="213"/>
    <x v="9"/>
    <x v="767"/>
    <x v="7"/>
    <x v="2"/>
    <x v="462"/>
    <x v="0"/>
    <x v="3957"/>
  </r>
  <r>
    <x v="0"/>
    <x v="1731"/>
    <x v="384"/>
    <x v="168"/>
    <x v="0"/>
    <x v="691"/>
    <x v="411"/>
    <x v="4"/>
    <x v="797"/>
    <x v="754"/>
    <x v="2290"/>
    <x v="2709"/>
    <x v="3880"/>
    <x v="3862"/>
    <x v="3409"/>
    <x v="0"/>
    <x v="3826"/>
    <x v="3883"/>
    <x v="756"/>
    <x v="0"/>
    <x v="0"/>
    <x v="2"/>
    <x v="213"/>
    <x v="36"/>
    <x v="560"/>
    <x v="32"/>
    <x v="1"/>
    <x v="1"/>
    <x v="0"/>
    <x v="3958"/>
  </r>
  <r>
    <x v="0"/>
    <x v="1732"/>
    <x v="413"/>
    <x v="41"/>
    <x v="111"/>
    <x v="531"/>
    <x v="716"/>
    <x v="3466"/>
    <x v="260"/>
    <x v="1502"/>
    <x v="2291"/>
    <x v="2710"/>
    <x v="3881"/>
    <x v="3863"/>
    <x v="3410"/>
    <x v="3"/>
    <x v="4"/>
    <x v="3884"/>
    <x v="822"/>
    <x v="0"/>
    <x v="4"/>
    <x v="4"/>
    <x v="213"/>
    <x v="3"/>
    <x v="604"/>
    <x v="31"/>
    <x v="1"/>
    <x v="346"/>
    <x v="0"/>
    <x v="3959"/>
  </r>
  <r>
    <x v="1"/>
    <x v="1733"/>
    <x v="311"/>
    <x v="45"/>
    <x v="398"/>
    <x v="597"/>
    <x v="672"/>
    <x v="4"/>
    <x v="269"/>
    <x v="1503"/>
    <x v="2292"/>
    <x v="2711"/>
    <x v="3882"/>
    <x v="3864"/>
    <x v="3411"/>
    <x v="1"/>
    <x v="3827"/>
    <x v="3885"/>
    <x v="327"/>
    <x v="0"/>
    <x v="0"/>
    <x v="17"/>
    <x v="314"/>
    <x v="70"/>
    <x v="4"/>
    <x v="6"/>
    <x v="20"/>
    <x v="238"/>
    <x v="0"/>
    <x v="3960"/>
  </r>
  <r>
    <x v="0"/>
    <x v="1734"/>
    <x v="489"/>
    <x v="33"/>
    <x v="0"/>
    <x v="136"/>
    <x v="77"/>
    <x v="4"/>
    <x v="105"/>
    <x v="475"/>
    <x v="1748"/>
    <x v="2712"/>
    <x v="3883"/>
    <x v="3865"/>
    <x v="2507"/>
    <x v="7"/>
    <x v="3828"/>
    <x v="3886"/>
    <x v="786"/>
    <x v="0"/>
    <x v="0"/>
    <x v="1"/>
    <x v="213"/>
    <x v="1"/>
    <x v="96"/>
    <x v="4"/>
    <x v="3"/>
    <x v="175"/>
    <x v="0"/>
    <x v="3961"/>
  </r>
  <r>
    <x v="0"/>
    <x v="711"/>
    <x v="347"/>
    <x v="41"/>
    <x v="122"/>
    <x v="385"/>
    <x v="717"/>
    <x v="4"/>
    <x v="429"/>
    <x v="1504"/>
    <x v="2293"/>
    <x v="2713"/>
    <x v="3884"/>
    <x v="3866"/>
    <x v="3412"/>
    <x v="4"/>
    <x v="3829"/>
    <x v="3887"/>
    <x v="654"/>
    <x v="0"/>
    <x v="0"/>
    <x v="4"/>
    <x v="213"/>
    <x v="6"/>
    <x v="398"/>
    <x v="55"/>
    <x v="1"/>
    <x v="1"/>
    <x v="0"/>
    <x v="3962"/>
  </r>
  <r>
    <x v="0"/>
    <x v="1735"/>
    <x v="499"/>
    <x v="95"/>
    <x v="174"/>
    <x v="632"/>
    <x v="593"/>
    <x v="4"/>
    <x v="381"/>
    <x v="1505"/>
    <x v="2294"/>
    <x v="2714"/>
    <x v="3885"/>
    <x v="3867"/>
    <x v="2980"/>
    <x v="1"/>
    <x v="3830"/>
    <x v="3888"/>
    <x v="780"/>
    <x v="0"/>
    <x v="5"/>
    <x v="4"/>
    <x v="4"/>
    <x v="0"/>
    <x v="862"/>
    <x v="10"/>
    <x v="1"/>
    <x v="1"/>
    <x v="0"/>
    <x v="3963"/>
  </r>
  <r>
    <x v="0"/>
    <x v="1439"/>
    <x v="369"/>
    <x v="113"/>
    <x v="371"/>
    <x v="342"/>
    <x v="718"/>
    <x v="4"/>
    <x v="429"/>
    <x v="1506"/>
    <x v="2295"/>
    <x v="2715"/>
    <x v="3886"/>
    <x v="3868"/>
    <x v="3413"/>
    <x v="0"/>
    <x v="3831"/>
    <x v="3889"/>
    <x v="732"/>
    <x v="0"/>
    <x v="0"/>
    <x v="4"/>
    <x v="213"/>
    <x v="3"/>
    <x v="685"/>
    <x v="39"/>
    <x v="2"/>
    <x v="141"/>
    <x v="0"/>
    <x v="3964"/>
  </r>
  <r>
    <x v="0"/>
    <x v="1736"/>
    <x v="320"/>
    <x v="95"/>
    <x v="198"/>
    <x v="279"/>
    <x v="660"/>
    <x v="4"/>
    <x v="127"/>
    <x v="1507"/>
    <x v="1216"/>
    <x v="2716"/>
    <x v="3887"/>
    <x v="3869"/>
    <x v="3414"/>
    <x v="4"/>
    <x v="4"/>
    <x v="3890"/>
    <x v="854"/>
    <x v="0"/>
    <x v="0"/>
    <x v="8"/>
    <x v="213"/>
    <x v="3"/>
    <x v="318"/>
    <x v="22"/>
    <x v="0"/>
    <x v="702"/>
    <x v="0"/>
    <x v="3965"/>
  </r>
  <r>
    <x v="0"/>
    <x v="1737"/>
    <x v="320"/>
    <x v="50"/>
    <x v="399"/>
    <x v="180"/>
    <x v="46"/>
    <x v="4"/>
    <x v="798"/>
    <x v="1508"/>
    <x v="2036"/>
    <x v="2717"/>
    <x v="3888"/>
    <x v="3870"/>
    <x v="3415"/>
    <x v="1"/>
    <x v="3832"/>
    <x v="3891"/>
    <x v="83"/>
    <x v="0"/>
    <x v="26"/>
    <x v="2"/>
    <x v="213"/>
    <x v="11"/>
    <x v="526"/>
    <x v="55"/>
    <x v="2"/>
    <x v="389"/>
    <x v="0"/>
    <x v="3966"/>
  </r>
  <r>
    <x v="0"/>
    <x v="204"/>
    <x v="93"/>
    <x v="8"/>
    <x v="144"/>
    <x v="246"/>
    <x v="2"/>
    <x v="4"/>
    <x v="172"/>
    <x v="130"/>
    <x v="109"/>
    <x v="314"/>
    <x v="363"/>
    <x v="3871"/>
    <x v="252"/>
    <x v="4"/>
    <x v="2555"/>
    <x v="363"/>
    <x v="326"/>
    <x v="0"/>
    <x v="0"/>
    <x v="0"/>
    <x v="32"/>
    <x v="6"/>
    <x v="529"/>
    <x v="19"/>
    <x v="1"/>
    <x v="1"/>
    <x v="0"/>
    <x v="3967"/>
  </r>
  <r>
    <x v="0"/>
    <x v="1568"/>
    <x v="219"/>
    <x v="60"/>
    <x v="101"/>
    <x v="393"/>
    <x v="382"/>
    <x v="4"/>
    <x v="406"/>
    <x v="1422"/>
    <x v="2296"/>
    <x v="2718"/>
    <x v="3889"/>
    <x v="3872"/>
    <x v="1212"/>
    <x v="0"/>
    <x v="3833"/>
    <x v="3892"/>
    <x v="713"/>
    <x v="0"/>
    <x v="1"/>
    <x v="11"/>
    <x v="126"/>
    <x v="71"/>
    <x v="73"/>
    <x v="0"/>
    <x v="10"/>
    <x v="43"/>
    <x v="0"/>
    <x v="3968"/>
  </r>
  <r>
    <x v="0"/>
    <x v="859"/>
    <x v="331"/>
    <x v="61"/>
    <x v="0"/>
    <x v="885"/>
    <x v="22"/>
    <x v="4"/>
    <x v="17"/>
    <x v="226"/>
    <x v="727"/>
    <x v="2719"/>
    <x v="3890"/>
    <x v="3873"/>
    <x v="3416"/>
    <x v="0"/>
    <x v="3834"/>
    <x v="3893"/>
    <x v="664"/>
    <x v="0"/>
    <x v="0"/>
    <x v="4"/>
    <x v="315"/>
    <x v="46"/>
    <x v="436"/>
    <x v="14"/>
    <x v="3"/>
    <x v="16"/>
    <x v="0"/>
    <x v="3969"/>
  </r>
  <r>
    <x v="0"/>
    <x v="1738"/>
    <x v="271"/>
    <x v="177"/>
    <x v="293"/>
    <x v="644"/>
    <x v="533"/>
    <x v="3467"/>
    <x v="153"/>
    <x v="1509"/>
    <x v="2297"/>
    <x v="2720"/>
    <x v="3891"/>
    <x v="3874"/>
    <x v="3332"/>
    <x v="1"/>
    <x v="3835"/>
    <x v="3894"/>
    <x v="177"/>
    <x v="0"/>
    <x v="0"/>
    <x v="3"/>
    <x v="316"/>
    <x v="72"/>
    <x v="714"/>
    <x v="17"/>
    <x v="15"/>
    <x v="37"/>
    <x v="0"/>
    <x v="3970"/>
  </r>
  <r>
    <x v="0"/>
    <x v="1739"/>
    <x v="308"/>
    <x v="27"/>
    <x v="123"/>
    <x v="455"/>
    <x v="719"/>
    <x v="3468"/>
    <x v="113"/>
    <x v="1510"/>
    <x v="2298"/>
    <x v="2721"/>
    <x v="3892"/>
    <x v="3875"/>
    <x v="2738"/>
    <x v="0"/>
    <x v="3836"/>
    <x v="3895"/>
    <x v="896"/>
    <x v="0"/>
    <x v="1"/>
    <x v="0"/>
    <x v="213"/>
    <x v="11"/>
    <x v="598"/>
    <x v="19"/>
    <x v="1"/>
    <x v="1"/>
    <x v="0"/>
    <x v="3971"/>
  </r>
  <r>
    <x v="0"/>
    <x v="1563"/>
    <x v="302"/>
    <x v="49"/>
    <x v="98"/>
    <x v="434"/>
    <x v="349"/>
    <x v="3469"/>
    <x v="799"/>
    <x v="630"/>
    <x v="2299"/>
    <x v="2722"/>
    <x v="3893"/>
    <x v="3876"/>
    <x v="1228"/>
    <x v="4"/>
    <x v="3837"/>
    <x v="3896"/>
    <x v="450"/>
    <x v="0"/>
    <x v="0"/>
    <x v="11"/>
    <x v="315"/>
    <x v="52"/>
    <x v="435"/>
    <x v="2"/>
    <x v="1"/>
    <x v="477"/>
    <x v="0"/>
    <x v="3972"/>
  </r>
  <r>
    <x v="0"/>
    <x v="1740"/>
    <x v="93"/>
    <x v="80"/>
    <x v="216"/>
    <x v="880"/>
    <x v="178"/>
    <x v="4"/>
    <x v="270"/>
    <x v="337"/>
    <x v="1274"/>
    <x v="2615"/>
    <x v="3894"/>
    <x v="3877"/>
    <x v="1481"/>
    <x v="3"/>
    <x v="3838"/>
    <x v="3897"/>
    <x v="843"/>
    <x v="0"/>
    <x v="0"/>
    <x v="4"/>
    <x v="4"/>
    <x v="0"/>
    <x v="117"/>
    <x v="11"/>
    <x v="3"/>
    <x v="703"/>
    <x v="0"/>
    <x v="3973"/>
  </r>
  <r>
    <x v="0"/>
    <x v="1741"/>
    <x v="152"/>
    <x v="86"/>
    <x v="192"/>
    <x v="666"/>
    <x v="210"/>
    <x v="2117"/>
    <x v="800"/>
    <x v="1511"/>
    <x v="2300"/>
    <x v="2723"/>
    <x v="3895"/>
    <x v="3878"/>
    <x v="3417"/>
    <x v="0"/>
    <x v="3839"/>
    <x v="3898"/>
    <x v="129"/>
    <x v="0"/>
    <x v="0"/>
    <x v="17"/>
    <x v="317"/>
    <x v="73"/>
    <x v="490"/>
    <x v="15"/>
    <x v="15"/>
    <x v="704"/>
    <x v="0"/>
    <x v="3974"/>
  </r>
  <r>
    <x v="0"/>
    <x v="1742"/>
    <x v="161"/>
    <x v="55"/>
    <x v="65"/>
    <x v="278"/>
    <x v="720"/>
    <x v="3470"/>
    <x v="539"/>
    <x v="1512"/>
    <x v="181"/>
    <x v="2724"/>
    <x v="3896"/>
    <x v="3879"/>
    <x v="3418"/>
    <x v="0"/>
    <x v="3840"/>
    <x v="3899"/>
    <x v="627"/>
    <x v="0"/>
    <x v="1"/>
    <x v="4"/>
    <x v="4"/>
    <x v="5"/>
    <x v="123"/>
    <x v="11"/>
    <x v="3"/>
    <x v="16"/>
    <x v="0"/>
    <x v="3975"/>
  </r>
  <r>
    <x v="0"/>
    <x v="1743"/>
    <x v="372"/>
    <x v="69"/>
    <x v="85"/>
    <x v="670"/>
    <x v="721"/>
    <x v="4"/>
    <x v="270"/>
    <x v="1513"/>
    <x v="2301"/>
    <x v="2725"/>
    <x v="3897"/>
    <x v="3880"/>
    <x v="1265"/>
    <x v="1"/>
    <x v="3841"/>
    <x v="3900"/>
    <x v="816"/>
    <x v="30"/>
    <x v="49"/>
    <x v="4"/>
    <x v="83"/>
    <x v="12"/>
    <x v="779"/>
    <x v="7"/>
    <x v="1"/>
    <x v="705"/>
    <x v="0"/>
    <x v="3976"/>
  </r>
  <r>
    <x v="0"/>
    <x v="1744"/>
    <x v="239"/>
    <x v="54"/>
    <x v="262"/>
    <x v="145"/>
    <x v="168"/>
    <x v="3471"/>
    <x v="539"/>
    <x v="314"/>
    <x v="1057"/>
    <x v="2021"/>
    <x v="3898"/>
    <x v="3881"/>
    <x v="3419"/>
    <x v="0"/>
    <x v="3842"/>
    <x v="3901"/>
    <x v="129"/>
    <x v="0"/>
    <x v="4"/>
    <x v="4"/>
    <x v="209"/>
    <x v="0"/>
    <x v="574"/>
    <x v="2"/>
    <x v="1"/>
    <x v="1"/>
    <x v="0"/>
    <x v="3977"/>
  </r>
  <r>
    <x v="0"/>
    <x v="1745"/>
    <x v="438"/>
    <x v="58"/>
    <x v="282"/>
    <x v="358"/>
    <x v="722"/>
    <x v="3472"/>
    <x v="801"/>
    <x v="1514"/>
    <x v="2302"/>
    <x v="2726"/>
    <x v="3899"/>
    <x v="3882"/>
    <x v="3188"/>
    <x v="0"/>
    <x v="3843"/>
    <x v="3902"/>
    <x v="487"/>
    <x v="0"/>
    <x v="0"/>
    <x v="11"/>
    <x v="318"/>
    <x v="74"/>
    <x v="489"/>
    <x v="1"/>
    <x v="15"/>
    <x v="327"/>
    <x v="0"/>
    <x v="3978"/>
  </r>
  <r>
    <x v="0"/>
    <x v="1746"/>
    <x v="258"/>
    <x v="77"/>
    <x v="195"/>
    <x v="607"/>
    <x v="212"/>
    <x v="3473"/>
    <x v="270"/>
    <x v="1515"/>
    <x v="2303"/>
    <x v="1009"/>
    <x v="3900"/>
    <x v="3883"/>
    <x v="3420"/>
    <x v="4"/>
    <x v="3844"/>
    <x v="3903"/>
    <x v="792"/>
    <x v="0"/>
    <x v="27"/>
    <x v="4"/>
    <x v="315"/>
    <x v="0"/>
    <x v="863"/>
    <x v="8"/>
    <x v="1"/>
    <x v="1"/>
    <x v="0"/>
    <x v="3979"/>
  </r>
  <r>
    <x v="0"/>
    <x v="999"/>
    <x v="356"/>
    <x v="56"/>
    <x v="89"/>
    <x v="446"/>
    <x v="22"/>
    <x v="3474"/>
    <x v="200"/>
    <x v="78"/>
    <x v="622"/>
    <x v="650"/>
    <x v="3901"/>
    <x v="3884"/>
    <x v="3421"/>
    <x v="0"/>
    <x v="3845"/>
    <x v="3904"/>
    <x v="497"/>
    <x v="0"/>
    <x v="1"/>
    <x v="4"/>
    <x v="126"/>
    <x v="7"/>
    <x v="387"/>
    <x v="8"/>
    <x v="3"/>
    <x v="1"/>
    <x v="0"/>
    <x v="3980"/>
  </r>
  <r>
    <x v="0"/>
    <x v="444"/>
    <x v="165"/>
    <x v="18"/>
    <x v="241"/>
    <x v="429"/>
    <x v="21"/>
    <x v="1176"/>
    <x v="83"/>
    <x v="22"/>
    <x v="273"/>
    <x v="985"/>
    <x v="1221"/>
    <x v="3885"/>
    <x v="3422"/>
    <x v="3"/>
    <x v="1213"/>
    <x v="1221"/>
    <x v="576"/>
    <x v="0"/>
    <x v="1"/>
    <x v="0"/>
    <x v="116"/>
    <x v="10"/>
    <x v="451"/>
    <x v="8"/>
    <x v="1"/>
    <x v="5"/>
    <x v="0"/>
    <x v="3981"/>
  </r>
  <r>
    <x v="0"/>
    <x v="113"/>
    <x v="398"/>
    <x v="111"/>
    <x v="88"/>
    <x v="582"/>
    <x v="151"/>
    <x v="4"/>
    <x v="638"/>
    <x v="1037"/>
    <x v="2304"/>
    <x v="2727"/>
    <x v="3902"/>
    <x v="3886"/>
    <x v="3423"/>
    <x v="7"/>
    <x v="3846"/>
    <x v="3905"/>
    <x v="568"/>
    <x v="0"/>
    <x v="0"/>
    <x v="6"/>
    <x v="4"/>
    <x v="4"/>
    <x v="831"/>
    <x v="26"/>
    <x v="9"/>
    <x v="1"/>
    <x v="0"/>
    <x v="3982"/>
  </r>
  <r>
    <x v="1"/>
    <x v="828"/>
    <x v="343"/>
    <x v="18"/>
    <x v="161"/>
    <x v="37"/>
    <x v="626"/>
    <x v="4"/>
    <x v="270"/>
    <x v="1516"/>
    <x v="2305"/>
    <x v="2728"/>
    <x v="3903"/>
    <x v="3887"/>
    <x v="3424"/>
    <x v="4"/>
    <x v="3847"/>
    <x v="3906"/>
    <x v="709"/>
    <x v="0"/>
    <x v="0"/>
    <x v="14"/>
    <x v="309"/>
    <x v="50"/>
    <x v="646"/>
    <x v="0"/>
    <x v="3"/>
    <x v="1"/>
    <x v="0"/>
    <x v="3983"/>
  </r>
  <r>
    <x v="0"/>
    <x v="1135"/>
    <x v="270"/>
    <x v="43"/>
    <x v="31"/>
    <x v="817"/>
    <x v="0"/>
    <x v="3475"/>
    <x v="379"/>
    <x v="384"/>
    <x v="581"/>
    <x v="2729"/>
    <x v="3904"/>
    <x v="3888"/>
    <x v="504"/>
    <x v="3"/>
    <x v="3848"/>
    <x v="3907"/>
    <x v="149"/>
    <x v="0"/>
    <x v="1"/>
    <x v="4"/>
    <x v="209"/>
    <x v="13"/>
    <x v="371"/>
    <x v="13"/>
    <x v="3"/>
    <x v="1"/>
    <x v="0"/>
    <x v="3984"/>
  </r>
  <r>
    <x v="0"/>
    <x v="1747"/>
    <x v="295"/>
    <x v="76"/>
    <x v="400"/>
    <x v="461"/>
    <x v="306"/>
    <x v="3476"/>
    <x v="125"/>
    <x v="1517"/>
    <x v="2306"/>
    <x v="2730"/>
    <x v="3905"/>
    <x v="3889"/>
    <x v="3425"/>
    <x v="0"/>
    <x v="3849"/>
    <x v="3908"/>
    <x v="938"/>
    <x v="0"/>
    <x v="0"/>
    <x v="2"/>
    <x v="209"/>
    <x v="35"/>
    <x v="435"/>
    <x v="6"/>
    <x v="3"/>
    <x v="37"/>
    <x v="0"/>
    <x v="3985"/>
  </r>
  <r>
    <x v="0"/>
    <x v="1748"/>
    <x v="492"/>
    <x v="76"/>
    <x v="216"/>
    <x v="423"/>
    <x v="35"/>
    <x v="4"/>
    <x v="3"/>
    <x v="504"/>
    <x v="389"/>
    <x v="2731"/>
    <x v="3906"/>
    <x v="3890"/>
    <x v="3426"/>
    <x v="3"/>
    <x v="3850"/>
    <x v="3909"/>
    <x v="792"/>
    <x v="0"/>
    <x v="0"/>
    <x v="4"/>
    <x v="240"/>
    <x v="2"/>
    <x v="261"/>
    <x v="58"/>
    <x v="8"/>
    <x v="706"/>
    <x v="0"/>
    <x v="3986"/>
  </r>
  <r>
    <x v="1"/>
    <x v="273"/>
    <x v="393"/>
    <x v="55"/>
    <x v="70"/>
    <x v="271"/>
    <x v="327"/>
    <x v="3477"/>
    <x v="200"/>
    <x v="624"/>
    <x v="1797"/>
    <x v="2732"/>
    <x v="3907"/>
    <x v="3891"/>
    <x v="3427"/>
    <x v="1"/>
    <x v="3851"/>
    <x v="3910"/>
    <x v="486"/>
    <x v="0"/>
    <x v="0"/>
    <x v="4"/>
    <x v="209"/>
    <x v="16"/>
    <x v="184"/>
    <x v="11"/>
    <x v="3"/>
    <x v="60"/>
    <x v="0"/>
    <x v="3987"/>
  </r>
  <r>
    <x v="0"/>
    <x v="242"/>
    <x v="419"/>
    <x v="55"/>
    <x v="163"/>
    <x v="877"/>
    <x v="54"/>
    <x v="3477"/>
    <x v="168"/>
    <x v="96"/>
    <x v="2307"/>
    <x v="2733"/>
    <x v="3908"/>
    <x v="3892"/>
    <x v="3428"/>
    <x v="4"/>
    <x v="3852"/>
    <x v="3911"/>
    <x v="793"/>
    <x v="0"/>
    <x v="0"/>
    <x v="4"/>
    <x v="209"/>
    <x v="27"/>
    <x v="864"/>
    <x v="7"/>
    <x v="3"/>
    <x v="1"/>
    <x v="0"/>
    <x v="3988"/>
  </r>
  <r>
    <x v="0"/>
    <x v="113"/>
    <x v="417"/>
    <x v="142"/>
    <x v="88"/>
    <x v="819"/>
    <x v="138"/>
    <x v="4"/>
    <x v="419"/>
    <x v="1518"/>
    <x v="310"/>
    <x v="1971"/>
    <x v="3909"/>
    <x v="3893"/>
    <x v="3429"/>
    <x v="4"/>
    <x v="3853"/>
    <x v="3912"/>
    <x v="578"/>
    <x v="0"/>
    <x v="0"/>
    <x v="5"/>
    <x v="4"/>
    <x v="4"/>
    <x v="210"/>
    <x v="6"/>
    <x v="12"/>
    <x v="57"/>
    <x v="0"/>
    <x v="3989"/>
  </r>
  <r>
    <x v="0"/>
    <x v="1749"/>
    <x v="299"/>
    <x v="79"/>
    <x v="123"/>
    <x v="661"/>
    <x v="22"/>
    <x v="3478"/>
    <x v="499"/>
    <x v="639"/>
    <x v="613"/>
    <x v="2734"/>
    <x v="3910"/>
    <x v="3894"/>
    <x v="2399"/>
    <x v="0"/>
    <x v="3854"/>
    <x v="3913"/>
    <x v="173"/>
    <x v="0"/>
    <x v="0"/>
    <x v="4"/>
    <x v="209"/>
    <x v="42"/>
    <x v="382"/>
    <x v="19"/>
    <x v="3"/>
    <x v="103"/>
    <x v="0"/>
    <x v="3990"/>
  </r>
  <r>
    <x v="0"/>
    <x v="1563"/>
    <x v="308"/>
    <x v="61"/>
    <x v="98"/>
    <x v="357"/>
    <x v="723"/>
    <x v="4"/>
    <x v="802"/>
    <x v="1519"/>
    <x v="888"/>
    <x v="2492"/>
    <x v="3911"/>
    <x v="3895"/>
    <x v="518"/>
    <x v="4"/>
    <x v="3855"/>
    <x v="3914"/>
    <x v="496"/>
    <x v="0"/>
    <x v="0"/>
    <x v="4"/>
    <x v="319"/>
    <x v="48"/>
    <x v="116"/>
    <x v="11"/>
    <x v="3"/>
    <x v="625"/>
    <x v="0"/>
    <x v="3991"/>
  </r>
  <r>
    <x v="1"/>
    <x v="1750"/>
    <x v="212"/>
    <x v="90"/>
    <x v="241"/>
    <x v="719"/>
    <x v="724"/>
    <x v="4"/>
    <x v="597"/>
    <x v="1520"/>
    <x v="465"/>
    <x v="2735"/>
    <x v="3912"/>
    <x v="3896"/>
    <x v="3430"/>
    <x v="1"/>
    <x v="3856"/>
    <x v="3915"/>
    <x v="528"/>
    <x v="0"/>
    <x v="0"/>
    <x v="11"/>
    <x v="209"/>
    <x v="58"/>
    <x v="304"/>
    <x v="25"/>
    <x v="1"/>
    <x v="1"/>
    <x v="0"/>
    <x v="3992"/>
  </r>
  <r>
    <x v="0"/>
    <x v="1568"/>
    <x v="429"/>
    <x v="36"/>
    <x v="101"/>
    <x v="503"/>
    <x v="368"/>
    <x v="4"/>
    <x v="270"/>
    <x v="1521"/>
    <x v="2308"/>
    <x v="2736"/>
    <x v="3913"/>
    <x v="3897"/>
    <x v="1711"/>
    <x v="0"/>
    <x v="3857"/>
    <x v="3916"/>
    <x v="536"/>
    <x v="0"/>
    <x v="0"/>
    <x v="9"/>
    <x v="209"/>
    <x v="64"/>
    <x v="642"/>
    <x v="32"/>
    <x v="0"/>
    <x v="397"/>
    <x v="0"/>
    <x v="3993"/>
  </r>
  <r>
    <x v="0"/>
    <x v="1045"/>
    <x v="417"/>
    <x v="61"/>
    <x v="188"/>
    <x v="723"/>
    <x v="472"/>
    <x v="4"/>
    <x v="80"/>
    <x v="873"/>
    <x v="1297"/>
    <x v="2737"/>
    <x v="3914"/>
    <x v="3898"/>
    <x v="2797"/>
    <x v="1"/>
    <x v="3858"/>
    <x v="3917"/>
    <x v="169"/>
    <x v="0"/>
    <x v="0"/>
    <x v="9"/>
    <x v="209"/>
    <x v="71"/>
    <x v="670"/>
    <x v="15"/>
    <x v="1"/>
    <x v="169"/>
    <x v="0"/>
    <x v="3994"/>
  </r>
  <r>
    <x v="0"/>
    <x v="931"/>
    <x v="382"/>
    <x v="38"/>
    <x v="17"/>
    <x v="266"/>
    <x v="725"/>
    <x v="4"/>
    <x v="582"/>
    <x v="1522"/>
    <x v="1175"/>
    <x v="2738"/>
    <x v="3915"/>
    <x v="3899"/>
    <x v="3431"/>
    <x v="0"/>
    <x v="3859"/>
    <x v="3918"/>
    <x v="614"/>
    <x v="0"/>
    <x v="1"/>
    <x v="4"/>
    <x v="126"/>
    <x v="36"/>
    <x v="627"/>
    <x v="7"/>
    <x v="3"/>
    <x v="1"/>
    <x v="0"/>
    <x v="3995"/>
  </r>
  <r>
    <x v="0"/>
    <x v="1751"/>
    <x v="522"/>
    <x v="80"/>
    <x v="188"/>
    <x v="146"/>
    <x v="45"/>
    <x v="3479"/>
    <x v="364"/>
    <x v="1478"/>
    <x v="2309"/>
    <x v="177"/>
    <x v="3916"/>
    <x v="3900"/>
    <x v="3250"/>
    <x v="0"/>
    <x v="3860"/>
    <x v="3919"/>
    <x v="530"/>
    <x v="0"/>
    <x v="0"/>
    <x v="4"/>
    <x v="209"/>
    <x v="2"/>
    <x v="697"/>
    <x v="2"/>
    <x v="10"/>
    <x v="132"/>
    <x v="0"/>
    <x v="3996"/>
  </r>
  <r>
    <x v="0"/>
    <x v="1752"/>
    <x v="307"/>
    <x v="41"/>
    <x v="0"/>
    <x v="173"/>
    <x v="219"/>
    <x v="3480"/>
    <x v="125"/>
    <x v="1523"/>
    <x v="2310"/>
    <x v="2739"/>
    <x v="3917"/>
    <x v="3901"/>
    <x v="3432"/>
    <x v="4"/>
    <x v="3861"/>
    <x v="3920"/>
    <x v="785"/>
    <x v="0"/>
    <x v="0"/>
    <x v="4"/>
    <x v="209"/>
    <x v="20"/>
    <x v="747"/>
    <x v="65"/>
    <x v="3"/>
    <x v="707"/>
    <x v="0"/>
    <x v="3997"/>
  </r>
  <r>
    <x v="0"/>
    <x v="1734"/>
    <x v="425"/>
    <x v="45"/>
    <x v="0"/>
    <x v="180"/>
    <x v="402"/>
    <x v="3481"/>
    <x v="105"/>
    <x v="1524"/>
    <x v="2311"/>
    <x v="2740"/>
    <x v="3918"/>
    <x v="3902"/>
    <x v="2727"/>
    <x v="4"/>
    <x v="3862"/>
    <x v="3921"/>
    <x v="465"/>
    <x v="0"/>
    <x v="0"/>
    <x v="4"/>
    <x v="209"/>
    <x v="25"/>
    <x v="856"/>
    <x v="9"/>
    <x v="3"/>
    <x v="631"/>
    <x v="0"/>
    <x v="3998"/>
  </r>
  <r>
    <x v="1"/>
    <x v="111"/>
    <x v="238"/>
    <x v="72"/>
    <x v="87"/>
    <x v="644"/>
    <x v="22"/>
    <x v="3482"/>
    <x v="113"/>
    <x v="240"/>
    <x v="2312"/>
    <x v="2741"/>
    <x v="3919"/>
    <x v="3903"/>
    <x v="3433"/>
    <x v="4"/>
    <x v="3863"/>
    <x v="3922"/>
    <x v="453"/>
    <x v="0"/>
    <x v="0"/>
    <x v="4"/>
    <x v="209"/>
    <x v="20"/>
    <x v="409"/>
    <x v="7"/>
    <x v="1"/>
    <x v="1"/>
    <x v="0"/>
    <x v="3999"/>
  </r>
  <r>
    <x v="0"/>
    <x v="889"/>
    <x v="180"/>
    <x v="74"/>
    <x v="319"/>
    <x v="570"/>
    <x v="93"/>
    <x v="3483"/>
    <x v="150"/>
    <x v="1525"/>
    <x v="2313"/>
    <x v="2742"/>
    <x v="3920"/>
    <x v="3904"/>
    <x v="552"/>
    <x v="0"/>
    <x v="3864"/>
    <x v="3923"/>
    <x v="444"/>
    <x v="6"/>
    <x v="52"/>
    <x v="4"/>
    <x v="126"/>
    <x v="0"/>
    <x v="865"/>
    <x v="17"/>
    <x v="1"/>
    <x v="0"/>
    <x v="0"/>
    <x v="4000"/>
  </r>
  <r>
    <x v="0"/>
    <x v="233"/>
    <x v="141"/>
    <x v="101"/>
    <x v="0"/>
    <x v="666"/>
    <x v="0"/>
    <x v="4"/>
    <x v="429"/>
    <x v="964"/>
    <x v="1505"/>
    <x v="1794"/>
    <x v="2439"/>
    <x v="3905"/>
    <x v="2170"/>
    <x v="1"/>
    <x v="2419"/>
    <x v="2439"/>
    <x v="315"/>
    <x v="0"/>
    <x v="0"/>
    <x v="10"/>
    <x v="209"/>
    <x v="39"/>
    <x v="235"/>
    <x v="13"/>
    <x v="3"/>
    <x v="67"/>
    <x v="0"/>
    <x v="4001"/>
  </r>
  <r>
    <x v="0"/>
    <x v="1753"/>
    <x v="193"/>
    <x v="50"/>
    <x v="44"/>
    <x v="629"/>
    <x v="231"/>
    <x v="4"/>
    <x v="381"/>
    <x v="1526"/>
    <x v="2314"/>
    <x v="2743"/>
    <x v="3921"/>
    <x v="3906"/>
    <x v="3434"/>
    <x v="1"/>
    <x v="3865"/>
    <x v="3924"/>
    <x v="802"/>
    <x v="0"/>
    <x v="0"/>
    <x v="4"/>
    <x v="4"/>
    <x v="8"/>
    <x v="821"/>
    <x v="30"/>
    <x v="3"/>
    <x v="381"/>
    <x v="0"/>
    <x v="4002"/>
  </r>
  <r>
    <x v="0"/>
    <x v="6"/>
    <x v="153"/>
    <x v="178"/>
    <x v="0"/>
    <x v="726"/>
    <x v="522"/>
    <x v="3484"/>
    <x v="499"/>
    <x v="1527"/>
    <x v="2315"/>
    <x v="2744"/>
    <x v="3922"/>
    <x v="3907"/>
    <x v="3435"/>
    <x v="0"/>
    <x v="3866"/>
    <x v="3925"/>
    <x v="648"/>
    <x v="0"/>
    <x v="0"/>
    <x v="14"/>
    <x v="309"/>
    <x v="42"/>
    <x v="550"/>
    <x v="6"/>
    <x v="3"/>
    <x v="1"/>
    <x v="0"/>
    <x v="4003"/>
  </r>
  <r>
    <x v="0"/>
    <x v="1754"/>
    <x v="308"/>
    <x v="113"/>
    <x v="0"/>
    <x v="205"/>
    <x v="726"/>
    <x v="3485"/>
    <x v="803"/>
    <x v="1528"/>
    <x v="1238"/>
    <x v="2745"/>
    <x v="3923"/>
    <x v="3908"/>
    <x v="3436"/>
    <x v="0"/>
    <x v="3867"/>
    <x v="3926"/>
    <x v="104"/>
    <x v="0"/>
    <x v="0"/>
    <x v="0"/>
    <x v="119"/>
    <x v="18"/>
    <x v="432"/>
    <x v="31"/>
    <x v="3"/>
    <x v="1"/>
    <x v="0"/>
    <x v="4004"/>
  </r>
  <r>
    <x v="0"/>
    <x v="1755"/>
    <x v="296"/>
    <x v="55"/>
    <x v="210"/>
    <x v="865"/>
    <x v="235"/>
    <x v="4"/>
    <x v="429"/>
    <x v="431"/>
    <x v="1115"/>
    <x v="2746"/>
    <x v="3924"/>
    <x v="3909"/>
    <x v="3437"/>
    <x v="0"/>
    <x v="3868"/>
    <x v="3927"/>
    <x v="651"/>
    <x v="0"/>
    <x v="0"/>
    <x v="5"/>
    <x v="138"/>
    <x v="9"/>
    <x v="294"/>
    <x v="47"/>
    <x v="0"/>
    <x v="526"/>
    <x v="0"/>
    <x v="4005"/>
  </r>
  <r>
    <x v="0"/>
    <x v="1756"/>
    <x v="347"/>
    <x v="11"/>
    <x v="188"/>
    <x v="567"/>
    <x v="436"/>
    <x v="3486"/>
    <x v="433"/>
    <x v="1529"/>
    <x v="2316"/>
    <x v="2747"/>
    <x v="3925"/>
    <x v="3910"/>
    <x v="1265"/>
    <x v="0"/>
    <x v="3869"/>
    <x v="3928"/>
    <x v="803"/>
    <x v="6"/>
    <x v="12"/>
    <x v="4"/>
    <x v="209"/>
    <x v="20"/>
    <x v="866"/>
    <x v="2"/>
    <x v="3"/>
    <x v="615"/>
    <x v="0"/>
    <x v="4006"/>
  </r>
  <r>
    <x v="0"/>
    <x v="1757"/>
    <x v="523"/>
    <x v="33"/>
    <x v="69"/>
    <x v="597"/>
    <x v="242"/>
    <x v="3487"/>
    <x v="804"/>
    <x v="1530"/>
    <x v="2317"/>
    <x v="2748"/>
    <x v="3926"/>
    <x v="3911"/>
    <x v="2202"/>
    <x v="0"/>
    <x v="3870"/>
    <x v="3929"/>
    <x v="614"/>
    <x v="33"/>
    <x v="37"/>
    <x v="0"/>
    <x v="320"/>
    <x v="5"/>
    <x v="231"/>
    <x v="15"/>
    <x v="3"/>
    <x v="58"/>
    <x v="0"/>
    <x v="4007"/>
  </r>
  <r>
    <x v="0"/>
    <x v="1758"/>
    <x v="421"/>
    <x v="59"/>
    <x v="0"/>
    <x v="248"/>
    <x v="93"/>
    <x v="3488"/>
    <x v="127"/>
    <x v="165"/>
    <x v="51"/>
    <x v="320"/>
    <x v="3927"/>
    <x v="3912"/>
    <x v="3438"/>
    <x v="3"/>
    <x v="3871"/>
    <x v="3930"/>
    <x v="343"/>
    <x v="0"/>
    <x v="0"/>
    <x v="4"/>
    <x v="209"/>
    <x v="7"/>
    <x v="40"/>
    <x v="12"/>
    <x v="3"/>
    <x v="708"/>
    <x v="0"/>
    <x v="4008"/>
  </r>
  <r>
    <x v="0"/>
    <x v="409"/>
    <x v="220"/>
    <x v="58"/>
    <x v="228"/>
    <x v="841"/>
    <x v="40"/>
    <x v="833"/>
    <x v="148"/>
    <x v="189"/>
    <x v="618"/>
    <x v="334"/>
    <x v="862"/>
    <x v="3913"/>
    <x v="2087"/>
    <x v="2"/>
    <x v="857"/>
    <x v="862"/>
    <x v="488"/>
    <x v="0"/>
    <x v="0"/>
    <x v="4"/>
    <x v="76"/>
    <x v="3"/>
    <x v="381"/>
    <x v="20"/>
    <x v="1"/>
    <x v="61"/>
    <x v="0"/>
    <x v="4009"/>
  </r>
  <r>
    <x v="0"/>
    <x v="1759"/>
    <x v="401"/>
    <x v="42"/>
    <x v="134"/>
    <x v="417"/>
    <x v="2"/>
    <x v="3489"/>
    <x v="200"/>
    <x v="336"/>
    <x v="229"/>
    <x v="1786"/>
    <x v="3928"/>
    <x v="3914"/>
    <x v="3439"/>
    <x v="2"/>
    <x v="3872"/>
    <x v="3931"/>
    <x v="327"/>
    <x v="0"/>
    <x v="0"/>
    <x v="4"/>
    <x v="209"/>
    <x v="12"/>
    <x v="135"/>
    <x v="21"/>
    <x v="3"/>
    <x v="690"/>
    <x v="0"/>
    <x v="4010"/>
  </r>
  <r>
    <x v="0"/>
    <x v="448"/>
    <x v="401"/>
    <x v="43"/>
    <x v="80"/>
    <x v="518"/>
    <x v="41"/>
    <x v="3490"/>
    <x v="106"/>
    <x v="1019"/>
    <x v="2318"/>
    <x v="782"/>
    <x v="3929"/>
    <x v="3915"/>
    <x v="3440"/>
    <x v="3"/>
    <x v="3873"/>
    <x v="3932"/>
    <x v="675"/>
    <x v="0"/>
    <x v="0"/>
    <x v="0"/>
    <x v="209"/>
    <x v="14"/>
    <x v="83"/>
    <x v="43"/>
    <x v="1"/>
    <x v="103"/>
    <x v="0"/>
    <x v="4011"/>
  </r>
  <r>
    <x v="0"/>
    <x v="1760"/>
    <x v="435"/>
    <x v="72"/>
    <x v="52"/>
    <x v="845"/>
    <x v="220"/>
    <x v="3491"/>
    <x v="805"/>
    <x v="1531"/>
    <x v="2319"/>
    <x v="2749"/>
    <x v="3930"/>
    <x v="3916"/>
    <x v="3441"/>
    <x v="0"/>
    <x v="4"/>
    <x v="3933"/>
    <x v="83"/>
    <x v="0"/>
    <x v="4"/>
    <x v="0"/>
    <x v="209"/>
    <x v="6"/>
    <x v="167"/>
    <x v="55"/>
    <x v="3"/>
    <x v="1"/>
    <x v="0"/>
    <x v="4012"/>
  </r>
  <r>
    <x v="0"/>
    <x v="1761"/>
    <x v="464"/>
    <x v="42"/>
    <x v="0"/>
    <x v="738"/>
    <x v="684"/>
    <x v="4"/>
    <x v="171"/>
    <x v="1384"/>
    <x v="2320"/>
    <x v="2750"/>
    <x v="3931"/>
    <x v="3917"/>
    <x v="3442"/>
    <x v="0"/>
    <x v="3874"/>
    <x v="3934"/>
    <x v="744"/>
    <x v="0"/>
    <x v="0"/>
    <x v="1"/>
    <x v="209"/>
    <x v="8"/>
    <x v="696"/>
    <x v="9"/>
    <x v="3"/>
    <x v="506"/>
    <x v="0"/>
    <x v="4013"/>
  </r>
  <r>
    <x v="0"/>
    <x v="1762"/>
    <x v="451"/>
    <x v="27"/>
    <x v="85"/>
    <x v="214"/>
    <x v="263"/>
    <x v="4"/>
    <x v="26"/>
    <x v="478"/>
    <x v="880"/>
    <x v="2751"/>
    <x v="3932"/>
    <x v="3918"/>
    <x v="3443"/>
    <x v="5"/>
    <x v="3875"/>
    <x v="3935"/>
    <x v="822"/>
    <x v="0"/>
    <x v="0"/>
    <x v="4"/>
    <x v="138"/>
    <x v="20"/>
    <x v="92"/>
    <x v="34"/>
    <x v="15"/>
    <x v="492"/>
    <x v="0"/>
    <x v="4014"/>
  </r>
  <r>
    <x v="0"/>
    <x v="113"/>
    <x v="93"/>
    <x v="117"/>
    <x v="88"/>
    <x v="599"/>
    <x v="349"/>
    <x v="4"/>
    <x v="306"/>
    <x v="1371"/>
    <x v="2321"/>
    <x v="2752"/>
    <x v="3933"/>
    <x v="3919"/>
    <x v="1620"/>
    <x v="3"/>
    <x v="3876"/>
    <x v="3936"/>
    <x v="854"/>
    <x v="0"/>
    <x v="1"/>
    <x v="1"/>
    <x v="4"/>
    <x v="4"/>
    <x v="517"/>
    <x v="11"/>
    <x v="2"/>
    <x v="546"/>
    <x v="0"/>
    <x v="4015"/>
  </r>
  <r>
    <x v="0"/>
    <x v="1763"/>
    <x v="169"/>
    <x v="45"/>
    <x v="0"/>
    <x v="431"/>
    <x v="277"/>
    <x v="4"/>
    <x v="381"/>
    <x v="1443"/>
    <x v="814"/>
    <x v="2753"/>
    <x v="3934"/>
    <x v="3920"/>
    <x v="3444"/>
    <x v="0"/>
    <x v="3877"/>
    <x v="3937"/>
    <x v="818"/>
    <x v="0"/>
    <x v="0"/>
    <x v="1"/>
    <x v="209"/>
    <x v="0"/>
    <x v="111"/>
    <x v="30"/>
    <x v="1"/>
    <x v="255"/>
    <x v="0"/>
    <x v="4016"/>
  </r>
  <r>
    <x v="0"/>
    <x v="1764"/>
    <x v="402"/>
    <x v="2"/>
    <x v="186"/>
    <x v="886"/>
    <x v="35"/>
    <x v="4"/>
    <x v="806"/>
    <x v="234"/>
    <x v="1011"/>
    <x v="2754"/>
    <x v="3935"/>
    <x v="3921"/>
    <x v="3445"/>
    <x v="0"/>
    <x v="3878"/>
    <x v="3938"/>
    <x v="650"/>
    <x v="0"/>
    <x v="0"/>
    <x v="0"/>
    <x v="209"/>
    <x v="9"/>
    <x v="559"/>
    <x v="26"/>
    <x v="2"/>
    <x v="9"/>
    <x v="0"/>
    <x v="4017"/>
  </r>
  <r>
    <x v="0"/>
    <x v="1765"/>
    <x v="489"/>
    <x v="7"/>
    <x v="163"/>
    <x v="298"/>
    <x v="146"/>
    <x v="3492"/>
    <x v="4"/>
    <x v="1532"/>
    <x v="2322"/>
    <x v="2755"/>
    <x v="3936"/>
    <x v="3922"/>
    <x v="1736"/>
    <x v="0"/>
    <x v="4"/>
    <x v="3939"/>
    <x v="188"/>
    <x v="0"/>
    <x v="0"/>
    <x v="1"/>
    <x v="209"/>
    <x v="2"/>
    <x v="515"/>
    <x v="15"/>
    <x v="2"/>
    <x v="709"/>
    <x v="0"/>
    <x v="4018"/>
  </r>
  <r>
    <x v="0"/>
    <x v="388"/>
    <x v="479"/>
    <x v="107"/>
    <x v="220"/>
    <x v="570"/>
    <x v="619"/>
    <x v="4"/>
    <x v="151"/>
    <x v="1217"/>
    <x v="2323"/>
    <x v="2756"/>
    <x v="3937"/>
    <x v="3923"/>
    <x v="3252"/>
    <x v="1"/>
    <x v="3879"/>
    <x v="3940"/>
    <x v="896"/>
    <x v="0"/>
    <x v="4"/>
    <x v="4"/>
    <x v="209"/>
    <x v="11"/>
    <x v="311"/>
    <x v="47"/>
    <x v="0"/>
    <x v="710"/>
    <x v="0"/>
    <x v="4019"/>
  </r>
  <r>
    <x v="0"/>
    <x v="1766"/>
    <x v="478"/>
    <x v="80"/>
    <x v="125"/>
    <x v="507"/>
    <x v="35"/>
    <x v="4"/>
    <x v="28"/>
    <x v="461"/>
    <x v="311"/>
    <x v="1846"/>
    <x v="3938"/>
    <x v="3924"/>
    <x v="1580"/>
    <x v="4"/>
    <x v="3880"/>
    <x v="3941"/>
    <x v="896"/>
    <x v="0"/>
    <x v="0"/>
    <x v="9"/>
    <x v="209"/>
    <x v="11"/>
    <x v="211"/>
    <x v="28"/>
    <x v="3"/>
    <x v="711"/>
    <x v="0"/>
    <x v="4020"/>
  </r>
  <r>
    <x v="0"/>
    <x v="1767"/>
    <x v="435"/>
    <x v="76"/>
    <x v="107"/>
    <x v="109"/>
    <x v="132"/>
    <x v="4"/>
    <x v="306"/>
    <x v="1533"/>
    <x v="2324"/>
    <x v="817"/>
    <x v="3939"/>
    <x v="3925"/>
    <x v="1622"/>
    <x v="0"/>
    <x v="3881"/>
    <x v="3942"/>
    <x v="96"/>
    <x v="0"/>
    <x v="2"/>
    <x v="1"/>
    <x v="209"/>
    <x v="11"/>
    <x v="376"/>
    <x v="30"/>
    <x v="1"/>
    <x v="648"/>
    <x v="0"/>
    <x v="4021"/>
  </r>
  <r>
    <x v="0"/>
    <x v="1768"/>
    <x v="320"/>
    <x v="78"/>
    <x v="0"/>
    <x v="683"/>
    <x v="0"/>
    <x v="4"/>
    <x v="180"/>
    <x v="167"/>
    <x v="2325"/>
    <x v="2757"/>
    <x v="3940"/>
    <x v="3926"/>
    <x v="2998"/>
    <x v="1"/>
    <x v="3882"/>
    <x v="3943"/>
    <x v="684"/>
    <x v="0"/>
    <x v="1"/>
    <x v="4"/>
    <x v="321"/>
    <x v="11"/>
    <x v="844"/>
    <x v="69"/>
    <x v="1"/>
    <x v="712"/>
    <x v="0"/>
    <x v="4022"/>
  </r>
  <r>
    <x v="0"/>
    <x v="873"/>
    <x v="398"/>
    <x v="50"/>
    <x v="0"/>
    <x v="753"/>
    <x v="0"/>
    <x v="4"/>
    <x v="125"/>
    <x v="1161"/>
    <x v="536"/>
    <x v="2758"/>
    <x v="3941"/>
    <x v="3927"/>
    <x v="3446"/>
    <x v="0"/>
    <x v="3883"/>
    <x v="3944"/>
    <x v="386"/>
    <x v="0"/>
    <x v="0"/>
    <x v="2"/>
    <x v="311"/>
    <x v="47"/>
    <x v="348"/>
    <x v="10"/>
    <x v="3"/>
    <x v="1"/>
    <x v="0"/>
    <x v="4023"/>
  </r>
  <r>
    <x v="0"/>
    <x v="1769"/>
    <x v="244"/>
    <x v="110"/>
    <x v="123"/>
    <x v="485"/>
    <x v="2"/>
    <x v="3493"/>
    <x v="4"/>
    <x v="130"/>
    <x v="2326"/>
    <x v="2240"/>
    <x v="3942"/>
    <x v="3928"/>
    <x v="3447"/>
    <x v="0"/>
    <x v="3884"/>
    <x v="3945"/>
    <x v="569"/>
    <x v="3"/>
    <x v="10"/>
    <x v="3"/>
    <x v="83"/>
    <x v="12"/>
    <x v="450"/>
    <x v="32"/>
    <x v="3"/>
    <x v="1"/>
    <x v="0"/>
    <x v="4024"/>
  </r>
  <r>
    <x v="0"/>
    <x v="957"/>
    <x v="327"/>
    <x v="86"/>
    <x v="266"/>
    <x v="887"/>
    <x v="11"/>
    <x v="3494"/>
    <x v="283"/>
    <x v="11"/>
    <x v="673"/>
    <x v="2759"/>
    <x v="3943"/>
    <x v="3929"/>
    <x v="3448"/>
    <x v="8"/>
    <x v="3885"/>
    <x v="3946"/>
    <x v="571"/>
    <x v="0"/>
    <x v="0"/>
    <x v="4"/>
    <x v="209"/>
    <x v="10"/>
    <x v="12"/>
    <x v="1"/>
    <x v="3"/>
    <x v="90"/>
    <x v="0"/>
    <x v="4025"/>
  </r>
  <r>
    <x v="0"/>
    <x v="1770"/>
    <x v="81"/>
    <x v="77"/>
    <x v="0"/>
    <x v="496"/>
    <x v="467"/>
    <x v="4"/>
    <x v="17"/>
    <x v="1534"/>
    <x v="2327"/>
    <x v="2760"/>
    <x v="3944"/>
    <x v="3930"/>
    <x v="3449"/>
    <x v="1"/>
    <x v="3886"/>
    <x v="3947"/>
    <x v="96"/>
    <x v="0"/>
    <x v="0"/>
    <x v="9"/>
    <x v="4"/>
    <x v="10"/>
    <x v="779"/>
    <x v="9"/>
    <x v="1"/>
    <x v="647"/>
    <x v="0"/>
    <x v="4026"/>
  </r>
  <r>
    <x v="0"/>
    <x v="1771"/>
    <x v="171"/>
    <x v="80"/>
    <x v="0"/>
    <x v="198"/>
    <x v="0"/>
    <x v="3495"/>
    <x v="200"/>
    <x v="327"/>
    <x v="2328"/>
    <x v="573"/>
    <x v="3945"/>
    <x v="2824"/>
    <x v="3450"/>
    <x v="0"/>
    <x v="3887"/>
    <x v="3948"/>
    <x v="547"/>
    <x v="0"/>
    <x v="0"/>
    <x v="4"/>
    <x v="119"/>
    <x v="8"/>
    <x v="297"/>
    <x v="12"/>
    <x v="10"/>
    <x v="1"/>
    <x v="0"/>
    <x v="4027"/>
  </r>
  <r>
    <x v="0"/>
    <x v="1772"/>
    <x v="513"/>
    <x v="86"/>
    <x v="344"/>
    <x v="70"/>
    <x v="6"/>
    <x v="3496"/>
    <x v="419"/>
    <x v="6"/>
    <x v="1013"/>
    <x v="861"/>
    <x v="3946"/>
    <x v="3931"/>
    <x v="3451"/>
    <x v="0"/>
    <x v="3888"/>
    <x v="3949"/>
    <x v="939"/>
    <x v="0"/>
    <x v="0"/>
    <x v="4"/>
    <x v="296"/>
    <x v="11"/>
    <x v="276"/>
    <x v="3"/>
    <x v="14"/>
    <x v="28"/>
    <x v="0"/>
    <x v="4028"/>
  </r>
  <r>
    <x v="0"/>
    <x v="787"/>
    <x v="418"/>
    <x v="24"/>
    <x v="302"/>
    <x v="183"/>
    <x v="0"/>
    <x v="3497"/>
    <x v="152"/>
    <x v="638"/>
    <x v="2301"/>
    <x v="2761"/>
    <x v="3947"/>
    <x v="3932"/>
    <x v="3452"/>
    <x v="0"/>
    <x v="3889"/>
    <x v="3950"/>
    <x v="899"/>
    <x v="30"/>
    <x v="49"/>
    <x v="4"/>
    <x v="296"/>
    <x v="19"/>
    <x v="779"/>
    <x v="50"/>
    <x v="3"/>
    <x v="82"/>
    <x v="0"/>
    <x v="4029"/>
  </r>
  <r>
    <x v="0"/>
    <x v="1773"/>
    <x v="276"/>
    <x v="77"/>
    <x v="193"/>
    <x v="173"/>
    <x v="427"/>
    <x v="3498"/>
    <x v="430"/>
    <x v="1223"/>
    <x v="2329"/>
    <x v="1358"/>
    <x v="3948"/>
    <x v="3933"/>
    <x v="578"/>
    <x v="4"/>
    <x v="3890"/>
    <x v="3951"/>
    <x v="284"/>
    <x v="0"/>
    <x v="1"/>
    <x v="4"/>
    <x v="298"/>
    <x v="15"/>
    <x v="421"/>
    <x v="1"/>
    <x v="3"/>
    <x v="1"/>
    <x v="0"/>
    <x v="4030"/>
  </r>
  <r>
    <x v="0"/>
    <x v="1774"/>
    <x v="479"/>
    <x v="58"/>
    <x v="107"/>
    <x v="640"/>
    <x v="727"/>
    <x v="4"/>
    <x v="316"/>
    <x v="1535"/>
    <x v="2330"/>
    <x v="2762"/>
    <x v="3949"/>
    <x v="3934"/>
    <x v="1992"/>
    <x v="6"/>
    <x v="3891"/>
    <x v="3952"/>
    <x v="96"/>
    <x v="0"/>
    <x v="0"/>
    <x v="0"/>
    <x v="311"/>
    <x v="3"/>
    <x v="729"/>
    <x v="4"/>
    <x v="2"/>
    <x v="1"/>
    <x v="0"/>
    <x v="4031"/>
  </r>
  <r>
    <x v="0"/>
    <x v="1775"/>
    <x v="69"/>
    <x v="41"/>
    <x v="188"/>
    <x v="498"/>
    <x v="2"/>
    <x v="3499"/>
    <x v="241"/>
    <x v="182"/>
    <x v="169"/>
    <x v="2763"/>
    <x v="3950"/>
    <x v="3935"/>
    <x v="3453"/>
    <x v="0"/>
    <x v="3892"/>
    <x v="3953"/>
    <x v="546"/>
    <x v="0"/>
    <x v="0"/>
    <x v="4"/>
    <x v="4"/>
    <x v="7"/>
    <x v="113"/>
    <x v="10"/>
    <x v="3"/>
    <x v="713"/>
    <x v="0"/>
    <x v="4032"/>
  </r>
  <r>
    <x v="0"/>
    <x v="1470"/>
    <x v="165"/>
    <x v="69"/>
    <x v="374"/>
    <x v="713"/>
    <x v="700"/>
    <x v="3500"/>
    <x v="270"/>
    <x v="1536"/>
    <x v="2331"/>
    <x v="2764"/>
    <x v="3951"/>
    <x v="3936"/>
    <x v="3454"/>
    <x v="1"/>
    <x v="3893"/>
    <x v="3954"/>
    <x v="61"/>
    <x v="31"/>
    <x v="23"/>
    <x v="4"/>
    <x v="315"/>
    <x v="3"/>
    <x v="779"/>
    <x v="24"/>
    <x v="1"/>
    <x v="24"/>
    <x v="0"/>
    <x v="4033"/>
  </r>
  <r>
    <x v="0"/>
    <x v="950"/>
    <x v="216"/>
    <x v="50"/>
    <x v="50"/>
    <x v="822"/>
    <x v="48"/>
    <x v="4"/>
    <x v="238"/>
    <x v="81"/>
    <x v="2332"/>
    <x v="2765"/>
    <x v="3952"/>
    <x v="3937"/>
    <x v="3455"/>
    <x v="0"/>
    <x v="3894"/>
    <x v="3955"/>
    <x v="267"/>
    <x v="0"/>
    <x v="0"/>
    <x v="2"/>
    <x v="213"/>
    <x v="45"/>
    <x v="199"/>
    <x v="14"/>
    <x v="3"/>
    <x v="45"/>
    <x v="0"/>
    <x v="4034"/>
  </r>
  <r>
    <x v="0"/>
    <x v="955"/>
    <x v="370"/>
    <x v="43"/>
    <x v="47"/>
    <x v="628"/>
    <x v="219"/>
    <x v="3501"/>
    <x v="17"/>
    <x v="1537"/>
    <x v="227"/>
    <x v="1068"/>
    <x v="3953"/>
    <x v="3938"/>
    <x v="1744"/>
    <x v="0"/>
    <x v="3895"/>
    <x v="3956"/>
    <x v="149"/>
    <x v="0"/>
    <x v="0"/>
    <x v="0"/>
    <x v="296"/>
    <x v="7"/>
    <x v="154"/>
    <x v="38"/>
    <x v="3"/>
    <x v="1"/>
    <x v="0"/>
    <x v="4035"/>
  </r>
  <r>
    <x v="0"/>
    <x v="1114"/>
    <x v="217"/>
    <x v="42"/>
    <x v="244"/>
    <x v="262"/>
    <x v="544"/>
    <x v="4"/>
    <x v="28"/>
    <x v="1538"/>
    <x v="2333"/>
    <x v="2766"/>
    <x v="3954"/>
    <x v="3939"/>
    <x v="3057"/>
    <x v="2"/>
    <x v="3896"/>
    <x v="3957"/>
    <x v="678"/>
    <x v="0"/>
    <x v="4"/>
    <x v="4"/>
    <x v="322"/>
    <x v="26"/>
    <x v="867"/>
    <x v="4"/>
    <x v="3"/>
    <x v="509"/>
    <x v="0"/>
    <x v="4036"/>
  </r>
  <r>
    <x v="0"/>
    <x v="1776"/>
    <x v="93"/>
    <x v="55"/>
    <x v="287"/>
    <x v="580"/>
    <x v="42"/>
    <x v="4"/>
    <x v="125"/>
    <x v="1329"/>
    <x v="946"/>
    <x v="2767"/>
    <x v="3955"/>
    <x v="3940"/>
    <x v="1059"/>
    <x v="7"/>
    <x v="3897"/>
    <x v="3958"/>
    <x v="416"/>
    <x v="0"/>
    <x v="0"/>
    <x v="1"/>
    <x v="296"/>
    <x v="11"/>
    <x v="532"/>
    <x v="33"/>
    <x v="12"/>
    <x v="1"/>
    <x v="0"/>
    <x v="4037"/>
  </r>
  <r>
    <x v="0"/>
    <x v="1777"/>
    <x v="441"/>
    <x v="80"/>
    <x v="198"/>
    <x v="417"/>
    <x v="213"/>
    <x v="3502"/>
    <x v="17"/>
    <x v="1059"/>
    <x v="2334"/>
    <x v="606"/>
    <x v="3956"/>
    <x v="3941"/>
    <x v="2199"/>
    <x v="0"/>
    <x v="3898"/>
    <x v="3959"/>
    <x v="684"/>
    <x v="0"/>
    <x v="0"/>
    <x v="4"/>
    <x v="126"/>
    <x v="15"/>
    <x v="668"/>
    <x v="21"/>
    <x v="2"/>
    <x v="714"/>
    <x v="0"/>
    <x v="4038"/>
  </r>
  <r>
    <x v="0"/>
    <x v="1778"/>
    <x v="237"/>
    <x v="57"/>
    <x v="218"/>
    <x v="298"/>
    <x v="594"/>
    <x v="3503"/>
    <x v="270"/>
    <x v="1539"/>
    <x v="2335"/>
    <x v="2768"/>
    <x v="3957"/>
    <x v="3942"/>
    <x v="3456"/>
    <x v="6"/>
    <x v="3899"/>
    <x v="3960"/>
    <x v="514"/>
    <x v="3"/>
    <x v="10"/>
    <x v="0"/>
    <x v="4"/>
    <x v="8"/>
    <x v="556"/>
    <x v="7"/>
    <x v="1"/>
    <x v="1"/>
    <x v="0"/>
    <x v="4039"/>
  </r>
  <r>
    <x v="0"/>
    <x v="335"/>
    <x v="300"/>
    <x v="16"/>
    <x v="67"/>
    <x v="888"/>
    <x v="599"/>
    <x v="4"/>
    <x v="630"/>
    <x v="1170"/>
    <x v="1409"/>
    <x v="2769"/>
    <x v="3958"/>
    <x v="3943"/>
    <x v="3457"/>
    <x v="0"/>
    <x v="3900"/>
    <x v="3961"/>
    <x v="183"/>
    <x v="0"/>
    <x v="0"/>
    <x v="4"/>
    <x v="277"/>
    <x v="38"/>
    <x v="22"/>
    <x v="25"/>
    <x v="3"/>
    <x v="38"/>
    <x v="0"/>
    <x v="4040"/>
  </r>
  <r>
    <x v="1"/>
    <x v="1779"/>
    <x v="283"/>
    <x v="18"/>
    <x v="401"/>
    <x v="759"/>
    <x v="42"/>
    <x v="4"/>
    <x v="134"/>
    <x v="1540"/>
    <x v="2178"/>
    <x v="2770"/>
    <x v="3959"/>
    <x v="3944"/>
    <x v="3458"/>
    <x v="1"/>
    <x v="3901"/>
    <x v="3962"/>
    <x v="178"/>
    <x v="0"/>
    <x v="0"/>
    <x v="11"/>
    <x v="310"/>
    <x v="34"/>
    <x v="442"/>
    <x v="14"/>
    <x v="3"/>
    <x v="1"/>
    <x v="0"/>
    <x v="4041"/>
  </r>
  <r>
    <x v="0"/>
    <x v="1780"/>
    <x v="270"/>
    <x v="77"/>
    <x v="85"/>
    <x v="475"/>
    <x v="503"/>
    <x v="3504"/>
    <x v="17"/>
    <x v="937"/>
    <x v="2336"/>
    <x v="2771"/>
    <x v="3960"/>
    <x v="3945"/>
    <x v="1540"/>
    <x v="0"/>
    <x v="3902"/>
    <x v="3963"/>
    <x v="640"/>
    <x v="0"/>
    <x v="0"/>
    <x v="0"/>
    <x v="4"/>
    <x v="0"/>
    <x v="386"/>
    <x v="13"/>
    <x v="1"/>
    <x v="1"/>
    <x v="0"/>
    <x v="4042"/>
  </r>
  <r>
    <x v="0"/>
    <x v="1781"/>
    <x v="297"/>
    <x v="59"/>
    <x v="89"/>
    <x v="423"/>
    <x v="728"/>
    <x v="3505"/>
    <x v="152"/>
    <x v="1541"/>
    <x v="2337"/>
    <x v="2772"/>
    <x v="3961"/>
    <x v="3946"/>
    <x v="3459"/>
    <x v="0"/>
    <x v="3903"/>
    <x v="3964"/>
    <x v="497"/>
    <x v="6"/>
    <x v="53"/>
    <x v="4"/>
    <x v="119"/>
    <x v="14"/>
    <x v="604"/>
    <x v="7"/>
    <x v="3"/>
    <x v="1"/>
    <x v="0"/>
    <x v="4043"/>
  </r>
  <r>
    <x v="0"/>
    <x v="1714"/>
    <x v="344"/>
    <x v="72"/>
    <x v="114"/>
    <x v="164"/>
    <x v="0"/>
    <x v="3506"/>
    <x v="105"/>
    <x v="300"/>
    <x v="2269"/>
    <x v="2773"/>
    <x v="3962"/>
    <x v="3947"/>
    <x v="2319"/>
    <x v="2"/>
    <x v="3904"/>
    <x v="3965"/>
    <x v="593"/>
    <x v="0"/>
    <x v="0"/>
    <x v="4"/>
    <x v="310"/>
    <x v="5"/>
    <x v="309"/>
    <x v="13"/>
    <x v="3"/>
    <x v="61"/>
    <x v="0"/>
    <x v="4044"/>
  </r>
  <r>
    <x v="0"/>
    <x v="1782"/>
    <x v="335"/>
    <x v="54"/>
    <x v="47"/>
    <x v="286"/>
    <x v="274"/>
    <x v="4"/>
    <x v="807"/>
    <x v="500"/>
    <x v="2338"/>
    <x v="2774"/>
    <x v="3963"/>
    <x v="3948"/>
    <x v="3460"/>
    <x v="0"/>
    <x v="3905"/>
    <x v="3966"/>
    <x v="418"/>
    <x v="0"/>
    <x v="0"/>
    <x v="4"/>
    <x v="310"/>
    <x v="12"/>
    <x v="12"/>
    <x v="21"/>
    <x v="1"/>
    <x v="1"/>
    <x v="0"/>
    <x v="4045"/>
  </r>
  <r>
    <x v="0"/>
    <x v="459"/>
    <x v="160"/>
    <x v="56"/>
    <x v="243"/>
    <x v="363"/>
    <x v="0"/>
    <x v="802"/>
    <x v="125"/>
    <x v="720"/>
    <x v="1350"/>
    <x v="889"/>
    <x v="3964"/>
    <x v="3949"/>
    <x v="3461"/>
    <x v="5"/>
    <x v="3906"/>
    <x v="3967"/>
    <x v="73"/>
    <x v="0"/>
    <x v="0"/>
    <x v="4"/>
    <x v="119"/>
    <x v="33"/>
    <x v="323"/>
    <x v="32"/>
    <x v="3"/>
    <x v="1"/>
    <x v="0"/>
    <x v="4046"/>
  </r>
  <r>
    <x v="0"/>
    <x v="1494"/>
    <x v="328"/>
    <x v="47"/>
    <x v="228"/>
    <x v="491"/>
    <x v="278"/>
    <x v="3507"/>
    <x v="2"/>
    <x v="1542"/>
    <x v="2339"/>
    <x v="735"/>
    <x v="3965"/>
    <x v="3950"/>
    <x v="3462"/>
    <x v="4"/>
    <x v="3907"/>
    <x v="3968"/>
    <x v="598"/>
    <x v="0"/>
    <x v="1"/>
    <x v="11"/>
    <x v="119"/>
    <x v="53"/>
    <x v="464"/>
    <x v="6"/>
    <x v="15"/>
    <x v="1"/>
    <x v="0"/>
    <x v="4047"/>
  </r>
  <r>
    <x v="0"/>
    <x v="1783"/>
    <x v="86"/>
    <x v="26"/>
    <x v="171"/>
    <x v="130"/>
    <x v="105"/>
    <x v="4"/>
    <x v="321"/>
    <x v="1543"/>
    <x v="2220"/>
    <x v="2775"/>
    <x v="3966"/>
    <x v="3951"/>
    <x v="1908"/>
    <x v="0"/>
    <x v="3908"/>
    <x v="3969"/>
    <x v="637"/>
    <x v="0"/>
    <x v="4"/>
    <x v="9"/>
    <x v="310"/>
    <x v="3"/>
    <x v="854"/>
    <x v="20"/>
    <x v="3"/>
    <x v="1"/>
    <x v="0"/>
    <x v="4048"/>
  </r>
  <r>
    <x v="0"/>
    <x v="1784"/>
    <x v="278"/>
    <x v="34"/>
    <x v="402"/>
    <x v="644"/>
    <x v="486"/>
    <x v="4"/>
    <x v="158"/>
    <x v="1544"/>
    <x v="2340"/>
    <x v="2720"/>
    <x v="3967"/>
    <x v="3952"/>
    <x v="3463"/>
    <x v="0"/>
    <x v="3909"/>
    <x v="3970"/>
    <x v="177"/>
    <x v="0"/>
    <x v="0"/>
    <x v="2"/>
    <x v="323"/>
    <x v="61"/>
    <x v="799"/>
    <x v="35"/>
    <x v="15"/>
    <x v="25"/>
    <x v="0"/>
    <x v="4049"/>
  </r>
  <r>
    <x v="0"/>
    <x v="464"/>
    <x v="295"/>
    <x v="50"/>
    <x v="0"/>
    <x v="225"/>
    <x v="35"/>
    <x v="3508"/>
    <x v="270"/>
    <x v="44"/>
    <x v="881"/>
    <x v="286"/>
    <x v="3968"/>
    <x v="3953"/>
    <x v="3384"/>
    <x v="2"/>
    <x v="3910"/>
    <x v="3971"/>
    <x v="181"/>
    <x v="0"/>
    <x v="1"/>
    <x v="4"/>
    <x v="209"/>
    <x v="25"/>
    <x v="509"/>
    <x v="17"/>
    <x v="3"/>
    <x v="90"/>
    <x v="0"/>
    <x v="4050"/>
  </r>
  <r>
    <x v="0"/>
    <x v="437"/>
    <x v="302"/>
    <x v="69"/>
    <x v="0"/>
    <x v="677"/>
    <x v="0"/>
    <x v="3509"/>
    <x v="771"/>
    <x v="85"/>
    <x v="392"/>
    <x v="2336"/>
    <x v="3969"/>
    <x v="3954"/>
    <x v="3464"/>
    <x v="0"/>
    <x v="3911"/>
    <x v="3972"/>
    <x v="536"/>
    <x v="0"/>
    <x v="0"/>
    <x v="4"/>
    <x v="119"/>
    <x v="21"/>
    <x v="263"/>
    <x v="4"/>
    <x v="3"/>
    <x v="295"/>
    <x v="0"/>
    <x v="4051"/>
  </r>
  <r>
    <x v="0"/>
    <x v="1785"/>
    <x v="70"/>
    <x v="42"/>
    <x v="122"/>
    <x v="859"/>
    <x v="729"/>
    <x v="3510"/>
    <x v="429"/>
    <x v="1545"/>
    <x v="2341"/>
    <x v="2776"/>
    <x v="3970"/>
    <x v="3955"/>
    <x v="3191"/>
    <x v="0"/>
    <x v="3912"/>
    <x v="3973"/>
    <x v="844"/>
    <x v="0"/>
    <x v="0"/>
    <x v="4"/>
    <x v="119"/>
    <x v="5"/>
    <x v="707"/>
    <x v="20"/>
    <x v="3"/>
    <x v="57"/>
    <x v="0"/>
    <x v="4052"/>
  </r>
  <r>
    <x v="0"/>
    <x v="606"/>
    <x v="160"/>
    <x v="43"/>
    <x v="79"/>
    <x v="548"/>
    <x v="349"/>
    <x v="3511"/>
    <x v="125"/>
    <x v="1371"/>
    <x v="448"/>
    <x v="1244"/>
    <x v="3971"/>
    <x v="3956"/>
    <x v="3465"/>
    <x v="0"/>
    <x v="3913"/>
    <x v="3974"/>
    <x v="507"/>
    <x v="0"/>
    <x v="1"/>
    <x v="2"/>
    <x v="119"/>
    <x v="20"/>
    <x v="295"/>
    <x v="38"/>
    <x v="1"/>
    <x v="1"/>
    <x v="0"/>
    <x v="4053"/>
  </r>
  <r>
    <x v="1"/>
    <x v="942"/>
    <x v="300"/>
    <x v="60"/>
    <x v="325"/>
    <x v="127"/>
    <x v="474"/>
    <x v="3512"/>
    <x v="808"/>
    <x v="1250"/>
    <x v="2342"/>
    <x v="2285"/>
    <x v="3972"/>
    <x v="3957"/>
    <x v="3466"/>
    <x v="4"/>
    <x v="3914"/>
    <x v="3975"/>
    <x v="819"/>
    <x v="0"/>
    <x v="8"/>
    <x v="4"/>
    <x v="213"/>
    <x v="19"/>
    <x v="673"/>
    <x v="25"/>
    <x v="3"/>
    <x v="86"/>
    <x v="0"/>
    <x v="4054"/>
  </r>
  <r>
    <x v="0"/>
    <x v="187"/>
    <x v="69"/>
    <x v="56"/>
    <x v="133"/>
    <x v="597"/>
    <x v="558"/>
    <x v="3513"/>
    <x v="270"/>
    <x v="214"/>
    <x v="2343"/>
    <x v="2777"/>
    <x v="3973"/>
    <x v="3958"/>
    <x v="3467"/>
    <x v="1"/>
    <x v="3915"/>
    <x v="3976"/>
    <x v="822"/>
    <x v="4"/>
    <x v="9"/>
    <x v="0"/>
    <x v="4"/>
    <x v="11"/>
    <x v="689"/>
    <x v="11"/>
    <x v="1"/>
    <x v="1"/>
    <x v="0"/>
    <x v="4055"/>
  </r>
  <r>
    <x v="0"/>
    <x v="1786"/>
    <x v="291"/>
    <x v="101"/>
    <x v="52"/>
    <x v="152"/>
    <x v="220"/>
    <x v="3514"/>
    <x v="471"/>
    <x v="1546"/>
    <x v="2344"/>
    <x v="188"/>
    <x v="3974"/>
    <x v="3959"/>
    <x v="3468"/>
    <x v="0"/>
    <x v="3916"/>
    <x v="3977"/>
    <x v="688"/>
    <x v="0"/>
    <x v="0"/>
    <x v="4"/>
    <x v="298"/>
    <x v="39"/>
    <x v="570"/>
    <x v="28"/>
    <x v="3"/>
    <x v="1"/>
    <x v="0"/>
    <x v="4056"/>
  </r>
  <r>
    <x v="0"/>
    <x v="1072"/>
    <x v="398"/>
    <x v="85"/>
    <x v="265"/>
    <x v="251"/>
    <x v="266"/>
    <x v="3515"/>
    <x v="17"/>
    <x v="483"/>
    <x v="2334"/>
    <x v="2778"/>
    <x v="3975"/>
    <x v="3960"/>
    <x v="3290"/>
    <x v="0"/>
    <x v="3917"/>
    <x v="3978"/>
    <x v="447"/>
    <x v="0"/>
    <x v="1"/>
    <x v="10"/>
    <x v="119"/>
    <x v="39"/>
    <x v="668"/>
    <x v="38"/>
    <x v="10"/>
    <x v="1"/>
    <x v="0"/>
    <x v="4057"/>
  </r>
  <r>
    <x v="0"/>
    <x v="1304"/>
    <x v="371"/>
    <x v="79"/>
    <x v="169"/>
    <x v="70"/>
    <x v="730"/>
    <x v="3516"/>
    <x v="321"/>
    <x v="1547"/>
    <x v="2345"/>
    <x v="861"/>
    <x v="3976"/>
    <x v="3961"/>
    <x v="3469"/>
    <x v="0"/>
    <x v="3918"/>
    <x v="3979"/>
    <x v="894"/>
    <x v="0"/>
    <x v="0"/>
    <x v="4"/>
    <x v="119"/>
    <x v="9"/>
    <x v="868"/>
    <x v="20"/>
    <x v="1"/>
    <x v="77"/>
    <x v="0"/>
    <x v="4058"/>
  </r>
  <r>
    <x v="0"/>
    <x v="245"/>
    <x v="518"/>
    <x v="47"/>
    <x v="165"/>
    <x v="340"/>
    <x v="0"/>
    <x v="3517"/>
    <x v="364"/>
    <x v="1548"/>
    <x v="2346"/>
    <x v="2779"/>
    <x v="3977"/>
    <x v="3962"/>
    <x v="3470"/>
    <x v="0"/>
    <x v="3919"/>
    <x v="3980"/>
    <x v="279"/>
    <x v="0"/>
    <x v="0"/>
    <x v="4"/>
    <x v="119"/>
    <x v="3"/>
    <x v="182"/>
    <x v="2"/>
    <x v="1"/>
    <x v="12"/>
    <x v="0"/>
    <x v="4059"/>
  </r>
  <r>
    <x v="0"/>
    <x v="1129"/>
    <x v="431"/>
    <x v="18"/>
    <x v="134"/>
    <x v="74"/>
    <x v="655"/>
    <x v="3518"/>
    <x v="809"/>
    <x v="1549"/>
    <x v="2347"/>
    <x v="2780"/>
    <x v="3978"/>
    <x v="3963"/>
    <x v="3471"/>
    <x v="1"/>
    <x v="3920"/>
    <x v="3981"/>
    <x v="816"/>
    <x v="0"/>
    <x v="0"/>
    <x v="4"/>
    <x v="119"/>
    <x v="19"/>
    <x v="638"/>
    <x v="28"/>
    <x v="3"/>
    <x v="715"/>
    <x v="0"/>
    <x v="4060"/>
  </r>
  <r>
    <x v="0"/>
    <x v="1750"/>
    <x v="266"/>
    <x v="26"/>
    <x v="241"/>
    <x v="292"/>
    <x v="731"/>
    <x v="4"/>
    <x v="17"/>
    <x v="1550"/>
    <x v="2348"/>
    <x v="2781"/>
    <x v="3979"/>
    <x v="3964"/>
    <x v="3472"/>
    <x v="0"/>
    <x v="3921"/>
    <x v="3982"/>
    <x v="482"/>
    <x v="0"/>
    <x v="0"/>
    <x v="11"/>
    <x v="119"/>
    <x v="75"/>
    <x v="818"/>
    <x v="14"/>
    <x v="3"/>
    <x v="1"/>
    <x v="0"/>
    <x v="4061"/>
  </r>
  <r>
    <x v="0"/>
    <x v="1787"/>
    <x v="239"/>
    <x v="54"/>
    <x v="118"/>
    <x v="528"/>
    <x v="608"/>
    <x v="4"/>
    <x v="5"/>
    <x v="1551"/>
    <x v="2349"/>
    <x v="2782"/>
    <x v="3980"/>
    <x v="3965"/>
    <x v="3473"/>
    <x v="0"/>
    <x v="3922"/>
    <x v="3983"/>
    <x v="549"/>
    <x v="0"/>
    <x v="0"/>
    <x v="3"/>
    <x v="119"/>
    <x v="48"/>
    <x v="770"/>
    <x v="9"/>
    <x v="1"/>
    <x v="1"/>
    <x v="0"/>
    <x v="4062"/>
  </r>
  <r>
    <x v="0"/>
    <x v="611"/>
    <x v="311"/>
    <x v="42"/>
    <x v="10"/>
    <x v="411"/>
    <x v="35"/>
    <x v="3519"/>
    <x v="472"/>
    <x v="611"/>
    <x v="898"/>
    <x v="597"/>
    <x v="3981"/>
    <x v="3966"/>
    <x v="2684"/>
    <x v="0"/>
    <x v="3923"/>
    <x v="3984"/>
    <x v="705"/>
    <x v="0"/>
    <x v="0"/>
    <x v="2"/>
    <x v="119"/>
    <x v="13"/>
    <x v="276"/>
    <x v="37"/>
    <x v="3"/>
    <x v="527"/>
    <x v="0"/>
    <x v="4063"/>
  </r>
  <r>
    <x v="0"/>
    <x v="1788"/>
    <x v="347"/>
    <x v="41"/>
    <x v="193"/>
    <x v="594"/>
    <x v="732"/>
    <x v="4"/>
    <x v="173"/>
    <x v="1552"/>
    <x v="2350"/>
    <x v="2783"/>
    <x v="3982"/>
    <x v="3967"/>
    <x v="3474"/>
    <x v="0"/>
    <x v="3924"/>
    <x v="3985"/>
    <x v="650"/>
    <x v="2"/>
    <x v="7"/>
    <x v="3"/>
    <x v="178"/>
    <x v="21"/>
    <x v="68"/>
    <x v="23"/>
    <x v="3"/>
    <x v="673"/>
    <x v="0"/>
    <x v="4064"/>
  </r>
  <r>
    <x v="0"/>
    <x v="1789"/>
    <x v="287"/>
    <x v="107"/>
    <x v="186"/>
    <x v="712"/>
    <x v="207"/>
    <x v="3520"/>
    <x v="381"/>
    <x v="1022"/>
    <x v="2351"/>
    <x v="2784"/>
    <x v="3983"/>
    <x v="3968"/>
    <x v="3332"/>
    <x v="0"/>
    <x v="3925"/>
    <x v="3986"/>
    <x v="649"/>
    <x v="0"/>
    <x v="0"/>
    <x v="4"/>
    <x v="119"/>
    <x v="43"/>
    <x v="523"/>
    <x v="18"/>
    <x v="3"/>
    <x v="1"/>
    <x v="0"/>
    <x v="4065"/>
  </r>
  <r>
    <x v="0"/>
    <x v="767"/>
    <x v="270"/>
    <x v="137"/>
    <x v="298"/>
    <x v="163"/>
    <x v="679"/>
    <x v="3521"/>
    <x v="262"/>
    <x v="1367"/>
    <x v="2352"/>
    <x v="1506"/>
    <x v="3984"/>
    <x v="3969"/>
    <x v="3475"/>
    <x v="4"/>
    <x v="3926"/>
    <x v="3987"/>
    <x v="155"/>
    <x v="0"/>
    <x v="1"/>
    <x v="2"/>
    <x v="119"/>
    <x v="76"/>
    <x v="39"/>
    <x v="17"/>
    <x v="1"/>
    <x v="1"/>
    <x v="0"/>
    <x v="4066"/>
  </r>
  <r>
    <x v="0"/>
    <x v="476"/>
    <x v="441"/>
    <x v="7"/>
    <x v="211"/>
    <x v="424"/>
    <x v="135"/>
    <x v="3522"/>
    <x v="145"/>
    <x v="253"/>
    <x v="2353"/>
    <x v="2785"/>
    <x v="3985"/>
    <x v="3970"/>
    <x v="207"/>
    <x v="1"/>
    <x v="3927"/>
    <x v="3988"/>
    <x v="487"/>
    <x v="0"/>
    <x v="0"/>
    <x v="2"/>
    <x v="119"/>
    <x v="22"/>
    <x v="633"/>
    <x v="43"/>
    <x v="3"/>
    <x v="716"/>
    <x v="0"/>
    <x v="4067"/>
  </r>
  <r>
    <x v="0"/>
    <x v="931"/>
    <x v="334"/>
    <x v="60"/>
    <x v="17"/>
    <x v="229"/>
    <x v="329"/>
    <x v="4"/>
    <x v="810"/>
    <x v="1553"/>
    <x v="1327"/>
    <x v="558"/>
    <x v="3986"/>
    <x v="3971"/>
    <x v="2754"/>
    <x v="1"/>
    <x v="3928"/>
    <x v="3989"/>
    <x v="718"/>
    <x v="0"/>
    <x v="0"/>
    <x v="2"/>
    <x v="324"/>
    <x v="46"/>
    <x v="431"/>
    <x v="2"/>
    <x v="3"/>
    <x v="717"/>
    <x v="0"/>
    <x v="4068"/>
  </r>
  <r>
    <x v="1"/>
    <x v="1703"/>
    <x v="176"/>
    <x v="31"/>
    <x v="0"/>
    <x v="866"/>
    <x v="733"/>
    <x v="4"/>
    <x v="105"/>
    <x v="1554"/>
    <x v="550"/>
    <x v="2786"/>
    <x v="3987"/>
    <x v="3972"/>
    <x v="3476"/>
    <x v="4"/>
    <x v="3929"/>
    <x v="3990"/>
    <x v="187"/>
    <x v="0"/>
    <x v="0"/>
    <x v="11"/>
    <x v="119"/>
    <x v="51"/>
    <x v="358"/>
    <x v="24"/>
    <x v="1"/>
    <x v="1"/>
    <x v="0"/>
    <x v="4069"/>
  </r>
  <r>
    <x v="0"/>
    <x v="1790"/>
    <x v="356"/>
    <x v="43"/>
    <x v="174"/>
    <x v="253"/>
    <x v="689"/>
    <x v="3523"/>
    <x v="560"/>
    <x v="1410"/>
    <x v="2354"/>
    <x v="2787"/>
    <x v="3988"/>
    <x v="3973"/>
    <x v="429"/>
    <x v="0"/>
    <x v="3930"/>
    <x v="3991"/>
    <x v="664"/>
    <x v="0"/>
    <x v="0"/>
    <x v="4"/>
    <x v="139"/>
    <x v="27"/>
    <x v="207"/>
    <x v="44"/>
    <x v="3"/>
    <x v="274"/>
    <x v="0"/>
    <x v="4070"/>
  </r>
  <r>
    <x v="0"/>
    <x v="931"/>
    <x v="272"/>
    <x v="57"/>
    <x v="17"/>
    <x v="320"/>
    <x v="673"/>
    <x v="4"/>
    <x v="582"/>
    <x v="1555"/>
    <x v="2355"/>
    <x v="2788"/>
    <x v="3989"/>
    <x v="3974"/>
    <x v="3477"/>
    <x v="1"/>
    <x v="3931"/>
    <x v="3992"/>
    <x v="180"/>
    <x v="0"/>
    <x v="0"/>
    <x v="11"/>
    <x v="224"/>
    <x v="71"/>
    <x v="866"/>
    <x v="10"/>
    <x v="3"/>
    <x v="718"/>
    <x v="0"/>
    <x v="4071"/>
  </r>
  <r>
    <x v="0"/>
    <x v="152"/>
    <x v="277"/>
    <x v="7"/>
    <x v="16"/>
    <x v="751"/>
    <x v="153"/>
    <x v="3524"/>
    <x v="811"/>
    <x v="1126"/>
    <x v="935"/>
    <x v="2789"/>
    <x v="3990"/>
    <x v="3975"/>
    <x v="1880"/>
    <x v="0"/>
    <x v="3932"/>
    <x v="3993"/>
    <x v="547"/>
    <x v="0"/>
    <x v="0"/>
    <x v="4"/>
    <x v="119"/>
    <x v="12"/>
    <x v="529"/>
    <x v="13"/>
    <x v="3"/>
    <x v="719"/>
    <x v="0"/>
    <x v="4072"/>
  </r>
  <r>
    <x v="0"/>
    <x v="1791"/>
    <x v="161"/>
    <x v="95"/>
    <x v="256"/>
    <x v="13"/>
    <x v="57"/>
    <x v="3525"/>
    <x v="713"/>
    <x v="125"/>
    <x v="539"/>
    <x v="142"/>
    <x v="3991"/>
    <x v="3976"/>
    <x v="3478"/>
    <x v="4"/>
    <x v="3933"/>
    <x v="3994"/>
    <x v="244"/>
    <x v="0"/>
    <x v="1"/>
    <x v="4"/>
    <x v="4"/>
    <x v="2"/>
    <x v="350"/>
    <x v="8"/>
    <x v="10"/>
    <x v="1"/>
    <x v="0"/>
    <x v="4073"/>
  </r>
  <r>
    <x v="0"/>
    <x v="1310"/>
    <x v="478"/>
    <x v="55"/>
    <x v="266"/>
    <x v="37"/>
    <x v="316"/>
    <x v="4"/>
    <x v="379"/>
    <x v="571"/>
    <x v="2356"/>
    <x v="2790"/>
    <x v="3992"/>
    <x v="3977"/>
    <x v="3140"/>
    <x v="0"/>
    <x v="3934"/>
    <x v="3995"/>
    <x v="655"/>
    <x v="0"/>
    <x v="0"/>
    <x v="4"/>
    <x v="119"/>
    <x v="39"/>
    <x v="715"/>
    <x v="4"/>
    <x v="2"/>
    <x v="499"/>
    <x v="0"/>
    <x v="4074"/>
  </r>
  <r>
    <x v="0"/>
    <x v="1792"/>
    <x v="324"/>
    <x v="95"/>
    <x v="80"/>
    <x v="526"/>
    <x v="0"/>
    <x v="3526"/>
    <x v="132"/>
    <x v="834"/>
    <x v="1161"/>
    <x v="805"/>
    <x v="3993"/>
    <x v="3978"/>
    <x v="3479"/>
    <x v="3"/>
    <x v="3935"/>
    <x v="3996"/>
    <x v="822"/>
    <x v="0"/>
    <x v="0"/>
    <x v="4"/>
    <x v="119"/>
    <x v="0"/>
    <x v="619"/>
    <x v="18"/>
    <x v="3"/>
    <x v="720"/>
    <x v="0"/>
    <x v="4075"/>
  </r>
  <r>
    <x v="0"/>
    <x v="1750"/>
    <x v="372"/>
    <x v="75"/>
    <x v="241"/>
    <x v="672"/>
    <x v="448"/>
    <x v="4"/>
    <x v="270"/>
    <x v="1556"/>
    <x v="2146"/>
    <x v="2791"/>
    <x v="3994"/>
    <x v="3979"/>
    <x v="3480"/>
    <x v="1"/>
    <x v="3936"/>
    <x v="3997"/>
    <x v="671"/>
    <x v="0"/>
    <x v="0"/>
    <x v="11"/>
    <x v="119"/>
    <x v="51"/>
    <x v="259"/>
    <x v="0"/>
    <x v="10"/>
    <x v="562"/>
    <x v="0"/>
    <x v="4076"/>
  </r>
  <r>
    <x v="1"/>
    <x v="1391"/>
    <x v="345"/>
    <x v="17"/>
    <x v="77"/>
    <x v="25"/>
    <x v="290"/>
    <x v="4"/>
    <x v="269"/>
    <x v="1557"/>
    <x v="2357"/>
    <x v="2270"/>
    <x v="3995"/>
    <x v="3980"/>
    <x v="1933"/>
    <x v="0"/>
    <x v="3937"/>
    <x v="3998"/>
    <x v="538"/>
    <x v="0"/>
    <x v="0"/>
    <x v="9"/>
    <x v="119"/>
    <x v="60"/>
    <x v="333"/>
    <x v="24"/>
    <x v="21"/>
    <x v="1"/>
    <x v="0"/>
    <x v="4077"/>
  </r>
  <r>
    <x v="0"/>
    <x v="1129"/>
    <x v="441"/>
    <x v="50"/>
    <x v="134"/>
    <x v="850"/>
    <x v="438"/>
    <x v="3527"/>
    <x v="125"/>
    <x v="792"/>
    <x v="2358"/>
    <x v="2792"/>
    <x v="3996"/>
    <x v="3981"/>
    <x v="1540"/>
    <x v="3"/>
    <x v="3938"/>
    <x v="3999"/>
    <x v="824"/>
    <x v="0"/>
    <x v="0"/>
    <x v="4"/>
    <x v="4"/>
    <x v="15"/>
    <x v="821"/>
    <x v="31"/>
    <x v="3"/>
    <x v="608"/>
    <x v="0"/>
    <x v="4078"/>
  </r>
  <r>
    <x v="0"/>
    <x v="113"/>
    <x v="428"/>
    <x v="179"/>
    <x v="88"/>
    <x v="298"/>
    <x v="385"/>
    <x v="4"/>
    <x v="783"/>
    <x v="1558"/>
    <x v="2359"/>
    <x v="2793"/>
    <x v="3997"/>
    <x v="3982"/>
    <x v="2693"/>
    <x v="0"/>
    <x v="3939"/>
    <x v="4000"/>
    <x v="678"/>
    <x v="0"/>
    <x v="0"/>
    <x v="7"/>
    <x v="4"/>
    <x v="4"/>
    <x v="253"/>
    <x v="6"/>
    <x v="8"/>
    <x v="103"/>
    <x v="0"/>
    <x v="4079"/>
  </r>
  <r>
    <x v="1"/>
    <x v="1793"/>
    <x v="74"/>
    <x v="51"/>
    <x v="403"/>
    <x v="254"/>
    <x v="710"/>
    <x v="4"/>
    <x v="812"/>
    <x v="1486"/>
    <x v="2360"/>
    <x v="2794"/>
    <x v="3998"/>
    <x v="3983"/>
    <x v="3271"/>
    <x v="0"/>
    <x v="3940"/>
    <x v="4001"/>
    <x v="402"/>
    <x v="0"/>
    <x v="0"/>
    <x v="11"/>
    <x v="119"/>
    <x v="74"/>
    <x v="733"/>
    <x v="6"/>
    <x v="15"/>
    <x v="1"/>
    <x v="0"/>
    <x v="4080"/>
  </r>
  <r>
    <x v="0"/>
    <x v="1794"/>
    <x v="447"/>
    <x v="77"/>
    <x v="174"/>
    <x v="87"/>
    <x v="206"/>
    <x v="3528"/>
    <x v="125"/>
    <x v="558"/>
    <x v="2361"/>
    <x v="2795"/>
    <x v="3999"/>
    <x v="3984"/>
    <x v="701"/>
    <x v="0"/>
    <x v="3941"/>
    <x v="4002"/>
    <x v="420"/>
    <x v="0"/>
    <x v="0"/>
    <x v="0"/>
    <x v="119"/>
    <x v="7"/>
    <x v="845"/>
    <x v="56"/>
    <x v="3"/>
    <x v="721"/>
    <x v="0"/>
    <x v="4081"/>
  </r>
  <r>
    <x v="0"/>
    <x v="776"/>
    <x v="455"/>
    <x v="56"/>
    <x v="0"/>
    <x v="358"/>
    <x v="734"/>
    <x v="3529"/>
    <x v="17"/>
    <x v="1559"/>
    <x v="2362"/>
    <x v="2796"/>
    <x v="4000"/>
    <x v="3985"/>
    <x v="3481"/>
    <x v="1"/>
    <x v="3942"/>
    <x v="4003"/>
    <x v="354"/>
    <x v="0"/>
    <x v="0"/>
    <x v="4"/>
    <x v="119"/>
    <x v="9"/>
    <x v="255"/>
    <x v="0"/>
    <x v="3"/>
    <x v="66"/>
    <x v="0"/>
    <x v="4082"/>
  </r>
  <r>
    <x v="0"/>
    <x v="1795"/>
    <x v="207"/>
    <x v="54"/>
    <x v="198"/>
    <x v="869"/>
    <x v="735"/>
    <x v="3530"/>
    <x v="219"/>
    <x v="1560"/>
    <x v="2363"/>
    <x v="2797"/>
    <x v="4001"/>
    <x v="3986"/>
    <x v="3033"/>
    <x v="1"/>
    <x v="3943"/>
    <x v="4004"/>
    <x v="632"/>
    <x v="0"/>
    <x v="0"/>
    <x v="2"/>
    <x v="119"/>
    <x v="42"/>
    <x v="696"/>
    <x v="75"/>
    <x v="3"/>
    <x v="306"/>
    <x v="0"/>
    <x v="4083"/>
  </r>
  <r>
    <x v="0"/>
    <x v="1626"/>
    <x v="225"/>
    <x v="55"/>
    <x v="240"/>
    <x v="250"/>
    <x v="736"/>
    <x v="3531"/>
    <x v="319"/>
    <x v="1561"/>
    <x v="2364"/>
    <x v="2798"/>
    <x v="4002"/>
    <x v="3987"/>
    <x v="761"/>
    <x v="1"/>
    <x v="3944"/>
    <x v="4005"/>
    <x v="360"/>
    <x v="0"/>
    <x v="0"/>
    <x v="4"/>
    <x v="119"/>
    <x v="32"/>
    <x v="216"/>
    <x v="12"/>
    <x v="3"/>
    <x v="198"/>
    <x v="0"/>
    <x v="4084"/>
  </r>
  <r>
    <x v="0"/>
    <x v="1310"/>
    <x v="479"/>
    <x v="50"/>
    <x v="266"/>
    <x v="889"/>
    <x v="138"/>
    <x v="3532"/>
    <x v="270"/>
    <x v="257"/>
    <x v="640"/>
    <x v="2799"/>
    <x v="4003"/>
    <x v="3988"/>
    <x v="2870"/>
    <x v="0"/>
    <x v="3945"/>
    <x v="4006"/>
    <x v="790"/>
    <x v="0"/>
    <x v="0"/>
    <x v="4"/>
    <x v="4"/>
    <x v="14"/>
    <x v="398"/>
    <x v="8"/>
    <x v="2"/>
    <x v="342"/>
    <x v="0"/>
    <x v="4085"/>
  </r>
  <r>
    <x v="0"/>
    <x v="1796"/>
    <x v="346"/>
    <x v="78"/>
    <x v="5"/>
    <x v="705"/>
    <x v="398"/>
    <x v="3533"/>
    <x v="200"/>
    <x v="721"/>
    <x v="2365"/>
    <x v="1349"/>
    <x v="4004"/>
    <x v="3989"/>
    <x v="3482"/>
    <x v="1"/>
    <x v="3946"/>
    <x v="4007"/>
    <x v="558"/>
    <x v="0"/>
    <x v="0"/>
    <x v="0"/>
    <x v="119"/>
    <x v="19"/>
    <x v="159"/>
    <x v="15"/>
    <x v="3"/>
    <x v="722"/>
    <x v="0"/>
    <x v="4086"/>
  </r>
  <r>
    <x v="0"/>
    <x v="113"/>
    <x v="4"/>
    <x v="169"/>
    <x v="88"/>
    <x v="292"/>
    <x v="275"/>
    <x v="4"/>
    <x v="269"/>
    <x v="1498"/>
    <x v="2366"/>
    <x v="2275"/>
    <x v="4005"/>
    <x v="3990"/>
    <x v="1492"/>
    <x v="0"/>
    <x v="3947"/>
    <x v="4008"/>
    <x v="326"/>
    <x v="0"/>
    <x v="5"/>
    <x v="1"/>
    <x v="159"/>
    <x v="4"/>
    <x v="526"/>
    <x v="38"/>
    <x v="2"/>
    <x v="723"/>
    <x v="0"/>
    <x v="4087"/>
  </r>
  <r>
    <x v="0"/>
    <x v="485"/>
    <x v="74"/>
    <x v="85"/>
    <x v="250"/>
    <x v="738"/>
    <x v="0"/>
    <x v="3534"/>
    <x v="17"/>
    <x v="1562"/>
    <x v="2367"/>
    <x v="2800"/>
    <x v="4006"/>
    <x v="3991"/>
    <x v="1409"/>
    <x v="0"/>
    <x v="3948"/>
    <x v="4009"/>
    <x v="568"/>
    <x v="8"/>
    <x v="4"/>
    <x v="0"/>
    <x v="4"/>
    <x v="12"/>
    <x v="367"/>
    <x v="6"/>
    <x v="1"/>
    <x v="1"/>
    <x v="0"/>
    <x v="4088"/>
  </r>
  <r>
    <x v="0"/>
    <x v="1797"/>
    <x v="249"/>
    <x v="45"/>
    <x v="139"/>
    <x v="294"/>
    <x v="23"/>
    <x v="3535"/>
    <x v="200"/>
    <x v="613"/>
    <x v="2368"/>
    <x v="722"/>
    <x v="4007"/>
    <x v="3992"/>
    <x v="3483"/>
    <x v="0"/>
    <x v="3949"/>
    <x v="4010"/>
    <x v="290"/>
    <x v="0"/>
    <x v="1"/>
    <x v="4"/>
    <x v="325"/>
    <x v="15"/>
    <x v="209"/>
    <x v="8"/>
    <x v="3"/>
    <x v="103"/>
    <x v="0"/>
    <x v="4089"/>
  </r>
  <r>
    <x v="0"/>
    <x v="1798"/>
    <x v="422"/>
    <x v="87"/>
    <x v="0"/>
    <x v="636"/>
    <x v="281"/>
    <x v="3536"/>
    <x v="127"/>
    <x v="1563"/>
    <x v="1613"/>
    <x v="2801"/>
    <x v="4008"/>
    <x v="3031"/>
    <x v="1702"/>
    <x v="1"/>
    <x v="3950"/>
    <x v="4011"/>
    <x v="671"/>
    <x v="0"/>
    <x v="0"/>
    <x v="4"/>
    <x v="119"/>
    <x v="21"/>
    <x v="302"/>
    <x v="46"/>
    <x v="3"/>
    <x v="692"/>
    <x v="0"/>
    <x v="4090"/>
  </r>
  <r>
    <x v="0"/>
    <x v="872"/>
    <x v="193"/>
    <x v="56"/>
    <x v="317"/>
    <x v="850"/>
    <x v="493"/>
    <x v="3537"/>
    <x v="813"/>
    <x v="1322"/>
    <x v="1700"/>
    <x v="2802"/>
    <x v="4009"/>
    <x v="3993"/>
    <x v="2198"/>
    <x v="0"/>
    <x v="3951"/>
    <x v="4012"/>
    <x v="578"/>
    <x v="0"/>
    <x v="0"/>
    <x v="4"/>
    <x v="119"/>
    <x v="25"/>
    <x v="347"/>
    <x v="19"/>
    <x v="3"/>
    <x v="1"/>
    <x v="0"/>
    <x v="4091"/>
  </r>
  <r>
    <x v="0"/>
    <x v="1452"/>
    <x v="395"/>
    <x v="78"/>
    <x v="281"/>
    <x v="578"/>
    <x v="0"/>
    <x v="3538"/>
    <x v="200"/>
    <x v="48"/>
    <x v="597"/>
    <x v="2803"/>
    <x v="4010"/>
    <x v="3289"/>
    <x v="3484"/>
    <x v="0"/>
    <x v="3952"/>
    <x v="4013"/>
    <x v="327"/>
    <x v="0"/>
    <x v="0"/>
    <x v="4"/>
    <x v="4"/>
    <x v="5"/>
    <x v="375"/>
    <x v="4"/>
    <x v="1"/>
    <x v="1"/>
    <x v="0"/>
    <x v="4092"/>
  </r>
  <r>
    <x v="0"/>
    <x v="1799"/>
    <x v="209"/>
    <x v="71"/>
    <x v="122"/>
    <x v="788"/>
    <x v="454"/>
    <x v="4"/>
    <x v="814"/>
    <x v="1564"/>
    <x v="2369"/>
    <x v="2804"/>
    <x v="4011"/>
    <x v="3994"/>
    <x v="1992"/>
    <x v="1"/>
    <x v="3953"/>
    <x v="4014"/>
    <x v="674"/>
    <x v="0"/>
    <x v="0"/>
    <x v="3"/>
    <x v="119"/>
    <x v="49"/>
    <x v="235"/>
    <x v="6"/>
    <x v="8"/>
    <x v="1"/>
    <x v="0"/>
    <x v="4093"/>
  </r>
  <r>
    <x v="0"/>
    <x v="1800"/>
    <x v="417"/>
    <x v="42"/>
    <x v="106"/>
    <x v="346"/>
    <x v="266"/>
    <x v="3539"/>
    <x v="471"/>
    <x v="483"/>
    <x v="2370"/>
    <x v="2805"/>
    <x v="4012"/>
    <x v="3995"/>
    <x v="3485"/>
    <x v="0"/>
    <x v="3954"/>
    <x v="4015"/>
    <x v="769"/>
    <x v="0"/>
    <x v="0"/>
    <x v="4"/>
    <x v="119"/>
    <x v="27"/>
    <x v="362"/>
    <x v="43"/>
    <x v="10"/>
    <x v="426"/>
    <x v="0"/>
    <x v="4094"/>
  </r>
  <r>
    <x v="0"/>
    <x v="1801"/>
    <x v="421"/>
    <x v="54"/>
    <x v="176"/>
    <x v="69"/>
    <x v="275"/>
    <x v="3540"/>
    <x v="70"/>
    <x v="1565"/>
    <x v="2371"/>
    <x v="2806"/>
    <x v="4013"/>
    <x v="3996"/>
    <x v="3486"/>
    <x v="0"/>
    <x v="3955"/>
    <x v="4016"/>
    <x v="769"/>
    <x v="0"/>
    <x v="0"/>
    <x v="4"/>
    <x v="119"/>
    <x v="13"/>
    <x v="735"/>
    <x v="43"/>
    <x v="3"/>
    <x v="724"/>
    <x v="0"/>
    <x v="4095"/>
  </r>
  <r>
    <x v="0"/>
    <x v="427"/>
    <x v="356"/>
    <x v="50"/>
    <x v="0"/>
    <x v="866"/>
    <x v="59"/>
    <x v="4"/>
    <x v="17"/>
    <x v="101"/>
    <x v="2372"/>
    <x v="2807"/>
    <x v="4014"/>
    <x v="3997"/>
    <x v="1953"/>
    <x v="0"/>
    <x v="3956"/>
    <x v="4017"/>
    <x v="339"/>
    <x v="0"/>
    <x v="0"/>
    <x v="2"/>
    <x v="119"/>
    <x v="33"/>
    <x v="781"/>
    <x v="25"/>
    <x v="3"/>
    <x v="1"/>
    <x v="0"/>
    <x v="4096"/>
  </r>
  <r>
    <x v="0"/>
    <x v="1802"/>
    <x v="212"/>
    <x v="27"/>
    <x v="31"/>
    <x v="475"/>
    <x v="2"/>
    <x v="3541"/>
    <x v="270"/>
    <x v="72"/>
    <x v="2373"/>
    <x v="2771"/>
    <x v="4015"/>
    <x v="3998"/>
    <x v="3487"/>
    <x v="4"/>
    <x v="3957"/>
    <x v="4018"/>
    <x v="231"/>
    <x v="0"/>
    <x v="0"/>
    <x v="4"/>
    <x v="274"/>
    <x v="18"/>
    <x v="869"/>
    <x v="1"/>
    <x v="3"/>
    <x v="725"/>
    <x v="0"/>
    <x v="4097"/>
  </r>
  <r>
    <x v="0"/>
    <x v="1803"/>
    <x v="324"/>
    <x v="101"/>
    <x v="174"/>
    <x v="107"/>
    <x v="22"/>
    <x v="3542"/>
    <x v="408"/>
    <x v="430"/>
    <x v="26"/>
    <x v="2808"/>
    <x v="4016"/>
    <x v="3999"/>
    <x v="3488"/>
    <x v="3"/>
    <x v="3958"/>
    <x v="4019"/>
    <x v="562"/>
    <x v="0"/>
    <x v="0"/>
    <x v="4"/>
    <x v="209"/>
    <x v="15"/>
    <x v="12"/>
    <x v="28"/>
    <x v="3"/>
    <x v="1"/>
    <x v="0"/>
    <x v="4098"/>
  </r>
  <r>
    <x v="0"/>
    <x v="1178"/>
    <x v="372"/>
    <x v="26"/>
    <x v="346"/>
    <x v="609"/>
    <x v="14"/>
    <x v="3543"/>
    <x v="113"/>
    <x v="61"/>
    <x v="544"/>
    <x v="2809"/>
    <x v="4017"/>
    <x v="4000"/>
    <x v="3489"/>
    <x v="2"/>
    <x v="3959"/>
    <x v="4020"/>
    <x v="365"/>
    <x v="0"/>
    <x v="0"/>
    <x v="4"/>
    <x v="296"/>
    <x v="25"/>
    <x v="402"/>
    <x v="8"/>
    <x v="3"/>
    <x v="1"/>
    <x v="0"/>
    <x v="4099"/>
  </r>
  <r>
    <x v="1"/>
    <x v="1350"/>
    <x v="292"/>
    <x v="107"/>
    <x v="360"/>
    <x v="764"/>
    <x v="98"/>
    <x v="3544"/>
    <x v="105"/>
    <x v="1566"/>
    <x v="2374"/>
    <x v="2407"/>
    <x v="4018"/>
    <x v="4001"/>
    <x v="863"/>
    <x v="0"/>
    <x v="3960"/>
    <x v="4021"/>
    <x v="301"/>
    <x v="0"/>
    <x v="0"/>
    <x v="4"/>
    <x v="4"/>
    <x v="3"/>
    <x v="670"/>
    <x v="38"/>
    <x v="3"/>
    <x v="59"/>
    <x v="0"/>
    <x v="4100"/>
  </r>
  <r>
    <x v="0"/>
    <x v="81"/>
    <x v="194"/>
    <x v="50"/>
    <x v="64"/>
    <x v="272"/>
    <x v="240"/>
    <x v="3545"/>
    <x v="152"/>
    <x v="623"/>
    <x v="2375"/>
    <x v="2810"/>
    <x v="4019"/>
    <x v="4002"/>
    <x v="2080"/>
    <x v="1"/>
    <x v="3961"/>
    <x v="4022"/>
    <x v="299"/>
    <x v="36"/>
    <x v="1"/>
    <x v="4"/>
    <x v="119"/>
    <x v="12"/>
    <x v="863"/>
    <x v="11"/>
    <x v="1"/>
    <x v="1"/>
    <x v="0"/>
    <x v="4101"/>
  </r>
  <r>
    <x v="0"/>
    <x v="1686"/>
    <x v="263"/>
    <x v="90"/>
    <x v="392"/>
    <x v="157"/>
    <x v="13"/>
    <x v="3546"/>
    <x v="200"/>
    <x v="93"/>
    <x v="365"/>
    <x v="2141"/>
    <x v="4020"/>
    <x v="4003"/>
    <x v="3490"/>
    <x v="12"/>
    <x v="3962"/>
    <x v="4023"/>
    <x v="233"/>
    <x v="0"/>
    <x v="0"/>
    <x v="1"/>
    <x v="119"/>
    <x v="20"/>
    <x v="6"/>
    <x v="6"/>
    <x v="3"/>
    <x v="1"/>
    <x v="0"/>
    <x v="4102"/>
  </r>
  <r>
    <x v="0"/>
    <x v="858"/>
    <x v="430"/>
    <x v="71"/>
    <x v="314"/>
    <x v="670"/>
    <x v="371"/>
    <x v="3547"/>
    <x v="771"/>
    <x v="1567"/>
    <x v="2376"/>
    <x v="2811"/>
    <x v="4021"/>
    <x v="4004"/>
    <x v="1889"/>
    <x v="1"/>
    <x v="3963"/>
    <x v="4024"/>
    <x v="792"/>
    <x v="0"/>
    <x v="0"/>
    <x v="4"/>
    <x v="119"/>
    <x v="17"/>
    <x v="814"/>
    <x v="4"/>
    <x v="3"/>
    <x v="285"/>
    <x v="0"/>
    <x v="4103"/>
  </r>
  <r>
    <x v="0"/>
    <x v="609"/>
    <x v="461"/>
    <x v="58"/>
    <x v="0"/>
    <x v="174"/>
    <x v="1"/>
    <x v="3548"/>
    <x v="815"/>
    <x v="1"/>
    <x v="812"/>
    <x v="2812"/>
    <x v="4022"/>
    <x v="4005"/>
    <x v="3491"/>
    <x v="0"/>
    <x v="3964"/>
    <x v="4025"/>
    <x v="292"/>
    <x v="0"/>
    <x v="0"/>
    <x v="4"/>
    <x v="119"/>
    <x v="11"/>
    <x v="13"/>
    <x v="28"/>
    <x v="1"/>
    <x v="35"/>
    <x v="0"/>
    <x v="4104"/>
  </r>
  <r>
    <x v="0"/>
    <x v="1257"/>
    <x v="472"/>
    <x v="60"/>
    <x v="0"/>
    <x v="303"/>
    <x v="580"/>
    <x v="3549"/>
    <x v="150"/>
    <x v="1114"/>
    <x v="2377"/>
    <x v="2646"/>
    <x v="4023"/>
    <x v="4006"/>
    <x v="3492"/>
    <x v="0"/>
    <x v="3965"/>
    <x v="4026"/>
    <x v="851"/>
    <x v="24"/>
    <x v="18"/>
    <x v="4"/>
    <x v="119"/>
    <x v="17"/>
    <x v="489"/>
    <x v="26"/>
    <x v="1"/>
    <x v="132"/>
    <x v="0"/>
    <x v="4105"/>
  </r>
  <r>
    <x v="0"/>
    <x v="1804"/>
    <x v="307"/>
    <x v="47"/>
    <x v="89"/>
    <x v="402"/>
    <x v="622"/>
    <x v="3550"/>
    <x v="463"/>
    <x v="1568"/>
    <x v="2378"/>
    <x v="2813"/>
    <x v="4024"/>
    <x v="4007"/>
    <x v="2318"/>
    <x v="0"/>
    <x v="3966"/>
    <x v="4027"/>
    <x v="632"/>
    <x v="0"/>
    <x v="0"/>
    <x v="2"/>
    <x v="209"/>
    <x v="5"/>
    <x v="360"/>
    <x v="22"/>
    <x v="0"/>
    <x v="1"/>
    <x v="0"/>
    <x v="4106"/>
  </r>
  <r>
    <x v="0"/>
    <x v="1805"/>
    <x v="319"/>
    <x v="107"/>
    <x v="68"/>
    <x v="342"/>
    <x v="337"/>
    <x v="3551"/>
    <x v="131"/>
    <x v="607"/>
    <x v="2379"/>
    <x v="2814"/>
    <x v="4025"/>
    <x v="4008"/>
    <x v="3493"/>
    <x v="2"/>
    <x v="3967"/>
    <x v="4028"/>
    <x v="273"/>
    <x v="0"/>
    <x v="4"/>
    <x v="9"/>
    <x v="119"/>
    <x v="10"/>
    <x v="302"/>
    <x v="9"/>
    <x v="1"/>
    <x v="40"/>
    <x v="0"/>
    <x v="4107"/>
  </r>
  <r>
    <x v="0"/>
    <x v="1806"/>
    <x v="451"/>
    <x v="59"/>
    <x v="0"/>
    <x v="143"/>
    <x v="737"/>
    <x v="3552"/>
    <x v="170"/>
    <x v="1569"/>
    <x v="2380"/>
    <x v="2815"/>
    <x v="4026"/>
    <x v="4009"/>
    <x v="1226"/>
    <x v="4"/>
    <x v="4"/>
    <x v="4029"/>
    <x v="824"/>
    <x v="0"/>
    <x v="12"/>
    <x v="4"/>
    <x v="119"/>
    <x v="6"/>
    <x v="299"/>
    <x v="40"/>
    <x v="2"/>
    <x v="548"/>
    <x v="0"/>
    <x v="4108"/>
  </r>
  <r>
    <x v="0"/>
    <x v="1807"/>
    <x v="409"/>
    <x v="58"/>
    <x v="134"/>
    <x v="402"/>
    <x v="272"/>
    <x v="4"/>
    <x v="369"/>
    <x v="496"/>
    <x v="1309"/>
    <x v="2230"/>
    <x v="4027"/>
    <x v="4010"/>
    <x v="3494"/>
    <x v="1"/>
    <x v="3968"/>
    <x v="4030"/>
    <x v="216"/>
    <x v="0"/>
    <x v="0"/>
    <x v="4"/>
    <x v="119"/>
    <x v="25"/>
    <x v="677"/>
    <x v="8"/>
    <x v="3"/>
    <x v="1"/>
    <x v="0"/>
    <x v="4109"/>
  </r>
  <r>
    <x v="0"/>
    <x v="1808"/>
    <x v="451"/>
    <x v="101"/>
    <x v="50"/>
    <x v="890"/>
    <x v="634"/>
    <x v="3553"/>
    <x v="816"/>
    <x v="1570"/>
    <x v="2381"/>
    <x v="2816"/>
    <x v="4028"/>
    <x v="4011"/>
    <x v="3495"/>
    <x v="0"/>
    <x v="3969"/>
    <x v="4031"/>
    <x v="684"/>
    <x v="1"/>
    <x v="0"/>
    <x v="2"/>
    <x v="119"/>
    <x v="7"/>
    <x v="692"/>
    <x v="13"/>
    <x v="2"/>
    <x v="507"/>
    <x v="0"/>
    <x v="4110"/>
  </r>
  <r>
    <x v="0"/>
    <x v="1809"/>
    <x v="61"/>
    <x v="32"/>
    <x v="308"/>
    <x v="125"/>
    <x v="57"/>
    <x v="3554"/>
    <x v="270"/>
    <x v="125"/>
    <x v="2382"/>
    <x v="2817"/>
    <x v="4029"/>
    <x v="4012"/>
    <x v="3496"/>
    <x v="0"/>
    <x v="3970"/>
    <x v="4032"/>
    <x v="137"/>
    <x v="0"/>
    <x v="1"/>
    <x v="9"/>
    <x v="4"/>
    <x v="0"/>
    <x v="870"/>
    <x v="11"/>
    <x v="8"/>
    <x v="1"/>
    <x v="0"/>
    <x v="4111"/>
  </r>
  <r>
    <x v="0"/>
    <x v="1810"/>
    <x v="194"/>
    <x v="77"/>
    <x v="262"/>
    <x v="109"/>
    <x v="98"/>
    <x v="3555"/>
    <x v="105"/>
    <x v="1566"/>
    <x v="2383"/>
    <x v="134"/>
    <x v="4030"/>
    <x v="4013"/>
    <x v="1721"/>
    <x v="7"/>
    <x v="3971"/>
    <x v="4033"/>
    <x v="487"/>
    <x v="0"/>
    <x v="0"/>
    <x v="0"/>
    <x v="4"/>
    <x v="10"/>
    <x v="526"/>
    <x v="20"/>
    <x v="3"/>
    <x v="1"/>
    <x v="0"/>
    <x v="4112"/>
  </r>
  <r>
    <x v="0"/>
    <x v="113"/>
    <x v="81"/>
    <x v="15"/>
    <x v="88"/>
    <x v="236"/>
    <x v="253"/>
    <x v="4"/>
    <x v="321"/>
    <x v="931"/>
    <x v="1455"/>
    <x v="298"/>
    <x v="4031"/>
    <x v="4014"/>
    <x v="3497"/>
    <x v="3"/>
    <x v="3972"/>
    <x v="4034"/>
    <x v="631"/>
    <x v="0"/>
    <x v="0"/>
    <x v="1"/>
    <x v="4"/>
    <x v="4"/>
    <x v="680"/>
    <x v="40"/>
    <x v="0"/>
    <x v="563"/>
    <x v="0"/>
    <x v="4113"/>
  </r>
  <r>
    <x v="0"/>
    <x v="1811"/>
    <x v="150"/>
    <x v="101"/>
    <x v="122"/>
    <x v="229"/>
    <x v="41"/>
    <x v="3556"/>
    <x v="127"/>
    <x v="396"/>
    <x v="201"/>
    <x v="2818"/>
    <x v="4032"/>
    <x v="4015"/>
    <x v="3498"/>
    <x v="3"/>
    <x v="3973"/>
    <x v="4035"/>
    <x v="756"/>
    <x v="0"/>
    <x v="0"/>
    <x v="4"/>
    <x v="119"/>
    <x v="3"/>
    <x v="13"/>
    <x v="43"/>
    <x v="1"/>
    <x v="1"/>
    <x v="0"/>
    <x v="4114"/>
  </r>
  <r>
    <x v="0"/>
    <x v="113"/>
    <x v="478"/>
    <x v="104"/>
    <x v="88"/>
    <x v="377"/>
    <x v="309"/>
    <x v="4"/>
    <x v="817"/>
    <x v="1240"/>
    <x v="2384"/>
    <x v="2819"/>
    <x v="4033"/>
    <x v="4016"/>
    <x v="3499"/>
    <x v="0"/>
    <x v="3974"/>
    <x v="4036"/>
    <x v="510"/>
    <x v="0"/>
    <x v="0"/>
    <x v="1"/>
    <x v="4"/>
    <x v="4"/>
    <x v="735"/>
    <x v="0"/>
    <x v="12"/>
    <x v="67"/>
    <x v="0"/>
    <x v="4115"/>
  </r>
  <r>
    <x v="0"/>
    <x v="1812"/>
    <x v="93"/>
    <x v="60"/>
    <x v="167"/>
    <x v="251"/>
    <x v="138"/>
    <x v="4"/>
    <x v="677"/>
    <x v="459"/>
    <x v="1439"/>
    <x v="2820"/>
    <x v="4034"/>
    <x v="4017"/>
    <x v="2342"/>
    <x v="4"/>
    <x v="3975"/>
    <x v="4037"/>
    <x v="788"/>
    <x v="0"/>
    <x v="0"/>
    <x v="0"/>
    <x v="4"/>
    <x v="14"/>
    <x v="719"/>
    <x v="40"/>
    <x v="2"/>
    <x v="726"/>
    <x v="0"/>
    <x v="4116"/>
  </r>
  <r>
    <x v="0"/>
    <x v="1813"/>
    <x v="249"/>
    <x v="41"/>
    <x v="266"/>
    <x v="740"/>
    <x v="738"/>
    <x v="3557"/>
    <x v="125"/>
    <x v="1571"/>
    <x v="2385"/>
    <x v="2821"/>
    <x v="4035"/>
    <x v="4018"/>
    <x v="782"/>
    <x v="3"/>
    <x v="3976"/>
    <x v="4038"/>
    <x v="409"/>
    <x v="0"/>
    <x v="0"/>
    <x v="4"/>
    <x v="119"/>
    <x v="3"/>
    <x v="320"/>
    <x v="43"/>
    <x v="0"/>
    <x v="1"/>
    <x v="0"/>
    <x v="4117"/>
  </r>
  <r>
    <x v="0"/>
    <x v="196"/>
    <x v="177"/>
    <x v="70"/>
    <x v="138"/>
    <x v="593"/>
    <x v="22"/>
    <x v="1829"/>
    <x v="168"/>
    <x v="639"/>
    <x v="1241"/>
    <x v="1454"/>
    <x v="1923"/>
    <x v="4019"/>
    <x v="1836"/>
    <x v="1"/>
    <x v="1911"/>
    <x v="1923"/>
    <x v="147"/>
    <x v="0"/>
    <x v="0"/>
    <x v="4"/>
    <x v="131"/>
    <x v="11"/>
    <x v="584"/>
    <x v="19"/>
    <x v="1"/>
    <x v="1"/>
    <x v="0"/>
    <x v="4118"/>
  </r>
  <r>
    <x v="0"/>
    <x v="113"/>
    <x v="169"/>
    <x v="84"/>
    <x v="88"/>
    <x v="549"/>
    <x v="739"/>
    <x v="4"/>
    <x v="270"/>
    <x v="1572"/>
    <x v="2386"/>
    <x v="2822"/>
    <x v="4036"/>
    <x v="4020"/>
    <x v="3500"/>
    <x v="0"/>
    <x v="3977"/>
    <x v="4039"/>
    <x v="822"/>
    <x v="0"/>
    <x v="1"/>
    <x v="1"/>
    <x v="4"/>
    <x v="4"/>
    <x v="705"/>
    <x v="32"/>
    <x v="8"/>
    <x v="727"/>
    <x v="0"/>
    <x v="4119"/>
  </r>
  <r>
    <x v="0"/>
    <x v="1261"/>
    <x v="361"/>
    <x v="42"/>
    <x v="143"/>
    <x v="367"/>
    <x v="740"/>
    <x v="3558"/>
    <x v="334"/>
    <x v="1573"/>
    <x v="2387"/>
    <x v="2823"/>
    <x v="4037"/>
    <x v="4021"/>
    <x v="1144"/>
    <x v="0"/>
    <x v="3978"/>
    <x v="4040"/>
    <x v="388"/>
    <x v="15"/>
    <x v="8"/>
    <x v="4"/>
    <x v="207"/>
    <x v="14"/>
    <x v="753"/>
    <x v="38"/>
    <x v="3"/>
    <x v="728"/>
    <x v="0"/>
    <x v="4120"/>
  </r>
  <r>
    <x v="0"/>
    <x v="1814"/>
    <x v="385"/>
    <x v="7"/>
    <x v="180"/>
    <x v="324"/>
    <x v="0"/>
    <x v="3559"/>
    <x v="156"/>
    <x v="1574"/>
    <x v="751"/>
    <x v="2824"/>
    <x v="4038"/>
    <x v="4022"/>
    <x v="2101"/>
    <x v="1"/>
    <x v="4"/>
    <x v="4041"/>
    <x v="824"/>
    <x v="0"/>
    <x v="0"/>
    <x v="4"/>
    <x v="119"/>
    <x v="10"/>
    <x v="451"/>
    <x v="18"/>
    <x v="2"/>
    <x v="358"/>
    <x v="0"/>
    <x v="4121"/>
  </r>
  <r>
    <x v="0"/>
    <x v="1815"/>
    <x v="315"/>
    <x v="76"/>
    <x v="129"/>
    <x v="38"/>
    <x v="741"/>
    <x v="3560"/>
    <x v="381"/>
    <x v="1575"/>
    <x v="2388"/>
    <x v="2825"/>
    <x v="4039"/>
    <x v="4023"/>
    <x v="2977"/>
    <x v="0"/>
    <x v="3979"/>
    <x v="4042"/>
    <x v="823"/>
    <x v="0"/>
    <x v="0"/>
    <x v="4"/>
    <x v="240"/>
    <x v="0"/>
    <x v="369"/>
    <x v="54"/>
    <x v="1"/>
    <x v="1"/>
    <x v="0"/>
    <x v="4122"/>
  </r>
  <r>
    <x v="0"/>
    <x v="1816"/>
    <x v="393"/>
    <x v="55"/>
    <x v="404"/>
    <x v="149"/>
    <x v="237"/>
    <x v="3561"/>
    <x v="200"/>
    <x v="1000"/>
    <x v="2389"/>
    <x v="2826"/>
    <x v="4040"/>
    <x v="4024"/>
    <x v="3501"/>
    <x v="1"/>
    <x v="3980"/>
    <x v="4043"/>
    <x v="719"/>
    <x v="0"/>
    <x v="0"/>
    <x v="4"/>
    <x v="119"/>
    <x v="15"/>
    <x v="871"/>
    <x v="10"/>
    <x v="3"/>
    <x v="575"/>
    <x v="0"/>
    <x v="4123"/>
  </r>
  <r>
    <x v="0"/>
    <x v="1021"/>
    <x v="215"/>
    <x v="40"/>
    <x v="146"/>
    <x v="753"/>
    <x v="35"/>
    <x v="3562"/>
    <x v="211"/>
    <x v="280"/>
    <x v="1918"/>
    <x v="2827"/>
    <x v="4041"/>
    <x v="4025"/>
    <x v="3502"/>
    <x v="2"/>
    <x v="3981"/>
    <x v="4044"/>
    <x v="630"/>
    <x v="0"/>
    <x v="8"/>
    <x v="4"/>
    <x v="119"/>
    <x v="10"/>
    <x v="500"/>
    <x v="27"/>
    <x v="1"/>
    <x v="1"/>
    <x v="0"/>
    <x v="4124"/>
  </r>
  <r>
    <x v="0"/>
    <x v="1817"/>
    <x v="362"/>
    <x v="107"/>
    <x v="0"/>
    <x v="37"/>
    <x v="521"/>
    <x v="3563"/>
    <x v="818"/>
    <x v="983"/>
    <x v="1314"/>
    <x v="2828"/>
    <x v="4042"/>
    <x v="4026"/>
    <x v="3394"/>
    <x v="0"/>
    <x v="3982"/>
    <x v="4045"/>
    <x v="755"/>
    <x v="0"/>
    <x v="25"/>
    <x v="4"/>
    <x v="4"/>
    <x v="0"/>
    <x v="744"/>
    <x v="5"/>
    <x v="3"/>
    <x v="588"/>
    <x v="0"/>
    <x v="4125"/>
  </r>
  <r>
    <x v="0"/>
    <x v="1818"/>
    <x v="459"/>
    <x v="105"/>
    <x v="193"/>
    <x v="167"/>
    <x v="427"/>
    <x v="4"/>
    <x v="381"/>
    <x v="776"/>
    <x v="1249"/>
    <x v="2184"/>
    <x v="4043"/>
    <x v="4027"/>
    <x v="3503"/>
    <x v="1"/>
    <x v="3983"/>
    <x v="4046"/>
    <x v="592"/>
    <x v="0"/>
    <x v="0"/>
    <x v="4"/>
    <x v="119"/>
    <x v="2"/>
    <x v="649"/>
    <x v="43"/>
    <x v="2"/>
    <x v="1"/>
    <x v="0"/>
    <x v="4126"/>
  </r>
  <r>
    <x v="0"/>
    <x v="1819"/>
    <x v="369"/>
    <x v="110"/>
    <x v="0"/>
    <x v="566"/>
    <x v="742"/>
    <x v="4"/>
    <x v="125"/>
    <x v="1576"/>
    <x v="2390"/>
    <x v="2829"/>
    <x v="4044"/>
    <x v="4028"/>
    <x v="2237"/>
    <x v="1"/>
    <x v="3984"/>
    <x v="4047"/>
    <x v="343"/>
    <x v="0"/>
    <x v="0"/>
    <x v="4"/>
    <x v="119"/>
    <x v="12"/>
    <x v="327"/>
    <x v="47"/>
    <x v="0"/>
    <x v="729"/>
    <x v="0"/>
    <x v="4127"/>
  </r>
  <r>
    <x v="0"/>
    <x v="24"/>
    <x v="19"/>
    <x v="26"/>
    <x v="17"/>
    <x v="21"/>
    <x v="1"/>
    <x v="33"/>
    <x v="15"/>
    <x v="1"/>
    <x v="29"/>
    <x v="28"/>
    <x v="33"/>
    <x v="4029"/>
    <x v="32"/>
    <x v="0"/>
    <x v="33"/>
    <x v="33"/>
    <x v="33"/>
    <x v="0"/>
    <x v="0"/>
    <x v="2"/>
    <x v="9"/>
    <x v="5"/>
    <x v="23"/>
    <x v="12"/>
    <x v="3"/>
    <x v="4"/>
    <x v="0"/>
    <x v="4128"/>
  </r>
  <r>
    <x v="0"/>
    <x v="1820"/>
    <x v="4"/>
    <x v="78"/>
    <x v="48"/>
    <x v="210"/>
    <x v="0"/>
    <x v="4"/>
    <x v="125"/>
    <x v="369"/>
    <x v="331"/>
    <x v="2830"/>
    <x v="4045"/>
    <x v="2572"/>
    <x v="3504"/>
    <x v="1"/>
    <x v="3985"/>
    <x v="4048"/>
    <x v="326"/>
    <x v="0"/>
    <x v="0"/>
    <x v="0"/>
    <x v="119"/>
    <x v="0"/>
    <x v="222"/>
    <x v="5"/>
    <x v="3"/>
    <x v="730"/>
    <x v="0"/>
    <x v="4129"/>
  </r>
  <r>
    <x v="0"/>
    <x v="1821"/>
    <x v="152"/>
    <x v="45"/>
    <x v="5"/>
    <x v="419"/>
    <x v="176"/>
    <x v="3564"/>
    <x v="270"/>
    <x v="1577"/>
    <x v="1551"/>
    <x v="2831"/>
    <x v="4046"/>
    <x v="4030"/>
    <x v="3505"/>
    <x v="4"/>
    <x v="3986"/>
    <x v="4049"/>
    <x v="792"/>
    <x v="0"/>
    <x v="0"/>
    <x v="4"/>
    <x v="119"/>
    <x v="0"/>
    <x v="246"/>
    <x v="18"/>
    <x v="2"/>
    <x v="165"/>
    <x v="0"/>
    <x v="4130"/>
  </r>
  <r>
    <x v="0"/>
    <x v="1822"/>
    <x v="435"/>
    <x v="79"/>
    <x v="405"/>
    <x v="702"/>
    <x v="743"/>
    <x v="4"/>
    <x v="65"/>
    <x v="1578"/>
    <x v="2391"/>
    <x v="2832"/>
    <x v="4047"/>
    <x v="4031"/>
    <x v="3165"/>
    <x v="3"/>
    <x v="3987"/>
    <x v="4050"/>
    <x v="561"/>
    <x v="0"/>
    <x v="49"/>
    <x v="1"/>
    <x v="119"/>
    <x v="9"/>
    <x v="872"/>
    <x v="34"/>
    <x v="1"/>
    <x v="277"/>
    <x v="0"/>
    <x v="4131"/>
  </r>
  <r>
    <x v="0"/>
    <x v="669"/>
    <x v="288"/>
    <x v="105"/>
    <x v="282"/>
    <x v="380"/>
    <x v="22"/>
    <x v="4"/>
    <x v="125"/>
    <x v="264"/>
    <x v="515"/>
    <x v="535"/>
    <x v="4048"/>
    <x v="4032"/>
    <x v="3506"/>
    <x v="4"/>
    <x v="3988"/>
    <x v="4051"/>
    <x v="432"/>
    <x v="0"/>
    <x v="0"/>
    <x v="4"/>
    <x v="4"/>
    <x v="11"/>
    <x v="30"/>
    <x v="34"/>
    <x v="3"/>
    <x v="1"/>
    <x v="0"/>
    <x v="4132"/>
  </r>
  <r>
    <x v="0"/>
    <x v="1823"/>
    <x v="207"/>
    <x v="110"/>
    <x v="107"/>
    <x v="413"/>
    <x v="744"/>
    <x v="4"/>
    <x v="125"/>
    <x v="1579"/>
    <x v="2392"/>
    <x v="2833"/>
    <x v="4049"/>
    <x v="4033"/>
    <x v="2925"/>
    <x v="0"/>
    <x v="3989"/>
    <x v="4052"/>
    <x v="96"/>
    <x v="0"/>
    <x v="0"/>
    <x v="4"/>
    <x v="119"/>
    <x v="9"/>
    <x v="873"/>
    <x v="77"/>
    <x v="3"/>
    <x v="43"/>
    <x v="0"/>
    <x v="4133"/>
  </r>
  <r>
    <x v="0"/>
    <x v="1824"/>
    <x v="430"/>
    <x v="78"/>
    <x v="67"/>
    <x v="891"/>
    <x v="35"/>
    <x v="4"/>
    <x v="258"/>
    <x v="504"/>
    <x v="2393"/>
    <x v="2834"/>
    <x v="4050"/>
    <x v="4034"/>
    <x v="3507"/>
    <x v="3"/>
    <x v="3990"/>
    <x v="4053"/>
    <x v="737"/>
    <x v="0"/>
    <x v="0"/>
    <x v="4"/>
    <x v="119"/>
    <x v="10"/>
    <x v="874"/>
    <x v="27"/>
    <x v="3"/>
    <x v="71"/>
    <x v="0"/>
    <x v="4134"/>
  </r>
  <r>
    <x v="0"/>
    <x v="1002"/>
    <x v="314"/>
    <x v="80"/>
    <x v="109"/>
    <x v="446"/>
    <x v="42"/>
    <x v="4"/>
    <x v="111"/>
    <x v="1540"/>
    <x v="2394"/>
    <x v="2835"/>
    <x v="4051"/>
    <x v="4035"/>
    <x v="3495"/>
    <x v="0"/>
    <x v="3991"/>
    <x v="4054"/>
    <x v="528"/>
    <x v="0"/>
    <x v="0"/>
    <x v="11"/>
    <x v="119"/>
    <x v="58"/>
    <x v="507"/>
    <x v="38"/>
    <x v="1"/>
    <x v="67"/>
    <x v="0"/>
    <x v="4135"/>
  </r>
  <r>
    <x v="0"/>
    <x v="1825"/>
    <x v="412"/>
    <x v="7"/>
    <x v="221"/>
    <x v="742"/>
    <x v="0"/>
    <x v="4"/>
    <x v="125"/>
    <x v="1226"/>
    <x v="2395"/>
    <x v="2836"/>
    <x v="4052"/>
    <x v="2316"/>
    <x v="3508"/>
    <x v="0"/>
    <x v="3992"/>
    <x v="4055"/>
    <x v="326"/>
    <x v="17"/>
    <x v="20"/>
    <x v="1"/>
    <x v="119"/>
    <x v="0"/>
    <x v="868"/>
    <x v="37"/>
    <x v="2"/>
    <x v="731"/>
    <x v="0"/>
    <x v="4136"/>
  </r>
  <r>
    <x v="0"/>
    <x v="1826"/>
    <x v="479"/>
    <x v="76"/>
    <x v="193"/>
    <x v="264"/>
    <x v="35"/>
    <x v="4"/>
    <x v="582"/>
    <x v="1251"/>
    <x v="2396"/>
    <x v="2837"/>
    <x v="4053"/>
    <x v="3941"/>
    <x v="3509"/>
    <x v="0"/>
    <x v="3993"/>
    <x v="4056"/>
    <x v="561"/>
    <x v="0"/>
    <x v="0"/>
    <x v="1"/>
    <x v="297"/>
    <x v="9"/>
    <x v="802"/>
    <x v="31"/>
    <x v="1"/>
    <x v="732"/>
    <x v="0"/>
    <x v="4137"/>
  </r>
  <r>
    <x v="2"/>
    <x v="1827"/>
    <x v="478"/>
    <x v="54"/>
    <x v="218"/>
    <x v="307"/>
    <x v="0"/>
    <x v="4"/>
    <x v="416"/>
    <x v="1110"/>
    <x v="2397"/>
    <x v="2838"/>
    <x v="4054"/>
    <x v="4036"/>
    <x v="3510"/>
    <x v="4"/>
    <x v="3994"/>
    <x v="4057"/>
    <x v="83"/>
    <x v="0"/>
    <x v="0"/>
    <x v="4"/>
    <x v="119"/>
    <x v="11"/>
    <x v="875"/>
    <x v="30"/>
    <x v="2"/>
    <x v="733"/>
    <x v="0"/>
    <x v="4138"/>
  </r>
  <r>
    <x v="0"/>
    <x v="1828"/>
    <x v="489"/>
    <x v="87"/>
    <x v="134"/>
    <x v="78"/>
    <x v="272"/>
    <x v="4"/>
    <x v="582"/>
    <x v="496"/>
    <x v="2398"/>
    <x v="2839"/>
    <x v="4055"/>
    <x v="4037"/>
    <x v="3307"/>
    <x v="2"/>
    <x v="3995"/>
    <x v="4058"/>
    <x v="824"/>
    <x v="0"/>
    <x v="0"/>
    <x v="4"/>
    <x v="119"/>
    <x v="2"/>
    <x v="25"/>
    <x v="65"/>
    <x v="2"/>
    <x v="565"/>
    <x v="0"/>
    <x v="4139"/>
  </r>
  <r>
    <x v="0"/>
    <x v="1829"/>
    <x v="435"/>
    <x v="55"/>
    <x v="93"/>
    <x v="683"/>
    <x v="446"/>
    <x v="4"/>
    <x v="819"/>
    <x v="1580"/>
    <x v="2399"/>
    <x v="2840"/>
    <x v="4056"/>
    <x v="4038"/>
    <x v="3511"/>
    <x v="1"/>
    <x v="3996"/>
    <x v="4059"/>
    <x v="561"/>
    <x v="0"/>
    <x v="20"/>
    <x v="1"/>
    <x v="119"/>
    <x v="32"/>
    <x v="725"/>
    <x v="5"/>
    <x v="3"/>
    <x v="734"/>
    <x v="0"/>
    <x v="4140"/>
  </r>
  <r>
    <x v="0"/>
    <x v="85"/>
    <x v="22"/>
    <x v="72"/>
    <x v="0"/>
    <x v="95"/>
    <x v="35"/>
    <x v="324"/>
    <x v="158"/>
    <x v="177"/>
    <x v="263"/>
    <x v="120"/>
    <x v="332"/>
    <x v="4039"/>
    <x v="327"/>
    <x v="1"/>
    <x v="329"/>
    <x v="332"/>
    <x v="451"/>
    <x v="0"/>
    <x v="0"/>
    <x v="2"/>
    <x v="73"/>
    <x v="2"/>
    <x v="177"/>
    <x v="15"/>
    <x v="1"/>
    <x v="15"/>
    <x v="0"/>
    <x v="4141"/>
  </r>
  <r>
    <x v="0"/>
    <x v="1830"/>
    <x v="492"/>
    <x v="50"/>
    <x v="0"/>
    <x v="781"/>
    <x v="179"/>
    <x v="4"/>
    <x v="820"/>
    <x v="420"/>
    <x v="2400"/>
    <x v="1763"/>
    <x v="4057"/>
    <x v="4040"/>
    <x v="3512"/>
    <x v="3"/>
    <x v="3997"/>
    <x v="4060"/>
    <x v="792"/>
    <x v="0"/>
    <x v="0"/>
    <x v="4"/>
    <x v="119"/>
    <x v="0"/>
    <x v="201"/>
    <x v="5"/>
    <x v="0"/>
    <x v="735"/>
    <x v="0"/>
    <x v="4142"/>
  </r>
  <r>
    <x v="0"/>
    <x v="1831"/>
    <x v="384"/>
    <x v="54"/>
    <x v="143"/>
    <x v="130"/>
    <x v="35"/>
    <x v="4"/>
    <x v="105"/>
    <x v="65"/>
    <x v="2401"/>
    <x v="2841"/>
    <x v="4058"/>
    <x v="4041"/>
    <x v="1065"/>
    <x v="4"/>
    <x v="3998"/>
    <x v="4061"/>
    <x v="822"/>
    <x v="0"/>
    <x v="0"/>
    <x v="4"/>
    <x v="4"/>
    <x v="5"/>
    <x v="96"/>
    <x v="18"/>
    <x v="3"/>
    <x v="736"/>
    <x v="0"/>
    <x v="4143"/>
  </r>
  <r>
    <x v="0"/>
    <x v="385"/>
    <x v="184"/>
    <x v="18"/>
    <x v="26"/>
    <x v="660"/>
    <x v="721"/>
    <x v="3565"/>
    <x v="270"/>
    <x v="1513"/>
    <x v="2402"/>
    <x v="2842"/>
    <x v="4059"/>
    <x v="4042"/>
    <x v="2276"/>
    <x v="0"/>
    <x v="3999"/>
    <x v="4062"/>
    <x v="73"/>
    <x v="30"/>
    <x v="49"/>
    <x v="4"/>
    <x v="326"/>
    <x v="20"/>
    <x v="876"/>
    <x v="25"/>
    <x v="1"/>
    <x v="1"/>
    <x v="0"/>
    <x v="4144"/>
  </r>
  <r>
    <x v="0"/>
    <x v="1784"/>
    <x v="152"/>
    <x v="16"/>
    <x v="402"/>
    <x v="644"/>
    <x v="199"/>
    <x v="4"/>
    <x v="200"/>
    <x v="1581"/>
    <x v="2403"/>
    <x v="2720"/>
    <x v="4060"/>
    <x v="4043"/>
    <x v="2426"/>
    <x v="4"/>
    <x v="4000"/>
    <x v="4063"/>
    <x v="408"/>
    <x v="0"/>
    <x v="0"/>
    <x v="11"/>
    <x v="326"/>
    <x v="60"/>
    <x v="384"/>
    <x v="11"/>
    <x v="1"/>
    <x v="249"/>
    <x v="0"/>
    <x v="4145"/>
  </r>
  <r>
    <x v="0"/>
    <x v="1832"/>
    <x v="419"/>
    <x v="110"/>
    <x v="138"/>
    <x v="605"/>
    <x v="5"/>
    <x v="4"/>
    <x v="339"/>
    <x v="1582"/>
    <x v="363"/>
    <x v="2843"/>
    <x v="4061"/>
    <x v="4044"/>
    <x v="3166"/>
    <x v="1"/>
    <x v="4001"/>
    <x v="4064"/>
    <x v="755"/>
    <x v="0"/>
    <x v="0"/>
    <x v="1"/>
    <x v="119"/>
    <x v="2"/>
    <x v="242"/>
    <x v="41"/>
    <x v="2"/>
    <x v="737"/>
    <x v="0"/>
    <x v="4146"/>
  </r>
  <r>
    <x v="0"/>
    <x v="1833"/>
    <x v="311"/>
    <x v="72"/>
    <x v="218"/>
    <x v="136"/>
    <x v="254"/>
    <x v="3566"/>
    <x v="127"/>
    <x v="1583"/>
    <x v="2404"/>
    <x v="2844"/>
    <x v="4062"/>
    <x v="4045"/>
    <x v="3513"/>
    <x v="8"/>
    <x v="4002"/>
    <x v="4065"/>
    <x v="788"/>
    <x v="0"/>
    <x v="0"/>
    <x v="4"/>
    <x v="41"/>
    <x v="12"/>
    <x v="55"/>
    <x v="12"/>
    <x v="3"/>
    <x v="536"/>
    <x v="0"/>
    <x v="4147"/>
  </r>
  <r>
    <x v="0"/>
    <x v="1200"/>
    <x v="421"/>
    <x v="78"/>
    <x v="62"/>
    <x v="502"/>
    <x v="745"/>
    <x v="4"/>
    <x v="416"/>
    <x v="1584"/>
    <x v="2405"/>
    <x v="2845"/>
    <x v="4063"/>
    <x v="4046"/>
    <x v="3514"/>
    <x v="0"/>
    <x v="4003"/>
    <x v="4066"/>
    <x v="83"/>
    <x v="0"/>
    <x v="0"/>
    <x v="1"/>
    <x v="119"/>
    <x v="11"/>
    <x v="877"/>
    <x v="44"/>
    <x v="2"/>
    <x v="655"/>
    <x v="0"/>
    <x v="4148"/>
  </r>
  <r>
    <x v="0"/>
    <x v="1834"/>
    <x v="345"/>
    <x v="41"/>
    <x v="198"/>
    <x v="105"/>
    <x v="119"/>
    <x v="3567"/>
    <x v="4"/>
    <x v="1585"/>
    <x v="655"/>
    <x v="2846"/>
    <x v="4064"/>
    <x v="4047"/>
    <x v="3515"/>
    <x v="0"/>
    <x v="4004"/>
    <x v="4067"/>
    <x v="790"/>
    <x v="0"/>
    <x v="0"/>
    <x v="0"/>
    <x v="119"/>
    <x v="5"/>
    <x v="11"/>
    <x v="21"/>
    <x v="2"/>
    <x v="1"/>
    <x v="0"/>
    <x v="4149"/>
  </r>
  <r>
    <x v="0"/>
    <x v="105"/>
    <x v="166"/>
    <x v="86"/>
    <x v="83"/>
    <x v="629"/>
    <x v="409"/>
    <x v="4"/>
    <x v="552"/>
    <x v="752"/>
    <x v="1215"/>
    <x v="1425"/>
    <x v="1877"/>
    <x v="4048"/>
    <x v="1795"/>
    <x v="4"/>
    <x v="1865"/>
    <x v="1877"/>
    <x v="505"/>
    <x v="0"/>
    <x v="1"/>
    <x v="4"/>
    <x v="182"/>
    <x v="46"/>
    <x v="642"/>
    <x v="32"/>
    <x v="1"/>
    <x v="115"/>
    <x v="0"/>
    <x v="4150"/>
  </r>
  <r>
    <x v="0"/>
    <x v="630"/>
    <x v="24"/>
    <x v="71"/>
    <x v="219"/>
    <x v="667"/>
    <x v="746"/>
    <x v="3568"/>
    <x v="429"/>
    <x v="1586"/>
    <x v="1939"/>
    <x v="2847"/>
    <x v="4065"/>
    <x v="4049"/>
    <x v="3516"/>
    <x v="1"/>
    <x v="4005"/>
    <x v="4068"/>
    <x v="281"/>
    <x v="3"/>
    <x v="10"/>
    <x v="10"/>
    <x v="298"/>
    <x v="17"/>
    <x v="598"/>
    <x v="2"/>
    <x v="1"/>
    <x v="1"/>
    <x v="0"/>
    <x v="4151"/>
  </r>
  <r>
    <x v="0"/>
    <x v="1835"/>
    <x v="394"/>
    <x v="78"/>
    <x v="174"/>
    <x v="530"/>
    <x v="570"/>
    <x v="4"/>
    <x v="473"/>
    <x v="1587"/>
    <x v="2406"/>
    <x v="2848"/>
    <x v="4066"/>
    <x v="4050"/>
    <x v="1144"/>
    <x v="1"/>
    <x v="4006"/>
    <x v="4069"/>
    <x v="646"/>
    <x v="0"/>
    <x v="5"/>
    <x v="0"/>
    <x v="4"/>
    <x v="5"/>
    <x v="745"/>
    <x v="9"/>
    <x v="3"/>
    <x v="1"/>
    <x v="0"/>
    <x v="4152"/>
  </r>
  <r>
    <x v="0"/>
    <x v="1836"/>
    <x v="369"/>
    <x v="71"/>
    <x v="85"/>
    <x v="272"/>
    <x v="637"/>
    <x v="4"/>
    <x v="355"/>
    <x v="1258"/>
    <x v="2407"/>
    <x v="2849"/>
    <x v="4067"/>
    <x v="3027"/>
    <x v="2888"/>
    <x v="0"/>
    <x v="4007"/>
    <x v="4070"/>
    <x v="789"/>
    <x v="0"/>
    <x v="0"/>
    <x v="4"/>
    <x v="119"/>
    <x v="2"/>
    <x v="663"/>
    <x v="61"/>
    <x v="1"/>
    <x v="738"/>
    <x v="0"/>
    <x v="4153"/>
  </r>
  <r>
    <x v="0"/>
    <x v="1128"/>
    <x v="171"/>
    <x v="38"/>
    <x v="115"/>
    <x v="143"/>
    <x v="34"/>
    <x v="3569"/>
    <x v="384"/>
    <x v="1588"/>
    <x v="2408"/>
    <x v="2850"/>
    <x v="4068"/>
    <x v="4051"/>
    <x v="2243"/>
    <x v="1"/>
    <x v="4008"/>
    <x v="4071"/>
    <x v="133"/>
    <x v="0"/>
    <x v="0"/>
    <x v="4"/>
    <x v="83"/>
    <x v="12"/>
    <x v="878"/>
    <x v="38"/>
    <x v="3"/>
    <x v="1"/>
    <x v="0"/>
    <x v="4154"/>
  </r>
  <r>
    <x v="1"/>
    <x v="1703"/>
    <x v="198"/>
    <x v="60"/>
    <x v="0"/>
    <x v="313"/>
    <x v="747"/>
    <x v="3120"/>
    <x v="434"/>
    <x v="1589"/>
    <x v="2409"/>
    <x v="2851"/>
    <x v="4069"/>
    <x v="4052"/>
    <x v="2489"/>
    <x v="4"/>
    <x v="4009"/>
    <x v="4072"/>
    <x v="662"/>
    <x v="0"/>
    <x v="0"/>
    <x v="9"/>
    <x v="327"/>
    <x v="64"/>
    <x v="279"/>
    <x v="24"/>
    <x v="10"/>
    <x v="7"/>
    <x v="0"/>
    <x v="4155"/>
  </r>
  <r>
    <x v="0"/>
    <x v="1837"/>
    <x v="382"/>
    <x v="76"/>
    <x v="240"/>
    <x v="775"/>
    <x v="689"/>
    <x v="3570"/>
    <x v="429"/>
    <x v="1410"/>
    <x v="2410"/>
    <x v="2852"/>
    <x v="4070"/>
    <x v="4053"/>
    <x v="1849"/>
    <x v="0"/>
    <x v="4010"/>
    <x v="4073"/>
    <x v="354"/>
    <x v="0"/>
    <x v="0"/>
    <x v="4"/>
    <x v="182"/>
    <x v="32"/>
    <x v="243"/>
    <x v="43"/>
    <x v="3"/>
    <x v="1"/>
    <x v="0"/>
    <x v="4156"/>
  </r>
  <r>
    <x v="1"/>
    <x v="1738"/>
    <x v="377"/>
    <x v="58"/>
    <x v="293"/>
    <x v="419"/>
    <x v="339"/>
    <x v="3571"/>
    <x v="563"/>
    <x v="1590"/>
    <x v="2411"/>
    <x v="2853"/>
    <x v="4071"/>
    <x v="4054"/>
    <x v="3309"/>
    <x v="3"/>
    <x v="4011"/>
    <x v="4074"/>
    <x v="222"/>
    <x v="0"/>
    <x v="0"/>
    <x v="17"/>
    <x v="182"/>
    <x v="72"/>
    <x v="831"/>
    <x v="14"/>
    <x v="15"/>
    <x v="57"/>
    <x v="0"/>
    <x v="4157"/>
  </r>
  <r>
    <x v="1"/>
    <x v="873"/>
    <x v="309"/>
    <x v="11"/>
    <x v="0"/>
    <x v="404"/>
    <x v="0"/>
    <x v="3572"/>
    <x v="125"/>
    <x v="1161"/>
    <x v="866"/>
    <x v="1841"/>
    <x v="4072"/>
    <x v="4055"/>
    <x v="3517"/>
    <x v="0"/>
    <x v="4012"/>
    <x v="4075"/>
    <x v="419"/>
    <x v="0"/>
    <x v="0"/>
    <x v="2"/>
    <x v="182"/>
    <x v="55"/>
    <x v="181"/>
    <x v="25"/>
    <x v="3"/>
    <x v="57"/>
    <x v="0"/>
    <x v="4158"/>
  </r>
  <r>
    <x v="0"/>
    <x v="233"/>
    <x v="89"/>
    <x v="54"/>
    <x v="0"/>
    <x v="830"/>
    <x v="568"/>
    <x v="3573"/>
    <x v="429"/>
    <x v="1591"/>
    <x v="1461"/>
    <x v="2854"/>
    <x v="4073"/>
    <x v="4056"/>
    <x v="3518"/>
    <x v="0"/>
    <x v="4013"/>
    <x v="4076"/>
    <x v="576"/>
    <x v="0"/>
    <x v="0"/>
    <x v="4"/>
    <x v="126"/>
    <x v="1"/>
    <x v="289"/>
    <x v="20"/>
    <x v="3"/>
    <x v="1"/>
    <x v="0"/>
    <x v="4159"/>
  </r>
  <r>
    <x v="0"/>
    <x v="1838"/>
    <x v="464"/>
    <x v="48"/>
    <x v="94"/>
    <x v="329"/>
    <x v="705"/>
    <x v="4"/>
    <x v="105"/>
    <x v="1475"/>
    <x v="2412"/>
    <x v="2855"/>
    <x v="4074"/>
    <x v="4057"/>
    <x v="923"/>
    <x v="0"/>
    <x v="4014"/>
    <x v="4077"/>
    <x v="170"/>
    <x v="8"/>
    <x v="16"/>
    <x v="0"/>
    <x v="40"/>
    <x v="7"/>
    <x v="491"/>
    <x v="17"/>
    <x v="1"/>
    <x v="739"/>
    <x v="0"/>
    <x v="4160"/>
  </r>
  <r>
    <x v="0"/>
    <x v="1839"/>
    <x v="258"/>
    <x v="18"/>
    <x v="134"/>
    <x v="736"/>
    <x v="614"/>
    <x v="3574"/>
    <x v="270"/>
    <x v="1209"/>
    <x v="2413"/>
    <x v="2856"/>
    <x v="4075"/>
    <x v="4058"/>
    <x v="3237"/>
    <x v="1"/>
    <x v="4015"/>
    <x v="4078"/>
    <x v="448"/>
    <x v="0"/>
    <x v="0"/>
    <x v="4"/>
    <x v="207"/>
    <x v="13"/>
    <x v="857"/>
    <x v="1"/>
    <x v="10"/>
    <x v="740"/>
    <x v="0"/>
    <x v="4161"/>
  </r>
  <r>
    <x v="0"/>
    <x v="1259"/>
    <x v="193"/>
    <x v="34"/>
    <x v="107"/>
    <x v="358"/>
    <x v="748"/>
    <x v="4"/>
    <x v="821"/>
    <x v="1592"/>
    <x v="2414"/>
    <x v="2857"/>
    <x v="4076"/>
    <x v="4059"/>
    <x v="3519"/>
    <x v="0"/>
    <x v="4016"/>
    <x v="4079"/>
    <x v="129"/>
    <x v="0"/>
    <x v="0"/>
    <x v="3"/>
    <x v="207"/>
    <x v="28"/>
    <x v="479"/>
    <x v="38"/>
    <x v="3"/>
    <x v="1"/>
    <x v="0"/>
    <x v="4162"/>
  </r>
  <r>
    <x v="0"/>
    <x v="1840"/>
    <x v="93"/>
    <x v="8"/>
    <x v="216"/>
    <x v="792"/>
    <x v="609"/>
    <x v="4"/>
    <x v="822"/>
    <x v="1593"/>
    <x v="2415"/>
    <x v="2858"/>
    <x v="4077"/>
    <x v="4060"/>
    <x v="3520"/>
    <x v="4"/>
    <x v="4"/>
    <x v="4080"/>
    <x v="824"/>
    <x v="37"/>
    <x v="4"/>
    <x v="1"/>
    <x v="119"/>
    <x v="2"/>
    <x v="326"/>
    <x v="4"/>
    <x v="2"/>
    <x v="741"/>
    <x v="0"/>
    <x v="4163"/>
  </r>
  <r>
    <x v="0"/>
    <x v="1841"/>
    <x v="412"/>
    <x v="78"/>
    <x v="0"/>
    <x v="170"/>
    <x v="623"/>
    <x v="4"/>
    <x v="823"/>
    <x v="1594"/>
    <x v="2416"/>
    <x v="2859"/>
    <x v="4078"/>
    <x v="4061"/>
    <x v="3521"/>
    <x v="0"/>
    <x v="4017"/>
    <x v="4081"/>
    <x v="843"/>
    <x v="31"/>
    <x v="23"/>
    <x v="9"/>
    <x v="4"/>
    <x v="8"/>
    <x v="585"/>
    <x v="20"/>
    <x v="3"/>
    <x v="600"/>
    <x v="0"/>
    <x v="4164"/>
  </r>
  <r>
    <x v="0"/>
    <x v="1779"/>
    <x v="434"/>
    <x v="56"/>
    <x v="401"/>
    <x v="385"/>
    <x v="42"/>
    <x v="4"/>
    <x v="632"/>
    <x v="1540"/>
    <x v="2417"/>
    <x v="1843"/>
    <x v="4079"/>
    <x v="4062"/>
    <x v="2398"/>
    <x v="1"/>
    <x v="4018"/>
    <x v="4082"/>
    <x v="632"/>
    <x v="0"/>
    <x v="0"/>
    <x v="9"/>
    <x v="328"/>
    <x v="41"/>
    <x v="89"/>
    <x v="8"/>
    <x v="3"/>
    <x v="456"/>
    <x v="0"/>
    <x v="4165"/>
  </r>
  <r>
    <x v="0"/>
    <x v="1842"/>
    <x v="307"/>
    <x v="54"/>
    <x v="217"/>
    <x v="621"/>
    <x v="457"/>
    <x v="4"/>
    <x v="200"/>
    <x v="1595"/>
    <x v="2418"/>
    <x v="2860"/>
    <x v="4080"/>
    <x v="4063"/>
    <x v="2560"/>
    <x v="0"/>
    <x v="4019"/>
    <x v="4083"/>
    <x v="685"/>
    <x v="18"/>
    <x v="32"/>
    <x v="1"/>
    <x v="329"/>
    <x v="25"/>
    <x v="515"/>
    <x v="15"/>
    <x v="3"/>
    <x v="709"/>
    <x v="0"/>
    <x v="4166"/>
  </r>
  <r>
    <x v="1"/>
    <x v="1738"/>
    <x v="435"/>
    <x v="40"/>
    <x v="293"/>
    <x v="892"/>
    <x v="85"/>
    <x v="4"/>
    <x v="824"/>
    <x v="1596"/>
    <x v="2419"/>
    <x v="2861"/>
    <x v="4081"/>
    <x v="4064"/>
    <x v="3522"/>
    <x v="0"/>
    <x v="4020"/>
    <x v="4084"/>
    <x v="788"/>
    <x v="0"/>
    <x v="0"/>
    <x v="17"/>
    <x v="330"/>
    <x v="77"/>
    <x v="879"/>
    <x v="15"/>
    <x v="15"/>
    <x v="473"/>
    <x v="0"/>
    <x v="4167"/>
  </r>
  <r>
    <x v="0"/>
    <x v="873"/>
    <x v="313"/>
    <x v="41"/>
    <x v="0"/>
    <x v="555"/>
    <x v="0"/>
    <x v="3575"/>
    <x v="335"/>
    <x v="1161"/>
    <x v="2420"/>
    <x v="870"/>
    <x v="4082"/>
    <x v="4065"/>
    <x v="3523"/>
    <x v="0"/>
    <x v="4021"/>
    <x v="4085"/>
    <x v="407"/>
    <x v="0"/>
    <x v="0"/>
    <x v="4"/>
    <x v="142"/>
    <x v="55"/>
    <x v="30"/>
    <x v="6"/>
    <x v="1"/>
    <x v="85"/>
    <x v="0"/>
    <x v="4168"/>
  </r>
  <r>
    <x v="0"/>
    <x v="1319"/>
    <x v="146"/>
    <x v="55"/>
    <x v="184"/>
    <x v="323"/>
    <x v="515"/>
    <x v="3576"/>
    <x v="381"/>
    <x v="1597"/>
    <x v="2421"/>
    <x v="2862"/>
    <x v="4083"/>
    <x v="4066"/>
    <x v="3524"/>
    <x v="0"/>
    <x v="4022"/>
    <x v="4086"/>
    <x v="105"/>
    <x v="0"/>
    <x v="0"/>
    <x v="4"/>
    <x v="164"/>
    <x v="31"/>
    <x v="880"/>
    <x v="18"/>
    <x v="3"/>
    <x v="1"/>
    <x v="0"/>
    <x v="4169"/>
  </r>
  <r>
    <x v="1"/>
    <x v="1843"/>
    <x v="267"/>
    <x v="87"/>
    <x v="50"/>
    <x v="490"/>
    <x v="732"/>
    <x v="3577"/>
    <x v="270"/>
    <x v="1598"/>
    <x v="2422"/>
    <x v="2863"/>
    <x v="4084"/>
    <x v="4067"/>
    <x v="3525"/>
    <x v="1"/>
    <x v="4023"/>
    <x v="4087"/>
    <x v="400"/>
    <x v="26"/>
    <x v="45"/>
    <x v="0"/>
    <x v="4"/>
    <x v="9"/>
    <x v="863"/>
    <x v="38"/>
    <x v="8"/>
    <x v="16"/>
    <x v="0"/>
    <x v="4170"/>
  </r>
  <r>
    <x v="0"/>
    <x v="1072"/>
    <x v="207"/>
    <x v="35"/>
    <x v="265"/>
    <x v="659"/>
    <x v="151"/>
    <x v="3578"/>
    <x v="17"/>
    <x v="1599"/>
    <x v="1919"/>
    <x v="1211"/>
    <x v="4085"/>
    <x v="4068"/>
    <x v="3418"/>
    <x v="1"/>
    <x v="4024"/>
    <x v="4088"/>
    <x v="212"/>
    <x v="0"/>
    <x v="1"/>
    <x v="4"/>
    <x v="142"/>
    <x v="42"/>
    <x v="197"/>
    <x v="6"/>
    <x v="10"/>
    <x v="657"/>
    <x v="0"/>
    <x v="4171"/>
  </r>
  <r>
    <x v="0"/>
    <x v="1844"/>
    <x v="393"/>
    <x v="107"/>
    <x v="221"/>
    <x v="329"/>
    <x v="75"/>
    <x v="3579"/>
    <x v="300"/>
    <x v="696"/>
    <x v="2423"/>
    <x v="726"/>
    <x v="4086"/>
    <x v="4069"/>
    <x v="2039"/>
    <x v="4"/>
    <x v="4025"/>
    <x v="4089"/>
    <x v="327"/>
    <x v="0"/>
    <x v="0"/>
    <x v="4"/>
    <x v="182"/>
    <x v="7"/>
    <x v="272"/>
    <x v="19"/>
    <x v="2"/>
    <x v="668"/>
    <x v="0"/>
    <x v="4172"/>
  </r>
  <r>
    <x v="0"/>
    <x v="658"/>
    <x v="283"/>
    <x v="56"/>
    <x v="143"/>
    <x v="1"/>
    <x v="1"/>
    <x v="1442"/>
    <x v="211"/>
    <x v="1"/>
    <x v="99"/>
    <x v="1177"/>
    <x v="1504"/>
    <x v="4070"/>
    <x v="1457"/>
    <x v="0"/>
    <x v="1494"/>
    <x v="1504"/>
    <x v="635"/>
    <x v="0"/>
    <x v="0"/>
    <x v="4"/>
    <x v="148"/>
    <x v="15"/>
    <x v="71"/>
    <x v="43"/>
    <x v="3"/>
    <x v="103"/>
    <x v="0"/>
    <x v="4173"/>
  </r>
  <r>
    <x v="0"/>
    <x v="1845"/>
    <x v="336"/>
    <x v="72"/>
    <x v="366"/>
    <x v="222"/>
    <x v="592"/>
    <x v="3580"/>
    <x v="825"/>
    <x v="1600"/>
    <x v="2424"/>
    <x v="2864"/>
    <x v="4087"/>
    <x v="4071"/>
    <x v="2716"/>
    <x v="1"/>
    <x v="4026"/>
    <x v="4090"/>
    <x v="820"/>
    <x v="0"/>
    <x v="0"/>
    <x v="0"/>
    <x v="4"/>
    <x v="14"/>
    <x v="394"/>
    <x v="0"/>
    <x v="2"/>
    <x v="1"/>
    <x v="0"/>
    <x v="4174"/>
  </r>
  <r>
    <x v="0"/>
    <x v="1846"/>
    <x v="247"/>
    <x v="180"/>
    <x v="199"/>
    <x v="221"/>
    <x v="749"/>
    <x v="3581"/>
    <x v="315"/>
    <x v="1601"/>
    <x v="2425"/>
    <x v="2865"/>
    <x v="4088"/>
    <x v="4072"/>
    <x v="3526"/>
    <x v="0"/>
    <x v="4027"/>
    <x v="4091"/>
    <x v="390"/>
    <x v="6"/>
    <x v="13"/>
    <x v="4"/>
    <x v="142"/>
    <x v="1"/>
    <x v="699"/>
    <x v="13"/>
    <x v="3"/>
    <x v="1"/>
    <x v="0"/>
    <x v="4175"/>
  </r>
  <r>
    <x v="0"/>
    <x v="1847"/>
    <x v="451"/>
    <x v="77"/>
    <x v="0"/>
    <x v="597"/>
    <x v="385"/>
    <x v="4"/>
    <x v="121"/>
    <x v="1602"/>
    <x v="2426"/>
    <x v="2866"/>
    <x v="4089"/>
    <x v="4073"/>
    <x v="3527"/>
    <x v="1"/>
    <x v="3098"/>
    <x v="4092"/>
    <x v="854"/>
    <x v="4"/>
    <x v="9"/>
    <x v="1"/>
    <x v="159"/>
    <x v="0"/>
    <x v="231"/>
    <x v="38"/>
    <x v="1"/>
    <x v="427"/>
    <x v="0"/>
    <x v="4176"/>
  </r>
  <r>
    <x v="0"/>
    <x v="1848"/>
    <x v="240"/>
    <x v="7"/>
    <x v="85"/>
    <x v="857"/>
    <x v="697"/>
    <x v="4"/>
    <x v="381"/>
    <x v="1603"/>
    <x v="2427"/>
    <x v="2698"/>
    <x v="4090"/>
    <x v="4074"/>
    <x v="1429"/>
    <x v="1"/>
    <x v="4028"/>
    <x v="4093"/>
    <x v="637"/>
    <x v="0"/>
    <x v="0"/>
    <x v="4"/>
    <x v="142"/>
    <x v="1"/>
    <x v="740"/>
    <x v="43"/>
    <x v="3"/>
    <x v="742"/>
    <x v="0"/>
    <x v="4177"/>
  </r>
  <r>
    <x v="0"/>
    <x v="1849"/>
    <x v="244"/>
    <x v="33"/>
    <x v="245"/>
    <x v="288"/>
    <x v="669"/>
    <x v="4"/>
    <x v="616"/>
    <x v="1344"/>
    <x v="805"/>
    <x v="2867"/>
    <x v="4091"/>
    <x v="4075"/>
    <x v="3482"/>
    <x v="0"/>
    <x v="4029"/>
    <x v="4094"/>
    <x v="493"/>
    <x v="0"/>
    <x v="0"/>
    <x v="11"/>
    <x v="331"/>
    <x v="69"/>
    <x v="475"/>
    <x v="24"/>
    <x v="15"/>
    <x v="1"/>
    <x v="0"/>
    <x v="4178"/>
  </r>
  <r>
    <x v="0"/>
    <x v="1850"/>
    <x v="457"/>
    <x v="55"/>
    <x v="169"/>
    <x v="298"/>
    <x v="545"/>
    <x v="4"/>
    <x v="4"/>
    <x v="1604"/>
    <x v="2428"/>
    <x v="2868"/>
    <x v="4092"/>
    <x v="4076"/>
    <x v="3528"/>
    <x v="4"/>
    <x v="4030"/>
    <x v="4095"/>
    <x v="719"/>
    <x v="0"/>
    <x v="5"/>
    <x v="1"/>
    <x v="139"/>
    <x v="5"/>
    <x v="556"/>
    <x v="32"/>
    <x v="2"/>
    <x v="7"/>
    <x v="0"/>
    <x v="4179"/>
  </r>
  <r>
    <x v="0"/>
    <x v="1627"/>
    <x v="309"/>
    <x v="107"/>
    <x v="262"/>
    <x v="786"/>
    <x v="411"/>
    <x v="3582"/>
    <x v="219"/>
    <x v="1605"/>
    <x v="2429"/>
    <x v="2076"/>
    <x v="4093"/>
    <x v="4077"/>
    <x v="3529"/>
    <x v="5"/>
    <x v="4031"/>
    <x v="4096"/>
    <x v="653"/>
    <x v="0"/>
    <x v="0"/>
    <x v="4"/>
    <x v="139"/>
    <x v="9"/>
    <x v="453"/>
    <x v="37"/>
    <x v="3"/>
    <x v="1"/>
    <x v="0"/>
    <x v="4180"/>
  </r>
  <r>
    <x v="0"/>
    <x v="1851"/>
    <x v="421"/>
    <x v="101"/>
    <x v="113"/>
    <x v="305"/>
    <x v="750"/>
    <x v="3583"/>
    <x v="4"/>
    <x v="1606"/>
    <x v="2430"/>
    <x v="2869"/>
    <x v="4094"/>
    <x v="4078"/>
    <x v="3530"/>
    <x v="0"/>
    <x v="4032"/>
    <x v="4097"/>
    <x v="614"/>
    <x v="0"/>
    <x v="0"/>
    <x v="2"/>
    <x v="139"/>
    <x v="3"/>
    <x v="747"/>
    <x v="37"/>
    <x v="3"/>
    <x v="1"/>
    <x v="0"/>
    <x v="4181"/>
  </r>
  <r>
    <x v="0"/>
    <x v="1095"/>
    <x v="129"/>
    <x v="73"/>
    <x v="0"/>
    <x v="506"/>
    <x v="439"/>
    <x v="2435"/>
    <x v="429"/>
    <x v="797"/>
    <x v="394"/>
    <x v="1896"/>
    <x v="2606"/>
    <x v="2602"/>
    <x v="2418"/>
    <x v="0"/>
    <x v="2585"/>
    <x v="2606"/>
    <x v="228"/>
    <x v="0"/>
    <x v="0"/>
    <x v="4"/>
    <x v="159"/>
    <x v="0"/>
    <x v="265"/>
    <x v="41"/>
    <x v="3"/>
    <x v="67"/>
    <x v="0"/>
    <x v="4182"/>
  </r>
  <r>
    <x v="0"/>
    <x v="708"/>
    <x v="346"/>
    <x v="36"/>
    <x v="289"/>
    <x v="64"/>
    <x v="10"/>
    <x v="3584"/>
    <x v="379"/>
    <x v="33"/>
    <x v="99"/>
    <x v="428"/>
    <x v="4095"/>
    <x v="4079"/>
    <x v="3531"/>
    <x v="5"/>
    <x v="4033"/>
    <x v="4098"/>
    <x v="657"/>
    <x v="0"/>
    <x v="0"/>
    <x v="2"/>
    <x v="140"/>
    <x v="25"/>
    <x v="71"/>
    <x v="8"/>
    <x v="15"/>
    <x v="1"/>
    <x v="0"/>
    <x v="4183"/>
  </r>
  <r>
    <x v="0"/>
    <x v="1852"/>
    <x v="57"/>
    <x v="42"/>
    <x v="192"/>
    <x v="305"/>
    <x v="601"/>
    <x v="3585"/>
    <x v="458"/>
    <x v="1607"/>
    <x v="1288"/>
    <x v="2870"/>
    <x v="4096"/>
    <x v="4080"/>
    <x v="3098"/>
    <x v="0"/>
    <x v="4034"/>
    <x v="4099"/>
    <x v="125"/>
    <x v="0"/>
    <x v="0"/>
    <x v="4"/>
    <x v="139"/>
    <x v="26"/>
    <x v="667"/>
    <x v="51"/>
    <x v="1"/>
    <x v="1"/>
    <x v="0"/>
    <x v="4184"/>
  </r>
  <r>
    <x v="0"/>
    <x v="1853"/>
    <x v="336"/>
    <x v="42"/>
    <x v="31"/>
    <x v="635"/>
    <x v="544"/>
    <x v="4"/>
    <x v="46"/>
    <x v="1538"/>
    <x v="2106"/>
    <x v="2871"/>
    <x v="4097"/>
    <x v="4081"/>
    <x v="1582"/>
    <x v="0"/>
    <x v="4035"/>
    <x v="4100"/>
    <x v="578"/>
    <x v="0"/>
    <x v="0"/>
    <x v="3"/>
    <x v="139"/>
    <x v="49"/>
    <x v="532"/>
    <x v="22"/>
    <x v="1"/>
    <x v="743"/>
    <x v="0"/>
    <x v="4185"/>
  </r>
  <r>
    <x v="1"/>
    <x v="1286"/>
    <x v="409"/>
    <x v="52"/>
    <x v="38"/>
    <x v="788"/>
    <x v="209"/>
    <x v="4"/>
    <x v="270"/>
    <x v="1608"/>
    <x v="2431"/>
    <x v="2872"/>
    <x v="4098"/>
    <x v="4082"/>
    <x v="2676"/>
    <x v="0"/>
    <x v="4036"/>
    <x v="4101"/>
    <x v="452"/>
    <x v="0"/>
    <x v="0"/>
    <x v="11"/>
    <x v="139"/>
    <x v="41"/>
    <x v="581"/>
    <x v="0"/>
    <x v="1"/>
    <x v="103"/>
    <x v="0"/>
    <x v="4186"/>
  </r>
  <r>
    <x v="0"/>
    <x v="1854"/>
    <x v="396"/>
    <x v="128"/>
    <x v="5"/>
    <x v="221"/>
    <x v="0"/>
    <x v="3586"/>
    <x v="771"/>
    <x v="1609"/>
    <x v="2432"/>
    <x v="2873"/>
    <x v="4099"/>
    <x v="4083"/>
    <x v="1005"/>
    <x v="0"/>
    <x v="4037"/>
    <x v="4102"/>
    <x v="737"/>
    <x v="0"/>
    <x v="0"/>
    <x v="4"/>
    <x v="139"/>
    <x v="9"/>
    <x v="290"/>
    <x v="10"/>
    <x v="3"/>
    <x v="1"/>
    <x v="0"/>
    <x v="4187"/>
  </r>
  <r>
    <x v="0"/>
    <x v="525"/>
    <x v="315"/>
    <x v="27"/>
    <x v="260"/>
    <x v="70"/>
    <x v="11"/>
    <x v="3587"/>
    <x v="270"/>
    <x v="63"/>
    <x v="1252"/>
    <x v="2874"/>
    <x v="4100"/>
    <x v="4084"/>
    <x v="3532"/>
    <x v="4"/>
    <x v="4038"/>
    <x v="4103"/>
    <x v="243"/>
    <x v="0"/>
    <x v="0"/>
    <x v="4"/>
    <x v="139"/>
    <x v="23"/>
    <x v="181"/>
    <x v="1"/>
    <x v="0"/>
    <x v="1"/>
    <x v="0"/>
    <x v="4188"/>
  </r>
  <r>
    <x v="0"/>
    <x v="1557"/>
    <x v="317"/>
    <x v="58"/>
    <x v="0"/>
    <x v="92"/>
    <x v="219"/>
    <x v="3588"/>
    <x v="105"/>
    <x v="1537"/>
    <x v="2433"/>
    <x v="2875"/>
    <x v="4101"/>
    <x v="4085"/>
    <x v="253"/>
    <x v="3"/>
    <x v="4039"/>
    <x v="4104"/>
    <x v="940"/>
    <x v="0"/>
    <x v="0"/>
    <x v="4"/>
    <x v="139"/>
    <x v="14"/>
    <x v="881"/>
    <x v="32"/>
    <x v="1"/>
    <x v="1"/>
    <x v="0"/>
    <x v="4189"/>
  </r>
  <r>
    <x v="0"/>
    <x v="776"/>
    <x v="313"/>
    <x v="72"/>
    <x v="0"/>
    <x v="597"/>
    <x v="594"/>
    <x v="3589"/>
    <x v="17"/>
    <x v="1610"/>
    <x v="2434"/>
    <x v="2876"/>
    <x v="4102"/>
    <x v="4086"/>
    <x v="3533"/>
    <x v="1"/>
    <x v="4040"/>
    <x v="4105"/>
    <x v="345"/>
    <x v="0"/>
    <x v="0"/>
    <x v="4"/>
    <x v="139"/>
    <x v="16"/>
    <x v="4"/>
    <x v="14"/>
    <x v="3"/>
    <x v="31"/>
    <x v="0"/>
    <x v="4190"/>
  </r>
  <r>
    <x v="0"/>
    <x v="1855"/>
    <x v="435"/>
    <x v="77"/>
    <x v="0"/>
    <x v="423"/>
    <x v="751"/>
    <x v="4"/>
    <x v="826"/>
    <x v="1611"/>
    <x v="2435"/>
    <x v="2877"/>
    <x v="4103"/>
    <x v="4087"/>
    <x v="3534"/>
    <x v="0"/>
    <x v="4041"/>
    <x v="4106"/>
    <x v="685"/>
    <x v="3"/>
    <x v="4"/>
    <x v="1"/>
    <x v="310"/>
    <x v="17"/>
    <x v="866"/>
    <x v="4"/>
    <x v="3"/>
    <x v="744"/>
    <x v="0"/>
    <x v="4191"/>
  </r>
  <r>
    <x v="0"/>
    <x v="1856"/>
    <x v="336"/>
    <x v="86"/>
    <x v="143"/>
    <x v="227"/>
    <x v="140"/>
    <x v="3590"/>
    <x v="270"/>
    <x v="852"/>
    <x v="5"/>
    <x v="1705"/>
    <x v="4104"/>
    <x v="4088"/>
    <x v="1248"/>
    <x v="1"/>
    <x v="4042"/>
    <x v="4107"/>
    <x v="499"/>
    <x v="0"/>
    <x v="0"/>
    <x v="4"/>
    <x v="139"/>
    <x v="15"/>
    <x v="148"/>
    <x v="15"/>
    <x v="1"/>
    <x v="178"/>
    <x v="0"/>
    <x v="4192"/>
  </r>
  <r>
    <x v="0"/>
    <x v="1857"/>
    <x v="390"/>
    <x v="45"/>
    <x v="89"/>
    <x v="857"/>
    <x v="303"/>
    <x v="3591"/>
    <x v="105"/>
    <x v="1612"/>
    <x v="2436"/>
    <x v="2878"/>
    <x v="4105"/>
    <x v="4089"/>
    <x v="3535"/>
    <x v="0"/>
    <x v="4043"/>
    <x v="4108"/>
    <x v="591"/>
    <x v="0"/>
    <x v="0"/>
    <x v="4"/>
    <x v="4"/>
    <x v="14"/>
    <x v="365"/>
    <x v="32"/>
    <x v="3"/>
    <x v="542"/>
    <x v="0"/>
    <x v="4193"/>
  </r>
  <r>
    <x v="0"/>
    <x v="1858"/>
    <x v="227"/>
    <x v="59"/>
    <x v="116"/>
    <x v="183"/>
    <x v="671"/>
    <x v="3592"/>
    <x v="270"/>
    <x v="1613"/>
    <x v="2437"/>
    <x v="2879"/>
    <x v="4106"/>
    <x v="4090"/>
    <x v="2745"/>
    <x v="1"/>
    <x v="4044"/>
    <x v="4109"/>
    <x v="654"/>
    <x v="0"/>
    <x v="1"/>
    <x v="0"/>
    <x v="4"/>
    <x v="1"/>
    <x v="711"/>
    <x v="10"/>
    <x v="1"/>
    <x v="725"/>
    <x v="0"/>
    <x v="4194"/>
  </r>
  <r>
    <x v="0"/>
    <x v="1240"/>
    <x v="153"/>
    <x v="71"/>
    <x v="125"/>
    <x v="349"/>
    <x v="426"/>
    <x v="3593"/>
    <x v="827"/>
    <x v="281"/>
    <x v="2438"/>
    <x v="2880"/>
    <x v="4107"/>
    <x v="4091"/>
    <x v="1447"/>
    <x v="3"/>
    <x v="4045"/>
    <x v="4110"/>
    <x v="591"/>
    <x v="0"/>
    <x v="0"/>
    <x v="0"/>
    <x v="139"/>
    <x v="3"/>
    <x v="589"/>
    <x v="1"/>
    <x v="1"/>
    <x v="38"/>
    <x v="0"/>
    <x v="4195"/>
  </r>
  <r>
    <x v="0"/>
    <x v="1859"/>
    <x v="365"/>
    <x v="11"/>
    <x v="239"/>
    <x v="264"/>
    <x v="325"/>
    <x v="3594"/>
    <x v="17"/>
    <x v="675"/>
    <x v="1027"/>
    <x v="2881"/>
    <x v="4108"/>
    <x v="4092"/>
    <x v="1282"/>
    <x v="1"/>
    <x v="4046"/>
    <x v="4111"/>
    <x v="227"/>
    <x v="0"/>
    <x v="13"/>
    <x v="4"/>
    <x v="126"/>
    <x v="17"/>
    <x v="544"/>
    <x v="32"/>
    <x v="3"/>
    <x v="1"/>
    <x v="0"/>
    <x v="4196"/>
  </r>
  <r>
    <x v="0"/>
    <x v="1860"/>
    <x v="129"/>
    <x v="54"/>
    <x v="217"/>
    <x v="626"/>
    <x v="94"/>
    <x v="3595"/>
    <x v="105"/>
    <x v="845"/>
    <x v="344"/>
    <x v="2882"/>
    <x v="4109"/>
    <x v="4093"/>
    <x v="3536"/>
    <x v="1"/>
    <x v="4047"/>
    <x v="4112"/>
    <x v="128"/>
    <x v="0"/>
    <x v="0"/>
    <x v="4"/>
    <x v="139"/>
    <x v="9"/>
    <x v="30"/>
    <x v="1"/>
    <x v="1"/>
    <x v="7"/>
    <x v="0"/>
    <x v="4197"/>
  </r>
  <r>
    <x v="0"/>
    <x v="1638"/>
    <x v="93"/>
    <x v="181"/>
    <x v="107"/>
    <x v="148"/>
    <x v="126"/>
    <x v="3596"/>
    <x v="828"/>
    <x v="1030"/>
    <x v="2439"/>
    <x v="2883"/>
    <x v="4110"/>
    <x v="4094"/>
    <x v="3537"/>
    <x v="0"/>
    <x v="4048"/>
    <x v="4113"/>
    <x v="188"/>
    <x v="0"/>
    <x v="0"/>
    <x v="1"/>
    <x v="332"/>
    <x v="22"/>
    <x v="199"/>
    <x v="1"/>
    <x v="2"/>
    <x v="745"/>
    <x v="0"/>
    <x v="4198"/>
  </r>
  <r>
    <x v="0"/>
    <x v="327"/>
    <x v="148"/>
    <x v="59"/>
    <x v="202"/>
    <x v="298"/>
    <x v="752"/>
    <x v="3597"/>
    <x v="829"/>
    <x v="1614"/>
    <x v="2440"/>
    <x v="2884"/>
    <x v="4111"/>
    <x v="4095"/>
    <x v="3538"/>
    <x v="1"/>
    <x v="4049"/>
    <x v="4114"/>
    <x v="55"/>
    <x v="0"/>
    <x v="0"/>
    <x v="4"/>
    <x v="139"/>
    <x v="8"/>
    <x v="231"/>
    <x v="16"/>
    <x v="0"/>
    <x v="4"/>
    <x v="0"/>
    <x v="4199"/>
  </r>
  <r>
    <x v="0"/>
    <x v="1861"/>
    <x v="369"/>
    <x v="52"/>
    <x v="134"/>
    <x v="672"/>
    <x v="465"/>
    <x v="3598"/>
    <x v="4"/>
    <x v="1040"/>
    <x v="2441"/>
    <x v="2885"/>
    <x v="4112"/>
    <x v="4096"/>
    <x v="2486"/>
    <x v="0"/>
    <x v="4050"/>
    <x v="4115"/>
    <x v="705"/>
    <x v="0"/>
    <x v="0"/>
    <x v="9"/>
    <x v="139"/>
    <x v="8"/>
    <x v="273"/>
    <x v="32"/>
    <x v="3"/>
    <x v="435"/>
    <x v="0"/>
    <x v="4200"/>
  </r>
  <r>
    <x v="0"/>
    <x v="1862"/>
    <x v="320"/>
    <x v="7"/>
    <x v="123"/>
    <x v="203"/>
    <x v="407"/>
    <x v="3599"/>
    <x v="270"/>
    <x v="748"/>
    <x v="2442"/>
    <x v="1640"/>
    <x v="4113"/>
    <x v="4097"/>
    <x v="3539"/>
    <x v="6"/>
    <x v="4"/>
    <x v="4116"/>
    <x v="416"/>
    <x v="0"/>
    <x v="0"/>
    <x v="1"/>
    <x v="139"/>
    <x v="7"/>
    <x v="482"/>
    <x v="4"/>
    <x v="3"/>
    <x v="746"/>
    <x v="0"/>
    <x v="4201"/>
  </r>
  <r>
    <x v="1"/>
    <x v="436"/>
    <x v="104"/>
    <x v="80"/>
    <x v="171"/>
    <x v="263"/>
    <x v="153"/>
    <x v="1514"/>
    <x v="300"/>
    <x v="282"/>
    <x v="265"/>
    <x v="1224"/>
    <x v="1579"/>
    <x v="4098"/>
    <x v="1526"/>
    <x v="0"/>
    <x v="1568"/>
    <x v="1579"/>
    <x v="633"/>
    <x v="0"/>
    <x v="0"/>
    <x v="0"/>
    <x v="78"/>
    <x v="14"/>
    <x v="179"/>
    <x v="10"/>
    <x v="1"/>
    <x v="1"/>
    <x v="0"/>
    <x v="4202"/>
  </r>
  <r>
    <x v="0"/>
    <x v="1863"/>
    <x v="465"/>
    <x v="7"/>
    <x v="0"/>
    <x v="251"/>
    <x v="5"/>
    <x v="3600"/>
    <x v="301"/>
    <x v="1356"/>
    <x v="2443"/>
    <x v="2886"/>
    <x v="4114"/>
    <x v="3988"/>
    <x v="3540"/>
    <x v="1"/>
    <x v="4051"/>
    <x v="4117"/>
    <x v="684"/>
    <x v="0"/>
    <x v="0"/>
    <x v="0"/>
    <x v="139"/>
    <x v="7"/>
    <x v="618"/>
    <x v="20"/>
    <x v="3"/>
    <x v="615"/>
    <x v="0"/>
    <x v="4203"/>
  </r>
  <r>
    <x v="0"/>
    <x v="1864"/>
    <x v="419"/>
    <x v="110"/>
    <x v="0"/>
    <x v="531"/>
    <x v="102"/>
    <x v="3601"/>
    <x v="4"/>
    <x v="1615"/>
    <x v="2444"/>
    <x v="2887"/>
    <x v="4115"/>
    <x v="4099"/>
    <x v="1868"/>
    <x v="0"/>
    <x v="4052"/>
    <x v="4118"/>
    <x v="737"/>
    <x v="0"/>
    <x v="0"/>
    <x v="4"/>
    <x v="139"/>
    <x v="5"/>
    <x v="4"/>
    <x v="1"/>
    <x v="0"/>
    <x v="1"/>
    <x v="0"/>
    <x v="4204"/>
  </r>
  <r>
    <x v="0"/>
    <x v="1865"/>
    <x v="417"/>
    <x v="11"/>
    <x v="193"/>
    <x v="892"/>
    <x v="117"/>
    <x v="3602"/>
    <x v="105"/>
    <x v="220"/>
    <x v="2445"/>
    <x v="2888"/>
    <x v="4116"/>
    <x v="4100"/>
    <x v="3541"/>
    <x v="4"/>
    <x v="4053"/>
    <x v="4119"/>
    <x v="721"/>
    <x v="0"/>
    <x v="1"/>
    <x v="0"/>
    <x v="137"/>
    <x v="8"/>
    <x v="765"/>
    <x v="5"/>
    <x v="1"/>
    <x v="1"/>
    <x v="0"/>
    <x v="4205"/>
  </r>
  <r>
    <x v="0"/>
    <x v="1153"/>
    <x v="219"/>
    <x v="33"/>
    <x v="192"/>
    <x v="567"/>
    <x v="753"/>
    <x v="3603"/>
    <x v="381"/>
    <x v="1616"/>
    <x v="2446"/>
    <x v="2889"/>
    <x v="4117"/>
    <x v="4101"/>
    <x v="3542"/>
    <x v="0"/>
    <x v="4054"/>
    <x v="4120"/>
    <x v="472"/>
    <x v="15"/>
    <x v="8"/>
    <x v="4"/>
    <x v="333"/>
    <x v="21"/>
    <x v="689"/>
    <x v="9"/>
    <x v="1"/>
    <x v="431"/>
    <x v="0"/>
    <x v="4206"/>
  </r>
  <r>
    <x v="0"/>
    <x v="1866"/>
    <x v="276"/>
    <x v="78"/>
    <x v="193"/>
    <x v="632"/>
    <x v="220"/>
    <x v="3604"/>
    <x v="740"/>
    <x v="1617"/>
    <x v="715"/>
    <x v="2890"/>
    <x v="4118"/>
    <x v="4102"/>
    <x v="3543"/>
    <x v="0"/>
    <x v="4055"/>
    <x v="4121"/>
    <x v="408"/>
    <x v="6"/>
    <x v="0"/>
    <x v="0"/>
    <x v="139"/>
    <x v="8"/>
    <x v="360"/>
    <x v="18"/>
    <x v="3"/>
    <x v="1"/>
    <x v="0"/>
    <x v="4207"/>
  </r>
  <r>
    <x v="0"/>
    <x v="66"/>
    <x v="282"/>
    <x v="45"/>
    <x v="51"/>
    <x v="75"/>
    <x v="35"/>
    <x v="3605"/>
    <x v="539"/>
    <x v="930"/>
    <x v="59"/>
    <x v="2891"/>
    <x v="4119"/>
    <x v="4103"/>
    <x v="3544"/>
    <x v="0"/>
    <x v="4056"/>
    <x v="4122"/>
    <x v="394"/>
    <x v="0"/>
    <x v="0"/>
    <x v="4"/>
    <x v="139"/>
    <x v="5"/>
    <x v="46"/>
    <x v="2"/>
    <x v="3"/>
    <x v="64"/>
    <x v="0"/>
    <x v="4208"/>
  </r>
  <r>
    <x v="0"/>
    <x v="1867"/>
    <x v="412"/>
    <x v="71"/>
    <x v="131"/>
    <x v="786"/>
    <x v="196"/>
    <x v="4"/>
    <x v="535"/>
    <x v="1618"/>
    <x v="111"/>
    <x v="2670"/>
    <x v="4120"/>
    <x v="4104"/>
    <x v="67"/>
    <x v="4"/>
    <x v="4057"/>
    <x v="4123"/>
    <x v="791"/>
    <x v="0"/>
    <x v="0"/>
    <x v="6"/>
    <x v="139"/>
    <x v="5"/>
    <x v="79"/>
    <x v="27"/>
    <x v="2"/>
    <x v="675"/>
    <x v="0"/>
    <x v="4209"/>
  </r>
  <r>
    <x v="0"/>
    <x v="1868"/>
    <x v="299"/>
    <x v="101"/>
    <x v="216"/>
    <x v="212"/>
    <x v="193"/>
    <x v="4"/>
    <x v="476"/>
    <x v="360"/>
    <x v="2447"/>
    <x v="2892"/>
    <x v="4121"/>
    <x v="2904"/>
    <x v="3545"/>
    <x v="0"/>
    <x v="4058"/>
    <x v="4124"/>
    <x v="790"/>
    <x v="0"/>
    <x v="8"/>
    <x v="9"/>
    <x v="139"/>
    <x v="2"/>
    <x v="159"/>
    <x v="40"/>
    <x v="1"/>
    <x v="1"/>
    <x v="0"/>
    <x v="4210"/>
  </r>
  <r>
    <x v="0"/>
    <x v="1869"/>
    <x v="81"/>
    <x v="50"/>
    <x v="0"/>
    <x v="227"/>
    <x v="0"/>
    <x v="4"/>
    <x v="429"/>
    <x v="450"/>
    <x v="2448"/>
    <x v="1705"/>
    <x v="4122"/>
    <x v="3365"/>
    <x v="3443"/>
    <x v="1"/>
    <x v="4"/>
    <x v="4125"/>
    <x v="188"/>
    <x v="0"/>
    <x v="0"/>
    <x v="1"/>
    <x v="209"/>
    <x v="6"/>
    <x v="640"/>
    <x v="22"/>
    <x v="2"/>
    <x v="258"/>
    <x v="0"/>
    <x v="4211"/>
  </r>
  <r>
    <x v="0"/>
    <x v="437"/>
    <x v="419"/>
    <x v="60"/>
    <x v="0"/>
    <x v="76"/>
    <x v="0"/>
    <x v="3606"/>
    <x v="433"/>
    <x v="85"/>
    <x v="549"/>
    <x v="97"/>
    <x v="4123"/>
    <x v="4105"/>
    <x v="3546"/>
    <x v="10"/>
    <x v="4059"/>
    <x v="4126"/>
    <x v="816"/>
    <x v="0"/>
    <x v="0"/>
    <x v="4"/>
    <x v="334"/>
    <x v="25"/>
    <x v="357"/>
    <x v="2"/>
    <x v="3"/>
    <x v="209"/>
    <x v="0"/>
    <x v="4212"/>
  </r>
  <r>
    <x v="0"/>
    <x v="1870"/>
    <x v="429"/>
    <x v="59"/>
    <x v="134"/>
    <x v="14"/>
    <x v="195"/>
    <x v="3607"/>
    <x v="416"/>
    <x v="363"/>
    <x v="389"/>
    <x v="2893"/>
    <x v="4124"/>
    <x v="4106"/>
    <x v="3547"/>
    <x v="0"/>
    <x v="4060"/>
    <x v="4127"/>
    <x v="129"/>
    <x v="0"/>
    <x v="45"/>
    <x v="0"/>
    <x v="334"/>
    <x v="7"/>
    <x v="261"/>
    <x v="37"/>
    <x v="1"/>
    <x v="554"/>
    <x v="0"/>
    <x v="4213"/>
  </r>
  <r>
    <x v="0"/>
    <x v="1230"/>
    <x v="313"/>
    <x v="95"/>
    <x v="320"/>
    <x v="87"/>
    <x v="754"/>
    <x v="3608"/>
    <x v="145"/>
    <x v="1619"/>
    <x v="525"/>
    <x v="140"/>
    <x v="4125"/>
    <x v="4107"/>
    <x v="3548"/>
    <x v="0"/>
    <x v="4061"/>
    <x v="4128"/>
    <x v="136"/>
    <x v="0"/>
    <x v="0"/>
    <x v="4"/>
    <x v="4"/>
    <x v="7"/>
    <x v="343"/>
    <x v="4"/>
    <x v="3"/>
    <x v="747"/>
    <x v="0"/>
    <x v="4214"/>
  </r>
  <r>
    <x v="2"/>
    <x v="1871"/>
    <x v="81"/>
    <x v="47"/>
    <x v="0"/>
    <x v="757"/>
    <x v="95"/>
    <x v="4"/>
    <x v="152"/>
    <x v="1620"/>
    <x v="2449"/>
    <x v="2894"/>
    <x v="4126"/>
    <x v="4108"/>
    <x v="3549"/>
    <x v="0"/>
    <x v="4"/>
    <x v="4129"/>
    <x v="721"/>
    <x v="0"/>
    <x v="1"/>
    <x v="4"/>
    <x v="139"/>
    <x v="2"/>
    <x v="882"/>
    <x v="40"/>
    <x v="2"/>
    <x v="1"/>
    <x v="0"/>
    <x v="4215"/>
  </r>
  <r>
    <x v="0"/>
    <x v="1594"/>
    <x v="208"/>
    <x v="59"/>
    <x v="384"/>
    <x v="893"/>
    <x v="0"/>
    <x v="3609"/>
    <x v="152"/>
    <x v="1054"/>
    <x v="377"/>
    <x v="2895"/>
    <x v="4127"/>
    <x v="4109"/>
    <x v="3550"/>
    <x v="0"/>
    <x v="4062"/>
    <x v="4130"/>
    <x v="620"/>
    <x v="0"/>
    <x v="1"/>
    <x v="10"/>
    <x v="41"/>
    <x v="7"/>
    <x v="252"/>
    <x v="16"/>
    <x v="3"/>
    <x v="59"/>
    <x v="0"/>
    <x v="4216"/>
  </r>
  <r>
    <x v="0"/>
    <x v="1872"/>
    <x v="393"/>
    <x v="59"/>
    <x v="5"/>
    <x v="652"/>
    <x v="156"/>
    <x v="4"/>
    <x v="376"/>
    <x v="699"/>
    <x v="416"/>
    <x v="2896"/>
    <x v="4128"/>
    <x v="4110"/>
    <x v="3551"/>
    <x v="0"/>
    <x v="4063"/>
    <x v="4131"/>
    <x v="517"/>
    <x v="0"/>
    <x v="1"/>
    <x v="4"/>
    <x v="139"/>
    <x v="3"/>
    <x v="119"/>
    <x v="69"/>
    <x v="1"/>
    <x v="1"/>
    <x v="0"/>
    <x v="4217"/>
  </r>
  <r>
    <x v="0"/>
    <x v="1741"/>
    <x v="385"/>
    <x v="59"/>
    <x v="192"/>
    <x v="425"/>
    <x v="755"/>
    <x v="4"/>
    <x v="405"/>
    <x v="1621"/>
    <x v="2450"/>
    <x v="2897"/>
    <x v="4129"/>
    <x v="4111"/>
    <x v="2478"/>
    <x v="4"/>
    <x v="4064"/>
    <x v="4132"/>
    <x v="510"/>
    <x v="0"/>
    <x v="0"/>
    <x v="17"/>
    <x v="335"/>
    <x v="78"/>
    <x v="825"/>
    <x v="12"/>
    <x v="15"/>
    <x v="746"/>
    <x v="0"/>
    <x v="4218"/>
  </r>
  <r>
    <x v="0"/>
    <x v="1873"/>
    <x v="385"/>
    <x v="72"/>
    <x v="195"/>
    <x v="862"/>
    <x v="201"/>
    <x v="3610"/>
    <x v="787"/>
    <x v="1622"/>
    <x v="951"/>
    <x v="2898"/>
    <x v="4130"/>
    <x v="4112"/>
    <x v="1431"/>
    <x v="0"/>
    <x v="4065"/>
    <x v="4133"/>
    <x v="896"/>
    <x v="0"/>
    <x v="0"/>
    <x v="0"/>
    <x v="336"/>
    <x v="10"/>
    <x v="537"/>
    <x v="65"/>
    <x v="3"/>
    <x v="475"/>
    <x v="0"/>
    <x v="4219"/>
  </r>
  <r>
    <x v="0"/>
    <x v="703"/>
    <x v="464"/>
    <x v="55"/>
    <x v="80"/>
    <x v="30"/>
    <x v="63"/>
    <x v="3611"/>
    <x v="301"/>
    <x v="550"/>
    <x v="97"/>
    <x v="2899"/>
    <x v="4131"/>
    <x v="1481"/>
    <x v="3552"/>
    <x v="0"/>
    <x v="4066"/>
    <x v="4134"/>
    <x v="377"/>
    <x v="0"/>
    <x v="0"/>
    <x v="2"/>
    <x v="4"/>
    <x v="20"/>
    <x v="70"/>
    <x v="2"/>
    <x v="3"/>
    <x v="178"/>
    <x v="0"/>
    <x v="4220"/>
  </r>
  <r>
    <x v="0"/>
    <x v="1741"/>
    <x v="369"/>
    <x v="26"/>
    <x v="192"/>
    <x v="124"/>
    <x v="150"/>
    <x v="4"/>
    <x v="646"/>
    <x v="1623"/>
    <x v="2451"/>
    <x v="2900"/>
    <x v="4132"/>
    <x v="4113"/>
    <x v="1283"/>
    <x v="3"/>
    <x v="4067"/>
    <x v="4135"/>
    <x v="835"/>
    <x v="0"/>
    <x v="0"/>
    <x v="11"/>
    <x v="337"/>
    <x v="59"/>
    <x v="802"/>
    <x v="15"/>
    <x v="8"/>
    <x v="611"/>
    <x v="0"/>
    <x v="4221"/>
  </r>
  <r>
    <x v="0"/>
    <x v="852"/>
    <x v="329"/>
    <x v="54"/>
    <x v="312"/>
    <x v="894"/>
    <x v="0"/>
    <x v="3612"/>
    <x v="270"/>
    <x v="561"/>
    <x v="1603"/>
    <x v="2901"/>
    <x v="4133"/>
    <x v="3426"/>
    <x v="3553"/>
    <x v="2"/>
    <x v="4068"/>
    <x v="4136"/>
    <x v="561"/>
    <x v="0"/>
    <x v="0"/>
    <x v="0"/>
    <x v="4"/>
    <x v="5"/>
    <x v="759"/>
    <x v="18"/>
    <x v="1"/>
    <x v="238"/>
    <x v="0"/>
    <x v="4222"/>
  </r>
  <r>
    <x v="0"/>
    <x v="1874"/>
    <x v="422"/>
    <x v="26"/>
    <x v="125"/>
    <x v="99"/>
    <x v="35"/>
    <x v="4"/>
    <x v="582"/>
    <x v="507"/>
    <x v="1009"/>
    <x v="2902"/>
    <x v="4134"/>
    <x v="4114"/>
    <x v="3554"/>
    <x v="4"/>
    <x v="4069"/>
    <x v="4137"/>
    <x v="510"/>
    <x v="0"/>
    <x v="0"/>
    <x v="4"/>
    <x v="4"/>
    <x v="11"/>
    <x v="30"/>
    <x v="27"/>
    <x v="2"/>
    <x v="1"/>
    <x v="0"/>
    <x v="4223"/>
  </r>
  <r>
    <x v="0"/>
    <x v="1875"/>
    <x v="479"/>
    <x v="78"/>
    <x v="296"/>
    <x v="201"/>
    <x v="2"/>
    <x v="4"/>
    <x v="59"/>
    <x v="172"/>
    <x v="908"/>
    <x v="2903"/>
    <x v="4135"/>
    <x v="4115"/>
    <x v="3555"/>
    <x v="0"/>
    <x v="4070"/>
    <x v="4138"/>
    <x v="496"/>
    <x v="0"/>
    <x v="0"/>
    <x v="9"/>
    <x v="277"/>
    <x v="42"/>
    <x v="519"/>
    <x v="11"/>
    <x v="2"/>
    <x v="1"/>
    <x v="0"/>
    <x v="4224"/>
  </r>
  <r>
    <x v="0"/>
    <x v="252"/>
    <x v="414"/>
    <x v="60"/>
    <x v="31"/>
    <x v="4"/>
    <x v="756"/>
    <x v="2226"/>
    <x v="217"/>
    <x v="1624"/>
    <x v="2452"/>
    <x v="4"/>
    <x v="4136"/>
    <x v="4116"/>
    <x v="3556"/>
    <x v="0"/>
    <x v="4071"/>
    <x v="4139"/>
    <x v="273"/>
    <x v="0"/>
    <x v="0"/>
    <x v="3"/>
    <x v="338"/>
    <x v="40"/>
    <x v="253"/>
    <x v="6"/>
    <x v="15"/>
    <x v="67"/>
    <x v="0"/>
    <x v="4225"/>
  </r>
  <r>
    <x v="0"/>
    <x v="410"/>
    <x v="291"/>
    <x v="27"/>
    <x v="229"/>
    <x v="757"/>
    <x v="116"/>
    <x v="4"/>
    <x v="28"/>
    <x v="217"/>
    <x v="1360"/>
    <x v="1600"/>
    <x v="2154"/>
    <x v="2155"/>
    <x v="2040"/>
    <x v="0"/>
    <x v="2141"/>
    <x v="2154"/>
    <x v="754"/>
    <x v="0"/>
    <x v="0"/>
    <x v="4"/>
    <x v="164"/>
    <x v="49"/>
    <x v="186"/>
    <x v="6"/>
    <x v="3"/>
    <x v="1"/>
    <x v="0"/>
    <x v="4226"/>
  </r>
  <r>
    <x v="0"/>
    <x v="1876"/>
    <x v="4"/>
    <x v="78"/>
    <x v="19"/>
    <x v="298"/>
    <x v="507"/>
    <x v="4"/>
    <x v="306"/>
    <x v="1625"/>
    <x v="2453"/>
    <x v="2904"/>
    <x v="4137"/>
    <x v="4117"/>
    <x v="1868"/>
    <x v="1"/>
    <x v="4"/>
    <x v="4140"/>
    <x v="416"/>
    <x v="0"/>
    <x v="0"/>
    <x v="0"/>
    <x v="139"/>
    <x v="11"/>
    <x v="253"/>
    <x v="8"/>
    <x v="2"/>
    <x v="647"/>
    <x v="0"/>
    <x v="4227"/>
  </r>
  <r>
    <x v="0"/>
    <x v="601"/>
    <x v="98"/>
    <x v="43"/>
    <x v="255"/>
    <x v="280"/>
    <x v="757"/>
    <x v="2832"/>
    <x v="381"/>
    <x v="1626"/>
    <x v="2454"/>
    <x v="2905"/>
    <x v="4138"/>
    <x v="4118"/>
    <x v="3557"/>
    <x v="0"/>
    <x v="4072"/>
    <x v="4141"/>
    <x v="574"/>
    <x v="0"/>
    <x v="0"/>
    <x v="4"/>
    <x v="213"/>
    <x v="26"/>
    <x v="661"/>
    <x v="20"/>
    <x v="1"/>
    <x v="1"/>
    <x v="0"/>
    <x v="4228"/>
  </r>
  <r>
    <x v="0"/>
    <x v="1877"/>
    <x v="202"/>
    <x v="80"/>
    <x v="89"/>
    <x v="367"/>
    <x v="758"/>
    <x v="3613"/>
    <x v="236"/>
    <x v="1627"/>
    <x v="2455"/>
    <x v="2906"/>
    <x v="4139"/>
    <x v="4119"/>
    <x v="3558"/>
    <x v="0"/>
    <x v="4073"/>
    <x v="4142"/>
    <x v="329"/>
    <x v="0"/>
    <x v="0"/>
    <x v="4"/>
    <x v="298"/>
    <x v="39"/>
    <x v="327"/>
    <x v="55"/>
    <x v="3"/>
    <x v="103"/>
    <x v="0"/>
    <x v="4229"/>
  </r>
  <r>
    <x v="0"/>
    <x v="1808"/>
    <x v="465"/>
    <x v="85"/>
    <x v="50"/>
    <x v="583"/>
    <x v="529"/>
    <x v="3614"/>
    <x v="270"/>
    <x v="1175"/>
    <x v="2456"/>
    <x v="1937"/>
    <x v="4140"/>
    <x v="4120"/>
    <x v="3245"/>
    <x v="0"/>
    <x v="4074"/>
    <x v="4143"/>
    <x v="654"/>
    <x v="0"/>
    <x v="0"/>
    <x v="0"/>
    <x v="298"/>
    <x v="1"/>
    <x v="883"/>
    <x v="18"/>
    <x v="3"/>
    <x v="682"/>
    <x v="0"/>
    <x v="4230"/>
  </r>
  <r>
    <x v="0"/>
    <x v="1878"/>
    <x v="492"/>
    <x v="60"/>
    <x v="106"/>
    <x v="388"/>
    <x v="35"/>
    <x v="3615"/>
    <x v="270"/>
    <x v="461"/>
    <x v="58"/>
    <x v="737"/>
    <x v="4141"/>
    <x v="4121"/>
    <x v="3559"/>
    <x v="7"/>
    <x v="4075"/>
    <x v="4144"/>
    <x v="377"/>
    <x v="0"/>
    <x v="0"/>
    <x v="0"/>
    <x v="277"/>
    <x v="2"/>
    <x v="45"/>
    <x v="18"/>
    <x v="2"/>
    <x v="38"/>
    <x v="0"/>
    <x v="4231"/>
  </r>
  <r>
    <x v="0"/>
    <x v="1879"/>
    <x v="492"/>
    <x v="78"/>
    <x v="0"/>
    <x v="779"/>
    <x v="759"/>
    <x v="4"/>
    <x v="582"/>
    <x v="1628"/>
    <x v="2457"/>
    <x v="2907"/>
    <x v="4142"/>
    <x v="4122"/>
    <x v="1127"/>
    <x v="4"/>
    <x v="4076"/>
    <x v="4145"/>
    <x v="561"/>
    <x v="0"/>
    <x v="0"/>
    <x v="4"/>
    <x v="298"/>
    <x v="8"/>
    <x v="360"/>
    <x v="44"/>
    <x v="2"/>
    <x v="600"/>
    <x v="0"/>
    <x v="4232"/>
  </r>
  <r>
    <x v="1"/>
    <x v="1880"/>
    <x v="478"/>
    <x v="73"/>
    <x v="123"/>
    <x v="583"/>
    <x v="166"/>
    <x v="4"/>
    <x v="270"/>
    <x v="1629"/>
    <x v="2458"/>
    <x v="2908"/>
    <x v="4143"/>
    <x v="4123"/>
    <x v="3548"/>
    <x v="0"/>
    <x v="4077"/>
    <x v="4146"/>
    <x v="654"/>
    <x v="0"/>
    <x v="0"/>
    <x v="17"/>
    <x v="339"/>
    <x v="68"/>
    <x v="62"/>
    <x v="7"/>
    <x v="15"/>
    <x v="222"/>
    <x v="0"/>
    <x v="4233"/>
  </r>
  <r>
    <x v="0"/>
    <x v="1881"/>
    <x v="451"/>
    <x v="78"/>
    <x v="0"/>
    <x v="202"/>
    <x v="0"/>
    <x v="4"/>
    <x v="306"/>
    <x v="1413"/>
    <x v="2459"/>
    <x v="2909"/>
    <x v="4144"/>
    <x v="4124"/>
    <x v="3560"/>
    <x v="4"/>
    <x v="4078"/>
    <x v="4147"/>
    <x v="854"/>
    <x v="0"/>
    <x v="13"/>
    <x v="4"/>
    <x v="4"/>
    <x v="2"/>
    <x v="731"/>
    <x v="30"/>
    <x v="2"/>
    <x v="276"/>
    <x v="0"/>
    <x v="4234"/>
  </r>
  <r>
    <x v="0"/>
    <x v="1882"/>
    <x v="81"/>
    <x v="78"/>
    <x v="31"/>
    <x v="325"/>
    <x v="377"/>
    <x v="4"/>
    <x v="105"/>
    <x v="1630"/>
    <x v="2460"/>
    <x v="2910"/>
    <x v="4145"/>
    <x v="4125"/>
    <x v="2706"/>
    <x v="3"/>
    <x v="4079"/>
    <x v="4148"/>
    <x v="792"/>
    <x v="0"/>
    <x v="1"/>
    <x v="1"/>
    <x v="340"/>
    <x v="12"/>
    <x v="534"/>
    <x v="27"/>
    <x v="3"/>
    <x v="748"/>
    <x v="0"/>
    <x v="4235"/>
  </r>
  <r>
    <x v="0"/>
    <x v="1883"/>
    <x v="451"/>
    <x v="55"/>
    <x v="78"/>
    <x v="811"/>
    <x v="22"/>
    <x v="4"/>
    <x v="434"/>
    <x v="626"/>
    <x v="1380"/>
    <x v="1925"/>
    <x v="4146"/>
    <x v="4126"/>
    <x v="3561"/>
    <x v="7"/>
    <x v="4080"/>
    <x v="4149"/>
    <x v="843"/>
    <x v="0"/>
    <x v="0"/>
    <x v="1"/>
    <x v="334"/>
    <x v="11"/>
    <x v="703"/>
    <x v="43"/>
    <x v="2"/>
    <x v="521"/>
    <x v="0"/>
    <x v="4236"/>
  </r>
  <r>
    <x v="0"/>
    <x v="1560"/>
    <x v="299"/>
    <x v="78"/>
    <x v="123"/>
    <x v="736"/>
    <x v="606"/>
    <x v="4"/>
    <x v="512"/>
    <x v="1631"/>
    <x v="2461"/>
    <x v="2911"/>
    <x v="4147"/>
    <x v="2991"/>
    <x v="3562"/>
    <x v="4"/>
    <x v="4081"/>
    <x v="4150"/>
    <x v="835"/>
    <x v="0"/>
    <x v="4"/>
    <x v="4"/>
    <x v="139"/>
    <x v="1"/>
    <x v="394"/>
    <x v="19"/>
    <x v="3"/>
    <x v="749"/>
    <x v="0"/>
    <x v="4237"/>
  </r>
  <r>
    <x v="1"/>
    <x v="1884"/>
    <x v="241"/>
    <x v="100"/>
    <x v="406"/>
    <x v="719"/>
    <x v="248"/>
    <x v="3616"/>
    <x v="387"/>
    <x v="1632"/>
    <x v="2462"/>
    <x v="2912"/>
    <x v="4148"/>
    <x v="4127"/>
    <x v="3563"/>
    <x v="7"/>
    <x v="4082"/>
    <x v="4151"/>
    <x v="527"/>
    <x v="0"/>
    <x v="0"/>
    <x v="9"/>
    <x v="341"/>
    <x v="61"/>
    <x v="345"/>
    <x v="14"/>
    <x v="15"/>
    <x v="1"/>
    <x v="0"/>
    <x v="4238"/>
  </r>
  <r>
    <x v="0"/>
    <x v="1885"/>
    <x v="352"/>
    <x v="69"/>
    <x v="407"/>
    <x v="274"/>
    <x v="52"/>
    <x v="3617"/>
    <x v="130"/>
    <x v="90"/>
    <x v="2463"/>
    <x v="875"/>
    <x v="4149"/>
    <x v="4128"/>
    <x v="3000"/>
    <x v="0"/>
    <x v="4083"/>
    <x v="4152"/>
    <x v="687"/>
    <x v="0"/>
    <x v="0"/>
    <x v="4"/>
    <x v="4"/>
    <x v="18"/>
    <x v="544"/>
    <x v="15"/>
    <x v="3"/>
    <x v="1"/>
    <x v="0"/>
    <x v="4239"/>
  </r>
  <r>
    <x v="0"/>
    <x v="1886"/>
    <x v="334"/>
    <x v="71"/>
    <x v="106"/>
    <x v="320"/>
    <x v="212"/>
    <x v="3618"/>
    <x v="200"/>
    <x v="1633"/>
    <x v="2464"/>
    <x v="2913"/>
    <x v="4150"/>
    <x v="4129"/>
    <x v="3564"/>
    <x v="0"/>
    <x v="4084"/>
    <x v="4153"/>
    <x v="581"/>
    <x v="33"/>
    <x v="37"/>
    <x v="4"/>
    <x v="219"/>
    <x v="18"/>
    <x v="244"/>
    <x v="32"/>
    <x v="3"/>
    <x v="1"/>
    <x v="0"/>
    <x v="4240"/>
  </r>
  <r>
    <x v="0"/>
    <x v="1887"/>
    <x v="169"/>
    <x v="31"/>
    <x v="143"/>
    <x v="367"/>
    <x v="760"/>
    <x v="3619"/>
    <x v="152"/>
    <x v="1634"/>
    <x v="2465"/>
    <x v="2914"/>
    <x v="4151"/>
    <x v="4130"/>
    <x v="1955"/>
    <x v="0"/>
    <x v="4"/>
    <x v="4154"/>
    <x v="326"/>
    <x v="0"/>
    <x v="0"/>
    <x v="4"/>
    <x v="341"/>
    <x v="2"/>
    <x v="554"/>
    <x v="13"/>
    <x v="1"/>
    <x v="533"/>
    <x v="0"/>
    <x v="4241"/>
  </r>
  <r>
    <x v="0"/>
    <x v="1295"/>
    <x v="153"/>
    <x v="98"/>
    <x v="118"/>
    <x v="321"/>
    <x v="761"/>
    <x v="4"/>
    <x v="429"/>
    <x v="1635"/>
    <x v="2122"/>
    <x v="2915"/>
    <x v="4152"/>
    <x v="4131"/>
    <x v="3565"/>
    <x v="0"/>
    <x v="4085"/>
    <x v="4155"/>
    <x v="278"/>
    <x v="6"/>
    <x v="13"/>
    <x v="4"/>
    <x v="41"/>
    <x v="1"/>
    <x v="557"/>
    <x v="7"/>
    <x v="3"/>
    <x v="61"/>
    <x v="0"/>
    <x v="4242"/>
  </r>
  <r>
    <x v="0"/>
    <x v="1796"/>
    <x v="4"/>
    <x v="71"/>
    <x v="5"/>
    <x v="473"/>
    <x v="108"/>
    <x v="4"/>
    <x v="270"/>
    <x v="442"/>
    <x v="2466"/>
    <x v="2916"/>
    <x v="4153"/>
    <x v="4132"/>
    <x v="3566"/>
    <x v="1"/>
    <x v="4"/>
    <x v="4156"/>
    <x v="854"/>
    <x v="0"/>
    <x v="0"/>
    <x v="6"/>
    <x v="341"/>
    <x v="5"/>
    <x v="317"/>
    <x v="22"/>
    <x v="0"/>
    <x v="750"/>
    <x v="0"/>
    <x v="4243"/>
  </r>
  <r>
    <x v="0"/>
    <x v="1888"/>
    <x v="93"/>
    <x v="7"/>
    <x v="0"/>
    <x v="542"/>
    <x v="248"/>
    <x v="4"/>
    <x v="830"/>
    <x v="1636"/>
    <x v="2467"/>
    <x v="2917"/>
    <x v="4154"/>
    <x v="276"/>
    <x v="164"/>
    <x v="0"/>
    <x v="4"/>
    <x v="4157"/>
    <x v="326"/>
    <x v="0"/>
    <x v="0"/>
    <x v="1"/>
    <x v="341"/>
    <x v="2"/>
    <x v="884"/>
    <x v="10"/>
    <x v="6"/>
    <x v="751"/>
    <x v="0"/>
    <x v="4244"/>
  </r>
  <r>
    <x v="0"/>
    <x v="1889"/>
    <x v="193"/>
    <x v="91"/>
    <x v="0"/>
    <x v="335"/>
    <x v="762"/>
    <x v="4"/>
    <x v="321"/>
    <x v="1637"/>
    <x v="2468"/>
    <x v="2918"/>
    <x v="4155"/>
    <x v="4133"/>
    <x v="2431"/>
    <x v="0"/>
    <x v="4086"/>
    <x v="4158"/>
    <x v="732"/>
    <x v="0"/>
    <x v="1"/>
    <x v="1"/>
    <x v="4"/>
    <x v="2"/>
    <x v="692"/>
    <x v="30"/>
    <x v="2"/>
    <x v="650"/>
    <x v="0"/>
    <x v="4245"/>
  </r>
  <r>
    <x v="0"/>
    <x v="1890"/>
    <x v="307"/>
    <x v="113"/>
    <x v="143"/>
    <x v="278"/>
    <x v="564"/>
    <x v="4"/>
    <x v="414"/>
    <x v="1638"/>
    <x v="2469"/>
    <x v="2919"/>
    <x v="4156"/>
    <x v="4134"/>
    <x v="3567"/>
    <x v="1"/>
    <x v="4"/>
    <x v="4159"/>
    <x v="789"/>
    <x v="0"/>
    <x v="0"/>
    <x v="1"/>
    <x v="341"/>
    <x v="2"/>
    <x v="115"/>
    <x v="34"/>
    <x v="1"/>
    <x v="752"/>
    <x v="0"/>
    <x v="4246"/>
  </r>
  <r>
    <x v="0"/>
    <x v="494"/>
    <x v="111"/>
    <x v="69"/>
    <x v="170"/>
    <x v="491"/>
    <x v="382"/>
    <x v="3620"/>
    <x v="2"/>
    <x v="1422"/>
    <x v="2470"/>
    <x v="735"/>
    <x v="4157"/>
    <x v="4135"/>
    <x v="2669"/>
    <x v="0"/>
    <x v="4087"/>
    <x v="4160"/>
    <x v="583"/>
    <x v="0"/>
    <x v="1"/>
    <x v="11"/>
    <x v="126"/>
    <x v="41"/>
    <x v="684"/>
    <x v="7"/>
    <x v="15"/>
    <x v="1"/>
    <x v="0"/>
    <x v="4247"/>
  </r>
  <r>
    <x v="0"/>
    <x v="1891"/>
    <x v="324"/>
    <x v="45"/>
    <x v="85"/>
    <x v="320"/>
    <x v="739"/>
    <x v="3621"/>
    <x v="831"/>
    <x v="1639"/>
    <x v="2471"/>
    <x v="2920"/>
    <x v="4158"/>
    <x v="4136"/>
    <x v="3568"/>
    <x v="4"/>
    <x v="4088"/>
    <x v="4161"/>
    <x v="408"/>
    <x v="0"/>
    <x v="0"/>
    <x v="4"/>
    <x v="277"/>
    <x v="30"/>
    <x v="660"/>
    <x v="37"/>
    <x v="8"/>
    <x v="577"/>
    <x v="0"/>
    <x v="4248"/>
  </r>
  <r>
    <x v="0"/>
    <x v="113"/>
    <x v="93"/>
    <x v="84"/>
    <x v="88"/>
    <x v="65"/>
    <x v="80"/>
    <x v="4"/>
    <x v="241"/>
    <x v="1640"/>
    <x v="2472"/>
    <x v="2921"/>
    <x v="4159"/>
    <x v="4137"/>
    <x v="3569"/>
    <x v="1"/>
    <x v="4089"/>
    <x v="4162"/>
    <x v="343"/>
    <x v="0"/>
    <x v="0"/>
    <x v="1"/>
    <x v="4"/>
    <x v="4"/>
    <x v="134"/>
    <x v="38"/>
    <x v="8"/>
    <x v="753"/>
    <x v="0"/>
    <x v="4249"/>
  </r>
  <r>
    <x v="0"/>
    <x v="696"/>
    <x v="240"/>
    <x v="71"/>
    <x v="201"/>
    <x v="657"/>
    <x v="2"/>
    <x v="4"/>
    <x v="376"/>
    <x v="740"/>
    <x v="2473"/>
    <x v="2922"/>
    <x v="4160"/>
    <x v="4138"/>
    <x v="3570"/>
    <x v="0"/>
    <x v="4090"/>
    <x v="4163"/>
    <x v="528"/>
    <x v="0"/>
    <x v="0"/>
    <x v="2"/>
    <x v="126"/>
    <x v="44"/>
    <x v="762"/>
    <x v="11"/>
    <x v="3"/>
    <x v="1"/>
    <x v="0"/>
    <x v="4250"/>
  </r>
  <r>
    <x v="0"/>
    <x v="1892"/>
    <x v="524"/>
    <x v="7"/>
    <x v="408"/>
    <x v="146"/>
    <x v="763"/>
    <x v="3622"/>
    <x v="364"/>
    <x v="1641"/>
    <x v="2474"/>
    <x v="2923"/>
    <x v="4161"/>
    <x v="4139"/>
    <x v="122"/>
    <x v="0"/>
    <x v="4091"/>
    <x v="4164"/>
    <x v="739"/>
    <x v="0"/>
    <x v="0"/>
    <x v="4"/>
    <x v="126"/>
    <x v="11"/>
    <x v="581"/>
    <x v="8"/>
    <x v="1"/>
    <x v="48"/>
    <x v="0"/>
    <x v="4251"/>
  </r>
  <r>
    <x v="1"/>
    <x v="696"/>
    <x v="401"/>
    <x v="76"/>
    <x v="201"/>
    <x v="120"/>
    <x v="2"/>
    <x v="4"/>
    <x v="125"/>
    <x v="740"/>
    <x v="1926"/>
    <x v="1865"/>
    <x v="4162"/>
    <x v="4140"/>
    <x v="3571"/>
    <x v="7"/>
    <x v="4092"/>
    <x v="4165"/>
    <x v="365"/>
    <x v="0"/>
    <x v="0"/>
    <x v="4"/>
    <x v="126"/>
    <x v="36"/>
    <x v="95"/>
    <x v="2"/>
    <x v="3"/>
    <x v="1"/>
    <x v="0"/>
    <x v="4252"/>
  </r>
  <r>
    <x v="1"/>
    <x v="1893"/>
    <x v="238"/>
    <x v="74"/>
    <x v="262"/>
    <x v="2"/>
    <x v="22"/>
    <x v="4"/>
    <x v="152"/>
    <x v="226"/>
    <x v="2475"/>
    <x v="2924"/>
    <x v="4163"/>
    <x v="4141"/>
    <x v="3572"/>
    <x v="0"/>
    <x v="4093"/>
    <x v="4166"/>
    <x v="543"/>
    <x v="0"/>
    <x v="0"/>
    <x v="9"/>
    <x v="126"/>
    <x v="34"/>
    <x v="687"/>
    <x v="26"/>
    <x v="3"/>
    <x v="61"/>
    <x v="0"/>
    <x v="4253"/>
  </r>
  <r>
    <x v="1"/>
    <x v="83"/>
    <x v="325"/>
    <x v="101"/>
    <x v="66"/>
    <x v="318"/>
    <x v="140"/>
    <x v="3623"/>
    <x v="18"/>
    <x v="1642"/>
    <x v="1828"/>
    <x v="2925"/>
    <x v="4164"/>
    <x v="4142"/>
    <x v="3535"/>
    <x v="0"/>
    <x v="4094"/>
    <x v="4167"/>
    <x v="642"/>
    <x v="0"/>
    <x v="5"/>
    <x v="4"/>
    <x v="126"/>
    <x v="37"/>
    <x v="430"/>
    <x v="32"/>
    <x v="1"/>
    <x v="1"/>
    <x v="0"/>
    <x v="4254"/>
  </r>
  <r>
    <x v="0"/>
    <x v="1894"/>
    <x v="379"/>
    <x v="58"/>
    <x v="211"/>
    <x v="503"/>
    <x v="491"/>
    <x v="3624"/>
    <x v="170"/>
    <x v="909"/>
    <x v="1995"/>
    <x v="2926"/>
    <x v="4165"/>
    <x v="4143"/>
    <x v="2869"/>
    <x v="1"/>
    <x v="4095"/>
    <x v="4168"/>
    <x v="368"/>
    <x v="13"/>
    <x v="14"/>
    <x v="4"/>
    <x v="126"/>
    <x v="24"/>
    <x v="338"/>
    <x v="32"/>
    <x v="1"/>
    <x v="1"/>
    <x v="0"/>
    <x v="4255"/>
  </r>
  <r>
    <x v="1"/>
    <x v="328"/>
    <x v="280"/>
    <x v="49"/>
    <x v="0"/>
    <x v="491"/>
    <x v="423"/>
    <x v="4"/>
    <x v="352"/>
    <x v="391"/>
    <x v="632"/>
    <x v="735"/>
    <x v="881"/>
    <x v="4144"/>
    <x v="3573"/>
    <x v="0"/>
    <x v="876"/>
    <x v="881"/>
    <x v="488"/>
    <x v="0"/>
    <x v="1"/>
    <x v="9"/>
    <x v="126"/>
    <x v="34"/>
    <x v="395"/>
    <x v="16"/>
    <x v="10"/>
    <x v="1"/>
    <x v="0"/>
    <x v="4256"/>
  </r>
  <r>
    <x v="0"/>
    <x v="709"/>
    <x v="318"/>
    <x v="34"/>
    <x v="225"/>
    <x v="48"/>
    <x v="384"/>
    <x v="3625"/>
    <x v="715"/>
    <x v="1643"/>
    <x v="2476"/>
    <x v="2927"/>
    <x v="4166"/>
    <x v="4145"/>
    <x v="3574"/>
    <x v="0"/>
    <x v="4096"/>
    <x v="4169"/>
    <x v="136"/>
    <x v="0"/>
    <x v="0"/>
    <x v="4"/>
    <x v="126"/>
    <x v="15"/>
    <x v="885"/>
    <x v="32"/>
    <x v="3"/>
    <x v="1"/>
    <x v="0"/>
    <x v="4257"/>
  </r>
  <r>
    <x v="0"/>
    <x v="1895"/>
    <x v="82"/>
    <x v="107"/>
    <x v="134"/>
    <x v="792"/>
    <x v="761"/>
    <x v="3626"/>
    <x v="416"/>
    <x v="1644"/>
    <x v="2477"/>
    <x v="2928"/>
    <x v="4167"/>
    <x v="4146"/>
    <x v="3108"/>
    <x v="0"/>
    <x v="4097"/>
    <x v="4170"/>
    <x v="142"/>
    <x v="0"/>
    <x v="10"/>
    <x v="4"/>
    <x v="126"/>
    <x v="10"/>
    <x v="462"/>
    <x v="43"/>
    <x v="3"/>
    <x v="1"/>
    <x v="0"/>
    <x v="4258"/>
  </r>
  <r>
    <x v="0"/>
    <x v="176"/>
    <x v="300"/>
    <x v="64"/>
    <x v="127"/>
    <x v="712"/>
    <x v="565"/>
    <x v="3627"/>
    <x v="306"/>
    <x v="1082"/>
    <x v="2478"/>
    <x v="1716"/>
    <x v="4168"/>
    <x v="4147"/>
    <x v="2258"/>
    <x v="3"/>
    <x v="4098"/>
    <x v="4171"/>
    <x v="297"/>
    <x v="15"/>
    <x v="8"/>
    <x v="4"/>
    <x v="126"/>
    <x v="7"/>
    <x v="62"/>
    <x v="3"/>
    <x v="1"/>
    <x v="36"/>
    <x v="0"/>
    <x v="4259"/>
  </r>
  <r>
    <x v="0"/>
    <x v="1896"/>
    <x v="384"/>
    <x v="74"/>
    <x v="409"/>
    <x v="159"/>
    <x v="72"/>
    <x v="3628"/>
    <x v="270"/>
    <x v="1645"/>
    <x v="2479"/>
    <x v="2929"/>
    <x v="4169"/>
    <x v="4148"/>
    <x v="3575"/>
    <x v="6"/>
    <x v="4099"/>
    <x v="4172"/>
    <x v="509"/>
    <x v="0"/>
    <x v="0"/>
    <x v="0"/>
    <x v="126"/>
    <x v="10"/>
    <x v="886"/>
    <x v="15"/>
    <x v="1"/>
    <x v="7"/>
    <x v="0"/>
    <x v="4260"/>
  </r>
  <r>
    <x v="1"/>
    <x v="1897"/>
    <x v="388"/>
    <x v="90"/>
    <x v="45"/>
    <x v="302"/>
    <x v="500"/>
    <x v="4"/>
    <x v="291"/>
    <x v="1120"/>
    <x v="2480"/>
    <x v="2058"/>
    <x v="4170"/>
    <x v="4149"/>
    <x v="3576"/>
    <x v="1"/>
    <x v="4100"/>
    <x v="4173"/>
    <x v="713"/>
    <x v="0"/>
    <x v="0"/>
    <x v="10"/>
    <x v="126"/>
    <x v="60"/>
    <x v="566"/>
    <x v="25"/>
    <x v="1"/>
    <x v="1"/>
    <x v="0"/>
    <x v="4261"/>
  </r>
  <r>
    <x v="1"/>
    <x v="1898"/>
    <x v="329"/>
    <x v="73"/>
    <x v="85"/>
    <x v="420"/>
    <x v="0"/>
    <x v="4"/>
    <x v="832"/>
    <x v="1646"/>
    <x v="2481"/>
    <x v="2930"/>
    <x v="4171"/>
    <x v="4150"/>
    <x v="3522"/>
    <x v="8"/>
    <x v="4101"/>
    <x v="4174"/>
    <x v="705"/>
    <x v="0"/>
    <x v="0"/>
    <x v="17"/>
    <x v="342"/>
    <x v="40"/>
    <x v="220"/>
    <x v="1"/>
    <x v="15"/>
    <x v="754"/>
    <x v="0"/>
    <x v="4262"/>
  </r>
  <r>
    <x v="0"/>
    <x v="1899"/>
    <x v="111"/>
    <x v="110"/>
    <x v="215"/>
    <x v="298"/>
    <x v="124"/>
    <x v="3629"/>
    <x v="833"/>
    <x v="1647"/>
    <x v="2482"/>
    <x v="2931"/>
    <x v="4172"/>
    <x v="4151"/>
    <x v="2833"/>
    <x v="0"/>
    <x v="4102"/>
    <x v="4175"/>
    <x v="617"/>
    <x v="3"/>
    <x v="10"/>
    <x v="0"/>
    <x v="255"/>
    <x v="17"/>
    <x v="794"/>
    <x v="6"/>
    <x v="10"/>
    <x v="1"/>
    <x v="0"/>
    <x v="4263"/>
  </r>
  <r>
    <x v="0"/>
    <x v="1900"/>
    <x v="392"/>
    <x v="71"/>
    <x v="293"/>
    <x v="379"/>
    <x v="138"/>
    <x v="3630"/>
    <x v="200"/>
    <x v="1648"/>
    <x v="2483"/>
    <x v="534"/>
    <x v="4173"/>
    <x v="4152"/>
    <x v="3577"/>
    <x v="3"/>
    <x v="4103"/>
    <x v="4176"/>
    <x v="320"/>
    <x v="0"/>
    <x v="4"/>
    <x v="0"/>
    <x v="126"/>
    <x v="20"/>
    <x v="887"/>
    <x v="13"/>
    <x v="3"/>
    <x v="1"/>
    <x v="0"/>
    <x v="4264"/>
  </r>
  <r>
    <x v="0"/>
    <x v="1513"/>
    <x v="224"/>
    <x v="59"/>
    <x v="164"/>
    <x v="734"/>
    <x v="21"/>
    <x v="3631"/>
    <x v="309"/>
    <x v="162"/>
    <x v="2484"/>
    <x v="2932"/>
    <x v="4174"/>
    <x v="4153"/>
    <x v="3578"/>
    <x v="0"/>
    <x v="4104"/>
    <x v="4177"/>
    <x v="630"/>
    <x v="0"/>
    <x v="0"/>
    <x v="4"/>
    <x v="4"/>
    <x v="17"/>
    <x v="39"/>
    <x v="7"/>
    <x v="3"/>
    <x v="1"/>
    <x v="0"/>
    <x v="4265"/>
  </r>
  <r>
    <x v="0"/>
    <x v="776"/>
    <x v="130"/>
    <x v="110"/>
    <x v="0"/>
    <x v="708"/>
    <x v="751"/>
    <x v="3632"/>
    <x v="17"/>
    <x v="1649"/>
    <x v="2485"/>
    <x v="2933"/>
    <x v="4175"/>
    <x v="4154"/>
    <x v="3579"/>
    <x v="0"/>
    <x v="4105"/>
    <x v="4178"/>
    <x v="91"/>
    <x v="0"/>
    <x v="0"/>
    <x v="4"/>
    <x v="207"/>
    <x v="14"/>
    <x v="820"/>
    <x v="25"/>
    <x v="3"/>
    <x v="38"/>
    <x v="0"/>
    <x v="4266"/>
  </r>
  <r>
    <x v="0"/>
    <x v="114"/>
    <x v="271"/>
    <x v="69"/>
    <x v="0"/>
    <x v="632"/>
    <x v="704"/>
    <x v="3633"/>
    <x v="306"/>
    <x v="1650"/>
    <x v="2486"/>
    <x v="2934"/>
    <x v="4176"/>
    <x v="4155"/>
    <x v="1158"/>
    <x v="0"/>
    <x v="4106"/>
    <x v="4179"/>
    <x v="336"/>
    <x v="6"/>
    <x v="12"/>
    <x v="4"/>
    <x v="126"/>
    <x v="21"/>
    <x v="534"/>
    <x v="14"/>
    <x v="3"/>
    <x v="59"/>
    <x v="0"/>
    <x v="4267"/>
  </r>
  <r>
    <x v="0"/>
    <x v="534"/>
    <x v="450"/>
    <x v="7"/>
    <x v="264"/>
    <x v="646"/>
    <x v="0"/>
    <x v="3634"/>
    <x v="270"/>
    <x v="185"/>
    <x v="2487"/>
    <x v="2935"/>
    <x v="4177"/>
    <x v="4156"/>
    <x v="3580"/>
    <x v="4"/>
    <x v="4107"/>
    <x v="4180"/>
    <x v="596"/>
    <x v="0"/>
    <x v="0"/>
    <x v="4"/>
    <x v="41"/>
    <x v="17"/>
    <x v="623"/>
    <x v="2"/>
    <x v="3"/>
    <x v="1"/>
    <x v="0"/>
    <x v="4268"/>
  </r>
  <r>
    <x v="1"/>
    <x v="1901"/>
    <x v="258"/>
    <x v="34"/>
    <x v="410"/>
    <x v="563"/>
    <x v="74"/>
    <x v="4"/>
    <x v="17"/>
    <x v="840"/>
    <x v="2488"/>
    <x v="2936"/>
    <x v="4178"/>
    <x v="1779"/>
    <x v="605"/>
    <x v="3"/>
    <x v="4108"/>
    <x v="4181"/>
    <x v="277"/>
    <x v="0"/>
    <x v="0"/>
    <x v="11"/>
    <x v="126"/>
    <x v="66"/>
    <x v="702"/>
    <x v="38"/>
    <x v="15"/>
    <x v="1"/>
    <x v="0"/>
    <x v="4269"/>
  </r>
  <r>
    <x v="0"/>
    <x v="1902"/>
    <x v="485"/>
    <x v="7"/>
    <x v="138"/>
    <x v="132"/>
    <x v="31"/>
    <x v="3635"/>
    <x v="270"/>
    <x v="37"/>
    <x v="2489"/>
    <x v="2937"/>
    <x v="4179"/>
    <x v="4157"/>
    <x v="3581"/>
    <x v="4"/>
    <x v="4109"/>
    <x v="4182"/>
    <x v="209"/>
    <x v="0"/>
    <x v="0"/>
    <x v="4"/>
    <x v="126"/>
    <x v="5"/>
    <x v="513"/>
    <x v="13"/>
    <x v="3"/>
    <x v="35"/>
    <x v="0"/>
    <x v="4270"/>
  </r>
  <r>
    <x v="0"/>
    <x v="371"/>
    <x v="313"/>
    <x v="11"/>
    <x v="215"/>
    <x v="708"/>
    <x v="146"/>
    <x v="3636"/>
    <x v="834"/>
    <x v="1651"/>
    <x v="2490"/>
    <x v="2938"/>
    <x v="4180"/>
    <x v="4158"/>
    <x v="2833"/>
    <x v="0"/>
    <x v="4110"/>
    <x v="4183"/>
    <x v="319"/>
    <x v="0"/>
    <x v="1"/>
    <x v="4"/>
    <x v="4"/>
    <x v="17"/>
    <x v="624"/>
    <x v="14"/>
    <x v="3"/>
    <x v="1"/>
    <x v="0"/>
    <x v="4271"/>
  </r>
  <r>
    <x v="1"/>
    <x v="1903"/>
    <x v="81"/>
    <x v="11"/>
    <x v="256"/>
    <x v="439"/>
    <x v="80"/>
    <x v="4"/>
    <x v="225"/>
    <x v="1652"/>
    <x v="2491"/>
    <x v="2939"/>
    <x v="4181"/>
    <x v="4159"/>
    <x v="2629"/>
    <x v="4"/>
    <x v="4111"/>
    <x v="4184"/>
    <x v="654"/>
    <x v="0"/>
    <x v="0"/>
    <x v="11"/>
    <x v="126"/>
    <x v="79"/>
    <x v="136"/>
    <x v="15"/>
    <x v="15"/>
    <x v="755"/>
    <x v="0"/>
    <x v="4272"/>
  </r>
  <r>
    <x v="0"/>
    <x v="1904"/>
    <x v="285"/>
    <x v="43"/>
    <x v="411"/>
    <x v="124"/>
    <x v="764"/>
    <x v="3637"/>
    <x v="200"/>
    <x v="1653"/>
    <x v="2492"/>
    <x v="2940"/>
    <x v="4182"/>
    <x v="4160"/>
    <x v="3582"/>
    <x v="0"/>
    <x v="4112"/>
    <x v="4185"/>
    <x v="554"/>
    <x v="0"/>
    <x v="0"/>
    <x v="4"/>
    <x v="126"/>
    <x v="12"/>
    <x v="308"/>
    <x v="38"/>
    <x v="3"/>
    <x v="1"/>
    <x v="0"/>
    <x v="4273"/>
  </r>
  <r>
    <x v="0"/>
    <x v="1765"/>
    <x v="380"/>
    <x v="72"/>
    <x v="163"/>
    <x v="325"/>
    <x v="57"/>
    <x v="3638"/>
    <x v="835"/>
    <x v="109"/>
    <x v="2493"/>
    <x v="2941"/>
    <x v="4183"/>
    <x v="4161"/>
    <x v="3583"/>
    <x v="0"/>
    <x v="4113"/>
    <x v="4186"/>
    <x v="756"/>
    <x v="0"/>
    <x v="0"/>
    <x v="0"/>
    <x v="4"/>
    <x v="5"/>
    <x v="780"/>
    <x v="24"/>
    <x v="1"/>
    <x v="62"/>
    <x v="0"/>
    <x v="4274"/>
  </r>
  <r>
    <x v="0"/>
    <x v="1905"/>
    <x v="287"/>
    <x v="45"/>
    <x v="45"/>
    <x v="334"/>
    <x v="669"/>
    <x v="3639"/>
    <x v="484"/>
    <x v="1654"/>
    <x v="2494"/>
    <x v="2942"/>
    <x v="4184"/>
    <x v="4162"/>
    <x v="3584"/>
    <x v="0"/>
    <x v="4114"/>
    <x v="4187"/>
    <x v="716"/>
    <x v="0"/>
    <x v="1"/>
    <x v="4"/>
    <x v="126"/>
    <x v="2"/>
    <x v="159"/>
    <x v="9"/>
    <x v="3"/>
    <x v="1"/>
    <x v="0"/>
    <x v="4275"/>
  </r>
  <r>
    <x v="0"/>
    <x v="1906"/>
    <x v="111"/>
    <x v="38"/>
    <x v="0"/>
    <x v="177"/>
    <x v="765"/>
    <x v="3640"/>
    <x v="28"/>
    <x v="1655"/>
    <x v="2495"/>
    <x v="2943"/>
    <x v="4185"/>
    <x v="4163"/>
    <x v="3585"/>
    <x v="1"/>
    <x v="4115"/>
    <x v="4188"/>
    <x v="324"/>
    <x v="0"/>
    <x v="10"/>
    <x v="4"/>
    <x v="4"/>
    <x v="15"/>
    <x v="338"/>
    <x v="7"/>
    <x v="3"/>
    <x v="1"/>
    <x v="0"/>
    <x v="4276"/>
  </r>
  <r>
    <x v="0"/>
    <x v="50"/>
    <x v="378"/>
    <x v="38"/>
    <x v="278"/>
    <x v="10"/>
    <x v="6"/>
    <x v="3641"/>
    <x v="28"/>
    <x v="6"/>
    <x v="3"/>
    <x v="1630"/>
    <x v="4186"/>
    <x v="4164"/>
    <x v="3586"/>
    <x v="4"/>
    <x v="4116"/>
    <x v="4189"/>
    <x v="321"/>
    <x v="0"/>
    <x v="0"/>
    <x v="4"/>
    <x v="126"/>
    <x v="12"/>
    <x v="3"/>
    <x v="15"/>
    <x v="3"/>
    <x v="1"/>
    <x v="0"/>
    <x v="4277"/>
  </r>
  <r>
    <x v="0"/>
    <x v="580"/>
    <x v="347"/>
    <x v="55"/>
    <x v="78"/>
    <x v="464"/>
    <x v="0"/>
    <x v="3642"/>
    <x v="168"/>
    <x v="247"/>
    <x v="2496"/>
    <x v="2944"/>
    <x v="4187"/>
    <x v="4165"/>
    <x v="2894"/>
    <x v="1"/>
    <x v="4117"/>
    <x v="4190"/>
    <x v="636"/>
    <x v="0"/>
    <x v="0"/>
    <x v="0"/>
    <x v="126"/>
    <x v="2"/>
    <x v="491"/>
    <x v="43"/>
    <x v="3"/>
    <x v="1"/>
    <x v="0"/>
    <x v="4278"/>
  </r>
  <r>
    <x v="0"/>
    <x v="151"/>
    <x v="339"/>
    <x v="59"/>
    <x v="0"/>
    <x v="612"/>
    <x v="94"/>
    <x v="3643"/>
    <x v="127"/>
    <x v="218"/>
    <x v="746"/>
    <x v="1895"/>
    <x v="4188"/>
    <x v="4166"/>
    <x v="3587"/>
    <x v="0"/>
    <x v="4118"/>
    <x v="4191"/>
    <x v="497"/>
    <x v="0"/>
    <x v="0"/>
    <x v="4"/>
    <x v="126"/>
    <x v="19"/>
    <x v="447"/>
    <x v="55"/>
    <x v="3"/>
    <x v="756"/>
    <x v="0"/>
    <x v="4279"/>
  </r>
  <r>
    <x v="0"/>
    <x v="1907"/>
    <x v="409"/>
    <x v="42"/>
    <x v="256"/>
    <x v="480"/>
    <x v="766"/>
    <x v="3644"/>
    <x v="236"/>
    <x v="1656"/>
    <x v="2497"/>
    <x v="2945"/>
    <x v="4189"/>
    <x v="1767"/>
    <x v="3588"/>
    <x v="1"/>
    <x v="4119"/>
    <x v="4192"/>
    <x v="169"/>
    <x v="0"/>
    <x v="1"/>
    <x v="4"/>
    <x v="126"/>
    <x v="43"/>
    <x v="613"/>
    <x v="20"/>
    <x v="3"/>
    <x v="1"/>
    <x v="0"/>
    <x v="4280"/>
  </r>
  <r>
    <x v="0"/>
    <x v="113"/>
    <x v="385"/>
    <x v="96"/>
    <x v="88"/>
    <x v="651"/>
    <x v="767"/>
    <x v="4"/>
    <x v="125"/>
    <x v="1657"/>
    <x v="1551"/>
    <x v="1242"/>
    <x v="4190"/>
    <x v="4167"/>
    <x v="834"/>
    <x v="3"/>
    <x v="4120"/>
    <x v="4193"/>
    <x v="496"/>
    <x v="0"/>
    <x v="0"/>
    <x v="5"/>
    <x v="4"/>
    <x v="4"/>
    <x v="246"/>
    <x v="14"/>
    <x v="9"/>
    <x v="464"/>
    <x v="0"/>
    <x v="4281"/>
  </r>
  <r>
    <x v="0"/>
    <x v="85"/>
    <x v="69"/>
    <x v="13"/>
    <x v="0"/>
    <x v="532"/>
    <x v="510"/>
    <x v="2278"/>
    <x v="270"/>
    <x v="957"/>
    <x v="1496"/>
    <x v="1781"/>
    <x v="2424"/>
    <x v="2421"/>
    <x v="1054"/>
    <x v="0"/>
    <x v="2405"/>
    <x v="2424"/>
    <x v="288"/>
    <x v="0"/>
    <x v="1"/>
    <x v="0"/>
    <x v="135"/>
    <x v="25"/>
    <x v="381"/>
    <x v="6"/>
    <x v="5"/>
    <x v="1"/>
    <x v="0"/>
    <x v="4282"/>
  </r>
  <r>
    <x v="0"/>
    <x v="1559"/>
    <x v="202"/>
    <x v="59"/>
    <x v="112"/>
    <x v="683"/>
    <x v="655"/>
    <x v="3645"/>
    <x v="105"/>
    <x v="1658"/>
    <x v="2498"/>
    <x v="2946"/>
    <x v="4191"/>
    <x v="4168"/>
    <x v="3589"/>
    <x v="3"/>
    <x v="4121"/>
    <x v="4194"/>
    <x v="133"/>
    <x v="0"/>
    <x v="0"/>
    <x v="10"/>
    <x v="126"/>
    <x v="7"/>
    <x v="836"/>
    <x v="12"/>
    <x v="0"/>
    <x v="1"/>
    <x v="0"/>
    <x v="4283"/>
  </r>
  <r>
    <x v="0"/>
    <x v="1908"/>
    <x v="99"/>
    <x v="78"/>
    <x v="28"/>
    <x v="298"/>
    <x v="671"/>
    <x v="3646"/>
    <x v="836"/>
    <x v="1659"/>
    <x v="2499"/>
    <x v="2947"/>
    <x v="4192"/>
    <x v="4169"/>
    <x v="3590"/>
    <x v="0"/>
    <x v="4122"/>
    <x v="4195"/>
    <x v="319"/>
    <x v="20"/>
    <x v="54"/>
    <x v="4"/>
    <x v="41"/>
    <x v="8"/>
    <x v="253"/>
    <x v="25"/>
    <x v="3"/>
    <x v="1"/>
    <x v="0"/>
    <x v="4284"/>
  </r>
  <r>
    <x v="0"/>
    <x v="1909"/>
    <x v="478"/>
    <x v="60"/>
    <x v="0"/>
    <x v="183"/>
    <x v="768"/>
    <x v="3647"/>
    <x v="66"/>
    <x v="1660"/>
    <x v="2500"/>
    <x v="2948"/>
    <x v="4193"/>
    <x v="4170"/>
    <x v="3591"/>
    <x v="1"/>
    <x v="4123"/>
    <x v="4196"/>
    <x v="737"/>
    <x v="0"/>
    <x v="0"/>
    <x v="0"/>
    <x v="126"/>
    <x v="17"/>
    <x v="779"/>
    <x v="47"/>
    <x v="3"/>
    <x v="731"/>
    <x v="0"/>
    <x v="4285"/>
  </r>
  <r>
    <x v="0"/>
    <x v="1765"/>
    <x v="212"/>
    <x v="58"/>
    <x v="163"/>
    <x v="367"/>
    <x v="687"/>
    <x v="3648"/>
    <x v="837"/>
    <x v="1396"/>
    <x v="2501"/>
    <x v="2949"/>
    <x v="4194"/>
    <x v="4171"/>
    <x v="2546"/>
    <x v="0"/>
    <x v="4124"/>
    <x v="4197"/>
    <x v="650"/>
    <x v="0"/>
    <x v="0"/>
    <x v="1"/>
    <x v="126"/>
    <x v="1"/>
    <x v="244"/>
    <x v="24"/>
    <x v="3"/>
    <x v="1"/>
    <x v="0"/>
    <x v="4286"/>
  </r>
  <r>
    <x v="0"/>
    <x v="1910"/>
    <x v="188"/>
    <x v="58"/>
    <x v="188"/>
    <x v="640"/>
    <x v="14"/>
    <x v="3649"/>
    <x v="17"/>
    <x v="788"/>
    <x v="870"/>
    <x v="2950"/>
    <x v="4195"/>
    <x v="4172"/>
    <x v="3592"/>
    <x v="3"/>
    <x v="4125"/>
    <x v="4198"/>
    <x v="547"/>
    <x v="0"/>
    <x v="0"/>
    <x v="4"/>
    <x v="126"/>
    <x v="2"/>
    <x v="30"/>
    <x v="8"/>
    <x v="1"/>
    <x v="1"/>
    <x v="0"/>
    <x v="4287"/>
  </r>
  <r>
    <x v="0"/>
    <x v="113"/>
    <x v="93"/>
    <x v="84"/>
    <x v="88"/>
    <x v="884"/>
    <x v="2"/>
    <x v="4"/>
    <x v="105"/>
    <x v="203"/>
    <x v="678"/>
    <x v="2951"/>
    <x v="4196"/>
    <x v="4173"/>
    <x v="3593"/>
    <x v="7"/>
    <x v="4126"/>
    <x v="4199"/>
    <x v="721"/>
    <x v="0"/>
    <x v="0"/>
    <x v="1"/>
    <x v="4"/>
    <x v="4"/>
    <x v="417"/>
    <x v="11"/>
    <x v="8"/>
    <x v="757"/>
    <x v="0"/>
    <x v="4288"/>
  </r>
  <r>
    <x v="1"/>
    <x v="1911"/>
    <x v="283"/>
    <x v="7"/>
    <x v="72"/>
    <x v="809"/>
    <x v="769"/>
    <x v="3650"/>
    <x v="838"/>
    <x v="1661"/>
    <x v="2502"/>
    <x v="2952"/>
    <x v="4197"/>
    <x v="4174"/>
    <x v="3299"/>
    <x v="0"/>
    <x v="4127"/>
    <x v="4200"/>
    <x v="704"/>
    <x v="0"/>
    <x v="1"/>
    <x v="2"/>
    <x v="126"/>
    <x v="1"/>
    <x v="208"/>
    <x v="14"/>
    <x v="3"/>
    <x v="1"/>
    <x v="0"/>
    <x v="4289"/>
  </r>
  <r>
    <x v="0"/>
    <x v="1912"/>
    <x v="245"/>
    <x v="27"/>
    <x v="12"/>
    <x v="720"/>
    <x v="473"/>
    <x v="3651"/>
    <x v="134"/>
    <x v="236"/>
    <x v="1157"/>
    <x v="1420"/>
    <x v="4198"/>
    <x v="4175"/>
    <x v="3594"/>
    <x v="1"/>
    <x v="4128"/>
    <x v="4201"/>
    <x v="465"/>
    <x v="0"/>
    <x v="0"/>
    <x v="2"/>
    <x v="4"/>
    <x v="5"/>
    <x v="370"/>
    <x v="12"/>
    <x v="8"/>
    <x v="1"/>
    <x v="0"/>
    <x v="4290"/>
  </r>
  <r>
    <x v="1"/>
    <x v="1642"/>
    <x v="318"/>
    <x v="71"/>
    <x v="89"/>
    <x v="337"/>
    <x v="654"/>
    <x v="3652"/>
    <x v="839"/>
    <x v="1361"/>
    <x v="2503"/>
    <x v="2953"/>
    <x v="4199"/>
    <x v="4176"/>
    <x v="2073"/>
    <x v="0"/>
    <x v="4129"/>
    <x v="4202"/>
    <x v="398"/>
    <x v="0"/>
    <x v="0"/>
    <x v="13"/>
    <x v="126"/>
    <x v="12"/>
    <x v="349"/>
    <x v="2"/>
    <x v="3"/>
    <x v="304"/>
    <x v="0"/>
    <x v="4291"/>
  </r>
  <r>
    <x v="0"/>
    <x v="1913"/>
    <x v="347"/>
    <x v="77"/>
    <x v="116"/>
    <x v="209"/>
    <x v="770"/>
    <x v="3653"/>
    <x v="352"/>
    <x v="1662"/>
    <x v="2504"/>
    <x v="2472"/>
    <x v="4200"/>
    <x v="4177"/>
    <x v="3595"/>
    <x v="1"/>
    <x v="4130"/>
    <x v="4203"/>
    <x v="546"/>
    <x v="0"/>
    <x v="0"/>
    <x v="4"/>
    <x v="4"/>
    <x v="21"/>
    <x v="882"/>
    <x v="11"/>
    <x v="3"/>
    <x v="597"/>
    <x v="0"/>
    <x v="4292"/>
  </r>
  <r>
    <x v="0"/>
    <x v="1802"/>
    <x v="438"/>
    <x v="45"/>
    <x v="31"/>
    <x v="88"/>
    <x v="114"/>
    <x v="3654"/>
    <x v="200"/>
    <x v="1663"/>
    <x v="901"/>
    <x v="714"/>
    <x v="4201"/>
    <x v="4178"/>
    <x v="3596"/>
    <x v="2"/>
    <x v="4131"/>
    <x v="4204"/>
    <x v="718"/>
    <x v="0"/>
    <x v="1"/>
    <x v="0"/>
    <x v="4"/>
    <x v="13"/>
    <x v="192"/>
    <x v="21"/>
    <x v="2"/>
    <x v="758"/>
    <x v="0"/>
    <x v="4293"/>
  </r>
  <r>
    <x v="0"/>
    <x v="1914"/>
    <x v="303"/>
    <x v="107"/>
    <x v="123"/>
    <x v="848"/>
    <x v="771"/>
    <x v="3655"/>
    <x v="125"/>
    <x v="1664"/>
    <x v="2505"/>
    <x v="2954"/>
    <x v="4202"/>
    <x v="4179"/>
    <x v="2869"/>
    <x v="0"/>
    <x v="4132"/>
    <x v="4205"/>
    <x v="96"/>
    <x v="0"/>
    <x v="0"/>
    <x v="4"/>
    <x v="311"/>
    <x v="5"/>
    <x v="410"/>
    <x v="51"/>
    <x v="3"/>
    <x v="759"/>
    <x v="0"/>
    <x v="4294"/>
  </r>
  <r>
    <x v="0"/>
    <x v="191"/>
    <x v="421"/>
    <x v="42"/>
    <x v="0"/>
    <x v="717"/>
    <x v="0"/>
    <x v="4"/>
    <x v="386"/>
    <x v="738"/>
    <x v="2506"/>
    <x v="2955"/>
    <x v="4203"/>
    <x v="4180"/>
    <x v="2788"/>
    <x v="1"/>
    <x v="4133"/>
    <x v="4206"/>
    <x v="727"/>
    <x v="3"/>
    <x v="10"/>
    <x v="4"/>
    <x v="173"/>
    <x v="39"/>
    <x v="848"/>
    <x v="12"/>
    <x v="1"/>
    <x v="359"/>
    <x v="0"/>
    <x v="4295"/>
  </r>
  <r>
    <x v="0"/>
    <x v="1915"/>
    <x v="303"/>
    <x v="45"/>
    <x v="0"/>
    <x v="704"/>
    <x v="49"/>
    <x v="3656"/>
    <x v="200"/>
    <x v="86"/>
    <x v="239"/>
    <x v="11"/>
    <x v="4204"/>
    <x v="4181"/>
    <x v="3597"/>
    <x v="4"/>
    <x v="4134"/>
    <x v="4207"/>
    <x v="514"/>
    <x v="0"/>
    <x v="0"/>
    <x v="0"/>
    <x v="224"/>
    <x v="14"/>
    <x v="30"/>
    <x v="15"/>
    <x v="3"/>
    <x v="760"/>
    <x v="0"/>
    <x v="4296"/>
  </r>
  <r>
    <x v="0"/>
    <x v="1916"/>
    <x v="248"/>
    <x v="50"/>
    <x v="217"/>
    <x v="171"/>
    <x v="397"/>
    <x v="3657"/>
    <x v="499"/>
    <x v="1665"/>
    <x v="2507"/>
    <x v="2956"/>
    <x v="4205"/>
    <x v="4182"/>
    <x v="3598"/>
    <x v="1"/>
    <x v="4135"/>
    <x v="4208"/>
    <x v="290"/>
    <x v="0"/>
    <x v="0"/>
    <x v="4"/>
    <x v="4"/>
    <x v="1"/>
    <x v="742"/>
    <x v="28"/>
    <x v="3"/>
    <x v="16"/>
    <x v="0"/>
    <x v="4297"/>
  </r>
  <r>
    <x v="0"/>
    <x v="1917"/>
    <x v="359"/>
    <x v="43"/>
    <x v="198"/>
    <x v="298"/>
    <x v="772"/>
    <x v="3658"/>
    <x v="840"/>
    <x v="1666"/>
    <x v="2508"/>
    <x v="2957"/>
    <x v="4206"/>
    <x v="4183"/>
    <x v="3533"/>
    <x v="1"/>
    <x v="4136"/>
    <x v="4209"/>
    <x v="386"/>
    <x v="0"/>
    <x v="0"/>
    <x v="0"/>
    <x v="126"/>
    <x v="20"/>
    <x v="515"/>
    <x v="10"/>
    <x v="3"/>
    <x v="1"/>
    <x v="0"/>
    <x v="4298"/>
  </r>
  <r>
    <x v="0"/>
    <x v="1918"/>
    <x v="93"/>
    <x v="4"/>
    <x v="198"/>
    <x v="483"/>
    <x v="773"/>
    <x v="4"/>
    <x v="243"/>
    <x v="1667"/>
    <x v="2509"/>
    <x v="2958"/>
    <x v="4207"/>
    <x v="4184"/>
    <x v="3599"/>
    <x v="4"/>
    <x v="4137"/>
    <x v="4210"/>
    <x v="326"/>
    <x v="8"/>
    <x v="16"/>
    <x v="1"/>
    <x v="4"/>
    <x v="21"/>
    <x v="646"/>
    <x v="66"/>
    <x v="2"/>
    <x v="761"/>
    <x v="0"/>
    <x v="4299"/>
  </r>
  <r>
    <x v="0"/>
    <x v="984"/>
    <x v="459"/>
    <x v="78"/>
    <x v="45"/>
    <x v="709"/>
    <x v="265"/>
    <x v="3659"/>
    <x v="841"/>
    <x v="1668"/>
    <x v="2510"/>
    <x v="2959"/>
    <x v="4208"/>
    <x v="4185"/>
    <x v="3600"/>
    <x v="1"/>
    <x v="4138"/>
    <x v="4211"/>
    <x v="450"/>
    <x v="0"/>
    <x v="1"/>
    <x v="4"/>
    <x v="4"/>
    <x v="14"/>
    <x v="654"/>
    <x v="38"/>
    <x v="1"/>
    <x v="1"/>
    <x v="0"/>
    <x v="4300"/>
  </r>
  <r>
    <x v="0"/>
    <x v="1919"/>
    <x v="399"/>
    <x v="79"/>
    <x v="0"/>
    <x v="681"/>
    <x v="13"/>
    <x v="3660"/>
    <x v="200"/>
    <x v="13"/>
    <x v="127"/>
    <x v="1245"/>
    <x v="4209"/>
    <x v="4186"/>
    <x v="3601"/>
    <x v="1"/>
    <x v="4139"/>
    <x v="4212"/>
    <x v="744"/>
    <x v="0"/>
    <x v="0"/>
    <x v="4"/>
    <x v="315"/>
    <x v="0"/>
    <x v="47"/>
    <x v="27"/>
    <x v="1"/>
    <x v="622"/>
    <x v="0"/>
    <x v="4301"/>
  </r>
  <r>
    <x v="1"/>
    <x v="1594"/>
    <x v="402"/>
    <x v="45"/>
    <x v="384"/>
    <x v="280"/>
    <x v="15"/>
    <x v="4"/>
    <x v="334"/>
    <x v="212"/>
    <x v="2090"/>
    <x v="2960"/>
    <x v="4210"/>
    <x v="4187"/>
    <x v="1697"/>
    <x v="4"/>
    <x v="4140"/>
    <x v="4213"/>
    <x v="732"/>
    <x v="0"/>
    <x v="1"/>
    <x v="4"/>
    <x v="4"/>
    <x v="13"/>
    <x v="343"/>
    <x v="1"/>
    <x v="3"/>
    <x v="647"/>
    <x v="0"/>
    <x v="4302"/>
  </r>
  <r>
    <x v="0"/>
    <x v="42"/>
    <x v="336"/>
    <x v="74"/>
    <x v="30"/>
    <x v="102"/>
    <x v="9"/>
    <x v="3661"/>
    <x v="270"/>
    <x v="279"/>
    <x v="2511"/>
    <x v="127"/>
    <x v="4211"/>
    <x v="4188"/>
    <x v="3602"/>
    <x v="0"/>
    <x v="4141"/>
    <x v="4214"/>
    <x v="737"/>
    <x v="0"/>
    <x v="0"/>
    <x v="4"/>
    <x v="179"/>
    <x v="2"/>
    <x v="457"/>
    <x v="33"/>
    <x v="1"/>
    <x v="1"/>
    <x v="0"/>
    <x v="4303"/>
  </r>
  <r>
    <x v="0"/>
    <x v="113"/>
    <x v="393"/>
    <x v="84"/>
    <x v="88"/>
    <x v="462"/>
    <x v="89"/>
    <x v="4"/>
    <x v="182"/>
    <x v="155"/>
    <x v="2512"/>
    <x v="2961"/>
    <x v="4212"/>
    <x v="4189"/>
    <x v="3603"/>
    <x v="4"/>
    <x v="4142"/>
    <x v="4215"/>
    <x v="736"/>
    <x v="0"/>
    <x v="0"/>
    <x v="5"/>
    <x v="4"/>
    <x v="4"/>
    <x v="875"/>
    <x v="0"/>
    <x v="0"/>
    <x v="67"/>
    <x v="0"/>
    <x v="4304"/>
  </r>
  <r>
    <x v="0"/>
    <x v="1920"/>
    <x v="489"/>
    <x v="41"/>
    <x v="211"/>
    <x v="670"/>
    <x v="657"/>
    <x v="3662"/>
    <x v="842"/>
    <x v="1309"/>
    <x v="2513"/>
    <x v="2962"/>
    <x v="4213"/>
    <x v="2831"/>
    <x v="2269"/>
    <x v="0"/>
    <x v="4143"/>
    <x v="4216"/>
    <x v="789"/>
    <x v="8"/>
    <x v="16"/>
    <x v="2"/>
    <x v="4"/>
    <x v="8"/>
    <x v="326"/>
    <x v="43"/>
    <x v="1"/>
    <x v="744"/>
    <x v="0"/>
    <x v="4305"/>
  </r>
  <r>
    <x v="0"/>
    <x v="1921"/>
    <x v="451"/>
    <x v="7"/>
    <x v="50"/>
    <x v="69"/>
    <x v="114"/>
    <x v="4"/>
    <x v="152"/>
    <x v="291"/>
    <x v="2311"/>
    <x v="2963"/>
    <x v="4214"/>
    <x v="4190"/>
    <x v="2573"/>
    <x v="2"/>
    <x v="4144"/>
    <x v="4217"/>
    <x v="684"/>
    <x v="0"/>
    <x v="0"/>
    <x v="9"/>
    <x v="4"/>
    <x v="17"/>
    <x v="856"/>
    <x v="28"/>
    <x v="3"/>
    <x v="686"/>
    <x v="0"/>
    <x v="4306"/>
  </r>
  <r>
    <x v="0"/>
    <x v="1922"/>
    <x v="81"/>
    <x v="55"/>
    <x v="107"/>
    <x v="582"/>
    <x v="702"/>
    <x v="3663"/>
    <x v="15"/>
    <x v="1463"/>
    <x v="2514"/>
    <x v="2964"/>
    <x v="4215"/>
    <x v="4191"/>
    <x v="3604"/>
    <x v="9"/>
    <x v="4145"/>
    <x v="4218"/>
    <x v="655"/>
    <x v="0"/>
    <x v="41"/>
    <x v="2"/>
    <x v="4"/>
    <x v="9"/>
    <x v="545"/>
    <x v="30"/>
    <x v="1"/>
    <x v="762"/>
    <x v="0"/>
    <x v="4307"/>
  </r>
  <r>
    <x v="0"/>
    <x v="477"/>
    <x v="225"/>
    <x v="50"/>
    <x v="247"/>
    <x v="700"/>
    <x v="14"/>
    <x v="3664"/>
    <x v="276"/>
    <x v="219"/>
    <x v="1171"/>
    <x v="2965"/>
    <x v="4216"/>
    <x v="4192"/>
    <x v="3605"/>
    <x v="6"/>
    <x v="4146"/>
    <x v="4219"/>
    <x v="408"/>
    <x v="0"/>
    <x v="0"/>
    <x v="0"/>
    <x v="4"/>
    <x v="11"/>
    <x v="156"/>
    <x v="18"/>
    <x v="1"/>
    <x v="1"/>
    <x v="0"/>
    <x v="4308"/>
  </r>
  <r>
    <x v="0"/>
    <x v="1923"/>
    <x v="240"/>
    <x v="54"/>
    <x v="193"/>
    <x v="733"/>
    <x v="128"/>
    <x v="3665"/>
    <x v="270"/>
    <x v="1669"/>
    <x v="737"/>
    <x v="2966"/>
    <x v="4217"/>
    <x v="4193"/>
    <x v="3606"/>
    <x v="3"/>
    <x v="4147"/>
    <x v="4220"/>
    <x v="790"/>
    <x v="0"/>
    <x v="0"/>
    <x v="1"/>
    <x v="41"/>
    <x v="0"/>
    <x v="442"/>
    <x v="5"/>
    <x v="3"/>
    <x v="763"/>
    <x v="0"/>
    <x v="4309"/>
  </r>
  <r>
    <x v="0"/>
    <x v="1924"/>
    <x v="303"/>
    <x v="55"/>
    <x v="142"/>
    <x v="294"/>
    <x v="285"/>
    <x v="4"/>
    <x v="843"/>
    <x v="1325"/>
    <x v="2515"/>
    <x v="2967"/>
    <x v="4218"/>
    <x v="4194"/>
    <x v="3607"/>
    <x v="1"/>
    <x v="4148"/>
    <x v="4221"/>
    <x v="140"/>
    <x v="0"/>
    <x v="0"/>
    <x v="4"/>
    <x v="126"/>
    <x v="27"/>
    <x v="173"/>
    <x v="18"/>
    <x v="3"/>
    <x v="467"/>
    <x v="0"/>
    <x v="4310"/>
  </r>
  <r>
    <x v="0"/>
    <x v="1925"/>
    <x v="384"/>
    <x v="80"/>
    <x v="31"/>
    <x v="1"/>
    <x v="8"/>
    <x v="3666"/>
    <x v="17"/>
    <x v="35"/>
    <x v="75"/>
    <x v="2968"/>
    <x v="4219"/>
    <x v="4195"/>
    <x v="3608"/>
    <x v="4"/>
    <x v="4149"/>
    <x v="4222"/>
    <x v="129"/>
    <x v="0"/>
    <x v="1"/>
    <x v="4"/>
    <x v="343"/>
    <x v="12"/>
    <x v="6"/>
    <x v="4"/>
    <x v="1"/>
    <x v="1"/>
    <x v="0"/>
    <x v="4311"/>
  </r>
  <r>
    <x v="0"/>
    <x v="1926"/>
    <x v="239"/>
    <x v="45"/>
    <x v="47"/>
    <x v="754"/>
    <x v="648"/>
    <x v="3667"/>
    <x v="270"/>
    <x v="1670"/>
    <x v="1267"/>
    <x v="2969"/>
    <x v="4220"/>
    <x v="4196"/>
    <x v="3609"/>
    <x v="1"/>
    <x v="4150"/>
    <x v="4223"/>
    <x v="365"/>
    <x v="0"/>
    <x v="0"/>
    <x v="4"/>
    <x v="126"/>
    <x v="7"/>
    <x v="228"/>
    <x v="4"/>
    <x v="3"/>
    <x v="265"/>
    <x v="0"/>
    <x v="4312"/>
  </r>
  <r>
    <x v="0"/>
    <x v="830"/>
    <x v="460"/>
    <x v="79"/>
    <x v="91"/>
    <x v="470"/>
    <x v="429"/>
    <x v="1853"/>
    <x v="70"/>
    <x v="778"/>
    <x v="1260"/>
    <x v="693"/>
    <x v="1948"/>
    <x v="1943"/>
    <x v="1858"/>
    <x v="1"/>
    <x v="1936"/>
    <x v="1948"/>
    <x v="578"/>
    <x v="0"/>
    <x v="0"/>
    <x v="0"/>
    <x v="131"/>
    <x v="19"/>
    <x v="398"/>
    <x v="37"/>
    <x v="3"/>
    <x v="355"/>
    <x v="0"/>
    <x v="4313"/>
  </r>
  <r>
    <x v="0"/>
    <x v="1927"/>
    <x v="207"/>
    <x v="101"/>
    <x v="0"/>
    <x v="393"/>
    <x v="774"/>
    <x v="4"/>
    <x v="770"/>
    <x v="1671"/>
    <x v="2516"/>
    <x v="2970"/>
    <x v="4221"/>
    <x v="4197"/>
    <x v="3385"/>
    <x v="0"/>
    <x v="4151"/>
    <x v="4224"/>
    <x v="247"/>
    <x v="0"/>
    <x v="0"/>
    <x v="9"/>
    <x v="4"/>
    <x v="2"/>
    <x v="477"/>
    <x v="19"/>
    <x v="2"/>
    <x v="1"/>
    <x v="0"/>
    <x v="4314"/>
  </r>
  <r>
    <x v="0"/>
    <x v="1088"/>
    <x v="331"/>
    <x v="43"/>
    <x v="171"/>
    <x v="601"/>
    <x v="57"/>
    <x v="3668"/>
    <x v="381"/>
    <x v="125"/>
    <x v="483"/>
    <x v="2971"/>
    <x v="4222"/>
    <x v="4198"/>
    <x v="3610"/>
    <x v="1"/>
    <x v="4152"/>
    <x v="4225"/>
    <x v="612"/>
    <x v="0"/>
    <x v="1"/>
    <x v="4"/>
    <x v="4"/>
    <x v="8"/>
    <x v="313"/>
    <x v="2"/>
    <x v="1"/>
    <x v="1"/>
    <x v="0"/>
    <x v="4315"/>
  </r>
  <r>
    <x v="0"/>
    <x v="534"/>
    <x v="465"/>
    <x v="77"/>
    <x v="264"/>
    <x v="582"/>
    <x v="354"/>
    <x v="3669"/>
    <x v="582"/>
    <x v="637"/>
    <x v="2517"/>
    <x v="2972"/>
    <x v="4223"/>
    <x v="4199"/>
    <x v="2035"/>
    <x v="4"/>
    <x v="4153"/>
    <x v="4226"/>
    <x v="343"/>
    <x v="0"/>
    <x v="0"/>
    <x v="4"/>
    <x v="4"/>
    <x v="9"/>
    <x v="481"/>
    <x v="28"/>
    <x v="0"/>
    <x v="243"/>
    <x v="0"/>
    <x v="4316"/>
  </r>
  <r>
    <x v="0"/>
    <x v="1928"/>
    <x v="283"/>
    <x v="76"/>
    <x v="85"/>
    <x v="2"/>
    <x v="659"/>
    <x v="4"/>
    <x v="844"/>
    <x v="1315"/>
    <x v="2518"/>
    <x v="2973"/>
    <x v="4224"/>
    <x v="4200"/>
    <x v="2776"/>
    <x v="3"/>
    <x v="4154"/>
    <x v="4227"/>
    <x v="552"/>
    <x v="0"/>
    <x v="1"/>
    <x v="4"/>
    <x v="4"/>
    <x v="0"/>
    <x v="854"/>
    <x v="31"/>
    <x v="1"/>
    <x v="1"/>
    <x v="0"/>
    <x v="4317"/>
  </r>
  <r>
    <x v="0"/>
    <x v="1929"/>
    <x v="421"/>
    <x v="73"/>
    <x v="78"/>
    <x v="74"/>
    <x v="242"/>
    <x v="3670"/>
    <x v="718"/>
    <x v="1672"/>
    <x v="2519"/>
    <x v="2974"/>
    <x v="4225"/>
    <x v="4201"/>
    <x v="3611"/>
    <x v="4"/>
    <x v="4155"/>
    <x v="4228"/>
    <x v="790"/>
    <x v="0"/>
    <x v="26"/>
    <x v="4"/>
    <x v="126"/>
    <x v="8"/>
    <x v="332"/>
    <x v="6"/>
    <x v="1"/>
    <x v="103"/>
    <x v="0"/>
    <x v="4318"/>
  </r>
  <r>
    <x v="0"/>
    <x v="1930"/>
    <x v="431"/>
    <x v="77"/>
    <x v="0"/>
    <x v="171"/>
    <x v="61"/>
    <x v="4"/>
    <x v="168"/>
    <x v="105"/>
    <x v="811"/>
    <x v="2975"/>
    <x v="4226"/>
    <x v="4202"/>
    <x v="3612"/>
    <x v="1"/>
    <x v="4156"/>
    <x v="4229"/>
    <x v="540"/>
    <x v="0"/>
    <x v="1"/>
    <x v="4"/>
    <x v="126"/>
    <x v="14"/>
    <x v="478"/>
    <x v="21"/>
    <x v="1"/>
    <x v="613"/>
    <x v="0"/>
    <x v="4319"/>
  </r>
  <r>
    <x v="0"/>
    <x v="1931"/>
    <x v="410"/>
    <x v="80"/>
    <x v="85"/>
    <x v="48"/>
    <x v="731"/>
    <x v="4"/>
    <x v="429"/>
    <x v="1673"/>
    <x v="2520"/>
    <x v="2976"/>
    <x v="4227"/>
    <x v="4203"/>
    <x v="1331"/>
    <x v="0"/>
    <x v="4157"/>
    <x v="4230"/>
    <x v="527"/>
    <x v="0"/>
    <x v="4"/>
    <x v="9"/>
    <x v="344"/>
    <x v="10"/>
    <x v="138"/>
    <x v="9"/>
    <x v="0"/>
    <x v="1"/>
    <x v="0"/>
    <x v="4320"/>
  </r>
  <r>
    <x v="0"/>
    <x v="1932"/>
    <x v="288"/>
    <x v="107"/>
    <x v="78"/>
    <x v="702"/>
    <x v="775"/>
    <x v="4"/>
    <x v="476"/>
    <x v="1674"/>
    <x v="2521"/>
    <x v="2977"/>
    <x v="4228"/>
    <x v="3521"/>
    <x v="3613"/>
    <x v="0"/>
    <x v="4158"/>
    <x v="4231"/>
    <x v="327"/>
    <x v="0"/>
    <x v="25"/>
    <x v="4"/>
    <x v="4"/>
    <x v="3"/>
    <x v="257"/>
    <x v="20"/>
    <x v="3"/>
    <x v="1"/>
    <x v="0"/>
    <x v="4321"/>
  </r>
  <r>
    <x v="0"/>
    <x v="1933"/>
    <x v="429"/>
    <x v="105"/>
    <x v="0"/>
    <x v="203"/>
    <x v="559"/>
    <x v="4"/>
    <x v="188"/>
    <x v="1675"/>
    <x v="2522"/>
    <x v="1604"/>
    <x v="4229"/>
    <x v="4204"/>
    <x v="1263"/>
    <x v="0"/>
    <x v="4159"/>
    <x v="4232"/>
    <x v="398"/>
    <x v="0"/>
    <x v="0"/>
    <x v="4"/>
    <x v="126"/>
    <x v="5"/>
    <x v="832"/>
    <x v="34"/>
    <x v="1"/>
    <x v="1"/>
    <x v="0"/>
    <x v="4322"/>
  </r>
  <r>
    <x v="0"/>
    <x v="1934"/>
    <x v="4"/>
    <x v="113"/>
    <x v="0"/>
    <x v="316"/>
    <x v="736"/>
    <x v="4"/>
    <x v="4"/>
    <x v="1676"/>
    <x v="2523"/>
    <x v="2978"/>
    <x v="4230"/>
    <x v="4205"/>
    <x v="601"/>
    <x v="0"/>
    <x v="4"/>
    <x v="4233"/>
    <x v="4"/>
    <x v="0"/>
    <x v="1"/>
    <x v="1"/>
    <x v="126"/>
    <x v="2"/>
    <x v="327"/>
    <x v="38"/>
    <x v="2"/>
    <x v="1"/>
    <x v="0"/>
    <x v="4323"/>
  </r>
  <r>
    <x v="0"/>
    <x v="696"/>
    <x v="361"/>
    <x v="87"/>
    <x v="201"/>
    <x v="563"/>
    <x v="2"/>
    <x v="4"/>
    <x v="125"/>
    <x v="740"/>
    <x v="2524"/>
    <x v="2638"/>
    <x v="4231"/>
    <x v="4206"/>
    <x v="2"/>
    <x v="3"/>
    <x v="4160"/>
    <x v="4234"/>
    <x v="715"/>
    <x v="0"/>
    <x v="0"/>
    <x v="16"/>
    <x v="126"/>
    <x v="49"/>
    <x v="264"/>
    <x v="1"/>
    <x v="15"/>
    <x v="1"/>
    <x v="0"/>
    <x v="4324"/>
  </r>
  <r>
    <x v="0"/>
    <x v="1935"/>
    <x v="393"/>
    <x v="58"/>
    <x v="0"/>
    <x v="490"/>
    <x v="372"/>
    <x v="3671"/>
    <x v="582"/>
    <x v="1677"/>
    <x v="2525"/>
    <x v="2979"/>
    <x v="4232"/>
    <x v="4207"/>
    <x v="3614"/>
    <x v="0"/>
    <x v="4"/>
    <x v="4235"/>
    <x v="561"/>
    <x v="0"/>
    <x v="0"/>
    <x v="9"/>
    <x v="4"/>
    <x v="3"/>
    <x v="278"/>
    <x v="65"/>
    <x v="2"/>
    <x v="215"/>
    <x v="0"/>
    <x v="4325"/>
  </r>
  <r>
    <x v="0"/>
    <x v="1936"/>
    <x v="385"/>
    <x v="78"/>
    <x v="78"/>
    <x v="194"/>
    <x v="418"/>
    <x v="4"/>
    <x v="28"/>
    <x v="761"/>
    <x v="2526"/>
    <x v="2980"/>
    <x v="4233"/>
    <x v="4208"/>
    <x v="3615"/>
    <x v="1"/>
    <x v="3463"/>
    <x v="4236"/>
    <x v="843"/>
    <x v="0"/>
    <x v="0"/>
    <x v="4"/>
    <x v="126"/>
    <x v="1"/>
    <x v="888"/>
    <x v="51"/>
    <x v="1"/>
    <x v="623"/>
    <x v="0"/>
    <x v="4326"/>
  </r>
  <r>
    <x v="0"/>
    <x v="113"/>
    <x v="307"/>
    <x v="119"/>
    <x v="88"/>
    <x v="685"/>
    <x v="316"/>
    <x v="4"/>
    <x v="200"/>
    <x v="1678"/>
    <x v="1588"/>
    <x v="2981"/>
    <x v="4234"/>
    <x v="4209"/>
    <x v="3616"/>
    <x v="7"/>
    <x v="4161"/>
    <x v="4237"/>
    <x v="388"/>
    <x v="0"/>
    <x v="0"/>
    <x v="1"/>
    <x v="4"/>
    <x v="4"/>
    <x v="756"/>
    <x v="11"/>
    <x v="8"/>
    <x v="103"/>
    <x v="0"/>
    <x v="4327"/>
  </r>
  <r>
    <x v="1"/>
    <x v="1937"/>
    <x v="362"/>
    <x v="80"/>
    <x v="0"/>
    <x v="325"/>
    <x v="0"/>
    <x v="3672"/>
    <x v="845"/>
    <x v="1679"/>
    <x v="2527"/>
    <x v="2982"/>
    <x v="4235"/>
    <x v="4210"/>
    <x v="3617"/>
    <x v="1"/>
    <x v="4162"/>
    <x v="4238"/>
    <x v="509"/>
    <x v="0"/>
    <x v="0"/>
    <x v="9"/>
    <x v="277"/>
    <x v="66"/>
    <x v="438"/>
    <x v="16"/>
    <x v="15"/>
    <x v="1"/>
    <x v="0"/>
    <x v="4328"/>
  </r>
  <r>
    <x v="0"/>
    <x v="1938"/>
    <x v="152"/>
    <x v="76"/>
    <x v="0"/>
    <x v="759"/>
    <x v="530"/>
    <x v="4"/>
    <x v="381"/>
    <x v="1680"/>
    <x v="1176"/>
    <x v="1610"/>
    <x v="4236"/>
    <x v="4211"/>
    <x v="3618"/>
    <x v="0"/>
    <x v="4163"/>
    <x v="4239"/>
    <x v="755"/>
    <x v="0"/>
    <x v="0"/>
    <x v="4"/>
    <x v="126"/>
    <x v="8"/>
    <x v="527"/>
    <x v="41"/>
    <x v="0"/>
    <x v="372"/>
    <x v="0"/>
    <x v="4329"/>
  </r>
  <r>
    <x v="0"/>
    <x v="1587"/>
    <x v="329"/>
    <x v="55"/>
    <x v="123"/>
    <x v="616"/>
    <x v="10"/>
    <x v="4"/>
    <x v="152"/>
    <x v="40"/>
    <x v="83"/>
    <x v="2983"/>
    <x v="4237"/>
    <x v="4212"/>
    <x v="3619"/>
    <x v="3"/>
    <x v="4164"/>
    <x v="4240"/>
    <x v="450"/>
    <x v="0"/>
    <x v="0"/>
    <x v="4"/>
    <x v="137"/>
    <x v="19"/>
    <x v="62"/>
    <x v="22"/>
    <x v="1"/>
    <x v="155"/>
    <x v="0"/>
    <x v="4330"/>
  </r>
  <r>
    <x v="2"/>
    <x v="1685"/>
    <x v="193"/>
    <x v="45"/>
    <x v="306"/>
    <x v="226"/>
    <x v="35"/>
    <x v="4"/>
    <x v="539"/>
    <x v="1251"/>
    <x v="1379"/>
    <x v="2984"/>
    <x v="4238"/>
    <x v="4213"/>
    <x v="3620"/>
    <x v="5"/>
    <x v="4165"/>
    <x v="4241"/>
    <x v="721"/>
    <x v="0"/>
    <x v="0"/>
    <x v="4"/>
    <x v="126"/>
    <x v="3"/>
    <x v="225"/>
    <x v="9"/>
    <x v="3"/>
    <x v="1"/>
    <x v="0"/>
    <x v="4331"/>
  </r>
  <r>
    <x v="0"/>
    <x v="1939"/>
    <x v="435"/>
    <x v="101"/>
    <x v="193"/>
    <x v="685"/>
    <x v="31"/>
    <x v="4"/>
    <x v="125"/>
    <x v="1681"/>
    <x v="2528"/>
    <x v="1387"/>
    <x v="4239"/>
    <x v="4214"/>
    <x v="3621"/>
    <x v="3"/>
    <x v="4166"/>
    <x v="4242"/>
    <x v="786"/>
    <x v="0"/>
    <x v="0"/>
    <x v="1"/>
    <x v="126"/>
    <x v="9"/>
    <x v="457"/>
    <x v="4"/>
    <x v="1"/>
    <x v="1"/>
    <x v="0"/>
    <x v="4332"/>
  </r>
  <r>
    <x v="1"/>
    <x v="1940"/>
    <x v="160"/>
    <x v="11"/>
    <x v="78"/>
    <x v="781"/>
    <x v="222"/>
    <x v="3673"/>
    <x v="846"/>
    <x v="1682"/>
    <x v="2262"/>
    <x v="2985"/>
    <x v="4240"/>
    <x v="4215"/>
    <x v="2926"/>
    <x v="4"/>
    <x v="4167"/>
    <x v="4243"/>
    <x v="786"/>
    <x v="0"/>
    <x v="0"/>
    <x v="9"/>
    <x v="126"/>
    <x v="3"/>
    <x v="564"/>
    <x v="20"/>
    <x v="1"/>
    <x v="617"/>
    <x v="0"/>
    <x v="4333"/>
  </r>
  <r>
    <x v="0"/>
    <x v="1941"/>
    <x v="438"/>
    <x v="86"/>
    <x v="184"/>
    <x v="109"/>
    <x v="395"/>
    <x v="3674"/>
    <x v="200"/>
    <x v="938"/>
    <x v="1753"/>
    <x v="2080"/>
    <x v="4241"/>
    <x v="4216"/>
    <x v="2199"/>
    <x v="1"/>
    <x v="4168"/>
    <x v="4244"/>
    <x v="790"/>
    <x v="0"/>
    <x v="0"/>
    <x v="4"/>
    <x v="4"/>
    <x v="9"/>
    <x v="381"/>
    <x v="23"/>
    <x v="2"/>
    <x v="764"/>
    <x v="0"/>
    <x v="4334"/>
  </r>
  <r>
    <x v="0"/>
    <x v="1942"/>
    <x v="428"/>
    <x v="110"/>
    <x v="216"/>
    <x v="636"/>
    <x v="17"/>
    <x v="4"/>
    <x v="364"/>
    <x v="18"/>
    <x v="2529"/>
    <x v="2986"/>
    <x v="4242"/>
    <x v="4217"/>
    <x v="3622"/>
    <x v="0"/>
    <x v="4169"/>
    <x v="4245"/>
    <x v="225"/>
    <x v="15"/>
    <x v="30"/>
    <x v="18"/>
    <x v="4"/>
    <x v="58"/>
    <x v="750"/>
    <x v="19"/>
    <x v="10"/>
    <x v="367"/>
    <x v="0"/>
    <x v="4335"/>
  </r>
  <r>
    <x v="0"/>
    <x v="1587"/>
    <x v="329"/>
    <x v="43"/>
    <x v="123"/>
    <x v="516"/>
    <x v="243"/>
    <x v="4"/>
    <x v="200"/>
    <x v="1683"/>
    <x v="830"/>
    <x v="2987"/>
    <x v="4243"/>
    <x v="4218"/>
    <x v="2029"/>
    <x v="3"/>
    <x v="4170"/>
    <x v="4246"/>
    <x v="822"/>
    <x v="0"/>
    <x v="0"/>
    <x v="4"/>
    <x v="126"/>
    <x v="9"/>
    <x v="421"/>
    <x v="20"/>
    <x v="2"/>
    <x v="1"/>
    <x v="0"/>
    <x v="4336"/>
  </r>
  <r>
    <x v="0"/>
    <x v="421"/>
    <x v="429"/>
    <x v="77"/>
    <x v="137"/>
    <x v="709"/>
    <x v="334"/>
    <x v="4"/>
    <x v="405"/>
    <x v="1684"/>
    <x v="2530"/>
    <x v="2988"/>
    <x v="4244"/>
    <x v="4219"/>
    <x v="2760"/>
    <x v="0"/>
    <x v="4171"/>
    <x v="4247"/>
    <x v="547"/>
    <x v="0"/>
    <x v="0"/>
    <x v="11"/>
    <x v="126"/>
    <x v="71"/>
    <x v="761"/>
    <x v="15"/>
    <x v="3"/>
    <x v="765"/>
    <x v="0"/>
    <x v="4337"/>
  </r>
  <r>
    <x v="0"/>
    <x v="942"/>
    <x v="434"/>
    <x v="58"/>
    <x v="325"/>
    <x v="599"/>
    <x v="474"/>
    <x v="4"/>
    <x v="4"/>
    <x v="1250"/>
    <x v="2531"/>
    <x v="2989"/>
    <x v="4245"/>
    <x v="4220"/>
    <x v="2898"/>
    <x v="0"/>
    <x v="4172"/>
    <x v="4248"/>
    <x v="83"/>
    <x v="0"/>
    <x v="0"/>
    <x v="1"/>
    <x v="126"/>
    <x v="1"/>
    <x v="85"/>
    <x v="43"/>
    <x v="2"/>
    <x v="520"/>
    <x v="0"/>
    <x v="4338"/>
  </r>
  <r>
    <x v="0"/>
    <x v="1943"/>
    <x v="412"/>
    <x v="26"/>
    <x v="412"/>
    <x v="144"/>
    <x v="14"/>
    <x v="4"/>
    <x v="847"/>
    <x v="859"/>
    <x v="2532"/>
    <x v="175"/>
    <x v="4246"/>
    <x v="4221"/>
    <x v="3623"/>
    <x v="1"/>
    <x v="4173"/>
    <x v="4249"/>
    <x v="792"/>
    <x v="0"/>
    <x v="0"/>
    <x v="0"/>
    <x v="126"/>
    <x v="10"/>
    <x v="30"/>
    <x v="46"/>
    <x v="2"/>
    <x v="766"/>
    <x v="0"/>
    <x v="4339"/>
  </r>
  <r>
    <x v="0"/>
    <x v="1944"/>
    <x v="430"/>
    <x v="76"/>
    <x v="85"/>
    <x v="87"/>
    <x v="109"/>
    <x v="4"/>
    <x v="476"/>
    <x v="1685"/>
    <x v="2533"/>
    <x v="2990"/>
    <x v="4247"/>
    <x v="4222"/>
    <x v="3624"/>
    <x v="0"/>
    <x v="4174"/>
    <x v="4250"/>
    <x v="719"/>
    <x v="0"/>
    <x v="0"/>
    <x v="4"/>
    <x v="345"/>
    <x v="2"/>
    <x v="65"/>
    <x v="53"/>
    <x v="2"/>
    <x v="1"/>
    <x v="0"/>
    <x v="4340"/>
  </r>
  <r>
    <x v="0"/>
    <x v="1945"/>
    <x v="424"/>
    <x v="71"/>
    <x v="413"/>
    <x v="200"/>
    <x v="35"/>
    <x v="4"/>
    <x v="416"/>
    <x v="611"/>
    <x v="1158"/>
    <x v="253"/>
    <x v="4248"/>
    <x v="3123"/>
    <x v="3625"/>
    <x v="1"/>
    <x v="4"/>
    <x v="4251"/>
    <x v="636"/>
    <x v="0"/>
    <x v="0"/>
    <x v="1"/>
    <x v="126"/>
    <x v="2"/>
    <x v="379"/>
    <x v="33"/>
    <x v="2"/>
    <x v="1"/>
    <x v="0"/>
    <x v="4341"/>
  </r>
  <r>
    <x v="0"/>
    <x v="1946"/>
    <x v="465"/>
    <x v="80"/>
    <x v="221"/>
    <x v="340"/>
    <x v="2"/>
    <x v="4"/>
    <x v="582"/>
    <x v="1686"/>
    <x v="2534"/>
    <x v="2991"/>
    <x v="4249"/>
    <x v="4223"/>
    <x v="3626"/>
    <x v="0"/>
    <x v="4175"/>
    <x v="4252"/>
    <x v="789"/>
    <x v="0"/>
    <x v="0"/>
    <x v="9"/>
    <x v="126"/>
    <x v="2"/>
    <x v="30"/>
    <x v="53"/>
    <x v="2"/>
    <x v="767"/>
    <x v="0"/>
    <x v="4342"/>
  </r>
  <r>
    <x v="1"/>
    <x v="1947"/>
    <x v="399"/>
    <x v="77"/>
    <x v="52"/>
    <x v="606"/>
    <x v="11"/>
    <x v="3675"/>
    <x v="152"/>
    <x v="63"/>
    <x v="783"/>
    <x v="1006"/>
    <x v="4250"/>
    <x v="4224"/>
    <x v="3627"/>
    <x v="4"/>
    <x v="4176"/>
    <x v="4253"/>
    <x v="718"/>
    <x v="0"/>
    <x v="0"/>
    <x v="4"/>
    <x v="325"/>
    <x v="43"/>
    <x v="30"/>
    <x v="1"/>
    <x v="3"/>
    <x v="1"/>
    <x v="0"/>
    <x v="4343"/>
  </r>
  <r>
    <x v="0"/>
    <x v="1200"/>
    <x v="370"/>
    <x v="33"/>
    <x v="62"/>
    <x v="548"/>
    <x v="143"/>
    <x v="3676"/>
    <x v="370"/>
    <x v="265"/>
    <x v="2535"/>
    <x v="856"/>
    <x v="4251"/>
    <x v="4225"/>
    <x v="2367"/>
    <x v="0"/>
    <x v="4177"/>
    <x v="4254"/>
    <x v="138"/>
    <x v="0"/>
    <x v="0"/>
    <x v="0"/>
    <x v="325"/>
    <x v="17"/>
    <x v="314"/>
    <x v="21"/>
    <x v="1"/>
    <x v="768"/>
    <x v="0"/>
    <x v="4344"/>
  </r>
  <r>
    <x v="0"/>
    <x v="1573"/>
    <x v="430"/>
    <x v="78"/>
    <x v="38"/>
    <x v="717"/>
    <x v="259"/>
    <x v="4"/>
    <x v="3"/>
    <x v="1687"/>
    <x v="2536"/>
    <x v="2992"/>
    <x v="4252"/>
    <x v="4226"/>
    <x v="3628"/>
    <x v="4"/>
    <x v="4178"/>
    <x v="4255"/>
    <x v="83"/>
    <x v="0"/>
    <x v="0"/>
    <x v="4"/>
    <x v="346"/>
    <x v="2"/>
    <x v="300"/>
    <x v="31"/>
    <x v="0"/>
    <x v="656"/>
    <x v="0"/>
    <x v="4345"/>
  </r>
  <r>
    <x v="0"/>
    <x v="1017"/>
    <x v="511"/>
    <x v="54"/>
    <x v="262"/>
    <x v="399"/>
    <x v="17"/>
    <x v="3677"/>
    <x v="150"/>
    <x v="32"/>
    <x v="486"/>
    <x v="2993"/>
    <x v="4253"/>
    <x v="4227"/>
    <x v="3629"/>
    <x v="0"/>
    <x v="4179"/>
    <x v="4256"/>
    <x v="183"/>
    <x v="0"/>
    <x v="13"/>
    <x v="4"/>
    <x v="119"/>
    <x v="5"/>
    <x v="316"/>
    <x v="15"/>
    <x v="1"/>
    <x v="4"/>
    <x v="0"/>
    <x v="4346"/>
  </r>
  <r>
    <x v="0"/>
    <x v="1948"/>
    <x v="376"/>
    <x v="55"/>
    <x v="0"/>
    <x v="486"/>
    <x v="68"/>
    <x v="3678"/>
    <x v="105"/>
    <x v="928"/>
    <x v="2134"/>
    <x v="723"/>
    <x v="4254"/>
    <x v="4228"/>
    <x v="3630"/>
    <x v="1"/>
    <x v="4180"/>
    <x v="4257"/>
    <x v="360"/>
    <x v="0"/>
    <x v="1"/>
    <x v="4"/>
    <x v="4"/>
    <x v="5"/>
    <x v="352"/>
    <x v="11"/>
    <x v="3"/>
    <x v="16"/>
    <x v="0"/>
    <x v="4347"/>
  </r>
  <r>
    <x v="0"/>
    <x v="1949"/>
    <x v="373"/>
    <x v="26"/>
    <x v="117"/>
    <x v="531"/>
    <x v="776"/>
    <x v="4"/>
    <x v="848"/>
    <x v="1688"/>
    <x v="2537"/>
    <x v="2994"/>
    <x v="4255"/>
    <x v="4229"/>
    <x v="3631"/>
    <x v="0"/>
    <x v="4"/>
    <x v="4258"/>
    <x v="427"/>
    <x v="32"/>
    <x v="55"/>
    <x v="9"/>
    <x v="41"/>
    <x v="9"/>
    <x v="689"/>
    <x v="14"/>
    <x v="3"/>
    <x v="1"/>
    <x v="0"/>
    <x v="4348"/>
  </r>
  <r>
    <x v="0"/>
    <x v="1950"/>
    <x v="369"/>
    <x v="54"/>
    <x v="0"/>
    <x v="717"/>
    <x v="458"/>
    <x v="3679"/>
    <x v="270"/>
    <x v="1689"/>
    <x v="2538"/>
    <x v="2995"/>
    <x v="4256"/>
    <x v="4230"/>
    <x v="1429"/>
    <x v="7"/>
    <x v="4181"/>
    <x v="4259"/>
    <x v="83"/>
    <x v="3"/>
    <x v="10"/>
    <x v="10"/>
    <x v="123"/>
    <x v="7"/>
    <x v="842"/>
    <x v="27"/>
    <x v="3"/>
    <x v="383"/>
    <x v="0"/>
    <x v="4349"/>
  </r>
  <r>
    <x v="0"/>
    <x v="709"/>
    <x v="190"/>
    <x v="7"/>
    <x v="225"/>
    <x v="492"/>
    <x v="30"/>
    <x v="1579"/>
    <x v="362"/>
    <x v="53"/>
    <x v="26"/>
    <x v="1200"/>
    <x v="1646"/>
    <x v="4231"/>
    <x v="1588"/>
    <x v="1"/>
    <x v="1635"/>
    <x v="1646"/>
    <x v="706"/>
    <x v="0"/>
    <x v="0"/>
    <x v="4"/>
    <x v="116"/>
    <x v="9"/>
    <x v="12"/>
    <x v="18"/>
    <x v="1"/>
    <x v="36"/>
    <x v="0"/>
    <x v="4350"/>
  </r>
  <r>
    <x v="0"/>
    <x v="1951"/>
    <x v="464"/>
    <x v="130"/>
    <x v="153"/>
    <x v="304"/>
    <x v="585"/>
    <x v="3680"/>
    <x v="787"/>
    <x v="1690"/>
    <x v="2539"/>
    <x v="2996"/>
    <x v="4257"/>
    <x v="2704"/>
    <x v="3632"/>
    <x v="3"/>
    <x v="4"/>
    <x v="4260"/>
    <x v="785"/>
    <x v="8"/>
    <x v="16"/>
    <x v="9"/>
    <x v="4"/>
    <x v="9"/>
    <x v="696"/>
    <x v="21"/>
    <x v="2"/>
    <x v="103"/>
    <x v="0"/>
    <x v="4351"/>
  </r>
  <r>
    <x v="0"/>
    <x v="548"/>
    <x v="127"/>
    <x v="59"/>
    <x v="0"/>
    <x v="354"/>
    <x v="1"/>
    <x v="1355"/>
    <x v="429"/>
    <x v="1"/>
    <x v="959"/>
    <x v="1107"/>
    <x v="1407"/>
    <x v="4232"/>
    <x v="1366"/>
    <x v="1"/>
    <x v="1397"/>
    <x v="1407"/>
    <x v="740"/>
    <x v="0"/>
    <x v="0"/>
    <x v="14"/>
    <x v="164"/>
    <x v="31"/>
    <x v="82"/>
    <x v="7"/>
    <x v="3"/>
    <x v="7"/>
    <x v="0"/>
    <x v="4352"/>
  </r>
  <r>
    <x v="0"/>
    <x v="1093"/>
    <x v="123"/>
    <x v="78"/>
    <x v="299"/>
    <x v="298"/>
    <x v="777"/>
    <x v="3681"/>
    <x v="849"/>
    <x v="1691"/>
    <x v="2540"/>
    <x v="2997"/>
    <x v="4258"/>
    <x v="4233"/>
    <x v="3633"/>
    <x v="0"/>
    <x v="4182"/>
    <x v="4261"/>
    <x v="227"/>
    <x v="0"/>
    <x v="1"/>
    <x v="0"/>
    <x v="138"/>
    <x v="8"/>
    <x v="327"/>
    <x v="6"/>
    <x v="3"/>
    <x v="1"/>
    <x v="0"/>
    <x v="4353"/>
  </r>
  <r>
    <x v="0"/>
    <x v="1952"/>
    <x v="4"/>
    <x v="107"/>
    <x v="0"/>
    <x v="708"/>
    <x v="758"/>
    <x v="4"/>
    <x v="270"/>
    <x v="1692"/>
    <x v="2541"/>
    <x v="2998"/>
    <x v="4259"/>
    <x v="4234"/>
    <x v="3634"/>
    <x v="7"/>
    <x v="4183"/>
    <x v="4262"/>
    <x v="843"/>
    <x v="0"/>
    <x v="3"/>
    <x v="1"/>
    <x v="4"/>
    <x v="2"/>
    <x v="383"/>
    <x v="22"/>
    <x v="2"/>
    <x v="662"/>
    <x v="0"/>
    <x v="4354"/>
  </r>
  <r>
    <x v="0"/>
    <x v="1953"/>
    <x v="81"/>
    <x v="71"/>
    <x v="44"/>
    <x v="243"/>
    <x v="306"/>
    <x v="3682"/>
    <x v="270"/>
    <x v="1693"/>
    <x v="2542"/>
    <x v="797"/>
    <x v="4260"/>
    <x v="4235"/>
    <x v="3635"/>
    <x v="5"/>
    <x v="4184"/>
    <x v="4263"/>
    <x v="786"/>
    <x v="0"/>
    <x v="0"/>
    <x v="4"/>
    <x v="325"/>
    <x v="2"/>
    <x v="874"/>
    <x v="13"/>
    <x v="3"/>
    <x v="103"/>
    <x v="0"/>
    <x v="4355"/>
  </r>
  <r>
    <x v="0"/>
    <x v="1954"/>
    <x v="525"/>
    <x v="101"/>
    <x v="89"/>
    <x v="448"/>
    <x v="311"/>
    <x v="3683"/>
    <x v="327"/>
    <x v="1694"/>
    <x v="2543"/>
    <x v="2999"/>
    <x v="4261"/>
    <x v="4236"/>
    <x v="3636"/>
    <x v="0"/>
    <x v="4185"/>
    <x v="4264"/>
    <x v="776"/>
    <x v="0"/>
    <x v="10"/>
    <x v="0"/>
    <x v="164"/>
    <x v="5"/>
    <x v="99"/>
    <x v="23"/>
    <x v="3"/>
    <x v="1"/>
    <x v="0"/>
    <x v="4356"/>
  </r>
  <r>
    <x v="0"/>
    <x v="546"/>
    <x v="317"/>
    <x v="42"/>
    <x v="75"/>
    <x v="319"/>
    <x v="0"/>
    <x v="3684"/>
    <x v="316"/>
    <x v="936"/>
    <x v="610"/>
    <x v="1564"/>
    <x v="4262"/>
    <x v="4237"/>
    <x v="2242"/>
    <x v="1"/>
    <x v="4186"/>
    <x v="4265"/>
    <x v="678"/>
    <x v="0"/>
    <x v="1"/>
    <x v="4"/>
    <x v="4"/>
    <x v="0"/>
    <x v="86"/>
    <x v="13"/>
    <x v="1"/>
    <x v="7"/>
    <x v="0"/>
    <x v="4357"/>
  </r>
  <r>
    <x v="1"/>
    <x v="1901"/>
    <x v="160"/>
    <x v="31"/>
    <x v="410"/>
    <x v="571"/>
    <x v="14"/>
    <x v="4"/>
    <x v="270"/>
    <x v="373"/>
    <x v="1555"/>
    <x v="3000"/>
    <x v="4263"/>
    <x v="4238"/>
    <x v="3637"/>
    <x v="0"/>
    <x v="4187"/>
    <x v="4266"/>
    <x v="551"/>
    <x v="0"/>
    <x v="0"/>
    <x v="2"/>
    <x v="164"/>
    <x v="59"/>
    <x v="384"/>
    <x v="25"/>
    <x v="15"/>
    <x v="9"/>
    <x v="0"/>
    <x v="4358"/>
  </r>
  <r>
    <x v="1"/>
    <x v="328"/>
    <x v="203"/>
    <x v="54"/>
    <x v="0"/>
    <x v="515"/>
    <x v="500"/>
    <x v="4"/>
    <x v="125"/>
    <x v="1120"/>
    <x v="2299"/>
    <x v="3001"/>
    <x v="4264"/>
    <x v="4239"/>
    <x v="2934"/>
    <x v="0"/>
    <x v="4188"/>
    <x v="4267"/>
    <x v="941"/>
    <x v="0"/>
    <x v="0"/>
    <x v="2"/>
    <x v="164"/>
    <x v="53"/>
    <x v="435"/>
    <x v="3"/>
    <x v="10"/>
    <x v="45"/>
    <x v="0"/>
    <x v="4359"/>
  </r>
  <r>
    <x v="0"/>
    <x v="1955"/>
    <x v="69"/>
    <x v="34"/>
    <x v="69"/>
    <x v="305"/>
    <x v="446"/>
    <x v="3685"/>
    <x v="17"/>
    <x v="1695"/>
    <x v="2544"/>
    <x v="3002"/>
    <x v="4265"/>
    <x v="4240"/>
    <x v="3179"/>
    <x v="0"/>
    <x v="4189"/>
    <x v="4268"/>
    <x v="472"/>
    <x v="6"/>
    <x v="12"/>
    <x v="4"/>
    <x v="164"/>
    <x v="19"/>
    <x v="524"/>
    <x v="2"/>
    <x v="3"/>
    <x v="769"/>
    <x v="0"/>
    <x v="4360"/>
  </r>
  <r>
    <x v="0"/>
    <x v="1956"/>
    <x v="526"/>
    <x v="41"/>
    <x v="10"/>
    <x v="125"/>
    <x v="35"/>
    <x v="3686"/>
    <x v="370"/>
    <x v="306"/>
    <x v="2545"/>
    <x v="3003"/>
    <x v="4266"/>
    <x v="4241"/>
    <x v="3419"/>
    <x v="0"/>
    <x v="4190"/>
    <x v="4269"/>
    <x v="286"/>
    <x v="0"/>
    <x v="0"/>
    <x v="0"/>
    <x v="164"/>
    <x v="3"/>
    <x v="889"/>
    <x v="11"/>
    <x v="3"/>
    <x v="77"/>
    <x v="0"/>
    <x v="4361"/>
  </r>
  <r>
    <x v="0"/>
    <x v="1957"/>
    <x v="219"/>
    <x v="45"/>
    <x v="156"/>
    <x v="455"/>
    <x v="544"/>
    <x v="4"/>
    <x v="46"/>
    <x v="1538"/>
    <x v="2546"/>
    <x v="3004"/>
    <x v="4267"/>
    <x v="4242"/>
    <x v="2497"/>
    <x v="2"/>
    <x v="4191"/>
    <x v="4270"/>
    <x v="552"/>
    <x v="0"/>
    <x v="0"/>
    <x v="3"/>
    <x v="164"/>
    <x v="44"/>
    <x v="856"/>
    <x v="34"/>
    <x v="1"/>
    <x v="770"/>
    <x v="0"/>
    <x v="4362"/>
  </r>
  <r>
    <x v="0"/>
    <x v="1958"/>
    <x v="347"/>
    <x v="56"/>
    <x v="134"/>
    <x v="457"/>
    <x v="521"/>
    <x v="3687"/>
    <x v="419"/>
    <x v="983"/>
    <x v="2547"/>
    <x v="1990"/>
    <x v="4268"/>
    <x v="4243"/>
    <x v="3638"/>
    <x v="1"/>
    <x v="4192"/>
    <x v="4271"/>
    <x v="365"/>
    <x v="0"/>
    <x v="0"/>
    <x v="0"/>
    <x v="164"/>
    <x v="21"/>
    <x v="321"/>
    <x v="11"/>
    <x v="3"/>
    <x v="1"/>
    <x v="0"/>
    <x v="4363"/>
  </r>
  <r>
    <x v="0"/>
    <x v="1959"/>
    <x v="373"/>
    <x v="56"/>
    <x v="0"/>
    <x v="480"/>
    <x v="336"/>
    <x v="3688"/>
    <x v="270"/>
    <x v="1696"/>
    <x v="2548"/>
    <x v="705"/>
    <x v="4269"/>
    <x v="3011"/>
    <x v="413"/>
    <x v="0"/>
    <x v="4193"/>
    <x v="4272"/>
    <x v="705"/>
    <x v="0"/>
    <x v="0"/>
    <x v="4"/>
    <x v="4"/>
    <x v="10"/>
    <x v="723"/>
    <x v="22"/>
    <x v="3"/>
    <x v="573"/>
    <x v="0"/>
    <x v="4364"/>
  </r>
  <r>
    <x v="0"/>
    <x v="1960"/>
    <x v="320"/>
    <x v="125"/>
    <x v="0"/>
    <x v="568"/>
    <x v="467"/>
    <x v="4"/>
    <x v="127"/>
    <x v="1697"/>
    <x v="2549"/>
    <x v="3005"/>
    <x v="4270"/>
    <x v="4244"/>
    <x v="3639"/>
    <x v="4"/>
    <x v="4"/>
    <x v="4273"/>
    <x v="843"/>
    <x v="38"/>
    <x v="16"/>
    <x v="1"/>
    <x v="16"/>
    <x v="2"/>
    <x v="838"/>
    <x v="37"/>
    <x v="2"/>
    <x v="771"/>
    <x v="0"/>
    <x v="4365"/>
  </r>
  <r>
    <x v="0"/>
    <x v="1323"/>
    <x v="335"/>
    <x v="78"/>
    <x v="36"/>
    <x v="27"/>
    <x v="17"/>
    <x v="3689"/>
    <x v="771"/>
    <x v="397"/>
    <x v="2550"/>
    <x v="3006"/>
    <x v="4271"/>
    <x v="4245"/>
    <x v="3640"/>
    <x v="1"/>
    <x v="4194"/>
    <x v="4274"/>
    <x v="727"/>
    <x v="0"/>
    <x v="0"/>
    <x v="0"/>
    <x v="41"/>
    <x v="10"/>
    <x v="20"/>
    <x v="4"/>
    <x v="2"/>
    <x v="1"/>
    <x v="0"/>
    <x v="4366"/>
  </r>
  <r>
    <x v="1"/>
    <x v="1961"/>
    <x v="457"/>
    <x v="41"/>
    <x v="0"/>
    <x v="548"/>
    <x v="25"/>
    <x v="4"/>
    <x v="476"/>
    <x v="26"/>
    <x v="2218"/>
    <x v="856"/>
    <x v="4272"/>
    <x v="4246"/>
    <x v="3641"/>
    <x v="0"/>
    <x v="4195"/>
    <x v="4275"/>
    <x v="789"/>
    <x v="0"/>
    <x v="0"/>
    <x v="0"/>
    <x v="164"/>
    <x v="27"/>
    <x v="319"/>
    <x v="9"/>
    <x v="0"/>
    <x v="136"/>
    <x v="0"/>
    <x v="4367"/>
  </r>
  <r>
    <x v="0"/>
    <x v="1962"/>
    <x v="402"/>
    <x v="26"/>
    <x v="52"/>
    <x v="298"/>
    <x v="471"/>
    <x v="3690"/>
    <x v="457"/>
    <x v="1698"/>
    <x v="2551"/>
    <x v="3007"/>
    <x v="4273"/>
    <x v="4247"/>
    <x v="2095"/>
    <x v="0"/>
    <x v="4196"/>
    <x v="4276"/>
    <x v="510"/>
    <x v="39"/>
    <x v="5"/>
    <x v="1"/>
    <x v="164"/>
    <x v="17"/>
    <x v="253"/>
    <x v="7"/>
    <x v="3"/>
    <x v="223"/>
    <x v="0"/>
    <x v="4368"/>
  </r>
  <r>
    <x v="0"/>
    <x v="1787"/>
    <x v="396"/>
    <x v="37"/>
    <x v="118"/>
    <x v="641"/>
    <x v="17"/>
    <x v="4"/>
    <x v="713"/>
    <x v="303"/>
    <x v="1327"/>
    <x v="3008"/>
    <x v="4274"/>
    <x v="4248"/>
    <x v="3642"/>
    <x v="3"/>
    <x v="4197"/>
    <x v="4277"/>
    <x v="558"/>
    <x v="0"/>
    <x v="0"/>
    <x v="18"/>
    <x v="164"/>
    <x v="38"/>
    <x v="431"/>
    <x v="15"/>
    <x v="3"/>
    <x v="1"/>
    <x v="0"/>
    <x v="4369"/>
  </r>
  <r>
    <x v="1"/>
    <x v="1750"/>
    <x v="434"/>
    <x v="101"/>
    <x v="241"/>
    <x v="571"/>
    <x v="35"/>
    <x v="4"/>
    <x v="850"/>
    <x v="1699"/>
    <x v="2552"/>
    <x v="3000"/>
    <x v="4275"/>
    <x v="4249"/>
    <x v="3643"/>
    <x v="0"/>
    <x v="4198"/>
    <x v="4278"/>
    <x v="510"/>
    <x v="0"/>
    <x v="0"/>
    <x v="1"/>
    <x v="4"/>
    <x v="69"/>
    <x v="360"/>
    <x v="13"/>
    <x v="15"/>
    <x v="772"/>
    <x v="0"/>
    <x v="4370"/>
  </r>
  <r>
    <x v="0"/>
    <x v="1963"/>
    <x v="302"/>
    <x v="18"/>
    <x v="5"/>
    <x v="580"/>
    <x v="778"/>
    <x v="4"/>
    <x v="381"/>
    <x v="1700"/>
    <x v="354"/>
    <x v="2029"/>
    <x v="4276"/>
    <x v="4250"/>
    <x v="3644"/>
    <x v="0"/>
    <x v="4199"/>
    <x v="4279"/>
    <x v="575"/>
    <x v="0"/>
    <x v="0"/>
    <x v="4"/>
    <x v="164"/>
    <x v="1"/>
    <x v="237"/>
    <x v="43"/>
    <x v="1"/>
    <x v="557"/>
    <x v="0"/>
    <x v="4371"/>
  </r>
  <r>
    <x v="0"/>
    <x v="1964"/>
    <x v="4"/>
    <x v="101"/>
    <x v="134"/>
    <x v="143"/>
    <x v="554"/>
    <x v="4"/>
    <x v="662"/>
    <x v="1701"/>
    <x v="2553"/>
    <x v="3009"/>
    <x v="4277"/>
    <x v="4251"/>
    <x v="3645"/>
    <x v="0"/>
    <x v="4"/>
    <x v="4280"/>
    <x v="4"/>
    <x v="0"/>
    <x v="0"/>
    <x v="1"/>
    <x v="4"/>
    <x v="6"/>
    <x v="409"/>
    <x v="50"/>
    <x v="2"/>
    <x v="773"/>
    <x v="0"/>
    <x v="4372"/>
  </r>
  <r>
    <x v="0"/>
    <x v="1965"/>
    <x v="81"/>
    <x v="78"/>
    <x v="198"/>
    <x v="119"/>
    <x v="176"/>
    <x v="4"/>
    <x v="46"/>
    <x v="1577"/>
    <x v="2554"/>
    <x v="3010"/>
    <x v="4278"/>
    <x v="4004"/>
    <x v="3646"/>
    <x v="0"/>
    <x v="4200"/>
    <x v="4281"/>
    <x v="818"/>
    <x v="0"/>
    <x v="4"/>
    <x v="0"/>
    <x v="164"/>
    <x v="9"/>
    <x v="450"/>
    <x v="53"/>
    <x v="2"/>
    <x v="475"/>
    <x v="0"/>
    <x v="4373"/>
  </r>
  <r>
    <x v="0"/>
    <x v="1966"/>
    <x v="169"/>
    <x v="70"/>
    <x v="122"/>
    <x v="612"/>
    <x v="662"/>
    <x v="4"/>
    <x v="200"/>
    <x v="1702"/>
    <x v="1239"/>
    <x v="1363"/>
    <x v="4279"/>
    <x v="4252"/>
    <x v="3647"/>
    <x v="18"/>
    <x v="4201"/>
    <x v="4282"/>
    <x v="824"/>
    <x v="0"/>
    <x v="0"/>
    <x v="9"/>
    <x v="164"/>
    <x v="3"/>
    <x v="155"/>
    <x v="28"/>
    <x v="3"/>
    <x v="774"/>
    <x v="0"/>
    <x v="4374"/>
  </r>
  <r>
    <x v="1"/>
    <x v="178"/>
    <x v="198"/>
    <x v="113"/>
    <x v="128"/>
    <x v="485"/>
    <x v="494"/>
    <x v="3691"/>
    <x v="152"/>
    <x v="912"/>
    <x v="2555"/>
    <x v="3011"/>
    <x v="4280"/>
    <x v="4253"/>
    <x v="3648"/>
    <x v="1"/>
    <x v="4202"/>
    <x v="4283"/>
    <x v="942"/>
    <x v="15"/>
    <x v="8"/>
    <x v="4"/>
    <x v="209"/>
    <x v="20"/>
    <x v="705"/>
    <x v="6"/>
    <x v="3"/>
    <x v="1"/>
    <x v="0"/>
    <x v="4375"/>
  </r>
  <r>
    <x v="0"/>
    <x v="1967"/>
    <x v="277"/>
    <x v="41"/>
    <x v="158"/>
    <x v="338"/>
    <x v="779"/>
    <x v="3692"/>
    <x v="630"/>
    <x v="1703"/>
    <x v="2556"/>
    <x v="1692"/>
    <x v="4281"/>
    <x v="4254"/>
    <x v="3649"/>
    <x v="1"/>
    <x v="4203"/>
    <x v="4284"/>
    <x v="230"/>
    <x v="0"/>
    <x v="0"/>
    <x v="4"/>
    <x v="149"/>
    <x v="19"/>
    <x v="460"/>
    <x v="10"/>
    <x v="3"/>
    <x v="1"/>
    <x v="0"/>
    <x v="4376"/>
  </r>
  <r>
    <x v="0"/>
    <x v="1968"/>
    <x v="492"/>
    <x v="78"/>
    <x v="5"/>
    <x v="209"/>
    <x v="325"/>
    <x v="4"/>
    <x v="547"/>
    <x v="580"/>
    <x v="2557"/>
    <x v="3012"/>
    <x v="4282"/>
    <x v="4255"/>
    <x v="2557"/>
    <x v="3"/>
    <x v="4204"/>
    <x v="4285"/>
    <x v="561"/>
    <x v="0"/>
    <x v="4"/>
    <x v="2"/>
    <x v="126"/>
    <x v="9"/>
    <x v="277"/>
    <x v="55"/>
    <x v="2"/>
    <x v="775"/>
    <x v="0"/>
    <x v="4377"/>
  </r>
  <r>
    <x v="0"/>
    <x v="1969"/>
    <x v="93"/>
    <x v="52"/>
    <x v="0"/>
    <x v="660"/>
    <x v="780"/>
    <x v="4"/>
    <x v="429"/>
    <x v="1704"/>
    <x v="2558"/>
    <x v="3013"/>
    <x v="4283"/>
    <x v="4256"/>
    <x v="3650"/>
    <x v="0"/>
    <x v="4205"/>
    <x v="4286"/>
    <x v="326"/>
    <x v="0"/>
    <x v="0"/>
    <x v="0"/>
    <x v="347"/>
    <x v="9"/>
    <x v="171"/>
    <x v="22"/>
    <x v="3"/>
    <x v="776"/>
    <x v="0"/>
    <x v="4378"/>
  </r>
  <r>
    <x v="0"/>
    <x v="831"/>
    <x v="346"/>
    <x v="11"/>
    <x v="151"/>
    <x v="414"/>
    <x v="398"/>
    <x v="3693"/>
    <x v="457"/>
    <x v="721"/>
    <x v="2559"/>
    <x v="3014"/>
    <x v="4284"/>
    <x v="4257"/>
    <x v="2829"/>
    <x v="1"/>
    <x v="4206"/>
    <x v="4287"/>
    <x v="695"/>
    <x v="6"/>
    <x v="12"/>
    <x v="0"/>
    <x v="4"/>
    <x v="1"/>
    <x v="360"/>
    <x v="38"/>
    <x v="3"/>
    <x v="1"/>
    <x v="0"/>
    <x v="4379"/>
  </r>
  <r>
    <x v="0"/>
    <x v="1957"/>
    <x v="227"/>
    <x v="76"/>
    <x v="156"/>
    <x v="305"/>
    <x v="544"/>
    <x v="4"/>
    <x v="46"/>
    <x v="1538"/>
    <x v="2560"/>
    <x v="3015"/>
    <x v="4285"/>
    <x v="4258"/>
    <x v="3651"/>
    <x v="0"/>
    <x v="4207"/>
    <x v="4288"/>
    <x v="581"/>
    <x v="0"/>
    <x v="0"/>
    <x v="2"/>
    <x v="348"/>
    <x v="36"/>
    <x v="890"/>
    <x v="9"/>
    <x v="1"/>
    <x v="777"/>
    <x v="0"/>
    <x v="4380"/>
  </r>
  <r>
    <x v="0"/>
    <x v="1179"/>
    <x v="200"/>
    <x v="67"/>
    <x v="222"/>
    <x v="773"/>
    <x v="0"/>
    <x v="3694"/>
    <x v="152"/>
    <x v="384"/>
    <x v="983"/>
    <x v="3016"/>
    <x v="4286"/>
    <x v="4259"/>
    <x v="3652"/>
    <x v="1"/>
    <x v="4208"/>
    <x v="4289"/>
    <x v="770"/>
    <x v="0"/>
    <x v="0"/>
    <x v="4"/>
    <x v="348"/>
    <x v="18"/>
    <x v="484"/>
    <x v="7"/>
    <x v="1"/>
    <x v="120"/>
    <x v="0"/>
    <x v="4381"/>
  </r>
  <r>
    <x v="0"/>
    <x v="1970"/>
    <x v="117"/>
    <x v="72"/>
    <x v="306"/>
    <x v="646"/>
    <x v="338"/>
    <x v="3695"/>
    <x v="381"/>
    <x v="1705"/>
    <x v="985"/>
    <x v="3017"/>
    <x v="4287"/>
    <x v="4260"/>
    <x v="3653"/>
    <x v="0"/>
    <x v="4209"/>
    <x v="4290"/>
    <x v="120"/>
    <x v="0"/>
    <x v="0"/>
    <x v="4"/>
    <x v="126"/>
    <x v="5"/>
    <x v="546"/>
    <x v="22"/>
    <x v="1"/>
    <x v="16"/>
    <x v="0"/>
    <x v="4382"/>
  </r>
  <r>
    <x v="0"/>
    <x v="1971"/>
    <x v="379"/>
    <x v="42"/>
    <x v="221"/>
    <x v="329"/>
    <x v="155"/>
    <x v="3696"/>
    <x v="314"/>
    <x v="1706"/>
    <x v="2561"/>
    <x v="443"/>
    <x v="4288"/>
    <x v="4261"/>
    <x v="3654"/>
    <x v="3"/>
    <x v="4210"/>
    <x v="4291"/>
    <x v="138"/>
    <x v="0"/>
    <x v="0"/>
    <x v="0"/>
    <x v="348"/>
    <x v="15"/>
    <x v="614"/>
    <x v="22"/>
    <x v="3"/>
    <x v="114"/>
    <x v="0"/>
    <x v="4383"/>
  </r>
  <r>
    <x v="0"/>
    <x v="1843"/>
    <x v="310"/>
    <x v="107"/>
    <x v="50"/>
    <x v="485"/>
    <x v="109"/>
    <x v="3697"/>
    <x v="17"/>
    <x v="205"/>
    <x v="2562"/>
    <x v="3018"/>
    <x v="4289"/>
    <x v="4262"/>
    <x v="3655"/>
    <x v="0"/>
    <x v="4211"/>
    <x v="4292"/>
    <x v="575"/>
    <x v="0"/>
    <x v="1"/>
    <x v="4"/>
    <x v="348"/>
    <x v="14"/>
    <x v="514"/>
    <x v="2"/>
    <x v="3"/>
    <x v="778"/>
    <x v="0"/>
    <x v="4384"/>
  </r>
  <r>
    <x v="0"/>
    <x v="1972"/>
    <x v="423"/>
    <x v="27"/>
    <x v="73"/>
    <x v="413"/>
    <x v="354"/>
    <x v="3698"/>
    <x v="17"/>
    <x v="1707"/>
    <x v="2563"/>
    <x v="1539"/>
    <x v="4290"/>
    <x v="4263"/>
    <x v="2948"/>
    <x v="4"/>
    <x v="4212"/>
    <x v="4293"/>
    <x v="402"/>
    <x v="8"/>
    <x v="16"/>
    <x v="2"/>
    <x v="138"/>
    <x v="9"/>
    <x v="326"/>
    <x v="6"/>
    <x v="1"/>
    <x v="37"/>
    <x v="0"/>
    <x v="4385"/>
  </r>
  <r>
    <x v="0"/>
    <x v="1973"/>
    <x v="352"/>
    <x v="7"/>
    <x v="146"/>
    <x v="495"/>
    <x v="110"/>
    <x v="3699"/>
    <x v="17"/>
    <x v="206"/>
    <x v="306"/>
    <x v="3019"/>
    <x v="4291"/>
    <x v="4264"/>
    <x v="3656"/>
    <x v="0"/>
    <x v="4213"/>
    <x v="4294"/>
    <x v="823"/>
    <x v="0"/>
    <x v="1"/>
    <x v="4"/>
    <x v="138"/>
    <x v="14"/>
    <x v="207"/>
    <x v="8"/>
    <x v="3"/>
    <x v="533"/>
    <x v="0"/>
    <x v="4386"/>
  </r>
  <r>
    <x v="1"/>
    <x v="1784"/>
    <x v="359"/>
    <x v="51"/>
    <x v="402"/>
    <x v="583"/>
    <x v="744"/>
    <x v="4"/>
    <x v="105"/>
    <x v="1708"/>
    <x v="2564"/>
    <x v="2908"/>
    <x v="4292"/>
    <x v="4265"/>
    <x v="3486"/>
    <x v="10"/>
    <x v="4214"/>
    <x v="4295"/>
    <x v="431"/>
    <x v="0"/>
    <x v="0"/>
    <x v="11"/>
    <x v="349"/>
    <x v="79"/>
    <x v="873"/>
    <x v="25"/>
    <x v="15"/>
    <x v="1"/>
    <x v="0"/>
    <x v="4387"/>
  </r>
  <r>
    <x v="1"/>
    <x v="1568"/>
    <x v="217"/>
    <x v="34"/>
    <x v="101"/>
    <x v="641"/>
    <x v="710"/>
    <x v="4"/>
    <x v="387"/>
    <x v="1486"/>
    <x v="2565"/>
    <x v="3020"/>
    <x v="4293"/>
    <x v="4266"/>
    <x v="3657"/>
    <x v="7"/>
    <x v="4215"/>
    <x v="4296"/>
    <x v="549"/>
    <x v="0"/>
    <x v="0"/>
    <x v="9"/>
    <x v="350"/>
    <x v="62"/>
    <x v="545"/>
    <x v="6"/>
    <x v="15"/>
    <x v="1"/>
    <x v="0"/>
    <x v="4388"/>
  </r>
  <r>
    <x v="0"/>
    <x v="1779"/>
    <x v="398"/>
    <x v="33"/>
    <x v="401"/>
    <x v="700"/>
    <x v="781"/>
    <x v="4"/>
    <x v="713"/>
    <x v="1709"/>
    <x v="2566"/>
    <x v="3021"/>
    <x v="4294"/>
    <x v="4267"/>
    <x v="3234"/>
    <x v="1"/>
    <x v="4216"/>
    <x v="4297"/>
    <x v="129"/>
    <x v="0"/>
    <x v="0"/>
    <x v="10"/>
    <x v="351"/>
    <x v="80"/>
    <x v="724"/>
    <x v="38"/>
    <x v="15"/>
    <x v="710"/>
    <x v="0"/>
    <x v="4389"/>
  </r>
  <r>
    <x v="0"/>
    <x v="1974"/>
    <x v="464"/>
    <x v="58"/>
    <x v="31"/>
    <x v="287"/>
    <x v="475"/>
    <x v="3700"/>
    <x v="419"/>
    <x v="1710"/>
    <x v="2567"/>
    <x v="377"/>
    <x v="4295"/>
    <x v="4268"/>
    <x v="3658"/>
    <x v="0"/>
    <x v="4217"/>
    <x v="4298"/>
    <x v="732"/>
    <x v="0"/>
    <x v="0"/>
    <x v="2"/>
    <x v="4"/>
    <x v="9"/>
    <x v="467"/>
    <x v="9"/>
    <x v="2"/>
    <x v="1"/>
    <x v="0"/>
    <x v="4390"/>
  </r>
  <r>
    <x v="0"/>
    <x v="1975"/>
    <x v="441"/>
    <x v="95"/>
    <x v="31"/>
    <x v="251"/>
    <x v="371"/>
    <x v="3701"/>
    <x v="200"/>
    <x v="1567"/>
    <x v="2568"/>
    <x v="3022"/>
    <x v="4296"/>
    <x v="4269"/>
    <x v="3659"/>
    <x v="0"/>
    <x v="4218"/>
    <x v="4299"/>
    <x v="96"/>
    <x v="0"/>
    <x v="0"/>
    <x v="4"/>
    <x v="126"/>
    <x v="15"/>
    <x v="774"/>
    <x v="44"/>
    <x v="2"/>
    <x v="757"/>
    <x v="0"/>
    <x v="4391"/>
  </r>
  <r>
    <x v="0"/>
    <x v="1976"/>
    <x v="451"/>
    <x v="4"/>
    <x v="193"/>
    <x v="105"/>
    <x v="411"/>
    <x v="3702"/>
    <x v="168"/>
    <x v="1605"/>
    <x v="2569"/>
    <x v="2846"/>
    <x v="4297"/>
    <x v="3594"/>
    <x v="3660"/>
    <x v="7"/>
    <x v="4219"/>
    <x v="4300"/>
    <x v="83"/>
    <x v="0"/>
    <x v="0"/>
    <x v="4"/>
    <x v="4"/>
    <x v="5"/>
    <x v="79"/>
    <x v="58"/>
    <x v="1"/>
    <x v="435"/>
    <x v="0"/>
    <x v="4392"/>
  </r>
  <r>
    <x v="0"/>
    <x v="1977"/>
    <x v="216"/>
    <x v="54"/>
    <x v="0"/>
    <x v="298"/>
    <x v="525"/>
    <x v="3703"/>
    <x v="105"/>
    <x v="1711"/>
    <x v="2570"/>
    <x v="3023"/>
    <x v="4298"/>
    <x v="4270"/>
    <x v="3661"/>
    <x v="0"/>
    <x v="4220"/>
    <x v="4301"/>
    <x v="421"/>
    <x v="32"/>
    <x v="10"/>
    <x v="2"/>
    <x v="312"/>
    <x v="1"/>
    <x v="231"/>
    <x v="13"/>
    <x v="3"/>
    <x v="1"/>
    <x v="0"/>
    <x v="4393"/>
  </r>
  <r>
    <x v="0"/>
    <x v="1978"/>
    <x v="361"/>
    <x v="80"/>
    <x v="0"/>
    <x v="621"/>
    <x v="289"/>
    <x v="4"/>
    <x v="381"/>
    <x v="527"/>
    <x v="2571"/>
    <x v="3024"/>
    <x v="4299"/>
    <x v="4271"/>
    <x v="3662"/>
    <x v="3"/>
    <x v="4221"/>
    <x v="4302"/>
    <x v="684"/>
    <x v="0"/>
    <x v="0"/>
    <x v="4"/>
    <x v="4"/>
    <x v="11"/>
    <x v="836"/>
    <x v="55"/>
    <x v="1"/>
    <x v="779"/>
    <x v="0"/>
    <x v="4394"/>
  </r>
  <r>
    <x v="0"/>
    <x v="1979"/>
    <x v="359"/>
    <x v="78"/>
    <x v="122"/>
    <x v="783"/>
    <x v="782"/>
    <x v="3704"/>
    <x v="105"/>
    <x v="1712"/>
    <x v="2572"/>
    <x v="3025"/>
    <x v="4300"/>
    <x v="4272"/>
    <x v="3663"/>
    <x v="0"/>
    <x v="4222"/>
    <x v="4303"/>
    <x v="790"/>
    <x v="20"/>
    <x v="54"/>
    <x v="10"/>
    <x v="41"/>
    <x v="7"/>
    <x v="660"/>
    <x v="11"/>
    <x v="2"/>
    <x v="1"/>
    <x v="0"/>
    <x v="4395"/>
  </r>
  <r>
    <x v="0"/>
    <x v="420"/>
    <x v="290"/>
    <x v="18"/>
    <x v="0"/>
    <x v="371"/>
    <x v="2"/>
    <x v="4"/>
    <x v="150"/>
    <x v="42"/>
    <x v="1351"/>
    <x v="3026"/>
    <x v="4301"/>
    <x v="4273"/>
    <x v="3664"/>
    <x v="4"/>
    <x v="4223"/>
    <x v="4304"/>
    <x v="490"/>
    <x v="0"/>
    <x v="0"/>
    <x v="2"/>
    <x v="351"/>
    <x v="55"/>
    <x v="670"/>
    <x v="0"/>
    <x v="15"/>
    <x v="71"/>
    <x v="0"/>
    <x v="4396"/>
  </r>
  <r>
    <x v="0"/>
    <x v="1980"/>
    <x v="169"/>
    <x v="4"/>
    <x v="0"/>
    <x v="657"/>
    <x v="783"/>
    <x v="3705"/>
    <x v="822"/>
    <x v="1713"/>
    <x v="2573"/>
    <x v="3027"/>
    <x v="4302"/>
    <x v="3877"/>
    <x v="3665"/>
    <x v="2"/>
    <x v="4"/>
    <x v="4305"/>
    <x v="854"/>
    <x v="0"/>
    <x v="16"/>
    <x v="1"/>
    <x v="80"/>
    <x v="12"/>
    <x v="745"/>
    <x v="37"/>
    <x v="2"/>
    <x v="780"/>
    <x v="0"/>
    <x v="4397"/>
  </r>
  <r>
    <x v="0"/>
    <x v="1981"/>
    <x v="311"/>
    <x v="32"/>
    <x v="0"/>
    <x v="502"/>
    <x v="168"/>
    <x v="3706"/>
    <x v="352"/>
    <x v="526"/>
    <x v="2574"/>
    <x v="3028"/>
    <x v="4303"/>
    <x v="4274"/>
    <x v="3666"/>
    <x v="0"/>
    <x v="4224"/>
    <x v="4306"/>
    <x v="721"/>
    <x v="3"/>
    <x v="10"/>
    <x v="4"/>
    <x v="351"/>
    <x v="50"/>
    <x v="162"/>
    <x v="13"/>
    <x v="1"/>
    <x v="593"/>
    <x v="0"/>
    <x v="4398"/>
  </r>
  <r>
    <x v="0"/>
    <x v="1982"/>
    <x v="417"/>
    <x v="70"/>
    <x v="16"/>
    <x v="590"/>
    <x v="35"/>
    <x v="3707"/>
    <x v="498"/>
    <x v="65"/>
    <x v="2575"/>
    <x v="3029"/>
    <x v="4304"/>
    <x v="4275"/>
    <x v="3667"/>
    <x v="4"/>
    <x v="4225"/>
    <x v="4307"/>
    <x v="408"/>
    <x v="0"/>
    <x v="0"/>
    <x v="4"/>
    <x v="350"/>
    <x v="17"/>
    <x v="524"/>
    <x v="28"/>
    <x v="1"/>
    <x v="715"/>
    <x v="0"/>
    <x v="4399"/>
  </r>
  <r>
    <x v="0"/>
    <x v="1983"/>
    <x v="373"/>
    <x v="77"/>
    <x v="198"/>
    <x v="571"/>
    <x v="250"/>
    <x v="4"/>
    <x v="429"/>
    <x v="1714"/>
    <x v="2576"/>
    <x v="3030"/>
    <x v="4305"/>
    <x v="4276"/>
    <x v="3668"/>
    <x v="0"/>
    <x v="4226"/>
    <x v="4308"/>
    <x v="408"/>
    <x v="0"/>
    <x v="0"/>
    <x v="9"/>
    <x v="4"/>
    <x v="6"/>
    <x v="505"/>
    <x v="42"/>
    <x v="2"/>
    <x v="43"/>
    <x v="0"/>
    <x v="4400"/>
  </r>
  <r>
    <x v="0"/>
    <x v="10"/>
    <x v="133"/>
    <x v="47"/>
    <x v="0"/>
    <x v="1"/>
    <x v="22"/>
    <x v="1662"/>
    <x v="355"/>
    <x v="95"/>
    <x v="566"/>
    <x v="223"/>
    <x v="1743"/>
    <x v="4277"/>
    <x v="1673"/>
    <x v="0"/>
    <x v="1732"/>
    <x v="1743"/>
    <x v="797"/>
    <x v="0"/>
    <x v="0"/>
    <x v="4"/>
    <x v="140"/>
    <x v="14"/>
    <x v="12"/>
    <x v="38"/>
    <x v="1"/>
    <x v="115"/>
    <x v="0"/>
    <x v="4401"/>
  </r>
  <r>
    <x v="0"/>
    <x v="1984"/>
    <x v="247"/>
    <x v="26"/>
    <x v="414"/>
    <x v="592"/>
    <x v="510"/>
    <x v="3708"/>
    <x v="105"/>
    <x v="1715"/>
    <x v="2577"/>
    <x v="1186"/>
    <x v="4306"/>
    <x v="4278"/>
    <x v="3669"/>
    <x v="1"/>
    <x v="4227"/>
    <x v="4309"/>
    <x v="334"/>
    <x v="0"/>
    <x v="0"/>
    <x v="0"/>
    <x v="126"/>
    <x v="1"/>
    <x v="441"/>
    <x v="1"/>
    <x v="3"/>
    <x v="1"/>
    <x v="0"/>
    <x v="4402"/>
  </r>
  <r>
    <x v="0"/>
    <x v="1985"/>
    <x v="258"/>
    <x v="80"/>
    <x v="5"/>
    <x v="594"/>
    <x v="530"/>
    <x v="3709"/>
    <x v="462"/>
    <x v="997"/>
    <x v="2578"/>
    <x v="3031"/>
    <x v="4307"/>
    <x v="4279"/>
    <x v="3670"/>
    <x v="1"/>
    <x v="4228"/>
    <x v="4310"/>
    <x v="191"/>
    <x v="0"/>
    <x v="0"/>
    <x v="4"/>
    <x v="352"/>
    <x v="32"/>
    <x v="564"/>
    <x v="2"/>
    <x v="3"/>
    <x v="1"/>
    <x v="0"/>
    <x v="4403"/>
  </r>
  <r>
    <x v="1"/>
    <x v="1784"/>
    <x v="368"/>
    <x v="60"/>
    <x v="402"/>
    <x v="644"/>
    <x v="287"/>
    <x v="4"/>
    <x v="200"/>
    <x v="1021"/>
    <x v="2579"/>
    <x v="2720"/>
    <x v="4308"/>
    <x v="4280"/>
    <x v="1444"/>
    <x v="6"/>
    <x v="4229"/>
    <x v="4311"/>
    <x v="479"/>
    <x v="0"/>
    <x v="0"/>
    <x v="9"/>
    <x v="41"/>
    <x v="72"/>
    <x v="763"/>
    <x v="17"/>
    <x v="15"/>
    <x v="1"/>
    <x v="0"/>
    <x v="4404"/>
  </r>
  <r>
    <x v="0"/>
    <x v="1885"/>
    <x v="184"/>
    <x v="43"/>
    <x v="407"/>
    <x v="49"/>
    <x v="22"/>
    <x v="3710"/>
    <x v="270"/>
    <x v="169"/>
    <x v="2580"/>
    <x v="3032"/>
    <x v="4309"/>
    <x v="4281"/>
    <x v="3671"/>
    <x v="1"/>
    <x v="4230"/>
    <x v="4312"/>
    <x v="920"/>
    <x v="0"/>
    <x v="0"/>
    <x v="1"/>
    <x v="41"/>
    <x v="16"/>
    <x v="464"/>
    <x v="15"/>
    <x v="3"/>
    <x v="1"/>
    <x v="0"/>
    <x v="4405"/>
  </r>
  <r>
    <x v="0"/>
    <x v="1350"/>
    <x v="382"/>
    <x v="76"/>
    <x v="360"/>
    <x v="325"/>
    <x v="188"/>
    <x v="3711"/>
    <x v="200"/>
    <x v="1716"/>
    <x v="2581"/>
    <x v="3033"/>
    <x v="4310"/>
    <x v="4282"/>
    <x v="3672"/>
    <x v="0"/>
    <x v="4231"/>
    <x v="4313"/>
    <x v="423"/>
    <x v="0"/>
    <x v="0"/>
    <x v="4"/>
    <x v="41"/>
    <x v="12"/>
    <x v="681"/>
    <x v="38"/>
    <x v="3"/>
    <x v="1"/>
    <x v="0"/>
    <x v="4406"/>
  </r>
  <r>
    <x v="0"/>
    <x v="793"/>
    <x v="382"/>
    <x v="55"/>
    <x v="0"/>
    <x v="240"/>
    <x v="308"/>
    <x v="3712"/>
    <x v="105"/>
    <x v="1717"/>
    <x v="2582"/>
    <x v="3034"/>
    <x v="4311"/>
    <x v="4283"/>
    <x v="251"/>
    <x v="1"/>
    <x v="4232"/>
    <x v="4314"/>
    <x v="600"/>
    <x v="0"/>
    <x v="0"/>
    <x v="4"/>
    <x v="138"/>
    <x v="18"/>
    <x v="98"/>
    <x v="10"/>
    <x v="3"/>
    <x v="781"/>
    <x v="0"/>
    <x v="4407"/>
  </r>
  <r>
    <x v="0"/>
    <x v="187"/>
    <x v="217"/>
    <x v="54"/>
    <x v="133"/>
    <x v="708"/>
    <x v="590"/>
    <x v="2753"/>
    <x v="200"/>
    <x v="1143"/>
    <x v="1769"/>
    <x v="2110"/>
    <x v="2957"/>
    <x v="2952"/>
    <x v="2695"/>
    <x v="1"/>
    <x v="2931"/>
    <x v="2958"/>
    <x v="822"/>
    <x v="4"/>
    <x v="9"/>
    <x v="4"/>
    <x v="4"/>
    <x v="0"/>
    <x v="231"/>
    <x v="20"/>
    <x v="1"/>
    <x v="538"/>
    <x v="0"/>
    <x v="4408"/>
  </r>
  <r>
    <x v="2"/>
    <x v="472"/>
    <x v="412"/>
    <x v="78"/>
    <x v="245"/>
    <x v="389"/>
    <x v="784"/>
    <x v="4"/>
    <x v="97"/>
    <x v="1718"/>
    <x v="2583"/>
    <x v="3035"/>
    <x v="4312"/>
    <x v="4284"/>
    <x v="3673"/>
    <x v="7"/>
    <x v="4"/>
    <x v="4315"/>
    <x v="326"/>
    <x v="1"/>
    <x v="0"/>
    <x v="1"/>
    <x v="173"/>
    <x v="6"/>
    <x v="891"/>
    <x v="71"/>
    <x v="2"/>
    <x v="1"/>
    <x v="0"/>
    <x v="4409"/>
  </r>
  <r>
    <x v="0"/>
    <x v="931"/>
    <x v="241"/>
    <x v="54"/>
    <x v="17"/>
    <x v="49"/>
    <x v="281"/>
    <x v="4"/>
    <x v="851"/>
    <x v="1719"/>
    <x v="2584"/>
    <x v="3036"/>
    <x v="4313"/>
    <x v="4285"/>
    <x v="1867"/>
    <x v="1"/>
    <x v="4233"/>
    <x v="4316"/>
    <x v="290"/>
    <x v="0"/>
    <x v="0"/>
    <x v="10"/>
    <x v="353"/>
    <x v="68"/>
    <x v="571"/>
    <x v="32"/>
    <x v="15"/>
    <x v="1"/>
    <x v="0"/>
    <x v="4410"/>
  </r>
  <r>
    <x v="0"/>
    <x v="842"/>
    <x v="302"/>
    <x v="33"/>
    <x v="310"/>
    <x v="693"/>
    <x v="473"/>
    <x v="3713"/>
    <x v="293"/>
    <x v="236"/>
    <x v="564"/>
    <x v="3037"/>
    <x v="4314"/>
    <x v="4286"/>
    <x v="2017"/>
    <x v="1"/>
    <x v="4234"/>
    <x v="4317"/>
    <x v="536"/>
    <x v="0"/>
    <x v="4"/>
    <x v="4"/>
    <x v="126"/>
    <x v="24"/>
    <x v="251"/>
    <x v="13"/>
    <x v="3"/>
    <x v="370"/>
    <x v="0"/>
    <x v="4411"/>
  </r>
  <r>
    <x v="0"/>
    <x v="1357"/>
    <x v="257"/>
    <x v="47"/>
    <x v="361"/>
    <x v="437"/>
    <x v="0"/>
    <x v="3714"/>
    <x v="245"/>
    <x v="327"/>
    <x v="1718"/>
    <x v="3038"/>
    <x v="4315"/>
    <x v="4287"/>
    <x v="3674"/>
    <x v="4"/>
    <x v="4235"/>
    <x v="4318"/>
    <x v="395"/>
    <x v="0"/>
    <x v="0"/>
    <x v="4"/>
    <x v="41"/>
    <x v="20"/>
    <x v="183"/>
    <x v="7"/>
    <x v="3"/>
    <x v="1"/>
    <x v="0"/>
    <x v="4412"/>
  </r>
  <r>
    <x v="0"/>
    <x v="33"/>
    <x v="486"/>
    <x v="33"/>
    <x v="0"/>
    <x v="84"/>
    <x v="86"/>
    <x v="3715"/>
    <x v="208"/>
    <x v="627"/>
    <x v="2029"/>
    <x v="3039"/>
    <x v="4316"/>
    <x v="4288"/>
    <x v="3675"/>
    <x v="1"/>
    <x v="4236"/>
    <x v="4319"/>
    <x v="47"/>
    <x v="0"/>
    <x v="0"/>
    <x v="0"/>
    <x v="41"/>
    <x v="5"/>
    <x v="537"/>
    <x v="2"/>
    <x v="1"/>
    <x v="24"/>
    <x v="0"/>
    <x v="4413"/>
  </r>
  <r>
    <x v="0"/>
    <x v="1986"/>
    <x v="333"/>
    <x v="80"/>
    <x v="170"/>
    <x v="895"/>
    <x v="88"/>
    <x v="4"/>
    <x v="852"/>
    <x v="152"/>
    <x v="1863"/>
    <x v="3040"/>
    <x v="4317"/>
    <x v="3968"/>
    <x v="3376"/>
    <x v="3"/>
    <x v="4237"/>
    <x v="4320"/>
    <x v="627"/>
    <x v="0"/>
    <x v="0"/>
    <x v="4"/>
    <x v="41"/>
    <x v="31"/>
    <x v="302"/>
    <x v="8"/>
    <x v="3"/>
    <x v="1"/>
    <x v="0"/>
    <x v="4414"/>
  </r>
  <r>
    <x v="0"/>
    <x v="1987"/>
    <x v="160"/>
    <x v="37"/>
    <x v="137"/>
    <x v="321"/>
    <x v="93"/>
    <x v="3716"/>
    <x v="168"/>
    <x v="1525"/>
    <x v="2585"/>
    <x v="3041"/>
    <x v="4318"/>
    <x v="4289"/>
    <x v="3676"/>
    <x v="0"/>
    <x v="4238"/>
    <x v="4321"/>
    <x v="310"/>
    <x v="6"/>
    <x v="52"/>
    <x v="4"/>
    <x v="41"/>
    <x v="21"/>
    <x v="554"/>
    <x v="0"/>
    <x v="3"/>
    <x v="1"/>
    <x v="0"/>
    <x v="4415"/>
  </r>
  <r>
    <x v="0"/>
    <x v="1988"/>
    <x v="353"/>
    <x v="59"/>
    <x v="198"/>
    <x v="298"/>
    <x v="471"/>
    <x v="3717"/>
    <x v="837"/>
    <x v="1720"/>
    <x v="2586"/>
    <x v="3042"/>
    <x v="4319"/>
    <x v="4290"/>
    <x v="2095"/>
    <x v="3"/>
    <x v="4239"/>
    <x v="4322"/>
    <x v="631"/>
    <x v="20"/>
    <x v="54"/>
    <x v="0"/>
    <x v="4"/>
    <x v="3"/>
    <x v="253"/>
    <x v="32"/>
    <x v="3"/>
    <x v="1"/>
    <x v="0"/>
    <x v="4416"/>
  </r>
  <r>
    <x v="0"/>
    <x v="1989"/>
    <x v="346"/>
    <x v="52"/>
    <x v="38"/>
    <x v="736"/>
    <x v="576"/>
    <x v="3718"/>
    <x v="270"/>
    <x v="1721"/>
    <x v="563"/>
    <x v="3043"/>
    <x v="4320"/>
    <x v="4291"/>
    <x v="3677"/>
    <x v="1"/>
    <x v="4240"/>
    <x v="4323"/>
    <x v="749"/>
    <x v="0"/>
    <x v="0"/>
    <x v="4"/>
    <x v="41"/>
    <x v="12"/>
    <x v="365"/>
    <x v="10"/>
    <x v="10"/>
    <x v="418"/>
    <x v="0"/>
    <x v="4417"/>
  </r>
  <r>
    <x v="0"/>
    <x v="1990"/>
    <x v="241"/>
    <x v="27"/>
    <x v="47"/>
    <x v="113"/>
    <x v="485"/>
    <x v="3719"/>
    <x v="127"/>
    <x v="1722"/>
    <x v="2587"/>
    <x v="1243"/>
    <x v="4321"/>
    <x v="4292"/>
    <x v="2396"/>
    <x v="6"/>
    <x v="4241"/>
    <x v="4324"/>
    <x v="167"/>
    <x v="0"/>
    <x v="0"/>
    <x v="4"/>
    <x v="41"/>
    <x v="9"/>
    <x v="620"/>
    <x v="27"/>
    <x v="0"/>
    <x v="1"/>
    <x v="0"/>
    <x v="4418"/>
  </r>
  <r>
    <x v="0"/>
    <x v="1710"/>
    <x v="447"/>
    <x v="77"/>
    <x v="395"/>
    <x v="717"/>
    <x v="426"/>
    <x v="3720"/>
    <x v="168"/>
    <x v="1210"/>
    <x v="2588"/>
    <x v="2955"/>
    <x v="4322"/>
    <x v="4293"/>
    <x v="3156"/>
    <x v="0"/>
    <x v="4242"/>
    <x v="4325"/>
    <x v="641"/>
    <x v="0"/>
    <x v="10"/>
    <x v="4"/>
    <x v="41"/>
    <x v="27"/>
    <x v="726"/>
    <x v="12"/>
    <x v="3"/>
    <x v="187"/>
    <x v="0"/>
    <x v="4419"/>
  </r>
  <r>
    <x v="1"/>
    <x v="1991"/>
    <x v="274"/>
    <x v="42"/>
    <x v="122"/>
    <x v="862"/>
    <x v="186"/>
    <x v="3721"/>
    <x v="270"/>
    <x v="350"/>
    <x v="2589"/>
    <x v="3044"/>
    <x v="4323"/>
    <x v="4294"/>
    <x v="3678"/>
    <x v="0"/>
    <x v="4243"/>
    <x v="4326"/>
    <x v="757"/>
    <x v="0"/>
    <x v="0"/>
    <x v="4"/>
    <x v="41"/>
    <x v="18"/>
    <x v="239"/>
    <x v="13"/>
    <x v="10"/>
    <x v="1"/>
    <x v="0"/>
    <x v="4420"/>
  </r>
  <r>
    <x v="0"/>
    <x v="473"/>
    <x v="343"/>
    <x v="86"/>
    <x v="212"/>
    <x v="227"/>
    <x v="324"/>
    <x v="3722"/>
    <x v="17"/>
    <x v="579"/>
    <x v="2590"/>
    <x v="1321"/>
    <x v="4324"/>
    <x v="4295"/>
    <x v="1744"/>
    <x v="0"/>
    <x v="4244"/>
    <x v="4327"/>
    <x v="448"/>
    <x v="0"/>
    <x v="0"/>
    <x v="4"/>
    <x v="4"/>
    <x v="1"/>
    <x v="445"/>
    <x v="8"/>
    <x v="1"/>
    <x v="782"/>
    <x v="0"/>
    <x v="4421"/>
  </r>
  <r>
    <x v="0"/>
    <x v="1992"/>
    <x v="489"/>
    <x v="41"/>
    <x v="85"/>
    <x v="149"/>
    <x v="687"/>
    <x v="4"/>
    <x v="355"/>
    <x v="1723"/>
    <x v="2591"/>
    <x v="3045"/>
    <x v="4325"/>
    <x v="4296"/>
    <x v="3679"/>
    <x v="1"/>
    <x v="4"/>
    <x v="4328"/>
    <x v="416"/>
    <x v="0"/>
    <x v="0"/>
    <x v="4"/>
    <x v="41"/>
    <x v="11"/>
    <x v="697"/>
    <x v="34"/>
    <x v="1"/>
    <x v="783"/>
    <x v="0"/>
    <x v="4422"/>
  </r>
  <r>
    <x v="0"/>
    <x v="1142"/>
    <x v="238"/>
    <x v="7"/>
    <x v="322"/>
    <x v="666"/>
    <x v="507"/>
    <x v="3723"/>
    <x v="364"/>
    <x v="1724"/>
    <x v="2476"/>
    <x v="2242"/>
    <x v="4326"/>
    <x v="4297"/>
    <x v="2671"/>
    <x v="0"/>
    <x v="4245"/>
    <x v="4329"/>
    <x v="606"/>
    <x v="0"/>
    <x v="0"/>
    <x v="4"/>
    <x v="41"/>
    <x v="18"/>
    <x v="885"/>
    <x v="12"/>
    <x v="1"/>
    <x v="1"/>
    <x v="0"/>
    <x v="4423"/>
  </r>
  <r>
    <x v="0"/>
    <x v="1993"/>
    <x v="424"/>
    <x v="110"/>
    <x v="415"/>
    <x v="211"/>
    <x v="116"/>
    <x v="3724"/>
    <x v="127"/>
    <x v="1725"/>
    <x v="2592"/>
    <x v="307"/>
    <x v="4327"/>
    <x v="4298"/>
    <x v="1191"/>
    <x v="0"/>
    <x v="4246"/>
    <x v="4330"/>
    <x v="510"/>
    <x v="0"/>
    <x v="0"/>
    <x v="4"/>
    <x v="41"/>
    <x v="7"/>
    <x v="328"/>
    <x v="5"/>
    <x v="3"/>
    <x v="1"/>
    <x v="0"/>
    <x v="4424"/>
  </r>
  <r>
    <x v="0"/>
    <x v="1994"/>
    <x v="385"/>
    <x v="50"/>
    <x v="89"/>
    <x v="611"/>
    <x v="0"/>
    <x v="4"/>
    <x v="463"/>
    <x v="329"/>
    <x v="832"/>
    <x v="3046"/>
    <x v="4328"/>
    <x v="4299"/>
    <x v="3680"/>
    <x v="1"/>
    <x v="3463"/>
    <x v="4331"/>
    <x v="792"/>
    <x v="0"/>
    <x v="0"/>
    <x v="0"/>
    <x v="4"/>
    <x v="5"/>
    <x v="117"/>
    <x v="10"/>
    <x v="2"/>
    <x v="1"/>
    <x v="0"/>
    <x v="4425"/>
  </r>
  <r>
    <x v="0"/>
    <x v="1995"/>
    <x v="286"/>
    <x v="41"/>
    <x v="245"/>
    <x v="433"/>
    <x v="74"/>
    <x v="4"/>
    <x v="476"/>
    <x v="1726"/>
    <x v="1660"/>
    <x v="3047"/>
    <x v="4329"/>
    <x v="4300"/>
    <x v="3337"/>
    <x v="0"/>
    <x v="4247"/>
    <x v="4332"/>
    <x v="527"/>
    <x v="0"/>
    <x v="0"/>
    <x v="4"/>
    <x v="41"/>
    <x v="7"/>
    <x v="372"/>
    <x v="20"/>
    <x v="3"/>
    <x v="1"/>
    <x v="0"/>
    <x v="4426"/>
  </r>
  <r>
    <x v="1"/>
    <x v="1996"/>
    <x v="293"/>
    <x v="101"/>
    <x v="0"/>
    <x v="316"/>
    <x v="50"/>
    <x v="3725"/>
    <x v="301"/>
    <x v="1727"/>
    <x v="2593"/>
    <x v="3048"/>
    <x v="4330"/>
    <x v="4301"/>
    <x v="3681"/>
    <x v="1"/>
    <x v="4248"/>
    <x v="4333"/>
    <x v="376"/>
    <x v="0"/>
    <x v="0"/>
    <x v="3"/>
    <x v="41"/>
    <x v="81"/>
    <x v="820"/>
    <x v="35"/>
    <x v="15"/>
    <x v="1"/>
    <x v="0"/>
    <x v="4427"/>
  </r>
  <r>
    <x v="0"/>
    <x v="1997"/>
    <x v="308"/>
    <x v="43"/>
    <x v="174"/>
    <x v="507"/>
    <x v="279"/>
    <x v="3726"/>
    <x v="270"/>
    <x v="508"/>
    <x v="1107"/>
    <x v="762"/>
    <x v="4331"/>
    <x v="4302"/>
    <x v="3682"/>
    <x v="1"/>
    <x v="4249"/>
    <x v="4334"/>
    <x v="650"/>
    <x v="0"/>
    <x v="0"/>
    <x v="2"/>
    <x v="41"/>
    <x v="19"/>
    <x v="52"/>
    <x v="12"/>
    <x v="3"/>
    <x v="87"/>
    <x v="0"/>
    <x v="4428"/>
  </r>
  <r>
    <x v="0"/>
    <x v="1998"/>
    <x v="388"/>
    <x v="95"/>
    <x v="0"/>
    <x v="528"/>
    <x v="522"/>
    <x v="3727"/>
    <x v="219"/>
    <x v="1527"/>
    <x v="2315"/>
    <x v="3049"/>
    <x v="4332"/>
    <x v="4303"/>
    <x v="1212"/>
    <x v="1"/>
    <x v="4250"/>
    <x v="4335"/>
    <x v="244"/>
    <x v="0"/>
    <x v="0"/>
    <x v="4"/>
    <x v="41"/>
    <x v="1"/>
    <x v="550"/>
    <x v="22"/>
    <x v="3"/>
    <x v="1"/>
    <x v="0"/>
    <x v="4429"/>
  </r>
  <r>
    <x v="0"/>
    <x v="1199"/>
    <x v="369"/>
    <x v="78"/>
    <x v="143"/>
    <x v="685"/>
    <x v="44"/>
    <x v="3728"/>
    <x v="200"/>
    <x v="68"/>
    <x v="2154"/>
    <x v="1534"/>
    <x v="4333"/>
    <x v="4304"/>
    <x v="3683"/>
    <x v="6"/>
    <x v="4"/>
    <x v="4336"/>
    <x v="685"/>
    <x v="0"/>
    <x v="0"/>
    <x v="0"/>
    <x v="41"/>
    <x v="12"/>
    <x v="527"/>
    <x v="44"/>
    <x v="3"/>
    <x v="222"/>
    <x v="0"/>
    <x v="4430"/>
  </r>
  <r>
    <x v="0"/>
    <x v="1999"/>
    <x v="369"/>
    <x v="42"/>
    <x v="141"/>
    <x v="677"/>
    <x v="130"/>
    <x v="3729"/>
    <x v="125"/>
    <x v="1728"/>
    <x v="2594"/>
    <x v="2477"/>
    <x v="4334"/>
    <x v="4124"/>
    <x v="3684"/>
    <x v="0"/>
    <x v="4251"/>
    <x v="4337"/>
    <x v="744"/>
    <x v="0"/>
    <x v="0"/>
    <x v="1"/>
    <x v="41"/>
    <x v="2"/>
    <x v="531"/>
    <x v="9"/>
    <x v="2"/>
    <x v="784"/>
    <x v="0"/>
    <x v="4431"/>
  </r>
  <r>
    <x v="0"/>
    <x v="1258"/>
    <x v="347"/>
    <x v="26"/>
    <x v="353"/>
    <x v="817"/>
    <x v="327"/>
    <x v="4"/>
    <x v="484"/>
    <x v="737"/>
    <x v="2595"/>
    <x v="3050"/>
    <x v="4335"/>
    <x v="4305"/>
    <x v="3685"/>
    <x v="0"/>
    <x v="4252"/>
    <x v="4338"/>
    <x v="721"/>
    <x v="0"/>
    <x v="0"/>
    <x v="4"/>
    <x v="41"/>
    <x v="12"/>
    <x v="581"/>
    <x v="19"/>
    <x v="3"/>
    <x v="785"/>
    <x v="0"/>
    <x v="4432"/>
  </r>
  <r>
    <x v="0"/>
    <x v="1430"/>
    <x v="311"/>
    <x v="23"/>
    <x v="370"/>
    <x v="321"/>
    <x v="785"/>
    <x v="3730"/>
    <x v="269"/>
    <x v="1729"/>
    <x v="2596"/>
    <x v="3051"/>
    <x v="4336"/>
    <x v="4306"/>
    <x v="3686"/>
    <x v="0"/>
    <x v="4253"/>
    <x v="4339"/>
    <x v="824"/>
    <x v="0"/>
    <x v="0"/>
    <x v="4"/>
    <x v="348"/>
    <x v="5"/>
    <x v="820"/>
    <x v="27"/>
    <x v="2"/>
    <x v="786"/>
    <x v="0"/>
    <x v="4433"/>
  </r>
  <r>
    <x v="0"/>
    <x v="2000"/>
    <x v="305"/>
    <x v="54"/>
    <x v="255"/>
    <x v="426"/>
    <x v="559"/>
    <x v="3731"/>
    <x v="471"/>
    <x v="1296"/>
    <x v="2597"/>
    <x v="3052"/>
    <x v="4337"/>
    <x v="4307"/>
    <x v="3687"/>
    <x v="0"/>
    <x v="4254"/>
    <x v="4340"/>
    <x v="593"/>
    <x v="0"/>
    <x v="4"/>
    <x v="9"/>
    <x v="41"/>
    <x v="8"/>
    <x v="561"/>
    <x v="10"/>
    <x v="1"/>
    <x v="1"/>
    <x v="0"/>
    <x v="4434"/>
  </r>
  <r>
    <x v="0"/>
    <x v="2001"/>
    <x v="303"/>
    <x v="78"/>
    <x v="143"/>
    <x v="715"/>
    <x v="38"/>
    <x v="3732"/>
    <x v="270"/>
    <x v="55"/>
    <x v="2598"/>
    <x v="1404"/>
    <x v="4338"/>
    <x v="4308"/>
    <x v="3688"/>
    <x v="3"/>
    <x v="4255"/>
    <x v="4341"/>
    <x v="636"/>
    <x v="0"/>
    <x v="0"/>
    <x v="4"/>
    <x v="126"/>
    <x v="8"/>
    <x v="892"/>
    <x v="10"/>
    <x v="1"/>
    <x v="453"/>
    <x v="0"/>
    <x v="4435"/>
  </r>
  <r>
    <x v="0"/>
    <x v="2002"/>
    <x v="4"/>
    <x v="41"/>
    <x v="377"/>
    <x v="654"/>
    <x v="187"/>
    <x v="4"/>
    <x v="105"/>
    <x v="1730"/>
    <x v="2599"/>
    <x v="3053"/>
    <x v="4339"/>
    <x v="4205"/>
    <x v="3431"/>
    <x v="1"/>
    <x v="4"/>
    <x v="4342"/>
    <x v="4"/>
    <x v="0"/>
    <x v="0"/>
    <x v="1"/>
    <x v="41"/>
    <x v="2"/>
    <x v="675"/>
    <x v="32"/>
    <x v="2"/>
    <x v="698"/>
    <x v="0"/>
    <x v="4436"/>
  </r>
  <r>
    <x v="0"/>
    <x v="1095"/>
    <x v="294"/>
    <x v="59"/>
    <x v="0"/>
    <x v="31"/>
    <x v="0"/>
    <x v="3733"/>
    <x v="64"/>
    <x v="1316"/>
    <x v="1813"/>
    <x v="3054"/>
    <x v="4340"/>
    <x v="4309"/>
    <x v="3689"/>
    <x v="1"/>
    <x v="4256"/>
    <x v="4343"/>
    <x v="690"/>
    <x v="0"/>
    <x v="0"/>
    <x v="4"/>
    <x v="139"/>
    <x v="3"/>
    <x v="791"/>
    <x v="37"/>
    <x v="1"/>
    <x v="61"/>
    <x v="0"/>
    <x v="4437"/>
  </r>
  <r>
    <x v="0"/>
    <x v="2003"/>
    <x v="146"/>
    <x v="86"/>
    <x v="221"/>
    <x v="222"/>
    <x v="295"/>
    <x v="4"/>
    <x v="796"/>
    <x v="1731"/>
    <x v="2600"/>
    <x v="3055"/>
    <x v="4341"/>
    <x v="4310"/>
    <x v="3690"/>
    <x v="3"/>
    <x v="4257"/>
    <x v="4344"/>
    <x v="536"/>
    <x v="0"/>
    <x v="3"/>
    <x v="9"/>
    <x v="278"/>
    <x v="11"/>
    <x v="514"/>
    <x v="2"/>
    <x v="1"/>
    <x v="7"/>
    <x v="0"/>
    <x v="4438"/>
  </r>
  <r>
    <x v="0"/>
    <x v="2004"/>
    <x v="392"/>
    <x v="182"/>
    <x v="122"/>
    <x v="298"/>
    <x v="471"/>
    <x v="4"/>
    <x v="4"/>
    <x v="1732"/>
    <x v="2601"/>
    <x v="3056"/>
    <x v="4342"/>
    <x v="4311"/>
    <x v="2095"/>
    <x v="0"/>
    <x v="4258"/>
    <x v="4345"/>
    <x v="640"/>
    <x v="0"/>
    <x v="0"/>
    <x v="9"/>
    <x v="41"/>
    <x v="12"/>
    <x v="253"/>
    <x v="2"/>
    <x v="3"/>
    <x v="1"/>
    <x v="0"/>
    <x v="4439"/>
  </r>
  <r>
    <x v="0"/>
    <x v="2005"/>
    <x v="441"/>
    <x v="101"/>
    <x v="0"/>
    <x v="629"/>
    <x v="786"/>
    <x v="4"/>
    <x v="49"/>
    <x v="1733"/>
    <x v="2602"/>
    <x v="3057"/>
    <x v="4343"/>
    <x v="4312"/>
    <x v="3691"/>
    <x v="4"/>
    <x v="4259"/>
    <x v="4346"/>
    <x v="896"/>
    <x v="0"/>
    <x v="4"/>
    <x v="1"/>
    <x v="41"/>
    <x v="12"/>
    <x v="685"/>
    <x v="2"/>
    <x v="2"/>
    <x v="490"/>
    <x v="0"/>
    <x v="4440"/>
  </r>
  <r>
    <x v="2"/>
    <x v="2006"/>
    <x v="435"/>
    <x v="42"/>
    <x v="31"/>
    <x v="156"/>
    <x v="33"/>
    <x v="4"/>
    <x v="200"/>
    <x v="149"/>
    <x v="331"/>
    <x v="1287"/>
    <x v="4344"/>
    <x v="4313"/>
    <x v="3692"/>
    <x v="4"/>
    <x v="4"/>
    <x v="4347"/>
    <x v="791"/>
    <x v="0"/>
    <x v="0"/>
    <x v="4"/>
    <x v="41"/>
    <x v="9"/>
    <x v="222"/>
    <x v="22"/>
    <x v="22"/>
    <x v="687"/>
    <x v="0"/>
    <x v="4441"/>
  </r>
  <r>
    <x v="0"/>
    <x v="2007"/>
    <x v="465"/>
    <x v="52"/>
    <x v="116"/>
    <x v="304"/>
    <x v="449"/>
    <x v="4"/>
    <x v="200"/>
    <x v="1734"/>
    <x v="2603"/>
    <x v="3058"/>
    <x v="4345"/>
    <x v="4314"/>
    <x v="3334"/>
    <x v="4"/>
    <x v="4"/>
    <x v="4348"/>
    <x v="96"/>
    <x v="0"/>
    <x v="29"/>
    <x v="9"/>
    <x v="240"/>
    <x v="11"/>
    <x v="561"/>
    <x v="1"/>
    <x v="1"/>
    <x v="1"/>
    <x v="0"/>
    <x v="4442"/>
  </r>
  <r>
    <x v="0"/>
    <x v="2008"/>
    <x v="169"/>
    <x v="87"/>
    <x v="169"/>
    <x v="831"/>
    <x v="497"/>
    <x v="4"/>
    <x v="652"/>
    <x v="1735"/>
    <x v="2604"/>
    <x v="3059"/>
    <x v="4346"/>
    <x v="4315"/>
    <x v="3693"/>
    <x v="0"/>
    <x v="4"/>
    <x v="4349"/>
    <x v="896"/>
    <x v="0"/>
    <x v="4"/>
    <x v="1"/>
    <x v="41"/>
    <x v="11"/>
    <x v="365"/>
    <x v="66"/>
    <x v="2"/>
    <x v="754"/>
    <x v="0"/>
    <x v="4443"/>
  </r>
  <r>
    <x v="0"/>
    <x v="2009"/>
    <x v="4"/>
    <x v="58"/>
    <x v="78"/>
    <x v="618"/>
    <x v="22"/>
    <x v="4"/>
    <x v="301"/>
    <x v="1736"/>
    <x v="311"/>
    <x v="1039"/>
    <x v="4347"/>
    <x v="4316"/>
    <x v="3694"/>
    <x v="9"/>
    <x v="4260"/>
    <x v="4350"/>
    <x v="326"/>
    <x v="0"/>
    <x v="0"/>
    <x v="0"/>
    <x v="126"/>
    <x v="2"/>
    <x v="211"/>
    <x v="17"/>
    <x v="3"/>
    <x v="658"/>
    <x v="0"/>
    <x v="4444"/>
  </r>
  <r>
    <x v="0"/>
    <x v="2010"/>
    <x v="489"/>
    <x v="55"/>
    <x v="416"/>
    <x v="737"/>
    <x v="103"/>
    <x v="4"/>
    <x v="23"/>
    <x v="1737"/>
    <x v="2605"/>
    <x v="1496"/>
    <x v="4348"/>
    <x v="4317"/>
    <x v="3695"/>
    <x v="3"/>
    <x v="4"/>
    <x v="4351"/>
    <x v="684"/>
    <x v="0"/>
    <x v="0"/>
    <x v="1"/>
    <x v="41"/>
    <x v="2"/>
    <x v="328"/>
    <x v="69"/>
    <x v="1"/>
    <x v="580"/>
    <x v="0"/>
    <x v="4445"/>
  </r>
  <r>
    <x v="0"/>
    <x v="89"/>
    <x v="381"/>
    <x v="29"/>
    <x v="10"/>
    <x v="1"/>
    <x v="14"/>
    <x v="709"/>
    <x v="86"/>
    <x v="56"/>
    <x v="340"/>
    <x v="618"/>
    <x v="731"/>
    <x v="4318"/>
    <x v="721"/>
    <x v="4"/>
    <x v="726"/>
    <x v="731"/>
    <x v="532"/>
    <x v="0"/>
    <x v="0"/>
    <x v="0"/>
    <x v="81"/>
    <x v="3"/>
    <x v="13"/>
    <x v="15"/>
    <x v="1"/>
    <x v="58"/>
    <x v="0"/>
    <x v="4446"/>
  </r>
  <r>
    <x v="0"/>
    <x v="2011"/>
    <x v="311"/>
    <x v="59"/>
    <x v="19"/>
    <x v="149"/>
    <x v="787"/>
    <x v="4"/>
    <x v="416"/>
    <x v="1738"/>
    <x v="2606"/>
    <x v="3060"/>
    <x v="4349"/>
    <x v="2090"/>
    <x v="552"/>
    <x v="1"/>
    <x v="4261"/>
    <x v="4352"/>
    <x v="427"/>
    <x v="0"/>
    <x v="0"/>
    <x v="9"/>
    <x v="41"/>
    <x v="2"/>
    <x v="65"/>
    <x v="47"/>
    <x v="2"/>
    <x v="677"/>
    <x v="0"/>
    <x v="4447"/>
  </r>
  <r>
    <x v="0"/>
    <x v="2012"/>
    <x v="434"/>
    <x v="41"/>
    <x v="134"/>
    <x v="440"/>
    <x v="277"/>
    <x v="4"/>
    <x v="355"/>
    <x v="505"/>
    <x v="2607"/>
    <x v="3061"/>
    <x v="4350"/>
    <x v="4319"/>
    <x v="3696"/>
    <x v="9"/>
    <x v="4262"/>
    <x v="4353"/>
    <x v="188"/>
    <x v="0"/>
    <x v="0"/>
    <x v="4"/>
    <x v="126"/>
    <x v="2"/>
    <x v="584"/>
    <x v="57"/>
    <x v="2"/>
    <x v="534"/>
    <x v="0"/>
    <x v="4448"/>
  </r>
  <r>
    <x v="0"/>
    <x v="2013"/>
    <x v="118"/>
    <x v="105"/>
    <x v="0"/>
    <x v="738"/>
    <x v="501"/>
    <x v="3734"/>
    <x v="413"/>
    <x v="1739"/>
    <x v="2608"/>
    <x v="3062"/>
    <x v="4351"/>
    <x v="4320"/>
    <x v="1648"/>
    <x v="1"/>
    <x v="4263"/>
    <x v="4354"/>
    <x v="334"/>
    <x v="0"/>
    <x v="0"/>
    <x v="11"/>
    <x v="126"/>
    <x v="56"/>
    <x v="495"/>
    <x v="16"/>
    <x v="15"/>
    <x v="1"/>
    <x v="0"/>
    <x v="4449"/>
  </r>
  <r>
    <x v="0"/>
    <x v="2014"/>
    <x v="239"/>
    <x v="11"/>
    <x v="58"/>
    <x v="708"/>
    <x v="497"/>
    <x v="3735"/>
    <x v="270"/>
    <x v="1462"/>
    <x v="2609"/>
    <x v="3063"/>
    <x v="4352"/>
    <x v="4321"/>
    <x v="2929"/>
    <x v="0"/>
    <x v="4264"/>
    <x v="4355"/>
    <x v="820"/>
    <x v="6"/>
    <x v="52"/>
    <x v="4"/>
    <x v="123"/>
    <x v="14"/>
    <x v="624"/>
    <x v="10"/>
    <x v="3"/>
    <x v="787"/>
    <x v="0"/>
    <x v="4450"/>
  </r>
  <r>
    <x v="0"/>
    <x v="2015"/>
    <x v="81"/>
    <x v="18"/>
    <x v="405"/>
    <x v="174"/>
    <x v="235"/>
    <x v="4"/>
    <x v="713"/>
    <x v="1740"/>
    <x v="2178"/>
    <x v="3064"/>
    <x v="4353"/>
    <x v="4322"/>
    <x v="2511"/>
    <x v="4"/>
    <x v="4265"/>
    <x v="4356"/>
    <x v="540"/>
    <x v="0"/>
    <x v="1"/>
    <x v="2"/>
    <x v="354"/>
    <x v="38"/>
    <x v="442"/>
    <x v="34"/>
    <x v="1"/>
    <x v="316"/>
    <x v="0"/>
    <x v="4451"/>
  </r>
  <r>
    <x v="0"/>
    <x v="2016"/>
    <x v="370"/>
    <x v="50"/>
    <x v="146"/>
    <x v="683"/>
    <x v="788"/>
    <x v="3736"/>
    <x v="853"/>
    <x v="1741"/>
    <x v="2610"/>
    <x v="3065"/>
    <x v="4354"/>
    <x v="4323"/>
    <x v="3697"/>
    <x v="0"/>
    <x v="4266"/>
    <x v="4357"/>
    <x v="377"/>
    <x v="0"/>
    <x v="1"/>
    <x v="0"/>
    <x v="123"/>
    <x v="14"/>
    <x v="890"/>
    <x v="4"/>
    <x v="3"/>
    <x v="788"/>
    <x v="0"/>
    <x v="4452"/>
  </r>
  <r>
    <x v="0"/>
    <x v="2017"/>
    <x v="435"/>
    <x v="59"/>
    <x v="131"/>
    <x v="102"/>
    <x v="0"/>
    <x v="4"/>
    <x v="270"/>
    <x v="307"/>
    <x v="2611"/>
    <x v="3066"/>
    <x v="4355"/>
    <x v="3187"/>
    <x v="2395"/>
    <x v="9"/>
    <x v="4"/>
    <x v="4358"/>
    <x v="824"/>
    <x v="0"/>
    <x v="0"/>
    <x v="2"/>
    <x v="126"/>
    <x v="6"/>
    <x v="356"/>
    <x v="30"/>
    <x v="1"/>
    <x v="628"/>
    <x v="0"/>
    <x v="4453"/>
  </r>
  <r>
    <x v="0"/>
    <x v="1560"/>
    <x v="315"/>
    <x v="77"/>
    <x v="123"/>
    <x v="436"/>
    <x v="42"/>
    <x v="4"/>
    <x v="381"/>
    <x v="1742"/>
    <x v="2612"/>
    <x v="3067"/>
    <x v="4356"/>
    <x v="4324"/>
    <x v="3698"/>
    <x v="0"/>
    <x v="4267"/>
    <x v="4359"/>
    <x v="631"/>
    <x v="0"/>
    <x v="4"/>
    <x v="1"/>
    <x v="355"/>
    <x v="11"/>
    <x v="510"/>
    <x v="34"/>
    <x v="1"/>
    <x v="789"/>
    <x v="0"/>
    <x v="4454"/>
  </r>
  <r>
    <x v="0"/>
    <x v="2018"/>
    <x v="358"/>
    <x v="93"/>
    <x v="348"/>
    <x v="708"/>
    <x v="564"/>
    <x v="3737"/>
    <x v="389"/>
    <x v="1081"/>
    <x v="2613"/>
    <x v="3068"/>
    <x v="4357"/>
    <x v="4325"/>
    <x v="3699"/>
    <x v="0"/>
    <x v="4268"/>
    <x v="4360"/>
    <x v="655"/>
    <x v="3"/>
    <x v="10"/>
    <x v="4"/>
    <x v="4"/>
    <x v="11"/>
    <x v="231"/>
    <x v="22"/>
    <x v="8"/>
    <x v="264"/>
    <x v="0"/>
    <x v="4455"/>
  </r>
  <r>
    <x v="0"/>
    <x v="2019"/>
    <x v="169"/>
    <x v="43"/>
    <x v="38"/>
    <x v="691"/>
    <x v="201"/>
    <x v="4"/>
    <x v="381"/>
    <x v="1743"/>
    <x v="2614"/>
    <x v="3069"/>
    <x v="4358"/>
    <x v="4326"/>
    <x v="3700"/>
    <x v="0"/>
    <x v="4269"/>
    <x v="4361"/>
    <x v="843"/>
    <x v="0"/>
    <x v="0"/>
    <x v="4"/>
    <x v="123"/>
    <x v="11"/>
    <x v="338"/>
    <x v="8"/>
    <x v="2"/>
    <x v="618"/>
    <x v="0"/>
    <x v="4456"/>
  </r>
  <r>
    <x v="0"/>
    <x v="2020"/>
    <x v="302"/>
    <x v="72"/>
    <x v="143"/>
    <x v="781"/>
    <x v="0"/>
    <x v="4"/>
    <x v="189"/>
    <x v="1744"/>
    <x v="2417"/>
    <x v="3070"/>
    <x v="4359"/>
    <x v="4327"/>
    <x v="3419"/>
    <x v="1"/>
    <x v="4270"/>
    <x v="4362"/>
    <x v="293"/>
    <x v="0"/>
    <x v="0"/>
    <x v="11"/>
    <x v="356"/>
    <x v="71"/>
    <x v="89"/>
    <x v="12"/>
    <x v="3"/>
    <x v="1"/>
    <x v="0"/>
    <x v="4457"/>
  </r>
  <r>
    <x v="0"/>
    <x v="129"/>
    <x v="410"/>
    <x v="60"/>
    <x v="0"/>
    <x v="210"/>
    <x v="8"/>
    <x v="3738"/>
    <x v="70"/>
    <x v="35"/>
    <x v="88"/>
    <x v="519"/>
    <x v="4360"/>
    <x v="4328"/>
    <x v="3701"/>
    <x v="1"/>
    <x v="4271"/>
    <x v="4363"/>
    <x v="242"/>
    <x v="0"/>
    <x v="1"/>
    <x v="4"/>
    <x v="357"/>
    <x v="20"/>
    <x v="30"/>
    <x v="17"/>
    <x v="3"/>
    <x v="90"/>
    <x v="0"/>
    <x v="4458"/>
  </r>
  <r>
    <x v="0"/>
    <x v="2021"/>
    <x v="4"/>
    <x v="72"/>
    <x v="0"/>
    <x v="214"/>
    <x v="23"/>
    <x v="4"/>
    <x v="713"/>
    <x v="371"/>
    <x v="301"/>
    <x v="702"/>
    <x v="4361"/>
    <x v="4329"/>
    <x v="2963"/>
    <x v="0"/>
    <x v="4"/>
    <x v="4364"/>
    <x v="188"/>
    <x v="0"/>
    <x v="0"/>
    <x v="1"/>
    <x v="345"/>
    <x v="26"/>
    <x v="203"/>
    <x v="1"/>
    <x v="2"/>
    <x v="731"/>
    <x v="0"/>
    <x v="4459"/>
  </r>
  <r>
    <x v="0"/>
    <x v="113"/>
    <x v="457"/>
    <x v="60"/>
    <x v="88"/>
    <x v="4"/>
    <x v="222"/>
    <x v="4"/>
    <x v="854"/>
    <x v="1745"/>
    <x v="2615"/>
    <x v="4"/>
    <x v="4362"/>
    <x v="4330"/>
    <x v="3281"/>
    <x v="0"/>
    <x v="4272"/>
    <x v="4365"/>
    <x v="96"/>
    <x v="0"/>
    <x v="0"/>
    <x v="1"/>
    <x v="4"/>
    <x v="4"/>
    <x v="253"/>
    <x v="11"/>
    <x v="9"/>
    <x v="570"/>
    <x v="0"/>
    <x v="4460"/>
  </r>
  <r>
    <x v="0"/>
    <x v="1470"/>
    <x v="288"/>
    <x v="72"/>
    <x v="374"/>
    <x v="166"/>
    <x v="728"/>
    <x v="3739"/>
    <x v="270"/>
    <x v="1746"/>
    <x v="2616"/>
    <x v="3071"/>
    <x v="4363"/>
    <x v="4331"/>
    <x v="3702"/>
    <x v="1"/>
    <x v="4273"/>
    <x v="4366"/>
    <x v="150"/>
    <x v="31"/>
    <x v="23"/>
    <x v="4"/>
    <x v="312"/>
    <x v="20"/>
    <x v="737"/>
    <x v="14"/>
    <x v="8"/>
    <x v="9"/>
    <x v="0"/>
    <x v="4461"/>
  </r>
  <r>
    <x v="0"/>
    <x v="2022"/>
    <x v="425"/>
    <x v="54"/>
    <x v="119"/>
    <x v="156"/>
    <x v="25"/>
    <x v="3740"/>
    <x v="200"/>
    <x v="26"/>
    <x v="542"/>
    <x v="2350"/>
    <x v="4364"/>
    <x v="4332"/>
    <x v="3703"/>
    <x v="1"/>
    <x v="4274"/>
    <x v="4367"/>
    <x v="632"/>
    <x v="0"/>
    <x v="0"/>
    <x v="4"/>
    <x v="312"/>
    <x v="25"/>
    <x v="352"/>
    <x v="13"/>
    <x v="3"/>
    <x v="694"/>
    <x v="0"/>
    <x v="4462"/>
  </r>
  <r>
    <x v="0"/>
    <x v="2023"/>
    <x v="464"/>
    <x v="24"/>
    <x v="78"/>
    <x v="531"/>
    <x v="233"/>
    <x v="3741"/>
    <x v="270"/>
    <x v="1747"/>
    <x v="2617"/>
    <x v="3072"/>
    <x v="4365"/>
    <x v="4333"/>
    <x v="3704"/>
    <x v="4"/>
    <x v="4275"/>
    <x v="4368"/>
    <x v="786"/>
    <x v="40"/>
    <x v="0"/>
    <x v="4"/>
    <x v="358"/>
    <x v="7"/>
    <x v="893"/>
    <x v="38"/>
    <x v="3"/>
    <x v="714"/>
    <x v="0"/>
    <x v="4463"/>
  </r>
  <r>
    <x v="0"/>
    <x v="2024"/>
    <x v="369"/>
    <x v="72"/>
    <x v="143"/>
    <x v="558"/>
    <x v="35"/>
    <x v="3742"/>
    <x v="270"/>
    <x v="321"/>
    <x v="1350"/>
    <x v="2034"/>
    <x v="4366"/>
    <x v="4334"/>
    <x v="3705"/>
    <x v="4"/>
    <x v="4276"/>
    <x v="4369"/>
    <x v="785"/>
    <x v="0"/>
    <x v="0"/>
    <x v="2"/>
    <x v="312"/>
    <x v="15"/>
    <x v="323"/>
    <x v="12"/>
    <x v="3"/>
    <x v="575"/>
    <x v="0"/>
    <x v="4464"/>
  </r>
  <r>
    <x v="0"/>
    <x v="2025"/>
    <x v="392"/>
    <x v="105"/>
    <x v="78"/>
    <x v="729"/>
    <x v="559"/>
    <x v="3743"/>
    <x v="476"/>
    <x v="1296"/>
    <x v="1935"/>
    <x v="3073"/>
    <x v="4367"/>
    <x v="3117"/>
    <x v="1465"/>
    <x v="0"/>
    <x v="4277"/>
    <x v="4370"/>
    <x v="896"/>
    <x v="0"/>
    <x v="4"/>
    <x v="9"/>
    <x v="41"/>
    <x v="3"/>
    <x v="818"/>
    <x v="20"/>
    <x v="2"/>
    <x v="502"/>
    <x v="0"/>
    <x v="4465"/>
  </r>
  <r>
    <x v="0"/>
    <x v="377"/>
    <x v="212"/>
    <x v="70"/>
    <x v="184"/>
    <x v="449"/>
    <x v="57"/>
    <x v="754"/>
    <x v="28"/>
    <x v="99"/>
    <x v="478"/>
    <x v="656"/>
    <x v="777"/>
    <x v="4335"/>
    <x v="3706"/>
    <x v="1"/>
    <x v="772"/>
    <x v="777"/>
    <x v="405"/>
    <x v="0"/>
    <x v="0"/>
    <x v="4"/>
    <x v="81"/>
    <x v="20"/>
    <x v="716"/>
    <x v="9"/>
    <x v="1"/>
    <x v="1"/>
    <x v="0"/>
    <x v="4466"/>
  </r>
  <r>
    <x v="0"/>
    <x v="113"/>
    <x v="385"/>
    <x v="84"/>
    <x v="88"/>
    <x v="757"/>
    <x v="507"/>
    <x v="4"/>
    <x v="142"/>
    <x v="1748"/>
    <x v="2618"/>
    <x v="3074"/>
    <x v="4368"/>
    <x v="4336"/>
    <x v="1879"/>
    <x v="0"/>
    <x v="4278"/>
    <x v="4371"/>
    <x v="167"/>
    <x v="0"/>
    <x v="0"/>
    <x v="1"/>
    <x v="240"/>
    <x v="4"/>
    <x v="894"/>
    <x v="16"/>
    <x v="8"/>
    <x v="657"/>
    <x v="0"/>
    <x v="4467"/>
  </r>
  <r>
    <x v="0"/>
    <x v="2026"/>
    <x v="441"/>
    <x v="24"/>
    <x v="417"/>
    <x v="298"/>
    <x v="471"/>
    <x v="4"/>
    <x v="466"/>
    <x v="1749"/>
    <x v="2619"/>
    <x v="3075"/>
    <x v="4369"/>
    <x v="4337"/>
    <x v="2095"/>
    <x v="1"/>
    <x v="4279"/>
    <x v="4372"/>
    <x v="343"/>
    <x v="0"/>
    <x v="56"/>
    <x v="0"/>
    <x v="123"/>
    <x v="11"/>
    <x v="253"/>
    <x v="50"/>
    <x v="1"/>
    <x v="1"/>
    <x v="0"/>
    <x v="4468"/>
  </r>
  <r>
    <x v="0"/>
    <x v="2027"/>
    <x v="465"/>
    <x v="76"/>
    <x v="198"/>
    <x v="170"/>
    <x v="534"/>
    <x v="4"/>
    <x v="46"/>
    <x v="1750"/>
    <x v="2620"/>
    <x v="3076"/>
    <x v="4370"/>
    <x v="4338"/>
    <x v="3707"/>
    <x v="0"/>
    <x v="4280"/>
    <x v="4373"/>
    <x v="835"/>
    <x v="0"/>
    <x v="4"/>
    <x v="4"/>
    <x v="347"/>
    <x v="39"/>
    <x v="131"/>
    <x v="44"/>
    <x v="3"/>
    <x v="790"/>
    <x v="0"/>
    <x v="4469"/>
  </r>
  <r>
    <x v="1"/>
    <x v="2028"/>
    <x v="311"/>
    <x v="101"/>
    <x v="198"/>
    <x v="271"/>
    <x v="35"/>
    <x v="3744"/>
    <x v="125"/>
    <x v="65"/>
    <x v="569"/>
    <x v="2732"/>
    <x v="4371"/>
    <x v="4339"/>
    <x v="3708"/>
    <x v="1"/>
    <x v="4281"/>
    <x v="4374"/>
    <x v="327"/>
    <x v="0"/>
    <x v="0"/>
    <x v="4"/>
    <x v="138"/>
    <x v="17"/>
    <x v="30"/>
    <x v="5"/>
    <x v="3"/>
    <x v="67"/>
    <x v="0"/>
    <x v="4470"/>
  </r>
  <r>
    <x v="0"/>
    <x v="2029"/>
    <x v="451"/>
    <x v="55"/>
    <x v="0"/>
    <x v="183"/>
    <x v="139"/>
    <x v="3745"/>
    <x v="616"/>
    <x v="1398"/>
    <x v="2621"/>
    <x v="3077"/>
    <x v="4372"/>
    <x v="4340"/>
    <x v="3709"/>
    <x v="4"/>
    <x v="4282"/>
    <x v="4375"/>
    <x v="343"/>
    <x v="0"/>
    <x v="16"/>
    <x v="1"/>
    <x v="41"/>
    <x v="12"/>
    <x v="311"/>
    <x v="47"/>
    <x v="1"/>
    <x v="791"/>
    <x v="0"/>
    <x v="4471"/>
  </r>
  <r>
    <x v="0"/>
    <x v="1823"/>
    <x v="441"/>
    <x v="87"/>
    <x v="107"/>
    <x v="654"/>
    <x v="273"/>
    <x v="4"/>
    <x v="125"/>
    <x v="1751"/>
    <x v="2622"/>
    <x v="3078"/>
    <x v="4373"/>
    <x v="4341"/>
    <x v="3710"/>
    <x v="3"/>
    <x v="4283"/>
    <x v="4376"/>
    <x v="427"/>
    <x v="0"/>
    <x v="0"/>
    <x v="4"/>
    <x v="312"/>
    <x v="5"/>
    <x v="389"/>
    <x v="59"/>
    <x v="3"/>
    <x v="1"/>
    <x v="0"/>
    <x v="4472"/>
  </r>
  <r>
    <x v="0"/>
    <x v="2030"/>
    <x v="431"/>
    <x v="33"/>
    <x v="0"/>
    <x v="533"/>
    <x v="104"/>
    <x v="4"/>
    <x v="855"/>
    <x v="195"/>
    <x v="2623"/>
    <x v="3079"/>
    <x v="4374"/>
    <x v="4342"/>
    <x v="3711"/>
    <x v="1"/>
    <x v="4"/>
    <x v="4377"/>
    <x v="785"/>
    <x v="0"/>
    <x v="0"/>
    <x v="4"/>
    <x v="312"/>
    <x v="0"/>
    <x v="519"/>
    <x v="31"/>
    <x v="1"/>
    <x v="789"/>
    <x v="0"/>
    <x v="4473"/>
  </r>
  <r>
    <x v="1"/>
    <x v="931"/>
    <x v="235"/>
    <x v="29"/>
    <x v="17"/>
    <x v="896"/>
    <x v="0"/>
    <x v="4"/>
    <x v="856"/>
    <x v="445"/>
    <x v="2624"/>
    <x v="3080"/>
    <x v="4375"/>
    <x v="4343"/>
    <x v="1228"/>
    <x v="4"/>
    <x v="4284"/>
    <x v="4378"/>
    <x v="355"/>
    <x v="0"/>
    <x v="0"/>
    <x v="9"/>
    <x v="359"/>
    <x v="40"/>
    <x v="674"/>
    <x v="17"/>
    <x v="15"/>
    <x v="1"/>
    <x v="0"/>
    <x v="4474"/>
  </r>
  <r>
    <x v="0"/>
    <x v="601"/>
    <x v="354"/>
    <x v="101"/>
    <x v="255"/>
    <x v="79"/>
    <x v="50"/>
    <x v="3746"/>
    <x v="236"/>
    <x v="1752"/>
    <x v="2625"/>
    <x v="3081"/>
    <x v="4376"/>
    <x v="4344"/>
    <x v="2140"/>
    <x v="0"/>
    <x v="4285"/>
    <x v="4379"/>
    <x v="318"/>
    <x v="0"/>
    <x v="0"/>
    <x v="4"/>
    <x v="345"/>
    <x v="37"/>
    <x v="894"/>
    <x v="9"/>
    <x v="3"/>
    <x v="1"/>
    <x v="0"/>
    <x v="4475"/>
  </r>
  <r>
    <x v="1"/>
    <x v="1703"/>
    <x v="241"/>
    <x v="59"/>
    <x v="0"/>
    <x v="372"/>
    <x v="190"/>
    <x v="4"/>
    <x v="857"/>
    <x v="1753"/>
    <x v="2626"/>
    <x v="3082"/>
    <x v="4377"/>
    <x v="4345"/>
    <x v="447"/>
    <x v="2"/>
    <x v="4286"/>
    <x v="4380"/>
    <x v="736"/>
    <x v="0"/>
    <x v="0"/>
    <x v="9"/>
    <x v="345"/>
    <x v="68"/>
    <x v="569"/>
    <x v="25"/>
    <x v="15"/>
    <x v="1"/>
    <x v="0"/>
    <x v="4476"/>
  </r>
  <r>
    <x v="0"/>
    <x v="2031"/>
    <x v="379"/>
    <x v="45"/>
    <x v="198"/>
    <x v="519"/>
    <x v="543"/>
    <x v="4"/>
    <x v="577"/>
    <x v="1034"/>
    <x v="1115"/>
    <x v="3083"/>
    <x v="4378"/>
    <x v="4346"/>
    <x v="3712"/>
    <x v="0"/>
    <x v="4287"/>
    <x v="4381"/>
    <x v="244"/>
    <x v="0"/>
    <x v="0"/>
    <x v="4"/>
    <x v="345"/>
    <x v="31"/>
    <x v="294"/>
    <x v="34"/>
    <x v="3"/>
    <x v="1"/>
    <x v="0"/>
    <x v="4477"/>
  </r>
  <r>
    <x v="0"/>
    <x v="1826"/>
    <x v="441"/>
    <x v="110"/>
    <x v="193"/>
    <x v="136"/>
    <x v="35"/>
    <x v="3747"/>
    <x v="419"/>
    <x v="1251"/>
    <x v="2627"/>
    <x v="3084"/>
    <x v="4379"/>
    <x v="4347"/>
    <x v="3713"/>
    <x v="1"/>
    <x v="4"/>
    <x v="4382"/>
    <x v="744"/>
    <x v="0"/>
    <x v="0"/>
    <x v="4"/>
    <x v="360"/>
    <x v="3"/>
    <x v="396"/>
    <x v="20"/>
    <x v="1"/>
    <x v="1"/>
    <x v="0"/>
    <x v="4478"/>
  </r>
  <r>
    <x v="0"/>
    <x v="2032"/>
    <x v="478"/>
    <x v="101"/>
    <x v="31"/>
    <x v="139"/>
    <x v="275"/>
    <x v="4"/>
    <x v="629"/>
    <x v="1754"/>
    <x v="90"/>
    <x v="2414"/>
    <x v="4380"/>
    <x v="4348"/>
    <x v="2630"/>
    <x v="0"/>
    <x v="4288"/>
    <x v="4383"/>
    <x v="416"/>
    <x v="0"/>
    <x v="0"/>
    <x v="2"/>
    <x v="159"/>
    <x v="10"/>
    <x v="65"/>
    <x v="42"/>
    <x v="0"/>
    <x v="740"/>
    <x v="0"/>
    <x v="4479"/>
  </r>
  <r>
    <x v="0"/>
    <x v="2033"/>
    <x v="336"/>
    <x v="80"/>
    <x v="224"/>
    <x v="358"/>
    <x v="420"/>
    <x v="4"/>
    <x v="858"/>
    <x v="764"/>
    <x v="2628"/>
    <x v="3085"/>
    <x v="4381"/>
    <x v="4349"/>
    <x v="490"/>
    <x v="0"/>
    <x v="4289"/>
    <x v="4384"/>
    <x v="392"/>
    <x v="0"/>
    <x v="0"/>
    <x v="11"/>
    <x v="345"/>
    <x v="62"/>
    <x v="534"/>
    <x v="1"/>
    <x v="15"/>
    <x v="103"/>
    <x v="0"/>
    <x v="4480"/>
  </r>
  <r>
    <x v="1"/>
    <x v="1779"/>
    <x v="336"/>
    <x v="34"/>
    <x v="401"/>
    <x v="709"/>
    <x v="544"/>
    <x v="4"/>
    <x v="463"/>
    <x v="1538"/>
    <x v="2629"/>
    <x v="3086"/>
    <x v="4382"/>
    <x v="4350"/>
    <x v="2951"/>
    <x v="7"/>
    <x v="4290"/>
    <x v="4385"/>
    <x v="390"/>
    <x v="0"/>
    <x v="0"/>
    <x v="11"/>
    <x v="345"/>
    <x v="82"/>
    <x v="813"/>
    <x v="6"/>
    <x v="15"/>
    <x v="1"/>
    <x v="0"/>
    <x v="4481"/>
  </r>
  <r>
    <x v="0"/>
    <x v="113"/>
    <x v="307"/>
    <x v="183"/>
    <x v="88"/>
    <x v="14"/>
    <x v="408"/>
    <x v="4"/>
    <x v="270"/>
    <x v="750"/>
    <x v="2630"/>
    <x v="1783"/>
    <x v="4383"/>
    <x v="4351"/>
    <x v="3714"/>
    <x v="0"/>
    <x v="4291"/>
    <x v="4386"/>
    <x v="789"/>
    <x v="0"/>
    <x v="0"/>
    <x v="7"/>
    <x v="4"/>
    <x v="4"/>
    <x v="202"/>
    <x v="11"/>
    <x v="2"/>
    <x v="792"/>
    <x v="0"/>
    <x v="4482"/>
  </r>
  <r>
    <x v="0"/>
    <x v="437"/>
    <x v="303"/>
    <x v="32"/>
    <x v="0"/>
    <x v="2"/>
    <x v="22"/>
    <x v="4"/>
    <x v="714"/>
    <x v="299"/>
    <x v="2631"/>
    <x v="3087"/>
    <x v="4384"/>
    <x v="4352"/>
    <x v="3715"/>
    <x v="0"/>
    <x v="4292"/>
    <x v="4387"/>
    <x v="561"/>
    <x v="0"/>
    <x v="0"/>
    <x v="1"/>
    <x v="361"/>
    <x v="11"/>
    <x v="116"/>
    <x v="54"/>
    <x v="1"/>
    <x v="314"/>
    <x v="0"/>
    <x v="4483"/>
  </r>
  <r>
    <x v="0"/>
    <x v="151"/>
    <x v="459"/>
    <x v="7"/>
    <x v="0"/>
    <x v="809"/>
    <x v="503"/>
    <x v="3748"/>
    <x v="270"/>
    <x v="937"/>
    <x v="2632"/>
    <x v="3088"/>
    <x v="4385"/>
    <x v="4353"/>
    <x v="3716"/>
    <x v="4"/>
    <x v="4293"/>
    <x v="4388"/>
    <x v="581"/>
    <x v="0"/>
    <x v="0"/>
    <x v="4"/>
    <x v="340"/>
    <x v="30"/>
    <x v="430"/>
    <x v="13"/>
    <x v="3"/>
    <x v="43"/>
    <x v="0"/>
    <x v="4484"/>
  </r>
  <r>
    <x v="0"/>
    <x v="33"/>
    <x v="133"/>
    <x v="33"/>
    <x v="0"/>
    <x v="512"/>
    <x v="35"/>
    <x v="3749"/>
    <x v="236"/>
    <x v="234"/>
    <x v="347"/>
    <x v="2539"/>
    <x v="4386"/>
    <x v="4354"/>
    <x v="3717"/>
    <x v="0"/>
    <x v="4294"/>
    <x v="4389"/>
    <x v="943"/>
    <x v="0"/>
    <x v="0"/>
    <x v="4"/>
    <x v="340"/>
    <x v="14"/>
    <x v="232"/>
    <x v="16"/>
    <x v="3"/>
    <x v="1"/>
    <x v="0"/>
    <x v="4485"/>
  </r>
  <r>
    <x v="0"/>
    <x v="426"/>
    <x v="388"/>
    <x v="7"/>
    <x v="232"/>
    <x v="123"/>
    <x v="538"/>
    <x v="3750"/>
    <x v="656"/>
    <x v="1755"/>
    <x v="889"/>
    <x v="1807"/>
    <x v="4387"/>
    <x v="4355"/>
    <x v="3718"/>
    <x v="0"/>
    <x v="4295"/>
    <x v="4390"/>
    <x v="936"/>
    <x v="0"/>
    <x v="0"/>
    <x v="4"/>
    <x v="340"/>
    <x v="18"/>
    <x v="199"/>
    <x v="1"/>
    <x v="3"/>
    <x v="1"/>
    <x v="0"/>
    <x v="4486"/>
  </r>
  <r>
    <x v="0"/>
    <x v="2034"/>
    <x v="451"/>
    <x v="77"/>
    <x v="198"/>
    <x v="190"/>
    <x v="11"/>
    <x v="4"/>
    <x v="137"/>
    <x v="1756"/>
    <x v="549"/>
    <x v="3089"/>
    <x v="4388"/>
    <x v="4356"/>
    <x v="3719"/>
    <x v="5"/>
    <x v="4296"/>
    <x v="4391"/>
    <x v="326"/>
    <x v="0"/>
    <x v="0"/>
    <x v="1"/>
    <x v="312"/>
    <x v="11"/>
    <x v="357"/>
    <x v="32"/>
    <x v="3"/>
    <x v="793"/>
    <x v="0"/>
    <x v="4487"/>
  </r>
  <r>
    <x v="0"/>
    <x v="2035"/>
    <x v="401"/>
    <x v="71"/>
    <x v="0"/>
    <x v="708"/>
    <x v="685"/>
    <x v="3751"/>
    <x v="200"/>
    <x v="1757"/>
    <x v="2633"/>
    <x v="3090"/>
    <x v="4389"/>
    <x v="4357"/>
    <x v="683"/>
    <x v="0"/>
    <x v="4297"/>
    <x v="4392"/>
    <x v="188"/>
    <x v="6"/>
    <x v="12"/>
    <x v="1"/>
    <x v="312"/>
    <x v="9"/>
    <x v="893"/>
    <x v="15"/>
    <x v="2"/>
    <x v="622"/>
    <x v="0"/>
    <x v="4488"/>
  </r>
  <r>
    <x v="0"/>
    <x v="245"/>
    <x v="109"/>
    <x v="27"/>
    <x v="165"/>
    <x v="304"/>
    <x v="11"/>
    <x v="449"/>
    <x v="211"/>
    <x v="63"/>
    <x v="352"/>
    <x v="401"/>
    <x v="462"/>
    <x v="4358"/>
    <x v="456"/>
    <x v="0"/>
    <x v="458"/>
    <x v="462"/>
    <x v="100"/>
    <x v="0"/>
    <x v="0"/>
    <x v="0"/>
    <x v="67"/>
    <x v="8"/>
    <x v="9"/>
    <x v="34"/>
    <x v="1"/>
    <x v="1"/>
    <x v="0"/>
    <x v="4489"/>
  </r>
  <r>
    <x v="0"/>
    <x v="872"/>
    <x v="312"/>
    <x v="37"/>
    <x v="317"/>
    <x v="413"/>
    <x v="617"/>
    <x v="3752"/>
    <x v="105"/>
    <x v="1216"/>
    <x v="2634"/>
    <x v="1539"/>
    <x v="4390"/>
    <x v="4359"/>
    <x v="1249"/>
    <x v="0"/>
    <x v="4298"/>
    <x v="4393"/>
    <x v="178"/>
    <x v="8"/>
    <x v="16"/>
    <x v="4"/>
    <x v="222"/>
    <x v="18"/>
    <x v="821"/>
    <x v="38"/>
    <x v="3"/>
    <x v="1"/>
    <x v="0"/>
    <x v="4490"/>
  </r>
  <r>
    <x v="0"/>
    <x v="1185"/>
    <x v="270"/>
    <x v="70"/>
    <x v="59"/>
    <x v="256"/>
    <x v="35"/>
    <x v="3753"/>
    <x v="270"/>
    <x v="91"/>
    <x v="1923"/>
    <x v="330"/>
    <x v="4391"/>
    <x v="4360"/>
    <x v="3720"/>
    <x v="0"/>
    <x v="4299"/>
    <x v="4394"/>
    <x v="444"/>
    <x v="0"/>
    <x v="0"/>
    <x v="4"/>
    <x v="340"/>
    <x v="21"/>
    <x v="162"/>
    <x v="16"/>
    <x v="3"/>
    <x v="794"/>
    <x v="0"/>
    <x v="4491"/>
  </r>
  <r>
    <x v="0"/>
    <x v="931"/>
    <x v="345"/>
    <x v="77"/>
    <x v="17"/>
    <x v="336"/>
    <x v="789"/>
    <x v="4"/>
    <x v="679"/>
    <x v="1758"/>
    <x v="2635"/>
    <x v="3091"/>
    <x v="4392"/>
    <x v="4361"/>
    <x v="1782"/>
    <x v="0"/>
    <x v="4300"/>
    <x v="4395"/>
    <x v="549"/>
    <x v="0"/>
    <x v="0"/>
    <x v="11"/>
    <x v="340"/>
    <x v="83"/>
    <x v="579"/>
    <x v="13"/>
    <x v="11"/>
    <x v="1"/>
    <x v="0"/>
    <x v="4492"/>
  </r>
  <r>
    <x v="0"/>
    <x v="524"/>
    <x v="242"/>
    <x v="47"/>
    <x v="249"/>
    <x v="1"/>
    <x v="57"/>
    <x v="1711"/>
    <x v="171"/>
    <x v="99"/>
    <x v="65"/>
    <x v="1368"/>
    <x v="1795"/>
    <x v="4362"/>
    <x v="1719"/>
    <x v="3"/>
    <x v="1784"/>
    <x v="1795"/>
    <x v="573"/>
    <x v="0"/>
    <x v="8"/>
    <x v="4"/>
    <x v="146"/>
    <x v="7"/>
    <x v="6"/>
    <x v="6"/>
    <x v="1"/>
    <x v="7"/>
    <x v="0"/>
    <x v="4493"/>
  </r>
  <r>
    <x v="0"/>
    <x v="2036"/>
    <x v="414"/>
    <x v="79"/>
    <x v="159"/>
    <x v="797"/>
    <x v="0"/>
    <x v="3754"/>
    <x v="200"/>
    <x v="450"/>
    <x v="1156"/>
    <x v="1809"/>
    <x v="4393"/>
    <x v="1297"/>
    <x v="3721"/>
    <x v="1"/>
    <x v="4301"/>
    <x v="4396"/>
    <x v="139"/>
    <x v="0"/>
    <x v="0"/>
    <x v="4"/>
    <x v="340"/>
    <x v="15"/>
    <x v="30"/>
    <x v="4"/>
    <x v="3"/>
    <x v="1"/>
    <x v="0"/>
    <x v="4494"/>
  </r>
  <r>
    <x v="0"/>
    <x v="2037"/>
    <x v="81"/>
    <x v="18"/>
    <x v="195"/>
    <x v="888"/>
    <x v="44"/>
    <x v="3755"/>
    <x v="291"/>
    <x v="68"/>
    <x v="1890"/>
    <x v="3092"/>
    <x v="4394"/>
    <x v="4363"/>
    <x v="3722"/>
    <x v="4"/>
    <x v="4302"/>
    <x v="4397"/>
    <x v="646"/>
    <x v="0"/>
    <x v="0"/>
    <x v="0"/>
    <x v="340"/>
    <x v="9"/>
    <x v="45"/>
    <x v="19"/>
    <x v="1"/>
    <x v="1"/>
    <x v="0"/>
    <x v="4495"/>
  </r>
  <r>
    <x v="0"/>
    <x v="169"/>
    <x v="247"/>
    <x v="77"/>
    <x v="121"/>
    <x v="470"/>
    <x v="17"/>
    <x v="3756"/>
    <x v="168"/>
    <x v="397"/>
    <x v="127"/>
    <x v="693"/>
    <x v="4395"/>
    <x v="4364"/>
    <x v="3723"/>
    <x v="0"/>
    <x v="4303"/>
    <x v="4398"/>
    <x v="944"/>
    <x v="0"/>
    <x v="0"/>
    <x v="4"/>
    <x v="340"/>
    <x v="29"/>
    <x v="47"/>
    <x v="26"/>
    <x v="1"/>
    <x v="64"/>
    <x v="0"/>
    <x v="4496"/>
  </r>
  <r>
    <x v="1"/>
    <x v="1680"/>
    <x v="478"/>
    <x v="105"/>
    <x v="134"/>
    <x v="636"/>
    <x v="537"/>
    <x v="4"/>
    <x v="402"/>
    <x v="1759"/>
    <x v="2636"/>
    <x v="3093"/>
    <x v="4396"/>
    <x v="4365"/>
    <x v="3724"/>
    <x v="1"/>
    <x v="4304"/>
    <x v="4399"/>
    <x v="719"/>
    <x v="0"/>
    <x v="0"/>
    <x v="11"/>
    <x v="4"/>
    <x v="40"/>
    <x v="397"/>
    <x v="12"/>
    <x v="15"/>
    <x v="415"/>
    <x v="0"/>
    <x v="4497"/>
  </r>
  <r>
    <x v="0"/>
    <x v="737"/>
    <x v="198"/>
    <x v="30"/>
    <x v="0"/>
    <x v="670"/>
    <x v="17"/>
    <x v="3757"/>
    <x v="713"/>
    <x v="303"/>
    <x v="2637"/>
    <x v="3094"/>
    <x v="4397"/>
    <x v="4366"/>
    <x v="3725"/>
    <x v="3"/>
    <x v="4305"/>
    <x v="4400"/>
    <x v="945"/>
    <x v="17"/>
    <x v="20"/>
    <x v="11"/>
    <x v="340"/>
    <x v="71"/>
    <x v="840"/>
    <x v="49"/>
    <x v="1"/>
    <x v="35"/>
    <x v="0"/>
    <x v="4498"/>
  </r>
  <r>
    <x v="0"/>
    <x v="2038"/>
    <x v="387"/>
    <x v="52"/>
    <x v="134"/>
    <x v="597"/>
    <x v="295"/>
    <x v="3758"/>
    <x v="200"/>
    <x v="1760"/>
    <x v="2638"/>
    <x v="3095"/>
    <x v="4398"/>
    <x v="4367"/>
    <x v="3726"/>
    <x v="1"/>
    <x v="4306"/>
    <x v="4401"/>
    <x v="721"/>
    <x v="30"/>
    <x v="49"/>
    <x v="4"/>
    <x v="213"/>
    <x v="2"/>
    <x v="557"/>
    <x v="0"/>
    <x v="1"/>
    <x v="1"/>
    <x v="0"/>
    <x v="4499"/>
  </r>
  <r>
    <x v="0"/>
    <x v="2039"/>
    <x v="428"/>
    <x v="26"/>
    <x v="125"/>
    <x v="812"/>
    <x v="0"/>
    <x v="3759"/>
    <x v="200"/>
    <x v="1761"/>
    <x v="2639"/>
    <x v="3096"/>
    <x v="4399"/>
    <x v="4368"/>
    <x v="1692"/>
    <x v="0"/>
    <x v="4307"/>
    <x v="4402"/>
    <x v="258"/>
    <x v="0"/>
    <x v="0"/>
    <x v="0"/>
    <x v="340"/>
    <x v="3"/>
    <x v="337"/>
    <x v="19"/>
    <x v="3"/>
    <x v="1"/>
    <x v="0"/>
    <x v="4500"/>
  </r>
  <r>
    <x v="0"/>
    <x v="2040"/>
    <x v="329"/>
    <x v="76"/>
    <x v="0"/>
    <x v="708"/>
    <x v="37"/>
    <x v="3760"/>
    <x v="430"/>
    <x v="1762"/>
    <x v="2640"/>
    <x v="3097"/>
    <x v="4400"/>
    <x v="4097"/>
    <x v="1158"/>
    <x v="0"/>
    <x v="4308"/>
    <x v="4403"/>
    <x v="854"/>
    <x v="0"/>
    <x v="0"/>
    <x v="4"/>
    <x v="340"/>
    <x v="18"/>
    <x v="462"/>
    <x v="9"/>
    <x v="0"/>
    <x v="795"/>
    <x v="0"/>
    <x v="4501"/>
  </r>
  <r>
    <x v="0"/>
    <x v="1297"/>
    <x v="430"/>
    <x v="55"/>
    <x v="198"/>
    <x v="4"/>
    <x v="790"/>
    <x v="3761"/>
    <x v="4"/>
    <x v="1763"/>
    <x v="217"/>
    <x v="4"/>
    <x v="4401"/>
    <x v="4369"/>
    <x v="2095"/>
    <x v="0"/>
    <x v="4309"/>
    <x v="4404"/>
    <x v="896"/>
    <x v="0"/>
    <x v="4"/>
    <x v="9"/>
    <x v="340"/>
    <x v="10"/>
    <x v="147"/>
    <x v="38"/>
    <x v="2"/>
    <x v="9"/>
    <x v="0"/>
    <x v="4502"/>
  </r>
  <r>
    <x v="0"/>
    <x v="2041"/>
    <x v="479"/>
    <x v="79"/>
    <x v="0"/>
    <x v="330"/>
    <x v="49"/>
    <x v="3762"/>
    <x v="771"/>
    <x v="86"/>
    <x v="79"/>
    <x v="444"/>
    <x v="4402"/>
    <x v="4370"/>
    <x v="3727"/>
    <x v="10"/>
    <x v="4310"/>
    <x v="4405"/>
    <x v="188"/>
    <x v="0"/>
    <x v="0"/>
    <x v="1"/>
    <x v="340"/>
    <x v="1"/>
    <x v="58"/>
    <x v="5"/>
    <x v="2"/>
    <x v="796"/>
    <x v="0"/>
    <x v="4503"/>
  </r>
  <r>
    <x v="0"/>
    <x v="2042"/>
    <x v="435"/>
    <x v="33"/>
    <x v="0"/>
    <x v="670"/>
    <x v="791"/>
    <x v="4"/>
    <x v="270"/>
    <x v="1764"/>
    <x v="2641"/>
    <x v="3098"/>
    <x v="4403"/>
    <x v="4371"/>
    <x v="2411"/>
    <x v="1"/>
    <x v="4311"/>
    <x v="4406"/>
    <x v="655"/>
    <x v="3"/>
    <x v="10"/>
    <x v="1"/>
    <x v="41"/>
    <x v="10"/>
    <x v="438"/>
    <x v="23"/>
    <x v="0"/>
    <x v="244"/>
    <x v="0"/>
    <x v="4504"/>
  </r>
  <r>
    <x v="0"/>
    <x v="2043"/>
    <x v="93"/>
    <x v="47"/>
    <x v="0"/>
    <x v="298"/>
    <x v="341"/>
    <x v="3763"/>
    <x v="200"/>
    <x v="1765"/>
    <x v="2642"/>
    <x v="3099"/>
    <x v="4404"/>
    <x v="4372"/>
    <x v="272"/>
    <x v="3"/>
    <x v="4"/>
    <x v="4407"/>
    <x v="326"/>
    <x v="6"/>
    <x v="0"/>
    <x v="1"/>
    <x v="340"/>
    <x v="9"/>
    <x v="556"/>
    <x v="13"/>
    <x v="2"/>
    <x v="607"/>
    <x v="0"/>
    <x v="4505"/>
  </r>
  <r>
    <x v="0"/>
    <x v="2044"/>
    <x v="359"/>
    <x v="76"/>
    <x v="198"/>
    <x v="220"/>
    <x v="72"/>
    <x v="4"/>
    <x v="371"/>
    <x v="612"/>
    <x v="1058"/>
    <x v="3100"/>
    <x v="4405"/>
    <x v="4373"/>
    <x v="3728"/>
    <x v="1"/>
    <x v="4312"/>
    <x v="4408"/>
    <x v="785"/>
    <x v="0"/>
    <x v="0"/>
    <x v="0"/>
    <x v="4"/>
    <x v="17"/>
    <x v="523"/>
    <x v="9"/>
    <x v="3"/>
    <x v="736"/>
    <x v="0"/>
    <x v="4506"/>
  </r>
  <r>
    <x v="0"/>
    <x v="2045"/>
    <x v="369"/>
    <x v="93"/>
    <x v="0"/>
    <x v="217"/>
    <x v="278"/>
    <x v="4"/>
    <x v="125"/>
    <x v="1766"/>
    <x v="2643"/>
    <x v="447"/>
    <x v="4406"/>
    <x v="4374"/>
    <x v="3729"/>
    <x v="5"/>
    <x v="4313"/>
    <x v="4409"/>
    <x v="816"/>
    <x v="0"/>
    <x v="0"/>
    <x v="4"/>
    <x v="4"/>
    <x v="8"/>
    <x v="669"/>
    <x v="45"/>
    <x v="3"/>
    <x v="365"/>
    <x v="0"/>
    <x v="4507"/>
  </r>
  <r>
    <x v="1"/>
    <x v="1616"/>
    <x v="431"/>
    <x v="7"/>
    <x v="387"/>
    <x v="393"/>
    <x v="437"/>
    <x v="4"/>
    <x v="859"/>
    <x v="1767"/>
    <x v="1525"/>
    <x v="3101"/>
    <x v="4407"/>
    <x v="4375"/>
    <x v="3730"/>
    <x v="3"/>
    <x v="4314"/>
    <x v="4410"/>
    <x v="802"/>
    <x v="0"/>
    <x v="0"/>
    <x v="11"/>
    <x v="340"/>
    <x v="81"/>
    <x v="81"/>
    <x v="1"/>
    <x v="15"/>
    <x v="309"/>
    <x v="0"/>
    <x v="4508"/>
  </r>
  <r>
    <x v="0"/>
    <x v="2046"/>
    <x v="465"/>
    <x v="77"/>
    <x v="0"/>
    <x v="531"/>
    <x v="444"/>
    <x v="4"/>
    <x v="582"/>
    <x v="1369"/>
    <x v="2644"/>
    <x v="3102"/>
    <x v="4408"/>
    <x v="4376"/>
    <x v="3543"/>
    <x v="4"/>
    <x v="4"/>
    <x v="4411"/>
    <x v="744"/>
    <x v="0"/>
    <x v="4"/>
    <x v="4"/>
    <x v="340"/>
    <x v="10"/>
    <x v="685"/>
    <x v="33"/>
    <x v="2"/>
    <x v="227"/>
    <x v="0"/>
    <x v="4509"/>
  </r>
  <r>
    <x v="0"/>
    <x v="2047"/>
    <x v="417"/>
    <x v="95"/>
    <x v="0"/>
    <x v="649"/>
    <x v="565"/>
    <x v="4"/>
    <x v="860"/>
    <x v="1768"/>
    <x v="2645"/>
    <x v="3103"/>
    <x v="4409"/>
    <x v="4377"/>
    <x v="3731"/>
    <x v="0"/>
    <x v="4315"/>
    <x v="4412"/>
    <x v="794"/>
    <x v="0"/>
    <x v="4"/>
    <x v="4"/>
    <x v="340"/>
    <x v="3"/>
    <x v="448"/>
    <x v="45"/>
    <x v="2"/>
    <x v="432"/>
    <x v="0"/>
    <x v="4510"/>
  </r>
  <r>
    <x v="0"/>
    <x v="318"/>
    <x v="435"/>
    <x v="43"/>
    <x v="47"/>
    <x v="240"/>
    <x v="114"/>
    <x v="3764"/>
    <x v="861"/>
    <x v="1663"/>
    <x v="715"/>
    <x v="3104"/>
    <x v="4410"/>
    <x v="4378"/>
    <x v="3366"/>
    <x v="0"/>
    <x v="4316"/>
    <x v="4413"/>
    <x v="640"/>
    <x v="0"/>
    <x v="0"/>
    <x v="2"/>
    <x v="142"/>
    <x v="27"/>
    <x v="360"/>
    <x v="5"/>
    <x v="3"/>
    <x v="1"/>
    <x v="0"/>
    <x v="4511"/>
  </r>
  <r>
    <x v="0"/>
    <x v="2048"/>
    <x v="421"/>
    <x v="55"/>
    <x v="6"/>
    <x v="267"/>
    <x v="754"/>
    <x v="4"/>
    <x v="170"/>
    <x v="1769"/>
    <x v="2646"/>
    <x v="3105"/>
    <x v="4411"/>
    <x v="4379"/>
    <x v="3732"/>
    <x v="1"/>
    <x v="4317"/>
    <x v="4414"/>
    <x v="788"/>
    <x v="0"/>
    <x v="0"/>
    <x v="4"/>
    <x v="340"/>
    <x v="48"/>
    <x v="655"/>
    <x v="4"/>
    <x v="3"/>
    <x v="797"/>
    <x v="0"/>
    <x v="4512"/>
  </r>
  <r>
    <x v="0"/>
    <x v="2049"/>
    <x v="435"/>
    <x v="95"/>
    <x v="216"/>
    <x v="415"/>
    <x v="14"/>
    <x v="4"/>
    <x v="429"/>
    <x v="859"/>
    <x v="2647"/>
    <x v="3106"/>
    <x v="4412"/>
    <x v="4380"/>
    <x v="3733"/>
    <x v="0"/>
    <x v="4262"/>
    <x v="4415"/>
    <x v="791"/>
    <x v="0"/>
    <x v="0"/>
    <x v="4"/>
    <x v="340"/>
    <x v="2"/>
    <x v="191"/>
    <x v="51"/>
    <x v="2"/>
    <x v="634"/>
    <x v="0"/>
    <x v="4513"/>
  </r>
  <r>
    <x v="0"/>
    <x v="2050"/>
    <x v="478"/>
    <x v="7"/>
    <x v="0"/>
    <x v="897"/>
    <x v="792"/>
    <x v="4"/>
    <x v="429"/>
    <x v="1770"/>
    <x v="2648"/>
    <x v="3107"/>
    <x v="4413"/>
    <x v="4381"/>
    <x v="3734"/>
    <x v="1"/>
    <x v="4318"/>
    <x v="4416"/>
    <x v="188"/>
    <x v="0"/>
    <x v="0"/>
    <x v="1"/>
    <x v="340"/>
    <x v="2"/>
    <x v="781"/>
    <x v="39"/>
    <x v="2"/>
    <x v="531"/>
    <x v="0"/>
    <x v="4514"/>
  </r>
  <r>
    <x v="0"/>
    <x v="2051"/>
    <x v="74"/>
    <x v="50"/>
    <x v="85"/>
    <x v="840"/>
    <x v="17"/>
    <x v="3765"/>
    <x v="125"/>
    <x v="32"/>
    <x v="2649"/>
    <x v="2196"/>
    <x v="4414"/>
    <x v="4382"/>
    <x v="3735"/>
    <x v="3"/>
    <x v="4319"/>
    <x v="4417"/>
    <x v="651"/>
    <x v="0"/>
    <x v="0"/>
    <x v="4"/>
    <x v="119"/>
    <x v="12"/>
    <x v="30"/>
    <x v="2"/>
    <x v="3"/>
    <x v="1"/>
    <x v="0"/>
    <x v="4515"/>
  </r>
  <r>
    <x v="1"/>
    <x v="1594"/>
    <x v="414"/>
    <x v="78"/>
    <x v="384"/>
    <x v="453"/>
    <x v="109"/>
    <x v="3766"/>
    <x v="168"/>
    <x v="205"/>
    <x v="2650"/>
    <x v="3108"/>
    <x v="4415"/>
    <x v="4383"/>
    <x v="3736"/>
    <x v="0"/>
    <x v="4320"/>
    <x v="4418"/>
    <x v="488"/>
    <x v="0"/>
    <x v="1"/>
    <x v="1"/>
    <x v="362"/>
    <x v="14"/>
    <x v="895"/>
    <x v="16"/>
    <x v="3"/>
    <x v="1"/>
    <x v="0"/>
    <x v="4516"/>
  </r>
  <r>
    <x v="0"/>
    <x v="113"/>
    <x v="412"/>
    <x v="4"/>
    <x v="88"/>
    <x v="445"/>
    <x v="793"/>
    <x v="4"/>
    <x v="327"/>
    <x v="1771"/>
    <x v="2651"/>
    <x v="3109"/>
    <x v="4416"/>
    <x v="4384"/>
    <x v="3737"/>
    <x v="0"/>
    <x v="4321"/>
    <x v="4419"/>
    <x v="843"/>
    <x v="0"/>
    <x v="5"/>
    <x v="1"/>
    <x v="4"/>
    <x v="4"/>
    <x v="555"/>
    <x v="1"/>
    <x v="4"/>
    <x v="798"/>
    <x v="0"/>
    <x v="4517"/>
  </r>
  <r>
    <x v="0"/>
    <x v="2052"/>
    <x v="394"/>
    <x v="80"/>
    <x v="238"/>
    <x v="826"/>
    <x v="373"/>
    <x v="3767"/>
    <x v="826"/>
    <x v="1772"/>
    <x v="2071"/>
    <x v="3110"/>
    <x v="4417"/>
    <x v="4385"/>
    <x v="3738"/>
    <x v="0"/>
    <x v="4322"/>
    <x v="4420"/>
    <x v="820"/>
    <x v="0"/>
    <x v="0"/>
    <x v="4"/>
    <x v="352"/>
    <x v="42"/>
    <x v="491"/>
    <x v="18"/>
    <x v="3"/>
    <x v="421"/>
    <x v="0"/>
    <x v="4518"/>
  </r>
  <r>
    <x v="0"/>
    <x v="2053"/>
    <x v="329"/>
    <x v="72"/>
    <x v="0"/>
    <x v="4"/>
    <x v="790"/>
    <x v="3768"/>
    <x v="226"/>
    <x v="1763"/>
    <x v="217"/>
    <x v="4"/>
    <x v="4418"/>
    <x v="4386"/>
    <x v="2095"/>
    <x v="0"/>
    <x v="4323"/>
    <x v="4421"/>
    <x v="824"/>
    <x v="0"/>
    <x v="0"/>
    <x v="1"/>
    <x v="4"/>
    <x v="19"/>
    <x v="147"/>
    <x v="55"/>
    <x v="8"/>
    <x v="799"/>
    <x v="0"/>
    <x v="4519"/>
  </r>
  <r>
    <x v="1"/>
    <x v="2054"/>
    <x v="459"/>
    <x v="115"/>
    <x v="179"/>
    <x v="708"/>
    <x v="794"/>
    <x v="3769"/>
    <x v="862"/>
    <x v="1773"/>
    <x v="2652"/>
    <x v="3111"/>
    <x v="4419"/>
    <x v="3854"/>
    <x v="3739"/>
    <x v="1"/>
    <x v="4324"/>
    <x v="4422"/>
    <x v="646"/>
    <x v="0"/>
    <x v="4"/>
    <x v="1"/>
    <x v="351"/>
    <x v="19"/>
    <x v="231"/>
    <x v="15"/>
    <x v="3"/>
    <x v="692"/>
    <x v="0"/>
    <x v="4520"/>
  </r>
  <r>
    <x v="0"/>
    <x v="2055"/>
    <x v="451"/>
    <x v="38"/>
    <x v="69"/>
    <x v="401"/>
    <x v="564"/>
    <x v="4"/>
    <x v="270"/>
    <x v="1774"/>
    <x v="2653"/>
    <x v="3112"/>
    <x v="4420"/>
    <x v="3573"/>
    <x v="3740"/>
    <x v="4"/>
    <x v="4325"/>
    <x v="4423"/>
    <x v="225"/>
    <x v="36"/>
    <x v="26"/>
    <x v="2"/>
    <x v="70"/>
    <x v="7"/>
    <x v="248"/>
    <x v="8"/>
    <x v="3"/>
    <x v="1"/>
    <x v="0"/>
    <x v="4521"/>
  </r>
  <r>
    <x v="0"/>
    <x v="2056"/>
    <x v="241"/>
    <x v="47"/>
    <x v="188"/>
    <x v="358"/>
    <x v="651"/>
    <x v="3770"/>
    <x v="232"/>
    <x v="1775"/>
    <x v="2654"/>
    <x v="3113"/>
    <x v="4421"/>
    <x v="4387"/>
    <x v="3741"/>
    <x v="1"/>
    <x v="4326"/>
    <x v="4424"/>
    <x v="517"/>
    <x v="0"/>
    <x v="4"/>
    <x v="4"/>
    <x v="352"/>
    <x v="5"/>
    <x v="635"/>
    <x v="9"/>
    <x v="1"/>
    <x v="1"/>
    <x v="0"/>
    <x v="4522"/>
  </r>
  <r>
    <x v="0"/>
    <x v="2057"/>
    <x v="527"/>
    <x v="58"/>
    <x v="275"/>
    <x v="57"/>
    <x v="0"/>
    <x v="3771"/>
    <x v="23"/>
    <x v="1776"/>
    <x v="2655"/>
    <x v="3114"/>
    <x v="4422"/>
    <x v="4388"/>
    <x v="2680"/>
    <x v="0"/>
    <x v="4327"/>
    <x v="4425"/>
    <x v="271"/>
    <x v="41"/>
    <x v="57"/>
    <x v="4"/>
    <x v="352"/>
    <x v="10"/>
    <x v="429"/>
    <x v="32"/>
    <x v="3"/>
    <x v="69"/>
    <x v="0"/>
    <x v="4523"/>
  </r>
  <r>
    <x v="0"/>
    <x v="2058"/>
    <x v="479"/>
    <x v="71"/>
    <x v="9"/>
    <x v="564"/>
    <x v="0"/>
    <x v="4"/>
    <x v="310"/>
    <x v="1574"/>
    <x v="1829"/>
    <x v="3115"/>
    <x v="4423"/>
    <x v="4389"/>
    <x v="3482"/>
    <x v="1"/>
    <x v="4328"/>
    <x v="4426"/>
    <x v="83"/>
    <x v="0"/>
    <x v="0"/>
    <x v="4"/>
    <x v="352"/>
    <x v="5"/>
    <x v="77"/>
    <x v="56"/>
    <x v="3"/>
    <x v="409"/>
    <x v="0"/>
    <x v="4524"/>
  </r>
  <r>
    <x v="0"/>
    <x v="2059"/>
    <x v="435"/>
    <x v="93"/>
    <x v="0"/>
    <x v="298"/>
    <x v="795"/>
    <x v="4"/>
    <x v="429"/>
    <x v="1777"/>
    <x v="2656"/>
    <x v="3116"/>
    <x v="4424"/>
    <x v="4390"/>
    <x v="3742"/>
    <x v="0"/>
    <x v="4"/>
    <x v="4427"/>
    <x v="896"/>
    <x v="0"/>
    <x v="20"/>
    <x v="4"/>
    <x v="352"/>
    <x v="9"/>
    <x v="253"/>
    <x v="77"/>
    <x v="1"/>
    <x v="367"/>
    <x v="0"/>
    <x v="4525"/>
  </r>
  <r>
    <x v="0"/>
    <x v="1616"/>
    <x v="354"/>
    <x v="87"/>
    <x v="387"/>
    <x v="308"/>
    <x v="35"/>
    <x v="4"/>
    <x v="387"/>
    <x v="1699"/>
    <x v="2657"/>
    <x v="3117"/>
    <x v="4425"/>
    <x v="4391"/>
    <x v="3743"/>
    <x v="2"/>
    <x v="4329"/>
    <x v="4428"/>
    <x v="946"/>
    <x v="0"/>
    <x v="0"/>
    <x v="2"/>
    <x v="363"/>
    <x v="84"/>
    <x v="79"/>
    <x v="35"/>
    <x v="15"/>
    <x v="33"/>
    <x v="0"/>
    <x v="4526"/>
  </r>
  <r>
    <x v="0"/>
    <x v="2060"/>
    <x v="299"/>
    <x v="71"/>
    <x v="0"/>
    <x v="531"/>
    <x v="795"/>
    <x v="4"/>
    <x v="416"/>
    <x v="1778"/>
    <x v="2658"/>
    <x v="3118"/>
    <x v="4426"/>
    <x v="4392"/>
    <x v="2833"/>
    <x v="0"/>
    <x v="4330"/>
    <x v="4429"/>
    <x v="432"/>
    <x v="0"/>
    <x v="5"/>
    <x v="4"/>
    <x v="123"/>
    <x v="8"/>
    <x v="624"/>
    <x v="9"/>
    <x v="3"/>
    <x v="1"/>
    <x v="0"/>
    <x v="4527"/>
  </r>
  <r>
    <x v="0"/>
    <x v="2061"/>
    <x v="369"/>
    <x v="13"/>
    <x v="85"/>
    <x v="280"/>
    <x v="288"/>
    <x v="4"/>
    <x v="200"/>
    <x v="1274"/>
    <x v="2659"/>
    <x v="3119"/>
    <x v="4427"/>
    <x v="4393"/>
    <x v="3744"/>
    <x v="1"/>
    <x v="4331"/>
    <x v="4430"/>
    <x v="816"/>
    <x v="8"/>
    <x v="16"/>
    <x v="1"/>
    <x v="4"/>
    <x v="0"/>
    <x v="554"/>
    <x v="7"/>
    <x v="2"/>
    <x v="196"/>
    <x v="0"/>
    <x v="4528"/>
  </r>
  <r>
    <x v="0"/>
    <x v="2062"/>
    <x v="314"/>
    <x v="71"/>
    <x v="282"/>
    <x v="736"/>
    <x v="156"/>
    <x v="4"/>
    <x v="142"/>
    <x v="1008"/>
    <x v="2660"/>
    <x v="3120"/>
    <x v="4428"/>
    <x v="4394"/>
    <x v="3745"/>
    <x v="1"/>
    <x v="4332"/>
    <x v="4431"/>
    <x v="614"/>
    <x v="0"/>
    <x v="0"/>
    <x v="16"/>
    <x v="138"/>
    <x v="36"/>
    <x v="423"/>
    <x v="10"/>
    <x v="3"/>
    <x v="1"/>
    <x v="0"/>
    <x v="4529"/>
  </r>
  <r>
    <x v="0"/>
    <x v="543"/>
    <x v="142"/>
    <x v="97"/>
    <x v="8"/>
    <x v="20"/>
    <x v="57"/>
    <x v="3772"/>
    <x v="291"/>
    <x v="237"/>
    <x v="2661"/>
    <x v="1750"/>
    <x v="4429"/>
    <x v="4395"/>
    <x v="3746"/>
    <x v="0"/>
    <x v="4333"/>
    <x v="4432"/>
    <x v="947"/>
    <x v="0"/>
    <x v="0"/>
    <x v="2"/>
    <x v="357"/>
    <x v="46"/>
    <x v="30"/>
    <x v="14"/>
    <x v="8"/>
    <x v="1"/>
    <x v="0"/>
    <x v="4530"/>
  </r>
  <r>
    <x v="0"/>
    <x v="2063"/>
    <x v="441"/>
    <x v="43"/>
    <x v="216"/>
    <x v="777"/>
    <x v="675"/>
    <x v="4"/>
    <x v="270"/>
    <x v="1779"/>
    <x v="1531"/>
    <x v="3121"/>
    <x v="4430"/>
    <x v="4396"/>
    <x v="3665"/>
    <x v="1"/>
    <x v="4334"/>
    <x v="4433"/>
    <x v="188"/>
    <x v="0"/>
    <x v="37"/>
    <x v="9"/>
    <x v="352"/>
    <x v="11"/>
    <x v="746"/>
    <x v="41"/>
    <x v="1"/>
    <x v="800"/>
    <x v="0"/>
    <x v="4531"/>
  </r>
  <r>
    <x v="0"/>
    <x v="469"/>
    <x v="237"/>
    <x v="71"/>
    <x v="0"/>
    <x v="787"/>
    <x v="35"/>
    <x v="2248"/>
    <x v="471"/>
    <x v="157"/>
    <x v="326"/>
    <x v="1759"/>
    <x v="2390"/>
    <x v="4397"/>
    <x v="3747"/>
    <x v="0"/>
    <x v="2371"/>
    <x v="2390"/>
    <x v="750"/>
    <x v="0"/>
    <x v="0"/>
    <x v="4"/>
    <x v="138"/>
    <x v="35"/>
    <x v="117"/>
    <x v="2"/>
    <x v="1"/>
    <x v="115"/>
    <x v="0"/>
    <x v="4532"/>
  </r>
  <r>
    <x v="0"/>
    <x v="1481"/>
    <x v="421"/>
    <x v="61"/>
    <x v="110"/>
    <x v="691"/>
    <x v="23"/>
    <x v="4"/>
    <x v="863"/>
    <x v="24"/>
    <x v="2296"/>
    <x v="3122"/>
    <x v="4431"/>
    <x v="4398"/>
    <x v="3748"/>
    <x v="1"/>
    <x v="4335"/>
    <x v="4434"/>
    <x v="388"/>
    <x v="0"/>
    <x v="1"/>
    <x v="10"/>
    <x v="138"/>
    <x v="41"/>
    <x v="73"/>
    <x v="2"/>
    <x v="15"/>
    <x v="251"/>
    <x v="0"/>
    <x v="4533"/>
  </r>
  <r>
    <x v="0"/>
    <x v="2064"/>
    <x v="433"/>
    <x v="105"/>
    <x v="85"/>
    <x v="667"/>
    <x v="707"/>
    <x v="3773"/>
    <x v="236"/>
    <x v="1780"/>
    <x v="2662"/>
    <x v="3123"/>
    <x v="4432"/>
    <x v="4399"/>
    <x v="1767"/>
    <x v="0"/>
    <x v="4336"/>
    <x v="4435"/>
    <x v="75"/>
    <x v="0"/>
    <x v="0"/>
    <x v="4"/>
    <x v="138"/>
    <x v="11"/>
    <x v="785"/>
    <x v="20"/>
    <x v="3"/>
    <x v="38"/>
    <x v="0"/>
    <x v="4534"/>
  </r>
  <r>
    <x v="0"/>
    <x v="48"/>
    <x v="130"/>
    <x v="47"/>
    <x v="33"/>
    <x v="53"/>
    <x v="13"/>
    <x v="4"/>
    <x v="152"/>
    <x v="158"/>
    <x v="725"/>
    <x v="492"/>
    <x v="4433"/>
    <x v="4400"/>
    <x v="3749"/>
    <x v="1"/>
    <x v="4337"/>
    <x v="4436"/>
    <x v="916"/>
    <x v="0"/>
    <x v="0"/>
    <x v="4"/>
    <x v="312"/>
    <x v="46"/>
    <x v="77"/>
    <x v="24"/>
    <x v="3"/>
    <x v="50"/>
    <x v="0"/>
    <x v="4535"/>
  </r>
  <r>
    <x v="0"/>
    <x v="259"/>
    <x v="331"/>
    <x v="43"/>
    <x v="173"/>
    <x v="776"/>
    <x v="0"/>
    <x v="3774"/>
    <x v="429"/>
    <x v="657"/>
    <x v="679"/>
    <x v="3124"/>
    <x v="4434"/>
    <x v="4401"/>
    <x v="3750"/>
    <x v="0"/>
    <x v="4338"/>
    <x v="4437"/>
    <x v="224"/>
    <x v="0"/>
    <x v="0"/>
    <x v="4"/>
    <x v="138"/>
    <x v="37"/>
    <x v="418"/>
    <x v="4"/>
    <x v="3"/>
    <x v="1"/>
    <x v="0"/>
    <x v="4536"/>
  </r>
  <r>
    <x v="0"/>
    <x v="494"/>
    <x v="141"/>
    <x v="47"/>
    <x v="170"/>
    <x v="491"/>
    <x v="77"/>
    <x v="3775"/>
    <x v="2"/>
    <x v="1781"/>
    <x v="2663"/>
    <x v="735"/>
    <x v="4435"/>
    <x v="4402"/>
    <x v="2530"/>
    <x v="2"/>
    <x v="4339"/>
    <x v="4438"/>
    <x v="837"/>
    <x v="0"/>
    <x v="1"/>
    <x v="11"/>
    <x v="352"/>
    <x v="34"/>
    <x v="799"/>
    <x v="11"/>
    <x v="15"/>
    <x v="9"/>
    <x v="0"/>
    <x v="4537"/>
  </r>
  <r>
    <x v="0"/>
    <x v="2065"/>
    <x v="433"/>
    <x v="107"/>
    <x v="174"/>
    <x v="439"/>
    <x v="0"/>
    <x v="3776"/>
    <x v="315"/>
    <x v="372"/>
    <x v="2664"/>
    <x v="3125"/>
    <x v="4436"/>
    <x v="4403"/>
    <x v="3751"/>
    <x v="0"/>
    <x v="4340"/>
    <x v="4439"/>
    <x v="484"/>
    <x v="0"/>
    <x v="0"/>
    <x v="4"/>
    <x v="138"/>
    <x v="3"/>
    <x v="270"/>
    <x v="40"/>
    <x v="3"/>
    <x v="4"/>
    <x v="0"/>
    <x v="4538"/>
  </r>
  <r>
    <x v="0"/>
    <x v="2066"/>
    <x v="232"/>
    <x v="107"/>
    <x v="130"/>
    <x v="624"/>
    <x v="796"/>
    <x v="3777"/>
    <x v="471"/>
    <x v="1782"/>
    <x v="2665"/>
    <x v="3126"/>
    <x v="4437"/>
    <x v="4404"/>
    <x v="1795"/>
    <x v="0"/>
    <x v="4341"/>
    <x v="4440"/>
    <x v="750"/>
    <x v="0"/>
    <x v="1"/>
    <x v="4"/>
    <x v="138"/>
    <x v="42"/>
    <x v="821"/>
    <x v="15"/>
    <x v="3"/>
    <x v="1"/>
    <x v="0"/>
    <x v="4539"/>
  </r>
  <r>
    <x v="0"/>
    <x v="2067"/>
    <x v="207"/>
    <x v="60"/>
    <x v="174"/>
    <x v="436"/>
    <x v="522"/>
    <x v="3778"/>
    <x v="270"/>
    <x v="1783"/>
    <x v="2666"/>
    <x v="3127"/>
    <x v="4438"/>
    <x v="4405"/>
    <x v="3734"/>
    <x v="13"/>
    <x v="4342"/>
    <x v="4441"/>
    <x v="386"/>
    <x v="0"/>
    <x v="0"/>
    <x v="2"/>
    <x v="240"/>
    <x v="6"/>
    <x v="896"/>
    <x v="53"/>
    <x v="1"/>
    <x v="1"/>
    <x v="0"/>
    <x v="4540"/>
  </r>
  <r>
    <x v="0"/>
    <x v="764"/>
    <x v="312"/>
    <x v="78"/>
    <x v="169"/>
    <x v="219"/>
    <x v="0"/>
    <x v="3779"/>
    <x v="416"/>
    <x v="1110"/>
    <x v="658"/>
    <x v="3128"/>
    <x v="4439"/>
    <x v="4406"/>
    <x v="819"/>
    <x v="0"/>
    <x v="4343"/>
    <x v="4442"/>
    <x v="570"/>
    <x v="0"/>
    <x v="0"/>
    <x v="0"/>
    <x v="138"/>
    <x v="12"/>
    <x v="408"/>
    <x v="18"/>
    <x v="1"/>
    <x v="482"/>
    <x v="0"/>
    <x v="4541"/>
  </r>
  <r>
    <x v="0"/>
    <x v="2068"/>
    <x v="283"/>
    <x v="77"/>
    <x v="216"/>
    <x v="708"/>
    <x v="797"/>
    <x v="3780"/>
    <x v="390"/>
    <x v="1784"/>
    <x v="2667"/>
    <x v="3129"/>
    <x v="4440"/>
    <x v="4407"/>
    <x v="1896"/>
    <x v="0"/>
    <x v="4344"/>
    <x v="4443"/>
    <x v="629"/>
    <x v="2"/>
    <x v="7"/>
    <x v="2"/>
    <x v="364"/>
    <x v="15"/>
    <x v="515"/>
    <x v="19"/>
    <x v="1"/>
    <x v="445"/>
    <x v="0"/>
    <x v="4542"/>
  </r>
  <r>
    <x v="0"/>
    <x v="1112"/>
    <x v="28"/>
    <x v="52"/>
    <x v="323"/>
    <x v="611"/>
    <x v="186"/>
    <x v="3781"/>
    <x v="17"/>
    <x v="350"/>
    <x v="91"/>
    <x v="1023"/>
    <x v="4441"/>
    <x v="4408"/>
    <x v="3752"/>
    <x v="0"/>
    <x v="4345"/>
    <x v="4444"/>
    <x v="41"/>
    <x v="0"/>
    <x v="0"/>
    <x v="4"/>
    <x v="209"/>
    <x v="5"/>
    <x v="12"/>
    <x v="38"/>
    <x v="10"/>
    <x v="68"/>
    <x v="0"/>
    <x v="4543"/>
  </r>
  <r>
    <x v="0"/>
    <x v="2069"/>
    <x v="244"/>
    <x v="33"/>
    <x v="216"/>
    <x v="425"/>
    <x v="35"/>
    <x v="3782"/>
    <x v="371"/>
    <x v="611"/>
    <x v="253"/>
    <x v="3130"/>
    <x v="4442"/>
    <x v="4409"/>
    <x v="2779"/>
    <x v="4"/>
    <x v="4346"/>
    <x v="4445"/>
    <x v="273"/>
    <x v="0"/>
    <x v="0"/>
    <x v="4"/>
    <x v="138"/>
    <x v="12"/>
    <x v="172"/>
    <x v="38"/>
    <x v="3"/>
    <x v="1"/>
    <x v="0"/>
    <x v="4544"/>
  </r>
  <r>
    <x v="0"/>
    <x v="926"/>
    <x v="117"/>
    <x v="105"/>
    <x v="107"/>
    <x v="898"/>
    <x v="490"/>
    <x v="3783"/>
    <x v="429"/>
    <x v="1785"/>
    <x v="2668"/>
    <x v="3131"/>
    <x v="4443"/>
    <x v="4410"/>
    <x v="2863"/>
    <x v="0"/>
    <x v="4347"/>
    <x v="4446"/>
    <x v="511"/>
    <x v="0"/>
    <x v="0"/>
    <x v="4"/>
    <x v="138"/>
    <x v="3"/>
    <x v="221"/>
    <x v="39"/>
    <x v="3"/>
    <x v="85"/>
    <x v="0"/>
    <x v="4545"/>
  </r>
  <r>
    <x v="0"/>
    <x v="2070"/>
    <x v="217"/>
    <x v="56"/>
    <x v="418"/>
    <x v="608"/>
    <x v="533"/>
    <x v="3784"/>
    <x v="379"/>
    <x v="1004"/>
    <x v="2669"/>
    <x v="3132"/>
    <x v="4444"/>
    <x v="4411"/>
    <x v="3417"/>
    <x v="8"/>
    <x v="4348"/>
    <x v="4447"/>
    <x v="180"/>
    <x v="0"/>
    <x v="0"/>
    <x v="14"/>
    <x v="365"/>
    <x v="48"/>
    <x v="514"/>
    <x v="5"/>
    <x v="1"/>
    <x v="1"/>
    <x v="0"/>
    <x v="4546"/>
  </r>
  <r>
    <x v="1"/>
    <x v="2071"/>
    <x v="347"/>
    <x v="71"/>
    <x v="0"/>
    <x v="313"/>
    <x v="798"/>
    <x v="4"/>
    <x v="304"/>
    <x v="1786"/>
    <x v="2670"/>
    <x v="3133"/>
    <x v="4445"/>
    <x v="4412"/>
    <x v="3753"/>
    <x v="1"/>
    <x v="4349"/>
    <x v="4448"/>
    <x v="225"/>
    <x v="0"/>
    <x v="0"/>
    <x v="1"/>
    <x v="138"/>
    <x v="67"/>
    <x v="380"/>
    <x v="5"/>
    <x v="1"/>
    <x v="389"/>
    <x v="0"/>
    <x v="4547"/>
  </r>
  <r>
    <x v="0"/>
    <x v="1180"/>
    <x v="326"/>
    <x v="45"/>
    <x v="255"/>
    <x v="4"/>
    <x v="529"/>
    <x v="3785"/>
    <x v="4"/>
    <x v="1787"/>
    <x v="2671"/>
    <x v="4"/>
    <x v="4446"/>
    <x v="4413"/>
    <x v="3754"/>
    <x v="0"/>
    <x v="4350"/>
    <x v="4449"/>
    <x v="200"/>
    <x v="0"/>
    <x v="0"/>
    <x v="2"/>
    <x v="4"/>
    <x v="7"/>
    <x v="463"/>
    <x v="7"/>
    <x v="3"/>
    <x v="1"/>
    <x v="0"/>
    <x v="4548"/>
  </r>
  <r>
    <x v="1"/>
    <x v="2072"/>
    <x v="361"/>
    <x v="56"/>
    <x v="80"/>
    <x v="743"/>
    <x v="626"/>
    <x v="4"/>
    <x v="864"/>
    <x v="1788"/>
    <x v="2672"/>
    <x v="3134"/>
    <x v="4447"/>
    <x v="4414"/>
    <x v="3755"/>
    <x v="0"/>
    <x v="4351"/>
    <x v="4450"/>
    <x v="212"/>
    <x v="0"/>
    <x v="0"/>
    <x v="11"/>
    <x v="138"/>
    <x v="80"/>
    <x v="364"/>
    <x v="13"/>
    <x v="15"/>
    <x v="194"/>
    <x v="0"/>
    <x v="4549"/>
  </r>
  <r>
    <x v="0"/>
    <x v="48"/>
    <x v="309"/>
    <x v="40"/>
    <x v="33"/>
    <x v="127"/>
    <x v="560"/>
    <x v="3786"/>
    <x v="865"/>
    <x v="1789"/>
    <x v="2673"/>
    <x v="3135"/>
    <x v="4448"/>
    <x v="3509"/>
    <x v="3366"/>
    <x v="0"/>
    <x v="4352"/>
    <x v="4451"/>
    <x v="450"/>
    <x v="0"/>
    <x v="0"/>
    <x v="0"/>
    <x v="4"/>
    <x v="8"/>
    <x v="491"/>
    <x v="13"/>
    <x v="3"/>
    <x v="1"/>
    <x v="0"/>
    <x v="4550"/>
  </r>
  <r>
    <x v="0"/>
    <x v="1480"/>
    <x v="456"/>
    <x v="7"/>
    <x v="0"/>
    <x v="600"/>
    <x v="5"/>
    <x v="3787"/>
    <x v="774"/>
    <x v="5"/>
    <x v="131"/>
    <x v="3136"/>
    <x v="4449"/>
    <x v="4415"/>
    <x v="3756"/>
    <x v="0"/>
    <x v="4353"/>
    <x v="4452"/>
    <x v="291"/>
    <x v="0"/>
    <x v="0"/>
    <x v="4"/>
    <x v="224"/>
    <x v="9"/>
    <x v="91"/>
    <x v="28"/>
    <x v="1"/>
    <x v="85"/>
    <x v="0"/>
    <x v="4551"/>
  </r>
  <r>
    <x v="0"/>
    <x v="2073"/>
    <x v="207"/>
    <x v="56"/>
    <x v="0"/>
    <x v="89"/>
    <x v="799"/>
    <x v="4"/>
    <x v="660"/>
    <x v="1790"/>
    <x v="2674"/>
    <x v="3137"/>
    <x v="4450"/>
    <x v="3187"/>
    <x v="3757"/>
    <x v="0"/>
    <x v="4354"/>
    <x v="4453"/>
    <x v="685"/>
    <x v="0"/>
    <x v="1"/>
    <x v="1"/>
    <x v="352"/>
    <x v="2"/>
    <x v="495"/>
    <x v="15"/>
    <x v="3"/>
    <x v="607"/>
    <x v="0"/>
    <x v="4552"/>
  </r>
  <r>
    <x v="0"/>
    <x v="2074"/>
    <x v="523"/>
    <x v="54"/>
    <x v="131"/>
    <x v="584"/>
    <x v="390"/>
    <x v="3788"/>
    <x v="360"/>
    <x v="1791"/>
    <x v="1392"/>
    <x v="3138"/>
    <x v="4451"/>
    <x v="3600"/>
    <x v="611"/>
    <x v="3"/>
    <x v="4355"/>
    <x v="4454"/>
    <x v="189"/>
    <x v="0"/>
    <x v="0"/>
    <x v="4"/>
    <x v="138"/>
    <x v="3"/>
    <x v="652"/>
    <x v="13"/>
    <x v="3"/>
    <x v="59"/>
    <x v="0"/>
    <x v="4553"/>
  </r>
  <r>
    <x v="0"/>
    <x v="2075"/>
    <x v="293"/>
    <x v="50"/>
    <x v="31"/>
    <x v="621"/>
    <x v="307"/>
    <x v="3789"/>
    <x v="4"/>
    <x v="1792"/>
    <x v="2675"/>
    <x v="3139"/>
    <x v="4452"/>
    <x v="4416"/>
    <x v="3758"/>
    <x v="0"/>
    <x v="4356"/>
    <x v="4455"/>
    <x v="562"/>
    <x v="0"/>
    <x v="0"/>
    <x v="2"/>
    <x v="4"/>
    <x v="8"/>
    <x v="515"/>
    <x v="0"/>
    <x v="0"/>
    <x v="40"/>
    <x v="0"/>
    <x v="4554"/>
  </r>
  <r>
    <x v="0"/>
    <x v="1682"/>
    <x v="361"/>
    <x v="86"/>
    <x v="123"/>
    <x v="668"/>
    <x v="46"/>
    <x v="3790"/>
    <x v="270"/>
    <x v="1508"/>
    <x v="2676"/>
    <x v="3140"/>
    <x v="4453"/>
    <x v="4417"/>
    <x v="3759"/>
    <x v="1"/>
    <x v="4357"/>
    <x v="4456"/>
    <x v="517"/>
    <x v="0"/>
    <x v="0"/>
    <x v="0"/>
    <x v="4"/>
    <x v="10"/>
    <x v="630"/>
    <x v="2"/>
    <x v="2"/>
    <x v="1"/>
    <x v="0"/>
    <x v="4555"/>
  </r>
  <r>
    <x v="0"/>
    <x v="1142"/>
    <x v="428"/>
    <x v="27"/>
    <x v="322"/>
    <x v="478"/>
    <x v="13"/>
    <x v="3791"/>
    <x v="105"/>
    <x v="93"/>
    <x v="2677"/>
    <x v="703"/>
    <x v="4454"/>
    <x v="3553"/>
    <x v="3760"/>
    <x v="1"/>
    <x v="4358"/>
    <x v="4457"/>
    <x v="514"/>
    <x v="0"/>
    <x v="0"/>
    <x v="4"/>
    <x v="138"/>
    <x v="20"/>
    <x v="421"/>
    <x v="10"/>
    <x v="3"/>
    <x v="455"/>
    <x v="0"/>
    <x v="4556"/>
  </r>
  <r>
    <x v="0"/>
    <x v="689"/>
    <x v="381"/>
    <x v="45"/>
    <x v="285"/>
    <x v="648"/>
    <x v="6"/>
    <x v="3105"/>
    <x v="105"/>
    <x v="6"/>
    <x v="1859"/>
    <x v="2394"/>
    <x v="3399"/>
    <x v="4418"/>
    <x v="3055"/>
    <x v="0"/>
    <x v="3358"/>
    <x v="3401"/>
    <x v="916"/>
    <x v="0"/>
    <x v="0"/>
    <x v="0"/>
    <x v="244"/>
    <x v="1"/>
    <x v="13"/>
    <x v="7"/>
    <x v="3"/>
    <x v="7"/>
    <x v="0"/>
    <x v="4557"/>
  </r>
  <r>
    <x v="0"/>
    <x v="2076"/>
    <x v="112"/>
    <x v="41"/>
    <x v="143"/>
    <x v="866"/>
    <x v="22"/>
    <x v="3792"/>
    <x v="200"/>
    <x v="95"/>
    <x v="1183"/>
    <x v="3141"/>
    <x v="4455"/>
    <x v="4419"/>
    <x v="621"/>
    <x v="4"/>
    <x v="4359"/>
    <x v="4458"/>
    <x v="167"/>
    <x v="0"/>
    <x v="0"/>
    <x v="4"/>
    <x v="4"/>
    <x v="11"/>
    <x v="578"/>
    <x v="2"/>
    <x v="1"/>
    <x v="1"/>
    <x v="0"/>
    <x v="4558"/>
  </r>
  <r>
    <x v="0"/>
    <x v="2077"/>
    <x v="195"/>
    <x v="58"/>
    <x v="263"/>
    <x v="489"/>
    <x v="675"/>
    <x v="3793"/>
    <x v="150"/>
    <x v="1779"/>
    <x v="2678"/>
    <x v="732"/>
    <x v="4456"/>
    <x v="4420"/>
    <x v="2265"/>
    <x v="0"/>
    <x v="4360"/>
    <x v="4459"/>
    <x v="139"/>
    <x v="0"/>
    <x v="0"/>
    <x v="4"/>
    <x v="4"/>
    <x v="10"/>
    <x v="95"/>
    <x v="8"/>
    <x v="1"/>
    <x v="1"/>
    <x v="0"/>
    <x v="4559"/>
  </r>
  <r>
    <x v="0"/>
    <x v="2078"/>
    <x v="297"/>
    <x v="95"/>
    <x v="134"/>
    <x v="698"/>
    <x v="800"/>
    <x v="3794"/>
    <x v="200"/>
    <x v="1793"/>
    <x v="2679"/>
    <x v="3142"/>
    <x v="4457"/>
    <x v="4421"/>
    <x v="3336"/>
    <x v="1"/>
    <x v="4361"/>
    <x v="4460"/>
    <x v="546"/>
    <x v="0"/>
    <x v="0"/>
    <x v="4"/>
    <x v="4"/>
    <x v="11"/>
    <x v="555"/>
    <x v="2"/>
    <x v="1"/>
    <x v="1"/>
    <x v="0"/>
    <x v="4560"/>
  </r>
  <r>
    <x v="0"/>
    <x v="2079"/>
    <x v="198"/>
    <x v="55"/>
    <x v="58"/>
    <x v="647"/>
    <x v="314"/>
    <x v="3795"/>
    <x v="152"/>
    <x v="569"/>
    <x v="2680"/>
    <x v="3143"/>
    <x v="4458"/>
    <x v="4422"/>
    <x v="2512"/>
    <x v="1"/>
    <x v="4362"/>
    <x v="4461"/>
    <x v="641"/>
    <x v="0"/>
    <x v="0"/>
    <x v="4"/>
    <x v="138"/>
    <x v="8"/>
    <x v="786"/>
    <x v="13"/>
    <x v="3"/>
    <x v="1"/>
    <x v="0"/>
    <x v="4561"/>
  </r>
  <r>
    <x v="0"/>
    <x v="2080"/>
    <x v="290"/>
    <x v="43"/>
    <x v="134"/>
    <x v="170"/>
    <x v="570"/>
    <x v="3796"/>
    <x v="305"/>
    <x v="1794"/>
    <x v="2681"/>
    <x v="3144"/>
    <x v="4459"/>
    <x v="4423"/>
    <x v="2281"/>
    <x v="0"/>
    <x v="4363"/>
    <x v="4462"/>
    <x v="670"/>
    <x v="0"/>
    <x v="0"/>
    <x v="0"/>
    <x v="138"/>
    <x v="9"/>
    <x v="897"/>
    <x v="38"/>
    <x v="0"/>
    <x v="57"/>
    <x v="0"/>
    <x v="4562"/>
  </r>
  <r>
    <x v="0"/>
    <x v="1588"/>
    <x v="390"/>
    <x v="95"/>
    <x v="28"/>
    <x v="170"/>
    <x v="20"/>
    <x v="3797"/>
    <x v="200"/>
    <x v="21"/>
    <x v="2682"/>
    <x v="3145"/>
    <x v="4460"/>
    <x v="4424"/>
    <x v="3761"/>
    <x v="3"/>
    <x v="4364"/>
    <x v="4463"/>
    <x v="386"/>
    <x v="0"/>
    <x v="0"/>
    <x v="4"/>
    <x v="138"/>
    <x v="13"/>
    <x v="686"/>
    <x v="23"/>
    <x v="3"/>
    <x v="312"/>
    <x v="0"/>
    <x v="4563"/>
  </r>
  <r>
    <x v="0"/>
    <x v="1452"/>
    <x v="465"/>
    <x v="107"/>
    <x v="281"/>
    <x v="513"/>
    <x v="322"/>
    <x v="3798"/>
    <x v="105"/>
    <x v="1795"/>
    <x v="298"/>
    <x v="1004"/>
    <x v="4461"/>
    <x v="4425"/>
    <x v="2993"/>
    <x v="4"/>
    <x v="4365"/>
    <x v="4464"/>
    <x v="646"/>
    <x v="0"/>
    <x v="1"/>
    <x v="4"/>
    <x v="138"/>
    <x v="25"/>
    <x v="169"/>
    <x v="2"/>
    <x v="3"/>
    <x v="395"/>
    <x v="0"/>
    <x v="4564"/>
  </r>
  <r>
    <x v="0"/>
    <x v="1135"/>
    <x v="270"/>
    <x v="43"/>
    <x v="31"/>
    <x v="817"/>
    <x v="0"/>
    <x v="3475"/>
    <x v="379"/>
    <x v="384"/>
    <x v="581"/>
    <x v="2729"/>
    <x v="3904"/>
    <x v="3888"/>
    <x v="504"/>
    <x v="3"/>
    <x v="3848"/>
    <x v="3907"/>
    <x v="149"/>
    <x v="0"/>
    <x v="1"/>
    <x v="4"/>
    <x v="209"/>
    <x v="13"/>
    <x v="371"/>
    <x v="13"/>
    <x v="3"/>
    <x v="1"/>
    <x v="0"/>
    <x v="4565"/>
  </r>
  <r>
    <x v="0"/>
    <x v="2081"/>
    <x v="314"/>
    <x v="80"/>
    <x v="216"/>
    <x v="531"/>
    <x v="56"/>
    <x v="3799"/>
    <x v="4"/>
    <x v="98"/>
    <x v="2683"/>
    <x v="3146"/>
    <x v="4462"/>
    <x v="4426"/>
    <x v="3762"/>
    <x v="0"/>
    <x v="4366"/>
    <x v="4465"/>
    <x v="293"/>
    <x v="0"/>
    <x v="0"/>
    <x v="2"/>
    <x v="138"/>
    <x v="7"/>
    <x v="825"/>
    <x v="16"/>
    <x v="21"/>
    <x v="1"/>
    <x v="0"/>
    <x v="4566"/>
  </r>
  <r>
    <x v="0"/>
    <x v="2082"/>
    <x v="359"/>
    <x v="50"/>
    <x v="379"/>
    <x v="800"/>
    <x v="0"/>
    <x v="3800"/>
    <x v="334"/>
    <x v="537"/>
    <x v="832"/>
    <x v="1815"/>
    <x v="4463"/>
    <x v="4427"/>
    <x v="3763"/>
    <x v="1"/>
    <x v="4367"/>
    <x v="4466"/>
    <x v="452"/>
    <x v="0"/>
    <x v="0"/>
    <x v="4"/>
    <x v="138"/>
    <x v="21"/>
    <x v="117"/>
    <x v="15"/>
    <x v="1"/>
    <x v="344"/>
    <x v="0"/>
    <x v="4567"/>
  </r>
  <r>
    <x v="0"/>
    <x v="1626"/>
    <x v="444"/>
    <x v="80"/>
    <x v="240"/>
    <x v="788"/>
    <x v="0"/>
    <x v="4"/>
    <x v="866"/>
    <x v="735"/>
    <x v="2083"/>
    <x v="3147"/>
    <x v="4464"/>
    <x v="4428"/>
    <x v="3336"/>
    <x v="4"/>
    <x v="4368"/>
    <x v="4467"/>
    <x v="196"/>
    <x v="0"/>
    <x v="0"/>
    <x v="4"/>
    <x v="138"/>
    <x v="19"/>
    <x v="722"/>
    <x v="13"/>
    <x v="3"/>
    <x v="1"/>
    <x v="0"/>
    <x v="4568"/>
  </r>
  <r>
    <x v="0"/>
    <x v="46"/>
    <x v="82"/>
    <x v="33"/>
    <x v="31"/>
    <x v="462"/>
    <x v="35"/>
    <x v="782"/>
    <x v="331"/>
    <x v="366"/>
    <x v="579"/>
    <x v="681"/>
    <x v="806"/>
    <x v="4429"/>
    <x v="794"/>
    <x v="2"/>
    <x v="801"/>
    <x v="806"/>
    <x v="142"/>
    <x v="0"/>
    <x v="0"/>
    <x v="2"/>
    <x v="90"/>
    <x v="2"/>
    <x v="30"/>
    <x v="21"/>
    <x v="1"/>
    <x v="50"/>
    <x v="0"/>
    <x v="4569"/>
  </r>
  <r>
    <x v="0"/>
    <x v="2083"/>
    <x v="441"/>
    <x v="7"/>
    <x v="69"/>
    <x v="423"/>
    <x v="801"/>
    <x v="3801"/>
    <x v="270"/>
    <x v="1796"/>
    <x v="2684"/>
    <x v="3148"/>
    <x v="4465"/>
    <x v="4430"/>
    <x v="3764"/>
    <x v="0"/>
    <x v="4369"/>
    <x v="4468"/>
    <x v="794"/>
    <x v="0"/>
    <x v="0"/>
    <x v="4"/>
    <x v="138"/>
    <x v="20"/>
    <x v="753"/>
    <x v="13"/>
    <x v="3"/>
    <x v="801"/>
    <x v="0"/>
    <x v="4570"/>
  </r>
  <r>
    <x v="0"/>
    <x v="2084"/>
    <x v="329"/>
    <x v="73"/>
    <x v="89"/>
    <x v="401"/>
    <x v="58"/>
    <x v="3802"/>
    <x v="241"/>
    <x v="559"/>
    <x v="2685"/>
    <x v="3149"/>
    <x v="4466"/>
    <x v="4431"/>
    <x v="3765"/>
    <x v="0"/>
    <x v="4370"/>
    <x v="4469"/>
    <x v="377"/>
    <x v="0"/>
    <x v="0"/>
    <x v="0"/>
    <x v="138"/>
    <x v="18"/>
    <x v="479"/>
    <x v="13"/>
    <x v="3"/>
    <x v="714"/>
    <x v="0"/>
    <x v="4571"/>
  </r>
  <r>
    <x v="1"/>
    <x v="2085"/>
    <x v="93"/>
    <x v="143"/>
    <x v="123"/>
    <x v="381"/>
    <x v="773"/>
    <x v="3803"/>
    <x v="17"/>
    <x v="1667"/>
    <x v="2686"/>
    <x v="3150"/>
    <x v="4467"/>
    <x v="4432"/>
    <x v="1989"/>
    <x v="3"/>
    <x v="4371"/>
    <x v="4470"/>
    <x v="786"/>
    <x v="8"/>
    <x v="16"/>
    <x v="1"/>
    <x v="138"/>
    <x v="21"/>
    <x v="803"/>
    <x v="5"/>
    <x v="1"/>
    <x v="802"/>
    <x v="0"/>
    <x v="4572"/>
  </r>
  <r>
    <x v="0"/>
    <x v="873"/>
    <x v="422"/>
    <x v="80"/>
    <x v="0"/>
    <x v="752"/>
    <x v="0"/>
    <x v="4"/>
    <x v="125"/>
    <x v="1161"/>
    <x v="1790"/>
    <x v="1581"/>
    <x v="2990"/>
    <x v="2986"/>
    <x v="2661"/>
    <x v="0"/>
    <x v="2960"/>
    <x v="2991"/>
    <x v="104"/>
    <x v="0"/>
    <x v="0"/>
    <x v="4"/>
    <x v="190"/>
    <x v="37"/>
    <x v="103"/>
    <x v="8"/>
    <x v="1"/>
    <x v="1"/>
    <x v="0"/>
    <x v="4573"/>
  </r>
  <r>
    <x v="0"/>
    <x v="890"/>
    <x v="349"/>
    <x v="80"/>
    <x v="320"/>
    <x v="475"/>
    <x v="802"/>
    <x v="3804"/>
    <x v="376"/>
    <x v="1797"/>
    <x v="2687"/>
    <x v="3151"/>
    <x v="4468"/>
    <x v="4433"/>
    <x v="2109"/>
    <x v="0"/>
    <x v="4372"/>
    <x v="4471"/>
    <x v="352"/>
    <x v="0"/>
    <x v="0"/>
    <x v="13"/>
    <x v="138"/>
    <x v="13"/>
    <x v="739"/>
    <x v="5"/>
    <x v="3"/>
    <x v="1"/>
    <x v="0"/>
    <x v="4574"/>
  </r>
  <r>
    <x v="0"/>
    <x v="473"/>
    <x v="343"/>
    <x v="26"/>
    <x v="212"/>
    <x v="130"/>
    <x v="2"/>
    <x v="3805"/>
    <x v="17"/>
    <x v="336"/>
    <x v="1468"/>
    <x v="2841"/>
    <x v="4469"/>
    <x v="4434"/>
    <x v="3766"/>
    <x v="0"/>
    <x v="4373"/>
    <x v="4472"/>
    <x v="189"/>
    <x v="0"/>
    <x v="0"/>
    <x v="4"/>
    <x v="139"/>
    <x v="17"/>
    <x v="280"/>
    <x v="8"/>
    <x v="1"/>
    <x v="803"/>
    <x v="0"/>
    <x v="4575"/>
  </r>
  <r>
    <x v="0"/>
    <x v="2086"/>
    <x v="419"/>
    <x v="55"/>
    <x v="198"/>
    <x v="376"/>
    <x v="117"/>
    <x v="3806"/>
    <x v="200"/>
    <x v="915"/>
    <x v="556"/>
    <x v="3152"/>
    <x v="4470"/>
    <x v="4435"/>
    <x v="3767"/>
    <x v="0"/>
    <x v="4374"/>
    <x v="4473"/>
    <x v="654"/>
    <x v="0"/>
    <x v="0"/>
    <x v="4"/>
    <x v="138"/>
    <x v="13"/>
    <x v="309"/>
    <x v="15"/>
    <x v="3"/>
    <x v="758"/>
    <x v="0"/>
    <x v="4576"/>
  </r>
  <r>
    <x v="0"/>
    <x v="1775"/>
    <x v="402"/>
    <x v="76"/>
    <x v="188"/>
    <x v="583"/>
    <x v="354"/>
    <x v="3807"/>
    <x v="270"/>
    <x v="637"/>
    <x v="1626"/>
    <x v="1937"/>
    <x v="4471"/>
    <x v="4436"/>
    <x v="3768"/>
    <x v="0"/>
    <x v="4375"/>
    <x v="4474"/>
    <x v="749"/>
    <x v="0"/>
    <x v="0"/>
    <x v="4"/>
    <x v="138"/>
    <x v="19"/>
    <x v="99"/>
    <x v="10"/>
    <x v="3"/>
    <x v="215"/>
    <x v="0"/>
    <x v="4577"/>
  </r>
  <r>
    <x v="0"/>
    <x v="2087"/>
    <x v="457"/>
    <x v="7"/>
    <x v="0"/>
    <x v="171"/>
    <x v="156"/>
    <x v="3808"/>
    <x v="127"/>
    <x v="791"/>
    <x v="2365"/>
    <x v="2572"/>
    <x v="4472"/>
    <x v="4437"/>
    <x v="3769"/>
    <x v="1"/>
    <x v="4376"/>
    <x v="4475"/>
    <x v="646"/>
    <x v="0"/>
    <x v="0"/>
    <x v="4"/>
    <x v="138"/>
    <x v="21"/>
    <x v="159"/>
    <x v="57"/>
    <x v="2"/>
    <x v="804"/>
    <x v="0"/>
    <x v="4578"/>
  </r>
  <r>
    <x v="0"/>
    <x v="2088"/>
    <x v="338"/>
    <x v="7"/>
    <x v="233"/>
    <x v="416"/>
    <x v="2"/>
    <x v="3809"/>
    <x v="270"/>
    <x v="182"/>
    <x v="2688"/>
    <x v="3153"/>
    <x v="4473"/>
    <x v="4438"/>
    <x v="3770"/>
    <x v="0"/>
    <x v="4377"/>
    <x v="4476"/>
    <x v="666"/>
    <x v="0"/>
    <x v="0"/>
    <x v="4"/>
    <x v="4"/>
    <x v="9"/>
    <x v="853"/>
    <x v="22"/>
    <x v="3"/>
    <x v="1"/>
    <x v="0"/>
    <x v="4579"/>
  </r>
  <r>
    <x v="0"/>
    <x v="2089"/>
    <x v="388"/>
    <x v="23"/>
    <x v="89"/>
    <x v="321"/>
    <x v="457"/>
    <x v="3810"/>
    <x v="152"/>
    <x v="1798"/>
    <x v="2689"/>
    <x v="3154"/>
    <x v="4474"/>
    <x v="4439"/>
    <x v="3758"/>
    <x v="5"/>
    <x v="4378"/>
    <x v="4477"/>
    <x v="646"/>
    <x v="32"/>
    <x v="8"/>
    <x v="1"/>
    <x v="4"/>
    <x v="0"/>
    <x v="766"/>
    <x v="38"/>
    <x v="3"/>
    <x v="1"/>
    <x v="0"/>
    <x v="4580"/>
  </r>
  <r>
    <x v="0"/>
    <x v="2090"/>
    <x v="338"/>
    <x v="76"/>
    <x v="122"/>
    <x v="899"/>
    <x v="0"/>
    <x v="3811"/>
    <x v="196"/>
    <x v="995"/>
    <x v="2173"/>
    <x v="3155"/>
    <x v="4475"/>
    <x v="4440"/>
    <x v="3771"/>
    <x v="4"/>
    <x v="4379"/>
    <x v="4478"/>
    <x v="244"/>
    <x v="0"/>
    <x v="0"/>
    <x v="4"/>
    <x v="138"/>
    <x v="7"/>
    <x v="487"/>
    <x v="38"/>
    <x v="0"/>
    <x v="59"/>
    <x v="0"/>
    <x v="4581"/>
  </r>
  <r>
    <x v="0"/>
    <x v="2091"/>
    <x v="321"/>
    <x v="11"/>
    <x v="417"/>
    <x v="660"/>
    <x v="134"/>
    <x v="3812"/>
    <x v="377"/>
    <x v="1799"/>
    <x v="2690"/>
    <x v="3156"/>
    <x v="4476"/>
    <x v="4441"/>
    <x v="3772"/>
    <x v="0"/>
    <x v="4380"/>
    <x v="4479"/>
    <x v="284"/>
    <x v="0"/>
    <x v="0"/>
    <x v="4"/>
    <x v="4"/>
    <x v="11"/>
    <x v="141"/>
    <x v="11"/>
    <x v="6"/>
    <x v="121"/>
    <x v="0"/>
    <x v="4582"/>
  </r>
  <r>
    <x v="0"/>
    <x v="2092"/>
    <x v="207"/>
    <x v="139"/>
    <x v="216"/>
    <x v="274"/>
    <x v="271"/>
    <x v="3813"/>
    <x v="105"/>
    <x v="1800"/>
    <x v="2439"/>
    <x v="552"/>
    <x v="4477"/>
    <x v="4442"/>
    <x v="3649"/>
    <x v="4"/>
    <x v="4381"/>
    <x v="4480"/>
    <x v="769"/>
    <x v="0"/>
    <x v="0"/>
    <x v="0"/>
    <x v="138"/>
    <x v="17"/>
    <x v="199"/>
    <x v="9"/>
    <x v="3"/>
    <x v="805"/>
    <x v="0"/>
    <x v="4583"/>
  </r>
  <r>
    <x v="0"/>
    <x v="16"/>
    <x v="250"/>
    <x v="24"/>
    <x v="0"/>
    <x v="46"/>
    <x v="99"/>
    <x v="325"/>
    <x v="159"/>
    <x v="178"/>
    <x v="264"/>
    <x v="55"/>
    <x v="333"/>
    <x v="4443"/>
    <x v="3773"/>
    <x v="1"/>
    <x v="330"/>
    <x v="333"/>
    <x v="221"/>
    <x v="0"/>
    <x v="0"/>
    <x v="0"/>
    <x v="48"/>
    <x v="0"/>
    <x v="192"/>
    <x v="10"/>
    <x v="1"/>
    <x v="37"/>
    <x v="0"/>
    <x v="4584"/>
  </r>
  <r>
    <x v="0"/>
    <x v="2093"/>
    <x v="61"/>
    <x v="45"/>
    <x v="59"/>
    <x v="298"/>
    <x v="341"/>
    <x v="3814"/>
    <x v="867"/>
    <x v="1801"/>
    <x v="2691"/>
    <x v="3157"/>
    <x v="4478"/>
    <x v="4444"/>
    <x v="3294"/>
    <x v="1"/>
    <x v="4382"/>
    <x v="4481"/>
    <x v="653"/>
    <x v="41"/>
    <x v="1"/>
    <x v="9"/>
    <x v="138"/>
    <x v="3"/>
    <x v="515"/>
    <x v="17"/>
    <x v="3"/>
    <x v="35"/>
    <x v="0"/>
    <x v="4585"/>
  </r>
  <r>
    <x v="0"/>
    <x v="2094"/>
    <x v="274"/>
    <x v="173"/>
    <x v="344"/>
    <x v="549"/>
    <x v="467"/>
    <x v="3815"/>
    <x v="780"/>
    <x v="1802"/>
    <x v="2493"/>
    <x v="3158"/>
    <x v="4479"/>
    <x v="3650"/>
    <x v="2237"/>
    <x v="0"/>
    <x v="4383"/>
    <x v="4482"/>
    <x v="408"/>
    <x v="0"/>
    <x v="0"/>
    <x v="4"/>
    <x v="138"/>
    <x v="1"/>
    <x v="780"/>
    <x v="16"/>
    <x v="3"/>
    <x v="1"/>
    <x v="0"/>
    <x v="4586"/>
  </r>
  <r>
    <x v="0"/>
    <x v="2095"/>
    <x v="361"/>
    <x v="55"/>
    <x v="123"/>
    <x v="531"/>
    <x v="803"/>
    <x v="3816"/>
    <x v="743"/>
    <x v="1803"/>
    <x v="2692"/>
    <x v="3159"/>
    <x v="4480"/>
    <x v="4445"/>
    <x v="3227"/>
    <x v="0"/>
    <x v="4384"/>
    <x v="4483"/>
    <x v="96"/>
    <x v="0"/>
    <x v="1"/>
    <x v="0"/>
    <x v="138"/>
    <x v="7"/>
    <x v="420"/>
    <x v="11"/>
    <x v="3"/>
    <x v="806"/>
    <x v="0"/>
    <x v="4587"/>
  </r>
  <r>
    <x v="0"/>
    <x v="2096"/>
    <x v="4"/>
    <x v="60"/>
    <x v="0"/>
    <x v="298"/>
    <x v="795"/>
    <x v="3817"/>
    <x v="270"/>
    <x v="1804"/>
    <x v="2693"/>
    <x v="3160"/>
    <x v="4481"/>
    <x v="4446"/>
    <x v="3774"/>
    <x v="0"/>
    <x v="4385"/>
    <x v="4484"/>
    <x v="188"/>
    <x v="0"/>
    <x v="0"/>
    <x v="10"/>
    <x v="4"/>
    <x v="14"/>
    <x v="515"/>
    <x v="38"/>
    <x v="2"/>
    <x v="731"/>
    <x v="0"/>
    <x v="4588"/>
  </r>
  <r>
    <x v="0"/>
    <x v="367"/>
    <x v="457"/>
    <x v="78"/>
    <x v="124"/>
    <x v="523"/>
    <x v="291"/>
    <x v="3818"/>
    <x v="200"/>
    <x v="529"/>
    <x v="802"/>
    <x v="3161"/>
    <x v="4482"/>
    <x v="3925"/>
    <x v="3775"/>
    <x v="1"/>
    <x v="4386"/>
    <x v="4485"/>
    <x v="655"/>
    <x v="0"/>
    <x v="0"/>
    <x v="0"/>
    <x v="4"/>
    <x v="21"/>
    <x v="473"/>
    <x v="20"/>
    <x v="2"/>
    <x v="75"/>
    <x v="0"/>
    <x v="4589"/>
  </r>
  <r>
    <x v="0"/>
    <x v="2097"/>
    <x v="308"/>
    <x v="43"/>
    <x v="134"/>
    <x v="777"/>
    <x v="782"/>
    <x v="3819"/>
    <x v="868"/>
    <x v="1805"/>
    <x v="2694"/>
    <x v="3162"/>
    <x v="4483"/>
    <x v="4447"/>
    <x v="3611"/>
    <x v="1"/>
    <x v="4387"/>
    <x v="4486"/>
    <x v="655"/>
    <x v="0"/>
    <x v="3"/>
    <x v="2"/>
    <x v="138"/>
    <x v="9"/>
    <x v="893"/>
    <x v="32"/>
    <x v="3"/>
    <x v="1"/>
    <x v="0"/>
    <x v="4590"/>
  </r>
  <r>
    <x v="0"/>
    <x v="2098"/>
    <x v="425"/>
    <x v="41"/>
    <x v="0"/>
    <x v="298"/>
    <x v="457"/>
    <x v="3820"/>
    <x v="4"/>
    <x v="1806"/>
    <x v="2695"/>
    <x v="3163"/>
    <x v="4484"/>
    <x v="4448"/>
    <x v="3027"/>
    <x v="0"/>
    <x v="4388"/>
    <x v="4487"/>
    <x v="744"/>
    <x v="0"/>
    <x v="23"/>
    <x v="3"/>
    <x v="138"/>
    <x v="11"/>
    <x v="820"/>
    <x v="2"/>
    <x v="2"/>
    <x v="1"/>
    <x v="0"/>
    <x v="4591"/>
  </r>
  <r>
    <x v="0"/>
    <x v="2099"/>
    <x v="412"/>
    <x v="52"/>
    <x v="405"/>
    <x v="900"/>
    <x v="784"/>
    <x v="3821"/>
    <x v="54"/>
    <x v="1718"/>
    <x v="2163"/>
    <x v="3164"/>
    <x v="4485"/>
    <x v="4449"/>
    <x v="3776"/>
    <x v="3"/>
    <x v="4389"/>
    <x v="4488"/>
    <x v="685"/>
    <x v="0"/>
    <x v="0"/>
    <x v="0"/>
    <x v="138"/>
    <x v="3"/>
    <x v="483"/>
    <x v="23"/>
    <x v="3"/>
    <x v="807"/>
    <x v="0"/>
    <x v="4592"/>
  </r>
  <r>
    <x v="0"/>
    <x v="2100"/>
    <x v="169"/>
    <x v="130"/>
    <x v="78"/>
    <x v="619"/>
    <x v="804"/>
    <x v="3822"/>
    <x v="582"/>
    <x v="1807"/>
    <x v="2696"/>
    <x v="3165"/>
    <x v="4486"/>
    <x v="4435"/>
    <x v="380"/>
    <x v="7"/>
    <x v="4390"/>
    <x v="4489"/>
    <x v="737"/>
    <x v="8"/>
    <x v="16"/>
    <x v="1"/>
    <x v="41"/>
    <x v="12"/>
    <x v="355"/>
    <x v="30"/>
    <x v="2"/>
    <x v="616"/>
    <x v="0"/>
    <x v="4593"/>
  </r>
  <r>
    <x v="0"/>
    <x v="2101"/>
    <x v="282"/>
    <x v="54"/>
    <x v="419"/>
    <x v="776"/>
    <x v="328"/>
    <x v="3823"/>
    <x v="429"/>
    <x v="1808"/>
    <x v="1213"/>
    <x v="3124"/>
    <x v="4487"/>
    <x v="4450"/>
    <x v="3572"/>
    <x v="0"/>
    <x v="4391"/>
    <x v="4490"/>
    <x v="858"/>
    <x v="0"/>
    <x v="0"/>
    <x v="4"/>
    <x v="365"/>
    <x v="0"/>
    <x v="370"/>
    <x v="21"/>
    <x v="3"/>
    <x v="1"/>
    <x v="0"/>
    <x v="4594"/>
  </r>
  <r>
    <x v="0"/>
    <x v="2102"/>
    <x v="356"/>
    <x v="41"/>
    <x v="31"/>
    <x v="279"/>
    <x v="151"/>
    <x v="3824"/>
    <x v="408"/>
    <x v="278"/>
    <x v="575"/>
    <x v="515"/>
    <x v="4488"/>
    <x v="4451"/>
    <x v="3777"/>
    <x v="1"/>
    <x v="4392"/>
    <x v="4491"/>
    <x v="546"/>
    <x v="0"/>
    <x v="0"/>
    <x v="4"/>
    <x v="149"/>
    <x v="5"/>
    <x v="369"/>
    <x v="2"/>
    <x v="3"/>
    <x v="1"/>
    <x v="0"/>
    <x v="4595"/>
  </r>
  <r>
    <x v="0"/>
    <x v="528"/>
    <x v="193"/>
    <x v="76"/>
    <x v="195"/>
    <x v="240"/>
    <x v="297"/>
    <x v="3825"/>
    <x v="70"/>
    <x v="1809"/>
    <x v="1749"/>
    <x v="2339"/>
    <x v="4489"/>
    <x v="4452"/>
    <x v="2676"/>
    <x v="0"/>
    <x v="4393"/>
    <x v="4492"/>
    <x v="802"/>
    <x v="0"/>
    <x v="0"/>
    <x v="4"/>
    <x v="138"/>
    <x v="20"/>
    <x v="724"/>
    <x v="9"/>
    <x v="3"/>
    <x v="485"/>
    <x v="0"/>
    <x v="4596"/>
  </r>
  <r>
    <x v="0"/>
    <x v="2103"/>
    <x v="385"/>
    <x v="72"/>
    <x v="78"/>
    <x v="413"/>
    <x v="805"/>
    <x v="4"/>
    <x v="352"/>
    <x v="1810"/>
    <x v="2697"/>
    <x v="3166"/>
    <x v="4490"/>
    <x v="4453"/>
    <x v="3778"/>
    <x v="4"/>
    <x v="4394"/>
    <x v="4493"/>
    <x v="712"/>
    <x v="0"/>
    <x v="0"/>
    <x v="4"/>
    <x v="138"/>
    <x v="15"/>
    <x v="858"/>
    <x v="31"/>
    <x v="2"/>
    <x v="795"/>
    <x v="0"/>
    <x v="4597"/>
  </r>
  <r>
    <x v="0"/>
    <x v="2104"/>
    <x v="299"/>
    <x v="42"/>
    <x v="193"/>
    <x v="320"/>
    <x v="806"/>
    <x v="3826"/>
    <x v="200"/>
    <x v="1811"/>
    <x v="2698"/>
    <x v="3167"/>
    <x v="4491"/>
    <x v="4454"/>
    <x v="1294"/>
    <x v="1"/>
    <x v="4395"/>
    <x v="4494"/>
    <x v="789"/>
    <x v="0"/>
    <x v="0"/>
    <x v="4"/>
    <x v="4"/>
    <x v="25"/>
    <x v="141"/>
    <x v="8"/>
    <x v="3"/>
    <x v="757"/>
    <x v="0"/>
    <x v="4598"/>
  </r>
  <r>
    <x v="0"/>
    <x v="640"/>
    <x v="207"/>
    <x v="87"/>
    <x v="228"/>
    <x v="88"/>
    <x v="35"/>
    <x v="3827"/>
    <x v="67"/>
    <x v="65"/>
    <x v="2699"/>
    <x v="714"/>
    <x v="4492"/>
    <x v="4455"/>
    <x v="3779"/>
    <x v="0"/>
    <x v="4396"/>
    <x v="4495"/>
    <x v="487"/>
    <x v="0"/>
    <x v="0"/>
    <x v="4"/>
    <x v="138"/>
    <x v="21"/>
    <x v="584"/>
    <x v="19"/>
    <x v="3"/>
    <x v="808"/>
    <x v="0"/>
    <x v="4599"/>
  </r>
  <r>
    <x v="0"/>
    <x v="2105"/>
    <x v="320"/>
    <x v="71"/>
    <x v="211"/>
    <x v="102"/>
    <x v="397"/>
    <x v="4"/>
    <x v="127"/>
    <x v="1812"/>
    <x v="2700"/>
    <x v="3168"/>
    <x v="4493"/>
    <x v="4170"/>
    <x v="3780"/>
    <x v="1"/>
    <x v="4397"/>
    <x v="4496"/>
    <x v="843"/>
    <x v="0"/>
    <x v="0"/>
    <x v="1"/>
    <x v="138"/>
    <x v="0"/>
    <x v="618"/>
    <x v="22"/>
    <x v="0"/>
    <x v="608"/>
    <x v="0"/>
    <x v="4600"/>
  </r>
  <r>
    <x v="1"/>
    <x v="2106"/>
    <x v="184"/>
    <x v="98"/>
    <x v="0"/>
    <x v="568"/>
    <x v="656"/>
    <x v="3828"/>
    <x v="168"/>
    <x v="1813"/>
    <x v="2544"/>
    <x v="3169"/>
    <x v="4494"/>
    <x v="4456"/>
    <x v="3781"/>
    <x v="0"/>
    <x v="4398"/>
    <x v="4497"/>
    <x v="755"/>
    <x v="0"/>
    <x v="0"/>
    <x v="9"/>
    <x v="138"/>
    <x v="7"/>
    <x v="524"/>
    <x v="9"/>
    <x v="3"/>
    <x v="653"/>
    <x v="0"/>
    <x v="4601"/>
  </r>
  <r>
    <x v="0"/>
    <x v="2107"/>
    <x v="413"/>
    <x v="55"/>
    <x v="198"/>
    <x v="370"/>
    <x v="332"/>
    <x v="3829"/>
    <x v="142"/>
    <x v="1814"/>
    <x v="2701"/>
    <x v="3170"/>
    <x v="4495"/>
    <x v="4457"/>
    <x v="3782"/>
    <x v="1"/>
    <x v="4399"/>
    <x v="4498"/>
    <x v="791"/>
    <x v="0"/>
    <x v="0"/>
    <x v="4"/>
    <x v="138"/>
    <x v="2"/>
    <x v="411"/>
    <x v="34"/>
    <x v="6"/>
    <x v="809"/>
    <x v="0"/>
    <x v="4602"/>
  </r>
  <r>
    <x v="0"/>
    <x v="2108"/>
    <x v="392"/>
    <x v="113"/>
    <x v="0"/>
    <x v="105"/>
    <x v="43"/>
    <x v="3830"/>
    <x v="182"/>
    <x v="311"/>
    <x v="2702"/>
    <x v="3171"/>
    <x v="4496"/>
    <x v="4458"/>
    <x v="3783"/>
    <x v="0"/>
    <x v="4400"/>
    <x v="4499"/>
    <x v="820"/>
    <x v="0"/>
    <x v="0"/>
    <x v="4"/>
    <x v="138"/>
    <x v="7"/>
    <x v="535"/>
    <x v="8"/>
    <x v="3"/>
    <x v="1"/>
    <x v="0"/>
    <x v="4603"/>
  </r>
  <r>
    <x v="0"/>
    <x v="1803"/>
    <x v="385"/>
    <x v="78"/>
    <x v="174"/>
    <x v="123"/>
    <x v="400"/>
    <x v="3831"/>
    <x v="200"/>
    <x v="1815"/>
    <x v="720"/>
    <x v="3172"/>
    <x v="4497"/>
    <x v="4459"/>
    <x v="2452"/>
    <x v="3"/>
    <x v="4401"/>
    <x v="4500"/>
    <x v="96"/>
    <x v="0"/>
    <x v="0"/>
    <x v="4"/>
    <x v="4"/>
    <x v="13"/>
    <x v="81"/>
    <x v="23"/>
    <x v="2"/>
    <x v="810"/>
    <x v="0"/>
    <x v="4604"/>
  </r>
  <r>
    <x v="0"/>
    <x v="2109"/>
    <x v="320"/>
    <x v="55"/>
    <x v="0"/>
    <x v="393"/>
    <x v="383"/>
    <x v="4"/>
    <x v="869"/>
    <x v="1816"/>
    <x v="2703"/>
    <x v="3173"/>
    <x v="4498"/>
    <x v="4460"/>
    <x v="3784"/>
    <x v="4"/>
    <x v="4402"/>
    <x v="4501"/>
    <x v="561"/>
    <x v="0"/>
    <x v="0"/>
    <x v="4"/>
    <x v="138"/>
    <x v="12"/>
    <x v="898"/>
    <x v="68"/>
    <x v="0"/>
    <x v="592"/>
    <x v="0"/>
    <x v="4605"/>
  </r>
  <r>
    <x v="0"/>
    <x v="882"/>
    <x v="385"/>
    <x v="76"/>
    <x v="217"/>
    <x v="818"/>
    <x v="130"/>
    <x v="3832"/>
    <x v="54"/>
    <x v="1263"/>
    <x v="2704"/>
    <x v="3174"/>
    <x v="4499"/>
    <x v="4461"/>
    <x v="3159"/>
    <x v="4"/>
    <x v="4403"/>
    <x v="4502"/>
    <x v="818"/>
    <x v="0"/>
    <x v="8"/>
    <x v="4"/>
    <x v="138"/>
    <x v="7"/>
    <x v="839"/>
    <x v="54"/>
    <x v="3"/>
    <x v="811"/>
    <x v="0"/>
    <x v="4606"/>
  </r>
  <r>
    <x v="0"/>
    <x v="2110"/>
    <x v="435"/>
    <x v="45"/>
    <x v="205"/>
    <x v="597"/>
    <x v="664"/>
    <x v="3833"/>
    <x v="200"/>
    <x v="1330"/>
    <x v="2705"/>
    <x v="3175"/>
    <x v="4500"/>
    <x v="4125"/>
    <x v="3785"/>
    <x v="3"/>
    <x v="4404"/>
    <x v="4503"/>
    <x v="732"/>
    <x v="0"/>
    <x v="0"/>
    <x v="4"/>
    <x v="41"/>
    <x v="18"/>
    <x v="263"/>
    <x v="28"/>
    <x v="3"/>
    <x v="726"/>
    <x v="0"/>
    <x v="4607"/>
  </r>
  <r>
    <x v="0"/>
    <x v="2111"/>
    <x v="314"/>
    <x v="72"/>
    <x v="59"/>
    <x v="316"/>
    <x v="289"/>
    <x v="4"/>
    <x v="352"/>
    <x v="1817"/>
    <x v="2706"/>
    <x v="3176"/>
    <x v="4501"/>
    <x v="4462"/>
    <x v="3786"/>
    <x v="0"/>
    <x v="4405"/>
    <x v="4504"/>
    <x v="83"/>
    <x v="6"/>
    <x v="12"/>
    <x v="9"/>
    <x v="138"/>
    <x v="9"/>
    <x v="557"/>
    <x v="2"/>
    <x v="3"/>
    <x v="1"/>
    <x v="0"/>
    <x v="4608"/>
  </r>
  <r>
    <x v="0"/>
    <x v="2112"/>
    <x v="489"/>
    <x v="4"/>
    <x v="221"/>
    <x v="597"/>
    <x v="635"/>
    <x v="4"/>
    <x v="238"/>
    <x v="1818"/>
    <x v="2707"/>
    <x v="3177"/>
    <x v="4502"/>
    <x v="4463"/>
    <x v="3527"/>
    <x v="12"/>
    <x v="4406"/>
    <x v="4505"/>
    <x v="83"/>
    <x v="42"/>
    <x v="58"/>
    <x v="1"/>
    <x v="138"/>
    <x v="2"/>
    <x v="624"/>
    <x v="15"/>
    <x v="2"/>
    <x v="812"/>
    <x v="0"/>
    <x v="4609"/>
  </r>
  <r>
    <x v="0"/>
    <x v="2113"/>
    <x v="369"/>
    <x v="93"/>
    <x v="118"/>
    <x v="707"/>
    <x v="359"/>
    <x v="4"/>
    <x v="17"/>
    <x v="1819"/>
    <x v="2262"/>
    <x v="3178"/>
    <x v="4503"/>
    <x v="4464"/>
    <x v="510"/>
    <x v="0"/>
    <x v="4407"/>
    <x v="4506"/>
    <x v="678"/>
    <x v="0"/>
    <x v="0"/>
    <x v="9"/>
    <x v="138"/>
    <x v="7"/>
    <x v="564"/>
    <x v="10"/>
    <x v="3"/>
    <x v="402"/>
    <x v="0"/>
    <x v="4610"/>
  </r>
  <r>
    <x v="0"/>
    <x v="2114"/>
    <x v="393"/>
    <x v="45"/>
    <x v="0"/>
    <x v="901"/>
    <x v="293"/>
    <x v="4"/>
    <x v="200"/>
    <x v="1820"/>
    <x v="2708"/>
    <x v="170"/>
    <x v="4504"/>
    <x v="4465"/>
    <x v="3787"/>
    <x v="1"/>
    <x v="4408"/>
    <x v="4507"/>
    <x v="824"/>
    <x v="0"/>
    <x v="0"/>
    <x v="1"/>
    <x v="138"/>
    <x v="11"/>
    <x v="81"/>
    <x v="27"/>
    <x v="0"/>
    <x v="449"/>
    <x v="0"/>
    <x v="4611"/>
  </r>
  <r>
    <x v="0"/>
    <x v="2115"/>
    <x v="430"/>
    <x v="77"/>
    <x v="0"/>
    <x v="845"/>
    <x v="648"/>
    <x v="4"/>
    <x v="168"/>
    <x v="1821"/>
    <x v="2709"/>
    <x v="3179"/>
    <x v="4505"/>
    <x v="4466"/>
    <x v="3788"/>
    <x v="4"/>
    <x v="4409"/>
    <x v="4508"/>
    <x v="721"/>
    <x v="0"/>
    <x v="0"/>
    <x v="4"/>
    <x v="138"/>
    <x v="7"/>
    <x v="799"/>
    <x v="5"/>
    <x v="2"/>
    <x v="127"/>
    <x v="0"/>
    <x v="4612"/>
  </r>
  <r>
    <x v="0"/>
    <x v="2116"/>
    <x v="489"/>
    <x v="78"/>
    <x v="5"/>
    <x v="278"/>
    <x v="235"/>
    <x v="4"/>
    <x v="125"/>
    <x v="1822"/>
    <x v="2710"/>
    <x v="3180"/>
    <x v="4506"/>
    <x v="4467"/>
    <x v="846"/>
    <x v="2"/>
    <x v="4410"/>
    <x v="4509"/>
    <x v="510"/>
    <x v="0"/>
    <x v="0"/>
    <x v="4"/>
    <x v="138"/>
    <x v="0"/>
    <x v="482"/>
    <x v="66"/>
    <x v="12"/>
    <x v="813"/>
    <x v="0"/>
    <x v="4613"/>
  </r>
  <r>
    <x v="1"/>
    <x v="1494"/>
    <x v="329"/>
    <x v="50"/>
    <x v="228"/>
    <x v="702"/>
    <x v="337"/>
    <x v="4"/>
    <x v="270"/>
    <x v="615"/>
    <x v="2711"/>
    <x v="3181"/>
    <x v="4507"/>
    <x v="4468"/>
    <x v="2888"/>
    <x v="1"/>
    <x v="4411"/>
    <x v="4510"/>
    <x v="791"/>
    <x v="0"/>
    <x v="1"/>
    <x v="1"/>
    <x v="4"/>
    <x v="52"/>
    <x v="173"/>
    <x v="11"/>
    <x v="15"/>
    <x v="731"/>
    <x v="0"/>
    <x v="4614"/>
  </r>
  <r>
    <x v="0"/>
    <x v="2117"/>
    <x v="412"/>
    <x v="101"/>
    <x v="221"/>
    <x v="750"/>
    <x v="521"/>
    <x v="4"/>
    <x v="270"/>
    <x v="983"/>
    <x v="2083"/>
    <x v="3182"/>
    <x v="4508"/>
    <x v="4184"/>
    <x v="2776"/>
    <x v="4"/>
    <x v="4"/>
    <x v="4511"/>
    <x v="636"/>
    <x v="0"/>
    <x v="0"/>
    <x v="2"/>
    <x v="138"/>
    <x v="14"/>
    <x v="722"/>
    <x v="27"/>
    <x v="2"/>
    <x v="388"/>
    <x v="0"/>
    <x v="4615"/>
  </r>
  <r>
    <x v="0"/>
    <x v="2118"/>
    <x v="329"/>
    <x v="41"/>
    <x v="420"/>
    <x v="317"/>
    <x v="31"/>
    <x v="4"/>
    <x v="270"/>
    <x v="37"/>
    <x v="113"/>
    <x v="450"/>
    <x v="4509"/>
    <x v="3995"/>
    <x v="3789"/>
    <x v="3"/>
    <x v="4412"/>
    <x v="4512"/>
    <x v="343"/>
    <x v="0"/>
    <x v="0"/>
    <x v="4"/>
    <x v="4"/>
    <x v="8"/>
    <x v="53"/>
    <x v="12"/>
    <x v="3"/>
    <x v="434"/>
    <x v="0"/>
    <x v="4616"/>
  </r>
  <r>
    <x v="0"/>
    <x v="2119"/>
    <x v="4"/>
    <x v="78"/>
    <x v="0"/>
    <x v="616"/>
    <x v="0"/>
    <x v="4"/>
    <x v="270"/>
    <x v="31"/>
    <x v="2029"/>
    <x v="3183"/>
    <x v="4510"/>
    <x v="3474"/>
    <x v="3790"/>
    <x v="7"/>
    <x v="4"/>
    <x v="4513"/>
    <x v="4"/>
    <x v="0"/>
    <x v="0"/>
    <x v="4"/>
    <x v="138"/>
    <x v="8"/>
    <x v="537"/>
    <x v="9"/>
    <x v="2"/>
    <x v="814"/>
    <x v="0"/>
    <x v="4617"/>
  </r>
  <r>
    <x v="0"/>
    <x v="2120"/>
    <x v="272"/>
    <x v="71"/>
    <x v="80"/>
    <x v="549"/>
    <x v="786"/>
    <x v="4"/>
    <x v="658"/>
    <x v="1823"/>
    <x v="2712"/>
    <x v="3184"/>
    <x v="4511"/>
    <x v="4469"/>
    <x v="3791"/>
    <x v="0"/>
    <x v="4413"/>
    <x v="4514"/>
    <x v="592"/>
    <x v="0"/>
    <x v="0"/>
    <x v="4"/>
    <x v="149"/>
    <x v="0"/>
    <x v="705"/>
    <x v="37"/>
    <x v="3"/>
    <x v="1"/>
    <x v="0"/>
    <x v="4618"/>
  </r>
  <r>
    <x v="0"/>
    <x v="2121"/>
    <x v="478"/>
    <x v="105"/>
    <x v="421"/>
    <x v="538"/>
    <x v="807"/>
    <x v="4"/>
    <x v="429"/>
    <x v="1824"/>
    <x v="1914"/>
    <x v="3185"/>
    <x v="4512"/>
    <x v="4470"/>
    <x v="3792"/>
    <x v="1"/>
    <x v="4414"/>
    <x v="4515"/>
    <x v="792"/>
    <x v="0"/>
    <x v="0"/>
    <x v="0"/>
    <x v="138"/>
    <x v="3"/>
    <x v="286"/>
    <x v="48"/>
    <x v="0"/>
    <x v="805"/>
    <x v="0"/>
    <x v="4619"/>
  </r>
  <r>
    <x v="0"/>
    <x v="2122"/>
    <x v="435"/>
    <x v="45"/>
    <x v="0"/>
    <x v="298"/>
    <x v="422"/>
    <x v="4"/>
    <x v="17"/>
    <x v="1825"/>
    <x v="2713"/>
    <x v="3186"/>
    <x v="4513"/>
    <x v="4471"/>
    <x v="3634"/>
    <x v="0"/>
    <x v="4415"/>
    <x v="4516"/>
    <x v="791"/>
    <x v="6"/>
    <x v="13"/>
    <x v="10"/>
    <x v="4"/>
    <x v="11"/>
    <x v="253"/>
    <x v="13"/>
    <x v="1"/>
    <x v="222"/>
    <x v="0"/>
    <x v="4620"/>
  </r>
  <r>
    <x v="0"/>
    <x v="2123"/>
    <x v="152"/>
    <x v="78"/>
    <x v="0"/>
    <x v="677"/>
    <x v="121"/>
    <x v="4"/>
    <x v="105"/>
    <x v="275"/>
    <x v="2714"/>
    <x v="1227"/>
    <x v="4514"/>
    <x v="4472"/>
    <x v="3793"/>
    <x v="1"/>
    <x v="4416"/>
    <x v="4517"/>
    <x v="818"/>
    <x v="0"/>
    <x v="0"/>
    <x v="1"/>
    <x v="138"/>
    <x v="10"/>
    <x v="899"/>
    <x v="20"/>
    <x v="10"/>
    <x v="578"/>
    <x v="0"/>
    <x v="4621"/>
  </r>
  <r>
    <x v="0"/>
    <x v="2124"/>
    <x v="4"/>
    <x v="67"/>
    <x v="194"/>
    <x v="292"/>
    <x v="302"/>
    <x v="4"/>
    <x v="430"/>
    <x v="1380"/>
    <x v="2715"/>
    <x v="3187"/>
    <x v="4515"/>
    <x v="4473"/>
    <x v="3794"/>
    <x v="5"/>
    <x v="4"/>
    <x v="4518"/>
    <x v="326"/>
    <x v="0"/>
    <x v="0"/>
    <x v="0"/>
    <x v="138"/>
    <x v="0"/>
    <x v="900"/>
    <x v="53"/>
    <x v="2"/>
    <x v="632"/>
    <x v="0"/>
    <x v="4622"/>
  </r>
  <r>
    <x v="0"/>
    <x v="2121"/>
    <x v="93"/>
    <x v="95"/>
    <x v="421"/>
    <x v="160"/>
    <x v="14"/>
    <x v="4"/>
    <x v="713"/>
    <x v="859"/>
    <x v="633"/>
    <x v="3188"/>
    <x v="4516"/>
    <x v="4474"/>
    <x v="3795"/>
    <x v="3"/>
    <x v="4417"/>
    <x v="4519"/>
    <x v="843"/>
    <x v="0"/>
    <x v="0"/>
    <x v="0"/>
    <x v="138"/>
    <x v="11"/>
    <x v="50"/>
    <x v="45"/>
    <x v="0"/>
    <x v="730"/>
    <x v="0"/>
    <x v="4623"/>
  </r>
  <r>
    <x v="0"/>
    <x v="2125"/>
    <x v="299"/>
    <x v="105"/>
    <x v="422"/>
    <x v="683"/>
    <x v="808"/>
    <x v="4"/>
    <x v="381"/>
    <x v="1826"/>
    <x v="2716"/>
    <x v="3189"/>
    <x v="4517"/>
    <x v="4475"/>
    <x v="968"/>
    <x v="1"/>
    <x v="4418"/>
    <x v="4520"/>
    <x v="637"/>
    <x v="0"/>
    <x v="0"/>
    <x v="4"/>
    <x v="4"/>
    <x v="3"/>
    <x v="608"/>
    <x v="55"/>
    <x v="3"/>
    <x v="1"/>
    <x v="0"/>
    <x v="4624"/>
  </r>
  <r>
    <x v="0"/>
    <x v="2126"/>
    <x v="361"/>
    <x v="45"/>
    <x v="0"/>
    <x v="491"/>
    <x v="809"/>
    <x v="4"/>
    <x v="364"/>
    <x v="1827"/>
    <x v="2717"/>
    <x v="3190"/>
    <x v="4518"/>
    <x v="4476"/>
    <x v="3796"/>
    <x v="4"/>
    <x v="4419"/>
    <x v="4521"/>
    <x v="540"/>
    <x v="0"/>
    <x v="1"/>
    <x v="9"/>
    <x v="138"/>
    <x v="3"/>
    <x v="349"/>
    <x v="23"/>
    <x v="1"/>
    <x v="737"/>
    <x v="0"/>
    <x v="4625"/>
  </r>
  <r>
    <x v="0"/>
    <x v="2127"/>
    <x v="489"/>
    <x v="50"/>
    <x v="85"/>
    <x v="298"/>
    <x v="810"/>
    <x v="4"/>
    <x v="306"/>
    <x v="1828"/>
    <x v="2718"/>
    <x v="3191"/>
    <x v="4519"/>
    <x v="4477"/>
    <x v="3797"/>
    <x v="0"/>
    <x v="4420"/>
    <x v="4522"/>
    <x v="343"/>
    <x v="0"/>
    <x v="0"/>
    <x v="1"/>
    <x v="138"/>
    <x v="7"/>
    <x v="288"/>
    <x v="65"/>
    <x v="2"/>
    <x v="118"/>
    <x v="0"/>
    <x v="4626"/>
  </r>
  <r>
    <x v="0"/>
    <x v="2128"/>
    <x v="441"/>
    <x v="78"/>
    <x v="0"/>
    <x v="221"/>
    <x v="204"/>
    <x v="4"/>
    <x v="870"/>
    <x v="1829"/>
    <x v="2719"/>
    <x v="3192"/>
    <x v="4520"/>
    <x v="4478"/>
    <x v="3661"/>
    <x v="4"/>
    <x v="4"/>
    <x v="4523"/>
    <x v="655"/>
    <x v="0"/>
    <x v="4"/>
    <x v="1"/>
    <x v="138"/>
    <x v="11"/>
    <x v="383"/>
    <x v="28"/>
    <x v="2"/>
    <x v="729"/>
    <x v="0"/>
    <x v="4627"/>
  </r>
  <r>
    <x v="0"/>
    <x v="2129"/>
    <x v="347"/>
    <x v="54"/>
    <x v="217"/>
    <x v="206"/>
    <x v="217"/>
    <x v="4"/>
    <x v="429"/>
    <x v="1830"/>
    <x v="2381"/>
    <x v="3193"/>
    <x v="4521"/>
    <x v="4479"/>
    <x v="479"/>
    <x v="0"/>
    <x v="4421"/>
    <x v="4524"/>
    <x v="786"/>
    <x v="0"/>
    <x v="0"/>
    <x v="4"/>
    <x v="138"/>
    <x v="2"/>
    <x v="692"/>
    <x v="31"/>
    <x v="1"/>
    <x v="815"/>
    <x v="0"/>
    <x v="4628"/>
  </r>
  <r>
    <x v="0"/>
    <x v="2130"/>
    <x v="322"/>
    <x v="41"/>
    <x v="221"/>
    <x v="656"/>
    <x v="523"/>
    <x v="4"/>
    <x v="512"/>
    <x v="1831"/>
    <x v="2720"/>
    <x v="3194"/>
    <x v="4522"/>
    <x v="4480"/>
    <x v="3798"/>
    <x v="4"/>
    <x v="4422"/>
    <x v="4525"/>
    <x v="737"/>
    <x v="0"/>
    <x v="0"/>
    <x v="9"/>
    <x v="138"/>
    <x v="9"/>
    <x v="801"/>
    <x v="58"/>
    <x v="1"/>
    <x v="1"/>
    <x v="0"/>
    <x v="4629"/>
  </r>
  <r>
    <x v="2"/>
    <x v="2131"/>
    <x v="93"/>
    <x v="70"/>
    <x v="0"/>
    <x v="641"/>
    <x v="811"/>
    <x v="4"/>
    <x v="270"/>
    <x v="1832"/>
    <x v="1897"/>
    <x v="1075"/>
    <x v="4523"/>
    <x v="4481"/>
    <x v="3799"/>
    <x v="0"/>
    <x v="4"/>
    <x v="4526"/>
    <x v="326"/>
    <x v="1"/>
    <x v="0"/>
    <x v="2"/>
    <x v="138"/>
    <x v="11"/>
    <x v="810"/>
    <x v="43"/>
    <x v="2"/>
    <x v="784"/>
    <x v="0"/>
    <x v="4630"/>
  </r>
  <r>
    <x v="0"/>
    <x v="464"/>
    <x v="289"/>
    <x v="59"/>
    <x v="0"/>
    <x v="803"/>
    <x v="22"/>
    <x v="2385"/>
    <x v="171"/>
    <x v="169"/>
    <x v="589"/>
    <x v="1866"/>
    <x v="2548"/>
    <x v="2543"/>
    <x v="2373"/>
    <x v="0"/>
    <x v="2526"/>
    <x v="2548"/>
    <x v="657"/>
    <x v="0"/>
    <x v="1"/>
    <x v="4"/>
    <x v="78"/>
    <x v="9"/>
    <x v="30"/>
    <x v="15"/>
    <x v="1"/>
    <x v="33"/>
    <x v="0"/>
    <x v="4631"/>
  </r>
  <r>
    <x v="0"/>
    <x v="2132"/>
    <x v="424"/>
    <x v="33"/>
    <x v="184"/>
    <x v="41"/>
    <x v="615"/>
    <x v="4"/>
    <x v="377"/>
    <x v="1211"/>
    <x v="1319"/>
    <x v="3195"/>
    <x v="4524"/>
    <x v="4482"/>
    <x v="2318"/>
    <x v="0"/>
    <x v="4423"/>
    <x v="4527"/>
    <x v="650"/>
    <x v="0"/>
    <x v="0"/>
    <x v="2"/>
    <x v="4"/>
    <x v="38"/>
    <x v="392"/>
    <x v="1"/>
    <x v="1"/>
    <x v="126"/>
    <x v="0"/>
    <x v="4632"/>
  </r>
  <r>
    <x v="0"/>
    <x v="2133"/>
    <x v="239"/>
    <x v="101"/>
    <x v="0"/>
    <x v="550"/>
    <x v="363"/>
    <x v="4"/>
    <x v="381"/>
    <x v="1833"/>
    <x v="437"/>
    <x v="3196"/>
    <x v="4525"/>
    <x v="4483"/>
    <x v="1953"/>
    <x v="1"/>
    <x v="4424"/>
    <x v="4528"/>
    <x v="388"/>
    <x v="0"/>
    <x v="8"/>
    <x v="4"/>
    <x v="363"/>
    <x v="9"/>
    <x v="641"/>
    <x v="34"/>
    <x v="2"/>
    <x v="43"/>
    <x v="0"/>
    <x v="4633"/>
  </r>
  <r>
    <x v="0"/>
    <x v="113"/>
    <x v="4"/>
    <x v="119"/>
    <x v="88"/>
    <x v="606"/>
    <x v="333"/>
    <x v="4"/>
    <x v="125"/>
    <x v="1834"/>
    <x v="2721"/>
    <x v="3197"/>
    <x v="4526"/>
    <x v="4484"/>
    <x v="3800"/>
    <x v="8"/>
    <x v="4425"/>
    <x v="4529"/>
    <x v="792"/>
    <x v="0"/>
    <x v="0"/>
    <x v="1"/>
    <x v="4"/>
    <x v="4"/>
    <x v="799"/>
    <x v="18"/>
    <x v="2"/>
    <x v="787"/>
    <x v="0"/>
    <x v="4634"/>
  </r>
  <r>
    <x v="0"/>
    <x v="2134"/>
    <x v="385"/>
    <x v="7"/>
    <x v="69"/>
    <x v="389"/>
    <x v="128"/>
    <x v="4"/>
    <x v="270"/>
    <x v="1835"/>
    <x v="2722"/>
    <x v="1487"/>
    <x v="4527"/>
    <x v="4485"/>
    <x v="3801"/>
    <x v="1"/>
    <x v="4426"/>
    <x v="4530"/>
    <x v="398"/>
    <x v="0"/>
    <x v="0"/>
    <x v="9"/>
    <x v="363"/>
    <x v="11"/>
    <x v="494"/>
    <x v="19"/>
    <x v="2"/>
    <x v="816"/>
    <x v="0"/>
    <x v="4635"/>
  </r>
  <r>
    <x v="0"/>
    <x v="2135"/>
    <x v="489"/>
    <x v="78"/>
    <x v="195"/>
    <x v="83"/>
    <x v="0"/>
    <x v="4"/>
    <x v="127"/>
    <x v="159"/>
    <x v="2723"/>
    <x v="3198"/>
    <x v="4528"/>
    <x v="4486"/>
    <x v="3802"/>
    <x v="1"/>
    <x v="4427"/>
    <x v="4531"/>
    <x v="854"/>
    <x v="0"/>
    <x v="0"/>
    <x v="1"/>
    <x v="366"/>
    <x v="1"/>
    <x v="195"/>
    <x v="30"/>
    <x v="2"/>
    <x v="811"/>
    <x v="0"/>
    <x v="4636"/>
  </r>
  <r>
    <x v="0"/>
    <x v="2136"/>
    <x v="435"/>
    <x v="105"/>
    <x v="0"/>
    <x v="367"/>
    <x v="671"/>
    <x v="4"/>
    <x v="871"/>
    <x v="1836"/>
    <x v="2724"/>
    <x v="3199"/>
    <x v="4529"/>
    <x v="4487"/>
    <x v="3803"/>
    <x v="0"/>
    <x v="4428"/>
    <x v="4532"/>
    <x v="416"/>
    <x v="0"/>
    <x v="0"/>
    <x v="1"/>
    <x v="367"/>
    <x v="11"/>
    <x v="470"/>
    <x v="1"/>
    <x v="2"/>
    <x v="474"/>
    <x v="0"/>
    <x v="4637"/>
  </r>
  <r>
    <x v="1"/>
    <x v="1901"/>
    <x v="295"/>
    <x v="26"/>
    <x v="410"/>
    <x v="208"/>
    <x v="14"/>
    <x v="3834"/>
    <x v="352"/>
    <x v="373"/>
    <x v="1555"/>
    <x v="2136"/>
    <x v="4530"/>
    <x v="4488"/>
    <x v="3804"/>
    <x v="4"/>
    <x v="4429"/>
    <x v="4533"/>
    <x v="481"/>
    <x v="0"/>
    <x v="0"/>
    <x v="9"/>
    <x v="368"/>
    <x v="63"/>
    <x v="384"/>
    <x v="17"/>
    <x v="3"/>
    <x v="1"/>
    <x v="0"/>
    <x v="4638"/>
  </r>
  <r>
    <x v="0"/>
    <x v="2137"/>
    <x v="465"/>
    <x v="7"/>
    <x v="52"/>
    <x v="561"/>
    <x v="713"/>
    <x v="3835"/>
    <x v="125"/>
    <x v="1837"/>
    <x v="2318"/>
    <x v="1064"/>
    <x v="4531"/>
    <x v="4114"/>
    <x v="3805"/>
    <x v="8"/>
    <x v="4430"/>
    <x v="4534"/>
    <x v="83"/>
    <x v="0"/>
    <x v="0"/>
    <x v="4"/>
    <x v="369"/>
    <x v="10"/>
    <x v="83"/>
    <x v="20"/>
    <x v="1"/>
    <x v="125"/>
    <x v="0"/>
    <x v="4639"/>
  </r>
  <r>
    <x v="0"/>
    <x v="2138"/>
    <x v="167"/>
    <x v="18"/>
    <x v="160"/>
    <x v="783"/>
    <x v="4"/>
    <x v="3836"/>
    <x v="270"/>
    <x v="1838"/>
    <x v="2725"/>
    <x v="3200"/>
    <x v="4532"/>
    <x v="4489"/>
    <x v="3806"/>
    <x v="0"/>
    <x v="4431"/>
    <x v="4535"/>
    <x v="497"/>
    <x v="43"/>
    <x v="29"/>
    <x v="9"/>
    <x v="370"/>
    <x v="1"/>
    <x v="51"/>
    <x v="0"/>
    <x v="3"/>
    <x v="57"/>
    <x v="0"/>
    <x v="4640"/>
  </r>
  <r>
    <x v="0"/>
    <x v="2139"/>
    <x v="81"/>
    <x v="55"/>
    <x v="41"/>
    <x v="862"/>
    <x v="0"/>
    <x v="4"/>
    <x v="429"/>
    <x v="489"/>
    <x v="2726"/>
    <x v="3201"/>
    <x v="4533"/>
    <x v="4490"/>
    <x v="2137"/>
    <x v="0"/>
    <x v="4432"/>
    <x v="4536"/>
    <x v="416"/>
    <x v="0"/>
    <x v="0"/>
    <x v="1"/>
    <x v="119"/>
    <x v="2"/>
    <x v="411"/>
    <x v="11"/>
    <x v="2"/>
    <x v="646"/>
    <x v="0"/>
    <x v="4641"/>
  </r>
  <r>
    <x v="0"/>
    <x v="312"/>
    <x v="99"/>
    <x v="27"/>
    <x v="41"/>
    <x v="298"/>
    <x v="492"/>
    <x v="3837"/>
    <x v="168"/>
    <x v="1839"/>
    <x v="2727"/>
    <x v="3202"/>
    <x v="4534"/>
    <x v="4491"/>
    <x v="3302"/>
    <x v="0"/>
    <x v="4433"/>
    <x v="4537"/>
    <x v="652"/>
    <x v="0"/>
    <x v="0"/>
    <x v="4"/>
    <x v="363"/>
    <x v="12"/>
    <x v="820"/>
    <x v="1"/>
    <x v="1"/>
    <x v="85"/>
    <x v="0"/>
    <x v="4642"/>
  </r>
  <r>
    <x v="0"/>
    <x v="2036"/>
    <x v="409"/>
    <x v="43"/>
    <x v="159"/>
    <x v="902"/>
    <x v="63"/>
    <x v="3838"/>
    <x v="306"/>
    <x v="1450"/>
    <x v="2728"/>
    <x v="3203"/>
    <x v="4535"/>
    <x v="4492"/>
    <x v="2533"/>
    <x v="0"/>
    <x v="4434"/>
    <x v="4538"/>
    <x v="129"/>
    <x v="0"/>
    <x v="0"/>
    <x v="4"/>
    <x v="365"/>
    <x v="12"/>
    <x v="387"/>
    <x v="21"/>
    <x v="1"/>
    <x v="817"/>
    <x v="0"/>
    <x v="4643"/>
  </r>
  <r>
    <x v="0"/>
    <x v="2140"/>
    <x v="352"/>
    <x v="86"/>
    <x v="211"/>
    <x v="590"/>
    <x v="96"/>
    <x v="3839"/>
    <x v="270"/>
    <x v="1840"/>
    <x v="2729"/>
    <x v="3204"/>
    <x v="4536"/>
    <x v="4493"/>
    <x v="3781"/>
    <x v="1"/>
    <x v="4435"/>
    <x v="4539"/>
    <x v="712"/>
    <x v="44"/>
    <x v="10"/>
    <x v="4"/>
    <x v="4"/>
    <x v="10"/>
    <x v="816"/>
    <x v="18"/>
    <x v="1"/>
    <x v="1"/>
    <x v="0"/>
    <x v="4644"/>
  </r>
  <r>
    <x v="0"/>
    <x v="605"/>
    <x v="210"/>
    <x v="79"/>
    <x v="0"/>
    <x v="743"/>
    <x v="789"/>
    <x v="3840"/>
    <x v="425"/>
    <x v="1841"/>
    <x v="2730"/>
    <x v="3205"/>
    <x v="4537"/>
    <x v="4494"/>
    <x v="3807"/>
    <x v="0"/>
    <x v="4436"/>
    <x v="4540"/>
    <x v="352"/>
    <x v="0"/>
    <x v="0"/>
    <x v="4"/>
    <x v="365"/>
    <x v="9"/>
    <x v="283"/>
    <x v="7"/>
    <x v="3"/>
    <x v="16"/>
    <x v="0"/>
    <x v="4645"/>
  </r>
  <r>
    <x v="0"/>
    <x v="2141"/>
    <x v="219"/>
    <x v="59"/>
    <x v="85"/>
    <x v="245"/>
    <x v="43"/>
    <x v="3841"/>
    <x v="872"/>
    <x v="67"/>
    <x v="302"/>
    <x v="759"/>
    <x v="4538"/>
    <x v="4495"/>
    <x v="3808"/>
    <x v="4"/>
    <x v="4437"/>
    <x v="4541"/>
    <x v="592"/>
    <x v="0"/>
    <x v="0"/>
    <x v="4"/>
    <x v="365"/>
    <x v="3"/>
    <x v="204"/>
    <x v="21"/>
    <x v="1"/>
    <x v="1"/>
    <x v="0"/>
    <x v="4646"/>
  </r>
  <r>
    <x v="0"/>
    <x v="252"/>
    <x v="410"/>
    <x v="184"/>
    <x v="31"/>
    <x v="316"/>
    <x v="756"/>
    <x v="3842"/>
    <x v="873"/>
    <x v="1842"/>
    <x v="2731"/>
    <x v="3206"/>
    <x v="4539"/>
    <x v="4496"/>
    <x v="3809"/>
    <x v="0"/>
    <x v="4438"/>
    <x v="4542"/>
    <x v="736"/>
    <x v="0"/>
    <x v="0"/>
    <x v="11"/>
    <x v="4"/>
    <x v="84"/>
    <x v="4"/>
    <x v="38"/>
    <x v="8"/>
    <x v="1"/>
    <x v="0"/>
    <x v="4647"/>
  </r>
  <r>
    <x v="0"/>
    <x v="793"/>
    <x v="345"/>
    <x v="76"/>
    <x v="0"/>
    <x v="313"/>
    <x v="335"/>
    <x v="3843"/>
    <x v="298"/>
    <x v="1843"/>
    <x v="2732"/>
    <x v="3207"/>
    <x v="4540"/>
    <x v="4497"/>
    <x v="3810"/>
    <x v="1"/>
    <x v="4439"/>
    <x v="4543"/>
    <x v="790"/>
    <x v="0"/>
    <x v="0"/>
    <x v="4"/>
    <x v="371"/>
    <x v="1"/>
    <x v="901"/>
    <x v="11"/>
    <x v="2"/>
    <x v="523"/>
    <x v="0"/>
    <x v="4648"/>
  </r>
  <r>
    <x v="0"/>
    <x v="1090"/>
    <x v="282"/>
    <x v="52"/>
    <x v="195"/>
    <x v="517"/>
    <x v="25"/>
    <x v="2424"/>
    <x v="65"/>
    <x v="138"/>
    <x v="367"/>
    <x v="1215"/>
    <x v="2594"/>
    <x v="4498"/>
    <x v="2408"/>
    <x v="1"/>
    <x v="2573"/>
    <x v="2594"/>
    <x v="138"/>
    <x v="0"/>
    <x v="0"/>
    <x v="0"/>
    <x v="159"/>
    <x v="9"/>
    <x v="30"/>
    <x v="12"/>
    <x v="1"/>
    <x v="85"/>
    <x v="0"/>
    <x v="4649"/>
  </r>
  <r>
    <x v="0"/>
    <x v="2142"/>
    <x v="311"/>
    <x v="86"/>
    <x v="85"/>
    <x v="44"/>
    <x v="29"/>
    <x v="3844"/>
    <x v="105"/>
    <x v="58"/>
    <x v="2373"/>
    <x v="869"/>
    <x v="4541"/>
    <x v="4499"/>
    <x v="3811"/>
    <x v="4"/>
    <x v="4440"/>
    <x v="4544"/>
    <x v="418"/>
    <x v="0"/>
    <x v="0"/>
    <x v="4"/>
    <x v="371"/>
    <x v="17"/>
    <x v="869"/>
    <x v="13"/>
    <x v="3"/>
    <x v="1"/>
    <x v="0"/>
    <x v="4650"/>
  </r>
  <r>
    <x v="0"/>
    <x v="2143"/>
    <x v="412"/>
    <x v="98"/>
    <x v="0"/>
    <x v="298"/>
    <x v="471"/>
    <x v="4"/>
    <x v="270"/>
    <x v="1844"/>
    <x v="2733"/>
    <x v="3208"/>
    <x v="4542"/>
    <x v="4500"/>
    <x v="2095"/>
    <x v="1"/>
    <x v="4441"/>
    <x v="4545"/>
    <x v="188"/>
    <x v="3"/>
    <x v="10"/>
    <x v="1"/>
    <x v="365"/>
    <x v="10"/>
    <x v="253"/>
    <x v="10"/>
    <x v="12"/>
    <x v="804"/>
    <x v="0"/>
    <x v="4651"/>
  </r>
  <r>
    <x v="0"/>
    <x v="2144"/>
    <x v="489"/>
    <x v="78"/>
    <x v="48"/>
    <x v="560"/>
    <x v="272"/>
    <x v="4"/>
    <x v="270"/>
    <x v="496"/>
    <x v="225"/>
    <x v="1745"/>
    <x v="4543"/>
    <x v="4501"/>
    <x v="3812"/>
    <x v="2"/>
    <x v="4442"/>
    <x v="4546"/>
    <x v="416"/>
    <x v="0"/>
    <x v="0"/>
    <x v="4"/>
    <x v="138"/>
    <x v="9"/>
    <x v="153"/>
    <x v="1"/>
    <x v="2"/>
    <x v="297"/>
    <x v="0"/>
    <x v="4652"/>
  </r>
  <r>
    <x v="0"/>
    <x v="2145"/>
    <x v="389"/>
    <x v="76"/>
    <x v="5"/>
    <x v="162"/>
    <x v="812"/>
    <x v="3845"/>
    <x v="125"/>
    <x v="1845"/>
    <x v="1401"/>
    <x v="3209"/>
    <x v="4544"/>
    <x v="4502"/>
    <x v="1296"/>
    <x v="0"/>
    <x v="4443"/>
    <x v="4547"/>
    <x v="705"/>
    <x v="0"/>
    <x v="0"/>
    <x v="4"/>
    <x v="371"/>
    <x v="3"/>
    <x v="260"/>
    <x v="19"/>
    <x v="1"/>
    <x v="1"/>
    <x v="0"/>
    <x v="4653"/>
  </r>
  <r>
    <x v="0"/>
    <x v="702"/>
    <x v="229"/>
    <x v="80"/>
    <x v="171"/>
    <x v="275"/>
    <x v="272"/>
    <x v="3846"/>
    <x v="105"/>
    <x v="765"/>
    <x v="2734"/>
    <x v="2210"/>
    <x v="4545"/>
    <x v="4503"/>
    <x v="3813"/>
    <x v="4"/>
    <x v="4444"/>
    <x v="4548"/>
    <x v="666"/>
    <x v="0"/>
    <x v="0"/>
    <x v="4"/>
    <x v="4"/>
    <x v="3"/>
    <x v="316"/>
    <x v="10"/>
    <x v="1"/>
    <x v="1"/>
    <x v="0"/>
    <x v="4654"/>
  </r>
  <r>
    <x v="0"/>
    <x v="2146"/>
    <x v="441"/>
    <x v="54"/>
    <x v="125"/>
    <x v="402"/>
    <x v="813"/>
    <x v="3847"/>
    <x v="874"/>
    <x v="1846"/>
    <x v="2735"/>
    <x v="3210"/>
    <x v="4546"/>
    <x v="4504"/>
    <x v="1547"/>
    <x v="1"/>
    <x v="4445"/>
    <x v="4549"/>
    <x v="469"/>
    <x v="0"/>
    <x v="0"/>
    <x v="2"/>
    <x v="372"/>
    <x v="19"/>
    <x v="663"/>
    <x v="23"/>
    <x v="3"/>
    <x v="818"/>
    <x v="0"/>
    <x v="4655"/>
  </r>
  <r>
    <x v="0"/>
    <x v="1656"/>
    <x v="373"/>
    <x v="79"/>
    <x v="263"/>
    <x v="166"/>
    <x v="814"/>
    <x v="4"/>
    <x v="168"/>
    <x v="1847"/>
    <x v="2736"/>
    <x v="2611"/>
    <x v="4547"/>
    <x v="4505"/>
    <x v="3814"/>
    <x v="0"/>
    <x v="4446"/>
    <x v="4550"/>
    <x v="547"/>
    <x v="0"/>
    <x v="1"/>
    <x v="4"/>
    <x v="149"/>
    <x v="7"/>
    <x v="627"/>
    <x v="15"/>
    <x v="1"/>
    <x v="718"/>
    <x v="0"/>
    <x v="4656"/>
  </r>
  <r>
    <x v="0"/>
    <x v="1696"/>
    <x v="441"/>
    <x v="107"/>
    <x v="117"/>
    <x v="424"/>
    <x v="371"/>
    <x v="4"/>
    <x v="875"/>
    <x v="1567"/>
    <x v="2737"/>
    <x v="3211"/>
    <x v="4548"/>
    <x v="4506"/>
    <x v="3815"/>
    <x v="4"/>
    <x v="4447"/>
    <x v="4551"/>
    <x v="790"/>
    <x v="0"/>
    <x v="0"/>
    <x v="1"/>
    <x v="373"/>
    <x v="2"/>
    <x v="900"/>
    <x v="41"/>
    <x v="2"/>
    <x v="528"/>
    <x v="0"/>
    <x v="4657"/>
  </r>
  <r>
    <x v="0"/>
    <x v="2147"/>
    <x v="478"/>
    <x v="78"/>
    <x v="193"/>
    <x v="755"/>
    <x v="0"/>
    <x v="4"/>
    <x v="60"/>
    <x v="1848"/>
    <x v="2738"/>
    <x v="3212"/>
    <x v="4549"/>
    <x v="4507"/>
    <x v="3816"/>
    <x v="1"/>
    <x v="4"/>
    <x v="4552"/>
    <x v="843"/>
    <x v="0"/>
    <x v="0"/>
    <x v="1"/>
    <x v="344"/>
    <x v="2"/>
    <x v="190"/>
    <x v="75"/>
    <x v="2"/>
    <x v="819"/>
    <x v="0"/>
    <x v="4658"/>
  </r>
  <r>
    <x v="0"/>
    <x v="2148"/>
    <x v="151"/>
    <x v="32"/>
    <x v="0"/>
    <x v="903"/>
    <x v="309"/>
    <x v="3848"/>
    <x v="498"/>
    <x v="1849"/>
    <x v="2739"/>
    <x v="3213"/>
    <x v="4550"/>
    <x v="651"/>
    <x v="1785"/>
    <x v="4"/>
    <x v="4448"/>
    <x v="4553"/>
    <x v="434"/>
    <x v="44"/>
    <x v="44"/>
    <x v="0"/>
    <x v="149"/>
    <x v="10"/>
    <x v="586"/>
    <x v="26"/>
    <x v="3"/>
    <x v="10"/>
    <x v="0"/>
    <x v="4659"/>
  </r>
  <r>
    <x v="0"/>
    <x v="2149"/>
    <x v="441"/>
    <x v="41"/>
    <x v="78"/>
    <x v="567"/>
    <x v="815"/>
    <x v="4"/>
    <x v="582"/>
    <x v="1850"/>
    <x v="2740"/>
    <x v="3214"/>
    <x v="4551"/>
    <x v="4508"/>
    <x v="2891"/>
    <x v="1"/>
    <x v="4449"/>
    <x v="4554"/>
    <x v="843"/>
    <x v="0"/>
    <x v="1"/>
    <x v="1"/>
    <x v="4"/>
    <x v="0"/>
    <x v="604"/>
    <x v="8"/>
    <x v="2"/>
    <x v="574"/>
    <x v="0"/>
    <x v="4660"/>
  </r>
  <r>
    <x v="0"/>
    <x v="1686"/>
    <x v="336"/>
    <x v="76"/>
    <x v="392"/>
    <x v="38"/>
    <x v="128"/>
    <x v="3849"/>
    <x v="200"/>
    <x v="1128"/>
    <x v="2741"/>
    <x v="3215"/>
    <x v="4552"/>
    <x v="4509"/>
    <x v="3817"/>
    <x v="1"/>
    <x v="4450"/>
    <x v="4555"/>
    <x v="149"/>
    <x v="0"/>
    <x v="0"/>
    <x v="4"/>
    <x v="297"/>
    <x v="16"/>
    <x v="902"/>
    <x v="7"/>
    <x v="3"/>
    <x v="1"/>
    <x v="0"/>
    <x v="4661"/>
  </r>
  <r>
    <x v="0"/>
    <x v="1839"/>
    <x v="492"/>
    <x v="37"/>
    <x v="134"/>
    <x v="745"/>
    <x v="561"/>
    <x v="3850"/>
    <x v="17"/>
    <x v="1851"/>
    <x v="2742"/>
    <x v="3216"/>
    <x v="4553"/>
    <x v="4510"/>
    <x v="3514"/>
    <x v="1"/>
    <x v="4451"/>
    <x v="4556"/>
    <x v="510"/>
    <x v="0"/>
    <x v="0"/>
    <x v="4"/>
    <x v="297"/>
    <x v="27"/>
    <x v="599"/>
    <x v="13"/>
    <x v="3"/>
    <x v="612"/>
    <x v="0"/>
    <x v="4662"/>
  </r>
  <r>
    <x v="0"/>
    <x v="1311"/>
    <x v="349"/>
    <x v="76"/>
    <x v="85"/>
    <x v="453"/>
    <x v="476"/>
    <x v="3851"/>
    <x v="17"/>
    <x v="1852"/>
    <x v="2730"/>
    <x v="3217"/>
    <x v="4554"/>
    <x v="4511"/>
    <x v="2702"/>
    <x v="1"/>
    <x v="4452"/>
    <x v="4557"/>
    <x v="675"/>
    <x v="0"/>
    <x v="10"/>
    <x v="4"/>
    <x v="297"/>
    <x v="19"/>
    <x v="283"/>
    <x v="13"/>
    <x v="3"/>
    <x v="820"/>
    <x v="0"/>
    <x v="4663"/>
  </r>
  <r>
    <x v="1"/>
    <x v="2150"/>
    <x v="184"/>
    <x v="47"/>
    <x v="122"/>
    <x v="708"/>
    <x v="220"/>
    <x v="3852"/>
    <x v="352"/>
    <x v="1853"/>
    <x v="2743"/>
    <x v="3218"/>
    <x v="4555"/>
    <x v="4512"/>
    <x v="3818"/>
    <x v="1"/>
    <x v="4453"/>
    <x v="4558"/>
    <x v="591"/>
    <x v="15"/>
    <x v="8"/>
    <x v="9"/>
    <x v="4"/>
    <x v="85"/>
    <x v="658"/>
    <x v="25"/>
    <x v="8"/>
    <x v="641"/>
    <x v="0"/>
    <x v="4664"/>
  </r>
  <r>
    <x v="0"/>
    <x v="2151"/>
    <x v="451"/>
    <x v="54"/>
    <x v="0"/>
    <x v="563"/>
    <x v="145"/>
    <x v="4"/>
    <x v="270"/>
    <x v="269"/>
    <x v="2744"/>
    <x v="3219"/>
    <x v="4556"/>
    <x v="3310"/>
    <x v="1966"/>
    <x v="4"/>
    <x v="4454"/>
    <x v="4559"/>
    <x v="326"/>
    <x v="0"/>
    <x v="0"/>
    <x v="1"/>
    <x v="371"/>
    <x v="8"/>
    <x v="789"/>
    <x v="38"/>
    <x v="0"/>
    <x v="492"/>
    <x v="0"/>
    <x v="4665"/>
  </r>
  <r>
    <x v="0"/>
    <x v="2152"/>
    <x v="429"/>
    <x v="105"/>
    <x v="0"/>
    <x v="298"/>
    <x v="611"/>
    <x v="4"/>
    <x v="270"/>
    <x v="1854"/>
    <x v="2745"/>
    <x v="3220"/>
    <x v="4557"/>
    <x v="4513"/>
    <x v="2833"/>
    <x v="0"/>
    <x v="4455"/>
    <x v="4560"/>
    <x v="744"/>
    <x v="6"/>
    <x v="52"/>
    <x v="10"/>
    <x v="297"/>
    <x v="14"/>
    <x v="624"/>
    <x v="13"/>
    <x v="2"/>
    <x v="361"/>
    <x v="0"/>
    <x v="4666"/>
  </r>
  <r>
    <x v="0"/>
    <x v="381"/>
    <x v="207"/>
    <x v="27"/>
    <x v="19"/>
    <x v="561"/>
    <x v="737"/>
    <x v="3853"/>
    <x v="306"/>
    <x v="1569"/>
    <x v="1699"/>
    <x v="893"/>
    <x v="4558"/>
    <x v="4514"/>
    <x v="3819"/>
    <x v="0"/>
    <x v="4456"/>
    <x v="4561"/>
    <x v="167"/>
    <x v="0"/>
    <x v="10"/>
    <x v="4"/>
    <x v="297"/>
    <x v="15"/>
    <x v="549"/>
    <x v="12"/>
    <x v="3"/>
    <x v="821"/>
    <x v="0"/>
    <x v="4667"/>
  </r>
  <r>
    <x v="0"/>
    <x v="2153"/>
    <x v="479"/>
    <x v="50"/>
    <x v="221"/>
    <x v="775"/>
    <x v="656"/>
    <x v="4"/>
    <x v="352"/>
    <x v="1855"/>
    <x v="2746"/>
    <x v="1688"/>
    <x v="4559"/>
    <x v="4515"/>
    <x v="2168"/>
    <x v="1"/>
    <x v="4457"/>
    <x v="4562"/>
    <x v="737"/>
    <x v="0"/>
    <x v="0"/>
    <x v="4"/>
    <x v="297"/>
    <x v="17"/>
    <x v="732"/>
    <x v="13"/>
    <x v="2"/>
    <x v="822"/>
    <x v="0"/>
    <x v="4668"/>
  </r>
  <r>
    <x v="0"/>
    <x v="2154"/>
    <x v="457"/>
    <x v="101"/>
    <x v="0"/>
    <x v="120"/>
    <x v="0"/>
    <x v="3854"/>
    <x v="270"/>
    <x v="995"/>
    <x v="2747"/>
    <x v="3221"/>
    <x v="4560"/>
    <x v="4501"/>
    <x v="3820"/>
    <x v="0"/>
    <x v="4458"/>
    <x v="4563"/>
    <x v="416"/>
    <x v="0"/>
    <x v="0"/>
    <x v="4"/>
    <x v="4"/>
    <x v="21"/>
    <x v="664"/>
    <x v="39"/>
    <x v="2"/>
    <x v="404"/>
    <x v="0"/>
    <x v="4669"/>
  </r>
  <r>
    <x v="0"/>
    <x v="2155"/>
    <x v="489"/>
    <x v="41"/>
    <x v="423"/>
    <x v="869"/>
    <x v="816"/>
    <x v="3855"/>
    <x v="125"/>
    <x v="1856"/>
    <x v="2748"/>
    <x v="3222"/>
    <x v="4561"/>
    <x v="4516"/>
    <x v="3378"/>
    <x v="2"/>
    <x v="4"/>
    <x v="4564"/>
    <x v="547"/>
    <x v="0"/>
    <x v="0"/>
    <x v="9"/>
    <x v="374"/>
    <x v="11"/>
    <x v="300"/>
    <x v="37"/>
    <x v="2"/>
    <x v="1"/>
    <x v="0"/>
    <x v="4670"/>
  </r>
  <r>
    <x v="0"/>
    <x v="450"/>
    <x v="400"/>
    <x v="43"/>
    <x v="158"/>
    <x v="170"/>
    <x v="641"/>
    <x v="3856"/>
    <x v="476"/>
    <x v="1265"/>
    <x v="2749"/>
    <x v="3223"/>
    <x v="4562"/>
    <x v="4517"/>
    <x v="3821"/>
    <x v="0"/>
    <x v="4459"/>
    <x v="4565"/>
    <x v="694"/>
    <x v="33"/>
    <x v="37"/>
    <x v="9"/>
    <x v="297"/>
    <x v="0"/>
    <x v="866"/>
    <x v="21"/>
    <x v="3"/>
    <x v="33"/>
    <x v="0"/>
    <x v="4671"/>
  </r>
  <r>
    <x v="0"/>
    <x v="2156"/>
    <x v="193"/>
    <x v="78"/>
    <x v="47"/>
    <x v="691"/>
    <x v="523"/>
    <x v="3857"/>
    <x v="876"/>
    <x v="1857"/>
    <x v="2750"/>
    <x v="3224"/>
    <x v="4563"/>
    <x v="4518"/>
    <x v="3822"/>
    <x v="0"/>
    <x v="4460"/>
    <x v="4566"/>
    <x v="486"/>
    <x v="0"/>
    <x v="0"/>
    <x v="0"/>
    <x v="375"/>
    <x v="17"/>
    <x v="440"/>
    <x v="2"/>
    <x v="2"/>
    <x v="103"/>
    <x v="0"/>
    <x v="4672"/>
  </r>
  <r>
    <x v="0"/>
    <x v="2157"/>
    <x v="93"/>
    <x v="185"/>
    <x v="0"/>
    <x v="683"/>
    <x v="214"/>
    <x v="4"/>
    <x v="877"/>
    <x v="1858"/>
    <x v="2751"/>
    <x v="3225"/>
    <x v="4564"/>
    <x v="4519"/>
    <x v="3272"/>
    <x v="1"/>
    <x v="4461"/>
    <x v="4567"/>
    <x v="416"/>
    <x v="0"/>
    <x v="0"/>
    <x v="1"/>
    <x v="4"/>
    <x v="3"/>
    <x v="595"/>
    <x v="5"/>
    <x v="2"/>
    <x v="751"/>
    <x v="0"/>
    <x v="4673"/>
  </r>
  <r>
    <x v="0"/>
    <x v="142"/>
    <x v="388"/>
    <x v="52"/>
    <x v="0"/>
    <x v="882"/>
    <x v="2"/>
    <x v="3858"/>
    <x v="379"/>
    <x v="42"/>
    <x v="2752"/>
    <x v="3226"/>
    <x v="4565"/>
    <x v="1524"/>
    <x v="3823"/>
    <x v="1"/>
    <x v="4462"/>
    <x v="4568"/>
    <x v="102"/>
    <x v="0"/>
    <x v="0"/>
    <x v="2"/>
    <x v="376"/>
    <x v="44"/>
    <x v="12"/>
    <x v="7"/>
    <x v="1"/>
    <x v="1"/>
    <x v="0"/>
    <x v="4674"/>
  </r>
  <r>
    <x v="0"/>
    <x v="2004"/>
    <x v="152"/>
    <x v="128"/>
    <x v="122"/>
    <x v="298"/>
    <x v="683"/>
    <x v="4"/>
    <x v="837"/>
    <x v="1859"/>
    <x v="2753"/>
    <x v="3227"/>
    <x v="4566"/>
    <x v="4520"/>
    <x v="2560"/>
    <x v="0"/>
    <x v="4463"/>
    <x v="4569"/>
    <x v="343"/>
    <x v="0"/>
    <x v="0"/>
    <x v="1"/>
    <x v="377"/>
    <x v="7"/>
    <x v="253"/>
    <x v="16"/>
    <x v="0"/>
    <x v="670"/>
    <x v="0"/>
    <x v="4675"/>
  </r>
  <r>
    <x v="0"/>
    <x v="2158"/>
    <x v="249"/>
    <x v="107"/>
    <x v="193"/>
    <x v="419"/>
    <x v="35"/>
    <x v="3859"/>
    <x v="878"/>
    <x v="653"/>
    <x v="2754"/>
    <x v="2831"/>
    <x v="4567"/>
    <x v="4521"/>
    <x v="3824"/>
    <x v="0"/>
    <x v="4464"/>
    <x v="4570"/>
    <x v="546"/>
    <x v="0"/>
    <x v="0"/>
    <x v="4"/>
    <x v="377"/>
    <x v="1"/>
    <x v="726"/>
    <x v="8"/>
    <x v="3"/>
    <x v="783"/>
    <x v="0"/>
    <x v="4676"/>
  </r>
  <r>
    <x v="0"/>
    <x v="22"/>
    <x v="168"/>
    <x v="107"/>
    <x v="15"/>
    <x v="44"/>
    <x v="408"/>
    <x v="3860"/>
    <x v="105"/>
    <x v="750"/>
    <x v="1355"/>
    <x v="53"/>
    <x v="4568"/>
    <x v="4522"/>
    <x v="3825"/>
    <x v="0"/>
    <x v="4465"/>
    <x v="4571"/>
    <x v="635"/>
    <x v="0"/>
    <x v="0"/>
    <x v="4"/>
    <x v="377"/>
    <x v="3"/>
    <x v="693"/>
    <x v="15"/>
    <x v="1"/>
    <x v="77"/>
    <x v="0"/>
    <x v="4677"/>
  </r>
  <r>
    <x v="0"/>
    <x v="1854"/>
    <x v="451"/>
    <x v="71"/>
    <x v="5"/>
    <x v="220"/>
    <x v="817"/>
    <x v="3861"/>
    <x v="771"/>
    <x v="1860"/>
    <x v="2755"/>
    <x v="3228"/>
    <x v="4569"/>
    <x v="4523"/>
    <x v="3826"/>
    <x v="1"/>
    <x v="4466"/>
    <x v="4572"/>
    <x v="824"/>
    <x v="0"/>
    <x v="0"/>
    <x v="4"/>
    <x v="4"/>
    <x v="10"/>
    <x v="403"/>
    <x v="7"/>
    <x v="3"/>
    <x v="696"/>
    <x v="0"/>
    <x v="4678"/>
  </r>
  <r>
    <x v="0"/>
    <x v="2159"/>
    <x v="246"/>
    <x v="54"/>
    <x v="309"/>
    <x v="377"/>
    <x v="659"/>
    <x v="3862"/>
    <x v="444"/>
    <x v="1315"/>
    <x v="1336"/>
    <x v="529"/>
    <x v="4570"/>
    <x v="4524"/>
    <x v="3418"/>
    <x v="0"/>
    <x v="4467"/>
    <x v="4573"/>
    <x v="120"/>
    <x v="0"/>
    <x v="1"/>
    <x v="9"/>
    <x v="149"/>
    <x v="10"/>
    <x v="347"/>
    <x v="22"/>
    <x v="1"/>
    <x v="1"/>
    <x v="0"/>
    <x v="4679"/>
  </r>
  <r>
    <x v="0"/>
    <x v="2101"/>
    <x v="140"/>
    <x v="59"/>
    <x v="419"/>
    <x v="323"/>
    <x v="328"/>
    <x v="3863"/>
    <x v="429"/>
    <x v="1808"/>
    <x v="2756"/>
    <x v="3229"/>
    <x v="4571"/>
    <x v="4525"/>
    <x v="2486"/>
    <x v="0"/>
    <x v="4468"/>
    <x v="4574"/>
    <x v="556"/>
    <x v="0"/>
    <x v="0"/>
    <x v="4"/>
    <x v="377"/>
    <x v="10"/>
    <x v="667"/>
    <x v="34"/>
    <x v="1"/>
    <x v="1"/>
    <x v="0"/>
    <x v="4680"/>
  </r>
  <r>
    <x v="0"/>
    <x v="331"/>
    <x v="305"/>
    <x v="71"/>
    <x v="203"/>
    <x v="600"/>
    <x v="14"/>
    <x v="2352"/>
    <x v="164"/>
    <x v="61"/>
    <x v="1540"/>
    <x v="1845"/>
    <x v="2512"/>
    <x v="4526"/>
    <x v="2345"/>
    <x v="1"/>
    <x v="2492"/>
    <x v="2512"/>
    <x v="273"/>
    <x v="0"/>
    <x v="0"/>
    <x v="0"/>
    <x v="178"/>
    <x v="0"/>
    <x v="183"/>
    <x v="30"/>
    <x v="1"/>
    <x v="1"/>
    <x v="0"/>
    <x v="4681"/>
  </r>
  <r>
    <x v="0"/>
    <x v="798"/>
    <x v="293"/>
    <x v="11"/>
    <x v="305"/>
    <x v="358"/>
    <x v="744"/>
    <x v="4"/>
    <x v="270"/>
    <x v="1861"/>
    <x v="2757"/>
    <x v="3230"/>
    <x v="4572"/>
    <x v="4527"/>
    <x v="2127"/>
    <x v="1"/>
    <x v="4469"/>
    <x v="4575"/>
    <x v="420"/>
    <x v="17"/>
    <x v="20"/>
    <x v="4"/>
    <x v="377"/>
    <x v="48"/>
    <x v="903"/>
    <x v="14"/>
    <x v="10"/>
    <x v="1"/>
    <x v="0"/>
    <x v="4682"/>
  </r>
  <r>
    <x v="0"/>
    <x v="222"/>
    <x v="308"/>
    <x v="76"/>
    <x v="153"/>
    <x v="502"/>
    <x v="818"/>
    <x v="3864"/>
    <x v="270"/>
    <x v="1862"/>
    <x v="2758"/>
    <x v="3231"/>
    <x v="4573"/>
    <x v="4528"/>
    <x v="2551"/>
    <x v="0"/>
    <x v="4470"/>
    <x v="4576"/>
    <x v="755"/>
    <x v="0"/>
    <x v="0"/>
    <x v="4"/>
    <x v="377"/>
    <x v="19"/>
    <x v="582"/>
    <x v="4"/>
    <x v="0"/>
    <x v="823"/>
    <x v="0"/>
    <x v="4683"/>
  </r>
  <r>
    <x v="0"/>
    <x v="2160"/>
    <x v="277"/>
    <x v="77"/>
    <x v="198"/>
    <x v="14"/>
    <x v="0"/>
    <x v="3865"/>
    <x v="438"/>
    <x v="1110"/>
    <x v="2759"/>
    <x v="3232"/>
    <x v="4574"/>
    <x v="4529"/>
    <x v="3827"/>
    <x v="0"/>
    <x v="4471"/>
    <x v="4577"/>
    <x v="169"/>
    <x v="0"/>
    <x v="1"/>
    <x v="4"/>
    <x v="365"/>
    <x v="8"/>
    <x v="362"/>
    <x v="31"/>
    <x v="3"/>
    <x v="1"/>
    <x v="0"/>
    <x v="4684"/>
  </r>
  <r>
    <x v="0"/>
    <x v="691"/>
    <x v="167"/>
    <x v="78"/>
    <x v="12"/>
    <x v="457"/>
    <x v="689"/>
    <x v="4"/>
    <x v="429"/>
    <x v="1863"/>
    <x v="2567"/>
    <x v="3233"/>
    <x v="4575"/>
    <x v="4530"/>
    <x v="1762"/>
    <x v="1"/>
    <x v="4472"/>
    <x v="4578"/>
    <x v="756"/>
    <x v="0"/>
    <x v="0"/>
    <x v="4"/>
    <x v="377"/>
    <x v="7"/>
    <x v="467"/>
    <x v="23"/>
    <x v="1"/>
    <x v="43"/>
    <x v="0"/>
    <x v="4685"/>
  </r>
  <r>
    <x v="0"/>
    <x v="2161"/>
    <x v="385"/>
    <x v="54"/>
    <x v="221"/>
    <x v="266"/>
    <x v="580"/>
    <x v="4"/>
    <x v="429"/>
    <x v="1864"/>
    <x v="2760"/>
    <x v="3234"/>
    <x v="4576"/>
    <x v="4531"/>
    <x v="3828"/>
    <x v="0"/>
    <x v="4473"/>
    <x v="4579"/>
    <x v="737"/>
    <x v="0"/>
    <x v="0"/>
    <x v="4"/>
    <x v="377"/>
    <x v="0"/>
    <x v="685"/>
    <x v="69"/>
    <x v="3"/>
    <x v="592"/>
    <x v="0"/>
    <x v="4686"/>
  </r>
  <r>
    <x v="1"/>
    <x v="1568"/>
    <x v="155"/>
    <x v="79"/>
    <x v="101"/>
    <x v="103"/>
    <x v="36"/>
    <x v="4"/>
    <x v="879"/>
    <x v="1419"/>
    <x v="2306"/>
    <x v="3235"/>
    <x v="4577"/>
    <x v="4532"/>
    <x v="2520"/>
    <x v="0"/>
    <x v="4474"/>
    <x v="4580"/>
    <x v="936"/>
    <x v="0"/>
    <x v="0"/>
    <x v="2"/>
    <x v="377"/>
    <x v="69"/>
    <x v="435"/>
    <x v="14"/>
    <x v="15"/>
    <x v="67"/>
    <x v="0"/>
    <x v="4687"/>
  </r>
  <r>
    <x v="0"/>
    <x v="1458"/>
    <x v="302"/>
    <x v="92"/>
    <x v="80"/>
    <x v="621"/>
    <x v="635"/>
    <x v="3866"/>
    <x v="880"/>
    <x v="1865"/>
    <x v="2761"/>
    <x v="3236"/>
    <x v="4578"/>
    <x v="4533"/>
    <x v="3774"/>
    <x v="0"/>
    <x v="4475"/>
    <x v="4581"/>
    <x v="169"/>
    <x v="0"/>
    <x v="0"/>
    <x v="0"/>
    <x v="378"/>
    <x v="24"/>
    <x v="794"/>
    <x v="24"/>
    <x v="8"/>
    <x v="1"/>
    <x v="0"/>
    <x v="4688"/>
  </r>
  <r>
    <x v="0"/>
    <x v="2162"/>
    <x v="324"/>
    <x v="107"/>
    <x v="164"/>
    <x v="320"/>
    <x v="656"/>
    <x v="3867"/>
    <x v="305"/>
    <x v="1866"/>
    <x v="2762"/>
    <x v="3237"/>
    <x v="4579"/>
    <x v="3842"/>
    <x v="3829"/>
    <x v="0"/>
    <x v="4476"/>
    <x v="4582"/>
    <x v="835"/>
    <x v="0"/>
    <x v="0"/>
    <x v="0"/>
    <x v="4"/>
    <x v="12"/>
    <x v="131"/>
    <x v="1"/>
    <x v="8"/>
    <x v="449"/>
    <x v="0"/>
    <x v="4689"/>
  </r>
  <r>
    <x v="0"/>
    <x v="28"/>
    <x v="169"/>
    <x v="4"/>
    <x v="20"/>
    <x v="162"/>
    <x v="13"/>
    <x v="4"/>
    <x v="0"/>
    <x v="13"/>
    <x v="10"/>
    <x v="250"/>
    <x v="4580"/>
    <x v="4534"/>
    <x v="3830"/>
    <x v="0"/>
    <x v="4477"/>
    <x v="4583"/>
    <x v="744"/>
    <x v="0"/>
    <x v="0"/>
    <x v="1"/>
    <x v="4"/>
    <x v="11"/>
    <x v="9"/>
    <x v="14"/>
    <x v="2"/>
    <x v="103"/>
    <x v="0"/>
    <x v="4690"/>
  </r>
  <r>
    <x v="0"/>
    <x v="1641"/>
    <x v="272"/>
    <x v="55"/>
    <x v="79"/>
    <x v="221"/>
    <x v="819"/>
    <x v="3868"/>
    <x v="152"/>
    <x v="1867"/>
    <x v="2763"/>
    <x v="3238"/>
    <x v="4581"/>
    <x v="4535"/>
    <x v="894"/>
    <x v="1"/>
    <x v="4478"/>
    <x v="4584"/>
    <x v="558"/>
    <x v="0"/>
    <x v="0"/>
    <x v="13"/>
    <x v="378"/>
    <x v="18"/>
    <x v="736"/>
    <x v="13"/>
    <x v="3"/>
    <x v="824"/>
    <x v="0"/>
    <x v="4691"/>
  </r>
  <r>
    <x v="0"/>
    <x v="2163"/>
    <x v="430"/>
    <x v="27"/>
    <x v="0"/>
    <x v="192"/>
    <x v="418"/>
    <x v="4"/>
    <x v="150"/>
    <x v="1868"/>
    <x v="2764"/>
    <x v="3239"/>
    <x v="4582"/>
    <x v="4536"/>
    <x v="3732"/>
    <x v="9"/>
    <x v="4479"/>
    <x v="4585"/>
    <x v="789"/>
    <x v="0"/>
    <x v="0"/>
    <x v="0"/>
    <x v="138"/>
    <x v="11"/>
    <x v="824"/>
    <x v="22"/>
    <x v="1"/>
    <x v="825"/>
    <x v="0"/>
    <x v="4692"/>
  </r>
  <r>
    <x v="0"/>
    <x v="2164"/>
    <x v="385"/>
    <x v="76"/>
    <x v="0"/>
    <x v="412"/>
    <x v="423"/>
    <x v="4"/>
    <x v="484"/>
    <x v="768"/>
    <x v="2765"/>
    <x v="598"/>
    <x v="4583"/>
    <x v="4537"/>
    <x v="3831"/>
    <x v="0"/>
    <x v="4480"/>
    <x v="4586"/>
    <x v="896"/>
    <x v="0"/>
    <x v="0"/>
    <x v="0"/>
    <x v="4"/>
    <x v="0"/>
    <x v="219"/>
    <x v="61"/>
    <x v="2"/>
    <x v="826"/>
    <x v="0"/>
    <x v="4693"/>
  </r>
  <r>
    <x v="0"/>
    <x v="16"/>
    <x v="25"/>
    <x v="19"/>
    <x v="0"/>
    <x v="19"/>
    <x v="18"/>
    <x v="25"/>
    <x v="16"/>
    <x v="19"/>
    <x v="22"/>
    <x v="22"/>
    <x v="25"/>
    <x v="4538"/>
    <x v="1929"/>
    <x v="0"/>
    <x v="25"/>
    <x v="25"/>
    <x v="25"/>
    <x v="0"/>
    <x v="3"/>
    <x v="0"/>
    <x v="15"/>
    <x v="12"/>
    <x v="656"/>
    <x v="13"/>
    <x v="1"/>
    <x v="1"/>
    <x v="0"/>
    <x v="4694"/>
  </r>
  <r>
    <x v="0"/>
    <x v="444"/>
    <x v="103"/>
    <x v="26"/>
    <x v="241"/>
    <x v="371"/>
    <x v="52"/>
    <x v="1383"/>
    <x v="429"/>
    <x v="592"/>
    <x v="978"/>
    <x v="1127"/>
    <x v="1437"/>
    <x v="4539"/>
    <x v="3832"/>
    <x v="0"/>
    <x v="1427"/>
    <x v="1437"/>
    <x v="746"/>
    <x v="0"/>
    <x v="5"/>
    <x v="4"/>
    <x v="116"/>
    <x v="12"/>
    <x v="67"/>
    <x v="43"/>
    <x v="3"/>
    <x v="1"/>
    <x v="0"/>
    <x v="4695"/>
  </r>
  <r>
    <x v="0"/>
    <x v="2165"/>
    <x v="132"/>
    <x v="11"/>
    <x v="45"/>
    <x v="304"/>
    <x v="186"/>
    <x v="3869"/>
    <x v="270"/>
    <x v="350"/>
    <x v="2766"/>
    <x v="3240"/>
    <x v="4584"/>
    <x v="4540"/>
    <x v="3833"/>
    <x v="4"/>
    <x v="4481"/>
    <x v="4587"/>
    <x v="483"/>
    <x v="0"/>
    <x v="0"/>
    <x v="4"/>
    <x v="378"/>
    <x v="7"/>
    <x v="904"/>
    <x v="13"/>
    <x v="3"/>
    <x v="1"/>
    <x v="0"/>
    <x v="4696"/>
  </r>
  <r>
    <x v="0"/>
    <x v="2166"/>
    <x v="412"/>
    <x v="86"/>
    <x v="0"/>
    <x v="38"/>
    <x v="88"/>
    <x v="3870"/>
    <x v="270"/>
    <x v="1869"/>
    <x v="2767"/>
    <x v="3241"/>
    <x v="4585"/>
    <x v="4541"/>
    <x v="3834"/>
    <x v="2"/>
    <x v="4482"/>
    <x v="4588"/>
    <x v="843"/>
    <x v="0"/>
    <x v="0"/>
    <x v="0"/>
    <x v="378"/>
    <x v="20"/>
    <x v="722"/>
    <x v="12"/>
    <x v="2"/>
    <x v="827"/>
    <x v="0"/>
    <x v="4697"/>
  </r>
  <r>
    <x v="0"/>
    <x v="2167"/>
    <x v="429"/>
    <x v="95"/>
    <x v="122"/>
    <x v="358"/>
    <x v="335"/>
    <x v="3871"/>
    <x v="125"/>
    <x v="1870"/>
    <x v="2768"/>
    <x v="3242"/>
    <x v="4586"/>
    <x v="4542"/>
    <x v="2569"/>
    <x v="4"/>
    <x v="4483"/>
    <x v="4589"/>
    <x v="225"/>
    <x v="0"/>
    <x v="0"/>
    <x v="4"/>
    <x v="313"/>
    <x v="13"/>
    <x v="749"/>
    <x v="12"/>
    <x v="2"/>
    <x v="227"/>
    <x v="0"/>
    <x v="4698"/>
  </r>
  <r>
    <x v="0"/>
    <x v="2168"/>
    <x v="385"/>
    <x v="43"/>
    <x v="0"/>
    <x v="709"/>
    <x v="363"/>
    <x v="4"/>
    <x v="168"/>
    <x v="660"/>
    <x v="2769"/>
    <x v="3243"/>
    <x v="4587"/>
    <x v="4543"/>
    <x v="3835"/>
    <x v="3"/>
    <x v="4484"/>
    <x v="4590"/>
    <x v="326"/>
    <x v="0"/>
    <x v="0"/>
    <x v="1"/>
    <x v="377"/>
    <x v="2"/>
    <x v="788"/>
    <x v="41"/>
    <x v="1"/>
    <x v="253"/>
    <x v="0"/>
    <x v="4699"/>
  </r>
  <r>
    <x v="1"/>
    <x v="2169"/>
    <x v="262"/>
    <x v="78"/>
    <x v="89"/>
    <x v="179"/>
    <x v="652"/>
    <x v="3872"/>
    <x v="471"/>
    <x v="1871"/>
    <x v="2770"/>
    <x v="3244"/>
    <x v="4588"/>
    <x v="4544"/>
    <x v="3836"/>
    <x v="0"/>
    <x v="4485"/>
    <x v="4591"/>
    <x v="167"/>
    <x v="0"/>
    <x v="0"/>
    <x v="9"/>
    <x v="4"/>
    <x v="9"/>
    <x v="756"/>
    <x v="31"/>
    <x v="3"/>
    <x v="1"/>
    <x v="0"/>
    <x v="4700"/>
  </r>
  <r>
    <x v="0"/>
    <x v="2170"/>
    <x v="152"/>
    <x v="33"/>
    <x v="216"/>
    <x v="227"/>
    <x v="306"/>
    <x v="4"/>
    <x v="4"/>
    <x v="1872"/>
    <x v="1888"/>
    <x v="289"/>
    <x v="4589"/>
    <x v="4545"/>
    <x v="3837"/>
    <x v="0"/>
    <x v="4486"/>
    <x v="4592"/>
    <x v="824"/>
    <x v="0"/>
    <x v="1"/>
    <x v="1"/>
    <x v="379"/>
    <x v="0"/>
    <x v="712"/>
    <x v="38"/>
    <x v="2"/>
    <x v="828"/>
    <x v="0"/>
    <x v="4701"/>
  </r>
  <r>
    <x v="0"/>
    <x v="2171"/>
    <x v="93"/>
    <x v="186"/>
    <x v="0"/>
    <x v="502"/>
    <x v="0"/>
    <x v="4"/>
    <x v="4"/>
    <x v="114"/>
    <x v="2771"/>
    <x v="3245"/>
    <x v="4590"/>
    <x v="4546"/>
    <x v="834"/>
    <x v="1"/>
    <x v="4487"/>
    <x v="4593"/>
    <x v="326"/>
    <x v="0"/>
    <x v="0"/>
    <x v="1"/>
    <x v="313"/>
    <x v="11"/>
    <x v="541"/>
    <x v="38"/>
    <x v="2"/>
    <x v="829"/>
    <x v="0"/>
    <x v="4702"/>
  </r>
  <r>
    <x v="0"/>
    <x v="2172"/>
    <x v="384"/>
    <x v="78"/>
    <x v="198"/>
    <x v="120"/>
    <x v="378"/>
    <x v="4"/>
    <x v="208"/>
    <x v="691"/>
    <x v="2772"/>
    <x v="3246"/>
    <x v="4591"/>
    <x v="4547"/>
    <x v="3838"/>
    <x v="0"/>
    <x v="4488"/>
    <x v="4594"/>
    <x v="788"/>
    <x v="0"/>
    <x v="0"/>
    <x v="0"/>
    <x v="313"/>
    <x v="3"/>
    <x v="700"/>
    <x v="28"/>
    <x v="1"/>
    <x v="103"/>
    <x v="0"/>
    <x v="4703"/>
  </r>
  <r>
    <x v="0"/>
    <x v="2173"/>
    <x v="451"/>
    <x v="175"/>
    <x v="198"/>
    <x v="10"/>
    <x v="784"/>
    <x v="4"/>
    <x v="306"/>
    <x v="1718"/>
    <x v="2773"/>
    <x v="3247"/>
    <x v="4592"/>
    <x v="4215"/>
    <x v="3839"/>
    <x v="7"/>
    <x v="4489"/>
    <x v="4595"/>
    <x v="685"/>
    <x v="0"/>
    <x v="0"/>
    <x v="1"/>
    <x v="380"/>
    <x v="9"/>
    <x v="8"/>
    <x v="65"/>
    <x v="2"/>
    <x v="1"/>
    <x v="0"/>
    <x v="4704"/>
  </r>
  <r>
    <x v="0"/>
    <x v="2174"/>
    <x v="81"/>
    <x v="50"/>
    <x v="143"/>
    <x v="387"/>
    <x v="207"/>
    <x v="4"/>
    <x v="200"/>
    <x v="1873"/>
    <x v="1562"/>
    <x v="398"/>
    <x v="4593"/>
    <x v="4548"/>
    <x v="1562"/>
    <x v="4"/>
    <x v="4490"/>
    <x v="4596"/>
    <x v="786"/>
    <x v="0"/>
    <x v="0"/>
    <x v="1"/>
    <x v="378"/>
    <x v="2"/>
    <x v="565"/>
    <x v="43"/>
    <x v="2"/>
    <x v="1"/>
    <x v="0"/>
    <x v="4705"/>
  </r>
  <r>
    <x v="1"/>
    <x v="2175"/>
    <x v="240"/>
    <x v="113"/>
    <x v="123"/>
    <x v="549"/>
    <x v="135"/>
    <x v="3546"/>
    <x v="616"/>
    <x v="1874"/>
    <x v="2774"/>
    <x v="3248"/>
    <x v="4594"/>
    <x v="4549"/>
    <x v="2348"/>
    <x v="4"/>
    <x v="4491"/>
    <x v="4597"/>
    <x v="465"/>
    <x v="0"/>
    <x v="0"/>
    <x v="11"/>
    <x v="381"/>
    <x v="86"/>
    <x v="97"/>
    <x v="6"/>
    <x v="15"/>
    <x v="103"/>
    <x v="0"/>
    <x v="4706"/>
  </r>
  <r>
    <x v="1"/>
    <x v="2176"/>
    <x v="355"/>
    <x v="113"/>
    <x v="107"/>
    <x v="530"/>
    <x v="578"/>
    <x v="3873"/>
    <x v="429"/>
    <x v="1875"/>
    <x v="2775"/>
    <x v="3249"/>
    <x v="4595"/>
    <x v="4550"/>
    <x v="3840"/>
    <x v="0"/>
    <x v="4492"/>
    <x v="4598"/>
    <x v="948"/>
    <x v="0"/>
    <x v="0"/>
    <x v="4"/>
    <x v="382"/>
    <x v="15"/>
    <x v="749"/>
    <x v="21"/>
    <x v="8"/>
    <x v="1"/>
    <x v="0"/>
    <x v="4707"/>
  </r>
  <r>
    <x v="0"/>
    <x v="2177"/>
    <x v="302"/>
    <x v="83"/>
    <x v="125"/>
    <x v="653"/>
    <x v="656"/>
    <x v="3874"/>
    <x v="881"/>
    <x v="1876"/>
    <x v="2776"/>
    <x v="3250"/>
    <x v="4596"/>
    <x v="4551"/>
    <x v="3841"/>
    <x v="0"/>
    <x v="4493"/>
    <x v="4599"/>
    <x v="377"/>
    <x v="0"/>
    <x v="0"/>
    <x v="4"/>
    <x v="374"/>
    <x v="48"/>
    <x v="214"/>
    <x v="14"/>
    <x v="5"/>
    <x v="1"/>
    <x v="0"/>
    <x v="4708"/>
  </r>
  <r>
    <x v="0"/>
    <x v="459"/>
    <x v="249"/>
    <x v="105"/>
    <x v="243"/>
    <x v="660"/>
    <x v="721"/>
    <x v="4"/>
    <x v="125"/>
    <x v="1877"/>
    <x v="2777"/>
    <x v="3251"/>
    <x v="4597"/>
    <x v="4552"/>
    <x v="3842"/>
    <x v="0"/>
    <x v="4494"/>
    <x v="4600"/>
    <x v="558"/>
    <x v="0"/>
    <x v="0"/>
    <x v="4"/>
    <x v="313"/>
    <x v="47"/>
    <x v="438"/>
    <x v="12"/>
    <x v="3"/>
    <x v="1"/>
    <x v="0"/>
    <x v="4709"/>
  </r>
  <r>
    <x v="0"/>
    <x v="1878"/>
    <x v="464"/>
    <x v="11"/>
    <x v="106"/>
    <x v="741"/>
    <x v="820"/>
    <x v="3875"/>
    <x v="718"/>
    <x v="1878"/>
    <x v="2778"/>
    <x v="3252"/>
    <x v="4598"/>
    <x v="4553"/>
    <x v="2738"/>
    <x v="1"/>
    <x v="4495"/>
    <x v="4601"/>
    <x v="655"/>
    <x v="0"/>
    <x v="0"/>
    <x v="0"/>
    <x v="374"/>
    <x v="21"/>
    <x v="662"/>
    <x v="23"/>
    <x v="3"/>
    <x v="830"/>
    <x v="0"/>
    <x v="4710"/>
  </r>
  <r>
    <x v="0"/>
    <x v="2178"/>
    <x v="4"/>
    <x v="33"/>
    <x v="0"/>
    <x v="280"/>
    <x v="124"/>
    <x v="3876"/>
    <x v="60"/>
    <x v="1879"/>
    <x v="2779"/>
    <x v="3253"/>
    <x v="4599"/>
    <x v="4554"/>
    <x v="3843"/>
    <x v="2"/>
    <x v="4"/>
    <x v="4602"/>
    <x v="854"/>
    <x v="0"/>
    <x v="0"/>
    <x v="0"/>
    <x v="374"/>
    <x v="1"/>
    <x v="658"/>
    <x v="23"/>
    <x v="0"/>
    <x v="679"/>
    <x v="0"/>
    <x v="4711"/>
  </r>
  <r>
    <x v="0"/>
    <x v="2179"/>
    <x v="465"/>
    <x v="78"/>
    <x v="198"/>
    <x v="337"/>
    <x v="108"/>
    <x v="3877"/>
    <x v="270"/>
    <x v="204"/>
    <x v="1796"/>
    <x v="3254"/>
    <x v="4600"/>
    <x v="4555"/>
    <x v="1268"/>
    <x v="0"/>
    <x v="4496"/>
    <x v="4603"/>
    <x v="786"/>
    <x v="0"/>
    <x v="0"/>
    <x v="4"/>
    <x v="374"/>
    <x v="20"/>
    <x v="796"/>
    <x v="4"/>
    <x v="3"/>
    <x v="799"/>
    <x v="0"/>
    <x v="4712"/>
  </r>
  <r>
    <x v="0"/>
    <x v="2180"/>
    <x v="4"/>
    <x v="76"/>
    <x v="69"/>
    <x v="385"/>
    <x v="418"/>
    <x v="3878"/>
    <x v="152"/>
    <x v="761"/>
    <x v="2780"/>
    <x v="3255"/>
    <x v="4601"/>
    <x v="4556"/>
    <x v="2582"/>
    <x v="0"/>
    <x v="4"/>
    <x v="4604"/>
    <x v="4"/>
    <x v="0"/>
    <x v="0"/>
    <x v="9"/>
    <x v="4"/>
    <x v="9"/>
    <x v="641"/>
    <x v="22"/>
    <x v="2"/>
    <x v="706"/>
    <x v="0"/>
    <x v="4713"/>
  </r>
  <r>
    <x v="0"/>
    <x v="2181"/>
    <x v="417"/>
    <x v="72"/>
    <x v="0"/>
    <x v="298"/>
    <x v="471"/>
    <x v="4"/>
    <x v="4"/>
    <x v="1880"/>
    <x v="2781"/>
    <x v="3256"/>
    <x v="4602"/>
    <x v="4557"/>
    <x v="2095"/>
    <x v="3"/>
    <x v="4"/>
    <x v="4605"/>
    <x v="188"/>
    <x v="3"/>
    <x v="1"/>
    <x v="1"/>
    <x v="379"/>
    <x v="2"/>
    <x v="253"/>
    <x v="16"/>
    <x v="2"/>
    <x v="831"/>
    <x v="0"/>
    <x v="4714"/>
  </r>
  <r>
    <x v="0"/>
    <x v="2182"/>
    <x v="464"/>
    <x v="69"/>
    <x v="221"/>
    <x v="298"/>
    <x v="471"/>
    <x v="4"/>
    <x v="4"/>
    <x v="1881"/>
    <x v="2782"/>
    <x v="3257"/>
    <x v="4603"/>
    <x v="4558"/>
    <x v="2095"/>
    <x v="0"/>
    <x v="4497"/>
    <x v="4606"/>
    <x v="96"/>
    <x v="0"/>
    <x v="0"/>
    <x v="1"/>
    <x v="377"/>
    <x v="19"/>
    <x v="253"/>
    <x v="15"/>
    <x v="2"/>
    <x v="731"/>
    <x v="0"/>
    <x v="4715"/>
  </r>
  <r>
    <x v="0"/>
    <x v="2183"/>
    <x v="4"/>
    <x v="78"/>
    <x v="0"/>
    <x v="279"/>
    <x v="544"/>
    <x v="4"/>
    <x v="65"/>
    <x v="1882"/>
    <x v="1907"/>
    <x v="3258"/>
    <x v="4604"/>
    <x v="276"/>
    <x v="3051"/>
    <x v="0"/>
    <x v="4498"/>
    <x v="4607"/>
    <x v="326"/>
    <x v="0"/>
    <x v="0"/>
    <x v="0"/>
    <x v="374"/>
    <x v="11"/>
    <x v="11"/>
    <x v="25"/>
    <x v="2"/>
    <x v="780"/>
    <x v="0"/>
    <x v="4716"/>
  </r>
  <r>
    <x v="0"/>
    <x v="2184"/>
    <x v="465"/>
    <x v="58"/>
    <x v="69"/>
    <x v="621"/>
    <x v="318"/>
    <x v="4"/>
    <x v="200"/>
    <x v="796"/>
    <x v="2783"/>
    <x v="3259"/>
    <x v="4605"/>
    <x v="4559"/>
    <x v="3844"/>
    <x v="4"/>
    <x v="4499"/>
    <x v="4608"/>
    <x v="326"/>
    <x v="3"/>
    <x v="10"/>
    <x v="1"/>
    <x v="4"/>
    <x v="6"/>
    <x v="820"/>
    <x v="13"/>
    <x v="2"/>
    <x v="832"/>
    <x v="0"/>
    <x v="4717"/>
  </r>
  <r>
    <x v="0"/>
    <x v="2185"/>
    <x v="385"/>
    <x v="42"/>
    <x v="78"/>
    <x v="87"/>
    <x v="821"/>
    <x v="4"/>
    <x v="582"/>
    <x v="1883"/>
    <x v="364"/>
    <x v="3260"/>
    <x v="4606"/>
    <x v="4560"/>
    <x v="3845"/>
    <x v="0"/>
    <x v="4"/>
    <x v="4609"/>
    <x v="561"/>
    <x v="0"/>
    <x v="0"/>
    <x v="1"/>
    <x v="374"/>
    <x v="9"/>
    <x v="243"/>
    <x v="33"/>
    <x v="2"/>
    <x v="592"/>
    <x v="0"/>
    <x v="4718"/>
  </r>
  <r>
    <x v="1"/>
    <x v="421"/>
    <x v="353"/>
    <x v="101"/>
    <x v="137"/>
    <x v="872"/>
    <x v="596"/>
    <x v="3879"/>
    <x v="405"/>
    <x v="1884"/>
    <x v="2784"/>
    <x v="3261"/>
    <x v="4607"/>
    <x v="4561"/>
    <x v="146"/>
    <x v="1"/>
    <x v="4500"/>
    <x v="4610"/>
    <x v="623"/>
    <x v="0"/>
    <x v="1"/>
    <x v="11"/>
    <x v="383"/>
    <x v="53"/>
    <x v="791"/>
    <x v="16"/>
    <x v="21"/>
    <x v="1"/>
    <x v="0"/>
    <x v="4719"/>
  </r>
  <r>
    <x v="0"/>
    <x v="2186"/>
    <x v="320"/>
    <x v="110"/>
    <x v="85"/>
    <x v="4"/>
    <x v="790"/>
    <x v="3880"/>
    <x v="4"/>
    <x v="1763"/>
    <x v="217"/>
    <x v="4"/>
    <x v="4608"/>
    <x v="363"/>
    <x v="2095"/>
    <x v="0"/>
    <x v="4501"/>
    <x v="4611"/>
    <x v="188"/>
    <x v="0"/>
    <x v="0"/>
    <x v="1"/>
    <x v="383"/>
    <x v="10"/>
    <x v="147"/>
    <x v="13"/>
    <x v="2"/>
    <x v="536"/>
    <x v="0"/>
    <x v="4720"/>
  </r>
  <r>
    <x v="0"/>
    <x v="2187"/>
    <x v="169"/>
    <x v="76"/>
    <x v="31"/>
    <x v="402"/>
    <x v="35"/>
    <x v="4"/>
    <x v="17"/>
    <x v="157"/>
    <x v="2785"/>
    <x v="2480"/>
    <x v="4609"/>
    <x v="4562"/>
    <x v="3846"/>
    <x v="1"/>
    <x v="4502"/>
    <x v="4612"/>
    <x v="561"/>
    <x v="0"/>
    <x v="0"/>
    <x v="4"/>
    <x v="384"/>
    <x v="45"/>
    <x v="573"/>
    <x v="9"/>
    <x v="2"/>
    <x v="833"/>
    <x v="0"/>
    <x v="4721"/>
  </r>
  <r>
    <x v="0"/>
    <x v="2188"/>
    <x v="412"/>
    <x v="105"/>
    <x v="0"/>
    <x v="298"/>
    <x v="471"/>
    <x v="4"/>
    <x v="125"/>
    <x v="1885"/>
    <x v="2786"/>
    <x v="3262"/>
    <x v="4610"/>
    <x v="4563"/>
    <x v="2095"/>
    <x v="5"/>
    <x v="4"/>
    <x v="4613"/>
    <x v="188"/>
    <x v="45"/>
    <x v="59"/>
    <x v="1"/>
    <x v="149"/>
    <x v="2"/>
    <x v="253"/>
    <x v="21"/>
    <x v="1"/>
    <x v="492"/>
    <x v="0"/>
    <x v="4722"/>
  </r>
  <r>
    <x v="0"/>
    <x v="1896"/>
    <x v="401"/>
    <x v="40"/>
    <x v="409"/>
    <x v="370"/>
    <x v="164"/>
    <x v="3881"/>
    <x v="17"/>
    <x v="1886"/>
    <x v="2787"/>
    <x v="3263"/>
    <x v="4611"/>
    <x v="4564"/>
    <x v="2296"/>
    <x v="0"/>
    <x v="4503"/>
    <x v="4614"/>
    <x v="699"/>
    <x v="0"/>
    <x v="0"/>
    <x v="2"/>
    <x v="149"/>
    <x v="8"/>
    <x v="784"/>
    <x v="12"/>
    <x v="3"/>
    <x v="1"/>
    <x v="0"/>
    <x v="4723"/>
  </r>
  <r>
    <x v="0"/>
    <x v="2189"/>
    <x v="307"/>
    <x v="69"/>
    <x v="424"/>
    <x v="298"/>
    <x v="471"/>
    <x v="4"/>
    <x v="882"/>
    <x v="1887"/>
    <x v="2788"/>
    <x v="3264"/>
    <x v="4612"/>
    <x v="4565"/>
    <x v="2095"/>
    <x v="1"/>
    <x v="4504"/>
    <x v="4615"/>
    <x v="416"/>
    <x v="8"/>
    <x v="16"/>
    <x v="1"/>
    <x v="384"/>
    <x v="9"/>
    <x v="253"/>
    <x v="15"/>
    <x v="3"/>
    <x v="834"/>
    <x v="0"/>
    <x v="4724"/>
  </r>
  <r>
    <x v="0"/>
    <x v="2190"/>
    <x v="451"/>
    <x v="107"/>
    <x v="192"/>
    <x v="667"/>
    <x v="822"/>
    <x v="3882"/>
    <x v="883"/>
    <x v="1888"/>
    <x v="2789"/>
    <x v="3265"/>
    <x v="4613"/>
    <x v="4566"/>
    <x v="1748"/>
    <x v="0"/>
    <x v="4505"/>
    <x v="4616"/>
    <x v="225"/>
    <x v="0"/>
    <x v="0"/>
    <x v="3"/>
    <x v="149"/>
    <x v="55"/>
    <x v="581"/>
    <x v="9"/>
    <x v="3"/>
    <x v="482"/>
    <x v="0"/>
    <x v="4725"/>
  </r>
  <r>
    <x v="0"/>
    <x v="1895"/>
    <x v="98"/>
    <x v="139"/>
    <x v="134"/>
    <x v="321"/>
    <x v="712"/>
    <x v="3883"/>
    <x v="884"/>
    <x v="1889"/>
    <x v="2790"/>
    <x v="3266"/>
    <x v="4614"/>
    <x v="4567"/>
    <x v="3528"/>
    <x v="1"/>
    <x v="4506"/>
    <x v="4617"/>
    <x v="564"/>
    <x v="0"/>
    <x v="0"/>
    <x v="4"/>
    <x v="149"/>
    <x v="17"/>
    <x v="689"/>
    <x v="20"/>
    <x v="3"/>
    <x v="1"/>
    <x v="0"/>
    <x v="4726"/>
  </r>
  <r>
    <x v="0"/>
    <x v="2191"/>
    <x v="385"/>
    <x v="101"/>
    <x v="425"/>
    <x v="14"/>
    <x v="75"/>
    <x v="4"/>
    <x v="125"/>
    <x v="696"/>
    <x v="154"/>
    <x v="3267"/>
    <x v="4615"/>
    <x v="4568"/>
    <x v="2151"/>
    <x v="5"/>
    <x v="4"/>
    <x v="4618"/>
    <x v="416"/>
    <x v="0"/>
    <x v="0"/>
    <x v="4"/>
    <x v="4"/>
    <x v="10"/>
    <x v="74"/>
    <x v="28"/>
    <x v="2"/>
    <x v="653"/>
    <x v="0"/>
    <x v="4727"/>
  </r>
  <r>
    <x v="0"/>
    <x v="2192"/>
    <x v="299"/>
    <x v="55"/>
    <x v="193"/>
    <x v="458"/>
    <x v="562"/>
    <x v="3884"/>
    <x v="577"/>
    <x v="1890"/>
    <x v="2791"/>
    <x v="3268"/>
    <x v="4616"/>
    <x v="4569"/>
    <x v="3847"/>
    <x v="0"/>
    <x v="4507"/>
    <x v="4619"/>
    <x v="591"/>
    <x v="0"/>
    <x v="0"/>
    <x v="2"/>
    <x v="149"/>
    <x v="47"/>
    <x v="131"/>
    <x v="18"/>
    <x v="3"/>
    <x v="1"/>
    <x v="0"/>
    <x v="4728"/>
  </r>
  <r>
    <x v="0"/>
    <x v="2193"/>
    <x v="274"/>
    <x v="72"/>
    <x v="216"/>
    <x v="298"/>
    <x v="471"/>
    <x v="3885"/>
    <x v="885"/>
    <x v="1891"/>
    <x v="2792"/>
    <x v="3269"/>
    <x v="4617"/>
    <x v="4570"/>
    <x v="2095"/>
    <x v="4"/>
    <x v="4508"/>
    <x v="4620"/>
    <x v="632"/>
    <x v="0"/>
    <x v="0"/>
    <x v="2"/>
    <x v="4"/>
    <x v="12"/>
    <x v="253"/>
    <x v="7"/>
    <x v="3"/>
    <x v="435"/>
    <x v="0"/>
    <x v="4729"/>
  </r>
  <r>
    <x v="0"/>
    <x v="910"/>
    <x v="166"/>
    <x v="71"/>
    <x v="323"/>
    <x v="763"/>
    <x v="13"/>
    <x v="3886"/>
    <x v="200"/>
    <x v="13"/>
    <x v="1507"/>
    <x v="1624"/>
    <x v="4618"/>
    <x v="4571"/>
    <x v="3848"/>
    <x v="0"/>
    <x v="4509"/>
    <x v="4621"/>
    <x v="634"/>
    <x v="0"/>
    <x v="0"/>
    <x v="4"/>
    <x v="149"/>
    <x v="17"/>
    <x v="133"/>
    <x v="16"/>
    <x v="3"/>
    <x v="1"/>
    <x v="0"/>
    <x v="4730"/>
  </r>
  <r>
    <x v="0"/>
    <x v="2194"/>
    <x v="393"/>
    <x v="60"/>
    <x v="221"/>
    <x v="744"/>
    <x v="235"/>
    <x v="3887"/>
    <x v="270"/>
    <x v="1822"/>
    <x v="1969"/>
    <x v="3270"/>
    <x v="4619"/>
    <x v="4572"/>
    <x v="3199"/>
    <x v="1"/>
    <x v="4510"/>
    <x v="4622"/>
    <x v="650"/>
    <x v="0"/>
    <x v="0"/>
    <x v="0"/>
    <x v="138"/>
    <x v="0"/>
    <x v="146"/>
    <x v="1"/>
    <x v="1"/>
    <x v="1"/>
    <x v="0"/>
    <x v="4731"/>
  </r>
  <r>
    <x v="0"/>
    <x v="2195"/>
    <x v="343"/>
    <x v="50"/>
    <x v="221"/>
    <x v="621"/>
    <x v="823"/>
    <x v="3888"/>
    <x v="4"/>
    <x v="1892"/>
    <x v="2793"/>
    <x v="3271"/>
    <x v="4620"/>
    <x v="4573"/>
    <x v="3178"/>
    <x v="0"/>
    <x v="4511"/>
    <x v="4623"/>
    <x v="712"/>
    <x v="0"/>
    <x v="0"/>
    <x v="2"/>
    <x v="4"/>
    <x v="7"/>
    <x v="423"/>
    <x v="38"/>
    <x v="10"/>
    <x v="138"/>
    <x v="0"/>
    <x v="4732"/>
  </r>
  <r>
    <x v="0"/>
    <x v="2196"/>
    <x v="266"/>
    <x v="26"/>
    <x v="85"/>
    <x v="496"/>
    <x v="824"/>
    <x v="3889"/>
    <x v="886"/>
    <x v="1893"/>
    <x v="2794"/>
    <x v="3272"/>
    <x v="4621"/>
    <x v="4574"/>
    <x v="3849"/>
    <x v="3"/>
    <x v="4512"/>
    <x v="4624"/>
    <x v="670"/>
    <x v="0"/>
    <x v="0"/>
    <x v="4"/>
    <x v="149"/>
    <x v="15"/>
    <x v="462"/>
    <x v="32"/>
    <x v="3"/>
    <x v="306"/>
    <x v="0"/>
    <x v="4733"/>
  </r>
  <r>
    <x v="0"/>
    <x v="2197"/>
    <x v="451"/>
    <x v="58"/>
    <x v="0"/>
    <x v="100"/>
    <x v="825"/>
    <x v="3890"/>
    <x v="105"/>
    <x v="1894"/>
    <x v="2795"/>
    <x v="3273"/>
    <x v="4622"/>
    <x v="4575"/>
    <x v="3850"/>
    <x v="0"/>
    <x v="4513"/>
    <x v="4625"/>
    <x v="327"/>
    <x v="0"/>
    <x v="0"/>
    <x v="2"/>
    <x v="149"/>
    <x v="19"/>
    <x v="893"/>
    <x v="21"/>
    <x v="2"/>
    <x v="757"/>
    <x v="0"/>
    <x v="4734"/>
  </r>
  <r>
    <x v="0"/>
    <x v="2198"/>
    <x v="353"/>
    <x v="105"/>
    <x v="85"/>
    <x v="298"/>
    <x v="342"/>
    <x v="3891"/>
    <x v="270"/>
    <x v="1895"/>
    <x v="2796"/>
    <x v="3274"/>
    <x v="4623"/>
    <x v="4576"/>
    <x v="1998"/>
    <x v="1"/>
    <x v="4514"/>
    <x v="4626"/>
    <x v="356"/>
    <x v="19"/>
    <x v="60"/>
    <x v="0"/>
    <x v="385"/>
    <x v="17"/>
    <x v="253"/>
    <x v="38"/>
    <x v="3"/>
    <x v="1"/>
    <x v="0"/>
    <x v="4735"/>
  </r>
  <r>
    <x v="0"/>
    <x v="2199"/>
    <x v="207"/>
    <x v="41"/>
    <x v="0"/>
    <x v="79"/>
    <x v="593"/>
    <x v="3892"/>
    <x v="4"/>
    <x v="1896"/>
    <x v="2797"/>
    <x v="3275"/>
    <x v="4624"/>
    <x v="4577"/>
    <x v="3851"/>
    <x v="1"/>
    <x v="4515"/>
    <x v="4627"/>
    <x v="685"/>
    <x v="0"/>
    <x v="0"/>
    <x v="10"/>
    <x v="149"/>
    <x v="10"/>
    <x v="221"/>
    <x v="2"/>
    <x v="12"/>
    <x v="313"/>
    <x v="0"/>
    <x v="4736"/>
  </r>
  <r>
    <x v="0"/>
    <x v="2200"/>
    <x v="303"/>
    <x v="107"/>
    <x v="143"/>
    <x v="367"/>
    <x v="417"/>
    <x v="3893"/>
    <x v="419"/>
    <x v="1897"/>
    <x v="2798"/>
    <x v="3276"/>
    <x v="4625"/>
    <x v="4578"/>
    <x v="3038"/>
    <x v="0"/>
    <x v="4516"/>
    <x v="4628"/>
    <x v="169"/>
    <x v="0"/>
    <x v="0"/>
    <x v="4"/>
    <x v="149"/>
    <x v="21"/>
    <x v="327"/>
    <x v="12"/>
    <x v="3"/>
    <x v="1"/>
    <x v="0"/>
    <x v="4737"/>
  </r>
  <r>
    <x v="0"/>
    <x v="2197"/>
    <x v="320"/>
    <x v="59"/>
    <x v="0"/>
    <x v="367"/>
    <x v="825"/>
    <x v="3894"/>
    <x v="697"/>
    <x v="1894"/>
    <x v="2799"/>
    <x v="3277"/>
    <x v="4626"/>
    <x v="4579"/>
    <x v="3564"/>
    <x v="0"/>
    <x v="4517"/>
    <x v="4629"/>
    <x v="705"/>
    <x v="0"/>
    <x v="0"/>
    <x v="2"/>
    <x v="149"/>
    <x v="17"/>
    <x v="840"/>
    <x v="19"/>
    <x v="2"/>
    <x v="623"/>
    <x v="0"/>
    <x v="4738"/>
  </r>
  <r>
    <x v="0"/>
    <x v="1200"/>
    <x v="390"/>
    <x v="70"/>
    <x v="62"/>
    <x v="548"/>
    <x v="826"/>
    <x v="3895"/>
    <x v="270"/>
    <x v="1898"/>
    <x v="2800"/>
    <x v="856"/>
    <x v="4627"/>
    <x v="4580"/>
    <x v="3852"/>
    <x v="0"/>
    <x v="4518"/>
    <x v="4630"/>
    <x v="499"/>
    <x v="0"/>
    <x v="0"/>
    <x v="4"/>
    <x v="149"/>
    <x v="15"/>
    <x v="113"/>
    <x v="11"/>
    <x v="3"/>
    <x v="835"/>
    <x v="0"/>
    <x v="4739"/>
  </r>
  <r>
    <x v="0"/>
    <x v="2201"/>
    <x v="450"/>
    <x v="78"/>
    <x v="134"/>
    <x v="53"/>
    <x v="147"/>
    <x v="3896"/>
    <x v="152"/>
    <x v="271"/>
    <x v="1249"/>
    <x v="1557"/>
    <x v="4628"/>
    <x v="4581"/>
    <x v="2878"/>
    <x v="0"/>
    <x v="4519"/>
    <x v="4631"/>
    <x v="142"/>
    <x v="0"/>
    <x v="0"/>
    <x v="4"/>
    <x v="149"/>
    <x v="14"/>
    <x v="649"/>
    <x v="11"/>
    <x v="3"/>
    <x v="103"/>
    <x v="0"/>
    <x v="4740"/>
  </r>
  <r>
    <x v="1"/>
    <x v="1652"/>
    <x v="479"/>
    <x v="107"/>
    <x v="390"/>
    <x v="311"/>
    <x v="574"/>
    <x v="3897"/>
    <x v="352"/>
    <x v="1899"/>
    <x v="2801"/>
    <x v="3278"/>
    <x v="4629"/>
    <x v="4582"/>
    <x v="3853"/>
    <x v="3"/>
    <x v="4520"/>
    <x v="4632"/>
    <x v="732"/>
    <x v="0"/>
    <x v="0"/>
    <x v="4"/>
    <x v="149"/>
    <x v="13"/>
    <x v="289"/>
    <x v="12"/>
    <x v="3"/>
    <x v="799"/>
    <x v="0"/>
    <x v="4741"/>
  </r>
  <r>
    <x v="0"/>
    <x v="2202"/>
    <x v="429"/>
    <x v="42"/>
    <x v="233"/>
    <x v="314"/>
    <x v="13"/>
    <x v="3898"/>
    <x v="127"/>
    <x v="13"/>
    <x v="869"/>
    <x v="417"/>
    <x v="4630"/>
    <x v="4583"/>
    <x v="3854"/>
    <x v="1"/>
    <x v="4521"/>
    <x v="4633"/>
    <x v="705"/>
    <x v="0"/>
    <x v="0"/>
    <x v="4"/>
    <x v="149"/>
    <x v="18"/>
    <x v="30"/>
    <x v="19"/>
    <x v="3"/>
    <x v="522"/>
    <x v="0"/>
    <x v="4742"/>
  </r>
  <r>
    <x v="0"/>
    <x v="2203"/>
    <x v="492"/>
    <x v="43"/>
    <x v="122"/>
    <x v="889"/>
    <x v="510"/>
    <x v="3899"/>
    <x v="168"/>
    <x v="1900"/>
    <x v="2802"/>
    <x v="2799"/>
    <x v="4631"/>
    <x v="3193"/>
    <x v="3522"/>
    <x v="3"/>
    <x v="4522"/>
    <x v="4634"/>
    <x v="343"/>
    <x v="0"/>
    <x v="0"/>
    <x v="4"/>
    <x v="149"/>
    <x v="19"/>
    <x v="531"/>
    <x v="43"/>
    <x v="3"/>
    <x v="836"/>
    <x v="0"/>
    <x v="4743"/>
  </r>
  <r>
    <x v="0"/>
    <x v="2022"/>
    <x v="225"/>
    <x v="43"/>
    <x v="119"/>
    <x v="65"/>
    <x v="322"/>
    <x v="3900"/>
    <x v="200"/>
    <x v="1795"/>
    <x v="2803"/>
    <x v="81"/>
    <x v="4632"/>
    <x v="2951"/>
    <x v="1299"/>
    <x v="0"/>
    <x v="4523"/>
    <x v="4635"/>
    <x v="327"/>
    <x v="0"/>
    <x v="0"/>
    <x v="4"/>
    <x v="149"/>
    <x v="12"/>
    <x v="299"/>
    <x v="4"/>
    <x v="3"/>
    <x v="432"/>
    <x v="0"/>
    <x v="4744"/>
  </r>
  <r>
    <x v="0"/>
    <x v="2204"/>
    <x v="297"/>
    <x v="78"/>
    <x v="426"/>
    <x v="484"/>
    <x v="14"/>
    <x v="3901"/>
    <x v="105"/>
    <x v="351"/>
    <x v="1052"/>
    <x v="3279"/>
    <x v="4633"/>
    <x v="4584"/>
    <x v="3855"/>
    <x v="7"/>
    <x v="4524"/>
    <x v="4636"/>
    <x v="170"/>
    <x v="0"/>
    <x v="0"/>
    <x v="4"/>
    <x v="4"/>
    <x v="9"/>
    <x v="10"/>
    <x v="9"/>
    <x v="1"/>
    <x v="1"/>
    <x v="0"/>
    <x v="4745"/>
  </r>
  <r>
    <x v="0"/>
    <x v="2205"/>
    <x v="347"/>
    <x v="76"/>
    <x v="0"/>
    <x v="594"/>
    <x v="827"/>
    <x v="3902"/>
    <x v="4"/>
    <x v="1901"/>
    <x v="2804"/>
    <x v="3280"/>
    <x v="4634"/>
    <x v="4585"/>
    <x v="3856"/>
    <x v="0"/>
    <x v="4525"/>
    <x v="4637"/>
    <x v="791"/>
    <x v="0"/>
    <x v="0"/>
    <x v="1"/>
    <x v="149"/>
    <x v="3"/>
    <x v="534"/>
    <x v="1"/>
    <x v="2"/>
    <x v="399"/>
    <x v="0"/>
    <x v="4746"/>
  </r>
  <r>
    <x v="1"/>
    <x v="1270"/>
    <x v="155"/>
    <x v="134"/>
    <x v="0"/>
    <x v="597"/>
    <x v="462"/>
    <x v="3903"/>
    <x v="72"/>
    <x v="1902"/>
    <x v="2805"/>
    <x v="3281"/>
    <x v="4635"/>
    <x v="4586"/>
    <x v="3538"/>
    <x v="5"/>
    <x v="4526"/>
    <x v="4638"/>
    <x v="446"/>
    <x v="2"/>
    <x v="7"/>
    <x v="10"/>
    <x v="126"/>
    <x v="63"/>
    <x v="820"/>
    <x v="50"/>
    <x v="15"/>
    <x v="59"/>
    <x v="0"/>
    <x v="4747"/>
  </r>
  <r>
    <x v="0"/>
    <x v="2206"/>
    <x v="396"/>
    <x v="71"/>
    <x v="85"/>
    <x v="316"/>
    <x v="794"/>
    <x v="3904"/>
    <x v="743"/>
    <x v="1903"/>
    <x v="2806"/>
    <x v="3282"/>
    <x v="4636"/>
    <x v="4587"/>
    <x v="2202"/>
    <x v="1"/>
    <x v="4527"/>
    <x v="4639"/>
    <x v="561"/>
    <x v="0"/>
    <x v="0"/>
    <x v="9"/>
    <x v="149"/>
    <x v="3"/>
    <x v="557"/>
    <x v="26"/>
    <x v="2"/>
    <x v="1"/>
    <x v="0"/>
    <x v="4748"/>
  </r>
  <r>
    <x v="1"/>
    <x v="2207"/>
    <x v="81"/>
    <x v="55"/>
    <x v="211"/>
    <x v="54"/>
    <x v="2"/>
    <x v="4"/>
    <x v="434"/>
    <x v="75"/>
    <x v="2807"/>
    <x v="3283"/>
    <x v="4637"/>
    <x v="4588"/>
    <x v="3857"/>
    <x v="0"/>
    <x v="4528"/>
    <x v="4640"/>
    <x v="343"/>
    <x v="0"/>
    <x v="28"/>
    <x v="4"/>
    <x v="149"/>
    <x v="23"/>
    <x v="259"/>
    <x v="27"/>
    <x v="3"/>
    <x v="524"/>
    <x v="0"/>
    <x v="4749"/>
  </r>
  <r>
    <x v="0"/>
    <x v="41"/>
    <x v="311"/>
    <x v="95"/>
    <x v="29"/>
    <x v="884"/>
    <x v="828"/>
    <x v="3905"/>
    <x v="125"/>
    <x v="1904"/>
    <x v="2808"/>
    <x v="3284"/>
    <x v="4638"/>
    <x v="4589"/>
    <x v="3858"/>
    <x v="0"/>
    <x v="4529"/>
    <x v="4641"/>
    <x v="818"/>
    <x v="0"/>
    <x v="0"/>
    <x v="9"/>
    <x v="149"/>
    <x v="1"/>
    <x v="97"/>
    <x v="5"/>
    <x v="3"/>
    <x v="837"/>
    <x v="0"/>
    <x v="4750"/>
  </r>
  <r>
    <x v="0"/>
    <x v="2208"/>
    <x v="223"/>
    <x v="87"/>
    <x v="304"/>
    <x v="455"/>
    <x v="773"/>
    <x v="3906"/>
    <x v="63"/>
    <x v="1905"/>
    <x v="2809"/>
    <x v="3285"/>
    <x v="4639"/>
    <x v="4590"/>
    <x v="2277"/>
    <x v="0"/>
    <x v="4530"/>
    <x v="4642"/>
    <x v="796"/>
    <x v="0"/>
    <x v="10"/>
    <x v="4"/>
    <x v="149"/>
    <x v="5"/>
    <x v="513"/>
    <x v="27"/>
    <x v="3"/>
    <x v="34"/>
    <x v="0"/>
    <x v="4751"/>
  </r>
  <r>
    <x v="0"/>
    <x v="119"/>
    <x v="159"/>
    <x v="50"/>
    <x v="69"/>
    <x v="136"/>
    <x v="30"/>
    <x v="183"/>
    <x v="85"/>
    <x v="110"/>
    <x v="154"/>
    <x v="167"/>
    <x v="186"/>
    <x v="4591"/>
    <x v="184"/>
    <x v="0"/>
    <x v="186"/>
    <x v="186"/>
    <x v="178"/>
    <x v="0"/>
    <x v="0"/>
    <x v="2"/>
    <x v="37"/>
    <x v="2"/>
    <x v="74"/>
    <x v="10"/>
    <x v="3"/>
    <x v="18"/>
    <x v="0"/>
    <x v="4752"/>
  </r>
  <r>
    <x v="0"/>
    <x v="2142"/>
    <x v="435"/>
    <x v="7"/>
    <x v="85"/>
    <x v="703"/>
    <x v="331"/>
    <x v="3907"/>
    <x v="127"/>
    <x v="1906"/>
    <x v="2810"/>
    <x v="3286"/>
    <x v="4640"/>
    <x v="4592"/>
    <x v="2949"/>
    <x v="3"/>
    <x v="4531"/>
    <x v="4643"/>
    <x v="896"/>
    <x v="0"/>
    <x v="0"/>
    <x v="4"/>
    <x v="149"/>
    <x v="1"/>
    <x v="303"/>
    <x v="20"/>
    <x v="3"/>
    <x v="755"/>
    <x v="0"/>
    <x v="4753"/>
  </r>
  <r>
    <x v="0"/>
    <x v="2209"/>
    <x v="479"/>
    <x v="52"/>
    <x v="69"/>
    <x v="93"/>
    <x v="186"/>
    <x v="3908"/>
    <x v="291"/>
    <x v="350"/>
    <x v="1156"/>
    <x v="3287"/>
    <x v="4641"/>
    <x v="4593"/>
    <x v="3859"/>
    <x v="4"/>
    <x v="4532"/>
    <x v="4644"/>
    <x v="646"/>
    <x v="0"/>
    <x v="0"/>
    <x v="4"/>
    <x v="149"/>
    <x v="19"/>
    <x v="30"/>
    <x v="9"/>
    <x v="1"/>
    <x v="838"/>
    <x v="0"/>
    <x v="4754"/>
  </r>
  <r>
    <x v="0"/>
    <x v="2210"/>
    <x v="175"/>
    <x v="50"/>
    <x v="81"/>
    <x v="41"/>
    <x v="92"/>
    <x v="3909"/>
    <x v="211"/>
    <x v="411"/>
    <x v="2811"/>
    <x v="3288"/>
    <x v="4642"/>
    <x v="4594"/>
    <x v="3860"/>
    <x v="0"/>
    <x v="4533"/>
    <x v="4645"/>
    <x v="949"/>
    <x v="0"/>
    <x v="1"/>
    <x v="4"/>
    <x v="149"/>
    <x v="5"/>
    <x v="849"/>
    <x v="21"/>
    <x v="1"/>
    <x v="64"/>
    <x v="0"/>
    <x v="4755"/>
  </r>
  <r>
    <x v="0"/>
    <x v="2211"/>
    <x v="412"/>
    <x v="101"/>
    <x v="0"/>
    <x v="731"/>
    <x v="114"/>
    <x v="4"/>
    <x v="270"/>
    <x v="1455"/>
    <x v="2812"/>
    <x v="1469"/>
    <x v="4643"/>
    <x v="3990"/>
    <x v="3861"/>
    <x v="3"/>
    <x v="1485"/>
    <x v="4646"/>
    <x v="744"/>
    <x v="0"/>
    <x v="0"/>
    <x v="2"/>
    <x v="4"/>
    <x v="12"/>
    <x v="378"/>
    <x v="40"/>
    <x v="3"/>
    <x v="645"/>
    <x v="0"/>
    <x v="4756"/>
  </r>
  <r>
    <x v="0"/>
    <x v="2212"/>
    <x v="419"/>
    <x v="43"/>
    <x v="0"/>
    <x v="795"/>
    <x v="281"/>
    <x v="3910"/>
    <x v="125"/>
    <x v="603"/>
    <x v="2813"/>
    <x v="3289"/>
    <x v="4644"/>
    <x v="4595"/>
    <x v="3862"/>
    <x v="4"/>
    <x v="4534"/>
    <x v="4647"/>
    <x v="896"/>
    <x v="0"/>
    <x v="0"/>
    <x v="0"/>
    <x v="149"/>
    <x v="1"/>
    <x v="787"/>
    <x v="12"/>
    <x v="2"/>
    <x v="445"/>
    <x v="0"/>
    <x v="4757"/>
  </r>
  <r>
    <x v="0"/>
    <x v="2213"/>
    <x v="207"/>
    <x v="101"/>
    <x v="47"/>
    <x v="114"/>
    <x v="576"/>
    <x v="3911"/>
    <x v="476"/>
    <x v="1102"/>
    <x v="2814"/>
    <x v="3290"/>
    <x v="4645"/>
    <x v="4596"/>
    <x v="1783"/>
    <x v="5"/>
    <x v="4535"/>
    <x v="4648"/>
    <x v="822"/>
    <x v="0"/>
    <x v="0"/>
    <x v="9"/>
    <x v="149"/>
    <x v="3"/>
    <x v="226"/>
    <x v="51"/>
    <x v="1"/>
    <x v="587"/>
    <x v="0"/>
    <x v="4758"/>
  </r>
  <r>
    <x v="0"/>
    <x v="1847"/>
    <x v="492"/>
    <x v="42"/>
    <x v="0"/>
    <x v="298"/>
    <x v="665"/>
    <x v="4"/>
    <x v="70"/>
    <x v="1907"/>
    <x v="2815"/>
    <x v="3291"/>
    <x v="4646"/>
    <x v="4597"/>
    <x v="3105"/>
    <x v="1"/>
    <x v="4536"/>
    <x v="4649"/>
    <x v="561"/>
    <x v="4"/>
    <x v="9"/>
    <x v="1"/>
    <x v="119"/>
    <x v="7"/>
    <x v="231"/>
    <x v="16"/>
    <x v="1"/>
    <x v="839"/>
    <x v="0"/>
    <x v="4759"/>
  </r>
  <r>
    <x v="0"/>
    <x v="2214"/>
    <x v="422"/>
    <x v="54"/>
    <x v="221"/>
    <x v="401"/>
    <x v="342"/>
    <x v="4"/>
    <x v="865"/>
    <x v="1908"/>
    <x v="2816"/>
    <x v="3292"/>
    <x v="4647"/>
    <x v="4598"/>
    <x v="3863"/>
    <x v="0"/>
    <x v="4537"/>
    <x v="4650"/>
    <x v="744"/>
    <x v="0"/>
    <x v="1"/>
    <x v="1"/>
    <x v="149"/>
    <x v="7"/>
    <x v="327"/>
    <x v="11"/>
    <x v="3"/>
    <x v="562"/>
    <x v="0"/>
    <x v="4760"/>
  </r>
  <r>
    <x v="0"/>
    <x v="12"/>
    <x v="431"/>
    <x v="101"/>
    <x v="7"/>
    <x v="348"/>
    <x v="473"/>
    <x v="4"/>
    <x v="270"/>
    <x v="416"/>
    <x v="303"/>
    <x v="476"/>
    <x v="4648"/>
    <x v="4599"/>
    <x v="1653"/>
    <x v="0"/>
    <x v="4538"/>
    <x v="4651"/>
    <x v="896"/>
    <x v="0"/>
    <x v="0"/>
    <x v="4"/>
    <x v="344"/>
    <x v="21"/>
    <x v="205"/>
    <x v="4"/>
    <x v="3"/>
    <x v="517"/>
    <x v="0"/>
    <x v="4761"/>
  </r>
  <r>
    <x v="0"/>
    <x v="468"/>
    <x v="146"/>
    <x v="58"/>
    <x v="21"/>
    <x v="266"/>
    <x v="473"/>
    <x v="3912"/>
    <x v="306"/>
    <x v="236"/>
    <x v="162"/>
    <x v="3293"/>
    <x v="4649"/>
    <x v="4600"/>
    <x v="3864"/>
    <x v="0"/>
    <x v="4539"/>
    <x v="4652"/>
    <x v="749"/>
    <x v="0"/>
    <x v="0"/>
    <x v="4"/>
    <x v="4"/>
    <x v="11"/>
    <x v="107"/>
    <x v="21"/>
    <x v="1"/>
    <x v="1"/>
    <x v="0"/>
    <x v="4762"/>
  </r>
  <r>
    <x v="0"/>
    <x v="2215"/>
    <x v="4"/>
    <x v="46"/>
    <x v="216"/>
    <x v="298"/>
    <x v="129"/>
    <x v="4"/>
    <x v="582"/>
    <x v="1909"/>
    <x v="2817"/>
    <x v="3294"/>
    <x v="4650"/>
    <x v="4601"/>
    <x v="489"/>
    <x v="0"/>
    <x v="4"/>
    <x v="4653"/>
    <x v="416"/>
    <x v="0"/>
    <x v="0"/>
    <x v="1"/>
    <x v="149"/>
    <x v="12"/>
    <x v="253"/>
    <x v="27"/>
    <x v="8"/>
    <x v="1"/>
    <x v="0"/>
    <x v="4763"/>
  </r>
  <r>
    <x v="0"/>
    <x v="2182"/>
    <x v="435"/>
    <x v="45"/>
    <x v="221"/>
    <x v="875"/>
    <x v="278"/>
    <x v="4"/>
    <x v="4"/>
    <x v="1910"/>
    <x v="2818"/>
    <x v="3295"/>
    <x v="4651"/>
    <x v="3734"/>
    <x v="406"/>
    <x v="1"/>
    <x v="4"/>
    <x v="4654"/>
    <x v="416"/>
    <x v="0"/>
    <x v="0"/>
    <x v="1"/>
    <x v="149"/>
    <x v="11"/>
    <x v="490"/>
    <x v="13"/>
    <x v="8"/>
    <x v="745"/>
    <x v="0"/>
    <x v="4764"/>
  </r>
  <r>
    <x v="0"/>
    <x v="1474"/>
    <x v="422"/>
    <x v="33"/>
    <x v="122"/>
    <x v="134"/>
    <x v="9"/>
    <x v="4"/>
    <x v="17"/>
    <x v="279"/>
    <x v="774"/>
    <x v="3296"/>
    <x v="4652"/>
    <x v="4602"/>
    <x v="3865"/>
    <x v="3"/>
    <x v="4540"/>
    <x v="4655"/>
    <x v="487"/>
    <x v="0"/>
    <x v="1"/>
    <x v="0"/>
    <x v="4"/>
    <x v="3"/>
    <x v="88"/>
    <x v="13"/>
    <x v="1"/>
    <x v="1"/>
    <x v="0"/>
    <x v="4765"/>
  </r>
  <r>
    <x v="0"/>
    <x v="2216"/>
    <x v="272"/>
    <x v="27"/>
    <x v="211"/>
    <x v="790"/>
    <x v="316"/>
    <x v="4"/>
    <x v="476"/>
    <x v="1911"/>
    <x v="2819"/>
    <x v="3297"/>
    <x v="4653"/>
    <x v="4603"/>
    <x v="3866"/>
    <x v="4"/>
    <x v="4541"/>
    <x v="4656"/>
    <x v="510"/>
    <x v="0"/>
    <x v="0"/>
    <x v="4"/>
    <x v="149"/>
    <x v="3"/>
    <x v="905"/>
    <x v="58"/>
    <x v="1"/>
    <x v="1"/>
    <x v="0"/>
    <x v="4766"/>
  </r>
  <r>
    <x v="0"/>
    <x v="2217"/>
    <x v="4"/>
    <x v="78"/>
    <x v="0"/>
    <x v="450"/>
    <x v="197"/>
    <x v="4"/>
    <x v="887"/>
    <x v="1912"/>
    <x v="603"/>
    <x v="1231"/>
    <x v="4654"/>
    <x v="4130"/>
    <x v="3867"/>
    <x v="0"/>
    <x v="4"/>
    <x v="4657"/>
    <x v="4"/>
    <x v="0"/>
    <x v="0"/>
    <x v="1"/>
    <x v="4"/>
    <x v="2"/>
    <x v="60"/>
    <x v="7"/>
    <x v="2"/>
    <x v="523"/>
    <x v="0"/>
    <x v="4767"/>
  </r>
  <r>
    <x v="0"/>
    <x v="2218"/>
    <x v="93"/>
    <x v="40"/>
    <x v="320"/>
    <x v="869"/>
    <x v="396"/>
    <x v="4"/>
    <x v="83"/>
    <x v="1913"/>
    <x v="2820"/>
    <x v="3298"/>
    <x v="4655"/>
    <x v="4519"/>
    <x v="3402"/>
    <x v="0"/>
    <x v="4542"/>
    <x v="4658"/>
    <x v="655"/>
    <x v="0"/>
    <x v="0"/>
    <x v="4"/>
    <x v="4"/>
    <x v="2"/>
    <x v="320"/>
    <x v="48"/>
    <x v="2"/>
    <x v="223"/>
    <x v="0"/>
    <x v="4768"/>
  </r>
  <r>
    <x v="0"/>
    <x v="1231"/>
    <x v="387"/>
    <x v="41"/>
    <x v="58"/>
    <x v="250"/>
    <x v="0"/>
    <x v="2689"/>
    <x v="200"/>
    <x v="1118"/>
    <x v="1733"/>
    <x v="2067"/>
    <x v="2888"/>
    <x v="2881"/>
    <x v="663"/>
    <x v="1"/>
    <x v="2861"/>
    <x v="2888"/>
    <x v="894"/>
    <x v="0"/>
    <x v="0"/>
    <x v="0"/>
    <x v="176"/>
    <x v="19"/>
    <x v="789"/>
    <x v="47"/>
    <x v="3"/>
    <x v="1"/>
    <x v="0"/>
    <x v="4769"/>
  </r>
  <r>
    <x v="0"/>
    <x v="2219"/>
    <x v="396"/>
    <x v="78"/>
    <x v="0"/>
    <x v="209"/>
    <x v="829"/>
    <x v="4"/>
    <x v="60"/>
    <x v="1914"/>
    <x v="1418"/>
    <x v="3299"/>
    <x v="4656"/>
    <x v="4604"/>
    <x v="3731"/>
    <x v="3"/>
    <x v="4543"/>
    <x v="4659"/>
    <x v="727"/>
    <x v="0"/>
    <x v="0"/>
    <x v="4"/>
    <x v="149"/>
    <x v="10"/>
    <x v="715"/>
    <x v="4"/>
    <x v="2"/>
    <x v="102"/>
    <x v="0"/>
    <x v="4770"/>
  </r>
  <r>
    <x v="0"/>
    <x v="2220"/>
    <x v="93"/>
    <x v="59"/>
    <x v="0"/>
    <x v="100"/>
    <x v="561"/>
    <x v="4"/>
    <x v="152"/>
    <x v="1915"/>
    <x v="2821"/>
    <x v="3300"/>
    <x v="4657"/>
    <x v="4605"/>
    <x v="3356"/>
    <x v="1"/>
    <x v="4"/>
    <x v="4660"/>
    <x v="326"/>
    <x v="6"/>
    <x v="61"/>
    <x v="4"/>
    <x v="149"/>
    <x v="3"/>
    <x v="562"/>
    <x v="8"/>
    <x v="12"/>
    <x v="834"/>
    <x v="0"/>
    <x v="4771"/>
  </r>
  <r>
    <x v="0"/>
    <x v="2221"/>
    <x v="320"/>
    <x v="50"/>
    <x v="0"/>
    <x v="322"/>
    <x v="350"/>
    <x v="4"/>
    <x v="888"/>
    <x v="1916"/>
    <x v="2822"/>
    <x v="3301"/>
    <x v="4658"/>
    <x v="2337"/>
    <x v="1181"/>
    <x v="0"/>
    <x v="4544"/>
    <x v="4661"/>
    <x v="188"/>
    <x v="0"/>
    <x v="0"/>
    <x v="0"/>
    <x v="386"/>
    <x v="6"/>
    <x v="609"/>
    <x v="61"/>
    <x v="2"/>
    <x v="740"/>
    <x v="0"/>
    <x v="4772"/>
  </r>
  <r>
    <x v="0"/>
    <x v="1303"/>
    <x v="81"/>
    <x v="55"/>
    <x v="160"/>
    <x v="498"/>
    <x v="292"/>
    <x v="4"/>
    <x v="889"/>
    <x v="609"/>
    <x v="1474"/>
    <x v="3302"/>
    <x v="4659"/>
    <x v="4606"/>
    <x v="3868"/>
    <x v="7"/>
    <x v="4545"/>
    <x v="4662"/>
    <x v="822"/>
    <x v="0"/>
    <x v="0"/>
    <x v="1"/>
    <x v="149"/>
    <x v="6"/>
    <x v="728"/>
    <x v="38"/>
    <x v="0"/>
    <x v="840"/>
    <x v="0"/>
    <x v="4773"/>
  </r>
  <r>
    <x v="0"/>
    <x v="2222"/>
    <x v="93"/>
    <x v="78"/>
    <x v="0"/>
    <x v="858"/>
    <x v="512"/>
    <x v="4"/>
    <x v="890"/>
    <x v="1917"/>
    <x v="2823"/>
    <x v="3303"/>
    <x v="4660"/>
    <x v="4607"/>
    <x v="3869"/>
    <x v="0"/>
    <x v="4"/>
    <x v="4663"/>
    <x v="326"/>
    <x v="0"/>
    <x v="0"/>
    <x v="4"/>
    <x v="4"/>
    <x v="11"/>
    <x v="711"/>
    <x v="24"/>
    <x v="2"/>
    <x v="429"/>
    <x v="0"/>
    <x v="4774"/>
  </r>
  <r>
    <x v="0"/>
    <x v="2223"/>
    <x v="93"/>
    <x v="26"/>
    <x v="427"/>
    <x v="538"/>
    <x v="830"/>
    <x v="4"/>
    <x v="784"/>
    <x v="1918"/>
    <x v="2824"/>
    <x v="3304"/>
    <x v="4661"/>
    <x v="2572"/>
    <x v="3870"/>
    <x v="4"/>
    <x v="4"/>
    <x v="4664"/>
    <x v="854"/>
    <x v="0"/>
    <x v="0"/>
    <x v="2"/>
    <x v="149"/>
    <x v="6"/>
    <x v="754"/>
    <x v="20"/>
    <x v="2"/>
    <x v="1"/>
    <x v="0"/>
    <x v="4775"/>
  </r>
  <r>
    <x v="0"/>
    <x v="2224"/>
    <x v="81"/>
    <x v="87"/>
    <x v="0"/>
    <x v="298"/>
    <x v="471"/>
    <x v="3913"/>
    <x v="891"/>
    <x v="1919"/>
    <x v="2825"/>
    <x v="3305"/>
    <x v="4662"/>
    <x v="4608"/>
    <x v="2095"/>
    <x v="1"/>
    <x v="4546"/>
    <x v="4665"/>
    <x v="896"/>
    <x v="0"/>
    <x v="0"/>
    <x v="1"/>
    <x v="149"/>
    <x v="11"/>
    <x v="253"/>
    <x v="2"/>
    <x v="2"/>
    <x v="623"/>
    <x v="0"/>
    <x v="4776"/>
  </r>
  <r>
    <x v="0"/>
    <x v="2225"/>
    <x v="93"/>
    <x v="95"/>
    <x v="0"/>
    <x v="778"/>
    <x v="402"/>
    <x v="4"/>
    <x v="784"/>
    <x v="1920"/>
    <x v="2826"/>
    <x v="3306"/>
    <x v="4663"/>
    <x v="4609"/>
    <x v="490"/>
    <x v="4"/>
    <x v="4"/>
    <x v="4666"/>
    <x v="326"/>
    <x v="0"/>
    <x v="0"/>
    <x v="1"/>
    <x v="149"/>
    <x v="6"/>
    <x v="221"/>
    <x v="31"/>
    <x v="12"/>
    <x v="780"/>
    <x v="0"/>
    <x v="4777"/>
  </r>
  <r>
    <x v="0"/>
    <x v="6"/>
    <x v="37"/>
    <x v="29"/>
    <x v="0"/>
    <x v="21"/>
    <x v="28"/>
    <x v="38"/>
    <x v="15"/>
    <x v="29"/>
    <x v="34"/>
    <x v="33"/>
    <x v="38"/>
    <x v="4610"/>
    <x v="37"/>
    <x v="2"/>
    <x v="38"/>
    <x v="38"/>
    <x v="38"/>
    <x v="0"/>
    <x v="0"/>
    <x v="2"/>
    <x v="11"/>
    <x v="9"/>
    <x v="28"/>
    <x v="21"/>
    <x v="1"/>
    <x v="24"/>
    <x v="0"/>
    <x v="4778"/>
  </r>
  <r>
    <x v="0"/>
    <x v="1891"/>
    <x v="368"/>
    <x v="43"/>
    <x v="85"/>
    <x v="567"/>
    <x v="486"/>
    <x v="4"/>
    <x v="831"/>
    <x v="1921"/>
    <x v="2827"/>
    <x v="3307"/>
    <x v="4664"/>
    <x v="4611"/>
    <x v="3844"/>
    <x v="0"/>
    <x v="4547"/>
    <x v="4667"/>
    <x v="568"/>
    <x v="0"/>
    <x v="0"/>
    <x v="10"/>
    <x v="387"/>
    <x v="31"/>
    <x v="604"/>
    <x v="5"/>
    <x v="3"/>
    <x v="1"/>
    <x v="0"/>
    <x v="4779"/>
  </r>
  <r>
    <x v="0"/>
    <x v="1453"/>
    <x v="385"/>
    <x v="43"/>
    <x v="123"/>
    <x v="567"/>
    <x v="773"/>
    <x v="3914"/>
    <x v="152"/>
    <x v="1922"/>
    <x v="2828"/>
    <x v="3308"/>
    <x v="4665"/>
    <x v="4612"/>
    <x v="3662"/>
    <x v="2"/>
    <x v="4548"/>
    <x v="4668"/>
    <x v="744"/>
    <x v="0"/>
    <x v="0"/>
    <x v="4"/>
    <x v="388"/>
    <x v="23"/>
    <x v="4"/>
    <x v="18"/>
    <x v="3"/>
    <x v="841"/>
    <x v="0"/>
    <x v="4780"/>
  </r>
  <r>
    <x v="0"/>
    <x v="116"/>
    <x v="358"/>
    <x v="86"/>
    <x v="90"/>
    <x v="640"/>
    <x v="349"/>
    <x v="3915"/>
    <x v="156"/>
    <x v="1371"/>
    <x v="2829"/>
    <x v="3309"/>
    <x v="4666"/>
    <x v="4613"/>
    <x v="3871"/>
    <x v="0"/>
    <x v="4549"/>
    <x v="4669"/>
    <x v="452"/>
    <x v="0"/>
    <x v="1"/>
    <x v="4"/>
    <x v="126"/>
    <x v="19"/>
    <x v="646"/>
    <x v="16"/>
    <x v="3"/>
    <x v="1"/>
    <x v="0"/>
    <x v="4781"/>
  </r>
  <r>
    <x v="0"/>
    <x v="2226"/>
    <x v="93"/>
    <x v="87"/>
    <x v="78"/>
    <x v="544"/>
    <x v="281"/>
    <x v="4"/>
    <x v="97"/>
    <x v="1923"/>
    <x v="2830"/>
    <x v="2012"/>
    <x v="4667"/>
    <x v="4614"/>
    <x v="846"/>
    <x v="5"/>
    <x v="4550"/>
    <x v="4670"/>
    <x v="685"/>
    <x v="0"/>
    <x v="0"/>
    <x v="4"/>
    <x v="149"/>
    <x v="2"/>
    <x v="867"/>
    <x v="44"/>
    <x v="2"/>
    <x v="685"/>
    <x v="0"/>
    <x v="4782"/>
  </r>
  <r>
    <x v="0"/>
    <x v="2227"/>
    <x v="485"/>
    <x v="95"/>
    <x v="221"/>
    <x v="338"/>
    <x v="14"/>
    <x v="3916"/>
    <x v="105"/>
    <x v="351"/>
    <x v="664"/>
    <x v="1692"/>
    <x v="4668"/>
    <x v="4615"/>
    <x v="3872"/>
    <x v="0"/>
    <x v="4551"/>
    <x v="4671"/>
    <x v="487"/>
    <x v="0"/>
    <x v="1"/>
    <x v="4"/>
    <x v="388"/>
    <x v="12"/>
    <x v="412"/>
    <x v="1"/>
    <x v="6"/>
    <x v="1"/>
    <x v="0"/>
    <x v="4783"/>
  </r>
  <r>
    <x v="0"/>
    <x v="2228"/>
    <x v="343"/>
    <x v="33"/>
    <x v="15"/>
    <x v="594"/>
    <x v="334"/>
    <x v="3917"/>
    <x v="862"/>
    <x v="1924"/>
    <x v="2831"/>
    <x v="3310"/>
    <x v="4669"/>
    <x v="4616"/>
    <x v="742"/>
    <x v="0"/>
    <x v="4552"/>
    <x v="4672"/>
    <x v="695"/>
    <x v="0"/>
    <x v="0"/>
    <x v="10"/>
    <x v="149"/>
    <x v="7"/>
    <x v="123"/>
    <x v="5"/>
    <x v="3"/>
    <x v="1"/>
    <x v="0"/>
    <x v="4784"/>
  </r>
  <r>
    <x v="0"/>
    <x v="2229"/>
    <x v="320"/>
    <x v="107"/>
    <x v="0"/>
    <x v="499"/>
    <x v="99"/>
    <x v="4"/>
    <x v="127"/>
    <x v="1925"/>
    <x v="2832"/>
    <x v="3311"/>
    <x v="4670"/>
    <x v="4617"/>
    <x v="3873"/>
    <x v="1"/>
    <x v="4553"/>
    <x v="4673"/>
    <x v="416"/>
    <x v="0"/>
    <x v="0"/>
    <x v="1"/>
    <x v="388"/>
    <x v="9"/>
    <x v="774"/>
    <x v="2"/>
    <x v="2"/>
    <x v="616"/>
    <x v="0"/>
    <x v="4785"/>
  </r>
  <r>
    <x v="1"/>
    <x v="2230"/>
    <x v="409"/>
    <x v="71"/>
    <x v="192"/>
    <x v="657"/>
    <x v="135"/>
    <x v="3918"/>
    <x v="616"/>
    <x v="1874"/>
    <x v="2833"/>
    <x v="3312"/>
    <x v="4671"/>
    <x v="4618"/>
    <x v="2727"/>
    <x v="4"/>
    <x v="4554"/>
    <x v="4674"/>
    <x v="241"/>
    <x v="0"/>
    <x v="0"/>
    <x v="10"/>
    <x v="389"/>
    <x v="87"/>
    <x v="829"/>
    <x v="16"/>
    <x v="15"/>
    <x v="530"/>
    <x v="0"/>
    <x v="4786"/>
  </r>
  <r>
    <x v="0"/>
    <x v="2231"/>
    <x v="4"/>
    <x v="131"/>
    <x v="0"/>
    <x v="298"/>
    <x v="831"/>
    <x v="4"/>
    <x v="4"/>
    <x v="1926"/>
    <x v="2834"/>
    <x v="3313"/>
    <x v="4672"/>
    <x v="4619"/>
    <x v="3874"/>
    <x v="0"/>
    <x v="4555"/>
    <x v="4675"/>
    <x v="896"/>
    <x v="0"/>
    <x v="0"/>
    <x v="3"/>
    <x v="388"/>
    <x v="11"/>
    <x v="556"/>
    <x v="17"/>
    <x v="2"/>
    <x v="842"/>
    <x v="0"/>
    <x v="4787"/>
  </r>
  <r>
    <x v="0"/>
    <x v="1810"/>
    <x v="184"/>
    <x v="42"/>
    <x v="262"/>
    <x v="708"/>
    <x v="732"/>
    <x v="3919"/>
    <x v="105"/>
    <x v="1927"/>
    <x v="2835"/>
    <x v="3314"/>
    <x v="4673"/>
    <x v="4620"/>
    <x v="2471"/>
    <x v="1"/>
    <x v="4556"/>
    <x v="4676"/>
    <x v="802"/>
    <x v="0"/>
    <x v="0"/>
    <x v="0"/>
    <x v="390"/>
    <x v="22"/>
    <x v="775"/>
    <x v="7"/>
    <x v="10"/>
    <x v="843"/>
    <x v="0"/>
    <x v="4788"/>
  </r>
  <r>
    <x v="0"/>
    <x v="2232"/>
    <x v="384"/>
    <x v="82"/>
    <x v="123"/>
    <x v="566"/>
    <x v="72"/>
    <x v="3920"/>
    <x v="399"/>
    <x v="1101"/>
    <x v="2836"/>
    <x v="3315"/>
    <x v="4674"/>
    <x v="4621"/>
    <x v="3609"/>
    <x v="11"/>
    <x v="4557"/>
    <x v="4677"/>
    <x v="447"/>
    <x v="23"/>
    <x v="36"/>
    <x v="1"/>
    <x v="131"/>
    <x v="14"/>
    <x v="893"/>
    <x v="32"/>
    <x v="3"/>
    <x v="1"/>
    <x v="0"/>
    <x v="4789"/>
  </r>
  <r>
    <x v="0"/>
    <x v="2233"/>
    <x v="464"/>
    <x v="113"/>
    <x v="5"/>
    <x v="823"/>
    <x v="201"/>
    <x v="4"/>
    <x v="416"/>
    <x v="1928"/>
    <x v="2837"/>
    <x v="3316"/>
    <x v="4675"/>
    <x v="4622"/>
    <x v="2130"/>
    <x v="0"/>
    <x v="4558"/>
    <x v="4678"/>
    <x v="843"/>
    <x v="0"/>
    <x v="0"/>
    <x v="1"/>
    <x v="4"/>
    <x v="9"/>
    <x v="257"/>
    <x v="54"/>
    <x v="12"/>
    <x v="686"/>
    <x v="0"/>
    <x v="4790"/>
  </r>
  <r>
    <x v="0"/>
    <x v="670"/>
    <x v="129"/>
    <x v="80"/>
    <x v="283"/>
    <x v="548"/>
    <x v="197"/>
    <x v="3921"/>
    <x v="125"/>
    <x v="368"/>
    <x v="110"/>
    <x v="856"/>
    <x v="4676"/>
    <x v="4623"/>
    <x v="3875"/>
    <x v="0"/>
    <x v="4559"/>
    <x v="4679"/>
    <x v="950"/>
    <x v="0"/>
    <x v="0"/>
    <x v="2"/>
    <x v="379"/>
    <x v="14"/>
    <x v="78"/>
    <x v="8"/>
    <x v="3"/>
    <x v="1"/>
    <x v="0"/>
    <x v="4791"/>
  </r>
  <r>
    <x v="0"/>
    <x v="1643"/>
    <x v="367"/>
    <x v="78"/>
    <x v="118"/>
    <x v="734"/>
    <x v="0"/>
    <x v="3922"/>
    <x v="168"/>
    <x v="670"/>
    <x v="2838"/>
    <x v="3317"/>
    <x v="4677"/>
    <x v="4624"/>
    <x v="3876"/>
    <x v="0"/>
    <x v="4560"/>
    <x v="4680"/>
    <x v="675"/>
    <x v="0"/>
    <x v="0"/>
    <x v="4"/>
    <x v="391"/>
    <x v="9"/>
    <x v="906"/>
    <x v="1"/>
    <x v="1"/>
    <x v="1"/>
    <x v="0"/>
    <x v="4792"/>
  </r>
  <r>
    <x v="0"/>
    <x v="1655"/>
    <x v="528"/>
    <x v="95"/>
    <x v="291"/>
    <x v="502"/>
    <x v="771"/>
    <x v="3923"/>
    <x v="429"/>
    <x v="1929"/>
    <x v="2839"/>
    <x v="3318"/>
    <x v="4678"/>
    <x v="4625"/>
    <x v="3877"/>
    <x v="0"/>
    <x v="4561"/>
    <x v="4681"/>
    <x v="951"/>
    <x v="0"/>
    <x v="0"/>
    <x v="4"/>
    <x v="392"/>
    <x v="1"/>
    <x v="808"/>
    <x v="22"/>
    <x v="3"/>
    <x v="85"/>
    <x v="0"/>
    <x v="4793"/>
  </r>
  <r>
    <x v="1"/>
    <x v="1845"/>
    <x v="366"/>
    <x v="43"/>
    <x v="366"/>
    <x v="531"/>
    <x v="832"/>
    <x v="3924"/>
    <x v="743"/>
    <x v="1930"/>
    <x v="2840"/>
    <x v="3319"/>
    <x v="4679"/>
    <x v="4626"/>
    <x v="477"/>
    <x v="0"/>
    <x v="4562"/>
    <x v="4682"/>
    <x v="244"/>
    <x v="0"/>
    <x v="0"/>
    <x v="0"/>
    <x v="4"/>
    <x v="18"/>
    <x v="658"/>
    <x v="16"/>
    <x v="15"/>
    <x v="1"/>
    <x v="0"/>
    <x v="4794"/>
  </r>
  <r>
    <x v="0"/>
    <x v="255"/>
    <x v="333"/>
    <x v="43"/>
    <x v="0"/>
    <x v="759"/>
    <x v="132"/>
    <x v="3925"/>
    <x v="373"/>
    <x v="376"/>
    <x v="1732"/>
    <x v="3320"/>
    <x v="4680"/>
    <x v="4627"/>
    <x v="3089"/>
    <x v="0"/>
    <x v="4563"/>
    <x v="4683"/>
    <x v="285"/>
    <x v="0"/>
    <x v="1"/>
    <x v="2"/>
    <x v="393"/>
    <x v="57"/>
    <x v="284"/>
    <x v="24"/>
    <x v="10"/>
    <x v="57"/>
    <x v="0"/>
    <x v="4795"/>
  </r>
  <r>
    <x v="0"/>
    <x v="1615"/>
    <x v="474"/>
    <x v="78"/>
    <x v="73"/>
    <x v="343"/>
    <x v="742"/>
    <x v="3926"/>
    <x v="270"/>
    <x v="1931"/>
    <x v="2841"/>
    <x v="3321"/>
    <x v="4681"/>
    <x v="4628"/>
    <x v="3431"/>
    <x v="1"/>
    <x v="4564"/>
    <x v="4684"/>
    <x v="823"/>
    <x v="6"/>
    <x v="0"/>
    <x v="4"/>
    <x v="379"/>
    <x v="7"/>
    <x v="807"/>
    <x v="1"/>
    <x v="1"/>
    <x v="173"/>
    <x v="0"/>
    <x v="4796"/>
  </r>
  <r>
    <x v="0"/>
    <x v="2234"/>
    <x v="385"/>
    <x v="45"/>
    <x v="125"/>
    <x v="423"/>
    <x v="833"/>
    <x v="3927"/>
    <x v="892"/>
    <x v="1932"/>
    <x v="2842"/>
    <x v="3322"/>
    <x v="4682"/>
    <x v="4629"/>
    <x v="3401"/>
    <x v="4"/>
    <x v="4565"/>
    <x v="4685"/>
    <x v="684"/>
    <x v="0"/>
    <x v="0"/>
    <x v="1"/>
    <x v="344"/>
    <x v="17"/>
    <x v="876"/>
    <x v="55"/>
    <x v="0"/>
    <x v="744"/>
    <x v="0"/>
    <x v="4797"/>
  </r>
  <r>
    <x v="0"/>
    <x v="113"/>
    <x v="346"/>
    <x v="84"/>
    <x v="88"/>
    <x v="68"/>
    <x v="0"/>
    <x v="4"/>
    <x v="893"/>
    <x v="1236"/>
    <x v="794"/>
    <x v="3323"/>
    <x v="4683"/>
    <x v="4630"/>
    <x v="2931"/>
    <x v="2"/>
    <x v="4566"/>
    <x v="4686"/>
    <x v="449"/>
    <x v="0"/>
    <x v="0"/>
    <x v="5"/>
    <x v="4"/>
    <x v="4"/>
    <x v="425"/>
    <x v="16"/>
    <x v="12"/>
    <x v="1"/>
    <x v="0"/>
    <x v="4798"/>
  </r>
  <r>
    <x v="0"/>
    <x v="2235"/>
    <x v="365"/>
    <x v="76"/>
    <x v="131"/>
    <x v="298"/>
    <x v="834"/>
    <x v="3928"/>
    <x v="894"/>
    <x v="1933"/>
    <x v="2843"/>
    <x v="3324"/>
    <x v="4684"/>
    <x v="4631"/>
    <x v="3878"/>
    <x v="3"/>
    <x v="4567"/>
    <x v="4687"/>
    <x v="340"/>
    <x v="0"/>
    <x v="0"/>
    <x v="10"/>
    <x v="394"/>
    <x v="17"/>
    <x v="658"/>
    <x v="13"/>
    <x v="15"/>
    <x v="244"/>
    <x v="0"/>
    <x v="4799"/>
  </r>
  <r>
    <x v="0"/>
    <x v="2236"/>
    <x v="169"/>
    <x v="80"/>
    <x v="198"/>
    <x v="74"/>
    <x v="581"/>
    <x v="3929"/>
    <x v="4"/>
    <x v="1934"/>
    <x v="2844"/>
    <x v="3325"/>
    <x v="4685"/>
    <x v="4632"/>
    <x v="3879"/>
    <x v="0"/>
    <x v="4"/>
    <x v="4688"/>
    <x v="755"/>
    <x v="0"/>
    <x v="0"/>
    <x v="2"/>
    <x v="379"/>
    <x v="5"/>
    <x v="661"/>
    <x v="37"/>
    <x v="0"/>
    <x v="271"/>
    <x v="0"/>
    <x v="4800"/>
  </r>
  <r>
    <x v="0"/>
    <x v="2237"/>
    <x v="435"/>
    <x v="55"/>
    <x v="0"/>
    <x v="279"/>
    <x v="689"/>
    <x v="4"/>
    <x v="476"/>
    <x v="1410"/>
    <x v="2845"/>
    <x v="3326"/>
    <x v="4686"/>
    <x v="4633"/>
    <x v="2970"/>
    <x v="3"/>
    <x v="4568"/>
    <x v="4689"/>
    <x v="685"/>
    <x v="0"/>
    <x v="0"/>
    <x v="1"/>
    <x v="149"/>
    <x v="11"/>
    <x v="907"/>
    <x v="28"/>
    <x v="2"/>
    <x v="844"/>
    <x v="0"/>
    <x v="4801"/>
  </r>
  <r>
    <x v="1"/>
    <x v="2238"/>
    <x v="232"/>
    <x v="87"/>
    <x v="130"/>
    <x v="458"/>
    <x v="712"/>
    <x v="3930"/>
    <x v="429"/>
    <x v="1935"/>
    <x v="2846"/>
    <x v="3327"/>
    <x v="4687"/>
    <x v="4634"/>
    <x v="3880"/>
    <x v="0"/>
    <x v="4569"/>
    <x v="4690"/>
    <x v="130"/>
    <x v="17"/>
    <x v="20"/>
    <x v="14"/>
    <x v="379"/>
    <x v="37"/>
    <x v="554"/>
    <x v="8"/>
    <x v="1"/>
    <x v="43"/>
    <x v="0"/>
    <x v="4802"/>
  </r>
  <r>
    <x v="0"/>
    <x v="113"/>
    <x v="492"/>
    <x v="96"/>
    <x v="88"/>
    <x v="423"/>
    <x v="835"/>
    <x v="4"/>
    <x v="833"/>
    <x v="1936"/>
    <x v="2847"/>
    <x v="3328"/>
    <x v="4688"/>
    <x v="4635"/>
    <x v="2891"/>
    <x v="0"/>
    <x v="4570"/>
    <x v="4691"/>
    <x v="517"/>
    <x v="0"/>
    <x v="0"/>
    <x v="6"/>
    <x v="4"/>
    <x v="4"/>
    <x v="604"/>
    <x v="17"/>
    <x v="8"/>
    <x v="845"/>
    <x v="0"/>
    <x v="4803"/>
  </r>
  <r>
    <x v="0"/>
    <x v="686"/>
    <x v="263"/>
    <x v="59"/>
    <x v="69"/>
    <x v="750"/>
    <x v="405"/>
    <x v="3931"/>
    <x v="127"/>
    <x v="1937"/>
    <x v="2848"/>
    <x v="3329"/>
    <x v="4689"/>
    <x v="4636"/>
    <x v="789"/>
    <x v="4"/>
    <x v="4571"/>
    <x v="4692"/>
    <x v="748"/>
    <x v="0"/>
    <x v="0"/>
    <x v="0"/>
    <x v="82"/>
    <x v="8"/>
    <x v="411"/>
    <x v="9"/>
    <x v="1"/>
    <x v="1"/>
    <x v="0"/>
    <x v="4804"/>
  </r>
  <r>
    <x v="0"/>
    <x v="2239"/>
    <x v="227"/>
    <x v="110"/>
    <x v="221"/>
    <x v="530"/>
    <x v="818"/>
    <x v="4"/>
    <x v="381"/>
    <x v="1938"/>
    <x v="2849"/>
    <x v="3330"/>
    <x v="4690"/>
    <x v="4637"/>
    <x v="3881"/>
    <x v="0"/>
    <x v="4572"/>
    <x v="4693"/>
    <x v="802"/>
    <x v="0"/>
    <x v="4"/>
    <x v="4"/>
    <x v="149"/>
    <x v="12"/>
    <x v="863"/>
    <x v="9"/>
    <x v="3"/>
    <x v="758"/>
    <x v="0"/>
    <x v="4805"/>
  </r>
  <r>
    <x v="0"/>
    <x v="491"/>
    <x v="303"/>
    <x v="55"/>
    <x v="253"/>
    <x v="858"/>
    <x v="377"/>
    <x v="4"/>
    <x v="105"/>
    <x v="1630"/>
    <x v="2850"/>
    <x v="3331"/>
    <x v="4691"/>
    <x v="4638"/>
    <x v="3882"/>
    <x v="1"/>
    <x v="4573"/>
    <x v="4694"/>
    <x v="398"/>
    <x v="0"/>
    <x v="1"/>
    <x v="4"/>
    <x v="313"/>
    <x v="39"/>
    <x v="498"/>
    <x v="8"/>
    <x v="10"/>
    <x v="1"/>
    <x v="0"/>
    <x v="4806"/>
  </r>
  <r>
    <x v="1"/>
    <x v="2240"/>
    <x v="385"/>
    <x v="95"/>
    <x v="0"/>
    <x v="221"/>
    <x v="836"/>
    <x v="3932"/>
    <x v="416"/>
    <x v="1939"/>
    <x v="379"/>
    <x v="3332"/>
    <x v="4692"/>
    <x v="4639"/>
    <x v="3082"/>
    <x v="0"/>
    <x v="4"/>
    <x v="4695"/>
    <x v="896"/>
    <x v="0"/>
    <x v="0"/>
    <x v="4"/>
    <x v="4"/>
    <x v="19"/>
    <x v="254"/>
    <x v="27"/>
    <x v="0"/>
    <x v="833"/>
    <x v="0"/>
    <x v="4807"/>
  </r>
  <r>
    <x v="0"/>
    <x v="2241"/>
    <x v="81"/>
    <x v="55"/>
    <x v="0"/>
    <x v="666"/>
    <x v="350"/>
    <x v="4"/>
    <x v="306"/>
    <x v="744"/>
    <x v="2851"/>
    <x v="3333"/>
    <x v="4693"/>
    <x v="4640"/>
    <x v="3140"/>
    <x v="0"/>
    <x v="4574"/>
    <x v="4696"/>
    <x v="685"/>
    <x v="3"/>
    <x v="4"/>
    <x v="4"/>
    <x v="365"/>
    <x v="14"/>
    <x v="701"/>
    <x v="19"/>
    <x v="0"/>
    <x v="830"/>
    <x v="0"/>
    <x v="4808"/>
  </r>
  <r>
    <x v="0"/>
    <x v="2242"/>
    <x v="352"/>
    <x v="43"/>
    <x v="0"/>
    <x v="734"/>
    <x v="410"/>
    <x v="4"/>
    <x v="270"/>
    <x v="1940"/>
    <x v="2852"/>
    <x v="3334"/>
    <x v="4694"/>
    <x v="4641"/>
    <x v="1249"/>
    <x v="0"/>
    <x v="4575"/>
    <x v="4697"/>
    <x v="435"/>
    <x v="23"/>
    <x v="36"/>
    <x v="4"/>
    <x v="379"/>
    <x v="36"/>
    <x v="628"/>
    <x v="17"/>
    <x v="10"/>
    <x v="1"/>
    <x v="0"/>
    <x v="4809"/>
  </r>
  <r>
    <x v="1"/>
    <x v="2243"/>
    <x v="474"/>
    <x v="32"/>
    <x v="390"/>
    <x v="777"/>
    <x v="188"/>
    <x v="4"/>
    <x v="156"/>
    <x v="1941"/>
    <x v="2853"/>
    <x v="3335"/>
    <x v="4695"/>
    <x v="4642"/>
    <x v="3883"/>
    <x v="1"/>
    <x v="4576"/>
    <x v="4698"/>
    <x v="244"/>
    <x v="1"/>
    <x v="0"/>
    <x v="9"/>
    <x v="395"/>
    <x v="88"/>
    <x v="554"/>
    <x v="25"/>
    <x v="8"/>
    <x v="846"/>
    <x v="0"/>
    <x v="4810"/>
  </r>
  <r>
    <x v="0"/>
    <x v="2244"/>
    <x v="425"/>
    <x v="107"/>
    <x v="221"/>
    <x v="851"/>
    <x v="303"/>
    <x v="3933"/>
    <x v="4"/>
    <x v="1942"/>
    <x v="2854"/>
    <x v="3336"/>
    <x v="4696"/>
    <x v="4643"/>
    <x v="472"/>
    <x v="1"/>
    <x v="4577"/>
    <x v="4699"/>
    <x v="678"/>
    <x v="0"/>
    <x v="0"/>
    <x v="2"/>
    <x v="396"/>
    <x v="13"/>
    <x v="874"/>
    <x v="15"/>
    <x v="2"/>
    <x v="188"/>
    <x v="0"/>
    <x v="4811"/>
  </r>
  <r>
    <x v="1"/>
    <x v="2245"/>
    <x v="413"/>
    <x v="7"/>
    <x v="198"/>
    <x v="597"/>
    <x v="579"/>
    <x v="3934"/>
    <x v="756"/>
    <x v="1943"/>
    <x v="2855"/>
    <x v="3337"/>
    <x v="4697"/>
    <x v="4644"/>
    <x v="3797"/>
    <x v="8"/>
    <x v="4578"/>
    <x v="4700"/>
    <x v="409"/>
    <x v="0"/>
    <x v="0"/>
    <x v="17"/>
    <x v="397"/>
    <x v="85"/>
    <x v="470"/>
    <x v="22"/>
    <x v="15"/>
    <x v="330"/>
    <x v="0"/>
    <x v="4812"/>
  </r>
  <r>
    <x v="0"/>
    <x v="6"/>
    <x v="40"/>
    <x v="45"/>
    <x v="0"/>
    <x v="471"/>
    <x v="522"/>
    <x v="4"/>
    <x v="471"/>
    <x v="1527"/>
    <x v="2856"/>
    <x v="1824"/>
    <x v="4698"/>
    <x v="4645"/>
    <x v="1516"/>
    <x v="0"/>
    <x v="4579"/>
    <x v="4701"/>
    <x v="952"/>
    <x v="0"/>
    <x v="0"/>
    <x v="13"/>
    <x v="396"/>
    <x v="37"/>
    <x v="762"/>
    <x v="32"/>
    <x v="15"/>
    <x v="85"/>
    <x v="0"/>
    <x v="4813"/>
  </r>
  <r>
    <x v="0"/>
    <x v="2246"/>
    <x v="367"/>
    <x v="71"/>
    <x v="58"/>
    <x v="266"/>
    <x v="837"/>
    <x v="3935"/>
    <x v="381"/>
    <x v="1944"/>
    <x v="2857"/>
    <x v="3338"/>
    <x v="4699"/>
    <x v="4646"/>
    <x v="725"/>
    <x v="0"/>
    <x v="4580"/>
    <x v="4702"/>
    <x v="104"/>
    <x v="0"/>
    <x v="10"/>
    <x v="9"/>
    <x v="224"/>
    <x v="3"/>
    <x v="602"/>
    <x v="9"/>
    <x v="1"/>
    <x v="1"/>
    <x v="0"/>
    <x v="4814"/>
  </r>
  <r>
    <x v="0"/>
    <x v="2247"/>
    <x v="430"/>
    <x v="95"/>
    <x v="0"/>
    <x v="4"/>
    <x v="341"/>
    <x v="3936"/>
    <x v="838"/>
    <x v="1945"/>
    <x v="217"/>
    <x v="4"/>
    <x v="4700"/>
    <x v="4647"/>
    <x v="3884"/>
    <x v="0"/>
    <x v="4"/>
    <x v="4703"/>
    <x v="416"/>
    <x v="20"/>
    <x v="54"/>
    <x v="1"/>
    <x v="388"/>
    <x v="2"/>
    <x v="147"/>
    <x v="13"/>
    <x v="0"/>
    <x v="695"/>
    <x v="0"/>
    <x v="4815"/>
  </r>
  <r>
    <x v="0"/>
    <x v="2248"/>
    <x v="382"/>
    <x v="76"/>
    <x v="164"/>
    <x v="298"/>
    <x v="594"/>
    <x v="3937"/>
    <x v="743"/>
    <x v="1946"/>
    <x v="2858"/>
    <x v="3339"/>
    <x v="4701"/>
    <x v="4648"/>
    <x v="3774"/>
    <x v="1"/>
    <x v="4581"/>
    <x v="4704"/>
    <x v="640"/>
    <x v="0"/>
    <x v="0"/>
    <x v="4"/>
    <x v="398"/>
    <x v="12"/>
    <x v="253"/>
    <x v="6"/>
    <x v="3"/>
    <x v="1"/>
    <x v="0"/>
    <x v="4816"/>
  </r>
  <r>
    <x v="0"/>
    <x v="2249"/>
    <x v="361"/>
    <x v="78"/>
    <x v="137"/>
    <x v="823"/>
    <x v="838"/>
    <x v="3938"/>
    <x v="54"/>
    <x v="1947"/>
    <x v="2859"/>
    <x v="3340"/>
    <x v="4702"/>
    <x v="4649"/>
    <x v="3885"/>
    <x v="0"/>
    <x v="4582"/>
    <x v="4705"/>
    <x v="835"/>
    <x v="0"/>
    <x v="0"/>
    <x v="4"/>
    <x v="278"/>
    <x v="42"/>
    <x v="745"/>
    <x v="55"/>
    <x v="3"/>
    <x v="847"/>
    <x v="0"/>
    <x v="4817"/>
  </r>
  <r>
    <x v="0"/>
    <x v="2250"/>
    <x v="399"/>
    <x v="78"/>
    <x v="0"/>
    <x v="298"/>
    <x v="471"/>
    <x v="3939"/>
    <x v="4"/>
    <x v="1948"/>
    <x v="2860"/>
    <x v="3341"/>
    <x v="4703"/>
    <x v="2707"/>
    <x v="2095"/>
    <x v="4"/>
    <x v="4583"/>
    <x v="4706"/>
    <x v="655"/>
    <x v="0"/>
    <x v="8"/>
    <x v="10"/>
    <x v="4"/>
    <x v="12"/>
    <x v="253"/>
    <x v="7"/>
    <x v="2"/>
    <x v="429"/>
    <x v="0"/>
    <x v="4818"/>
  </r>
  <r>
    <x v="0"/>
    <x v="113"/>
    <x v="430"/>
    <x v="116"/>
    <x v="88"/>
    <x v="362"/>
    <x v="35"/>
    <x v="4"/>
    <x v="40"/>
    <x v="332"/>
    <x v="2861"/>
    <x v="3342"/>
    <x v="4704"/>
    <x v="4650"/>
    <x v="3886"/>
    <x v="5"/>
    <x v="4584"/>
    <x v="4707"/>
    <x v="451"/>
    <x v="0"/>
    <x v="0"/>
    <x v="5"/>
    <x v="4"/>
    <x v="4"/>
    <x v="583"/>
    <x v="10"/>
    <x v="12"/>
    <x v="16"/>
    <x v="0"/>
    <x v="4819"/>
  </r>
  <r>
    <x v="0"/>
    <x v="2251"/>
    <x v="169"/>
    <x v="42"/>
    <x v="0"/>
    <x v="298"/>
    <x v="823"/>
    <x v="4"/>
    <x v="707"/>
    <x v="1949"/>
    <x v="2862"/>
    <x v="3343"/>
    <x v="4705"/>
    <x v="4651"/>
    <x v="3887"/>
    <x v="4"/>
    <x v="4585"/>
    <x v="4708"/>
    <x v="824"/>
    <x v="0"/>
    <x v="0"/>
    <x v="1"/>
    <x v="278"/>
    <x v="2"/>
    <x v="515"/>
    <x v="53"/>
    <x v="1"/>
    <x v="267"/>
    <x v="0"/>
    <x v="4820"/>
  </r>
  <r>
    <x v="0"/>
    <x v="469"/>
    <x v="107"/>
    <x v="59"/>
    <x v="0"/>
    <x v="796"/>
    <x v="35"/>
    <x v="2305"/>
    <x v="381"/>
    <x v="157"/>
    <x v="1515"/>
    <x v="1808"/>
    <x v="2461"/>
    <x v="4652"/>
    <x v="2300"/>
    <x v="0"/>
    <x v="2441"/>
    <x v="2461"/>
    <x v="862"/>
    <x v="0"/>
    <x v="0"/>
    <x v="4"/>
    <x v="212"/>
    <x v="33"/>
    <x v="539"/>
    <x v="0"/>
    <x v="1"/>
    <x v="85"/>
    <x v="0"/>
    <x v="4821"/>
  </r>
  <r>
    <x v="1"/>
    <x v="859"/>
    <x v="325"/>
    <x v="45"/>
    <x v="0"/>
    <x v="206"/>
    <x v="839"/>
    <x v="4"/>
    <x v="152"/>
    <x v="1950"/>
    <x v="2863"/>
    <x v="259"/>
    <x v="4706"/>
    <x v="4653"/>
    <x v="3888"/>
    <x v="1"/>
    <x v="4586"/>
    <x v="4709"/>
    <x v="819"/>
    <x v="0"/>
    <x v="0"/>
    <x v="9"/>
    <x v="278"/>
    <x v="76"/>
    <x v="830"/>
    <x v="49"/>
    <x v="10"/>
    <x v="13"/>
    <x v="0"/>
    <x v="4822"/>
  </r>
  <r>
    <x v="0"/>
    <x v="2252"/>
    <x v="359"/>
    <x v="105"/>
    <x v="221"/>
    <x v="120"/>
    <x v="326"/>
    <x v="3940"/>
    <x v="895"/>
    <x v="1113"/>
    <x v="444"/>
    <x v="1865"/>
    <x v="4707"/>
    <x v="4654"/>
    <x v="3889"/>
    <x v="0"/>
    <x v="4587"/>
    <x v="4710"/>
    <x v="83"/>
    <x v="0"/>
    <x v="0"/>
    <x v="1"/>
    <x v="4"/>
    <x v="0"/>
    <x v="242"/>
    <x v="8"/>
    <x v="3"/>
    <x v="282"/>
    <x v="0"/>
    <x v="4823"/>
  </r>
  <r>
    <x v="1"/>
    <x v="1784"/>
    <x v="310"/>
    <x v="161"/>
    <x v="402"/>
    <x v="502"/>
    <x v="565"/>
    <x v="4"/>
    <x v="127"/>
    <x v="1951"/>
    <x v="2864"/>
    <x v="3344"/>
    <x v="4708"/>
    <x v="4655"/>
    <x v="1973"/>
    <x v="1"/>
    <x v="4588"/>
    <x v="4711"/>
    <x v="527"/>
    <x v="0"/>
    <x v="0"/>
    <x v="10"/>
    <x v="399"/>
    <x v="89"/>
    <x v="777"/>
    <x v="17"/>
    <x v="15"/>
    <x v="1"/>
    <x v="0"/>
    <x v="4824"/>
  </r>
  <r>
    <x v="0"/>
    <x v="2253"/>
    <x v="130"/>
    <x v="50"/>
    <x v="9"/>
    <x v="320"/>
    <x v="840"/>
    <x v="3941"/>
    <x v="306"/>
    <x v="1952"/>
    <x v="2865"/>
    <x v="3345"/>
    <x v="4709"/>
    <x v="4656"/>
    <x v="3890"/>
    <x v="0"/>
    <x v="4589"/>
    <x v="4712"/>
    <x v="796"/>
    <x v="46"/>
    <x v="35"/>
    <x v="10"/>
    <x v="4"/>
    <x v="0"/>
    <x v="705"/>
    <x v="11"/>
    <x v="1"/>
    <x v="38"/>
    <x v="0"/>
    <x v="4825"/>
  </r>
  <r>
    <x v="0"/>
    <x v="2254"/>
    <x v="396"/>
    <x v="52"/>
    <x v="216"/>
    <x v="904"/>
    <x v="309"/>
    <x v="3942"/>
    <x v="865"/>
    <x v="1953"/>
    <x v="2866"/>
    <x v="3346"/>
    <x v="4710"/>
    <x v="4657"/>
    <x v="825"/>
    <x v="0"/>
    <x v="4590"/>
    <x v="4713"/>
    <x v="646"/>
    <x v="0"/>
    <x v="0"/>
    <x v="4"/>
    <x v="4"/>
    <x v="17"/>
    <x v="861"/>
    <x v="25"/>
    <x v="3"/>
    <x v="1"/>
    <x v="0"/>
    <x v="4826"/>
  </r>
  <r>
    <x v="0"/>
    <x v="729"/>
    <x v="272"/>
    <x v="58"/>
    <x v="293"/>
    <x v="878"/>
    <x v="118"/>
    <x v="3943"/>
    <x v="200"/>
    <x v="1954"/>
    <x v="2867"/>
    <x v="3347"/>
    <x v="4711"/>
    <x v="4658"/>
    <x v="3308"/>
    <x v="1"/>
    <x v="4591"/>
    <x v="4714"/>
    <x v="546"/>
    <x v="0"/>
    <x v="0"/>
    <x v="0"/>
    <x v="400"/>
    <x v="15"/>
    <x v="242"/>
    <x v="10"/>
    <x v="3"/>
    <x v="709"/>
    <x v="0"/>
    <x v="4827"/>
  </r>
  <r>
    <x v="0"/>
    <x v="2255"/>
    <x v="392"/>
    <x v="42"/>
    <x v="123"/>
    <x v="387"/>
    <x v="14"/>
    <x v="3944"/>
    <x v="896"/>
    <x v="414"/>
    <x v="569"/>
    <x v="398"/>
    <x v="4712"/>
    <x v="3452"/>
    <x v="1916"/>
    <x v="0"/>
    <x v="4592"/>
    <x v="4715"/>
    <x v="357"/>
    <x v="0"/>
    <x v="0"/>
    <x v="4"/>
    <x v="83"/>
    <x v="16"/>
    <x v="30"/>
    <x v="4"/>
    <x v="1"/>
    <x v="1"/>
    <x v="0"/>
    <x v="4828"/>
  </r>
  <r>
    <x v="0"/>
    <x v="1574"/>
    <x v="207"/>
    <x v="43"/>
    <x v="228"/>
    <x v="316"/>
    <x v="694"/>
    <x v="3945"/>
    <x v="127"/>
    <x v="1955"/>
    <x v="2868"/>
    <x v="3348"/>
    <x v="4713"/>
    <x v="4659"/>
    <x v="3891"/>
    <x v="6"/>
    <x v="4593"/>
    <x v="4716"/>
    <x v="719"/>
    <x v="3"/>
    <x v="10"/>
    <x v="4"/>
    <x v="212"/>
    <x v="25"/>
    <x v="557"/>
    <x v="8"/>
    <x v="10"/>
    <x v="758"/>
    <x v="0"/>
    <x v="4829"/>
  </r>
  <r>
    <x v="0"/>
    <x v="556"/>
    <x v="333"/>
    <x v="110"/>
    <x v="91"/>
    <x v="462"/>
    <x v="0"/>
    <x v="3946"/>
    <x v="200"/>
    <x v="48"/>
    <x v="279"/>
    <x v="1259"/>
    <x v="4714"/>
    <x v="4660"/>
    <x v="3892"/>
    <x v="3"/>
    <x v="4594"/>
    <x v="4717"/>
    <x v="299"/>
    <x v="0"/>
    <x v="0"/>
    <x v="0"/>
    <x v="212"/>
    <x v="17"/>
    <x v="190"/>
    <x v="1"/>
    <x v="3"/>
    <x v="1"/>
    <x v="0"/>
    <x v="4830"/>
  </r>
  <r>
    <x v="0"/>
    <x v="2256"/>
    <x v="169"/>
    <x v="37"/>
    <x v="143"/>
    <x v="621"/>
    <x v="841"/>
    <x v="4"/>
    <x v="270"/>
    <x v="1956"/>
    <x v="2869"/>
    <x v="3349"/>
    <x v="4715"/>
    <x v="4661"/>
    <x v="1679"/>
    <x v="0"/>
    <x v="4595"/>
    <x v="4718"/>
    <x v="791"/>
    <x v="0"/>
    <x v="1"/>
    <x v="1"/>
    <x v="4"/>
    <x v="20"/>
    <x v="866"/>
    <x v="23"/>
    <x v="8"/>
    <x v="645"/>
    <x v="0"/>
    <x v="4831"/>
  </r>
  <r>
    <x v="0"/>
    <x v="1912"/>
    <x v="343"/>
    <x v="93"/>
    <x v="12"/>
    <x v="713"/>
    <x v="592"/>
    <x v="3947"/>
    <x v="270"/>
    <x v="1957"/>
    <x v="2870"/>
    <x v="3350"/>
    <x v="4716"/>
    <x v="4662"/>
    <x v="1113"/>
    <x v="4"/>
    <x v="4596"/>
    <x v="4719"/>
    <x v="448"/>
    <x v="0"/>
    <x v="0"/>
    <x v="10"/>
    <x v="212"/>
    <x v="7"/>
    <x v="462"/>
    <x v="10"/>
    <x v="10"/>
    <x v="786"/>
    <x v="0"/>
    <x v="4832"/>
  </r>
  <r>
    <x v="0"/>
    <x v="1912"/>
    <x v="357"/>
    <x v="110"/>
    <x v="12"/>
    <x v="713"/>
    <x v="842"/>
    <x v="3948"/>
    <x v="270"/>
    <x v="1958"/>
    <x v="2870"/>
    <x v="3350"/>
    <x v="4717"/>
    <x v="4663"/>
    <x v="3893"/>
    <x v="1"/>
    <x v="4597"/>
    <x v="4720"/>
    <x v="137"/>
    <x v="0"/>
    <x v="0"/>
    <x v="4"/>
    <x v="401"/>
    <x v="8"/>
    <x v="462"/>
    <x v="1"/>
    <x v="3"/>
    <x v="1"/>
    <x v="0"/>
    <x v="4833"/>
  </r>
  <r>
    <x v="0"/>
    <x v="2257"/>
    <x v="393"/>
    <x v="76"/>
    <x v="78"/>
    <x v="376"/>
    <x v="132"/>
    <x v="4"/>
    <x v="270"/>
    <x v="1959"/>
    <x v="2119"/>
    <x v="3152"/>
    <x v="4718"/>
    <x v="4664"/>
    <x v="3616"/>
    <x v="0"/>
    <x v="4598"/>
    <x v="4721"/>
    <x v="790"/>
    <x v="0"/>
    <x v="0"/>
    <x v="4"/>
    <x v="212"/>
    <x v="5"/>
    <x v="825"/>
    <x v="31"/>
    <x v="2"/>
    <x v="802"/>
    <x v="0"/>
    <x v="4834"/>
  </r>
  <r>
    <x v="0"/>
    <x v="2258"/>
    <x v="368"/>
    <x v="47"/>
    <x v="0"/>
    <x v="298"/>
    <x v="147"/>
    <x v="4"/>
    <x v="352"/>
    <x v="1960"/>
    <x v="2871"/>
    <x v="3351"/>
    <x v="4719"/>
    <x v="4665"/>
    <x v="3693"/>
    <x v="1"/>
    <x v="4599"/>
    <x v="4722"/>
    <x v="169"/>
    <x v="3"/>
    <x v="10"/>
    <x v="9"/>
    <x v="212"/>
    <x v="52"/>
    <x v="347"/>
    <x v="16"/>
    <x v="1"/>
    <x v="43"/>
    <x v="0"/>
    <x v="4835"/>
  </r>
  <r>
    <x v="0"/>
    <x v="2259"/>
    <x v="434"/>
    <x v="27"/>
    <x v="0"/>
    <x v="4"/>
    <x v="129"/>
    <x v="3949"/>
    <x v="4"/>
    <x v="1961"/>
    <x v="2872"/>
    <x v="4"/>
    <x v="4720"/>
    <x v="4313"/>
    <x v="489"/>
    <x v="1"/>
    <x v="4"/>
    <x v="4723"/>
    <x v="824"/>
    <x v="0"/>
    <x v="62"/>
    <x v="9"/>
    <x v="4"/>
    <x v="12"/>
    <x v="253"/>
    <x v="7"/>
    <x v="2"/>
    <x v="741"/>
    <x v="0"/>
    <x v="4836"/>
  </r>
  <r>
    <x v="0"/>
    <x v="2189"/>
    <x v="464"/>
    <x v="58"/>
    <x v="424"/>
    <x v="4"/>
    <x v="790"/>
    <x v="3950"/>
    <x v="4"/>
    <x v="1763"/>
    <x v="217"/>
    <x v="4"/>
    <x v="4721"/>
    <x v="4666"/>
    <x v="2095"/>
    <x v="0"/>
    <x v="4600"/>
    <x v="4724"/>
    <x v="818"/>
    <x v="0"/>
    <x v="16"/>
    <x v="1"/>
    <x v="212"/>
    <x v="18"/>
    <x v="147"/>
    <x v="32"/>
    <x v="3"/>
    <x v="848"/>
    <x v="0"/>
    <x v="4837"/>
  </r>
  <r>
    <x v="1"/>
    <x v="2260"/>
    <x v="431"/>
    <x v="54"/>
    <x v="0"/>
    <x v="163"/>
    <x v="367"/>
    <x v="3951"/>
    <x v="17"/>
    <x v="666"/>
    <x v="2873"/>
    <x v="3352"/>
    <x v="4722"/>
    <x v="1988"/>
    <x v="3056"/>
    <x v="1"/>
    <x v="4601"/>
    <x v="4725"/>
    <x v="721"/>
    <x v="0"/>
    <x v="0"/>
    <x v="9"/>
    <x v="402"/>
    <x v="53"/>
    <x v="622"/>
    <x v="14"/>
    <x v="2"/>
    <x v="849"/>
    <x v="0"/>
    <x v="4838"/>
  </r>
  <r>
    <x v="0"/>
    <x v="1613"/>
    <x v="441"/>
    <x v="50"/>
    <x v="19"/>
    <x v="342"/>
    <x v="843"/>
    <x v="3952"/>
    <x v="17"/>
    <x v="1962"/>
    <x v="2874"/>
    <x v="3353"/>
    <x v="4723"/>
    <x v="4667"/>
    <x v="2592"/>
    <x v="0"/>
    <x v="4602"/>
    <x v="4726"/>
    <x v="655"/>
    <x v="0"/>
    <x v="0"/>
    <x v="4"/>
    <x v="212"/>
    <x v="13"/>
    <x v="482"/>
    <x v="34"/>
    <x v="2"/>
    <x v="285"/>
    <x v="0"/>
    <x v="4839"/>
  </r>
  <r>
    <x v="0"/>
    <x v="2261"/>
    <x v="457"/>
    <x v="56"/>
    <x v="221"/>
    <x v="401"/>
    <x v="824"/>
    <x v="3953"/>
    <x v="291"/>
    <x v="1963"/>
    <x v="2875"/>
    <x v="3354"/>
    <x v="4724"/>
    <x v="4668"/>
    <x v="3894"/>
    <x v="0"/>
    <x v="4603"/>
    <x v="4727"/>
    <x v="790"/>
    <x v="0"/>
    <x v="0"/>
    <x v="4"/>
    <x v="401"/>
    <x v="14"/>
    <x v="844"/>
    <x v="4"/>
    <x v="1"/>
    <x v="427"/>
    <x v="0"/>
    <x v="4840"/>
  </r>
  <r>
    <x v="0"/>
    <x v="2262"/>
    <x v="385"/>
    <x v="78"/>
    <x v="0"/>
    <x v="792"/>
    <x v="653"/>
    <x v="4"/>
    <x v="3"/>
    <x v="1964"/>
    <x v="2876"/>
    <x v="3355"/>
    <x v="4725"/>
    <x v="4669"/>
    <x v="3895"/>
    <x v="0"/>
    <x v="4604"/>
    <x v="4728"/>
    <x v="684"/>
    <x v="0"/>
    <x v="0"/>
    <x v="0"/>
    <x v="278"/>
    <x v="0"/>
    <x v="39"/>
    <x v="75"/>
    <x v="2"/>
    <x v="93"/>
    <x v="0"/>
    <x v="4841"/>
  </r>
  <r>
    <x v="0"/>
    <x v="508"/>
    <x v="150"/>
    <x v="82"/>
    <x v="152"/>
    <x v="203"/>
    <x v="15"/>
    <x v="1063"/>
    <x v="403"/>
    <x v="460"/>
    <x v="765"/>
    <x v="900"/>
    <x v="1104"/>
    <x v="4670"/>
    <x v="1080"/>
    <x v="0"/>
    <x v="1096"/>
    <x v="1104"/>
    <x v="279"/>
    <x v="0"/>
    <x v="0"/>
    <x v="0"/>
    <x v="91"/>
    <x v="1"/>
    <x v="198"/>
    <x v="38"/>
    <x v="1"/>
    <x v="57"/>
    <x v="0"/>
    <x v="4842"/>
  </r>
  <r>
    <x v="0"/>
    <x v="2263"/>
    <x v="169"/>
    <x v="47"/>
    <x v="137"/>
    <x v="402"/>
    <x v="844"/>
    <x v="3954"/>
    <x v="419"/>
    <x v="1965"/>
    <x v="2877"/>
    <x v="3356"/>
    <x v="4726"/>
    <x v="4671"/>
    <x v="1299"/>
    <x v="0"/>
    <x v="4"/>
    <x v="4729"/>
    <x v="326"/>
    <x v="0"/>
    <x v="0"/>
    <x v="1"/>
    <x v="4"/>
    <x v="2"/>
    <x v="238"/>
    <x v="4"/>
    <x v="2"/>
    <x v="472"/>
    <x v="0"/>
    <x v="4843"/>
  </r>
  <r>
    <x v="0"/>
    <x v="2264"/>
    <x v="328"/>
    <x v="110"/>
    <x v="171"/>
    <x v="405"/>
    <x v="57"/>
    <x v="4"/>
    <x v="897"/>
    <x v="237"/>
    <x v="875"/>
    <x v="919"/>
    <x v="4727"/>
    <x v="4672"/>
    <x v="3896"/>
    <x v="0"/>
    <x v="4605"/>
    <x v="4730"/>
    <x v="568"/>
    <x v="0"/>
    <x v="0"/>
    <x v="4"/>
    <x v="212"/>
    <x v="57"/>
    <x v="506"/>
    <x v="5"/>
    <x v="3"/>
    <x v="1"/>
    <x v="0"/>
    <x v="4844"/>
  </r>
  <r>
    <x v="0"/>
    <x v="2265"/>
    <x v="81"/>
    <x v="54"/>
    <x v="0"/>
    <x v="735"/>
    <x v="316"/>
    <x v="3955"/>
    <x v="582"/>
    <x v="1966"/>
    <x v="2274"/>
    <x v="2206"/>
    <x v="4728"/>
    <x v="4673"/>
    <x v="3897"/>
    <x v="3"/>
    <x v="4606"/>
    <x v="4731"/>
    <x v="685"/>
    <x v="0"/>
    <x v="0"/>
    <x v="4"/>
    <x v="212"/>
    <x v="11"/>
    <x v="860"/>
    <x v="30"/>
    <x v="3"/>
    <x v="212"/>
    <x v="0"/>
    <x v="4845"/>
  </r>
  <r>
    <x v="2"/>
    <x v="2266"/>
    <x v="93"/>
    <x v="50"/>
    <x v="0"/>
    <x v="163"/>
    <x v="845"/>
    <x v="4"/>
    <x v="429"/>
    <x v="1967"/>
    <x v="2878"/>
    <x v="3357"/>
    <x v="4729"/>
    <x v="4674"/>
    <x v="3898"/>
    <x v="0"/>
    <x v="4607"/>
    <x v="4732"/>
    <x v="854"/>
    <x v="0"/>
    <x v="0"/>
    <x v="4"/>
    <x v="4"/>
    <x v="22"/>
    <x v="364"/>
    <x v="33"/>
    <x v="2"/>
    <x v="404"/>
    <x v="0"/>
    <x v="4846"/>
  </r>
  <r>
    <x v="0"/>
    <x v="2267"/>
    <x v="385"/>
    <x v="42"/>
    <x v="221"/>
    <x v="644"/>
    <x v="496"/>
    <x v="4"/>
    <x v="105"/>
    <x v="920"/>
    <x v="2879"/>
    <x v="3358"/>
    <x v="4730"/>
    <x v="4296"/>
    <x v="3899"/>
    <x v="6"/>
    <x v="4608"/>
    <x v="4733"/>
    <x v="791"/>
    <x v="0"/>
    <x v="0"/>
    <x v="4"/>
    <x v="212"/>
    <x v="5"/>
    <x v="320"/>
    <x v="13"/>
    <x v="2"/>
    <x v="833"/>
    <x v="0"/>
    <x v="4847"/>
  </r>
  <r>
    <x v="0"/>
    <x v="2268"/>
    <x v="435"/>
    <x v="42"/>
    <x v="126"/>
    <x v="298"/>
    <x v="841"/>
    <x v="4"/>
    <x v="225"/>
    <x v="1968"/>
    <x v="2880"/>
    <x v="3359"/>
    <x v="4731"/>
    <x v="4675"/>
    <x v="3527"/>
    <x v="0"/>
    <x v="4609"/>
    <x v="4734"/>
    <x v="326"/>
    <x v="0"/>
    <x v="10"/>
    <x v="10"/>
    <x v="149"/>
    <x v="2"/>
    <x v="253"/>
    <x v="44"/>
    <x v="0"/>
    <x v="850"/>
    <x v="0"/>
    <x v="4848"/>
  </r>
  <r>
    <x v="0"/>
    <x v="2269"/>
    <x v="239"/>
    <x v="45"/>
    <x v="78"/>
    <x v="866"/>
    <x v="672"/>
    <x v="4"/>
    <x v="364"/>
    <x v="1352"/>
    <x v="2881"/>
    <x v="3360"/>
    <x v="4732"/>
    <x v="4676"/>
    <x v="2753"/>
    <x v="0"/>
    <x v="4610"/>
    <x v="4735"/>
    <x v="695"/>
    <x v="0"/>
    <x v="0"/>
    <x v="4"/>
    <x v="403"/>
    <x v="37"/>
    <x v="541"/>
    <x v="33"/>
    <x v="3"/>
    <x v="666"/>
    <x v="0"/>
    <x v="4849"/>
  </r>
  <r>
    <x v="0"/>
    <x v="2270"/>
    <x v="333"/>
    <x v="55"/>
    <x v="107"/>
    <x v="698"/>
    <x v="322"/>
    <x v="4"/>
    <x v="898"/>
    <x v="1795"/>
    <x v="1474"/>
    <x v="3361"/>
    <x v="4733"/>
    <x v="2477"/>
    <x v="3064"/>
    <x v="4"/>
    <x v="4"/>
    <x v="4736"/>
    <x v="695"/>
    <x v="0"/>
    <x v="0"/>
    <x v="4"/>
    <x v="212"/>
    <x v="10"/>
    <x v="728"/>
    <x v="21"/>
    <x v="3"/>
    <x v="1"/>
    <x v="0"/>
    <x v="4850"/>
  </r>
  <r>
    <x v="0"/>
    <x v="2271"/>
    <x v="87"/>
    <x v="78"/>
    <x v="73"/>
    <x v="545"/>
    <x v="418"/>
    <x v="3956"/>
    <x v="393"/>
    <x v="1969"/>
    <x v="2882"/>
    <x v="3362"/>
    <x v="4734"/>
    <x v="4677"/>
    <x v="3900"/>
    <x v="0"/>
    <x v="4611"/>
    <x v="4737"/>
    <x v="509"/>
    <x v="0"/>
    <x v="0"/>
    <x v="4"/>
    <x v="404"/>
    <x v="3"/>
    <x v="870"/>
    <x v="21"/>
    <x v="1"/>
    <x v="1"/>
    <x v="0"/>
    <x v="4851"/>
  </r>
  <r>
    <x v="0"/>
    <x v="609"/>
    <x v="304"/>
    <x v="18"/>
    <x v="0"/>
    <x v="674"/>
    <x v="57"/>
    <x v="3957"/>
    <x v="105"/>
    <x v="109"/>
    <x v="1060"/>
    <x v="1220"/>
    <x v="4735"/>
    <x v="4678"/>
    <x v="3901"/>
    <x v="7"/>
    <x v="4612"/>
    <x v="4738"/>
    <x v="953"/>
    <x v="0"/>
    <x v="0"/>
    <x v="4"/>
    <x v="403"/>
    <x v="13"/>
    <x v="30"/>
    <x v="11"/>
    <x v="3"/>
    <x v="1"/>
    <x v="0"/>
    <x v="4852"/>
  </r>
  <r>
    <x v="0"/>
    <x v="1452"/>
    <x v="184"/>
    <x v="43"/>
    <x v="281"/>
    <x v="577"/>
    <x v="432"/>
    <x v="3958"/>
    <x v="105"/>
    <x v="1970"/>
    <x v="1148"/>
    <x v="3363"/>
    <x v="4736"/>
    <x v="4679"/>
    <x v="3902"/>
    <x v="3"/>
    <x v="4613"/>
    <x v="4739"/>
    <x v="432"/>
    <x v="0"/>
    <x v="0"/>
    <x v="4"/>
    <x v="403"/>
    <x v="18"/>
    <x v="612"/>
    <x v="8"/>
    <x v="3"/>
    <x v="772"/>
    <x v="0"/>
    <x v="4853"/>
  </r>
  <r>
    <x v="0"/>
    <x v="2272"/>
    <x v="4"/>
    <x v="78"/>
    <x v="216"/>
    <x v="345"/>
    <x v="830"/>
    <x v="4"/>
    <x v="899"/>
    <x v="1971"/>
    <x v="1399"/>
    <x v="3364"/>
    <x v="4737"/>
    <x v="4607"/>
    <x v="1627"/>
    <x v="4"/>
    <x v="4614"/>
    <x v="4740"/>
    <x v="4"/>
    <x v="0"/>
    <x v="0"/>
    <x v="4"/>
    <x v="405"/>
    <x v="5"/>
    <x v="14"/>
    <x v="44"/>
    <x v="3"/>
    <x v="745"/>
    <x v="0"/>
    <x v="4854"/>
  </r>
  <r>
    <x v="0"/>
    <x v="41"/>
    <x v="359"/>
    <x v="42"/>
    <x v="29"/>
    <x v="170"/>
    <x v="537"/>
    <x v="3959"/>
    <x v="352"/>
    <x v="1972"/>
    <x v="2883"/>
    <x v="3365"/>
    <x v="4738"/>
    <x v="4680"/>
    <x v="3650"/>
    <x v="1"/>
    <x v="4615"/>
    <x v="4741"/>
    <x v="460"/>
    <x v="0"/>
    <x v="0"/>
    <x v="4"/>
    <x v="403"/>
    <x v="19"/>
    <x v="814"/>
    <x v="13"/>
    <x v="3"/>
    <x v="576"/>
    <x v="0"/>
    <x v="4855"/>
  </r>
  <r>
    <x v="0"/>
    <x v="2273"/>
    <x v="430"/>
    <x v="50"/>
    <x v="198"/>
    <x v="567"/>
    <x v="846"/>
    <x v="3960"/>
    <x v="105"/>
    <x v="1973"/>
    <x v="1979"/>
    <x v="3366"/>
    <x v="4739"/>
    <x v="4681"/>
    <x v="3798"/>
    <x v="0"/>
    <x v="4616"/>
    <x v="4742"/>
    <x v="225"/>
    <x v="0"/>
    <x v="0"/>
    <x v="4"/>
    <x v="403"/>
    <x v="16"/>
    <x v="382"/>
    <x v="12"/>
    <x v="3"/>
    <x v="535"/>
    <x v="0"/>
    <x v="4856"/>
  </r>
  <r>
    <x v="0"/>
    <x v="760"/>
    <x v="349"/>
    <x v="45"/>
    <x v="137"/>
    <x v="262"/>
    <x v="219"/>
    <x v="3961"/>
    <x v="200"/>
    <x v="405"/>
    <x v="2884"/>
    <x v="3367"/>
    <x v="4740"/>
    <x v="4682"/>
    <x v="3020"/>
    <x v="0"/>
    <x v="4617"/>
    <x v="4743"/>
    <x v="736"/>
    <x v="0"/>
    <x v="0"/>
    <x v="4"/>
    <x v="403"/>
    <x v="21"/>
    <x v="908"/>
    <x v="4"/>
    <x v="3"/>
    <x v="702"/>
    <x v="0"/>
    <x v="4857"/>
  </r>
  <r>
    <x v="0"/>
    <x v="2274"/>
    <x v="435"/>
    <x v="7"/>
    <x v="0"/>
    <x v="636"/>
    <x v="847"/>
    <x v="3962"/>
    <x v="105"/>
    <x v="1974"/>
    <x v="2885"/>
    <x v="3368"/>
    <x v="4741"/>
    <x v="4683"/>
    <x v="3236"/>
    <x v="4"/>
    <x v="4618"/>
    <x v="4744"/>
    <x v="408"/>
    <x v="0"/>
    <x v="0"/>
    <x v="10"/>
    <x v="403"/>
    <x v="18"/>
    <x v="646"/>
    <x v="10"/>
    <x v="3"/>
    <x v="270"/>
    <x v="0"/>
    <x v="4858"/>
  </r>
  <r>
    <x v="0"/>
    <x v="2275"/>
    <x v="4"/>
    <x v="78"/>
    <x v="0"/>
    <x v="905"/>
    <x v="568"/>
    <x v="4"/>
    <x v="718"/>
    <x v="1975"/>
    <x v="2886"/>
    <x v="3369"/>
    <x v="4742"/>
    <x v="4256"/>
    <x v="1077"/>
    <x v="0"/>
    <x v="4"/>
    <x v="4745"/>
    <x v="4"/>
    <x v="0"/>
    <x v="0"/>
    <x v="1"/>
    <x v="212"/>
    <x v="11"/>
    <x v="7"/>
    <x v="44"/>
    <x v="2"/>
    <x v="810"/>
    <x v="0"/>
    <x v="4859"/>
  </r>
  <r>
    <x v="0"/>
    <x v="727"/>
    <x v="414"/>
    <x v="78"/>
    <x v="124"/>
    <x v="552"/>
    <x v="591"/>
    <x v="3963"/>
    <x v="361"/>
    <x v="1144"/>
    <x v="1027"/>
    <x v="3370"/>
    <x v="4743"/>
    <x v="4684"/>
    <x v="3903"/>
    <x v="0"/>
    <x v="4619"/>
    <x v="4746"/>
    <x v="691"/>
    <x v="0"/>
    <x v="4"/>
    <x v="4"/>
    <x v="406"/>
    <x v="13"/>
    <x v="544"/>
    <x v="11"/>
    <x v="3"/>
    <x v="59"/>
    <x v="0"/>
    <x v="4860"/>
  </r>
  <r>
    <x v="0"/>
    <x v="2276"/>
    <x v="152"/>
    <x v="93"/>
    <x v="0"/>
    <x v="312"/>
    <x v="473"/>
    <x v="3964"/>
    <x v="127"/>
    <x v="416"/>
    <x v="723"/>
    <x v="3371"/>
    <x v="4744"/>
    <x v="4685"/>
    <x v="2726"/>
    <x v="1"/>
    <x v="4620"/>
    <x v="4747"/>
    <x v="732"/>
    <x v="0"/>
    <x v="5"/>
    <x v="4"/>
    <x v="403"/>
    <x v="25"/>
    <x v="435"/>
    <x v="21"/>
    <x v="2"/>
    <x v="851"/>
    <x v="0"/>
    <x v="4861"/>
  </r>
  <r>
    <x v="0"/>
    <x v="2277"/>
    <x v="307"/>
    <x v="128"/>
    <x v="176"/>
    <x v="298"/>
    <x v="87"/>
    <x v="3965"/>
    <x v="900"/>
    <x v="1976"/>
    <x v="2887"/>
    <x v="3372"/>
    <x v="4745"/>
    <x v="4686"/>
    <x v="3904"/>
    <x v="0"/>
    <x v="4621"/>
    <x v="4748"/>
    <x v="732"/>
    <x v="0"/>
    <x v="0"/>
    <x v="4"/>
    <x v="403"/>
    <x v="13"/>
    <x v="556"/>
    <x v="15"/>
    <x v="3"/>
    <x v="852"/>
    <x v="0"/>
    <x v="4862"/>
  </r>
  <r>
    <x v="0"/>
    <x v="2200"/>
    <x v="425"/>
    <x v="98"/>
    <x v="143"/>
    <x v="667"/>
    <x v="305"/>
    <x v="3966"/>
    <x v="150"/>
    <x v="1977"/>
    <x v="2888"/>
    <x v="1207"/>
    <x v="4746"/>
    <x v="4687"/>
    <x v="1510"/>
    <x v="1"/>
    <x v="4622"/>
    <x v="4749"/>
    <x v="398"/>
    <x v="0"/>
    <x v="0"/>
    <x v="4"/>
    <x v="386"/>
    <x v="14"/>
    <x v="197"/>
    <x v="34"/>
    <x v="3"/>
    <x v="699"/>
    <x v="0"/>
    <x v="4863"/>
  </r>
  <r>
    <x v="0"/>
    <x v="2278"/>
    <x v="278"/>
    <x v="78"/>
    <x v="79"/>
    <x v="813"/>
    <x v="31"/>
    <x v="3967"/>
    <x v="17"/>
    <x v="37"/>
    <x v="2889"/>
    <x v="3373"/>
    <x v="4747"/>
    <x v="4688"/>
    <x v="3905"/>
    <x v="1"/>
    <x v="4623"/>
    <x v="4750"/>
    <x v="549"/>
    <x v="0"/>
    <x v="0"/>
    <x v="0"/>
    <x v="403"/>
    <x v="10"/>
    <x v="908"/>
    <x v="10"/>
    <x v="0"/>
    <x v="85"/>
    <x v="0"/>
    <x v="4864"/>
  </r>
  <r>
    <x v="0"/>
    <x v="2279"/>
    <x v="4"/>
    <x v="45"/>
    <x v="0"/>
    <x v="764"/>
    <x v="541"/>
    <x v="4"/>
    <x v="429"/>
    <x v="1978"/>
    <x v="2769"/>
    <x v="3374"/>
    <x v="4748"/>
    <x v="4689"/>
    <x v="3906"/>
    <x v="0"/>
    <x v="4624"/>
    <x v="4751"/>
    <x v="188"/>
    <x v="0"/>
    <x v="0"/>
    <x v="1"/>
    <x v="212"/>
    <x v="2"/>
    <x v="788"/>
    <x v="44"/>
    <x v="12"/>
    <x v="550"/>
    <x v="0"/>
    <x v="4865"/>
  </r>
  <r>
    <x v="0"/>
    <x v="1711"/>
    <x v="207"/>
    <x v="80"/>
    <x v="154"/>
    <x v="775"/>
    <x v="848"/>
    <x v="3968"/>
    <x v="430"/>
    <x v="1979"/>
    <x v="1598"/>
    <x v="3375"/>
    <x v="4749"/>
    <x v="4690"/>
    <x v="1684"/>
    <x v="4"/>
    <x v="4625"/>
    <x v="4752"/>
    <x v="636"/>
    <x v="0"/>
    <x v="1"/>
    <x v="4"/>
    <x v="403"/>
    <x v="15"/>
    <x v="392"/>
    <x v="9"/>
    <x v="2"/>
    <x v="853"/>
    <x v="0"/>
    <x v="4866"/>
  </r>
  <r>
    <x v="0"/>
    <x v="2280"/>
    <x v="434"/>
    <x v="128"/>
    <x v="314"/>
    <x v="321"/>
    <x v="849"/>
    <x v="3969"/>
    <x v="200"/>
    <x v="1980"/>
    <x v="2890"/>
    <x v="3376"/>
    <x v="4750"/>
    <x v="4691"/>
    <x v="3907"/>
    <x v="1"/>
    <x v="4626"/>
    <x v="4753"/>
    <x v="744"/>
    <x v="13"/>
    <x v="0"/>
    <x v="1"/>
    <x v="4"/>
    <x v="12"/>
    <x v="820"/>
    <x v="2"/>
    <x v="3"/>
    <x v="685"/>
    <x v="0"/>
    <x v="4867"/>
  </r>
  <r>
    <x v="0"/>
    <x v="1218"/>
    <x v="57"/>
    <x v="77"/>
    <x v="351"/>
    <x v="158"/>
    <x v="243"/>
    <x v="3970"/>
    <x v="306"/>
    <x v="1981"/>
    <x v="2891"/>
    <x v="3377"/>
    <x v="4751"/>
    <x v="4692"/>
    <x v="3908"/>
    <x v="0"/>
    <x v="4627"/>
    <x v="4754"/>
    <x v="499"/>
    <x v="0"/>
    <x v="0"/>
    <x v="4"/>
    <x v="403"/>
    <x v="9"/>
    <x v="487"/>
    <x v="65"/>
    <x v="1"/>
    <x v="1"/>
    <x v="0"/>
    <x v="4868"/>
  </r>
  <r>
    <x v="0"/>
    <x v="113"/>
    <x v="492"/>
    <x v="187"/>
    <x v="88"/>
    <x v="701"/>
    <x v="110"/>
    <x v="4"/>
    <x v="152"/>
    <x v="206"/>
    <x v="2892"/>
    <x v="3378"/>
    <x v="4752"/>
    <x v="4693"/>
    <x v="2360"/>
    <x v="1"/>
    <x v="4628"/>
    <x v="4755"/>
    <x v="247"/>
    <x v="0"/>
    <x v="1"/>
    <x v="7"/>
    <x v="4"/>
    <x v="4"/>
    <x v="752"/>
    <x v="3"/>
    <x v="12"/>
    <x v="7"/>
    <x v="0"/>
    <x v="4869"/>
  </r>
  <r>
    <x v="0"/>
    <x v="2281"/>
    <x v="396"/>
    <x v="107"/>
    <x v="78"/>
    <x v="318"/>
    <x v="603"/>
    <x v="4"/>
    <x v="270"/>
    <x v="1982"/>
    <x v="2893"/>
    <x v="3379"/>
    <x v="4753"/>
    <x v="4694"/>
    <x v="3454"/>
    <x v="3"/>
    <x v="4629"/>
    <x v="4756"/>
    <x v="83"/>
    <x v="0"/>
    <x v="0"/>
    <x v="4"/>
    <x v="4"/>
    <x v="14"/>
    <x v="863"/>
    <x v="8"/>
    <x v="2"/>
    <x v="627"/>
    <x v="0"/>
    <x v="4870"/>
  </r>
  <r>
    <x v="0"/>
    <x v="1008"/>
    <x v="69"/>
    <x v="80"/>
    <x v="329"/>
    <x v="458"/>
    <x v="641"/>
    <x v="3971"/>
    <x v="306"/>
    <x v="1983"/>
    <x v="2894"/>
    <x v="3380"/>
    <x v="4754"/>
    <x v="4695"/>
    <x v="2411"/>
    <x v="0"/>
    <x v="4630"/>
    <x v="4757"/>
    <x v="646"/>
    <x v="0"/>
    <x v="0"/>
    <x v="0"/>
    <x v="4"/>
    <x v="1"/>
    <x v="776"/>
    <x v="11"/>
    <x v="1"/>
    <x v="196"/>
    <x v="0"/>
    <x v="4871"/>
  </r>
  <r>
    <x v="0"/>
    <x v="2282"/>
    <x v="379"/>
    <x v="59"/>
    <x v="184"/>
    <x v="815"/>
    <x v="61"/>
    <x v="4"/>
    <x v="60"/>
    <x v="105"/>
    <x v="2895"/>
    <x v="3381"/>
    <x v="4755"/>
    <x v="4696"/>
    <x v="3909"/>
    <x v="0"/>
    <x v="4631"/>
    <x v="4758"/>
    <x v="452"/>
    <x v="0"/>
    <x v="1"/>
    <x v="9"/>
    <x v="4"/>
    <x v="0"/>
    <x v="843"/>
    <x v="8"/>
    <x v="1"/>
    <x v="57"/>
    <x v="0"/>
    <x v="4872"/>
  </r>
  <r>
    <x v="1"/>
    <x v="2283"/>
    <x v="385"/>
    <x v="113"/>
    <x v="0"/>
    <x v="531"/>
    <x v="721"/>
    <x v="3972"/>
    <x v="652"/>
    <x v="1984"/>
    <x v="2896"/>
    <x v="3382"/>
    <x v="4756"/>
    <x v="4697"/>
    <x v="3910"/>
    <x v="0"/>
    <x v="4632"/>
    <x v="4759"/>
    <x v="791"/>
    <x v="0"/>
    <x v="0"/>
    <x v="1"/>
    <x v="403"/>
    <x v="13"/>
    <x v="893"/>
    <x v="22"/>
    <x v="3"/>
    <x v="854"/>
    <x v="0"/>
    <x v="4873"/>
  </r>
  <r>
    <x v="0"/>
    <x v="2284"/>
    <x v="451"/>
    <x v="41"/>
    <x v="143"/>
    <x v="413"/>
    <x v="155"/>
    <x v="4"/>
    <x v="787"/>
    <x v="1985"/>
    <x v="2897"/>
    <x v="3383"/>
    <x v="4757"/>
    <x v="4698"/>
    <x v="3235"/>
    <x v="0"/>
    <x v="4633"/>
    <x v="4760"/>
    <x v="684"/>
    <x v="0"/>
    <x v="0"/>
    <x v="3"/>
    <x v="4"/>
    <x v="8"/>
    <x v="696"/>
    <x v="73"/>
    <x v="3"/>
    <x v="671"/>
    <x v="0"/>
    <x v="4874"/>
  </r>
  <r>
    <x v="0"/>
    <x v="2285"/>
    <x v="320"/>
    <x v="54"/>
    <x v="16"/>
    <x v="708"/>
    <x v="0"/>
    <x v="4"/>
    <x v="270"/>
    <x v="1157"/>
    <x v="2898"/>
    <x v="3384"/>
    <x v="4758"/>
    <x v="4699"/>
    <x v="3911"/>
    <x v="1"/>
    <x v="4"/>
    <x v="4761"/>
    <x v="824"/>
    <x v="0"/>
    <x v="4"/>
    <x v="2"/>
    <x v="403"/>
    <x v="5"/>
    <x v="844"/>
    <x v="20"/>
    <x v="0"/>
    <x v="388"/>
    <x v="0"/>
    <x v="4875"/>
  </r>
  <r>
    <x v="0"/>
    <x v="2286"/>
    <x v="240"/>
    <x v="86"/>
    <x v="117"/>
    <x v="862"/>
    <x v="850"/>
    <x v="4"/>
    <x v="901"/>
    <x v="1986"/>
    <x v="2899"/>
    <x v="3385"/>
    <x v="4759"/>
    <x v="4700"/>
    <x v="3411"/>
    <x v="0"/>
    <x v="4634"/>
    <x v="4762"/>
    <x v="699"/>
    <x v="0"/>
    <x v="0"/>
    <x v="1"/>
    <x v="4"/>
    <x v="0"/>
    <x v="440"/>
    <x v="15"/>
    <x v="0"/>
    <x v="59"/>
    <x v="0"/>
    <x v="4876"/>
  </r>
  <r>
    <x v="0"/>
    <x v="2287"/>
    <x v="169"/>
    <x v="42"/>
    <x v="221"/>
    <x v="342"/>
    <x v="851"/>
    <x v="4"/>
    <x v="463"/>
    <x v="1987"/>
    <x v="2900"/>
    <x v="3386"/>
    <x v="4760"/>
    <x v="4701"/>
    <x v="3912"/>
    <x v="4"/>
    <x v="4635"/>
    <x v="4763"/>
    <x v="896"/>
    <x v="0"/>
    <x v="0"/>
    <x v="2"/>
    <x v="403"/>
    <x v="5"/>
    <x v="696"/>
    <x v="5"/>
    <x v="2"/>
    <x v="1"/>
    <x v="0"/>
    <x v="4877"/>
  </r>
  <r>
    <x v="0"/>
    <x v="2288"/>
    <x v="4"/>
    <x v="188"/>
    <x v="216"/>
    <x v="869"/>
    <x v="430"/>
    <x v="4"/>
    <x v="902"/>
    <x v="1988"/>
    <x v="2901"/>
    <x v="3387"/>
    <x v="4761"/>
    <x v="4702"/>
    <x v="3913"/>
    <x v="7"/>
    <x v="4636"/>
    <x v="4764"/>
    <x v="4"/>
    <x v="0"/>
    <x v="0"/>
    <x v="1"/>
    <x v="4"/>
    <x v="1"/>
    <x v="359"/>
    <x v="8"/>
    <x v="2"/>
    <x v="1"/>
    <x v="0"/>
    <x v="4878"/>
  </r>
  <r>
    <x v="0"/>
    <x v="2289"/>
    <x v="464"/>
    <x v="26"/>
    <x v="211"/>
    <x v="866"/>
    <x v="820"/>
    <x v="4"/>
    <x v="152"/>
    <x v="1878"/>
    <x v="2902"/>
    <x v="3388"/>
    <x v="4762"/>
    <x v="4703"/>
    <x v="2934"/>
    <x v="0"/>
    <x v="4637"/>
    <x v="4765"/>
    <x v="684"/>
    <x v="0"/>
    <x v="0"/>
    <x v="4"/>
    <x v="4"/>
    <x v="26"/>
    <x v="267"/>
    <x v="33"/>
    <x v="3"/>
    <x v="507"/>
    <x v="0"/>
    <x v="4879"/>
  </r>
  <r>
    <x v="0"/>
    <x v="2290"/>
    <x v="93"/>
    <x v="180"/>
    <x v="0"/>
    <x v="298"/>
    <x v="471"/>
    <x v="4"/>
    <x v="4"/>
    <x v="1989"/>
    <x v="2903"/>
    <x v="3389"/>
    <x v="4763"/>
    <x v="276"/>
    <x v="2095"/>
    <x v="4"/>
    <x v="4"/>
    <x v="4766"/>
    <x v="326"/>
    <x v="0"/>
    <x v="0"/>
    <x v="2"/>
    <x v="403"/>
    <x v="9"/>
    <x v="253"/>
    <x v="6"/>
    <x v="2"/>
    <x v="93"/>
    <x v="0"/>
    <x v="4880"/>
  </r>
  <r>
    <x v="0"/>
    <x v="2291"/>
    <x v="329"/>
    <x v="54"/>
    <x v="143"/>
    <x v="700"/>
    <x v="852"/>
    <x v="4"/>
    <x v="381"/>
    <x v="1990"/>
    <x v="2904"/>
    <x v="3390"/>
    <x v="4764"/>
    <x v="4704"/>
    <x v="2106"/>
    <x v="1"/>
    <x v="4428"/>
    <x v="4767"/>
    <x v="510"/>
    <x v="0"/>
    <x v="0"/>
    <x v="0"/>
    <x v="403"/>
    <x v="3"/>
    <x v="553"/>
    <x v="46"/>
    <x v="2"/>
    <x v="855"/>
    <x v="0"/>
    <x v="4881"/>
  </r>
  <r>
    <x v="0"/>
    <x v="1131"/>
    <x v="4"/>
    <x v="77"/>
    <x v="176"/>
    <x v="813"/>
    <x v="0"/>
    <x v="4"/>
    <x v="594"/>
    <x v="543"/>
    <x v="1620"/>
    <x v="1931"/>
    <x v="2670"/>
    <x v="2665"/>
    <x v="2469"/>
    <x v="1"/>
    <x v="2649"/>
    <x v="2670"/>
    <x v="388"/>
    <x v="0"/>
    <x v="0"/>
    <x v="10"/>
    <x v="4"/>
    <x v="20"/>
    <x v="2"/>
    <x v="38"/>
    <x v="8"/>
    <x v="483"/>
    <x v="0"/>
    <x v="4882"/>
  </r>
  <r>
    <x v="0"/>
    <x v="2223"/>
    <x v="93"/>
    <x v="26"/>
    <x v="427"/>
    <x v="708"/>
    <x v="330"/>
    <x v="4"/>
    <x v="784"/>
    <x v="1991"/>
    <x v="2905"/>
    <x v="3391"/>
    <x v="4765"/>
    <x v="4705"/>
    <x v="3401"/>
    <x v="5"/>
    <x v="4"/>
    <x v="4768"/>
    <x v="326"/>
    <x v="0"/>
    <x v="0"/>
    <x v="2"/>
    <x v="403"/>
    <x v="11"/>
    <x v="745"/>
    <x v="4"/>
    <x v="2"/>
    <x v="856"/>
    <x v="0"/>
    <x v="4883"/>
  </r>
  <r>
    <x v="0"/>
    <x v="2292"/>
    <x v="489"/>
    <x v="78"/>
    <x v="164"/>
    <x v="671"/>
    <x v="487"/>
    <x v="4"/>
    <x v="4"/>
    <x v="903"/>
    <x v="981"/>
    <x v="1924"/>
    <x v="4766"/>
    <x v="4706"/>
    <x v="3318"/>
    <x v="0"/>
    <x v="4638"/>
    <x v="4769"/>
    <x v="188"/>
    <x v="0"/>
    <x v="0"/>
    <x v="1"/>
    <x v="403"/>
    <x v="11"/>
    <x v="500"/>
    <x v="25"/>
    <x v="2"/>
    <x v="681"/>
    <x v="0"/>
    <x v="4884"/>
  </r>
  <r>
    <x v="1"/>
    <x v="1544"/>
    <x v="422"/>
    <x v="12"/>
    <x v="91"/>
    <x v="423"/>
    <x v="853"/>
    <x v="4"/>
    <x v="387"/>
    <x v="1992"/>
    <x v="2906"/>
    <x v="3392"/>
    <x v="4767"/>
    <x v="4707"/>
    <x v="1216"/>
    <x v="0"/>
    <x v="4639"/>
    <x v="4770"/>
    <x v="727"/>
    <x v="1"/>
    <x v="0"/>
    <x v="9"/>
    <x v="407"/>
    <x v="90"/>
    <x v="4"/>
    <x v="24"/>
    <x v="8"/>
    <x v="605"/>
    <x v="0"/>
    <x v="4885"/>
  </r>
  <r>
    <x v="0"/>
    <x v="2293"/>
    <x v="412"/>
    <x v="105"/>
    <x v="69"/>
    <x v="272"/>
    <x v="0"/>
    <x v="4"/>
    <x v="125"/>
    <x v="1316"/>
    <x v="2907"/>
    <x v="3393"/>
    <x v="4768"/>
    <x v="4708"/>
    <x v="2673"/>
    <x v="0"/>
    <x v="4640"/>
    <x v="4771"/>
    <x v="326"/>
    <x v="0"/>
    <x v="0"/>
    <x v="1"/>
    <x v="408"/>
    <x v="7"/>
    <x v="787"/>
    <x v="12"/>
    <x v="2"/>
    <x v="857"/>
    <x v="0"/>
    <x v="4886"/>
  </r>
  <r>
    <x v="0"/>
    <x v="2294"/>
    <x v="479"/>
    <x v="26"/>
    <x v="0"/>
    <x v="667"/>
    <x v="672"/>
    <x v="4"/>
    <x v="434"/>
    <x v="1993"/>
    <x v="2908"/>
    <x v="3394"/>
    <x v="4769"/>
    <x v="4326"/>
    <x v="3914"/>
    <x v="3"/>
    <x v="4"/>
    <x v="4772"/>
    <x v="188"/>
    <x v="0"/>
    <x v="0"/>
    <x v="1"/>
    <x v="403"/>
    <x v="9"/>
    <x v="702"/>
    <x v="1"/>
    <x v="3"/>
    <x v="505"/>
    <x v="0"/>
    <x v="4887"/>
  </r>
  <r>
    <x v="0"/>
    <x v="1099"/>
    <x v="117"/>
    <x v="80"/>
    <x v="0"/>
    <x v="831"/>
    <x v="3"/>
    <x v="3973"/>
    <x v="517"/>
    <x v="3"/>
    <x v="2909"/>
    <x v="3395"/>
    <x v="4770"/>
    <x v="4709"/>
    <x v="3915"/>
    <x v="0"/>
    <x v="4641"/>
    <x v="4773"/>
    <x v="147"/>
    <x v="0"/>
    <x v="1"/>
    <x v="4"/>
    <x v="4"/>
    <x v="8"/>
    <x v="258"/>
    <x v="1"/>
    <x v="3"/>
    <x v="31"/>
    <x v="0"/>
    <x v="4888"/>
  </r>
  <r>
    <x v="0"/>
    <x v="2295"/>
    <x v="451"/>
    <x v="72"/>
    <x v="143"/>
    <x v="627"/>
    <x v="854"/>
    <x v="4"/>
    <x v="903"/>
    <x v="1994"/>
    <x v="2910"/>
    <x v="3396"/>
    <x v="4771"/>
    <x v="4710"/>
    <x v="3916"/>
    <x v="0"/>
    <x v="4642"/>
    <x v="4774"/>
    <x v="854"/>
    <x v="0"/>
    <x v="0"/>
    <x v="1"/>
    <x v="403"/>
    <x v="2"/>
    <x v="516"/>
    <x v="61"/>
    <x v="2"/>
    <x v="653"/>
    <x v="0"/>
    <x v="4889"/>
  </r>
  <r>
    <x v="0"/>
    <x v="2296"/>
    <x v="417"/>
    <x v="107"/>
    <x v="5"/>
    <x v="298"/>
    <x v="129"/>
    <x v="3974"/>
    <x v="4"/>
    <x v="1995"/>
    <x v="2911"/>
    <x v="3397"/>
    <x v="4772"/>
    <x v="4711"/>
    <x v="489"/>
    <x v="0"/>
    <x v="4643"/>
    <x v="4775"/>
    <x v="843"/>
    <x v="0"/>
    <x v="0"/>
    <x v="9"/>
    <x v="390"/>
    <x v="3"/>
    <x v="253"/>
    <x v="7"/>
    <x v="1"/>
    <x v="858"/>
    <x v="0"/>
    <x v="4890"/>
  </r>
  <r>
    <x v="0"/>
    <x v="2297"/>
    <x v="428"/>
    <x v="11"/>
    <x v="0"/>
    <x v="845"/>
    <x v="714"/>
    <x v="3975"/>
    <x v="270"/>
    <x v="1996"/>
    <x v="520"/>
    <x v="3398"/>
    <x v="4773"/>
    <x v="4712"/>
    <x v="2888"/>
    <x v="1"/>
    <x v="4644"/>
    <x v="4776"/>
    <x v="546"/>
    <x v="0"/>
    <x v="0"/>
    <x v="4"/>
    <x v="390"/>
    <x v="21"/>
    <x v="338"/>
    <x v="15"/>
    <x v="3"/>
    <x v="857"/>
    <x v="0"/>
    <x v="4891"/>
  </r>
  <r>
    <x v="0"/>
    <x v="2298"/>
    <x v="152"/>
    <x v="41"/>
    <x v="0"/>
    <x v="298"/>
    <x v="795"/>
    <x v="4"/>
    <x v="200"/>
    <x v="1997"/>
    <x v="2912"/>
    <x v="3399"/>
    <x v="4774"/>
    <x v="4713"/>
    <x v="1736"/>
    <x v="0"/>
    <x v="4645"/>
    <x v="4777"/>
    <x v="685"/>
    <x v="0"/>
    <x v="0"/>
    <x v="14"/>
    <x v="344"/>
    <x v="50"/>
    <x v="4"/>
    <x v="61"/>
    <x v="15"/>
    <x v="810"/>
    <x v="0"/>
    <x v="4892"/>
  </r>
  <r>
    <x v="1"/>
    <x v="2299"/>
    <x v="334"/>
    <x v="110"/>
    <x v="143"/>
    <x v="502"/>
    <x v="204"/>
    <x v="1980"/>
    <x v="904"/>
    <x v="1998"/>
    <x v="2913"/>
    <x v="3400"/>
    <x v="4775"/>
    <x v="4714"/>
    <x v="3525"/>
    <x v="0"/>
    <x v="4646"/>
    <x v="4778"/>
    <x v="244"/>
    <x v="0"/>
    <x v="0"/>
    <x v="11"/>
    <x v="409"/>
    <x v="62"/>
    <x v="383"/>
    <x v="10"/>
    <x v="15"/>
    <x v="859"/>
    <x v="0"/>
    <x v="4893"/>
  </r>
  <r>
    <x v="0"/>
    <x v="810"/>
    <x v="474"/>
    <x v="46"/>
    <x v="190"/>
    <x v="636"/>
    <x v="423"/>
    <x v="4"/>
    <x v="772"/>
    <x v="391"/>
    <x v="2147"/>
    <x v="2549"/>
    <x v="3641"/>
    <x v="4715"/>
    <x v="2743"/>
    <x v="0"/>
    <x v="3597"/>
    <x v="3643"/>
    <x v="586"/>
    <x v="0"/>
    <x v="0"/>
    <x v="11"/>
    <x v="240"/>
    <x v="63"/>
    <x v="844"/>
    <x v="13"/>
    <x v="15"/>
    <x v="1"/>
    <x v="0"/>
    <x v="4894"/>
  </r>
  <r>
    <x v="0"/>
    <x v="83"/>
    <x v="132"/>
    <x v="41"/>
    <x v="66"/>
    <x v="222"/>
    <x v="855"/>
    <x v="4"/>
    <x v="18"/>
    <x v="1999"/>
    <x v="2914"/>
    <x v="3401"/>
    <x v="4776"/>
    <x v="4716"/>
    <x v="3782"/>
    <x v="0"/>
    <x v="4647"/>
    <x v="4779"/>
    <x v="677"/>
    <x v="0"/>
    <x v="5"/>
    <x v="4"/>
    <x v="401"/>
    <x v="28"/>
    <x v="699"/>
    <x v="15"/>
    <x v="1"/>
    <x v="7"/>
    <x v="0"/>
    <x v="4895"/>
  </r>
  <r>
    <x v="0"/>
    <x v="52"/>
    <x v="379"/>
    <x v="45"/>
    <x v="37"/>
    <x v="738"/>
    <x v="41"/>
    <x v="3976"/>
    <x v="200"/>
    <x v="211"/>
    <x v="2915"/>
    <x v="3402"/>
    <x v="4777"/>
    <x v="4717"/>
    <x v="630"/>
    <x v="0"/>
    <x v="4648"/>
    <x v="4780"/>
    <x v="418"/>
    <x v="0"/>
    <x v="0"/>
    <x v="4"/>
    <x v="401"/>
    <x v="25"/>
    <x v="403"/>
    <x v="38"/>
    <x v="3"/>
    <x v="1"/>
    <x v="0"/>
    <x v="4896"/>
  </r>
  <r>
    <x v="0"/>
    <x v="737"/>
    <x v="270"/>
    <x v="77"/>
    <x v="0"/>
    <x v="823"/>
    <x v="17"/>
    <x v="2284"/>
    <x v="572"/>
    <x v="303"/>
    <x v="2916"/>
    <x v="3403"/>
    <x v="4778"/>
    <x v="4718"/>
    <x v="3917"/>
    <x v="1"/>
    <x v="4649"/>
    <x v="4781"/>
    <x v="527"/>
    <x v="17"/>
    <x v="20"/>
    <x v="4"/>
    <x v="401"/>
    <x v="53"/>
    <x v="134"/>
    <x v="25"/>
    <x v="1"/>
    <x v="1"/>
    <x v="0"/>
    <x v="4897"/>
  </r>
  <r>
    <x v="1"/>
    <x v="2300"/>
    <x v="311"/>
    <x v="180"/>
    <x v="106"/>
    <x v="222"/>
    <x v="814"/>
    <x v="4"/>
    <x v="905"/>
    <x v="2000"/>
    <x v="2917"/>
    <x v="3404"/>
    <x v="4779"/>
    <x v="4719"/>
    <x v="1877"/>
    <x v="1"/>
    <x v="4650"/>
    <x v="4782"/>
    <x v="247"/>
    <x v="0"/>
    <x v="0"/>
    <x v="11"/>
    <x v="401"/>
    <x v="87"/>
    <x v="326"/>
    <x v="12"/>
    <x v="15"/>
    <x v="251"/>
    <x v="0"/>
    <x v="4898"/>
  </r>
  <r>
    <x v="0"/>
    <x v="2301"/>
    <x v="464"/>
    <x v="79"/>
    <x v="0"/>
    <x v="298"/>
    <x v="399"/>
    <x v="3977"/>
    <x v="4"/>
    <x v="2001"/>
    <x v="2918"/>
    <x v="3405"/>
    <x v="4780"/>
    <x v="4720"/>
    <x v="1693"/>
    <x v="0"/>
    <x v="4"/>
    <x v="4783"/>
    <x v="96"/>
    <x v="0"/>
    <x v="0"/>
    <x v="10"/>
    <x v="401"/>
    <x v="14"/>
    <x v="253"/>
    <x v="13"/>
    <x v="0"/>
    <x v="427"/>
    <x v="0"/>
    <x v="4899"/>
  </r>
  <r>
    <x v="0"/>
    <x v="2302"/>
    <x v="429"/>
    <x v="59"/>
    <x v="0"/>
    <x v="403"/>
    <x v="856"/>
    <x v="3978"/>
    <x v="270"/>
    <x v="2002"/>
    <x v="2919"/>
    <x v="3406"/>
    <x v="4781"/>
    <x v="4721"/>
    <x v="3918"/>
    <x v="6"/>
    <x v="4651"/>
    <x v="4784"/>
    <x v="721"/>
    <x v="0"/>
    <x v="0"/>
    <x v="0"/>
    <x v="401"/>
    <x v="5"/>
    <x v="244"/>
    <x v="21"/>
    <x v="2"/>
    <x v="1"/>
    <x v="0"/>
    <x v="4900"/>
  </r>
  <r>
    <x v="0"/>
    <x v="906"/>
    <x v="447"/>
    <x v="55"/>
    <x v="64"/>
    <x v="805"/>
    <x v="0"/>
    <x v="3979"/>
    <x v="270"/>
    <x v="834"/>
    <x v="269"/>
    <x v="3407"/>
    <x v="4782"/>
    <x v="4722"/>
    <x v="3314"/>
    <x v="4"/>
    <x v="4"/>
    <x v="4785"/>
    <x v="896"/>
    <x v="0"/>
    <x v="0"/>
    <x v="4"/>
    <x v="401"/>
    <x v="3"/>
    <x v="30"/>
    <x v="12"/>
    <x v="1"/>
    <x v="774"/>
    <x v="0"/>
    <x v="4901"/>
  </r>
  <r>
    <x v="0"/>
    <x v="178"/>
    <x v="352"/>
    <x v="73"/>
    <x v="128"/>
    <x v="777"/>
    <x v="611"/>
    <x v="3980"/>
    <x v="105"/>
    <x v="2003"/>
    <x v="2920"/>
    <x v="3408"/>
    <x v="4783"/>
    <x v="4723"/>
    <x v="3919"/>
    <x v="0"/>
    <x v="4652"/>
    <x v="4786"/>
    <x v="684"/>
    <x v="15"/>
    <x v="8"/>
    <x v="10"/>
    <x v="4"/>
    <x v="5"/>
    <x v="658"/>
    <x v="2"/>
    <x v="1"/>
    <x v="43"/>
    <x v="0"/>
    <x v="4902"/>
  </r>
  <r>
    <x v="0"/>
    <x v="2303"/>
    <x v="329"/>
    <x v="33"/>
    <x v="174"/>
    <x v="568"/>
    <x v="806"/>
    <x v="3981"/>
    <x v="419"/>
    <x v="2004"/>
    <x v="2921"/>
    <x v="3409"/>
    <x v="4784"/>
    <x v="4724"/>
    <x v="3920"/>
    <x v="0"/>
    <x v="4653"/>
    <x v="4787"/>
    <x v="792"/>
    <x v="0"/>
    <x v="0"/>
    <x v="1"/>
    <x v="401"/>
    <x v="19"/>
    <x v="903"/>
    <x v="8"/>
    <x v="2"/>
    <x v="860"/>
    <x v="0"/>
    <x v="4903"/>
  </r>
  <r>
    <x v="0"/>
    <x v="2304"/>
    <x v="478"/>
    <x v="107"/>
    <x v="0"/>
    <x v="100"/>
    <x v="768"/>
    <x v="3982"/>
    <x v="881"/>
    <x v="2005"/>
    <x v="2922"/>
    <x v="3410"/>
    <x v="4785"/>
    <x v="4725"/>
    <x v="3921"/>
    <x v="3"/>
    <x v="4654"/>
    <x v="4788"/>
    <x v="188"/>
    <x v="0"/>
    <x v="0"/>
    <x v="0"/>
    <x v="401"/>
    <x v="8"/>
    <x v="909"/>
    <x v="7"/>
    <x v="2"/>
    <x v="285"/>
    <x v="0"/>
    <x v="4904"/>
  </r>
  <r>
    <x v="0"/>
    <x v="151"/>
    <x v="14"/>
    <x v="11"/>
    <x v="0"/>
    <x v="689"/>
    <x v="30"/>
    <x v="1584"/>
    <x v="168"/>
    <x v="50"/>
    <x v="1084"/>
    <x v="1279"/>
    <x v="1652"/>
    <x v="4726"/>
    <x v="1594"/>
    <x v="0"/>
    <x v="1641"/>
    <x v="1652"/>
    <x v="459"/>
    <x v="0"/>
    <x v="0"/>
    <x v="4"/>
    <x v="116"/>
    <x v="9"/>
    <x v="588"/>
    <x v="1"/>
    <x v="3"/>
    <x v="5"/>
    <x v="0"/>
    <x v="4905"/>
  </r>
  <r>
    <x v="0"/>
    <x v="2305"/>
    <x v="370"/>
    <x v="78"/>
    <x v="73"/>
    <x v="567"/>
    <x v="836"/>
    <x v="4"/>
    <x v="353"/>
    <x v="1939"/>
    <x v="2923"/>
    <x v="3411"/>
    <x v="4786"/>
    <x v="4727"/>
    <x v="3356"/>
    <x v="0"/>
    <x v="4655"/>
    <x v="4789"/>
    <x v="137"/>
    <x v="0"/>
    <x v="0"/>
    <x v="4"/>
    <x v="401"/>
    <x v="17"/>
    <x v="681"/>
    <x v="37"/>
    <x v="8"/>
    <x v="861"/>
    <x v="0"/>
    <x v="4906"/>
  </r>
  <r>
    <x v="0"/>
    <x v="1069"/>
    <x v="169"/>
    <x v="54"/>
    <x v="262"/>
    <x v="657"/>
    <x v="541"/>
    <x v="4"/>
    <x v="200"/>
    <x v="2006"/>
    <x v="2924"/>
    <x v="3412"/>
    <x v="4787"/>
    <x v="4728"/>
    <x v="1768"/>
    <x v="0"/>
    <x v="4656"/>
    <x v="4790"/>
    <x v="326"/>
    <x v="0"/>
    <x v="0"/>
    <x v="1"/>
    <x v="403"/>
    <x v="2"/>
    <x v="646"/>
    <x v="5"/>
    <x v="2"/>
    <x v="726"/>
    <x v="0"/>
    <x v="4907"/>
  </r>
  <r>
    <x v="0"/>
    <x v="921"/>
    <x v="372"/>
    <x v="50"/>
    <x v="216"/>
    <x v="906"/>
    <x v="857"/>
    <x v="4"/>
    <x v="321"/>
    <x v="2007"/>
    <x v="2925"/>
    <x v="3413"/>
    <x v="4788"/>
    <x v="4729"/>
    <x v="2264"/>
    <x v="0"/>
    <x v="4657"/>
    <x v="4791"/>
    <x v="636"/>
    <x v="0"/>
    <x v="0"/>
    <x v="0"/>
    <x v="185"/>
    <x v="5"/>
    <x v="186"/>
    <x v="65"/>
    <x v="1"/>
    <x v="1"/>
    <x v="0"/>
    <x v="4908"/>
  </r>
  <r>
    <x v="0"/>
    <x v="1342"/>
    <x v="197"/>
    <x v="95"/>
    <x v="330"/>
    <x v="729"/>
    <x v="98"/>
    <x v="3983"/>
    <x v="722"/>
    <x v="1566"/>
    <x v="2926"/>
    <x v="3414"/>
    <x v="4789"/>
    <x v="4730"/>
    <x v="2319"/>
    <x v="0"/>
    <x v="4658"/>
    <x v="4792"/>
    <x v="408"/>
    <x v="0"/>
    <x v="0"/>
    <x v="4"/>
    <x v="4"/>
    <x v="8"/>
    <x v="910"/>
    <x v="19"/>
    <x v="3"/>
    <x v="541"/>
    <x v="0"/>
    <x v="4909"/>
  </r>
  <r>
    <x v="0"/>
    <x v="2306"/>
    <x v="93"/>
    <x v="71"/>
    <x v="0"/>
    <x v="100"/>
    <x v="858"/>
    <x v="4"/>
    <x v="906"/>
    <x v="2008"/>
    <x v="2927"/>
    <x v="3415"/>
    <x v="4790"/>
    <x v="4619"/>
    <x v="2506"/>
    <x v="0"/>
    <x v="4"/>
    <x v="4793"/>
    <x v="326"/>
    <x v="0"/>
    <x v="0"/>
    <x v="1"/>
    <x v="4"/>
    <x v="11"/>
    <x v="332"/>
    <x v="2"/>
    <x v="2"/>
    <x v="862"/>
    <x v="0"/>
    <x v="4910"/>
  </r>
  <r>
    <x v="0"/>
    <x v="2307"/>
    <x v="441"/>
    <x v="189"/>
    <x v="308"/>
    <x v="298"/>
    <x v="668"/>
    <x v="4"/>
    <x v="4"/>
    <x v="2009"/>
    <x v="2928"/>
    <x v="3416"/>
    <x v="4791"/>
    <x v="4731"/>
    <x v="3922"/>
    <x v="0"/>
    <x v="4"/>
    <x v="4794"/>
    <x v="854"/>
    <x v="3"/>
    <x v="10"/>
    <x v="1"/>
    <x v="386"/>
    <x v="14"/>
    <x v="253"/>
    <x v="38"/>
    <x v="15"/>
    <x v="623"/>
    <x v="0"/>
    <x v="4911"/>
  </r>
  <r>
    <x v="1"/>
    <x v="2308"/>
    <x v="390"/>
    <x v="51"/>
    <x v="366"/>
    <x v="298"/>
    <x v="471"/>
    <x v="4"/>
    <x v="370"/>
    <x v="2010"/>
    <x v="2929"/>
    <x v="3417"/>
    <x v="4792"/>
    <x v="2989"/>
    <x v="2095"/>
    <x v="0"/>
    <x v="4659"/>
    <x v="4795"/>
    <x v="769"/>
    <x v="31"/>
    <x v="23"/>
    <x v="9"/>
    <x v="4"/>
    <x v="83"/>
    <x v="253"/>
    <x v="14"/>
    <x v="15"/>
    <x v="111"/>
    <x v="0"/>
    <x v="4912"/>
  </r>
  <r>
    <x v="0"/>
    <x v="2309"/>
    <x v="428"/>
    <x v="107"/>
    <x v="103"/>
    <x v="811"/>
    <x v="22"/>
    <x v="3984"/>
    <x v="105"/>
    <x v="23"/>
    <x v="1165"/>
    <x v="1925"/>
    <x v="4793"/>
    <x v="4732"/>
    <x v="3923"/>
    <x v="0"/>
    <x v="4660"/>
    <x v="4796"/>
    <x v="794"/>
    <x v="0"/>
    <x v="0"/>
    <x v="4"/>
    <x v="4"/>
    <x v="8"/>
    <x v="621"/>
    <x v="12"/>
    <x v="3"/>
    <x v="1"/>
    <x v="0"/>
    <x v="4913"/>
  </r>
  <r>
    <x v="0"/>
    <x v="2135"/>
    <x v="240"/>
    <x v="101"/>
    <x v="195"/>
    <x v="845"/>
    <x v="859"/>
    <x v="4"/>
    <x v="377"/>
    <x v="2011"/>
    <x v="2115"/>
    <x v="3418"/>
    <x v="4794"/>
    <x v="4733"/>
    <x v="3924"/>
    <x v="0"/>
    <x v="4661"/>
    <x v="4797"/>
    <x v="725"/>
    <x v="0"/>
    <x v="0"/>
    <x v="9"/>
    <x v="401"/>
    <x v="1"/>
    <x v="842"/>
    <x v="25"/>
    <x v="0"/>
    <x v="34"/>
    <x v="0"/>
    <x v="4914"/>
  </r>
  <r>
    <x v="0"/>
    <x v="2310"/>
    <x v="492"/>
    <x v="11"/>
    <x v="5"/>
    <x v="298"/>
    <x v="129"/>
    <x v="3985"/>
    <x v="835"/>
    <x v="2012"/>
    <x v="2930"/>
    <x v="3419"/>
    <x v="4795"/>
    <x v="4734"/>
    <x v="489"/>
    <x v="0"/>
    <x v="4662"/>
    <x v="4798"/>
    <x v="896"/>
    <x v="0"/>
    <x v="0"/>
    <x v="0"/>
    <x v="401"/>
    <x v="7"/>
    <x v="253"/>
    <x v="16"/>
    <x v="10"/>
    <x v="352"/>
    <x v="0"/>
    <x v="4915"/>
  </r>
  <r>
    <x v="0"/>
    <x v="2311"/>
    <x v="489"/>
    <x v="107"/>
    <x v="131"/>
    <x v="792"/>
    <x v="130"/>
    <x v="4"/>
    <x v="463"/>
    <x v="245"/>
    <x v="2931"/>
    <x v="3420"/>
    <x v="4796"/>
    <x v="4735"/>
    <x v="3925"/>
    <x v="1"/>
    <x v="4663"/>
    <x v="4799"/>
    <x v="646"/>
    <x v="0"/>
    <x v="0"/>
    <x v="1"/>
    <x v="401"/>
    <x v="14"/>
    <x v="613"/>
    <x v="13"/>
    <x v="8"/>
    <x v="366"/>
    <x v="0"/>
    <x v="4916"/>
  </r>
  <r>
    <x v="1"/>
    <x v="2312"/>
    <x v="429"/>
    <x v="71"/>
    <x v="0"/>
    <x v="738"/>
    <x v="852"/>
    <x v="4"/>
    <x v="907"/>
    <x v="2013"/>
    <x v="2932"/>
    <x v="3421"/>
    <x v="4797"/>
    <x v="98"/>
    <x v="3926"/>
    <x v="3"/>
    <x v="4664"/>
    <x v="4800"/>
    <x v="896"/>
    <x v="0"/>
    <x v="0"/>
    <x v="2"/>
    <x v="139"/>
    <x v="8"/>
    <x v="581"/>
    <x v="28"/>
    <x v="0"/>
    <x v="361"/>
    <x v="0"/>
    <x v="4917"/>
  </r>
  <r>
    <x v="0"/>
    <x v="2313"/>
    <x v="457"/>
    <x v="72"/>
    <x v="0"/>
    <x v="783"/>
    <x v="768"/>
    <x v="4"/>
    <x v="379"/>
    <x v="2014"/>
    <x v="2933"/>
    <x v="3422"/>
    <x v="4798"/>
    <x v="4706"/>
    <x v="3927"/>
    <x v="0"/>
    <x v="4"/>
    <x v="4801"/>
    <x v="326"/>
    <x v="0"/>
    <x v="0"/>
    <x v="1"/>
    <x v="401"/>
    <x v="3"/>
    <x v="776"/>
    <x v="10"/>
    <x v="2"/>
    <x v="673"/>
    <x v="0"/>
    <x v="4918"/>
  </r>
  <r>
    <x v="0"/>
    <x v="2314"/>
    <x v="465"/>
    <x v="41"/>
    <x v="0"/>
    <x v="503"/>
    <x v="706"/>
    <x v="4"/>
    <x v="211"/>
    <x v="2015"/>
    <x v="2934"/>
    <x v="755"/>
    <x v="4799"/>
    <x v="4639"/>
    <x v="3538"/>
    <x v="0"/>
    <x v="4"/>
    <x v="4802"/>
    <x v="326"/>
    <x v="0"/>
    <x v="0"/>
    <x v="1"/>
    <x v="4"/>
    <x v="11"/>
    <x v="534"/>
    <x v="22"/>
    <x v="2"/>
    <x v="863"/>
    <x v="0"/>
    <x v="4919"/>
  </r>
  <r>
    <x v="0"/>
    <x v="2315"/>
    <x v="320"/>
    <x v="50"/>
    <x v="0"/>
    <x v="661"/>
    <x v="176"/>
    <x v="4"/>
    <x v="270"/>
    <x v="498"/>
    <x v="2935"/>
    <x v="3423"/>
    <x v="4800"/>
    <x v="4609"/>
    <x v="732"/>
    <x v="1"/>
    <x v="4"/>
    <x v="4803"/>
    <x v="416"/>
    <x v="0"/>
    <x v="0"/>
    <x v="1"/>
    <x v="401"/>
    <x v="3"/>
    <x v="911"/>
    <x v="14"/>
    <x v="0"/>
    <x v="791"/>
    <x v="0"/>
    <x v="4920"/>
  </r>
  <r>
    <x v="0"/>
    <x v="2316"/>
    <x v="303"/>
    <x v="71"/>
    <x v="428"/>
    <x v="783"/>
    <x v="860"/>
    <x v="3986"/>
    <x v="463"/>
    <x v="2016"/>
    <x v="2936"/>
    <x v="3424"/>
    <x v="4801"/>
    <x v="2425"/>
    <x v="3928"/>
    <x v="0"/>
    <x v="4665"/>
    <x v="4804"/>
    <x v="140"/>
    <x v="44"/>
    <x v="44"/>
    <x v="2"/>
    <x v="410"/>
    <x v="13"/>
    <x v="213"/>
    <x v="3"/>
    <x v="3"/>
    <x v="1"/>
    <x v="0"/>
    <x v="4921"/>
  </r>
  <r>
    <x v="0"/>
    <x v="2317"/>
    <x v="262"/>
    <x v="55"/>
    <x v="3"/>
    <x v="305"/>
    <x v="719"/>
    <x v="3987"/>
    <x v="17"/>
    <x v="1510"/>
    <x v="2937"/>
    <x v="3425"/>
    <x v="4802"/>
    <x v="4736"/>
    <x v="1098"/>
    <x v="0"/>
    <x v="4666"/>
    <x v="4805"/>
    <x v="749"/>
    <x v="0"/>
    <x v="1"/>
    <x v="9"/>
    <x v="411"/>
    <x v="10"/>
    <x v="912"/>
    <x v="16"/>
    <x v="3"/>
    <x v="1"/>
    <x v="0"/>
    <x v="4922"/>
  </r>
  <r>
    <x v="1"/>
    <x v="437"/>
    <x v="396"/>
    <x v="76"/>
    <x v="0"/>
    <x v="490"/>
    <x v="184"/>
    <x v="3988"/>
    <x v="127"/>
    <x v="2017"/>
    <x v="2938"/>
    <x v="3426"/>
    <x v="4803"/>
    <x v="4737"/>
    <x v="2699"/>
    <x v="0"/>
    <x v="4667"/>
    <x v="4806"/>
    <x v="721"/>
    <x v="0"/>
    <x v="0"/>
    <x v="4"/>
    <x v="412"/>
    <x v="43"/>
    <x v="844"/>
    <x v="12"/>
    <x v="3"/>
    <x v="732"/>
    <x v="0"/>
    <x v="4923"/>
  </r>
  <r>
    <x v="0"/>
    <x v="2318"/>
    <x v="4"/>
    <x v="98"/>
    <x v="0"/>
    <x v="298"/>
    <x v="471"/>
    <x v="4"/>
    <x v="4"/>
    <x v="2018"/>
    <x v="2939"/>
    <x v="3427"/>
    <x v="4804"/>
    <x v="4372"/>
    <x v="2095"/>
    <x v="0"/>
    <x v="4"/>
    <x v="4807"/>
    <x v="326"/>
    <x v="0"/>
    <x v="0"/>
    <x v="1"/>
    <x v="410"/>
    <x v="11"/>
    <x v="253"/>
    <x v="50"/>
    <x v="2"/>
    <x v="536"/>
    <x v="0"/>
    <x v="4924"/>
  </r>
  <r>
    <x v="0"/>
    <x v="2319"/>
    <x v="451"/>
    <x v="27"/>
    <x v="0"/>
    <x v="298"/>
    <x v="471"/>
    <x v="4"/>
    <x v="270"/>
    <x v="2019"/>
    <x v="2940"/>
    <x v="3428"/>
    <x v="4805"/>
    <x v="4738"/>
    <x v="2095"/>
    <x v="1"/>
    <x v="4"/>
    <x v="4808"/>
    <x v="326"/>
    <x v="43"/>
    <x v="29"/>
    <x v="1"/>
    <x v="413"/>
    <x v="2"/>
    <x v="253"/>
    <x v="12"/>
    <x v="2"/>
    <x v="831"/>
    <x v="0"/>
    <x v="4925"/>
  </r>
  <r>
    <x v="0"/>
    <x v="2091"/>
    <x v="354"/>
    <x v="80"/>
    <x v="417"/>
    <x v="618"/>
    <x v="737"/>
    <x v="3989"/>
    <x v="377"/>
    <x v="2020"/>
    <x v="2941"/>
    <x v="3429"/>
    <x v="4806"/>
    <x v="4739"/>
    <x v="3929"/>
    <x v="1"/>
    <x v="4668"/>
    <x v="4809"/>
    <x v="658"/>
    <x v="0"/>
    <x v="0"/>
    <x v="0"/>
    <x v="344"/>
    <x v="10"/>
    <x v="360"/>
    <x v="15"/>
    <x v="3"/>
    <x v="90"/>
    <x v="0"/>
    <x v="4926"/>
  </r>
  <r>
    <x v="0"/>
    <x v="1874"/>
    <x v="422"/>
    <x v="26"/>
    <x v="125"/>
    <x v="99"/>
    <x v="35"/>
    <x v="4"/>
    <x v="582"/>
    <x v="507"/>
    <x v="1009"/>
    <x v="2902"/>
    <x v="4134"/>
    <x v="4114"/>
    <x v="3554"/>
    <x v="4"/>
    <x v="4069"/>
    <x v="4137"/>
    <x v="510"/>
    <x v="0"/>
    <x v="0"/>
    <x v="4"/>
    <x v="4"/>
    <x v="11"/>
    <x v="30"/>
    <x v="27"/>
    <x v="2"/>
    <x v="1"/>
    <x v="0"/>
    <x v="4927"/>
  </r>
  <r>
    <x v="0"/>
    <x v="2320"/>
    <x v="428"/>
    <x v="55"/>
    <x v="114"/>
    <x v="760"/>
    <x v="63"/>
    <x v="3990"/>
    <x v="168"/>
    <x v="848"/>
    <x v="1289"/>
    <x v="3430"/>
    <x v="4807"/>
    <x v="4740"/>
    <x v="3930"/>
    <x v="1"/>
    <x v="4669"/>
    <x v="4810"/>
    <x v="724"/>
    <x v="0"/>
    <x v="0"/>
    <x v="4"/>
    <x v="149"/>
    <x v="49"/>
    <x v="376"/>
    <x v="34"/>
    <x v="15"/>
    <x v="475"/>
    <x v="0"/>
    <x v="4928"/>
  </r>
  <r>
    <x v="0"/>
    <x v="2321"/>
    <x v="4"/>
    <x v="56"/>
    <x v="0"/>
    <x v="713"/>
    <x v="861"/>
    <x v="4"/>
    <x v="270"/>
    <x v="2021"/>
    <x v="2942"/>
    <x v="3431"/>
    <x v="4808"/>
    <x v="4"/>
    <x v="3931"/>
    <x v="3"/>
    <x v="4670"/>
    <x v="4811"/>
    <x v="4"/>
    <x v="0"/>
    <x v="0"/>
    <x v="1"/>
    <x v="401"/>
    <x v="11"/>
    <x v="659"/>
    <x v="15"/>
    <x v="2"/>
    <x v="864"/>
    <x v="0"/>
    <x v="4929"/>
  </r>
  <r>
    <x v="0"/>
    <x v="236"/>
    <x v="74"/>
    <x v="98"/>
    <x v="28"/>
    <x v="127"/>
    <x v="862"/>
    <x v="3991"/>
    <x v="105"/>
    <x v="2022"/>
    <x v="2943"/>
    <x v="510"/>
    <x v="4809"/>
    <x v="4741"/>
    <x v="3932"/>
    <x v="4"/>
    <x v="4671"/>
    <x v="4812"/>
    <x v="420"/>
    <x v="0"/>
    <x v="0"/>
    <x v="0"/>
    <x v="386"/>
    <x v="21"/>
    <x v="318"/>
    <x v="22"/>
    <x v="3"/>
    <x v="698"/>
    <x v="0"/>
    <x v="4930"/>
  </r>
  <r>
    <x v="0"/>
    <x v="1461"/>
    <x v="221"/>
    <x v="79"/>
    <x v="182"/>
    <x v="325"/>
    <x v="863"/>
    <x v="3992"/>
    <x v="484"/>
    <x v="2023"/>
    <x v="2944"/>
    <x v="3432"/>
    <x v="4810"/>
    <x v="4742"/>
    <x v="3933"/>
    <x v="0"/>
    <x v="4672"/>
    <x v="4813"/>
    <x v="166"/>
    <x v="0"/>
    <x v="25"/>
    <x v="4"/>
    <x v="410"/>
    <x v="1"/>
    <x v="745"/>
    <x v="0"/>
    <x v="3"/>
    <x v="18"/>
    <x v="0"/>
    <x v="4931"/>
  </r>
  <r>
    <x v="1"/>
    <x v="2322"/>
    <x v="465"/>
    <x v="76"/>
    <x v="125"/>
    <x v="708"/>
    <x v="198"/>
    <x v="3993"/>
    <x v="125"/>
    <x v="2024"/>
    <x v="2945"/>
    <x v="3433"/>
    <x v="4811"/>
    <x v="2760"/>
    <x v="3879"/>
    <x v="0"/>
    <x v="4673"/>
    <x v="4814"/>
    <x v="636"/>
    <x v="0"/>
    <x v="0"/>
    <x v="1"/>
    <x v="340"/>
    <x v="15"/>
    <x v="131"/>
    <x v="11"/>
    <x v="2"/>
    <x v="776"/>
    <x v="0"/>
    <x v="4932"/>
  </r>
  <r>
    <x v="0"/>
    <x v="2323"/>
    <x v="207"/>
    <x v="41"/>
    <x v="0"/>
    <x v="621"/>
    <x v="834"/>
    <x v="3994"/>
    <x v="4"/>
    <x v="2025"/>
    <x v="2946"/>
    <x v="3434"/>
    <x v="4812"/>
    <x v="4743"/>
    <x v="3934"/>
    <x v="0"/>
    <x v="4674"/>
    <x v="4815"/>
    <x v="561"/>
    <x v="0"/>
    <x v="0"/>
    <x v="10"/>
    <x v="402"/>
    <x v="0"/>
    <x v="556"/>
    <x v="38"/>
    <x v="3"/>
    <x v="1"/>
    <x v="0"/>
    <x v="4933"/>
  </r>
  <r>
    <x v="0"/>
    <x v="2324"/>
    <x v="402"/>
    <x v="107"/>
    <x v="85"/>
    <x v="656"/>
    <x v="792"/>
    <x v="4"/>
    <x v="429"/>
    <x v="2026"/>
    <x v="2947"/>
    <x v="3435"/>
    <x v="4813"/>
    <x v="4744"/>
    <x v="2704"/>
    <x v="0"/>
    <x v="4675"/>
    <x v="4816"/>
    <x v="788"/>
    <x v="0"/>
    <x v="1"/>
    <x v="1"/>
    <x v="4"/>
    <x v="3"/>
    <x v="575"/>
    <x v="28"/>
    <x v="1"/>
    <x v="1"/>
    <x v="0"/>
    <x v="4934"/>
  </r>
  <r>
    <x v="0"/>
    <x v="2325"/>
    <x v="412"/>
    <x v="42"/>
    <x v="0"/>
    <x v="502"/>
    <x v="592"/>
    <x v="4"/>
    <x v="258"/>
    <x v="2027"/>
    <x v="2948"/>
    <x v="3436"/>
    <x v="4814"/>
    <x v="4614"/>
    <x v="3935"/>
    <x v="0"/>
    <x v="4676"/>
    <x v="4817"/>
    <x v="326"/>
    <x v="0"/>
    <x v="0"/>
    <x v="0"/>
    <x v="4"/>
    <x v="2"/>
    <x v="721"/>
    <x v="1"/>
    <x v="2"/>
    <x v="865"/>
    <x v="0"/>
    <x v="4935"/>
  </r>
  <r>
    <x v="0"/>
    <x v="624"/>
    <x v="403"/>
    <x v="76"/>
    <x v="15"/>
    <x v="491"/>
    <x v="82"/>
    <x v="2966"/>
    <x v="381"/>
    <x v="858"/>
    <x v="1910"/>
    <x v="2278"/>
    <x v="3221"/>
    <x v="4745"/>
    <x v="2914"/>
    <x v="0"/>
    <x v="3186"/>
    <x v="3223"/>
    <x v="910"/>
    <x v="0"/>
    <x v="0"/>
    <x v="4"/>
    <x v="262"/>
    <x v="55"/>
    <x v="641"/>
    <x v="7"/>
    <x v="3"/>
    <x v="1"/>
    <x v="0"/>
    <x v="4936"/>
  </r>
  <r>
    <x v="0"/>
    <x v="2326"/>
    <x v="425"/>
    <x v="111"/>
    <x v="151"/>
    <x v="783"/>
    <x v="76"/>
    <x v="4"/>
    <x v="233"/>
    <x v="2028"/>
    <x v="2949"/>
    <x v="3437"/>
    <x v="4815"/>
    <x v="4746"/>
    <x v="3650"/>
    <x v="0"/>
    <x v="4677"/>
    <x v="4818"/>
    <x v="189"/>
    <x v="0"/>
    <x v="0"/>
    <x v="8"/>
    <x v="386"/>
    <x v="52"/>
    <x v="721"/>
    <x v="26"/>
    <x v="8"/>
    <x v="1"/>
    <x v="0"/>
    <x v="4937"/>
  </r>
  <r>
    <x v="0"/>
    <x v="2327"/>
    <x v="451"/>
    <x v="151"/>
    <x v="0"/>
    <x v="298"/>
    <x v="471"/>
    <x v="3995"/>
    <x v="908"/>
    <x v="2029"/>
    <x v="2950"/>
    <x v="3438"/>
    <x v="4816"/>
    <x v="4747"/>
    <x v="2095"/>
    <x v="0"/>
    <x v="4"/>
    <x v="4819"/>
    <x v="188"/>
    <x v="0"/>
    <x v="0"/>
    <x v="1"/>
    <x v="386"/>
    <x v="2"/>
    <x v="253"/>
    <x v="15"/>
    <x v="2"/>
    <x v="355"/>
    <x v="0"/>
    <x v="4938"/>
  </r>
  <r>
    <x v="1"/>
    <x v="2328"/>
    <x v="441"/>
    <x v="180"/>
    <x v="198"/>
    <x v="336"/>
    <x v="653"/>
    <x v="4"/>
    <x v="4"/>
    <x v="2030"/>
    <x v="2951"/>
    <x v="3439"/>
    <x v="4817"/>
    <x v="4748"/>
    <x v="3936"/>
    <x v="0"/>
    <x v="4678"/>
    <x v="4820"/>
    <x v="561"/>
    <x v="0"/>
    <x v="0"/>
    <x v="1"/>
    <x v="386"/>
    <x v="9"/>
    <x v="692"/>
    <x v="43"/>
    <x v="2"/>
    <x v="664"/>
    <x v="0"/>
    <x v="4939"/>
  </r>
  <r>
    <x v="0"/>
    <x v="2329"/>
    <x v="465"/>
    <x v="110"/>
    <x v="0"/>
    <x v="298"/>
    <x v="471"/>
    <x v="3996"/>
    <x v="4"/>
    <x v="2031"/>
    <x v="2952"/>
    <x v="3440"/>
    <x v="4818"/>
    <x v="4749"/>
    <x v="2095"/>
    <x v="0"/>
    <x v="4"/>
    <x v="4821"/>
    <x v="188"/>
    <x v="0"/>
    <x v="0"/>
    <x v="1"/>
    <x v="386"/>
    <x v="11"/>
    <x v="253"/>
    <x v="1"/>
    <x v="2"/>
    <x v="473"/>
    <x v="0"/>
    <x v="4940"/>
  </r>
  <r>
    <x v="0"/>
    <x v="942"/>
    <x v="361"/>
    <x v="43"/>
    <x v="325"/>
    <x v="736"/>
    <x v="474"/>
    <x v="3997"/>
    <x v="4"/>
    <x v="1250"/>
    <x v="2953"/>
    <x v="3441"/>
    <x v="4819"/>
    <x v="4750"/>
    <x v="3937"/>
    <x v="0"/>
    <x v="4679"/>
    <x v="4822"/>
    <x v="431"/>
    <x v="0"/>
    <x v="0"/>
    <x v="4"/>
    <x v="402"/>
    <x v="30"/>
    <x v="448"/>
    <x v="7"/>
    <x v="10"/>
    <x v="866"/>
    <x v="0"/>
    <x v="4941"/>
  </r>
  <r>
    <x v="0"/>
    <x v="1218"/>
    <x v="335"/>
    <x v="41"/>
    <x v="351"/>
    <x v="306"/>
    <x v="56"/>
    <x v="4"/>
    <x v="560"/>
    <x v="98"/>
    <x v="225"/>
    <x v="478"/>
    <x v="2855"/>
    <x v="2848"/>
    <x v="2622"/>
    <x v="1"/>
    <x v="2828"/>
    <x v="2855"/>
    <x v="170"/>
    <x v="0"/>
    <x v="0"/>
    <x v="4"/>
    <x v="135"/>
    <x v="26"/>
    <x v="153"/>
    <x v="9"/>
    <x v="3"/>
    <x v="1"/>
    <x v="0"/>
    <x v="4942"/>
  </r>
  <r>
    <x v="0"/>
    <x v="2330"/>
    <x v="320"/>
    <x v="71"/>
    <x v="0"/>
    <x v="294"/>
    <x v="823"/>
    <x v="4"/>
    <x v="270"/>
    <x v="2032"/>
    <x v="2954"/>
    <x v="3442"/>
    <x v="4820"/>
    <x v="4751"/>
    <x v="3938"/>
    <x v="0"/>
    <x v="4680"/>
    <x v="4823"/>
    <x v="416"/>
    <x v="0"/>
    <x v="0"/>
    <x v="4"/>
    <x v="414"/>
    <x v="11"/>
    <x v="913"/>
    <x v="13"/>
    <x v="2"/>
    <x v="857"/>
    <x v="0"/>
    <x v="4943"/>
  </r>
  <r>
    <x v="0"/>
    <x v="1534"/>
    <x v="243"/>
    <x v="79"/>
    <x v="12"/>
    <x v="624"/>
    <x v="761"/>
    <x v="3998"/>
    <x v="178"/>
    <x v="2033"/>
    <x v="2484"/>
    <x v="3443"/>
    <x v="4821"/>
    <x v="4752"/>
    <x v="3939"/>
    <x v="0"/>
    <x v="4681"/>
    <x v="4824"/>
    <x v="212"/>
    <x v="0"/>
    <x v="0"/>
    <x v="4"/>
    <x v="4"/>
    <x v="10"/>
    <x v="39"/>
    <x v="10"/>
    <x v="3"/>
    <x v="1"/>
    <x v="0"/>
    <x v="4944"/>
  </r>
  <r>
    <x v="0"/>
    <x v="2331"/>
    <x v="4"/>
    <x v="190"/>
    <x v="38"/>
    <x v="4"/>
    <x v="790"/>
    <x v="4"/>
    <x v="909"/>
    <x v="1763"/>
    <x v="217"/>
    <x v="4"/>
    <x v="4822"/>
    <x v="2313"/>
    <x v="2095"/>
    <x v="1"/>
    <x v="4682"/>
    <x v="4825"/>
    <x v="4"/>
    <x v="32"/>
    <x v="63"/>
    <x v="1"/>
    <x v="414"/>
    <x v="9"/>
    <x v="147"/>
    <x v="17"/>
    <x v="2"/>
    <x v="730"/>
    <x v="0"/>
    <x v="4945"/>
  </r>
  <r>
    <x v="0"/>
    <x v="2332"/>
    <x v="329"/>
    <x v="78"/>
    <x v="0"/>
    <x v="4"/>
    <x v="790"/>
    <x v="4"/>
    <x v="837"/>
    <x v="1763"/>
    <x v="217"/>
    <x v="4"/>
    <x v="4823"/>
    <x v="2320"/>
    <x v="2095"/>
    <x v="1"/>
    <x v="4683"/>
    <x v="4826"/>
    <x v="791"/>
    <x v="0"/>
    <x v="0"/>
    <x v="1"/>
    <x v="411"/>
    <x v="12"/>
    <x v="147"/>
    <x v="4"/>
    <x v="10"/>
    <x v="751"/>
    <x v="0"/>
    <x v="4946"/>
  </r>
  <r>
    <x v="0"/>
    <x v="2333"/>
    <x v="380"/>
    <x v="78"/>
    <x v="283"/>
    <x v="777"/>
    <x v="864"/>
    <x v="3999"/>
    <x v="200"/>
    <x v="2034"/>
    <x v="2955"/>
    <x v="3444"/>
    <x v="4824"/>
    <x v="4753"/>
    <x v="3940"/>
    <x v="4"/>
    <x v="4684"/>
    <x v="4827"/>
    <x v="496"/>
    <x v="0"/>
    <x v="0"/>
    <x v="4"/>
    <x v="414"/>
    <x v="10"/>
    <x v="667"/>
    <x v="10"/>
    <x v="2"/>
    <x v="67"/>
    <x v="0"/>
    <x v="4947"/>
  </r>
  <r>
    <x v="0"/>
    <x v="2334"/>
    <x v="4"/>
    <x v="4"/>
    <x v="0"/>
    <x v="4"/>
    <x v="498"/>
    <x v="4"/>
    <x v="822"/>
    <x v="2035"/>
    <x v="2956"/>
    <x v="4"/>
    <x v="4825"/>
    <x v="3539"/>
    <x v="3456"/>
    <x v="4"/>
    <x v="4"/>
    <x v="4828"/>
    <x v="4"/>
    <x v="0"/>
    <x v="0"/>
    <x v="0"/>
    <x v="414"/>
    <x v="2"/>
    <x v="253"/>
    <x v="37"/>
    <x v="2"/>
    <x v="1"/>
    <x v="0"/>
    <x v="4948"/>
  </r>
  <r>
    <x v="0"/>
    <x v="2335"/>
    <x v="385"/>
    <x v="76"/>
    <x v="429"/>
    <x v="417"/>
    <x v="201"/>
    <x v="4"/>
    <x v="125"/>
    <x v="379"/>
    <x v="1101"/>
    <x v="3445"/>
    <x v="4826"/>
    <x v="4754"/>
    <x v="3941"/>
    <x v="4"/>
    <x v="4685"/>
    <x v="4829"/>
    <x v="835"/>
    <x v="0"/>
    <x v="4"/>
    <x v="1"/>
    <x v="411"/>
    <x v="1"/>
    <x v="594"/>
    <x v="15"/>
    <x v="0"/>
    <x v="351"/>
    <x v="0"/>
    <x v="4949"/>
  </r>
  <r>
    <x v="0"/>
    <x v="2335"/>
    <x v="385"/>
    <x v="76"/>
    <x v="429"/>
    <x v="417"/>
    <x v="201"/>
    <x v="4"/>
    <x v="125"/>
    <x v="379"/>
    <x v="1101"/>
    <x v="3445"/>
    <x v="4826"/>
    <x v="4754"/>
    <x v="3941"/>
    <x v="4"/>
    <x v="4685"/>
    <x v="4829"/>
    <x v="835"/>
    <x v="0"/>
    <x v="4"/>
    <x v="1"/>
    <x v="411"/>
    <x v="1"/>
    <x v="594"/>
    <x v="15"/>
    <x v="0"/>
    <x v="351"/>
    <x v="0"/>
    <x v="4950"/>
  </r>
  <r>
    <x v="1"/>
    <x v="233"/>
    <x v="62"/>
    <x v="45"/>
    <x v="0"/>
    <x v="149"/>
    <x v="469"/>
    <x v="4"/>
    <x v="791"/>
    <x v="1479"/>
    <x v="2253"/>
    <x v="2665"/>
    <x v="3814"/>
    <x v="3798"/>
    <x v="3359"/>
    <x v="7"/>
    <x v="3761"/>
    <x v="3817"/>
    <x v="830"/>
    <x v="0"/>
    <x v="0"/>
    <x v="10"/>
    <x v="308"/>
    <x v="38"/>
    <x v="450"/>
    <x v="25"/>
    <x v="3"/>
    <x v="1"/>
    <x v="0"/>
    <x v="4951"/>
  </r>
  <r>
    <x v="1"/>
    <x v="2258"/>
    <x v="413"/>
    <x v="50"/>
    <x v="0"/>
    <x v="531"/>
    <x v="795"/>
    <x v="4"/>
    <x v="270"/>
    <x v="2036"/>
    <x v="2957"/>
    <x v="3446"/>
    <x v="4827"/>
    <x v="4755"/>
    <x v="3922"/>
    <x v="0"/>
    <x v="4686"/>
    <x v="4830"/>
    <x v="896"/>
    <x v="3"/>
    <x v="10"/>
    <x v="1"/>
    <x v="411"/>
    <x v="53"/>
    <x v="420"/>
    <x v="38"/>
    <x v="15"/>
    <x v="342"/>
    <x v="0"/>
    <x v="4952"/>
  </r>
  <r>
    <x v="0"/>
    <x v="2336"/>
    <x v="152"/>
    <x v="60"/>
    <x v="430"/>
    <x v="369"/>
    <x v="618"/>
    <x v="4"/>
    <x v="113"/>
    <x v="2037"/>
    <x v="586"/>
    <x v="1284"/>
    <x v="4828"/>
    <x v="4756"/>
    <x v="1717"/>
    <x v="1"/>
    <x v="4"/>
    <x v="4831"/>
    <x v="824"/>
    <x v="0"/>
    <x v="0"/>
    <x v="4"/>
    <x v="70"/>
    <x v="6"/>
    <x v="335"/>
    <x v="28"/>
    <x v="1"/>
    <x v="1"/>
    <x v="0"/>
    <x v="4953"/>
  </r>
  <r>
    <x v="0"/>
    <x v="2337"/>
    <x v="93"/>
    <x v="91"/>
    <x v="143"/>
    <x v="691"/>
    <x v="663"/>
    <x v="4"/>
    <x v="125"/>
    <x v="2038"/>
    <x v="2685"/>
    <x v="3447"/>
    <x v="4829"/>
    <x v="4757"/>
    <x v="3847"/>
    <x v="0"/>
    <x v="4687"/>
    <x v="4832"/>
    <x v="685"/>
    <x v="0"/>
    <x v="0"/>
    <x v="1"/>
    <x v="415"/>
    <x v="17"/>
    <x v="479"/>
    <x v="20"/>
    <x v="2"/>
    <x v="1"/>
    <x v="0"/>
    <x v="4954"/>
  </r>
  <r>
    <x v="0"/>
    <x v="1896"/>
    <x v="308"/>
    <x v="70"/>
    <x v="409"/>
    <x v="636"/>
    <x v="702"/>
    <x v="4000"/>
    <x v="291"/>
    <x v="1463"/>
    <x v="2958"/>
    <x v="3448"/>
    <x v="4830"/>
    <x v="1464"/>
    <x v="3397"/>
    <x v="0"/>
    <x v="4688"/>
    <x v="4833"/>
    <x v="696"/>
    <x v="0"/>
    <x v="0"/>
    <x v="2"/>
    <x v="344"/>
    <x v="7"/>
    <x v="38"/>
    <x v="10"/>
    <x v="3"/>
    <x v="1"/>
    <x v="0"/>
    <x v="4955"/>
  </r>
  <r>
    <x v="0"/>
    <x v="2338"/>
    <x v="171"/>
    <x v="113"/>
    <x v="221"/>
    <x v="321"/>
    <x v="608"/>
    <x v="4001"/>
    <x v="381"/>
    <x v="2039"/>
    <x v="2959"/>
    <x v="3449"/>
    <x v="4831"/>
    <x v="4758"/>
    <x v="3942"/>
    <x v="0"/>
    <x v="4689"/>
    <x v="4834"/>
    <x v="549"/>
    <x v="0"/>
    <x v="0"/>
    <x v="4"/>
    <x v="344"/>
    <x v="2"/>
    <x v="383"/>
    <x v="39"/>
    <x v="3"/>
    <x v="1"/>
    <x v="0"/>
    <x v="4956"/>
  </r>
  <r>
    <x v="1"/>
    <x v="507"/>
    <x v="194"/>
    <x v="71"/>
    <x v="0"/>
    <x v="817"/>
    <x v="725"/>
    <x v="4"/>
    <x v="712"/>
    <x v="2040"/>
    <x v="2960"/>
    <x v="3450"/>
    <x v="4832"/>
    <x v="4759"/>
    <x v="3370"/>
    <x v="1"/>
    <x v="4690"/>
    <x v="4835"/>
    <x v="391"/>
    <x v="0"/>
    <x v="0"/>
    <x v="10"/>
    <x v="416"/>
    <x v="47"/>
    <x v="877"/>
    <x v="38"/>
    <x v="15"/>
    <x v="1"/>
    <x v="0"/>
    <x v="4957"/>
  </r>
  <r>
    <x v="1"/>
    <x v="2339"/>
    <x v="93"/>
    <x v="47"/>
    <x v="0"/>
    <x v="298"/>
    <x v="129"/>
    <x v="3546"/>
    <x v="152"/>
    <x v="2041"/>
    <x v="2961"/>
    <x v="3451"/>
    <x v="4833"/>
    <x v="4546"/>
    <x v="1701"/>
    <x v="1"/>
    <x v="4691"/>
    <x v="4836"/>
    <x v="326"/>
    <x v="1"/>
    <x v="0"/>
    <x v="1"/>
    <x v="344"/>
    <x v="91"/>
    <x v="556"/>
    <x v="30"/>
    <x v="8"/>
    <x v="1"/>
    <x v="0"/>
    <x v="4958"/>
  </r>
  <r>
    <x v="0"/>
    <x v="2340"/>
    <x v="152"/>
    <x v="113"/>
    <x v="431"/>
    <x v="489"/>
    <x v="554"/>
    <x v="4002"/>
    <x v="125"/>
    <x v="2042"/>
    <x v="2962"/>
    <x v="2556"/>
    <x v="4834"/>
    <x v="4760"/>
    <x v="3716"/>
    <x v="1"/>
    <x v="4692"/>
    <x v="4837"/>
    <x v="646"/>
    <x v="0"/>
    <x v="0"/>
    <x v="4"/>
    <x v="344"/>
    <x v="42"/>
    <x v="504"/>
    <x v="15"/>
    <x v="3"/>
    <x v="278"/>
    <x v="0"/>
    <x v="4959"/>
  </r>
  <r>
    <x v="0"/>
    <x v="163"/>
    <x v="394"/>
    <x v="7"/>
    <x v="80"/>
    <x v="678"/>
    <x v="0"/>
    <x v="4003"/>
    <x v="200"/>
    <x v="1028"/>
    <x v="2439"/>
    <x v="1232"/>
    <x v="4835"/>
    <x v="4761"/>
    <x v="3943"/>
    <x v="2"/>
    <x v="4693"/>
    <x v="4838"/>
    <x v="277"/>
    <x v="0"/>
    <x v="0"/>
    <x v="0"/>
    <x v="4"/>
    <x v="20"/>
    <x v="199"/>
    <x v="11"/>
    <x v="3"/>
    <x v="1"/>
    <x v="0"/>
    <x v="4960"/>
  </r>
  <r>
    <x v="0"/>
    <x v="2341"/>
    <x v="430"/>
    <x v="77"/>
    <x v="134"/>
    <x v="567"/>
    <x v="539"/>
    <x v="4"/>
    <x v="509"/>
    <x v="2043"/>
    <x v="2963"/>
    <x v="3452"/>
    <x v="4836"/>
    <x v="4762"/>
    <x v="3558"/>
    <x v="4"/>
    <x v="4694"/>
    <x v="4839"/>
    <x v="896"/>
    <x v="0"/>
    <x v="0"/>
    <x v="4"/>
    <x v="344"/>
    <x v="28"/>
    <x v="893"/>
    <x v="27"/>
    <x v="3"/>
    <x v="485"/>
    <x v="0"/>
    <x v="4961"/>
  </r>
  <r>
    <x v="1"/>
    <x v="2342"/>
    <x v="343"/>
    <x v="78"/>
    <x v="28"/>
    <x v="149"/>
    <x v="865"/>
    <x v="4004"/>
    <x v="658"/>
    <x v="2044"/>
    <x v="2964"/>
    <x v="3453"/>
    <x v="4837"/>
    <x v="4763"/>
    <x v="3944"/>
    <x v="1"/>
    <x v="4695"/>
    <x v="4840"/>
    <x v="173"/>
    <x v="0"/>
    <x v="0"/>
    <x v="2"/>
    <x v="417"/>
    <x v="18"/>
    <x v="699"/>
    <x v="15"/>
    <x v="3"/>
    <x v="1"/>
    <x v="0"/>
    <x v="4962"/>
  </r>
  <r>
    <x v="0"/>
    <x v="2343"/>
    <x v="412"/>
    <x v="87"/>
    <x v="143"/>
    <x v="570"/>
    <x v="866"/>
    <x v="4"/>
    <x v="784"/>
    <x v="2045"/>
    <x v="2965"/>
    <x v="3454"/>
    <x v="4838"/>
    <x v="4764"/>
    <x v="2545"/>
    <x v="0"/>
    <x v="4"/>
    <x v="4841"/>
    <x v="854"/>
    <x v="0"/>
    <x v="0"/>
    <x v="2"/>
    <x v="416"/>
    <x v="11"/>
    <x v="685"/>
    <x v="75"/>
    <x v="3"/>
    <x v="852"/>
    <x v="0"/>
    <x v="4963"/>
  </r>
  <r>
    <x v="0"/>
    <x v="2344"/>
    <x v="229"/>
    <x v="76"/>
    <x v="221"/>
    <x v="253"/>
    <x v="22"/>
    <x v="4005"/>
    <x v="910"/>
    <x v="1736"/>
    <x v="348"/>
    <x v="3455"/>
    <x v="4839"/>
    <x v="4765"/>
    <x v="2026"/>
    <x v="3"/>
    <x v="4696"/>
    <x v="4842"/>
    <x v="802"/>
    <x v="0"/>
    <x v="0"/>
    <x v="9"/>
    <x v="401"/>
    <x v="9"/>
    <x v="233"/>
    <x v="2"/>
    <x v="1"/>
    <x v="1"/>
    <x v="0"/>
    <x v="4964"/>
  </r>
  <r>
    <x v="0"/>
    <x v="2345"/>
    <x v="401"/>
    <x v="33"/>
    <x v="0"/>
    <x v="298"/>
    <x v="471"/>
    <x v="4"/>
    <x v="4"/>
    <x v="2046"/>
    <x v="2966"/>
    <x v="3456"/>
    <x v="4840"/>
    <x v="4766"/>
    <x v="2095"/>
    <x v="0"/>
    <x v="4697"/>
    <x v="4843"/>
    <x v="790"/>
    <x v="0"/>
    <x v="4"/>
    <x v="9"/>
    <x v="344"/>
    <x v="3"/>
    <x v="253"/>
    <x v="16"/>
    <x v="12"/>
    <x v="1"/>
    <x v="0"/>
    <x v="4965"/>
  </r>
  <r>
    <x v="0"/>
    <x v="2346"/>
    <x v="258"/>
    <x v="110"/>
    <x v="221"/>
    <x v="36"/>
    <x v="427"/>
    <x v="4"/>
    <x v="582"/>
    <x v="1223"/>
    <x v="2967"/>
    <x v="44"/>
    <x v="4841"/>
    <x v="4767"/>
    <x v="3945"/>
    <x v="1"/>
    <x v="4698"/>
    <x v="4844"/>
    <x v="704"/>
    <x v="0"/>
    <x v="1"/>
    <x v="4"/>
    <x v="164"/>
    <x v="1"/>
    <x v="452"/>
    <x v="23"/>
    <x v="3"/>
    <x v="352"/>
    <x v="0"/>
    <x v="4966"/>
  </r>
  <r>
    <x v="1"/>
    <x v="2347"/>
    <x v="93"/>
    <x v="153"/>
    <x v="216"/>
    <x v="503"/>
    <x v="198"/>
    <x v="4"/>
    <x v="152"/>
    <x v="2047"/>
    <x v="2968"/>
    <x v="3457"/>
    <x v="4842"/>
    <x v="3871"/>
    <x v="3946"/>
    <x v="3"/>
    <x v="4699"/>
    <x v="4845"/>
    <x v="561"/>
    <x v="0"/>
    <x v="0"/>
    <x v="11"/>
    <x v="4"/>
    <x v="74"/>
    <x v="678"/>
    <x v="1"/>
    <x v="15"/>
    <x v="761"/>
    <x v="0"/>
    <x v="4967"/>
  </r>
  <r>
    <x v="0"/>
    <x v="2348"/>
    <x v="451"/>
    <x v="113"/>
    <x v="0"/>
    <x v="567"/>
    <x v="222"/>
    <x v="4"/>
    <x v="102"/>
    <x v="2048"/>
    <x v="2969"/>
    <x v="3458"/>
    <x v="4843"/>
    <x v="4356"/>
    <x v="3947"/>
    <x v="4"/>
    <x v="4700"/>
    <x v="4846"/>
    <x v="326"/>
    <x v="0"/>
    <x v="0"/>
    <x v="1"/>
    <x v="344"/>
    <x v="9"/>
    <x v="332"/>
    <x v="57"/>
    <x v="0"/>
    <x v="810"/>
    <x v="0"/>
    <x v="4968"/>
  </r>
  <r>
    <x v="0"/>
    <x v="2349"/>
    <x v="369"/>
    <x v="11"/>
    <x v="85"/>
    <x v="170"/>
    <x v="410"/>
    <x v="4"/>
    <x v="444"/>
    <x v="1940"/>
    <x v="2970"/>
    <x v="3459"/>
    <x v="4844"/>
    <x v="4132"/>
    <x v="3948"/>
    <x v="1"/>
    <x v="4701"/>
    <x v="4847"/>
    <x v="786"/>
    <x v="0"/>
    <x v="0"/>
    <x v="16"/>
    <x v="4"/>
    <x v="49"/>
    <x v="561"/>
    <x v="2"/>
    <x v="2"/>
    <x v="864"/>
    <x v="0"/>
    <x v="4969"/>
  </r>
  <r>
    <x v="0"/>
    <x v="2350"/>
    <x v="451"/>
    <x v="91"/>
    <x v="0"/>
    <x v="298"/>
    <x v="424"/>
    <x v="4"/>
    <x v="865"/>
    <x v="2049"/>
    <x v="2971"/>
    <x v="3460"/>
    <x v="4845"/>
    <x v="2705"/>
    <x v="3949"/>
    <x v="0"/>
    <x v="4702"/>
    <x v="4848"/>
    <x v="326"/>
    <x v="0"/>
    <x v="0"/>
    <x v="10"/>
    <x v="344"/>
    <x v="11"/>
    <x v="253"/>
    <x v="32"/>
    <x v="0"/>
    <x v="771"/>
    <x v="0"/>
    <x v="4970"/>
  </r>
  <r>
    <x v="0"/>
    <x v="1096"/>
    <x v="330"/>
    <x v="37"/>
    <x v="195"/>
    <x v="611"/>
    <x v="207"/>
    <x v="2437"/>
    <x v="444"/>
    <x v="1022"/>
    <x v="347"/>
    <x v="1897"/>
    <x v="2608"/>
    <x v="4768"/>
    <x v="2420"/>
    <x v="0"/>
    <x v="2587"/>
    <x v="2608"/>
    <x v="491"/>
    <x v="0"/>
    <x v="0"/>
    <x v="4"/>
    <x v="159"/>
    <x v="0"/>
    <x v="232"/>
    <x v="4"/>
    <x v="3"/>
    <x v="1"/>
    <x v="0"/>
    <x v="4971"/>
  </r>
  <r>
    <x v="0"/>
    <x v="2351"/>
    <x v="441"/>
    <x v="110"/>
    <x v="221"/>
    <x v="298"/>
    <x v="536"/>
    <x v="4"/>
    <x v="4"/>
    <x v="1372"/>
    <x v="2972"/>
    <x v="3461"/>
    <x v="4846"/>
    <x v="4769"/>
    <x v="3950"/>
    <x v="3"/>
    <x v="4703"/>
    <x v="4849"/>
    <x v="96"/>
    <x v="0"/>
    <x v="0"/>
    <x v="1"/>
    <x v="418"/>
    <x v="14"/>
    <x v="253"/>
    <x v="24"/>
    <x v="2"/>
    <x v="444"/>
    <x v="0"/>
    <x v="4972"/>
  </r>
  <r>
    <x v="1"/>
    <x v="121"/>
    <x v="291"/>
    <x v="95"/>
    <x v="0"/>
    <x v="475"/>
    <x v="0"/>
    <x v="4006"/>
    <x v="150"/>
    <x v="441"/>
    <x v="2973"/>
    <x v="3462"/>
    <x v="4847"/>
    <x v="4770"/>
    <x v="3951"/>
    <x v="0"/>
    <x v="4704"/>
    <x v="4850"/>
    <x v="954"/>
    <x v="0"/>
    <x v="0"/>
    <x v="4"/>
    <x v="382"/>
    <x v="20"/>
    <x v="424"/>
    <x v="7"/>
    <x v="10"/>
    <x v="4"/>
    <x v="0"/>
    <x v="4973"/>
  </r>
  <r>
    <x v="0"/>
    <x v="2352"/>
    <x v="451"/>
    <x v="107"/>
    <x v="69"/>
    <x v="240"/>
    <x v="867"/>
    <x v="4007"/>
    <x v="127"/>
    <x v="2050"/>
    <x v="2974"/>
    <x v="3463"/>
    <x v="4848"/>
    <x v="4771"/>
    <x v="3648"/>
    <x v="1"/>
    <x v="4705"/>
    <x v="4851"/>
    <x v="83"/>
    <x v="0"/>
    <x v="0"/>
    <x v="4"/>
    <x v="4"/>
    <x v="13"/>
    <x v="914"/>
    <x v="28"/>
    <x v="2"/>
    <x v="629"/>
    <x v="0"/>
    <x v="4974"/>
  </r>
  <r>
    <x v="0"/>
    <x v="2353"/>
    <x v="424"/>
    <x v="101"/>
    <x v="0"/>
    <x v="772"/>
    <x v="0"/>
    <x v="4008"/>
    <x v="465"/>
    <x v="227"/>
    <x v="2975"/>
    <x v="3464"/>
    <x v="4849"/>
    <x v="4772"/>
    <x v="3607"/>
    <x v="0"/>
    <x v="4706"/>
    <x v="4852"/>
    <x v="536"/>
    <x v="0"/>
    <x v="0"/>
    <x v="4"/>
    <x v="382"/>
    <x v="20"/>
    <x v="423"/>
    <x v="43"/>
    <x v="3"/>
    <x v="427"/>
    <x v="0"/>
    <x v="4975"/>
  </r>
  <r>
    <x v="0"/>
    <x v="2354"/>
    <x v="465"/>
    <x v="110"/>
    <x v="143"/>
    <x v="708"/>
    <x v="868"/>
    <x v="4"/>
    <x v="222"/>
    <x v="2051"/>
    <x v="2976"/>
    <x v="3465"/>
    <x v="4850"/>
    <x v="4725"/>
    <x v="3952"/>
    <x v="0"/>
    <x v="4"/>
    <x v="4853"/>
    <x v="684"/>
    <x v="0"/>
    <x v="0"/>
    <x v="1"/>
    <x v="419"/>
    <x v="2"/>
    <x v="562"/>
    <x v="33"/>
    <x v="2"/>
    <x v="831"/>
    <x v="0"/>
    <x v="4976"/>
  </r>
  <r>
    <x v="0"/>
    <x v="1323"/>
    <x v="229"/>
    <x v="7"/>
    <x v="36"/>
    <x v="298"/>
    <x v="471"/>
    <x v="4009"/>
    <x v="911"/>
    <x v="2052"/>
    <x v="2977"/>
    <x v="3466"/>
    <x v="4851"/>
    <x v="4773"/>
    <x v="2095"/>
    <x v="4"/>
    <x v="4707"/>
    <x v="4854"/>
    <x v="825"/>
    <x v="0"/>
    <x v="0"/>
    <x v="2"/>
    <x v="420"/>
    <x v="14"/>
    <x v="253"/>
    <x v="11"/>
    <x v="0"/>
    <x v="1"/>
    <x v="0"/>
    <x v="4977"/>
  </r>
  <r>
    <x v="0"/>
    <x v="2355"/>
    <x v="240"/>
    <x v="87"/>
    <x v="211"/>
    <x v="898"/>
    <x v="193"/>
    <x v="4010"/>
    <x v="125"/>
    <x v="360"/>
    <x v="2978"/>
    <x v="3467"/>
    <x v="4852"/>
    <x v="4774"/>
    <x v="3953"/>
    <x v="0"/>
    <x v="4708"/>
    <x v="4855"/>
    <x v="636"/>
    <x v="0"/>
    <x v="0"/>
    <x v="4"/>
    <x v="382"/>
    <x v="10"/>
    <x v="845"/>
    <x v="23"/>
    <x v="1"/>
    <x v="1"/>
    <x v="0"/>
    <x v="4978"/>
  </r>
  <r>
    <x v="0"/>
    <x v="2204"/>
    <x v="409"/>
    <x v="87"/>
    <x v="426"/>
    <x v="227"/>
    <x v="14"/>
    <x v="4011"/>
    <x v="200"/>
    <x v="219"/>
    <x v="2979"/>
    <x v="1705"/>
    <x v="4853"/>
    <x v="4775"/>
    <x v="3954"/>
    <x v="3"/>
    <x v="4709"/>
    <x v="4856"/>
    <x v="790"/>
    <x v="0"/>
    <x v="0"/>
    <x v="4"/>
    <x v="418"/>
    <x v="11"/>
    <x v="716"/>
    <x v="23"/>
    <x v="3"/>
    <x v="198"/>
    <x v="0"/>
    <x v="4979"/>
  </r>
  <r>
    <x v="1"/>
    <x v="2356"/>
    <x v="299"/>
    <x v="184"/>
    <x v="216"/>
    <x v="423"/>
    <x v="611"/>
    <x v="4"/>
    <x v="577"/>
    <x v="2053"/>
    <x v="2980"/>
    <x v="3468"/>
    <x v="4854"/>
    <x v="4776"/>
    <x v="2651"/>
    <x v="1"/>
    <x v="4710"/>
    <x v="4857"/>
    <x v="270"/>
    <x v="0"/>
    <x v="0"/>
    <x v="11"/>
    <x v="421"/>
    <x v="34"/>
    <x v="866"/>
    <x v="54"/>
    <x v="10"/>
    <x v="103"/>
    <x v="0"/>
    <x v="4980"/>
  </r>
  <r>
    <x v="0"/>
    <x v="2357"/>
    <x v="457"/>
    <x v="128"/>
    <x v="0"/>
    <x v="490"/>
    <x v="254"/>
    <x v="4"/>
    <x v="270"/>
    <x v="2054"/>
    <x v="2981"/>
    <x v="3469"/>
    <x v="4855"/>
    <x v="3172"/>
    <x v="896"/>
    <x v="4"/>
    <x v="4711"/>
    <x v="4858"/>
    <x v="824"/>
    <x v="0"/>
    <x v="0"/>
    <x v="10"/>
    <x v="344"/>
    <x v="11"/>
    <x v="710"/>
    <x v="2"/>
    <x v="0"/>
    <x v="697"/>
    <x v="0"/>
    <x v="4981"/>
  </r>
  <r>
    <x v="0"/>
    <x v="2358"/>
    <x v="464"/>
    <x v="101"/>
    <x v="193"/>
    <x v="260"/>
    <x v="328"/>
    <x v="4"/>
    <x v="125"/>
    <x v="1808"/>
    <x v="2177"/>
    <x v="2148"/>
    <x v="4856"/>
    <x v="4777"/>
    <x v="2187"/>
    <x v="0"/>
    <x v="4712"/>
    <x v="4859"/>
    <x v="854"/>
    <x v="0"/>
    <x v="0"/>
    <x v="9"/>
    <x v="4"/>
    <x v="3"/>
    <x v="847"/>
    <x v="22"/>
    <x v="2"/>
    <x v="316"/>
    <x v="0"/>
    <x v="4982"/>
  </r>
  <r>
    <x v="0"/>
    <x v="1607"/>
    <x v="211"/>
    <x v="101"/>
    <x v="68"/>
    <x v="777"/>
    <x v="641"/>
    <x v="4"/>
    <x v="791"/>
    <x v="2055"/>
    <x v="2982"/>
    <x v="3470"/>
    <x v="4857"/>
    <x v="2118"/>
    <x v="2964"/>
    <x v="0"/>
    <x v="4713"/>
    <x v="4860"/>
    <x v="736"/>
    <x v="0"/>
    <x v="0"/>
    <x v="4"/>
    <x v="418"/>
    <x v="10"/>
    <x v="470"/>
    <x v="27"/>
    <x v="0"/>
    <x v="67"/>
    <x v="0"/>
    <x v="4983"/>
  </r>
  <r>
    <x v="0"/>
    <x v="1734"/>
    <x v="413"/>
    <x v="42"/>
    <x v="0"/>
    <x v="413"/>
    <x v="858"/>
    <x v="4012"/>
    <x v="105"/>
    <x v="2056"/>
    <x v="2983"/>
    <x v="3471"/>
    <x v="4858"/>
    <x v="4778"/>
    <x v="3955"/>
    <x v="0"/>
    <x v="4714"/>
    <x v="4861"/>
    <x v="225"/>
    <x v="0"/>
    <x v="0"/>
    <x v="4"/>
    <x v="422"/>
    <x v="16"/>
    <x v="644"/>
    <x v="4"/>
    <x v="3"/>
    <x v="257"/>
    <x v="0"/>
    <x v="4984"/>
  </r>
  <r>
    <x v="0"/>
    <x v="2359"/>
    <x v="345"/>
    <x v="105"/>
    <x v="193"/>
    <x v="316"/>
    <x v="869"/>
    <x v="4"/>
    <x v="168"/>
    <x v="2057"/>
    <x v="2984"/>
    <x v="3472"/>
    <x v="4859"/>
    <x v="4779"/>
    <x v="3956"/>
    <x v="0"/>
    <x v="4715"/>
    <x v="4862"/>
    <x v="408"/>
    <x v="0"/>
    <x v="4"/>
    <x v="9"/>
    <x v="4"/>
    <x v="9"/>
    <x v="897"/>
    <x v="10"/>
    <x v="2"/>
    <x v="103"/>
    <x v="0"/>
    <x v="4985"/>
  </r>
  <r>
    <x v="0"/>
    <x v="2360"/>
    <x v="93"/>
    <x v="77"/>
    <x v="134"/>
    <x v="708"/>
    <x v="516"/>
    <x v="4"/>
    <x v="105"/>
    <x v="2058"/>
    <x v="2985"/>
    <x v="3473"/>
    <x v="4860"/>
    <x v="4780"/>
    <x v="3957"/>
    <x v="0"/>
    <x v="4716"/>
    <x v="4863"/>
    <x v="561"/>
    <x v="30"/>
    <x v="49"/>
    <x v="4"/>
    <x v="4"/>
    <x v="45"/>
    <x v="115"/>
    <x v="21"/>
    <x v="1"/>
    <x v="850"/>
    <x v="0"/>
    <x v="4986"/>
  </r>
  <r>
    <x v="0"/>
    <x v="2361"/>
    <x v="316"/>
    <x v="42"/>
    <x v="432"/>
    <x v="103"/>
    <x v="328"/>
    <x v="4013"/>
    <x v="105"/>
    <x v="1808"/>
    <x v="430"/>
    <x v="3474"/>
    <x v="4861"/>
    <x v="4781"/>
    <x v="162"/>
    <x v="0"/>
    <x v="4717"/>
    <x v="4864"/>
    <x v="816"/>
    <x v="0"/>
    <x v="0"/>
    <x v="9"/>
    <x v="420"/>
    <x v="5"/>
    <x v="289"/>
    <x v="22"/>
    <x v="1"/>
    <x v="1"/>
    <x v="0"/>
    <x v="4987"/>
  </r>
  <r>
    <x v="0"/>
    <x v="2362"/>
    <x v="457"/>
    <x v="41"/>
    <x v="134"/>
    <x v="634"/>
    <x v="127"/>
    <x v="4"/>
    <x v="912"/>
    <x v="239"/>
    <x v="2986"/>
    <x v="3475"/>
    <x v="4862"/>
    <x v="4126"/>
    <x v="3958"/>
    <x v="0"/>
    <x v="4"/>
    <x v="4865"/>
    <x v="685"/>
    <x v="0"/>
    <x v="0"/>
    <x v="9"/>
    <x v="382"/>
    <x v="3"/>
    <x v="494"/>
    <x v="53"/>
    <x v="0"/>
    <x v="390"/>
    <x v="0"/>
    <x v="4988"/>
  </r>
  <r>
    <x v="0"/>
    <x v="2363"/>
    <x v="4"/>
    <x v="4"/>
    <x v="0"/>
    <x v="100"/>
    <x v="0"/>
    <x v="4"/>
    <x v="200"/>
    <x v="1157"/>
    <x v="2987"/>
    <x v="3476"/>
    <x v="4863"/>
    <x v="4782"/>
    <x v="3959"/>
    <x v="0"/>
    <x v="4718"/>
    <x v="4866"/>
    <x v="416"/>
    <x v="0"/>
    <x v="0"/>
    <x v="1"/>
    <x v="4"/>
    <x v="7"/>
    <x v="721"/>
    <x v="55"/>
    <x v="2"/>
    <x v="680"/>
    <x v="0"/>
    <x v="4989"/>
  </r>
  <r>
    <x v="0"/>
    <x v="2364"/>
    <x v="329"/>
    <x v="70"/>
    <x v="85"/>
    <x v="4"/>
    <x v="790"/>
    <x v="4"/>
    <x v="4"/>
    <x v="1763"/>
    <x v="217"/>
    <x v="4"/>
    <x v="4864"/>
    <x v="4783"/>
    <x v="2095"/>
    <x v="0"/>
    <x v="4719"/>
    <x v="4867"/>
    <x v="326"/>
    <x v="0"/>
    <x v="0"/>
    <x v="1"/>
    <x v="423"/>
    <x v="2"/>
    <x v="147"/>
    <x v="19"/>
    <x v="0"/>
    <x v="829"/>
    <x v="0"/>
    <x v="4990"/>
  </r>
  <r>
    <x v="1"/>
    <x v="2365"/>
    <x v="370"/>
    <x v="191"/>
    <x v="216"/>
    <x v="531"/>
    <x v="841"/>
    <x v="4"/>
    <x v="208"/>
    <x v="2059"/>
    <x v="2988"/>
    <x v="3477"/>
    <x v="4865"/>
    <x v="4784"/>
    <x v="3960"/>
    <x v="0"/>
    <x v="4720"/>
    <x v="4868"/>
    <x v="195"/>
    <x v="0"/>
    <x v="0"/>
    <x v="1"/>
    <x v="423"/>
    <x v="12"/>
    <x v="557"/>
    <x v="11"/>
    <x v="8"/>
    <x v="1"/>
    <x v="0"/>
    <x v="4991"/>
  </r>
  <r>
    <x v="0"/>
    <x v="2366"/>
    <x v="81"/>
    <x v="80"/>
    <x v="0"/>
    <x v="4"/>
    <x v="471"/>
    <x v="4"/>
    <x v="4"/>
    <x v="2060"/>
    <x v="217"/>
    <x v="4"/>
    <x v="4866"/>
    <x v="4614"/>
    <x v="2095"/>
    <x v="0"/>
    <x v="4"/>
    <x v="4869"/>
    <x v="896"/>
    <x v="0"/>
    <x v="0"/>
    <x v="1"/>
    <x v="423"/>
    <x v="9"/>
    <x v="147"/>
    <x v="0"/>
    <x v="12"/>
    <x v="574"/>
    <x v="0"/>
    <x v="4992"/>
  </r>
  <r>
    <x v="0"/>
    <x v="2367"/>
    <x v="331"/>
    <x v="55"/>
    <x v="174"/>
    <x v="38"/>
    <x v="86"/>
    <x v="4"/>
    <x v="232"/>
    <x v="627"/>
    <x v="2989"/>
    <x v="3478"/>
    <x v="4867"/>
    <x v="4785"/>
    <x v="3961"/>
    <x v="0"/>
    <x v="4721"/>
    <x v="4870"/>
    <x v="454"/>
    <x v="0"/>
    <x v="0"/>
    <x v="0"/>
    <x v="213"/>
    <x v="11"/>
    <x v="352"/>
    <x v="9"/>
    <x v="1"/>
    <x v="7"/>
    <x v="0"/>
    <x v="4993"/>
  </r>
  <r>
    <x v="0"/>
    <x v="2368"/>
    <x v="478"/>
    <x v="113"/>
    <x v="221"/>
    <x v="325"/>
    <x v="870"/>
    <x v="4"/>
    <x v="894"/>
    <x v="2061"/>
    <x v="2990"/>
    <x v="3479"/>
    <x v="4868"/>
    <x v="4786"/>
    <x v="3477"/>
    <x v="6"/>
    <x v="4722"/>
    <x v="4871"/>
    <x v="188"/>
    <x v="0"/>
    <x v="0"/>
    <x v="1"/>
    <x v="423"/>
    <x v="11"/>
    <x v="658"/>
    <x v="38"/>
    <x v="2"/>
    <x v="361"/>
    <x v="0"/>
    <x v="4994"/>
  </r>
  <r>
    <x v="0"/>
    <x v="2369"/>
    <x v="384"/>
    <x v="105"/>
    <x v="221"/>
    <x v="691"/>
    <x v="339"/>
    <x v="4"/>
    <x v="270"/>
    <x v="2062"/>
    <x v="2991"/>
    <x v="3480"/>
    <x v="4869"/>
    <x v="4787"/>
    <x v="3728"/>
    <x v="0"/>
    <x v="4723"/>
    <x v="4872"/>
    <x v="791"/>
    <x v="0"/>
    <x v="0"/>
    <x v="4"/>
    <x v="424"/>
    <x v="9"/>
    <x v="584"/>
    <x v="4"/>
    <x v="12"/>
    <x v="800"/>
    <x v="0"/>
    <x v="4995"/>
  </r>
  <r>
    <x v="0"/>
    <x v="2370"/>
    <x v="4"/>
    <x v="45"/>
    <x v="163"/>
    <x v="254"/>
    <x v="499"/>
    <x v="4"/>
    <x v="125"/>
    <x v="924"/>
    <x v="2992"/>
    <x v="3481"/>
    <x v="4870"/>
    <x v="4788"/>
    <x v="3962"/>
    <x v="7"/>
    <x v="4724"/>
    <x v="4873"/>
    <x v="854"/>
    <x v="0"/>
    <x v="0"/>
    <x v="1"/>
    <x v="425"/>
    <x v="9"/>
    <x v="623"/>
    <x v="34"/>
    <x v="1"/>
    <x v="857"/>
    <x v="0"/>
    <x v="4996"/>
  </r>
  <r>
    <x v="0"/>
    <x v="473"/>
    <x v="346"/>
    <x v="78"/>
    <x v="212"/>
    <x v="100"/>
    <x v="576"/>
    <x v="4014"/>
    <x v="270"/>
    <x v="2063"/>
    <x v="2993"/>
    <x v="3482"/>
    <x v="4871"/>
    <x v="4789"/>
    <x v="3963"/>
    <x v="0"/>
    <x v="4725"/>
    <x v="4874"/>
    <x v="758"/>
    <x v="0"/>
    <x v="0"/>
    <x v="10"/>
    <x v="424"/>
    <x v="21"/>
    <x v="498"/>
    <x v="7"/>
    <x v="1"/>
    <x v="219"/>
    <x v="0"/>
    <x v="4997"/>
  </r>
  <r>
    <x v="0"/>
    <x v="2371"/>
    <x v="152"/>
    <x v="78"/>
    <x v="198"/>
    <x v="41"/>
    <x v="24"/>
    <x v="4015"/>
    <x v="127"/>
    <x v="2064"/>
    <x v="2994"/>
    <x v="3483"/>
    <x v="4872"/>
    <x v="4790"/>
    <x v="3964"/>
    <x v="7"/>
    <x v="4726"/>
    <x v="4875"/>
    <x v="721"/>
    <x v="0"/>
    <x v="0"/>
    <x v="4"/>
    <x v="417"/>
    <x v="15"/>
    <x v="354"/>
    <x v="32"/>
    <x v="3"/>
    <x v="1"/>
    <x v="0"/>
    <x v="4998"/>
  </r>
  <r>
    <x v="0"/>
    <x v="2372"/>
    <x v="320"/>
    <x v="54"/>
    <x v="0"/>
    <x v="208"/>
    <x v="23"/>
    <x v="4"/>
    <x v="211"/>
    <x v="371"/>
    <x v="2995"/>
    <x v="3484"/>
    <x v="4873"/>
    <x v="4791"/>
    <x v="2825"/>
    <x v="0"/>
    <x v="4"/>
    <x v="4876"/>
    <x v="188"/>
    <x v="0"/>
    <x v="0"/>
    <x v="1"/>
    <x v="419"/>
    <x v="11"/>
    <x v="378"/>
    <x v="40"/>
    <x v="2"/>
    <x v="796"/>
    <x v="0"/>
    <x v="4999"/>
  </r>
  <r>
    <x v="0"/>
    <x v="2373"/>
    <x v="412"/>
    <x v="105"/>
    <x v="204"/>
    <x v="862"/>
    <x v="617"/>
    <x v="4"/>
    <x v="429"/>
    <x v="2065"/>
    <x v="2996"/>
    <x v="3485"/>
    <x v="4874"/>
    <x v="3469"/>
    <x v="484"/>
    <x v="0"/>
    <x v="4727"/>
    <x v="4877"/>
    <x v="843"/>
    <x v="0"/>
    <x v="0"/>
    <x v="10"/>
    <x v="417"/>
    <x v="10"/>
    <x v="777"/>
    <x v="75"/>
    <x v="1"/>
    <x v="867"/>
    <x v="0"/>
    <x v="5000"/>
  </r>
  <r>
    <x v="0"/>
    <x v="48"/>
    <x v="184"/>
    <x v="85"/>
    <x v="33"/>
    <x v="236"/>
    <x v="871"/>
    <x v="4016"/>
    <x v="305"/>
    <x v="2066"/>
    <x v="2997"/>
    <x v="3486"/>
    <x v="4875"/>
    <x v="4792"/>
    <x v="3965"/>
    <x v="0"/>
    <x v="4728"/>
    <x v="4878"/>
    <x v="277"/>
    <x v="0"/>
    <x v="0"/>
    <x v="2"/>
    <x v="4"/>
    <x v="33"/>
    <x v="848"/>
    <x v="17"/>
    <x v="3"/>
    <x v="1"/>
    <x v="0"/>
    <x v="5001"/>
  </r>
  <r>
    <x v="0"/>
    <x v="2374"/>
    <x v="478"/>
    <x v="128"/>
    <x v="125"/>
    <x v="352"/>
    <x v="872"/>
    <x v="4"/>
    <x v="381"/>
    <x v="2067"/>
    <x v="2998"/>
    <x v="3487"/>
    <x v="4876"/>
    <x v="4793"/>
    <x v="1912"/>
    <x v="0"/>
    <x v="4"/>
    <x v="4879"/>
    <x v="685"/>
    <x v="0"/>
    <x v="0"/>
    <x v="1"/>
    <x v="423"/>
    <x v="3"/>
    <x v="628"/>
    <x v="42"/>
    <x v="1"/>
    <x v="669"/>
    <x v="0"/>
    <x v="5002"/>
  </r>
  <r>
    <x v="0"/>
    <x v="2375"/>
    <x v="258"/>
    <x v="139"/>
    <x v="216"/>
    <x v="280"/>
    <x v="98"/>
    <x v="4017"/>
    <x v="270"/>
    <x v="795"/>
    <x v="1075"/>
    <x v="3488"/>
    <x v="4877"/>
    <x v="4794"/>
    <x v="3966"/>
    <x v="0"/>
    <x v="4729"/>
    <x v="4880"/>
    <x v="896"/>
    <x v="0"/>
    <x v="0"/>
    <x v="10"/>
    <x v="4"/>
    <x v="0"/>
    <x v="582"/>
    <x v="22"/>
    <x v="2"/>
    <x v="351"/>
    <x v="0"/>
    <x v="5003"/>
  </r>
  <r>
    <x v="0"/>
    <x v="2376"/>
    <x v="320"/>
    <x v="98"/>
    <x v="85"/>
    <x v="367"/>
    <x v="873"/>
    <x v="4018"/>
    <x v="713"/>
    <x v="2068"/>
    <x v="2999"/>
    <x v="3489"/>
    <x v="4878"/>
    <x v="4633"/>
    <x v="3214"/>
    <x v="0"/>
    <x v="4"/>
    <x v="4881"/>
    <x v="561"/>
    <x v="0"/>
    <x v="0"/>
    <x v="4"/>
    <x v="426"/>
    <x v="1"/>
    <x v="288"/>
    <x v="54"/>
    <x v="1"/>
    <x v="868"/>
    <x v="0"/>
    <x v="5004"/>
  </r>
  <r>
    <x v="1"/>
    <x v="2377"/>
    <x v="460"/>
    <x v="56"/>
    <x v="129"/>
    <x v="708"/>
    <x v="870"/>
    <x v="4"/>
    <x v="125"/>
    <x v="2069"/>
    <x v="3000"/>
    <x v="3490"/>
    <x v="4879"/>
    <x v="4795"/>
    <x v="3967"/>
    <x v="0"/>
    <x v="4730"/>
    <x v="4882"/>
    <x v="790"/>
    <x v="0"/>
    <x v="0"/>
    <x v="4"/>
    <x v="4"/>
    <x v="12"/>
    <x v="794"/>
    <x v="8"/>
    <x v="10"/>
    <x v="118"/>
    <x v="0"/>
    <x v="5005"/>
  </r>
  <r>
    <x v="0"/>
    <x v="2378"/>
    <x v="4"/>
    <x v="71"/>
    <x v="216"/>
    <x v="298"/>
    <x v="87"/>
    <x v="4"/>
    <x v="429"/>
    <x v="2070"/>
    <x v="3001"/>
    <x v="3491"/>
    <x v="4880"/>
    <x v="4796"/>
    <x v="272"/>
    <x v="0"/>
    <x v="4731"/>
    <x v="4883"/>
    <x v="188"/>
    <x v="0"/>
    <x v="0"/>
    <x v="9"/>
    <x v="382"/>
    <x v="9"/>
    <x v="253"/>
    <x v="28"/>
    <x v="2"/>
    <x v="729"/>
    <x v="0"/>
    <x v="5006"/>
  </r>
  <r>
    <x v="0"/>
    <x v="2159"/>
    <x v="302"/>
    <x v="41"/>
    <x v="309"/>
    <x v="79"/>
    <x v="169"/>
    <x v="4019"/>
    <x v="539"/>
    <x v="315"/>
    <x v="3002"/>
    <x v="3492"/>
    <x v="4881"/>
    <x v="4797"/>
    <x v="1951"/>
    <x v="2"/>
    <x v="4732"/>
    <x v="4884"/>
    <x v="636"/>
    <x v="0"/>
    <x v="1"/>
    <x v="4"/>
    <x v="4"/>
    <x v="0"/>
    <x v="635"/>
    <x v="12"/>
    <x v="2"/>
    <x v="869"/>
    <x v="0"/>
    <x v="5007"/>
  </r>
  <r>
    <x v="1"/>
    <x v="609"/>
    <x v="243"/>
    <x v="58"/>
    <x v="0"/>
    <x v="748"/>
    <x v="121"/>
    <x v="4020"/>
    <x v="125"/>
    <x v="1088"/>
    <x v="3003"/>
    <x v="3493"/>
    <x v="4882"/>
    <x v="4798"/>
    <x v="3174"/>
    <x v="2"/>
    <x v="4733"/>
    <x v="4885"/>
    <x v="410"/>
    <x v="0"/>
    <x v="0"/>
    <x v="4"/>
    <x v="427"/>
    <x v="24"/>
    <x v="915"/>
    <x v="6"/>
    <x v="15"/>
    <x v="1"/>
    <x v="0"/>
    <x v="5008"/>
  </r>
  <r>
    <x v="0"/>
    <x v="2379"/>
    <x v="385"/>
    <x v="161"/>
    <x v="0"/>
    <x v="4"/>
    <x v="471"/>
    <x v="4021"/>
    <x v="370"/>
    <x v="2071"/>
    <x v="3004"/>
    <x v="4"/>
    <x v="4883"/>
    <x v="4799"/>
    <x v="2095"/>
    <x v="1"/>
    <x v="4734"/>
    <x v="4886"/>
    <x v="655"/>
    <x v="0"/>
    <x v="0"/>
    <x v="9"/>
    <x v="428"/>
    <x v="49"/>
    <x v="253"/>
    <x v="10"/>
    <x v="15"/>
    <x v="550"/>
    <x v="0"/>
    <x v="5009"/>
  </r>
  <r>
    <x v="0"/>
    <x v="2377"/>
    <x v="425"/>
    <x v="79"/>
    <x v="129"/>
    <x v="708"/>
    <x v="870"/>
    <x v="4"/>
    <x v="200"/>
    <x v="2069"/>
    <x v="3000"/>
    <x v="3490"/>
    <x v="4884"/>
    <x v="4800"/>
    <x v="3968"/>
    <x v="1"/>
    <x v="4735"/>
    <x v="4887"/>
    <x v="666"/>
    <x v="0"/>
    <x v="0"/>
    <x v="1"/>
    <x v="4"/>
    <x v="19"/>
    <x v="794"/>
    <x v="21"/>
    <x v="15"/>
    <x v="619"/>
    <x v="0"/>
    <x v="5010"/>
  </r>
  <r>
    <x v="0"/>
    <x v="856"/>
    <x v="227"/>
    <x v="55"/>
    <x v="202"/>
    <x v="321"/>
    <x v="548"/>
    <x v="4022"/>
    <x v="200"/>
    <x v="2072"/>
    <x v="750"/>
    <x v="3494"/>
    <x v="4885"/>
    <x v="4801"/>
    <x v="3869"/>
    <x v="0"/>
    <x v="4736"/>
    <x v="4888"/>
    <x v="435"/>
    <x v="0"/>
    <x v="4"/>
    <x v="4"/>
    <x v="422"/>
    <x v="13"/>
    <x v="450"/>
    <x v="11"/>
    <x v="3"/>
    <x v="474"/>
    <x v="0"/>
    <x v="5011"/>
  </r>
  <r>
    <x v="0"/>
    <x v="50"/>
    <x v="167"/>
    <x v="56"/>
    <x v="278"/>
    <x v="209"/>
    <x v="0"/>
    <x v="1420"/>
    <x v="28"/>
    <x v="610"/>
    <x v="999"/>
    <x v="1158"/>
    <x v="1478"/>
    <x v="4802"/>
    <x v="1435"/>
    <x v="3"/>
    <x v="1468"/>
    <x v="1478"/>
    <x v="657"/>
    <x v="0"/>
    <x v="0"/>
    <x v="4"/>
    <x v="82"/>
    <x v="11"/>
    <x v="553"/>
    <x v="20"/>
    <x v="3"/>
    <x v="7"/>
    <x v="0"/>
    <x v="5012"/>
  </r>
  <r>
    <x v="0"/>
    <x v="2380"/>
    <x v="419"/>
    <x v="139"/>
    <x v="221"/>
    <x v="736"/>
    <x v="581"/>
    <x v="4"/>
    <x v="463"/>
    <x v="2073"/>
    <x v="3005"/>
    <x v="3495"/>
    <x v="4886"/>
    <x v="4803"/>
    <x v="2551"/>
    <x v="0"/>
    <x v="4737"/>
    <x v="4889"/>
    <x v="732"/>
    <x v="0"/>
    <x v="0"/>
    <x v="1"/>
    <x v="429"/>
    <x v="19"/>
    <x v="514"/>
    <x v="15"/>
    <x v="0"/>
    <x v="686"/>
    <x v="0"/>
    <x v="5013"/>
  </r>
  <r>
    <x v="0"/>
    <x v="388"/>
    <x v="459"/>
    <x v="110"/>
    <x v="220"/>
    <x v="737"/>
    <x v="60"/>
    <x v="4"/>
    <x v="23"/>
    <x v="102"/>
    <x v="3006"/>
    <x v="1496"/>
    <x v="4887"/>
    <x v="4804"/>
    <x v="1774"/>
    <x v="0"/>
    <x v="4738"/>
    <x v="4890"/>
    <x v="756"/>
    <x v="0"/>
    <x v="4"/>
    <x v="4"/>
    <x v="4"/>
    <x v="0"/>
    <x v="656"/>
    <x v="22"/>
    <x v="1"/>
    <x v="1"/>
    <x v="0"/>
    <x v="5014"/>
  </r>
  <r>
    <x v="1"/>
    <x v="776"/>
    <x v="258"/>
    <x v="7"/>
    <x v="0"/>
    <x v="298"/>
    <x v="87"/>
    <x v="4023"/>
    <x v="200"/>
    <x v="2074"/>
    <x v="3007"/>
    <x v="3496"/>
    <x v="4888"/>
    <x v="4805"/>
    <x v="272"/>
    <x v="0"/>
    <x v="4739"/>
    <x v="4891"/>
    <x v="670"/>
    <x v="0"/>
    <x v="0"/>
    <x v="4"/>
    <x v="430"/>
    <x v="23"/>
    <x v="253"/>
    <x v="1"/>
    <x v="15"/>
    <x v="43"/>
    <x v="0"/>
    <x v="5015"/>
  </r>
  <r>
    <x v="0"/>
    <x v="2381"/>
    <x v="4"/>
    <x v="78"/>
    <x v="0"/>
    <x v="777"/>
    <x v="874"/>
    <x v="4"/>
    <x v="168"/>
    <x v="2075"/>
    <x v="3008"/>
    <x v="3497"/>
    <x v="4889"/>
    <x v="363"/>
    <x v="3969"/>
    <x v="4"/>
    <x v="4"/>
    <x v="4892"/>
    <x v="188"/>
    <x v="0"/>
    <x v="0"/>
    <x v="1"/>
    <x v="422"/>
    <x v="2"/>
    <x v="681"/>
    <x v="30"/>
    <x v="2"/>
    <x v="574"/>
    <x v="0"/>
    <x v="5016"/>
  </r>
  <r>
    <x v="0"/>
    <x v="2373"/>
    <x v="93"/>
    <x v="78"/>
    <x v="204"/>
    <x v="343"/>
    <x v="875"/>
    <x v="4"/>
    <x v="127"/>
    <x v="2076"/>
    <x v="3009"/>
    <x v="3498"/>
    <x v="4890"/>
    <x v="2230"/>
    <x v="3186"/>
    <x v="1"/>
    <x v="4740"/>
    <x v="4893"/>
    <x v="416"/>
    <x v="0"/>
    <x v="0"/>
    <x v="1"/>
    <x v="431"/>
    <x v="9"/>
    <x v="423"/>
    <x v="47"/>
    <x v="0"/>
    <x v="367"/>
    <x v="0"/>
    <x v="5017"/>
  </r>
  <r>
    <x v="0"/>
    <x v="1896"/>
    <x v="451"/>
    <x v="60"/>
    <x v="409"/>
    <x v="597"/>
    <x v="233"/>
    <x v="4"/>
    <x v="270"/>
    <x v="2077"/>
    <x v="3010"/>
    <x v="3499"/>
    <x v="4891"/>
    <x v="4806"/>
    <x v="1216"/>
    <x v="1"/>
    <x v="4741"/>
    <x v="4894"/>
    <x v="769"/>
    <x v="0"/>
    <x v="0"/>
    <x v="1"/>
    <x v="416"/>
    <x v="17"/>
    <x v="764"/>
    <x v="8"/>
    <x v="3"/>
    <x v="572"/>
    <x v="0"/>
    <x v="5018"/>
  </r>
  <r>
    <x v="0"/>
    <x v="2382"/>
    <x v="425"/>
    <x v="43"/>
    <x v="433"/>
    <x v="161"/>
    <x v="876"/>
    <x v="4"/>
    <x v="236"/>
    <x v="2078"/>
    <x v="695"/>
    <x v="3500"/>
    <x v="4892"/>
    <x v="4807"/>
    <x v="3970"/>
    <x v="0"/>
    <x v="4742"/>
    <x v="4895"/>
    <x v="631"/>
    <x v="0"/>
    <x v="0"/>
    <x v="4"/>
    <x v="4"/>
    <x v="2"/>
    <x v="424"/>
    <x v="51"/>
    <x v="3"/>
    <x v="1"/>
    <x v="0"/>
    <x v="5019"/>
  </r>
  <r>
    <x v="2"/>
    <x v="2383"/>
    <x v="4"/>
    <x v="14"/>
    <x v="193"/>
    <x v="316"/>
    <x v="283"/>
    <x v="4"/>
    <x v="327"/>
    <x v="2079"/>
    <x v="3011"/>
    <x v="3501"/>
    <x v="4893"/>
    <x v="4808"/>
    <x v="3971"/>
    <x v="0"/>
    <x v="4743"/>
    <x v="4896"/>
    <x v="824"/>
    <x v="0"/>
    <x v="0"/>
    <x v="1"/>
    <x v="432"/>
    <x v="10"/>
    <x v="897"/>
    <x v="56"/>
    <x v="2"/>
    <x v="574"/>
    <x v="0"/>
    <x v="5020"/>
  </r>
  <r>
    <x v="0"/>
    <x v="1342"/>
    <x v="359"/>
    <x v="79"/>
    <x v="330"/>
    <x v="567"/>
    <x v="864"/>
    <x v="4024"/>
    <x v="105"/>
    <x v="2034"/>
    <x v="3012"/>
    <x v="3502"/>
    <x v="4894"/>
    <x v="4809"/>
    <x v="3539"/>
    <x v="0"/>
    <x v="4744"/>
    <x v="4897"/>
    <x v="409"/>
    <x v="0"/>
    <x v="0"/>
    <x v="4"/>
    <x v="392"/>
    <x v="12"/>
    <x v="542"/>
    <x v="4"/>
    <x v="2"/>
    <x v="813"/>
    <x v="0"/>
    <x v="5021"/>
  </r>
  <r>
    <x v="1"/>
    <x v="2384"/>
    <x v="489"/>
    <x v="84"/>
    <x v="0"/>
    <x v="597"/>
    <x v="374"/>
    <x v="4"/>
    <x v="270"/>
    <x v="2080"/>
    <x v="3013"/>
    <x v="3503"/>
    <x v="4895"/>
    <x v="4810"/>
    <x v="3558"/>
    <x v="0"/>
    <x v="4"/>
    <x v="4898"/>
    <x v="326"/>
    <x v="47"/>
    <x v="64"/>
    <x v="1"/>
    <x v="392"/>
    <x v="11"/>
    <x v="897"/>
    <x v="38"/>
    <x v="2"/>
    <x v="870"/>
    <x v="0"/>
    <x v="5022"/>
  </r>
  <r>
    <x v="0"/>
    <x v="2385"/>
    <x v="417"/>
    <x v="76"/>
    <x v="47"/>
    <x v="603"/>
    <x v="697"/>
    <x v="4025"/>
    <x v="822"/>
    <x v="2081"/>
    <x v="3014"/>
    <x v="991"/>
    <x v="4896"/>
    <x v="4811"/>
    <x v="3032"/>
    <x v="4"/>
    <x v="4"/>
    <x v="4899"/>
    <x v="824"/>
    <x v="0"/>
    <x v="0"/>
    <x v="1"/>
    <x v="392"/>
    <x v="0"/>
    <x v="819"/>
    <x v="5"/>
    <x v="1"/>
    <x v="871"/>
    <x v="0"/>
    <x v="5023"/>
  </r>
  <r>
    <x v="0"/>
    <x v="2386"/>
    <x v="372"/>
    <x v="98"/>
    <x v="159"/>
    <x v="745"/>
    <x v="822"/>
    <x v="4"/>
    <x v="232"/>
    <x v="2082"/>
    <x v="3015"/>
    <x v="3504"/>
    <x v="4897"/>
    <x v="4812"/>
    <x v="3972"/>
    <x v="0"/>
    <x v="4745"/>
    <x v="4900"/>
    <x v="816"/>
    <x v="0"/>
    <x v="0"/>
    <x v="10"/>
    <x v="416"/>
    <x v="10"/>
    <x v="448"/>
    <x v="61"/>
    <x v="1"/>
    <x v="245"/>
    <x v="0"/>
    <x v="5024"/>
  </r>
  <r>
    <x v="0"/>
    <x v="1204"/>
    <x v="345"/>
    <x v="26"/>
    <x v="0"/>
    <x v="43"/>
    <x v="425"/>
    <x v="4026"/>
    <x v="913"/>
    <x v="2083"/>
    <x v="3016"/>
    <x v="3505"/>
    <x v="4898"/>
    <x v="4813"/>
    <x v="2322"/>
    <x v="4"/>
    <x v="4746"/>
    <x v="4901"/>
    <x v="562"/>
    <x v="0"/>
    <x v="0"/>
    <x v="13"/>
    <x v="433"/>
    <x v="36"/>
    <x v="599"/>
    <x v="9"/>
    <x v="15"/>
    <x v="1"/>
    <x v="0"/>
    <x v="5025"/>
  </r>
  <r>
    <x v="0"/>
    <x v="1209"/>
    <x v="225"/>
    <x v="47"/>
    <x v="95"/>
    <x v="657"/>
    <x v="157"/>
    <x v="4027"/>
    <x v="484"/>
    <x v="2084"/>
    <x v="3017"/>
    <x v="3506"/>
    <x v="4899"/>
    <x v="3067"/>
    <x v="3385"/>
    <x v="1"/>
    <x v="4747"/>
    <x v="4902"/>
    <x v="592"/>
    <x v="3"/>
    <x v="10"/>
    <x v="4"/>
    <x v="434"/>
    <x v="14"/>
    <x v="517"/>
    <x v="8"/>
    <x v="1"/>
    <x v="872"/>
    <x v="0"/>
    <x v="5026"/>
  </r>
  <r>
    <x v="0"/>
    <x v="2387"/>
    <x v="272"/>
    <x v="78"/>
    <x v="434"/>
    <x v="298"/>
    <x v="87"/>
    <x v="4028"/>
    <x v="270"/>
    <x v="2085"/>
    <x v="3018"/>
    <x v="3507"/>
    <x v="4900"/>
    <x v="4814"/>
    <x v="272"/>
    <x v="0"/>
    <x v="4748"/>
    <x v="4903"/>
    <x v="721"/>
    <x v="44"/>
    <x v="44"/>
    <x v="9"/>
    <x v="433"/>
    <x v="21"/>
    <x v="253"/>
    <x v="7"/>
    <x v="3"/>
    <x v="204"/>
    <x v="0"/>
    <x v="5027"/>
  </r>
  <r>
    <x v="1"/>
    <x v="2388"/>
    <x v="329"/>
    <x v="105"/>
    <x v="174"/>
    <x v="298"/>
    <x v="877"/>
    <x v="4"/>
    <x v="429"/>
    <x v="2086"/>
    <x v="3019"/>
    <x v="3508"/>
    <x v="4901"/>
    <x v="363"/>
    <x v="3774"/>
    <x v="0"/>
    <x v="4"/>
    <x v="4904"/>
    <x v="326"/>
    <x v="0"/>
    <x v="25"/>
    <x v="1"/>
    <x v="433"/>
    <x v="1"/>
    <x v="624"/>
    <x v="10"/>
    <x v="8"/>
    <x v="873"/>
    <x v="0"/>
    <x v="5028"/>
  </r>
  <r>
    <x v="0"/>
    <x v="2389"/>
    <x v="239"/>
    <x v="70"/>
    <x v="110"/>
    <x v="423"/>
    <x v="722"/>
    <x v="4029"/>
    <x v="353"/>
    <x v="2087"/>
    <x v="3020"/>
    <x v="3509"/>
    <x v="4902"/>
    <x v="4815"/>
    <x v="3973"/>
    <x v="0"/>
    <x v="4749"/>
    <x v="4905"/>
    <x v="724"/>
    <x v="2"/>
    <x v="7"/>
    <x v="1"/>
    <x v="138"/>
    <x v="13"/>
    <x v="766"/>
    <x v="38"/>
    <x v="3"/>
    <x v="325"/>
    <x v="0"/>
    <x v="5029"/>
  </r>
  <r>
    <x v="0"/>
    <x v="2390"/>
    <x v="4"/>
    <x v="95"/>
    <x v="78"/>
    <x v="74"/>
    <x v="146"/>
    <x v="4"/>
    <x v="270"/>
    <x v="2088"/>
    <x v="3021"/>
    <x v="3510"/>
    <x v="4903"/>
    <x v="4816"/>
    <x v="3934"/>
    <x v="4"/>
    <x v="4750"/>
    <x v="4906"/>
    <x v="416"/>
    <x v="0"/>
    <x v="0"/>
    <x v="1"/>
    <x v="4"/>
    <x v="14"/>
    <x v="658"/>
    <x v="9"/>
    <x v="2"/>
    <x v="517"/>
    <x v="0"/>
    <x v="5030"/>
  </r>
  <r>
    <x v="0"/>
    <x v="2391"/>
    <x v="457"/>
    <x v="87"/>
    <x v="299"/>
    <x v="19"/>
    <x v="596"/>
    <x v="4"/>
    <x v="662"/>
    <x v="2089"/>
    <x v="3022"/>
    <x v="3511"/>
    <x v="4904"/>
    <x v="4319"/>
    <x v="3530"/>
    <x v="9"/>
    <x v="4751"/>
    <x v="4907"/>
    <x v="824"/>
    <x v="0"/>
    <x v="0"/>
    <x v="1"/>
    <x v="401"/>
    <x v="3"/>
    <x v="561"/>
    <x v="28"/>
    <x v="12"/>
    <x v="874"/>
    <x v="0"/>
    <x v="5031"/>
  </r>
  <r>
    <x v="0"/>
    <x v="2392"/>
    <x v="81"/>
    <x v="42"/>
    <x v="221"/>
    <x v="869"/>
    <x v="183"/>
    <x v="4"/>
    <x v="152"/>
    <x v="344"/>
    <x v="3023"/>
    <x v="3512"/>
    <x v="4905"/>
    <x v="4817"/>
    <x v="3473"/>
    <x v="1"/>
    <x v="4752"/>
    <x v="4908"/>
    <x v="792"/>
    <x v="0"/>
    <x v="0"/>
    <x v="1"/>
    <x v="4"/>
    <x v="16"/>
    <x v="613"/>
    <x v="21"/>
    <x v="2"/>
    <x v="875"/>
    <x v="0"/>
    <x v="5032"/>
  </r>
  <r>
    <x v="0"/>
    <x v="2393"/>
    <x v="262"/>
    <x v="91"/>
    <x v="435"/>
    <x v="316"/>
    <x v="878"/>
    <x v="4030"/>
    <x v="211"/>
    <x v="2090"/>
    <x v="3024"/>
    <x v="3513"/>
    <x v="4906"/>
    <x v="4818"/>
    <x v="3974"/>
    <x v="0"/>
    <x v="4753"/>
    <x v="4909"/>
    <x v="706"/>
    <x v="0"/>
    <x v="0"/>
    <x v="0"/>
    <x v="435"/>
    <x v="14"/>
    <x v="767"/>
    <x v="15"/>
    <x v="3"/>
    <x v="64"/>
    <x v="0"/>
    <x v="5033"/>
  </r>
  <r>
    <x v="0"/>
    <x v="2394"/>
    <x v="311"/>
    <x v="110"/>
    <x v="0"/>
    <x v="298"/>
    <x v="471"/>
    <x v="4031"/>
    <x v="582"/>
    <x v="2091"/>
    <x v="3025"/>
    <x v="3514"/>
    <x v="4907"/>
    <x v="4819"/>
    <x v="2095"/>
    <x v="0"/>
    <x v="4754"/>
    <x v="4910"/>
    <x v="816"/>
    <x v="0"/>
    <x v="65"/>
    <x v="9"/>
    <x v="435"/>
    <x v="12"/>
    <x v="253"/>
    <x v="22"/>
    <x v="2"/>
    <x v="571"/>
    <x v="0"/>
    <x v="5034"/>
  </r>
  <r>
    <x v="0"/>
    <x v="423"/>
    <x v="392"/>
    <x v="113"/>
    <x v="0"/>
    <x v="423"/>
    <x v="775"/>
    <x v="4032"/>
    <x v="400"/>
    <x v="2092"/>
    <x v="3026"/>
    <x v="3515"/>
    <x v="4908"/>
    <x v="4820"/>
    <x v="3956"/>
    <x v="0"/>
    <x v="4755"/>
    <x v="4911"/>
    <x v="140"/>
    <x v="6"/>
    <x v="0"/>
    <x v="4"/>
    <x v="435"/>
    <x v="29"/>
    <x v="658"/>
    <x v="8"/>
    <x v="15"/>
    <x v="1"/>
    <x v="0"/>
    <x v="5035"/>
  </r>
  <r>
    <x v="0"/>
    <x v="2395"/>
    <x v="4"/>
    <x v="95"/>
    <x v="216"/>
    <x v="621"/>
    <x v="424"/>
    <x v="4"/>
    <x v="152"/>
    <x v="2093"/>
    <x v="3027"/>
    <x v="3516"/>
    <x v="4909"/>
    <x v="4821"/>
    <x v="3975"/>
    <x v="0"/>
    <x v="4756"/>
    <x v="4912"/>
    <x v="326"/>
    <x v="0"/>
    <x v="0"/>
    <x v="0"/>
    <x v="436"/>
    <x v="12"/>
    <x v="462"/>
    <x v="6"/>
    <x v="2"/>
    <x v="404"/>
    <x v="0"/>
    <x v="5036"/>
  </r>
  <r>
    <x v="0"/>
    <x v="1734"/>
    <x v="369"/>
    <x v="54"/>
    <x v="0"/>
    <x v="634"/>
    <x v="416"/>
    <x v="4033"/>
    <x v="200"/>
    <x v="2094"/>
    <x v="3028"/>
    <x v="3517"/>
    <x v="4910"/>
    <x v="4735"/>
    <x v="3976"/>
    <x v="1"/>
    <x v="4757"/>
    <x v="4913"/>
    <x v="792"/>
    <x v="0"/>
    <x v="0"/>
    <x v="9"/>
    <x v="437"/>
    <x v="10"/>
    <x v="916"/>
    <x v="21"/>
    <x v="2"/>
    <x v="128"/>
    <x v="0"/>
    <x v="5037"/>
  </r>
  <r>
    <x v="0"/>
    <x v="2396"/>
    <x v="93"/>
    <x v="101"/>
    <x v="216"/>
    <x v="461"/>
    <x v="660"/>
    <x v="4"/>
    <x v="200"/>
    <x v="1507"/>
    <x v="3029"/>
    <x v="865"/>
    <x v="4911"/>
    <x v="4822"/>
    <x v="3943"/>
    <x v="4"/>
    <x v="4758"/>
    <x v="4914"/>
    <x v="843"/>
    <x v="0"/>
    <x v="4"/>
    <x v="1"/>
    <x v="4"/>
    <x v="9"/>
    <x v="917"/>
    <x v="16"/>
    <x v="2"/>
    <x v="643"/>
    <x v="0"/>
    <x v="5038"/>
  </r>
  <r>
    <x v="0"/>
    <x v="113"/>
    <x v="425"/>
    <x v="116"/>
    <x v="88"/>
    <x v="552"/>
    <x v="236"/>
    <x v="4"/>
    <x v="171"/>
    <x v="2095"/>
    <x v="3030"/>
    <x v="3518"/>
    <x v="4912"/>
    <x v="4823"/>
    <x v="465"/>
    <x v="1"/>
    <x v="4759"/>
    <x v="4915"/>
    <x v="844"/>
    <x v="0"/>
    <x v="0"/>
    <x v="5"/>
    <x v="4"/>
    <x v="4"/>
    <x v="325"/>
    <x v="7"/>
    <x v="12"/>
    <x v="121"/>
    <x v="0"/>
    <x v="5039"/>
  </r>
  <r>
    <x v="0"/>
    <x v="2397"/>
    <x v="457"/>
    <x v="93"/>
    <x v="0"/>
    <x v="298"/>
    <x v="471"/>
    <x v="4"/>
    <x v="327"/>
    <x v="2096"/>
    <x v="3031"/>
    <x v="3519"/>
    <x v="4913"/>
    <x v="3734"/>
    <x v="2095"/>
    <x v="0"/>
    <x v="4"/>
    <x v="4916"/>
    <x v="416"/>
    <x v="0"/>
    <x v="0"/>
    <x v="1"/>
    <x v="438"/>
    <x v="9"/>
    <x v="253"/>
    <x v="22"/>
    <x v="2"/>
    <x v="745"/>
    <x v="0"/>
    <x v="5040"/>
  </r>
  <r>
    <x v="0"/>
    <x v="2398"/>
    <x v="369"/>
    <x v="7"/>
    <x v="0"/>
    <x v="244"/>
    <x v="505"/>
    <x v="4034"/>
    <x v="105"/>
    <x v="946"/>
    <x v="78"/>
    <x v="3520"/>
    <x v="4914"/>
    <x v="4824"/>
    <x v="3977"/>
    <x v="7"/>
    <x v="4"/>
    <x v="4917"/>
    <x v="561"/>
    <x v="0"/>
    <x v="0"/>
    <x v="0"/>
    <x v="4"/>
    <x v="3"/>
    <x v="57"/>
    <x v="22"/>
    <x v="1"/>
    <x v="339"/>
    <x v="0"/>
    <x v="5041"/>
  </r>
  <r>
    <x v="0"/>
    <x v="1878"/>
    <x v="425"/>
    <x v="78"/>
    <x v="106"/>
    <x v="403"/>
    <x v="780"/>
    <x v="4035"/>
    <x v="4"/>
    <x v="2097"/>
    <x v="3032"/>
    <x v="3521"/>
    <x v="4915"/>
    <x v="4825"/>
    <x v="3542"/>
    <x v="0"/>
    <x v="4760"/>
    <x v="4918"/>
    <x v="591"/>
    <x v="0"/>
    <x v="0"/>
    <x v="2"/>
    <x v="439"/>
    <x v="14"/>
    <x v="131"/>
    <x v="4"/>
    <x v="3"/>
    <x v="704"/>
    <x v="0"/>
    <x v="50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0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1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2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3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4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5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6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7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8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59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0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5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6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7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8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19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0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1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2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3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5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6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7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8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49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50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51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52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53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54"/>
  </r>
  <r>
    <x v="2"/>
    <x v="113"/>
    <x v="4"/>
    <x v="4"/>
    <x v="88"/>
    <x v="4"/>
    <x v="790"/>
    <x v="4"/>
    <x v="914"/>
    <x v="1763"/>
    <x v="217"/>
    <x v="4"/>
    <x v="4916"/>
    <x v="4826"/>
    <x v="3978"/>
    <x v="9"/>
    <x v="4"/>
    <x v="4919"/>
    <x v="4"/>
    <x v="1"/>
    <x v="2"/>
    <x v="1"/>
    <x v="4"/>
    <x v="4"/>
    <x v="147"/>
    <x v="78"/>
    <x v="2"/>
    <x v="876"/>
    <x v="0"/>
    <x v="6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No. of Records" cacheId="0" autoFormatId="1" applyNumberFormats="0" applyBorderFormats="0" applyFontFormats="0" applyPatternFormats="0" applyAlignmentFormats="0" applyWidthHeightFormats="1" dataCaption="" updatedVersion="5" compact="0" compactData="0" showDrill="1">
  <location ref="A1:A2" firstHeaderRow="1" firstDataRow="1" firstDataCol="0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dataFields count="1">
    <dataField name="COUNTA of movie_title" fld="12" subtotal="count" baseField="0" baseItem="0"/>
  </dataFields>
  <pivotTableStyleInfo showRowHeaders="1" showColHeaders="1"/>
</pivotTableDefinition>
</file>

<file path=xl/pivotTables/pivotTable2.xml><?xml version="1.0" encoding="utf-8"?>
<pivotTableDefinition xmlns="http://schemas.openxmlformats.org/spreadsheetml/2006/main" name="Visulaize movie by Duration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4917" firstHeaderRow="1" firstDataRow="1" firstDataCol="1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4917">
        <item x="4349"/>
        <item x="3597"/>
        <item x="4152"/>
        <item x="3629"/>
        <item x="2964"/>
        <item x="2799"/>
        <item x="276"/>
        <item x="400"/>
        <item x="3358"/>
        <item x="3576"/>
        <item x="4706"/>
        <item x="1720"/>
        <item x="2253"/>
        <item x="2148"/>
        <item x="2399"/>
        <item x="1610"/>
        <item x="961"/>
        <item x="2056"/>
        <item x="1158"/>
        <item x="1106"/>
        <item x="4493"/>
        <item x="1210"/>
        <item x="3880"/>
        <item x="1707"/>
        <item x="1541"/>
        <item x="4543"/>
        <item x="509"/>
        <item x="714"/>
        <item x="3934"/>
        <item x="4849"/>
        <item x="4459"/>
        <item x="3641"/>
        <item x="3544"/>
        <item x="3027"/>
        <item x="60"/>
        <item x="4094"/>
        <item x="2945"/>
        <item x="2829"/>
        <item x="2233"/>
        <item x="1144"/>
        <item x="1399"/>
        <item x="930"/>
        <item x="4210"/>
        <item x="3774"/>
        <item x="1591"/>
        <item x="3303"/>
        <item x="1138"/>
        <item x="2616"/>
        <item x="4718"/>
        <item x="1763"/>
        <item x="2566"/>
        <item x="2255"/>
        <item x="3833"/>
        <item x="4783"/>
        <item x="1043"/>
        <item x="1636"/>
        <item x="1757"/>
        <item x="4049"/>
        <item x="701"/>
        <item x="258"/>
        <item x="697"/>
        <item x="1333"/>
        <item x="4532"/>
        <item x="2466"/>
        <item x="1195"/>
        <item x="4671"/>
        <item x="85"/>
        <item x="2962"/>
        <item x="524"/>
        <item x="3308"/>
        <item x="3404"/>
        <item x="4703"/>
        <item x="2826"/>
        <item x="2481"/>
        <item x="4137"/>
        <item x="4013"/>
        <item x="1167"/>
        <item x="3338"/>
        <item x="4115"/>
        <item x="1673"/>
        <item x="1246"/>
        <item x="1651"/>
        <item x="3705"/>
        <item x="2416"/>
        <item x="502"/>
        <item x="4277"/>
        <item x="3146"/>
        <item x="1826"/>
        <item x="1086"/>
        <item x="4815"/>
        <item x="61"/>
        <item x="3952"/>
        <item x="2330"/>
        <item x="743"/>
        <item x="2281"/>
        <item x="3446"/>
        <item x="4826"/>
        <item x="3684"/>
        <item x="1509"/>
        <item x="4523"/>
        <item x="4778"/>
        <item x="4244"/>
        <item x="343"/>
        <item x="1484"/>
        <item x="4081"/>
        <item x="2235"/>
        <item x="4607"/>
        <item x="3839"/>
        <item x="4093"/>
        <item x="1543"/>
        <item x="3503"/>
        <item x="1169"/>
        <item x="1185"/>
        <item x="4484"/>
        <item x="3877"/>
        <item x="1926"/>
        <item x="3070"/>
        <item x="1882"/>
        <item x="1375"/>
        <item x="3889"/>
        <item x="2666"/>
        <item x="3534"/>
        <item x="1256"/>
        <item x="1314"/>
        <item x="2287"/>
        <item x="2643"/>
        <item x="2467"/>
        <item x="3974"/>
        <item x="3634"/>
        <item x="2793"/>
        <item x="3525"/>
        <item x="1407"/>
        <item x="1783"/>
        <item x="2746"/>
        <item x="1960"/>
        <item x="4913"/>
        <item x="3080"/>
        <item x="3620"/>
        <item x="3975"/>
        <item x="2282"/>
        <item x="4550"/>
        <item x="3429"/>
        <item x="3580"/>
        <item x="2476"/>
        <item x="1770"/>
        <item x="3433"/>
        <item x="499"/>
        <item x="4263"/>
        <item x="2971"/>
        <item x="3307"/>
        <item x="1303"/>
        <item x="1182"/>
        <item x="985"/>
        <item x="4870"/>
        <item x="1988"/>
        <item x="2188"/>
        <item x="880"/>
        <item x="1618"/>
        <item x="1819"/>
        <item x="2761"/>
        <item x="2986"/>
        <item x="1715"/>
        <item x="2957"/>
        <item x="369"/>
        <item x="1965"/>
        <item x="4259"/>
        <item x="4257"/>
        <item x="1455"/>
        <item x="3504"/>
        <item x="1793"/>
        <item x="2798"/>
        <item x="1597"/>
        <item x="2924"/>
        <item x="636"/>
        <item x="4857"/>
        <item x="964"/>
        <item x="1845"/>
        <item x="2877"/>
        <item x="1581"/>
        <item x="1104"/>
        <item x="2880"/>
        <item x="3418"/>
        <item x="3192"/>
        <item x="3960"/>
        <item x="2357"/>
        <item x="3660"/>
        <item x="2832"/>
        <item x="3869"/>
        <item x="4587"/>
        <item x="3201"/>
        <item x="873"/>
        <item x="195"/>
        <item x="821"/>
        <item x="4591"/>
        <item x="3793"/>
        <item x="1322"/>
        <item x="4282"/>
        <item x="1836"/>
        <item x="1887"/>
        <item x="629"/>
        <item x="3479"/>
        <item x="3981"/>
        <item x="393"/>
        <item x="4410"/>
        <item x="3798"/>
        <item x="3905"/>
        <item x="4474"/>
        <item x="3318"/>
        <item x="3361"/>
        <item x="1731"/>
        <item x="3390"/>
        <item x="3717"/>
        <item x="1680"/>
        <item x="1447"/>
        <item x="1306"/>
        <item x="1759"/>
        <item x="113"/>
        <item x="4181"/>
        <item x="1289"/>
        <item x="269"/>
        <item x="3387"/>
        <item x="33"/>
        <item x="106"/>
        <item x="857"/>
        <item x="4128"/>
        <item x="3428"/>
        <item x="3220"/>
        <item x="755"/>
        <item x="1110"/>
        <item x="1239"/>
        <item x="2455"/>
        <item x="1538"/>
        <item x="2621"/>
        <item x="2741"/>
        <item x="2307"/>
        <item x="3765"/>
        <item x="4241"/>
        <item x="3287"/>
        <item x="3257"/>
        <item x="4897"/>
        <item x="416"/>
        <item x="4575"/>
        <item x="891"/>
        <item x="1114"/>
        <item x="2706"/>
        <item x="4469"/>
        <item x="261"/>
        <item x="4659"/>
        <item x="780"/>
        <item x="3360"/>
        <item x="1376"/>
        <item x="2284"/>
        <item x="4494"/>
        <item x="1735"/>
        <item x="1147"/>
        <item x="4769"/>
        <item x="3472"/>
        <item x="2206"/>
        <item x="828"/>
        <item x="442"/>
        <item x="365"/>
        <item x="590"/>
        <item x="4146"/>
        <item x="2378"/>
        <item x="1287"/>
        <item x="2769"/>
        <item x="4654"/>
        <item x="2570"/>
        <item x="4741"/>
        <item x="2484"/>
        <item x="287"/>
        <item x="4565"/>
        <item x="3204"/>
        <item x="4548"/>
        <item x="3119"/>
        <item x="1175"/>
        <item x="4702"/>
        <item x="1473"/>
        <item x="1571"/>
        <item x="2871"/>
        <item x="3321"/>
        <item x="969"/>
        <item x="805"/>
        <item x="4174"/>
        <item x="835"/>
        <item x="1056"/>
        <item x="4742"/>
        <item x="4336"/>
        <item x="1237"/>
        <item x="4063"/>
        <item x="3868"/>
        <item x="4176"/>
        <item x="3207"/>
        <item x="3177"/>
        <item x="2275"/>
        <item x="4796"/>
        <item x="2744"/>
        <item x="4820"/>
        <item x="3378"/>
        <item x="3867"/>
        <item x="3024"/>
        <item x="4446"/>
        <item x="1691"/>
        <item x="1083"/>
        <item x="1911"/>
        <item x="775"/>
        <item x="1589"/>
        <item x="893"/>
        <item x="4117"/>
        <item x="925"/>
        <item x="1885"/>
        <item x="2413"/>
        <item x="4528"/>
        <item x="4730"/>
        <item x="1339"/>
        <item x="1952"/>
        <item x="129"/>
        <item x="824"/>
        <item x="3964"/>
        <item x="3808"/>
        <item x="1168"/>
        <item x="1711"/>
        <item x="3617"/>
        <item x="547"/>
        <item x="1031"/>
        <item x="3487"/>
        <item x="3799"/>
        <item x="3895"/>
        <item x="3816"/>
        <item x="664"/>
        <item x="3336"/>
        <item x="1797"/>
        <item x="4806"/>
        <item x="3876"/>
        <item x="3337"/>
        <item x="4816"/>
        <item x="4483"/>
        <item x="4122"/>
        <item x="1696"/>
        <item x="3966"/>
        <item x="184"/>
        <item x="2849"/>
        <item x="718"/>
        <item x="726"/>
        <item x="2427"/>
        <item x="2041"/>
        <item x="1556"/>
        <item x="1225"/>
        <item x="648"/>
        <item x="3677"/>
        <item x="2212"/>
        <item x="3674"/>
        <item x="4567"/>
        <item x="2908"/>
        <item x="1565"/>
        <item x="2559"/>
        <item x="2926"/>
        <item x="4800"/>
        <item x="2140"/>
        <item x="3730"/>
        <item x="1127"/>
        <item x="2105"/>
        <item x="150"/>
        <item x="2241"/>
        <item x="3005"/>
        <item x="2527"/>
        <item x="4599"/>
        <item x="268"/>
        <item x="4817"/>
        <item x="497"/>
        <item x="413"/>
        <item x="1254"/>
        <item x="3659"/>
        <item x="923"/>
        <item x="4674"/>
        <item x="4527"/>
        <item x="990"/>
        <item x="1668"/>
        <item x="239"/>
        <item x="688"/>
        <item x="1275"/>
        <item x="2473"/>
        <item x="364"/>
        <item x="3134"/>
        <item x="3715"/>
        <item x="1622"/>
        <item x="2842"/>
        <item x="1913"/>
        <item x="3944"/>
        <item x="1924"/>
        <item x="687"/>
        <item x="2374"/>
        <item x="1386"/>
        <item x="194"/>
        <item x="3447"/>
        <item x="2710"/>
        <item x="1241"/>
        <item x="0"/>
        <item x="8"/>
        <item x="589"/>
        <item x="3270"/>
        <item x="2120"/>
        <item x="4055"/>
        <item x="4721"/>
        <item x="1317"/>
        <item x="1601"/>
        <item x="494"/>
        <item x="2177"/>
        <item x="2520"/>
        <item x="2806"/>
        <item x="1606"/>
        <item x="1107"/>
        <item x="1011"/>
        <item x="4032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5"/>
        <item x="3276"/>
        <item x="4789"/>
        <item x="1467"/>
        <item x="614"/>
        <item x="4539"/>
        <item x="3142"/>
        <item x="4231"/>
        <item x="1494"/>
        <item x="545"/>
        <item x="2285"/>
        <item x="4520"/>
        <item x="4905"/>
        <item x="1120"/>
        <item x="4525"/>
        <item x="3277"/>
        <item x="3256"/>
        <item x="2372"/>
        <item x="2875"/>
        <item x="3763"/>
        <item x="2656"/>
        <item x="1693"/>
        <item x="915"/>
        <item x="2997"/>
        <item x="4058"/>
        <item x="620"/>
        <item x="994"/>
        <item x="4017"/>
        <item x="4129"/>
        <item x="2708"/>
        <item x="214"/>
        <item x="120"/>
        <item x="305"/>
        <item x="435"/>
        <item x="10"/>
        <item x="1387"/>
        <item x="3935"/>
        <item x="4359"/>
        <item x="3497"/>
        <item x="4267"/>
        <item x="594"/>
        <item x="2273"/>
        <item x="489"/>
        <item x="28"/>
        <item x="538"/>
        <item x="2256"/>
        <item x="2468"/>
        <item x="3566"/>
        <item x="4266"/>
        <item x="1018"/>
        <item x="1901"/>
        <item x="2882"/>
        <item x="1319"/>
        <item x="2618"/>
        <item x="2502"/>
        <item x="1041"/>
        <item x="450"/>
        <item x="137"/>
        <item x="4086"/>
        <item x="2460"/>
        <item x="2585"/>
        <item x="2098"/>
        <item x="4000"/>
        <item x="4102"/>
        <item x="4175"/>
        <item x="3347"/>
        <item x="3962"/>
        <item x="1214"/>
        <item x="2813"/>
        <item x="2415"/>
        <item x="3953"/>
        <item x="900"/>
        <item x="4408"/>
        <item x="3593"/>
        <item x="4866"/>
        <item x="3268"/>
        <item x="3980"/>
        <item x="363"/>
        <item x="4613"/>
        <item x="152"/>
        <item x="3541"/>
        <item x="3529"/>
        <item x="4738"/>
        <item x="2138"/>
        <item x="2132"/>
        <item x="972"/>
        <item x="2564"/>
        <item x="473"/>
        <item x="800"/>
        <item x="4421"/>
        <item x="3432"/>
        <item x="4621"/>
        <item x="2023"/>
        <item x="4444"/>
        <item x="4583"/>
        <item x="381"/>
        <item x="1570"/>
        <item x="3108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49"/>
        <item x="2385"/>
        <item x="2286"/>
        <item x="2828"/>
        <item x="1493"/>
        <item x="4731"/>
        <item x="2094"/>
        <item x="3237"/>
        <item x="326"/>
        <item x="1432"/>
        <item x="896"/>
        <item x="2451"/>
        <item x="3391"/>
        <item x="3128"/>
        <item x="1624"/>
        <item x="4517"/>
        <item x="2664"/>
        <item x="2790"/>
        <item x="1495"/>
        <item x="618"/>
        <item x="3791"/>
        <item x="883"/>
        <item x="1761"/>
        <item x="1080"/>
        <item x="667"/>
        <item x="699"/>
        <item x="1444"/>
        <item x="4082"/>
        <item x="4576"/>
        <item x="4413"/>
        <item x="1095"/>
        <item x="1263"/>
        <item x="1979"/>
        <item x="3184"/>
        <item x="2684"/>
        <item x="1842"/>
        <item x="303"/>
        <item x="3174"/>
        <item x="1487"/>
        <item x="1912"/>
        <item x="995"/>
        <item x="1980"/>
        <item x="4307"/>
        <item x="4666"/>
        <item x="2410"/>
        <item x="1613"/>
        <item x="4471"/>
        <item x="1634"/>
        <item x="2386"/>
        <item x="4399"/>
        <item x="4677"/>
        <item x="1367"/>
        <item x="4441"/>
        <item x="2668"/>
        <item x="2488"/>
        <item x="2755"/>
        <item x="3111"/>
        <item x="634"/>
        <item x="2055"/>
        <item x="1550"/>
        <item x="3235"/>
        <item x="131"/>
        <item x="3323"/>
        <item x="2295"/>
        <item x="3118"/>
        <item x="2160"/>
        <item x="2627"/>
        <item x="2622"/>
        <item x="4171"/>
        <item x="1148"/>
        <item x="2365"/>
        <item x="3742"/>
        <item x="2728"/>
        <item x="4662"/>
        <item x="3716"/>
        <item x="3702"/>
        <item x="3776"/>
        <item x="847"/>
        <item x="3972"/>
        <item x="3830"/>
        <item x="4062"/>
        <item x="2528"/>
        <item x="4166"/>
        <item x="3489"/>
        <item x="4033"/>
        <item x="1193"/>
        <item x="3488"/>
        <item x="4034"/>
        <item x="56"/>
        <item x="567"/>
        <item x="2660"/>
        <item x="1370"/>
        <item x="2956"/>
        <item x="3238"/>
        <item x="4896"/>
        <item x="4106"/>
        <item x="1778"/>
        <item x="3436"/>
        <item x="1915"/>
        <item x="1608"/>
        <item x="1530"/>
        <item x="1213"/>
        <item x="1880"/>
        <item x="977"/>
        <item x="1870"/>
        <item x="4466"/>
        <item x="1939"/>
        <item x="3285"/>
        <item x="3018"/>
        <item x="3041"/>
        <item x="2133"/>
        <item x="1547"/>
        <item x="2775"/>
        <item x="1966"/>
        <item x="658"/>
        <item x="1459"/>
        <item x="2727"/>
        <item x="4600"/>
        <item x="4770"/>
        <item x="3349"/>
        <item x="2996"/>
        <item x="2480"/>
        <item x="2949"/>
        <item x="4260"/>
        <item x="1835"/>
        <item x="3306"/>
        <item x="430"/>
        <item x="1155"/>
        <item x="4464"/>
        <item x="2827"/>
        <item x="3141"/>
        <item x="3865"/>
        <item x="4315"/>
        <item x="2698"/>
        <item x="3424"/>
        <item x="885"/>
        <item x="913"/>
        <item x="2247"/>
        <item x="4149"/>
        <item x="1656"/>
        <item x="4253"/>
        <item x="879"/>
        <item x="1358"/>
        <item x="4772"/>
        <item x="2261"/>
        <item x="4393"/>
        <item x="3517"/>
        <item x="4804"/>
        <item x="4762"/>
        <item x="2304"/>
        <item x="4378"/>
        <item x="3466"/>
        <item x="4305"/>
        <item x="3521"/>
        <item x="2928"/>
        <item x="4785"/>
        <item x="3761"/>
        <item x="3073"/>
        <item x="2296"/>
        <item x="1398"/>
        <item x="2237"/>
        <item x="3413"/>
        <item x="3743"/>
        <item x="1777"/>
        <item x="27"/>
        <item x="170"/>
        <item x="86"/>
        <item x="823"/>
        <item x="836"/>
        <item x="4187"/>
        <item x="4298"/>
        <item x="2766"/>
        <item x="3806"/>
        <item x="2436"/>
        <item x="1981"/>
        <item x="1646"/>
        <item x="553"/>
        <item x="41"/>
        <item x="577"/>
        <item x="3546"/>
        <item x="4425"/>
        <item x="1804"/>
        <item x="2865"/>
        <item x="283"/>
        <item x="911"/>
        <item x="838"/>
        <item x="390"/>
        <item x="3979"/>
        <item x="2855"/>
        <item x="2762"/>
        <item x="902"/>
        <item x="2403"/>
        <item x="2392"/>
        <item x="715"/>
        <item x="425"/>
        <item x="1552"/>
        <item x="309"/>
        <item x="4907"/>
        <item x="3152"/>
        <item x="3117"/>
        <item x="2932"/>
        <item x="4545"/>
        <item x="1100"/>
        <item x="4700"/>
        <item x="2401"/>
        <item x="933"/>
        <item x="4059"/>
        <item x="2701"/>
        <item x="4402"/>
        <item x="4039"/>
        <item x="3906"/>
        <item x="869"/>
        <item x="3458"/>
        <item x="868"/>
        <item x="1082"/>
        <item x="1032"/>
        <item x="3784"/>
        <item x="3600"/>
        <item x="118"/>
        <item x="2941"/>
        <item x="1142"/>
        <item x="534"/>
        <item x="356"/>
        <item x="223"/>
        <item x="438"/>
        <item x="4524"/>
        <item x="4735"/>
        <item x="1689"/>
        <item x="2283"/>
        <item x="3241"/>
        <item x="4839"/>
        <item x="721"/>
        <item x="1183"/>
        <item x="4348"/>
        <item x="2052"/>
        <item x="4436"/>
        <item x="2712"/>
        <item x="4057"/>
        <item x="1569"/>
        <item x="706"/>
        <item x="1146"/>
        <item x="4145"/>
        <item x="1037"/>
        <item x="4510"/>
        <item x="4801"/>
        <item x="519"/>
        <item x="2809"/>
        <item x="3229"/>
        <item x="1500"/>
        <item x="2834"/>
        <item x="1871"/>
        <item x="4486"/>
        <item x="3945"/>
        <item x="3739"/>
        <item x="4120"/>
        <item x="946"/>
        <item x="2885"/>
        <item x="4740"/>
        <item x="3175"/>
        <item x="386"/>
        <item x="332"/>
        <item x="4221"/>
        <item x="4536"/>
        <item x="1293"/>
        <item x="1983"/>
        <item x="1274"/>
        <item x="1277"/>
        <item x="3547"/>
        <item x="845"/>
        <item x="1350"/>
        <item x="2453"/>
        <item x="3947"/>
        <item x="2959"/>
        <item x="4631"/>
        <item x="2309"/>
        <item x="210"/>
        <item x="3954"/>
        <item x="3340"/>
        <item x="4899"/>
        <item x="691"/>
        <item x="1150"/>
        <item x="3648"/>
        <item x="4882"/>
        <item x="423"/>
        <item x="657"/>
        <item x="1833"/>
        <item x="4201"/>
        <item x="2130"/>
        <item x="4061"/>
        <item x="4345"/>
        <item x="1438"/>
        <item x="4841"/>
        <item x="307"/>
        <item x="505"/>
        <item x="353"/>
        <item x="1865"/>
        <item x="3298"/>
        <item x="2776"/>
        <item x="1081"/>
        <item x="2579"/>
        <item x="2050"/>
        <item x="3388"/>
        <item x="2268"/>
        <item x="3371"/>
        <item x="4239"/>
        <item x="456"/>
        <item x="415"/>
        <item x="728"/>
        <item x="3549"/>
        <item x="1272"/>
        <item x="3571"/>
        <item x="3973"/>
        <item x="3058"/>
        <item x="4026"/>
        <item x="4734"/>
        <item x="454"/>
        <item x="385"/>
        <item x="2394"/>
        <item x="1454"/>
        <item x="1724"/>
        <item x="2614"/>
        <item x="2652"/>
        <item x="939"/>
        <item x="2269"/>
        <item x="4285"/>
        <item x="463"/>
        <item x="531"/>
        <item x="371"/>
        <item x="734"/>
        <item x="4155"/>
        <item x="1892"/>
        <item x="3507"/>
        <item x="4668"/>
        <item x="2729"/>
        <item x="2598"/>
        <item x="1362"/>
        <item x="2182"/>
        <item x="3017"/>
        <item x="736"/>
        <item x="3166"/>
        <item x="2992"/>
        <item x="1626"/>
        <item x="4411"/>
        <item x="4864"/>
        <item x="2635"/>
        <item x="719"/>
        <item x="1060"/>
        <item x="2298"/>
        <item x="4169"/>
        <item x="1084"/>
        <item x="1907"/>
        <item x="1553"/>
        <item x="2915"/>
        <item x="2246"/>
        <item x="3137"/>
        <item x="3274"/>
        <item x="2690"/>
        <item x="4646"/>
        <item x="944"/>
        <item x="2816"/>
        <item x="4495"/>
        <item x="4031"/>
        <item x="1355"/>
        <item x="3910"/>
        <item x="424"/>
        <item x="4694"/>
        <item x="3478"/>
        <item x="1559"/>
        <item x="841"/>
        <item x="2951"/>
        <item x="2726"/>
        <item x="1921"/>
        <item x="3265"/>
        <item x="2752"/>
        <item x="4603"/>
        <item x="3595"/>
        <item x="2888"/>
        <item x="2569"/>
        <item x="4409"/>
        <item x="2988"/>
        <item x="1727"/>
        <item x="4439"/>
        <item x="4551"/>
        <item x="4743"/>
        <item x="954"/>
        <item x="1119"/>
        <item x="1460"/>
        <item x="346"/>
        <item x="2958"/>
        <item x="3445"/>
        <item x="3929"/>
        <item x="4384"/>
        <item x="3532"/>
        <item x="713"/>
        <item x="935"/>
        <item x="3644"/>
        <item x="2496"/>
        <item x="4030"/>
        <item x="1919"/>
        <item x="2860"/>
        <item x="4131"/>
        <item x="2327"/>
        <item x="2967"/>
        <item x="1998"/>
        <item x="3131"/>
        <item x="244"/>
        <item x="453"/>
        <item x="3442"/>
        <item x="2665"/>
        <item x="1799"/>
        <item x="134"/>
        <item x="794"/>
        <item x="3407"/>
        <item x="3026"/>
        <item x="2953"/>
        <item x="2090"/>
        <item x="2922"/>
        <item x="2156"/>
        <item x="837"/>
        <item x="3990"/>
        <item x="4873"/>
        <item x="1743"/>
        <item x="83"/>
        <item x="3939"/>
        <item x="2439"/>
        <item x="3949"/>
        <item x="2201"/>
        <item x="487"/>
        <item x="4014"/>
        <item x="720"/>
        <item x="3475"/>
        <item x="3733"/>
        <item x="1699"/>
        <item x="2748"/>
        <item x="2987"/>
        <item x="4415"/>
        <item x="2505"/>
        <item x="4562"/>
        <item x="3579"/>
        <item x="4275"/>
        <item x="4005"/>
        <item x="803"/>
        <item x="3764"/>
        <item x="1931"/>
        <item x="3359"/>
        <item x="2110"/>
        <item x="851"/>
        <item x="4737"/>
        <item x="4727"/>
        <item x="671"/>
        <item x="2264"/>
        <item x="1019"/>
        <item x="4634"/>
        <item x="916"/>
        <item x="2259"/>
        <item x="3725"/>
        <item x="732"/>
        <item x="439"/>
        <item x="1117"/>
        <item x="4370"/>
        <item x="3898"/>
        <item x="1014"/>
        <item x="3410"/>
        <item x="471"/>
        <item x="2779"/>
        <item x="2824"/>
        <item x="1304"/>
        <item x="1661"/>
        <item x="2076"/>
        <item x="2654"/>
        <item x="4043"/>
        <item x="4450"/>
        <item x="2072"/>
        <item x="3724"/>
        <item x="3892"/>
        <item x="3414"/>
        <item x="515"/>
        <item x="626"/>
        <item x="4580"/>
        <item x="4645"/>
        <item x="3225"/>
        <item x="4558"/>
        <item x="2542"/>
        <item x="2075"/>
        <item x="2369"/>
        <item x="3124"/>
        <item x="3060"/>
        <item x="3421"/>
        <item x="4667"/>
        <item x="3401"/>
        <item x="3601"/>
        <item x="2580"/>
        <item x="2079"/>
        <item x="2376"/>
        <item x="4073"/>
        <item x="1048"/>
        <item x="2823"/>
        <item x="2470"/>
        <item x="813"/>
        <item x="148"/>
        <item x="584"/>
        <item x="361"/>
        <item x="1738"/>
        <item x="3686"/>
        <item x="4302"/>
        <item x="3675"/>
        <item x="635"/>
        <item x="4200"/>
        <item x="196"/>
        <item x="2974"/>
        <item x="3113"/>
        <item x="2821"/>
        <item x="2240"/>
        <item x="844"/>
        <item x="1585"/>
        <item x="2695"/>
        <item x="1307"/>
        <item x="2636"/>
        <item x="407"/>
        <item x="1788"/>
        <item x="293"/>
        <item x="3611"/>
        <item x="4141"/>
        <item x="1705"/>
        <item x="4516"/>
        <item x="574"/>
        <item x="2975"/>
        <item x="1579"/>
        <item x="3066"/>
        <item x="4709"/>
        <item x="4679"/>
        <item x="1373"/>
        <item x="1364"/>
        <item x="3542"/>
        <item x="3460"/>
        <item x="895"/>
        <item x="1015"/>
        <item x="3603"/>
        <item x="1929"/>
        <item x="3578"/>
        <item x="4574"/>
        <item x="1423"/>
        <item x="3782"/>
        <item x="4079"/>
        <item x="1933"/>
        <item x="956"/>
        <item x="2272"/>
        <item x="607"/>
        <item x="1522"/>
        <item x="3425"/>
        <item x="2523"/>
        <item x="1177"/>
        <item x="2014"/>
        <item x="2179"/>
        <item x="3653"/>
        <item x="4400"/>
        <item x="3894"/>
        <item x="3348"/>
        <item x="4881"/>
        <item x="1600"/>
        <item x="3232"/>
        <item x="2784"/>
        <item x="566"/>
        <item x="4435"/>
        <item x="4264"/>
        <item x="1758"/>
        <item x="601"/>
        <item x="4419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0"/>
        <item x="645"/>
        <item x="1542"/>
        <item x="536"/>
        <item x="3956"/>
        <item x="422"/>
        <item x="3492"/>
        <item x="1255"/>
        <item x="4633"/>
        <item x="1023"/>
        <item x="2982"/>
        <item x="3317"/>
        <item x="2613"/>
        <item x="571"/>
        <item x="3756"/>
        <item x="3372"/>
        <item x="3107"/>
        <item x="2531"/>
        <item x="2149"/>
        <item x="4890"/>
        <item x="2795"/>
        <item x="4838"/>
        <item x="2091"/>
        <item x="654"/>
        <item x="3528"/>
        <item x="2540"/>
        <item x="3626"/>
        <item x="2947"/>
        <item x="2506"/>
        <item x="1197"/>
        <item x="1655"/>
        <item x="1103"/>
        <item x="2711"/>
        <item x="1294"/>
        <item x="766"/>
        <item x="4889"/>
        <item x="2321"/>
        <item x="3741"/>
        <item x="2311"/>
        <item x="4279"/>
        <item x="4021"/>
        <item x="3028"/>
        <item x="455"/>
        <item x="2815"/>
        <item x="1047"/>
        <item x="4007"/>
        <item x="1005"/>
        <item x="3327"/>
        <item x="3803"/>
        <item x="2765"/>
        <item x="723"/>
        <item x="4843"/>
        <item x="4272"/>
        <item x="2419"/>
        <item x="1927"/>
        <item x="4367"/>
        <item x="4222"/>
        <item x="4144"/>
        <item x="773"/>
        <item x="75"/>
        <item x="3171"/>
        <item x="795"/>
        <item x="2151"/>
        <item x="1198"/>
        <item x="1671"/>
        <item x="4265"/>
        <item x="4908"/>
        <item x="3279"/>
        <item x="682"/>
        <item x="1525"/>
        <item x="3486"/>
        <item x="1914"/>
        <item x="872"/>
        <item x="887"/>
        <item x="1453"/>
        <item x="4150"/>
        <item x="3994"/>
        <item x="3176"/>
        <item x="226"/>
        <item x="4542"/>
        <item x="3582"/>
        <item x="3909"/>
        <item x="3072"/>
        <item x="397"/>
        <item x="302"/>
        <item x="3104"/>
        <item x="2600"/>
        <item x="265"/>
        <item x="2217"/>
        <item x="408"/>
        <item x="403"/>
        <item x="3326"/>
        <item x="1336"/>
        <item x="4656"/>
        <item x="4053"/>
        <item x="2552"/>
        <item x="1648"/>
        <item x="637"/>
        <item x="2245"/>
        <item x="2166"/>
        <item x="300"/>
        <item x="2300"/>
        <item x="298"/>
        <item x="292"/>
        <item x="4832"/>
        <item x="928"/>
        <item x="2872"/>
        <item x="3305"/>
        <item x="997"/>
        <item x="3530"/>
        <item x="1224"/>
        <item x="4097"/>
        <item x="4588"/>
        <item x="621"/>
        <item x="2493"/>
        <item x="2196"/>
        <item x="3187"/>
        <item x="4212"/>
        <item x="1936"/>
        <item x="74"/>
        <item x="785"/>
        <item x="1822"/>
        <item x="685"/>
        <item x="2265"/>
        <item x="2263"/>
        <item x="3706"/>
        <item x="4648"/>
        <item x="4162"/>
        <item x="3661"/>
        <item x="3922"/>
        <item x="2482"/>
        <item x="858"/>
        <item x="483"/>
        <item x="2812"/>
        <item x="4755"/>
        <item x="2838"/>
        <item x="853"/>
        <item x="4892"/>
        <item x="3790"/>
        <item x="2127"/>
        <item x="1510"/>
        <item x="158"/>
        <item x="2743"/>
        <item x="526"/>
        <item x="4314"/>
        <item x="3385"/>
        <item x="1575"/>
        <item x="1342"/>
        <item x="4406"/>
        <item x="1300"/>
        <item x="1258"/>
        <item x="2194"/>
        <item x="2639"/>
        <item x="4114"/>
        <item x="882"/>
        <item x="663"/>
        <item x="2994"/>
        <item x="4692"/>
        <item x="449"/>
        <item x="4830"/>
        <item x="3448"/>
        <item x="3516"/>
        <item x="942"/>
        <item x="1013"/>
        <item x="4612"/>
        <item x="4420"/>
        <item x="2835"/>
        <item x="3800"/>
        <item x="2398"/>
        <item x="3986"/>
        <item x="474"/>
        <item x="4136"/>
        <item x="219"/>
        <item x="246"/>
        <item x="1284"/>
        <item x="2777"/>
        <item x="3375"/>
        <item x="3734"/>
        <item x="3415"/>
        <item x="3728"/>
        <item x="208"/>
        <item x="3772"/>
        <item x="2027"/>
        <item x="1093"/>
        <item x="4092"/>
        <item x="2723"/>
        <item x="2955"/>
        <item x="2360"/>
        <item x="4521"/>
        <item x="1292"/>
        <item x="3963"/>
        <item x="2693"/>
        <item x="1489"/>
        <item x="4343"/>
        <item x="1253"/>
        <item x="3223"/>
        <item x="3353"/>
        <item x="3190"/>
        <item x="3682"/>
        <item x="1180"/>
        <item x="675"/>
        <item x="4658"/>
        <item x="2337"/>
        <item x="4724"/>
        <item x="4379"/>
        <item x="1828"/>
        <item x="1878"/>
        <item x="1250"/>
        <item x="2034"/>
        <item x="169"/>
        <item x="2836"/>
        <item x="1137"/>
        <item x="334"/>
        <item x="1881"/>
        <item x="4638"/>
        <item x="2230"/>
        <item x="2108"/>
        <item x="4611"/>
        <item x="2641"/>
        <item x="2345"/>
        <item x="963"/>
        <item x="1051"/>
        <item x="546"/>
        <item x="4723"/>
        <item x="4029"/>
        <item x="4467"/>
        <item x="897"/>
        <item x="3260"/>
        <item x="1445"/>
        <item x="2289"/>
        <item x="3403"/>
        <item x="1824"/>
        <item x="1810"/>
        <item x="1670"/>
        <item x="2629"/>
        <item x="1470"/>
        <item x="555"/>
        <item x="1561"/>
        <item x="843"/>
        <item x="2774"/>
        <item x="1846"/>
        <item x="3422"/>
        <item x="1736"/>
        <item x="458"/>
        <item x="143"/>
        <item x="788"/>
        <item x="3735"/>
        <item x="4891"/>
        <item x="665"/>
        <item x="4529"/>
        <item x="4452"/>
        <item x="1126"/>
        <item x="4296"/>
        <item x="562"/>
        <item x="2006"/>
        <item x="4544"/>
        <item x="2115"/>
        <item x="3035"/>
        <item x="984"/>
        <item x="2931"/>
        <item x="1749"/>
        <item x="3691"/>
        <item x="4374"/>
        <item x="1603"/>
        <item x="1809"/>
        <item x="827"/>
        <item x="2051"/>
        <item x="4038"/>
        <item x="2930"/>
        <item x="4335"/>
        <item x="1605"/>
        <item x="447"/>
        <item x="3896"/>
        <item x="3843"/>
        <item x="4052"/>
        <item x="3771"/>
        <item x="3002"/>
        <item x="4018"/>
        <item x="1320"/>
        <item x="4506"/>
        <item x="4064"/>
        <item x="3587"/>
        <item x="1816"/>
        <item x="2644"/>
        <item x="1862"/>
        <item x="3639"/>
        <item x="856"/>
        <item x="1001"/>
        <item x="3181"/>
        <item x="2114"/>
        <item x="2719"/>
        <item x="3463"/>
        <item x="4027"/>
        <item x="4226"/>
        <item x="3915"/>
        <item x="1566"/>
        <item x="2897"/>
        <item x="3061"/>
        <item x="1604"/>
        <item x="4376"/>
        <item x="4138"/>
        <item x="4070"/>
        <item x="3665"/>
        <item x="4139"/>
        <item x="4083"/>
        <item x="3907"/>
        <item x="1413"/>
        <item x="3495"/>
        <item x="1682"/>
        <item x="4417"/>
        <item x="2226"/>
        <item x="1087"/>
        <item x="4293"/>
        <item x="2934"/>
        <item x="912"/>
        <item x="4157"/>
        <item x="1723"/>
        <item x="4458"/>
        <item x="125"/>
        <item x="4537"/>
        <item x="4112"/>
        <item x="3794"/>
        <item x="4188"/>
        <item x="2757"/>
        <item x="156"/>
        <item x="2691"/>
        <item x="4884"/>
        <item x="563"/>
        <item x="2499"/>
        <item x="45"/>
        <item x="1466"/>
        <item x="464"/>
        <item x="3875"/>
        <item x="965"/>
        <item x="167"/>
        <item x="77"/>
        <item x="4860"/>
        <item x="3607"/>
        <item x="1077"/>
        <item x="1017"/>
        <item x="2066"/>
        <item x="3718"/>
        <item x="322"/>
        <item x="762"/>
        <item x="4225"/>
        <item x="4101"/>
        <item x="781"/>
        <item x="945"/>
        <item x="1380"/>
        <item x="4178"/>
        <item x="3213"/>
        <item x="1555"/>
        <item x="834"/>
        <item x="4871"/>
        <item x="2218"/>
        <item x="3461"/>
        <item x="1281"/>
        <item x="1192"/>
        <item x="1215"/>
        <item x="3430"/>
        <item x="4123"/>
        <item x="1657"/>
        <item x="3105"/>
        <item x="4196"/>
        <item x="1260"/>
        <item x="1568"/>
        <item x="444"/>
        <item x="2411"/>
        <item x="1963"/>
        <item x="132"/>
        <item x="4185"/>
        <item x="2733"/>
        <item x="221"/>
        <item x="822"/>
        <item x="2187"/>
        <item x="2252"/>
        <item x="3605"/>
        <item x="2059"/>
        <item x="149"/>
        <item x="1771"/>
        <item x="1377"/>
        <item x="890"/>
        <item x="2935"/>
        <item x="4356"/>
        <item x="2921"/>
        <item x="2015"/>
        <item x="4653"/>
        <item x="4766"/>
        <item x="280"/>
        <item x="3253"/>
        <item x="2853"/>
        <item x="3282"/>
        <item x="1627"/>
        <item x="1697"/>
        <item x="4130"/>
        <item x="3494"/>
        <item x="1518"/>
        <item x="3558"/>
        <item x="874"/>
        <item x="3919"/>
        <item x="4438"/>
        <item x="162"/>
        <item x="1688"/>
        <item x="4440"/>
        <item x="98"/>
        <item x="1557"/>
        <item x="709"/>
        <item x="3965"/>
        <item x="3512"/>
        <item x="707"/>
        <item x="279"/>
        <item x="3891"/>
        <item x="2341"/>
        <item x="2462"/>
        <item x="3509"/>
        <item x="2735"/>
        <item x="4793"/>
        <item x="3197"/>
        <item x="4649"/>
        <item x="1906"/>
        <item x="2787"/>
        <item x="3412"/>
        <item x="3037"/>
        <item x="2551"/>
        <item x="1886"/>
        <item x="806"/>
        <item x="4682"/>
        <item x="2382"/>
        <item x="2760"/>
        <item x="1236"/>
        <item x="3622"/>
        <item x="1714"/>
        <item x="4295"/>
        <item x="3248"/>
        <item x="4732"/>
        <item x="1852"/>
        <item x="4405"/>
        <item x="3693"/>
        <item x="4227"/>
        <item x="243"/>
        <item x="3514"/>
        <item x="42"/>
        <item x="3713"/>
        <item x="3369"/>
        <item x="318"/>
        <item x="973"/>
        <item x="2972"/>
        <item x="1649"/>
        <item x="4066"/>
        <item x="899"/>
        <item x="4625"/>
        <item x="2620"/>
        <item x="2715"/>
        <item x="4347"/>
        <item x="443"/>
        <item x="529"/>
        <item x="1324"/>
        <item x="95"/>
        <item x="1401"/>
        <item x="4481"/>
        <item x="255"/>
        <item x="3148"/>
        <item x="3200"/>
        <item x="4799"/>
        <item x="2554"/>
        <item x="1308"/>
        <item x="2083"/>
        <item x="525"/>
        <item x="3319"/>
        <item x="4584"/>
        <item x="1937"/>
        <item x="631"/>
        <item x="3673"/>
        <item x="3540"/>
        <item x="2606"/>
        <item x="4096"/>
        <item x="2461"/>
        <item x="2610"/>
        <item x="3668"/>
        <item x="3250"/>
        <item x="2424"/>
        <item x="116"/>
        <item x="2322"/>
        <item x="4274"/>
        <item x="1249"/>
        <item x="1642"/>
        <item x="1592"/>
        <item x="991"/>
        <item x="398"/>
        <item x="3821"/>
        <item x="957"/>
        <item x="1053"/>
        <item x="4020"/>
        <item x="4853"/>
        <item x="174"/>
        <item x="391"/>
        <item x="3051"/>
        <item x="4752"/>
        <item x="4288"/>
        <item x="4534"/>
        <item x="615"/>
        <item x="3465"/>
        <item x="2112"/>
        <item x="4485"/>
        <item x="2048"/>
        <item x="1745"/>
        <item x="2884"/>
        <item x="3233"/>
        <item x="3914"/>
        <item x="2808"/>
        <item x="4556"/>
        <item x="3397"/>
        <item x="282"/>
        <item x="203"/>
        <item x="197"/>
        <item x="115"/>
        <item x="9"/>
        <item x="114"/>
        <item x="193"/>
        <item x="200"/>
        <item x="4186"/>
        <item x="611"/>
        <item x="3612"/>
        <item x="4329"/>
        <item x="4586"/>
        <item x="4862"/>
        <item x="2043"/>
        <item x="1928"/>
        <item x="1383"/>
        <item x="2756"/>
        <item x="3621"/>
        <item x="3127"/>
        <item x="1337"/>
        <item x="1564"/>
        <item x="2965"/>
        <item x="3704"/>
        <item x="1134"/>
        <item x="3212"/>
        <item x="3556"/>
        <item x="1449"/>
        <item x="3332"/>
        <item x="4501"/>
        <item x="427"/>
        <item x="742"/>
        <item x="4437"/>
        <item x="3882"/>
        <item x="3738"/>
        <item x="3239"/>
        <item x="4880"/>
        <item x="2038"/>
        <item x="955"/>
        <item x="310"/>
        <item x="1151"/>
        <item x="2659"/>
        <item x="988"/>
        <item x="1161"/>
        <item x="4814"/>
        <item x="4683"/>
        <item x="1188"/>
        <item x="3459"/>
        <item x="3099"/>
        <item x="507"/>
        <item x="4513"/>
        <item x="1884"/>
        <item x="3941"/>
        <item x="1152"/>
        <item x="2192"/>
        <item x="3168"/>
        <item x="4577"/>
        <item x="3604"/>
        <item x="4615"/>
        <item x="3476"/>
        <item x="2977"/>
        <item x="3807"/>
        <item x="4065"/>
        <item x="4269"/>
        <item x="2543"/>
        <item x="2647"/>
        <item x="1841"/>
        <item x="4237"/>
        <item x="2990"/>
        <item x="2096"/>
        <item x="1431"/>
        <item x="833"/>
        <item x="2450"/>
        <item x="4504"/>
        <item x="4025"/>
        <item x="1754"/>
        <item x="1451"/>
        <item x="2146"/>
        <item x="372"/>
        <item x="2541"/>
        <item x="551"/>
        <item x="4834"/>
        <item x="804"/>
        <item x="3859"/>
        <item x="2129"/>
        <item x="2565"/>
        <item x="2228"/>
        <item x="2658"/>
        <item x="4688"/>
        <item x="260"/>
        <item x="4394"/>
        <item x="186"/>
        <item x="2085"/>
        <item x="2388"/>
        <item x="1690"/>
        <item x="2448"/>
        <item x="583"/>
        <item x="4578"/>
        <item x="2671"/>
        <item x="700"/>
        <item x="1607"/>
        <item x="1602"/>
        <item x="1223"/>
        <item x="1393"/>
        <item x="4765"/>
        <item x="549"/>
        <item x="3752"/>
        <item x="3377"/>
        <item x="2524"/>
        <item x="1462"/>
        <item x="1950"/>
        <item x="2778"/>
        <item x="1372"/>
        <item x="532"/>
        <item x="2449"/>
        <item x="472"/>
        <item x="396"/>
        <item x="4358"/>
        <item x="3482"/>
        <item x="3427"/>
        <item x="4204"/>
        <item x="2925"/>
        <item x="2504"/>
        <item x="3897"/>
        <item x="1437"/>
        <item x="2335"/>
        <item x="3651"/>
        <item x="4341"/>
        <item x="3033"/>
        <item x="230"/>
        <item x="4382"/>
        <item x="2895"/>
        <item x="2486"/>
        <item x="2170"/>
        <item x="215"/>
        <item x="2916"/>
        <item x="1363"/>
        <item x="2534"/>
        <item x="3887"/>
        <item x="929"/>
        <item x="1775"/>
        <item x="161"/>
        <item x="93"/>
        <item x="1677"/>
        <item x="3334"/>
        <item x="2028"/>
        <item x="4098"/>
        <item x="678"/>
        <item x="70"/>
        <item x="166"/>
        <item x="4207"/>
        <item x="3948"/>
        <item x="4629"/>
        <item x="4068"/>
        <item x="117"/>
        <item x="3133"/>
        <item x="959"/>
        <item x="2069"/>
        <item x="2440"/>
        <item x="2336"/>
        <item x="2437"/>
        <item x="2021"/>
        <item x="1505"/>
        <item x="3917"/>
        <item x="2087"/>
        <item x="3457"/>
        <item x="2457"/>
        <item x="2847"/>
        <item x="2406"/>
        <item x="4848"/>
        <item x="1205"/>
        <item x="4304"/>
        <item x="4745"/>
        <item x="4476"/>
        <item x="3748"/>
        <item x="4287"/>
        <item x="608"/>
        <item x="2009"/>
        <item x="2753"/>
        <item x="4327"/>
        <item x="4685"/>
        <item x="680"/>
        <item x="271"/>
        <item x="644"/>
        <item x="331"/>
        <item x="354"/>
        <item x="523"/>
        <item x="1925"/>
        <item x="4084"/>
        <item x="1397"/>
        <item x="1747"/>
        <item x="4125"/>
        <item x="2682"/>
        <item x="2648"/>
        <item x="2981"/>
        <item x="3243"/>
        <item x="4056"/>
        <item x="3158"/>
        <item x="2290"/>
        <item x="3167"/>
        <item x="3366"/>
        <item x="876"/>
        <item x="548"/>
        <item x="4142"/>
        <item x="1299"/>
        <item x="1405"/>
        <item x="2672"/>
        <item x="3912"/>
        <item x="1685"/>
        <item x="1832"/>
        <item x="4499"/>
        <item x="4286"/>
        <item x="4885"/>
        <item x="2936"/>
        <item x="316"/>
        <item x="4159"/>
        <item x="2843"/>
        <item x="3029"/>
        <item x="799"/>
        <item x="3937"/>
        <item x="4197"/>
        <item x="2049"/>
        <item x="1428"/>
        <item x="3426"/>
        <item x="3483"/>
        <item x="97"/>
        <item x="1063"/>
        <item x="4354"/>
        <item x="516"/>
        <item x="92"/>
        <item x="4278"/>
        <item x="54"/>
        <item x="1030"/>
        <item x="1733"/>
        <item x="4840"/>
        <item x="2355"/>
        <item x="3881"/>
        <item x="2839"/>
        <item x="582"/>
        <item x="2271"/>
        <item x="4759"/>
        <item x="796"/>
        <item x="4199"/>
        <item x="4183"/>
        <item x="3012"/>
        <item x="937"/>
        <item x="78"/>
        <item x="4316"/>
        <item x="3627"/>
        <item x="3062"/>
        <item x="4650"/>
        <item x="1057"/>
        <item x="527"/>
        <item x="864"/>
        <item x="3635"/>
        <item x="253"/>
        <item x="96"/>
        <item x="4573"/>
        <item x="931"/>
        <item x="1006"/>
        <item x="3215"/>
        <item x="971"/>
        <item x="2223"/>
        <item x="936"/>
        <item x="771"/>
        <item x="4695"/>
        <item x="2995"/>
        <item x="3082"/>
        <item x="764"/>
        <item x="1385"/>
        <item x="3927"/>
        <item x="4566"/>
        <item x="3606"/>
        <item x="80"/>
        <item x="32"/>
        <item x="69"/>
        <item x="1994"/>
        <item x="4605"/>
        <item x="3614"/>
        <item x="1283"/>
        <item x="1381"/>
        <item x="4161"/>
        <item x="4708"/>
        <item x="3210"/>
        <item x="3194"/>
        <item x="3967"/>
        <item x="4208"/>
        <item x="1825"/>
        <item x="404"/>
        <item x="3341"/>
        <item x="1439"/>
        <item x="3219"/>
        <item x="508"/>
        <item x="4147"/>
        <item x="731"/>
        <item x="752"/>
        <item x="49"/>
        <item x="2136"/>
        <item x="2979"/>
        <item x="3630"/>
        <item x="2883"/>
        <item x="1016"/>
        <item x="2680"/>
        <item x="2003"/>
        <item x="568"/>
        <item x="222"/>
        <item x="3988"/>
        <item x="3983"/>
        <item x="2754"/>
        <item x="4016"/>
        <item x="2137"/>
        <item x="2870"/>
        <item x="2044"/>
        <item x="2081"/>
        <item x="1905"/>
        <item x="3052"/>
        <item x="3132"/>
        <item x="2764"/>
        <item x="3703"/>
        <item x="2530"/>
        <item x="921"/>
        <item x="1234"/>
        <item x="1446"/>
        <item x="4526"/>
        <item x="4761"/>
        <item x="4104"/>
        <item x="1207"/>
        <item x="4505"/>
        <item x="1864"/>
        <item x="3022"/>
        <item x="741"/>
        <item x="2522"/>
        <item x="1340"/>
        <item x="3860"/>
        <item x="5"/>
        <item x="1366"/>
        <item x="1125"/>
        <item x="1101"/>
        <item x="4637"/>
        <item x="2894"/>
        <item x="1059"/>
        <item x="2739"/>
        <item x="2084"/>
        <item x="504"/>
        <item x="4365"/>
        <item x="4078"/>
        <item x="1068"/>
        <item x="2039"/>
        <item x="753"/>
        <item x="2095"/>
        <item x="1792"/>
        <item x="3995"/>
        <item x="3573"/>
        <item x="1194"/>
        <item x="4610"/>
        <item x="426"/>
        <item x="3411"/>
        <item x="3191"/>
        <item x="3399"/>
        <item x="62"/>
        <item x="340"/>
        <item x="689"/>
        <item x="29"/>
        <item x="452"/>
        <item x="808"/>
        <item x="4040"/>
        <item x="2339"/>
        <item x="1767"/>
        <item x="1301"/>
        <item x="2918"/>
        <item x="2789"/>
        <item x="2557"/>
        <item x="384"/>
        <item x="3023"/>
        <item x="4009"/>
        <item x="735"/>
        <item x="2354"/>
        <item x="4502"/>
        <item x="1040"/>
        <item x="2898"/>
        <item x="2634"/>
        <item x="1721"/>
        <item x="3698"/>
        <item x="4569"/>
        <item x="4099"/>
        <item x="3596"/>
        <item x="2709"/>
        <item x="1776"/>
        <item x="1756"/>
        <item x="4312"/>
        <item x="1091"/>
        <item x="3312"/>
        <item x="4309"/>
        <item x="846"/>
        <item x="849"/>
        <item x="4570"/>
        <item x="3710"/>
        <item x="612"/>
        <item x="3153"/>
        <item x="541"/>
        <item x="2642"/>
        <item x="4322"/>
        <item x="1820"/>
        <item x="25"/>
        <item x="272"/>
        <item x="4616"/>
        <item x="1922"/>
        <item x="1978"/>
        <item x="3004"/>
        <item x="2681"/>
        <item x="1280"/>
        <item x="1899"/>
        <item x="4640"/>
        <item x="1789"/>
        <item x="4311"/>
        <item x="3087"/>
        <item x="3216"/>
        <item x="231"/>
        <item x="1477"/>
        <item x="2651"/>
        <item x="1780"/>
        <item x="941"/>
        <item x="1039"/>
        <item x="2595"/>
        <item x="3151"/>
        <item x="1468"/>
        <item x="3992"/>
        <item x="1774"/>
        <item x="2229"/>
        <item x="1996"/>
        <item x="138"/>
        <item x="153"/>
        <item x="183"/>
        <item x="3090"/>
        <item x="4531"/>
        <item x="1403"/>
        <item x="4581"/>
        <item x="3490"/>
        <item x="3036"/>
        <item x="3925"/>
        <item x="2420"/>
        <item x="730"/>
        <item x="588"/>
        <item x="3755"/>
        <item x="3787"/>
        <item x="2220"/>
        <item x="4074"/>
        <item x="4426"/>
        <item x="3575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1"/>
        <item x="3584"/>
        <item x="898"/>
        <item x="2605"/>
        <item x="1546"/>
        <item x="3500"/>
        <item x="3613"/>
        <item x="2349"/>
        <item x="811"/>
        <item x="3820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5"/>
        <item x="2254"/>
        <item x="1389"/>
        <item x="165"/>
        <item x="2458"/>
        <item x="3842"/>
        <item x="3757"/>
        <item x="2817"/>
        <item x="4024"/>
        <item x="1623"/>
        <item x="1061"/>
        <item x="1156"/>
        <item x="1420"/>
        <item x="4153"/>
        <item x="2404"/>
        <item x="3786"/>
        <item x="220"/>
        <item x="1285"/>
        <item x="537"/>
        <item x="1954"/>
        <item x="4604"/>
        <item x="2825"/>
        <item x="3709"/>
        <item x="3631"/>
        <item x="4747"/>
        <item x="1616"/>
        <item x="437"/>
        <item x="3792"/>
        <item x="2558"/>
        <item x="3288"/>
        <item x="1786"/>
        <item x="646"/>
        <item x="1490"/>
        <item x="1469"/>
        <item x="4482"/>
        <item x="2692"/>
        <item x="4768"/>
        <item x="1663"/>
        <item x="2280"/>
        <item x="2759"/>
        <item x="290"/>
        <item x="3301"/>
        <item x="1708"/>
        <item x="480"/>
        <item x="1641"/>
        <item x="3551"/>
        <item x="1989"/>
        <item x="2587"/>
        <item x="693"/>
        <item x="3408"/>
        <item x="266"/>
        <item x="4557"/>
        <item x="4283"/>
        <item x="2917"/>
        <item x="2801"/>
        <item x="4360"/>
        <item x="4728"/>
        <item x="2244"/>
        <item x="3416"/>
        <item x="3021"/>
        <item x="881"/>
        <item x="754"/>
        <item x="4547"/>
        <item x="4219"/>
        <item x="3672"/>
        <item x="1184"/>
        <item x="3676"/>
        <item x="4632"/>
        <item x="490"/>
        <item x="1599"/>
        <item x="3226"/>
        <item x="1160"/>
        <item x="1957"/>
        <item x="3940"/>
        <item x="2236"/>
        <item x="3452"/>
        <item x="469"/>
        <item x="3815"/>
        <item x="1765"/>
        <item x="2472"/>
        <item x="2619"/>
        <item x="1672"/>
        <item x="1085"/>
        <item x="3809"/>
        <item x="4744"/>
        <item x="2396"/>
        <item x="1122"/>
        <item x="4686"/>
        <item x="3102"/>
        <item x="4609"/>
        <item x="4445"/>
        <item x="1990"/>
        <item x="3848"/>
        <item x="2402"/>
        <item x="4736"/>
        <item x="3722"/>
        <item x="4028"/>
        <item x="3032"/>
        <item x="4503"/>
        <item x="3572"/>
        <item x="1795"/>
        <item x="679"/>
        <item x="901"/>
        <item x="1179"/>
        <item x="4472"/>
        <item x="1485"/>
        <item x="3902"/>
        <item x="3112"/>
        <item x="2276"/>
        <item x="2864"/>
        <item x="3020"/>
        <item x="1710"/>
        <item x="1010"/>
        <item x="4617"/>
        <item x="4164"/>
        <item x="3057"/>
        <item x="4776"/>
        <item x="128"/>
        <item x="2097"/>
        <item x="2969"/>
        <item x="147"/>
        <item x="518"/>
        <item x="121"/>
        <item x="3342"/>
        <item x="1233"/>
        <item x="3696"/>
        <item x="2445"/>
        <item x="3046"/>
        <item x="2153"/>
        <item x="2560"/>
        <item x="3819"/>
        <item x="2716"/>
        <item x="3406"/>
        <item x="1361"/>
        <item x="840"/>
        <item x="3893"/>
        <item x="2983"/>
        <item x="1416"/>
        <item x="82"/>
        <item x="4786"/>
        <item x="2603"/>
        <item x="3513"/>
        <item x="3139"/>
        <item x="2581"/>
        <item x="3609"/>
        <item x="905"/>
        <item x="15"/>
        <item x="1003"/>
        <item x="2172"/>
        <item x="1172"/>
        <item x="738"/>
        <item x="910"/>
        <item x="4258"/>
        <item x="1507"/>
        <item x="2721"/>
        <item x="4699"/>
        <item x="4886"/>
        <item x="2425"/>
        <item x="3942"/>
        <item x="3454"/>
        <item x="2299"/>
        <item x="2772"/>
        <item x="3943"/>
        <item x="3961"/>
        <item x="1279"/>
        <item x="4110"/>
        <item x="703"/>
        <item x="987"/>
        <item x="2946"/>
        <item x="482"/>
        <item x="142"/>
        <item x="4456"/>
        <item x="1806"/>
        <item x="3978"/>
        <item x="2045"/>
        <item x="3518"/>
        <item x="1054"/>
        <item x="3386"/>
        <item x="172"/>
        <item x="2624"/>
        <item x="4085"/>
        <item x="2913"/>
        <item x="1427"/>
        <item x="2164"/>
        <item x="1947"/>
        <item x="4281"/>
        <item x="2471"/>
        <item x="1165"/>
        <item x="1985"/>
        <item x="4182"/>
        <item x="2152"/>
        <item x="4339"/>
        <item x="914"/>
        <item x="4628"/>
        <item x="2380"/>
        <item x="3789"/>
        <item x="1270"/>
        <item x="1238"/>
        <item x="4198"/>
        <item x="793"/>
        <item x="414"/>
        <item x="2165"/>
        <item x="2024"/>
        <item x="702"/>
        <item x="829"/>
        <item x="1638"/>
        <item x="2423"/>
        <item x="199"/>
        <item x="2089"/>
        <item x="3217"/>
        <item x="3646"/>
        <item x="411"/>
        <item x="1286"/>
        <item x="19"/>
        <item x="151"/>
        <item x="348"/>
        <item x="1533"/>
        <item x="3577"/>
        <item x="3382"/>
        <item x="3908"/>
        <item x="777"/>
        <item x="4598"/>
        <item x="1614"/>
        <item x="2434"/>
        <item x="2539"/>
        <item x="2694"/>
        <item x="4673"/>
        <item x="4151"/>
        <item x="176"/>
        <item x="2103"/>
        <item x="1962"/>
        <item x="3420"/>
        <item x="1251"/>
        <item x="1166"/>
        <item x="4782"/>
        <item x="4729"/>
        <item x="3903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2"/>
        <item x="1440"/>
        <item x="3038"/>
        <item x="760"/>
        <item x="1067"/>
        <item x="3624"/>
        <item x="3552"/>
        <item x="1703"/>
        <item x="379"/>
        <item x="154"/>
        <item x="135"/>
        <item x="217"/>
        <item x="140"/>
        <item x="432"/>
        <item x="4303"/>
        <item x="3089"/>
        <item x="3773"/>
        <item x="3311"/>
        <item x="4330"/>
        <item x="2101"/>
        <item x="2124"/>
        <item x="3655"/>
        <item x="3781"/>
        <item x="661"/>
        <item x="3871"/>
        <item x="1808"/>
        <item x="1893"/>
        <item x="627"/>
        <item x="947"/>
        <item x="2421"/>
        <item x="554"/>
        <item x="4390"/>
        <item x="544"/>
        <item x="3640"/>
        <item x="1074"/>
        <item x="3818"/>
        <item x="35"/>
        <item x="68"/>
        <item x="4642"/>
        <item x="235"/>
        <item x="2203"/>
        <item x="4680"/>
        <item x="3697"/>
        <item x="2122"/>
        <item x="1562"/>
        <item x="2513"/>
        <item x="4328"/>
        <item x="1259"/>
        <item x="2143"/>
        <item x="1644"/>
        <item x="798"/>
        <item x="3565"/>
        <item x="3453"/>
        <item x="3180"/>
        <item x="894"/>
        <item x="3114"/>
        <item x="3788"/>
        <item x="1665"/>
        <item x="252"/>
        <item x="1910"/>
        <item x="3367"/>
        <item x="926"/>
        <item x="1558"/>
        <item x="3533"/>
        <item x="145"/>
        <item x="854"/>
        <item x="4308"/>
        <item x="2767"/>
        <item x="2257"/>
        <item x="1850"/>
        <item x="1968"/>
        <item x="3313"/>
        <item x="3095"/>
        <item x="358"/>
        <item x="2683"/>
        <item x="1109"/>
        <item x="1728"/>
        <item x="539"/>
        <item x="2017"/>
        <item x="877"/>
        <item x="989"/>
        <item x="4701"/>
        <item x="1242"/>
        <item x="1422"/>
        <item x="4346"/>
        <item x="4879"/>
        <item x="4670"/>
        <item x="2910"/>
        <item x="4691"/>
        <item x="2216"/>
        <item x="1055"/>
        <item x="2375"/>
        <item x="3666"/>
        <item x="4044"/>
        <item x="2730"/>
        <item x="3157"/>
        <item x="2745"/>
        <item x="2980"/>
        <item x="4915"/>
        <item x="3409"/>
        <item x="4707"/>
        <item x="2456"/>
        <item x="767"/>
        <item x="2104"/>
        <item x="2498"/>
        <item x="4514"/>
        <item x="2483"/>
        <item x="4108"/>
        <item x="3365"/>
        <item x="4332"/>
        <item x="3286"/>
        <item x="4100"/>
        <item x="1781"/>
        <item x="1945"/>
        <item x="2535"/>
        <item x="4289"/>
        <item x="1660"/>
        <item x="3100"/>
        <item x="630"/>
        <item x="1768"/>
        <item x="3535"/>
        <item x="1587"/>
        <item x="1529"/>
        <item x="1617"/>
        <item x="3289"/>
        <item x="2200"/>
        <item x="1450"/>
        <item x="1888"/>
        <item x="4676"/>
        <item x="3381"/>
        <item x="2582"/>
        <item x="297"/>
        <item x="4585"/>
        <item x="3747"/>
        <item x="4372"/>
        <item x="2911"/>
        <item x="642"/>
        <item x="1414"/>
        <item x="2362"/>
        <item x="2211"/>
        <item x="3890"/>
        <item x="4630"/>
        <item x="4050"/>
        <item x="2117"/>
        <item x="2686"/>
        <item x="1371"/>
        <item x="3320"/>
        <item x="3316"/>
        <item x="1837"/>
        <item x="1288"/>
        <item x="2655"/>
        <item x="2751"/>
        <item x="4910"/>
        <item x="3993"/>
        <item x="3203"/>
        <item x="4454"/>
        <item x="4381"/>
        <item x="3149"/>
        <item x="3065"/>
        <item x="247"/>
        <item x="122"/>
        <item x="198"/>
        <item x="3814"/>
        <item x="3810"/>
        <item x="3297"/>
        <item x="3664"/>
        <item x="3440"/>
        <item x="1359"/>
        <item x="4229"/>
        <item x="4318"/>
        <item x="491"/>
        <item x="983"/>
        <item x="1115"/>
        <item x="1868"/>
        <item x="4194"/>
        <item x="3679"/>
        <item x="2810"/>
        <item x="4236"/>
        <item x="1755"/>
        <item x="1874"/>
        <item x="3886"/>
        <item x="191"/>
        <item x="1312"/>
        <item x="949"/>
        <item x="1674"/>
        <item x="4251"/>
        <item x="2599"/>
        <item x="4561"/>
        <item x="3683"/>
        <item x="1784"/>
        <item x="4722"/>
        <item x="1890"/>
        <item x="3878"/>
        <item x="1145"/>
        <item x="4746"/>
        <item x="3560"/>
        <item x="4652"/>
        <item x="376"/>
        <item x="528"/>
        <item x="4262"/>
        <item x="3498"/>
        <item x="2628"/>
        <item x="4297"/>
        <item x="3199"/>
        <item x="2012"/>
        <item x="420"/>
        <item x="1829"/>
        <item x="3013"/>
        <item x="1369"/>
        <item x="232"/>
        <item x="2393"/>
        <item x="4457"/>
        <item x="394"/>
        <item x="405"/>
        <item x="251"/>
        <item x="498"/>
        <item x="4453"/>
        <item x="1779"/>
        <item x="3647"/>
        <item x="3701"/>
        <item x="3193"/>
        <item x="3106"/>
        <item x="1418"/>
        <item x="4716"/>
        <item x="2007"/>
        <item x="4023"/>
        <item x="681"/>
        <item x="3054"/>
        <item x="592"/>
        <item x="979"/>
        <item x="3314"/>
        <item x="4903"/>
        <item x="3129"/>
        <item x="4753"/>
        <item x="1999"/>
        <item x="4530"/>
        <item x="4480"/>
        <item x="1698"/>
        <item x="1737"/>
        <item x="4344"/>
        <item x="3695"/>
        <item x="4810"/>
        <item x="2948"/>
        <item x="2649"/>
        <item x="3097"/>
        <item x="3795"/>
        <item x="1162"/>
        <item x="2891"/>
        <item x="2438"/>
        <item x="2193"/>
        <item x="2248"/>
        <item x="4256"/>
        <item x="1658"/>
        <item x="2700"/>
        <item x="3760"/>
        <item x="3557"/>
        <item x="3259"/>
        <item x="1823"/>
        <item x="4047"/>
        <item x="406"/>
        <item x="4842"/>
        <item x="4614"/>
        <item x="2845"/>
        <item x="4792"/>
        <item x="3519"/>
        <item x="4468"/>
        <item x="1838"/>
        <item x="2163"/>
        <item x="4623"/>
        <item x="2861"/>
        <item x="616"/>
        <item x="3633"/>
        <item x="1772"/>
        <item x="2747"/>
        <item x="3656"/>
        <item x="2077"/>
        <item x="2998"/>
        <item x="1560"/>
        <item x="2359"/>
        <item x="1045"/>
        <item x="3720"/>
        <item x="4299"/>
        <item x="2102"/>
        <item x="978"/>
        <item x="948"/>
        <item x="1026"/>
        <item x="3389"/>
        <item x="3435"/>
        <item x="3115"/>
        <item x="436"/>
        <item x="4833"/>
        <item x="3155"/>
        <item x="38"/>
        <item x="1620"/>
        <item x="3805"/>
        <item x="52"/>
        <item x="861"/>
        <item x="1831"/>
        <item x="2184"/>
        <item x="3473"/>
        <item x="4473"/>
        <item x="144"/>
        <item x="2714"/>
        <item x="4555"/>
        <item x="1298"/>
        <item x="1034"/>
        <item x="2517"/>
        <item x="2234"/>
        <item x="2909"/>
        <item x="3970"/>
        <item x="3632"/>
        <item x="3636"/>
        <item x="4678"/>
        <item x="3642"/>
        <item x="744"/>
        <item x="1873"/>
        <item x="2830"/>
        <item x="1464"/>
        <item x="3196"/>
        <item x="3712"/>
        <item x="2288"/>
        <item x="3759"/>
        <item x="924"/>
        <item x="3356"/>
        <item x="1073"/>
        <item x="2890"/>
        <item x="1338"/>
        <item x="1815"/>
        <item x="1243"/>
        <item x="1252"/>
        <item x="938"/>
        <item x="746"/>
        <item x="3244"/>
        <item x="4846"/>
        <item x="3140"/>
        <item x="111"/>
        <item x="2673"/>
        <item x="2384"/>
        <item x="181"/>
        <item x="4836"/>
        <item x="2312"/>
        <item x="2274"/>
        <item x="347"/>
        <item x="374"/>
        <item x="4808"/>
        <item x="686"/>
        <item x="3485"/>
        <item x="3393"/>
        <item x="2968"/>
        <item x="3075"/>
        <item x="4002"/>
        <item x="3999"/>
        <item x="1526"/>
        <item x="2536"/>
        <item x="2905"/>
        <item x="2985"/>
        <item x="4847"/>
        <item x="4714"/>
        <item x="4719"/>
        <item x="1821"/>
        <item x="4898"/>
        <item x="4883"/>
        <item x="4401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6"/>
        <item x="3515"/>
        <item x="2020"/>
        <item x="1506"/>
        <item x="4010"/>
        <item x="4223"/>
        <item x="830"/>
        <item x="4060"/>
        <item x="2740"/>
        <item x="4051"/>
        <item x="314"/>
        <item x="3982"/>
        <item x="3769"/>
        <item x="3173"/>
        <item x="3269"/>
        <item x="3543"/>
        <item x="3208"/>
        <item x="1425"/>
        <item x="500"/>
        <item x="4337"/>
        <item x="1502"/>
        <item x="2227"/>
        <item x="3857"/>
        <item x="3923"/>
        <item x="3812"/>
        <item x="105"/>
        <item x="2675"/>
        <item x="4669"/>
        <item x="3400"/>
        <item x="758"/>
        <item x="3335"/>
        <item x="1344"/>
        <item x="1442"/>
        <item x="2377"/>
        <item x="1227"/>
        <item x="3344"/>
        <item x="1461"/>
        <item x="2161"/>
        <item x="2724"/>
        <item x="1760"/>
        <item x="1678"/>
        <item x="1773"/>
        <item x="783"/>
        <item x="669"/>
        <item x="4906"/>
        <item x="51"/>
        <item x="3258"/>
        <item x="2294"/>
        <item x="3862"/>
        <item x="1075"/>
        <item x="2578"/>
        <item x="2927"/>
        <item x="2889"/>
        <item x="2379"/>
        <item x="3330"/>
        <item x="224"/>
        <item x="2676"/>
        <item x="673"/>
        <item x="2902"/>
        <item x="4508"/>
        <item x="3736"/>
        <item x="3863"/>
        <item x="2215"/>
        <item x="286"/>
        <item x="3295"/>
        <item x="2131"/>
        <item x="1935"/>
        <item x="1480"/>
        <item x="3883"/>
        <item x="1520"/>
        <item x="189"/>
        <item x="4403"/>
        <item x="12"/>
        <item x="2892"/>
        <item x="3000"/>
        <item x="4850"/>
        <item x="1441"/>
        <item x="4369"/>
        <item x="2848"/>
        <item x="2205"/>
        <item x="2780"/>
        <item x="4681"/>
        <item x="3292"/>
        <item x="201"/>
        <item x="3796"/>
        <item x="3615"/>
        <item x="3711"/>
        <item x="3437"/>
        <item x="950"/>
        <item x="3657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4"/>
        <item x="2320"/>
        <item x="810"/>
        <item x="1131"/>
        <item x="2625"/>
        <item x="4887"/>
        <item x="684"/>
        <item x="3616"/>
        <item x="180"/>
        <item x="581"/>
        <item x="2308"/>
        <item x="1038"/>
        <item x="119"/>
        <item x="2940"/>
        <item x="1202"/>
        <item x="4874"/>
        <item x="2019"/>
        <item x="262"/>
        <item x="4004"/>
        <item x="4375"/>
        <item x="3056"/>
        <item x="440"/>
        <item x="1325"/>
        <item x="668"/>
        <item x="3218"/>
        <item x="506"/>
        <item x="1827"/>
        <item x="2443"/>
        <item x="496"/>
        <item x="1157"/>
        <item x="3262"/>
        <item x="3998"/>
        <item x="1997"/>
        <item x="2442"/>
        <item x="3851"/>
        <item x="816"/>
        <item x="725"/>
        <item x="3727"/>
        <item x="3444"/>
        <item x="4133"/>
        <item x="1508"/>
        <item x="2315"/>
        <item x="2770"/>
        <item x="761"/>
        <item x="2222"/>
        <item x="1374"/>
        <item x="3209"/>
        <item x="4111"/>
        <item x="2533"/>
        <item x="3484"/>
        <item x="1576"/>
        <item x="1271"/>
        <item x="2441"/>
        <item x="1785"/>
        <item x="3096"/>
        <item x="1262"/>
        <item x="4317"/>
        <item x="1548"/>
        <item x="3293"/>
        <item x="3777"/>
        <item x="3130"/>
        <item x="4395"/>
        <item x="1424"/>
        <item x="815"/>
        <item x="976"/>
        <item x="1094"/>
        <item x="670"/>
        <item x="3350"/>
        <item x="2431"/>
        <item x="2831"/>
        <item x="4218"/>
        <item x="2010"/>
        <item x="2157"/>
        <item x="1802"/>
        <item x="3014"/>
        <item x="4704"/>
        <item x="1105"/>
        <item x="1240"/>
        <item x="3214"/>
        <item x="1347"/>
        <item x="1200"/>
        <item x="1869"/>
        <item x="1492"/>
        <item x="4087"/>
        <item x="1050"/>
        <item x="776"/>
        <item x="206"/>
        <item x="380"/>
        <item x="1716"/>
        <item x="4672"/>
        <item x="155"/>
        <item x="341"/>
        <item x="2186"/>
        <item x="4250"/>
        <item x="4579"/>
        <item x="4334"/>
        <item x="3069"/>
        <item x="451"/>
        <item x="2509"/>
        <item x="4213"/>
        <item x="4675"/>
        <item x="2491"/>
        <item x="1762"/>
        <item x="3689"/>
        <item x="22"/>
        <item x="920"/>
        <item x="2088"/>
        <item x="228"/>
        <item x="4107"/>
        <item x="3997"/>
        <item x="448"/>
        <item x="610"/>
        <item x="1343"/>
        <item x="4233"/>
        <item x="4427"/>
        <item x="2422"/>
        <item x="2001"/>
        <item x="4429"/>
        <item x="4661"/>
        <item x="4819"/>
        <item x="2053"/>
        <item x="1739"/>
        <item x="3083"/>
        <item x="613"/>
        <item x="3016"/>
        <item x="4825"/>
        <item x="2717"/>
        <item x="3135"/>
        <item x="1876"/>
        <item x="859"/>
        <item x="2820"/>
        <item x="3958"/>
        <item x="3164"/>
        <item x="4705"/>
        <item x="2900"/>
        <item x="4725"/>
        <item x="4639"/>
        <item x="4553"/>
        <item x="3737"/>
        <item x="1896"/>
        <item x="1593"/>
        <item x="749"/>
        <item x="3374"/>
        <item x="1004"/>
        <item x="4280"/>
        <item x="3126"/>
        <item x="4876"/>
        <item x="578"/>
        <item x="1695"/>
        <item x="3745"/>
        <item x="2487"/>
        <item x="2933"/>
        <item x="351"/>
        <item x="59"/>
        <item x="1391"/>
        <item x="1360"/>
        <item x="3084"/>
        <item x="4758"/>
        <item x="585"/>
        <item x="1478"/>
        <item x="807"/>
        <item x="1753"/>
        <item x="399"/>
        <item x="4489"/>
        <item x="1519"/>
        <item x="4568"/>
        <item x="168"/>
        <item x="4209"/>
        <item x="3623"/>
        <item x="4563"/>
        <item x="190"/>
        <item x="3780"/>
        <item x="3618"/>
        <item x="3853"/>
        <item x="248"/>
        <item x="4904"/>
        <item x="1662"/>
        <item x="4447"/>
        <item x="2718"/>
        <item x="4077"/>
        <item x="1717"/>
        <item x="3768"/>
        <item x="1099"/>
        <item x="2792"/>
        <item x="3687"/>
        <item x="4105"/>
        <item x="3729"/>
        <item x="1415"/>
        <item x="3783"/>
        <item x="641"/>
        <item x="2078"/>
        <item x="2465"/>
        <item x="3628"/>
        <item x="3039"/>
        <item x="3044"/>
        <item x="3019"/>
        <item x="2989"/>
        <item x="4386"/>
        <item x="1975"/>
        <item x="1889"/>
        <item x="1078"/>
        <item x="1066"/>
        <item x="1189"/>
        <item x="2183"/>
        <item x="1857"/>
        <item x="3531"/>
        <item x="2224"/>
        <item x="2142"/>
        <item x="1860"/>
        <item x="421"/>
        <item x="3831"/>
        <item x="418"/>
        <item x="4647"/>
        <item x="2002"/>
        <item x="1190"/>
        <item x="1245"/>
        <item x="2331"/>
        <item x="2573"/>
        <item x="2929"/>
        <item x="1528"/>
        <item x="1584"/>
        <item x="2329"/>
        <item x="3699"/>
        <item x="388"/>
        <item x="1632"/>
        <item x="2239"/>
        <item x="1229"/>
        <item x="1410"/>
        <item x="3844"/>
        <item x="3775"/>
        <item x="2519"/>
        <item x="1729"/>
        <item x="3116"/>
        <item x="2175"/>
        <item x="1847"/>
        <item x="2158"/>
        <item x="866"/>
        <item x="2501"/>
        <item x="3034"/>
        <item x="1750"/>
        <item x="1321"/>
        <item x="2822"/>
        <item x="1725"/>
        <item x="4326"/>
        <item x="3227"/>
        <item x="884"/>
        <item x="2781"/>
        <item x="4635"/>
        <item x="604"/>
        <item x="337"/>
        <item x="3170"/>
        <item x="329"/>
        <item x="817"/>
        <item x="2348"/>
        <item x="1248"/>
        <item x="4418"/>
        <item x="4385"/>
        <item x="3802"/>
        <item x="1328"/>
        <item x="3481"/>
        <item x="1124"/>
        <item x="3329"/>
        <item x="2074"/>
        <item x="892"/>
        <item x="1818"/>
        <item x="4353"/>
        <item x="1216"/>
        <item x="1206"/>
        <item x="3499"/>
        <item x="4914"/>
        <item x="952"/>
        <item x="852"/>
        <item x="2489"/>
        <item x="3161"/>
        <item x="4249"/>
        <item x="1951"/>
        <item x="535"/>
        <item x="3924"/>
        <item x="4154"/>
        <item x="3559"/>
        <item x="2318"/>
        <item x="3670"/>
        <item x="1930"/>
        <item x="4779"/>
        <item x="4294"/>
        <item x="1973"/>
        <item x="362"/>
        <item x="209"/>
        <item x="4220"/>
        <item x="3043"/>
        <item x="4803"/>
        <item x="2202"/>
        <item x="1909"/>
        <item x="3918"/>
        <item x="4448"/>
        <item x="3602"/>
        <item x="2713"/>
        <item x="3278"/>
        <item x="4624"/>
        <item x="756"/>
        <item x="3861"/>
        <item x="4787"/>
        <item x="3379"/>
        <item x="4780"/>
        <item x="4191"/>
        <item x="2209"/>
        <item x="4754"/>
        <item x="3744"/>
        <item x="4132"/>
        <item x="4693"/>
        <item x="3339"/>
        <item x="1278"/>
        <item x="576"/>
        <item x="87"/>
        <item x="107"/>
        <item x="918"/>
        <item x="446"/>
        <item x="3309"/>
        <item x="1628"/>
        <item x="3230"/>
        <item x="1652"/>
        <item x="2459"/>
        <item x="4911"/>
        <item x="575"/>
        <item x="967"/>
        <item x="2225"/>
        <item x="4167"/>
        <item x="3797"/>
        <item x="4428"/>
        <item x="2702"/>
        <item x="3284"/>
        <item x="2113"/>
        <item x="4089"/>
        <item x="1834"/>
        <item x="2221"/>
        <item x="3554"/>
        <item x="1203"/>
        <item x="683"/>
        <item x="784"/>
        <item x="4091"/>
        <item x="3076"/>
        <item x="3977"/>
        <item x="4720"/>
        <item x="465"/>
        <item x="4206"/>
        <item x="3272"/>
        <item x="619"/>
        <item x="1404"/>
        <item x="30"/>
        <item x="3085"/>
        <item x="4245"/>
        <item x="4888"/>
        <item x="3006"/>
        <item x="4465"/>
        <item x="4118"/>
        <item x="3731"/>
        <item x="4160"/>
        <item x="1130"/>
        <item x="3110"/>
        <item x="586"/>
        <item x="3537"/>
        <item x="3750"/>
        <item x="2563"/>
        <item x="2561"/>
        <item x="3991"/>
        <item x="2722"/>
        <item x="3694"/>
        <item x="4238"/>
        <item x="1217"/>
        <item x="2400"/>
        <item x="4872"/>
        <item x="1488"/>
        <item x="4173"/>
        <item x="2464"/>
        <item x="559"/>
        <item x="1515"/>
        <item x="2966"/>
        <item x="2594"/>
        <item x="4324"/>
        <item x="2804"/>
        <item x="1527"/>
        <item x="1378"/>
        <item x="3570"/>
        <item x="3471"/>
        <item x="81"/>
        <item x="4351"/>
        <item x="4512"/>
        <item x="1843"/>
        <item x="1313"/>
        <item x="1052"/>
        <item x="552"/>
        <item x="2863"/>
        <item x="4790"/>
        <item x="3681"/>
        <item x="4733"/>
        <item x="4069"/>
        <item x="2037"/>
        <item x="1430"/>
        <item x="4054"/>
        <item x="445"/>
        <item x="3625"/>
        <item x="3456"/>
        <item x="2070"/>
        <item x="315"/>
        <item x="3585"/>
        <item x="4268"/>
        <item x="3873"/>
        <item x="2099"/>
        <item x="2923"/>
        <item x="2856"/>
        <item x="3373"/>
        <item x="3749"/>
        <item x="1295"/>
        <item x="2549"/>
        <item x="2391"/>
        <item x="2763"/>
        <item x="4821"/>
        <item x="1537"/>
        <item x="2109"/>
        <item x="2494"/>
        <item x="1629"/>
        <item x="2961"/>
        <item x="1382"/>
        <item x="656"/>
        <item x="1992"/>
        <item x="460"/>
        <item x="4368"/>
        <item x="2057"/>
        <item x="3985"/>
        <item x="543"/>
        <item x="3077"/>
        <item x="4497"/>
        <item x="2904"/>
        <item x="1218"/>
        <item x="4496"/>
        <item x="1406"/>
        <item x="2"/>
        <item x="264"/>
        <item x="229"/>
        <item x="1573"/>
        <item x="4490"/>
        <item x="4313"/>
        <item x="560"/>
        <item x="3144"/>
        <item x="1917"/>
        <item x="3147"/>
        <item x="31"/>
        <item x="6"/>
        <item x="160"/>
        <item x="467"/>
        <item x="2344"/>
        <item x="3300"/>
        <item x="1676"/>
        <item x="3439"/>
        <item x="2167"/>
        <item x="3667"/>
        <item x="3785"/>
        <item x="378"/>
        <item x="2389"/>
        <item x="1329"/>
        <item x="1181"/>
        <item x="1392"/>
        <item x="1807"/>
        <item x="2984"/>
        <item x="2797"/>
        <item x="3872"/>
        <item x="2773"/>
        <item x="3302"/>
        <item x="3719"/>
        <item x="3598"/>
        <item x="57"/>
        <item x="2876"/>
        <item x="2367"/>
        <item x="48"/>
        <item x="2000"/>
        <item x="1615"/>
        <item x="1787"/>
        <item x="159"/>
        <item x="1058"/>
        <item x="1330"/>
        <item x="593"/>
        <item x="770"/>
        <item x="1396"/>
        <item x="237"/>
        <item x="234"/>
        <item x="233"/>
        <item x="2973"/>
        <item x="2031"/>
        <item x="1521"/>
        <item x="4"/>
        <item x="3271"/>
        <item x="603"/>
        <item x="848"/>
        <item x="3474"/>
        <item x="306"/>
        <item x="740"/>
        <item x="4589"/>
        <item x="3778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5"/>
        <item x="2405"/>
        <item x="2208"/>
        <item x="3591"/>
        <item x="1532"/>
        <item x="3662"/>
        <item x="2903"/>
        <item x="4228"/>
        <item x="2944"/>
        <item x="4331"/>
        <item x="1501"/>
        <item x="2731"/>
        <item x="1971"/>
        <item x="2100"/>
        <item x="4211"/>
        <item x="1964"/>
        <item x="4895"/>
        <item x="4243"/>
        <item x="4665"/>
        <item x="1732"/>
        <item x="2278"/>
        <item x="1635"/>
        <item x="3182"/>
        <item x="4190"/>
        <item x="1969"/>
        <item x="1434"/>
        <item x="1024"/>
        <item x="2198"/>
        <item x="3040"/>
        <item x="986"/>
        <item x="225"/>
        <item x="273"/>
        <item x="865"/>
        <item x="4121"/>
        <item x="4655"/>
        <item x="4276"/>
        <item x="4254"/>
        <item x="4203"/>
        <item x="558"/>
        <item x="3081"/>
        <item x="4749"/>
        <item x="73"/>
        <item x="2475"/>
        <item x="2080"/>
        <item x="4037"/>
        <item x="4757"/>
        <item x="3678"/>
        <item x="3594"/>
        <item x="1302"/>
        <item x="927"/>
        <item x="4788"/>
        <item x="1159"/>
        <item x="4851"/>
        <item x="4387"/>
        <item x="4119"/>
        <item x="2266"/>
        <item x="2444"/>
        <item x="4232"/>
        <item x="1702"/>
        <item x="1458"/>
        <item x="889"/>
        <item x="1323"/>
        <item x="2485"/>
        <item x="11"/>
        <item x="831"/>
        <item x="790"/>
        <item x="2737"/>
        <item x="4856"/>
        <item x="4103"/>
        <item x="3574"/>
        <item x="324"/>
        <item x="485"/>
        <item x="3813"/>
        <item x="2323"/>
        <item x="1805"/>
        <item x="2270"/>
        <item x="1326"/>
        <item x="1268"/>
        <item x="4807"/>
        <item x="3364"/>
        <item x="3159"/>
        <item x="3071"/>
        <item x="3368"/>
        <item x="2121"/>
        <item x="4777"/>
        <item x="1348"/>
        <item x="477"/>
        <item x="2503"/>
        <item x="2293"/>
        <item x="960"/>
        <item x="3392"/>
        <item x="4809"/>
        <item x="2867"/>
        <item x="2351"/>
        <item x="3754"/>
        <item x="1647"/>
        <item x="1065"/>
        <item x="1044"/>
        <item x="1854"/>
        <item x="1534"/>
        <item x="1741"/>
        <item x="2912"/>
        <item x="3538"/>
        <item x="3846"/>
        <item x="565"/>
        <item x="2141"/>
        <item x="7"/>
        <item x="850"/>
        <item x="3779"/>
        <item x="1977"/>
        <item x="4046"/>
        <item x="4684"/>
        <item x="4433"/>
        <item x="4479"/>
        <item x="3932"/>
        <item x="2749"/>
        <item x="3121"/>
        <item x="2180"/>
        <item x="540"/>
        <item x="628"/>
        <item x="922"/>
        <item x="4001"/>
        <item x="1866"/>
        <item x="2111"/>
        <item x="242"/>
        <item x="245"/>
        <item x="4748"/>
        <item x="4205"/>
        <item x="285"/>
        <item x="94"/>
        <item x="109"/>
        <item x="44"/>
        <item x="2181"/>
        <item x="1349"/>
        <item x="3376"/>
        <item x="3310"/>
        <item x="4095"/>
        <item x="819"/>
        <item x="212"/>
        <item x="1958"/>
        <item x="1817"/>
        <item x="4373"/>
        <item x="3567"/>
        <item x="1354"/>
        <item x="429"/>
        <item x="599"/>
        <item x="4478"/>
        <item x="1580"/>
        <item x="919"/>
        <item x="2040"/>
        <item x="2479"/>
        <item x="1027"/>
        <item x="3493"/>
        <item x="1940"/>
        <item x="317"/>
        <item x="512"/>
        <item x="980"/>
        <item x="192"/>
        <item x="1631"/>
        <item x="1498"/>
        <item x="344"/>
        <item x="4388"/>
        <item x="4389"/>
        <item x="39"/>
        <item x="21"/>
        <item x="695"/>
        <item x="2174"/>
        <item x="2356"/>
        <item x="3496"/>
        <item x="561"/>
        <item x="2065"/>
        <item x="1102"/>
        <item x="3987"/>
        <item x="3654"/>
        <item x="2497"/>
        <item x="3855"/>
        <item x="1261"/>
        <item x="2511"/>
        <item x="2697"/>
        <item x="1706"/>
        <item x="2818"/>
        <item x="1504"/>
        <item x="257"/>
        <item x="17"/>
        <item x="254"/>
        <item x="3751"/>
        <item x="2326"/>
        <item x="2119"/>
        <item x="1429"/>
        <item x="1433"/>
        <item x="3911"/>
        <item x="4361"/>
        <item x="4320"/>
        <item x="3067"/>
        <item x="2195"/>
        <item x="3688"/>
        <item x="3854"/>
        <item x="4366"/>
        <item x="4477"/>
        <item x="981"/>
        <item x="4775"/>
        <item x="3680"/>
        <item x="2125"/>
        <item x="4323"/>
        <item x="1421"/>
        <item x="3055"/>
        <item x="2126"/>
        <item x="2463"/>
        <item x="3228"/>
        <item x="1855"/>
        <item x="1986"/>
        <item x="4148"/>
        <item x="3931"/>
        <item x="4687"/>
        <item x="177"/>
        <item x="1021"/>
        <item x="2807"/>
        <item x="2663"/>
        <item x="4767"/>
        <item x="1740"/>
        <item x="4715"/>
        <item x="3864"/>
        <item x="1535"/>
        <item x="1173"/>
        <item x="4828"/>
        <item x="787"/>
        <item x="2173"/>
        <item x="4076"/>
        <item x="4595"/>
        <item x="1390"/>
        <item x="3370"/>
        <item x="4823"/>
        <item x="4396"/>
        <item x="3030"/>
        <item x="3770"/>
        <item x="4357"/>
        <item x="1790"/>
        <item x="1856"/>
        <item x="3246"/>
        <item x="1033"/>
        <item x="457"/>
        <item x="962"/>
        <item x="4193"/>
        <item x="2347"/>
        <item x="3324"/>
        <item x="3468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3"/>
        <item x="3059"/>
        <item x="2907"/>
        <item x="4822"/>
        <item x="4854"/>
        <item x="4538"/>
        <item x="4135"/>
        <item x="904"/>
        <item x="2026"/>
        <item x="3984"/>
        <item x="2064"/>
        <item x="4697"/>
        <item x="4463"/>
        <item x="2292"/>
        <item x="481"/>
        <item x="4858"/>
        <item x="3156"/>
        <item x="3522"/>
        <item x="3162"/>
        <item x="4300"/>
        <item x="1072"/>
        <item x="4784"/>
        <item x="3561"/>
        <item x="2803"/>
        <item x="1637"/>
        <item x="1046"/>
        <item x="4643"/>
        <item x="4865"/>
        <item x="2844"/>
        <item x="4134"/>
        <item x="327"/>
        <item x="4751"/>
        <item x="4791"/>
        <item x="270"/>
        <item x="1679"/>
        <item x="2782"/>
        <item x="4363"/>
        <item x="1408"/>
        <item x="3165"/>
        <item x="909"/>
        <item x="4407"/>
        <item x="2301"/>
        <item x="3608"/>
        <item x="4760"/>
        <item x="3450"/>
        <item x="16"/>
        <item x="64"/>
        <item x="110"/>
        <item x="227"/>
        <item x="3480"/>
        <item x="4900"/>
        <item x="3325"/>
        <item x="2840"/>
        <item x="2689"/>
        <item x="3957"/>
        <item x="1071"/>
        <item x="2291"/>
        <item x="3120"/>
        <item x="1712"/>
        <item x="3047"/>
        <item x="2575"/>
        <item x="2687"/>
        <item x="4572"/>
        <item x="1186"/>
        <item x="2139"/>
        <item x="1956"/>
        <item x="1848"/>
        <item x="3234"/>
        <item x="4301"/>
        <item x="2538"/>
        <item x="3834"/>
        <item x="419"/>
        <item x="3094"/>
        <item x="3732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1"/>
        <item x="4902"/>
        <item x="101"/>
        <item x="4248"/>
        <item x="1844"/>
        <item x="1619"/>
        <item x="205"/>
        <item x="3510"/>
        <item x="2943"/>
        <item x="4690"/>
        <item x="3"/>
        <item x="66"/>
        <item x="1513"/>
        <item x="216"/>
        <item x="462"/>
        <item x="3950"/>
        <item x="4423"/>
        <item x="2662"/>
        <item x="3362"/>
        <item x="2191"/>
        <item x="1291"/>
        <item x="2591"/>
        <item x="357"/>
        <item x="4045"/>
        <item x="2145"/>
        <item x="3419"/>
        <item x="4443"/>
        <item x="1395"/>
        <item x="818"/>
        <item x="2340"/>
        <item x="383"/>
        <item x="3423"/>
        <item x="3195"/>
        <item x="4195"/>
        <item x="662"/>
        <item x="605"/>
        <item x="4859"/>
        <item x="4041"/>
        <item x="2758"/>
        <item x="4355"/>
        <item x="2313"/>
        <item x="1247"/>
        <item x="4080"/>
        <item x="1800"/>
        <item x="3281"/>
        <item x="907"/>
        <item x="3502"/>
        <item x="4042"/>
        <item x="484"/>
        <item x="3663"/>
        <item x="3643"/>
        <item x="2850"/>
        <item x="295"/>
        <item x="2047"/>
        <item x="1402"/>
        <item x="839"/>
        <item x="4698"/>
        <item x="2368"/>
        <item x="2869"/>
        <item x="296"/>
        <item x="313"/>
        <item x="431"/>
        <item x="4877"/>
        <item x="1353"/>
        <item x="3464"/>
        <item x="2893"/>
        <item x="1863"/>
        <item x="2596"/>
        <item x="2350"/>
        <item x="724"/>
        <item x="2371"/>
        <item x="1643"/>
        <item x="870"/>
        <item x="100"/>
        <item x="412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8"/>
        <item x="323"/>
        <item x="2390"/>
        <item x="4912"/>
        <item x="855"/>
        <item x="3143"/>
        <item x="3690"/>
        <item x="1499"/>
        <item x="1463"/>
        <item x="3491"/>
        <item x="3079"/>
        <item x="4852"/>
        <item x="2154"/>
        <item x="3822"/>
        <item x="2324"/>
        <item x="4764"/>
        <item x="1128"/>
        <item x="3904"/>
        <item x="2862"/>
        <item x="4831"/>
        <item x="1923"/>
        <item x="2306"/>
        <item x="2063"/>
        <item x="966"/>
        <item x="4319"/>
        <item x="710"/>
        <item x="3879"/>
        <item x="4240"/>
        <item x="860"/>
        <item x="1116"/>
        <item x="3103"/>
        <item x="1946"/>
        <item x="3263"/>
        <item x="360"/>
        <item x="4383"/>
        <item x="1903"/>
        <item x="2082"/>
        <item x="1108"/>
        <item x="3402"/>
        <item x="2791"/>
        <item x="886"/>
        <item x="2873"/>
        <item x="24"/>
        <item x="55"/>
        <item x="1554"/>
        <item x="3322"/>
        <item x="3179"/>
        <item x="3900"/>
        <item x="2707"/>
        <item x="1701"/>
        <item x="4397"/>
        <item x="3198"/>
        <item x="3098"/>
        <item x="4781"/>
        <item x="1563"/>
        <item x="4036"/>
        <item x="1331"/>
        <item x="2942"/>
        <item x="2612"/>
        <item x="3827"/>
        <item x="50"/>
        <item x="802"/>
        <item x="3564"/>
        <item x="1941"/>
        <item x="4271"/>
        <item x="3817"/>
        <item x="2238"/>
        <item x="3569"/>
        <item x="256"/>
        <item x="4449"/>
        <item x="704"/>
        <item x="1883"/>
        <item x="2169"/>
        <item x="3050"/>
        <item x="3548"/>
        <item x="1244"/>
        <item x="1305"/>
        <item x="3010"/>
        <item x="4590"/>
        <item x="4540"/>
        <item x="434"/>
        <item x="1384"/>
        <item x="737"/>
        <item x="4608"/>
        <item x="698"/>
        <item x="370"/>
        <item x="3283"/>
        <item x="3671"/>
        <item x="459"/>
        <item x="3462"/>
        <item x="1149"/>
        <item x="4371"/>
        <item x="4498"/>
        <item x="1858"/>
        <item x="2630"/>
        <item x="2469"/>
        <item x="3901"/>
        <item x="3581"/>
        <item x="1092"/>
        <item x="1970"/>
        <item x="99"/>
        <item x="20"/>
        <item x="23"/>
        <item x="3394"/>
        <item x="402"/>
        <item x="4352"/>
        <item x="2556"/>
        <item x="1801"/>
        <item x="4533"/>
        <item x="4812"/>
        <item x="727"/>
        <item x="1491"/>
        <item x="993"/>
        <item x="3380"/>
        <item x="1908"/>
        <item x="1900"/>
        <item x="3138"/>
        <item x="4487"/>
        <item x="4434"/>
        <item x="1310"/>
        <item x="294"/>
        <item x="2067"/>
        <item x="433"/>
        <item x="185"/>
        <item x="204"/>
        <item x="103"/>
        <item x="1577"/>
        <item x="3951"/>
        <item x="863"/>
        <item x="1309"/>
        <item x="241"/>
        <item x="1335"/>
        <item x="2640"/>
        <item x="4170"/>
        <item x="3267"/>
        <item x="3247"/>
        <item x="2412"/>
        <item x="3150"/>
        <item x="2035"/>
        <item x="2490"/>
        <item x="4868"/>
        <item x="1692"/>
        <item x="2577"/>
        <item x="2546"/>
        <item x="2669"/>
        <item x="1282"/>
        <item x="2678"/>
        <item x="3592"/>
        <item x="1551"/>
        <item x="175"/>
        <item x="345"/>
        <item x="4739"/>
        <item x="1098"/>
        <item x="1062"/>
        <item x="2073"/>
        <item x="2435"/>
        <item x="3328"/>
        <item x="4571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3"/>
        <item x="3837"/>
        <item x="4500"/>
        <item x="3154"/>
        <item x="974"/>
        <item x="2159"/>
        <item x="79"/>
        <item x="1132"/>
        <item x="1174"/>
        <item x="4597"/>
        <item x="659"/>
        <item x="3825"/>
        <item x="2854"/>
        <item x="4657"/>
        <item x="564"/>
        <item x="2571"/>
        <item x="2232"/>
        <item x="4404"/>
        <item x="2999"/>
        <item x="4235"/>
        <item x="1426"/>
        <item x="1230"/>
        <item x="2866"/>
        <item x="3352"/>
        <item x="139"/>
        <item x="4491"/>
        <item x="789"/>
        <item x="3025"/>
        <item x="3063"/>
        <item x="1891"/>
        <item x="3829"/>
        <item x="4261"/>
        <item x="4216"/>
        <item x="2788"/>
        <item x="2608"/>
        <item x="3539"/>
        <item x="640"/>
        <item x="1201"/>
        <item x="157"/>
        <item x="1315"/>
        <item x="4140"/>
        <item x="2147"/>
        <item x="1687"/>
        <item x="2418"/>
        <item x="3434"/>
        <item x="3874"/>
        <item x="4875"/>
        <item x="495"/>
        <item x="3064"/>
        <item x="3645"/>
        <item x="514"/>
        <item x="779"/>
        <item x="4165"/>
        <item x="4878"/>
        <item x="4246"/>
        <item x="622"/>
        <item x="3254"/>
        <item x="63"/>
        <item x="2408"/>
        <item x="478"/>
        <item x="759"/>
        <item x="2093"/>
        <item x="1000"/>
        <item x="2952"/>
        <item x="1002"/>
        <item x="3136"/>
        <item x="1220"/>
        <item x="503"/>
        <item x="4380"/>
        <item x="4663"/>
        <item x="510"/>
        <item x="2086"/>
        <item x="4168"/>
        <item x="1226"/>
        <item x="4644"/>
        <item x="2593"/>
        <item x="14"/>
        <item x="672"/>
        <item x="3093"/>
        <item x="3048"/>
        <item x="1503"/>
        <item x="441"/>
        <item x="2046"/>
        <item x="4726"/>
        <item x="267"/>
        <item x="335"/>
        <item x="336"/>
        <item x="4340"/>
        <item x="1932"/>
        <item x="3858"/>
        <item x="3273"/>
        <item x="3202"/>
        <item x="4215"/>
        <item x="4837"/>
        <item x="4377"/>
        <item x="517"/>
        <item x="696"/>
        <item x="2670"/>
        <item x="3885"/>
        <item x="333"/>
        <item x="84"/>
        <item x="1879"/>
        <item x="2771"/>
        <item x="4290"/>
        <item x="3708"/>
        <item x="1814"/>
        <item x="1273"/>
        <item x="4606"/>
        <item x="570"/>
        <item x="4794"/>
        <item x="3652"/>
        <item x="542"/>
        <item x="1409"/>
        <item x="2242"/>
        <item x="3959"/>
        <item x="3417"/>
        <item x="2657"/>
        <item x="2267"/>
        <item x="470"/>
        <item x="4252"/>
        <item x="2633"/>
        <item x="275"/>
        <item x="653"/>
        <item x="2363"/>
        <item x="3930"/>
        <item x="2516"/>
        <item x="1351"/>
        <item x="3101"/>
        <item x="126"/>
        <item x="124"/>
        <item x="647"/>
        <item x="1496"/>
        <item x="1143"/>
        <item x="1170"/>
        <item x="2013"/>
        <item x="1700"/>
        <item x="3505"/>
        <item x="1007"/>
        <item x="2518"/>
        <item x="1209"/>
        <item x="2703"/>
        <item x="3049"/>
        <item x="3451"/>
        <item x="4835"/>
        <item x="1153"/>
        <item x="3835"/>
        <item x="4217"/>
        <item x="677"/>
        <item x="2811"/>
        <item x="3015"/>
        <item x="4909"/>
        <item x="598"/>
        <item x="792"/>
        <item x="4750"/>
        <item x="1154"/>
        <item x="4559"/>
        <item x="321"/>
        <item x="72"/>
        <item x="2896"/>
        <item x="3296"/>
        <item x="1079"/>
        <item x="2653"/>
        <item x="1266"/>
        <item x="4863"/>
        <item x="2033"/>
        <item x="3766"/>
        <item x="3280"/>
        <item x="1436"/>
        <item x="970"/>
        <item x="3396"/>
        <item x="2068"/>
        <item x="1798"/>
        <item x="2800"/>
        <item x="1683"/>
        <item x="1803"/>
        <item x="1944"/>
        <item x="1666"/>
        <item x="3836"/>
        <item x="4844"/>
        <item x="1341"/>
        <item x="1590"/>
        <item x="2638"/>
        <item x="1539"/>
        <item x="3913"/>
        <item x="1612"/>
        <item x="387"/>
        <item x="2353"/>
        <item x="832"/>
        <item x="2383"/>
        <item x="2615"/>
        <item x="1232"/>
        <item x="3714"/>
        <item x="3398"/>
        <item x="1877"/>
        <item x="1025"/>
        <item x="2303"/>
        <item x="3178"/>
        <item x="3955"/>
        <item x="1479"/>
        <item x="3969"/>
        <item x="3838"/>
        <item x="1267"/>
        <item x="4636"/>
        <item x="4116"/>
        <item x="291"/>
        <item x="3441"/>
        <item x="1211"/>
        <item x="2454"/>
        <item x="1264"/>
        <item x="4651"/>
        <item x="3074"/>
        <item x="3185"/>
        <item x="825"/>
        <item x="2325"/>
        <item x="3331"/>
        <item x="4507"/>
        <item x="1849"/>
        <item x="4845"/>
        <item x="250"/>
        <item x="975"/>
        <item x="319"/>
        <item x="1070"/>
        <item x="3011"/>
        <item x="2868"/>
        <item x="4488"/>
        <item x="3088"/>
        <item x="3685"/>
        <item x="218"/>
        <item x="3888"/>
        <item x="2837"/>
        <item x="4519"/>
        <item x="871"/>
        <item x="1113"/>
        <item x="1435"/>
        <item x="3405"/>
        <item x="461"/>
        <item x="3899"/>
        <item x="2645"/>
        <item x="867"/>
        <item x="2637"/>
        <item x="3315"/>
        <item x="3658"/>
        <item x="1111"/>
        <item x="4509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2"/>
        <item x="1176"/>
        <item x="2297"/>
        <item x="3590"/>
        <item x="4894"/>
        <item x="1517"/>
        <item x="3976"/>
        <item x="3231"/>
        <item x="3042"/>
        <item x="2939"/>
        <item x="842"/>
        <item x="2584"/>
        <item x="1545"/>
        <item x="2249"/>
        <item x="4535"/>
        <item x="4626"/>
        <item x="2118"/>
        <item x="4422"/>
        <item x="2428"/>
        <item x="1235"/>
        <item x="1839"/>
        <item x="1523"/>
        <item x="3845"/>
        <item x="1269"/>
        <item x="3122"/>
        <item x="3186"/>
        <item x="774"/>
        <item x="2626"/>
        <item x="1669"/>
        <item x="968"/>
        <item x="3511"/>
        <item x="3638"/>
        <item x="2699"/>
        <item x="1123"/>
        <item x="178"/>
        <item x="4893"/>
        <item x="812"/>
        <item x="1796"/>
        <item x="943"/>
        <item x="4126"/>
        <item x="1379"/>
        <item x="1097"/>
        <item x="330"/>
        <item x="1972"/>
        <item x="3637"/>
        <item x="522"/>
        <item x="2674"/>
        <item x="3363"/>
        <item x="2062"/>
        <item x="2521"/>
        <item x="3275"/>
        <item x="1746"/>
        <item x="1734"/>
        <item x="1943"/>
        <item x="3840"/>
        <item x="3222"/>
        <item x="409"/>
        <item x="1640"/>
        <item x="377"/>
        <item x="4333"/>
        <item x="2433"/>
        <item x="649"/>
        <item x="2061"/>
        <item x="3240"/>
        <item x="1012"/>
        <item x="722"/>
        <item x="625"/>
        <item x="729"/>
        <item x="2785"/>
        <item x="3086"/>
        <item x="4398"/>
        <item x="3920"/>
        <item x="2991"/>
        <item x="513"/>
        <item x="355"/>
        <item x="3346"/>
        <item x="3933"/>
        <item x="768"/>
        <item x="4451"/>
        <item x="1257"/>
        <item x="739"/>
        <item x="2802"/>
        <item x="1920"/>
        <item x="2333"/>
        <item x="1472"/>
        <item x="602"/>
        <item x="4867"/>
        <item x="2134"/>
        <item x="569"/>
        <item x="3351"/>
        <item x="4622"/>
        <item x="4582"/>
        <item x="1791"/>
        <item x="1898"/>
        <item x="1918"/>
        <item x="1171"/>
        <item x="1231"/>
        <item x="4455"/>
        <item x="2601"/>
        <item x="4641"/>
        <item x="4430"/>
        <item x="263"/>
        <item x="259"/>
        <item x="1187"/>
        <item x="778"/>
        <item x="2705"/>
        <item x="104"/>
        <item x="4660"/>
        <item x="3299"/>
        <item x="320"/>
        <item x="1088"/>
        <item x="4492"/>
        <item x="4109"/>
        <item x="342"/>
        <item x="797"/>
        <item x="580"/>
        <item x="1586"/>
        <item x="1769"/>
        <item x="2732"/>
        <item x="4255"/>
        <item x="4310"/>
        <item x="1813"/>
        <item x="4618"/>
        <item x="2190"/>
        <item x="325"/>
        <item x="4774"/>
        <item x="4756"/>
        <item x="3599"/>
        <item x="992"/>
        <item x="3123"/>
        <item x="4362"/>
        <item x="623"/>
        <item x="3801"/>
        <item x="3700"/>
        <item x="1140"/>
        <item x="3163"/>
        <item x="2338"/>
        <item x="2409"/>
        <item x="289"/>
        <item x="748"/>
        <item x="1196"/>
        <item x="2314"/>
        <item x="3619"/>
        <item x="530"/>
        <item x="3508"/>
        <item x="3221"/>
        <item x="3758"/>
        <item x="2514"/>
        <item x="2602"/>
        <item x="908"/>
        <item x="1346"/>
        <item x="2537"/>
        <item x="1049"/>
        <item x="395"/>
        <item x="1625"/>
        <item x="2162"/>
        <item x="4156"/>
        <item x="475"/>
        <item x="1318"/>
        <item x="4321"/>
        <item x="1035"/>
        <item x="4242"/>
        <item x="2316"/>
        <item x="301"/>
        <item x="1356"/>
        <item x="4158"/>
        <item x="4664"/>
        <item x="3588"/>
        <item x="2092"/>
        <item x="2116"/>
        <item x="1476"/>
        <item x="4795"/>
        <item x="4172"/>
        <item x="4392"/>
        <item x="1991"/>
        <item x="711"/>
        <item x="750"/>
        <item x="173"/>
        <item x="624"/>
        <item x="917"/>
        <item x="1327"/>
        <item x="3245"/>
        <item x="2512"/>
        <item x="1867"/>
        <item x="2906"/>
        <item x="3524"/>
        <item x="4143"/>
        <item x="4424"/>
        <item x="2841"/>
        <item x="3884"/>
        <item x="3870"/>
        <item x="2508"/>
        <item x="573"/>
        <item x="3550"/>
        <item x="4202"/>
        <item x="3726"/>
        <item x="3008"/>
        <item x="1574"/>
        <item x="3563"/>
        <item x="3252"/>
        <item x="1482"/>
        <item x="4247"/>
        <item x="1311"/>
        <item x="1164"/>
        <item x="3832"/>
        <item x="862"/>
        <item x="1516"/>
        <item x="2058"/>
        <item x="2030"/>
        <item x="3395"/>
        <item x="3242"/>
        <item x="3650"/>
        <item x="2250"/>
        <item x="2609"/>
        <item x="1744"/>
        <item x="3354"/>
        <item x="2547"/>
        <item x="2430"/>
        <item x="2005"/>
        <item x="1675"/>
        <item x="3345"/>
        <item x="4412"/>
        <item x="2833"/>
        <item x="3562"/>
        <item x="1895"/>
        <item x="3290"/>
        <item x="3916"/>
        <item x="2018"/>
        <item x="4071"/>
        <item x="304"/>
        <item x="136"/>
        <item x="236"/>
        <item x="4811"/>
        <item x="2588"/>
        <item x="2525"/>
        <item x="3523"/>
        <item x="3545"/>
        <item x="3501"/>
        <item x="3384"/>
        <item x="4829"/>
        <item x="4805"/>
        <item x="171"/>
        <item x="2199"/>
        <item x="1976"/>
        <item x="2432"/>
        <item x="3527"/>
        <item x="639"/>
        <item x="1452"/>
        <item x="2302"/>
        <item x="2574"/>
        <item x="1540"/>
        <item x="2515"/>
        <item x="4560"/>
        <item x="1474"/>
        <item x="1388"/>
        <item x="3031"/>
        <item x="1894"/>
        <item x="2060"/>
        <item x="4798"/>
        <item x="4048"/>
        <item x="3826"/>
        <item x="4602"/>
        <item x="2477"/>
        <item x="2696"/>
        <item x="2544"/>
        <item x="2004"/>
        <item x="2874"/>
        <item x="2750"/>
        <item x="2332"/>
        <item x="4015"/>
        <item x="486"/>
        <item x="4177"/>
        <item x="2805"/>
        <item x="1417"/>
        <item x="4127"/>
        <item x="733"/>
        <item x="4869"/>
        <item x="1531"/>
        <item x="2178"/>
        <item x="666"/>
        <item x="4214"/>
        <item x="2342"/>
        <item x="130"/>
        <item x="127"/>
        <item x="4124"/>
        <item x="2679"/>
        <item x="2317"/>
        <item x="1036"/>
        <item x="2260"/>
        <item x="3850"/>
        <item x="1512"/>
        <item x="3224"/>
        <item x="878"/>
        <item x="2576"/>
        <item x="4855"/>
        <item x="4035"/>
        <item x="4090"/>
        <item x="2887"/>
        <item x="4546"/>
        <item x="3936"/>
        <item x="1751"/>
        <item x="4088"/>
        <item x="492"/>
        <item x="4901"/>
        <item x="1089"/>
        <item x="2123"/>
        <item x="4861"/>
        <item x="550"/>
        <item x="26"/>
        <item x="1411"/>
        <item x="4230"/>
        <item x="2210"/>
        <item x="4163"/>
        <item x="2107"/>
        <item x="4619"/>
        <item x="4431"/>
        <item x="1875"/>
        <item x="3001"/>
        <item x="249"/>
        <item x="88"/>
        <item x="2567"/>
        <item x="501"/>
        <item x="2901"/>
        <item x="2568"/>
        <item x="4594"/>
        <item x="4818"/>
        <item x="3841"/>
        <item x="2279"/>
        <item x="1916"/>
        <item x="3989"/>
        <item x="1276"/>
        <item x="211"/>
        <item x="4180"/>
        <item x="401"/>
        <item x="2725"/>
        <item x="278"/>
        <item x="349"/>
        <item x="43"/>
        <item x="1572"/>
        <item x="3506"/>
        <item x="3589"/>
        <item x="2954"/>
        <item x="3236"/>
        <item x="1029"/>
        <item x="3921"/>
        <item x="1076"/>
        <item x="3968"/>
        <item x="1400"/>
        <item x="2548"/>
        <item x="4442"/>
        <item x="339"/>
        <item x="112"/>
        <item x="37"/>
        <item x="53"/>
        <item x="36"/>
        <item x="1544"/>
        <item x="2688"/>
        <item x="3824"/>
        <item x="1694"/>
        <item x="2976"/>
        <item x="4273"/>
        <item x="4592"/>
        <item x="3767"/>
        <item x="311"/>
        <item x="4364"/>
        <item x="4696"/>
        <item x="3091"/>
        <item x="2963"/>
        <item x="2258"/>
        <item x="3996"/>
        <item x="3753"/>
        <item x="3926"/>
        <item x="40"/>
        <item x="2414"/>
        <item x="359"/>
        <item x="772"/>
        <item x="146"/>
        <item x="4338"/>
        <item x="1394"/>
        <item x="288"/>
        <item x="2851"/>
        <item x="3249"/>
        <item x="3866"/>
        <item x="4518"/>
        <item x="4019"/>
        <item x="2632"/>
        <item x="3721"/>
        <item x="4711"/>
        <item x="4710"/>
        <item x="179"/>
        <item x="875"/>
        <item x="4022"/>
        <item x="3068"/>
        <item x="1365"/>
        <item x="4627"/>
        <item x="2572"/>
        <item x="998"/>
        <item x="389"/>
        <item x="3470"/>
        <item x="572"/>
        <item x="2814"/>
        <item x="3255"/>
        <item x="4460"/>
        <item x="3477"/>
        <item x="2937"/>
        <item x="717"/>
        <item x="3723"/>
        <item x="2646"/>
        <item x="694"/>
        <item x="3692"/>
        <item x="4075"/>
        <item x="3266"/>
        <item x="1667"/>
        <item x="1938"/>
        <item x="556"/>
        <item x="655"/>
        <item x="751"/>
        <item x="2219"/>
        <item x="4284"/>
        <item x="2786"/>
        <item x="2381"/>
        <item x="1974"/>
        <item x="1897"/>
        <item x="2106"/>
        <item x="2071"/>
        <item x="609"/>
        <item x="1135"/>
        <item x="1419"/>
        <item x="3261"/>
        <item x="2251"/>
        <item x="4763"/>
        <item x="4827"/>
        <item x="958"/>
        <item x="1497"/>
        <item x="2429"/>
        <item x="2720"/>
        <item x="953"/>
        <item x="4432"/>
        <item x="2387"/>
        <item x="1713"/>
        <item x="1297"/>
        <item x="1221"/>
        <item x="1139"/>
        <item x="4067"/>
        <item x="350"/>
        <item x="4325"/>
        <item x="1443"/>
        <item x="747"/>
        <item x="1596"/>
        <item x="67"/>
        <item x="2734"/>
        <item x="2631"/>
        <item x="4773"/>
        <item x="951"/>
        <item x="4270"/>
        <item x="1567"/>
        <item x="3078"/>
        <item x="906"/>
        <item x="1456"/>
        <item x="366"/>
        <item x="4113"/>
        <item x="3294"/>
        <item x="2742"/>
        <item x="4224"/>
        <item x="2176"/>
        <item x="2213"/>
        <item x="2553"/>
        <item x="3526"/>
        <item x="587"/>
        <item x="2054"/>
        <item x="1204"/>
        <item x="2510"/>
        <item x="3443"/>
        <item x="3251"/>
        <item x="3009"/>
        <item x="2492"/>
        <item x="3555"/>
        <item x="3264"/>
        <item x="533"/>
        <item x="3109"/>
        <item x="4564"/>
        <item x="2526"/>
        <item x="1136"/>
        <item x="3583"/>
        <item x="1352"/>
        <item x="1659"/>
        <item x="1861"/>
        <item x="382"/>
        <item x="3211"/>
        <item x="1853"/>
        <item x="2592"/>
        <item x="3467"/>
        <item x="3847"/>
        <item x="4414"/>
        <item x="4306"/>
        <item x="3971"/>
        <item x="1471"/>
        <item x="1719"/>
        <item x="4461"/>
        <item x="826"/>
        <item x="488"/>
        <item x="2500"/>
        <item x="600"/>
        <item x="58"/>
        <item x="4342"/>
        <item x="4593"/>
        <item x="4192"/>
        <item x="1524"/>
        <item x="521"/>
        <item x="3536"/>
        <item x="597"/>
        <item x="187"/>
        <item x="1934"/>
        <item x="3160"/>
        <item x="108"/>
        <item x="2878"/>
        <item x="3431"/>
        <item x="4012"/>
        <item x="1598"/>
        <item x="1961"/>
        <item x="1483"/>
        <item x="2562"/>
        <item x="164"/>
        <item x="4601"/>
        <item x="1332"/>
        <item x="4006"/>
        <item x="1995"/>
        <item x="76"/>
        <item x="2135"/>
        <item x="676"/>
        <item x="4184"/>
        <item x="940"/>
        <item x="3740"/>
        <item x="3449"/>
        <item x="1764"/>
        <item x="591"/>
        <item x="4802"/>
        <item x="1782"/>
        <item x="2950"/>
        <item x="1840"/>
        <item x="4552"/>
        <item x="3172"/>
        <item x="2550"/>
        <item x="4717"/>
        <item x="2262"/>
        <item x="1368"/>
        <item x="3520"/>
        <item x="4771"/>
        <item x="3804"/>
        <item x="1904"/>
        <item x="479"/>
        <item x="4689"/>
        <item x="1812"/>
        <item x="352"/>
        <item x="1022"/>
        <item x="3828"/>
        <item x="1357"/>
        <item x="643"/>
        <item x="2667"/>
        <item x="2677"/>
        <item x="3007"/>
        <item x="2597"/>
        <item x="1650"/>
        <item x="2243"/>
        <item x="2589"/>
        <item x="3343"/>
        <item x="2507"/>
        <item x="4713"/>
        <item x="2617"/>
        <item x="4813"/>
        <item x="2604"/>
        <item x="1982"/>
        <item x="299"/>
        <item x="3145"/>
        <item x="2650"/>
        <item x="3946"/>
        <item x="4008"/>
        <item x="2144"/>
        <item x="2736"/>
        <item x="141"/>
        <item x="3188"/>
        <item x="3045"/>
        <item x="2529"/>
        <item x="1345"/>
        <item x="1475"/>
        <item x="4462"/>
        <item x="3438"/>
        <item x="2150"/>
        <item x="2586"/>
        <item x="3938"/>
        <item x="1681"/>
        <item x="1709"/>
        <item x="2768"/>
        <item x="705"/>
        <item x="3355"/>
        <item x="2189"/>
        <item x="71"/>
        <item x="2607"/>
        <item x="2277"/>
        <item x="4011"/>
        <item x="1465"/>
        <item x="2016"/>
        <item x="4350"/>
        <item x="4549"/>
        <item x="240"/>
        <item x="1684"/>
        <item x="1766"/>
        <item x="4234"/>
        <item x="2704"/>
        <item x="1654"/>
        <item x="3586"/>
        <item x="3928"/>
        <item x="4179"/>
        <item x="791"/>
        <item x="3553"/>
        <item x="4189"/>
        <item x="1609"/>
        <item x="1984"/>
        <item x="3762"/>
        <item x="3383"/>
        <item x="2879"/>
        <item x="4416"/>
        <item x="596"/>
        <item x="2446"/>
        <item x="3003"/>
        <item x="3333"/>
        <item x="4003"/>
        <item x="2852"/>
        <item x="1457"/>
        <item x="3610"/>
        <item x="2352"/>
        <item x="2819"/>
        <item x="4596"/>
        <item x="4620"/>
        <item x="660"/>
        <item x="46"/>
        <item x="3169"/>
        <item x="133"/>
        <item x="90"/>
        <item x="4475"/>
        <item x="3092"/>
        <item x="3357"/>
        <item x="690"/>
        <item x="801"/>
        <item x="207"/>
        <item x="123"/>
        <item x="520"/>
        <item x="65"/>
        <item x="47"/>
        <item x="102"/>
        <item x="34"/>
        <item x="579"/>
        <item x="782"/>
        <item x="3669"/>
        <item x="763"/>
        <item x="3291"/>
        <item x="2886"/>
        <item x="932"/>
        <item x="4291"/>
        <item x="4797"/>
        <item x="3746"/>
        <item x="466"/>
        <item x="2197"/>
        <item x="4391"/>
        <item x="4292"/>
        <item x="367"/>
        <item x="3304"/>
        <item x="3189"/>
        <item x="3849"/>
        <item x="3205"/>
        <item x="2685"/>
        <item x="888"/>
        <item x="2914"/>
        <item x="4072"/>
        <item x="2796"/>
        <item x="2397"/>
        <item x="1008"/>
        <item x="4824"/>
        <item x="1090"/>
        <item x="2407"/>
        <item x="651"/>
        <item x="2214"/>
        <item x="3469"/>
        <item x="2011"/>
        <item x="2319"/>
        <item x="674"/>
        <item x="903"/>
        <item x="3707"/>
        <item x="3856"/>
        <item x="4511"/>
        <item x="428"/>
        <item x="4522"/>
        <item x="2029"/>
        <item x="468"/>
        <item x="1020"/>
        <item x="1752"/>
        <item x="1481"/>
        <item x="255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2"/>
  </rowFields>
  <rowItems count="49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</rowItems>
  <colItems count="1">
    <i/>
  </colItems>
  <dataFields count="1">
    <dataField name="SUM of duration" fld="3" baseField="0" baseItem="0"/>
  </dataFields>
  <pivotTableStyleInfo showRowHeaders="1" showColHeaders="1"/>
</pivotTableDefinition>
</file>

<file path=xl/pivotTables/pivotTable3.xml><?xml version="1.0" encoding="utf-8"?>
<pivotTableDefinition xmlns="http://schemas.openxmlformats.org/spreadsheetml/2006/main" name="Average IMBD Score" cacheId="0" autoFormatId="1" applyNumberFormats="0" applyBorderFormats="0" applyFontFormats="0" applyPatternFormats="0" applyAlignmentFormats="0" applyWidthHeightFormats="1" dataCaption="" updatedVersion="5" compact="0" compactData="0" showDrill="1">
  <location ref="A1:A2" firstHeaderRow="1" firstDataRow="1" firstDataCol="0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</pivotFields>
  <dataFields count="1">
    <dataField name="AVERAGE of imdb_score" fld="25" subtotal="average" baseField="0" baseItem="0"/>
  </dataFields>
  <pivotTableStyleInfo showRowHeaders="1" showColHeaders="1"/>
</pivotTableDefinition>
</file>

<file path=xl/pivotTables/pivotTable4.xml><?xml version="1.0" encoding="utf-8"?>
<pivotTableDefinition xmlns="http://schemas.openxmlformats.org/spreadsheetml/2006/main" name="Gross" cacheId="0" autoFormatId="1" applyNumberFormats="0" applyBorderFormats="0" applyFontFormats="0" applyPatternFormats="0" applyAlignmentFormats="0" applyWidthHeightFormats="1" dataCaption="" updatedVersion="5" compact="0" compactData="0" showDrill="1">
  <location ref="A1:A2" firstHeaderRow="1" firstDataRow="1" firstDataCol="0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dataFields count="1">
    <dataField name="SUM of gross" fld="7" baseField="0" baseItem="0"/>
  </dataFields>
  <pivotTableStyleInfo showRowHeaders="1" showColHeaders="1"/>
</pivotTableDefinition>
</file>

<file path=xl/pivotTables/pivotTable5.xml><?xml version="1.0" encoding="utf-8"?>
<pivotTableDefinition xmlns="http://schemas.openxmlformats.org/spreadsheetml/2006/main" name="Average Duration" cacheId="0" autoFormatId="1" applyNumberFormats="0" applyBorderFormats="0" applyFontFormats="0" applyPatternFormats="0" applyAlignmentFormats="0" applyWidthHeightFormats="1" dataCaption="" updatedVersion="5" compact="0" compactData="0" showDrill="1">
  <location ref="A1:A2" firstHeaderRow="1" firstDataRow="1" firstDataCol="0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dataFields count="1">
    <dataField name="AVERAGE of duration" fld="3" subtotal="average" baseField="0" baseItem="0"/>
  </dataFields>
  <pivotTableStyleInfo showRowHeaders="1" showColHeaders="1"/>
</pivotTableDefinition>
</file>

<file path=xl/pivotTables/pivotTable6.xml><?xml version="1.0" encoding="utf-8"?>
<pivotTableDefinition xmlns="http://schemas.openxmlformats.org/spreadsheetml/2006/main" name=" Trend of number of movies rele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93" firstHeaderRow="1" firstDataRow="1" firstDataCol="1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93">
        <item x="88"/>
        <item x="91"/>
        <item x="90"/>
        <item x="54"/>
        <item x="85"/>
        <item x="70"/>
        <item x="65"/>
        <item x="87"/>
        <item x="89"/>
        <item x="86"/>
        <item x="81"/>
        <item x="56"/>
        <item x="79"/>
        <item x="72"/>
        <item x="40"/>
        <item x="82"/>
        <item x="84"/>
        <item x="77"/>
        <item x="78"/>
        <item x="68"/>
        <item x="61"/>
        <item x="66"/>
        <item x="74"/>
        <item x="80"/>
        <item x="73"/>
        <item x="59"/>
        <item x="69"/>
        <item x="62"/>
        <item x="63"/>
        <item x="83"/>
        <item x="67"/>
        <item x="76"/>
        <item x="75"/>
        <item x="64"/>
        <item x="51"/>
        <item x="60"/>
        <item x="34"/>
        <item x="41"/>
        <item x="53"/>
        <item x="52"/>
        <item x="71"/>
        <item x="58"/>
        <item x="38"/>
        <item x="50"/>
        <item x="48"/>
        <item x="49"/>
        <item x="36"/>
        <item x="44"/>
        <item x="55"/>
        <item x="57"/>
        <item x="46"/>
        <item x="47"/>
        <item x="33"/>
        <item x="28"/>
        <item x="35"/>
        <item x="37"/>
        <item x="26"/>
        <item x="45"/>
        <item x="31"/>
        <item x="39"/>
        <item x="43"/>
        <item x="42"/>
        <item x="32"/>
        <item x="30"/>
        <item x="22"/>
        <item x="23"/>
        <item x="29"/>
        <item x="27"/>
        <item x="24"/>
        <item x="16"/>
        <item x="25"/>
        <item x="13"/>
        <item x="20"/>
        <item x="15"/>
        <item x="21"/>
        <item x="18"/>
        <item x="19"/>
        <item x="17"/>
        <item x="14"/>
        <item x="12"/>
        <item x="7"/>
        <item x="1"/>
        <item x="8"/>
        <item x="0"/>
        <item x="5"/>
        <item x="10"/>
        <item x="3"/>
        <item x="9"/>
        <item x="11"/>
        <item x="2"/>
        <item x="6"/>
        <item x="4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23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</rowItems>
  <colItems count="1">
    <i/>
  </colItems>
  <dataFields count="1">
    <dataField name="COUNTA of movie_title" fld="12" subtotal="count" baseField="0" baseItem="0"/>
  </dataFields>
  <pivotTableStyleInfo showRowHeaders="1" showColHeaders="1"/>
</pivotTableDefinition>
</file>

<file path=xl/pivotTables/pivotTable7.xml><?xml version="1.0" encoding="utf-8"?>
<pivotTableDefinition xmlns="http://schemas.openxmlformats.org/spreadsheetml/2006/main" name="Director with highest average r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2400" firstHeaderRow="1" firstDataRow="1" firstDataCol="1"/>
  <pivotFields count="28">
    <pivotField compact="0" outline="0" multipleItemSelectionAllowed="1" showAll="0"/>
    <pivotField axis="axisRow" compact="0" outline="0" multipleItemSelectionAllowed="1" showAll="0">
      <items count="2400">
        <item x="2109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374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1809"/>
        <item x="1043"/>
        <item x="489"/>
        <item x="263"/>
        <item x="1086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574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5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1855"/>
        <item x="921"/>
        <item x="182"/>
        <item x="1450"/>
        <item x="1029"/>
        <item x="1242"/>
        <item x="1493"/>
        <item x="1647"/>
        <item x="549"/>
        <item x="607"/>
        <item x="1223"/>
        <item x="2268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1821"/>
        <item x="420"/>
        <item x="70"/>
        <item x="2246"/>
        <item x="1173"/>
        <item x="1335"/>
        <item x="1456"/>
        <item x="1981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747"/>
        <item x="144"/>
        <item x="568"/>
        <item x="1146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082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847"/>
        <item x="2267"/>
        <item x="1542"/>
        <item x="1077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1297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1272"/>
        <item x="961"/>
        <item x="1990"/>
        <item x="1958"/>
        <item x="1419"/>
        <item x="2316"/>
        <item x="749"/>
        <item x="579"/>
        <item x="2370"/>
        <item x="1630"/>
        <item x="302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605"/>
        <item x="2165"/>
        <item x="2156"/>
        <item x="350"/>
        <item x="2172"/>
        <item x="1150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227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"/>
  </rowFields>
  <rowItems count="23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</rowItems>
  <colItems count="1">
    <i/>
  </colItems>
  <dataFields count="1">
    <dataField name="AVERAGE of imdb_score" fld="25" subtotal="average" baseField="0" baseItem="0"/>
  </dataFields>
  <pivotTableStyleInfo showRowHeaders="1" showColHeaders="1"/>
</pivotTableDefinition>
</file>

<file path=xl/pivotTables/pivotTable8.xml><?xml version="1.0" encoding="utf-8"?>
<pivotTableDefinition xmlns="http://schemas.openxmlformats.org/spreadsheetml/2006/main" name="Understand the distribution of 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67" firstHeaderRow="1" firstDataRow="1" firstDataCol="1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67">
        <item x="60"/>
        <item x="52"/>
        <item x="22"/>
        <item x="5"/>
        <item x="51"/>
        <item x="6"/>
        <item x="49"/>
        <item x="43"/>
        <item x="40"/>
        <item x="62"/>
        <item x="4"/>
        <item x="31"/>
        <item x="9"/>
        <item x="53"/>
        <item x="15"/>
        <item x="23"/>
        <item x="61"/>
        <item x="55"/>
        <item x="50"/>
        <item x="10"/>
        <item x="46"/>
        <item x="8"/>
        <item x="35"/>
        <item x="14"/>
        <item x="33"/>
        <item x="27"/>
        <item x="16"/>
        <item x="57"/>
        <item x="44"/>
        <item x="25"/>
        <item x="54"/>
        <item x="20"/>
        <item x="7"/>
        <item x="64"/>
        <item x="56"/>
        <item x="24"/>
        <item x="12"/>
        <item x="32"/>
        <item x="11"/>
        <item x="3"/>
        <item x="48"/>
        <item x="37"/>
        <item x="39"/>
        <item x="58"/>
        <item x="34"/>
        <item x="19"/>
        <item x="65"/>
        <item x="45"/>
        <item x="29"/>
        <item x="21"/>
        <item x="42"/>
        <item x="59"/>
        <item x="26"/>
        <item x="18"/>
        <item x="17"/>
        <item x="13"/>
        <item x="36"/>
        <item x="28"/>
        <item x="38"/>
        <item x="41"/>
        <item x="47"/>
        <item x="1"/>
        <item x="63"/>
        <item x="0"/>
        <item x="30"/>
        <item x="2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2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rowItems>
  <colItems count="1">
    <i/>
  </colItems>
  <dataFields count="1">
    <dataField name="COUNTA of movie_title" fld="12" subtotal="count" baseField="0" baseItem="0"/>
  </dataFields>
  <pivotTableStyleInfo showRowHeaders="1" showColHeaders="1"/>
</pivotTableDefinition>
</file>

<file path=xl/pivotTables/pivotTable9.xml><?xml version="1.0" encoding="utf-8"?>
<pivotTableDefinition xmlns="http://schemas.openxmlformats.org/spreadsheetml/2006/main" name="Examine the number of movies wi" cacheId="0" autoFormatId="1" applyNumberFormats="0" applyBorderFormats="0" applyFontFormats="0" applyPatternFormats="0" applyAlignmentFormats="0" applyWidthHeightFormats="1" dataCaption="" updatedVersion="5" compact="0" compactData="0" showDrill="1">
  <location ref="A3:A4" firstHeaderRow="1" firstDataRow="1" firstDataCol="0" rowPageCount="1" colPageCount="1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Page" compact="0" outline="0" multipleItemSelectionAllowed="1" showAll="0">
      <items count="20">
        <item x="11"/>
        <item x="3"/>
        <item x="16"/>
        <item x="18"/>
        <item x="13"/>
        <item x="9"/>
        <item x="17"/>
        <item x="2"/>
        <item x="0"/>
        <item x="4"/>
        <item x="5"/>
        <item x="8"/>
        <item x="7"/>
        <item x="6"/>
        <item x="12"/>
        <item x="15"/>
        <item x="10"/>
        <item x="14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pageFields count="1">
    <pageField fld="21"/>
  </pageFields>
  <dataFields count="1">
    <dataField name="COUNTA of movie_title" fld="12" subtotal="count" baseField="0" baseItem="0"/>
  </dataFields>
  <pivotTableStyleInfo showRowHeaders="1" showColHeaders="1"/>
</pivotTableDefinition>
</file>

<file path=xl/pivotTables/pivotTable10.xml><?xml version="1.0" encoding="utf-8"?>
<pivotTableDefinition xmlns="http://schemas.openxmlformats.org/spreadsheetml/2006/main" name="Visualize no. of movies" cacheId="0" autoFormatId="1" applyNumberFormats="0" applyBorderFormats="0" applyFontFormats="0" applyPatternFormats="0" applyAlignmentFormats="0" applyWidthHeightFormats="1" dataCaption="" updatedVersion="5" compact="0" compactData="0" showDrill="1">
  <location ref="A1:A2" firstHeaderRow="1" firstDataRow="1" firstDataCol="0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dataFields count="1">
    <dataField name="COUNTA of movie_title" fld="12" subtotal="count" baseField="0" baseItem="0"/>
  </dataFields>
  <pivotTableStyleInfo showRowHeaders="1" showColHeaders="1"/>
</pivotTableDefinition>
</file>

<file path=xl/pivotTables/pivotTable11.xml><?xml version="1.0" encoding="utf-8"?>
<pivotTableDefinition xmlns="http://schemas.openxmlformats.org/spreadsheetml/2006/main" name=" Top 5 actor with highest gross" cacheId="1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6257" firstHeaderRow="1" firstDataRow="1" firstDataCol="1"/>
  <pivotFields count="30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6257">
        <item x="1029"/>
        <item x="4730"/>
        <item x="131"/>
        <item x="6119"/>
        <item x="2623"/>
        <item x="2012"/>
        <item x="2914"/>
        <item x="1502"/>
        <item x="4536"/>
        <item x="1257"/>
        <item x="403"/>
        <item x="2502"/>
        <item x="1862"/>
        <item x="5431"/>
        <item x="298"/>
        <item x="434"/>
        <item x="5666"/>
        <item x="4148"/>
        <item x="4263"/>
        <item x="6022"/>
        <item x="1087"/>
        <item x="205"/>
        <item x="5770"/>
        <item x="1323"/>
        <item x="913"/>
        <item x="469"/>
        <item x="3089"/>
        <item x="51"/>
        <item x="4258"/>
        <item x="5532"/>
        <item x="3251"/>
        <item x="5242"/>
        <item x="1557"/>
        <item x="851"/>
        <item x="4510"/>
        <item x="3207"/>
        <item x="859"/>
        <item x="5103"/>
        <item x="6098"/>
        <item x="5985"/>
        <item x="653"/>
        <item x="475"/>
        <item x="4969"/>
        <item x="5150"/>
        <item x="4689"/>
        <item x="3038"/>
        <item x="1189"/>
        <item x="3873"/>
        <item x="4333"/>
        <item x="824"/>
        <item x="4660"/>
        <item x="3752"/>
        <item x="1093"/>
        <item x="636"/>
        <item x="3181"/>
        <item x="3250"/>
        <item x="4551"/>
        <item x="5230"/>
        <item x="3713"/>
        <item x="1235"/>
        <item x="1627"/>
        <item x="752"/>
        <item x="5445"/>
        <item x="5269"/>
        <item x="3749"/>
        <item x="4674"/>
        <item x="4845"/>
        <item x="4844"/>
        <item x="1486"/>
        <item x="813"/>
        <item x="2450"/>
        <item x="4083"/>
        <item x="5872"/>
        <item x="5091"/>
        <item x="5428"/>
        <item x="5526"/>
        <item x="2443"/>
        <item x="3512"/>
        <item x="5092"/>
        <item x="4560"/>
        <item x="1038"/>
        <item x="2591"/>
        <item x="1755"/>
        <item x="50"/>
        <item x="1959"/>
        <item x="1788"/>
        <item x="2235"/>
        <item x="1061"/>
        <item x="3723"/>
        <item x="606"/>
        <item x="4139"/>
        <item x="3993"/>
        <item x="3239"/>
        <item x="5604"/>
        <item x="3552"/>
        <item x="3769"/>
        <item x="4255"/>
        <item x="4366"/>
        <item x="5794"/>
        <item x="1981"/>
        <item x="5378"/>
        <item x="3637"/>
        <item x="713"/>
        <item x="632"/>
        <item x="5725"/>
        <item x="449"/>
        <item x="4954"/>
        <item x="3849"/>
        <item x="6043"/>
        <item x="32"/>
        <item x="1233"/>
        <item x="2926"/>
        <item x="900"/>
        <item x="5834"/>
        <item x="5118"/>
        <item x="2219"/>
        <item x="5573"/>
        <item x="27"/>
        <item x="691"/>
        <item x="4534"/>
        <item x="3588"/>
        <item x="4556"/>
        <item x="818"/>
        <item x="6202"/>
        <item x="2974"/>
        <item x="4036"/>
        <item x="3694"/>
        <item x="881"/>
        <item x="4979"/>
        <item x="1368"/>
        <item x="75"/>
        <item x="5384"/>
        <item x="3029"/>
        <item x="1518"/>
        <item x="645"/>
        <item x="5962"/>
        <item x="5153"/>
        <item x="3503"/>
        <item x="2604"/>
        <item x="4494"/>
        <item x="1939"/>
        <item x="2710"/>
        <item x="613"/>
        <item x="3794"/>
        <item x="5485"/>
        <item x="567"/>
        <item x="5959"/>
        <item x="6014"/>
        <item x="5424"/>
        <item x="5298"/>
        <item x="2041"/>
        <item x="3591"/>
        <item x="4455"/>
        <item x="5386"/>
        <item x="4598"/>
        <item x="798"/>
        <item x="4784"/>
        <item x="1448"/>
        <item x="2316"/>
        <item x="1070"/>
        <item x="5791"/>
        <item x="3458"/>
        <item x="3798"/>
        <item x="2766"/>
        <item x="405"/>
        <item x="3937"/>
        <item x="1620"/>
        <item x="607"/>
        <item x="70"/>
        <item x="5494"/>
        <item x="5858"/>
        <item x="2494"/>
        <item x="3544"/>
        <item x="3150"/>
        <item x="1928"/>
        <item x="4667"/>
        <item x="2661"/>
        <item x="4662"/>
        <item x="5518"/>
        <item x="3938"/>
        <item x="5455"/>
        <item x="2505"/>
        <item x="4228"/>
        <item x="943"/>
        <item x="4169"/>
        <item x="2189"/>
        <item x="388"/>
        <item x="396"/>
        <item x="5993"/>
        <item x="2734"/>
        <item x="1408"/>
        <item x="256"/>
        <item x="5057"/>
        <item x="192"/>
        <item x="4388"/>
        <item x="1393"/>
        <item x="1458"/>
        <item x="4605"/>
        <item x="4295"/>
        <item x="2564"/>
        <item x="4965"/>
        <item x="3574"/>
        <item x="5780"/>
        <item x="1157"/>
        <item x="5476"/>
        <item x="3525"/>
        <item x="5638"/>
        <item x="4277"/>
        <item x="1204"/>
        <item x="3375"/>
        <item x="1530"/>
        <item x="991"/>
        <item x="1558"/>
        <item x="3603"/>
        <item x="4811"/>
        <item x="896"/>
        <item x="3194"/>
        <item x="3330"/>
        <item x="5551"/>
        <item x="4013"/>
        <item x="3208"/>
        <item x="3457"/>
        <item x="5139"/>
        <item x="5513"/>
        <item x="2033"/>
        <item x="3140"/>
        <item x="670"/>
        <item x="1462"/>
        <item x="1308"/>
        <item x="1162"/>
        <item x="1379"/>
        <item x="6121"/>
        <item x="6145"/>
        <item x="4767"/>
        <item x="4882"/>
        <item x="4484"/>
        <item x="2294"/>
        <item x="2540"/>
        <item x="3757"/>
        <item x="1976"/>
        <item x="5774"/>
        <item x="5705"/>
        <item x="3278"/>
        <item x="5224"/>
        <item x="1401"/>
        <item x="723"/>
        <item x="629"/>
        <item x="6122"/>
        <item x="3366"/>
        <item x="215"/>
        <item x="5818"/>
        <item x="5185"/>
        <item x="4266"/>
        <item x="2701"/>
        <item x="6016"/>
        <item x="5892"/>
        <item x="2076"/>
        <item x="5821"/>
        <item x="1451"/>
        <item x="2308"/>
        <item x="4858"/>
        <item x="838"/>
        <item x="3320"/>
        <item x="2401"/>
        <item x="5772"/>
        <item x="4533"/>
        <item x="3464"/>
        <item x="3929"/>
        <item x="5612"/>
        <item x="4153"/>
        <item x="161"/>
        <item x="1569"/>
        <item x="1966"/>
        <item x="380"/>
        <item x="5270"/>
        <item x="2523"/>
        <item x="459"/>
        <item x="2969"/>
        <item x="5106"/>
        <item x="1455"/>
        <item x="4881"/>
        <item x="3539"/>
        <item x="6026"/>
        <item x="6027"/>
        <item x="5516"/>
        <item x="1560"/>
        <item x="1690"/>
        <item x="235"/>
        <item x="1367"/>
        <item x="4088"/>
        <item x="3216"/>
        <item x="2601"/>
        <item x="1340"/>
        <item x="848"/>
        <item x="1818"/>
        <item x="2134"/>
        <item x="4226"/>
        <item x="1064"/>
        <item x="5466"/>
        <item x="5653"/>
        <item x="3734"/>
        <item x="4323"/>
        <item x="764"/>
        <item x="6174"/>
        <item x="1845"/>
        <item x="2988"/>
        <item x="1745"/>
        <item x="54"/>
        <item x="3385"/>
        <item x="6105"/>
        <item x="3640"/>
        <item x="4762"/>
        <item x="5361"/>
        <item x="2372"/>
        <item x="1521"/>
        <item x="5824"/>
        <item x="3527"/>
        <item x="1551"/>
        <item x="1868"/>
        <item x="2919"/>
        <item x="368"/>
        <item x="5570"/>
        <item x="5345"/>
        <item x="2304"/>
        <item x="5403"/>
        <item x="1812"/>
        <item x="3884"/>
        <item x="3347"/>
        <item x="5247"/>
        <item x="3971"/>
        <item x="5636"/>
        <item x="3159"/>
        <item x="2966"/>
        <item x="4675"/>
        <item x="5836"/>
        <item x="5501"/>
        <item x="187"/>
        <item x="3138"/>
        <item x="3238"/>
        <item x="3643"/>
        <item x="4567"/>
        <item x="1795"/>
        <item x="3597"/>
        <item x="2065"/>
        <item x="4001"/>
        <item x="4729"/>
        <item x="2667"/>
        <item x="510"/>
        <item x="3309"/>
        <item x="5884"/>
        <item x="1579"/>
        <item x="3968"/>
        <item x="5814"/>
        <item x="1151"/>
        <item x="5709"/>
        <item x="5530"/>
        <item x="5144"/>
        <item x="4738"/>
        <item x="2324"/>
        <item x="570"/>
        <item x="4537"/>
        <item x="3045"/>
        <item x="5849"/>
        <item x="3961"/>
        <item x="4493"/>
        <item x="734"/>
        <item x="3266"/>
        <item x="6222"/>
        <item x="3273"/>
        <item x="3718"/>
        <item x="825"/>
        <item x="4089"/>
        <item x="1709"/>
        <item x="1437"/>
        <item x="1808"/>
        <item x="1159"/>
        <item x="79"/>
        <item x="678"/>
        <item x="2180"/>
        <item x="1977"/>
        <item x="2773"/>
        <item x="5933"/>
        <item x="2699"/>
        <item x="367"/>
        <item x="4157"/>
        <item x="3432"/>
        <item x="547"/>
        <item x="1392"/>
        <item x="5491"/>
        <item x="3475"/>
        <item x="1703"/>
        <item x="4901"/>
        <item x="2628"/>
        <item x="758"/>
        <item x="1790"/>
        <item x="251"/>
        <item x="4627"/>
        <item x="4799"/>
        <item x="565"/>
        <item x="5435"/>
        <item x="761"/>
        <item x="1926"/>
        <item x="1682"/>
        <item x="2343"/>
        <item x="3618"/>
        <item x="5310"/>
        <item x="3776"/>
        <item x="3388"/>
        <item x="2171"/>
        <item x="4031"/>
        <item x="1873"/>
        <item x="5421"/>
        <item x="374"/>
        <item x="3185"/>
        <item x="498"/>
        <item x="3304"/>
        <item x="4552"/>
        <item x="1023"/>
        <item x="466"/>
        <item x="2377"/>
        <item x="5003"/>
        <item x="5684"/>
        <item x="2513"/>
        <item x="1149"/>
        <item x="5527"/>
        <item x="885"/>
        <item x="4725"/>
        <item x="4836"/>
        <item x="1250"/>
        <item x="6057"/>
        <item x="2692"/>
        <item x="6110"/>
        <item x="3621"/>
        <item x="1875"/>
        <item x="5565"/>
        <item x="546"/>
        <item x="280"/>
        <item x="5128"/>
        <item x="4517"/>
        <item x="2388"/>
        <item x="4496"/>
        <item x="291"/>
        <item x="5594"/>
        <item x="6100"/>
        <item x="4937"/>
        <item x="4470"/>
        <item x="2758"/>
        <item x="4648"/>
        <item x="5223"/>
        <item x="5051"/>
        <item x="3474"/>
        <item x="4518"/>
        <item x="4042"/>
        <item x="3463"/>
        <item x="5362"/>
        <item x="4782"/>
        <item x="5773"/>
        <item x="4530"/>
        <item x="1299"/>
        <item x="6199"/>
        <item x="1860"/>
        <item x="1994"/>
        <item x="1040"/>
        <item x="4221"/>
        <item x="4726"/>
        <item x="428"/>
        <item x="2263"/>
        <item x="225"/>
        <item x="1879"/>
        <item x="3293"/>
        <item x="2175"/>
        <item x="381"/>
        <item x="1663"/>
        <item x="2230"/>
        <item x="5011"/>
        <item x="2043"/>
        <item x="3649"/>
        <item x="871"/>
        <item x="2453"/>
        <item x="3095"/>
        <item x="4234"/>
        <item x="279"/>
        <item x="5469"/>
        <item x="3992"/>
        <item x="3311"/>
        <item x="5259"/>
        <item x="923"/>
        <item x="93"/>
        <item x="6015"/>
        <item x="166"/>
        <item x="781"/>
        <item x="4541"/>
        <item x="3530"/>
        <item x="5227"/>
        <item x="2729"/>
        <item x="4859"/>
        <item x="3319"/>
        <item x="4614"/>
        <item x="1942"/>
        <item x="4852"/>
        <item x="4028"/>
        <item x="5391"/>
        <item x="3782"/>
        <item x="5887"/>
        <item x="6204"/>
        <item x="4609"/>
        <item x="1109"/>
        <item x="4994"/>
        <item x="2386"/>
        <item x="2994"/>
        <item x="1296"/>
        <item x="5628"/>
        <item x="5280"/>
        <item x="6148"/>
        <item x="903"/>
        <item x="2752"/>
        <item x="3306"/>
        <item x="832"/>
        <item x="2054"/>
        <item x="458"/>
        <item x="4905"/>
        <item x="4976"/>
        <item x="6214"/>
        <item x="5852"/>
        <item x="4621"/>
        <item x="1991"/>
        <item x="1770"/>
        <item x="6151"/>
        <item x="1724"/>
        <item x="2538"/>
        <item x="3351"/>
        <item x="3371"/>
        <item x="4214"/>
        <item x="2354"/>
        <item x="650"/>
        <item x="4069"/>
        <item x="2345"/>
        <item x="2698"/>
        <item x="924"/>
        <item x="1006"/>
        <item x="4970"/>
        <item x="870"/>
        <item x="1229"/>
        <item x="2455"/>
        <item x="584"/>
        <item x="5145"/>
        <item x="332"/>
        <item x="1478"/>
        <item x="1614"/>
        <item x="3091"/>
        <item x="365"/>
        <item x="574"/>
        <item x="732"/>
        <item x="5287"/>
        <item x="113"/>
        <item x="512"/>
        <item x="5364"/>
        <item x="4535"/>
        <item x="2027"/>
        <item x="575"/>
        <item x="2060"/>
        <item x="2596"/>
        <item x="2648"/>
        <item x="1700"/>
        <item x="3878"/>
        <item x="2154"/>
        <item x="1384"/>
        <item x="4622"/>
        <item x="4020"/>
        <item x="608"/>
        <item x="2199"/>
        <item x="1940"/>
        <item x="261"/>
        <item x="2833"/>
        <item x="5995"/>
        <item x="4356"/>
        <item x="5815"/>
        <item x="4549"/>
        <item x="1903"/>
        <item x="1303"/>
        <item x="5986"/>
        <item x="3334"/>
        <item x="5817"/>
        <item x="5268"/>
        <item x="3082"/>
        <item x="4597"/>
        <item x="2075"/>
        <item x="4118"/>
        <item x="3187"/>
        <item x="4427"/>
        <item x="4829"/>
        <item x="5657"/>
        <item x="4367"/>
        <item x="4904"/>
        <item x="1894"/>
        <item x="1187"/>
        <item x="5686"/>
        <item x="6047"/>
        <item x="2021"/>
        <item x="4194"/>
        <item x="3801"/>
        <item x="1111"/>
        <item x="1426"/>
        <item x="3450"/>
        <item x="541"/>
        <item x="5787"/>
        <item x="3471"/>
        <item x="1176"/>
        <item x="3491"/>
        <item x="4420"/>
        <item x="2886"/>
        <item x="4885"/>
        <item x="5890"/>
        <item x="583"/>
        <item x="184"/>
        <item x="1902"/>
        <item x="2273"/>
        <item x="4822"/>
        <item x="2471"/>
        <item x="2492"/>
        <item x="2816"/>
        <item x="1565"/>
        <item x="501"/>
        <item x="1434"/>
        <item x="1167"/>
        <item x="1357"/>
        <item x="340"/>
        <item x="2460"/>
        <item x="1378"/>
        <item x="5231"/>
        <item x="975"/>
        <item x="3452"/>
        <item x="2657"/>
        <item x="89"/>
        <item x="193"/>
        <item x="2290"/>
        <item x="4415"/>
        <item x="3446"/>
        <item x="2267"/>
        <item x="3852"/>
        <item x="4585"/>
        <item x="4646"/>
        <item x="1216"/>
        <item x="1948"/>
        <item x="5960"/>
        <item x="4199"/>
        <item x="5663"/>
        <item x="1893"/>
        <item x="535"/>
        <item x="4853"/>
        <item x="983"/>
        <item x="2344"/>
        <item x="4012"/>
        <item x="5673"/>
        <item x="4423"/>
        <item x="6061"/>
        <item x="421"/>
        <item x="1694"/>
        <item x="716"/>
        <item x="4060"/>
        <item x="855"/>
        <item x="2465"/>
        <item x="1120"/>
        <item x="5761"/>
        <item x="4765"/>
        <item x="1843"/>
        <item x="571"/>
        <item x="1830"/>
        <item x="4358"/>
        <item x="1411"/>
        <item x="4715"/>
        <item x="3188"/>
        <item x="2742"/>
        <item x="5029"/>
        <item x="6183"/>
        <item x="1783"/>
        <item x="2681"/>
        <item x="1222"/>
        <item x="892"/>
        <item x="3787"/>
        <item x="3139"/>
        <item x="3622"/>
        <item x="3345"/>
        <item x="1413"/>
        <item x="4572"/>
        <item x="2173"/>
        <item x="1679"/>
        <item x="5408"/>
        <item x="834"/>
        <item x="5208"/>
        <item x="2406"/>
        <item x="3378"/>
        <item x="21"/>
        <item x="3858"/>
        <item x="4938"/>
        <item x="2425"/>
        <item x="110"/>
        <item x="1580"/>
        <item x="4925"/>
        <item x="3152"/>
        <item x="219"/>
        <item x="2297"/>
        <item x="1545"/>
        <item x="1363"/>
        <item x="4476"/>
        <item x="3994"/>
        <item x="5112"/>
        <item x="6203"/>
        <item x="6093"/>
        <item x="1024"/>
        <item x="4565"/>
        <item x="4150"/>
        <item x="642"/>
        <item x="1020"/>
        <item x="3425"/>
        <item x="4721"/>
        <item x="2976"/>
        <item x="5123"/>
        <item x="1192"/>
        <item x="2190"/>
        <item x="3108"/>
        <item x="2179"/>
        <item x="3227"/>
        <item x="4608"/>
        <item x="2746"/>
        <item x="5947"/>
        <item x="2631"/>
        <item x="168"/>
        <item x="4989"/>
        <item x="2858"/>
        <item x="4276"/>
        <item x="5795"/>
        <item x="2893"/>
        <item x="5635"/>
        <item x="5334"/>
        <item x="914"/>
        <item x="2803"/>
        <item x="4792"/>
        <item x="849"/>
        <item x="1298"/>
        <item x="252"/>
        <item x="2575"/>
        <item x="2764"/>
        <item x="260"/>
        <item x="3507"/>
        <item x="5519"/>
        <item x="1546"/>
        <item x="5713"/>
        <item x="922"/>
        <item x="953"/>
        <item x="6254"/>
        <item x="6089"/>
        <item x="2634"/>
        <item x="3155"/>
        <item x="5204"/>
        <item x="2142"/>
        <item x="4288"/>
        <item x="757"/>
        <item x="5174"/>
        <item x="1289"/>
        <item x="2010"/>
        <item x="5437"/>
        <item x="4760"/>
        <item x="2096"/>
        <item x="935"/>
        <item x="1851"/>
        <item x="985"/>
        <item x="3383"/>
        <item x="5235"/>
        <item x="3279"/>
        <item x="3061"/>
        <item x="1329"/>
        <item x="5929"/>
        <item x="3466"/>
        <item x="3601"/>
        <item x="1501"/>
        <item x="1126"/>
        <item x="5320"/>
        <item x="5940"/>
        <item x="4961"/>
        <item x="1562"/>
        <item x="3382"/>
        <item x="4586"/>
        <item x="4791"/>
        <item x="2044"/>
        <item x="1004"/>
        <item x="1876"/>
        <item x="1482"/>
        <item x="1591"/>
        <item x="1358"/>
        <item x="1710"/>
        <item x="402"/>
        <item x="2690"/>
        <item x="1799"/>
        <item x="6005"/>
        <item x="1919"/>
        <item x="1961"/>
        <item x="114"/>
        <item x="5212"/>
        <item x="6127"/>
        <item x="686"/>
        <item x="5008"/>
        <item x="3019"/>
        <item x="244"/>
        <item x="836"/>
        <item x="5721"/>
        <item x="318"/>
        <item x="5511"/>
        <item x="3370"/>
        <item x="3125"/>
        <item x="335"/>
        <item x="2462"/>
        <item x="4179"/>
        <item x="72"/>
        <item x="4438"/>
        <item x="3579"/>
        <item x="2948"/>
        <item x="5248"/>
        <item x="3043"/>
        <item x="4694"/>
        <item x="3770"/>
        <item x="5249"/>
        <item x="578"/>
        <item x="5076"/>
        <item x="1769"/>
        <item x="5014"/>
        <item x="3669"/>
        <item x="2940"/>
        <item x="6244"/>
        <item x="1106"/>
        <item x="2891"/>
        <item x="2871"/>
        <item x="4683"/>
        <item x="4736"/>
        <item x="1823"/>
        <item x="240"/>
        <item x="5323"/>
        <item x="3246"/>
        <item x="788"/>
        <item x="2236"/>
        <item x="4303"/>
        <item x="748"/>
        <item x="5213"/>
        <item x="586"/>
        <item x="5241"/>
        <item x="1249"/>
        <item x="3348"/>
        <item x="1576"/>
        <item x="305"/>
        <item x="3445"/>
        <item x="4187"/>
        <item x="2148"/>
        <item x="2046"/>
        <item x="2416"/>
        <item x="2983"/>
        <item x="2968"/>
        <item x="1814"/>
        <item x="3685"/>
        <item x="3670"/>
        <item x="3111"/>
        <item x="6237"/>
        <item x="4940"/>
        <item x="1336"/>
        <item x="3818"/>
        <item x="4944"/>
        <item x="2019"/>
        <item x="777"/>
        <item x="3775"/>
        <item x="1721"/>
        <item x="1480"/>
        <item x="1154"/>
        <item x="5827"/>
        <item x="5720"/>
        <item x="1835"/>
        <item x="3710"/>
        <item x="3177"/>
        <item x="703"/>
        <item x="2447"/>
        <item x="3318"/>
        <item x="1272"/>
        <item x="3094"/>
        <item x="218"/>
        <item x="5736"/>
        <item x="3074"/>
        <item x="1228"/>
        <item x="2834"/>
        <item x="4786"/>
        <item x="1625"/>
        <item x="195"/>
        <item x="2117"/>
        <item x="4054"/>
        <item x="6233"/>
        <item x="2156"/>
        <item x="3865"/>
        <item x="4833"/>
        <item x="152"/>
        <item x="6187"/>
        <item x="4354"/>
        <item x="4637"/>
        <item x="6078"/>
        <item x="3062"/>
        <item x="5255"/>
        <item x="3410"/>
        <item x="4195"/>
        <item x="1816"/>
        <item x="2633"/>
        <item x="1956"/>
        <item x="3797"/>
        <item x="4503"/>
        <item x="2880"/>
        <item x="674"/>
        <item x="550"/>
        <item x="4917"/>
        <item x="4279"/>
        <item x="478"/>
        <item x="2572"/>
        <item x="1226"/>
        <item x="5792"/>
        <item x="0"/>
        <item x="5703"/>
        <item x="5955"/>
        <item x="502"/>
        <item x="4898"/>
        <item x="263"/>
        <item x="4984"/>
        <item x="1470"/>
        <item x="346"/>
        <item x="1014"/>
        <item x="3846"/>
        <item x="1643"/>
        <item x="2665"/>
        <item x="4834"/>
        <item x="3675"/>
        <item x="3315"/>
        <item x="480"/>
        <item x="330"/>
        <item x="1447"/>
        <item x="1429"/>
        <item x="150"/>
        <item x="1676"/>
        <item x="5889"/>
        <item x="6031"/>
        <item x="4022"/>
        <item x="3175"/>
        <item x="3990"/>
        <item x="4676"/>
        <item x="905"/>
        <item x="5921"/>
        <item x="2679"/>
        <item x="5816"/>
        <item x="4975"/>
        <item x="2461"/>
        <item x="1457"/>
        <item x="2754"/>
        <item x="803"/>
        <item x="1337"/>
        <item x="5893"/>
        <item x="784"/>
        <item x="124"/>
        <item x="1555"/>
        <item x="1943"/>
        <item x="3662"/>
        <item x="839"/>
        <item x="2883"/>
        <item x="1664"/>
        <item x="2312"/>
        <item x="1635"/>
        <item x="255"/>
        <item x="3759"/>
        <item x="2672"/>
        <item x="3456"/>
        <item x="5060"/>
        <item x="1026"/>
        <item x="6081"/>
        <item x="3389"/>
        <item x="5038"/>
        <item x="1982"/>
        <item x="3755"/>
        <item x="3674"/>
        <item x="6007"/>
        <item x="5243"/>
        <item x="3825"/>
        <item x="507"/>
        <item x="969"/>
        <item x="2472"/>
        <item x="1003"/>
        <item x="6144"/>
        <item x="1661"/>
        <item x="2435"/>
        <item x="1134"/>
        <item x="5319"/>
        <item x="6120"/>
        <item x="3182"/>
        <item x="5607"/>
        <item x="5568"/>
        <item x="2225"/>
        <item x="966"/>
        <item x="1441"/>
        <item x="4041"/>
        <item x="1738"/>
        <item x="3717"/>
        <item x="2972"/>
        <item x="4942"/>
        <item x="5757"/>
        <item x="2904"/>
        <item x="2822"/>
        <item x="505"/>
        <item x="1225"/>
        <item x="1322"/>
        <item x="2289"/>
        <item x="3338"/>
        <item x="5719"/>
        <item x="2967"/>
        <item x="2143"/>
        <item x="5266"/>
        <item x="164"/>
        <item x="4351"/>
        <item x="5499"/>
        <item x="3112"/>
        <item x="610"/>
        <item x="201"/>
        <item x="2996"/>
        <item x="2870"/>
        <item x="3259"/>
        <item x="5133"/>
        <item x="5788"/>
        <item x="5764"/>
        <item x="741"/>
        <item x="2103"/>
        <item x="68"/>
        <item x="2478"/>
        <item x="3272"/>
        <item x="2721"/>
        <item x="24"/>
        <item x="3083"/>
        <item x="986"/>
        <item x="2158"/>
        <item x="2546"/>
        <item x="1410"/>
        <item x="3079"/>
        <item x="1310"/>
        <item x="6018"/>
        <item x="597"/>
        <item x="3941"/>
        <item x="2553"/>
        <item x="1291"/>
        <item x="2731"/>
        <item x="5970"/>
        <item x="5881"/>
        <item x="6149"/>
        <item x="3812"/>
        <item x="55"/>
        <item x="2873"/>
        <item x="2174"/>
        <item x="6161"/>
        <item x="5586"/>
        <item x="5729"/>
        <item x="6173"/>
        <item x="10"/>
        <item x="919"/>
        <item x="681"/>
        <item x="3448"/>
        <item x="2905"/>
        <item x="2989"/>
        <item x="5833"/>
        <item x="5126"/>
        <item x="2992"/>
        <item x="2204"/>
        <item x="2257"/>
        <item x="5317"/>
        <item x="5856"/>
        <item x="433"/>
        <item x="5951"/>
        <item x="916"/>
        <item x="5239"/>
        <item x="5550"/>
        <item x="2165"/>
        <item x="2795"/>
        <item x="1986"/>
        <item x="2438"/>
        <item x="6"/>
        <item x="5534"/>
        <item x="5354"/>
        <item x="4439"/>
        <item x="3863"/>
        <item x="5540"/>
        <item x="2249"/>
        <item x="5728"/>
        <item x="2574"/>
        <item x="2850"/>
        <item x="566"/>
        <item x="1927"/>
        <item x="1324"/>
        <item x="1293"/>
        <item x="59"/>
        <item x="622"/>
        <item x="40"/>
        <item x="3918"/>
        <item x="2051"/>
        <item x="6075"/>
        <item x="4756"/>
        <item x="6050"/>
        <item x="4878"/>
        <item x="3566"/>
        <item x="5597"/>
        <item x="2383"/>
        <item x="4300"/>
        <item x="5489"/>
        <item x="6086"/>
        <item x="5036"/>
        <item x="4113"/>
        <item x="2018"/>
        <item x="3237"/>
        <item x="4067"/>
        <item x="5157"/>
        <item x="5333"/>
        <item x="5134"/>
        <item x="5130"/>
        <item x="2519"/>
        <item x="5936"/>
        <item x="5507"/>
        <item x="3721"/>
        <item x="4325"/>
        <item x="6101"/>
        <item x="5363"/>
        <item x="3631"/>
        <item x="1147"/>
        <item x="1667"/>
        <item x="5109"/>
        <item x="3214"/>
        <item x="4492"/>
        <item x="4973"/>
        <item x="5730"/>
        <item x="4344"/>
        <item x="2534"/>
        <item x="4239"/>
        <item x="5563"/>
        <item x="1912"/>
        <item x="5372"/>
        <item x="1259"/>
        <item x="4319"/>
        <item x="3206"/>
        <item x="3103"/>
        <item x="1648"/>
        <item x="5322"/>
        <item x="718"/>
        <item x="1654"/>
        <item x="1821"/>
        <item x="125"/>
        <item x="4002"/>
        <item x="4732"/>
        <item x="1071"/>
        <item x="415"/>
        <item x="5898"/>
        <item x="5896"/>
        <item x="6111"/>
        <item x="2626"/>
        <item x="410"/>
        <item x="3867"/>
        <item x="4623"/>
        <item x="1642"/>
        <item x="3684"/>
        <item x="4468"/>
        <item x="4117"/>
        <item x="3105"/>
        <item x="4408"/>
        <item x="4003"/>
        <item x="617"/>
        <item x="5405"/>
        <item x="5642"/>
        <item x="4260"/>
        <item x="1878"/>
        <item x="148"/>
        <item x="1947"/>
        <item x="313"/>
        <item x="2011"/>
        <item x="4619"/>
        <item x="2670"/>
        <item x="4336"/>
        <item x="1944"/>
        <item x="4540"/>
        <item x="269"/>
        <item x="5879"/>
        <item x="2984"/>
        <item x="1194"/>
        <item x="105"/>
        <item x="1418"/>
        <item x="3269"/>
        <item x="517"/>
        <item x="2521"/>
        <item x="3545"/>
        <item x="4561"/>
        <item x="3104"/>
        <item x="3292"/>
        <item x="1443"/>
        <item x="3169"/>
        <item x="5347"/>
        <item x="968"/>
        <item x="379"/>
        <item x="4294"/>
        <item x="6065"/>
        <item x="6239"/>
        <item x="5571"/>
        <item x="3271"/>
        <item x="3009"/>
        <item x="3396"/>
        <item x="4381"/>
        <item x="1542"/>
        <item x="6143"/>
        <item x="4506"/>
        <item x="2161"/>
        <item x="1626"/>
        <item x="4718"/>
        <item x="1072"/>
        <item x="6132"/>
        <item x="1885"/>
        <item x="4747"/>
        <item x="5304"/>
        <item x="1096"/>
        <item x="4011"/>
        <item x="5949"/>
        <item x="3751"/>
        <item x="216"/>
        <item x="2582"/>
        <item x="1984"/>
        <item x="1420"/>
        <item x="3964"/>
        <item x="1132"/>
        <item x="620"/>
        <item x="4251"/>
        <item x="649"/>
        <item x="959"/>
        <item x="1564"/>
        <item x="4955"/>
        <item x="5240"/>
        <item x="866"/>
        <item x="5687"/>
        <item x="1731"/>
        <item x="665"/>
        <item x="4795"/>
        <item x="4855"/>
        <item x="4402"/>
        <item x="4359"/>
        <item x="5978"/>
        <item x="5373"/>
        <item x="1287"/>
        <item x="3996"/>
        <item x="3146"/>
        <item x="5631"/>
        <item x="500"/>
        <item x="5537"/>
        <item x="389"/>
        <item x="1897"/>
        <item x="3641"/>
        <item x="1904"/>
        <item x="3532"/>
        <item x="3899"/>
        <item x="1760"/>
        <item x="769"/>
        <item x="2588"/>
        <item x="2292"/>
        <item x="3766"/>
        <item x="3430"/>
        <item x="44"/>
        <item x="4640"/>
        <item x="6159"/>
        <item x="915"/>
        <item x="3747"/>
        <item x="2800"/>
        <item x="5715"/>
        <item x="6193"/>
        <item x="2894"/>
        <item x="203"/>
        <item x="2998"/>
        <item x="1715"/>
        <item x="2929"/>
        <item x="302"/>
        <item x="3262"/>
        <item x="2641"/>
        <item x="4635"/>
        <item x="6146"/>
        <item x="2605"/>
        <item x="4448"/>
        <item x="5932"/>
        <item x="2468"/>
        <item x="4868"/>
        <item x="142"/>
        <item x="4916"/>
        <item x="1829"/>
        <item x="1460"/>
        <item x="3413"/>
        <item x="5055"/>
        <item x="275"/>
        <item x="1801"/>
        <item x="82"/>
        <item x="5138"/>
        <item x="4311"/>
        <item x="204"/>
        <item x="1645"/>
        <item x="4930"/>
        <item x="2569"/>
        <item x="5846"/>
        <item x="1656"/>
        <item x="28"/>
        <item x="2163"/>
        <item x="1649"/>
        <item x="928"/>
        <item x="2234"/>
        <item x="4386"/>
        <item x="4978"/>
        <item x="5665"/>
        <item x="1078"/>
        <item x="3257"/>
        <item x="3562"/>
        <item x="4950"/>
        <item x="1898"/>
        <item x="6245"/>
        <item x="3986"/>
        <item x="4690"/>
        <item x="5609"/>
        <item x="4097"/>
        <item x="2050"/>
        <item x="1993"/>
        <item x="4241"/>
        <item x="4558"/>
        <item x="3728"/>
        <item x="888"/>
        <item x="1421"/>
        <item x="2120"/>
        <item x="3234"/>
        <item x="2205"/>
        <item x="3746"/>
        <item x="3123"/>
        <item x="3807"/>
        <item x="455"/>
        <item x="2959"/>
        <item x="1695"/>
        <item x="3282"/>
        <item x="4687"/>
        <item x="6246"/>
        <item x="2960"/>
        <item x="2477"/>
        <item x="4269"/>
        <item x="5651"/>
        <item x="343"/>
        <item x="3954"/>
        <item x="5203"/>
        <item x="6036"/>
        <item x="4777"/>
        <item x="5859"/>
        <item x="4669"/>
        <item x="2881"/>
        <item x="4364"/>
        <item x="6001"/>
        <item x="4025"/>
        <item x="4368"/>
        <item x="2676"/>
        <item x="4152"/>
        <item x="15"/>
        <item x="5678"/>
        <item x="1395"/>
        <item x="5717"/>
        <item x="2099"/>
        <item x="3468"/>
        <item x="2232"/>
        <item x="786"/>
        <item x="5614"/>
        <item x="2772"/>
        <item x="391"/>
        <item x="5083"/>
        <item x="4508"/>
        <item x="5630"/>
        <item x="4401"/>
        <item x="2942"/>
        <item x="2990"/>
        <item x="4147"/>
        <item x="3173"/>
        <item x="2616"/>
        <item x="1383"/>
        <item x="1509"/>
        <item x="6108"/>
        <item x="1619"/>
        <item x="4789"/>
        <item x="1115"/>
        <item x="1321"/>
        <item x="6252"/>
        <item x="1909"/>
        <item x="2431"/>
        <item x="1454"/>
        <item x="4250"/>
        <item x="4059"/>
        <item x="5510"/>
        <item x="3405"/>
        <item x="3898"/>
        <item x="4778"/>
        <item x="1678"/>
        <item x="1809"/>
        <item x="5783"/>
        <item x="2112"/>
        <item x="960"/>
        <item x="3840"/>
        <item x="2407"/>
        <item x="3850"/>
        <item x="328"/>
        <item x="2242"/>
        <item x="4737"/>
        <item x="869"/>
        <item x="4406"/>
        <item x="992"/>
        <item x="1481"/>
        <item x="4866"/>
        <item x="2300"/>
        <item x="1128"/>
        <item x="258"/>
        <item x="3596"/>
        <item x="2109"/>
        <item x="6000"/>
        <item x="5089"/>
        <item x="2327"/>
        <item x="5690"/>
        <item x="2761"/>
        <item x="3025"/>
        <item x="3030"/>
        <item x="6147"/>
        <item x="2943"/>
        <item x="3109"/>
        <item x="3096"/>
        <item x="5493"/>
        <item x="766"/>
        <item x="2480"/>
        <item x="4712"/>
        <item x="614"/>
        <item x="1526"/>
        <item x="821"/>
        <item x="1820"/>
        <item x="4407"/>
        <item x="2853"/>
        <item x="1217"/>
        <item x="3521"/>
        <item x="6181"/>
        <item x="3893"/>
        <item x="2323"/>
        <item x="304"/>
        <item x="6232"/>
        <item x="3922"/>
        <item x="1743"/>
        <item x="354"/>
        <item x="1921"/>
        <item x="1365"/>
        <item x="5793"/>
        <item x="4103"/>
        <item x="4707"/>
        <item x="1085"/>
        <item x="5627"/>
        <item x="1177"/>
        <item x="1666"/>
        <item x="4693"/>
        <item x="4883"/>
        <item x="5141"/>
        <item x="3427"/>
        <item x="1122"/>
        <item x="698"/>
        <item x="4200"/>
        <item x="1688"/>
        <item x="4065"/>
        <item x="560"/>
        <item x="4318"/>
        <item x="1427"/>
        <item x="3875"/>
        <item x="4033"/>
        <item x="5306"/>
        <item x="2334"/>
        <item x="3605"/>
        <item x="5913"/>
        <item x="714"/>
        <item x="2668"/>
        <item x="5377"/>
        <item x="1763"/>
        <item x="5012"/>
        <item x="3847"/>
        <item x="1119"/>
        <item x="3615"/>
        <item x="4911"/>
        <item x="5812"/>
        <item x="5326"/>
        <item x="514"/>
        <item x="2637"/>
        <item x="390"/>
        <item x="2243"/>
        <item x="159"/>
        <item x="2313"/>
        <item x="6157"/>
        <item x="429"/>
        <item x="1608"/>
        <item x="6223"/>
        <item x="2705"/>
        <item x="1767"/>
        <item x="3804"/>
        <item x="1366"/>
        <item x="633"/>
        <item x="1212"/>
        <item x="2762"/>
        <item x="3549"/>
        <item x="3696"/>
        <item x="3015"/>
        <item x="5752"/>
        <item x="180"/>
        <item x="5685"/>
        <item x="527"/>
        <item x="4717"/>
        <item x="2843"/>
        <item x="3102"/>
        <item x="5920"/>
        <item x="2627"/>
        <item x="604"/>
        <item x="537"/>
        <item x="2197"/>
        <item x="4634"/>
        <item x="1444"/>
        <item x="4052"/>
        <item x="6160"/>
        <item x="2775"/>
        <item x="5805"/>
        <item x="351"/>
        <item x="2445"/>
        <item x="5973"/>
        <item x="833"/>
        <item x="2554"/>
        <item x="2715"/>
        <item x="1007"/>
        <item x="3268"/>
        <item x="5413"/>
        <item x="3087"/>
        <item x="2618"/>
        <item x="4298"/>
        <item x="4588"/>
        <item x="5560"/>
        <item x="4189"/>
        <item x="6068"/>
        <item x="5479"/>
        <item x="1203"/>
        <item x="3488"/>
        <item x="5692"/>
        <item x="5009"/>
        <item x="2299"/>
        <item x="5759"/>
        <item x="2663"/>
        <item x="814"/>
        <item x="1653"/>
        <item x="281"/>
        <item x="2707"/>
        <item x="3917"/>
        <item x="4428"/>
        <item x="4429"/>
        <item x="4831"/>
        <item x="2147"/>
        <item x="2335"/>
        <item x="4473"/>
        <item x="3799"/>
        <item x="4861"/>
        <item x="3360"/>
        <item x="482"/>
        <item x="2413"/>
        <item x="6211"/>
        <item x="4523"/>
        <item x="220"/>
        <item x="2493"/>
        <item x="2380"/>
        <item x="2724"/>
        <item x="440"/>
        <item x="5905"/>
        <item x="239"/>
        <item x="2353"/>
        <item x="267"/>
        <item x="4920"/>
        <item x="4872"/>
        <item x="4155"/>
        <item x="2956"/>
        <item x="5584"/>
        <item x="3803"/>
        <item x="6182"/>
        <item x="78"/>
        <item x="3778"/>
        <item x="4373"/>
        <item x="357"/>
        <item x="2583"/>
        <item x="2531"/>
        <item x="3148"/>
        <item x="104"/>
        <item x="1325"/>
        <item x="2848"/>
        <item x="5855"/>
        <item x="5948"/>
        <item x="2360"/>
        <item x="5165"/>
        <item x="511"/>
        <item x="2624"/>
        <item x="5010"/>
        <item x="2437"/>
        <item x="5114"/>
        <item x="1504"/>
        <item x="1559"/>
        <item x="1691"/>
        <item x="22"/>
        <item x="4684"/>
        <item x="5578"/>
        <item x="5529"/>
        <item x="5342"/>
        <item x="2892"/>
        <item x="2578"/>
        <item x="3511"/>
        <item x="808"/>
        <item x="3211"/>
        <item x="4505"/>
        <item x="5553"/>
        <item x="6107"/>
        <item x="4395"/>
        <item x="4563"/>
        <item x="2139"/>
        <item x="2240"/>
        <item x="12"/>
        <item x="1543"/>
        <item x="2016"/>
        <item x="418"/>
        <item x="5799"/>
        <item x="4475"/>
        <item x="4522"/>
        <item x="603"/>
        <item x="2031"/>
        <item x="2237"/>
        <item x="2442"/>
        <item x="3703"/>
        <item x="775"/>
        <item x="3743"/>
        <item x="2659"/>
        <item x="1141"/>
        <item x="3744"/>
        <item x="4501"/>
        <item x="3730"/>
        <item x="5327"/>
        <item x="1719"/>
        <item x="5162"/>
        <item x="4890"/>
        <item x="3180"/>
        <item x="2847"/>
        <item x="347"/>
        <item x="5108"/>
        <item x="483"/>
        <item x="1534"/>
        <item x="1175"/>
        <item x="2885"/>
        <item x="1320"/>
        <item x="3811"/>
        <item x="1268"/>
        <item x="1668"/>
        <item x="867"/>
        <item x="1428"/>
        <item x="3524"/>
        <item x="3791"/>
        <item x="542"/>
        <item x="1765"/>
        <item x="315"/>
        <item x="1221"/>
        <item x="4411"/>
        <item x="1261"/>
        <item x="548"/>
        <item x="2005"/>
        <item x="4129"/>
        <item x="3633"/>
        <item x="387"/>
        <item x="2314"/>
        <item x="2245"/>
        <item x="209"/>
        <item x="2485"/>
        <item x="98"/>
        <item x="2105"/>
        <item x="3659"/>
        <item x="2720"/>
        <item x="116"/>
        <item x="1258"/>
        <item x="3704"/>
        <item x="151"/>
        <item x="1849"/>
        <item x="5707"/>
        <item x="5079"/>
        <item x="1150"/>
        <item x="2198"/>
        <item x="5662"/>
        <item x="286"/>
        <item x="6235"/>
        <item x="2857"/>
        <item x="4217"/>
        <item x="6213"/>
        <item x="6096"/>
        <item x="3355"/>
        <item x="2074"/>
        <item x="2362"/>
        <item x="1899"/>
        <item x="4716"/>
        <item x="4661"/>
        <item x="5619"/>
        <item x="3294"/>
        <item x="4301"/>
        <item x="3788"/>
        <item x="1205"/>
        <item x="2398"/>
        <item x="5999"/>
        <item x="6009"/>
        <item x="3072"/>
        <item x="2722"/>
        <item x="1184"/>
        <item x="782"/>
        <item x="2917"/>
        <item x="4055"/>
        <item x="3883"/>
        <item x="2361"/>
        <item x="4568"/>
        <item x="4544"/>
        <item x="5854"/>
        <item x="898"/>
        <item x="5258"/>
        <item x="3394"/>
        <item x="847"/>
        <item x="3361"/>
        <item x="301"/>
        <item x="5990"/>
        <item x="4814"/>
        <item x="6094"/>
        <item x="3335"/>
        <item x="1831"/>
        <item x="3265"/>
        <item x="3098"/>
        <item x="695"/>
        <item x="119"/>
        <item x="4021"/>
        <item x="2333"/>
        <item x="5170"/>
        <item x="812"/>
        <item x="1133"/>
        <item x="5861"/>
        <item x="5739"/>
        <item x="5406"/>
        <item x="3399"/>
        <item x="4519"/>
        <item x="2620"/>
        <item x="1354"/>
        <item x="5828"/>
        <item x="2080"/>
        <item x="4604"/>
        <item x="3099"/>
        <item x="736"/>
        <item x="5766"/>
        <item x="4317"/>
        <item x="3974"/>
        <item x="699"/>
        <item x="334"/>
        <item x="4638"/>
        <item x="4131"/>
        <item x="602"/>
        <item x="5282"/>
        <item x="1891"/>
        <item x="3988"/>
        <item x="2446"/>
        <item x="5916"/>
        <item x="242"/>
        <item x="2003"/>
        <item x="3839"/>
        <item x="1600"/>
        <item x="3165"/>
        <item x="5451"/>
        <item x="6024"/>
        <item x="2544"/>
        <item x="4780"/>
        <item x="1889"/>
        <item x="4891"/>
        <item x="4109"/>
        <item x="1143"/>
        <item x="5779"/>
        <item x="874"/>
        <item x="1449"/>
        <item x="2271"/>
        <item x="1793"/>
        <item x="4000"/>
        <item x="2497"/>
        <item x="6220"/>
        <item x="553"/>
        <item x="3542"/>
        <item x="53"/>
        <item x="382"/>
        <item x="4899"/>
        <item x="3923"/>
        <item x="4426"/>
        <item x="3771"/>
        <item x="3340"/>
        <item x="2201"/>
        <item x="5440"/>
        <item x="1584"/>
        <item x="2310"/>
        <item x="3768"/>
        <item x="4559"/>
        <item x="5297"/>
        <item x="3699"/>
        <item x="6226"/>
        <item x="5620"/>
        <item x="2504"/>
        <item x="4105"/>
        <item x="1136"/>
        <item x="3627"/>
        <item x="3267"/>
        <item x="237"/>
        <item x="1586"/>
        <item x="3978"/>
        <item x="5302"/>
        <item x="1062"/>
        <item x="3570"/>
        <item x="1264"/>
        <item x="2935"/>
        <item x="1554"/>
        <item x="5390"/>
        <item x="1730"/>
        <item x="4967"/>
        <item x="1592"/>
        <item x="880"/>
        <item x="4700"/>
        <item x="3073"/>
        <item x="1886"/>
        <item x="5763"/>
        <item x="3224"/>
        <item x="2589"/>
        <item x="524"/>
        <item x="4759"/>
        <item x="4137"/>
        <item x="3084"/>
        <item x="5090"/>
        <item x="1446"/>
        <item x="1318"/>
        <item x="5656"/>
        <item x="3522"/>
        <item x="6133"/>
        <item x="4019"/>
        <item x="4062"/>
        <item x="4709"/>
        <item x="2939"/>
        <item x="5131"/>
        <item x="4050"/>
        <item x="5809"/>
        <item x="2459"/>
        <item x="2022"/>
        <item x="5314"/>
        <item x="2902"/>
        <item x="2516"/>
        <item x="268"/>
        <item x="523"/>
        <item x="3264"/>
        <item x="4838"/>
        <item x="787"/>
        <item x="4924"/>
        <item x="3007"/>
        <item x="625"/>
        <item x="6038"/>
        <item x="4569"/>
        <item x="1102"/>
        <item x="4272"/>
        <item x="2640"/>
        <item x="3581"/>
        <item x="6250"/>
        <item x="5339"/>
        <item x="5670"/>
        <item x="60"/>
        <item x="4543"/>
        <item x="4220"/>
        <item x="2090"/>
        <item x="1696"/>
        <item x="3933"/>
        <item x="64"/>
        <item x="3691"/>
        <item x="972"/>
        <item x="5515"/>
        <item x="5771"/>
        <item x="6002"/>
        <item x="3433"/>
        <item x="5066"/>
        <item x="2603"/>
        <item x="117"/>
        <item x="2912"/>
        <item x="5637"/>
        <item x="3418"/>
        <item x="719"/>
        <item x="4485"/>
        <item x="4794"/>
        <item x="2704"/>
        <item x="2202"/>
        <item x="4573"/>
        <item x="1459"/>
        <item x="2093"/>
        <item x="1436"/>
        <item x="2503"/>
        <item x="1540"/>
        <item x="3153"/>
        <item x="6088"/>
        <item x="1556"/>
        <item x="4462"/>
        <item x="1938"/>
        <item x="5283"/>
        <item x="585"/>
        <item x="5735"/>
        <item x="5645"/>
        <item x="2359"/>
        <item x="3301"/>
        <item x="6215"/>
        <item x="846"/>
        <item x="5371"/>
        <item x="4087"/>
        <item x="4599"/>
        <item x="4601"/>
        <item x="4529"/>
        <item x="2748"/>
        <item x="2771"/>
        <item x="4330"/>
        <item x="3133"/>
        <item x="1068"/>
        <item x="5894"/>
        <item x="5502"/>
        <item x="3580"/>
        <item x="254"/>
        <item x="2170"/>
        <item x="3236"/>
        <item x="1683"/>
        <item x="5904"/>
        <item x="3692"/>
        <item x="2483"/>
        <item x="6029"/>
        <item x="5919"/>
        <item x="4112"/>
        <item x="5381"/>
        <item x="4120"/>
        <item x="811"/>
        <item x="2981"/>
        <item x="5660"/>
        <item x="3635"/>
        <item x="476"/>
        <item x="945"/>
        <item x="3890"/>
        <item x="1104"/>
        <item x="3611"/>
        <item x="581"/>
        <item x="2787"/>
        <item x="5643"/>
        <item x="2352"/>
        <item x="5557"/>
        <item x="977"/>
        <item x="4673"/>
        <item x="4236"/>
        <item x="3690"/>
        <item x="1871"/>
        <item x="3628"/>
        <item x="3967"/>
        <item x="576"/>
        <item x="5273"/>
        <item x="2004"/>
        <item x="5409"/>
        <item x="519"/>
        <item x="4832"/>
        <item x="35"/>
        <item x="4450"/>
        <item x="5336"/>
        <item x="3001"/>
        <item x="600"/>
        <item x="2023"/>
        <item x="2188"/>
        <item x="3020"/>
        <item x="4240"/>
        <item x="3920"/>
        <item x="1547"/>
        <item x="4706"/>
        <item x="5199"/>
        <item x="4023"/>
        <item x="1312"/>
        <item x="702"/>
        <item x="1153"/>
        <item x="139"/>
        <item x="1180"/>
        <item x="3005"/>
        <item x="982"/>
        <item x="3848"/>
        <item x="4172"/>
        <item x="3379"/>
        <item x="4781"/>
        <item x="5767"/>
        <item x="5558"/>
        <item x="5521"/>
        <item x="489"/>
        <item x="5436"/>
        <item x="707"/>
        <item x="2708"/>
        <item x="4090"/>
        <item x="5237"/>
        <item x="3449"/>
        <item x="5806"/>
        <item x="4531"/>
        <item x="3435"/>
        <item x="5467"/>
        <item x="717"/>
        <item x="6092"/>
        <item x="3577"/>
        <item x="4848"/>
        <item x="679"/>
        <item x="3295"/>
        <item x="5163"/>
        <item x="1033"/>
        <item x="5295"/>
        <item x="4995"/>
        <item x="5639"/>
        <item x="1005"/>
        <item x="2897"/>
        <item x="5706"/>
        <item x="2645"/>
        <item x="4287"/>
        <item x="767"/>
        <item x="5803"/>
        <item x="185"/>
        <item x="3969"/>
        <item x="947"/>
        <item x="2875"/>
        <item x="4331"/>
        <item x="3546"/>
        <item x="1197"/>
        <item x="1035"/>
        <item x="1326"/>
        <item x="549"/>
        <item x="3613"/>
        <item x="3829"/>
        <item x="149"/>
        <item x="3434"/>
        <item x="1610"/>
        <item x="3497"/>
        <item x="5183"/>
        <item x="5352"/>
        <item x="1693"/>
        <item x="4892"/>
        <item x="2653"/>
        <item x="3808"/>
        <item x="2466"/>
        <item x="1195"/>
        <item x="1439"/>
        <item x="3701"/>
        <item x="1766"/>
        <item x="3386"/>
        <item x="4304"/>
        <item x="3241"/>
        <item x="3999"/>
        <item x="4649"/>
        <item x="3598"/>
        <item x="2802"/>
        <item x="2874"/>
        <item x="1671"/>
        <item x="926"/>
        <item x="5760"/>
        <item x="4514"/>
        <item x="3242"/>
        <item x="970"/>
        <item x="4132"/>
        <item x="3991"/>
        <item x="1563"/>
        <item x="2911"/>
        <item x="3714"/>
        <item x="4743"/>
        <item x="666"/>
        <item x="5650"/>
        <item x="2135"/>
        <item x="3907"/>
        <item x="2350"/>
        <item x="3572"/>
        <item x="5328"/>
        <item x="481"/>
        <item x="4817"/>
        <item x="4591"/>
        <item x="4329"/>
        <item x="5747"/>
        <item x="4262"/>
        <item x="4889"/>
        <item x="4030"/>
        <item x="4396"/>
        <item x="3199"/>
        <item x="1438"/>
        <item x="5207"/>
        <item x="1086"/>
        <item x="1833"/>
        <item x="2185"/>
        <item x="214"/>
        <item x="4237"/>
        <item x="3110"/>
        <item x="4459"/>
        <item x="5486"/>
        <item x="1398"/>
        <item x="2404"/>
        <item x="4847"/>
        <item x="4682"/>
        <item x="3879"/>
        <item x="5512"/>
        <item x="5961"/>
        <item x="36"/>
        <item x="4632"/>
        <item x="2863"/>
        <item x="4081"/>
        <item x="2599"/>
        <item x="1525"/>
        <item x="1465"/>
        <item x="5964"/>
        <item x="2597"/>
        <item x="2541"/>
        <item x="3698"/>
        <item x="3291"/>
        <item x="2473"/>
        <item x="4328"/>
        <item x="3927"/>
        <item x="5107"/>
        <item x="3548"/>
        <item x="5618"/>
        <item x="3329"/>
        <item x="1639"/>
        <item x="5355"/>
        <item x="4086"/>
        <item x="4602"/>
        <item x="6034"/>
        <item x="4657"/>
        <item x="3629"/>
        <item x="3614"/>
        <item x="4389"/>
        <item x="4643"/>
        <item x="4798"/>
        <item x="2411"/>
        <item x="86"/>
        <item x="3742"/>
        <item x="3202"/>
        <item x="852"/>
        <item x="1057"/>
        <item x="4504"/>
        <item x="2326"/>
        <item x="4283"/>
        <item x="67"/>
        <item x="4633"/>
        <item x="4130"/>
        <item x="643"/>
        <item x="5801"/>
        <item x="4515"/>
        <item x="5135"/>
        <item x="4071"/>
        <item x="4982"/>
        <item x="4748"/>
        <item x="3000"/>
        <item x="2251"/>
        <item x="2227"/>
        <item x="1045"/>
        <item x="1515"/>
        <item x="461"/>
        <item x="3200"/>
        <item x="5850"/>
        <item x="4923"/>
        <item x="6153"/>
        <item x="5784"/>
        <item x="1857"/>
        <item x="4804"/>
        <item x="5425"/>
        <item x="3391"/>
        <item x="663"/>
        <item x="5946"/>
        <item x="3504"/>
        <item x="3057"/>
        <item x="5697"/>
        <item x="1017"/>
        <item x="2489"/>
        <item x="4810"/>
        <item x="2427"/>
        <item x="1911"/>
        <item x="4697"/>
        <item x="1511"/>
        <item x="2467"/>
        <item x="1548"/>
        <item x="3126"/>
        <item x="1500"/>
        <item x="4650"/>
        <item x="2520"/>
        <item x="3119"/>
        <item x="1174"/>
        <item x="2685"/>
        <item x="2895"/>
        <item x="4350"/>
        <item x="3270"/>
        <item x="4631"/>
        <item x="1553"/>
        <item x="2777"/>
        <item x="1531"/>
        <item x="5900"/>
        <item x="3143"/>
        <item x="3280"/>
        <item x="3748"/>
        <item x="6008"/>
        <item x="3554"/>
        <item x="3065"/>
        <item x="751"/>
        <item x="4547"/>
        <item x="5538"/>
        <item x="1138"/>
        <item x="656"/>
        <item x="1319"/>
        <item x="5452"/>
        <item x="3722"/>
        <item x="2291"/>
        <item x="4668"/>
        <item x="2073"/>
        <item x="3620"/>
        <item x="3437"/>
        <item x="2302"/>
        <item x="5997"/>
        <item x="4870"/>
        <item x="4463"/>
        <item x="3296"/>
        <item x="4871"/>
        <item x="5110"/>
        <item x="3582"/>
        <item x="3100"/>
        <item x="3127"/>
        <item x="3520"/>
        <item x="4509"/>
        <item x="831"/>
        <item x="2366"/>
        <item x="2774"/>
        <item x="628"/>
        <item x="128"/>
        <item x="3842"/>
        <item x="5374"/>
        <item x="3555"/>
        <item x="1495"/>
        <item x="41"/>
        <item x="2612"/>
        <item x="3671"/>
        <item x="1916"/>
        <item x="2319"/>
        <item x="640"/>
        <item x="1181"/>
        <item x="3737"/>
        <item x="6063"/>
        <item x="4590"/>
        <item x="444"/>
        <item x="197"/>
        <item x="3646"/>
        <item x="2089"/>
        <item x="2735"/>
        <item x="157"/>
        <item x="5669"/>
        <item x="5464"/>
        <item x="1578"/>
        <item x="5621"/>
        <item x="3910"/>
        <item x="845"/>
        <item x="2149"/>
        <item x="3823"/>
        <item x="1989"/>
        <item x="5358"/>
        <item x="5875"/>
        <item x="971"/>
        <item x="2113"/>
        <item x="4550"/>
        <item x="4972"/>
        <item x="4076"/>
        <item x="4332"/>
        <item x="4291"/>
        <item x="76"/>
        <item x="3963"/>
        <item x="276"/>
        <item x="4837"/>
        <item x="30"/>
        <item x="795"/>
        <item x="3066"/>
        <item x="377"/>
        <item x="3035"/>
        <item x="3393"/>
        <item x="1630"/>
        <item x="3494"/>
        <item x="3654"/>
        <item x="1423"/>
        <item x="5422"/>
        <item x="4008"/>
        <item x="705"/>
        <item x="2007"/>
        <item x="5562"/>
        <item x="1389"/>
        <item x="5367"/>
        <item x="3537"/>
        <item x="4247"/>
        <item x="5667"/>
        <item x="1307"/>
        <item x="619"/>
        <item x="2277"/>
        <item x="2126"/>
        <item x="1338"/>
        <item x="3244"/>
        <item x="3033"/>
        <item x="4681"/>
        <item x="2140"/>
        <item x="2937"/>
        <item x="1081"/>
        <item x="4964"/>
        <item x="4570"/>
        <item x="2160"/>
        <item x="4596"/>
        <item x="3886"/>
        <item x="4828"/>
        <item x="2440"/>
        <item x="2082"/>
        <item x="2224"/>
        <item x="941"/>
        <item x="1362"/>
        <item x="2238"/>
        <item x="6052"/>
        <item x="5356"/>
        <item x="80"/>
        <item x="5957"/>
        <item x="4158"/>
        <item x="6102"/>
        <item x="3186"/>
        <item x="2464"/>
        <item x="4274"/>
        <item x="2993"/>
        <item x="5119"/>
        <item x="711"/>
        <item x="3815"/>
        <item x="3229"/>
        <item x="4466"/>
        <item x="1890"/>
        <item x="5458"/>
        <item x="6234"/>
        <item x="3419"/>
        <item x="2646"/>
        <item x="448"/>
        <item x="1108"/>
        <item x="3998"/>
        <item x="1598"/>
        <item x="2726"/>
        <item x="3942"/>
        <item x="1779"/>
        <item x="1516"/>
        <item x="2652"/>
        <item x="1131"/>
        <item x="3686"/>
        <item x="580"/>
        <item x="2449"/>
        <item x="2590"/>
        <item x="171"/>
        <item x="5340"/>
        <item x="5471"/>
        <item x="2119"/>
        <item x="726"/>
        <item x="3687"/>
        <item x="4444"/>
        <item x="1027"/>
        <item x="568"/>
        <item x="5808"/>
        <item x="2266"/>
        <item x="422"/>
        <item x="6162"/>
        <item x="1798"/>
        <item x="1305"/>
        <item x="4839"/>
        <item x="4403"/>
        <item x="1294"/>
        <item x="4027"/>
        <item x="5579"/>
        <item x="4812"/>
        <item x="1201"/>
        <item x="3341"/>
        <item x="1121"/>
        <item x="1836"/>
        <item x="2068"/>
        <item x="1655"/>
        <item x="1841"/>
        <item x="3197"/>
        <item x="2786"/>
        <item x="5595"/>
        <item x="3653"/>
        <item x="4425"/>
        <item x="6025"/>
        <item x="4413"/>
        <item x="5853"/>
        <item x="756"/>
        <item x="4064"/>
        <item x="3167"/>
        <item x="3134"/>
        <item x="522"/>
        <item x="4914"/>
        <item x="1595"/>
        <item x="901"/>
        <item x="1705"/>
        <item x="2514"/>
        <item x="1493"/>
        <item x="6062"/>
        <item x="5113"/>
        <item x="2934"/>
        <item x="18"/>
        <item x="1332"/>
        <item x="3367"/>
        <item x="1168"/>
        <item x="4740"/>
        <item x="5762"/>
        <item x="4695"/>
        <item x="5"/>
        <item x="5769"/>
        <item x="4346"/>
        <item x="3676"/>
        <item x="2606"/>
        <item x="3953"/>
        <item x="5360"/>
        <item x="206"/>
        <item x="4430"/>
        <item x="3563"/>
        <item x="132"/>
        <item x="6080"/>
        <item x="1069"/>
        <item x="4047"/>
        <item x="1328"/>
        <item x="2581"/>
        <item x="2680"/>
        <item x="4793"/>
        <item x="2428"/>
        <item x="3128"/>
        <item x="3639"/>
        <item x="2233"/>
        <item x="2877"/>
        <item x="1380"/>
        <item x="2387"/>
        <item x="5899"/>
        <item x="3198"/>
        <item x="2838"/>
        <item x="1234"/>
        <item x="2077"/>
        <item x="2533"/>
        <item x="492"/>
        <item x="1528"/>
        <item x="2548"/>
        <item x="5937"/>
        <item x="1571"/>
        <item x="2925"/>
        <item x="1794"/>
        <item x="3831"/>
        <item x="5714"/>
        <item x="4432"/>
        <item x="862"/>
        <item x="262"/>
        <item x="2062"/>
        <item x="3656"/>
        <item x="4458"/>
        <item x="247"/>
        <item x="5209"/>
        <item x="561"/>
        <item x="4102"/>
        <item x="121"/>
        <item x="5397"/>
        <item x="1182"/>
        <item x="2374"/>
        <item x="3518"/>
        <item x="5581"/>
        <item x="5701"/>
        <item x="2807"/>
        <item x="4960"/>
        <item x="299"/>
        <item x="3106"/>
        <item x="1825"/>
        <item x="1697"/>
        <item x="3845"/>
        <item x="1183"/>
        <item x="1453"/>
        <item x="2270"/>
        <item x="2647"/>
        <item x="1863"/>
        <item x="5379"/>
        <item x="4215"/>
        <item x="2256"/>
        <item x="5839"/>
        <item x="2840"/>
        <item x="5086"/>
        <item x="445"/>
        <item x="477"/>
        <item x="3046"/>
        <item x="352"/>
        <item x="6124"/>
        <item x="5901"/>
        <item x="5813"/>
        <item x="5375"/>
        <item x="4457"/>
        <item x="5474"/>
        <item x="4440"/>
        <item x="4483"/>
        <item x="96"/>
        <item x="19"/>
        <item x="1837"/>
        <item x="5449"/>
        <item x="4576"/>
        <item x="3048"/>
        <item x="3881"/>
        <item x="1317"/>
        <item x="3897"/>
        <item x="4286"/>
        <item x="5942"/>
        <item x="4731"/>
        <item x="1529"/>
        <item x="282"/>
        <item x="5448"/>
        <item x="1012"/>
        <item x="1369"/>
        <item x="5873"/>
        <item x="954"/>
        <item x="52"/>
        <item x="6230"/>
        <item x="5902"/>
        <item x="2566"/>
        <item x="940"/>
        <item x="1425"/>
        <item x="2525"/>
        <item x="4443"/>
        <item x="952"/>
        <item x="2855"/>
        <item x="3526"/>
        <item x="1604"/>
        <item x="2592"/>
        <item x="4977"/>
        <item x="2510"/>
        <item x="1313"/>
        <item x="1636"/>
        <item x="2794"/>
        <item x="2763"/>
        <item x="692"/>
        <item x="2448"/>
        <item x="4289"/>
        <item x="4606"/>
        <item x="1251"/>
        <item x="1992"/>
        <item x="572"/>
        <item x="530"/>
        <item x="460"/>
        <item x="5744"/>
        <item x="2784"/>
        <item x="4461"/>
        <item x="6155"/>
        <item x="2819"/>
        <item x="3342"/>
        <item x="5842"/>
        <item x="1734"/>
        <item x="1583"/>
        <item x="4651"/>
        <item x="715"/>
        <item x="5272"/>
        <item x="259"/>
        <item x="5536"/>
        <item x="5478"/>
        <item x="740"/>
        <item x="6198"/>
        <item x="2812"/>
        <item x="3819"/>
        <item x="5481"/>
        <item x="1075"/>
        <item x="3114"/>
        <item x="5037"/>
        <item x="1165"/>
        <item x="1685"/>
        <item x="3736"/>
        <item x="3369"/>
        <item x="3796"/>
        <item x="5505"/>
        <item x="2217"/>
        <item x="1859"/>
        <item x="540"/>
        <item x="5438"/>
        <item x="2792"/>
        <item x="2052"/>
        <item x="5393"/>
        <item x="4079"/>
        <item x="1330"/>
        <item x="746"/>
        <item x="3459"/>
        <item x="6185"/>
        <item x="4162"/>
        <item x="1733"/>
        <item x="6126"/>
        <item x="227"/>
        <item x="2423"/>
        <item x="3400"/>
        <item x="3322"/>
        <item x="5503"/>
        <item x="5683"/>
        <item x="2303"/>
        <item x="2719"/>
        <item x="3558"/>
        <item x="1907"/>
        <item x="4761"/>
        <item x="2689"/>
        <item x="1375"/>
        <item x="495"/>
        <item x="3240"/>
        <item x="2452"/>
        <item x="1848"/>
        <item x="765"/>
        <item x="3230"/>
        <item x="106"/>
        <item x="6073"/>
        <item x="5878"/>
        <item x="6209"/>
        <item x="2745"/>
        <item x="3189"/>
        <item x="3677"/>
        <item x="5967"/>
        <item x="2797"/>
        <item x="5035"/>
        <item x="5470"/>
        <item x="1718"/>
        <item x="5776"/>
        <item x="3081"/>
        <item x="1079"/>
        <item x="2799"/>
        <item x="894"/>
        <item x="1485"/>
        <item x="1737"/>
        <item x="5492"/>
        <item x="2475"/>
        <item x="5412"/>
        <item x="2279"/>
        <item x="1988"/>
        <item x="2144"/>
        <item x="5143"/>
        <item x="6190"/>
        <item x="4574"/>
        <item x="2138"/>
        <item x="2391"/>
        <item x="5277"/>
        <item x="4875"/>
        <item x="349"/>
        <item x="2166"/>
        <item x="1063"/>
        <item x="4235"/>
        <item x="961"/>
        <item x="3958"/>
        <item x="5580"/>
        <item x="5021"/>
        <item x="5099"/>
        <item x="3772"/>
        <item x="3308"/>
        <item x="4449"/>
        <item x="2408"/>
        <item x="5337"/>
        <item x="177"/>
        <item x="4966"/>
        <item x="5159"/>
        <item x="4244"/>
        <item x="4242"/>
        <item x="1692"/>
        <item x="5777"/>
        <item x="2613"/>
        <item x="700"/>
        <item x="94"/>
        <item x="4746"/>
        <item x="5743"/>
        <item x="2856"/>
        <item x="6154"/>
        <item x="3648"/>
        <item x="140"/>
        <item x="5928"/>
        <item x="1896"/>
        <item x="5603"/>
        <item x="3909"/>
        <item x="2788"/>
        <item x="5800"/>
        <item x="1847"/>
        <item x="958"/>
        <item x="2070"/>
        <item x="5025"/>
        <item x="4369"/>
        <item x="401"/>
        <item x="508"/>
        <item x="2369"/>
        <item x="1918"/>
        <item x="1711"/>
        <item x="3423"/>
        <item x="4391"/>
        <item x="6141"/>
        <item x="864"/>
        <item x="2286"/>
        <item x="5054"/>
        <item x="525"/>
        <item x="509"/>
        <item x="1348"/>
        <item x="844"/>
        <item x="1042"/>
        <item x="2946"/>
        <item x="5274"/>
        <item x="5495"/>
        <item x="4044"/>
        <item x="435"/>
        <item x="1442"/>
        <item x="3894"/>
        <item x="246"/>
        <item x="1091"/>
        <item x="2559"/>
        <item x="2301"/>
        <item x="912"/>
        <item x="779"/>
        <item x="4141"/>
        <item x="5756"/>
        <item x="5734"/>
        <item x="112"/>
        <item x="5590"/>
        <item x="4271"/>
        <item x="967"/>
        <item x="2614"/>
        <item x="5461"/>
        <item x="3665"/>
        <item x="3989"/>
        <item x="5173"/>
        <item x="3390"/>
        <item x="1575"/>
        <item x="5202"/>
        <item x="5396"/>
        <item x="3317"/>
        <item x="2517"/>
        <item x="3075"/>
        <item x="1684"/>
        <item x="3307"/>
        <item x="456"/>
        <item x="995"/>
        <item x="2381"/>
        <item x="2695"/>
        <item x="878"/>
        <item x="1785"/>
        <item x="288"/>
        <item x="6142"/>
        <item x="2776"/>
        <item x="2069"/>
        <item x="2336"/>
        <item x="2602"/>
        <item x="4652"/>
        <item x="1713"/>
        <item x="5292"/>
        <item x="3472"/>
        <item x="897"/>
        <item x="2790"/>
        <item x="160"/>
        <item x="5022"/>
        <item x="1166"/>
        <item x="1824"/>
        <item x="3773"/>
        <item x="5463"/>
        <item x="1792"/>
        <item x="6055"/>
        <item x="1810"/>
        <item x="652"/>
        <item x="3763"/>
        <item x="2014"/>
        <item x="5353"/>
        <item x="2213"/>
        <item x="2636"/>
        <item x="520"/>
        <item x="4259"/>
        <item x="1505"/>
        <item x="4733"/>
        <item x="4952"/>
        <item x="5918"/>
        <item x="4876"/>
        <item x="4273"/>
        <item x="3068"/>
        <item x="4092"/>
        <item x="4581"/>
        <item x="2248"/>
        <item x="3203"/>
        <item x="1394"/>
        <item x="1282"/>
        <item x="3965"/>
        <item x="4343"/>
        <item x="2436"/>
        <item x="3219"/>
        <item x="3137"/>
        <item x="5195"/>
        <item x="4566"/>
        <item x="167"/>
        <item x="1895"/>
        <item x="4188"/>
        <item x="3505"/>
        <item x="4869"/>
        <item x="1139"/>
        <item x="3995"/>
        <item x="3889"/>
        <item x="3688"/>
        <item x="4785"/>
        <item x="5120"/>
        <item x="1022"/>
        <item x="130"/>
        <item x="4374"/>
        <item x="706"/>
        <item x="5312"/>
        <item x="2037"/>
        <item x="3880"/>
        <item x="1931"/>
        <item x="4775"/>
        <item x="5201"/>
        <item x="800"/>
        <item x="372"/>
        <item x="3586"/>
        <item x="4422"/>
        <item x="564"/>
        <item x="648"/>
        <item x="5625"/>
        <item x="3590"/>
        <item x="172"/>
        <item x="1796"/>
        <item x="2901"/>
        <item x="1341"/>
        <item x="3862"/>
        <item x="1156"/>
        <item x="1811"/>
        <item x="196"/>
        <item x="4753"/>
        <item x="3192"/>
        <item x="3779"/>
        <item x="3290"/>
        <item x="5546"/>
        <item x="4245"/>
        <item x="696"/>
        <item x="5626"/>
        <item x="1472"/>
        <item x="5267"/>
        <item x="616"/>
        <item x="2662"/>
        <item x="5866"/>
        <item x="3212"/>
        <item x="3487"/>
        <item x="4843"/>
        <item x="2025"/>
        <item x="5958"/>
        <item x="2837"/>
        <item x="1747"/>
        <item x="4460"/>
        <item x="1706"/>
        <item x="789"/>
        <item x="1997"/>
        <item x="3163"/>
        <item x="5221"/>
        <item x="5823"/>
        <item x="5548"/>
        <item x="5624"/>
        <item x="6228"/>
        <item x="2835"/>
        <item x="3142"/>
        <item x="4856"/>
        <item x="4823"/>
        <item x="468"/>
        <item x="4816"/>
        <item x="4656"/>
        <item x="4625"/>
        <item x="3313"/>
        <item x="4751"/>
        <item x="1618"/>
        <item x="6032"/>
        <item x="208"/>
        <item x="97"/>
        <item x="5346"/>
        <item x="5702"/>
        <item x="337"/>
        <item x="2097"/>
        <item x="2584"/>
        <item x="4990"/>
        <item x="2700"/>
        <item x="2933"/>
        <item x="1227"/>
        <item x="1416"/>
        <item x="1"/>
        <item x="4857"/>
        <item x="1605"/>
        <item x="6046"/>
        <item x="5196"/>
        <item x="5737"/>
        <item x="644"/>
        <item x="2923"/>
        <item x="2980"/>
        <item x="2145"/>
        <item x="3235"/>
        <item x="637"/>
        <item x="6140"/>
        <item x="3681"/>
        <item x="4642"/>
        <item x="4077"/>
        <item x="3683"/>
        <item x="3608"/>
        <item x="976"/>
        <item x="3058"/>
        <item x="5205"/>
        <item x="1350"/>
        <item x="4727"/>
        <item x="6253"/>
        <item x="1853"/>
        <item x="5238"/>
        <item x="4296"/>
        <item x="4956"/>
        <item x="4197"/>
        <item x="2124"/>
        <item x="1471"/>
        <item x="3421"/>
        <item x="5647"/>
        <item x="997"/>
        <item x="4163"/>
        <item x="3816"/>
        <item x="3600"/>
        <item x="1359"/>
        <item x="3492"/>
        <item x="6241"/>
        <item x="4093"/>
        <item x="1622"/>
        <item x="5225"/>
        <item x="359"/>
        <item x="4138"/>
        <item x="2567"/>
        <item x="1826"/>
        <item x="3567"/>
        <item x="5013"/>
        <item x="544"/>
        <item x="4617"/>
        <item x="3359"/>
        <item x="4985"/>
        <item x="1855"/>
        <item x="2814"/>
        <item x="925"/>
        <item x="5934"/>
        <item x="414"/>
        <item x="938"/>
        <item x="3837"/>
        <item x="5024"/>
        <item x="4232"/>
        <item x="1178"/>
        <item x="3604"/>
        <item x="3097"/>
        <item x="5330"/>
        <item x="1223"/>
        <item x="5753"/>
        <item x="1781"/>
        <item x="3764"/>
        <item x="627"/>
        <item x="6229"/>
        <item x="4146"/>
        <item x="1483"/>
        <item x="2215"/>
        <item x="1866"/>
        <item x="4610"/>
        <item x="5724"/>
        <item x="3016"/>
        <item x="3314"/>
        <item x="326"/>
        <item x="2399"/>
        <item x="6006"/>
        <item x="2806"/>
        <item x="4073"/>
        <item x="5136"/>
        <item x="103"/>
        <item x="5989"/>
        <item x="6003"/>
        <item x="4790"/>
        <item x="2177"/>
        <item x="4270"/>
        <item x="2309"/>
        <item x="4663"/>
        <item x="2528"/>
        <item x="4397"/>
        <item x="843"/>
        <item x="3777"/>
        <item x="1127"/>
        <item x="2817"/>
        <item x="6103"/>
        <item x="6083"/>
        <item x="5307"/>
        <item x="1771"/>
        <item x="3"/>
        <item x="3619"/>
        <item x="5539"/>
        <item x="4223"/>
        <item x="1778"/>
        <item x="2501"/>
        <item x="4212"/>
        <item x="4771"/>
        <item x="6163"/>
        <item x="3657"/>
        <item x="6020"/>
        <item x="6106"/>
        <item x="77"/>
        <item x="1958"/>
        <item x="835"/>
        <item x="1549"/>
        <item x="6255"/>
        <item x="198"/>
        <item x="591"/>
        <item x="5215"/>
        <item x="592"/>
        <item x="5074"/>
        <item x="4615"/>
        <item x="3157"/>
        <item x="1376"/>
        <item x="1412"/>
        <item x="1464"/>
        <item x="1100"/>
        <item x="6095"/>
        <item x="4029"/>
        <item x="2491"/>
        <item x="1761"/>
        <item x="5785"/>
        <item x="4479"/>
        <item x="4224"/>
        <item x="989"/>
        <item x="1782"/>
        <item x="1846"/>
        <item x="5246"/>
        <item x="1758"/>
        <item x="499"/>
        <item x="4347"/>
        <item x="2542"/>
        <item x="879"/>
        <item x="5454"/>
        <item x="3498"/>
        <item x="6004"/>
        <item x="2844"/>
        <item x="1974"/>
        <item x="2244"/>
        <item x="6170"/>
        <item x="4553"/>
        <item x="226"/>
        <item x="5453"/>
        <item x="378"/>
        <item x="5042"/>
        <item x="5275"/>
        <item x="1407"/>
        <item x="3733"/>
        <item x="4981"/>
        <item x="4933"/>
        <item x="4285"/>
        <item x="2552"/>
        <item x="1615"/>
        <item x="5290"/>
        <item x="809"/>
        <item x="1775"/>
        <item x="5487"/>
        <item x="6171"/>
        <item x="2508"/>
        <item x="2015"/>
        <item x="853"/>
        <item x="11"/>
        <item x="2759"/>
        <item x="2402"/>
        <item x="2733"/>
        <item x="4416"/>
        <item x="3059"/>
        <item x="772"/>
        <item x="978"/>
        <item x="271"/>
        <item x="1144"/>
        <item x="3461"/>
        <item x="2229"/>
        <item x="230"/>
        <item x="5075"/>
        <item x="3902"/>
        <item x="802"/>
        <item x="1967"/>
        <item x="819"/>
        <item x="5433"/>
        <item x="1232"/>
        <item x="1117"/>
        <item x="5622"/>
        <item x="651"/>
        <item x="4880"/>
        <item x="5931"/>
        <item x="1524"/>
        <item x="3408"/>
        <item x="3233"/>
        <item x="4907"/>
        <item x="1768"/>
        <item x="2389"/>
        <item x="2001"/>
        <item x="4723"/>
        <item x="2975"/>
        <item x="730"/>
        <item x="5311"/>
        <item x="4454"/>
        <item x="4452"/>
        <item x="797"/>
        <item x="909"/>
        <item x="213"/>
        <item x="3438"/>
        <item x="1060"/>
        <item x="4840"/>
        <item x="4375"/>
        <item x="2643"/>
        <item x="1659"/>
        <item x="1978"/>
        <item x="1172"/>
        <item x="4500"/>
        <item x="2123"/>
        <item x="73"/>
        <item x="5555"/>
        <item x="2673"/>
        <item x="1787"/>
        <item x="1220"/>
        <item x="5395"/>
        <item x="4412"/>
        <item x="1566"/>
        <item x="1650"/>
        <item x="228"/>
        <item x="470"/>
        <item x="1669"/>
        <item x="4968"/>
        <item x="2678"/>
        <item x="310"/>
        <item x="1196"/>
        <item x="3439"/>
        <item x="2122"/>
        <item x="1701"/>
        <item x="4107"/>
        <item x="3116"/>
        <item x="6227"/>
        <item x="6167"/>
        <item x="2587"/>
        <item x="1514"/>
        <item x="3036"/>
        <item x="4741"/>
        <item x="3827"/>
        <item x="2403"/>
        <item x="749"/>
        <item x="3949"/>
        <item x="4257"/>
        <item x="135"/>
        <item x="830"/>
        <item x="3024"/>
        <item x="3821"/>
        <item x="4297"/>
        <item x="2078"/>
        <item x="641"/>
        <item x="807"/>
        <item x="2159"/>
        <item x="3428"/>
        <item x="3820"/>
        <item x="2396"/>
        <item x="398"/>
        <item x="2218"/>
        <item x="5506"/>
        <item x="1817"/>
        <item x="3407"/>
        <item x="4072"/>
        <item x="2527"/>
        <item x="6131"/>
        <item x="3905"/>
        <item x="3166"/>
        <item x="5168"/>
        <item x="6176"/>
        <item x="430"/>
        <item x="236"/>
        <item x="4900"/>
        <item x="2364"/>
        <item x="3960"/>
        <item x="2282"/>
        <item x="1797"/>
        <item x="2410"/>
        <item x="1050"/>
        <item x="5044"/>
        <item x="3218"/>
        <item x="3277"/>
        <item x="5695"/>
        <item x="3141"/>
        <item x="324"/>
        <item x="3336"/>
        <item x="1870"/>
        <item x="5601"/>
        <item x="309"/>
        <item x="5641"/>
        <item x="419"/>
        <item x="3716"/>
        <item x="3934"/>
        <item x="3026"/>
        <item x="2938"/>
        <item x="1901"/>
        <item x="1593"/>
        <item x="5073"/>
        <item x="2882"/>
        <item x="3626"/>
        <item x="5028"/>
        <item x="5033"/>
        <item x="5093"/>
        <item x="3353"/>
        <item x="3154"/>
        <item x="722"/>
        <item x="5616"/>
        <item x="4850"/>
        <item x="1400"/>
        <item x="4636"/>
        <item x="6045"/>
        <item x="2561"/>
        <item x="2194"/>
        <item x="3392"/>
        <item x="4624"/>
        <item x="6175"/>
        <item x="5923"/>
        <item x="5755"/>
        <item x="2529"/>
        <item x="4066"/>
        <item x="1331"/>
        <item x="5070"/>
        <item x="5032"/>
        <item x="316"/>
        <item x="1742"/>
        <item x="2420"/>
        <item x="66"/>
        <item x="2756"/>
        <item x="3052"/>
        <item x="2451"/>
        <item x="2486"/>
        <item x="4126"/>
        <item x="3467"/>
        <item x="4419"/>
        <item x="3814"/>
        <item x="595"/>
        <item x="4474"/>
        <item x="2358"/>
        <item x="2868"/>
        <item x="1409"/>
        <item x="4316"/>
        <item x="4499"/>
        <item x="1059"/>
        <item x="4548"/>
        <item x="5394"/>
        <item x="1137"/>
        <item x="2615"/>
        <item x="3480"/>
        <item x="778"/>
        <item x="3411"/>
        <item x="2283"/>
        <item x="199"/>
        <item x="5062"/>
        <item x="4243"/>
        <item x="980"/>
        <item x="4040"/>
        <item x="4399"/>
        <item x="2221"/>
        <item x="2955"/>
        <item x="3785"/>
        <item x="5226"/>
        <item x="753"/>
        <item x="5577"/>
        <item x="4511"/>
        <item x="774"/>
        <item x="2798"/>
        <item x="6056"/>
        <item x="4921"/>
        <item x="4227"/>
        <item x="4229"/>
        <item x="2580"/>
        <item x="1452"/>
        <item x="3403"/>
        <item x="194"/>
        <item x="2419"/>
        <item x="942"/>
        <item x="2638"/>
        <item x="5124"/>
        <item x="4595"/>
        <item x="1621"/>
        <item x="3612"/>
        <item x="1266"/>
        <item x="2006"/>
        <item x="3253"/>
        <item x="4431"/>
        <item x="1550"/>
        <item x="5383"/>
        <item x="4387"/>
        <item x="6158"/>
        <item x="2941"/>
        <item x="283"/>
        <item x="3617"/>
        <item x="3022"/>
        <item x="2622"/>
        <item x="2829"/>
        <item x="3506"/>
        <item x="4135"/>
        <item x="635"/>
        <item x="3543"/>
        <item x="3358"/>
        <item x="639"/>
        <item x="134"/>
        <item x="4809"/>
        <item x="503"/>
        <item x="4827"/>
        <item x="1858"/>
        <item x="1488"/>
        <item x="1725"/>
        <item x="81"/>
        <item x="1390"/>
        <item x="3482"/>
        <item x="2026"/>
        <item x="5655"/>
        <item x="5672"/>
        <item x="4371"/>
        <item x="2971"/>
        <item x="4016"/>
        <item x="2125"/>
        <item x="5549"/>
        <item x="1269"/>
        <item x="2757"/>
        <item x="5166"/>
        <item x="2193"/>
        <item x="1950"/>
        <item x="4183"/>
        <item x="5632"/>
        <item x="2712"/>
        <item x="3538"/>
        <item x="4128"/>
        <item x="2315"/>
        <item x="5048"/>
        <item x="5954"/>
        <item x="2625"/>
        <item x="2107"/>
        <item x="5465"/>
        <item x="5039"/>
        <item x="2778"/>
        <item x="3912"/>
        <item x="5885"/>
        <item x="2632"/>
        <item x="6243"/>
        <item x="3731"/>
        <item x="3031"/>
        <item x="2487"/>
        <item x="3939"/>
        <item x="2878"/>
        <item x="2482"/>
        <item x="1281"/>
        <item x="646"/>
        <item x="3093"/>
        <item x="1979"/>
        <item x="1245"/>
        <item x="906"/>
        <item x="87"/>
        <item x="3010"/>
        <item x="3252"/>
        <item x="1107"/>
        <item x="5482"/>
        <item x="5843"/>
        <item x="2081"/>
        <item x="4902"/>
        <item x="4525"/>
        <item x="2922"/>
        <item x="3824"/>
        <item x="1048"/>
        <item x="4445"/>
        <item x="2457"/>
        <item x="655"/>
        <item x="6091"/>
        <item x="2013"/>
        <item x="949"/>
        <item x="3925"/>
        <item x="344"/>
        <item x="5596"/>
        <item x="33"/>
        <item x="657"/>
        <item x="3587"/>
        <item x="2609"/>
        <item x="1246"/>
        <item x="3060"/>
        <item x="5640"/>
        <item x="2827"/>
        <item x="325"/>
        <item x="3260"/>
        <item x="3032"/>
        <item x="1163"/>
        <item x="437"/>
        <item x="735"/>
        <item x="933"/>
        <item x="1980"/>
        <item x="5254"/>
        <item x="3027"/>
        <item x="4310"/>
        <item x="5027"/>
        <item x="675"/>
        <item x="664"/>
        <item x="3223"/>
        <item x="5105"/>
        <item x="4434"/>
        <item x="1280"/>
        <item x="2660"/>
        <item x="5121"/>
        <item x="4842"/>
        <item x="1388"/>
        <item x="2727"/>
        <item x="1103"/>
        <item x="2400"/>
        <item x="5229"/>
        <item x="3726"/>
        <item x="4579"/>
        <item x="153"/>
        <item x="3469"/>
        <item x="5007"/>
        <item x="2295"/>
        <item x="2226"/>
        <item x="5654"/>
        <item x="3069"/>
        <item x="6172"/>
        <item x="5915"/>
        <item x="1996"/>
        <item x="20"/>
        <item x="2433"/>
        <item x="4963"/>
        <item x="3559"/>
        <item x="1941"/>
        <item x="190"/>
        <item x="6221"/>
        <item x="2287"/>
        <item x="3284"/>
        <item x="4769"/>
        <item x="1596"/>
        <item x="4903"/>
        <item x="1744"/>
        <item x="5257"/>
        <item x="1179"/>
        <item x="1892"/>
        <item x="4583"/>
        <item x="6194"/>
        <item x="186"/>
        <item x="4779"/>
        <item x="5500"/>
        <item x="5315"/>
        <item x="599"/>
        <item x="3809"/>
        <item x="61"/>
        <item x="4363"/>
        <item x="1629"/>
        <item x="5019"/>
        <item x="3362"/>
        <item x="5429"/>
        <item x="1869"/>
        <item x="5567"/>
        <item x="1316"/>
        <item x="3225"/>
        <item x="1275"/>
        <item x="4007"/>
        <item x="1953"/>
        <item x="3255"/>
        <item x="5219"/>
        <item x="2687"/>
        <item x="2095"/>
        <item x="2127"/>
        <item x="2515"/>
        <item x="1385"/>
        <item x="2961"/>
        <item x="2111"/>
        <item x="3193"/>
        <item x="4175"/>
        <item x="3655"/>
        <item x="2642"/>
        <item x="4849"/>
        <item x="5857"/>
        <item x="3455"/>
        <item x="2760"/>
        <item x="3332"/>
        <item x="2650"/>
        <item x="3564"/>
        <item x="4867"/>
        <item x="1513"/>
        <item x="4645"/>
        <item x="4335"/>
        <item x="175"/>
        <item x="4377"/>
        <item x="850"/>
        <item x="3490"/>
        <item x="2331"/>
        <item x="6090"/>
        <item x="2195"/>
        <item x="3940"/>
        <item x="3727"/>
        <item x="2421"/>
        <item x="126"/>
        <item x="662"/>
        <item x="739"/>
        <item x="3249"/>
        <item x="5826"/>
        <item x="2476"/>
        <item x="3834"/>
        <item x="3050"/>
        <item x="4482"/>
        <item x="5472"/>
        <item x="245"/>
        <item x="5741"/>
        <item x="5600"/>
        <item x="1933"/>
        <item x="3729"/>
        <item x="4084"/>
        <item x="2495"/>
        <item x="5284"/>
        <item x="2908"/>
        <item x="1935"/>
        <item x="3928"/>
        <item x="1971"/>
        <item x="5475"/>
        <item x="31"/>
        <item x="3568"/>
        <item x="770"/>
        <item x="1360"/>
        <item x="1832"/>
        <item x="4334"/>
        <item x="4987"/>
        <item x="3122"/>
        <item x="1025"/>
        <item x="5245"/>
        <item x="4846"/>
        <item x="4713"/>
        <item x="4161"/>
        <item x="1632"/>
        <item x="5244"/>
        <item x="1021"/>
        <item x="1090"/>
        <item x="2611"/>
        <item x="2064"/>
        <item x="5611"/>
        <item x="1702"/>
        <item x="353"/>
        <item x="3453"/>
        <item x="3205"/>
        <item x="2782"/>
        <item x="3732"/>
        <item x="2469"/>
        <item x="5214"/>
        <item x="3682"/>
        <item x="3997"/>
        <item x="3951"/>
        <item x="3630"/>
        <item x="1288"/>
        <item x="973"/>
        <item x="5544"/>
        <item x="2057"/>
        <item x="1533"/>
        <item x="1210"/>
        <item x="5303"/>
        <item x="4099"/>
        <item x="5442"/>
        <item x="3406"/>
        <item x="2617"/>
        <item x="931"/>
        <item x="1382"/>
        <item x="5261"/>
        <item x="5167"/>
        <item x="5180"/>
        <item x="181"/>
        <item x="2818"/>
        <item x="5977"/>
        <item x="1074"/>
        <item x="6085"/>
        <item x="2020"/>
        <item x="5996"/>
        <item x="333"/>
        <item x="1265"/>
        <item x="65"/>
        <item x="4056"/>
        <item x="3044"/>
        <item x="1915"/>
        <item x="3745"/>
        <item x="4910"/>
        <item x="4545"/>
        <item x="3695"/>
        <item x="2879"/>
        <item x="4611"/>
        <item x="4176"/>
        <item x="805"/>
        <item x="4201"/>
        <item x="2463"/>
        <item x="2718"/>
        <item x="4708"/>
        <item x="127"/>
        <item x="5184"/>
        <item x="988"/>
        <item x="668"/>
        <item x="3195"/>
        <item x="2393"/>
        <item x="5072"/>
        <item x="682"/>
        <item x="3337"/>
        <item x="3473"/>
        <item x="5116"/>
        <item x="721"/>
        <item x="4204"/>
        <item x="6048"/>
        <item x="780"/>
        <item x="145"/>
        <item x="69"/>
        <item x="5820"/>
        <item x="4521"/>
        <item x="4034"/>
        <item x="4711"/>
        <item x="791"/>
        <item x="2656"/>
        <item x="2322"/>
        <item x="1660"/>
        <item x="4140"/>
        <item x="1822"/>
        <item x="2496"/>
        <item x="1955"/>
        <item x="287"/>
        <item x="2332"/>
        <item x="1077"/>
        <item x="1975"/>
        <item x="3602"/>
        <item x="5677"/>
        <item x="3331"/>
        <item x="743"/>
        <item x="624"/>
        <item x="4696"/>
        <item x="2518"/>
        <item x="5016"/>
        <item x="4922"/>
        <item x="2985"/>
        <item x="6166"/>
        <item x="4246"/>
        <item x="6200"/>
        <item x="3882"/>
        <item x="1756"/>
        <item x="4305"/>
        <item x="4764"/>
        <item x="3668"/>
        <item x="4116"/>
        <item x="1751"/>
        <item x="3303"/>
        <item x="3828"/>
        <item x="4685"/>
        <item x="5155"/>
        <item x="6054"/>
        <item x="375"/>
        <item x="6197"/>
        <item x="709"/>
        <item x="5193"/>
        <item x="1054"/>
        <item x="4953"/>
        <item x="4405"/>
        <item x="4701"/>
        <item x="3593"/>
        <item x="4734"/>
        <item x="4134"/>
        <item x="4714"/>
        <item x="2488"/>
        <item x="5807"/>
        <item x="273"/>
        <item x="2594"/>
        <item x="4357"/>
        <item x="2456"/>
        <item x="598"/>
        <item x="5094"/>
        <item x="1865"/>
        <item x="638"/>
        <item x="4094"/>
        <item x="4613"/>
        <item x="5754"/>
        <item x="6130"/>
        <item x="2246"/>
        <item x="1537"/>
        <item x="1998"/>
        <item x="383"/>
        <item x="496"/>
        <item x="1371"/>
        <item x="3312"/>
        <item x="3372"/>
        <item x="3901"/>
        <item x="2621"/>
        <item x="5592"/>
        <item x="5253"/>
        <item x="4520"/>
        <item x="911"/>
        <item x="1716"/>
        <item x="2610"/>
        <item x="2836"/>
        <item x="5914"/>
        <item x="1774"/>
        <item x="5045"/>
        <item x="5972"/>
        <item x="5617"/>
        <item x="854"/>
        <item x="5400"/>
        <item x="4421"/>
        <item x="621"/>
        <item x="1856"/>
        <item x="934"/>
        <item x="1200"/>
        <item x="3431"/>
        <item x="2363"/>
        <item x="2965"/>
        <item x="1252"/>
        <item x="2979"/>
        <item x="5447"/>
        <item x="5602"/>
        <item x="5059"/>
        <item x="3853"/>
        <item x="5965"/>
        <item x="2280"/>
        <item x="4947"/>
        <item x="5556"/>
        <item x="3578"/>
        <item x="4447"/>
        <item x="5477"/>
        <item x="3725"/>
        <item x="2146"/>
        <item x="2783"/>
        <item x="1601"/>
        <item x="5232"/>
        <item x="5847"/>
        <item x="2274"/>
        <item x="3956"/>
        <item x="3297"/>
        <item x="2040"/>
        <item x="5127"/>
        <item x="2703"/>
        <item x="2970"/>
        <item x="5296"/>
        <item x="4665"/>
        <item x="4154"/>
        <item x="5300"/>
        <item x="3064"/>
        <item x="5751"/>
        <item x="4392"/>
        <item x="3781"/>
        <item x="2192"/>
        <item x="363"/>
        <item x="3221"/>
        <item x="2444"/>
        <item x="5122"/>
        <item x="3784"/>
        <item x="1572"/>
        <item x="4238"/>
        <item x="2222"/>
        <item x="1032"/>
        <item x="3765"/>
        <item x="3422"/>
        <item x="4365"/>
        <item x="3795"/>
        <item x="1414"/>
        <item x="3481"/>
        <item x="5228"/>
        <item x="138"/>
        <item x="5644"/>
        <item x="2262"/>
        <item x="981"/>
        <item x="2852"/>
        <item x="1952"/>
        <item x="3160"/>
        <item x="2644"/>
        <item x="4170"/>
        <item x="2048"/>
        <item x="4471"/>
        <item x="1503"/>
        <item x="23"/>
        <item x="3274"/>
        <item x="1780"/>
        <item x="6071"/>
        <item x="1983"/>
        <item x="385"/>
        <item x="3900"/>
        <item x="222"/>
        <item x="3049"/>
        <item x="5575"/>
        <item x="5981"/>
        <item x="1333"/>
        <item x="1597"/>
        <item x="4249"/>
        <item x="3872"/>
        <item x="2570"/>
        <item x="5615"/>
        <item x="487"/>
        <item x="1374"/>
        <item x="841"/>
        <item x="5810"/>
        <item x="5963"/>
        <item x="4807"/>
        <item x="5385"/>
        <item x="4091"/>
        <item x="1687"/>
        <item x="1922"/>
        <item x="2924"/>
        <item x="5496"/>
        <item x="485"/>
        <item x="3826"/>
        <item x="2439"/>
        <item x="4958"/>
        <item x="634"/>
        <item x="3844"/>
        <item x="248"/>
        <item x="1278"/>
        <item x="1624"/>
        <item x="3316"/>
        <item x="3090"/>
        <item x="5194"/>
        <item x="2563"/>
        <item x="1634"/>
        <item x="1704"/>
        <item x="2920"/>
        <item x="2671"/>
        <item x="5017"/>
        <item x="5411"/>
        <item x="4939"/>
        <item x="2351"/>
        <item x="4593"/>
        <item x="2132"/>
        <item x="442"/>
        <item x="3145"/>
        <item x="660"/>
        <item x="2755"/>
        <item x="4182"/>
        <item x="4380"/>
        <item x="1468"/>
        <item x="1638"/>
        <item x="3528"/>
        <item x="1720"/>
        <item x="6139"/>
        <item x="2191"/>
        <item x="956"/>
        <item x="4121"/>
        <item x="1815"/>
        <item x="2104"/>
        <item x="2560"/>
        <item x="1056"/>
        <item x="4507"/>
        <item x="3484"/>
        <item x="1973"/>
        <item x="2793"/>
        <item x="4820"/>
        <item x="2962"/>
        <item x="1754"/>
        <item x="3440"/>
        <item x="1306"/>
        <item x="3063"/>
        <item x="5234"/>
        <item x="4312"/>
        <item x="2785"/>
        <item x="5366"/>
        <item x="2210"/>
        <item x="3702"/>
        <item x="4948"/>
        <item x="350"/>
        <item x="4119"/>
        <item x="4078"/>
        <item x="2167"/>
        <item x="331"/>
        <item x="1906"/>
        <item x="3368"/>
        <item x="4575"/>
        <item x="1080"/>
        <item x="5646"/>
        <item x="3135"/>
        <item x="2072"/>
        <item x="3011"/>
        <item x="4469"/>
        <item x="2649"/>
        <item x="4980"/>
        <item x="2907"/>
        <item x="3174"/>
        <item x="5462"/>
        <item x="3789"/>
        <item x="4360"/>
        <item x="5338"/>
        <item x="6037"/>
        <item x="4101"/>
        <item x="5679"/>
        <item x="4339"/>
        <item x="3930"/>
        <item x="5994"/>
        <item x="5063"/>
        <item x="1750"/>
        <item x="2986"/>
        <item x="2430"/>
        <item x="2032"/>
        <item x="5161"/>
        <item x="2781"/>
        <item x="1740"/>
        <item x="56"/>
        <item x="4114"/>
        <item x="2250"/>
        <item x="5844"/>
        <item x="223"/>
        <item x="1431"/>
        <item x="4080"/>
        <item x="2736"/>
        <item x="5944"/>
        <item x="2824"/>
        <item x="2184"/>
        <item x="5912"/>
        <item x="1424"/>
        <item x="556"/>
        <item x="3056"/>
        <item x="2206"/>
        <item x="5068"/>
        <item x="360"/>
        <item x="5745"/>
        <item x="1000"/>
        <item x="3130"/>
        <item x="2909"/>
        <item x="2298"/>
        <item x="3959"/>
        <item x="5822"/>
        <item x="6035"/>
        <item x="2876"/>
        <item x="5148"/>
        <item x="3263"/>
        <item x="4516"/>
        <item x="5046"/>
        <item x="2063"/>
        <item x="34"/>
        <item x="3895"/>
        <item x="5984"/>
        <item x="658"/>
        <item x="5895"/>
        <item x="5301"/>
        <item x="408"/>
        <item x="4394"/>
        <item x="4941"/>
        <item x="3215"/>
        <item x="4207"/>
        <item x="2997"/>
        <item x="2405"/>
        <item x="6044"/>
        <item x="2867"/>
        <item x="1218"/>
        <item x="5222"/>
        <item x="1112"/>
        <item x="1651"/>
        <item x="957"/>
        <item x="3870"/>
        <item x="910"/>
        <item x="3493"/>
        <item x="5350"/>
        <item x="311"/>
        <item x="2367"/>
        <item x="2927"/>
        <item x="5917"/>
        <item x="5427"/>
        <item x="3441"/>
        <item x="6084"/>
        <item x="3935"/>
        <item x="420"/>
        <item x="3984"/>
        <item x="2936"/>
        <item x="5733"/>
        <item x="200"/>
        <item x="1456"/>
        <item x="2348"/>
        <item x="884"/>
        <item x="3113"/>
        <item x="5862"/>
        <item x="4680"/>
        <item x="5837"/>
        <item x="4015"/>
        <item x="1842"/>
        <item x="1670"/>
        <item x="1949"/>
        <item x="762"/>
        <item x="4626"/>
        <item x="4796"/>
        <item x="513"/>
        <item x="37"/>
        <item x="1840"/>
        <item x="4486"/>
        <item x="5979"/>
        <item x="5018"/>
        <item x="4348"/>
        <item x="1244"/>
        <item x="1279"/>
        <item x="4772"/>
        <item x="5265"/>
        <item x="300"/>
        <item x="369"/>
        <item x="5888"/>
        <item x="339"/>
        <item x="1030"/>
        <item x="2714"/>
        <item x="5216"/>
        <item x="6138"/>
        <item x="373"/>
        <item x="5950"/>
        <item x="5943"/>
        <item x="2635"/>
        <item x="425"/>
        <item x="1345"/>
        <item x="1590"/>
        <item x="3547"/>
        <item x="1970"/>
        <item x="1386"/>
        <item x="1397"/>
        <item x="2045"/>
        <item x="1852"/>
        <item x="904"/>
        <item x="2717"/>
        <item x="3120"/>
        <item x="4275"/>
        <item x="243"/>
        <item x="5414"/>
        <item x="1067"/>
        <item x="5132"/>
        <item x="4136"/>
        <item x="292"/>
        <item x="5710"/>
        <item x="2682"/>
        <item x="5939"/>
        <item x="5633"/>
        <item x="1905"/>
        <item x="1304"/>
        <item x="6011"/>
        <item x="2539"/>
        <item x="2441"/>
        <item x="1532"/>
        <item x="221"/>
        <item x="4018"/>
        <item x="623"/>
        <item x="1741"/>
        <item x="5343"/>
        <item x="4719"/>
        <item x="2375"/>
        <item x="4436"/>
        <item x="2896"/>
        <item x="5175"/>
        <item x="4108"/>
        <item x="5748"/>
        <item x="944"/>
        <item x="1092"/>
        <item x="5483"/>
        <item x="2059"/>
        <item x="272"/>
        <item x="4115"/>
        <item x="1049"/>
        <item x="5711"/>
        <item x="3856"/>
        <item x="1888"/>
        <item x="3606"/>
        <item x="5605"/>
        <item x="6039"/>
        <item x="1039"/>
        <item x="552"/>
        <item x="3987"/>
        <item x="882"/>
        <item x="733"/>
        <item x="3299"/>
        <item x="2767"/>
        <item x="6135"/>
        <item x="6251"/>
        <item x="3327"/>
        <item x="3955"/>
        <item x="1101"/>
        <item x="3489"/>
        <item x="4513"/>
        <item x="618"/>
        <item x="4370"/>
        <item x="3892"/>
        <item x="3196"/>
        <item x="4480"/>
        <item x="2207"/>
        <item x="4763"/>
        <item x="936"/>
        <item x="1422"/>
        <item x="3415"/>
        <item x="4379"/>
        <item x="3092"/>
        <item x="2196"/>
        <item x="626"/>
        <item x="3536"/>
        <item x="474"/>
        <item x="1171"/>
        <item x="1652"/>
        <item x="6067"/>
        <item x="2957"/>
        <item x="1535"/>
        <item x="4186"/>
        <item x="432"/>
        <item x="4919"/>
        <item x="5987"/>
        <item x="1095"/>
        <item x="2987"/>
        <item x="2157"/>
        <item x="1800"/>
        <item x="5797"/>
        <item x="2088"/>
        <item x="5084"/>
        <item x="4082"/>
        <item x="5432"/>
        <item x="2079"/>
        <item x="2743"/>
        <item x="137"/>
        <item x="3346"/>
        <item x="873"/>
        <item x="1699"/>
        <item x="2849"/>
        <item x="5559"/>
        <item x="2899"/>
        <item x="6030"/>
        <item x="4864"/>
        <item x="2944"/>
        <item x="4106"/>
        <item x="5233"/>
        <item x="5456"/>
        <item x="6113"/>
        <item x="965"/>
        <item x="5401"/>
        <item x="710"/>
        <item x="2208"/>
        <item x="4957"/>
        <item x="950"/>
        <item x="4803"/>
        <item x="858"/>
        <item x="1238"/>
        <item x="4451"/>
        <item x="2325"/>
        <item x="3519"/>
        <item x="4686"/>
        <item x="5085"/>
        <item x="5906"/>
        <item x="690"/>
        <item x="2034"/>
        <item x="3034"/>
        <item x="4181"/>
        <item x="891"/>
        <item x="4755"/>
        <item x="1300"/>
        <item x="4884"/>
        <item x="810"/>
        <item x="671"/>
        <item x="5623"/>
        <item x="4562"/>
        <item x="4946"/>
        <item x="1311"/>
        <item x="6225"/>
        <item x="1461"/>
        <item x="2121"/>
        <item x="4936"/>
        <item x="5863"/>
        <item x="3541"/>
        <item x="990"/>
        <item x="5250"/>
        <item x="4410"/>
        <item x="5316"/>
        <item x="5210"/>
        <item x="4177"/>
        <item x="822"/>
        <item x="155"/>
        <item x="1047"/>
        <item x="413"/>
        <item x="2254"/>
        <item x="3667"/>
        <item x="3517"/>
        <item x="5971"/>
        <item x="1881"/>
        <item x="3013"/>
        <item x="605"/>
        <item x="1240"/>
        <item x="4006"/>
        <item x="4481"/>
        <item x="4035"/>
        <item x="1753"/>
        <item x="611"/>
        <item x="5969"/>
        <item x="793"/>
        <item x="902"/>
        <item x="1099"/>
        <item x="6059"/>
        <item x="2418"/>
        <item x="1215"/>
        <item x="2921"/>
        <item x="1343"/>
        <item x="3756"/>
        <item x="4628"/>
        <item x="827"/>
        <item x="5043"/>
        <item x="5509"/>
        <item x="3261"/>
        <item x="1432"/>
        <item x="1105"/>
        <item x="2039"/>
        <item x="1541"/>
        <item x="1658"/>
        <item x="323"/>
        <item x="5398"/>
        <item x="250"/>
        <item x="727"/>
        <item x="2669"/>
        <item x="2586"/>
        <item x="1327"/>
        <item x="6219"/>
        <item x="5389"/>
        <item x="799"/>
        <item x="2379"/>
        <item x="759"/>
        <item x="1044"/>
        <item x="4341"/>
        <item x="533"/>
        <item x="1932"/>
        <item x="1114"/>
        <item x="2928"/>
        <item x="5758"/>
        <item x="48"/>
        <item x="5147"/>
        <item x="1211"/>
        <item x="569"/>
        <item x="2664"/>
        <item x="2951"/>
        <item x="667"/>
        <item x="3679"/>
        <item x="3780"/>
        <item x="3919"/>
        <item x="5160"/>
        <item x="4874"/>
        <item x="3162"/>
        <item x="3179"/>
        <item x="4974"/>
        <item x="3719"/>
        <item x="4209"/>
        <item x="5591"/>
        <item x="1499"/>
        <item x="5041"/>
        <item x="5798"/>
        <item x="1877"/>
        <item x="6117"/>
        <item x="5541"/>
        <item x="2053"/>
        <item x="5676"/>
        <item x="5382"/>
        <item x="3932"/>
        <item x="5698"/>
        <item x="744"/>
        <item x="4453"/>
        <item x="399"/>
        <item x="5182"/>
        <item x="1295"/>
        <item x="820"/>
        <item x="6192"/>
        <item x="4409"/>
        <item x="5726"/>
        <item x="295"/>
        <item x="6066"/>
        <item x="5829"/>
        <item x="6053"/>
        <item x="2153"/>
        <item x="1255"/>
        <item x="2130"/>
        <item x="1469"/>
        <item x="4252"/>
        <item x="4607"/>
        <item x="4385"/>
        <item x="1917"/>
        <item x="5789"/>
        <item x="3275"/>
        <item x="3325"/>
        <item x="1247"/>
        <item x="5742"/>
        <item x="937"/>
        <item x="5088"/>
        <item x="763"/>
        <item x="234"/>
        <item x="2737"/>
        <item x="4692"/>
        <item x="1058"/>
        <item x="92"/>
        <item x="4414"/>
        <item x="596"/>
        <item x="3851"/>
        <item x="2296"/>
        <item x="2329"/>
        <item x="1677"/>
        <item x="182"/>
        <item x="4909"/>
        <item x="348"/>
        <item x="471"/>
        <item x="6212"/>
        <item x="1018"/>
        <item x="5694"/>
        <item x="3451"/>
        <item x="1827"/>
        <item x="883"/>
        <item x="4993"/>
        <item x="630"/>
        <item x="1355"/>
        <item x="1396"/>
        <item x="111"/>
        <item x="4315"/>
        <item x="1155"/>
        <item x="4164"/>
        <item x="4038"/>
        <item x="5260"/>
        <item x="1170"/>
        <item x="3754"/>
        <item x="5399"/>
        <item x="1052"/>
        <item x="3222"/>
        <item x="4222"/>
        <item x="3945"/>
        <item x="2950"/>
        <item x="876"/>
        <item x="5681"/>
        <item x="6017"/>
        <item x="497"/>
        <item x="6217"/>
        <item x="1936"/>
        <item x="4758"/>
        <item x="4284"/>
        <item x="3855"/>
        <item x="3976"/>
        <item x="417"/>
        <item x="4337"/>
        <item x="4168"/>
        <item x="5220"/>
        <item x="4299"/>
        <item x="2432"/>
        <item x="785"/>
        <item x="1517"/>
        <item x="5508"/>
        <item x="1173"/>
        <item x="4524"/>
        <item x="1263"/>
        <item x="158"/>
        <item x="3085"/>
        <item x="5211"/>
        <item x="917"/>
        <item x="6207"/>
        <item x="2258"/>
        <item x="4659"/>
        <item x="2732"/>
        <item x="1487"/>
        <item x="2826"/>
        <item x="4009"/>
        <item x="4644"/>
        <item x="1539"/>
        <item x="4932"/>
        <item x="4095"/>
        <item x="4851"/>
        <item x="6051"/>
        <item x="5151"/>
        <item x="1728"/>
        <item x="4992"/>
        <item x="4749"/>
        <item x="3014"/>
        <item x="2484"/>
        <item x="5952"/>
        <item x="4862"/>
        <item x="493"/>
        <item x="1051"/>
        <item x="1552"/>
        <item x="5368"/>
        <item x="62"/>
        <item x="6216"/>
        <item x="3706"/>
        <item x="3975"/>
        <item x="1791"/>
        <item x="3476"/>
        <item x="5907"/>
        <item x="3957"/>
        <item x="1613"/>
        <item x="3416"/>
        <item x="3980"/>
        <item x="277"/>
        <item x="5140"/>
        <item x="3904"/>
        <item x="5832"/>
        <item x="6247"/>
        <item x="3286"/>
        <item x="1561"/>
        <item x="5309"/>
        <item x="680"/>
        <item x="5980"/>
        <item x="2571"/>
        <item x="5402"/>
        <item x="1972"/>
        <item x="1089"/>
        <item x="1314"/>
        <item x="1285"/>
        <item x="1270"/>
        <item x="4185"/>
        <item x="4049"/>
        <item x="4211"/>
        <item x="431"/>
        <item x="5023"/>
        <item x="4037"/>
        <item x="1001"/>
        <item x="3981"/>
        <item x="5142"/>
        <item x="2915"/>
        <item x="3877"/>
        <item x="1199"/>
        <item x="2269"/>
        <item x="4830"/>
        <item x="4815"/>
        <item x="5015"/>
        <item x="2306"/>
        <item x="2686"/>
        <item x="1930"/>
        <item x="4776"/>
        <item x="1028"/>
        <item x="2187"/>
        <item x="773"/>
        <item x="1628"/>
        <item x="1784"/>
        <item x="5376"/>
        <item x="588"/>
        <item x="3531"/>
        <item x="1739"/>
        <item x="2535"/>
        <item x="2864"/>
        <item x="3673"/>
        <item x="5387"/>
        <item x="1963"/>
        <item x="5588"/>
        <item x="4988"/>
        <item x="4230"/>
        <item x="1347"/>
        <item x="5125"/>
        <item x="438"/>
        <item x="5749"/>
        <item x="2499"/>
        <item x="3739"/>
        <item x="3885"/>
        <item x="908"/>
        <item x="3003"/>
        <item x="5886"/>
        <item x="2276"/>
        <item x="806"/>
        <item x="6177"/>
        <item x="1752"/>
        <item x="3047"/>
        <item x="5700"/>
        <item x="823"/>
        <item x="3508"/>
        <item x="2846"/>
        <item x="2739"/>
        <item x="6210"/>
        <item x="1923"/>
        <item x="694"/>
        <item x="217"/>
        <item x="3908"/>
        <item x="1603"/>
        <item x="2024"/>
        <item x="3810"/>
        <item x="1145"/>
        <item x="4340"/>
        <item x="1440"/>
        <item x="231"/>
        <item x="4467"/>
        <item x="3231"/>
        <item x="979"/>
        <item x="3258"/>
        <item x="3191"/>
        <item x="5217"/>
        <item x="5473"/>
        <item x="49"/>
        <item x="4912"/>
        <item x="2945"/>
        <item x="1968"/>
        <item x="2995"/>
        <item x="285"/>
        <item x="5294"/>
        <item x="3350"/>
        <item x="872"/>
        <item x="725"/>
        <item x="3424"/>
        <item x="5768"/>
        <item x="2842"/>
        <item x="2176"/>
        <item x="3232"/>
        <item x="3243"/>
        <item x="3287"/>
        <item x="828"/>
        <item x="1805"/>
        <item x="5006"/>
        <item x="453"/>
        <item x="3891"/>
        <item x="2328"/>
        <item x="297"/>
        <item x="4773"/>
        <item x="176"/>
        <item x="4192"/>
        <item x="3343"/>
        <item x="115"/>
        <item x="454"/>
        <item x="1581"/>
        <item x="143"/>
        <item x="1910"/>
        <item x="270"/>
        <item x="306"/>
        <item x="5819"/>
        <item x="2131"/>
        <item x="3051"/>
        <item x="2889"/>
        <item x="3712"/>
        <item x="4349"/>
        <item x="5561"/>
        <item x="5178"/>
        <item x="1373"/>
        <item x="1297"/>
        <item x="3720"/>
        <item x="2630"/>
        <item x="1834"/>
        <item x="4806"/>
        <item x="962"/>
        <item x="1623"/>
        <item x="4382"/>
        <item x="5520"/>
        <item x="1267"/>
        <item x="5154"/>
        <item x="697"/>
        <item x="3363"/>
        <item x="2265"/>
        <item x="2342"/>
        <item x="4070"/>
        <item x="491"/>
        <item x="3364"/>
        <item x="3470"/>
        <item x="1188"/>
        <item x="2490"/>
        <item x="144"/>
        <item x="518"/>
        <item x="2639"/>
        <item x="4783"/>
        <item x="3324"/>
        <item x="6150"/>
        <item x="5415"/>
        <item x="2999"/>
        <item x="4384"/>
        <item x="1253"/>
        <item x="4122"/>
        <item x="4801"/>
        <item x="95"/>
        <item x="609"/>
        <item x="1445"/>
        <item x="4353"/>
        <item x="479"/>
        <item x="6206"/>
        <item x="1570"/>
        <item x="1344"/>
        <item x="232"/>
        <item x="1637"/>
        <item x="3916"/>
        <item x="74"/>
        <item x="1631"/>
        <item x="1951"/>
        <item x="2330"/>
        <item x="2200"/>
        <item x="1334"/>
        <item x="293"/>
        <item x="3869"/>
        <item x="4"/>
        <item x="2709"/>
        <item x="3397"/>
        <item x="4123"/>
        <item x="1883"/>
        <item x="2530"/>
        <item x="3339"/>
        <item x="4143"/>
        <item x="4797"/>
        <item x="4641"/>
        <item x="3080"/>
        <item x="1925"/>
        <item x="5171"/>
        <item x="1053"/>
        <item x="1536"/>
        <item x="2706"/>
        <item x="4225"/>
        <item x="2811"/>
        <item x="685"/>
        <item x="3868"/>
        <item x="2458"/>
        <item x="2429"/>
        <item x="1574"/>
        <item x="1098"/>
        <item x="4178"/>
        <item x="6186"/>
        <item x="5658"/>
        <item x="1260"/>
        <item x="3333"/>
        <item x="5251"/>
        <item x="4490"/>
        <item x="2009"/>
        <item x="2506"/>
        <item x="3793"/>
        <item x="6179"/>
        <item x="1391"/>
        <item x="4216"/>
        <item x="5877"/>
        <item x="6060"/>
        <item x="4193"/>
        <item x="5582"/>
        <item x="2128"/>
        <item x="5746"/>
        <item x="4383"/>
        <item x="1356"/>
        <item x="3636"/>
        <item x="1839"/>
        <item x="4398"/>
        <item x="6165"/>
        <item x="4825"/>
        <item x="3585"/>
        <item x="587"/>
        <item x="4802"/>
        <item x="1582"/>
        <item x="4808"/>
        <item x="3806"/>
        <item x="3887"/>
        <item x="5104"/>
        <item x="1152"/>
        <item x="1142"/>
        <item x="3078"/>
        <item x="4873"/>
        <item x="1193"/>
        <item x="2284"/>
        <item x="2182"/>
        <item x="951"/>
        <item x="562"/>
        <item x="6218"/>
        <item x="5443"/>
        <item x="2556"/>
        <item x="2470"/>
        <item x="3384"/>
        <item x="5522"/>
        <item x="5444"/>
        <item x="1806"/>
        <item x="3966"/>
        <item x="1929"/>
        <item x="1219"/>
        <item x="404"/>
        <item x="2397"/>
        <item x="2550"/>
        <item x="5457"/>
        <item x="5370"/>
        <item x="3374"/>
        <item x="1508"/>
        <item x="5671"/>
        <item x="6136"/>
        <item x="899"/>
        <item x="6156"/>
        <item x="5790"/>
        <item x="2481"/>
        <item x="4376"/>
        <item x="3018"/>
        <item x="3513"/>
        <item x="4437"/>
        <item x="2264"/>
        <item x="1094"/>
        <item x="6012"/>
        <item x="2434"/>
        <item x="5031"/>
        <item x="4281"/>
        <item x="3417"/>
        <item x="5648"/>
        <item x="1339"/>
        <item x="5097"/>
        <item x="5087"/>
        <item x="771"/>
        <item x="6205"/>
        <item x="2947"/>
        <item x="4180"/>
        <item x="693"/>
        <item x="1757"/>
        <item x="2977"/>
        <item x="4208"/>
        <item x="5061"/>
        <item x="2056"/>
        <item x="3039"/>
        <item x="4897"/>
        <item x="107"/>
        <item x="5071"/>
        <item x="3115"/>
        <item x="776"/>
        <item x="2422"/>
        <item x="4813"/>
        <item x="4104"/>
        <item x="4742"/>
        <item x="5197"/>
        <item x="4005"/>
        <item x="3584"/>
        <item x="2555"/>
        <item x="2691"/>
        <item x="2684"/>
        <item x="3164"/>
        <item x="920"/>
        <item x="861"/>
        <item x="2964"/>
        <item x="3183"/>
        <item x="5426"/>
        <item x="1224"/>
        <item x="361"/>
        <item x="1124"/>
        <item x="816"/>
        <item x="860"/>
        <item x="4934"/>
        <item x="4302"/>
        <item x="3836"/>
        <item x="4671"/>
        <item x="4306"/>
        <item x="3288"/>
        <item x="4653"/>
        <item x="4528"/>
        <item x="3575"/>
        <item x="963"/>
        <item x="5661"/>
        <item x="4024"/>
        <item x="3833"/>
        <item x="109"/>
        <item x="939"/>
        <item x="3557"/>
        <item x="895"/>
        <item x="42"/>
        <item x="3529"/>
        <item x="5101"/>
        <item x="4620"/>
        <item x="2558"/>
        <item x="426"/>
        <item x="1364"/>
        <item x="993"/>
        <item x="4612"/>
        <item x="1191"/>
        <item x="3485"/>
        <item x="4577"/>
        <item x="2141"/>
        <item x="1148"/>
        <item x="2562"/>
        <item x="4307"/>
        <item x="6238"/>
        <item x="4191"/>
        <item x="2384"/>
        <item x="5052"/>
        <item x="356"/>
        <item x="4774"/>
        <item x="4739"/>
        <item x="1342"/>
        <item x="5682"/>
        <item x="6049"/>
        <item x="2186"/>
        <item x="210"/>
        <item x="4313"/>
        <item x="133"/>
        <item x="4446"/>
        <item x="5001"/>
        <item x="3874"/>
        <item x="2910"/>
        <item x="2861"/>
        <item x="1476"/>
        <item x="5545"/>
        <item x="6077"/>
        <item x="457"/>
        <item x="2750"/>
        <item x="2371"/>
        <item x="6097"/>
        <item x="1887"/>
        <item x="2261"/>
        <item x="2666"/>
        <item x="5078"/>
        <item x="3247"/>
        <item x="1034"/>
        <item x="5181"/>
        <item x="506"/>
        <item x="358"/>
        <item x="229"/>
        <item x="1239"/>
        <item x="2346"/>
        <item x="6070"/>
        <item x="2906"/>
        <item x="4532"/>
        <item x="5098"/>
        <item x="1008"/>
        <item x="1467"/>
        <item x="4951"/>
        <item x="1924"/>
        <item x="3595"/>
        <item x="5404"/>
        <item x="183"/>
        <item x="43"/>
        <item x="5344"/>
        <item x="5497"/>
        <item x="1641"/>
        <item x="5869"/>
        <item x="1749"/>
        <item x="2029"/>
        <item x="2390"/>
        <item x="284"/>
        <item x="5152"/>
        <item x="4171"/>
        <item x="17"/>
        <item x="5909"/>
        <item x="3041"/>
        <item x="2036"/>
        <item x="2116"/>
        <item x="1732"/>
        <item x="1874"/>
        <item x="5096"/>
        <item x="4264"/>
        <item x="3609"/>
        <item x="2181"/>
        <item x="1520"/>
        <item x="4478"/>
        <item x="5882"/>
        <item x="4542"/>
        <item x="2716"/>
        <item x="2823"/>
        <item x="3830"/>
        <item x="1387"/>
        <item x="815"/>
        <item x="1957"/>
        <item x="1084"/>
        <item x="6236"/>
        <item x="5804"/>
        <item x="2307"/>
        <item x="1510"/>
        <item x="3540"/>
        <item x="659"/>
        <item x="4167"/>
        <item x="3950"/>
        <item x="4145"/>
        <item x="2102"/>
        <item x="3131"/>
        <item x="400"/>
        <item x="3101"/>
        <item x="4555"/>
        <item x="4587"/>
        <item x="4309"/>
        <item x="5102"/>
        <item x="1494"/>
        <item x="4929"/>
        <item x="4584"/>
        <item x="407"/>
        <item x="3226"/>
        <item x="987"/>
        <item x="2683"/>
        <item x="3190"/>
        <item x="3209"/>
        <item x="362"/>
        <item x="5718"/>
        <item x="1479"/>
        <item x="162"/>
        <item x="747"/>
        <item x="4655"/>
        <item x="3805"/>
        <item x="118"/>
        <item x="392"/>
        <item x="3028"/>
        <item x="265"/>
        <item x="88"/>
        <item x="3871"/>
        <item x="927"/>
        <item x="1689"/>
        <item x="1568"/>
        <item x="5291"/>
        <item x="4039"/>
        <item x="5490"/>
        <item x="2890"/>
        <item x="577"/>
        <item x="4314"/>
        <item x="5418"/>
        <item x="930"/>
        <item x="984"/>
        <item x="3616"/>
        <item x="5002"/>
        <item x="2178"/>
        <item x="4750"/>
        <item x="4160"/>
        <item x="5439"/>
        <item x="5870"/>
        <item x="2973"/>
        <item x="5468"/>
        <item x="2002"/>
        <item x="5874"/>
        <item x="948"/>
        <item x="4487"/>
        <item x="2378"/>
        <item x="2674"/>
        <item x="5271"/>
        <item x="2058"/>
        <item x="893"/>
        <item x="1214"/>
        <item x="129"/>
        <item x="4372"/>
        <item x="728"/>
        <item x="5585"/>
        <item x="1507"/>
        <item x="3982"/>
        <item x="3666"/>
        <item x="3535"/>
        <item x="3017"/>
        <item x="1402"/>
        <item x="2320"/>
        <item x="2479"/>
        <item x="1962"/>
        <item x="4906"/>
        <item x="3970"/>
        <item x="5321"/>
        <item x="123"/>
        <item x="1055"/>
        <item x="3740"/>
        <item x="6079"/>
        <item x="1946"/>
        <item x="464"/>
        <item x="1675"/>
        <item x="345"/>
        <item x="5299"/>
        <item x="1573"/>
        <item x="1960"/>
        <item x="4603"/>
        <item x="2311"/>
        <item x="2252"/>
        <item x="4202"/>
        <item x="3707"/>
        <item x="738"/>
        <item x="5095"/>
        <item x="559"/>
        <item x="4908"/>
        <item x="342"/>
        <item x="5935"/>
        <item x="5587"/>
        <item x="5786"/>
        <item x="5357"/>
        <item x="1450"/>
        <item x="5158"/>
        <item x="4074"/>
        <item x="3076"/>
        <item x="1349"/>
        <item x="5524"/>
        <item x="5388"/>
        <item x="5179"/>
        <item x="2573"/>
        <item x="2231"/>
        <item x="5531"/>
        <item x="5064"/>
        <item x="4629"/>
        <item x="2866"/>
        <item x="2854"/>
        <item x="5313"/>
        <item x="4464"/>
        <item x="2509"/>
        <item x="4442"/>
        <item x="3632"/>
        <item x="1490"/>
        <item x="2047"/>
        <item x="2511"/>
        <item x="4915"/>
        <item x="3977"/>
        <item x="327"/>
        <item x="1673"/>
        <item x="4282"/>
        <item x="5329"/>
        <item x="2028"/>
        <item x="122"/>
        <item x="1276"/>
        <item x="5613"/>
        <item x="2211"/>
        <item x="3478"/>
        <item x="689"/>
        <item x="1838"/>
        <item x="3012"/>
        <item x="2577"/>
        <item x="5983"/>
        <item x="4053"/>
        <item x="3914"/>
        <item x="5380"/>
        <item x="6240"/>
        <item x="3443"/>
        <item x="2765"/>
        <item x="4745"/>
        <item x="6189"/>
        <item x="3658"/>
        <item x="1908"/>
        <item x="6074"/>
        <item x="4144"/>
        <item x="4996"/>
        <item x="2268"/>
        <item x="338"/>
        <item x="2340"/>
        <item x="886"/>
        <item x="5891"/>
        <item x="2038"/>
        <item x="2030"/>
        <item x="842"/>
        <item x="2370"/>
        <item x="178"/>
        <item x="4151"/>
        <item x="4017"/>
        <item x="3117"/>
        <item x="376"/>
        <item x="1497"/>
        <item x="5410"/>
        <item x="4045"/>
        <item x="729"/>
        <item x="314"/>
        <item x="5708"/>
        <item x="5691"/>
        <item x="4125"/>
        <item x="1315"/>
        <item x="863"/>
        <item x="2067"/>
        <item x="4835"/>
        <item x="2815"/>
        <item x="447"/>
        <item x="5281"/>
        <item x="1844"/>
        <item x="2474"/>
        <item x="5649"/>
        <item x="294"/>
        <item x="889"/>
        <item x="5065"/>
        <item x="6072"/>
        <item x="4098"/>
        <item x="1492"/>
        <item x="1190"/>
        <item x="4190"/>
        <item x="3623"/>
        <item x="427"/>
        <item x="5883"/>
        <item x="1657"/>
        <item x="4539"/>
        <item x="3071"/>
        <item x="3678"/>
        <item x="4557"/>
        <item x="2409"/>
        <item x="1405"/>
        <item x="3436"/>
        <item x="1406"/>
        <item x="1283"/>
        <item x="13"/>
        <item x="4757"/>
        <item x="6201"/>
        <item x="3926"/>
        <item x="5392"/>
        <item x="1277"/>
        <item x="4321"/>
        <item x="1037"/>
        <item x="233"/>
        <item x="1617"/>
        <item x="2247"/>
        <item x="1681"/>
        <item x="534"/>
        <item x="25"/>
        <item x="516"/>
        <item x="1241"/>
        <item x="3479"/>
        <item x="5049"/>
        <item x="4280"/>
        <item x="2106"/>
        <item x="5514"/>
        <item x="4418"/>
        <item x="2223"/>
        <item x="647"/>
        <item x="6116"/>
        <item x="2830"/>
        <item x="1965"/>
        <item x="4728"/>
        <item x="4752"/>
        <item x="253"/>
        <item x="3705"/>
        <item x="1466"/>
        <item x="2415"/>
        <item x="3711"/>
        <item x="3569"/>
        <item x="3864"/>
        <item x="1589"/>
        <item x="4688"/>
        <item x="3454"/>
        <item x="4770"/>
        <item x="3876"/>
        <item x="4647"/>
        <item x="6010"/>
        <item x="3817"/>
        <item x="1882"/>
        <item x="1118"/>
        <item x="4196"/>
        <item x="3802"/>
        <item x="2129"/>
        <item x="170"/>
        <item x="6013"/>
        <item x="5365"/>
        <item x="6028"/>
        <item x="4580"/>
        <item x="1585"/>
        <item x="1523"/>
        <item x="3158"/>
        <item x="264"/>
        <item x="147"/>
        <item x="5606"/>
        <item x="4754"/>
        <item x="2693"/>
        <item x="1599"/>
        <item x="1674"/>
        <item x="2150"/>
        <item x="4133"/>
        <item x="3381"/>
        <item x="3300"/>
        <item x="2954"/>
        <item x="3004"/>
        <item x="593"/>
        <item x="2697"/>
        <item x="3328"/>
        <item x="1726"/>
        <item x="2655"/>
        <item x="794"/>
        <item x="452"/>
        <item x="3401"/>
        <item x="2136"/>
        <item x="2675"/>
        <item x="539"/>
        <item x="2702"/>
        <item x="3724"/>
        <item x="1130"/>
        <item x="2747"/>
        <item x="2791"/>
        <item x="2654"/>
        <item x="2349"/>
        <item x="6178"/>
        <item x="1019"/>
        <item x="3129"/>
        <item x="5796"/>
        <item x="3638"/>
        <item x="4702"/>
        <item x="994"/>
        <item x="5876"/>
        <item x="4253"/>
        <item x="3442"/>
        <item x="3661"/>
        <item x="2832"/>
        <item x="6169"/>
        <item x="3838"/>
        <item x="3813"/>
        <item x="4546"/>
        <item x="5206"/>
        <item x="406"/>
        <item x="5004"/>
        <item x="3460"/>
        <item x="1015"/>
        <item x="964"/>
        <item x="7"/>
        <item x="1164"/>
        <item x="2900"/>
        <item x="826"/>
        <item x="3790"/>
        <item x="2049"/>
        <item x="4096"/>
        <item x="320"/>
        <item x="3979"/>
        <item x="1764"/>
        <item x="4999"/>
        <item x="488"/>
        <item x="687"/>
        <item x="5802"/>
        <item x="1717"/>
        <item x="601"/>
        <item x="5349"/>
        <item x="5956"/>
        <item x="6041"/>
        <item x="829"/>
        <item x="1031"/>
        <item x="4032"/>
        <item x="3948"/>
        <item x="731"/>
        <item x="4441"/>
        <item x="783"/>
        <item x="528"/>
        <item x="4959"/>
        <item x="3149"/>
        <item x="3952"/>
        <item x="4894"/>
        <item x="3281"/>
        <item x="1759"/>
        <item x="5430"/>
        <item x="555"/>
        <item x="1484"/>
        <item x="2084"/>
        <item x="5868"/>
        <item x="1041"/>
        <item x="238"/>
        <item x="1435"/>
        <item x="29"/>
        <item x="4664"/>
        <item x="3217"/>
        <item x="5480"/>
        <item x="2118"/>
        <item x="1353"/>
        <item x="169"/>
        <item x="817"/>
        <item x="241"/>
        <item x="3352"/>
        <item x="38"/>
        <item x="4165"/>
        <item x="5867"/>
        <item x="1920"/>
        <item x="551"/>
        <item x="2884"/>
        <item x="1207"/>
        <item x="2100"/>
        <item x="5988"/>
        <item x="2108"/>
        <item x="5188"/>
        <item x="2412"/>
        <item x="99"/>
        <item x="4322"/>
        <item x="3178"/>
        <item x="3534"/>
        <item x="2949"/>
        <item x="529"/>
        <item x="526"/>
        <item x="4502"/>
        <item x="4571"/>
        <item x="5324"/>
        <item x="3515"/>
        <item x="1722"/>
        <item x="1723"/>
        <item x="4926"/>
        <item x="1169"/>
        <item x="4326"/>
        <item x="2272"/>
        <item x="3983"/>
        <item x="5369"/>
        <item x="4004"/>
        <item x="3650"/>
        <item x="4863"/>
        <item x="2500"/>
        <item x="1346"/>
        <item x="1736"/>
        <item x="165"/>
        <item x="5189"/>
        <item x="4788"/>
        <item x="5926"/>
        <item x="1302"/>
        <item x="45"/>
        <item x="5528"/>
        <item x="2017"/>
        <item x="1748"/>
        <item x="2839"/>
        <item x="790"/>
        <item x="2576"/>
        <item x="5177"/>
        <item x="3040"/>
        <item x="189"/>
        <item x="336"/>
        <item x="1777"/>
        <item x="6249"/>
        <item x="1644"/>
        <item x="2347"/>
        <item x="4043"/>
        <item x="5910"/>
        <item x="3594"/>
        <item x="6064"/>
        <item x="5897"/>
        <item x="3510"/>
        <item x="1076"/>
        <item x="5264"/>
        <item x="16"/>
        <item x="4477"/>
        <item x="2083"/>
        <item x="2808"/>
        <item x="3124"/>
        <item x="2918"/>
        <item x="2865"/>
        <item x="4184"/>
        <item x="5164"/>
        <item x="3861"/>
        <item x="3921"/>
        <item x="4472"/>
        <item x="669"/>
        <item x="684"/>
        <item x="3738"/>
        <item x="371"/>
        <item x="3254"/>
        <item x="4390"/>
        <item x="2253"/>
        <item x="1011"/>
        <item x="2281"/>
        <item x="4100"/>
        <item x="4824"/>
        <item x="5034"/>
        <item x="2203"/>
        <item x="3625"/>
        <item x="450"/>
        <item x="3354"/>
        <item x="4378"/>
        <item x="6242"/>
        <item x="2454"/>
        <item x="5137"/>
        <item x="5740"/>
        <item x="2278"/>
        <item x="4983"/>
        <item x="5040"/>
        <item x="4456"/>
        <item x="998"/>
        <item x="5523"/>
        <item x="5903"/>
        <item x="5218"/>
        <item x="742"/>
        <item x="5332"/>
        <item x="708"/>
        <item x="2241"/>
        <item x="4787"/>
        <item x="1861"/>
        <item x="207"/>
        <item x="2851"/>
        <item x="921"/>
        <item x="3409"/>
        <item x="2723"/>
        <item x="3915"/>
        <item x="4110"/>
        <item x="868"/>
        <item x="3412"/>
        <item x="3289"/>
        <item x="3002"/>
        <item x="865"/>
        <item x="4877"/>
        <item x="3283"/>
        <item x="5664"/>
        <item x="5407"/>
        <item x="3310"/>
        <item x="654"/>
        <item x="5417"/>
        <item x="26"/>
        <item x="2931"/>
        <item x="1433"/>
        <item x="3709"/>
        <item x="2172"/>
        <item x="2859"/>
        <item x="5172"/>
        <item x="1714"/>
        <item x="4800"/>
        <item x="411"/>
        <item x="58"/>
        <item x="3589"/>
        <item x="5576"/>
        <item x="1463"/>
        <item x="5459"/>
        <item x="2532"/>
        <item x="3599"/>
        <item x="436"/>
        <item x="4308"/>
        <item x="4670"/>
        <item x="3962"/>
        <item x="704"/>
        <item x="1773"/>
        <item x="2305"/>
        <item x="2872"/>
        <item x="2598"/>
        <item x="4724"/>
        <item x="2593"/>
        <item x="5335"/>
        <item x="1776"/>
        <item x="4198"/>
        <item x="289"/>
        <item x="85"/>
        <item x="579"/>
        <item x="3741"/>
        <item x="3377"/>
        <item x="3931"/>
        <item x="1880"/>
        <item x="3913"/>
        <item x="2978"/>
        <item x="932"/>
        <item x="5050"/>
        <item x="6123"/>
        <item x="2339"/>
        <item x="4913"/>
        <item x="4895"/>
        <item x="2696"/>
        <item x="321"/>
        <item x="5974"/>
        <item x="5930"/>
        <item x="3387"/>
        <item x="4735"/>
        <item x="212"/>
        <item x="3561"/>
        <item x="3761"/>
        <item x="3220"/>
        <item x="5325"/>
        <item x="3516"/>
        <item x="2869"/>
        <item x="3715"/>
        <item x="2288"/>
        <item x="3136"/>
        <item x="2543"/>
        <item x="4704"/>
        <item x="6109"/>
        <item x="397"/>
        <item x="563"/>
        <item x="4720"/>
        <item x="755"/>
        <item x="2426"/>
        <item x="4600"/>
        <item x="296"/>
        <item x="1352"/>
        <item x="3762"/>
        <item x="3088"/>
        <item x="3607"/>
        <item x="5543"/>
        <item x="5416"/>
        <item x="6137"/>
        <item x="2738"/>
        <item x="5030"/>
        <item x="2982"/>
        <item x="2677"/>
        <item x="6231"/>
        <item x="5566"/>
        <item x="1013"/>
        <item x="4254"/>
        <item x="3753"/>
        <item x="154"/>
        <item x="3792"/>
        <item x="6076"/>
        <item x="2035"/>
        <item x="3156"/>
        <item x="4578"/>
        <item x="1746"/>
        <item x="3708"/>
        <item x="6134"/>
        <item x="188"/>
        <item x="2825"/>
        <item x="3305"/>
        <item x="2382"/>
        <item x="3023"/>
        <item x="4949"/>
        <item x="2373"/>
        <item x="2779"/>
        <item x="2008"/>
        <item x="1802"/>
        <item x="4010"/>
        <item x="3070"/>
        <item x="1248"/>
        <item x="2055"/>
        <item x="2595"/>
        <item x="4203"/>
        <item x="1284"/>
        <item x="3055"/>
        <item x="1129"/>
        <item x="3571"/>
        <item x="5351"/>
        <item x="1609"/>
        <item x="3444"/>
        <item x="3326"/>
        <item x="5941"/>
        <item x="6099"/>
        <item x="439"/>
        <item x="2932"/>
        <item x="4268"/>
        <item x="3021"/>
        <item x="4986"/>
        <item x="1370"/>
        <item x="4654"/>
        <item x="1789"/>
        <item x="2821"/>
        <item x="3583"/>
        <item x="3502"/>
        <item x="1969"/>
        <item x="4888"/>
        <item x="2810"/>
        <item x="3404"/>
        <item x="589"/>
        <item x="4248"/>
        <item x="224"/>
        <item x="6164"/>
        <item x="3651"/>
        <item x="3256"/>
        <item x="688"/>
        <item x="4342"/>
        <item x="1415"/>
        <item x="1477"/>
        <item x="4928"/>
        <item x="5504"/>
        <item x="5659"/>
        <item x="4893"/>
        <item x="2317"/>
        <item x="1123"/>
        <item x="3573"/>
        <item x="3462"/>
        <item x="4512"/>
        <item x="6033"/>
        <item x="3228"/>
        <item x="3760"/>
        <item x="3184"/>
        <item x="5047"/>
        <item x="4085"/>
        <item x="5841"/>
        <item x="3054"/>
        <item x="4352"/>
        <item x="6042"/>
        <item x="4213"/>
        <item x="2137"/>
        <item x="1116"/>
        <item x="1046"/>
        <item x="290"/>
        <item x="3664"/>
        <item x="2338"/>
        <item x="2658"/>
        <item x="5525"/>
        <item x="1301"/>
        <item x="5100"/>
        <item x="5838"/>
        <item x="1430"/>
        <item x="2607"/>
        <item x="2741"/>
        <item x="2753"/>
        <item x="2789"/>
        <item x="1680"/>
        <item x="4594"/>
        <item x="364"/>
        <item x="3499"/>
        <item x="136"/>
        <item x="2368"/>
        <item x="4658"/>
        <item x="4630"/>
        <item x="1271"/>
        <item x="2061"/>
        <item x="5117"/>
        <item x="1900"/>
        <item x="2133"/>
        <item x="3395"/>
        <item x="5000"/>
        <item x="90"/>
        <item x="2953"/>
        <item x="1185"/>
        <item x="5975"/>
        <item x="5652"/>
        <item x="504"/>
        <item x="3774"/>
        <item x="2151"/>
        <item x="1292"/>
        <item x="4267"/>
        <item x="5293"/>
        <item x="6023"/>
        <item x="6184"/>
        <item x="412"/>
        <item x="5716"/>
        <item x="5533"/>
        <item x="3973"/>
        <item x="6112"/>
        <item x="5198"/>
        <item x="2259"/>
        <item x="1262"/>
        <item x="5583"/>
        <item x="4931"/>
        <item x="5608"/>
        <item x="4111"/>
        <item x="5026"/>
        <item x="4338"/>
        <item x="5880"/>
        <item x="3376"/>
        <item x="3645"/>
        <item x="4538"/>
        <item x="472"/>
        <item x="8"/>
        <item x="395"/>
        <item x="3700"/>
        <item x="462"/>
        <item x="4061"/>
        <item x="2239"/>
        <item x="2101"/>
        <item x="2958"/>
        <item x="6082"/>
        <item x="163"/>
        <item x="558"/>
        <item x="673"/>
        <item x="46"/>
        <item x="1804"/>
        <item x="4233"/>
        <item x="3365"/>
        <item x="5547"/>
        <item x="341"/>
        <item x="1043"/>
        <item x="1010"/>
        <item x="366"/>
        <item x="1489"/>
        <item x="4324"/>
        <item x="5982"/>
        <item x="1538"/>
        <item x="2115"/>
        <item x="274"/>
        <item x="120"/>
        <item x="4887"/>
        <item x="83"/>
        <item x="929"/>
        <item x="173"/>
        <item x="266"/>
        <item x="6118"/>
        <item x="5927"/>
        <item x="5080"/>
        <item x="3321"/>
        <item x="2820"/>
        <item x="2728"/>
        <item x="3896"/>
        <item x="1995"/>
        <item x="3429"/>
        <item x="5825"/>
        <item x="3843"/>
        <item x="3663"/>
        <item x="2498"/>
        <item x="2557"/>
        <item x="768"/>
        <item x="1772"/>
        <item x="1587"/>
        <item x="1213"/>
        <item x="3576"/>
        <item x="2365"/>
        <item x="5285"/>
        <item x="3888"/>
        <item x="3298"/>
        <item x="3465"/>
        <item x="1985"/>
        <item x="3783"/>
        <item x="3170"/>
        <item x="3841"/>
        <item x="1828"/>
        <item x="5419"/>
        <item x="2730"/>
        <item x="4124"/>
        <item x="3854"/>
        <item x="5488"/>
        <item x="5569"/>
        <item x="1186"/>
        <item x="4744"/>
        <item x="5925"/>
        <item x="1066"/>
        <item x="5782"/>
        <item x="484"/>
        <item x="4265"/>
        <item x="5498"/>
        <item x="5191"/>
        <item x="1125"/>
        <item x="3860"/>
        <item x="5069"/>
        <item x="5441"/>
        <item x="1230"/>
        <item x="423"/>
        <item x="2991"/>
        <item x="5991"/>
        <item x="4497"/>
        <item x="3509"/>
        <item x="4766"/>
        <item x="3323"/>
        <item x="3006"/>
        <item x="5331"/>
        <item x="1735"/>
        <item x="1237"/>
        <item x="4589"/>
        <item x="2110"/>
        <item x="4051"/>
        <item x="2862"/>
        <item x="6195"/>
        <item x="2417"/>
        <item x="3037"/>
        <item x="4935"/>
        <item x="1473"/>
        <item x="5968"/>
        <item x="1567"/>
        <item x="5423"/>
        <item x="4997"/>
        <item x="4068"/>
        <item x="1083"/>
        <item x="545"/>
        <item x="5998"/>
        <item x="3201"/>
        <item x="4256"/>
        <item x="4971"/>
        <item x="370"/>
        <item x="5176"/>
        <item x="416"/>
        <item x="5111"/>
        <item x="1616"/>
        <item x="424"/>
        <item x="5634"/>
        <item x="71"/>
        <item x="101"/>
        <item x="4417"/>
        <item x="5693"/>
        <item x="1867"/>
        <item x="3946"/>
        <item x="3053"/>
        <item x="4886"/>
        <item x="3477"/>
        <item x="5348"/>
        <item x="6152"/>
        <item x="1016"/>
        <item x="2337"/>
        <item x="1934"/>
        <item x="1872"/>
        <item x="3373"/>
        <item x="4149"/>
        <item x="3680"/>
        <item x="4710"/>
        <item x="3121"/>
        <item x="3486"/>
        <item x="3501"/>
        <item x="4488"/>
        <item x="191"/>
        <item x="1256"/>
        <item x="4879"/>
        <item x="2183"/>
        <item x="3168"/>
        <item x="446"/>
        <item x="2551"/>
        <item x="3426"/>
        <item x="5629"/>
        <item x="2744"/>
        <item x="4616"/>
        <item x="2526"/>
        <item x="1160"/>
        <item x="1198"/>
        <item x="1009"/>
        <item x="6224"/>
        <item x="3550"/>
        <item x="1999"/>
        <item x="2376"/>
        <item x="4998"/>
        <item x="1945"/>
        <item x="2845"/>
        <item x="1474"/>
        <item x="3624"/>
        <item x="355"/>
        <item x="1274"/>
        <item x="5765"/>
        <item x="5572"/>
        <item x="737"/>
        <item x="701"/>
        <item x="4127"/>
        <item x="750"/>
        <item x="5067"/>
        <item x="1913"/>
        <item x="3634"/>
        <item x="2579"/>
        <item x="5535"/>
        <item x="4026"/>
        <item x="3906"/>
        <item x="4805"/>
        <item x="6040"/>
        <item x="100"/>
        <item x="2357"/>
        <item x="4896"/>
        <item x="2355"/>
        <item x="3398"/>
        <item x="1351"/>
        <item x="4046"/>
        <item x="2260"/>
        <item x="2952"/>
        <item x="4261"/>
        <item x="2725"/>
        <item x="536"/>
        <item x="5732"/>
        <item x="4821"/>
        <item x="5674"/>
        <item x="5778"/>
        <item x="1729"/>
        <item x="4818"/>
        <item x="1290"/>
        <item x="2092"/>
        <item x="4677"/>
        <item x="5911"/>
        <item x="3750"/>
        <item x="3204"/>
        <item x="3947"/>
        <item x="3551"/>
        <item x="2255"/>
        <item x="441"/>
        <item x="5966"/>
        <item x="3248"/>
        <item x="2770"/>
        <item x="4526"/>
        <item x="473"/>
        <item x="3077"/>
        <item x="2619"/>
        <item x="2629"/>
        <item x="5190"/>
        <item x="5845"/>
        <item x="5865"/>
        <item x="4666"/>
        <item x="6168"/>
        <item x="1712"/>
        <item x="1803"/>
        <item x="3420"/>
        <item x="1309"/>
        <item x="63"/>
        <item x="2796"/>
        <item x="1419"/>
        <item x="1335"/>
        <item x="594"/>
        <item x="4592"/>
        <item x="202"/>
        <item x="3276"/>
        <item x="3835"/>
        <item x="5689"/>
        <item x="531"/>
        <item x="2087"/>
        <item x="1140"/>
        <item x="5668"/>
        <item x="2841"/>
        <item x="4918"/>
        <item x="2801"/>
        <item x="4564"/>
        <item x="2228"/>
        <item x="5484"/>
        <item x="5924"/>
        <item x="463"/>
        <item x="5262"/>
        <item x="974"/>
        <item x="1496"/>
        <item x="3697"/>
        <item x="6114"/>
        <item x="1850"/>
        <item x="486"/>
        <item x="4768"/>
        <item x="465"/>
        <item x="91"/>
        <item x="1491"/>
        <item x="946"/>
        <item x="1646"/>
        <item x="875"/>
        <item x="5750"/>
        <item x="5058"/>
        <item x="2392"/>
        <item x="4361"/>
        <item x="4355"/>
        <item x="3118"/>
        <item x="3008"/>
        <item x="2547"/>
        <item x="1146"/>
        <item x="4400"/>
        <item x="5200"/>
        <item x="4672"/>
        <item x="3523"/>
        <item x="1236"/>
        <item x="3660"/>
        <item x="1361"/>
        <item x="3903"/>
        <item x="5699"/>
        <item x="3642"/>
        <item x="3107"/>
        <item x="2212"/>
        <item x="840"/>
        <item x="6191"/>
        <item x="2071"/>
        <item x="521"/>
        <item x="2804"/>
        <item x="3689"/>
        <item x="384"/>
        <item x="2275"/>
        <item x="312"/>
        <item x="615"/>
        <item x="2424"/>
        <item x="3349"/>
        <item x="5840"/>
        <item x="5552"/>
        <item x="1381"/>
        <item x="996"/>
        <item x="3972"/>
        <item x="1377"/>
        <item x="4166"/>
        <item x="1647"/>
        <item x="2568"/>
        <item x="6115"/>
        <item x="532"/>
        <item x="4142"/>
        <item x="1372"/>
        <item x="1602"/>
        <item x="2809"/>
        <item x="2651"/>
        <item x="4293"/>
        <item x="801"/>
        <item x="2913"/>
        <item x="174"/>
        <item x="3610"/>
        <item x="1399"/>
        <item x="5831"/>
        <item x="4841"/>
        <item x="303"/>
        <item x="1113"/>
        <item x="2152"/>
        <item x="5434"/>
        <item x="102"/>
        <item x="9"/>
        <item x="2828"/>
        <item x="3495"/>
        <item x="754"/>
        <item x="2220"/>
        <item x="146"/>
        <item x="720"/>
        <item x="918"/>
        <item x="857"/>
        <item x="661"/>
        <item x="5727"/>
        <item x="1527"/>
        <item x="1786"/>
        <item x="3652"/>
        <item x="1161"/>
        <item x="39"/>
        <item x="2341"/>
        <item x="4404"/>
        <item x="3172"/>
        <item x="5053"/>
        <item x="5542"/>
        <item x="6188"/>
        <item x="5696"/>
        <item x="5598"/>
        <item x="2898"/>
        <item x="3514"/>
        <item x="5775"/>
        <item x="1065"/>
        <item x="5722"/>
        <item x="4292"/>
        <item x="1686"/>
        <item x="4393"/>
        <item x="1404"/>
        <item x="386"/>
        <item x="4231"/>
        <item x="3936"/>
        <item x="5781"/>
        <item x="4498"/>
        <item x="329"/>
        <item x="2751"/>
        <item x="2094"/>
        <item x="2749"/>
        <item x="2169"/>
        <item x="1110"/>
        <item x="2536"/>
        <item x="6180"/>
        <item x="4705"/>
        <item x="1762"/>
        <item x="2321"/>
        <item x="490"/>
        <item x="5704"/>
        <item x="3344"/>
        <item x="3147"/>
        <item x="2916"/>
        <item x="1588"/>
        <item x="2164"/>
        <item x="6021"/>
        <item x="2963"/>
        <item x="3911"/>
        <item x="1202"/>
        <item x="5830"/>
        <item x="4075"/>
        <item x="5938"/>
        <item x="6196"/>
        <item x="4943"/>
        <item x="5908"/>
        <item x="573"/>
        <item x="1206"/>
        <item x="3151"/>
        <item x="5081"/>
        <item x="2522"/>
        <item x="6104"/>
        <item x="612"/>
        <item x="5610"/>
        <item x="2713"/>
        <item x="4210"/>
        <item x="5252"/>
        <item x="5860"/>
        <item x="1286"/>
        <item x="3171"/>
        <item x="554"/>
        <item x="1854"/>
        <item x="5115"/>
        <item x="3144"/>
        <item x="3800"/>
        <item x="5256"/>
        <item x="3380"/>
        <item x="2356"/>
        <item x="3161"/>
        <item x="307"/>
        <item x="2385"/>
        <item x="6128"/>
        <item x="156"/>
        <item x="4206"/>
        <item x="2293"/>
        <item x="2537"/>
        <item x="84"/>
        <item x="890"/>
        <item x="1594"/>
        <item x="2888"/>
        <item x="2524"/>
        <item x="2285"/>
        <item x="4991"/>
        <item x="141"/>
        <item x="5263"/>
        <item x="557"/>
        <item x="3356"/>
        <item x="1254"/>
        <item x="3042"/>
        <item x="1640"/>
        <item x="5359"/>
        <item x="1914"/>
        <item x="856"/>
        <item x="3857"/>
        <item x="3086"/>
        <item x="4058"/>
        <item x="6069"/>
        <item x="1498"/>
        <item x="1611"/>
        <item x="4048"/>
        <item x="1813"/>
        <item x="1665"/>
        <item x="6248"/>
        <item x="2394"/>
        <item x="2860"/>
        <item x="1807"/>
        <item x="1506"/>
        <item x="451"/>
        <item x="887"/>
        <item x="2805"/>
        <item x="1243"/>
        <item x="3866"/>
        <item x="494"/>
        <item x="4014"/>
        <item x="760"/>
        <item x="538"/>
        <item x="4826"/>
        <item x="5460"/>
        <item x="3647"/>
        <item x="4327"/>
        <item x="5871"/>
        <item x="6019"/>
        <item x="672"/>
        <item x="5420"/>
        <item x="582"/>
        <item x="2813"/>
        <item x="5851"/>
        <item x="5289"/>
        <item x="394"/>
        <item x="3924"/>
        <item x="2694"/>
        <item x="3644"/>
        <item x="877"/>
        <item x="3758"/>
        <item x="4699"/>
        <item x="3500"/>
        <item x="2098"/>
        <item x="3985"/>
        <item x="5276"/>
        <item x="2000"/>
        <item x="3786"/>
        <item x="2214"/>
        <item x="4698"/>
        <item x="4278"/>
        <item x="5146"/>
        <item x="5554"/>
        <item x="3767"/>
        <item x="1987"/>
        <item x="1002"/>
        <item x="5318"/>
        <item x="2512"/>
        <item x="5922"/>
        <item x="5992"/>
        <item x="2887"/>
        <item x="4691"/>
        <item x="1403"/>
        <item x="4582"/>
        <item x="4489"/>
        <item x="837"/>
        <item x="108"/>
        <item x="3832"/>
        <item x="2507"/>
        <item x="5675"/>
        <item x="1544"/>
        <item x="5723"/>
        <item x="5731"/>
        <item x="6129"/>
        <item x="3447"/>
        <item x="4703"/>
        <item x="1607"/>
        <item x="2162"/>
        <item x="1036"/>
        <item x="2091"/>
        <item x="1135"/>
        <item x="467"/>
        <item x="3132"/>
        <item x="1082"/>
        <item x="2769"/>
        <item x="3210"/>
        <item x="6125"/>
        <item x="792"/>
        <item x="1475"/>
        <item x="3483"/>
        <item x="5945"/>
        <item x="211"/>
        <item x="5517"/>
        <item x="3285"/>
        <item x="409"/>
        <item x="3067"/>
        <item x="2930"/>
        <item x="1208"/>
        <item x="3560"/>
        <item x="2608"/>
        <item x="4156"/>
        <item x="4722"/>
        <item x="5835"/>
        <item x="4945"/>
        <item x="1964"/>
        <item x="5811"/>
        <item x="5599"/>
        <item x="5279"/>
        <item x="676"/>
        <item x="5192"/>
        <item x="3693"/>
        <item x="515"/>
        <item x="2066"/>
        <item x="1088"/>
        <item x="2711"/>
        <item x="4174"/>
        <item x="4219"/>
        <item x="322"/>
        <item x="3592"/>
        <item x="3553"/>
        <item x="1884"/>
        <item x="4063"/>
        <item x="2042"/>
        <item x="2114"/>
        <item x="543"/>
        <item x="1727"/>
        <item x="1577"/>
        <item x="2"/>
        <item x="4218"/>
        <item x="4865"/>
        <item x="5574"/>
        <item x="5589"/>
        <item x="6087"/>
        <item x="1662"/>
        <item x="5864"/>
        <item x="1612"/>
        <item x="5129"/>
        <item x="393"/>
        <item x="631"/>
        <item x="4618"/>
        <item x="5848"/>
        <item x="319"/>
        <item x="5450"/>
        <item x="47"/>
        <item x="5278"/>
        <item x="677"/>
        <item x="796"/>
        <item x="1512"/>
        <item x="5169"/>
        <item x="1708"/>
        <item x="4819"/>
        <item x="5953"/>
        <item x="1073"/>
        <item x="5593"/>
        <item x="4527"/>
        <item x="4173"/>
        <item x="1954"/>
        <item x="57"/>
        <item x="5976"/>
        <item x="5688"/>
        <item x="4435"/>
        <item x="5056"/>
        <item x="1606"/>
        <item x="2395"/>
        <item x="2780"/>
        <item x="3735"/>
        <item x="2565"/>
        <item x="3213"/>
        <item x="1819"/>
        <item x="4320"/>
        <item x="4290"/>
        <item x="3944"/>
        <item x="3176"/>
        <item x="683"/>
        <item x="4962"/>
        <item x="1672"/>
        <item x="1707"/>
        <item x="1273"/>
        <item x="1522"/>
        <item x="257"/>
        <item x="1242"/>
        <item x="4678"/>
        <item x="4159"/>
        <item x="4362"/>
        <item x="2414"/>
        <item x="745"/>
        <item x="1158"/>
        <item x="4345"/>
        <item x="3822"/>
        <item x="3357"/>
        <item x="5082"/>
        <item x="1209"/>
        <item x="5288"/>
        <item x="6058"/>
        <item x="1231"/>
        <item x="5187"/>
        <item x="4491"/>
        <item x="2209"/>
        <item x="5149"/>
        <item x="5738"/>
        <item x="5308"/>
        <item x="3302"/>
        <item x="2216"/>
        <item x="5341"/>
        <item x="4424"/>
        <item x="1633"/>
        <item x="955"/>
        <item x="4679"/>
        <item x="4465"/>
        <item x="2155"/>
        <item x="2600"/>
        <item x="4205"/>
        <item x="5156"/>
        <item x="1698"/>
        <item x="2318"/>
        <item x="3533"/>
        <item x="2085"/>
        <item x="3402"/>
        <item x="5446"/>
        <item x="1937"/>
        <item x="3859"/>
        <item x="2903"/>
        <item x="3245"/>
        <item x="2086"/>
        <item x="4057"/>
        <item x="2585"/>
        <item x="5186"/>
        <item x="3414"/>
        <item x="2768"/>
        <item x="907"/>
        <item x="1097"/>
        <item x="308"/>
        <item x="3556"/>
        <item x="2168"/>
        <item x="2549"/>
        <item x="999"/>
        <item x="1417"/>
        <item x="317"/>
        <item x="2688"/>
        <item x="5564"/>
        <item x="724"/>
        <item x="5020"/>
        <item x="249"/>
        <item x="4860"/>
        <item x="5005"/>
        <item x="804"/>
        <item x="4639"/>
        <item x="2831"/>
        <item x="5236"/>
        <item x="179"/>
        <item x="1864"/>
        <item x="2740"/>
        <item x="3672"/>
        <item x="1990"/>
        <item x="3943"/>
        <item x="2545"/>
        <item x="5077"/>
        <item x="4495"/>
        <item x="4854"/>
        <item x="3496"/>
        <item x="5712"/>
        <item x="4433"/>
        <item x="443"/>
        <item x="712"/>
        <item x="278"/>
        <item x="4554"/>
        <item x="6208"/>
        <item x="5305"/>
        <item x="3565"/>
        <item x="1519"/>
        <item x="4927"/>
        <item x="590"/>
        <item x="5680"/>
        <item x="5286"/>
        <item x="14"/>
        <item t="default"/>
      </items>
    </pivotField>
  </pivotFields>
  <rowFields count="1">
    <field x="29"/>
  </rowFields>
  <rowItems count="6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</rowItems>
  <colItems count="1">
    <i/>
  </colItems>
  <dataFields count="1">
    <dataField name="SUM of gross" fld="7" baseField="0" baseItem="0"/>
  </dataFields>
  <pivotTableStyleInfo showRowHeaders="1" showColHeaders="1"/>
</pivotTableDefinition>
</file>

<file path=xl/pivotTables/pivotTable12.xml><?xml version="1.0" encoding="utf-8"?>
<pivotTableDefinition xmlns="http://schemas.openxmlformats.org/spreadsheetml/2006/main" name=" Visualize the movie by duratio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4917" firstHeaderRow="1" firstDataRow="1" firstDataCol="1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4917">
        <item x="4349"/>
        <item x="3597"/>
        <item x="4152"/>
        <item x="3629"/>
        <item x="2964"/>
        <item x="2799"/>
        <item x="276"/>
        <item x="400"/>
        <item x="3358"/>
        <item x="3576"/>
        <item x="4706"/>
        <item x="1720"/>
        <item x="2253"/>
        <item x="2148"/>
        <item x="2399"/>
        <item x="1610"/>
        <item x="961"/>
        <item x="2056"/>
        <item x="1158"/>
        <item x="1106"/>
        <item x="4493"/>
        <item x="1210"/>
        <item x="3880"/>
        <item x="1707"/>
        <item x="1541"/>
        <item x="4543"/>
        <item x="509"/>
        <item x="714"/>
        <item x="3934"/>
        <item x="4849"/>
        <item x="4459"/>
        <item x="3641"/>
        <item x="3544"/>
        <item x="3027"/>
        <item x="60"/>
        <item x="4094"/>
        <item x="2945"/>
        <item x="2829"/>
        <item x="2233"/>
        <item x="1144"/>
        <item x="1399"/>
        <item x="930"/>
        <item x="4210"/>
        <item x="3774"/>
        <item x="1591"/>
        <item x="3303"/>
        <item x="1138"/>
        <item x="2616"/>
        <item x="4718"/>
        <item x="1763"/>
        <item x="2566"/>
        <item x="2255"/>
        <item x="3833"/>
        <item x="4783"/>
        <item x="1043"/>
        <item x="1636"/>
        <item x="1757"/>
        <item x="4049"/>
        <item x="701"/>
        <item x="258"/>
        <item x="697"/>
        <item x="1333"/>
        <item x="4532"/>
        <item x="2466"/>
        <item x="1195"/>
        <item x="4671"/>
        <item x="85"/>
        <item x="2962"/>
        <item x="524"/>
        <item x="3308"/>
        <item x="3404"/>
        <item x="4703"/>
        <item x="2826"/>
        <item x="2481"/>
        <item x="4137"/>
        <item x="4013"/>
        <item x="1167"/>
        <item x="3338"/>
        <item x="4115"/>
        <item x="1673"/>
        <item x="1246"/>
        <item x="1651"/>
        <item x="3705"/>
        <item x="2416"/>
        <item x="502"/>
        <item x="4277"/>
        <item x="3146"/>
        <item x="1826"/>
        <item x="1086"/>
        <item x="4815"/>
        <item x="61"/>
        <item x="3952"/>
        <item x="2330"/>
        <item x="743"/>
        <item x="2281"/>
        <item x="3446"/>
        <item x="4826"/>
        <item x="3684"/>
        <item x="1509"/>
        <item x="4523"/>
        <item x="4778"/>
        <item x="4244"/>
        <item x="343"/>
        <item x="1484"/>
        <item x="4081"/>
        <item x="2235"/>
        <item x="4607"/>
        <item x="3839"/>
        <item x="4093"/>
        <item x="1543"/>
        <item x="3503"/>
        <item x="1169"/>
        <item x="1185"/>
        <item x="4484"/>
        <item x="3877"/>
        <item x="1926"/>
        <item x="3070"/>
        <item x="1882"/>
        <item x="1375"/>
        <item x="3889"/>
        <item x="2666"/>
        <item x="3534"/>
        <item x="1256"/>
        <item x="1314"/>
        <item x="2287"/>
        <item x="2643"/>
        <item x="2467"/>
        <item x="3974"/>
        <item x="3634"/>
        <item x="2793"/>
        <item x="3525"/>
        <item x="1407"/>
        <item x="1783"/>
        <item x="2746"/>
        <item x="1960"/>
        <item x="4913"/>
        <item x="3080"/>
        <item x="3620"/>
        <item x="3975"/>
        <item x="2282"/>
        <item x="4550"/>
        <item x="3429"/>
        <item x="3580"/>
        <item x="2476"/>
        <item x="1770"/>
        <item x="3433"/>
        <item x="499"/>
        <item x="4263"/>
        <item x="2971"/>
        <item x="3307"/>
        <item x="1303"/>
        <item x="1182"/>
        <item x="985"/>
        <item x="4870"/>
        <item x="1988"/>
        <item x="2188"/>
        <item x="880"/>
        <item x="1618"/>
        <item x="1819"/>
        <item x="2761"/>
        <item x="2986"/>
        <item x="1715"/>
        <item x="2957"/>
        <item x="369"/>
        <item x="1965"/>
        <item x="4259"/>
        <item x="4257"/>
        <item x="1455"/>
        <item x="3504"/>
        <item x="1793"/>
        <item x="2798"/>
        <item x="1597"/>
        <item x="2924"/>
        <item x="636"/>
        <item x="4857"/>
        <item x="964"/>
        <item x="1845"/>
        <item x="2877"/>
        <item x="1581"/>
        <item x="1104"/>
        <item x="2880"/>
        <item x="3418"/>
        <item x="3192"/>
        <item x="3960"/>
        <item x="2357"/>
        <item x="3660"/>
        <item x="2832"/>
        <item x="3869"/>
        <item x="4587"/>
        <item x="3201"/>
        <item x="873"/>
        <item x="195"/>
        <item x="821"/>
        <item x="4591"/>
        <item x="3793"/>
        <item x="1322"/>
        <item x="4282"/>
        <item x="1836"/>
        <item x="1887"/>
        <item x="629"/>
        <item x="3479"/>
        <item x="3981"/>
        <item x="393"/>
        <item x="4410"/>
        <item x="3798"/>
        <item x="3905"/>
        <item x="4474"/>
        <item x="3318"/>
        <item x="3361"/>
        <item x="1731"/>
        <item x="3390"/>
        <item x="3717"/>
        <item x="1680"/>
        <item x="1447"/>
        <item x="1306"/>
        <item x="1759"/>
        <item x="113"/>
        <item x="4181"/>
        <item x="1289"/>
        <item x="269"/>
        <item x="3387"/>
        <item x="33"/>
        <item x="106"/>
        <item x="857"/>
        <item x="4128"/>
        <item x="3428"/>
        <item x="3220"/>
        <item x="755"/>
        <item x="1110"/>
        <item x="1239"/>
        <item x="2455"/>
        <item x="1538"/>
        <item x="2621"/>
        <item x="2741"/>
        <item x="2307"/>
        <item x="3765"/>
        <item x="4241"/>
        <item x="3287"/>
        <item x="3257"/>
        <item x="4897"/>
        <item x="416"/>
        <item x="4575"/>
        <item x="891"/>
        <item x="1114"/>
        <item x="2706"/>
        <item x="4469"/>
        <item x="261"/>
        <item x="4659"/>
        <item x="780"/>
        <item x="3360"/>
        <item x="1376"/>
        <item x="2284"/>
        <item x="4494"/>
        <item x="1735"/>
        <item x="1147"/>
        <item x="4769"/>
        <item x="3472"/>
        <item x="2206"/>
        <item x="828"/>
        <item x="442"/>
        <item x="365"/>
        <item x="590"/>
        <item x="4146"/>
        <item x="2378"/>
        <item x="1287"/>
        <item x="2769"/>
        <item x="4654"/>
        <item x="2570"/>
        <item x="4741"/>
        <item x="2484"/>
        <item x="287"/>
        <item x="4565"/>
        <item x="3204"/>
        <item x="4548"/>
        <item x="3119"/>
        <item x="1175"/>
        <item x="4702"/>
        <item x="1473"/>
        <item x="1571"/>
        <item x="2871"/>
        <item x="3321"/>
        <item x="969"/>
        <item x="805"/>
        <item x="4174"/>
        <item x="835"/>
        <item x="1056"/>
        <item x="4742"/>
        <item x="4336"/>
        <item x="1237"/>
        <item x="4063"/>
        <item x="3868"/>
        <item x="4176"/>
        <item x="3207"/>
        <item x="3177"/>
        <item x="2275"/>
        <item x="4796"/>
        <item x="2744"/>
        <item x="4820"/>
        <item x="3378"/>
        <item x="3867"/>
        <item x="3024"/>
        <item x="4446"/>
        <item x="1691"/>
        <item x="1083"/>
        <item x="1911"/>
        <item x="775"/>
        <item x="1589"/>
        <item x="893"/>
        <item x="4117"/>
        <item x="925"/>
        <item x="1885"/>
        <item x="2413"/>
        <item x="4528"/>
        <item x="4730"/>
        <item x="1339"/>
        <item x="1952"/>
        <item x="129"/>
        <item x="824"/>
        <item x="3964"/>
        <item x="3808"/>
        <item x="1168"/>
        <item x="1711"/>
        <item x="3617"/>
        <item x="547"/>
        <item x="1031"/>
        <item x="3487"/>
        <item x="3799"/>
        <item x="3895"/>
        <item x="3816"/>
        <item x="664"/>
        <item x="3336"/>
        <item x="1797"/>
        <item x="4806"/>
        <item x="3876"/>
        <item x="3337"/>
        <item x="4816"/>
        <item x="4483"/>
        <item x="4122"/>
        <item x="1696"/>
        <item x="3966"/>
        <item x="184"/>
        <item x="2849"/>
        <item x="718"/>
        <item x="726"/>
        <item x="2427"/>
        <item x="2041"/>
        <item x="1556"/>
        <item x="1225"/>
        <item x="648"/>
        <item x="3677"/>
        <item x="2212"/>
        <item x="3674"/>
        <item x="4567"/>
        <item x="2908"/>
        <item x="1565"/>
        <item x="2559"/>
        <item x="2926"/>
        <item x="4800"/>
        <item x="2140"/>
        <item x="3730"/>
        <item x="1127"/>
        <item x="2105"/>
        <item x="150"/>
        <item x="2241"/>
        <item x="3005"/>
        <item x="2527"/>
        <item x="4599"/>
        <item x="268"/>
        <item x="4817"/>
        <item x="497"/>
        <item x="413"/>
        <item x="1254"/>
        <item x="3659"/>
        <item x="923"/>
        <item x="4674"/>
        <item x="4527"/>
        <item x="990"/>
        <item x="1668"/>
        <item x="239"/>
        <item x="688"/>
        <item x="1275"/>
        <item x="2473"/>
        <item x="364"/>
        <item x="3134"/>
        <item x="3715"/>
        <item x="1622"/>
        <item x="2842"/>
        <item x="1913"/>
        <item x="3944"/>
        <item x="1924"/>
        <item x="687"/>
        <item x="2374"/>
        <item x="1386"/>
        <item x="194"/>
        <item x="3447"/>
        <item x="2710"/>
        <item x="1241"/>
        <item x="0"/>
        <item x="8"/>
        <item x="589"/>
        <item x="3270"/>
        <item x="2120"/>
        <item x="4055"/>
        <item x="4721"/>
        <item x="1317"/>
        <item x="1601"/>
        <item x="494"/>
        <item x="2177"/>
        <item x="2520"/>
        <item x="2806"/>
        <item x="1606"/>
        <item x="1107"/>
        <item x="1011"/>
        <item x="4032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5"/>
        <item x="3276"/>
        <item x="4789"/>
        <item x="1467"/>
        <item x="614"/>
        <item x="4539"/>
        <item x="3142"/>
        <item x="4231"/>
        <item x="1494"/>
        <item x="545"/>
        <item x="2285"/>
        <item x="4520"/>
        <item x="4905"/>
        <item x="1120"/>
        <item x="4525"/>
        <item x="3277"/>
        <item x="3256"/>
        <item x="2372"/>
        <item x="2875"/>
        <item x="3763"/>
        <item x="2656"/>
        <item x="1693"/>
        <item x="915"/>
        <item x="2997"/>
        <item x="4058"/>
        <item x="620"/>
        <item x="994"/>
        <item x="4017"/>
        <item x="4129"/>
        <item x="2708"/>
        <item x="214"/>
        <item x="120"/>
        <item x="305"/>
        <item x="435"/>
        <item x="10"/>
        <item x="1387"/>
        <item x="3935"/>
        <item x="4359"/>
        <item x="3497"/>
        <item x="4267"/>
        <item x="594"/>
        <item x="2273"/>
        <item x="489"/>
        <item x="28"/>
        <item x="538"/>
        <item x="2256"/>
        <item x="2468"/>
        <item x="3566"/>
        <item x="4266"/>
        <item x="1018"/>
        <item x="1901"/>
        <item x="2882"/>
        <item x="1319"/>
        <item x="2618"/>
        <item x="2502"/>
        <item x="1041"/>
        <item x="450"/>
        <item x="137"/>
        <item x="4086"/>
        <item x="2460"/>
        <item x="2585"/>
        <item x="2098"/>
        <item x="4000"/>
        <item x="4102"/>
        <item x="4175"/>
        <item x="3347"/>
        <item x="3962"/>
        <item x="1214"/>
        <item x="2813"/>
        <item x="2415"/>
        <item x="3953"/>
        <item x="900"/>
        <item x="4408"/>
        <item x="3593"/>
        <item x="4866"/>
        <item x="3268"/>
        <item x="3980"/>
        <item x="363"/>
        <item x="4613"/>
        <item x="152"/>
        <item x="3541"/>
        <item x="3529"/>
        <item x="4738"/>
        <item x="2138"/>
        <item x="2132"/>
        <item x="972"/>
        <item x="2564"/>
        <item x="473"/>
        <item x="800"/>
        <item x="4421"/>
        <item x="3432"/>
        <item x="4621"/>
        <item x="2023"/>
        <item x="4444"/>
        <item x="4583"/>
        <item x="381"/>
        <item x="1570"/>
        <item x="3108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49"/>
        <item x="2385"/>
        <item x="2286"/>
        <item x="2828"/>
        <item x="1493"/>
        <item x="4731"/>
        <item x="2094"/>
        <item x="3237"/>
        <item x="326"/>
        <item x="1432"/>
        <item x="896"/>
        <item x="2451"/>
        <item x="3391"/>
        <item x="3128"/>
        <item x="1624"/>
        <item x="4517"/>
        <item x="2664"/>
        <item x="2790"/>
        <item x="1495"/>
        <item x="618"/>
        <item x="3791"/>
        <item x="883"/>
        <item x="1761"/>
        <item x="1080"/>
        <item x="667"/>
        <item x="699"/>
        <item x="1444"/>
        <item x="4082"/>
        <item x="4576"/>
        <item x="4413"/>
        <item x="1095"/>
        <item x="1263"/>
        <item x="1979"/>
        <item x="3184"/>
        <item x="2684"/>
        <item x="1842"/>
        <item x="303"/>
        <item x="3174"/>
        <item x="1487"/>
        <item x="1912"/>
        <item x="995"/>
        <item x="1980"/>
        <item x="4307"/>
        <item x="4666"/>
        <item x="2410"/>
        <item x="1613"/>
        <item x="4471"/>
        <item x="1634"/>
        <item x="2386"/>
        <item x="4399"/>
        <item x="4677"/>
        <item x="1367"/>
        <item x="4441"/>
        <item x="2668"/>
        <item x="2488"/>
        <item x="2755"/>
        <item x="3111"/>
        <item x="634"/>
        <item x="2055"/>
        <item x="1550"/>
        <item x="3235"/>
        <item x="131"/>
        <item x="3323"/>
        <item x="2295"/>
        <item x="3118"/>
        <item x="2160"/>
        <item x="2627"/>
        <item x="2622"/>
        <item x="4171"/>
        <item x="1148"/>
        <item x="2365"/>
        <item x="3742"/>
        <item x="2728"/>
        <item x="4662"/>
        <item x="3716"/>
        <item x="3702"/>
        <item x="3776"/>
        <item x="847"/>
        <item x="3972"/>
        <item x="3830"/>
        <item x="4062"/>
        <item x="2528"/>
        <item x="4166"/>
        <item x="3489"/>
        <item x="4033"/>
        <item x="1193"/>
        <item x="3488"/>
        <item x="4034"/>
        <item x="56"/>
        <item x="567"/>
        <item x="2660"/>
        <item x="1370"/>
        <item x="2956"/>
        <item x="3238"/>
        <item x="4896"/>
        <item x="4106"/>
        <item x="1778"/>
        <item x="3436"/>
        <item x="1915"/>
        <item x="1608"/>
        <item x="1530"/>
        <item x="1213"/>
        <item x="1880"/>
        <item x="977"/>
        <item x="1870"/>
        <item x="4466"/>
        <item x="1939"/>
        <item x="3285"/>
        <item x="3018"/>
        <item x="3041"/>
        <item x="2133"/>
        <item x="1547"/>
        <item x="2775"/>
        <item x="1966"/>
        <item x="658"/>
        <item x="1459"/>
        <item x="2727"/>
        <item x="4600"/>
        <item x="4770"/>
        <item x="3349"/>
        <item x="2996"/>
        <item x="2480"/>
        <item x="2949"/>
        <item x="4260"/>
        <item x="1835"/>
        <item x="3306"/>
        <item x="430"/>
        <item x="1155"/>
        <item x="4464"/>
        <item x="2827"/>
        <item x="3141"/>
        <item x="3865"/>
        <item x="4315"/>
        <item x="2698"/>
        <item x="3424"/>
        <item x="885"/>
        <item x="913"/>
        <item x="2247"/>
        <item x="4149"/>
        <item x="1656"/>
        <item x="4253"/>
        <item x="879"/>
        <item x="1358"/>
        <item x="4772"/>
        <item x="2261"/>
        <item x="4393"/>
        <item x="3517"/>
        <item x="4804"/>
        <item x="4762"/>
        <item x="2304"/>
        <item x="4378"/>
        <item x="3466"/>
        <item x="4305"/>
        <item x="3521"/>
        <item x="2928"/>
        <item x="4785"/>
        <item x="3761"/>
        <item x="3073"/>
        <item x="2296"/>
        <item x="1398"/>
        <item x="2237"/>
        <item x="3413"/>
        <item x="3743"/>
        <item x="1777"/>
        <item x="27"/>
        <item x="170"/>
        <item x="86"/>
        <item x="823"/>
        <item x="836"/>
        <item x="4187"/>
        <item x="4298"/>
        <item x="2766"/>
        <item x="3806"/>
        <item x="2436"/>
        <item x="1981"/>
        <item x="1646"/>
        <item x="553"/>
        <item x="41"/>
        <item x="577"/>
        <item x="3546"/>
        <item x="4425"/>
        <item x="1804"/>
        <item x="2865"/>
        <item x="283"/>
        <item x="911"/>
        <item x="838"/>
        <item x="390"/>
        <item x="3979"/>
        <item x="2855"/>
        <item x="2762"/>
        <item x="902"/>
        <item x="2403"/>
        <item x="2392"/>
        <item x="715"/>
        <item x="425"/>
        <item x="1552"/>
        <item x="309"/>
        <item x="4907"/>
        <item x="3152"/>
        <item x="3117"/>
        <item x="2932"/>
        <item x="4545"/>
        <item x="1100"/>
        <item x="4700"/>
        <item x="2401"/>
        <item x="933"/>
        <item x="4059"/>
        <item x="2701"/>
        <item x="4402"/>
        <item x="4039"/>
        <item x="3906"/>
        <item x="869"/>
        <item x="3458"/>
        <item x="868"/>
        <item x="1082"/>
        <item x="1032"/>
        <item x="3784"/>
        <item x="3600"/>
        <item x="118"/>
        <item x="2941"/>
        <item x="1142"/>
        <item x="534"/>
        <item x="356"/>
        <item x="223"/>
        <item x="438"/>
        <item x="4524"/>
        <item x="4735"/>
        <item x="1689"/>
        <item x="2283"/>
        <item x="3241"/>
        <item x="4839"/>
        <item x="721"/>
        <item x="1183"/>
        <item x="4348"/>
        <item x="2052"/>
        <item x="4436"/>
        <item x="2712"/>
        <item x="4057"/>
        <item x="1569"/>
        <item x="706"/>
        <item x="1146"/>
        <item x="4145"/>
        <item x="1037"/>
        <item x="4510"/>
        <item x="4801"/>
        <item x="519"/>
        <item x="2809"/>
        <item x="3229"/>
        <item x="1500"/>
        <item x="2834"/>
        <item x="1871"/>
        <item x="4486"/>
        <item x="3945"/>
        <item x="3739"/>
        <item x="4120"/>
        <item x="946"/>
        <item x="2885"/>
        <item x="4740"/>
        <item x="3175"/>
        <item x="386"/>
        <item x="332"/>
        <item x="4221"/>
        <item x="4536"/>
        <item x="1293"/>
        <item x="1983"/>
        <item x="1274"/>
        <item x="1277"/>
        <item x="3547"/>
        <item x="845"/>
        <item x="1350"/>
        <item x="2453"/>
        <item x="3947"/>
        <item x="2959"/>
        <item x="4631"/>
        <item x="2309"/>
        <item x="210"/>
        <item x="3954"/>
        <item x="3340"/>
        <item x="4899"/>
        <item x="691"/>
        <item x="1150"/>
        <item x="3648"/>
        <item x="4882"/>
        <item x="423"/>
        <item x="657"/>
        <item x="1833"/>
        <item x="4201"/>
        <item x="2130"/>
        <item x="4061"/>
        <item x="4345"/>
        <item x="1438"/>
        <item x="4841"/>
        <item x="307"/>
        <item x="505"/>
        <item x="353"/>
        <item x="1865"/>
        <item x="3298"/>
        <item x="2776"/>
        <item x="1081"/>
        <item x="2579"/>
        <item x="2050"/>
        <item x="3388"/>
        <item x="2268"/>
        <item x="3371"/>
        <item x="4239"/>
        <item x="456"/>
        <item x="415"/>
        <item x="728"/>
        <item x="3549"/>
        <item x="1272"/>
        <item x="3571"/>
        <item x="3973"/>
        <item x="3058"/>
        <item x="4026"/>
        <item x="4734"/>
        <item x="454"/>
        <item x="385"/>
        <item x="2394"/>
        <item x="1454"/>
        <item x="1724"/>
        <item x="2614"/>
        <item x="2652"/>
        <item x="939"/>
        <item x="2269"/>
        <item x="4285"/>
        <item x="463"/>
        <item x="531"/>
        <item x="371"/>
        <item x="734"/>
        <item x="4155"/>
        <item x="1892"/>
        <item x="3507"/>
        <item x="4668"/>
        <item x="2729"/>
        <item x="2598"/>
        <item x="1362"/>
        <item x="2182"/>
        <item x="3017"/>
        <item x="736"/>
        <item x="3166"/>
        <item x="2992"/>
        <item x="1626"/>
        <item x="4411"/>
        <item x="4864"/>
        <item x="2635"/>
        <item x="719"/>
        <item x="1060"/>
        <item x="2298"/>
        <item x="4169"/>
        <item x="1084"/>
        <item x="1907"/>
        <item x="1553"/>
        <item x="2915"/>
        <item x="2246"/>
        <item x="3137"/>
        <item x="3274"/>
        <item x="2690"/>
        <item x="4646"/>
        <item x="944"/>
        <item x="2816"/>
        <item x="4495"/>
        <item x="4031"/>
        <item x="1355"/>
        <item x="3910"/>
        <item x="424"/>
        <item x="4694"/>
        <item x="3478"/>
        <item x="1559"/>
        <item x="841"/>
        <item x="2951"/>
        <item x="2726"/>
        <item x="1921"/>
        <item x="3265"/>
        <item x="2752"/>
        <item x="4603"/>
        <item x="3595"/>
        <item x="2888"/>
        <item x="2569"/>
        <item x="4409"/>
        <item x="2988"/>
        <item x="1727"/>
        <item x="4439"/>
        <item x="4551"/>
        <item x="4743"/>
        <item x="954"/>
        <item x="1119"/>
        <item x="1460"/>
        <item x="346"/>
        <item x="2958"/>
        <item x="3445"/>
        <item x="3929"/>
        <item x="4384"/>
        <item x="3532"/>
        <item x="713"/>
        <item x="935"/>
        <item x="3644"/>
        <item x="2496"/>
        <item x="4030"/>
        <item x="1919"/>
        <item x="2860"/>
        <item x="4131"/>
        <item x="2327"/>
        <item x="2967"/>
        <item x="1998"/>
        <item x="3131"/>
        <item x="244"/>
        <item x="453"/>
        <item x="3442"/>
        <item x="2665"/>
        <item x="1799"/>
        <item x="134"/>
        <item x="794"/>
        <item x="3407"/>
        <item x="3026"/>
        <item x="2953"/>
        <item x="2090"/>
        <item x="2922"/>
        <item x="2156"/>
        <item x="837"/>
        <item x="3990"/>
        <item x="4873"/>
        <item x="1743"/>
        <item x="83"/>
        <item x="3939"/>
        <item x="2439"/>
        <item x="3949"/>
        <item x="2201"/>
        <item x="487"/>
        <item x="4014"/>
        <item x="720"/>
        <item x="3475"/>
        <item x="3733"/>
        <item x="1699"/>
        <item x="2748"/>
        <item x="2987"/>
        <item x="4415"/>
        <item x="2505"/>
        <item x="4562"/>
        <item x="3579"/>
        <item x="4275"/>
        <item x="4005"/>
        <item x="803"/>
        <item x="3764"/>
        <item x="1931"/>
        <item x="3359"/>
        <item x="2110"/>
        <item x="851"/>
        <item x="4737"/>
        <item x="4727"/>
        <item x="671"/>
        <item x="2264"/>
        <item x="1019"/>
        <item x="4634"/>
        <item x="916"/>
        <item x="2259"/>
        <item x="3725"/>
        <item x="732"/>
        <item x="439"/>
        <item x="1117"/>
        <item x="4370"/>
        <item x="3898"/>
        <item x="1014"/>
        <item x="3410"/>
        <item x="471"/>
        <item x="2779"/>
        <item x="2824"/>
        <item x="1304"/>
        <item x="1661"/>
        <item x="2076"/>
        <item x="2654"/>
        <item x="4043"/>
        <item x="4450"/>
        <item x="2072"/>
        <item x="3724"/>
        <item x="3892"/>
        <item x="3414"/>
        <item x="515"/>
        <item x="626"/>
        <item x="4580"/>
        <item x="4645"/>
        <item x="3225"/>
        <item x="4558"/>
        <item x="2542"/>
        <item x="2075"/>
        <item x="2369"/>
        <item x="3124"/>
        <item x="3060"/>
        <item x="3421"/>
        <item x="4667"/>
        <item x="3401"/>
        <item x="3601"/>
        <item x="2580"/>
        <item x="2079"/>
        <item x="2376"/>
        <item x="4073"/>
        <item x="1048"/>
        <item x="2823"/>
        <item x="2470"/>
        <item x="813"/>
        <item x="148"/>
        <item x="584"/>
        <item x="361"/>
        <item x="1738"/>
        <item x="3686"/>
        <item x="4302"/>
        <item x="3675"/>
        <item x="635"/>
        <item x="4200"/>
        <item x="196"/>
        <item x="2974"/>
        <item x="3113"/>
        <item x="2821"/>
        <item x="2240"/>
        <item x="844"/>
        <item x="1585"/>
        <item x="2695"/>
        <item x="1307"/>
        <item x="2636"/>
        <item x="407"/>
        <item x="1788"/>
        <item x="293"/>
        <item x="3611"/>
        <item x="4141"/>
        <item x="1705"/>
        <item x="4516"/>
        <item x="574"/>
        <item x="2975"/>
        <item x="1579"/>
        <item x="3066"/>
        <item x="4709"/>
        <item x="4679"/>
        <item x="1373"/>
        <item x="1364"/>
        <item x="3542"/>
        <item x="3460"/>
        <item x="895"/>
        <item x="1015"/>
        <item x="3603"/>
        <item x="1929"/>
        <item x="3578"/>
        <item x="4574"/>
        <item x="1423"/>
        <item x="3782"/>
        <item x="4079"/>
        <item x="1933"/>
        <item x="956"/>
        <item x="2272"/>
        <item x="607"/>
        <item x="1522"/>
        <item x="3425"/>
        <item x="2523"/>
        <item x="1177"/>
        <item x="2014"/>
        <item x="2179"/>
        <item x="3653"/>
        <item x="4400"/>
        <item x="3894"/>
        <item x="3348"/>
        <item x="4881"/>
        <item x="1600"/>
        <item x="3232"/>
        <item x="2784"/>
        <item x="566"/>
        <item x="4435"/>
        <item x="4264"/>
        <item x="1758"/>
        <item x="601"/>
        <item x="4419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0"/>
        <item x="645"/>
        <item x="1542"/>
        <item x="536"/>
        <item x="3956"/>
        <item x="422"/>
        <item x="3492"/>
        <item x="1255"/>
        <item x="4633"/>
        <item x="1023"/>
        <item x="2982"/>
        <item x="3317"/>
        <item x="2613"/>
        <item x="571"/>
        <item x="3756"/>
        <item x="3372"/>
        <item x="3107"/>
        <item x="2531"/>
        <item x="2149"/>
        <item x="4890"/>
        <item x="2795"/>
        <item x="4838"/>
        <item x="2091"/>
        <item x="654"/>
        <item x="3528"/>
        <item x="2540"/>
        <item x="3626"/>
        <item x="2947"/>
        <item x="2506"/>
        <item x="1197"/>
        <item x="1655"/>
        <item x="1103"/>
        <item x="2711"/>
        <item x="1294"/>
        <item x="766"/>
        <item x="4889"/>
        <item x="2321"/>
        <item x="3741"/>
        <item x="2311"/>
        <item x="4279"/>
        <item x="4021"/>
        <item x="3028"/>
        <item x="455"/>
        <item x="2815"/>
        <item x="1047"/>
        <item x="4007"/>
        <item x="1005"/>
        <item x="3327"/>
        <item x="3803"/>
        <item x="2765"/>
        <item x="723"/>
        <item x="4843"/>
        <item x="4272"/>
        <item x="2419"/>
        <item x="1927"/>
        <item x="4367"/>
        <item x="4222"/>
        <item x="4144"/>
        <item x="773"/>
        <item x="75"/>
        <item x="3171"/>
        <item x="795"/>
        <item x="2151"/>
        <item x="1198"/>
        <item x="1671"/>
        <item x="4265"/>
        <item x="4908"/>
        <item x="3279"/>
        <item x="682"/>
        <item x="1525"/>
        <item x="3486"/>
        <item x="1914"/>
        <item x="872"/>
        <item x="887"/>
        <item x="1453"/>
        <item x="4150"/>
        <item x="3994"/>
        <item x="3176"/>
        <item x="226"/>
        <item x="4542"/>
        <item x="3582"/>
        <item x="3909"/>
        <item x="3072"/>
        <item x="397"/>
        <item x="302"/>
        <item x="3104"/>
        <item x="2600"/>
        <item x="265"/>
        <item x="2217"/>
        <item x="408"/>
        <item x="403"/>
        <item x="3326"/>
        <item x="1336"/>
        <item x="4656"/>
        <item x="4053"/>
        <item x="2552"/>
        <item x="1648"/>
        <item x="637"/>
        <item x="2245"/>
        <item x="2166"/>
        <item x="300"/>
        <item x="2300"/>
        <item x="298"/>
        <item x="292"/>
        <item x="4832"/>
        <item x="928"/>
        <item x="2872"/>
        <item x="3305"/>
        <item x="997"/>
        <item x="3530"/>
        <item x="1224"/>
        <item x="4097"/>
        <item x="4588"/>
        <item x="621"/>
        <item x="2493"/>
        <item x="2196"/>
        <item x="3187"/>
        <item x="4212"/>
        <item x="1936"/>
        <item x="74"/>
        <item x="785"/>
        <item x="1822"/>
        <item x="685"/>
        <item x="2265"/>
        <item x="2263"/>
        <item x="3706"/>
        <item x="4648"/>
        <item x="4162"/>
        <item x="3661"/>
        <item x="3922"/>
        <item x="2482"/>
        <item x="858"/>
        <item x="483"/>
        <item x="2812"/>
        <item x="4755"/>
        <item x="2838"/>
        <item x="853"/>
        <item x="4892"/>
        <item x="3790"/>
        <item x="2127"/>
        <item x="1510"/>
        <item x="158"/>
        <item x="2743"/>
        <item x="526"/>
        <item x="4314"/>
        <item x="3385"/>
        <item x="1575"/>
        <item x="1342"/>
        <item x="4406"/>
        <item x="1300"/>
        <item x="1258"/>
        <item x="2194"/>
        <item x="2639"/>
        <item x="4114"/>
        <item x="882"/>
        <item x="663"/>
        <item x="2994"/>
        <item x="4692"/>
        <item x="449"/>
        <item x="4830"/>
        <item x="3448"/>
        <item x="3516"/>
        <item x="942"/>
        <item x="1013"/>
        <item x="4612"/>
        <item x="4420"/>
        <item x="2835"/>
        <item x="3800"/>
        <item x="2398"/>
        <item x="3986"/>
        <item x="474"/>
        <item x="4136"/>
        <item x="219"/>
        <item x="246"/>
        <item x="1284"/>
        <item x="2777"/>
        <item x="3375"/>
        <item x="3734"/>
        <item x="3415"/>
        <item x="3728"/>
        <item x="208"/>
        <item x="3772"/>
        <item x="2027"/>
        <item x="1093"/>
        <item x="4092"/>
        <item x="2723"/>
        <item x="2955"/>
        <item x="2360"/>
        <item x="4521"/>
        <item x="1292"/>
        <item x="3963"/>
        <item x="2693"/>
        <item x="1489"/>
        <item x="4343"/>
        <item x="1253"/>
        <item x="3223"/>
        <item x="3353"/>
        <item x="3190"/>
        <item x="3682"/>
        <item x="1180"/>
        <item x="675"/>
        <item x="4658"/>
        <item x="2337"/>
        <item x="4724"/>
        <item x="4379"/>
        <item x="1828"/>
        <item x="1878"/>
        <item x="1250"/>
        <item x="2034"/>
        <item x="169"/>
        <item x="2836"/>
        <item x="1137"/>
        <item x="334"/>
        <item x="1881"/>
        <item x="4638"/>
        <item x="2230"/>
        <item x="2108"/>
        <item x="4611"/>
        <item x="2641"/>
        <item x="2345"/>
        <item x="963"/>
        <item x="1051"/>
        <item x="546"/>
        <item x="4723"/>
        <item x="4029"/>
        <item x="4467"/>
        <item x="897"/>
        <item x="3260"/>
        <item x="1445"/>
        <item x="2289"/>
        <item x="3403"/>
        <item x="1824"/>
        <item x="1810"/>
        <item x="1670"/>
        <item x="2629"/>
        <item x="1470"/>
        <item x="555"/>
        <item x="1561"/>
        <item x="843"/>
        <item x="2774"/>
        <item x="1846"/>
        <item x="3422"/>
        <item x="1736"/>
        <item x="458"/>
        <item x="143"/>
        <item x="788"/>
        <item x="3735"/>
        <item x="4891"/>
        <item x="665"/>
        <item x="4529"/>
        <item x="4452"/>
        <item x="1126"/>
        <item x="4296"/>
        <item x="562"/>
        <item x="2006"/>
        <item x="4544"/>
        <item x="2115"/>
        <item x="3035"/>
        <item x="984"/>
        <item x="2931"/>
        <item x="1749"/>
        <item x="3691"/>
        <item x="4374"/>
        <item x="1603"/>
        <item x="1809"/>
        <item x="827"/>
        <item x="2051"/>
        <item x="4038"/>
        <item x="2930"/>
        <item x="4335"/>
        <item x="1605"/>
        <item x="447"/>
        <item x="3896"/>
        <item x="3843"/>
        <item x="4052"/>
        <item x="3771"/>
        <item x="3002"/>
        <item x="4018"/>
        <item x="1320"/>
        <item x="4506"/>
        <item x="4064"/>
        <item x="3587"/>
        <item x="1816"/>
        <item x="2644"/>
        <item x="1862"/>
        <item x="3639"/>
        <item x="856"/>
        <item x="1001"/>
        <item x="3181"/>
        <item x="2114"/>
        <item x="2719"/>
        <item x="3463"/>
        <item x="4027"/>
        <item x="4226"/>
        <item x="3915"/>
        <item x="1566"/>
        <item x="2897"/>
        <item x="3061"/>
        <item x="1604"/>
        <item x="4376"/>
        <item x="4138"/>
        <item x="4070"/>
        <item x="3665"/>
        <item x="4139"/>
        <item x="4083"/>
        <item x="3907"/>
        <item x="1413"/>
        <item x="3495"/>
        <item x="1682"/>
        <item x="4417"/>
        <item x="2226"/>
        <item x="1087"/>
        <item x="4293"/>
        <item x="2934"/>
        <item x="912"/>
        <item x="4157"/>
        <item x="1723"/>
        <item x="4458"/>
        <item x="125"/>
        <item x="4537"/>
        <item x="4112"/>
        <item x="3794"/>
        <item x="4188"/>
        <item x="2757"/>
        <item x="156"/>
        <item x="2691"/>
        <item x="4884"/>
        <item x="563"/>
        <item x="2499"/>
        <item x="45"/>
        <item x="1466"/>
        <item x="464"/>
        <item x="3875"/>
        <item x="965"/>
        <item x="167"/>
        <item x="77"/>
        <item x="4860"/>
        <item x="3607"/>
        <item x="1077"/>
        <item x="1017"/>
        <item x="2066"/>
        <item x="3718"/>
        <item x="322"/>
        <item x="762"/>
        <item x="4225"/>
        <item x="4101"/>
        <item x="781"/>
        <item x="945"/>
        <item x="1380"/>
        <item x="4178"/>
        <item x="3213"/>
        <item x="1555"/>
        <item x="834"/>
        <item x="4871"/>
        <item x="2218"/>
        <item x="3461"/>
        <item x="1281"/>
        <item x="1192"/>
        <item x="1215"/>
        <item x="3430"/>
        <item x="4123"/>
        <item x="1657"/>
        <item x="3105"/>
        <item x="4196"/>
        <item x="1260"/>
        <item x="1568"/>
        <item x="444"/>
        <item x="2411"/>
        <item x="1963"/>
        <item x="132"/>
        <item x="4185"/>
        <item x="2733"/>
        <item x="221"/>
        <item x="822"/>
        <item x="2187"/>
        <item x="2252"/>
        <item x="3605"/>
        <item x="2059"/>
        <item x="149"/>
        <item x="1771"/>
        <item x="1377"/>
        <item x="890"/>
        <item x="2935"/>
        <item x="4356"/>
        <item x="2921"/>
        <item x="2015"/>
        <item x="4653"/>
        <item x="4766"/>
        <item x="280"/>
        <item x="3253"/>
        <item x="2853"/>
        <item x="3282"/>
        <item x="1627"/>
        <item x="1697"/>
        <item x="4130"/>
        <item x="3494"/>
        <item x="1518"/>
        <item x="3558"/>
        <item x="874"/>
        <item x="3919"/>
        <item x="4438"/>
        <item x="162"/>
        <item x="1688"/>
        <item x="4440"/>
        <item x="98"/>
        <item x="1557"/>
        <item x="709"/>
        <item x="3965"/>
        <item x="3512"/>
        <item x="707"/>
        <item x="279"/>
        <item x="3891"/>
        <item x="2341"/>
        <item x="2462"/>
        <item x="3509"/>
        <item x="2735"/>
        <item x="4793"/>
        <item x="3197"/>
        <item x="4649"/>
        <item x="1906"/>
        <item x="2787"/>
        <item x="3412"/>
        <item x="3037"/>
        <item x="2551"/>
        <item x="1886"/>
        <item x="806"/>
        <item x="4682"/>
        <item x="2382"/>
        <item x="2760"/>
        <item x="1236"/>
        <item x="3622"/>
        <item x="1714"/>
        <item x="4295"/>
        <item x="3248"/>
        <item x="4732"/>
        <item x="1852"/>
        <item x="4405"/>
        <item x="3693"/>
        <item x="4227"/>
        <item x="243"/>
        <item x="3514"/>
        <item x="42"/>
        <item x="3713"/>
        <item x="3369"/>
        <item x="318"/>
        <item x="973"/>
        <item x="2972"/>
        <item x="1649"/>
        <item x="4066"/>
        <item x="899"/>
        <item x="4625"/>
        <item x="2620"/>
        <item x="2715"/>
        <item x="4347"/>
        <item x="443"/>
        <item x="529"/>
        <item x="1324"/>
        <item x="95"/>
        <item x="1401"/>
        <item x="4481"/>
        <item x="255"/>
        <item x="3148"/>
        <item x="3200"/>
        <item x="4799"/>
        <item x="2554"/>
        <item x="1308"/>
        <item x="2083"/>
        <item x="525"/>
        <item x="3319"/>
        <item x="4584"/>
        <item x="1937"/>
        <item x="631"/>
        <item x="3673"/>
        <item x="3540"/>
        <item x="2606"/>
        <item x="4096"/>
        <item x="2461"/>
        <item x="2610"/>
        <item x="3668"/>
        <item x="3250"/>
        <item x="2424"/>
        <item x="116"/>
        <item x="2322"/>
        <item x="4274"/>
        <item x="1249"/>
        <item x="1642"/>
        <item x="1592"/>
        <item x="991"/>
        <item x="398"/>
        <item x="3821"/>
        <item x="957"/>
        <item x="1053"/>
        <item x="4020"/>
        <item x="4853"/>
        <item x="174"/>
        <item x="391"/>
        <item x="3051"/>
        <item x="4752"/>
        <item x="4288"/>
        <item x="4534"/>
        <item x="615"/>
        <item x="3465"/>
        <item x="2112"/>
        <item x="4485"/>
        <item x="2048"/>
        <item x="1745"/>
        <item x="2884"/>
        <item x="3233"/>
        <item x="3914"/>
        <item x="2808"/>
        <item x="4556"/>
        <item x="3397"/>
        <item x="282"/>
        <item x="203"/>
        <item x="197"/>
        <item x="115"/>
        <item x="9"/>
        <item x="114"/>
        <item x="193"/>
        <item x="200"/>
        <item x="4186"/>
        <item x="611"/>
        <item x="3612"/>
        <item x="4329"/>
        <item x="4586"/>
        <item x="4862"/>
        <item x="2043"/>
        <item x="1928"/>
        <item x="1383"/>
        <item x="2756"/>
        <item x="3621"/>
        <item x="3127"/>
        <item x="1337"/>
        <item x="1564"/>
        <item x="2965"/>
        <item x="3704"/>
        <item x="1134"/>
        <item x="3212"/>
        <item x="3556"/>
        <item x="1449"/>
        <item x="3332"/>
        <item x="4501"/>
        <item x="427"/>
        <item x="742"/>
        <item x="4437"/>
        <item x="3882"/>
        <item x="3738"/>
        <item x="3239"/>
        <item x="4880"/>
        <item x="2038"/>
        <item x="955"/>
        <item x="310"/>
        <item x="1151"/>
        <item x="2659"/>
        <item x="988"/>
        <item x="1161"/>
        <item x="4814"/>
        <item x="4683"/>
        <item x="1188"/>
        <item x="3459"/>
        <item x="3099"/>
        <item x="507"/>
        <item x="4513"/>
        <item x="1884"/>
        <item x="3941"/>
        <item x="1152"/>
        <item x="2192"/>
        <item x="3168"/>
        <item x="4577"/>
        <item x="3604"/>
        <item x="4615"/>
        <item x="3476"/>
        <item x="2977"/>
        <item x="3807"/>
        <item x="4065"/>
        <item x="4269"/>
        <item x="2543"/>
        <item x="2647"/>
        <item x="1841"/>
        <item x="4237"/>
        <item x="2990"/>
        <item x="2096"/>
        <item x="1431"/>
        <item x="833"/>
        <item x="2450"/>
        <item x="4504"/>
        <item x="4025"/>
        <item x="1754"/>
        <item x="1451"/>
        <item x="2146"/>
        <item x="372"/>
        <item x="2541"/>
        <item x="551"/>
        <item x="4834"/>
        <item x="804"/>
        <item x="3859"/>
        <item x="2129"/>
        <item x="2565"/>
        <item x="2228"/>
        <item x="2658"/>
        <item x="4688"/>
        <item x="260"/>
        <item x="4394"/>
        <item x="186"/>
        <item x="2085"/>
        <item x="2388"/>
        <item x="1690"/>
        <item x="2448"/>
        <item x="583"/>
        <item x="4578"/>
        <item x="2671"/>
        <item x="700"/>
        <item x="1607"/>
        <item x="1602"/>
        <item x="1223"/>
        <item x="1393"/>
        <item x="4765"/>
        <item x="549"/>
        <item x="3752"/>
        <item x="3377"/>
        <item x="2524"/>
        <item x="1462"/>
        <item x="1950"/>
        <item x="2778"/>
        <item x="1372"/>
        <item x="532"/>
        <item x="2449"/>
        <item x="472"/>
        <item x="396"/>
        <item x="4358"/>
        <item x="3482"/>
        <item x="3427"/>
        <item x="4204"/>
        <item x="2925"/>
        <item x="2504"/>
        <item x="3897"/>
        <item x="1437"/>
        <item x="2335"/>
        <item x="3651"/>
        <item x="4341"/>
        <item x="3033"/>
        <item x="230"/>
        <item x="4382"/>
        <item x="2895"/>
        <item x="2486"/>
        <item x="2170"/>
        <item x="215"/>
        <item x="2916"/>
        <item x="1363"/>
        <item x="2534"/>
        <item x="3887"/>
        <item x="929"/>
        <item x="1775"/>
        <item x="161"/>
        <item x="93"/>
        <item x="1677"/>
        <item x="3334"/>
        <item x="2028"/>
        <item x="4098"/>
        <item x="678"/>
        <item x="70"/>
        <item x="166"/>
        <item x="4207"/>
        <item x="3948"/>
        <item x="4629"/>
        <item x="4068"/>
        <item x="117"/>
        <item x="3133"/>
        <item x="959"/>
        <item x="2069"/>
        <item x="2440"/>
        <item x="2336"/>
        <item x="2437"/>
        <item x="2021"/>
        <item x="1505"/>
        <item x="3917"/>
        <item x="2087"/>
        <item x="3457"/>
        <item x="2457"/>
        <item x="2847"/>
        <item x="2406"/>
        <item x="4848"/>
        <item x="1205"/>
        <item x="4304"/>
        <item x="4745"/>
        <item x="4476"/>
        <item x="3748"/>
        <item x="4287"/>
        <item x="608"/>
        <item x="2009"/>
        <item x="2753"/>
        <item x="4327"/>
        <item x="4685"/>
        <item x="680"/>
        <item x="271"/>
        <item x="644"/>
        <item x="331"/>
        <item x="354"/>
        <item x="523"/>
        <item x="1925"/>
        <item x="4084"/>
        <item x="1397"/>
        <item x="1747"/>
        <item x="4125"/>
        <item x="2682"/>
        <item x="2648"/>
        <item x="2981"/>
        <item x="3243"/>
        <item x="4056"/>
        <item x="3158"/>
        <item x="2290"/>
        <item x="3167"/>
        <item x="3366"/>
        <item x="876"/>
        <item x="548"/>
        <item x="4142"/>
        <item x="1299"/>
        <item x="1405"/>
        <item x="2672"/>
        <item x="3912"/>
        <item x="1685"/>
        <item x="1832"/>
        <item x="4499"/>
        <item x="4286"/>
        <item x="4885"/>
        <item x="2936"/>
        <item x="316"/>
        <item x="4159"/>
        <item x="2843"/>
        <item x="3029"/>
        <item x="799"/>
        <item x="3937"/>
        <item x="4197"/>
        <item x="2049"/>
        <item x="1428"/>
        <item x="3426"/>
        <item x="3483"/>
        <item x="97"/>
        <item x="1063"/>
        <item x="4354"/>
        <item x="516"/>
        <item x="92"/>
        <item x="4278"/>
        <item x="54"/>
        <item x="1030"/>
        <item x="1733"/>
        <item x="4840"/>
        <item x="2355"/>
        <item x="3881"/>
        <item x="2839"/>
        <item x="582"/>
        <item x="2271"/>
        <item x="4759"/>
        <item x="796"/>
        <item x="4199"/>
        <item x="4183"/>
        <item x="3012"/>
        <item x="937"/>
        <item x="78"/>
        <item x="4316"/>
        <item x="3627"/>
        <item x="3062"/>
        <item x="4650"/>
        <item x="1057"/>
        <item x="527"/>
        <item x="864"/>
        <item x="3635"/>
        <item x="253"/>
        <item x="96"/>
        <item x="4573"/>
        <item x="931"/>
        <item x="1006"/>
        <item x="3215"/>
        <item x="971"/>
        <item x="2223"/>
        <item x="936"/>
        <item x="771"/>
        <item x="4695"/>
        <item x="2995"/>
        <item x="3082"/>
        <item x="764"/>
        <item x="1385"/>
        <item x="3927"/>
        <item x="4566"/>
        <item x="3606"/>
        <item x="80"/>
        <item x="32"/>
        <item x="69"/>
        <item x="1994"/>
        <item x="4605"/>
        <item x="3614"/>
        <item x="1283"/>
        <item x="1381"/>
        <item x="4161"/>
        <item x="4708"/>
        <item x="3210"/>
        <item x="3194"/>
        <item x="3967"/>
        <item x="4208"/>
        <item x="1825"/>
        <item x="404"/>
        <item x="3341"/>
        <item x="1439"/>
        <item x="3219"/>
        <item x="508"/>
        <item x="4147"/>
        <item x="731"/>
        <item x="752"/>
        <item x="49"/>
        <item x="2136"/>
        <item x="2979"/>
        <item x="3630"/>
        <item x="2883"/>
        <item x="1016"/>
        <item x="2680"/>
        <item x="2003"/>
        <item x="568"/>
        <item x="222"/>
        <item x="3988"/>
        <item x="3983"/>
        <item x="2754"/>
        <item x="4016"/>
        <item x="2137"/>
        <item x="2870"/>
        <item x="2044"/>
        <item x="2081"/>
        <item x="1905"/>
        <item x="3052"/>
        <item x="3132"/>
        <item x="2764"/>
        <item x="3703"/>
        <item x="2530"/>
        <item x="921"/>
        <item x="1234"/>
        <item x="1446"/>
        <item x="4526"/>
        <item x="4761"/>
        <item x="4104"/>
        <item x="1207"/>
        <item x="4505"/>
        <item x="1864"/>
        <item x="3022"/>
        <item x="741"/>
        <item x="2522"/>
        <item x="1340"/>
        <item x="3860"/>
        <item x="5"/>
        <item x="1366"/>
        <item x="1125"/>
        <item x="1101"/>
        <item x="4637"/>
        <item x="2894"/>
        <item x="1059"/>
        <item x="2739"/>
        <item x="2084"/>
        <item x="504"/>
        <item x="4365"/>
        <item x="4078"/>
        <item x="1068"/>
        <item x="2039"/>
        <item x="753"/>
        <item x="2095"/>
        <item x="1792"/>
        <item x="3995"/>
        <item x="3573"/>
        <item x="1194"/>
        <item x="4610"/>
        <item x="426"/>
        <item x="3411"/>
        <item x="3191"/>
        <item x="3399"/>
        <item x="62"/>
        <item x="340"/>
        <item x="689"/>
        <item x="29"/>
        <item x="452"/>
        <item x="808"/>
        <item x="4040"/>
        <item x="2339"/>
        <item x="1767"/>
        <item x="1301"/>
        <item x="2918"/>
        <item x="2789"/>
        <item x="2557"/>
        <item x="384"/>
        <item x="3023"/>
        <item x="4009"/>
        <item x="735"/>
        <item x="2354"/>
        <item x="4502"/>
        <item x="1040"/>
        <item x="2898"/>
        <item x="2634"/>
        <item x="1721"/>
        <item x="3698"/>
        <item x="4569"/>
        <item x="4099"/>
        <item x="3596"/>
        <item x="2709"/>
        <item x="1776"/>
        <item x="1756"/>
        <item x="4312"/>
        <item x="1091"/>
        <item x="3312"/>
        <item x="4309"/>
        <item x="846"/>
        <item x="849"/>
        <item x="4570"/>
        <item x="3710"/>
        <item x="612"/>
        <item x="3153"/>
        <item x="541"/>
        <item x="2642"/>
        <item x="4322"/>
        <item x="1820"/>
        <item x="25"/>
        <item x="272"/>
        <item x="4616"/>
        <item x="1922"/>
        <item x="1978"/>
        <item x="3004"/>
        <item x="2681"/>
        <item x="1280"/>
        <item x="1899"/>
        <item x="4640"/>
        <item x="1789"/>
        <item x="4311"/>
        <item x="3087"/>
        <item x="3216"/>
        <item x="231"/>
        <item x="1477"/>
        <item x="2651"/>
        <item x="1780"/>
        <item x="941"/>
        <item x="1039"/>
        <item x="2595"/>
        <item x="3151"/>
        <item x="1468"/>
        <item x="3992"/>
        <item x="1774"/>
        <item x="2229"/>
        <item x="1996"/>
        <item x="138"/>
        <item x="153"/>
        <item x="183"/>
        <item x="3090"/>
        <item x="4531"/>
        <item x="1403"/>
        <item x="4581"/>
        <item x="3490"/>
        <item x="3036"/>
        <item x="3925"/>
        <item x="2420"/>
        <item x="730"/>
        <item x="588"/>
        <item x="3755"/>
        <item x="3787"/>
        <item x="2220"/>
        <item x="4074"/>
        <item x="4426"/>
        <item x="3575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1"/>
        <item x="3584"/>
        <item x="898"/>
        <item x="2605"/>
        <item x="1546"/>
        <item x="3500"/>
        <item x="3613"/>
        <item x="2349"/>
        <item x="811"/>
        <item x="3820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5"/>
        <item x="2254"/>
        <item x="1389"/>
        <item x="165"/>
        <item x="2458"/>
        <item x="3842"/>
        <item x="3757"/>
        <item x="2817"/>
        <item x="4024"/>
        <item x="1623"/>
        <item x="1061"/>
        <item x="1156"/>
        <item x="1420"/>
        <item x="4153"/>
        <item x="2404"/>
        <item x="3786"/>
        <item x="220"/>
        <item x="1285"/>
        <item x="537"/>
        <item x="1954"/>
        <item x="4604"/>
        <item x="2825"/>
        <item x="3709"/>
        <item x="3631"/>
        <item x="4747"/>
        <item x="1616"/>
        <item x="437"/>
        <item x="3792"/>
        <item x="2558"/>
        <item x="3288"/>
        <item x="1786"/>
        <item x="646"/>
        <item x="1490"/>
        <item x="1469"/>
        <item x="4482"/>
        <item x="2692"/>
        <item x="4768"/>
        <item x="1663"/>
        <item x="2280"/>
        <item x="2759"/>
        <item x="290"/>
        <item x="3301"/>
        <item x="1708"/>
        <item x="480"/>
        <item x="1641"/>
        <item x="3551"/>
        <item x="1989"/>
        <item x="2587"/>
        <item x="693"/>
        <item x="3408"/>
        <item x="266"/>
        <item x="4557"/>
        <item x="4283"/>
        <item x="2917"/>
        <item x="2801"/>
        <item x="4360"/>
        <item x="4728"/>
        <item x="2244"/>
        <item x="3416"/>
        <item x="3021"/>
        <item x="881"/>
        <item x="754"/>
        <item x="4547"/>
        <item x="4219"/>
        <item x="3672"/>
        <item x="1184"/>
        <item x="3676"/>
        <item x="4632"/>
        <item x="490"/>
        <item x="1599"/>
        <item x="3226"/>
        <item x="1160"/>
        <item x="1957"/>
        <item x="3940"/>
        <item x="2236"/>
        <item x="3452"/>
        <item x="469"/>
        <item x="3815"/>
        <item x="1765"/>
        <item x="2472"/>
        <item x="2619"/>
        <item x="1672"/>
        <item x="1085"/>
        <item x="3809"/>
        <item x="4744"/>
        <item x="2396"/>
        <item x="1122"/>
        <item x="4686"/>
        <item x="3102"/>
        <item x="4609"/>
        <item x="4445"/>
        <item x="1990"/>
        <item x="3848"/>
        <item x="2402"/>
        <item x="4736"/>
        <item x="3722"/>
        <item x="4028"/>
        <item x="3032"/>
        <item x="4503"/>
        <item x="3572"/>
        <item x="1795"/>
        <item x="679"/>
        <item x="901"/>
        <item x="1179"/>
        <item x="4472"/>
        <item x="1485"/>
        <item x="3902"/>
        <item x="3112"/>
        <item x="2276"/>
        <item x="2864"/>
        <item x="3020"/>
        <item x="1710"/>
        <item x="1010"/>
        <item x="4617"/>
        <item x="4164"/>
        <item x="3057"/>
        <item x="4776"/>
        <item x="128"/>
        <item x="2097"/>
        <item x="2969"/>
        <item x="147"/>
        <item x="518"/>
        <item x="121"/>
        <item x="3342"/>
        <item x="1233"/>
        <item x="3696"/>
        <item x="2445"/>
        <item x="3046"/>
        <item x="2153"/>
        <item x="2560"/>
        <item x="3819"/>
        <item x="2716"/>
        <item x="3406"/>
        <item x="1361"/>
        <item x="840"/>
        <item x="3893"/>
        <item x="2983"/>
        <item x="1416"/>
        <item x="82"/>
        <item x="4786"/>
        <item x="2603"/>
        <item x="3513"/>
        <item x="3139"/>
        <item x="2581"/>
        <item x="3609"/>
        <item x="905"/>
        <item x="15"/>
        <item x="1003"/>
        <item x="2172"/>
        <item x="1172"/>
        <item x="738"/>
        <item x="910"/>
        <item x="4258"/>
        <item x="1507"/>
        <item x="2721"/>
        <item x="4699"/>
        <item x="4886"/>
        <item x="2425"/>
        <item x="3942"/>
        <item x="3454"/>
        <item x="2299"/>
        <item x="2772"/>
        <item x="3943"/>
        <item x="3961"/>
        <item x="1279"/>
        <item x="4110"/>
        <item x="703"/>
        <item x="987"/>
        <item x="2946"/>
        <item x="482"/>
        <item x="142"/>
        <item x="4456"/>
        <item x="1806"/>
        <item x="3978"/>
        <item x="2045"/>
        <item x="3518"/>
        <item x="1054"/>
        <item x="3386"/>
        <item x="172"/>
        <item x="2624"/>
        <item x="4085"/>
        <item x="2913"/>
        <item x="1427"/>
        <item x="2164"/>
        <item x="1947"/>
        <item x="4281"/>
        <item x="2471"/>
        <item x="1165"/>
        <item x="1985"/>
        <item x="4182"/>
        <item x="2152"/>
        <item x="4339"/>
        <item x="914"/>
        <item x="4628"/>
        <item x="2380"/>
        <item x="3789"/>
        <item x="1270"/>
        <item x="1238"/>
        <item x="4198"/>
        <item x="793"/>
        <item x="414"/>
        <item x="2165"/>
        <item x="2024"/>
        <item x="702"/>
        <item x="829"/>
        <item x="1638"/>
        <item x="2423"/>
        <item x="199"/>
        <item x="2089"/>
        <item x="3217"/>
        <item x="3646"/>
        <item x="411"/>
        <item x="1286"/>
        <item x="19"/>
        <item x="151"/>
        <item x="348"/>
        <item x="1533"/>
        <item x="3577"/>
        <item x="3382"/>
        <item x="3908"/>
        <item x="777"/>
        <item x="4598"/>
        <item x="1614"/>
        <item x="2434"/>
        <item x="2539"/>
        <item x="2694"/>
        <item x="4673"/>
        <item x="4151"/>
        <item x="176"/>
        <item x="2103"/>
        <item x="1962"/>
        <item x="3420"/>
        <item x="1251"/>
        <item x="1166"/>
        <item x="4782"/>
        <item x="4729"/>
        <item x="3903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2"/>
        <item x="1440"/>
        <item x="3038"/>
        <item x="760"/>
        <item x="1067"/>
        <item x="3624"/>
        <item x="3552"/>
        <item x="1703"/>
        <item x="379"/>
        <item x="154"/>
        <item x="135"/>
        <item x="217"/>
        <item x="140"/>
        <item x="432"/>
        <item x="4303"/>
        <item x="3089"/>
        <item x="3773"/>
        <item x="3311"/>
        <item x="4330"/>
        <item x="2101"/>
        <item x="2124"/>
        <item x="3655"/>
        <item x="3781"/>
        <item x="661"/>
        <item x="3871"/>
        <item x="1808"/>
        <item x="1893"/>
        <item x="627"/>
        <item x="947"/>
        <item x="2421"/>
        <item x="554"/>
        <item x="4390"/>
        <item x="544"/>
        <item x="3640"/>
        <item x="1074"/>
        <item x="3818"/>
        <item x="35"/>
        <item x="68"/>
        <item x="4642"/>
        <item x="235"/>
        <item x="2203"/>
        <item x="4680"/>
        <item x="3697"/>
        <item x="2122"/>
        <item x="1562"/>
        <item x="2513"/>
        <item x="4328"/>
        <item x="1259"/>
        <item x="2143"/>
        <item x="1644"/>
        <item x="798"/>
        <item x="3565"/>
        <item x="3453"/>
        <item x="3180"/>
        <item x="894"/>
        <item x="3114"/>
        <item x="3788"/>
        <item x="1665"/>
        <item x="252"/>
        <item x="1910"/>
        <item x="3367"/>
        <item x="926"/>
        <item x="1558"/>
        <item x="3533"/>
        <item x="145"/>
        <item x="854"/>
        <item x="4308"/>
        <item x="2767"/>
        <item x="2257"/>
        <item x="1850"/>
        <item x="1968"/>
        <item x="3313"/>
        <item x="3095"/>
        <item x="358"/>
        <item x="2683"/>
        <item x="1109"/>
        <item x="1728"/>
        <item x="539"/>
        <item x="2017"/>
        <item x="877"/>
        <item x="989"/>
        <item x="4701"/>
        <item x="1242"/>
        <item x="1422"/>
        <item x="4346"/>
        <item x="4879"/>
        <item x="4670"/>
        <item x="2910"/>
        <item x="4691"/>
        <item x="2216"/>
        <item x="1055"/>
        <item x="2375"/>
        <item x="3666"/>
        <item x="4044"/>
        <item x="2730"/>
        <item x="3157"/>
        <item x="2745"/>
        <item x="2980"/>
        <item x="4915"/>
        <item x="3409"/>
        <item x="4707"/>
        <item x="2456"/>
        <item x="767"/>
        <item x="2104"/>
        <item x="2498"/>
        <item x="4514"/>
        <item x="2483"/>
        <item x="4108"/>
        <item x="3365"/>
        <item x="4332"/>
        <item x="3286"/>
        <item x="4100"/>
        <item x="1781"/>
        <item x="1945"/>
        <item x="2535"/>
        <item x="4289"/>
        <item x="1660"/>
        <item x="3100"/>
        <item x="630"/>
        <item x="1768"/>
        <item x="3535"/>
        <item x="1587"/>
        <item x="1529"/>
        <item x="1617"/>
        <item x="3289"/>
        <item x="2200"/>
        <item x="1450"/>
        <item x="1888"/>
        <item x="4676"/>
        <item x="3381"/>
        <item x="2582"/>
        <item x="297"/>
        <item x="4585"/>
        <item x="3747"/>
        <item x="4372"/>
        <item x="2911"/>
        <item x="642"/>
        <item x="1414"/>
        <item x="2362"/>
        <item x="2211"/>
        <item x="3890"/>
        <item x="4630"/>
        <item x="4050"/>
        <item x="2117"/>
        <item x="2686"/>
        <item x="1371"/>
        <item x="3320"/>
        <item x="3316"/>
        <item x="1837"/>
        <item x="1288"/>
        <item x="2655"/>
        <item x="2751"/>
        <item x="4910"/>
        <item x="3993"/>
        <item x="3203"/>
        <item x="4454"/>
        <item x="4381"/>
        <item x="3149"/>
        <item x="3065"/>
        <item x="247"/>
        <item x="122"/>
        <item x="198"/>
        <item x="3814"/>
        <item x="3810"/>
        <item x="3297"/>
        <item x="3664"/>
        <item x="3440"/>
        <item x="1359"/>
        <item x="4229"/>
        <item x="4318"/>
        <item x="491"/>
        <item x="983"/>
        <item x="1115"/>
        <item x="1868"/>
        <item x="4194"/>
        <item x="3679"/>
        <item x="2810"/>
        <item x="4236"/>
        <item x="1755"/>
        <item x="1874"/>
        <item x="3886"/>
        <item x="191"/>
        <item x="1312"/>
        <item x="949"/>
        <item x="1674"/>
        <item x="4251"/>
        <item x="2599"/>
        <item x="4561"/>
        <item x="3683"/>
        <item x="1784"/>
        <item x="4722"/>
        <item x="1890"/>
        <item x="3878"/>
        <item x="1145"/>
        <item x="4746"/>
        <item x="3560"/>
        <item x="4652"/>
        <item x="376"/>
        <item x="528"/>
        <item x="4262"/>
        <item x="3498"/>
        <item x="2628"/>
        <item x="4297"/>
        <item x="3199"/>
        <item x="2012"/>
        <item x="420"/>
        <item x="1829"/>
        <item x="3013"/>
        <item x="1369"/>
        <item x="232"/>
        <item x="2393"/>
        <item x="4457"/>
        <item x="394"/>
        <item x="405"/>
        <item x="251"/>
        <item x="498"/>
        <item x="4453"/>
        <item x="1779"/>
        <item x="3647"/>
        <item x="3701"/>
        <item x="3193"/>
        <item x="3106"/>
        <item x="1418"/>
        <item x="4716"/>
        <item x="2007"/>
        <item x="4023"/>
        <item x="681"/>
        <item x="3054"/>
        <item x="592"/>
        <item x="979"/>
        <item x="3314"/>
        <item x="4903"/>
        <item x="3129"/>
        <item x="4753"/>
        <item x="1999"/>
        <item x="4530"/>
        <item x="4480"/>
        <item x="1698"/>
        <item x="1737"/>
        <item x="4344"/>
        <item x="3695"/>
        <item x="4810"/>
        <item x="2948"/>
        <item x="2649"/>
        <item x="3097"/>
        <item x="3795"/>
        <item x="1162"/>
        <item x="2891"/>
        <item x="2438"/>
        <item x="2193"/>
        <item x="2248"/>
        <item x="4256"/>
        <item x="1658"/>
        <item x="2700"/>
        <item x="3760"/>
        <item x="3557"/>
        <item x="3259"/>
        <item x="1823"/>
        <item x="4047"/>
        <item x="406"/>
        <item x="4842"/>
        <item x="4614"/>
        <item x="2845"/>
        <item x="4792"/>
        <item x="3519"/>
        <item x="4468"/>
        <item x="1838"/>
        <item x="2163"/>
        <item x="4623"/>
        <item x="2861"/>
        <item x="616"/>
        <item x="3633"/>
        <item x="1772"/>
        <item x="2747"/>
        <item x="3656"/>
        <item x="2077"/>
        <item x="2998"/>
        <item x="1560"/>
        <item x="2359"/>
        <item x="1045"/>
        <item x="3720"/>
        <item x="4299"/>
        <item x="2102"/>
        <item x="978"/>
        <item x="948"/>
        <item x="1026"/>
        <item x="3389"/>
        <item x="3435"/>
        <item x="3115"/>
        <item x="436"/>
        <item x="4833"/>
        <item x="3155"/>
        <item x="38"/>
        <item x="1620"/>
        <item x="3805"/>
        <item x="52"/>
        <item x="861"/>
        <item x="1831"/>
        <item x="2184"/>
        <item x="3473"/>
        <item x="4473"/>
        <item x="144"/>
        <item x="2714"/>
        <item x="4555"/>
        <item x="1298"/>
        <item x="1034"/>
        <item x="2517"/>
        <item x="2234"/>
        <item x="2909"/>
        <item x="3970"/>
        <item x="3632"/>
        <item x="3636"/>
        <item x="4678"/>
        <item x="3642"/>
        <item x="744"/>
        <item x="1873"/>
        <item x="2830"/>
        <item x="1464"/>
        <item x="3196"/>
        <item x="3712"/>
        <item x="2288"/>
        <item x="3759"/>
        <item x="924"/>
        <item x="3356"/>
        <item x="1073"/>
        <item x="2890"/>
        <item x="1338"/>
        <item x="1815"/>
        <item x="1243"/>
        <item x="1252"/>
        <item x="938"/>
        <item x="746"/>
        <item x="3244"/>
        <item x="4846"/>
        <item x="3140"/>
        <item x="111"/>
        <item x="2673"/>
        <item x="2384"/>
        <item x="181"/>
        <item x="4836"/>
        <item x="2312"/>
        <item x="2274"/>
        <item x="347"/>
        <item x="374"/>
        <item x="4808"/>
        <item x="686"/>
        <item x="3485"/>
        <item x="3393"/>
        <item x="2968"/>
        <item x="3075"/>
        <item x="4002"/>
        <item x="3999"/>
        <item x="1526"/>
        <item x="2536"/>
        <item x="2905"/>
        <item x="2985"/>
        <item x="4847"/>
        <item x="4714"/>
        <item x="4719"/>
        <item x="1821"/>
        <item x="4898"/>
        <item x="4883"/>
        <item x="4401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6"/>
        <item x="3515"/>
        <item x="2020"/>
        <item x="1506"/>
        <item x="4010"/>
        <item x="4223"/>
        <item x="830"/>
        <item x="4060"/>
        <item x="2740"/>
        <item x="4051"/>
        <item x="314"/>
        <item x="3982"/>
        <item x="3769"/>
        <item x="3173"/>
        <item x="3269"/>
        <item x="3543"/>
        <item x="3208"/>
        <item x="1425"/>
        <item x="500"/>
        <item x="4337"/>
        <item x="1502"/>
        <item x="2227"/>
        <item x="3857"/>
        <item x="3923"/>
        <item x="3812"/>
        <item x="105"/>
        <item x="2675"/>
        <item x="4669"/>
        <item x="3400"/>
        <item x="758"/>
        <item x="3335"/>
        <item x="1344"/>
        <item x="1442"/>
        <item x="2377"/>
        <item x="1227"/>
        <item x="3344"/>
        <item x="1461"/>
        <item x="2161"/>
        <item x="2724"/>
        <item x="1760"/>
        <item x="1678"/>
        <item x="1773"/>
        <item x="783"/>
        <item x="669"/>
        <item x="4906"/>
        <item x="51"/>
        <item x="3258"/>
        <item x="2294"/>
        <item x="3862"/>
        <item x="1075"/>
        <item x="2578"/>
        <item x="2927"/>
        <item x="2889"/>
        <item x="2379"/>
        <item x="3330"/>
        <item x="224"/>
        <item x="2676"/>
        <item x="673"/>
        <item x="2902"/>
        <item x="4508"/>
        <item x="3736"/>
        <item x="3863"/>
        <item x="2215"/>
        <item x="286"/>
        <item x="3295"/>
        <item x="2131"/>
        <item x="1935"/>
        <item x="1480"/>
        <item x="3883"/>
        <item x="1520"/>
        <item x="189"/>
        <item x="4403"/>
        <item x="12"/>
        <item x="2892"/>
        <item x="3000"/>
        <item x="4850"/>
        <item x="1441"/>
        <item x="4369"/>
        <item x="2848"/>
        <item x="2205"/>
        <item x="2780"/>
        <item x="4681"/>
        <item x="3292"/>
        <item x="201"/>
        <item x="3796"/>
        <item x="3615"/>
        <item x="3711"/>
        <item x="3437"/>
        <item x="950"/>
        <item x="3657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4"/>
        <item x="2320"/>
        <item x="810"/>
        <item x="1131"/>
        <item x="2625"/>
        <item x="4887"/>
        <item x="684"/>
        <item x="3616"/>
        <item x="180"/>
        <item x="581"/>
        <item x="2308"/>
        <item x="1038"/>
        <item x="119"/>
        <item x="2940"/>
        <item x="1202"/>
        <item x="4874"/>
        <item x="2019"/>
        <item x="262"/>
        <item x="4004"/>
        <item x="4375"/>
        <item x="3056"/>
        <item x="440"/>
        <item x="1325"/>
        <item x="668"/>
        <item x="3218"/>
        <item x="506"/>
        <item x="1827"/>
        <item x="2443"/>
        <item x="496"/>
        <item x="1157"/>
        <item x="3262"/>
        <item x="3998"/>
        <item x="1997"/>
        <item x="2442"/>
        <item x="3851"/>
        <item x="816"/>
        <item x="725"/>
        <item x="3727"/>
        <item x="3444"/>
        <item x="4133"/>
        <item x="1508"/>
        <item x="2315"/>
        <item x="2770"/>
        <item x="761"/>
        <item x="2222"/>
        <item x="1374"/>
        <item x="3209"/>
        <item x="4111"/>
        <item x="2533"/>
        <item x="3484"/>
        <item x="1576"/>
        <item x="1271"/>
        <item x="2441"/>
        <item x="1785"/>
        <item x="3096"/>
        <item x="1262"/>
        <item x="4317"/>
        <item x="1548"/>
        <item x="3293"/>
        <item x="3777"/>
        <item x="3130"/>
        <item x="4395"/>
        <item x="1424"/>
        <item x="815"/>
        <item x="976"/>
        <item x="1094"/>
        <item x="670"/>
        <item x="3350"/>
        <item x="2431"/>
        <item x="2831"/>
        <item x="4218"/>
        <item x="2010"/>
        <item x="2157"/>
        <item x="1802"/>
        <item x="3014"/>
        <item x="4704"/>
        <item x="1105"/>
        <item x="1240"/>
        <item x="3214"/>
        <item x="1347"/>
        <item x="1200"/>
        <item x="1869"/>
        <item x="1492"/>
        <item x="4087"/>
        <item x="1050"/>
        <item x="776"/>
        <item x="206"/>
        <item x="380"/>
        <item x="1716"/>
        <item x="4672"/>
        <item x="155"/>
        <item x="341"/>
        <item x="2186"/>
        <item x="4250"/>
        <item x="4579"/>
        <item x="4334"/>
        <item x="3069"/>
        <item x="451"/>
        <item x="2509"/>
        <item x="4213"/>
        <item x="4675"/>
        <item x="2491"/>
        <item x="1762"/>
        <item x="3689"/>
        <item x="22"/>
        <item x="920"/>
        <item x="2088"/>
        <item x="228"/>
        <item x="4107"/>
        <item x="3997"/>
        <item x="448"/>
        <item x="610"/>
        <item x="1343"/>
        <item x="4233"/>
        <item x="4427"/>
        <item x="2422"/>
        <item x="2001"/>
        <item x="4429"/>
        <item x="4661"/>
        <item x="4819"/>
        <item x="2053"/>
        <item x="1739"/>
        <item x="3083"/>
        <item x="613"/>
        <item x="3016"/>
        <item x="4825"/>
        <item x="2717"/>
        <item x="3135"/>
        <item x="1876"/>
        <item x="859"/>
        <item x="2820"/>
        <item x="3958"/>
        <item x="3164"/>
        <item x="4705"/>
        <item x="2900"/>
        <item x="4725"/>
        <item x="4639"/>
        <item x="4553"/>
        <item x="3737"/>
        <item x="1896"/>
        <item x="1593"/>
        <item x="749"/>
        <item x="3374"/>
        <item x="1004"/>
        <item x="4280"/>
        <item x="3126"/>
        <item x="4876"/>
        <item x="578"/>
        <item x="1695"/>
        <item x="3745"/>
        <item x="2487"/>
        <item x="2933"/>
        <item x="351"/>
        <item x="59"/>
        <item x="1391"/>
        <item x="1360"/>
        <item x="3084"/>
        <item x="4758"/>
        <item x="585"/>
        <item x="1478"/>
        <item x="807"/>
        <item x="1753"/>
        <item x="399"/>
        <item x="4489"/>
        <item x="1519"/>
        <item x="4568"/>
        <item x="168"/>
        <item x="4209"/>
        <item x="3623"/>
        <item x="4563"/>
        <item x="190"/>
        <item x="3780"/>
        <item x="3618"/>
        <item x="3853"/>
        <item x="248"/>
        <item x="4904"/>
        <item x="1662"/>
        <item x="4447"/>
        <item x="2718"/>
        <item x="4077"/>
        <item x="1717"/>
        <item x="3768"/>
        <item x="1099"/>
        <item x="2792"/>
        <item x="3687"/>
        <item x="4105"/>
        <item x="3729"/>
        <item x="1415"/>
        <item x="3783"/>
        <item x="641"/>
        <item x="2078"/>
        <item x="2465"/>
        <item x="3628"/>
        <item x="3039"/>
        <item x="3044"/>
        <item x="3019"/>
        <item x="2989"/>
        <item x="4386"/>
        <item x="1975"/>
        <item x="1889"/>
        <item x="1078"/>
        <item x="1066"/>
        <item x="1189"/>
        <item x="2183"/>
        <item x="1857"/>
        <item x="3531"/>
        <item x="2224"/>
        <item x="2142"/>
        <item x="1860"/>
        <item x="421"/>
        <item x="3831"/>
        <item x="418"/>
        <item x="4647"/>
        <item x="2002"/>
        <item x="1190"/>
        <item x="1245"/>
        <item x="2331"/>
        <item x="2573"/>
        <item x="2929"/>
        <item x="1528"/>
        <item x="1584"/>
        <item x="2329"/>
        <item x="3699"/>
        <item x="388"/>
        <item x="1632"/>
        <item x="2239"/>
        <item x="1229"/>
        <item x="1410"/>
        <item x="3844"/>
        <item x="3775"/>
        <item x="2519"/>
        <item x="1729"/>
        <item x="3116"/>
        <item x="2175"/>
        <item x="1847"/>
        <item x="2158"/>
        <item x="866"/>
        <item x="2501"/>
        <item x="3034"/>
        <item x="1750"/>
        <item x="1321"/>
        <item x="2822"/>
        <item x="1725"/>
        <item x="4326"/>
        <item x="3227"/>
        <item x="884"/>
        <item x="2781"/>
        <item x="4635"/>
        <item x="604"/>
        <item x="337"/>
        <item x="3170"/>
        <item x="329"/>
        <item x="817"/>
        <item x="2348"/>
        <item x="1248"/>
        <item x="4418"/>
        <item x="4385"/>
        <item x="3802"/>
        <item x="1328"/>
        <item x="3481"/>
        <item x="1124"/>
        <item x="3329"/>
        <item x="2074"/>
        <item x="892"/>
        <item x="1818"/>
        <item x="4353"/>
        <item x="1216"/>
        <item x="1206"/>
        <item x="3499"/>
        <item x="4914"/>
        <item x="952"/>
        <item x="852"/>
        <item x="2489"/>
        <item x="3161"/>
        <item x="4249"/>
        <item x="1951"/>
        <item x="535"/>
        <item x="3924"/>
        <item x="4154"/>
        <item x="3559"/>
        <item x="2318"/>
        <item x="3670"/>
        <item x="1930"/>
        <item x="4779"/>
        <item x="4294"/>
        <item x="1973"/>
        <item x="362"/>
        <item x="209"/>
        <item x="4220"/>
        <item x="3043"/>
        <item x="4803"/>
        <item x="2202"/>
        <item x="1909"/>
        <item x="3918"/>
        <item x="4448"/>
        <item x="3602"/>
        <item x="2713"/>
        <item x="3278"/>
        <item x="4624"/>
        <item x="756"/>
        <item x="3861"/>
        <item x="4787"/>
        <item x="3379"/>
        <item x="4780"/>
        <item x="4191"/>
        <item x="2209"/>
        <item x="4754"/>
        <item x="3744"/>
        <item x="4132"/>
        <item x="4693"/>
        <item x="3339"/>
        <item x="1278"/>
        <item x="576"/>
        <item x="87"/>
        <item x="107"/>
        <item x="918"/>
        <item x="446"/>
        <item x="3309"/>
        <item x="1628"/>
        <item x="3230"/>
        <item x="1652"/>
        <item x="2459"/>
        <item x="4911"/>
        <item x="575"/>
        <item x="967"/>
        <item x="2225"/>
        <item x="4167"/>
        <item x="3797"/>
        <item x="4428"/>
        <item x="2702"/>
        <item x="3284"/>
        <item x="2113"/>
        <item x="4089"/>
        <item x="1834"/>
        <item x="2221"/>
        <item x="3554"/>
        <item x="1203"/>
        <item x="683"/>
        <item x="784"/>
        <item x="4091"/>
        <item x="3076"/>
        <item x="3977"/>
        <item x="4720"/>
        <item x="465"/>
        <item x="4206"/>
        <item x="3272"/>
        <item x="619"/>
        <item x="1404"/>
        <item x="30"/>
        <item x="3085"/>
        <item x="4245"/>
        <item x="4888"/>
        <item x="3006"/>
        <item x="4465"/>
        <item x="4118"/>
        <item x="3731"/>
        <item x="4160"/>
        <item x="1130"/>
        <item x="3110"/>
        <item x="586"/>
        <item x="3537"/>
        <item x="3750"/>
        <item x="2563"/>
        <item x="2561"/>
        <item x="3991"/>
        <item x="2722"/>
        <item x="3694"/>
        <item x="4238"/>
        <item x="1217"/>
        <item x="2400"/>
        <item x="4872"/>
        <item x="1488"/>
        <item x="4173"/>
        <item x="2464"/>
        <item x="559"/>
        <item x="1515"/>
        <item x="2966"/>
        <item x="2594"/>
        <item x="4324"/>
        <item x="2804"/>
        <item x="1527"/>
        <item x="1378"/>
        <item x="3570"/>
        <item x="3471"/>
        <item x="81"/>
        <item x="4351"/>
        <item x="4512"/>
        <item x="1843"/>
        <item x="1313"/>
        <item x="1052"/>
        <item x="552"/>
        <item x="2863"/>
        <item x="4790"/>
        <item x="3681"/>
        <item x="4733"/>
        <item x="4069"/>
        <item x="2037"/>
        <item x="1430"/>
        <item x="4054"/>
        <item x="445"/>
        <item x="3625"/>
        <item x="3456"/>
        <item x="2070"/>
        <item x="315"/>
        <item x="3585"/>
        <item x="4268"/>
        <item x="3873"/>
        <item x="2099"/>
        <item x="2923"/>
        <item x="2856"/>
        <item x="3373"/>
        <item x="3749"/>
        <item x="1295"/>
        <item x="2549"/>
        <item x="2391"/>
        <item x="2763"/>
        <item x="4821"/>
        <item x="1537"/>
        <item x="2109"/>
        <item x="2494"/>
        <item x="1629"/>
        <item x="2961"/>
        <item x="1382"/>
        <item x="656"/>
        <item x="1992"/>
        <item x="460"/>
        <item x="4368"/>
        <item x="2057"/>
        <item x="3985"/>
        <item x="543"/>
        <item x="3077"/>
        <item x="4497"/>
        <item x="2904"/>
        <item x="1218"/>
        <item x="4496"/>
        <item x="1406"/>
        <item x="2"/>
        <item x="264"/>
        <item x="229"/>
        <item x="1573"/>
        <item x="4490"/>
        <item x="4313"/>
        <item x="560"/>
        <item x="3144"/>
        <item x="1917"/>
        <item x="3147"/>
        <item x="31"/>
        <item x="6"/>
        <item x="160"/>
        <item x="467"/>
        <item x="2344"/>
        <item x="3300"/>
        <item x="1676"/>
        <item x="3439"/>
        <item x="2167"/>
        <item x="3667"/>
        <item x="3785"/>
        <item x="378"/>
        <item x="2389"/>
        <item x="1329"/>
        <item x="1181"/>
        <item x="1392"/>
        <item x="1807"/>
        <item x="2984"/>
        <item x="2797"/>
        <item x="3872"/>
        <item x="2773"/>
        <item x="3302"/>
        <item x="3719"/>
        <item x="3598"/>
        <item x="57"/>
        <item x="2876"/>
        <item x="2367"/>
        <item x="48"/>
        <item x="2000"/>
        <item x="1615"/>
        <item x="1787"/>
        <item x="159"/>
        <item x="1058"/>
        <item x="1330"/>
        <item x="593"/>
        <item x="770"/>
        <item x="1396"/>
        <item x="237"/>
        <item x="234"/>
        <item x="233"/>
        <item x="2973"/>
        <item x="2031"/>
        <item x="1521"/>
        <item x="4"/>
        <item x="3271"/>
        <item x="603"/>
        <item x="848"/>
        <item x="3474"/>
        <item x="306"/>
        <item x="740"/>
        <item x="4589"/>
        <item x="3778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5"/>
        <item x="2405"/>
        <item x="2208"/>
        <item x="3591"/>
        <item x="1532"/>
        <item x="3662"/>
        <item x="2903"/>
        <item x="4228"/>
        <item x="2944"/>
        <item x="4331"/>
        <item x="1501"/>
        <item x="2731"/>
        <item x="1971"/>
        <item x="2100"/>
        <item x="4211"/>
        <item x="1964"/>
        <item x="4895"/>
        <item x="4243"/>
        <item x="4665"/>
        <item x="1732"/>
        <item x="2278"/>
        <item x="1635"/>
        <item x="3182"/>
        <item x="4190"/>
        <item x="1969"/>
        <item x="1434"/>
        <item x="1024"/>
        <item x="2198"/>
        <item x="3040"/>
        <item x="986"/>
        <item x="225"/>
        <item x="273"/>
        <item x="865"/>
        <item x="4121"/>
        <item x="4655"/>
        <item x="4276"/>
        <item x="4254"/>
        <item x="4203"/>
        <item x="558"/>
        <item x="3081"/>
        <item x="4749"/>
        <item x="73"/>
        <item x="2475"/>
        <item x="2080"/>
        <item x="4037"/>
        <item x="4757"/>
        <item x="3678"/>
        <item x="3594"/>
        <item x="1302"/>
        <item x="927"/>
        <item x="4788"/>
        <item x="1159"/>
        <item x="4851"/>
        <item x="4387"/>
        <item x="4119"/>
        <item x="2266"/>
        <item x="2444"/>
        <item x="4232"/>
        <item x="1702"/>
        <item x="1458"/>
        <item x="889"/>
        <item x="1323"/>
        <item x="2485"/>
        <item x="11"/>
        <item x="831"/>
        <item x="790"/>
        <item x="2737"/>
        <item x="4856"/>
        <item x="4103"/>
        <item x="3574"/>
        <item x="324"/>
        <item x="485"/>
        <item x="3813"/>
        <item x="2323"/>
        <item x="1805"/>
        <item x="2270"/>
        <item x="1326"/>
        <item x="1268"/>
        <item x="4807"/>
        <item x="3364"/>
        <item x="3159"/>
        <item x="3071"/>
        <item x="3368"/>
        <item x="2121"/>
        <item x="4777"/>
        <item x="1348"/>
        <item x="477"/>
        <item x="2503"/>
        <item x="2293"/>
        <item x="960"/>
        <item x="3392"/>
        <item x="4809"/>
        <item x="2867"/>
        <item x="2351"/>
        <item x="3754"/>
        <item x="1647"/>
        <item x="1065"/>
        <item x="1044"/>
        <item x="1854"/>
        <item x="1534"/>
        <item x="1741"/>
        <item x="2912"/>
        <item x="3538"/>
        <item x="3846"/>
        <item x="565"/>
        <item x="2141"/>
        <item x="7"/>
        <item x="850"/>
        <item x="3779"/>
        <item x="1977"/>
        <item x="4046"/>
        <item x="4684"/>
        <item x="4433"/>
        <item x="4479"/>
        <item x="3932"/>
        <item x="2749"/>
        <item x="3121"/>
        <item x="2180"/>
        <item x="540"/>
        <item x="628"/>
        <item x="922"/>
        <item x="4001"/>
        <item x="1866"/>
        <item x="2111"/>
        <item x="242"/>
        <item x="245"/>
        <item x="4748"/>
        <item x="4205"/>
        <item x="285"/>
        <item x="94"/>
        <item x="109"/>
        <item x="44"/>
        <item x="2181"/>
        <item x="1349"/>
        <item x="3376"/>
        <item x="3310"/>
        <item x="4095"/>
        <item x="819"/>
        <item x="212"/>
        <item x="1958"/>
        <item x="1817"/>
        <item x="4373"/>
        <item x="3567"/>
        <item x="1354"/>
        <item x="429"/>
        <item x="599"/>
        <item x="4478"/>
        <item x="1580"/>
        <item x="919"/>
        <item x="2040"/>
        <item x="2479"/>
        <item x="1027"/>
        <item x="3493"/>
        <item x="1940"/>
        <item x="317"/>
        <item x="512"/>
        <item x="980"/>
        <item x="192"/>
        <item x="1631"/>
        <item x="1498"/>
        <item x="344"/>
        <item x="4388"/>
        <item x="4389"/>
        <item x="39"/>
        <item x="21"/>
        <item x="695"/>
        <item x="2174"/>
        <item x="2356"/>
        <item x="3496"/>
        <item x="561"/>
        <item x="2065"/>
        <item x="1102"/>
        <item x="3987"/>
        <item x="3654"/>
        <item x="2497"/>
        <item x="3855"/>
        <item x="1261"/>
        <item x="2511"/>
        <item x="2697"/>
        <item x="1706"/>
        <item x="2818"/>
        <item x="1504"/>
        <item x="257"/>
        <item x="17"/>
        <item x="254"/>
        <item x="3751"/>
        <item x="2326"/>
        <item x="2119"/>
        <item x="1429"/>
        <item x="1433"/>
        <item x="3911"/>
        <item x="4361"/>
        <item x="4320"/>
        <item x="3067"/>
        <item x="2195"/>
        <item x="3688"/>
        <item x="3854"/>
        <item x="4366"/>
        <item x="4477"/>
        <item x="981"/>
        <item x="4775"/>
        <item x="3680"/>
        <item x="2125"/>
        <item x="4323"/>
        <item x="1421"/>
        <item x="3055"/>
        <item x="2126"/>
        <item x="2463"/>
        <item x="3228"/>
        <item x="1855"/>
        <item x="1986"/>
        <item x="4148"/>
        <item x="3931"/>
        <item x="4687"/>
        <item x="177"/>
        <item x="1021"/>
        <item x="2807"/>
        <item x="2663"/>
        <item x="4767"/>
        <item x="1740"/>
        <item x="4715"/>
        <item x="3864"/>
        <item x="1535"/>
        <item x="1173"/>
        <item x="4828"/>
        <item x="787"/>
        <item x="2173"/>
        <item x="4076"/>
        <item x="4595"/>
        <item x="1390"/>
        <item x="3370"/>
        <item x="4823"/>
        <item x="4396"/>
        <item x="3030"/>
        <item x="3770"/>
        <item x="4357"/>
        <item x="1790"/>
        <item x="1856"/>
        <item x="3246"/>
        <item x="1033"/>
        <item x="457"/>
        <item x="962"/>
        <item x="4193"/>
        <item x="2347"/>
        <item x="3324"/>
        <item x="3468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3"/>
        <item x="3059"/>
        <item x="2907"/>
        <item x="4822"/>
        <item x="4854"/>
        <item x="4538"/>
        <item x="4135"/>
        <item x="904"/>
        <item x="2026"/>
        <item x="3984"/>
        <item x="2064"/>
        <item x="4697"/>
        <item x="4463"/>
        <item x="2292"/>
        <item x="481"/>
        <item x="4858"/>
        <item x="3156"/>
        <item x="3522"/>
        <item x="3162"/>
        <item x="4300"/>
        <item x="1072"/>
        <item x="4784"/>
        <item x="3561"/>
        <item x="2803"/>
        <item x="1637"/>
        <item x="1046"/>
        <item x="4643"/>
        <item x="4865"/>
        <item x="2844"/>
        <item x="4134"/>
        <item x="327"/>
        <item x="4751"/>
        <item x="4791"/>
        <item x="270"/>
        <item x="1679"/>
        <item x="2782"/>
        <item x="4363"/>
        <item x="1408"/>
        <item x="3165"/>
        <item x="909"/>
        <item x="4407"/>
        <item x="2301"/>
        <item x="3608"/>
        <item x="4760"/>
        <item x="3450"/>
        <item x="16"/>
        <item x="64"/>
        <item x="110"/>
        <item x="227"/>
        <item x="3480"/>
        <item x="4900"/>
        <item x="3325"/>
        <item x="2840"/>
        <item x="2689"/>
        <item x="3957"/>
        <item x="1071"/>
        <item x="2291"/>
        <item x="3120"/>
        <item x="1712"/>
        <item x="3047"/>
        <item x="2575"/>
        <item x="2687"/>
        <item x="4572"/>
        <item x="1186"/>
        <item x="2139"/>
        <item x="1956"/>
        <item x="1848"/>
        <item x="3234"/>
        <item x="4301"/>
        <item x="2538"/>
        <item x="3834"/>
        <item x="419"/>
        <item x="3094"/>
        <item x="3732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1"/>
        <item x="4902"/>
        <item x="101"/>
        <item x="4248"/>
        <item x="1844"/>
        <item x="1619"/>
        <item x="205"/>
        <item x="3510"/>
        <item x="2943"/>
        <item x="4690"/>
        <item x="3"/>
        <item x="66"/>
        <item x="1513"/>
        <item x="216"/>
        <item x="462"/>
        <item x="3950"/>
        <item x="4423"/>
        <item x="2662"/>
        <item x="3362"/>
        <item x="2191"/>
        <item x="1291"/>
        <item x="2591"/>
        <item x="357"/>
        <item x="4045"/>
        <item x="2145"/>
        <item x="3419"/>
        <item x="4443"/>
        <item x="1395"/>
        <item x="818"/>
        <item x="2340"/>
        <item x="383"/>
        <item x="3423"/>
        <item x="3195"/>
        <item x="4195"/>
        <item x="662"/>
        <item x="605"/>
        <item x="4859"/>
        <item x="4041"/>
        <item x="2758"/>
        <item x="4355"/>
        <item x="2313"/>
        <item x="1247"/>
        <item x="4080"/>
        <item x="1800"/>
        <item x="3281"/>
        <item x="907"/>
        <item x="3502"/>
        <item x="4042"/>
        <item x="484"/>
        <item x="3663"/>
        <item x="3643"/>
        <item x="2850"/>
        <item x="295"/>
        <item x="2047"/>
        <item x="1402"/>
        <item x="839"/>
        <item x="4698"/>
        <item x="2368"/>
        <item x="2869"/>
        <item x="296"/>
        <item x="313"/>
        <item x="431"/>
        <item x="4877"/>
        <item x="1353"/>
        <item x="3464"/>
        <item x="2893"/>
        <item x="1863"/>
        <item x="2596"/>
        <item x="2350"/>
        <item x="724"/>
        <item x="2371"/>
        <item x="1643"/>
        <item x="870"/>
        <item x="100"/>
        <item x="412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8"/>
        <item x="323"/>
        <item x="2390"/>
        <item x="4912"/>
        <item x="855"/>
        <item x="3143"/>
        <item x="3690"/>
        <item x="1499"/>
        <item x="1463"/>
        <item x="3491"/>
        <item x="3079"/>
        <item x="4852"/>
        <item x="2154"/>
        <item x="3822"/>
        <item x="2324"/>
        <item x="4764"/>
        <item x="1128"/>
        <item x="3904"/>
        <item x="2862"/>
        <item x="4831"/>
        <item x="1923"/>
        <item x="2306"/>
        <item x="2063"/>
        <item x="966"/>
        <item x="4319"/>
        <item x="710"/>
        <item x="3879"/>
        <item x="4240"/>
        <item x="860"/>
        <item x="1116"/>
        <item x="3103"/>
        <item x="1946"/>
        <item x="3263"/>
        <item x="360"/>
        <item x="4383"/>
        <item x="1903"/>
        <item x="2082"/>
        <item x="1108"/>
        <item x="3402"/>
        <item x="2791"/>
        <item x="886"/>
        <item x="2873"/>
        <item x="24"/>
        <item x="55"/>
        <item x="1554"/>
        <item x="3322"/>
        <item x="3179"/>
        <item x="3900"/>
        <item x="2707"/>
        <item x="1701"/>
        <item x="4397"/>
        <item x="3198"/>
        <item x="3098"/>
        <item x="4781"/>
        <item x="1563"/>
        <item x="4036"/>
        <item x="1331"/>
        <item x="2942"/>
        <item x="2612"/>
        <item x="3827"/>
        <item x="50"/>
        <item x="802"/>
        <item x="3564"/>
        <item x="1941"/>
        <item x="4271"/>
        <item x="3817"/>
        <item x="2238"/>
        <item x="3569"/>
        <item x="256"/>
        <item x="4449"/>
        <item x="704"/>
        <item x="1883"/>
        <item x="2169"/>
        <item x="3050"/>
        <item x="3548"/>
        <item x="1244"/>
        <item x="1305"/>
        <item x="3010"/>
        <item x="4590"/>
        <item x="4540"/>
        <item x="434"/>
        <item x="1384"/>
        <item x="737"/>
        <item x="4608"/>
        <item x="698"/>
        <item x="370"/>
        <item x="3283"/>
        <item x="3671"/>
        <item x="459"/>
        <item x="3462"/>
        <item x="1149"/>
        <item x="4371"/>
        <item x="4498"/>
        <item x="1858"/>
        <item x="2630"/>
        <item x="2469"/>
        <item x="3901"/>
        <item x="3581"/>
        <item x="1092"/>
        <item x="1970"/>
        <item x="99"/>
        <item x="20"/>
        <item x="23"/>
        <item x="3394"/>
        <item x="402"/>
        <item x="4352"/>
        <item x="2556"/>
        <item x="1801"/>
        <item x="4533"/>
        <item x="4812"/>
        <item x="727"/>
        <item x="1491"/>
        <item x="993"/>
        <item x="3380"/>
        <item x="1908"/>
        <item x="1900"/>
        <item x="3138"/>
        <item x="4487"/>
        <item x="4434"/>
        <item x="1310"/>
        <item x="294"/>
        <item x="2067"/>
        <item x="433"/>
        <item x="185"/>
        <item x="204"/>
        <item x="103"/>
        <item x="1577"/>
        <item x="3951"/>
        <item x="863"/>
        <item x="1309"/>
        <item x="241"/>
        <item x="1335"/>
        <item x="2640"/>
        <item x="4170"/>
        <item x="3267"/>
        <item x="3247"/>
        <item x="2412"/>
        <item x="3150"/>
        <item x="2035"/>
        <item x="2490"/>
        <item x="4868"/>
        <item x="1692"/>
        <item x="2577"/>
        <item x="2546"/>
        <item x="2669"/>
        <item x="1282"/>
        <item x="2678"/>
        <item x="3592"/>
        <item x="1551"/>
        <item x="175"/>
        <item x="345"/>
        <item x="4739"/>
        <item x="1098"/>
        <item x="1062"/>
        <item x="2073"/>
        <item x="2435"/>
        <item x="3328"/>
        <item x="4571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3"/>
        <item x="3837"/>
        <item x="4500"/>
        <item x="3154"/>
        <item x="974"/>
        <item x="2159"/>
        <item x="79"/>
        <item x="1132"/>
        <item x="1174"/>
        <item x="4597"/>
        <item x="659"/>
        <item x="3825"/>
        <item x="2854"/>
        <item x="4657"/>
        <item x="564"/>
        <item x="2571"/>
        <item x="2232"/>
        <item x="4404"/>
        <item x="2999"/>
        <item x="4235"/>
        <item x="1426"/>
        <item x="1230"/>
        <item x="2866"/>
        <item x="3352"/>
        <item x="139"/>
        <item x="4491"/>
        <item x="789"/>
        <item x="3025"/>
        <item x="3063"/>
        <item x="1891"/>
        <item x="3829"/>
        <item x="4261"/>
        <item x="4216"/>
        <item x="2788"/>
        <item x="2608"/>
        <item x="3539"/>
        <item x="640"/>
        <item x="1201"/>
        <item x="157"/>
        <item x="1315"/>
        <item x="4140"/>
        <item x="2147"/>
        <item x="1687"/>
        <item x="2418"/>
        <item x="3434"/>
        <item x="3874"/>
        <item x="4875"/>
        <item x="495"/>
        <item x="3064"/>
        <item x="3645"/>
        <item x="514"/>
        <item x="779"/>
        <item x="4165"/>
        <item x="4878"/>
        <item x="4246"/>
        <item x="622"/>
        <item x="3254"/>
        <item x="63"/>
        <item x="2408"/>
        <item x="478"/>
        <item x="759"/>
        <item x="2093"/>
        <item x="1000"/>
        <item x="2952"/>
        <item x="1002"/>
        <item x="3136"/>
        <item x="1220"/>
        <item x="503"/>
        <item x="4380"/>
        <item x="4663"/>
        <item x="510"/>
        <item x="2086"/>
        <item x="4168"/>
        <item x="1226"/>
        <item x="4644"/>
        <item x="2593"/>
        <item x="14"/>
        <item x="672"/>
        <item x="3093"/>
        <item x="3048"/>
        <item x="1503"/>
        <item x="441"/>
        <item x="2046"/>
        <item x="4726"/>
        <item x="267"/>
        <item x="335"/>
        <item x="336"/>
        <item x="4340"/>
        <item x="1932"/>
        <item x="3858"/>
        <item x="3273"/>
        <item x="3202"/>
        <item x="4215"/>
        <item x="4837"/>
        <item x="4377"/>
        <item x="517"/>
        <item x="696"/>
        <item x="2670"/>
        <item x="3885"/>
        <item x="333"/>
        <item x="84"/>
        <item x="1879"/>
        <item x="2771"/>
        <item x="4290"/>
        <item x="3708"/>
        <item x="1814"/>
        <item x="1273"/>
        <item x="4606"/>
        <item x="570"/>
        <item x="4794"/>
        <item x="3652"/>
        <item x="542"/>
        <item x="1409"/>
        <item x="2242"/>
        <item x="3959"/>
        <item x="3417"/>
        <item x="2657"/>
        <item x="2267"/>
        <item x="470"/>
        <item x="4252"/>
        <item x="2633"/>
        <item x="275"/>
        <item x="653"/>
        <item x="2363"/>
        <item x="3930"/>
        <item x="2516"/>
        <item x="1351"/>
        <item x="3101"/>
        <item x="126"/>
        <item x="124"/>
        <item x="647"/>
        <item x="1496"/>
        <item x="1143"/>
        <item x="1170"/>
        <item x="2013"/>
        <item x="1700"/>
        <item x="3505"/>
        <item x="1007"/>
        <item x="2518"/>
        <item x="1209"/>
        <item x="2703"/>
        <item x="3049"/>
        <item x="3451"/>
        <item x="4835"/>
        <item x="1153"/>
        <item x="3835"/>
        <item x="4217"/>
        <item x="677"/>
        <item x="2811"/>
        <item x="3015"/>
        <item x="4909"/>
        <item x="598"/>
        <item x="792"/>
        <item x="4750"/>
        <item x="1154"/>
        <item x="4559"/>
        <item x="321"/>
        <item x="72"/>
        <item x="2896"/>
        <item x="3296"/>
        <item x="1079"/>
        <item x="2653"/>
        <item x="1266"/>
        <item x="4863"/>
        <item x="2033"/>
        <item x="3766"/>
        <item x="3280"/>
        <item x="1436"/>
        <item x="970"/>
        <item x="3396"/>
        <item x="2068"/>
        <item x="1798"/>
        <item x="2800"/>
        <item x="1683"/>
        <item x="1803"/>
        <item x="1944"/>
        <item x="1666"/>
        <item x="3836"/>
        <item x="4844"/>
        <item x="1341"/>
        <item x="1590"/>
        <item x="2638"/>
        <item x="1539"/>
        <item x="3913"/>
        <item x="1612"/>
        <item x="387"/>
        <item x="2353"/>
        <item x="832"/>
        <item x="2383"/>
        <item x="2615"/>
        <item x="1232"/>
        <item x="3714"/>
        <item x="3398"/>
        <item x="1877"/>
        <item x="1025"/>
        <item x="2303"/>
        <item x="3178"/>
        <item x="3955"/>
        <item x="1479"/>
        <item x="3969"/>
        <item x="3838"/>
        <item x="1267"/>
        <item x="4636"/>
        <item x="4116"/>
        <item x="291"/>
        <item x="3441"/>
        <item x="1211"/>
        <item x="2454"/>
        <item x="1264"/>
        <item x="4651"/>
        <item x="3074"/>
        <item x="3185"/>
        <item x="825"/>
        <item x="2325"/>
        <item x="3331"/>
        <item x="4507"/>
        <item x="1849"/>
        <item x="4845"/>
        <item x="250"/>
        <item x="975"/>
        <item x="319"/>
        <item x="1070"/>
        <item x="3011"/>
        <item x="2868"/>
        <item x="4488"/>
        <item x="3088"/>
        <item x="3685"/>
        <item x="218"/>
        <item x="3888"/>
        <item x="2837"/>
        <item x="4519"/>
        <item x="871"/>
        <item x="1113"/>
        <item x="1435"/>
        <item x="3405"/>
        <item x="461"/>
        <item x="3899"/>
        <item x="2645"/>
        <item x="867"/>
        <item x="2637"/>
        <item x="3315"/>
        <item x="3658"/>
        <item x="1111"/>
        <item x="4509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2"/>
        <item x="1176"/>
        <item x="2297"/>
        <item x="3590"/>
        <item x="4894"/>
        <item x="1517"/>
        <item x="3976"/>
        <item x="3231"/>
        <item x="3042"/>
        <item x="2939"/>
        <item x="842"/>
        <item x="2584"/>
        <item x="1545"/>
        <item x="2249"/>
        <item x="4535"/>
        <item x="4626"/>
        <item x="2118"/>
        <item x="4422"/>
        <item x="2428"/>
        <item x="1235"/>
        <item x="1839"/>
        <item x="1523"/>
        <item x="3845"/>
        <item x="1269"/>
        <item x="3122"/>
        <item x="3186"/>
        <item x="774"/>
        <item x="2626"/>
        <item x="1669"/>
        <item x="968"/>
        <item x="3511"/>
        <item x="3638"/>
        <item x="2699"/>
        <item x="1123"/>
        <item x="178"/>
        <item x="4893"/>
        <item x="812"/>
        <item x="1796"/>
        <item x="943"/>
        <item x="4126"/>
        <item x="1379"/>
        <item x="1097"/>
        <item x="330"/>
        <item x="1972"/>
        <item x="3637"/>
        <item x="522"/>
        <item x="2674"/>
        <item x="3363"/>
        <item x="2062"/>
        <item x="2521"/>
        <item x="3275"/>
        <item x="1746"/>
        <item x="1734"/>
        <item x="1943"/>
        <item x="3840"/>
        <item x="3222"/>
        <item x="409"/>
        <item x="1640"/>
        <item x="377"/>
        <item x="4333"/>
        <item x="2433"/>
        <item x="649"/>
        <item x="2061"/>
        <item x="3240"/>
        <item x="1012"/>
        <item x="722"/>
        <item x="625"/>
        <item x="729"/>
        <item x="2785"/>
        <item x="3086"/>
        <item x="4398"/>
        <item x="3920"/>
        <item x="2991"/>
        <item x="513"/>
        <item x="355"/>
        <item x="3346"/>
        <item x="3933"/>
        <item x="768"/>
        <item x="4451"/>
        <item x="1257"/>
        <item x="739"/>
        <item x="2802"/>
        <item x="1920"/>
        <item x="2333"/>
        <item x="1472"/>
        <item x="602"/>
        <item x="4867"/>
        <item x="2134"/>
        <item x="569"/>
        <item x="3351"/>
        <item x="4622"/>
        <item x="4582"/>
        <item x="1791"/>
        <item x="1898"/>
        <item x="1918"/>
        <item x="1171"/>
        <item x="1231"/>
        <item x="4455"/>
        <item x="2601"/>
        <item x="4641"/>
        <item x="4430"/>
        <item x="263"/>
        <item x="259"/>
        <item x="1187"/>
        <item x="778"/>
        <item x="2705"/>
        <item x="104"/>
        <item x="4660"/>
        <item x="3299"/>
        <item x="320"/>
        <item x="1088"/>
        <item x="4492"/>
        <item x="4109"/>
        <item x="342"/>
        <item x="797"/>
        <item x="580"/>
        <item x="1586"/>
        <item x="1769"/>
        <item x="2732"/>
        <item x="4255"/>
        <item x="4310"/>
        <item x="1813"/>
        <item x="4618"/>
        <item x="2190"/>
        <item x="325"/>
        <item x="4774"/>
        <item x="4756"/>
        <item x="3599"/>
        <item x="992"/>
        <item x="3123"/>
        <item x="4362"/>
        <item x="623"/>
        <item x="3801"/>
        <item x="3700"/>
        <item x="1140"/>
        <item x="3163"/>
        <item x="2338"/>
        <item x="2409"/>
        <item x="289"/>
        <item x="748"/>
        <item x="1196"/>
        <item x="2314"/>
        <item x="3619"/>
        <item x="530"/>
        <item x="3508"/>
        <item x="3221"/>
        <item x="3758"/>
        <item x="2514"/>
        <item x="2602"/>
        <item x="908"/>
        <item x="1346"/>
        <item x="2537"/>
        <item x="1049"/>
        <item x="395"/>
        <item x="1625"/>
        <item x="2162"/>
        <item x="4156"/>
        <item x="475"/>
        <item x="1318"/>
        <item x="4321"/>
        <item x="1035"/>
        <item x="4242"/>
        <item x="2316"/>
        <item x="301"/>
        <item x="1356"/>
        <item x="4158"/>
        <item x="4664"/>
        <item x="3588"/>
        <item x="2092"/>
        <item x="2116"/>
        <item x="1476"/>
        <item x="4795"/>
        <item x="4172"/>
        <item x="4392"/>
        <item x="1991"/>
        <item x="711"/>
        <item x="750"/>
        <item x="173"/>
        <item x="624"/>
        <item x="917"/>
        <item x="1327"/>
        <item x="3245"/>
        <item x="2512"/>
        <item x="1867"/>
        <item x="2906"/>
        <item x="3524"/>
        <item x="4143"/>
        <item x="4424"/>
        <item x="2841"/>
        <item x="3884"/>
        <item x="3870"/>
        <item x="2508"/>
        <item x="573"/>
        <item x="3550"/>
        <item x="4202"/>
        <item x="3726"/>
        <item x="3008"/>
        <item x="1574"/>
        <item x="3563"/>
        <item x="3252"/>
        <item x="1482"/>
        <item x="4247"/>
        <item x="1311"/>
        <item x="1164"/>
        <item x="3832"/>
        <item x="862"/>
        <item x="1516"/>
        <item x="2058"/>
        <item x="2030"/>
        <item x="3395"/>
        <item x="3242"/>
        <item x="3650"/>
        <item x="2250"/>
        <item x="2609"/>
        <item x="1744"/>
        <item x="3354"/>
        <item x="2547"/>
        <item x="2430"/>
        <item x="2005"/>
        <item x="1675"/>
        <item x="3345"/>
        <item x="4412"/>
        <item x="2833"/>
        <item x="3562"/>
        <item x="1895"/>
        <item x="3290"/>
        <item x="3916"/>
        <item x="2018"/>
        <item x="4071"/>
        <item x="304"/>
        <item x="136"/>
        <item x="236"/>
        <item x="4811"/>
        <item x="2588"/>
        <item x="2525"/>
        <item x="3523"/>
        <item x="3545"/>
        <item x="3501"/>
        <item x="3384"/>
        <item x="4829"/>
        <item x="4805"/>
        <item x="171"/>
        <item x="2199"/>
        <item x="1976"/>
        <item x="2432"/>
        <item x="3527"/>
        <item x="639"/>
        <item x="1452"/>
        <item x="2302"/>
        <item x="2574"/>
        <item x="1540"/>
        <item x="2515"/>
        <item x="4560"/>
        <item x="1474"/>
        <item x="1388"/>
        <item x="3031"/>
        <item x="1894"/>
        <item x="2060"/>
        <item x="4798"/>
        <item x="4048"/>
        <item x="3826"/>
        <item x="4602"/>
        <item x="2477"/>
        <item x="2696"/>
        <item x="2544"/>
        <item x="2004"/>
        <item x="2874"/>
        <item x="2750"/>
        <item x="2332"/>
        <item x="4015"/>
        <item x="486"/>
        <item x="4177"/>
        <item x="2805"/>
        <item x="1417"/>
        <item x="4127"/>
        <item x="733"/>
        <item x="4869"/>
        <item x="1531"/>
        <item x="2178"/>
        <item x="666"/>
        <item x="4214"/>
        <item x="2342"/>
        <item x="130"/>
        <item x="127"/>
        <item x="4124"/>
        <item x="2679"/>
        <item x="2317"/>
        <item x="1036"/>
        <item x="2260"/>
        <item x="3850"/>
        <item x="1512"/>
        <item x="3224"/>
        <item x="878"/>
        <item x="2576"/>
        <item x="4855"/>
        <item x="4035"/>
        <item x="4090"/>
        <item x="2887"/>
        <item x="4546"/>
        <item x="3936"/>
        <item x="1751"/>
        <item x="4088"/>
        <item x="492"/>
        <item x="4901"/>
        <item x="1089"/>
        <item x="2123"/>
        <item x="4861"/>
        <item x="550"/>
        <item x="26"/>
        <item x="1411"/>
        <item x="4230"/>
        <item x="2210"/>
        <item x="4163"/>
        <item x="2107"/>
        <item x="4619"/>
        <item x="4431"/>
        <item x="1875"/>
        <item x="3001"/>
        <item x="249"/>
        <item x="88"/>
        <item x="2567"/>
        <item x="501"/>
        <item x="2901"/>
        <item x="2568"/>
        <item x="4594"/>
        <item x="4818"/>
        <item x="3841"/>
        <item x="2279"/>
        <item x="1916"/>
        <item x="3989"/>
        <item x="1276"/>
        <item x="211"/>
        <item x="4180"/>
        <item x="401"/>
        <item x="2725"/>
        <item x="278"/>
        <item x="349"/>
        <item x="43"/>
        <item x="1572"/>
        <item x="3506"/>
        <item x="3589"/>
        <item x="2954"/>
        <item x="3236"/>
        <item x="1029"/>
        <item x="3921"/>
        <item x="1076"/>
        <item x="3968"/>
        <item x="1400"/>
        <item x="2548"/>
        <item x="4442"/>
        <item x="339"/>
        <item x="112"/>
        <item x="37"/>
        <item x="53"/>
        <item x="36"/>
        <item x="1544"/>
        <item x="2688"/>
        <item x="3824"/>
        <item x="1694"/>
        <item x="2976"/>
        <item x="4273"/>
        <item x="4592"/>
        <item x="3767"/>
        <item x="311"/>
        <item x="4364"/>
        <item x="4696"/>
        <item x="3091"/>
        <item x="2963"/>
        <item x="2258"/>
        <item x="3996"/>
        <item x="3753"/>
        <item x="3926"/>
        <item x="40"/>
        <item x="2414"/>
        <item x="359"/>
        <item x="772"/>
        <item x="146"/>
        <item x="4338"/>
        <item x="1394"/>
        <item x="288"/>
        <item x="2851"/>
        <item x="3249"/>
        <item x="3866"/>
        <item x="4518"/>
        <item x="4019"/>
        <item x="2632"/>
        <item x="3721"/>
        <item x="4711"/>
        <item x="4710"/>
        <item x="179"/>
        <item x="875"/>
        <item x="4022"/>
        <item x="3068"/>
        <item x="1365"/>
        <item x="4627"/>
        <item x="2572"/>
        <item x="998"/>
        <item x="389"/>
        <item x="3470"/>
        <item x="572"/>
        <item x="2814"/>
        <item x="3255"/>
        <item x="4460"/>
        <item x="3477"/>
        <item x="2937"/>
        <item x="717"/>
        <item x="3723"/>
        <item x="2646"/>
        <item x="694"/>
        <item x="3692"/>
        <item x="4075"/>
        <item x="3266"/>
        <item x="1667"/>
        <item x="1938"/>
        <item x="556"/>
        <item x="655"/>
        <item x="751"/>
        <item x="2219"/>
        <item x="4284"/>
        <item x="2786"/>
        <item x="2381"/>
        <item x="1974"/>
        <item x="1897"/>
        <item x="2106"/>
        <item x="2071"/>
        <item x="609"/>
        <item x="1135"/>
        <item x="1419"/>
        <item x="3261"/>
        <item x="2251"/>
        <item x="4763"/>
        <item x="4827"/>
        <item x="958"/>
        <item x="1497"/>
        <item x="2429"/>
        <item x="2720"/>
        <item x="953"/>
        <item x="4432"/>
        <item x="2387"/>
        <item x="1713"/>
        <item x="1297"/>
        <item x="1221"/>
        <item x="1139"/>
        <item x="4067"/>
        <item x="350"/>
        <item x="4325"/>
        <item x="1443"/>
        <item x="747"/>
        <item x="1596"/>
        <item x="67"/>
        <item x="2734"/>
        <item x="2631"/>
        <item x="4773"/>
        <item x="951"/>
        <item x="4270"/>
        <item x="1567"/>
        <item x="3078"/>
        <item x="906"/>
        <item x="1456"/>
        <item x="366"/>
        <item x="4113"/>
        <item x="3294"/>
        <item x="2742"/>
        <item x="4224"/>
        <item x="2176"/>
        <item x="2213"/>
        <item x="2553"/>
        <item x="3526"/>
        <item x="587"/>
        <item x="2054"/>
        <item x="1204"/>
        <item x="2510"/>
        <item x="3443"/>
        <item x="3251"/>
        <item x="3009"/>
        <item x="2492"/>
        <item x="3555"/>
        <item x="3264"/>
        <item x="533"/>
        <item x="3109"/>
        <item x="4564"/>
        <item x="2526"/>
        <item x="1136"/>
        <item x="3583"/>
        <item x="1352"/>
        <item x="1659"/>
        <item x="1861"/>
        <item x="382"/>
        <item x="3211"/>
        <item x="1853"/>
        <item x="2592"/>
        <item x="3467"/>
        <item x="3847"/>
        <item x="4414"/>
        <item x="4306"/>
        <item x="3971"/>
        <item x="1471"/>
        <item x="1719"/>
        <item x="4461"/>
        <item x="826"/>
        <item x="488"/>
        <item x="2500"/>
        <item x="600"/>
        <item x="58"/>
        <item x="4342"/>
        <item x="4593"/>
        <item x="4192"/>
        <item x="1524"/>
        <item x="521"/>
        <item x="3536"/>
        <item x="597"/>
        <item x="187"/>
        <item x="1934"/>
        <item x="3160"/>
        <item x="108"/>
        <item x="2878"/>
        <item x="3431"/>
        <item x="4012"/>
        <item x="1598"/>
        <item x="1961"/>
        <item x="1483"/>
        <item x="2562"/>
        <item x="164"/>
        <item x="4601"/>
        <item x="1332"/>
        <item x="4006"/>
        <item x="1995"/>
        <item x="76"/>
        <item x="2135"/>
        <item x="676"/>
        <item x="4184"/>
        <item x="940"/>
        <item x="3740"/>
        <item x="3449"/>
        <item x="1764"/>
        <item x="591"/>
        <item x="4802"/>
        <item x="1782"/>
        <item x="2950"/>
        <item x="1840"/>
        <item x="4552"/>
        <item x="3172"/>
        <item x="2550"/>
        <item x="4717"/>
        <item x="2262"/>
        <item x="1368"/>
        <item x="3520"/>
        <item x="4771"/>
        <item x="3804"/>
        <item x="1904"/>
        <item x="479"/>
        <item x="4689"/>
        <item x="1812"/>
        <item x="352"/>
        <item x="1022"/>
        <item x="3828"/>
        <item x="1357"/>
        <item x="643"/>
        <item x="2667"/>
        <item x="2677"/>
        <item x="3007"/>
        <item x="2597"/>
        <item x="1650"/>
        <item x="2243"/>
        <item x="2589"/>
        <item x="3343"/>
        <item x="2507"/>
        <item x="4713"/>
        <item x="2617"/>
        <item x="4813"/>
        <item x="2604"/>
        <item x="1982"/>
        <item x="299"/>
        <item x="3145"/>
        <item x="2650"/>
        <item x="3946"/>
        <item x="4008"/>
        <item x="2144"/>
        <item x="2736"/>
        <item x="141"/>
        <item x="3188"/>
        <item x="3045"/>
        <item x="2529"/>
        <item x="1345"/>
        <item x="1475"/>
        <item x="4462"/>
        <item x="3438"/>
        <item x="2150"/>
        <item x="2586"/>
        <item x="3938"/>
        <item x="1681"/>
        <item x="1709"/>
        <item x="2768"/>
        <item x="705"/>
        <item x="3355"/>
        <item x="2189"/>
        <item x="71"/>
        <item x="2607"/>
        <item x="2277"/>
        <item x="4011"/>
        <item x="1465"/>
        <item x="2016"/>
        <item x="4350"/>
        <item x="4549"/>
        <item x="240"/>
        <item x="1684"/>
        <item x="1766"/>
        <item x="4234"/>
        <item x="2704"/>
        <item x="1654"/>
        <item x="3586"/>
        <item x="3928"/>
        <item x="4179"/>
        <item x="791"/>
        <item x="3553"/>
        <item x="4189"/>
        <item x="1609"/>
        <item x="1984"/>
        <item x="3762"/>
        <item x="3383"/>
        <item x="2879"/>
        <item x="4416"/>
        <item x="596"/>
        <item x="2446"/>
        <item x="3003"/>
        <item x="3333"/>
        <item x="4003"/>
        <item x="2852"/>
        <item x="1457"/>
        <item x="3610"/>
        <item x="2352"/>
        <item x="2819"/>
        <item x="4596"/>
        <item x="4620"/>
        <item x="660"/>
        <item x="46"/>
        <item x="3169"/>
        <item x="133"/>
        <item x="90"/>
        <item x="4475"/>
        <item x="3092"/>
        <item x="3357"/>
        <item x="690"/>
        <item x="801"/>
        <item x="207"/>
        <item x="123"/>
        <item x="520"/>
        <item x="65"/>
        <item x="47"/>
        <item x="102"/>
        <item x="34"/>
        <item x="579"/>
        <item x="782"/>
        <item x="3669"/>
        <item x="763"/>
        <item x="3291"/>
        <item x="2886"/>
        <item x="932"/>
        <item x="4291"/>
        <item x="4797"/>
        <item x="3746"/>
        <item x="466"/>
        <item x="2197"/>
        <item x="4391"/>
        <item x="4292"/>
        <item x="367"/>
        <item x="3304"/>
        <item x="3189"/>
        <item x="3849"/>
        <item x="3205"/>
        <item x="2685"/>
        <item x="888"/>
        <item x="2914"/>
        <item x="4072"/>
        <item x="2796"/>
        <item x="2397"/>
        <item x="1008"/>
        <item x="4824"/>
        <item x="1090"/>
        <item x="2407"/>
        <item x="651"/>
        <item x="2214"/>
        <item x="3469"/>
        <item x="2011"/>
        <item x="2319"/>
        <item x="674"/>
        <item x="903"/>
        <item x="3707"/>
        <item x="3856"/>
        <item x="4511"/>
        <item x="428"/>
        <item x="4522"/>
        <item x="2029"/>
        <item x="468"/>
        <item x="1020"/>
        <item x="1752"/>
        <item x="1481"/>
        <item x="255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2"/>
  </rowFields>
  <rowItems count="49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</rowItems>
  <colItems count="1">
    <i/>
  </colItems>
  <dataFields count="1">
    <dataField name="SUM of gross" fld="7" baseField="0" baseItem="0"/>
  </dataFields>
  <pivotTableStyleInfo showRowHeaders="1" showColHeaders="1"/>
</pivotTableDefinition>
</file>

<file path=xl/pivotTables/pivotTable13.xml><?xml version="1.0" encoding="utf-8"?>
<pivotTableDefinition xmlns="http://schemas.openxmlformats.org/spreadsheetml/2006/main" name="Top 5 movies with highest gross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B4917" firstHeaderRow="1" firstDataRow="1" firstDataCol="1"/>
  <pivotFields count="28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4917">
        <item x="4349"/>
        <item x="3597"/>
        <item x="4152"/>
        <item x="3629"/>
        <item x="2964"/>
        <item x="2799"/>
        <item x="276"/>
        <item x="400"/>
        <item x="3358"/>
        <item x="3576"/>
        <item x="4706"/>
        <item x="1720"/>
        <item x="2253"/>
        <item x="2148"/>
        <item x="2399"/>
        <item x="1610"/>
        <item x="961"/>
        <item x="2056"/>
        <item x="1158"/>
        <item x="1106"/>
        <item x="4493"/>
        <item x="1210"/>
        <item x="3880"/>
        <item x="1707"/>
        <item x="1541"/>
        <item x="4543"/>
        <item x="509"/>
        <item x="714"/>
        <item x="3934"/>
        <item x="4849"/>
        <item x="4459"/>
        <item x="3641"/>
        <item x="3544"/>
        <item x="3027"/>
        <item x="60"/>
        <item x="4094"/>
        <item x="2945"/>
        <item x="2829"/>
        <item x="2233"/>
        <item x="1144"/>
        <item x="1399"/>
        <item x="930"/>
        <item x="4210"/>
        <item x="3774"/>
        <item x="1591"/>
        <item x="3303"/>
        <item x="1138"/>
        <item x="2616"/>
        <item x="4718"/>
        <item x="1763"/>
        <item x="2566"/>
        <item x="2255"/>
        <item x="3833"/>
        <item x="4783"/>
        <item x="1043"/>
        <item x="1636"/>
        <item x="1757"/>
        <item x="4049"/>
        <item x="701"/>
        <item x="258"/>
        <item x="697"/>
        <item x="1333"/>
        <item x="4532"/>
        <item x="2466"/>
        <item x="1195"/>
        <item x="4671"/>
        <item x="85"/>
        <item x="2962"/>
        <item x="524"/>
        <item x="3308"/>
        <item x="3404"/>
        <item x="4703"/>
        <item x="2826"/>
        <item x="2481"/>
        <item x="4137"/>
        <item x="4013"/>
        <item x="1167"/>
        <item x="3338"/>
        <item x="4115"/>
        <item x="1673"/>
        <item x="1246"/>
        <item x="1651"/>
        <item x="3705"/>
        <item x="2416"/>
        <item x="502"/>
        <item x="4277"/>
        <item x="3146"/>
        <item x="1826"/>
        <item x="1086"/>
        <item x="4815"/>
        <item x="61"/>
        <item x="3952"/>
        <item x="2330"/>
        <item x="743"/>
        <item x="2281"/>
        <item x="3446"/>
        <item x="4826"/>
        <item x="3684"/>
        <item x="1509"/>
        <item x="4523"/>
        <item x="4778"/>
        <item x="4244"/>
        <item x="343"/>
        <item x="1484"/>
        <item x="4081"/>
        <item x="2235"/>
        <item x="4607"/>
        <item x="3839"/>
        <item x="4093"/>
        <item x="1543"/>
        <item x="3503"/>
        <item x="1169"/>
        <item x="1185"/>
        <item x="4484"/>
        <item x="3877"/>
        <item x="1926"/>
        <item x="3070"/>
        <item x="1882"/>
        <item x="1375"/>
        <item x="3889"/>
        <item x="2666"/>
        <item x="3534"/>
        <item x="1256"/>
        <item x="1314"/>
        <item x="2287"/>
        <item x="2643"/>
        <item x="2467"/>
        <item x="3974"/>
        <item x="3634"/>
        <item x="2793"/>
        <item x="3525"/>
        <item x="1407"/>
        <item x="1783"/>
        <item x="2746"/>
        <item x="1960"/>
        <item x="4913"/>
        <item x="3080"/>
        <item x="3620"/>
        <item x="3975"/>
        <item x="2282"/>
        <item x="4550"/>
        <item x="3429"/>
        <item x="3580"/>
        <item x="2476"/>
        <item x="1770"/>
        <item x="3433"/>
        <item x="499"/>
        <item x="4263"/>
        <item x="2971"/>
        <item x="3307"/>
        <item x="1303"/>
        <item x="1182"/>
        <item x="985"/>
        <item x="4870"/>
        <item x="1988"/>
        <item x="2188"/>
        <item x="880"/>
        <item x="1618"/>
        <item x="1819"/>
        <item x="2761"/>
        <item x="2986"/>
        <item x="1715"/>
        <item x="2957"/>
        <item x="369"/>
        <item x="1965"/>
        <item x="4259"/>
        <item x="4257"/>
        <item x="1455"/>
        <item x="3504"/>
        <item x="1793"/>
        <item x="2798"/>
        <item x="1597"/>
        <item x="2924"/>
        <item x="636"/>
        <item x="4857"/>
        <item x="964"/>
        <item x="1845"/>
        <item x="2877"/>
        <item x="1581"/>
        <item x="1104"/>
        <item x="2880"/>
        <item x="3418"/>
        <item x="3192"/>
        <item x="3960"/>
        <item x="2357"/>
        <item x="3660"/>
        <item x="2832"/>
        <item x="3869"/>
        <item x="4587"/>
        <item x="3201"/>
        <item x="873"/>
        <item x="195"/>
        <item x="821"/>
        <item x="4591"/>
        <item x="3793"/>
        <item x="1322"/>
        <item x="4282"/>
        <item x="1836"/>
        <item x="1887"/>
        <item x="629"/>
        <item x="3479"/>
        <item x="3981"/>
        <item x="393"/>
        <item x="4410"/>
        <item x="3798"/>
        <item x="3905"/>
        <item x="4474"/>
        <item x="3318"/>
        <item x="3361"/>
        <item x="1731"/>
        <item x="3390"/>
        <item x="3717"/>
        <item x="1680"/>
        <item x="1447"/>
        <item x="1306"/>
        <item x="1759"/>
        <item x="113"/>
        <item x="4181"/>
        <item x="1289"/>
        <item x="269"/>
        <item x="3387"/>
        <item x="33"/>
        <item x="106"/>
        <item x="857"/>
        <item x="4128"/>
        <item x="3428"/>
        <item x="3220"/>
        <item x="755"/>
        <item x="1110"/>
        <item x="1239"/>
        <item x="2455"/>
        <item x="1538"/>
        <item x="2621"/>
        <item x="2741"/>
        <item x="2307"/>
        <item x="3765"/>
        <item x="4241"/>
        <item x="3287"/>
        <item x="3257"/>
        <item x="4897"/>
        <item x="416"/>
        <item x="4575"/>
        <item x="891"/>
        <item x="1114"/>
        <item x="2706"/>
        <item x="4469"/>
        <item x="261"/>
        <item x="4659"/>
        <item x="780"/>
        <item x="3360"/>
        <item x="1376"/>
        <item x="2284"/>
        <item x="4494"/>
        <item x="1735"/>
        <item x="1147"/>
        <item x="4769"/>
        <item x="3472"/>
        <item x="2206"/>
        <item x="828"/>
        <item x="442"/>
        <item x="365"/>
        <item x="590"/>
        <item x="4146"/>
        <item x="2378"/>
        <item x="1287"/>
        <item x="2769"/>
        <item x="4654"/>
        <item x="2570"/>
        <item x="4741"/>
        <item x="2484"/>
        <item x="287"/>
        <item x="4565"/>
        <item x="3204"/>
        <item x="4548"/>
        <item x="3119"/>
        <item x="1175"/>
        <item x="4702"/>
        <item x="1473"/>
        <item x="1571"/>
        <item x="2871"/>
        <item x="3321"/>
        <item x="969"/>
        <item x="805"/>
        <item x="4174"/>
        <item x="835"/>
        <item x="1056"/>
        <item x="4742"/>
        <item x="4336"/>
        <item x="1237"/>
        <item x="4063"/>
        <item x="3868"/>
        <item x="4176"/>
        <item x="3207"/>
        <item x="3177"/>
        <item x="2275"/>
        <item x="4796"/>
        <item x="2744"/>
        <item x="4820"/>
        <item x="3378"/>
        <item x="3867"/>
        <item x="3024"/>
        <item x="4446"/>
        <item x="1691"/>
        <item x="1083"/>
        <item x="1911"/>
        <item x="775"/>
        <item x="1589"/>
        <item x="893"/>
        <item x="4117"/>
        <item x="925"/>
        <item x="1885"/>
        <item x="2413"/>
        <item x="4528"/>
        <item x="4730"/>
        <item x="1339"/>
        <item x="1952"/>
        <item x="129"/>
        <item x="824"/>
        <item x="3964"/>
        <item x="3808"/>
        <item x="1168"/>
        <item x="1711"/>
        <item x="3617"/>
        <item x="547"/>
        <item x="1031"/>
        <item x="3487"/>
        <item x="3799"/>
        <item x="3895"/>
        <item x="3816"/>
        <item x="664"/>
        <item x="3336"/>
        <item x="1797"/>
        <item x="4806"/>
        <item x="3876"/>
        <item x="3337"/>
        <item x="4816"/>
        <item x="4483"/>
        <item x="4122"/>
        <item x="1696"/>
        <item x="3966"/>
        <item x="184"/>
        <item x="2849"/>
        <item x="718"/>
        <item x="726"/>
        <item x="2427"/>
        <item x="2041"/>
        <item x="1556"/>
        <item x="1225"/>
        <item x="648"/>
        <item x="3677"/>
        <item x="2212"/>
        <item x="3674"/>
        <item x="4567"/>
        <item x="2908"/>
        <item x="1565"/>
        <item x="2559"/>
        <item x="2926"/>
        <item x="4800"/>
        <item x="2140"/>
        <item x="3730"/>
        <item x="1127"/>
        <item x="2105"/>
        <item x="150"/>
        <item x="2241"/>
        <item x="3005"/>
        <item x="2527"/>
        <item x="4599"/>
        <item x="268"/>
        <item x="4817"/>
        <item x="497"/>
        <item x="413"/>
        <item x="1254"/>
        <item x="3659"/>
        <item x="923"/>
        <item x="4674"/>
        <item x="4527"/>
        <item x="990"/>
        <item x="1668"/>
        <item x="239"/>
        <item x="688"/>
        <item x="1275"/>
        <item x="2473"/>
        <item x="364"/>
        <item x="3134"/>
        <item x="3715"/>
        <item x="1622"/>
        <item x="2842"/>
        <item x="1913"/>
        <item x="3944"/>
        <item x="1924"/>
        <item x="687"/>
        <item x="2374"/>
        <item x="1386"/>
        <item x="194"/>
        <item x="3447"/>
        <item x="2710"/>
        <item x="1241"/>
        <item x="0"/>
        <item x="8"/>
        <item x="589"/>
        <item x="3270"/>
        <item x="2120"/>
        <item x="4055"/>
        <item x="4721"/>
        <item x="1317"/>
        <item x="1601"/>
        <item x="494"/>
        <item x="2177"/>
        <item x="2520"/>
        <item x="2806"/>
        <item x="1606"/>
        <item x="1107"/>
        <item x="1011"/>
        <item x="4032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5"/>
        <item x="3276"/>
        <item x="4789"/>
        <item x="1467"/>
        <item x="614"/>
        <item x="4539"/>
        <item x="3142"/>
        <item x="4231"/>
        <item x="1494"/>
        <item x="545"/>
        <item x="2285"/>
        <item x="4520"/>
        <item x="4905"/>
        <item x="1120"/>
        <item x="4525"/>
        <item x="3277"/>
        <item x="3256"/>
        <item x="2372"/>
        <item x="2875"/>
        <item x="3763"/>
        <item x="2656"/>
        <item x="1693"/>
        <item x="915"/>
        <item x="2997"/>
        <item x="4058"/>
        <item x="620"/>
        <item x="994"/>
        <item x="4017"/>
        <item x="4129"/>
        <item x="2708"/>
        <item x="214"/>
        <item x="120"/>
        <item x="305"/>
        <item x="435"/>
        <item x="10"/>
        <item x="1387"/>
        <item x="3935"/>
        <item x="4359"/>
        <item x="3497"/>
        <item x="4267"/>
        <item x="594"/>
        <item x="2273"/>
        <item x="489"/>
        <item x="28"/>
        <item x="538"/>
        <item x="2256"/>
        <item x="2468"/>
        <item x="3566"/>
        <item x="4266"/>
        <item x="1018"/>
        <item x="1901"/>
        <item x="2882"/>
        <item x="1319"/>
        <item x="2618"/>
        <item x="2502"/>
        <item x="1041"/>
        <item x="450"/>
        <item x="137"/>
        <item x="4086"/>
        <item x="2460"/>
        <item x="2585"/>
        <item x="2098"/>
        <item x="4000"/>
        <item x="4102"/>
        <item x="4175"/>
        <item x="3347"/>
        <item x="3962"/>
        <item x="1214"/>
        <item x="2813"/>
        <item x="2415"/>
        <item x="3953"/>
        <item x="900"/>
        <item x="4408"/>
        <item x="3593"/>
        <item x="4866"/>
        <item x="3268"/>
        <item x="3980"/>
        <item x="363"/>
        <item x="4613"/>
        <item x="152"/>
        <item x="3541"/>
        <item x="3529"/>
        <item x="4738"/>
        <item x="2138"/>
        <item x="2132"/>
        <item x="972"/>
        <item x="2564"/>
        <item x="473"/>
        <item x="800"/>
        <item x="4421"/>
        <item x="3432"/>
        <item x="4621"/>
        <item x="2023"/>
        <item x="4444"/>
        <item x="4583"/>
        <item x="381"/>
        <item x="1570"/>
        <item x="3108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49"/>
        <item x="2385"/>
        <item x="2286"/>
        <item x="2828"/>
        <item x="1493"/>
        <item x="4731"/>
        <item x="2094"/>
        <item x="3237"/>
        <item x="326"/>
        <item x="1432"/>
        <item x="896"/>
        <item x="2451"/>
        <item x="3391"/>
        <item x="3128"/>
        <item x="1624"/>
        <item x="4517"/>
        <item x="2664"/>
        <item x="2790"/>
        <item x="1495"/>
        <item x="618"/>
        <item x="3791"/>
        <item x="883"/>
        <item x="1761"/>
        <item x="1080"/>
        <item x="667"/>
        <item x="699"/>
        <item x="1444"/>
        <item x="4082"/>
        <item x="4576"/>
        <item x="4413"/>
        <item x="1095"/>
        <item x="1263"/>
        <item x="1979"/>
        <item x="3184"/>
        <item x="2684"/>
        <item x="1842"/>
        <item x="303"/>
        <item x="3174"/>
        <item x="1487"/>
        <item x="1912"/>
        <item x="995"/>
        <item x="1980"/>
        <item x="4307"/>
        <item x="4666"/>
        <item x="2410"/>
        <item x="1613"/>
        <item x="4471"/>
        <item x="1634"/>
        <item x="2386"/>
        <item x="4399"/>
        <item x="4677"/>
        <item x="1367"/>
        <item x="4441"/>
        <item x="2668"/>
        <item x="2488"/>
        <item x="2755"/>
        <item x="3111"/>
        <item x="634"/>
        <item x="2055"/>
        <item x="1550"/>
        <item x="3235"/>
        <item x="131"/>
        <item x="3323"/>
        <item x="2295"/>
        <item x="3118"/>
        <item x="2160"/>
        <item x="2627"/>
        <item x="2622"/>
        <item x="4171"/>
        <item x="1148"/>
        <item x="2365"/>
        <item x="3742"/>
        <item x="2728"/>
        <item x="4662"/>
        <item x="3716"/>
        <item x="3702"/>
        <item x="3776"/>
        <item x="847"/>
        <item x="3972"/>
        <item x="3830"/>
        <item x="4062"/>
        <item x="2528"/>
        <item x="4166"/>
        <item x="3489"/>
        <item x="4033"/>
        <item x="1193"/>
        <item x="3488"/>
        <item x="4034"/>
        <item x="56"/>
        <item x="567"/>
        <item x="2660"/>
        <item x="1370"/>
        <item x="2956"/>
        <item x="3238"/>
        <item x="4896"/>
        <item x="4106"/>
        <item x="1778"/>
        <item x="3436"/>
        <item x="1915"/>
        <item x="1608"/>
        <item x="1530"/>
        <item x="1213"/>
        <item x="1880"/>
        <item x="977"/>
        <item x="1870"/>
        <item x="4466"/>
        <item x="1939"/>
        <item x="3285"/>
        <item x="3018"/>
        <item x="3041"/>
        <item x="2133"/>
        <item x="1547"/>
        <item x="2775"/>
        <item x="1966"/>
        <item x="658"/>
        <item x="1459"/>
        <item x="2727"/>
        <item x="4600"/>
        <item x="4770"/>
        <item x="3349"/>
        <item x="2996"/>
        <item x="2480"/>
        <item x="2949"/>
        <item x="4260"/>
        <item x="1835"/>
        <item x="3306"/>
        <item x="430"/>
        <item x="1155"/>
        <item x="4464"/>
        <item x="2827"/>
        <item x="3141"/>
        <item x="3865"/>
        <item x="4315"/>
        <item x="2698"/>
        <item x="3424"/>
        <item x="885"/>
        <item x="913"/>
        <item x="2247"/>
        <item x="4149"/>
        <item x="1656"/>
        <item x="4253"/>
        <item x="879"/>
        <item x="1358"/>
        <item x="4772"/>
        <item x="2261"/>
        <item x="4393"/>
        <item x="3517"/>
        <item x="4804"/>
        <item x="4762"/>
        <item x="2304"/>
        <item x="4378"/>
        <item x="3466"/>
        <item x="4305"/>
        <item x="3521"/>
        <item x="2928"/>
        <item x="4785"/>
        <item x="3761"/>
        <item x="3073"/>
        <item x="2296"/>
        <item x="1398"/>
        <item x="2237"/>
        <item x="3413"/>
        <item x="3743"/>
        <item x="1777"/>
        <item x="27"/>
        <item x="170"/>
        <item x="86"/>
        <item x="823"/>
        <item x="836"/>
        <item x="4187"/>
        <item x="4298"/>
        <item x="2766"/>
        <item x="3806"/>
        <item x="2436"/>
        <item x="1981"/>
        <item x="1646"/>
        <item x="553"/>
        <item x="41"/>
        <item x="577"/>
        <item x="3546"/>
        <item x="4425"/>
        <item x="1804"/>
        <item x="2865"/>
        <item x="283"/>
        <item x="911"/>
        <item x="838"/>
        <item x="390"/>
        <item x="3979"/>
        <item x="2855"/>
        <item x="2762"/>
        <item x="902"/>
        <item x="2403"/>
        <item x="2392"/>
        <item x="715"/>
        <item x="425"/>
        <item x="1552"/>
        <item x="309"/>
        <item x="4907"/>
        <item x="3152"/>
        <item x="3117"/>
        <item x="2932"/>
        <item x="4545"/>
        <item x="1100"/>
        <item x="4700"/>
        <item x="2401"/>
        <item x="933"/>
        <item x="4059"/>
        <item x="2701"/>
        <item x="4402"/>
        <item x="4039"/>
        <item x="3906"/>
        <item x="869"/>
        <item x="3458"/>
        <item x="868"/>
        <item x="1082"/>
        <item x="1032"/>
        <item x="3784"/>
        <item x="3600"/>
        <item x="118"/>
        <item x="2941"/>
        <item x="1142"/>
        <item x="534"/>
        <item x="356"/>
        <item x="223"/>
        <item x="438"/>
        <item x="4524"/>
        <item x="4735"/>
        <item x="1689"/>
        <item x="2283"/>
        <item x="3241"/>
        <item x="4839"/>
        <item x="721"/>
        <item x="1183"/>
        <item x="4348"/>
        <item x="2052"/>
        <item x="4436"/>
        <item x="2712"/>
        <item x="4057"/>
        <item x="1569"/>
        <item x="706"/>
        <item x="1146"/>
        <item x="4145"/>
        <item x="1037"/>
        <item x="4510"/>
        <item x="4801"/>
        <item x="519"/>
        <item x="2809"/>
        <item x="3229"/>
        <item x="1500"/>
        <item x="2834"/>
        <item x="1871"/>
        <item x="4486"/>
        <item x="3945"/>
        <item x="3739"/>
        <item x="4120"/>
        <item x="946"/>
        <item x="2885"/>
        <item x="4740"/>
        <item x="3175"/>
        <item x="386"/>
        <item x="332"/>
        <item x="4221"/>
        <item x="4536"/>
        <item x="1293"/>
        <item x="1983"/>
        <item x="1274"/>
        <item x="1277"/>
        <item x="3547"/>
        <item x="845"/>
        <item x="1350"/>
        <item x="2453"/>
        <item x="3947"/>
        <item x="2959"/>
        <item x="4631"/>
        <item x="2309"/>
        <item x="210"/>
        <item x="3954"/>
        <item x="3340"/>
        <item x="4899"/>
        <item x="691"/>
        <item x="1150"/>
        <item x="3648"/>
        <item x="4882"/>
        <item x="423"/>
        <item x="657"/>
        <item x="1833"/>
        <item x="4201"/>
        <item x="2130"/>
        <item x="4061"/>
        <item x="4345"/>
        <item x="1438"/>
        <item x="4841"/>
        <item x="307"/>
        <item x="505"/>
        <item x="353"/>
        <item x="1865"/>
        <item x="3298"/>
        <item x="2776"/>
        <item x="1081"/>
        <item x="2579"/>
        <item x="2050"/>
        <item x="3388"/>
        <item x="2268"/>
        <item x="3371"/>
        <item x="4239"/>
        <item x="456"/>
        <item x="415"/>
        <item x="728"/>
        <item x="3549"/>
        <item x="1272"/>
        <item x="3571"/>
        <item x="3973"/>
        <item x="3058"/>
        <item x="4026"/>
        <item x="4734"/>
        <item x="454"/>
        <item x="385"/>
        <item x="2394"/>
        <item x="1454"/>
        <item x="1724"/>
        <item x="2614"/>
        <item x="2652"/>
        <item x="939"/>
        <item x="2269"/>
        <item x="4285"/>
        <item x="463"/>
        <item x="531"/>
        <item x="371"/>
        <item x="734"/>
        <item x="4155"/>
        <item x="1892"/>
        <item x="3507"/>
        <item x="4668"/>
        <item x="2729"/>
        <item x="2598"/>
        <item x="1362"/>
        <item x="2182"/>
        <item x="3017"/>
        <item x="736"/>
        <item x="3166"/>
        <item x="2992"/>
        <item x="1626"/>
        <item x="4411"/>
        <item x="4864"/>
        <item x="2635"/>
        <item x="719"/>
        <item x="1060"/>
        <item x="2298"/>
        <item x="4169"/>
        <item x="1084"/>
        <item x="1907"/>
        <item x="1553"/>
        <item x="2915"/>
        <item x="2246"/>
        <item x="3137"/>
        <item x="3274"/>
        <item x="2690"/>
        <item x="4646"/>
        <item x="944"/>
        <item x="2816"/>
        <item x="4495"/>
        <item x="4031"/>
        <item x="1355"/>
        <item x="3910"/>
        <item x="424"/>
        <item x="4694"/>
        <item x="3478"/>
        <item x="1559"/>
        <item x="841"/>
        <item x="2951"/>
        <item x="2726"/>
        <item x="1921"/>
        <item x="3265"/>
        <item x="2752"/>
        <item x="4603"/>
        <item x="3595"/>
        <item x="2888"/>
        <item x="2569"/>
        <item x="4409"/>
        <item x="2988"/>
        <item x="1727"/>
        <item x="4439"/>
        <item x="4551"/>
        <item x="4743"/>
        <item x="954"/>
        <item x="1119"/>
        <item x="1460"/>
        <item x="346"/>
        <item x="2958"/>
        <item x="3445"/>
        <item x="3929"/>
        <item x="4384"/>
        <item x="3532"/>
        <item x="713"/>
        <item x="935"/>
        <item x="3644"/>
        <item x="2496"/>
        <item x="4030"/>
        <item x="1919"/>
        <item x="2860"/>
        <item x="4131"/>
        <item x="2327"/>
        <item x="2967"/>
        <item x="1998"/>
        <item x="3131"/>
        <item x="244"/>
        <item x="453"/>
        <item x="3442"/>
        <item x="2665"/>
        <item x="1799"/>
        <item x="134"/>
        <item x="794"/>
        <item x="3407"/>
        <item x="3026"/>
        <item x="2953"/>
        <item x="2090"/>
        <item x="2922"/>
        <item x="2156"/>
        <item x="837"/>
        <item x="3990"/>
        <item x="4873"/>
        <item x="1743"/>
        <item x="83"/>
        <item x="3939"/>
        <item x="2439"/>
        <item x="3949"/>
        <item x="2201"/>
        <item x="487"/>
        <item x="4014"/>
        <item x="720"/>
        <item x="3475"/>
        <item x="3733"/>
        <item x="1699"/>
        <item x="2748"/>
        <item x="2987"/>
        <item x="4415"/>
        <item x="2505"/>
        <item x="4562"/>
        <item x="3579"/>
        <item x="4275"/>
        <item x="4005"/>
        <item x="803"/>
        <item x="3764"/>
        <item x="1931"/>
        <item x="3359"/>
        <item x="2110"/>
        <item x="851"/>
        <item x="4737"/>
        <item x="4727"/>
        <item x="671"/>
        <item x="2264"/>
        <item x="1019"/>
        <item x="4634"/>
        <item x="916"/>
        <item x="2259"/>
        <item x="3725"/>
        <item x="732"/>
        <item x="439"/>
        <item x="1117"/>
        <item x="4370"/>
        <item x="3898"/>
        <item x="1014"/>
        <item x="3410"/>
        <item x="471"/>
        <item x="2779"/>
        <item x="2824"/>
        <item x="1304"/>
        <item x="1661"/>
        <item x="2076"/>
        <item x="2654"/>
        <item x="4043"/>
        <item x="4450"/>
        <item x="2072"/>
        <item x="3724"/>
        <item x="3892"/>
        <item x="3414"/>
        <item x="515"/>
        <item x="626"/>
        <item x="4580"/>
        <item x="4645"/>
        <item x="3225"/>
        <item x="4558"/>
        <item x="2542"/>
        <item x="2075"/>
        <item x="2369"/>
        <item x="3124"/>
        <item x="3060"/>
        <item x="3421"/>
        <item x="4667"/>
        <item x="3401"/>
        <item x="3601"/>
        <item x="2580"/>
        <item x="2079"/>
        <item x="2376"/>
        <item x="4073"/>
        <item x="1048"/>
        <item x="2823"/>
        <item x="2470"/>
        <item x="813"/>
        <item x="148"/>
        <item x="584"/>
        <item x="361"/>
        <item x="1738"/>
        <item x="3686"/>
        <item x="4302"/>
        <item x="3675"/>
        <item x="635"/>
        <item x="4200"/>
        <item x="196"/>
        <item x="2974"/>
        <item x="3113"/>
        <item x="2821"/>
        <item x="2240"/>
        <item x="844"/>
        <item x="1585"/>
        <item x="2695"/>
        <item x="1307"/>
        <item x="2636"/>
        <item x="407"/>
        <item x="1788"/>
        <item x="293"/>
        <item x="3611"/>
        <item x="4141"/>
        <item x="1705"/>
        <item x="4516"/>
        <item x="574"/>
        <item x="2975"/>
        <item x="1579"/>
        <item x="3066"/>
        <item x="4709"/>
        <item x="4679"/>
        <item x="1373"/>
        <item x="1364"/>
        <item x="3542"/>
        <item x="3460"/>
        <item x="895"/>
        <item x="1015"/>
        <item x="3603"/>
        <item x="1929"/>
        <item x="3578"/>
        <item x="4574"/>
        <item x="1423"/>
        <item x="3782"/>
        <item x="4079"/>
        <item x="1933"/>
        <item x="956"/>
        <item x="2272"/>
        <item x="607"/>
        <item x="1522"/>
        <item x="3425"/>
        <item x="2523"/>
        <item x="1177"/>
        <item x="2014"/>
        <item x="2179"/>
        <item x="3653"/>
        <item x="4400"/>
        <item x="3894"/>
        <item x="3348"/>
        <item x="4881"/>
        <item x="1600"/>
        <item x="3232"/>
        <item x="2784"/>
        <item x="566"/>
        <item x="4435"/>
        <item x="4264"/>
        <item x="1758"/>
        <item x="601"/>
        <item x="4419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0"/>
        <item x="645"/>
        <item x="1542"/>
        <item x="536"/>
        <item x="3956"/>
        <item x="422"/>
        <item x="3492"/>
        <item x="1255"/>
        <item x="4633"/>
        <item x="1023"/>
        <item x="2982"/>
        <item x="3317"/>
        <item x="2613"/>
        <item x="571"/>
        <item x="3756"/>
        <item x="3372"/>
        <item x="3107"/>
        <item x="2531"/>
        <item x="2149"/>
        <item x="4890"/>
        <item x="2795"/>
        <item x="4838"/>
        <item x="2091"/>
        <item x="654"/>
        <item x="3528"/>
        <item x="2540"/>
        <item x="3626"/>
        <item x="2947"/>
        <item x="2506"/>
        <item x="1197"/>
        <item x="1655"/>
        <item x="1103"/>
        <item x="2711"/>
        <item x="1294"/>
        <item x="766"/>
        <item x="4889"/>
        <item x="2321"/>
        <item x="3741"/>
        <item x="2311"/>
        <item x="4279"/>
        <item x="4021"/>
        <item x="3028"/>
        <item x="455"/>
        <item x="2815"/>
        <item x="1047"/>
        <item x="4007"/>
        <item x="1005"/>
        <item x="3327"/>
        <item x="3803"/>
        <item x="2765"/>
        <item x="723"/>
        <item x="4843"/>
        <item x="4272"/>
        <item x="2419"/>
        <item x="1927"/>
        <item x="4367"/>
        <item x="4222"/>
        <item x="4144"/>
        <item x="773"/>
        <item x="75"/>
        <item x="3171"/>
        <item x="795"/>
        <item x="2151"/>
        <item x="1198"/>
        <item x="1671"/>
        <item x="4265"/>
        <item x="4908"/>
        <item x="3279"/>
        <item x="682"/>
        <item x="1525"/>
        <item x="3486"/>
        <item x="1914"/>
        <item x="872"/>
        <item x="887"/>
        <item x="1453"/>
        <item x="4150"/>
        <item x="3994"/>
        <item x="3176"/>
        <item x="226"/>
        <item x="4542"/>
        <item x="3582"/>
        <item x="3909"/>
        <item x="3072"/>
        <item x="397"/>
        <item x="302"/>
        <item x="3104"/>
        <item x="2600"/>
        <item x="265"/>
        <item x="2217"/>
        <item x="408"/>
        <item x="403"/>
        <item x="3326"/>
        <item x="1336"/>
        <item x="4656"/>
        <item x="4053"/>
        <item x="2552"/>
        <item x="1648"/>
        <item x="637"/>
        <item x="2245"/>
        <item x="2166"/>
        <item x="300"/>
        <item x="2300"/>
        <item x="298"/>
        <item x="292"/>
        <item x="4832"/>
        <item x="928"/>
        <item x="2872"/>
        <item x="3305"/>
        <item x="997"/>
        <item x="3530"/>
        <item x="1224"/>
        <item x="4097"/>
        <item x="4588"/>
        <item x="621"/>
        <item x="2493"/>
        <item x="2196"/>
        <item x="3187"/>
        <item x="4212"/>
        <item x="1936"/>
        <item x="74"/>
        <item x="785"/>
        <item x="1822"/>
        <item x="685"/>
        <item x="2265"/>
        <item x="2263"/>
        <item x="3706"/>
        <item x="4648"/>
        <item x="4162"/>
        <item x="3661"/>
        <item x="3922"/>
        <item x="2482"/>
        <item x="858"/>
        <item x="483"/>
        <item x="2812"/>
        <item x="4755"/>
        <item x="2838"/>
        <item x="853"/>
        <item x="4892"/>
        <item x="3790"/>
        <item x="2127"/>
        <item x="1510"/>
        <item x="158"/>
        <item x="2743"/>
        <item x="526"/>
        <item x="4314"/>
        <item x="3385"/>
        <item x="1575"/>
        <item x="1342"/>
        <item x="4406"/>
        <item x="1300"/>
        <item x="1258"/>
        <item x="2194"/>
        <item x="2639"/>
        <item x="4114"/>
        <item x="882"/>
        <item x="663"/>
        <item x="2994"/>
        <item x="4692"/>
        <item x="449"/>
        <item x="4830"/>
        <item x="3448"/>
        <item x="3516"/>
        <item x="942"/>
        <item x="1013"/>
        <item x="4612"/>
        <item x="4420"/>
        <item x="2835"/>
        <item x="3800"/>
        <item x="2398"/>
        <item x="3986"/>
        <item x="474"/>
        <item x="4136"/>
        <item x="219"/>
        <item x="246"/>
        <item x="1284"/>
        <item x="2777"/>
        <item x="3375"/>
        <item x="3734"/>
        <item x="3415"/>
        <item x="3728"/>
        <item x="208"/>
        <item x="3772"/>
        <item x="2027"/>
        <item x="1093"/>
        <item x="4092"/>
        <item x="2723"/>
        <item x="2955"/>
        <item x="2360"/>
        <item x="4521"/>
        <item x="1292"/>
        <item x="3963"/>
        <item x="2693"/>
        <item x="1489"/>
        <item x="4343"/>
        <item x="1253"/>
        <item x="3223"/>
        <item x="3353"/>
        <item x="3190"/>
        <item x="3682"/>
        <item x="1180"/>
        <item x="675"/>
        <item x="4658"/>
        <item x="2337"/>
        <item x="4724"/>
        <item x="4379"/>
        <item x="1828"/>
        <item x="1878"/>
        <item x="1250"/>
        <item x="2034"/>
        <item x="169"/>
        <item x="2836"/>
        <item x="1137"/>
        <item x="334"/>
        <item x="1881"/>
        <item x="4638"/>
        <item x="2230"/>
        <item x="2108"/>
        <item x="4611"/>
        <item x="2641"/>
        <item x="2345"/>
        <item x="963"/>
        <item x="1051"/>
        <item x="546"/>
        <item x="4723"/>
        <item x="4029"/>
        <item x="4467"/>
        <item x="897"/>
        <item x="3260"/>
        <item x="1445"/>
        <item x="2289"/>
        <item x="3403"/>
        <item x="1824"/>
        <item x="1810"/>
        <item x="1670"/>
        <item x="2629"/>
        <item x="1470"/>
        <item x="555"/>
        <item x="1561"/>
        <item x="843"/>
        <item x="2774"/>
        <item x="1846"/>
        <item x="3422"/>
        <item x="1736"/>
        <item x="458"/>
        <item x="143"/>
        <item x="788"/>
        <item x="3735"/>
        <item x="4891"/>
        <item x="665"/>
        <item x="4529"/>
        <item x="4452"/>
        <item x="1126"/>
        <item x="4296"/>
        <item x="562"/>
        <item x="2006"/>
        <item x="4544"/>
        <item x="2115"/>
        <item x="3035"/>
        <item x="984"/>
        <item x="2931"/>
        <item x="1749"/>
        <item x="3691"/>
        <item x="4374"/>
        <item x="1603"/>
        <item x="1809"/>
        <item x="827"/>
        <item x="2051"/>
        <item x="4038"/>
        <item x="2930"/>
        <item x="4335"/>
        <item x="1605"/>
        <item x="447"/>
        <item x="3896"/>
        <item x="3843"/>
        <item x="4052"/>
        <item x="3771"/>
        <item x="3002"/>
        <item x="4018"/>
        <item x="1320"/>
        <item x="4506"/>
        <item x="4064"/>
        <item x="3587"/>
        <item x="1816"/>
        <item x="2644"/>
        <item x="1862"/>
        <item x="3639"/>
        <item x="856"/>
        <item x="1001"/>
        <item x="3181"/>
        <item x="2114"/>
        <item x="2719"/>
        <item x="3463"/>
        <item x="4027"/>
        <item x="4226"/>
        <item x="3915"/>
        <item x="1566"/>
        <item x="2897"/>
        <item x="3061"/>
        <item x="1604"/>
        <item x="4376"/>
        <item x="4138"/>
        <item x="4070"/>
        <item x="3665"/>
        <item x="4139"/>
        <item x="4083"/>
        <item x="3907"/>
        <item x="1413"/>
        <item x="3495"/>
        <item x="1682"/>
        <item x="4417"/>
        <item x="2226"/>
        <item x="1087"/>
        <item x="4293"/>
        <item x="2934"/>
        <item x="912"/>
        <item x="4157"/>
        <item x="1723"/>
        <item x="4458"/>
        <item x="125"/>
        <item x="4537"/>
        <item x="4112"/>
        <item x="3794"/>
        <item x="4188"/>
        <item x="2757"/>
        <item x="156"/>
        <item x="2691"/>
        <item x="4884"/>
        <item x="563"/>
        <item x="2499"/>
        <item x="45"/>
        <item x="1466"/>
        <item x="464"/>
        <item x="3875"/>
        <item x="965"/>
        <item x="167"/>
        <item x="77"/>
        <item x="4860"/>
        <item x="3607"/>
        <item x="1077"/>
        <item x="1017"/>
        <item x="2066"/>
        <item x="3718"/>
        <item x="322"/>
        <item x="762"/>
        <item x="4225"/>
        <item x="4101"/>
        <item x="781"/>
        <item x="945"/>
        <item x="1380"/>
        <item x="4178"/>
        <item x="3213"/>
        <item x="1555"/>
        <item x="834"/>
        <item x="4871"/>
        <item x="2218"/>
        <item x="3461"/>
        <item x="1281"/>
        <item x="1192"/>
        <item x="1215"/>
        <item x="3430"/>
        <item x="4123"/>
        <item x="1657"/>
        <item x="3105"/>
        <item x="4196"/>
        <item x="1260"/>
        <item x="1568"/>
        <item x="444"/>
        <item x="2411"/>
        <item x="1963"/>
        <item x="132"/>
        <item x="4185"/>
        <item x="2733"/>
        <item x="221"/>
        <item x="822"/>
        <item x="2187"/>
        <item x="2252"/>
        <item x="3605"/>
        <item x="2059"/>
        <item x="149"/>
        <item x="1771"/>
        <item x="1377"/>
        <item x="890"/>
        <item x="2935"/>
        <item x="4356"/>
        <item x="2921"/>
        <item x="2015"/>
        <item x="4653"/>
        <item x="4766"/>
        <item x="280"/>
        <item x="3253"/>
        <item x="2853"/>
        <item x="3282"/>
        <item x="1627"/>
        <item x="1697"/>
        <item x="4130"/>
        <item x="3494"/>
        <item x="1518"/>
        <item x="3558"/>
        <item x="874"/>
        <item x="3919"/>
        <item x="4438"/>
        <item x="162"/>
        <item x="1688"/>
        <item x="4440"/>
        <item x="98"/>
        <item x="1557"/>
        <item x="709"/>
        <item x="3965"/>
        <item x="3512"/>
        <item x="707"/>
        <item x="279"/>
        <item x="3891"/>
        <item x="2341"/>
        <item x="2462"/>
        <item x="3509"/>
        <item x="2735"/>
        <item x="4793"/>
        <item x="3197"/>
        <item x="4649"/>
        <item x="1906"/>
        <item x="2787"/>
        <item x="3412"/>
        <item x="3037"/>
        <item x="2551"/>
        <item x="1886"/>
        <item x="806"/>
        <item x="4682"/>
        <item x="2382"/>
        <item x="2760"/>
        <item x="1236"/>
        <item x="3622"/>
        <item x="1714"/>
        <item x="4295"/>
        <item x="3248"/>
        <item x="4732"/>
        <item x="1852"/>
        <item x="4405"/>
        <item x="3693"/>
        <item x="4227"/>
        <item x="243"/>
        <item x="3514"/>
        <item x="42"/>
        <item x="3713"/>
        <item x="3369"/>
        <item x="318"/>
        <item x="973"/>
        <item x="2972"/>
        <item x="1649"/>
        <item x="4066"/>
        <item x="899"/>
        <item x="4625"/>
        <item x="2620"/>
        <item x="2715"/>
        <item x="4347"/>
        <item x="443"/>
        <item x="529"/>
        <item x="1324"/>
        <item x="95"/>
        <item x="1401"/>
        <item x="4481"/>
        <item x="255"/>
        <item x="3148"/>
        <item x="3200"/>
        <item x="4799"/>
        <item x="2554"/>
        <item x="1308"/>
        <item x="2083"/>
        <item x="525"/>
        <item x="3319"/>
        <item x="4584"/>
        <item x="1937"/>
        <item x="631"/>
        <item x="3673"/>
        <item x="3540"/>
        <item x="2606"/>
        <item x="4096"/>
        <item x="2461"/>
        <item x="2610"/>
        <item x="3668"/>
        <item x="3250"/>
        <item x="2424"/>
        <item x="116"/>
        <item x="2322"/>
        <item x="4274"/>
        <item x="1249"/>
        <item x="1642"/>
        <item x="1592"/>
        <item x="991"/>
        <item x="398"/>
        <item x="3821"/>
        <item x="957"/>
        <item x="1053"/>
        <item x="4020"/>
        <item x="4853"/>
        <item x="174"/>
        <item x="391"/>
        <item x="3051"/>
        <item x="4752"/>
        <item x="4288"/>
        <item x="4534"/>
        <item x="615"/>
        <item x="3465"/>
        <item x="2112"/>
        <item x="4485"/>
        <item x="2048"/>
        <item x="1745"/>
        <item x="2884"/>
        <item x="3233"/>
        <item x="3914"/>
        <item x="2808"/>
        <item x="4556"/>
        <item x="3397"/>
        <item x="282"/>
        <item x="203"/>
        <item x="197"/>
        <item x="115"/>
        <item x="9"/>
        <item x="114"/>
        <item x="193"/>
        <item x="200"/>
        <item x="4186"/>
        <item x="611"/>
        <item x="3612"/>
        <item x="4329"/>
        <item x="4586"/>
        <item x="4862"/>
        <item x="2043"/>
        <item x="1928"/>
        <item x="1383"/>
        <item x="2756"/>
        <item x="3621"/>
        <item x="3127"/>
        <item x="1337"/>
        <item x="1564"/>
        <item x="2965"/>
        <item x="3704"/>
        <item x="1134"/>
        <item x="3212"/>
        <item x="3556"/>
        <item x="1449"/>
        <item x="3332"/>
        <item x="4501"/>
        <item x="427"/>
        <item x="742"/>
        <item x="4437"/>
        <item x="3882"/>
        <item x="3738"/>
        <item x="3239"/>
        <item x="4880"/>
        <item x="2038"/>
        <item x="955"/>
        <item x="310"/>
        <item x="1151"/>
        <item x="2659"/>
        <item x="988"/>
        <item x="1161"/>
        <item x="4814"/>
        <item x="4683"/>
        <item x="1188"/>
        <item x="3459"/>
        <item x="3099"/>
        <item x="507"/>
        <item x="4513"/>
        <item x="1884"/>
        <item x="3941"/>
        <item x="1152"/>
        <item x="2192"/>
        <item x="3168"/>
        <item x="4577"/>
        <item x="3604"/>
        <item x="4615"/>
        <item x="3476"/>
        <item x="2977"/>
        <item x="3807"/>
        <item x="4065"/>
        <item x="4269"/>
        <item x="2543"/>
        <item x="2647"/>
        <item x="1841"/>
        <item x="4237"/>
        <item x="2990"/>
        <item x="2096"/>
        <item x="1431"/>
        <item x="833"/>
        <item x="2450"/>
        <item x="4504"/>
        <item x="4025"/>
        <item x="1754"/>
        <item x="1451"/>
        <item x="2146"/>
        <item x="372"/>
        <item x="2541"/>
        <item x="551"/>
        <item x="4834"/>
        <item x="804"/>
        <item x="3859"/>
        <item x="2129"/>
        <item x="2565"/>
        <item x="2228"/>
        <item x="2658"/>
        <item x="4688"/>
        <item x="260"/>
        <item x="4394"/>
        <item x="186"/>
        <item x="2085"/>
        <item x="2388"/>
        <item x="1690"/>
        <item x="2448"/>
        <item x="583"/>
        <item x="4578"/>
        <item x="2671"/>
        <item x="700"/>
        <item x="1607"/>
        <item x="1602"/>
        <item x="1223"/>
        <item x="1393"/>
        <item x="4765"/>
        <item x="549"/>
        <item x="3752"/>
        <item x="3377"/>
        <item x="2524"/>
        <item x="1462"/>
        <item x="1950"/>
        <item x="2778"/>
        <item x="1372"/>
        <item x="532"/>
        <item x="2449"/>
        <item x="472"/>
        <item x="396"/>
        <item x="4358"/>
        <item x="3482"/>
        <item x="3427"/>
        <item x="4204"/>
        <item x="2925"/>
        <item x="2504"/>
        <item x="3897"/>
        <item x="1437"/>
        <item x="2335"/>
        <item x="3651"/>
        <item x="4341"/>
        <item x="3033"/>
        <item x="230"/>
        <item x="4382"/>
        <item x="2895"/>
        <item x="2486"/>
        <item x="2170"/>
        <item x="215"/>
        <item x="2916"/>
        <item x="1363"/>
        <item x="2534"/>
        <item x="3887"/>
        <item x="929"/>
        <item x="1775"/>
        <item x="161"/>
        <item x="93"/>
        <item x="1677"/>
        <item x="3334"/>
        <item x="2028"/>
        <item x="4098"/>
        <item x="678"/>
        <item x="70"/>
        <item x="166"/>
        <item x="4207"/>
        <item x="3948"/>
        <item x="4629"/>
        <item x="4068"/>
        <item x="117"/>
        <item x="3133"/>
        <item x="959"/>
        <item x="2069"/>
        <item x="2440"/>
        <item x="2336"/>
        <item x="2437"/>
        <item x="2021"/>
        <item x="1505"/>
        <item x="3917"/>
        <item x="2087"/>
        <item x="3457"/>
        <item x="2457"/>
        <item x="2847"/>
        <item x="2406"/>
        <item x="4848"/>
        <item x="1205"/>
        <item x="4304"/>
        <item x="4745"/>
        <item x="4476"/>
        <item x="3748"/>
        <item x="4287"/>
        <item x="608"/>
        <item x="2009"/>
        <item x="2753"/>
        <item x="4327"/>
        <item x="4685"/>
        <item x="680"/>
        <item x="271"/>
        <item x="644"/>
        <item x="331"/>
        <item x="354"/>
        <item x="523"/>
        <item x="1925"/>
        <item x="4084"/>
        <item x="1397"/>
        <item x="1747"/>
        <item x="4125"/>
        <item x="2682"/>
        <item x="2648"/>
        <item x="2981"/>
        <item x="3243"/>
        <item x="4056"/>
        <item x="3158"/>
        <item x="2290"/>
        <item x="3167"/>
        <item x="3366"/>
        <item x="876"/>
        <item x="548"/>
        <item x="4142"/>
        <item x="1299"/>
        <item x="1405"/>
        <item x="2672"/>
        <item x="3912"/>
        <item x="1685"/>
        <item x="1832"/>
        <item x="4499"/>
        <item x="4286"/>
        <item x="4885"/>
        <item x="2936"/>
        <item x="316"/>
        <item x="4159"/>
        <item x="2843"/>
        <item x="3029"/>
        <item x="799"/>
        <item x="3937"/>
        <item x="4197"/>
        <item x="2049"/>
        <item x="1428"/>
        <item x="3426"/>
        <item x="3483"/>
        <item x="97"/>
        <item x="1063"/>
        <item x="4354"/>
        <item x="516"/>
        <item x="92"/>
        <item x="4278"/>
        <item x="54"/>
        <item x="1030"/>
        <item x="1733"/>
        <item x="4840"/>
        <item x="2355"/>
        <item x="3881"/>
        <item x="2839"/>
        <item x="582"/>
        <item x="2271"/>
        <item x="4759"/>
        <item x="796"/>
        <item x="4199"/>
        <item x="4183"/>
        <item x="3012"/>
        <item x="937"/>
        <item x="78"/>
        <item x="4316"/>
        <item x="3627"/>
        <item x="3062"/>
        <item x="4650"/>
        <item x="1057"/>
        <item x="527"/>
        <item x="864"/>
        <item x="3635"/>
        <item x="253"/>
        <item x="96"/>
        <item x="4573"/>
        <item x="931"/>
        <item x="1006"/>
        <item x="3215"/>
        <item x="971"/>
        <item x="2223"/>
        <item x="936"/>
        <item x="771"/>
        <item x="4695"/>
        <item x="2995"/>
        <item x="3082"/>
        <item x="764"/>
        <item x="1385"/>
        <item x="3927"/>
        <item x="4566"/>
        <item x="3606"/>
        <item x="80"/>
        <item x="32"/>
        <item x="69"/>
        <item x="1994"/>
        <item x="4605"/>
        <item x="3614"/>
        <item x="1283"/>
        <item x="1381"/>
        <item x="4161"/>
        <item x="4708"/>
        <item x="3210"/>
        <item x="3194"/>
        <item x="3967"/>
        <item x="4208"/>
        <item x="1825"/>
        <item x="404"/>
        <item x="3341"/>
        <item x="1439"/>
        <item x="3219"/>
        <item x="508"/>
        <item x="4147"/>
        <item x="731"/>
        <item x="752"/>
        <item x="49"/>
        <item x="2136"/>
        <item x="2979"/>
        <item x="3630"/>
        <item x="2883"/>
        <item x="1016"/>
        <item x="2680"/>
        <item x="2003"/>
        <item x="568"/>
        <item x="222"/>
        <item x="3988"/>
        <item x="3983"/>
        <item x="2754"/>
        <item x="4016"/>
        <item x="2137"/>
        <item x="2870"/>
        <item x="2044"/>
        <item x="2081"/>
        <item x="1905"/>
        <item x="3052"/>
        <item x="3132"/>
        <item x="2764"/>
        <item x="3703"/>
        <item x="2530"/>
        <item x="921"/>
        <item x="1234"/>
        <item x="1446"/>
        <item x="4526"/>
        <item x="4761"/>
        <item x="4104"/>
        <item x="1207"/>
        <item x="4505"/>
        <item x="1864"/>
        <item x="3022"/>
        <item x="741"/>
        <item x="2522"/>
        <item x="1340"/>
        <item x="3860"/>
        <item x="5"/>
        <item x="1366"/>
        <item x="1125"/>
        <item x="1101"/>
        <item x="4637"/>
        <item x="2894"/>
        <item x="1059"/>
        <item x="2739"/>
        <item x="2084"/>
        <item x="504"/>
        <item x="4365"/>
        <item x="4078"/>
        <item x="1068"/>
        <item x="2039"/>
        <item x="753"/>
        <item x="2095"/>
        <item x="1792"/>
        <item x="3995"/>
        <item x="3573"/>
        <item x="1194"/>
        <item x="4610"/>
        <item x="426"/>
        <item x="3411"/>
        <item x="3191"/>
        <item x="3399"/>
        <item x="62"/>
        <item x="340"/>
        <item x="689"/>
        <item x="29"/>
        <item x="452"/>
        <item x="808"/>
        <item x="4040"/>
        <item x="2339"/>
        <item x="1767"/>
        <item x="1301"/>
        <item x="2918"/>
        <item x="2789"/>
        <item x="2557"/>
        <item x="384"/>
        <item x="3023"/>
        <item x="4009"/>
        <item x="735"/>
        <item x="2354"/>
        <item x="4502"/>
        <item x="1040"/>
        <item x="2898"/>
        <item x="2634"/>
        <item x="1721"/>
        <item x="3698"/>
        <item x="4569"/>
        <item x="4099"/>
        <item x="3596"/>
        <item x="2709"/>
        <item x="1776"/>
        <item x="1756"/>
        <item x="4312"/>
        <item x="1091"/>
        <item x="3312"/>
        <item x="4309"/>
        <item x="846"/>
        <item x="849"/>
        <item x="4570"/>
        <item x="3710"/>
        <item x="612"/>
        <item x="3153"/>
        <item x="541"/>
        <item x="2642"/>
        <item x="4322"/>
        <item x="1820"/>
        <item x="25"/>
        <item x="272"/>
        <item x="4616"/>
        <item x="1922"/>
        <item x="1978"/>
        <item x="3004"/>
        <item x="2681"/>
        <item x="1280"/>
        <item x="1899"/>
        <item x="4640"/>
        <item x="1789"/>
        <item x="4311"/>
        <item x="3087"/>
        <item x="3216"/>
        <item x="231"/>
        <item x="1477"/>
        <item x="2651"/>
        <item x="1780"/>
        <item x="941"/>
        <item x="1039"/>
        <item x="2595"/>
        <item x="3151"/>
        <item x="1468"/>
        <item x="3992"/>
        <item x="1774"/>
        <item x="2229"/>
        <item x="1996"/>
        <item x="138"/>
        <item x="153"/>
        <item x="183"/>
        <item x="3090"/>
        <item x="4531"/>
        <item x="1403"/>
        <item x="4581"/>
        <item x="3490"/>
        <item x="3036"/>
        <item x="3925"/>
        <item x="2420"/>
        <item x="730"/>
        <item x="588"/>
        <item x="3755"/>
        <item x="3787"/>
        <item x="2220"/>
        <item x="4074"/>
        <item x="4426"/>
        <item x="3575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1"/>
        <item x="3584"/>
        <item x="898"/>
        <item x="2605"/>
        <item x="1546"/>
        <item x="3500"/>
        <item x="3613"/>
        <item x="2349"/>
        <item x="811"/>
        <item x="3820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5"/>
        <item x="2254"/>
        <item x="1389"/>
        <item x="165"/>
        <item x="2458"/>
        <item x="3842"/>
        <item x="3757"/>
        <item x="2817"/>
        <item x="4024"/>
        <item x="1623"/>
        <item x="1061"/>
        <item x="1156"/>
        <item x="1420"/>
        <item x="4153"/>
        <item x="2404"/>
        <item x="3786"/>
        <item x="220"/>
        <item x="1285"/>
        <item x="537"/>
        <item x="1954"/>
        <item x="4604"/>
        <item x="2825"/>
        <item x="3709"/>
        <item x="3631"/>
        <item x="4747"/>
        <item x="1616"/>
        <item x="437"/>
        <item x="3792"/>
        <item x="2558"/>
        <item x="3288"/>
        <item x="1786"/>
        <item x="646"/>
        <item x="1490"/>
        <item x="1469"/>
        <item x="4482"/>
        <item x="2692"/>
        <item x="4768"/>
        <item x="1663"/>
        <item x="2280"/>
        <item x="2759"/>
        <item x="290"/>
        <item x="3301"/>
        <item x="1708"/>
        <item x="480"/>
        <item x="1641"/>
        <item x="3551"/>
        <item x="1989"/>
        <item x="2587"/>
        <item x="693"/>
        <item x="3408"/>
        <item x="266"/>
        <item x="4557"/>
        <item x="4283"/>
        <item x="2917"/>
        <item x="2801"/>
        <item x="4360"/>
        <item x="4728"/>
        <item x="2244"/>
        <item x="3416"/>
        <item x="3021"/>
        <item x="881"/>
        <item x="754"/>
        <item x="4547"/>
        <item x="4219"/>
        <item x="3672"/>
        <item x="1184"/>
        <item x="3676"/>
        <item x="4632"/>
        <item x="490"/>
        <item x="1599"/>
        <item x="3226"/>
        <item x="1160"/>
        <item x="1957"/>
        <item x="3940"/>
        <item x="2236"/>
        <item x="3452"/>
        <item x="469"/>
        <item x="3815"/>
        <item x="1765"/>
        <item x="2472"/>
        <item x="2619"/>
        <item x="1672"/>
        <item x="1085"/>
        <item x="3809"/>
        <item x="4744"/>
        <item x="2396"/>
        <item x="1122"/>
        <item x="4686"/>
        <item x="3102"/>
        <item x="4609"/>
        <item x="4445"/>
        <item x="1990"/>
        <item x="3848"/>
        <item x="2402"/>
        <item x="4736"/>
        <item x="3722"/>
        <item x="4028"/>
        <item x="3032"/>
        <item x="4503"/>
        <item x="3572"/>
        <item x="1795"/>
        <item x="679"/>
        <item x="901"/>
        <item x="1179"/>
        <item x="4472"/>
        <item x="1485"/>
        <item x="3902"/>
        <item x="3112"/>
        <item x="2276"/>
        <item x="2864"/>
        <item x="3020"/>
        <item x="1710"/>
        <item x="1010"/>
        <item x="4617"/>
        <item x="4164"/>
        <item x="3057"/>
        <item x="4776"/>
        <item x="128"/>
        <item x="2097"/>
        <item x="2969"/>
        <item x="147"/>
        <item x="518"/>
        <item x="121"/>
        <item x="3342"/>
        <item x="1233"/>
        <item x="3696"/>
        <item x="2445"/>
        <item x="3046"/>
        <item x="2153"/>
        <item x="2560"/>
        <item x="3819"/>
        <item x="2716"/>
        <item x="3406"/>
        <item x="1361"/>
        <item x="840"/>
        <item x="3893"/>
        <item x="2983"/>
        <item x="1416"/>
        <item x="82"/>
        <item x="4786"/>
        <item x="2603"/>
        <item x="3513"/>
        <item x="3139"/>
        <item x="2581"/>
        <item x="3609"/>
        <item x="905"/>
        <item x="15"/>
        <item x="1003"/>
        <item x="2172"/>
        <item x="1172"/>
        <item x="738"/>
        <item x="910"/>
        <item x="4258"/>
        <item x="1507"/>
        <item x="2721"/>
        <item x="4699"/>
        <item x="4886"/>
        <item x="2425"/>
        <item x="3942"/>
        <item x="3454"/>
        <item x="2299"/>
        <item x="2772"/>
        <item x="3943"/>
        <item x="3961"/>
        <item x="1279"/>
        <item x="4110"/>
        <item x="703"/>
        <item x="987"/>
        <item x="2946"/>
        <item x="482"/>
        <item x="142"/>
        <item x="4456"/>
        <item x="1806"/>
        <item x="3978"/>
        <item x="2045"/>
        <item x="3518"/>
        <item x="1054"/>
        <item x="3386"/>
        <item x="172"/>
        <item x="2624"/>
        <item x="4085"/>
        <item x="2913"/>
        <item x="1427"/>
        <item x="2164"/>
        <item x="1947"/>
        <item x="4281"/>
        <item x="2471"/>
        <item x="1165"/>
        <item x="1985"/>
        <item x="4182"/>
        <item x="2152"/>
        <item x="4339"/>
        <item x="914"/>
        <item x="4628"/>
        <item x="2380"/>
        <item x="3789"/>
        <item x="1270"/>
        <item x="1238"/>
        <item x="4198"/>
        <item x="793"/>
        <item x="414"/>
        <item x="2165"/>
        <item x="2024"/>
        <item x="702"/>
        <item x="829"/>
        <item x="1638"/>
        <item x="2423"/>
        <item x="199"/>
        <item x="2089"/>
        <item x="3217"/>
        <item x="3646"/>
        <item x="411"/>
        <item x="1286"/>
        <item x="19"/>
        <item x="151"/>
        <item x="348"/>
        <item x="1533"/>
        <item x="3577"/>
        <item x="3382"/>
        <item x="3908"/>
        <item x="777"/>
        <item x="4598"/>
        <item x="1614"/>
        <item x="2434"/>
        <item x="2539"/>
        <item x="2694"/>
        <item x="4673"/>
        <item x="4151"/>
        <item x="176"/>
        <item x="2103"/>
        <item x="1962"/>
        <item x="3420"/>
        <item x="1251"/>
        <item x="1166"/>
        <item x="4782"/>
        <item x="4729"/>
        <item x="3903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2"/>
        <item x="1440"/>
        <item x="3038"/>
        <item x="760"/>
        <item x="1067"/>
        <item x="3624"/>
        <item x="3552"/>
        <item x="1703"/>
        <item x="379"/>
        <item x="154"/>
        <item x="135"/>
        <item x="217"/>
        <item x="140"/>
        <item x="432"/>
        <item x="4303"/>
        <item x="3089"/>
        <item x="3773"/>
        <item x="3311"/>
        <item x="4330"/>
        <item x="2101"/>
        <item x="2124"/>
        <item x="3655"/>
        <item x="3781"/>
        <item x="661"/>
        <item x="3871"/>
        <item x="1808"/>
        <item x="1893"/>
        <item x="627"/>
        <item x="947"/>
        <item x="2421"/>
        <item x="554"/>
        <item x="4390"/>
        <item x="544"/>
        <item x="3640"/>
        <item x="1074"/>
        <item x="3818"/>
        <item x="35"/>
        <item x="68"/>
        <item x="4642"/>
        <item x="235"/>
        <item x="2203"/>
        <item x="4680"/>
        <item x="3697"/>
        <item x="2122"/>
        <item x="1562"/>
        <item x="2513"/>
        <item x="4328"/>
        <item x="1259"/>
        <item x="2143"/>
        <item x="1644"/>
        <item x="798"/>
        <item x="3565"/>
        <item x="3453"/>
        <item x="3180"/>
        <item x="894"/>
        <item x="3114"/>
        <item x="3788"/>
        <item x="1665"/>
        <item x="252"/>
        <item x="1910"/>
        <item x="3367"/>
        <item x="926"/>
        <item x="1558"/>
        <item x="3533"/>
        <item x="145"/>
        <item x="854"/>
        <item x="4308"/>
        <item x="2767"/>
        <item x="2257"/>
        <item x="1850"/>
        <item x="1968"/>
        <item x="3313"/>
        <item x="3095"/>
        <item x="358"/>
        <item x="2683"/>
        <item x="1109"/>
        <item x="1728"/>
        <item x="539"/>
        <item x="2017"/>
        <item x="877"/>
        <item x="989"/>
        <item x="4701"/>
        <item x="1242"/>
        <item x="1422"/>
        <item x="4346"/>
        <item x="4879"/>
        <item x="4670"/>
        <item x="2910"/>
        <item x="4691"/>
        <item x="2216"/>
        <item x="1055"/>
        <item x="2375"/>
        <item x="3666"/>
        <item x="4044"/>
        <item x="2730"/>
        <item x="3157"/>
        <item x="2745"/>
        <item x="2980"/>
        <item x="4915"/>
        <item x="3409"/>
        <item x="4707"/>
        <item x="2456"/>
        <item x="767"/>
        <item x="2104"/>
        <item x="2498"/>
        <item x="4514"/>
        <item x="2483"/>
        <item x="4108"/>
        <item x="3365"/>
        <item x="4332"/>
        <item x="3286"/>
        <item x="4100"/>
        <item x="1781"/>
        <item x="1945"/>
        <item x="2535"/>
        <item x="4289"/>
        <item x="1660"/>
        <item x="3100"/>
        <item x="630"/>
        <item x="1768"/>
        <item x="3535"/>
        <item x="1587"/>
        <item x="1529"/>
        <item x="1617"/>
        <item x="3289"/>
        <item x="2200"/>
        <item x="1450"/>
        <item x="1888"/>
        <item x="4676"/>
        <item x="3381"/>
        <item x="2582"/>
        <item x="297"/>
        <item x="4585"/>
        <item x="3747"/>
        <item x="4372"/>
        <item x="2911"/>
        <item x="642"/>
        <item x="1414"/>
        <item x="2362"/>
        <item x="2211"/>
        <item x="3890"/>
        <item x="4630"/>
        <item x="4050"/>
        <item x="2117"/>
        <item x="2686"/>
        <item x="1371"/>
        <item x="3320"/>
        <item x="3316"/>
        <item x="1837"/>
        <item x="1288"/>
        <item x="2655"/>
        <item x="2751"/>
        <item x="4910"/>
        <item x="3993"/>
        <item x="3203"/>
        <item x="4454"/>
        <item x="4381"/>
        <item x="3149"/>
        <item x="3065"/>
        <item x="247"/>
        <item x="122"/>
        <item x="198"/>
        <item x="3814"/>
        <item x="3810"/>
        <item x="3297"/>
        <item x="3664"/>
        <item x="3440"/>
        <item x="1359"/>
        <item x="4229"/>
        <item x="4318"/>
        <item x="491"/>
        <item x="983"/>
        <item x="1115"/>
        <item x="1868"/>
        <item x="4194"/>
        <item x="3679"/>
        <item x="2810"/>
        <item x="4236"/>
        <item x="1755"/>
        <item x="1874"/>
        <item x="3886"/>
        <item x="191"/>
        <item x="1312"/>
        <item x="949"/>
        <item x="1674"/>
        <item x="4251"/>
        <item x="2599"/>
        <item x="4561"/>
        <item x="3683"/>
        <item x="1784"/>
        <item x="4722"/>
        <item x="1890"/>
        <item x="3878"/>
        <item x="1145"/>
        <item x="4746"/>
        <item x="3560"/>
        <item x="4652"/>
        <item x="376"/>
        <item x="528"/>
        <item x="4262"/>
        <item x="3498"/>
        <item x="2628"/>
        <item x="4297"/>
        <item x="3199"/>
        <item x="2012"/>
        <item x="420"/>
        <item x="1829"/>
        <item x="3013"/>
        <item x="1369"/>
        <item x="232"/>
        <item x="2393"/>
        <item x="4457"/>
        <item x="394"/>
        <item x="405"/>
        <item x="251"/>
        <item x="498"/>
        <item x="4453"/>
        <item x="1779"/>
        <item x="3647"/>
        <item x="3701"/>
        <item x="3193"/>
        <item x="3106"/>
        <item x="1418"/>
        <item x="4716"/>
        <item x="2007"/>
        <item x="4023"/>
        <item x="681"/>
        <item x="3054"/>
        <item x="592"/>
        <item x="979"/>
        <item x="3314"/>
        <item x="4903"/>
        <item x="3129"/>
        <item x="4753"/>
        <item x="1999"/>
        <item x="4530"/>
        <item x="4480"/>
        <item x="1698"/>
        <item x="1737"/>
        <item x="4344"/>
        <item x="3695"/>
        <item x="4810"/>
        <item x="2948"/>
        <item x="2649"/>
        <item x="3097"/>
        <item x="3795"/>
        <item x="1162"/>
        <item x="2891"/>
        <item x="2438"/>
        <item x="2193"/>
        <item x="2248"/>
        <item x="4256"/>
        <item x="1658"/>
        <item x="2700"/>
        <item x="3760"/>
        <item x="3557"/>
        <item x="3259"/>
        <item x="1823"/>
        <item x="4047"/>
        <item x="406"/>
        <item x="4842"/>
        <item x="4614"/>
        <item x="2845"/>
        <item x="4792"/>
        <item x="3519"/>
        <item x="4468"/>
        <item x="1838"/>
        <item x="2163"/>
        <item x="4623"/>
        <item x="2861"/>
        <item x="616"/>
        <item x="3633"/>
        <item x="1772"/>
        <item x="2747"/>
        <item x="3656"/>
        <item x="2077"/>
        <item x="2998"/>
        <item x="1560"/>
        <item x="2359"/>
        <item x="1045"/>
        <item x="3720"/>
        <item x="4299"/>
        <item x="2102"/>
        <item x="978"/>
        <item x="948"/>
        <item x="1026"/>
        <item x="3389"/>
        <item x="3435"/>
        <item x="3115"/>
        <item x="436"/>
        <item x="4833"/>
        <item x="3155"/>
        <item x="38"/>
        <item x="1620"/>
        <item x="3805"/>
        <item x="52"/>
        <item x="861"/>
        <item x="1831"/>
        <item x="2184"/>
        <item x="3473"/>
        <item x="4473"/>
        <item x="144"/>
        <item x="2714"/>
        <item x="4555"/>
        <item x="1298"/>
        <item x="1034"/>
        <item x="2517"/>
        <item x="2234"/>
        <item x="2909"/>
        <item x="3970"/>
        <item x="3632"/>
        <item x="3636"/>
        <item x="4678"/>
        <item x="3642"/>
        <item x="744"/>
        <item x="1873"/>
        <item x="2830"/>
        <item x="1464"/>
        <item x="3196"/>
        <item x="3712"/>
        <item x="2288"/>
        <item x="3759"/>
        <item x="924"/>
        <item x="3356"/>
        <item x="1073"/>
        <item x="2890"/>
        <item x="1338"/>
        <item x="1815"/>
        <item x="1243"/>
        <item x="1252"/>
        <item x="938"/>
        <item x="746"/>
        <item x="3244"/>
        <item x="4846"/>
        <item x="3140"/>
        <item x="111"/>
        <item x="2673"/>
        <item x="2384"/>
        <item x="181"/>
        <item x="4836"/>
        <item x="2312"/>
        <item x="2274"/>
        <item x="347"/>
        <item x="374"/>
        <item x="4808"/>
        <item x="686"/>
        <item x="3485"/>
        <item x="3393"/>
        <item x="2968"/>
        <item x="3075"/>
        <item x="4002"/>
        <item x="3999"/>
        <item x="1526"/>
        <item x="2536"/>
        <item x="2905"/>
        <item x="2985"/>
        <item x="4847"/>
        <item x="4714"/>
        <item x="4719"/>
        <item x="1821"/>
        <item x="4898"/>
        <item x="4883"/>
        <item x="4401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6"/>
        <item x="3515"/>
        <item x="2020"/>
        <item x="1506"/>
        <item x="4010"/>
        <item x="4223"/>
        <item x="830"/>
        <item x="4060"/>
        <item x="2740"/>
        <item x="4051"/>
        <item x="314"/>
        <item x="3982"/>
        <item x="3769"/>
        <item x="3173"/>
        <item x="3269"/>
        <item x="3543"/>
        <item x="3208"/>
        <item x="1425"/>
        <item x="500"/>
        <item x="4337"/>
        <item x="1502"/>
        <item x="2227"/>
        <item x="3857"/>
        <item x="3923"/>
        <item x="3812"/>
        <item x="105"/>
        <item x="2675"/>
        <item x="4669"/>
        <item x="3400"/>
        <item x="758"/>
        <item x="3335"/>
        <item x="1344"/>
        <item x="1442"/>
        <item x="2377"/>
        <item x="1227"/>
        <item x="3344"/>
        <item x="1461"/>
        <item x="2161"/>
        <item x="2724"/>
        <item x="1760"/>
        <item x="1678"/>
        <item x="1773"/>
        <item x="783"/>
        <item x="669"/>
        <item x="4906"/>
        <item x="51"/>
        <item x="3258"/>
        <item x="2294"/>
        <item x="3862"/>
        <item x="1075"/>
        <item x="2578"/>
        <item x="2927"/>
        <item x="2889"/>
        <item x="2379"/>
        <item x="3330"/>
        <item x="224"/>
        <item x="2676"/>
        <item x="673"/>
        <item x="2902"/>
        <item x="4508"/>
        <item x="3736"/>
        <item x="3863"/>
        <item x="2215"/>
        <item x="286"/>
        <item x="3295"/>
        <item x="2131"/>
        <item x="1935"/>
        <item x="1480"/>
        <item x="3883"/>
        <item x="1520"/>
        <item x="189"/>
        <item x="4403"/>
        <item x="12"/>
        <item x="2892"/>
        <item x="3000"/>
        <item x="4850"/>
        <item x="1441"/>
        <item x="4369"/>
        <item x="2848"/>
        <item x="2205"/>
        <item x="2780"/>
        <item x="4681"/>
        <item x="3292"/>
        <item x="201"/>
        <item x="3796"/>
        <item x="3615"/>
        <item x="3711"/>
        <item x="3437"/>
        <item x="950"/>
        <item x="3657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4"/>
        <item x="2320"/>
        <item x="810"/>
        <item x="1131"/>
        <item x="2625"/>
        <item x="4887"/>
        <item x="684"/>
        <item x="3616"/>
        <item x="180"/>
        <item x="581"/>
        <item x="2308"/>
        <item x="1038"/>
        <item x="119"/>
        <item x="2940"/>
        <item x="1202"/>
        <item x="4874"/>
        <item x="2019"/>
        <item x="262"/>
        <item x="4004"/>
        <item x="4375"/>
        <item x="3056"/>
        <item x="440"/>
        <item x="1325"/>
        <item x="668"/>
        <item x="3218"/>
        <item x="506"/>
        <item x="1827"/>
        <item x="2443"/>
        <item x="496"/>
        <item x="1157"/>
        <item x="3262"/>
        <item x="3998"/>
        <item x="1997"/>
        <item x="2442"/>
        <item x="3851"/>
        <item x="816"/>
        <item x="725"/>
        <item x="3727"/>
        <item x="3444"/>
        <item x="4133"/>
        <item x="1508"/>
        <item x="2315"/>
        <item x="2770"/>
        <item x="761"/>
        <item x="2222"/>
        <item x="1374"/>
        <item x="3209"/>
        <item x="4111"/>
        <item x="2533"/>
        <item x="3484"/>
        <item x="1576"/>
        <item x="1271"/>
        <item x="2441"/>
        <item x="1785"/>
        <item x="3096"/>
        <item x="1262"/>
        <item x="4317"/>
        <item x="1548"/>
        <item x="3293"/>
        <item x="3777"/>
        <item x="3130"/>
        <item x="4395"/>
        <item x="1424"/>
        <item x="815"/>
        <item x="976"/>
        <item x="1094"/>
        <item x="670"/>
        <item x="3350"/>
        <item x="2431"/>
        <item x="2831"/>
        <item x="4218"/>
        <item x="2010"/>
        <item x="2157"/>
        <item x="1802"/>
        <item x="3014"/>
        <item x="4704"/>
        <item x="1105"/>
        <item x="1240"/>
        <item x="3214"/>
        <item x="1347"/>
        <item x="1200"/>
        <item x="1869"/>
        <item x="1492"/>
        <item x="4087"/>
        <item x="1050"/>
        <item x="776"/>
        <item x="206"/>
        <item x="380"/>
        <item x="1716"/>
        <item x="4672"/>
        <item x="155"/>
        <item x="341"/>
        <item x="2186"/>
        <item x="4250"/>
        <item x="4579"/>
        <item x="4334"/>
        <item x="3069"/>
        <item x="451"/>
        <item x="2509"/>
        <item x="4213"/>
        <item x="4675"/>
        <item x="2491"/>
        <item x="1762"/>
        <item x="3689"/>
        <item x="22"/>
        <item x="920"/>
        <item x="2088"/>
        <item x="228"/>
        <item x="4107"/>
        <item x="3997"/>
        <item x="448"/>
        <item x="610"/>
        <item x="1343"/>
        <item x="4233"/>
        <item x="4427"/>
        <item x="2422"/>
        <item x="2001"/>
        <item x="4429"/>
        <item x="4661"/>
        <item x="4819"/>
        <item x="2053"/>
        <item x="1739"/>
        <item x="3083"/>
        <item x="613"/>
        <item x="3016"/>
        <item x="4825"/>
        <item x="2717"/>
        <item x="3135"/>
        <item x="1876"/>
        <item x="859"/>
        <item x="2820"/>
        <item x="3958"/>
        <item x="3164"/>
        <item x="4705"/>
        <item x="2900"/>
        <item x="4725"/>
        <item x="4639"/>
        <item x="4553"/>
        <item x="3737"/>
        <item x="1896"/>
        <item x="1593"/>
        <item x="749"/>
        <item x="3374"/>
        <item x="1004"/>
        <item x="4280"/>
        <item x="3126"/>
        <item x="4876"/>
        <item x="578"/>
        <item x="1695"/>
        <item x="3745"/>
        <item x="2487"/>
        <item x="2933"/>
        <item x="351"/>
        <item x="59"/>
        <item x="1391"/>
        <item x="1360"/>
        <item x="3084"/>
        <item x="4758"/>
        <item x="585"/>
        <item x="1478"/>
        <item x="807"/>
        <item x="1753"/>
        <item x="399"/>
        <item x="4489"/>
        <item x="1519"/>
        <item x="4568"/>
        <item x="168"/>
        <item x="4209"/>
        <item x="3623"/>
        <item x="4563"/>
        <item x="190"/>
        <item x="3780"/>
        <item x="3618"/>
        <item x="3853"/>
        <item x="248"/>
        <item x="4904"/>
        <item x="1662"/>
        <item x="4447"/>
        <item x="2718"/>
        <item x="4077"/>
        <item x="1717"/>
        <item x="3768"/>
        <item x="1099"/>
        <item x="2792"/>
        <item x="3687"/>
        <item x="4105"/>
        <item x="3729"/>
        <item x="1415"/>
        <item x="3783"/>
        <item x="641"/>
        <item x="2078"/>
        <item x="2465"/>
        <item x="3628"/>
        <item x="3039"/>
        <item x="3044"/>
        <item x="3019"/>
        <item x="2989"/>
        <item x="4386"/>
        <item x="1975"/>
        <item x="1889"/>
        <item x="1078"/>
        <item x="1066"/>
        <item x="1189"/>
        <item x="2183"/>
        <item x="1857"/>
        <item x="3531"/>
        <item x="2224"/>
        <item x="2142"/>
        <item x="1860"/>
        <item x="421"/>
        <item x="3831"/>
        <item x="418"/>
        <item x="4647"/>
        <item x="2002"/>
        <item x="1190"/>
        <item x="1245"/>
        <item x="2331"/>
        <item x="2573"/>
        <item x="2929"/>
        <item x="1528"/>
        <item x="1584"/>
        <item x="2329"/>
        <item x="3699"/>
        <item x="388"/>
        <item x="1632"/>
        <item x="2239"/>
        <item x="1229"/>
        <item x="1410"/>
        <item x="3844"/>
        <item x="3775"/>
        <item x="2519"/>
        <item x="1729"/>
        <item x="3116"/>
        <item x="2175"/>
        <item x="1847"/>
        <item x="2158"/>
        <item x="866"/>
        <item x="2501"/>
        <item x="3034"/>
        <item x="1750"/>
        <item x="1321"/>
        <item x="2822"/>
        <item x="1725"/>
        <item x="4326"/>
        <item x="3227"/>
        <item x="884"/>
        <item x="2781"/>
        <item x="4635"/>
        <item x="604"/>
        <item x="337"/>
        <item x="3170"/>
        <item x="329"/>
        <item x="817"/>
        <item x="2348"/>
        <item x="1248"/>
        <item x="4418"/>
        <item x="4385"/>
        <item x="3802"/>
        <item x="1328"/>
        <item x="3481"/>
        <item x="1124"/>
        <item x="3329"/>
        <item x="2074"/>
        <item x="892"/>
        <item x="1818"/>
        <item x="4353"/>
        <item x="1216"/>
        <item x="1206"/>
        <item x="3499"/>
        <item x="4914"/>
        <item x="952"/>
        <item x="852"/>
        <item x="2489"/>
        <item x="3161"/>
        <item x="4249"/>
        <item x="1951"/>
        <item x="535"/>
        <item x="3924"/>
        <item x="4154"/>
        <item x="3559"/>
        <item x="2318"/>
        <item x="3670"/>
        <item x="1930"/>
        <item x="4779"/>
        <item x="4294"/>
        <item x="1973"/>
        <item x="362"/>
        <item x="209"/>
        <item x="4220"/>
        <item x="3043"/>
        <item x="4803"/>
        <item x="2202"/>
        <item x="1909"/>
        <item x="3918"/>
        <item x="4448"/>
        <item x="3602"/>
        <item x="2713"/>
        <item x="3278"/>
        <item x="4624"/>
        <item x="756"/>
        <item x="3861"/>
        <item x="4787"/>
        <item x="3379"/>
        <item x="4780"/>
        <item x="4191"/>
        <item x="2209"/>
        <item x="4754"/>
        <item x="3744"/>
        <item x="4132"/>
        <item x="4693"/>
        <item x="3339"/>
        <item x="1278"/>
        <item x="576"/>
        <item x="87"/>
        <item x="107"/>
        <item x="918"/>
        <item x="446"/>
        <item x="3309"/>
        <item x="1628"/>
        <item x="3230"/>
        <item x="1652"/>
        <item x="2459"/>
        <item x="4911"/>
        <item x="575"/>
        <item x="967"/>
        <item x="2225"/>
        <item x="4167"/>
        <item x="3797"/>
        <item x="4428"/>
        <item x="2702"/>
        <item x="3284"/>
        <item x="2113"/>
        <item x="4089"/>
        <item x="1834"/>
        <item x="2221"/>
        <item x="3554"/>
        <item x="1203"/>
        <item x="683"/>
        <item x="784"/>
        <item x="4091"/>
        <item x="3076"/>
        <item x="3977"/>
        <item x="4720"/>
        <item x="465"/>
        <item x="4206"/>
        <item x="3272"/>
        <item x="619"/>
        <item x="1404"/>
        <item x="30"/>
        <item x="3085"/>
        <item x="4245"/>
        <item x="4888"/>
        <item x="3006"/>
        <item x="4465"/>
        <item x="4118"/>
        <item x="3731"/>
        <item x="4160"/>
        <item x="1130"/>
        <item x="3110"/>
        <item x="586"/>
        <item x="3537"/>
        <item x="3750"/>
        <item x="2563"/>
        <item x="2561"/>
        <item x="3991"/>
        <item x="2722"/>
        <item x="3694"/>
        <item x="4238"/>
        <item x="1217"/>
        <item x="2400"/>
        <item x="4872"/>
        <item x="1488"/>
        <item x="4173"/>
        <item x="2464"/>
        <item x="559"/>
        <item x="1515"/>
        <item x="2966"/>
        <item x="2594"/>
        <item x="4324"/>
        <item x="2804"/>
        <item x="1527"/>
        <item x="1378"/>
        <item x="3570"/>
        <item x="3471"/>
        <item x="81"/>
        <item x="4351"/>
        <item x="4512"/>
        <item x="1843"/>
        <item x="1313"/>
        <item x="1052"/>
        <item x="552"/>
        <item x="2863"/>
        <item x="4790"/>
        <item x="3681"/>
        <item x="4733"/>
        <item x="4069"/>
        <item x="2037"/>
        <item x="1430"/>
        <item x="4054"/>
        <item x="445"/>
        <item x="3625"/>
        <item x="3456"/>
        <item x="2070"/>
        <item x="315"/>
        <item x="3585"/>
        <item x="4268"/>
        <item x="3873"/>
        <item x="2099"/>
        <item x="2923"/>
        <item x="2856"/>
        <item x="3373"/>
        <item x="3749"/>
        <item x="1295"/>
        <item x="2549"/>
        <item x="2391"/>
        <item x="2763"/>
        <item x="4821"/>
        <item x="1537"/>
        <item x="2109"/>
        <item x="2494"/>
        <item x="1629"/>
        <item x="2961"/>
        <item x="1382"/>
        <item x="656"/>
        <item x="1992"/>
        <item x="460"/>
        <item x="4368"/>
        <item x="2057"/>
        <item x="3985"/>
        <item x="543"/>
        <item x="3077"/>
        <item x="4497"/>
        <item x="2904"/>
        <item x="1218"/>
        <item x="4496"/>
        <item x="1406"/>
        <item x="2"/>
        <item x="264"/>
        <item x="229"/>
        <item x="1573"/>
        <item x="4490"/>
        <item x="4313"/>
        <item x="560"/>
        <item x="3144"/>
        <item x="1917"/>
        <item x="3147"/>
        <item x="31"/>
        <item x="6"/>
        <item x="160"/>
        <item x="467"/>
        <item x="2344"/>
        <item x="3300"/>
        <item x="1676"/>
        <item x="3439"/>
        <item x="2167"/>
        <item x="3667"/>
        <item x="3785"/>
        <item x="378"/>
        <item x="2389"/>
        <item x="1329"/>
        <item x="1181"/>
        <item x="1392"/>
        <item x="1807"/>
        <item x="2984"/>
        <item x="2797"/>
        <item x="3872"/>
        <item x="2773"/>
        <item x="3302"/>
        <item x="3719"/>
        <item x="3598"/>
        <item x="57"/>
        <item x="2876"/>
        <item x="2367"/>
        <item x="48"/>
        <item x="2000"/>
        <item x="1615"/>
        <item x="1787"/>
        <item x="159"/>
        <item x="1058"/>
        <item x="1330"/>
        <item x="593"/>
        <item x="770"/>
        <item x="1396"/>
        <item x="237"/>
        <item x="234"/>
        <item x="233"/>
        <item x="2973"/>
        <item x="2031"/>
        <item x="1521"/>
        <item x="4"/>
        <item x="3271"/>
        <item x="603"/>
        <item x="848"/>
        <item x="3474"/>
        <item x="306"/>
        <item x="740"/>
        <item x="4589"/>
        <item x="3778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5"/>
        <item x="2405"/>
        <item x="2208"/>
        <item x="3591"/>
        <item x="1532"/>
        <item x="3662"/>
        <item x="2903"/>
        <item x="4228"/>
        <item x="2944"/>
        <item x="4331"/>
        <item x="1501"/>
        <item x="2731"/>
        <item x="1971"/>
        <item x="2100"/>
        <item x="4211"/>
        <item x="1964"/>
        <item x="4895"/>
        <item x="4243"/>
        <item x="4665"/>
        <item x="1732"/>
        <item x="2278"/>
        <item x="1635"/>
        <item x="3182"/>
        <item x="4190"/>
        <item x="1969"/>
        <item x="1434"/>
        <item x="1024"/>
        <item x="2198"/>
        <item x="3040"/>
        <item x="986"/>
        <item x="225"/>
        <item x="273"/>
        <item x="865"/>
        <item x="4121"/>
        <item x="4655"/>
        <item x="4276"/>
        <item x="4254"/>
        <item x="4203"/>
        <item x="558"/>
        <item x="3081"/>
        <item x="4749"/>
        <item x="73"/>
        <item x="2475"/>
        <item x="2080"/>
        <item x="4037"/>
        <item x="4757"/>
        <item x="3678"/>
        <item x="3594"/>
        <item x="1302"/>
        <item x="927"/>
        <item x="4788"/>
        <item x="1159"/>
        <item x="4851"/>
        <item x="4387"/>
        <item x="4119"/>
        <item x="2266"/>
        <item x="2444"/>
        <item x="4232"/>
        <item x="1702"/>
        <item x="1458"/>
        <item x="889"/>
        <item x="1323"/>
        <item x="2485"/>
        <item x="11"/>
        <item x="831"/>
        <item x="790"/>
        <item x="2737"/>
        <item x="4856"/>
        <item x="4103"/>
        <item x="3574"/>
        <item x="324"/>
        <item x="485"/>
        <item x="3813"/>
        <item x="2323"/>
        <item x="1805"/>
        <item x="2270"/>
        <item x="1326"/>
        <item x="1268"/>
        <item x="4807"/>
        <item x="3364"/>
        <item x="3159"/>
        <item x="3071"/>
        <item x="3368"/>
        <item x="2121"/>
        <item x="4777"/>
        <item x="1348"/>
        <item x="477"/>
        <item x="2503"/>
        <item x="2293"/>
        <item x="960"/>
        <item x="3392"/>
        <item x="4809"/>
        <item x="2867"/>
        <item x="2351"/>
        <item x="3754"/>
        <item x="1647"/>
        <item x="1065"/>
        <item x="1044"/>
        <item x="1854"/>
        <item x="1534"/>
        <item x="1741"/>
        <item x="2912"/>
        <item x="3538"/>
        <item x="3846"/>
        <item x="565"/>
        <item x="2141"/>
        <item x="7"/>
        <item x="850"/>
        <item x="3779"/>
        <item x="1977"/>
        <item x="4046"/>
        <item x="4684"/>
        <item x="4433"/>
        <item x="4479"/>
        <item x="3932"/>
        <item x="2749"/>
        <item x="3121"/>
        <item x="2180"/>
        <item x="540"/>
        <item x="628"/>
        <item x="922"/>
        <item x="4001"/>
        <item x="1866"/>
        <item x="2111"/>
        <item x="242"/>
        <item x="245"/>
        <item x="4748"/>
        <item x="4205"/>
        <item x="285"/>
        <item x="94"/>
        <item x="109"/>
        <item x="44"/>
        <item x="2181"/>
        <item x="1349"/>
        <item x="3376"/>
        <item x="3310"/>
        <item x="4095"/>
        <item x="819"/>
        <item x="212"/>
        <item x="1958"/>
        <item x="1817"/>
        <item x="4373"/>
        <item x="3567"/>
        <item x="1354"/>
        <item x="429"/>
        <item x="599"/>
        <item x="4478"/>
        <item x="1580"/>
        <item x="919"/>
        <item x="2040"/>
        <item x="2479"/>
        <item x="1027"/>
        <item x="3493"/>
        <item x="1940"/>
        <item x="317"/>
        <item x="512"/>
        <item x="980"/>
        <item x="192"/>
        <item x="1631"/>
        <item x="1498"/>
        <item x="344"/>
        <item x="4388"/>
        <item x="4389"/>
        <item x="39"/>
        <item x="21"/>
        <item x="695"/>
        <item x="2174"/>
        <item x="2356"/>
        <item x="3496"/>
        <item x="561"/>
        <item x="2065"/>
        <item x="1102"/>
        <item x="3987"/>
        <item x="3654"/>
        <item x="2497"/>
        <item x="3855"/>
        <item x="1261"/>
        <item x="2511"/>
        <item x="2697"/>
        <item x="1706"/>
        <item x="2818"/>
        <item x="1504"/>
        <item x="257"/>
        <item x="17"/>
        <item x="254"/>
        <item x="3751"/>
        <item x="2326"/>
        <item x="2119"/>
        <item x="1429"/>
        <item x="1433"/>
        <item x="3911"/>
        <item x="4361"/>
        <item x="4320"/>
        <item x="3067"/>
        <item x="2195"/>
        <item x="3688"/>
        <item x="3854"/>
        <item x="4366"/>
        <item x="4477"/>
        <item x="981"/>
        <item x="4775"/>
        <item x="3680"/>
        <item x="2125"/>
        <item x="4323"/>
        <item x="1421"/>
        <item x="3055"/>
        <item x="2126"/>
        <item x="2463"/>
        <item x="3228"/>
        <item x="1855"/>
        <item x="1986"/>
        <item x="4148"/>
        <item x="3931"/>
        <item x="4687"/>
        <item x="177"/>
        <item x="1021"/>
        <item x="2807"/>
        <item x="2663"/>
        <item x="4767"/>
        <item x="1740"/>
        <item x="4715"/>
        <item x="3864"/>
        <item x="1535"/>
        <item x="1173"/>
        <item x="4828"/>
        <item x="787"/>
        <item x="2173"/>
        <item x="4076"/>
        <item x="4595"/>
        <item x="1390"/>
        <item x="3370"/>
        <item x="4823"/>
        <item x="4396"/>
        <item x="3030"/>
        <item x="3770"/>
        <item x="4357"/>
        <item x="1790"/>
        <item x="1856"/>
        <item x="3246"/>
        <item x="1033"/>
        <item x="457"/>
        <item x="962"/>
        <item x="4193"/>
        <item x="2347"/>
        <item x="3324"/>
        <item x="3468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3"/>
        <item x="3059"/>
        <item x="2907"/>
        <item x="4822"/>
        <item x="4854"/>
        <item x="4538"/>
        <item x="4135"/>
        <item x="904"/>
        <item x="2026"/>
        <item x="3984"/>
        <item x="2064"/>
        <item x="4697"/>
        <item x="4463"/>
        <item x="2292"/>
        <item x="481"/>
        <item x="4858"/>
        <item x="3156"/>
        <item x="3522"/>
        <item x="3162"/>
        <item x="4300"/>
        <item x="1072"/>
        <item x="4784"/>
        <item x="3561"/>
        <item x="2803"/>
        <item x="1637"/>
        <item x="1046"/>
        <item x="4643"/>
        <item x="4865"/>
        <item x="2844"/>
        <item x="4134"/>
        <item x="327"/>
        <item x="4751"/>
        <item x="4791"/>
        <item x="270"/>
        <item x="1679"/>
        <item x="2782"/>
        <item x="4363"/>
        <item x="1408"/>
        <item x="3165"/>
        <item x="909"/>
        <item x="4407"/>
        <item x="2301"/>
        <item x="3608"/>
        <item x="4760"/>
        <item x="3450"/>
        <item x="16"/>
        <item x="64"/>
        <item x="110"/>
        <item x="227"/>
        <item x="3480"/>
        <item x="4900"/>
        <item x="3325"/>
        <item x="2840"/>
        <item x="2689"/>
        <item x="3957"/>
        <item x="1071"/>
        <item x="2291"/>
        <item x="3120"/>
        <item x="1712"/>
        <item x="3047"/>
        <item x="2575"/>
        <item x="2687"/>
        <item x="4572"/>
        <item x="1186"/>
        <item x="2139"/>
        <item x="1956"/>
        <item x="1848"/>
        <item x="3234"/>
        <item x="4301"/>
        <item x="2538"/>
        <item x="3834"/>
        <item x="419"/>
        <item x="3094"/>
        <item x="3732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1"/>
        <item x="4902"/>
        <item x="101"/>
        <item x="4248"/>
        <item x="1844"/>
        <item x="1619"/>
        <item x="205"/>
        <item x="3510"/>
        <item x="2943"/>
        <item x="4690"/>
        <item x="3"/>
        <item x="66"/>
        <item x="1513"/>
        <item x="216"/>
        <item x="462"/>
        <item x="3950"/>
        <item x="4423"/>
        <item x="2662"/>
        <item x="3362"/>
        <item x="2191"/>
        <item x="1291"/>
        <item x="2591"/>
        <item x="357"/>
        <item x="4045"/>
        <item x="2145"/>
        <item x="3419"/>
        <item x="4443"/>
        <item x="1395"/>
        <item x="818"/>
        <item x="2340"/>
        <item x="383"/>
        <item x="3423"/>
        <item x="3195"/>
        <item x="4195"/>
        <item x="662"/>
        <item x="605"/>
        <item x="4859"/>
        <item x="4041"/>
        <item x="2758"/>
        <item x="4355"/>
        <item x="2313"/>
        <item x="1247"/>
        <item x="4080"/>
        <item x="1800"/>
        <item x="3281"/>
        <item x="907"/>
        <item x="3502"/>
        <item x="4042"/>
        <item x="484"/>
        <item x="3663"/>
        <item x="3643"/>
        <item x="2850"/>
        <item x="295"/>
        <item x="2047"/>
        <item x="1402"/>
        <item x="839"/>
        <item x="4698"/>
        <item x="2368"/>
        <item x="2869"/>
        <item x="296"/>
        <item x="313"/>
        <item x="431"/>
        <item x="4877"/>
        <item x="1353"/>
        <item x="3464"/>
        <item x="2893"/>
        <item x="1863"/>
        <item x="2596"/>
        <item x="2350"/>
        <item x="724"/>
        <item x="2371"/>
        <item x="1643"/>
        <item x="870"/>
        <item x="100"/>
        <item x="412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8"/>
        <item x="323"/>
        <item x="2390"/>
        <item x="4912"/>
        <item x="855"/>
        <item x="3143"/>
        <item x="3690"/>
        <item x="1499"/>
        <item x="1463"/>
        <item x="3491"/>
        <item x="3079"/>
        <item x="4852"/>
        <item x="2154"/>
        <item x="3822"/>
        <item x="2324"/>
        <item x="4764"/>
        <item x="1128"/>
        <item x="3904"/>
        <item x="2862"/>
        <item x="4831"/>
        <item x="1923"/>
        <item x="2306"/>
        <item x="2063"/>
        <item x="966"/>
        <item x="4319"/>
        <item x="710"/>
        <item x="3879"/>
        <item x="4240"/>
        <item x="860"/>
        <item x="1116"/>
        <item x="3103"/>
        <item x="1946"/>
        <item x="3263"/>
        <item x="360"/>
        <item x="4383"/>
        <item x="1903"/>
        <item x="2082"/>
        <item x="1108"/>
        <item x="3402"/>
        <item x="2791"/>
        <item x="886"/>
        <item x="2873"/>
        <item x="24"/>
        <item x="55"/>
        <item x="1554"/>
        <item x="3322"/>
        <item x="3179"/>
        <item x="3900"/>
        <item x="2707"/>
        <item x="1701"/>
        <item x="4397"/>
        <item x="3198"/>
        <item x="3098"/>
        <item x="4781"/>
        <item x="1563"/>
        <item x="4036"/>
        <item x="1331"/>
        <item x="2942"/>
        <item x="2612"/>
        <item x="3827"/>
        <item x="50"/>
        <item x="802"/>
        <item x="3564"/>
        <item x="1941"/>
        <item x="4271"/>
        <item x="3817"/>
        <item x="2238"/>
        <item x="3569"/>
        <item x="256"/>
        <item x="4449"/>
        <item x="704"/>
        <item x="1883"/>
        <item x="2169"/>
        <item x="3050"/>
        <item x="3548"/>
        <item x="1244"/>
        <item x="1305"/>
        <item x="3010"/>
        <item x="4590"/>
        <item x="4540"/>
        <item x="434"/>
        <item x="1384"/>
        <item x="737"/>
        <item x="4608"/>
        <item x="698"/>
        <item x="370"/>
        <item x="3283"/>
        <item x="3671"/>
        <item x="459"/>
        <item x="3462"/>
        <item x="1149"/>
        <item x="4371"/>
        <item x="4498"/>
        <item x="1858"/>
        <item x="2630"/>
        <item x="2469"/>
        <item x="3901"/>
        <item x="3581"/>
        <item x="1092"/>
        <item x="1970"/>
        <item x="99"/>
        <item x="20"/>
        <item x="23"/>
        <item x="3394"/>
        <item x="402"/>
        <item x="4352"/>
        <item x="2556"/>
        <item x="1801"/>
        <item x="4533"/>
        <item x="4812"/>
        <item x="727"/>
        <item x="1491"/>
        <item x="993"/>
        <item x="3380"/>
        <item x="1908"/>
        <item x="1900"/>
        <item x="3138"/>
        <item x="4487"/>
        <item x="4434"/>
        <item x="1310"/>
        <item x="294"/>
        <item x="2067"/>
        <item x="433"/>
        <item x="185"/>
        <item x="204"/>
        <item x="103"/>
        <item x="1577"/>
        <item x="3951"/>
        <item x="863"/>
        <item x="1309"/>
        <item x="241"/>
        <item x="1335"/>
        <item x="2640"/>
        <item x="4170"/>
        <item x="3267"/>
        <item x="3247"/>
        <item x="2412"/>
        <item x="3150"/>
        <item x="2035"/>
        <item x="2490"/>
        <item x="4868"/>
        <item x="1692"/>
        <item x="2577"/>
        <item x="2546"/>
        <item x="2669"/>
        <item x="1282"/>
        <item x="2678"/>
        <item x="3592"/>
        <item x="1551"/>
        <item x="175"/>
        <item x="345"/>
        <item x="4739"/>
        <item x="1098"/>
        <item x="1062"/>
        <item x="2073"/>
        <item x="2435"/>
        <item x="3328"/>
        <item x="4571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3"/>
        <item x="3837"/>
        <item x="4500"/>
        <item x="3154"/>
        <item x="974"/>
        <item x="2159"/>
        <item x="79"/>
        <item x="1132"/>
        <item x="1174"/>
        <item x="4597"/>
        <item x="659"/>
        <item x="3825"/>
        <item x="2854"/>
        <item x="4657"/>
        <item x="564"/>
        <item x="2571"/>
        <item x="2232"/>
        <item x="4404"/>
        <item x="2999"/>
        <item x="4235"/>
        <item x="1426"/>
        <item x="1230"/>
        <item x="2866"/>
        <item x="3352"/>
        <item x="139"/>
        <item x="4491"/>
        <item x="789"/>
        <item x="3025"/>
        <item x="3063"/>
        <item x="1891"/>
        <item x="3829"/>
        <item x="4261"/>
        <item x="4216"/>
        <item x="2788"/>
        <item x="2608"/>
        <item x="3539"/>
        <item x="640"/>
        <item x="1201"/>
        <item x="157"/>
        <item x="1315"/>
        <item x="4140"/>
        <item x="2147"/>
        <item x="1687"/>
        <item x="2418"/>
        <item x="3434"/>
        <item x="3874"/>
        <item x="4875"/>
        <item x="495"/>
        <item x="3064"/>
        <item x="3645"/>
        <item x="514"/>
        <item x="779"/>
        <item x="4165"/>
        <item x="4878"/>
        <item x="4246"/>
        <item x="622"/>
        <item x="3254"/>
        <item x="63"/>
        <item x="2408"/>
        <item x="478"/>
        <item x="759"/>
        <item x="2093"/>
        <item x="1000"/>
        <item x="2952"/>
        <item x="1002"/>
        <item x="3136"/>
        <item x="1220"/>
        <item x="503"/>
        <item x="4380"/>
        <item x="4663"/>
        <item x="510"/>
        <item x="2086"/>
        <item x="4168"/>
        <item x="1226"/>
        <item x="4644"/>
        <item x="2593"/>
        <item x="14"/>
        <item x="672"/>
        <item x="3093"/>
        <item x="3048"/>
        <item x="1503"/>
        <item x="441"/>
        <item x="2046"/>
        <item x="4726"/>
        <item x="267"/>
        <item x="335"/>
        <item x="336"/>
        <item x="4340"/>
        <item x="1932"/>
        <item x="3858"/>
        <item x="3273"/>
        <item x="3202"/>
        <item x="4215"/>
        <item x="4837"/>
        <item x="4377"/>
        <item x="517"/>
        <item x="696"/>
        <item x="2670"/>
        <item x="3885"/>
        <item x="333"/>
        <item x="84"/>
        <item x="1879"/>
        <item x="2771"/>
        <item x="4290"/>
        <item x="3708"/>
        <item x="1814"/>
        <item x="1273"/>
        <item x="4606"/>
        <item x="570"/>
        <item x="4794"/>
        <item x="3652"/>
        <item x="542"/>
        <item x="1409"/>
        <item x="2242"/>
        <item x="3959"/>
        <item x="3417"/>
        <item x="2657"/>
        <item x="2267"/>
        <item x="470"/>
        <item x="4252"/>
        <item x="2633"/>
        <item x="275"/>
        <item x="653"/>
        <item x="2363"/>
        <item x="3930"/>
        <item x="2516"/>
        <item x="1351"/>
        <item x="3101"/>
        <item x="126"/>
        <item x="124"/>
        <item x="647"/>
        <item x="1496"/>
        <item x="1143"/>
        <item x="1170"/>
        <item x="2013"/>
        <item x="1700"/>
        <item x="3505"/>
        <item x="1007"/>
        <item x="2518"/>
        <item x="1209"/>
        <item x="2703"/>
        <item x="3049"/>
        <item x="3451"/>
        <item x="4835"/>
        <item x="1153"/>
        <item x="3835"/>
        <item x="4217"/>
        <item x="677"/>
        <item x="2811"/>
        <item x="3015"/>
        <item x="4909"/>
        <item x="598"/>
        <item x="792"/>
        <item x="4750"/>
        <item x="1154"/>
        <item x="4559"/>
        <item x="321"/>
        <item x="72"/>
        <item x="2896"/>
        <item x="3296"/>
        <item x="1079"/>
        <item x="2653"/>
        <item x="1266"/>
        <item x="4863"/>
        <item x="2033"/>
        <item x="3766"/>
        <item x="3280"/>
        <item x="1436"/>
        <item x="970"/>
        <item x="3396"/>
        <item x="2068"/>
        <item x="1798"/>
        <item x="2800"/>
        <item x="1683"/>
        <item x="1803"/>
        <item x="1944"/>
        <item x="1666"/>
        <item x="3836"/>
        <item x="4844"/>
        <item x="1341"/>
        <item x="1590"/>
        <item x="2638"/>
        <item x="1539"/>
        <item x="3913"/>
        <item x="1612"/>
        <item x="387"/>
        <item x="2353"/>
        <item x="832"/>
        <item x="2383"/>
        <item x="2615"/>
        <item x="1232"/>
        <item x="3714"/>
        <item x="3398"/>
        <item x="1877"/>
        <item x="1025"/>
        <item x="2303"/>
        <item x="3178"/>
        <item x="3955"/>
        <item x="1479"/>
        <item x="3969"/>
        <item x="3838"/>
        <item x="1267"/>
        <item x="4636"/>
        <item x="4116"/>
        <item x="291"/>
        <item x="3441"/>
        <item x="1211"/>
        <item x="2454"/>
        <item x="1264"/>
        <item x="4651"/>
        <item x="3074"/>
        <item x="3185"/>
        <item x="825"/>
        <item x="2325"/>
        <item x="3331"/>
        <item x="4507"/>
        <item x="1849"/>
        <item x="4845"/>
        <item x="250"/>
        <item x="975"/>
        <item x="319"/>
        <item x="1070"/>
        <item x="3011"/>
        <item x="2868"/>
        <item x="4488"/>
        <item x="3088"/>
        <item x="3685"/>
        <item x="218"/>
        <item x="3888"/>
        <item x="2837"/>
        <item x="4519"/>
        <item x="871"/>
        <item x="1113"/>
        <item x="1435"/>
        <item x="3405"/>
        <item x="461"/>
        <item x="3899"/>
        <item x="2645"/>
        <item x="867"/>
        <item x="2637"/>
        <item x="3315"/>
        <item x="3658"/>
        <item x="1111"/>
        <item x="4509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2"/>
        <item x="1176"/>
        <item x="2297"/>
        <item x="3590"/>
        <item x="4894"/>
        <item x="1517"/>
        <item x="3976"/>
        <item x="3231"/>
        <item x="3042"/>
        <item x="2939"/>
        <item x="842"/>
        <item x="2584"/>
        <item x="1545"/>
        <item x="2249"/>
        <item x="4535"/>
        <item x="4626"/>
        <item x="2118"/>
        <item x="4422"/>
        <item x="2428"/>
        <item x="1235"/>
        <item x="1839"/>
        <item x="1523"/>
        <item x="3845"/>
        <item x="1269"/>
        <item x="3122"/>
        <item x="3186"/>
        <item x="774"/>
        <item x="2626"/>
        <item x="1669"/>
        <item x="968"/>
        <item x="3511"/>
        <item x="3638"/>
        <item x="2699"/>
        <item x="1123"/>
        <item x="178"/>
        <item x="4893"/>
        <item x="812"/>
        <item x="1796"/>
        <item x="943"/>
        <item x="4126"/>
        <item x="1379"/>
        <item x="1097"/>
        <item x="330"/>
        <item x="1972"/>
        <item x="3637"/>
        <item x="522"/>
        <item x="2674"/>
        <item x="3363"/>
        <item x="2062"/>
        <item x="2521"/>
        <item x="3275"/>
        <item x="1746"/>
        <item x="1734"/>
        <item x="1943"/>
        <item x="3840"/>
        <item x="3222"/>
        <item x="409"/>
        <item x="1640"/>
        <item x="377"/>
        <item x="4333"/>
        <item x="2433"/>
        <item x="649"/>
        <item x="2061"/>
        <item x="3240"/>
        <item x="1012"/>
        <item x="722"/>
        <item x="625"/>
        <item x="729"/>
        <item x="2785"/>
        <item x="3086"/>
        <item x="4398"/>
        <item x="3920"/>
        <item x="2991"/>
        <item x="513"/>
        <item x="355"/>
        <item x="3346"/>
        <item x="3933"/>
        <item x="768"/>
        <item x="4451"/>
        <item x="1257"/>
        <item x="739"/>
        <item x="2802"/>
        <item x="1920"/>
        <item x="2333"/>
        <item x="1472"/>
        <item x="602"/>
        <item x="4867"/>
        <item x="2134"/>
        <item x="569"/>
        <item x="3351"/>
        <item x="4622"/>
        <item x="4582"/>
        <item x="1791"/>
        <item x="1898"/>
        <item x="1918"/>
        <item x="1171"/>
        <item x="1231"/>
        <item x="4455"/>
        <item x="2601"/>
        <item x="4641"/>
        <item x="4430"/>
        <item x="263"/>
        <item x="259"/>
        <item x="1187"/>
        <item x="778"/>
        <item x="2705"/>
        <item x="104"/>
        <item x="4660"/>
        <item x="3299"/>
        <item x="320"/>
        <item x="1088"/>
        <item x="4492"/>
        <item x="4109"/>
        <item x="342"/>
        <item x="797"/>
        <item x="580"/>
        <item x="1586"/>
        <item x="1769"/>
        <item x="2732"/>
        <item x="4255"/>
        <item x="4310"/>
        <item x="1813"/>
        <item x="4618"/>
        <item x="2190"/>
        <item x="325"/>
        <item x="4774"/>
        <item x="4756"/>
        <item x="3599"/>
        <item x="992"/>
        <item x="3123"/>
        <item x="4362"/>
        <item x="623"/>
        <item x="3801"/>
        <item x="3700"/>
        <item x="1140"/>
        <item x="3163"/>
        <item x="2338"/>
        <item x="2409"/>
        <item x="289"/>
        <item x="748"/>
        <item x="1196"/>
        <item x="2314"/>
        <item x="3619"/>
        <item x="530"/>
        <item x="3508"/>
        <item x="3221"/>
        <item x="3758"/>
        <item x="2514"/>
        <item x="2602"/>
        <item x="908"/>
        <item x="1346"/>
        <item x="2537"/>
        <item x="1049"/>
        <item x="395"/>
        <item x="1625"/>
        <item x="2162"/>
        <item x="4156"/>
        <item x="475"/>
        <item x="1318"/>
        <item x="4321"/>
        <item x="1035"/>
        <item x="4242"/>
        <item x="2316"/>
        <item x="301"/>
        <item x="1356"/>
        <item x="4158"/>
        <item x="4664"/>
        <item x="3588"/>
        <item x="2092"/>
        <item x="2116"/>
        <item x="1476"/>
        <item x="4795"/>
        <item x="4172"/>
        <item x="4392"/>
        <item x="1991"/>
        <item x="711"/>
        <item x="750"/>
        <item x="173"/>
        <item x="624"/>
        <item x="917"/>
        <item x="1327"/>
        <item x="3245"/>
        <item x="2512"/>
        <item x="1867"/>
        <item x="2906"/>
        <item x="3524"/>
        <item x="4143"/>
        <item x="4424"/>
        <item x="2841"/>
        <item x="3884"/>
        <item x="3870"/>
        <item x="2508"/>
        <item x="573"/>
        <item x="3550"/>
        <item x="4202"/>
        <item x="3726"/>
        <item x="3008"/>
        <item x="1574"/>
        <item x="3563"/>
        <item x="3252"/>
        <item x="1482"/>
        <item x="4247"/>
        <item x="1311"/>
        <item x="1164"/>
        <item x="3832"/>
        <item x="862"/>
        <item x="1516"/>
        <item x="2058"/>
        <item x="2030"/>
        <item x="3395"/>
        <item x="3242"/>
        <item x="3650"/>
        <item x="2250"/>
        <item x="2609"/>
        <item x="1744"/>
        <item x="3354"/>
        <item x="2547"/>
        <item x="2430"/>
        <item x="2005"/>
        <item x="1675"/>
        <item x="3345"/>
        <item x="4412"/>
        <item x="2833"/>
        <item x="3562"/>
        <item x="1895"/>
        <item x="3290"/>
        <item x="3916"/>
        <item x="2018"/>
        <item x="4071"/>
        <item x="304"/>
        <item x="136"/>
        <item x="236"/>
        <item x="4811"/>
        <item x="2588"/>
        <item x="2525"/>
        <item x="3523"/>
        <item x="3545"/>
        <item x="3501"/>
        <item x="3384"/>
        <item x="4829"/>
        <item x="4805"/>
        <item x="171"/>
        <item x="2199"/>
        <item x="1976"/>
        <item x="2432"/>
        <item x="3527"/>
        <item x="639"/>
        <item x="1452"/>
        <item x="2302"/>
        <item x="2574"/>
        <item x="1540"/>
        <item x="2515"/>
        <item x="4560"/>
        <item x="1474"/>
        <item x="1388"/>
        <item x="3031"/>
        <item x="1894"/>
        <item x="2060"/>
        <item x="4798"/>
        <item x="4048"/>
        <item x="3826"/>
        <item x="4602"/>
        <item x="2477"/>
        <item x="2696"/>
        <item x="2544"/>
        <item x="2004"/>
        <item x="2874"/>
        <item x="2750"/>
        <item x="2332"/>
        <item x="4015"/>
        <item x="486"/>
        <item x="4177"/>
        <item x="2805"/>
        <item x="1417"/>
        <item x="4127"/>
        <item x="733"/>
        <item x="4869"/>
        <item x="1531"/>
        <item x="2178"/>
        <item x="666"/>
        <item x="4214"/>
        <item x="2342"/>
        <item x="130"/>
        <item x="127"/>
        <item x="4124"/>
        <item x="2679"/>
        <item x="2317"/>
        <item x="1036"/>
        <item x="2260"/>
        <item x="3850"/>
        <item x="1512"/>
        <item x="3224"/>
        <item x="878"/>
        <item x="2576"/>
        <item x="4855"/>
        <item x="4035"/>
        <item x="4090"/>
        <item x="2887"/>
        <item x="4546"/>
        <item x="3936"/>
        <item x="1751"/>
        <item x="4088"/>
        <item x="492"/>
        <item x="4901"/>
        <item x="1089"/>
        <item x="2123"/>
        <item x="4861"/>
        <item x="550"/>
        <item x="26"/>
        <item x="1411"/>
        <item x="4230"/>
        <item x="2210"/>
        <item x="4163"/>
        <item x="2107"/>
        <item x="4619"/>
        <item x="4431"/>
        <item x="1875"/>
        <item x="3001"/>
        <item x="249"/>
        <item x="88"/>
        <item x="2567"/>
        <item x="501"/>
        <item x="2901"/>
        <item x="2568"/>
        <item x="4594"/>
        <item x="4818"/>
        <item x="3841"/>
        <item x="2279"/>
        <item x="1916"/>
        <item x="3989"/>
        <item x="1276"/>
        <item x="211"/>
        <item x="4180"/>
        <item x="401"/>
        <item x="2725"/>
        <item x="278"/>
        <item x="349"/>
        <item x="43"/>
        <item x="1572"/>
        <item x="3506"/>
        <item x="3589"/>
        <item x="2954"/>
        <item x="3236"/>
        <item x="1029"/>
        <item x="3921"/>
        <item x="1076"/>
        <item x="3968"/>
        <item x="1400"/>
        <item x="2548"/>
        <item x="4442"/>
        <item x="339"/>
        <item x="112"/>
        <item x="37"/>
        <item x="53"/>
        <item x="36"/>
        <item x="1544"/>
        <item x="2688"/>
        <item x="3824"/>
        <item x="1694"/>
        <item x="2976"/>
        <item x="4273"/>
        <item x="4592"/>
        <item x="3767"/>
        <item x="311"/>
        <item x="4364"/>
        <item x="4696"/>
        <item x="3091"/>
        <item x="2963"/>
        <item x="2258"/>
        <item x="3996"/>
        <item x="3753"/>
        <item x="3926"/>
        <item x="40"/>
        <item x="2414"/>
        <item x="359"/>
        <item x="772"/>
        <item x="146"/>
        <item x="4338"/>
        <item x="1394"/>
        <item x="288"/>
        <item x="2851"/>
        <item x="3249"/>
        <item x="3866"/>
        <item x="4518"/>
        <item x="4019"/>
        <item x="2632"/>
        <item x="3721"/>
        <item x="4711"/>
        <item x="4710"/>
        <item x="179"/>
        <item x="875"/>
        <item x="4022"/>
        <item x="3068"/>
        <item x="1365"/>
        <item x="4627"/>
        <item x="2572"/>
        <item x="998"/>
        <item x="389"/>
        <item x="3470"/>
        <item x="572"/>
        <item x="2814"/>
        <item x="3255"/>
        <item x="4460"/>
        <item x="3477"/>
        <item x="2937"/>
        <item x="717"/>
        <item x="3723"/>
        <item x="2646"/>
        <item x="694"/>
        <item x="3692"/>
        <item x="4075"/>
        <item x="3266"/>
        <item x="1667"/>
        <item x="1938"/>
        <item x="556"/>
        <item x="655"/>
        <item x="751"/>
        <item x="2219"/>
        <item x="4284"/>
        <item x="2786"/>
        <item x="2381"/>
        <item x="1974"/>
        <item x="1897"/>
        <item x="2106"/>
        <item x="2071"/>
        <item x="609"/>
        <item x="1135"/>
        <item x="1419"/>
        <item x="3261"/>
        <item x="2251"/>
        <item x="4763"/>
        <item x="4827"/>
        <item x="958"/>
        <item x="1497"/>
        <item x="2429"/>
        <item x="2720"/>
        <item x="953"/>
        <item x="4432"/>
        <item x="2387"/>
        <item x="1713"/>
        <item x="1297"/>
        <item x="1221"/>
        <item x="1139"/>
        <item x="4067"/>
        <item x="350"/>
        <item x="4325"/>
        <item x="1443"/>
        <item x="747"/>
        <item x="1596"/>
        <item x="67"/>
        <item x="2734"/>
        <item x="2631"/>
        <item x="4773"/>
        <item x="951"/>
        <item x="4270"/>
        <item x="1567"/>
        <item x="3078"/>
        <item x="906"/>
        <item x="1456"/>
        <item x="366"/>
        <item x="4113"/>
        <item x="3294"/>
        <item x="2742"/>
        <item x="4224"/>
        <item x="2176"/>
        <item x="2213"/>
        <item x="2553"/>
        <item x="3526"/>
        <item x="587"/>
        <item x="2054"/>
        <item x="1204"/>
        <item x="2510"/>
        <item x="3443"/>
        <item x="3251"/>
        <item x="3009"/>
        <item x="2492"/>
        <item x="3555"/>
        <item x="3264"/>
        <item x="533"/>
        <item x="3109"/>
        <item x="4564"/>
        <item x="2526"/>
        <item x="1136"/>
        <item x="3583"/>
        <item x="1352"/>
        <item x="1659"/>
        <item x="1861"/>
        <item x="382"/>
        <item x="3211"/>
        <item x="1853"/>
        <item x="2592"/>
        <item x="3467"/>
        <item x="3847"/>
        <item x="4414"/>
        <item x="4306"/>
        <item x="3971"/>
        <item x="1471"/>
        <item x="1719"/>
        <item x="4461"/>
        <item x="826"/>
        <item x="488"/>
        <item x="2500"/>
        <item x="600"/>
        <item x="58"/>
        <item x="4342"/>
        <item x="4593"/>
        <item x="4192"/>
        <item x="1524"/>
        <item x="521"/>
        <item x="3536"/>
        <item x="597"/>
        <item x="187"/>
        <item x="1934"/>
        <item x="3160"/>
        <item x="108"/>
        <item x="2878"/>
        <item x="3431"/>
        <item x="4012"/>
        <item x="1598"/>
        <item x="1961"/>
        <item x="1483"/>
        <item x="2562"/>
        <item x="164"/>
        <item x="4601"/>
        <item x="1332"/>
        <item x="4006"/>
        <item x="1995"/>
        <item x="76"/>
        <item x="2135"/>
        <item x="676"/>
        <item x="4184"/>
        <item x="940"/>
        <item x="3740"/>
        <item x="3449"/>
        <item x="1764"/>
        <item x="591"/>
        <item x="4802"/>
        <item x="1782"/>
        <item x="2950"/>
        <item x="1840"/>
        <item x="4552"/>
        <item x="3172"/>
        <item x="2550"/>
        <item x="4717"/>
        <item x="2262"/>
        <item x="1368"/>
        <item x="3520"/>
        <item x="4771"/>
        <item x="3804"/>
        <item x="1904"/>
        <item x="479"/>
        <item x="4689"/>
        <item x="1812"/>
        <item x="352"/>
        <item x="1022"/>
        <item x="3828"/>
        <item x="1357"/>
        <item x="643"/>
        <item x="2667"/>
        <item x="2677"/>
        <item x="3007"/>
        <item x="2597"/>
        <item x="1650"/>
        <item x="2243"/>
        <item x="2589"/>
        <item x="3343"/>
        <item x="2507"/>
        <item x="4713"/>
        <item x="2617"/>
        <item x="4813"/>
        <item x="2604"/>
        <item x="1982"/>
        <item x="299"/>
        <item x="3145"/>
        <item x="2650"/>
        <item x="3946"/>
        <item x="4008"/>
        <item x="2144"/>
        <item x="2736"/>
        <item x="141"/>
        <item x="3188"/>
        <item x="3045"/>
        <item x="2529"/>
        <item x="1345"/>
        <item x="1475"/>
        <item x="4462"/>
        <item x="3438"/>
        <item x="2150"/>
        <item x="2586"/>
        <item x="3938"/>
        <item x="1681"/>
        <item x="1709"/>
        <item x="2768"/>
        <item x="705"/>
        <item x="3355"/>
        <item x="2189"/>
        <item x="71"/>
        <item x="2607"/>
        <item x="2277"/>
        <item x="4011"/>
        <item x="1465"/>
        <item x="2016"/>
        <item x="4350"/>
        <item x="4549"/>
        <item x="240"/>
        <item x="1684"/>
        <item x="1766"/>
        <item x="4234"/>
        <item x="2704"/>
        <item x="1654"/>
        <item x="3586"/>
        <item x="3928"/>
        <item x="4179"/>
        <item x="791"/>
        <item x="3553"/>
        <item x="4189"/>
        <item x="1609"/>
        <item x="1984"/>
        <item x="3762"/>
        <item x="3383"/>
        <item x="2879"/>
        <item x="4416"/>
        <item x="596"/>
        <item x="2446"/>
        <item x="3003"/>
        <item x="3333"/>
        <item x="4003"/>
        <item x="2852"/>
        <item x="1457"/>
        <item x="3610"/>
        <item x="2352"/>
        <item x="2819"/>
        <item x="4596"/>
        <item x="4620"/>
        <item x="660"/>
        <item x="46"/>
        <item x="3169"/>
        <item x="133"/>
        <item x="90"/>
        <item x="4475"/>
        <item x="3092"/>
        <item x="3357"/>
        <item x="690"/>
        <item x="801"/>
        <item x="207"/>
        <item x="123"/>
        <item x="520"/>
        <item x="65"/>
        <item x="47"/>
        <item x="102"/>
        <item x="34"/>
        <item x="579"/>
        <item x="782"/>
        <item x="3669"/>
        <item x="763"/>
        <item x="3291"/>
        <item x="2886"/>
        <item x="932"/>
        <item x="4291"/>
        <item x="4797"/>
        <item x="3746"/>
        <item x="466"/>
        <item x="2197"/>
        <item x="4391"/>
        <item x="4292"/>
        <item x="367"/>
        <item x="3304"/>
        <item x="3189"/>
        <item x="3849"/>
        <item x="3205"/>
        <item x="2685"/>
        <item x="888"/>
        <item x="2914"/>
        <item x="4072"/>
        <item x="2796"/>
        <item x="2397"/>
        <item x="1008"/>
        <item x="4824"/>
        <item x="1090"/>
        <item x="2407"/>
        <item x="651"/>
        <item x="2214"/>
        <item x="3469"/>
        <item x="2011"/>
        <item x="2319"/>
        <item x="674"/>
        <item x="903"/>
        <item x="3707"/>
        <item x="3856"/>
        <item x="4511"/>
        <item x="428"/>
        <item x="4522"/>
        <item x="2029"/>
        <item x="468"/>
        <item x="1020"/>
        <item x="1752"/>
        <item x="1481"/>
        <item x="255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2"/>
  </rowFields>
  <rowItems count="49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</rowItems>
  <colItems count="1">
    <i/>
  </colItems>
  <dataFields count="1">
    <dataField name="SUM of gross" fld="7" baseField="0" baseItem="0"/>
  </dataFields>
  <pivotTableStyleInfo showRowHeaders="1" showColHeaders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://www.imdb.com/title/tt0116225/?ref_=fn_tt_tt_1" TargetMode="External"/><Relationship Id="rId998" Type="http://schemas.openxmlformats.org/officeDocument/2006/relationships/hyperlink" Target="http://www.imdb.com/title/tt0963178/?ref_=fn_tt_tt_1" TargetMode="External"/><Relationship Id="rId997" Type="http://schemas.openxmlformats.org/officeDocument/2006/relationships/hyperlink" Target="http://www.imdb.com/title/tt0309377/?ref_=fn_tt_tt_1" TargetMode="External"/><Relationship Id="rId996" Type="http://schemas.openxmlformats.org/officeDocument/2006/relationships/hyperlink" Target="http://www.imdb.com/title/tt0264395/?ref_=fn_tt_tt_1" TargetMode="External"/><Relationship Id="rId995" Type="http://schemas.openxmlformats.org/officeDocument/2006/relationships/hyperlink" Target="http://www.imdb.com/title/tt1517260/?ref_=fn_tt_tt_1" TargetMode="External"/><Relationship Id="rId994" Type="http://schemas.openxmlformats.org/officeDocument/2006/relationships/hyperlink" Target="http://www.imdb.com/title/tt0160916/?ref_=fn_tt_tt_1" TargetMode="External"/><Relationship Id="rId993" Type="http://schemas.openxmlformats.org/officeDocument/2006/relationships/hyperlink" Target="http://www.imdb.com/title/tt0367959/?ref_=fn_tt_tt_1" TargetMode="External"/><Relationship Id="rId992" Type="http://schemas.openxmlformats.org/officeDocument/2006/relationships/hyperlink" Target="http://www.imdb.com/title/tt0112401/?ref_=fn_tt_tt_1" TargetMode="External"/><Relationship Id="rId991" Type="http://schemas.openxmlformats.org/officeDocument/2006/relationships/hyperlink" Target="http://www.imdb.com/title/tt0264935/?ref_=fn_tt_tt_1" TargetMode="External"/><Relationship Id="rId990" Type="http://schemas.openxmlformats.org/officeDocument/2006/relationships/hyperlink" Target="http://www.imdb.com/title/tt1212419/?ref_=fn_tt_tt_1" TargetMode="External"/><Relationship Id="rId99" Type="http://schemas.openxmlformats.org/officeDocument/2006/relationships/hyperlink" Target="http://www.imdb.com/title/tt4262980/?ref_=fn_tt_tt_1" TargetMode="External"/><Relationship Id="rId989" Type="http://schemas.openxmlformats.org/officeDocument/2006/relationships/hyperlink" Target="http://www.imdb.com/title/tt1392197/?ref_=fn_tt_tt_1" TargetMode="External"/><Relationship Id="rId988" Type="http://schemas.openxmlformats.org/officeDocument/2006/relationships/hyperlink" Target="http://www.imdb.com/title/tt0117765/?ref_=fn_tt_tt_1" TargetMode="External"/><Relationship Id="rId987" Type="http://schemas.openxmlformats.org/officeDocument/2006/relationships/hyperlink" Target="http://www.imdb.com/title/tt0108967/?ref_=fn_tt_tt_1" TargetMode="External"/><Relationship Id="rId986" Type="http://schemas.openxmlformats.org/officeDocument/2006/relationships/hyperlink" Target="http://www.imdb.com/title/tt0126916/?ref_=fn_tt_tt_1" TargetMode="External"/><Relationship Id="rId985" Type="http://schemas.openxmlformats.org/officeDocument/2006/relationships/hyperlink" Target="http://www.imdb.com/title/tt1186367/?ref_=fn_tt_tt_1" TargetMode="External"/><Relationship Id="rId984" Type="http://schemas.openxmlformats.org/officeDocument/2006/relationships/hyperlink" Target="http://www.imdb.com/title/tt0350028/?ref_=fn_tt_tt_1" TargetMode="External"/><Relationship Id="rId983" Type="http://schemas.openxmlformats.org/officeDocument/2006/relationships/hyperlink" Target="http://www.imdb.com/title/tt0163978/?ref_=fn_tt_tt_1" TargetMode="External"/><Relationship Id="rId982" Type="http://schemas.openxmlformats.org/officeDocument/2006/relationships/hyperlink" Target="http://www.imdb.com/title/tt0424774/?ref_=fn_tt_tt_1" TargetMode="External"/><Relationship Id="rId981" Type="http://schemas.openxmlformats.org/officeDocument/2006/relationships/hyperlink" Target="http://www.imdb.com/title/tt0110725/?ref_=fn_tt_tt_1" TargetMode="External"/><Relationship Id="rId980" Type="http://schemas.openxmlformats.org/officeDocument/2006/relationships/hyperlink" Target="http://www.imdb.com/title/tt0313443/?ref_=fn_tt_tt_1" TargetMode="External"/><Relationship Id="rId98" Type="http://schemas.openxmlformats.org/officeDocument/2006/relationships/hyperlink" Target="http://www.imdb.com/title/tt1375666/?ref_=fn_tt_tt_1" TargetMode="External"/><Relationship Id="rId979" Type="http://schemas.openxmlformats.org/officeDocument/2006/relationships/hyperlink" Target="http://www.imdb.com/title/tt0317198/?ref_=fn_tt_tt_1" TargetMode="External"/><Relationship Id="rId978" Type="http://schemas.openxmlformats.org/officeDocument/2006/relationships/hyperlink" Target="http://www.imdb.com/title/tt0318627/?ref_=fn_tt_tt_1" TargetMode="External"/><Relationship Id="rId977" Type="http://schemas.openxmlformats.org/officeDocument/2006/relationships/hyperlink" Target="http://www.imdb.com/title/tt0119874/?ref_=fn_tt_tt_1" TargetMode="External"/><Relationship Id="rId976" Type="http://schemas.openxmlformats.org/officeDocument/2006/relationships/hyperlink" Target="http://www.imdb.com/title/tt1872194/?ref_=fn_tt_tt_1" TargetMode="External"/><Relationship Id="rId975" Type="http://schemas.openxmlformats.org/officeDocument/2006/relationships/hyperlink" Target="http://www.imdb.com/title/tt0099700/?ref_=fn_tt_tt_1" TargetMode="External"/><Relationship Id="rId974" Type="http://schemas.openxmlformats.org/officeDocument/2006/relationships/hyperlink" Target="http://www.imdb.com/title/tt0109254/?ref_=fn_tt_tt_1" TargetMode="External"/><Relationship Id="rId973" Type="http://schemas.openxmlformats.org/officeDocument/2006/relationships/hyperlink" Target="http://www.imdb.com/title/tt2106361/?ref_=fn_tt_tt_1" TargetMode="External"/><Relationship Id="rId972" Type="http://schemas.openxmlformats.org/officeDocument/2006/relationships/hyperlink" Target="http://www.imdb.com/title/tt0120768/?ref_=fn_tt_tt_1" TargetMode="External"/><Relationship Id="rId971" Type="http://schemas.openxmlformats.org/officeDocument/2006/relationships/hyperlink" Target="http://www.imdb.com/title/tt1605630/?ref_=fn_tt_tt_1" TargetMode="External"/><Relationship Id="rId970" Type="http://schemas.openxmlformats.org/officeDocument/2006/relationships/hyperlink" Target="http://www.imdb.com/title/tt0191397/?ref_=fn_tt_tt_1" TargetMode="External"/><Relationship Id="rId97" Type="http://schemas.openxmlformats.org/officeDocument/2006/relationships/hyperlink" Target="http://www.imdb.com/title/tt0816692/?ref_=fn_tt_tt_1" TargetMode="External"/><Relationship Id="rId969" Type="http://schemas.openxmlformats.org/officeDocument/2006/relationships/hyperlink" Target="http://www.imdb.com/title/tt0384537/?ref_=fn_tt_tt_1" TargetMode="External"/><Relationship Id="rId968" Type="http://schemas.openxmlformats.org/officeDocument/2006/relationships/hyperlink" Target="http://www.imdb.com/title/tt0119174/?ref_=fn_tt_tt_1" TargetMode="External"/><Relationship Id="rId967" Type="http://schemas.openxmlformats.org/officeDocument/2006/relationships/hyperlink" Target="http://www.imdb.com/title/tt0119173/?ref_=fn_tt_tt_1" TargetMode="External"/><Relationship Id="rId966" Type="http://schemas.openxmlformats.org/officeDocument/2006/relationships/hyperlink" Target="http://www.imdb.com/title/tt0118548/?ref_=fn_tt_tt_1" TargetMode="External"/><Relationship Id="rId965" Type="http://schemas.openxmlformats.org/officeDocument/2006/relationships/hyperlink" Target="http://www.imdb.com/title/tt0408345/?ref_=fn_tt_tt_1" TargetMode="External"/><Relationship Id="rId964" Type="http://schemas.openxmlformats.org/officeDocument/2006/relationships/hyperlink" Target="http://www.imdb.com/title/tt2262227/?ref_=fn_tt_tt_1" TargetMode="External"/><Relationship Id="rId963" Type="http://schemas.openxmlformats.org/officeDocument/2006/relationships/hyperlink" Target="http://www.imdb.com/title/tt4172430/?ref_=fn_tt_tt_1" TargetMode="External"/><Relationship Id="rId962" Type="http://schemas.openxmlformats.org/officeDocument/2006/relationships/hyperlink" Target="http://www.imdb.com/title/tt0365737/?ref_=fn_tt_tt_1" TargetMode="External"/><Relationship Id="rId961" Type="http://schemas.openxmlformats.org/officeDocument/2006/relationships/hyperlink" Target="http://www.imdb.com/title/tt1464540/?ref_=fn_tt_tt_1" TargetMode="External"/><Relationship Id="rId960" Type="http://schemas.openxmlformats.org/officeDocument/2006/relationships/hyperlink" Target="http://www.imdb.com/title/tt0250797/?ref_=fn_tt_tt_1" TargetMode="External"/><Relationship Id="rId96" Type="http://schemas.openxmlformats.org/officeDocument/2006/relationships/hyperlink" Target="http://www.imdb.com/title/tt2015381/?ref_=fn_tt_tt_1" TargetMode="External"/><Relationship Id="rId959" Type="http://schemas.openxmlformats.org/officeDocument/2006/relationships/hyperlink" Target="http://www.imdb.com/title/tt1428538/?ref_=fn_tt_tt_1" TargetMode="External"/><Relationship Id="rId958" Type="http://schemas.openxmlformats.org/officeDocument/2006/relationships/hyperlink" Target="http://www.imdb.com/title/tt0260866/?ref_=fn_tt_tt_1" TargetMode="External"/><Relationship Id="rId957" Type="http://schemas.openxmlformats.org/officeDocument/2006/relationships/hyperlink" Target="http://www.imdb.com/title/tt0400497/?ref_=fn_tt_tt_1" TargetMode="External"/><Relationship Id="rId956" Type="http://schemas.openxmlformats.org/officeDocument/2006/relationships/hyperlink" Target="http://www.imdb.com/title/tt0381971/?ref_=fn_tt_tt_1" TargetMode="External"/><Relationship Id="rId955" Type="http://schemas.openxmlformats.org/officeDocument/2006/relationships/hyperlink" Target="http://www.imdb.com/title/tt4192812/?ref_=fn_tt_tt_1" TargetMode="External"/><Relationship Id="rId954" Type="http://schemas.openxmlformats.org/officeDocument/2006/relationships/hyperlink" Target="http://www.imdb.com/title/tt0300471/?ref_=fn_tt_tt_1" TargetMode="External"/><Relationship Id="rId953" Type="http://schemas.openxmlformats.org/officeDocument/2006/relationships/hyperlink" Target="http://www.imdb.com/title/tt0434409/?ref_=fn_tt_tt_1" TargetMode="External"/><Relationship Id="rId952" Type="http://schemas.openxmlformats.org/officeDocument/2006/relationships/hyperlink" Target="http://www.imdb.com/title/tt1075417/?ref_=fn_tt_tt_1" TargetMode="External"/><Relationship Id="rId951" Type="http://schemas.openxmlformats.org/officeDocument/2006/relationships/hyperlink" Target="http://www.imdb.com/title/tt2024469/?ref_=fn_tt_tt_1" TargetMode="External"/><Relationship Id="rId950" Type="http://schemas.openxmlformats.org/officeDocument/2006/relationships/hyperlink" Target="http://www.imdb.com/title/tt0114069/?ref_=fn_tt_tt_1" TargetMode="External"/><Relationship Id="rId95" Type="http://schemas.openxmlformats.org/officeDocument/2006/relationships/hyperlink" Target="http://www.imdb.com/title/tt0181852/?ref_=fn_tt_tt_1" TargetMode="External"/><Relationship Id="rId949" Type="http://schemas.openxmlformats.org/officeDocument/2006/relationships/hyperlink" Target="http://www.imdb.com/title/tt1210166/?ref_=fn_tt_tt_1" TargetMode="External"/><Relationship Id="rId948" Type="http://schemas.openxmlformats.org/officeDocument/2006/relationships/hyperlink" Target="http://www.imdb.com/title/tt0388419/?ref_=fn_tt_tt_1" TargetMode="External"/><Relationship Id="rId947" Type="http://schemas.openxmlformats.org/officeDocument/2006/relationships/hyperlink" Target="http://www.imdb.com/title/tt0356634/?ref_=fn_tt_tt_1" TargetMode="External"/><Relationship Id="rId946" Type="http://schemas.openxmlformats.org/officeDocument/2006/relationships/hyperlink" Target="http://www.imdb.com/title/tt1570728/?ref_=fn_tt_tt_1" TargetMode="External"/><Relationship Id="rId945" Type="http://schemas.openxmlformats.org/officeDocument/2006/relationships/hyperlink" Target="http://www.imdb.com/title/tt0377109/?ref_=fn_tt_tt_1" TargetMode="External"/><Relationship Id="rId944" Type="http://schemas.openxmlformats.org/officeDocument/2006/relationships/hyperlink" Target="http://www.imdb.com/title/tt0427229/?ref_=fn_tt_tt_1" TargetMode="External"/><Relationship Id="rId943" Type="http://schemas.openxmlformats.org/officeDocument/2006/relationships/hyperlink" Target="http://www.imdb.com/title/tt0448011/?ref_=fn_tt_tt_1" TargetMode="External"/><Relationship Id="rId942" Type="http://schemas.openxmlformats.org/officeDocument/2006/relationships/hyperlink" Target="http://www.imdb.com/title/tt1389137/?ref_=fn_tt_tt_1" TargetMode="External"/><Relationship Id="rId941" Type="http://schemas.openxmlformats.org/officeDocument/2006/relationships/hyperlink" Target="http://www.imdb.com/title/tt0112715/?ref_=fn_tt_tt_1" TargetMode="External"/><Relationship Id="rId940" Type="http://schemas.openxmlformats.org/officeDocument/2006/relationships/hyperlink" Target="http://www.imdb.com/title/tt0120784/?ref_=fn_tt_tt_1" TargetMode="External"/><Relationship Id="rId94" Type="http://schemas.openxmlformats.org/officeDocument/2006/relationships/hyperlink" Target="http://www.imdb.com/title/tt0892769/?ref_=fn_tt_tt_1" TargetMode="External"/><Relationship Id="rId939" Type="http://schemas.openxmlformats.org/officeDocument/2006/relationships/hyperlink" Target="http://www.imdb.com/title/tt0454848/?ref_=fn_tt_tt_1" TargetMode="External"/><Relationship Id="rId938" Type="http://schemas.openxmlformats.org/officeDocument/2006/relationships/hyperlink" Target="http://www.imdb.com/title/tt2180411/?ref_=fn_tt_tt_1" TargetMode="External"/><Relationship Id="rId937" Type="http://schemas.openxmlformats.org/officeDocument/2006/relationships/hyperlink" Target="http://www.imdb.com/title/tt1528854/?ref_=fn_tt_tt_1" TargetMode="External"/><Relationship Id="rId936" Type="http://schemas.openxmlformats.org/officeDocument/2006/relationships/hyperlink" Target="http://www.imdb.com/title/tt0120686/?ref_=fn_tt_tt_1" TargetMode="External"/><Relationship Id="rId935" Type="http://schemas.openxmlformats.org/officeDocument/2006/relationships/hyperlink" Target="http://www.imdb.com/title/tt1489889/?ref_=fn_tt_tt_1" TargetMode="External"/><Relationship Id="rId934" Type="http://schemas.openxmlformats.org/officeDocument/2006/relationships/hyperlink" Target="http://www.imdb.com/title/tt1068680/?ref_=fn_tt_tt_1" TargetMode="External"/><Relationship Id="rId933" Type="http://schemas.openxmlformats.org/officeDocument/2006/relationships/hyperlink" Target="http://www.imdb.com/title/tt0110148/?ref_=fn_tt_tt_1" TargetMode="External"/><Relationship Id="rId932" Type="http://schemas.openxmlformats.org/officeDocument/2006/relationships/hyperlink" Target="http://www.imdb.com/title/tt2294449/?ref_=fn_tt_tt_1" TargetMode="External"/><Relationship Id="rId931" Type="http://schemas.openxmlformats.org/officeDocument/2006/relationships/hyperlink" Target="http://www.imdb.com/title/tt0251127/?ref_=fn_tt_tt_1" TargetMode="External"/><Relationship Id="rId930" Type="http://schemas.openxmlformats.org/officeDocument/2006/relationships/hyperlink" Target="http://www.imdb.com/title/tt0195685/?ref_=fn_tt_tt_1" TargetMode="External"/><Relationship Id="rId93" Type="http://schemas.openxmlformats.org/officeDocument/2006/relationships/hyperlink" Target="http://www.imdb.com/title/tt1628841/?ref_=fn_tt_tt_1" TargetMode="External"/><Relationship Id="rId929" Type="http://schemas.openxmlformats.org/officeDocument/2006/relationships/hyperlink" Target="http://www.imdb.com/title/tt1650062/?ref_=fn_tt_tt_1" TargetMode="External"/><Relationship Id="rId928" Type="http://schemas.openxmlformats.org/officeDocument/2006/relationships/hyperlink" Target="http://www.imdb.com/title/tt0280590/?ref_=fn_tt_tt_1" TargetMode="External"/><Relationship Id="rId927" Type="http://schemas.openxmlformats.org/officeDocument/2006/relationships/hyperlink" Target="http://www.imdb.com/title/tt1229340/?ref_=fn_tt_tt_1" TargetMode="External"/><Relationship Id="rId926" Type="http://schemas.openxmlformats.org/officeDocument/2006/relationships/hyperlink" Target="http://www.imdb.com/title/tt0129290/?ref_=fn_tt_tt_1" TargetMode="External"/><Relationship Id="rId925" Type="http://schemas.openxmlformats.org/officeDocument/2006/relationships/hyperlink" Target="http://www.imdb.com/title/tt0119822/?ref_=fn_tt_tt_1" TargetMode="External"/><Relationship Id="rId924" Type="http://schemas.openxmlformats.org/officeDocument/2006/relationships/hyperlink" Target="http://www.imdb.com/title/tt1637725/?ref_=fn_tt_tt_1" TargetMode="External"/><Relationship Id="rId923" Type="http://schemas.openxmlformats.org/officeDocument/2006/relationships/hyperlink" Target="http://www.imdb.com/title/tt0116695/?ref_=fn_tt_tt_1" TargetMode="External"/><Relationship Id="rId922" Type="http://schemas.openxmlformats.org/officeDocument/2006/relationships/hyperlink" Target="http://www.imdb.com/title/tt0102798/?ref_=fn_tt_tt_1" TargetMode="External"/><Relationship Id="rId921" Type="http://schemas.openxmlformats.org/officeDocument/2006/relationships/hyperlink" Target="http://www.imdb.com/title/tt1385826/?ref_=fn_tt_tt_1" TargetMode="External"/><Relationship Id="rId920" Type="http://schemas.openxmlformats.org/officeDocument/2006/relationships/hyperlink" Target="http://www.imdb.com/title/tt0126029/?ref_=fn_tt_tt_1" TargetMode="External"/><Relationship Id="rId92" Type="http://schemas.openxmlformats.org/officeDocument/2006/relationships/hyperlink" Target="http://www.imdb.com/title/tt0338348/?ref_=fn_tt_tt_1" TargetMode="External"/><Relationship Id="rId919" Type="http://schemas.openxmlformats.org/officeDocument/2006/relationships/hyperlink" Target="http://www.imdb.com/title/tt1259571/?ref_=fn_tt_tt_1" TargetMode="External"/><Relationship Id="rId918" Type="http://schemas.openxmlformats.org/officeDocument/2006/relationships/hyperlink" Target="http://www.imdb.com/title/tt0790604/?ref_=fn_tt_tt_1" TargetMode="External"/><Relationship Id="rId917" Type="http://schemas.openxmlformats.org/officeDocument/2006/relationships/hyperlink" Target="http://www.imdb.com/title/tt0414853/?ref_=fn_tt_tt_1" TargetMode="External"/><Relationship Id="rId916" Type="http://schemas.openxmlformats.org/officeDocument/2006/relationships/hyperlink" Target="http://www.imdb.com/title/tt0183505/?ref_=fn_tt_tt_1" TargetMode="External"/><Relationship Id="rId915" Type="http://schemas.openxmlformats.org/officeDocument/2006/relationships/hyperlink" Target="http://www.imdb.com/title/tt0245803/?ref_=fn_tt_tt_1" TargetMode="External"/><Relationship Id="rId914" Type="http://schemas.openxmlformats.org/officeDocument/2006/relationships/hyperlink" Target="http://www.imdb.com/title/tt1179034/?ref_=fn_tt_tt_1" TargetMode="External"/><Relationship Id="rId913" Type="http://schemas.openxmlformats.org/officeDocument/2006/relationships/hyperlink" Target="http://www.imdb.com/title/tt0112641/?ref_=fn_tt_tt_1" TargetMode="External"/><Relationship Id="rId912" Type="http://schemas.openxmlformats.org/officeDocument/2006/relationships/hyperlink" Target="http://www.imdb.com/title/tt0125664/?ref_=fn_tt_tt_1" TargetMode="External"/><Relationship Id="rId911" Type="http://schemas.openxmlformats.org/officeDocument/2006/relationships/hyperlink" Target="http://www.imdb.com/title/tt1488555/?ref_=fn_tt_tt_1" TargetMode="External"/><Relationship Id="rId910" Type="http://schemas.openxmlformats.org/officeDocument/2006/relationships/hyperlink" Target="http://www.imdb.com/title/tt0120863/?ref_=fn_tt_tt_1" TargetMode="External"/><Relationship Id="rId91" Type="http://schemas.openxmlformats.org/officeDocument/2006/relationships/hyperlink" Target="http://www.imdb.com/title/tt1772341/?ref_=fn_tt_tt_1" TargetMode="External"/><Relationship Id="rId909" Type="http://schemas.openxmlformats.org/officeDocument/2006/relationships/hyperlink" Target="http://www.imdb.com/title/tt0377818/?ref_=fn_tt_tt_1" TargetMode="External"/><Relationship Id="rId908" Type="http://schemas.openxmlformats.org/officeDocument/2006/relationships/hyperlink" Target="http://www.imdb.com/title/tt0817230/?ref_=fn_tt_tt_1" TargetMode="External"/><Relationship Id="rId907" Type="http://schemas.openxmlformats.org/officeDocument/2006/relationships/hyperlink" Target="http://www.imdb.com/title/tt0795421/?ref_=fn_tt_tt_1" TargetMode="External"/><Relationship Id="rId906" Type="http://schemas.openxmlformats.org/officeDocument/2006/relationships/hyperlink" Target="http://www.imdb.com/title/tt0452594/?ref_=fn_tt_tt_1" TargetMode="External"/><Relationship Id="rId905" Type="http://schemas.openxmlformats.org/officeDocument/2006/relationships/hyperlink" Target="http://www.imdb.com/title/tt1790885/?ref_=fn_tt_tt_1" TargetMode="External"/><Relationship Id="rId904" Type="http://schemas.openxmlformats.org/officeDocument/2006/relationships/hyperlink" Target="http://www.imdb.com/title/tt0264464/?ref_=fn_tt_tt_1" TargetMode="External"/><Relationship Id="rId903" Type="http://schemas.openxmlformats.org/officeDocument/2006/relationships/hyperlink" Target="http://www.imdb.com/title/tt0338216/?ref_=fn_tt_tt_1" TargetMode="External"/><Relationship Id="rId902" Type="http://schemas.openxmlformats.org/officeDocument/2006/relationships/hyperlink" Target="http://www.imdb.com/title/tt0120603/?ref_=fn_tt_tt_1" TargetMode="External"/><Relationship Id="rId901" Type="http://schemas.openxmlformats.org/officeDocument/2006/relationships/hyperlink" Target="http://www.imdb.com/title/tt0462322/?ref_=fn_tt_tt_1" TargetMode="External"/><Relationship Id="rId900" Type="http://schemas.openxmlformats.org/officeDocument/2006/relationships/hyperlink" Target="http://www.imdb.com/title/tt1197624/?ref_=fn_tt_tt_1" TargetMode="External"/><Relationship Id="rId90" Type="http://schemas.openxmlformats.org/officeDocument/2006/relationships/hyperlink" Target="http://www.imdb.com/title/tt2245084/?ref_=fn_tt_tt_1" TargetMode="External"/><Relationship Id="rId9" Type="http://schemas.openxmlformats.org/officeDocument/2006/relationships/hyperlink" Target="http://www.imdb.com/title/tt2395427/?ref_=fn_tt_tt_1" TargetMode="External"/><Relationship Id="rId899" Type="http://schemas.openxmlformats.org/officeDocument/2006/relationships/hyperlink" Target="http://www.imdb.com/title/tt0418689/?ref_=fn_tt_tt_1" TargetMode="External"/><Relationship Id="rId898" Type="http://schemas.openxmlformats.org/officeDocument/2006/relationships/hyperlink" Target="http://www.imdb.com/title/tt1355683/?ref_=fn_tt_tt_1" TargetMode="External"/><Relationship Id="rId897" Type="http://schemas.openxmlformats.org/officeDocument/2006/relationships/hyperlink" Target="http://www.imdb.com/title/tt0249478/?ref_=fn_tt_tt_1" TargetMode="External"/><Relationship Id="rId896" Type="http://schemas.openxmlformats.org/officeDocument/2006/relationships/hyperlink" Target="http://www.imdb.com/title/tt0203009/?ref_=fn_tt_tt_1" TargetMode="External"/><Relationship Id="rId895" Type="http://schemas.openxmlformats.org/officeDocument/2006/relationships/hyperlink" Target="http://www.imdb.com/title/tt0118617/?ref_=fn_tt_tt_1" TargetMode="External"/><Relationship Id="rId894" Type="http://schemas.openxmlformats.org/officeDocument/2006/relationships/hyperlink" Target="http://www.imdb.com/title/tt0162650/?ref_=fn_tt_tt_1" TargetMode="External"/><Relationship Id="rId893" Type="http://schemas.openxmlformats.org/officeDocument/2006/relationships/hyperlink" Target="http://www.imdb.com/title/tt0405676/?ref_=fn_tt_tt_1" TargetMode="External"/><Relationship Id="rId892" Type="http://schemas.openxmlformats.org/officeDocument/2006/relationships/hyperlink" Target="http://www.imdb.com/title/tt0299930/?ref_=fn_tt_tt_1" TargetMode="External"/><Relationship Id="rId891" Type="http://schemas.openxmlformats.org/officeDocument/2006/relationships/hyperlink" Target="http://www.imdb.com/title/tt0081573/?ref_=fn_tt_tt_1" TargetMode="External"/><Relationship Id="rId890" Type="http://schemas.openxmlformats.org/officeDocument/2006/relationships/hyperlink" Target="http://www.imdb.com/title/tt0463034/?ref_=fn_tt_tt_1" TargetMode="External"/><Relationship Id="rId89" Type="http://schemas.openxmlformats.org/officeDocument/2006/relationships/hyperlink" Target="http://www.imdb.com/title/tt1964418/?ref_=fn_tt_tt_1" TargetMode="External"/><Relationship Id="rId889" Type="http://schemas.openxmlformats.org/officeDocument/2006/relationships/hyperlink" Target="http://www.imdb.com/title/tt0368709/?ref_=fn_tt_tt_1" TargetMode="External"/><Relationship Id="rId888" Type="http://schemas.openxmlformats.org/officeDocument/2006/relationships/hyperlink" Target="http://www.imdb.com/title/tt0099674/?ref_=fn_tt_tt_1" TargetMode="External"/><Relationship Id="rId887" Type="http://schemas.openxmlformats.org/officeDocument/2006/relationships/hyperlink" Target="http://www.imdb.com/title/tt1308729/?ref_=fn_tt_tt_1" TargetMode="External"/><Relationship Id="rId886" Type="http://schemas.openxmlformats.org/officeDocument/2006/relationships/hyperlink" Target="http://www.imdb.com/title/tt0814314/?ref_=fn_tt_tt_1" TargetMode="External"/><Relationship Id="rId885" Type="http://schemas.openxmlformats.org/officeDocument/2006/relationships/hyperlink" Target="http://www.imdb.com/title/tt0187738/?ref_=fn_tt_tt_1" TargetMode="External"/><Relationship Id="rId884" Type="http://schemas.openxmlformats.org/officeDocument/2006/relationships/hyperlink" Target="http://www.imdb.com/title/tt0160184/?ref_=fn_tt_tt_1" TargetMode="External"/><Relationship Id="rId883" Type="http://schemas.openxmlformats.org/officeDocument/2006/relationships/hyperlink" Target="http://www.imdb.com/title/tt0056193/?ref_=fn_tt_tt_1" TargetMode="External"/><Relationship Id="rId882" Type="http://schemas.openxmlformats.org/officeDocument/2006/relationships/hyperlink" Target="http://www.imdb.com/title/tt0344510/?ref_=fn_tt_tt_1" TargetMode="External"/><Relationship Id="rId881" Type="http://schemas.openxmlformats.org/officeDocument/2006/relationships/hyperlink" Target="http://www.imdb.com/title/tt1126591/?ref_=fn_tt_tt_1" TargetMode="External"/><Relationship Id="rId880" Type="http://schemas.openxmlformats.org/officeDocument/2006/relationships/hyperlink" Target="http://www.imdb.com/title/tt0167456/?ref_=fn_tt_tt_1" TargetMode="External"/><Relationship Id="rId88" Type="http://schemas.openxmlformats.org/officeDocument/2006/relationships/hyperlink" Target="http://www.imdb.com/title/tt0892791/?ref_=fn_tt_tt_1" TargetMode="External"/><Relationship Id="rId879" Type="http://schemas.openxmlformats.org/officeDocument/2006/relationships/hyperlink" Target="http://www.imdb.com/title/tt2281587/?ref_=fn_tt_tt_1" TargetMode="External"/><Relationship Id="rId878" Type="http://schemas.openxmlformats.org/officeDocument/2006/relationships/hyperlink" Target="http://www.imdb.com/title/tt0780567/?ref_=fn_tt_tt_1" TargetMode="External"/><Relationship Id="rId877" Type="http://schemas.openxmlformats.org/officeDocument/2006/relationships/hyperlink" Target="http://www.imdb.com/title/tt0120390/?ref_=fn_tt_tt_1" TargetMode="External"/><Relationship Id="rId876" Type="http://schemas.openxmlformats.org/officeDocument/2006/relationships/hyperlink" Target="http://www.imdb.com/title/tt0279111/?ref_=fn_tt_tt_1" TargetMode="External"/><Relationship Id="rId875" Type="http://schemas.openxmlformats.org/officeDocument/2006/relationships/hyperlink" Target="http://www.imdb.com/title/tt0402022/?ref_=fn_tt_tt_1" TargetMode="External"/><Relationship Id="rId874" Type="http://schemas.openxmlformats.org/officeDocument/2006/relationships/hyperlink" Target="http://www.imdb.com/title/tt0414055/?ref_=fn_tt_tt_1" TargetMode="External"/><Relationship Id="rId873" Type="http://schemas.openxmlformats.org/officeDocument/2006/relationships/hyperlink" Target="http://www.imdb.com/title/tt0293508/?ref_=fn_tt_tt_1" TargetMode="External"/><Relationship Id="rId872" Type="http://schemas.openxmlformats.org/officeDocument/2006/relationships/hyperlink" Target="http://www.imdb.com/title/tt0116277/?ref_=fn_tt_tt_1" TargetMode="External"/><Relationship Id="rId871" Type="http://schemas.openxmlformats.org/officeDocument/2006/relationships/hyperlink" Target="http://www.imdb.com/title/tt0115857/?ref_=fn_tt_tt_1" TargetMode="External"/><Relationship Id="rId870" Type="http://schemas.openxmlformats.org/officeDocument/2006/relationships/hyperlink" Target="http://www.imdb.com/title/tt0824747/?ref_=fn_tt_tt_1" TargetMode="External"/><Relationship Id="rId87" Type="http://schemas.openxmlformats.org/officeDocument/2006/relationships/hyperlink" Target="http://www.imdb.com/title/tt1843866/?ref_=fn_tt_tt_1" TargetMode="External"/><Relationship Id="rId869" Type="http://schemas.openxmlformats.org/officeDocument/2006/relationships/hyperlink" Target="http://www.imdb.com/title/tt1430626/?ref_=fn_tt_tt_1" TargetMode="External"/><Relationship Id="rId868" Type="http://schemas.openxmlformats.org/officeDocument/2006/relationships/hyperlink" Target="http://www.imdb.com/title/tt0839980/?ref_=fn_tt_tt_1" TargetMode="External"/><Relationship Id="rId867" Type="http://schemas.openxmlformats.org/officeDocument/2006/relationships/hyperlink" Target="http://www.imdb.com/title/tt0338466/?ref_=fn_tt_tt_1" TargetMode="External"/><Relationship Id="rId866" Type="http://schemas.openxmlformats.org/officeDocument/2006/relationships/hyperlink" Target="http://www.imdb.com/title/tt0128278/?ref_=fn_tt_tt_1" TargetMode="External"/><Relationship Id="rId865" Type="http://schemas.openxmlformats.org/officeDocument/2006/relationships/hyperlink" Target="http://www.imdb.com/title/tt0269347/?ref_=fn_tt_tt_1" TargetMode="External"/><Relationship Id="rId864" Type="http://schemas.openxmlformats.org/officeDocument/2006/relationships/hyperlink" Target="http://www.imdb.com/title/tt1298649/?ref_=fn_tt_tt_1" TargetMode="External"/><Relationship Id="rId863" Type="http://schemas.openxmlformats.org/officeDocument/2006/relationships/hyperlink" Target="http://www.imdb.com/title/tt1109624/?ref_=fn_tt_tt_1" TargetMode="External"/><Relationship Id="rId862" Type="http://schemas.openxmlformats.org/officeDocument/2006/relationships/hyperlink" Target="http://www.imdb.com/title/tt0116409/?ref_=fn_tt_tt_1" TargetMode="External"/><Relationship Id="rId861" Type="http://schemas.openxmlformats.org/officeDocument/2006/relationships/hyperlink" Target="http://www.imdb.com/title/tt0122690/?ref_=fn_tt_tt_1" TargetMode="External"/><Relationship Id="rId860" Type="http://schemas.openxmlformats.org/officeDocument/2006/relationships/hyperlink" Target="http://www.imdb.com/title/tt0116250/?ref_=fn_tt_tt_1" TargetMode="External"/><Relationship Id="rId86" Type="http://schemas.openxmlformats.org/officeDocument/2006/relationships/hyperlink" Target="http://www.imdb.com/title/tt1335975/?ref_=fn_tt_tt_1" TargetMode="External"/><Relationship Id="rId859" Type="http://schemas.openxmlformats.org/officeDocument/2006/relationships/hyperlink" Target="http://www.imdb.com/title/tt0103644/?ref_=fn_tt_tt_1" TargetMode="External"/><Relationship Id="rId858" Type="http://schemas.openxmlformats.org/officeDocument/2006/relationships/hyperlink" Target="http://www.imdb.com/title/tt1621039/?ref_=fn_tt_tt_1" TargetMode="External"/><Relationship Id="rId857" Type="http://schemas.openxmlformats.org/officeDocument/2006/relationships/hyperlink" Target="http://www.imdb.com/title/tt0865556/?ref_=fn_tt_tt_1" TargetMode="External"/><Relationship Id="rId856" Type="http://schemas.openxmlformats.org/officeDocument/2006/relationships/hyperlink" Target="http://www.imdb.com/title/tt1396218/?ref_=fn_tt_tt_1" TargetMode="External"/><Relationship Id="rId855" Type="http://schemas.openxmlformats.org/officeDocument/2006/relationships/hyperlink" Target="http://www.imdb.com/title/tt0116253/?ref_=fn_tt_tt_1" TargetMode="External"/><Relationship Id="rId854" Type="http://schemas.openxmlformats.org/officeDocument/2006/relationships/hyperlink" Target="http://www.imdb.com/title/tt0184894/?ref_=fn_tt_tt_1" TargetMode="External"/><Relationship Id="rId853" Type="http://schemas.openxmlformats.org/officeDocument/2006/relationships/hyperlink" Target="http://www.imdb.com/title/tt0104070/?ref_=fn_tt_tt_1" TargetMode="External"/><Relationship Id="rId852" Type="http://schemas.openxmlformats.org/officeDocument/2006/relationships/hyperlink" Target="http://www.imdb.com/title/tt0098439/?ref_=fn_tt_tt_1" TargetMode="External"/><Relationship Id="rId851" Type="http://schemas.openxmlformats.org/officeDocument/2006/relationships/hyperlink" Target="http://www.imdb.com/title/tt0378194/?ref_=fn_tt_tt_1" TargetMode="External"/><Relationship Id="rId850" Type="http://schemas.openxmlformats.org/officeDocument/2006/relationships/hyperlink" Target="http://www.imdb.com/title/tt0118480/?ref_=fn_tt_tt_1" TargetMode="External"/><Relationship Id="rId85" Type="http://schemas.openxmlformats.org/officeDocument/2006/relationships/hyperlink" Target="http://www.imdb.com/title/tt1321869/?ref_=fn_tt_tt_1" TargetMode="External"/><Relationship Id="rId849" Type="http://schemas.openxmlformats.org/officeDocument/2006/relationships/hyperlink" Target="http://www.imdb.com/title/tt0131325/?ref_=fn_tt_tt_1" TargetMode="External"/><Relationship Id="rId848" Type="http://schemas.openxmlformats.org/officeDocument/2006/relationships/hyperlink" Target="http://www.imdb.com/title/tt0266697/?ref_=fn_tt_tt_1" TargetMode="External"/><Relationship Id="rId847" Type="http://schemas.openxmlformats.org/officeDocument/2006/relationships/hyperlink" Target="http://www.imdb.com/title/tt0120632/?ref_=fn_tt_tt_1" TargetMode="External"/><Relationship Id="rId846" Type="http://schemas.openxmlformats.org/officeDocument/2006/relationships/hyperlink" Target="http://www.imdb.com/title/tt0109635/?ref_=fn_tt_tt_1" TargetMode="External"/><Relationship Id="rId845" Type="http://schemas.openxmlformats.org/officeDocument/2006/relationships/hyperlink" Target="http://www.imdb.com/title/tt0408790/?ref_=fn_tt_tt_1" TargetMode="External"/><Relationship Id="rId844" Type="http://schemas.openxmlformats.org/officeDocument/2006/relationships/hyperlink" Target="http://www.imdb.com/title/tt0454921/?ref_=fn_tt_tt_1" TargetMode="External"/><Relationship Id="rId843" Type="http://schemas.openxmlformats.org/officeDocument/2006/relationships/hyperlink" Target="http://www.imdb.com/title/tt0112740/?ref_=fn_tt_tt_1" TargetMode="External"/><Relationship Id="rId842" Type="http://schemas.openxmlformats.org/officeDocument/2006/relationships/hyperlink" Target="http://www.imdb.com/title/tt0252076/?ref_=fn_tt_tt_1" TargetMode="External"/><Relationship Id="rId841" Type="http://schemas.openxmlformats.org/officeDocument/2006/relationships/hyperlink" Target="http://www.imdb.com/title/tt0455944/?ref_=fn_tt_tt_1" TargetMode="External"/><Relationship Id="rId840" Type="http://schemas.openxmlformats.org/officeDocument/2006/relationships/hyperlink" Target="http://www.imdb.com/title/tt0112642/?ref_=fn_tt_tt_1" TargetMode="External"/><Relationship Id="rId84" Type="http://schemas.openxmlformats.org/officeDocument/2006/relationships/hyperlink" Target="http://www.imdb.com/title/tt2103281/?ref_=fn_tt_tt_1" TargetMode="External"/><Relationship Id="rId839" Type="http://schemas.openxmlformats.org/officeDocument/2006/relationships/hyperlink" Target="http://www.imdb.com/title/tt1279935/?ref_=fn_tt_tt_1" TargetMode="External"/><Relationship Id="rId838" Type="http://schemas.openxmlformats.org/officeDocument/2006/relationships/hyperlink" Target="http://www.imdb.com/title/tt1535109/?ref_=fn_tt_tt_1" TargetMode="External"/><Relationship Id="rId837" Type="http://schemas.openxmlformats.org/officeDocument/2006/relationships/hyperlink" Target="http://www.imdb.com/title/tt0328828/?ref_=fn_tt_tt_1" TargetMode="External"/><Relationship Id="rId836" Type="http://schemas.openxmlformats.org/officeDocument/2006/relationships/hyperlink" Target="http://www.imdb.com/title/tt0119190/?ref_=fn_tt_tt_1" TargetMode="External"/><Relationship Id="rId835" Type="http://schemas.openxmlformats.org/officeDocument/2006/relationships/hyperlink" Target="http://www.imdb.com/title/tt0386588/?ref_=fn_tt_tt_1" TargetMode="External"/><Relationship Id="rId834" Type="http://schemas.openxmlformats.org/officeDocument/2006/relationships/hyperlink" Target="http://www.imdb.com/title/tt0117218/?ref_=fn_tt_tt_1" TargetMode="External"/><Relationship Id="rId833" Type="http://schemas.openxmlformats.org/officeDocument/2006/relationships/hyperlink" Target="http://www.imdb.com/title/tt0078346/?ref_=fn_tt_tt_1" TargetMode="External"/><Relationship Id="rId832" Type="http://schemas.openxmlformats.org/officeDocument/2006/relationships/hyperlink" Target="http://www.imdb.com/title/tt0114148/?ref_=fn_tt_tt_1" TargetMode="External"/><Relationship Id="rId831" Type="http://schemas.openxmlformats.org/officeDocument/2006/relationships/hyperlink" Target="http://www.imdb.com/title/tt0212338/?ref_=fn_tt_tt_1" TargetMode="External"/><Relationship Id="rId830" Type="http://schemas.openxmlformats.org/officeDocument/2006/relationships/hyperlink" Target="http://www.imdb.com/title/tt0952640/?ref_=fn_tt_tt_1" TargetMode="External"/><Relationship Id="rId83" Type="http://schemas.openxmlformats.org/officeDocument/2006/relationships/hyperlink" Target="http://www.imdb.com/title/tt1587310/?ref_=fn_tt_tt_1" TargetMode="External"/><Relationship Id="rId829" Type="http://schemas.openxmlformats.org/officeDocument/2006/relationships/hyperlink" Target="http://www.imdb.com/title/tt0109830/?ref_=fn_tt_tt_1" TargetMode="External"/><Relationship Id="rId828" Type="http://schemas.openxmlformats.org/officeDocument/2006/relationships/hyperlink" Target="http://www.imdb.com/title/tt0351977/?ref_=fn_tt_tt_1" TargetMode="External"/><Relationship Id="rId827" Type="http://schemas.openxmlformats.org/officeDocument/2006/relationships/hyperlink" Target="http://www.imdb.com/title/tt0395699/?ref_=fn_tt_tt_1" TargetMode="External"/><Relationship Id="rId826" Type="http://schemas.openxmlformats.org/officeDocument/2006/relationships/hyperlink" Target="http://www.imdb.com/title/tt1986770/?ref_=fn_tt_tt_1" TargetMode="External"/><Relationship Id="rId825" Type="http://schemas.openxmlformats.org/officeDocument/2006/relationships/hyperlink" Target="http://www.imdb.com/title/tt0238112/?ref_=fn_tt_tt_1" TargetMode="External"/><Relationship Id="rId824" Type="http://schemas.openxmlformats.org/officeDocument/2006/relationships/hyperlink" Target="http://www.imdb.com/title/tt1071875/?ref_=fn_tt_tt_1" TargetMode="External"/><Relationship Id="rId823" Type="http://schemas.openxmlformats.org/officeDocument/2006/relationships/hyperlink" Target="http://www.imdb.com/title/tt0367479/?ref_=fn_tt_tt_1" TargetMode="External"/><Relationship Id="rId822" Type="http://schemas.openxmlformats.org/officeDocument/2006/relationships/hyperlink" Target="http://www.imdb.com/title/tt0116136/?ref_=fn_tt_tt_1" TargetMode="External"/><Relationship Id="rId821" Type="http://schemas.openxmlformats.org/officeDocument/2006/relationships/hyperlink" Target="http://www.imdb.com/title/tt1232200/?ref_=fn_tt_tt_1" TargetMode="External"/><Relationship Id="rId820" Type="http://schemas.openxmlformats.org/officeDocument/2006/relationships/hyperlink" Target="http://www.imdb.com/title/tt0118971/?ref_=fn_tt_tt_1" TargetMode="External"/><Relationship Id="rId82" Type="http://schemas.openxmlformats.org/officeDocument/2006/relationships/hyperlink" Target="http://www.imdb.com/title/tt1735898/?ref_=fn_tt_tt_1" TargetMode="External"/><Relationship Id="rId819" Type="http://schemas.openxmlformats.org/officeDocument/2006/relationships/hyperlink" Target="http://www.imdb.com/title/tt0159206/?ref_=fn_tt_tt_1" TargetMode="External"/><Relationship Id="rId818" Type="http://schemas.openxmlformats.org/officeDocument/2006/relationships/hyperlink" Target="http://www.imdb.com/title/tt0485985/?ref_=fn_tt_tt_1" TargetMode="External"/><Relationship Id="rId817" Type="http://schemas.openxmlformats.org/officeDocument/2006/relationships/hyperlink" Target="http://www.imdb.com/title/tt1220634/?ref_=fn_tt_tt_1" TargetMode="External"/><Relationship Id="rId816" Type="http://schemas.openxmlformats.org/officeDocument/2006/relationships/hyperlink" Target="http://www.imdb.com/title/tt2234155/?ref_=fn_tt_tt_1" TargetMode="External"/><Relationship Id="rId815" Type="http://schemas.openxmlformats.org/officeDocument/2006/relationships/hyperlink" Target="http://www.imdb.com/title/tt1314228/?ref_=fn_tt_tt_1" TargetMode="External"/><Relationship Id="rId814" Type="http://schemas.openxmlformats.org/officeDocument/2006/relationships/hyperlink" Target="http://www.imdb.com/title/tt2479478/?ref_=fn_tt_tt_1" TargetMode="External"/><Relationship Id="rId813" Type="http://schemas.openxmlformats.org/officeDocument/2006/relationships/hyperlink" Target="http://www.imdb.com/title/tt0379865/?ref_=fn_tt_tt_1" TargetMode="External"/><Relationship Id="rId812" Type="http://schemas.openxmlformats.org/officeDocument/2006/relationships/hyperlink" Target="http://www.imdb.com/title/tt0095956/?ref_=fn_tt_tt_1" TargetMode="External"/><Relationship Id="rId811" Type="http://schemas.openxmlformats.org/officeDocument/2006/relationships/hyperlink" Target="http://www.imdb.com/title/tt0158622/?ref_=fn_tt_tt_1" TargetMode="External"/><Relationship Id="rId810" Type="http://schemas.openxmlformats.org/officeDocument/2006/relationships/hyperlink" Target="http://www.imdb.com/title/tt0425123/?ref_=fn_tt_tt_1" TargetMode="External"/><Relationship Id="rId81" Type="http://schemas.openxmlformats.org/officeDocument/2006/relationships/hyperlink" Target="http://www.imdb.com/title/tt1228705/?ref_=fn_tt_tt_1" TargetMode="External"/><Relationship Id="rId809" Type="http://schemas.openxmlformats.org/officeDocument/2006/relationships/hyperlink" Target="http://www.imdb.com/title/tt0115341/?ref_=fn_tt_tt_1" TargetMode="External"/><Relationship Id="rId808" Type="http://schemas.openxmlformats.org/officeDocument/2006/relationships/hyperlink" Target="http://www.imdb.com/title/tt1051904/?ref_=fn_tt_tt_1" TargetMode="External"/><Relationship Id="rId807" Type="http://schemas.openxmlformats.org/officeDocument/2006/relationships/hyperlink" Target="http://www.imdb.com/title/tt2179136/?ref_=fn_tt_tt_1" TargetMode="External"/><Relationship Id="rId806" Type="http://schemas.openxmlformats.org/officeDocument/2006/relationships/hyperlink" Target="http://www.imdb.com/title/tt0120701/?ref_=fn_tt_tt_1" TargetMode="External"/><Relationship Id="rId805" Type="http://schemas.openxmlformats.org/officeDocument/2006/relationships/hyperlink" Target="http://www.imdb.com/title/tt1431045/?ref_=fn_tt_tt_1" TargetMode="External"/><Relationship Id="rId804" Type="http://schemas.openxmlformats.org/officeDocument/2006/relationships/hyperlink" Target="http://www.imdb.com/title/tt0326905/?ref_=fn_tt_tt_1" TargetMode="External"/><Relationship Id="rId803" Type="http://schemas.openxmlformats.org/officeDocument/2006/relationships/hyperlink" Target="http://www.imdb.com/title/tt4591310/?ref_=fn_tt_tt_1" TargetMode="External"/><Relationship Id="rId802" Type="http://schemas.openxmlformats.org/officeDocument/2006/relationships/hyperlink" Target="http://www.imdb.com/title/tt0294357/?ref_=fn_tt_tt_1" TargetMode="External"/><Relationship Id="rId801" Type="http://schemas.openxmlformats.org/officeDocument/2006/relationships/hyperlink" Target="http://www.imdb.com/title/tt0460780/?ref_=fn_tt_tt_1" TargetMode="External"/><Relationship Id="rId800" Type="http://schemas.openxmlformats.org/officeDocument/2006/relationships/hyperlink" Target="http://www.imdb.com/title/tt3045616/?ref_=fn_tt_tt_1" TargetMode="External"/><Relationship Id="rId80" Type="http://schemas.openxmlformats.org/officeDocument/2006/relationships/hyperlink" Target="http://www.imdb.com/title/tt3040964/?ref_=fn_tt_tt_1" TargetMode="External"/><Relationship Id="rId8" Type="http://schemas.openxmlformats.org/officeDocument/2006/relationships/hyperlink" Target="http://www.imdb.com/title/tt0398286/?ref_=fn_tt_tt_1" TargetMode="External"/><Relationship Id="rId799" Type="http://schemas.openxmlformats.org/officeDocument/2006/relationships/hyperlink" Target="http://www.imdb.com/title/tt0831887/?ref_=fn_tt_tt_1" TargetMode="External"/><Relationship Id="rId798" Type="http://schemas.openxmlformats.org/officeDocument/2006/relationships/hyperlink" Target="http://www.imdb.com/title/tt0494238/?ref_=fn_tt_tt_1" TargetMode="External"/><Relationship Id="rId797" Type="http://schemas.openxmlformats.org/officeDocument/2006/relationships/hyperlink" Target="http://www.imdb.com/title/tt0131369/?ref_=fn_tt_tt_1" TargetMode="External"/><Relationship Id="rId796" Type="http://schemas.openxmlformats.org/officeDocument/2006/relationships/hyperlink" Target="http://www.imdb.com/title/tt0382628/?ref_=fn_tt_tt_1" TargetMode="External"/><Relationship Id="rId795" Type="http://schemas.openxmlformats.org/officeDocument/2006/relationships/hyperlink" Target="http://www.imdb.com/title/tt0765476/?ref_=fn_tt_tt_1" TargetMode="External"/><Relationship Id="rId794" Type="http://schemas.openxmlformats.org/officeDocument/2006/relationships/hyperlink" Target="http://www.imdb.com/title/tt1538403/?ref_=fn_tt_tt_1" TargetMode="External"/><Relationship Id="rId793" Type="http://schemas.openxmlformats.org/officeDocument/2006/relationships/hyperlink" Target="http://www.imdb.com/title/tt1837709/?ref_=fn_tt_tt_1" TargetMode="External"/><Relationship Id="rId792" Type="http://schemas.openxmlformats.org/officeDocument/2006/relationships/hyperlink" Target="http://www.imdb.com/title/tt0134983/?ref_=fn_tt_tt_1" TargetMode="External"/><Relationship Id="rId791" Type="http://schemas.openxmlformats.org/officeDocument/2006/relationships/hyperlink" Target="http://www.imdb.com/title/tt0272020/?ref_=fn_tt_tt_1" TargetMode="External"/><Relationship Id="rId790" Type="http://schemas.openxmlformats.org/officeDocument/2006/relationships/hyperlink" Target="http://www.imdb.com/title/tt0454824/?ref_=fn_tt_tt_1" TargetMode="External"/><Relationship Id="rId79" Type="http://schemas.openxmlformats.org/officeDocument/2006/relationships/hyperlink" Target="http://www.imdb.com/title/tt2096673/?ref_=fn_tt_tt_1" TargetMode="External"/><Relationship Id="rId789" Type="http://schemas.openxmlformats.org/officeDocument/2006/relationships/hyperlink" Target="http://www.imdb.com/title/tt0387877/?ref_=fn_tt_tt_1" TargetMode="External"/><Relationship Id="rId788" Type="http://schemas.openxmlformats.org/officeDocument/2006/relationships/hyperlink" Target="http://www.imdb.com/title/tt0259288/?ref_=fn_tt_tt_1" TargetMode="External"/><Relationship Id="rId787" Type="http://schemas.openxmlformats.org/officeDocument/2006/relationships/hyperlink" Target="http://www.imdb.com/title/tt0119081/?ref_=fn_tt_tt_1" TargetMode="External"/><Relationship Id="rId786" Type="http://schemas.openxmlformats.org/officeDocument/2006/relationships/hyperlink" Target="http://www.imdb.com/title/tt0165982/?ref_=fn_tt_tt_1" TargetMode="External"/><Relationship Id="rId785" Type="http://schemas.openxmlformats.org/officeDocument/2006/relationships/hyperlink" Target="http://www.imdb.com/title/tt0822847/?ref_=fn_tt_tt_1" TargetMode="External"/><Relationship Id="rId784" Type="http://schemas.openxmlformats.org/officeDocument/2006/relationships/hyperlink" Target="http://www.imdb.com/title/tt0329774/?ref_=fn_tt_tt_1" TargetMode="External"/><Relationship Id="rId783" Type="http://schemas.openxmlformats.org/officeDocument/2006/relationships/hyperlink" Target="http://www.imdb.com/title/tt0455499/?ref_=fn_tt_tt_1" TargetMode="External"/><Relationship Id="rId782" Type="http://schemas.openxmlformats.org/officeDocument/2006/relationships/hyperlink" Target="http://www.imdb.com/title/tt0181875/?ref_=fn_tt_tt_1" TargetMode="External"/><Relationship Id="rId781" Type="http://schemas.openxmlformats.org/officeDocument/2006/relationships/hyperlink" Target="http://www.imdb.com/title/tt0146984/?ref_=fn_tt_tt_1" TargetMode="External"/><Relationship Id="rId780" Type="http://schemas.openxmlformats.org/officeDocument/2006/relationships/hyperlink" Target="http://www.imdb.com/title/tt0821642/?ref_=fn_tt_tt_1" TargetMode="External"/><Relationship Id="rId78" Type="http://schemas.openxmlformats.org/officeDocument/2006/relationships/hyperlink" Target="http://www.imdb.com/title/tt1046173/?ref_=fn_tt_tt_1" TargetMode="External"/><Relationship Id="rId779" Type="http://schemas.openxmlformats.org/officeDocument/2006/relationships/hyperlink" Target="http://www.imdb.com/title/tt0120749/?ref_=fn_tt_tt_1" TargetMode="External"/><Relationship Id="rId778" Type="http://schemas.openxmlformats.org/officeDocument/2006/relationships/hyperlink" Target="http://www.imdb.com/title/tt1034331/?ref_=fn_tt_tt_1" TargetMode="External"/><Relationship Id="rId777" Type="http://schemas.openxmlformats.org/officeDocument/2006/relationships/hyperlink" Target="http://www.imdb.com/title/tt0289848/?ref_=fn_tt_tt_1" TargetMode="External"/><Relationship Id="rId776" Type="http://schemas.openxmlformats.org/officeDocument/2006/relationships/hyperlink" Target="http://www.imdb.com/title/tt0120004/?ref_=fn_tt_tt_1" TargetMode="External"/><Relationship Id="rId775" Type="http://schemas.openxmlformats.org/officeDocument/2006/relationships/hyperlink" Target="http://www.imdb.com/title/tt1226273/?ref_=fn_tt_tt_1" TargetMode="External"/><Relationship Id="rId774" Type="http://schemas.openxmlformats.org/officeDocument/2006/relationships/hyperlink" Target="http://www.imdb.com/title/tt2083383/?ref_=fn_tt_tt_1" TargetMode="External"/><Relationship Id="rId773" Type="http://schemas.openxmlformats.org/officeDocument/2006/relationships/hyperlink" Target="http://www.imdb.com/title/tt0138524/?ref_=fn_tt_tt_1" TargetMode="External"/><Relationship Id="rId772" Type="http://schemas.openxmlformats.org/officeDocument/2006/relationships/hyperlink" Target="http://www.imdb.com/title/tt0253754/?ref_=fn_tt_tt_1" TargetMode="External"/><Relationship Id="rId771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443632/?ref_=fn_tt_tt_1" TargetMode="External"/><Relationship Id="rId77" Type="http://schemas.openxmlformats.org/officeDocument/2006/relationships/hyperlink" Target="http://www.imdb.com/title/tt0114898/?ref_=fn_tt_tt_1" TargetMode="External"/><Relationship Id="rId769" Type="http://schemas.openxmlformats.org/officeDocument/2006/relationships/hyperlink" Target="http://www.imdb.com/title/tt0120764/?ref_=fn_tt_tt_1" TargetMode="External"/><Relationship Id="rId768" Type="http://schemas.openxmlformats.org/officeDocument/2006/relationships/hyperlink" Target="http://www.imdb.com/title/tt1135487/?ref_=fn_tt_tt_1" TargetMode="External"/><Relationship Id="rId767" Type="http://schemas.openxmlformats.org/officeDocument/2006/relationships/hyperlink" Target="http://www.imdb.com/title/tt0473705/?ref_=fn_tt_tt_1" TargetMode="External"/><Relationship Id="rId766" Type="http://schemas.openxmlformats.org/officeDocument/2006/relationships/hyperlink" Target="http://www.imdb.com/title/tt1057500/?ref_=fn_tt_tt_1" TargetMode="External"/><Relationship Id="rId765" Type="http://schemas.openxmlformats.org/officeDocument/2006/relationships/hyperlink" Target="http://www.imdb.com/title/tt1045778/?ref_=fn_tt_tt_1" TargetMode="External"/><Relationship Id="rId764" Type="http://schemas.openxmlformats.org/officeDocument/2006/relationships/hyperlink" Target="http://www.imdb.com/title/tt1321870/?ref_=fn_tt_tt_1" TargetMode="External"/><Relationship Id="rId763" Type="http://schemas.openxmlformats.org/officeDocument/2006/relationships/hyperlink" Target="http://www.imdb.com/title/tt0253556/?ref_=fn_tt_tt_1" TargetMode="External"/><Relationship Id="rId762" Type="http://schemas.openxmlformats.org/officeDocument/2006/relationships/hyperlink" Target="http://www.imdb.com/title/tt0385307/?ref_=fn_tt_tt_1" TargetMode="External"/><Relationship Id="rId761" Type="http://schemas.openxmlformats.org/officeDocument/2006/relationships/hyperlink" Target="http://www.imdb.com/title/tt1490017/?ref_=fn_tt_tt_1" TargetMode="External"/><Relationship Id="rId760" Type="http://schemas.openxmlformats.org/officeDocument/2006/relationships/hyperlink" Target="http://www.imdb.com/title/tt0120791/?ref_=fn_tt_tt_1" TargetMode="External"/><Relationship Id="rId76" Type="http://schemas.openxmlformats.org/officeDocument/2006/relationships/hyperlink" Target="http://www.imdb.com/title/tt1631867/?ref_=fn_tt_tt_1" TargetMode="External"/><Relationship Id="rId759" Type="http://schemas.openxmlformats.org/officeDocument/2006/relationships/hyperlink" Target="http://www.imdb.com/title/tt0787474/?ref_=fn_tt_tt_1" TargetMode="External"/><Relationship Id="rId758" Type="http://schemas.openxmlformats.org/officeDocument/2006/relationships/hyperlink" Target="http://www.imdb.com/title/tt0822854/?ref_=fn_tt_tt_1" TargetMode="External"/><Relationship Id="rId757" Type="http://schemas.openxmlformats.org/officeDocument/2006/relationships/hyperlink" Target="http://www.imdb.com/title/tt0118583/?ref_=fn_tt_tt_1" TargetMode="External"/><Relationship Id="rId756" Type="http://schemas.openxmlformats.org/officeDocument/2006/relationships/hyperlink" Target="http://www.imdb.com/title/tt3300542/?ref_=fn_tt_tt_1" TargetMode="External"/><Relationship Id="rId755" Type="http://schemas.openxmlformats.org/officeDocument/2006/relationships/hyperlink" Target="http://www.imdb.com/title/tt2446980/?ref_=fn_tt_tt_1" TargetMode="External"/><Relationship Id="rId754" Type="http://schemas.openxmlformats.org/officeDocument/2006/relationships/hyperlink" Target="http://www.imdb.com/title/tt1205537/?ref_=fn_tt_tt_1" TargetMode="External"/><Relationship Id="rId753" Type="http://schemas.openxmlformats.org/officeDocument/2006/relationships/hyperlink" Target="http://www.imdb.com/title/tt0114781/?ref_=fn_tt_tt_1" TargetMode="External"/><Relationship Id="rId752" Type="http://schemas.openxmlformats.org/officeDocument/2006/relationships/hyperlink" Target="http://www.imdb.com/title/tt0290095/?ref_=fn_tt_tt_1" TargetMode="External"/><Relationship Id="rId751" Type="http://schemas.openxmlformats.org/officeDocument/2006/relationships/hyperlink" Target="http://www.imdb.com/title/tt0790772/?ref_=fn_tt_tt_1" TargetMode="External"/><Relationship Id="rId750" Type="http://schemas.openxmlformats.org/officeDocument/2006/relationships/hyperlink" Target="http://www.imdb.com/title/tt0420238/?ref_=fn_tt_tt_1" TargetMode="External"/><Relationship Id="rId75" Type="http://schemas.openxmlformats.org/officeDocument/2006/relationships/hyperlink" Target="http://www.imdb.com/title/tt0413099/?ref_=fn_tt_tt_1" TargetMode="External"/><Relationship Id="rId749" Type="http://schemas.openxmlformats.org/officeDocument/2006/relationships/hyperlink" Target="http://www.imdb.com/title/tt0118055/?ref_=fn_tt_tt_1" TargetMode="External"/><Relationship Id="rId748" Type="http://schemas.openxmlformats.org/officeDocument/2006/relationships/hyperlink" Target="http://www.imdb.com/title/tt0338337/?ref_=fn_tt_tt_1" TargetMode="External"/><Relationship Id="rId747" Type="http://schemas.openxmlformats.org/officeDocument/2006/relationships/hyperlink" Target="http://www.imdb.com/title/tt0119395/?ref_=fn_tt_tt_1" TargetMode="External"/><Relationship Id="rId746" Type="http://schemas.openxmlformats.org/officeDocument/2006/relationships/hyperlink" Target="http://www.imdb.com/title/tt1623288/?ref_=fn_tt_tt_1" TargetMode="External"/><Relationship Id="rId745" Type="http://schemas.openxmlformats.org/officeDocument/2006/relationships/hyperlink" Target="http://www.imdb.com/title/tt0120633/?ref_=fn_tt_tt_1" TargetMode="External"/><Relationship Id="rId744" Type="http://schemas.openxmlformats.org/officeDocument/2006/relationships/hyperlink" Target="http://www.imdb.com/title/tt0167190/?ref_=fn_tt_tt_1" TargetMode="External"/><Relationship Id="rId743" Type="http://schemas.openxmlformats.org/officeDocument/2006/relationships/hyperlink" Target="http://www.imdb.com/title/tt0116705/?ref_=fn_tt_tt_1" TargetMode="External"/><Relationship Id="rId742" Type="http://schemas.openxmlformats.org/officeDocument/2006/relationships/hyperlink" Target="http://www.imdb.com/title/tt0335438/?ref_=fn_tt_tt_1" TargetMode="External"/><Relationship Id="rId741" Type="http://schemas.openxmlformats.org/officeDocument/2006/relationships/hyperlink" Target="http://www.imdb.com/title/tt0393735/?ref_=fn_tt_tt_1" TargetMode="External"/><Relationship Id="rId740" Type="http://schemas.openxmlformats.org/officeDocument/2006/relationships/hyperlink" Target="http://www.imdb.com/title/tt0328107/?ref_=fn_tt_tt_1" TargetMode="External"/><Relationship Id="rId74" Type="http://schemas.openxmlformats.org/officeDocument/2006/relationships/hyperlink" Target="http://www.imdb.com/title/tt1386697/?ref_=fn_tt_tt_1" TargetMode="External"/><Relationship Id="rId739" Type="http://schemas.openxmlformats.org/officeDocument/2006/relationships/hyperlink" Target="http://www.imdb.com/title/tt0949731/?ref_=fn_tt_tt_1" TargetMode="External"/><Relationship Id="rId738" Type="http://schemas.openxmlformats.org/officeDocument/2006/relationships/hyperlink" Target="http://www.imdb.com/title/tt0327597/?ref_=fn_tt_tt_1" TargetMode="External"/><Relationship Id="rId737" Type="http://schemas.openxmlformats.org/officeDocument/2006/relationships/hyperlink" Target="http://www.imdb.com/title/tt0257568/?ref_=fn_tt_tt_1" TargetMode="External"/><Relationship Id="rId736" Type="http://schemas.openxmlformats.org/officeDocument/2006/relationships/hyperlink" Target="http://www.imdb.com/title/tt1598778/?ref_=fn_tt_tt_1" TargetMode="External"/><Relationship Id="rId735" Type="http://schemas.openxmlformats.org/officeDocument/2006/relationships/hyperlink" Target="http://www.imdb.com/title/tt1477715/?ref_=fn_tt_tt_1" TargetMode="External"/><Relationship Id="rId734" Type="http://schemas.openxmlformats.org/officeDocument/2006/relationships/hyperlink" Target="http://www.imdb.com/title/tt0149261/?ref_=fn_tt_tt_1" TargetMode="External"/><Relationship Id="rId733" Type="http://schemas.openxmlformats.org/officeDocument/2006/relationships/hyperlink" Target="http://www.imdb.com/title/tt0790724/?ref_=fn_tt_tt_1" TargetMode="External"/><Relationship Id="rId732" Type="http://schemas.openxmlformats.org/officeDocument/2006/relationships/hyperlink" Target="http://www.imdb.com/title/tt0349710/?ref_=fn_tt_tt_1" TargetMode="External"/><Relationship Id="rId731" Type="http://schemas.openxmlformats.org/officeDocument/2006/relationships/hyperlink" Target="http://www.imdb.com/title/tt0277296/?ref_=fn_tt_tt_1" TargetMode="External"/><Relationship Id="rId730" Type="http://schemas.openxmlformats.org/officeDocument/2006/relationships/hyperlink" Target="http://www.imdb.com/title/tt0369339/?ref_=fn_tt_tt_1" TargetMode="External"/><Relationship Id="rId73" Type="http://schemas.openxmlformats.org/officeDocument/2006/relationships/hyperlink" Target="http://www.imdb.com/title/tt0859163/?ref_=fn_tt_tt_1" TargetMode="External"/><Relationship Id="rId729" Type="http://schemas.openxmlformats.org/officeDocument/2006/relationships/hyperlink" Target="http://www.imdb.com/title/tt0119314/?ref_=fn_tt_tt_1" TargetMode="External"/><Relationship Id="rId728" Type="http://schemas.openxmlformats.org/officeDocument/2006/relationships/hyperlink" Target="http://www.imdb.com/title/tt0146838/?ref_=fn_tt_tt_1" TargetMode="External"/><Relationship Id="rId727" Type="http://schemas.openxmlformats.org/officeDocument/2006/relationships/hyperlink" Target="http://www.imdb.com/title/tt1245526/?ref_=fn_tt_tt_1" TargetMode="External"/><Relationship Id="rId726" Type="http://schemas.openxmlformats.org/officeDocument/2006/relationships/hyperlink" Target="http://www.imdb.com/title/tt0218967/?ref_=fn_tt_tt_1" TargetMode="External"/><Relationship Id="rId725" Type="http://schemas.openxmlformats.org/officeDocument/2006/relationships/hyperlink" Target="http://www.imdb.com/title/tt0879870/?ref_=fn_tt_tt_1" TargetMode="External"/><Relationship Id="rId724" Type="http://schemas.openxmlformats.org/officeDocument/2006/relationships/hyperlink" Target="http://www.imdb.com/title/tt4046784/?ref_=fn_tt_tt_1" TargetMode="External"/><Relationship Id="rId723" Type="http://schemas.openxmlformats.org/officeDocument/2006/relationships/hyperlink" Target="http://www.imdb.com/title/tt0452598/?ref_=fn_tt_tt_1" TargetMode="External"/><Relationship Id="rId722" Type="http://schemas.openxmlformats.org/officeDocument/2006/relationships/hyperlink" Target="http://www.imdb.com/title/tt0099371/?ref_=fn_tt_tt_1" TargetMode="External"/><Relationship Id="rId721" Type="http://schemas.openxmlformats.org/officeDocument/2006/relationships/hyperlink" Target="http://www.imdb.com/title/tt1078940/?ref_=fn_tt_tt_1" TargetMode="External"/><Relationship Id="rId720" Type="http://schemas.openxmlformats.org/officeDocument/2006/relationships/hyperlink" Target="http://www.imdb.com/title/tt0120587/?ref_=fn_tt_tt_1" TargetMode="External"/><Relationship Id="rId72" Type="http://schemas.openxmlformats.org/officeDocument/2006/relationships/hyperlink" Target="http://www.imdb.com/title/tt0120891/?ref_=fn_tt_tt_1" TargetMode="External"/><Relationship Id="rId719" Type="http://schemas.openxmlformats.org/officeDocument/2006/relationships/hyperlink" Target="http://www.imdb.com/title/tt0313737/?ref_=fn_tt_tt_1" TargetMode="External"/><Relationship Id="rId718" Type="http://schemas.openxmlformats.org/officeDocument/2006/relationships/hyperlink" Target="http://www.imdb.com/title/tt0317740/?ref_=fn_tt_tt_1" TargetMode="External"/><Relationship Id="rId717" Type="http://schemas.openxmlformats.org/officeDocument/2006/relationships/hyperlink" Target="http://www.imdb.com/title/tt0239395/?ref_=fn_tt_tt_1" TargetMode="External"/><Relationship Id="rId716" Type="http://schemas.openxmlformats.org/officeDocument/2006/relationships/hyperlink" Target="http://www.imdb.com/title/tt1272878/?ref_=fn_tt_tt_1" TargetMode="External"/><Relationship Id="rId715" Type="http://schemas.openxmlformats.org/officeDocument/2006/relationships/hyperlink" Target="http://www.imdb.com/title/tt0317303/?ref_=fn_tt_tt_1" TargetMode="External"/><Relationship Id="rId714" Type="http://schemas.openxmlformats.org/officeDocument/2006/relationships/hyperlink" Target="http://www.imdb.com/title/tt0120794/?ref_=fn_tt_tt_1" TargetMode="External"/><Relationship Id="rId713" Type="http://schemas.openxmlformats.org/officeDocument/2006/relationships/hyperlink" Target="http://www.imdb.com/title/tt0120382/?ref_=fn_tt_tt_1" TargetMode="External"/><Relationship Id="rId712" Type="http://schemas.openxmlformats.org/officeDocument/2006/relationships/hyperlink" Target="http://www.imdb.com/title/tt0144214/?ref_=fn_tt_tt_1" TargetMode="External"/><Relationship Id="rId711" Type="http://schemas.openxmlformats.org/officeDocument/2006/relationships/hyperlink" Target="http://www.imdb.com/title/tt0113189/?ref_=fn_tt_tt_1" TargetMode="External"/><Relationship Id="rId710" Type="http://schemas.openxmlformats.org/officeDocument/2006/relationships/hyperlink" Target="http://www.imdb.com/title/tt0258463/?ref_=fn_tt_tt_1" TargetMode="External"/><Relationship Id="rId71" Type="http://schemas.openxmlformats.org/officeDocument/2006/relationships/hyperlink" Target="http://www.imdb.com/title/tt0970179/?ref_=fn_tt_tt_1" TargetMode="External"/><Relationship Id="rId709" Type="http://schemas.openxmlformats.org/officeDocument/2006/relationships/hyperlink" Target="http://www.imdb.com/title/tt2267998/?ref_=fn_tt_tt_1" TargetMode="External"/><Relationship Id="rId708" Type="http://schemas.openxmlformats.org/officeDocument/2006/relationships/hyperlink" Target="http://www.imdb.com/title/tt0371606/?ref_=fn_tt_tt_1" TargetMode="External"/><Relationship Id="rId707" Type="http://schemas.openxmlformats.org/officeDocument/2006/relationships/hyperlink" Target="http://www.imdb.com/title/tt0486946/?ref_=fn_tt_tt_1" TargetMode="External"/><Relationship Id="rId706" Type="http://schemas.openxmlformats.org/officeDocument/2006/relationships/hyperlink" Target="http://www.imdb.com/title/tt0120689/?ref_=fn_tt_tt_1" TargetMode="External"/><Relationship Id="rId705" Type="http://schemas.openxmlformats.org/officeDocument/2006/relationships/hyperlink" Target="http://www.imdb.com/title/tt0822832/?ref_=fn_tt_tt_1" TargetMode="External"/><Relationship Id="rId704" Type="http://schemas.openxmlformats.org/officeDocument/2006/relationships/hyperlink" Target="http://www.imdb.com/title/tt0290002/?ref_=fn_tt_tt_1" TargetMode="External"/><Relationship Id="rId703" Type="http://schemas.openxmlformats.org/officeDocument/2006/relationships/hyperlink" Target="http://www.imdb.com/title/tt0416449/?ref_=fn_tt_tt_1" TargetMode="External"/><Relationship Id="rId702" Type="http://schemas.openxmlformats.org/officeDocument/2006/relationships/hyperlink" Target="http://www.imdb.com/title/tt1411704/?ref_=fn_tt_tt_1" TargetMode="External"/><Relationship Id="rId701" Type="http://schemas.openxmlformats.org/officeDocument/2006/relationships/hyperlink" Target="http://www.imdb.com/title/tt0445934/?ref_=fn_tt_tt_1" TargetMode="External"/><Relationship Id="rId700" Type="http://schemas.openxmlformats.org/officeDocument/2006/relationships/hyperlink" Target="http://www.imdb.com/title/tt3460252/?ref_=fn_tt_tt_1" TargetMode="External"/><Relationship Id="rId70" Type="http://schemas.openxmlformats.org/officeDocument/2006/relationships/hyperlink" Target="http://www.imdb.com/title/tt0371746/?ref_=fn_tt_tt_1" TargetMode="External"/><Relationship Id="rId7" Type="http://schemas.openxmlformats.org/officeDocument/2006/relationships/hyperlink" Target="http://www.imdb.com/title/tt0413300/?ref_=fn_tt_tt_1" TargetMode="External"/><Relationship Id="rId699" Type="http://schemas.openxmlformats.org/officeDocument/2006/relationships/hyperlink" Target="http://www.imdb.com/title/tt0233142/?ref_=fn_tt_tt_1" TargetMode="External"/><Relationship Id="rId698" Type="http://schemas.openxmlformats.org/officeDocument/2006/relationships/hyperlink" Target="http://www.imdb.com/title/tt0811138/?ref_=fn_tt_tt_1" TargetMode="External"/><Relationship Id="rId697" Type="http://schemas.openxmlformats.org/officeDocument/2006/relationships/hyperlink" Target="http://www.imdb.com/title/tt0112346/?ref_=fn_tt_tt_1" TargetMode="External"/><Relationship Id="rId696" Type="http://schemas.openxmlformats.org/officeDocument/2006/relationships/hyperlink" Target="http://www.imdb.com/title/tt0141926/?ref_=fn_tt_tt_1" TargetMode="External"/><Relationship Id="rId695" Type="http://schemas.openxmlformats.org/officeDocument/2006/relationships/hyperlink" Target="http://www.imdb.com/title/tt0430304/?ref_=fn_tt_tt_1" TargetMode="External"/><Relationship Id="rId694" Type="http://schemas.openxmlformats.org/officeDocument/2006/relationships/hyperlink" Target="http://www.imdb.com/title/tt3672840/?ref_=fn_tt_tt_1" TargetMode="External"/><Relationship Id="rId693" Type="http://schemas.openxmlformats.org/officeDocument/2006/relationships/hyperlink" Target="http://www.imdb.com/title/tt0109444/?ref_=fn_tt_tt_1" TargetMode="External"/><Relationship Id="rId692" Type="http://schemas.openxmlformats.org/officeDocument/2006/relationships/hyperlink" Target="http://www.imdb.com/title/tt0111756/?ref_=fn_tt_tt_1" TargetMode="External"/><Relationship Id="rId691" Type="http://schemas.openxmlformats.org/officeDocument/2006/relationships/hyperlink" Target="http://www.imdb.com/title/tt0107290/?ref_=fn_tt_tt_1" TargetMode="External"/><Relationship Id="rId690" Type="http://schemas.openxmlformats.org/officeDocument/2006/relationships/hyperlink" Target="http://www.imdb.com/title/tt0375568/?ref_=fn_tt_tt_1" TargetMode="External"/><Relationship Id="rId69" Type="http://schemas.openxmlformats.org/officeDocument/2006/relationships/hyperlink" Target="http://www.imdb.com/title/tt0892782/?ref_=fn_tt_tt_1" TargetMode="External"/><Relationship Id="rId689" Type="http://schemas.openxmlformats.org/officeDocument/2006/relationships/hyperlink" Target="http://www.imdb.com/title/tt0295178/?ref_=fn_tt_tt_1" TargetMode="External"/><Relationship Id="rId688" Type="http://schemas.openxmlformats.org/officeDocument/2006/relationships/hyperlink" Target="http://www.imdb.com/title/tt0396171/?ref_=fn_tt_tt_1" TargetMode="External"/><Relationship Id="rId687" Type="http://schemas.openxmlformats.org/officeDocument/2006/relationships/hyperlink" Target="http://www.imdb.com/title/tt2719848/?ref_=fn_tt_tt_1" TargetMode="External"/><Relationship Id="rId686" Type="http://schemas.openxmlformats.org/officeDocument/2006/relationships/hyperlink" Target="http://www.imdb.com/title/tt0156934/?ref_=fn_tt_tt_1" TargetMode="External"/><Relationship Id="rId685" Type="http://schemas.openxmlformats.org/officeDocument/2006/relationships/hyperlink" Target="http://www.imdb.com/title/tt0458481/?ref_=fn_tt_tt_1" TargetMode="External"/><Relationship Id="rId684" Type="http://schemas.openxmlformats.org/officeDocument/2006/relationships/hyperlink" Target="http://www.imdb.com/title/tt0357277/?ref_=fn_tt_tt_1" TargetMode="External"/><Relationship Id="rId683" Type="http://schemas.openxmlformats.org/officeDocument/2006/relationships/hyperlink" Target="http://www.imdb.com/title/tt0380599/?ref_=fn_tt_tt_1" TargetMode="External"/><Relationship Id="rId682" Type="http://schemas.openxmlformats.org/officeDocument/2006/relationships/hyperlink" Target="http://www.imdb.com/title/tt1418377/?ref_=fn_tt_tt_1" TargetMode="External"/><Relationship Id="rId681" Type="http://schemas.openxmlformats.org/officeDocument/2006/relationships/hyperlink" Target="http://www.imdb.com/title/tt0219952/?ref_=fn_tt_tt_1" TargetMode="External"/><Relationship Id="rId680" Type="http://schemas.openxmlformats.org/officeDocument/2006/relationships/hyperlink" Target="http://www.imdb.com/title/tt0102070/?ref_=fn_tt_tt_1" TargetMode="External"/><Relationship Id="rId68" Type="http://schemas.openxmlformats.org/officeDocument/2006/relationships/hyperlink" Target="http://www.imdb.com/title/tt1049413/?ref_=fn_tt_tt_1" TargetMode="External"/><Relationship Id="rId679" Type="http://schemas.openxmlformats.org/officeDocument/2006/relationships/hyperlink" Target="http://www.imdb.com/title/tt3877200/?ref_=fn_tt_tt_1" TargetMode="External"/><Relationship Id="rId678" Type="http://schemas.openxmlformats.org/officeDocument/2006/relationships/hyperlink" Target="http://www.imdb.com/title/tt0758794/?ref_=fn_tt_tt_1" TargetMode="External"/><Relationship Id="rId677" Type="http://schemas.openxmlformats.org/officeDocument/2006/relationships/hyperlink" Target="http://www.imdb.com/title/tt0137523/?ref_=fn_tt_tt_1" TargetMode="External"/><Relationship Id="rId676" Type="http://schemas.openxmlformats.org/officeDocument/2006/relationships/hyperlink" Target="http://www.imdb.com/title/tt0406375/?ref_=fn_tt_tt_1" TargetMode="External"/><Relationship Id="rId675" Type="http://schemas.openxmlformats.org/officeDocument/2006/relationships/hyperlink" Target="http://www.imdb.com/title/tt0228750/?ref_=fn_tt_tt_1" TargetMode="External"/><Relationship Id="rId674" Type="http://schemas.openxmlformats.org/officeDocument/2006/relationships/hyperlink" Target="http://www.imdb.com/title/tt0116908/?ref_=fn_tt_tt_1" TargetMode="External"/><Relationship Id="rId673" Type="http://schemas.openxmlformats.org/officeDocument/2006/relationships/hyperlink" Target="http://www.imdb.com/title/tt0452608/?ref_=fn_tt_tt_1" TargetMode="External"/><Relationship Id="rId672" Type="http://schemas.openxmlformats.org/officeDocument/2006/relationships/hyperlink" Target="http://www.imdb.com/title/tt1855325/?ref_=fn_tt_tt_1" TargetMode="External"/><Relationship Id="rId671" Type="http://schemas.openxmlformats.org/officeDocument/2006/relationships/hyperlink" Target="http://www.imdb.com/title/tt0119942/?ref_=fn_tt_tt_1" TargetMode="External"/><Relationship Id="rId670" Type="http://schemas.openxmlformats.org/officeDocument/2006/relationships/hyperlink" Target="http://www.imdb.com/title/tt0087985/?ref_=fn_tt_tt_1" TargetMode="External"/><Relationship Id="rId67" Type="http://schemas.openxmlformats.org/officeDocument/2006/relationships/hyperlink" Target="http://www.imdb.com/title/tt0468569/?ref_=fn_tt_tt_1" TargetMode="External"/><Relationship Id="rId669" Type="http://schemas.openxmlformats.org/officeDocument/2006/relationships/hyperlink" Target="http://www.imdb.com/title/tt0359013/?ref_=fn_tt_tt_1" TargetMode="External"/><Relationship Id="rId668" Type="http://schemas.openxmlformats.org/officeDocument/2006/relationships/hyperlink" Target="http://www.imdb.com/title/tt1596350/?ref_=fn_tt_tt_1" TargetMode="External"/><Relationship Id="rId667" Type="http://schemas.openxmlformats.org/officeDocument/2006/relationships/hyperlink" Target="http://www.imdb.com/title/tt2381941/?ref_=fn_tt_tt_1" TargetMode="External"/><Relationship Id="rId666" Type="http://schemas.openxmlformats.org/officeDocument/2006/relationships/hyperlink" Target="http://www.imdb.com/title/tt1823664/?ref_=fn_tt_tt_1" TargetMode="External"/><Relationship Id="rId665" Type="http://schemas.openxmlformats.org/officeDocument/2006/relationships/hyperlink" Target="http://www.imdb.com/title/tt0120663/?ref_=fn_tt_tt_1" TargetMode="External"/><Relationship Id="rId664" Type="http://schemas.openxmlformats.org/officeDocument/2006/relationships/hyperlink" Target="http://www.imdb.com/title/tt1645170/?ref_=fn_tt_tt_1" TargetMode="External"/><Relationship Id="rId663" Type="http://schemas.openxmlformats.org/officeDocument/2006/relationships/hyperlink" Target="http://www.imdb.com/title/tt0304415/?ref_=fn_tt_tt_1" TargetMode="External"/><Relationship Id="rId662" Type="http://schemas.openxmlformats.org/officeDocument/2006/relationships/hyperlink" Target="http://www.imdb.com/title/tt0469641/?ref_=fn_tt_tt_1" TargetMode="External"/><Relationship Id="rId661" Type="http://schemas.openxmlformats.org/officeDocument/2006/relationships/hyperlink" Target="http://www.imdb.com/title/tt0219854/?ref_=fn_tt_tt_1" TargetMode="External"/><Relationship Id="rId660" Type="http://schemas.openxmlformats.org/officeDocument/2006/relationships/hyperlink" Target="http://www.imdb.com/title/tt0115759/?ref_=fn_tt_tt_1" TargetMode="External"/><Relationship Id="rId66" Type="http://schemas.openxmlformats.org/officeDocument/2006/relationships/hyperlink" Target="http://www.imdb.com/title/tt3385516/?ref_=fn_tt_tt_1" TargetMode="External"/><Relationship Id="rId659" Type="http://schemas.openxmlformats.org/officeDocument/2006/relationships/hyperlink" Target="http://www.imdb.com/title/tt0106582/?ref_=fn_tt_tt_1" TargetMode="External"/><Relationship Id="rId658" Type="http://schemas.openxmlformats.org/officeDocument/2006/relationships/hyperlink" Target="http://www.imdb.com/title/tt0186566/?ref_=fn_tt_tt_1" TargetMode="External"/><Relationship Id="rId657" Type="http://schemas.openxmlformats.org/officeDocument/2006/relationships/hyperlink" Target="http://www.imdb.com/title/tt1809398/?ref_=fn_tt_tt_1" TargetMode="External"/><Relationship Id="rId656" Type="http://schemas.openxmlformats.org/officeDocument/2006/relationships/hyperlink" Target="http://www.imdb.com/title/tt1231583/?ref_=fn_tt_tt_1" TargetMode="External"/><Relationship Id="rId655" Type="http://schemas.openxmlformats.org/officeDocument/2006/relationships/hyperlink" Target="http://www.imdb.com/title/tt0120746/?ref_=fn_tt_tt_1" TargetMode="External"/><Relationship Id="rId654" Type="http://schemas.openxmlformats.org/officeDocument/2006/relationships/hyperlink" Target="http://www.imdb.com/title/tt0838283/?ref_=fn_tt_tt_1" TargetMode="External"/><Relationship Id="rId653" Type="http://schemas.openxmlformats.org/officeDocument/2006/relationships/hyperlink" Target="http://www.imdb.com/title/tt0128853/?ref_=fn_tt_tt_1" TargetMode="External"/><Relationship Id="rId652" Type="http://schemas.openxmlformats.org/officeDocument/2006/relationships/hyperlink" Target="http://www.imdb.com/title/tt1707386/?ref_=fn_tt_tt_1" TargetMode="External"/><Relationship Id="rId651" Type="http://schemas.openxmlformats.org/officeDocument/2006/relationships/hyperlink" Target="http://www.imdb.com/title/tt0304669/?ref_=fn_tt_tt_1" TargetMode="External"/><Relationship Id="rId650" Type="http://schemas.openxmlformats.org/officeDocument/2006/relationships/hyperlink" Target="http://www.imdb.com/title/tt0112384/?ref_=fn_tt_tt_1" TargetMode="External"/><Relationship Id="rId65" Type="http://schemas.openxmlformats.org/officeDocument/2006/relationships/hyperlink" Target="http://www.imdb.com/title/tt0363771/?ref_=fn_tt_tt_1" TargetMode="External"/><Relationship Id="rId649" Type="http://schemas.openxmlformats.org/officeDocument/2006/relationships/hyperlink" Target="http://www.imdb.com/title/tt0133093/?ref_=fn_tt_tt_1" TargetMode="External"/><Relationship Id="rId648" Type="http://schemas.openxmlformats.org/officeDocument/2006/relationships/hyperlink" Target="http://www.imdb.com/title/tt0443272/?ref_=fn_tt_tt_1" TargetMode="External"/><Relationship Id="rId647" Type="http://schemas.openxmlformats.org/officeDocument/2006/relationships/hyperlink" Target="http://www.imdb.com/title/tt0285531/?ref_=fn_tt_tt_1" TargetMode="External"/><Relationship Id="rId646" Type="http://schemas.openxmlformats.org/officeDocument/2006/relationships/hyperlink" Target="http://www.imdb.com/title/tt0268380/?ref_=fn_tt_tt_1" TargetMode="External"/><Relationship Id="rId645" Type="http://schemas.openxmlformats.org/officeDocument/2006/relationships/hyperlink" Target="http://www.imdb.com/title/tt0207201/?ref_=fn_tt_tt_1" TargetMode="External"/><Relationship Id="rId644" Type="http://schemas.openxmlformats.org/officeDocument/2006/relationships/hyperlink" Target="http://www.imdb.com/title/tt2369135/?ref_=fn_tt_tt_1" TargetMode="External"/><Relationship Id="rId643" Type="http://schemas.openxmlformats.org/officeDocument/2006/relationships/hyperlink" Target="http://www.imdb.com/title/tt0120815/?ref_=fn_tt_tt_1" TargetMode="External"/><Relationship Id="rId642" Type="http://schemas.openxmlformats.org/officeDocument/2006/relationships/hyperlink" Target="http://www.imdb.com/title/tt0462396/?ref_=fn_tt_tt_1" TargetMode="External"/><Relationship Id="rId641" Type="http://schemas.openxmlformats.org/officeDocument/2006/relationships/hyperlink" Target="http://www.imdb.com/title/tt0120902/?ref_=fn_tt_tt_1" TargetMode="External"/><Relationship Id="rId640" Type="http://schemas.openxmlformats.org/officeDocument/2006/relationships/hyperlink" Target="http://www.imdb.com/title/tt1828327/?ref_=fn_tt_tt_1" TargetMode="External"/><Relationship Id="rId64" Type="http://schemas.openxmlformats.org/officeDocument/2006/relationships/hyperlink" Target="http://www.imdb.com/title/tt0918940/?ref_=fn_tt_tt_1" TargetMode="External"/><Relationship Id="rId639" Type="http://schemas.openxmlformats.org/officeDocument/2006/relationships/hyperlink" Target="http://www.imdb.com/title/tt0137494/?ref_=fn_tt_tt_1" TargetMode="External"/><Relationship Id="rId638" Type="http://schemas.openxmlformats.org/officeDocument/2006/relationships/hyperlink" Target="http://www.imdb.com/title/tt1611224/?ref_=fn_tt_tt_1" TargetMode="External"/><Relationship Id="rId637" Type="http://schemas.openxmlformats.org/officeDocument/2006/relationships/hyperlink" Target="http://www.imdb.com/title/tt0427152/?ref_=fn_tt_tt_1" TargetMode="External"/><Relationship Id="rId636" Type="http://schemas.openxmlformats.org/officeDocument/2006/relationships/hyperlink" Target="http://www.imdb.com/title/tt0758774/?ref_=fn_tt_tt_1" TargetMode="External"/><Relationship Id="rId635" Type="http://schemas.openxmlformats.org/officeDocument/2006/relationships/hyperlink" Target="http://www.imdb.com/title/tt2025690/?ref_=fn_tt_tt_1" TargetMode="External"/><Relationship Id="rId634" Type="http://schemas.openxmlformats.org/officeDocument/2006/relationships/hyperlink" Target="http://www.imdb.com/title/tt0140352/?ref_=fn_tt_tt_1" TargetMode="External"/><Relationship Id="rId633" Type="http://schemas.openxmlformats.org/officeDocument/2006/relationships/hyperlink" Target="http://www.imdb.com/title/tt0480687/?ref_=fn_tt_tt_1" TargetMode="External"/><Relationship Id="rId632" Type="http://schemas.openxmlformats.org/officeDocument/2006/relationships/hyperlink" Target="http://www.imdb.com/title/tt0132347/?ref_=fn_tt_tt_1" TargetMode="External"/><Relationship Id="rId631" Type="http://schemas.openxmlformats.org/officeDocument/2006/relationships/hyperlink" Target="http://www.imdb.com/title/tt1186830/?ref_=fn_tt_tt_1" TargetMode="External"/><Relationship Id="rId630" Type="http://schemas.openxmlformats.org/officeDocument/2006/relationships/hyperlink" Target="http://www.imdb.com/title/tt2637276/?ref_=fn_tt_tt_1" TargetMode="External"/><Relationship Id="rId63" Type="http://schemas.openxmlformats.org/officeDocument/2006/relationships/hyperlink" Target="http://www.imdb.com/title/tt1617661/?ref_=fn_tt_tt_1" TargetMode="External"/><Relationship Id="rId629" Type="http://schemas.openxmlformats.org/officeDocument/2006/relationships/hyperlink" Target="http://www.imdb.com/title/tt0113845/?ref_=fn_tt_tt_1" TargetMode="External"/><Relationship Id="rId628" Type="http://schemas.openxmlformats.org/officeDocument/2006/relationships/hyperlink" Target="http://www.imdb.com/title/tt1323594/?ref_=fn_tt_tt_1" TargetMode="External"/><Relationship Id="rId627" Type="http://schemas.openxmlformats.org/officeDocument/2006/relationships/hyperlink" Target="http://www.imdb.com/title/tt0227445/?ref_=fn_tt_tt_1" TargetMode="External"/><Relationship Id="rId626" Type="http://schemas.openxmlformats.org/officeDocument/2006/relationships/hyperlink" Target="http://www.imdb.com/title/tt1325004/?ref_=fn_tt_tt_1" TargetMode="External"/><Relationship Id="rId625" Type="http://schemas.openxmlformats.org/officeDocument/2006/relationships/hyperlink" Target="http://www.imdb.com/title/tt0164184/?ref_=fn_tt_tt_1" TargetMode="External"/><Relationship Id="rId624" Type="http://schemas.openxmlformats.org/officeDocument/2006/relationships/hyperlink" Target="http://www.imdb.com/title/tt1043726/?ref_=fn_tt_tt_1" TargetMode="External"/><Relationship Id="rId623" Type="http://schemas.openxmlformats.org/officeDocument/2006/relationships/hyperlink" Target="http://www.imdb.com/title/tt1211956/?ref_=fn_tt_tt_1" TargetMode="External"/><Relationship Id="rId622" Type="http://schemas.openxmlformats.org/officeDocument/2006/relationships/hyperlink" Target="http://www.imdb.com/title/tt0430912/?ref_=fn_tt_tt_1" TargetMode="External"/><Relationship Id="rId621" Type="http://schemas.openxmlformats.org/officeDocument/2006/relationships/hyperlink" Target="http://www.imdb.com/title/tt0346156/?ref_=fn_tt_tt_1" TargetMode="External"/><Relationship Id="rId620" Type="http://schemas.openxmlformats.org/officeDocument/2006/relationships/hyperlink" Target="http://www.imdb.com/title/tt2717822/?ref_=fn_tt_tt_1" TargetMode="External"/><Relationship Id="rId62" Type="http://schemas.openxmlformats.org/officeDocument/2006/relationships/hyperlink" Target="http://www.imdb.com/title/tt1067106/?ref_=fn_tt_tt_1" TargetMode="External"/><Relationship Id="rId619" Type="http://schemas.openxmlformats.org/officeDocument/2006/relationships/hyperlink" Target="http://www.imdb.com/title/tt0884726/?ref_=fn_tt_tt_1" TargetMode="External"/><Relationship Id="rId618" Type="http://schemas.openxmlformats.org/officeDocument/2006/relationships/hyperlink" Target="http://www.imdb.com/title/tt0181739/?ref_=fn_tt_tt_1" TargetMode="External"/><Relationship Id="rId617" Type="http://schemas.openxmlformats.org/officeDocument/2006/relationships/hyperlink" Target="http://www.imdb.com/title/tt0120696/?ref_=fn_tt_tt_1" TargetMode="External"/><Relationship Id="rId616" Type="http://schemas.openxmlformats.org/officeDocument/2006/relationships/hyperlink" Target="http://www.imdb.com/title/tt0308208/?ref_=fn_tt_tt_1" TargetMode="External"/><Relationship Id="rId615" Type="http://schemas.openxmlformats.org/officeDocument/2006/relationships/hyperlink" Target="http://www.imdb.com/title/tt0246894/?ref_=fn_tt_tt_1" TargetMode="External"/><Relationship Id="rId614" Type="http://schemas.openxmlformats.org/officeDocument/2006/relationships/hyperlink" Target="http://www.imdb.com/title/tt1448755/?ref_=fn_tt_tt_1" TargetMode="External"/><Relationship Id="rId613" Type="http://schemas.openxmlformats.org/officeDocument/2006/relationships/hyperlink" Target="http://www.imdb.com/title/tt0251114/?ref_=fn_tt_tt_1" TargetMode="External"/><Relationship Id="rId612" Type="http://schemas.openxmlformats.org/officeDocument/2006/relationships/hyperlink" Target="http://www.imdb.com/title/tt1336608/?ref_=fn_tt_tt_1" TargetMode="External"/><Relationship Id="rId611" Type="http://schemas.openxmlformats.org/officeDocument/2006/relationships/hyperlink" Target="http://www.imdb.com/title/tt1496025/?ref_=fn_tt_tt_1" TargetMode="External"/><Relationship Id="rId610" Type="http://schemas.openxmlformats.org/officeDocument/2006/relationships/hyperlink" Target="http://www.imdb.com/title/tt0297181/?ref_=fn_tt_tt_1" TargetMode="External"/><Relationship Id="rId61" Type="http://schemas.openxmlformats.org/officeDocument/2006/relationships/hyperlink" Target="http://www.imdb.com/title/tt1190080/?ref_=fn_tt_tt_1" TargetMode="External"/><Relationship Id="rId609" Type="http://schemas.openxmlformats.org/officeDocument/2006/relationships/hyperlink" Target="http://www.imdb.com/title/tt0419706/?ref_=fn_tt_tt_1" TargetMode="External"/><Relationship Id="rId608" Type="http://schemas.openxmlformats.org/officeDocument/2006/relationships/hyperlink" Target="http://www.imdb.com/title/tt0280486/?ref_=fn_tt_tt_1" TargetMode="External"/><Relationship Id="rId607" Type="http://schemas.openxmlformats.org/officeDocument/2006/relationships/hyperlink" Target="http://www.imdb.com/title/tt1578275/?ref_=fn_tt_tt_1" TargetMode="External"/><Relationship Id="rId606" Type="http://schemas.openxmlformats.org/officeDocument/2006/relationships/hyperlink" Target="http://www.imdb.com/title/tt0120102/?ref_=fn_tt_tt_1" TargetMode="External"/><Relationship Id="rId605" Type="http://schemas.openxmlformats.org/officeDocument/2006/relationships/hyperlink" Target="http://www.imdb.com/title/tt0486655/?ref_=fn_tt_tt_1" TargetMode="External"/><Relationship Id="rId604" Type="http://schemas.openxmlformats.org/officeDocument/2006/relationships/hyperlink" Target="http://www.imdb.com/title/tt0133952/?ref_=fn_tt_tt_1" TargetMode="External"/><Relationship Id="rId603" Type="http://schemas.openxmlformats.org/officeDocument/2006/relationships/hyperlink" Target="http://www.imdb.com/title/tt0829150/?ref_=fn_tt_tt_1" TargetMode="External"/><Relationship Id="rId602" Type="http://schemas.openxmlformats.org/officeDocument/2006/relationships/hyperlink" Target="http://www.imdb.com/title/tt1027718/?ref_=fn_tt_tt_1" TargetMode="External"/><Relationship Id="rId601" Type="http://schemas.openxmlformats.org/officeDocument/2006/relationships/hyperlink" Target="http://www.imdb.com/title/tt0096754/?ref_=fn_tt_tt_1" TargetMode="External"/><Relationship Id="rId600" Type="http://schemas.openxmlformats.org/officeDocument/2006/relationships/hyperlink" Target="http://www.imdb.com/title/tt2177771/?ref_=fn_tt_tt_1" TargetMode="External"/><Relationship Id="rId60" Type="http://schemas.openxmlformats.org/officeDocument/2006/relationships/hyperlink" Target="http://www.imdb.com/title/tt0293564/?ref_=fn_tt_tt_1" TargetMode="External"/><Relationship Id="rId6" Type="http://schemas.openxmlformats.org/officeDocument/2006/relationships/hyperlink" Target="http://www.imdb.com/title/tt0401729/?ref_=fn_tt_tt_1" TargetMode="External"/><Relationship Id="rId599" Type="http://schemas.openxmlformats.org/officeDocument/2006/relationships/hyperlink" Target="http://www.imdb.com/title/tt1568911/?ref_=fn_tt_tt_1" TargetMode="External"/><Relationship Id="rId598" Type="http://schemas.openxmlformats.org/officeDocument/2006/relationships/hyperlink" Target="http://www.imdb.com/title/tt0111742/?ref_=fn_tt_tt_1" TargetMode="External"/><Relationship Id="rId597" Type="http://schemas.openxmlformats.org/officeDocument/2006/relationships/hyperlink" Target="http://www.imdb.com/title/tt0319061/?ref_=fn_tt_tt_1" TargetMode="External"/><Relationship Id="rId596" Type="http://schemas.openxmlformats.org/officeDocument/2006/relationships/hyperlink" Target="http://www.imdb.com/title/tt1217613/?ref_=fn_tt_tt_1" TargetMode="External"/><Relationship Id="rId595" Type="http://schemas.openxmlformats.org/officeDocument/2006/relationships/hyperlink" Target="http://www.imdb.com/title/tt0120844/?ref_=fn_tt_tt_1" TargetMode="External"/><Relationship Id="rId594" Type="http://schemas.openxmlformats.org/officeDocument/2006/relationships/hyperlink" Target="http://www.imdb.com/title/tt2302755/?ref_=fn_tt_tt_1" TargetMode="External"/><Relationship Id="rId593" Type="http://schemas.openxmlformats.org/officeDocument/2006/relationships/hyperlink" Target="http://www.imdb.com/title/tt0277434/?ref_=fn_tt_tt_1" TargetMode="External"/><Relationship Id="rId592" Type="http://schemas.openxmlformats.org/officeDocument/2006/relationships/hyperlink" Target="http://www.imdb.com/title/tt1231580/?ref_=fn_tt_tt_1" TargetMode="External"/><Relationship Id="rId591" Type="http://schemas.openxmlformats.org/officeDocument/2006/relationships/hyperlink" Target="http://www.imdb.com/title/tt0370263/?ref_=fn_tt_tt_1" TargetMode="External"/><Relationship Id="rId590" Type="http://schemas.openxmlformats.org/officeDocument/2006/relationships/hyperlink" Target="http://www.imdb.com/title/tt0452637/?ref_=fn_tt_tt_1" TargetMode="External"/><Relationship Id="rId59" Type="http://schemas.openxmlformats.org/officeDocument/2006/relationships/hyperlink" Target="http://www.imdb.com/title/tt0910970/?ref_=fn_tt_tt_1" TargetMode="External"/><Relationship Id="rId589" Type="http://schemas.openxmlformats.org/officeDocument/2006/relationships/hyperlink" Target="http://www.imdb.com/title/tt0259711/?ref_=fn_tt_tt_1" TargetMode="External"/><Relationship Id="rId588" Type="http://schemas.openxmlformats.org/officeDocument/2006/relationships/hyperlink" Target="http://www.imdb.com/title/tt2647544/?ref_=fn_tt_tt_1" TargetMode="External"/><Relationship Id="rId587" Type="http://schemas.openxmlformats.org/officeDocument/2006/relationships/hyperlink" Target="http://www.imdb.com/title/tt0257076/?ref_=fn_tt_tt_1" TargetMode="External"/><Relationship Id="rId586" Type="http://schemas.openxmlformats.org/officeDocument/2006/relationships/hyperlink" Target="http://www.imdb.com/title/tt0099423/?ref_=fn_tt_tt_1" TargetMode="External"/><Relationship Id="rId585" Type="http://schemas.openxmlformats.org/officeDocument/2006/relationships/hyperlink" Target="http://www.imdb.com/title/tt0102057/?ref_=fn_tt_tt_1" TargetMode="External"/><Relationship Id="rId584" Type="http://schemas.openxmlformats.org/officeDocument/2006/relationships/hyperlink" Target="http://www.imdb.com/title/tt0361748/?ref_=fn_tt_tt_1" TargetMode="External"/><Relationship Id="rId583" Type="http://schemas.openxmlformats.org/officeDocument/2006/relationships/hyperlink" Target="http://www.imdb.com/title/tt0117438/?ref_=fn_tt_tt_1" TargetMode="External"/><Relationship Id="rId582" Type="http://schemas.openxmlformats.org/officeDocument/2006/relationships/hyperlink" Target="http://www.imdb.com/title/tt2279373/?ref_=fn_tt_tt_1" TargetMode="External"/><Relationship Id="rId581" Type="http://schemas.openxmlformats.org/officeDocument/2006/relationships/hyperlink" Target="http://www.imdb.com/title/tt0295701/?ref_=fn_tt_tt_1" TargetMode="External"/><Relationship Id="rId580" Type="http://schemas.openxmlformats.org/officeDocument/2006/relationships/hyperlink" Target="http://www.imdb.com/title/tt0163187/?ref_=fn_tt_tt_1" TargetMode="External"/><Relationship Id="rId58" Type="http://schemas.openxmlformats.org/officeDocument/2006/relationships/hyperlink" Target="http://www.imdb.com/title/tt2660888/?ref_=fn_tt_tt_1" TargetMode="External"/><Relationship Id="rId579" Type="http://schemas.openxmlformats.org/officeDocument/2006/relationships/hyperlink" Target="http://www.imdb.com/title/tt0317219/?ref_=fn_tt_tt_1" TargetMode="External"/><Relationship Id="rId578" Type="http://schemas.openxmlformats.org/officeDocument/2006/relationships/hyperlink" Target="http://www.imdb.com/title/tt0298148/?ref_=fn_tt_tt_1" TargetMode="External"/><Relationship Id="rId577" Type="http://schemas.openxmlformats.org/officeDocument/2006/relationships/hyperlink" Target="http://www.imdb.com/title/tt0286106/?ref_=fn_tt_tt_1" TargetMode="External"/><Relationship Id="rId576" Type="http://schemas.openxmlformats.org/officeDocument/2006/relationships/hyperlink" Target="http://www.imdb.com/title/tt0118998/?ref_=fn_tt_tt_1" TargetMode="External"/><Relationship Id="rId575" Type="http://schemas.openxmlformats.org/officeDocument/2006/relationships/hyperlink" Target="http://www.imdb.com/title/tt0368447/?ref_=fn_tt_tt_1" TargetMode="External"/><Relationship Id="rId574" Type="http://schemas.openxmlformats.org/officeDocument/2006/relationships/hyperlink" Target="http://www.imdb.com/title/tt0338512/?ref_=fn_tt_tt_1" TargetMode="External"/><Relationship Id="rId573" Type="http://schemas.openxmlformats.org/officeDocument/2006/relationships/hyperlink" Target="http://www.imdb.com/title/tt0132245/?ref_=fn_tt_tt_1" TargetMode="External"/><Relationship Id="rId572" Type="http://schemas.openxmlformats.org/officeDocument/2006/relationships/hyperlink" Target="http://www.imdb.com/title/tt0268995/?ref_=fn_tt_tt_1" TargetMode="External"/><Relationship Id="rId571" Type="http://schemas.openxmlformats.org/officeDocument/2006/relationships/hyperlink" Target="http://www.imdb.com/title/tt0462538/?ref_=fn_tt_tt_1" TargetMode="External"/><Relationship Id="rId570" Type="http://schemas.openxmlformats.org/officeDocument/2006/relationships/hyperlink" Target="http://www.imdb.com/title/tt0418763/?ref_=fn_tt_tt_1" TargetMode="External"/><Relationship Id="rId57" Type="http://schemas.openxmlformats.org/officeDocument/2006/relationships/hyperlink" Target="http://www.imdb.com/title/tt1217209/?ref_=fn_tt_tt_1" TargetMode="External"/><Relationship Id="rId569" Type="http://schemas.openxmlformats.org/officeDocument/2006/relationships/hyperlink" Target="http://www.imdb.com/title/tt0112573/?ref_=fn_tt_tt_1" TargetMode="External"/><Relationship Id="rId568" Type="http://schemas.openxmlformats.org/officeDocument/2006/relationships/hyperlink" Target="http://www.imdb.com/title/tt0240462/?ref_=fn_tt_tt_1" TargetMode="External"/><Relationship Id="rId567" Type="http://schemas.openxmlformats.org/officeDocument/2006/relationships/hyperlink" Target="http://www.imdb.com/title/tt0415306/?ref_=fn_tt_tt_1" TargetMode="External"/><Relationship Id="rId566" Type="http://schemas.openxmlformats.org/officeDocument/2006/relationships/hyperlink" Target="http://www.imdb.com/title/tt0431197/?ref_=fn_tt_tt_1" TargetMode="External"/><Relationship Id="rId565" Type="http://schemas.openxmlformats.org/officeDocument/2006/relationships/hyperlink" Target="http://www.imdb.com/title/tt1201167/?ref_=fn_tt_tt_1" TargetMode="External"/><Relationship Id="rId564" Type="http://schemas.openxmlformats.org/officeDocument/2006/relationships/hyperlink" Target="http://www.imdb.com/title/tt0770752/?ref_=fn_tt_tt_1" TargetMode="External"/><Relationship Id="rId563" Type="http://schemas.openxmlformats.org/officeDocument/2006/relationships/hyperlink" Target="http://www.imdb.com/title/tt1985949/?ref_=fn_tt_tt_1" TargetMode="External"/><Relationship Id="rId562" Type="http://schemas.openxmlformats.org/officeDocument/2006/relationships/hyperlink" Target="http://www.imdb.com/title/tt0120184/?ref_=fn_tt_tt_1" TargetMode="External"/><Relationship Id="rId561" Type="http://schemas.openxmlformats.org/officeDocument/2006/relationships/hyperlink" Target="http://www.imdb.com/title/tt0120832/?ref_=fn_tt_tt_1" TargetMode="External"/><Relationship Id="rId560" Type="http://schemas.openxmlformats.org/officeDocument/2006/relationships/hyperlink" Target="http://www.imdb.com/title/tt0978764/?ref_=fn_tt_tt_1" TargetMode="External"/><Relationship Id="rId56" Type="http://schemas.openxmlformats.org/officeDocument/2006/relationships/hyperlink" Target="http://www.imdb.com/title/tt1979388/?ref_=fn_tt_tt_1" TargetMode="External"/><Relationship Id="rId559" Type="http://schemas.openxmlformats.org/officeDocument/2006/relationships/hyperlink" Target="http://www.imdb.com/title/tt2293640/?ref_=fn_tt_tt_1" TargetMode="External"/><Relationship Id="rId558" Type="http://schemas.openxmlformats.org/officeDocument/2006/relationships/hyperlink" Target="http://www.imdb.com/title/tt0217869/?ref_=fn_tt_tt_1" TargetMode="External"/><Relationship Id="rId557" Type="http://schemas.openxmlformats.org/officeDocument/2006/relationships/hyperlink" Target="http://www.imdb.com/title/tt0377062/?ref_=fn_tt_tt_1" TargetMode="External"/><Relationship Id="rId556" Type="http://schemas.openxmlformats.org/officeDocument/2006/relationships/hyperlink" Target="http://www.imdb.com/title/tt0166276/?ref_=fn_tt_tt_1" TargetMode="External"/><Relationship Id="rId555" Type="http://schemas.openxmlformats.org/officeDocument/2006/relationships/hyperlink" Target="http://www.imdb.com/title/tt0806203/?ref_=fn_tt_tt_1" TargetMode="External"/><Relationship Id="rId554" Type="http://schemas.openxmlformats.org/officeDocument/2006/relationships/hyperlink" Target="http://www.imdb.com/title/tt0120157/?ref_=fn_tt_tt_1" TargetMode="External"/><Relationship Id="rId553" Type="http://schemas.openxmlformats.org/officeDocument/2006/relationships/hyperlink" Target="http://www.imdb.com/title/tt0329717/?ref_=fn_tt_tt_1" TargetMode="External"/><Relationship Id="rId552" Type="http://schemas.openxmlformats.org/officeDocument/2006/relationships/hyperlink" Target="http://www.imdb.com/title/tt0120913/?ref_=fn_tt_tt_1" TargetMode="External"/><Relationship Id="rId551" Type="http://schemas.openxmlformats.org/officeDocument/2006/relationships/hyperlink" Target="http://www.imdb.com/title/tt0340163/?ref_=fn_tt_tt_1" TargetMode="External"/><Relationship Id="rId550" Type="http://schemas.openxmlformats.org/officeDocument/2006/relationships/hyperlink" Target="http://www.imdb.com/title/tt1253864/?ref_=fn_tt_tt_1" TargetMode="External"/><Relationship Id="rId55" Type="http://schemas.openxmlformats.org/officeDocument/2006/relationships/hyperlink" Target="http://www.imdb.com/title/tt0367882/?ref_=fn_tt_tt_1" TargetMode="External"/><Relationship Id="rId549" Type="http://schemas.openxmlformats.org/officeDocument/2006/relationships/hyperlink" Target="http://www.imdb.com/title/tt0166485/?ref_=fn_tt_tt_1" TargetMode="External"/><Relationship Id="rId548" Type="http://schemas.openxmlformats.org/officeDocument/2006/relationships/hyperlink" Target="http://www.imdb.com/title/tt0113071/?ref_=fn_tt_tt_1" TargetMode="External"/><Relationship Id="rId547" Type="http://schemas.openxmlformats.org/officeDocument/2006/relationships/hyperlink" Target="http://www.imdb.com/title/tt0219965/?ref_=fn_tt_tt_1" TargetMode="External"/><Relationship Id="rId546" Type="http://schemas.openxmlformats.org/officeDocument/2006/relationships/hyperlink" Target="http://www.imdb.com/title/tt0385880/?ref_=fn_tt_tt_1" TargetMode="External"/><Relationship Id="rId545" Type="http://schemas.openxmlformats.org/officeDocument/2006/relationships/hyperlink" Target="http://www.imdb.com/title/tt0371246/?ref_=fn_tt_tt_1" TargetMode="External"/><Relationship Id="rId544" Type="http://schemas.openxmlformats.org/officeDocument/2006/relationships/hyperlink" Target="http://www.imdb.com/title/tt1638355/?ref_=fn_tt_tt_1" TargetMode="External"/><Relationship Id="rId543" Type="http://schemas.openxmlformats.org/officeDocument/2006/relationships/hyperlink" Target="http://www.imdb.com/title/tt1103153/?ref_=fn_tt_tt_1" TargetMode="External"/><Relationship Id="rId542" Type="http://schemas.openxmlformats.org/officeDocument/2006/relationships/hyperlink" Target="http://www.imdb.com/title/tt0314353/?ref_=fn_tt_tt_1" TargetMode="External"/><Relationship Id="rId541" Type="http://schemas.openxmlformats.org/officeDocument/2006/relationships/hyperlink" Target="http://www.imdb.com/title/tt0408306/?ref_=fn_tt_tt_1" TargetMode="External"/><Relationship Id="rId540" Type="http://schemas.openxmlformats.org/officeDocument/2006/relationships/hyperlink" Target="http://www.imdb.com/title/tt0377471/?ref_=fn_tt_tt_1" TargetMode="External"/><Relationship Id="rId54" Type="http://schemas.openxmlformats.org/officeDocument/2006/relationships/hyperlink" Target="http://www.imdb.com/title/tt1399103/?ref_=fn_tt_tt_1" TargetMode="External"/><Relationship Id="rId539" Type="http://schemas.openxmlformats.org/officeDocument/2006/relationships/hyperlink" Target="http://www.imdb.com/title/tt0874936/?ref_=fn_tt_tt_1" TargetMode="External"/><Relationship Id="rId538" Type="http://schemas.openxmlformats.org/officeDocument/2006/relationships/hyperlink" Target="http://www.imdb.com/title/tt0443489/?ref_=fn_tt_tt_1" TargetMode="External"/><Relationship Id="rId537" Type="http://schemas.openxmlformats.org/officeDocument/2006/relationships/hyperlink" Target="http://www.imdb.com/title/tt0307453/?ref_=fn_tt_tt_1" TargetMode="External"/><Relationship Id="rId536" Type="http://schemas.openxmlformats.org/officeDocument/2006/relationships/hyperlink" Target="http://www.imdb.com/title/tt0472062/?ref_=fn_tt_tt_1" TargetMode="External"/><Relationship Id="rId535" Type="http://schemas.openxmlformats.org/officeDocument/2006/relationships/hyperlink" Target="http://www.imdb.com/title/tt0190865/?ref_=fn_tt_tt_1" TargetMode="External"/><Relationship Id="rId534" Type="http://schemas.openxmlformats.org/officeDocument/2006/relationships/hyperlink" Target="http://www.imdb.com/title/tt0785006/?ref_=fn_tt_tt_1" TargetMode="External"/><Relationship Id="rId533" Type="http://schemas.openxmlformats.org/officeDocument/2006/relationships/hyperlink" Target="http://www.imdb.com/title/tt3489184/?ref_=fn_tt_tt_1" TargetMode="External"/><Relationship Id="rId532" Type="http://schemas.openxmlformats.org/officeDocument/2006/relationships/hyperlink" Target="http://www.imdb.com/title/tt0362227/?ref_=fn_tt_tt_1" TargetMode="External"/><Relationship Id="rId531" Type="http://schemas.openxmlformats.org/officeDocument/2006/relationships/hyperlink" Target="http://www.imdb.com/title/tt1375670/?ref_=fn_tt_tt_1" TargetMode="External"/><Relationship Id="rId530" Type="http://schemas.openxmlformats.org/officeDocument/2006/relationships/hyperlink" Target="http://www.imdb.com/title/tt1670345/?ref_=fn_tt_tt_1" TargetMode="External"/><Relationship Id="rId53" Type="http://schemas.openxmlformats.org/officeDocument/2006/relationships/hyperlink" Target="http://www.imdb.com/title/tt1663662/?ref_=fn_tt_tt_1" TargetMode="External"/><Relationship Id="rId529" Type="http://schemas.openxmlformats.org/officeDocument/2006/relationships/hyperlink" Target="http://www.imdb.com/title/tt0141369/?ref_=fn_tt_tt_1" TargetMode="External"/><Relationship Id="rId528" Type="http://schemas.openxmlformats.org/officeDocument/2006/relationships/hyperlink" Target="http://www.imdb.com/title/tt0204313/?ref_=fn_tt_tt_1" TargetMode="External"/><Relationship Id="rId527" Type="http://schemas.openxmlformats.org/officeDocument/2006/relationships/hyperlink" Target="http://www.imdb.com/title/tt0427327/?ref_=fn_tt_tt_1" TargetMode="External"/><Relationship Id="rId526" Type="http://schemas.openxmlformats.org/officeDocument/2006/relationships/hyperlink" Target="http://www.imdb.com/title/tt0343660/?ref_=fn_tt_tt_1" TargetMode="External"/><Relationship Id="rId525" Type="http://schemas.openxmlformats.org/officeDocument/2006/relationships/hyperlink" Target="http://www.imdb.com/title/tt0438097/?ref_=fn_tt_tt_1" TargetMode="External"/><Relationship Id="rId524" Type="http://schemas.openxmlformats.org/officeDocument/2006/relationships/hyperlink" Target="http://www.imdb.com/title/tt0117500/?ref_=fn_tt_tt_1" TargetMode="External"/><Relationship Id="rId523" Type="http://schemas.openxmlformats.org/officeDocument/2006/relationships/hyperlink" Target="http://www.imdb.com/title/tt0493464/?ref_=fn_tt_tt_1" TargetMode="External"/><Relationship Id="rId522" Type="http://schemas.openxmlformats.org/officeDocument/2006/relationships/hyperlink" Target="http://www.imdb.com/title/tt0120903/?ref_=fn_tt_tt_1" TargetMode="External"/><Relationship Id="rId521" Type="http://schemas.openxmlformats.org/officeDocument/2006/relationships/hyperlink" Target="http://www.imdb.com/title/tt0206634/?ref_=fn_tt_tt_1" TargetMode="External"/><Relationship Id="rId520" Type="http://schemas.openxmlformats.org/officeDocument/2006/relationships/hyperlink" Target="http://www.imdb.com/title/tt0351283/?ref_=fn_tt_tt_1" TargetMode="External"/><Relationship Id="rId52" Type="http://schemas.openxmlformats.org/officeDocument/2006/relationships/hyperlink" Target="http://www.imdb.com/title/tt0473075/?ref_=fn_tt_tt_1" TargetMode="External"/><Relationship Id="rId519" Type="http://schemas.openxmlformats.org/officeDocument/2006/relationships/hyperlink" Target="http://www.imdb.com/title/tt0119567/?ref_=fn_tt_tt_1" TargetMode="External"/><Relationship Id="rId518" Type="http://schemas.openxmlformats.org/officeDocument/2006/relationships/hyperlink" Target="http://www.imdb.com/title/tt0116629/?ref_=fn_tt_tt_1" TargetMode="External"/><Relationship Id="rId517" Type="http://schemas.openxmlformats.org/officeDocument/2006/relationships/hyperlink" Target="http://www.imdb.com/title/tt1690953/?ref_=fn_tt_tt_1" TargetMode="External"/><Relationship Id="rId516" Type="http://schemas.openxmlformats.org/officeDocument/2006/relationships/hyperlink" Target="http://www.imdb.com/title/tt0311429/?ref_=fn_tt_tt_1" TargetMode="External"/><Relationship Id="rId515" Type="http://schemas.openxmlformats.org/officeDocument/2006/relationships/hyperlink" Target="http://www.imdb.com/title/tt2709768/?ref_=fn_tt_tt_1" TargetMode="External"/><Relationship Id="rId514" Type="http://schemas.openxmlformats.org/officeDocument/2006/relationships/hyperlink" Target="http://www.imdb.com/title/tt0131704/?ref_=fn_tt_tt_1" TargetMode="External"/><Relationship Id="rId513" Type="http://schemas.openxmlformats.org/officeDocument/2006/relationships/hyperlink" Target="http://www.imdb.com/title/tt0427392/?ref_=fn_tt_tt_1" TargetMode="External"/><Relationship Id="rId512" Type="http://schemas.openxmlformats.org/officeDocument/2006/relationships/hyperlink" Target="http://www.imdb.com/title/tt1754656/?ref_=fn_tt_tt_1" TargetMode="External"/><Relationship Id="rId511" Type="http://schemas.openxmlformats.org/officeDocument/2006/relationships/hyperlink" Target="http://www.imdb.com/title/tt0322259/?ref_=fn_tt_tt_1" TargetMode="External"/><Relationship Id="rId510" Type="http://schemas.openxmlformats.org/officeDocument/2006/relationships/hyperlink" Target="http://www.imdb.com/title/tt0810913/?ref_=fn_tt_tt_1" TargetMode="External"/><Relationship Id="rId51" Type="http://schemas.openxmlformats.org/officeDocument/2006/relationships/hyperlink" Target="http://www.imdb.com/title/tt1343092/?ref_=fn_tt_tt_1" TargetMode="External"/><Relationship Id="rId509" Type="http://schemas.openxmlformats.org/officeDocument/2006/relationships/hyperlink" Target="http://www.imdb.com/title/tt0317648/?ref_=fn_tt_tt_1" TargetMode="External"/><Relationship Id="rId508" Type="http://schemas.openxmlformats.org/officeDocument/2006/relationships/hyperlink" Target="http://www.imdb.com/title/tt0289765/?ref_=fn_tt_tt_1" TargetMode="External"/><Relationship Id="rId507" Type="http://schemas.openxmlformats.org/officeDocument/2006/relationships/hyperlink" Target="http://www.imdb.com/title/tt1985966/?ref_=fn_tt_tt_1" TargetMode="External"/><Relationship Id="rId506" Type="http://schemas.openxmlformats.org/officeDocument/2006/relationships/hyperlink" Target="http://www.imdb.com/title/tt1397514/?ref_=fn_tt_tt_1" TargetMode="External"/><Relationship Id="rId505" Type="http://schemas.openxmlformats.org/officeDocument/2006/relationships/hyperlink" Target="http://www.imdb.com/title/tt0110357/?ref_=fn_tt_tt_1" TargetMode="External"/><Relationship Id="rId504" Type="http://schemas.openxmlformats.org/officeDocument/2006/relationships/hyperlink" Target="http://www.imdb.com/title/tt0268978/?ref_=fn_tt_tt_1" TargetMode="External"/><Relationship Id="rId503" Type="http://schemas.openxmlformats.org/officeDocument/2006/relationships/hyperlink" Target="http://www.imdb.com/title/tt4057916/?ref_=fn_tt_tt_1" TargetMode="External"/><Relationship Id="rId502" Type="http://schemas.openxmlformats.org/officeDocument/2006/relationships/hyperlink" Target="http://www.imdb.com/title/tt1921064/?ref_=fn_tt_tt_1" TargetMode="External"/><Relationship Id="rId501" Type="http://schemas.openxmlformats.org/officeDocument/2006/relationships/hyperlink" Target="http://www.imdb.com/title/tt0318081/?ref_=fn_tt_tt_1" TargetMode="External"/><Relationship Id="rId500" Type="http://schemas.openxmlformats.org/officeDocument/2006/relationships/hyperlink" Target="http://www.imdb.com/title/tt0765128/?ref_=fn_tt_tt_1" TargetMode="External"/><Relationship Id="rId50" Type="http://schemas.openxmlformats.org/officeDocument/2006/relationships/hyperlink" Target="http://www.imdb.com/title/tt1351685/?ref_=fn_tt_tt_1" TargetMode="External"/><Relationship Id="rId5" Type="http://schemas.openxmlformats.org/officeDocument/2006/relationships/hyperlink" Target="http://www.imdb.com/title/tt5289954/?ref_=fn_tt_tt_1" TargetMode="External"/><Relationship Id="rId499" Type="http://schemas.openxmlformats.org/officeDocument/2006/relationships/hyperlink" Target="http://www.imdb.com/title/tt0344854/?ref_=fn_tt_tt_1" TargetMode="External"/><Relationship Id="rId498" Type="http://schemas.openxmlformats.org/officeDocument/2006/relationships/hyperlink" Target="http://www.imdb.com/title/tt0199753/?ref_=fn_tt_tt_1" TargetMode="External"/><Relationship Id="rId497" Type="http://schemas.openxmlformats.org/officeDocument/2006/relationships/hyperlink" Target="http://www.imdb.com/title/tt1618442/?ref_=fn_tt_tt_1" TargetMode="External"/><Relationship Id="rId496" Type="http://schemas.openxmlformats.org/officeDocument/2006/relationships/hyperlink" Target="http://www.imdb.com/title/tt0120595/?ref_=fn_tt_tt_1" TargetMode="External"/><Relationship Id="rId495" Type="http://schemas.openxmlformats.org/officeDocument/2006/relationships/hyperlink" Target="http://www.imdb.com/title/tt0119925/?ref_=fn_tt_tt_1" TargetMode="External"/><Relationship Id="rId494" Type="http://schemas.openxmlformats.org/officeDocument/2006/relationships/hyperlink" Target="http://www.imdb.com/title/tt0300556/?ref_=fn_tt_tt_1" TargetMode="External"/><Relationship Id="rId493" Type="http://schemas.openxmlformats.org/officeDocument/2006/relationships/hyperlink" Target="http://www.imdb.com/title/tt0875034/?ref_=fn_tt_tt_1" TargetMode="External"/><Relationship Id="rId4920" Type="http://schemas.openxmlformats.org/officeDocument/2006/relationships/hyperlink" Target="http://www.imdb.com/title/tt0378407/?ref_=fn_tt_tt_1" TargetMode="External"/><Relationship Id="rId492" Type="http://schemas.openxmlformats.org/officeDocument/2006/relationships/hyperlink" Target="http://www.imdb.com/title/tt0318155/?ref_=fn_tt_tt_1" TargetMode="External"/><Relationship Id="rId4919" Type="http://schemas.openxmlformats.org/officeDocument/2006/relationships/hyperlink" Target="http://www.imdb.com/title/tt2070597/?ref_=fn_tt_tt_1" TargetMode="External"/><Relationship Id="rId4918" Type="http://schemas.openxmlformats.org/officeDocument/2006/relationships/hyperlink" Target="http://www.imdb.com/title/tt2107644/?ref_=fn_tt_tt_1" TargetMode="External"/><Relationship Id="rId4917" Type="http://schemas.openxmlformats.org/officeDocument/2006/relationships/hyperlink" Target="http://www.imdb.com/title/tt2071645/?ref_=fn_tt_tt_1" TargetMode="External"/><Relationship Id="rId4916" Type="http://schemas.openxmlformats.org/officeDocument/2006/relationships/hyperlink" Target="http://www.imdb.com/title/tt3000844/?ref_=fn_tt_tt_1" TargetMode="External"/><Relationship Id="rId4915" Type="http://schemas.openxmlformats.org/officeDocument/2006/relationships/hyperlink" Target="http://www.imdb.com/title/tt1880418/?ref_=fn_tt_tt_1" TargetMode="External"/><Relationship Id="rId4914" Type="http://schemas.openxmlformats.org/officeDocument/2006/relationships/hyperlink" Target="http://www.imdb.com/title/tt0430371/?ref_=fn_tt_tt_1" TargetMode="External"/><Relationship Id="rId4913" Type="http://schemas.openxmlformats.org/officeDocument/2006/relationships/hyperlink" Target="http://www.imdb.com/title/tt0104815/?ref_=fn_tt_tt_1" TargetMode="External"/><Relationship Id="rId4912" Type="http://schemas.openxmlformats.org/officeDocument/2006/relationships/hyperlink" Target="http://www.imdb.com/title/tt0428303/?ref_=fn_tt_tt_1" TargetMode="External"/><Relationship Id="rId4911" Type="http://schemas.openxmlformats.org/officeDocument/2006/relationships/hyperlink" Target="http://www.imdb.com/title/tt0390384/?ref_=fn_tt_tt_1" TargetMode="External"/><Relationship Id="rId4910" Type="http://schemas.openxmlformats.org/officeDocument/2006/relationships/hyperlink" Target="http://www.imdb.com/title/tt0109266/?ref_=fn_tt_tt_1" TargetMode="External"/><Relationship Id="rId491" Type="http://schemas.openxmlformats.org/officeDocument/2006/relationships/hyperlink" Target="http://www.imdb.com/title/tt0185183/?ref_=fn_tt_tt_1" TargetMode="External"/><Relationship Id="rId4909" Type="http://schemas.openxmlformats.org/officeDocument/2006/relationships/hyperlink" Target="http://www.imdb.com/title/tt2049518/?ref_=fn_tt_tt_1" TargetMode="External"/><Relationship Id="rId4908" Type="http://schemas.openxmlformats.org/officeDocument/2006/relationships/hyperlink" Target="http://www.imdb.com/title/tt0390323/?ref_=fn_tt_tt_1" TargetMode="External"/><Relationship Id="rId4907" Type="http://schemas.openxmlformats.org/officeDocument/2006/relationships/hyperlink" Target="http://www.imdb.com/title/tt0123948/?ref_=fn_tt_tt_1" TargetMode="External"/><Relationship Id="rId4906" Type="http://schemas.openxmlformats.org/officeDocument/2006/relationships/hyperlink" Target="http://www.imdb.com/title/tt1235811/?ref_=fn_tt_tt_1" TargetMode="External"/><Relationship Id="rId4905" Type="http://schemas.openxmlformats.org/officeDocument/2006/relationships/hyperlink" Target="http://www.imdb.com/title/tt0255094/?ref_=fn_tt_tt_1" TargetMode="External"/><Relationship Id="rId4904" Type="http://schemas.openxmlformats.org/officeDocument/2006/relationships/hyperlink" Target="http://www.imdb.com/title/tt0388838/?ref_=fn_tt_tt_1" TargetMode="External"/><Relationship Id="rId4903" Type="http://schemas.openxmlformats.org/officeDocument/2006/relationships/hyperlink" Target="http://www.imdb.com/title/tt0069089/?ref_=fn_tt_tt_1" TargetMode="External"/><Relationship Id="rId4902" Type="http://schemas.openxmlformats.org/officeDocument/2006/relationships/hyperlink" Target="http://www.imdb.com/title/tt1836212/?ref_=fn_tt_tt_1" TargetMode="External"/><Relationship Id="rId4901" Type="http://schemas.openxmlformats.org/officeDocument/2006/relationships/hyperlink" Target="http://www.imdb.com/title/tt1247644/?ref_=fn_tt_tt_1" TargetMode="External"/><Relationship Id="rId4900" Type="http://schemas.openxmlformats.org/officeDocument/2006/relationships/hyperlink" Target="http://www.imdb.com/title/tt3973612/?ref_=fn_tt_tt_1" TargetMode="External"/><Relationship Id="rId490" Type="http://schemas.openxmlformats.org/officeDocument/2006/relationships/hyperlink" Target="http://www.imdb.com/title/tt1762399/?ref_=fn_tt_tt_1" TargetMode="External"/><Relationship Id="rId49" Type="http://schemas.openxmlformats.org/officeDocument/2006/relationships/hyperlink" Target="http://www.imdb.com/title/tt1408101/?ref_=fn_tt_tt_1" TargetMode="External"/><Relationship Id="rId4899" Type="http://schemas.openxmlformats.org/officeDocument/2006/relationships/hyperlink" Target="http://www.imdb.com/title/tt0436689/?ref_=fn_tt_tt_1" TargetMode="External"/><Relationship Id="rId4898" Type="http://schemas.openxmlformats.org/officeDocument/2006/relationships/hyperlink" Target="http://www.imdb.com/title/tt1781935/?ref_=fn_tt_tt_1" TargetMode="External"/><Relationship Id="rId4897" Type="http://schemas.openxmlformats.org/officeDocument/2006/relationships/hyperlink" Target="http://www.imdb.com/title/tt1945044/?ref_=fn_tt_tt_1" TargetMode="External"/><Relationship Id="rId4896" Type="http://schemas.openxmlformats.org/officeDocument/2006/relationships/hyperlink" Target="http://www.imdb.com/title/tt0425027/?ref_=fn_tt_tt_1" TargetMode="External"/><Relationship Id="rId4895" Type="http://schemas.openxmlformats.org/officeDocument/2006/relationships/hyperlink" Target="http://www.imdb.com/title/tt2375036/?ref_=fn_tt_tt_1" TargetMode="External"/><Relationship Id="rId4894" Type="http://schemas.openxmlformats.org/officeDocument/2006/relationships/hyperlink" Target="http://www.imdb.com/title/tt2759066/?ref_=fn_tt_tt_1" TargetMode="External"/><Relationship Id="rId4893" Type="http://schemas.openxmlformats.org/officeDocument/2006/relationships/hyperlink" Target="http://www.imdb.com/title/tt0102943/?ref_=fn_tt_tt_1" TargetMode="External"/><Relationship Id="rId4892" Type="http://schemas.openxmlformats.org/officeDocument/2006/relationships/hyperlink" Target="http://www.imdb.com/title/tt1337057/?ref_=fn_tt_tt_1" TargetMode="External"/><Relationship Id="rId4891" Type="http://schemas.openxmlformats.org/officeDocument/2006/relationships/hyperlink" Target="http://www.imdb.com/title/tt0298050/?ref_=fn_tt_tt_1" TargetMode="External"/><Relationship Id="rId4890" Type="http://schemas.openxmlformats.org/officeDocument/2006/relationships/hyperlink" Target="http://www.imdb.com/title/tt0119361/?ref_=fn_tt_tt_1" TargetMode="External"/><Relationship Id="rId489" Type="http://schemas.openxmlformats.org/officeDocument/2006/relationships/hyperlink" Target="http://www.imdb.com/title/tt0116040/?ref_=fn_tt_tt_1" TargetMode="External"/><Relationship Id="rId4889" Type="http://schemas.openxmlformats.org/officeDocument/2006/relationships/hyperlink" Target="http://www.imdb.com/title/tt0327753/?ref_=fn_tt_tt_1" TargetMode="External"/><Relationship Id="rId4888" Type="http://schemas.openxmlformats.org/officeDocument/2006/relationships/hyperlink" Target="http://www.imdb.com/title/tt0067580/?ref_=fn_tt_tt_1" TargetMode="External"/><Relationship Id="rId4887" Type="http://schemas.openxmlformats.org/officeDocument/2006/relationships/hyperlink" Target="http://www.imdb.com/title/tt0109445/?ref_=fn_tt_tt_1" TargetMode="External"/><Relationship Id="rId4886" Type="http://schemas.openxmlformats.org/officeDocument/2006/relationships/hyperlink" Target="http://www.imdb.com/title/tt1489167/?ref_=fn_tt_tt_1" TargetMode="External"/><Relationship Id="rId4885" Type="http://schemas.openxmlformats.org/officeDocument/2006/relationships/hyperlink" Target="http://www.imdb.com/title/tt2469216/?ref_=fn_tt_tt_1" TargetMode="External"/><Relationship Id="rId4884" Type="http://schemas.openxmlformats.org/officeDocument/2006/relationships/hyperlink" Target="http://www.imdb.com/title/tt0446747/?ref_=fn_tt_tt_1" TargetMode="External"/><Relationship Id="rId4883" Type="http://schemas.openxmlformats.org/officeDocument/2006/relationships/hyperlink" Target="http://www.imdb.com/title/tt1073221/?ref_=fn_tt_tt_1" TargetMode="External"/><Relationship Id="rId4882" Type="http://schemas.openxmlformats.org/officeDocument/2006/relationships/hyperlink" Target="http://www.imdb.com/title/tt1294161/?ref_=fn_tt_tt_1" TargetMode="External"/><Relationship Id="rId4881" Type="http://schemas.openxmlformats.org/officeDocument/2006/relationships/hyperlink" Target="http://www.imdb.com/title/tt2442662/?ref_=fn_tt_tt_1" TargetMode="External"/><Relationship Id="rId4880" Type="http://schemas.openxmlformats.org/officeDocument/2006/relationships/hyperlink" Target="http://www.imdb.com/title/tt0077838/?ref_=fn_tt_tt_1" TargetMode="External"/><Relationship Id="rId488" Type="http://schemas.openxmlformats.org/officeDocument/2006/relationships/hyperlink" Target="http://www.imdb.com/title/tt0146309/?ref_=fn_tt_tt_1" TargetMode="External"/><Relationship Id="rId4879" Type="http://schemas.openxmlformats.org/officeDocument/2006/relationships/hyperlink" Target="http://www.imdb.com/title/tt1716760/?ref_=fn_tt_tt_1" TargetMode="External"/><Relationship Id="rId4878" Type="http://schemas.openxmlformats.org/officeDocument/2006/relationships/hyperlink" Target="http://www.imdb.com/title/tt3157318/?ref_=fn_tt_tt_1" TargetMode="External"/><Relationship Id="rId4877" Type="http://schemas.openxmlformats.org/officeDocument/2006/relationships/hyperlink" Target="http://www.imdb.com/title/tt0162348/?ref_=fn_tt_tt_1" TargetMode="External"/><Relationship Id="rId4876" Type="http://schemas.openxmlformats.org/officeDocument/2006/relationships/hyperlink" Target="http://www.imdb.com/title/tt0262432/?ref_=fn_tt_tt_1" TargetMode="External"/><Relationship Id="rId4875" Type="http://schemas.openxmlformats.org/officeDocument/2006/relationships/hyperlink" Target="http://www.imdb.com/title/tt1524083/?ref_=fn_tt_tt_1" TargetMode="External"/><Relationship Id="rId4874" Type="http://schemas.openxmlformats.org/officeDocument/2006/relationships/hyperlink" Target="http://www.imdb.com/title/tt1798291/?ref_=fn_tt_tt_1" TargetMode="External"/><Relationship Id="rId4873" Type="http://schemas.openxmlformats.org/officeDocument/2006/relationships/hyperlink" Target="http://www.imdb.com/title/tt2294916/?ref_=fn_tt_tt_1" TargetMode="External"/><Relationship Id="rId4872" Type="http://schemas.openxmlformats.org/officeDocument/2006/relationships/hyperlink" Target="http://www.imdb.com/title/tt2910814/?ref_=fn_tt_tt_1" TargetMode="External"/><Relationship Id="rId4871" Type="http://schemas.openxmlformats.org/officeDocument/2006/relationships/hyperlink" Target="http://www.imdb.com/title/tt2181837/?ref_=fn_tt_tt_1" TargetMode="External"/><Relationship Id="rId4870" Type="http://schemas.openxmlformats.org/officeDocument/2006/relationships/hyperlink" Target="http://www.imdb.com/title/tt0478988/?ref_=fn_tt_tt_1" TargetMode="External"/><Relationship Id="rId487" Type="http://schemas.openxmlformats.org/officeDocument/2006/relationships/hyperlink" Target="http://www.imdb.com/title/tt0986263/?ref_=fn_tt_tt_1" TargetMode="External"/><Relationship Id="rId4869" Type="http://schemas.openxmlformats.org/officeDocument/2006/relationships/hyperlink" Target="http://www.imdb.com/title/tt4462082/?ref_=fn_tt_tt_1" TargetMode="External"/><Relationship Id="rId4868" Type="http://schemas.openxmlformats.org/officeDocument/2006/relationships/hyperlink" Target="http://www.imdb.com/title/tt0381053/?ref_=fn_tt_tt_1" TargetMode="External"/><Relationship Id="rId4867" Type="http://schemas.openxmlformats.org/officeDocument/2006/relationships/hyperlink" Target="http://www.imdb.com/title/tt1861343/?ref_=fn_tt_tt_1" TargetMode="External"/><Relationship Id="rId4866" Type="http://schemas.openxmlformats.org/officeDocument/2006/relationships/hyperlink" Target="http://www.imdb.com/title/tt1570989/?ref_=fn_tt_tt_1" TargetMode="External"/><Relationship Id="rId4865" Type="http://schemas.openxmlformats.org/officeDocument/2006/relationships/hyperlink" Target="http://www.imdb.com/title/tt0085575/?ref_=fn_tt_tt_1" TargetMode="External"/><Relationship Id="rId4864" Type="http://schemas.openxmlformats.org/officeDocument/2006/relationships/hyperlink" Target="http://www.imdb.com/title/tt2334896/?ref_=fn_tt_tt_1" TargetMode="External"/><Relationship Id="rId4863" Type="http://schemas.openxmlformats.org/officeDocument/2006/relationships/hyperlink" Target="http://www.imdb.com/title/tt0112585/?ref_=fn_tt_tt_1" TargetMode="External"/><Relationship Id="rId4862" Type="http://schemas.openxmlformats.org/officeDocument/2006/relationships/hyperlink" Target="http://www.imdb.com/title/tt1610996/?ref_=fn_tt_tt_1" TargetMode="External"/><Relationship Id="rId4861" Type="http://schemas.openxmlformats.org/officeDocument/2006/relationships/hyperlink" Target="http://www.imdb.com/title/tt1874789/?ref_=fn_tt_tt_1" TargetMode="External"/><Relationship Id="rId4860" Type="http://schemas.openxmlformats.org/officeDocument/2006/relationships/hyperlink" Target="http://www.imdb.com/title/tt2866824/?ref_=fn_tt_tt_1" TargetMode="External"/><Relationship Id="rId486" Type="http://schemas.openxmlformats.org/officeDocument/2006/relationships/hyperlink" Target="http://www.imdb.com/title/tt0119051/?ref_=fn_tt_tt_1" TargetMode="External"/><Relationship Id="rId4859" Type="http://schemas.openxmlformats.org/officeDocument/2006/relationships/hyperlink" Target="http://www.imdb.com/title/tt0052646/?ref_=fn_tt_tt_1" TargetMode="External"/><Relationship Id="rId4858" Type="http://schemas.openxmlformats.org/officeDocument/2006/relationships/hyperlink" Target="http://www.imdb.com/title/tt2955096/?ref_=fn_tt_tt_1" TargetMode="External"/><Relationship Id="rId4857" Type="http://schemas.openxmlformats.org/officeDocument/2006/relationships/hyperlink" Target="http://www.imdb.com/title/tt1296373/?ref_=fn_tt_tt_1" TargetMode="External"/><Relationship Id="rId4856" Type="http://schemas.openxmlformats.org/officeDocument/2006/relationships/hyperlink" Target="http://www.imdb.com/title/tt0390521/?ref_=fn_tt_tt_1" TargetMode="External"/><Relationship Id="rId4855" Type="http://schemas.openxmlformats.org/officeDocument/2006/relationships/hyperlink" Target="http://www.imdb.com/title/tt2319456/?ref_=fn_tt_tt_1" TargetMode="External"/><Relationship Id="rId4854" Type="http://schemas.openxmlformats.org/officeDocument/2006/relationships/hyperlink" Target="http://www.imdb.com/title/tt0138987/?ref_=fn_tt_tt_1" TargetMode="External"/><Relationship Id="rId4853" Type="http://schemas.openxmlformats.org/officeDocument/2006/relationships/hyperlink" Target="http://www.imdb.com/title/tt0130019/?ref_=fn_tt_tt_1" TargetMode="External"/><Relationship Id="rId4852" Type="http://schemas.openxmlformats.org/officeDocument/2006/relationships/hyperlink" Target="http://www.imdb.com/title/tt0138704/?ref_=fn_tt_tt_1" TargetMode="External"/><Relationship Id="rId4851" Type="http://schemas.openxmlformats.org/officeDocument/2006/relationships/hyperlink" Target="http://www.imdb.com/title/tt0428959/?ref_=fn_tt_tt_1" TargetMode="External"/><Relationship Id="rId4850" Type="http://schemas.openxmlformats.org/officeDocument/2006/relationships/hyperlink" Target="http://www.imdb.com/title/tt3072636/?ref_=fn_tt_tt_1" TargetMode="External"/><Relationship Id="rId485" Type="http://schemas.openxmlformats.org/officeDocument/2006/relationships/hyperlink" Target="http://www.imdb.com/title/tt4291590/?ref_=fn_tt_tt_1" TargetMode="External"/><Relationship Id="rId4849" Type="http://schemas.openxmlformats.org/officeDocument/2006/relationships/hyperlink" Target="http://www.imdb.com/title/tt0066141/?ref_=fn_tt_tt_1" TargetMode="External"/><Relationship Id="rId4848" Type="http://schemas.openxmlformats.org/officeDocument/2006/relationships/hyperlink" Target="http://www.imdb.com/title/tt2343473/?ref_=fn_tt_tt_1" TargetMode="External"/><Relationship Id="rId4847" Type="http://schemas.openxmlformats.org/officeDocument/2006/relationships/hyperlink" Target="http://www.imdb.com/title/tt0040671/?ref_=fn_tt_tt_1" TargetMode="External"/><Relationship Id="rId4846" Type="http://schemas.openxmlformats.org/officeDocument/2006/relationships/hyperlink" Target="http://www.imdb.com/title/tt0480011/?ref_=fn_tt_tt_1" TargetMode="External"/><Relationship Id="rId4845" Type="http://schemas.openxmlformats.org/officeDocument/2006/relationships/hyperlink" Target="http://www.imdb.com/title/tt1942884/?ref_=fn_tt_tt_1" TargetMode="External"/><Relationship Id="rId4844" Type="http://schemas.openxmlformats.org/officeDocument/2006/relationships/hyperlink" Target="http://www.imdb.com/title/tt2389182/?ref_=fn_tt_tt_1" TargetMode="External"/><Relationship Id="rId4843" Type="http://schemas.openxmlformats.org/officeDocument/2006/relationships/hyperlink" Target="http://www.imdb.com/title/tt3109200/?ref_=fn_tt_tt_1" TargetMode="External"/><Relationship Id="rId4842" Type="http://schemas.openxmlformats.org/officeDocument/2006/relationships/hyperlink" Target="http://www.imdb.com/title/tt0307109/?ref_=fn_tt_tt_1" TargetMode="External"/><Relationship Id="rId4841" Type="http://schemas.openxmlformats.org/officeDocument/2006/relationships/hyperlink" Target="http://www.imdb.com/title/tt0079709/?ref_=fn_tt_tt_1" TargetMode="External"/><Relationship Id="rId4840" Type="http://schemas.openxmlformats.org/officeDocument/2006/relationships/hyperlink" Target="http://www.imdb.com/title/tt0119670/?ref_=fn_tt_tt_1" TargetMode="External"/><Relationship Id="rId484" Type="http://schemas.openxmlformats.org/officeDocument/2006/relationships/hyperlink" Target="http://www.imdb.com/title/tt0116996/?ref_=fn_tt_tt_1" TargetMode="External"/><Relationship Id="rId4839" Type="http://schemas.openxmlformats.org/officeDocument/2006/relationships/hyperlink" Target="http://www.imdb.com/title/tt0093200/?ref_=fn_tt_tt_1" TargetMode="External"/><Relationship Id="rId4838" Type="http://schemas.openxmlformats.org/officeDocument/2006/relationships/hyperlink" Target="http://www.imdb.com/title/tt0011549/?ref_=fn_tt_tt_1" TargetMode="External"/><Relationship Id="rId4837" Type="http://schemas.openxmlformats.org/officeDocument/2006/relationships/hyperlink" Target="http://www.imdb.com/title/tt0074486/?ref_=fn_tt_tt_1" TargetMode="External"/><Relationship Id="rId4836" Type="http://schemas.openxmlformats.org/officeDocument/2006/relationships/hyperlink" Target="http://www.imdb.com/title/tt2309260/?ref_=fn_tt_tt_1" TargetMode="External"/><Relationship Id="rId4835" Type="http://schemas.openxmlformats.org/officeDocument/2006/relationships/hyperlink" Target="http://www.imdb.com/title/tt0805526/?ref_=fn_tt_tt_1" TargetMode="External"/><Relationship Id="rId4834" Type="http://schemas.openxmlformats.org/officeDocument/2006/relationships/hyperlink" Target="http://www.imdb.com/title/tt0339921/?ref_=fn_tt_tt_1" TargetMode="External"/><Relationship Id="rId4833" Type="http://schemas.openxmlformats.org/officeDocument/2006/relationships/hyperlink" Target="http://www.imdb.com/title/tt4196450/?ref_=fn_tt_tt_1" TargetMode="External"/><Relationship Id="rId4832" Type="http://schemas.openxmlformats.org/officeDocument/2006/relationships/hyperlink" Target="http://www.imdb.com/title/tt0058701/?ref_=fn_tt_tt_1" TargetMode="External"/><Relationship Id="rId4831" Type="http://schemas.openxmlformats.org/officeDocument/2006/relationships/hyperlink" Target="http://www.imdb.com/title/tt0796314/?ref_=fn_tt_tt_1" TargetMode="External"/><Relationship Id="rId4830" Type="http://schemas.openxmlformats.org/officeDocument/2006/relationships/hyperlink" Target="http://www.imdb.com/title/tt4607906/?ref_=fn_tt_tt_1" TargetMode="External"/><Relationship Id="rId483" Type="http://schemas.openxmlformats.org/officeDocument/2006/relationships/hyperlink" Target="http://www.imdb.com/title/tt0355295/?ref_=fn_tt_tt_1" TargetMode="External"/><Relationship Id="rId4829" Type="http://schemas.openxmlformats.org/officeDocument/2006/relationships/hyperlink" Target="http://www.imdb.com/title/tt1742336/?ref_=fn_tt_tt_1" TargetMode="External"/><Relationship Id="rId4828" Type="http://schemas.openxmlformats.org/officeDocument/2006/relationships/hyperlink" Target="http://www.imdb.com/title/tt0488873/?ref_=fn_tt_tt_1" TargetMode="External"/><Relationship Id="rId4827" Type="http://schemas.openxmlformats.org/officeDocument/2006/relationships/hyperlink" Target="http://www.imdb.com/title/tt2638024/?ref_=fn_tt_tt_1" TargetMode="External"/><Relationship Id="rId4826" Type="http://schemas.openxmlformats.org/officeDocument/2006/relationships/hyperlink" Target="http://www.imdb.com/title/tt1748207/?ref_=fn_tt_tt_1" TargetMode="External"/><Relationship Id="rId4825" Type="http://schemas.openxmlformats.org/officeDocument/2006/relationships/hyperlink" Target="http://www.imdb.com/title/tt2125430/?ref_=fn_tt_tt_1" TargetMode="External"/><Relationship Id="rId4824" Type="http://schemas.openxmlformats.org/officeDocument/2006/relationships/hyperlink" Target="http://www.imdb.com/title/tt0098213/?ref_=fn_tt_tt_1" TargetMode="External"/><Relationship Id="rId4823" Type="http://schemas.openxmlformats.org/officeDocument/2006/relationships/hyperlink" Target="http://www.imdb.com/title/tt4219836/?ref_=fn_tt_tt_1" TargetMode="External"/><Relationship Id="rId4822" Type="http://schemas.openxmlformats.org/officeDocument/2006/relationships/hyperlink" Target="http://www.imdb.com/title/tt2403815/?ref_=fn_tt_tt_1" TargetMode="External"/><Relationship Id="rId4821" Type="http://schemas.openxmlformats.org/officeDocument/2006/relationships/hyperlink" Target="http://www.imdb.com/title/tt2780714/?ref_=fn_tt_tt_1" TargetMode="External"/><Relationship Id="rId4820" Type="http://schemas.openxmlformats.org/officeDocument/2006/relationships/hyperlink" Target="http://www.imdb.com/title/tt0059026/?ref_=fn_tt_tt_1" TargetMode="External"/><Relationship Id="rId482" Type="http://schemas.openxmlformats.org/officeDocument/2006/relationships/hyperlink" Target="http://www.imdb.com/title/tt0185431/?ref_=fn_tt_tt_1" TargetMode="External"/><Relationship Id="rId4819" Type="http://schemas.openxmlformats.org/officeDocument/2006/relationships/hyperlink" Target="http://www.imdb.com/title/tt1934172/?ref_=fn_tt_tt_1" TargetMode="External"/><Relationship Id="rId4818" Type="http://schemas.openxmlformats.org/officeDocument/2006/relationships/hyperlink" Target="http://www.imdb.com/title/tt1743993/?ref_=fn_tt_tt_1" TargetMode="External"/><Relationship Id="rId4817" Type="http://schemas.openxmlformats.org/officeDocument/2006/relationships/hyperlink" Target="http://www.imdb.com/title/tt1333668/?ref_=fn_tt_tt_1" TargetMode="External"/><Relationship Id="rId4816" Type="http://schemas.openxmlformats.org/officeDocument/2006/relationships/hyperlink" Target="http://www.imdb.com/title/tt0217894/?ref_=fn_tt_tt_1" TargetMode="External"/><Relationship Id="rId4815" Type="http://schemas.openxmlformats.org/officeDocument/2006/relationships/hyperlink" Target="http://www.imdb.com/title/tt0907657/?ref_=fn_tt_tt_1" TargetMode="External"/><Relationship Id="rId4814" Type="http://schemas.openxmlformats.org/officeDocument/2006/relationships/hyperlink" Target="http://www.imdb.com/title/tt0271219/?ref_=fn_tt_tt_1" TargetMode="External"/><Relationship Id="rId4813" Type="http://schemas.openxmlformats.org/officeDocument/2006/relationships/hyperlink" Target="http://www.imdb.com/title/tt3581098/?ref_=fn_tt_tt_1" TargetMode="External"/><Relationship Id="rId4812" Type="http://schemas.openxmlformats.org/officeDocument/2006/relationships/hyperlink" Target="http://www.imdb.com/title/tt0067810/?ref_=fn_tt_tt_1" TargetMode="External"/><Relationship Id="rId4811" Type="http://schemas.openxmlformats.org/officeDocument/2006/relationships/hyperlink" Target="http://www.imdb.com/title/tt1549572/?ref_=fn_tt_tt_1" TargetMode="External"/><Relationship Id="rId4810" Type="http://schemas.openxmlformats.org/officeDocument/2006/relationships/hyperlink" Target="http://www.imdb.com/title/tt4707756/?ref_=fn_tt_tt_1" TargetMode="External"/><Relationship Id="rId481" Type="http://schemas.openxmlformats.org/officeDocument/2006/relationships/hyperlink" Target="http://www.imdb.com/title/tt0120889/?ref_=fn_tt_tt_1" TargetMode="External"/><Relationship Id="rId4809" Type="http://schemas.openxmlformats.org/officeDocument/2006/relationships/hyperlink" Target="http://www.imdb.com/title/tt2421956/?ref_=fn_tt_tt_1" TargetMode="External"/><Relationship Id="rId4808" Type="http://schemas.openxmlformats.org/officeDocument/2006/relationships/hyperlink" Target="http://www.imdb.com/title/tt0091939/?ref_=fn_tt_tt_1" TargetMode="External"/><Relationship Id="rId4807" Type="http://schemas.openxmlformats.org/officeDocument/2006/relationships/hyperlink" Target="http://www.imdb.com/title/tt1714210/?ref_=fn_tt_tt_1" TargetMode="External"/><Relationship Id="rId4806" Type="http://schemas.openxmlformats.org/officeDocument/2006/relationships/hyperlink" Target="http://www.imdb.com/title/tt0118849/?ref_=fn_tt_tt_1" TargetMode="External"/><Relationship Id="rId4805" Type="http://schemas.openxmlformats.org/officeDocument/2006/relationships/hyperlink" Target="http://www.imdb.com/title/tt1702455/?ref_=fn_tt_tt_1" TargetMode="External"/><Relationship Id="rId4804" Type="http://schemas.openxmlformats.org/officeDocument/2006/relationships/hyperlink" Target="http://www.imdb.com/title/tt3666210/?ref_=fn_tt_tt_1" TargetMode="External"/><Relationship Id="rId4803" Type="http://schemas.openxmlformats.org/officeDocument/2006/relationships/hyperlink" Target="http://www.imdb.com/title/tt1989646/?ref_=fn_tt_tt_1" TargetMode="External"/><Relationship Id="rId4802" Type="http://schemas.openxmlformats.org/officeDocument/2006/relationships/hyperlink" Target="http://www.imdb.com/title/tt0448182/?ref_=fn_tt_tt_1" TargetMode="External"/><Relationship Id="rId4801" Type="http://schemas.openxmlformats.org/officeDocument/2006/relationships/hyperlink" Target="http://www.imdb.com/title/tt0412366/?ref_=fn_tt_tt_1" TargetMode="External"/><Relationship Id="rId4800" Type="http://schemas.openxmlformats.org/officeDocument/2006/relationships/hyperlink" Target="http://www.imdb.com/title/tt0446055/?ref_=fn_tt_tt_1" TargetMode="External"/><Relationship Id="rId480" Type="http://schemas.openxmlformats.org/officeDocument/2006/relationships/hyperlink" Target="http://www.imdb.com/title/tt0386140/?ref_=fn_tt_tt_1" TargetMode="External"/><Relationship Id="rId48" Type="http://schemas.openxmlformats.org/officeDocument/2006/relationships/hyperlink" Target="http://www.imdb.com/title/tt1877832/?ref_=fn_tt_tt_1" TargetMode="External"/><Relationship Id="rId4799" Type="http://schemas.openxmlformats.org/officeDocument/2006/relationships/hyperlink" Target="http://www.imdb.com/title/tt0756683/?ref_=fn_tt_tt_1" TargetMode="External"/><Relationship Id="rId4798" Type="http://schemas.openxmlformats.org/officeDocument/2006/relationships/hyperlink" Target="http://www.imdb.com/title/tt0944101/?ref_=fn_tt_tt_1" TargetMode="External"/><Relationship Id="rId4797" Type="http://schemas.openxmlformats.org/officeDocument/2006/relationships/hyperlink" Target="http://www.imdb.com/title/tt0048452/?ref_=fn_tt_tt_1" TargetMode="External"/><Relationship Id="rId4796" Type="http://schemas.openxmlformats.org/officeDocument/2006/relationships/hyperlink" Target="http://www.imdb.com/title/tt0437123/?ref_=fn_tt_tt_1" TargetMode="External"/><Relationship Id="rId4795" Type="http://schemas.openxmlformats.org/officeDocument/2006/relationships/hyperlink" Target="http://www.imdb.com/title/tt3565836/?ref_=fn_tt_tt_1" TargetMode="External"/><Relationship Id="rId4794" Type="http://schemas.openxmlformats.org/officeDocument/2006/relationships/hyperlink" Target="http://www.imdb.com/title/tt0923600/?ref_=fn_tt_tt_1" TargetMode="External"/><Relationship Id="rId4793" Type="http://schemas.openxmlformats.org/officeDocument/2006/relationships/hyperlink" Target="http://www.imdb.com/title/tt1152827/?ref_=fn_tt_tt_1" TargetMode="External"/><Relationship Id="rId4792" Type="http://schemas.openxmlformats.org/officeDocument/2006/relationships/hyperlink" Target="http://www.imdb.com/title/tt2690560/?ref_=fn_tt_tt_1" TargetMode="External"/><Relationship Id="rId4791" Type="http://schemas.openxmlformats.org/officeDocument/2006/relationships/hyperlink" Target="http://www.imdb.com/title/tt0388230/?ref_=fn_tt_tt_1" TargetMode="External"/><Relationship Id="rId4790" Type="http://schemas.openxmlformats.org/officeDocument/2006/relationships/hyperlink" Target="http://www.imdb.com/title/tt1301130/?ref_=fn_tt_tt_1" TargetMode="External"/><Relationship Id="rId479" Type="http://schemas.openxmlformats.org/officeDocument/2006/relationships/hyperlink" Target="http://www.imdb.com/title/tt0244244/?ref_=fn_tt_tt_1" TargetMode="External"/><Relationship Id="rId4789" Type="http://schemas.openxmlformats.org/officeDocument/2006/relationships/hyperlink" Target="http://www.imdb.com/title/tt0303313/?ref_=fn_tt_tt_1" TargetMode="External"/><Relationship Id="rId4788" Type="http://schemas.openxmlformats.org/officeDocument/2006/relationships/hyperlink" Target="http://www.imdb.com/title/tt1517177/?ref_=fn_tt_tt_1" TargetMode="External"/><Relationship Id="rId4787" Type="http://schemas.openxmlformats.org/officeDocument/2006/relationships/hyperlink" Target="http://www.imdb.com/title/tt1211890/?ref_=fn_tt_tt_1" TargetMode="External"/><Relationship Id="rId4786" Type="http://schemas.openxmlformats.org/officeDocument/2006/relationships/hyperlink" Target="http://www.imdb.com/title/tt1544600/?ref_=fn_tt_tt_1" TargetMode="External"/><Relationship Id="rId4785" Type="http://schemas.openxmlformats.org/officeDocument/2006/relationships/hyperlink" Target="http://www.imdb.com/title/tt0420723/?ref_=fn_tt_tt_1" TargetMode="External"/><Relationship Id="rId4784" Type="http://schemas.openxmlformats.org/officeDocument/2006/relationships/hyperlink" Target="http://www.imdb.com/title/tt0024548/?ref_=fn_tt_tt_1" TargetMode="External"/><Relationship Id="rId4783" Type="http://schemas.openxmlformats.org/officeDocument/2006/relationships/hyperlink" Target="http://www.imdb.com/title/tt0058461/?ref_=fn_tt_tt_1" TargetMode="External"/><Relationship Id="rId4782" Type="http://schemas.openxmlformats.org/officeDocument/2006/relationships/hyperlink" Target="http://www.imdb.com/title/tt0117802/?ref_=fn_tt_tt_1" TargetMode="External"/><Relationship Id="rId4781" Type="http://schemas.openxmlformats.org/officeDocument/2006/relationships/hyperlink" Target="http://www.imdb.com/title/tt0079501/?ref_=fn_tt_tt_1" TargetMode="External"/><Relationship Id="rId4780" Type="http://schemas.openxmlformats.org/officeDocument/2006/relationships/hyperlink" Target="http://www.imdb.com/title/tt0045546/?ref_=fn_tt_tt_1" TargetMode="External"/><Relationship Id="rId478" Type="http://schemas.openxmlformats.org/officeDocument/2006/relationships/hyperlink" Target="http://www.imdb.com/title/tt0120751/?ref_=fn_tt_tt_1" TargetMode="External"/><Relationship Id="rId4779" Type="http://schemas.openxmlformats.org/officeDocument/2006/relationships/hyperlink" Target="http://www.imdb.com/title/tt0168192/?ref_=fn_tt_tt_1" TargetMode="External"/><Relationship Id="rId4778" Type="http://schemas.openxmlformats.org/officeDocument/2006/relationships/hyperlink" Target="http://www.imdb.com/title/tt0182508/?ref_=fn_tt_tt_1" TargetMode="External"/><Relationship Id="rId4777" Type="http://schemas.openxmlformats.org/officeDocument/2006/relationships/hyperlink" Target="http://www.imdb.com/title/tt1781784/?ref_=fn_tt_tt_1" TargetMode="External"/><Relationship Id="rId4776" Type="http://schemas.openxmlformats.org/officeDocument/2006/relationships/hyperlink" Target="http://www.imdb.com/title/tt3210710/?ref_=fn_tt_tt_1" TargetMode="External"/><Relationship Id="rId4775" Type="http://schemas.openxmlformats.org/officeDocument/2006/relationships/hyperlink" Target="http://www.imdb.com/title/tt1172570/?ref_=fn_tt_tt_1" TargetMode="External"/><Relationship Id="rId4774" Type="http://schemas.openxmlformats.org/officeDocument/2006/relationships/hyperlink" Target="http://www.imdb.com/title/tt2290113/?ref_=fn_tt_tt_1" TargetMode="External"/><Relationship Id="rId4773" Type="http://schemas.openxmlformats.org/officeDocument/2006/relationships/hyperlink" Target="http://www.imdb.com/title/tt0469690/?ref_=fn_tt_tt_1" TargetMode="External"/><Relationship Id="rId4772" Type="http://schemas.openxmlformats.org/officeDocument/2006/relationships/hyperlink" Target="http://www.imdb.com/title/tt0015624/?ref_=fn_tt_tt_1" TargetMode="External"/><Relationship Id="rId4771" Type="http://schemas.openxmlformats.org/officeDocument/2006/relationships/hyperlink" Target="http://www.imdb.com/title/tt2559658/?ref_=fn_tt_tt_1" TargetMode="External"/><Relationship Id="rId4770" Type="http://schemas.openxmlformats.org/officeDocument/2006/relationships/hyperlink" Target="http://www.imdb.com/title/tt3421204/?ref_=fn_tt_tt_1" TargetMode="External"/><Relationship Id="rId477" Type="http://schemas.openxmlformats.org/officeDocument/2006/relationships/hyperlink" Target="http://www.imdb.com/title/tt0268695/?ref_=fn_tt_tt_1" TargetMode="External"/><Relationship Id="rId4769" Type="http://schemas.openxmlformats.org/officeDocument/2006/relationships/hyperlink" Target="http://www.imdb.com/title/tt2363439/?ref_=fn_tt_tt_1" TargetMode="External"/><Relationship Id="rId4768" Type="http://schemas.openxmlformats.org/officeDocument/2006/relationships/hyperlink" Target="http://www.imdb.com/title/tt3564748/?ref_=fn_tt_tt_1" TargetMode="External"/><Relationship Id="rId4767" Type="http://schemas.openxmlformats.org/officeDocument/2006/relationships/hyperlink" Target="http://www.imdb.com/title/tt0082122/?ref_=fn_tt_tt_1" TargetMode="External"/><Relationship Id="rId4766" Type="http://schemas.openxmlformats.org/officeDocument/2006/relationships/hyperlink" Target="http://www.imdb.com/title/tt1003002/?ref_=fn_tt_tt_1" TargetMode="External"/><Relationship Id="rId4765" Type="http://schemas.openxmlformats.org/officeDocument/2006/relationships/hyperlink" Target="http://www.imdb.com/title/tt1640714/?ref_=fn_tt_tt_1" TargetMode="External"/><Relationship Id="rId4764" Type="http://schemas.openxmlformats.org/officeDocument/2006/relationships/hyperlink" Target="http://www.imdb.com/title/tt1071804/?ref_=fn_tt_tt_1" TargetMode="External"/><Relationship Id="rId4763" Type="http://schemas.openxmlformats.org/officeDocument/2006/relationships/hyperlink" Target="http://www.imdb.com/title/tt1360826/?ref_=fn_tt_tt_1" TargetMode="External"/><Relationship Id="rId4762" Type="http://schemas.openxmlformats.org/officeDocument/2006/relationships/hyperlink" Target="http://www.imdb.com/title/tt1270792/?ref_=fn_tt_tt_1" TargetMode="External"/><Relationship Id="rId4761" Type="http://schemas.openxmlformats.org/officeDocument/2006/relationships/hyperlink" Target="http://www.imdb.com/title/tt0127302/?ref_=fn_tt_tt_1" TargetMode="External"/><Relationship Id="rId4760" Type="http://schemas.openxmlformats.org/officeDocument/2006/relationships/hyperlink" Target="http://www.imdb.com/title/tt1258197/?ref_=fn_tt_tt_1" TargetMode="External"/><Relationship Id="rId476" Type="http://schemas.openxmlformats.org/officeDocument/2006/relationships/hyperlink" Target="http://www.imdb.com/title/tt0120910/?ref_=fn_tt_tt_1" TargetMode="External"/><Relationship Id="rId4759" Type="http://schemas.openxmlformats.org/officeDocument/2006/relationships/hyperlink" Target="http://www.imdb.com/title/tt0952682/?ref_=fn_tt_tt_1" TargetMode="External"/><Relationship Id="rId4758" Type="http://schemas.openxmlformats.org/officeDocument/2006/relationships/hyperlink" Target="http://www.imdb.com/title/tt0389235/?ref_=fn_tt_tt_1" TargetMode="External"/><Relationship Id="rId4757" Type="http://schemas.openxmlformats.org/officeDocument/2006/relationships/hyperlink" Target="http://www.imdb.com/title/tt3428912/?ref_=fn_tt_tt_1" TargetMode="External"/><Relationship Id="rId4756" Type="http://schemas.openxmlformats.org/officeDocument/2006/relationships/hyperlink" Target="http://www.imdb.com/title/tt2292959/?ref_=fn_tt_tt_1" TargetMode="External"/><Relationship Id="rId4755" Type="http://schemas.openxmlformats.org/officeDocument/2006/relationships/hyperlink" Target="http://www.imdb.com/title/tt0436607/?ref_=fn_tt_tt_1" TargetMode="External"/><Relationship Id="rId4754" Type="http://schemas.openxmlformats.org/officeDocument/2006/relationships/hyperlink" Target="http://www.imdb.com/title/tt0173390/?ref_=fn_tt_tt_1" TargetMode="External"/><Relationship Id="rId4753" Type="http://schemas.openxmlformats.org/officeDocument/2006/relationships/hyperlink" Target="http://www.imdb.com/title/tt1991199/?ref_=fn_tt_tt_1" TargetMode="External"/><Relationship Id="rId4752" Type="http://schemas.openxmlformats.org/officeDocument/2006/relationships/hyperlink" Target="http://www.imdb.com/title/tt1758692/?ref_=fn_tt_tt_1" TargetMode="External"/><Relationship Id="rId4751" Type="http://schemas.openxmlformats.org/officeDocument/2006/relationships/hyperlink" Target="http://www.imdb.com/title/tt0368089/?ref_=fn_tt_tt_1" TargetMode="External"/><Relationship Id="rId4750" Type="http://schemas.openxmlformats.org/officeDocument/2006/relationships/hyperlink" Target="http://www.imdb.com/title/tt0119346/?ref_=fn_tt_tt_1" TargetMode="External"/><Relationship Id="rId475" Type="http://schemas.openxmlformats.org/officeDocument/2006/relationships/hyperlink" Target="http://www.imdb.com/title/tt0057733/?ref_=fn_tt_tt_1" TargetMode="External"/><Relationship Id="rId4749" Type="http://schemas.openxmlformats.org/officeDocument/2006/relationships/hyperlink" Target="http://www.imdb.com/title/tt0116931/?ref_=fn_tt_tt_1" TargetMode="External"/><Relationship Id="rId4748" Type="http://schemas.openxmlformats.org/officeDocument/2006/relationships/hyperlink" Target="http://www.imdb.com/title/tt0123755/?ref_=fn_tt_tt_1" TargetMode="External"/><Relationship Id="rId4747" Type="http://schemas.openxmlformats.org/officeDocument/2006/relationships/hyperlink" Target="http://www.imdb.com/title/tt3976258/?ref_=fn_tt_tt_1" TargetMode="External"/><Relationship Id="rId4746" Type="http://schemas.openxmlformats.org/officeDocument/2006/relationships/hyperlink" Target="http://www.imdb.com/title/tt0203289/?ref_=fn_tt_tt_1" TargetMode="External"/><Relationship Id="rId4745" Type="http://schemas.openxmlformats.org/officeDocument/2006/relationships/hyperlink" Target="http://www.imdb.com/title/tt0200530/?ref_=fn_tt_tt_1" TargetMode="External"/><Relationship Id="rId4744" Type="http://schemas.openxmlformats.org/officeDocument/2006/relationships/hyperlink" Target="http://www.imdb.com/title/tt0113416/?ref_=fn_tt_tt_1" TargetMode="External"/><Relationship Id="rId4743" Type="http://schemas.openxmlformats.org/officeDocument/2006/relationships/hyperlink" Target="http://www.imdb.com/title/tt0280477/?ref_=fn_tt_tt_1" TargetMode="External"/><Relationship Id="rId4742" Type="http://schemas.openxmlformats.org/officeDocument/2006/relationships/hyperlink" Target="http://www.imdb.com/title/tt1328873/?ref_=fn_tt_tt_1" TargetMode="External"/><Relationship Id="rId4741" Type="http://schemas.openxmlformats.org/officeDocument/2006/relationships/hyperlink" Target="http://www.imdb.com/title/tt0258273/?ref_=fn_tt_tt_1" TargetMode="External"/><Relationship Id="rId4740" Type="http://schemas.openxmlformats.org/officeDocument/2006/relationships/hyperlink" Target="http://www.imdb.com/title/tt0118842/?ref_=fn_tt_tt_1" TargetMode="External"/><Relationship Id="rId474" Type="http://schemas.openxmlformats.org/officeDocument/2006/relationships/hyperlink" Target="http://www.imdb.com/title/tt2510894/?ref_=fn_tt_tt_1" TargetMode="External"/><Relationship Id="rId4739" Type="http://schemas.openxmlformats.org/officeDocument/2006/relationships/hyperlink" Target="http://www.imdb.com/title/tt1971352/?ref_=fn_tt_tt_1" TargetMode="External"/><Relationship Id="rId4738" Type="http://schemas.openxmlformats.org/officeDocument/2006/relationships/hyperlink" Target="http://www.imdb.com/title/tt1568341/?ref_=fn_tt_tt_1" TargetMode="External"/><Relationship Id="rId4737" Type="http://schemas.openxmlformats.org/officeDocument/2006/relationships/hyperlink" Target="http://www.imdb.com/title/tt0082467/?ref_=fn_tt_tt_1" TargetMode="External"/><Relationship Id="rId4736" Type="http://schemas.openxmlformats.org/officeDocument/2006/relationships/hyperlink" Target="http://www.imdb.com/title/tt3904272/?ref_=fn_tt_tt_1" TargetMode="External"/><Relationship Id="rId4735" Type="http://schemas.openxmlformats.org/officeDocument/2006/relationships/hyperlink" Target="http://www.imdb.com/title/tt0393049/?ref_=fn_tt_tt_1" TargetMode="External"/><Relationship Id="rId4734" Type="http://schemas.openxmlformats.org/officeDocument/2006/relationships/hyperlink" Target="http://www.imdb.com/title/tt0100146/?ref_=fn_tt_tt_1" TargetMode="External"/><Relationship Id="rId4733" Type="http://schemas.openxmlformats.org/officeDocument/2006/relationships/hyperlink" Target="http://www.imdb.com/title/tt1241226/?ref_=fn_tt_tt_1" TargetMode="External"/><Relationship Id="rId4732" Type="http://schemas.openxmlformats.org/officeDocument/2006/relationships/hyperlink" Target="http://www.imdb.com/title/tt0072856/?ref_=fn_tt_tt_1" TargetMode="External"/><Relationship Id="rId4731" Type="http://schemas.openxmlformats.org/officeDocument/2006/relationships/hyperlink" Target="http://www.imdb.com/title/tt2912776/?ref_=fn_tt_tt_1" TargetMode="External"/><Relationship Id="rId4730" Type="http://schemas.openxmlformats.org/officeDocument/2006/relationships/hyperlink" Target="http://www.imdb.com/title/tt0421237/?ref_=fn_tt_tt_1" TargetMode="External"/><Relationship Id="rId473" Type="http://schemas.openxmlformats.org/officeDocument/2006/relationships/hyperlink" Target="http://www.imdb.com/title/tt0119033/?ref_=fn_tt_tt_1" TargetMode="External"/><Relationship Id="rId4729" Type="http://schemas.openxmlformats.org/officeDocument/2006/relationships/hyperlink" Target="http://www.imdb.com/title/tt0366444/?ref_=fn_tt_tt_1" TargetMode="External"/><Relationship Id="rId4728" Type="http://schemas.openxmlformats.org/officeDocument/2006/relationships/hyperlink" Target="http://www.imdb.com/title/tt0128214/?ref_=fn_tt_tt_1" TargetMode="External"/><Relationship Id="rId4727" Type="http://schemas.openxmlformats.org/officeDocument/2006/relationships/hyperlink" Target="http://www.imdb.com/title/tt0058414/?ref_=fn_tt_tt_1" TargetMode="External"/><Relationship Id="rId4726" Type="http://schemas.openxmlformats.org/officeDocument/2006/relationships/hyperlink" Target="http://www.imdb.com/title/tt0221809/?ref_=fn_tt_tt_1" TargetMode="External"/><Relationship Id="rId4725" Type="http://schemas.openxmlformats.org/officeDocument/2006/relationships/hyperlink" Target="http://www.imdb.com/title/tt0474361/?ref_=fn_tt_tt_1" TargetMode="External"/><Relationship Id="rId4724" Type="http://schemas.openxmlformats.org/officeDocument/2006/relationships/hyperlink" Target="http://www.imdb.com/title/tt0059592/?ref_=fn_tt_tt_1" TargetMode="External"/><Relationship Id="rId4723" Type="http://schemas.openxmlformats.org/officeDocument/2006/relationships/hyperlink" Target="http://www.imdb.com/title/tt1314190/?ref_=fn_tt_tt_1" TargetMode="External"/><Relationship Id="rId4722" Type="http://schemas.openxmlformats.org/officeDocument/2006/relationships/hyperlink" Target="http://www.imdb.com/title/tt1152850/?ref_=fn_tt_tt_1" TargetMode="External"/><Relationship Id="rId4721" Type="http://schemas.openxmlformats.org/officeDocument/2006/relationships/hyperlink" Target="http://www.imdb.com/title/tt0468526/?ref_=fn_tt_tt_1" TargetMode="External"/><Relationship Id="rId4720" Type="http://schemas.openxmlformats.org/officeDocument/2006/relationships/hyperlink" Target="http://www.imdb.com/title/tt0118717/?ref_=fn_tt_tt_1" TargetMode="External"/><Relationship Id="rId472" Type="http://schemas.openxmlformats.org/officeDocument/2006/relationships/hyperlink" Target="http://www.imdb.com/title/tt0368008/?ref_=fn_tt_tt_1" TargetMode="External"/><Relationship Id="rId4719" Type="http://schemas.openxmlformats.org/officeDocument/2006/relationships/hyperlink" Target="http://www.imdb.com/title/tt0311648/?ref_=fn_tt_tt_1" TargetMode="External"/><Relationship Id="rId4718" Type="http://schemas.openxmlformats.org/officeDocument/2006/relationships/hyperlink" Target="http://www.imdb.com/title/tt0115856/?ref_=fn_tt_tt_1" TargetMode="External"/><Relationship Id="rId4717" Type="http://schemas.openxmlformats.org/officeDocument/2006/relationships/hyperlink" Target="http://www.imdb.com/title/tt0114194/?ref_=fn_tt_tt_1" TargetMode="External"/><Relationship Id="rId4716" Type="http://schemas.openxmlformats.org/officeDocument/2006/relationships/hyperlink" Target="http://www.imdb.com/title/tt0161023/?ref_=fn_tt_tt_1" TargetMode="External"/><Relationship Id="rId4715" Type="http://schemas.openxmlformats.org/officeDocument/2006/relationships/hyperlink" Target="http://www.imdb.com/title/tt0343121/?ref_=fn_tt_tt_1" TargetMode="External"/><Relationship Id="rId4714" Type="http://schemas.openxmlformats.org/officeDocument/2006/relationships/hyperlink" Target="http://www.imdb.com/title/tt1379182/?ref_=fn_tt_tt_1" TargetMode="External"/><Relationship Id="rId4713" Type="http://schemas.openxmlformats.org/officeDocument/2006/relationships/hyperlink" Target="http://www.imdb.com/title/tt0025316/?ref_=fn_tt_tt_1" TargetMode="External"/><Relationship Id="rId4712" Type="http://schemas.openxmlformats.org/officeDocument/2006/relationships/hyperlink" Target="http://www.imdb.com/title/tt0843358/?ref_=fn_tt_tt_1" TargetMode="External"/><Relationship Id="rId4711" Type="http://schemas.openxmlformats.org/officeDocument/2006/relationships/hyperlink" Target="http://www.imdb.com/title/tt0050083/?ref_=fn_tt_tt_1" TargetMode="External"/><Relationship Id="rId4710" Type="http://schemas.openxmlformats.org/officeDocument/2006/relationships/hyperlink" Target="http://www.imdb.com/title/tt4162992/?ref_=fn_tt_tt_1" TargetMode="External"/><Relationship Id="rId471" Type="http://schemas.openxmlformats.org/officeDocument/2006/relationships/hyperlink" Target="http://www.imdb.com/title/tt0120738/?ref_=fn_tt_tt_1" TargetMode="External"/><Relationship Id="rId4709" Type="http://schemas.openxmlformats.org/officeDocument/2006/relationships/hyperlink" Target="http://www.imdb.com/title/tt2070791/?ref_=fn_tt_tt_1" TargetMode="External"/><Relationship Id="rId4708" Type="http://schemas.openxmlformats.org/officeDocument/2006/relationships/hyperlink" Target="http://www.imdb.com/title/tt0468442/?ref_=fn_tt_tt_1" TargetMode="External"/><Relationship Id="rId4707" Type="http://schemas.openxmlformats.org/officeDocument/2006/relationships/hyperlink" Target="http://www.imdb.com/title/tt0092548/?ref_=fn_tt_tt_1" TargetMode="External"/><Relationship Id="rId4706" Type="http://schemas.openxmlformats.org/officeDocument/2006/relationships/hyperlink" Target="http://www.imdb.com/title/tt0436613/?ref_=fn_tt_tt_1" TargetMode="External"/><Relationship Id="rId4705" Type="http://schemas.openxmlformats.org/officeDocument/2006/relationships/hyperlink" Target="http://www.imdb.com/title/tt3457376/?ref_=fn_tt_tt_1" TargetMode="External"/><Relationship Id="rId4704" Type="http://schemas.openxmlformats.org/officeDocument/2006/relationships/hyperlink" Target="http://www.imdb.com/title/tt2103217/?ref_=fn_tt_tt_1" TargetMode="External"/><Relationship Id="rId4703" Type="http://schemas.openxmlformats.org/officeDocument/2006/relationships/hyperlink" Target="http://www.imdb.com/title/tt0083907/?ref_=fn_tt_tt_1" TargetMode="External"/><Relationship Id="rId4702" Type="http://schemas.openxmlformats.org/officeDocument/2006/relationships/hyperlink" Target="http://www.imdb.com/title/tt0019729/?ref_=fn_tt_tt_1" TargetMode="External"/><Relationship Id="rId4701" Type="http://schemas.openxmlformats.org/officeDocument/2006/relationships/hyperlink" Target="http://www.imdb.com/title/tt0120370/?ref_=fn_tt_tt_1" TargetMode="External"/><Relationship Id="rId4700" Type="http://schemas.openxmlformats.org/officeDocument/2006/relationships/hyperlink" Target="http://www.imdb.com/title/tt0006864/?ref_=fn_tt_tt_1" TargetMode="External"/><Relationship Id="rId470" Type="http://schemas.openxmlformats.org/officeDocument/2006/relationships/hyperlink" Target="http://www.imdb.com/title/tt1222817/?ref_=fn_tt_tt_1" TargetMode="External"/><Relationship Id="rId47" Type="http://schemas.openxmlformats.org/officeDocument/2006/relationships/hyperlink" Target="http://www.imdb.com/title/tt0816711/?ref_=fn_tt_tt_1" TargetMode="External"/><Relationship Id="rId4699" Type="http://schemas.openxmlformats.org/officeDocument/2006/relationships/hyperlink" Target="http://www.imdb.com/title/tt0069467/?ref_=fn_tt_tt_1" TargetMode="External"/><Relationship Id="rId4698" Type="http://schemas.openxmlformats.org/officeDocument/2006/relationships/hyperlink" Target="http://www.imdb.com/title/tt0414510/?ref_=fn_tt_tt_1" TargetMode="External"/><Relationship Id="rId4697" Type="http://schemas.openxmlformats.org/officeDocument/2006/relationships/hyperlink" Target="http://www.imdb.com/title/tt0299863/?ref_=fn_tt_tt_1" TargetMode="External"/><Relationship Id="rId4696" Type="http://schemas.openxmlformats.org/officeDocument/2006/relationships/hyperlink" Target="http://www.imdb.com/title/tt0091578/?ref_=fn_tt_tt_1" TargetMode="External"/><Relationship Id="rId4695" Type="http://schemas.openxmlformats.org/officeDocument/2006/relationships/hyperlink" Target="http://www.imdb.com/title/tt0402249/?ref_=fn_tt_tt_1" TargetMode="External"/><Relationship Id="rId4694" Type="http://schemas.openxmlformats.org/officeDocument/2006/relationships/hyperlink" Target="http://www.imdb.com/title/tt1033643/?ref_=fn_tt_tt_1" TargetMode="External"/><Relationship Id="rId4693" Type="http://schemas.openxmlformats.org/officeDocument/2006/relationships/hyperlink" Target="http://www.imdb.com/title/tt0197159/?ref_=fn_tt_tt_1" TargetMode="External"/><Relationship Id="rId4692" Type="http://schemas.openxmlformats.org/officeDocument/2006/relationships/hyperlink" Target="http://www.imdb.com/title/tt0082307/?ref_=fn_tt_tt_1" TargetMode="External"/><Relationship Id="rId4691" Type="http://schemas.openxmlformats.org/officeDocument/2006/relationships/hyperlink" Target="http://www.imdb.com/title/tt2403415/?ref_=fn_tt_tt_1" TargetMode="External"/><Relationship Id="rId4690" Type="http://schemas.openxmlformats.org/officeDocument/2006/relationships/hyperlink" Target="http://www.imdb.com/title/tt1560957/?ref_=fn_tt_tt_1" TargetMode="External"/><Relationship Id="rId469" Type="http://schemas.openxmlformats.org/officeDocument/2006/relationships/hyperlink" Target="http://www.imdb.com/title/tt0166813/?ref_=fn_tt_tt_1" TargetMode="External"/><Relationship Id="rId4689" Type="http://schemas.openxmlformats.org/officeDocument/2006/relationships/hyperlink" Target="http://www.imdb.com/title/tt0390538/?ref_=fn_tt_tt_1" TargetMode="External"/><Relationship Id="rId4688" Type="http://schemas.openxmlformats.org/officeDocument/2006/relationships/hyperlink" Target="http://www.imdb.com/title/tt0813715/?ref_=fn_tt_tt_1" TargetMode="External"/><Relationship Id="rId4687" Type="http://schemas.openxmlformats.org/officeDocument/2006/relationships/hyperlink" Target="http://www.imdb.com/title/tt0396041/?ref_=fn_tt_tt_1" TargetMode="External"/><Relationship Id="rId4686" Type="http://schemas.openxmlformats.org/officeDocument/2006/relationships/hyperlink" Target="http://www.imdb.com/title/tt0451176/?ref_=fn_tt_tt_1" TargetMode="External"/><Relationship Id="rId4685" Type="http://schemas.openxmlformats.org/officeDocument/2006/relationships/hyperlink" Target="http://www.imdb.com/title/tt0071853/?ref_=fn_tt_tt_1" TargetMode="External"/><Relationship Id="rId4684" Type="http://schemas.openxmlformats.org/officeDocument/2006/relationships/hyperlink" Target="http://www.imdb.com/title/tt0275309/?ref_=fn_tt_tt_1" TargetMode="External"/><Relationship Id="rId4683" Type="http://schemas.openxmlformats.org/officeDocument/2006/relationships/hyperlink" Target="http://www.imdb.com/title/tt1179904/?ref_=fn_tt_tt_1" TargetMode="External"/><Relationship Id="rId4682" Type="http://schemas.openxmlformats.org/officeDocument/2006/relationships/hyperlink" Target="http://www.imdb.com/title/tt2359024/?ref_=fn_tt_tt_1" TargetMode="External"/><Relationship Id="rId4681" Type="http://schemas.openxmlformats.org/officeDocument/2006/relationships/hyperlink" Target="http://www.imdb.com/title/tt0374900/?ref_=fn_tt_tt_1" TargetMode="External"/><Relationship Id="rId4680" Type="http://schemas.openxmlformats.org/officeDocument/2006/relationships/hyperlink" Target="http://www.imdb.com/title/tt1958007/?ref_=fn_tt_tt_1" TargetMode="External"/><Relationship Id="rId468" Type="http://schemas.openxmlformats.org/officeDocument/2006/relationships/hyperlink" Target="http://www.imdb.com/title/tt1302067/?ref_=fn_tt_tt_1" TargetMode="External"/><Relationship Id="rId4679" Type="http://schemas.openxmlformats.org/officeDocument/2006/relationships/hyperlink" Target="http://www.imdb.com/title/tt0382330/?ref_=fn_tt_tt_1" TargetMode="External"/><Relationship Id="rId4678" Type="http://schemas.openxmlformats.org/officeDocument/2006/relationships/hyperlink" Target="http://www.imdb.com/title/tt0100142/?ref_=fn_tt_tt_1" TargetMode="External"/><Relationship Id="rId4677" Type="http://schemas.openxmlformats.org/officeDocument/2006/relationships/hyperlink" Target="http://www.imdb.com/title/tt4273494/?ref_=fn_tt_tt_1" TargetMode="External"/><Relationship Id="rId4676" Type="http://schemas.openxmlformats.org/officeDocument/2006/relationships/hyperlink" Target="http://www.imdb.com/title/tt0024034/?ref_=fn_tt_tt_1" TargetMode="External"/><Relationship Id="rId4675" Type="http://schemas.openxmlformats.org/officeDocument/2006/relationships/hyperlink" Target="http://www.imdb.com/title/tt2112209/?ref_=fn_tt_tt_1" TargetMode="External"/><Relationship Id="rId4674" Type="http://schemas.openxmlformats.org/officeDocument/2006/relationships/hyperlink" Target="http://www.imdb.com/title/tt0462485/?ref_=fn_tt_tt_1" TargetMode="External"/><Relationship Id="rId4673" Type="http://schemas.openxmlformats.org/officeDocument/2006/relationships/hyperlink" Target="http://www.imdb.com/title/tt0435623/?ref_=fn_tt_tt_1" TargetMode="External"/><Relationship Id="rId4672" Type="http://schemas.openxmlformats.org/officeDocument/2006/relationships/hyperlink" Target="http://www.imdb.com/title/tt2111292/?ref_=fn_tt_tt_1" TargetMode="External"/><Relationship Id="rId4671" Type="http://schemas.openxmlformats.org/officeDocument/2006/relationships/hyperlink" Target="http://www.imdb.com/title/tt0280491/?ref_=fn_tt_tt_1" TargetMode="External"/><Relationship Id="rId4670" Type="http://schemas.openxmlformats.org/officeDocument/2006/relationships/hyperlink" Target="http://www.imdb.com/title/tt0102989/?ref_=fn_tt_tt_1" TargetMode="External"/><Relationship Id="rId467" Type="http://schemas.openxmlformats.org/officeDocument/2006/relationships/hyperlink" Target="http://www.imdb.com/title/tt0120828/?ref_=fn_tt_tt_1" TargetMode="External"/><Relationship Id="rId4669" Type="http://schemas.openxmlformats.org/officeDocument/2006/relationships/hyperlink" Target="http://www.imdb.com/title/tt0090190/?ref_=fn_tt_tt_1" TargetMode="External"/><Relationship Id="rId4668" Type="http://schemas.openxmlformats.org/officeDocument/2006/relationships/hyperlink" Target="http://www.imdb.com/title/tt3846442/?ref_=fn_tt_tt_1" TargetMode="External"/><Relationship Id="rId4667" Type="http://schemas.openxmlformats.org/officeDocument/2006/relationships/hyperlink" Target="http://www.imdb.com/title/tt2246526/?ref_=fn_tt_tt_1" TargetMode="External"/><Relationship Id="rId4666" Type="http://schemas.openxmlformats.org/officeDocument/2006/relationships/hyperlink" Target="http://www.imdb.com/title/tt4062896/?ref_=fn_tt_tt_1" TargetMode="External"/><Relationship Id="rId4665" Type="http://schemas.openxmlformats.org/officeDocument/2006/relationships/hyperlink" Target="http://www.imdb.com/title/tt2190180/?ref_=fn_tt_tt_1" TargetMode="External"/><Relationship Id="rId4664" Type="http://schemas.openxmlformats.org/officeDocument/2006/relationships/hyperlink" Target="http://www.imdb.com/title/tt3892618/?ref_=fn_tt_tt_1" TargetMode="External"/><Relationship Id="rId4663" Type="http://schemas.openxmlformats.org/officeDocument/2006/relationships/hyperlink" Target="http://www.imdb.com/title/tt3152288/?ref_=fn_tt_tt_1" TargetMode="External"/><Relationship Id="rId4662" Type="http://schemas.openxmlformats.org/officeDocument/2006/relationships/hyperlink" Target="http://www.imdb.com/title/tt2275671/?ref_=fn_tt_tt_1" TargetMode="External"/><Relationship Id="rId4661" Type="http://schemas.openxmlformats.org/officeDocument/2006/relationships/hyperlink" Target="http://www.imdb.com/title/tt1631707/?ref_=fn_tt_tt_1" TargetMode="External"/><Relationship Id="rId4660" Type="http://schemas.openxmlformats.org/officeDocument/2006/relationships/hyperlink" Target="http://www.imdb.com/title/tt2909932/?ref_=fn_tt_tt_1" TargetMode="External"/><Relationship Id="rId466" Type="http://schemas.openxmlformats.org/officeDocument/2006/relationships/hyperlink" Target="http://www.imdb.com/title/tt2713180/?ref_=fn_tt_tt_1" TargetMode="External"/><Relationship Id="rId4659" Type="http://schemas.openxmlformats.org/officeDocument/2006/relationships/hyperlink" Target="http://www.imdb.com/title/tt3417110/?ref_=fn_tt_tt_1" TargetMode="External"/><Relationship Id="rId4658" Type="http://schemas.openxmlformats.org/officeDocument/2006/relationships/hyperlink" Target="http://www.imdb.com/title/tt1884318/?ref_=fn_tt_tt_1" TargetMode="External"/><Relationship Id="rId4657" Type="http://schemas.openxmlformats.org/officeDocument/2006/relationships/hyperlink" Target="http://www.imdb.com/title/tt1937264/?ref_=fn_tt_tt_1" TargetMode="External"/><Relationship Id="rId4656" Type="http://schemas.openxmlformats.org/officeDocument/2006/relationships/hyperlink" Target="http://www.imdb.com/title/tt2825768/?ref_=fn_tt_tt_1" TargetMode="External"/><Relationship Id="rId4655" Type="http://schemas.openxmlformats.org/officeDocument/2006/relationships/hyperlink" Target="http://www.imdb.com/title/tt0455556/?ref_=fn_tt_tt_1" TargetMode="External"/><Relationship Id="rId4654" Type="http://schemas.openxmlformats.org/officeDocument/2006/relationships/hyperlink" Target="http://www.imdb.com/title/tt3297330/?ref_=fn_tt_tt_1" TargetMode="External"/><Relationship Id="rId4653" Type="http://schemas.openxmlformats.org/officeDocument/2006/relationships/hyperlink" Target="http://www.imdb.com/title/tt0228277/?ref_=fn_tt_tt_1" TargetMode="External"/><Relationship Id="rId4652" Type="http://schemas.openxmlformats.org/officeDocument/2006/relationships/hyperlink" Target="http://www.imdb.com/title/tt0486541/?ref_=fn_tt_tt_1" TargetMode="External"/><Relationship Id="rId4651" Type="http://schemas.openxmlformats.org/officeDocument/2006/relationships/hyperlink" Target="http://www.imdb.com/title/tt0843270/?ref_=fn_tt_tt_1" TargetMode="External"/><Relationship Id="rId4650" Type="http://schemas.openxmlformats.org/officeDocument/2006/relationships/hyperlink" Target="http://www.imdb.com/title/tt1865346/?ref_=fn_tt_tt_1" TargetMode="External"/><Relationship Id="rId465" Type="http://schemas.openxmlformats.org/officeDocument/2006/relationships/hyperlink" Target="http://www.imdb.com/title/tt0118883/?ref_=fn_tt_tt_1" TargetMode="External"/><Relationship Id="rId4649" Type="http://schemas.openxmlformats.org/officeDocument/2006/relationships/hyperlink" Target="http://www.imdb.com/title/tt0489212/?ref_=fn_tt_tt_1" TargetMode="External"/><Relationship Id="rId4648" Type="http://schemas.openxmlformats.org/officeDocument/2006/relationships/hyperlink" Target="http://www.imdb.com/title/tt0377043/?ref_=fn_tt_tt_1" TargetMode="External"/><Relationship Id="rId4647" Type="http://schemas.openxmlformats.org/officeDocument/2006/relationships/hyperlink" Target="http://www.imdb.com/title/tt1470827/?ref_=fn_tt_tt_1" TargetMode="External"/><Relationship Id="rId4646" Type="http://schemas.openxmlformats.org/officeDocument/2006/relationships/hyperlink" Target="http://www.imdb.com/title/tt0266971/?ref_=fn_tt_tt_1" TargetMode="External"/><Relationship Id="rId4645" Type="http://schemas.openxmlformats.org/officeDocument/2006/relationships/hyperlink" Target="http://www.imdb.com/title/tt0893346/?ref_=fn_tt_tt_1" TargetMode="External"/><Relationship Id="rId4644" Type="http://schemas.openxmlformats.org/officeDocument/2006/relationships/hyperlink" Target="http://www.imdb.com/title/tt1612774/?ref_=fn_tt_tt_1" TargetMode="External"/><Relationship Id="rId4643" Type="http://schemas.openxmlformats.org/officeDocument/2006/relationships/hyperlink" Target="http://www.imdb.com/title/tt0843850/?ref_=fn_tt_tt_1" TargetMode="External"/><Relationship Id="rId4642" Type="http://schemas.openxmlformats.org/officeDocument/2006/relationships/hyperlink" Target="http://www.imdb.com/title/tt0104567/?ref_=fn_tt_tt_1" TargetMode="External"/><Relationship Id="rId4641" Type="http://schemas.openxmlformats.org/officeDocument/2006/relationships/hyperlink" Target="http://www.imdb.com/title/tt1606829/?ref_=fn_tt_tt_1" TargetMode="External"/><Relationship Id="rId4640" Type="http://schemas.openxmlformats.org/officeDocument/2006/relationships/hyperlink" Target="http://www.imdb.com/title/tt0047478/?ref_=fn_tt_tt_1" TargetMode="External"/><Relationship Id="rId464" Type="http://schemas.openxmlformats.org/officeDocument/2006/relationships/hyperlink" Target="http://www.imdb.com/title/tt0970416/?ref_=fn_tt_tt_1" TargetMode="External"/><Relationship Id="rId4639" Type="http://schemas.openxmlformats.org/officeDocument/2006/relationships/hyperlink" Target="http://www.imdb.com/title/tt2654360/?ref_=fn_tt_tt_1" TargetMode="External"/><Relationship Id="rId4638" Type="http://schemas.openxmlformats.org/officeDocument/2006/relationships/hyperlink" Target="http://www.imdb.com/title/tt2265398/?ref_=fn_tt_tt_1" TargetMode="External"/><Relationship Id="rId4637" Type="http://schemas.openxmlformats.org/officeDocument/2006/relationships/hyperlink" Target="http://www.imdb.com/title/tt0385056/?ref_=fn_tt_tt_1" TargetMode="External"/><Relationship Id="rId4636" Type="http://schemas.openxmlformats.org/officeDocument/2006/relationships/hyperlink" Target="http://www.imdb.com/title/tt0326806/?ref_=fn_tt_tt_1" TargetMode="External"/><Relationship Id="rId4635" Type="http://schemas.openxmlformats.org/officeDocument/2006/relationships/hyperlink" Target="http://www.imdb.com/title/tt0244094/?ref_=fn_tt_tt_1" TargetMode="External"/><Relationship Id="rId4634" Type="http://schemas.openxmlformats.org/officeDocument/2006/relationships/hyperlink" Target="http://www.imdb.com/title/tt0119338/?ref_=fn_tt_tt_1" TargetMode="External"/><Relationship Id="rId4633" Type="http://schemas.openxmlformats.org/officeDocument/2006/relationships/hyperlink" Target="http://www.imdb.com/title/tt0377091/?ref_=fn_tt_tt_1" TargetMode="External"/><Relationship Id="rId4632" Type="http://schemas.openxmlformats.org/officeDocument/2006/relationships/hyperlink" Target="http://www.imdb.com/title/tt0162830/?ref_=fn_tt_tt_1" TargetMode="External"/><Relationship Id="rId4631" Type="http://schemas.openxmlformats.org/officeDocument/2006/relationships/hyperlink" Target="http://www.imdb.com/title/tt0341540/?ref_=fn_tt_tt_1" TargetMode="External"/><Relationship Id="rId4630" Type="http://schemas.openxmlformats.org/officeDocument/2006/relationships/hyperlink" Target="http://www.imdb.com/title/tt0212974/?ref_=fn_tt_tt_1" TargetMode="External"/><Relationship Id="rId463" Type="http://schemas.openxmlformats.org/officeDocument/2006/relationships/hyperlink" Target="http://www.imdb.com/title/tt0383216/?ref_=fn_tt_tt_1" TargetMode="External"/><Relationship Id="rId4629" Type="http://schemas.openxmlformats.org/officeDocument/2006/relationships/hyperlink" Target="http://www.imdb.com/title/tt1976608/?ref_=fn_tt_tt_1" TargetMode="External"/><Relationship Id="rId4628" Type="http://schemas.openxmlformats.org/officeDocument/2006/relationships/hyperlink" Target="http://www.imdb.com/title/tt0368913/?ref_=fn_tt_tt_1" TargetMode="External"/><Relationship Id="rId4627" Type="http://schemas.openxmlformats.org/officeDocument/2006/relationships/hyperlink" Target="http://www.imdb.com/title/tt0306069/?ref_=fn_tt_tt_1" TargetMode="External"/><Relationship Id="rId4626" Type="http://schemas.openxmlformats.org/officeDocument/2006/relationships/hyperlink" Target="http://www.imdb.com/title/tt0218043/?ref_=fn_tt_tt_1" TargetMode="External"/><Relationship Id="rId4625" Type="http://schemas.openxmlformats.org/officeDocument/2006/relationships/hyperlink" Target="http://www.imdb.com/title/tt0492506/?ref_=fn_tt_tt_1" TargetMode="External"/><Relationship Id="rId4624" Type="http://schemas.openxmlformats.org/officeDocument/2006/relationships/hyperlink" Target="http://www.imdb.com/title/tt1270286/?ref_=fn_tt_tt_1" TargetMode="External"/><Relationship Id="rId4623" Type="http://schemas.openxmlformats.org/officeDocument/2006/relationships/hyperlink" Target="http://www.imdb.com/title/tt0340377/?ref_=fn_tt_tt_1" TargetMode="External"/><Relationship Id="rId4622" Type="http://schemas.openxmlformats.org/officeDocument/2006/relationships/hyperlink" Target="http://www.imdb.com/title/tt0438205/?ref_=fn_tt_tt_1" TargetMode="External"/><Relationship Id="rId4621" Type="http://schemas.openxmlformats.org/officeDocument/2006/relationships/hyperlink" Target="http://www.imdb.com/title/tt0076271/?ref_=fn_tt_tt_1" TargetMode="External"/><Relationship Id="rId4620" Type="http://schemas.openxmlformats.org/officeDocument/2006/relationships/hyperlink" Target="http://www.imdb.com/title/tt1692084/?ref_=fn_tt_tt_1" TargetMode="External"/><Relationship Id="rId462" Type="http://schemas.openxmlformats.org/officeDocument/2006/relationships/hyperlink" Target="http://www.imdb.com/title/tt0117705/?ref_=fn_tt_tt_1" TargetMode="External"/><Relationship Id="rId4619" Type="http://schemas.openxmlformats.org/officeDocument/2006/relationships/hyperlink" Target="http://www.imdb.com/title/tt0374102/?ref_=fn_tt_tt_1" TargetMode="External"/><Relationship Id="rId4618" Type="http://schemas.openxmlformats.org/officeDocument/2006/relationships/hyperlink" Target="http://www.imdb.com/title/tt0071206/?ref_=fn_tt_tt_1" TargetMode="External"/><Relationship Id="rId4617" Type="http://schemas.openxmlformats.org/officeDocument/2006/relationships/hyperlink" Target="http://www.imdb.com/title/tt2768766/?ref_=fn_tt_tt_1" TargetMode="External"/><Relationship Id="rId4616" Type="http://schemas.openxmlformats.org/officeDocument/2006/relationships/hyperlink" Target="http://www.imdb.com/title/tt1129423/?ref_=fn_tt_tt_1" TargetMode="External"/><Relationship Id="rId4615" Type="http://schemas.openxmlformats.org/officeDocument/2006/relationships/hyperlink" Target="http://www.imdb.com/title/tt4374230/?ref_=fn_tt_tt_1" TargetMode="External"/><Relationship Id="rId4614" Type="http://schemas.openxmlformats.org/officeDocument/2006/relationships/hyperlink" Target="http://www.imdb.com/title/tt0085871/?ref_=fn_tt_tt_1" TargetMode="External"/><Relationship Id="rId4613" Type="http://schemas.openxmlformats.org/officeDocument/2006/relationships/hyperlink" Target="http://www.imdb.com/title/tt1981703/?ref_=fn_tt_tt_1" TargetMode="External"/><Relationship Id="rId4612" Type="http://schemas.openxmlformats.org/officeDocument/2006/relationships/hyperlink" Target="http://www.imdb.com/title/tt0058182/?ref_=fn_tt_tt_1" TargetMode="External"/><Relationship Id="rId4611" Type="http://schemas.openxmlformats.org/officeDocument/2006/relationships/hyperlink" Target="http://www.imdb.com/title/tt2263814/?ref_=fn_tt_tt_1" TargetMode="External"/><Relationship Id="rId4610" Type="http://schemas.openxmlformats.org/officeDocument/2006/relationships/hyperlink" Target="http://www.imdb.com/title/tt5078326/?ref_=fn_tt_tt_1" TargetMode="External"/><Relationship Id="rId461" Type="http://schemas.openxmlformats.org/officeDocument/2006/relationships/hyperlink" Target="http://www.imdb.com/title/tt0171363/?ref_=fn_tt_tt_1" TargetMode="External"/><Relationship Id="rId4609" Type="http://schemas.openxmlformats.org/officeDocument/2006/relationships/hyperlink" Target="http://www.imdb.com/title/tt3130704/?ref_=fn_tt_tt_1" TargetMode="External"/><Relationship Id="rId4608" Type="http://schemas.openxmlformats.org/officeDocument/2006/relationships/hyperlink" Target="http://www.imdb.com/title/tt0331225/?ref_=fn_tt_tt_1" TargetMode="External"/><Relationship Id="rId4607" Type="http://schemas.openxmlformats.org/officeDocument/2006/relationships/hyperlink" Target="http://www.imdb.com/title/tt4333662/?ref_=fn_tt_tt_1" TargetMode="External"/><Relationship Id="rId4606" Type="http://schemas.openxmlformats.org/officeDocument/2006/relationships/hyperlink" Target="http://www.imdb.com/title/tt2052015/?ref_=fn_tt_tt_1" TargetMode="External"/><Relationship Id="rId4605" Type="http://schemas.openxmlformats.org/officeDocument/2006/relationships/hyperlink" Target="http://www.imdb.com/title/tt0149964/?ref_=fn_tt_tt_1" TargetMode="External"/><Relationship Id="rId4604" Type="http://schemas.openxmlformats.org/officeDocument/2006/relationships/hyperlink" Target="http://www.imdb.com/title/tt1074931/?ref_=fn_tt_tt_1" TargetMode="External"/><Relationship Id="rId4603" Type="http://schemas.openxmlformats.org/officeDocument/2006/relationships/hyperlink" Target="http://www.imdb.com/title/tt0243415/?ref_=fn_tt_tt_1" TargetMode="External"/><Relationship Id="rId4602" Type="http://schemas.openxmlformats.org/officeDocument/2006/relationships/hyperlink" Target="http://www.imdb.com/title/tt0076257/?ref_=fn_tt_tt_1" TargetMode="External"/><Relationship Id="rId4601" Type="http://schemas.openxmlformats.org/officeDocument/2006/relationships/hyperlink" Target="http://www.imdb.com/title/tt0066580/?ref_=fn_tt_tt_1" TargetMode="External"/><Relationship Id="rId4600" Type="http://schemas.openxmlformats.org/officeDocument/2006/relationships/hyperlink" Target="http://www.imdb.com/title/tt0185937/?ref_=fn_tt_tt_1" TargetMode="External"/><Relationship Id="rId460" Type="http://schemas.openxmlformats.org/officeDocument/2006/relationships/hyperlink" Target="http://www.imdb.com/title/tt0119137/?ref_=fn_tt_tt_1" TargetMode="External"/><Relationship Id="rId46" Type="http://schemas.openxmlformats.org/officeDocument/2006/relationships/hyperlink" Target="http://www.imdb.com/title/tt2820852/?ref_=fn_tt_tt_1" TargetMode="External"/><Relationship Id="rId4599" Type="http://schemas.openxmlformats.org/officeDocument/2006/relationships/hyperlink" Target="http://www.imdb.com/title/tt0027125/?ref_=fn_tt_tt_1" TargetMode="External"/><Relationship Id="rId4598" Type="http://schemas.openxmlformats.org/officeDocument/2006/relationships/hyperlink" Target="http://www.imdb.com/title/tt2016335/?ref_=fn_tt_tt_1" TargetMode="External"/><Relationship Id="rId4597" Type="http://schemas.openxmlformats.org/officeDocument/2006/relationships/hyperlink" Target="http://www.imdb.com/title/tt2380301/?ref_=fn_tt_tt_1" TargetMode="External"/><Relationship Id="rId4596" Type="http://schemas.openxmlformats.org/officeDocument/2006/relationships/hyperlink" Target="http://www.imdb.com/title/tt1799508/?ref_=fn_tt_tt_1" TargetMode="External"/><Relationship Id="rId4595" Type="http://schemas.openxmlformats.org/officeDocument/2006/relationships/hyperlink" Target="http://www.imdb.com/title/tt2139721/?ref_=fn_tt_tt_1" TargetMode="External"/><Relationship Id="rId4594" Type="http://schemas.openxmlformats.org/officeDocument/2006/relationships/hyperlink" Target="http://www.imdb.com/title/tt1510934/?ref_=fn_tt_tt_1" TargetMode="External"/><Relationship Id="rId4593" Type="http://schemas.openxmlformats.org/officeDocument/2006/relationships/hyperlink" Target="http://www.imdb.com/title/tt2187884/?ref_=fn_tt_tt_1" TargetMode="External"/><Relationship Id="rId4592" Type="http://schemas.openxmlformats.org/officeDocument/2006/relationships/hyperlink" Target="http://www.imdb.com/title/tt4044464/?ref_=fn_tt_tt_1" TargetMode="External"/><Relationship Id="rId4591" Type="http://schemas.openxmlformats.org/officeDocument/2006/relationships/hyperlink" Target="http://www.imdb.com/title/tt0126938/?ref_=fn_tt_tt_1" TargetMode="External"/><Relationship Id="rId4590" Type="http://schemas.openxmlformats.org/officeDocument/2006/relationships/hyperlink" Target="http://www.imdb.com/title/tt0133117/?ref_=fn_tt_tt_1" TargetMode="External"/><Relationship Id="rId459" Type="http://schemas.openxmlformats.org/officeDocument/2006/relationships/hyperlink" Target="http://www.imdb.com/title/tt1037705/?ref_=fn_tt_tt_1" TargetMode="External"/><Relationship Id="rId4589" Type="http://schemas.openxmlformats.org/officeDocument/2006/relationships/hyperlink" Target="http://www.imdb.com/title/tt0468489/?ref_=fn_tt_tt_1" TargetMode="External"/><Relationship Id="rId4588" Type="http://schemas.openxmlformats.org/officeDocument/2006/relationships/hyperlink" Target="http://www.imdb.com/title/tt0964179/?ref_=fn_tt_tt_1" TargetMode="External"/><Relationship Id="rId4587" Type="http://schemas.openxmlformats.org/officeDocument/2006/relationships/hyperlink" Target="http://www.imdb.com/title/tt1015471/?ref_=fn_tt_tt_1" TargetMode="External"/><Relationship Id="rId4586" Type="http://schemas.openxmlformats.org/officeDocument/2006/relationships/hyperlink" Target="http://www.imdb.com/title/tt0242587/?ref_=fn_tt_tt_1" TargetMode="External"/><Relationship Id="rId4585" Type="http://schemas.openxmlformats.org/officeDocument/2006/relationships/hyperlink" Target="http://www.imdb.com/title/tt2983582/?ref_=fn_tt_tt_1" TargetMode="External"/><Relationship Id="rId4584" Type="http://schemas.openxmlformats.org/officeDocument/2006/relationships/hyperlink" Target="http://www.imdb.com/title/tt0436724/?ref_=fn_tt_tt_1" TargetMode="External"/><Relationship Id="rId4583" Type="http://schemas.openxmlformats.org/officeDocument/2006/relationships/hyperlink" Target="http://www.imdb.com/title/tt0110057/?ref_=fn_tt_tt_1" TargetMode="External"/><Relationship Id="rId4582" Type="http://schemas.openxmlformats.org/officeDocument/2006/relationships/hyperlink" Target="http://www.imdb.com/title/tt0044706/?ref_=fn_tt_tt_1" TargetMode="External"/><Relationship Id="rId4581" Type="http://schemas.openxmlformats.org/officeDocument/2006/relationships/hyperlink" Target="http://www.imdb.com/title/tt0997143/?ref_=fn_tt_tt_1" TargetMode="External"/><Relationship Id="rId4580" Type="http://schemas.openxmlformats.org/officeDocument/2006/relationships/hyperlink" Target="http://www.imdb.com/title/tt0490076/?ref_=fn_tt_tt_1" TargetMode="External"/><Relationship Id="rId458" Type="http://schemas.openxmlformats.org/officeDocument/2006/relationships/hyperlink" Target="http://www.imdb.com/title/tt0159365/?ref_=fn_tt_tt_1" TargetMode="External"/><Relationship Id="rId4579" Type="http://schemas.openxmlformats.org/officeDocument/2006/relationships/hyperlink" Target="http://www.imdb.com/title/tt0988849/?ref_=fn_tt_tt_1" TargetMode="External"/><Relationship Id="rId4578" Type="http://schemas.openxmlformats.org/officeDocument/2006/relationships/hyperlink" Target="http://www.imdb.com/title/tt0308411/?ref_=fn_tt_tt_1" TargetMode="External"/><Relationship Id="rId4577" Type="http://schemas.openxmlformats.org/officeDocument/2006/relationships/hyperlink" Target="http://www.imdb.com/title/tt0065571/?ref_=fn_tt_tt_1" TargetMode="External"/><Relationship Id="rId4576" Type="http://schemas.openxmlformats.org/officeDocument/2006/relationships/hyperlink" Target="http://www.imdb.com/title/tt1594562/?ref_=fn_tt_tt_1" TargetMode="External"/><Relationship Id="rId4575" Type="http://schemas.openxmlformats.org/officeDocument/2006/relationships/hyperlink" Target="http://www.imdb.com/title/tt1788391/?ref_=fn_tt_tt_1" TargetMode="External"/><Relationship Id="rId4574" Type="http://schemas.openxmlformats.org/officeDocument/2006/relationships/hyperlink" Target="http://www.imdb.com/title/tt1999192/?ref_=fn_tt_tt_1" TargetMode="External"/><Relationship Id="rId4573" Type="http://schemas.openxmlformats.org/officeDocument/2006/relationships/hyperlink" Target="http://www.imdb.com/title/tt1862079/?ref_=fn_tt_tt_1" TargetMode="External"/><Relationship Id="rId4572" Type="http://schemas.openxmlformats.org/officeDocument/2006/relationships/hyperlink" Target="http://www.imdb.com/title/tt0455326/?ref_=fn_tt_tt_1" TargetMode="External"/><Relationship Id="rId4571" Type="http://schemas.openxmlformats.org/officeDocument/2006/relationships/hyperlink" Target="http://www.imdb.com/title/tt0815181/?ref_=fn_tt_tt_1" TargetMode="External"/><Relationship Id="rId4570" Type="http://schemas.openxmlformats.org/officeDocument/2006/relationships/hyperlink" Target="http://www.imdb.com/title/tt0069704/?ref_=fn_tt_tt_1" TargetMode="External"/><Relationship Id="rId457" Type="http://schemas.openxmlformats.org/officeDocument/2006/relationships/hyperlink" Target="http://www.imdb.com/title/tt1059786/?ref_=fn_tt_tt_1" TargetMode="External"/><Relationship Id="rId4569" Type="http://schemas.openxmlformats.org/officeDocument/2006/relationships/hyperlink" Target="http://www.imdb.com/title/tt2164708/?ref_=fn_tt_tt_1" TargetMode="External"/><Relationship Id="rId4568" Type="http://schemas.openxmlformats.org/officeDocument/2006/relationships/hyperlink" Target="http://www.imdb.com/title/tt0373283/?ref_=fn_tt_tt_1" TargetMode="External"/><Relationship Id="rId4567" Type="http://schemas.openxmlformats.org/officeDocument/2006/relationships/hyperlink" Target="http://www.imdb.com/title/tt1278340/?ref_=fn_tt_tt_1" TargetMode="External"/><Relationship Id="rId4566" Type="http://schemas.openxmlformats.org/officeDocument/2006/relationships/hyperlink" Target="http://www.imdb.com/title/tt3569356/?ref_=fn_tt_tt_1" TargetMode="External"/><Relationship Id="rId4565" Type="http://schemas.openxmlformats.org/officeDocument/2006/relationships/hyperlink" Target="http://www.imdb.com/title/tt0186719/?ref_=fn_tt_tt_1" TargetMode="External"/><Relationship Id="rId4564" Type="http://schemas.openxmlformats.org/officeDocument/2006/relationships/hyperlink" Target="http://www.imdb.com/title/tt0339419/?ref_=fn_tt_tt_1" TargetMode="External"/><Relationship Id="rId4563" Type="http://schemas.openxmlformats.org/officeDocument/2006/relationships/hyperlink" Target="http://www.imdb.com/title/tt0158583/?ref_=fn_tt_tt_1" TargetMode="External"/><Relationship Id="rId4562" Type="http://schemas.openxmlformats.org/officeDocument/2006/relationships/hyperlink" Target="http://www.imdb.com/title/tt0356453/?ref_=fn_tt_tt_1" TargetMode="External"/><Relationship Id="rId4561" Type="http://schemas.openxmlformats.org/officeDocument/2006/relationships/hyperlink" Target="http://www.imdb.com/title/tt0870118/?ref_=fn_tt_tt_1" TargetMode="External"/><Relationship Id="rId4560" Type="http://schemas.openxmlformats.org/officeDocument/2006/relationships/hyperlink" Target="http://www.imdb.com/title/tt0018737/?ref_=fn_tt_tt_1" TargetMode="External"/><Relationship Id="rId456" Type="http://schemas.openxmlformats.org/officeDocument/2006/relationships/hyperlink" Target="http://www.imdb.com/title/tt0118880/?ref_=fn_tt_tt_1" TargetMode="External"/><Relationship Id="rId4559" Type="http://schemas.openxmlformats.org/officeDocument/2006/relationships/hyperlink" Target="http://www.imdb.com/title/tt0316188/?ref_=fn_tt_tt_1" TargetMode="External"/><Relationship Id="rId4558" Type="http://schemas.openxmlformats.org/officeDocument/2006/relationships/hyperlink" Target="http://www.imdb.com/title/tt0108000/?ref_=fn_tt_tt_1" TargetMode="External"/><Relationship Id="rId4557" Type="http://schemas.openxmlformats.org/officeDocument/2006/relationships/hyperlink" Target="http://www.imdb.com/title/tt0114906/?ref_=fn_tt_tt_1" TargetMode="External"/><Relationship Id="rId4556" Type="http://schemas.openxmlformats.org/officeDocument/2006/relationships/hyperlink" Target="http://www.imdb.com/title/tt1349478/?ref_=fn_tt_tt_1" TargetMode="External"/><Relationship Id="rId4555" Type="http://schemas.openxmlformats.org/officeDocument/2006/relationships/hyperlink" Target="http://www.imdb.com/title/tt1832382/?ref_=fn_tt_tt_1" TargetMode="External"/><Relationship Id="rId4554" Type="http://schemas.openxmlformats.org/officeDocument/2006/relationships/hyperlink" Target="http://www.imdb.com/title/tt2311428/?ref_=fn_tt_tt_1" TargetMode="External"/><Relationship Id="rId4553" Type="http://schemas.openxmlformats.org/officeDocument/2006/relationships/hyperlink" Target="http://www.imdb.com/title/tt4733536/?ref_=fn_tt_tt_1" TargetMode="External"/><Relationship Id="rId4552" Type="http://schemas.openxmlformats.org/officeDocument/2006/relationships/hyperlink" Target="http://www.imdb.com/title/tt0490166/?ref_=fn_tt_tt_1" TargetMode="External"/><Relationship Id="rId4551" Type="http://schemas.openxmlformats.org/officeDocument/2006/relationships/hyperlink" Target="http://www.imdb.com/title/tt0295725/?ref_=fn_tt_tt_1" TargetMode="External"/><Relationship Id="rId4550" Type="http://schemas.openxmlformats.org/officeDocument/2006/relationships/hyperlink" Target="http://www.imdb.com/title/tt1405365/?ref_=fn_tt_tt_1" TargetMode="External"/><Relationship Id="rId455" Type="http://schemas.openxmlformats.org/officeDocument/2006/relationships/hyperlink" Target="http://www.imdb.com/title/tt3322312/?ref_=fn_tt_tt_1" TargetMode="External"/><Relationship Id="rId4549" Type="http://schemas.openxmlformats.org/officeDocument/2006/relationships/hyperlink" Target="http://www.imdb.com/title/tt1996264/?ref_=fn_tt_tt_1" TargetMode="External"/><Relationship Id="rId4548" Type="http://schemas.openxmlformats.org/officeDocument/2006/relationships/hyperlink" Target="http://www.imdb.com/title/tt2388621/?ref_=fn_tt_tt_1" TargetMode="External"/><Relationship Id="rId4547" Type="http://schemas.openxmlformats.org/officeDocument/2006/relationships/hyperlink" Target="http://www.imdb.com/title/tt1852001/?ref_=fn_tt_tt_1" TargetMode="External"/><Relationship Id="rId4546" Type="http://schemas.openxmlformats.org/officeDocument/2006/relationships/hyperlink" Target="http://www.imdb.com/title/tt0345551/?ref_=fn_tt_tt_1" TargetMode="External"/><Relationship Id="rId4545" Type="http://schemas.openxmlformats.org/officeDocument/2006/relationships/hyperlink" Target="http://www.imdb.com/title/tt0814130/?ref_=fn_tt_tt_1" TargetMode="External"/><Relationship Id="rId4544" Type="http://schemas.openxmlformats.org/officeDocument/2006/relationships/hyperlink" Target="http://www.imdb.com/title/tt0034492/?ref_=fn_tt_tt_1" TargetMode="External"/><Relationship Id="rId4543" Type="http://schemas.openxmlformats.org/officeDocument/2006/relationships/hyperlink" Target="http://www.imdb.com/title/tt1935902/?ref_=fn_tt_tt_1" TargetMode="External"/><Relationship Id="rId4542" Type="http://schemas.openxmlformats.org/officeDocument/2006/relationships/hyperlink" Target="http://www.imdb.com/title/tt2334649/?ref_=fn_tt_tt_1" TargetMode="External"/><Relationship Id="rId4541" Type="http://schemas.openxmlformats.org/officeDocument/2006/relationships/hyperlink" Target="http://www.imdb.com/title/tt1684628/?ref_=fn_tt_tt_1" TargetMode="External"/><Relationship Id="rId4540" Type="http://schemas.openxmlformats.org/officeDocument/2006/relationships/hyperlink" Target="http://www.imdb.com/title/tt0414951/?ref_=fn_tt_tt_1" TargetMode="External"/><Relationship Id="rId454" Type="http://schemas.openxmlformats.org/officeDocument/2006/relationships/hyperlink" Target="http://www.imdb.com/title/tt1564367/?ref_=fn_tt_tt_1" TargetMode="External"/><Relationship Id="rId4539" Type="http://schemas.openxmlformats.org/officeDocument/2006/relationships/hyperlink" Target="http://www.imdb.com/title/tt0424136/?ref_=fn_tt_tt_1" TargetMode="External"/><Relationship Id="rId4538" Type="http://schemas.openxmlformats.org/officeDocument/2006/relationships/hyperlink" Target="http://www.imdb.com/title/tt3034146/?ref_=fn_tt_tt_1" TargetMode="External"/><Relationship Id="rId4537" Type="http://schemas.openxmlformats.org/officeDocument/2006/relationships/hyperlink" Target="http://www.imdb.com/title/tt1032846/?ref_=fn_tt_tt_1" TargetMode="External"/><Relationship Id="rId4536" Type="http://schemas.openxmlformats.org/officeDocument/2006/relationships/hyperlink" Target="http://www.imdb.com/title/tt1726589/?ref_=fn_tt_tt_1" TargetMode="External"/><Relationship Id="rId4535" Type="http://schemas.openxmlformats.org/officeDocument/2006/relationships/hyperlink" Target="http://www.imdb.com/title/tt0047296/?ref_=fn_tt_tt_1" TargetMode="External"/><Relationship Id="rId4534" Type="http://schemas.openxmlformats.org/officeDocument/2006/relationships/hyperlink" Target="http://www.imdb.com/title/tt2141739/?ref_=fn_tt_tt_1" TargetMode="External"/><Relationship Id="rId4533" Type="http://schemas.openxmlformats.org/officeDocument/2006/relationships/hyperlink" Target="http://www.imdb.com/title/tt0825346/?ref_=fn_tt_tt_1" TargetMode="External"/><Relationship Id="rId4532" Type="http://schemas.openxmlformats.org/officeDocument/2006/relationships/hyperlink" Target="http://www.imdb.com/title/tt2505294/?ref_=fn_tt_tt_1" TargetMode="External"/><Relationship Id="rId4531" Type="http://schemas.openxmlformats.org/officeDocument/2006/relationships/hyperlink" Target="http://www.imdb.com/title/tt0156196/?ref_=fn_tt_tt_1" TargetMode="External"/><Relationship Id="rId4530" Type="http://schemas.openxmlformats.org/officeDocument/2006/relationships/hyperlink" Target="http://www.imdb.com/title/tt2011276/?ref_=fn_tt_tt_1" TargetMode="External"/><Relationship Id="rId453" Type="http://schemas.openxmlformats.org/officeDocument/2006/relationships/hyperlink" Target="http://www.imdb.com/title/tt0257044/?ref_=fn_tt_tt_1" TargetMode="External"/><Relationship Id="rId4529" Type="http://schemas.openxmlformats.org/officeDocument/2006/relationships/hyperlink" Target="http://www.imdb.com/title/tt0062794/?ref_=fn_tt_tt_1" TargetMode="External"/><Relationship Id="rId4528" Type="http://schemas.openxmlformats.org/officeDocument/2006/relationships/hyperlink" Target="http://www.imdb.com/title/tt1604100/?ref_=fn_tt_tt_1" TargetMode="External"/><Relationship Id="rId4527" Type="http://schemas.openxmlformats.org/officeDocument/2006/relationships/hyperlink" Target="http://www.imdb.com/title/tt2446502/?ref_=fn_tt_tt_1" TargetMode="External"/><Relationship Id="rId4526" Type="http://schemas.openxmlformats.org/officeDocument/2006/relationships/hyperlink" Target="http://www.imdb.com/title/tt2165765/?ref_=fn_tt_tt_1" TargetMode="External"/><Relationship Id="rId4525" Type="http://schemas.openxmlformats.org/officeDocument/2006/relationships/hyperlink" Target="http://www.imdb.com/title/tt2655734/?ref_=fn_tt_tt_1" TargetMode="External"/><Relationship Id="rId4524" Type="http://schemas.openxmlformats.org/officeDocument/2006/relationships/hyperlink" Target="http://www.imdb.com/title/tt0825728/?ref_=fn_tt_tt_1" TargetMode="External"/><Relationship Id="rId4523" Type="http://schemas.openxmlformats.org/officeDocument/2006/relationships/hyperlink" Target="http://www.imdb.com/title/tt1838722/?ref_=fn_tt_tt_1" TargetMode="External"/><Relationship Id="rId4522" Type="http://schemas.openxmlformats.org/officeDocument/2006/relationships/hyperlink" Target="http://www.imdb.com/title/tt1930294/?ref_=fn_tt_tt_1" TargetMode="External"/><Relationship Id="rId4521" Type="http://schemas.openxmlformats.org/officeDocument/2006/relationships/hyperlink" Target="http://www.imdb.com/title/tt3359872/?ref_=fn_tt_tt_1" TargetMode="External"/><Relationship Id="rId4520" Type="http://schemas.openxmlformats.org/officeDocument/2006/relationships/hyperlink" Target="http://www.imdb.com/title/tt0826751/?ref_=fn_tt_tt_1" TargetMode="External"/><Relationship Id="rId452" Type="http://schemas.openxmlformats.org/officeDocument/2006/relationships/hyperlink" Target="http://www.imdb.com/title/tt0960731/?ref_=fn_tt_tt_1" TargetMode="External"/><Relationship Id="rId4519" Type="http://schemas.openxmlformats.org/officeDocument/2006/relationships/hyperlink" Target="http://www.imdb.com/title/tt1679248/?ref_=fn_tt_tt_1" TargetMode="External"/><Relationship Id="rId4518" Type="http://schemas.openxmlformats.org/officeDocument/2006/relationships/hyperlink" Target="http://www.imdb.com/title/tt3289362/?ref_=fn_tt_tt_1" TargetMode="External"/><Relationship Id="rId4517" Type="http://schemas.openxmlformats.org/officeDocument/2006/relationships/hyperlink" Target="http://www.imdb.com/title/tt2149137/?ref_=fn_tt_tt_1" TargetMode="External"/><Relationship Id="rId4516" Type="http://schemas.openxmlformats.org/officeDocument/2006/relationships/hyperlink" Target="http://www.imdb.com/title/tt1134674/?ref_=fn_tt_tt_1" TargetMode="External"/><Relationship Id="rId4515" Type="http://schemas.openxmlformats.org/officeDocument/2006/relationships/hyperlink" Target="http://www.imdb.com/title/tt0867270/?ref_=fn_tt_tt_1" TargetMode="External"/><Relationship Id="rId4514" Type="http://schemas.openxmlformats.org/officeDocument/2006/relationships/hyperlink" Target="http://www.imdb.com/title/tt1014806/?ref_=fn_tt_tt_1" TargetMode="External"/><Relationship Id="rId4513" Type="http://schemas.openxmlformats.org/officeDocument/2006/relationships/hyperlink" Target="http://www.imdb.com/title/tt0393616/?ref_=fn_tt_tt_1" TargetMode="External"/><Relationship Id="rId4512" Type="http://schemas.openxmlformats.org/officeDocument/2006/relationships/hyperlink" Target="http://www.imdb.com/title/tt0060816/?ref_=fn_tt_tt_1" TargetMode="External"/><Relationship Id="rId4511" Type="http://schemas.openxmlformats.org/officeDocument/2006/relationships/hyperlink" Target="http://www.imdb.com/title/tt1414361/?ref_=fn_tt_tt_1" TargetMode="External"/><Relationship Id="rId4510" Type="http://schemas.openxmlformats.org/officeDocument/2006/relationships/hyperlink" Target="http://www.imdb.com/title/tt0425151/?ref_=fn_tt_tt_1" TargetMode="External"/><Relationship Id="rId451" Type="http://schemas.openxmlformats.org/officeDocument/2006/relationships/hyperlink" Target="http://www.imdb.com/title/tt0119094/?ref_=fn_tt_tt_1" TargetMode="External"/><Relationship Id="rId4509" Type="http://schemas.openxmlformats.org/officeDocument/2006/relationships/hyperlink" Target="http://www.imdb.com/title/tt3145220/?ref_=fn_tt_tt_1" TargetMode="External"/><Relationship Id="rId4508" Type="http://schemas.openxmlformats.org/officeDocument/2006/relationships/hyperlink" Target="http://www.imdb.com/title/tt0323120/?ref_=fn_tt_tt_1" TargetMode="External"/><Relationship Id="rId4507" Type="http://schemas.openxmlformats.org/officeDocument/2006/relationships/hyperlink" Target="http://www.imdb.com/title/tt4590482/?ref_=fn_tt_tt_1" TargetMode="External"/><Relationship Id="rId4506" Type="http://schemas.openxmlformats.org/officeDocument/2006/relationships/hyperlink" Target="http://www.imdb.com/title/tt2852376/?ref_=fn_tt_tt_1" TargetMode="External"/><Relationship Id="rId4505" Type="http://schemas.openxmlformats.org/officeDocument/2006/relationships/hyperlink" Target="http://www.imdb.com/title/tt0271020/?ref_=fn_tt_tt_1" TargetMode="External"/><Relationship Id="rId4504" Type="http://schemas.openxmlformats.org/officeDocument/2006/relationships/hyperlink" Target="http://www.imdb.com/title/tt0487156/?ref_=fn_tt_tt_1" TargetMode="External"/><Relationship Id="rId4503" Type="http://schemas.openxmlformats.org/officeDocument/2006/relationships/hyperlink" Target="http://www.imdb.com/title/tt0401462/?ref_=fn_tt_tt_1" TargetMode="External"/><Relationship Id="rId4502" Type="http://schemas.openxmlformats.org/officeDocument/2006/relationships/hyperlink" Target="http://www.imdb.com/title/tt0124137/?ref_=fn_tt_tt_1" TargetMode="External"/><Relationship Id="rId4501" Type="http://schemas.openxmlformats.org/officeDocument/2006/relationships/hyperlink" Target="http://www.imdb.com/title/tt0479162/?ref_=fn_tt_tt_1" TargetMode="External"/><Relationship Id="rId4500" Type="http://schemas.openxmlformats.org/officeDocument/2006/relationships/hyperlink" Target="http://www.imdb.com/title/tt3277624/?ref_=fn_tt_tt_1" TargetMode="External"/><Relationship Id="rId450" Type="http://schemas.openxmlformats.org/officeDocument/2006/relationships/hyperlink" Target="http://www.imdb.com/title/tt0358082/?ref_=fn_tt_tt_1" TargetMode="External"/><Relationship Id="rId45" Type="http://schemas.openxmlformats.org/officeDocument/2006/relationships/hyperlink" Target="http://www.imdb.com/title/tt0438488/?ref_=fn_tt_tt_1" TargetMode="External"/><Relationship Id="rId4499" Type="http://schemas.openxmlformats.org/officeDocument/2006/relationships/hyperlink" Target="http://www.imdb.com/title/tt0472259/?ref_=fn_tt_tt_1" TargetMode="External"/><Relationship Id="rId4498" Type="http://schemas.openxmlformats.org/officeDocument/2006/relationships/hyperlink" Target="http://www.imdb.com/title/tt1130087/?ref_=fn_tt_tt_1" TargetMode="External"/><Relationship Id="rId4497" Type="http://schemas.openxmlformats.org/officeDocument/2006/relationships/hyperlink" Target="http://www.imdb.com/title/tt0181836/?ref_=fn_tt_tt_1" TargetMode="External"/><Relationship Id="rId4496" Type="http://schemas.openxmlformats.org/officeDocument/2006/relationships/hyperlink" Target="http://www.imdb.com/title/tt0161743/?ref_=fn_tt_tt_1" TargetMode="External"/><Relationship Id="rId4495" Type="http://schemas.openxmlformats.org/officeDocument/2006/relationships/hyperlink" Target="http://www.imdb.com/title/tt0155197/?ref_=fn_tt_tt_1" TargetMode="External"/><Relationship Id="rId4494" Type="http://schemas.openxmlformats.org/officeDocument/2006/relationships/hyperlink" Target="http://www.imdb.com/title/tt0120813/?ref_=fn_tt_tt_1" TargetMode="External"/><Relationship Id="rId4493" Type="http://schemas.openxmlformats.org/officeDocument/2006/relationships/hyperlink" Target="http://www.imdb.com/title/tt1334553/?ref_=fn_tt_tt_1" TargetMode="External"/><Relationship Id="rId4492" Type="http://schemas.openxmlformats.org/officeDocument/2006/relationships/hyperlink" Target="http://www.imdb.com/title/tt1172994/?ref_=fn_tt_tt_1" TargetMode="External"/><Relationship Id="rId4491" Type="http://schemas.openxmlformats.org/officeDocument/2006/relationships/hyperlink" Target="http://www.imdb.com/title/tt0454431/?ref_=fn_tt_tt_1" TargetMode="External"/><Relationship Id="rId4490" Type="http://schemas.openxmlformats.org/officeDocument/2006/relationships/hyperlink" Target="http://www.imdb.com/title/tt1907639/?ref_=fn_tt_tt_1" TargetMode="External"/><Relationship Id="rId449" Type="http://schemas.openxmlformats.org/officeDocument/2006/relationships/hyperlink" Target="http://www.imdb.com/title/tt0369436/?ref_=fn_tt_tt_1" TargetMode="External"/><Relationship Id="rId4489" Type="http://schemas.openxmlformats.org/officeDocument/2006/relationships/hyperlink" Target="http://www.imdb.com/title/tt3214286/?ref_=fn_tt_tt_1" TargetMode="External"/><Relationship Id="rId4488" Type="http://schemas.openxmlformats.org/officeDocument/2006/relationships/hyperlink" Target="http://www.imdb.com/title/tt2361700/?ref_=fn_tt_tt_1" TargetMode="External"/><Relationship Id="rId4487" Type="http://schemas.openxmlformats.org/officeDocument/2006/relationships/hyperlink" Target="http://www.imdb.com/title/tt0233699/?ref_=fn_tt_tt_1" TargetMode="External"/><Relationship Id="rId4486" Type="http://schemas.openxmlformats.org/officeDocument/2006/relationships/hyperlink" Target="http://www.imdb.com/title/tt0428609/?ref_=fn_tt_tt_1" TargetMode="External"/><Relationship Id="rId4485" Type="http://schemas.openxmlformats.org/officeDocument/2006/relationships/hyperlink" Target="http://www.imdb.com/title/tt0489247/?ref_=fn_tt_tt_1" TargetMode="External"/><Relationship Id="rId4484" Type="http://schemas.openxmlformats.org/officeDocument/2006/relationships/hyperlink" Target="http://www.imdb.com/title/tt0854678/?ref_=fn_tt_tt_1" TargetMode="External"/><Relationship Id="rId4483" Type="http://schemas.openxmlformats.org/officeDocument/2006/relationships/hyperlink" Target="http://www.imdb.com/title/tt2375605/?ref_=fn_tt_tt_1" TargetMode="External"/><Relationship Id="rId4482" Type="http://schemas.openxmlformats.org/officeDocument/2006/relationships/hyperlink" Target="http://www.imdb.com/title/tt0357470/?ref_=fn_tt_tt_1" TargetMode="External"/><Relationship Id="rId4481" Type="http://schemas.openxmlformats.org/officeDocument/2006/relationships/hyperlink" Target="http://www.imdb.com/title/tt2884206/?ref_=fn_tt_tt_1" TargetMode="External"/><Relationship Id="rId4480" Type="http://schemas.openxmlformats.org/officeDocument/2006/relationships/hyperlink" Target="http://www.imdb.com/title/tt0477139/?ref_=fn_tt_tt_1" TargetMode="External"/><Relationship Id="rId448" Type="http://schemas.openxmlformats.org/officeDocument/2006/relationships/hyperlink" Target="http://www.imdb.com/title/tt1130884/?ref_=fn_tt_tt_1" TargetMode="External"/><Relationship Id="rId4479" Type="http://schemas.openxmlformats.org/officeDocument/2006/relationships/hyperlink" Target="http://www.imdb.com/title/tt1077262/?ref_=fn_tt_tt_1" TargetMode="External"/><Relationship Id="rId4478" Type="http://schemas.openxmlformats.org/officeDocument/2006/relationships/hyperlink" Target="http://www.imdb.com/title/tt2479800/?ref_=fn_tt_tt_1" TargetMode="External"/><Relationship Id="rId4477" Type="http://schemas.openxmlformats.org/officeDocument/2006/relationships/hyperlink" Target="http://www.imdb.com/title/tt0160498/?ref_=fn_tt_tt_1" TargetMode="External"/><Relationship Id="rId4476" Type="http://schemas.openxmlformats.org/officeDocument/2006/relationships/hyperlink" Target="http://www.imdb.com/title/tt0290145/?ref_=fn_tt_tt_1" TargetMode="External"/><Relationship Id="rId4475" Type="http://schemas.openxmlformats.org/officeDocument/2006/relationships/hyperlink" Target="http://www.imdb.com/title/tt0119019/?ref_=fn_tt_tt_1" TargetMode="External"/><Relationship Id="rId4474" Type="http://schemas.openxmlformats.org/officeDocument/2006/relationships/hyperlink" Target="http://www.imdb.com/title/tt0299458/?ref_=fn_tt_tt_1" TargetMode="External"/><Relationship Id="rId4473" Type="http://schemas.openxmlformats.org/officeDocument/2006/relationships/hyperlink" Target="http://www.imdb.com/title/tt0124819/?ref_=fn_tt_tt_1" TargetMode="External"/><Relationship Id="rId4472" Type="http://schemas.openxmlformats.org/officeDocument/2006/relationships/hyperlink" Target="http://www.imdb.com/title/tt0248012/?ref_=fn_tt_tt_1" TargetMode="External"/><Relationship Id="rId4471" Type="http://schemas.openxmlformats.org/officeDocument/2006/relationships/hyperlink" Target="http://www.imdb.com/title/tt0268200/?ref_=fn_tt_tt_1" TargetMode="External"/><Relationship Id="rId4470" Type="http://schemas.openxmlformats.org/officeDocument/2006/relationships/hyperlink" Target="http://www.imdb.com/title/tt0139615/?ref_=fn_tt_tt_1" TargetMode="External"/><Relationship Id="rId447" Type="http://schemas.openxmlformats.org/officeDocument/2006/relationships/hyperlink" Target="http://www.imdb.com/title/tt0337741/?ref_=fn_tt_tt_1" TargetMode="External"/><Relationship Id="rId4469" Type="http://schemas.openxmlformats.org/officeDocument/2006/relationships/hyperlink" Target="http://www.imdb.com/title/tt0281686/?ref_=fn_tt_tt_1" TargetMode="External"/><Relationship Id="rId4468" Type="http://schemas.openxmlformats.org/officeDocument/2006/relationships/hyperlink" Target="http://www.imdb.com/title/tt0222850/?ref_=fn_tt_tt_1" TargetMode="External"/><Relationship Id="rId4467" Type="http://schemas.openxmlformats.org/officeDocument/2006/relationships/hyperlink" Target="http://www.imdb.com/title/tt0489037/?ref_=fn_tt_tt_1" TargetMode="External"/><Relationship Id="rId4466" Type="http://schemas.openxmlformats.org/officeDocument/2006/relationships/hyperlink" Target="http://www.imdb.com/title/tt0118113/?ref_=fn_tt_tt_1" TargetMode="External"/><Relationship Id="rId4465" Type="http://schemas.openxmlformats.org/officeDocument/2006/relationships/hyperlink" Target="http://www.imdb.com/title/tt0124179/?ref_=fn_tt_tt_1" TargetMode="External"/><Relationship Id="rId4464" Type="http://schemas.openxmlformats.org/officeDocument/2006/relationships/hyperlink" Target="http://www.imdb.com/title/tt2396566/?ref_=fn_tt_tt_1" TargetMode="External"/><Relationship Id="rId4463" Type="http://schemas.openxmlformats.org/officeDocument/2006/relationships/hyperlink" Target="http://www.imdb.com/title/tt0978759/?ref_=fn_tt_tt_1" TargetMode="External"/><Relationship Id="rId4462" Type="http://schemas.openxmlformats.org/officeDocument/2006/relationships/hyperlink" Target="http://www.imdb.com/title/tt2910274/?ref_=fn_tt_tt_1" TargetMode="External"/><Relationship Id="rId4461" Type="http://schemas.openxmlformats.org/officeDocument/2006/relationships/hyperlink" Target="http://www.imdb.com/title/tt1441326/?ref_=fn_tt_tt_1" TargetMode="External"/><Relationship Id="rId4460" Type="http://schemas.openxmlformats.org/officeDocument/2006/relationships/hyperlink" Target="http://www.imdb.com/title/tt1571249/?ref_=fn_tt_tt_1" TargetMode="External"/><Relationship Id="rId446" Type="http://schemas.openxmlformats.org/officeDocument/2006/relationships/hyperlink" Target="http://www.imdb.com/title/tt0425061/?ref_=fn_tt_tt_1" TargetMode="External"/><Relationship Id="rId4459" Type="http://schemas.openxmlformats.org/officeDocument/2006/relationships/hyperlink" Target="http://www.imdb.com/title/tt0119778/?ref_=fn_tt_tt_1" TargetMode="External"/><Relationship Id="rId4458" Type="http://schemas.openxmlformats.org/officeDocument/2006/relationships/hyperlink" Target="http://www.imdb.com/title/tt1720182/?ref_=fn_tt_tt_1" TargetMode="External"/><Relationship Id="rId4457" Type="http://schemas.openxmlformats.org/officeDocument/2006/relationships/hyperlink" Target="http://www.imdb.com/title/tt1286537/?ref_=fn_tt_tt_1" TargetMode="External"/><Relationship Id="rId4456" Type="http://schemas.openxmlformats.org/officeDocument/2006/relationships/hyperlink" Target="http://www.imdb.com/title/tt1866249/?ref_=fn_tt_tt_1" TargetMode="External"/><Relationship Id="rId4455" Type="http://schemas.openxmlformats.org/officeDocument/2006/relationships/hyperlink" Target="http://www.imdb.com/title/tt2248739/?ref_=fn_tt_tt_1" TargetMode="External"/><Relationship Id="rId4454" Type="http://schemas.openxmlformats.org/officeDocument/2006/relationships/hyperlink" Target="http://www.imdb.com/title/tt2403021/?ref_=fn_tt_tt_1" TargetMode="External"/><Relationship Id="rId4453" Type="http://schemas.openxmlformats.org/officeDocument/2006/relationships/hyperlink" Target="http://www.imdb.com/title/tt0893382/?ref_=fn_tt_tt_1" TargetMode="External"/><Relationship Id="rId4452" Type="http://schemas.openxmlformats.org/officeDocument/2006/relationships/hyperlink" Target="http://www.imdb.com/title/tt0041841/?ref_=fn_tt_tt_1" TargetMode="External"/><Relationship Id="rId4451" Type="http://schemas.openxmlformats.org/officeDocument/2006/relationships/hyperlink" Target="http://www.imdb.com/title/tt0497116/?ref_=fn_tt_tt_1" TargetMode="External"/><Relationship Id="rId4450" Type="http://schemas.openxmlformats.org/officeDocument/2006/relationships/hyperlink" Target="http://www.imdb.com/title/tt0049452/?ref_=fn_tt_tt_1" TargetMode="External"/><Relationship Id="rId445" Type="http://schemas.openxmlformats.org/officeDocument/2006/relationships/hyperlink" Target="http://www.imdb.com/title/tt2191701/?ref_=fn_tt_tt_1" TargetMode="External"/><Relationship Id="rId4449" Type="http://schemas.openxmlformats.org/officeDocument/2006/relationships/hyperlink" Target="http://www.imdb.com/title/tt0065466/?ref_=fn_tt_tt_1" TargetMode="External"/><Relationship Id="rId4448" Type="http://schemas.openxmlformats.org/officeDocument/2006/relationships/hyperlink" Target="http://www.imdb.com/title/tt1560985/?ref_=fn_tt_tt_1" TargetMode="External"/><Relationship Id="rId4447" Type="http://schemas.openxmlformats.org/officeDocument/2006/relationships/hyperlink" Target="http://www.imdb.com/title/tt0407265/?ref_=fn_tt_tt_1" TargetMode="External"/><Relationship Id="rId4446" Type="http://schemas.openxmlformats.org/officeDocument/2006/relationships/hyperlink" Target="http://www.imdb.com/title/tt1120985/?ref_=fn_tt_tt_1" TargetMode="External"/><Relationship Id="rId4445" Type="http://schemas.openxmlformats.org/officeDocument/2006/relationships/hyperlink" Target="http://www.imdb.com/title/tt0188640/?ref_=fn_tt_tt_1" TargetMode="External"/><Relationship Id="rId4444" Type="http://schemas.openxmlformats.org/officeDocument/2006/relationships/hyperlink" Target="http://www.imdb.com/title/tt0384286/?ref_=fn_tt_tt_1" TargetMode="External"/><Relationship Id="rId4443" Type="http://schemas.openxmlformats.org/officeDocument/2006/relationships/hyperlink" Target="http://www.imdb.com/title/tt4824308/?ref_=fn_tt_tt_1" TargetMode="External"/><Relationship Id="rId4442" Type="http://schemas.openxmlformats.org/officeDocument/2006/relationships/hyperlink" Target="http://www.imdb.com/title/tt0093177/?ref_=fn_tt_tt_1" TargetMode="External"/><Relationship Id="rId4441" Type="http://schemas.openxmlformats.org/officeDocument/2006/relationships/hyperlink" Target="http://www.imdb.com/title/tt1991245/?ref_=fn_tt_tt_1" TargetMode="External"/><Relationship Id="rId4440" Type="http://schemas.openxmlformats.org/officeDocument/2006/relationships/hyperlink" Target="http://www.imdb.com/title/tt0055928/?ref_=fn_tt_tt_1" TargetMode="External"/><Relationship Id="rId444" Type="http://schemas.openxmlformats.org/officeDocument/2006/relationships/hyperlink" Target="http://www.imdb.com/title/tt1615918/?ref_=fn_tt_tt_1" TargetMode="External"/><Relationship Id="rId4439" Type="http://schemas.openxmlformats.org/officeDocument/2006/relationships/hyperlink" Target="http://www.imdb.com/title/tt0082533/?ref_=fn_tt_tt_1" TargetMode="External"/><Relationship Id="rId4438" Type="http://schemas.openxmlformats.org/officeDocument/2006/relationships/hyperlink" Target="http://www.imdb.com/title/tt0075314/?ref_=fn_tt_tt_1" TargetMode="External"/><Relationship Id="rId4437" Type="http://schemas.openxmlformats.org/officeDocument/2006/relationships/hyperlink" Target="http://www.imdb.com/title/tt3713166/?ref_=fn_tt_tt_1" TargetMode="External"/><Relationship Id="rId4436" Type="http://schemas.openxmlformats.org/officeDocument/2006/relationships/hyperlink" Target="http://www.imdb.com/title/tt0057590/?ref_=fn_tt_tt_1" TargetMode="External"/><Relationship Id="rId4435" Type="http://schemas.openxmlformats.org/officeDocument/2006/relationships/hyperlink" Target="http://www.imdb.com/title/tt2723576/?ref_=fn_tt_tt_1" TargetMode="External"/><Relationship Id="rId4434" Type="http://schemas.openxmlformats.org/officeDocument/2006/relationships/hyperlink" Target="http://www.imdb.com/title/tt0075148/?ref_=fn_tt_tt_1" TargetMode="External"/><Relationship Id="rId4433" Type="http://schemas.openxmlformats.org/officeDocument/2006/relationships/hyperlink" Target="http://www.imdb.com/title/tt0067756/?ref_=fn_tt_tt_1" TargetMode="External"/><Relationship Id="rId4432" Type="http://schemas.openxmlformats.org/officeDocument/2006/relationships/hyperlink" Target="http://www.imdb.com/title/tt1434447/?ref_=fn_tt_tt_1" TargetMode="External"/><Relationship Id="rId4431" Type="http://schemas.openxmlformats.org/officeDocument/2006/relationships/hyperlink" Target="http://www.imdb.com/title/tt0816556/?ref_=fn_tt_tt_1" TargetMode="External"/><Relationship Id="rId4430" Type="http://schemas.openxmlformats.org/officeDocument/2006/relationships/hyperlink" Target="http://www.imdb.com/title/tt0034583/?ref_=fn_tt_tt_1" TargetMode="External"/><Relationship Id="rId443" Type="http://schemas.openxmlformats.org/officeDocument/2006/relationships/hyperlink" Target="http://www.imdb.com/title/tt0398165/?ref_=fn_tt_tt_1" TargetMode="External"/><Relationship Id="rId4429" Type="http://schemas.openxmlformats.org/officeDocument/2006/relationships/hyperlink" Target="http://www.imdb.com/title/tt3043194/?ref_=fn_tt_tt_1" TargetMode="External"/><Relationship Id="rId4428" Type="http://schemas.openxmlformats.org/officeDocument/2006/relationships/hyperlink" Target="http://www.imdb.com/title/tt0923653/?ref_=fn_tt_tt_1" TargetMode="External"/><Relationship Id="rId4427" Type="http://schemas.openxmlformats.org/officeDocument/2006/relationships/hyperlink" Target="http://www.imdb.com/title/tt1899353/?ref_=fn_tt_tt_1" TargetMode="External"/><Relationship Id="rId4426" Type="http://schemas.openxmlformats.org/officeDocument/2006/relationships/hyperlink" Target="http://www.imdb.com/title/tt1534085/?ref_=fn_tt_tt_1" TargetMode="External"/><Relationship Id="rId4425" Type="http://schemas.openxmlformats.org/officeDocument/2006/relationships/hyperlink" Target="http://www.imdb.com/title/tt0850667/?ref_=fn_tt_tt_1" TargetMode="External"/><Relationship Id="rId4424" Type="http://schemas.openxmlformats.org/officeDocument/2006/relationships/hyperlink" Target="http://www.imdb.com/title/tt0293113/?ref_=fn_tt_tt_1" TargetMode="External"/><Relationship Id="rId4423" Type="http://schemas.openxmlformats.org/officeDocument/2006/relationships/hyperlink" Target="http://www.imdb.com/title/tt0304692/?ref_=fn_tt_tt_1" TargetMode="External"/><Relationship Id="rId4422" Type="http://schemas.openxmlformats.org/officeDocument/2006/relationships/hyperlink" Target="http://www.imdb.com/title/tt0091671/?ref_=fn_tt_tt_1" TargetMode="External"/><Relationship Id="rId4421" Type="http://schemas.openxmlformats.org/officeDocument/2006/relationships/hyperlink" Target="http://www.imdb.com/title/tt4460878/?ref_=fn_tt_tt_1" TargetMode="External"/><Relationship Id="rId4420" Type="http://schemas.openxmlformats.org/officeDocument/2006/relationships/hyperlink" Target="http://www.imdb.com/title/tt0419677/?ref_=fn_tt_tt_1" TargetMode="External"/><Relationship Id="rId442" Type="http://schemas.openxmlformats.org/officeDocument/2006/relationships/hyperlink" Target="http://www.imdb.com/title/tt1821694/?ref_=fn_tt_tt_1" TargetMode="External"/><Relationship Id="rId4419" Type="http://schemas.openxmlformats.org/officeDocument/2006/relationships/hyperlink" Target="http://www.imdb.com/title/tt0348333/?ref_=fn_tt_tt_1" TargetMode="External"/><Relationship Id="rId4418" Type="http://schemas.openxmlformats.org/officeDocument/2006/relationships/hyperlink" Target="http://www.imdb.com/title/tt2622294/?ref_=fn_tt_tt_1" TargetMode="External"/><Relationship Id="rId4417" Type="http://schemas.openxmlformats.org/officeDocument/2006/relationships/hyperlink" Target="http://www.imdb.com/title/tt1943014/?ref_=fn_tt_tt_1" TargetMode="External"/><Relationship Id="rId4416" Type="http://schemas.openxmlformats.org/officeDocument/2006/relationships/hyperlink" Target="http://www.imdb.com/title/tt0065579/?ref_=fn_tt_tt_1" TargetMode="External"/><Relationship Id="rId4415" Type="http://schemas.openxmlformats.org/officeDocument/2006/relationships/hyperlink" Target="http://www.imdb.com/title/tt0106233/?ref_=fn_tt_tt_1" TargetMode="External"/><Relationship Id="rId4414" Type="http://schemas.openxmlformats.org/officeDocument/2006/relationships/hyperlink" Target="http://www.imdb.com/title/tt2180333/?ref_=fn_tt_tt_1" TargetMode="External"/><Relationship Id="rId4413" Type="http://schemas.openxmlformats.org/officeDocument/2006/relationships/hyperlink" Target="http://www.imdb.com/title/tt1641388/?ref_=fn_tt_tt_1" TargetMode="External"/><Relationship Id="rId4412" Type="http://schemas.openxmlformats.org/officeDocument/2006/relationships/hyperlink" Target="http://www.imdb.com/title/tt0027438/?ref_=fn_tt_tt_1" TargetMode="External"/><Relationship Id="rId4411" Type="http://schemas.openxmlformats.org/officeDocument/2006/relationships/hyperlink" Target="http://www.imdb.com/title/tt0806147/?ref_=fn_tt_tt_1" TargetMode="External"/><Relationship Id="rId4410" Type="http://schemas.openxmlformats.org/officeDocument/2006/relationships/hyperlink" Target="http://www.imdb.com/title/tt0338075/?ref_=fn_tt_tt_1" TargetMode="External"/><Relationship Id="rId441" Type="http://schemas.openxmlformats.org/officeDocument/2006/relationships/hyperlink" Target="http://www.imdb.com/title/tt0120647/?ref_=fn_tt_tt_1" TargetMode="External"/><Relationship Id="rId4409" Type="http://schemas.openxmlformats.org/officeDocument/2006/relationships/hyperlink" Target="http://www.imdb.com/title/tt1349485/?ref_=fn_tt_tt_1" TargetMode="External"/><Relationship Id="rId4408" Type="http://schemas.openxmlformats.org/officeDocument/2006/relationships/hyperlink" Target="http://www.imdb.com/title/tt1879030/?ref_=fn_tt_tt_1" TargetMode="External"/><Relationship Id="rId4407" Type="http://schemas.openxmlformats.org/officeDocument/2006/relationships/hyperlink" Target="http://www.imdb.com/title/tt0976025/?ref_=fn_tt_tt_1" TargetMode="External"/><Relationship Id="rId4406" Type="http://schemas.openxmlformats.org/officeDocument/2006/relationships/hyperlink" Target="http://www.imdb.com/title/tt2035599/?ref_=fn_tt_tt_1" TargetMode="External"/><Relationship Id="rId4405" Type="http://schemas.openxmlformats.org/officeDocument/2006/relationships/hyperlink" Target="http://www.imdb.com/title/tt0283323/?ref_=fn_tt_tt_1" TargetMode="External"/><Relationship Id="rId4404" Type="http://schemas.openxmlformats.org/officeDocument/2006/relationships/hyperlink" Target="http://www.imdb.com/title/tt1758575/?ref_=fn_tt_tt_1" TargetMode="External"/><Relationship Id="rId4403" Type="http://schemas.openxmlformats.org/officeDocument/2006/relationships/hyperlink" Target="http://www.imdb.com/title/tt3742378/?ref_=fn_tt_tt_1" TargetMode="External"/><Relationship Id="rId4402" Type="http://schemas.openxmlformats.org/officeDocument/2006/relationships/hyperlink" Target="http://www.imdb.com/title/tt0060196/?ref_=fn_tt_tt_1" TargetMode="External"/><Relationship Id="rId4401" Type="http://schemas.openxmlformats.org/officeDocument/2006/relationships/hyperlink" Target="http://www.imdb.com/title/tt0032264/?ref_=fn_tt_tt_1" TargetMode="External"/><Relationship Id="rId4400" Type="http://schemas.openxmlformats.org/officeDocument/2006/relationships/hyperlink" Target="http://www.imdb.com/title/tt0105236/?ref_=fn_tt_tt_1" TargetMode="External"/><Relationship Id="rId440" Type="http://schemas.openxmlformats.org/officeDocument/2006/relationships/hyperlink" Target="http://www.imdb.com/title/tt0413895/?ref_=fn_tt_tt_1" TargetMode="External"/><Relationship Id="rId44" Type="http://schemas.openxmlformats.org/officeDocument/2006/relationships/hyperlink" Target="http://www.imdb.com/title/tt0435761/?ref_=fn_tt_tt_1" TargetMode="External"/><Relationship Id="rId4399" Type="http://schemas.openxmlformats.org/officeDocument/2006/relationships/hyperlink" Target="http://www.imdb.com/title/tt2051894/?ref_=fn_tt_tt_1" TargetMode="External"/><Relationship Id="rId4398" Type="http://schemas.openxmlformats.org/officeDocument/2006/relationships/hyperlink" Target="http://www.imdb.com/title/tt0179116/?ref_=fn_tt_tt_1" TargetMode="External"/><Relationship Id="rId4397" Type="http://schemas.openxmlformats.org/officeDocument/2006/relationships/hyperlink" Target="http://www.imdb.com/title/tt0048750/?ref_=fn_tt_tt_1" TargetMode="External"/><Relationship Id="rId4396" Type="http://schemas.openxmlformats.org/officeDocument/2006/relationships/hyperlink" Target="http://www.imdb.com/title/tt0203230/?ref_=fn_tt_tt_1" TargetMode="External"/><Relationship Id="rId4395" Type="http://schemas.openxmlformats.org/officeDocument/2006/relationships/hyperlink" Target="http://www.imdb.com/title/tt0265343/?ref_=fn_tt_tt_1" TargetMode="External"/><Relationship Id="rId4394" Type="http://schemas.openxmlformats.org/officeDocument/2006/relationships/hyperlink" Target="http://www.imdb.com/title/tt2414046/?ref_=fn_tt_tt_1" TargetMode="External"/><Relationship Id="rId4393" Type="http://schemas.openxmlformats.org/officeDocument/2006/relationships/hyperlink" Target="http://www.imdb.com/title/tt1681370/?ref_=fn_tt_tt_1" TargetMode="External"/><Relationship Id="rId4392" Type="http://schemas.openxmlformats.org/officeDocument/2006/relationships/hyperlink" Target="http://www.imdb.com/title/tt0247745/?ref_=fn_tt_tt_1" TargetMode="External"/><Relationship Id="rId4391" Type="http://schemas.openxmlformats.org/officeDocument/2006/relationships/hyperlink" Target="http://www.imdb.com/title/tt0387564/?ref_=fn_tt_tt_1" TargetMode="External"/><Relationship Id="rId4390" Type="http://schemas.openxmlformats.org/officeDocument/2006/relationships/hyperlink" Target="http://www.imdb.com/title/tt0098724/?ref_=fn_tt_tt_1" TargetMode="External"/><Relationship Id="rId439" Type="http://schemas.openxmlformats.org/officeDocument/2006/relationships/hyperlink" Target="http://www.imdb.com/title/tt0275847/?ref_=fn_tt_tt_1" TargetMode="External"/><Relationship Id="rId4389" Type="http://schemas.openxmlformats.org/officeDocument/2006/relationships/hyperlink" Target="http://www.imdb.com/title/tt3104930/?ref_=fn_tt_tt_1" TargetMode="External"/><Relationship Id="rId4388" Type="http://schemas.openxmlformats.org/officeDocument/2006/relationships/hyperlink" Target="http://www.imdb.com/title/tt3846642/?ref_=fn_tt_tt_1" TargetMode="External"/><Relationship Id="rId4387" Type="http://schemas.openxmlformats.org/officeDocument/2006/relationships/hyperlink" Target="http://www.imdb.com/title/tt0033729/?ref_=fn_tt_tt_1" TargetMode="External"/><Relationship Id="rId4386" Type="http://schemas.openxmlformats.org/officeDocument/2006/relationships/hyperlink" Target="http://www.imdb.com/title/tt0046126/?ref_=fn_tt_tt_1" TargetMode="External"/><Relationship Id="rId4385" Type="http://schemas.openxmlformats.org/officeDocument/2006/relationships/hyperlink" Target="http://www.imdb.com/title/tt1212022/?ref_=fn_tt_tt_1" TargetMode="External"/><Relationship Id="rId4384" Type="http://schemas.openxmlformats.org/officeDocument/2006/relationships/hyperlink" Target="http://www.imdb.com/title/tt1869425/?ref_=fn_tt_tt_1" TargetMode="External"/><Relationship Id="rId4383" Type="http://schemas.openxmlformats.org/officeDocument/2006/relationships/hyperlink" Target="http://www.imdb.com/title/tt0087015/?ref_=fn_tt_tt_1" TargetMode="External"/><Relationship Id="rId4382" Type="http://schemas.openxmlformats.org/officeDocument/2006/relationships/hyperlink" Target="http://www.imdb.com/title/tt0037884/?ref_=fn_tt_tt_1" TargetMode="External"/><Relationship Id="rId4381" Type="http://schemas.openxmlformats.org/officeDocument/2006/relationships/hyperlink" Target="http://www.imdb.com/title/tt0082418/?ref_=fn_tt_tt_1" TargetMode="External"/><Relationship Id="rId4380" Type="http://schemas.openxmlformats.org/officeDocument/2006/relationships/hyperlink" Target="http://www.imdb.com/title/tt0032976/?ref_=fn_tt_tt_1" TargetMode="External"/><Relationship Id="rId438" Type="http://schemas.openxmlformats.org/officeDocument/2006/relationships/hyperlink" Target="http://www.imdb.com/title/tt0327084/?ref_=fn_tt_tt_1" TargetMode="External"/><Relationship Id="rId4379" Type="http://schemas.openxmlformats.org/officeDocument/2006/relationships/hyperlink" Target="http://www.imdb.com/title/tt1147684/?ref_=fn_tt_tt_1" TargetMode="External"/><Relationship Id="rId4378" Type="http://schemas.openxmlformats.org/officeDocument/2006/relationships/hyperlink" Target="http://www.imdb.com/title/tt1498870/?ref_=fn_tt_tt_1" TargetMode="External"/><Relationship Id="rId4377" Type="http://schemas.openxmlformats.org/officeDocument/2006/relationships/hyperlink" Target="http://www.imdb.com/title/tt0470869/?ref_=fn_tt_tt_1" TargetMode="External"/><Relationship Id="rId4376" Type="http://schemas.openxmlformats.org/officeDocument/2006/relationships/hyperlink" Target="http://www.imdb.com/title/tt0317640/?ref_=fn_tt_tt_1" TargetMode="External"/><Relationship Id="rId4375" Type="http://schemas.openxmlformats.org/officeDocument/2006/relationships/hyperlink" Target="http://www.imdb.com/title/tt0087130/?ref_=fn_tt_tt_1" TargetMode="External"/><Relationship Id="rId4374" Type="http://schemas.openxmlformats.org/officeDocument/2006/relationships/hyperlink" Target="http://www.imdb.com/title/tt2640460/?ref_=fn_tt_tt_1" TargetMode="External"/><Relationship Id="rId4373" Type="http://schemas.openxmlformats.org/officeDocument/2006/relationships/hyperlink" Target="http://www.imdb.com/title/tt0112173/?ref_=fn_tt_tt_1" TargetMode="External"/><Relationship Id="rId4372" Type="http://schemas.openxmlformats.org/officeDocument/2006/relationships/hyperlink" Target="http://www.imdb.com/title/tt1480658/?ref_=fn_tt_tt_1" TargetMode="External"/><Relationship Id="rId4371" Type="http://schemas.openxmlformats.org/officeDocument/2006/relationships/hyperlink" Target="http://www.imdb.com/title/tt0190255/?ref_=fn_tt_tt_1" TargetMode="External"/><Relationship Id="rId4370" Type="http://schemas.openxmlformats.org/officeDocument/2006/relationships/hyperlink" Target="http://www.imdb.com/title/tt0433398/?ref_=fn_tt_tt_1" TargetMode="External"/><Relationship Id="rId437" Type="http://schemas.openxmlformats.org/officeDocument/2006/relationships/hyperlink" Target="http://www.imdb.com/title/tt0103776/?ref_=fn_tt_tt_1" TargetMode="External"/><Relationship Id="rId4369" Type="http://schemas.openxmlformats.org/officeDocument/2006/relationships/hyperlink" Target="http://www.imdb.com/title/tt0117958/?ref_=fn_tt_tt_1" TargetMode="External"/><Relationship Id="rId4368" Type="http://schemas.openxmlformats.org/officeDocument/2006/relationships/hyperlink" Target="http://www.imdb.com/title/tt0154420/?ref_=fn_tt_tt_1" TargetMode="External"/><Relationship Id="rId4367" Type="http://schemas.openxmlformats.org/officeDocument/2006/relationships/hyperlink" Target="http://www.imdb.com/title/tt0068135/?ref_=fn_tt_tt_1" TargetMode="External"/><Relationship Id="rId4366" Type="http://schemas.openxmlformats.org/officeDocument/2006/relationships/hyperlink" Target="http://www.imdb.com/title/tt3551840/?ref_=fn_tt_tt_1" TargetMode="External"/><Relationship Id="rId4365" Type="http://schemas.openxmlformats.org/officeDocument/2006/relationships/hyperlink" Target="http://www.imdb.com/title/tt0120735/?ref_=fn_tt_tt_1" TargetMode="External"/><Relationship Id="rId4364" Type="http://schemas.openxmlformats.org/officeDocument/2006/relationships/hyperlink" Target="http://www.imdb.com/title/tt0060153/?ref_=fn_tt_tt_1" TargetMode="External"/><Relationship Id="rId4363" Type="http://schemas.openxmlformats.org/officeDocument/2006/relationships/hyperlink" Target="http://www.imdb.com/title/tt0464054/?ref_=fn_tt_tt_1" TargetMode="External"/><Relationship Id="rId4362" Type="http://schemas.openxmlformats.org/officeDocument/2006/relationships/hyperlink" Target="http://www.imdb.com/title/tt3230082/?ref_=fn_tt_tt_1" TargetMode="External"/><Relationship Id="rId4361" Type="http://schemas.openxmlformats.org/officeDocument/2006/relationships/hyperlink" Target="http://www.imdb.com/title/tt2577172/?ref_=fn_tt_tt_1" TargetMode="External"/><Relationship Id="rId4360" Type="http://schemas.openxmlformats.org/officeDocument/2006/relationships/hyperlink" Target="http://www.imdb.com/title/tt4063178/?ref_=fn_tt_tt_1" TargetMode="External"/><Relationship Id="rId436" Type="http://schemas.openxmlformats.org/officeDocument/2006/relationships/hyperlink" Target="http://www.imdb.com/title/tt1411697/?ref_=fn_tt_tt_1" TargetMode="External"/><Relationship Id="rId4359" Type="http://schemas.openxmlformats.org/officeDocument/2006/relationships/hyperlink" Target="http://www.imdb.com/title/tt0374639/?ref_=fn_tt_tt_1" TargetMode="External"/><Relationship Id="rId4358" Type="http://schemas.openxmlformats.org/officeDocument/2006/relationships/hyperlink" Target="http://www.imdb.com/title/tt0063592/?ref_=fn_tt_tt_1" TargetMode="External"/><Relationship Id="rId4357" Type="http://schemas.openxmlformats.org/officeDocument/2006/relationships/hyperlink" Target="http://www.imdb.com/title/tt0300270/?ref_=fn_tt_tt_1" TargetMode="External"/><Relationship Id="rId4356" Type="http://schemas.openxmlformats.org/officeDocument/2006/relationships/hyperlink" Target="http://www.imdb.com/title/tt0029583/?ref_=fn_tt_tt_1" TargetMode="External"/><Relationship Id="rId4355" Type="http://schemas.openxmlformats.org/officeDocument/2006/relationships/hyperlink" Target="http://www.imdb.com/title/tt1236254/?ref_=fn_tt_tt_1" TargetMode="External"/><Relationship Id="rId4354" Type="http://schemas.openxmlformats.org/officeDocument/2006/relationships/hyperlink" Target="http://www.imdb.com/title/tt3526286/?ref_=fn_tt_tt_1" TargetMode="External"/><Relationship Id="rId4353" Type="http://schemas.openxmlformats.org/officeDocument/2006/relationships/hyperlink" Target="http://www.imdb.com/title/tt3781616/?ref_=fn_tt_tt_1" TargetMode="External"/><Relationship Id="rId4352" Type="http://schemas.openxmlformats.org/officeDocument/2006/relationships/hyperlink" Target="http://www.imdb.com/title/tt1105355/?ref_=fn_tt_tt_1" TargetMode="External"/><Relationship Id="rId4351" Type="http://schemas.openxmlformats.org/officeDocument/2006/relationships/hyperlink" Target="http://www.imdb.com/title/tt3626436/?ref_=fn_tt_tt_1" TargetMode="External"/><Relationship Id="rId4350" Type="http://schemas.openxmlformats.org/officeDocument/2006/relationships/hyperlink" Target="http://www.imdb.com/title/tt2017486/?ref_=fn_tt_tt_1" TargetMode="External"/><Relationship Id="rId435" Type="http://schemas.openxmlformats.org/officeDocument/2006/relationships/hyperlink" Target="http://www.imdb.com/title/tt1392170/?ref_=fn_tt_tt_1" TargetMode="External"/><Relationship Id="rId4349" Type="http://schemas.openxmlformats.org/officeDocument/2006/relationships/hyperlink" Target="http://www.imdb.com/title/tt1639397/?ref_=fn_tt_tt_1" TargetMode="External"/><Relationship Id="rId4348" Type="http://schemas.openxmlformats.org/officeDocument/2006/relationships/hyperlink" Target="http://www.imdb.com/title/tt0475271/?ref_=fn_tt_tt_1" TargetMode="External"/><Relationship Id="rId4347" Type="http://schemas.openxmlformats.org/officeDocument/2006/relationships/hyperlink" Target="http://www.imdb.com/title/tt0473107/?ref_=fn_tt_tt_1" TargetMode="External"/><Relationship Id="rId4346" Type="http://schemas.openxmlformats.org/officeDocument/2006/relationships/hyperlink" Target="http://www.imdb.com/title/tt3504048/?ref_=fn_tt_tt_1" TargetMode="External"/><Relationship Id="rId4345" Type="http://schemas.openxmlformats.org/officeDocument/2006/relationships/hyperlink" Target="http://www.imdb.com/title/tt1731697/?ref_=fn_tt_tt_1" TargetMode="External"/><Relationship Id="rId4344" Type="http://schemas.openxmlformats.org/officeDocument/2006/relationships/hyperlink" Target="http://www.imdb.com/title/tt2265431/?ref_=fn_tt_tt_1" TargetMode="External"/><Relationship Id="rId4343" Type="http://schemas.openxmlformats.org/officeDocument/2006/relationships/hyperlink" Target="http://www.imdb.com/title/tt1087527/?ref_=fn_tt_tt_1" TargetMode="External"/><Relationship Id="rId4342" Type="http://schemas.openxmlformats.org/officeDocument/2006/relationships/hyperlink" Target="http://www.imdb.com/title/tt1226681/?ref_=fn_tt_tt_1" TargetMode="External"/><Relationship Id="rId4341" Type="http://schemas.openxmlformats.org/officeDocument/2006/relationships/hyperlink" Target="http://www.imdb.com/title/tt1562847/?ref_=fn_tt_tt_1" TargetMode="External"/><Relationship Id="rId4340" Type="http://schemas.openxmlformats.org/officeDocument/2006/relationships/hyperlink" Target="http://www.imdb.com/title/tt0395543/?ref_=fn_tt_tt_1" TargetMode="External"/><Relationship Id="rId434" Type="http://schemas.openxmlformats.org/officeDocument/2006/relationships/hyperlink" Target="http://www.imdb.com/title/tt0117060/?ref_=fn_tt_tt_1" TargetMode="External"/><Relationship Id="rId4339" Type="http://schemas.openxmlformats.org/officeDocument/2006/relationships/hyperlink" Target="http://www.imdb.com/title/tt3110770/?ref_=fn_tt_tt_1" TargetMode="External"/><Relationship Id="rId4338" Type="http://schemas.openxmlformats.org/officeDocument/2006/relationships/hyperlink" Target="http://www.imdb.com/title/tt0436742/?ref_=fn_tt_tt_1" TargetMode="External"/><Relationship Id="rId4337" Type="http://schemas.openxmlformats.org/officeDocument/2006/relationships/hyperlink" Target="http://www.imdb.com/title/tt0489235/?ref_=fn_tt_tt_1" TargetMode="External"/><Relationship Id="rId4336" Type="http://schemas.openxmlformats.org/officeDocument/2006/relationships/hyperlink" Target="http://www.imdb.com/title/tt0286162/?ref_=fn_tt_tt_1" TargetMode="External"/><Relationship Id="rId4335" Type="http://schemas.openxmlformats.org/officeDocument/2006/relationships/hyperlink" Target="http://www.imdb.com/title/tt0027977/?ref_=fn_tt_tt_1" TargetMode="External"/><Relationship Id="rId4334" Type="http://schemas.openxmlformats.org/officeDocument/2006/relationships/hyperlink" Target="http://www.imdb.com/title/tt0422401/?ref_=fn_tt_tt_1" TargetMode="External"/><Relationship Id="rId4333" Type="http://schemas.openxmlformats.org/officeDocument/2006/relationships/hyperlink" Target="http://www.imdb.com/title/tt1450328/?ref_=fn_tt_tt_1" TargetMode="External"/><Relationship Id="rId4332" Type="http://schemas.openxmlformats.org/officeDocument/2006/relationships/hyperlink" Target="http://www.imdb.com/title/tt0391229/?ref_=fn_tt_tt_1" TargetMode="External"/><Relationship Id="rId4331" Type="http://schemas.openxmlformats.org/officeDocument/2006/relationships/hyperlink" Target="http://www.imdb.com/title/tt0261983/?ref_=fn_tt_tt_1" TargetMode="External"/><Relationship Id="rId4330" Type="http://schemas.openxmlformats.org/officeDocument/2006/relationships/hyperlink" Target="http://www.imdb.com/title/tt3139764/?ref_=fn_tt_tt_1" TargetMode="External"/><Relationship Id="rId433" Type="http://schemas.openxmlformats.org/officeDocument/2006/relationships/hyperlink" Target="http://www.imdb.com/title/tt1320253/?ref_=fn_tt_tt_1" TargetMode="External"/><Relationship Id="rId4329" Type="http://schemas.openxmlformats.org/officeDocument/2006/relationships/hyperlink" Target="http://www.imdb.com/title/tt0453548/?ref_=fn_tt_tt_1" TargetMode="External"/><Relationship Id="rId4328" Type="http://schemas.openxmlformats.org/officeDocument/2006/relationships/hyperlink" Target="http://www.imdb.com/title/tt0247199/?ref_=fn_tt_tt_1" TargetMode="External"/><Relationship Id="rId4327" Type="http://schemas.openxmlformats.org/officeDocument/2006/relationships/hyperlink" Target="http://www.imdb.com/title/tt0110265/?ref_=fn_tt_tt_1" TargetMode="External"/><Relationship Id="rId4326" Type="http://schemas.openxmlformats.org/officeDocument/2006/relationships/hyperlink" Target="http://www.imdb.com/title/tt1758795/?ref_=fn_tt_tt_1" TargetMode="External"/><Relationship Id="rId4325" Type="http://schemas.openxmlformats.org/officeDocument/2006/relationships/hyperlink" Target="http://www.imdb.com/title/tt0357110/?ref_=fn_tt_tt_1" TargetMode="External"/><Relationship Id="rId4324" Type="http://schemas.openxmlformats.org/officeDocument/2006/relationships/hyperlink" Target="http://www.imdb.com/title/tt2309788/?ref_=fn_tt_tt_1" TargetMode="External"/><Relationship Id="rId4323" Type="http://schemas.openxmlformats.org/officeDocument/2006/relationships/hyperlink" Target="http://www.imdb.com/title/tt0247586/?ref_=fn_tt_tt_1" TargetMode="External"/><Relationship Id="rId4322" Type="http://schemas.openxmlformats.org/officeDocument/2006/relationships/hyperlink" Target="http://www.imdb.com/title/tt0087995/?ref_=fn_tt_tt_1" TargetMode="External"/><Relationship Id="rId4321" Type="http://schemas.openxmlformats.org/officeDocument/2006/relationships/hyperlink" Target="http://www.imdb.com/title/tt1591095/?ref_=fn_tt_tt_1" TargetMode="External"/><Relationship Id="rId4320" Type="http://schemas.openxmlformats.org/officeDocument/2006/relationships/hyperlink" Target="http://www.imdb.com/title/tt0118789/?ref_=fn_tt_tt_1" TargetMode="External"/><Relationship Id="rId432" Type="http://schemas.openxmlformats.org/officeDocument/2006/relationships/hyperlink" Target="http://www.imdb.com/title/tt0315327/?ref_=fn_tt_tt_1" TargetMode="External"/><Relationship Id="rId4319" Type="http://schemas.openxmlformats.org/officeDocument/2006/relationships/hyperlink" Target="http://www.imdb.com/title/tt0109759/?ref_=fn_tt_tt_1" TargetMode="External"/><Relationship Id="rId4318" Type="http://schemas.openxmlformats.org/officeDocument/2006/relationships/hyperlink" Target="http://www.imdb.com/title/tt0038109/?ref_=fn_tt_tt_1" TargetMode="External"/><Relationship Id="rId4317" Type="http://schemas.openxmlformats.org/officeDocument/2006/relationships/hyperlink" Target="http://www.imdb.com/title/tt3082898/?ref_=fn_tt_tt_1" TargetMode="External"/><Relationship Id="rId4316" Type="http://schemas.openxmlformats.org/officeDocument/2006/relationships/hyperlink" Target="http://www.imdb.com/title/tt0264761/?ref_=fn_tt_tt_1" TargetMode="External"/><Relationship Id="rId4315" Type="http://schemas.openxmlformats.org/officeDocument/2006/relationships/hyperlink" Target="http://www.imdb.com/title/tt0367089/?ref_=fn_tt_tt_1" TargetMode="External"/><Relationship Id="rId4314" Type="http://schemas.openxmlformats.org/officeDocument/2006/relationships/hyperlink" Target="http://www.imdb.com/title/tt0113540/?ref_=fn_tt_tt_1" TargetMode="External"/><Relationship Id="rId4313" Type="http://schemas.openxmlformats.org/officeDocument/2006/relationships/hyperlink" Target="http://www.imdb.com/title/tt0031679/?ref_=fn_tt_tt_1" TargetMode="External"/><Relationship Id="rId4312" Type="http://schemas.openxmlformats.org/officeDocument/2006/relationships/hyperlink" Target="http://www.imdb.com/title/tt0092675/?ref_=fn_tt_tt_1" TargetMode="External"/><Relationship Id="rId4311" Type="http://schemas.openxmlformats.org/officeDocument/2006/relationships/hyperlink" Target="http://www.imdb.com/title/tt0473308/?ref_=fn_tt_tt_1" TargetMode="External"/><Relationship Id="rId4310" Type="http://schemas.openxmlformats.org/officeDocument/2006/relationships/hyperlink" Target="http://www.imdb.com/title/tt3832096/?ref_=fn_tt_tt_1" TargetMode="External"/><Relationship Id="rId431" Type="http://schemas.openxmlformats.org/officeDocument/2006/relationships/hyperlink" Target="http://www.imdb.com/title/tt0216216/?ref_=fn_tt_tt_1" TargetMode="External"/><Relationship Id="rId4309" Type="http://schemas.openxmlformats.org/officeDocument/2006/relationships/hyperlink" Target="http://www.imdb.com/title/tt0322700/?ref_=fn_tt_tt_1" TargetMode="External"/><Relationship Id="rId4308" Type="http://schemas.openxmlformats.org/officeDocument/2006/relationships/hyperlink" Target="http://www.imdb.com/title/tt0064990/?ref_=fn_tt_tt_1" TargetMode="External"/><Relationship Id="rId4307" Type="http://schemas.openxmlformats.org/officeDocument/2006/relationships/hyperlink" Target="http://www.imdb.com/title/tt0442764/?ref_=fn_tt_tt_1" TargetMode="External"/><Relationship Id="rId4306" Type="http://schemas.openxmlformats.org/officeDocument/2006/relationships/hyperlink" Target="http://www.imdb.com/title/tt0071360/?ref_=fn_tt_tt_1" TargetMode="External"/><Relationship Id="rId4305" Type="http://schemas.openxmlformats.org/officeDocument/2006/relationships/hyperlink" Target="http://www.imdb.com/title/tt0476643/?ref_=fn_tt_tt_1" TargetMode="External"/><Relationship Id="rId4304" Type="http://schemas.openxmlformats.org/officeDocument/2006/relationships/hyperlink" Target="http://www.imdb.com/title/tt2872724/?ref_=fn_tt_tt_1" TargetMode="External"/><Relationship Id="rId4303" Type="http://schemas.openxmlformats.org/officeDocument/2006/relationships/hyperlink" Target="http://www.imdb.com/title/tt0825236/?ref_=fn_tt_tt_1" TargetMode="External"/><Relationship Id="rId4302" Type="http://schemas.openxmlformats.org/officeDocument/2006/relationships/hyperlink" Target="http://www.imdb.com/title/tt1289419/?ref_=fn_tt_tt_1" TargetMode="External"/><Relationship Id="rId4301" Type="http://schemas.openxmlformats.org/officeDocument/2006/relationships/hyperlink" Target="http://www.imdb.com/title/tt0166195/?ref_=fn_tt_tt_1" TargetMode="External"/><Relationship Id="rId4300" Type="http://schemas.openxmlformats.org/officeDocument/2006/relationships/hyperlink" Target="http://www.imdb.com/title/tt2349460/?ref_=fn_tt_tt_1" TargetMode="External"/><Relationship Id="rId430" Type="http://schemas.openxmlformats.org/officeDocument/2006/relationships/hyperlink" Target="http://www.imdb.com/title/tt0443706/?ref_=fn_tt_tt_1" TargetMode="External"/><Relationship Id="rId43" Type="http://schemas.openxmlformats.org/officeDocument/2006/relationships/hyperlink" Target="http://www.imdb.com/title/tt1133985/?ref_=fn_tt_tt_1" TargetMode="External"/><Relationship Id="rId4299" Type="http://schemas.openxmlformats.org/officeDocument/2006/relationships/hyperlink" Target="http://www.imdb.com/title/tt0041866/?ref_=fn_tt_tt_1" TargetMode="External"/><Relationship Id="rId4298" Type="http://schemas.openxmlformats.org/officeDocument/2006/relationships/hyperlink" Target="http://www.imdb.com/title/tt0045793/?ref_=fn_tt_tt_1" TargetMode="External"/><Relationship Id="rId4297" Type="http://schemas.openxmlformats.org/officeDocument/2006/relationships/hyperlink" Target="http://www.imdb.com/title/tt0030993/?ref_=fn_tt_tt_1" TargetMode="External"/><Relationship Id="rId4296" Type="http://schemas.openxmlformats.org/officeDocument/2006/relationships/hyperlink" Target="http://www.imdb.com/title/tt0381717/?ref_=fn_tt_tt_1" TargetMode="External"/><Relationship Id="rId4295" Type="http://schemas.openxmlformats.org/officeDocument/2006/relationships/hyperlink" Target="http://www.imdb.com/title/tt2350496/?ref_=fn_tt_tt_1" TargetMode="External"/><Relationship Id="rId4294" Type="http://schemas.openxmlformats.org/officeDocument/2006/relationships/hyperlink" Target="http://www.imdb.com/title/tt0382189/?ref_=fn_tt_tt_1" TargetMode="External"/><Relationship Id="rId4293" Type="http://schemas.openxmlformats.org/officeDocument/2006/relationships/hyperlink" Target="http://www.imdb.com/title/tt0162360/?ref_=fn_tt_tt_1" TargetMode="External"/><Relationship Id="rId4292" Type="http://schemas.openxmlformats.org/officeDocument/2006/relationships/hyperlink" Target="http://www.imdb.com/title/tt1242432/?ref_=fn_tt_tt_1" TargetMode="External"/><Relationship Id="rId4291" Type="http://schemas.openxmlformats.org/officeDocument/2006/relationships/hyperlink" Target="http://www.imdb.com/title/tt0247425/?ref_=fn_tt_tt_1" TargetMode="External"/><Relationship Id="rId4290" Type="http://schemas.openxmlformats.org/officeDocument/2006/relationships/hyperlink" Target="http://www.imdb.com/title/tt0068408/?ref_=fn_tt_tt_1" TargetMode="External"/><Relationship Id="rId429" Type="http://schemas.openxmlformats.org/officeDocument/2006/relationships/hyperlink" Target="http://www.imdb.com/title/tt0411477/?ref_=fn_tt_tt_1" TargetMode="External"/><Relationship Id="rId4289" Type="http://schemas.openxmlformats.org/officeDocument/2006/relationships/hyperlink" Target="http://www.imdb.com/title/tt0796307/?ref_=fn_tt_tt_1" TargetMode="External"/><Relationship Id="rId4288" Type="http://schemas.openxmlformats.org/officeDocument/2006/relationships/hyperlink" Target="http://www.imdb.com/title/tt2100573/?ref_=fn_tt_tt_1" TargetMode="External"/><Relationship Id="rId4287" Type="http://schemas.openxmlformats.org/officeDocument/2006/relationships/hyperlink" Target="http://www.imdb.com/title/tt2475846/?ref_=fn_tt_tt_1" TargetMode="External"/><Relationship Id="rId4286" Type="http://schemas.openxmlformats.org/officeDocument/2006/relationships/hyperlink" Target="http://www.imdb.com/title/tt0303361/?ref_=fn_tt_tt_1" TargetMode="External"/><Relationship Id="rId4285" Type="http://schemas.openxmlformats.org/officeDocument/2006/relationships/hyperlink" Target="http://www.imdb.com/title/tt0130827/?ref_=fn_tt_tt_1" TargetMode="External"/><Relationship Id="rId4284" Type="http://schemas.openxmlformats.org/officeDocument/2006/relationships/hyperlink" Target="http://www.imdb.com/title/tt1653002/?ref_=fn_tt_tt_1" TargetMode="External"/><Relationship Id="rId4283" Type="http://schemas.openxmlformats.org/officeDocument/2006/relationships/hyperlink" Target="http://www.imdb.com/title/tt2645670/?ref_=fn_tt_tt_1" TargetMode="External"/><Relationship Id="rId4282" Type="http://schemas.openxmlformats.org/officeDocument/2006/relationships/hyperlink" Target="http://www.imdb.com/title/tt4058122/?ref_=fn_tt_tt_1" TargetMode="External"/><Relationship Id="rId4281" Type="http://schemas.openxmlformats.org/officeDocument/2006/relationships/hyperlink" Target="http://www.imdb.com/title/tt0822858/?ref_=fn_tt_tt_1" TargetMode="External"/><Relationship Id="rId4280" Type="http://schemas.openxmlformats.org/officeDocument/2006/relationships/hyperlink" Target="http://www.imdb.com/title/tt0044533/?ref_=fn_tt_tt_1" TargetMode="External"/><Relationship Id="rId428" Type="http://schemas.openxmlformats.org/officeDocument/2006/relationships/hyperlink" Target="http://www.imdb.com/title/tt0489099/?ref_=fn_tt_tt_1" TargetMode="External"/><Relationship Id="rId4279" Type="http://schemas.openxmlformats.org/officeDocument/2006/relationships/hyperlink" Target="http://www.imdb.com/title/tt0061747/?ref_=fn_tt_tt_1" TargetMode="External"/><Relationship Id="rId4278" Type="http://schemas.openxmlformats.org/officeDocument/2006/relationships/hyperlink" Target="http://www.imdb.com/title/tt0378906/?ref_=fn_tt_tt_1" TargetMode="External"/><Relationship Id="rId4277" Type="http://schemas.openxmlformats.org/officeDocument/2006/relationships/hyperlink" Target="http://www.imdb.com/title/tt0106792/?ref_=fn_tt_tt_1" TargetMode="External"/><Relationship Id="rId4276" Type="http://schemas.openxmlformats.org/officeDocument/2006/relationships/hyperlink" Target="http://www.imdb.com/title/tt1743720/?ref_=fn_tt_tt_1" TargetMode="External"/><Relationship Id="rId4275" Type="http://schemas.openxmlformats.org/officeDocument/2006/relationships/hyperlink" Target="http://www.imdb.com/title/tt3566698/?ref_=fn_tt_tt_1" TargetMode="External"/><Relationship Id="rId4274" Type="http://schemas.openxmlformats.org/officeDocument/2006/relationships/hyperlink" Target="http://www.imdb.com/title/tt1562568/?ref_=fn_tt_tt_1" TargetMode="External"/><Relationship Id="rId4273" Type="http://schemas.openxmlformats.org/officeDocument/2006/relationships/hyperlink" Target="http://www.imdb.com/title/tt0210299/?ref_=fn_tt_tt_1" TargetMode="External"/><Relationship Id="rId4272" Type="http://schemas.openxmlformats.org/officeDocument/2006/relationships/hyperlink" Target="http://www.imdb.com/title/tt0069768/?ref_=fn_tt_tt_1" TargetMode="External"/><Relationship Id="rId4271" Type="http://schemas.openxmlformats.org/officeDocument/2006/relationships/hyperlink" Target="http://www.imdb.com/title/tt2125435/?ref_=fn_tt_tt_1" TargetMode="External"/><Relationship Id="rId4270" Type="http://schemas.openxmlformats.org/officeDocument/2006/relationships/hyperlink" Target="http://www.imdb.com/title/tt0313196/?ref_=fn_tt_tt_1" TargetMode="External"/><Relationship Id="rId427" Type="http://schemas.openxmlformats.org/officeDocument/2006/relationships/hyperlink" Target="http://www.imdb.com/title/tt1287468/?ref_=fn_tt_tt_1" TargetMode="External"/><Relationship Id="rId4269" Type="http://schemas.openxmlformats.org/officeDocument/2006/relationships/hyperlink" Target="http://www.imdb.com/title/tt0057012/?ref_=fn_tt_tt_1" TargetMode="External"/><Relationship Id="rId4268" Type="http://schemas.openxmlformats.org/officeDocument/2006/relationships/hyperlink" Target="http://www.imdb.com/title/tt0044081/?ref_=fn_tt_tt_1" TargetMode="External"/><Relationship Id="rId4267" Type="http://schemas.openxmlformats.org/officeDocument/2006/relationships/hyperlink" Target="http://www.imdb.com/title/tt1266029/?ref_=fn_tt_tt_1" TargetMode="External"/><Relationship Id="rId4266" Type="http://schemas.openxmlformats.org/officeDocument/2006/relationships/hyperlink" Target="http://www.imdb.com/title/tt1320244/?ref_=fn_tt_tt_1" TargetMode="External"/><Relationship Id="rId4265" Type="http://schemas.openxmlformats.org/officeDocument/2006/relationships/hyperlink" Target="http://www.imdb.com/title/tt3262990/?ref_=fn_tt_tt_1" TargetMode="External"/><Relationship Id="rId4264" Type="http://schemas.openxmlformats.org/officeDocument/2006/relationships/hyperlink" Target="http://www.imdb.com/title/tt4519006/?ref_=fn_tt_tt_1" TargetMode="External"/><Relationship Id="rId4263" Type="http://schemas.openxmlformats.org/officeDocument/2006/relationships/hyperlink" Target="http://www.imdb.com/title/tt1155592/?ref_=fn_tt_tt_1" TargetMode="External"/><Relationship Id="rId4262" Type="http://schemas.openxmlformats.org/officeDocument/2006/relationships/hyperlink" Target="http://www.imdb.com/title/tt2321163/?ref_=fn_tt_tt_1" TargetMode="External"/><Relationship Id="rId4261" Type="http://schemas.openxmlformats.org/officeDocument/2006/relationships/hyperlink" Target="http://www.imdb.com/title/tt0486751/?ref_=fn_tt_tt_1" TargetMode="External"/><Relationship Id="rId4260" Type="http://schemas.openxmlformats.org/officeDocument/2006/relationships/hyperlink" Target="http://www.imdb.com/title/tt2486682/?ref_=fn_tt_tt_1" TargetMode="External"/><Relationship Id="rId426" Type="http://schemas.openxmlformats.org/officeDocument/2006/relationships/hyperlink" Target="http://www.imdb.com/title/tt0083767/?ref_=fn_tt_tt_1" TargetMode="External"/><Relationship Id="rId4259" Type="http://schemas.openxmlformats.org/officeDocument/2006/relationships/hyperlink" Target="http://www.imdb.com/title/tt1440292/?ref_=fn_tt_tt_1" TargetMode="External"/><Relationship Id="rId4258" Type="http://schemas.openxmlformats.org/officeDocument/2006/relationships/hyperlink" Target="http://www.imdb.com/title/tt1462758/?ref_=fn_tt_tt_1" TargetMode="External"/><Relationship Id="rId4257" Type="http://schemas.openxmlformats.org/officeDocument/2006/relationships/hyperlink" Target="http://www.imdb.com/title/tt3528666/?ref_=fn_tt_tt_1" TargetMode="External"/><Relationship Id="rId4256" Type="http://schemas.openxmlformats.org/officeDocument/2006/relationships/hyperlink" Target="http://www.imdb.com/title/tt0322659/?ref_=fn_tt_tt_1" TargetMode="External"/><Relationship Id="rId4255" Type="http://schemas.openxmlformats.org/officeDocument/2006/relationships/hyperlink" Target="http://www.imdb.com/title/tt0091860/?ref_=fn_tt_tt_1" TargetMode="External"/><Relationship Id="rId4254" Type="http://schemas.openxmlformats.org/officeDocument/2006/relationships/hyperlink" Target="http://www.imdb.com/title/tt4416518/?ref_=fn_tt_tt_1" TargetMode="External"/><Relationship Id="rId4253" Type="http://schemas.openxmlformats.org/officeDocument/2006/relationships/hyperlink" Target="http://www.imdb.com/title/tt1772261/?ref_=fn_tt_tt_1" TargetMode="External"/><Relationship Id="rId4252" Type="http://schemas.openxmlformats.org/officeDocument/2006/relationships/hyperlink" Target="http://www.imdb.com/title/tt3499458/?ref_=fn_tt_tt_1" TargetMode="External"/><Relationship Id="rId4251" Type="http://schemas.openxmlformats.org/officeDocument/2006/relationships/hyperlink" Target="http://www.imdb.com/title/tt1220217/?ref_=fn_tt_tt_1" TargetMode="External"/><Relationship Id="rId4250" Type="http://schemas.openxmlformats.org/officeDocument/2006/relationships/hyperlink" Target="http://www.imdb.com/title/tt0850669/?ref_=fn_tt_tt_1" TargetMode="External"/><Relationship Id="rId425" Type="http://schemas.openxmlformats.org/officeDocument/2006/relationships/hyperlink" Target="http://www.imdb.com/title/tt0389860/?ref_=fn_tt_tt_1" TargetMode="External"/><Relationship Id="rId4249" Type="http://schemas.openxmlformats.org/officeDocument/2006/relationships/hyperlink" Target="http://www.imdb.com/title/tt0060438/?ref_=fn_tt_tt_1" TargetMode="External"/><Relationship Id="rId4248" Type="http://schemas.openxmlformats.org/officeDocument/2006/relationships/hyperlink" Target="http://www.imdb.com/title/tt2024506/?ref_=fn_tt_tt_1" TargetMode="External"/><Relationship Id="rId4247" Type="http://schemas.openxmlformats.org/officeDocument/2006/relationships/hyperlink" Target="http://www.imdb.com/title/tt0062235/?ref_=fn_tt_tt_1" TargetMode="External"/><Relationship Id="rId4246" Type="http://schemas.openxmlformats.org/officeDocument/2006/relationships/hyperlink" Target="http://www.imdb.com/title/tt1462901/?ref_=fn_tt_tt_1" TargetMode="External"/><Relationship Id="rId4245" Type="http://schemas.openxmlformats.org/officeDocument/2006/relationships/hyperlink" Target="http://www.imdb.com/title/tt1754633/?ref_=fn_tt_tt_1" TargetMode="External"/><Relationship Id="rId4244" Type="http://schemas.openxmlformats.org/officeDocument/2006/relationships/hyperlink" Target="http://www.imdb.com/title/tt2234025/?ref_=fn_tt_tt_1" TargetMode="External"/><Relationship Id="rId4243" Type="http://schemas.openxmlformats.org/officeDocument/2006/relationships/hyperlink" Target="http://www.imdb.com/title/tt1272886/?ref_=fn_tt_tt_1" TargetMode="External"/><Relationship Id="rId4242" Type="http://schemas.openxmlformats.org/officeDocument/2006/relationships/hyperlink" Target="http://www.imdb.com/title/tt0165361/?ref_=fn_tt_tt_1" TargetMode="External"/><Relationship Id="rId4241" Type="http://schemas.openxmlformats.org/officeDocument/2006/relationships/hyperlink" Target="http://www.imdb.com/title/tt1090671/?ref_=fn_tt_tt_1" TargetMode="External"/><Relationship Id="rId4240" Type="http://schemas.openxmlformats.org/officeDocument/2006/relationships/hyperlink" Target="http://www.imdb.com/title/tt0040525/?ref_=fn_tt_tt_1" TargetMode="External"/><Relationship Id="rId424" Type="http://schemas.openxmlformats.org/officeDocument/2006/relationships/hyperlink" Target="http://www.imdb.com/title/tt1343727/?ref_=fn_tt_tt_1" TargetMode="External"/><Relationship Id="rId4239" Type="http://schemas.openxmlformats.org/officeDocument/2006/relationships/hyperlink" Target="http://www.imdb.com/title/tt0098948/?ref_=fn_tt_tt_1" TargetMode="External"/><Relationship Id="rId4238" Type="http://schemas.openxmlformats.org/officeDocument/2006/relationships/hyperlink" Target="http://www.imdb.com/title/tt0796355/?ref_=fn_tt_tt_1" TargetMode="External"/><Relationship Id="rId4237" Type="http://schemas.openxmlformats.org/officeDocument/2006/relationships/hyperlink" Target="http://www.imdb.com/title/tt1734586/?ref_=fn_tt_tt_1" TargetMode="External"/><Relationship Id="rId4236" Type="http://schemas.openxmlformats.org/officeDocument/2006/relationships/hyperlink" Target="http://www.imdb.com/title/tt0066808/?ref_=fn_tt_tt_1" TargetMode="External"/><Relationship Id="rId4235" Type="http://schemas.openxmlformats.org/officeDocument/2006/relationships/hyperlink" Target="http://www.imdb.com/title/tt4704314/?ref_=fn_tt_tt_1" TargetMode="External"/><Relationship Id="rId4234" Type="http://schemas.openxmlformats.org/officeDocument/2006/relationships/hyperlink" Target="http://www.imdb.com/title/tt0959329/?ref_=fn_tt_tt_1" TargetMode="External"/><Relationship Id="rId4233" Type="http://schemas.openxmlformats.org/officeDocument/2006/relationships/hyperlink" Target="http://www.imdb.com/title/tt2126362/?ref_=fn_tt_tt_1" TargetMode="External"/><Relationship Id="rId4232" Type="http://schemas.openxmlformats.org/officeDocument/2006/relationships/hyperlink" Target="http://www.imdb.com/title/tt1703199/?ref_=fn_tt_tt_1" TargetMode="External"/><Relationship Id="rId4231" Type="http://schemas.openxmlformats.org/officeDocument/2006/relationships/hyperlink" Target="http://www.imdb.com/title/tt0363095/?ref_=fn_tt_tt_1" TargetMode="External"/><Relationship Id="rId4230" Type="http://schemas.openxmlformats.org/officeDocument/2006/relationships/hyperlink" Target="http://www.imdb.com/title/tt0783532/?ref_=fn_tt_tt_1" TargetMode="External"/><Relationship Id="rId423" Type="http://schemas.openxmlformats.org/officeDocument/2006/relationships/hyperlink" Target="http://www.imdb.com/title/tt0267913/?ref_=fn_tt_tt_1" TargetMode="External"/><Relationship Id="rId4229" Type="http://schemas.openxmlformats.org/officeDocument/2006/relationships/hyperlink" Target="http://www.imdb.com/title/tt1020885/?ref_=fn_tt_tt_1" TargetMode="External"/><Relationship Id="rId4228" Type="http://schemas.openxmlformats.org/officeDocument/2006/relationships/hyperlink" Target="http://www.imdb.com/title/tt2226519/?ref_=fn_tt_tt_1" TargetMode="External"/><Relationship Id="rId4227" Type="http://schemas.openxmlformats.org/officeDocument/2006/relationships/hyperlink" Target="http://www.imdb.com/title/tt1020530/?ref_=fn_tt_tt_1" TargetMode="External"/><Relationship Id="rId4226" Type="http://schemas.openxmlformats.org/officeDocument/2006/relationships/hyperlink" Target="http://www.imdb.com/title/tt3118452/?ref_=fn_tt_tt_1" TargetMode="External"/><Relationship Id="rId4225" Type="http://schemas.openxmlformats.org/officeDocument/2006/relationships/hyperlink" Target="http://www.imdb.com/title/tt0423169/?ref_=fn_tt_tt_1" TargetMode="External"/><Relationship Id="rId4224" Type="http://schemas.openxmlformats.org/officeDocument/2006/relationships/hyperlink" Target="http://www.imdb.com/title/tt0449061/?ref_=fn_tt_tt_1" TargetMode="External"/><Relationship Id="rId4223" Type="http://schemas.openxmlformats.org/officeDocument/2006/relationships/hyperlink" Target="http://www.imdb.com/title/tt0107953/?ref_=fn_tt_tt_1" TargetMode="External"/><Relationship Id="rId4222" Type="http://schemas.openxmlformats.org/officeDocument/2006/relationships/hyperlink" Target="http://www.imdb.com/title/tt1105512/?ref_=fn_tt_tt_1" TargetMode="External"/><Relationship Id="rId4221" Type="http://schemas.openxmlformats.org/officeDocument/2006/relationships/hyperlink" Target="http://www.imdb.com/title/tt2474024/?ref_=fn_tt_tt_1" TargetMode="External"/><Relationship Id="rId4220" Type="http://schemas.openxmlformats.org/officeDocument/2006/relationships/hyperlink" Target="http://www.imdb.com/title/tt1390539/?ref_=fn_tt_tt_1" TargetMode="External"/><Relationship Id="rId422" Type="http://schemas.openxmlformats.org/officeDocument/2006/relationships/hyperlink" Target="http://www.imdb.com/title/tt0144528/?ref_=fn_tt_tt_1" TargetMode="External"/><Relationship Id="rId4219" Type="http://schemas.openxmlformats.org/officeDocument/2006/relationships/hyperlink" Target="http://www.imdb.com/title/tt0338497/?ref_=fn_tt_tt_1" TargetMode="External"/><Relationship Id="rId4218" Type="http://schemas.openxmlformats.org/officeDocument/2006/relationships/hyperlink" Target="http://www.imdb.com/title/tt1050739/?ref_=fn_tt_tt_1" TargetMode="External"/><Relationship Id="rId4217" Type="http://schemas.openxmlformats.org/officeDocument/2006/relationships/hyperlink" Target="http://www.imdb.com/title/tt0796264/?ref_=fn_tt_tt_1" TargetMode="External"/><Relationship Id="rId4216" Type="http://schemas.openxmlformats.org/officeDocument/2006/relationships/hyperlink" Target="http://www.imdb.com/title/tt3018070/?ref_=fn_tt_tt_1" TargetMode="External"/><Relationship Id="rId4215" Type="http://schemas.openxmlformats.org/officeDocument/2006/relationships/hyperlink" Target="http://www.imdb.com/title/tt0120391/?ref_=fn_tt_tt_1" TargetMode="External"/><Relationship Id="rId4214" Type="http://schemas.openxmlformats.org/officeDocument/2006/relationships/hyperlink" Target="http://www.imdb.com/title/tt1276105/?ref_=fn_tt_tt_1" TargetMode="External"/><Relationship Id="rId4213" Type="http://schemas.openxmlformats.org/officeDocument/2006/relationships/hyperlink" Target="http://www.imdb.com/title/tt0388139/?ref_=fn_tt_tt_1" TargetMode="External"/><Relationship Id="rId4212" Type="http://schemas.openxmlformats.org/officeDocument/2006/relationships/hyperlink" Target="http://www.imdb.com/title/tt0249588/?ref_=fn_tt_tt_1" TargetMode="External"/><Relationship Id="rId4211" Type="http://schemas.openxmlformats.org/officeDocument/2006/relationships/hyperlink" Target="http://www.imdb.com/title/tt0118736/?ref_=fn_tt_tt_1" TargetMode="External"/><Relationship Id="rId4210" Type="http://schemas.openxmlformats.org/officeDocument/2006/relationships/hyperlink" Target="http://www.imdb.com/title/tt0780622/?ref_=fn_tt_tt_1" TargetMode="External"/><Relationship Id="rId421" Type="http://schemas.openxmlformats.org/officeDocument/2006/relationships/hyperlink" Target="http://www.imdb.com/title/tt0298814/?ref_=fn_tt_tt_1" TargetMode="External"/><Relationship Id="rId4209" Type="http://schemas.openxmlformats.org/officeDocument/2006/relationships/hyperlink" Target="http://www.imdb.com/title/tt0372334/?ref_=fn_tt_tt_1" TargetMode="External"/><Relationship Id="rId4208" Type="http://schemas.openxmlformats.org/officeDocument/2006/relationships/hyperlink" Target="http://www.imdb.com/title/tt0090095/?ref_=fn_tt_tt_1" TargetMode="External"/><Relationship Id="rId4207" Type="http://schemas.openxmlformats.org/officeDocument/2006/relationships/hyperlink" Target="http://www.imdb.com/title/tt1695994/?ref_=fn_tt_tt_1" TargetMode="External"/><Relationship Id="rId4206" Type="http://schemas.openxmlformats.org/officeDocument/2006/relationships/hyperlink" Target="http://www.imdb.com/title/tt0118866/?ref_=fn_tt_tt_1" TargetMode="External"/><Relationship Id="rId4205" Type="http://schemas.openxmlformats.org/officeDocument/2006/relationships/hyperlink" Target="http://www.imdb.com/title/tt0229340/?ref_=fn_tt_tt_1" TargetMode="External"/><Relationship Id="rId4204" Type="http://schemas.openxmlformats.org/officeDocument/2006/relationships/hyperlink" Target="http://www.imdb.com/title/tt0418753/?ref_=fn_tt_tt_1" TargetMode="External"/><Relationship Id="rId4203" Type="http://schemas.openxmlformats.org/officeDocument/2006/relationships/hyperlink" Target="http://www.imdb.com/title/tt1518812/?ref_=fn_tt_tt_1" TargetMode="External"/><Relationship Id="rId4202" Type="http://schemas.openxmlformats.org/officeDocument/2006/relationships/hyperlink" Target="http://www.imdb.com/title/tt0925248/?ref_=fn_tt_tt_1" TargetMode="External"/><Relationship Id="rId4201" Type="http://schemas.openxmlformats.org/officeDocument/2006/relationships/hyperlink" Target="http://www.imdb.com/title/tt0212662/?ref_=fn_tt_tt_1" TargetMode="External"/><Relationship Id="rId4200" Type="http://schemas.openxmlformats.org/officeDocument/2006/relationships/hyperlink" Target="http://www.imdb.com/title/tt3172532/?ref_=fn_tt_tt_1" TargetMode="External"/><Relationship Id="rId420" Type="http://schemas.openxmlformats.org/officeDocument/2006/relationships/hyperlink" Target="http://www.imdb.com/title/tt0446029/?ref_=fn_tt_tt_1" TargetMode="External"/><Relationship Id="rId42" Type="http://schemas.openxmlformats.org/officeDocument/2006/relationships/hyperlink" Target="http://www.imdb.com/title/tt1216475/?ref_=fn_tt_tt_1" TargetMode="External"/><Relationship Id="rId4199" Type="http://schemas.openxmlformats.org/officeDocument/2006/relationships/hyperlink" Target="http://www.imdb.com/title/tt0912593/?ref_=fn_tt_tt_1" TargetMode="External"/><Relationship Id="rId4198" Type="http://schemas.openxmlformats.org/officeDocument/2006/relationships/hyperlink" Target="http://www.imdb.com/title/tt0349159/?ref_=fn_tt_tt_1" TargetMode="External"/><Relationship Id="rId4197" Type="http://schemas.openxmlformats.org/officeDocument/2006/relationships/hyperlink" Target="http://www.imdb.com/title/tt1185616/?ref_=fn_tt_tt_1" TargetMode="External"/><Relationship Id="rId4196" Type="http://schemas.openxmlformats.org/officeDocument/2006/relationships/hyperlink" Target="http://www.imdb.com/title/tt0367027/?ref_=fn_tt_tt_1" TargetMode="External"/><Relationship Id="rId4195" Type="http://schemas.openxmlformats.org/officeDocument/2006/relationships/hyperlink" Target="http://www.imdb.com/title/tt0194624/?ref_=fn_tt_tt_1" TargetMode="External"/><Relationship Id="rId4194" Type="http://schemas.openxmlformats.org/officeDocument/2006/relationships/hyperlink" Target="http://www.imdb.com/title/tt0090327/?ref_=fn_tt_tt_1" TargetMode="External"/><Relationship Id="rId4193" Type="http://schemas.openxmlformats.org/officeDocument/2006/relationships/hyperlink" Target="http://www.imdb.com/title/tt0290212/?ref_=fn_tt_tt_1" TargetMode="External"/><Relationship Id="rId4192" Type="http://schemas.openxmlformats.org/officeDocument/2006/relationships/hyperlink" Target="http://www.imdb.com/title/tt3268668/?ref_=fn_tt_tt_1" TargetMode="External"/><Relationship Id="rId4191" Type="http://schemas.openxmlformats.org/officeDocument/2006/relationships/hyperlink" Target="http://www.imdb.com/title/tt0433387/?ref_=fn_tt_tt_1" TargetMode="External"/><Relationship Id="rId4190" Type="http://schemas.openxmlformats.org/officeDocument/2006/relationships/hyperlink" Target="http://www.imdb.com/title/tt0165798/?ref_=fn_tt_tt_1" TargetMode="External"/><Relationship Id="rId419" Type="http://schemas.openxmlformats.org/officeDocument/2006/relationships/hyperlink" Target="http://www.imdb.com/title/tt1667353/?ref_=fn_tt_tt_1" TargetMode="External"/><Relationship Id="rId4189" Type="http://schemas.openxmlformats.org/officeDocument/2006/relationships/hyperlink" Target="http://www.imdb.com/title/tt3787590/?ref_=fn_tt_tt_1" TargetMode="External"/><Relationship Id="rId4188" Type="http://schemas.openxmlformats.org/officeDocument/2006/relationships/hyperlink" Target="http://www.imdb.com/title/tt1645089/?ref_=fn_tt_tt_1" TargetMode="External"/><Relationship Id="rId4187" Type="http://schemas.openxmlformats.org/officeDocument/2006/relationships/hyperlink" Target="http://www.imdb.com/title/tt0415978/?ref_=fn_tt_tt_1" TargetMode="External"/><Relationship Id="rId4186" Type="http://schemas.openxmlformats.org/officeDocument/2006/relationships/hyperlink" Target="http://www.imdb.com/title/tt0029852/?ref_=fn_tt_tt_1" TargetMode="External"/><Relationship Id="rId4185" Type="http://schemas.openxmlformats.org/officeDocument/2006/relationships/hyperlink" Target="http://www.imdb.com/title/tt0379557/?ref_=fn_tt_tt_1" TargetMode="External"/><Relationship Id="rId4184" Type="http://schemas.openxmlformats.org/officeDocument/2006/relationships/hyperlink" Target="http://www.imdb.com/title/tt1399683/?ref_=fn_tt_tt_1" TargetMode="External"/><Relationship Id="rId4183" Type="http://schemas.openxmlformats.org/officeDocument/2006/relationships/hyperlink" Target="http://www.imdb.com/title/tt0039416/?ref_=fn_tt_tt_1" TargetMode="External"/><Relationship Id="rId4182" Type="http://schemas.openxmlformats.org/officeDocument/2006/relationships/hyperlink" Target="http://www.imdb.com/title/tt0328538/?ref_=fn_tt_tt_1" TargetMode="External"/><Relationship Id="rId4181" Type="http://schemas.openxmlformats.org/officeDocument/2006/relationships/hyperlink" Target="http://www.imdb.com/title/tt0245712/?ref_=fn_tt_tt_1" TargetMode="External"/><Relationship Id="rId4180" Type="http://schemas.openxmlformats.org/officeDocument/2006/relationships/hyperlink" Target="http://www.imdb.com/title/tt0381681/?ref_=fn_tt_tt_1" TargetMode="External"/><Relationship Id="rId418" Type="http://schemas.openxmlformats.org/officeDocument/2006/relationships/hyperlink" Target="http://www.imdb.com/title/tt0078754/?ref_=fn_tt_tt_1" TargetMode="External"/><Relationship Id="rId4179" Type="http://schemas.openxmlformats.org/officeDocument/2006/relationships/hyperlink" Target="http://www.imdb.com/title/tt0305206/?ref_=fn_tt_tt_1" TargetMode="External"/><Relationship Id="rId4178" Type="http://schemas.openxmlformats.org/officeDocument/2006/relationships/hyperlink" Target="http://www.imdb.com/title/tt0120321/?ref_=fn_tt_tt_1" TargetMode="External"/><Relationship Id="rId4177" Type="http://schemas.openxmlformats.org/officeDocument/2006/relationships/hyperlink" Target="http://www.imdb.com/title/tt0286244/?ref_=fn_tt_tt_1" TargetMode="External"/><Relationship Id="rId4176" Type="http://schemas.openxmlformats.org/officeDocument/2006/relationships/hyperlink" Target="http://www.imdb.com/title/tt0032273/?ref_=fn_tt_tt_1" TargetMode="External"/><Relationship Id="rId4175" Type="http://schemas.openxmlformats.org/officeDocument/2006/relationships/hyperlink" Target="http://www.imdb.com/title/tt0054997/?ref_=fn_tt_tt_1" TargetMode="External"/><Relationship Id="rId4174" Type="http://schemas.openxmlformats.org/officeDocument/2006/relationships/hyperlink" Target="http://www.imdb.com/title/tt1630036/?ref_=fn_tt_tt_1" TargetMode="External"/><Relationship Id="rId4173" Type="http://schemas.openxmlformats.org/officeDocument/2006/relationships/hyperlink" Target="http://www.imdb.com/title/tt0405094/?ref_=fn_tt_tt_1" TargetMode="External"/><Relationship Id="rId4172" Type="http://schemas.openxmlformats.org/officeDocument/2006/relationships/hyperlink" Target="http://www.imdb.com/title/tt1767382/?ref_=fn_tt_tt_1" TargetMode="External"/><Relationship Id="rId4171" Type="http://schemas.openxmlformats.org/officeDocument/2006/relationships/hyperlink" Target="http://www.imdb.com/title/tt0171804/?ref_=fn_tt_tt_1" TargetMode="External"/><Relationship Id="rId4170" Type="http://schemas.openxmlformats.org/officeDocument/2006/relationships/hyperlink" Target="http://www.imdb.com/title/tt0111512/?ref_=fn_tt_tt_1" TargetMode="External"/><Relationship Id="rId417" Type="http://schemas.openxmlformats.org/officeDocument/2006/relationships/hyperlink" Target="http://www.imdb.com/title/tt0233469/?ref_=fn_tt_tt_1" TargetMode="External"/><Relationship Id="rId4169" Type="http://schemas.openxmlformats.org/officeDocument/2006/relationships/hyperlink" Target="http://www.imdb.com/title/tt0082694/?ref_=fn_tt_tt_1" TargetMode="External"/><Relationship Id="rId4168" Type="http://schemas.openxmlformats.org/officeDocument/2006/relationships/hyperlink" Target="http://www.imdb.com/title/tt0056592/?ref_=fn_tt_tt_1" TargetMode="External"/><Relationship Id="rId4167" Type="http://schemas.openxmlformats.org/officeDocument/2006/relationships/hyperlink" Target="http://www.imdb.com/title/tt0068555/?ref_=fn_tt_tt_1" TargetMode="External"/><Relationship Id="rId4166" Type="http://schemas.openxmlformats.org/officeDocument/2006/relationships/hyperlink" Target="http://www.imdb.com/title/tt3235888/?ref_=fn_tt_tt_1" TargetMode="External"/><Relationship Id="rId4165" Type="http://schemas.openxmlformats.org/officeDocument/2006/relationships/hyperlink" Target="http://www.imdb.com/title/tt0070707/?ref_=fn_tt_tt_1" TargetMode="External"/><Relationship Id="rId4164" Type="http://schemas.openxmlformats.org/officeDocument/2006/relationships/hyperlink" Target="http://www.imdb.com/title/tt0094484/?ref_=fn_tt_tt_1" TargetMode="External"/><Relationship Id="rId4163" Type="http://schemas.openxmlformats.org/officeDocument/2006/relationships/hyperlink" Target="http://www.imdb.com/title/tt0098503/?ref_=fn_tt_tt_1" TargetMode="External"/><Relationship Id="rId4162" Type="http://schemas.openxmlformats.org/officeDocument/2006/relationships/hyperlink" Target="http://www.imdb.com/title/tt0057076/?ref_=fn_tt_tt_1" TargetMode="External"/><Relationship Id="rId4161" Type="http://schemas.openxmlformats.org/officeDocument/2006/relationships/hyperlink" Target="http://www.imdb.com/title/tt2215673/?ref_=fn_tt_tt_1" TargetMode="External"/><Relationship Id="rId4160" Type="http://schemas.openxmlformats.org/officeDocument/2006/relationships/hyperlink" Target="http://www.imdb.com/title/tt3561236/?ref_=fn_tt_tt_1" TargetMode="External"/><Relationship Id="rId416" Type="http://schemas.openxmlformats.org/officeDocument/2006/relationships/hyperlink" Target="http://www.imdb.com/title/tt0119643/?ref_=fn_tt_tt_1" TargetMode="External"/><Relationship Id="rId4159" Type="http://schemas.openxmlformats.org/officeDocument/2006/relationships/hyperlink" Target="http://www.imdb.com/title/tt2317796/?ref_=fn_tt_tt_1" TargetMode="External"/><Relationship Id="rId4158" Type="http://schemas.openxmlformats.org/officeDocument/2006/relationships/hyperlink" Target="http://www.imdb.com/title/tt1675312/?ref_=fn_tt_tt_1" TargetMode="External"/><Relationship Id="rId4157" Type="http://schemas.openxmlformats.org/officeDocument/2006/relationships/hyperlink" Target="http://www.imdb.com/title/tt1038988/?ref_=fn_tt_tt_1" TargetMode="External"/><Relationship Id="rId4156" Type="http://schemas.openxmlformats.org/officeDocument/2006/relationships/hyperlink" Target="http://www.imdb.com/title/tt2460506/?ref_=fn_tt_tt_1" TargetMode="External"/><Relationship Id="rId4155" Type="http://schemas.openxmlformats.org/officeDocument/2006/relationships/hyperlink" Target="http://www.imdb.com/title/tt0279064/?ref_=fn_tt_tt_1" TargetMode="External"/><Relationship Id="rId4154" Type="http://schemas.openxmlformats.org/officeDocument/2006/relationships/hyperlink" Target="http://www.imdb.com/title/tt0242193/?ref_=fn_tt_tt_1" TargetMode="External"/><Relationship Id="rId4153" Type="http://schemas.openxmlformats.org/officeDocument/2006/relationships/hyperlink" Target="http://www.imdb.com/title/tt0036868/?ref_=fn_tt_tt_1" TargetMode="External"/><Relationship Id="rId4152" Type="http://schemas.openxmlformats.org/officeDocument/2006/relationships/hyperlink" Target="http://www.imdb.com/title/tt0816539/?ref_=fn_tt_tt_1" TargetMode="External"/><Relationship Id="rId4151" Type="http://schemas.openxmlformats.org/officeDocument/2006/relationships/hyperlink" Target="http://www.imdb.com/title/tt1995477/?ref_=fn_tt_tt_1" TargetMode="External"/><Relationship Id="rId4150" Type="http://schemas.openxmlformats.org/officeDocument/2006/relationships/hyperlink" Target="http://www.imdb.com/title/tt0449000/?ref_=fn_tt_tt_1" TargetMode="External"/><Relationship Id="rId415" Type="http://schemas.openxmlformats.org/officeDocument/2006/relationships/hyperlink" Target="http://www.imdb.com/title/tt1430607/?ref_=fn_tt_tt_1" TargetMode="External"/><Relationship Id="rId4149" Type="http://schemas.openxmlformats.org/officeDocument/2006/relationships/hyperlink" Target="http://www.imdb.com/title/tt3032282/?ref_=fn_tt_tt_1" TargetMode="External"/><Relationship Id="rId4148" Type="http://schemas.openxmlformats.org/officeDocument/2006/relationships/hyperlink" Target="http://www.imdb.com/title/tt0038213/?ref_=fn_tt_tt_1" TargetMode="External"/><Relationship Id="rId4147" Type="http://schemas.openxmlformats.org/officeDocument/2006/relationships/hyperlink" Target="http://www.imdb.com/title/tt1086841/?ref_=fn_tt_tt_1" TargetMode="External"/><Relationship Id="rId4146" Type="http://schemas.openxmlformats.org/officeDocument/2006/relationships/hyperlink" Target="http://www.imdb.com/title/tt4056738/?ref_=fn_tt_tt_1" TargetMode="External"/><Relationship Id="rId4145" Type="http://schemas.openxmlformats.org/officeDocument/2006/relationships/hyperlink" Target="http://www.imdb.com/title/tt0810928/?ref_=fn_tt_tt_1" TargetMode="External"/><Relationship Id="rId4144" Type="http://schemas.openxmlformats.org/officeDocument/2006/relationships/hyperlink" Target="http://www.imdb.com/title/tt0089173/?ref_=fn_tt_tt_1" TargetMode="External"/><Relationship Id="rId4143" Type="http://schemas.openxmlformats.org/officeDocument/2006/relationships/hyperlink" Target="http://www.imdb.com/title/tt0083972/?ref_=fn_tt_tt_1" TargetMode="External"/><Relationship Id="rId4142" Type="http://schemas.openxmlformats.org/officeDocument/2006/relationships/hyperlink" Target="http://www.imdb.com/title/tt3111864/?ref_=fn_tt_tt_1" TargetMode="External"/><Relationship Id="rId4141" Type="http://schemas.openxmlformats.org/officeDocument/2006/relationships/hyperlink" Target="http://www.imdb.com/title/tt0032455/?ref_=fn_tt_tt_1" TargetMode="External"/><Relationship Id="rId4140" Type="http://schemas.openxmlformats.org/officeDocument/2006/relationships/hyperlink" Target="http://www.imdb.com/title/tt0092695/?ref_=fn_tt_tt_1" TargetMode="External"/><Relationship Id="rId414" Type="http://schemas.openxmlformats.org/officeDocument/2006/relationships/hyperlink" Target="http://www.imdb.com/title/tt0463985/?ref_=fn_tt_tt_1" TargetMode="External"/><Relationship Id="rId4139" Type="http://schemas.openxmlformats.org/officeDocument/2006/relationships/hyperlink" Target="http://www.imdb.com/title/tt1666335/?ref_=fn_tt_tt_1" TargetMode="External"/><Relationship Id="rId4138" Type="http://schemas.openxmlformats.org/officeDocument/2006/relationships/hyperlink" Target="http://www.imdb.com/title/tt1470020/?ref_=fn_tt_tt_1" TargetMode="External"/><Relationship Id="rId4137" Type="http://schemas.openxmlformats.org/officeDocument/2006/relationships/hyperlink" Target="http://www.imdb.com/title/tt0044030/?ref_=fn_tt_tt_1" TargetMode="External"/><Relationship Id="rId4136" Type="http://schemas.openxmlformats.org/officeDocument/2006/relationships/hyperlink" Target="http://www.imdb.com/title/tt0118925/?ref_=fn_tt_tt_1" TargetMode="External"/><Relationship Id="rId4135" Type="http://schemas.openxmlformats.org/officeDocument/2006/relationships/hyperlink" Target="http://www.imdb.com/title/tt1307926/?ref_=fn_tt_tt_1" TargetMode="External"/><Relationship Id="rId4134" Type="http://schemas.openxmlformats.org/officeDocument/2006/relationships/hyperlink" Target="http://www.imdb.com/title/tt0036628/?ref_=fn_tt_tt_1" TargetMode="External"/><Relationship Id="rId4133" Type="http://schemas.openxmlformats.org/officeDocument/2006/relationships/hyperlink" Target="http://www.imdb.com/title/tt2040578/?ref_=fn_tt_tt_1" TargetMode="External"/><Relationship Id="rId4132" Type="http://schemas.openxmlformats.org/officeDocument/2006/relationships/hyperlink" Target="http://www.imdb.com/title/tt0480025/?ref_=fn_tt_tt_1" TargetMode="External"/><Relationship Id="rId4131" Type="http://schemas.openxmlformats.org/officeDocument/2006/relationships/hyperlink" Target="http://www.imdb.com/title/tt2945796/?ref_=fn_tt_tt_1" TargetMode="External"/><Relationship Id="rId4130" Type="http://schemas.openxmlformats.org/officeDocument/2006/relationships/hyperlink" Target="http://www.imdb.com/title/tt0387808/?ref_=fn_tt_tt_1" TargetMode="External"/><Relationship Id="rId413" Type="http://schemas.openxmlformats.org/officeDocument/2006/relationships/hyperlink" Target="http://www.imdb.com/title/tt0397535/?ref_=fn_tt_tt_1" TargetMode="External"/><Relationship Id="rId4129" Type="http://schemas.openxmlformats.org/officeDocument/2006/relationships/hyperlink" Target="http://www.imdb.com/title/tt0486028/?ref_=fn_tt_tt_1" TargetMode="External"/><Relationship Id="rId4128" Type="http://schemas.openxmlformats.org/officeDocument/2006/relationships/hyperlink" Target="http://www.imdb.com/title/tt0116404/?ref_=fn_tt_tt_1" TargetMode="External"/><Relationship Id="rId4127" Type="http://schemas.openxmlformats.org/officeDocument/2006/relationships/hyperlink" Target="http://www.imdb.com/title/tt3333870/?ref_=fn_tt_tt_1" TargetMode="External"/><Relationship Id="rId4126" Type="http://schemas.openxmlformats.org/officeDocument/2006/relationships/hyperlink" Target="http://www.imdb.com/title/tt3300572/?ref_=fn_tt_tt_1" TargetMode="External"/><Relationship Id="rId4125" Type="http://schemas.openxmlformats.org/officeDocument/2006/relationships/hyperlink" Target="http://www.imdb.com/title/tt1663628/?ref_=fn_tt_tt_1" TargetMode="External"/><Relationship Id="rId4124" Type="http://schemas.openxmlformats.org/officeDocument/2006/relationships/hyperlink" Target="http://www.imdb.com/title/tt1512235/?ref_=fn_tt_tt_1" TargetMode="External"/><Relationship Id="rId4123" Type="http://schemas.openxmlformats.org/officeDocument/2006/relationships/hyperlink" Target="http://www.imdb.com/title/tt0804529/?ref_=fn_tt_tt_1" TargetMode="External"/><Relationship Id="rId4122" Type="http://schemas.openxmlformats.org/officeDocument/2006/relationships/hyperlink" Target="http://www.imdb.com/title/tt0187696/?ref_=fn_tt_tt_1" TargetMode="External"/><Relationship Id="rId4121" Type="http://schemas.openxmlformats.org/officeDocument/2006/relationships/hyperlink" Target="http://www.imdb.com/title/tt1049405/?ref_=fn_tt_tt_1" TargetMode="External"/><Relationship Id="rId4120" Type="http://schemas.openxmlformats.org/officeDocument/2006/relationships/hyperlink" Target="http://www.imdb.com/title/tt1484522/?ref_=fn_tt_tt_1" TargetMode="External"/><Relationship Id="rId412" Type="http://schemas.openxmlformats.org/officeDocument/2006/relationships/hyperlink" Target="http://www.imdb.com/title/tt0107362/?ref_=fn_tt_tt_1" TargetMode="External"/><Relationship Id="rId4119" Type="http://schemas.openxmlformats.org/officeDocument/2006/relationships/hyperlink" Target="http://www.imdb.com/title/tt0465407/?ref_=fn_tt_tt_1" TargetMode="External"/><Relationship Id="rId4118" Type="http://schemas.openxmlformats.org/officeDocument/2006/relationships/hyperlink" Target="http://www.imdb.com/title/tt0472200/?ref_=fn_tt_tt_1" TargetMode="External"/><Relationship Id="rId4117" Type="http://schemas.openxmlformats.org/officeDocument/2006/relationships/hyperlink" Target="http://www.imdb.com/title/tt1294164/?ref_=fn_tt_tt_1" TargetMode="External"/><Relationship Id="rId4116" Type="http://schemas.openxmlformats.org/officeDocument/2006/relationships/hyperlink" Target="http://www.imdb.com/title/tt0815241/?ref_=fn_tt_tt_1" TargetMode="External"/><Relationship Id="rId4115" Type="http://schemas.openxmlformats.org/officeDocument/2006/relationships/hyperlink" Target="http://www.imdb.com/title/tt0283465/?ref_=fn_tt_tt_1" TargetMode="External"/><Relationship Id="rId4114" Type="http://schemas.openxmlformats.org/officeDocument/2006/relationships/hyperlink" Target="http://www.imdb.com/title/tt1714206/?ref_=fn_tt_tt_1" TargetMode="External"/><Relationship Id="rId4113" Type="http://schemas.openxmlformats.org/officeDocument/2006/relationships/hyperlink" Target="http://www.imdb.com/title/tt0314412/?ref_=fn_tt_tt_1" TargetMode="External"/><Relationship Id="rId4112" Type="http://schemas.openxmlformats.org/officeDocument/2006/relationships/hyperlink" Target="http://www.imdb.com/title/tt1990314/?ref_=fn_tt_tt_1" TargetMode="External"/><Relationship Id="rId4111" Type="http://schemas.openxmlformats.org/officeDocument/2006/relationships/hyperlink" Target="http://www.imdb.com/title/tt0940585/?ref_=fn_tt_tt_1" TargetMode="External"/><Relationship Id="rId4110" Type="http://schemas.openxmlformats.org/officeDocument/2006/relationships/hyperlink" Target="http://www.imdb.com/title/tt0384504/?ref_=fn_tt_tt_1" TargetMode="External"/><Relationship Id="rId411" Type="http://schemas.openxmlformats.org/officeDocument/2006/relationships/hyperlink" Target="http://www.imdb.com/title/tt0327850/?ref_=fn_tt_tt_1" TargetMode="External"/><Relationship Id="rId4109" Type="http://schemas.openxmlformats.org/officeDocument/2006/relationships/hyperlink" Target="http://www.imdb.com/title/tt0186253/?ref_=fn_tt_tt_1" TargetMode="External"/><Relationship Id="rId4108" Type="http://schemas.openxmlformats.org/officeDocument/2006/relationships/hyperlink" Target="http://www.imdb.com/title/tt0380732/?ref_=fn_tt_tt_1" TargetMode="External"/><Relationship Id="rId4107" Type="http://schemas.openxmlformats.org/officeDocument/2006/relationships/hyperlink" Target="http://www.imdb.com/title/tt0112471/?ref_=fn_tt_tt_1" TargetMode="External"/><Relationship Id="rId4106" Type="http://schemas.openxmlformats.org/officeDocument/2006/relationships/hyperlink" Target="http://www.imdb.com/title/tt0333766/?ref_=fn_tt_tt_1" TargetMode="External"/><Relationship Id="rId4105" Type="http://schemas.openxmlformats.org/officeDocument/2006/relationships/hyperlink" Target="http://www.imdb.com/title/tt0102494/?ref_=fn_tt_tt_1" TargetMode="External"/><Relationship Id="rId4104" Type="http://schemas.openxmlformats.org/officeDocument/2006/relationships/hyperlink" Target="http://www.imdb.com/title/tt2609912/?ref_=fn_tt_tt_1" TargetMode="External"/><Relationship Id="rId4103" Type="http://schemas.openxmlformats.org/officeDocument/2006/relationships/hyperlink" Target="http://www.imdb.com/title/tt0057163/?ref_=fn_tt_tt_1" TargetMode="External"/><Relationship Id="rId4102" Type="http://schemas.openxmlformats.org/officeDocument/2006/relationships/hyperlink" Target="http://www.imdb.com/title/tt0067065/?ref_=fn_tt_tt_1" TargetMode="External"/><Relationship Id="rId4101" Type="http://schemas.openxmlformats.org/officeDocument/2006/relationships/hyperlink" Target="http://www.imdb.com/title/tt0085636/?ref_=fn_tt_tt_1" TargetMode="External"/><Relationship Id="rId4100" Type="http://schemas.openxmlformats.org/officeDocument/2006/relationships/hyperlink" Target="http://www.imdb.com/title/tt0117887/?ref_=fn_tt_tt_1" TargetMode="External"/><Relationship Id="rId410" Type="http://schemas.openxmlformats.org/officeDocument/2006/relationships/hyperlink" Target="http://www.imdb.com/title/tt0215750/?ref_=fn_tt_tt_1" TargetMode="External"/><Relationship Id="rId41" Type="http://schemas.openxmlformats.org/officeDocument/2006/relationships/hyperlink" Target="http://www.imdb.com/title/tt1104001/?ref_=fn_tt_tt_1" TargetMode="External"/><Relationship Id="rId4099" Type="http://schemas.openxmlformats.org/officeDocument/2006/relationships/hyperlink" Target="http://www.imdb.com/title/tt2247692/?ref_=fn_tt_tt_1" TargetMode="External"/><Relationship Id="rId4098" Type="http://schemas.openxmlformats.org/officeDocument/2006/relationships/hyperlink" Target="http://www.imdb.com/title/tt2243537/?ref_=fn_tt_tt_1" TargetMode="External"/><Relationship Id="rId4097" Type="http://schemas.openxmlformats.org/officeDocument/2006/relationships/hyperlink" Target="http://www.imdb.com/title/tt1227378/?ref_=fn_tt_tt_1" TargetMode="External"/><Relationship Id="rId4096" Type="http://schemas.openxmlformats.org/officeDocument/2006/relationships/hyperlink" Target="http://www.imdb.com/title/tt0045152/?ref_=fn_tt_tt_1" TargetMode="External"/><Relationship Id="rId4095" Type="http://schemas.openxmlformats.org/officeDocument/2006/relationships/hyperlink" Target="http://www.imdb.com/title/tt0857295/?ref_=fn_tt_tt_1" TargetMode="External"/><Relationship Id="rId4094" Type="http://schemas.openxmlformats.org/officeDocument/2006/relationships/hyperlink" Target="http://www.imdb.com/title/tt0851515/?ref_=fn_tt_tt_1" TargetMode="External"/><Relationship Id="rId4093" Type="http://schemas.openxmlformats.org/officeDocument/2006/relationships/hyperlink" Target="http://www.imdb.com/title/tt0480669/?ref_=fn_tt_tt_1" TargetMode="External"/><Relationship Id="rId4092" Type="http://schemas.openxmlformats.org/officeDocument/2006/relationships/hyperlink" Target="http://www.imdb.com/title/tt0389326/?ref_=fn_tt_tt_1" TargetMode="External"/><Relationship Id="rId4091" Type="http://schemas.openxmlformats.org/officeDocument/2006/relationships/hyperlink" Target="http://www.imdb.com/title/tt0453453/?ref_=fn_tt_tt_1" TargetMode="External"/><Relationship Id="rId4090" Type="http://schemas.openxmlformats.org/officeDocument/2006/relationships/hyperlink" Target="http://www.imdb.com/title/tt0093512/?ref_=fn_tt_tt_1" TargetMode="External"/><Relationship Id="rId409" Type="http://schemas.openxmlformats.org/officeDocument/2006/relationships/hyperlink" Target="http://www.imdb.com/title/tt1840309/?ref_=fn_tt_tt_1" TargetMode="External"/><Relationship Id="rId4089" Type="http://schemas.openxmlformats.org/officeDocument/2006/relationships/hyperlink" Target="http://www.imdb.com/title/tt2718492/?ref_=fn_tt_tt_1" TargetMode="External"/><Relationship Id="rId4088" Type="http://schemas.openxmlformats.org/officeDocument/2006/relationships/hyperlink" Target="http://www.imdb.com/title/tt0087298/?ref_=fn_tt_tt_1" TargetMode="External"/><Relationship Id="rId4087" Type="http://schemas.openxmlformats.org/officeDocument/2006/relationships/hyperlink" Target="http://www.imdb.com/title/tt0071230/?ref_=fn_tt_tt_1" TargetMode="External"/><Relationship Id="rId4086" Type="http://schemas.openxmlformats.org/officeDocument/2006/relationships/hyperlink" Target="http://www.imdb.com/title/tt0035959/?ref_=fn_tt_tt_1" TargetMode="External"/><Relationship Id="rId4085" Type="http://schemas.openxmlformats.org/officeDocument/2006/relationships/hyperlink" Target="http://www.imdb.com/title/tt0116729/?ref_=fn_tt_tt_1" TargetMode="External"/><Relationship Id="rId4084" Type="http://schemas.openxmlformats.org/officeDocument/2006/relationships/hyperlink" Target="http://www.imdb.com/title/tt0057007/?ref_=fn_tt_tt_1" TargetMode="External"/><Relationship Id="rId4083" Type="http://schemas.openxmlformats.org/officeDocument/2006/relationships/hyperlink" Target="http://www.imdb.com/title/tt1095423/?ref_=fn_tt_tt_1" TargetMode="External"/><Relationship Id="rId4082" Type="http://schemas.openxmlformats.org/officeDocument/2006/relationships/hyperlink" Target="http://www.imdb.com/title/tt4080386/?ref_=fn_tt_tt_1" TargetMode="External"/><Relationship Id="rId4081" Type="http://schemas.openxmlformats.org/officeDocument/2006/relationships/hyperlink" Target="http://www.imdb.com/title/tt0078872/?ref_=fn_tt_tt_1" TargetMode="External"/><Relationship Id="rId4080" Type="http://schemas.openxmlformats.org/officeDocument/2006/relationships/hyperlink" Target="http://www.imdb.com/title/tt0120402/?ref_=fn_tt_tt_1" TargetMode="External"/><Relationship Id="rId408" Type="http://schemas.openxmlformats.org/officeDocument/2006/relationships/hyperlink" Target="http://www.imdb.com/title/tt0400717/?ref_=fn_tt_tt_1" TargetMode="External"/><Relationship Id="rId4079" Type="http://schemas.openxmlformats.org/officeDocument/2006/relationships/hyperlink" Target="http://www.imdb.com/title/tt0456144/?ref_=fn_tt_tt_1" TargetMode="External"/><Relationship Id="rId4078" Type="http://schemas.openxmlformats.org/officeDocument/2006/relationships/hyperlink" Target="http://www.imdb.com/title/tt0848557/?ref_=fn_tt_tt_1" TargetMode="External"/><Relationship Id="rId4077" Type="http://schemas.openxmlformats.org/officeDocument/2006/relationships/hyperlink" Target="http://www.imdb.com/title/tt0072431/?ref_=fn_tt_tt_1" TargetMode="External"/><Relationship Id="rId4076" Type="http://schemas.openxmlformats.org/officeDocument/2006/relationships/hyperlink" Target="http://www.imdb.com/title/tt0032138/?ref_=fn_tt_tt_1" TargetMode="External"/><Relationship Id="rId4075" Type="http://schemas.openxmlformats.org/officeDocument/2006/relationships/hyperlink" Target="http://www.imdb.com/title/tt0095179/?ref_=fn_tt_tt_1" TargetMode="External"/><Relationship Id="rId4074" Type="http://schemas.openxmlformats.org/officeDocument/2006/relationships/hyperlink" Target="http://www.imdb.com/title/tt0053291/?ref_=fn_tt_tt_1" TargetMode="External"/><Relationship Id="rId4073" Type="http://schemas.openxmlformats.org/officeDocument/2006/relationships/hyperlink" Target="http://www.imdb.com/title/tt0410097/?ref_=fn_tt_tt_1" TargetMode="External"/><Relationship Id="rId4072" Type="http://schemas.openxmlformats.org/officeDocument/2006/relationships/hyperlink" Target="http://www.imdb.com/title/tt3551400/?ref_=fn_tt_tt_1" TargetMode="External"/><Relationship Id="rId4071" Type="http://schemas.openxmlformats.org/officeDocument/2006/relationships/hyperlink" Target="http://www.imdb.com/title/tt1509803/?ref_=fn_tt_tt_1" TargetMode="External"/><Relationship Id="rId4070" Type="http://schemas.openxmlformats.org/officeDocument/2006/relationships/hyperlink" Target="http://www.imdb.com/title/tt0338095/?ref_=fn_tt_tt_1" TargetMode="External"/><Relationship Id="rId407" Type="http://schemas.openxmlformats.org/officeDocument/2006/relationships/hyperlink" Target="http://www.imdb.com/title/tt0496806/?ref_=fn_tt_tt_1" TargetMode="External"/><Relationship Id="rId4069" Type="http://schemas.openxmlformats.org/officeDocument/2006/relationships/hyperlink" Target="http://www.imdb.com/title/tt1152822/?ref_=fn_tt_tt_1" TargetMode="External"/><Relationship Id="rId4068" Type="http://schemas.openxmlformats.org/officeDocument/2006/relationships/hyperlink" Target="http://www.imdb.com/title/tt2837336/?ref_=fn_tt_tt_1" TargetMode="External"/><Relationship Id="rId4067" Type="http://schemas.openxmlformats.org/officeDocument/2006/relationships/hyperlink" Target="http://www.imdb.com/title/tt0439478/?ref_=fn_tt_tt_1" TargetMode="External"/><Relationship Id="rId4066" Type="http://schemas.openxmlformats.org/officeDocument/2006/relationships/hyperlink" Target="http://www.imdb.com/title/tt3511596/?ref_=fn_tt_tt_1" TargetMode="External"/><Relationship Id="rId4065" Type="http://schemas.openxmlformats.org/officeDocument/2006/relationships/hyperlink" Target="http://www.imdb.com/title/tt0055312/?ref_=fn_tt_tt_1" TargetMode="External"/><Relationship Id="rId4064" Type="http://schemas.openxmlformats.org/officeDocument/2006/relationships/hyperlink" Target="http://www.imdb.com/title/tt0140888/?ref_=fn_tt_tt_1" TargetMode="External"/><Relationship Id="rId4063" Type="http://schemas.openxmlformats.org/officeDocument/2006/relationships/hyperlink" Target="http://www.imdb.com/title/tt0482461/?ref_=fn_tt_tt_1" TargetMode="External"/><Relationship Id="rId4062" Type="http://schemas.openxmlformats.org/officeDocument/2006/relationships/hyperlink" Target="http://www.imdb.com/title/tt1085382/?ref_=fn_tt_tt_1" TargetMode="External"/><Relationship Id="rId4061" Type="http://schemas.openxmlformats.org/officeDocument/2006/relationships/hyperlink" Target="http://www.imdb.com/title/tt0095354/?ref_=fn_tt_tt_1" TargetMode="External"/><Relationship Id="rId4060" Type="http://schemas.openxmlformats.org/officeDocument/2006/relationships/hyperlink" Target="http://www.imdb.com/title/tt2048865/?ref_=fn_tt_tt_1" TargetMode="External"/><Relationship Id="rId406" Type="http://schemas.openxmlformats.org/officeDocument/2006/relationships/hyperlink" Target="http://www.imdb.com/title/tt1230414/?ref_=fn_tt_tt_1" TargetMode="External"/><Relationship Id="rId4059" Type="http://schemas.openxmlformats.org/officeDocument/2006/relationships/hyperlink" Target="http://www.imdb.com/title/tt1327601/?ref_=fn_tt_tt_1" TargetMode="External"/><Relationship Id="rId4058" Type="http://schemas.openxmlformats.org/officeDocument/2006/relationships/hyperlink" Target="http://www.imdb.com/title/tt2229377/?ref_=fn_tt_tt_1" TargetMode="External"/><Relationship Id="rId4057" Type="http://schemas.openxmlformats.org/officeDocument/2006/relationships/hyperlink" Target="http://www.imdb.com/title/tt1252289/?ref_=fn_tt_tt_1" TargetMode="External"/><Relationship Id="rId4056" Type="http://schemas.openxmlformats.org/officeDocument/2006/relationships/hyperlink" Target="http://www.imdb.com/title/tt0062138/?ref_=fn_tt_tt_1" TargetMode="External"/><Relationship Id="rId4055" Type="http://schemas.openxmlformats.org/officeDocument/2006/relationships/hyperlink" Target="http://www.imdb.com/title/tt1754264/?ref_=fn_tt_tt_1" TargetMode="External"/><Relationship Id="rId4054" Type="http://schemas.openxmlformats.org/officeDocument/2006/relationships/hyperlink" Target="http://www.imdb.com/title/tt2417650/?ref_=fn_tt_tt_1" TargetMode="External"/><Relationship Id="rId4053" Type="http://schemas.openxmlformats.org/officeDocument/2006/relationships/hyperlink" Target="http://www.imdb.com/title/tt2398249/?ref_=fn_tt_tt_1" TargetMode="External"/><Relationship Id="rId4052" Type="http://schemas.openxmlformats.org/officeDocument/2006/relationships/hyperlink" Target="http://www.imdb.com/title/tt1922679/?ref_=fn_tt_tt_1" TargetMode="External"/><Relationship Id="rId4051" Type="http://schemas.openxmlformats.org/officeDocument/2006/relationships/hyperlink" Target="http://www.imdb.com/title/tt1151410/?ref_=fn_tt_tt_1" TargetMode="External"/><Relationship Id="rId4050" Type="http://schemas.openxmlformats.org/officeDocument/2006/relationships/hyperlink" Target="http://www.imdb.com/title/tt1390404/?ref_=fn_tt_tt_1" TargetMode="External"/><Relationship Id="rId405" Type="http://schemas.openxmlformats.org/officeDocument/2006/relationships/hyperlink" Target="http://www.imdb.com/title/tt0120660/?ref_=fn_tt_tt_1" TargetMode="External"/><Relationship Id="rId4049" Type="http://schemas.openxmlformats.org/officeDocument/2006/relationships/hyperlink" Target="http://www.imdb.com/title/tt0385890/?ref_=fn_tt_tt_1" TargetMode="External"/><Relationship Id="rId4048" Type="http://schemas.openxmlformats.org/officeDocument/2006/relationships/hyperlink" Target="http://www.imdb.com/title/tt1841642/?ref_=fn_tt_tt_1" TargetMode="External"/><Relationship Id="rId4047" Type="http://schemas.openxmlformats.org/officeDocument/2006/relationships/hyperlink" Target="http://www.imdb.com/title/tt1346961/?ref_=fn_tt_tt_1" TargetMode="External"/><Relationship Id="rId4046" Type="http://schemas.openxmlformats.org/officeDocument/2006/relationships/hyperlink" Target="http://www.imdb.com/title/tt1535616/?ref_=fn_tt_tt_1" TargetMode="External"/><Relationship Id="rId4045" Type="http://schemas.openxmlformats.org/officeDocument/2006/relationships/hyperlink" Target="http://www.imdb.com/title/tt0162236/?ref_=fn_tt_tt_1" TargetMode="External"/><Relationship Id="rId4044" Type="http://schemas.openxmlformats.org/officeDocument/2006/relationships/hyperlink" Target="http://www.imdb.com/title/tt1148200/?ref_=fn_tt_tt_1" TargetMode="External"/><Relationship Id="rId4043" Type="http://schemas.openxmlformats.org/officeDocument/2006/relationships/hyperlink" Target="http://www.imdb.com/title/tt1282046/?ref_=fn_tt_tt_1" TargetMode="External"/><Relationship Id="rId4042" Type="http://schemas.openxmlformats.org/officeDocument/2006/relationships/hyperlink" Target="http://www.imdb.com/title/tt0420206/?ref_=fn_tt_tt_1" TargetMode="External"/><Relationship Id="rId4041" Type="http://schemas.openxmlformats.org/officeDocument/2006/relationships/hyperlink" Target="http://www.imdb.com/title/tt0118327/?ref_=fn_tt_tt_1" TargetMode="External"/><Relationship Id="rId4040" Type="http://schemas.openxmlformats.org/officeDocument/2006/relationships/hyperlink" Target="http://www.imdb.com/title/tt1855401/?ref_=fn_tt_tt_1" TargetMode="External"/><Relationship Id="rId404" Type="http://schemas.openxmlformats.org/officeDocument/2006/relationships/hyperlink" Target="http://www.imdb.com/title/tt0457939/?ref_=fn_tt_tt_1" TargetMode="External"/><Relationship Id="rId4039" Type="http://schemas.openxmlformats.org/officeDocument/2006/relationships/hyperlink" Target="http://www.imdb.com/title/tt0403118/?ref_=fn_tt_tt_1" TargetMode="External"/><Relationship Id="rId4038" Type="http://schemas.openxmlformats.org/officeDocument/2006/relationships/hyperlink" Target="http://www.imdb.com/title/tt4877736/?ref_=fn_tt_tt_1" TargetMode="External"/><Relationship Id="rId4037" Type="http://schemas.openxmlformats.org/officeDocument/2006/relationships/hyperlink" Target="http://www.imdb.com/title/tt1920849/?ref_=fn_tt_tt_1" TargetMode="External"/><Relationship Id="rId4036" Type="http://schemas.openxmlformats.org/officeDocument/2006/relationships/hyperlink" Target="http://www.imdb.com/title/tt0156205/?ref_=fn_tt_tt_1" TargetMode="External"/><Relationship Id="rId4035" Type="http://schemas.openxmlformats.org/officeDocument/2006/relationships/hyperlink" Target="http://www.imdb.com/title/tt1667307/?ref_=fn_tt_tt_1" TargetMode="External"/><Relationship Id="rId4034" Type="http://schemas.openxmlformats.org/officeDocument/2006/relationships/hyperlink" Target="http://www.imdb.com/title/tt1232776/?ref_=fn_tt_tt_1" TargetMode="External"/><Relationship Id="rId4033" Type="http://schemas.openxmlformats.org/officeDocument/2006/relationships/hyperlink" Target="http://www.imdb.com/title/tt0785025/?ref_=fn_tt_tt_1" TargetMode="External"/><Relationship Id="rId4032" Type="http://schemas.openxmlformats.org/officeDocument/2006/relationships/hyperlink" Target="http://www.imdb.com/title/tt0116361/?ref_=fn_tt_tt_1" TargetMode="External"/><Relationship Id="rId4031" Type="http://schemas.openxmlformats.org/officeDocument/2006/relationships/hyperlink" Target="http://www.imdb.com/title/tt3367294/?ref_=fn_tt_tt_1" TargetMode="External"/><Relationship Id="rId4030" Type="http://schemas.openxmlformats.org/officeDocument/2006/relationships/hyperlink" Target="http://www.imdb.com/title/tt1640459/?ref_=fn_tt_tt_1" TargetMode="External"/><Relationship Id="rId403" Type="http://schemas.openxmlformats.org/officeDocument/2006/relationships/hyperlink" Target="http://www.imdb.com/title/tt0471042/?ref_=fn_tt_tt_1" TargetMode="External"/><Relationship Id="rId4029" Type="http://schemas.openxmlformats.org/officeDocument/2006/relationships/hyperlink" Target="http://www.imdb.com/title/tt1462054/?ref_=fn_tt_tt_1" TargetMode="External"/><Relationship Id="rId4028" Type="http://schemas.openxmlformats.org/officeDocument/2006/relationships/hyperlink" Target="http://www.imdb.com/title/tt0364569/?ref_=fn_tt_tt_1" TargetMode="External"/><Relationship Id="rId4027" Type="http://schemas.openxmlformats.org/officeDocument/2006/relationships/hyperlink" Target="http://www.imdb.com/title/tt3099498/?ref_=fn_tt_tt_1" TargetMode="External"/><Relationship Id="rId4026" Type="http://schemas.openxmlformats.org/officeDocument/2006/relationships/hyperlink" Target="http://www.imdb.com/title/tt0337996/?ref_=fn_tt_tt_1" TargetMode="External"/><Relationship Id="rId4025" Type="http://schemas.openxmlformats.org/officeDocument/2006/relationships/hyperlink" Target="http://www.imdb.com/title/tt0147612/?ref_=fn_tt_tt_1" TargetMode="External"/><Relationship Id="rId4024" Type="http://schemas.openxmlformats.org/officeDocument/2006/relationships/hyperlink" Target="http://www.imdb.com/title/tt0468565/?ref_=fn_tt_tt_1" TargetMode="External"/><Relationship Id="rId4023" Type="http://schemas.openxmlformats.org/officeDocument/2006/relationships/hyperlink" Target="http://www.imdb.com/title/tt2347569/?ref_=fn_tt_tt_1" TargetMode="External"/><Relationship Id="rId4022" Type="http://schemas.openxmlformats.org/officeDocument/2006/relationships/hyperlink" Target="http://www.imdb.com/title/tt0115632/?ref_=fn_tt_tt_1" TargetMode="External"/><Relationship Id="rId4021" Type="http://schemas.openxmlformats.org/officeDocument/2006/relationships/hyperlink" Target="http://www.imdb.com/title/tt0155776/?ref_=fn_tt_tt_1" TargetMode="External"/><Relationship Id="rId4020" Type="http://schemas.openxmlformats.org/officeDocument/2006/relationships/hyperlink" Target="http://www.imdb.com/title/tt0268690/?ref_=fn_tt_tt_1" TargetMode="External"/><Relationship Id="rId402" Type="http://schemas.openxmlformats.org/officeDocument/2006/relationships/hyperlink" Target="http://www.imdb.com/title/tt0211181/?ref_=fn_tt_tt_1" TargetMode="External"/><Relationship Id="rId4019" Type="http://schemas.openxmlformats.org/officeDocument/2006/relationships/hyperlink" Target="http://www.imdb.com/title/tt0077405/?ref_=fn_tt_tt_1" TargetMode="External"/><Relationship Id="rId4018" Type="http://schemas.openxmlformats.org/officeDocument/2006/relationships/hyperlink" Target="http://www.imdb.com/title/tt0118541/?ref_=fn_tt_tt_1" TargetMode="External"/><Relationship Id="rId4017" Type="http://schemas.openxmlformats.org/officeDocument/2006/relationships/hyperlink" Target="http://www.imdb.com/title/tt0108517/?ref_=fn_tt_tt_1" TargetMode="External"/><Relationship Id="rId4016" Type="http://schemas.openxmlformats.org/officeDocument/2006/relationships/hyperlink" Target="http://www.imdb.com/title/tt0067992/?ref_=fn_tt_tt_1" TargetMode="External"/><Relationship Id="rId4015" Type="http://schemas.openxmlformats.org/officeDocument/2006/relationships/hyperlink" Target="http://www.imdb.com/title/tt0878835/?ref_=fn_tt_tt_1" TargetMode="External"/><Relationship Id="rId4014" Type="http://schemas.openxmlformats.org/officeDocument/2006/relationships/hyperlink" Target="http://www.imdb.com/title/tt0116743/?ref_=fn_tt_tt_1" TargetMode="External"/><Relationship Id="rId4013" Type="http://schemas.openxmlformats.org/officeDocument/2006/relationships/hyperlink" Target="http://www.imdb.com/title/tt0174336/?ref_=fn_tt_tt_1" TargetMode="External"/><Relationship Id="rId4012" Type="http://schemas.openxmlformats.org/officeDocument/2006/relationships/hyperlink" Target="http://www.imdb.com/title/tt0166175/?ref_=fn_tt_tt_1" TargetMode="External"/><Relationship Id="rId4011" Type="http://schemas.openxmlformats.org/officeDocument/2006/relationships/hyperlink" Target="http://www.imdb.com/title/tt0240200/?ref_=fn_tt_tt_1" TargetMode="External"/><Relationship Id="rId4010" Type="http://schemas.openxmlformats.org/officeDocument/2006/relationships/hyperlink" Target="http://www.imdb.com/title/tt3458030/?ref_=fn_tt_tt_1" TargetMode="External"/><Relationship Id="rId401" Type="http://schemas.openxmlformats.org/officeDocument/2006/relationships/hyperlink" Target="http://www.imdb.com/title/tt1599348/?ref_=fn_tt_tt_1" TargetMode="External"/><Relationship Id="rId4009" Type="http://schemas.openxmlformats.org/officeDocument/2006/relationships/hyperlink" Target="http://www.imdb.com/title/tt0296166/?ref_=fn_tt_tt_1" TargetMode="External"/><Relationship Id="rId4008" Type="http://schemas.openxmlformats.org/officeDocument/2006/relationships/hyperlink" Target="http://www.imdb.com/title/tt0399901/?ref_=fn_tt_tt_1" TargetMode="External"/><Relationship Id="rId4007" Type="http://schemas.openxmlformats.org/officeDocument/2006/relationships/hyperlink" Target="http://www.imdb.com/title/tt0095863/?ref_=fn_tt_tt_1" TargetMode="External"/><Relationship Id="rId4006" Type="http://schemas.openxmlformats.org/officeDocument/2006/relationships/hyperlink" Target="http://www.imdb.com/title/tt0094118/?ref_=fn_tt_tt_1" TargetMode="External"/><Relationship Id="rId4005" Type="http://schemas.openxmlformats.org/officeDocument/2006/relationships/hyperlink" Target="http://www.imdb.com/title/tt2209418/?ref_=fn_tt_tt_1" TargetMode="External"/><Relationship Id="rId4004" Type="http://schemas.openxmlformats.org/officeDocument/2006/relationships/hyperlink" Target="http://www.imdb.com/title/tt0490196/?ref_=fn_tt_tt_1" TargetMode="External"/><Relationship Id="rId4003" Type="http://schemas.openxmlformats.org/officeDocument/2006/relationships/hyperlink" Target="http://www.imdb.com/title/tt0040724/?ref_=fn_tt_tt_1" TargetMode="External"/><Relationship Id="rId4002" Type="http://schemas.openxmlformats.org/officeDocument/2006/relationships/hyperlink" Target="http://www.imdb.com/title/tt0437745/?ref_=fn_tt_tt_1" TargetMode="External"/><Relationship Id="rId4001" Type="http://schemas.openxmlformats.org/officeDocument/2006/relationships/hyperlink" Target="http://www.imdb.com/title/tt0160298/?ref_=fn_tt_tt_1" TargetMode="External"/><Relationship Id="rId4000" Type="http://schemas.openxmlformats.org/officeDocument/2006/relationships/hyperlink" Target="http://www.imdb.com/title/tt0055031/?ref_=fn_tt_tt_1" TargetMode="External"/><Relationship Id="rId400" Type="http://schemas.openxmlformats.org/officeDocument/2006/relationships/hyperlink" Target="http://www.imdb.com/title/tt2243973/?ref_=fn_tt_tt_1" TargetMode="External"/><Relationship Id="rId40" Type="http://schemas.openxmlformats.org/officeDocument/2006/relationships/hyperlink" Target="http://www.imdb.com/title/tt1872181/?ref_=fn_tt_tt_1" TargetMode="External"/><Relationship Id="rId4" Type="http://schemas.openxmlformats.org/officeDocument/2006/relationships/hyperlink" Target="http://www.imdb.com/title/tt1345836/?ref_=fn_tt_tt_1" TargetMode="External"/><Relationship Id="rId3999" Type="http://schemas.openxmlformats.org/officeDocument/2006/relationships/hyperlink" Target="http://www.imdb.com/title/tt0053793/?ref_=fn_tt_tt_1" TargetMode="External"/><Relationship Id="rId3998" Type="http://schemas.openxmlformats.org/officeDocument/2006/relationships/hyperlink" Target="http://www.imdb.com/title/tt1097013/?ref_=fn_tt_tt_1" TargetMode="External"/><Relationship Id="rId3997" Type="http://schemas.openxmlformats.org/officeDocument/2006/relationships/hyperlink" Target="http://www.imdb.com/title/tt0089444/?ref_=fn_tt_tt_1" TargetMode="External"/><Relationship Id="rId3996" Type="http://schemas.openxmlformats.org/officeDocument/2006/relationships/hyperlink" Target="http://www.imdb.com/title/tt3205376/?ref_=fn_tt_tt_1" TargetMode="External"/><Relationship Id="rId3995" Type="http://schemas.openxmlformats.org/officeDocument/2006/relationships/hyperlink" Target="http://www.imdb.com/title/tt0425598/?ref_=fn_tt_tt_1" TargetMode="External"/><Relationship Id="rId3994" Type="http://schemas.openxmlformats.org/officeDocument/2006/relationships/hyperlink" Target="http://www.imdb.com/title/tt0061107/?ref_=fn_tt_tt_1" TargetMode="External"/><Relationship Id="rId3993" Type="http://schemas.openxmlformats.org/officeDocument/2006/relationships/hyperlink" Target="http://www.imdb.com/title/tt0107254/?ref_=fn_tt_tt_1" TargetMode="External"/><Relationship Id="rId3992" Type="http://schemas.openxmlformats.org/officeDocument/2006/relationships/hyperlink" Target="http://www.imdb.com/title/tt0053604/?ref_=fn_tt_tt_1" TargetMode="External"/><Relationship Id="rId3991" Type="http://schemas.openxmlformats.org/officeDocument/2006/relationships/hyperlink" Target="http://www.imdb.com/title/tt0074512/?ref_=fn_tt_tt_1" TargetMode="External"/><Relationship Id="rId3990" Type="http://schemas.openxmlformats.org/officeDocument/2006/relationships/hyperlink" Target="http://www.imdb.com/title/tt0100666/?ref_=fn_tt_tt_1" TargetMode="External"/><Relationship Id="rId399" Type="http://schemas.openxmlformats.org/officeDocument/2006/relationships/hyperlink" Target="http://www.imdb.com/title/tt0461770/?ref_=fn_tt_tt_1" TargetMode="External"/><Relationship Id="rId3989" Type="http://schemas.openxmlformats.org/officeDocument/2006/relationships/hyperlink" Target="http://www.imdb.com/title/tt0050212/?ref_=fn_tt_tt_1" TargetMode="External"/><Relationship Id="rId3988" Type="http://schemas.openxmlformats.org/officeDocument/2006/relationships/hyperlink" Target="http://www.imdb.com/title/tt0091080/?ref_=fn_tt_tt_1" TargetMode="External"/><Relationship Id="rId3987" Type="http://schemas.openxmlformats.org/officeDocument/2006/relationships/hyperlink" Target="http://www.imdb.com/title/tt0235679/?ref_=fn_tt_tt_1" TargetMode="External"/><Relationship Id="rId3986" Type="http://schemas.openxmlformats.org/officeDocument/2006/relationships/hyperlink" Target="http://www.imdb.com/title/tt0118570/?ref_=fn_tt_tt_1" TargetMode="External"/><Relationship Id="rId3985" Type="http://schemas.openxmlformats.org/officeDocument/2006/relationships/hyperlink" Target="http://www.imdb.com/title/tt0065462/?ref_=fn_tt_tt_1" TargetMode="External"/><Relationship Id="rId3984" Type="http://schemas.openxmlformats.org/officeDocument/2006/relationships/hyperlink" Target="http://www.imdb.com/title/tt0051459/?ref_=fn_tt_tt_1" TargetMode="External"/><Relationship Id="rId3983" Type="http://schemas.openxmlformats.org/officeDocument/2006/relationships/hyperlink" Target="http://www.imdb.com/title/tt0327036/?ref_=fn_tt_tt_1" TargetMode="External"/><Relationship Id="rId3982" Type="http://schemas.openxmlformats.org/officeDocument/2006/relationships/hyperlink" Target="http://www.imdb.com/title/tt1922777/?ref_=fn_tt_tt_1" TargetMode="External"/><Relationship Id="rId3981" Type="http://schemas.openxmlformats.org/officeDocument/2006/relationships/hyperlink" Target="http://www.imdb.com/title/tt2184339/?ref_=fn_tt_tt_1" TargetMode="External"/><Relationship Id="rId3980" Type="http://schemas.openxmlformats.org/officeDocument/2006/relationships/hyperlink" Target="http://www.imdb.com/title/tt0091867/?ref_=fn_tt_tt_1" TargetMode="External"/><Relationship Id="rId398" Type="http://schemas.openxmlformats.org/officeDocument/2006/relationships/hyperlink" Target="http://www.imdb.com/title/tt0837562/?ref_=fn_tt_tt_1" TargetMode="External"/><Relationship Id="rId3979" Type="http://schemas.openxmlformats.org/officeDocument/2006/relationships/hyperlink" Target="http://www.imdb.com/title/tt0089686/?ref_=fn_tt_tt_1" TargetMode="External"/><Relationship Id="rId3978" Type="http://schemas.openxmlformats.org/officeDocument/2006/relationships/hyperlink" Target="http://www.imdb.com/title/tt3125472/?ref_=fn_tt_tt_1" TargetMode="External"/><Relationship Id="rId3977" Type="http://schemas.openxmlformats.org/officeDocument/2006/relationships/hyperlink" Target="http://www.imdb.com/title/tt0310793/?ref_=fn_tt_tt_1" TargetMode="External"/><Relationship Id="rId3976" Type="http://schemas.openxmlformats.org/officeDocument/2006/relationships/hyperlink" Target="http://www.imdb.com/title/tt0166396/?ref_=fn_tt_tt_1" TargetMode="External"/><Relationship Id="rId3975" Type="http://schemas.openxmlformats.org/officeDocument/2006/relationships/hyperlink" Target="http://www.imdb.com/title/tt1536044/?ref_=fn_tt_tt_1" TargetMode="External"/><Relationship Id="rId3974" Type="http://schemas.openxmlformats.org/officeDocument/2006/relationships/hyperlink" Target="http://www.imdb.com/title/tt0236388/?ref_=fn_tt_tt_1" TargetMode="External"/><Relationship Id="rId3973" Type="http://schemas.openxmlformats.org/officeDocument/2006/relationships/hyperlink" Target="http://www.imdb.com/title/tt0117951/?ref_=fn_tt_tt_1" TargetMode="External"/><Relationship Id="rId3972" Type="http://schemas.openxmlformats.org/officeDocument/2006/relationships/hyperlink" Target="http://www.imdb.com/title/tt0038650/?ref_=fn_tt_tt_1" TargetMode="External"/><Relationship Id="rId3971" Type="http://schemas.openxmlformats.org/officeDocument/2006/relationships/hyperlink" Target="http://www.imdb.com/title/tt2099556/?ref_=fn_tt_tt_1" TargetMode="External"/><Relationship Id="rId3970" Type="http://schemas.openxmlformats.org/officeDocument/2006/relationships/hyperlink" Target="http://www.imdb.com/title/tt0058150/?ref_=fn_tt_tt_1" TargetMode="External"/><Relationship Id="rId397" Type="http://schemas.openxmlformats.org/officeDocument/2006/relationships/hyperlink" Target="http://www.imdb.com/title/tt1509767/?ref_=fn_tt_tt_1" TargetMode="External"/><Relationship Id="rId3969" Type="http://schemas.openxmlformats.org/officeDocument/2006/relationships/hyperlink" Target="http://www.imdb.com/title/tt0077975/?ref_=fn_tt_tt_1" TargetMode="External"/><Relationship Id="rId3968" Type="http://schemas.openxmlformats.org/officeDocument/2006/relationships/hyperlink" Target="http://www.imdb.com/title/tt0426459/?ref_=fn_tt_tt_1" TargetMode="External"/><Relationship Id="rId3967" Type="http://schemas.openxmlformats.org/officeDocument/2006/relationships/hyperlink" Target="http://www.imdb.com/title/tt1532503/?ref_=fn_tt_tt_1" TargetMode="External"/><Relationship Id="rId3966" Type="http://schemas.openxmlformats.org/officeDocument/2006/relationships/hyperlink" Target="http://www.imdb.com/title/tt0390221/?ref_=fn_tt_tt_1" TargetMode="External"/><Relationship Id="rId3965" Type="http://schemas.openxmlformats.org/officeDocument/2006/relationships/hyperlink" Target="http://www.imdb.com/title/tt1185836/?ref_=fn_tt_tt_1" TargetMode="External"/><Relationship Id="rId3964" Type="http://schemas.openxmlformats.org/officeDocument/2006/relationships/hyperlink" Target="http://www.imdb.com/title/tt0056217/?ref_=fn_tt_tt_1" TargetMode="External"/><Relationship Id="rId3963" Type="http://schemas.openxmlformats.org/officeDocument/2006/relationships/hyperlink" Target="http://www.imdb.com/title/tt0063522/?ref_=fn_tt_tt_1" TargetMode="External"/><Relationship Id="rId3962" Type="http://schemas.openxmlformats.org/officeDocument/2006/relationships/hyperlink" Target="http://www.imdb.com/title/tt1068646/?ref_=fn_tt_tt_1" TargetMode="External"/><Relationship Id="rId3961" Type="http://schemas.openxmlformats.org/officeDocument/2006/relationships/hyperlink" Target="http://www.imdb.com/title/tt0144178/?ref_=fn_tt_tt_1" TargetMode="External"/><Relationship Id="rId3960" Type="http://schemas.openxmlformats.org/officeDocument/2006/relationships/hyperlink" Target="http://www.imdb.com/title/tt2796678/?ref_=fn_tt_tt_1" TargetMode="External"/><Relationship Id="rId396" Type="http://schemas.openxmlformats.org/officeDocument/2006/relationships/hyperlink" Target="http://www.imdb.com/title/tt0240772/?ref_=fn_tt_tt_1" TargetMode="External"/><Relationship Id="rId3959" Type="http://schemas.openxmlformats.org/officeDocument/2006/relationships/hyperlink" Target="http://www.imdb.com/title/tt0083739/?ref_=fn_tt_tt_1" TargetMode="External"/><Relationship Id="rId3958" Type="http://schemas.openxmlformats.org/officeDocument/2006/relationships/hyperlink" Target="http://www.imdb.com/title/tt0482463/?ref_=fn_tt_tt_1" TargetMode="External"/><Relationship Id="rId3957" Type="http://schemas.openxmlformats.org/officeDocument/2006/relationships/hyperlink" Target="http://www.imdb.com/title/tt0085334/?ref_=fn_tt_tt_1" TargetMode="External"/><Relationship Id="rId3956" Type="http://schemas.openxmlformats.org/officeDocument/2006/relationships/hyperlink" Target="http://www.imdb.com/title/tt2106476/?ref_=fn_tt_tt_1" TargetMode="External"/><Relationship Id="rId3955" Type="http://schemas.openxmlformats.org/officeDocument/2006/relationships/hyperlink" Target="http://www.imdb.com/title/tt0783238/?ref_=fn_tt_tt_1" TargetMode="External"/><Relationship Id="rId3954" Type="http://schemas.openxmlformats.org/officeDocument/2006/relationships/hyperlink" Target="http://www.imdb.com/title/tt1850418/?ref_=fn_tt_tt_1" TargetMode="External"/><Relationship Id="rId3953" Type="http://schemas.openxmlformats.org/officeDocument/2006/relationships/hyperlink" Target="http://www.imdb.com/title/tt0188674/?ref_=fn_tt_tt_1" TargetMode="External"/><Relationship Id="rId3952" Type="http://schemas.openxmlformats.org/officeDocument/2006/relationships/hyperlink" Target="http://www.imdb.com/title/tt0317248/?ref_=fn_tt_tt_1" TargetMode="External"/><Relationship Id="rId3951" Type="http://schemas.openxmlformats.org/officeDocument/2006/relationships/hyperlink" Target="http://www.imdb.com/title/tt2582802/?ref_=fn_tt_tt_1" TargetMode="External"/><Relationship Id="rId3950" Type="http://schemas.openxmlformats.org/officeDocument/2006/relationships/hyperlink" Target="http://www.imdb.com/title/tt1024715/?ref_=fn_tt_tt_1" TargetMode="External"/><Relationship Id="rId395" Type="http://schemas.openxmlformats.org/officeDocument/2006/relationships/hyperlink" Target="http://www.imdb.com/title/tt0118571/?ref_=fn_tt_tt_1" TargetMode="External"/><Relationship Id="rId3949" Type="http://schemas.openxmlformats.org/officeDocument/2006/relationships/hyperlink" Target="http://www.imdb.com/title/tt1753460/?ref_=fn_tt_tt_1" TargetMode="External"/><Relationship Id="rId3948" Type="http://schemas.openxmlformats.org/officeDocument/2006/relationships/hyperlink" Target="http://www.imdb.com/title/tt1615147/?ref_=fn_tt_tt_1" TargetMode="External"/><Relationship Id="rId3947" Type="http://schemas.openxmlformats.org/officeDocument/2006/relationships/hyperlink" Target="http://www.imdb.com/title/tt0428803/?ref_=fn_tt_tt_1" TargetMode="External"/><Relationship Id="rId3946" Type="http://schemas.openxmlformats.org/officeDocument/2006/relationships/hyperlink" Target="http://www.imdb.com/title/tt0076141/?ref_=fn_tt_tt_1" TargetMode="External"/><Relationship Id="rId3945" Type="http://schemas.openxmlformats.org/officeDocument/2006/relationships/hyperlink" Target="http://www.imdb.com/title/tt1800337/?ref_=fn_tt_tt_1" TargetMode="External"/><Relationship Id="rId3944" Type="http://schemas.openxmlformats.org/officeDocument/2006/relationships/hyperlink" Target="http://www.imdb.com/title/tt2073661/?ref_=fn_tt_tt_1" TargetMode="External"/><Relationship Id="rId3943" Type="http://schemas.openxmlformats.org/officeDocument/2006/relationships/hyperlink" Target="http://www.imdb.com/title/tt2761578/?ref_=fn_tt_tt_1" TargetMode="External"/><Relationship Id="rId3942" Type="http://schemas.openxmlformats.org/officeDocument/2006/relationships/hyperlink" Target="http://www.imdb.com/title/tt2379386/?ref_=fn_tt_tt_1" TargetMode="External"/><Relationship Id="rId3941" Type="http://schemas.openxmlformats.org/officeDocument/2006/relationships/hyperlink" Target="http://www.imdb.com/title/tt5001130/?ref_=fn_tt_tt_1" TargetMode="External"/><Relationship Id="rId3940" Type="http://schemas.openxmlformats.org/officeDocument/2006/relationships/hyperlink" Target="http://www.imdb.com/title/tt2166834/?ref_=fn_tt_tt_1" TargetMode="External"/><Relationship Id="rId394" Type="http://schemas.openxmlformats.org/officeDocument/2006/relationships/hyperlink" Target="http://www.imdb.com/title/tt0372183/?ref_=fn_tt_tt_1" TargetMode="External"/><Relationship Id="rId3939" Type="http://schemas.openxmlformats.org/officeDocument/2006/relationships/hyperlink" Target="http://www.imdb.com/title/tt1002561/?ref_=fn_tt_tt_1" TargetMode="External"/><Relationship Id="rId3938" Type="http://schemas.openxmlformats.org/officeDocument/2006/relationships/hyperlink" Target="http://www.imdb.com/title/tt5116280/?ref_=fn_tt_tt_1" TargetMode="External"/><Relationship Id="rId3937" Type="http://schemas.openxmlformats.org/officeDocument/2006/relationships/hyperlink" Target="http://www.imdb.com/title/tt0138862/?ref_=fn_tt_tt_1" TargetMode="External"/><Relationship Id="rId3936" Type="http://schemas.openxmlformats.org/officeDocument/2006/relationships/hyperlink" Target="http://www.imdb.com/title/tt1074191/?ref_=fn_tt_tt_1" TargetMode="External"/><Relationship Id="rId3935" Type="http://schemas.openxmlformats.org/officeDocument/2006/relationships/hyperlink" Target="http://www.imdb.com/title/tt3103166/?ref_=fn_tt_tt_1" TargetMode="External"/><Relationship Id="rId3934" Type="http://schemas.openxmlformats.org/officeDocument/2006/relationships/hyperlink" Target="http://www.imdb.com/title/tt0367631/?ref_=fn_tt_tt_1" TargetMode="External"/><Relationship Id="rId3933" Type="http://schemas.openxmlformats.org/officeDocument/2006/relationships/hyperlink" Target="http://www.imdb.com/title/tt0380817/?ref_=fn_tt_tt_1" TargetMode="External"/><Relationship Id="rId3932" Type="http://schemas.openxmlformats.org/officeDocument/2006/relationships/hyperlink" Target="http://www.imdb.com/title/tt0480251/?ref_=fn_tt_tt_1" TargetMode="External"/><Relationship Id="rId3931" Type="http://schemas.openxmlformats.org/officeDocument/2006/relationships/hyperlink" Target="http://www.imdb.com/title/tt1740707/?ref_=fn_tt_tt_1" TargetMode="External"/><Relationship Id="rId3930" Type="http://schemas.openxmlformats.org/officeDocument/2006/relationships/hyperlink" Target="http://www.imdb.com/title/tt0175996/?ref_=fn_tt_tt_1" TargetMode="External"/><Relationship Id="rId393" Type="http://schemas.openxmlformats.org/officeDocument/2006/relationships/hyperlink" Target="http://www.imdb.com/title/tt0366548/?ref_=fn_tt_tt_1" TargetMode="External"/><Relationship Id="rId3929" Type="http://schemas.openxmlformats.org/officeDocument/2006/relationships/hyperlink" Target="http://www.imdb.com/title/tt2724064/?ref_=fn_tt_tt_1" TargetMode="External"/><Relationship Id="rId3928" Type="http://schemas.openxmlformats.org/officeDocument/2006/relationships/hyperlink" Target="http://www.imdb.com/title/tt0258038/?ref_=fn_tt_tt_1" TargetMode="External"/><Relationship Id="rId3927" Type="http://schemas.openxmlformats.org/officeDocument/2006/relationships/hyperlink" Target="http://www.imdb.com/title/tt0092991/?ref_=fn_tt_tt_1" TargetMode="External"/><Relationship Id="rId3926" Type="http://schemas.openxmlformats.org/officeDocument/2006/relationships/hyperlink" Target="http://www.imdb.com/title/tt1015474/?ref_=fn_tt_tt_1" TargetMode="External"/><Relationship Id="rId3925" Type="http://schemas.openxmlformats.org/officeDocument/2006/relationships/hyperlink" Target="http://www.imdb.com/title/tt1305806/?ref_=fn_tt_tt_1" TargetMode="External"/><Relationship Id="rId3924" Type="http://schemas.openxmlformats.org/officeDocument/2006/relationships/hyperlink" Target="http://www.imdb.com/title/tt0120684/?ref_=fn_tt_tt_1" TargetMode="External"/><Relationship Id="rId3923" Type="http://schemas.openxmlformats.org/officeDocument/2006/relationships/hyperlink" Target="http://www.imdb.com/title/tt0117628/?ref_=fn_tt_tt_1" TargetMode="External"/><Relationship Id="rId3922" Type="http://schemas.openxmlformats.org/officeDocument/2006/relationships/hyperlink" Target="http://www.imdb.com/title/tt0131436/?ref_=fn_tt_tt_1" TargetMode="External"/><Relationship Id="rId3921" Type="http://schemas.openxmlformats.org/officeDocument/2006/relationships/hyperlink" Target="http://www.imdb.com/title/tt4263482/?ref_=fn_tt_tt_1" TargetMode="External"/><Relationship Id="rId3920" Type="http://schemas.openxmlformats.org/officeDocument/2006/relationships/hyperlink" Target="http://www.imdb.com/title/tt0068611/?ref_=fn_tt_tt_1" TargetMode="External"/><Relationship Id="rId392" Type="http://schemas.openxmlformats.org/officeDocument/2006/relationships/hyperlink" Target="http://www.imdb.com/title/tt0162222/?ref_=fn_tt_tt_1" TargetMode="External"/><Relationship Id="rId3919" Type="http://schemas.openxmlformats.org/officeDocument/2006/relationships/hyperlink" Target="http://www.imdb.com/title/tt0060490/?ref_=fn_tt_tt_1" TargetMode="External"/><Relationship Id="rId3918" Type="http://schemas.openxmlformats.org/officeDocument/2006/relationships/hyperlink" Target="http://www.imdb.com/title/tt0053131/?ref_=fn_tt_tt_1" TargetMode="External"/><Relationship Id="rId3917" Type="http://schemas.openxmlformats.org/officeDocument/2006/relationships/hyperlink" Target="http://www.imdb.com/title/tt0061809/?ref_=fn_tt_tt_1" TargetMode="External"/><Relationship Id="rId3916" Type="http://schemas.openxmlformats.org/officeDocument/2006/relationships/hyperlink" Target="http://www.imdb.com/title/tt0065446/?ref_=fn_tt_tt_1" TargetMode="External"/><Relationship Id="rId3915" Type="http://schemas.openxmlformats.org/officeDocument/2006/relationships/hyperlink" Target="http://www.imdb.com/title/tt0092796/?ref_=fn_tt_tt_1" TargetMode="External"/><Relationship Id="rId3914" Type="http://schemas.openxmlformats.org/officeDocument/2006/relationships/hyperlink" Target="http://www.imdb.com/title/tt3228904/?ref_=fn_tt_tt_1" TargetMode="External"/><Relationship Id="rId3913" Type="http://schemas.openxmlformats.org/officeDocument/2006/relationships/hyperlink" Target="http://www.imdb.com/title/tt0107554/?ref_=fn_tt_tt_1" TargetMode="External"/><Relationship Id="rId3912" Type="http://schemas.openxmlformats.org/officeDocument/2006/relationships/hyperlink" Target="http://www.imdb.com/title/tt0113118/?ref_=fn_tt_tt_1" TargetMode="External"/><Relationship Id="rId3911" Type="http://schemas.openxmlformats.org/officeDocument/2006/relationships/hyperlink" Target="http://www.imdb.com/title/tt4340720/?ref_=fn_tt_tt_1" TargetMode="External"/><Relationship Id="rId3910" Type="http://schemas.openxmlformats.org/officeDocument/2006/relationships/hyperlink" Target="http://www.imdb.com/title/tt0080339/?ref_=fn_tt_tt_1" TargetMode="External"/><Relationship Id="rId391" Type="http://schemas.openxmlformats.org/officeDocument/2006/relationships/hyperlink" Target="http://www.imdb.com/title/tt0117998/?ref_=fn_tt_tt_1" TargetMode="External"/><Relationship Id="rId3909" Type="http://schemas.openxmlformats.org/officeDocument/2006/relationships/hyperlink" Target="http://www.imdb.com/title/tt0119164/?ref_=fn_tt_tt_1" TargetMode="External"/><Relationship Id="rId3908" Type="http://schemas.openxmlformats.org/officeDocument/2006/relationships/hyperlink" Target="http://www.imdb.com/title/tt0064665/?ref_=fn_tt_tt_1" TargetMode="External"/><Relationship Id="rId3907" Type="http://schemas.openxmlformats.org/officeDocument/2006/relationships/hyperlink" Target="http://www.imdb.com/title/tt0068098/?ref_=fn_tt_tt_1" TargetMode="External"/><Relationship Id="rId3906" Type="http://schemas.openxmlformats.org/officeDocument/2006/relationships/hyperlink" Target="http://www.imdb.com/title/tt0464049/?ref_=fn_tt_tt_1" TargetMode="External"/><Relationship Id="rId3905" Type="http://schemas.openxmlformats.org/officeDocument/2006/relationships/hyperlink" Target="http://www.imdb.com/title/tt0808285/?ref_=fn_tt_tt_1" TargetMode="External"/><Relationship Id="rId3904" Type="http://schemas.openxmlformats.org/officeDocument/2006/relationships/hyperlink" Target="http://www.imdb.com/title/tt0040694/?ref_=fn_tt_tt_1" TargetMode="External"/><Relationship Id="rId3903" Type="http://schemas.openxmlformats.org/officeDocument/2006/relationships/hyperlink" Target="http://www.imdb.com/title/tt1303828/?ref_=fn_tt_tt_1" TargetMode="External"/><Relationship Id="rId3902" Type="http://schemas.openxmlformats.org/officeDocument/2006/relationships/hyperlink" Target="http://www.imdb.com/title/tt0373747/?ref_=fn_tt_tt_1" TargetMode="External"/><Relationship Id="rId3901" Type="http://schemas.openxmlformats.org/officeDocument/2006/relationships/hyperlink" Target="http://www.imdb.com/title/tt1341167/?ref_=fn_tt_tt_1" TargetMode="External"/><Relationship Id="rId3900" Type="http://schemas.openxmlformats.org/officeDocument/2006/relationships/hyperlink" Target="http://www.imdb.com/title/tt0042200/?ref_=fn_tt_tt_1" TargetMode="External"/><Relationship Id="rId390" Type="http://schemas.openxmlformats.org/officeDocument/2006/relationships/hyperlink" Target="http://www.imdb.com/title/tt0329575/?ref_=fn_tt_tt_1" TargetMode="External"/><Relationship Id="rId39" Type="http://schemas.openxmlformats.org/officeDocument/2006/relationships/hyperlink" Target="http://www.imdb.com/title/tt1623205/?ref_=fn_tt_tt_1" TargetMode="External"/><Relationship Id="rId3899" Type="http://schemas.openxmlformats.org/officeDocument/2006/relationships/hyperlink" Target="http://www.imdb.com/title/tt1056477/?ref_=fn_tt_tt_1" TargetMode="External"/><Relationship Id="rId3898" Type="http://schemas.openxmlformats.org/officeDocument/2006/relationships/hyperlink" Target="http://www.imdb.com/title/tt0059418/?ref_=fn_tt_tt_1" TargetMode="External"/><Relationship Id="rId3897" Type="http://schemas.openxmlformats.org/officeDocument/2006/relationships/hyperlink" Target="http://www.imdb.com/title/tt2403393/?ref_=fn_tt_tt_1" TargetMode="External"/><Relationship Id="rId3896" Type="http://schemas.openxmlformats.org/officeDocument/2006/relationships/hyperlink" Target="http://www.imdb.com/title/tt0031381/?ref_=fn_tt_tt_1" TargetMode="External"/><Relationship Id="rId3895" Type="http://schemas.openxmlformats.org/officeDocument/2006/relationships/hyperlink" Target="http://www.imdb.com/title/tt0074958/?ref_=fn_tt_tt_1" TargetMode="External"/><Relationship Id="rId3894" Type="http://schemas.openxmlformats.org/officeDocument/2006/relationships/hyperlink" Target="http://www.imdb.com/title/tt0060665/?ref_=fn_tt_tt_1" TargetMode="External"/><Relationship Id="rId3893" Type="http://schemas.openxmlformats.org/officeDocument/2006/relationships/hyperlink" Target="http://www.imdb.com/title/tt2414822/?ref_=fn_tt_tt_1" TargetMode="External"/><Relationship Id="rId3892" Type="http://schemas.openxmlformats.org/officeDocument/2006/relationships/hyperlink" Target="http://www.imdb.com/title/tt2395247/?ref_=fn_tt_tt_1" TargetMode="External"/><Relationship Id="rId3891" Type="http://schemas.openxmlformats.org/officeDocument/2006/relationships/hyperlink" Target="http://www.imdb.com/title/tt1854582/?ref_=fn_tt_tt_1" TargetMode="External"/><Relationship Id="rId3890" Type="http://schemas.openxmlformats.org/officeDocument/2006/relationships/hyperlink" Target="http://www.imdb.com/title/tt1316536/?ref_=fn_tt_tt_1" TargetMode="External"/><Relationship Id="rId389" Type="http://schemas.openxmlformats.org/officeDocument/2006/relationships/hyperlink" Target="http://www.imdb.com/title/tt1041804/?ref_=fn_tt_tt_1" TargetMode="External"/><Relationship Id="rId3889" Type="http://schemas.openxmlformats.org/officeDocument/2006/relationships/hyperlink" Target="http://www.imdb.com/title/tt3533916/?ref_=fn_tt_tt_1" TargetMode="External"/><Relationship Id="rId3888" Type="http://schemas.openxmlformats.org/officeDocument/2006/relationships/hyperlink" Target="http://www.imdb.com/title/tt0491109/?ref_=fn_tt_tt_1" TargetMode="External"/><Relationship Id="rId3887" Type="http://schemas.openxmlformats.org/officeDocument/2006/relationships/hyperlink" Target="http://www.imdb.com/title/tt0020960/?ref_=fn_tt_tt_1" TargetMode="External"/><Relationship Id="rId3886" Type="http://schemas.openxmlformats.org/officeDocument/2006/relationships/hyperlink" Target="http://www.imdb.com/title/tt1844203/?ref_=fn_tt_tt_1" TargetMode="External"/><Relationship Id="rId3885" Type="http://schemas.openxmlformats.org/officeDocument/2006/relationships/hyperlink" Target="http://www.imdb.com/title/tt0068156/?ref_=fn_tt_tt_1" TargetMode="External"/><Relationship Id="rId3884" Type="http://schemas.openxmlformats.org/officeDocument/2006/relationships/hyperlink" Target="http://www.imdb.com/title/tt3155604/?ref_=fn_tt_tt_1" TargetMode="External"/><Relationship Id="rId3883" Type="http://schemas.openxmlformats.org/officeDocument/2006/relationships/hyperlink" Target="http://www.imdb.com/title/tt0298482/?ref_=fn_tt_tt_1" TargetMode="External"/><Relationship Id="rId3882" Type="http://schemas.openxmlformats.org/officeDocument/2006/relationships/hyperlink" Target="http://www.imdb.com/title/tt1422136/?ref_=fn_tt_tt_1" TargetMode="External"/><Relationship Id="rId3881" Type="http://schemas.openxmlformats.org/officeDocument/2006/relationships/hyperlink" Target="http://www.imdb.com/title/tt1719071/?ref_=fn_tt_tt_1" TargetMode="External"/><Relationship Id="rId3880" Type="http://schemas.openxmlformats.org/officeDocument/2006/relationships/hyperlink" Target="http://www.imdb.com/title/tt2199543/?ref_=fn_tt_tt_1" TargetMode="External"/><Relationship Id="rId388" Type="http://schemas.openxmlformats.org/officeDocument/2006/relationships/hyperlink" Target="http://www.imdb.com/title/tt0352248/?ref_=fn_tt_tt_1" TargetMode="External"/><Relationship Id="rId3879" Type="http://schemas.openxmlformats.org/officeDocument/2006/relationships/hyperlink" Target="http://www.imdb.com/title/tt0119502/?ref_=fn_tt_tt_1" TargetMode="External"/><Relationship Id="rId3878" Type="http://schemas.openxmlformats.org/officeDocument/2006/relationships/hyperlink" Target="http://www.imdb.com/title/tt1252374/?ref_=fn_tt_tt_1" TargetMode="External"/><Relationship Id="rId3877" Type="http://schemas.openxmlformats.org/officeDocument/2006/relationships/hyperlink" Target="http://www.imdb.com/title/tt1464580/?ref_=fn_tt_tt_1" TargetMode="External"/><Relationship Id="rId3876" Type="http://schemas.openxmlformats.org/officeDocument/2006/relationships/hyperlink" Target="http://www.imdb.com/title/tt0319769/?ref_=fn_tt_tt_1" TargetMode="External"/><Relationship Id="rId3875" Type="http://schemas.openxmlformats.org/officeDocument/2006/relationships/hyperlink" Target="http://www.imdb.com/title/tt0120878/?ref_=fn_tt_tt_1" TargetMode="External"/><Relationship Id="rId3874" Type="http://schemas.openxmlformats.org/officeDocument/2006/relationships/hyperlink" Target="http://www.imdb.com/title/tt2103267/?ref_=fn_tt_tt_1" TargetMode="External"/><Relationship Id="rId3873" Type="http://schemas.openxmlformats.org/officeDocument/2006/relationships/hyperlink" Target="http://www.imdb.com/title/tt0122906/?ref_=fn_tt_tt_1" TargetMode="External"/><Relationship Id="rId3872" Type="http://schemas.openxmlformats.org/officeDocument/2006/relationships/hyperlink" Target="http://www.imdb.com/title/tt0218182/?ref_=fn_tt_tt_1" TargetMode="External"/><Relationship Id="rId3871" Type="http://schemas.openxmlformats.org/officeDocument/2006/relationships/hyperlink" Target="http://www.imdb.com/title/tt1529572/?ref_=fn_tt_tt_1" TargetMode="External"/><Relationship Id="rId3870" Type="http://schemas.openxmlformats.org/officeDocument/2006/relationships/hyperlink" Target="http://www.imdb.com/title/tt2876428/?ref_=fn_tt_tt_1" TargetMode="External"/><Relationship Id="rId387" Type="http://schemas.openxmlformats.org/officeDocument/2006/relationships/hyperlink" Target="http://www.imdb.com/title/tt0082198/?ref_=fn_tt_tt_1" TargetMode="External"/><Relationship Id="rId3869" Type="http://schemas.openxmlformats.org/officeDocument/2006/relationships/hyperlink" Target="http://www.imdb.com/title/tt0156639/?ref_=fn_tt_tt_1" TargetMode="External"/><Relationship Id="rId3868" Type="http://schemas.openxmlformats.org/officeDocument/2006/relationships/hyperlink" Target="http://www.imdb.com/title/tt0206226/?ref_=fn_tt_tt_1" TargetMode="External"/><Relationship Id="rId3867" Type="http://schemas.openxmlformats.org/officeDocument/2006/relationships/hyperlink" Target="http://www.imdb.com/title/tt0095904/?ref_=fn_tt_tt_1" TargetMode="External"/><Relationship Id="rId3866" Type="http://schemas.openxmlformats.org/officeDocument/2006/relationships/hyperlink" Target="http://www.imdb.com/title/tt0120122/?ref_=fn_tt_tt_1" TargetMode="External"/><Relationship Id="rId3865" Type="http://schemas.openxmlformats.org/officeDocument/2006/relationships/hyperlink" Target="http://www.imdb.com/title/tt2382396/?ref_=fn_tt_tt_1" TargetMode="External"/><Relationship Id="rId3864" Type="http://schemas.openxmlformats.org/officeDocument/2006/relationships/hyperlink" Target="http://www.imdb.com/title/tt2076220/?ref_=fn_tt_tt_1" TargetMode="External"/><Relationship Id="rId3863" Type="http://schemas.openxmlformats.org/officeDocument/2006/relationships/hyperlink" Target="http://www.imdb.com/title/tt0126859/?ref_=fn_tt_tt_1" TargetMode="External"/><Relationship Id="rId3862" Type="http://schemas.openxmlformats.org/officeDocument/2006/relationships/hyperlink" Target="http://www.imdb.com/title/tt0273982/?ref_=fn_tt_tt_1" TargetMode="External"/><Relationship Id="rId3861" Type="http://schemas.openxmlformats.org/officeDocument/2006/relationships/hyperlink" Target="http://www.imdb.com/title/tt3346224/?ref_=fn_tt_tt_1" TargetMode="External"/><Relationship Id="rId3860" Type="http://schemas.openxmlformats.org/officeDocument/2006/relationships/hyperlink" Target="http://www.imdb.com/title/tt1645080/?ref_=fn_tt_tt_1" TargetMode="External"/><Relationship Id="rId386" Type="http://schemas.openxmlformats.org/officeDocument/2006/relationships/hyperlink" Target="http://www.imdb.com/title/tt0267626/?ref_=fn_tt_tt_1" TargetMode="External"/><Relationship Id="rId3859" Type="http://schemas.openxmlformats.org/officeDocument/2006/relationships/hyperlink" Target="http://www.imdb.com/title/tt0092615/?ref_=fn_tt_tt_1" TargetMode="External"/><Relationship Id="rId3858" Type="http://schemas.openxmlformats.org/officeDocument/2006/relationships/hyperlink" Target="http://www.imdb.com/title/tt0770802/?ref_=fn_tt_tt_1" TargetMode="External"/><Relationship Id="rId3857" Type="http://schemas.openxmlformats.org/officeDocument/2006/relationships/hyperlink" Target="http://www.imdb.com/title/tt0366780/?ref_=fn_tt_tt_1" TargetMode="External"/><Relationship Id="rId3856" Type="http://schemas.openxmlformats.org/officeDocument/2006/relationships/hyperlink" Target="http://www.imdb.com/title/tt0873886/?ref_=fn_tt_tt_1" TargetMode="External"/><Relationship Id="rId3855" Type="http://schemas.openxmlformats.org/officeDocument/2006/relationships/hyperlink" Target="http://www.imdb.com/title/tt0318761/?ref_=fn_tt_tt_1" TargetMode="External"/><Relationship Id="rId3854" Type="http://schemas.openxmlformats.org/officeDocument/2006/relationships/hyperlink" Target="http://www.imdb.com/title/tt0796375/?ref_=fn_tt_tt_1" TargetMode="External"/><Relationship Id="rId3853" Type="http://schemas.openxmlformats.org/officeDocument/2006/relationships/hyperlink" Target="http://www.imdb.com/title/tt0188863/?ref_=fn_tt_tt_1" TargetMode="External"/><Relationship Id="rId3852" Type="http://schemas.openxmlformats.org/officeDocument/2006/relationships/hyperlink" Target="http://www.imdb.com/title/tt0118111/?ref_=fn_tt_tt_1" TargetMode="External"/><Relationship Id="rId3851" Type="http://schemas.openxmlformats.org/officeDocument/2006/relationships/hyperlink" Target="http://www.imdb.com/title/tt0096219/?ref_=fn_tt_tt_1" TargetMode="External"/><Relationship Id="rId3850" Type="http://schemas.openxmlformats.org/officeDocument/2006/relationships/hyperlink" Target="http://www.imdb.com/title/tt0360916/?ref_=fn_tt_tt_1" TargetMode="External"/><Relationship Id="rId385" Type="http://schemas.openxmlformats.org/officeDocument/2006/relationships/hyperlink" Target="http://www.imdb.com/title/tt0118972/?ref_=fn_tt_tt_1" TargetMode="External"/><Relationship Id="rId3849" Type="http://schemas.openxmlformats.org/officeDocument/2006/relationships/hyperlink" Target="http://www.imdb.com/title/tt0274812/?ref_=fn_tt_tt_1" TargetMode="External"/><Relationship Id="rId3848" Type="http://schemas.openxmlformats.org/officeDocument/2006/relationships/hyperlink" Target="http://www.imdb.com/title/tt0113101/?ref_=fn_tt_tt_1" TargetMode="External"/><Relationship Id="rId3847" Type="http://schemas.openxmlformats.org/officeDocument/2006/relationships/hyperlink" Target="http://www.imdb.com/title/tt0454987/?ref_=fn_tt_tt_1" TargetMode="External"/><Relationship Id="rId3846" Type="http://schemas.openxmlformats.org/officeDocument/2006/relationships/hyperlink" Target="http://www.imdb.com/title/tt0065112/?ref_=fn_tt_tt_1" TargetMode="External"/><Relationship Id="rId3845" Type="http://schemas.openxmlformats.org/officeDocument/2006/relationships/hyperlink" Target="http://www.imdb.com/title/tt0292644/?ref_=fn_tt_tt_1" TargetMode="External"/><Relationship Id="rId3844" Type="http://schemas.openxmlformats.org/officeDocument/2006/relationships/hyperlink" Target="http://www.imdb.com/title/tt2828996/?ref_=fn_tt_tt_1" TargetMode="External"/><Relationship Id="rId3843" Type="http://schemas.openxmlformats.org/officeDocument/2006/relationships/hyperlink" Target="http://www.imdb.com/title/tt0464141/?ref_=fn_tt_tt_1" TargetMode="External"/><Relationship Id="rId3842" Type="http://schemas.openxmlformats.org/officeDocument/2006/relationships/hyperlink" Target="http://www.imdb.com/title/tt0110189/?ref_=fn_tt_tt_1" TargetMode="External"/><Relationship Id="rId3841" Type="http://schemas.openxmlformats.org/officeDocument/2006/relationships/hyperlink" Target="http://www.imdb.com/title/tt0448075/?ref_=fn_tt_tt_1" TargetMode="External"/><Relationship Id="rId3840" Type="http://schemas.openxmlformats.org/officeDocument/2006/relationships/hyperlink" Target="http://www.imdb.com/title/tt0055184/?ref_=fn_tt_tt_1" TargetMode="External"/><Relationship Id="rId384" Type="http://schemas.openxmlformats.org/officeDocument/2006/relationships/hyperlink" Target="http://www.imdb.com/title/tt0120461/?ref_=fn_tt_tt_1" TargetMode="External"/><Relationship Id="rId3839" Type="http://schemas.openxmlformats.org/officeDocument/2006/relationships/hyperlink" Target="http://www.imdb.com/title/tt0318374/?ref_=fn_tt_tt_1" TargetMode="External"/><Relationship Id="rId3838" Type="http://schemas.openxmlformats.org/officeDocument/2006/relationships/hyperlink" Target="http://www.imdb.com/title/tt0199290/?ref_=fn_tt_tt_1" TargetMode="External"/><Relationship Id="rId3837" Type="http://schemas.openxmlformats.org/officeDocument/2006/relationships/hyperlink" Target="http://www.imdb.com/title/tt0290332/?ref_=fn_tt_tt_1" TargetMode="External"/><Relationship Id="rId3836" Type="http://schemas.openxmlformats.org/officeDocument/2006/relationships/hyperlink" Target="http://www.imdb.com/title/tt0457513/?ref_=fn_tt_tt_1" TargetMode="External"/><Relationship Id="rId3835" Type="http://schemas.openxmlformats.org/officeDocument/2006/relationships/hyperlink" Target="http://www.imdb.com/title/tt1065073/?ref_=fn_tt_tt_1" TargetMode="External"/><Relationship Id="rId3834" Type="http://schemas.openxmlformats.org/officeDocument/2006/relationships/hyperlink" Target="http://www.imdb.com/title/tt2034139/?ref_=fn_tt_tt_1" TargetMode="External"/><Relationship Id="rId3833" Type="http://schemas.openxmlformats.org/officeDocument/2006/relationships/hyperlink" Target="http://www.imdb.com/title/tt0399877/?ref_=fn_tt_tt_1" TargetMode="External"/><Relationship Id="rId3832" Type="http://schemas.openxmlformats.org/officeDocument/2006/relationships/hyperlink" Target="http://www.imdb.com/title/tt0057115/?ref_=fn_tt_tt_1" TargetMode="External"/><Relationship Id="rId3831" Type="http://schemas.openxmlformats.org/officeDocument/2006/relationships/hyperlink" Target="http://www.imdb.com/title/tt0096256/?ref_=fn_tt_tt_1" TargetMode="External"/><Relationship Id="rId3830" Type="http://schemas.openxmlformats.org/officeDocument/2006/relationships/hyperlink" Target="http://www.imdb.com/title/tt0842926/?ref_=fn_tt_tt_1" TargetMode="External"/><Relationship Id="rId383" Type="http://schemas.openxmlformats.org/officeDocument/2006/relationships/hyperlink" Target="http://www.imdb.com/title/tt0182789/?ref_=fn_tt_tt_1" TargetMode="External"/><Relationship Id="rId3829" Type="http://schemas.openxmlformats.org/officeDocument/2006/relationships/hyperlink" Target="http://www.imdb.com/title/tt0049875/?ref_=fn_tt_tt_1" TargetMode="External"/><Relationship Id="rId3828" Type="http://schemas.openxmlformats.org/officeDocument/2006/relationships/hyperlink" Target="http://www.imdb.com/title/tt3181822/?ref_=fn_tt_tt_1" TargetMode="External"/><Relationship Id="rId3827" Type="http://schemas.openxmlformats.org/officeDocument/2006/relationships/hyperlink" Target="http://www.imdb.com/title/tt0071524/?ref_=fn_tt_tt_1" TargetMode="External"/><Relationship Id="rId3826" Type="http://schemas.openxmlformats.org/officeDocument/2006/relationships/hyperlink" Target="http://www.imdb.com/title/tt2081194/?ref_=fn_tt_tt_1" TargetMode="External"/><Relationship Id="rId3825" Type="http://schemas.openxmlformats.org/officeDocument/2006/relationships/hyperlink" Target="http://www.imdb.com/title/tt0113627/?ref_=fn_tt_tt_1" TargetMode="External"/><Relationship Id="rId3824" Type="http://schemas.openxmlformats.org/officeDocument/2006/relationships/hyperlink" Target="http://www.imdb.com/title/tt1881002/?ref_=fn_tt_tt_1" TargetMode="External"/><Relationship Id="rId3823" Type="http://schemas.openxmlformats.org/officeDocument/2006/relationships/hyperlink" Target="http://www.imdb.com/title/tt0285742/?ref_=fn_tt_tt_1" TargetMode="External"/><Relationship Id="rId3822" Type="http://schemas.openxmlformats.org/officeDocument/2006/relationships/hyperlink" Target="http://www.imdb.com/title/tt0044672/?ref_=fn_tt_tt_1" TargetMode="External"/><Relationship Id="rId3821" Type="http://schemas.openxmlformats.org/officeDocument/2006/relationships/hyperlink" Target="http://www.imdb.com/title/tt0075686/?ref_=fn_tt_tt_1" TargetMode="External"/><Relationship Id="rId3820" Type="http://schemas.openxmlformats.org/officeDocument/2006/relationships/hyperlink" Target="http://www.imdb.com/title/tt0335266/?ref_=fn_tt_tt_1" TargetMode="External"/><Relationship Id="rId382" Type="http://schemas.openxmlformats.org/officeDocument/2006/relationships/hyperlink" Target="http://www.imdb.com/title/tt1436562/?ref_=fn_tt_tt_1" TargetMode="External"/><Relationship Id="rId3819" Type="http://schemas.openxmlformats.org/officeDocument/2006/relationships/hyperlink" Target="http://www.imdb.com/title/tt0063350/?ref_=fn_tt_tt_1" TargetMode="External"/><Relationship Id="rId3818" Type="http://schemas.openxmlformats.org/officeDocument/2006/relationships/hyperlink" Target="http://www.imdb.com/title/tt1134854/?ref_=fn_tt_tt_1" TargetMode="External"/><Relationship Id="rId3817" Type="http://schemas.openxmlformats.org/officeDocument/2006/relationships/hyperlink" Target="http://www.imdb.com/title/tt0084522/?ref_=fn_tt_tt_1" TargetMode="External"/><Relationship Id="rId3816" Type="http://schemas.openxmlformats.org/officeDocument/2006/relationships/hyperlink" Target="http://www.imdb.com/title/tt0104036/?ref_=fn_tt_tt_1" TargetMode="External"/><Relationship Id="rId3815" Type="http://schemas.openxmlformats.org/officeDocument/2006/relationships/hyperlink" Target="http://www.imdb.com/title/tt0403358/?ref_=fn_tt_tt_1" TargetMode="External"/><Relationship Id="rId3814" Type="http://schemas.openxmlformats.org/officeDocument/2006/relationships/hyperlink" Target="http://www.imdb.com/title/tt0119574/?ref_=fn_tt_tt_1" TargetMode="External"/><Relationship Id="rId3813" Type="http://schemas.openxmlformats.org/officeDocument/2006/relationships/hyperlink" Target="http://www.imdb.com/title/tt5574490/?ref_=fn_tt_tt_1" TargetMode="External"/><Relationship Id="rId3812" Type="http://schemas.openxmlformats.org/officeDocument/2006/relationships/hyperlink" Target="http://www.imdb.com/title/tt0475293/?ref_=fn_tt_tt_1" TargetMode="External"/><Relationship Id="rId3811" Type="http://schemas.openxmlformats.org/officeDocument/2006/relationships/hyperlink" Target="http://www.imdb.com/title/tt0381940/?ref_=fn_tt_tt_1" TargetMode="External"/><Relationship Id="rId3810" Type="http://schemas.openxmlformats.org/officeDocument/2006/relationships/hyperlink" Target="http://www.imdb.com/title/tt1532957/?ref_=fn_tt_tt_1" TargetMode="External"/><Relationship Id="rId381" Type="http://schemas.openxmlformats.org/officeDocument/2006/relationships/hyperlink" Target="http://will.i.am" TargetMode="External"/><Relationship Id="rId3809" Type="http://schemas.openxmlformats.org/officeDocument/2006/relationships/hyperlink" Target="http://www.imdb.com/title/tt0298228/?ref_=fn_tt_tt_1" TargetMode="External"/><Relationship Id="rId3808" Type="http://schemas.openxmlformats.org/officeDocument/2006/relationships/hyperlink" Target="http://www.imdb.com/title/tt1291652/?ref_=fn_tt_tt_1" TargetMode="External"/><Relationship Id="rId3807" Type="http://schemas.openxmlformats.org/officeDocument/2006/relationships/hyperlink" Target="http://www.imdb.com/title/tt0203119/?ref_=fn_tt_tt_1" TargetMode="External"/><Relationship Id="rId3806" Type="http://schemas.openxmlformats.org/officeDocument/2006/relationships/hyperlink" Target="http://www.imdb.com/title/tt0857190/?ref_=fn_tt_tt_1" TargetMode="External"/><Relationship Id="rId3805" Type="http://schemas.openxmlformats.org/officeDocument/2006/relationships/hyperlink" Target="http://www.imdb.com/title/tt2295722/?ref_=fn_tt_tt_1" TargetMode="External"/><Relationship Id="rId3804" Type="http://schemas.openxmlformats.org/officeDocument/2006/relationships/hyperlink" Target="http://www.imdb.com/title/tt0088727/?ref_=fn_tt_tt_1" TargetMode="External"/><Relationship Id="rId3803" Type="http://schemas.openxmlformats.org/officeDocument/2006/relationships/hyperlink" Target="http://www.imdb.com/title/tt4387040/?ref_=fn_tt_tt_1" TargetMode="External"/><Relationship Id="rId3802" Type="http://schemas.openxmlformats.org/officeDocument/2006/relationships/hyperlink" Target="http://www.imdb.com/title/tt0075222/?ref_=fn_tt_tt_1" TargetMode="External"/><Relationship Id="rId3801" Type="http://schemas.openxmlformats.org/officeDocument/2006/relationships/hyperlink" Target="http://www.imdb.com/title/tt4386242/?ref_=fn_tt_tt_1" TargetMode="External"/><Relationship Id="rId3800" Type="http://schemas.openxmlformats.org/officeDocument/2006/relationships/hyperlink" Target="http://www.imdb.com/title/tt0073486/?ref_=fn_tt_tt_1" TargetMode="External"/><Relationship Id="rId380" Type="http://schemas.openxmlformats.org/officeDocument/2006/relationships/hyperlink" Target="http://www.imdb.com/title/tt0183523/?ref_=fn_tt_tt_1" TargetMode="External"/><Relationship Id="rId38" Type="http://schemas.openxmlformats.org/officeDocument/2006/relationships/hyperlink" Target="http://www.imdb.com/title/tt2109248/?ref_=fn_tt_tt_1" TargetMode="External"/><Relationship Id="rId3799" Type="http://schemas.openxmlformats.org/officeDocument/2006/relationships/hyperlink" Target="http://www.imdb.com/title/tt3683702/?ref_=fn_tt_tt_1" TargetMode="External"/><Relationship Id="rId3798" Type="http://schemas.openxmlformats.org/officeDocument/2006/relationships/hyperlink" Target="http://www.imdb.com/title/tt0838247/?ref_=fn_tt_tt_1" TargetMode="External"/><Relationship Id="rId3797" Type="http://schemas.openxmlformats.org/officeDocument/2006/relationships/hyperlink" Target="http://www.imdb.com/title/tt0300140/?ref_=fn_tt_tt_1" TargetMode="External"/><Relationship Id="rId3796" Type="http://schemas.openxmlformats.org/officeDocument/2006/relationships/hyperlink" Target="http://www.imdb.com/title/tt1629705/?ref_=fn_tt_tt_1" TargetMode="External"/><Relationship Id="rId3795" Type="http://schemas.openxmlformats.org/officeDocument/2006/relationships/hyperlink" Target="http://www.imdb.com/title/tt0796212/?ref_=fn_tt_tt_1" TargetMode="External"/><Relationship Id="rId3794" Type="http://schemas.openxmlformats.org/officeDocument/2006/relationships/hyperlink" Target="http://www.imdb.com/title/tt0291341/?ref_=fn_tt_tt_1" TargetMode="External"/><Relationship Id="rId3793" Type="http://schemas.openxmlformats.org/officeDocument/2006/relationships/hyperlink" Target="http://www.imdb.com/title/tt1653911/?ref_=fn_tt_tt_1" TargetMode="External"/><Relationship Id="rId3792" Type="http://schemas.openxmlformats.org/officeDocument/2006/relationships/hyperlink" Target="http://www.imdb.com/title/tt0451094/?ref_=fn_tt_tt_1" TargetMode="External"/><Relationship Id="rId3791" Type="http://schemas.openxmlformats.org/officeDocument/2006/relationships/hyperlink" Target="http://www.imdb.com/title/tt0808526/?ref_=fn_tt_tt_1" TargetMode="External"/><Relationship Id="rId3790" Type="http://schemas.openxmlformats.org/officeDocument/2006/relationships/hyperlink" Target="http://www.imdb.com/title/tt0283003/?ref_=fn_tt_tt_1" TargetMode="External"/><Relationship Id="rId379" Type="http://schemas.openxmlformats.org/officeDocument/2006/relationships/hyperlink" Target="http://www.imdb.com/title/tt0266987/?ref_=fn_tt_tt_1" TargetMode="External"/><Relationship Id="rId3789" Type="http://schemas.openxmlformats.org/officeDocument/2006/relationships/hyperlink" Target="http://www.imdb.com/title/tt0119448/?ref_=fn_tt_tt_1" TargetMode="External"/><Relationship Id="rId3788" Type="http://schemas.openxmlformats.org/officeDocument/2006/relationships/hyperlink" Target="http://www.imdb.com/title/tt0461336/?ref_=fn_tt_tt_1" TargetMode="External"/><Relationship Id="rId3787" Type="http://schemas.openxmlformats.org/officeDocument/2006/relationships/hyperlink" Target="http://www.imdb.com/title/tt0246578/?ref_=fn_tt_tt_1" TargetMode="External"/><Relationship Id="rId3786" Type="http://schemas.openxmlformats.org/officeDocument/2006/relationships/hyperlink" Target="http://www.imdb.com/title/tt3014666/?ref_=fn_tt_tt_1" TargetMode="External"/><Relationship Id="rId3785" Type="http://schemas.openxmlformats.org/officeDocument/2006/relationships/hyperlink" Target="http://www.imdb.com/title/tt0091886/?ref_=fn_tt_tt_1" TargetMode="External"/><Relationship Id="rId3784" Type="http://schemas.openxmlformats.org/officeDocument/2006/relationships/hyperlink" Target="http://www.imdb.com/title/tt0120274/?ref_=fn_tt_tt_1" TargetMode="External"/><Relationship Id="rId3783" Type="http://schemas.openxmlformats.org/officeDocument/2006/relationships/hyperlink" Target="http://www.imdb.com/title/tt0038116/?ref_=fn_tt_tt_1" TargetMode="External"/><Relationship Id="rId3782" Type="http://schemas.openxmlformats.org/officeDocument/2006/relationships/hyperlink" Target="http://www.imdb.com/title/tt0180093/?ref_=fn_tt_tt_1" TargetMode="External"/><Relationship Id="rId3781" Type="http://schemas.openxmlformats.org/officeDocument/2006/relationships/hyperlink" Target="http://www.imdb.com/title/tt0115736/?ref_=fn_tt_tt_1" TargetMode="External"/><Relationship Id="rId3780" Type="http://schemas.openxmlformats.org/officeDocument/2006/relationships/hyperlink" Target="http://www.imdb.com/title/tt3516878/?ref_=fn_tt_tt_1" TargetMode="External"/><Relationship Id="rId378" Type="http://schemas.openxmlformats.org/officeDocument/2006/relationships/hyperlink" Target="http://www.imdb.com/title/tt0120053/?ref_=fn_tt_tt_1" TargetMode="External"/><Relationship Id="rId3779" Type="http://schemas.openxmlformats.org/officeDocument/2006/relationships/hyperlink" Target="http://www.imdb.com/title/tt0307901/?ref_=fn_tt_tt_1" TargetMode="External"/><Relationship Id="rId3778" Type="http://schemas.openxmlformats.org/officeDocument/2006/relationships/hyperlink" Target="http://www.imdb.com/title/tt0049513/?ref_=fn_tt_tt_1" TargetMode="External"/><Relationship Id="rId3777" Type="http://schemas.openxmlformats.org/officeDocument/2006/relationships/hyperlink" Target="http://www.imdb.com/title/tt0083929/?ref_=fn_tt_tt_1" TargetMode="External"/><Relationship Id="rId3776" Type="http://schemas.openxmlformats.org/officeDocument/2006/relationships/hyperlink" Target="http://www.imdb.com/title/tt0109831/?ref_=fn_tt_tt_1" TargetMode="External"/><Relationship Id="rId3775" Type="http://schemas.openxmlformats.org/officeDocument/2006/relationships/hyperlink" Target="http://www.imdb.com/title/tt0080453/?ref_=fn_tt_tt_1" TargetMode="External"/><Relationship Id="rId3774" Type="http://schemas.openxmlformats.org/officeDocument/2006/relationships/hyperlink" Target="http://www.imdb.com/title/tt0087928/?ref_=fn_tt_tt_1" TargetMode="External"/><Relationship Id="rId3773" Type="http://schemas.openxmlformats.org/officeDocument/2006/relationships/hyperlink" Target="http://www.imdb.com/title/tt0839938/?ref_=fn_tt_tt_1" TargetMode="External"/><Relationship Id="rId3772" Type="http://schemas.openxmlformats.org/officeDocument/2006/relationships/hyperlink" Target="http://www.imdb.com/title/tt0379976/?ref_=fn_tt_tt_1" TargetMode="External"/><Relationship Id="rId3771" Type="http://schemas.openxmlformats.org/officeDocument/2006/relationships/hyperlink" Target="http://www.imdb.com/title/tt2091427/?ref_=fn_tt_tt_1" TargetMode="External"/><Relationship Id="rId3770" Type="http://schemas.openxmlformats.org/officeDocument/2006/relationships/hyperlink" Target="http://www.imdb.com/title/tt1646974/?ref_=fn_tt_tt_1" TargetMode="External"/><Relationship Id="rId377" Type="http://schemas.openxmlformats.org/officeDocument/2006/relationships/hyperlink" Target="http://www.imdb.com/title/tt3110958/?ref_=fn_tt_tt_1" TargetMode="External"/><Relationship Id="rId3769" Type="http://schemas.openxmlformats.org/officeDocument/2006/relationships/hyperlink" Target="http://www.imdb.com/title/tt0903131/?ref_=fn_tt_tt_1" TargetMode="External"/><Relationship Id="rId3768" Type="http://schemas.openxmlformats.org/officeDocument/2006/relationships/hyperlink" Target="http://www.imdb.com/title/tt0377752/?ref_=fn_tt_tt_1" TargetMode="External"/><Relationship Id="rId3767" Type="http://schemas.openxmlformats.org/officeDocument/2006/relationships/hyperlink" Target="http://www.imdb.com/title/tt3099638/?ref_=fn_tt_tt_1" TargetMode="External"/><Relationship Id="rId3766" Type="http://schemas.openxmlformats.org/officeDocument/2006/relationships/hyperlink" Target="http://www.imdb.com/title/tt1547090/?ref_=fn_tt_tt_1" TargetMode="External"/><Relationship Id="rId3765" Type="http://schemas.openxmlformats.org/officeDocument/2006/relationships/hyperlink" Target="http://www.imdb.com/title/tt0451673/?ref_=fn_tt_tt_1" TargetMode="External"/><Relationship Id="rId3764" Type="http://schemas.openxmlformats.org/officeDocument/2006/relationships/hyperlink" Target="http://www.imdb.com/title/tt1602613/?ref_=fn_tt_tt_1" TargetMode="External"/><Relationship Id="rId3763" Type="http://schemas.openxmlformats.org/officeDocument/2006/relationships/hyperlink" Target="http://www.imdb.com/title/tt0070518/?ref_=fn_tt_tt_1" TargetMode="External"/><Relationship Id="rId3762" Type="http://schemas.openxmlformats.org/officeDocument/2006/relationships/hyperlink" Target="http://www.imdb.com/title/tt0092076/?ref_=fn_tt_tt_1" TargetMode="External"/><Relationship Id="rId3761" Type="http://schemas.openxmlformats.org/officeDocument/2006/relationships/hyperlink" Target="http://www.imdb.com/title/tt2980708/?ref_=fn_tt_tt_1" TargetMode="External"/><Relationship Id="rId3760" Type="http://schemas.openxmlformats.org/officeDocument/2006/relationships/hyperlink" Target="http://www.imdb.com/title/tt0446687/?ref_=fn_tt_tt_1" TargetMode="External"/><Relationship Id="rId376" Type="http://schemas.openxmlformats.org/officeDocument/2006/relationships/hyperlink" Target="http://www.imdb.com/title/tt0325703/?ref_=fn_tt_tt_1" TargetMode="External"/><Relationship Id="rId3759" Type="http://schemas.openxmlformats.org/officeDocument/2006/relationships/hyperlink" Target="http://www.imdb.com/title/tt0095484/?ref_=fn_tt_tt_1" TargetMode="External"/><Relationship Id="rId3758" Type="http://schemas.openxmlformats.org/officeDocument/2006/relationships/hyperlink" Target="http://www.imdb.com/title/tt1675192/?ref_=fn_tt_tt_1" TargetMode="External"/><Relationship Id="rId3757" Type="http://schemas.openxmlformats.org/officeDocument/2006/relationships/hyperlink" Target="http://www.imdb.com/title/tt0423409/?ref_=fn_tt_tt_1" TargetMode="External"/><Relationship Id="rId3756" Type="http://schemas.openxmlformats.org/officeDocument/2006/relationships/hyperlink" Target="http://www.imdb.com/title/tt0450278/?ref_=fn_tt_tt_1" TargetMode="External"/><Relationship Id="rId3755" Type="http://schemas.openxmlformats.org/officeDocument/2006/relationships/hyperlink" Target="http://www.imdb.com/title/tt1687901/?ref_=fn_tt_tt_1" TargetMode="External"/><Relationship Id="rId3754" Type="http://schemas.openxmlformats.org/officeDocument/2006/relationships/hyperlink" Target="http://www.imdb.com/title/tt0117666/?ref_=fn_tt_tt_1" TargetMode="External"/><Relationship Id="rId3753" Type="http://schemas.openxmlformats.org/officeDocument/2006/relationships/hyperlink" Target="http://www.imdb.com/title/tt1244668/?ref_=fn_tt_tt_1" TargetMode="External"/><Relationship Id="rId3752" Type="http://schemas.openxmlformats.org/officeDocument/2006/relationships/hyperlink" Target="http://www.imdb.com/title/tt0284363/?ref_=fn_tt_tt_1" TargetMode="External"/><Relationship Id="rId3751" Type="http://schemas.openxmlformats.org/officeDocument/2006/relationships/hyperlink" Target="http://www.imdb.com/title/tt4511566/?ref_=fn_tt_tt_1" TargetMode="External"/><Relationship Id="rId3750" Type="http://schemas.openxmlformats.org/officeDocument/2006/relationships/hyperlink" Target="http://www.imdb.com/title/tt3838992/?ref_=fn_tt_tt_1" TargetMode="External"/><Relationship Id="rId375" Type="http://schemas.openxmlformats.org/officeDocument/2006/relationships/hyperlink" Target="http://www.imdb.com/title/tt1854564/?ref_=fn_tt_tt_1" TargetMode="External"/><Relationship Id="rId3749" Type="http://schemas.openxmlformats.org/officeDocument/2006/relationships/hyperlink" Target="http://www.imdb.com/title/tt4453560/?ref_=fn_tt_tt_1" TargetMode="External"/><Relationship Id="rId3748" Type="http://schemas.openxmlformats.org/officeDocument/2006/relationships/hyperlink" Target="http://www.imdb.com/title/tt1717210/?ref_=fn_tt_tt_1" TargetMode="External"/><Relationship Id="rId3747" Type="http://schemas.openxmlformats.org/officeDocument/2006/relationships/hyperlink" Target="http://www.imdb.com/title/tt0077294/?ref_=fn_tt_tt_1" TargetMode="External"/><Relationship Id="rId3746" Type="http://schemas.openxmlformats.org/officeDocument/2006/relationships/hyperlink" Target="http://www.imdb.com/title/tt1554921/?ref_=fn_tt_tt_1" TargetMode="External"/><Relationship Id="rId3745" Type="http://schemas.openxmlformats.org/officeDocument/2006/relationships/hyperlink" Target="http://www.imdb.com/title/tt1274586/?ref_=fn_tt_tt_1" TargetMode="External"/><Relationship Id="rId3744" Type="http://schemas.openxmlformats.org/officeDocument/2006/relationships/hyperlink" Target="http://www.imdb.com/title/tt2063015/?ref_=fn_tt_tt_1" TargetMode="External"/><Relationship Id="rId3743" Type="http://schemas.openxmlformats.org/officeDocument/2006/relationships/hyperlink" Target="http://www.imdb.com/title/tt3703148/?ref_=fn_tt_tt_1" TargetMode="External"/><Relationship Id="rId3742" Type="http://schemas.openxmlformats.org/officeDocument/2006/relationships/hyperlink" Target="http://www.imdb.com/title/tt1460798/?ref_=fn_tt_tt_1" TargetMode="External"/><Relationship Id="rId3741" Type="http://schemas.openxmlformats.org/officeDocument/2006/relationships/hyperlink" Target="http://www.imdb.com/title/tt1798243/?ref_=fn_tt_tt_1" TargetMode="External"/><Relationship Id="rId3740" Type="http://schemas.openxmlformats.org/officeDocument/2006/relationships/hyperlink" Target="http://www.imdb.com/title/tt0491738/?ref_=fn_tt_tt_1" TargetMode="External"/><Relationship Id="rId374" Type="http://schemas.openxmlformats.org/officeDocument/2006/relationships/hyperlink" Target="http://www.imdb.com/title/tt0373926/?ref_=fn_tt_tt_1" TargetMode="External"/><Relationship Id="rId3739" Type="http://schemas.openxmlformats.org/officeDocument/2006/relationships/hyperlink" Target="http://www.imdb.com/title/tt1131732/?ref_=fn_tt_tt_1" TargetMode="External"/><Relationship Id="rId3738" Type="http://schemas.openxmlformats.org/officeDocument/2006/relationships/hyperlink" Target="http://www.imdb.com/title/tt0488539/?ref_=fn_tt_tt_1" TargetMode="External"/><Relationship Id="rId3737" Type="http://schemas.openxmlformats.org/officeDocument/2006/relationships/hyperlink" Target="http://www.imdb.com/title/tt1079444/?ref_=fn_tt_tt_1" TargetMode="External"/><Relationship Id="rId3736" Type="http://schemas.openxmlformats.org/officeDocument/2006/relationships/hyperlink" Target="http://www.imdb.com/title/tt0465430/?ref_=fn_tt_tt_1" TargetMode="External"/><Relationship Id="rId3735" Type="http://schemas.openxmlformats.org/officeDocument/2006/relationships/hyperlink" Target="http://www.imdb.com/title/tt1437358/?ref_=fn_tt_tt_1" TargetMode="External"/><Relationship Id="rId3734" Type="http://schemas.openxmlformats.org/officeDocument/2006/relationships/hyperlink" Target="http://www.imdb.com/title/tt1519461/?ref_=fn_tt_tt_1" TargetMode="External"/><Relationship Id="rId3733" Type="http://schemas.openxmlformats.org/officeDocument/2006/relationships/hyperlink" Target="http://www.imdb.com/title/tt0830900/?ref_=fn_tt_tt_1" TargetMode="External"/><Relationship Id="rId3732" Type="http://schemas.openxmlformats.org/officeDocument/2006/relationships/hyperlink" Target="http://www.imdb.com/title/tt0305632/?ref_=fn_tt_tt_1" TargetMode="External"/><Relationship Id="rId3731" Type="http://schemas.openxmlformats.org/officeDocument/2006/relationships/hyperlink" Target="http://www.imdb.com/title/tt0937237/?ref_=fn_tt_tt_1" TargetMode="External"/><Relationship Id="rId3730" Type="http://schemas.openxmlformats.org/officeDocument/2006/relationships/hyperlink" Target="http://www.imdb.com/title/tt3567288/?ref_=fn_tt_tt_1" TargetMode="External"/><Relationship Id="rId373" Type="http://schemas.openxmlformats.org/officeDocument/2006/relationships/hyperlink" Target="http://www.imdb.com/title/tt0164052/?ref_=fn_tt_tt_1" TargetMode="External"/><Relationship Id="rId3729" Type="http://schemas.openxmlformats.org/officeDocument/2006/relationships/hyperlink" Target="http://www.imdb.com/title/tt0357585/?ref_=fn_tt_tt_1" TargetMode="External"/><Relationship Id="rId3728" Type="http://schemas.openxmlformats.org/officeDocument/2006/relationships/hyperlink" Target="http://www.imdb.com/title/tt0126261/?ref_=fn_tt_tt_1" TargetMode="External"/><Relationship Id="rId3727" Type="http://schemas.openxmlformats.org/officeDocument/2006/relationships/hyperlink" Target="http://www.imdb.com/title/tt0039927/?ref_=fn_tt_tt_1" TargetMode="External"/><Relationship Id="rId3726" Type="http://schemas.openxmlformats.org/officeDocument/2006/relationships/hyperlink" Target="http://www.imdb.com/title/tt1150947/?ref_=fn_tt_tt_1" TargetMode="External"/><Relationship Id="rId3725" Type="http://schemas.openxmlformats.org/officeDocument/2006/relationships/hyperlink" Target="http://www.imdb.com/title/tt1465522/?ref_=fn_tt_tt_1" TargetMode="External"/><Relationship Id="rId3724" Type="http://schemas.openxmlformats.org/officeDocument/2006/relationships/hyperlink" Target="http://www.imdb.com/title/tt0081291/?ref_=fn_tt_tt_1" TargetMode="External"/><Relationship Id="rId3723" Type="http://schemas.openxmlformats.org/officeDocument/2006/relationships/hyperlink" Target="http://www.imdb.com/title/tt0896866/?ref_=fn_tt_tt_1" TargetMode="External"/><Relationship Id="rId3722" Type="http://schemas.openxmlformats.org/officeDocument/2006/relationships/hyperlink" Target="http://www.imdb.com/title/tt0459293/?ref_=fn_tt_tt_1" TargetMode="External"/><Relationship Id="rId3721" Type="http://schemas.openxmlformats.org/officeDocument/2006/relationships/hyperlink" Target="http://www.imdb.com/title/tt0115495/?ref_=fn_tt_tt_1" TargetMode="External"/><Relationship Id="rId3720" Type="http://schemas.openxmlformats.org/officeDocument/2006/relationships/hyperlink" Target="http://www.imdb.com/title/tt0115734/?ref_=fn_tt_tt_1" TargetMode="External"/><Relationship Id="rId372" Type="http://schemas.openxmlformats.org/officeDocument/2006/relationships/hyperlink" Target="http://www.imdb.com/title/tt0118884/?ref_=fn_tt_tt_1" TargetMode="External"/><Relationship Id="rId3719" Type="http://schemas.openxmlformats.org/officeDocument/2006/relationships/hyperlink" Target="http://www.imdb.com/title/tt2800038/?ref_=fn_tt_tt_1" TargetMode="External"/><Relationship Id="rId3718" Type="http://schemas.openxmlformats.org/officeDocument/2006/relationships/hyperlink" Target="http://www.imdb.com/title/tt0422861/?ref_=fn_tt_tt_1" TargetMode="External"/><Relationship Id="rId3717" Type="http://schemas.openxmlformats.org/officeDocument/2006/relationships/hyperlink" Target="http://www.imdb.com/title/tt4062536/?ref_=fn_tt_tt_1" TargetMode="External"/><Relationship Id="rId3716" Type="http://schemas.openxmlformats.org/officeDocument/2006/relationships/hyperlink" Target="http://www.imdb.com/title/tt0320244/?ref_=fn_tt_tt_1" TargetMode="External"/><Relationship Id="rId3715" Type="http://schemas.openxmlformats.org/officeDocument/2006/relationships/hyperlink" Target="http://www.imdb.com/title/tt0935075/?ref_=fn_tt_tt_1" TargetMode="External"/><Relationship Id="rId3714" Type="http://schemas.openxmlformats.org/officeDocument/2006/relationships/hyperlink" Target="http://www.imdb.com/title/tt1216491/?ref_=fn_tt_tt_1" TargetMode="External"/><Relationship Id="rId3713" Type="http://schemas.openxmlformats.org/officeDocument/2006/relationships/hyperlink" Target="http://www.imdb.com/title/tt0102307/?ref_=fn_tt_tt_1" TargetMode="External"/><Relationship Id="rId3712" Type="http://schemas.openxmlformats.org/officeDocument/2006/relationships/hyperlink" Target="http://www.imdb.com/title/tt0361862/?ref_=fn_tt_tt_1" TargetMode="External"/><Relationship Id="rId3711" Type="http://schemas.openxmlformats.org/officeDocument/2006/relationships/hyperlink" Target="http://www.imdb.com/title/tt0120906/?ref_=fn_tt_tt_1" TargetMode="External"/><Relationship Id="rId3710" Type="http://schemas.openxmlformats.org/officeDocument/2006/relationships/hyperlink" Target="http://www.imdb.com/title/tt1531663/?ref_=fn_tt_tt_1" TargetMode="External"/><Relationship Id="rId371" Type="http://schemas.openxmlformats.org/officeDocument/2006/relationships/hyperlink" Target="http://www.imdb.com/title/tt0338094/?ref_=fn_tt_tt_1" TargetMode="External"/><Relationship Id="rId3709" Type="http://schemas.openxmlformats.org/officeDocument/2006/relationships/hyperlink" Target="http://www.imdb.com/title/tt4337690/?ref_=fn_tt_tt_1" TargetMode="External"/><Relationship Id="rId3708" Type="http://schemas.openxmlformats.org/officeDocument/2006/relationships/hyperlink" Target="http://www.imdb.com/title/tt0110005/?ref_=fn_tt_tt_1" TargetMode="External"/><Relationship Id="rId3707" Type="http://schemas.openxmlformats.org/officeDocument/2006/relationships/hyperlink" Target="http://www.imdb.com/title/tt0084171/?ref_=fn_tt_tt_1" TargetMode="External"/><Relationship Id="rId3706" Type="http://schemas.openxmlformats.org/officeDocument/2006/relationships/hyperlink" Target="http://www.imdb.com/title/tt0914797/?ref_=fn_tt_tt_1" TargetMode="External"/><Relationship Id="rId3705" Type="http://schemas.openxmlformats.org/officeDocument/2006/relationships/hyperlink" Target="http://www.imdb.com/title/tt1588337/?ref_=fn_tt_tt_1" TargetMode="External"/><Relationship Id="rId3704" Type="http://schemas.openxmlformats.org/officeDocument/2006/relationships/hyperlink" Target="http://www.imdb.com/title/tt0120255/?ref_=fn_tt_tt_1" TargetMode="External"/><Relationship Id="rId3703" Type="http://schemas.openxmlformats.org/officeDocument/2006/relationships/hyperlink" Target="http://www.imdb.com/title/tt1529567/?ref_=fn_tt_tt_1" TargetMode="External"/><Relationship Id="rId3702" Type="http://schemas.openxmlformats.org/officeDocument/2006/relationships/hyperlink" Target="http://www.imdb.com/title/tt0415949/?ref_=fn_tt_tt_1" TargetMode="External"/><Relationship Id="rId3701" Type="http://schemas.openxmlformats.org/officeDocument/2006/relationships/hyperlink" Target="http://www.imdb.com/title/tt1182345/?ref_=fn_tt_tt_1" TargetMode="External"/><Relationship Id="rId3700" Type="http://schemas.openxmlformats.org/officeDocument/2006/relationships/hyperlink" Target="http://www.imdb.com/title/tt0227005/?ref_=fn_tt_tt_1" TargetMode="External"/><Relationship Id="rId370" Type="http://schemas.openxmlformats.org/officeDocument/2006/relationships/hyperlink" Target="http://www.imdb.com/title/tt0212720/?ref_=fn_tt_tt_1" TargetMode="External"/><Relationship Id="rId37" Type="http://schemas.openxmlformats.org/officeDocument/2006/relationships/hyperlink" Target="http://www.imdb.com/title/tt1055369/?ref_=fn_tt_tt_1" TargetMode="External"/><Relationship Id="rId3699" Type="http://schemas.openxmlformats.org/officeDocument/2006/relationships/hyperlink" Target="http://www.imdb.com/title/tt0064116/?ref_=fn_tt_tt_1" TargetMode="External"/><Relationship Id="rId3698" Type="http://schemas.openxmlformats.org/officeDocument/2006/relationships/hyperlink" Target="http://www.imdb.com/title/tt0120831/?ref_=fn_tt_tt_1" TargetMode="External"/><Relationship Id="rId3697" Type="http://schemas.openxmlformats.org/officeDocument/2006/relationships/hyperlink" Target="http://www.imdb.com/title/tt0456554/?ref_=fn_tt_tt_1" TargetMode="External"/><Relationship Id="rId3696" Type="http://schemas.openxmlformats.org/officeDocument/2006/relationships/hyperlink" Target="http://www.imdb.com/title/tt0098546/?ref_=fn_tt_tt_1" TargetMode="External"/><Relationship Id="rId3695" Type="http://schemas.openxmlformats.org/officeDocument/2006/relationships/hyperlink" Target="http://www.imdb.com/title/tt0077572/?ref_=fn_tt_tt_1" TargetMode="External"/><Relationship Id="rId3694" Type="http://schemas.openxmlformats.org/officeDocument/2006/relationships/hyperlink" Target="http://www.imdb.com/title/tt0245120/?ref_=fn_tt_tt_1" TargetMode="External"/><Relationship Id="rId3693" Type="http://schemas.openxmlformats.org/officeDocument/2006/relationships/hyperlink" Target="http://www.imdb.com/title/tt0075147/?ref_=fn_tt_tt_1" TargetMode="External"/><Relationship Id="rId3692" Type="http://schemas.openxmlformats.org/officeDocument/2006/relationships/hyperlink" Target="http://www.imdb.com/title/tt0338135/?ref_=fn_tt_tt_1" TargetMode="External"/><Relationship Id="rId3691" Type="http://schemas.openxmlformats.org/officeDocument/2006/relationships/hyperlink" Target="http://www.imdb.com/title/tt0332375/?ref_=fn_tt_tt_1" TargetMode="External"/><Relationship Id="rId3690" Type="http://schemas.openxmlformats.org/officeDocument/2006/relationships/hyperlink" Target="http://www.imdb.com/title/tt0259974/?ref_=fn_tt_tt_1" TargetMode="External"/><Relationship Id="rId369" Type="http://schemas.openxmlformats.org/officeDocument/2006/relationships/hyperlink" Target="http://www.imdb.com/title/tt2120120/?ref_=fn_tt_tt_1" TargetMode="External"/><Relationship Id="rId3689" Type="http://schemas.openxmlformats.org/officeDocument/2006/relationships/hyperlink" Target="http://www.imdb.com/title/tt4871980/?ref_=fn_tt_tt_1" TargetMode="External"/><Relationship Id="rId3688" Type="http://schemas.openxmlformats.org/officeDocument/2006/relationships/hyperlink" Target="http://www.imdb.com/title/tt0022879/?ref_=fn_tt_tt_1" TargetMode="External"/><Relationship Id="rId3687" Type="http://schemas.openxmlformats.org/officeDocument/2006/relationships/hyperlink" Target="http://www.imdb.com/title/tt0795438/?ref_=fn_tt_tt_1" TargetMode="External"/><Relationship Id="rId3686" Type="http://schemas.openxmlformats.org/officeDocument/2006/relationships/hyperlink" Target="http://www.imdb.com/title/tt4667094/?ref_=fn_tt_tt_1" TargetMode="External"/><Relationship Id="rId3685" Type="http://schemas.openxmlformats.org/officeDocument/2006/relationships/hyperlink" Target="http://www.imdb.com/title/tt0053290/?ref_=fn_tt_tt_1" TargetMode="External"/><Relationship Id="rId3684" Type="http://schemas.openxmlformats.org/officeDocument/2006/relationships/hyperlink" Target="http://www.imdb.com/title/tt0083630/?ref_=fn_tt_tt_1" TargetMode="External"/><Relationship Id="rId3683" Type="http://schemas.openxmlformats.org/officeDocument/2006/relationships/hyperlink" Target="http://www.imdb.com/title/tt1781922/?ref_=fn_tt_tt_1" TargetMode="External"/><Relationship Id="rId3682" Type="http://schemas.openxmlformats.org/officeDocument/2006/relationships/hyperlink" Target="http://www.imdb.com/title/tt0862846/?ref_=fn_tt_tt_1" TargetMode="External"/><Relationship Id="rId3681" Type="http://schemas.openxmlformats.org/officeDocument/2006/relationships/hyperlink" Target="http://www.imdb.com/title/tt1772240/?ref_=fn_tt_tt_1" TargetMode="External"/><Relationship Id="rId3680" Type="http://schemas.openxmlformats.org/officeDocument/2006/relationships/hyperlink" Target="http://www.imdb.com/title/tt0085862/?ref_=fn_tt_tt_1" TargetMode="External"/><Relationship Id="rId368" Type="http://schemas.openxmlformats.org/officeDocument/2006/relationships/hyperlink" Target="http://www.imdb.com/title/tt0960144/?ref_=fn_tt_tt_1" TargetMode="External"/><Relationship Id="rId3679" Type="http://schemas.openxmlformats.org/officeDocument/2006/relationships/hyperlink" Target="http://www.imdb.com/title/tt0083833/?ref_=fn_tt_tt_1" TargetMode="External"/><Relationship Id="rId3678" Type="http://schemas.openxmlformats.org/officeDocument/2006/relationships/hyperlink" Target="http://www.imdb.com/title/tt0090655/?ref_=fn_tt_tt_1" TargetMode="External"/><Relationship Id="rId3677" Type="http://schemas.openxmlformats.org/officeDocument/2006/relationships/hyperlink" Target="http://www.imdb.com/title/tt0095271/?ref_=fn_tt_tt_1" TargetMode="External"/><Relationship Id="rId3676" Type="http://schemas.openxmlformats.org/officeDocument/2006/relationships/hyperlink" Target="http://www.imdb.com/title/tt0116905/?ref_=fn_tt_tt_1" TargetMode="External"/><Relationship Id="rId3675" Type="http://schemas.openxmlformats.org/officeDocument/2006/relationships/hyperlink" Target="http://www.imdb.com/title/tt1045655/?ref_=fn_tt_tt_1" TargetMode="External"/><Relationship Id="rId3674" Type="http://schemas.openxmlformats.org/officeDocument/2006/relationships/hyperlink" Target="http://www.imdb.com/title/tt0365748/?ref_=fn_tt_tt_1" TargetMode="External"/><Relationship Id="rId3673" Type="http://schemas.openxmlformats.org/officeDocument/2006/relationships/hyperlink" Target="http://www.imdb.com/title/tt0245574/?ref_=fn_tt_tt_1" TargetMode="External"/><Relationship Id="rId3672" Type="http://schemas.openxmlformats.org/officeDocument/2006/relationships/hyperlink" Target="http://www.imdb.com/title/tt0113253/?ref_=fn_tt_tt_1" TargetMode="External"/><Relationship Id="rId3671" Type="http://schemas.openxmlformats.org/officeDocument/2006/relationships/hyperlink" Target="http://www.imdb.com/title/tt2101441/?ref_=fn_tt_tt_1" TargetMode="External"/><Relationship Id="rId3670" Type="http://schemas.openxmlformats.org/officeDocument/2006/relationships/hyperlink" Target="http://www.imdb.com/title/tt0259446/?ref_=fn_tt_tt_1" TargetMode="External"/><Relationship Id="rId367" Type="http://schemas.openxmlformats.org/officeDocument/2006/relationships/hyperlink" Target="http://www.imdb.com/title/tt0985699/?ref_=fn_tt_tt_1" TargetMode="External"/><Relationship Id="rId3669" Type="http://schemas.openxmlformats.org/officeDocument/2006/relationships/hyperlink" Target="http://www.imdb.com/title/tt0097388/?ref_=fn_tt_tt_1" TargetMode="External"/><Relationship Id="rId3668" Type="http://schemas.openxmlformats.org/officeDocument/2006/relationships/hyperlink" Target="http://www.imdb.com/title/tt0082817/?ref_=fn_tt_tt_1" TargetMode="External"/><Relationship Id="rId3667" Type="http://schemas.openxmlformats.org/officeDocument/2006/relationships/hyperlink" Target="http://www.imdb.com/title/tt0046949/?ref_=fn_tt_tt_1" TargetMode="External"/><Relationship Id="rId3666" Type="http://schemas.openxmlformats.org/officeDocument/2006/relationships/hyperlink" Target="http://www.imdb.com/title/tt3316960/?ref_=fn_tt_tt_1" TargetMode="External"/><Relationship Id="rId3665" Type="http://schemas.openxmlformats.org/officeDocument/2006/relationships/hyperlink" Target="http://www.imdb.com/title/tt0119080/?ref_=fn_tt_tt_1" TargetMode="External"/><Relationship Id="rId3664" Type="http://schemas.openxmlformats.org/officeDocument/2006/relationships/hyperlink" Target="http://www.imdb.com/title/tt2205401/?ref_=fn_tt_tt_1" TargetMode="External"/><Relationship Id="rId3663" Type="http://schemas.openxmlformats.org/officeDocument/2006/relationships/hyperlink" Target="http://www.imdb.com/title/tt2870612/?ref_=fn_tt_tt_1" TargetMode="External"/><Relationship Id="rId3662" Type="http://schemas.openxmlformats.org/officeDocument/2006/relationships/hyperlink" Target="http://www.imdb.com/title/tt0119905/?ref_=fn_tt_tt_1" TargetMode="External"/><Relationship Id="rId3661" Type="http://schemas.openxmlformats.org/officeDocument/2006/relationships/hyperlink" Target="http://www.imdb.com/title/tt3499096/?ref_=fn_tt_tt_1" TargetMode="External"/><Relationship Id="rId3660" Type="http://schemas.openxmlformats.org/officeDocument/2006/relationships/hyperlink" Target="http://www.imdb.com/title/tt1637706/?ref_=fn_tt_tt_1" TargetMode="External"/><Relationship Id="rId366" Type="http://schemas.openxmlformats.org/officeDocument/2006/relationships/hyperlink" Target="http://www.imdb.com/title/tt2974918/?ref_=fn_tt_tt_1" TargetMode="External"/><Relationship Id="rId3659" Type="http://schemas.openxmlformats.org/officeDocument/2006/relationships/hyperlink" Target="http://www.imdb.com/title/tt0082766/?ref_=fn_tt_tt_1" TargetMode="External"/><Relationship Id="rId3658" Type="http://schemas.openxmlformats.org/officeDocument/2006/relationships/hyperlink" Target="http://www.imdb.com/title/tt0118632/?ref_=fn_tt_tt_1" TargetMode="External"/><Relationship Id="rId3657" Type="http://schemas.openxmlformats.org/officeDocument/2006/relationships/hyperlink" Target="http://www.imdb.com/title/tt0187819/?ref_=fn_tt_tt_1" TargetMode="External"/><Relationship Id="rId3656" Type="http://schemas.openxmlformats.org/officeDocument/2006/relationships/hyperlink" Target="http://www.imdb.com/title/tt0084296/?ref_=fn_tt_tt_1" TargetMode="External"/><Relationship Id="rId3655" Type="http://schemas.openxmlformats.org/officeDocument/2006/relationships/hyperlink" Target="http://www.imdb.com/title/tt0102065/?ref_=fn_tt_tt_1" TargetMode="External"/><Relationship Id="rId3654" Type="http://schemas.openxmlformats.org/officeDocument/2006/relationships/hyperlink" Target="http://www.imdb.com/title/tt1727388/?ref_=fn_tt_tt_1" TargetMode="External"/><Relationship Id="rId3653" Type="http://schemas.openxmlformats.org/officeDocument/2006/relationships/hyperlink" Target="http://www.imdb.com/title/tt0249462/?ref_=fn_tt_tt_1" TargetMode="External"/><Relationship Id="rId3652" Type="http://schemas.openxmlformats.org/officeDocument/2006/relationships/hyperlink" Target="http://www.imdb.com/title/tt0424345/?ref_=fn_tt_tt_1" TargetMode="External"/><Relationship Id="rId3651" Type="http://schemas.openxmlformats.org/officeDocument/2006/relationships/hyperlink" Target="http://www.imdb.com/title/tt2388715/?ref_=fn_tt_tt_1" TargetMode="External"/><Relationship Id="rId3650" Type="http://schemas.openxmlformats.org/officeDocument/2006/relationships/hyperlink" Target="http://www.imdb.com/title/tt0209144/?ref_=fn_tt_tt_1" TargetMode="External"/><Relationship Id="rId365" Type="http://schemas.openxmlformats.org/officeDocument/2006/relationships/hyperlink" Target="http://www.imdb.com/title/tt0230011/?ref_=fn_tt_tt_1" TargetMode="External"/><Relationship Id="rId3649" Type="http://schemas.openxmlformats.org/officeDocument/2006/relationships/hyperlink" Target="http://www.imdb.com/title/tt2918436/?ref_=fn_tt_tt_1" TargetMode="External"/><Relationship Id="rId3648" Type="http://schemas.openxmlformats.org/officeDocument/2006/relationships/hyperlink" Target="http://www.imdb.com/title/tt0790636/?ref_=fn_tt_tt_1" TargetMode="External"/><Relationship Id="rId3647" Type="http://schemas.openxmlformats.org/officeDocument/2006/relationships/hyperlink" Target="http://www.imdb.com/title/tt0080678/?ref_=fn_tt_tt_1" TargetMode="External"/><Relationship Id="rId3646" Type="http://schemas.openxmlformats.org/officeDocument/2006/relationships/hyperlink" Target="http://www.imdb.com/title/tt2473682/?ref_=fn_tt_tt_1" TargetMode="External"/><Relationship Id="rId3645" Type="http://schemas.openxmlformats.org/officeDocument/2006/relationships/hyperlink" Target="http://www.imdb.com/title/tt0046672/?ref_=fn_tt_tt_1" TargetMode="External"/><Relationship Id="rId3644" Type="http://schemas.openxmlformats.org/officeDocument/2006/relationships/hyperlink" Target="http://www.imdb.com/title/tt0340855/?ref_=fn_tt_tt_1" TargetMode="External"/><Relationship Id="rId3643" Type="http://schemas.openxmlformats.org/officeDocument/2006/relationships/hyperlink" Target="http://www.imdb.com/title/tt0101917/?ref_=fn_tt_tt_1" TargetMode="External"/><Relationship Id="rId3642" Type="http://schemas.openxmlformats.org/officeDocument/2006/relationships/hyperlink" Target="http://www.imdb.com/title/tt0072081/?ref_=fn_tt_tt_1" TargetMode="External"/><Relationship Id="rId3641" Type="http://schemas.openxmlformats.org/officeDocument/2006/relationships/hyperlink" Target="http://www.imdb.com/title/tt0046247/?ref_=fn_tt_tt_1" TargetMode="External"/><Relationship Id="rId3640" Type="http://schemas.openxmlformats.org/officeDocument/2006/relationships/hyperlink" Target="http://www.imdb.com/title/tt2109184/?ref_=fn_tt_tt_1" TargetMode="External"/><Relationship Id="rId364" Type="http://schemas.openxmlformats.org/officeDocument/2006/relationships/hyperlink" Target="http://www.imdb.com/title/tt2638144/?ref_=fn_tt_tt_1" TargetMode="External"/><Relationship Id="rId3639" Type="http://schemas.openxmlformats.org/officeDocument/2006/relationships/hyperlink" Target="http://www.imdb.com/title/tt2378281/?ref_=fn_tt_tt_1" TargetMode="External"/><Relationship Id="rId3638" Type="http://schemas.openxmlformats.org/officeDocument/2006/relationships/hyperlink" Target="http://www.imdb.com/title/tt0093629/?ref_=fn_tt_tt_1" TargetMode="External"/><Relationship Id="rId3637" Type="http://schemas.openxmlformats.org/officeDocument/2006/relationships/hyperlink" Target="http://www.imdb.com/title/tt1204977/?ref_=fn_tt_tt_1" TargetMode="External"/><Relationship Id="rId3636" Type="http://schemas.openxmlformats.org/officeDocument/2006/relationships/hyperlink" Target="http://www.imdb.com/title/tt1778304/?ref_=fn_tt_tt_1" TargetMode="External"/><Relationship Id="rId3635" Type="http://schemas.openxmlformats.org/officeDocument/2006/relationships/hyperlink" Target="http://www.imdb.com/title/tt4786282/?ref_=fn_tt_tt_1" TargetMode="External"/><Relationship Id="rId3634" Type="http://schemas.openxmlformats.org/officeDocument/2006/relationships/hyperlink" Target="http://www.imdb.com/title/tt0322802/?ref_=fn_tt_tt_1" TargetMode="External"/><Relationship Id="rId3633" Type="http://schemas.openxmlformats.org/officeDocument/2006/relationships/hyperlink" Target="http://www.imdb.com/title/tt1179933/?ref_=fn_tt_tt_1" TargetMode="External"/><Relationship Id="rId3632" Type="http://schemas.openxmlformats.org/officeDocument/2006/relationships/hyperlink" Target="http://www.imdb.com/title/tt0432348/?ref_=fn_tt_tt_1" TargetMode="External"/><Relationship Id="rId3631" Type="http://schemas.openxmlformats.org/officeDocument/2006/relationships/hyperlink" Target="http://www.imdb.com/title/tt2226417/?ref_=fn_tt_tt_1" TargetMode="External"/><Relationship Id="rId3630" Type="http://schemas.openxmlformats.org/officeDocument/2006/relationships/hyperlink" Target="http://www.imdb.com/title/tt1618430/?ref_=fn_tt_tt_1" TargetMode="External"/><Relationship Id="rId363" Type="http://schemas.openxmlformats.org/officeDocument/2006/relationships/hyperlink" Target="http://www.imdb.com/title/tt0988045/?ref_=fn_tt_tt_1" TargetMode="External"/><Relationship Id="rId3629" Type="http://schemas.openxmlformats.org/officeDocument/2006/relationships/hyperlink" Target="http://www.imdb.com/title/tt0081534/?ref_=fn_tt_tt_1" TargetMode="External"/><Relationship Id="rId3628" Type="http://schemas.openxmlformats.org/officeDocument/2006/relationships/hyperlink" Target="http://www.imdb.com/title/tt2667960/?ref_=fn_tt_tt_1" TargetMode="External"/><Relationship Id="rId3627" Type="http://schemas.openxmlformats.org/officeDocument/2006/relationships/hyperlink" Target="http://www.imdb.com/title/tt0384488/?ref_=fn_tt_tt_1" TargetMode="External"/><Relationship Id="rId3626" Type="http://schemas.openxmlformats.org/officeDocument/2006/relationships/hyperlink" Target="http://www.imdb.com/title/tt1525366/?ref_=fn_tt_tt_1" TargetMode="External"/><Relationship Id="rId3625" Type="http://schemas.openxmlformats.org/officeDocument/2006/relationships/hyperlink" Target="http://www.imdb.com/title/tt1614989/?ref_=fn_tt_tt_1" TargetMode="External"/><Relationship Id="rId3624" Type="http://schemas.openxmlformats.org/officeDocument/2006/relationships/hyperlink" Target="http://www.imdb.com/title/tt0202559/?ref_=fn_tt_tt_1" TargetMode="External"/><Relationship Id="rId3623" Type="http://schemas.openxmlformats.org/officeDocument/2006/relationships/hyperlink" Target="http://www.imdb.com/title/tt0811106/?ref_=fn_tt_tt_1" TargetMode="External"/><Relationship Id="rId3622" Type="http://schemas.openxmlformats.org/officeDocument/2006/relationships/hyperlink" Target="http://www.imdb.com/title/tt1251743/?ref_=fn_tt_tt_1" TargetMode="External"/><Relationship Id="rId3621" Type="http://schemas.openxmlformats.org/officeDocument/2006/relationships/hyperlink" Target="http://www.imdb.com/title/tt3297554/?ref_=fn_tt_tt_1" TargetMode="External"/><Relationship Id="rId3620" Type="http://schemas.openxmlformats.org/officeDocument/2006/relationships/hyperlink" Target="http://www.imdb.com/title/tt0405508/?ref_=fn_tt_tt_1" TargetMode="External"/><Relationship Id="rId362" Type="http://schemas.openxmlformats.org/officeDocument/2006/relationships/hyperlink" Target="http://www.imdb.com/title/tt0112864/?ref_=fn_tt_tt_1" TargetMode="External"/><Relationship Id="rId3619" Type="http://schemas.openxmlformats.org/officeDocument/2006/relationships/hyperlink" Target="http://www.imdb.com/title/tt2914838/?ref_=fn_tt_tt_1" TargetMode="External"/><Relationship Id="rId3618" Type="http://schemas.openxmlformats.org/officeDocument/2006/relationships/hyperlink" Target="http://www.imdb.com/title/tt0290673/?ref_=fn_tt_tt_1" TargetMode="External"/><Relationship Id="rId3617" Type="http://schemas.openxmlformats.org/officeDocument/2006/relationships/hyperlink" Target="http://www.imdb.com/title/tt1508675/?ref_=fn_tt_tt_1" TargetMode="External"/><Relationship Id="rId3616" Type="http://schemas.openxmlformats.org/officeDocument/2006/relationships/hyperlink" Target="http://www.imdb.com/title/tt0242508/?ref_=fn_tt_tt_1" TargetMode="External"/><Relationship Id="rId3615" Type="http://schemas.openxmlformats.org/officeDocument/2006/relationships/hyperlink" Target="http://www.imdb.com/title/tt0097216/?ref_=fn_tt_tt_1" TargetMode="External"/><Relationship Id="rId3614" Type="http://schemas.openxmlformats.org/officeDocument/2006/relationships/hyperlink" Target="http://www.imdb.com/title/tt0335563/?ref_=fn_tt_tt_1" TargetMode="External"/><Relationship Id="rId3613" Type="http://schemas.openxmlformats.org/officeDocument/2006/relationships/hyperlink" Target="http://www.imdb.com/title/tt0330602/?ref_=fn_tt_tt_1" TargetMode="External"/><Relationship Id="rId3612" Type="http://schemas.openxmlformats.org/officeDocument/2006/relationships/hyperlink" Target="http://www.imdb.com/title/tt0372824/?ref_=fn_tt_tt_1" TargetMode="External"/><Relationship Id="rId3611" Type="http://schemas.openxmlformats.org/officeDocument/2006/relationships/hyperlink" Target="http://www.imdb.com/title/tt0080771/?ref_=fn_tt_tt_1" TargetMode="External"/><Relationship Id="rId3610" Type="http://schemas.openxmlformats.org/officeDocument/2006/relationships/hyperlink" Target="http://www.imdb.com/title/tt0280778/?ref_=fn_tt_tt_1" TargetMode="External"/><Relationship Id="rId361" Type="http://schemas.openxmlformats.org/officeDocument/2006/relationships/hyperlink" Target="http://www.imdb.com/title/tt1568346/?ref_=fn_tt_tt_1" TargetMode="External"/><Relationship Id="rId3609" Type="http://schemas.openxmlformats.org/officeDocument/2006/relationships/hyperlink" Target="http://www.imdb.com/title/tt0162346/?ref_=fn_tt_tt_1" TargetMode="External"/><Relationship Id="rId3608" Type="http://schemas.openxmlformats.org/officeDocument/2006/relationships/hyperlink" Target="http://www.imdb.com/title/tt0068699/?ref_=fn_tt_tt_1" TargetMode="External"/><Relationship Id="rId3607" Type="http://schemas.openxmlformats.org/officeDocument/2006/relationships/hyperlink" Target="http://www.imdb.com/title/tt2229499/?ref_=fn_tt_tt_1" TargetMode="External"/><Relationship Id="rId3606" Type="http://schemas.openxmlformats.org/officeDocument/2006/relationships/hyperlink" Target="http://www.imdb.com/title/tt0117631/?ref_=fn_tt_tt_1" TargetMode="External"/><Relationship Id="rId3605" Type="http://schemas.openxmlformats.org/officeDocument/2006/relationships/hyperlink" Target="http://www.imdb.com/title/tt0422093/?ref_=fn_tt_tt_1" TargetMode="External"/><Relationship Id="rId3604" Type="http://schemas.openxmlformats.org/officeDocument/2006/relationships/hyperlink" Target="http://www.imdb.com/title/tt0082158/?ref_=fn_tt_tt_1" TargetMode="External"/><Relationship Id="rId3603" Type="http://schemas.openxmlformats.org/officeDocument/2006/relationships/hyperlink" Target="http://www.imdb.com/title/tt0070735/?ref_=fn_tt_tt_1" TargetMode="External"/><Relationship Id="rId3602" Type="http://schemas.openxmlformats.org/officeDocument/2006/relationships/hyperlink" Target="http://www.imdb.com/title/tt1303803/?ref_=fn_tt_tt_1" TargetMode="External"/><Relationship Id="rId3601" Type="http://schemas.openxmlformats.org/officeDocument/2006/relationships/hyperlink" Target="http://www.imdb.com/title/tt1245112/?ref_=fn_tt_tt_1" TargetMode="External"/><Relationship Id="rId3600" Type="http://schemas.openxmlformats.org/officeDocument/2006/relationships/hyperlink" Target="http://www.imdb.com/title/tt2166214/?ref_=fn_tt_tt_1" TargetMode="External"/><Relationship Id="rId360" Type="http://schemas.openxmlformats.org/officeDocument/2006/relationships/hyperlink" Target="http://www.imdb.com/title/tt0942385/?ref_=fn_tt_tt_1" TargetMode="External"/><Relationship Id="rId36" Type="http://schemas.openxmlformats.org/officeDocument/2006/relationships/hyperlink" Target="http://www.imdb.com/title/tt1453405/?ref_=fn_tt_tt_1" TargetMode="External"/><Relationship Id="rId3599" Type="http://schemas.openxmlformats.org/officeDocument/2006/relationships/hyperlink" Target="http://www.imdb.com/title/tt0473024/?ref_=fn_tt_tt_1" TargetMode="External"/><Relationship Id="rId3598" Type="http://schemas.openxmlformats.org/officeDocument/2006/relationships/hyperlink" Target="http://www.imdb.com/title/tt0286179/?ref_=fn_tt_tt_1" TargetMode="External"/><Relationship Id="rId3597" Type="http://schemas.openxmlformats.org/officeDocument/2006/relationships/hyperlink" Target="http://www.imdb.com/title/tt0286499/?ref_=fn_tt_tt_1" TargetMode="External"/><Relationship Id="rId3596" Type="http://schemas.openxmlformats.org/officeDocument/2006/relationships/hyperlink" Target="http://www.imdb.com/title/tt1220617/?ref_=fn_tt_tt_1" TargetMode="External"/><Relationship Id="rId3595" Type="http://schemas.openxmlformats.org/officeDocument/2006/relationships/hyperlink" Target="http://www.imdb.com/title/tt0120210/?ref_=fn_tt_tt_1" TargetMode="External"/><Relationship Id="rId3594" Type="http://schemas.openxmlformats.org/officeDocument/2006/relationships/hyperlink" Target="http://www.imdb.com/title/tt0427954/?ref_=fn_tt_tt_1" TargetMode="External"/><Relationship Id="rId3593" Type="http://schemas.openxmlformats.org/officeDocument/2006/relationships/hyperlink" Target="http://www.imdb.com/title/tt1772408/?ref_=fn_tt_tt_1" TargetMode="External"/><Relationship Id="rId3592" Type="http://schemas.openxmlformats.org/officeDocument/2006/relationships/hyperlink" Target="http://www.imdb.com/title/tt0059825/?ref_=fn_tt_tt_1" TargetMode="External"/><Relationship Id="rId3591" Type="http://schemas.openxmlformats.org/officeDocument/2006/relationships/hyperlink" Target="http://www.imdb.com/title/tt0938305/?ref_=fn_tt_tt_1" TargetMode="External"/><Relationship Id="rId3590" Type="http://schemas.openxmlformats.org/officeDocument/2006/relationships/hyperlink" Target="http://www.imdb.com/title/tt0795441/?ref_=fn_tt_tt_1" TargetMode="External"/><Relationship Id="rId359" Type="http://schemas.openxmlformats.org/officeDocument/2006/relationships/hyperlink" Target="http://www.imdb.com/title/tt0120762/?ref_=fn_tt_tt_1" TargetMode="External"/><Relationship Id="rId3589" Type="http://schemas.openxmlformats.org/officeDocument/2006/relationships/hyperlink" Target="http://www.imdb.com/title/tt2182972/?ref_=fn_tt_tt_1" TargetMode="External"/><Relationship Id="rId3588" Type="http://schemas.openxmlformats.org/officeDocument/2006/relationships/hyperlink" Target="http://www.imdb.com/title/tt0283900/?ref_=fn_tt_tt_1" TargetMode="External"/><Relationship Id="rId3587" Type="http://schemas.openxmlformats.org/officeDocument/2006/relationships/hyperlink" Target="http://www.imdb.com/title/tt0086541/?ref_=fn_tt_tt_1" TargetMode="External"/><Relationship Id="rId3586" Type="http://schemas.openxmlformats.org/officeDocument/2006/relationships/hyperlink" Target="http://www.imdb.com/title/tt1366312/?ref_=fn_tt_tt_1" TargetMode="External"/><Relationship Id="rId3585" Type="http://schemas.openxmlformats.org/officeDocument/2006/relationships/hyperlink" Target="http://www.imdb.com/title/tt1575694/?ref_=fn_tt_tt_1" TargetMode="External"/><Relationship Id="rId3584" Type="http://schemas.openxmlformats.org/officeDocument/2006/relationships/hyperlink" Target="http://www.imdb.com/title/tt1014774/?ref_=fn_tt_tt_1" TargetMode="External"/><Relationship Id="rId3583" Type="http://schemas.openxmlformats.org/officeDocument/2006/relationships/hyperlink" Target="http://www.imdb.com/title/tt1667310/?ref_=fn_tt_tt_1" TargetMode="External"/><Relationship Id="rId3582" Type="http://schemas.openxmlformats.org/officeDocument/2006/relationships/hyperlink" Target="http://www.imdb.com/title/tt1281374/?ref_=fn_tt_tt_1" TargetMode="External"/><Relationship Id="rId3581" Type="http://schemas.openxmlformats.org/officeDocument/2006/relationships/hyperlink" Target="http://www.imdb.com/title/tt0110490/?ref_=fn_tt_tt_1" TargetMode="External"/><Relationship Id="rId3580" Type="http://schemas.openxmlformats.org/officeDocument/2006/relationships/hyperlink" Target="http://www.imdb.com/title/tt0331811/?ref_=fn_tt_tt_1" TargetMode="External"/><Relationship Id="rId358" Type="http://schemas.openxmlformats.org/officeDocument/2006/relationships/hyperlink" Target="http://www.imdb.com/title/tt0407887/?ref_=fn_tt_tt_1" TargetMode="External"/><Relationship Id="rId3579" Type="http://schemas.openxmlformats.org/officeDocument/2006/relationships/hyperlink" Target="http://www.imdb.com/title/tt0841119/?ref_=fn_tt_tt_1" TargetMode="External"/><Relationship Id="rId3578" Type="http://schemas.openxmlformats.org/officeDocument/2006/relationships/hyperlink" Target="http://www.imdb.com/title/tt0976247/?ref_=fn_tt_tt_1" TargetMode="External"/><Relationship Id="rId3577" Type="http://schemas.openxmlformats.org/officeDocument/2006/relationships/hyperlink" Target="http://www.imdb.com/title/tt0076245/?ref_=fn_tt_tt_1" TargetMode="External"/><Relationship Id="rId3576" Type="http://schemas.openxmlformats.org/officeDocument/2006/relationships/hyperlink" Target="http://www.imdb.com/title/tt0246134/?ref_=fn_tt_tt_1" TargetMode="External"/><Relationship Id="rId3575" Type="http://schemas.openxmlformats.org/officeDocument/2006/relationships/hyperlink" Target="http://www.imdb.com/title/tt0457308/?ref_=fn_tt_tt_1" TargetMode="External"/><Relationship Id="rId3574" Type="http://schemas.openxmlformats.org/officeDocument/2006/relationships/hyperlink" Target="http://www.imdb.com/title/tt1541995/?ref_=fn_tt_tt_1" TargetMode="External"/><Relationship Id="rId3573" Type="http://schemas.openxmlformats.org/officeDocument/2006/relationships/hyperlink" Target="http://www.imdb.com/title/tt1226232/?ref_=fn_tt_tt_1" TargetMode="External"/><Relationship Id="rId3572" Type="http://schemas.openxmlformats.org/officeDocument/2006/relationships/hyperlink" Target="http://www.imdb.com/title/tt0322289/?ref_=fn_tt_tt_1" TargetMode="External"/><Relationship Id="rId3571" Type="http://schemas.openxmlformats.org/officeDocument/2006/relationships/hyperlink" Target="http://www.imdb.com/title/tt1130964/?ref_=fn_tt_tt_1" TargetMode="External"/><Relationship Id="rId3570" Type="http://schemas.openxmlformats.org/officeDocument/2006/relationships/hyperlink" Target="http://www.imdb.com/title/tt0101412/?ref_=fn_tt_tt_1" TargetMode="External"/><Relationship Id="rId357" Type="http://schemas.openxmlformats.org/officeDocument/2006/relationships/hyperlink" Target="http://www.imdb.com/title/tt0160127/?ref_=fn_tt_tt_1" TargetMode="External"/><Relationship Id="rId3569" Type="http://schemas.openxmlformats.org/officeDocument/2006/relationships/hyperlink" Target="http://www.imdb.com/title/tt0300214/?ref_=fn_tt_tt_1" TargetMode="External"/><Relationship Id="rId3568" Type="http://schemas.openxmlformats.org/officeDocument/2006/relationships/hyperlink" Target="http://www.imdb.com/title/tt0079240/?ref_=fn_tt_tt_1" TargetMode="External"/><Relationship Id="rId3567" Type="http://schemas.openxmlformats.org/officeDocument/2006/relationships/hyperlink" Target="http://www.imdb.com/title/tt1082886/?ref_=fn_tt_tt_1" TargetMode="External"/><Relationship Id="rId3566" Type="http://schemas.openxmlformats.org/officeDocument/2006/relationships/hyperlink" Target="http://www.imdb.com/title/tt0065214/?ref_=fn_tt_tt_1" TargetMode="External"/><Relationship Id="rId3565" Type="http://schemas.openxmlformats.org/officeDocument/2006/relationships/hyperlink" Target="http://www.imdb.com/title/tt0270259/?ref_=fn_tt_tt_1" TargetMode="External"/><Relationship Id="rId3564" Type="http://schemas.openxmlformats.org/officeDocument/2006/relationships/hyperlink" Target="http://www.imdb.com/title/tt0234354/?ref_=fn_tt_tt_1" TargetMode="External"/><Relationship Id="rId3563" Type="http://schemas.openxmlformats.org/officeDocument/2006/relationships/hyperlink" Target="http://www.imdb.com/title/tt0323944/?ref_=fn_tt_tt_1" TargetMode="External"/><Relationship Id="rId3562" Type="http://schemas.openxmlformats.org/officeDocument/2006/relationships/hyperlink" Target="http://www.imdb.com/title/tt3432552/?ref_=fn_tt_tt_1" TargetMode="External"/><Relationship Id="rId3561" Type="http://schemas.openxmlformats.org/officeDocument/2006/relationships/hyperlink" Target="http://www.imdb.com/title/tt0107750/?ref_=fn_tt_tt_1" TargetMode="External"/><Relationship Id="rId3560" Type="http://schemas.openxmlformats.org/officeDocument/2006/relationships/hyperlink" Target="http://www.imdb.com/title/tt0248845/?ref_=fn_tt_tt_1" TargetMode="External"/><Relationship Id="rId356" Type="http://schemas.openxmlformats.org/officeDocument/2006/relationships/hyperlink" Target="http://www.imdb.com/title/tt0359950/?ref_=fn_tt_tt_1" TargetMode="External"/><Relationship Id="rId3559" Type="http://schemas.openxmlformats.org/officeDocument/2006/relationships/hyperlink" Target="http://www.imdb.com/title/tt0412253/?ref_=fn_tt_tt_1" TargetMode="External"/><Relationship Id="rId3558" Type="http://schemas.openxmlformats.org/officeDocument/2006/relationships/hyperlink" Target="http://www.imdb.com/title/tt0145893/?ref_=fn_tt_tt_1" TargetMode="External"/><Relationship Id="rId3557" Type="http://schemas.openxmlformats.org/officeDocument/2006/relationships/hyperlink" Target="http://www.imdb.com/title/tt2870708/?ref_=fn_tt_tt_1" TargetMode="External"/><Relationship Id="rId3556" Type="http://schemas.openxmlformats.org/officeDocument/2006/relationships/hyperlink" Target="http://www.imdb.com/title/tt1151922/?ref_=fn_tt_tt_1" TargetMode="External"/><Relationship Id="rId3555" Type="http://schemas.openxmlformats.org/officeDocument/2006/relationships/hyperlink" Target="http://www.imdb.com/title/tt0147004/?ref_=fn_tt_tt_1" TargetMode="External"/><Relationship Id="rId3554" Type="http://schemas.openxmlformats.org/officeDocument/2006/relationships/hyperlink" Target="http://www.imdb.com/title/tt0159097/?ref_=fn_tt_tt_1" TargetMode="External"/><Relationship Id="rId3553" Type="http://schemas.openxmlformats.org/officeDocument/2006/relationships/hyperlink" Target="http://www.imdb.com/title/tt0844671/?ref_=fn_tt_tt_1" TargetMode="External"/><Relationship Id="rId3552" Type="http://schemas.openxmlformats.org/officeDocument/2006/relationships/hyperlink" Target="http://www.imdb.com/title/tt1540133/?ref_=fn_tt_tt_1" TargetMode="External"/><Relationship Id="rId3551" Type="http://schemas.openxmlformats.org/officeDocument/2006/relationships/hyperlink" Target="http://www.imdb.com/title/tt1174730/?ref_=fn_tt_tt_1" TargetMode="External"/><Relationship Id="rId3550" Type="http://schemas.openxmlformats.org/officeDocument/2006/relationships/hyperlink" Target="http://www.imdb.com/title/tt1702425/?ref_=fn_tt_tt_1" TargetMode="External"/><Relationship Id="rId355" Type="http://schemas.openxmlformats.org/officeDocument/2006/relationships/hyperlink" Target="http://www.imdb.com/title/tt1080016/?ref_=fn_tt_tt_1" TargetMode="External"/><Relationship Id="rId3549" Type="http://schemas.openxmlformats.org/officeDocument/2006/relationships/hyperlink" Target="http://www.imdb.com/title/tt1840417/?ref_=fn_tt_tt_1" TargetMode="External"/><Relationship Id="rId3548" Type="http://schemas.openxmlformats.org/officeDocument/2006/relationships/hyperlink" Target="http://www.imdb.com/title/tt0137338/?ref_=fn_tt_tt_1" TargetMode="External"/><Relationship Id="rId3547" Type="http://schemas.openxmlformats.org/officeDocument/2006/relationships/hyperlink" Target="http://www.imdb.com/title/tt0183659/?ref_=fn_tt_tt_1" TargetMode="External"/><Relationship Id="rId3546" Type="http://schemas.openxmlformats.org/officeDocument/2006/relationships/hyperlink" Target="http://www.imdb.com/title/tt0996382/?ref_=fn_tt_tt_1" TargetMode="External"/><Relationship Id="rId3545" Type="http://schemas.openxmlformats.org/officeDocument/2006/relationships/hyperlink" Target="http://www.imdb.com/title/tt1704573/?ref_=fn_tt_tt_1" TargetMode="External"/><Relationship Id="rId3544" Type="http://schemas.openxmlformats.org/officeDocument/2006/relationships/hyperlink" Target="http://www.imdb.com/title/tt0097474/?ref_=fn_tt_tt_1" TargetMode="External"/><Relationship Id="rId3543" Type="http://schemas.openxmlformats.org/officeDocument/2006/relationships/hyperlink" Target="http://www.imdb.com/title/tt0455590/?ref_=fn_tt_tt_1" TargetMode="External"/><Relationship Id="rId3542" Type="http://schemas.openxmlformats.org/officeDocument/2006/relationships/hyperlink" Target="http://www.imdb.com/title/tt0114609/?ref_=fn_tt_tt_1" TargetMode="External"/><Relationship Id="rId3541" Type="http://schemas.openxmlformats.org/officeDocument/2006/relationships/hyperlink" Target="http://www.imdb.com/title/tt0120148/?ref_=fn_tt_tt_1" TargetMode="External"/><Relationship Id="rId3540" Type="http://schemas.openxmlformats.org/officeDocument/2006/relationships/hyperlink" Target="http://www.imdb.com/title/tt3910804/?ref_=fn_tt_tt_1" TargetMode="External"/><Relationship Id="rId354" Type="http://schemas.openxmlformats.org/officeDocument/2006/relationships/hyperlink" Target="http://www.imdb.com/title/tt0844471/?ref_=fn_tt_tt_1" TargetMode="External"/><Relationship Id="rId3539" Type="http://schemas.openxmlformats.org/officeDocument/2006/relationships/hyperlink" Target="http://www.imdb.com/title/tt0095690/?ref_=fn_tt_tt_1" TargetMode="External"/><Relationship Id="rId3538" Type="http://schemas.openxmlformats.org/officeDocument/2006/relationships/hyperlink" Target="http://www.imdb.com/title/tt0310281/?ref_=fn_tt_tt_1" TargetMode="External"/><Relationship Id="rId3537" Type="http://schemas.openxmlformats.org/officeDocument/2006/relationships/hyperlink" Target="http://www.imdb.com/title/tt0117786/?ref_=fn_tt_tt_1" TargetMode="External"/><Relationship Id="rId3536" Type="http://schemas.openxmlformats.org/officeDocument/2006/relationships/hyperlink" Target="http://www.imdb.com/title/tt0462244/?ref_=fn_tt_tt_1" TargetMode="External"/><Relationship Id="rId3535" Type="http://schemas.openxmlformats.org/officeDocument/2006/relationships/hyperlink" Target="http://www.imdb.com/title/tt0096054/?ref_=fn_tt_tt_1" TargetMode="External"/><Relationship Id="rId3534" Type="http://schemas.openxmlformats.org/officeDocument/2006/relationships/hyperlink" Target="http://www.imdb.com/title/tt0082340/?ref_=fn_tt_tt_1" TargetMode="External"/><Relationship Id="rId3533" Type="http://schemas.openxmlformats.org/officeDocument/2006/relationships/hyperlink" Target="http://www.imdb.com/title/tt0218839/?ref_=fn_tt_tt_1" TargetMode="External"/><Relationship Id="rId3532" Type="http://schemas.openxmlformats.org/officeDocument/2006/relationships/hyperlink" Target="http://www.imdb.com/title/tt0038499/?ref_=fn_tt_tt_1" TargetMode="External"/><Relationship Id="rId3531" Type="http://schemas.openxmlformats.org/officeDocument/2006/relationships/hyperlink" Target="http://www.imdb.com/title/tt1125849/?ref_=fn_tt_tt_1" TargetMode="External"/><Relationship Id="rId3530" Type="http://schemas.openxmlformats.org/officeDocument/2006/relationships/hyperlink" Target="http://www.imdb.com/title/tt0283111/?ref_=fn_tt_tt_1" TargetMode="External"/><Relationship Id="rId353" Type="http://schemas.openxmlformats.org/officeDocument/2006/relationships/hyperlink" Target="http://www.imdb.com/title/tt0161081/?ref_=fn_tt_tt_1" TargetMode="External"/><Relationship Id="rId3529" Type="http://schemas.openxmlformats.org/officeDocument/2006/relationships/hyperlink" Target="http://www.imdb.com/title/tt0097981/?ref_=fn_tt_tt_1" TargetMode="External"/><Relationship Id="rId3528" Type="http://schemas.openxmlformats.org/officeDocument/2006/relationships/hyperlink" Target="http://www.imdb.com/title/tt0114814/?ref_=fn_tt_tt_1" TargetMode="External"/><Relationship Id="rId3527" Type="http://schemas.openxmlformats.org/officeDocument/2006/relationships/hyperlink" Target="http://www.imdb.com/title/tt0161100/?ref_=fn_tt_tt_1" TargetMode="External"/><Relationship Id="rId3526" Type="http://schemas.openxmlformats.org/officeDocument/2006/relationships/hyperlink" Target="http://www.imdb.com/title/tt0250274/?ref_=fn_tt_tt_1" TargetMode="External"/><Relationship Id="rId3525" Type="http://schemas.openxmlformats.org/officeDocument/2006/relationships/hyperlink" Target="http://www.imdb.com/title/tt0080487/?ref_=fn_tt_tt_1" TargetMode="External"/><Relationship Id="rId3524" Type="http://schemas.openxmlformats.org/officeDocument/2006/relationships/hyperlink" Target="http://www.imdb.com/title/tt0055614/?ref_=fn_tt_tt_1" TargetMode="External"/><Relationship Id="rId3523" Type="http://schemas.openxmlformats.org/officeDocument/2006/relationships/hyperlink" Target="http://www.imdb.com/title/tt0081283/?ref_=fn_tt_tt_1" TargetMode="External"/><Relationship Id="rId3522" Type="http://schemas.openxmlformats.org/officeDocument/2006/relationships/hyperlink" Target="http://www.imdb.com/title/tt0058331/?ref_=fn_tt_tt_1" TargetMode="External"/><Relationship Id="rId3521" Type="http://schemas.openxmlformats.org/officeDocument/2006/relationships/hyperlink" Target="http://www.imdb.com/title/tt0064115/?ref_=fn_tt_tt_1" TargetMode="External"/><Relationship Id="rId3520" Type="http://schemas.openxmlformats.org/officeDocument/2006/relationships/hyperlink" Target="http://www.imdb.com/title/tt0361596/?ref_=fn_tt_tt_1" TargetMode="External"/><Relationship Id="rId352" Type="http://schemas.openxmlformats.org/officeDocument/2006/relationships/hyperlink" Target="http://www.imdb.com/title/tt0266915/?ref_=fn_tt_tt_1" TargetMode="External"/><Relationship Id="rId3519" Type="http://schemas.openxmlformats.org/officeDocument/2006/relationships/hyperlink" Target="http://www.imdb.com/title/tt0091763/?ref_=fn_tt_tt_1" TargetMode="External"/><Relationship Id="rId3518" Type="http://schemas.openxmlformats.org/officeDocument/2006/relationships/hyperlink" Target="http://www.imdb.com/title/tt0077631/?ref_=fn_tt_tt_1" TargetMode="External"/><Relationship Id="rId3517" Type="http://schemas.openxmlformats.org/officeDocument/2006/relationships/hyperlink" Target="http://www.imdb.com/title/tt0113749/?ref_=fn_tt_tt_1" TargetMode="External"/><Relationship Id="rId3516" Type="http://schemas.openxmlformats.org/officeDocument/2006/relationships/hyperlink" Target="http://www.imdb.com/title/tt2049116/?ref_=fn_tt_tt_1" TargetMode="External"/><Relationship Id="rId3515" Type="http://schemas.openxmlformats.org/officeDocument/2006/relationships/hyperlink" Target="http://www.imdb.com/title/tt0089907/?ref_=fn_tt_tt_1" TargetMode="External"/><Relationship Id="rId3514" Type="http://schemas.openxmlformats.org/officeDocument/2006/relationships/hyperlink" Target="http://www.imdb.com/title/tt1226271/?ref_=fn_tt_tt_1" TargetMode="External"/><Relationship Id="rId3513" Type="http://schemas.openxmlformats.org/officeDocument/2006/relationships/hyperlink" Target="http://www.imdb.com/title/tt0301357/?ref_=fn_tt_tt_1" TargetMode="External"/><Relationship Id="rId3512" Type="http://schemas.openxmlformats.org/officeDocument/2006/relationships/hyperlink" Target="http://www.imdb.com/title/tt0088247/?ref_=fn_tt_tt_1" TargetMode="External"/><Relationship Id="rId3511" Type="http://schemas.openxmlformats.org/officeDocument/2006/relationships/hyperlink" Target="http://www.imdb.com/title/tt0421082/?ref_=fn_tt_tt_1" TargetMode="External"/><Relationship Id="rId3510" Type="http://schemas.openxmlformats.org/officeDocument/2006/relationships/hyperlink" Target="http://www.imdb.com/title/tt1414378/?ref_=fn_tt_tt_1" TargetMode="External"/><Relationship Id="rId351" Type="http://schemas.openxmlformats.org/officeDocument/2006/relationships/hyperlink" Target="http://www.imdb.com/title/tt0477080/?ref_=fn_tt_tt_1" TargetMode="External"/><Relationship Id="rId3509" Type="http://schemas.openxmlformats.org/officeDocument/2006/relationships/hyperlink" Target="http://www.imdb.com/title/tt0790712/?ref_=fn_tt_tt_1" TargetMode="External"/><Relationship Id="rId3508" Type="http://schemas.openxmlformats.org/officeDocument/2006/relationships/hyperlink" Target="http://www.imdb.com/title/tt0168446/?ref_=fn_tt_tt_1" TargetMode="External"/><Relationship Id="rId3507" Type="http://schemas.openxmlformats.org/officeDocument/2006/relationships/hyperlink" Target="http://www.imdb.com/title/tt0359423/?ref_=fn_tt_tt_1" TargetMode="External"/><Relationship Id="rId3506" Type="http://schemas.openxmlformats.org/officeDocument/2006/relationships/hyperlink" Target="http://www.imdb.com/title/tt1869716/?ref_=fn_tt_tt_1" TargetMode="External"/><Relationship Id="rId3505" Type="http://schemas.openxmlformats.org/officeDocument/2006/relationships/hyperlink" Target="http://www.imdb.com/title/tt0457530/?ref_=fn_tt_tt_1" TargetMode="External"/><Relationship Id="rId3504" Type="http://schemas.openxmlformats.org/officeDocument/2006/relationships/hyperlink" Target="http://www.imdb.com/title/tt0375912/?ref_=fn_tt_tt_1" TargetMode="External"/><Relationship Id="rId3503" Type="http://schemas.openxmlformats.org/officeDocument/2006/relationships/hyperlink" Target="http://www.imdb.com/title/tt1723811/?ref_=fn_tt_tt_1" TargetMode="External"/><Relationship Id="rId3502" Type="http://schemas.openxmlformats.org/officeDocument/2006/relationships/hyperlink" Target="http://www.imdb.com/title/tt0161860/?ref_=fn_tt_tt_1" TargetMode="External"/><Relationship Id="rId3501" Type="http://schemas.openxmlformats.org/officeDocument/2006/relationships/hyperlink" Target="http://www.imdb.com/title/tt0200469/?ref_=fn_tt_tt_1" TargetMode="External"/><Relationship Id="rId3500" Type="http://schemas.openxmlformats.org/officeDocument/2006/relationships/hyperlink" Target="http://www.imdb.com/title/tt0066769/?ref_=fn_tt_tt_1" TargetMode="External"/><Relationship Id="rId350" Type="http://schemas.openxmlformats.org/officeDocument/2006/relationships/hyperlink" Target="http://www.imdb.com/title/tt0120363/?ref_=fn_tt_tt_1" TargetMode="External"/><Relationship Id="rId35" Type="http://schemas.openxmlformats.org/officeDocument/2006/relationships/hyperlink" Target="http://www.imdb.com/title/tt0376994/?ref_=fn_tt_tt_1" TargetMode="External"/><Relationship Id="rId3499" Type="http://schemas.openxmlformats.org/officeDocument/2006/relationships/hyperlink" Target="http://www.imdb.com/title/tt0436331/?ref_=fn_tt_tt_1" TargetMode="External"/><Relationship Id="rId3498" Type="http://schemas.openxmlformats.org/officeDocument/2006/relationships/hyperlink" Target="http://www.imdb.com/title/tt0139239/?ref_=fn_tt_tt_1" TargetMode="External"/><Relationship Id="rId3497" Type="http://schemas.openxmlformats.org/officeDocument/2006/relationships/hyperlink" Target="http://www.imdb.com/title/tt0106223/?ref_=fn_tt_tt_1" TargetMode="External"/><Relationship Id="rId3496" Type="http://schemas.openxmlformats.org/officeDocument/2006/relationships/hyperlink" Target="http://www.imdb.com/title/tt0080661/?ref_=fn_tt_tt_1" TargetMode="External"/><Relationship Id="rId3495" Type="http://schemas.openxmlformats.org/officeDocument/2006/relationships/hyperlink" Target="http://www.imdb.com/title/tt0082405/?ref_=fn_tt_tt_1" TargetMode="External"/><Relationship Id="rId3494" Type="http://schemas.openxmlformats.org/officeDocument/2006/relationships/hyperlink" Target="http://www.imdb.com/title/tt0093378/?ref_=fn_tt_tt_1" TargetMode="External"/><Relationship Id="rId3493" Type="http://schemas.openxmlformats.org/officeDocument/2006/relationships/hyperlink" Target="http://www.imdb.com/title/tt0101507/?ref_=fn_tt_tt_1" TargetMode="External"/><Relationship Id="rId3492" Type="http://schemas.openxmlformats.org/officeDocument/2006/relationships/hyperlink" Target="http://www.imdb.com/title/tt1148165/?ref_=fn_tt_tt_1" TargetMode="External"/><Relationship Id="rId3491" Type="http://schemas.openxmlformats.org/officeDocument/2006/relationships/hyperlink" Target="http://www.imdb.com/title/tt3322940/?ref_=fn_tt_tt_1" TargetMode="External"/><Relationship Id="rId3490" Type="http://schemas.openxmlformats.org/officeDocument/2006/relationships/hyperlink" Target="http://www.imdb.com/title/tt0861739/?ref_=fn_tt_tt_1" TargetMode="External"/><Relationship Id="rId349" Type="http://schemas.openxmlformats.org/officeDocument/2006/relationships/hyperlink" Target="http://www.imdb.com/title/tt0119654/?ref_=fn_tt_tt_1" TargetMode="External"/><Relationship Id="rId3489" Type="http://schemas.openxmlformats.org/officeDocument/2006/relationships/hyperlink" Target="http://www.imdb.com/title/tt1003034/?ref_=fn_tt_tt_1" TargetMode="External"/><Relationship Id="rId3488" Type="http://schemas.openxmlformats.org/officeDocument/2006/relationships/hyperlink" Target="http://www.imdb.com/title/tt0323807/?ref_=fn_tt_tt_1" TargetMode="External"/><Relationship Id="rId3487" Type="http://schemas.openxmlformats.org/officeDocument/2006/relationships/hyperlink" Target="http://www.imdb.com/title/tt1255953/?ref_=fn_tt_tt_1" TargetMode="External"/><Relationship Id="rId3486" Type="http://schemas.openxmlformats.org/officeDocument/2006/relationships/hyperlink" Target="http://www.imdb.com/title/tt1582507/?ref_=fn_tt_tt_1" TargetMode="External"/><Relationship Id="rId3485" Type="http://schemas.openxmlformats.org/officeDocument/2006/relationships/hyperlink" Target="http://www.imdb.com/title/tt0323939/?ref_=fn_tt_tt_1" TargetMode="External"/><Relationship Id="rId3484" Type="http://schemas.openxmlformats.org/officeDocument/2006/relationships/hyperlink" Target="http://www.imdb.com/title/tt0406650/?ref_=fn_tt_tt_1" TargetMode="External"/><Relationship Id="rId3483" Type="http://schemas.openxmlformats.org/officeDocument/2006/relationships/hyperlink" Target="http://www.imdb.com/title/tt0130444/?ref_=fn_tt_tt_1" TargetMode="External"/><Relationship Id="rId3482" Type="http://schemas.openxmlformats.org/officeDocument/2006/relationships/hyperlink" Target="http://www.imdb.com/title/tt3687310/?ref_=fn_tt_tt_1" TargetMode="External"/><Relationship Id="rId3481" Type="http://schemas.openxmlformats.org/officeDocument/2006/relationships/hyperlink" Target="http://www.imdb.com/title/tt4412528/?ref_=fn_tt_tt_1" TargetMode="External"/><Relationship Id="rId3480" Type="http://schemas.openxmlformats.org/officeDocument/2006/relationships/hyperlink" Target="http://www.imdb.com/title/tt0810900/?ref_=fn_tt_tt_1" TargetMode="External"/><Relationship Id="rId348" Type="http://schemas.openxmlformats.org/officeDocument/2006/relationships/hyperlink" Target="http://www.imdb.com/title/tt0814255/?ref_=fn_tt_tt_1" TargetMode="External"/><Relationship Id="rId3479" Type="http://schemas.openxmlformats.org/officeDocument/2006/relationships/hyperlink" Target="http://www.imdb.com/title/tt0106677/?ref_=fn_tt_tt_1" TargetMode="External"/><Relationship Id="rId3478" Type="http://schemas.openxmlformats.org/officeDocument/2006/relationships/hyperlink" Target="http://www.imdb.com/title/tt0942903/?ref_=fn_tt_tt_1" TargetMode="External"/><Relationship Id="rId3477" Type="http://schemas.openxmlformats.org/officeDocument/2006/relationships/hyperlink" Target="http://www.imdb.com/title/tt0089767/?ref_=fn_tt_tt_1" TargetMode="External"/><Relationship Id="rId3476" Type="http://schemas.openxmlformats.org/officeDocument/2006/relationships/hyperlink" Target="http://www.imdb.com/title/tt4061848/?ref_=fn_tt_tt_1" TargetMode="External"/><Relationship Id="rId3475" Type="http://schemas.openxmlformats.org/officeDocument/2006/relationships/hyperlink" Target="http://www.imdb.com/title/tt2243621/?ref_=fn_tt_tt_1" TargetMode="External"/><Relationship Id="rId3474" Type="http://schemas.openxmlformats.org/officeDocument/2006/relationships/hyperlink" Target="http://www.imdb.com/title/tt1756851/?ref_=fn_tt_tt_1" TargetMode="External"/><Relationship Id="rId3473" Type="http://schemas.openxmlformats.org/officeDocument/2006/relationships/hyperlink" Target="http://www.imdb.com/title/tt3469440/?ref_=fn_tt_tt_1" TargetMode="External"/><Relationship Id="rId3472" Type="http://schemas.openxmlformats.org/officeDocument/2006/relationships/hyperlink" Target="http://www.imdb.com/title/tt0144117/?ref_=fn_tt_tt_1" TargetMode="External"/><Relationship Id="rId3471" Type="http://schemas.openxmlformats.org/officeDocument/2006/relationships/hyperlink" Target="http://www.imdb.com/title/tt0419256/?ref_=fn_tt_tt_1" TargetMode="External"/><Relationship Id="rId3470" Type="http://schemas.openxmlformats.org/officeDocument/2006/relationships/hyperlink" Target="http://www.imdb.com/title/tt1106860/?ref_=fn_tt_tt_1" TargetMode="External"/><Relationship Id="rId347" Type="http://schemas.openxmlformats.org/officeDocument/2006/relationships/hyperlink" Target="http://www.imdb.com/title/tt0112760/?ref_=fn_tt_tt_1" TargetMode="External"/><Relationship Id="rId3469" Type="http://schemas.openxmlformats.org/officeDocument/2006/relationships/hyperlink" Target="http://www.imdb.com/title/tt2328813/?ref_=fn_tt_tt_1" TargetMode="External"/><Relationship Id="rId3468" Type="http://schemas.openxmlformats.org/officeDocument/2006/relationships/hyperlink" Target="http://www.imdb.com/title/tt1361313/?ref_=fn_tt_tt_1" TargetMode="External"/><Relationship Id="rId3467" Type="http://schemas.openxmlformats.org/officeDocument/2006/relationships/hyperlink" Target="http://www.imdb.com/title/tt1658801/?ref_=fn_tt_tt_1" TargetMode="External"/><Relationship Id="rId3466" Type="http://schemas.openxmlformats.org/officeDocument/2006/relationships/hyperlink" Target="http://www.imdb.com/title/tt0301390/?ref_=fn_tt_tt_1" TargetMode="External"/><Relationship Id="rId3465" Type="http://schemas.openxmlformats.org/officeDocument/2006/relationships/hyperlink" Target="http://www.imdb.com/title/tt0302674/?ref_=fn_tt_tt_1" TargetMode="External"/><Relationship Id="rId3464" Type="http://schemas.openxmlformats.org/officeDocument/2006/relationships/hyperlink" Target="http://www.imdb.com/title/tt2402105/?ref_=fn_tt_tt_1" TargetMode="External"/><Relationship Id="rId3463" Type="http://schemas.openxmlformats.org/officeDocument/2006/relationships/hyperlink" Target="http://www.imdb.com/title/tt1403177/?ref_=fn_tt_tt_1" TargetMode="External"/><Relationship Id="rId3462" Type="http://schemas.openxmlformats.org/officeDocument/2006/relationships/hyperlink" Target="http://www.imdb.com/title/tt0118836/?ref_=fn_tt_tt_1" TargetMode="External"/><Relationship Id="rId3461" Type="http://schemas.openxmlformats.org/officeDocument/2006/relationships/hyperlink" Target="http://www.imdb.com/title/tt1220628/?ref_=fn_tt_tt_1" TargetMode="External"/><Relationship Id="rId3460" Type="http://schemas.openxmlformats.org/officeDocument/2006/relationships/hyperlink" Target="http://www.imdb.com/title/tt1421051/?ref_=fn_tt_tt_1" TargetMode="External"/><Relationship Id="rId346" Type="http://schemas.openxmlformats.org/officeDocument/2006/relationships/hyperlink" Target="http://www.imdb.com/title/tt0317705/?ref_=fn_tt_tt_1" TargetMode="External"/><Relationship Id="rId3459" Type="http://schemas.openxmlformats.org/officeDocument/2006/relationships/hyperlink" Target="http://www.imdb.com/title/tt0108500/?ref_=fn_tt_tt_1" TargetMode="External"/><Relationship Id="rId3458" Type="http://schemas.openxmlformats.org/officeDocument/2006/relationships/hyperlink" Target="http://www.imdb.com/title/tt0076175/?ref_=fn_tt_tt_1" TargetMode="External"/><Relationship Id="rId3457" Type="http://schemas.openxmlformats.org/officeDocument/2006/relationships/hyperlink" Target="http://www.imdb.com/title/tt1121977/?ref_=fn_tt_tt_1" TargetMode="External"/><Relationship Id="rId3456" Type="http://schemas.openxmlformats.org/officeDocument/2006/relationships/hyperlink" Target="http://www.imdb.com/title/tt0085868/?ref_=fn_tt_tt_1" TargetMode="External"/><Relationship Id="rId3455" Type="http://schemas.openxmlformats.org/officeDocument/2006/relationships/hyperlink" Target="http://www.imdb.com/title/tt1034324/?ref_=fn_tt_tt_1" TargetMode="External"/><Relationship Id="rId3454" Type="http://schemas.openxmlformats.org/officeDocument/2006/relationships/hyperlink" Target="http://www.imdb.com/title/tt2739338/?ref_=fn_tt_tt_1" TargetMode="External"/><Relationship Id="rId3453" Type="http://schemas.openxmlformats.org/officeDocument/2006/relationships/hyperlink" Target="http://www.imdb.com/title/tt1242460/?ref_=fn_tt_tt_1" TargetMode="External"/><Relationship Id="rId3452" Type="http://schemas.openxmlformats.org/officeDocument/2006/relationships/hyperlink" Target="http://www.imdb.com/title/tt0432402/?ref_=fn_tt_tt_1" TargetMode="External"/><Relationship Id="rId3451" Type="http://schemas.openxmlformats.org/officeDocument/2006/relationships/hyperlink" Target="http://www.imdb.com/title/tt0298744/?ref_=fn_tt_tt_1" TargetMode="External"/><Relationship Id="rId3450" Type="http://schemas.openxmlformats.org/officeDocument/2006/relationships/hyperlink" Target="http://www.imdb.com/title/tt0160216/?ref_=fn_tt_tt_1" TargetMode="External"/><Relationship Id="rId345" Type="http://schemas.openxmlformats.org/officeDocument/2006/relationships/hyperlink" Target="http://www.imdb.com/title/tt0318974/?ref_=fn_tt_tt_1" TargetMode="External"/><Relationship Id="rId3449" Type="http://schemas.openxmlformats.org/officeDocument/2006/relationships/hyperlink" Target="http://www.imdb.com/title/tt1336617/?ref_=fn_tt_tt_1" TargetMode="External"/><Relationship Id="rId3448" Type="http://schemas.openxmlformats.org/officeDocument/2006/relationships/hyperlink" Target="http://www.imdb.com/title/tt1012804/?ref_=fn_tt_tt_1" TargetMode="External"/><Relationship Id="rId3447" Type="http://schemas.openxmlformats.org/officeDocument/2006/relationships/hyperlink" Target="http://www.imdb.com/title/tt0420332/?ref_=fn_tt_tt_1" TargetMode="External"/><Relationship Id="rId3446" Type="http://schemas.openxmlformats.org/officeDocument/2006/relationships/hyperlink" Target="http://www.imdb.com/title/tt0204993/?ref_=fn_tt_tt_1" TargetMode="External"/><Relationship Id="rId3445" Type="http://schemas.openxmlformats.org/officeDocument/2006/relationships/hyperlink" Target="http://www.imdb.com/title/tt0250371/?ref_=fn_tt_tt_1" TargetMode="External"/><Relationship Id="rId3444" Type="http://schemas.openxmlformats.org/officeDocument/2006/relationships/hyperlink" Target="http://www.imdb.com/title/tt1592154/?ref_=fn_tt_tt_1" TargetMode="External"/><Relationship Id="rId3443" Type="http://schemas.openxmlformats.org/officeDocument/2006/relationships/hyperlink" Target="http://www.imdb.com/title/tt0105459/?ref_=fn_tt_tt_1" TargetMode="External"/><Relationship Id="rId3442" Type="http://schemas.openxmlformats.org/officeDocument/2006/relationships/hyperlink" Target="http://www.imdb.com/title/tt0785077/?ref_=fn_tt_tt_1" TargetMode="External"/><Relationship Id="rId3441" Type="http://schemas.openxmlformats.org/officeDocument/2006/relationships/hyperlink" Target="http://www.imdb.com/title/tt0252444/?ref_=fn_tt_tt_1" TargetMode="External"/><Relationship Id="rId3440" Type="http://schemas.openxmlformats.org/officeDocument/2006/relationships/hyperlink" Target="http://www.imdb.com/title/tt0361411/?ref_=fn_tt_tt_1" TargetMode="External"/><Relationship Id="rId344" Type="http://schemas.openxmlformats.org/officeDocument/2006/relationships/hyperlink" Target="http://www.imdb.com/title/tt1606378/?ref_=fn_tt_tt_1" TargetMode="External"/><Relationship Id="rId3439" Type="http://schemas.openxmlformats.org/officeDocument/2006/relationships/hyperlink" Target="http://www.imdb.com/title/tt0125971/?ref_=fn_tt_tt_1" TargetMode="External"/><Relationship Id="rId3438" Type="http://schemas.openxmlformats.org/officeDocument/2006/relationships/hyperlink" Target="http://www.imdb.com/title/tt0095497/?ref_=fn_tt_tt_1" TargetMode="External"/><Relationship Id="rId3437" Type="http://schemas.openxmlformats.org/officeDocument/2006/relationships/hyperlink" Target="http://www.imdb.com/title/tt1315981/?ref_=fn_tt_tt_1" TargetMode="External"/><Relationship Id="rId3436" Type="http://schemas.openxmlformats.org/officeDocument/2006/relationships/hyperlink" Target="http://www.imdb.com/title/tt3125324/?ref_=fn_tt_tt_1" TargetMode="External"/><Relationship Id="rId3435" Type="http://schemas.openxmlformats.org/officeDocument/2006/relationships/hyperlink" Target="http://www.imdb.com/title/tt0098622/?ref_=fn_tt_tt_1" TargetMode="External"/><Relationship Id="rId3434" Type="http://schemas.openxmlformats.org/officeDocument/2006/relationships/hyperlink" Target="http://www.imdb.com/title/tt1194263/?ref_=fn_tt_tt_1" TargetMode="External"/><Relationship Id="rId3433" Type="http://schemas.openxmlformats.org/officeDocument/2006/relationships/hyperlink" Target="http://www.imdb.com/title/tt1019452/?ref_=fn_tt_tt_1" TargetMode="External"/><Relationship Id="rId3432" Type="http://schemas.openxmlformats.org/officeDocument/2006/relationships/hyperlink" Target="http://www.imdb.com/title/tt0072626/?ref_=fn_tt_tt_1" TargetMode="External"/><Relationship Id="rId3431" Type="http://schemas.openxmlformats.org/officeDocument/2006/relationships/hyperlink" Target="http://www.imdb.com/title/tt0251736/?ref_=fn_tt_tt_1" TargetMode="External"/><Relationship Id="rId3430" Type="http://schemas.openxmlformats.org/officeDocument/2006/relationships/hyperlink" Target="http://www.imdb.com/title/tt0160401/?ref_=fn_tt_tt_1" TargetMode="External"/><Relationship Id="rId343" Type="http://schemas.openxmlformats.org/officeDocument/2006/relationships/hyperlink" Target="http://www.imdb.com/title/tt0416236/?ref_=fn_tt_tt_1" TargetMode="External"/><Relationship Id="rId3429" Type="http://schemas.openxmlformats.org/officeDocument/2006/relationships/hyperlink" Target="http://www.imdb.com/title/tt3850214/?ref_=fn_tt_tt_1" TargetMode="External"/><Relationship Id="rId3428" Type="http://schemas.openxmlformats.org/officeDocument/2006/relationships/hyperlink" Target="http://www.imdb.com/title/tt0118276/?ref_=fn_tt_tt_1" TargetMode="External"/><Relationship Id="rId3427" Type="http://schemas.openxmlformats.org/officeDocument/2006/relationships/hyperlink" Target="http://www.imdb.com/title/tt0395584/?ref_=fn_tt_tt_1" TargetMode="External"/><Relationship Id="rId3426" Type="http://schemas.openxmlformats.org/officeDocument/2006/relationships/hyperlink" Target="http://www.imdb.com/title/tt0116324/?ref_=fn_tt_tt_1" TargetMode="External"/><Relationship Id="rId3425" Type="http://schemas.openxmlformats.org/officeDocument/2006/relationships/hyperlink" Target="http://www.imdb.com/title/tt2752758/?ref_=fn_tt_tt_1" TargetMode="External"/><Relationship Id="rId3424" Type="http://schemas.openxmlformats.org/officeDocument/2006/relationships/hyperlink" Target="http://www.imdb.com/title/tt0245280/?ref_=fn_tt_tt_1" TargetMode="External"/><Relationship Id="rId3423" Type="http://schemas.openxmlformats.org/officeDocument/2006/relationships/hyperlink" Target="http://www.imdb.com/title/tt0435625/?ref_=fn_tt_tt_1" TargetMode="External"/><Relationship Id="rId3422" Type="http://schemas.openxmlformats.org/officeDocument/2006/relationships/hyperlink" Target="http://www.imdb.com/title/tt0094612/?ref_=fn_tt_tt_1" TargetMode="External"/><Relationship Id="rId3421" Type="http://schemas.openxmlformats.org/officeDocument/2006/relationships/hyperlink" Target="http://www.imdb.com/title/tt0071807/?ref_=fn_tt_tt_1" TargetMode="External"/><Relationship Id="rId3420" Type="http://schemas.openxmlformats.org/officeDocument/2006/relationships/hyperlink" Target="http://www.imdb.com/title/tt0074812/?ref_=fn_tt_tt_1" TargetMode="External"/><Relationship Id="rId342" Type="http://schemas.openxmlformats.org/officeDocument/2006/relationships/hyperlink" Target="http://www.imdb.com/title/tt1318514/?ref_=fn_tt_tt_1" TargetMode="External"/><Relationship Id="rId3419" Type="http://schemas.openxmlformats.org/officeDocument/2006/relationships/hyperlink" Target="http://www.imdb.com/title/tt2802850/?ref_=fn_tt_tt_1" TargetMode="External"/><Relationship Id="rId3418" Type="http://schemas.openxmlformats.org/officeDocument/2006/relationships/hyperlink" Target="http://www.imdb.com/title/tt0112851/?ref_=fn_tt_tt_1" TargetMode="External"/><Relationship Id="rId3417" Type="http://schemas.openxmlformats.org/officeDocument/2006/relationships/hyperlink" Target="http://www.imdb.com/title/tt0379725/?ref_=fn_tt_tt_1" TargetMode="External"/><Relationship Id="rId3416" Type="http://schemas.openxmlformats.org/officeDocument/2006/relationships/hyperlink" Target="http://www.imdb.com/title/tt0433383/?ref_=fn_tt_tt_1" TargetMode="External"/><Relationship Id="rId3415" Type="http://schemas.openxmlformats.org/officeDocument/2006/relationships/hyperlink" Target="http://www.imdb.com/title/tt1640484/?ref_=fn_tt_tt_1" TargetMode="External"/><Relationship Id="rId3414" Type="http://schemas.openxmlformats.org/officeDocument/2006/relationships/hyperlink" Target="http://www.imdb.com/title/tt0832266/?ref_=fn_tt_tt_1" TargetMode="External"/><Relationship Id="rId3413" Type="http://schemas.openxmlformats.org/officeDocument/2006/relationships/hyperlink" Target="http://www.imdb.com/title/tt0156812/?ref_=fn_tt_tt_1" TargetMode="External"/><Relationship Id="rId3412" Type="http://schemas.openxmlformats.org/officeDocument/2006/relationships/hyperlink" Target="http://www.imdb.com/title/tt0070328/?ref_=fn_tt_tt_1" TargetMode="External"/><Relationship Id="rId3411" Type="http://schemas.openxmlformats.org/officeDocument/2006/relationships/hyperlink" Target="http://www.imdb.com/title/tt0282209/?ref_=fn_tt_tt_1" TargetMode="External"/><Relationship Id="rId3410" Type="http://schemas.openxmlformats.org/officeDocument/2006/relationships/hyperlink" Target="http://www.imdb.com/title/tt1915581/?ref_=fn_tt_tt_1" TargetMode="External"/><Relationship Id="rId341" Type="http://schemas.openxmlformats.org/officeDocument/2006/relationships/hyperlink" Target="http://www.imdb.com/title/tt0163025/?ref_=fn_tt_tt_1" TargetMode="External"/><Relationship Id="rId3409" Type="http://schemas.openxmlformats.org/officeDocument/2006/relationships/hyperlink" Target="http://www.imdb.com/title/tt0107822/?ref_=fn_tt_tt_1" TargetMode="External"/><Relationship Id="rId3408" Type="http://schemas.openxmlformats.org/officeDocument/2006/relationships/hyperlink" Target="http://www.imdb.com/title/tt1022603/?ref_=fn_tt_tt_1" TargetMode="External"/><Relationship Id="rId3407" Type="http://schemas.openxmlformats.org/officeDocument/2006/relationships/hyperlink" Target="http://www.imdb.com/title/tt0085549/?ref_=fn_tt_tt_1" TargetMode="External"/><Relationship Id="rId3406" Type="http://schemas.openxmlformats.org/officeDocument/2006/relationships/hyperlink" Target="http://www.imdb.com/title/tt0068646/?ref_=fn_tt_tt_1" TargetMode="External"/><Relationship Id="rId3405" Type="http://schemas.openxmlformats.org/officeDocument/2006/relationships/hyperlink" Target="http://www.imdb.com/title/tt0066995/?ref_=fn_tt_tt_1" TargetMode="External"/><Relationship Id="rId3404" Type="http://schemas.openxmlformats.org/officeDocument/2006/relationships/hyperlink" Target="http://www.imdb.com/title/tt3488328/?ref_=fn_tt_tt_1" TargetMode="External"/><Relationship Id="rId3403" Type="http://schemas.openxmlformats.org/officeDocument/2006/relationships/hyperlink" Target="http://www.imdb.com/title/tt0467406/?ref_=fn_tt_tt_1" TargetMode="External"/><Relationship Id="rId3402" Type="http://schemas.openxmlformats.org/officeDocument/2006/relationships/hyperlink" Target="http://www.imdb.com/title/tt0203408/?ref_=fn_tt_tt_1" TargetMode="External"/><Relationship Id="rId3401" Type="http://schemas.openxmlformats.org/officeDocument/2006/relationships/hyperlink" Target="http://www.imdb.com/title/tt1289406/?ref_=fn_tt_tt_1" TargetMode="External"/><Relationship Id="rId3400" Type="http://schemas.openxmlformats.org/officeDocument/2006/relationships/hyperlink" Target="http://www.imdb.com/title/tt1974419/?ref_=fn_tt_tt_1" TargetMode="External"/><Relationship Id="rId340" Type="http://schemas.openxmlformats.org/officeDocument/2006/relationships/hyperlink" Target="http://www.imdb.com/title/tt2209764/?ref_=fn_tt_tt_1" TargetMode="External"/><Relationship Id="rId34" Type="http://schemas.openxmlformats.org/officeDocument/2006/relationships/hyperlink" Target="http://www.imdb.com/title/tt1014759/?ref_=fn_tt_tt_1" TargetMode="External"/><Relationship Id="rId3399" Type="http://schemas.openxmlformats.org/officeDocument/2006/relationships/hyperlink" Target="http://www.imdb.com/title/tt1063669/?ref_=fn_tt_tt_1" TargetMode="External"/><Relationship Id="rId3398" Type="http://schemas.openxmlformats.org/officeDocument/2006/relationships/hyperlink" Target="http://www.imdb.com/title/tt1085779/?ref_=fn_tt_tt_1" TargetMode="External"/><Relationship Id="rId3397" Type="http://schemas.openxmlformats.org/officeDocument/2006/relationships/hyperlink" Target="http://www.imdb.com/title/tt0808417/?ref_=fn_tt_tt_1" TargetMode="External"/><Relationship Id="rId3396" Type="http://schemas.openxmlformats.org/officeDocument/2006/relationships/hyperlink" Target="http://www.imdb.com/title/tt0833553/?ref_=fn_tt_tt_1" TargetMode="External"/><Relationship Id="rId3395" Type="http://schemas.openxmlformats.org/officeDocument/2006/relationships/hyperlink" Target="http://www.imdb.com/title/tt2147225/?ref_=fn_tt_tt_1" TargetMode="External"/><Relationship Id="rId3394" Type="http://schemas.openxmlformats.org/officeDocument/2006/relationships/hyperlink" Target="http://www.imdb.com/title/tt1602098/?ref_=fn_tt_tt_1" TargetMode="External"/><Relationship Id="rId3393" Type="http://schemas.openxmlformats.org/officeDocument/2006/relationships/hyperlink" Target="http://www.imdb.com/title/tt1772422/?ref_=fn_tt_tt_1" TargetMode="External"/><Relationship Id="rId3392" Type="http://schemas.openxmlformats.org/officeDocument/2006/relationships/hyperlink" Target="http://www.imdb.com/title/tt0345061/?ref_=fn_tt_tt_1" TargetMode="External"/><Relationship Id="rId3391" Type="http://schemas.openxmlformats.org/officeDocument/2006/relationships/hyperlink" Target="http://www.imdb.com/title/tt0269329/?ref_=fn_tt_tt_1" TargetMode="External"/><Relationship Id="rId3390" Type="http://schemas.openxmlformats.org/officeDocument/2006/relationships/hyperlink" Target="http://www.imdb.com/title/tt0319829/?ref_=fn_tt_tt_1" TargetMode="External"/><Relationship Id="rId339" Type="http://schemas.openxmlformats.org/officeDocument/2006/relationships/hyperlink" Target="http://www.imdb.com/title/tt0146316/?ref_=fn_tt_tt_1" TargetMode="External"/><Relationship Id="rId3389" Type="http://schemas.openxmlformats.org/officeDocument/2006/relationships/hyperlink" Target="http://www.imdb.com/title/tt1225822/?ref_=fn_tt_tt_1" TargetMode="External"/><Relationship Id="rId3388" Type="http://schemas.openxmlformats.org/officeDocument/2006/relationships/hyperlink" Target="http://www.imdb.com/title/tt0410454/?ref_=fn_tt_tt_1" TargetMode="External"/><Relationship Id="rId3387" Type="http://schemas.openxmlformats.org/officeDocument/2006/relationships/hyperlink" Target="http://www.imdb.com/title/tt1001562/?ref_=fn_tt_tt_1" TargetMode="External"/><Relationship Id="rId3386" Type="http://schemas.openxmlformats.org/officeDocument/2006/relationships/hyperlink" Target="http://www.imdb.com/title/tt0263734/?ref_=fn_tt_tt_1" TargetMode="External"/><Relationship Id="rId3385" Type="http://schemas.openxmlformats.org/officeDocument/2006/relationships/hyperlink" Target="http://www.imdb.com/title/tt0272207/?ref_=fn_tt_tt_1" TargetMode="External"/><Relationship Id="rId3384" Type="http://schemas.openxmlformats.org/officeDocument/2006/relationships/hyperlink" Target="http://www.imdb.com/title/tt0087428/?ref_=fn_tt_tt_1" TargetMode="External"/><Relationship Id="rId3383" Type="http://schemas.openxmlformats.org/officeDocument/2006/relationships/hyperlink" Target="http://www.imdb.com/title/tt0338427/?ref_=fn_tt_tt_1" TargetMode="External"/><Relationship Id="rId3382" Type="http://schemas.openxmlformats.org/officeDocument/2006/relationships/hyperlink" Target="http://www.imdb.com/title/tt1174732/?ref_=fn_tt_tt_1" TargetMode="External"/><Relationship Id="rId3381" Type="http://schemas.openxmlformats.org/officeDocument/2006/relationships/hyperlink" Target="http://www.imdb.com/title/tt0498353/?ref_=fn_tt_tt_1" TargetMode="External"/><Relationship Id="rId3380" Type="http://schemas.openxmlformats.org/officeDocument/2006/relationships/hyperlink" Target="http://www.imdb.com/title/tt0427944/?ref_=fn_tt_tt_1" TargetMode="External"/><Relationship Id="rId338" Type="http://schemas.openxmlformats.org/officeDocument/2006/relationships/hyperlink" Target="http://www.imdb.com/title/tt1121096/?ref_=fn_tt_tt_1" TargetMode="External"/><Relationship Id="rId3379" Type="http://schemas.openxmlformats.org/officeDocument/2006/relationships/hyperlink" Target="http://www.imdb.com/title/tt2936180/?ref_=fn_tt_tt_1" TargetMode="External"/><Relationship Id="rId3378" Type="http://schemas.openxmlformats.org/officeDocument/2006/relationships/hyperlink" Target="http://www.imdb.com/title/tt0113326/?ref_=fn_tt_tt_1" TargetMode="External"/><Relationship Id="rId3377" Type="http://schemas.openxmlformats.org/officeDocument/2006/relationships/hyperlink" Target="http://www.imdb.com/title/tt0120169/?ref_=fn_tt_tt_1" TargetMode="External"/><Relationship Id="rId3376" Type="http://schemas.openxmlformats.org/officeDocument/2006/relationships/hyperlink" Target="http://www.imdb.com/title/tt0097239/?ref_=fn_tt_tt_1" TargetMode="External"/><Relationship Id="rId3375" Type="http://schemas.openxmlformats.org/officeDocument/2006/relationships/hyperlink" Target="http://www.imdb.com/title/tt4060866/?ref_=fn_tt_tt_1" TargetMode="External"/><Relationship Id="rId3374" Type="http://schemas.openxmlformats.org/officeDocument/2006/relationships/hyperlink" Target="http://www.imdb.com/title/tt0094764/?ref_=fn_tt_tt_1" TargetMode="External"/><Relationship Id="rId3373" Type="http://schemas.openxmlformats.org/officeDocument/2006/relationships/hyperlink" Target="http://www.imdb.com/title/tt2628316/?ref_=fn_tt_tt_1" TargetMode="External"/><Relationship Id="rId3372" Type="http://schemas.openxmlformats.org/officeDocument/2006/relationships/hyperlink" Target="http://www.imdb.com/title/tt0324133/?ref_=fn_tt_tt_1" TargetMode="External"/><Relationship Id="rId3371" Type="http://schemas.openxmlformats.org/officeDocument/2006/relationships/hyperlink" Target="http://www.imdb.com/title/tt4196848/?ref_=fn_tt_tt_1" TargetMode="External"/><Relationship Id="rId3370" Type="http://schemas.openxmlformats.org/officeDocument/2006/relationships/hyperlink" Target="http://www.imdb.com/title/tt0421994/?ref_=fn_tt_tt_1" TargetMode="External"/><Relationship Id="rId337" Type="http://schemas.openxmlformats.org/officeDocument/2006/relationships/hyperlink" Target="http://www.imdb.com/title/tt0167261/?ref_=fn_tt_tt_1" TargetMode="External"/><Relationship Id="rId3369" Type="http://schemas.openxmlformats.org/officeDocument/2006/relationships/hyperlink" Target="http://www.imdb.com/title/tt2102502/?ref_=fn_tt_tt_1" TargetMode="External"/><Relationship Id="rId3368" Type="http://schemas.openxmlformats.org/officeDocument/2006/relationships/hyperlink" Target="http://www.imdb.com/title/tt2112277/?ref_=fn_tt_tt_1" TargetMode="External"/><Relationship Id="rId3367" Type="http://schemas.openxmlformats.org/officeDocument/2006/relationships/hyperlink" Target="http://www.imdb.com/title/tt0460505/?ref_=fn_tt_tt_1" TargetMode="External"/><Relationship Id="rId3366" Type="http://schemas.openxmlformats.org/officeDocument/2006/relationships/hyperlink" Target="http://www.imdb.com/title/tt0473188/?ref_=fn_tt_tt_1" TargetMode="External"/><Relationship Id="rId3365" Type="http://schemas.openxmlformats.org/officeDocument/2006/relationships/hyperlink" Target="http://www.imdb.com/title/tt0094625/?ref_=fn_tt_tt_1" TargetMode="External"/><Relationship Id="rId3364" Type="http://schemas.openxmlformats.org/officeDocument/2006/relationships/hyperlink" Target="http://www.imdb.com/title/tt2494384/?ref_=fn_tt_tt_1" TargetMode="External"/><Relationship Id="rId3363" Type="http://schemas.openxmlformats.org/officeDocument/2006/relationships/hyperlink" Target="http://www.imdb.com/title/tt0342272/?ref_=fn_tt_tt_1" TargetMode="External"/><Relationship Id="rId3362" Type="http://schemas.openxmlformats.org/officeDocument/2006/relationships/hyperlink" Target="http://www.imdb.com/title/tt0360323/?ref_=fn_tt_tt_1" TargetMode="External"/><Relationship Id="rId3361" Type="http://schemas.openxmlformats.org/officeDocument/2006/relationships/hyperlink" Target="http://www.imdb.com/title/tt1238834/?ref_=fn_tt_tt_1" TargetMode="External"/><Relationship Id="rId3360" Type="http://schemas.openxmlformats.org/officeDocument/2006/relationships/hyperlink" Target="http://www.imdb.com/title/tt0964539/?ref_=fn_tt_tt_1" TargetMode="External"/><Relationship Id="rId336" Type="http://schemas.openxmlformats.org/officeDocument/2006/relationships/hyperlink" Target="http://www.imdb.com/title/tt0167260/?ref_=fn_tt_tt_1" TargetMode="External"/><Relationship Id="rId3359" Type="http://schemas.openxmlformats.org/officeDocument/2006/relationships/hyperlink" Target="http://www.imdb.com/title/tt1235189/?ref_=fn_tt_tt_1" TargetMode="External"/><Relationship Id="rId3358" Type="http://schemas.openxmlformats.org/officeDocument/2006/relationships/hyperlink" Target="http://www.imdb.com/title/tt0373445/?ref_=fn_tt_tt_1" TargetMode="External"/><Relationship Id="rId3357" Type="http://schemas.openxmlformats.org/officeDocument/2006/relationships/hyperlink" Target="http://www.imdb.com/title/tt0457572/?ref_=fn_tt_tt_1" TargetMode="External"/><Relationship Id="rId3356" Type="http://schemas.openxmlformats.org/officeDocument/2006/relationships/hyperlink" Target="http://www.imdb.com/title/tt0119494/?ref_=fn_tt_tt_1" TargetMode="External"/><Relationship Id="rId3355" Type="http://schemas.openxmlformats.org/officeDocument/2006/relationships/hyperlink" Target="http://www.imdb.com/title/tt0314676/?ref_=fn_tt_tt_1" TargetMode="External"/><Relationship Id="rId3354" Type="http://schemas.openxmlformats.org/officeDocument/2006/relationships/hyperlink" Target="http://www.imdb.com/title/tt2241676/?ref_=fn_tt_tt_1" TargetMode="External"/><Relationship Id="rId3353" Type="http://schemas.openxmlformats.org/officeDocument/2006/relationships/hyperlink" Target="http://www.imdb.com/title/tt0283503/?ref_=fn_tt_tt_1" TargetMode="External"/><Relationship Id="rId3352" Type="http://schemas.openxmlformats.org/officeDocument/2006/relationships/hyperlink" Target="http://www.imdb.com/title/tt0398027/?ref_=fn_tt_tt_1" TargetMode="External"/><Relationship Id="rId3351" Type="http://schemas.openxmlformats.org/officeDocument/2006/relationships/hyperlink" Target="http://www.imdb.com/title/tt1980929/?ref_=fn_tt_tt_1" TargetMode="External"/><Relationship Id="rId3350" Type="http://schemas.openxmlformats.org/officeDocument/2006/relationships/hyperlink" Target="http://www.imdb.com/title/tt0485601/?ref_=fn_tt_tt_1" TargetMode="External"/><Relationship Id="rId335" Type="http://schemas.openxmlformats.org/officeDocument/2006/relationships/hyperlink" Target="http://www.imdb.com/title/tt0266543/?ref_=fn_tt_tt_1" TargetMode="External"/><Relationship Id="rId3349" Type="http://schemas.openxmlformats.org/officeDocument/2006/relationships/hyperlink" Target="http://www.imdb.com/title/tt0086582/?ref_=fn_tt_tt_1" TargetMode="External"/><Relationship Id="rId3348" Type="http://schemas.openxmlformats.org/officeDocument/2006/relationships/hyperlink" Target="http://www.imdb.com/title/tt0119937/?ref_=fn_tt_tt_1" TargetMode="External"/><Relationship Id="rId3347" Type="http://schemas.openxmlformats.org/officeDocument/2006/relationships/hyperlink" Target="http://www.imdb.com/title/tt0829098/?ref_=fn_tt_tt_1" TargetMode="External"/><Relationship Id="rId3346" Type="http://schemas.openxmlformats.org/officeDocument/2006/relationships/hyperlink" Target="http://www.imdb.com/title/tt1371155/?ref_=fn_tt_tt_1" TargetMode="External"/><Relationship Id="rId3345" Type="http://schemas.openxmlformats.org/officeDocument/2006/relationships/hyperlink" Target="http://www.imdb.com/title/tt0804497/?ref_=fn_tt_tt_1" TargetMode="External"/><Relationship Id="rId3344" Type="http://schemas.openxmlformats.org/officeDocument/2006/relationships/hyperlink" Target="http://www.imdb.com/title/tt0118863/?ref_=fn_tt_tt_1" TargetMode="External"/><Relationship Id="rId3343" Type="http://schemas.openxmlformats.org/officeDocument/2006/relationships/hyperlink" Target="http://www.imdb.com/title/tt0102915/?ref_=fn_tt_tt_1" TargetMode="External"/><Relationship Id="rId3342" Type="http://schemas.openxmlformats.org/officeDocument/2006/relationships/hyperlink" Target="http://www.imdb.com/title/tt0283832/?ref_=fn_tt_tt_1" TargetMode="External"/><Relationship Id="rId3341" Type="http://schemas.openxmlformats.org/officeDocument/2006/relationships/hyperlink" Target="http://www.imdb.com/title/tt1431181/?ref_=fn_tt_tt_1" TargetMode="External"/><Relationship Id="rId3340" Type="http://schemas.openxmlformats.org/officeDocument/2006/relationships/hyperlink" Target="http://www.imdb.com/title/tt2401878/?ref_=fn_tt_tt_1" TargetMode="External"/><Relationship Id="rId334" Type="http://schemas.openxmlformats.org/officeDocument/2006/relationships/hyperlink" Target="http://www.imdb.com/title/tt0380510/?ref_=fn_tt_tt_1" TargetMode="External"/><Relationship Id="rId3339" Type="http://schemas.openxmlformats.org/officeDocument/2006/relationships/hyperlink" Target="http://www.imdb.com/title/tt5016504/?ref_=fn_tt_tt_1" TargetMode="External"/><Relationship Id="rId3338" Type="http://schemas.openxmlformats.org/officeDocument/2006/relationships/hyperlink" Target="http://www.imdb.com/title/tt0104454/?ref_=fn_tt_tt_1" TargetMode="External"/><Relationship Id="rId3337" Type="http://schemas.openxmlformats.org/officeDocument/2006/relationships/hyperlink" Target="http://www.imdb.com/title/tt0206420/?ref_=fn_tt_tt_1" TargetMode="External"/><Relationship Id="rId3336" Type="http://schemas.openxmlformats.org/officeDocument/2006/relationships/hyperlink" Target="http://www.imdb.com/title/tt0165831/?ref_=fn_tt_tt_1" TargetMode="External"/><Relationship Id="rId3335" Type="http://schemas.openxmlformats.org/officeDocument/2006/relationships/hyperlink" Target="http://www.imdb.com/title/tt0117283/?ref_=fn_tt_tt_1" TargetMode="External"/><Relationship Id="rId3334" Type="http://schemas.openxmlformats.org/officeDocument/2006/relationships/hyperlink" Target="http://www.imdb.com/title/tt1604171/?ref_=fn_tt_tt_1" TargetMode="External"/><Relationship Id="rId3333" Type="http://schemas.openxmlformats.org/officeDocument/2006/relationships/hyperlink" Target="http://www.imdb.com/title/tt0189998/?ref_=fn_tt_tt_1" TargetMode="External"/><Relationship Id="rId3332" Type="http://schemas.openxmlformats.org/officeDocument/2006/relationships/hyperlink" Target="http://www.imdb.com/title/tt0110137/?ref_=fn_tt_tt_1" TargetMode="External"/><Relationship Id="rId3331" Type="http://schemas.openxmlformats.org/officeDocument/2006/relationships/hyperlink" Target="http://www.imdb.com/title/tt1282140/?ref_=fn_tt_tt_1" TargetMode="External"/><Relationship Id="rId3330" Type="http://schemas.openxmlformats.org/officeDocument/2006/relationships/hyperlink" Target="http://www.imdb.com/title/tt2390361/?ref_=fn_tt_tt_1" TargetMode="External"/><Relationship Id="rId333" Type="http://schemas.openxmlformats.org/officeDocument/2006/relationships/hyperlink" Target="http://www.imdb.com/title/tt1661199/?ref_=fn_tt_tt_1" TargetMode="External"/><Relationship Id="rId3329" Type="http://schemas.openxmlformats.org/officeDocument/2006/relationships/hyperlink" Target="http://www.imdb.com/title/tt0896923/?ref_=fn_tt_tt_1" TargetMode="External"/><Relationship Id="rId3328" Type="http://schemas.openxmlformats.org/officeDocument/2006/relationships/hyperlink" Target="http://www.imdb.com/title/tt1300851/?ref_=fn_tt_tt_1" TargetMode="External"/><Relationship Id="rId3327" Type="http://schemas.openxmlformats.org/officeDocument/2006/relationships/hyperlink" Target="http://www.imdb.com/title/tt0479647/?ref_=fn_tt_tt_1" TargetMode="External"/><Relationship Id="rId3326" Type="http://schemas.openxmlformats.org/officeDocument/2006/relationships/hyperlink" Target="http://www.imdb.com/title/tt0279113/?ref_=fn_tt_tt_1" TargetMode="External"/><Relationship Id="rId3325" Type="http://schemas.openxmlformats.org/officeDocument/2006/relationships/hyperlink" Target="http://www.imdb.com/title/tt0144084/?ref_=fn_tt_tt_1" TargetMode="External"/><Relationship Id="rId3324" Type="http://schemas.openxmlformats.org/officeDocument/2006/relationships/hyperlink" Target="http://www.imdb.com/title/tt1095174/?ref_=fn_tt_tt_1" TargetMode="External"/><Relationship Id="rId3323" Type="http://schemas.openxmlformats.org/officeDocument/2006/relationships/hyperlink" Target="http://www.imdb.com/title/tt0120693/?ref_=fn_tt_tt_1" TargetMode="External"/><Relationship Id="rId3322" Type="http://schemas.openxmlformats.org/officeDocument/2006/relationships/hyperlink" Target="http://www.imdb.com/title/tt0437800/?ref_=fn_tt_tt_1" TargetMode="External"/><Relationship Id="rId3321" Type="http://schemas.openxmlformats.org/officeDocument/2006/relationships/hyperlink" Target="http://www.imdb.com/title/tt0164114/?ref_=fn_tt_tt_1" TargetMode="External"/><Relationship Id="rId3320" Type="http://schemas.openxmlformats.org/officeDocument/2006/relationships/hyperlink" Target="http://www.imdb.com/title/tt0111686/?ref_=fn_tt_tt_1" TargetMode="External"/><Relationship Id="rId332" Type="http://schemas.openxmlformats.org/officeDocument/2006/relationships/hyperlink" Target="http://www.imdb.com/title/tt1667889/?ref_=fn_tt_tt_1" TargetMode="External"/><Relationship Id="rId3319" Type="http://schemas.openxmlformats.org/officeDocument/2006/relationships/hyperlink" Target="http://www.imdb.com/title/tt4474310/?ref_=fn_tt_tt_1" TargetMode="External"/><Relationship Id="rId3318" Type="http://schemas.openxmlformats.org/officeDocument/2006/relationships/hyperlink" Target="http://www.imdb.com/title/tt0064757/?ref_=fn_tt_tt_1" TargetMode="External"/><Relationship Id="rId3317" Type="http://schemas.openxmlformats.org/officeDocument/2006/relationships/hyperlink" Target="http://www.imdb.com/title/tt0107616/?ref_=fn_tt_tt_1" TargetMode="External"/><Relationship Id="rId3316" Type="http://schemas.openxmlformats.org/officeDocument/2006/relationships/hyperlink" Target="http://www.imdb.com/title/tt4254584/?ref_=fn_tt_tt_1" TargetMode="External"/><Relationship Id="rId3315" Type="http://schemas.openxmlformats.org/officeDocument/2006/relationships/hyperlink" Target="http://www.imdb.com/title/tt0082763/?ref_=fn_tt_tt_1" TargetMode="External"/><Relationship Id="rId3314" Type="http://schemas.openxmlformats.org/officeDocument/2006/relationships/hyperlink" Target="http://www.imdb.com/title/tt1800246/?ref_=fn_tt_tt_1" TargetMode="External"/><Relationship Id="rId3313" Type="http://schemas.openxmlformats.org/officeDocument/2006/relationships/hyperlink" Target="http://www.imdb.com/title/tt0482599/?ref_=fn_tt_tt_1" TargetMode="External"/><Relationship Id="rId3312" Type="http://schemas.openxmlformats.org/officeDocument/2006/relationships/hyperlink" Target="http://www.imdb.com/title/tt1306980/?ref_=fn_tt_tt_1" TargetMode="External"/><Relationship Id="rId3311" Type="http://schemas.openxmlformats.org/officeDocument/2006/relationships/hyperlink" Target="http://www.imdb.com/title/tt0117891/?ref_=fn_tt_tt_1" TargetMode="External"/><Relationship Id="rId3310" Type="http://schemas.openxmlformats.org/officeDocument/2006/relationships/hyperlink" Target="http://www.imdb.com/title/tt0297037/?ref_=fn_tt_tt_1" TargetMode="External"/><Relationship Id="rId331" Type="http://schemas.openxmlformats.org/officeDocument/2006/relationships/hyperlink" Target="http://www.imdb.com/title/tt0138749/?ref_=fn_tt_tt_1" TargetMode="External"/><Relationship Id="rId3309" Type="http://schemas.openxmlformats.org/officeDocument/2006/relationships/hyperlink" Target="http://www.imdb.com/title/tt0079116/?ref_=fn_tt_tt_1" TargetMode="External"/><Relationship Id="rId3308" Type="http://schemas.openxmlformats.org/officeDocument/2006/relationships/hyperlink" Target="http://www.imdb.com/title/tt0365957/?ref_=fn_tt_tt_1" TargetMode="External"/><Relationship Id="rId3307" Type="http://schemas.openxmlformats.org/officeDocument/2006/relationships/hyperlink" Target="http://www.imdb.com/title/tt0289043/?ref_=fn_tt_tt_1" TargetMode="External"/><Relationship Id="rId3306" Type="http://schemas.openxmlformats.org/officeDocument/2006/relationships/hyperlink" Target="http://www.imdb.com/title/tt0092005/?ref_=fn_tt_tt_1" TargetMode="External"/><Relationship Id="rId3305" Type="http://schemas.openxmlformats.org/officeDocument/2006/relationships/hyperlink" Target="http://www.imdb.com/title/tt0449059/?ref_=fn_tt_tt_1" TargetMode="External"/><Relationship Id="rId3304" Type="http://schemas.openxmlformats.org/officeDocument/2006/relationships/hyperlink" Target="http://www.imdb.com/title/tt0088161/?ref_=fn_tt_tt_1" TargetMode="External"/><Relationship Id="rId3303" Type="http://schemas.openxmlformats.org/officeDocument/2006/relationships/hyperlink" Target="http://www.imdb.com/title/tt0059742/?ref_=fn_tt_tt_1" TargetMode="External"/><Relationship Id="rId3302" Type="http://schemas.openxmlformats.org/officeDocument/2006/relationships/hyperlink" Target="http://www.imdb.com/title/tt0331953/?ref_=fn_tt_tt_1" TargetMode="External"/><Relationship Id="rId3301" Type="http://schemas.openxmlformats.org/officeDocument/2006/relationships/hyperlink" Target="http://www.imdb.com/title/tt2872718/?ref_=fn_tt_tt_1" TargetMode="External"/><Relationship Id="rId3300" Type="http://schemas.openxmlformats.org/officeDocument/2006/relationships/hyperlink" Target="http://www.imdb.com/title/tt0079588/?ref_=fn_tt_tt_1" TargetMode="External"/><Relationship Id="rId330" Type="http://schemas.openxmlformats.org/officeDocument/2006/relationships/hyperlink" Target="http://www.imdb.com/title/tt1261945/?ref_=fn_tt_tt_1" TargetMode="External"/><Relationship Id="rId33" Type="http://schemas.openxmlformats.org/officeDocument/2006/relationships/hyperlink" Target="http://www.imdb.com/title/tt1300854/?ref_=fn_tt_tt_1" TargetMode="External"/><Relationship Id="rId3299" Type="http://schemas.openxmlformats.org/officeDocument/2006/relationships/hyperlink" Target="http://www.imdb.com/title/tt0110912/?ref_=fn_tt_tt_1" TargetMode="External"/><Relationship Id="rId3298" Type="http://schemas.openxmlformats.org/officeDocument/2006/relationships/hyperlink" Target="http://www.imdb.com/title/tt0493264/?ref_=fn_tt_tt_1" TargetMode="External"/><Relationship Id="rId3297" Type="http://schemas.openxmlformats.org/officeDocument/2006/relationships/hyperlink" Target="http://www.imdb.com/title/tt0963194/?ref_=fn_tt_tt_1" TargetMode="External"/><Relationship Id="rId3296" Type="http://schemas.openxmlformats.org/officeDocument/2006/relationships/hyperlink" Target="http://www.imdb.com/title/tt0043949/?ref_=fn_tt_tt_1" TargetMode="External"/><Relationship Id="rId3295" Type="http://schemas.openxmlformats.org/officeDocument/2006/relationships/hyperlink" Target="http://www.imdb.com/title/tt2178470/?ref_=fn_tt_tt_1" TargetMode="External"/><Relationship Id="rId3294" Type="http://schemas.openxmlformats.org/officeDocument/2006/relationships/hyperlink" Target="http://www.imdb.com/title/tt0460989/?ref_=fn_tt_tt_1" TargetMode="External"/><Relationship Id="rId3293" Type="http://schemas.openxmlformats.org/officeDocument/2006/relationships/hyperlink" Target="http://www.imdb.com/title/tt0795434/?ref_=fn_tt_tt_1" TargetMode="External"/><Relationship Id="rId3292" Type="http://schemas.openxmlformats.org/officeDocument/2006/relationships/hyperlink" Target="http://www.imdb.com/title/tt0164085/?ref_=fn_tt_tt_1" TargetMode="External"/><Relationship Id="rId3291" Type="http://schemas.openxmlformats.org/officeDocument/2006/relationships/hyperlink" Target="http://www.imdb.com/title/tt2017038/?ref_=fn_tt_tt_1" TargetMode="External"/><Relationship Id="rId3290" Type="http://schemas.openxmlformats.org/officeDocument/2006/relationships/hyperlink" Target="http://www.imdb.com/title/tt1188996/?ref_=fn_tt_tt_1" TargetMode="External"/><Relationship Id="rId329" Type="http://schemas.openxmlformats.org/officeDocument/2006/relationships/hyperlink" Target="http://www.imdb.com/title/tt0119116/?ref_=fn_tt_tt_1" TargetMode="External"/><Relationship Id="rId3289" Type="http://schemas.openxmlformats.org/officeDocument/2006/relationships/hyperlink" Target="http://www.imdb.com/title/tt0810784/?ref_=fn_tt_tt_1" TargetMode="External"/><Relationship Id="rId3288" Type="http://schemas.openxmlformats.org/officeDocument/2006/relationships/hyperlink" Target="http://www.imdb.com/title/tt0387596/?ref_=fn_tt_tt_1" TargetMode="External"/><Relationship Id="rId3287" Type="http://schemas.openxmlformats.org/officeDocument/2006/relationships/hyperlink" Target="http://www.imdb.com/title/tt1457765/?ref_=fn_tt_tt_1" TargetMode="External"/><Relationship Id="rId3286" Type="http://schemas.openxmlformats.org/officeDocument/2006/relationships/hyperlink" Target="http://www.imdb.com/title/tt0118589/?ref_=fn_tt_tt_1" TargetMode="External"/><Relationship Id="rId3285" Type="http://schemas.openxmlformats.org/officeDocument/2006/relationships/hyperlink" Target="http://www.imdb.com/title/tt1666801/?ref_=fn_tt_tt_1" TargetMode="External"/><Relationship Id="rId3284" Type="http://schemas.openxmlformats.org/officeDocument/2006/relationships/hyperlink" Target="http://www.imdb.com/title/tt0433416/?ref_=fn_tt_tt_1" TargetMode="External"/><Relationship Id="rId3283" Type="http://schemas.openxmlformats.org/officeDocument/2006/relationships/hyperlink" Target="http://www.imdb.com/title/tt0126886/?ref_=fn_tt_tt_1" TargetMode="External"/><Relationship Id="rId3282" Type="http://schemas.openxmlformats.org/officeDocument/2006/relationships/hyperlink" Target="http://www.imdb.com/title/tt0099816/?ref_=fn_tt_tt_1" TargetMode="External"/><Relationship Id="rId3281" Type="http://schemas.openxmlformats.org/officeDocument/2006/relationships/hyperlink" Target="http://www.imdb.com/title/tt0062711/?ref_=fn_tt_tt_1" TargetMode="External"/><Relationship Id="rId3280" Type="http://schemas.openxmlformats.org/officeDocument/2006/relationships/hyperlink" Target="http://www.imdb.com/title/tt1171222/?ref_=fn_tt_tt_1" TargetMode="External"/><Relationship Id="rId328" Type="http://schemas.openxmlformats.org/officeDocument/2006/relationships/hyperlink" Target="http://www.imdb.com/title/tt1790886/?ref_=fn_tt_tt_1" TargetMode="External"/><Relationship Id="rId3279" Type="http://schemas.openxmlformats.org/officeDocument/2006/relationships/hyperlink" Target="http://www.imdb.com/title/tt0079826/?ref_=fn_tt_tt_1" TargetMode="External"/><Relationship Id="rId3278" Type="http://schemas.openxmlformats.org/officeDocument/2006/relationships/hyperlink" Target="http://www.imdb.com/title/tt1263670/?ref_=fn_tt_tt_1" TargetMode="External"/><Relationship Id="rId3277" Type="http://schemas.openxmlformats.org/officeDocument/2006/relationships/hyperlink" Target="http://www.imdb.com/title/tt0093437/?ref_=fn_tt_tt_1" TargetMode="External"/><Relationship Id="rId3276" Type="http://schemas.openxmlformats.org/officeDocument/2006/relationships/hyperlink" Target="http://www.imdb.com/title/tt1641841/?ref_=fn_tt_tt_1" TargetMode="External"/><Relationship Id="rId3275" Type="http://schemas.openxmlformats.org/officeDocument/2006/relationships/hyperlink" Target="http://www.imdb.com/title/tt0458290/?ref_=fn_tt_tt_1" TargetMode="External"/><Relationship Id="rId3274" Type="http://schemas.openxmlformats.org/officeDocument/2006/relationships/hyperlink" Target="http://www.imdb.com/title/tt0211933/?ref_=fn_tt_tt_1" TargetMode="External"/><Relationship Id="rId3273" Type="http://schemas.openxmlformats.org/officeDocument/2006/relationships/hyperlink" Target="http://www.imdb.com/title/tt1661420/?ref_=fn_tt_tt_1" TargetMode="External"/><Relationship Id="rId3272" Type="http://schemas.openxmlformats.org/officeDocument/2006/relationships/hyperlink" Target="http://www.imdb.com/title/tt1418646/?ref_=fn_tt_tt_1" TargetMode="External"/><Relationship Id="rId3271" Type="http://schemas.openxmlformats.org/officeDocument/2006/relationships/hyperlink" Target="http://www.imdb.com/title/tt0325596/?ref_=fn_tt_tt_1" TargetMode="External"/><Relationship Id="rId3270" Type="http://schemas.openxmlformats.org/officeDocument/2006/relationships/hyperlink" Target="http://www.imdb.com/title/tt1679332/?ref_=fn_tt_tt_1" TargetMode="External"/><Relationship Id="rId327" Type="http://schemas.openxmlformats.org/officeDocument/2006/relationships/hyperlink" Target="http://www.imdb.com/title/tt0265086/?ref_=fn_tt_tt_1" TargetMode="External"/><Relationship Id="rId3269" Type="http://schemas.openxmlformats.org/officeDocument/2006/relationships/hyperlink" Target="http://www.imdb.com/title/tt0090555/?ref_=fn_tt_tt_1" TargetMode="External"/><Relationship Id="rId3268" Type="http://schemas.openxmlformats.org/officeDocument/2006/relationships/hyperlink" Target="http://www.imdb.com/title/tt1068678/?ref_=fn_tt_tt_1" TargetMode="External"/><Relationship Id="rId3267" Type="http://schemas.openxmlformats.org/officeDocument/2006/relationships/hyperlink" Target="http://www.imdb.com/title/tt1183672/?ref_=fn_tt_tt_1" TargetMode="External"/><Relationship Id="rId3266" Type="http://schemas.openxmlformats.org/officeDocument/2006/relationships/hyperlink" Target="http://www.imdb.com/title/tt1259574/?ref_=fn_tt_tt_1" TargetMode="External"/><Relationship Id="rId3265" Type="http://schemas.openxmlformats.org/officeDocument/2006/relationships/hyperlink" Target="http://www.imdb.com/title/tt0434424/?ref_=fn_tt_tt_1" TargetMode="External"/><Relationship Id="rId3264" Type="http://schemas.openxmlformats.org/officeDocument/2006/relationships/hyperlink" Target="http://www.imdb.com/title/tt0920458/?ref_=fn_tt_tt_1" TargetMode="External"/><Relationship Id="rId3263" Type="http://schemas.openxmlformats.org/officeDocument/2006/relationships/hyperlink" Target="http://www.imdb.com/title/tt0420835/?ref_=fn_tt_tt_1" TargetMode="External"/><Relationship Id="rId3262" Type="http://schemas.openxmlformats.org/officeDocument/2006/relationships/hyperlink" Target="http://www.imdb.com/title/tt1185344/?ref_=fn_tt_tt_1" TargetMode="External"/><Relationship Id="rId3261" Type="http://schemas.openxmlformats.org/officeDocument/2006/relationships/hyperlink" Target="http://www.imdb.com/title/tt0286261/?ref_=fn_tt_tt_1" TargetMode="External"/><Relationship Id="rId3260" Type="http://schemas.openxmlformats.org/officeDocument/2006/relationships/hyperlink" Target="http://www.imdb.com/title/tt3202120/?ref_=fn_tt_tt_1" TargetMode="External"/><Relationship Id="rId326" Type="http://schemas.openxmlformats.org/officeDocument/2006/relationships/hyperlink" Target="http://www.imdb.com/title/tt0327162/?ref_=fn_tt_tt_1" TargetMode="External"/><Relationship Id="rId3259" Type="http://schemas.openxmlformats.org/officeDocument/2006/relationships/hyperlink" Target="http://www.imdb.com/title/tt0100827/?ref_=fn_tt_tt_1" TargetMode="External"/><Relationship Id="rId3258" Type="http://schemas.openxmlformats.org/officeDocument/2006/relationships/hyperlink" Target="http://www.imdb.com/title/tt0290879/?ref_=fn_tt_tt_1" TargetMode="External"/><Relationship Id="rId3257" Type="http://schemas.openxmlformats.org/officeDocument/2006/relationships/hyperlink" Target="http://www.imdb.com/title/tt1922612/?ref_=fn_tt_tt_1" TargetMode="External"/><Relationship Id="rId3256" Type="http://schemas.openxmlformats.org/officeDocument/2006/relationships/hyperlink" Target="http://www.imdb.com/title/tt5215952/?ref_=fn_tt_tt_1" TargetMode="External"/><Relationship Id="rId3255" Type="http://schemas.openxmlformats.org/officeDocument/2006/relationships/hyperlink" Target="http://www.imdb.com/title/tt0120879/?ref_=fn_tt_tt_1" TargetMode="External"/><Relationship Id="rId3254" Type="http://schemas.openxmlformats.org/officeDocument/2006/relationships/hyperlink" Target="http://www.imdb.com/title/tt1104733/?ref_=fn_tt_tt_1" TargetMode="External"/><Relationship Id="rId3253" Type="http://schemas.openxmlformats.org/officeDocument/2006/relationships/hyperlink" Target="http://www.imdb.com/title/tt0427968/?ref_=fn_tt_tt_1" TargetMode="External"/><Relationship Id="rId3252" Type="http://schemas.openxmlformats.org/officeDocument/2006/relationships/hyperlink" Target="http://www.imdb.com/title/tt0441007/?ref_=fn_tt_tt_1" TargetMode="External"/><Relationship Id="rId3251" Type="http://schemas.openxmlformats.org/officeDocument/2006/relationships/hyperlink" Target="http://www.imdb.com/title/tt0087451/?ref_=fn_tt_tt_1" TargetMode="External"/><Relationship Id="rId3250" Type="http://schemas.openxmlformats.org/officeDocument/2006/relationships/hyperlink" Target="http://www.imdb.com/title/tt0092325/?ref_=fn_tt_tt_1" TargetMode="External"/><Relationship Id="rId325" Type="http://schemas.openxmlformats.org/officeDocument/2006/relationships/hyperlink" Target="http://www.imdb.com/title/tt0423294/?ref_=fn_tt_tt_1" TargetMode="External"/><Relationship Id="rId3249" Type="http://schemas.openxmlformats.org/officeDocument/2006/relationships/hyperlink" Target="http://www.imdb.com/title/tt0482629/?ref_=fn_tt_tt_1" TargetMode="External"/><Relationship Id="rId3248" Type="http://schemas.openxmlformats.org/officeDocument/2006/relationships/hyperlink" Target="http://www.imdb.com/title/tt0110759/?ref_=fn_tt_tt_1" TargetMode="External"/><Relationship Id="rId3247" Type="http://schemas.openxmlformats.org/officeDocument/2006/relationships/hyperlink" Target="http://www.imdb.com/title/tt0280760/?ref_=fn_tt_tt_1" TargetMode="External"/><Relationship Id="rId3246" Type="http://schemas.openxmlformats.org/officeDocument/2006/relationships/hyperlink" Target="http://www.imdb.com/title/tt0202677/?ref_=fn_tt_tt_1" TargetMode="External"/><Relationship Id="rId3245" Type="http://schemas.openxmlformats.org/officeDocument/2006/relationships/hyperlink" Target="http://www.imdb.com/title/tt0323572/?ref_=fn_tt_tt_1" TargetMode="External"/><Relationship Id="rId3244" Type="http://schemas.openxmlformats.org/officeDocument/2006/relationships/hyperlink" Target="http://www.imdb.com/title/tt0775529/?ref_=fn_tt_tt_1" TargetMode="External"/><Relationship Id="rId3243" Type="http://schemas.openxmlformats.org/officeDocument/2006/relationships/hyperlink" Target="http://www.imdb.com/title/tt0097499/?ref_=fn_tt_tt_1" TargetMode="External"/><Relationship Id="rId3242" Type="http://schemas.openxmlformats.org/officeDocument/2006/relationships/hyperlink" Target="http://www.imdb.com/title/tt0349169/?ref_=fn_tt_tt_1" TargetMode="External"/><Relationship Id="rId3241" Type="http://schemas.openxmlformats.org/officeDocument/2006/relationships/hyperlink" Target="http://www.imdb.com/title/tt0454082/?ref_=fn_tt_tt_1" TargetMode="External"/><Relationship Id="rId3240" Type="http://schemas.openxmlformats.org/officeDocument/2006/relationships/hyperlink" Target="http://www.imdb.com/title/tt0086465/?ref_=fn_tt_tt_1" TargetMode="External"/><Relationship Id="rId324" Type="http://schemas.openxmlformats.org/officeDocument/2006/relationships/hyperlink" Target="http://www.imdb.com/title/tt1410063/?ref_=fn_tt_tt_1" TargetMode="External"/><Relationship Id="rId3239" Type="http://schemas.openxmlformats.org/officeDocument/2006/relationships/hyperlink" Target="http://www.imdb.com/title/tt0181984/?ref_=fn_tt_tt_1" TargetMode="External"/><Relationship Id="rId3238" Type="http://schemas.openxmlformats.org/officeDocument/2006/relationships/hyperlink" Target="http://www.imdb.com/title/tt0208874/?ref_=fn_tt_tt_1" TargetMode="External"/><Relationship Id="rId3237" Type="http://schemas.openxmlformats.org/officeDocument/2006/relationships/hyperlink" Target="http://www.imdb.com/title/tt0366551/?ref_=fn_tt_tt_1" TargetMode="External"/><Relationship Id="rId3236" Type="http://schemas.openxmlformats.org/officeDocument/2006/relationships/hyperlink" Target="http://www.imdb.com/title/tt0186975/?ref_=fn_tt_tt_1" TargetMode="External"/><Relationship Id="rId3235" Type="http://schemas.openxmlformats.org/officeDocument/2006/relationships/hyperlink" Target="http://www.imdb.com/title/tt2975578/?ref_=fn_tt_tt_1" TargetMode="External"/><Relationship Id="rId3234" Type="http://schemas.openxmlformats.org/officeDocument/2006/relationships/hyperlink" Target="http://www.imdb.com/title/tt0386032/?ref_=fn_tt_tt_1" TargetMode="External"/><Relationship Id="rId3233" Type="http://schemas.openxmlformats.org/officeDocument/2006/relationships/hyperlink" Target="http://www.imdb.com/title/tt0094862/?ref_=fn_tt_tt_1" TargetMode="External"/><Relationship Id="rId3232" Type="http://schemas.openxmlformats.org/officeDocument/2006/relationships/hyperlink" Target="http://www.imdb.com/title/tt0168501/?ref_=fn_tt_tt_1" TargetMode="External"/><Relationship Id="rId3231" Type="http://schemas.openxmlformats.org/officeDocument/2006/relationships/hyperlink" Target="http://www.imdb.com/title/tt0117603/?ref_=fn_tt_tt_1" TargetMode="External"/><Relationship Id="rId3230" Type="http://schemas.openxmlformats.org/officeDocument/2006/relationships/hyperlink" Target="http://www.imdb.com/title/tt1405810/?ref_=fn_tt_tt_1" TargetMode="External"/><Relationship Id="rId323" Type="http://schemas.openxmlformats.org/officeDocument/2006/relationships/hyperlink" Target="http://www.imdb.com/title/tt0217505/?ref_=fn_tt_tt_1" TargetMode="External"/><Relationship Id="rId3229" Type="http://schemas.openxmlformats.org/officeDocument/2006/relationships/hyperlink" Target="http://www.imdb.com/title/tt1701990/?ref_=fn_tt_tt_1" TargetMode="External"/><Relationship Id="rId3228" Type="http://schemas.openxmlformats.org/officeDocument/2006/relationships/hyperlink" Target="http://www.imdb.com/title/tt0059800/?ref_=fn_tt_tt_1" TargetMode="External"/><Relationship Id="rId3227" Type="http://schemas.openxmlformats.org/officeDocument/2006/relationships/hyperlink" Target="http://www.imdb.com/title/tt0067093/?ref_=fn_tt_tt_1" TargetMode="External"/><Relationship Id="rId3226" Type="http://schemas.openxmlformats.org/officeDocument/2006/relationships/hyperlink" Target="http://www.imdb.com/title/tt1017451/?ref_=fn_tt_tt_1" TargetMode="External"/><Relationship Id="rId3225" Type="http://schemas.openxmlformats.org/officeDocument/2006/relationships/hyperlink" Target="http://www.imdb.com/title/tt0072271/?ref_=fn_tt_tt_1" TargetMode="External"/><Relationship Id="rId3224" Type="http://schemas.openxmlformats.org/officeDocument/2006/relationships/hyperlink" Target="http://www.imdb.com/title/tt0078748/?ref_=fn_tt_tt_1" TargetMode="External"/><Relationship Id="rId3223" Type="http://schemas.openxmlformats.org/officeDocument/2006/relationships/hyperlink" Target="http://www.imdb.com/title/tt2176013/?ref_=fn_tt_tt_1" TargetMode="External"/><Relationship Id="rId3222" Type="http://schemas.openxmlformats.org/officeDocument/2006/relationships/hyperlink" Target="http://www.imdb.com/title/tt0803061/?ref_=fn_tt_tt_1" TargetMode="External"/><Relationship Id="rId3221" Type="http://schemas.openxmlformats.org/officeDocument/2006/relationships/hyperlink" Target="http://www.imdb.com/title/tt1527186/?ref_=fn_tt_tt_1" TargetMode="External"/><Relationship Id="rId3220" Type="http://schemas.openxmlformats.org/officeDocument/2006/relationships/hyperlink" Target="http://www.imdb.com/title/tt1198101/?ref_=fn_tt_tt_1" TargetMode="External"/><Relationship Id="rId322" Type="http://schemas.openxmlformats.org/officeDocument/2006/relationships/hyperlink" Target="http://www.imdb.com/title/tt0209163/?ref_=fn_tt_tt_1" TargetMode="External"/><Relationship Id="rId3219" Type="http://schemas.openxmlformats.org/officeDocument/2006/relationships/hyperlink" Target="http://www.imdb.com/title/tt1694021/?ref_=fn_tt_tt_1" TargetMode="External"/><Relationship Id="rId3218" Type="http://schemas.openxmlformats.org/officeDocument/2006/relationships/hyperlink" Target="http://www.imdb.com/title/tt0114279/?ref_=fn_tt_tt_1" TargetMode="External"/><Relationship Id="rId3217" Type="http://schemas.openxmlformats.org/officeDocument/2006/relationships/hyperlink" Target="http://www.imdb.com/title/tt1161418/?ref_=fn_tt_tt_1" TargetMode="External"/><Relationship Id="rId3216" Type="http://schemas.openxmlformats.org/officeDocument/2006/relationships/hyperlink" Target="http://www.imdb.com/title/tt0082509/?ref_=fn_tt_tt_1" TargetMode="External"/><Relationship Id="rId3215" Type="http://schemas.openxmlformats.org/officeDocument/2006/relationships/hyperlink" Target="http://www.imdb.com/title/tt0441909/?ref_=fn_tt_tt_1" TargetMode="External"/><Relationship Id="rId3214" Type="http://schemas.openxmlformats.org/officeDocument/2006/relationships/hyperlink" Target="http://www.imdb.com/title/tt0057193/?ref_=fn_tt_tt_1" TargetMode="External"/><Relationship Id="rId3213" Type="http://schemas.openxmlformats.org/officeDocument/2006/relationships/hyperlink" Target="http://www.imdb.com/title/tt1612319/?ref_=fn_tt_tt_1" TargetMode="External"/><Relationship Id="rId3212" Type="http://schemas.openxmlformats.org/officeDocument/2006/relationships/hyperlink" Target="http://www.imdb.com/title/tt0095889/?ref_=fn_tt_tt_1" TargetMode="External"/><Relationship Id="rId3211" Type="http://schemas.openxmlformats.org/officeDocument/2006/relationships/hyperlink" Target="http://www.imdb.com/title/tt1602620/?ref_=fn_tt_tt_1" TargetMode="External"/><Relationship Id="rId3210" Type="http://schemas.openxmlformats.org/officeDocument/2006/relationships/hyperlink" Target="http://www.imdb.com/title/tt2556874/?ref_=fn_tt_tt_1" TargetMode="External"/><Relationship Id="rId321" Type="http://schemas.openxmlformats.org/officeDocument/2006/relationships/hyperlink" Target="http://www.imdb.com/title/tt0120176/?ref_=fn_tt_tt_1" TargetMode="External"/><Relationship Id="rId3209" Type="http://schemas.openxmlformats.org/officeDocument/2006/relationships/hyperlink" Target="http://www.imdb.com/title/tt0062512/?ref_=fn_tt_tt_1" TargetMode="External"/><Relationship Id="rId3208" Type="http://schemas.openxmlformats.org/officeDocument/2006/relationships/hyperlink" Target="http://www.imdb.com/title/tt2923316/?ref_=fn_tt_tt_1" TargetMode="External"/><Relationship Id="rId3207" Type="http://schemas.openxmlformats.org/officeDocument/2006/relationships/hyperlink" Target="http://www.imdb.com/title/tt0195945/?ref_=fn_tt_tt_1" TargetMode="External"/><Relationship Id="rId3206" Type="http://schemas.openxmlformats.org/officeDocument/2006/relationships/hyperlink" Target="http://www.imdb.com/title/tt0343996/?ref_=fn_tt_tt_1" TargetMode="External"/><Relationship Id="rId3205" Type="http://schemas.openxmlformats.org/officeDocument/2006/relationships/hyperlink" Target="http://www.imdb.com/title/tt1091722/?ref_=fn_tt_tt_1" TargetMode="External"/><Relationship Id="rId3204" Type="http://schemas.openxmlformats.org/officeDocument/2006/relationships/hyperlink" Target="http://www.imdb.com/title/tt1376195/?ref_=fn_tt_tt_1" TargetMode="External"/><Relationship Id="rId3203" Type="http://schemas.openxmlformats.org/officeDocument/2006/relationships/hyperlink" Target="http://www.imdb.com/title/tt1913166/?ref_=fn_tt_tt_1" TargetMode="External"/><Relationship Id="rId3202" Type="http://schemas.openxmlformats.org/officeDocument/2006/relationships/hyperlink" Target="http://www.imdb.com/title/tt0901487/?ref_=fn_tt_tt_1" TargetMode="External"/><Relationship Id="rId3201" Type="http://schemas.openxmlformats.org/officeDocument/2006/relationships/hyperlink" Target="http://www.imdb.com/title/tt1070781/?ref_=fn_tt_tt_1" TargetMode="External"/><Relationship Id="rId3200" Type="http://schemas.openxmlformats.org/officeDocument/2006/relationships/hyperlink" Target="http://www.imdb.com/title/tt0213985/?ref_=fn_tt_tt_1" TargetMode="External"/><Relationship Id="rId320" Type="http://schemas.openxmlformats.org/officeDocument/2006/relationships/hyperlink" Target="http://www.imdb.com/title/tt2452042/?ref_=fn_tt_tt_1" TargetMode="External"/><Relationship Id="rId32" Type="http://schemas.openxmlformats.org/officeDocument/2006/relationships/hyperlink" Target="http://www.imdb.com/title/tt0316654/?ref_=fn_tt_tt_1" TargetMode="External"/><Relationship Id="rId3199" Type="http://schemas.openxmlformats.org/officeDocument/2006/relationships/hyperlink" Target="http://www.imdb.com/title/tt1147687/?ref_=fn_tt_tt_1" TargetMode="External"/><Relationship Id="rId3198" Type="http://schemas.openxmlformats.org/officeDocument/2006/relationships/hyperlink" Target="http://www.imdb.com/title/tt1319716/?ref_=fn_tt_tt_1" TargetMode="External"/><Relationship Id="rId3197" Type="http://schemas.openxmlformats.org/officeDocument/2006/relationships/hyperlink" Target="http://www.imdb.com/title/tt3074732/?ref_=fn_tt_tt_1" TargetMode="External"/><Relationship Id="rId3196" Type="http://schemas.openxmlformats.org/officeDocument/2006/relationships/hyperlink" Target="http://www.imdb.com/title/tt0479341/?ref_=fn_tt_tt_1" TargetMode="External"/><Relationship Id="rId3195" Type="http://schemas.openxmlformats.org/officeDocument/2006/relationships/hyperlink" Target="http://www.imdb.com/title/tt2722786/?ref_=fn_tt_tt_1" TargetMode="External"/><Relationship Id="rId3194" Type="http://schemas.openxmlformats.org/officeDocument/2006/relationships/hyperlink" Target="http://www.imdb.com/title/tt1097643/?ref_=fn_tt_tt_1" TargetMode="External"/><Relationship Id="rId3193" Type="http://schemas.openxmlformats.org/officeDocument/2006/relationships/hyperlink" Target="http://www.imdb.com/title/tt1568139/?ref_=fn_tt_tt_1" TargetMode="External"/><Relationship Id="rId3192" Type="http://schemas.openxmlformats.org/officeDocument/2006/relationships/hyperlink" Target="http://www.imdb.com/title/tt0496436/?ref_=fn_tt_tt_1" TargetMode="External"/><Relationship Id="rId3191" Type="http://schemas.openxmlformats.org/officeDocument/2006/relationships/hyperlink" Target="http://www.imdb.com/title/tt0349416/?ref_=fn_tt_tt_1" TargetMode="External"/><Relationship Id="rId3190" Type="http://schemas.openxmlformats.org/officeDocument/2006/relationships/hyperlink" Target="http://www.imdb.com/title/tt1320291/?ref_=fn_tt_tt_1" TargetMode="External"/><Relationship Id="rId319" Type="http://schemas.openxmlformats.org/officeDocument/2006/relationships/hyperlink" Target="http://www.imdb.com/title/tt0947810/?ref_=fn_tt_tt_1" TargetMode="External"/><Relationship Id="rId3189" Type="http://schemas.openxmlformats.org/officeDocument/2006/relationships/hyperlink" Target="http://www.imdb.com/title/tt0488604/?ref_=fn_tt_tt_1" TargetMode="External"/><Relationship Id="rId3188" Type="http://schemas.openxmlformats.org/officeDocument/2006/relationships/hyperlink" Target="http://www.imdb.com/title/tt0887719/?ref_=fn_tt_tt_1" TargetMode="External"/><Relationship Id="rId3187" Type="http://schemas.openxmlformats.org/officeDocument/2006/relationships/hyperlink" Target="http://www.imdb.com/title/tt1210071/?ref_=fn_tt_tt_1" TargetMode="External"/><Relationship Id="rId3186" Type="http://schemas.openxmlformats.org/officeDocument/2006/relationships/hyperlink" Target="http://www.imdb.com/title/tt2325977/?ref_=fn_tt_tt_1" TargetMode="External"/><Relationship Id="rId3185" Type="http://schemas.openxmlformats.org/officeDocument/2006/relationships/hyperlink" Target="http://www.imdb.com/title/tt1128071/?ref_=fn_tt_tt_1" TargetMode="External"/><Relationship Id="rId3184" Type="http://schemas.openxmlformats.org/officeDocument/2006/relationships/hyperlink" Target="http://www.imdb.com/title/tt1220220/?ref_=fn_tt_tt_1" TargetMode="External"/><Relationship Id="rId3183" Type="http://schemas.openxmlformats.org/officeDocument/2006/relationships/hyperlink" Target="http://www.imdb.com/title/tt1247662/?ref_=fn_tt_tt_1" TargetMode="External"/><Relationship Id="rId3182" Type="http://schemas.openxmlformats.org/officeDocument/2006/relationships/hyperlink" Target="http://www.imdb.com/title/tt1007018/?ref_=fn_tt_tt_1" TargetMode="External"/><Relationship Id="rId3181" Type="http://schemas.openxmlformats.org/officeDocument/2006/relationships/hyperlink" Target="http://www.imdb.com/title/tt0118577/?ref_=fn_tt_tt_1" TargetMode="External"/><Relationship Id="rId3180" Type="http://schemas.openxmlformats.org/officeDocument/2006/relationships/hyperlink" Target="http://www.imdb.com/title/tt2113659/?ref_=fn_tt_tt_1" TargetMode="External"/><Relationship Id="rId318" Type="http://schemas.openxmlformats.org/officeDocument/2006/relationships/hyperlink" Target="http://www.imdb.com/title/tt0180052/?ref_=fn_tt_tt_1" TargetMode="External"/><Relationship Id="rId3179" Type="http://schemas.openxmlformats.org/officeDocument/2006/relationships/hyperlink" Target="http://www.imdb.com/title/tt2553908/?ref_=fn_tt_tt_1" TargetMode="External"/><Relationship Id="rId3178" Type="http://schemas.openxmlformats.org/officeDocument/2006/relationships/hyperlink" Target="http://www.imdb.com/title/tt1210039/?ref_=fn_tt_tt_1" TargetMode="External"/><Relationship Id="rId3177" Type="http://schemas.openxmlformats.org/officeDocument/2006/relationships/hyperlink" Target="http://www.imdb.com/title/tt0110857/?ref_=fn_tt_tt_1" TargetMode="External"/><Relationship Id="rId3176" Type="http://schemas.openxmlformats.org/officeDocument/2006/relationships/hyperlink" Target="http://www.imdb.com/title/tt1183923/?ref_=fn_tt_tt_1" TargetMode="External"/><Relationship Id="rId3175" Type="http://schemas.openxmlformats.org/officeDocument/2006/relationships/hyperlink" Target="http://www.imdb.com/title/tt0443496/?ref_=fn_tt_tt_1" TargetMode="External"/><Relationship Id="rId3174" Type="http://schemas.openxmlformats.org/officeDocument/2006/relationships/hyperlink" Target="http://www.imdb.com/title/tt0464196/?ref_=fn_tt_tt_1" TargetMode="External"/><Relationship Id="rId3173" Type="http://schemas.openxmlformats.org/officeDocument/2006/relationships/hyperlink" Target="http://www.imdb.com/title/tt1262981/?ref_=fn_tt_tt_1" TargetMode="External"/><Relationship Id="rId3172" Type="http://schemas.openxmlformats.org/officeDocument/2006/relationships/hyperlink" Target="http://www.imdb.com/title/tt0253126/?ref_=fn_tt_tt_1" TargetMode="External"/><Relationship Id="rId3171" Type="http://schemas.openxmlformats.org/officeDocument/2006/relationships/hyperlink" Target="http://www.imdb.com/title/tt0373024/?ref_=fn_tt_tt_1" TargetMode="External"/><Relationship Id="rId3170" Type="http://schemas.openxmlformats.org/officeDocument/2006/relationships/hyperlink" Target="http://www.imdb.com/title/tt1372686/?ref_=fn_tt_tt_1" TargetMode="External"/><Relationship Id="rId317" Type="http://schemas.openxmlformats.org/officeDocument/2006/relationships/hyperlink" Target="http://www.imdb.com/title/tt1390411/?ref_=fn_tt_tt_1" TargetMode="External"/><Relationship Id="rId3169" Type="http://schemas.openxmlformats.org/officeDocument/2006/relationships/hyperlink" Target="http://www.imdb.com/title/tt0129923/?ref_=fn_tt_tt_1" TargetMode="External"/><Relationship Id="rId3168" Type="http://schemas.openxmlformats.org/officeDocument/2006/relationships/hyperlink" Target="http://www.imdb.com/title/tt2752688/?ref_=fn_tt_tt_1" TargetMode="External"/><Relationship Id="rId3167" Type="http://schemas.openxmlformats.org/officeDocument/2006/relationships/hyperlink" Target="http://www.imdb.com/title/tt0120018/?ref_=fn_tt_tt_1" TargetMode="External"/><Relationship Id="rId3166" Type="http://schemas.openxmlformats.org/officeDocument/2006/relationships/hyperlink" Target="http://www.imdb.com/title/tt0330099/?ref_=fn_tt_tt_1" TargetMode="External"/><Relationship Id="rId3165" Type="http://schemas.openxmlformats.org/officeDocument/2006/relationships/hyperlink" Target="http://www.imdb.com/title/tt0286112/?ref_=fn_tt_tt_1" TargetMode="External"/><Relationship Id="rId3164" Type="http://schemas.openxmlformats.org/officeDocument/2006/relationships/hyperlink" Target="http://www.imdb.com/title/tt0884224/?ref_=fn_tt_tt_1" TargetMode="External"/><Relationship Id="rId3163" Type="http://schemas.openxmlformats.org/officeDocument/2006/relationships/hyperlink" Target="http://www.imdb.com/title/tt0291502/?ref_=fn_tt_tt_1" TargetMode="External"/><Relationship Id="rId3162" Type="http://schemas.openxmlformats.org/officeDocument/2006/relationships/hyperlink" Target="http://www.imdb.com/title/tt0120709/?ref_=fn_tt_tt_1" TargetMode="External"/><Relationship Id="rId3161" Type="http://schemas.openxmlformats.org/officeDocument/2006/relationships/hyperlink" Target="http://www.imdb.com/title/tt0765120/?ref_=fn_tt_tt_1" TargetMode="External"/><Relationship Id="rId3160" Type="http://schemas.openxmlformats.org/officeDocument/2006/relationships/hyperlink" Target="http://www.imdb.com/title/tt0784972/?ref_=fn_tt_tt_1" TargetMode="External"/><Relationship Id="rId316" Type="http://schemas.openxmlformats.org/officeDocument/2006/relationships/hyperlink" Target="http://www.imdb.com/title/tt0362165/?ref_=fn_tt_tt_1" TargetMode="External"/><Relationship Id="rId3159" Type="http://schemas.openxmlformats.org/officeDocument/2006/relationships/hyperlink" Target="http://www.imdb.com/title/tt0285861/?ref_=fn_tt_tt_1" TargetMode="External"/><Relationship Id="rId3158" Type="http://schemas.openxmlformats.org/officeDocument/2006/relationships/hyperlink" Target="http://www.imdb.com/title/tt1285309/?ref_=fn_tt_tt_1" TargetMode="External"/><Relationship Id="rId3157" Type="http://schemas.openxmlformats.org/officeDocument/2006/relationships/hyperlink" Target="http://www.imdb.com/title/tt1726669/?ref_=fn_tt_tt_1" TargetMode="External"/><Relationship Id="rId3156" Type="http://schemas.openxmlformats.org/officeDocument/2006/relationships/hyperlink" Target="http://www.imdb.com/title/tt0173716/?ref_=fn_tt_tt_1" TargetMode="External"/><Relationship Id="rId3155" Type="http://schemas.openxmlformats.org/officeDocument/2006/relationships/hyperlink" Target="http://www.imdb.com/title/tt0432637/?ref_=fn_tt_tt_1" TargetMode="External"/><Relationship Id="rId3154" Type="http://schemas.openxmlformats.org/officeDocument/2006/relationships/hyperlink" Target="http://www.imdb.com/title/tt1491044/?ref_=fn_tt_tt_1" TargetMode="External"/><Relationship Id="rId3153" Type="http://schemas.openxmlformats.org/officeDocument/2006/relationships/hyperlink" Target="http://www.imdb.com/title/tt0309912/?ref_=fn_tt_tt_1" TargetMode="External"/><Relationship Id="rId3152" Type="http://schemas.openxmlformats.org/officeDocument/2006/relationships/hyperlink" Target="http://www.imdb.com/title/tt0171356/?ref_=fn_tt_tt_1" TargetMode="External"/><Relationship Id="rId3151" Type="http://schemas.openxmlformats.org/officeDocument/2006/relationships/hyperlink" Target="http://www.imdb.com/title/tt0278731/?ref_=fn_tt_tt_1" TargetMode="External"/><Relationship Id="rId3150" Type="http://schemas.openxmlformats.org/officeDocument/2006/relationships/hyperlink" Target="http://www.imdb.com/title/tt1554091/?ref_=fn_tt_tt_1" TargetMode="External"/><Relationship Id="rId315" Type="http://schemas.openxmlformats.org/officeDocument/2006/relationships/hyperlink" Target="http://www.imdb.com/title/tt2058673/?ref_=fn_tt_tt_1" TargetMode="External"/><Relationship Id="rId3149" Type="http://schemas.openxmlformats.org/officeDocument/2006/relationships/hyperlink" Target="http://www.imdb.com/title/tt1791682/?ref_=fn_tt_tt_1" TargetMode="External"/><Relationship Id="rId3148" Type="http://schemas.openxmlformats.org/officeDocument/2006/relationships/hyperlink" Target="http://www.imdb.com/title/tt0083113/?ref_=fn_tt_tt_1" TargetMode="External"/><Relationship Id="rId3147" Type="http://schemas.openxmlformats.org/officeDocument/2006/relationships/hyperlink" Target="http://www.imdb.com/title/tt3387542/?ref_=fn_tt_tt_1" TargetMode="External"/><Relationship Id="rId3146" Type="http://schemas.openxmlformats.org/officeDocument/2006/relationships/hyperlink" Target="http://www.imdb.com/title/tt0215545/?ref_=fn_tt_tt_1" TargetMode="External"/><Relationship Id="rId3145" Type="http://schemas.openxmlformats.org/officeDocument/2006/relationships/hyperlink" Target="http://www.imdb.com/title/tt1411664/?ref_=fn_tt_tt_1" TargetMode="External"/><Relationship Id="rId3144" Type="http://schemas.openxmlformats.org/officeDocument/2006/relationships/hyperlink" Target="http://www.imdb.com/title/tt0438315/?ref_=fn_tt_tt_1" TargetMode="External"/><Relationship Id="rId3143" Type="http://schemas.openxmlformats.org/officeDocument/2006/relationships/hyperlink" Target="http://www.imdb.com/title/tt0093483/?ref_=fn_tt_tt_1" TargetMode="External"/><Relationship Id="rId3142" Type="http://schemas.openxmlformats.org/officeDocument/2006/relationships/hyperlink" Target="http://www.imdb.com/title/tt0200720/?ref_=fn_tt_tt_1" TargetMode="External"/><Relationship Id="rId3141" Type="http://schemas.openxmlformats.org/officeDocument/2006/relationships/hyperlink" Target="http://www.imdb.com/title/tt0375679/?ref_=fn_tt_tt_1" TargetMode="External"/><Relationship Id="rId3140" Type="http://schemas.openxmlformats.org/officeDocument/2006/relationships/hyperlink" Target="http://www.imdb.com/title/tt0165854/?ref_=fn_tt_tt_1" TargetMode="External"/><Relationship Id="rId314" Type="http://schemas.openxmlformats.org/officeDocument/2006/relationships/hyperlink" Target="http://www.imdb.com/title/tt2333784/?ref_=fn_tt_tt_1" TargetMode="External"/><Relationship Id="rId3139" Type="http://schemas.openxmlformats.org/officeDocument/2006/relationships/hyperlink" Target="http://www.imdb.com/title/tt0107983/?ref_=fn_tt_tt_1" TargetMode="External"/><Relationship Id="rId3138" Type="http://schemas.openxmlformats.org/officeDocument/2006/relationships/hyperlink" Target="http://www.imdb.com/title/tt1985017/?ref_=fn_tt_tt_1" TargetMode="External"/><Relationship Id="rId3137" Type="http://schemas.openxmlformats.org/officeDocument/2006/relationships/hyperlink" Target="http://www.imdb.com/title/tt1226236/?ref_=fn_tt_tt_1" TargetMode="External"/><Relationship Id="rId3136" Type="http://schemas.openxmlformats.org/officeDocument/2006/relationships/hyperlink" Target="http://www.imdb.com/title/tt1588334/?ref_=fn_tt_tt_1" TargetMode="External"/><Relationship Id="rId3135" Type="http://schemas.openxmlformats.org/officeDocument/2006/relationships/hyperlink" Target="http://www.imdb.com/title/tt1772288/?ref_=fn_tt_tt_1" TargetMode="External"/><Relationship Id="rId3134" Type="http://schemas.openxmlformats.org/officeDocument/2006/relationships/hyperlink" Target="http://www.imdb.com/title/tt0462504/?ref_=fn_tt_tt_1" TargetMode="External"/><Relationship Id="rId3133" Type="http://schemas.openxmlformats.org/officeDocument/2006/relationships/hyperlink" Target="http://www.imdb.com/title/tt0279286/?ref_=fn_tt_tt_1" TargetMode="External"/><Relationship Id="rId3132" Type="http://schemas.openxmlformats.org/officeDocument/2006/relationships/hyperlink" Target="http://www.imdb.com/title/tt2883434/?ref_=fn_tt_tt_1" TargetMode="External"/><Relationship Id="rId3131" Type="http://schemas.openxmlformats.org/officeDocument/2006/relationships/hyperlink" Target="http://www.imdb.com/title/tt0082507/?ref_=fn_tt_tt_1" TargetMode="External"/><Relationship Id="rId3130" Type="http://schemas.openxmlformats.org/officeDocument/2006/relationships/hyperlink" Target="http://www.imdb.com/title/tt0425413/?ref_=fn_tt_tt_1" TargetMode="External"/><Relationship Id="rId313" Type="http://schemas.openxmlformats.org/officeDocument/2006/relationships/hyperlink" Target="http://www.imdb.com/title/tt0457400/?ref_=fn_tt_tt_1" TargetMode="External"/><Relationship Id="rId3129" Type="http://schemas.openxmlformats.org/officeDocument/2006/relationships/hyperlink" Target="http://www.imdb.com/title/tt2170299/?ref_=fn_tt_tt_1" TargetMode="External"/><Relationship Id="rId3128" Type="http://schemas.openxmlformats.org/officeDocument/2006/relationships/hyperlink" Target="http://www.imdb.com/title/tt0231448/?ref_=fn_tt_tt_1" TargetMode="External"/><Relationship Id="rId3127" Type="http://schemas.openxmlformats.org/officeDocument/2006/relationships/hyperlink" Target="http://www.imdb.com/title/tt0166896/?ref_=fn_tt_tt_1" TargetMode="External"/><Relationship Id="rId3126" Type="http://schemas.openxmlformats.org/officeDocument/2006/relationships/hyperlink" Target="http://www.imdb.com/title/tt0120802/?ref_=fn_tt_tt_1" TargetMode="External"/><Relationship Id="rId3125" Type="http://schemas.openxmlformats.org/officeDocument/2006/relationships/hyperlink" Target="http://www.imdb.com/title/tt0350194/?ref_=fn_tt_tt_1" TargetMode="External"/><Relationship Id="rId3124" Type="http://schemas.openxmlformats.org/officeDocument/2006/relationships/hyperlink" Target="http://www.imdb.com/title/tt1748227/?ref_=fn_tt_tt_1" TargetMode="External"/><Relationship Id="rId3123" Type="http://schemas.openxmlformats.org/officeDocument/2006/relationships/hyperlink" Target="http://www.imdb.com/title/tt0120586/?ref_=fn_tt_tt_1" TargetMode="External"/><Relationship Id="rId3122" Type="http://schemas.openxmlformats.org/officeDocument/2006/relationships/hyperlink" Target="http://www.imdb.com/title/tt0460627/?ref_=fn_tt_tt_1" TargetMode="External"/><Relationship Id="rId3121" Type="http://schemas.openxmlformats.org/officeDocument/2006/relationships/hyperlink" Target="http://www.imdb.com/title/tt1477837/?ref_=fn_tt_tt_1" TargetMode="External"/><Relationship Id="rId3120" Type="http://schemas.openxmlformats.org/officeDocument/2006/relationships/hyperlink" Target="http://www.imdb.com/title/tt1307068/?ref_=fn_tt_tt_1" TargetMode="External"/><Relationship Id="rId312" Type="http://schemas.openxmlformats.org/officeDocument/2006/relationships/hyperlink" Target="http://www.imdb.com/title/tt0133240/?ref_=fn_tt_tt_1" TargetMode="External"/><Relationship Id="rId3119" Type="http://schemas.openxmlformats.org/officeDocument/2006/relationships/hyperlink" Target="http://www.imdb.com/title/tt0785007/?ref_=fn_tt_tt_1" TargetMode="External"/><Relationship Id="rId3118" Type="http://schemas.openxmlformats.org/officeDocument/2006/relationships/hyperlink" Target="http://www.imdb.com/title/tt1333125/?ref_=fn_tt_tt_1" TargetMode="External"/><Relationship Id="rId3117" Type="http://schemas.openxmlformats.org/officeDocument/2006/relationships/hyperlink" Target="http://www.imdb.com/title/tt0301199/?ref_=fn_tt_tt_1" TargetMode="External"/><Relationship Id="rId3116" Type="http://schemas.openxmlformats.org/officeDocument/2006/relationships/hyperlink" Target="http://www.imdb.com/title/tt1470023/?ref_=fn_tt_tt_1" TargetMode="External"/><Relationship Id="rId3115" Type="http://schemas.openxmlformats.org/officeDocument/2006/relationships/hyperlink" Target="http://www.imdb.com/title/tt0086984/?ref_=fn_tt_tt_1" TargetMode="External"/><Relationship Id="rId3114" Type="http://schemas.openxmlformats.org/officeDocument/2006/relationships/hyperlink" Target="http://www.imdb.com/title/tt0368975/?ref_=fn_tt_tt_1" TargetMode="External"/><Relationship Id="rId3113" Type="http://schemas.openxmlformats.org/officeDocument/2006/relationships/hyperlink" Target="http://www.imdb.com/title/tt0124198/?ref_=fn_tt_tt_1" TargetMode="External"/><Relationship Id="rId3112" Type="http://schemas.openxmlformats.org/officeDocument/2006/relationships/hyperlink" Target="http://www.imdb.com/title/tt1126590/?ref_=fn_tt_tt_1" TargetMode="External"/><Relationship Id="rId3111" Type="http://schemas.openxmlformats.org/officeDocument/2006/relationships/hyperlink" Target="http://www.imdb.com/title/tt0157503/?ref_=fn_tt_tt_1" TargetMode="External"/><Relationship Id="rId3110" Type="http://schemas.openxmlformats.org/officeDocument/2006/relationships/hyperlink" Target="http://www.imdb.com/title/tt0151804/?ref_=fn_tt_tt_1" TargetMode="External"/><Relationship Id="rId311" Type="http://schemas.openxmlformats.org/officeDocument/2006/relationships/hyperlink" Target="http://www.imdb.com/title/tt1267297/?ref_=fn_tt_tt_1" TargetMode="External"/><Relationship Id="rId3109" Type="http://schemas.openxmlformats.org/officeDocument/2006/relationships/hyperlink" Target="http://www.imdb.com/title/tt0192071/?ref_=fn_tt_tt_1" TargetMode="External"/><Relationship Id="rId3108" Type="http://schemas.openxmlformats.org/officeDocument/2006/relationships/hyperlink" Target="http://www.imdb.com/title/tt0399862/?ref_=fn_tt_tt_1" TargetMode="External"/><Relationship Id="rId3107" Type="http://schemas.openxmlformats.org/officeDocument/2006/relationships/hyperlink" Target="http://www.imdb.com/title/tt4178092/?ref_=fn_tt_tt_1" TargetMode="External"/><Relationship Id="rId3106" Type="http://schemas.openxmlformats.org/officeDocument/2006/relationships/hyperlink" Target="http://www.imdb.com/title/tt0119572/?ref_=fn_tt_tt_1" TargetMode="External"/><Relationship Id="rId3105" Type="http://schemas.openxmlformats.org/officeDocument/2006/relationships/hyperlink" Target="http://www.imdb.com/title/tt0365485/?ref_=fn_tt_tt_1" TargetMode="External"/><Relationship Id="rId3104" Type="http://schemas.openxmlformats.org/officeDocument/2006/relationships/hyperlink" Target="http://www.imdb.com/title/tt1655420/?ref_=fn_tt_tt_1" TargetMode="External"/><Relationship Id="rId3103" Type="http://schemas.openxmlformats.org/officeDocument/2006/relationships/hyperlink" Target="http://www.imdb.com/title/tt0314166/?ref_=fn_tt_tt_1" TargetMode="External"/><Relationship Id="rId3102" Type="http://schemas.openxmlformats.org/officeDocument/2006/relationships/hyperlink" Target="http://www.imdb.com/title/tt1092633/?ref_=fn_tt_tt_1" TargetMode="External"/><Relationship Id="rId3101" Type="http://schemas.openxmlformats.org/officeDocument/2006/relationships/hyperlink" Target="http://www.imdb.com/title/tt2515086/?ref_=fn_tt_tt_1" TargetMode="External"/><Relationship Id="rId3100" Type="http://schemas.openxmlformats.org/officeDocument/2006/relationships/hyperlink" Target="http://www.imdb.com/title/tt0499554/?ref_=fn_tt_tt_1" TargetMode="External"/><Relationship Id="rId310" Type="http://schemas.openxmlformats.org/officeDocument/2006/relationships/hyperlink" Target="http://www.imdb.com/title/tt0327554/?ref_=fn_tt_tt_1" TargetMode="External"/><Relationship Id="rId31" Type="http://schemas.openxmlformats.org/officeDocument/2006/relationships/hyperlink" Target="http://www.imdb.com/title/tt1074638/?ref_=fn_tt_tt_1" TargetMode="External"/><Relationship Id="rId3099" Type="http://schemas.openxmlformats.org/officeDocument/2006/relationships/hyperlink" Target="http://www.imdb.com/title/tt1935179/?ref_=fn_tt_tt_1" TargetMode="External"/><Relationship Id="rId3098" Type="http://schemas.openxmlformats.org/officeDocument/2006/relationships/hyperlink" Target="http://www.imdb.com/title/tt0142192/?ref_=fn_tt_tt_1" TargetMode="External"/><Relationship Id="rId3097" Type="http://schemas.openxmlformats.org/officeDocument/2006/relationships/hyperlink" Target="http://www.imdb.com/title/tt0081071/?ref_=fn_tt_tt_1" TargetMode="External"/><Relationship Id="rId3096" Type="http://schemas.openxmlformats.org/officeDocument/2006/relationships/hyperlink" Target="http://www.imdb.com/title/tt0295700/?ref_=fn_tt_tt_1" TargetMode="External"/><Relationship Id="rId3095" Type="http://schemas.openxmlformats.org/officeDocument/2006/relationships/hyperlink" Target="http://www.imdb.com/title/tt0100814/?ref_=fn_tt_tt_1" TargetMode="External"/><Relationship Id="rId3094" Type="http://schemas.openxmlformats.org/officeDocument/2006/relationships/hyperlink" Target="http://www.imdb.com/title/tt0240468/?ref_=fn_tt_tt_1" TargetMode="External"/><Relationship Id="rId3093" Type="http://schemas.openxmlformats.org/officeDocument/2006/relationships/hyperlink" Target="http://www.imdb.com/title/tt0100168/?ref_=fn_tt_tt_1" TargetMode="External"/><Relationship Id="rId3092" Type="http://schemas.openxmlformats.org/officeDocument/2006/relationships/hyperlink" Target="http://www.imdb.com/title/tt0380623/?ref_=fn_tt_tt_1" TargetMode="External"/><Relationship Id="rId3091" Type="http://schemas.openxmlformats.org/officeDocument/2006/relationships/hyperlink" Target="http://www.imdb.com/title/tt0846308/?ref_=fn_tt_tt_1" TargetMode="External"/><Relationship Id="rId3090" Type="http://schemas.openxmlformats.org/officeDocument/2006/relationships/hyperlink" Target="http://www.imdb.com/title/tt2555736/?ref_=fn_tt_tt_1" TargetMode="External"/><Relationship Id="rId309" Type="http://schemas.openxmlformats.org/officeDocument/2006/relationships/hyperlink" Target="http://www.imdb.com/title/tt1219342/?ref_=fn_tt_tt_1" TargetMode="External"/><Relationship Id="rId3089" Type="http://schemas.openxmlformats.org/officeDocument/2006/relationships/hyperlink" Target="http://www.imdb.com/title/tt1564585/?ref_=fn_tt_tt_1" TargetMode="External"/><Relationship Id="rId3088" Type="http://schemas.openxmlformats.org/officeDocument/2006/relationships/hyperlink" Target="http://www.imdb.com/title/tt0128445/?ref_=fn_tt_tt_1" TargetMode="External"/><Relationship Id="rId3087" Type="http://schemas.openxmlformats.org/officeDocument/2006/relationships/hyperlink" Target="http://www.imdb.com/title/tt0403455/?ref_=fn_tt_tt_1" TargetMode="External"/><Relationship Id="rId3086" Type="http://schemas.openxmlformats.org/officeDocument/2006/relationships/hyperlink" Target="http://www.imdb.com/title/tt0089348/?ref_=fn_tt_tt_1" TargetMode="External"/><Relationship Id="rId3085" Type="http://schemas.openxmlformats.org/officeDocument/2006/relationships/hyperlink" Target="http://www.imdb.com/title/tt0107079/?ref_=fn_tt_tt_1" TargetMode="External"/><Relationship Id="rId3084" Type="http://schemas.openxmlformats.org/officeDocument/2006/relationships/hyperlink" Target="http://www.imdb.com/title/tt0420087/?ref_=fn_tt_tt_1" TargetMode="External"/><Relationship Id="rId3083" Type="http://schemas.openxmlformats.org/officeDocument/2006/relationships/hyperlink" Target="http://www.imdb.com/title/tt1220198/?ref_=fn_tt_tt_1" TargetMode="External"/><Relationship Id="rId3082" Type="http://schemas.openxmlformats.org/officeDocument/2006/relationships/hyperlink" Target="http://www.imdb.com/title/tt0242998/?ref_=fn_tt_tt_1" TargetMode="External"/><Relationship Id="rId3081" Type="http://schemas.openxmlformats.org/officeDocument/2006/relationships/hyperlink" Target="http://www.imdb.com/title/tt1876451/?ref_=fn_tt_tt_1" TargetMode="External"/><Relationship Id="rId3080" Type="http://schemas.openxmlformats.org/officeDocument/2006/relationships/hyperlink" Target="http://www.imdb.com/title/tt2752772/?ref_=fn_tt_tt_1" TargetMode="External"/><Relationship Id="rId308" Type="http://schemas.openxmlformats.org/officeDocument/2006/relationships/hyperlink" Target="http://www.imdb.com/title/tt1371111/?ref_=fn_tt_tt_1" TargetMode="External"/><Relationship Id="rId3079" Type="http://schemas.openxmlformats.org/officeDocument/2006/relationships/hyperlink" Target="http://www.imdb.com/title/tt0085407/?ref_=fn_tt_tt_1" TargetMode="External"/><Relationship Id="rId3078" Type="http://schemas.openxmlformats.org/officeDocument/2006/relationships/hyperlink" Target="http://www.imdb.com/title/tt2788732/?ref_=fn_tt_tt_1" TargetMode="External"/><Relationship Id="rId3077" Type="http://schemas.openxmlformats.org/officeDocument/2006/relationships/hyperlink" Target="http://www.imdb.com/title/tt0086066/?ref_=fn_tt_tt_1" TargetMode="External"/><Relationship Id="rId3076" Type="http://schemas.openxmlformats.org/officeDocument/2006/relationships/hyperlink" Target="http://www.imdb.com/title/tt0127723/?ref_=fn_tt_tt_1" TargetMode="External"/><Relationship Id="rId3075" Type="http://schemas.openxmlformats.org/officeDocument/2006/relationships/hyperlink" Target="http://www.imdb.com/title/tt0424993/?ref_=fn_tt_tt_1" TargetMode="External"/><Relationship Id="rId3074" Type="http://schemas.openxmlformats.org/officeDocument/2006/relationships/hyperlink" Target="http://www.imdb.com/title/tt0283026/?ref_=fn_tt_tt_1" TargetMode="External"/><Relationship Id="rId3073" Type="http://schemas.openxmlformats.org/officeDocument/2006/relationships/hyperlink" Target="http://www.imdb.com/title/tt0110399/?ref_=fn_tt_tt_1" TargetMode="External"/><Relationship Id="rId3072" Type="http://schemas.openxmlformats.org/officeDocument/2006/relationships/hyperlink" Target="http://www.imdb.com/title/tt0098206/?ref_=fn_tt_tt_1" TargetMode="External"/><Relationship Id="rId3071" Type="http://schemas.openxmlformats.org/officeDocument/2006/relationships/hyperlink" Target="http://www.imdb.com/title/tt0086491/?ref_=fn_tt_tt_1" TargetMode="External"/><Relationship Id="rId3070" Type="http://schemas.openxmlformats.org/officeDocument/2006/relationships/hyperlink" Target="http://www.imdb.com/title/tt0280460/?ref_=fn_tt_tt_1" TargetMode="External"/><Relationship Id="rId307" Type="http://schemas.openxmlformats.org/officeDocument/2006/relationships/hyperlink" Target="http://www.imdb.com/title/tt0120201/?ref_=fn_tt_tt_1" TargetMode="External"/><Relationship Id="rId3069" Type="http://schemas.openxmlformats.org/officeDocument/2006/relationships/hyperlink" Target="http://www.imdb.com/title/tt0120655/?ref_=fn_tt_tt_1" TargetMode="External"/><Relationship Id="rId3068" Type="http://schemas.openxmlformats.org/officeDocument/2006/relationships/hyperlink" Target="http://www.imdb.com/title/tt0981227/?ref_=fn_tt_tt_1" TargetMode="External"/><Relationship Id="rId3067" Type="http://schemas.openxmlformats.org/officeDocument/2006/relationships/hyperlink" Target="http://www.imdb.com/title/tt0104692/?ref_=fn_tt_tt_1" TargetMode="External"/><Relationship Id="rId3066" Type="http://schemas.openxmlformats.org/officeDocument/2006/relationships/hyperlink" Target="http://www.imdb.com/title/tt0089461/?ref_=fn_tt_tt_1" TargetMode="External"/><Relationship Id="rId3065" Type="http://schemas.openxmlformats.org/officeDocument/2006/relationships/hyperlink" Target="http://www.imdb.com/title/tt3195644/?ref_=fn_tt_tt_1" TargetMode="External"/><Relationship Id="rId3064" Type="http://schemas.openxmlformats.org/officeDocument/2006/relationships/hyperlink" Target="http://www.imdb.com/title/tt0293815/?ref_=fn_tt_tt_1" TargetMode="External"/><Relationship Id="rId3063" Type="http://schemas.openxmlformats.org/officeDocument/2006/relationships/hyperlink" Target="http://www.imdb.com/title/tt1314655/?ref_=fn_tt_tt_1" TargetMode="External"/><Relationship Id="rId3062" Type="http://schemas.openxmlformats.org/officeDocument/2006/relationships/hyperlink" Target="http://www.imdb.com/title/tt3882082/?ref_=fn_tt_tt_1" TargetMode="External"/><Relationship Id="rId3061" Type="http://schemas.openxmlformats.org/officeDocument/2006/relationships/hyperlink" Target="http://www.imdb.com/title/tt0088944/?ref_=fn_tt_tt_1" TargetMode="External"/><Relationship Id="rId3060" Type="http://schemas.openxmlformats.org/officeDocument/2006/relationships/hyperlink" Target="http://www.imdb.com/title/tt0089530/?ref_=fn_tt_tt_1" TargetMode="External"/><Relationship Id="rId306" Type="http://schemas.openxmlformats.org/officeDocument/2006/relationships/hyperlink" Target="http://www.imdb.com/title/tt0112462/?ref_=fn_tt_tt_1" TargetMode="External"/><Relationship Id="rId3059" Type="http://schemas.openxmlformats.org/officeDocument/2006/relationships/hyperlink" Target="http://www.imdb.com/title/tt0265632/?ref_=fn_tt_tt_1" TargetMode="External"/><Relationship Id="rId3058" Type="http://schemas.openxmlformats.org/officeDocument/2006/relationships/hyperlink" Target="http://www.imdb.com/title/tt1412386/?ref_=fn_tt_tt_1" TargetMode="External"/><Relationship Id="rId3057" Type="http://schemas.openxmlformats.org/officeDocument/2006/relationships/hyperlink" Target="http://www.imdb.com/title/tt0063385/?ref_=fn_tt_tt_1" TargetMode="External"/><Relationship Id="rId3056" Type="http://schemas.openxmlformats.org/officeDocument/2006/relationships/hyperlink" Target="http://www.imdb.com/title/tt0096928/?ref_=fn_tt_tt_1" TargetMode="External"/><Relationship Id="rId3055" Type="http://schemas.openxmlformats.org/officeDocument/2006/relationships/hyperlink" Target="http://www.imdb.com/title/tt0263488/?ref_=fn_tt_tt_1" TargetMode="External"/><Relationship Id="rId3054" Type="http://schemas.openxmlformats.org/officeDocument/2006/relationships/hyperlink" Target="http://www.imdb.com/title/tt0116483/?ref_=fn_tt_tt_1" TargetMode="External"/><Relationship Id="rId3053" Type="http://schemas.openxmlformats.org/officeDocument/2006/relationships/hyperlink" Target="http://www.imdb.com/title/tt0391198/?ref_=fn_tt_tt_1" TargetMode="External"/><Relationship Id="rId3052" Type="http://schemas.openxmlformats.org/officeDocument/2006/relationships/hyperlink" Target="http://www.imdb.com/title/tt0104868/?ref_=fn_tt_tt_1" TargetMode="External"/><Relationship Id="rId3051" Type="http://schemas.openxmlformats.org/officeDocument/2006/relationships/hyperlink" Target="http://www.imdb.com/title/tt0056197/?ref_=fn_tt_tt_1" TargetMode="External"/><Relationship Id="rId3050" Type="http://schemas.openxmlformats.org/officeDocument/2006/relationships/hyperlink" Target="http://www.imdb.com/title/tt0090863/?ref_=fn_tt_tt_1" TargetMode="External"/><Relationship Id="rId305" Type="http://schemas.openxmlformats.org/officeDocument/2006/relationships/hyperlink" Target="http://www.imdb.com/title/tt0993846/?ref_=fn_tt_tt_1" TargetMode="External"/><Relationship Id="rId3049" Type="http://schemas.openxmlformats.org/officeDocument/2006/relationships/hyperlink" Target="http://www.imdb.com/title/tt0455612/?ref_=fn_tt_tt_1" TargetMode="External"/><Relationship Id="rId3048" Type="http://schemas.openxmlformats.org/officeDocument/2006/relationships/hyperlink" Target="http://www.imdb.com/title/tt0375210/?ref_=fn_tt_tt_1" TargetMode="External"/><Relationship Id="rId3047" Type="http://schemas.openxmlformats.org/officeDocument/2006/relationships/hyperlink" Target="http://www.imdb.com/title/tt0890870/?ref_=fn_tt_tt_1" TargetMode="External"/><Relationship Id="rId3046" Type="http://schemas.openxmlformats.org/officeDocument/2006/relationships/hyperlink" Target="http://www.imdb.com/title/tt0160862/?ref_=fn_tt_tt_1" TargetMode="External"/><Relationship Id="rId3045" Type="http://schemas.openxmlformats.org/officeDocument/2006/relationships/hyperlink" Target="http://www.imdb.com/title/tt4094724/?ref_=fn_tt_tt_1" TargetMode="External"/><Relationship Id="rId3044" Type="http://schemas.openxmlformats.org/officeDocument/2006/relationships/hyperlink" Target="http://www.imdb.com/title/tt0204946/?ref_=fn_tt_tt_1" TargetMode="External"/><Relationship Id="rId3043" Type="http://schemas.openxmlformats.org/officeDocument/2006/relationships/hyperlink" Target="http://www.imdb.com/title/tt0083131/?ref_=fn_tt_tt_1" TargetMode="External"/><Relationship Id="rId3042" Type="http://schemas.openxmlformats.org/officeDocument/2006/relationships/hyperlink" Target="http://www.imdb.com/title/tt0489270/?ref_=fn_tt_tt_1" TargetMode="External"/><Relationship Id="rId3041" Type="http://schemas.openxmlformats.org/officeDocument/2006/relationships/hyperlink" Target="http://www.imdb.com/title/tt3658772/?ref_=fn_tt_tt_1" TargetMode="External"/><Relationship Id="rId3040" Type="http://schemas.openxmlformats.org/officeDocument/2006/relationships/hyperlink" Target="http://www.imdb.com/title/tt0119217/?ref_=fn_tt_tt_1" TargetMode="External"/><Relationship Id="rId304" Type="http://schemas.openxmlformats.org/officeDocument/2006/relationships/hyperlink" Target="http://www.imdb.com/title/tt0450259/?ref_=fn_tt_tt_1" TargetMode="External"/><Relationship Id="rId3039" Type="http://schemas.openxmlformats.org/officeDocument/2006/relationships/hyperlink" Target="http://www.imdb.com/title/tt3547740/?ref_=fn_tt_tt_1" TargetMode="External"/><Relationship Id="rId3038" Type="http://schemas.openxmlformats.org/officeDocument/2006/relationships/hyperlink" Target="http://www.imdb.com/title/tt1566501/?ref_=fn_tt_tt_1" TargetMode="External"/><Relationship Id="rId3037" Type="http://schemas.openxmlformats.org/officeDocument/2006/relationships/hyperlink" Target="http://www.imdb.com/title/tt0473700/?ref_=fn_tt_tt_1" TargetMode="External"/><Relationship Id="rId3036" Type="http://schemas.openxmlformats.org/officeDocument/2006/relationships/hyperlink" Target="http://www.imdb.com/title/tt1573072/?ref_=fn_tt_tt_1" TargetMode="External"/><Relationship Id="rId3035" Type="http://schemas.openxmlformats.org/officeDocument/2006/relationships/hyperlink" Target="http://www.imdb.com/title/tt4051832/?ref_=fn_tt_tt_1" TargetMode="External"/><Relationship Id="rId3034" Type="http://schemas.openxmlformats.org/officeDocument/2006/relationships/hyperlink" Target="http://www.imdb.com/title/tt0108320/?ref_=fn_tt_tt_1" TargetMode="External"/><Relationship Id="rId3033" Type="http://schemas.openxmlformats.org/officeDocument/2006/relationships/hyperlink" Target="http://www.imdb.com/title/tt0313300/?ref_=fn_tt_tt_1" TargetMode="External"/><Relationship Id="rId3032" Type="http://schemas.openxmlformats.org/officeDocument/2006/relationships/hyperlink" Target="http://www.imdb.com/title/tt0419843/?ref_=fn_tt_tt_1" TargetMode="External"/><Relationship Id="rId3031" Type="http://schemas.openxmlformats.org/officeDocument/2006/relationships/hyperlink" Target="http://www.imdb.com/title/tt0083866/?ref_=fn_tt_tt_1" TargetMode="External"/><Relationship Id="rId3030" Type="http://schemas.openxmlformats.org/officeDocument/2006/relationships/hyperlink" Target="http://www.imdb.com/title/tt0062622/?ref_=fn_tt_tt_1" TargetMode="External"/><Relationship Id="rId303" Type="http://schemas.openxmlformats.org/officeDocument/2006/relationships/hyperlink" Target="http://www.imdb.com/title/tt0146675/?ref_=fn_tt_tt_1" TargetMode="External"/><Relationship Id="rId3029" Type="http://schemas.openxmlformats.org/officeDocument/2006/relationships/hyperlink" Target="http://www.imdb.com/title/tt0273517/?ref_=fn_tt_tt_1" TargetMode="External"/><Relationship Id="rId3028" Type="http://schemas.openxmlformats.org/officeDocument/2006/relationships/hyperlink" Target="http://www.imdb.com/title/tt1709143/?ref_=fn_tt_tt_1" TargetMode="External"/><Relationship Id="rId3027" Type="http://schemas.openxmlformats.org/officeDocument/2006/relationships/hyperlink" Target="http://www.imdb.com/title/tt0122541/?ref_=fn_tt_tt_1" TargetMode="External"/><Relationship Id="rId3026" Type="http://schemas.openxmlformats.org/officeDocument/2006/relationships/hyperlink" Target="http://www.imdb.com/title/tt0449999/?ref_=fn_tt_tt_1" TargetMode="External"/><Relationship Id="rId3025" Type="http://schemas.openxmlformats.org/officeDocument/2006/relationships/hyperlink" Target="http://www.imdb.com/title/tt0382765/?ref_=fn_tt_tt_1" TargetMode="External"/><Relationship Id="rId3024" Type="http://schemas.openxmlformats.org/officeDocument/2006/relationships/hyperlink" Target="http://www.imdb.com/title/tt1592873/?ref_=fn_tt_tt_1" TargetMode="External"/><Relationship Id="rId3023" Type="http://schemas.openxmlformats.org/officeDocument/2006/relationships/hyperlink" Target="http://www.imdb.com/title/tt0065895/?ref_=fn_tt_tt_1" TargetMode="External"/><Relationship Id="rId3022" Type="http://schemas.openxmlformats.org/officeDocument/2006/relationships/hyperlink" Target="http://www.imdb.com/title/tt1132626/?ref_=fn_tt_tt_1" TargetMode="External"/><Relationship Id="rId3021" Type="http://schemas.openxmlformats.org/officeDocument/2006/relationships/hyperlink" Target="http://www.imdb.com/title/tt1233192/?ref_=fn_tt_tt_1" TargetMode="External"/><Relationship Id="rId3020" Type="http://schemas.openxmlformats.org/officeDocument/2006/relationships/hyperlink" Target="http://www.imdb.com/title/tt0424908/?ref_=fn_tt_tt_1" TargetMode="External"/><Relationship Id="rId302" Type="http://schemas.openxmlformats.org/officeDocument/2006/relationships/hyperlink" Target="http://www.imdb.com/title/tt1243957/?ref_=fn_tt_tt_1" TargetMode="External"/><Relationship Id="rId3019" Type="http://schemas.openxmlformats.org/officeDocument/2006/relationships/hyperlink" Target="http://www.imdb.com/title/tt0368222/?ref_=fn_tt_tt_1" TargetMode="External"/><Relationship Id="rId3018" Type="http://schemas.openxmlformats.org/officeDocument/2006/relationships/hyperlink" Target="http://www.imdb.com/title/tt0066090/?ref_=fn_tt_tt_1" TargetMode="External"/><Relationship Id="rId3017" Type="http://schemas.openxmlformats.org/officeDocument/2006/relationships/hyperlink" Target="http://www.imdb.com/title/tt0102782/?ref_=fn_tt_tt_1" TargetMode="External"/><Relationship Id="rId3016" Type="http://schemas.openxmlformats.org/officeDocument/2006/relationships/hyperlink" Target="http://www.imdb.com/title/tt0184791/?ref_=fn_tt_tt_1" TargetMode="External"/><Relationship Id="rId3015" Type="http://schemas.openxmlformats.org/officeDocument/2006/relationships/hyperlink" Target="http://www.imdb.com/title/tt2042568/?ref_=fn_tt_tt_1" TargetMode="External"/><Relationship Id="rId3014" Type="http://schemas.openxmlformats.org/officeDocument/2006/relationships/hyperlink" Target="http://www.imdb.com/title/tt0114113/?ref_=fn_tt_tt_1" TargetMode="External"/><Relationship Id="rId3013" Type="http://schemas.openxmlformats.org/officeDocument/2006/relationships/hyperlink" Target="http://www.imdb.com/title/tt0280720/?ref_=fn_tt_tt_1" TargetMode="External"/><Relationship Id="rId3012" Type="http://schemas.openxmlformats.org/officeDocument/2006/relationships/hyperlink" Target="http://www.imdb.com/title/tt0383694/?ref_=fn_tt_tt_1" TargetMode="External"/><Relationship Id="rId3011" Type="http://schemas.openxmlformats.org/officeDocument/2006/relationships/hyperlink" Target="http://www.imdb.com/title/tt0377992/?ref_=fn_tt_tt_1" TargetMode="External"/><Relationship Id="rId3010" Type="http://schemas.openxmlformats.org/officeDocument/2006/relationships/hyperlink" Target="http://www.imdb.com/title/tt0108550/?ref_=fn_tt_tt_1" TargetMode="External"/><Relationship Id="rId301" Type="http://schemas.openxmlformats.org/officeDocument/2006/relationships/hyperlink" Target="http://www.imdb.com/title/tt0848537/?ref_=fn_tt_tt_1" TargetMode="External"/><Relationship Id="rId3009" Type="http://schemas.openxmlformats.org/officeDocument/2006/relationships/hyperlink" Target="http://www.imdb.com/title/tt0240900/?ref_=fn_tt_tt_1" TargetMode="External"/><Relationship Id="rId3008" Type="http://schemas.openxmlformats.org/officeDocument/2006/relationships/hyperlink" Target="http://www.imdb.com/title/tt0106308/?ref_=fn_tt_tt_1" TargetMode="External"/><Relationship Id="rId3007" Type="http://schemas.openxmlformats.org/officeDocument/2006/relationships/hyperlink" Target="http://www.imdb.com/title/tt0362269/?ref_=fn_tt_tt_1" TargetMode="External"/><Relationship Id="rId3006" Type="http://schemas.openxmlformats.org/officeDocument/2006/relationships/hyperlink" Target="http://www.imdb.com/title/tt2404425/?ref_=fn_tt_tt_1" TargetMode="External"/><Relationship Id="rId3005" Type="http://schemas.openxmlformats.org/officeDocument/2006/relationships/hyperlink" Target="http://www.imdb.com/title/tt0264616/?ref_=fn_tt_tt_1" TargetMode="External"/><Relationship Id="rId3004" Type="http://schemas.openxmlformats.org/officeDocument/2006/relationships/hyperlink" Target="http://www.imdb.com/title/tt0246989/?ref_=fn_tt_tt_1" TargetMode="External"/><Relationship Id="rId3003" Type="http://schemas.openxmlformats.org/officeDocument/2006/relationships/hyperlink" Target="http://www.imdb.com/title/tt1441951/?ref_=fn_tt_tt_1" TargetMode="External"/><Relationship Id="rId3002" Type="http://schemas.openxmlformats.org/officeDocument/2006/relationships/hyperlink" Target="http://www.imdb.com/title/tt0213790/?ref_=fn_tt_tt_1" TargetMode="External"/><Relationship Id="rId3001" Type="http://schemas.openxmlformats.org/officeDocument/2006/relationships/hyperlink" Target="http://www.imdb.com/title/tt0253798/?ref_=fn_tt_tt_1" TargetMode="External"/><Relationship Id="rId3000" Type="http://schemas.openxmlformats.org/officeDocument/2006/relationships/hyperlink" Target="http://www.imdb.com/title/tt0072684/?ref_=fn_tt_tt_1" TargetMode="External"/><Relationship Id="rId300" Type="http://schemas.openxmlformats.org/officeDocument/2006/relationships/hyperlink" Target="http://www.imdb.com/title/tt0386117/?ref_=fn_tt_tt_1" TargetMode="External"/><Relationship Id="rId30" Type="http://schemas.openxmlformats.org/officeDocument/2006/relationships/hyperlink" Target="http://www.imdb.com/title/tt0369610/?ref_=fn_tt_tt_1" TargetMode="External"/><Relationship Id="rId3" Type="http://schemas.openxmlformats.org/officeDocument/2006/relationships/hyperlink" Target="http://www.imdb.com/title/tt2379713/?ref_=fn_tt_tt_1" TargetMode="External"/><Relationship Id="rId2999" Type="http://schemas.openxmlformats.org/officeDocument/2006/relationships/hyperlink" Target="http://www.imdb.com/title/tt2381111/?ref_=fn_tt_tt_1" TargetMode="External"/><Relationship Id="rId2998" Type="http://schemas.openxmlformats.org/officeDocument/2006/relationships/hyperlink" Target="http://www.imdb.com/title/tt0091276/?ref_=fn_tt_tt_1" TargetMode="External"/><Relationship Id="rId2997" Type="http://schemas.openxmlformats.org/officeDocument/2006/relationships/hyperlink" Target="http://www.imdb.com/title/tt0077531/?ref_=fn_tt_tt_1" TargetMode="External"/><Relationship Id="rId2996" Type="http://schemas.openxmlformats.org/officeDocument/2006/relationships/hyperlink" Target="http://www.imdb.com/title/tt0105217/?ref_=fn_tt_tt_1" TargetMode="External"/><Relationship Id="rId2995" Type="http://schemas.openxmlformats.org/officeDocument/2006/relationships/hyperlink" Target="http://www.imdb.com/title/tt0250310/?ref_=fn_tt_tt_1" TargetMode="External"/><Relationship Id="rId2994" Type="http://schemas.openxmlformats.org/officeDocument/2006/relationships/hyperlink" Target="http://www.imdb.com/title/tt0416212/?ref_=fn_tt_tt_1" TargetMode="External"/><Relationship Id="rId2993" Type="http://schemas.openxmlformats.org/officeDocument/2006/relationships/hyperlink" Target="http://www.imdb.com/title/tt0082517/?ref_=fn_tt_tt_1" TargetMode="External"/><Relationship Id="rId2992" Type="http://schemas.openxmlformats.org/officeDocument/2006/relationships/hyperlink" Target="http://www.imdb.com/title/tt1233227/?ref_=fn_tt_tt_1" TargetMode="External"/><Relationship Id="rId2991" Type="http://schemas.openxmlformats.org/officeDocument/2006/relationships/hyperlink" Target="http://www.imdb.com/title/tt0139134/?ref_=fn_tt_tt_1" TargetMode="External"/><Relationship Id="rId2990" Type="http://schemas.openxmlformats.org/officeDocument/2006/relationships/hyperlink" Target="http://www.imdb.com/title/tt0112818/?ref_=fn_tt_tt_1" TargetMode="External"/><Relationship Id="rId299" Type="http://schemas.openxmlformats.org/officeDocument/2006/relationships/hyperlink" Target="http://www.imdb.com/title/tt0449010/?ref_=fn_tt_tt_1" TargetMode="External"/><Relationship Id="rId2989" Type="http://schemas.openxmlformats.org/officeDocument/2006/relationships/hyperlink" Target="http://www.imdb.com/title/tt0281358/?ref_=fn_tt_tt_1" TargetMode="External"/><Relationship Id="rId2988" Type="http://schemas.openxmlformats.org/officeDocument/2006/relationships/hyperlink" Target="http://www.imdb.com/title/tt0183649/?ref_=fn_tt_tt_1" TargetMode="External"/><Relationship Id="rId2987" Type="http://schemas.openxmlformats.org/officeDocument/2006/relationships/hyperlink" Target="http://www.imdb.com/title/tt0964587/?ref_=fn_tt_tt_1" TargetMode="External"/><Relationship Id="rId2986" Type="http://schemas.openxmlformats.org/officeDocument/2006/relationships/hyperlink" Target="http://www.imdb.com/title/tt0097815/?ref_=fn_tt_tt_1" TargetMode="External"/><Relationship Id="rId2985" Type="http://schemas.openxmlformats.org/officeDocument/2006/relationships/hyperlink" Target="http://www.imdb.com/title/tt2968804/?ref_=fn_tt_tt_1" TargetMode="External"/><Relationship Id="rId2984" Type="http://schemas.openxmlformats.org/officeDocument/2006/relationships/hyperlink" Target="http://www.imdb.com/title/tt1355630/?ref_=fn_tt_tt_1" TargetMode="External"/><Relationship Id="rId2983" Type="http://schemas.openxmlformats.org/officeDocument/2006/relationships/hyperlink" Target="http://www.imdb.com/title/tt0104952/?ref_=fn_tt_tt_1" TargetMode="External"/><Relationship Id="rId2982" Type="http://schemas.openxmlformats.org/officeDocument/2006/relationships/hyperlink" Target="http://www.imdb.com/title/tt0493430/?ref_=fn_tt_tt_1" TargetMode="External"/><Relationship Id="rId2981" Type="http://schemas.openxmlformats.org/officeDocument/2006/relationships/hyperlink" Target="http://www.imdb.com/title/tt0964517/?ref_=fn_tt_tt_1" TargetMode="External"/><Relationship Id="rId2980" Type="http://schemas.openxmlformats.org/officeDocument/2006/relationships/hyperlink" Target="http://www.imdb.com/title/tt0962726/?ref_=fn_tt_tt_1" TargetMode="External"/><Relationship Id="rId298" Type="http://schemas.openxmlformats.org/officeDocument/2006/relationships/hyperlink" Target="http://www.imdb.com/title/tt0368891/?ref_=fn_tt_tt_1" TargetMode="External"/><Relationship Id="rId2979" Type="http://schemas.openxmlformats.org/officeDocument/2006/relationships/hyperlink" Target="http://www.imdb.com/title/tt1921149/?ref_=fn_tt_tt_1" TargetMode="External"/><Relationship Id="rId2978" Type="http://schemas.openxmlformats.org/officeDocument/2006/relationships/hyperlink" Target="http://www.imdb.com/title/tt0059113/?ref_=fn_tt_tt_1" TargetMode="External"/><Relationship Id="rId2977" Type="http://schemas.openxmlformats.org/officeDocument/2006/relationships/hyperlink" Target="http://www.imdb.com/title/tt1860213/?ref_=fn_tt_tt_1" TargetMode="External"/><Relationship Id="rId2976" Type="http://schemas.openxmlformats.org/officeDocument/2006/relationships/hyperlink" Target="http://www.imdb.com/title/tt0076759/?ref_=fn_tt_tt_1" TargetMode="External"/><Relationship Id="rId2975" Type="http://schemas.openxmlformats.org/officeDocument/2006/relationships/hyperlink" Target="http://www.imdb.com/title/tt0087363/?ref_=fn_tt_tt_1" TargetMode="External"/><Relationship Id="rId2974" Type="http://schemas.openxmlformats.org/officeDocument/2006/relationships/hyperlink" Target="http://www.imdb.com/title/tt3682770/?ref_=fn_tt_tt_1" TargetMode="External"/><Relationship Id="rId2973" Type="http://schemas.openxmlformats.org/officeDocument/2006/relationships/hyperlink" Target="http://www.imdb.com/title/tt1034302/?ref_=fn_tt_tt_1" TargetMode="External"/><Relationship Id="rId2972" Type="http://schemas.openxmlformats.org/officeDocument/2006/relationships/hyperlink" Target="http://www.imdb.com/title/tt0107474/?ref_=fn_tt_tt_1" TargetMode="External"/><Relationship Id="rId2971" Type="http://schemas.openxmlformats.org/officeDocument/2006/relationships/hyperlink" Target="http://www.imdb.com/title/tt0098084/?ref_=fn_tt_tt_1" TargetMode="External"/><Relationship Id="rId2970" Type="http://schemas.openxmlformats.org/officeDocument/2006/relationships/hyperlink" Target="http://www.imdb.com/title/tt2598580/?ref_=fn_tt_tt_1" TargetMode="External"/><Relationship Id="rId297" Type="http://schemas.openxmlformats.org/officeDocument/2006/relationships/hyperlink" Target="http://www.imdb.com/title/tt1764651/?ref_=fn_tt_tt_1" TargetMode="External"/><Relationship Id="rId2969" Type="http://schemas.openxmlformats.org/officeDocument/2006/relationships/hyperlink" Target="http://www.imdb.com/title/tt0208092/?ref_=fn_tt_tt_1" TargetMode="External"/><Relationship Id="rId2968" Type="http://schemas.openxmlformats.org/officeDocument/2006/relationships/hyperlink" Target="http://www.imdb.com/title/tt1929263/?ref_=fn_tt_tt_1" TargetMode="External"/><Relationship Id="rId2967" Type="http://schemas.openxmlformats.org/officeDocument/2006/relationships/hyperlink" Target="http://www.imdb.com/title/tt3453052/?ref_=fn_tt_tt_1" TargetMode="External"/><Relationship Id="rId2966" Type="http://schemas.openxmlformats.org/officeDocument/2006/relationships/hyperlink" Target="http://www.imdb.com/title/tt1187064/?ref_=fn_tt_tt_1" TargetMode="External"/><Relationship Id="rId2965" Type="http://schemas.openxmlformats.org/officeDocument/2006/relationships/hyperlink" Target="http://www.imdb.com/title/tt1486193/?ref_=fn_tt_tt_1" TargetMode="External"/><Relationship Id="rId2964" Type="http://schemas.openxmlformats.org/officeDocument/2006/relationships/hyperlink" Target="http://www.imdb.com/title/tt1477109/?ref_=fn_tt_tt_1" TargetMode="External"/><Relationship Id="rId2963" Type="http://schemas.openxmlformats.org/officeDocument/2006/relationships/hyperlink" Target="http://www.imdb.com/title/tt1876517/?ref_=fn_tt_tt_1" TargetMode="External"/><Relationship Id="rId2962" Type="http://schemas.openxmlformats.org/officeDocument/2006/relationships/hyperlink" Target="http://www.imdb.com/title/tt1124052/?ref_=fn_tt_tt_1" TargetMode="External"/><Relationship Id="rId2961" Type="http://schemas.openxmlformats.org/officeDocument/2006/relationships/hyperlink" Target="http://www.imdb.com/title/tt0284978/?ref_=fn_tt_tt_1" TargetMode="External"/><Relationship Id="rId2960" Type="http://schemas.openxmlformats.org/officeDocument/2006/relationships/hyperlink" Target="http://www.imdb.com/title/tt1428556/?ref_=fn_tt_tt_1" TargetMode="External"/><Relationship Id="rId296" Type="http://schemas.openxmlformats.org/officeDocument/2006/relationships/hyperlink" Target="http://www.imdb.com/title/tt0120917/?ref_=fn_tt_tt_1" TargetMode="External"/><Relationship Id="rId2959" Type="http://schemas.openxmlformats.org/officeDocument/2006/relationships/hyperlink" Target="http://www.imdb.com/title/tt0120618/?ref_=fn_tt_tt_1" TargetMode="External"/><Relationship Id="rId2958" Type="http://schemas.openxmlformats.org/officeDocument/2006/relationships/hyperlink" Target="http://www.imdb.com/title/tt0367082/?ref_=fn_tt_tt_1" TargetMode="External"/><Relationship Id="rId2957" Type="http://schemas.openxmlformats.org/officeDocument/2006/relationships/hyperlink" Target="http://www.imdb.com/title/tt0399095/?ref_=fn_tt_tt_1" TargetMode="External"/><Relationship Id="rId2956" Type="http://schemas.openxmlformats.org/officeDocument/2006/relationships/hyperlink" Target="http://www.imdb.com/title/tt1730687/?ref_=fn_tt_tt_1" TargetMode="External"/><Relationship Id="rId2955" Type="http://schemas.openxmlformats.org/officeDocument/2006/relationships/hyperlink" Target="http://www.imdb.com/title/tt0815178/?ref_=fn_tt_tt_1" TargetMode="External"/><Relationship Id="rId2954" Type="http://schemas.openxmlformats.org/officeDocument/2006/relationships/hyperlink" Target="http://www.imdb.com/title/tt0118901/?ref_=fn_tt_tt_1" TargetMode="External"/><Relationship Id="rId2953" Type="http://schemas.openxmlformats.org/officeDocument/2006/relationships/hyperlink" Target="http://www.imdb.com/title/tt0271259/?ref_=fn_tt_tt_1" TargetMode="External"/><Relationship Id="rId2952" Type="http://schemas.openxmlformats.org/officeDocument/2006/relationships/hyperlink" Target="http://www.imdb.com/title/tt0222851/?ref_=fn_tt_tt_1" TargetMode="External"/><Relationship Id="rId2951" Type="http://schemas.openxmlformats.org/officeDocument/2006/relationships/hyperlink" Target="http://www.imdb.com/title/tt1235796/?ref_=fn_tt_tt_1" TargetMode="External"/><Relationship Id="rId2950" Type="http://schemas.openxmlformats.org/officeDocument/2006/relationships/hyperlink" Target="http://www.imdb.com/title/tt0361715/?ref_=fn_tt_tt_1" TargetMode="External"/><Relationship Id="rId295" Type="http://schemas.openxmlformats.org/officeDocument/2006/relationships/hyperlink" Target="http://www.imdb.com/title/tt0116583/?ref_=fn_tt_tt_1" TargetMode="External"/><Relationship Id="rId2949" Type="http://schemas.openxmlformats.org/officeDocument/2006/relationships/hyperlink" Target="http://www.imdb.com/title/tt0804505/?ref_=fn_tt_tt_1" TargetMode="External"/><Relationship Id="rId2948" Type="http://schemas.openxmlformats.org/officeDocument/2006/relationships/hyperlink" Target="http://www.imdb.com/title/tt0212712/?ref_=fn_tt_tt_1" TargetMode="External"/><Relationship Id="rId2947" Type="http://schemas.openxmlformats.org/officeDocument/2006/relationships/hyperlink" Target="http://www.imdb.com/title/tt1682180/?ref_=fn_tt_tt_1" TargetMode="External"/><Relationship Id="rId2946" Type="http://schemas.openxmlformats.org/officeDocument/2006/relationships/hyperlink" Target="http://www.imdb.com/title/tt0238924/?ref_=fn_tt_tt_1" TargetMode="External"/><Relationship Id="rId2945" Type="http://schemas.openxmlformats.org/officeDocument/2006/relationships/hyperlink" Target="http://www.imdb.com/title/tt2358891/?ref_=fn_tt_tt_1" TargetMode="External"/><Relationship Id="rId2944" Type="http://schemas.openxmlformats.org/officeDocument/2006/relationships/hyperlink" Target="http://www.imdb.com/title/tt0423977/?ref_=fn_tt_tt_1" TargetMode="External"/><Relationship Id="rId2943" Type="http://schemas.openxmlformats.org/officeDocument/2006/relationships/hyperlink" Target="http://www.imdb.com/title/tt0129332/?ref_=fn_tt_tt_1" TargetMode="External"/><Relationship Id="rId2942" Type="http://schemas.openxmlformats.org/officeDocument/2006/relationships/hyperlink" Target="http://www.imdb.com/title/tt0082958/?ref_=fn_tt_tt_1" TargetMode="External"/><Relationship Id="rId2941" Type="http://schemas.openxmlformats.org/officeDocument/2006/relationships/hyperlink" Target="http://www.imdb.com/title/tt0468492/?ref_=fn_tt_tt_1" TargetMode="External"/><Relationship Id="rId2940" Type="http://schemas.openxmlformats.org/officeDocument/2006/relationships/hyperlink" Target="http://www.imdb.com/title/tt0253200/?ref_=fn_tt_tt_1" TargetMode="External"/><Relationship Id="rId294" Type="http://schemas.openxmlformats.org/officeDocument/2006/relationships/hyperlink" Target="http://www.imdb.com/title/tt1853728/?ref_=fn_tt_tt_1" TargetMode="External"/><Relationship Id="rId2939" Type="http://schemas.openxmlformats.org/officeDocument/2006/relationships/hyperlink" Target="http://www.imdb.com/title/tt1103275/?ref_=fn_tt_tt_1" TargetMode="External"/><Relationship Id="rId2938" Type="http://schemas.openxmlformats.org/officeDocument/2006/relationships/hyperlink" Target="http://www.imdb.com/title/tt0199626/?ref_=fn_tt_tt_1" TargetMode="External"/><Relationship Id="rId2937" Type="http://schemas.openxmlformats.org/officeDocument/2006/relationships/hyperlink" Target="http://www.imdb.com/title/tt0116414/?ref_=fn_tt_tt_1" TargetMode="External"/><Relationship Id="rId2936" Type="http://schemas.openxmlformats.org/officeDocument/2006/relationships/hyperlink" Target="http://www.imdb.com/title/tt0339034/?ref_=fn_tt_tt_1" TargetMode="External"/><Relationship Id="rId2935" Type="http://schemas.openxmlformats.org/officeDocument/2006/relationships/hyperlink" Target="http://www.imdb.com/title/tt0439289/?ref_=fn_tt_tt_1" TargetMode="External"/><Relationship Id="rId2934" Type="http://schemas.openxmlformats.org/officeDocument/2006/relationships/hyperlink" Target="http://www.imdb.com/title/tt0120533/?ref_=fn_tt_tt_1" TargetMode="External"/><Relationship Id="rId2933" Type="http://schemas.openxmlformats.org/officeDocument/2006/relationships/hyperlink" Target="http://www.imdb.com/title/tt0470765/?ref_=fn_tt_tt_1" TargetMode="External"/><Relationship Id="rId2932" Type="http://schemas.openxmlformats.org/officeDocument/2006/relationships/hyperlink" Target="http://www.imdb.com/title/tt0106950/?ref_=fn_tt_tt_1" TargetMode="External"/><Relationship Id="rId2931" Type="http://schemas.openxmlformats.org/officeDocument/2006/relationships/hyperlink" Target="http://www.imdb.com/title/tt0156323/?ref_=fn_tt_tt_1" TargetMode="External"/><Relationship Id="rId2930" Type="http://schemas.openxmlformats.org/officeDocument/2006/relationships/hyperlink" Target="http://www.imdb.com/title/tt1042877/?ref_=fn_tt_tt_1" TargetMode="External"/><Relationship Id="rId293" Type="http://schemas.openxmlformats.org/officeDocument/2006/relationships/hyperlink" Target="http://www.imdb.com/title/tt0116213/?ref_=fn_tt_tt_1" TargetMode="External"/><Relationship Id="rId2929" Type="http://schemas.openxmlformats.org/officeDocument/2006/relationships/hyperlink" Target="http://www.imdb.com/title/tt2436386/?ref_=fn_tt_tt_1" TargetMode="External"/><Relationship Id="rId2928" Type="http://schemas.openxmlformats.org/officeDocument/2006/relationships/hyperlink" Target="http://www.imdb.com/title/tt1764183/?ref_=fn_tt_tt_1" TargetMode="External"/><Relationship Id="rId2927" Type="http://schemas.openxmlformats.org/officeDocument/2006/relationships/hyperlink" Target="http://www.imdb.com/title/tt0385004/?ref_=fn_tt_tt_1" TargetMode="External"/><Relationship Id="rId2926" Type="http://schemas.openxmlformats.org/officeDocument/2006/relationships/hyperlink" Target="http://www.imdb.com/title/tt2194499/?ref_=fn_tt_tt_1" TargetMode="External"/><Relationship Id="rId2925" Type="http://schemas.openxmlformats.org/officeDocument/2006/relationships/hyperlink" Target="http://www.imdb.com/title/tt0279781/?ref_=fn_tt_tt_1" TargetMode="External"/><Relationship Id="rId2924" Type="http://schemas.openxmlformats.org/officeDocument/2006/relationships/hyperlink" Target="http://www.imdb.com/title/tt0082096/?ref_=fn_tt_tt_1" TargetMode="External"/><Relationship Id="rId2923" Type="http://schemas.openxmlformats.org/officeDocument/2006/relationships/hyperlink" Target="http://www.imdb.com/title/tt0335119/?ref_=fn_tt_tt_1" TargetMode="External"/><Relationship Id="rId2922" Type="http://schemas.openxmlformats.org/officeDocument/2006/relationships/hyperlink" Target="http://www.imdb.com/title/tt0082934/?ref_=fn_tt_tt_1" TargetMode="External"/><Relationship Id="rId2921" Type="http://schemas.openxmlformats.org/officeDocument/2006/relationships/hyperlink" Target="http://www.imdb.com/title/tt1084950/?ref_=fn_tt_tt_1" TargetMode="External"/><Relationship Id="rId2920" Type="http://schemas.openxmlformats.org/officeDocument/2006/relationships/hyperlink" Target="http://www.imdb.com/title/tt1407061/?ref_=fn_tt_tt_1" TargetMode="External"/><Relationship Id="rId292" Type="http://schemas.openxmlformats.org/officeDocument/2006/relationships/hyperlink" Target="http://www.imdb.com/title/tt1386588/?ref_=fn_tt_tt_1" TargetMode="External"/><Relationship Id="rId2919" Type="http://schemas.openxmlformats.org/officeDocument/2006/relationships/hyperlink" Target="http://www.imdb.com/title/tt0120722/?ref_=fn_tt_tt_1" TargetMode="External"/><Relationship Id="rId2918" Type="http://schemas.openxmlformats.org/officeDocument/2006/relationships/hyperlink" Target="http://www.imdb.com/title/tt0119326/?ref_=fn_tt_tt_1" TargetMode="External"/><Relationship Id="rId2917" Type="http://schemas.openxmlformats.org/officeDocument/2006/relationships/hyperlink" Target="http://www.imdb.com/title/tt0479884/?ref_=fn_tt_tt_1" TargetMode="External"/><Relationship Id="rId2916" Type="http://schemas.openxmlformats.org/officeDocument/2006/relationships/hyperlink" Target="http://www.imdb.com/title/tt1625346/?ref_=fn_tt_tt_1" TargetMode="External"/><Relationship Id="rId2915" Type="http://schemas.openxmlformats.org/officeDocument/2006/relationships/hyperlink" Target="http://www.imdb.com/title/tt0273799/?ref_=fn_tt_tt_1" TargetMode="External"/><Relationship Id="rId2914" Type="http://schemas.openxmlformats.org/officeDocument/2006/relationships/hyperlink" Target="http://www.imdb.com/title/tt0114608/?ref_=fn_tt_tt_1" TargetMode="External"/><Relationship Id="rId2913" Type="http://schemas.openxmlformats.org/officeDocument/2006/relationships/hyperlink" Target="http://www.imdb.com/title/tt1821549/?ref_=fn_tt_tt_1" TargetMode="External"/><Relationship Id="rId2912" Type="http://schemas.openxmlformats.org/officeDocument/2006/relationships/hyperlink" Target="http://www.imdb.com/title/tt0332712/?ref_=fn_tt_tt_1" TargetMode="External"/><Relationship Id="rId2911" Type="http://schemas.openxmlformats.org/officeDocument/2006/relationships/hyperlink" Target="http://www.imdb.com/title/tt3622592/?ref_=fn_tt_tt_1" TargetMode="External"/><Relationship Id="rId2910" Type="http://schemas.openxmlformats.org/officeDocument/2006/relationships/hyperlink" Target="http://www.imdb.com/title/tt0429591/?ref_=fn_tt_tt_1" TargetMode="External"/><Relationship Id="rId291" Type="http://schemas.openxmlformats.org/officeDocument/2006/relationships/hyperlink" Target="http://www.imdb.com/title/tt0970866/?ref_=fn_tt_tt_1" TargetMode="External"/><Relationship Id="rId2909" Type="http://schemas.openxmlformats.org/officeDocument/2006/relationships/hyperlink" Target="http://www.imdb.com/title/tt0077269/?ref_=fn_tt_tt_1" TargetMode="External"/><Relationship Id="rId2908" Type="http://schemas.openxmlformats.org/officeDocument/2006/relationships/hyperlink" Target="http://www.imdb.com/title/tt0365885/?ref_=fn_tt_tt_1" TargetMode="External"/><Relationship Id="rId2907" Type="http://schemas.openxmlformats.org/officeDocument/2006/relationships/hyperlink" Target="http://www.imdb.com/title/tt2431286/?ref_=fn_tt_tt_1" TargetMode="External"/><Relationship Id="rId2906" Type="http://schemas.openxmlformats.org/officeDocument/2006/relationships/hyperlink" Target="http://www.imdb.com/title/tt1442449/?ref_=fn_tt_tt_1" TargetMode="External"/><Relationship Id="rId2905" Type="http://schemas.openxmlformats.org/officeDocument/2006/relationships/hyperlink" Target="http://www.imdb.com/title/tt0164181/?ref_=fn_tt_tt_1" TargetMode="External"/><Relationship Id="rId2904" Type="http://schemas.openxmlformats.org/officeDocument/2006/relationships/hyperlink" Target="http://www.imdb.com/title/tt0079758/?ref_=fn_tt_tt_1" TargetMode="External"/><Relationship Id="rId2903" Type="http://schemas.openxmlformats.org/officeDocument/2006/relationships/hyperlink" Target="http://www.imdb.com/title/tt2784678/?ref_=fn_tt_tt_1" TargetMode="External"/><Relationship Id="rId2902" Type="http://schemas.openxmlformats.org/officeDocument/2006/relationships/hyperlink" Target="http://www.imdb.com/title/tt0128442/?ref_=fn_tt_tt_1" TargetMode="External"/><Relationship Id="rId2901" Type="http://schemas.openxmlformats.org/officeDocument/2006/relationships/hyperlink" Target="http://www.imdb.com/title/tt2582846/?ref_=fn_tt_tt_1" TargetMode="External"/><Relationship Id="rId2900" Type="http://schemas.openxmlformats.org/officeDocument/2006/relationships/hyperlink" Target="http://www.imdb.com/title/tt2215719/?ref_=fn_tt_tt_1" TargetMode="External"/><Relationship Id="rId290" Type="http://schemas.openxmlformats.org/officeDocument/2006/relationships/hyperlink" Target="http://www.imdb.com/title/tt1111422/?ref_=fn_tt_tt_1" TargetMode="External"/><Relationship Id="rId29" Type="http://schemas.openxmlformats.org/officeDocument/2006/relationships/hyperlink" Target="http://www.imdb.com/title/tt1440129/?ref_=fn_tt_tt_1" TargetMode="External"/><Relationship Id="rId2899" Type="http://schemas.openxmlformats.org/officeDocument/2006/relationships/hyperlink" Target="http://www.imdb.com/title/tt0120679/?ref_=fn_tt_tt_1" TargetMode="External"/><Relationship Id="rId2898" Type="http://schemas.openxmlformats.org/officeDocument/2006/relationships/hyperlink" Target="http://www.imdb.com/title/tt0104940/?ref_=fn_tt_tt_1" TargetMode="External"/><Relationship Id="rId2897" Type="http://schemas.openxmlformats.org/officeDocument/2006/relationships/hyperlink" Target="http://www.imdb.com/title/tt0278488/?ref_=fn_tt_tt_1" TargetMode="External"/><Relationship Id="rId2896" Type="http://schemas.openxmlformats.org/officeDocument/2006/relationships/hyperlink" Target="http://www.imdb.com/title/tt0359517/?ref_=fn_tt_tt_1" TargetMode="External"/><Relationship Id="rId2895" Type="http://schemas.openxmlformats.org/officeDocument/2006/relationships/hyperlink" Target="http://www.imdb.com/title/tt0406759/?ref_=fn_tt_tt_1" TargetMode="External"/><Relationship Id="rId2894" Type="http://schemas.openxmlformats.org/officeDocument/2006/relationships/hyperlink" Target="http://www.imdb.com/title/tt1082868/?ref_=fn_tt_tt_1" TargetMode="External"/><Relationship Id="rId2893" Type="http://schemas.openxmlformats.org/officeDocument/2006/relationships/hyperlink" Target="http://www.imdb.com/title/tt0265459/?ref_=fn_tt_tt_1" TargetMode="External"/><Relationship Id="rId2892" Type="http://schemas.openxmlformats.org/officeDocument/2006/relationships/hyperlink" Target="http://www.imdb.com/title/tt0066206/?ref_=fn_tt_tt_1" TargetMode="External"/><Relationship Id="rId2891" Type="http://schemas.openxmlformats.org/officeDocument/2006/relationships/hyperlink" Target="http://www.imdb.com/title/tt1636826/?ref_=fn_tt_tt_1" TargetMode="External"/><Relationship Id="rId2890" Type="http://schemas.openxmlformats.org/officeDocument/2006/relationships/hyperlink" Target="http://www.imdb.com/title/tt0275022/?ref_=fn_tt_tt_1" TargetMode="External"/><Relationship Id="rId289" Type="http://schemas.openxmlformats.org/officeDocument/2006/relationships/hyperlink" Target="http://www.imdb.com/title/tt0111503/?ref_=fn_tt_tt_1" TargetMode="External"/><Relationship Id="rId2889" Type="http://schemas.openxmlformats.org/officeDocument/2006/relationships/hyperlink" Target="http://www.imdb.com/title/tt0081633/?ref_=fn_tt_tt_1" TargetMode="External"/><Relationship Id="rId2888" Type="http://schemas.openxmlformats.org/officeDocument/2006/relationships/hyperlink" Target="http://www.imdb.com/title/tt0086619/?ref_=fn_tt_tt_1" TargetMode="External"/><Relationship Id="rId2887" Type="http://schemas.openxmlformats.org/officeDocument/2006/relationships/hyperlink" Target="http://www.imdb.com/title/tt1706593/?ref_=fn_tt_tt_1" TargetMode="External"/><Relationship Id="rId2886" Type="http://schemas.openxmlformats.org/officeDocument/2006/relationships/hyperlink" Target="http://www.imdb.com/title/tt0481536/?ref_=fn_tt_tt_1" TargetMode="External"/><Relationship Id="rId2885" Type="http://schemas.openxmlformats.org/officeDocument/2006/relationships/hyperlink" Target="http://www.imdb.com/title/tt0119396/?ref_=fn_tt_tt_1" TargetMode="External"/><Relationship Id="rId2884" Type="http://schemas.openxmlformats.org/officeDocument/2006/relationships/hyperlink" Target="http://www.imdb.com/title/tt0115641/?ref_=fn_tt_tt_1" TargetMode="External"/><Relationship Id="rId2883" Type="http://schemas.openxmlformats.org/officeDocument/2006/relationships/hyperlink" Target="http://www.imdb.com/title/tt0462590/?ref_=fn_tt_tt_1" TargetMode="External"/><Relationship Id="rId2882" Type="http://schemas.openxmlformats.org/officeDocument/2006/relationships/hyperlink" Target="http://www.imdb.com/title/tt1591479/?ref_=fn_tt_tt_1" TargetMode="External"/><Relationship Id="rId2881" Type="http://schemas.openxmlformats.org/officeDocument/2006/relationships/hyperlink" Target="http://www.imdb.com/title/tt0090329/?ref_=fn_tt_tt_1" TargetMode="External"/><Relationship Id="rId2880" Type="http://schemas.openxmlformats.org/officeDocument/2006/relationships/hyperlink" Target="http://www.imdb.com/title/tt0086567/?ref_=fn_tt_tt_1" TargetMode="External"/><Relationship Id="rId288" Type="http://schemas.openxmlformats.org/officeDocument/2006/relationships/hyperlink" Target="http://www.imdb.com/title/tt0765429/?ref_=fn_tt_tt_1" TargetMode="External"/><Relationship Id="rId2879" Type="http://schemas.openxmlformats.org/officeDocument/2006/relationships/hyperlink" Target="http://www.imdb.com/title/tt0109040/?ref_=fn_tt_tt_1" TargetMode="External"/><Relationship Id="rId2878" Type="http://schemas.openxmlformats.org/officeDocument/2006/relationships/hyperlink" Target="http://www.imdb.com/title/tt0084726/?ref_=fn_tt_tt_1" TargetMode="External"/><Relationship Id="rId2877" Type="http://schemas.openxmlformats.org/officeDocument/2006/relationships/hyperlink" Target="http://www.imdb.com/title/tt0303714/?ref_=fn_tt_tt_1" TargetMode="External"/><Relationship Id="rId2876" Type="http://schemas.openxmlformats.org/officeDocument/2006/relationships/hyperlink" Target="http://www.imdb.com/title/tt1621045/?ref_=fn_tt_tt_1" TargetMode="External"/><Relationship Id="rId2875" Type="http://schemas.openxmlformats.org/officeDocument/2006/relationships/hyperlink" Target="http://www.imdb.com/title/tt0091129/?ref_=fn_tt_tt_1" TargetMode="External"/><Relationship Id="rId2874" Type="http://schemas.openxmlformats.org/officeDocument/2006/relationships/hyperlink" Target="http://www.imdb.com/title/tt1816518/?ref_=fn_tt_tt_1" TargetMode="External"/><Relationship Id="rId2873" Type="http://schemas.openxmlformats.org/officeDocument/2006/relationships/hyperlink" Target="http://www.imdb.com/title/tt0163651/?ref_=fn_tt_tt_1" TargetMode="External"/><Relationship Id="rId2872" Type="http://schemas.openxmlformats.org/officeDocument/2006/relationships/hyperlink" Target="http://www.imdb.com/title/tt0073195/?ref_=fn_tt_tt_1" TargetMode="External"/><Relationship Id="rId2871" Type="http://schemas.openxmlformats.org/officeDocument/2006/relationships/hyperlink" Target="http://www.imdb.com/title/tt0070047/?ref_=fn_tt_tt_1" TargetMode="External"/><Relationship Id="rId2870" Type="http://schemas.openxmlformats.org/officeDocument/2006/relationships/hyperlink" Target="http://www.imdb.com/title/tt0473102/?ref_=fn_tt_tt_1" TargetMode="External"/><Relationship Id="rId287" Type="http://schemas.openxmlformats.org/officeDocument/2006/relationships/hyperlink" Target="http://www.imdb.com/title/tt1152836/?ref_=fn_tt_tt_1" TargetMode="External"/><Relationship Id="rId2869" Type="http://schemas.openxmlformats.org/officeDocument/2006/relationships/hyperlink" Target="http://www.imdb.com/title/tt0386064/?ref_=fn_tt_tt_1" TargetMode="External"/><Relationship Id="rId2868" Type="http://schemas.openxmlformats.org/officeDocument/2006/relationships/hyperlink" Target="http://www.imdb.com/title/tt0095489/?ref_=fn_tt_tt_1" TargetMode="External"/><Relationship Id="rId2867" Type="http://schemas.openxmlformats.org/officeDocument/2006/relationships/hyperlink" Target="http://www.imdb.com/title/tt1194417/?ref_=fn_tt_tt_1" TargetMode="External"/><Relationship Id="rId2866" Type="http://schemas.openxmlformats.org/officeDocument/2006/relationships/hyperlink" Target="http://www.imdb.com/title/tt0985694/?ref_=fn_tt_tt_1" TargetMode="External"/><Relationship Id="rId2865" Type="http://schemas.openxmlformats.org/officeDocument/2006/relationships/hyperlink" Target="http://www.imdb.com/title/tt1294213/?ref_=fn_tt_tt_1" TargetMode="External"/><Relationship Id="rId2864" Type="http://schemas.openxmlformats.org/officeDocument/2006/relationships/hyperlink" Target="http://www.imdb.com/title/tt0116378/?ref_=fn_tt_tt_1" TargetMode="External"/><Relationship Id="rId2863" Type="http://schemas.openxmlformats.org/officeDocument/2006/relationships/hyperlink" Target="http://www.imdb.com/title/tt0119843/?ref_=fn_tt_tt_1" TargetMode="External"/><Relationship Id="rId2862" Type="http://schemas.openxmlformats.org/officeDocument/2006/relationships/hyperlink" Target="http://www.imdb.com/title/tt0168629/?ref_=fn_tt_tt_1" TargetMode="External"/><Relationship Id="rId2861" Type="http://schemas.openxmlformats.org/officeDocument/2006/relationships/hyperlink" Target="http://www.imdb.com/title/tt0914798/?ref_=fn_tt_tt_1" TargetMode="External"/><Relationship Id="rId2860" Type="http://schemas.openxmlformats.org/officeDocument/2006/relationships/hyperlink" Target="http://www.imdb.com/title/tt0805564/?ref_=fn_tt_tt_1" TargetMode="External"/><Relationship Id="rId286" Type="http://schemas.openxmlformats.org/officeDocument/2006/relationships/hyperlink" Target="http://www.imdb.com/title/tt0103064/?ref_=fn_tt_tt_1" TargetMode="External"/><Relationship Id="rId2859" Type="http://schemas.openxmlformats.org/officeDocument/2006/relationships/hyperlink" Target="http://www.imdb.com/title/tt0029442/?ref_=fn_tt_tt_1" TargetMode="External"/><Relationship Id="rId2858" Type="http://schemas.openxmlformats.org/officeDocument/2006/relationships/hyperlink" Target="http://www.imdb.com/title/tt1232783/?ref_=fn_tt_tt_1" TargetMode="External"/><Relationship Id="rId2857" Type="http://schemas.openxmlformats.org/officeDocument/2006/relationships/hyperlink" Target="http://www.imdb.com/title/tt0083722/?ref_=fn_tt_tt_1" TargetMode="External"/><Relationship Id="rId2856" Type="http://schemas.openxmlformats.org/officeDocument/2006/relationships/hyperlink" Target="http://www.imdb.com/title/tt0954947/?ref_=fn_tt_tt_1" TargetMode="External"/><Relationship Id="rId2855" Type="http://schemas.openxmlformats.org/officeDocument/2006/relationships/hyperlink" Target="http://www.imdb.com/title/tt0104348/?ref_=fn_tt_tt_1" TargetMode="External"/><Relationship Id="rId2854" Type="http://schemas.openxmlformats.org/officeDocument/2006/relationships/hyperlink" Target="http://www.imdb.com/title/tt1216520/?ref_=fn_tt_tt_1" TargetMode="External"/><Relationship Id="rId2853" Type="http://schemas.openxmlformats.org/officeDocument/2006/relationships/hyperlink" Target="http://www.imdb.com/title/tt0108399/?ref_=fn_tt_tt_1" TargetMode="External"/><Relationship Id="rId2852" Type="http://schemas.openxmlformats.org/officeDocument/2006/relationships/hyperlink" Target="http://www.imdb.com/title/tt0283530/?ref_=fn_tt_tt_1" TargetMode="External"/><Relationship Id="rId2851" Type="http://schemas.openxmlformats.org/officeDocument/2006/relationships/hyperlink" Target="http://www.imdb.com/title/tt0168786/?ref_=fn_tt_tt_1" TargetMode="External"/><Relationship Id="rId2850" Type="http://schemas.openxmlformats.org/officeDocument/2006/relationships/hyperlink" Target="http://www.imdb.com/title/tt0082484/?ref_=fn_tt_tt_1" TargetMode="External"/><Relationship Id="rId285" Type="http://schemas.openxmlformats.org/officeDocument/2006/relationships/hyperlink" Target="http://www.imdb.com/title/tt0133152/?ref_=fn_tt_tt_1" TargetMode="External"/><Relationship Id="rId2849" Type="http://schemas.openxmlformats.org/officeDocument/2006/relationships/hyperlink" Target="http://www.imdb.com/title/tt1045772/?ref_=fn_tt_tt_1" TargetMode="External"/><Relationship Id="rId2848" Type="http://schemas.openxmlformats.org/officeDocument/2006/relationships/hyperlink" Target="http://www.imdb.com/title/tt0305396/?ref_=fn_tt_tt_1" TargetMode="External"/><Relationship Id="rId2847" Type="http://schemas.openxmlformats.org/officeDocument/2006/relationships/hyperlink" Target="http://www.imdb.com/title/tt4939066/?ref_=fn_tt_tt_1" TargetMode="External"/><Relationship Id="rId2846" Type="http://schemas.openxmlformats.org/officeDocument/2006/relationships/hyperlink" Target="http://www.imdb.com/title/tt1911644/?ref_=fn_tt_tt_1" TargetMode="External"/><Relationship Id="rId2845" Type="http://schemas.openxmlformats.org/officeDocument/2006/relationships/hyperlink" Target="http://www.imdb.com/title/tt1714209/?ref_=fn_tt_tt_1" TargetMode="External"/><Relationship Id="rId2844" Type="http://schemas.openxmlformats.org/officeDocument/2006/relationships/hyperlink" Target="http://www.imdb.com/title/tt1478964/?ref_=fn_tt_tt_1" TargetMode="External"/><Relationship Id="rId2843" Type="http://schemas.openxmlformats.org/officeDocument/2006/relationships/hyperlink" Target="http://www.imdb.com/title/tt1524575/?ref_=fn_tt_tt_1" TargetMode="External"/><Relationship Id="rId2842" Type="http://schemas.openxmlformats.org/officeDocument/2006/relationships/hyperlink" Target="http://www.imdb.com/title/tt0218378/?ref_=fn_tt_tt_1" TargetMode="External"/><Relationship Id="rId2841" Type="http://schemas.openxmlformats.org/officeDocument/2006/relationships/hyperlink" Target="http://www.imdb.com/title/tt0420609/?ref_=fn_tt_tt_1" TargetMode="External"/><Relationship Id="rId2840" Type="http://schemas.openxmlformats.org/officeDocument/2006/relationships/hyperlink" Target="http://www.imdb.com/title/tt0104215/?ref_=fn_tt_tt_1" TargetMode="External"/><Relationship Id="rId284" Type="http://schemas.openxmlformats.org/officeDocument/2006/relationships/hyperlink" Target="http://www.imdb.com/title/tt0381061/?ref_=fn_tt_tt_1" TargetMode="External"/><Relationship Id="rId2839" Type="http://schemas.openxmlformats.org/officeDocument/2006/relationships/hyperlink" Target="http://www.imdb.com/title/tt1659337/?ref_=fn_tt_tt_1" TargetMode="External"/><Relationship Id="rId2838" Type="http://schemas.openxmlformats.org/officeDocument/2006/relationships/hyperlink" Target="http://www.imdb.com/title/tt0419749/?ref_=fn_tt_tt_1" TargetMode="External"/><Relationship Id="rId2837" Type="http://schemas.openxmlformats.org/officeDocument/2006/relationships/hyperlink" Target="http://www.imdb.com/title/tt0116269/?ref_=fn_tt_tt_1" TargetMode="External"/><Relationship Id="rId2836" Type="http://schemas.openxmlformats.org/officeDocument/2006/relationships/hyperlink" Target="http://www.imdb.com/title/tt1352824/?ref_=fn_tt_tt_1" TargetMode="External"/><Relationship Id="rId2835" Type="http://schemas.openxmlformats.org/officeDocument/2006/relationships/hyperlink" Target="http://www.imdb.com/title/tt0191636/?ref_=fn_tt_tt_1" TargetMode="External"/><Relationship Id="rId2834" Type="http://schemas.openxmlformats.org/officeDocument/2006/relationships/hyperlink" Target="http://www.imdb.com/title/tt1814621/?ref_=fn_tt_tt_1" TargetMode="External"/><Relationship Id="rId2833" Type="http://schemas.openxmlformats.org/officeDocument/2006/relationships/hyperlink" Target="http://www.imdb.com/title/tt0416185/?ref_=fn_tt_tt_1" TargetMode="External"/><Relationship Id="rId2832" Type="http://schemas.openxmlformats.org/officeDocument/2006/relationships/hyperlink" Target="http://www.imdb.com/title/tt0401711/?ref_=fn_tt_tt_1" TargetMode="External"/><Relationship Id="rId2831" Type="http://schemas.openxmlformats.org/officeDocument/2006/relationships/hyperlink" Target="http://www.imdb.com/title/tt1711425/?ref_=fn_tt_tt_1" TargetMode="External"/><Relationship Id="rId2830" Type="http://schemas.openxmlformats.org/officeDocument/2006/relationships/hyperlink" Target="http://www.imdb.com/title/tt0188453/?ref_=fn_tt_tt_1" TargetMode="External"/><Relationship Id="rId283" Type="http://schemas.openxmlformats.org/officeDocument/2006/relationships/hyperlink" Target="http://www.imdb.com/title/tt0295297/?ref_=fn_tt_tt_1" TargetMode="External"/><Relationship Id="rId2829" Type="http://schemas.openxmlformats.org/officeDocument/2006/relationships/hyperlink" Target="http://www.imdb.com/title/tt0258470/?ref_=fn_tt_tt_1" TargetMode="External"/><Relationship Id="rId2828" Type="http://schemas.openxmlformats.org/officeDocument/2006/relationships/hyperlink" Target="http://www.imdb.com/title/tt0120577/?ref_=fn_tt_tt_1" TargetMode="External"/><Relationship Id="rId2827" Type="http://schemas.openxmlformats.org/officeDocument/2006/relationships/hyperlink" Target="http://www.imdb.com/title/tt0172726/?ref_=fn_tt_tt_1" TargetMode="External"/><Relationship Id="rId2826" Type="http://schemas.openxmlformats.org/officeDocument/2006/relationships/hyperlink" Target="http://www.imdb.com/title/tt1639008/?ref_=fn_tt_tt_1" TargetMode="External"/><Relationship Id="rId2825" Type="http://schemas.openxmlformats.org/officeDocument/2006/relationships/hyperlink" Target="http://www.imdb.com/title/tt0144168/?ref_=fn_tt_tt_1" TargetMode="External"/><Relationship Id="rId2824" Type="http://schemas.openxmlformats.org/officeDocument/2006/relationships/hyperlink" Target="http://www.imdb.com/title/tt0111127/?ref_=fn_tt_tt_1" TargetMode="External"/><Relationship Id="rId2823" Type="http://schemas.openxmlformats.org/officeDocument/2006/relationships/hyperlink" Target="http://www.imdb.com/title/tt0120654/?ref_=fn_tt_tt_1" TargetMode="External"/><Relationship Id="rId2822" Type="http://schemas.openxmlformats.org/officeDocument/2006/relationships/hyperlink" Target="http://www.imdb.com/title/tt3170832/?ref_=fn_tt_tt_1" TargetMode="External"/><Relationship Id="rId2821" Type="http://schemas.openxmlformats.org/officeDocument/2006/relationships/hyperlink" Target="http://www.imdb.com/title/tt0120531/?ref_=fn_tt_tt_1" TargetMode="External"/><Relationship Id="rId2820" Type="http://schemas.openxmlformats.org/officeDocument/2006/relationships/hyperlink" Target="http://www.imdb.com/title/tt0469263/?ref_=fn_tt_tt_1" TargetMode="External"/><Relationship Id="rId282" Type="http://schemas.openxmlformats.org/officeDocument/2006/relationships/hyperlink" Target="http://www.imdb.com/title/tt0181689/?ref_=fn_tt_tt_1" TargetMode="External"/><Relationship Id="rId2819" Type="http://schemas.openxmlformats.org/officeDocument/2006/relationships/hyperlink" Target="http://www.imdb.com/title/tt0498380/?ref_=fn_tt_tt_1" TargetMode="External"/><Relationship Id="rId2818" Type="http://schemas.openxmlformats.org/officeDocument/2006/relationships/hyperlink" Target="http://www.imdb.com/title/tt0250224/?ref_=fn_tt_tt_1" TargetMode="External"/><Relationship Id="rId2817" Type="http://schemas.openxmlformats.org/officeDocument/2006/relationships/hyperlink" Target="http://www.imdb.com/title/tt2183034/?ref_=fn_tt_tt_1" TargetMode="External"/><Relationship Id="rId2816" Type="http://schemas.openxmlformats.org/officeDocument/2006/relationships/hyperlink" Target="http://www.imdb.com/title/tt0269341/?ref_=fn_tt_tt_1" TargetMode="External"/><Relationship Id="rId2815" Type="http://schemas.openxmlformats.org/officeDocument/2006/relationships/hyperlink" Target="http://www.imdb.com/title/tt0120601/?ref_=fn_tt_tt_1" TargetMode="External"/><Relationship Id="rId2814" Type="http://schemas.openxmlformats.org/officeDocument/2006/relationships/hyperlink" Target="http://www.imdb.com/title/tt0470752/?ref_=fn_tt_tt_1" TargetMode="External"/><Relationship Id="rId2813" Type="http://schemas.openxmlformats.org/officeDocument/2006/relationships/hyperlink" Target="http://www.imdb.com/title/tt0884328/?ref_=fn_tt_tt_1" TargetMode="External"/><Relationship Id="rId2812" Type="http://schemas.openxmlformats.org/officeDocument/2006/relationships/hyperlink" Target="http://www.imdb.com/title/tt2011159/?ref_=fn_tt_tt_1" TargetMode="External"/><Relationship Id="rId2811" Type="http://schemas.openxmlformats.org/officeDocument/2006/relationships/hyperlink" Target="http://www.imdb.com/title/tt0099253/?ref_=fn_tt_tt_1" TargetMode="External"/><Relationship Id="rId2810" Type="http://schemas.openxmlformats.org/officeDocument/2006/relationships/hyperlink" Target="http://www.imdb.com/title/tt0116493/?ref_=fn_tt_tt_1" TargetMode="External"/><Relationship Id="rId281" Type="http://schemas.openxmlformats.org/officeDocument/2006/relationships/hyperlink" Target="http://www.imdb.com/title/tt0172495/?ref_=fn_tt_tt_1" TargetMode="External"/><Relationship Id="rId2809" Type="http://schemas.openxmlformats.org/officeDocument/2006/relationships/hyperlink" Target="http://www.imdb.com/title/tt0120609/?ref_=fn_tt_tt_1" TargetMode="External"/><Relationship Id="rId2808" Type="http://schemas.openxmlformats.org/officeDocument/2006/relationships/hyperlink" Target="http://www.imdb.com/title/tt0118665/?ref_=fn_tt_tt_1" TargetMode="External"/><Relationship Id="rId2807" Type="http://schemas.openxmlformats.org/officeDocument/2006/relationships/hyperlink" Target="http://www.imdb.com/title/tt0937375/?ref_=fn_tt_tt_1" TargetMode="External"/><Relationship Id="rId2806" Type="http://schemas.openxmlformats.org/officeDocument/2006/relationships/hyperlink" Target="http://www.imdb.com/title/tt0184907/?ref_=fn_tt_tt_1" TargetMode="External"/><Relationship Id="rId2805" Type="http://schemas.openxmlformats.org/officeDocument/2006/relationships/hyperlink" Target="http://www.imdb.com/title/tt0289879/?ref_=fn_tt_tt_1" TargetMode="External"/><Relationship Id="rId2804" Type="http://schemas.openxmlformats.org/officeDocument/2006/relationships/hyperlink" Target="http://www.imdb.com/title/tt4052882/?ref_=fn_tt_tt_1" TargetMode="External"/><Relationship Id="rId2803" Type="http://schemas.openxmlformats.org/officeDocument/2006/relationships/hyperlink" Target="http://www.imdb.com/title/tt0107659/?ref_=fn_tt_tt_1" TargetMode="External"/><Relationship Id="rId2802" Type="http://schemas.openxmlformats.org/officeDocument/2006/relationships/hyperlink" Target="http://www.imdb.com/title/tt0241760/?ref_=fn_tt_tt_1" TargetMode="External"/><Relationship Id="rId2801" Type="http://schemas.openxmlformats.org/officeDocument/2006/relationships/hyperlink" Target="http://www.imdb.com/title/tt0147800/?ref_=fn_tt_tt_1" TargetMode="External"/><Relationship Id="rId2800" Type="http://schemas.openxmlformats.org/officeDocument/2006/relationships/hyperlink" Target="http://www.imdb.com/title/tt1826590/?ref_=fn_tt_tt_1" TargetMode="External"/><Relationship Id="rId280" Type="http://schemas.openxmlformats.org/officeDocument/2006/relationships/hyperlink" Target="http://www.imdb.com/title/tt0187078/?ref_=fn_tt_tt_1" TargetMode="External"/><Relationship Id="rId28" Type="http://schemas.openxmlformats.org/officeDocument/2006/relationships/hyperlink" Target="http://www.imdb.com/title/tt3498820/?ref_=fn_tt_tt_1" TargetMode="External"/><Relationship Id="rId2799" Type="http://schemas.openxmlformats.org/officeDocument/2006/relationships/hyperlink" Target="http://www.imdb.com/title/tt2170593/?ref_=fn_tt_tt_1" TargetMode="External"/><Relationship Id="rId2798" Type="http://schemas.openxmlformats.org/officeDocument/2006/relationships/hyperlink" Target="http://www.imdb.com/title/tt0096487/?ref_=fn_tt_tt_1" TargetMode="External"/><Relationship Id="rId2797" Type="http://schemas.openxmlformats.org/officeDocument/2006/relationships/hyperlink" Target="http://www.imdb.com/title/tt0242423/?ref_=fn_tt_tt_1" TargetMode="External"/><Relationship Id="rId2796" Type="http://schemas.openxmlformats.org/officeDocument/2006/relationships/hyperlink" Target="http://www.imdb.com/title/tt4257926/?ref_=fn_tt_tt_1" TargetMode="External"/><Relationship Id="rId2795" Type="http://schemas.openxmlformats.org/officeDocument/2006/relationships/hyperlink" Target="http://www.imdb.com/title/tt0095742/?ref_=fn_tt_tt_1" TargetMode="External"/><Relationship Id="rId2794" Type="http://schemas.openxmlformats.org/officeDocument/2006/relationships/hyperlink" Target="http://www.imdb.com/title/tt0206275/?ref_=fn_tt_tt_1" TargetMode="External"/><Relationship Id="rId2793" Type="http://schemas.openxmlformats.org/officeDocument/2006/relationships/hyperlink" Target="http://www.imdb.com/title/tt0071562/?ref_=fn_tt_tt_1" TargetMode="External"/><Relationship Id="rId2792" Type="http://schemas.openxmlformats.org/officeDocument/2006/relationships/hyperlink" Target="http://www.imdb.com/title/tt0947798/?ref_=fn_tt_tt_1" TargetMode="External"/><Relationship Id="rId2791" Type="http://schemas.openxmlformats.org/officeDocument/2006/relationships/hyperlink" Target="http://www.imdb.com/title/tt1702443/?ref_=fn_tt_tt_1" TargetMode="External"/><Relationship Id="rId2790" Type="http://schemas.openxmlformats.org/officeDocument/2006/relationships/hyperlink" Target="http://www.imdb.com/title/tt1584131/?ref_=fn_tt_tt_1" TargetMode="External"/><Relationship Id="rId279" Type="http://schemas.openxmlformats.org/officeDocument/2006/relationships/hyperlink" Target="http://www.imdb.com/title/tt0141907/?ref_=fn_tt_tt_1" TargetMode="External"/><Relationship Id="rId2789" Type="http://schemas.openxmlformats.org/officeDocument/2006/relationships/hyperlink" Target="http://www.imdb.com/title/tt0093105/?ref_=fn_tt_tt_1" TargetMode="External"/><Relationship Id="rId2788" Type="http://schemas.openxmlformats.org/officeDocument/2006/relationships/hyperlink" Target="http://www.imdb.com/title/tt1441395/?ref_=fn_tt_tt_1" TargetMode="External"/><Relationship Id="rId2787" Type="http://schemas.openxmlformats.org/officeDocument/2006/relationships/hyperlink" Target="http://www.imdb.com/title/tt0369702/?ref_=fn_tt_tt_1" TargetMode="External"/><Relationship Id="rId2786" Type="http://schemas.openxmlformats.org/officeDocument/2006/relationships/hyperlink" Target="http://www.imdb.com/title/tt0363163/?ref_=fn_tt_tt_1" TargetMode="External"/><Relationship Id="rId2785" Type="http://schemas.openxmlformats.org/officeDocument/2006/relationships/hyperlink" Target="http://www.imdb.com/title/tt4048942/?ref_=fn_tt_tt_1" TargetMode="External"/><Relationship Id="rId2784" Type="http://schemas.openxmlformats.org/officeDocument/2006/relationships/hyperlink" Target="http://www.imdb.com/title/tt0182000/?ref_=fn_tt_tt_1" TargetMode="External"/><Relationship Id="rId2783" Type="http://schemas.openxmlformats.org/officeDocument/2006/relationships/hyperlink" Target="http://www.imdb.com/title/tt1931533/?ref_=fn_tt_tt_1" TargetMode="External"/><Relationship Id="rId2782" Type="http://schemas.openxmlformats.org/officeDocument/2006/relationships/hyperlink" Target="http://www.imdb.com/title/tt0180073/?ref_=fn_tt_tt_1" TargetMode="External"/><Relationship Id="rId2781" Type="http://schemas.openxmlformats.org/officeDocument/2006/relationships/hyperlink" Target="http://www.imdb.com/title/tt0092337/?ref_=fn_tt_tt_1" TargetMode="External"/><Relationship Id="rId2780" Type="http://schemas.openxmlformats.org/officeDocument/2006/relationships/hyperlink" Target="http://www.imdb.com/title/tt2637294/?ref_=fn_tt_tt_1" TargetMode="External"/><Relationship Id="rId278" Type="http://schemas.openxmlformats.org/officeDocument/2006/relationships/hyperlink" Target="http://www.imdb.com/title/tt0399201/?ref_=fn_tt_tt_1" TargetMode="External"/><Relationship Id="rId2779" Type="http://schemas.openxmlformats.org/officeDocument/2006/relationships/hyperlink" Target="http://www.imdb.com/title/tt0297884/?ref_=fn_tt_tt_1" TargetMode="External"/><Relationship Id="rId2778" Type="http://schemas.openxmlformats.org/officeDocument/2006/relationships/hyperlink" Target="http://www.imdb.com/title/tt0112697/?ref_=fn_tt_tt_1" TargetMode="External"/><Relationship Id="rId2777" Type="http://schemas.openxmlformats.org/officeDocument/2006/relationships/hyperlink" Target="http://www.imdb.com/title/tt0388795/?ref_=fn_tt_tt_1" TargetMode="External"/><Relationship Id="rId2776" Type="http://schemas.openxmlformats.org/officeDocument/2006/relationships/hyperlink" Target="http://www.imdb.com/title/tt0817177/?ref_=fn_tt_tt_1" TargetMode="External"/><Relationship Id="rId2775" Type="http://schemas.openxmlformats.org/officeDocument/2006/relationships/hyperlink" Target="http://www.imdb.com/title/tt1185266/?ref_=fn_tt_tt_1" TargetMode="External"/><Relationship Id="rId2774" Type="http://schemas.openxmlformats.org/officeDocument/2006/relationships/hyperlink" Target="http://www.imdb.com/title/tt0466893/?ref_=fn_tt_tt_1" TargetMode="External"/><Relationship Id="rId2773" Type="http://schemas.openxmlformats.org/officeDocument/2006/relationships/hyperlink" Target="http://www.imdb.com/title/tt0981072/?ref_=fn_tt_tt_1" TargetMode="External"/><Relationship Id="rId2772" Type="http://schemas.openxmlformats.org/officeDocument/2006/relationships/hyperlink" Target="http://www.imdb.com/title/tt1460743/?ref_=fn_tt_tt_1" TargetMode="External"/><Relationship Id="rId2771" Type="http://schemas.openxmlformats.org/officeDocument/2006/relationships/hyperlink" Target="http://www.imdb.com/title/tt0280653/?ref_=fn_tt_tt_1" TargetMode="External"/><Relationship Id="rId2770" Type="http://schemas.openxmlformats.org/officeDocument/2006/relationships/hyperlink" Target="http://www.imdb.com/title/tt1156143/?ref_=fn_tt_tt_1" TargetMode="External"/><Relationship Id="rId277" Type="http://schemas.openxmlformats.org/officeDocument/2006/relationships/hyperlink" Target="http://www.imdb.com/title/tt1869849/?ref_=fn_tt_tt_1" TargetMode="External"/><Relationship Id="rId2769" Type="http://schemas.openxmlformats.org/officeDocument/2006/relationships/hyperlink" Target="http://www.imdb.com/title/tt2473794/?ref_=fn_tt_tt_1" TargetMode="External"/><Relationship Id="rId2768" Type="http://schemas.openxmlformats.org/officeDocument/2006/relationships/hyperlink" Target="http://www.imdb.com/title/tt0077296/?ref_=fn_tt_tt_1" TargetMode="External"/><Relationship Id="rId2767" Type="http://schemas.openxmlformats.org/officeDocument/2006/relationships/hyperlink" Target="http://www.imdb.com/title/tt0808244/?ref_=fn_tt_tt_1" TargetMode="External"/><Relationship Id="rId2766" Type="http://schemas.openxmlformats.org/officeDocument/2006/relationships/hyperlink" Target="http://www.imdb.com/title/tt0113463/?ref_=fn_tt_tt_1" TargetMode="External"/><Relationship Id="rId2765" Type="http://schemas.openxmlformats.org/officeDocument/2006/relationships/hyperlink" Target="http://www.imdb.com/title/tt0218619/?ref_=fn_tt_tt_1" TargetMode="External"/><Relationship Id="rId2764" Type="http://schemas.openxmlformats.org/officeDocument/2006/relationships/hyperlink" Target="http://www.imdb.com/title/tt0437232/?ref_=fn_tt_tt_1" TargetMode="External"/><Relationship Id="rId2763" Type="http://schemas.openxmlformats.org/officeDocument/2006/relationships/hyperlink" Target="http://www.imdb.com/title/tt0120613/?ref_=fn_tt_tt_1" TargetMode="External"/><Relationship Id="rId2762" Type="http://schemas.openxmlformats.org/officeDocument/2006/relationships/hyperlink" Target="http://www.imdb.com/title/tt0176783/?ref_=fn_tt_tt_1" TargetMode="External"/><Relationship Id="rId2761" Type="http://schemas.openxmlformats.org/officeDocument/2006/relationships/hyperlink" Target="http://www.imdb.com/title/tt0404203/?ref_=fn_tt_tt_1" TargetMode="External"/><Relationship Id="rId2760" Type="http://schemas.openxmlformats.org/officeDocument/2006/relationships/hyperlink" Target="http://www.imdb.com/title/tt0401383/?ref_=fn_tt_tt_1" TargetMode="External"/><Relationship Id="rId276" Type="http://schemas.openxmlformats.org/officeDocument/2006/relationships/hyperlink" Target="http://www.imdb.com/title/tt3659388/?ref_=fn_tt_tt_1" TargetMode="External"/><Relationship Id="rId2759" Type="http://schemas.openxmlformats.org/officeDocument/2006/relationships/hyperlink" Target="http://www.imdb.com/title/tt1663143/?ref_=fn_tt_tt_1" TargetMode="External"/><Relationship Id="rId2758" Type="http://schemas.openxmlformats.org/officeDocument/2006/relationships/hyperlink" Target="http://www.imdb.com/title/tt0192111/?ref_=fn_tt_tt_1" TargetMode="External"/><Relationship Id="rId2757" Type="http://schemas.openxmlformats.org/officeDocument/2006/relationships/hyperlink" Target="http://www.imdb.com/title/tt0308055/?ref_=fn_tt_tt_1" TargetMode="External"/><Relationship Id="rId2756" Type="http://schemas.openxmlformats.org/officeDocument/2006/relationships/hyperlink" Target="http://www.imdb.com/title/tt0211443/?ref_=fn_tt_tt_1" TargetMode="External"/><Relationship Id="rId2755" Type="http://schemas.openxmlformats.org/officeDocument/2006/relationships/hyperlink" Target="http://www.imdb.com/title/tt0770772/?ref_=fn_tt_tt_1" TargetMode="External"/><Relationship Id="rId2754" Type="http://schemas.openxmlformats.org/officeDocument/2006/relationships/hyperlink" Target="http://www.imdb.com/title/tt0109504/?ref_=fn_tt_tt_1" TargetMode="External"/><Relationship Id="rId2753" Type="http://schemas.openxmlformats.org/officeDocument/2006/relationships/hyperlink" Target="http://www.imdb.com/title/tt0076451/?ref_=fn_tt_tt_1" TargetMode="External"/><Relationship Id="rId2752" Type="http://schemas.openxmlformats.org/officeDocument/2006/relationships/hyperlink" Target="http://www.imdb.com/title/tt0117894/?ref_=fn_tt_tt_1" TargetMode="External"/><Relationship Id="rId2751" Type="http://schemas.openxmlformats.org/officeDocument/2006/relationships/hyperlink" Target="http://www.imdb.com/title/tt0120857/?ref_=fn_tt_tt_1" TargetMode="External"/><Relationship Id="rId2750" Type="http://schemas.openxmlformats.org/officeDocument/2006/relationships/hyperlink" Target="http://www.imdb.com/title/tt0118301/?ref_=fn_tt_tt_1" TargetMode="External"/><Relationship Id="rId275" Type="http://schemas.openxmlformats.org/officeDocument/2006/relationships/hyperlink" Target="http://www.imdb.com/title/tt0780521/?ref_=fn_tt_tt_1" TargetMode="External"/><Relationship Id="rId2749" Type="http://schemas.openxmlformats.org/officeDocument/2006/relationships/hyperlink" Target="http://www.imdb.com/title/tt1305583/?ref_=fn_tt_tt_1" TargetMode="External"/><Relationship Id="rId2748" Type="http://schemas.openxmlformats.org/officeDocument/2006/relationships/hyperlink" Target="http://www.imdb.com/title/tt0971209/?ref_=fn_tt_tt_1" TargetMode="External"/><Relationship Id="rId2747" Type="http://schemas.openxmlformats.org/officeDocument/2006/relationships/hyperlink" Target="http://www.imdb.com/title/tt0270980/?ref_=fn_tt_tt_1" TargetMode="External"/><Relationship Id="rId2746" Type="http://schemas.openxmlformats.org/officeDocument/2006/relationships/hyperlink" Target="http://www.imdb.com/title/tt0429573/?ref_=fn_tt_tt_1" TargetMode="External"/><Relationship Id="rId2745" Type="http://schemas.openxmlformats.org/officeDocument/2006/relationships/hyperlink" Target="http://www.imdb.com/title/tt0076009/?ref_=fn_tt_tt_1" TargetMode="External"/><Relationship Id="rId2744" Type="http://schemas.openxmlformats.org/officeDocument/2006/relationships/hyperlink" Target="http://www.imdb.com/title/tt0114825/?ref_=fn_tt_tt_1" TargetMode="External"/><Relationship Id="rId2743" Type="http://schemas.openxmlformats.org/officeDocument/2006/relationships/hyperlink" Target="http://www.imdb.com/title/tt0278295/?ref_=fn_tt_tt_1" TargetMode="External"/><Relationship Id="rId2742" Type="http://schemas.openxmlformats.org/officeDocument/2006/relationships/hyperlink" Target="http://www.imdb.com/title/tt0107840/?ref_=fn_tt_tt_1" TargetMode="External"/><Relationship Id="rId2741" Type="http://schemas.openxmlformats.org/officeDocument/2006/relationships/hyperlink" Target="http://www.imdb.com/title/tt0298388/?ref_=fn_tt_tt_1" TargetMode="External"/><Relationship Id="rId2740" Type="http://schemas.openxmlformats.org/officeDocument/2006/relationships/hyperlink" Target="http://www.imdb.com/title/tt1007029/?ref_=fn_tt_tt_1" TargetMode="External"/><Relationship Id="rId274" Type="http://schemas.openxmlformats.org/officeDocument/2006/relationships/hyperlink" Target="http://www.imdb.com/title/tt0164912/?ref_=fn_tt_tt_1" TargetMode="External"/><Relationship Id="rId2739" Type="http://schemas.openxmlformats.org/officeDocument/2006/relationships/hyperlink" Target="http://www.imdb.com/title/tt0167427/?ref_=fn_tt_tt_1" TargetMode="External"/><Relationship Id="rId2738" Type="http://schemas.openxmlformats.org/officeDocument/2006/relationships/hyperlink" Target="http://www.imdb.com/title/tt0103247/?ref_=fn_tt_tt_1" TargetMode="External"/><Relationship Id="rId2737" Type="http://schemas.openxmlformats.org/officeDocument/2006/relationships/hyperlink" Target="http://www.imdb.com/title/tt1885265/?ref_=fn_tt_tt_1" TargetMode="External"/><Relationship Id="rId2736" Type="http://schemas.openxmlformats.org/officeDocument/2006/relationships/hyperlink" Target="http://www.imdb.com/title/tt0146336/?ref_=fn_tt_tt_1" TargetMode="External"/><Relationship Id="rId2735" Type="http://schemas.openxmlformats.org/officeDocument/2006/relationships/hyperlink" Target="http://www.imdb.com/title/tt0426697/?ref_=fn_tt_tt_1" TargetMode="External"/><Relationship Id="rId2734" Type="http://schemas.openxmlformats.org/officeDocument/2006/relationships/hyperlink" Target="http://www.imdb.com/title/tt0076752/?ref_=fn_tt_tt_1" TargetMode="External"/><Relationship Id="rId2733" Type="http://schemas.openxmlformats.org/officeDocument/2006/relationships/hyperlink" Target="http://www.imdb.com/title/tt0775539/?ref_=fn_tt_tt_1" TargetMode="External"/><Relationship Id="rId2732" Type="http://schemas.openxmlformats.org/officeDocument/2006/relationships/hyperlink" Target="http://www.imdb.com/title/tt1179891/?ref_=fn_tt_tt_1" TargetMode="External"/><Relationship Id="rId2731" Type="http://schemas.openxmlformats.org/officeDocument/2006/relationships/hyperlink" Target="http://www.imdb.com/title/tt0106611/?ref_=fn_tt_tt_1" TargetMode="External"/><Relationship Id="rId2730" Type="http://schemas.openxmlformats.org/officeDocument/2006/relationships/hyperlink" Target="http://www.imdb.com/title/tt0096969/?ref_=fn_tt_tt_1" TargetMode="External"/><Relationship Id="rId273" Type="http://schemas.openxmlformats.org/officeDocument/2006/relationships/hyperlink" Target="http://www.imdb.com/title/tt0320661/?ref_=fn_tt_tt_1" TargetMode="External"/><Relationship Id="rId2729" Type="http://schemas.openxmlformats.org/officeDocument/2006/relationships/hyperlink" Target="http://www.imdb.com/title/tt2503954/?ref_=fn_tt_tt_1" TargetMode="External"/><Relationship Id="rId2728" Type="http://schemas.openxmlformats.org/officeDocument/2006/relationships/hyperlink" Target="http://www.imdb.com/title/tt0092493/?ref_=fn_tt_tt_1" TargetMode="External"/><Relationship Id="rId2727" Type="http://schemas.openxmlformats.org/officeDocument/2006/relationships/hyperlink" Target="http://www.imdb.com/title/tt0691996/?ref_=fn_tt_tt_1" TargetMode="External"/><Relationship Id="rId2726" Type="http://schemas.openxmlformats.org/officeDocument/2006/relationships/hyperlink" Target="http://www.imdb.com/title/tt0100405/?ref_=fn_tt_tt_1" TargetMode="External"/><Relationship Id="rId2725" Type="http://schemas.openxmlformats.org/officeDocument/2006/relationships/hyperlink" Target="http://www.imdb.com/title/tt0093010/?ref_=fn_tt_tt_1" TargetMode="External"/><Relationship Id="rId2724" Type="http://schemas.openxmlformats.org/officeDocument/2006/relationships/hyperlink" Target="http://www.imdb.com/title/tt1010048/?ref_=fn_tt_tt_1" TargetMode="External"/><Relationship Id="rId2723" Type="http://schemas.openxmlformats.org/officeDocument/2006/relationships/hyperlink" Target="http://www.imdb.com/title/tt0342735/?ref_=fn_tt_tt_1" TargetMode="External"/><Relationship Id="rId2722" Type="http://schemas.openxmlformats.org/officeDocument/2006/relationships/hyperlink" Target="http://www.imdb.com/title/tt0105695/?ref_=fn_tt_tt_1" TargetMode="External"/><Relationship Id="rId2721" Type="http://schemas.openxmlformats.org/officeDocument/2006/relationships/hyperlink" Target="http://www.imdb.com/title/tt2584018/?ref_=fn_tt_tt_1" TargetMode="External"/><Relationship Id="rId2720" Type="http://schemas.openxmlformats.org/officeDocument/2006/relationships/hyperlink" Target="http://www.imdb.com/title/tt1668200/?ref_=fn_tt_tt_1" TargetMode="External"/><Relationship Id="rId272" Type="http://schemas.openxmlformats.org/officeDocument/2006/relationships/hyperlink" Target="http://www.imdb.com/title/tt0343818/?ref_=fn_tt_tt_1" TargetMode="External"/><Relationship Id="rId2719" Type="http://schemas.openxmlformats.org/officeDocument/2006/relationships/hyperlink" Target="http://www.imdb.com/title/tt0117509/?ref_=fn_tt_tt_1" TargetMode="External"/><Relationship Id="rId2718" Type="http://schemas.openxmlformats.org/officeDocument/2006/relationships/hyperlink" Target="http://www.imdb.com/title/tt2268016/?ref_=fn_tt_tt_1" TargetMode="External"/><Relationship Id="rId2717" Type="http://schemas.openxmlformats.org/officeDocument/2006/relationships/hyperlink" Target="http://www.imdb.com/title/tt0107048/?ref_=fn_tt_tt_1" TargetMode="External"/><Relationship Id="rId2716" Type="http://schemas.openxmlformats.org/officeDocument/2006/relationships/hyperlink" Target="http://www.imdb.com/title/tt0210217/?ref_=fn_tt_tt_1" TargetMode="External"/><Relationship Id="rId2715" Type="http://schemas.openxmlformats.org/officeDocument/2006/relationships/hyperlink" Target="http://www.imdb.com/title/tt1075419/?ref_=fn_tt_tt_1" TargetMode="External"/><Relationship Id="rId2714" Type="http://schemas.openxmlformats.org/officeDocument/2006/relationships/hyperlink" Target="http://www.imdb.com/title/tt3856124/?ref_=fn_tt_tt_1" TargetMode="External"/><Relationship Id="rId2713" Type="http://schemas.openxmlformats.org/officeDocument/2006/relationships/hyperlink" Target="http://www.imdb.com/title/tt0406728/?ref_=fn_tt_tt_1" TargetMode="External"/><Relationship Id="rId2712" Type="http://schemas.openxmlformats.org/officeDocument/2006/relationships/hyperlink" Target="http://www.imdb.com/title/tt1971325/?ref_=fn_tt_tt_1" TargetMode="External"/><Relationship Id="rId2711" Type="http://schemas.openxmlformats.org/officeDocument/2006/relationships/hyperlink" Target="http://www.imdb.com/title/tt1487931/?ref_=fn_tt_tt_1" TargetMode="External"/><Relationship Id="rId2710" Type="http://schemas.openxmlformats.org/officeDocument/2006/relationships/hyperlink" Target="http://www.imdb.com/title/tt0469640/?ref_=fn_tt_tt_1" TargetMode="External"/><Relationship Id="rId271" Type="http://schemas.openxmlformats.org/officeDocument/2006/relationships/hyperlink" Target="http://www.imdb.com/title/tt0312528/?ref_=fn_tt_tt_1" TargetMode="External"/><Relationship Id="rId2709" Type="http://schemas.openxmlformats.org/officeDocument/2006/relationships/hyperlink" Target="http://www.imdb.com/title/tt0484111/?ref_=fn_tt_tt_1" TargetMode="External"/><Relationship Id="rId2708" Type="http://schemas.openxmlformats.org/officeDocument/2006/relationships/hyperlink" Target="http://www.imdb.com/title/tt0252223/?ref_=fn_tt_tt_1" TargetMode="External"/><Relationship Id="rId2707" Type="http://schemas.openxmlformats.org/officeDocument/2006/relationships/hyperlink" Target="http://www.imdb.com/title/tt1535612/?ref_=fn_tt_tt_1" TargetMode="External"/><Relationship Id="rId2706" Type="http://schemas.openxmlformats.org/officeDocument/2006/relationships/hyperlink" Target="http://www.imdb.com/title/tt1551641/?ref_=fn_tt_tt_1" TargetMode="External"/><Relationship Id="rId2705" Type="http://schemas.openxmlformats.org/officeDocument/2006/relationships/hyperlink" Target="http://www.imdb.com/title/tt0805570/?ref_=fn_tt_tt_1" TargetMode="External"/><Relationship Id="rId2704" Type="http://schemas.openxmlformats.org/officeDocument/2006/relationships/hyperlink" Target="http://www.imdb.com/title/tt0117653/?ref_=fn_tt_tt_1" TargetMode="External"/><Relationship Id="rId2703" Type="http://schemas.openxmlformats.org/officeDocument/2006/relationships/hyperlink" Target="http://www.imdb.com/title/tt1020558/?ref_=fn_tt_tt_1" TargetMode="External"/><Relationship Id="rId2702" Type="http://schemas.openxmlformats.org/officeDocument/2006/relationships/hyperlink" Target="http://www.imdb.com/title/tt0785035/?ref_=fn_tt_tt_1" TargetMode="External"/><Relationship Id="rId2701" Type="http://schemas.openxmlformats.org/officeDocument/2006/relationships/hyperlink" Target="http://www.imdb.com/title/tt0376968/?ref_=fn_tt_tt_1" TargetMode="External"/><Relationship Id="rId2700" Type="http://schemas.openxmlformats.org/officeDocument/2006/relationships/hyperlink" Target="http://www.imdb.com/title/tt0252299/?ref_=fn_tt_tt_1" TargetMode="External"/><Relationship Id="rId270" Type="http://schemas.openxmlformats.org/officeDocument/2006/relationships/hyperlink" Target="http://www.imdb.com/title/tt0248667/?ref_=fn_tt_tt_1" TargetMode="External"/><Relationship Id="rId27" Type="http://schemas.openxmlformats.org/officeDocument/2006/relationships/hyperlink" Target="http://www.imdb.com/title/tt0120338/?ref_=fn_tt_tt_1" TargetMode="External"/><Relationship Id="rId2699" Type="http://schemas.openxmlformats.org/officeDocument/2006/relationships/hyperlink" Target="http://www.imdb.com/title/tt3508840/?ref_=fn_tt_tt_1" TargetMode="External"/><Relationship Id="rId2698" Type="http://schemas.openxmlformats.org/officeDocument/2006/relationships/hyperlink" Target="http://www.imdb.com/title/tt0114660/?ref_=fn_tt_tt_1" TargetMode="External"/><Relationship Id="rId2697" Type="http://schemas.openxmlformats.org/officeDocument/2006/relationships/hyperlink" Target="http://www.imdb.com/title/tt0414852/?ref_=fn_tt_tt_1" TargetMode="External"/><Relationship Id="rId2696" Type="http://schemas.openxmlformats.org/officeDocument/2006/relationships/hyperlink" Target="http://www.imdb.com/title/tt0017136/?ref_=fn_tt_tt_1" TargetMode="External"/><Relationship Id="rId2695" Type="http://schemas.openxmlformats.org/officeDocument/2006/relationships/hyperlink" Target="http://www.imdb.com/title/tt0165773/?ref_=fn_tt_tt_1" TargetMode="External"/><Relationship Id="rId2694" Type="http://schemas.openxmlformats.org/officeDocument/2006/relationships/hyperlink" Target="http://www.imdb.com/title/tt3153582/?ref_=fn_tt_tt_1" TargetMode="External"/><Relationship Id="rId2693" Type="http://schemas.openxmlformats.org/officeDocument/2006/relationships/hyperlink" Target="http://www.imdb.com/title/tt0808279/?ref_=fn_tt_tt_1" TargetMode="External"/><Relationship Id="rId2692" Type="http://schemas.openxmlformats.org/officeDocument/2006/relationships/hyperlink" Target="http://www.imdb.com/title/tt0142201/?ref_=fn_tt_tt_1" TargetMode="External"/><Relationship Id="rId2691" Type="http://schemas.openxmlformats.org/officeDocument/2006/relationships/hyperlink" Target="http://www.imdb.com/title/tt0090848/?ref_=fn_tt_tt_1" TargetMode="External"/><Relationship Id="rId2690" Type="http://schemas.openxmlformats.org/officeDocument/2006/relationships/hyperlink" Target="http://www.imdb.com/title/tt0800241/?ref_=fn_tt_tt_1" TargetMode="External"/><Relationship Id="rId269" Type="http://schemas.openxmlformats.org/officeDocument/2006/relationships/hyperlink" Target="http://www.imdb.com/title/tt0327437/?ref_=fn_tt_tt_1" TargetMode="External"/><Relationship Id="rId2689" Type="http://schemas.openxmlformats.org/officeDocument/2006/relationships/hyperlink" Target="http://www.imdb.com/title/tt0488352/?ref_=fn_tt_tt_1" TargetMode="External"/><Relationship Id="rId2688" Type="http://schemas.openxmlformats.org/officeDocument/2006/relationships/hyperlink" Target="http://www.imdb.com/title/tt1334260/?ref_=fn_tt_tt_1" TargetMode="External"/><Relationship Id="rId2687" Type="http://schemas.openxmlformats.org/officeDocument/2006/relationships/hyperlink" Target="http://www.imdb.com/title/tt1182350/?ref_=fn_tt_tt_1" TargetMode="External"/><Relationship Id="rId2686" Type="http://schemas.openxmlformats.org/officeDocument/2006/relationships/hyperlink" Target="http://www.imdb.com/title/tt0397044/?ref_=fn_tt_tt_1" TargetMode="External"/><Relationship Id="rId2685" Type="http://schemas.openxmlformats.org/officeDocument/2006/relationships/hyperlink" Target="http://www.imdb.com/title/tt0166924/?ref_=fn_tt_tt_1" TargetMode="External"/><Relationship Id="rId2684" Type="http://schemas.openxmlformats.org/officeDocument/2006/relationships/hyperlink" Target="http://www.imdb.com/title/tt0138510/?ref_=fn_tt_tt_1" TargetMode="External"/><Relationship Id="rId2683" Type="http://schemas.openxmlformats.org/officeDocument/2006/relationships/hyperlink" Target="http://www.imdb.com/title/tt0373469/?ref_=fn_tt_tt_1" TargetMode="External"/><Relationship Id="rId2682" Type="http://schemas.openxmlformats.org/officeDocument/2006/relationships/hyperlink" Target="http://www.imdb.com/title/tt0120716/?ref_=fn_tt_tt_1" TargetMode="External"/><Relationship Id="rId2681" Type="http://schemas.openxmlformats.org/officeDocument/2006/relationships/hyperlink" Target="http://www.imdb.com/title/tt0419294/?ref_=fn_tt_tt_1" TargetMode="External"/><Relationship Id="rId2680" Type="http://schemas.openxmlformats.org/officeDocument/2006/relationships/hyperlink" Target="http://www.imdb.com/title/tt0163676/?ref_=fn_tt_tt_1" TargetMode="External"/><Relationship Id="rId268" Type="http://schemas.openxmlformats.org/officeDocument/2006/relationships/hyperlink" Target="http://www.imdb.com/title/tt0120737/?ref_=fn_tt_tt_1" TargetMode="External"/><Relationship Id="rId2679" Type="http://schemas.openxmlformats.org/officeDocument/2006/relationships/hyperlink" Target="http://www.imdb.com/title/tt1178663/?ref_=fn_tt_tt_1" TargetMode="External"/><Relationship Id="rId2678" Type="http://schemas.openxmlformats.org/officeDocument/2006/relationships/hyperlink" Target="http://www.imdb.com/title/tt2091473/?ref_=fn_tt_tt_1" TargetMode="External"/><Relationship Id="rId2677" Type="http://schemas.openxmlformats.org/officeDocument/2006/relationships/hyperlink" Target="http://www.imdb.com/title/tt1142433/?ref_=fn_tt_tt_1" TargetMode="External"/><Relationship Id="rId2676" Type="http://schemas.openxmlformats.org/officeDocument/2006/relationships/hyperlink" Target="http://www.imdb.com/title/tt1031969/?ref_=fn_tt_tt_1" TargetMode="External"/><Relationship Id="rId2675" Type="http://schemas.openxmlformats.org/officeDocument/2006/relationships/hyperlink" Target="http://www.imdb.com/title/tt1699755/?ref_=fn_tt_tt_1" TargetMode="External"/><Relationship Id="rId2674" Type="http://schemas.openxmlformats.org/officeDocument/2006/relationships/hyperlink" Target="http://www.imdb.com/title/tt0780536/?ref_=fn_tt_tt_1" TargetMode="External"/><Relationship Id="rId2673" Type="http://schemas.openxmlformats.org/officeDocument/2006/relationships/hyperlink" Target="http://www.imdb.com/title/tt0453494/?ref_=fn_tt_tt_1" TargetMode="External"/><Relationship Id="rId2672" Type="http://schemas.openxmlformats.org/officeDocument/2006/relationships/hyperlink" Target="http://www.imdb.com/title/tt0140340/?ref_=fn_tt_tt_1" TargetMode="External"/><Relationship Id="rId2671" Type="http://schemas.openxmlformats.org/officeDocument/2006/relationships/hyperlink" Target="http://www.imdb.com/title/tt0278500/?ref_=fn_tt_tt_1" TargetMode="External"/><Relationship Id="rId2670" Type="http://schemas.openxmlformats.org/officeDocument/2006/relationships/hyperlink" Target="http://www.imdb.com/title/tt0285462/?ref_=fn_tt_tt_1" TargetMode="External"/><Relationship Id="rId267" Type="http://schemas.openxmlformats.org/officeDocument/2006/relationships/hyperlink" Target="http://www.imdb.com/title/tt0337978/?ref_=fn_tt_tt_1" TargetMode="External"/><Relationship Id="rId2669" Type="http://schemas.openxmlformats.org/officeDocument/2006/relationships/hyperlink" Target="http://www.imdb.com/title/tt0202402/?ref_=fn_tt_tt_1" TargetMode="External"/><Relationship Id="rId2668" Type="http://schemas.openxmlformats.org/officeDocument/2006/relationships/hyperlink" Target="http://www.imdb.com/title/tt0829459/?ref_=fn_tt_tt_1" TargetMode="External"/><Relationship Id="rId2667" Type="http://schemas.openxmlformats.org/officeDocument/2006/relationships/hyperlink" Target="http://www.imdb.com/title/tt0279331/?ref_=fn_tt_tt_1" TargetMode="External"/><Relationship Id="rId2666" Type="http://schemas.openxmlformats.org/officeDocument/2006/relationships/hyperlink" Target="http://www.imdb.com/title/tt0462200/?ref_=fn_tt_tt_1" TargetMode="External"/><Relationship Id="rId2665" Type="http://schemas.openxmlformats.org/officeDocument/2006/relationships/hyperlink" Target="http://www.imdb.com/title/tt0118715/?ref_=fn_tt_tt_1" TargetMode="External"/><Relationship Id="rId2664" Type="http://schemas.openxmlformats.org/officeDocument/2006/relationships/hyperlink" Target="http://www.imdb.com/title/tt0281432/?ref_=fn_tt_tt_1" TargetMode="External"/><Relationship Id="rId2663" Type="http://schemas.openxmlformats.org/officeDocument/2006/relationships/hyperlink" Target="http://www.imdb.com/title/tt0361696/?ref_=fn_tt_tt_1" TargetMode="External"/><Relationship Id="rId2662" Type="http://schemas.openxmlformats.org/officeDocument/2006/relationships/hyperlink" Target="http://www.imdb.com/title/tt0088846/?ref_=fn_tt_tt_1" TargetMode="External"/><Relationship Id="rId2661" Type="http://schemas.openxmlformats.org/officeDocument/2006/relationships/hyperlink" Target="http://www.imdb.com/title/tt0195778/?ref_=fn_tt_tt_1" TargetMode="External"/><Relationship Id="rId2660" Type="http://schemas.openxmlformats.org/officeDocument/2006/relationships/hyperlink" Target="http://www.imdb.com/title/tt0119304/?ref_=fn_tt_tt_1" TargetMode="External"/><Relationship Id="rId266" Type="http://schemas.openxmlformats.org/officeDocument/2006/relationships/hyperlink" Target="http://www.imdb.com/title/tt1731141/?ref_=fn_tt_tt_1" TargetMode="External"/><Relationship Id="rId2659" Type="http://schemas.openxmlformats.org/officeDocument/2006/relationships/hyperlink" Target="http://www.imdb.com/title/tt1258972/?ref_=fn_tt_tt_1" TargetMode="External"/><Relationship Id="rId2658" Type="http://schemas.openxmlformats.org/officeDocument/2006/relationships/hyperlink" Target="http://www.imdb.com/title/tt0120598/?ref_=fn_tt_tt_1" TargetMode="External"/><Relationship Id="rId2657" Type="http://schemas.openxmlformats.org/officeDocument/2006/relationships/hyperlink" Target="http://www.imdb.com/title/tt0097965/?ref_=fn_tt_tt_1" TargetMode="External"/><Relationship Id="rId2656" Type="http://schemas.openxmlformats.org/officeDocument/2006/relationships/hyperlink" Target="http://www.imdb.com/title/tt0352277/?ref_=fn_tt_tt_1" TargetMode="External"/><Relationship Id="rId2655" Type="http://schemas.openxmlformats.org/officeDocument/2006/relationships/hyperlink" Target="http://www.imdb.com/title/tt0164108/?ref_=fn_tt_tt_1" TargetMode="External"/><Relationship Id="rId2654" Type="http://schemas.openxmlformats.org/officeDocument/2006/relationships/hyperlink" Target="http://www.imdb.com/title/tt0310910/?ref_=fn_tt_tt_1" TargetMode="External"/><Relationship Id="rId2653" Type="http://schemas.openxmlformats.org/officeDocument/2006/relationships/hyperlink" Target="http://www.imdb.com/title/tt0211465/?ref_=fn_tt_tt_1" TargetMode="External"/><Relationship Id="rId2652" Type="http://schemas.openxmlformats.org/officeDocument/2006/relationships/hyperlink" Target="http://www.imdb.com/title/tt1172233/?ref_=fn_tt_tt_1" TargetMode="External"/><Relationship Id="rId2651" Type="http://schemas.openxmlformats.org/officeDocument/2006/relationships/hyperlink" Target="http://www.imdb.com/title/tt1563738/?ref_=fn_tt_tt_1" TargetMode="External"/><Relationship Id="rId2650" Type="http://schemas.openxmlformats.org/officeDocument/2006/relationships/hyperlink" Target="http://www.imdb.com/title/tt0417225/?ref_=fn_tt_tt_1" TargetMode="External"/><Relationship Id="rId265" Type="http://schemas.openxmlformats.org/officeDocument/2006/relationships/hyperlink" Target="http://www.imdb.com/title/tt0120179/?ref_=fn_tt_tt_1" TargetMode="External"/><Relationship Id="rId2649" Type="http://schemas.openxmlformats.org/officeDocument/2006/relationships/hyperlink" Target="http://www.imdb.com/title/tt0144964/?ref_=fn_tt_tt_1" TargetMode="External"/><Relationship Id="rId2648" Type="http://schemas.openxmlformats.org/officeDocument/2006/relationships/hyperlink" Target="http://www.imdb.com/title/tt0892375/?ref_=fn_tt_tt_1" TargetMode="External"/><Relationship Id="rId2647" Type="http://schemas.openxmlformats.org/officeDocument/2006/relationships/hyperlink" Target="http://www.imdb.com/title/tt0475998/?ref_=fn_tt_tt_1" TargetMode="External"/><Relationship Id="rId2646" Type="http://schemas.openxmlformats.org/officeDocument/2006/relationships/hyperlink" Target="http://www.imdb.com/title/tt0240515/?ref_=fn_tt_tt_1" TargetMode="External"/><Relationship Id="rId2645" Type="http://schemas.openxmlformats.org/officeDocument/2006/relationships/hyperlink" Target="http://www.imdb.com/title/tt1972571/?ref_=fn_tt_tt_1" TargetMode="External"/><Relationship Id="rId2644" Type="http://schemas.openxmlformats.org/officeDocument/2006/relationships/hyperlink" Target="http://www.imdb.com/title/tt1764234/?ref_=fn_tt_tt_1" TargetMode="External"/><Relationship Id="rId2643" Type="http://schemas.openxmlformats.org/officeDocument/2006/relationships/hyperlink" Target="http://www.imdb.com/title/tt0087262/?ref_=fn_tt_tt_1" TargetMode="External"/><Relationship Id="rId2642" Type="http://schemas.openxmlformats.org/officeDocument/2006/relationships/hyperlink" Target="http://www.imdb.com/title/tt0887912/?ref_=fn_tt_tt_1" TargetMode="External"/><Relationship Id="rId2641" Type="http://schemas.openxmlformats.org/officeDocument/2006/relationships/hyperlink" Target="http://www.imdb.com/title/tt0120662/?ref_=fn_tt_tt_1" TargetMode="External"/><Relationship Id="rId2640" Type="http://schemas.openxmlformats.org/officeDocument/2006/relationships/hyperlink" Target="http://www.imdb.com/title/tt2402157/?ref_=fn_tt_tt_1" TargetMode="External"/><Relationship Id="rId264" Type="http://schemas.openxmlformats.org/officeDocument/2006/relationships/hyperlink" Target="http://www.imdb.com/title/tt2017020/?ref_=fn_tt_tt_1" TargetMode="External"/><Relationship Id="rId2639" Type="http://schemas.openxmlformats.org/officeDocument/2006/relationships/hyperlink" Target="http://www.imdb.com/title/tt1817273/?ref_=fn_tt_tt_1" TargetMode="External"/><Relationship Id="rId2638" Type="http://schemas.openxmlformats.org/officeDocument/2006/relationships/hyperlink" Target="http://www.imdb.com/title/tt0134619/?ref_=fn_tt_tt_1" TargetMode="External"/><Relationship Id="rId2637" Type="http://schemas.openxmlformats.org/officeDocument/2006/relationships/hyperlink" Target="http://www.imdb.com/title/tt1555064/?ref_=fn_tt_tt_1" TargetMode="External"/><Relationship Id="rId2636" Type="http://schemas.openxmlformats.org/officeDocument/2006/relationships/hyperlink" Target="http://www.imdb.com/title/tt4139124/?ref_=fn_tt_tt_1" TargetMode="External"/><Relationship Id="rId2635" Type="http://schemas.openxmlformats.org/officeDocument/2006/relationships/hyperlink" Target="http://www.imdb.com/title/tt0419946/?ref_=fn_tt_tt_1" TargetMode="External"/><Relationship Id="rId2634" Type="http://schemas.openxmlformats.org/officeDocument/2006/relationships/hyperlink" Target="http://www.imdb.com/title/tt0283084/?ref_=fn_tt_tt_1" TargetMode="External"/><Relationship Id="rId2633" Type="http://schemas.openxmlformats.org/officeDocument/2006/relationships/hyperlink" Target="http://www.imdb.com/title/tt0192731/?ref_=fn_tt_tt_1" TargetMode="External"/><Relationship Id="rId2632" Type="http://schemas.openxmlformats.org/officeDocument/2006/relationships/hyperlink" Target="http://www.imdb.com/title/tt0800069/?ref_=fn_tt_tt_1" TargetMode="External"/><Relationship Id="rId2631" Type="http://schemas.openxmlformats.org/officeDocument/2006/relationships/hyperlink" Target="http://www.imdb.com/title/tt0434215/?ref_=fn_tt_tt_1" TargetMode="External"/><Relationship Id="rId2630" Type="http://schemas.openxmlformats.org/officeDocument/2006/relationships/hyperlink" Target="http://www.imdb.com/title/tt0107711/?ref_=fn_tt_tt_1" TargetMode="External"/><Relationship Id="rId263" Type="http://schemas.openxmlformats.org/officeDocument/2006/relationships/hyperlink" Target="http://www.imdb.com/title/tt0433035/?ref_=fn_tt_tt_1" TargetMode="External"/><Relationship Id="rId2629" Type="http://schemas.openxmlformats.org/officeDocument/2006/relationships/hyperlink" Target="http://www.imdb.com/title/tt0118749/?ref_=fn_tt_tt_1" TargetMode="External"/><Relationship Id="rId2628" Type="http://schemas.openxmlformats.org/officeDocument/2006/relationships/hyperlink" Target="http://www.imdb.com/title/tt0107943/?ref_=fn_tt_tt_1" TargetMode="External"/><Relationship Id="rId2627" Type="http://schemas.openxmlformats.org/officeDocument/2006/relationships/hyperlink" Target="http://www.imdb.com/title/tt0493949/?ref_=fn_tt_tt_1" TargetMode="External"/><Relationship Id="rId2626" Type="http://schemas.openxmlformats.org/officeDocument/2006/relationships/hyperlink" Target="http://www.imdb.com/title/tt0416320/?ref_=fn_tt_tt_1" TargetMode="External"/><Relationship Id="rId2625" Type="http://schemas.openxmlformats.org/officeDocument/2006/relationships/hyperlink" Target="http://www.imdb.com/title/tt0115963/?ref_=fn_tt_tt_1" TargetMode="External"/><Relationship Id="rId2624" Type="http://schemas.openxmlformats.org/officeDocument/2006/relationships/hyperlink" Target="http://www.imdb.com/title/tt0229260/?ref_=fn_tt_tt_1" TargetMode="External"/><Relationship Id="rId2623" Type="http://schemas.openxmlformats.org/officeDocument/2006/relationships/hyperlink" Target="http://www.imdb.com/title/tt0881891/?ref_=fn_tt_tt_1" TargetMode="External"/><Relationship Id="rId2622" Type="http://schemas.openxmlformats.org/officeDocument/2006/relationships/hyperlink" Target="http://www.imdb.com/title/tt0119229/?ref_=fn_tt_tt_1" TargetMode="External"/><Relationship Id="rId2621" Type="http://schemas.openxmlformats.org/officeDocument/2006/relationships/hyperlink" Target="http://www.imdb.com/title/tt0199725/?ref_=fn_tt_tt_1" TargetMode="External"/><Relationship Id="rId2620" Type="http://schemas.openxmlformats.org/officeDocument/2006/relationships/hyperlink" Target="http://www.imdb.com/title/tt0317132/?ref_=fn_tt_tt_1" TargetMode="External"/><Relationship Id="rId262" Type="http://schemas.openxmlformats.org/officeDocument/2006/relationships/hyperlink" Target="http://www.imdb.com/title/tt3410834/?ref_=fn_tt_tt_1" TargetMode="External"/><Relationship Id="rId2619" Type="http://schemas.openxmlformats.org/officeDocument/2006/relationships/hyperlink" Target="http://www.imdb.com/title/tt2247476/?ref_=fn_tt_tt_1" TargetMode="External"/><Relationship Id="rId2618" Type="http://schemas.openxmlformats.org/officeDocument/2006/relationships/hyperlink" Target="http://www.imdb.com/title/tt0463854/?ref_=fn_tt_tt_1" TargetMode="External"/><Relationship Id="rId2617" Type="http://schemas.openxmlformats.org/officeDocument/2006/relationships/hyperlink" Target="http://www.imdb.com/title/tt0120772/?ref_=fn_tt_tt_1" TargetMode="External"/><Relationship Id="rId2616" Type="http://schemas.openxmlformats.org/officeDocument/2006/relationships/hyperlink" Target="http://www.imdb.com/title/tt0361467/?ref_=fn_tt_tt_1" TargetMode="External"/><Relationship Id="rId2615" Type="http://schemas.openxmlformats.org/officeDocument/2006/relationships/hyperlink" Target="http://www.imdb.com/title/tt0780504/?ref_=fn_tt_tt_1" TargetMode="External"/><Relationship Id="rId2614" Type="http://schemas.openxmlformats.org/officeDocument/2006/relationships/hyperlink" Target="http://www.imdb.com/title/tt0427309/?ref_=fn_tt_tt_1" TargetMode="External"/><Relationship Id="rId2613" Type="http://schemas.openxmlformats.org/officeDocument/2006/relationships/hyperlink" Target="http://www.imdb.com/title/tt0093779/?ref_=fn_tt_tt_1" TargetMode="External"/><Relationship Id="rId2612" Type="http://schemas.openxmlformats.org/officeDocument/2006/relationships/hyperlink" Target="http://www.imdb.com/title/tt0220506/?ref_=fn_tt_tt_1" TargetMode="External"/><Relationship Id="rId2611" Type="http://schemas.openxmlformats.org/officeDocument/2006/relationships/hyperlink" Target="http://www.imdb.com/title/tt0372532/?ref_=fn_tt_tt_1" TargetMode="External"/><Relationship Id="rId2610" Type="http://schemas.openxmlformats.org/officeDocument/2006/relationships/hyperlink" Target="http://www.imdb.com/title/tt0844708/?ref_=fn_tt_tt_1" TargetMode="External"/><Relationship Id="rId261" Type="http://schemas.openxmlformats.org/officeDocument/2006/relationships/hyperlink" Target="http://www.imdb.com/title/tt0299172/?ref_=fn_tt_tt_1" TargetMode="External"/><Relationship Id="rId2609" Type="http://schemas.openxmlformats.org/officeDocument/2006/relationships/hyperlink" Target="http://www.imdb.com/title/tt2305051/?ref_=fn_tt_tt_1" TargetMode="External"/><Relationship Id="rId2608" Type="http://schemas.openxmlformats.org/officeDocument/2006/relationships/hyperlink" Target="http://www.imdb.com/title/tt1311067/?ref_=fn_tt_tt_1" TargetMode="External"/><Relationship Id="rId2607" Type="http://schemas.openxmlformats.org/officeDocument/2006/relationships/hyperlink" Target="http://www.imdb.com/title/tt0056172/?ref_=fn_tt_tt_1" TargetMode="External"/><Relationship Id="rId2606" Type="http://schemas.openxmlformats.org/officeDocument/2006/relationships/hyperlink" Target="http://www.imdb.com/title/tt0198021/?ref_=fn_tt_tt_1" TargetMode="External"/><Relationship Id="rId2605" Type="http://schemas.openxmlformats.org/officeDocument/2006/relationships/hyperlink" Target="http://www.imdb.com/title/tt0328099/?ref_=fn_tt_tt_1" TargetMode="External"/><Relationship Id="rId2604" Type="http://schemas.openxmlformats.org/officeDocument/2006/relationships/hyperlink" Target="http://www.imdb.com/title/tt2980516/?ref_=fn_tt_tt_1" TargetMode="External"/><Relationship Id="rId2603" Type="http://schemas.openxmlformats.org/officeDocument/2006/relationships/hyperlink" Target="http://www.imdb.com/title/tt0192614/?ref_=fn_tt_tt_1" TargetMode="External"/><Relationship Id="rId2602" Type="http://schemas.openxmlformats.org/officeDocument/2006/relationships/hyperlink" Target="http://www.imdb.com/title/tt1855199/?ref_=fn_tt_tt_1" TargetMode="External"/><Relationship Id="rId2601" Type="http://schemas.openxmlformats.org/officeDocument/2006/relationships/hyperlink" Target="http://www.imdb.com/title/tt0277371/?ref_=fn_tt_tt_1" TargetMode="External"/><Relationship Id="rId2600" Type="http://schemas.openxmlformats.org/officeDocument/2006/relationships/hyperlink" Target="http://www.imdb.com/title/tt0118887/?ref_=fn_tt_tt_1" TargetMode="External"/><Relationship Id="rId260" Type="http://schemas.openxmlformats.org/officeDocument/2006/relationships/hyperlink" Target="http://www.imdb.com/title/tt0472181/?ref_=fn_tt_tt_1" TargetMode="External"/><Relationship Id="rId26" Type="http://schemas.openxmlformats.org/officeDocument/2006/relationships/hyperlink" Target="http://www.imdb.com/title/tt0360717/?ref_=fn_tt_tt_1" TargetMode="External"/><Relationship Id="rId2599" Type="http://schemas.openxmlformats.org/officeDocument/2006/relationships/hyperlink" Target="http://www.imdb.com/title/tt0108551/?ref_=fn_tt_tt_1" TargetMode="External"/><Relationship Id="rId2598" Type="http://schemas.openxmlformats.org/officeDocument/2006/relationships/hyperlink" Target="http://www.imdb.com/title/tt0133751/?ref_=fn_tt_tt_1" TargetMode="External"/><Relationship Id="rId2597" Type="http://schemas.openxmlformats.org/officeDocument/2006/relationships/hyperlink" Target="http://www.imdb.com/title/tt3850590/?ref_=fn_tt_tt_1" TargetMode="External"/><Relationship Id="rId2596" Type="http://schemas.openxmlformats.org/officeDocument/2006/relationships/hyperlink" Target="http://www.imdb.com/title/tt0882977/?ref_=fn_tt_tt_1" TargetMode="External"/><Relationship Id="rId2595" Type="http://schemas.openxmlformats.org/officeDocument/2006/relationships/hyperlink" Target="http://www.imdb.com/title/tt0306841/?ref_=fn_tt_tt_1" TargetMode="External"/><Relationship Id="rId2594" Type="http://schemas.openxmlformats.org/officeDocument/2006/relationships/hyperlink" Target="http://www.imdb.com/title/tt0120885/?ref_=fn_tt_tt_1" TargetMode="External"/><Relationship Id="rId2593" Type="http://schemas.openxmlformats.org/officeDocument/2006/relationships/hyperlink" Target="http://www.imdb.com/title/tt0077416/?ref_=fn_tt_tt_1" TargetMode="External"/><Relationship Id="rId2592" Type="http://schemas.openxmlformats.org/officeDocument/2006/relationships/hyperlink" Target="http://www.imdb.com/title/tt0265298/?ref_=fn_tt_tt_1" TargetMode="External"/><Relationship Id="rId2591" Type="http://schemas.openxmlformats.org/officeDocument/2006/relationships/hyperlink" Target="http://www.imdb.com/title/tt0455857/?ref_=fn_tt_tt_1" TargetMode="External"/><Relationship Id="rId2590" Type="http://schemas.openxmlformats.org/officeDocument/2006/relationships/hyperlink" Target="http://www.imdb.com/title/tt1596365/?ref_=fn_tt_tt_1" TargetMode="External"/><Relationship Id="rId259" Type="http://schemas.openxmlformats.org/officeDocument/2006/relationships/hyperlink" Target="http://www.imdb.com/title/tt1253863/?ref_=fn_tt_tt_1" TargetMode="External"/><Relationship Id="rId2589" Type="http://schemas.openxmlformats.org/officeDocument/2006/relationships/hyperlink" Target="http://www.imdb.com/title/tt0110367/?ref_=fn_tt_tt_1" TargetMode="External"/><Relationship Id="rId2588" Type="http://schemas.openxmlformats.org/officeDocument/2006/relationships/hyperlink" Target="http://www.imdb.com/title/tt0906108/?ref_=fn_tt_tt_1" TargetMode="External"/><Relationship Id="rId2587" Type="http://schemas.openxmlformats.org/officeDocument/2006/relationships/hyperlink" Target="http://www.imdb.com/title/tt0094721/?ref_=fn_tt_tt_1" TargetMode="External"/><Relationship Id="rId2586" Type="http://schemas.openxmlformats.org/officeDocument/2006/relationships/hyperlink" Target="http://www.imdb.com/title/tt0436697/?ref_=fn_tt_tt_1" TargetMode="External"/><Relationship Id="rId2585" Type="http://schemas.openxmlformats.org/officeDocument/2006/relationships/hyperlink" Target="http://www.imdb.com/title/tt3063516/?ref_=fn_tt_tt_1" TargetMode="External"/><Relationship Id="rId2584" Type="http://schemas.openxmlformats.org/officeDocument/2006/relationships/hyperlink" Target="http://www.imdb.com/title/tt0085995/?ref_=fn_tt_tt_1" TargetMode="External"/><Relationship Id="rId2583" Type="http://schemas.openxmlformats.org/officeDocument/2006/relationships/hyperlink" Target="http://www.imdb.com/title/tt2023587/?ref_=fn_tt_tt_1" TargetMode="External"/><Relationship Id="rId2582" Type="http://schemas.openxmlformats.org/officeDocument/2006/relationships/hyperlink" Target="http://www.imdb.com/title/tt1196141/?ref_=fn_tt_tt_1" TargetMode="External"/><Relationship Id="rId2581" Type="http://schemas.openxmlformats.org/officeDocument/2006/relationships/hyperlink" Target="http://www.imdb.com/title/tt0080549/?ref_=fn_tt_tt_1" TargetMode="External"/><Relationship Id="rId2580" Type="http://schemas.openxmlformats.org/officeDocument/2006/relationships/hyperlink" Target="http://www.imdb.com/title/tt0081375/?ref_=fn_tt_tt_1" TargetMode="External"/><Relationship Id="rId258" Type="http://schemas.openxmlformats.org/officeDocument/2006/relationships/hyperlink" Target="http://www.imdb.com/title/tt0084967/?ref_=fn_tt_tt_1" TargetMode="External"/><Relationship Id="rId2579" Type="http://schemas.openxmlformats.org/officeDocument/2006/relationships/hyperlink" Target="http://www.imdb.com/title/tt2084970/?ref_=fn_tt_tt_1" TargetMode="External"/><Relationship Id="rId2578" Type="http://schemas.openxmlformats.org/officeDocument/2006/relationships/hyperlink" Target="http://www.imdb.com/title/tt1153040/?ref_=fn_tt_tt_1" TargetMode="External"/><Relationship Id="rId2577" Type="http://schemas.openxmlformats.org/officeDocument/2006/relationships/hyperlink" Target="http://www.imdb.com/title/tt0088939/?ref_=fn_tt_tt_1" TargetMode="External"/><Relationship Id="rId2576" Type="http://schemas.openxmlformats.org/officeDocument/2006/relationships/hyperlink" Target="http://www.imdb.com/title/tt0954990/?ref_=fn_tt_tt_1" TargetMode="External"/><Relationship Id="rId2575" Type="http://schemas.openxmlformats.org/officeDocument/2006/relationships/hyperlink" Target="http://www.imdb.com/title/tt3921180/?ref_=fn_tt_tt_1" TargetMode="External"/><Relationship Id="rId2574" Type="http://schemas.openxmlformats.org/officeDocument/2006/relationships/hyperlink" Target="http://www.imdb.com/title/tt0096320/?ref_=fn_tt_tt_1" TargetMode="External"/><Relationship Id="rId2573" Type="http://schemas.openxmlformats.org/officeDocument/2006/relationships/hyperlink" Target="http://www.imdb.com/title/tt1504320/?ref_=fn_tt_tt_1" TargetMode="External"/><Relationship Id="rId2572" Type="http://schemas.openxmlformats.org/officeDocument/2006/relationships/hyperlink" Target="http://www.imdb.com/title/tt0169547/?ref_=fn_tt_tt_1" TargetMode="External"/><Relationship Id="rId2571" Type="http://schemas.openxmlformats.org/officeDocument/2006/relationships/hyperlink" Target="http://www.imdb.com/title/tt0190332/?ref_=fn_tt_tt_1" TargetMode="External"/><Relationship Id="rId2570" Type="http://schemas.openxmlformats.org/officeDocument/2006/relationships/hyperlink" Target="http://www.imdb.com/title/tt0092099/?ref_=fn_tt_tt_1" TargetMode="External"/><Relationship Id="rId257" Type="http://schemas.openxmlformats.org/officeDocument/2006/relationships/hyperlink" Target="http://www.imdb.com/title/tt0990407/?ref_=fn_tt_tt_1" TargetMode="External"/><Relationship Id="rId2569" Type="http://schemas.openxmlformats.org/officeDocument/2006/relationships/hyperlink" Target="http://www.imdb.com/title/tt0084805/?ref_=fn_tt_tt_1" TargetMode="External"/><Relationship Id="rId2568" Type="http://schemas.openxmlformats.org/officeDocument/2006/relationships/hyperlink" Target="http://www.imdb.com/title/tt0094137/?ref_=fn_tt_tt_1" TargetMode="External"/><Relationship Id="rId2567" Type="http://schemas.openxmlformats.org/officeDocument/2006/relationships/hyperlink" Target="http://www.imdb.com/title/tt0099785/?ref_=fn_tt_tt_1" TargetMode="External"/><Relationship Id="rId2566" Type="http://schemas.openxmlformats.org/officeDocument/2006/relationships/hyperlink" Target="http://www.imdb.com/title/tt0086960/?ref_=fn_tt_tt_1" TargetMode="External"/><Relationship Id="rId2565" Type="http://schemas.openxmlformats.org/officeDocument/2006/relationships/hyperlink" Target="http://www.imdb.com/title/tt0439815/?ref_=fn_tt_tt_1" TargetMode="External"/><Relationship Id="rId2564" Type="http://schemas.openxmlformats.org/officeDocument/2006/relationships/hyperlink" Target="http://www.imdb.com/title/tt0281364/?ref_=fn_tt_tt_1" TargetMode="External"/><Relationship Id="rId2563" Type="http://schemas.openxmlformats.org/officeDocument/2006/relationships/hyperlink" Target="http://www.imdb.com/title/tt0376196/?ref_=fn_tt_tt_1" TargetMode="External"/><Relationship Id="rId2562" Type="http://schemas.openxmlformats.org/officeDocument/2006/relationships/hyperlink" Target="http://www.imdb.com/title/tt0206113/?ref_=fn_tt_tt_1" TargetMode="External"/><Relationship Id="rId2561" Type="http://schemas.openxmlformats.org/officeDocument/2006/relationships/hyperlink" Target="http://www.imdb.com/title/tt0273435/?ref_=fn_tt_tt_1" TargetMode="External"/><Relationship Id="rId2560" Type="http://schemas.openxmlformats.org/officeDocument/2006/relationships/hyperlink" Target="http://www.imdb.com/title/tt1958961/?ref_=fn_tt_tt_1" TargetMode="External"/><Relationship Id="rId256" Type="http://schemas.openxmlformats.org/officeDocument/2006/relationships/hyperlink" Target="http://www.imdb.com/title/tt1320261/?ref_=fn_tt_tt_1" TargetMode="External"/><Relationship Id="rId2559" Type="http://schemas.openxmlformats.org/officeDocument/2006/relationships/hyperlink" Target="http://www.imdb.com/title/tt0247444/?ref_=fn_tt_tt_1" TargetMode="External"/><Relationship Id="rId2558" Type="http://schemas.openxmlformats.org/officeDocument/2006/relationships/hyperlink" Target="http://www.imdb.com/title/tt2398231/?ref_=fn_tt_tt_1" TargetMode="External"/><Relationship Id="rId2557" Type="http://schemas.openxmlformats.org/officeDocument/2006/relationships/hyperlink" Target="http://www.imdb.com/title/tt2249221/?ref_=fn_tt_tt_1" TargetMode="External"/><Relationship Id="rId2556" Type="http://schemas.openxmlformats.org/officeDocument/2006/relationships/hyperlink" Target="http://www.imdb.com/title/tt1028532/?ref_=fn_tt_tt_1" TargetMode="External"/><Relationship Id="rId2555" Type="http://schemas.openxmlformats.org/officeDocument/2006/relationships/hyperlink" Target="http://www.imdb.com/title/tt1545106/?ref_=fn_tt_tt_1" TargetMode="External"/><Relationship Id="rId2554" Type="http://schemas.openxmlformats.org/officeDocument/2006/relationships/hyperlink" Target="http://www.imdb.com/title/tt1191111/?ref_=fn_tt_tt_1" TargetMode="External"/><Relationship Id="rId2553" Type="http://schemas.openxmlformats.org/officeDocument/2006/relationships/hyperlink" Target="http://www.imdb.com/title/tt0436364/?ref_=fn_tt_tt_1" TargetMode="External"/><Relationship Id="rId2552" Type="http://schemas.openxmlformats.org/officeDocument/2006/relationships/hyperlink" Target="http://www.imdb.com/title/tt1064932/?ref_=fn_tt_tt_1" TargetMode="External"/><Relationship Id="rId2551" Type="http://schemas.openxmlformats.org/officeDocument/2006/relationships/hyperlink" Target="http://www.imdb.com/title/tt0367085/?ref_=fn_tt_tt_1" TargetMode="External"/><Relationship Id="rId2550" Type="http://schemas.openxmlformats.org/officeDocument/2006/relationships/hyperlink" Target="http://www.imdb.com/title/tt1924429/?ref_=fn_tt_tt_1" TargetMode="External"/><Relationship Id="rId255" Type="http://schemas.openxmlformats.org/officeDocument/2006/relationships/hyperlink" Target="http://www.imdb.com/title/tt0338751/?ref_=fn_tt_tt_1" TargetMode="External"/><Relationship Id="rId2549" Type="http://schemas.openxmlformats.org/officeDocument/2006/relationships/hyperlink" Target="http://www.imdb.com/title/tt0384686/?ref_=fn_tt_tt_1" TargetMode="External"/><Relationship Id="rId2548" Type="http://schemas.openxmlformats.org/officeDocument/2006/relationships/hyperlink" Target="http://www.imdb.com/title/tt1951181/?ref_=fn_tt_tt_1" TargetMode="External"/><Relationship Id="rId2547" Type="http://schemas.openxmlformats.org/officeDocument/2006/relationships/hyperlink" Target="http://www.imdb.com/title/tt0120207/?ref_=fn_tt_tt_1" TargetMode="External"/><Relationship Id="rId2546" Type="http://schemas.openxmlformats.org/officeDocument/2006/relationships/hyperlink" Target="http://www.imdb.com/title/tt0469623/?ref_=fn_tt_tt_1" TargetMode="External"/><Relationship Id="rId2545" Type="http://schemas.openxmlformats.org/officeDocument/2006/relationships/hyperlink" Target="http://www.imdb.com/title/tt0091203/?ref_=fn_tt_tt_1" TargetMode="External"/><Relationship Id="rId2544" Type="http://schemas.openxmlformats.org/officeDocument/2006/relationships/hyperlink" Target="http://www.imdb.com/title/tt0165710/?ref_=fn_tt_tt_1" TargetMode="External"/><Relationship Id="rId2543" Type="http://schemas.openxmlformats.org/officeDocument/2006/relationships/hyperlink" Target="http://www.imdb.com/title/tt0278823/?ref_=fn_tt_tt_1" TargetMode="External"/><Relationship Id="rId2542" Type="http://schemas.openxmlformats.org/officeDocument/2006/relationships/hyperlink" Target="http://www.imdb.com/title/tt0134630/?ref_=fn_tt_tt_1" TargetMode="External"/><Relationship Id="rId2541" Type="http://schemas.openxmlformats.org/officeDocument/2006/relationships/hyperlink" Target="http://www.imdb.com/title/tt0079550/?ref_=fn_tt_tt_1" TargetMode="External"/><Relationship Id="rId2540" Type="http://schemas.openxmlformats.org/officeDocument/2006/relationships/hyperlink" Target="http://www.imdb.com/title/tt0380277/?ref_=fn_tt_tt_1" TargetMode="External"/><Relationship Id="rId254" Type="http://schemas.openxmlformats.org/officeDocument/2006/relationships/hyperlink" Target="http://www.imdb.com/title/tt2908446/?ref_=fn_tt_tt_1" TargetMode="External"/><Relationship Id="rId2539" Type="http://schemas.openxmlformats.org/officeDocument/2006/relationships/hyperlink" Target="http://www.imdb.com/title/tt0139809/?ref_=fn_tt_tt_1" TargetMode="External"/><Relationship Id="rId2538" Type="http://schemas.openxmlformats.org/officeDocument/2006/relationships/hyperlink" Target="http://www.imdb.com/title/tt0107818/?ref_=fn_tt_tt_1" TargetMode="External"/><Relationship Id="rId2537" Type="http://schemas.openxmlformats.org/officeDocument/2006/relationships/hyperlink" Target="http://www.imdb.com/title/tt0095687/?ref_=fn_tt_tt_1" TargetMode="External"/><Relationship Id="rId2536" Type="http://schemas.openxmlformats.org/officeDocument/2006/relationships/hyperlink" Target="http://www.imdb.com/title/tt0319524/?ref_=fn_tt_tt_1" TargetMode="External"/><Relationship Id="rId2535" Type="http://schemas.openxmlformats.org/officeDocument/2006/relationships/hyperlink" Target="http://www.imdb.com/title/tt1403981/?ref_=fn_tt_tt_1" TargetMode="External"/><Relationship Id="rId2534" Type="http://schemas.openxmlformats.org/officeDocument/2006/relationships/hyperlink" Target="http://www.imdb.com/title/tt0093818/?ref_=fn_tt_tt_1" TargetMode="External"/><Relationship Id="rId2533" Type="http://schemas.openxmlformats.org/officeDocument/2006/relationships/hyperlink" Target="http://www.imdb.com/title/tt0186045/?ref_=fn_tt_tt_1" TargetMode="External"/><Relationship Id="rId2532" Type="http://schemas.openxmlformats.org/officeDocument/2006/relationships/hyperlink" Target="http://www.imdb.com/title/tt1131734/?ref_=fn_tt_tt_1" TargetMode="External"/><Relationship Id="rId2531" Type="http://schemas.openxmlformats.org/officeDocument/2006/relationships/hyperlink" Target="http://www.imdb.com/title/tt0283139/?ref_=fn_tt_tt_1" TargetMode="External"/><Relationship Id="rId2530" Type="http://schemas.openxmlformats.org/officeDocument/2006/relationships/hyperlink" Target="http://www.imdb.com/title/tt0204175/?ref_=fn_tt_tt_1" TargetMode="External"/><Relationship Id="rId253" Type="http://schemas.openxmlformats.org/officeDocument/2006/relationships/hyperlink" Target="http://www.imdb.com/title/tt0356910/?ref_=fn_tt_tt_1" TargetMode="External"/><Relationship Id="rId2529" Type="http://schemas.openxmlformats.org/officeDocument/2006/relationships/hyperlink" Target="http://www.imdb.com/title/tt0837106/?ref_=fn_tt_tt_1" TargetMode="External"/><Relationship Id="rId2528" Type="http://schemas.openxmlformats.org/officeDocument/2006/relationships/hyperlink" Target="http://www.imdb.com/title/tt0497465/?ref_=fn_tt_tt_1" TargetMode="External"/><Relationship Id="rId2527" Type="http://schemas.openxmlformats.org/officeDocument/2006/relationships/hyperlink" Target="http://www.imdb.com/title/tt0430770/?ref_=fn_tt_tt_1" TargetMode="External"/><Relationship Id="rId2526" Type="http://schemas.openxmlformats.org/officeDocument/2006/relationships/hyperlink" Target="http://www.imdb.com/title/tt0425112/?ref_=fn_tt_tt_1" TargetMode="External"/><Relationship Id="rId2525" Type="http://schemas.openxmlformats.org/officeDocument/2006/relationships/hyperlink" Target="http://www.imdb.com/title/tt0101764/?ref_=fn_tt_tt_1" TargetMode="External"/><Relationship Id="rId2524" Type="http://schemas.openxmlformats.org/officeDocument/2006/relationships/hyperlink" Target="http://www.imdb.com/title/tt0245686/?ref_=fn_tt_tt_1" TargetMode="External"/><Relationship Id="rId2523" Type="http://schemas.openxmlformats.org/officeDocument/2006/relationships/hyperlink" Target="http://www.imdb.com/title/tt1265990/?ref_=fn_tt_tt_1" TargetMode="External"/><Relationship Id="rId2522" Type="http://schemas.openxmlformats.org/officeDocument/2006/relationships/hyperlink" Target="http://www.imdb.com/title/tt0255819/?ref_=fn_tt_tt_1" TargetMode="External"/><Relationship Id="rId2521" Type="http://schemas.openxmlformats.org/officeDocument/2006/relationships/hyperlink" Target="http://www.imdb.com/title/tt0250720/?ref_=fn_tt_tt_1" TargetMode="External"/><Relationship Id="rId2520" Type="http://schemas.openxmlformats.org/officeDocument/2006/relationships/hyperlink" Target="http://www.imdb.com/title/tt3513704/?ref_=fn_tt_tt_1" TargetMode="External"/><Relationship Id="rId252" Type="http://schemas.openxmlformats.org/officeDocument/2006/relationships/hyperlink" Target="http://www.imdb.com/title/tt0349903/?ref_=fn_tt_tt_1" TargetMode="External"/><Relationship Id="rId2519" Type="http://schemas.openxmlformats.org/officeDocument/2006/relationships/hyperlink" Target="http://www.imdb.com/title/tt0457430/?ref_=fn_tt_tt_1" TargetMode="External"/><Relationship Id="rId2518" Type="http://schemas.openxmlformats.org/officeDocument/2006/relationships/hyperlink" Target="http://www.imdb.com/title/tt0295427/?ref_=fn_tt_tt_1" TargetMode="External"/><Relationship Id="rId2517" Type="http://schemas.openxmlformats.org/officeDocument/2006/relationships/hyperlink" Target="http://www.imdb.com/title/tt1002563/?ref_=fn_tt_tt_1" TargetMode="External"/><Relationship Id="rId2516" Type="http://schemas.openxmlformats.org/officeDocument/2006/relationships/hyperlink" Target="http://www.imdb.com/title/tt0420294/?ref_=fn_tt_tt_1" TargetMode="External"/><Relationship Id="rId2515" Type="http://schemas.openxmlformats.org/officeDocument/2006/relationships/hyperlink" Target="http://www.imdb.com/title/tt1748122/?ref_=fn_tt_tt_1" TargetMode="External"/><Relationship Id="rId2514" Type="http://schemas.openxmlformats.org/officeDocument/2006/relationships/hyperlink" Target="http://www.imdb.com/title/tt1139668/?ref_=fn_tt_tt_1" TargetMode="External"/><Relationship Id="rId2513" Type="http://schemas.openxmlformats.org/officeDocument/2006/relationships/hyperlink" Target="http://www.imdb.com/title/tt1655442/?ref_=fn_tt_tt_1" TargetMode="External"/><Relationship Id="rId2512" Type="http://schemas.openxmlformats.org/officeDocument/2006/relationships/hyperlink" Target="http://www.imdb.com/title/tt0139699/?ref_=fn_tt_tt_1" TargetMode="External"/><Relationship Id="rId2511" Type="http://schemas.openxmlformats.org/officeDocument/2006/relationships/hyperlink" Target="http://www.imdb.com/title/tt0215129/?ref_=fn_tt_tt_1" TargetMode="External"/><Relationship Id="rId2510" Type="http://schemas.openxmlformats.org/officeDocument/2006/relationships/hyperlink" Target="http://www.imdb.com/title/tt0084855/?ref_=fn_tt_tt_1" TargetMode="External"/><Relationship Id="rId251" Type="http://schemas.openxmlformats.org/officeDocument/2006/relationships/hyperlink" Target="http://www.imdb.com/title/tt0187393/?ref_=fn_tt_tt_1" TargetMode="External"/><Relationship Id="rId2509" Type="http://schemas.openxmlformats.org/officeDocument/2006/relationships/hyperlink" Target="http://www.imdb.com/title/tt0098635/?ref_=fn_tt_tt_1" TargetMode="External"/><Relationship Id="rId2508" Type="http://schemas.openxmlformats.org/officeDocument/2006/relationships/hyperlink" Target="http://www.imdb.com/title/tt0109686/?ref_=fn_tt_tt_1" TargetMode="External"/><Relationship Id="rId2507" Type="http://schemas.openxmlformats.org/officeDocument/2006/relationships/hyperlink" Target="http://www.imdb.com/title/tt0097165/?ref_=fn_tt_tt_1" TargetMode="External"/><Relationship Id="rId2506" Type="http://schemas.openxmlformats.org/officeDocument/2006/relationships/hyperlink" Target="http://www.imdb.com/title/tt0315983/?ref_=fn_tt_tt_1" TargetMode="External"/><Relationship Id="rId2505" Type="http://schemas.openxmlformats.org/officeDocument/2006/relationships/hyperlink" Target="http://www.imdb.com/title/tt0815244/?ref_=fn_tt_tt_1" TargetMode="External"/><Relationship Id="rId2504" Type="http://schemas.openxmlformats.org/officeDocument/2006/relationships/hyperlink" Target="http://www.imdb.com/title/tt0416508/?ref_=fn_tt_tt_1" TargetMode="External"/><Relationship Id="rId2503" Type="http://schemas.openxmlformats.org/officeDocument/2006/relationships/hyperlink" Target="http://www.imdb.com/title/tt0114388/?ref_=fn_tt_tt_1" TargetMode="External"/><Relationship Id="rId2502" Type="http://schemas.openxmlformats.org/officeDocument/2006/relationships/hyperlink" Target="http://www.imdb.com/title/tt0094291/?ref_=fn_tt_tt_1" TargetMode="External"/><Relationship Id="rId2501" Type="http://schemas.openxmlformats.org/officeDocument/2006/relationships/hyperlink" Target="http://www.imdb.com/title/tt0422295/?ref_=fn_tt_tt_1" TargetMode="External"/><Relationship Id="rId2500" Type="http://schemas.openxmlformats.org/officeDocument/2006/relationships/hyperlink" Target="http://www.imdb.com/title/tt0102492/?ref_=fn_tt_tt_1" TargetMode="External"/><Relationship Id="rId250" Type="http://schemas.openxmlformats.org/officeDocument/2006/relationships/hyperlink" Target="http://www.imdb.com/title/tt0120347/?ref_=fn_tt_tt_1" TargetMode="External"/><Relationship Id="rId25" Type="http://schemas.openxmlformats.org/officeDocument/2006/relationships/hyperlink" Target="http://www.imdb.com/title/tt0385752/?ref_=fn_tt_tt_1" TargetMode="External"/><Relationship Id="rId2499" Type="http://schemas.openxmlformats.org/officeDocument/2006/relationships/hyperlink" Target="http://www.imdb.com/title/tt1433822/?ref_=fn_tt_tt_1" TargetMode="External"/><Relationship Id="rId2498" Type="http://schemas.openxmlformats.org/officeDocument/2006/relationships/hyperlink" Target="http://www.imdb.com/title/tt0075909/?ref_=fn_tt_tt_1" TargetMode="External"/><Relationship Id="rId2497" Type="http://schemas.openxmlformats.org/officeDocument/2006/relationships/hyperlink" Target="http://www.imdb.com/title/tt0944834/?ref_=fn_tt_tt_1" TargetMode="External"/><Relationship Id="rId2496" Type="http://schemas.openxmlformats.org/officeDocument/2006/relationships/hyperlink" Target="http://www.imdb.com/title/tt0405336/?ref_=fn_tt_tt_1" TargetMode="External"/><Relationship Id="rId2495" Type="http://schemas.openxmlformats.org/officeDocument/2006/relationships/hyperlink" Target="http://www.imdb.com/title/tt2515030/?ref_=fn_tt_tt_1" TargetMode="External"/><Relationship Id="rId2494" Type="http://schemas.openxmlformats.org/officeDocument/2006/relationships/hyperlink" Target="http://www.imdb.com/title/tt0312549/?ref_=fn_tt_tt_1" TargetMode="External"/><Relationship Id="rId2493" Type="http://schemas.openxmlformats.org/officeDocument/2006/relationships/hyperlink" Target="http://www.imdb.com/title/tt0083001/?ref_=fn_tt_tt_1" TargetMode="External"/><Relationship Id="rId2492" Type="http://schemas.openxmlformats.org/officeDocument/2006/relationships/hyperlink" Target="http://www.imdb.com/title/tt0443543/?ref_=fn_tt_tt_1" TargetMode="External"/><Relationship Id="rId2491" Type="http://schemas.openxmlformats.org/officeDocument/2006/relationships/hyperlink" Target="http://www.imdb.com/title/tt0091934/?ref_=fn_tt_tt_1" TargetMode="External"/><Relationship Id="rId2490" Type="http://schemas.openxmlformats.org/officeDocument/2006/relationships/hyperlink" Target="http://www.imdb.com/title/tt0375104/?ref_=fn_tt_tt_1" TargetMode="External"/><Relationship Id="rId249" Type="http://schemas.openxmlformats.org/officeDocument/2006/relationships/hyperlink" Target="http://www.imdb.com/title/tt2126355/?ref_=fn_tt_tt_1" TargetMode="External"/><Relationship Id="rId2489" Type="http://schemas.openxmlformats.org/officeDocument/2006/relationships/hyperlink" Target="http://www.imdb.com/title/tt0404390/?ref_=fn_tt_tt_1" TargetMode="External"/><Relationship Id="rId2488" Type="http://schemas.openxmlformats.org/officeDocument/2006/relationships/hyperlink" Target="http://www.imdb.com/title/tt0770810/?ref_=fn_tt_tt_1" TargetMode="External"/><Relationship Id="rId2487" Type="http://schemas.openxmlformats.org/officeDocument/2006/relationships/hyperlink" Target="http://www.imdb.com/title/tt0094074/?ref_=fn_tt_tt_1" TargetMode="External"/><Relationship Id="rId2486" Type="http://schemas.openxmlformats.org/officeDocument/2006/relationships/hyperlink" Target="http://www.imdb.com/title/tt0465142/?ref_=fn_tt_tt_1" TargetMode="External"/><Relationship Id="rId2485" Type="http://schemas.openxmlformats.org/officeDocument/2006/relationships/hyperlink" Target="http://www.imdb.com/title/tt0865559/?ref_=fn_tt_tt_1" TargetMode="External"/><Relationship Id="rId2484" Type="http://schemas.openxmlformats.org/officeDocument/2006/relationships/hyperlink" Target="http://www.imdb.com/title/tt1288558/?ref_=fn_tt_tt_1" TargetMode="External"/><Relationship Id="rId2483" Type="http://schemas.openxmlformats.org/officeDocument/2006/relationships/hyperlink" Target="http://www.imdb.com/title/tt0056800/?ref_=fn_tt_tt_1" TargetMode="External"/><Relationship Id="rId2482" Type="http://schemas.openxmlformats.org/officeDocument/2006/relationships/hyperlink" Target="http://www.imdb.com/title/tt1210042/?ref_=fn_tt_tt_1" TargetMode="External"/><Relationship Id="rId2481" Type="http://schemas.openxmlformats.org/officeDocument/2006/relationships/hyperlink" Target="http://www.imdb.com/title/tt0159421/?ref_=fn_tt_tt_1" TargetMode="External"/><Relationship Id="rId2480" Type="http://schemas.openxmlformats.org/officeDocument/2006/relationships/hyperlink" Target="http://www.imdb.com/title/tt0462395/?ref_=fn_tt_tt_1" TargetMode="External"/><Relationship Id="rId248" Type="http://schemas.openxmlformats.org/officeDocument/2006/relationships/hyperlink" Target="http://www.imdb.com/title/tt0477347/?ref_=fn_tt_tt_1" TargetMode="External"/><Relationship Id="rId2479" Type="http://schemas.openxmlformats.org/officeDocument/2006/relationships/hyperlink" Target="http://www.imdb.com/title/tt0283632/?ref_=fn_tt_tt_1" TargetMode="External"/><Relationship Id="rId2478" Type="http://schemas.openxmlformats.org/officeDocument/2006/relationships/hyperlink" Target="http://www.imdb.com/title/tt0120324/?ref_=fn_tt_tt_1" TargetMode="External"/><Relationship Id="rId2477" Type="http://schemas.openxmlformats.org/officeDocument/2006/relationships/hyperlink" Target="http://www.imdb.com/title/tt0234829/?ref_=fn_tt_tt_1" TargetMode="External"/><Relationship Id="rId2476" Type="http://schemas.openxmlformats.org/officeDocument/2006/relationships/hyperlink" Target="http://www.imdb.com/title/tt1981677/?ref_=fn_tt_tt_1" TargetMode="External"/><Relationship Id="rId2475" Type="http://schemas.openxmlformats.org/officeDocument/2006/relationships/hyperlink" Target="http://www.imdb.com/title/tt0466856/?ref_=fn_tt_tt_1" TargetMode="External"/><Relationship Id="rId2474" Type="http://schemas.openxmlformats.org/officeDocument/2006/relationships/hyperlink" Target="http://www.imdb.com/title/tt0979434/?ref_=fn_tt_tt_1" TargetMode="External"/><Relationship Id="rId2473" Type="http://schemas.openxmlformats.org/officeDocument/2006/relationships/hyperlink" Target="http://www.imdb.com/title/tt2097298/?ref_=fn_tt_tt_1" TargetMode="External"/><Relationship Id="rId2472" Type="http://schemas.openxmlformats.org/officeDocument/2006/relationships/hyperlink" Target="http://www.imdb.com/title/tt0325258/?ref_=fn_tt_tt_1" TargetMode="External"/><Relationship Id="rId2471" Type="http://schemas.openxmlformats.org/officeDocument/2006/relationships/hyperlink" Target="http://www.imdb.com/title/tt0454841/?ref_=fn_tt_tt_1" TargetMode="External"/><Relationship Id="rId2470" Type="http://schemas.openxmlformats.org/officeDocument/2006/relationships/hyperlink" Target="http://www.imdb.com/title/tt1152398/?ref_=fn_tt_tt_1" TargetMode="External"/><Relationship Id="rId247" Type="http://schemas.openxmlformats.org/officeDocument/2006/relationships/hyperlink" Target="http://www.imdb.com/title/tt1502712/?ref_=fn_tt_tt_1" TargetMode="External"/><Relationship Id="rId2469" Type="http://schemas.openxmlformats.org/officeDocument/2006/relationships/hyperlink" Target="http://www.imdb.com/title/tt0120770/?ref_=fn_tt_tt_1" TargetMode="External"/><Relationship Id="rId2468" Type="http://schemas.openxmlformats.org/officeDocument/2006/relationships/hyperlink" Target="http://www.imdb.com/title/tt0243736/?ref_=fn_tt_tt_1" TargetMode="External"/><Relationship Id="rId2467" Type="http://schemas.openxmlformats.org/officeDocument/2006/relationships/hyperlink" Target="http://www.imdb.com/title/tt1477076/?ref_=fn_tt_tt_1" TargetMode="External"/><Relationship Id="rId2466" Type="http://schemas.openxmlformats.org/officeDocument/2006/relationships/hyperlink" Target="http://www.imdb.com/title/tt0475394/?ref_=fn_tt_tt_1" TargetMode="External"/><Relationship Id="rId2465" Type="http://schemas.openxmlformats.org/officeDocument/2006/relationships/hyperlink" Target="http://www.imdb.com/title/tt2083355/?ref_=fn_tt_tt_1" TargetMode="External"/><Relationship Id="rId2464" Type="http://schemas.openxmlformats.org/officeDocument/2006/relationships/hyperlink" Target="http://www.imdb.com/title/tt0326900/?ref_=fn_tt_tt_1" TargetMode="External"/><Relationship Id="rId2463" Type="http://schemas.openxmlformats.org/officeDocument/2006/relationships/hyperlink" Target="http://www.imdb.com/title/tt0077651/?ref_=fn_tt_tt_1" TargetMode="External"/><Relationship Id="rId2462" Type="http://schemas.openxmlformats.org/officeDocument/2006/relationships/hyperlink" Target="http://www.imdb.com/title/tt0486551/?ref_=fn_tt_tt_1" TargetMode="External"/><Relationship Id="rId2461" Type="http://schemas.openxmlformats.org/officeDocument/2006/relationships/hyperlink" Target="http://www.imdb.com/title/tt0375063/?ref_=fn_tt_tt_1" TargetMode="External"/><Relationship Id="rId2460" Type="http://schemas.openxmlformats.org/officeDocument/2006/relationships/hyperlink" Target="http://www.imdb.com/title/tt1924435/?ref_=fn_tt_tt_1" TargetMode="External"/><Relationship Id="rId246" Type="http://schemas.openxmlformats.org/officeDocument/2006/relationships/hyperlink" Target="http://www.imdb.com/title/tt3949660/?ref_=fn_tt_tt_1" TargetMode="External"/><Relationship Id="rId2459" Type="http://schemas.openxmlformats.org/officeDocument/2006/relationships/hyperlink" Target="http://www.imdb.com/title/tt0119345/?ref_=fn_tt_tt_1" TargetMode="External"/><Relationship Id="rId2458" Type="http://schemas.openxmlformats.org/officeDocument/2006/relationships/hyperlink" Target="http://www.imdb.com/title/tt0058385/?ref_=fn_tt_tt_1" TargetMode="External"/><Relationship Id="rId2457" Type="http://schemas.openxmlformats.org/officeDocument/2006/relationships/hyperlink" Target="http://www.imdb.com/title/tt0090605/?ref_=fn_tt_tt_1" TargetMode="External"/><Relationship Id="rId2456" Type="http://schemas.openxmlformats.org/officeDocument/2006/relationships/hyperlink" Target="http://www.imdb.com/title/tt0230600/?ref_=fn_tt_tt_1" TargetMode="External"/><Relationship Id="rId2455" Type="http://schemas.openxmlformats.org/officeDocument/2006/relationships/hyperlink" Target="http://www.imdb.com/title/tt0164003/?ref_=fn_tt_tt_1" TargetMode="External"/><Relationship Id="rId2454" Type="http://schemas.openxmlformats.org/officeDocument/2006/relationships/hyperlink" Target="http://www.imdb.com/title/tt1085492/?ref_=fn_tt_tt_1" TargetMode="External"/><Relationship Id="rId2453" Type="http://schemas.openxmlformats.org/officeDocument/2006/relationships/hyperlink" Target="http://www.imdb.com/title/tt1425922/?ref_=fn_tt_tt_1" TargetMode="External"/><Relationship Id="rId2452" Type="http://schemas.openxmlformats.org/officeDocument/2006/relationships/hyperlink" Target="http://www.imdb.com/title/tt0465494/?ref_=fn_tt_tt_1" TargetMode="External"/><Relationship Id="rId2451" Type="http://schemas.openxmlformats.org/officeDocument/2006/relationships/hyperlink" Target="http://www.imdb.com/title/tt0395169/?ref_=fn_tt_tt_1" TargetMode="External"/><Relationship Id="rId2450" Type="http://schemas.openxmlformats.org/officeDocument/2006/relationships/hyperlink" Target="http://www.imdb.com/title/tt0443536/?ref_=fn_tt_tt_1" TargetMode="External"/><Relationship Id="rId245" Type="http://schemas.openxmlformats.org/officeDocument/2006/relationships/hyperlink" Target="http://www.imdb.com/title/tt0118928/?ref_=fn_tt_tt_1" TargetMode="External"/><Relationship Id="rId2449" Type="http://schemas.openxmlformats.org/officeDocument/2006/relationships/hyperlink" Target="http://www.imdb.com/title/tt1023481/?ref_=fn_tt_tt_1" TargetMode="External"/><Relationship Id="rId2448" Type="http://schemas.openxmlformats.org/officeDocument/2006/relationships/hyperlink" Target="http://www.imdb.com/title/tt1403241/?ref_=fn_tt_tt_1" TargetMode="External"/><Relationship Id="rId2447" Type="http://schemas.openxmlformats.org/officeDocument/2006/relationships/hyperlink" Target="http://www.imdb.com/title/tt1142800/?ref_=fn_tt_tt_1" TargetMode="External"/><Relationship Id="rId2446" Type="http://schemas.openxmlformats.org/officeDocument/2006/relationships/hyperlink" Target="http://www.imdb.com/title/tt0829482/?ref_=fn_tt_tt_1" TargetMode="External"/><Relationship Id="rId2445" Type="http://schemas.openxmlformats.org/officeDocument/2006/relationships/hyperlink" Target="http://www.imdb.com/title/tt1748179/?ref_=fn_tt_tt_1" TargetMode="External"/><Relationship Id="rId2444" Type="http://schemas.openxmlformats.org/officeDocument/2006/relationships/hyperlink" Target="http://www.imdb.com/title/tt0089893/?ref_=fn_tt_tt_1" TargetMode="External"/><Relationship Id="rId2443" Type="http://schemas.openxmlformats.org/officeDocument/2006/relationships/hyperlink" Target="http://www.imdb.com/title/tt0386741/?ref_=fn_tt_tt_1" TargetMode="External"/><Relationship Id="rId2442" Type="http://schemas.openxmlformats.org/officeDocument/2006/relationships/hyperlink" Target="http://www.imdb.com/title/tt3212232/?ref_=fn_tt_tt_1" TargetMode="External"/><Relationship Id="rId2441" Type="http://schemas.openxmlformats.org/officeDocument/2006/relationships/hyperlink" Target="http://www.imdb.com/title/tt0088993/?ref_=fn_tt_tt_1" TargetMode="External"/><Relationship Id="rId2440" Type="http://schemas.openxmlformats.org/officeDocument/2006/relationships/hyperlink" Target="http://www.imdb.com/title/tt0120775/?ref_=fn_tt_tt_1" TargetMode="External"/><Relationship Id="rId244" Type="http://schemas.openxmlformats.org/officeDocument/2006/relationships/hyperlink" Target="http://www.imdb.com/title/tt1454468/?ref_=fn_tt_tt_1" TargetMode="External"/><Relationship Id="rId2439" Type="http://schemas.openxmlformats.org/officeDocument/2006/relationships/hyperlink" Target="http://www.imdb.com/title/tt1024744/?ref_=fn_tt_tt_1" TargetMode="External"/><Relationship Id="rId2438" Type="http://schemas.openxmlformats.org/officeDocument/2006/relationships/hyperlink" Target="http://www.imdb.com/title/tt1321865/?ref_=fn_tt_tt_1" TargetMode="External"/><Relationship Id="rId2437" Type="http://schemas.openxmlformats.org/officeDocument/2006/relationships/hyperlink" Target="http://www.imdb.com/title/tt0865554/?ref_=fn_tt_tt_1" TargetMode="External"/><Relationship Id="rId2436" Type="http://schemas.openxmlformats.org/officeDocument/2006/relationships/hyperlink" Target="http://www.imdb.com/title/tt2172935/?ref_=fn_tt_tt_1" TargetMode="External"/><Relationship Id="rId2435" Type="http://schemas.openxmlformats.org/officeDocument/2006/relationships/hyperlink" Target="http://www.imdb.com/title/tt0235737/?ref_=fn_tt_tt_1" TargetMode="External"/><Relationship Id="rId2434" Type="http://schemas.openxmlformats.org/officeDocument/2006/relationships/hyperlink" Target="http://www.imdb.com/title/tt0092240/?ref_=fn_tt_tt_1" TargetMode="External"/><Relationship Id="rId2433" Type="http://schemas.openxmlformats.org/officeDocument/2006/relationships/hyperlink" Target="http://www.imdb.com/title/tt4517738/?ref_=fn_tt_tt_1" TargetMode="External"/><Relationship Id="rId2432" Type="http://schemas.openxmlformats.org/officeDocument/2006/relationships/hyperlink" Target="http://www.imdb.com/title/tt1149362/?ref_=fn_tt_tt_1" TargetMode="External"/><Relationship Id="rId2431" Type="http://schemas.openxmlformats.org/officeDocument/2006/relationships/hyperlink" Target="http://www.imdb.com/title/tt1842530/?ref_=fn_tt_tt_1" TargetMode="External"/><Relationship Id="rId2430" Type="http://schemas.openxmlformats.org/officeDocument/2006/relationships/hyperlink" Target="http://www.imdb.com/title/tt2058107/?ref_=fn_tt_tt_1" TargetMode="External"/><Relationship Id="rId243" Type="http://schemas.openxmlformats.org/officeDocument/2006/relationships/hyperlink" Target="http://www.imdb.com/title/tt1291150/?ref_=fn_tt_tt_1" TargetMode="External"/><Relationship Id="rId2429" Type="http://schemas.openxmlformats.org/officeDocument/2006/relationships/hyperlink" Target="http://www.imdb.com/title/tt0313792/?ref_=fn_tt_tt_1" TargetMode="External"/><Relationship Id="rId2428" Type="http://schemas.openxmlformats.org/officeDocument/2006/relationships/hyperlink" Target="http://www.imdb.com/title/tt2649554/?ref_=fn_tt_tt_1" TargetMode="External"/><Relationship Id="rId2427" Type="http://schemas.openxmlformats.org/officeDocument/2006/relationships/hyperlink" Target="http://www.imdb.com/title/tt1071812/?ref_=fn_tt_tt_1" TargetMode="External"/><Relationship Id="rId2426" Type="http://schemas.openxmlformats.org/officeDocument/2006/relationships/hyperlink" Target="http://www.imdb.com/title/tt0116477/?ref_=fn_tt_tt_1" TargetMode="External"/><Relationship Id="rId2425" Type="http://schemas.openxmlformats.org/officeDocument/2006/relationships/hyperlink" Target="http://www.imdb.com/title/tt0084316/?ref_=fn_tt_tt_1" TargetMode="External"/><Relationship Id="rId2424" Type="http://schemas.openxmlformats.org/officeDocument/2006/relationships/hyperlink" Target="http://www.imdb.com/title/tt1032755/?ref_=fn_tt_tt_1" TargetMode="External"/><Relationship Id="rId2423" Type="http://schemas.openxmlformats.org/officeDocument/2006/relationships/hyperlink" Target="http://www.imdb.com/title/tt0416044/?ref_=fn_tt_tt_1" TargetMode="External"/><Relationship Id="rId2422" Type="http://schemas.openxmlformats.org/officeDocument/2006/relationships/hyperlink" Target="http://www.imdb.com/title/tt1967545/?ref_=fn_tt_tt_1" TargetMode="External"/><Relationship Id="rId2421" Type="http://schemas.openxmlformats.org/officeDocument/2006/relationships/hyperlink" Target="http://www.imdb.com/title/tt0109707/?ref_=fn_tt_tt_1" TargetMode="External"/><Relationship Id="rId2420" Type="http://schemas.openxmlformats.org/officeDocument/2006/relationships/hyperlink" Target="http://www.imdb.com/title/tt0824758/?ref_=fn_tt_tt_1" TargetMode="External"/><Relationship Id="rId242" Type="http://schemas.openxmlformats.org/officeDocument/2006/relationships/hyperlink" Target="http://www.imdb.com/title/tt2381991/?ref_=fn_tt_tt_1" TargetMode="External"/><Relationship Id="rId2419" Type="http://schemas.openxmlformats.org/officeDocument/2006/relationships/hyperlink" Target="http://www.imdb.com/title/tt0082288/?ref_=fn_tt_tt_1" TargetMode="External"/><Relationship Id="rId2418" Type="http://schemas.openxmlformats.org/officeDocument/2006/relationships/hyperlink" Target="http://www.imdb.com/title/tt0091635/?ref_=fn_tt_tt_1" TargetMode="External"/><Relationship Id="rId2417" Type="http://schemas.openxmlformats.org/officeDocument/2006/relationships/hyperlink" Target="http://www.imdb.com/title/tt0340012/?ref_=fn_tt_tt_1" TargetMode="External"/><Relationship Id="rId2416" Type="http://schemas.openxmlformats.org/officeDocument/2006/relationships/hyperlink" Target="http://www.imdb.com/title/tt0098519/?ref_=fn_tt_tt_1" TargetMode="External"/><Relationship Id="rId2415" Type="http://schemas.openxmlformats.org/officeDocument/2006/relationships/hyperlink" Target="http://www.imdb.com/title/tt2465146/?ref_=fn_tt_tt_1" TargetMode="External"/><Relationship Id="rId2414" Type="http://schemas.openxmlformats.org/officeDocument/2006/relationships/hyperlink" Target="http://www.imdb.com/title/tt0119349/?ref_=fn_tt_tt_1" TargetMode="External"/><Relationship Id="rId2413" Type="http://schemas.openxmlformats.org/officeDocument/2006/relationships/hyperlink" Target="http://www.imdb.com/title/tt2167202/?ref_=fn_tt_tt_1" TargetMode="External"/><Relationship Id="rId2412" Type="http://schemas.openxmlformats.org/officeDocument/2006/relationships/hyperlink" Target="http://www.imdb.com/title/tt0082085/?ref_=fn_tt_tt_1" TargetMode="External"/><Relationship Id="rId2411" Type="http://schemas.openxmlformats.org/officeDocument/2006/relationships/hyperlink" Target="http://www.imdb.com/title/tt0236784/?ref_=fn_tt_tt_1" TargetMode="External"/><Relationship Id="rId2410" Type="http://schemas.openxmlformats.org/officeDocument/2006/relationships/hyperlink" Target="http://www.imdb.com/title/tt0082648/?ref_=fn_tt_tt_1" TargetMode="External"/><Relationship Id="rId241" Type="http://schemas.openxmlformats.org/officeDocument/2006/relationships/hyperlink" Target="http://www.imdb.com/title/tt0245562/?ref_=fn_tt_tt_1" TargetMode="External"/><Relationship Id="rId2409" Type="http://schemas.openxmlformats.org/officeDocument/2006/relationships/hyperlink" Target="http://www.imdb.com/title/tt0403702/?ref_=fn_tt_tt_1" TargetMode="External"/><Relationship Id="rId2408" Type="http://schemas.openxmlformats.org/officeDocument/2006/relationships/hyperlink" Target="http://www.imdb.com/title/tt1032815/?ref_=fn_tt_tt_1" TargetMode="External"/><Relationship Id="rId2407" Type="http://schemas.openxmlformats.org/officeDocument/2006/relationships/hyperlink" Target="http://www.imdb.com/title/tt2080374/?ref_=fn_tt_tt_1" TargetMode="External"/><Relationship Id="rId2406" Type="http://schemas.openxmlformats.org/officeDocument/2006/relationships/hyperlink" Target="http://www.imdb.com/title/tt0264796/?ref_=fn_tt_tt_1" TargetMode="External"/><Relationship Id="rId2405" Type="http://schemas.openxmlformats.org/officeDocument/2006/relationships/hyperlink" Target="http://www.imdb.com/title/tt0337917/?ref_=fn_tt_tt_1" TargetMode="External"/><Relationship Id="rId2404" Type="http://schemas.openxmlformats.org/officeDocument/2006/relationships/hyperlink" Target="http://www.imdb.com/title/tt2279339/?ref_=fn_tt_tt_1" TargetMode="External"/><Relationship Id="rId2403" Type="http://schemas.openxmlformats.org/officeDocument/2006/relationships/hyperlink" Target="http://www.imdb.com/title/tt0210616/?ref_=fn_tt_tt_1" TargetMode="External"/><Relationship Id="rId2402" Type="http://schemas.openxmlformats.org/officeDocument/2006/relationships/hyperlink" Target="http://www.imdb.com/title/tt0196216/?ref_=fn_tt_tt_1" TargetMode="External"/><Relationship Id="rId2401" Type="http://schemas.openxmlformats.org/officeDocument/2006/relationships/hyperlink" Target="http://www.imdb.com/title/tt1542344/?ref_=fn_tt_tt_1" TargetMode="External"/><Relationship Id="rId2400" Type="http://schemas.openxmlformats.org/officeDocument/2006/relationships/hyperlink" Target="http://www.imdb.com/title/tt1016075/?ref_=fn_tt_tt_1" TargetMode="External"/><Relationship Id="rId240" Type="http://schemas.openxmlformats.org/officeDocument/2006/relationships/hyperlink" Target="http://www.imdb.com/title/tt0463872/?ref_=fn_tt_tt_1" TargetMode="External"/><Relationship Id="rId24" Type="http://schemas.openxmlformats.org/officeDocument/2006/relationships/hyperlink" Target="http://www.imdb.com/title/tt1170358/?ref_=fn_tt_tt_1" TargetMode="External"/><Relationship Id="rId2399" Type="http://schemas.openxmlformats.org/officeDocument/2006/relationships/hyperlink" Target="http://www.imdb.com/title/tt0090357/?ref_=fn_tt_tt_1" TargetMode="External"/><Relationship Id="rId2398" Type="http://schemas.openxmlformats.org/officeDocument/2006/relationships/hyperlink" Target="http://www.imdb.com/title/tt0899106/?ref_=fn_tt_tt_1" TargetMode="External"/><Relationship Id="rId2397" Type="http://schemas.openxmlformats.org/officeDocument/2006/relationships/hyperlink" Target="http://www.imdb.com/title/tt0081398/?ref_=fn_tt_tt_1" TargetMode="External"/><Relationship Id="rId2396" Type="http://schemas.openxmlformats.org/officeDocument/2006/relationships/hyperlink" Target="http://www.imdb.com/title/tt0087078/?ref_=fn_tt_tt_1" TargetMode="External"/><Relationship Id="rId2395" Type="http://schemas.openxmlformats.org/officeDocument/2006/relationships/hyperlink" Target="http://www.imdb.com/title/tt1197628/?ref_=fn_tt_tt_1" TargetMode="External"/><Relationship Id="rId2394" Type="http://schemas.openxmlformats.org/officeDocument/2006/relationships/hyperlink" Target="http://www.imdb.com/title/tt0065528/?ref_=fn_tt_tt_1" TargetMode="External"/><Relationship Id="rId2393" Type="http://schemas.openxmlformats.org/officeDocument/2006/relationships/hyperlink" Target="http://www.imdb.com/title/tt1596346/?ref_=fn_tt_tt_1" TargetMode="External"/><Relationship Id="rId2392" Type="http://schemas.openxmlformats.org/officeDocument/2006/relationships/hyperlink" Target="http://www.imdb.com/title/tt0080749/?ref_=fn_tt_tt_1" TargetMode="External"/><Relationship Id="rId2391" Type="http://schemas.openxmlformats.org/officeDocument/2006/relationships/hyperlink" Target="http://www.imdb.com/title/tt0117723/?ref_=fn_tt_tt_1" TargetMode="External"/><Relationship Id="rId2390" Type="http://schemas.openxmlformats.org/officeDocument/2006/relationships/hyperlink" Target="http://www.imdb.com/title/tt0322589/?ref_=fn_tt_tt_1" TargetMode="External"/><Relationship Id="rId239" Type="http://schemas.openxmlformats.org/officeDocument/2006/relationships/hyperlink" Target="http://www.imdb.com/title/tt0481499/?ref_=fn_tt_tt_1" TargetMode="External"/><Relationship Id="rId2389" Type="http://schemas.openxmlformats.org/officeDocument/2006/relationships/hyperlink" Target="http://www.imdb.com/title/tt0475276/?ref_=fn_tt_tt_1" TargetMode="External"/><Relationship Id="rId2388" Type="http://schemas.openxmlformats.org/officeDocument/2006/relationships/hyperlink" Target="http://www.imdb.com/title/tt2334873/?ref_=fn_tt_tt_1" TargetMode="External"/><Relationship Id="rId2387" Type="http://schemas.openxmlformats.org/officeDocument/2006/relationships/hyperlink" Target="http://www.imdb.com/title/tt2562232/?ref_=fn_tt_tt_1" TargetMode="External"/><Relationship Id="rId2386" Type="http://schemas.openxmlformats.org/officeDocument/2006/relationships/hyperlink" Target="http://www.imdb.com/title/tt0091738/?ref_=fn_tt_tt_1" TargetMode="External"/><Relationship Id="rId2385" Type="http://schemas.openxmlformats.org/officeDocument/2006/relationships/hyperlink" Target="http://www.imdb.com/title/tt0362359/?ref_=fn_tt_tt_1" TargetMode="External"/><Relationship Id="rId2384" Type="http://schemas.openxmlformats.org/officeDocument/2006/relationships/hyperlink" Target="http://www.imdb.com/title/tt0280707/?ref_=fn_tt_tt_1" TargetMode="External"/><Relationship Id="rId2383" Type="http://schemas.openxmlformats.org/officeDocument/2006/relationships/hyperlink" Target="http://www.imdb.com/title/tt0328589/?ref_=fn_tt_tt_1" TargetMode="External"/><Relationship Id="rId2382" Type="http://schemas.openxmlformats.org/officeDocument/2006/relationships/hyperlink" Target="http://www.imdb.com/title/tt0377092/?ref_=fn_tt_tt_1" TargetMode="External"/><Relationship Id="rId2381" Type="http://schemas.openxmlformats.org/officeDocument/2006/relationships/hyperlink" Target="http://www.imdb.com/title/tt0926129/?ref_=fn_tt_tt_1" TargetMode="External"/><Relationship Id="rId2380" Type="http://schemas.openxmlformats.org/officeDocument/2006/relationships/hyperlink" Target="http://www.imdb.com/title/tt0086879/?ref_=fn_tt_tt_1" TargetMode="External"/><Relationship Id="rId238" Type="http://schemas.openxmlformats.org/officeDocument/2006/relationships/hyperlink" Target="http://www.imdb.com/title/tt0120915/?ref_=fn_tt_tt_1" TargetMode="External"/><Relationship Id="rId2379" Type="http://schemas.openxmlformats.org/officeDocument/2006/relationships/hyperlink" Target="http://www.imdb.com/title/tt0093773/?ref_=fn_tt_tt_1" TargetMode="External"/><Relationship Id="rId2378" Type="http://schemas.openxmlformats.org/officeDocument/2006/relationships/hyperlink" Target="http://www.imdb.com/title/tt1650043/?ref_=fn_tt_tt_1" TargetMode="External"/><Relationship Id="rId2377" Type="http://schemas.openxmlformats.org/officeDocument/2006/relationships/hyperlink" Target="http://www.imdb.com/title/tt3760922/?ref_=fn_tt_tt_1" TargetMode="External"/><Relationship Id="rId2376" Type="http://schemas.openxmlformats.org/officeDocument/2006/relationships/hyperlink" Target="http://www.imdb.com/title/tt0118655/?ref_=fn_tt_tt_1" TargetMode="External"/><Relationship Id="rId2375" Type="http://schemas.openxmlformats.org/officeDocument/2006/relationships/hyperlink" Target="http://www.imdb.com/title/tt0307987/?ref_=fn_tt_tt_1" TargetMode="External"/><Relationship Id="rId2374" Type="http://schemas.openxmlformats.org/officeDocument/2006/relationships/hyperlink" Target="http://www.imdb.com/title/tt0337579/?ref_=fn_tt_tt_1" TargetMode="External"/><Relationship Id="rId2373" Type="http://schemas.openxmlformats.org/officeDocument/2006/relationships/hyperlink" Target="http://www.imdb.com/title/tt0356680/?ref_=fn_tt_tt_1" TargetMode="External"/><Relationship Id="rId2372" Type="http://schemas.openxmlformats.org/officeDocument/2006/relationships/hyperlink" Target="http://www.imdb.com/title/tt2467046/?ref_=fn_tt_tt_1" TargetMode="External"/><Relationship Id="rId2371" Type="http://schemas.openxmlformats.org/officeDocument/2006/relationships/hyperlink" Target="http://www.imdb.com/title/tt0205000/?ref_=fn_tt_tt_1" TargetMode="External"/><Relationship Id="rId2370" Type="http://schemas.openxmlformats.org/officeDocument/2006/relationships/hyperlink" Target="http://www.imdb.com/title/tt0404032/?ref_=fn_tt_tt_1" TargetMode="External"/><Relationship Id="rId237" Type="http://schemas.openxmlformats.org/officeDocument/2006/relationships/hyperlink" Target="http://www.imdb.com/title/tt1430132/?ref_=fn_tt_tt_1" TargetMode="External"/><Relationship Id="rId2369" Type="http://schemas.openxmlformats.org/officeDocument/2006/relationships/hyperlink" Target="http://www.imdb.com/title/tt0088170/?ref_=fn_tt_tt_1" TargetMode="External"/><Relationship Id="rId2368" Type="http://schemas.openxmlformats.org/officeDocument/2006/relationships/hyperlink" Target="http://www.imdb.com/title/tt0250494/?ref_=fn_tt_tt_1" TargetMode="External"/><Relationship Id="rId2367" Type="http://schemas.openxmlformats.org/officeDocument/2006/relationships/hyperlink" Target="http://www.imdb.com/title/tt0443453/?ref_=fn_tt_tt_1" TargetMode="External"/><Relationship Id="rId2366" Type="http://schemas.openxmlformats.org/officeDocument/2006/relationships/hyperlink" Target="http://www.imdb.com/title/tt0094737/?ref_=fn_tt_tt_1" TargetMode="External"/><Relationship Id="rId2365" Type="http://schemas.openxmlformats.org/officeDocument/2006/relationships/hyperlink" Target="http://www.imdb.com/title/tt0110475/?ref_=fn_tt_tt_1" TargetMode="External"/><Relationship Id="rId2364" Type="http://schemas.openxmlformats.org/officeDocument/2006/relationships/hyperlink" Target="http://www.imdb.com/title/tt2004420/?ref_=fn_tt_tt_1" TargetMode="External"/><Relationship Id="rId2363" Type="http://schemas.openxmlformats.org/officeDocument/2006/relationships/hyperlink" Target="http://www.imdb.com/title/tt1058017/?ref_=fn_tt_tt_1" TargetMode="External"/><Relationship Id="rId2362" Type="http://schemas.openxmlformats.org/officeDocument/2006/relationships/hyperlink" Target="http://www.imdb.com/title/tt0120669/?ref_=fn_tt_tt_1" TargetMode="External"/><Relationship Id="rId2361" Type="http://schemas.openxmlformats.org/officeDocument/2006/relationships/hyperlink" Target="http://www.imdb.com/title/tt2957680/?ref_=fn_tt_tt_1" TargetMode="External"/><Relationship Id="rId2360" Type="http://schemas.openxmlformats.org/officeDocument/2006/relationships/hyperlink" Target="http://www.imdb.com/title/tt0418819/?ref_=fn_tt_tt_1" TargetMode="External"/><Relationship Id="rId236" Type="http://schemas.openxmlformats.org/officeDocument/2006/relationships/hyperlink" Target="http://www.imdb.com/title/tt0198781/?ref_=fn_tt_tt_1" TargetMode="External"/><Relationship Id="rId2359" Type="http://schemas.openxmlformats.org/officeDocument/2006/relationships/hyperlink" Target="http://www.imdb.com/title/tt0268126/?ref_=fn_tt_tt_1" TargetMode="External"/><Relationship Id="rId2358" Type="http://schemas.openxmlformats.org/officeDocument/2006/relationships/hyperlink" Target="http://www.imdb.com/title/tt0384806/?ref_=fn_tt_tt_1" TargetMode="External"/><Relationship Id="rId2357" Type="http://schemas.openxmlformats.org/officeDocument/2006/relationships/hyperlink" Target="http://www.imdb.com/title/tt4193394/?ref_=fn_tt_tt_1" TargetMode="External"/><Relationship Id="rId2356" Type="http://schemas.openxmlformats.org/officeDocument/2006/relationships/hyperlink" Target="http://www.imdb.com/title/tt0116745/?ref_=fn_tt_tt_1" TargetMode="External"/><Relationship Id="rId2355" Type="http://schemas.openxmlformats.org/officeDocument/2006/relationships/hyperlink" Target="http://www.imdb.com/title/tt0107719/?ref_=fn_tt_tt_1" TargetMode="External"/><Relationship Id="rId2354" Type="http://schemas.openxmlformats.org/officeDocument/2006/relationships/hyperlink" Target="http://www.imdb.com/title/tt1870529/?ref_=fn_tt_tt_1" TargetMode="External"/><Relationship Id="rId2353" Type="http://schemas.openxmlformats.org/officeDocument/2006/relationships/hyperlink" Target="http://www.imdb.com/title/tt0810922/?ref_=fn_tt_tt_1" TargetMode="External"/><Relationship Id="rId2352" Type="http://schemas.openxmlformats.org/officeDocument/2006/relationships/hyperlink" Target="http://www.imdb.com/title/tt0058085/?ref_=fn_tt_tt_1" TargetMode="External"/><Relationship Id="rId2351" Type="http://schemas.openxmlformats.org/officeDocument/2006/relationships/hyperlink" Target="http://www.imdb.com/title/tt1216492/?ref_=fn_tt_tt_1" TargetMode="External"/><Relationship Id="rId2350" Type="http://schemas.openxmlformats.org/officeDocument/2006/relationships/hyperlink" Target="http://www.imdb.com/title/tt1135985/?ref_=fn_tt_tt_1" TargetMode="External"/><Relationship Id="rId235" Type="http://schemas.openxmlformats.org/officeDocument/2006/relationships/hyperlink" Target="http://www.imdb.com/title/tt0121765/?ref_=fn_tt_tt_1" TargetMode="External"/><Relationship Id="rId2349" Type="http://schemas.openxmlformats.org/officeDocument/2006/relationships/hyperlink" Target="http://www.imdb.com/title/tt0816442/?ref_=fn_tt_tt_1" TargetMode="External"/><Relationship Id="rId2348" Type="http://schemas.openxmlformats.org/officeDocument/2006/relationships/hyperlink" Target="http://www.imdb.com/title/tt0086993/?ref_=fn_tt_tt_1" TargetMode="External"/><Relationship Id="rId2347" Type="http://schemas.openxmlformats.org/officeDocument/2006/relationships/hyperlink" Target="http://www.imdb.com/title/tt3341072/?ref_=fn_tt_tt_1" TargetMode="External"/><Relationship Id="rId2346" Type="http://schemas.openxmlformats.org/officeDocument/2006/relationships/hyperlink" Target="http://www.imdb.com/title/tt0245429/?ref_=fn_tt_tt_1" TargetMode="External"/><Relationship Id="rId2345" Type="http://schemas.openxmlformats.org/officeDocument/2006/relationships/hyperlink" Target="http://www.imdb.com/title/tt0455407/?ref_=fn_tt_tt_1" TargetMode="External"/><Relationship Id="rId2344" Type="http://schemas.openxmlformats.org/officeDocument/2006/relationships/hyperlink" Target="http://www.imdb.com/title/tt0205461/?ref_=fn_tt_tt_1" TargetMode="External"/><Relationship Id="rId2343" Type="http://schemas.openxmlformats.org/officeDocument/2006/relationships/hyperlink" Target="http://www.imdb.com/title/tt1697237/?ref_=fn_tt_tt_1" TargetMode="External"/><Relationship Id="rId2342" Type="http://schemas.openxmlformats.org/officeDocument/2006/relationships/hyperlink" Target="http://www.imdb.com/title/tt1270262/?ref_=fn_tt_tt_1" TargetMode="External"/><Relationship Id="rId2341" Type="http://schemas.openxmlformats.org/officeDocument/2006/relationships/hyperlink" Target="http://www.imdb.com/title/tt0305711/?ref_=fn_tt_tt_1" TargetMode="External"/><Relationship Id="rId2340" Type="http://schemas.openxmlformats.org/officeDocument/2006/relationships/hyperlink" Target="http://www.imdb.com/title/tt0889573/?ref_=fn_tt_tt_1" TargetMode="External"/><Relationship Id="rId234" Type="http://schemas.openxmlformats.org/officeDocument/2006/relationships/hyperlink" Target="http://www.imdb.com/title/tt0121766/?ref_=fn_tt_tt_1" TargetMode="External"/><Relationship Id="rId2339" Type="http://schemas.openxmlformats.org/officeDocument/2006/relationships/hyperlink" Target="http://www.imdb.com/title/tt4280822/?ref_=fn_tt_tt_1" TargetMode="External"/><Relationship Id="rId2338" Type="http://schemas.openxmlformats.org/officeDocument/2006/relationships/hyperlink" Target="http://www.imdb.com/title/tt1385912/?ref_=fn_tt_tt_1" TargetMode="External"/><Relationship Id="rId2337" Type="http://schemas.openxmlformats.org/officeDocument/2006/relationships/hyperlink" Target="http://www.imdb.com/title/tt0185371/?ref_=fn_tt_tt_1" TargetMode="External"/><Relationship Id="rId2336" Type="http://schemas.openxmlformats.org/officeDocument/2006/relationships/hyperlink" Target="http://www.imdb.com/title/tt0088763/?ref_=fn_tt_tt_1" TargetMode="External"/><Relationship Id="rId2335" Type="http://schemas.openxmlformats.org/officeDocument/2006/relationships/hyperlink" Target="http://www.imdb.com/title/tt0081505/?ref_=fn_tt_tt_1" TargetMode="External"/><Relationship Id="rId2334" Type="http://schemas.openxmlformats.org/officeDocument/2006/relationships/hyperlink" Target="http://www.imdb.com/title/tt0245674/?ref_=fn_tt_tt_1" TargetMode="External"/><Relationship Id="rId2333" Type="http://schemas.openxmlformats.org/officeDocument/2006/relationships/hyperlink" Target="http://www.imdb.com/title/tt0117571/?ref_=fn_tt_tt_1" TargetMode="External"/><Relationship Id="rId2332" Type="http://schemas.openxmlformats.org/officeDocument/2006/relationships/hyperlink" Target="http://www.imdb.com/title/tt0356470/?ref_=fn_tt_tt_1" TargetMode="External"/><Relationship Id="rId2331" Type="http://schemas.openxmlformats.org/officeDocument/2006/relationships/hyperlink" Target="http://www.imdb.com/title/tt0098273/?ref_=fn_tt_tt_1" TargetMode="External"/><Relationship Id="rId2330" Type="http://schemas.openxmlformats.org/officeDocument/2006/relationships/hyperlink" Target="http://www.imdb.com/title/tt1284575/?ref_=fn_tt_tt_1" TargetMode="External"/><Relationship Id="rId233" Type="http://schemas.openxmlformats.org/officeDocument/2006/relationships/hyperlink" Target="http://www.imdb.com/title/tt1483013/?ref_=fn_tt_tt_1" TargetMode="External"/><Relationship Id="rId2329" Type="http://schemas.openxmlformats.org/officeDocument/2006/relationships/hyperlink" Target="http://www.imdb.com/title/tt0099348/?ref_=fn_tt_tt_1" TargetMode="External"/><Relationship Id="rId2328" Type="http://schemas.openxmlformats.org/officeDocument/2006/relationships/hyperlink" Target="http://www.imdb.com/title/tt0765432/?ref_=fn_tt_tt_1" TargetMode="External"/><Relationship Id="rId2327" Type="http://schemas.openxmlformats.org/officeDocument/2006/relationships/hyperlink" Target="http://www.imdb.com/title/tt0446755/?ref_=fn_tt_tt_1" TargetMode="External"/><Relationship Id="rId2326" Type="http://schemas.openxmlformats.org/officeDocument/2006/relationships/hyperlink" Target="http://www.imdb.com/title/tt2005374/?ref_=fn_tt_tt_1" TargetMode="External"/><Relationship Id="rId2325" Type="http://schemas.openxmlformats.org/officeDocument/2006/relationships/hyperlink" Target="http://www.imdb.com/title/tt3247714/?ref_=fn_tt_tt_1" TargetMode="External"/><Relationship Id="rId2324" Type="http://schemas.openxmlformats.org/officeDocument/2006/relationships/hyperlink" Target="http://www.imdb.com/title/tt1781827/?ref_=fn_tt_tt_1" TargetMode="External"/><Relationship Id="rId2323" Type="http://schemas.openxmlformats.org/officeDocument/2006/relationships/hyperlink" Target="http://www.imdb.com/title/tt1134666/?ref_=fn_tt_tt_1" TargetMode="External"/><Relationship Id="rId2322" Type="http://schemas.openxmlformats.org/officeDocument/2006/relationships/hyperlink" Target="http://www.imdb.com/title/tt3037162/?ref_=fn_tt_tt_1" TargetMode="External"/><Relationship Id="rId2321" Type="http://schemas.openxmlformats.org/officeDocument/2006/relationships/hyperlink" Target="http://www.imdb.com/title/tt1488181/?ref_=fn_tt_tt_1" TargetMode="External"/><Relationship Id="rId2320" Type="http://schemas.openxmlformats.org/officeDocument/2006/relationships/hyperlink" Target="http://www.imdb.com/title/tt0489664/?ref_=fn_tt_tt_1" TargetMode="External"/><Relationship Id="rId232" Type="http://schemas.openxmlformats.org/officeDocument/2006/relationships/hyperlink" Target="http://www.imdb.com/title/tt1013743/?ref_=fn_tt_tt_1" TargetMode="External"/><Relationship Id="rId2319" Type="http://schemas.openxmlformats.org/officeDocument/2006/relationships/hyperlink" Target="http://www.imdb.com/title/tt0882978/?ref_=fn_tt_tt_1" TargetMode="External"/><Relationship Id="rId2318" Type="http://schemas.openxmlformats.org/officeDocument/2006/relationships/hyperlink" Target="http://www.imdb.com/title/tt1128219/?ref_=fn_tt_tt_1" TargetMode="External"/><Relationship Id="rId2317" Type="http://schemas.openxmlformats.org/officeDocument/2006/relationships/hyperlink" Target="http://www.imdb.com/title/tt3319920/?ref_=fn_tt_tt_1" TargetMode="External"/><Relationship Id="rId2316" Type="http://schemas.openxmlformats.org/officeDocument/2006/relationships/hyperlink" Target="http://www.imdb.com/title/tt1274300/?ref_=fn_tt_tt_1" TargetMode="External"/><Relationship Id="rId2315" Type="http://schemas.openxmlformats.org/officeDocument/2006/relationships/hyperlink" Target="http://www.imdb.com/title/tt0166038/?ref_=fn_tt_tt_1" TargetMode="External"/><Relationship Id="rId2314" Type="http://schemas.openxmlformats.org/officeDocument/2006/relationships/hyperlink" Target="http://www.imdb.com/title/tt0274711/?ref_=fn_tt_tt_1" TargetMode="External"/><Relationship Id="rId2313" Type="http://schemas.openxmlformats.org/officeDocument/2006/relationships/hyperlink" Target="http://www.imdb.com/title/tt1013860/?ref_=fn_tt_tt_1" TargetMode="External"/><Relationship Id="rId2312" Type="http://schemas.openxmlformats.org/officeDocument/2006/relationships/hyperlink" Target="http://www.imdb.com/title/tt0120882/?ref_=fn_tt_tt_1" TargetMode="External"/><Relationship Id="rId2311" Type="http://schemas.openxmlformats.org/officeDocument/2006/relationships/hyperlink" Target="http://www.imdb.com/title/tt0940709/?ref_=fn_tt_tt_1" TargetMode="External"/><Relationship Id="rId2310" Type="http://schemas.openxmlformats.org/officeDocument/2006/relationships/hyperlink" Target="http://www.imdb.com/title/tt0110944/?ref_=fn_tt_tt_1" TargetMode="External"/><Relationship Id="rId231" Type="http://schemas.openxmlformats.org/officeDocument/2006/relationships/hyperlink" Target="http://www.imdb.com/title/tt1341188/?ref_=fn_tt_tt_1" TargetMode="External"/><Relationship Id="rId2309" Type="http://schemas.openxmlformats.org/officeDocument/2006/relationships/hyperlink" Target="http://www.imdb.com/title/tt1175709/?ref_=fn_tt_tt_1" TargetMode="External"/><Relationship Id="rId2308" Type="http://schemas.openxmlformats.org/officeDocument/2006/relationships/hyperlink" Target="http://www.imdb.com/title/tt0354595/?ref_=fn_tt_tt_1" TargetMode="External"/><Relationship Id="rId2307" Type="http://schemas.openxmlformats.org/officeDocument/2006/relationships/hyperlink" Target="http://www.imdb.com/title/tt0348121/?ref_=fn_tt_tt_1" TargetMode="External"/><Relationship Id="rId2306" Type="http://schemas.openxmlformats.org/officeDocument/2006/relationships/hyperlink" Target="http://www.imdb.com/title/tt3707106/?ref_=fn_tt_tt_1" TargetMode="External"/><Relationship Id="rId2305" Type="http://schemas.openxmlformats.org/officeDocument/2006/relationships/hyperlink" Target="http://www.imdb.com/title/tt1520498/?ref_=fn_tt_tt_1" TargetMode="External"/><Relationship Id="rId2304" Type="http://schemas.openxmlformats.org/officeDocument/2006/relationships/hyperlink" Target="http://www.imdb.com/title/tt0138946/?ref_=fn_tt_tt_1" TargetMode="External"/><Relationship Id="rId2303" Type="http://schemas.openxmlformats.org/officeDocument/2006/relationships/hyperlink" Target="http://www.imdb.com/title/tt0889588/?ref_=fn_tt_tt_1" TargetMode="External"/><Relationship Id="rId2302" Type="http://schemas.openxmlformats.org/officeDocument/2006/relationships/hyperlink" Target="http://www.imdb.com/title/tt0238380/?ref_=fn_tt_tt_1" TargetMode="External"/><Relationship Id="rId2301" Type="http://schemas.openxmlformats.org/officeDocument/2006/relationships/hyperlink" Target="http://www.imdb.com/title/tt0266747/?ref_=fn_tt_tt_1" TargetMode="External"/><Relationship Id="rId2300" Type="http://schemas.openxmlformats.org/officeDocument/2006/relationships/hyperlink" Target="http://www.imdb.com/title/tt3719896/?ref_=fn_tt_tt_1" TargetMode="External"/><Relationship Id="rId230" Type="http://schemas.openxmlformats.org/officeDocument/2006/relationships/hyperlink" Target="http://www.imdb.com/title/tt0811080/?ref_=fn_tt_tt_1" TargetMode="External"/><Relationship Id="rId23" Type="http://schemas.openxmlformats.org/officeDocument/2006/relationships/hyperlink" Target="http://www.imdb.com/title/tt0955308/?ref_=fn_tt_tt_1" TargetMode="External"/><Relationship Id="rId2299" Type="http://schemas.openxmlformats.org/officeDocument/2006/relationships/hyperlink" Target="http://www.imdb.com/title/tt0421238/?ref_=fn_tt_tt_1" TargetMode="External"/><Relationship Id="rId2298" Type="http://schemas.openxmlformats.org/officeDocument/2006/relationships/hyperlink" Target="http://www.imdb.com/title/tt0080492/?ref_=fn_tt_tt_1" TargetMode="External"/><Relationship Id="rId2297" Type="http://schemas.openxmlformats.org/officeDocument/2006/relationships/hyperlink" Target="http://www.imdb.com/title/tt0310778/?ref_=fn_tt_tt_1" TargetMode="External"/><Relationship Id="rId2296" Type="http://schemas.openxmlformats.org/officeDocument/2006/relationships/hyperlink" Target="http://www.imdb.com/title/tt0119698/?ref_=fn_tt_tt_1" TargetMode="External"/><Relationship Id="rId2295" Type="http://schemas.openxmlformats.org/officeDocument/2006/relationships/hyperlink" Target="http://www.imdb.com/title/tt0383028/?ref_=fn_tt_tt_1" TargetMode="External"/><Relationship Id="rId2294" Type="http://schemas.openxmlformats.org/officeDocument/2006/relationships/hyperlink" Target="http://www.imdb.com/title/tt0844286/?ref_=fn_tt_tt_1" TargetMode="External"/><Relationship Id="rId2293" Type="http://schemas.openxmlformats.org/officeDocument/2006/relationships/hyperlink" Target="http://www.imdb.com/title/tt1366365/?ref_=fn_tt_tt_1" TargetMode="External"/><Relationship Id="rId2292" Type="http://schemas.openxmlformats.org/officeDocument/2006/relationships/hyperlink" Target="http://www.imdb.com/title/tt0368794/?ref_=fn_tt_tt_1" TargetMode="External"/><Relationship Id="rId2291" Type="http://schemas.openxmlformats.org/officeDocument/2006/relationships/hyperlink" Target="http://www.imdb.com/title/tt1054588/?ref_=fn_tt_tt_1" TargetMode="External"/><Relationship Id="rId2290" Type="http://schemas.openxmlformats.org/officeDocument/2006/relationships/hyperlink" Target="http://www.imdb.com/title/tt1092082/?ref_=fn_tt_tt_1" TargetMode="External"/><Relationship Id="rId229" Type="http://schemas.openxmlformats.org/officeDocument/2006/relationships/hyperlink" Target="http://www.imdb.com/title/tt1234721/?ref_=fn_tt_tt_1" TargetMode="External"/><Relationship Id="rId2289" Type="http://schemas.openxmlformats.org/officeDocument/2006/relationships/hyperlink" Target="http://www.imdb.com/title/tt2937898/?ref_=fn_tt_tt_1" TargetMode="External"/><Relationship Id="rId2288" Type="http://schemas.openxmlformats.org/officeDocument/2006/relationships/hyperlink" Target="http://www.imdb.com/title/tt0337876/?ref_=fn_tt_tt_1" TargetMode="External"/><Relationship Id="rId2287" Type="http://schemas.openxmlformats.org/officeDocument/2006/relationships/hyperlink" Target="http://www.imdb.com/title/tt0976222/?ref_=fn_tt_tt_1" TargetMode="External"/><Relationship Id="rId2286" Type="http://schemas.openxmlformats.org/officeDocument/2006/relationships/hyperlink" Target="http://www.imdb.com/title/tt0369226/?ref_=fn_tt_tt_1" TargetMode="External"/><Relationship Id="rId2285" Type="http://schemas.openxmlformats.org/officeDocument/2006/relationships/hyperlink" Target="http://www.imdb.com/title/tt1629757/?ref_=fn_tt_tt_1" TargetMode="External"/><Relationship Id="rId2284" Type="http://schemas.openxmlformats.org/officeDocument/2006/relationships/hyperlink" Target="http://www.imdb.com/title/tt0405296/?ref_=fn_tt_tt_1" TargetMode="External"/><Relationship Id="rId2283" Type="http://schemas.openxmlformats.org/officeDocument/2006/relationships/hyperlink" Target="http://www.imdb.com/title/tt1571222/?ref_=fn_tt_tt_1" TargetMode="External"/><Relationship Id="rId2282" Type="http://schemas.openxmlformats.org/officeDocument/2006/relationships/hyperlink" Target="http://www.imdb.com/title/tt1810683/?ref_=fn_tt_tt_1" TargetMode="External"/><Relationship Id="rId2281" Type="http://schemas.openxmlformats.org/officeDocument/2006/relationships/hyperlink" Target="http://www.imdb.com/title/tt0151568/?ref_=fn_tt_tt_1" TargetMode="External"/><Relationship Id="rId2280" Type="http://schemas.openxmlformats.org/officeDocument/2006/relationships/hyperlink" Target="http://www.imdb.com/title/tt0489282/?ref_=fn_tt_tt_1" TargetMode="External"/><Relationship Id="rId228" Type="http://schemas.openxmlformats.org/officeDocument/2006/relationships/hyperlink" Target="http://www.imdb.com/title/tt0296572/?ref_=fn_tt_tt_1" TargetMode="External"/><Relationship Id="rId2279" Type="http://schemas.openxmlformats.org/officeDocument/2006/relationships/hyperlink" Target="http://www.imdb.com/title/tt0310357/?ref_=fn_tt_tt_1" TargetMode="External"/><Relationship Id="rId2278" Type="http://schemas.openxmlformats.org/officeDocument/2006/relationships/hyperlink" Target="http://www.imdb.com/title/tt2002718/?ref_=fn_tt_tt_1" TargetMode="External"/><Relationship Id="rId2277" Type="http://schemas.openxmlformats.org/officeDocument/2006/relationships/hyperlink" Target="http://www.imdb.com/title/tt1190617/?ref_=fn_tt_tt_1" TargetMode="External"/><Relationship Id="rId2276" Type="http://schemas.openxmlformats.org/officeDocument/2006/relationships/hyperlink" Target="http://www.imdb.com/title/tt1714204/?ref_=fn_tt_tt_1" TargetMode="External"/><Relationship Id="rId2275" Type="http://schemas.openxmlformats.org/officeDocument/2006/relationships/hyperlink" Target="http://www.imdb.com/title/tt1532958/?ref_=fn_tt_tt_1" TargetMode="External"/><Relationship Id="rId2274" Type="http://schemas.openxmlformats.org/officeDocument/2006/relationships/hyperlink" Target="http://www.imdb.com/title/tt0763304/?ref_=fn_tt_tt_1" TargetMode="External"/><Relationship Id="rId2273" Type="http://schemas.openxmlformats.org/officeDocument/2006/relationships/hyperlink" Target="http://www.imdb.com/title/tt1791528/?ref_=fn_tt_tt_1" TargetMode="External"/><Relationship Id="rId2272" Type="http://schemas.openxmlformats.org/officeDocument/2006/relationships/hyperlink" Target="http://www.imdb.com/title/tt0065054/?ref_=fn_tt_tt_1" TargetMode="External"/><Relationship Id="rId2271" Type="http://schemas.openxmlformats.org/officeDocument/2006/relationships/hyperlink" Target="http://www.imdb.com/title/tt0345074/?ref_=fn_tt_tt_1" TargetMode="External"/><Relationship Id="rId2270" Type="http://schemas.openxmlformats.org/officeDocument/2006/relationships/hyperlink" Target="http://www.imdb.com/title/tt0462229/?ref_=fn_tt_tt_1" TargetMode="External"/><Relationship Id="rId227" Type="http://schemas.openxmlformats.org/officeDocument/2006/relationships/hyperlink" Target="http://www.imdb.com/title/tt1535108/?ref_=fn_tt_tt_1" TargetMode="External"/><Relationship Id="rId2269" Type="http://schemas.openxmlformats.org/officeDocument/2006/relationships/hyperlink" Target="http://www.imdb.com/title/tt0399327/?ref_=fn_tt_tt_1" TargetMode="External"/><Relationship Id="rId2268" Type="http://schemas.openxmlformats.org/officeDocument/2006/relationships/hyperlink" Target="http://www.imdb.com/title/tt0270846/?ref_=fn_tt_tt_1" TargetMode="External"/><Relationship Id="rId2267" Type="http://schemas.openxmlformats.org/officeDocument/2006/relationships/hyperlink" Target="http://www.imdb.com/title/tt0780511/?ref_=fn_tt_tt_1" TargetMode="External"/><Relationship Id="rId2266" Type="http://schemas.openxmlformats.org/officeDocument/2006/relationships/hyperlink" Target="http://www.imdb.com/title/tt0804461/?ref_=fn_tt_tt_1" TargetMode="External"/><Relationship Id="rId2265" Type="http://schemas.openxmlformats.org/officeDocument/2006/relationships/hyperlink" Target="http://www.imdb.com/title/tt0116242/?ref_=fn_tt_tt_1" TargetMode="External"/><Relationship Id="rId2264" Type="http://schemas.openxmlformats.org/officeDocument/2006/relationships/hyperlink" Target="http://www.imdb.com/title/tt0098625/?ref_=fn_tt_tt_1" TargetMode="External"/><Relationship Id="rId2263" Type="http://schemas.openxmlformats.org/officeDocument/2006/relationships/hyperlink" Target="http://www.imdb.com/title/tt2503944/?ref_=fn_tt_tt_1" TargetMode="External"/><Relationship Id="rId2262" Type="http://schemas.openxmlformats.org/officeDocument/2006/relationships/hyperlink" Target="http://www.imdb.com/title/tt0144640/?ref_=fn_tt_tt_1" TargetMode="External"/><Relationship Id="rId2261" Type="http://schemas.openxmlformats.org/officeDocument/2006/relationships/hyperlink" Target="http://www.imdb.com/title/tt0118954/?ref_=fn_tt_tt_1" TargetMode="External"/><Relationship Id="rId2260" Type="http://schemas.openxmlformats.org/officeDocument/2006/relationships/hyperlink" Target="http://www.imdb.com/title/tt1712261/?ref_=fn_tt_tt_1" TargetMode="External"/><Relationship Id="rId226" Type="http://schemas.openxmlformats.org/officeDocument/2006/relationships/hyperlink" Target="http://www.imdb.com/title/tt0243585/?ref_=fn_tt_tt_1" TargetMode="External"/><Relationship Id="rId2259" Type="http://schemas.openxmlformats.org/officeDocument/2006/relationships/hyperlink" Target="http://www.imdb.com/title/tt0413015/?ref_=fn_tt_tt_1" TargetMode="External"/><Relationship Id="rId2258" Type="http://schemas.openxmlformats.org/officeDocument/2006/relationships/hyperlink" Target="http://www.imdb.com/title/tt0799934/?ref_=fn_tt_tt_1" TargetMode="External"/><Relationship Id="rId2257" Type="http://schemas.openxmlformats.org/officeDocument/2006/relationships/hyperlink" Target="http://www.imdb.com/title/tt0109015/?ref_=fn_tt_tt_1" TargetMode="External"/><Relationship Id="rId2256" Type="http://schemas.openxmlformats.org/officeDocument/2006/relationships/hyperlink" Target="http://www.imdb.com/title/tt1228987/?ref_=fn_tt_tt_1" TargetMode="External"/><Relationship Id="rId2255" Type="http://schemas.openxmlformats.org/officeDocument/2006/relationships/hyperlink" Target="http://www.imdb.com/title/tt1160368/?ref_=fn_tt_tt_1" TargetMode="External"/><Relationship Id="rId2254" Type="http://schemas.openxmlformats.org/officeDocument/2006/relationships/hyperlink" Target="http://www.imdb.com/title/tt0995039/?ref_=fn_tt_tt_1" TargetMode="External"/><Relationship Id="rId2253" Type="http://schemas.openxmlformats.org/officeDocument/2006/relationships/hyperlink" Target="http://www.imdb.com/title/tt0281322/?ref_=fn_tt_tt_1" TargetMode="External"/><Relationship Id="rId2252" Type="http://schemas.openxmlformats.org/officeDocument/2006/relationships/hyperlink" Target="http://www.imdb.com/title/tt0384680/?ref_=fn_tt_tt_1" TargetMode="External"/><Relationship Id="rId2251" Type="http://schemas.openxmlformats.org/officeDocument/2006/relationships/hyperlink" Target="http://www.imdb.com/title/tt0258068/?ref_=fn_tt_tt_1" TargetMode="External"/><Relationship Id="rId2250" Type="http://schemas.openxmlformats.org/officeDocument/2006/relationships/hyperlink" Target="http://www.imdb.com/title/tt0430431/?ref_=fn_tt_tt_1" TargetMode="External"/><Relationship Id="rId225" Type="http://schemas.openxmlformats.org/officeDocument/2006/relationships/hyperlink" Target="http://www.imdb.com/title/tt1446714/?ref_=fn_tt_tt_1" TargetMode="External"/><Relationship Id="rId2249" Type="http://schemas.openxmlformats.org/officeDocument/2006/relationships/hyperlink" Target="http://www.imdb.com/title/tt0109348/?ref_=fn_tt_tt_1" TargetMode="External"/><Relationship Id="rId2248" Type="http://schemas.openxmlformats.org/officeDocument/2006/relationships/hyperlink" Target="http://www.imdb.com/title/tt1121931/?ref_=fn_tt_tt_1" TargetMode="External"/><Relationship Id="rId2247" Type="http://schemas.openxmlformats.org/officeDocument/2006/relationships/hyperlink" Target="http://www.imdb.com/title/tt0326856/?ref_=fn_tt_tt_1" TargetMode="External"/><Relationship Id="rId2246" Type="http://schemas.openxmlformats.org/officeDocument/2006/relationships/hyperlink" Target="http://www.imdb.com/title/tt1592525/?ref_=fn_tt_tt_1" TargetMode="External"/><Relationship Id="rId2245" Type="http://schemas.openxmlformats.org/officeDocument/2006/relationships/hyperlink" Target="http://www.imdb.com/title/tt0770703/?ref_=fn_tt_tt_1" TargetMode="External"/><Relationship Id="rId2244" Type="http://schemas.openxmlformats.org/officeDocument/2006/relationships/hyperlink" Target="http://www.imdb.com/title/tt0120483/?ref_=fn_tt_tt_1" TargetMode="External"/><Relationship Id="rId2243" Type="http://schemas.openxmlformats.org/officeDocument/2006/relationships/hyperlink" Target="http://www.imdb.com/title/tt0913354/?ref_=fn_tt_tt_1" TargetMode="External"/><Relationship Id="rId2242" Type="http://schemas.openxmlformats.org/officeDocument/2006/relationships/hyperlink" Target="http://www.imdb.com/title/tt1213644/?ref_=fn_tt_tt_1" TargetMode="External"/><Relationship Id="rId2241" Type="http://schemas.openxmlformats.org/officeDocument/2006/relationships/hyperlink" Target="http://www.imdb.com/title/tt1741273/?ref_=fn_tt_tt_1" TargetMode="External"/><Relationship Id="rId2240" Type="http://schemas.openxmlformats.org/officeDocument/2006/relationships/hyperlink" Target="http://www.imdb.com/title/tt0059245/?ref_=fn_tt_tt_1" TargetMode="External"/><Relationship Id="rId224" Type="http://schemas.openxmlformats.org/officeDocument/2006/relationships/hyperlink" Target="http://www.imdb.com/title/tt0305357/?ref_=fn_tt_tt_1" TargetMode="External"/><Relationship Id="rId2239" Type="http://schemas.openxmlformats.org/officeDocument/2006/relationships/hyperlink" Target="http://www.imdb.com/title/tt1232207/?ref_=fn_tt_tt_1" TargetMode="External"/><Relationship Id="rId2238" Type="http://schemas.openxmlformats.org/officeDocument/2006/relationships/hyperlink" Target="http://www.imdb.com/title/tt0217630/?ref_=fn_tt_tt_1" TargetMode="External"/><Relationship Id="rId2237" Type="http://schemas.openxmlformats.org/officeDocument/2006/relationships/hyperlink" Target="http://www.imdb.com/title/tt0295289/?ref_=fn_tt_tt_1" TargetMode="External"/><Relationship Id="rId2236" Type="http://schemas.openxmlformats.org/officeDocument/2006/relationships/hyperlink" Target="http://www.imdb.com/title/tt0338325/?ref_=fn_tt_tt_1" TargetMode="External"/><Relationship Id="rId2235" Type="http://schemas.openxmlformats.org/officeDocument/2006/relationships/hyperlink" Target="http://www.imdb.com/title/tt0315733/?ref_=fn_tt_tt_1" TargetMode="External"/><Relationship Id="rId2234" Type="http://schemas.openxmlformats.org/officeDocument/2006/relationships/hyperlink" Target="http://www.imdb.com/title/tt0419887/?ref_=fn_tt_tt_1" TargetMode="External"/><Relationship Id="rId2233" Type="http://schemas.openxmlformats.org/officeDocument/2006/relationships/hyperlink" Target="http://www.imdb.com/title/tt0276033/?ref_=fn_tt_tt_1" TargetMode="External"/><Relationship Id="rId2232" Type="http://schemas.openxmlformats.org/officeDocument/2006/relationships/hyperlink" Target="http://www.imdb.com/title/tt0118315/?ref_=fn_tt_tt_1" TargetMode="External"/><Relationship Id="rId2231" Type="http://schemas.openxmlformats.org/officeDocument/2006/relationships/hyperlink" Target="http://www.imdb.com/title/tt0373074/?ref_=fn_tt_tt_1" TargetMode="External"/><Relationship Id="rId2230" Type="http://schemas.openxmlformats.org/officeDocument/2006/relationships/hyperlink" Target="http://www.imdb.com/title/tt0113321/?ref_=fn_tt_tt_1" TargetMode="External"/><Relationship Id="rId223" Type="http://schemas.openxmlformats.org/officeDocument/2006/relationships/hyperlink" Target="http://www.imdb.com/title/tt4196776/?ref_=fn_tt_tt_1" TargetMode="External"/><Relationship Id="rId2229" Type="http://schemas.openxmlformats.org/officeDocument/2006/relationships/hyperlink" Target="http://www.imdb.com/title/tt0407121/?ref_=fn_tt_tt_1" TargetMode="External"/><Relationship Id="rId2228" Type="http://schemas.openxmlformats.org/officeDocument/2006/relationships/hyperlink" Target="http://www.imdb.com/title/tt0116367/?ref_=fn_tt_tt_1" TargetMode="External"/><Relationship Id="rId2227" Type="http://schemas.openxmlformats.org/officeDocument/2006/relationships/hyperlink" Target="http://www.imdb.com/title/tt0938330/?ref_=fn_tt_tt_1" TargetMode="External"/><Relationship Id="rId2226" Type="http://schemas.openxmlformats.org/officeDocument/2006/relationships/hyperlink" Target="http://www.imdb.com/title/tt0462519/?ref_=fn_tt_tt_1" TargetMode="External"/><Relationship Id="rId2225" Type="http://schemas.openxmlformats.org/officeDocument/2006/relationships/hyperlink" Target="http://www.imdb.com/title/tt0758758/?ref_=fn_tt_tt_1" TargetMode="External"/><Relationship Id="rId2224" Type="http://schemas.openxmlformats.org/officeDocument/2006/relationships/hyperlink" Target="http://www.imdb.com/title/tt0490204/?ref_=fn_tt_tt_1" TargetMode="External"/><Relationship Id="rId2223" Type="http://schemas.openxmlformats.org/officeDocument/2006/relationships/hyperlink" Target="http://www.imdb.com/title/tt0124879/?ref_=fn_tt_tt_1" TargetMode="External"/><Relationship Id="rId2222" Type="http://schemas.openxmlformats.org/officeDocument/2006/relationships/hyperlink" Target="http://www.imdb.com/title/tt0089457/?ref_=fn_tt_tt_1" TargetMode="External"/><Relationship Id="rId2221" Type="http://schemas.openxmlformats.org/officeDocument/2006/relationships/hyperlink" Target="http://www.imdb.com/title/tt0083254/?ref_=fn_tt_tt_1" TargetMode="External"/><Relationship Id="rId2220" Type="http://schemas.openxmlformats.org/officeDocument/2006/relationships/hyperlink" Target="http://www.imdb.com/title/tt0791304/?ref_=fn_tt_tt_1" TargetMode="External"/><Relationship Id="rId222" Type="http://schemas.openxmlformats.org/officeDocument/2006/relationships/hyperlink" Target="http://www.imdb.com/title/tt0259324/?ref_=fn_tt_tt_1" TargetMode="External"/><Relationship Id="rId2219" Type="http://schemas.openxmlformats.org/officeDocument/2006/relationships/hyperlink" Target="http://www.imdb.com/title/tt2318092/?ref_=fn_tt_tt_1" TargetMode="External"/><Relationship Id="rId2218" Type="http://schemas.openxmlformats.org/officeDocument/2006/relationships/hyperlink" Target="http://www.imdb.com/title/tt1046163/?ref_=fn_tt_tt_1" TargetMode="External"/><Relationship Id="rId2217" Type="http://schemas.openxmlformats.org/officeDocument/2006/relationships/hyperlink" Target="http://www.imdb.com/title/tt0054215/?ref_=fn_tt_tt_1" TargetMode="External"/><Relationship Id="rId2216" Type="http://schemas.openxmlformats.org/officeDocument/2006/relationships/hyperlink" Target="http://www.imdb.com/title/tt0249327/?ref_=fn_tt_tt_1" TargetMode="External"/><Relationship Id="rId2215" Type="http://schemas.openxmlformats.org/officeDocument/2006/relationships/hyperlink" Target="http://www.imdb.com/title/tt0120877/?ref_=fn_tt_tt_1" TargetMode="External"/><Relationship Id="rId2214" Type="http://schemas.openxmlformats.org/officeDocument/2006/relationships/hyperlink" Target="http://www.imdb.com/title/tt0800308/?ref_=fn_tt_tt_1" TargetMode="External"/><Relationship Id="rId2213" Type="http://schemas.openxmlformats.org/officeDocument/2006/relationships/hyperlink" Target="http://www.imdb.com/title/tt3531824/?ref_=fn_tt_tt_1" TargetMode="External"/><Relationship Id="rId2212" Type="http://schemas.openxmlformats.org/officeDocument/2006/relationships/hyperlink" Target="http://www.imdb.com/title/tt0114681/?ref_=fn_tt_tt_1" TargetMode="External"/><Relationship Id="rId2211" Type="http://schemas.openxmlformats.org/officeDocument/2006/relationships/hyperlink" Target="http://www.imdb.com/title/tt1100119/?ref_=fn_tt_tt_1" TargetMode="External"/><Relationship Id="rId2210" Type="http://schemas.openxmlformats.org/officeDocument/2006/relationships/hyperlink" Target="http://www.imdb.com/title/tt0430634/?ref_=fn_tt_tt_1" TargetMode="External"/><Relationship Id="rId221" Type="http://schemas.openxmlformats.org/officeDocument/2006/relationships/hyperlink" Target="http://www.imdb.com/title/tt0454876/?ref_=fn_tt_tt_1" TargetMode="External"/><Relationship Id="rId2209" Type="http://schemas.openxmlformats.org/officeDocument/2006/relationships/hyperlink" Target="http://www.imdb.com/title/tt0475944/?ref_=fn_tt_tt_1" TargetMode="External"/><Relationship Id="rId2208" Type="http://schemas.openxmlformats.org/officeDocument/2006/relationships/hyperlink" Target="http://www.imdb.com/title/tt1213012/?ref_=fn_tt_tt_1" TargetMode="External"/><Relationship Id="rId2207" Type="http://schemas.openxmlformats.org/officeDocument/2006/relationships/hyperlink" Target="http://www.imdb.com/title/tt0102744/?ref_=fn_tt_tt_1" TargetMode="External"/><Relationship Id="rId2206" Type="http://schemas.openxmlformats.org/officeDocument/2006/relationships/hyperlink" Target="http://www.imdb.com/title/tt0441796/?ref_=fn_tt_tt_1" TargetMode="External"/><Relationship Id="rId2205" Type="http://schemas.openxmlformats.org/officeDocument/2006/relationships/hyperlink" Target="http://www.imdb.com/title/tt1067774/?ref_=fn_tt_tt_1" TargetMode="External"/><Relationship Id="rId2204" Type="http://schemas.openxmlformats.org/officeDocument/2006/relationships/hyperlink" Target="http://www.imdb.com/title/tt0815236/?ref_=fn_tt_tt_1" TargetMode="External"/><Relationship Id="rId2203" Type="http://schemas.openxmlformats.org/officeDocument/2006/relationships/hyperlink" Target="http://www.imdb.com/title/tt0433362/?ref_=fn_tt_tt_1" TargetMode="External"/><Relationship Id="rId2202" Type="http://schemas.openxmlformats.org/officeDocument/2006/relationships/hyperlink" Target="http://www.imdb.com/title/tt0479500/?ref_=fn_tt_tt_1" TargetMode="External"/><Relationship Id="rId2201" Type="http://schemas.openxmlformats.org/officeDocument/2006/relationships/hyperlink" Target="http://www.imdb.com/title/tt1213663/?ref_=fn_tt_tt_1" TargetMode="External"/><Relationship Id="rId2200" Type="http://schemas.openxmlformats.org/officeDocument/2006/relationships/hyperlink" Target="http://www.imdb.com/title/tt0421073/?ref_=fn_tt_tt_1" TargetMode="External"/><Relationship Id="rId220" Type="http://schemas.openxmlformats.org/officeDocument/2006/relationships/hyperlink" Target="http://www.imdb.com/title/tt0486576/?ref_=fn_tt_tt_1" TargetMode="External"/><Relationship Id="rId22" Type="http://schemas.openxmlformats.org/officeDocument/2006/relationships/hyperlink" Target="http://www.imdb.com/title/tt0948470/?ref_=fn_tt_tt_1" TargetMode="External"/><Relationship Id="rId2199" Type="http://schemas.openxmlformats.org/officeDocument/2006/relationships/hyperlink" Target="http://www.imdb.com/title/tt1414382/?ref_=fn_tt_tt_1" TargetMode="External"/><Relationship Id="rId2198" Type="http://schemas.openxmlformats.org/officeDocument/2006/relationships/hyperlink" Target="http://www.imdb.com/title/tt0338013/?ref_=fn_tt_tt_1" TargetMode="External"/><Relationship Id="rId2197" Type="http://schemas.openxmlformats.org/officeDocument/2006/relationships/hyperlink" Target="http://www.imdb.com/title/tt0200465/?ref_=fn_tt_tt_1" TargetMode="External"/><Relationship Id="rId2196" Type="http://schemas.openxmlformats.org/officeDocument/2006/relationships/hyperlink" Target="http://www.imdb.com/title/tt0116260/?ref_=fn_tt_tt_1" TargetMode="External"/><Relationship Id="rId2195" Type="http://schemas.openxmlformats.org/officeDocument/2006/relationships/hyperlink" Target="http://www.imdb.com/title/tt0479968/?ref_=fn_tt_tt_1" TargetMode="External"/><Relationship Id="rId2194" Type="http://schemas.openxmlformats.org/officeDocument/2006/relationships/hyperlink" Target="http://www.imdb.com/title/tt0146882/?ref_=fn_tt_tt_1" TargetMode="External"/><Relationship Id="rId2193" Type="http://schemas.openxmlformats.org/officeDocument/2006/relationships/hyperlink" Target="http://www.imdb.com/title/tt1226753/?ref_=fn_tt_tt_1" TargetMode="External"/><Relationship Id="rId2192" Type="http://schemas.openxmlformats.org/officeDocument/2006/relationships/hyperlink" Target="http://www.imdb.com/title/tt0814335/?ref_=fn_tt_tt_1" TargetMode="External"/><Relationship Id="rId2191" Type="http://schemas.openxmlformats.org/officeDocument/2006/relationships/hyperlink" Target="http://www.imdb.com/title/tt0120890/?ref_=fn_tt_tt_1" TargetMode="External"/><Relationship Id="rId2190" Type="http://schemas.openxmlformats.org/officeDocument/2006/relationships/hyperlink" Target="http://www.imdb.com/title/tt1268799/?ref_=fn_tt_tt_1" TargetMode="External"/><Relationship Id="rId219" Type="http://schemas.openxmlformats.org/officeDocument/2006/relationships/hyperlink" Target="http://www.imdb.com/title/tt0177971/?ref_=fn_tt_tt_1" TargetMode="External"/><Relationship Id="rId2189" Type="http://schemas.openxmlformats.org/officeDocument/2006/relationships/hyperlink" Target="http://www.imdb.com/title/tt0288477/?ref_=fn_tt_tt_1" TargetMode="External"/><Relationship Id="rId2188" Type="http://schemas.openxmlformats.org/officeDocument/2006/relationships/hyperlink" Target="http://www.imdb.com/title/tt3231054/?ref_=fn_tt_tt_1" TargetMode="External"/><Relationship Id="rId2187" Type="http://schemas.openxmlformats.org/officeDocument/2006/relationships/hyperlink" Target="http://www.imdb.com/title/tt1013753/?ref_=fn_tt_tt_1" TargetMode="External"/><Relationship Id="rId2186" Type="http://schemas.openxmlformats.org/officeDocument/2006/relationships/hyperlink" Target="http://www.imdb.com/title/tt0064782/?ref_=fn_tt_tt_1" TargetMode="External"/><Relationship Id="rId2185" Type="http://schemas.openxmlformats.org/officeDocument/2006/relationships/hyperlink" Target="http://www.imdb.com/title/tt0795461/?ref_=fn_tt_tt_1" TargetMode="External"/><Relationship Id="rId2184" Type="http://schemas.openxmlformats.org/officeDocument/2006/relationships/hyperlink" Target="http://www.imdb.com/title/tt0112722/?ref_=fn_tt_tt_1" TargetMode="External"/><Relationship Id="rId2183" Type="http://schemas.openxmlformats.org/officeDocument/2006/relationships/hyperlink" Target="http://www.imdb.com/title/tt1572315/?ref_=fn_tt_tt_1" TargetMode="External"/><Relationship Id="rId2182" Type="http://schemas.openxmlformats.org/officeDocument/2006/relationships/hyperlink" Target="http://www.imdb.com/title/tt0372588/?ref_=fn_tt_tt_1" TargetMode="External"/><Relationship Id="rId2181" Type="http://schemas.openxmlformats.org/officeDocument/2006/relationships/hyperlink" Target="http://www.imdb.com/title/tt0918927/?ref_=fn_tt_tt_1" TargetMode="External"/><Relationship Id="rId2180" Type="http://schemas.openxmlformats.org/officeDocument/2006/relationships/hyperlink" Target="http://www.imdb.com/title/tt1371150/?ref_=fn_tt_tt_1" TargetMode="External"/><Relationship Id="rId218" Type="http://schemas.openxmlformats.org/officeDocument/2006/relationships/hyperlink" Target="http://www.imdb.com/title/tt0120755/?ref_=fn_tt_tt_1" TargetMode="External"/><Relationship Id="rId2179" Type="http://schemas.openxmlformats.org/officeDocument/2006/relationships/hyperlink" Target="http://www.imdb.com/title/tt0449467/?ref_=fn_tt_tt_1" TargetMode="External"/><Relationship Id="rId2178" Type="http://schemas.openxmlformats.org/officeDocument/2006/relationships/hyperlink" Target="http://www.imdb.com/title/tt1666186/?ref_=fn_tt_tt_1" TargetMode="External"/><Relationship Id="rId2177" Type="http://schemas.openxmlformats.org/officeDocument/2006/relationships/hyperlink" Target="http://www.imdb.com/title/tt0120094/?ref_=fn_tt_tt_1" TargetMode="External"/><Relationship Id="rId2176" Type="http://schemas.openxmlformats.org/officeDocument/2006/relationships/hyperlink" Target="http://www.imdb.com/title/tt1440728/?ref_=fn_tt_tt_1" TargetMode="External"/><Relationship Id="rId2175" Type="http://schemas.openxmlformats.org/officeDocument/2006/relationships/hyperlink" Target="http://www.imdb.com/title/tt0078869/?ref_=fn_tt_tt_1" TargetMode="External"/><Relationship Id="rId2174" Type="http://schemas.openxmlformats.org/officeDocument/2006/relationships/hyperlink" Target="http://www.imdb.com/title/tt0483726/?ref_=fn_tt_tt_1" TargetMode="External"/><Relationship Id="rId2173" Type="http://schemas.openxmlformats.org/officeDocument/2006/relationships/hyperlink" Target="http://www.imdb.com/title/tt0101452/?ref_=fn_tt_tt_1" TargetMode="External"/><Relationship Id="rId2172" Type="http://schemas.openxmlformats.org/officeDocument/2006/relationships/hyperlink" Target="http://www.imdb.com/title/tt0120703/?ref_=fn_tt_tt_1" TargetMode="External"/><Relationship Id="rId2171" Type="http://schemas.openxmlformats.org/officeDocument/2006/relationships/hyperlink" Target="http://www.imdb.com/title/tt0433386/?ref_=fn_tt_tt_1" TargetMode="External"/><Relationship Id="rId2170" Type="http://schemas.openxmlformats.org/officeDocument/2006/relationships/hyperlink" Target="http://www.imdb.com/title/tt0947802/?ref_=fn_tt_tt_1" TargetMode="External"/><Relationship Id="rId217" Type="http://schemas.openxmlformats.org/officeDocument/2006/relationships/hyperlink" Target="http://www.imdb.com/title/tt0319262/?ref_=fn_tt_tt_1" TargetMode="External"/><Relationship Id="rId2169" Type="http://schemas.openxmlformats.org/officeDocument/2006/relationships/hyperlink" Target="http://www.imdb.com/title/tt1895587/?ref_=fn_tt_tt_1" TargetMode="External"/><Relationship Id="rId2168" Type="http://schemas.openxmlformats.org/officeDocument/2006/relationships/hyperlink" Target="http://www.imdb.com/title/tt0799949/?ref_=fn_tt_tt_1" TargetMode="External"/><Relationship Id="rId2167" Type="http://schemas.openxmlformats.org/officeDocument/2006/relationships/hyperlink" Target="http://www.imdb.com/title/tt1319598/?ref_=fn_tt_tt_1" TargetMode="External"/><Relationship Id="rId2166" Type="http://schemas.openxmlformats.org/officeDocument/2006/relationships/hyperlink" Target="http://www.imdb.com/title/tt3369806/?ref_=fn_tt_tt_1" TargetMode="External"/><Relationship Id="rId2165" Type="http://schemas.openxmlformats.org/officeDocument/2006/relationships/hyperlink" Target="http://www.imdb.com/title/tt1148204/?ref_=fn_tt_tt_1" TargetMode="External"/><Relationship Id="rId2164" Type="http://schemas.openxmlformats.org/officeDocument/2006/relationships/hyperlink" Target="http://www.imdb.com/title/tt0220099/?ref_=fn_tt_tt_1" TargetMode="External"/><Relationship Id="rId2163" Type="http://schemas.openxmlformats.org/officeDocument/2006/relationships/hyperlink" Target="http://www.imdb.com/title/tt0477071/?ref_=fn_tt_tt_1" TargetMode="External"/><Relationship Id="rId2162" Type="http://schemas.openxmlformats.org/officeDocument/2006/relationships/hyperlink" Target="http://www.imdb.com/title/tt0357507/?ref_=fn_tt_tt_1" TargetMode="External"/><Relationship Id="rId2161" Type="http://schemas.openxmlformats.org/officeDocument/2006/relationships/hyperlink" Target="http://www.imdb.com/title/tt0283426/?ref_=fn_tt_tt_1" TargetMode="External"/><Relationship Id="rId2160" Type="http://schemas.openxmlformats.org/officeDocument/2006/relationships/hyperlink" Target="http://www.imdb.com/title/tt1020072/?ref_=fn_tt_tt_1" TargetMode="External"/><Relationship Id="rId216" Type="http://schemas.openxmlformats.org/officeDocument/2006/relationships/hyperlink" Target="http://www.imdb.com/title/tt0170016/?ref_=fn_tt_tt_1" TargetMode="External"/><Relationship Id="rId2159" Type="http://schemas.openxmlformats.org/officeDocument/2006/relationships/hyperlink" Target="http://www.imdb.com/title/tt0280030/?ref_=fn_tt_tt_1" TargetMode="External"/><Relationship Id="rId2158" Type="http://schemas.openxmlformats.org/officeDocument/2006/relationships/hyperlink" Target="http://www.imdb.com/title/tt0466342/?ref_=fn_tt_tt_1" TargetMode="External"/><Relationship Id="rId2157" Type="http://schemas.openxmlformats.org/officeDocument/2006/relationships/hyperlink" Target="http://www.imdb.com/title/tt4651520/?ref_=fn_tt_tt_1" TargetMode="External"/><Relationship Id="rId2156" Type="http://schemas.openxmlformats.org/officeDocument/2006/relationships/hyperlink" Target="http://www.imdb.com/title/tt0067116/?ref_=fn_tt_tt_1" TargetMode="External"/><Relationship Id="rId2155" Type="http://schemas.openxmlformats.org/officeDocument/2006/relationships/hyperlink" Target="http://www.imdb.com/title/tt2215285/?ref_=fn_tt_tt_1" TargetMode="External"/><Relationship Id="rId2154" Type="http://schemas.openxmlformats.org/officeDocument/2006/relationships/hyperlink" Target="http://www.imdb.com/title/tt2674426/?ref_=fn_tt_tt_1" TargetMode="External"/><Relationship Id="rId2153" Type="http://schemas.openxmlformats.org/officeDocument/2006/relationships/hyperlink" Target="http://www.imdb.com/title/tt0099487/?ref_=fn_tt_tt_1" TargetMode="External"/><Relationship Id="rId2152" Type="http://schemas.openxmlformats.org/officeDocument/2006/relationships/hyperlink" Target="http://www.imdb.com/title/tt1391137/?ref_=fn_tt_tt_1" TargetMode="External"/><Relationship Id="rId2151" Type="http://schemas.openxmlformats.org/officeDocument/2006/relationships/hyperlink" Target="http://www.imdb.com/title/tt0303933/?ref_=fn_tt_tt_1" TargetMode="External"/><Relationship Id="rId2150" Type="http://schemas.openxmlformats.org/officeDocument/2006/relationships/hyperlink" Target="http://www.imdb.com/title/tt2024544/?ref_=fn_tt_tt_1" TargetMode="External"/><Relationship Id="rId215" Type="http://schemas.openxmlformats.org/officeDocument/2006/relationships/hyperlink" Target="http://www.imdb.com/title/tt0118688/?ref_=fn_tt_tt_1" TargetMode="External"/><Relationship Id="rId2149" Type="http://schemas.openxmlformats.org/officeDocument/2006/relationships/hyperlink" Target="http://www.imdb.com/title/tt1294226/?ref_=fn_tt_tt_1" TargetMode="External"/><Relationship Id="rId2148" Type="http://schemas.openxmlformats.org/officeDocument/2006/relationships/hyperlink" Target="http://www.imdb.com/title/tt0311289/?ref_=fn_tt_tt_1" TargetMode="External"/><Relationship Id="rId2147" Type="http://schemas.openxmlformats.org/officeDocument/2006/relationships/hyperlink" Target="http://www.imdb.com/title/tt1033575/?ref_=fn_tt_tt_1" TargetMode="External"/><Relationship Id="rId2146" Type="http://schemas.openxmlformats.org/officeDocument/2006/relationships/hyperlink" Target="http://www.imdb.com/title/tt0381707/?ref_=fn_tt_tt_1" TargetMode="External"/><Relationship Id="rId2145" Type="http://schemas.openxmlformats.org/officeDocument/2006/relationships/hyperlink" Target="http://www.imdb.com/title/tt0113855/?ref_=fn_tt_tt_1" TargetMode="External"/><Relationship Id="rId2144" Type="http://schemas.openxmlformats.org/officeDocument/2006/relationships/hyperlink" Target="http://www.imdb.com/title/tt0332379/?ref_=fn_tt_tt_1" TargetMode="External"/><Relationship Id="rId2143" Type="http://schemas.openxmlformats.org/officeDocument/2006/relationships/hyperlink" Target="http://www.imdb.com/title/tt2103254/?ref_=fn_tt_tt_1" TargetMode="External"/><Relationship Id="rId2142" Type="http://schemas.openxmlformats.org/officeDocument/2006/relationships/hyperlink" Target="http://www.imdb.com/title/tt0368578/?ref_=fn_tt_tt_1" TargetMode="External"/><Relationship Id="rId2141" Type="http://schemas.openxmlformats.org/officeDocument/2006/relationships/hyperlink" Target="http://www.imdb.com/title/tt1457767/?ref_=fn_tt_tt_1" TargetMode="External"/><Relationship Id="rId2140" Type="http://schemas.openxmlformats.org/officeDocument/2006/relationships/hyperlink" Target="http://www.imdb.com/title/tt1014775/?ref_=fn_tt_tt_1" TargetMode="External"/><Relationship Id="rId214" Type="http://schemas.openxmlformats.org/officeDocument/2006/relationships/hyperlink" Target="http://www.imdb.com/title/tt1194173/?ref_=fn_tt_tt_1" TargetMode="External"/><Relationship Id="rId2139" Type="http://schemas.openxmlformats.org/officeDocument/2006/relationships/hyperlink" Target="http://www.imdb.com/title/tt0077766/?ref_=fn_tt_tt_1" TargetMode="External"/><Relationship Id="rId2138" Type="http://schemas.openxmlformats.org/officeDocument/2006/relationships/hyperlink" Target="http://www.imdb.com/title/tt1116184/?ref_=fn_tt_tt_1" TargetMode="External"/><Relationship Id="rId2137" Type="http://schemas.openxmlformats.org/officeDocument/2006/relationships/hyperlink" Target="http://www.imdb.com/title/tt0105793/?ref_=fn_tt_tt_1" TargetMode="External"/><Relationship Id="rId2136" Type="http://schemas.openxmlformats.org/officeDocument/2006/relationships/hyperlink" Target="http://www.imdb.com/title/tt0102926/?ref_=fn_tt_tt_1" TargetMode="External"/><Relationship Id="rId2135" Type="http://schemas.openxmlformats.org/officeDocument/2006/relationships/hyperlink" Target="http://www.imdb.com/title/tt0305669/?ref_=fn_tt_tt_1" TargetMode="External"/><Relationship Id="rId2134" Type="http://schemas.openxmlformats.org/officeDocument/2006/relationships/hyperlink" Target="http://www.imdb.com/title/tt0092644/?ref_=fn_tt_tt_1" TargetMode="External"/><Relationship Id="rId2133" Type="http://schemas.openxmlformats.org/officeDocument/2006/relationships/hyperlink" Target="http://www.imdb.com/title/tt0454919/?ref_=fn_tt_tt_1" TargetMode="External"/><Relationship Id="rId2132" Type="http://schemas.openxmlformats.org/officeDocument/2006/relationships/hyperlink" Target="http://www.imdb.com/title/tt0075860/?ref_=fn_tt_tt_1" TargetMode="External"/><Relationship Id="rId2131" Type="http://schemas.openxmlformats.org/officeDocument/2006/relationships/hyperlink" Target="http://www.imdb.com/title/tt0104431/?ref_=fn_tt_tt_1" TargetMode="External"/><Relationship Id="rId2130" Type="http://schemas.openxmlformats.org/officeDocument/2006/relationships/hyperlink" Target="http://www.imdb.com/title/tt0082971/?ref_=fn_tt_tt_1" TargetMode="External"/><Relationship Id="rId213" Type="http://schemas.openxmlformats.org/officeDocument/2006/relationships/hyperlink" Target="http://www.imdb.com/title/tt0120657/?ref_=fn_tt_tt_1" TargetMode="External"/><Relationship Id="rId2129" Type="http://schemas.openxmlformats.org/officeDocument/2006/relationships/hyperlink" Target="http://www.imdb.com/title/tt0120907/?ref_=fn_tt_tt_1" TargetMode="External"/><Relationship Id="rId2128" Type="http://schemas.openxmlformats.org/officeDocument/2006/relationships/hyperlink" Target="http://www.imdb.com/title/tt0083642/?ref_=fn_tt_tt_1" TargetMode="External"/><Relationship Id="rId2127" Type="http://schemas.openxmlformats.org/officeDocument/2006/relationships/hyperlink" Target="http://www.imdb.com/title/tt1321860/?ref_=fn_tt_tt_1" TargetMode="External"/><Relationship Id="rId2126" Type="http://schemas.openxmlformats.org/officeDocument/2006/relationships/hyperlink" Target="http://www.imdb.com/title/tt0143746/?ref_=fn_tt_tt_1" TargetMode="External"/><Relationship Id="rId2125" Type="http://schemas.openxmlformats.org/officeDocument/2006/relationships/hyperlink" Target="http://www.imdb.com/title/tt1340800/?ref_=fn_tt_tt_1" TargetMode="External"/><Relationship Id="rId2124" Type="http://schemas.openxmlformats.org/officeDocument/2006/relationships/hyperlink" Target="http://www.imdb.com/title/tt0179098/?ref_=fn_tt_tt_1" TargetMode="External"/><Relationship Id="rId2123" Type="http://schemas.openxmlformats.org/officeDocument/2006/relationships/hyperlink" Target="http://www.imdb.com/title/tt1027862/?ref_=fn_tt_tt_1" TargetMode="External"/><Relationship Id="rId2122" Type="http://schemas.openxmlformats.org/officeDocument/2006/relationships/hyperlink" Target="http://www.imdb.com/title/tt1176740/?ref_=fn_tt_tt_1" TargetMode="External"/><Relationship Id="rId2121" Type="http://schemas.openxmlformats.org/officeDocument/2006/relationships/hyperlink" Target="http://www.imdb.com/title/tt0313038/?ref_=fn_tt_tt_1" TargetMode="External"/><Relationship Id="rId2120" Type="http://schemas.openxmlformats.org/officeDocument/2006/relationships/hyperlink" Target="http://www.imdb.com/title/tt0144814/?ref_=fn_tt_tt_1" TargetMode="External"/><Relationship Id="rId212" Type="http://schemas.openxmlformats.org/officeDocument/2006/relationships/hyperlink" Target="http://www.imdb.com/title/tt0100802/?ref_=fn_tt_tt_1" TargetMode="External"/><Relationship Id="rId2119" Type="http://schemas.openxmlformats.org/officeDocument/2006/relationships/hyperlink" Target="http://www.imdb.com/title/tt1023111/?ref_=fn_tt_tt_1" TargetMode="External"/><Relationship Id="rId2118" Type="http://schemas.openxmlformats.org/officeDocument/2006/relationships/hyperlink" Target="http://www.imdb.com/title/tt0293662/?ref_=fn_tt_tt_1" TargetMode="External"/><Relationship Id="rId2117" Type="http://schemas.openxmlformats.org/officeDocument/2006/relationships/hyperlink" Target="http://www.imdb.com/title/tt1405500/?ref_=fn_tt_tt_1" TargetMode="External"/><Relationship Id="rId2116" Type="http://schemas.openxmlformats.org/officeDocument/2006/relationships/hyperlink" Target="http://www.imdb.com/title/tt0463998/?ref_=fn_tt_tt_1" TargetMode="External"/><Relationship Id="rId2115" Type="http://schemas.openxmlformats.org/officeDocument/2006/relationships/hyperlink" Target="http://www.imdb.com/title/tt1045658/?ref_=fn_tt_tt_1" TargetMode="External"/><Relationship Id="rId2114" Type="http://schemas.openxmlformats.org/officeDocument/2006/relationships/hyperlink" Target="http://www.imdb.com/title/tt0180734/?ref_=fn_tt_tt_1" TargetMode="External"/><Relationship Id="rId2113" Type="http://schemas.openxmlformats.org/officeDocument/2006/relationships/hyperlink" Target="http://www.imdb.com/title/tt0108308/?ref_=fn_tt_tt_1" TargetMode="External"/><Relationship Id="rId2112" Type="http://schemas.openxmlformats.org/officeDocument/2006/relationships/hyperlink" Target="http://www.imdb.com/title/tt0795368/?ref_=fn_tt_tt_1" TargetMode="External"/><Relationship Id="rId2111" Type="http://schemas.openxmlformats.org/officeDocument/2006/relationships/hyperlink" Target="http://www.imdb.com/title/tt0158983/?ref_=fn_tt_tt_1" TargetMode="External"/><Relationship Id="rId2110" Type="http://schemas.openxmlformats.org/officeDocument/2006/relationships/hyperlink" Target="http://www.imdb.com/title/tt0083943/?ref_=fn_tt_tt_1" TargetMode="External"/><Relationship Id="rId211" Type="http://schemas.openxmlformats.org/officeDocument/2006/relationships/hyperlink" Target="http://www.imdb.com/title/tt0800320/?ref_=fn_tt_tt_1" TargetMode="External"/><Relationship Id="rId2109" Type="http://schemas.openxmlformats.org/officeDocument/2006/relationships/hyperlink" Target="http://www.imdb.com/title/tt1859650/?ref_=fn_tt_tt_1" TargetMode="External"/><Relationship Id="rId2108" Type="http://schemas.openxmlformats.org/officeDocument/2006/relationships/hyperlink" Target="http://www.imdb.com/title/tt1634003/?ref_=fn_tt_tt_1" TargetMode="External"/><Relationship Id="rId2107" Type="http://schemas.openxmlformats.org/officeDocument/2006/relationships/hyperlink" Target="http://www.imdb.com/title/tt0137363/?ref_=fn_tt_tt_1" TargetMode="External"/><Relationship Id="rId2106" Type="http://schemas.openxmlformats.org/officeDocument/2006/relationships/hyperlink" Target="http://www.imdb.com/title/tt0117119/?ref_=fn_tt_tt_1" TargetMode="External"/><Relationship Id="rId2105" Type="http://schemas.openxmlformats.org/officeDocument/2006/relationships/hyperlink" Target="http://www.imdb.com/title/tt0465538/?ref_=fn_tt_tt_1" TargetMode="External"/><Relationship Id="rId2104" Type="http://schemas.openxmlformats.org/officeDocument/2006/relationships/hyperlink" Target="http://www.imdb.com/title/tt1206543/?ref_=fn_tt_tt_1" TargetMode="External"/><Relationship Id="rId2103" Type="http://schemas.openxmlformats.org/officeDocument/2006/relationships/hyperlink" Target="http://www.imdb.com/title/tt0796335/?ref_=fn_tt_tt_1" TargetMode="External"/><Relationship Id="rId2102" Type="http://schemas.openxmlformats.org/officeDocument/2006/relationships/hyperlink" Target="http://www.imdb.com/title/tt1423995/?ref_=fn_tt_tt_1" TargetMode="External"/><Relationship Id="rId2101" Type="http://schemas.openxmlformats.org/officeDocument/2006/relationships/hyperlink" Target="http://www.imdb.com/title/tt0076740/?ref_=fn_tt_tt_1" TargetMode="External"/><Relationship Id="rId2100" Type="http://schemas.openxmlformats.org/officeDocument/2006/relationships/hyperlink" Target="http://www.imdb.com/title/tt1726592/?ref_=fn_tt_tt_1" TargetMode="External"/><Relationship Id="rId210" Type="http://schemas.openxmlformats.org/officeDocument/2006/relationships/hyperlink" Target="http://www.imdb.com/title/tt1515091/?ref_=fn_tt_tt_1" TargetMode="External"/><Relationship Id="rId21" Type="http://schemas.openxmlformats.org/officeDocument/2006/relationships/hyperlink" Target="http://www.imdb.com/title/tt2310332/?ref_=fn_tt_tt_1" TargetMode="External"/><Relationship Id="rId2099" Type="http://schemas.openxmlformats.org/officeDocument/2006/relationships/hyperlink" Target="http://www.imdb.com/title/tt0951216/?ref_=fn_tt_tt_1" TargetMode="External"/><Relationship Id="rId2098" Type="http://schemas.openxmlformats.org/officeDocument/2006/relationships/hyperlink" Target="http://www.imdb.com/title/tt2097307/?ref_=fn_tt_tt_1" TargetMode="External"/><Relationship Id="rId2097" Type="http://schemas.openxmlformats.org/officeDocument/2006/relationships/hyperlink" Target="http://www.imdb.com/title/tt0424205/?ref_=fn_tt_tt_1" TargetMode="External"/><Relationship Id="rId2096" Type="http://schemas.openxmlformats.org/officeDocument/2006/relationships/hyperlink" Target="http://www.imdb.com/title/tt0389557/?ref_=fn_tt_tt_1" TargetMode="External"/><Relationship Id="rId2095" Type="http://schemas.openxmlformats.org/officeDocument/2006/relationships/hyperlink" Target="http://www.imdb.com/title/tt0375920/?ref_=fn_tt_tt_1" TargetMode="External"/><Relationship Id="rId2094" Type="http://schemas.openxmlformats.org/officeDocument/2006/relationships/hyperlink" Target="http://www.imdb.com/title/tt2938956/?ref_=fn_tt_tt_1" TargetMode="External"/><Relationship Id="rId2093" Type="http://schemas.openxmlformats.org/officeDocument/2006/relationships/hyperlink" Target="http://www.imdb.com/title/tt0160236/?ref_=fn_tt_tt_1" TargetMode="External"/><Relationship Id="rId2092" Type="http://schemas.openxmlformats.org/officeDocument/2006/relationships/hyperlink" Target="http://www.imdb.com/title/tt0065611/?ref_=fn_tt_tt_1" TargetMode="External"/><Relationship Id="rId2091" Type="http://schemas.openxmlformats.org/officeDocument/2006/relationships/hyperlink" Target="http://www.imdb.com/title/tt0263728/?ref_=fn_tt_tt_1" TargetMode="External"/><Relationship Id="rId2090" Type="http://schemas.openxmlformats.org/officeDocument/2006/relationships/hyperlink" Target="http://www.imdb.com/title/tt0107978/?ref_=fn_tt_tt_1" TargetMode="External"/><Relationship Id="rId209" Type="http://schemas.openxmlformats.org/officeDocument/2006/relationships/hyperlink" Target="http://www.imdb.com/title/tt1596343/?ref_=fn_tt_tt_1" TargetMode="External"/><Relationship Id="rId2089" Type="http://schemas.openxmlformats.org/officeDocument/2006/relationships/hyperlink" Target="http://www.imdb.com/title/tt0356721/?ref_=fn_tt_tt_1" TargetMode="External"/><Relationship Id="rId2088" Type="http://schemas.openxmlformats.org/officeDocument/2006/relationships/hyperlink" Target="http://www.imdb.com/title/tt0192255/?ref_=fn_tt_tt_1" TargetMode="External"/><Relationship Id="rId2087" Type="http://schemas.openxmlformats.org/officeDocument/2006/relationships/hyperlink" Target="http://www.imdb.com/title/tt2312718/?ref_=fn_tt_tt_1" TargetMode="External"/><Relationship Id="rId2086" Type="http://schemas.openxmlformats.org/officeDocument/2006/relationships/hyperlink" Target="http://www.imdb.com/title/tt0236348/?ref_=fn_tt_tt_1" TargetMode="External"/><Relationship Id="rId2085" Type="http://schemas.openxmlformats.org/officeDocument/2006/relationships/hyperlink" Target="http://www.imdb.com/title/tt0475290/?ref_=fn_tt_tt_1" TargetMode="External"/><Relationship Id="rId2084" Type="http://schemas.openxmlformats.org/officeDocument/2006/relationships/hyperlink" Target="http://www.imdb.com/title/tt0221218/?ref_=fn_tt_tt_1" TargetMode="External"/><Relationship Id="rId2083" Type="http://schemas.openxmlformats.org/officeDocument/2006/relationships/hyperlink" Target="http://www.imdb.com/title/tt0261392/?ref_=fn_tt_tt_1" TargetMode="External"/><Relationship Id="rId2082" Type="http://schemas.openxmlformats.org/officeDocument/2006/relationships/hyperlink" Target="http://www.imdb.com/title/tt0162677/?ref_=fn_tt_tt_1" TargetMode="External"/><Relationship Id="rId2081" Type="http://schemas.openxmlformats.org/officeDocument/2006/relationships/hyperlink" Target="http://www.imdb.com/title/tt2023453/?ref_=fn_tt_tt_1" TargetMode="External"/><Relationship Id="rId2080" Type="http://schemas.openxmlformats.org/officeDocument/2006/relationships/hyperlink" Target="http://www.imdb.com/title/tt0239948/?ref_=fn_tt_tt_1" TargetMode="External"/><Relationship Id="rId208" Type="http://schemas.openxmlformats.org/officeDocument/2006/relationships/hyperlink" Target="http://www.imdb.com/title/tt0290334/?ref_=fn_tt_tt_1" TargetMode="External"/><Relationship Id="rId2079" Type="http://schemas.openxmlformats.org/officeDocument/2006/relationships/hyperlink" Target="http://www.imdb.com/title/tt1995390/?ref_=fn_tt_tt_1" TargetMode="External"/><Relationship Id="rId2078" Type="http://schemas.openxmlformats.org/officeDocument/2006/relationships/hyperlink" Target="http://www.imdb.com/title/tt2387559/?ref_=fn_tt_tt_1" TargetMode="External"/><Relationship Id="rId2077" Type="http://schemas.openxmlformats.org/officeDocument/2006/relationships/hyperlink" Target="http://www.imdb.com/title/tt0367652/?ref_=fn_tt_tt_1" TargetMode="External"/><Relationship Id="rId2076" Type="http://schemas.openxmlformats.org/officeDocument/2006/relationships/hyperlink" Target="http://www.imdb.com/title/tt0108101/?ref_=fn_tt_tt_1" TargetMode="External"/><Relationship Id="rId2075" Type="http://schemas.openxmlformats.org/officeDocument/2006/relationships/hyperlink" Target="http://www.imdb.com/title/tt1130080/?ref_=fn_tt_tt_1" TargetMode="External"/><Relationship Id="rId2074" Type="http://schemas.openxmlformats.org/officeDocument/2006/relationships/hyperlink" Target="http://www.imdb.com/title/tt0398017/?ref_=fn_tt_tt_1" TargetMode="External"/><Relationship Id="rId2073" Type="http://schemas.openxmlformats.org/officeDocument/2006/relationships/hyperlink" Target="http://www.imdb.com/title/tt0320691/?ref_=fn_tt_tt_1" TargetMode="External"/><Relationship Id="rId2072" Type="http://schemas.openxmlformats.org/officeDocument/2006/relationships/hyperlink" Target="http://www.imdb.com/title/tt3210686/?ref_=fn_tt_tt_1" TargetMode="External"/><Relationship Id="rId2071" Type="http://schemas.openxmlformats.org/officeDocument/2006/relationships/hyperlink" Target="http://www.imdb.com/title/tt0277027/?ref_=fn_tt_tt_1" TargetMode="External"/><Relationship Id="rId2070" Type="http://schemas.openxmlformats.org/officeDocument/2006/relationships/hyperlink" Target="http://www.imdb.com/title/tt0113957/?ref_=fn_tt_tt_1" TargetMode="External"/><Relationship Id="rId207" Type="http://schemas.openxmlformats.org/officeDocument/2006/relationships/hyperlink" Target="http://www.imdb.com/title/tt2357291/?ref_=fn_tt_tt_1" TargetMode="External"/><Relationship Id="rId2069" Type="http://schemas.openxmlformats.org/officeDocument/2006/relationships/hyperlink" Target="http://www.imdb.com/title/tt2980648/?ref_=fn_tt_tt_1" TargetMode="External"/><Relationship Id="rId2068" Type="http://schemas.openxmlformats.org/officeDocument/2006/relationships/hyperlink" Target="http://www.imdb.com/title/tt0083987/?ref_=fn_tt_tt_1" TargetMode="External"/><Relationship Id="rId2067" Type="http://schemas.openxmlformats.org/officeDocument/2006/relationships/hyperlink" Target="http://www.imdb.com/title/tt0255798/?ref_=fn_tt_tt_1" TargetMode="External"/><Relationship Id="rId2066" Type="http://schemas.openxmlformats.org/officeDocument/2006/relationships/hyperlink" Target="http://www.imdb.com/title/tt0112579/?ref_=fn_tt_tt_1" TargetMode="External"/><Relationship Id="rId2065" Type="http://schemas.openxmlformats.org/officeDocument/2006/relationships/hyperlink" Target="http://www.imdb.com/title/tt0492956/?ref_=fn_tt_tt_1" TargetMode="External"/><Relationship Id="rId2064" Type="http://schemas.openxmlformats.org/officeDocument/2006/relationships/hyperlink" Target="http://www.imdb.com/title/tt0265662/?ref_=fn_tt_tt_1" TargetMode="External"/><Relationship Id="rId2063" Type="http://schemas.openxmlformats.org/officeDocument/2006/relationships/hyperlink" Target="http://www.imdb.com/title/tt0111070/?ref_=fn_tt_tt_1" TargetMode="External"/><Relationship Id="rId2062" Type="http://schemas.openxmlformats.org/officeDocument/2006/relationships/hyperlink" Target="http://www.imdb.com/title/tt0129387/?ref_=fn_tt_tt_1" TargetMode="External"/><Relationship Id="rId2061" Type="http://schemas.openxmlformats.org/officeDocument/2006/relationships/hyperlink" Target="http://www.imdb.com/title/tt0099653/?ref_=fn_tt_tt_1" TargetMode="External"/><Relationship Id="rId2060" Type="http://schemas.openxmlformats.org/officeDocument/2006/relationships/hyperlink" Target="http://www.imdb.com/title/tt3007512/?ref_=fn_tt_tt_1" TargetMode="External"/><Relationship Id="rId206" Type="http://schemas.openxmlformats.org/officeDocument/2006/relationships/hyperlink" Target="http://www.imdb.com/title/tt0382625/?ref_=fn_tt_tt_1" TargetMode="External"/><Relationship Id="rId2059" Type="http://schemas.openxmlformats.org/officeDocument/2006/relationships/hyperlink" Target="http://www.imdb.com/title/tt0094012/?ref_=fn_tt_tt_1" TargetMode="External"/><Relationship Id="rId2058" Type="http://schemas.openxmlformats.org/officeDocument/2006/relationships/hyperlink" Target="http://www.imdb.com/title/tt0450385/?ref_=fn_tt_tt_1" TargetMode="External"/><Relationship Id="rId2057" Type="http://schemas.openxmlformats.org/officeDocument/2006/relationships/hyperlink" Target="http://www.imdb.com/title/tt1403130/?ref_=fn_tt_tt_1" TargetMode="External"/><Relationship Id="rId2056" Type="http://schemas.openxmlformats.org/officeDocument/2006/relationships/hyperlink" Target="http://www.imdb.com/title/tt0241025/?ref_=fn_tt_tt_1" TargetMode="External"/><Relationship Id="rId2055" Type="http://schemas.openxmlformats.org/officeDocument/2006/relationships/hyperlink" Target="http://www.imdb.com/title/tt2397255/?ref_=fn_tt_tt_1" TargetMode="External"/><Relationship Id="rId2054" Type="http://schemas.openxmlformats.org/officeDocument/2006/relationships/hyperlink" Target="http://www.imdb.com/title/tt1179258/?ref_=fn_tt_tt_1" TargetMode="External"/><Relationship Id="rId2053" Type="http://schemas.openxmlformats.org/officeDocument/2006/relationships/hyperlink" Target="http://www.imdb.com/title/tt2271563/?ref_=fn_tt_tt_1" TargetMode="External"/><Relationship Id="rId2052" Type="http://schemas.openxmlformats.org/officeDocument/2006/relationships/hyperlink" Target="http://www.imdb.com/title/tt1035736/?ref_=fn_tt_tt_1" TargetMode="External"/><Relationship Id="rId2051" Type="http://schemas.openxmlformats.org/officeDocument/2006/relationships/hyperlink" Target="http://www.imdb.com/title/tt0478134/?ref_=fn_tt_tt_1" TargetMode="External"/><Relationship Id="rId2050" Type="http://schemas.openxmlformats.org/officeDocument/2006/relationships/hyperlink" Target="http://www.imdb.com/title/tt0102005/?ref_=fn_tt_tt_1" TargetMode="External"/><Relationship Id="rId205" Type="http://schemas.openxmlformats.org/officeDocument/2006/relationships/hyperlink" Target="http://www.imdb.com/title/tt1951265/?ref_=fn_tt_tt_1" TargetMode="External"/><Relationship Id="rId2049" Type="http://schemas.openxmlformats.org/officeDocument/2006/relationships/hyperlink" Target="http://www.imdb.com/title/tt0172396/?ref_=fn_tt_tt_1" TargetMode="External"/><Relationship Id="rId2048" Type="http://schemas.openxmlformats.org/officeDocument/2006/relationships/hyperlink" Target="http://www.imdb.com/title/tt1091751/?ref_=fn_tt_tt_1" TargetMode="External"/><Relationship Id="rId2047" Type="http://schemas.openxmlformats.org/officeDocument/2006/relationships/hyperlink" Target="http://www.imdb.com/title/tt0116999/?ref_=fn_tt_tt_1" TargetMode="External"/><Relationship Id="rId2046" Type="http://schemas.openxmlformats.org/officeDocument/2006/relationships/hyperlink" Target="http://www.imdb.com/title/tt0093300/?ref_=fn_tt_tt_1" TargetMode="External"/><Relationship Id="rId2045" Type="http://schemas.openxmlformats.org/officeDocument/2006/relationships/hyperlink" Target="http://www.imdb.com/title/tt1506999/?ref_=fn_tt_tt_1" TargetMode="External"/><Relationship Id="rId2044" Type="http://schemas.openxmlformats.org/officeDocument/2006/relationships/hyperlink" Target="http://www.imdb.com/title/tt0198386/?ref_=fn_tt_tt_1" TargetMode="External"/><Relationship Id="rId2043" Type="http://schemas.openxmlformats.org/officeDocument/2006/relationships/hyperlink" Target="http://www.imdb.com/title/tt0149691/?ref_=fn_tt_tt_1" TargetMode="External"/><Relationship Id="rId2042" Type="http://schemas.openxmlformats.org/officeDocument/2006/relationships/hyperlink" Target="http://www.imdb.com/title/tt1376213/?ref_=fn_tt_tt_1" TargetMode="External"/><Relationship Id="rId2041" Type="http://schemas.openxmlformats.org/officeDocument/2006/relationships/hyperlink" Target="http://www.imdb.com/title/tt0206314/?ref_=fn_tt_tt_1" TargetMode="External"/><Relationship Id="rId2040" Type="http://schemas.openxmlformats.org/officeDocument/2006/relationships/hyperlink" Target="http://www.imdb.com/title/tt1798709/?ref_=fn_tt_tt_1" TargetMode="External"/><Relationship Id="rId204" Type="http://schemas.openxmlformats.org/officeDocument/2006/relationships/hyperlink" Target="http://www.imdb.com/title/tt1571403/?ref_=fn_tt_tt_1" TargetMode="External"/><Relationship Id="rId2039" Type="http://schemas.openxmlformats.org/officeDocument/2006/relationships/hyperlink" Target="http://www.imdb.com/title/tt0244970/?ref_=fn_tt_tt_1" TargetMode="External"/><Relationship Id="rId2038" Type="http://schemas.openxmlformats.org/officeDocument/2006/relationships/hyperlink" Target="http://www.imdb.com/title/tt0134847/?ref_=fn_tt_tt_1" TargetMode="External"/><Relationship Id="rId2037" Type="http://schemas.openxmlformats.org/officeDocument/2006/relationships/hyperlink" Target="http://www.imdb.com/title/tt1124035/?ref_=fn_tt_tt_1" TargetMode="External"/><Relationship Id="rId2036" Type="http://schemas.openxmlformats.org/officeDocument/2006/relationships/hyperlink" Target="http://www.imdb.com/title/tt0195714/?ref_=fn_tt_tt_1" TargetMode="External"/><Relationship Id="rId2035" Type="http://schemas.openxmlformats.org/officeDocument/2006/relationships/hyperlink" Target="http://www.imdb.com/title/tt0102510/?ref_=fn_tt_tt_1" TargetMode="External"/><Relationship Id="rId2034" Type="http://schemas.openxmlformats.org/officeDocument/2006/relationships/hyperlink" Target="http://www.imdb.com/title/tt0112442/?ref_=fn_tt_tt_1" TargetMode="External"/><Relationship Id="rId2033" Type="http://schemas.openxmlformats.org/officeDocument/2006/relationships/hyperlink" Target="http://www.imdb.com/title/tt0080684/?ref_=fn_tt_tt_1" TargetMode="External"/><Relationship Id="rId2032" Type="http://schemas.openxmlformats.org/officeDocument/2006/relationships/hyperlink" Target="http://www.imdb.com/title/tt0120484/?ref_=fn_tt_tt_1" TargetMode="External"/><Relationship Id="rId2031" Type="http://schemas.openxmlformats.org/officeDocument/2006/relationships/hyperlink" Target="http://www.imdb.com/title/tt1156398/?ref_=fn_tt_tt_1" TargetMode="External"/><Relationship Id="rId2030" Type="http://schemas.openxmlformats.org/officeDocument/2006/relationships/hyperlink" Target="http://www.imdb.com/title/tt0347149/?ref_=fn_tt_tt_1" TargetMode="External"/><Relationship Id="rId203" Type="http://schemas.openxmlformats.org/officeDocument/2006/relationships/hyperlink" Target="http://www.imdb.com/title/tt0325980/?ref_=fn_tt_tt_1" TargetMode="External"/><Relationship Id="rId2029" Type="http://schemas.openxmlformats.org/officeDocument/2006/relationships/hyperlink" Target="http://www.imdb.com/title/tt1433108/?ref_=fn_tt_tt_1" TargetMode="External"/><Relationship Id="rId2028" Type="http://schemas.openxmlformats.org/officeDocument/2006/relationships/hyperlink" Target="http://www.imdb.com/title/tt0356443/?ref_=fn_tt_tt_1" TargetMode="External"/><Relationship Id="rId2027" Type="http://schemas.openxmlformats.org/officeDocument/2006/relationships/hyperlink" Target="http://www.imdb.com/title/tt0112389/?ref_=fn_tt_tt_1" TargetMode="External"/><Relationship Id="rId2026" Type="http://schemas.openxmlformats.org/officeDocument/2006/relationships/hyperlink" Target="http://www.imdb.com/title/tt0120645/?ref_=fn_tt_tt_1" TargetMode="External"/><Relationship Id="rId2025" Type="http://schemas.openxmlformats.org/officeDocument/2006/relationships/hyperlink" Target="http://www.imdb.com/title/tt0363473/?ref_=fn_tt_tt_1" TargetMode="External"/><Relationship Id="rId2024" Type="http://schemas.openxmlformats.org/officeDocument/2006/relationships/hyperlink" Target="http://www.imdb.com/title/tt0464154/?ref_=fn_tt_tt_1" TargetMode="External"/><Relationship Id="rId2023" Type="http://schemas.openxmlformats.org/officeDocument/2006/relationships/hyperlink" Target="http://www.imdb.com/title/tt1742650/?ref_=fn_tt_tt_1" TargetMode="External"/><Relationship Id="rId2022" Type="http://schemas.openxmlformats.org/officeDocument/2006/relationships/hyperlink" Target="http://www.imdb.com/title/tt0196857/?ref_=fn_tt_tt_1" TargetMode="External"/><Relationship Id="rId2021" Type="http://schemas.openxmlformats.org/officeDocument/2006/relationships/hyperlink" Target="http://www.imdb.com/title/tt0217756/?ref_=fn_tt_tt_1" TargetMode="External"/><Relationship Id="rId2020" Type="http://schemas.openxmlformats.org/officeDocument/2006/relationships/hyperlink" Target="http://www.imdb.com/title/tt0078504/?ref_=fn_tt_tt_1" TargetMode="External"/><Relationship Id="rId202" Type="http://schemas.openxmlformats.org/officeDocument/2006/relationships/hyperlink" Target="http://www.imdb.com/title/tt0790736/?ref_=fn_tt_tt_1" TargetMode="External"/><Relationship Id="rId2019" Type="http://schemas.openxmlformats.org/officeDocument/2006/relationships/hyperlink" Target="http://www.imdb.com/title/tt0158811/?ref_=fn_tt_tt_1" TargetMode="External"/><Relationship Id="rId2018" Type="http://schemas.openxmlformats.org/officeDocument/2006/relationships/hyperlink" Target="http://www.imdb.com/title/tt0335559/?ref_=fn_tt_tt_1" TargetMode="External"/><Relationship Id="rId2017" Type="http://schemas.openxmlformats.org/officeDocument/2006/relationships/hyperlink" Target="http://www.imdb.com/title/tt0172493/?ref_=fn_tt_tt_1" TargetMode="External"/><Relationship Id="rId2016" Type="http://schemas.openxmlformats.org/officeDocument/2006/relationships/hyperlink" Target="http://www.imdb.com/title/tt0238948/?ref_=fn_tt_tt_1" TargetMode="External"/><Relationship Id="rId2015" Type="http://schemas.openxmlformats.org/officeDocument/2006/relationships/hyperlink" Target="http://www.imdb.com/title/tt1234548/?ref_=fn_tt_tt_1" TargetMode="External"/><Relationship Id="rId2014" Type="http://schemas.openxmlformats.org/officeDocument/2006/relationships/hyperlink" Target="http://www.imdb.com/title/tt0171580/?ref_=fn_tt_tt_1" TargetMode="External"/><Relationship Id="rId2013" Type="http://schemas.openxmlformats.org/officeDocument/2006/relationships/hyperlink" Target="http://www.imdb.com/title/tt1007028/?ref_=fn_tt_tt_1" TargetMode="External"/><Relationship Id="rId2012" Type="http://schemas.openxmlformats.org/officeDocument/2006/relationships/hyperlink" Target="http://www.imdb.com/title/tt0122459/?ref_=fn_tt_tt_1" TargetMode="External"/><Relationship Id="rId2011" Type="http://schemas.openxmlformats.org/officeDocument/2006/relationships/hyperlink" Target="http://www.imdb.com/title/tt0130018/?ref_=fn_tt_tt_1" TargetMode="External"/><Relationship Id="rId2010" Type="http://schemas.openxmlformats.org/officeDocument/2006/relationships/hyperlink" Target="http://www.imdb.com/title/tt0101889/?ref_=fn_tt_tt_1" TargetMode="External"/><Relationship Id="rId201" Type="http://schemas.openxmlformats.org/officeDocument/2006/relationships/hyperlink" Target="http://www.imdb.com/title/tt0241527/?ref_=fn_tt_tt_1" TargetMode="External"/><Relationship Id="rId2009" Type="http://schemas.openxmlformats.org/officeDocument/2006/relationships/hyperlink" Target="http://www.imdb.com/title/tt0302886/?ref_=fn_tt_tt_1" TargetMode="External"/><Relationship Id="rId2008" Type="http://schemas.openxmlformats.org/officeDocument/2006/relationships/hyperlink" Target="http://www.imdb.com/title/tt0087277/?ref_=fn_tt_tt_1" TargetMode="External"/><Relationship Id="rId2007" Type="http://schemas.openxmlformats.org/officeDocument/2006/relationships/hyperlink" Target="http://www.imdb.com/title/tt0190138/?ref_=fn_tt_tt_1" TargetMode="External"/><Relationship Id="rId2006" Type="http://schemas.openxmlformats.org/officeDocument/2006/relationships/hyperlink" Target="http://www.imdb.com/title/tt2239832/?ref_=fn_tt_tt_1" TargetMode="External"/><Relationship Id="rId2005" Type="http://schemas.openxmlformats.org/officeDocument/2006/relationships/hyperlink" Target="http://www.imdb.com/title/tt2140037/?ref_=fn_tt_tt_1" TargetMode="External"/><Relationship Id="rId2004" Type="http://schemas.openxmlformats.org/officeDocument/2006/relationships/hyperlink" Target="http://www.imdb.com/title/tt0120082/?ref_=fn_tt_tt_1" TargetMode="External"/><Relationship Id="rId2003" Type="http://schemas.openxmlformats.org/officeDocument/2006/relationships/hyperlink" Target="http://www.imdb.com/title/tt0479143/?ref_=fn_tt_tt_1" TargetMode="External"/><Relationship Id="rId2002" Type="http://schemas.openxmlformats.org/officeDocument/2006/relationships/hyperlink" Target="http://www.imdb.com/title/tt0092007/?ref_=fn_tt_tt_1" TargetMode="External"/><Relationship Id="rId2001" Type="http://schemas.openxmlformats.org/officeDocument/2006/relationships/hyperlink" Target="http://www.imdb.com/title/tt0337692/?ref_=fn_tt_tt_1" TargetMode="External"/><Relationship Id="rId2000" Type="http://schemas.openxmlformats.org/officeDocument/2006/relationships/hyperlink" Target="http://www.imdb.com/title/tt0094947/?ref_=fn_tt_tt_1" TargetMode="External"/><Relationship Id="rId200" Type="http://schemas.openxmlformats.org/officeDocument/2006/relationships/hyperlink" Target="http://www.imdb.com/title/tt1001526/?ref_=fn_tt_tt_1" TargetMode="External"/><Relationship Id="rId20" Type="http://schemas.openxmlformats.org/officeDocument/2006/relationships/hyperlink" Target="http://www.imdb.com/title/tt1409024/?ref_=fn_tt_tt_1" TargetMode="External"/><Relationship Id="rId2" Type="http://schemas.openxmlformats.org/officeDocument/2006/relationships/hyperlink" Target="http://www.imdb.com/title/tt0449088/?ref_=fn_tt_tt_1" TargetMode="External"/><Relationship Id="rId1999" Type="http://schemas.openxmlformats.org/officeDocument/2006/relationships/hyperlink" Target="http://www.imdb.com/title/tt1946381/?ref_=fn_tt_tt_1" TargetMode="External"/><Relationship Id="rId1998" Type="http://schemas.openxmlformats.org/officeDocument/2006/relationships/hyperlink" Target="http://www.imdb.com/title/tt2952602/?ref_=fn_tt_tt_1" TargetMode="External"/><Relationship Id="rId1997" Type="http://schemas.openxmlformats.org/officeDocument/2006/relationships/hyperlink" Target="http://www.imdb.com/title/tt0066549/?ref_=fn_tt_tt_1" TargetMode="External"/><Relationship Id="rId1996" Type="http://schemas.openxmlformats.org/officeDocument/2006/relationships/hyperlink" Target="http://www.imdb.com/title/tt1233301/?ref_=fn_tt_tt_1" TargetMode="External"/><Relationship Id="rId1995" Type="http://schemas.openxmlformats.org/officeDocument/2006/relationships/hyperlink" Target="http://www.imdb.com/title/tt2193215/?ref_=fn_tt_tt_1" TargetMode="External"/><Relationship Id="rId1994" Type="http://schemas.openxmlformats.org/officeDocument/2006/relationships/hyperlink" Target="http://www.imdb.com/title/tt1272051/?ref_=fn_tt_tt_1" TargetMode="External"/><Relationship Id="rId1993" Type="http://schemas.openxmlformats.org/officeDocument/2006/relationships/hyperlink" Target="http://www.imdb.com/title/tt1239462/?ref_=fn_tt_tt_1" TargetMode="External"/><Relationship Id="rId1992" Type="http://schemas.openxmlformats.org/officeDocument/2006/relationships/hyperlink" Target="http://www.imdb.com/title/tt1125929/?ref_=fn_tt_tt_1" TargetMode="External"/><Relationship Id="rId1991" Type="http://schemas.openxmlformats.org/officeDocument/2006/relationships/hyperlink" Target="http://www.imdb.com/title/tt1440232/?ref_=fn_tt_tt_1" TargetMode="External"/><Relationship Id="rId1990" Type="http://schemas.openxmlformats.org/officeDocument/2006/relationships/hyperlink" Target="http://www.imdb.com/title/tt1230204/?ref_=fn_tt_tt_1" TargetMode="External"/><Relationship Id="rId199" Type="http://schemas.openxmlformats.org/officeDocument/2006/relationships/hyperlink" Target="http://www.imdb.com/title/tt2692250/?ref_=fn_tt_tt_1" TargetMode="External"/><Relationship Id="rId1989" Type="http://schemas.openxmlformats.org/officeDocument/2006/relationships/hyperlink" Target="http://www.imdb.com/title/tt1095217/?ref_=fn_tt_tt_1" TargetMode="External"/><Relationship Id="rId1988" Type="http://schemas.openxmlformats.org/officeDocument/2006/relationships/hyperlink" Target="http://www.imdb.com/title/tt1924396/?ref_=fn_tt_tt_1" TargetMode="External"/><Relationship Id="rId1987" Type="http://schemas.openxmlformats.org/officeDocument/2006/relationships/hyperlink" Target="http://www.imdb.com/title/tt1175506/?ref_=fn_tt_tt_1" TargetMode="External"/><Relationship Id="rId1986" Type="http://schemas.openxmlformats.org/officeDocument/2006/relationships/hyperlink" Target="http://www.imdb.com/title/tt0119934/?ref_=fn_tt_tt_1" TargetMode="External"/><Relationship Id="rId1985" Type="http://schemas.openxmlformats.org/officeDocument/2006/relationships/hyperlink" Target="http://www.imdb.com/title/tt1792647/?ref_=fn_tt_tt_1" TargetMode="External"/><Relationship Id="rId1984" Type="http://schemas.openxmlformats.org/officeDocument/2006/relationships/hyperlink" Target="http://www.imdb.com/title/tt0373450/?ref_=fn_tt_tt_1" TargetMode="External"/><Relationship Id="rId1983" Type="http://schemas.openxmlformats.org/officeDocument/2006/relationships/hyperlink" Target="http://www.imdb.com/title/tt1692486/?ref_=fn_tt_tt_1" TargetMode="External"/><Relationship Id="rId1982" Type="http://schemas.openxmlformats.org/officeDocument/2006/relationships/hyperlink" Target="http://www.imdb.com/title/tt0383222/?ref_=fn_tt_tt_1" TargetMode="External"/><Relationship Id="rId1981" Type="http://schemas.openxmlformats.org/officeDocument/2006/relationships/hyperlink" Target="http://www.imdb.com/title/tt0861689/?ref_=fn_tt_tt_1" TargetMode="External"/><Relationship Id="rId1980" Type="http://schemas.openxmlformats.org/officeDocument/2006/relationships/hyperlink" Target="http://www.imdb.com/title/tt0388183/?ref_=fn_tt_tt_1" TargetMode="External"/><Relationship Id="rId198" Type="http://schemas.openxmlformats.org/officeDocument/2006/relationships/hyperlink" Target="http://www.imdb.com/title/tt1680310/?ref_=fn_tt_tt_1" TargetMode="External"/><Relationship Id="rId1979" Type="http://schemas.openxmlformats.org/officeDocument/2006/relationships/hyperlink" Target="http://www.imdb.com/title/tt0114614/?ref_=fn_tt_tt_1" TargetMode="External"/><Relationship Id="rId1978" Type="http://schemas.openxmlformats.org/officeDocument/2006/relationships/hyperlink" Target="http://www.imdb.com/title/tt0412080/?ref_=fn_tt_tt_1" TargetMode="External"/><Relationship Id="rId1977" Type="http://schemas.openxmlformats.org/officeDocument/2006/relationships/hyperlink" Target="http://www.imdb.com/title/tt0239949/?ref_=fn_tt_tt_1" TargetMode="External"/><Relationship Id="rId1976" Type="http://schemas.openxmlformats.org/officeDocument/2006/relationships/hyperlink" Target="http://www.imdb.com/title/tt0373416/?ref_=fn_tt_tt_1" TargetMode="External"/><Relationship Id="rId1975" Type="http://schemas.openxmlformats.org/officeDocument/2006/relationships/hyperlink" Target="http://www.imdb.com/title/tt0088103/?ref_=fn_tt_tt_1" TargetMode="External"/><Relationship Id="rId1974" Type="http://schemas.openxmlformats.org/officeDocument/2006/relationships/hyperlink" Target="http://www.imdb.com/title/tt0898367/?ref_=fn_tt_tt_1" TargetMode="External"/><Relationship Id="rId1973" Type="http://schemas.openxmlformats.org/officeDocument/2006/relationships/hyperlink" Target="http://www.imdb.com/title/tt0102984/?ref_=fn_tt_tt_1" TargetMode="External"/><Relationship Id="rId1972" Type="http://schemas.openxmlformats.org/officeDocument/2006/relationships/hyperlink" Target="http://www.imdb.com/title/tt0462338/?ref_=fn_tt_tt_1" TargetMode="External"/><Relationship Id="rId1971" Type="http://schemas.openxmlformats.org/officeDocument/2006/relationships/hyperlink" Target="http://www.imdb.com/title/tt0999913/?ref_=fn_tt_tt_1" TargetMode="External"/><Relationship Id="rId1970" Type="http://schemas.openxmlformats.org/officeDocument/2006/relationships/hyperlink" Target="http://www.imdb.com/title/tt0117104/?ref_=fn_tt_tt_1" TargetMode="External"/><Relationship Id="rId197" Type="http://schemas.openxmlformats.org/officeDocument/2006/relationships/hyperlink" Target="http://www.imdb.com/title/tt0130623/?ref_=fn_tt_tt_1" TargetMode="External"/><Relationship Id="rId1969" Type="http://schemas.openxmlformats.org/officeDocument/2006/relationships/hyperlink" Target="http://www.imdb.com/title/tt0431021/?ref_=fn_tt_tt_1" TargetMode="External"/><Relationship Id="rId1968" Type="http://schemas.openxmlformats.org/officeDocument/2006/relationships/hyperlink" Target="http://www.imdb.com/title/tt0120620/?ref_=fn_tt_tt_1" TargetMode="External"/><Relationship Id="rId1967" Type="http://schemas.openxmlformats.org/officeDocument/2006/relationships/hyperlink" Target="http://www.imdb.com/title/tt0267248/?ref_=fn_tt_tt_1" TargetMode="External"/><Relationship Id="rId1966" Type="http://schemas.openxmlformats.org/officeDocument/2006/relationships/hyperlink" Target="http://www.imdb.com/title/tt0489281/?ref_=fn_tt_tt_1" TargetMode="External"/><Relationship Id="rId1965" Type="http://schemas.openxmlformats.org/officeDocument/2006/relationships/hyperlink" Target="http://www.imdb.com/title/tt0107007/?ref_=fn_tt_tt_1" TargetMode="External"/><Relationship Id="rId1964" Type="http://schemas.openxmlformats.org/officeDocument/2006/relationships/hyperlink" Target="http://www.imdb.com/title/tt0117039/?ref_=fn_tt_tt_1" TargetMode="External"/><Relationship Id="rId1963" Type="http://schemas.openxmlformats.org/officeDocument/2006/relationships/hyperlink" Target="http://www.imdb.com/title/tt1291584/?ref_=fn_tt_tt_1" TargetMode="External"/><Relationship Id="rId1962" Type="http://schemas.openxmlformats.org/officeDocument/2006/relationships/hyperlink" Target="http://www.imdb.com/title/tt1986843/?ref_=fn_tt_tt_1" TargetMode="External"/><Relationship Id="rId1961" Type="http://schemas.openxmlformats.org/officeDocument/2006/relationships/hyperlink" Target="http://www.imdb.com/title/tt0090728/?ref_=fn_tt_tt_1" TargetMode="External"/><Relationship Id="rId1960" Type="http://schemas.openxmlformats.org/officeDocument/2006/relationships/hyperlink" Target="http://www.imdb.com/title/tt2006295/?ref_=fn_tt_tt_1" TargetMode="External"/><Relationship Id="rId196" Type="http://schemas.openxmlformats.org/officeDocument/2006/relationships/hyperlink" Target="http://www.imdb.com/title/tt1815862/?ref_=fn_tt_tt_1" TargetMode="External"/><Relationship Id="rId1959" Type="http://schemas.openxmlformats.org/officeDocument/2006/relationships/hyperlink" Target="http://www.imdb.com/title/tt0355702/?ref_=fn_tt_tt_1" TargetMode="External"/><Relationship Id="rId1958" Type="http://schemas.openxmlformats.org/officeDocument/2006/relationships/hyperlink" Target="http://www.imdb.com/title/tt0968264/?ref_=fn_tt_tt_1" TargetMode="External"/><Relationship Id="rId1957" Type="http://schemas.openxmlformats.org/officeDocument/2006/relationships/hyperlink" Target="http://www.imdb.com/title/tt0175058/?ref_=fn_tt_tt_1" TargetMode="External"/><Relationship Id="rId1956" Type="http://schemas.openxmlformats.org/officeDocument/2006/relationships/hyperlink" Target="http://www.imdb.com/title/tt0089489/?ref_=fn_tt_tt_1" TargetMode="External"/><Relationship Id="rId1955" Type="http://schemas.openxmlformats.org/officeDocument/2006/relationships/hyperlink" Target="http://www.imdb.com/title/tt2223990/?ref_=fn_tt_tt_1" TargetMode="External"/><Relationship Id="rId1954" Type="http://schemas.openxmlformats.org/officeDocument/2006/relationships/hyperlink" Target="http://www.imdb.com/title/tt0145653/?ref_=fn_tt_tt_1" TargetMode="External"/><Relationship Id="rId1953" Type="http://schemas.openxmlformats.org/officeDocument/2006/relationships/hyperlink" Target="http://www.imdb.com/title/tt1633356/?ref_=fn_tt_tt_1" TargetMode="External"/><Relationship Id="rId1952" Type="http://schemas.openxmlformats.org/officeDocument/2006/relationships/hyperlink" Target="http://www.imdb.com/title/tt0787475/?ref_=fn_tt_tt_1" TargetMode="External"/><Relationship Id="rId1951" Type="http://schemas.openxmlformats.org/officeDocument/2006/relationships/hyperlink" Target="http://www.imdb.com/title/tt3569230/?ref_=fn_tt_tt_1" TargetMode="External"/><Relationship Id="rId1950" Type="http://schemas.openxmlformats.org/officeDocument/2006/relationships/hyperlink" Target="http://www.imdb.com/title/tt0265808/?ref_=fn_tt_tt_1" TargetMode="External"/><Relationship Id="rId195" Type="http://schemas.openxmlformats.org/officeDocument/2006/relationships/hyperlink" Target="http://www.imdb.com/title/tt0455824/?ref_=fn_tt_tt_1" TargetMode="External"/><Relationship Id="rId1949" Type="http://schemas.openxmlformats.org/officeDocument/2006/relationships/hyperlink" Target="http://www.imdb.com/title/tt0117011/?ref_=fn_tt_tt_1" TargetMode="External"/><Relationship Id="rId1948" Type="http://schemas.openxmlformats.org/officeDocument/2006/relationships/hyperlink" Target="http://www.imdb.com/title/tt0265208/?ref_=fn_tt_tt_1" TargetMode="External"/><Relationship Id="rId1947" Type="http://schemas.openxmlformats.org/officeDocument/2006/relationships/hyperlink" Target="http://www.imdb.com/title/tt0872230/?ref_=fn_tt_tt_1" TargetMode="External"/><Relationship Id="rId1946" Type="http://schemas.openxmlformats.org/officeDocument/2006/relationships/hyperlink" Target="http://www.imdb.com/title/tt0156841/?ref_=fn_tt_tt_1" TargetMode="External"/><Relationship Id="rId1945" Type="http://schemas.openxmlformats.org/officeDocument/2006/relationships/hyperlink" Target="http://www.imdb.com/title/tt0963794/?ref_=fn_tt_tt_1" TargetMode="External"/><Relationship Id="rId1944" Type="http://schemas.openxmlformats.org/officeDocument/2006/relationships/hyperlink" Target="http://www.imdb.com/title/tt0362478/?ref_=fn_tt_tt_1" TargetMode="External"/><Relationship Id="rId1943" Type="http://schemas.openxmlformats.org/officeDocument/2006/relationships/hyperlink" Target="http://www.imdb.com/title/tt0388980/?ref_=fn_tt_tt_1" TargetMode="External"/><Relationship Id="rId1942" Type="http://schemas.openxmlformats.org/officeDocument/2006/relationships/hyperlink" Target="http://www.imdb.com/title/tt0115472/?ref_=fn_tt_tt_1" TargetMode="External"/><Relationship Id="rId1941" Type="http://schemas.openxmlformats.org/officeDocument/2006/relationships/hyperlink" Target="http://www.imdb.com/title/tt0094799/?ref_=fn_tt_tt_1" TargetMode="External"/><Relationship Id="rId1940" Type="http://schemas.openxmlformats.org/officeDocument/2006/relationships/hyperlink" Target="http://www.imdb.com/title/tt0488658/?ref_=fn_tt_tt_1" TargetMode="External"/><Relationship Id="rId194" Type="http://schemas.openxmlformats.org/officeDocument/2006/relationships/hyperlink" Target="http://www.imdb.com/title/tt0304141/?ref_=fn_tt_tt_1" TargetMode="External"/><Relationship Id="rId1939" Type="http://schemas.openxmlformats.org/officeDocument/2006/relationships/hyperlink" Target="http://www.imdb.com/title/tt0297162/?ref_=fn_tt_tt_1" TargetMode="External"/><Relationship Id="rId1938" Type="http://schemas.openxmlformats.org/officeDocument/2006/relationships/hyperlink" Target="http://www.imdb.com/title/tt0356150/?ref_=fn_tt_tt_1" TargetMode="External"/><Relationship Id="rId1937" Type="http://schemas.openxmlformats.org/officeDocument/2006/relationships/hyperlink" Target="http://www.imdb.com/title/tt0272338/?ref_=fn_tt_tt_1" TargetMode="External"/><Relationship Id="rId1936" Type="http://schemas.openxmlformats.org/officeDocument/2006/relationships/hyperlink" Target="http://www.imdb.com/title/tt0499556/?ref_=fn_tt_tt_1" TargetMode="External"/><Relationship Id="rId1935" Type="http://schemas.openxmlformats.org/officeDocument/2006/relationships/hyperlink" Target="http://www.imdb.com/title/tt1270761/?ref_=fn_tt_tt_1" TargetMode="External"/><Relationship Id="rId1934" Type="http://schemas.openxmlformats.org/officeDocument/2006/relationships/hyperlink" Target="http://www.imdb.com/title/tt0480255/?ref_=fn_tt_tt_1" TargetMode="External"/><Relationship Id="rId1933" Type="http://schemas.openxmlformats.org/officeDocument/2006/relationships/hyperlink" Target="http://www.imdb.com/title/tt0989757/?ref_=fn_tt_tt_1" TargetMode="External"/><Relationship Id="rId1932" Type="http://schemas.openxmlformats.org/officeDocument/2006/relationships/hyperlink" Target="http://www.imdb.com/title/tt0983983/?ref_=fn_tt_tt_1" TargetMode="External"/><Relationship Id="rId1931" Type="http://schemas.openxmlformats.org/officeDocument/2006/relationships/hyperlink" Target="http://www.imdb.com/title/tt0112883/?ref_=fn_tt_tt_1" TargetMode="External"/><Relationship Id="rId1930" Type="http://schemas.openxmlformats.org/officeDocument/2006/relationships/hyperlink" Target="http://www.imdb.com/title/tt0124718/?ref_=fn_tt_tt_1" TargetMode="External"/><Relationship Id="rId193" Type="http://schemas.openxmlformats.org/officeDocument/2006/relationships/hyperlink" Target="http://www.imdb.com/title/tt0983193/?ref_=fn_tt_tt_1" TargetMode="External"/><Relationship Id="rId1929" Type="http://schemas.openxmlformats.org/officeDocument/2006/relationships/hyperlink" Target="http://www.imdb.com/title/tt1083452/?ref_=fn_tt_tt_1" TargetMode="External"/><Relationship Id="rId1928" Type="http://schemas.openxmlformats.org/officeDocument/2006/relationships/hyperlink" Target="http://www.imdb.com/title/tt0391304/?ref_=fn_tt_tt_1" TargetMode="External"/><Relationship Id="rId1927" Type="http://schemas.openxmlformats.org/officeDocument/2006/relationships/hyperlink" Target="http://www.imdb.com/title/tt0396652/?ref_=fn_tt_tt_1" TargetMode="External"/><Relationship Id="rId1926" Type="http://schemas.openxmlformats.org/officeDocument/2006/relationships/hyperlink" Target="http://www.imdb.com/title/tt1322269/?ref_=fn_tt_tt_1" TargetMode="External"/><Relationship Id="rId1925" Type="http://schemas.openxmlformats.org/officeDocument/2006/relationships/hyperlink" Target="http://www.imdb.com/title/tt2039393/?ref_=fn_tt_tt_1" TargetMode="External"/><Relationship Id="rId1924" Type="http://schemas.openxmlformats.org/officeDocument/2006/relationships/hyperlink" Target="http://www.imdb.com/title/tt0116778/?ref_=fn_tt_tt_1" TargetMode="External"/><Relationship Id="rId1923" Type="http://schemas.openxmlformats.org/officeDocument/2006/relationships/hyperlink" Target="http://www.imdb.com/title/tt0231402/?ref_=fn_tt_tt_1" TargetMode="External"/><Relationship Id="rId1922" Type="http://schemas.openxmlformats.org/officeDocument/2006/relationships/hyperlink" Target="http://www.imdb.com/title/tt0111161/?ref_=fn_tt_tt_1" TargetMode="External"/><Relationship Id="rId1921" Type="http://schemas.openxmlformats.org/officeDocument/2006/relationships/hyperlink" Target="http://www.imdb.com/title/tt1153706/?ref_=fn_tt_tt_1" TargetMode="External"/><Relationship Id="rId1920" Type="http://schemas.openxmlformats.org/officeDocument/2006/relationships/hyperlink" Target="http://www.imdb.com/title/tt1366344/?ref_=fn_tt_tt_1" TargetMode="External"/><Relationship Id="rId192" Type="http://schemas.openxmlformats.org/officeDocument/2006/relationships/hyperlink" Target="http://www.imdb.com/title/tt1959490/?ref_=fn_tt_tt_1" TargetMode="External"/><Relationship Id="rId1919" Type="http://schemas.openxmlformats.org/officeDocument/2006/relationships/hyperlink" Target="http://www.imdb.com/title/tt0120185/?ref_=fn_tt_tt_1" TargetMode="External"/><Relationship Id="rId1918" Type="http://schemas.openxmlformats.org/officeDocument/2006/relationships/hyperlink" Target="http://www.imdb.com/title/tt0066473/?ref_=fn_tt_tt_1" TargetMode="External"/><Relationship Id="rId1917" Type="http://schemas.openxmlformats.org/officeDocument/2006/relationships/hyperlink" Target="http://www.imdb.com/title/tt0144120/?ref_=fn_tt_tt_1" TargetMode="External"/><Relationship Id="rId1916" Type="http://schemas.openxmlformats.org/officeDocument/2006/relationships/hyperlink" Target="http://www.imdb.com/title/tt0127536/?ref_=fn_tt_tt_1" TargetMode="External"/><Relationship Id="rId1915" Type="http://schemas.openxmlformats.org/officeDocument/2006/relationships/hyperlink" Target="http://www.imdb.com/title/tt0426931/?ref_=fn_tt_tt_1" TargetMode="External"/><Relationship Id="rId1914" Type="http://schemas.openxmlformats.org/officeDocument/2006/relationships/hyperlink" Target="http://www.imdb.com/title/tt1747958/?ref_=fn_tt_tt_1" TargetMode="External"/><Relationship Id="rId1913" Type="http://schemas.openxmlformats.org/officeDocument/2006/relationships/hyperlink" Target="http://www.imdb.com/title/tt0366174/?ref_=fn_tt_tt_1" TargetMode="External"/><Relationship Id="rId1912" Type="http://schemas.openxmlformats.org/officeDocument/2006/relationships/hyperlink" Target="http://www.imdb.com/title/tt0453451/?ref_=fn_tt_tt_1" TargetMode="External"/><Relationship Id="rId1911" Type="http://schemas.openxmlformats.org/officeDocument/2006/relationships/hyperlink" Target="http://www.imdb.com/title/tt0454945/?ref_=fn_tt_tt_1" TargetMode="External"/><Relationship Id="rId1910" Type="http://schemas.openxmlformats.org/officeDocument/2006/relationships/hyperlink" Target="http://www.imdb.com/title/tt0274558/?ref_=fn_tt_tt_1" TargetMode="External"/><Relationship Id="rId191" Type="http://schemas.openxmlformats.org/officeDocument/2006/relationships/hyperlink" Target="http://www.imdb.com/title/tt0944835/?ref_=fn_tt_tt_1" TargetMode="External"/><Relationship Id="rId1909" Type="http://schemas.openxmlformats.org/officeDocument/2006/relationships/hyperlink" Target="http://www.imdb.com/title/tt0306685/?ref_=fn_tt_tt_1" TargetMode="External"/><Relationship Id="rId1908" Type="http://schemas.openxmlformats.org/officeDocument/2006/relationships/hyperlink" Target="http://www.imdb.com/title/tt0452625/?ref_=fn_tt_tt_1" TargetMode="External"/><Relationship Id="rId1907" Type="http://schemas.openxmlformats.org/officeDocument/2006/relationships/hyperlink" Target="http://www.imdb.com/title/tt0301470/?ref_=fn_tt_tt_1" TargetMode="External"/><Relationship Id="rId1906" Type="http://schemas.openxmlformats.org/officeDocument/2006/relationships/hyperlink" Target="http://www.imdb.com/title/tt0286788/?ref_=fn_tt_tt_1" TargetMode="External"/><Relationship Id="rId1905" Type="http://schemas.openxmlformats.org/officeDocument/2006/relationships/hyperlink" Target="http://www.imdb.com/title/tt0435651/?ref_=fn_tt_tt_1" TargetMode="External"/><Relationship Id="rId1904" Type="http://schemas.openxmlformats.org/officeDocument/2006/relationships/hyperlink" Target="http://www.imdb.com/title/tt1647668/?ref_=fn_tt_tt_1" TargetMode="External"/><Relationship Id="rId1903" Type="http://schemas.openxmlformats.org/officeDocument/2006/relationships/hyperlink" Target="http://www.imdb.com/title/tt0388500/?ref_=fn_tt_tt_1" TargetMode="External"/><Relationship Id="rId1902" Type="http://schemas.openxmlformats.org/officeDocument/2006/relationships/hyperlink" Target="http://www.imdb.com/title/tt0852713/?ref_=fn_tt_tt_1" TargetMode="External"/><Relationship Id="rId1901" Type="http://schemas.openxmlformats.org/officeDocument/2006/relationships/hyperlink" Target="http://www.imdb.com/title/tt0271027/?ref_=fn_tt_tt_1" TargetMode="External"/><Relationship Id="rId1900" Type="http://schemas.openxmlformats.org/officeDocument/2006/relationships/hyperlink" Target="http://www.imdb.com/title/tt0403508/?ref_=fn_tt_tt_1" TargetMode="External"/><Relationship Id="rId190" Type="http://schemas.openxmlformats.org/officeDocument/2006/relationships/hyperlink" Target="http://www.imdb.com/title/tt0448694/?ref_=fn_tt_tt_1" TargetMode="External"/><Relationship Id="rId19" Type="http://schemas.openxmlformats.org/officeDocument/2006/relationships/hyperlink" Target="http://www.imdb.com/title/tt1298650/?ref_=fn_tt_tt_1" TargetMode="External"/><Relationship Id="rId1899" Type="http://schemas.openxmlformats.org/officeDocument/2006/relationships/hyperlink" Target="http://www.imdb.com/title/tt0279493/?ref_=fn_tt_tt_1" TargetMode="External"/><Relationship Id="rId1898" Type="http://schemas.openxmlformats.org/officeDocument/2006/relationships/hyperlink" Target="http://www.imdb.com/title/tt0337711/?ref_=fn_tt_tt_1" TargetMode="External"/><Relationship Id="rId1897" Type="http://schemas.openxmlformats.org/officeDocument/2006/relationships/hyperlink" Target="http://www.imdb.com/title/tt0282120/?ref_=fn_tt_tt_1" TargetMode="External"/><Relationship Id="rId1896" Type="http://schemas.openxmlformats.org/officeDocument/2006/relationships/hyperlink" Target="http://www.imdb.com/title/tt0469494/?ref_=fn_tt_tt_1" TargetMode="External"/><Relationship Id="rId1895" Type="http://schemas.openxmlformats.org/officeDocument/2006/relationships/hyperlink" Target="http://www.imdb.com/title/tt0119695/?ref_=fn_tt_tt_1" TargetMode="External"/><Relationship Id="rId1894" Type="http://schemas.openxmlformats.org/officeDocument/2006/relationships/hyperlink" Target="http://www.imdb.com/title/tt1524137/?ref_=fn_tt_tt_1" TargetMode="External"/><Relationship Id="rId1893" Type="http://schemas.openxmlformats.org/officeDocument/2006/relationships/hyperlink" Target="http://www.imdb.com/title/tt0093389/?ref_=fn_tt_tt_1" TargetMode="External"/><Relationship Id="rId1892" Type="http://schemas.openxmlformats.org/officeDocument/2006/relationships/hyperlink" Target="http://www.imdb.com/title/tt0119807/?ref_=fn_tt_tt_1" TargetMode="External"/><Relationship Id="rId1891" Type="http://schemas.openxmlformats.org/officeDocument/2006/relationships/hyperlink" Target="http://www.imdb.com/title/tt0086250/?ref_=fn_tt_tt_1" TargetMode="External"/><Relationship Id="rId1890" Type="http://schemas.openxmlformats.org/officeDocument/2006/relationships/hyperlink" Target="http://www.imdb.com/title/tt0396752/?ref_=fn_tt_tt_1" TargetMode="External"/><Relationship Id="rId189" Type="http://schemas.openxmlformats.org/officeDocument/2006/relationships/hyperlink" Target="http://www.imdb.com/title/tt0172156/?ref_=fn_tt_tt_1" TargetMode="External"/><Relationship Id="rId1889" Type="http://schemas.openxmlformats.org/officeDocument/2006/relationships/hyperlink" Target="http://www.imdb.com/title/tt0313911/?ref_=fn_tt_tt_1" TargetMode="External"/><Relationship Id="rId1888" Type="http://schemas.openxmlformats.org/officeDocument/2006/relationships/hyperlink" Target="http://www.imdb.com/title/tt0099685/?ref_=fn_tt_tt_1" TargetMode="External"/><Relationship Id="rId1887" Type="http://schemas.openxmlformats.org/officeDocument/2006/relationships/hyperlink" Target="http://www.imdb.com/title/tt0357413/?ref_=fn_tt_tt_1" TargetMode="External"/><Relationship Id="rId1886" Type="http://schemas.openxmlformats.org/officeDocument/2006/relationships/hyperlink" Target="http://www.imdb.com/title/tt0382077/?ref_=fn_tt_tt_1" TargetMode="External"/><Relationship Id="rId1885" Type="http://schemas.openxmlformats.org/officeDocument/2006/relationships/hyperlink" Target="http://www.imdb.com/title/tt1601913/?ref_=fn_tt_tt_1" TargetMode="External"/><Relationship Id="rId1884" Type="http://schemas.openxmlformats.org/officeDocument/2006/relationships/hyperlink" Target="http://www.imdb.com/title/tt2609758/?ref_=fn_tt_tt_1" TargetMode="External"/><Relationship Id="rId1883" Type="http://schemas.openxmlformats.org/officeDocument/2006/relationships/hyperlink" Target="http://www.imdb.com/title/tt0308644/?ref_=fn_tt_tt_1" TargetMode="External"/><Relationship Id="rId1882" Type="http://schemas.openxmlformats.org/officeDocument/2006/relationships/hyperlink" Target="http://www.imdb.com/title/tt0398808/?ref_=fn_tt_tt_1" TargetMode="External"/><Relationship Id="rId1881" Type="http://schemas.openxmlformats.org/officeDocument/2006/relationships/hyperlink" Target="http://www.imdb.com/title/tt1327194/?ref_=fn_tt_tt_1" TargetMode="External"/><Relationship Id="rId1880" Type="http://schemas.openxmlformats.org/officeDocument/2006/relationships/hyperlink" Target="http://www.imdb.com/title/tt0414982/?ref_=fn_tt_tt_1" TargetMode="External"/><Relationship Id="rId188" Type="http://schemas.openxmlformats.org/officeDocument/2006/relationships/hyperlink" Target="http://www.imdb.com/title/tt0407304/?ref_=fn_tt_tt_1" TargetMode="External"/><Relationship Id="rId1879" Type="http://schemas.openxmlformats.org/officeDocument/2006/relationships/hyperlink" Target="http://www.imdb.com/title/tt0075005/?ref_=fn_tt_tt_1" TargetMode="External"/><Relationship Id="rId1878" Type="http://schemas.openxmlformats.org/officeDocument/2006/relationships/hyperlink" Target="http://www.imdb.com/title/tt0165929/?ref_=fn_tt_tt_1" TargetMode="External"/><Relationship Id="rId1877" Type="http://schemas.openxmlformats.org/officeDocument/2006/relationships/hyperlink" Target="http://www.imdb.com/title/tt0108358/?ref_=fn_tt_tt_1" TargetMode="External"/><Relationship Id="rId1876" Type="http://schemas.openxmlformats.org/officeDocument/2006/relationships/hyperlink" Target="http://www.imdb.com/title/tt1411238/?ref_=fn_tt_tt_1" TargetMode="External"/><Relationship Id="rId1875" Type="http://schemas.openxmlformats.org/officeDocument/2006/relationships/hyperlink" Target="http://www.imdb.com/title/tt1047540/?ref_=fn_tt_tt_1" TargetMode="External"/><Relationship Id="rId1874" Type="http://schemas.openxmlformats.org/officeDocument/2006/relationships/hyperlink" Target="http://www.imdb.com/title/tt0333780/?ref_=fn_tt_tt_1" TargetMode="External"/><Relationship Id="rId1873" Type="http://schemas.openxmlformats.org/officeDocument/2006/relationships/hyperlink" Target="http://www.imdb.com/title/tt0241303/?ref_=fn_tt_tt_1" TargetMode="External"/><Relationship Id="rId1872" Type="http://schemas.openxmlformats.org/officeDocument/2006/relationships/hyperlink" Target="http://www.imdb.com/title/tt0243155/?ref_=fn_tt_tt_1" TargetMode="External"/><Relationship Id="rId1871" Type="http://schemas.openxmlformats.org/officeDocument/2006/relationships/hyperlink" Target="http://www.imdb.com/title/tt1408253/?ref_=fn_tt_tt_1" TargetMode="External"/><Relationship Id="rId1870" Type="http://schemas.openxmlformats.org/officeDocument/2006/relationships/hyperlink" Target="http://www.imdb.com/title/tt0477348/?ref_=fn_tt_tt_1" TargetMode="External"/><Relationship Id="rId187" Type="http://schemas.openxmlformats.org/officeDocument/2006/relationships/hyperlink" Target="http://www.imdb.com/title/tt2224026/?ref_=fn_tt_tt_1" TargetMode="External"/><Relationship Id="rId1869" Type="http://schemas.openxmlformats.org/officeDocument/2006/relationships/hyperlink" Target="http://www.imdb.com/title/tt0094226/?ref_=fn_tt_tt_1" TargetMode="External"/><Relationship Id="rId1868" Type="http://schemas.openxmlformats.org/officeDocument/2006/relationships/hyperlink" Target="http://www.imdb.com/title/tt0103060/?ref_=fn_tt_tt_1" TargetMode="External"/><Relationship Id="rId1867" Type="http://schemas.openxmlformats.org/officeDocument/2006/relationships/hyperlink" Target="http://www.imdb.com/title/tt1060277/?ref_=fn_tt_tt_1" TargetMode="External"/><Relationship Id="rId1866" Type="http://schemas.openxmlformats.org/officeDocument/2006/relationships/hyperlink" Target="http://www.imdb.com/title/tt0268397/?ref_=fn_tt_tt_1" TargetMode="External"/><Relationship Id="rId1865" Type="http://schemas.openxmlformats.org/officeDocument/2006/relationships/hyperlink" Target="http://www.imdb.com/title/tt2967008/?ref_=fn_tt_tt_1" TargetMode="External"/><Relationship Id="rId1864" Type="http://schemas.openxmlformats.org/officeDocument/2006/relationships/hyperlink" Target="http://www.imdb.com/title/tt0329101/?ref_=fn_tt_tt_1" TargetMode="External"/><Relationship Id="rId1863" Type="http://schemas.openxmlformats.org/officeDocument/2006/relationships/hyperlink" Target="http://www.imdb.com/title/tt1224378/?ref_=fn_tt_tt_1" TargetMode="External"/><Relationship Id="rId1862" Type="http://schemas.openxmlformats.org/officeDocument/2006/relationships/hyperlink" Target="http://www.imdb.com/title/tt0331632/?ref_=fn_tt_tt_1" TargetMode="External"/><Relationship Id="rId1861" Type="http://schemas.openxmlformats.org/officeDocument/2006/relationships/hyperlink" Target="http://www.imdb.com/title/tt1837703/?ref_=fn_tt_tt_1" TargetMode="External"/><Relationship Id="rId1860" Type="http://schemas.openxmlformats.org/officeDocument/2006/relationships/hyperlink" Target="http://www.imdb.com/title/tt1454029/?ref_=fn_tt_tt_1" TargetMode="External"/><Relationship Id="rId186" Type="http://schemas.openxmlformats.org/officeDocument/2006/relationships/hyperlink" Target="http://www.imdb.com/title/tt1951264/?ref_=fn_tt_tt_1" TargetMode="External"/><Relationship Id="rId1859" Type="http://schemas.openxmlformats.org/officeDocument/2006/relationships/hyperlink" Target="http://www.imdb.com/title/tt0108052/?ref_=fn_tt_tt_1" TargetMode="External"/><Relationship Id="rId1858" Type="http://schemas.openxmlformats.org/officeDocument/2006/relationships/hyperlink" Target="http://www.imdb.com/title/tt0103855/?ref_=fn_tt_tt_1" TargetMode="External"/><Relationship Id="rId1857" Type="http://schemas.openxmlformats.org/officeDocument/2006/relationships/hyperlink" Target="http://www.imdb.com/title/tt1972779/?ref_=fn_tt_tt_1" TargetMode="External"/><Relationship Id="rId1856" Type="http://schemas.openxmlformats.org/officeDocument/2006/relationships/hyperlink" Target="http://www.imdb.com/title/tt0936501/?ref_=fn_tt_tt_1" TargetMode="External"/><Relationship Id="rId1855" Type="http://schemas.openxmlformats.org/officeDocument/2006/relationships/hyperlink" Target="http://www.imdb.com/title/tt1175491/?ref_=fn_tt_tt_1" TargetMode="External"/><Relationship Id="rId1854" Type="http://schemas.openxmlformats.org/officeDocument/2006/relationships/hyperlink" Target="http://www.imdb.com/title/tt1205489/?ref_=fn_tt_tt_1" TargetMode="External"/><Relationship Id="rId1853" Type="http://schemas.openxmlformats.org/officeDocument/2006/relationships/hyperlink" Target="http://www.imdb.com/title/tt0095953/?ref_=fn_tt_tt_1" TargetMode="External"/><Relationship Id="rId1852" Type="http://schemas.openxmlformats.org/officeDocument/2006/relationships/hyperlink" Target="http://www.imdb.com/title/tt0107614/?ref_=fn_tt_tt_1" TargetMode="External"/><Relationship Id="rId1851" Type="http://schemas.openxmlformats.org/officeDocument/2006/relationships/hyperlink" Target="http://www.imdb.com/title/tt0335345/?ref_=fn_tt_tt_1" TargetMode="External"/><Relationship Id="rId1850" Type="http://schemas.openxmlformats.org/officeDocument/2006/relationships/hyperlink" Target="http://www.imdb.com/title/tt0387131/?ref_=fn_tt_tt_1" TargetMode="External"/><Relationship Id="rId185" Type="http://schemas.openxmlformats.org/officeDocument/2006/relationships/hyperlink" Target="http://www.imdb.com/title/tt0478970/?ref_=fn_tt_tt_1" TargetMode="External"/><Relationship Id="rId1849" Type="http://schemas.openxmlformats.org/officeDocument/2006/relationships/hyperlink" Target="http://www.imdb.com/title/tt2140379/?ref_=fn_tt_tt_1" TargetMode="External"/><Relationship Id="rId1848" Type="http://schemas.openxmlformats.org/officeDocument/2006/relationships/hyperlink" Target="http://www.imdb.com/title/tt0116322/?ref_=fn_tt_tt_1" TargetMode="External"/><Relationship Id="rId1847" Type="http://schemas.openxmlformats.org/officeDocument/2006/relationships/hyperlink" Target="http://www.imdb.com/title/tt1137470/?ref_=fn_tt_tt_1" TargetMode="External"/><Relationship Id="rId1846" Type="http://schemas.openxmlformats.org/officeDocument/2006/relationships/hyperlink" Target="http://www.imdb.com/title/tt0256524/?ref_=fn_tt_tt_1" TargetMode="External"/><Relationship Id="rId1845" Type="http://schemas.openxmlformats.org/officeDocument/2006/relationships/hyperlink" Target="http://www.imdb.com/title/tt0119227/?ref_=fn_tt_tt_1" TargetMode="External"/><Relationship Id="rId1844" Type="http://schemas.openxmlformats.org/officeDocument/2006/relationships/hyperlink" Target="http://www.imdb.com/title/tt0115710/?ref_=fn_tt_tt_1" TargetMode="External"/><Relationship Id="rId1843" Type="http://schemas.openxmlformats.org/officeDocument/2006/relationships/hyperlink" Target="http://www.imdb.com/title/tt0110027/?ref_=fn_tt_tt_1" TargetMode="External"/><Relationship Id="rId1842" Type="http://schemas.openxmlformats.org/officeDocument/2006/relationships/hyperlink" Target="http://www.imdb.com/title/tt0361925/?ref_=fn_tt_tt_1" TargetMode="External"/><Relationship Id="rId1841" Type="http://schemas.openxmlformats.org/officeDocument/2006/relationships/hyperlink" Target="http://www.imdb.com/title/tt1486192/?ref_=fn_tt_tt_1" TargetMode="External"/><Relationship Id="rId1840" Type="http://schemas.openxmlformats.org/officeDocument/2006/relationships/hyperlink" Target="http://www.imdb.com/title/tt0218922/?ref_=fn_tt_tt_1" TargetMode="External"/><Relationship Id="rId184" Type="http://schemas.openxmlformats.org/officeDocument/2006/relationships/hyperlink" Target="http://www.imdb.com/title/tt0441773/?ref_=fn_tt_tt_1" TargetMode="External"/><Relationship Id="rId1839" Type="http://schemas.openxmlformats.org/officeDocument/2006/relationships/hyperlink" Target="http://www.imdb.com/title/tt1598822/?ref_=fn_tt_tt_1" TargetMode="External"/><Relationship Id="rId1838" Type="http://schemas.openxmlformats.org/officeDocument/2006/relationships/hyperlink" Target="http://www.imdb.com/title/tt0358349/?ref_=fn_tt_tt_1" TargetMode="External"/><Relationship Id="rId1837" Type="http://schemas.openxmlformats.org/officeDocument/2006/relationships/hyperlink" Target="http://www.imdb.com/title/tt0765010/?ref_=fn_tt_tt_1" TargetMode="External"/><Relationship Id="rId1836" Type="http://schemas.openxmlformats.org/officeDocument/2006/relationships/hyperlink" Target="http://www.imdb.com/title/tt0090022/?ref_=fn_tt_tt_1" TargetMode="External"/><Relationship Id="rId1835" Type="http://schemas.openxmlformats.org/officeDocument/2006/relationships/hyperlink" Target="http://www.imdb.com/title/tt0157472/?ref_=fn_tt_tt_1" TargetMode="External"/><Relationship Id="rId1834" Type="http://schemas.openxmlformats.org/officeDocument/2006/relationships/hyperlink" Target="http://www.imdb.com/title/tt0385267/?ref_=fn_tt_tt_1" TargetMode="External"/><Relationship Id="rId1833" Type="http://schemas.openxmlformats.org/officeDocument/2006/relationships/hyperlink" Target="http://www.imdb.com/title/tt1980209/?ref_=fn_tt_tt_1" TargetMode="External"/><Relationship Id="rId1832" Type="http://schemas.openxmlformats.org/officeDocument/2006/relationships/hyperlink" Target="http://www.imdb.com/title/tt1038686/?ref_=fn_tt_tt_1" TargetMode="External"/><Relationship Id="rId1831" Type="http://schemas.openxmlformats.org/officeDocument/2006/relationships/hyperlink" Target="http://www.imdb.com/title/tt0190590/?ref_=fn_tt_tt_1" TargetMode="External"/><Relationship Id="rId1830" Type="http://schemas.openxmlformats.org/officeDocument/2006/relationships/hyperlink" Target="http://www.imdb.com/title/tt0309593/?ref_=fn_tt_tt_1" TargetMode="External"/><Relationship Id="rId183" Type="http://schemas.openxmlformats.org/officeDocument/2006/relationships/hyperlink" Target="http://www.imdb.com/title/tt0440963/?ref_=fn_tt_tt_1" TargetMode="External"/><Relationship Id="rId1829" Type="http://schemas.openxmlformats.org/officeDocument/2006/relationships/hyperlink" Target="http://www.imdb.com/title/tt0421239/?ref_=fn_tt_tt_1" TargetMode="External"/><Relationship Id="rId1828" Type="http://schemas.openxmlformats.org/officeDocument/2006/relationships/hyperlink" Target="http://www.imdb.com/title/tt0075784/?ref_=fn_tt_tt_1" TargetMode="External"/><Relationship Id="rId1827" Type="http://schemas.openxmlformats.org/officeDocument/2006/relationships/hyperlink" Target="http://www.imdb.com/title/tt0472954/?ref_=fn_tt_tt_1" TargetMode="External"/><Relationship Id="rId1826" Type="http://schemas.openxmlformats.org/officeDocument/2006/relationships/hyperlink" Target="http://www.imdb.com/title/tt0099582/?ref_=fn_tt_tt_1" TargetMode="External"/><Relationship Id="rId1825" Type="http://schemas.openxmlformats.org/officeDocument/2006/relationships/hyperlink" Target="http://www.imdb.com/title/tt0316356/?ref_=fn_tt_tt_1" TargetMode="External"/><Relationship Id="rId1824" Type="http://schemas.openxmlformats.org/officeDocument/2006/relationships/hyperlink" Target="http://www.imdb.com/title/tt0120631/?ref_=fn_tt_tt_1" TargetMode="External"/><Relationship Id="rId1823" Type="http://schemas.openxmlformats.org/officeDocument/2006/relationships/hyperlink" Target="http://www.imdb.com/title/tt0910936/?ref_=fn_tt_tt_1" TargetMode="External"/><Relationship Id="rId1822" Type="http://schemas.openxmlformats.org/officeDocument/2006/relationships/hyperlink" Target="http://www.imdb.com/title/tt0099938/?ref_=fn_tt_tt_1" TargetMode="External"/><Relationship Id="rId1821" Type="http://schemas.openxmlformats.org/officeDocument/2006/relationships/hyperlink" Target="http://www.imdb.com/title/tt0365907/?ref_=fn_tt_tt_1" TargetMode="External"/><Relationship Id="rId1820" Type="http://schemas.openxmlformats.org/officeDocument/2006/relationships/hyperlink" Target="http://www.imdb.com/title/tt0138097/?ref_=fn_tt_tt_1" TargetMode="External"/><Relationship Id="rId182" Type="http://schemas.openxmlformats.org/officeDocument/2006/relationships/hyperlink" Target="http://www.imdb.com/title/tt1911658/?ref_=fn_tt_tt_1" TargetMode="External"/><Relationship Id="rId1819" Type="http://schemas.openxmlformats.org/officeDocument/2006/relationships/hyperlink" Target="http://www.imdb.com/title/tt0405422/?ref_=fn_tt_tt_1" TargetMode="External"/><Relationship Id="rId1818" Type="http://schemas.openxmlformats.org/officeDocument/2006/relationships/hyperlink" Target="http://www.imdb.com/title/tt0322330/?ref_=fn_tt_tt_1" TargetMode="External"/><Relationship Id="rId1817" Type="http://schemas.openxmlformats.org/officeDocument/2006/relationships/hyperlink" Target="http://www.imdb.com/title/tt1114740/?ref_=fn_tt_tt_1" TargetMode="External"/><Relationship Id="rId1816" Type="http://schemas.openxmlformats.org/officeDocument/2006/relationships/hyperlink" Target="http://www.imdb.com/title/tt0475331/?ref_=fn_tt_tt_1" TargetMode="External"/><Relationship Id="rId1815" Type="http://schemas.openxmlformats.org/officeDocument/2006/relationships/hyperlink" Target="http://www.imdb.com/title/tt0340376/?ref_=fn_tt_tt_1" TargetMode="External"/><Relationship Id="rId1814" Type="http://schemas.openxmlformats.org/officeDocument/2006/relationships/hyperlink" Target="http://www.imdb.com/title/tt0486674/?ref_=fn_tt_tt_1" TargetMode="External"/><Relationship Id="rId1813" Type="http://schemas.openxmlformats.org/officeDocument/2006/relationships/hyperlink" Target="http://www.imdb.com/title/tt0297284/?ref_=fn_tt_tt_1" TargetMode="External"/><Relationship Id="rId1812" Type="http://schemas.openxmlformats.org/officeDocument/2006/relationships/hyperlink" Target="http://www.imdb.com/title/tt0155711/?ref_=fn_tt_tt_1" TargetMode="External"/><Relationship Id="rId1811" Type="http://schemas.openxmlformats.org/officeDocument/2006/relationships/hyperlink" Target="http://www.imdb.com/title/tt0227984/?ref_=fn_tt_tt_1" TargetMode="External"/><Relationship Id="rId1810" Type="http://schemas.openxmlformats.org/officeDocument/2006/relationships/hyperlink" Target="http://www.imdb.com/title/tt2241351/?ref_=fn_tt_tt_1" TargetMode="External"/><Relationship Id="rId181" Type="http://schemas.openxmlformats.org/officeDocument/2006/relationships/hyperlink" Target="http://www.imdb.com/title/tt1192628/?ref_=fn_tt_tt_1" TargetMode="External"/><Relationship Id="rId1809" Type="http://schemas.openxmlformats.org/officeDocument/2006/relationships/hyperlink" Target="http://www.imdb.com/title/tt1517489/?ref_=fn_tt_tt_1" TargetMode="External"/><Relationship Id="rId1808" Type="http://schemas.openxmlformats.org/officeDocument/2006/relationships/hyperlink" Target="http://www.imdb.com/title/tt0415965/?ref_=fn_tt_tt_1" TargetMode="External"/><Relationship Id="rId1807" Type="http://schemas.openxmlformats.org/officeDocument/2006/relationships/hyperlink" Target="http://www.imdb.com/title/tt0324127/?ref_=fn_tt_tt_1" TargetMode="External"/><Relationship Id="rId1806" Type="http://schemas.openxmlformats.org/officeDocument/2006/relationships/hyperlink" Target="http://www.imdb.com/title/tt0795351/?ref_=fn_tt_tt_1" TargetMode="External"/><Relationship Id="rId1805" Type="http://schemas.openxmlformats.org/officeDocument/2006/relationships/hyperlink" Target="http://www.imdb.com/title/tt0120769/?ref_=fn_tt_tt_1" TargetMode="External"/><Relationship Id="rId1804" Type="http://schemas.openxmlformats.org/officeDocument/2006/relationships/hyperlink" Target="http://www.imdb.com/title/tt0089908/?ref_=fn_tt_tt_1" TargetMode="External"/><Relationship Id="rId1803" Type="http://schemas.openxmlformats.org/officeDocument/2006/relationships/hyperlink" Target="http://www.imdb.com/title/tt0042114/?ref_=fn_tt_tt_1" TargetMode="External"/><Relationship Id="rId1802" Type="http://schemas.openxmlformats.org/officeDocument/2006/relationships/hyperlink" Target="http://www.imdb.com/title/tt0864761/?ref_=fn_tt_tt_1" TargetMode="External"/><Relationship Id="rId1801" Type="http://schemas.openxmlformats.org/officeDocument/2006/relationships/hyperlink" Target="http://www.imdb.com/title/tt0118929/?ref_=fn_tt_tt_1" TargetMode="External"/><Relationship Id="rId1800" Type="http://schemas.openxmlformats.org/officeDocument/2006/relationships/hyperlink" Target="http://www.imdb.com/title/tt0088323/?ref_=fn_tt_tt_1" TargetMode="External"/><Relationship Id="rId180" Type="http://schemas.openxmlformats.org/officeDocument/2006/relationships/hyperlink" Target="http://www.imdb.com/title/tt1860353/?ref_=fn_tt_tt_1" TargetMode="External"/><Relationship Id="rId18" Type="http://schemas.openxmlformats.org/officeDocument/2006/relationships/hyperlink" Target="http://www.imdb.com/title/tt0848228/?ref_=fn_tt_tt_1" TargetMode="External"/><Relationship Id="rId1799" Type="http://schemas.openxmlformats.org/officeDocument/2006/relationships/hyperlink" Target="http://www.imdb.com/title/tt1521197/?ref_=fn_tt_tt_1" TargetMode="External"/><Relationship Id="rId1798" Type="http://schemas.openxmlformats.org/officeDocument/2006/relationships/hyperlink" Target="http://www.imdb.com/title/tt0086197/?ref_=fn_tt_tt_1" TargetMode="External"/><Relationship Id="rId1797" Type="http://schemas.openxmlformats.org/officeDocument/2006/relationships/hyperlink" Target="http://www.imdb.com/title/tt0425210/?ref_=fn_tt_tt_1" TargetMode="External"/><Relationship Id="rId1796" Type="http://schemas.openxmlformats.org/officeDocument/2006/relationships/hyperlink" Target="http://www.imdb.com/title/tt0139414/?ref_=fn_tt_tt_1" TargetMode="External"/><Relationship Id="rId1795" Type="http://schemas.openxmlformats.org/officeDocument/2006/relationships/hyperlink" Target="http://www.imdb.com/title/tt0276751/?ref_=fn_tt_tt_1" TargetMode="External"/><Relationship Id="rId1794" Type="http://schemas.openxmlformats.org/officeDocument/2006/relationships/hyperlink" Target="http://www.imdb.com/title/tt1710396/?ref_=fn_tt_tt_1" TargetMode="External"/><Relationship Id="rId1793" Type="http://schemas.openxmlformats.org/officeDocument/2006/relationships/hyperlink" Target="http://www.imdb.com/title/tt1018785/?ref_=fn_tt_tt_1" TargetMode="External"/><Relationship Id="rId1792" Type="http://schemas.openxmlformats.org/officeDocument/2006/relationships/hyperlink" Target="http://www.imdb.com/title/tt0080455/?ref_=fn_tt_tt_1" TargetMode="External"/><Relationship Id="rId1791" Type="http://schemas.openxmlformats.org/officeDocument/2006/relationships/hyperlink" Target="http://www.imdb.com/title/tt0119468/?ref_=fn_tt_tt_1" TargetMode="External"/><Relationship Id="rId1790" Type="http://schemas.openxmlformats.org/officeDocument/2006/relationships/hyperlink" Target="http://www.imdb.com/title/tt0279778/?ref_=fn_tt_tt_1" TargetMode="External"/><Relationship Id="rId179" Type="http://schemas.openxmlformats.org/officeDocument/2006/relationships/hyperlink" Target="http://www.imdb.com/title/tt1663202/?ref_=fn_tt_tt_1" TargetMode="External"/><Relationship Id="rId1789" Type="http://schemas.openxmlformats.org/officeDocument/2006/relationships/hyperlink" Target="http://www.imdb.com/title/tt0102975/?ref_=fn_tt_tt_1" TargetMode="External"/><Relationship Id="rId1788" Type="http://schemas.openxmlformats.org/officeDocument/2006/relationships/hyperlink" Target="http://www.imdb.com/title/tt4422836/?ref_=fn_tt_tt_1" TargetMode="External"/><Relationship Id="rId1787" Type="http://schemas.openxmlformats.org/officeDocument/2006/relationships/hyperlink" Target="http://www.imdb.com/title/tt0804522/?ref_=fn_tt_tt_1" TargetMode="External"/><Relationship Id="rId1786" Type="http://schemas.openxmlformats.org/officeDocument/2006/relationships/hyperlink" Target="http://www.imdb.com/title/tt0465551/?ref_=fn_tt_tt_1" TargetMode="External"/><Relationship Id="rId1785" Type="http://schemas.openxmlformats.org/officeDocument/2006/relationships/hyperlink" Target="http://www.imdb.com/title/tt0087892/?ref_=fn_tt_tt_1" TargetMode="External"/><Relationship Id="rId1784" Type="http://schemas.openxmlformats.org/officeDocument/2006/relationships/hyperlink" Target="http://www.imdb.com/title/tt0494652/?ref_=fn_tt_tt_1" TargetMode="External"/><Relationship Id="rId1783" Type="http://schemas.openxmlformats.org/officeDocument/2006/relationships/hyperlink" Target="http://www.imdb.com/title/tt1078588/?ref_=fn_tt_tt_1" TargetMode="External"/><Relationship Id="rId1782" Type="http://schemas.openxmlformats.org/officeDocument/2006/relationships/hyperlink" Target="http://www.imdb.com/title/tt0478311/?ref_=fn_tt_tt_1" TargetMode="External"/><Relationship Id="rId1781" Type="http://schemas.openxmlformats.org/officeDocument/2006/relationships/hyperlink" Target="http://www.imdb.com/title/tt0086034/?ref_=fn_tt_tt_1" TargetMode="External"/><Relationship Id="rId1780" Type="http://schemas.openxmlformats.org/officeDocument/2006/relationships/hyperlink" Target="http://www.imdb.com/title/tt1430612/?ref_=fn_tt_tt_1" TargetMode="External"/><Relationship Id="rId178" Type="http://schemas.openxmlformats.org/officeDocument/2006/relationships/hyperlink" Target="http://www.imdb.com/title/tt3691740/?ref_=fn_tt_tt_1" TargetMode="External"/><Relationship Id="rId1779" Type="http://schemas.openxmlformats.org/officeDocument/2006/relationships/hyperlink" Target="http://www.imdb.com/title/tt0395119/?ref_=fn_tt_tt_1" TargetMode="External"/><Relationship Id="rId1778" Type="http://schemas.openxmlformats.org/officeDocument/2006/relationships/hyperlink" Target="http://www.imdb.com/title/tt1650554/?ref_=fn_tt_tt_1" TargetMode="External"/><Relationship Id="rId1777" Type="http://schemas.openxmlformats.org/officeDocument/2006/relationships/hyperlink" Target="http://www.imdb.com/title/tt0455538/?ref_=fn_tt_tt_1" TargetMode="External"/><Relationship Id="rId1776" Type="http://schemas.openxmlformats.org/officeDocument/2006/relationships/hyperlink" Target="http://www.imdb.com/title/tt0119485/?ref_=fn_tt_tt_1" TargetMode="External"/><Relationship Id="rId1775" Type="http://schemas.openxmlformats.org/officeDocument/2006/relationships/hyperlink" Target="http://www.imdb.com/title/tt1374989/?ref_=fn_tt_tt_1" TargetMode="External"/><Relationship Id="rId1774" Type="http://schemas.openxmlformats.org/officeDocument/2006/relationships/hyperlink" Target="http://www.imdb.com/title/tt1018765/?ref_=fn_tt_tt_1" TargetMode="External"/><Relationship Id="rId1773" Type="http://schemas.openxmlformats.org/officeDocument/2006/relationships/hyperlink" Target="http://www.imdb.com/title/tt0228333/?ref_=fn_tt_tt_1" TargetMode="External"/><Relationship Id="rId1772" Type="http://schemas.openxmlformats.org/officeDocument/2006/relationships/hyperlink" Target="http://www.imdb.com/title/tt0120133/?ref_=fn_tt_tt_1" TargetMode="External"/><Relationship Id="rId1771" Type="http://schemas.openxmlformats.org/officeDocument/2006/relationships/hyperlink" Target="http://www.imdb.com/title/tt1273678/?ref_=fn_tt_tt_1" TargetMode="External"/><Relationship Id="rId1770" Type="http://schemas.openxmlformats.org/officeDocument/2006/relationships/hyperlink" Target="http://www.imdb.com/title/tt0134618/?ref_=fn_tt_tt_1" TargetMode="External"/><Relationship Id="rId177" Type="http://schemas.openxmlformats.org/officeDocument/2006/relationships/hyperlink" Target="http://www.imdb.com/title/tt0086759/?ref_=fn_tt_tt_1" TargetMode="External"/><Relationship Id="rId1769" Type="http://schemas.openxmlformats.org/officeDocument/2006/relationships/hyperlink" Target="http://www.imdb.com/title/tt0397078/?ref_=fn_tt_tt_1" TargetMode="External"/><Relationship Id="rId1768" Type="http://schemas.openxmlformats.org/officeDocument/2006/relationships/hyperlink" Target="http://www.imdb.com/title/tt0301727/?ref_=fn_tt_tt_1" TargetMode="External"/><Relationship Id="rId1767" Type="http://schemas.openxmlformats.org/officeDocument/2006/relationships/hyperlink" Target="http://www.imdb.com/title/tt0160484/?ref_=fn_tt_tt_1" TargetMode="External"/><Relationship Id="rId1766" Type="http://schemas.openxmlformats.org/officeDocument/2006/relationships/hyperlink" Target="http://www.imdb.com/title/tt0498399/?ref_=fn_tt_tt_1" TargetMode="External"/><Relationship Id="rId1765" Type="http://schemas.openxmlformats.org/officeDocument/2006/relationships/hyperlink" Target="http://www.imdb.com/title/tt2172934/?ref_=fn_tt_tt_1" TargetMode="External"/><Relationship Id="rId1764" Type="http://schemas.openxmlformats.org/officeDocument/2006/relationships/hyperlink" Target="http://www.imdb.com/title/tt0114287/?ref_=fn_tt_tt_1" TargetMode="External"/><Relationship Id="rId1763" Type="http://schemas.openxmlformats.org/officeDocument/2006/relationships/hyperlink" Target="http://www.imdb.com/title/tt0083658/?ref_=fn_tt_tt_1" TargetMode="External"/><Relationship Id="rId1762" Type="http://schemas.openxmlformats.org/officeDocument/2006/relationships/hyperlink" Target="http://www.imdb.com/title/tt0414387/?ref_=fn_tt_tt_1" TargetMode="External"/><Relationship Id="rId1761" Type="http://schemas.openxmlformats.org/officeDocument/2006/relationships/hyperlink" Target="http://www.imdb.com/title/tt1698641/?ref_=fn_tt_tt_1" TargetMode="External"/><Relationship Id="rId1760" Type="http://schemas.openxmlformats.org/officeDocument/2006/relationships/hyperlink" Target="http://www.imdb.com/title/tt0219653/?ref_=fn_tt_tt_1" TargetMode="External"/><Relationship Id="rId176" Type="http://schemas.openxmlformats.org/officeDocument/2006/relationships/hyperlink" Target="http://www.imdb.com/title/tt0800080/?ref_=fn_tt_tt_1" TargetMode="External"/><Relationship Id="rId1759" Type="http://schemas.openxmlformats.org/officeDocument/2006/relationships/hyperlink" Target="http://www.imdb.com/title/tt1622547/?ref_=fn_tt_tt_1" TargetMode="External"/><Relationship Id="rId1758" Type="http://schemas.openxmlformats.org/officeDocument/2006/relationships/hyperlink" Target="http://www.imdb.com/title/tt1250777/?ref_=fn_tt_tt_1" TargetMode="External"/><Relationship Id="rId1757" Type="http://schemas.openxmlformats.org/officeDocument/2006/relationships/hyperlink" Target="http://www.imdb.com/title/tt0481141/?ref_=fn_tt_tt_1" TargetMode="External"/><Relationship Id="rId1756" Type="http://schemas.openxmlformats.org/officeDocument/2006/relationships/hyperlink" Target="http://www.imdb.com/title/tt0107120/?ref_=fn_tt_tt_1" TargetMode="External"/><Relationship Id="rId1755" Type="http://schemas.openxmlformats.org/officeDocument/2006/relationships/hyperlink" Target="http://www.imdb.com/title/tt1702439/?ref_=fn_tt_tt_1" TargetMode="External"/><Relationship Id="rId1754" Type="http://schemas.openxmlformats.org/officeDocument/2006/relationships/hyperlink" Target="http://www.imdb.com/title/tt0196229/?ref_=fn_tt_tt_1" TargetMode="External"/><Relationship Id="rId1753" Type="http://schemas.openxmlformats.org/officeDocument/2006/relationships/hyperlink" Target="http://www.imdb.com/title/tt0111438/?ref_=fn_tt_tt_1" TargetMode="External"/><Relationship Id="rId1752" Type="http://schemas.openxmlformats.org/officeDocument/2006/relationships/hyperlink" Target="http://www.imdb.com/title/tt0240890/?ref_=fn_tt_tt_1" TargetMode="External"/><Relationship Id="rId1751" Type="http://schemas.openxmlformats.org/officeDocument/2006/relationships/hyperlink" Target="http://www.imdb.com/title/tt0082398/?ref_=fn_tt_tt_1" TargetMode="External"/><Relationship Id="rId1750" Type="http://schemas.openxmlformats.org/officeDocument/2006/relationships/hyperlink" Target="http://www.imdb.com/title/tt1204975/?ref_=fn_tt_tt_1" TargetMode="External"/><Relationship Id="rId175" Type="http://schemas.openxmlformats.org/officeDocument/2006/relationships/hyperlink" Target="http://www.imdb.com/title/tt1402488/?ref_=fn_tt_tt_1" TargetMode="External"/><Relationship Id="rId1749" Type="http://schemas.openxmlformats.org/officeDocument/2006/relationships/hyperlink" Target="http://www.imdb.com/title/tt0309698/?ref_=fn_tt_tt_1" TargetMode="External"/><Relationship Id="rId1748" Type="http://schemas.openxmlformats.org/officeDocument/2006/relationships/hyperlink" Target="http://www.imdb.com/title/tt0265666/?ref_=fn_tt_tt_1" TargetMode="External"/><Relationship Id="rId1747" Type="http://schemas.openxmlformats.org/officeDocument/2006/relationships/hyperlink" Target="http://www.imdb.com/title/tt2668134/?ref_=fn_tt_tt_1" TargetMode="External"/><Relationship Id="rId1746" Type="http://schemas.openxmlformats.org/officeDocument/2006/relationships/hyperlink" Target="http://www.imdb.com/title/tt0209475/?ref_=fn_tt_tt_1" TargetMode="External"/><Relationship Id="rId1745" Type="http://schemas.openxmlformats.org/officeDocument/2006/relationships/hyperlink" Target="http://www.imdb.com/title/tt0363547/?ref_=fn_tt_tt_1" TargetMode="External"/><Relationship Id="rId1744" Type="http://schemas.openxmlformats.org/officeDocument/2006/relationships/hyperlink" Target="http://www.imdb.com/title/tt0349825/?ref_=fn_tt_tt_1" TargetMode="External"/><Relationship Id="rId1743" Type="http://schemas.openxmlformats.org/officeDocument/2006/relationships/hyperlink" Target="http://www.imdb.com/title/tt1127896/?ref_=fn_tt_tt_1" TargetMode="External"/><Relationship Id="rId1742" Type="http://schemas.openxmlformats.org/officeDocument/2006/relationships/hyperlink" Target="http://www.imdb.com/title/tt1596363/?ref_=fn_tt_tt_1" TargetMode="External"/><Relationship Id="rId1741" Type="http://schemas.openxmlformats.org/officeDocument/2006/relationships/hyperlink" Target="http://www.imdb.com/title/tt0430922/?ref_=fn_tt_tt_1" TargetMode="External"/><Relationship Id="rId1740" Type="http://schemas.openxmlformats.org/officeDocument/2006/relationships/hyperlink" Target="http://www.imdb.com/title/tt0095016/?ref_=fn_tt_tt_1" TargetMode="External"/><Relationship Id="rId174" Type="http://schemas.openxmlformats.org/officeDocument/2006/relationships/hyperlink" Target="http://www.imdb.com/title/tt1673434/?ref_=fn_tt_tt_1" TargetMode="External"/><Relationship Id="rId1739" Type="http://schemas.openxmlformats.org/officeDocument/2006/relationships/hyperlink" Target="http://www.imdb.com/title/tt0285823/?ref_=fn_tt_tt_1" TargetMode="External"/><Relationship Id="rId1738" Type="http://schemas.openxmlformats.org/officeDocument/2006/relationships/hyperlink" Target="http://www.imdb.com/title/tt4136084/?ref_=fn_tt_tt_1" TargetMode="External"/><Relationship Id="rId1737" Type="http://schemas.openxmlformats.org/officeDocument/2006/relationships/hyperlink" Target="http://www.imdb.com/title/tt0164334/?ref_=fn_tt_tt_1" TargetMode="External"/><Relationship Id="rId1736" Type="http://schemas.openxmlformats.org/officeDocument/2006/relationships/hyperlink" Target="http://www.imdb.com/title/tt0134067/?ref_=fn_tt_tt_1" TargetMode="External"/><Relationship Id="rId1735" Type="http://schemas.openxmlformats.org/officeDocument/2006/relationships/hyperlink" Target="http://www.imdb.com/title/tt0087469/?ref_=fn_tt_tt_1" TargetMode="External"/><Relationship Id="rId1734" Type="http://schemas.openxmlformats.org/officeDocument/2006/relationships/hyperlink" Target="http://www.imdb.com/title/tt1398426/?ref_=fn_tt_tt_1" TargetMode="External"/><Relationship Id="rId1733" Type="http://schemas.openxmlformats.org/officeDocument/2006/relationships/hyperlink" Target="http://www.imdb.com/title/tt0103639/?ref_=fn_tt_tt_1" TargetMode="External"/><Relationship Id="rId1732" Type="http://schemas.openxmlformats.org/officeDocument/2006/relationships/hyperlink" Target="http://www.imdb.com/title/tt0366627/?ref_=fn_tt_tt_1" TargetMode="External"/><Relationship Id="rId1731" Type="http://schemas.openxmlformats.org/officeDocument/2006/relationships/hyperlink" Target="http://www.imdb.com/title/tt0387575/?ref_=fn_tt_tt_1" TargetMode="External"/><Relationship Id="rId1730" Type="http://schemas.openxmlformats.org/officeDocument/2006/relationships/hyperlink" Target="http://www.imdb.com/title/tt0140397/?ref_=fn_tt_tt_1" TargetMode="External"/><Relationship Id="rId173" Type="http://schemas.openxmlformats.org/officeDocument/2006/relationships/hyperlink" Target="http://www.imdb.com/title/tt0311113/?ref_=fn_tt_tt_1" TargetMode="External"/><Relationship Id="rId1729" Type="http://schemas.openxmlformats.org/officeDocument/2006/relationships/hyperlink" Target="http://www.imdb.com/title/tt0092804/?ref_=fn_tt_tt_1" TargetMode="External"/><Relationship Id="rId1728" Type="http://schemas.openxmlformats.org/officeDocument/2006/relationships/hyperlink" Target="http://www.imdb.com/title/tt2702724/?ref_=fn_tt_tt_1" TargetMode="External"/><Relationship Id="rId1727" Type="http://schemas.openxmlformats.org/officeDocument/2006/relationships/hyperlink" Target="http://www.imdb.com/title/tt0261289/?ref_=fn_tt_tt_1" TargetMode="External"/><Relationship Id="rId1726" Type="http://schemas.openxmlformats.org/officeDocument/2006/relationships/hyperlink" Target="http://www.imdb.com/title/tt0270288/?ref_=fn_tt_tt_1" TargetMode="External"/><Relationship Id="rId1725" Type="http://schemas.openxmlformats.org/officeDocument/2006/relationships/hyperlink" Target="http://www.imdb.com/title/tt0870111/?ref_=fn_tt_tt_1" TargetMode="External"/><Relationship Id="rId1724" Type="http://schemas.openxmlformats.org/officeDocument/2006/relationships/hyperlink" Target="http://www.imdb.com/title/tt0118755/?ref_=fn_tt_tt_1" TargetMode="External"/><Relationship Id="rId1723" Type="http://schemas.openxmlformats.org/officeDocument/2006/relationships/hyperlink" Target="http://www.imdb.com/title/tt0171433/?ref_=fn_tt_tt_1" TargetMode="External"/><Relationship Id="rId1722" Type="http://schemas.openxmlformats.org/officeDocument/2006/relationships/hyperlink" Target="http://www.imdb.com/title/tt3148266/?ref_=fn_tt_tt_1" TargetMode="External"/><Relationship Id="rId1721" Type="http://schemas.openxmlformats.org/officeDocument/2006/relationships/hyperlink" Target="http://www.imdb.com/title/tt0358273/?ref_=fn_tt_tt_1" TargetMode="External"/><Relationship Id="rId1720" Type="http://schemas.openxmlformats.org/officeDocument/2006/relationships/hyperlink" Target="http://www.imdb.com/title/tt2848292/?ref_=fn_tt_tt_1" TargetMode="External"/><Relationship Id="rId172" Type="http://schemas.openxmlformats.org/officeDocument/2006/relationships/hyperlink" Target="http://www.imdb.com/title/tt0143145/?ref_=fn_tt_tt_1" TargetMode="External"/><Relationship Id="rId1719" Type="http://schemas.openxmlformats.org/officeDocument/2006/relationships/hyperlink" Target="http://www.imdb.com/title/tt1700841/?ref_=fn_tt_tt_1" TargetMode="External"/><Relationship Id="rId1718" Type="http://schemas.openxmlformats.org/officeDocument/2006/relationships/hyperlink" Target="http://www.imdb.com/title/tt0265651/?ref_=fn_tt_tt_1" TargetMode="External"/><Relationship Id="rId1717" Type="http://schemas.openxmlformats.org/officeDocument/2006/relationships/hyperlink" Target="http://www.imdb.com/title/tt4075322/?ref_=fn_tt_tt_1" TargetMode="External"/><Relationship Id="rId1716" Type="http://schemas.openxmlformats.org/officeDocument/2006/relationships/hyperlink" Target="http://www.imdb.com/title/tt2095649/?ref_=fn_tt_tt_1" TargetMode="External"/><Relationship Id="rId1715" Type="http://schemas.openxmlformats.org/officeDocument/2006/relationships/hyperlink" Target="http://www.imdb.com/title/tt2814362/?ref_=fn_tt_tt_1" TargetMode="External"/><Relationship Id="rId1714" Type="http://schemas.openxmlformats.org/officeDocument/2006/relationships/hyperlink" Target="http://www.imdb.com/title/tt0438859/?ref_=fn_tt_tt_1" TargetMode="External"/><Relationship Id="rId1713" Type="http://schemas.openxmlformats.org/officeDocument/2006/relationships/hyperlink" Target="http://www.imdb.com/title/tt1620449/?ref_=fn_tt_tt_1" TargetMode="External"/><Relationship Id="rId1712" Type="http://schemas.openxmlformats.org/officeDocument/2006/relationships/hyperlink" Target="http://www.imdb.com/title/tt1586752/?ref_=fn_tt_tt_1" TargetMode="External"/><Relationship Id="rId1711" Type="http://schemas.openxmlformats.org/officeDocument/2006/relationships/hyperlink" Target="http://www.imdb.com/title/tt2231253/?ref_=fn_tt_tt_1" TargetMode="External"/><Relationship Id="rId1710" Type="http://schemas.openxmlformats.org/officeDocument/2006/relationships/hyperlink" Target="http://www.imdb.com/title/tt1264904/?ref_=fn_tt_tt_1" TargetMode="External"/><Relationship Id="rId171" Type="http://schemas.openxmlformats.org/officeDocument/2006/relationships/hyperlink" Target="http://www.imdb.com/title/tt0458339/?ref_=fn_tt_tt_1" TargetMode="External"/><Relationship Id="rId1709" Type="http://schemas.openxmlformats.org/officeDocument/2006/relationships/hyperlink" Target="http://www.imdb.com/title/tt1772230/?ref_=fn_tt_tt_1" TargetMode="External"/><Relationship Id="rId1708" Type="http://schemas.openxmlformats.org/officeDocument/2006/relationships/hyperlink" Target="http://www.imdb.com/title/tt0443680/?ref_=fn_tt_tt_1" TargetMode="External"/><Relationship Id="rId1707" Type="http://schemas.openxmlformats.org/officeDocument/2006/relationships/hyperlink" Target="http://www.imdb.com/title/tt0398913/?ref_=fn_tt_tt_1" TargetMode="External"/><Relationship Id="rId1706" Type="http://schemas.openxmlformats.org/officeDocument/2006/relationships/hyperlink" Target="http://www.imdb.com/title/tt0417976/?ref_=fn_tt_tt_1" TargetMode="External"/><Relationship Id="rId1705" Type="http://schemas.openxmlformats.org/officeDocument/2006/relationships/hyperlink" Target="http://www.imdb.com/title/tt0482546/?ref_=fn_tt_tt_1" TargetMode="External"/><Relationship Id="rId1704" Type="http://schemas.openxmlformats.org/officeDocument/2006/relationships/hyperlink" Target="http://www.imdb.com/title/tt0403016/?ref_=fn_tt_tt_1" TargetMode="External"/><Relationship Id="rId1703" Type="http://schemas.openxmlformats.org/officeDocument/2006/relationships/hyperlink" Target="http://www.imdb.com/title/tt0281820/?ref_=fn_tt_tt_1" TargetMode="External"/><Relationship Id="rId1702" Type="http://schemas.openxmlformats.org/officeDocument/2006/relationships/hyperlink" Target="http://www.imdb.com/title/tt0379889/?ref_=fn_tt_tt_1" TargetMode="External"/><Relationship Id="rId1701" Type="http://schemas.openxmlformats.org/officeDocument/2006/relationships/hyperlink" Target="http://www.imdb.com/title/tt2101341/?ref_=fn_tt_tt_1" TargetMode="External"/><Relationship Id="rId1700" Type="http://schemas.openxmlformats.org/officeDocument/2006/relationships/hyperlink" Target="http://www.imdb.com/title/tt0087843/?ref_=fn_tt_tt_1" TargetMode="External"/><Relationship Id="rId170" Type="http://schemas.openxmlformats.org/officeDocument/2006/relationships/hyperlink" Target="http://www.imdb.com/title/tt0173840/?ref_=fn_tt_tt_1" TargetMode="External"/><Relationship Id="rId17" Type="http://schemas.openxmlformats.org/officeDocument/2006/relationships/hyperlink" Target="http://www.imdb.com/title/tt0499448/?ref_=fn_tt_tt_1" TargetMode="External"/><Relationship Id="rId1699" Type="http://schemas.openxmlformats.org/officeDocument/2006/relationships/hyperlink" Target="http://www.imdb.com/title/tt0097441/?ref_=fn_tt_tt_1" TargetMode="External"/><Relationship Id="rId1698" Type="http://schemas.openxmlformats.org/officeDocument/2006/relationships/hyperlink" Target="http://www.imdb.com/title/tt0218817/?ref_=fn_tt_tt_1" TargetMode="External"/><Relationship Id="rId1697" Type="http://schemas.openxmlformats.org/officeDocument/2006/relationships/hyperlink" Target="http://www.imdb.com/title/tt2364841/?ref_=fn_tt_tt_1" TargetMode="External"/><Relationship Id="rId1696" Type="http://schemas.openxmlformats.org/officeDocument/2006/relationships/hyperlink" Target="http://www.imdb.com/title/tt3561180/?ref_=fn_tt_tt_1" TargetMode="External"/><Relationship Id="rId1695" Type="http://schemas.openxmlformats.org/officeDocument/2006/relationships/hyperlink" Target="http://www.imdb.com/title/tt1423894/?ref_=fn_tt_tt_1" TargetMode="External"/><Relationship Id="rId1694" Type="http://schemas.openxmlformats.org/officeDocument/2006/relationships/hyperlink" Target="http://www.imdb.com/title/tt1054606/?ref_=fn_tt_tt_1" TargetMode="External"/><Relationship Id="rId1693" Type="http://schemas.openxmlformats.org/officeDocument/2006/relationships/hyperlink" Target="http://www.imdb.com/title/tt0350261/?ref_=fn_tt_tt_1" TargetMode="External"/><Relationship Id="rId1692" Type="http://schemas.openxmlformats.org/officeDocument/2006/relationships/hyperlink" Target="http://www.imdb.com/title/tt0844993/?ref_=fn_tt_tt_1" TargetMode="External"/><Relationship Id="rId1691" Type="http://schemas.openxmlformats.org/officeDocument/2006/relationships/hyperlink" Target="http://www.imdb.com/title/tt0360139/?ref_=fn_tt_tt_1" TargetMode="External"/><Relationship Id="rId1690" Type="http://schemas.openxmlformats.org/officeDocument/2006/relationships/hyperlink" Target="http://www.imdb.com/title/tt0335121/?ref_=fn_tt_tt_1" TargetMode="External"/><Relationship Id="rId169" Type="http://schemas.openxmlformats.org/officeDocument/2006/relationships/hyperlink" Target="http://www.imdb.com/title/tt0318649/?ref_=fn_tt_tt_1" TargetMode="External"/><Relationship Id="rId1689" Type="http://schemas.openxmlformats.org/officeDocument/2006/relationships/hyperlink" Target="http://www.imdb.com/title/tt1549920/?ref_=fn_tt_tt_1" TargetMode="External"/><Relationship Id="rId1688" Type="http://schemas.openxmlformats.org/officeDocument/2006/relationships/hyperlink" Target="http://www.imdb.com/title/tt1098327/?ref_=fn_tt_tt_1" TargetMode="External"/><Relationship Id="rId1687" Type="http://schemas.openxmlformats.org/officeDocument/2006/relationships/hyperlink" Target="http://www.imdb.com/title/tt0120710/?ref_=fn_tt_tt_1" TargetMode="External"/><Relationship Id="rId1686" Type="http://schemas.openxmlformats.org/officeDocument/2006/relationships/hyperlink" Target="http://www.imdb.com/title/tt0131646/?ref_=fn_tt_tt_1" TargetMode="External"/><Relationship Id="rId1685" Type="http://schemas.openxmlformats.org/officeDocument/2006/relationships/hyperlink" Target="http://www.imdb.com/title/tt0402399/?ref_=fn_tt_tt_1" TargetMode="External"/><Relationship Id="rId1684" Type="http://schemas.openxmlformats.org/officeDocument/2006/relationships/hyperlink" Target="http://www.imdb.com/title/tt1438176/?ref_=fn_tt_tt_1" TargetMode="External"/><Relationship Id="rId1683" Type="http://schemas.openxmlformats.org/officeDocument/2006/relationships/hyperlink" Target="http://www.imdb.com/title/tt0324554/?ref_=fn_tt_tt_1" TargetMode="External"/><Relationship Id="rId1682" Type="http://schemas.openxmlformats.org/officeDocument/2006/relationships/hyperlink" Target="http://www.imdb.com/title/tt0318283/?ref_=fn_tt_tt_1" TargetMode="External"/><Relationship Id="rId1681" Type="http://schemas.openxmlformats.org/officeDocument/2006/relationships/hyperlink" Target="http://www.imdb.com/title/tt0402901/?ref_=fn_tt_tt_1" TargetMode="External"/><Relationship Id="rId1680" Type="http://schemas.openxmlformats.org/officeDocument/2006/relationships/hyperlink" Target="http://www.imdb.com/title/tt0482572/?ref_=fn_tt_tt_1" TargetMode="External"/><Relationship Id="rId168" Type="http://schemas.openxmlformats.org/officeDocument/2006/relationships/hyperlink" Target="http://www.imdb.com/title/tt1583421/?ref_=fn_tt_tt_1" TargetMode="External"/><Relationship Id="rId1679" Type="http://schemas.openxmlformats.org/officeDocument/2006/relationships/hyperlink" Target="http://www.imdb.com/title/tt0091225/?ref_=fn_tt_tt_1" TargetMode="External"/><Relationship Id="rId1678" Type="http://schemas.openxmlformats.org/officeDocument/2006/relationships/hyperlink" Target="http://www.imdb.com/title/tt1017460/?ref_=fn_tt_tt_1" TargetMode="External"/><Relationship Id="rId1677" Type="http://schemas.openxmlformats.org/officeDocument/2006/relationships/hyperlink" Target="http://www.imdb.com/title/tt0327247/?ref_=fn_tt_tt_1" TargetMode="External"/><Relationship Id="rId1676" Type="http://schemas.openxmlformats.org/officeDocument/2006/relationships/hyperlink" Target="http://www.imdb.com/title/tt0395972/?ref_=fn_tt_tt_1" TargetMode="External"/><Relationship Id="rId1675" Type="http://schemas.openxmlformats.org/officeDocument/2006/relationships/hyperlink" Target="http://www.imdb.com/title/tt0411061/?ref_=fn_tt_tt_1" TargetMode="External"/><Relationship Id="rId1674" Type="http://schemas.openxmlformats.org/officeDocument/2006/relationships/hyperlink" Target="http://www.imdb.com/title/tt0758752/?ref_=fn_tt_tt_1" TargetMode="External"/><Relationship Id="rId1673" Type="http://schemas.openxmlformats.org/officeDocument/2006/relationships/hyperlink" Target="http://www.imdb.com/title/tt0271367/?ref_=fn_tt_tt_1" TargetMode="External"/><Relationship Id="rId1672" Type="http://schemas.openxmlformats.org/officeDocument/2006/relationships/hyperlink" Target="http://www.imdb.com/title/tt0116320/?ref_=fn_tt_tt_1" TargetMode="External"/><Relationship Id="rId1671" Type="http://schemas.openxmlformats.org/officeDocument/2006/relationships/hyperlink" Target="http://www.imdb.com/title/tt0120008/?ref_=fn_tt_tt_1" TargetMode="External"/><Relationship Id="rId1670" Type="http://schemas.openxmlformats.org/officeDocument/2006/relationships/hyperlink" Target="http://www.imdb.com/title/tt0398712/?ref_=fn_tt_tt_1" TargetMode="External"/><Relationship Id="rId167" Type="http://schemas.openxmlformats.org/officeDocument/2006/relationships/hyperlink" Target="http://www.imdb.com/title/tt0286716/?ref_=fn_tt_tt_1" TargetMode="External"/><Relationship Id="rId1669" Type="http://schemas.openxmlformats.org/officeDocument/2006/relationships/hyperlink" Target="http://www.imdb.com/title/tt0370032/?ref_=fn_tt_tt_1" TargetMode="External"/><Relationship Id="rId1668" Type="http://schemas.openxmlformats.org/officeDocument/2006/relationships/hyperlink" Target="http://www.imdb.com/title/tt1458175/?ref_=fn_tt_tt_1" TargetMode="External"/><Relationship Id="rId1667" Type="http://schemas.openxmlformats.org/officeDocument/2006/relationships/hyperlink" Target="http://www.imdb.com/title/tt0339412/?ref_=fn_tt_tt_1" TargetMode="External"/><Relationship Id="rId1666" Type="http://schemas.openxmlformats.org/officeDocument/2006/relationships/hyperlink" Target="http://www.imdb.com/title/tt1195478/?ref_=fn_tt_tt_1" TargetMode="External"/><Relationship Id="rId1665" Type="http://schemas.openxmlformats.org/officeDocument/2006/relationships/hyperlink" Target="http://www.imdb.com/title/tt0361841/?ref_=fn_tt_tt_1" TargetMode="External"/><Relationship Id="rId1664" Type="http://schemas.openxmlformats.org/officeDocument/2006/relationships/hyperlink" Target="http://www.imdb.com/title/tt0881320/?ref_=fn_tt_tt_1" TargetMode="External"/><Relationship Id="rId1663" Type="http://schemas.openxmlformats.org/officeDocument/2006/relationships/hyperlink" Target="http://www.imdb.com/title/tt2377322/?ref_=fn_tt_tt_1" TargetMode="External"/><Relationship Id="rId1662" Type="http://schemas.openxmlformats.org/officeDocument/2006/relationships/hyperlink" Target="http://www.imdb.com/title/tt0465624/?ref_=fn_tt_tt_1" TargetMode="External"/><Relationship Id="rId1661" Type="http://schemas.openxmlformats.org/officeDocument/2006/relationships/hyperlink" Target="http://www.imdb.com/title/tt0114857/?ref_=fn_tt_tt_1" TargetMode="External"/><Relationship Id="rId1660" Type="http://schemas.openxmlformats.org/officeDocument/2006/relationships/hyperlink" Target="http://www.imdb.com/title/tt0120776/?ref_=fn_tt_tt_1" TargetMode="External"/><Relationship Id="rId166" Type="http://schemas.openxmlformats.org/officeDocument/2006/relationships/hyperlink" Target="http://www.imdb.com/title/tt0122151/?ref_=fn_tt_tt_1" TargetMode="External"/><Relationship Id="rId1659" Type="http://schemas.openxmlformats.org/officeDocument/2006/relationships/hyperlink" Target="http://www.imdb.com/title/tt2473602/?ref_=fn_tt_tt_1" TargetMode="External"/><Relationship Id="rId1658" Type="http://schemas.openxmlformats.org/officeDocument/2006/relationships/hyperlink" Target="http://www.imdb.com/title/tt0118798/?ref_=fn_tt_tt_1" TargetMode="External"/><Relationship Id="rId1657" Type="http://schemas.openxmlformats.org/officeDocument/2006/relationships/hyperlink" Target="http://www.imdb.com/title/tt0329028/?ref_=fn_tt_tt_1" TargetMode="External"/><Relationship Id="rId1656" Type="http://schemas.openxmlformats.org/officeDocument/2006/relationships/hyperlink" Target="http://www.imdb.com/title/tt1449283/?ref_=fn_tt_tt_1" TargetMode="External"/><Relationship Id="rId1655" Type="http://schemas.openxmlformats.org/officeDocument/2006/relationships/hyperlink" Target="http://www.imdb.com/title/tt0337697/?ref_=fn_tt_tt_1" TargetMode="External"/><Relationship Id="rId1654" Type="http://schemas.openxmlformats.org/officeDocument/2006/relationships/hyperlink" Target="http://www.imdb.com/title/tt2053463/?ref_=fn_tt_tt_1" TargetMode="External"/><Relationship Id="rId1653" Type="http://schemas.openxmlformats.org/officeDocument/2006/relationships/hyperlink" Target="http://www.imdb.com/title/tt0472033/?ref_=fn_tt_tt_1" TargetMode="External"/><Relationship Id="rId1652" Type="http://schemas.openxmlformats.org/officeDocument/2006/relationships/hyperlink" Target="http://www.imdb.com/title/tt0161083/?ref_=fn_tt_tt_1" TargetMode="External"/><Relationship Id="rId1651" Type="http://schemas.openxmlformats.org/officeDocument/2006/relationships/hyperlink" Target="http://www.imdb.com/title/tt0421206/?ref_=fn_tt_tt_1" TargetMode="External"/><Relationship Id="rId1650" Type="http://schemas.openxmlformats.org/officeDocument/2006/relationships/hyperlink" Target="http://www.imdb.com/title/tt0387199/?ref_=fn_tt_tt_1" TargetMode="External"/><Relationship Id="rId165" Type="http://schemas.openxmlformats.org/officeDocument/2006/relationships/hyperlink" Target="http://www.imdb.com/title/tt0409459/?ref_=fn_tt_tt_1" TargetMode="External"/><Relationship Id="rId1649" Type="http://schemas.openxmlformats.org/officeDocument/2006/relationships/hyperlink" Target="http://www.imdb.com/title/tt0446046/?ref_=fn_tt_tt_1" TargetMode="External"/><Relationship Id="rId1648" Type="http://schemas.openxmlformats.org/officeDocument/2006/relationships/hyperlink" Target="http://www.imdb.com/title/tt1939659/?ref_=fn_tt_tt_1" TargetMode="External"/><Relationship Id="rId1647" Type="http://schemas.openxmlformats.org/officeDocument/2006/relationships/hyperlink" Target="http://www.imdb.com/title/tt1583420/?ref_=fn_tt_tt_1" TargetMode="External"/><Relationship Id="rId1646" Type="http://schemas.openxmlformats.org/officeDocument/2006/relationships/hyperlink" Target="http://www.imdb.com/title/tt0119707/?ref_=fn_tt_tt_1" TargetMode="External"/><Relationship Id="rId1645" Type="http://schemas.openxmlformats.org/officeDocument/2006/relationships/hyperlink" Target="http://www.imdb.com/title/tt4428038/?ref_=fn_tt_tt_1" TargetMode="External"/><Relationship Id="rId1644" Type="http://schemas.openxmlformats.org/officeDocument/2006/relationships/hyperlink" Target="http://www.imdb.com/title/tt0993842/?ref_=fn_tt_tt_1" TargetMode="External"/><Relationship Id="rId1643" Type="http://schemas.openxmlformats.org/officeDocument/2006/relationships/hyperlink" Target="http://www.imdb.com/title/tt0091419/?ref_=fn_tt_tt_1" TargetMode="External"/><Relationship Id="rId1642" Type="http://schemas.openxmlformats.org/officeDocument/2006/relationships/hyperlink" Target="http://www.imdb.com/title/tt0093894/?ref_=fn_tt_tt_1" TargetMode="External"/><Relationship Id="rId1641" Type="http://schemas.openxmlformats.org/officeDocument/2006/relationships/hyperlink" Target="http://www.imdb.com/title/tt0095631/?ref_=fn_tt_tt_1" TargetMode="External"/><Relationship Id="rId1640" Type="http://schemas.openxmlformats.org/officeDocument/2006/relationships/hyperlink" Target="http://www.imdb.com/title/tt1073498/?ref_=fn_tt_tt_1" TargetMode="External"/><Relationship Id="rId164" Type="http://schemas.openxmlformats.org/officeDocument/2006/relationships/hyperlink" Target="http://www.imdb.com/title/tt0382992/?ref_=fn_tt_tt_1" TargetMode="External"/><Relationship Id="rId1639" Type="http://schemas.openxmlformats.org/officeDocument/2006/relationships/hyperlink" Target="http://www.imdb.com/title/tt1259521/?ref_=fn_tt_tt_1" TargetMode="External"/><Relationship Id="rId1638" Type="http://schemas.openxmlformats.org/officeDocument/2006/relationships/hyperlink" Target="http://www.imdb.com/title/tt0389722/?ref_=fn_tt_tt_1" TargetMode="External"/><Relationship Id="rId1637" Type="http://schemas.openxmlformats.org/officeDocument/2006/relationships/hyperlink" Target="http://www.imdb.com/title/tt0420223/?ref_=fn_tt_tt_1" TargetMode="External"/><Relationship Id="rId1636" Type="http://schemas.openxmlformats.org/officeDocument/2006/relationships/hyperlink" Target="http://www.imdb.com/title/tt0300532/?ref_=fn_tt_tt_1" TargetMode="External"/><Relationship Id="rId1635" Type="http://schemas.openxmlformats.org/officeDocument/2006/relationships/hyperlink" Target="http://www.imdb.com/title/tt1193631/?ref_=fn_tt_tt_1" TargetMode="External"/><Relationship Id="rId1634" Type="http://schemas.openxmlformats.org/officeDocument/2006/relationships/hyperlink" Target="http://www.imdb.com/title/tt0327137/?ref_=fn_tt_tt_1" TargetMode="External"/><Relationship Id="rId1633" Type="http://schemas.openxmlformats.org/officeDocument/2006/relationships/hyperlink" Target="http://www.imdb.com/title/tt1655441/?ref_=fn_tt_tt_1" TargetMode="External"/><Relationship Id="rId1632" Type="http://schemas.openxmlformats.org/officeDocument/2006/relationships/hyperlink" Target="http://www.imdb.com/title/tt1127180/?ref_=fn_tt_tt_1" TargetMode="External"/><Relationship Id="rId1631" Type="http://schemas.openxmlformats.org/officeDocument/2006/relationships/hyperlink" Target="http://www.imdb.com/title/tt1798684/?ref_=fn_tt_tt_1" TargetMode="External"/><Relationship Id="rId1630" Type="http://schemas.openxmlformats.org/officeDocument/2006/relationships/hyperlink" Target="http://www.imdb.com/title/tt3397884/?ref_=fn_tt_tt_1" TargetMode="External"/><Relationship Id="rId163" Type="http://schemas.openxmlformats.org/officeDocument/2006/relationships/hyperlink" Target="http://www.imdb.com/title/tt2404233/?ref_=fn_tt_tt_1" TargetMode="External"/><Relationship Id="rId1629" Type="http://schemas.openxmlformats.org/officeDocument/2006/relationships/hyperlink" Target="http://www.imdb.com/title/tt0385726/?ref_=fn_tt_tt_1" TargetMode="External"/><Relationship Id="rId1628" Type="http://schemas.openxmlformats.org/officeDocument/2006/relationships/hyperlink" Target="http://www.imdb.com/title/tt0121164/?ref_=fn_tt_tt_1" TargetMode="External"/><Relationship Id="rId1627" Type="http://schemas.openxmlformats.org/officeDocument/2006/relationships/hyperlink" Target="http://www.imdb.com/title/tt0383010/?ref_=fn_tt_tt_1" TargetMode="External"/><Relationship Id="rId1626" Type="http://schemas.openxmlformats.org/officeDocument/2006/relationships/hyperlink" Target="http://www.imdb.com/title/tt0096933/?ref_=fn_tt_tt_1" TargetMode="External"/><Relationship Id="rId1625" Type="http://schemas.openxmlformats.org/officeDocument/2006/relationships/hyperlink" Target="http://www.imdb.com/title/tt0892318/?ref_=fn_tt_tt_1" TargetMode="External"/><Relationship Id="rId1624" Type="http://schemas.openxmlformats.org/officeDocument/2006/relationships/hyperlink" Target="http://www.imdb.com/title/tt0783233/?ref_=fn_tt_tt_1" TargetMode="External"/><Relationship Id="rId1623" Type="http://schemas.openxmlformats.org/officeDocument/2006/relationships/hyperlink" Target="http://www.imdb.com/title/tt0376105/?ref_=fn_tt_tt_1" TargetMode="External"/><Relationship Id="rId1622" Type="http://schemas.openxmlformats.org/officeDocument/2006/relationships/hyperlink" Target="http://www.imdb.com/title/tt0431308/?ref_=fn_tt_tt_1" TargetMode="External"/><Relationship Id="rId1621" Type="http://schemas.openxmlformats.org/officeDocument/2006/relationships/hyperlink" Target="http://www.imdb.com/title/tt0312004/?ref_=fn_tt_tt_1" TargetMode="External"/><Relationship Id="rId1620" Type="http://schemas.openxmlformats.org/officeDocument/2006/relationships/hyperlink" Target="http://www.imdb.com/title/tt0090264/?ref_=fn_tt_tt_1" TargetMode="External"/><Relationship Id="rId162" Type="http://schemas.openxmlformats.org/officeDocument/2006/relationships/hyperlink" Target="http://www.imdb.com/title/tt1646971/?ref_=fn_tt_tt_1" TargetMode="External"/><Relationship Id="rId1619" Type="http://schemas.openxmlformats.org/officeDocument/2006/relationships/hyperlink" Target="http://www.imdb.com/title/tt0110622/?ref_=fn_tt_tt_1" TargetMode="External"/><Relationship Id="rId1618" Type="http://schemas.openxmlformats.org/officeDocument/2006/relationships/hyperlink" Target="http://www.imdb.com/title/tt0308506/?ref_=fn_tt_tt_1" TargetMode="External"/><Relationship Id="rId1617" Type="http://schemas.openxmlformats.org/officeDocument/2006/relationships/hyperlink" Target="http://www.imdb.com/title/tt0098382/?ref_=fn_tt_tt_1" TargetMode="External"/><Relationship Id="rId1616" Type="http://schemas.openxmlformats.org/officeDocument/2006/relationships/hyperlink" Target="http://www.imdb.com/title/tt0139462/?ref_=fn_tt_tt_1" TargetMode="External"/><Relationship Id="rId1615" Type="http://schemas.openxmlformats.org/officeDocument/2006/relationships/hyperlink" Target="http://www.imdb.com/title/tt0221027/?ref_=fn_tt_tt_1" TargetMode="External"/><Relationship Id="rId1614" Type="http://schemas.openxmlformats.org/officeDocument/2006/relationships/hyperlink" Target="http://www.imdb.com/title/tt1821658/?ref_=fn_tt_tt_1" TargetMode="External"/><Relationship Id="rId1613" Type="http://schemas.openxmlformats.org/officeDocument/2006/relationships/hyperlink" Target="http://www.imdb.com/title/tt1605783/?ref_=fn_tt_tt_1" TargetMode="External"/><Relationship Id="rId1612" Type="http://schemas.openxmlformats.org/officeDocument/2006/relationships/hyperlink" Target="http://www.imdb.com/title/tt0337563/?ref_=fn_tt_tt_1" TargetMode="External"/><Relationship Id="rId1611" Type="http://schemas.openxmlformats.org/officeDocument/2006/relationships/hyperlink" Target="http://www.imdb.com/title/tt0364751/?ref_=fn_tt_tt_1" TargetMode="External"/><Relationship Id="rId1610" Type="http://schemas.openxmlformats.org/officeDocument/2006/relationships/hyperlink" Target="http://www.imdb.com/title/tt0901476/?ref_=fn_tt_tt_1" TargetMode="External"/><Relationship Id="rId161" Type="http://schemas.openxmlformats.org/officeDocument/2006/relationships/hyperlink" Target="http://www.imdb.com/title/tt0145487/?ref_=fn_tt_tt_1" TargetMode="External"/><Relationship Id="rId1609" Type="http://schemas.openxmlformats.org/officeDocument/2006/relationships/hyperlink" Target="http://www.imdb.com/title/tt0119313/?ref_=fn_tt_tt_1" TargetMode="External"/><Relationship Id="rId1608" Type="http://schemas.openxmlformats.org/officeDocument/2006/relationships/hyperlink" Target="http://www.imdb.com/title/tt0871426/?ref_=fn_tt_tt_1" TargetMode="External"/><Relationship Id="rId1607" Type="http://schemas.openxmlformats.org/officeDocument/2006/relationships/hyperlink" Target="http://www.imdb.com/title/tt0430105/?ref_=fn_tt_tt_1" TargetMode="External"/><Relationship Id="rId1606" Type="http://schemas.openxmlformats.org/officeDocument/2006/relationships/hyperlink" Target="http://www.imdb.com/title/tt0758745/?ref_=fn_tt_tt_1" TargetMode="External"/><Relationship Id="rId1605" Type="http://schemas.openxmlformats.org/officeDocument/2006/relationships/hyperlink" Target="http://www.imdb.com/title/tt0800039/?ref_=fn_tt_tt_1" TargetMode="External"/><Relationship Id="rId1604" Type="http://schemas.openxmlformats.org/officeDocument/2006/relationships/hyperlink" Target="http://www.imdb.com/title/tt1535438/?ref_=fn_tt_tt_1" TargetMode="External"/><Relationship Id="rId1603" Type="http://schemas.openxmlformats.org/officeDocument/2006/relationships/hyperlink" Target="http://www.imdb.com/title/tt0112431/?ref_=fn_tt_tt_1" TargetMode="External"/><Relationship Id="rId1602" Type="http://schemas.openxmlformats.org/officeDocument/2006/relationships/hyperlink" Target="http://www.imdb.com/title/tt0231775/?ref_=fn_tt_tt_1" TargetMode="External"/><Relationship Id="rId1601" Type="http://schemas.openxmlformats.org/officeDocument/2006/relationships/hyperlink" Target="http://www.imdb.com/title/tt1276104/?ref_=fn_tt_tt_1" TargetMode="External"/><Relationship Id="rId1600" Type="http://schemas.openxmlformats.org/officeDocument/2006/relationships/hyperlink" Target="http://www.imdb.com/title/tt1588173/?ref_=fn_tt_tt_1" TargetMode="External"/><Relationship Id="rId160" Type="http://schemas.openxmlformats.org/officeDocument/2006/relationships/hyperlink" Target="http://www.imdb.com/title/tt0796366/?ref_=fn_tt_tt_1" TargetMode="External"/><Relationship Id="rId16" Type="http://schemas.openxmlformats.org/officeDocument/2006/relationships/hyperlink" Target="http://www.imdb.com/title/tt0770828/?ref_=fn_tt_tt_1" TargetMode="External"/><Relationship Id="rId1599" Type="http://schemas.openxmlformats.org/officeDocument/2006/relationships/hyperlink" Target="http://www.imdb.com/title/tt0257360/?ref_=fn_tt_tt_1" TargetMode="External"/><Relationship Id="rId1598" Type="http://schemas.openxmlformats.org/officeDocument/2006/relationships/hyperlink" Target="http://www.imdb.com/title/tt1193138/?ref_=fn_tt_tt_1" TargetMode="External"/><Relationship Id="rId1597" Type="http://schemas.openxmlformats.org/officeDocument/2006/relationships/hyperlink" Target="http://www.imdb.com/title/tt0110322/?ref_=fn_tt_tt_1" TargetMode="External"/><Relationship Id="rId1596" Type="http://schemas.openxmlformats.org/officeDocument/2006/relationships/hyperlink" Target="http://www.imdb.com/title/tt0102713/?ref_=fn_tt_tt_1" TargetMode="External"/><Relationship Id="rId1595" Type="http://schemas.openxmlformats.org/officeDocument/2006/relationships/hyperlink" Target="http://www.imdb.com/title/tt0213203/?ref_=fn_tt_tt_1" TargetMode="External"/><Relationship Id="rId1594" Type="http://schemas.openxmlformats.org/officeDocument/2006/relationships/hyperlink" Target="http://www.imdb.com/title/tt1114677/?ref_=fn_tt_tt_1" TargetMode="External"/><Relationship Id="rId1593" Type="http://schemas.openxmlformats.org/officeDocument/2006/relationships/hyperlink" Target="http://www.imdb.com/title/tt0988595/?ref_=fn_tt_tt_1" TargetMode="External"/><Relationship Id="rId1592" Type="http://schemas.openxmlformats.org/officeDocument/2006/relationships/hyperlink" Target="http://www.imdb.com/title/tt0332280/?ref_=fn_tt_tt_1" TargetMode="External"/><Relationship Id="rId1591" Type="http://schemas.openxmlformats.org/officeDocument/2006/relationships/hyperlink" Target="http://www.imdb.com/title/tt0122933/?ref_=fn_tt_tt_1" TargetMode="External"/><Relationship Id="rId1590" Type="http://schemas.openxmlformats.org/officeDocument/2006/relationships/hyperlink" Target="http://www.imdb.com/title/tt0405159/?ref_=fn_tt_tt_1" TargetMode="External"/><Relationship Id="rId159" Type="http://schemas.openxmlformats.org/officeDocument/2006/relationships/hyperlink" Target="http://www.imdb.com/title/tt1528100/?ref_=fn_tt_tt_1" TargetMode="External"/><Relationship Id="rId1589" Type="http://schemas.openxmlformats.org/officeDocument/2006/relationships/hyperlink" Target="http://www.imdb.com/title/tt0327056/?ref_=fn_tt_tt_1" TargetMode="External"/><Relationship Id="rId1588" Type="http://schemas.openxmlformats.org/officeDocument/2006/relationships/hyperlink" Target="http://www.imdb.com/title/tt0345950/?ref_=fn_tt_tt_1" TargetMode="External"/><Relationship Id="rId1587" Type="http://schemas.openxmlformats.org/officeDocument/2006/relationships/hyperlink" Target="http://www.imdb.com/title/tt1136608/?ref_=fn_tt_tt_1" TargetMode="External"/><Relationship Id="rId1586" Type="http://schemas.openxmlformats.org/officeDocument/2006/relationships/hyperlink" Target="http://www.imdb.com/title/tt0114369/?ref_=fn_tt_tt_1" TargetMode="External"/><Relationship Id="rId1585" Type="http://schemas.openxmlformats.org/officeDocument/2006/relationships/hyperlink" Target="http://www.imdb.com/title/tt0116313/?ref_=fn_tt_tt_1" TargetMode="External"/><Relationship Id="rId1584" Type="http://schemas.openxmlformats.org/officeDocument/2006/relationships/hyperlink" Target="http://www.imdb.com/title/tt0247638/?ref_=fn_tt_tt_1" TargetMode="External"/><Relationship Id="rId1583" Type="http://schemas.openxmlformats.org/officeDocument/2006/relationships/hyperlink" Target="http://www.imdb.com/title/tt0112281/?ref_=fn_tt_tt_1" TargetMode="External"/><Relationship Id="rId1582" Type="http://schemas.openxmlformats.org/officeDocument/2006/relationships/hyperlink" Target="http://www.imdb.com/title/tt0101272/?ref_=fn_tt_tt_1" TargetMode="External"/><Relationship Id="rId1581" Type="http://schemas.openxmlformats.org/officeDocument/2006/relationships/hyperlink" Target="http://www.imdb.com/title/tt0364725/?ref_=fn_tt_tt_1" TargetMode="External"/><Relationship Id="rId1580" Type="http://schemas.openxmlformats.org/officeDocument/2006/relationships/hyperlink" Target="http://www.imdb.com/title/tt1327773/?ref_=fn_tt_tt_1" TargetMode="External"/><Relationship Id="rId158" Type="http://schemas.openxmlformats.org/officeDocument/2006/relationships/hyperlink" Target="http://www.imdb.com/title/tt0325710/?ref_=fn_tt_tt_1" TargetMode="External"/><Relationship Id="rId1579" Type="http://schemas.openxmlformats.org/officeDocument/2006/relationships/hyperlink" Target="http://www.imdb.com/title/tt0099810/?ref_=fn_tt_tt_1" TargetMode="External"/><Relationship Id="rId1578" Type="http://schemas.openxmlformats.org/officeDocument/2006/relationships/hyperlink" Target="http://www.imdb.com/title/tt0210945/?ref_=fn_tt_tt_1" TargetMode="External"/><Relationship Id="rId1577" Type="http://schemas.openxmlformats.org/officeDocument/2006/relationships/hyperlink" Target="http://www.imdb.com/title/tt1244659/?ref_=fn_tt_tt_1" TargetMode="External"/><Relationship Id="rId1576" Type="http://schemas.openxmlformats.org/officeDocument/2006/relationships/hyperlink" Target="http://www.imdb.com/title/tt1606389/?ref_=fn_tt_tt_1" TargetMode="External"/><Relationship Id="rId1575" Type="http://schemas.openxmlformats.org/officeDocument/2006/relationships/hyperlink" Target="http://www.imdb.com/title/tt0111257/?ref_=fn_tt_tt_1" TargetMode="External"/><Relationship Id="rId1574" Type="http://schemas.openxmlformats.org/officeDocument/2006/relationships/hyperlink" Target="http://www.imdb.com/title/tt0114709/?ref_=fn_tt_tt_1" TargetMode="External"/><Relationship Id="rId1573" Type="http://schemas.openxmlformats.org/officeDocument/2006/relationships/hyperlink" Target="http://www.imdb.com/title/tt0252866/?ref_=fn_tt_tt_1" TargetMode="External"/><Relationship Id="rId1572" Type="http://schemas.openxmlformats.org/officeDocument/2006/relationships/hyperlink" Target="http://www.imdb.com/title/tt0142342/?ref_=fn_tt_tt_1" TargetMode="External"/><Relationship Id="rId1571" Type="http://schemas.openxmlformats.org/officeDocument/2006/relationships/hyperlink" Target="http://www.imdb.com/title/tt0299658/?ref_=fn_tt_tt_1" TargetMode="External"/><Relationship Id="rId1570" Type="http://schemas.openxmlformats.org/officeDocument/2006/relationships/hyperlink" Target="http://www.imdb.com/title/tt0113161/?ref_=fn_tt_tt_1" TargetMode="External"/><Relationship Id="rId157" Type="http://schemas.openxmlformats.org/officeDocument/2006/relationships/hyperlink" Target="http://www.imdb.com/title/tt0369441/?ref_=fn_tt_tt_1" TargetMode="External"/><Relationship Id="rId1569" Type="http://schemas.openxmlformats.org/officeDocument/2006/relationships/hyperlink" Target="http://www.imdb.com/title/tt1524930/?ref_=fn_tt_tt_1" TargetMode="External"/><Relationship Id="rId1568" Type="http://schemas.openxmlformats.org/officeDocument/2006/relationships/hyperlink" Target="http://www.imdb.com/title/tt0186151/?ref_=fn_tt_tt_1" TargetMode="External"/><Relationship Id="rId1567" Type="http://schemas.openxmlformats.org/officeDocument/2006/relationships/hyperlink" Target="http://www.imdb.com/title/tt0099052/?ref_=fn_tt_tt_1" TargetMode="External"/><Relationship Id="rId1566" Type="http://schemas.openxmlformats.org/officeDocument/2006/relationships/hyperlink" Target="http://www.imdb.com/title/tt0252501/?ref_=fn_tt_tt_1" TargetMode="External"/><Relationship Id="rId1565" Type="http://schemas.openxmlformats.org/officeDocument/2006/relationships/hyperlink" Target="http://www.imdb.com/title/tt2278388/?ref_=fn_tt_tt_1" TargetMode="External"/><Relationship Id="rId1564" Type="http://schemas.openxmlformats.org/officeDocument/2006/relationships/hyperlink" Target="http://www.imdb.com/title/tt0079574/?ref_=fn_tt_tt_1" TargetMode="External"/><Relationship Id="rId1563" Type="http://schemas.openxmlformats.org/officeDocument/2006/relationships/hyperlink" Target="http://www.imdb.com/title/tt1907668/?ref_=fn_tt_tt_1" TargetMode="External"/><Relationship Id="rId1562" Type="http://schemas.openxmlformats.org/officeDocument/2006/relationships/hyperlink" Target="http://www.imdb.com/title/tt0089755/?ref_=fn_tt_tt_1" TargetMode="External"/><Relationship Id="rId1561" Type="http://schemas.openxmlformats.org/officeDocument/2006/relationships/hyperlink" Target="http://www.imdb.com/title/tt3014866/?ref_=fn_tt_tt_1" TargetMode="External"/><Relationship Id="rId1560" Type="http://schemas.openxmlformats.org/officeDocument/2006/relationships/hyperlink" Target="http://www.imdb.com/title/tt0113862/?ref_=fn_tt_tt_1" TargetMode="External"/><Relationship Id="rId156" Type="http://schemas.openxmlformats.org/officeDocument/2006/relationships/hyperlink" Target="http://www.imdb.com/title/tt1446192/?ref_=fn_tt_tt_1" TargetMode="External"/><Relationship Id="rId1559" Type="http://schemas.openxmlformats.org/officeDocument/2006/relationships/hyperlink" Target="http://www.imdb.com/title/tt1322312/?ref_=fn_tt_tt_1" TargetMode="External"/><Relationship Id="rId1558" Type="http://schemas.openxmlformats.org/officeDocument/2006/relationships/hyperlink" Target="http://www.imdb.com/title/tt0078788/?ref_=fn_tt_tt_1" TargetMode="External"/><Relationship Id="rId1557" Type="http://schemas.openxmlformats.org/officeDocument/2006/relationships/hyperlink" Target="http://www.imdb.com/title/tt0306892/?ref_=fn_tt_tt_1" TargetMode="External"/><Relationship Id="rId1556" Type="http://schemas.openxmlformats.org/officeDocument/2006/relationships/hyperlink" Target="http://www.imdb.com/title/tt0452624/?ref_=fn_tt_tt_1" TargetMode="External"/><Relationship Id="rId1555" Type="http://schemas.openxmlformats.org/officeDocument/2006/relationships/hyperlink" Target="http://www.imdb.com/title/tt0150216/?ref_=fn_tt_tt_1" TargetMode="External"/><Relationship Id="rId1554" Type="http://schemas.openxmlformats.org/officeDocument/2006/relationships/hyperlink" Target="http://www.imdb.com/title/tt0118829/?ref_=fn_tt_tt_1" TargetMode="External"/><Relationship Id="rId1553" Type="http://schemas.openxmlformats.org/officeDocument/2006/relationships/hyperlink" Target="http://www.imdb.com/title/tt0790628/?ref_=fn_tt_tt_1" TargetMode="External"/><Relationship Id="rId1552" Type="http://schemas.openxmlformats.org/officeDocument/2006/relationships/hyperlink" Target="http://www.imdb.com/title/tt0115725/?ref_=fn_tt_tt_1" TargetMode="External"/><Relationship Id="rId1551" Type="http://schemas.openxmlformats.org/officeDocument/2006/relationships/hyperlink" Target="http://www.imdb.com/title/tt0372873/?ref_=fn_tt_tt_1" TargetMode="External"/><Relationship Id="rId1550" Type="http://schemas.openxmlformats.org/officeDocument/2006/relationships/hyperlink" Target="http://www.imdb.com/title/tt1053424/?ref_=fn_tt_tt_1" TargetMode="External"/><Relationship Id="rId155" Type="http://schemas.openxmlformats.org/officeDocument/2006/relationships/hyperlink" Target="http://www.imdb.com/title/tt1229238/?ref_=fn_tt_tt_1" TargetMode="External"/><Relationship Id="rId1549" Type="http://schemas.openxmlformats.org/officeDocument/2006/relationships/hyperlink" Target="http://www.imdb.com/title/tt0163988/?ref_=fn_tt_tt_1" TargetMode="External"/><Relationship Id="rId1548" Type="http://schemas.openxmlformats.org/officeDocument/2006/relationships/hyperlink" Target="http://www.imdb.com/title/tt0323033/?ref_=fn_tt_tt_1" TargetMode="External"/><Relationship Id="rId1547" Type="http://schemas.openxmlformats.org/officeDocument/2006/relationships/hyperlink" Target="http://www.imdb.com/title/tt0114214/?ref_=fn_tt_tt_1" TargetMode="External"/><Relationship Id="rId1546" Type="http://schemas.openxmlformats.org/officeDocument/2006/relationships/hyperlink" Target="http://www.imdb.com/title/tt0388482/?ref_=fn_tt_tt_1" TargetMode="External"/><Relationship Id="rId1545" Type="http://schemas.openxmlformats.org/officeDocument/2006/relationships/hyperlink" Target="http://www.imdb.com/title/tt0399146/?ref_=fn_tt_tt_1" TargetMode="External"/><Relationship Id="rId1544" Type="http://schemas.openxmlformats.org/officeDocument/2006/relationships/hyperlink" Target="http://www.imdb.com/title/tt0418647/?ref_=fn_tt_tt_1" TargetMode="External"/><Relationship Id="rId1543" Type="http://schemas.openxmlformats.org/officeDocument/2006/relationships/hyperlink" Target="http://www.imdb.com/title/tt0078723/?ref_=fn_tt_tt_1" TargetMode="External"/><Relationship Id="rId1542" Type="http://schemas.openxmlformats.org/officeDocument/2006/relationships/hyperlink" Target="http://www.imdb.com/title/tt1981107/?ref_=fn_tt_tt_1" TargetMode="External"/><Relationship Id="rId1541" Type="http://schemas.openxmlformats.org/officeDocument/2006/relationships/hyperlink" Target="http://www.imdb.com/title/tt0481369/?ref_=fn_tt_tt_1" TargetMode="External"/><Relationship Id="rId1540" Type="http://schemas.openxmlformats.org/officeDocument/2006/relationships/hyperlink" Target="http://www.imdb.com/title/tt0106246/?ref_=fn_tt_tt_1" TargetMode="External"/><Relationship Id="rId154" Type="http://schemas.openxmlformats.org/officeDocument/2006/relationships/hyperlink" Target="http://www.imdb.com/title/tt2267968/?ref_=fn_tt_tt_1" TargetMode="External"/><Relationship Id="rId1539" Type="http://schemas.openxmlformats.org/officeDocument/2006/relationships/hyperlink" Target="http://www.imdb.com/title/tt0945513/?ref_=fn_tt_tt_1" TargetMode="External"/><Relationship Id="rId1538" Type="http://schemas.openxmlformats.org/officeDocument/2006/relationships/hyperlink" Target="http://www.imdb.com/title/tt1464174/?ref_=fn_tt_tt_1" TargetMode="External"/><Relationship Id="rId1537" Type="http://schemas.openxmlformats.org/officeDocument/2006/relationships/hyperlink" Target="http://www.imdb.com/title/tt1931435/?ref_=fn_tt_tt_1" TargetMode="External"/><Relationship Id="rId1536" Type="http://schemas.openxmlformats.org/officeDocument/2006/relationships/hyperlink" Target="http://www.imdb.com/title/tt1135084/?ref_=fn_tt_tt_1" TargetMode="External"/><Relationship Id="rId1535" Type="http://schemas.openxmlformats.org/officeDocument/2006/relationships/hyperlink" Target="http://www.imdb.com/title/tt0203019/?ref_=fn_tt_tt_1" TargetMode="External"/><Relationship Id="rId1534" Type="http://schemas.openxmlformats.org/officeDocument/2006/relationships/hyperlink" Target="http://www.imdb.com/title/tt0145531/?ref_=fn_tt_tt_1" TargetMode="External"/><Relationship Id="rId1533" Type="http://schemas.openxmlformats.org/officeDocument/2006/relationships/hyperlink" Target="http://www.imdb.com/title/tt1245492/?ref_=fn_tt_tt_1" TargetMode="External"/><Relationship Id="rId1532" Type="http://schemas.openxmlformats.org/officeDocument/2006/relationships/hyperlink" Target="http://www.imdb.com/title/tt1478338/?ref_=fn_tt_tt_1" TargetMode="External"/><Relationship Id="rId1531" Type="http://schemas.openxmlformats.org/officeDocument/2006/relationships/hyperlink" Target="http://www.imdb.com/title/tt0457510/?ref_=fn_tt_tt_1" TargetMode="External"/><Relationship Id="rId1530" Type="http://schemas.openxmlformats.org/officeDocument/2006/relationships/hyperlink" Target="http://www.imdb.com/title/tt0096061/?ref_=fn_tt_tt_1" TargetMode="External"/><Relationship Id="rId153" Type="http://schemas.openxmlformats.org/officeDocument/2006/relationships/hyperlink" Target="http://www.imdb.com/title/tt0442933/?ref_=fn_tt_tt_1" TargetMode="External"/><Relationship Id="rId1529" Type="http://schemas.openxmlformats.org/officeDocument/2006/relationships/hyperlink" Target="http://www.imdb.com/title/tt0281373/?ref_=fn_tt_tt_1" TargetMode="External"/><Relationship Id="rId1528" Type="http://schemas.openxmlformats.org/officeDocument/2006/relationships/hyperlink" Target="http://www.imdb.com/title/tt0117333/?ref_=fn_tt_tt_1" TargetMode="External"/><Relationship Id="rId1527" Type="http://schemas.openxmlformats.org/officeDocument/2006/relationships/hyperlink" Target="http://www.imdb.com/title/tt0319343/?ref_=fn_tt_tt_1" TargetMode="External"/><Relationship Id="rId1526" Type="http://schemas.openxmlformats.org/officeDocument/2006/relationships/hyperlink" Target="http://www.imdb.com/title/tt1655460/?ref_=fn_tt_tt_1" TargetMode="External"/><Relationship Id="rId1525" Type="http://schemas.openxmlformats.org/officeDocument/2006/relationships/hyperlink" Target="http://www.imdb.com/title/tt0976051/?ref_=fn_tt_tt_1" TargetMode="External"/><Relationship Id="rId1524" Type="http://schemas.openxmlformats.org/officeDocument/2006/relationships/hyperlink" Target="http://www.imdb.com/title/tt0483607/?ref_=fn_tt_tt_1" TargetMode="External"/><Relationship Id="rId1523" Type="http://schemas.openxmlformats.org/officeDocument/2006/relationships/hyperlink" Target="http://www.imdb.com/title/tt0086190/?ref_=fn_tt_tt_1" TargetMode="External"/><Relationship Id="rId1522" Type="http://schemas.openxmlformats.org/officeDocument/2006/relationships/hyperlink" Target="http://www.imdb.com/title/tt0120797/?ref_=fn_tt_tt_1" TargetMode="External"/><Relationship Id="rId1521" Type="http://schemas.openxmlformats.org/officeDocument/2006/relationships/hyperlink" Target="http://www.imdb.com/title/tt1656190/?ref_=fn_tt_tt_1" TargetMode="External"/><Relationship Id="rId1520" Type="http://schemas.openxmlformats.org/officeDocument/2006/relationships/hyperlink" Target="http://www.imdb.com/title/tt0380389/?ref_=fn_tt_tt_1" TargetMode="External"/><Relationship Id="rId152" Type="http://schemas.openxmlformats.org/officeDocument/2006/relationships/hyperlink" Target="http://www.imdb.com/title/tt0120912/?ref_=fn_tt_tt_1" TargetMode="External"/><Relationship Id="rId1519" Type="http://schemas.openxmlformats.org/officeDocument/2006/relationships/hyperlink" Target="http://www.imdb.com/title/tt0330793/?ref_=fn_tt_tt_1" TargetMode="External"/><Relationship Id="rId1518" Type="http://schemas.openxmlformats.org/officeDocument/2006/relationships/hyperlink" Target="http://www.imdb.com/title/tt0204626/?ref_=fn_tt_tt_1" TargetMode="External"/><Relationship Id="rId1517" Type="http://schemas.openxmlformats.org/officeDocument/2006/relationships/hyperlink" Target="http://www.imdb.com/title/tt0417148/?ref_=fn_tt_tt_1" TargetMode="External"/><Relationship Id="rId1516" Type="http://schemas.openxmlformats.org/officeDocument/2006/relationships/hyperlink" Target="http://www.imdb.com/title/tt1800741/?ref_=fn_tt_tt_1" TargetMode="External"/><Relationship Id="rId1515" Type="http://schemas.openxmlformats.org/officeDocument/2006/relationships/hyperlink" Target="http://www.imdb.com/title/tt1093357/?ref_=fn_tt_tt_1" TargetMode="External"/><Relationship Id="rId1514" Type="http://schemas.openxmlformats.org/officeDocument/2006/relationships/hyperlink" Target="http://www.imdb.com/title/tt3148834/?ref_=fn_tt_tt_1" TargetMode="External"/><Relationship Id="rId1513" Type="http://schemas.openxmlformats.org/officeDocument/2006/relationships/hyperlink" Target="http://www.imdb.com/title/tt0208003/?ref_=fn_tt_tt_1" TargetMode="External"/><Relationship Id="rId1512" Type="http://schemas.openxmlformats.org/officeDocument/2006/relationships/hyperlink" Target="http://www.imdb.com/title/tt0242445/?ref_=fn_tt_tt_1" TargetMode="External"/><Relationship Id="rId1511" Type="http://schemas.openxmlformats.org/officeDocument/2006/relationships/hyperlink" Target="http://www.imdb.com/title/tt0104257/?ref_=fn_tt_tt_1" TargetMode="External"/><Relationship Id="rId1510" Type="http://schemas.openxmlformats.org/officeDocument/2006/relationships/hyperlink" Target="http://www.imdb.com/title/tt0082979/?ref_=fn_tt_tt_1" TargetMode="External"/><Relationship Id="rId151" Type="http://schemas.openxmlformats.org/officeDocument/2006/relationships/hyperlink" Target="http://www.imdb.com/title/tt0120591/?ref_=fn_tt_tt_1" TargetMode="External"/><Relationship Id="rId1509" Type="http://schemas.openxmlformats.org/officeDocument/2006/relationships/hyperlink" Target="http://www.imdb.com/title/tt2304771/?ref_=fn_tt_tt_1" TargetMode="External"/><Relationship Id="rId1508" Type="http://schemas.openxmlformats.org/officeDocument/2006/relationships/hyperlink" Target="http://www.imdb.com/title/tt1540128/?ref_=fn_tt_tt_1" TargetMode="External"/><Relationship Id="rId1507" Type="http://schemas.openxmlformats.org/officeDocument/2006/relationships/hyperlink" Target="http://www.imdb.com/title/tt0167203/?ref_=fn_tt_tt_1" TargetMode="External"/><Relationship Id="rId1506" Type="http://schemas.openxmlformats.org/officeDocument/2006/relationships/hyperlink" Target="http://www.imdb.com/title/tt0138304/?ref_=fn_tt_tt_1" TargetMode="External"/><Relationship Id="rId1505" Type="http://schemas.openxmlformats.org/officeDocument/2006/relationships/hyperlink" Target="http://www.imdb.com/title/tt2726560/?ref_=fn_tt_tt_1" TargetMode="External"/><Relationship Id="rId1504" Type="http://schemas.openxmlformats.org/officeDocument/2006/relationships/hyperlink" Target="http://www.imdb.com/title/tt0876563/?ref_=fn_tt_tt_1" TargetMode="External"/><Relationship Id="rId1503" Type="http://schemas.openxmlformats.org/officeDocument/2006/relationships/hyperlink" Target="http://www.imdb.com/title/tt1656186/?ref_=fn_tt_tt_1" TargetMode="External"/><Relationship Id="rId1502" Type="http://schemas.openxmlformats.org/officeDocument/2006/relationships/hyperlink" Target="http://www.imdb.com/title/tt0163579/?ref_=fn_tt_tt_1" TargetMode="External"/><Relationship Id="rId1501" Type="http://schemas.openxmlformats.org/officeDocument/2006/relationships/hyperlink" Target="http://www.imdb.com/title/tt0414993/?ref_=fn_tt_tt_1" TargetMode="External"/><Relationship Id="rId1500" Type="http://schemas.openxmlformats.org/officeDocument/2006/relationships/hyperlink" Target="http://www.imdb.com/title/tt0106226/?ref_=fn_tt_tt_1" TargetMode="External"/><Relationship Id="rId150" Type="http://schemas.openxmlformats.org/officeDocument/2006/relationships/hyperlink" Target="http://www.imdb.com/title/tt1289401/?ref_=fn_tt_tt_1" TargetMode="External"/><Relationship Id="rId15" Type="http://schemas.openxmlformats.org/officeDocument/2006/relationships/hyperlink" Target="http://www.imdb.com/title/tt1210819/?ref_=fn_tt_tt_1" TargetMode="External"/><Relationship Id="rId1499" Type="http://schemas.openxmlformats.org/officeDocument/2006/relationships/hyperlink" Target="http://www.imdb.com/title/tt2358925/?ref_=fn_tt_tt_1" TargetMode="External"/><Relationship Id="rId1498" Type="http://schemas.openxmlformats.org/officeDocument/2006/relationships/hyperlink" Target="http://www.imdb.com/title/tt1790864/?ref_=fn_tt_tt_1" TargetMode="External"/><Relationship Id="rId1497" Type="http://schemas.openxmlformats.org/officeDocument/2006/relationships/hyperlink" Target="http://www.imdb.com/title/tt0490087/?ref_=fn_tt_tt_1" TargetMode="External"/><Relationship Id="rId1496" Type="http://schemas.openxmlformats.org/officeDocument/2006/relationships/hyperlink" Target="http://www.imdb.com/title/tt0416496/?ref_=fn_tt_tt_1" TargetMode="External"/><Relationship Id="rId1495" Type="http://schemas.openxmlformats.org/officeDocument/2006/relationships/hyperlink" Target="http://www.imdb.com/title/tt1164999/?ref_=fn_tt_tt_1" TargetMode="External"/><Relationship Id="rId1494" Type="http://schemas.openxmlformats.org/officeDocument/2006/relationships/hyperlink" Target="http://www.imdb.com/title/tt0134154/?ref_=fn_tt_tt_1" TargetMode="External"/><Relationship Id="rId1493" Type="http://schemas.openxmlformats.org/officeDocument/2006/relationships/hyperlink" Target="http://www.imdb.com/title/tt0113362/?ref_=fn_tt_tt_1" TargetMode="External"/><Relationship Id="rId1492" Type="http://schemas.openxmlformats.org/officeDocument/2006/relationships/hyperlink" Target="http://www.imdb.com/title/tt0081059/?ref_=fn_tt_tt_1" TargetMode="External"/><Relationship Id="rId1491" Type="http://schemas.openxmlformats.org/officeDocument/2006/relationships/hyperlink" Target="http://www.imdb.com/title/tt0280665/?ref_=fn_tt_tt_1" TargetMode="External"/><Relationship Id="rId1490" Type="http://schemas.openxmlformats.org/officeDocument/2006/relationships/hyperlink" Target="http://www.imdb.com/title/tt0120152/?ref_=fn_tt_tt_1" TargetMode="External"/><Relationship Id="rId149" Type="http://schemas.openxmlformats.org/officeDocument/2006/relationships/hyperlink" Target="http://www.imdb.com/title/tt0246460/?ref_=fn_tt_tt_1" TargetMode="External"/><Relationship Id="rId1489" Type="http://schemas.openxmlformats.org/officeDocument/2006/relationships/hyperlink" Target="http://www.imdb.com/title/tt0106469/?ref_=fn_tt_tt_1" TargetMode="External"/><Relationship Id="rId1488" Type="http://schemas.openxmlformats.org/officeDocument/2006/relationships/hyperlink" Target="http://www.imdb.com/title/tt0105211/?ref_=fn_tt_tt_1" TargetMode="External"/><Relationship Id="rId1487" Type="http://schemas.openxmlformats.org/officeDocument/2006/relationships/hyperlink" Target="http://www.imdb.com/title/tt1474684/?ref_=fn_tt_tt_1" TargetMode="External"/><Relationship Id="rId1486" Type="http://schemas.openxmlformats.org/officeDocument/2006/relationships/hyperlink" Target="http://www.imdb.com/title/tt0401445/?ref_=fn_tt_tt_1" TargetMode="External"/><Relationship Id="rId1485" Type="http://schemas.openxmlformats.org/officeDocument/2006/relationships/hyperlink" Target="http://www.imdb.com/title/tt0120479/?ref_=fn_tt_tt_1" TargetMode="External"/><Relationship Id="rId1484" Type="http://schemas.openxmlformats.org/officeDocument/2006/relationships/hyperlink" Target="http://www.imdb.com/title/tt3488710/?ref_=fn_tt_tt_1" TargetMode="External"/><Relationship Id="rId1483" Type="http://schemas.openxmlformats.org/officeDocument/2006/relationships/hyperlink" Target="http://www.imdb.com/title/tt0383060/?ref_=fn_tt_tt_1" TargetMode="External"/><Relationship Id="rId1482" Type="http://schemas.openxmlformats.org/officeDocument/2006/relationships/hyperlink" Target="http://www.imdb.com/title/tt0450314/?ref_=fn_tt_tt_1" TargetMode="External"/><Relationship Id="rId1481" Type="http://schemas.openxmlformats.org/officeDocument/2006/relationships/hyperlink" Target="http://www.imdb.com/title/tt0304711/?ref_=fn_tt_tt_1" TargetMode="External"/><Relationship Id="rId1480" Type="http://schemas.openxmlformats.org/officeDocument/2006/relationships/hyperlink" Target="http://www.imdb.com/title/tt1742334/?ref_=fn_tt_tt_1" TargetMode="External"/><Relationship Id="rId148" Type="http://schemas.openxmlformats.org/officeDocument/2006/relationships/hyperlink" Target="http://www.imdb.com/title/tt1277953/?ref_=fn_tt_tt_1" TargetMode="External"/><Relationship Id="rId1479" Type="http://schemas.openxmlformats.org/officeDocument/2006/relationships/hyperlink" Target="http://www.imdb.com/title/tt0120724/?ref_=fn_tt_tt_1" TargetMode="External"/><Relationship Id="rId1478" Type="http://schemas.openxmlformats.org/officeDocument/2006/relationships/hyperlink" Target="http://www.imdb.com/title/tt0478304/?ref_=fn_tt_tt_1" TargetMode="External"/><Relationship Id="rId1477" Type="http://schemas.openxmlformats.org/officeDocument/2006/relationships/hyperlink" Target="http://www.imdb.com/title/tt0365929/?ref_=fn_tt_tt_1" TargetMode="External"/><Relationship Id="rId1476" Type="http://schemas.openxmlformats.org/officeDocument/2006/relationships/hyperlink" Target="http://www.imdb.com/title/tt0962736/?ref_=fn_tt_tt_1" TargetMode="External"/><Relationship Id="rId1475" Type="http://schemas.openxmlformats.org/officeDocument/2006/relationships/hyperlink" Target="http://www.imdb.com/title/tt0244000/?ref_=fn_tt_tt_1" TargetMode="External"/><Relationship Id="rId1474" Type="http://schemas.openxmlformats.org/officeDocument/2006/relationships/hyperlink" Target="http://www.imdb.com/title/tt0120824/?ref_=fn_tt_tt_1" TargetMode="External"/><Relationship Id="rId1473" Type="http://schemas.openxmlformats.org/officeDocument/2006/relationships/hyperlink" Target="http://www.imdb.com/title/tt0841046/?ref_=fn_tt_tt_1" TargetMode="External"/><Relationship Id="rId1472" Type="http://schemas.openxmlformats.org/officeDocument/2006/relationships/hyperlink" Target="http://www.imdb.com/title/tt0099587/?ref_=fn_tt_tt_1" TargetMode="External"/><Relationship Id="rId1471" Type="http://schemas.openxmlformats.org/officeDocument/2006/relationships/hyperlink" Target="http://www.imdb.com/title/tt0891527/?ref_=fn_tt_tt_1" TargetMode="External"/><Relationship Id="rId1470" Type="http://schemas.openxmlformats.org/officeDocument/2006/relationships/hyperlink" Target="http://www.imdb.com/title/tt0085811/?ref_=fn_tt_tt_1" TargetMode="External"/><Relationship Id="rId147" Type="http://schemas.openxmlformats.org/officeDocument/2006/relationships/hyperlink" Target="http://www.imdb.com/title/tt0332452/?ref_=fn_tt_tt_1" TargetMode="External"/><Relationship Id="rId1469" Type="http://schemas.openxmlformats.org/officeDocument/2006/relationships/hyperlink" Target="http://www.imdb.com/title/tt1438173/?ref_=fn_tt_tt_1" TargetMode="External"/><Relationship Id="rId1468" Type="http://schemas.openxmlformats.org/officeDocument/2006/relationships/hyperlink" Target="http://www.imdb.com/title/tt0492389/?ref_=fn_tt_tt_1" TargetMode="External"/><Relationship Id="rId1467" Type="http://schemas.openxmlformats.org/officeDocument/2006/relationships/hyperlink" Target="http://www.imdb.com/title/tt0360201/?ref_=fn_tt_tt_1" TargetMode="External"/><Relationship Id="rId1466" Type="http://schemas.openxmlformats.org/officeDocument/2006/relationships/hyperlink" Target="http://www.imdb.com/title/tt1904996/?ref_=fn_tt_tt_1" TargetMode="External"/><Relationship Id="rId1465" Type="http://schemas.openxmlformats.org/officeDocument/2006/relationships/hyperlink" Target="http://www.imdb.com/title/tt0240510/?ref_=fn_tt_tt_1" TargetMode="External"/><Relationship Id="rId1464" Type="http://schemas.openxmlformats.org/officeDocument/2006/relationships/hyperlink" Target="http://www.imdb.com/title/tt2967224/?ref_=fn_tt_tt_1" TargetMode="External"/><Relationship Id="rId1463" Type="http://schemas.openxmlformats.org/officeDocument/2006/relationships/hyperlink" Target="http://www.imdb.com/title/tt1547234/?ref_=fn_tt_tt_1" TargetMode="External"/><Relationship Id="rId1462" Type="http://schemas.openxmlformats.org/officeDocument/2006/relationships/hyperlink" Target="http://www.imdb.com/title/tt0257516/?ref_=fn_tt_tt_1" TargetMode="External"/><Relationship Id="rId1461" Type="http://schemas.openxmlformats.org/officeDocument/2006/relationships/hyperlink" Target="http://www.imdb.com/title/tt1235522/?ref_=fn_tt_tt_1" TargetMode="External"/><Relationship Id="rId1460" Type="http://schemas.openxmlformats.org/officeDocument/2006/relationships/hyperlink" Target="http://www.imdb.com/title/tt0426592/?ref_=fn_tt_tt_1" TargetMode="External"/><Relationship Id="rId146" Type="http://schemas.openxmlformats.org/officeDocument/2006/relationships/hyperlink" Target="http://www.imdb.com/title/tt0864835/?ref_=fn_tt_tt_1" TargetMode="External"/><Relationship Id="rId1459" Type="http://schemas.openxmlformats.org/officeDocument/2006/relationships/hyperlink" Target="http://www.imdb.com/title/tt0185014/?ref_=fn_tt_tt_1" TargetMode="External"/><Relationship Id="rId1458" Type="http://schemas.openxmlformats.org/officeDocument/2006/relationships/hyperlink" Target="http://www.imdb.com/title/tt0361089/?ref_=fn_tt_tt_1" TargetMode="External"/><Relationship Id="rId1457" Type="http://schemas.openxmlformats.org/officeDocument/2006/relationships/hyperlink" Target="http://www.imdb.com/title/tt1600195/?ref_=fn_tt_tt_1" TargetMode="External"/><Relationship Id="rId1456" Type="http://schemas.openxmlformats.org/officeDocument/2006/relationships/hyperlink" Target="http://www.imdb.com/title/tt3322364/?ref_=fn_tt_tt_1" TargetMode="External"/><Relationship Id="rId1455" Type="http://schemas.openxmlformats.org/officeDocument/2006/relationships/hyperlink" Target="http://www.imdb.com/title/tt0327679/?ref_=fn_tt_tt_1" TargetMode="External"/><Relationship Id="rId1454" Type="http://schemas.openxmlformats.org/officeDocument/2006/relationships/hyperlink" Target="http://www.imdb.com/title/tt0443701/?ref_=fn_tt_tt_1" TargetMode="External"/><Relationship Id="rId1453" Type="http://schemas.openxmlformats.org/officeDocument/2006/relationships/hyperlink" Target="http://www.imdb.com/title/tt0104427/?ref_=fn_tt_tt_1" TargetMode="External"/><Relationship Id="rId1452" Type="http://schemas.openxmlformats.org/officeDocument/2006/relationships/hyperlink" Target="http://www.imdb.com/title/tt1415283/?ref_=fn_tt_tt_1" TargetMode="External"/><Relationship Id="rId1451" Type="http://schemas.openxmlformats.org/officeDocument/2006/relationships/hyperlink" Target="http://www.imdb.com/title/tt3276924/?ref_=fn_tt_tt_1" TargetMode="External"/><Relationship Id="rId1450" Type="http://schemas.openxmlformats.org/officeDocument/2006/relationships/hyperlink" Target="http://www.imdb.com/title/tt0119668/?ref_=fn_tt_tt_1" TargetMode="External"/><Relationship Id="rId145" Type="http://schemas.openxmlformats.org/officeDocument/2006/relationships/hyperlink" Target="http://www.imdb.com/title/tt3332064/?ref_=fn_tt_tt_1" TargetMode="External"/><Relationship Id="rId1449" Type="http://schemas.openxmlformats.org/officeDocument/2006/relationships/hyperlink" Target="http://www.imdb.com/title/tt1712170/?ref_=fn_tt_tt_1" TargetMode="External"/><Relationship Id="rId1448" Type="http://schemas.openxmlformats.org/officeDocument/2006/relationships/hyperlink" Target="http://www.imdb.com/title/tt0300051/?ref_=fn_tt_tt_1" TargetMode="External"/><Relationship Id="rId1447" Type="http://schemas.openxmlformats.org/officeDocument/2006/relationships/hyperlink" Target="http://www.imdb.com/title/tt0080745/?ref_=fn_tt_tt_1" TargetMode="External"/><Relationship Id="rId1446" Type="http://schemas.openxmlformats.org/officeDocument/2006/relationships/hyperlink" Target="http://www.imdb.com/title/tt0124298/?ref_=fn_tt_tt_1" TargetMode="External"/><Relationship Id="rId1445" Type="http://schemas.openxmlformats.org/officeDocument/2006/relationships/hyperlink" Target="http://www.imdb.com/title/tt0880578/?ref_=fn_tt_tt_1" TargetMode="External"/><Relationship Id="rId1444" Type="http://schemas.openxmlformats.org/officeDocument/2006/relationships/hyperlink" Target="http://www.imdb.com/title/tt0100403/?ref_=fn_tt_tt_1" TargetMode="External"/><Relationship Id="rId1443" Type="http://schemas.openxmlformats.org/officeDocument/2006/relationships/hyperlink" Target="http://www.imdb.com/title/tt0238546/?ref_=fn_tt_tt_1" TargetMode="External"/><Relationship Id="rId1442" Type="http://schemas.openxmlformats.org/officeDocument/2006/relationships/hyperlink" Target="http://www.imdb.com/title/tt0790686/?ref_=fn_tt_tt_1" TargetMode="External"/><Relationship Id="rId1441" Type="http://schemas.openxmlformats.org/officeDocument/2006/relationships/hyperlink" Target="http://www.imdb.com/title/tt1616195/?ref_=fn_tt_tt_1" TargetMode="External"/><Relationship Id="rId1440" Type="http://schemas.openxmlformats.org/officeDocument/2006/relationships/hyperlink" Target="http://www.imdb.com/title/tt0376541/?ref_=fn_tt_tt_1" TargetMode="External"/><Relationship Id="rId144" Type="http://schemas.openxmlformats.org/officeDocument/2006/relationships/hyperlink" Target="http://www.imdb.com/title/tt0424095/?ref_=fn_tt_tt_1" TargetMode="External"/><Relationship Id="rId1439" Type="http://schemas.openxmlformats.org/officeDocument/2006/relationships/hyperlink" Target="http://www.imdb.com/title/tt0397065/?ref_=fn_tt_tt_1" TargetMode="External"/><Relationship Id="rId1438" Type="http://schemas.openxmlformats.org/officeDocument/2006/relationships/hyperlink" Target="http://www.imdb.com/title/tt0762121/?ref_=fn_tt_tt_1" TargetMode="External"/><Relationship Id="rId1437" Type="http://schemas.openxmlformats.org/officeDocument/2006/relationships/hyperlink" Target="http://www.imdb.com/title/tt0253474/?ref_=fn_tt_tt_1" TargetMode="External"/><Relationship Id="rId1436" Type="http://schemas.openxmlformats.org/officeDocument/2006/relationships/hyperlink" Target="http://www.imdb.com/title/tt0111301/?ref_=fn_tt_tt_1" TargetMode="External"/><Relationship Id="rId1435" Type="http://schemas.openxmlformats.org/officeDocument/2006/relationships/hyperlink" Target="http://www.imdb.com/title/tt0074174/?ref_=fn_tt_tt_1" TargetMode="External"/><Relationship Id="rId1434" Type="http://schemas.openxmlformats.org/officeDocument/2006/relationships/hyperlink" Target="http://www.imdb.com/title/tt0265087/?ref_=fn_tt_tt_1" TargetMode="External"/><Relationship Id="rId1433" Type="http://schemas.openxmlformats.org/officeDocument/2006/relationships/hyperlink" Target="http://www.imdb.com/title/tt2368645/?ref_=fn_tt_tt_1" TargetMode="External"/><Relationship Id="rId1432" Type="http://schemas.openxmlformats.org/officeDocument/2006/relationships/hyperlink" Target="http://www.imdb.com/title/tt0491152/?ref_=fn_tt_tt_1" TargetMode="External"/><Relationship Id="rId1431" Type="http://schemas.openxmlformats.org/officeDocument/2006/relationships/hyperlink" Target="http://www.imdb.com/title/tt1212436/?ref_=fn_tt_tt_1" TargetMode="External"/><Relationship Id="rId1430" Type="http://schemas.openxmlformats.org/officeDocument/2006/relationships/hyperlink" Target="http://www.imdb.com/title/tt1637688/?ref_=fn_tt_tt_1" TargetMode="External"/><Relationship Id="rId143" Type="http://schemas.openxmlformats.org/officeDocument/2006/relationships/hyperlink" Target="http://www.imdb.com/title/tt1305591/?ref_=fn_tt_tt_1" TargetMode="External"/><Relationship Id="rId1429" Type="http://schemas.openxmlformats.org/officeDocument/2006/relationships/hyperlink" Target="http://www.imdb.com/title/tt0467197/?ref_=fn_tt_tt_1" TargetMode="External"/><Relationship Id="rId1428" Type="http://schemas.openxmlformats.org/officeDocument/2006/relationships/hyperlink" Target="http://www.imdb.com/title/tt0335245/?ref_=fn_tt_tt_1" TargetMode="External"/><Relationship Id="rId1427" Type="http://schemas.openxmlformats.org/officeDocument/2006/relationships/hyperlink" Target="http://www.imdb.com/title/tt0084516/?ref_=fn_tt_tt_1" TargetMode="External"/><Relationship Id="rId1426" Type="http://schemas.openxmlformats.org/officeDocument/2006/relationships/hyperlink" Target="http://www.imdb.com/title/tt0120804/?ref_=fn_tt_tt_1" TargetMode="External"/><Relationship Id="rId1425" Type="http://schemas.openxmlformats.org/officeDocument/2006/relationships/hyperlink" Target="http://www.imdb.com/title/tt0119008/?ref_=fn_tt_tt_1" TargetMode="External"/><Relationship Id="rId1424" Type="http://schemas.openxmlformats.org/officeDocument/2006/relationships/hyperlink" Target="http://www.imdb.com/title/tt0417001/?ref_=fn_tt_tt_1" TargetMode="External"/><Relationship Id="rId1423" Type="http://schemas.openxmlformats.org/officeDocument/2006/relationships/hyperlink" Target="http://www.imdb.com/title/tt0437863/?ref_=fn_tt_tt_1" TargetMode="External"/><Relationship Id="rId1422" Type="http://schemas.openxmlformats.org/officeDocument/2006/relationships/hyperlink" Target="http://www.imdb.com/title/tt0762114/?ref_=fn_tt_tt_1" TargetMode="External"/><Relationship Id="rId1421" Type="http://schemas.openxmlformats.org/officeDocument/2006/relationships/hyperlink" Target="http://www.imdb.com/title/tt0834001/?ref_=fn_tt_tt_1" TargetMode="External"/><Relationship Id="rId1420" Type="http://schemas.openxmlformats.org/officeDocument/2006/relationships/hyperlink" Target="http://www.imdb.com/title/tt0976238/?ref_=fn_tt_tt_1" TargetMode="External"/><Relationship Id="rId142" Type="http://schemas.openxmlformats.org/officeDocument/2006/relationships/hyperlink" Target="http://www.imdb.com/title/tt2334879/?ref_=fn_tt_tt_1" TargetMode="External"/><Relationship Id="rId1419" Type="http://schemas.openxmlformats.org/officeDocument/2006/relationships/hyperlink" Target="http://www.imdb.com/title/tt1758830/?ref_=fn_tt_tt_1" TargetMode="External"/><Relationship Id="rId1418" Type="http://schemas.openxmlformats.org/officeDocument/2006/relationships/hyperlink" Target="http://www.imdb.com/title/tt0104797/?ref_=fn_tt_tt_1" TargetMode="External"/><Relationship Id="rId1417" Type="http://schemas.openxmlformats.org/officeDocument/2006/relationships/hyperlink" Target="http://www.imdb.com/title/tt2140373/?ref_=fn_tt_tt_1" TargetMode="External"/><Relationship Id="rId1416" Type="http://schemas.openxmlformats.org/officeDocument/2006/relationships/hyperlink" Target="http://www.imdb.com/title/tt4438848/?ref_=fn_tt_tt_1" TargetMode="External"/><Relationship Id="rId1415" Type="http://schemas.openxmlformats.org/officeDocument/2006/relationships/hyperlink" Target="http://www.imdb.com/title/tt1632708/?ref_=fn_tt_tt_1" TargetMode="External"/><Relationship Id="rId1414" Type="http://schemas.openxmlformats.org/officeDocument/2006/relationships/hyperlink" Target="http://www.imdb.com/title/tt0316465/?ref_=fn_tt_tt_1" TargetMode="External"/><Relationship Id="rId1413" Type="http://schemas.openxmlformats.org/officeDocument/2006/relationships/hyperlink" Target="http://www.imdb.com/title/tt0453556/?ref_=fn_tt_tt_1" TargetMode="External"/><Relationship Id="rId1412" Type="http://schemas.openxmlformats.org/officeDocument/2006/relationships/hyperlink" Target="http://www.imdb.com/title/tt1028576/?ref_=fn_tt_tt_1" TargetMode="External"/><Relationship Id="rId1411" Type="http://schemas.openxmlformats.org/officeDocument/2006/relationships/hyperlink" Target="http://www.imdb.com/title/tt0120744/?ref_=fn_tt_tt_1" TargetMode="External"/><Relationship Id="rId1410" Type="http://schemas.openxmlformats.org/officeDocument/2006/relationships/hyperlink" Target="http://www.imdb.com/title/tt0209958/?ref_=fn_tt_tt_1" TargetMode="External"/><Relationship Id="rId141" Type="http://schemas.openxmlformats.org/officeDocument/2006/relationships/hyperlink" Target="http://www.imdb.com/title/tt0317919/?ref_=fn_tt_tt_1" TargetMode="External"/><Relationship Id="rId1409" Type="http://schemas.openxmlformats.org/officeDocument/2006/relationships/hyperlink" Target="http://www.imdb.com/title/tt0087800/?ref_=fn_tt_tt_1" TargetMode="External"/><Relationship Id="rId1408" Type="http://schemas.openxmlformats.org/officeDocument/2006/relationships/hyperlink" Target="http://www.imdb.com/title/tt0114508/?ref_=fn_tt_tt_1" TargetMode="External"/><Relationship Id="rId1407" Type="http://schemas.openxmlformats.org/officeDocument/2006/relationships/hyperlink" Target="http://www.imdb.com/title/tt0119360/?ref_=fn_tt_tt_1" TargetMode="External"/><Relationship Id="rId1406" Type="http://schemas.openxmlformats.org/officeDocument/2006/relationships/hyperlink" Target="http://www.imdb.com/title/tt0405325/?ref_=fn_tt_tt_1" TargetMode="External"/><Relationship Id="rId1405" Type="http://schemas.openxmlformats.org/officeDocument/2006/relationships/hyperlink" Target="http://www.imdb.com/title/tt0119488/?ref_=fn_tt_tt_1" TargetMode="External"/><Relationship Id="rId1404" Type="http://schemas.openxmlformats.org/officeDocument/2006/relationships/hyperlink" Target="http://www.imdb.com/title/tt0116209/?ref_=fn_tt_tt_1" TargetMode="External"/><Relationship Id="rId1403" Type="http://schemas.openxmlformats.org/officeDocument/2006/relationships/hyperlink" Target="http://www.imdb.com/title/tt0372237/?ref_=fn_tt_tt_1" TargetMode="External"/><Relationship Id="rId1402" Type="http://schemas.openxmlformats.org/officeDocument/2006/relationships/hyperlink" Target="http://www.imdb.com/title/tt3152624/?ref_=fn_tt_tt_1" TargetMode="External"/><Relationship Id="rId1401" Type="http://schemas.openxmlformats.org/officeDocument/2006/relationships/hyperlink" Target="http://www.imdb.com/title/tt0478087/?ref_=fn_tt_tt_1" TargetMode="External"/><Relationship Id="rId1400" Type="http://schemas.openxmlformats.org/officeDocument/2006/relationships/hyperlink" Target="http://www.imdb.com/title/tt0101540/?ref_=fn_tt_tt_1" TargetMode="External"/><Relationship Id="rId140" Type="http://schemas.openxmlformats.org/officeDocument/2006/relationships/hyperlink" Target="http://www.imdb.com/title/tt0938283/?ref_=fn_tt_tt_1" TargetMode="External"/><Relationship Id="rId14" Type="http://schemas.openxmlformats.org/officeDocument/2006/relationships/hyperlink" Target="http://www.imdb.com/title/tt0383574/?ref_=fn_tt_tt_1" TargetMode="External"/><Relationship Id="rId1399" Type="http://schemas.openxmlformats.org/officeDocument/2006/relationships/hyperlink" Target="http://www.imdb.com/title/tt2024432/?ref_=fn_tt_tt_1" TargetMode="External"/><Relationship Id="rId1398" Type="http://schemas.openxmlformats.org/officeDocument/2006/relationships/hyperlink" Target="http://www.imdb.com/title/tt0079945/?ref_=fn_tt_tt_1" TargetMode="External"/><Relationship Id="rId1397" Type="http://schemas.openxmlformats.org/officeDocument/2006/relationships/hyperlink" Target="http://www.imdb.com/title/tt0458352/?ref_=fn_tt_tt_1" TargetMode="External"/><Relationship Id="rId1396" Type="http://schemas.openxmlformats.org/officeDocument/2006/relationships/hyperlink" Target="http://www.imdb.com/title/tt1403865/?ref_=fn_tt_tt_1" TargetMode="External"/><Relationship Id="rId1395" Type="http://schemas.openxmlformats.org/officeDocument/2006/relationships/hyperlink" Target="http://www.imdb.com/title/tt1499658/?ref_=fn_tt_tt_1" TargetMode="External"/><Relationship Id="rId1394" Type="http://schemas.openxmlformats.org/officeDocument/2006/relationships/hyperlink" Target="http://www.imdb.com/title/tt0227538/?ref_=fn_tt_tt_1" TargetMode="External"/><Relationship Id="rId1393" Type="http://schemas.openxmlformats.org/officeDocument/2006/relationships/hyperlink" Target="http://www.imdb.com/title/tt4085584/?ref_=fn_tt_tt_1" TargetMode="External"/><Relationship Id="rId1392" Type="http://schemas.openxmlformats.org/officeDocument/2006/relationships/hyperlink" Target="http://www.imdb.com/title/tt0878804/?ref_=fn_tt_tt_1" TargetMode="External"/><Relationship Id="rId1391" Type="http://schemas.openxmlformats.org/officeDocument/2006/relationships/hyperlink" Target="http://www.imdb.com/title/tt0104714/?ref_=fn_tt_tt_1" TargetMode="External"/><Relationship Id="rId1390" Type="http://schemas.openxmlformats.org/officeDocument/2006/relationships/hyperlink" Target="http://www.imdb.com/title/tt1316616/?ref_=fn_tt_tt_1" TargetMode="External"/><Relationship Id="rId139" Type="http://schemas.openxmlformats.org/officeDocument/2006/relationships/hyperlink" Target="http://www.imdb.com/title/tt1302011/?ref_=fn_tt_tt_1" TargetMode="External"/><Relationship Id="rId1389" Type="http://schemas.openxmlformats.org/officeDocument/2006/relationships/hyperlink" Target="http://www.imdb.com/title/tt0096895/?ref_=fn_tt_tt_1" TargetMode="External"/><Relationship Id="rId1388" Type="http://schemas.openxmlformats.org/officeDocument/2006/relationships/hyperlink" Target="http://www.imdb.com/title/tt0145660/?ref_=fn_tt_tt_1" TargetMode="External"/><Relationship Id="rId1387" Type="http://schemas.openxmlformats.org/officeDocument/2006/relationships/hyperlink" Target="http://www.imdb.com/title/tt2888046/?ref_=fn_tt_tt_1" TargetMode="External"/><Relationship Id="rId1386" Type="http://schemas.openxmlformats.org/officeDocument/2006/relationships/hyperlink" Target="http://www.imdb.com/title/tt1119646/?ref_=fn_tt_tt_1" TargetMode="External"/><Relationship Id="rId1385" Type="http://schemas.openxmlformats.org/officeDocument/2006/relationships/hyperlink" Target="http://www.imdb.com/title/tt0325537/?ref_=fn_tt_tt_1" TargetMode="External"/><Relationship Id="rId1384" Type="http://schemas.openxmlformats.org/officeDocument/2006/relationships/hyperlink" Target="http://www.imdb.com/title/tt0482603/?ref_=fn_tt_tt_1" TargetMode="External"/><Relationship Id="rId1383" Type="http://schemas.openxmlformats.org/officeDocument/2006/relationships/hyperlink" Target="http://www.imdb.com/title/tt0141399/?ref_=fn_tt_tt_1" TargetMode="External"/><Relationship Id="rId1382" Type="http://schemas.openxmlformats.org/officeDocument/2006/relationships/hyperlink" Target="http://www.imdb.com/title/tt0119177/?ref_=fn_tt_tt_1" TargetMode="External"/><Relationship Id="rId1381" Type="http://schemas.openxmlformats.org/officeDocument/2006/relationships/hyperlink" Target="http://www.imdb.com/title/tt1161864/?ref_=fn_tt_tt_1" TargetMode="External"/><Relationship Id="rId1380" Type="http://schemas.openxmlformats.org/officeDocument/2006/relationships/hyperlink" Target="http://www.imdb.com/title/tt0120834/?ref_=fn_tt_tt_1" TargetMode="External"/><Relationship Id="rId138" Type="http://schemas.openxmlformats.org/officeDocument/2006/relationships/hyperlink" Target="http://www.imdb.com/title/tt0389790/?ref_=fn_tt_tt_1" TargetMode="External"/><Relationship Id="rId1379" Type="http://schemas.openxmlformats.org/officeDocument/2006/relationships/hyperlink" Target="http://www.imdb.com/title/tt0116410/?ref_=fn_tt_tt_1" TargetMode="External"/><Relationship Id="rId1378" Type="http://schemas.openxmlformats.org/officeDocument/2006/relationships/hyperlink" Target="http://www.imdb.com/title/tt1243974/?ref_=fn_tt_tt_1" TargetMode="External"/><Relationship Id="rId1377" Type="http://schemas.openxmlformats.org/officeDocument/2006/relationships/hyperlink" Target="http://www.imdb.com/title/tt0266465/?ref_=fn_tt_tt_1" TargetMode="External"/><Relationship Id="rId1376" Type="http://schemas.openxmlformats.org/officeDocument/2006/relationships/hyperlink" Target="http://www.imdb.com/title/tt0184858/?ref_=fn_tt_tt_1" TargetMode="External"/><Relationship Id="rId1375" Type="http://schemas.openxmlformats.org/officeDocument/2006/relationships/hyperlink" Target="http://www.imdb.com/title/tt2978462/?ref_=fn_tt_tt_1" TargetMode="External"/><Relationship Id="rId1374" Type="http://schemas.openxmlformats.org/officeDocument/2006/relationships/hyperlink" Target="http://www.imdb.com/title/tt1231587/?ref_=fn_tt_tt_1" TargetMode="External"/><Relationship Id="rId1373" Type="http://schemas.openxmlformats.org/officeDocument/2006/relationships/hyperlink" Target="http://www.imdb.com/title/tt0086006/?ref_=fn_tt_tt_1" TargetMode="External"/><Relationship Id="rId1372" Type="http://schemas.openxmlformats.org/officeDocument/2006/relationships/hyperlink" Target="http://www.imdb.com/title/tt0118771/?ref_=fn_tt_tt_1" TargetMode="External"/><Relationship Id="rId1371" Type="http://schemas.openxmlformats.org/officeDocument/2006/relationships/hyperlink" Target="http://www.imdb.com/title/tt0972558/?ref_=fn_tt_tt_1" TargetMode="External"/><Relationship Id="rId1370" Type="http://schemas.openxmlformats.org/officeDocument/2006/relationships/hyperlink" Target="http://www.imdb.com/title/tt1723121/?ref_=fn_tt_tt_1" TargetMode="External"/><Relationship Id="rId137" Type="http://schemas.openxmlformats.org/officeDocument/2006/relationships/hyperlink" Target="http://www.imdb.com/title/tt0780653/?ref_=fn_tt_tt_1" TargetMode="External"/><Relationship Id="rId1369" Type="http://schemas.openxmlformats.org/officeDocument/2006/relationships/hyperlink" Target="http://www.imdb.com/title/tt0181316/?ref_=fn_tt_tt_1" TargetMode="External"/><Relationship Id="rId1368" Type="http://schemas.openxmlformats.org/officeDocument/2006/relationships/hyperlink" Target="http://www.imdb.com/title/tt0251160/?ref_=fn_tt_tt_1" TargetMode="External"/><Relationship Id="rId1367" Type="http://schemas.openxmlformats.org/officeDocument/2006/relationships/hyperlink" Target="http://www.imdb.com/title/tt1099212/?ref_=fn_tt_tt_1" TargetMode="External"/><Relationship Id="rId1366" Type="http://schemas.openxmlformats.org/officeDocument/2006/relationships/hyperlink" Target="http://www.imdb.com/title/tt1564349/?ref_=fn_tt_tt_1" TargetMode="External"/><Relationship Id="rId1365" Type="http://schemas.openxmlformats.org/officeDocument/2006/relationships/hyperlink" Target="http://www.imdb.com/title/tt1292566/?ref_=fn_tt_tt_1" TargetMode="External"/><Relationship Id="rId1364" Type="http://schemas.openxmlformats.org/officeDocument/2006/relationships/hyperlink" Target="http://www.imdb.com/title/tt1385867/?ref_=fn_tt_tt_1" TargetMode="External"/><Relationship Id="rId1363" Type="http://schemas.openxmlformats.org/officeDocument/2006/relationships/hyperlink" Target="http://www.imdb.com/title/tt0175880/?ref_=fn_tt_tt_1" TargetMode="External"/><Relationship Id="rId1362" Type="http://schemas.openxmlformats.org/officeDocument/2006/relationships/hyperlink" Target="http://www.imdb.com/title/tt1979320/?ref_=fn_tt_tt_1" TargetMode="External"/><Relationship Id="rId1361" Type="http://schemas.openxmlformats.org/officeDocument/2006/relationships/hyperlink" Target="http://www.imdb.com/title/tt0410377/?ref_=fn_tt_tt_1" TargetMode="External"/><Relationship Id="rId1360" Type="http://schemas.openxmlformats.org/officeDocument/2006/relationships/hyperlink" Target="http://www.imdb.com/title/tt0887883/?ref_=fn_tt_tt_1" TargetMode="External"/><Relationship Id="rId136" Type="http://schemas.openxmlformats.org/officeDocument/2006/relationships/hyperlink" Target="http://www.imdb.com/title/tt2381249/?ref_=fn_tt_tt_1" TargetMode="External"/><Relationship Id="rId1359" Type="http://schemas.openxmlformats.org/officeDocument/2006/relationships/hyperlink" Target="http://www.imdb.com/title/tt1586265/?ref_=fn_tt_tt_1" TargetMode="External"/><Relationship Id="rId1358" Type="http://schemas.openxmlformats.org/officeDocument/2006/relationships/hyperlink" Target="http://www.imdb.com/title/tt0840361/?ref_=fn_tt_tt_1" TargetMode="External"/><Relationship Id="rId1357" Type="http://schemas.openxmlformats.org/officeDocument/2006/relationships/hyperlink" Target="http://www.imdb.com/title/tt3076658/?ref_=fn_tt_tt_1" TargetMode="External"/><Relationship Id="rId1356" Type="http://schemas.openxmlformats.org/officeDocument/2006/relationships/hyperlink" Target="http://www.imdb.com/title/tt2304933/?ref_=fn_tt_tt_1" TargetMode="External"/><Relationship Id="rId1355" Type="http://schemas.openxmlformats.org/officeDocument/2006/relationships/hyperlink" Target="http://www.imdb.com/title/tt0469903/?ref_=fn_tt_tt_1" TargetMode="External"/><Relationship Id="rId1354" Type="http://schemas.openxmlformats.org/officeDocument/2006/relationships/hyperlink" Target="http://www.imdb.com/title/tt0437954/?ref_=fn_tt_tt_1" TargetMode="External"/><Relationship Id="rId1353" Type="http://schemas.openxmlformats.org/officeDocument/2006/relationships/hyperlink" Target="http://www.imdb.com/title/tt1560747/?ref_=fn_tt_tt_1" TargetMode="External"/><Relationship Id="rId1352" Type="http://schemas.openxmlformats.org/officeDocument/2006/relationships/hyperlink" Target="http://www.imdb.com/title/tt0970411/?ref_=fn_tt_tt_1" TargetMode="External"/><Relationship Id="rId1351" Type="http://schemas.openxmlformats.org/officeDocument/2006/relationships/hyperlink" Target="http://www.imdb.com/title/tt0193560/?ref_=fn_tt_tt_1" TargetMode="External"/><Relationship Id="rId1350" Type="http://schemas.openxmlformats.org/officeDocument/2006/relationships/hyperlink" Target="http://www.imdb.com/title/tt0119210/?ref_=fn_tt_tt_1" TargetMode="External"/><Relationship Id="rId135" Type="http://schemas.openxmlformats.org/officeDocument/2006/relationships/hyperlink" Target="http://www.imdb.com/title/tt1077368/?ref_=fn_tt_tt_1" TargetMode="External"/><Relationship Id="rId1349" Type="http://schemas.openxmlformats.org/officeDocument/2006/relationships/hyperlink" Target="http://www.imdb.com/title/tt1411250/?ref_=fn_tt_tt_1" TargetMode="External"/><Relationship Id="rId1348" Type="http://schemas.openxmlformats.org/officeDocument/2006/relationships/hyperlink" Target="http://www.imdb.com/title/tt0084787/?ref_=fn_tt_tt_1" TargetMode="External"/><Relationship Id="rId1347" Type="http://schemas.openxmlformats.org/officeDocument/2006/relationships/hyperlink" Target="http://www.imdb.com/title/tt0118158/?ref_=fn_tt_tt_1" TargetMode="External"/><Relationship Id="rId1346" Type="http://schemas.openxmlformats.org/officeDocument/2006/relationships/hyperlink" Target="http://www.imdb.com/title/tt0929632/?ref_=fn_tt_tt_1" TargetMode="External"/><Relationship Id="rId1345" Type="http://schemas.openxmlformats.org/officeDocument/2006/relationships/hyperlink" Target="http://www.imdb.com/title/tt0202470/?ref_=fn_tt_tt_1" TargetMode="External"/><Relationship Id="rId1344" Type="http://schemas.openxmlformats.org/officeDocument/2006/relationships/hyperlink" Target="http://www.imdb.com/title/tt0116259/?ref_=fn_tt_tt_1" TargetMode="External"/><Relationship Id="rId1343" Type="http://schemas.openxmlformats.org/officeDocument/2006/relationships/hyperlink" Target="http://www.imdb.com/title/tt0142688/?ref_=fn_tt_tt_1" TargetMode="External"/><Relationship Id="rId1342" Type="http://schemas.openxmlformats.org/officeDocument/2006/relationships/hyperlink" Target="http://www.imdb.com/title/tt0279889/?ref_=fn_tt_tt_1" TargetMode="External"/><Relationship Id="rId1341" Type="http://schemas.openxmlformats.org/officeDocument/2006/relationships/hyperlink" Target="http://www.imdb.com/title/tt0225071/?ref_=fn_tt_tt_1" TargetMode="External"/><Relationship Id="rId1340" Type="http://schemas.openxmlformats.org/officeDocument/2006/relationships/hyperlink" Target="http://www.imdb.com/title/tt3450650/?ref_=fn_tt_tt_1" TargetMode="External"/><Relationship Id="rId134" Type="http://schemas.openxmlformats.org/officeDocument/2006/relationships/hyperlink" Target="http://www.imdb.com/title/tt1646987/?ref_=fn_tt_tt_1" TargetMode="External"/><Relationship Id="rId1339" Type="http://schemas.openxmlformats.org/officeDocument/2006/relationships/hyperlink" Target="http://www.imdb.com/title/tt0125022/?ref_=fn_tt_tt_1" TargetMode="External"/><Relationship Id="rId1338" Type="http://schemas.openxmlformats.org/officeDocument/2006/relationships/hyperlink" Target="http://www.imdb.com/title/tt0278435/?ref_=fn_tt_tt_1" TargetMode="External"/><Relationship Id="rId1337" Type="http://schemas.openxmlformats.org/officeDocument/2006/relationships/hyperlink" Target="http://www.imdb.com/title/tt0174856/?ref_=fn_tt_tt_1" TargetMode="External"/><Relationship Id="rId1336" Type="http://schemas.openxmlformats.org/officeDocument/2006/relationships/hyperlink" Target="http://www.imdb.com/title/tt2911342/?ref_=fn_tt_tt_1" TargetMode="External"/><Relationship Id="rId1335" Type="http://schemas.openxmlformats.org/officeDocument/2006/relationships/hyperlink" Target="http://www.imdb.com/title/tt0115082/?ref_=fn_tt_tt_1" TargetMode="External"/><Relationship Id="rId1334" Type="http://schemas.openxmlformats.org/officeDocument/2006/relationships/hyperlink" Target="http://www.imdb.com/title/tt1067583/?ref_=fn_tt_tt_1" TargetMode="External"/><Relationship Id="rId1333" Type="http://schemas.openxmlformats.org/officeDocument/2006/relationships/hyperlink" Target="http://www.imdb.com/title/tt1462900/?ref_=fn_tt_tt_1" TargetMode="External"/><Relationship Id="rId1332" Type="http://schemas.openxmlformats.org/officeDocument/2006/relationships/hyperlink" Target="http://www.imdb.com/title/tt0111280/?ref_=fn_tt_tt_1" TargetMode="External"/><Relationship Id="rId1331" Type="http://schemas.openxmlformats.org/officeDocument/2006/relationships/hyperlink" Target="http://www.imdb.com/title/tt0287717/?ref_=fn_tt_tt_1" TargetMode="External"/><Relationship Id="rId1330" Type="http://schemas.openxmlformats.org/officeDocument/2006/relationships/hyperlink" Target="http://www.imdb.com/title/tt0117608/?ref_=fn_tt_tt_1" TargetMode="External"/><Relationship Id="rId133" Type="http://schemas.openxmlformats.org/officeDocument/2006/relationships/hyperlink" Target="http://www.imdb.com/title/tt0436339/?ref_=fn_tt_tt_1" TargetMode="External"/><Relationship Id="rId1329" Type="http://schemas.openxmlformats.org/officeDocument/2006/relationships/hyperlink" Target="http://www.imdb.com/title/tt1142988/?ref_=fn_tt_tt_1" TargetMode="External"/><Relationship Id="rId1328" Type="http://schemas.openxmlformats.org/officeDocument/2006/relationships/hyperlink" Target="http://www.imdb.com/title/tt0256415/?ref_=fn_tt_tt_1" TargetMode="External"/><Relationship Id="rId1327" Type="http://schemas.openxmlformats.org/officeDocument/2006/relationships/hyperlink" Target="http://www.imdb.com/title/tt0425637/?ref_=fn_tt_tt_1" TargetMode="External"/><Relationship Id="rId1326" Type="http://schemas.openxmlformats.org/officeDocument/2006/relationships/hyperlink" Target="http://www.imdb.com/title/tt1661382/?ref_=fn_tt_tt_1" TargetMode="External"/><Relationship Id="rId1325" Type="http://schemas.openxmlformats.org/officeDocument/2006/relationships/hyperlink" Target="http://www.imdb.com/title/tt0086393/?ref_=fn_tt_tt_1" TargetMode="External"/><Relationship Id="rId1324" Type="http://schemas.openxmlformats.org/officeDocument/2006/relationships/hyperlink" Target="http://www.imdb.com/title/tt0312329/?ref_=fn_tt_tt_1" TargetMode="External"/><Relationship Id="rId1323" Type="http://schemas.openxmlformats.org/officeDocument/2006/relationships/hyperlink" Target="http://www.imdb.com/title/tt0379786/?ref_=fn_tt_tt_1" TargetMode="External"/><Relationship Id="rId1322" Type="http://schemas.openxmlformats.org/officeDocument/2006/relationships/hyperlink" Target="http://www.imdb.com/title/tt1142977/?ref_=fn_tt_tt_1" TargetMode="External"/><Relationship Id="rId1321" Type="http://schemas.openxmlformats.org/officeDocument/2006/relationships/hyperlink" Target="http://www.imdb.com/title/tt0490084/?ref_=fn_tt_tt_1" TargetMode="External"/><Relationship Id="rId1320" Type="http://schemas.openxmlformats.org/officeDocument/2006/relationships/hyperlink" Target="http://www.imdb.com/title/tt0452694/?ref_=fn_tt_tt_1" TargetMode="External"/><Relationship Id="rId132" Type="http://schemas.openxmlformats.org/officeDocument/2006/relationships/hyperlink" Target="http://www.imdb.com/title/tt0397892/?ref_=fn_tt_tt_1" TargetMode="External"/><Relationship Id="rId1319" Type="http://schemas.openxmlformats.org/officeDocument/2006/relationships/hyperlink" Target="http://www.imdb.com/title/tt2631186/?ref_=fn_tt_tt_1" TargetMode="External"/><Relationship Id="rId1318" Type="http://schemas.openxmlformats.org/officeDocument/2006/relationships/hyperlink" Target="http://www.imdb.com/title/tt0109506/?ref_=fn_tt_tt_1" TargetMode="External"/><Relationship Id="rId1317" Type="http://schemas.openxmlformats.org/officeDocument/2006/relationships/hyperlink" Target="http://www.imdb.com/title/tt0357054/?ref_=fn_tt_tt_1" TargetMode="External"/><Relationship Id="rId1316" Type="http://schemas.openxmlformats.org/officeDocument/2006/relationships/hyperlink" Target="http://www.imdb.com/title/tt0961097/?ref_=fn_tt_tt_1" TargetMode="External"/><Relationship Id="rId1315" Type="http://schemas.openxmlformats.org/officeDocument/2006/relationships/hyperlink" Target="http://www.imdb.com/title/tt1706620/?ref_=fn_tt_tt_1" TargetMode="External"/><Relationship Id="rId1314" Type="http://schemas.openxmlformats.org/officeDocument/2006/relationships/hyperlink" Target="http://www.imdb.com/title/tt0374089/?ref_=fn_tt_tt_1" TargetMode="External"/><Relationship Id="rId1313" Type="http://schemas.openxmlformats.org/officeDocument/2006/relationships/hyperlink" Target="http://www.imdb.com/title/tt0913968/?ref_=fn_tt_tt_1" TargetMode="External"/><Relationship Id="rId1312" Type="http://schemas.openxmlformats.org/officeDocument/2006/relationships/hyperlink" Target="http://www.imdb.com/title/tt0110074/?ref_=fn_tt_tt_1" TargetMode="External"/><Relationship Id="rId1311" Type="http://schemas.openxmlformats.org/officeDocument/2006/relationships/hyperlink" Target="http://www.imdb.com/title/tt0455782/?ref_=fn_tt_tt_1" TargetMode="External"/><Relationship Id="rId1310" Type="http://schemas.openxmlformats.org/officeDocument/2006/relationships/hyperlink" Target="http://www.imdb.com/title/tt0113243/?ref_=fn_tt_tt_1" TargetMode="External"/><Relationship Id="rId131" Type="http://schemas.openxmlformats.org/officeDocument/2006/relationships/hyperlink" Target="http://www.imdb.com/title/tt0800369/?ref_=fn_tt_tt_1" TargetMode="External"/><Relationship Id="rId1309" Type="http://schemas.openxmlformats.org/officeDocument/2006/relationships/hyperlink" Target="http://www.imdb.com/title/tt0486822/?ref_=fn_tt_tt_1" TargetMode="External"/><Relationship Id="rId1308" Type="http://schemas.openxmlformats.org/officeDocument/2006/relationships/hyperlink" Target="http://www.imdb.com/title/tt0457495/?ref_=fn_tt_tt_1" TargetMode="External"/><Relationship Id="rId1307" Type="http://schemas.openxmlformats.org/officeDocument/2006/relationships/hyperlink" Target="http://www.imdb.com/title/tt2515034/?ref_=fn_tt_tt_1" TargetMode="External"/><Relationship Id="rId1306" Type="http://schemas.openxmlformats.org/officeDocument/2006/relationships/hyperlink" Target="http://www.imdb.com/title/tt0361500/?ref_=fn_tt_tt_1" TargetMode="External"/><Relationship Id="rId1305" Type="http://schemas.openxmlformats.org/officeDocument/2006/relationships/hyperlink" Target="http://www.imdb.com/title/tt0763831/?ref_=fn_tt_tt_1" TargetMode="External"/><Relationship Id="rId1304" Type="http://schemas.openxmlformats.org/officeDocument/2006/relationships/hyperlink" Target="http://www.imdb.com/title/tt0448134/?ref_=fn_tt_tt_1" TargetMode="External"/><Relationship Id="rId1303" Type="http://schemas.openxmlformats.org/officeDocument/2006/relationships/hyperlink" Target="http://www.imdb.com/title/tt0189192/?ref_=fn_tt_tt_1" TargetMode="External"/><Relationship Id="rId1302" Type="http://schemas.openxmlformats.org/officeDocument/2006/relationships/hyperlink" Target="http://www.imdb.com/title/tt0283160/?ref_=fn_tt_tt_1" TargetMode="External"/><Relationship Id="rId1301" Type="http://schemas.openxmlformats.org/officeDocument/2006/relationships/hyperlink" Target="http://www.imdb.com/title/tt0160399/?ref_=fn_tt_tt_1" TargetMode="External"/><Relationship Id="rId1300" Type="http://schemas.openxmlformats.org/officeDocument/2006/relationships/hyperlink" Target="http://www.imdb.com/title/tt1188729/?ref_=fn_tt_tt_1" TargetMode="External"/><Relationship Id="rId130" Type="http://schemas.openxmlformats.org/officeDocument/2006/relationships/hyperlink" Target="http://www.imdb.com/title/tt0808151/?ref_=fn_tt_tt_1" TargetMode="External"/><Relationship Id="rId13" Type="http://schemas.openxmlformats.org/officeDocument/2006/relationships/hyperlink" Target="http://www.imdb.com/title/tt0830515/?ref_=fn_tt_tt_1" TargetMode="External"/><Relationship Id="rId1299" Type="http://schemas.openxmlformats.org/officeDocument/2006/relationships/hyperlink" Target="http://www.imdb.com/title/tt0176269/?ref_=fn_tt_tt_1" TargetMode="External"/><Relationship Id="rId1298" Type="http://schemas.openxmlformats.org/officeDocument/2006/relationships/hyperlink" Target="http://www.imdb.com/title/tt0081400/?ref_=fn_tt_tt_1" TargetMode="External"/><Relationship Id="rId1297" Type="http://schemas.openxmlformats.org/officeDocument/2006/relationships/hyperlink" Target="http://www.imdb.com/title/tt1111948/?ref_=fn_tt_tt_1" TargetMode="External"/><Relationship Id="rId1296" Type="http://schemas.openxmlformats.org/officeDocument/2006/relationships/hyperlink" Target="http://www.imdb.com/title/tt0266489/?ref_=fn_tt_tt_1" TargetMode="External"/><Relationship Id="rId1295" Type="http://schemas.openxmlformats.org/officeDocument/2006/relationships/hyperlink" Target="http://www.imdb.com/title/tt0450405/?ref_=fn_tt_tt_1" TargetMode="External"/><Relationship Id="rId1294" Type="http://schemas.openxmlformats.org/officeDocument/2006/relationships/hyperlink" Target="http://www.imdb.com/title/tt0295254/?ref_=fn_tt_tt_1" TargetMode="External"/><Relationship Id="rId1293" Type="http://schemas.openxmlformats.org/officeDocument/2006/relationships/hyperlink" Target="http://www.imdb.com/title/tt0120646/?ref_=fn_tt_tt_1" TargetMode="External"/><Relationship Id="rId1292" Type="http://schemas.openxmlformats.org/officeDocument/2006/relationships/hyperlink" Target="http://www.imdb.com/title/tt1430615/?ref_=fn_tt_tt_1" TargetMode="External"/><Relationship Id="rId1291" Type="http://schemas.openxmlformats.org/officeDocument/2006/relationships/hyperlink" Target="http://www.imdb.com/title/tt0375173/?ref_=fn_tt_tt_1" TargetMode="External"/><Relationship Id="rId1290" Type="http://schemas.openxmlformats.org/officeDocument/2006/relationships/hyperlink" Target="http://www.imdb.com/title/tt0363282/?ref_=fn_tt_tt_1" TargetMode="External"/><Relationship Id="rId129" Type="http://schemas.openxmlformats.org/officeDocument/2006/relationships/hyperlink" Target="http://www.imdb.com/title/tt1392190/?ref_=fn_tt_tt_1" TargetMode="External"/><Relationship Id="rId1289" Type="http://schemas.openxmlformats.org/officeDocument/2006/relationships/hyperlink" Target="http://www.imdb.com/title/tt0211915/?ref_=fn_tt_tt_1" TargetMode="External"/><Relationship Id="rId1288" Type="http://schemas.openxmlformats.org/officeDocument/2006/relationships/hyperlink" Target="http://www.imdb.com/title/tt0104850/?ref_=fn_tt_tt_1" TargetMode="External"/><Relationship Id="rId1287" Type="http://schemas.openxmlformats.org/officeDocument/2006/relationships/hyperlink" Target="http://www.imdb.com/title/tt0282687/?ref_=fn_tt_tt_1" TargetMode="External"/><Relationship Id="rId1286" Type="http://schemas.openxmlformats.org/officeDocument/2006/relationships/hyperlink" Target="http://www.imdb.com/title/tt0432283/?ref_=fn_tt_tt_1" TargetMode="External"/><Relationship Id="rId1285" Type="http://schemas.openxmlformats.org/officeDocument/2006/relationships/hyperlink" Target="http://www.imdb.com/title/tt0093278/?ref_=fn_tt_tt_1" TargetMode="External"/><Relationship Id="rId1284" Type="http://schemas.openxmlformats.org/officeDocument/2006/relationships/hyperlink" Target="http://www.imdb.com/title/tt1649419/?ref_=fn_tt_tt_1" TargetMode="External"/><Relationship Id="rId1283" Type="http://schemas.openxmlformats.org/officeDocument/2006/relationships/hyperlink" Target="http://www.imdb.com/title/tt0208988/?ref_=fn_tt_tt_1" TargetMode="External"/><Relationship Id="rId1282" Type="http://schemas.openxmlformats.org/officeDocument/2006/relationships/hyperlink" Target="http://www.imdb.com/title/tt0113552/?ref_=fn_tt_tt_1" TargetMode="External"/><Relationship Id="rId1281" Type="http://schemas.openxmlformats.org/officeDocument/2006/relationships/hyperlink" Target="http://www.imdb.com/title/tt0422720/?ref_=fn_tt_tt_1" TargetMode="External"/><Relationship Id="rId1280" Type="http://schemas.openxmlformats.org/officeDocument/2006/relationships/hyperlink" Target="http://www.imdb.com/title/tt0114436/?ref_=fn_tt_tt_1" TargetMode="External"/><Relationship Id="rId128" Type="http://schemas.openxmlformats.org/officeDocument/2006/relationships/hyperlink" Target="http://www.imdb.com/title/tt1981115/?ref_=fn_tt_tt_1" TargetMode="External"/><Relationship Id="rId1279" Type="http://schemas.openxmlformats.org/officeDocument/2006/relationships/hyperlink" Target="http://www.imdb.com/title/tt0115907/?ref_=fn_tt_tt_1" TargetMode="External"/><Relationship Id="rId1278" Type="http://schemas.openxmlformats.org/officeDocument/2006/relationships/hyperlink" Target="http://www.imdb.com/title/tt0329691/?ref_=fn_tt_tt_1" TargetMode="External"/><Relationship Id="rId1277" Type="http://schemas.openxmlformats.org/officeDocument/2006/relationships/hyperlink" Target="http://www.imdb.com/title/tt0132512/?ref_=fn_tt_tt_1" TargetMode="External"/><Relationship Id="rId1276" Type="http://schemas.openxmlformats.org/officeDocument/2006/relationships/hyperlink" Target="http://www.imdb.com/title/tt0269095/?ref_=fn_tt_tt_1" TargetMode="External"/><Relationship Id="rId1275" Type="http://schemas.openxmlformats.org/officeDocument/2006/relationships/hyperlink" Target="http://www.imdb.com/title/tt0120800/?ref_=fn_tt_tt_1" TargetMode="External"/><Relationship Id="rId1274" Type="http://schemas.openxmlformats.org/officeDocument/2006/relationships/hyperlink" Target="http://www.imdb.com/title/tt1657507/?ref_=fn_tt_tt_1" TargetMode="External"/><Relationship Id="rId1273" Type="http://schemas.openxmlformats.org/officeDocument/2006/relationships/hyperlink" Target="http://www.imdb.com/title/tt0110971/?ref_=fn_tt_tt_1" TargetMode="External"/><Relationship Id="rId1272" Type="http://schemas.openxmlformats.org/officeDocument/2006/relationships/hyperlink" Target="http://www.imdb.com/title/tt0070379/?ref_=fn_tt_tt_1" TargetMode="External"/><Relationship Id="rId1271" Type="http://schemas.openxmlformats.org/officeDocument/2006/relationships/hyperlink" Target="http://www.imdb.com/title/tt0444682/?ref_=fn_tt_tt_1" TargetMode="External"/><Relationship Id="rId1270" Type="http://schemas.openxmlformats.org/officeDocument/2006/relationships/hyperlink" Target="http://www.imdb.com/title/tt0230838/?ref_=fn_tt_tt_1" TargetMode="External"/><Relationship Id="rId127" Type="http://schemas.openxmlformats.org/officeDocument/2006/relationships/hyperlink" Target="http://www.imdb.com/title/tt0234215/?ref_=fn_tt_tt_1" TargetMode="External"/><Relationship Id="rId1269" Type="http://schemas.openxmlformats.org/officeDocument/2006/relationships/hyperlink" Target="http://www.imdb.com/title/tt0467200/?ref_=fn_tt_tt_1" TargetMode="External"/><Relationship Id="rId1268" Type="http://schemas.openxmlformats.org/officeDocument/2006/relationships/hyperlink" Target="http://www.imdb.com/title/tt0246544/?ref_=fn_tt_tt_1" TargetMode="External"/><Relationship Id="rId1267" Type="http://schemas.openxmlformats.org/officeDocument/2006/relationships/hyperlink" Target="http://www.imdb.com/title/tt0116654/?ref_=fn_tt_tt_1" TargetMode="External"/><Relationship Id="rId1266" Type="http://schemas.openxmlformats.org/officeDocument/2006/relationships/hyperlink" Target="http://www.imdb.com/title/tt0129280/?ref_=fn_tt_tt_1" TargetMode="External"/><Relationship Id="rId1265" Type="http://schemas.openxmlformats.org/officeDocument/2006/relationships/hyperlink" Target="http://www.imdb.com/title/tt0163983/?ref_=fn_tt_tt_1" TargetMode="External"/><Relationship Id="rId1264" Type="http://schemas.openxmlformats.org/officeDocument/2006/relationships/hyperlink" Target="http://www.imdb.com/title/tt0294870/?ref_=fn_tt_tt_1" TargetMode="External"/><Relationship Id="rId1263" Type="http://schemas.openxmlformats.org/officeDocument/2006/relationships/hyperlink" Target="http://www.imdb.com/title/tt0160009/?ref_=fn_tt_tt_1" TargetMode="External"/><Relationship Id="rId1262" Type="http://schemas.openxmlformats.org/officeDocument/2006/relationships/hyperlink" Target="http://www.imdb.com/title/tt0430308/?ref_=fn_tt_tt_1" TargetMode="External"/><Relationship Id="rId1261" Type="http://schemas.openxmlformats.org/officeDocument/2006/relationships/hyperlink" Target="http://www.imdb.com/title/tt1126618/?ref_=fn_tt_tt_1" TargetMode="External"/><Relationship Id="rId1260" Type="http://schemas.openxmlformats.org/officeDocument/2006/relationships/hyperlink" Target="http://www.imdb.com/title/tt0477302/?ref_=fn_tt_tt_1" TargetMode="External"/><Relationship Id="rId126" Type="http://schemas.openxmlformats.org/officeDocument/2006/relationships/hyperlink" Target="http://www.imdb.com/title/tt2294629/?ref_=fn_tt_tt_1" TargetMode="External"/><Relationship Id="rId1259" Type="http://schemas.openxmlformats.org/officeDocument/2006/relationships/hyperlink" Target="http://www.imdb.com/title/tt0111143/?ref_=fn_tt_tt_1" TargetMode="External"/><Relationship Id="rId1258" Type="http://schemas.openxmlformats.org/officeDocument/2006/relationships/hyperlink" Target="http://www.imdb.com/title/tt2557490/?ref_=fn_tt_tt_1" TargetMode="External"/><Relationship Id="rId1257" Type="http://schemas.openxmlformats.org/officeDocument/2006/relationships/hyperlink" Target="http://www.imdb.com/title/tt0817538/?ref_=fn_tt_tt_1" TargetMode="External"/><Relationship Id="rId1256" Type="http://schemas.openxmlformats.org/officeDocument/2006/relationships/hyperlink" Target="http://www.imdb.com/title/tt0169414/?ref_=fn_tt_tt_1" TargetMode="External"/><Relationship Id="rId1255" Type="http://schemas.openxmlformats.org/officeDocument/2006/relationships/hyperlink" Target="http://www.imdb.com/title/tt0332047/?ref_=fn_tt_tt_1" TargetMode="External"/><Relationship Id="rId1254" Type="http://schemas.openxmlformats.org/officeDocument/2006/relationships/hyperlink" Target="http://www.imdb.com/title/tt0223897/?ref_=fn_tt_tt_1" TargetMode="External"/><Relationship Id="rId1253" Type="http://schemas.openxmlformats.org/officeDocument/2006/relationships/hyperlink" Target="http://www.imdb.com/title/tt0130121/?ref_=fn_tt_tt_1" TargetMode="External"/><Relationship Id="rId1252" Type="http://schemas.openxmlformats.org/officeDocument/2006/relationships/hyperlink" Target="http://www.imdb.com/title/tt1622979/?ref_=fn_tt_tt_1" TargetMode="External"/><Relationship Id="rId1251" Type="http://schemas.openxmlformats.org/officeDocument/2006/relationships/hyperlink" Target="http://www.imdb.com/title/tt0162983/?ref_=fn_tt_tt_1" TargetMode="External"/><Relationship Id="rId1250" Type="http://schemas.openxmlformats.org/officeDocument/2006/relationships/hyperlink" Target="http://www.imdb.com/title/tt1956620/?ref_=fn_tt_tt_1" TargetMode="External"/><Relationship Id="rId125" Type="http://schemas.openxmlformats.org/officeDocument/2006/relationships/hyperlink" Target="http://www.imdb.com/title/tt0242653/?ref_=fn_tt_tt_1" TargetMode="External"/><Relationship Id="rId1249" Type="http://schemas.openxmlformats.org/officeDocument/2006/relationships/hyperlink" Target="http://www.imdb.com/title/tt0101761/?ref_=fn_tt_tt_1" TargetMode="External"/><Relationship Id="rId1248" Type="http://schemas.openxmlformats.org/officeDocument/2006/relationships/hyperlink" Target="http://www.imdb.com/title/tt0134273/?ref_=fn_tt_tt_1" TargetMode="External"/><Relationship Id="rId1247" Type="http://schemas.openxmlformats.org/officeDocument/2006/relationships/hyperlink" Target="http://www.imdb.com/title/tt1262416/?ref_=fn_tt_tt_1" TargetMode="External"/><Relationship Id="rId1246" Type="http://schemas.openxmlformats.org/officeDocument/2006/relationships/hyperlink" Target="http://www.imdb.com/title/tt1694020/?ref_=fn_tt_tt_1" TargetMode="External"/><Relationship Id="rId1245" Type="http://schemas.openxmlformats.org/officeDocument/2006/relationships/hyperlink" Target="http://www.imdb.com/title/tt1092026/?ref_=fn_tt_tt_1" TargetMode="External"/><Relationship Id="rId1244" Type="http://schemas.openxmlformats.org/officeDocument/2006/relationships/hyperlink" Target="http://www.imdb.com/title/tt0758766/?ref_=fn_tt_tt_1" TargetMode="External"/><Relationship Id="rId1243" Type="http://schemas.openxmlformats.org/officeDocument/2006/relationships/hyperlink" Target="http://www.imdb.com/title/tt0174480/?ref_=fn_tt_tt_1" TargetMode="External"/><Relationship Id="rId1242" Type="http://schemas.openxmlformats.org/officeDocument/2006/relationships/hyperlink" Target="http://www.imdb.com/title/tt0110989/?ref_=fn_tt_tt_1" TargetMode="External"/><Relationship Id="rId1241" Type="http://schemas.openxmlformats.org/officeDocument/2006/relationships/hyperlink" Target="http://www.imdb.com/title/tt0758730/?ref_=fn_tt_tt_1" TargetMode="External"/><Relationship Id="rId1240" Type="http://schemas.openxmlformats.org/officeDocument/2006/relationships/hyperlink" Target="http://www.imdb.com/title/tt0104839/?ref_=fn_tt_tt_1" TargetMode="External"/><Relationship Id="rId124" Type="http://schemas.openxmlformats.org/officeDocument/2006/relationships/hyperlink" Target="http://www.imdb.com/title/tt0458525/?ref_=fn_tt_tt_1" TargetMode="External"/><Relationship Id="rId1239" Type="http://schemas.openxmlformats.org/officeDocument/2006/relationships/hyperlink" Target="http://www.imdb.com/title/tt0118607/?ref_=fn_tt_tt_1" TargetMode="External"/><Relationship Id="rId1238" Type="http://schemas.openxmlformats.org/officeDocument/2006/relationships/hyperlink" Target="http://www.imdb.com/title/tt0348836/?ref_=fn_tt_tt_1" TargetMode="External"/><Relationship Id="rId1237" Type="http://schemas.openxmlformats.org/officeDocument/2006/relationships/hyperlink" Target="http://www.imdb.com/title/tt0119978/?ref_=fn_tt_tt_1" TargetMode="External"/><Relationship Id="rId1236" Type="http://schemas.openxmlformats.org/officeDocument/2006/relationships/hyperlink" Target="http://www.imdb.com/title/tt1742044/?ref_=fn_tt_tt_1" TargetMode="External"/><Relationship Id="rId1235" Type="http://schemas.openxmlformats.org/officeDocument/2006/relationships/hyperlink" Target="http://www.imdb.com/title/tt0866439/?ref_=fn_tt_tt_1" TargetMode="External"/><Relationship Id="rId1234" Type="http://schemas.openxmlformats.org/officeDocument/2006/relationships/hyperlink" Target="http://www.imdb.com/title/tt1462769/?ref_=fn_tt_tt_1" TargetMode="External"/><Relationship Id="rId1233" Type="http://schemas.openxmlformats.org/officeDocument/2006/relationships/hyperlink" Target="http://www.imdb.com/title/tt0397101/?ref_=fn_tt_tt_1" TargetMode="External"/><Relationship Id="rId1232" Type="http://schemas.openxmlformats.org/officeDocument/2006/relationships/hyperlink" Target="http://www.imdb.com/title/tt0410297/?ref_=fn_tt_tt_1" TargetMode="External"/><Relationship Id="rId1231" Type="http://schemas.openxmlformats.org/officeDocument/2006/relationships/hyperlink" Target="http://www.imdb.com/title/tt0363988/?ref_=fn_tt_tt_1" TargetMode="External"/><Relationship Id="rId1230" Type="http://schemas.openxmlformats.org/officeDocument/2006/relationships/hyperlink" Target="http://www.imdb.com/title/tt0091396/?ref_=fn_tt_tt_1" TargetMode="External"/><Relationship Id="rId123" Type="http://schemas.openxmlformats.org/officeDocument/2006/relationships/hyperlink" Target="http://www.imdb.com/title/tt1078912/?ref_=fn_tt_tt_1" TargetMode="External"/><Relationship Id="rId1229" Type="http://schemas.openxmlformats.org/officeDocument/2006/relationships/hyperlink" Target="http://www.imdb.com/title/tt1424381/?ref_=fn_tt_tt_1" TargetMode="External"/><Relationship Id="rId1228" Type="http://schemas.openxmlformats.org/officeDocument/2006/relationships/hyperlink" Target="http://www.imdb.com/title/tt0093428/?ref_=fn_tt_tt_1" TargetMode="External"/><Relationship Id="rId1227" Type="http://schemas.openxmlformats.org/officeDocument/2006/relationships/hyperlink" Target="http://www.imdb.com/title/tt0472043/?ref_=fn_tt_tt_1" TargetMode="External"/><Relationship Id="rId1226" Type="http://schemas.openxmlformats.org/officeDocument/2006/relationships/hyperlink" Target="http://www.imdb.com/title/tt0765446/?ref_=fn_tt_tt_1" TargetMode="External"/><Relationship Id="rId1225" Type="http://schemas.openxmlformats.org/officeDocument/2006/relationships/hyperlink" Target="http://www.imdb.com/title/tt2170439/?ref_=fn_tt_tt_1" TargetMode="External"/><Relationship Id="rId1224" Type="http://schemas.openxmlformats.org/officeDocument/2006/relationships/hyperlink" Target="http://www.imdb.com/title/tt0482571/?ref_=fn_tt_tt_1" TargetMode="External"/><Relationship Id="rId1223" Type="http://schemas.openxmlformats.org/officeDocument/2006/relationships/hyperlink" Target="http://www.imdb.com/title/tt1401152/?ref_=fn_tt_tt_1" TargetMode="External"/><Relationship Id="rId1222" Type="http://schemas.openxmlformats.org/officeDocument/2006/relationships/hyperlink" Target="http://www.imdb.com/title/tt1189340/?ref_=fn_tt_tt_1" TargetMode="External"/><Relationship Id="rId1221" Type="http://schemas.openxmlformats.org/officeDocument/2006/relationships/hyperlink" Target="http://www.imdb.com/title/tt0245844/?ref_=fn_tt_tt_1" TargetMode="External"/><Relationship Id="rId1220" Type="http://schemas.openxmlformats.org/officeDocument/2006/relationships/hyperlink" Target="http://www.imdb.com/title/tt0120177/?ref_=fn_tt_tt_1" TargetMode="External"/><Relationship Id="rId122" Type="http://schemas.openxmlformats.org/officeDocument/2006/relationships/hyperlink" Target="http://www.imdb.com/title/tt0479952/?ref_=fn_tt_tt_1" TargetMode="External"/><Relationship Id="rId1219" Type="http://schemas.openxmlformats.org/officeDocument/2006/relationships/hyperlink" Target="http://www.imdb.com/title/tt0122718/?ref_=fn_tt_tt_1" TargetMode="External"/><Relationship Id="rId1218" Type="http://schemas.openxmlformats.org/officeDocument/2006/relationships/hyperlink" Target="http://www.imdb.com/title/tt0358135/?ref_=fn_tt_tt_1" TargetMode="External"/><Relationship Id="rId1217" Type="http://schemas.openxmlformats.org/officeDocument/2006/relationships/hyperlink" Target="http://www.imdb.com/title/tt1226229/?ref_=fn_tt_tt_1" TargetMode="External"/><Relationship Id="rId1216" Type="http://schemas.openxmlformats.org/officeDocument/2006/relationships/hyperlink" Target="http://www.imdb.com/title/tt0159273/?ref_=fn_tt_tt_1" TargetMode="External"/><Relationship Id="rId1215" Type="http://schemas.openxmlformats.org/officeDocument/2006/relationships/hyperlink" Target="http://www.imdb.com/title/tt3682448/?ref_=fn_tt_tt_1" TargetMode="External"/><Relationship Id="rId1214" Type="http://schemas.openxmlformats.org/officeDocument/2006/relationships/hyperlink" Target="http://www.imdb.com/title/tt1144884/?ref_=fn_tt_tt_1" TargetMode="External"/><Relationship Id="rId1213" Type="http://schemas.openxmlformats.org/officeDocument/2006/relationships/hyperlink" Target="http://www.imdb.com/title/tt2203939/?ref_=fn_tt_tt_1" TargetMode="External"/><Relationship Id="rId1212" Type="http://schemas.openxmlformats.org/officeDocument/2006/relationships/hyperlink" Target="http://www.imdb.com/title/tt0974661/?ref_=fn_tt_tt_1" TargetMode="External"/><Relationship Id="rId1211" Type="http://schemas.openxmlformats.org/officeDocument/2006/relationships/hyperlink" Target="http://www.imdb.com/title/tt0236493/?ref_=fn_tt_tt_1" TargetMode="External"/><Relationship Id="rId1210" Type="http://schemas.openxmlformats.org/officeDocument/2006/relationships/hyperlink" Target="http://www.imdb.com/title/tt0421729/?ref_=fn_tt_tt_1" TargetMode="External"/><Relationship Id="rId121" Type="http://schemas.openxmlformats.org/officeDocument/2006/relationships/hyperlink" Target="http://www.imdb.com/title/tt0372784/?ref_=fn_tt_tt_1" TargetMode="External"/><Relationship Id="rId1209" Type="http://schemas.openxmlformats.org/officeDocument/2006/relationships/hyperlink" Target="http://www.imdb.com/title/tt0102138/?ref_=fn_tt_tt_1" TargetMode="External"/><Relationship Id="rId1208" Type="http://schemas.openxmlformats.org/officeDocument/2006/relationships/hyperlink" Target="http://www.imdb.com/title/tt0256380/?ref_=fn_tt_tt_1" TargetMode="External"/><Relationship Id="rId1207" Type="http://schemas.openxmlformats.org/officeDocument/2006/relationships/hyperlink" Target="http://www.imdb.com/title/tt1155056/?ref_=fn_tt_tt_1" TargetMode="External"/><Relationship Id="rId1206" Type="http://schemas.openxmlformats.org/officeDocument/2006/relationships/hyperlink" Target="http://www.imdb.com/title/tt0443274/?ref_=fn_tt_tt_1" TargetMode="External"/><Relationship Id="rId1205" Type="http://schemas.openxmlformats.org/officeDocument/2006/relationships/hyperlink" Target="http://www.imdb.com/title/tt0401792/?ref_=fn_tt_tt_1" TargetMode="External"/><Relationship Id="rId1204" Type="http://schemas.openxmlformats.org/officeDocument/2006/relationships/hyperlink" Target="http://www.imdb.com/title/tt0350258/?ref_=fn_tt_tt_1" TargetMode="External"/><Relationship Id="rId1203" Type="http://schemas.openxmlformats.org/officeDocument/2006/relationships/hyperlink" Target="http://www.imdb.com/title/tt0104691/?ref_=fn_tt_tt_1" TargetMode="External"/><Relationship Id="rId1202" Type="http://schemas.openxmlformats.org/officeDocument/2006/relationships/hyperlink" Target="http://www.imdb.com/title/tt2869728/?ref_=fn_tt_tt_1" TargetMode="External"/><Relationship Id="rId1201" Type="http://schemas.openxmlformats.org/officeDocument/2006/relationships/hyperlink" Target="http://www.imdb.com/title/tt2361509/?ref_=fn_tt_tt_1" TargetMode="External"/><Relationship Id="rId1200" Type="http://schemas.openxmlformats.org/officeDocument/2006/relationships/hyperlink" Target="http://www.imdb.com/title/tt0397313/?ref_=fn_tt_tt_1" TargetMode="External"/><Relationship Id="rId120" Type="http://schemas.openxmlformats.org/officeDocument/2006/relationships/hyperlink" Target="http://www.imdb.com/title/tt0382932/?ref_=fn_tt_tt_1" TargetMode="External"/><Relationship Id="rId12" Type="http://schemas.openxmlformats.org/officeDocument/2006/relationships/hyperlink" Target="http://www.imdb.com/title/tt0348150/?ref_=fn_tt_tt_1" TargetMode="External"/><Relationship Id="rId1199" Type="http://schemas.openxmlformats.org/officeDocument/2006/relationships/hyperlink" Target="http://www.imdb.com/title/tt2096672/?ref_=fn_tt_tt_1" TargetMode="External"/><Relationship Id="rId1198" Type="http://schemas.openxmlformats.org/officeDocument/2006/relationships/hyperlink" Target="http://www.imdb.com/title/tt0134119/?ref_=fn_tt_tt_1" TargetMode="External"/><Relationship Id="rId1197" Type="http://schemas.openxmlformats.org/officeDocument/2006/relationships/hyperlink" Target="http://www.imdb.com/title/tt0453562/?ref_=fn_tt_tt_1" TargetMode="External"/><Relationship Id="rId1196" Type="http://schemas.openxmlformats.org/officeDocument/2006/relationships/hyperlink" Target="http://www.imdb.com/title/tt1135503/?ref_=fn_tt_tt_1" TargetMode="External"/><Relationship Id="rId1195" Type="http://schemas.openxmlformats.org/officeDocument/2006/relationships/hyperlink" Target="http://www.imdb.com/title/tt0103874/?ref_=fn_tt_tt_1" TargetMode="External"/><Relationship Id="rId1194" Type="http://schemas.openxmlformats.org/officeDocument/2006/relationships/hyperlink" Target="http://www.imdb.com/title/tt2561572/?ref_=fn_tt_tt_1" TargetMode="External"/><Relationship Id="rId1193" Type="http://schemas.openxmlformats.org/officeDocument/2006/relationships/hyperlink" Target="http://www.imdb.com/title/tt0099088/?ref_=fn_tt_tt_1" TargetMode="External"/><Relationship Id="rId1192" Type="http://schemas.openxmlformats.org/officeDocument/2006/relationships/hyperlink" Target="http://www.imdb.com/title/tt0134084/?ref_=fn_tt_tt_1" TargetMode="External"/><Relationship Id="rId1191" Type="http://schemas.openxmlformats.org/officeDocument/2006/relationships/hyperlink" Target="http://www.imdb.com/title/tt0362120/?ref_=fn_tt_tt_1" TargetMode="External"/><Relationship Id="rId1190" Type="http://schemas.openxmlformats.org/officeDocument/2006/relationships/hyperlink" Target="http://www.imdb.com/title/tt1001508/?ref_=fn_tt_tt_1" TargetMode="External"/><Relationship Id="rId119" Type="http://schemas.openxmlformats.org/officeDocument/2006/relationships/hyperlink" Target="http://www.imdb.com/title/tt0367594/?ref_=fn_tt_tt_1" TargetMode="External"/><Relationship Id="rId1189" Type="http://schemas.openxmlformats.org/officeDocument/2006/relationships/hyperlink" Target="http://www.imdb.com/title/tt1285016/?ref_=fn_tt_tt_1" TargetMode="External"/><Relationship Id="rId1188" Type="http://schemas.openxmlformats.org/officeDocument/2006/relationships/hyperlink" Target="http://www.imdb.com/title/tt3065204/?ref_=fn_tt_tt_1" TargetMode="External"/><Relationship Id="rId1187" Type="http://schemas.openxmlformats.org/officeDocument/2006/relationships/hyperlink" Target="http://www.imdb.com/title/tt0104694/?ref_=fn_tt_tt_1" TargetMode="External"/><Relationship Id="rId1186" Type="http://schemas.openxmlformats.org/officeDocument/2006/relationships/hyperlink" Target="http://www.imdb.com/title/tt1091191/?ref_=fn_tt_tt_1" TargetMode="External"/><Relationship Id="rId1185" Type="http://schemas.openxmlformats.org/officeDocument/2006/relationships/hyperlink" Target="http://www.imdb.com/title/tt0349205/?ref_=fn_tt_tt_1" TargetMode="External"/><Relationship Id="rId1184" Type="http://schemas.openxmlformats.org/officeDocument/2006/relationships/hyperlink" Target="http://www.imdb.com/title/tt0117913/?ref_=fn_tt_tt_1" TargetMode="External"/><Relationship Id="rId1183" Type="http://schemas.openxmlformats.org/officeDocument/2006/relationships/hyperlink" Target="http://www.imdb.com/title/tt0338459/?ref_=fn_tt_tt_1" TargetMode="External"/><Relationship Id="rId1182" Type="http://schemas.openxmlformats.org/officeDocument/2006/relationships/hyperlink" Target="http://www.imdb.com/title/tt2322441/?ref_=fn_tt_tt_1" TargetMode="External"/><Relationship Id="rId1181" Type="http://schemas.openxmlformats.org/officeDocument/2006/relationships/hyperlink" Target="http://www.imdb.com/title/tt2872732/?ref_=fn_tt_tt_1" TargetMode="External"/><Relationship Id="rId1180" Type="http://schemas.openxmlformats.org/officeDocument/2006/relationships/hyperlink" Target="http://www.imdb.com/title/tt0096874/?ref_=fn_tt_tt_1" TargetMode="External"/><Relationship Id="rId118" Type="http://schemas.openxmlformats.org/officeDocument/2006/relationships/hyperlink" Target="http://www.imdb.com/title/tt0480249/?ref_=fn_tt_tt_1" TargetMode="External"/><Relationship Id="rId1179" Type="http://schemas.openxmlformats.org/officeDocument/2006/relationships/hyperlink" Target="http://www.imdb.com/title/tt0150377/?ref_=fn_tt_tt_1" TargetMode="External"/><Relationship Id="rId1178" Type="http://schemas.openxmlformats.org/officeDocument/2006/relationships/hyperlink" Target="http://www.imdb.com/title/tt1041829/?ref_=fn_tt_tt_1" TargetMode="External"/><Relationship Id="rId1177" Type="http://schemas.openxmlformats.org/officeDocument/2006/relationships/hyperlink" Target="http://www.imdb.com/title/tt1800241/?ref_=fn_tt_tt_1" TargetMode="External"/><Relationship Id="rId1176" Type="http://schemas.openxmlformats.org/officeDocument/2006/relationships/hyperlink" Target="http://www.imdb.com/title/tt0087538/?ref_=fn_tt_tt_1" TargetMode="External"/><Relationship Id="rId1175" Type="http://schemas.openxmlformats.org/officeDocument/2006/relationships/hyperlink" Target="http://www.imdb.com/title/tt1053810/?ref_=fn_tt_tt_1" TargetMode="External"/><Relationship Id="rId1174" Type="http://schemas.openxmlformats.org/officeDocument/2006/relationships/hyperlink" Target="http://www.imdb.com/title/tt1568338/?ref_=fn_tt_tt_1" TargetMode="External"/><Relationship Id="rId1173" Type="http://schemas.openxmlformats.org/officeDocument/2006/relationships/hyperlink" Target="http://www.imdb.com/title/tt0167404/?ref_=fn_tt_tt_1" TargetMode="External"/><Relationship Id="rId1172" Type="http://schemas.openxmlformats.org/officeDocument/2006/relationships/hyperlink" Target="http://www.imdb.com/title/tt0288045/?ref_=fn_tt_tt_1" TargetMode="External"/><Relationship Id="rId1171" Type="http://schemas.openxmlformats.org/officeDocument/2006/relationships/hyperlink" Target="http://www.imdb.com/title/tt0183790/?ref_=fn_tt_tt_1" TargetMode="External"/><Relationship Id="rId1170" Type="http://schemas.openxmlformats.org/officeDocument/2006/relationships/hyperlink" Target="http://www.imdb.com/title/tt1220911/?ref_=fn_tt_tt_1" TargetMode="External"/><Relationship Id="rId117" Type="http://schemas.openxmlformats.org/officeDocument/2006/relationships/hyperlink" Target="http://www.imdb.com/title/tt0448157/?ref_=fn_tt_tt_1" TargetMode="External"/><Relationship Id="rId1169" Type="http://schemas.openxmlformats.org/officeDocument/2006/relationships/hyperlink" Target="http://www.imdb.com/title/tt0298203/?ref_=fn_tt_tt_1" TargetMode="External"/><Relationship Id="rId1168" Type="http://schemas.openxmlformats.org/officeDocument/2006/relationships/hyperlink" Target="http://www.imdb.com/title/tt1149361/?ref_=fn_tt_tt_1" TargetMode="External"/><Relationship Id="rId1167" Type="http://schemas.openxmlformats.org/officeDocument/2006/relationships/hyperlink" Target="http://www.imdb.com/title/tt0055689/?ref_=fn_tt_tt_1" TargetMode="External"/><Relationship Id="rId1166" Type="http://schemas.openxmlformats.org/officeDocument/2006/relationships/hyperlink" Target="http://www.imdb.com/title/tt1032751/?ref_=fn_tt_tt_1" TargetMode="External"/><Relationship Id="rId1165" Type="http://schemas.openxmlformats.org/officeDocument/2006/relationships/hyperlink" Target="http://www.imdb.com/title/tt2788710/?ref_=fn_tt_tt_1" TargetMode="External"/><Relationship Id="rId1164" Type="http://schemas.openxmlformats.org/officeDocument/2006/relationships/hyperlink" Target="http://www.imdb.com/title/tt1598828/?ref_=fn_tt_tt_1" TargetMode="External"/><Relationship Id="rId1163" Type="http://schemas.openxmlformats.org/officeDocument/2006/relationships/hyperlink" Target="http://www.imdb.com/title/tt0299977/?ref_=fn_tt_tt_1" TargetMode="External"/><Relationship Id="rId1162" Type="http://schemas.openxmlformats.org/officeDocument/2006/relationships/hyperlink" Target="http://www.imdb.com/title/tt0399295/?ref_=fn_tt_tt_1" TargetMode="External"/><Relationship Id="rId1161" Type="http://schemas.openxmlformats.org/officeDocument/2006/relationships/hyperlink" Target="http://www.imdb.com/title/tt0108255/?ref_=fn_tt_tt_1" TargetMode="External"/><Relationship Id="rId1160" Type="http://schemas.openxmlformats.org/officeDocument/2006/relationships/hyperlink" Target="http://www.imdb.com/title/tt0179626/?ref_=fn_tt_tt_1" TargetMode="External"/><Relationship Id="rId116" Type="http://schemas.openxmlformats.org/officeDocument/2006/relationships/hyperlink" Target="http://www.imdb.com/title/tt0330373/?ref_=fn_tt_tt_1" TargetMode="External"/><Relationship Id="rId1159" Type="http://schemas.openxmlformats.org/officeDocument/2006/relationships/hyperlink" Target="http://www.imdb.com/title/tt1486185/?ref_=fn_tt_tt_1" TargetMode="External"/><Relationship Id="rId1158" Type="http://schemas.openxmlformats.org/officeDocument/2006/relationships/hyperlink" Target="http://www.imdb.com/title/tt0097742/?ref_=fn_tt_tt_1" TargetMode="External"/><Relationship Id="rId1157" Type="http://schemas.openxmlformats.org/officeDocument/2006/relationships/hyperlink" Target="http://www.imdb.com/title/tt0889583/?ref_=fn_tt_tt_1" TargetMode="External"/><Relationship Id="rId1156" Type="http://schemas.openxmlformats.org/officeDocument/2006/relationships/hyperlink" Target="http://www.imdb.com/title/tt0265349/?ref_=fn_tt_tt_1" TargetMode="External"/><Relationship Id="rId1155" Type="http://schemas.openxmlformats.org/officeDocument/2006/relationships/hyperlink" Target="http://www.imdb.com/title/tt0117057/?ref_=fn_tt_tt_1" TargetMode="External"/><Relationship Id="rId1154" Type="http://schemas.openxmlformats.org/officeDocument/2006/relationships/hyperlink" Target="http://www.imdb.com/title/tt0257756/?ref_=fn_tt_tt_1" TargetMode="External"/><Relationship Id="rId1153" Type="http://schemas.openxmlformats.org/officeDocument/2006/relationships/hyperlink" Target="http://www.imdb.com/title/tt1648179/?ref_=fn_tt_tt_1" TargetMode="External"/><Relationship Id="rId1152" Type="http://schemas.openxmlformats.org/officeDocument/2006/relationships/hyperlink" Target="http://www.imdb.com/title/tt0056937/?ref_=fn_tt_tt_1" TargetMode="External"/><Relationship Id="rId1151" Type="http://schemas.openxmlformats.org/officeDocument/2006/relationships/hyperlink" Target="http://www.imdb.com/title/tt2404463/?ref_=fn_tt_tt_1" TargetMode="External"/><Relationship Id="rId1150" Type="http://schemas.openxmlformats.org/officeDocument/2006/relationships/hyperlink" Target="http://www.imdb.com/title/tt0103859/?ref_=fn_tt_tt_1" TargetMode="External"/><Relationship Id="rId115" Type="http://schemas.openxmlformats.org/officeDocument/2006/relationships/hyperlink" Target="http://www.imdb.com/title/tt0373889/?ref_=fn_tt_tt_1" TargetMode="External"/><Relationship Id="rId1149" Type="http://schemas.openxmlformats.org/officeDocument/2006/relationships/hyperlink" Target="http://www.imdb.com/title/tt0343135/?ref_=fn_tt_tt_1" TargetMode="External"/><Relationship Id="rId1148" Type="http://schemas.openxmlformats.org/officeDocument/2006/relationships/hyperlink" Target="http://www.imdb.com/title/tt0120630/?ref_=fn_tt_tt_1" TargetMode="External"/><Relationship Id="rId1147" Type="http://schemas.openxmlformats.org/officeDocument/2006/relationships/hyperlink" Target="http://www.imdb.com/title/tt0125439/?ref_=fn_tt_tt_1" TargetMode="External"/><Relationship Id="rId1146" Type="http://schemas.openxmlformats.org/officeDocument/2006/relationships/hyperlink" Target="http://www.imdb.com/title/tt1232829/?ref_=fn_tt_tt_1" TargetMode="External"/><Relationship Id="rId1145" Type="http://schemas.openxmlformats.org/officeDocument/2006/relationships/hyperlink" Target="http://www.imdb.com/title/tt0472399/?ref_=fn_tt_tt_1" TargetMode="External"/><Relationship Id="rId1144" Type="http://schemas.openxmlformats.org/officeDocument/2006/relationships/hyperlink" Target="http://www.imdb.com/title/tt1438254/?ref_=fn_tt_tt_1" TargetMode="External"/><Relationship Id="rId1143" Type="http://schemas.openxmlformats.org/officeDocument/2006/relationships/hyperlink" Target="http://www.imdb.com/title/tt0106918/?ref_=fn_tt_tt_1" TargetMode="External"/><Relationship Id="rId1142" Type="http://schemas.openxmlformats.org/officeDocument/2006/relationships/hyperlink" Target="http://www.imdb.com/title/tt0253867/?ref_=fn_tt_tt_1" TargetMode="External"/><Relationship Id="rId1141" Type="http://schemas.openxmlformats.org/officeDocument/2006/relationships/hyperlink" Target="http://www.imdb.com/title/tt0342258/?ref_=fn_tt_tt_1" TargetMode="External"/><Relationship Id="rId1140" Type="http://schemas.openxmlformats.org/officeDocument/2006/relationships/hyperlink" Target="http://www.imdb.com/title/tt0191754/?ref_=fn_tt_tt_1" TargetMode="External"/><Relationship Id="rId114" Type="http://schemas.openxmlformats.org/officeDocument/2006/relationships/hyperlink" Target="http://www.imdb.com/title/tt0346491/?ref_=fn_tt_tt_1" TargetMode="External"/><Relationship Id="rId1139" Type="http://schemas.openxmlformats.org/officeDocument/2006/relationships/hyperlink" Target="http://www.imdb.com/title/tt0181536/?ref_=fn_tt_tt_1" TargetMode="External"/><Relationship Id="rId1138" Type="http://schemas.openxmlformats.org/officeDocument/2006/relationships/hyperlink" Target="http://www.imdb.com/title/tt1976009/?ref_=fn_tt_tt_1" TargetMode="External"/><Relationship Id="rId1137" Type="http://schemas.openxmlformats.org/officeDocument/2006/relationships/hyperlink" Target="http://www.imdb.com/title/tt0401855/?ref_=fn_tt_tt_1" TargetMode="External"/><Relationship Id="rId1136" Type="http://schemas.openxmlformats.org/officeDocument/2006/relationships/hyperlink" Target="http://www.imdb.com/title/tt0080855/?ref_=fn_tt_tt_1" TargetMode="External"/><Relationship Id="rId1135" Type="http://schemas.openxmlformats.org/officeDocument/2006/relationships/hyperlink" Target="http://www.imdb.com/title/tt0032910/?ref_=fn_tt_tt_1" TargetMode="External"/><Relationship Id="rId1134" Type="http://schemas.openxmlformats.org/officeDocument/2006/relationships/hyperlink" Target="http://www.imdb.com/title/tt0116731/?ref_=fn_tt_tt_1" TargetMode="External"/><Relationship Id="rId1133" Type="http://schemas.openxmlformats.org/officeDocument/2006/relationships/hyperlink" Target="http://www.imdb.com/title/tt0089880/?ref_=fn_tt_tt_1" TargetMode="External"/><Relationship Id="rId1132" Type="http://schemas.openxmlformats.org/officeDocument/2006/relationships/hyperlink" Target="http://www.imdb.com/title/tt0117665/?ref_=fn_tt_tt_1" TargetMode="External"/><Relationship Id="rId1131" Type="http://schemas.openxmlformats.org/officeDocument/2006/relationships/hyperlink" Target="http://www.imdb.com/title/tt1038919/?ref_=fn_tt_tt_1" TargetMode="External"/><Relationship Id="rId1130" Type="http://schemas.openxmlformats.org/officeDocument/2006/relationships/hyperlink" Target="http://www.imdb.com/title/tt0106977/?ref_=fn_tt_tt_1" TargetMode="External"/><Relationship Id="rId113" Type="http://schemas.openxmlformats.org/officeDocument/2006/relationships/hyperlink" Target="http://www.imdb.com/title/tt0418279/?ref_=fn_tt_tt_1" TargetMode="External"/><Relationship Id="rId1129" Type="http://schemas.openxmlformats.org/officeDocument/2006/relationships/hyperlink" Target="http://www.imdb.com/title/tt1024648/?ref_=fn_tt_tt_1" TargetMode="External"/><Relationship Id="rId1128" Type="http://schemas.openxmlformats.org/officeDocument/2006/relationships/hyperlink" Target="http://www.imdb.com/title/tt0249516/?ref_=fn_tt_tt_1" TargetMode="External"/><Relationship Id="rId1127" Type="http://schemas.openxmlformats.org/officeDocument/2006/relationships/hyperlink" Target="http://www.imdb.com/title/tt1634122/?ref_=fn_tt_tt_1" TargetMode="External"/><Relationship Id="rId1126" Type="http://schemas.openxmlformats.org/officeDocument/2006/relationships/hyperlink" Target="http://www.imdb.com/title/tt0120107/?ref_=fn_tt_tt_1" TargetMode="External"/><Relationship Id="rId1125" Type="http://schemas.openxmlformats.org/officeDocument/2006/relationships/hyperlink" Target="http://www.imdb.com/title/tt2521668/?ref_=fn_tt_tt_1" TargetMode="External"/><Relationship Id="rId1124" Type="http://schemas.openxmlformats.org/officeDocument/2006/relationships/hyperlink" Target="http://www.imdb.com/title/tt0484740/?ref_=fn_tt_tt_1" TargetMode="External"/><Relationship Id="rId1123" Type="http://schemas.openxmlformats.org/officeDocument/2006/relationships/hyperlink" Target="http://www.imdb.com/title/tt0246464/?ref_=fn_tt_tt_1" TargetMode="External"/><Relationship Id="rId1122" Type="http://schemas.openxmlformats.org/officeDocument/2006/relationships/hyperlink" Target="http://www.imdb.com/title/tt0814022/?ref_=fn_tt_tt_1" TargetMode="External"/><Relationship Id="rId1121" Type="http://schemas.openxmlformats.org/officeDocument/2006/relationships/hyperlink" Target="http://www.imdb.com/title/tt0473444/?ref_=fn_tt_tt_1" TargetMode="External"/><Relationship Id="rId1120" Type="http://schemas.openxmlformats.org/officeDocument/2006/relationships/hyperlink" Target="http://www.imdb.com/title/tt1046997/?ref_=fn_tt_tt_1" TargetMode="External"/><Relationship Id="rId112" Type="http://schemas.openxmlformats.org/officeDocument/2006/relationships/hyperlink" Target="http://www.imdb.com/title/tt0213149/?ref_=fn_tt_tt_1" TargetMode="External"/><Relationship Id="rId1119" Type="http://schemas.openxmlformats.org/officeDocument/2006/relationships/hyperlink" Target="http://www.imdb.com/title/tt0118956/?ref_=fn_tt_tt_1" TargetMode="External"/><Relationship Id="rId1118" Type="http://schemas.openxmlformats.org/officeDocument/2006/relationships/hyperlink" Target="http://www.imdb.com/title/tt1139328/?ref_=fn_tt_tt_1" TargetMode="External"/><Relationship Id="rId1117" Type="http://schemas.openxmlformats.org/officeDocument/2006/relationships/hyperlink" Target="http://www.imdb.com/title/tt0113987/?ref_=fn_tt_tt_1" TargetMode="External"/><Relationship Id="rId1116" Type="http://schemas.openxmlformats.org/officeDocument/2006/relationships/hyperlink" Target="http://www.imdb.com/title/tt0149624/?ref_=fn_tt_tt_1" TargetMode="External"/><Relationship Id="rId1115" Type="http://schemas.openxmlformats.org/officeDocument/2006/relationships/hyperlink" Target="http://www.imdb.com/title/tt0117331/?ref_=fn_tt_tt_1" TargetMode="External"/><Relationship Id="rId1114" Type="http://schemas.openxmlformats.org/officeDocument/2006/relationships/hyperlink" Target="http://www.imdb.com/title/tt0395251/?ref_=fn_tt_tt_1" TargetMode="External"/><Relationship Id="rId1113" Type="http://schemas.openxmlformats.org/officeDocument/2006/relationships/hyperlink" Target="http://www.imdb.com/title/tt0237572/?ref_=fn_tt_tt_1" TargetMode="External"/><Relationship Id="rId1112" Type="http://schemas.openxmlformats.org/officeDocument/2006/relationships/hyperlink" Target="http://www.imdb.com/title/tt0775552/?ref_=fn_tt_tt_1" TargetMode="External"/><Relationship Id="rId1111" Type="http://schemas.openxmlformats.org/officeDocument/2006/relationships/hyperlink" Target="http://www.imdb.com/title/tt0117108/?ref_=fn_tt_tt_1" TargetMode="External"/><Relationship Id="rId1110" Type="http://schemas.openxmlformats.org/officeDocument/2006/relationships/hyperlink" Target="http://www.imdb.com/title/tt0116421/?ref_=fn_tt_tt_1" TargetMode="External"/><Relationship Id="rId111" Type="http://schemas.openxmlformats.org/officeDocument/2006/relationships/hyperlink" Target="http://www.imdb.com/title/tt0980970/?ref_=fn_tt_tt_1" TargetMode="External"/><Relationship Id="rId1109" Type="http://schemas.openxmlformats.org/officeDocument/2006/relationships/hyperlink" Target="http://www.imdb.com/title/tt0364970/?ref_=fn_tt_tt_1" TargetMode="External"/><Relationship Id="rId1108" Type="http://schemas.openxmlformats.org/officeDocument/2006/relationships/hyperlink" Target="http://www.imdb.com/title/tt0450232/?ref_=fn_tt_tt_1" TargetMode="External"/><Relationship Id="rId1107" Type="http://schemas.openxmlformats.org/officeDocument/2006/relationships/hyperlink" Target="http://www.imdb.com/title/tt0959337/?ref_=fn_tt_tt_1" TargetMode="External"/><Relationship Id="rId1106" Type="http://schemas.openxmlformats.org/officeDocument/2006/relationships/hyperlink" Target="http://www.imdb.com/title/tt0445922/?ref_=fn_tt_tt_1" TargetMode="External"/><Relationship Id="rId1105" Type="http://schemas.openxmlformats.org/officeDocument/2006/relationships/hyperlink" Target="http://www.imdb.com/title/tt0087182/?ref_=fn_tt_tt_1" TargetMode="External"/><Relationship Id="rId1104" Type="http://schemas.openxmlformats.org/officeDocument/2006/relationships/hyperlink" Target="http://www.imdb.com/title/tt0429589/?ref_=fn_tt_tt_1" TargetMode="External"/><Relationship Id="rId1103" Type="http://schemas.openxmlformats.org/officeDocument/2006/relationships/hyperlink" Target="http://www.imdb.com/title/tt0274166/?ref_=fn_tt_tt_1" TargetMode="External"/><Relationship Id="rId1102" Type="http://schemas.openxmlformats.org/officeDocument/2006/relationships/hyperlink" Target="http://www.imdb.com/title/tt0337921/?ref_=fn_tt_tt_1" TargetMode="External"/><Relationship Id="rId1101" Type="http://schemas.openxmlformats.org/officeDocument/2006/relationships/hyperlink" Target="http://www.imdb.com/title/tt1615065/?ref_=fn_tt_tt_1" TargetMode="External"/><Relationship Id="rId1100" Type="http://schemas.openxmlformats.org/officeDocument/2006/relationships/hyperlink" Target="http://www.imdb.com/title/tt0113419/?ref_=fn_tt_tt_1" TargetMode="External"/><Relationship Id="rId110" Type="http://schemas.openxmlformats.org/officeDocument/2006/relationships/hyperlink" Target="http://www.imdb.com/title/tt1340138/?ref_=fn_tt_tt_1" TargetMode="External"/><Relationship Id="rId11" Type="http://schemas.openxmlformats.org/officeDocument/2006/relationships/hyperlink" Target="http://www.imdb.com/title/tt2975590/?ref_=fn_tt_tt_1" TargetMode="External"/><Relationship Id="rId1099" Type="http://schemas.openxmlformats.org/officeDocument/2006/relationships/hyperlink" Target="http://www.imdb.com/title/tt0110997/?ref_=fn_tt_tt_1" TargetMode="External"/><Relationship Id="rId1098" Type="http://schemas.openxmlformats.org/officeDocument/2006/relationships/hyperlink" Target="http://www.imdb.com/title/tt0408985/?ref_=fn_tt_tt_1" TargetMode="External"/><Relationship Id="rId1097" Type="http://schemas.openxmlformats.org/officeDocument/2006/relationships/hyperlink" Target="http://www.imdb.com/title/tt1086772/?ref_=fn_tt_tt_1" TargetMode="External"/><Relationship Id="rId1096" Type="http://schemas.openxmlformats.org/officeDocument/2006/relationships/hyperlink" Target="http://www.imdb.com/title/tt0432021/?ref_=fn_tt_tt_1" TargetMode="External"/><Relationship Id="rId1095" Type="http://schemas.openxmlformats.org/officeDocument/2006/relationships/hyperlink" Target="http://www.imdb.com/title/tt0396592/?ref_=fn_tt_tt_1" TargetMode="External"/><Relationship Id="rId1094" Type="http://schemas.openxmlformats.org/officeDocument/2006/relationships/hyperlink" Target="http://www.imdb.com/title/tt0371724/?ref_=fn_tt_tt_1" TargetMode="External"/><Relationship Id="rId1093" Type="http://schemas.openxmlformats.org/officeDocument/2006/relationships/hyperlink" Target="http://www.imdb.com/title/tt0384642/?ref_=fn_tt_tt_1" TargetMode="External"/><Relationship Id="rId1092" Type="http://schemas.openxmlformats.org/officeDocument/2006/relationships/hyperlink" Target="http://www.imdb.com/title/tt0063829/?ref_=fn_tt_tt_1" TargetMode="External"/><Relationship Id="rId1091" Type="http://schemas.openxmlformats.org/officeDocument/2006/relationships/hyperlink" Target="http://www.imdb.com/title/tt0117918/?ref_=fn_tt_tt_1" TargetMode="External"/><Relationship Id="rId1090" Type="http://schemas.openxmlformats.org/officeDocument/2006/relationships/hyperlink" Target="http://www.imdb.com/title/tt0111255/?ref_=fn_tt_tt_1" TargetMode="External"/><Relationship Id="rId109" Type="http://schemas.openxmlformats.org/officeDocument/2006/relationships/hyperlink" Target="http://www.imdb.com/title/tt0803096/?ref_=fn_tt_tt_1" TargetMode="External"/><Relationship Id="rId1089" Type="http://schemas.openxmlformats.org/officeDocument/2006/relationships/hyperlink" Target="http://www.imdb.com/title/tt0120681/?ref_=fn_tt_tt_1" TargetMode="External"/><Relationship Id="rId1088" Type="http://schemas.openxmlformats.org/officeDocument/2006/relationships/hyperlink" Target="http://www.imdb.com/title/tt0120623/?ref_=fn_tt_tt_1" TargetMode="External"/><Relationship Id="rId1087" Type="http://schemas.openxmlformats.org/officeDocument/2006/relationships/hyperlink" Target="http://www.imdb.com/title/tt0314331/?ref_=fn_tt_tt_1" TargetMode="External"/><Relationship Id="rId1086" Type="http://schemas.openxmlformats.org/officeDocument/2006/relationships/hyperlink" Target="http://www.imdb.com/title/tt0200550/?ref_=fn_tt_tt_1" TargetMode="External"/><Relationship Id="rId1085" Type="http://schemas.openxmlformats.org/officeDocument/2006/relationships/hyperlink" Target="http://www.imdb.com/title/tt0118615/?ref_=fn_tt_tt_1" TargetMode="External"/><Relationship Id="rId1084" Type="http://schemas.openxmlformats.org/officeDocument/2006/relationships/hyperlink" Target="http://www.imdb.com/title/tt0264472/?ref_=fn_tt_tt_1" TargetMode="External"/><Relationship Id="rId1083" Type="http://schemas.openxmlformats.org/officeDocument/2006/relationships/hyperlink" Target="http://www.imdb.com/title/tt0393162/?ref_=fn_tt_tt_1" TargetMode="External"/><Relationship Id="rId1082" Type="http://schemas.openxmlformats.org/officeDocument/2006/relationships/hyperlink" Target="http://www.imdb.com/title/tt0120611/?ref_=fn_tt_tt_1" TargetMode="External"/><Relationship Id="rId1081" Type="http://schemas.openxmlformats.org/officeDocument/2006/relationships/hyperlink" Target="http://www.imdb.com/title/tt1204342/?ref_=fn_tt_tt_1" TargetMode="External"/><Relationship Id="rId1080" Type="http://schemas.openxmlformats.org/officeDocument/2006/relationships/hyperlink" Target="http://www.imdb.com/title/tt0257106/?ref_=fn_tt_tt_1" TargetMode="External"/><Relationship Id="rId108" Type="http://schemas.openxmlformats.org/officeDocument/2006/relationships/hyperlink" Target="http://www.imdb.com/title/tt0413267/?ref_=fn_tt_tt_1" TargetMode="External"/><Relationship Id="rId1079" Type="http://schemas.openxmlformats.org/officeDocument/2006/relationships/hyperlink" Target="http://www.imdb.com/title/tt0177789/?ref_=fn_tt_tt_1" TargetMode="External"/><Relationship Id="rId1078" Type="http://schemas.openxmlformats.org/officeDocument/2006/relationships/hyperlink" Target="http://www.imdb.com/title/tt0139654/?ref_=fn_tt_tt_1" TargetMode="External"/><Relationship Id="rId1077" Type="http://schemas.openxmlformats.org/officeDocument/2006/relationships/hyperlink" Target="http://www.imdb.com/title/tt1392214/?ref_=fn_tt_tt_1" TargetMode="External"/><Relationship Id="rId1076" Type="http://schemas.openxmlformats.org/officeDocument/2006/relationships/hyperlink" Target="http://www.imdb.com/title/tt0369735/?ref_=fn_tt_tt_1" TargetMode="External"/><Relationship Id="rId1075" Type="http://schemas.openxmlformats.org/officeDocument/2006/relationships/hyperlink" Target="http://www.imdb.com/title/tt0105112/?ref_=fn_tt_tt_1" TargetMode="External"/><Relationship Id="rId1074" Type="http://schemas.openxmlformats.org/officeDocument/2006/relationships/hyperlink" Target="http://www.imdb.com/title/tt0825232/?ref_=fn_tt_tt_1" TargetMode="External"/><Relationship Id="rId1073" Type="http://schemas.openxmlformats.org/officeDocument/2006/relationships/hyperlink" Target="http://www.imdb.com/title/tt0109446/?ref_=fn_tt_tt_1" TargetMode="External"/><Relationship Id="rId1072" Type="http://schemas.openxmlformats.org/officeDocument/2006/relationships/hyperlink" Target="http://www.imdb.com/title/tt0107798/?ref_=fn_tt_tt_1" TargetMode="External"/><Relationship Id="rId1071" Type="http://schemas.openxmlformats.org/officeDocument/2006/relationships/hyperlink" Target="http://www.imdb.com/title/tt0368933/?ref_=fn_tt_tt_1" TargetMode="External"/><Relationship Id="rId1070" Type="http://schemas.openxmlformats.org/officeDocument/2006/relationships/hyperlink" Target="http://www.imdb.com/title/tt0373051/?ref_=fn_tt_tt_1" TargetMode="External"/><Relationship Id="rId107" Type="http://schemas.openxmlformats.org/officeDocument/2006/relationships/hyperlink" Target="http://www.imdb.com/title/tt2567026/?ref_=fn_tt_tt_1" TargetMode="External"/><Relationship Id="rId1069" Type="http://schemas.openxmlformats.org/officeDocument/2006/relationships/hyperlink" Target="http://www.imdb.com/title/tt0212346/?ref_=fn_tt_tt_1" TargetMode="External"/><Relationship Id="rId1068" Type="http://schemas.openxmlformats.org/officeDocument/2006/relationships/hyperlink" Target="http://www.imdb.com/title/tt0306047/?ref_=fn_tt_tt_1" TargetMode="External"/><Relationship Id="rId1067" Type="http://schemas.openxmlformats.org/officeDocument/2006/relationships/hyperlink" Target="http://www.imdb.com/title/tt1397280/?ref_=fn_tt_tt_1" TargetMode="External"/><Relationship Id="rId1066" Type="http://schemas.openxmlformats.org/officeDocument/2006/relationships/hyperlink" Target="http://www.imdb.com/title/tt0109813/?ref_=fn_tt_tt_1" TargetMode="External"/><Relationship Id="rId1065" Type="http://schemas.openxmlformats.org/officeDocument/2006/relationships/hyperlink" Target="http://www.imdb.com/title/tt0084132/?ref_=fn_tt_tt_1" TargetMode="External"/><Relationship Id="rId1064" Type="http://schemas.openxmlformats.org/officeDocument/2006/relationships/hyperlink" Target="http://www.imdb.com/title/tt1355631/?ref_=fn_tt_tt_1" TargetMode="External"/><Relationship Id="rId1063" Type="http://schemas.openxmlformats.org/officeDocument/2006/relationships/hyperlink" Target="http://www.imdb.com/title/tt0119528/?ref_=fn_tt_tt_1" TargetMode="External"/><Relationship Id="rId1062" Type="http://schemas.openxmlformats.org/officeDocument/2006/relationships/hyperlink" Target="http://www.imdb.com/title/tt0115956/?ref_=fn_tt_tt_1" TargetMode="External"/><Relationship Id="rId1061" Type="http://schemas.openxmlformats.org/officeDocument/2006/relationships/hyperlink" Target="http://www.imdb.com/title/tt1075747/?ref_=fn_tt_tt_1" TargetMode="External"/><Relationship Id="rId1060" Type="http://schemas.openxmlformats.org/officeDocument/2006/relationships/hyperlink" Target="http://www.imdb.com/title/tt0117731/?ref_=fn_tt_tt_1" TargetMode="External"/><Relationship Id="rId106" Type="http://schemas.openxmlformats.org/officeDocument/2006/relationships/hyperlink" Target="http://www.imdb.com/title/tt0409182/?ref_=fn_tt_tt_1" TargetMode="External"/><Relationship Id="rId1059" Type="http://schemas.openxmlformats.org/officeDocument/2006/relationships/hyperlink" Target="http://www.imdb.com/title/tt0278504/?ref_=fn_tt_tt_1" TargetMode="External"/><Relationship Id="rId1058" Type="http://schemas.openxmlformats.org/officeDocument/2006/relationships/hyperlink" Target="http://www.imdb.com/title/tt0265029/?ref_=fn_tt_tt_1" TargetMode="External"/><Relationship Id="rId1057" Type="http://schemas.openxmlformats.org/officeDocument/2006/relationships/hyperlink" Target="http://www.imdb.com/title/tt0119738/?ref_=fn_tt_tt_1" TargetMode="External"/><Relationship Id="rId1056" Type="http://schemas.openxmlformats.org/officeDocument/2006/relationships/hyperlink" Target="http://www.imdb.com/title/tt0117002/?ref_=fn_tt_tt_1" TargetMode="External"/><Relationship Id="rId1055" Type="http://schemas.openxmlformats.org/officeDocument/2006/relationships/hyperlink" Target="http://www.imdb.com/title/tt0308353/?ref_=fn_tt_tt_1" TargetMode="External"/><Relationship Id="rId1054" Type="http://schemas.openxmlformats.org/officeDocument/2006/relationships/hyperlink" Target="http://www.imdb.com/title/tt0069293/?ref_=fn_tt_tt_1" TargetMode="External"/><Relationship Id="rId1053" Type="http://schemas.openxmlformats.org/officeDocument/2006/relationships/hyperlink" Target="http://www.imdb.com/title/tt0083944/?ref_=fn_tt_tt_1" TargetMode="External"/><Relationship Id="rId1052" Type="http://schemas.openxmlformats.org/officeDocument/2006/relationships/hyperlink" Target="http://www.imdb.com/title/tt0200027/?ref_=fn_tt_tt_1" TargetMode="External"/><Relationship Id="rId1051" Type="http://schemas.openxmlformats.org/officeDocument/2006/relationships/hyperlink" Target="http://www.imdb.com/title/tt0155267/?ref_=fn_tt_tt_1" TargetMode="External"/><Relationship Id="rId1050" Type="http://schemas.openxmlformats.org/officeDocument/2006/relationships/hyperlink" Target="http://www.imdb.com/title/tt0099422/?ref_=fn_tt_tt_1" TargetMode="External"/><Relationship Id="rId105" Type="http://schemas.openxmlformats.org/officeDocument/2006/relationships/hyperlink" Target="http://www.imdb.com/title/tt0963966/?ref_=fn_tt_tt_1" TargetMode="External"/><Relationship Id="rId1049" Type="http://schemas.openxmlformats.org/officeDocument/2006/relationships/hyperlink" Target="http://www.imdb.com/title/tt0150433/?ref_=fn_tt_tt_1" TargetMode="External"/><Relationship Id="rId1048" Type="http://schemas.openxmlformats.org/officeDocument/2006/relationships/hyperlink" Target="http://www.imdb.com/title/tt0115798/?ref_=fn_tt_tt_1" TargetMode="External"/><Relationship Id="rId1047" Type="http://schemas.openxmlformats.org/officeDocument/2006/relationships/hyperlink" Target="http://www.imdb.com/title/tt0120780/?ref_=fn_tt_tt_1" TargetMode="External"/><Relationship Id="rId1046" Type="http://schemas.openxmlformats.org/officeDocument/2006/relationships/hyperlink" Target="http://www.imdb.com/title/tt2446042/?ref_=fn_tt_tt_1" TargetMode="External"/><Relationship Id="rId1045" Type="http://schemas.openxmlformats.org/officeDocument/2006/relationships/hyperlink" Target="http://www.imdb.com/title/tt0381849/?ref_=fn_tt_tt_1" TargetMode="External"/><Relationship Id="rId1044" Type="http://schemas.openxmlformats.org/officeDocument/2006/relationships/hyperlink" Target="http://www.imdb.com/title/tt0087089/?ref_=fn_tt_tt_1" TargetMode="External"/><Relationship Id="rId1043" Type="http://schemas.openxmlformats.org/officeDocument/2006/relationships/hyperlink" Target="http://www.imdb.com/title/tt0230030/?ref_=fn_tt_tt_1" TargetMode="External"/><Relationship Id="rId1042" Type="http://schemas.openxmlformats.org/officeDocument/2006/relationships/hyperlink" Target="http://www.imdb.com/title/tt0035423/?ref_=fn_tt_tt_1" TargetMode="External"/><Relationship Id="rId1041" Type="http://schemas.openxmlformats.org/officeDocument/2006/relationships/hyperlink" Target="http://www.imdb.com/title/tt0272152/?ref_=fn_tt_tt_1" TargetMode="External"/><Relationship Id="rId1040" Type="http://schemas.openxmlformats.org/officeDocument/2006/relationships/hyperlink" Target="http://www.imdb.com/title/tt0250687/?ref_=fn_tt_tt_1" TargetMode="External"/><Relationship Id="rId104" Type="http://schemas.openxmlformats.org/officeDocument/2006/relationships/hyperlink" Target="http://www.imdb.com/title/tt1951266/?ref_=fn_tt_tt_1" TargetMode="External"/><Relationship Id="rId1039" Type="http://schemas.openxmlformats.org/officeDocument/2006/relationships/hyperlink" Target="http://www.imdb.com/title/tt1014763/?ref_=fn_tt_tt_1" TargetMode="External"/><Relationship Id="rId1038" Type="http://schemas.openxmlformats.org/officeDocument/2006/relationships/hyperlink" Target="http://www.imdb.com/title/tt0120188/?ref_=fn_tt_tt_1" TargetMode="External"/><Relationship Id="rId1037" Type="http://schemas.openxmlformats.org/officeDocument/2006/relationships/hyperlink" Target="http://www.imdb.com/title/tt0473553/?ref_=fn_tt_tt_1" TargetMode="External"/><Relationship Id="rId1036" Type="http://schemas.openxmlformats.org/officeDocument/2006/relationships/hyperlink" Target="http://www.imdb.com/title/tt0258000/?ref_=fn_tt_tt_1" TargetMode="External"/><Relationship Id="rId1035" Type="http://schemas.openxmlformats.org/officeDocument/2006/relationships/hyperlink" Target="http://www.imdb.com/title/tt0145681/?ref_=fn_tt_tt_1" TargetMode="External"/><Relationship Id="rId1034" Type="http://schemas.openxmlformats.org/officeDocument/2006/relationships/hyperlink" Target="http://www.imdb.com/title/tt1823672/?ref_=fn_tt_tt_1" TargetMode="External"/><Relationship Id="rId1033" Type="http://schemas.openxmlformats.org/officeDocument/2006/relationships/hyperlink" Target="http://www.imdb.com/title/tt1781769/?ref_=fn_tt_tt_1" TargetMode="External"/><Relationship Id="rId1032" Type="http://schemas.openxmlformats.org/officeDocument/2006/relationships/hyperlink" Target="http://www.imdb.com/title/tt0097576/?ref_=fn_tt_tt_1" TargetMode="External"/><Relationship Id="rId1031" Type="http://schemas.openxmlformats.org/officeDocument/2006/relationships/hyperlink" Target="http://www.imdb.com/title/tt0181865/?ref_=fn_tt_tt_1" TargetMode="External"/><Relationship Id="rId1030" Type="http://schemas.openxmlformats.org/officeDocument/2006/relationships/hyperlink" Target="http://www.imdb.com/title/tt1131729/?ref_=fn_tt_tt_1" TargetMode="External"/><Relationship Id="rId103" Type="http://schemas.openxmlformats.org/officeDocument/2006/relationships/hyperlink" Target="http://www.imdb.com/title/tt1270798/?ref_=fn_tt_tt_1" TargetMode="External"/><Relationship Id="rId1029" Type="http://schemas.openxmlformats.org/officeDocument/2006/relationships/hyperlink" Target="http://www.imdb.com/title/tt0098987/?ref_=fn_tt_tt_1" TargetMode="External"/><Relationship Id="rId1028" Type="http://schemas.openxmlformats.org/officeDocument/2006/relationships/hyperlink" Target="http://www.imdb.com/title/tt3006802/?ref_=fn_tt_tt_1" TargetMode="External"/><Relationship Id="rId1027" Type="http://schemas.openxmlformats.org/officeDocument/2006/relationships/hyperlink" Target="http://www.imdb.com/title/tt0267804/?ref_=fn_tt_tt_1" TargetMode="External"/><Relationship Id="rId1026" Type="http://schemas.openxmlformats.org/officeDocument/2006/relationships/hyperlink" Target="http://www.imdb.com/title/tt0891592/?ref_=fn_tt_tt_1" TargetMode="External"/><Relationship Id="rId1025" Type="http://schemas.openxmlformats.org/officeDocument/2006/relationships/hyperlink" Target="http://www.imdb.com/title/tt1502404/?ref_=fn_tt_tt_1" TargetMode="External"/><Relationship Id="rId1024" Type="http://schemas.openxmlformats.org/officeDocument/2006/relationships/hyperlink" Target="http://www.imdb.com/title/tt0181151/?ref_=fn_tt_tt_1" TargetMode="External"/><Relationship Id="rId1023" Type="http://schemas.openxmlformats.org/officeDocument/2006/relationships/hyperlink" Target="http://www.imdb.com/title/tt0315824/?ref_=fn_tt_tt_1" TargetMode="External"/><Relationship Id="rId1022" Type="http://schemas.openxmlformats.org/officeDocument/2006/relationships/hyperlink" Target="http://www.imdb.com/title/tt1608290/?ref_=fn_tt_tt_1" TargetMode="External"/><Relationship Id="rId1021" Type="http://schemas.openxmlformats.org/officeDocument/2006/relationships/hyperlink" Target="http://www.imdb.com/title/tt0266452/?ref_=fn_tt_tt_1" TargetMode="External"/><Relationship Id="rId1020" Type="http://schemas.openxmlformats.org/officeDocument/2006/relationships/hyperlink" Target="http://www.imdb.com/title/tt1559547/?ref_=fn_tt_tt_1" TargetMode="External"/><Relationship Id="rId102" Type="http://schemas.openxmlformats.org/officeDocument/2006/relationships/hyperlink" Target="http://www.imdb.com/title/tt0421715/?ref_=fn_tt_tt_1" TargetMode="External"/><Relationship Id="rId1019" Type="http://schemas.openxmlformats.org/officeDocument/2006/relationships/hyperlink" Target="http://www.imdb.com/title/tt1034032/?ref_=fn_tt_tt_1" TargetMode="External"/><Relationship Id="rId1018" Type="http://schemas.openxmlformats.org/officeDocument/2006/relationships/hyperlink" Target="http://www.imdb.com/title/tt0113451/?ref_=fn_tt_tt_1" TargetMode="External"/><Relationship Id="rId1017" Type="http://schemas.openxmlformats.org/officeDocument/2006/relationships/hyperlink" Target="http://www.imdb.com/title/tt0421054/?ref_=fn_tt_tt_1" TargetMode="External"/><Relationship Id="rId1016" Type="http://schemas.openxmlformats.org/officeDocument/2006/relationships/hyperlink" Target="http://www.imdb.com/title/tt2189221/?ref_=fn_tt_tt_1" TargetMode="External"/><Relationship Id="rId1015" Type="http://schemas.openxmlformats.org/officeDocument/2006/relationships/hyperlink" Target="http://www.imdb.com/title/tt0977855/?ref_=fn_tt_tt_1" TargetMode="External"/><Relationship Id="rId1014" Type="http://schemas.openxmlformats.org/officeDocument/2006/relationships/hyperlink" Target="http://www.imdb.com/title/tt0114345/?ref_=fn_tt_tt_1" TargetMode="External"/><Relationship Id="rId1013" Type="http://schemas.openxmlformats.org/officeDocument/2006/relationships/hyperlink" Target="http://www.imdb.com/title/tt0109190/?ref_=fn_tt_tt_1" TargetMode="External"/><Relationship Id="rId1012" Type="http://schemas.openxmlformats.org/officeDocument/2006/relationships/hyperlink" Target="http://www.imdb.com/title/tt0119592/?ref_=fn_tt_tt_1" TargetMode="External"/><Relationship Id="rId1011" Type="http://schemas.openxmlformats.org/officeDocument/2006/relationships/hyperlink" Target="http://www.imdb.com/title/tt1462041/?ref_=fn_tt_tt_1" TargetMode="External"/><Relationship Id="rId1010" Type="http://schemas.openxmlformats.org/officeDocument/2006/relationships/hyperlink" Target="http://www.imdb.com/title/tt1240982/?ref_=fn_tt_tt_1" TargetMode="External"/><Relationship Id="rId101" Type="http://schemas.openxmlformats.org/officeDocument/2006/relationships/hyperlink" Target="http://www.imdb.com/title/tt0232500/?ref_=fn_tt_tt_1" TargetMode="External"/><Relationship Id="rId1009" Type="http://schemas.openxmlformats.org/officeDocument/2006/relationships/hyperlink" Target="http://www.imdb.com/title/tt0151137/?ref_=fn_tt_tt_1" TargetMode="External"/><Relationship Id="rId1008" Type="http://schemas.openxmlformats.org/officeDocument/2006/relationships/hyperlink" Target="http://www.imdb.com/title/tt0378109/?ref_=fn_tt_tt_1" TargetMode="External"/><Relationship Id="rId1007" Type="http://schemas.openxmlformats.org/officeDocument/2006/relationships/hyperlink" Target="http://www.imdb.com/title/tt0765443/?ref_=fn_tt_tt_1" TargetMode="External"/><Relationship Id="rId1006" Type="http://schemas.openxmlformats.org/officeDocument/2006/relationships/hyperlink" Target="http://www.imdb.com/title/tt2199571/?ref_=fn_tt_tt_1" TargetMode="External"/><Relationship Id="rId1005" Type="http://schemas.openxmlformats.org/officeDocument/2006/relationships/hyperlink" Target="http://www.imdb.com/title/tt0331933/?ref_=fn_tt_tt_1" TargetMode="External"/><Relationship Id="rId1004" Type="http://schemas.openxmlformats.org/officeDocument/2006/relationships/hyperlink" Target="http://www.imdb.com/title/tt0289992/?ref_=fn_tt_tt_1" TargetMode="External"/><Relationship Id="rId1003" Type="http://schemas.openxmlformats.org/officeDocument/2006/relationships/hyperlink" Target="http://www.imdb.com/title/tt1124037/?ref_=fn_tt_tt_1" TargetMode="External"/><Relationship Id="rId1002" Type="http://schemas.openxmlformats.org/officeDocument/2006/relationships/hyperlink" Target="http://www.imdb.com/title/tt0362270/?ref_=fn_tt_tt_1" TargetMode="External"/><Relationship Id="rId1001" Type="http://schemas.openxmlformats.org/officeDocument/2006/relationships/hyperlink" Target="http://www.imdb.com/title/tt0129167/?ref_=fn_tt_tt_1" TargetMode="External"/><Relationship Id="rId1000" Type="http://schemas.openxmlformats.org/officeDocument/2006/relationships/hyperlink" Target="http://www.imdb.com/title/tt2355844/?ref_=fn_tt_tt_1" TargetMode="External"/><Relationship Id="rId100" Type="http://schemas.openxmlformats.org/officeDocument/2006/relationships/hyperlink" Target="http://www.imdb.com/title/tt0903624/?ref_=fn_tt_tt_1" TargetMode="External"/><Relationship Id="rId10" Type="http://schemas.openxmlformats.org/officeDocument/2006/relationships/hyperlink" Target="http://www.imdb.com/title/tt0417741/?ref_=fn_tt_tt_1" TargetMode="External"/><Relationship Id="rId1" Type="http://schemas.openxmlformats.org/officeDocument/2006/relationships/hyperlink" Target="http://www.imdb.com/title/tt0499549/?ref_=fn_tt_tt_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will.i.am" TargetMode="Externa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6257"/>
  <sheetViews>
    <sheetView tabSelected="1" workbookViewId="0">
      <selection activeCell="A1" sqref="A1"/>
    </sheetView>
  </sheetViews>
  <sheetFormatPr defaultColWidth="12.6296296296296" defaultRowHeight="15.75" customHeight="1"/>
  <cols>
    <col min="2" max="2" width="15.8796296296296" customWidth="1"/>
    <col min="3" max="3" width="19.6296296296296" customWidth="1"/>
    <col min="5" max="5" width="20.1296296296296" customWidth="1"/>
    <col min="6" max="7" width="19.75" customWidth="1"/>
    <col min="9" max="9" width="53.5" customWidth="1"/>
    <col min="10" max="10" width="22.1296296296296" customWidth="1"/>
    <col min="11" max="11" width="23.25" customWidth="1"/>
    <col min="13" max="13" width="63.8796296296296" customWidth="1"/>
    <col min="14" max="14" width="15.25" customWidth="1"/>
    <col min="15" max="15" width="21.6296296296296" customWidth="1"/>
    <col min="16" max="16" width="18.8796296296296" customWidth="1"/>
    <col min="17" max="17" width="111.25" customWidth="1"/>
    <col min="18" max="18" width="39.5" customWidth="1"/>
    <col min="19" max="19" width="19.1296296296296" customWidth="1"/>
    <col min="25" max="25" width="19.75" customWidth="1"/>
    <col min="28" max="28" width="18.75" customWidth="1"/>
  </cols>
  <sheetData>
    <row r="1" customHeight="1" spans="1:3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/>
    </row>
    <row r="2" customHeight="1" spans="1:31">
      <c r="A2" s="11" t="s">
        <v>30</v>
      </c>
      <c r="B2" s="11" t="s">
        <v>31</v>
      </c>
      <c r="C2" s="11">
        <v>723</v>
      </c>
      <c r="D2" s="11">
        <v>178</v>
      </c>
      <c r="E2" s="11">
        <v>0</v>
      </c>
      <c r="F2" s="11">
        <v>855</v>
      </c>
      <c r="G2" s="11">
        <v>1000</v>
      </c>
      <c r="H2" s="11">
        <v>760505847</v>
      </c>
      <c r="I2" s="11" t="s">
        <v>32</v>
      </c>
      <c r="J2" s="11" t="s">
        <v>33</v>
      </c>
      <c r="K2" s="11" t="s">
        <v>34</v>
      </c>
      <c r="L2" s="11" t="s">
        <v>35</v>
      </c>
      <c r="M2" s="11" t="s">
        <v>36</v>
      </c>
      <c r="N2" s="11">
        <v>886204</v>
      </c>
      <c r="O2" s="11">
        <v>4834</v>
      </c>
      <c r="P2" s="11">
        <v>0</v>
      </c>
      <c r="Q2" s="11" t="s">
        <v>37</v>
      </c>
      <c r="R2" s="14" t="s">
        <v>38</v>
      </c>
      <c r="S2" s="11">
        <v>3054</v>
      </c>
      <c r="T2" s="11" t="s">
        <v>39</v>
      </c>
      <c r="U2" s="11" t="s">
        <v>40</v>
      </c>
      <c r="V2" s="11" t="s">
        <v>41</v>
      </c>
      <c r="W2" s="11">
        <v>237000000</v>
      </c>
      <c r="X2" s="11">
        <v>2009</v>
      </c>
      <c r="Y2" s="11">
        <v>936</v>
      </c>
      <c r="Z2" s="11">
        <v>7.9</v>
      </c>
      <c r="AA2" s="11">
        <v>1.78</v>
      </c>
      <c r="AB2" s="11">
        <v>33000</v>
      </c>
      <c r="AC2" s="11"/>
      <c r="AD2" s="11" t="str">
        <f>IFERROR(__xludf.DUMMYFUNCTION("UNIQUE(FLATTEN(J2:L5044))"),"CCH Pounder")</f>
        <v>CCH Pounder</v>
      </c>
      <c r="AE2" s="11"/>
    </row>
    <row r="3" customHeight="1" spans="1:31">
      <c r="A3" s="12" t="s">
        <v>30</v>
      </c>
      <c r="B3" s="12" t="s">
        <v>42</v>
      </c>
      <c r="C3" s="12">
        <v>302</v>
      </c>
      <c r="D3" s="12">
        <v>169</v>
      </c>
      <c r="E3" s="12">
        <v>563</v>
      </c>
      <c r="F3" s="12">
        <v>1000</v>
      </c>
      <c r="G3" s="12">
        <v>40000</v>
      </c>
      <c r="H3" s="12">
        <v>309404152</v>
      </c>
      <c r="I3" s="12" t="s">
        <v>43</v>
      </c>
      <c r="J3" s="12" t="s">
        <v>44</v>
      </c>
      <c r="K3" s="12" t="s">
        <v>45</v>
      </c>
      <c r="L3" s="12" t="s">
        <v>46</v>
      </c>
      <c r="M3" s="12" t="s">
        <v>47</v>
      </c>
      <c r="N3" s="12">
        <v>471220</v>
      </c>
      <c r="O3" s="12">
        <v>48350</v>
      </c>
      <c r="P3" s="12">
        <v>0</v>
      </c>
      <c r="Q3" s="12" t="s">
        <v>48</v>
      </c>
      <c r="R3" s="15" t="s">
        <v>49</v>
      </c>
      <c r="S3" s="12">
        <v>1238</v>
      </c>
      <c r="T3" s="12" t="s">
        <v>39</v>
      </c>
      <c r="U3" s="12" t="s">
        <v>40</v>
      </c>
      <c r="V3" s="12" t="s">
        <v>41</v>
      </c>
      <c r="W3" s="12">
        <v>300000000</v>
      </c>
      <c r="X3" s="12">
        <v>2007</v>
      </c>
      <c r="Y3" s="12">
        <v>5000</v>
      </c>
      <c r="Z3" s="12">
        <v>7.1</v>
      </c>
      <c r="AA3" s="12">
        <v>2.35</v>
      </c>
      <c r="AB3" s="12">
        <v>0</v>
      </c>
      <c r="AC3" s="12"/>
      <c r="AD3" s="12" t="str">
        <f>IFERROR(__xludf.DUMMYFUNCTION("""COMPUTED_VALUE"""),"Joel David Moore")</f>
        <v>Joel David Moore</v>
      </c>
      <c r="AE3" s="12"/>
    </row>
    <row r="4" customHeight="1" spans="1:31">
      <c r="A4" s="11" t="s">
        <v>30</v>
      </c>
      <c r="B4" s="11" t="s">
        <v>50</v>
      </c>
      <c r="C4" s="11">
        <v>602</v>
      </c>
      <c r="D4" s="11">
        <v>148</v>
      </c>
      <c r="E4" s="11">
        <v>0</v>
      </c>
      <c r="F4" s="11">
        <v>161</v>
      </c>
      <c r="G4" s="11">
        <v>11000</v>
      </c>
      <c r="H4" s="11">
        <v>200074175</v>
      </c>
      <c r="I4" s="11" t="s">
        <v>51</v>
      </c>
      <c r="J4" s="11" t="s">
        <v>52</v>
      </c>
      <c r="K4" s="11" t="s">
        <v>53</v>
      </c>
      <c r="L4" s="11" t="s">
        <v>54</v>
      </c>
      <c r="M4" s="11" t="s">
        <v>55</v>
      </c>
      <c r="N4" s="11">
        <v>275868</v>
      </c>
      <c r="O4" s="11">
        <v>11700</v>
      </c>
      <c r="P4" s="11">
        <v>1</v>
      </c>
      <c r="Q4" s="11" t="s">
        <v>56</v>
      </c>
      <c r="R4" s="14" t="s">
        <v>57</v>
      </c>
      <c r="S4" s="11">
        <v>994</v>
      </c>
      <c r="T4" s="11" t="s">
        <v>39</v>
      </c>
      <c r="U4" s="11" t="s">
        <v>58</v>
      </c>
      <c r="V4" s="11" t="s">
        <v>41</v>
      </c>
      <c r="W4" s="11">
        <v>245000000</v>
      </c>
      <c r="X4" s="11">
        <v>2015</v>
      </c>
      <c r="Y4" s="11">
        <v>393</v>
      </c>
      <c r="Z4" s="11">
        <v>6.8</v>
      </c>
      <c r="AA4" s="11">
        <v>2.35</v>
      </c>
      <c r="AB4" s="11">
        <v>85000</v>
      </c>
      <c r="AC4" s="11"/>
      <c r="AD4" s="11" t="str">
        <f>IFERROR(__xludf.DUMMYFUNCTION("""COMPUTED_VALUE"""),"Wes Studi")</f>
        <v>Wes Studi</v>
      </c>
      <c r="AE4" s="11"/>
    </row>
    <row r="5" customHeight="1" spans="1:31">
      <c r="A5" s="12" t="s">
        <v>30</v>
      </c>
      <c r="B5" s="12" t="s">
        <v>59</v>
      </c>
      <c r="C5" s="12">
        <v>813</v>
      </c>
      <c r="D5" s="12">
        <v>164</v>
      </c>
      <c r="E5" s="12">
        <v>22000</v>
      </c>
      <c r="F5" s="12">
        <v>23000</v>
      </c>
      <c r="G5" s="12">
        <v>27000</v>
      </c>
      <c r="H5" s="12">
        <v>448130642</v>
      </c>
      <c r="I5" s="12" t="s">
        <v>60</v>
      </c>
      <c r="J5" s="12" t="s">
        <v>61</v>
      </c>
      <c r="K5" s="12" t="s">
        <v>62</v>
      </c>
      <c r="L5" s="12" t="s">
        <v>63</v>
      </c>
      <c r="M5" s="12" t="s">
        <v>64</v>
      </c>
      <c r="N5" s="12">
        <v>1144337</v>
      </c>
      <c r="O5" s="12">
        <v>106759</v>
      </c>
      <c r="P5" s="12">
        <v>0</v>
      </c>
      <c r="Q5" s="12" t="s">
        <v>65</v>
      </c>
      <c r="R5" s="15" t="s">
        <v>66</v>
      </c>
      <c r="S5" s="12">
        <v>2701</v>
      </c>
      <c r="T5" s="12" t="s">
        <v>39</v>
      </c>
      <c r="U5" s="12" t="s">
        <v>40</v>
      </c>
      <c r="V5" s="12" t="s">
        <v>41</v>
      </c>
      <c r="W5" s="12">
        <v>250000000</v>
      </c>
      <c r="X5" s="12">
        <v>2012</v>
      </c>
      <c r="Y5" s="12">
        <v>23000</v>
      </c>
      <c r="Z5" s="12">
        <v>8.5</v>
      </c>
      <c r="AA5" s="12">
        <v>2.35</v>
      </c>
      <c r="AB5" s="12">
        <v>164000</v>
      </c>
      <c r="AC5" s="12"/>
      <c r="AD5" s="12" t="str">
        <f>IFERROR(__xludf.DUMMYFUNCTION("""COMPUTED_VALUE"""),"Johnny Depp")</f>
        <v>Johnny Depp</v>
      </c>
      <c r="AE5" s="12"/>
    </row>
    <row r="6" customHeight="1" spans="1:31">
      <c r="A6" s="11" t="s">
        <v>30</v>
      </c>
      <c r="B6" s="11" t="s">
        <v>67</v>
      </c>
      <c r="C6" s="13"/>
      <c r="D6" s="13"/>
      <c r="E6" s="11">
        <v>131</v>
      </c>
      <c r="F6" s="13"/>
      <c r="G6" s="11">
        <v>131</v>
      </c>
      <c r="H6" s="13"/>
      <c r="I6" s="11" t="s">
        <v>68</v>
      </c>
      <c r="J6" s="11" t="s">
        <v>67</v>
      </c>
      <c r="K6" s="11" t="s">
        <v>69</v>
      </c>
      <c r="L6" s="13"/>
      <c r="M6" s="11" t="s">
        <v>70</v>
      </c>
      <c r="N6" s="11">
        <v>8</v>
      </c>
      <c r="O6" s="11">
        <v>143</v>
      </c>
      <c r="P6" s="11">
        <v>0</v>
      </c>
      <c r="Q6" s="13"/>
      <c r="R6" s="14" t="s">
        <v>71</v>
      </c>
      <c r="S6" s="13"/>
      <c r="T6" s="13"/>
      <c r="U6" s="13"/>
      <c r="V6" s="13"/>
      <c r="W6" s="13"/>
      <c r="X6" s="13"/>
      <c r="Y6" s="11">
        <v>12</v>
      </c>
      <c r="Z6" s="11">
        <v>7.1</v>
      </c>
      <c r="AA6" s="13"/>
      <c r="AB6" s="11">
        <v>0</v>
      </c>
      <c r="AC6" s="11"/>
      <c r="AD6" s="11" t="str">
        <f>IFERROR(__xludf.DUMMYFUNCTION("""COMPUTED_VALUE"""),"Orlando Bloom")</f>
        <v>Orlando Bloom</v>
      </c>
      <c r="AE6" s="11"/>
    </row>
    <row r="7" customHeight="1" spans="1:31">
      <c r="A7" s="12" t="s">
        <v>30</v>
      </c>
      <c r="B7" s="12" t="s">
        <v>72</v>
      </c>
      <c r="C7" s="12">
        <v>462</v>
      </c>
      <c r="D7" s="12">
        <v>132</v>
      </c>
      <c r="E7" s="12">
        <v>475</v>
      </c>
      <c r="F7" s="12">
        <v>530</v>
      </c>
      <c r="G7" s="12">
        <v>640</v>
      </c>
      <c r="H7" s="12">
        <v>73058679</v>
      </c>
      <c r="I7" s="12" t="s">
        <v>73</v>
      </c>
      <c r="J7" s="12" t="s">
        <v>74</v>
      </c>
      <c r="K7" s="12" t="s">
        <v>75</v>
      </c>
      <c r="L7" s="12" t="s">
        <v>76</v>
      </c>
      <c r="M7" s="12" t="s">
        <v>77</v>
      </c>
      <c r="N7" s="12">
        <v>212204</v>
      </c>
      <c r="O7" s="12">
        <v>1873</v>
      </c>
      <c r="P7" s="12">
        <v>1</v>
      </c>
      <c r="Q7" s="12" t="s">
        <v>78</v>
      </c>
      <c r="R7" s="15" t="s">
        <v>79</v>
      </c>
      <c r="S7" s="12">
        <v>738</v>
      </c>
      <c r="T7" s="12" t="s">
        <v>39</v>
      </c>
      <c r="U7" s="12" t="s">
        <v>40</v>
      </c>
      <c r="V7" s="12" t="s">
        <v>41</v>
      </c>
      <c r="W7" s="12">
        <v>263700000</v>
      </c>
      <c r="X7" s="12">
        <v>2012</v>
      </c>
      <c r="Y7" s="12">
        <v>632</v>
      </c>
      <c r="Z7" s="12">
        <v>6.6</v>
      </c>
      <c r="AA7" s="12">
        <v>2.35</v>
      </c>
      <c r="AB7" s="12">
        <v>24000</v>
      </c>
      <c r="AC7" s="12"/>
      <c r="AD7" s="12" t="str">
        <f>IFERROR(__xludf.DUMMYFUNCTION("""COMPUTED_VALUE"""),"Jack Davenport")</f>
        <v>Jack Davenport</v>
      </c>
      <c r="AE7" s="12"/>
    </row>
    <row r="8" customHeight="1" spans="1:31">
      <c r="A8" s="11" t="s">
        <v>30</v>
      </c>
      <c r="B8" s="11" t="s">
        <v>80</v>
      </c>
      <c r="C8" s="11">
        <v>392</v>
      </c>
      <c r="D8" s="11">
        <v>156</v>
      </c>
      <c r="E8" s="11">
        <v>0</v>
      </c>
      <c r="F8" s="11">
        <v>4000</v>
      </c>
      <c r="G8" s="11">
        <v>24000</v>
      </c>
      <c r="H8" s="11">
        <v>336530303</v>
      </c>
      <c r="I8" s="11" t="s">
        <v>81</v>
      </c>
      <c r="J8" s="11" t="s">
        <v>82</v>
      </c>
      <c r="K8" s="11" t="s">
        <v>83</v>
      </c>
      <c r="L8" s="11" t="s">
        <v>84</v>
      </c>
      <c r="M8" s="11" t="s">
        <v>85</v>
      </c>
      <c r="N8" s="11">
        <v>383056</v>
      </c>
      <c r="O8" s="11">
        <v>46055</v>
      </c>
      <c r="P8" s="11">
        <v>0</v>
      </c>
      <c r="Q8" s="11" t="s">
        <v>86</v>
      </c>
      <c r="R8" s="14" t="s">
        <v>87</v>
      </c>
      <c r="S8" s="11">
        <v>1902</v>
      </c>
      <c r="T8" s="11" t="s">
        <v>39</v>
      </c>
      <c r="U8" s="11" t="s">
        <v>40</v>
      </c>
      <c r="V8" s="11" t="s">
        <v>41</v>
      </c>
      <c r="W8" s="11">
        <v>258000000</v>
      </c>
      <c r="X8" s="11">
        <v>2007</v>
      </c>
      <c r="Y8" s="11">
        <v>11000</v>
      </c>
      <c r="Z8" s="11">
        <v>6.2</v>
      </c>
      <c r="AA8" s="11">
        <v>2.35</v>
      </c>
      <c r="AB8" s="11">
        <v>0</v>
      </c>
      <c r="AC8" s="11"/>
      <c r="AD8" s="11" t="str">
        <f>IFERROR(__xludf.DUMMYFUNCTION("""COMPUTED_VALUE"""),"Christoph Waltz")</f>
        <v>Christoph Waltz</v>
      </c>
      <c r="AE8" s="11"/>
    </row>
    <row r="9" customHeight="1" spans="1:31">
      <c r="A9" s="12" t="s">
        <v>30</v>
      </c>
      <c r="B9" s="12" t="s">
        <v>88</v>
      </c>
      <c r="C9" s="12">
        <v>324</v>
      </c>
      <c r="D9" s="12">
        <v>100</v>
      </c>
      <c r="E9" s="12">
        <v>15</v>
      </c>
      <c r="F9" s="12">
        <v>284</v>
      </c>
      <c r="G9" s="12">
        <v>799</v>
      </c>
      <c r="H9" s="12">
        <v>200807262</v>
      </c>
      <c r="I9" s="12" t="s">
        <v>89</v>
      </c>
      <c r="J9" s="12" t="s">
        <v>90</v>
      </c>
      <c r="K9" s="12" t="s">
        <v>91</v>
      </c>
      <c r="L9" s="12" t="s">
        <v>92</v>
      </c>
      <c r="M9" s="12" t="s">
        <v>93</v>
      </c>
      <c r="N9" s="12">
        <v>294810</v>
      </c>
      <c r="O9" s="12">
        <v>2036</v>
      </c>
      <c r="P9" s="12">
        <v>1</v>
      </c>
      <c r="Q9" s="12" t="s">
        <v>94</v>
      </c>
      <c r="R9" s="15" t="s">
        <v>95</v>
      </c>
      <c r="S9" s="12">
        <v>387</v>
      </c>
      <c r="T9" s="12" t="s">
        <v>39</v>
      </c>
      <c r="U9" s="12" t="s">
        <v>40</v>
      </c>
      <c r="V9" s="12" t="s">
        <v>96</v>
      </c>
      <c r="W9" s="12">
        <v>260000000</v>
      </c>
      <c r="X9" s="12">
        <v>2010</v>
      </c>
      <c r="Y9" s="12">
        <v>553</v>
      </c>
      <c r="Z9" s="12">
        <v>7.8</v>
      </c>
      <c r="AA9" s="12">
        <v>1.85</v>
      </c>
      <c r="AB9" s="12">
        <v>29000</v>
      </c>
      <c r="AC9" s="12"/>
      <c r="AD9" s="12" t="str">
        <f>IFERROR(__xludf.DUMMYFUNCTION("""COMPUTED_VALUE"""),"Rory Kinnear")</f>
        <v>Rory Kinnear</v>
      </c>
      <c r="AE9" s="12"/>
    </row>
    <row r="10" customHeight="1" spans="1:31">
      <c r="A10" s="11" t="s">
        <v>30</v>
      </c>
      <c r="B10" s="11" t="s">
        <v>97</v>
      </c>
      <c r="C10" s="11">
        <v>635</v>
      </c>
      <c r="D10" s="11">
        <v>141</v>
      </c>
      <c r="E10" s="11">
        <v>0</v>
      </c>
      <c r="F10" s="11">
        <v>19000</v>
      </c>
      <c r="G10" s="11">
        <v>26000</v>
      </c>
      <c r="H10" s="11">
        <v>458991599</v>
      </c>
      <c r="I10" s="11" t="s">
        <v>73</v>
      </c>
      <c r="J10" s="11" t="s">
        <v>98</v>
      </c>
      <c r="K10" s="11" t="s">
        <v>99</v>
      </c>
      <c r="L10" s="11" t="s">
        <v>100</v>
      </c>
      <c r="M10" s="11" t="s">
        <v>101</v>
      </c>
      <c r="N10" s="11">
        <v>462669</v>
      </c>
      <c r="O10" s="11">
        <v>92000</v>
      </c>
      <c r="P10" s="11">
        <v>4</v>
      </c>
      <c r="Q10" s="11" t="s">
        <v>102</v>
      </c>
      <c r="R10" s="14" t="s">
        <v>103</v>
      </c>
      <c r="S10" s="11">
        <v>1117</v>
      </c>
      <c r="T10" s="11" t="s">
        <v>39</v>
      </c>
      <c r="U10" s="11" t="s">
        <v>40</v>
      </c>
      <c r="V10" s="11" t="s">
        <v>41</v>
      </c>
      <c r="W10" s="11">
        <v>250000000</v>
      </c>
      <c r="X10" s="11">
        <v>2015</v>
      </c>
      <c r="Y10" s="11">
        <v>21000</v>
      </c>
      <c r="Z10" s="11">
        <v>7.5</v>
      </c>
      <c r="AA10" s="11">
        <v>2.35</v>
      </c>
      <c r="AB10" s="11">
        <v>118000</v>
      </c>
      <c r="AC10" s="11"/>
      <c r="AD10" s="11" t="str">
        <f>IFERROR(__xludf.DUMMYFUNCTION("""COMPUTED_VALUE"""),"Stephanie Sigman")</f>
        <v>Stephanie Sigman</v>
      </c>
      <c r="AE10" s="11"/>
    </row>
    <row r="11" customHeight="1" spans="1:31">
      <c r="A11" s="12" t="s">
        <v>30</v>
      </c>
      <c r="B11" s="12" t="s">
        <v>104</v>
      </c>
      <c r="C11" s="12">
        <v>375</v>
      </c>
      <c r="D11" s="12">
        <v>153</v>
      </c>
      <c r="E11" s="12">
        <v>282</v>
      </c>
      <c r="F11" s="12">
        <v>10000</v>
      </c>
      <c r="G11" s="12">
        <v>25000</v>
      </c>
      <c r="H11" s="12">
        <v>301956980</v>
      </c>
      <c r="I11" s="12" t="s">
        <v>105</v>
      </c>
      <c r="J11" s="12" t="s">
        <v>106</v>
      </c>
      <c r="K11" s="12" t="s">
        <v>107</v>
      </c>
      <c r="L11" s="12" t="s">
        <v>108</v>
      </c>
      <c r="M11" s="12" t="s">
        <v>109</v>
      </c>
      <c r="N11" s="12">
        <v>321795</v>
      </c>
      <c r="O11" s="12">
        <v>58753</v>
      </c>
      <c r="P11" s="12">
        <v>3</v>
      </c>
      <c r="Q11" s="12" t="s">
        <v>110</v>
      </c>
      <c r="R11" s="15" t="s">
        <v>111</v>
      </c>
      <c r="S11" s="12">
        <v>973</v>
      </c>
      <c r="T11" s="12" t="s">
        <v>39</v>
      </c>
      <c r="U11" s="12" t="s">
        <v>58</v>
      </c>
      <c r="V11" s="12" t="s">
        <v>96</v>
      </c>
      <c r="W11" s="12">
        <v>250000000</v>
      </c>
      <c r="X11" s="12">
        <v>2009</v>
      </c>
      <c r="Y11" s="12">
        <v>11000</v>
      </c>
      <c r="Z11" s="12">
        <v>7.5</v>
      </c>
      <c r="AA11" s="12">
        <v>2.35</v>
      </c>
      <c r="AB11" s="12">
        <v>10000</v>
      </c>
      <c r="AC11" s="12"/>
      <c r="AD11" s="12" t="str">
        <f>IFERROR(__xludf.DUMMYFUNCTION("""COMPUTED_VALUE"""),"Tom Hardy")</f>
        <v>Tom Hardy</v>
      </c>
      <c r="AE11" s="12"/>
    </row>
    <row r="12" customHeight="1" spans="1:31">
      <c r="A12" s="11" t="s">
        <v>30</v>
      </c>
      <c r="B12" s="11" t="s">
        <v>112</v>
      </c>
      <c r="C12" s="11">
        <v>673</v>
      </c>
      <c r="D12" s="11">
        <v>183</v>
      </c>
      <c r="E12" s="11">
        <v>0</v>
      </c>
      <c r="F12" s="11">
        <v>2000</v>
      </c>
      <c r="G12" s="11">
        <v>15000</v>
      </c>
      <c r="H12" s="11">
        <v>330249062</v>
      </c>
      <c r="I12" s="11" t="s">
        <v>73</v>
      </c>
      <c r="J12" s="11" t="s">
        <v>113</v>
      </c>
      <c r="K12" s="11" t="s">
        <v>114</v>
      </c>
      <c r="L12" s="11" t="s">
        <v>115</v>
      </c>
      <c r="M12" s="11" t="s">
        <v>116</v>
      </c>
      <c r="N12" s="11">
        <v>371639</v>
      </c>
      <c r="O12" s="11">
        <v>24450</v>
      </c>
      <c r="P12" s="11">
        <v>0</v>
      </c>
      <c r="Q12" s="11" t="s">
        <v>117</v>
      </c>
      <c r="R12" s="14" t="s">
        <v>118</v>
      </c>
      <c r="S12" s="11">
        <v>3018</v>
      </c>
      <c r="T12" s="11" t="s">
        <v>39</v>
      </c>
      <c r="U12" s="11" t="s">
        <v>40</v>
      </c>
      <c r="V12" s="11" t="s">
        <v>41</v>
      </c>
      <c r="W12" s="11">
        <v>250000000</v>
      </c>
      <c r="X12" s="11">
        <v>2016</v>
      </c>
      <c r="Y12" s="11">
        <v>4000</v>
      </c>
      <c r="Z12" s="11">
        <v>6.9</v>
      </c>
      <c r="AA12" s="11">
        <v>2.35</v>
      </c>
      <c r="AB12" s="11">
        <v>197000</v>
      </c>
      <c r="AC12" s="11"/>
      <c r="AD12" s="11" t="str">
        <f>IFERROR(__xludf.DUMMYFUNCTION("""COMPUTED_VALUE"""),"Christian Bale")</f>
        <v>Christian Bale</v>
      </c>
      <c r="AE12" s="11"/>
    </row>
    <row r="13" customHeight="1" spans="1:31">
      <c r="A13" s="12" t="s">
        <v>30</v>
      </c>
      <c r="B13" s="12" t="s">
        <v>119</v>
      </c>
      <c r="C13" s="12">
        <v>434</v>
      </c>
      <c r="D13" s="12">
        <v>169</v>
      </c>
      <c r="E13" s="12">
        <v>0</v>
      </c>
      <c r="F13" s="12">
        <v>903</v>
      </c>
      <c r="G13" s="12">
        <v>18000</v>
      </c>
      <c r="H13" s="12">
        <v>200069408</v>
      </c>
      <c r="I13" s="12" t="s">
        <v>73</v>
      </c>
      <c r="J13" s="12" t="s">
        <v>120</v>
      </c>
      <c r="K13" s="12" t="s">
        <v>121</v>
      </c>
      <c r="L13" s="12" t="s">
        <v>122</v>
      </c>
      <c r="M13" s="12" t="s">
        <v>123</v>
      </c>
      <c r="N13" s="12">
        <v>240396</v>
      </c>
      <c r="O13" s="12">
        <v>29991</v>
      </c>
      <c r="P13" s="12">
        <v>0</v>
      </c>
      <c r="Q13" s="12" t="s">
        <v>124</v>
      </c>
      <c r="R13" s="15" t="s">
        <v>125</v>
      </c>
      <c r="S13" s="12">
        <v>2367</v>
      </c>
      <c r="T13" s="12" t="s">
        <v>39</v>
      </c>
      <c r="U13" s="12" t="s">
        <v>40</v>
      </c>
      <c r="V13" s="12" t="s">
        <v>41</v>
      </c>
      <c r="W13" s="12">
        <v>209000000</v>
      </c>
      <c r="X13" s="12">
        <v>2006</v>
      </c>
      <c r="Y13" s="12">
        <v>10000</v>
      </c>
      <c r="Z13" s="12">
        <v>6.1</v>
      </c>
      <c r="AA13" s="12">
        <v>2.35</v>
      </c>
      <c r="AB13" s="12">
        <v>0</v>
      </c>
      <c r="AC13" s="12"/>
      <c r="AD13" s="12" t="str">
        <f>IFERROR(__xludf.DUMMYFUNCTION("""COMPUTED_VALUE"""),"Joseph Gordon-Levitt")</f>
        <v>Joseph Gordon-Levitt</v>
      </c>
      <c r="AE13" s="12"/>
    </row>
    <row r="14" customHeight="1" spans="1:31">
      <c r="A14" s="11" t="s">
        <v>30</v>
      </c>
      <c r="B14" s="11" t="s">
        <v>126</v>
      </c>
      <c r="C14" s="11">
        <v>403</v>
      </c>
      <c r="D14" s="11">
        <v>106</v>
      </c>
      <c r="E14" s="11">
        <v>395</v>
      </c>
      <c r="F14" s="11">
        <v>393</v>
      </c>
      <c r="G14" s="11">
        <v>451</v>
      </c>
      <c r="H14" s="11">
        <v>168368427</v>
      </c>
      <c r="I14" s="11" t="s">
        <v>127</v>
      </c>
      <c r="J14" s="11" t="s">
        <v>128</v>
      </c>
      <c r="K14" s="11" t="s">
        <v>129</v>
      </c>
      <c r="L14" s="11" t="s">
        <v>53</v>
      </c>
      <c r="M14" s="11" t="s">
        <v>130</v>
      </c>
      <c r="N14" s="11">
        <v>330784</v>
      </c>
      <c r="O14" s="11">
        <v>2023</v>
      </c>
      <c r="P14" s="11">
        <v>1</v>
      </c>
      <c r="Q14" s="11" t="s">
        <v>131</v>
      </c>
      <c r="R14" s="14" t="s">
        <v>132</v>
      </c>
      <c r="S14" s="11">
        <v>1243</v>
      </c>
      <c r="T14" s="11" t="s">
        <v>39</v>
      </c>
      <c r="U14" s="11" t="s">
        <v>58</v>
      </c>
      <c r="V14" s="11" t="s">
        <v>41</v>
      </c>
      <c r="W14" s="11">
        <v>200000000</v>
      </c>
      <c r="X14" s="11">
        <v>2008</v>
      </c>
      <c r="Y14" s="11">
        <v>412</v>
      </c>
      <c r="Z14" s="11">
        <v>6.7</v>
      </c>
      <c r="AA14" s="11">
        <v>2.35</v>
      </c>
      <c r="AB14" s="11">
        <v>0</v>
      </c>
      <c r="AC14" s="11"/>
      <c r="AD14" s="11" t="str">
        <f>IFERROR(__xludf.DUMMYFUNCTION("""COMPUTED_VALUE"""),"Doug Walker")</f>
        <v>Doug Walker</v>
      </c>
      <c r="AE14" s="11"/>
    </row>
    <row r="15" customHeight="1" spans="1:31">
      <c r="A15" s="12" t="s">
        <v>30</v>
      </c>
      <c r="B15" s="12" t="s">
        <v>42</v>
      </c>
      <c r="C15" s="12">
        <v>313</v>
      </c>
      <c r="D15" s="12">
        <v>151</v>
      </c>
      <c r="E15" s="12">
        <v>563</v>
      </c>
      <c r="F15" s="12">
        <v>1000</v>
      </c>
      <c r="G15" s="12">
        <v>40000</v>
      </c>
      <c r="H15" s="12">
        <v>423032628</v>
      </c>
      <c r="I15" s="12" t="s">
        <v>43</v>
      </c>
      <c r="J15" s="12" t="s">
        <v>44</v>
      </c>
      <c r="K15" s="12" t="s">
        <v>45</v>
      </c>
      <c r="L15" s="12" t="s">
        <v>46</v>
      </c>
      <c r="M15" s="12" t="s">
        <v>133</v>
      </c>
      <c r="N15" s="12">
        <v>522040</v>
      </c>
      <c r="O15" s="12">
        <v>48486</v>
      </c>
      <c r="P15" s="12">
        <v>2</v>
      </c>
      <c r="Q15" s="12" t="s">
        <v>134</v>
      </c>
      <c r="R15" s="15" t="s">
        <v>135</v>
      </c>
      <c r="S15" s="12">
        <v>1832</v>
      </c>
      <c r="T15" s="12" t="s">
        <v>39</v>
      </c>
      <c r="U15" s="12" t="s">
        <v>40</v>
      </c>
      <c r="V15" s="12" t="s">
        <v>41</v>
      </c>
      <c r="W15" s="12">
        <v>225000000</v>
      </c>
      <c r="X15" s="12">
        <v>2006</v>
      </c>
      <c r="Y15" s="12">
        <v>5000</v>
      </c>
      <c r="Z15" s="12">
        <v>7.3</v>
      </c>
      <c r="AA15" s="12">
        <v>2.35</v>
      </c>
      <c r="AB15" s="12">
        <v>5000</v>
      </c>
      <c r="AC15" s="12"/>
      <c r="AD15" s="12" t="str">
        <f>IFERROR(__xludf.DUMMYFUNCTION("""COMPUTED_VALUE"""),"Rob Walker")</f>
        <v>Rob Walker</v>
      </c>
      <c r="AE15" s="12"/>
    </row>
    <row r="16" customHeight="1" spans="1:31">
      <c r="A16" s="11" t="s">
        <v>30</v>
      </c>
      <c r="B16" s="11" t="s">
        <v>42</v>
      </c>
      <c r="C16" s="11">
        <v>450</v>
      </c>
      <c r="D16" s="11">
        <v>150</v>
      </c>
      <c r="E16" s="11">
        <v>563</v>
      </c>
      <c r="F16" s="11">
        <v>1000</v>
      </c>
      <c r="G16" s="11">
        <v>40000</v>
      </c>
      <c r="H16" s="11">
        <v>89289910</v>
      </c>
      <c r="I16" s="11" t="s">
        <v>136</v>
      </c>
      <c r="J16" s="11" t="s">
        <v>44</v>
      </c>
      <c r="K16" s="11" t="s">
        <v>137</v>
      </c>
      <c r="L16" s="11" t="s">
        <v>138</v>
      </c>
      <c r="M16" s="11" t="s">
        <v>139</v>
      </c>
      <c r="N16" s="11">
        <v>181792</v>
      </c>
      <c r="O16" s="11">
        <v>45757</v>
      </c>
      <c r="P16" s="11">
        <v>1</v>
      </c>
      <c r="Q16" s="11" t="s">
        <v>140</v>
      </c>
      <c r="R16" s="14" t="s">
        <v>141</v>
      </c>
      <c r="S16" s="11">
        <v>711</v>
      </c>
      <c r="T16" s="11" t="s">
        <v>39</v>
      </c>
      <c r="U16" s="11" t="s">
        <v>40</v>
      </c>
      <c r="V16" s="11" t="s">
        <v>41</v>
      </c>
      <c r="W16" s="11">
        <v>215000000</v>
      </c>
      <c r="X16" s="11">
        <v>2013</v>
      </c>
      <c r="Y16" s="11">
        <v>2000</v>
      </c>
      <c r="Z16" s="11">
        <v>6.5</v>
      </c>
      <c r="AA16" s="11">
        <v>2.35</v>
      </c>
      <c r="AB16" s="11">
        <v>48000</v>
      </c>
      <c r="AC16" s="11"/>
      <c r="AD16" s="11"/>
      <c r="AE16" s="11"/>
    </row>
    <row r="17" customHeight="1" spans="1:31">
      <c r="A17" s="12" t="s">
        <v>30</v>
      </c>
      <c r="B17" s="12" t="s">
        <v>112</v>
      </c>
      <c r="C17" s="12">
        <v>733</v>
      </c>
      <c r="D17" s="12">
        <v>143</v>
      </c>
      <c r="E17" s="12">
        <v>0</v>
      </c>
      <c r="F17" s="12">
        <v>748</v>
      </c>
      <c r="G17" s="12">
        <v>15000</v>
      </c>
      <c r="H17" s="12">
        <v>291021565</v>
      </c>
      <c r="I17" s="12" t="s">
        <v>32</v>
      </c>
      <c r="J17" s="12" t="s">
        <v>113</v>
      </c>
      <c r="K17" s="12" t="s">
        <v>142</v>
      </c>
      <c r="L17" s="12" t="s">
        <v>143</v>
      </c>
      <c r="M17" s="12" t="s">
        <v>144</v>
      </c>
      <c r="N17" s="12">
        <v>548573</v>
      </c>
      <c r="O17" s="12">
        <v>20495</v>
      </c>
      <c r="P17" s="12">
        <v>0</v>
      </c>
      <c r="Q17" s="12" t="s">
        <v>145</v>
      </c>
      <c r="R17" s="15" t="s">
        <v>146</v>
      </c>
      <c r="S17" s="12">
        <v>2536</v>
      </c>
      <c r="T17" s="12" t="s">
        <v>39</v>
      </c>
      <c r="U17" s="12" t="s">
        <v>40</v>
      </c>
      <c r="V17" s="12" t="s">
        <v>41</v>
      </c>
      <c r="W17" s="12">
        <v>225000000</v>
      </c>
      <c r="X17" s="12">
        <v>2013</v>
      </c>
      <c r="Y17" s="12">
        <v>3000</v>
      </c>
      <c r="Z17" s="12">
        <v>7.2</v>
      </c>
      <c r="AA17" s="12">
        <v>2.35</v>
      </c>
      <c r="AB17" s="12">
        <v>118000</v>
      </c>
      <c r="AC17" s="12"/>
      <c r="AD17" s="12" t="str">
        <f>IFERROR(__xludf.DUMMYFUNCTION("""COMPUTED_VALUE"""),"Daryl Sabara")</f>
        <v>Daryl Sabara</v>
      </c>
      <c r="AE17" s="12"/>
    </row>
    <row r="18" customHeight="1" spans="1:31">
      <c r="A18" s="11" t="s">
        <v>30</v>
      </c>
      <c r="B18" s="11" t="s">
        <v>147</v>
      </c>
      <c r="C18" s="11">
        <v>258</v>
      </c>
      <c r="D18" s="11">
        <v>150</v>
      </c>
      <c r="E18" s="11">
        <v>80</v>
      </c>
      <c r="F18" s="11">
        <v>201</v>
      </c>
      <c r="G18" s="11">
        <v>22000</v>
      </c>
      <c r="H18" s="11">
        <v>141614023</v>
      </c>
      <c r="I18" s="11" t="s">
        <v>148</v>
      </c>
      <c r="J18" s="11" t="s">
        <v>149</v>
      </c>
      <c r="K18" s="11" t="s">
        <v>150</v>
      </c>
      <c r="L18" s="11" t="s">
        <v>151</v>
      </c>
      <c r="M18" s="11" t="s">
        <v>152</v>
      </c>
      <c r="N18" s="11">
        <v>149922</v>
      </c>
      <c r="O18" s="11">
        <v>22697</v>
      </c>
      <c r="P18" s="11">
        <v>4</v>
      </c>
      <c r="Q18" s="11" t="s">
        <v>153</v>
      </c>
      <c r="R18" s="14" t="s">
        <v>154</v>
      </c>
      <c r="S18" s="11">
        <v>438</v>
      </c>
      <c r="T18" s="11" t="s">
        <v>39</v>
      </c>
      <c r="U18" s="11" t="s">
        <v>40</v>
      </c>
      <c r="V18" s="11" t="s">
        <v>96</v>
      </c>
      <c r="W18" s="11">
        <v>225000000</v>
      </c>
      <c r="X18" s="11">
        <v>2008</v>
      </c>
      <c r="Y18" s="11">
        <v>216</v>
      </c>
      <c r="Z18" s="11">
        <v>6.6</v>
      </c>
      <c r="AA18" s="11">
        <v>2.35</v>
      </c>
      <c r="AB18" s="11">
        <v>0</v>
      </c>
      <c r="AC18" s="11"/>
      <c r="AD18" s="11" t="str">
        <f>IFERROR(__xludf.DUMMYFUNCTION("""COMPUTED_VALUE"""),"Samantha Morton")</f>
        <v>Samantha Morton</v>
      </c>
      <c r="AE18" s="11"/>
    </row>
    <row r="19" customHeight="1" spans="1:31">
      <c r="A19" s="12" t="s">
        <v>30</v>
      </c>
      <c r="B19" s="12" t="s">
        <v>97</v>
      </c>
      <c r="C19" s="12">
        <v>703</v>
      </c>
      <c r="D19" s="12">
        <v>173</v>
      </c>
      <c r="E19" s="12">
        <v>0</v>
      </c>
      <c r="F19" s="12">
        <v>19000</v>
      </c>
      <c r="G19" s="12">
        <v>26000</v>
      </c>
      <c r="H19" s="12">
        <v>623279547</v>
      </c>
      <c r="I19" s="12" t="s">
        <v>73</v>
      </c>
      <c r="J19" s="12" t="s">
        <v>98</v>
      </c>
      <c r="K19" s="12" t="s">
        <v>99</v>
      </c>
      <c r="L19" s="12" t="s">
        <v>100</v>
      </c>
      <c r="M19" s="12" t="s">
        <v>155</v>
      </c>
      <c r="N19" s="12">
        <v>995415</v>
      </c>
      <c r="O19" s="12">
        <v>87697</v>
      </c>
      <c r="P19" s="12">
        <v>3</v>
      </c>
      <c r="Q19" s="12" t="s">
        <v>156</v>
      </c>
      <c r="R19" s="15" t="s">
        <v>157</v>
      </c>
      <c r="S19" s="12">
        <v>1722</v>
      </c>
      <c r="T19" s="12" t="s">
        <v>39</v>
      </c>
      <c r="U19" s="12" t="s">
        <v>40</v>
      </c>
      <c r="V19" s="12" t="s">
        <v>41</v>
      </c>
      <c r="W19" s="12">
        <v>220000000</v>
      </c>
      <c r="X19" s="12">
        <v>2012</v>
      </c>
      <c r="Y19" s="12">
        <v>21000</v>
      </c>
      <c r="Z19" s="12">
        <v>8.1</v>
      </c>
      <c r="AA19" s="12">
        <v>1.85</v>
      </c>
      <c r="AB19" s="12">
        <v>123000</v>
      </c>
      <c r="AC19" s="12"/>
      <c r="AD19" s="12" t="str">
        <f>IFERROR(__xludf.DUMMYFUNCTION("""COMPUTED_VALUE"""),"Polly Walker")</f>
        <v>Polly Walker</v>
      </c>
      <c r="AE19" s="12"/>
    </row>
    <row r="20" customHeight="1" spans="1:31">
      <c r="A20" s="11" t="s">
        <v>30</v>
      </c>
      <c r="B20" s="11" t="s">
        <v>158</v>
      </c>
      <c r="C20" s="11">
        <v>448</v>
      </c>
      <c r="D20" s="11">
        <v>136</v>
      </c>
      <c r="E20" s="11">
        <v>252</v>
      </c>
      <c r="F20" s="11">
        <v>1000</v>
      </c>
      <c r="G20" s="11">
        <v>40000</v>
      </c>
      <c r="H20" s="11">
        <v>241063875</v>
      </c>
      <c r="I20" s="11" t="s">
        <v>43</v>
      </c>
      <c r="J20" s="11" t="s">
        <v>44</v>
      </c>
      <c r="K20" s="11" t="s">
        <v>159</v>
      </c>
      <c r="L20" s="11" t="s">
        <v>160</v>
      </c>
      <c r="M20" s="11" t="s">
        <v>161</v>
      </c>
      <c r="N20" s="11">
        <v>370704</v>
      </c>
      <c r="O20" s="11">
        <v>54083</v>
      </c>
      <c r="P20" s="11">
        <v>4</v>
      </c>
      <c r="Q20" s="11" t="s">
        <v>162</v>
      </c>
      <c r="R20" s="14" t="s">
        <v>163</v>
      </c>
      <c r="S20" s="11">
        <v>484</v>
      </c>
      <c r="T20" s="11" t="s">
        <v>39</v>
      </c>
      <c r="U20" s="11" t="s">
        <v>40</v>
      </c>
      <c r="V20" s="11" t="s">
        <v>41</v>
      </c>
      <c r="W20" s="11">
        <v>250000000</v>
      </c>
      <c r="X20" s="11">
        <v>2011</v>
      </c>
      <c r="Y20" s="11">
        <v>11000</v>
      </c>
      <c r="Z20" s="11">
        <v>6.7</v>
      </c>
      <c r="AA20" s="11">
        <v>2.35</v>
      </c>
      <c r="AB20" s="11">
        <v>58000</v>
      </c>
      <c r="AC20" s="11"/>
      <c r="AD20" s="11" t="str">
        <f>IFERROR(__xludf.DUMMYFUNCTION("""COMPUTED_VALUE"""),"J.K. Simmons")</f>
        <v>J.K. Simmons</v>
      </c>
      <c r="AE20" s="11"/>
    </row>
    <row r="21" customHeight="1" spans="1:31">
      <c r="A21" s="12" t="s">
        <v>30</v>
      </c>
      <c r="B21" s="12" t="s">
        <v>164</v>
      </c>
      <c r="C21" s="12">
        <v>451</v>
      </c>
      <c r="D21" s="12">
        <v>106</v>
      </c>
      <c r="E21" s="12">
        <v>188</v>
      </c>
      <c r="F21" s="12">
        <v>718</v>
      </c>
      <c r="G21" s="12">
        <v>10000</v>
      </c>
      <c r="H21" s="12">
        <v>179020854</v>
      </c>
      <c r="I21" s="12" t="s">
        <v>165</v>
      </c>
      <c r="J21" s="12" t="s">
        <v>166</v>
      </c>
      <c r="K21" s="12" t="s">
        <v>167</v>
      </c>
      <c r="L21" s="12" t="s">
        <v>168</v>
      </c>
      <c r="M21" s="12" t="s">
        <v>169</v>
      </c>
      <c r="N21" s="12">
        <v>268154</v>
      </c>
      <c r="O21" s="12">
        <v>12572</v>
      </c>
      <c r="P21" s="12">
        <v>1</v>
      </c>
      <c r="Q21" s="12" t="s">
        <v>170</v>
      </c>
      <c r="R21" s="15" t="s">
        <v>171</v>
      </c>
      <c r="S21" s="12">
        <v>341</v>
      </c>
      <c r="T21" s="12" t="s">
        <v>39</v>
      </c>
      <c r="U21" s="12" t="s">
        <v>40</v>
      </c>
      <c r="V21" s="12" t="s">
        <v>41</v>
      </c>
      <c r="W21" s="12">
        <v>225000000</v>
      </c>
      <c r="X21" s="12">
        <v>2012</v>
      </c>
      <c r="Y21" s="12">
        <v>816</v>
      </c>
      <c r="Z21" s="12">
        <v>6.8</v>
      </c>
      <c r="AA21" s="12">
        <v>1.85</v>
      </c>
      <c r="AB21" s="12">
        <v>40000</v>
      </c>
      <c r="AC21" s="12"/>
      <c r="AD21" s="12" t="str">
        <f>IFERROR(__xludf.DUMMYFUNCTION("""COMPUTED_VALUE"""),"James Franco")</f>
        <v>James Franco</v>
      </c>
      <c r="AE21" s="12"/>
    </row>
    <row r="22" customHeight="1" spans="1:31">
      <c r="A22" s="11" t="s">
        <v>30</v>
      </c>
      <c r="B22" s="11" t="s">
        <v>172</v>
      </c>
      <c r="C22" s="11">
        <v>422</v>
      </c>
      <c r="D22" s="11">
        <v>164</v>
      </c>
      <c r="E22" s="11">
        <v>0</v>
      </c>
      <c r="F22" s="11">
        <v>773</v>
      </c>
      <c r="G22" s="11">
        <v>5000</v>
      </c>
      <c r="H22" s="11">
        <v>255108370</v>
      </c>
      <c r="I22" s="11" t="s">
        <v>173</v>
      </c>
      <c r="J22" s="11" t="s">
        <v>174</v>
      </c>
      <c r="K22" s="11" t="s">
        <v>175</v>
      </c>
      <c r="L22" s="11" t="s">
        <v>176</v>
      </c>
      <c r="M22" s="11" t="s">
        <v>177</v>
      </c>
      <c r="N22" s="11">
        <v>354228</v>
      </c>
      <c r="O22" s="11">
        <v>9152</v>
      </c>
      <c r="P22" s="11">
        <v>0</v>
      </c>
      <c r="Q22" s="11" t="s">
        <v>178</v>
      </c>
      <c r="R22" s="14" t="s">
        <v>179</v>
      </c>
      <c r="S22" s="11">
        <v>802</v>
      </c>
      <c r="T22" s="11" t="s">
        <v>39</v>
      </c>
      <c r="U22" s="11" t="s">
        <v>180</v>
      </c>
      <c r="V22" s="11" t="s">
        <v>41</v>
      </c>
      <c r="W22" s="11">
        <v>250000000</v>
      </c>
      <c r="X22" s="11">
        <v>2014</v>
      </c>
      <c r="Y22" s="11">
        <v>972</v>
      </c>
      <c r="Z22" s="11">
        <v>7.5</v>
      </c>
      <c r="AA22" s="11">
        <v>2.35</v>
      </c>
      <c r="AB22" s="11">
        <v>65000</v>
      </c>
      <c r="AC22" s="11"/>
      <c r="AD22" s="11" t="str">
        <f>IFERROR(__xludf.DUMMYFUNCTION("""COMPUTED_VALUE"""),"Kirsten Dunst")</f>
        <v>Kirsten Dunst</v>
      </c>
      <c r="AE22" s="11"/>
    </row>
    <row r="23" customHeight="1" spans="1:31">
      <c r="A23" s="12" t="s">
        <v>30</v>
      </c>
      <c r="B23" s="12" t="s">
        <v>181</v>
      </c>
      <c r="C23" s="12">
        <v>599</v>
      </c>
      <c r="D23" s="12">
        <v>153</v>
      </c>
      <c r="E23" s="12">
        <v>464</v>
      </c>
      <c r="F23" s="12">
        <v>963</v>
      </c>
      <c r="G23" s="12">
        <v>15000</v>
      </c>
      <c r="H23" s="12">
        <v>262030663</v>
      </c>
      <c r="I23" s="12" t="s">
        <v>43</v>
      </c>
      <c r="J23" s="12" t="s">
        <v>182</v>
      </c>
      <c r="K23" s="12" t="s">
        <v>183</v>
      </c>
      <c r="L23" s="12" t="s">
        <v>184</v>
      </c>
      <c r="M23" s="12" t="s">
        <v>185</v>
      </c>
      <c r="N23" s="12">
        <v>451803</v>
      </c>
      <c r="O23" s="12">
        <v>28489</v>
      </c>
      <c r="P23" s="12">
        <v>0</v>
      </c>
      <c r="Q23" s="12" t="s">
        <v>186</v>
      </c>
      <c r="R23" s="15" t="s">
        <v>187</v>
      </c>
      <c r="S23" s="12">
        <v>1225</v>
      </c>
      <c r="T23" s="12" t="s">
        <v>39</v>
      </c>
      <c r="U23" s="12" t="s">
        <v>40</v>
      </c>
      <c r="V23" s="12" t="s">
        <v>41</v>
      </c>
      <c r="W23" s="12">
        <v>230000000</v>
      </c>
      <c r="X23" s="12">
        <v>2012</v>
      </c>
      <c r="Y23" s="12">
        <v>10000</v>
      </c>
      <c r="Z23" s="12">
        <v>7</v>
      </c>
      <c r="AA23" s="12">
        <v>2.35</v>
      </c>
      <c r="AB23" s="12">
        <v>56000</v>
      </c>
      <c r="AC23" s="12"/>
      <c r="AD23" s="12" t="str">
        <f>IFERROR(__xludf.DUMMYFUNCTION("""COMPUTED_VALUE"""),"Brad Garrett")</f>
        <v>Brad Garrett</v>
      </c>
      <c r="AE23" s="12"/>
    </row>
    <row r="24" customHeight="1" spans="1:31">
      <c r="A24" s="11" t="s">
        <v>30</v>
      </c>
      <c r="B24" s="11" t="s">
        <v>188</v>
      </c>
      <c r="C24" s="11">
        <v>343</v>
      </c>
      <c r="D24" s="11">
        <v>156</v>
      </c>
      <c r="E24" s="11">
        <v>0</v>
      </c>
      <c r="F24" s="11">
        <v>738</v>
      </c>
      <c r="G24" s="11">
        <v>891</v>
      </c>
      <c r="H24" s="11">
        <v>105219735</v>
      </c>
      <c r="I24" s="11" t="s">
        <v>189</v>
      </c>
      <c r="J24" s="11" t="s">
        <v>190</v>
      </c>
      <c r="K24" s="11" t="s">
        <v>191</v>
      </c>
      <c r="L24" s="11" t="s">
        <v>192</v>
      </c>
      <c r="M24" s="11" t="s">
        <v>193</v>
      </c>
      <c r="N24" s="11">
        <v>211765</v>
      </c>
      <c r="O24" s="11">
        <v>3244</v>
      </c>
      <c r="P24" s="11">
        <v>0</v>
      </c>
      <c r="Q24" s="11" t="s">
        <v>194</v>
      </c>
      <c r="R24" s="14" t="s">
        <v>195</v>
      </c>
      <c r="S24" s="11">
        <v>546</v>
      </c>
      <c r="T24" s="11" t="s">
        <v>39</v>
      </c>
      <c r="U24" s="11" t="s">
        <v>40</v>
      </c>
      <c r="V24" s="11" t="s">
        <v>41</v>
      </c>
      <c r="W24" s="11">
        <v>200000000</v>
      </c>
      <c r="X24" s="11">
        <v>2010</v>
      </c>
      <c r="Y24" s="11">
        <v>882</v>
      </c>
      <c r="Z24" s="11">
        <v>6.7</v>
      </c>
      <c r="AA24" s="11">
        <v>2.35</v>
      </c>
      <c r="AB24" s="11">
        <v>17000</v>
      </c>
      <c r="AC24" s="11"/>
      <c r="AD24" s="11" t="str">
        <f>IFERROR(__xludf.DUMMYFUNCTION("""COMPUTED_VALUE"""),"Donna Murphy")</f>
        <v>Donna Murphy</v>
      </c>
      <c r="AE24" s="11"/>
    </row>
    <row r="25" customHeight="1" spans="1:31">
      <c r="A25" s="12" t="s">
        <v>30</v>
      </c>
      <c r="B25" s="12" t="s">
        <v>172</v>
      </c>
      <c r="C25" s="12">
        <v>509</v>
      </c>
      <c r="D25" s="12">
        <v>186</v>
      </c>
      <c r="E25" s="12">
        <v>0</v>
      </c>
      <c r="F25" s="12">
        <v>773</v>
      </c>
      <c r="G25" s="12">
        <v>5000</v>
      </c>
      <c r="H25" s="12">
        <v>258355354</v>
      </c>
      <c r="I25" s="12" t="s">
        <v>173</v>
      </c>
      <c r="J25" s="12" t="s">
        <v>174</v>
      </c>
      <c r="K25" s="12" t="s">
        <v>175</v>
      </c>
      <c r="L25" s="12" t="s">
        <v>176</v>
      </c>
      <c r="M25" s="12" t="s">
        <v>196</v>
      </c>
      <c r="N25" s="12">
        <v>483540</v>
      </c>
      <c r="O25" s="12">
        <v>9152</v>
      </c>
      <c r="P25" s="12">
        <v>6</v>
      </c>
      <c r="Q25" s="12" t="s">
        <v>197</v>
      </c>
      <c r="R25" s="15" t="s">
        <v>198</v>
      </c>
      <c r="S25" s="12">
        <v>951</v>
      </c>
      <c r="T25" s="12" t="s">
        <v>39</v>
      </c>
      <c r="U25" s="12" t="s">
        <v>40</v>
      </c>
      <c r="V25" s="12" t="s">
        <v>41</v>
      </c>
      <c r="W25" s="12">
        <v>225000000</v>
      </c>
      <c r="X25" s="12">
        <v>2013</v>
      </c>
      <c r="Y25" s="12">
        <v>972</v>
      </c>
      <c r="Z25" s="12">
        <v>7.9</v>
      </c>
      <c r="AA25" s="12">
        <v>2.35</v>
      </c>
      <c r="AB25" s="12">
        <v>83000</v>
      </c>
      <c r="AC25" s="12"/>
      <c r="AD25" s="12" t="str">
        <f>IFERROR(__xludf.DUMMYFUNCTION("""COMPUTED_VALUE"""),"M.C. Gainey")</f>
        <v>M.C. Gainey</v>
      </c>
      <c r="AE25" s="12"/>
    </row>
    <row r="26" customHeight="1" spans="1:31">
      <c r="A26" s="11" t="s">
        <v>30</v>
      </c>
      <c r="B26" s="11" t="s">
        <v>199</v>
      </c>
      <c r="C26" s="11">
        <v>251</v>
      </c>
      <c r="D26" s="11">
        <v>113</v>
      </c>
      <c r="E26" s="11">
        <v>129</v>
      </c>
      <c r="F26" s="11">
        <v>1000</v>
      </c>
      <c r="G26" s="11">
        <v>16000</v>
      </c>
      <c r="H26" s="11">
        <v>70083519</v>
      </c>
      <c r="I26" s="11" t="s">
        <v>200</v>
      </c>
      <c r="J26" s="11" t="s">
        <v>201</v>
      </c>
      <c r="K26" s="11" t="s">
        <v>202</v>
      </c>
      <c r="L26" s="11" t="s">
        <v>203</v>
      </c>
      <c r="M26" s="11" t="s">
        <v>204</v>
      </c>
      <c r="N26" s="11">
        <v>149019</v>
      </c>
      <c r="O26" s="11">
        <v>24106</v>
      </c>
      <c r="P26" s="11">
        <v>2</v>
      </c>
      <c r="Q26" s="11" t="s">
        <v>205</v>
      </c>
      <c r="R26" s="14" t="s">
        <v>206</v>
      </c>
      <c r="S26" s="11">
        <v>666</v>
      </c>
      <c r="T26" s="11" t="s">
        <v>39</v>
      </c>
      <c r="U26" s="11" t="s">
        <v>40</v>
      </c>
      <c r="V26" s="11" t="s">
        <v>41</v>
      </c>
      <c r="W26" s="11">
        <v>180000000</v>
      </c>
      <c r="X26" s="11">
        <v>2007</v>
      </c>
      <c r="Y26" s="11">
        <v>6000</v>
      </c>
      <c r="Z26" s="11">
        <v>6.1</v>
      </c>
      <c r="AA26" s="11">
        <v>2.35</v>
      </c>
      <c r="AB26" s="11">
        <v>0</v>
      </c>
      <c r="AC26" s="11"/>
      <c r="AD26" s="11" t="str">
        <f>IFERROR(__xludf.DUMMYFUNCTION("""COMPUTED_VALUE"""),"Chris Hemsworth")</f>
        <v>Chris Hemsworth</v>
      </c>
      <c r="AE26" s="11"/>
    </row>
    <row r="27" customHeight="1" spans="1:31">
      <c r="A27" s="12" t="s">
        <v>30</v>
      </c>
      <c r="B27" s="12" t="s">
        <v>172</v>
      </c>
      <c r="C27" s="12">
        <v>446</v>
      </c>
      <c r="D27" s="12">
        <v>201</v>
      </c>
      <c r="E27" s="12">
        <v>0</v>
      </c>
      <c r="F27" s="12">
        <v>84</v>
      </c>
      <c r="G27" s="12">
        <v>6000</v>
      </c>
      <c r="H27" s="12">
        <v>218051260</v>
      </c>
      <c r="I27" s="12" t="s">
        <v>207</v>
      </c>
      <c r="J27" s="12" t="s">
        <v>208</v>
      </c>
      <c r="K27" s="12" t="s">
        <v>209</v>
      </c>
      <c r="L27" s="12" t="s">
        <v>210</v>
      </c>
      <c r="M27" s="12" t="s">
        <v>211</v>
      </c>
      <c r="N27" s="12">
        <v>316018</v>
      </c>
      <c r="O27" s="12">
        <v>7123</v>
      </c>
      <c r="P27" s="12">
        <v>0</v>
      </c>
      <c r="Q27" s="12" t="s">
        <v>212</v>
      </c>
      <c r="R27" s="15" t="s">
        <v>213</v>
      </c>
      <c r="S27" s="12">
        <v>2618</v>
      </c>
      <c r="T27" s="12" t="s">
        <v>39</v>
      </c>
      <c r="U27" s="12" t="s">
        <v>180</v>
      </c>
      <c r="V27" s="12" t="s">
        <v>41</v>
      </c>
      <c r="W27" s="12">
        <v>207000000</v>
      </c>
      <c r="X27" s="12">
        <v>2005</v>
      </c>
      <c r="Y27" s="12">
        <v>919</v>
      </c>
      <c r="Z27" s="12">
        <v>7.2</v>
      </c>
      <c r="AA27" s="12">
        <v>2.35</v>
      </c>
      <c r="AB27" s="12">
        <v>0</v>
      </c>
      <c r="AC27" s="12"/>
      <c r="AD27" s="12" t="str">
        <f>IFERROR(__xludf.DUMMYFUNCTION("""COMPUTED_VALUE"""),"Robert Downey Jr.")</f>
        <v>Robert Downey Jr.</v>
      </c>
      <c r="AE27" s="12"/>
    </row>
    <row r="28" customHeight="1" spans="1:31">
      <c r="A28" s="11" t="s">
        <v>30</v>
      </c>
      <c r="B28" s="11" t="s">
        <v>31</v>
      </c>
      <c r="C28" s="11">
        <v>315</v>
      </c>
      <c r="D28" s="11">
        <v>194</v>
      </c>
      <c r="E28" s="11">
        <v>0</v>
      </c>
      <c r="F28" s="11">
        <v>794</v>
      </c>
      <c r="G28" s="11">
        <v>29000</v>
      </c>
      <c r="H28" s="11">
        <v>658672302</v>
      </c>
      <c r="I28" s="11" t="s">
        <v>214</v>
      </c>
      <c r="J28" s="11" t="s">
        <v>215</v>
      </c>
      <c r="K28" s="11" t="s">
        <v>216</v>
      </c>
      <c r="L28" s="11" t="s">
        <v>217</v>
      </c>
      <c r="M28" s="11" t="s">
        <v>218</v>
      </c>
      <c r="N28" s="11">
        <v>793059</v>
      </c>
      <c r="O28" s="11">
        <v>45223</v>
      </c>
      <c r="P28" s="11">
        <v>0</v>
      </c>
      <c r="Q28" s="11" t="s">
        <v>219</v>
      </c>
      <c r="R28" s="14" t="s">
        <v>220</v>
      </c>
      <c r="S28" s="11">
        <v>2528</v>
      </c>
      <c r="T28" s="11" t="s">
        <v>39</v>
      </c>
      <c r="U28" s="11" t="s">
        <v>40</v>
      </c>
      <c r="V28" s="11" t="s">
        <v>41</v>
      </c>
      <c r="W28" s="11">
        <v>200000000</v>
      </c>
      <c r="X28" s="11">
        <v>1997</v>
      </c>
      <c r="Y28" s="11">
        <v>14000</v>
      </c>
      <c r="Z28" s="11">
        <v>7.7</v>
      </c>
      <c r="AA28" s="11">
        <v>2.35</v>
      </c>
      <c r="AB28" s="11">
        <v>26000</v>
      </c>
      <c r="AC28" s="11"/>
      <c r="AD28" s="11" t="str">
        <f>IFERROR(__xludf.DUMMYFUNCTION("""COMPUTED_VALUE"""),"Scarlett Johansson")</f>
        <v>Scarlett Johansson</v>
      </c>
      <c r="AE28" s="11"/>
    </row>
    <row r="29" customHeight="1" spans="1:31">
      <c r="A29" s="12" t="s">
        <v>30</v>
      </c>
      <c r="B29" s="12" t="s">
        <v>221</v>
      </c>
      <c r="C29" s="12">
        <v>516</v>
      </c>
      <c r="D29" s="12">
        <v>147</v>
      </c>
      <c r="E29" s="12">
        <v>94</v>
      </c>
      <c r="F29" s="12">
        <v>11000</v>
      </c>
      <c r="G29" s="12">
        <v>21000</v>
      </c>
      <c r="H29" s="12">
        <v>407197282</v>
      </c>
      <c r="I29" s="12" t="s">
        <v>73</v>
      </c>
      <c r="J29" s="12" t="s">
        <v>99</v>
      </c>
      <c r="K29" s="12" t="s">
        <v>100</v>
      </c>
      <c r="L29" s="12" t="s">
        <v>222</v>
      </c>
      <c r="M29" s="12" t="s">
        <v>223</v>
      </c>
      <c r="N29" s="12">
        <v>272670</v>
      </c>
      <c r="O29" s="12">
        <v>64798</v>
      </c>
      <c r="P29" s="12">
        <v>0</v>
      </c>
      <c r="Q29" s="12" t="s">
        <v>224</v>
      </c>
      <c r="R29" s="15" t="s">
        <v>225</v>
      </c>
      <c r="S29" s="12">
        <v>1022</v>
      </c>
      <c r="T29" s="12" t="s">
        <v>39</v>
      </c>
      <c r="U29" s="12" t="s">
        <v>40</v>
      </c>
      <c r="V29" s="12" t="s">
        <v>41</v>
      </c>
      <c r="W29" s="12">
        <v>250000000</v>
      </c>
      <c r="X29" s="12">
        <v>2016</v>
      </c>
      <c r="Y29" s="12">
        <v>19000</v>
      </c>
      <c r="Z29" s="12">
        <v>8.2</v>
      </c>
      <c r="AA29" s="12">
        <v>2.35</v>
      </c>
      <c r="AB29" s="12">
        <v>72000</v>
      </c>
      <c r="AC29" s="12"/>
      <c r="AD29" s="12" t="str">
        <f>IFERROR(__xludf.DUMMYFUNCTION("""COMPUTED_VALUE"""),"Alan Rickman")</f>
        <v>Alan Rickman</v>
      </c>
      <c r="AE29" s="12"/>
    </row>
    <row r="30" customHeight="1" spans="1:31">
      <c r="A30" s="11" t="s">
        <v>30</v>
      </c>
      <c r="B30" s="11" t="s">
        <v>226</v>
      </c>
      <c r="C30" s="11">
        <v>377</v>
      </c>
      <c r="D30" s="11">
        <v>131</v>
      </c>
      <c r="E30" s="11">
        <v>532</v>
      </c>
      <c r="F30" s="11">
        <v>627</v>
      </c>
      <c r="G30" s="11">
        <v>14000</v>
      </c>
      <c r="H30" s="11">
        <v>65173160</v>
      </c>
      <c r="I30" s="11" t="s">
        <v>227</v>
      </c>
      <c r="J30" s="11" t="s">
        <v>228</v>
      </c>
      <c r="K30" s="11" t="s">
        <v>229</v>
      </c>
      <c r="L30" s="11" t="s">
        <v>230</v>
      </c>
      <c r="M30" s="11" t="s">
        <v>231</v>
      </c>
      <c r="N30" s="11">
        <v>202382</v>
      </c>
      <c r="O30" s="11">
        <v>26679</v>
      </c>
      <c r="P30" s="11">
        <v>0</v>
      </c>
      <c r="Q30" s="11" t="s">
        <v>232</v>
      </c>
      <c r="R30" s="14" t="s">
        <v>233</v>
      </c>
      <c r="S30" s="11">
        <v>751</v>
      </c>
      <c r="T30" s="11" t="s">
        <v>39</v>
      </c>
      <c r="U30" s="11" t="s">
        <v>40</v>
      </c>
      <c r="V30" s="11" t="s">
        <v>41</v>
      </c>
      <c r="W30" s="11">
        <v>209000000</v>
      </c>
      <c r="X30" s="11">
        <v>2012</v>
      </c>
      <c r="Y30" s="11">
        <v>10000</v>
      </c>
      <c r="Z30" s="11">
        <v>5.9</v>
      </c>
      <c r="AA30" s="11">
        <v>2.35</v>
      </c>
      <c r="AB30" s="11">
        <v>44000</v>
      </c>
      <c r="AC30" s="11"/>
      <c r="AD30" s="11" t="str">
        <f>IFERROR(__xludf.DUMMYFUNCTION("""COMPUTED_VALUE"""),"Daniel Radcliffe")</f>
        <v>Daniel Radcliffe</v>
      </c>
      <c r="AE30" s="11"/>
    </row>
    <row r="31" customHeight="1" spans="1:31">
      <c r="A31" s="12" t="s">
        <v>30</v>
      </c>
      <c r="B31" s="12" t="s">
        <v>234</v>
      </c>
      <c r="C31" s="12">
        <v>644</v>
      </c>
      <c r="D31" s="12">
        <v>124</v>
      </c>
      <c r="E31" s="12">
        <v>365</v>
      </c>
      <c r="F31" s="12">
        <v>1000</v>
      </c>
      <c r="G31" s="12">
        <v>3000</v>
      </c>
      <c r="H31" s="12">
        <v>652177271</v>
      </c>
      <c r="I31" s="12" t="s">
        <v>227</v>
      </c>
      <c r="J31" s="12" t="s">
        <v>235</v>
      </c>
      <c r="K31" s="12" t="s">
        <v>236</v>
      </c>
      <c r="L31" s="12" t="s">
        <v>237</v>
      </c>
      <c r="M31" s="12" t="s">
        <v>238</v>
      </c>
      <c r="N31" s="12">
        <v>418214</v>
      </c>
      <c r="O31" s="12">
        <v>8458</v>
      </c>
      <c r="P31" s="12">
        <v>0</v>
      </c>
      <c r="Q31" s="12" t="s">
        <v>239</v>
      </c>
      <c r="R31" s="15" t="s">
        <v>240</v>
      </c>
      <c r="S31" s="12">
        <v>1290</v>
      </c>
      <c r="T31" s="12" t="s">
        <v>39</v>
      </c>
      <c r="U31" s="12" t="s">
        <v>40</v>
      </c>
      <c r="V31" s="12" t="s">
        <v>41</v>
      </c>
      <c r="W31" s="12">
        <v>150000000</v>
      </c>
      <c r="X31" s="12">
        <v>2015</v>
      </c>
      <c r="Y31" s="12">
        <v>2000</v>
      </c>
      <c r="Z31" s="12">
        <v>7</v>
      </c>
      <c r="AA31" s="12">
        <v>2</v>
      </c>
      <c r="AB31" s="12">
        <v>150000</v>
      </c>
      <c r="AC31" s="12"/>
      <c r="AD31" s="12" t="str">
        <f>IFERROR(__xludf.DUMMYFUNCTION("""COMPUTED_VALUE"""),"Rupert Grint")</f>
        <v>Rupert Grint</v>
      </c>
      <c r="AE31" s="12"/>
    </row>
    <row r="32" customHeight="1" spans="1:31">
      <c r="A32" s="11" t="s">
        <v>30</v>
      </c>
      <c r="B32" s="11" t="s">
        <v>50</v>
      </c>
      <c r="C32" s="11">
        <v>750</v>
      </c>
      <c r="D32" s="11">
        <v>143</v>
      </c>
      <c r="E32" s="11">
        <v>0</v>
      </c>
      <c r="F32" s="11">
        <v>393</v>
      </c>
      <c r="G32" s="11">
        <v>883</v>
      </c>
      <c r="H32" s="11">
        <v>304360277</v>
      </c>
      <c r="I32" s="11" t="s">
        <v>51</v>
      </c>
      <c r="J32" s="11" t="s">
        <v>241</v>
      </c>
      <c r="K32" s="11" t="s">
        <v>242</v>
      </c>
      <c r="L32" s="11" t="s">
        <v>53</v>
      </c>
      <c r="M32" s="11" t="s">
        <v>243</v>
      </c>
      <c r="N32" s="11">
        <v>522030</v>
      </c>
      <c r="O32" s="11">
        <v>2039</v>
      </c>
      <c r="P32" s="11">
        <v>0</v>
      </c>
      <c r="Q32" s="11" t="s">
        <v>244</v>
      </c>
      <c r="R32" s="14" t="s">
        <v>245</v>
      </c>
      <c r="S32" s="11">
        <v>1498</v>
      </c>
      <c r="T32" s="11" t="s">
        <v>39</v>
      </c>
      <c r="U32" s="11" t="s">
        <v>58</v>
      </c>
      <c r="V32" s="11" t="s">
        <v>41</v>
      </c>
      <c r="W32" s="11">
        <v>200000000</v>
      </c>
      <c r="X32" s="11">
        <v>2012</v>
      </c>
      <c r="Y32" s="11">
        <v>563</v>
      </c>
      <c r="Z32" s="11">
        <v>7.8</v>
      </c>
      <c r="AA32" s="11">
        <v>2.35</v>
      </c>
      <c r="AB32" s="11">
        <v>80000</v>
      </c>
      <c r="AC32" s="11"/>
      <c r="AD32" s="11" t="str">
        <f>IFERROR(__xludf.DUMMYFUNCTION("""COMPUTED_VALUE"""),"Henry Cavill")</f>
        <v>Henry Cavill</v>
      </c>
      <c r="AE32" s="11"/>
    </row>
    <row r="33" customHeight="1" spans="1:31">
      <c r="A33" s="12" t="s">
        <v>30</v>
      </c>
      <c r="B33" s="12" t="s">
        <v>80</v>
      </c>
      <c r="C33" s="12">
        <v>300</v>
      </c>
      <c r="D33" s="12">
        <v>135</v>
      </c>
      <c r="E33" s="12">
        <v>0</v>
      </c>
      <c r="F33" s="12">
        <v>4000</v>
      </c>
      <c r="G33" s="12">
        <v>24000</v>
      </c>
      <c r="H33" s="12">
        <v>373377893</v>
      </c>
      <c r="I33" s="12" t="s">
        <v>246</v>
      </c>
      <c r="J33" s="12" t="s">
        <v>82</v>
      </c>
      <c r="K33" s="12" t="s">
        <v>83</v>
      </c>
      <c r="L33" s="12" t="s">
        <v>84</v>
      </c>
      <c r="M33" s="12" t="s">
        <v>247</v>
      </c>
      <c r="N33" s="12">
        <v>411164</v>
      </c>
      <c r="O33" s="12">
        <v>43388</v>
      </c>
      <c r="P33" s="12">
        <v>1</v>
      </c>
      <c r="Q33" s="12" t="s">
        <v>248</v>
      </c>
      <c r="R33" s="15" t="s">
        <v>249</v>
      </c>
      <c r="S33" s="12">
        <v>1303</v>
      </c>
      <c r="T33" s="12" t="s">
        <v>39</v>
      </c>
      <c r="U33" s="12" t="s">
        <v>40</v>
      </c>
      <c r="V33" s="12" t="s">
        <v>41</v>
      </c>
      <c r="W33" s="12">
        <v>200000000</v>
      </c>
      <c r="X33" s="12">
        <v>2004</v>
      </c>
      <c r="Y33" s="12">
        <v>11000</v>
      </c>
      <c r="Z33" s="12">
        <v>7.3</v>
      </c>
      <c r="AA33" s="12">
        <v>2.35</v>
      </c>
      <c r="AB33" s="12">
        <v>0</v>
      </c>
      <c r="AC33" s="12"/>
      <c r="AD33" s="12" t="str">
        <f>IFERROR(__xludf.DUMMYFUNCTION("""COMPUTED_VALUE"""),"Lauren Cohan")</f>
        <v>Lauren Cohan</v>
      </c>
      <c r="AE33" s="12"/>
    </row>
    <row r="34" customHeight="1" spans="1:31">
      <c r="A34" s="11" t="s">
        <v>30</v>
      </c>
      <c r="B34" s="11" t="s">
        <v>250</v>
      </c>
      <c r="C34" s="11">
        <v>608</v>
      </c>
      <c r="D34" s="11">
        <v>195</v>
      </c>
      <c r="E34" s="11">
        <v>1000</v>
      </c>
      <c r="F34" s="11">
        <v>3000</v>
      </c>
      <c r="G34" s="11">
        <v>21000</v>
      </c>
      <c r="H34" s="11">
        <v>408992272</v>
      </c>
      <c r="I34" s="11" t="s">
        <v>73</v>
      </c>
      <c r="J34" s="11" t="s">
        <v>99</v>
      </c>
      <c r="K34" s="11" t="s">
        <v>251</v>
      </c>
      <c r="L34" s="11" t="s">
        <v>252</v>
      </c>
      <c r="M34" s="11" t="s">
        <v>253</v>
      </c>
      <c r="N34" s="11">
        <v>557489</v>
      </c>
      <c r="O34" s="11">
        <v>30426</v>
      </c>
      <c r="P34" s="11">
        <v>3</v>
      </c>
      <c r="Q34" s="11" t="s">
        <v>254</v>
      </c>
      <c r="R34" s="14" t="s">
        <v>255</v>
      </c>
      <c r="S34" s="11">
        <v>1187</v>
      </c>
      <c r="T34" s="11" t="s">
        <v>39</v>
      </c>
      <c r="U34" s="11" t="s">
        <v>40</v>
      </c>
      <c r="V34" s="11" t="s">
        <v>41</v>
      </c>
      <c r="W34" s="11">
        <v>200000000</v>
      </c>
      <c r="X34" s="11">
        <v>2013</v>
      </c>
      <c r="Y34" s="11">
        <v>4000</v>
      </c>
      <c r="Z34" s="11">
        <v>7.2</v>
      </c>
      <c r="AA34" s="11">
        <v>2.35</v>
      </c>
      <c r="AB34" s="11">
        <v>95000</v>
      </c>
      <c r="AC34" s="11"/>
      <c r="AD34" s="11" t="str">
        <f>IFERROR(__xludf.DUMMYFUNCTION("""COMPUTED_VALUE"""),"Alan D. Purwin")</f>
        <v>Alan D. Purwin</v>
      </c>
      <c r="AE34" s="11"/>
    </row>
    <row r="35" customHeight="1" spans="1:31">
      <c r="A35" s="12" t="s">
        <v>30</v>
      </c>
      <c r="B35" s="12" t="s">
        <v>256</v>
      </c>
      <c r="C35" s="12">
        <v>451</v>
      </c>
      <c r="D35" s="12">
        <v>108</v>
      </c>
      <c r="E35" s="12">
        <v>13000</v>
      </c>
      <c r="F35" s="12">
        <v>11000</v>
      </c>
      <c r="G35" s="12">
        <v>40000</v>
      </c>
      <c r="H35" s="12">
        <v>334185206</v>
      </c>
      <c r="I35" s="12" t="s">
        <v>200</v>
      </c>
      <c r="J35" s="12" t="s">
        <v>44</v>
      </c>
      <c r="K35" s="12" t="s">
        <v>106</v>
      </c>
      <c r="L35" s="12" t="s">
        <v>257</v>
      </c>
      <c r="M35" s="12" t="s">
        <v>258</v>
      </c>
      <c r="N35" s="12">
        <v>306320</v>
      </c>
      <c r="O35" s="12">
        <v>79957</v>
      </c>
      <c r="P35" s="12">
        <v>0</v>
      </c>
      <c r="Q35" s="12" t="s">
        <v>259</v>
      </c>
      <c r="R35" s="15" t="s">
        <v>260</v>
      </c>
      <c r="S35" s="12">
        <v>736</v>
      </c>
      <c r="T35" s="12" t="s">
        <v>39</v>
      </c>
      <c r="U35" s="12" t="s">
        <v>40</v>
      </c>
      <c r="V35" s="12" t="s">
        <v>96</v>
      </c>
      <c r="W35" s="12">
        <v>200000000</v>
      </c>
      <c r="X35" s="12">
        <v>2010</v>
      </c>
      <c r="Y35" s="12">
        <v>25000</v>
      </c>
      <c r="Z35" s="12">
        <v>6.5</v>
      </c>
      <c r="AA35" s="12">
        <v>1.85</v>
      </c>
      <c r="AB35" s="12">
        <v>24000</v>
      </c>
      <c r="AC35" s="12"/>
      <c r="AD35" s="12" t="str">
        <f>IFERROR(__xludf.DUMMYFUNCTION("""COMPUTED_VALUE"""),"Kevin Spacey")</f>
        <v>Kevin Spacey</v>
      </c>
      <c r="AE35" s="12"/>
    </row>
    <row r="36" customHeight="1" spans="1:31">
      <c r="A36" s="11" t="s">
        <v>30</v>
      </c>
      <c r="B36" s="11" t="s">
        <v>261</v>
      </c>
      <c r="C36" s="11">
        <v>334</v>
      </c>
      <c r="D36" s="11">
        <v>104</v>
      </c>
      <c r="E36" s="11">
        <v>420</v>
      </c>
      <c r="F36" s="11">
        <v>560</v>
      </c>
      <c r="G36" s="11">
        <v>20000</v>
      </c>
      <c r="H36" s="11">
        <v>234360014</v>
      </c>
      <c r="I36" s="11" t="s">
        <v>262</v>
      </c>
      <c r="J36" s="11" t="s">
        <v>263</v>
      </c>
      <c r="K36" s="11" t="s">
        <v>264</v>
      </c>
      <c r="L36" s="11" t="s">
        <v>265</v>
      </c>
      <c r="M36" s="11" t="s">
        <v>266</v>
      </c>
      <c r="N36" s="11">
        <v>383427</v>
      </c>
      <c r="O36" s="11">
        <v>21714</v>
      </c>
      <c r="P36" s="11">
        <v>0</v>
      </c>
      <c r="Q36" s="11" t="s">
        <v>267</v>
      </c>
      <c r="R36" s="14" t="s">
        <v>268</v>
      </c>
      <c r="S36" s="11">
        <v>1912</v>
      </c>
      <c r="T36" s="11" t="s">
        <v>39</v>
      </c>
      <c r="U36" s="11" t="s">
        <v>269</v>
      </c>
      <c r="V36" s="11" t="s">
        <v>41</v>
      </c>
      <c r="W36" s="11">
        <v>210000000</v>
      </c>
      <c r="X36" s="11">
        <v>2006</v>
      </c>
      <c r="Y36" s="11">
        <v>808</v>
      </c>
      <c r="Z36" s="11">
        <v>6.8</v>
      </c>
      <c r="AA36" s="11">
        <v>2.35</v>
      </c>
      <c r="AB36" s="11">
        <v>0</v>
      </c>
      <c r="AC36" s="11"/>
      <c r="AD36" s="11" t="str">
        <f>IFERROR(__xludf.DUMMYFUNCTION("""COMPUTED_VALUE"""),"Marlon Brando")</f>
        <v>Marlon Brando</v>
      </c>
      <c r="AE36" s="11"/>
    </row>
    <row r="37" customHeight="1" spans="1:31">
      <c r="A37" s="12" t="s">
        <v>30</v>
      </c>
      <c r="B37" s="12" t="s">
        <v>270</v>
      </c>
      <c r="C37" s="12">
        <v>376</v>
      </c>
      <c r="D37" s="12">
        <v>104</v>
      </c>
      <c r="E37" s="12">
        <v>37</v>
      </c>
      <c r="F37" s="12">
        <v>760</v>
      </c>
      <c r="G37" s="12">
        <v>12000</v>
      </c>
      <c r="H37" s="12">
        <v>268488329</v>
      </c>
      <c r="I37" s="12" t="s">
        <v>271</v>
      </c>
      <c r="J37" s="12" t="s">
        <v>272</v>
      </c>
      <c r="K37" s="12" t="s">
        <v>273</v>
      </c>
      <c r="L37" s="12" t="s">
        <v>274</v>
      </c>
      <c r="M37" s="12" t="s">
        <v>275</v>
      </c>
      <c r="N37" s="12">
        <v>235025</v>
      </c>
      <c r="O37" s="12">
        <v>14863</v>
      </c>
      <c r="P37" s="12">
        <v>0</v>
      </c>
      <c r="Q37" s="12" t="s">
        <v>276</v>
      </c>
      <c r="R37" s="15" t="s">
        <v>277</v>
      </c>
      <c r="S37" s="12">
        <v>265</v>
      </c>
      <c r="T37" s="12" t="s">
        <v>39</v>
      </c>
      <c r="U37" s="12" t="s">
        <v>40</v>
      </c>
      <c r="V37" s="12" t="s">
        <v>278</v>
      </c>
      <c r="W37" s="12">
        <v>200000000</v>
      </c>
      <c r="X37" s="12">
        <v>2013</v>
      </c>
      <c r="Y37" s="12">
        <v>779</v>
      </c>
      <c r="Z37" s="12">
        <v>7.3</v>
      </c>
      <c r="AA37" s="12">
        <v>1.85</v>
      </c>
      <c r="AB37" s="12">
        <v>44000</v>
      </c>
      <c r="AC37" s="12"/>
      <c r="AD37" s="12" t="str">
        <f>IFERROR(__xludf.DUMMYFUNCTION("""COMPUTED_VALUE"""),"Frank Langella")</f>
        <v>Frank Langella</v>
      </c>
      <c r="AE37" s="12"/>
    </row>
    <row r="38" customHeight="1" spans="1:31">
      <c r="A38" s="11" t="s">
        <v>30</v>
      </c>
      <c r="B38" s="11" t="s">
        <v>279</v>
      </c>
      <c r="C38" s="11">
        <v>366</v>
      </c>
      <c r="D38" s="11">
        <v>150</v>
      </c>
      <c r="E38" s="11">
        <v>0</v>
      </c>
      <c r="F38" s="11">
        <v>464</v>
      </c>
      <c r="G38" s="11">
        <v>894</v>
      </c>
      <c r="H38" s="11">
        <v>402076689</v>
      </c>
      <c r="I38" s="11" t="s">
        <v>73</v>
      </c>
      <c r="J38" s="11" t="s">
        <v>280</v>
      </c>
      <c r="K38" s="11" t="s">
        <v>281</v>
      </c>
      <c r="L38" s="11" t="s">
        <v>282</v>
      </c>
      <c r="M38" s="11" t="s">
        <v>283</v>
      </c>
      <c r="N38" s="11">
        <v>323207</v>
      </c>
      <c r="O38" s="11">
        <v>3218</v>
      </c>
      <c r="P38" s="11">
        <v>0</v>
      </c>
      <c r="Q38" s="11" t="s">
        <v>284</v>
      </c>
      <c r="R38" s="14" t="s">
        <v>285</v>
      </c>
      <c r="S38" s="11">
        <v>1439</v>
      </c>
      <c r="T38" s="11" t="s">
        <v>39</v>
      </c>
      <c r="U38" s="11" t="s">
        <v>40</v>
      </c>
      <c r="V38" s="11" t="s">
        <v>41</v>
      </c>
      <c r="W38" s="11">
        <v>200000000</v>
      </c>
      <c r="X38" s="11">
        <v>2009</v>
      </c>
      <c r="Y38" s="11">
        <v>581</v>
      </c>
      <c r="Z38" s="11">
        <v>6</v>
      </c>
      <c r="AA38" s="11">
        <v>2.35</v>
      </c>
      <c r="AB38" s="11">
        <v>0</v>
      </c>
      <c r="AC38" s="11"/>
      <c r="AD38" s="11" t="str">
        <f>IFERROR(__xludf.DUMMYFUNCTION("""COMPUTED_VALUE"""),"Giancarlo Giannini")</f>
        <v>Giancarlo Giannini</v>
      </c>
      <c r="AE38" s="11"/>
    </row>
    <row r="39" customHeight="1" spans="1:31">
      <c r="A39" s="12" t="s">
        <v>30</v>
      </c>
      <c r="B39" s="12" t="s">
        <v>279</v>
      </c>
      <c r="C39" s="12">
        <v>378</v>
      </c>
      <c r="D39" s="12">
        <v>165</v>
      </c>
      <c r="E39" s="12">
        <v>0</v>
      </c>
      <c r="F39" s="12">
        <v>808</v>
      </c>
      <c r="G39" s="12">
        <v>974</v>
      </c>
      <c r="H39" s="12">
        <v>245428137</v>
      </c>
      <c r="I39" s="12" t="s">
        <v>73</v>
      </c>
      <c r="J39" s="12" t="s">
        <v>286</v>
      </c>
      <c r="K39" s="12" t="s">
        <v>287</v>
      </c>
      <c r="L39" s="12" t="s">
        <v>264</v>
      </c>
      <c r="M39" s="12" t="s">
        <v>288</v>
      </c>
      <c r="N39" s="12">
        <v>242420</v>
      </c>
      <c r="O39" s="12">
        <v>3988</v>
      </c>
      <c r="P39" s="12">
        <v>2</v>
      </c>
      <c r="Q39" s="12" t="s">
        <v>289</v>
      </c>
      <c r="R39" s="15" t="s">
        <v>290</v>
      </c>
      <c r="S39" s="12">
        <v>918</v>
      </c>
      <c r="T39" s="12" t="s">
        <v>39</v>
      </c>
      <c r="U39" s="12" t="s">
        <v>40</v>
      </c>
      <c r="V39" s="12" t="s">
        <v>41</v>
      </c>
      <c r="W39" s="12">
        <v>210000000</v>
      </c>
      <c r="X39" s="12">
        <v>2014</v>
      </c>
      <c r="Y39" s="12">
        <v>956</v>
      </c>
      <c r="Z39" s="12">
        <v>5.7</v>
      </c>
      <c r="AA39" s="12">
        <v>2.35</v>
      </c>
      <c r="AB39" s="12">
        <v>56000</v>
      </c>
      <c r="AC39" s="12"/>
      <c r="AD39" s="12" t="str">
        <f>IFERROR(__xludf.DUMMYFUNCTION("""COMPUTED_VALUE"""),"Mathieu Amalric")</f>
        <v>Mathieu Amalric</v>
      </c>
      <c r="AE39" s="12"/>
    </row>
    <row r="40" customHeight="1" spans="1:31">
      <c r="A40" s="11" t="s">
        <v>30</v>
      </c>
      <c r="B40" s="11" t="s">
        <v>80</v>
      </c>
      <c r="C40" s="11">
        <v>525</v>
      </c>
      <c r="D40" s="11">
        <v>130</v>
      </c>
      <c r="E40" s="11">
        <v>0</v>
      </c>
      <c r="F40" s="11">
        <v>11000</v>
      </c>
      <c r="G40" s="11">
        <v>44000</v>
      </c>
      <c r="H40" s="11">
        <v>234903076</v>
      </c>
      <c r="I40" s="11" t="s">
        <v>200</v>
      </c>
      <c r="J40" s="11" t="s">
        <v>291</v>
      </c>
      <c r="K40" s="11" t="s">
        <v>292</v>
      </c>
      <c r="L40" s="11" t="s">
        <v>83</v>
      </c>
      <c r="M40" s="11" t="s">
        <v>293</v>
      </c>
      <c r="N40" s="11">
        <v>175409</v>
      </c>
      <c r="O40" s="11">
        <v>73441</v>
      </c>
      <c r="P40" s="11">
        <v>4</v>
      </c>
      <c r="Q40" s="11" t="s">
        <v>294</v>
      </c>
      <c r="R40" s="14" t="s">
        <v>295</v>
      </c>
      <c r="S40" s="11">
        <v>511</v>
      </c>
      <c r="T40" s="11" t="s">
        <v>39</v>
      </c>
      <c r="U40" s="11" t="s">
        <v>40</v>
      </c>
      <c r="V40" s="11" t="s">
        <v>96</v>
      </c>
      <c r="W40" s="11">
        <v>215000000</v>
      </c>
      <c r="X40" s="11">
        <v>2013</v>
      </c>
      <c r="Y40" s="11">
        <v>15000</v>
      </c>
      <c r="Z40" s="11">
        <v>6.4</v>
      </c>
      <c r="AA40" s="11">
        <v>2.35</v>
      </c>
      <c r="AB40" s="11">
        <v>60000</v>
      </c>
      <c r="AC40" s="11"/>
      <c r="AD40" s="11" t="str">
        <f>IFERROR(__xludf.DUMMYFUNCTION("""COMPUTED_VALUE"""),"Ruth Wilson")</f>
        <v>Ruth Wilson</v>
      </c>
      <c r="AE40" s="11"/>
    </row>
    <row r="41" customHeight="1" spans="1:31">
      <c r="A41" s="12" t="s">
        <v>30</v>
      </c>
      <c r="B41" s="12" t="s">
        <v>181</v>
      </c>
      <c r="C41" s="12">
        <v>495</v>
      </c>
      <c r="D41" s="12">
        <v>142</v>
      </c>
      <c r="E41" s="12">
        <v>464</v>
      </c>
      <c r="F41" s="12">
        <v>825</v>
      </c>
      <c r="G41" s="12">
        <v>15000</v>
      </c>
      <c r="H41" s="12">
        <v>202853933</v>
      </c>
      <c r="I41" s="12" t="s">
        <v>32</v>
      </c>
      <c r="J41" s="12" t="s">
        <v>182</v>
      </c>
      <c r="K41" s="12" t="s">
        <v>183</v>
      </c>
      <c r="L41" s="12" t="s">
        <v>296</v>
      </c>
      <c r="M41" s="12" t="s">
        <v>297</v>
      </c>
      <c r="N41" s="12">
        <v>321227</v>
      </c>
      <c r="O41" s="12">
        <v>28631</v>
      </c>
      <c r="P41" s="12">
        <v>0</v>
      </c>
      <c r="Q41" s="12" t="s">
        <v>298</v>
      </c>
      <c r="R41" s="15" t="s">
        <v>299</v>
      </c>
      <c r="S41" s="12">
        <v>1067</v>
      </c>
      <c r="T41" s="12" t="s">
        <v>39</v>
      </c>
      <c r="U41" s="12" t="s">
        <v>40</v>
      </c>
      <c r="V41" s="12" t="s">
        <v>41</v>
      </c>
      <c r="W41" s="12">
        <v>200000000</v>
      </c>
      <c r="X41" s="12">
        <v>2014</v>
      </c>
      <c r="Y41" s="12">
        <v>10000</v>
      </c>
      <c r="Z41" s="12">
        <v>6.7</v>
      </c>
      <c r="AA41" s="12">
        <v>2.35</v>
      </c>
      <c r="AB41" s="12">
        <v>41000</v>
      </c>
      <c r="AC41" s="12"/>
      <c r="AD41" s="12" t="str">
        <f>IFERROR(__xludf.DUMMYFUNCTION("""COMPUTED_VALUE"""),"Tom Wilkinson")</f>
        <v>Tom Wilkinson</v>
      </c>
      <c r="AE41" s="12"/>
    </row>
    <row r="42" customHeight="1" spans="1:31">
      <c r="A42" s="11" t="s">
        <v>30</v>
      </c>
      <c r="B42" s="11" t="s">
        <v>300</v>
      </c>
      <c r="C42" s="11">
        <v>469</v>
      </c>
      <c r="D42" s="11">
        <v>125</v>
      </c>
      <c r="E42" s="11">
        <v>364</v>
      </c>
      <c r="F42" s="11">
        <v>1000</v>
      </c>
      <c r="G42" s="11">
        <v>12000</v>
      </c>
      <c r="H42" s="11">
        <v>172051787</v>
      </c>
      <c r="I42" s="11" t="s">
        <v>73</v>
      </c>
      <c r="J42" s="11" t="s">
        <v>301</v>
      </c>
      <c r="K42" s="11" t="s">
        <v>302</v>
      </c>
      <c r="L42" s="11" t="s">
        <v>303</v>
      </c>
      <c r="M42" s="11" t="s">
        <v>304</v>
      </c>
      <c r="N42" s="11">
        <v>264183</v>
      </c>
      <c r="O42" s="11">
        <v>25550</v>
      </c>
      <c r="P42" s="11">
        <v>0</v>
      </c>
      <c r="Q42" s="11" t="s">
        <v>305</v>
      </c>
      <c r="R42" s="14" t="s">
        <v>306</v>
      </c>
      <c r="S42" s="11">
        <v>665</v>
      </c>
      <c r="T42" s="11" t="s">
        <v>39</v>
      </c>
      <c r="U42" s="11" t="s">
        <v>40</v>
      </c>
      <c r="V42" s="11" t="s">
        <v>96</v>
      </c>
      <c r="W42" s="11">
        <v>170000000</v>
      </c>
      <c r="X42" s="11">
        <v>2010</v>
      </c>
      <c r="Y42" s="11">
        <v>10000</v>
      </c>
      <c r="Z42" s="11">
        <v>6.8</v>
      </c>
      <c r="AA42" s="11">
        <v>2.35</v>
      </c>
      <c r="AB42" s="11">
        <v>30000</v>
      </c>
      <c r="AC42" s="11"/>
      <c r="AD42" s="11" t="str">
        <f>IFERROR(__xludf.DUMMYFUNCTION("""COMPUTED_VALUE"""),"Christopher Meloni")</f>
        <v>Christopher Meloni</v>
      </c>
      <c r="AE42" s="11"/>
    </row>
    <row r="43" customHeight="1" spans="1:31">
      <c r="A43" s="12" t="s">
        <v>30</v>
      </c>
      <c r="B43" s="12" t="s">
        <v>307</v>
      </c>
      <c r="C43" s="12">
        <v>304</v>
      </c>
      <c r="D43" s="12">
        <v>106</v>
      </c>
      <c r="E43" s="12">
        <v>487</v>
      </c>
      <c r="F43" s="12">
        <v>776</v>
      </c>
      <c r="G43" s="12">
        <v>1000</v>
      </c>
      <c r="H43" s="12">
        <v>191450875</v>
      </c>
      <c r="I43" s="12" t="s">
        <v>308</v>
      </c>
      <c r="J43" s="12" t="s">
        <v>309</v>
      </c>
      <c r="K43" s="12" t="s">
        <v>209</v>
      </c>
      <c r="L43" s="12" t="s">
        <v>310</v>
      </c>
      <c r="M43" s="12" t="s">
        <v>311</v>
      </c>
      <c r="N43" s="12">
        <v>101178</v>
      </c>
      <c r="O43" s="12">
        <v>4482</v>
      </c>
      <c r="P43" s="12">
        <v>0</v>
      </c>
      <c r="Q43" s="12" t="s">
        <v>312</v>
      </c>
      <c r="R43" s="15" t="s">
        <v>313</v>
      </c>
      <c r="S43" s="12">
        <v>283</v>
      </c>
      <c r="T43" s="12" t="s">
        <v>39</v>
      </c>
      <c r="U43" s="12" t="s">
        <v>40</v>
      </c>
      <c r="V43" s="12" t="s">
        <v>278</v>
      </c>
      <c r="W43" s="12">
        <v>200000000</v>
      </c>
      <c r="X43" s="12">
        <v>2011</v>
      </c>
      <c r="Y43" s="12">
        <v>919</v>
      </c>
      <c r="Z43" s="12">
        <v>6.3</v>
      </c>
      <c r="AA43" s="12">
        <v>2.35</v>
      </c>
      <c r="AB43" s="12">
        <v>10000</v>
      </c>
      <c r="AC43" s="12"/>
      <c r="AD43" s="12" t="str">
        <f>IFERROR(__xludf.DUMMYFUNCTION("""COMPUTED_VALUE"""),"Harry Lennix")</f>
        <v>Harry Lennix</v>
      </c>
      <c r="AE43" s="12"/>
    </row>
    <row r="44" customHeight="1" spans="1:31">
      <c r="A44" s="11" t="s">
        <v>30</v>
      </c>
      <c r="B44" s="11" t="s">
        <v>314</v>
      </c>
      <c r="C44" s="11">
        <v>436</v>
      </c>
      <c r="D44" s="11">
        <v>123</v>
      </c>
      <c r="E44" s="11">
        <v>258</v>
      </c>
      <c r="F44" s="11">
        <v>326</v>
      </c>
      <c r="G44" s="11">
        <v>16000</v>
      </c>
      <c r="H44" s="11">
        <v>116593191</v>
      </c>
      <c r="I44" s="11" t="s">
        <v>73</v>
      </c>
      <c r="J44" s="11" t="s">
        <v>315</v>
      </c>
      <c r="K44" s="11" t="s">
        <v>316</v>
      </c>
      <c r="L44" s="11" t="s">
        <v>317</v>
      </c>
      <c r="M44" s="11" t="s">
        <v>318</v>
      </c>
      <c r="N44" s="11">
        <v>223393</v>
      </c>
      <c r="O44" s="11">
        <v>17657</v>
      </c>
      <c r="P44" s="11">
        <v>2</v>
      </c>
      <c r="Q44" s="11" t="s">
        <v>319</v>
      </c>
      <c r="R44" s="14" t="s">
        <v>320</v>
      </c>
      <c r="S44" s="11">
        <v>550</v>
      </c>
      <c r="T44" s="11" t="s">
        <v>39</v>
      </c>
      <c r="U44" s="11" t="s">
        <v>40</v>
      </c>
      <c r="V44" s="11" t="s">
        <v>41</v>
      </c>
      <c r="W44" s="11">
        <v>200000000</v>
      </c>
      <c r="X44" s="11">
        <v>2011</v>
      </c>
      <c r="Y44" s="11">
        <v>368</v>
      </c>
      <c r="Z44" s="11">
        <v>5.6</v>
      </c>
      <c r="AA44" s="11">
        <v>2.35</v>
      </c>
      <c r="AB44" s="11">
        <v>24000</v>
      </c>
      <c r="AC44" s="11"/>
      <c r="AD44" s="11" t="str">
        <f>IFERROR(__xludf.DUMMYFUNCTION("""COMPUTED_VALUE"""),"Peter Dinklage")</f>
        <v>Peter Dinklage</v>
      </c>
      <c r="AE44" s="11"/>
    </row>
    <row r="45" customHeight="1" spans="1:31">
      <c r="A45" s="12" t="s">
        <v>30</v>
      </c>
      <c r="B45" s="12" t="s">
        <v>321</v>
      </c>
      <c r="C45" s="12">
        <v>453</v>
      </c>
      <c r="D45" s="12">
        <v>103</v>
      </c>
      <c r="E45" s="12">
        <v>125</v>
      </c>
      <c r="F45" s="12">
        <v>721</v>
      </c>
      <c r="G45" s="12">
        <v>15000</v>
      </c>
      <c r="H45" s="12">
        <v>414984497</v>
      </c>
      <c r="I45" s="12" t="s">
        <v>271</v>
      </c>
      <c r="J45" s="12" t="s">
        <v>322</v>
      </c>
      <c r="K45" s="12" t="s">
        <v>323</v>
      </c>
      <c r="L45" s="12" t="s">
        <v>324</v>
      </c>
      <c r="M45" s="12" t="s">
        <v>325</v>
      </c>
      <c r="N45" s="12">
        <v>544884</v>
      </c>
      <c r="O45" s="12">
        <v>19085</v>
      </c>
      <c r="P45" s="12">
        <v>3</v>
      </c>
      <c r="Q45" s="12" t="s">
        <v>326</v>
      </c>
      <c r="R45" s="15" t="s">
        <v>327</v>
      </c>
      <c r="S45" s="12">
        <v>733</v>
      </c>
      <c r="T45" s="12" t="s">
        <v>39</v>
      </c>
      <c r="U45" s="12" t="s">
        <v>40</v>
      </c>
      <c r="V45" s="12" t="s">
        <v>278</v>
      </c>
      <c r="W45" s="12">
        <v>200000000</v>
      </c>
      <c r="X45" s="12">
        <v>2010</v>
      </c>
      <c r="Y45" s="12">
        <v>1000</v>
      </c>
      <c r="Z45" s="12">
        <v>8.3</v>
      </c>
      <c r="AA45" s="12">
        <v>1.85</v>
      </c>
      <c r="AB45" s="12">
        <v>30000</v>
      </c>
      <c r="AC45" s="12"/>
      <c r="AD45" s="12" t="str">
        <f>IFERROR(__xludf.DUMMYFUNCTION("""COMPUTED_VALUE"""),"Pierfrancesco Favino")</f>
        <v>Pierfrancesco Favino</v>
      </c>
      <c r="AE45" s="12"/>
    </row>
    <row r="46" customHeight="1" spans="1:31">
      <c r="A46" s="11" t="s">
        <v>30</v>
      </c>
      <c r="B46" s="11" t="s">
        <v>328</v>
      </c>
      <c r="C46" s="11">
        <v>422</v>
      </c>
      <c r="D46" s="11">
        <v>118</v>
      </c>
      <c r="E46" s="11">
        <v>368</v>
      </c>
      <c r="F46" s="11">
        <v>988</v>
      </c>
      <c r="G46" s="11">
        <v>23000</v>
      </c>
      <c r="H46" s="11">
        <v>125320003</v>
      </c>
      <c r="I46" s="11" t="s">
        <v>73</v>
      </c>
      <c r="J46" s="11" t="s">
        <v>62</v>
      </c>
      <c r="K46" s="11" t="s">
        <v>235</v>
      </c>
      <c r="L46" s="11" t="s">
        <v>329</v>
      </c>
      <c r="M46" s="11" t="s">
        <v>330</v>
      </c>
      <c r="N46" s="11">
        <v>286095</v>
      </c>
      <c r="O46" s="11">
        <v>27468</v>
      </c>
      <c r="P46" s="11">
        <v>0</v>
      </c>
      <c r="Q46" s="11" t="s">
        <v>331</v>
      </c>
      <c r="R46" s="14" t="s">
        <v>332</v>
      </c>
      <c r="S46" s="11">
        <v>974</v>
      </c>
      <c r="T46" s="11" t="s">
        <v>39</v>
      </c>
      <c r="U46" s="11" t="s">
        <v>40</v>
      </c>
      <c r="V46" s="11" t="s">
        <v>41</v>
      </c>
      <c r="W46" s="11">
        <v>200000000</v>
      </c>
      <c r="X46" s="11">
        <v>2009</v>
      </c>
      <c r="Y46" s="11">
        <v>3000</v>
      </c>
      <c r="Z46" s="11">
        <v>6.6</v>
      </c>
      <c r="AA46" s="11">
        <v>2.35</v>
      </c>
      <c r="AB46" s="11">
        <v>0</v>
      </c>
      <c r="AC46" s="11"/>
      <c r="AD46" s="11" t="str">
        <f>IFERROR(__xludf.DUMMYFUNCTION("""COMPUTED_VALUE"""),"Damián Alcázar")</f>
        <v>Damián Alcázar</v>
      </c>
      <c r="AE46" s="11"/>
    </row>
    <row r="47" customHeight="1" spans="1:31">
      <c r="A47" s="12" t="s">
        <v>30</v>
      </c>
      <c r="B47" s="12" t="s">
        <v>333</v>
      </c>
      <c r="C47" s="12">
        <v>424</v>
      </c>
      <c r="D47" s="12">
        <v>140</v>
      </c>
      <c r="E47" s="12">
        <v>0</v>
      </c>
      <c r="F47" s="12">
        <v>14000</v>
      </c>
      <c r="G47" s="12">
        <v>26000</v>
      </c>
      <c r="H47" s="12">
        <v>350034110</v>
      </c>
      <c r="I47" s="12" t="s">
        <v>334</v>
      </c>
      <c r="J47" s="12" t="s">
        <v>335</v>
      </c>
      <c r="K47" s="12" t="s">
        <v>336</v>
      </c>
      <c r="L47" s="12" t="s">
        <v>337</v>
      </c>
      <c r="M47" s="12" t="s">
        <v>338</v>
      </c>
      <c r="N47" s="12">
        <v>278232</v>
      </c>
      <c r="O47" s="12">
        <v>79150</v>
      </c>
      <c r="P47" s="12">
        <v>0</v>
      </c>
      <c r="Q47" s="12" t="s">
        <v>339</v>
      </c>
      <c r="R47" s="15" t="s">
        <v>340</v>
      </c>
      <c r="S47" s="12">
        <v>657</v>
      </c>
      <c r="T47" s="12" t="s">
        <v>39</v>
      </c>
      <c r="U47" s="12" t="s">
        <v>40</v>
      </c>
      <c r="V47" s="12" t="s">
        <v>41</v>
      </c>
      <c r="W47" s="12">
        <v>190000000</v>
      </c>
      <c r="X47" s="12">
        <v>2015</v>
      </c>
      <c r="Y47" s="12">
        <v>23000</v>
      </c>
      <c r="Z47" s="12">
        <v>7.2</v>
      </c>
      <c r="AA47" s="12">
        <v>2.35</v>
      </c>
      <c r="AB47" s="12">
        <v>94000</v>
      </c>
      <c r="AC47" s="12"/>
      <c r="AD47" s="12" t="str">
        <f>IFERROR(__xludf.DUMMYFUNCTION("""COMPUTED_VALUE"""),"Sam Claflin")</f>
        <v>Sam Claflin</v>
      </c>
      <c r="AE47" s="12"/>
    </row>
    <row r="48" customHeight="1" spans="1:31">
      <c r="A48" s="11" t="s">
        <v>30</v>
      </c>
      <c r="B48" s="11" t="s">
        <v>126</v>
      </c>
      <c r="C48" s="11">
        <v>654</v>
      </c>
      <c r="D48" s="11">
        <v>123</v>
      </c>
      <c r="E48" s="11">
        <v>395</v>
      </c>
      <c r="F48" s="11">
        <v>1000</v>
      </c>
      <c r="G48" s="11">
        <v>17000</v>
      </c>
      <c r="H48" s="11">
        <v>202351611</v>
      </c>
      <c r="I48" s="11" t="s">
        <v>341</v>
      </c>
      <c r="J48" s="11" t="s">
        <v>342</v>
      </c>
      <c r="K48" s="11" t="s">
        <v>343</v>
      </c>
      <c r="L48" s="11" t="s">
        <v>344</v>
      </c>
      <c r="M48" s="11" t="s">
        <v>345</v>
      </c>
      <c r="N48" s="11">
        <v>465019</v>
      </c>
      <c r="O48" s="11">
        <v>32392</v>
      </c>
      <c r="P48" s="11">
        <v>0</v>
      </c>
      <c r="Q48" s="11" t="s">
        <v>346</v>
      </c>
      <c r="R48" s="14" t="s">
        <v>347</v>
      </c>
      <c r="S48" s="11">
        <v>995</v>
      </c>
      <c r="T48" s="11" t="s">
        <v>39</v>
      </c>
      <c r="U48" s="11" t="s">
        <v>40</v>
      </c>
      <c r="V48" s="11" t="s">
        <v>41</v>
      </c>
      <c r="W48" s="11">
        <v>190000000</v>
      </c>
      <c r="X48" s="11">
        <v>2013</v>
      </c>
      <c r="Y48" s="11">
        <v>11000</v>
      </c>
      <c r="Z48" s="11">
        <v>7</v>
      </c>
      <c r="AA48" s="11">
        <v>2.35</v>
      </c>
      <c r="AB48" s="11">
        <v>129000</v>
      </c>
      <c r="AC48" s="11"/>
      <c r="AD48" s="11" t="str">
        <f>IFERROR(__xludf.DUMMYFUNCTION("""COMPUTED_VALUE"""),"Stephen Graham")</f>
        <v>Stephen Graham</v>
      </c>
      <c r="AE48" s="11"/>
    </row>
    <row r="49" customHeight="1" spans="1:31">
      <c r="A49" s="12" t="s">
        <v>30</v>
      </c>
      <c r="B49" s="12" t="s">
        <v>119</v>
      </c>
      <c r="C49" s="12">
        <v>539</v>
      </c>
      <c r="D49" s="12">
        <v>149</v>
      </c>
      <c r="E49" s="12">
        <v>0</v>
      </c>
      <c r="F49" s="12">
        <v>20000</v>
      </c>
      <c r="G49" s="12">
        <v>34000</v>
      </c>
      <c r="H49" s="12">
        <v>233914986</v>
      </c>
      <c r="I49" s="12" t="s">
        <v>262</v>
      </c>
      <c r="J49" s="12" t="s">
        <v>348</v>
      </c>
      <c r="K49" s="12" t="s">
        <v>149</v>
      </c>
      <c r="L49" s="12" t="s">
        <v>263</v>
      </c>
      <c r="M49" s="12" t="s">
        <v>349</v>
      </c>
      <c r="N49" s="12">
        <v>514125</v>
      </c>
      <c r="O49" s="12">
        <v>91434</v>
      </c>
      <c r="P49" s="12">
        <v>7</v>
      </c>
      <c r="Q49" s="12" t="s">
        <v>350</v>
      </c>
      <c r="R49" s="15" t="s">
        <v>351</v>
      </c>
      <c r="S49" s="12">
        <v>752</v>
      </c>
      <c r="T49" s="12" t="s">
        <v>39</v>
      </c>
      <c r="U49" s="12" t="s">
        <v>40</v>
      </c>
      <c r="V49" s="12" t="s">
        <v>41</v>
      </c>
      <c r="W49" s="12">
        <v>200000000</v>
      </c>
      <c r="X49" s="12">
        <v>2014</v>
      </c>
      <c r="Y49" s="12">
        <v>22000</v>
      </c>
      <c r="Z49" s="12">
        <v>8</v>
      </c>
      <c r="AA49" s="12">
        <v>2.35</v>
      </c>
      <c r="AB49" s="12">
        <v>82000</v>
      </c>
      <c r="AC49" s="12"/>
      <c r="AD49" s="12" t="str">
        <f>IFERROR(__xludf.DUMMYFUNCTION("""COMPUTED_VALUE"""),"Will Smith")</f>
        <v>Will Smith</v>
      </c>
      <c r="AE49" s="12"/>
    </row>
    <row r="50" customHeight="1" spans="1:31">
      <c r="A50" s="11" t="s">
        <v>30</v>
      </c>
      <c r="B50" s="11" t="s">
        <v>352</v>
      </c>
      <c r="C50" s="11">
        <v>590</v>
      </c>
      <c r="D50" s="11">
        <v>132</v>
      </c>
      <c r="E50" s="11">
        <v>14000</v>
      </c>
      <c r="F50" s="11">
        <v>928</v>
      </c>
      <c r="G50" s="11">
        <v>19000</v>
      </c>
      <c r="H50" s="11">
        <v>228756232</v>
      </c>
      <c r="I50" s="11" t="s">
        <v>73</v>
      </c>
      <c r="J50" s="11" t="s">
        <v>353</v>
      </c>
      <c r="K50" s="11" t="s">
        <v>354</v>
      </c>
      <c r="L50" s="11" t="s">
        <v>355</v>
      </c>
      <c r="M50" s="11" t="s">
        <v>356</v>
      </c>
      <c r="N50" s="11">
        <v>395573</v>
      </c>
      <c r="O50" s="11">
        <v>21411</v>
      </c>
      <c r="P50" s="11">
        <v>0</v>
      </c>
      <c r="Q50" s="11" t="s">
        <v>357</v>
      </c>
      <c r="R50" s="14" t="s">
        <v>358</v>
      </c>
      <c r="S50" s="11">
        <v>1171</v>
      </c>
      <c r="T50" s="11" t="s">
        <v>39</v>
      </c>
      <c r="U50" s="11" t="s">
        <v>40</v>
      </c>
      <c r="V50" s="11" t="s">
        <v>41</v>
      </c>
      <c r="W50" s="11">
        <v>190000000</v>
      </c>
      <c r="X50" s="11">
        <v>2013</v>
      </c>
      <c r="Y50" s="11">
        <v>981</v>
      </c>
      <c r="Z50" s="11">
        <v>7.8</v>
      </c>
      <c r="AA50" s="11">
        <v>2.35</v>
      </c>
      <c r="AB50" s="11">
        <v>92000</v>
      </c>
      <c r="AC50" s="11"/>
      <c r="AD50" s="11" t="str">
        <f>IFERROR(__xludf.DUMMYFUNCTION("""COMPUTED_VALUE"""),"Michael Stuhlbarg")</f>
        <v>Michael Stuhlbarg</v>
      </c>
      <c r="AE50" s="11"/>
    </row>
    <row r="51" customHeight="1" spans="1:31">
      <c r="A51" s="12" t="s">
        <v>30</v>
      </c>
      <c r="B51" s="12" t="s">
        <v>119</v>
      </c>
      <c r="C51" s="12">
        <v>338</v>
      </c>
      <c r="D51" s="12">
        <v>114</v>
      </c>
      <c r="E51" s="12">
        <v>0</v>
      </c>
      <c r="F51" s="12">
        <v>140</v>
      </c>
      <c r="G51" s="12">
        <v>979</v>
      </c>
      <c r="H51" s="12">
        <v>65171860</v>
      </c>
      <c r="I51" s="12" t="s">
        <v>173</v>
      </c>
      <c r="J51" s="12" t="s">
        <v>359</v>
      </c>
      <c r="K51" s="12" t="s">
        <v>360</v>
      </c>
      <c r="L51" s="12" t="s">
        <v>361</v>
      </c>
      <c r="M51" s="12" t="s">
        <v>362</v>
      </c>
      <c r="N51" s="12">
        <v>106416</v>
      </c>
      <c r="O51" s="12">
        <v>1766</v>
      </c>
      <c r="P51" s="12">
        <v>1</v>
      </c>
      <c r="Q51" s="12" t="s">
        <v>363</v>
      </c>
      <c r="R51" s="15" t="s">
        <v>364</v>
      </c>
      <c r="S51" s="12">
        <v>205</v>
      </c>
      <c r="T51" s="12" t="s">
        <v>39</v>
      </c>
      <c r="U51" s="12" t="s">
        <v>40</v>
      </c>
      <c r="V51" s="12" t="s">
        <v>41</v>
      </c>
      <c r="W51" s="12">
        <v>195000000</v>
      </c>
      <c r="X51" s="12">
        <v>2013</v>
      </c>
      <c r="Y51" s="12">
        <v>557</v>
      </c>
      <c r="Z51" s="12">
        <v>6.3</v>
      </c>
      <c r="AA51" s="12">
        <v>2.35</v>
      </c>
      <c r="AB51" s="12">
        <v>22000</v>
      </c>
      <c r="AC51" s="12"/>
      <c r="AD51" s="12" t="str">
        <f>IFERROR(__xludf.DUMMYFUNCTION("""COMPUTED_VALUE"""),"Nicole Scherzinger")</f>
        <v>Nicole Scherzinger</v>
      </c>
      <c r="AE51" s="12"/>
    </row>
    <row r="52" customHeight="1" spans="1:31">
      <c r="A52" s="11" t="s">
        <v>30</v>
      </c>
      <c r="B52" s="11" t="s">
        <v>365</v>
      </c>
      <c r="C52" s="11">
        <v>490</v>
      </c>
      <c r="D52" s="11">
        <v>143</v>
      </c>
      <c r="E52" s="11">
        <v>1000</v>
      </c>
      <c r="F52" s="11">
        <v>77</v>
      </c>
      <c r="G52" s="11">
        <v>29000</v>
      </c>
      <c r="H52" s="11">
        <v>144812796</v>
      </c>
      <c r="I52" s="11" t="s">
        <v>214</v>
      </c>
      <c r="J52" s="11" t="s">
        <v>215</v>
      </c>
      <c r="K52" s="11" t="s">
        <v>366</v>
      </c>
      <c r="L52" s="11" t="s">
        <v>367</v>
      </c>
      <c r="M52" s="11" t="s">
        <v>368</v>
      </c>
      <c r="N52" s="11">
        <v>362912</v>
      </c>
      <c r="O52" s="11">
        <v>29770</v>
      </c>
      <c r="P52" s="11">
        <v>4</v>
      </c>
      <c r="Q52" s="11" t="s">
        <v>369</v>
      </c>
      <c r="R52" s="14" t="s">
        <v>370</v>
      </c>
      <c r="S52" s="11">
        <v>753</v>
      </c>
      <c r="T52" s="11" t="s">
        <v>39</v>
      </c>
      <c r="U52" s="11" t="s">
        <v>371</v>
      </c>
      <c r="V52" s="11" t="s">
        <v>41</v>
      </c>
      <c r="W52" s="11">
        <v>105000000</v>
      </c>
      <c r="X52" s="11">
        <v>2013</v>
      </c>
      <c r="Y52" s="11">
        <v>509</v>
      </c>
      <c r="Z52" s="11">
        <v>7.3</v>
      </c>
      <c r="AA52" s="11">
        <v>2.35</v>
      </c>
      <c r="AB52" s="11">
        <v>115000</v>
      </c>
      <c r="AC52" s="11"/>
      <c r="AD52" s="11" t="str">
        <f>IFERROR(__xludf.DUMMYFUNCTION("""COMPUTED_VALUE"""),"Aidan Turner")</f>
        <v>Aidan Turner</v>
      </c>
      <c r="AE52" s="11"/>
    </row>
    <row r="53" customHeight="1" spans="1:31">
      <c r="A53" s="12" t="s">
        <v>30</v>
      </c>
      <c r="B53" s="12" t="s">
        <v>372</v>
      </c>
      <c r="C53" s="12">
        <v>306</v>
      </c>
      <c r="D53" s="12">
        <v>116</v>
      </c>
      <c r="E53" s="12">
        <v>179</v>
      </c>
      <c r="F53" s="12">
        <v>236</v>
      </c>
      <c r="G53" s="12">
        <v>15000</v>
      </c>
      <c r="H53" s="12">
        <v>90755643</v>
      </c>
      <c r="I53" s="12" t="s">
        <v>246</v>
      </c>
      <c r="J53" s="12" t="s">
        <v>373</v>
      </c>
      <c r="K53" s="12" t="s">
        <v>374</v>
      </c>
      <c r="L53" s="12" t="s">
        <v>375</v>
      </c>
      <c r="M53" s="12" t="s">
        <v>376</v>
      </c>
      <c r="N53" s="12">
        <v>222403</v>
      </c>
      <c r="O53" s="12">
        <v>16149</v>
      </c>
      <c r="P53" s="12">
        <v>2</v>
      </c>
      <c r="Q53" s="12" t="s">
        <v>377</v>
      </c>
      <c r="R53" s="15" t="s">
        <v>378</v>
      </c>
      <c r="S53" s="12">
        <v>453</v>
      </c>
      <c r="T53" s="12" t="s">
        <v>39</v>
      </c>
      <c r="U53" s="12" t="s">
        <v>40</v>
      </c>
      <c r="V53" s="12" t="s">
        <v>41</v>
      </c>
      <c r="W53" s="12">
        <v>200000000</v>
      </c>
      <c r="X53" s="12">
        <v>2010</v>
      </c>
      <c r="Y53" s="12">
        <v>567</v>
      </c>
      <c r="Z53" s="12">
        <v>6.6</v>
      </c>
      <c r="AA53" s="12">
        <v>2.35</v>
      </c>
      <c r="AB53" s="12">
        <v>23000</v>
      </c>
      <c r="AC53" s="12"/>
      <c r="AD53" s="12" t="str">
        <f>IFERROR(__xludf.DUMMYFUNCTION("""COMPUTED_VALUE"""),"Adam Brown")</f>
        <v>Adam Brown</v>
      </c>
      <c r="AE53" s="12"/>
    </row>
    <row r="54" customHeight="1" spans="1:31">
      <c r="A54" s="11" t="s">
        <v>30</v>
      </c>
      <c r="B54" s="11" t="s">
        <v>379</v>
      </c>
      <c r="C54" s="11">
        <v>575</v>
      </c>
      <c r="D54" s="11">
        <v>131</v>
      </c>
      <c r="E54" s="11">
        <v>0</v>
      </c>
      <c r="F54" s="11">
        <v>919</v>
      </c>
      <c r="G54" s="11">
        <v>16000</v>
      </c>
      <c r="H54" s="11">
        <v>101785482</v>
      </c>
      <c r="I54" s="11" t="s">
        <v>73</v>
      </c>
      <c r="J54" s="11" t="s">
        <v>380</v>
      </c>
      <c r="K54" s="11" t="s">
        <v>381</v>
      </c>
      <c r="L54" s="11" t="s">
        <v>382</v>
      </c>
      <c r="M54" s="11" t="s">
        <v>383</v>
      </c>
      <c r="N54" s="11">
        <v>381148</v>
      </c>
      <c r="O54" s="11">
        <v>19166</v>
      </c>
      <c r="P54" s="11">
        <v>0</v>
      </c>
      <c r="Q54" s="11" t="s">
        <v>384</v>
      </c>
      <c r="R54" s="14" t="s">
        <v>385</v>
      </c>
      <c r="S54" s="11">
        <v>1106</v>
      </c>
      <c r="T54" s="11" t="s">
        <v>39</v>
      </c>
      <c r="U54" s="11" t="s">
        <v>40</v>
      </c>
      <c r="V54" s="11" t="s">
        <v>41</v>
      </c>
      <c r="W54" s="11">
        <v>190000000</v>
      </c>
      <c r="X54" s="11">
        <v>2013</v>
      </c>
      <c r="Y54" s="11">
        <v>968</v>
      </c>
      <c r="Z54" s="11">
        <v>7</v>
      </c>
      <c r="AA54" s="11">
        <v>1.85</v>
      </c>
      <c r="AB54" s="11">
        <v>83000</v>
      </c>
      <c r="AC54" s="11"/>
      <c r="AD54" s="11" t="str">
        <f>IFERROR(__xludf.DUMMYFUNCTION("""COMPUTED_VALUE"""),"James Nesbitt")</f>
        <v>James Nesbitt</v>
      </c>
      <c r="AE54" s="11"/>
    </row>
    <row r="55" customHeight="1" spans="1:31">
      <c r="A55" s="12" t="s">
        <v>30</v>
      </c>
      <c r="B55" s="12" t="s">
        <v>279</v>
      </c>
      <c r="C55" s="12">
        <v>428</v>
      </c>
      <c r="D55" s="12">
        <v>154</v>
      </c>
      <c r="E55" s="12">
        <v>0</v>
      </c>
      <c r="F55" s="12">
        <v>581</v>
      </c>
      <c r="G55" s="12">
        <v>894</v>
      </c>
      <c r="H55" s="12">
        <v>352358779</v>
      </c>
      <c r="I55" s="12" t="s">
        <v>73</v>
      </c>
      <c r="J55" s="12" t="s">
        <v>280</v>
      </c>
      <c r="K55" s="12" t="s">
        <v>386</v>
      </c>
      <c r="L55" s="12" t="s">
        <v>281</v>
      </c>
      <c r="M55" s="12" t="s">
        <v>387</v>
      </c>
      <c r="N55" s="12">
        <v>326180</v>
      </c>
      <c r="O55" s="12">
        <v>2593</v>
      </c>
      <c r="P55" s="12">
        <v>2</v>
      </c>
      <c r="Q55" s="12" t="s">
        <v>388</v>
      </c>
      <c r="R55" s="15" t="s">
        <v>389</v>
      </c>
      <c r="S55" s="12">
        <v>899</v>
      </c>
      <c r="T55" s="12" t="s">
        <v>39</v>
      </c>
      <c r="U55" s="12" t="s">
        <v>40</v>
      </c>
      <c r="V55" s="12" t="s">
        <v>41</v>
      </c>
      <c r="W55" s="12">
        <v>195000000</v>
      </c>
      <c r="X55" s="12">
        <v>2011</v>
      </c>
      <c r="Y55" s="12">
        <v>829</v>
      </c>
      <c r="Z55" s="12">
        <v>6.3</v>
      </c>
      <c r="AA55" s="12">
        <v>2.35</v>
      </c>
      <c r="AB55" s="12">
        <v>46000</v>
      </c>
      <c r="AC55" s="12"/>
      <c r="AD55" s="12" t="str">
        <f>IFERROR(__xludf.DUMMYFUNCTION("""COMPUTED_VALUE"""),"Emma Stone")</f>
        <v>Emma Stone</v>
      </c>
      <c r="AE55" s="12"/>
    </row>
    <row r="56" customHeight="1" spans="1:31">
      <c r="A56" s="11" t="s">
        <v>30</v>
      </c>
      <c r="B56" s="11" t="s">
        <v>390</v>
      </c>
      <c r="C56" s="11">
        <v>470</v>
      </c>
      <c r="D56" s="11">
        <v>122</v>
      </c>
      <c r="E56" s="11">
        <v>14000</v>
      </c>
      <c r="F56" s="11">
        <v>1000</v>
      </c>
      <c r="G56" s="11">
        <v>11000</v>
      </c>
      <c r="H56" s="11">
        <v>317011114</v>
      </c>
      <c r="I56" s="11" t="s">
        <v>43</v>
      </c>
      <c r="J56" s="11" t="s">
        <v>391</v>
      </c>
      <c r="K56" s="11" t="s">
        <v>392</v>
      </c>
      <c r="L56" s="11" t="s">
        <v>393</v>
      </c>
      <c r="M56" s="11" t="s">
        <v>394</v>
      </c>
      <c r="N56" s="11">
        <v>333847</v>
      </c>
      <c r="O56" s="11">
        <v>14959</v>
      </c>
      <c r="P56" s="11">
        <v>2</v>
      </c>
      <c r="Q56" s="11" t="s">
        <v>395</v>
      </c>
      <c r="R56" s="14" t="s">
        <v>396</v>
      </c>
      <c r="S56" s="11">
        <v>2054</v>
      </c>
      <c r="T56" s="11" t="s">
        <v>39</v>
      </c>
      <c r="U56" s="11" t="s">
        <v>40</v>
      </c>
      <c r="V56" s="11" t="s">
        <v>41</v>
      </c>
      <c r="W56" s="11">
        <v>185000000</v>
      </c>
      <c r="X56" s="11">
        <v>2008</v>
      </c>
      <c r="Y56" s="11">
        <v>1000</v>
      </c>
      <c r="Z56" s="11">
        <v>6.2</v>
      </c>
      <c r="AA56" s="11">
        <v>2.35</v>
      </c>
      <c r="AB56" s="11">
        <v>5000</v>
      </c>
      <c r="AC56" s="11"/>
      <c r="AD56" s="11" t="str">
        <f>IFERROR(__xludf.DUMMYFUNCTION("""COMPUTED_VALUE"""),"Andrew Garfield")</f>
        <v>Andrew Garfield</v>
      </c>
      <c r="AE56" s="11"/>
    </row>
    <row r="57" customHeight="1" spans="1:31">
      <c r="A57" s="12" t="s">
        <v>30</v>
      </c>
      <c r="B57" s="12" t="s">
        <v>397</v>
      </c>
      <c r="C57" s="12">
        <v>298</v>
      </c>
      <c r="D57" s="12">
        <v>93</v>
      </c>
      <c r="E57" s="12">
        <v>113</v>
      </c>
      <c r="F57" s="12">
        <v>113</v>
      </c>
      <c r="G57" s="12">
        <v>275</v>
      </c>
      <c r="H57" s="12">
        <v>123070338</v>
      </c>
      <c r="I57" s="12" t="s">
        <v>271</v>
      </c>
      <c r="J57" s="12" t="s">
        <v>398</v>
      </c>
      <c r="K57" s="12" t="s">
        <v>399</v>
      </c>
      <c r="L57" s="12" t="s">
        <v>397</v>
      </c>
      <c r="M57" s="12" t="s">
        <v>400</v>
      </c>
      <c r="N57" s="12">
        <v>62836</v>
      </c>
      <c r="O57" s="12">
        <v>696</v>
      </c>
      <c r="P57" s="12">
        <v>0</v>
      </c>
      <c r="Q57" s="12" t="s">
        <v>401</v>
      </c>
      <c r="R57" s="15" t="s">
        <v>402</v>
      </c>
      <c r="S57" s="12">
        <v>345</v>
      </c>
      <c r="T57" s="12" t="s">
        <v>39</v>
      </c>
      <c r="U57" s="12" t="s">
        <v>40</v>
      </c>
      <c r="V57" s="12" t="s">
        <v>96</v>
      </c>
      <c r="W57" s="16"/>
      <c r="X57" s="12">
        <v>2015</v>
      </c>
      <c r="Y57" s="12">
        <v>150</v>
      </c>
      <c r="Z57" s="12">
        <v>6.8</v>
      </c>
      <c r="AA57" s="12">
        <v>2.35</v>
      </c>
      <c r="AB57" s="12">
        <v>20000</v>
      </c>
      <c r="AC57" s="12"/>
      <c r="AD57" s="12" t="str">
        <f>IFERROR(__xludf.DUMMYFUNCTION("""COMPUTED_VALUE"""),"Chris Zylka")</f>
        <v>Chris Zylka</v>
      </c>
      <c r="AE57" s="12"/>
    </row>
    <row r="58" customHeight="1" spans="1:31">
      <c r="A58" s="11" t="s">
        <v>30</v>
      </c>
      <c r="B58" s="11" t="s">
        <v>403</v>
      </c>
      <c r="C58" s="11">
        <v>488</v>
      </c>
      <c r="D58" s="11">
        <v>93</v>
      </c>
      <c r="E58" s="11">
        <v>56</v>
      </c>
      <c r="F58" s="11">
        <v>838</v>
      </c>
      <c r="G58" s="11">
        <v>2000</v>
      </c>
      <c r="H58" s="11">
        <v>237282182</v>
      </c>
      <c r="I58" s="11" t="s">
        <v>271</v>
      </c>
      <c r="J58" s="11" t="s">
        <v>404</v>
      </c>
      <c r="K58" s="11" t="s">
        <v>323</v>
      </c>
      <c r="L58" s="11" t="s">
        <v>405</v>
      </c>
      <c r="M58" s="11" t="s">
        <v>406</v>
      </c>
      <c r="N58" s="11">
        <v>273556</v>
      </c>
      <c r="O58" s="11">
        <v>5005</v>
      </c>
      <c r="P58" s="11">
        <v>0</v>
      </c>
      <c r="Q58" s="11" t="s">
        <v>407</v>
      </c>
      <c r="R58" s="14" t="s">
        <v>408</v>
      </c>
      <c r="S58" s="11">
        <v>428</v>
      </c>
      <c r="T58" s="11" t="s">
        <v>39</v>
      </c>
      <c r="U58" s="11" t="s">
        <v>40</v>
      </c>
      <c r="V58" s="11" t="s">
        <v>96</v>
      </c>
      <c r="W58" s="11">
        <v>185000000</v>
      </c>
      <c r="X58" s="11">
        <v>2012</v>
      </c>
      <c r="Y58" s="11">
        <v>1000</v>
      </c>
      <c r="Z58" s="11">
        <v>7.2</v>
      </c>
      <c r="AA58" s="11">
        <v>2.35</v>
      </c>
      <c r="AB58" s="11">
        <v>39000</v>
      </c>
      <c r="AC58" s="11"/>
      <c r="AD58" s="11" t="str">
        <f>IFERROR(__xludf.DUMMYFUNCTION("""COMPUTED_VALUE"""),"Mark Addy")</f>
        <v>Mark Addy</v>
      </c>
      <c r="AE58" s="11"/>
    </row>
    <row r="59" customHeight="1" spans="1:31">
      <c r="A59" s="12" t="s">
        <v>30</v>
      </c>
      <c r="B59" s="12" t="s">
        <v>409</v>
      </c>
      <c r="C59" s="12">
        <v>322</v>
      </c>
      <c r="D59" s="12">
        <v>122</v>
      </c>
      <c r="E59" s="12">
        <v>681</v>
      </c>
      <c r="F59" s="12">
        <v>105</v>
      </c>
      <c r="G59" s="12">
        <v>998</v>
      </c>
      <c r="H59" s="12">
        <v>130468626</v>
      </c>
      <c r="I59" s="12" t="s">
        <v>227</v>
      </c>
      <c r="J59" s="12" t="s">
        <v>410</v>
      </c>
      <c r="K59" s="12" t="s">
        <v>411</v>
      </c>
      <c r="L59" s="12" t="s">
        <v>412</v>
      </c>
      <c r="M59" s="12" t="s">
        <v>413</v>
      </c>
      <c r="N59" s="12">
        <v>53607</v>
      </c>
      <c r="O59" s="12">
        <v>1327</v>
      </c>
      <c r="P59" s="12">
        <v>4</v>
      </c>
      <c r="Q59" s="12" t="s">
        <v>414</v>
      </c>
      <c r="R59" s="15" t="s">
        <v>415</v>
      </c>
      <c r="S59" s="12">
        <v>432</v>
      </c>
      <c r="T59" s="12" t="s">
        <v>39</v>
      </c>
      <c r="U59" s="12" t="s">
        <v>40</v>
      </c>
      <c r="V59" s="12" t="s">
        <v>41</v>
      </c>
      <c r="W59" s="12">
        <v>185000000</v>
      </c>
      <c r="X59" s="12">
        <v>2016</v>
      </c>
      <c r="Y59" s="12">
        <v>119</v>
      </c>
      <c r="Z59" s="12">
        <v>7.5</v>
      </c>
      <c r="AA59" s="12">
        <v>2.35</v>
      </c>
      <c r="AB59" s="12">
        <v>30000</v>
      </c>
      <c r="AC59" s="12"/>
      <c r="AD59" s="12" t="str">
        <f>IFERROR(__xludf.DUMMYFUNCTION("""COMPUTED_VALUE"""),"William Hurt")</f>
        <v>William Hurt</v>
      </c>
      <c r="AE59" s="12"/>
    </row>
    <row r="60" customHeight="1" spans="1:31">
      <c r="A60" s="11" t="s">
        <v>30</v>
      </c>
      <c r="B60" s="11" t="s">
        <v>72</v>
      </c>
      <c r="C60" s="11">
        <v>421</v>
      </c>
      <c r="D60" s="11">
        <v>98</v>
      </c>
      <c r="E60" s="11">
        <v>475</v>
      </c>
      <c r="F60" s="11">
        <v>522</v>
      </c>
      <c r="G60" s="11">
        <v>1000</v>
      </c>
      <c r="H60" s="11">
        <v>223806889</v>
      </c>
      <c r="I60" s="11" t="s">
        <v>416</v>
      </c>
      <c r="J60" s="11" t="s">
        <v>323</v>
      </c>
      <c r="K60" s="11" t="s">
        <v>417</v>
      </c>
      <c r="L60" s="11" t="s">
        <v>418</v>
      </c>
      <c r="M60" s="11" t="s">
        <v>419</v>
      </c>
      <c r="N60" s="11">
        <v>718837</v>
      </c>
      <c r="O60" s="11">
        <v>2975</v>
      </c>
      <c r="P60" s="11">
        <v>0</v>
      </c>
      <c r="Q60" s="11" t="s">
        <v>420</v>
      </c>
      <c r="R60" s="14" t="s">
        <v>421</v>
      </c>
      <c r="S60" s="11">
        <v>1043</v>
      </c>
      <c r="T60" s="11" t="s">
        <v>39</v>
      </c>
      <c r="U60" s="11" t="s">
        <v>40</v>
      </c>
      <c r="V60" s="11" t="s">
        <v>278</v>
      </c>
      <c r="W60" s="11">
        <v>180000000</v>
      </c>
      <c r="X60" s="11">
        <v>2008</v>
      </c>
      <c r="Y60" s="11">
        <v>729</v>
      </c>
      <c r="Z60" s="11">
        <v>8.4</v>
      </c>
      <c r="AA60" s="11">
        <v>2.35</v>
      </c>
      <c r="AB60" s="11">
        <v>16000</v>
      </c>
      <c r="AC60" s="11"/>
      <c r="AD60" s="11" t="str">
        <f>IFERROR(__xludf.DUMMYFUNCTION("""COMPUTED_VALUE"""),"Scott Grimes")</f>
        <v>Scott Grimes</v>
      </c>
      <c r="AE60" s="11"/>
    </row>
    <row r="61" customHeight="1" spans="1:31">
      <c r="A61" s="12" t="s">
        <v>30</v>
      </c>
      <c r="B61" s="12" t="s">
        <v>261</v>
      </c>
      <c r="C61" s="12">
        <v>162</v>
      </c>
      <c r="D61" s="12">
        <v>91</v>
      </c>
      <c r="E61" s="12">
        <v>420</v>
      </c>
      <c r="F61" s="12">
        <v>173</v>
      </c>
      <c r="G61" s="12">
        <v>268</v>
      </c>
      <c r="H61" s="12">
        <v>140080850</v>
      </c>
      <c r="I61" s="12" t="s">
        <v>422</v>
      </c>
      <c r="J61" s="12" t="s">
        <v>423</v>
      </c>
      <c r="K61" s="12" t="s">
        <v>424</v>
      </c>
      <c r="L61" s="12" t="s">
        <v>425</v>
      </c>
      <c r="M61" s="12" t="s">
        <v>426</v>
      </c>
      <c r="N61" s="12">
        <v>121084</v>
      </c>
      <c r="O61" s="12">
        <v>1125</v>
      </c>
      <c r="P61" s="12">
        <v>2</v>
      </c>
      <c r="Q61" s="12" t="s">
        <v>427</v>
      </c>
      <c r="R61" s="15" t="s">
        <v>428</v>
      </c>
      <c r="S61" s="12">
        <v>221</v>
      </c>
      <c r="T61" s="12" t="s">
        <v>39</v>
      </c>
      <c r="U61" s="12" t="s">
        <v>40</v>
      </c>
      <c r="V61" s="12" t="s">
        <v>41</v>
      </c>
      <c r="W61" s="12">
        <v>140000000</v>
      </c>
      <c r="X61" s="12">
        <v>2007</v>
      </c>
      <c r="Y61" s="12">
        <v>268</v>
      </c>
      <c r="Z61" s="12">
        <v>6.2</v>
      </c>
      <c r="AA61" s="12">
        <v>2.35</v>
      </c>
      <c r="AB61" s="12">
        <v>0</v>
      </c>
      <c r="AC61" s="12"/>
      <c r="AD61" s="12" t="str">
        <f>IFERROR(__xludf.DUMMYFUNCTION("""COMPUTED_VALUE"""),"Christopher Lee")</f>
        <v>Christopher Lee</v>
      </c>
      <c r="AE61" s="12"/>
    </row>
    <row r="62" customHeight="1" spans="1:31">
      <c r="A62" s="11" t="s">
        <v>30</v>
      </c>
      <c r="B62" s="11" t="s">
        <v>429</v>
      </c>
      <c r="C62" s="11">
        <v>367</v>
      </c>
      <c r="D62" s="11">
        <v>158</v>
      </c>
      <c r="E62" s="11">
        <v>776</v>
      </c>
      <c r="F62" s="11">
        <v>310</v>
      </c>
      <c r="G62" s="11">
        <v>1000</v>
      </c>
      <c r="H62" s="11">
        <v>166112167</v>
      </c>
      <c r="I62" s="11" t="s">
        <v>73</v>
      </c>
      <c r="J62" s="11" t="s">
        <v>430</v>
      </c>
      <c r="K62" s="11" t="s">
        <v>431</v>
      </c>
      <c r="L62" s="11" t="s">
        <v>432</v>
      </c>
      <c r="M62" s="11" t="s">
        <v>433</v>
      </c>
      <c r="N62" s="11">
        <v>283418</v>
      </c>
      <c r="O62" s="11">
        <v>2144</v>
      </c>
      <c r="P62" s="11">
        <v>0</v>
      </c>
      <c r="Q62" s="11" t="s">
        <v>434</v>
      </c>
      <c r="R62" s="14" t="s">
        <v>435</v>
      </c>
      <c r="S62" s="11">
        <v>1055</v>
      </c>
      <c r="T62" s="11" t="s">
        <v>39</v>
      </c>
      <c r="U62" s="11" t="s">
        <v>40</v>
      </c>
      <c r="V62" s="11" t="s">
        <v>41</v>
      </c>
      <c r="W62" s="11">
        <v>200000000</v>
      </c>
      <c r="X62" s="11">
        <v>2009</v>
      </c>
      <c r="Y62" s="11">
        <v>468</v>
      </c>
      <c r="Z62" s="11">
        <v>5.8</v>
      </c>
      <c r="AA62" s="11">
        <v>2.35</v>
      </c>
      <c r="AB62" s="11">
        <v>13000</v>
      </c>
      <c r="AC62" s="11"/>
      <c r="AD62" s="11" t="str">
        <f>IFERROR(__xludf.DUMMYFUNCTION("""COMPUTED_VALUE"""),"Eva Green")</f>
        <v>Eva Green</v>
      </c>
      <c r="AE62" s="11"/>
    </row>
    <row r="63" customHeight="1" spans="1:31">
      <c r="A63" s="12" t="s">
        <v>30</v>
      </c>
      <c r="B63" s="12" t="s">
        <v>436</v>
      </c>
      <c r="C63" s="12">
        <v>240</v>
      </c>
      <c r="D63" s="12">
        <v>96</v>
      </c>
      <c r="E63" s="12">
        <v>0</v>
      </c>
      <c r="F63" s="12">
        <v>10000</v>
      </c>
      <c r="G63" s="12">
        <v>18000</v>
      </c>
      <c r="H63" s="12">
        <v>137850096</v>
      </c>
      <c r="I63" s="12" t="s">
        <v>437</v>
      </c>
      <c r="J63" s="12" t="s">
        <v>438</v>
      </c>
      <c r="K63" s="12" t="s">
        <v>439</v>
      </c>
      <c r="L63" s="12" t="s">
        <v>440</v>
      </c>
      <c r="M63" s="12" t="s">
        <v>441</v>
      </c>
      <c r="N63" s="12">
        <v>72809</v>
      </c>
      <c r="O63" s="12">
        <v>48878</v>
      </c>
      <c r="P63" s="12">
        <v>0</v>
      </c>
      <c r="Q63" s="12" t="s">
        <v>442</v>
      </c>
      <c r="R63" s="15" t="s">
        <v>443</v>
      </c>
      <c r="S63" s="12">
        <v>249</v>
      </c>
      <c r="T63" s="12" t="s">
        <v>39</v>
      </c>
      <c r="U63" s="12" t="s">
        <v>40</v>
      </c>
      <c r="V63" s="12" t="s">
        <v>96</v>
      </c>
      <c r="W63" s="12">
        <v>200000000</v>
      </c>
      <c r="X63" s="12">
        <v>2009</v>
      </c>
      <c r="Y63" s="12">
        <v>14000</v>
      </c>
      <c r="Z63" s="12">
        <v>6.8</v>
      </c>
      <c r="AA63" s="12">
        <v>2.35</v>
      </c>
      <c r="AB63" s="12">
        <v>0</v>
      </c>
      <c r="AC63" s="12"/>
      <c r="AD63" s="12" t="str">
        <f>IFERROR(__xludf.DUMMYFUNCTION("""COMPUTED_VALUE"""),"Kristin Scott Thomas")</f>
        <v>Kristin Scott Thomas</v>
      </c>
      <c r="AE63" s="12"/>
    </row>
    <row r="64" customHeight="1" spans="1:31">
      <c r="A64" s="11" t="s">
        <v>30</v>
      </c>
      <c r="B64" s="11" t="s">
        <v>444</v>
      </c>
      <c r="C64" s="11">
        <v>384</v>
      </c>
      <c r="D64" s="11">
        <v>127</v>
      </c>
      <c r="E64" s="11">
        <v>0</v>
      </c>
      <c r="F64" s="11">
        <v>13000</v>
      </c>
      <c r="G64" s="11">
        <v>17000</v>
      </c>
      <c r="H64" s="11">
        <v>47375327</v>
      </c>
      <c r="I64" s="11" t="s">
        <v>73</v>
      </c>
      <c r="J64" s="11" t="s">
        <v>445</v>
      </c>
      <c r="K64" s="11" t="s">
        <v>292</v>
      </c>
      <c r="L64" s="11" t="s">
        <v>446</v>
      </c>
      <c r="M64" s="11" t="s">
        <v>447</v>
      </c>
      <c r="N64" s="11">
        <v>139593</v>
      </c>
      <c r="O64" s="11">
        <v>47334</v>
      </c>
      <c r="P64" s="11">
        <v>1</v>
      </c>
      <c r="Q64" s="11" t="s">
        <v>448</v>
      </c>
      <c r="R64" s="14" t="s">
        <v>449</v>
      </c>
      <c r="S64" s="11">
        <v>720</v>
      </c>
      <c r="T64" s="11" t="s">
        <v>39</v>
      </c>
      <c r="U64" s="11" t="s">
        <v>40</v>
      </c>
      <c r="V64" s="11" t="s">
        <v>41</v>
      </c>
      <c r="W64" s="11">
        <v>176000000</v>
      </c>
      <c r="X64" s="11">
        <v>2015</v>
      </c>
      <c r="Y64" s="11">
        <v>15000</v>
      </c>
      <c r="Z64" s="11">
        <v>5.4</v>
      </c>
      <c r="AA64" s="11">
        <v>2.35</v>
      </c>
      <c r="AB64" s="11">
        <v>44000</v>
      </c>
      <c r="AC64" s="11"/>
      <c r="AD64" s="11" t="str">
        <f>IFERROR(__xludf.DUMMYFUNCTION("""COMPUTED_VALUE"""),"Naomi Watts")</f>
        <v>Naomi Watts</v>
      </c>
      <c r="AE64" s="11"/>
    </row>
    <row r="65" customHeight="1" spans="1:31">
      <c r="A65" s="12" t="s">
        <v>30</v>
      </c>
      <c r="B65" s="12" t="s">
        <v>104</v>
      </c>
      <c r="C65" s="12">
        <v>248</v>
      </c>
      <c r="D65" s="12">
        <v>110</v>
      </c>
      <c r="E65" s="12">
        <v>282</v>
      </c>
      <c r="F65" s="12">
        <v>103</v>
      </c>
      <c r="G65" s="12">
        <v>11000</v>
      </c>
      <c r="H65" s="12">
        <v>124051759</v>
      </c>
      <c r="I65" s="12" t="s">
        <v>207</v>
      </c>
      <c r="J65" s="12" t="s">
        <v>52</v>
      </c>
      <c r="K65" s="12" t="s">
        <v>229</v>
      </c>
      <c r="L65" s="12" t="s">
        <v>450</v>
      </c>
      <c r="M65" s="12" t="s">
        <v>451</v>
      </c>
      <c r="N65" s="12">
        <v>42372</v>
      </c>
      <c r="O65" s="12">
        <v>21175</v>
      </c>
      <c r="P65" s="12">
        <v>2</v>
      </c>
      <c r="Q65" s="12" t="s">
        <v>452</v>
      </c>
      <c r="R65" s="15" t="s">
        <v>453</v>
      </c>
      <c r="S65" s="12">
        <v>239</v>
      </c>
      <c r="T65" s="12" t="s">
        <v>39</v>
      </c>
      <c r="U65" s="12" t="s">
        <v>40</v>
      </c>
      <c r="V65" s="12" t="s">
        <v>41</v>
      </c>
      <c r="W65" s="12">
        <v>180000000</v>
      </c>
      <c r="X65" s="12">
        <v>2016</v>
      </c>
      <c r="Y65" s="12">
        <v>10000</v>
      </c>
      <c r="Z65" s="12">
        <v>6.6</v>
      </c>
      <c r="AA65" s="12">
        <v>2.35</v>
      </c>
      <c r="AB65" s="12">
        <v>29000</v>
      </c>
      <c r="AC65" s="12"/>
      <c r="AD65" s="12" t="str">
        <f>IFERROR(__xludf.DUMMYFUNCTION("""COMPUTED_VALUE"""),"Thomas Kretschmann")</f>
        <v>Thomas Kretschmann</v>
      </c>
      <c r="AE65" s="12"/>
    </row>
    <row r="66" customHeight="1" spans="1:31">
      <c r="A66" s="11" t="s">
        <v>30</v>
      </c>
      <c r="B66" s="11" t="s">
        <v>147</v>
      </c>
      <c r="C66" s="11">
        <v>284</v>
      </c>
      <c r="D66" s="11">
        <v>150</v>
      </c>
      <c r="E66" s="11">
        <v>80</v>
      </c>
      <c r="F66" s="11">
        <v>82</v>
      </c>
      <c r="G66" s="11">
        <v>1000</v>
      </c>
      <c r="H66" s="11">
        <v>291709845</v>
      </c>
      <c r="I66" s="11" t="s">
        <v>200</v>
      </c>
      <c r="J66" s="11" t="s">
        <v>393</v>
      </c>
      <c r="K66" s="11" t="s">
        <v>454</v>
      </c>
      <c r="L66" s="11" t="s">
        <v>455</v>
      </c>
      <c r="M66" s="11" t="s">
        <v>456</v>
      </c>
      <c r="N66" s="11">
        <v>286506</v>
      </c>
      <c r="O66" s="11">
        <v>1317</v>
      </c>
      <c r="P66" s="11">
        <v>5</v>
      </c>
      <c r="Q66" s="11" t="s">
        <v>457</v>
      </c>
      <c r="R66" s="14" t="s">
        <v>458</v>
      </c>
      <c r="S66" s="11">
        <v>1463</v>
      </c>
      <c r="T66" s="11" t="s">
        <v>39</v>
      </c>
      <c r="U66" s="11" t="s">
        <v>40</v>
      </c>
      <c r="V66" s="11" t="s">
        <v>96</v>
      </c>
      <c r="W66" s="11">
        <v>180000000</v>
      </c>
      <c r="X66" s="11">
        <v>2005</v>
      </c>
      <c r="Y66" s="11">
        <v>190</v>
      </c>
      <c r="Z66" s="11">
        <v>6.9</v>
      </c>
      <c r="AA66" s="11">
        <v>2.35</v>
      </c>
      <c r="AB66" s="11">
        <v>0</v>
      </c>
      <c r="AC66" s="11"/>
      <c r="AD66" s="11" t="str">
        <f>IFERROR(__xludf.DUMMYFUNCTION("""COMPUTED_VALUE"""),"Evan Parke")</f>
        <v>Evan Parke</v>
      </c>
      <c r="AE66" s="11"/>
    </row>
    <row r="67" customHeight="1" spans="1:31">
      <c r="A67" s="12" t="s">
        <v>30</v>
      </c>
      <c r="B67" s="12" t="s">
        <v>119</v>
      </c>
      <c r="C67" s="12">
        <v>396</v>
      </c>
      <c r="D67" s="12">
        <v>144</v>
      </c>
      <c r="E67" s="12">
        <v>0</v>
      </c>
      <c r="F67" s="12">
        <v>1000</v>
      </c>
      <c r="G67" s="12">
        <v>34000</v>
      </c>
      <c r="H67" s="12">
        <v>154985087</v>
      </c>
      <c r="I67" s="12" t="s">
        <v>73</v>
      </c>
      <c r="J67" s="12" t="s">
        <v>348</v>
      </c>
      <c r="K67" s="12" t="s">
        <v>459</v>
      </c>
      <c r="L67" s="12" t="s">
        <v>460</v>
      </c>
      <c r="M67" s="12" t="s">
        <v>461</v>
      </c>
      <c r="N67" s="12">
        <v>148379</v>
      </c>
      <c r="O67" s="12">
        <v>49684</v>
      </c>
      <c r="P67" s="12">
        <v>6</v>
      </c>
      <c r="Q67" s="12" t="s">
        <v>462</v>
      </c>
      <c r="R67" s="15" t="s">
        <v>463</v>
      </c>
      <c r="S67" s="12">
        <v>622</v>
      </c>
      <c r="T67" s="12" t="s">
        <v>39</v>
      </c>
      <c r="U67" s="12" t="s">
        <v>40</v>
      </c>
      <c r="V67" s="12" t="s">
        <v>41</v>
      </c>
      <c r="W67" s="12">
        <v>178000000</v>
      </c>
      <c r="X67" s="12">
        <v>2016</v>
      </c>
      <c r="Y67" s="12">
        <v>13000</v>
      </c>
      <c r="Z67" s="12">
        <v>7.3</v>
      </c>
      <c r="AA67" s="12">
        <v>2.35</v>
      </c>
      <c r="AB67" s="12">
        <v>54000</v>
      </c>
      <c r="AC67" s="12"/>
      <c r="AD67" s="12" t="str">
        <f>IFERROR(__xludf.DUMMYFUNCTION("""COMPUTED_VALUE"""),"Leonardo DiCaprio")</f>
        <v>Leonardo DiCaprio</v>
      </c>
      <c r="AE67" s="12"/>
    </row>
    <row r="68" customHeight="1" spans="1:31">
      <c r="A68" s="11" t="s">
        <v>30</v>
      </c>
      <c r="B68" s="11" t="s">
        <v>59</v>
      </c>
      <c r="C68" s="11">
        <v>645</v>
      </c>
      <c r="D68" s="11">
        <v>152</v>
      </c>
      <c r="E68" s="11">
        <v>22000</v>
      </c>
      <c r="F68" s="11">
        <v>11000</v>
      </c>
      <c r="G68" s="11">
        <v>23000</v>
      </c>
      <c r="H68" s="11">
        <v>533316061</v>
      </c>
      <c r="I68" s="11" t="s">
        <v>464</v>
      </c>
      <c r="J68" s="11" t="s">
        <v>62</v>
      </c>
      <c r="K68" s="11" t="s">
        <v>465</v>
      </c>
      <c r="L68" s="11" t="s">
        <v>466</v>
      </c>
      <c r="M68" s="11" t="s">
        <v>467</v>
      </c>
      <c r="N68" s="11">
        <v>1676169</v>
      </c>
      <c r="O68" s="11">
        <v>57802</v>
      </c>
      <c r="P68" s="11">
        <v>0</v>
      </c>
      <c r="Q68" s="11" t="s">
        <v>468</v>
      </c>
      <c r="R68" s="14" t="s">
        <v>469</v>
      </c>
      <c r="S68" s="11">
        <v>4667</v>
      </c>
      <c r="T68" s="11" t="s">
        <v>39</v>
      </c>
      <c r="U68" s="11" t="s">
        <v>40</v>
      </c>
      <c r="V68" s="11" t="s">
        <v>41</v>
      </c>
      <c r="W68" s="11">
        <v>185000000</v>
      </c>
      <c r="X68" s="11">
        <v>2008</v>
      </c>
      <c r="Y68" s="11">
        <v>13000</v>
      </c>
      <c r="Z68" s="11">
        <v>9</v>
      </c>
      <c r="AA68" s="11">
        <v>2.35</v>
      </c>
      <c r="AB68" s="11">
        <v>37000</v>
      </c>
      <c r="AC68" s="11"/>
      <c r="AD68" s="11" t="str">
        <f>IFERROR(__xludf.DUMMYFUNCTION("""COMPUTED_VALUE"""),"Kate Winslet")</f>
        <v>Kate Winslet</v>
      </c>
      <c r="AE68" s="11"/>
    </row>
    <row r="69" customHeight="1" spans="1:31">
      <c r="A69" s="12" t="s">
        <v>30</v>
      </c>
      <c r="B69" s="12" t="s">
        <v>470</v>
      </c>
      <c r="C69" s="12">
        <v>408</v>
      </c>
      <c r="D69" s="12">
        <v>96</v>
      </c>
      <c r="E69" s="12">
        <v>0</v>
      </c>
      <c r="F69" s="12">
        <v>262</v>
      </c>
      <c r="G69" s="12">
        <v>1000</v>
      </c>
      <c r="H69" s="12">
        <v>292979556</v>
      </c>
      <c r="I69" s="12" t="s">
        <v>471</v>
      </c>
      <c r="J69" s="12" t="s">
        <v>323</v>
      </c>
      <c r="K69" s="12" t="s">
        <v>472</v>
      </c>
      <c r="L69" s="12" t="s">
        <v>473</v>
      </c>
      <c r="M69" s="12" t="s">
        <v>474</v>
      </c>
      <c r="N69" s="12">
        <v>665575</v>
      </c>
      <c r="O69" s="12">
        <v>2635</v>
      </c>
      <c r="P69" s="12">
        <v>1</v>
      </c>
      <c r="Q69" s="12" t="s">
        <v>475</v>
      </c>
      <c r="R69" s="15" t="s">
        <v>476</v>
      </c>
      <c r="S69" s="12">
        <v>704</v>
      </c>
      <c r="T69" s="12" t="s">
        <v>39</v>
      </c>
      <c r="U69" s="12" t="s">
        <v>40</v>
      </c>
      <c r="V69" s="12" t="s">
        <v>96</v>
      </c>
      <c r="W69" s="12">
        <v>175000000</v>
      </c>
      <c r="X69" s="12">
        <v>2009</v>
      </c>
      <c r="Y69" s="12">
        <v>848</v>
      </c>
      <c r="Z69" s="12">
        <v>8.3</v>
      </c>
      <c r="AA69" s="12">
        <v>1.85</v>
      </c>
      <c r="AB69" s="12">
        <v>27000</v>
      </c>
      <c r="AC69" s="12"/>
      <c r="AD69" s="12" t="str">
        <f>IFERROR(__xludf.DUMMYFUNCTION("""COMPUTED_VALUE"""),"Gloria Stuart")</f>
        <v>Gloria Stuart</v>
      </c>
      <c r="AE69" s="12"/>
    </row>
    <row r="70" customHeight="1" spans="1:31">
      <c r="A70" s="11" t="s">
        <v>30</v>
      </c>
      <c r="B70" s="11" t="s">
        <v>477</v>
      </c>
      <c r="C70" s="11">
        <v>219</v>
      </c>
      <c r="D70" s="11">
        <v>94</v>
      </c>
      <c r="E70" s="11">
        <v>11</v>
      </c>
      <c r="F70" s="11">
        <v>459</v>
      </c>
      <c r="G70" s="11">
        <v>1000</v>
      </c>
      <c r="H70" s="11">
        <v>198332128</v>
      </c>
      <c r="I70" s="11" t="s">
        <v>478</v>
      </c>
      <c r="J70" s="11" t="s">
        <v>479</v>
      </c>
      <c r="K70" s="11" t="s">
        <v>480</v>
      </c>
      <c r="L70" s="11" t="s">
        <v>481</v>
      </c>
      <c r="M70" s="11" t="s">
        <v>482</v>
      </c>
      <c r="N70" s="11">
        <v>114553</v>
      </c>
      <c r="O70" s="11">
        <v>2579</v>
      </c>
      <c r="P70" s="11">
        <v>2</v>
      </c>
      <c r="Q70" s="11" t="s">
        <v>483</v>
      </c>
      <c r="R70" s="14" t="s">
        <v>484</v>
      </c>
      <c r="S70" s="11">
        <v>187</v>
      </c>
      <c r="T70" s="11" t="s">
        <v>39</v>
      </c>
      <c r="U70" s="11" t="s">
        <v>40</v>
      </c>
      <c r="V70" s="11" t="s">
        <v>96</v>
      </c>
      <c r="W70" s="11">
        <v>175000000</v>
      </c>
      <c r="X70" s="11">
        <v>2009</v>
      </c>
      <c r="Y70" s="11">
        <v>973</v>
      </c>
      <c r="Z70" s="11">
        <v>6.5</v>
      </c>
      <c r="AA70" s="11">
        <v>2.35</v>
      </c>
      <c r="AB70" s="11">
        <v>0</v>
      </c>
      <c r="AC70" s="11"/>
      <c r="AD70" s="11" t="str">
        <f>IFERROR(__xludf.DUMMYFUNCTION("""COMPUTED_VALUE"""),"Chris Evans")</f>
        <v>Chris Evans</v>
      </c>
      <c r="AE70" s="11"/>
    </row>
    <row r="71" customHeight="1" spans="1:31">
      <c r="A71" s="12" t="s">
        <v>30</v>
      </c>
      <c r="B71" s="12" t="s">
        <v>251</v>
      </c>
      <c r="C71" s="12">
        <v>486</v>
      </c>
      <c r="D71" s="12">
        <v>126</v>
      </c>
      <c r="E71" s="12">
        <v>4000</v>
      </c>
      <c r="F71" s="12">
        <v>4000</v>
      </c>
      <c r="G71" s="12">
        <v>21000</v>
      </c>
      <c r="H71" s="12">
        <v>318298180</v>
      </c>
      <c r="I71" s="12" t="s">
        <v>73</v>
      </c>
      <c r="J71" s="12" t="s">
        <v>99</v>
      </c>
      <c r="K71" s="12" t="s">
        <v>301</v>
      </c>
      <c r="L71" s="12" t="s">
        <v>251</v>
      </c>
      <c r="M71" s="12" t="s">
        <v>485</v>
      </c>
      <c r="N71" s="12">
        <v>696338</v>
      </c>
      <c r="O71" s="12">
        <v>39252</v>
      </c>
      <c r="P71" s="12">
        <v>3</v>
      </c>
      <c r="Q71" s="12" t="s">
        <v>486</v>
      </c>
      <c r="R71" s="15" t="s">
        <v>487</v>
      </c>
      <c r="S71" s="12">
        <v>1055</v>
      </c>
      <c r="T71" s="12" t="s">
        <v>39</v>
      </c>
      <c r="U71" s="12" t="s">
        <v>40</v>
      </c>
      <c r="V71" s="12" t="s">
        <v>41</v>
      </c>
      <c r="W71" s="12">
        <v>140000000</v>
      </c>
      <c r="X71" s="12">
        <v>2008</v>
      </c>
      <c r="Y71" s="12">
        <v>12000</v>
      </c>
      <c r="Z71" s="12">
        <v>7.9</v>
      </c>
      <c r="AA71" s="12">
        <v>2.35</v>
      </c>
      <c r="AB71" s="12">
        <v>10000</v>
      </c>
      <c r="AC71" s="12"/>
      <c r="AD71" s="12" t="str">
        <f>IFERROR(__xludf.DUMMYFUNCTION("""COMPUTED_VALUE"""),"Liam Neeson")</f>
        <v>Liam Neeson</v>
      </c>
      <c r="AE71" s="12"/>
    </row>
    <row r="72" customHeight="1" spans="1:31">
      <c r="A72" s="11" t="s">
        <v>30</v>
      </c>
      <c r="B72" s="11" t="s">
        <v>488</v>
      </c>
      <c r="C72" s="11">
        <v>682</v>
      </c>
      <c r="D72" s="11">
        <v>126</v>
      </c>
      <c r="E72" s="11">
        <v>17000</v>
      </c>
      <c r="F72" s="11">
        <v>1000</v>
      </c>
      <c r="G72" s="11">
        <v>17000</v>
      </c>
      <c r="H72" s="11">
        <v>73820094</v>
      </c>
      <c r="I72" s="11" t="s">
        <v>489</v>
      </c>
      <c r="J72" s="11" t="s">
        <v>490</v>
      </c>
      <c r="K72" s="11" t="s">
        <v>201</v>
      </c>
      <c r="L72" s="11" t="s">
        <v>392</v>
      </c>
      <c r="M72" s="11" t="s">
        <v>491</v>
      </c>
      <c r="N72" s="11">
        <v>245333</v>
      </c>
      <c r="O72" s="11">
        <v>36017</v>
      </c>
      <c r="P72" s="11">
        <v>0</v>
      </c>
      <c r="Q72" s="11" t="s">
        <v>492</v>
      </c>
      <c r="R72" s="14" t="s">
        <v>493</v>
      </c>
      <c r="S72" s="11">
        <v>678</v>
      </c>
      <c r="T72" s="11" t="s">
        <v>39</v>
      </c>
      <c r="U72" s="11" t="s">
        <v>40</v>
      </c>
      <c r="V72" s="11" t="s">
        <v>96</v>
      </c>
      <c r="W72" s="11">
        <v>170000000</v>
      </c>
      <c r="X72" s="11">
        <v>2011</v>
      </c>
      <c r="Y72" s="11">
        <v>16000</v>
      </c>
      <c r="Z72" s="11">
        <v>7.5</v>
      </c>
      <c r="AA72" s="11">
        <v>1.85</v>
      </c>
      <c r="AB72" s="11">
        <v>42000</v>
      </c>
      <c r="AC72" s="11"/>
      <c r="AD72" s="11" t="str">
        <f>IFERROR(__xludf.DUMMYFUNCTION("""COMPUTED_VALUE"""),"Alexander Skarsgård")</f>
        <v>Alexander Skarsgård</v>
      </c>
      <c r="AE72" s="11"/>
    </row>
    <row r="73" customHeight="1" spans="1:31">
      <c r="A73" s="12" t="s">
        <v>30</v>
      </c>
      <c r="B73" s="12" t="s">
        <v>164</v>
      </c>
      <c r="C73" s="12">
        <v>85</v>
      </c>
      <c r="D73" s="12">
        <v>106</v>
      </c>
      <c r="E73" s="12">
        <v>188</v>
      </c>
      <c r="F73" s="12">
        <v>582</v>
      </c>
      <c r="G73" s="12">
        <v>10000</v>
      </c>
      <c r="H73" s="12">
        <v>113745408</v>
      </c>
      <c r="I73" s="12" t="s">
        <v>494</v>
      </c>
      <c r="J73" s="12" t="s">
        <v>166</v>
      </c>
      <c r="K73" s="12" t="s">
        <v>495</v>
      </c>
      <c r="L73" s="12" t="s">
        <v>496</v>
      </c>
      <c r="M73" s="12" t="s">
        <v>497</v>
      </c>
      <c r="N73" s="12">
        <v>129601</v>
      </c>
      <c r="O73" s="12">
        <v>15870</v>
      </c>
      <c r="P73" s="12">
        <v>2</v>
      </c>
      <c r="Q73" s="12" t="s">
        <v>498</v>
      </c>
      <c r="R73" s="15" t="s">
        <v>499</v>
      </c>
      <c r="S73" s="12">
        <v>648</v>
      </c>
      <c r="T73" s="12" t="s">
        <v>39</v>
      </c>
      <c r="U73" s="12" t="s">
        <v>40</v>
      </c>
      <c r="V73" s="12" t="s">
        <v>41</v>
      </c>
      <c r="W73" s="12">
        <v>170000000</v>
      </c>
      <c r="X73" s="12">
        <v>1999</v>
      </c>
      <c r="Y73" s="12">
        <v>4000</v>
      </c>
      <c r="Z73" s="12">
        <v>4.8</v>
      </c>
      <c r="AA73" s="12">
        <v>1.85</v>
      </c>
      <c r="AB73" s="12">
        <v>0</v>
      </c>
      <c r="AC73" s="12"/>
      <c r="AD73" s="12" t="str">
        <f>IFERROR(__xludf.DUMMYFUNCTION("""COMPUTED_VALUE"""),"Tadanobu Asano")</f>
        <v>Tadanobu Asano</v>
      </c>
      <c r="AE73" s="12"/>
    </row>
    <row r="74" customHeight="1" spans="1:31">
      <c r="A74" s="11" t="s">
        <v>30</v>
      </c>
      <c r="B74" s="11" t="s">
        <v>500</v>
      </c>
      <c r="C74" s="11">
        <v>264</v>
      </c>
      <c r="D74" s="11">
        <v>112</v>
      </c>
      <c r="E74" s="11">
        <v>357</v>
      </c>
      <c r="F74" s="11">
        <v>595</v>
      </c>
      <c r="G74" s="11">
        <v>5000</v>
      </c>
      <c r="H74" s="11">
        <v>102176165</v>
      </c>
      <c r="I74" s="11" t="s">
        <v>501</v>
      </c>
      <c r="J74" s="11" t="s">
        <v>502</v>
      </c>
      <c r="K74" s="11" t="s">
        <v>503</v>
      </c>
      <c r="L74" s="11" t="s">
        <v>504</v>
      </c>
      <c r="M74" s="11" t="s">
        <v>505</v>
      </c>
      <c r="N74" s="11">
        <v>117927</v>
      </c>
      <c r="O74" s="11">
        <v>9131</v>
      </c>
      <c r="P74" s="11">
        <v>2</v>
      </c>
      <c r="Q74" s="11" t="s">
        <v>506</v>
      </c>
      <c r="R74" s="14" t="s">
        <v>507</v>
      </c>
      <c r="S74" s="11">
        <v>501</v>
      </c>
      <c r="T74" s="11" t="s">
        <v>39</v>
      </c>
      <c r="U74" s="11" t="s">
        <v>40</v>
      </c>
      <c r="V74" s="11" t="s">
        <v>41</v>
      </c>
      <c r="W74" s="11">
        <v>145000000</v>
      </c>
      <c r="X74" s="11">
        <v>2008</v>
      </c>
      <c r="Y74" s="11">
        <v>3000</v>
      </c>
      <c r="Z74" s="11">
        <v>5.2</v>
      </c>
      <c r="AA74" s="11">
        <v>2.35</v>
      </c>
      <c r="AB74" s="11">
        <v>0</v>
      </c>
      <c r="AC74" s="11"/>
      <c r="AD74" s="11" t="str">
        <f>IFERROR(__xludf.DUMMYFUNCTION("""COMPUTED_VALUE"""),"Bryce Dallas Howard")</f>
        <v>Bryce Dallas Howard</v>
      </c>
      <c r="AE74" s="11"/>
    </row>
    <row r="75" customHeight="1" spans="1:31">
      <c r="A75" s="12" t="s">
        <v>30</v>
      </c>
      <c r="B75" s="12" t="s">
        <v>508</v>
      </c>
      <c r="C75" s="12">
        <v>418</v>
      </c>
      <c r="D75" s="12">
        <v>123</v>
      </c>
      <c r="E75" s="12">
        <v>452</v>
      </c>
      <c r="F75" s="12">
        <v>329</v>
      </c>
      <c r="G75" s="12">
        <v>10000</v>
      </c>
      <c r="H75" s="12">
        <v>161087183</v>
      </c>
      <c r="I75" s="12" t="s">
        <v>509</v>
      </c>
      <c r="J75" s="12" t="s">
        <v>166</v>
      </c>
      <c r="K75" s="12" t="s">
        <v>510</v>
      </c>
      <c r="L75" s="12" t="s">
        <v>511</v>
      </c>
      <c r="M75" s="12" t="s">
        <v>512</v>
      </c>
      <c r="N75" s="12">
        <v>118992</v>
      </c>
      <c r="O75" s="12">
        <v>11287</v>
      </c>
      <c r="P75" s="12">
        <v>8</v>
      </c>
      <c r="Q75" s="12" t="s">
        <v>513</v>
      </c>
      <c r="R75" s="15" t="s">
        <v>514</v>
      </c>
      <c r="S75" s="12">
        <v>971</v>
      </c>
      <c r="T75" s="12" t="s">
        <v>39</v>
      </c>
      <c r="U75" s="12" t="s">
        <v>40</v>
      </c>
      <c r="V75" s="12" t="s">
        <v>41</v>
      </c>
      <c r="W75" s="12">
        <v>175000000</v>
      </c>
      <c r="X75" s="12">
        <v>2016</v>
      </c>
      <c r="Y75" s="12">
        <v>336</v>
      </c>
      <c r="Z75" s="12">
        <v>6.9</v>
      </c>
      <c r="AA75" s="12">
        <v>2.35</v>
      </c>
      <c r="AB75" s="12">
        <v>80000</v>
      </c>
      <c r="AC75" s="12"/>
      <c r="AD75" s="12" t="str">
        <f>IFERROR(__xludf.DUMMYFUNCTION("""COMPUTED_VALUE"""),"Judy Greer")</f>
        <v>Judy Greer</v>
      </c>
      <c r="AE75" s="12"/>
    </row>
    <row r="76" customHeight="1" spans="1:31">
      <c r="A76" s="11" t="s">
        <v>30</v>
      </c>
      <c r="B76" s="11" t="s">
        <v>515</v>
      </c>
      <c r="C76" s="11">
        <v>186</v>
      </c>
      <c r="D76" s="11">
        <v>96</v>
      </c>
      <c r="E76" s="11">
        <v>293</v>
      </c>
      <c r="F76" s="11">
        <v>7000</v>
      </c>
      <c r="G76" s="11">
        <v>87000</v>
      </c>
      <c r="H76" s="11">
        <v>100289690</v>
      </c>
      <c r="I76" s="11" t="s">
        <v>516</v>
      </c>
      <c r="J76" s="11" t="s">
        <v>517</v>
      </c>
      <c r="K76" s="11" t="s">
        <v>466</v>
      </c>
      <c r="L76" s="11" t="s">
        <v>518</v>
      </c>
      <c r="M76" s="11" t="s">
        <v>519</v>
      </c>
      <c r="N76" s="11">
        <v>115099</v>
      </c>
      <c r="O76" s="11">
        <v>108016</v>
      </c>
      <c r="P76" s="11">
        <v>0</v>
      </c>
      <c r="Q76" s="11" t="s">
        <v>520</v>
      </c>
      <c r="R76" s="14" t="s">
        <v>521</v>
      </c>
      <c r="S76" s="11">
        <v>257</v>
      </c>
      <c r="T76" s="11" t="s">
        <v>39</v>
      </c>
      <c r="U76" s="11" t="s">
        <v>40</v>
      </c>
      <c r="V76" s="11" t="s">
        <v>96</v>
      </c>
      <c r="W76" s="11">
        <v>175000000</v>
      </c>
      <c r="X76" s="11">
        <v>2007</v>
      </c>
      <c r="Y76" s="11">
        <v>11000</v>
      </c>
      <c r="Z76" s="11">
        <v>5.4</v>
      </c>
      <c r="AA76" s="11">
        <v>2.35</v>
      </c>
      <c r="AB76" s="11">
        <v>2000</v>
      </c>
      <c r="AC76" s="11"/>
      <c r="AD76" s="11" t="str">
        <f>IFERROR(__xludf.DUMMYFUNCTION("""COMPUTED_VALUE"""),"Omar Sy")</f>
        <v>Omar Sy</v>
      </c>
      <c r="AE76" s="11"/>
    </row>
    <row r="77" customHeight="1" spans="1:31">
      <c r="A77" s="12" t="s">
        <v>30</v>
      </c>
      <c r="B77" s="12" t="s">
        <v>522</v>
      </c>
      <c r="C77" s="12">
        <v>585</v>
      </c>
      <c r="D77" s="12">
        <v>113</v>
      </c>
      <c r="E77" s="12">
        <v>218</v>
      </c>
      <c r="F77" s="12">
        <v>509</v>
      </c>
      <c r="G77" s="12">
        <v>10000</v>
      </c>
      <c r="H77" s="12">
        <v>100189501</v>
      </c>
      <c r="I77" s="12" t="s">
        <v>73</v>
      </c>
      <c r="J77" s="12" t="s">
        <v>523</v>
      </c>
      <c r="K77" s="12" t="s">
        <v>524</v>
      </c>
      <c r="L77" s="12" t="s">
        <v>525</v>
      </c>
      <c r="M77" s="12" t="s">
        <v>526</v>
      </c>
      <c r="N77" s="12">
        <v>431620</v>
      </c>
      <c r="O77" s="12">
        <v>12652</v>
      </c>
      <c r="P77" s="12">
        <v>1</v>
      </c>
      <c r="Q77" s="12" t="s">
        <v>527</v>
      </c>
      <c r="R77" s="15" t="s">
        <v>528</v>
      </c>
      <c r="S77" s="12">
        <v>741</v>
      </c>
      <c r="T77" s="12" t="s">
        <v>39</v>
      </c>
      <c r="U77" s="12" t="s">
        <v>40</v>
      </c>
      <c r="V77" s="12" t="s">
        <v>41</v>
      </c>
      <c r="W77" s="12">
        <v>178000000</v>
      </c>
      <c r="X77" s="12">
        <v>2014</v>
      </c>
      <c r="Y77" s="12">
        <v>854</v>
      </c>
      <c r="Z77" s="12">
        <v>7.9</v>
      </c>
      <c r="AA77" s="12">
        <v>2.35</v>
      </c>
      <c r="AB77" s="12">
        <v>77000</v>
      </c>
      <c r="AC77" s="12"/>
      <c r="AD77" s="12" t="str">
        <f>IFERROR(__xludf.DUMMYFUNCTION("""COMPUTED_VALUE"""),"Albert Finney")</f>
        <v>Albert Finney</v>
      </c>
      <c r="AE77" s="12"/>
    </row>
    <row r="78" customHeight="1" spans="1:31">
      <c r="A78" s="11" t="s">
        <v>30</v>
      </c>
      <c r="B78" s="11" t="s">
        <v>529</v>
      </c>
      <c r="C78" s="11">
        <v>91</v>
      </c>
      <c r="D78" s="11">
        <v>176</v>
      </c>
      <c r="E78" s="11">
        <v>58</v>
      </c>
      <c r="F78" s="11">
        <v>60</v>
      </c>
      <c r="G78" s="11">
        <v>711</v>
      </c>
      <c r="H78" s="11">
        <v>88246220</v>
      </c>
      <c r="I78" s="11" t="s">
        <v>227</v>
      </c>
      <c r="J78" s="11" t="s">
        <v>530</v>
      </c>
      <c r="K78" s="11" t="s">
        <v>531</v>
      </c>
      <c r="L78" s="11" t="s">
        <v>532</v>
      </c>
      <c r="M78" s="11" t="s">
        <v>533</v>
      </c>
      <c r="N78" s="11">
        <v>144337</v>
      </c>
      <c r="O78" s="11">
        <v>1004</v>
      </c>
      <c r="P78" s="11">
        <v>0</v>
      </c>
      <c r="Q78" s="11" t="s">
        <v>534</v>
      </c>
      <c r="R78" s="14" t="s">
        <v>535</v>
      </c>
      <c r="S78" s="11">
        <v>309</v>
      </c>
      <c r="T78" s="11" t="s">
        <v>39</v>
      </c>
      <c r="U78" s="11" t="s">
        <v>40</v>
      </c>
      <c r="V78" s="11" t="s">
        <v>41</v>
      </c>
      <c r="W78" s="11">
        <v>175000000</v>
      </c>
      <c r="X78" s="11">
        <v>1995</v>
      </c>
      <c r="Y78" s="11">
        <v>60</v>
      </c>
      <c r="Z78" s="11">
        <v>6.1</v>
      </c>
      <c r="AA78" s="11">
        <v>1.85</v>
      </c>
      <c r="AB78" s="11">
        <v>0</v>
      </c>
      <c r="AC78" s="11"/>
      <c r="AD78" s="11" t="str">
        <f>IFERROR(__xludf.DUMMYFUNCTION("""COMPUTED_VALUE"""),"Helen McCrory")</f>
        <v>Helen McCrory</v>
      </c>
      <c r="AE78" s="11"/>
    </row>
    <row r="79" customHeight="1" spans="1:31">
      <c r="A79" s="12" t="s">
        <v>30</v>
      </c>
      <c r="B79" s="12" t="s">
        <v>536</v>
      </c>
      <c r="C79" s="12">
        <v>250</v>
      </c>
      <c r="D79" s="12">
        <v>118</v>
      </c>
      <c r="E79" s="12">
        <v>208</v>
      </c>
      <c r="F79" s="12">
        <v>570</v>
      </c>
      <c r="G79" s="12">
        <v>23000</v>
      </c>
      <c r="H79" s="12">
        <v>150167630</v>
      </c>
      <c r="I79" s="12" t="s">
        <v>227</v>
      </c>
      <c r="J79" s="12" t="s">
        <v>63</v>
      </c>
      <c r="K79" s="12" t="s">
        <v>537</v>
      </c>
      <c r="L79" s="12" t="s">
        <v>538</v>
      </c>
      <c r="M79" s="12" t="s">
        <v>539</v>
      </c>
      <c r="N79" s="12">
        <v>174578</v>
      </c>
      <c r="O79" s="12">
        <v>26683</v>
      </c>
      <c r="P79" s="12">
        <v>4</v>
      </c>
      <c r="Q79" s="12" t="s">
        <v>540</v>
      </c>
      <c r="R79" s="15" t="s">
        <v>541</v>
      </c>
      <c r="S79" s="12">
        <v>534</v>
      </c>
      <c r="T79" s="12" t="s">
        <v>39</v>
      </c>
      <c r="U79" s="12" t="s">
        <v>40</v>
      </c>
      <c r="V79" s="12" t="s">
        <v>41</v>
      </c>
      <c r="W79" s="12">
        <v>175000000</v>
      </c>
      <c r="X79" s="12">
        <v>2009</v>
      </c>
      <c r="Y79" s="12">
        <v>2000</v>
      </c>
      <c r="Z79" s="12">
        <v>5.8</v>
      </c>
      <c r="AA79" s="12">
        <v>2.35</v>
      </c>
      <c r="AB79" s="12">
        <v>0</v>
      </c>
      <c r="AC79" s="12"/>
      <c r="AD79" s="12" t="str">
        <f>IFERROR(__xludf.DUMMYFUNCTION("""COMPUTED_VALUE"""),"Jon Favreau")</f>
        <v>Jon Favreau</v>
      </c>
      <c r="AE79" s="12"/>
    </row>
    <row r="80" customHeight="1" spans="1:31">
      <c r="A80" s="11" t="s">
        <v>30</v>
      </c>
      <c r="B80" s="11" t="s">
        <v>470</v>
      </c>
      <c r="C80" s="11">
        <v>536</v>
      </c>
      <c r="D80" s="11">
        <v>95</v>
      </c>
      <c r="E80" s="11">
        <v>0</v>
      </c>
      <c r="F80" s="11">
        <v>384</v>
      </c>
      <c r="G80" s="11">
        <v>1000</v>
      </c>
      <c r="H80" s="11">
        <v>356454367</v>
      </c>
      <c r="I80" s="11" t="s">
        <v>542</v>
      </c>
      <c r="J80" s="11" t="s">
        <v>479</v>
      </c>
      <c r="K80" s="11" t="s">
        <v>543</v>
      </c>
      <c r="L80" s="11" t="s">
        <v>544</v>
      </c>
      <c r="M80" s="11" t="s">
        <v>545</v>
      </c>
      <c r="N80" s="11">
        <v>345198</v>
      </c>
      <c r="O80" s="11">
        <v>2944</v>
      </c>
      <c r="P80" s="11">
        <v>1</v>
      </c>
      <c r="Q80" s="11" t="s">
        <v>546</v>
      </c>
      <c r="R80" s="14" t="s">
        <v>547</v>
      </c>
      <c r="S80" s="11">
        <v>773</v>
      </c>
      <c r="T80" s="11" t="s">
        <v>39</v>
      </c>
      <c r="U80" s="11" t="s">
        <v>40</v>
      </c>
      <c r="V80" s="11" t="s">
        <v>96</v>
      </c>
      <c r="W80" s="11">
        <v>175000000</v>
      </c>
      <c r="X80" s="11">
        <v>2015</v>
      </c>
      <c r="Y80" s="11">
        <v>767</v>
      </c>
      <c r="Z80" s="11">
        <v>8.3</v>
      </c>
      <c r="AA80" s="11">
        <v>1.85</v>
      </c>
      <c r="AB80" s="11">
        <v>118000</v>
      </c>
      <c r="AC80" s="11"/>
      <c r="AD80" s="11" t="str">
        <f>IFERROR(__xludf.DUMMYFUNCTION("""COMPUTED_VALUE"""),"Don Cheadle")</f>
        <v>Don Cheadle</v>
      </c>
      <c r="AE80" s="11"/>
    </row>
    <row r="81" customHeight="1" spans="1:31">
      <c r="A81" s="12" t="s">
        <v>30</v>
      </c>
      <c r="B81" s="12" t="s">
        <v>251</v>
      </c>
      <c r="C81" s="12">
        <v>370</v>
      </c>
      <c r="D81" s="12">
        <v>106</v>
      </c>
      <c r="E81" s="12">
        <v>4000</v>
      </c>
      <c r="F81" s="12">
        <v>591</v>
      </c>
      <c r="G81" s="12">
        <v>19000</v>
      </c>
      <c r="H81" s="12">
        <v>362645141</v>
      </c>
      <c r="I81" s="12" t="s">
        <v>548</v>
      </c>
      <c r="J81" s="12" t="s">
        <v>100</v>
      </c>
      <c r="K81" s="12" t="s">
        <v>549</v>
      </c>
      <c r="L81" s="12" t="s">
        <v>550</v>
      </c>
      <c r="M81" s="12" t="s">
        <v>551</v>
      </c>
      <c r="N81" s="12">
        <v>106072</v>
      </c>
      <c r="O81" s="12">
        <v>32921</v>
      </c>
      <c r="P81" s="12">
        <v>0</v>
      </c>
      <c r="Q81" s="12" t="s">
        <v>552</v>
      </c>
      <c r="R81" s="15" t="s">
        <v>553</v>
      </c>
      <c r="S81" s="12">
        <v>398</v>
      </c>
      <c r="T81" s="12" t="s">
        <v>39</v>
      </c>
      <c r="U81" s="12" t="s">
        <v>58</v>
      </c>
      <c r="V81" s="12" t="s">
        <v>96</v>
      </c>
      <c r="W81" s="12">
        <v>175000000</v>
      </c>
      <c r="X81" s="12">
        <v>2016</v>
      </c>
      <c r="Y81" s="12">
        <v>13000</v>
      </c>
      <c r="Z81" s="12">
        <v>7.8</v>
      </c>
      <c r="AA81" s="12">
        <v>1.85</v>
      </c>
      <c r="AB81" s="12">
        <v>65000</v>
      </c>
      <c r="AC81" s="12"/>
      <c r="AD81" s="12" t="str">
        <f>IFERROR(__xludf.DUMMYFUNCTION("""COMPUTED_VALUE"""),"Anne Hathaway")</f>
        <v>Anne Hathaway</v>
      </c>
      <c r="AE81" s="12"/>
    </row>
    <row r="82" customHeight="1" spans="1:31">
      <c r="A82" s="11" t="s">
        <v>30</v>
      </c>
      <c r="B82" s="11" t="s">
        <v>251</v>
      </c>
      <c r="C82" s="11">
        <v>453</v>
      </c>
      <c r="D82" s="11">
        <v>124</v>
      </c>
      <c r="E82" s="11">
        <v>4000</v>
      </c>
      <c r="F82" s="11">
        <v>4000</v>
      </c>
      <c r="G82" s="11">
        <v>21000</v>
      </c>
      <c r="H82" s="11">
        <v>312057433</v>
      </c>
      <c r="I82" s="11" t="s">
        <v>73</v>
      </c>
      <c r="J82" s="11" t="s">
        <v>99</v>
      </c>
      <c r="K82" s="11" t="s">
        <v>100</v>
      </c>
      <c r="L82" s="11" t="s">
        <v>251</v>
      </c>
      <c r="M82" s="11" t="s">
        <v>554</v>
      </c>
      <c r="N82" s="11">
        <v>522371</v>
      </c>
      <c r="O82" s="11">
        <v>48638</v>
      </c>
      <c r="P82" s="11">
        <v>4</v>
      </c>
      <c r="Q82" s="11" t="s">
        <v>555</v>
      </c>
      <c r="R82" s="14" t="s">
        <v>556</v>
      </c>
      <c r="S82" s="11">
        <v>723</v>
      </c>
      <c r="T82" s="11" t="s">
        <v>39</v>
      </c>
      <c r="U82" s="11" t="s">
        <v>40</v>
      </c>
      <c r="V82" s="11" t="s">
        <v>41</v>
      </c>
      <c r="W82" s="11">
        <v>200000000</v>
      </c>
      <c r="X82" s="11">
        <v>2010</v>
      </c>
      <c r="Y82" s="11">
        <v>19000</v>
      </c>
      <c r="Z82" s="11">
        <v>7</v>
      </c>
      <c r="AA82" s="11">
        <v>2.35</v>
      </c>
      <c r="AB82" s="11">
        <v>18000</v>
      </c>
      <c r="AC82" s="11"/>
      <c r="AD82" s="11" t="str">
        <f>IFERROR(__xludf.DUMMYFUNCTION("""COMPUTED_VALUE"""),"Hugh Jackman")</f>
        <v>Hugh Jackman</v>
      </c>
      <c r="AE82" s="11"/>
    </row>
    <row r="83" customHeight="1" spans="1:31">
      <c r="A83" s="12" t="s">
        <v>30</v>
      </c>
      <c r="B83" s="12" t="s">
        <v>557</v>
      </c>
      <c r="C83" s="12">
        <v>416</v>
      </c>
      <c r="D83" s="12">
        <v>132</v>
      </c>
      <c r="E83" s="12">
        <v>274</v>
      </c>
      <c r="F83" s="12">
        <v>11000</v>
      </c>
      <c r="G83" s="12">
        <v>26000</v>
      </c>
      <c r="H83" s="12">
        <v>155111815</v>
      </c>
      <c r="I83" s="12" t="s">
        <v>558</v>
      </c>
      <c r="J83" s="12" t="s">
        <v>98</v>
      </c>
      <c r="K83" s="12" t="s">
        <v>559</v>
      </c>
      <c r="L83" s="12" t="s">
        <v>159</v>
      </c>
      <c r="M83" s="12" t="s">
        <v>560</v>
      </c>
      <c r="N83" s="12">
        <v>228554</v>
      </c>
      <c r="O83" s="12">
        <v>72881</v>
      </c>
      <c r="P83" s="12">
        <v>0</v>
      </c>
      <c r="Q83" s="12" t="s">
        <v>561</v>
      </c>
      <c r="R83" s="15" t="s">
        <v>562</v>
      </c>
      <c r="S83" s="12">
        <v>710</v>
      </c>
      <c r="T83" s="12" t="s">
        <v>39</v>
      </c>
      <c r="U83" s="12" t="s">
        <v>40</v>
      </c>
      <c r="V83" s="12" t="s">
        <v>41</v>
      </c>
      <c r="W83" s="12">
        <v>170000000</v>
      </c>
      <c r="X83" s="12">
        <v>2012</v>
      </c>
      <c r="Y83" s="12">
        <v>17000</v>
      </c>
      <c r="Z83" s="12">
        <v>6.1</v>
      </c>
      <c r="AA83" s="12">
        <v>2.35</v>
      </c>
      <c r="AB83" s="12">
        <v>53000</v>
      </c>
      <c r="AC83" s="12"/>
      <c r="AD83" s="12" t="str">
        <f>IFERROR(__xludf.DUMMYFUNCTION("""COMPUTED_VALUE"""),"Kelsey Grammer")</f>
        <v>Kelsey Grammer</v>
      </c>
      <c r="AE83" s="12"/>
    </row>
    <row r="84" customHeight="1" spans="1:31">
      <c r="A84" s="11" t="s">
        <v>30</v>
      </c>
      <c r="B84" s="11" t="s">
        <v>563</v>
      </c>
      <c r="C84" s="11">
        <v>401</v>
      </c>
      <c r="D84" s="11">
        <v>97</v>
      </c>
      <c r="E84" s="11">
        <v>171</v>
      </c>
      <c r="F84" s="11">
        <v>846</v>
      </c>
      <c r="G84" s="11">
        <v>11000</v>
      </c>
      <c r="H84" s="11">
        <v>241407328</v>
      </c>
      <c r="I84" s="11" t="s">
        <v>564</v>
      </c>
      <c r="J84" s="11" t="s">
        <v>565</v>
      </c>
      <c r="K84" s="11" t="s">
        <v>566</v>
      </c>
      <c r="L84" s="11" t="s">
        <v>567</v>
      </c>
      <c r="M84" s="11" t="s">
        <v>568</v>
      </c>
      <c r="N84" s="11">
        <v>252257</v>
      </c>
      <c r="O84" s="11">
        <v>15516</v>
      </c>
      <c r="P84" s="11">
        <v>2</v>
      </c>
      <c r="Q84" s="11" t="s">
        <v>569</v>
      </c>
      <c r="R84" s="14" t="s">
        <v>570</v>
      </c>
      <c r="S84" s="11">
        <v>634</v>
      </c>
      <c r="T84" s="11" t="s">
        <v>39</v>
      </c>
      <c r="U84" s="11" t="s">
        <v>40</v>
      </c>
      <c r="V84" s="11" t="s">
        <v>96</v>
      </c>
      <c r="W84" s="11">
        <v>180000000</v>
      </c>
      <c r="X84" s="11">
        <v>2014</v>
      </c>
      <c r="Y84" s="11">
        <v>2000</v>
      </c>
      <c r="Z84" s="11">
        <v>7</v>
      </c>
      <c r="AA84" s="11">
        <v>2.35</v>
      </c>
      <c r="AB84" s="11">
        <v>89000</v>
      </c>
      <c r="AC84" s="11"/>
      <c r="AD84" s="11" t="str">
        <f>IFERROR(__xludf.DUMMYFUNCTION("""COMPUTED_VALUE"""),"Daniel Cudmore")</f>
        <v>Daniel Cudmore</v>
      </c>
      <c r="AE84" s="11"/>
    </row>
    <row r="85" customHeight="1" spans="1:31">
      <c r="A85" s="12" t="s">
        <v>30</v>
      </c>
      <c r="B85" s="12" t="s">
        <v>571</v>
      </c>
      <c r="C85" s="12">
        <v>521</v>
      </c>
      <c r="D85" s="12">
        <v>130</v>
      </c>
      <c r="E85" s="12">
        <v>198</v>
      </c>
      <c r="F85" s="12">
        <v>884</v>
      </c>
      <c r="G85" s="12">
        <v>10000</v>
      </c>
      <c r="H85" s="12">
        <v>208543795</v>
      </c>
      <c r="I85" s="12" t="s">
        <v>572</v>
      </c>
      <c r="J85" s="12" t="s">
        <v>440</v>
      </c>
      <c r="K85" s="12" t="s">
        <v>236</v>
      </c>
      <c r="L85" s="12" t="s">
        <v>573</v>
      </c>
      <c r="M85" s="12" t="s">
        <v>574</v>
      </c>
      <c r="N85" s="12">
        <v>317542</v>
      </c>
      <c r="O85" s="12">
        <v>14363</v>
      </c>
      <c r="P85" s="12">
        <v>0</v>
      </c>
      <c r="Q85" s="12" t="s">
        <v>575</v>
      </c>
      <c r="R85" s="15" t="s">
        <v>576</v>
      </c>
      <c r="S85" s="12">
        <v>620</v>
      </c>
      <c r="T85" s="12" t="s">
        <v>39</v>
      </c>
      <c r="U85" s="12" t="s">
        <v>40</v>
      </c>
      <c r="V85" s="12" t="s">
        <v>41</v>
      </c>
      <c r="W85" s="12">
        <v>170000000</v>
      </c>
      <c r="X85" s="12">
        <v>2014</v>
      </c>
      <c r="Y85" s="12">
        <v>2000</v>
      </c>
      <c r="Z85" s="12">
        <v>7.6</v>
      </c>
      <c r="AA85" s="12">
        <v>1.85</v>
      </c>
      <c r="AB85" s="12">
        <v>45000</v>
      </c>
      <c r="AC85" s="12"/>
      <c r="AD85" s="12" t="str">
        <f>IFERROR(__xludf.DUMMYFUNCTION("""COMPUTED_VALUE"""),"Steve Buscemi")</f>
        <v>Steve Buscemi</v>
      </c>
      <c r="AE85" s="12"/>
    </row>
    <row r="86" customHeight="1" spans="1:31">
      <c r="A86" s="11" t="s">
        <v>30</v>
      </c>
      <c r="B86" s="11" t="s">
        <v>577</v>
      </c>
      <c r="C86" s="11">
        <v>10</v>
      </c>
      <c r="D86" s="11">
        <v>109</v>
      </c>
      <c r="E86" s="11">
        <v>596</v>
      </c>
      <c r="F86" s="11">
        <v>283</v>
      </c>
      <c r="G86" s="11">
        <v>622</v>
      </c>
      <c r="H86" s="13"/>
      <c r="I86" s="11" t="s">
        <v>578</v>
      </c>
      <c r="J86" s="11" t="s">
        <v>579</v>
      </c>
      <c r="K86" s="11" t="s">
        <v>580</v>
      </c>
      <c r="L86" s="11" t="s">
        <v>581</v>
      </c>
      <c r="M86" s="11" t="s">
        <v>582</v>
      </c>
      <c r="N86" s="11">
        <v>2138</v>
      </c>
      <c r="O86" s="11">
        <v>1982</v>
      </c>
      <c r="P86" s="11">
        <v>3</v>
      </c>
      <c r="Q86" s="11" t="s">
        <v>583</v>
      </c>
      <c r="R86" s="14" t="s">
        <v>584</v>
      </c>
      <c r="S86" s="11">
        <v>15</v>
      </c>
      <c r="T86" s="11" t="s">
        <v>39</v>
      </c>
      <c r="U86" s="11" t="s">
        <v>585</v>
      </c>
      <c r="V86" s="11" t="s">
        <v>586</v>
      </c>
      <c r="W86" s="13"/>
      <c r="X86" s="11">
        <v>2015</v>
      </c>
      <c r="Y86" s="11">
        <v>525</v>
      </c>
      <c r="Z86" s="11">
        <v>4.5</v>
      </c>
      <c r="AA86" s="13"/>
      <c r="AB86" s="11">
        <v>677</v>
      </c>
      <c r="AC86" s="11"/>
      <c r="AD86" s="11" t="str">
        <f>IFERROR(__xludf.DUMMYFUNCTION("""COMPUTED_VALUE"""),"Tyler Labine")</f>
        <v>Tyler Labine</v>
      </c>
      <c r="AE86" s="11"/>
    </row>
    <row r="87" customHeight="1" spans="1:31">
      <c r="A87" s="12" t="s">
        <v>30</v>
      </c>
      <c r="B87" s="12" t="s">
        <v>587</v>
      </c>
      <c r="C87" s="12">
        <v>218</v>
      </c>
      <c r="D87" s="12">
        <v>128</v>
      </c>
      <c r="E87" s="12">
        <v>47</v>
      </c>
      <c r="F87" s="12">
        <v>982</v>
      </c>
      <c r="G87" s="12">
        <v>18000</v>
      </c>
      <c r="H87" s="12">
        <v>38297305</v>
      </c>
      <c r="I87" s="12" t="s">
        <v>558</v>
      </c>
      <c r="J87" s="12" t="s">
        <v>588</v>
      </c>
      <c r="K87" s="12" t="s">
        <v>589</v>
      </c>
      <c r="L87" s="12" t="s">
        <v>590</v>
      </c>
      <c r="M87" s="12" t="s">
        <v>591</v>
      </c>
      <c r="N87" s="12">
        <v>116994</v>
      </c>
      <c r="O87" s="12">
        <v>20965</v>
      </c>
      <c r="P87" s="12">
        <v>2</v>
      </c>
      <c r="Q87" s="12" t="s">
        <v>592</v>
      </c>
      <c r="R87" s="15" t="s">
        <v>593</v>
      </c>
      <c r="S87" s="12">
        <v>324</v>
      </c>
      <c r="T87" s="12" t="s">
        <v>39</v>
      </c>
      <c r="U87" s="12" t="s">
        <v>40</v>
      </c>
      <c r="V87" s="12" t="s">
        <v>41</v>
      </c>
      <c r="W87" s="12">
        <v>175000000</v>
      </c>
      <c r="X87" s="12">
        <v>2013</v>
      </c>
      <c r="Y87" s="12">
        <v>1000</v>
      </c>
      <c r="Z87" s="12">
        <v>6.3</v>
      </c>
      <c r="AA87" s="12">
        <v>2.35</v>
      </c>
      <c r="AB87" s="12">
        <v>35000</v>
      </c>
      <c r="AC87" s="12"/>
      <c r="AD87" s="12" t="str">
        <f>IFERROR(__xludf.DUMMYFUNCTION("""COMPUTED_VALUE"""),"Sean Hayes")</f>
        <v>Sean Hayes</v>
      </c>
      <c r="AE87" s="12"/>
    </row>
    <row r="88" customHeight="1" spans="1:31">
      <c r="A88" s="11" t="s">
        <v>30</v>
      </c>
      <c r="B88" s="11" t="s">
        <v>221</v>
      </c>
      <c r="C88" s="11">
        <v>576</v>
      </c>
      <c r="D88" s="11">
        <v>136</v>
      </c>
      <c r="E88" s="11">
        <v>94</v>
      </c>
      <c r="F88" s="11">
        <v>2000</v>
      </c>
      <c r="G88" s="11">
        <v>19000</v>
      </c>
      <c r="H88" s="11">
        <v>259746958</v>
      </c>
      <c r="I88" s="11" t="s">
        <v>73</v>
      </c>
      <c r="J88" s="11" t="s">
        <v>100</v>
      </c>
      <c r="K88" s="11" t="s">
        <v>222</v>
      </c>
      <c r="L88" s="11" t="s">
        <v>594</v>
      </c>
      <c r="M88" s="11" t="s">
        <v>595</v>
      </c>
      <c r="N88" s="11">
        <v>496749</v>
      </c>
      <c r="O88" s="11">
        <v>36188</v>
      </c>
      <c r="P88" s="11">
        <v>1</v>
      </c>
      <c r="Q88" s="11" t="s">
        <v>596</v>
      </c>
      <c r="R88" s="14" t="s">
        <v>597</v>
      </c>
      <c r="S88" s="11">
        <v>742</v>
      </c>
      <c r="T88" s="11" t="s">
        <v>39</v>
      </c>
      <c r="U88" s="11" t="s">
        <v>40</v>
      </c>
      <c r="V88" s="11" t="s">
        <v>41</v>
      </c>
      <c r="W88" s="11">
        <v>170000000</v>
      </c>
      <c r="X88" s="11">
        <v>2014</v>
      </c>
      <c r="Y88" s="11">
        <v>11000</v>
      </c>
      <c r="Z88" s="11">
        <v>7.8</v>
      </c>
      <c r="AA88" s="11">
        <v>2.35</v>
      </c>
      <c r="AB88" s="11">
        <v>55000</v>
      </c>
      <c r="AC88" s="11"/>
      <c r="AD88" s="11" t="str">
        <f>IFERROR(__xludf.DUMMYFUNCTION("""COMPUTED_VALUE"""),"Glenn Morshower")</f>
        <v>Glenn Morshower</v>
      </c>
      <c r="AE88" s="11"/>
    </row>
    <row r="89" customHeight="1" spans="1:31">
      <c r="A89" s="12" t="s">
        <v>30</v>
      </c>
      <c r="B89" s="12" t="s">
        <v>598</v>
      </c>
      <c r="C89" s="12">
        <v>226</v>
      </c>
      <c r="D89" s="12">
        <v>93</v>
      </c>
      <c r="E89" s="12">
        <v>31</v>
      </c>
      <c r="F89" s="12">
        <v>213</v>
      </c>
      <c r="G89" s="12">
        <v>4000</v>
      </c>
      <c r="H89" s="12">
        <v>238371987</v>
      </c>
      <c r="I89" s="12" t="s">
        <v>271</v>
      </c>
      <c r="J89" s="12" t="s">
        <v>599</v>
      </c>
      <c r="K89" s="12" t="s">
        <v>600</v>
      </c>
      <c r="L89" s="12" t="s">
        <v>601</v>
      </c>
      <c r="M89" s="12" t="s">
        <v>602</v>
      </c>
      <c r="N89" s="12">
        <v>138661</v>
      </c>
      <c r="O89" s="12">
        <v>4628</v>
      </c>
      <c r="P89" s="12">
        <v>2</v>
      </c>
      <c r="Q89" s="12" t="s">
        <v>603</v>
      </c>
      <c r="R89" s="15" t="s">
        <v>604</v>
      </c>
      <c r="S89" s="12">
        <v>173</v>
      </c>
      <c r="T89" s="12" t="s">
        <v>39</v>
      </c>
      <c r="U89" s="12" t="s">
        <v>40</v>
      </c>
      <c r="V89" s="12" t="s">
        <v>96</v>
      </c>
      <c r="W89" s="12">
        <v>165000000</v>
      </c>
      <c r="X89" s="12">
        <v>2010</v>
      </c>
      <c r="Y89" s="12">
        <v>225</v>
      </c>
      <c r="Z89" s="12">
        <v>6.4</v>
      </c>
      <c r="AA89" s="12">
        <v>2.35</v>
      </c>
      <c r="AB89" s="12">
        <v>0</v>
      </c>
      <c r="AC89" s="12"/>
      <c r="AD89" s="12" t="str">
        <f>IFERROR(__xludf.DUMMYFUNCTION("""COMPUTED_VALUE"""),"Kevin Dunn")</f>
        <v>Kevin Dunn</v>
      </c>
      <c r="AE89" s="12"/>
    </row>
    <row r="90" customHeight="1" spans="1:31">
      <c r="A90" s="11" t="s">
        <v>30</v>
      </c>
      <c r="B90" s="11" t="s">
        <v>605</v>
      </c>
      <c r="C90" s="11">
        <v>443</v>
      </c>
      <c r="D90" s="11">
        <v>130</v>
      </c>
      <c r="E90" s="11">
        <v>663</v>
      </c>
      <c r="F90" s="11">
        <v>604</v>
      </c>
      <c r="G90" s="11">
        <v>2000</v>
      </c>
      <c r="H90" s="11">
        <v>93417865</v>
      </c>
      <c r="I90" s="11" t="s">
        <v>606</v>
      </c>
      <c r="J90" s="11" t="s">
        <v>236</v>
      </c>
      <c r="K90" s="11" t="s">
        <v>607</v>
      </c>
      <c r="L90" s="11" t="s">
        <v>608</v>
      </c>
      <c r="M90" s="11" t="s">
        <v>609</v>
      </c>
      <c r="N90" s="11">
        <v>128306</v>
      </c>
      <c r="O90" s="11">
        <v>5046</v>
      </c>
      <c r="P90" s="11">
        <v>2</v>
      </c>
      <c r="Q90" s="11" t="s">
        <v>610</v>
      </c>
      <c r="R90" s="14" t="s">
        <v>611</v>
      </c>
      <c r="S90" s="11">
        <v>497</v>
      </c>
      <c r="T90" s="11" t="s">
        <v>39</v>
      </c>
      <c r="U90" s="11" t="s">
        <v>40</v>
      </c>
      <c r="V90" s="11" t="s">
        <v>96</v>
      </c>
      <c r="W90" s="11">
        <v>190000000</v>
      </c>
      <c r="X90" s="11">
        <v>2015</v>
      </c>
      <c r="Y90" s="11">
        <v>638</v>
      </c>
      <c r="Z90" s="11">
        <v>6.5</v>
      </c>
      <c r="AA90" s="11">
        <v>2.2</v>
      </c>
      <c r="AB90" s="11">
        <v>37000</v>
      </c>
      <c r="AC90" s="11"/>
      <c r="AD90" s="11" t="str">
        <f>IFERROR(__xludf.DUMMYFUNCTION("""COMPUTED_VALUE"""),"Ramon Rodriguez")</f>
        <v>Ramon Rodriguez</v>
      </c>
      <c r="AE90" s="11"/>
    </row>
    <row r="91" customHeight="1" spans="1:31">
      <c r="A91" s="12" t="s">
        <v>30</v>
      </c>
      <c r="B91" s="12" t="s">
        <v>612</v>
      </c>
      <c r="C91" s="12">
        <v>384</v>
      </c>
      <c r="D91" s="12">
        <v>102</v>
      </c>
      <c r="E91" s="12">
        <v>38</v>
      </c>
      <c r="F91" s="12">
        <v>562</v>
      </c>
      <c r="G91" s="12">
        <v>756</v>
      </c>
      <c r="H91" s="12">
        <v>222487711</v>
      </c>
      <c r="I91" s="12" t="s">
        <v>613</v>
      </c>
      <c r="J91" s="12" t="s">
        <v>614</v>
      </c>
      <c r="K91" s="12" t="s">
        <v>615</v>
      </c>
      <c r="L91" s="12" t="s">
        <v>616</v>
      </c>
      <c r="M91" s="12" t="s">
        <v>617</v>
      </c>
      <c r="N91" s="12">
        <v>279093</v>
      </c>
      <c r="O91" s="12">
        <v>2963</v>
      </c>
      <c r="P91" s="12">
        <v>0</v>
      </c>
      <c r="Q91" s="12" t="s">
        <v>618</v>
      </c>
      <c r="R91" s="15" t="s">
        <v>619</v>
      </c>
      <c r="S91" s="12">
        <v>433</v>
      </c>
      <c r="T91" s="12" t="s">
        <v>39</v>
      </c>
      <c r="U91" s="12" t="s">
        <v>40</v>
      </c>
      <c r="V91" s="12" t="s">
        <v>96</v>
      </c>
      <c r="W91" s="12">
        <v>165000000</v>
      </c>
      <c r="X91" s="12">
        <v>2014</v>
      </c>
      <c r="Y91" s="12">
        <v>719</v>
      </c>
      <c r="Z91" s="12">
        <v>7.9</v>
      </c>
      <c r="AA91" s="12">
        <v>2.39</v>
      </c>
      <c r="AB91" s="12">
        <v>41000</v>
      </c>
      <c r="AC91" s="12"/>
      <c r="AD91" s="12" t="str">
        <f>IFERROR(__xludf.DUMMYFUNCTION("""COMPUTED_VALUE"""),"Bingbing Li")</f>
        <v>Bingbing Li</v>
      </c>
      <c r="AE91" s="12"/>
    </row>
    <row r="92" customHeight="1" spans="1:31">
      <c r="A92" s="11" t="s">
        <v>30</v>
      </c>
      <c r="B92" s="11" t="s">
        <v>620</v>
      </c>
      <c r="C92" s="11">
        <v>377</v>
      </c>
      <c r="D92" s="11">
        <v>101</v>
      </c>
      <c r="E92" s="11">
        <v>66</v>
      </c>
      <c r="F92" s="11">
        <v>833</v>
      </c>
      <c r="G92" s="11">
        <v>975</v>
      </c>
      <c r="H92" s="11">
        <v>189412677</v>
      </c>
      <c r="I92" s="11" t="s">
        <v>621</v>
      </c>
      <c r="J92" s="11" t="s">
        <v>622</v>
      </c>
      <c r="K92" s="11" t="s">
        <v>623</v>
      </c>
      <c r="L92" s="11" t="s">
        <v>624</v>
      </c>
      <c r="M92" s="11" t="s">
        <v>625</v>
      </c>
      <c r="N92" s="11">
        <v>272534</v>
      </c>
      <c r="O92" s="11">
        <v>4451</v>
      </c>
      <c r="P92" s="11">
        <v>1</v>
      </c>
      <c r="Q92" s="11" t="s">
        <v>626</v>
      </c>
      <c r="R92" s="14" t="s">
        <v>627</v>
      </c>
      <c r="S92" s="11">
        <v>345</v>
      </c>
      <c r="T92" s="11" t="s">
        <v>39</v>
      </c>
      <c r="U92" s="11" t="s">
        <v>40</v>
      </c>
      <c r="V92" s="11" t="s">
        <v>96</v>
      </c>
      <c r="W92" s="11">
        <v>165000000</v>
      </c>
      <c r="X92" s="11">
        <v>2012</v>
      </c>
      <c r="Y92" s="11">
        <v>931</v>
      </c>
      <c r="Z92" s="11">
        <v>7.8</v>
      </c>
      <c r="AA92" s="11">
        <v>2.35</v>
      </c>
      <c r="AB92" s="11">
        <v>40000</v>
      </c>
      <c r="AC92" s="11"/>
      <c r="AD92" s="11" t="str">
        <f>IFERROR(__xludf.DUMMYFUNCTION("""COMPUTED_VALUE"""),"Sophia Myles")</f>
        <v>Sophia Myles</v>
      </c>
      <c r="AE92" s="11"/>
    </row>
    <row r="93" customHeight="1" spans="1:31">
      <c r="A93" s="12" t="s">
        <v>30</v>
      </c>
      <c r="B93" s="12" t="s">
        <v>436</v>
      </c>
      <c r="C93" s="12">
        <v>188</v>
      </c>
      <c r="D93" s="12">
        <v>100</v>
      </c>
      <c r="E93" s="12">
        <v>0</v>
      </c>
      <c r="F93" s="12">
        <v>267</v>
      </c>
      <c r="G93" s="12">
        <v>15000</v>
      </c>
      <c r="H93" s="12">
        <v>665426</v>
      </c>
      <c r="I93" s="12" t="s">
        <v>628</v>
      </c>
      <c r="J93" s="12" t="s">
        <v>322</v>
      </c>
      <c r="K93" s="12" t="s">
        <v>629</v>
      </c>
      <c r="L93" s="12" t="s">
        <v>630</v>
      </c>
      <c r="M93" s="12" t="s">
        <v>631</v>
      </c>
      <c r="N93" s="12">
        <v>120798</v>
      </c>
      <c r="O93" s="12">
        <v>16264</v>
      </c>
      <c r="P93" s="12">
        <v>0</v>
      </c>
      <c r="Q93" s="12" t="s">
        <v>632</v>
      </c>
      <c r="R93" s="15" t="s">
        <v>633</v>
      </c>
      <c r="S93" s="12">
        <v>444</v>
      </c>
      <c r="T93" s="12" t="s">
        <v>39</v>
      </c>
      <c r="U93" s="12" t="s">
        <v>40</v>
      </c>
      <c r="V93" s="12" t="s">
        <v>278</v>
      </c>
      <c r="W93" s="12">
        <v>165000000</v>
      </c>
      <c r="X93" s="12">
        <v>2004</v>
      </c>
      <c r="Y93" s="12">
        <v>726</v>
      </c>
      <c r="Z93" s="12">
        <v>6.6</v>
      </c>
      <c r="AA93" s="12">
        <v>2.35</v>
      </c>
      <c r="AB93" s="12">
        <v>10000</v>
      </c>
      <c r="AC93" s="12"/>
      <c r="AD93" s="12" t="str">
        <f>IFERROR(__xludf.DUMMYFUNCTION("""COMPUTED_VALUE"""),"Tim Holmes")</f>
        <v>Tim Holmes</v>
      </c>
      <c r="AE93" s="12"/>
    </row>
    <row r="94" customHeight="1" spans="1:31">
      <c r="A94" s="11" t="s">
        <v>30</v>
      </c>
      <c r="B94" s="11" t="s">
        <v>429</v>
      </c>
      <c r="C94" s="11">
        <v>286</v>
      </c>
      <c r="D94" s="11">
        <v>120</v>
      </c>
      <c r="E94" s="11">
        <v>776</v>
      </c>
      <c r="F94" s="11">
        <v>535</v>
      </c>
      <c r="G94" s="11">
        <v>890</v>
      </c>
      <c r="H94" s="11">
        <v>102315545</v>
      </c>
      <c r="I94" s="11" t="s">
        <v>73</v>
      </c>
      <c r="J94" s="11" t="s">
        <v>634</v>
      </c>
      <c r="K94" s="11" t="s">
        <v>635</v>
      </c>
      <c r="L94" s="11" t="s">
        <v>636</v>
      </c>
      <c r="M94" s="11" t="s">
        <v>637</v>
      </c>
      <c r="N94" s="11">
        <v>58137</v>
      </c>
      <c r="O94" s="11">
        <v>3233</v>
      </c>
      <c r="P94" s="11">
        <v>0</v>
      </c>
      <c r="Q94" s="11" t="s">
        <v>638</v>
      </c>
      <c r="R94" s="14" t="s">
        <v>639</v>
      </c>
      <c r="S94" s="11">
        <v>520</v>
      </c>
      <c r="T94" s="11" t="s">
        <v>39</v>
      </c>
      <c r="U94" s="11" t="s">
        <v>40</v>
      </c>
      <c r="V94" s="11" t="s">
        <v>41</v>
      </c>
      <c r="W94" s="11">
        <v>165000000</v>
      </c>
      <c r="X94" s="11">
        <v>2016</v>
      </c>
      <c r="Y94" s="11">
        <v>812</v>
      </c>
      <c r="Z94" s="11">
        <v>5.5</v>
      </c>
      <c r="AA94" s="11">
        <v>2.35</v>
      </c>
      <c r="AB94" s="11">
        <v>67000</v>
      </c>
      <c r="AC94" s="11"/>
      <c r="AD94" s="11" t="str">
        <f>IFERROR(__xludf.DUMMYFUNCTION("""COMPUTED_VALUE"""),"Mila Kunis")</f>
        <v>Mila Kunis</v>
      </c>
      <c r="AE94" s="11"/>
    </row>
    <row r="95" customHeight="1" spans="1:31">
      <c r="A95" s="12" t="s">
        <v>30</v>
      </c>
      <c r="B95" s="12" t="s">
        <v>640</v>
      </c>
      <c r="C95" s="12">
        <v>288</v>
      </c>
      <c r="D95" s="12">
        <v>98</v>
      </c>
      <c r="E95" s="12">
        <v>255</v>
      </c>
      <c r="F95" s="12">
        <v>759</v>
      </c>
      <c r="G95" s="12">
        <v>18000</v>
      </c>
      <c r="H95" s="12">
        <v>217387997</v>
      </c>
      <c r="I95" s="12" t="s">
        <v>628</v>
      </c>
      <c r="J95" s="12" t="s">
        <v>641</v>
      </c>
      <c r="K95" s="12" t="s">
        <v>642</v>
      </c>
      <c r="L95" s="12" t="s">
        <v>643</v>
      </c>
      <c r="M95" s="12" t="s">
        <v>644</v>
      </c>
      <c r="N95" s="12">
        <v>485430</v>
      </c>
      <c r="O95" s="12">
        <v>20453</v>
      </c>
      <c r="P95" s="12">
        <v>0</v>
      </c>
      <c r="Q95" s="12" t="s">
        <v>645</v>
      </c>
      <c r="R95" s="15" t="s">
        <v>646</v>
      </c>
      <c r="S95" s="12">
        <v>492</v>
      </c>
      <c r="T95" s="12" t="s">
        <v>39</v>
      </c>
      <c r="U95" s="12" t="s">
        <v>40</v>
      </c>
      <c r="V95" s="12" t="s">
        <v>96</v>
      </c>
      <c r="W95" s="12">
        <v>165000000</v>
      </c>
      <c r="X95" s="12">
        <v>2010</v>
      </c>
      <c r="Y95" s="12">
        <v>953</v>
      </c>
      <c r="Z95" s="12">
        <v>8.2</v>
      </c>
      <c r="AA95" s="12">
        <v>2.35</v>
      </c>
      <c r="AB95" s="12">
        <v>33000</v>
      </c>
      <c r="AC95" s="12"/>
      <c r="AD95" s="12" t="str">
        <f>IFERROR(__xludf.DUMMYFUNCTION("""COMPUTED_VALUE"""),"B.J. Novak")</f>
        <v>B.J. Novak</v>
      </c>
      <c r="AE95" s="12"/>
    </row>
    <row r="96" customHeight="1" spans="1:31">
      <c r="A96" s="11" t="s">
        <v>30</v>
      </c>
      <c r="B96" s="11" t="s">
        <v>647</v>
      </c>
      <c r="C96" s="11">
        <v>280</v>
      </c>
      <c r="D96" s="11">
        <v>109</v>
      </c>
      <c r="E96" s="11">
        <v>84</v>
      </c>
      <c r="F96" s="11">
        <v>191</v>
      </c>
      <c r="G96" s="11">
        <v>648</v>
      </c>
      <c r="H96" s="11">
        <v>150350192</v>
      </c>
      <c r="I96" s="11" t="s">
        <v>648</v>
      </c>
      <c r="J96" s="11" t="s">
        <v>649</v>
      </c>
      <c r="K96" s="11" t="s">
        <v>92</v>
      </c>
      <c r="L96" s="11" t="s">
        <v>650</v>
      </c>
      <c r="M96" s="11" t="s">
        <v>651</v>
      </c>
      <c r="N96" s="11">
        <v>305340</v>
      </c>
      <c r="O96" s="11">
        <v>1769</v>
      </c>
      <c r="P96" s="11">
        <v>0</v>
      </c>
      <c r="Q96" s="11" t="s">
        <v>652</v>
      </c>
      <c r="R96" s="14" t="s">
        <v>653</v>
      </c>
      <c r="S96" s="11">
        <v>1676</v>
      </c>
      <c r="T96" s="11" t="s">
        <v>39</v>
      </c>
      <c r="U96" s="11" t="s">
        <v>40</v>
      </c>
      <c r="V96" s="11" t="s">
        <v>586</v>
      </c>
      <c r="W96" s="11">
        <v>200000000</v>
      </c>
      <c r="X96" s="11">
        <v>2003</v>
      </c>
      <c r="Y96" s="11">
        <v>284</v>
      </c>
      <c r="Z96" s="11">
        <v>6.4</v>
      </c>
      <c r="AA96" s="11">
        <v>2.35</v>
      </c>
      <c r="AB96" s="11">
        <v>0</v>
      </c>
      <c r="AC96" s="11"/>
      <c r="AD96" s="11" t="str">
        <f>IFERROR(__xludf.DUMMYFUNCTION("""COMPUTED_VALUE"""),"Jeff Bridges")</f>
        <v>Jeff Bridges</v>
      </c>
      <c r="AE96" s="11"/>
    </row>
    <row r="97" customHeight="1" spans="1:31">
      <c r="A97" s="12" t="s">
        <v>30</v>
      </c>
      <c r="B97" s="12" t="s">
        <v>654</v>
      </c>
      <c r="C97" s="12">
        <v>653</v>
      </c>
      <c r="D97" s="12">
        <v>121</v>
      </c>
      <c r="E97" s="12">
        <v>571</v>
      </c>
      <c r="F97" s="12">
        <v>3000</v>
      </c>
      <c r="G97" s="12">
        <v>14000</v>
      </c>
      <c r="H97" s="12">
        <v>333130696</v>
      </c>
      <c r="I97" s="12" t="s">
        <v>73</v>
      </c>
      <c r="J97" s="12" t="s">
        <v>655</v>
      </c>
      <c r="K97" s="12" t="s">
        <v>337</v>
      </c>
      <c r="L97" s="12" t="s">
        <v>656</v>
      </c>
      <c r="M97" s="12" t="s">
        <v>657</v>
      </c>
      <c r="N97" s="12">
        <v>682155</v>
      </c>
      <c r="O97" s="12">
        <v>32438</v>
      </c>
      <c r="P97" s="12">
        <v>3</v>
      </c>
      <c r="Q97" s="12" t="s">
        <v>658</v>
      </c>
      <c r="R97" s="15" t="s">
        <v>659</v>
      </c>
      <c r="S97" s="12">
        <v>1097</v>
      </c>
      <c r="T97" s="12" t="s">
        <v>39</v>
      </c>
      <c r="U97" s="12" t="s">
        <v>40</v>
      </c>
      <c r="V97" s="12" t="s">
        <v>41</v>
      </c>
      <c r="W97" s="12">
        <v>170000000</v>
      </c>
      <c r="X97" s="12">
        <v>2014</v>
      </c>
      <c r="Y97" s="12">
        <v>14000</v>
      </c>
      <c r="Z97" s="12">
        <v>8.1</v>
      </c>
      <c r="AA97" s="12">
        <v>2.35</v>
      </c>
      <c r="AB97" s="12">
        <v>96000</v>
      </c>
      <c r="AC97" s="12"/>
      <c r="AD97" s="12" t="str">
        <f>IFERROR(__xludf.DUMMYFUNCTION("""COMPUTED_VALUE"""),"Olivia Wilde")</f>
        <v>Olivia Wilde</v>
      </c>
      <c r="AE97" s="12"/>
    </row>
    <row r="98" customHeight="1" spans="1:31">
      <c r="A98" s="11" t="s">
        <v>30</v>
      </c>
      <c r="B98" s="11" t="s">
        <v>59</v>
      </c>
      <c r="C98" s="11">
        <v>712</v>
      </c>
      <c r="D98" s="11">
        <v>169</v>
      </c>
      <c r="E98" s="11">
        <v>22000</v>
      </c>
      <c r="F98" s="11">
        <v>6000</v>
      </c>
      <c r="G98" s="11">
        <v>11000</v>
      </c>
      <c r="H98" s="11">
        <v>187991439</v>
      </c>
      <c r="I98" s="11" t="s">
        <v>660</v>
      </c>
      <c r="J98" s="11" t="s">
        <v>661</v>
      </c>
      <c r="K98" s="11" t="s">
        <v>257</v>
      </c>
      <c r="L98" s="11" t="s">
        <v>662</v>
      </c>
      <c r="M98" s="11" t="s">
        <v>663</v>
      </c>
      <c r="N98" s="11">
        <v>928227</v>
      </c>
      <c r="O98" s="11">
        <v>31488</v>
      </c>
      <c r="P98" s="11">
        <v>1</v>
      </c>
      <c r="Q98" s="11" t="s">
        <v>664</v>
      </c>
      <c r="R98" s="14" t="s">
        <v>665</v>
      </c>
      <c r="S98" s="11">
        <v>2725</v>
      </c>
      <c r="T98" s="11" t="s">
        <v>39</v>
      </c>
      <c r="U98" s="11" t="s">
        <v>40</v>
      </c>
      <c r="V98" s="11" t="s">
        <v>41</v>
      </c>
      <c r="W98" s="11">
        <v>165000000</v>
      </c>
      <c r="X98" s="11">
        <v>2014</v>
      </c>
      <c r="Y98" s="11">
        <v>11000</v>
      </c>
      <c r="Z98" s="11">
        <v>8.6</v>
      </c>
      <c r="AA98" s="11">
        <v>2.35</v>
      </c>
      <c r="AB98" s="11">
        <v>349000</v>
      </c>
      <c r="AC98" s="11"/>
      <c r="AD98" s="11" t="str">
        <f>IFERROR(__xludf.DUMMYFUNCTION("""COMPUTED_VALUE"""),"James Frain")</f>
        <v>James Frain</v>
      </c>
      <c r="AE98" s="11"/>
    </row>
    <row r="99" customHeight="1" spans="1:31">
      <c r="A99" s="12" t="s">
        <v>30</v>
      </c>
      <c r="B99" s="12" t="s">
        <v>59</v>
      </c>
      <c r="C99" s="12">
        <v>642</v>
      </c>
      <c r="D99" s="12">
        <v>148</v>
      </c>
      <c r="E99" s="12">
        <v>22000</v>
      </c>
      <c r="F99" s="12">
        <v>23000</v>
      </c>
      <c r="G99" s="12">
        <v>29000</v>
      </c>
      <c r="H99" s="12">
        <v>292568851</v>
      </c>
      <c r="I99" s="12" t="s">
        <v>227</v>
      </c>
      <c r="J99" s="12" t="s">
        <v>215</v>
      </c>
      <c r="K99" s="12" t="s">
        <v>61</v>
      </c>
      <c r="L99" s="12" t="s">
        <v>63</v>
      </c>
      <c r="M99" s="12" t="s">
        <v>666</v>
      </c>
      <c r="N99" s="12">
        <v>1468200</v>
      </c>
      <c r="O99" s="12">
        <v>81115</v>
      </c>
      <c r="P99" s="12">
        <v>0</v>
      </c>
      <c r="Q99" s="12" t="s">
        <v>667</v>
      </c>
      <c r="R99" s="15" t="s">
        <v>668</v>
      </c>
      <c r="S99" s="12">
        <v>2803</v>
      </c>
      <c r="T99" s="12" t="s">
        <v>39</v>
      </c>
      <c r="U99" s="12" t="s">
        <v>40</v>
      </c>
      <c r="V99" s="12" t="s">
        <v>41</v>
      </c>
      <c r="W99" s="12">
        <v>160000000</v>
      </c>
      <c r="X99" s="12">
        <v>2010</v>
      </c>
      <c r="Y99" s="12">
        <v>27000</v>
      </c>
      <c r="Z99" s="12">
        <v>8.8</v>
      </c>
      <c r="AA99" s="12">
        <v>2.35</v>
      </c>
      <c r="AB99" s="12">
        <v>175000</v>
      </c>
      <c r="AC99" s="12"/>
      <c r="AD99" s="12" t="str">
        <f>IFERROR(__xludf.DUMMYFUNCTION("""COMPUTED_VALUE"""),"Joe Mantegna")</f>
        <v>Joe Mantegna</v>
      </c>
      <c r="AE99" s="12"/>
    </row>
    <row r="100" customHeight="1" spans="1:31">
      <c r="A100" s="11" t="s">
        <v>30</v>
      </c>
      <c r="B100" s="11" t="s">
        <v>669</v>
      </c>
      <c r="C100" s="11">
        <v>1</v>
      </c>
      <c r="D100" s="11">
        <v>120</v>
      </c>
      <c r="E100" s="11">
        <v>28</v>
      </c>
      <c r="F100" s="11">
        <v>12</v>
      </c>
      <c r="G100" s="11">
        <v>544</v>
      </c>
      <c r="H100" s="13"/>
      <c r="I100" s="11" t="s">
        <v>670</v>
      </c>
      <c r="J100" s="11" t="s">
        <v>671</v>
      </c>
      <c r="K100" s="11" t="s">
        <v>672</v>
      </c>
      <c r="L100" s="11" t="s">
        <v>673</v>
      </c>
      <c r="M100" s="11" t="s">
        <v>674</v>
      </c>
      <c r="N100" s="11">
        <v>374</v>
      </c>
      <c r="O100" s="11">
        <v>699</v>
      </c>
      <c r="P100" s="11">
        <v>0</v>
      </c>
      <c r="Q100" s="11" t="s">
        <v>675</v>
      </c>
      <c r="R100" s="14" t="s">
        <v>676</v>
      </c>
      <c r="S100" s="11">
        <v>13</v>
      </c>
      <c r="T100" s="11" t="s">
        <v>677</v>
      </c>
      <c r="U100" s="11" t="s">
        <v>678</v>
      </c>
      <c r="V100" s="13"/>
      <c r="W100" s="13"/>
      <c r="X100" s="11">
        <v>2016</v>
      </c>
      <c r="Y100" s="11">
        <v>106</v>
      </c>
      <c r="Z100" s="11">
        <v>8.2</v>
      </c>
      <c r="AA100" s="11">
        <v>2.35</v>
      </c>
      <c r="AB100" s="11">
        <v>0</v>
      </c>
      <c r="AC100" s="11"/>
      <c r="AD100" s="11" t="str">
        <f>IFERROR(__xludf.DUMMYFUNCTION("""COMPUTED_VALUE"""),"Eddie Izzard")</f>
        <v>Eddie Izzard</v>
      </c>
      <c r="AE100" s="11"/>
    </row>
    <row r="101" customHeight="1" spans="1:31">
      <c r="A101" s="12" t="s">
        <v>30</v>
      </c>
      <c r="B101" s="12" t="s">
        <v>172</v>
      </c>
      <c r="C101" s="12">
        <v>645</v>
      </c>
      <c r="D101" s="12">
        <v>182</v>
      </c>
      <c r="E101" s="12">
        <v>0</v>
      </c>
      <c r="F101" s="12">
        <v>773</v>
      </c>
      <c r="G101" s="12">
        <v>5000</v>
      </c>
      <c r="H101" s="12">
        <v>303001229</v>
      </c>
      <c r="I101" s="12" t="s">
        <v>173</v>
      </c>
      <c r="J101" s="12" t="s">
        <v>174</v>
      </c>
      <c r="K101" s="12" t="s">
        <v>175</v>
      </c>
      <c r="L101" s="12" t="s">
        <v>176</v>
      </c>
      <c r="M101" s="12" t="s">
        <v>679</v>
      </c>
      <c r="N101" s="12">
        <v>637246</v>
      </c>
      <c r="O101" s="12">
        <v>9152</v>
      </c>
      <c r="P101" s="16"/>
      <c r="Q101" s="12" t="s">
        <v>680</v>
      </c>
      <c r="R101" s="15" t="s">
        <v>681</v>
      </c>
      <c r="S101" s="12">
        <v>1367</v>
      </c>
      <c r="T101" s="12" t="s">
        <v>39</v>
      </c>
      <c r="U101" s="12" t="s">
        <v>40</v>
      </c>
      <c r="V101" s="12" t="s">
        <v>41</v>
      </c>
      <c r="W101" s="12">
        <v>180000000</v>
      </c>
      <c r="X101" s="12">
        <v>2012</v>
      </c>
      <c r="Y101" s="12">
        <v>972</v>
      </c>
      <c r="Z101" s="12">
        <v>7.9</v>
      </c>
      <c r="AA101" s="12">
        <v>2.35</v>
      </c>
      <c r="AB101" s="12">
        <v>166000</v>
      </c>
      <c r="AC101" s="12"/>
      <c r="AD101" s="12" t="str">
        <f>IFERROR(__xludf.DUMMYFUNCTION("""COMPUTED_VALUE"""),"Ryan Reynolds")</f>
        <v>Ryan Reynolds</v>
      </c>
      <c r="AE101" s="12"/>
    </row>
    <row r="102" customHeight="1" spans="1:31">
      <c r="A102" s="11" t="s">
        <v>30</v>
      </c>
      <c r="B102" s="11" t="s">
        <v>500</v>
      </c>
      <c r="C102" s="11">
        <v>187</v>
      </c>
      <c r="D102" s="11">
        <v>106</v>
      </c>
      <c r="E102" s="11">
        <v>357</v>
      </c>
      <c r="F102" s="11">
        <v>4000</v>
      </c>
      <c r="G102" s="11">
        <v>23000</v>
      </c>
      <c r="H102" s="11">
        <v>144512310</v>
      </c>
      <c r="I102" s="11" t="s">
        <v>334</v>
      </c>
      <c r="J102" s="11" t="s">
        <v>336</v>
      </c>
      <c r="K102" s="11" t="s">
        <v>337</v>
      </c>
      <c r="L102" s="11" t="s">
        <v>682</v>
      </c>
      <c r="M102" s="11" t="s">
        <v>683</v>
      </c>
      <c r="N102" s="11">
        <v>272223</v>
      </c>
      <c r="O102" s="11">
        <v>45327</v>
      </c>
      <c r="P102" s="11">
        <v>2</v>
      </c>
      <c r="Q102" s="11" t="s">
        <v>684</v>
      </c>
      <c r="R102" s="14" t="s">
        <v>685</v>
      </c>
      <c r="S102" s="11">
        <v>988</v>
      </c>
      <c r="T102" s="11" t="s">
        <v>39</v>
      </c>
      <c r="U102" s="11" t="s">
        <v>40</v>
      </c>
      <c r="V102" s="11" t="s">
        <v>41</v>
      </c>
      <c r="W102" s="11">
        <v>38000000</v>
      </c>
      <c r="X102" s="11">
        <v>2001</v>
      </c>
      <c r="Y102" s="11">
        <v>14000</v>
      </c>
      <c r="Z102" s="11">
        <v>6.7</v>
      </c>
      <c r="AA102" s="11">
        <v>2.35</v>
      </c>
      <c r="AB102" s="11">
        <v>14000</v>
      </c>
      <c r="AC102" s="11"/>
      <c r="AD102" s="11" t="str">
        <f>IFERROR(__xludf.DUMMYFUNCTION("""COMPUTED_VALUE"""),"Temuera Morrison")</f>
        <v>Temuera Morrison</v>
      </c>
      <c r="AE102" s="11"/>
    </row>
    <row r="103" customHeight="1" spans="1:31">
      <c r="A103" s="12" t="s">
        <v>30</v>
      </c>
      <c r="B103" s="12" t="s">
        <v>686</v>
      </c>
      <c r="C103" s="12">
        <v>362</v>
      </c>
      <c r="D103" s="12">
        <v>166</v>
      </c>
      <c r="E103" s="12">
        <v>21000</v>
      </c>
      <c r="F103" s="12">
        <v>919</v>
      </c>
      <c r="G103" s="12">
        <v>11000</v>
      </c>
      <c r="H103" s="12">
        <v>127490802</v>
      </c>
      <c r="I103" s="12" t="s">
        <v>687</v>
      </c>
      <c r="J103" s="12" t="s">
        <v>343</v>
      </c>
      <c r="K103" s="12" t="s">
        <v>688</v>
      </c>
      <c r="L103" s="12" t="s">
        <v>689</v>
      </c>
      <c r="M103" s="12" t="s">
        <v>690</v>
      </c>
      <c r="N103" s="12">
        <v>459346</v>
      </c>
      <c r="O103" s="12">
        <v>13333</v>
      </c>
      <c r="P103" s="12">
        <v>2</v>
      </c>
      <c r="Q103" s="12" t="s">
        <v>691</v>
      </c>
      <c r="R103" s="15" t="s">
        <v>692</v>
      </c>
      <c r="S103" s="12">
        <v>822</v>
      </c>
      <c r="T103" s="12" t="s">
        <v>39</v>
      </c>
      <c r="U103" s="12" t="s">
        <v>40</v>
      </c>
      <c r="V103" s="12" t="s">
        <v>41</v>
      </c>
      <c r="W103" s="12">
        <v>150000000</v>
      </c>
      <c r="X103" s="12">
        <v>2008</v>
      </c>
      <c r="Y103" s="12">
        <v>1000</v>
      </c>
      <c r="Z103" s="12">
        <v>7.8</v>
      </c>
      <c r="AA103" s="12">
        <v>2.35</v>
      </c>
      <c r="AB103" s="12">
        <v>23000</v>
      </c>
      <c r="AC103" s="12"/>
      <c r="AD103" s="12" t="str">
        <f>IFERROR(__xludf.DUMMYFUNCTION("""COMPUTED_VALUE"""),"Taika Waititi")</f>
        <v>Taika Waititi</v>
      </c>
      <c r="AE103" s="12"/>
    </row>
    <row r="104" customHeight="1" spans="1:31">
      <c r="A104" s="11" t="s">
        <v>30</v>
      </c>
      <c r="B104" s="11" t="s">
        <v>693</v>
      </c>
      <c r="C104" s="11">
        <v>500</v>
      </c>
      <c r="D104" s="11">
        <v>132</v>
      </c>
      <c r="E104" s="11">
        <v>905</v>
      </c>
      <c r="F104" s="11">
        <v>1000</v>
      </c>
      <c r="G104" s="11">
        <v>34000</v>
      </c>
      <c r="H104" s="11">
        <v>146405371</v>
      </c>
      <c r="I104" s="11" t="s">
        <v>73</v>
      </c>
      <c r="J104" s="11" t="s">
        <v>348</v>
      </c>
      <c r="K104" s="11" t="s">
        <v>459</v>
      </c>
      <c r="L104" s="11" t="s">
        <v>430</v>
      </c>
      <c r="M104" s="11" t="s">
        <v>694</v>
      </c>
      <c r="N104" s="11">
        <v>518537</v>
      </c>
      <c r="O104" s="11">
        <v>50983</v>
      </c>
      <c r="P104" s="11">
        <v>3</v>
      </c>
      <c r="Q104" s="11" t="s">
        <v>695</v>
      </c>
      <c r="R104" s="14" t="s">
        <v>696</v>
      </c>
      <c r="S104" s="11">
        <v>698</v>
      </c>
      <c r="T104" s="11" t="s">
        <v>39</v>
      </c>
      <c r="U104" s="11" t="s">
        <v>40</v>
      </c>
      <c r="V104" s="11" t="s">
        <v>41</v>
      </c>
      <c r="W104" s="11">
        <v>160000000</v>
      </c>
      <c r="X104" s="11">
        <v>2011</v>
      </c>
      <c r="Y104" s="11">
        <v>13000</v>
      </c>
      <c r="Z104" s="11">
        <v>7.8</v>
      </c>
      <c r="AA104" s="11">
        <v>2.35</v>
      </c>
      <c r="AB104" s="11">
        <v>54000</v>
      </c>
      <c r="AC104" s="11"/>
      <c r="AD104" s="11" t="str">
        <f>IFERROR(__xludf.DUMMYFUNCTION("""COMPUTED_VALUE"""),"Tom Hanks")</f>
        <v>Tom Hanks</v>
      </c>
      <c r="AE104" s="11"/>
    </row>
    <row r="105" customHeight="1" spans="1:31">
      <c r="A105" s="12" t="s">
        <v>30</v>
      </c>
      <c r="B105" s="12" t="s">
        <v>697</v>
      </c>
      <c r="C105" s="12">
        <v>389</v>
      </c>
      <c r="D105" s="12">
        <v>137</v>
      </c>
      <c r="E105" s="12">
        <v>508</v>
      </c>
      <c r="F105" s="12">
        <v>14000</v>
      </c>
      <c r="G105" s="12">
        <v>34000</v>
      </c>
      <c r="H105" s="12">
        <v>281666058</v>
      </c>
      <c r="I105" s="12" t="s">
        <v>698</v>
      </c>
      <c r="J105" s="12" t="s">
        <v>348</v>
      </c>
      <c r="K105" s="12" t="s">
        <v>699</v>
      </c>
      <c r="L105" s="12" t="s">
        <v>700</v>
      </c>
      <c r="M105" s="12" t="s">
        <v>701</v>
      </c>
      <c r="N105" s="12">
        <v>166137</v>
      </c>
      <c r="O105" s="12">
        <v>81385</v>
      </c>
      <c r="P105" s="12">
        <v>1</v>
      </c>
      <c r="Q105" s="12" t="s">
        <v>702</v>
      </c>
      <c r="R105" s="15" t="s">
        <v>703</v>
      </c>
      <c r="S105" s="12">
        <v>383</v>
      </c>
      <c r="T105" s="12" t="s">
        <v>39</v>
      </c>
      <c r="U105" s="12" t="s">
        <v>40</v>
      </c>
      <c r="V105" s="12" t="s">
        <v>41</v>
      </c>
      <c r="W105" s="12">
        <v>160000000</v>
      </c>
      <c r="X105" s="12">
        <v>2015</v>
      </c>
      <c r="Y105" s="12">
        <v>22000</v>
      </c>
      <c r="Z105" s="12">
        <v>6.6</v>
      </c>
      <c r="AA105" s="12">
        <v>2.35</v>
      </c>
      <c r="AB105" s="12">
        <v>38000</v>
      </c>
      <c r="AC105" s="12"/>
      <c r="AD105" s="12" t="str">
        <f>IFERROR(__xludf.DUMMYFUNCTION("""COMPUTED_VALUE"""),"John Ratzenberger")</f>
        <v>John Ratzenberger</v>
      </c>
      <c r="AE105" s="12"/>
    </row>
    <row r="106" customHeight="1" spans="1:31">
      <c r="A106" s="11" t="s">
        <v>30</v>
      </c>
      <c r="B106" s="11" t="s">
        <v>704</v>
      </c>
      <c r="C106" s="11">
        <v>235</v>
      </c>
      <c r="D106" s="11">
        <v>109</v>
      </c>
      <c r="E106" s="11">
        <v>226</v>
      </c>
      <c r="F106" s="11">
        <v>370</v>
      </c>
      <c r="G106" s="11">
        <v>12000</v>
      </c>
      <c r="H106" s="11">
        <v>63143812</v>
      </c>
      <c r="I106" s="11" t="s">
        <v>148</v>
      </c>
      <c r="J106" s="11" t="s">
        <v>705</v>
      </c>
      <c r="K106" s="11" t="s">
        <v>706</v>
      </c>
      <c r="L106" s="11" t="s">
        <v>707</v>
      </c>
      <c r="M106" s="11" t="s">
        <v>708</v>
      </c>
      <c r="N106" s="11">
        <v>124185</v>
      </c>
      <c r="O106" s="11">
        <v>13388</v>
      </c>
      <c r="P106" s="11">
        <v>0</v>
      </c>
      <c r="Q106" s="11" t="s">
        <v>709</v>
      </c>
      <c r="R106" s="14" t="s">
        <v>710</v>
      </c>
      <c r="S106" s="11">
        <v>238</v>
      </c>
      <c r="T106" s="11" t="s">
        <v>39</v>
      </c>
      <c r="U106" s="11" t="s">
        <v>40</v>
      </c>
      <c r="V106" s="11" t="s">
        <v>96</v>
      </c>
      <c r="W106" s="11">
        <v>150000000</v>
      </c>
      <c r="X106" s="11">
        <v>2010</v>
      </c>
      <c r="Y106" s="11">
        <v>418</v>
      </c>
      <c r="Z106" s="11">
        <v>6.1</v>
      </c>
      <c r="AA106" s="11">
        <v>2.35</v>
      </c>
      <c r="AB106" s="11">
        <v>11000</v>
      </c>
      <c r="AC106" s="11"/>
      <c r="AD106" s="11" t="str">
        <f>IFERROR(__xludf.DUMMYFUNCTION("""COMPUTED_VALUE"""),"Don Rickles")</f>
        <v>Don Rickles</v>
      </c>
      <c r="AE106" s="11"/>
    </row>
    <row r="107" customHeight="1" spans="1:31">
      <c r="A107" s="12" t="s">
        <v>30</v>
      </c>
      <c r="B107" s="12" t="s">
        <v>711</v>
      </c>
      <c r="C107" s="12">
        <v>231</v>
      </c>
      <c r="D107" s="12">
        <v>98</v>
      </c>
      <c r="E107" s="12">
        <v>249</v>
      </c>
      <c r="F107" s="12">
        <v>702</v>
      </c>
      <c r="G107" s="12">
        <v>87000</v>
      </c>
      <c r="H107" s="12">
        <v>60655503</v>
      </c>
      <c r="I107" s="12" t="s">
        <v>712</v>
      </c>
      <c r="J107" s="12" t="s">
        <v>517</v>
      </c>
      <c r="K107" s="12" t="s">
        <v>713</v>
      </c>
      <c r="L107" s="12" t="s">
        <v>714</v>
      </c>
      <c r="M107" s="12" t="s">
        <v>715</v>
      </c>
      <c r="N107" s="12">
        <v>82380</v>
      </c>
      <c r="O107" s="12">
        <v>92456</v>
      </c>
      <c r="P107" s="12">
        <v>0</v>
      </c>
      <c r="Q107" s="12" t="s">
        <v>716</v>
      </c>
      <c r="R107" s="15" t="s">
        <v>717</v>
      </c>
      <c r="S107" s="12">
        <v>629</v>
      </c>
      <c r="T107" s="12" t="s">
        <v>39</v>
      </c>
      <c r="U107" s="12" t="s">
        <v>40</v>
      </c>
      <c r="V107" s="12" t="s">
        <v>41</v>
      </c>
      <c r="W107" s="12">
        <v>160000000</v>
      </c>
      <c r="X107" s="12">
        <v>2006</v>
      </c>
      <c r="Y107" s="12">
        <v>2000</v>
      </c>
      <c r="Z107" s="12">
        <v>5.6</v>
      </c>
      <c r="AA107" s="12">
        <v>2.35</v>
      </c>
      <c r="AB107" s="12">
        <v>0</v>
      </c>
      <c r="AC107" s="12"/>
      <c r="AD107" s="12" t="str">
        <f>IFERROR(__xludf.DUMMYFUNCTION("""COMPUTED_VALUE"""),"Common")</f>
        <v>Common</v>
      </c>
      <c r="AE107" s="12"/>
    </row>
    <row r="108" customHeight="1" spans="1:31">
      <c r="A108" s="11" t="s">
        <v>30</v>
      </c>
      <c r="B108" s="11" t="s">
        <v>718</v>
      </c>
      <c r="C108" s="11">
        <v>218</v>
      </c>
      <c r="D108" s="11">
        <v>113</v>
      </c>
      <c r="E108" s="11">
        <v>33</v>
      </c>
      <c r="F108" s="11">
        <v>11000</v>
      </c>
      <c r="G108" s="11">
        <v>40000</v>
      </c>
      <c r="H108" s="11">
        <v>76846624</v>
      </c>
      <c r="I108" s="11" t="s">
        <v>200</v>
      </c>
      <c r="J108" s="11" t="s">
        <v>44</v>
      </c>
      <c r="K108" s="11" t="s">
        <v>106</v>
      </c>
      <c r="L108" s="11" t="s">
        <v>257</v>
      </c>
      <c r="M108" s="11" t="s">
        <v>719</v>
      </c>
      <c r="N108" s="11">
        <v>21352</v>
      </c>
      <c r="O108" s="11">
        <v>80806</v>
      </c>
      <c r="P108" s="11">
        <v>1</v>
      </c>
      <c r="Q108" s="11" t="s">
        <v>720</v>
      </c>
      <c r="R108" s="14" t="s">
        <v>721</v>
      </c>
      <c r="S108" s="11">
        <v>131</v>
      </c>
      <c r="T108" s="11" t="s">
        <v>39</v>
      </c>
      <c r="U108" s="11" t="s">
        <v>40</v>
      </c>
      <c r="V108" s="11" t="s">
        <v>96</v>
      </c>
      <c r="W108" s="11">
        <v>170000000</v>
      </c>
      <c r="X108" s="11">
        <v>2016</v>
      </c>
      <c r="Y108" s="11">
        <v>25000</v>
      </c>
      <c r="Z108" s="11">
        <v>6.4</v>
      </c>
      <c r="AA108" s="11">
        <v>1.85</v>
      </c>
      <c r="AB108" s="11">
        <v>30000</v>
      </c>
      <c r="AC108" s="11"/>
      <c r="AD108" s="11" t="str">
        <f>IFERROR(__xludf.DUMMYFUNCTION("""COMPUTED_VALUE"""),"Jason Statham")</f>
        <v>Jason Statham</v>
      </c>
      <c r="AE108" s="11"/>
    </row>
    <row r="109" customHeight="1" spans="1:31">
      <c r="A109" s="12" t="s">
        <v>30</v>
      </c>
      <c r="B109" s="12" t="s">
        <v>722</v>
      </c>
      <c r="C109" s="12">
        <v>227</v>
      </c>
      <c r="D109" s="12">
        <v>93</v>
      </c>
      <c r="E109" s="12">
        <v>50</v>
      </c>
      <c r="F109" s="12">
        <v>692</v>
      </c>
      <c r="G109" s="12">
        <v>3000</v>
      </c>
      <c r="H109" s="12">
        <v>320706665</v>
      </c>
      <c r="I109" s="12" t="s">
        <v>271</v>
      </c>
      <c r="J109" s="12" t="s">
        <v>723</v>
      </c>
      <c r="K109" s="12" t="s">
        <v>724</v>
      </c>
      <c r="L109" s="12" t="s">
        <v>725</v>
      </c>
      <c r="M109" s="12" t="s">
        <v>726</v>
      </c>
      <c r="N109" s="12">
        <v>211971</v>
      </c>
      <c r="O109" s="12">
        <v>4705</v>
      </c>
      <c r="P109" s="12">
        <v>2</v>
      </c>
      <c r="Q109" s="12" t="s">
        <v>727</v>
      </c>
      <c r="R109" s="15" t="s">
        <v>728</v>
      </c>
      <c r="S109" s="12">
        <v>326</v>
      </c>
      <c r="T109" s="12" t="s">
        <v>39</v>
      </c>
      <c r="U109" s="12" t="s">
        <v>40</v>
      </c>
      <c r="V109" s="12" t="s">
        <v>96</v>
      </c>
      <c r="W109" s="12">
        <v>160000000</v>
      </c>
      <c r="X109" s="12">
        <v>2007</v>
      </c>
      <c r="Y109" s="12">
        <v>795</v>
      </c>
      <c r="Z109" s="12">
        <v>6.1</v>
      </c>
      <c r="AA109" s="12">
        <v>1.85</v>
      </c>
      <c r="AB109" s="12">
        <v>0</v>
      </c>
      <c r="AC109" s="12"/>
      <c r="AD109" s="12" t="str">
        <f>IFERROR(__xludf.DUMMYFUNCTION("""COMPUTED_VALUE"""),"Paul Walker")</f>
        <v>Paul Walker</v>
      </c>
      <c r="AE109" s="12"/>
    </row>
    <row r="110" customHeight="1" spans="1:31">
      <c r="A110" s="11" t="s">
        <v>30</v>
      </c>
      <c r="B110" s="11" t="s">
        <v>729</v>
      </c>
      <c r="C110" s="11">
        <v>275</v>
      </c>
      <c r="D110" s="11">
        <v>123</v>
      </c>
      <c r="E110" s="11">
        <v>0</v>
      </c>
      <c r="F110" s="11">
        <v>648</v>
      </c>
      <c r="G110" s="11">
        <v>3000</v>
      </c>
      <c r="H110" s="11">
        <v>46978995</v>
      </c>
      <c r="I110" s="11" t="s">
        <v>43</v>
      </c>
      <c r="J110" s="11" t="s">
        <v>730</v>
      </c>
      <c r="K110" s="11" t="s">
        <v>731</v>
      </c>
      <c r="L110" s="11" t="s">
        <v>732</v>
      </c>
      <c r="M110" s="11" t="s">
        <v>733</v>
      </c>
      <c r="N110" s="11">
        <v>111609</v>
      </c>
      <c r="O110" s="11">
        <v>5505</v>
      </c>
      <c r="P110" s="11">
        <v>0</v>
      </c>
      <c r="Q110" s="11" t="s">
        <v>734</v>
      </c>
      <c r="R110" s="14" t="s">
        <v>735</v>
      </c>
      <c r="S110" s="11">
        <v>781</v>
      </c>
      <c r="T110" s="11" t="s">
        <v>39</v>
      </c>
      <c r="U110" s="11" t="s">
        <v>40</v>
      </c>
      <c r="V110" s="11" t="s">
        <v>41</v>
      </c>
      <c r="W110" s="11">
        <v>160000000</v>
      </c>
      <c r="X110" s="11">
        <v>2016</v>
      </c>
      <c r="Y110" s="11">
        <v>716</v>
      </c>
      <c r="Z110" s="11">
        <v>7.3</v>
      </c>
      <c r="AA110" s="11">
        <v>2.35</v>
      </c>
      <c r="AB110" s="11">
        <v>89000</v>
      </c>
      <c r="AC110" s="11"/>
      <c r="AD110" s="11" t="str">
        <f>IFERROR(__xludf.DUMMYFUNCTION("""COMPUTED_VALUE"""),"Vin Diesel")</f>
        <v>Vin Diesel</v>
      </c>
      <c r="AE110" s="11"/>
    </row>
    <row r="111" customHeight="1" spans="1:31">
      <c r="A111" s="12" t="s">
        <v>30</v>
      </c>
      <c r="B111" s="12" t="s">
        <v>736</v>
      </c>
      <c r="C111" s="12">
        <v>474</v>
      </c>
      <c r="D111" s="12">
        <v>126</v>
      </c>
      <c r="E111" s="12">
        <v>230</v>
      </c>
      <c r="F111" s="12">
        <v>2000</v>
      </c>
      <c r="G111" s="12">
        <v>24000</v>
      </c>
      <c r="H111" s="12">
        <v>89732035</v>
      </c>
      <c r="I111" s="12" t="s">
        <v>73</v>
      </c>
      <c r="J111" s="12" t="s">
        <v>82</v>
      </c>
      <c r="K111" s="12" t="s">
        <v>737</v>
      </c>
      <c r="L111" s="12" t="s">
        <v>738</v>
      </c>
      <c r="M111" s="12" t="s">
        <v>739</v>
      </c>
      <c r="N111" s="12">
        <v>188457</v>
      </c>
      <c r="O111" s="12">
        <v>38873</v>
      </c>
      <c r="P111" s="12">
        <v>2</v>
      </c>
      <c r="Q111" s="12" t="s">
        <v>740</v>
      </c>
      <c r="R111" s="15" t="s">
        <v>741</v>
      </c>
      <c r="S111" s="12">
        <v>867</v>
      </c>
      <c r="T111" s="12" t="s">
        <v>39</v>
      </c>
      <c r="U111" s="12" t="s">
        <v>40</v>
      </c>
      <c r="V111" s="12" t="s">
        <v>41</v>
      </c>
      <c r="W111" s="12">
        <v>155000000</v>
      </c>
      <c r="X111" s="12">
        <v>2015</v>
      </c>
      <c r="Y111" s="12">
        <v>10000</v>
      </c>
      <c r="Z111" s="12">
        <v>6.6</v>
      </c>
      <c r="AA111" s="12">
        <v>2.35</v>
      </c>
      <c r="AB111" s="12">
        <v>82000</v>
      </c>
      <c r="AC111" s="12"/>
      <c r="AD111" s="12" t="str">
        <f>IFERROR(__xludf.DUMMYFUNCTION("""COMPUTED_VALUE"""),"Peter Capaldi")</f>
        <v>Peter Capaldi</v>
      </c>
      <c r="AE111" s="12"/>
    </row>
    <row r="112" customHeight="1" spans="1:31">
      <c r="A112" s="11" t="s">
        <v>30</v>
      </c>
      <c r="B112" s="11" t="s">
        <v>742</v>
      </c>
      <c r="C112" s="11">
        <v>228</v>
      </c>
      <c r="D112" s="11">
        <v>113</v>
      </c>
      <c r="E112" s="11">
        <v>150</v>
      </c>
      <c r="F112" s="11">
        <v>59</v>
      </c>
      <c r="G112" s="11">
        <v>531</v>
      </c>
      <c r="H112" s="11">
        <v>104383624</v>
      </c>
      <c r="I112" s="11" t="s">
        <v>200</v>
      </c>
      <c r="J112" s="11" t="s">
        <v>743</v>
      </c>
      <c r="K112" s="11" t="s">
        <v>455</v>
      </c>
      <c r="L112" s="11" t="s">
        <v>744</v>
      </c>
      <c r="M112" s="11" t="s">
        <v>745</v>
      </c>
      <c r="N112" s="11">
        <v>106446</v>
      </c>
      <c r="O112" s="11">
        <v>764</v>
      </c>
      <c r="P112" s="11">
        <v>4</v>
      </c>
      <c r="Q112" s="11" t="s">
        <v>746</v>
      </c>
      <c r="R112" s="14" t="s">
        <v>747</v>
      </c>
      <c r="S112" s="11">
        <v>227</v>
      </c>
      <c r="T112" s="11" t="s">
        <v>39</v>
      </c>
      <c r="U112" s="11" t="s">
        <v>40</v>
      </c>
      <c r="V112" s="11" t="s">
        <v>96</v>
      </c>
      <c r="W112" s="11">
        <v>155000000</v>
      </c>
      <c r="X112" s="11">
        <v>2010</v>
      </c>
      <c r="Y112" s="11">
        <v>82</v>
      </c>
      <c r="Z112" s="11">
        <v>6.3</v>
      </c>
      <c r="AA112" s="11">
        <v>1.78</v>
      </c>
      <c r="AB112" s="11">
        <v>11000</v>
      </c>
      <c r="AC112" s="11"/>
      <c r="AD112" s="11" t="str">
        <f>IFERROR(__xludf.DUMMYFUNCTION("""COMPUTED_VALUE"""),"Brad Pitt")</f>
        <v>Brad Pitt</v>
      </c>
      <c r="AE112" s="11"/>
    </row>
    <row r="113" customHeight="1" spans="1:31">
      <c r="A113" s="12" t="s">
        <v>748</v>
      </c>
      <c r="B113" s="12" t="s">
        <v>279</v>
      </c>
      <c r="C113" s="12">
        <v>191</v>
      </c>
      <c r="D113" s="12">
        <v>184</v>
      </c>
      <c r="E113" s="12">
        <v>0</v>
      </c>
      <c r="F113" s="12">
        <v>691</v>
      </c>
      <c r="G113" s="12">
        <v>3000</v>
      </c>
      <c r="H113" s="12">
        <v>198539855</v>
      </c>
      <c r="I113" s="12" t="s">
        <v>749</v>
      </c>
      <c r="J113" s="12" t="s">
        <v>750</v>
      </c>
      <c r="K113" s="12" t="s">
        <v>751</v>
      </c>
      <c r="L113" s="12" t="s">
        <v>752</v>
      </c>
      <c r="M113" s="12" t="s">
        <v>753</v>
      </c>
      <c r="N113" s="12">
        <v>254111</v>
      </c>
      <c r="O113" s="12">
        <v>5401</v>
      </c>
      <c r="P113" s="12">
        <v>0</v>
      </c>
      <c r="Q113" s="12" t="s">
        <v>754</v>
      </c>
      <c r="R113" s="15" t="s">
        <v>755</v>
      </c>
      <c r="S113" s="12">
        <v>1999</v>
      </c>
      <c r="T113" s="12" t="s">
        <v>39</v>
      </c>
      <c r="U113" s="12" t="s">
        <v>40</v>
      </c>
      <c r="V113" s="12" t="s">
        <v>41</v>
      </c>
      <c r="W113" s="12">
        <v>140000000</v>
      </c>
      <c r="X113" s="12">
        <v>2001</v>
      </c>
      <c r="Y113" s="12">
        <v>961</v>
      </c>
      <c r="Z113" s="12">
        <v>6.1</v>
      </c>
      <c r="AA113" s="12">
        <v>2.35</v>
      </c>
      <c r="AB113" s="12">
        <v>0</v>
      </c>
      <c r="AC113" s="12"/>
      <c r="AD113" s="12" t="str">
        <f>IFERROR(__xludf.DUMMYFUNCTION("""COMPUTED_VALUE"""),"Mireille Enos")</f>
        <v>Mireille Enos</v>
      </c>
      <c r="AE113" s="12"/>
    </row>
    <row r="114" customHeight="1" spans="1:31">
      <c r="A114" s="11" t="s">
        <v>30</v>
      </c>
      <c r="B114" s="11" t="s">
        <v>279</v>
      </c>
      <c r="C114" s="11">
        <v>396</v>
      </c>
      <c r="D114" s="11">
        <v>144</v>
      </c>
      <c r="E114" s="11">
        <v>0</v>
      </c>
      <c r="F114" s="11">
        <v>581</v>
      </c>
      <c r="G114" s="11">
        <v>662</v>
      </c>
      <c r="H114" s="11">
        <v>318759914</v>
      </c>
      <c r="I114" s="11" t="s">
        <v>73</v>
      </c>
      <c r="J114" s="11" t="s">
        <v>756</v>
      </c>
      <c r="K114" s="11" t="s">
        <v>757</v>
      </c>
      <c r="L114" s="11" t="s">
        <v>281</v>
      </c>
      <c r="M114" s="11" t="s">
        <v>758</v>
      </c>
      <c r="N114" s="11">
        <v>513158</v>
      </c>
      <c r="O114" s="11">
        <v>2333</v>
      </c>
      <c r="P114" s="11">
        <v>0</v>
      </c>
      <c r="Q114" s="11" t="s">
        <v>759</v>
      </c>
      <c r="R114" s="14" t="s">
        <v>760</v>
      </c>
      <c r="S114" s="11">
        <v>1782</v>
      </c>
      <c r="T114" s="11" t="s">
        <v>39</v>
      </c>
      <c r="U114" s="11" t="s">
        <v>40</v>
      </c>
      <c r="V114" s="11" t="s">
        <v>41</v>
      </c>
      <c r="W114" s="11">
        <v>150000000</v>
      </c>
      <c r="X114" s="11">
        <v>2007</v>
      </c>
      <c r="Y114" s="11">
        <v>599</v>
      </c>
      <c r="Z114" s="11">
        <v>7.1</v>
      </c>
      <c r="AA114" s="11">
        <v>2.35</v>
      </c>
      <c r="AB114" s="11">
        <v>8000</v>
      </c>
      <c r="AC114" s="11"/>
      <c r="AD114" s="11" t="str">
        <f>IFERROR(__xludf.DUMMYFUNCTION("""COMPUTED_VALUE"""),"Jennifer Lawrence")</f>
        <v>Jennifer Lawrence</v>
      </c>
      <c r="AE114" s="11"/>
    </row>
    <row r="115" customHeight="1" spans="1:31">
      <c r="A115" s="12" t="s">
        <v>30</v>
      </c>
      <c r="B115" s="12" t="s">
        <v>761</v>
      </c>
      <c r="C115" s="12">
        <v>248</v>
      </c>
      <c r="D115" s="12">
        <v>206</v>
      </c>
      <c r="E115" s="12">
        <v>0</v>
      </c>
      <c r="F115" s="12">
        <v>591</v>
      </c>
      <c r="G115" s="12">
        <v>12000</v>
      </c>
      <c r="H115" s="12">
        <v>34293771</v>
      </c>
      <c r="I115" s="12" t="s">
        <v>762</v>
      </c>
      <c r="J115" s="12" t="s">
        <v>763</v>
      </c>
      <c r="K115" s="12" t="s">
        <v>565</v>
      </c>
      <c r="L115" s="12" t="s">
        <v>764</v>
      </c>
      <c r="M115" s="12" t="s">
        <v>765</v>
      </c>
      <c r="N115" s="12">
        <v>138863</v>
      </c>
      <c r="O115" s="12">
        <v>24598</v>
      </c>
      <c r="P115" s="12">
        <v>3</v>
      </c>
      <c r="Q115" s="12" t="s">
        <v>766</v>
      </c>
      <c r="R115" s="15" t="s">
        <v>767</v>
      </c>
      <c r="S115" s="12">
        <v>1390</v>
      </c>
      <c r="T115" s="12" t="s">
        <v>39</v>
      </c>
      <c r="U115" s="12" t="s">
        <v>768</v>
      </c>
      <c r="V115" s="12" t="s">
        <v>586</v>
      </c>
      <c r="W115" s="12">
        <v>155000000</v>
      </c>
      <c r="X115" s="12">
        <v>2004</v>
      </c>
      <c r="Y115" s="12">
        <v>11000</v>
      </c>
      <c r="Z115" s="12">
        <v>5.5</v>
      </c>
      <c r="AA115" s="12">
        <v>2.35</v>
      </c>
      <c r="AB115" s="12">
        <v>0</v>
      </c>
      <c r="AC115" s="12"/>
      <c r="AD115" s="12" t="str">
        <f>IFERROR(__xludf.DUMMYFUNCTION("""COMPUTED_VALUE"""),"Benedict Cumberbatch")</f>
        <v>Benedict Cumberbatch</v>
      </c>
      <c r="AE115" s="12"/>
    </row>
    <row r="116" customHeight="1" spans="1:31">
      <c r="A116" s="11" t="s">
        <v>30</v>
      </c>
      <c r="B116" s="11" t="s">
        <v>104</v>
      </c>
      <c r="C116" s="11">
        <v>329</v>
      </c>
      <c r="D116" s="11">
        <v>138</v>
      </c>
      <c r="E116" s="11">
        <v>282</v>
      </c>
      <c r="F116" s="11">
        <v>687</v>
      </c>
      <c r="G116" s="11">
        <v>21000</v>
      </c>
      <c r="H116" s="11">
        <v>292000866</v>
      </c>
      <c r="I116" s="11" t="s">
        <v>105</v>
      </c>
      <c r="J116" s="11" t="s">
        <v>769</v>
      </c>
      <c r="K116" s="11" t="s">
        <v>107</v>
      </c>
      <c r="L116" s="11" t="s">
        <v>770</v>
      </c>
      <c r="M116" s="11" t="s">
        <v>771</v>
      </c>
      <c r="N116" s="11">
        <v>355137</v>
      </c>
      <c r="O116" s="11">
        <v>33433</v>
      </c>
      <c r="P116" s="11">
        <v>3</v>
      </c>
      <c r="Q116" s="11" t="s">
        <v>772</v>
      </c>
      <c r="R116" s="14" t="s">
        <v>773</v>
      </c>
      <c r="S116" s="11">
        <v>1108</v>
      </c>
      <c r="T116" s="11" t="s">
        <v>39</v>
      </c>
      <c r="U116" s="11" t="s">
        <v>58</v>
      </c>
      <c r="V116" s="11" t="s">
        <v>41</v>
      </c>
      <c r="W116" s="11">
        <v>150000000</v>
      </c>
      <c r="X116" s="11">
        <v>2007</v>
      </c>
      <c r="Y116" s="11">
        <v>11000</v>
      </c>
      <c r="Z116" s="11">
        <v>7.5</v>
      </c>
      <c r="AA116" s="11">
        <v>2.35</v>
      </c>
      <c r="AB116" s="11">
        <v>0</v>
      </c>
      <c r="AC116" s="11"/>
      <c r="AD116" s="11" t="str">
        <f>IFERROR(__xludf.DUMMYFUNCTION("""COMPUTED_VALUE"""),"Bruce Greenwood")</f>
        <v>Bruce Greenwood</v>
      </c>
      <c r="AE116" s="11"/>
    </row>
    <row r="117" customHeight="1" spans="1:31">
      <c r="A117" s="12" t="s">
        <v>30</v>
      </c>
      <c r="B117" s="12" t="s">
        <v>372</v>
      </c>
      <c r="C117" s="12">
        <v>295</v>
      </c>
      <c r="D117" s="12">
        <v>157</v>
      </c>
      <c r="E117" s="12">
        <v>179</v>
      </c>
      <c r="F117" s="12">
        <v>10000</v>
      </c>
      <c r="G117" s="12">
        <v>21000</v>
      </c>
      <c r="H117" s="12">
        <v>289994397</v>
      </c>
      <c r="I117" s="12" t="s">
        <v>105</v>
      </c>
      <c r="J117" s="12" t="s">
        <v>769</v>
      </c>
      <c r="K117" s="12" t="s">
        <v>107</v>
      </c>
      <c r="L117" s="12" t="s">
        <v>108</v>
      </c>
      <c r="M117" s="12" t="s">
        <v>774</v>
      </c>
      <c r="N117" s="12">
        <v>385670</v>
      </c>
      <c r="O117" s="12">
        <v>53413</v>
      </c>
      <c r="P117" s="12">
        <v>1</v>
      </c>
      <c r="Q117" s="12" t="s">
        <v>775</v>
      </c>
      <c r="R117" s="15" t="s">
        <v>776</v>
      </c>
      <c r="S117" s="12">
        <v>1896</v>
      </c>
      <c r="T117" s="12" t="s">
        <v>39</v>
      </c>
      <c r="U117" s="12" t="s">
        <v>58</v>
      </c>
      <c r="V117" s="12" t="s">
        <v>41</v>
      </c>
      <c r="W117" s="12">
        <v>150000000</v>
      </c>
      <c r="X117" s="12">
        <v>2005</v>
      </c>
      <c r="Y117" s="12">
        <v>11000</v>
      </c>
      <c r="Z117" s="12">
        <v>7.6</v>
      </c>
      <c r="AA117" s="12">
        <v>2.35</v>
      </c>
      <c r="AB117" s="12">
        <v>0</v>
      </c>
      <c r="AC117" s="12"/>
      <c r="AD117" s="12" t="str">
        <f>IFERROR(__xludf.DUMMYFUNCTION("""COMPUTED_VALUE"""),"Noel Clarke")</f>
        <v>Noel Clarke</v>
      </c>
      <c r="AE117" s="12"/>
    </row>
    <row r="118" customHeight="1" spans="1:31">
      <c r="A118" s="11" t="s">
        <v>30</v>
      </c>
      <c r="B118" s="11" t="s">
        <v>226</v>
      </c>
      <c r="C118" s="11">
        <v>318</v>
      </c>
      <c r="D118" s="11">
        <v>102</v>
      </c>
      <c r="E118" s="11">
        <v>532</v>
      </c>
      <c r="F118" s="11">
        <v>979</v>
      </c>
      <c r="G118" s="11">
        <v>10000</v>
      </c>
      <c r="H118" s="11">
        <v>227946274</v>
      </c>
      <c r="I118" s="11" t="s">
        <v>777</v>
      </c>
      <c r="J118" s="11" t="s">
        <v>166</v>
      </c>
      <c r="K118" s="11" t="s">
        <v>778</v>
      </c>
      <c r="L118" s="11" t="s">
        <v>359</v>
      </c>
      <c r="M118" s="11" t="s">
        <v>779</v>
      </c>
      <c r="N118" s="11">
        <v>343648</v>
      </c>
      <c r="O118" s="11">
        <v>21584</v>
      </c>
      <c r="P118" s="11">
        <v>0</v>
      </c>
      <c r="Q118" s="11" t="s">
        <v>780</v>
      </c>
      <c r="R118" s="14" t="s">
        <v>781</v>
      </c>
      <c r="S118" s="11">
        <v>590</v>
      </c>
      <c r="T118" s="11" t="s">
        <v>39</v>
      </c>
      <c r="U118" s="11" t="s">
        <v>40</v>
      </c>
      <c r="V118" s="11" t="s">
        <v>41</v>
      </c>
      <c r="W118" s="11">
        <v>150000000</v>
      </c>
      <c r="X118" s="11">
        <v>2008</v>
      </c>
      <c r="Y118" s="11">
        <v>9000</v>
      </c>
      <c r="Z118" s="11">
        <v>6.4</v>
      </c>
      <c r="AA118" s="11">
        <v>2.35</v>
      </c>
      <c r="AB118" s="11">
        <v>0</v>
      </c>
      <c r="AC118" s="11"/>
      <c r="AD118" s="11" t="str">
        <f>IFERROR(__xludf.DUMMYFUNCTION("""COMPUTED_VALUE"""),"Eddie Marsan")</f>
        <v>Eddie Marsan</v>
      </c>
      <c r="AE118" s="11"/>
    </row>
    <row r="119" customHeight="1" spans="1:31">
      <c r="A119" s="12" t="s">
        <v>30</v>
      </c>
      <c r="B119" s="12" t="s">
        <v>697</v>
      </c>
      <c r="C119" s="12">
        <v>323</v>
      </c>
      <c r="D119" s="12">
        <v>104</v>
      </c>
      <c r="E119" s="12">
        <v>508</v>
      </c>
      <c r="F119" s="12">
        <v>558</v>
      </c>
      <c r="G119" s="12">
        <v>10000</v>
      </c>
      <c r="H119" s="12">
        <v>256386216</v>
      </c>
      <c r="I119" s="12" t="s">
        <v>782</v>
      </c>
      <c r="J119" s="12" t="s">
        <v>166</v>
      </c>
      <c r="K119" s="12" t="s">
        <v>783</v>
      </c>
      <c r="L119" s="12" t="s">
        <v>784</v>
      </c>
      <c r="M119" s="12" t="s">
        <v>785</v>
      </c>
      <c r="N119" s="12">
        <v>530870</v>
      </c>
      <c r="O119" s="12">
        <v>13076</v>
      </c>
      <c r="P119" s="12">
        <v>0</v>
      </c>
      <c r="Q119" s="12" t="s">
        <v>786</v>
      </c>
      <c r="R119" s="15" t="s">
        <v>787</v>
      </c>
      <c r="S119" s="12">
        <v>1413</v>
      </c>
      <c r="T119" s="12" t="s">
        <v>39</v>
      </c>
      <c r="U119" s="12" t="s">
        <v>40</v>
      </c>
      <c r="V119" s="12" t="s">
        <v>41</v>
      </c>
      <c r="W119" s="12">
        <v>150000000</v>
      </c>
      <c r="X119" s="12">
        <v>2007</v>
      </c>
      <c r="Y119" s="12">
        <v>1000</v>
      </c>
      <c r="Z119" s="12">
        <v>7.2</v>
      </c>
      <c r="AA119" s="12">
        <v>2.35</v>
      </c>
      <c r="AB119" s="12">
        <v>11000</v>
      </c>
      <c r="AC119" s="12"/>
      <c r="AD119" s="12" t="str">
        <f>IFERROR(__xludf.DUMMYFUNCTION("""COMPUTED_VALUE"""),"Ewen Bremner")</f>
        <v>Ewen Bremner</v>
      </c>
      <c r="AE119" s="12"/>
    </row>
    <row r="120" customHeight="1" spans="1:31">
      <c r="A120" s="11" t="s">
        <v>30</v>
      </c>
      <c r="B120" s="11" t="s">
        <v>256</v>
      </c>
      <c r="C120" s="11">
        <v>276</v>
      </c>
      <c r="D120" s="11">
        <v>115</v>
      </c>
      <c r="E120" s="11">
        <v>13000</v>
      </c>
      <c r="F120" s="11">
        <v>588</v>
      </c>
      <c r="G120" s="11">
        <v>40000</v>
      </c>
      <c r="H120" s="11">
        <v>206456431</v>
      </c>
      <c r="I120" s="11" t="s">
        <v>788</v>
      </c>
      <c r="J120" s="11" t="s">
        <v>44</v>
      </c>
      <c r="K120" s="11" t="s">
        <v>201</v>
      </c>
      <c r="L120" s="11" t="s">
        <v>789</v>
      </c>
      <c r="M120" s="11" t="s">
        <v>790</v>
      </c>
      <c r="N120" s="11">
        <v>320284</v>
      </c>
      <c r="O120" s="11">
        <v>57844</v>
      </c>
      <c r="P120" s="11">
        <v>3</v>
      </c>
      <c r="Q120" s="11" t="s">
        <v>791</v>
      </c>
      <c r="R120" s="14" t="s">
        <v>792</v>
      </c>
      <c r="S120" s="11">
        <v>1361</v>
      </c>
      <c r="T120" s="11" t="s">
        <v>39</v>
      </c>
      <c r="U120" s="11" t="s">
        <v>40</v>
      </c>
      <c r="V120" s="11" t="s">
        <v>96</v>
      </c>
      <c r="W120" s="11">
        <v>150000000</v>
      </c>
      <c r="X120" s="11">
        <v>2005</v>
      </c>
      <c r="Y120" s="11">
        <v>16000</v>
      </c>
      <c r="Z120" s="11">
        <v>6.7</v>
      </c>
      <c r="AA120" s="11">
        <v>1.85</v>
      </c>
      <c r="AB120" s="11">
        <v>0</v>
      </c>
      <c r="AC120" s="11"/>
      <c r="AD120" s="11" t="str">
        <f>IFERROR(__xludf.DUMMYFUNCTION("""COMPUTED_VALUE"""),"Ralph Brown")</f>
        <v>Ralph Brown</v>
      </c>
      <c r="AE120" s="11"/>
    </row>
    <row r="121" customHeight="1" spans="1:31">
      <c r="A121" s="12" t="s">
        <v>30</v>
      </c>
      <c r="B121" s="12" t="s">
        <v>605</v>
      </c>
      <c r="C121" s="12">
        <v>318</v>
      </c>
      <c r="D121" s="12">
        <v>111</v>
      </c>
      <c r="E121" s="12">
        <v>663</v>
      </c>
      <c r="F121" s="12">
        <v>954</v>
      </c>
      <c r="G121" s="12">
        <v>1000</v>
      </c>
      <c r="H121" s="12">
        <v>206435493</v>
      </c>
      <c r="I121" s="12" t="s">
        <v>793</v>
      </c>
      <c r="J121" s="12" t="s">
        <v>794</v>
      </c>
      <c r="K121" s="12" t="s">
        <v>323</v>
      </c>
      <c r="L121" s="12" t="s">
        <v>795</v>
      </c>
      <c r="M121" s="12" t="s">
        <v>796</v>
      </c>
      <c r="N121" s="12">
        <v>473887</v>
      </c>
      <c r="O121" s="12">
        <v>4764</v>
      </c>
      <c r="P121" s="12">
        <v>0</v>
      </c>
      <c r="Q121" s="12" t="s">
        <v>797</v>
      </c>
      <c r="R121" s="15" t="s">
        <v>798</v>
      </c>
      <c r="S121" s="12">
        <v>626</v>
      </c>
      <c r="T121" s="12" t="s">
        <v>39</v>
      </c>
      <c r="U121" s="12" t="s">
        <v>40</v>
      </c>
      <c r="V121" s="12" t="s">
        <v>278</v>
      </c>
      <c r="W121" s="12">
        <v>150000000</v>
      </c>
      <c r="X121" s="12">
        <v>2007</v>
      </c>
      <c r="Y121" s="12">
        <v>1000</v>
      </c>
      <c r="Z121" s="12">
        <v>8</v>
      </c>
      <c r="AA121" s="12">
        <v>2.35</v>
      </c>
      <c r="AB121" s="12">
        <v>10000</v>
      </c>
      <c r="AC121" s="12"/>
      <c r="AD121" s="12" t="str">
        <f>IFERROR(__xludf.DUMMYFUNCTION("""COMPUTED_VALUE"""),"Elizabeth Debicki")</f>
        <v>Elizabeth Debicki</v>
      </c>
      <c r="AE121" s="12"/>
    </row>
    <row r="122" customHeight="1" spans="1:31">
      <c r="A122" s="11" t="s">
        <v>30</v>
      </c>
      <c r="B122" s="11" t="s">
        <v>59</v>
      </c>
      <c r="C122" s="11">
        <v>478</v>
      </c>
      <c r="D122" s="11">
        <v>128</v>
      </c>
      <c r="E122" s="11">
        <v>22000</v>
      </c>
      <c r="F122" s="11">
        <v>11000</v>
      </c>
      <c r="G122" s="11">
        <v>23000</v>
      </c>
      <c r="H122" s="11">
        <v>205343774</v>
      </c>
      <c r="I122" s="11" t="s">
        <v>127</v>
      </c>
      <c r="J122" s="11" t="s">
        <v>62</v>
      </c>
      <c r="K122" s="11" t="s">
        <v>228</v>
      </c>
      <c r="L122" s="11" t="s">
        <v>466</v>
      </c>
      <c r="M122" s="11" t="s">
        <v>799</v>
      </c>
      <c r="N122" s="11">
        <v>980946</v>
      </c>
      <c r="O122" s="11">
        <v>59558</v>
      </c>
      <c r="P122" s="11">
        <v>0</v>
      </c>
      <c r="Q122" s="11" t="s">
        <v>800</v>
      </c>
      <c r="R122" s="14" t="s">
        <v>801</v>
      </c>
      <c r="S122" s="11">
        <v>2685</v>
      </c>
      <c r="T122" s="11" t="s">
        <v>39</v>
      </c>
      <c r="U122" s="11" t="s">
        <v>40</v>
      </c>
      <c r="V122" s="11" t="s">
        <v>41</v>
      </c>
      <c r="W122" s="11">
        <v>150000000</v>
      </c>
      <c r="X122" s="11">
        <v>2005</v>
      </c>
      <c r="Y122" s="11">
        <v>14000</v>
      </c>
      <c r="Z122" s="11">
        <v>8.3</v>
      </c>
      <c r="AA122" s="11">
        <v>2.35</v>
      </c>
      <c r="AB122" s="11">
        <v>15000</v>
      </c>
      <c r="AC122" s="11"/>
      <c r="AD122" s="11" t="str">
        <f>IFERROR(__xludf.DUMMYFUNCTION("""COMPUTED_VALUE"""),"Steve Bisley")</f>
        <v>Steve Bisley</v>
      </c>
      <c r="AE122" s="11"/>
    </row>
    <row r="123" customHeight="1" spans="1:31">
      <c r="A123" s="12" t="s">
        <v>30</v>
      </c>
      <c r="B123" s="12" t="s">
        <v>802</v>
      </c>
      <c r="C123" s="12">
        <v>167</v>
      </c>
      <c r="D123" s="12">
        <v>89</v>
      </c>
      <c r="E123" s="12">
        <v>35</v>
      </c>
      <c r="F123" s="12">
        <v>436</v>
      </c>
      <c r="G123" s="12">
        <v>1000</v>
      </c>
      <c r="H123" s="12">
        <v>179982968</v>
      </c>
      <c r="I123" s="12" t="s">
        <v>803</v>
      </c>
      <c r="J123" s="12" t="s">
        <v>804</v>
      </c>
      <c r="K123" s="12" t="s">
        <v>805</v>
      </c>
      <c r="L123" s="12" t="s">
        <v>806</v>
      </c>
      <c r="M123" s="12" t="s">
        <v>807</v>
      </c>
      <c r="N123" s="12">
        <v>146019</v>
      </c>
      <c r="O123" s="12">
        <v>3285</v>
      </c>
      <c r="P123" s="12">
        <v>0</v>
      </c>
      <c r="Q123" s="12" t="s">
        <v>808</v>
      </c>
      <c r="R123" s="15" t="s">
        <v>809</v>
      </c>
      <c r="S123" s="12">
        <v>119</v>
      </c>
      <c r="T123" s="12" t="s">
        <v>39</v>
      </c>
      <c r="U123" s="12" t="s">
        <v>40</v>
      </c>
      <c r="V123" s="12" t="s">
        <v>96</v>
      </c>
      <c r="W123" s="12">
        <v>150000000</v>
      </c>
      <c r="X123" s="12">
        <v>2008</v>
      </c>
      <c r="Y123" s="12">
        <v>851</v>
      </c>
      <c r="Z123" s="12">
        <v>6.7</v>
      </c>
      <c r="AA123" s="12">
        <v>1.85</v>
      </c>
      <c r="AB123" s="12">
        <v>0</v>
      </c>
      <c r="AC123" s="12"/>
      <c r="AD123" s="12" t="str">
        <f>IFERROR(__xludf.DUMMYFUNCTION("""COMPUTED_VALUE"""),"Jake Gyllenhaal")</f>
        <v>Jake Gyllenhaal</v>
      </c>
      <c r="AE123" s="12"/>
    </row>
    <row r="124" customHeight="1" spans="1:31">
      <c r="A124" s="11" t="s">
        <v>30</v>
      </c>
      <c r="B124" s="11" t="s">
        <v>810</v>
      </c>
      <c r="C124" s="11">
        <v>185</v>
      </c>
      <c r="D124" s="11">
        <v>105</v>
      </c>
      <c r="E124" s="11">
        <v>189</v>
      </c>
      <c r="F124" s="11">
        <v>1000</v>
      </c>
      <c r="G124" s="11">
        <v>49000</v>
      </c>
      <c r="H124" s="11">
        <v>177243721</v>
      </c>
      <c r="I124" s="11" t="s">
        <v>788</v>
      </c>
      <c r="J124" s="11" t="s">
        <v>811</v>
      </c>
      <c r="K124" s="11" t="s">
        <v>812</v>
      </c>
      <c r="L124" s="11" t="s">
        <v>813</v>
      </c>
      <c r="M124" s="11" t="s">
        <v>814</v>
      </c>
      <c r="N124" s="11">
        <v>130272</v>
      </c>
      <c r="O124" s="11">
        <v>54039</v>
      </c>
      <c r="P124" s="11">
        <v>2</v>
      </c>
      <c r="Q124" s="11" t="s">
        <v>815</v>
      </c>
      <c r="R124" s="14" t="s">
        <v>816</v>
      </c>
      <c r="S124" s="11">
        <v>209</v>
      </c>
      <c r="T124" s="11" t="s">
        <v>39</v>
      </c>
      <c r="U124" s="11" t="s">
        <v>40</v>
      </c>
      <c r="V124" s="11" t="s">
        <v>96</v>
      </c>
      <c r="W124" s="11">
        <v>150000000</v>
      </c>
      <c r="X124" s="11">
        <v>2009</v>
      </c>
      <c r="Y124" s="11">
        <v>3000</v>
      </c>
      <c r="Z124" s="11">
        <v>5.9</v>
      </c>
      <c r="AA124" s="11">
        <v>2.35</v>
      </c>
      <c r="AB124" s="11">
        <v>2000</v>
      </c>
      <c r="AC124" s="11"/>
      <c r="AD124" s="11" t="str">
        <f>IFERROR(__xludf.DUMMYFUNCTION("""COMPUTED_VALUE"""),"Richard Coyle")</f>
        <v>Richard Coyle</v>
      </c>
      <c r="AE124" s="11"/>
    </row>
    <row r="125" customHeight="1" spans="1:31">
      <c r="A125" s="12" t="s">
        <v>30</v>
      </c>
      <c r="B125" s="12" t="s">
        <v>817</v>
      </c>
      <c r="C125" s="12">
        <v>350</v>
      </c>
      <c r="D125" s="12">
        <v>119</v>
      </c>
      <c r="E125" s="12">
        <v>151</v>
      </c>
      <c r="F125" s="12">
        <v>2000</v>
      </c>
      <c r="G125" s="12">
        <v>20000</v>
      </c>
      <c r="H125" s="12">
        <v>179883016</v>
      </c>
      <c r="I125" s="12" t="s">
        <v>262</v>
      </c>
      <c r="J125" s="12" t="s">
        <v>263</v>
      </c>
      <c r="K125" s="12" t="s">
        <v>315</v>
      </c>
      <c r="L125" s="12" t="s">
        <v>818</v>
      </c>
      <c r="M125" s="12" t="s">
        <v>819</v>
      </c>
      <c r="N125" s="12">
        <v>361924</v>
      </c>
      <c r="O125" s="12">
        <v>40054</v>
      </c>
      <c r="P125" s="12">
        <v>0</v>
      </c>
      <c r="Q125" s="12" t="s">
        <v>820</v>
      </c>
      <c r="R125" s="15" t="s">
        <v>821</v>
      </c>
      <c r="S125" s="12">
        <v>641</v>
      </c>
      <c r="T125" s="12" t="s">
        <v>39</v>
      </c>
      <c r="U125" s="12" t="s">
        <v>40</v>
      </c>
      <c r="V125" s="12" t="s">
        <v>41</v>
      </c>
      <c r="W125" s="12">
        <v>150000000</v>
      </c>
      <c r="X125" s="12">
        <v>2009</v>
      </c>
      <c r="Y125" s="12">
        <v>16000</v>
      </c>
      <c r="Z125" s="12">
        <v>6.7</v>
      </c>
      <c r="AA125" s="12">
        <v>2.35</v>
      </c>
      <c r="AB125" s="12">
        <v>0</v>
      </c>
      <c r="AC125" s="12"/>
      <c r="AD125" s="12" t="str">
        <f>IFERROR(__xludf.DUMMYFUNCTION("""COMPUTED_VALUE"""),"Reece Ritchie")</f>
        <v>Reece Ritchie</v>
      </c>
      <c r="AE125" s="12"/>
    </row>
    <row r="126" customHeight="1" spans="1:31">
      <c r="A126" s="11" t="s">
        <v>30</v>
      </c>
      <c r="B126" s="11" t="s">
        <v>444</v>
      </c>
      <c r="C126" s="11">
        <v>245</v>
      </c>
      <c r="D126" s="11">
        <v>129</v>
      </c>
      <c r="E126" s="11">
        <v>0</v>
      </c>
      <c r="F126" s="11">
        <v>233</v>
      </c>
      <c r="G126" s="11">
        <v>309</v>
      </c>
      <c r="H126" s="11">
        <v>139259759</v>
      </c>
      <c r="I126" s="11" t="s">
        <v>648</v>
      </c>
      <c r="J126" s="11" t="s">
        <v>822</v>
      </c>
      <c r="K126" s="11" t="s">
        <v>823</v>
      </c>
      <c r="L126" s="11" t="s">
        <v>824</v>
      </c>
      <c r="M126" s="11" t="s">
        <v>825</v>
      </c>
      <c r="N126" s="11">
        <v>364948</v>
      </c>
      <c r="O126" s="11">
        <v>1062</v>
      </c>
      <c r="P126" s="11">
        <v>0</v>
      </c>
      <c r="Q126" s="11" t="s">
        <v>826</v>
      </c>
      <c r="R126" s="14" t="s">
        <v>827</v>
      </c>
      <c r="S126" s="11">
        <v>2121</v>
      </c>
      <c r="T126" s="11" t="s">
        <v>39</v>
      </c>
      <c r="U126" s="11" t="s">
        <v>371</v>
      </c>
      <c r="V126" s="11" t="s">
        <v>586</v>
      </c>
      <c r="W126" s="11">
        <v>150000000</v>
      </c>
      <c r="X126" s="11">
        <v>2003</v>
      </c>
      <c r="Y126" s="11">
        <v>269</v>
      </c>
      <c r="Z126" s="11">
        <v>6.7</v>
      </c>
      <c r="AA126" s="11">
        <v>2.35</v>
      </c>
      <c r="AB126" s="11">
        <v>0</v>
      </c>
      <c r="AC126" s="11"/>
      <c r="AD126" s="11" t="str">
        <f>IFERROR(__xludf.DUMMYFUNCTION("""COMPUTED_VALUE"""),"Charlie Hunnam")</f>
        <v>Charlie Hunnam</v>
      </c>
      <c r="AE126" s="11"/>
    </row>
    <row r="127" customHeight="1" spans="1:31">
      <c r="A127" s="12" t="s">
        <v>30</v>
      </c>
      <c r="B127" s="12" t="s">
        <v>828</v>
      </c>
      <c r="C127" s="12">
        <v>406</v>
      </c>
      <c r="D127" s="12">
        <v>102</v>
      </c>
      <c r="E127" s="12">
        <v>69</v>
      </c>
      <c r="F127" s="12">
        <v>490</v>
      </c>
      <c r="G127" s="12">
        <v>1000</v>
      </c>
      <c r="H127" s="12">
        <v>400736600</v>
      </c>
      <c r="I127" s="12" t="s">
        <v>829</v>
      </c>
      <c r="J127" s="12" t="s">
        <v>830</v>
      </c>
      <c r="K127" s="12" t="s">
        <v>831</v>
      </c>
      <c r="L127" s="12" t="s">
        <v>832</v>
      </c>
      <c r="M127" s="12" t="s">
        <v>833</v>
      </c>
      <c r="N127" s="12">
        <v>421658</v>
      </c>
      <c r="O127" s="12">
        <v>2582</v>
      </c>
      <c r="P127" s="12">
        <v>0</v>
      </c>
      <c r="Q127" s="12" t="s">
        <v>834</v>
      </c>
      <c r="R127" s="15" t="s">
        <v>835</v>
      </c>
      <c r="S127" s="12">
        <v>904</v>
      </c>
      <c r="T127" s="12" t="s">
        <v>39</v>
      </c>
      <c r="U127" s="12" t="s">
        <v>40</v>
      </c>
      <c r="V127" s="12" t="s">
        <v>96</v>
      </c>
      <c r="W127" s="12">
        <v>150000000</v>
      </c>
      <c r="X127" s="12">
        <v>2013</v>
      </c>
      <c r="Y127" s="12">
        <v>523</v>
      </c>
      <c r="Z127" s="12">
        <v>7.6</v>
      </c>
      <c r="AA127" s="12">
        <v>2.24</v>
      </c>
      <c r="AB127" s="12">
        <v>58000</v>
      </c>
      <c r="AC127" s="12"/>
      <c r="AD127" s="12" t="str">
        <f>IFERROR(__xludf.DUMMYFUNCTION("""COMPUTED_VALUE"""),"Clifton Collins Jr.")</f>
        <v>Clifton Collins Jr.</v>
      </c>
      <c r="AE127" s="12"/>
    </row>
    <row r="128" customHeight="1" spans="1:31">
      <c r="A128" s="11" t="s">
        <v>30</v>
      </c>
      <c r="B128" s="11" t="s">
        <v>444</v>
      </c>
      <c r="C128" s="11">
        <v>275</v>
      </c>
      <c r="D128" s="11">
        <v>138</v>
      </c>
      <c r="E128" s="11">
        <v>0</v>
      </c>
      <c r="F128" s="11">
        <v>30</v>
      </c>
      <c r="G128" s="11">
        <v>234</v>
      </c>
      <c r="H128" s="11">
        <v>281492479</v>
      </c>
      <c r="I128" s="11" t="s">
        <v>648</v>
      </c>
      <c r="J128" s="11" t="s">
        <v>836</v>
      </c>
      <c r="K128" s="11" t="s">
        <v>837</v>
      </c>
      <c r="L128" s="11" t="s">
        <v>838</v>
      </c>
      <c r="M128" s="11" t="s">
        <v>839</v>
      </c>
      <c r="N128" s="11">
        <v>421818</v>
      </c>
      <c r="O128" s="11">
        <v>534</v>
      </c>
      <c r="P128" s="11">
        <v>0</v>
      </c>
      <c r="Q128" s="11" t="s">
        <v>840</v>
      </c>
      <c r="R128" s="14" t="s">
        <v>841</v>
      </c>
      <c r="S128" s="11">
        <v>2789</v>
      </c>
      <c r="T128" s="11" t="s">
        <v>39</v>
      </c>
      <c r="U128" s="11" t="s">
        <v>40</v>
      </c>
      <c r="V128" s="11" t="s">
        <v>586</v>
      </c>
      <c r="W128" s="11">
        <v>150000000</v>
      </c>
      <c r="X128" s="11">
        <v>2003</v>
      </c>
      <c r="Y128" s="11">
        <v>198</v>
      </c>
      <c r="Z128" s="11">
        <v>7.2</v>
      </c>
      <c r="AA128" s="11">
        <v>2.35</v>
      </c>
      <c r="AB128" s="11">
        <v>0</v>
      </c>
      <c r="AC128" s="11"/>
      <c r="AD128" s="11" t="str">
        <f>IFERROR(__xludf.DUMMYFUNCTION("""COMPUTED_VALUE"""),"Larry Joe Campbell")</f>
        <v>Larry Joe Campbell</v>
      </c>
      <c r="AE128" s="11"/>
    </row>
    <row r="129" customHeight="1" spans="1:31">
      <c r="A129" s="12" t="s">
        <v>30</v>
      </c>
      <c r="B129" s="12" t="s">
        <v>736</v>
      </c>
      <c r="C129" s="12">
        <v>486</v>
      </c>
      <c r="D129" s="12">
        <v>112</v>
      </c>
      <c r="E129" s="12">
        <v>230</v>
      </c>
      <c r="F129" s="12">
        <v>12000</v>
      </c>
      <c r="G129" s="12">
        <v>26000</v>
      </c>
      <c r="H129" s="12">
        <v>206360018</v>
      </c>
      <c r="I129" s="12" t="s">
        <v>43</v>
      </c>
      <c r="J129" s="12" t="s">
        <v>98</v>
      </c>
      <c r="K129" s="12" t="s">
        <v>842</v>
      </c>
      <c r="L129" s="12" t="s">
        <v>763</v>
      </c>
      <c r="M129" s="12" t="s">
        <v>843</v>
      </c>
      <c r="N129" s="12">
        <v>414070</v>
      </c>
      <c r="O129" s="12">
        <v>59803</v>
      </c>
      <c r="P129" s="12">
        <v>3</v>
      </c>
      <c r="Q129" s="12" t="s">
        <v>844</v>
      </c>
      <c r="R129" s="15" t="s">
        <v>845</v>
      </c>
      <c r="S129" s="12">
        <v>532</v>
      </c>
      <c r="T129" s="12" t="s">
        <v>39</v>
      </c>
      <c r="U129" s="12" t="s">
        <v>40</v>
      </c>
      <c r="V129" s="12" t="s">
        <v>41</v>
      </c>
      <c r="W129" s="12">
        <v>170000000</v>
      </c>
      <c r="X129" s="12">
        <v>2013</v>
      </c>
      <c r="Y129" s="12">
        <v>20000</v>
      </c>
      <c r="Z129" s="12">
        <v>7.1</v>
      </c>
      <c r="AA129" s="12">
        <v>2.35</v>
      </c>
      <c r="AB129" s="12">
        <v>63000</v>
      </c>
      <c r="AC129" s="12"/>
      <c r="AD129" s="12" t="str">
        <f>IFERROR(__xludf.DUMMYFUNCTION("""COMPUTED_VALUE"""),"Lester Speight")</f>
        <v>Lester Speight</v>
      </c>
      <c r="AE129" s="12"/>
    </row>
    <row r="130" customHeight="1" spans="1:31">
      <c r="A130" s="11" t="s">
        <v>30</v>
      </c>
      <c r="B130" s="11" t="s">
        <v>846</v>
      </c>
      <c r="C130" s="11">
        <v>739</v>
      </c>
      <c r="D130" s="11">
        <v>120</v>
      </c>
      <c r="E130" s="11">
        <v>750</v>
      </c>
      <c r="F130" s="11">
        <v>943</v>
      </c>
      <c r="G130" s="11">
        <v>27000</v>
      </c>
      <c r="H130" s="11">
        <v>153629485</v>
      </c>
      <c r="I130" s="11" t="s">
        <v>227</v>
      </c>
      <c r="J130" s="11" t="s">
        <v>61</v>
      </c>
      <c r="K130" s="11" t="s">
        <v>778</v>
      </c>
      <c r="L130" s="11" t="s">
        <v>847</v>
      </c>
      <c r="M130" s="11" t="s">
        <v>848</v>
      </c>
      <c r="N130" s="11">
        <v>552503</v>
      </c>
      <c r="O130" s="11">
        <v>40025</v>
      </c>
      <c r="P130" s="11">
        <v>0</v>
      </c>
      <c r="Q130" s="11" t="s">
        <v>849</v>
      </c>
      <c r="R130" s="14" t="s">
        <v>850</v>
      </c>
      <c r="S130" s="11">
        <v>1588</v>
      </c>
      <c r="T130" s="11" t="s">
        <v>39</v>
      </c>
      <c r="U130" s="11" t="s">
        <v>371</v>
      </c>
      <c r="V130" s="11" t="s">
        <v>586</v>
      </c>
      <c r="W130" s="11">
        <v>150000000</v>
      </c>
      <c r="X130" s="11">
        <v>2015</v>
      </c>
      <c r="Y130" s="11">
        <v>9000</v>
      </c>
      <c r="Z130" s="11">
        <v>8.1</v>
      </c>
      <c r="AA130" s="11">
        <v>2.35</v>
      </c>
      <c r="AB130" s="11">
        <v>191000</v>
      </c>
      <c r="AC130" s="11"/>
      <c r="AD130" s="11" t="str">
        <f>IFERROR(__xludf.DUMMYFUNCTION("""COMPUTED_VALUE"""),"Harrison Ford")</f>
        <v>Harrison Ford</v>
      </c>
      <c r="AE130" s="11"/>
    </row>
    <row r="131" customHeight="1" spans="1:31">
      <c r="A131" s="12" t="s">
        <v>30</v>
      </c>
      <c r="B131" s="12" t="s">
        <v>851</v>
      </c>
      <c r="C131" s="12">
        <v>298</v>
      </c>
      <c r="D131" s="12">
        <v>146</v>
      </c>
      <c r="E131" s="12">
        <v>2000</v>
      </c>
      <c r="F131" s="12">
        <v>294</v>
      </c>
      <c r="G131" s="12">
        <v>15000</v>
      </c>
      <c r="H131" s="12">
        <v>133375846</v>
      </c>
      <c r="I131" s="12" t="s">
        <v>852</v>
      </c>
      <c r="J131" s="12" t="s">
        <v>322</v>
      </c>
      <c r="K131" s="12" t="s">
        <v>853</v>
      </c>
      <c r="L131" s="12" t="s">
        <v>854</v>
      </c>
      <c r="M131" s="12" t="s">
        <v>855</v>
      </c>
      <c r="N131" s="12">
        <v>207839</v>
      </c>
      <c r="O131" s="12">
        <v>16948</v>
      </c>
      <c r="P131" s="12">
        <v>2</v>
      </c>
      <c r="Q131" s="12" t="s">
        <v>856</v>
      </c>
      <c r="R131" s="15" t="s">
        <v>857</v>
      </c>
      <c r="S131" s="12">
        <v>435</v>
      </c>
      <c r="T131" s="12" t="s">
        <v>39</v>
      </c>
      <c r="U131" s="12" t="s">
        <v>40</v>
      </c>
      <c r="V131" s="12" t="s">
        <v>41</v>
      </c>
      <c r="W131" s="12">
        <v>150000000</v>
      </c>
      <c r="X131" s="12">
        <v>2009</v>
      </c>
      <c r="Y131" s="12">
        <v>745</v>
      </c>
      <c r="Z131" s="12">
        <v>6.7</v>
      </c>
      <c r="AA131" s="12">
        <v>2.35</v>
      </c>
      <c r="AB131" s="12">
        <v>0</v>
      </c>
      <c r="AC131" s="12"/>
      <c r="AD131" s="12" t="str">
        <f>IFERROR(__xludf.DUMMYFUNCTION("""COMPUTED_VALUE"""),"Ray Winstone")</f>
        <v>Ray Winstone</v>
      </c>
      <c r="AE131" s="12"/>
    </row>
    <row r="132" customHeight="1" spans="1:31">
      <c r="A132" s="11" t="s">
        <v>30</v>
      </c>
      <c r="B132" s="11" t="s">
        <v>858</v>
      </c>
      <c r="C132" s="11">
        <v>516</v>
      </c>
      <c r="D132" s="11">
        <v>115</v>
      </c>
      <c r="E132" s="11">
        <v>0</v>
      </c>
      <c r="F132" s="11">
        <v>12000</v>
      </c>
      <c r="G132" s="11">
        <v>26000</v>
      </c>
      <c r="H132" s="11">
        <v>181015141</v>
      </c>
      <c r="I132" s="11" t="s">
        <v>43</v>
      </c>
      <c r="J132" s="11" t="s">
        <v>98</v>
      </c>
      <c r="K132" s="11" t="s">
        <v>842</v>
      </c>
      <c r="L132" s="11" t="s">
        <v>763</v>
      </c>
      <c r="M132" s="11" t="s">
        <v>859</v>
      </c>
      <c r="N132" s="11">
        <v>536314</v>
      </c>
      <c r="O132" s="11">
        <v>60059</v>
      </c>
      <c r="P132" s="11">
        <v>1</v>
      </c>
      <c r="Q132" s="11" t="s">
        <v>860</v>
      </c>
      <c r="R132" s="14" t="s">
        <v>861</v>
      </c>
      <c r="S132" s="11">
        <v>738</v>
      </c>
      <c r="T132" s="11" t="s">
        <v>39</v>
      </c>
      <c r="U132" s="11" t="s">
        <v>40</v>
      </c>
      <c r="V132" s="11" t="s">
        <v>41</v>
      </c>
      <c r="W132" s="11">
        <v>150000000</v>
      </c>
      <c r="X132" s="11">
        <v>2011</v>
      </c>
      <c r="Y132" s="11">
        <v>20000</v>
      </c>
      <c r="Z132" s="11">
        <v>7</v>
      </c>
      <c r="AA132" s="11">
        <v>2.35</v>
      </c>
      <c r="AB132" s="11">
        <v>63000</v>
      </c>
      <c r="AC132" s="11"/>
      <c r="AD132" s="11" t="str">
        <f>IFERROR(__xludf.DUMMYFUNCTION("""COMPUTED_VALUE"""),"Jim Broadbent")</f>
        <v>Jim Broadbent</v>
      </c>
      <c r="AE132" s="11"/>
    </row>
    <row r="133" customHeight="1" spans="1:31">
      <c r="A133" s="12" t="s">
        <v>30</v>
      </c>
      <c r="B133" s="12" t="s">
        <v>862</v>
      </c>
      <c r="C133" s="12">
        <v>225</v>
      </c>
      <c r="D133" s="12">
        <v>96</v>
      </c>
      <c r="E133" s="12">
        <v>59</v>
      </c>
      <c r="F133" s="12">
        <v>699</v>
      </c>
      <c r="G133" s="12">
        <v>17000</v>
      </c>
      <c r="H133" s="12">
        <v>114053579</v>
      </c>
      <c r="I133" s="12" t="s">
        <v>863</v>
      </c>
      <c r="J133" s="12" t="s">
        <v>490</v>
      </c>
      <c r="K133" s="12" t="s">
        <v>864</v>
      </c>
      <c r="L133" s="12" t="s">
        <v>865</v>
      </c>
      <c r="M133" s="12" t="s">
        <v>866</v>
      </c>
      <c r="N133" s="12">
        <v>146766</v>
      </c>
      <c r="O133" s="12">
        <v>20007</v>
      </c>
      <c r="P133" s="12">
        <v>0</v>
      </c>
      <c r="Q133" s="12" t="s">
        <v>867</v>
      </c>
      <c r="R133" s="15" t="s">
        <v>868</v>
      </c>
      <c r="S133" s="12">
        <v>178</v>
      </c>
      <c r="T133" s="12" t="s">
        <v>39</v>
      </c>
      <c r="U133" s="12" t="s">
        <v>40</v>
      </c>
      <c r="V133" s="12" t="s">
        <v>96</v>
      </c>
      <c r="W133" s="12">
        <v>150000000</v>
      </c>
      <c r="X133" s="12">
        <v>2008</v>
      </c>
      <c r="Y133" s="12">
        <v>759</v>
      </c>
      <c r="Z133" s="12">
        <v>6.9</v>
      </c>
      <c r="AA133" s="12">
        <v>1.85</v>
      </c>
      <c r="AB133" s="12">
        <v>0</v>
      </c>
      <c r="AC133" s="12"/>
      <c r="AD133" s="12" t="str">
        <f>IFERROR(__xludf.DUMMYFUNCTION("""COMPUTED_VALUE"""),"A.J. Buckley")</f>
        <v>A.J. Buckley</v>
      </c>
      <c r="AE133" s="12"/>
    </row>
    <row r="134" customHeight="1" spans="1:31">
      <c r="A134" s="11" t="s">
        <v>30</v>
      </c>
      <c r="B134" s="11" t="s">
        <v>869</v>
      </c>
      <c r="C134" s="11">
        <v>145</v>
      </c>
      <c r="D134" s="11">
        <v>88</v>
      </c>
      <c r="E134" s="11">
        <v>12</v>
      </c>
      <c r="F134" s="11">
        <v>182</v>
      </c>
      <c r="G134" s="11">
        <v>730</v>
      </c>
      <c r="H134" s="11">
        <v>119420252</v>
      </c>
      <c r="I134" s="11" t="s">
        <v>870</v>
      </c>
      <c r="J134" s="11" t="s">
        <v>871</v>
      </c>
      <c r="K134" s="11" t="s">
        <v>872</v>
      </c>
      <c r="L134" s="11" t="s">
        <v>873</v>
      </c>
      <c r="M134" s="11" t="s">
        <v>874</v>
      </c>
      <c r="N134" s="11">
        <v>33042</v>
      </c>
      <c r="O134" s="11">
        <v>2217</v>
      </c>
      <c r="P134" s="11">
        <v>0</v>
      </c>
      <c r="Q134" s="11" t="s">
        <v>875</v>
      </c>
      <c r="R134" s="14" t="s">
        <v>876</v>
      </c>
      <c r="S134" s="11">
        <v>90</v>
      </c>
      <c r="T134" s="11" t="s">
        <v>39</v>
      </c>
      <c r="U134" s="11" t="s">
        <v>40</v>
      </c>
      <c r="V134" s="11" t="s">
        <v>96</v>
      </c>
      <c r="W134" s="11">
        <v>150000000</v>
      </c>
      <c r="X134" s="11">
        <v>2009</v>
      </c>
      <c r="Y134" s="11">
        <v>607</v>
      </c>
      <c r="Z134" s="11">
        <v>5.1</v>
      </c>
      <c r="AA134" s="11">
        <v>2.35</v>
      </c>
      <c r="AB134" s="11">
        <v>0</v>
      </c>
      <c r="AC134" s="11"/>
      <c r="AD134" s="11" t="str">
        <f>IFERROR(__xludf.DUMMYFUNCTION("""COMPUTED_VALUE"""),"Jack McGraw")</f>
        <v>Jack McGraw</v>
      </c>
      <c r="AE134" s="11"/>
    </row>
    <row r="135" customHeight="1" spans="1:31">
      <c r="A135" s="12" t="s">
        <v>30</v>
      </c>
      <c r="B135" s="12" t="s">
        <v>877</v>
      </c>
      <c r="C135" s="12">
        <v>310</v>
      </c>
      <c r="D135" s="12">
        <v>99</v>
      </c>
      <c r="E135" s="12">
        <v>473</v>
      </c>
      <c r="F135" s="12">
        <v>502</v>
      </c>
      <c r="G135" s="12">
        <v>14000</v>
      </c>
      <c r="H135" s="12">
        <v>83640426</v>
      </c>
      <c r="I135" s="12" t="s">
        <v>43</v>
      </c>
      <c r="J135" s="12" t="s">
        <v>228</v>
      </c>
      <c r="K135" s="12" t="s">
        <v>878</v>
      </c>
      <c r="L135" s="12" t="s">
        <v>879</v>
      </c>
      <c r="M135" s="12" t="s">
        <v>880</v>
      </c>
      <c r="N135" s="12">
        <v>152826</v>
      </c>
      <c r="O135" s="12">
        <v>16184</v>
      </c>
      <c r="P135" s="12">
        <v>0</v>
      </c>
      <c r="Q135" s="12" t="s">
        <v>881</v>
      </c>
      <c r="R135" s="15" t="s">
        <v>882</v>
      </c>
      <c r="S135" s="12">
        <v>253</v>
      </c>
      <c r="T135" s="12" t="s">
        <v>39</v>
      </c>
      <c r="U135" s="12" t="s">
        <v>40</v>
      </c>
      <c r="V135" s="12" t="s">
        <v>41</v>
      </c>
      <c r="W135" s="12">
        <v>150000000</v>
      </c>
      <c r="X135" s="12">
        <v>2012</v>
      </c>
      <c r="Y135" s="12">
        <v>897</v>
      </c>
      <c r="Z135" s="12">
        <v>5.8</v>
      </c>
      <c r="AA135" s="12">
        <v>1.85</v>
      </c>
      <c r="AB135" s="12">
        <v>19000</v>
      </c>
      <c r="AC135" s="12"/>
      <c r="AD135" s="12" t="str">
        <f>IFERROR(__xludf.DUMMYFUNCTION("""COMPUTED_VALUE"""),"Peter Sohn")</f>
        <v>Peter Sohn</v>
      </c>
      <c r="AE135" s="12"/>
    </row>
    <row r="136" customHeight="1" spans="1:31">
      <c r="A136" s="11" t="s">
        <v>30</v>
      </c>
      <c r="B136" s="11" t="s">
        <v>256</v>
      </c>
      <c r="C136" s="11">
        <v>526</v>
      </c>
      <c r="D136" s="11">
        <v>113</v>
      </c>
      <c r="E136" s="11">
        <v>13000</v>
      </c>
      <c r="F136" s="11">
        <v>16000</v>
      </c>
      <c r="G136" s="11">
        <v>40000</v>
      </c>
      <c r="H136" s="11">
        <v>79711678</v>
      </c>
      <c r="I136" s="11" t="s">
        <v>883</v>
      </c>
      <c r="J136" s="11" t="s">
        <v>44</v>
      </c>
      <c r="K136" s="11" t="s">
        <v>490</v>
      </c>
      <c r="L136" s="11" t="s">
        <v>201</v>
      </c>
      <c r="M136" s="11" t="s">
        <v>884</v>
      </c>
      <c r="N136" s="11">
        <v>199039</v>
      </c>
      <c r="O136" s="11">
        <v>80849</v>
      </c>
      <c r="P136" s="11">
        <v>7</v>
      </c>
      <c r="Q136" s="11" t="s">
        <v>885</v>
      </c>
      <c r="R136" s="14" t="s">
        <v>886</v>
      </c>
      <c r="S136" s="11">
        <v>479</v>
      </c>
      <c r="T136" s="11" t="s">
        <v>39</v>
      </c>
      <c r="U136" s="11" t="s">
        <v>40</v>
      </c>
      <c r="V136" s="11" t="s">
        <v>41</v>
      </c>
      <c r="W136" s="11">
        <v>100000000</v>
      </c>
      <c r="X136" s="11">
        <v>2012</v>
      </c>
      <c r="Y136" s="11">
        <v>17000</v>
      </c>
      <c r="Z136" s="11">
        <v>6.2</v>
      </c>
      <c r="AA136" s="11">
        <v>1.85</v>
      </c>
      <c r="AB136" s="11">
        <v>82000</v>
      </c>
      <c r="AC136" s="11"/>
      <c r="AD136" s="11" t="str">
        <f>IFERROR(__xludf.DUMMYFUNCTION("""COMPUTED_VALUE"""),"Kelly Macdonald")</f>
        <v>Kelly Macdonald</v>
      </c>
      <c r="AE136" s="11"/>
    </row>
    <row r="137" customHeight="1" spans="1:31">
      <c r="A137" s="12" t="s">
        <v>30</v>
      </c>
      <c r="B137" s="12" t="s">
        <v>887</v>
      </c>
      <c r="C137" s="12">
        <v>465</v>
      </c>
      <c r="D137" s="12">
        <v>131</v>
      </c>
      <c r="E137" s="12">
        <v>188</v>
      </c>
      <c r="F137" s="12">
        <v>641</v>
      </c>
      <c r="G137" s="12">
        <v>10000</v>
      </c>
      <c r="H137" s="12">
        <v>195000874</v>
      </c>
      <c r="I137" s="12" t="s">
        <v>51</v>
      </c>
      <c r="J137" s="12" t="s">
        <v>523</v>
      </c>
      <c r="K137" s="12" t="s">
        <v>888</v>
      </c>
      <c r="L137" s="12" t="s">
        <v>889</v>
      </c>
      <c r="M137" s="12" t="s">
        <v>890</v>
      </c>
      <c r="N137" s="12">
        <v>232187</v>
      </c>
      <c r="O137" s="12">
        <v>21840</v>
      </c>
      <c r="P137" s="12">
        <v>0</v>
      </c>
      <c r="Q137" s="12" t="s">
        <v>891</v>
      </c>
      <c r="R137" s="15" t="s">
        <v>892</v>
      </c>
      <c r="S137" s="12">
        <v>440</v>
      </c>
      <c r="T137" s="12" t="s">
        <v>39</v>
      </c>
      <c r="U137" s="12" t="s">
        <v>893</v>
      </c>
      <c r="V137" s="12" t="s">
        <v>41</v>
      </c>
      <c r="W137" s="12">
        <v>150000000</v>
      </c>
      <c r="X137" s="12">
        <v>2015</v>
      </c>
      <c r="Y137" s="12">
        <v>10000</v>
      </c>
      <c r="Z137" s="12">
        <v>7.4</v>
      </c>
      <c r="AA137" s="12">
        <v>2.35</v>
      </c>
      <c r="AB137" s="12">
        <v>47000</v>
      </c>
      <c r="AC137" s="12"/>
      <c r="AD137" s="12" t="str">
        <f>IFERROR(__xludf.DUMMYFUNCTION("""COMPUTED_VALUE"""),"Julie Walters")</f>
        <v>Julie Walters</v>
      </c>
      <c r="AE137" s="12"/>
    </row>
    <row r="138" customHeight="1" spans="1:31">
      <c r="A138" s="11" t="s">
        <v>30</v>
      </c>
      <c r="B138" s="11" t="s">
        <v>894</v>
      </c>
      <c r="C138" s="11">
        <v>357</v>
      </c>
      <c r="D138" s="11">
        <v>119</v>
      </c>
      <c r="E138" s="11">
        <v>394</v>
      </c>
      <c r="F138" s="11">
        <v>162</v>
      </c>
      <c r="G138" s="11">
        <v>12000</v>
      </c>
      <c r="H138" s="11">
        <v>61937495</v>
      </c>
      <c r="I138" s="11" t="s">
        <v>895</v>
      </c>
      <c r="J138" s="11" t="s">
        <v>763</v>
      </c>
      <c r="K138" s="11" t="s">
        <v>896</v>
      </c>
      <c r="L138" s="11" t="s">
        <v>897</v>
      </c>
      <c r="M138" s="11" t="s">
        <v>898</v>
      </c>
      <c r="N138" s="11">
        <v>89442</v>
      </c>
      <c r="O138" s="11">
        <v>13071</v>
      </c>
      <c r="P138" s="11">
        <v>0</v>
      </c>
      <c r="Q138" s="11" t="s">
        <v>899</v>
      </c>
      <c r="R138" s="14" t="s">
        <v>900</v>
      </c>
      <c r="S138" s="11">
        <v>432</v>
      </c>
      <c r="T138" s="11" t="s">
        <v>39</v>
      </c>
      <c r="U138" s="11" t="s">
        <v>40</v>
      </c>
      <c r="V138" s="11" t="s">
        <v>586</v>
      </c>
      <c r="W138" s="11">
        <v>150000000</v>
      </c>
      <c r="X138" s="11">
        <v>2010</v>
      </c>
      <c r="Y138" s="11">
        <v>490</v>
      </c>
      <c r="Z138" s="11">
        <v>5.8</v>
      </c>
      <c r="AA138" s="11">
        <v>1.85</v>
      </c>
      <c r="AB138" s="11">
        <v>0</v>
      </c>
      <c r="AC138" s="11"/>
      <c r="AD138" s="11" t="str">
        <f>IFERROR(__xludf.DUMMYFUNCTION("""COMPUTED_VALUE"""),"Sofia Boutella")</f>
        <v>Sofia Boutella</v>
      </c>
      <c r="AE138" s="11"/>
    </row>
    <row r="139" customHeight="1" spans="1:31">
      <c r="A139" s="12" t="s">
        <v>30</v>
      </c>
      <c r="B139" s="12" t="s">
        <v>104</v>
      </c>
      <c r="C139" s="12">
        <v>248</v>
      </c>
      <c r="D139" s="12">
        <v>110</v>
      </c>
      <c r="E139" s="12">
        <v>282</v>
      </c>
      <c r="F139" s="12">
        <v>103</v>
      </c>
      <c r="G139" s="12">
        <v>11000</v>
      </c>
      <c r="H139" s="12">
        <v>124051759</v>
      </c>
      <c r="I139" s="12" t="s">
        <v>207</v>
      </c>
      <c r="J139" s="12" t="s">
        <v>52</v>
      </c>
      <c r="K139" s="12" t="s">
        <v>229</v>
      </c>
      <c r="L139" s="12" t="s">
        <v>450</v>
      </c>
      <c r="M139" s="12" t="s">
        <v>451</v>
      </c>
      <c r="N139" s="12">
        <v>42372</v>
      </c>
      <c r="O139" s="12">
        <v>21175</v>
      </c>
      <c r="P139" s="12">
        <v>2</v>
      </c>
      <c r="Q139" s="12" t="s">
        <v>452</v>
      </c>
      <c r="R139" s="15" t="s">
        <v>453</v>
      </c>
      <c r="S139" s="12">
        <v>239</v>
      </c>
      <c r="T139" s="12" t="s">
        <v>39</v>
      </c>
      <c r="U139" s="12" t="s">
        <v>40</v>
      </c>
      <c r="V139" s="12" t="s">
        <v>41</v>
      </c>
      <c r="W139" s="12">
        <v>180000000</v>
      </c>
      <c r="X139" s="12">
        <v>2016</v>
      </c>
      <c r="Y139" s="12">
        <v>10000</v>
      </c>
      <c r="Z139" s="12">
        <v>6.6</v>
      </c>
      <c r="AA139" s="12">
        <v>2.35</v>
      </c>
      <c r="AB139" s="12">
        <v>29000</v>
      </c>
      <c r="AC139" s="12"/>
      <c r="AD139" s="12" t="str">
        <f>IFERROR(__xludf.DUMMYFUNCTION("""COMPUTED_VALUE"""),"Melissa Roxburgh")</f>
        <v>Melissa Roxburgh</v>
      </c>
      <c r="AE139" s="12"/>
    </row>
    <row r="140" customHeight="1" spans="1:31">
      <c r="A140" s="11" t="s">
        <v>30</v>
      </c>
      <c r="B140" s="11" t="s">
        <v>901</v>
      </c>
      <c r="C140" s="11">
        <v>194</v>
      </c>
      <c r="D140" s="11">
        <v>91</v>
      </c>
      <c r="E140" s="11">
        <v>58</v>
      </c>
      <c r="F140" s="11">
        <v>826</v>
      </c>
      <c r="G140" s="11">
        <v>2000</v>
      </c>
      <c r="H140" s="11">
        <v>126597121</v>
      </c>
      <c r="I140" s="11" t="s">
        <v>471</v>
      </c>
      <c r="J140" s="11" t="s">
        <v>902</v>
      </c>
      <c r="K140" s="11" t="s">
        <v>903</v>
      </c>
      <c r="L140" s="11" t="s">
        <v>904</v>
      </c>
      <c r="M140" s="11" t="s">
        <v>905</v>
      </c>
      <c r="N140" s="11">
        <v>105902</v>
      </c>
      <c r="O140" s="11">
        <v>6576</v>
      </c>
      <c r="P140" s="11">
        <v>0</v>
      </c>
      <c r="Q140" s="11" t="s">
        <v>906</v>
      </c>
      <c r="R140" s="14" t="s">
        <v>907</v>
      </c>
      <c r="S140" s="11">
        <v>206</v>
      </c>
      <c r="T140" s="11" t="s">
        <v>39</v>
      </c>
      <c r="U140" s="11" t="s">
        <v>40</v>
      </c>
      <c r="V140" s="11" t="s">
        <v>96</v>
      </c>
      <c r="W140" s="11">
        <v>150000000</v>
      </c>
      <c r="X140" s="11">
        <v>2007</v>
      </c>
      <c r="Y140" s="11">
        <v>852</v>
      </c>
      <c r="Z140" s="11">
        <v>6.2</v>
      </c>
      <c r="AA140" s="11">
        <v>1.85</v>
      </c>
      <c r="AB140" s="11">
        <v>0</v>
      </c>
      <c r="AC140" s="11"/>
      <c r="AD140" s="11" t="str">
        <f>IFERROR(__xludf.DUMMYFUNCTION("""COMPUTED_VALUE"""),"Lydia Wilson")</f>
        <v>Lydia Wilson</v>
      </c>
      <c r="AE140" s="11"/>
    </row>
    <row r="141" customHeight="1" spans="1:31">
      <c r="A141" s="12" t="s">
        <v>30</v>
      </c>
      <c r="B141" s="12" t="s">
        <v>908</v>
      </c>
      <c r="C141" s="12">
        <v>284</v>
      </c>
      <c r="D141" s="12">
        <v>90</v>
      </c>
      <c r="E141" s="12">
        <v>90</v>
      </c>
      <c r="F141" s="12">
        <v>15</v>
      </c>
      <c r="G141" s="12">
        <v>11000</v>
      </c>
      <c r="H141" s="12">
        <v>165230261</v>
      </c>
      <c r="I141" s="12" t="s">
        <v>803</v>
      </c>
      <c r="J141" s="12" t="s">
        <v>565</v>
      </c>
      <c r="K141" s="12" t="s">
        <v>440</v>
      </c>
      <c r="L141" s="12" t="s">
        <v>909</v>
      </c>
      <c r="M141" s="12" t="s">
        <v>910</v>
      </c>
      <c r="N141" s="12">
        <v>182718</v>
      </c>
      <c r="O141" s="12">
        <v>21015</v>
      </c>
      <c r="P141" s="12">
        <v>0</v>
      </c>
      <c r="Q141" s="12" t="s">
        <v>911</v>
      </c>
      <c r="R141" s="15" t="s">
        <v>912</v>
      </c>
      <c r="S141" s="12">
        <v>209</v>
      </c>
      <c r="T141" s="12" t="s">
        <v>39</v>
      </c>
      <c r="U141" s="12" t="s">
        <v>40</v>
      </c>
      <c r="V141" s="12" t="s">
        <v>96</v>
      </c>
      <c r="W141" s="12">
        <v>150000000</v>
      </c>
      <c r="X141" s="12">
        <v>2011</v>
      </c>
      <c r="Y141" s="12">
        <v>10000</v>
      </c>
      <c r="Z141" s="12">
        <v>7.3</v>
      </c>
      <c r="AA141" s="12">
        <v>2.35</v>
      </c>
      <c r="AB141" s="12">
        <v>20000</v>
      </c>
      <c r="AC141" s="12"/>
      <c r="AD141" s="12" t="str">
        <f>IFERROR(__xludf.DUMMYFUNCTION("""COMPUTED_VALUE"""),"Fred Willard")</f>
        <v>Fred Willard</v>
      </c>
      <c r="AE141" s="12"/>
    </row>
    <row r="142" customHeight="1" spans="1:31">
      <c r="A142" s="11" t="s">
        <v>30</v>
      </c>
      <c r="B142" s="11" t="s">
        <v>913</v>
      </c>
      <c r="C142" s="11">
        <v>280</v>
      </c>
      <c r="D142" s="11">
        <v>103</v>
      </c>
      <c r="E142" s="11">
        <v>0</v>
      </c>
      <c r="F142" s="11">
        <v>346</v>
      </c>
      <c r="G142" s="11">
        <v>1000</v>
      </c>
      <c r="H142" s="11">
        <v>131564731</v>
      </c>
      <c r="I142" s="11" t="s">
        <v>148</v>
      </c>
      <c r="J142" s="11" t="s">
        <v>914</v>
      </c>
      <c r="K142" s="11" t="s">
        <v>915</v>
      </c>
      <c r="L142" s="11" t="s">
        <v>916</v>
      </c>
      <c r="M142" s="11" t="s">
        <v>917</v>
      </c>
      <c r="N142" s="11">
        <v>118951</v>
      </c>
      <c r="O142" s="11">
        <v>2857</v>
      </c>
      <c r="P142" s="11">
        <v>0</v>
      </c>
      <c r="Q142" s="11" t="s">
        <v>918</v>
      </c>
      <c r="R142" s="14" t="s">
        <v>919</v>
      </c>
      <c r="S142" s="11">
        <v>1382</v>
      </c>
      <c r="T142" s="11" t="s">
        <v>39</v>
      </c>
      <c r="U142" s="11" t="s">
        <v>40</v>
      </c>
      <c r="V142" s="11" t="s">
        <v>96</v>
      </c>
      <c r="W142" s="11">
        <v>150000000</v>
      </c>
      <c r="X142" s="11">
        <v>2010</v>
      </c>
      <c r="Y142" s="11">
        <v>756</v>
      </c>
      <c r="Z142" s="11">
        <v>4.2</v>
      </c>
      <c r="AA142" s="11">
        <v>2.35</v>
      </c>
      <c r="AB142" s="11">
        <v>18000</v>
      </c>
      <c r="AC142" s="11"/>
      <c r="AD142" s="11" t="str">
        <f>IFERROR(__xludf.DUMMYFUNCTION("""COMPUTED_VALUE"""),"Jeff Garlin")</f>
        <v>Jeff Garlin</v>
      </c>
      <c r="AE142" s="11"/>
    </row>
    <row r="143" customHeight="1" spans="1:31">
      <c r="A143" s="12" t="s">
        <v>30</v>
      </c>
      <c r="B143" s="12" t="s">
        <v>352</v>
      </c>
      <c r="C143" s="12">
        <v>310</v>
      </c>
      <c r="D143" s="12">
        <v>124</v>
      </c>
      <c r="E143" s="12">
        <v>14000</v>
      </c>
      <c r="F143" s="12">
        <v>979</v>
      </c>
      <c r="G143" s="12">
        <v>22000</v>
      </c>
      <c r="H143" s="12">
        <v>133382309</v>
      </c>
      <c r="I143" s="12" t="s">
        <v>51</v>
      </c>
      <c r="J143" s="12" t="s">
        <v>699</v>
      </c>
      <c r="K143" s="12" t="s">
        <v>523</v>
      </c>
      <c r="L143" s="12" t="s">
        <v>359</v>
      </c>
      <c r="M143" s="12" t="s">
        <v>920</v>
      </c>
      <c r="N143" s="12">
        <v>256695</v>
      </c>
      <c r="O143" s="12">
        <v>34817</v>
      </c>
      <c r="P143" s="12">
        <v>0</v>
      </c>
      <c r="Q143" s="12" t="s">
        <v>921</v>
      </c>
      <c r="R143" s="15" t="s">
        <v>922</v>
      </c>
      <c r="S143" s="12">
        <v>871</v>
      </c>
      <c r="T143" s="12" t="s">
        <v>39</v>
      </c>
      <c r="U143" s="12" t="s">
        <v>40</v>
      </c>
      <c r="V143" s="12" t="s">
        <v>41</v>
      </c>
      <c r="W143" s="12">
        <v>150000000</v>
      </c>
      <c r="X143" s="12">
        <v>2006</v>
      </c>
      <c r="Y143" s="12">
        <v>10000</v>
      </c>
      <c r="Z143" s="12">
        <v>6.9</v>
      </c>
      <c r="AA143" s="12">
        <v>2.35</v>
      </c>
      <c r="AB143" s="12">
        <v>0</v>
      </c>
      <c r="AC143" s="12"/>
      <c r="AD143" s="12" t="str">
        <f>IFERROR(__xludf.DUMMYFUNCTION("""COMPUTED_VALUE"""),"Tzi Ma")</f>
        <v>Tzi Ma</v>
      </c>
      <c r="AE143" s="12"/>
    </row>
    <row r="144" customHeight="1" spans="1:31">
      <c r="A144" s="11" t="s">
        <v>30</v>
      </c>
      <c r="B144" s="11" t="s">
        <v>429</v>
      </c>
      <c r="C144" s="11">
        <v>339</v>
      </c>
      <c r="D144" s="11">
        <v>131</v>
      </c>
      <c r="E144" s="11">
        <v>776</v>
      </c>
      <c r="F144" s="11">
        <v>256</v>
      </c>
      <c r="G144" s="11">
        <v>17000</v>
      </c>
      <c r="H144" s="11">
        <v>73103784</v>
      </c>
      <c r="I144" s="11" t="s">
        <v>923</v>
      </c>
      <c r="J144" s="11" t="s">
        <v>445</v>
      </c>
      <c r="K144" s="11" t="s">
        <v>924</v>
      </c>
      <c r="L144" s="11" t="s">
        <v>925</v>
      </c>
      <c r="M144" s="11" t="s">
        <v>926</v>
      </c>
      <c r="N144" s="11">
        <v>164238</v>
      </c>
      <c r="O144" s="11">
        <v>18204</v>
      </c>
      <c r="P144" s="11">
        <v>2</v>
      </c>
      <c r="Q144" s="11" t="s">
        <v>927</v>
      </c>
      <c r="R144" s="14" t="s">
        <v>928</v>
      </c>
      <c r="S144" s="11">
        <v>434</v>
      </c>
      <c r="T144" s="11" t="s">
        <v>39</v>
      </c>
      <c r="U144" s="11" t="s">
        <v>40</v>
      </c>
      <c r="V144" s="11" t="s">
        <v>41</v>
      </c>
      <c r="W144" s="11">
        <v>150000000</v>
      </c>
      <c r="X144" s="11">
        <v>2013</v>
      </c>
      <c r="Y144" s="11">
        <v>551</v>
      </c>
      <c r="Z144" s="11">
        <v>6.4</v>
      </c>
      <c r="AA144" s="11">
        <v>2.35</v>
      </c>
      <c r="AB144" s="11">
        <v>33000</v>
      </c>
      <c r="AC144" s="11"/>
      <c r="AD144" s="11" t="str">
        <f>IFERROR(__xludf.DUMMYFUNCTION("""COMPUTED_VALUE"""),"Dana Ivey")</f>
        <v>Dana Ivey</v>
      </c>
      <c r="AE144" s="11"/>
    </row>
    <row r="145" customHeight="1" spans="1:31">
      <c r="A145" s="12" t="s">
        <v>30</v>
      </c>
      <c r="B145" s="12" t="s">
        <v>929</v>
      </c>
      <c r="C145" s="12">
        <v>132</v>
      </c>
      <c r="D145" s="12">
        <v>88</v>
      </c>
      <c r="E145" s="12">
        <v>25</v>
      </c>
      <c r="F145" s="12">
        <v>433</v>
      </c>
      <c r="G145" s="12">
        <v>921</v>
      </c>
      <c r="H145" s="12">
        <v>21379315</v>
      </c>
      <c r="I145" s="12" t="s">
        <v>478</v>
      </c>
      <c r="J145" s="12" t="s">
        <v>930</v>
      </c>
      <c r="K145" s="12" t="s">
        <v>931</v>
      </c>
      <c r="L145" s="12" t="s">
        <v>932</v>
      </c>
      <c r="M145" s="12" t="s">
        <v>933</v>
      </c>
      <c r="N145" s="12">
        <v>17590</v>
      </c>
      <c r="O145" s="12">
        <v>2652</v>
      </c>
      <c r="P145" s="12">
        <v>0</v>
      </c>
      <c r="Q145" s="12" t="s">
        <v>934</v>
      </c>
      <c r="R145" s="15" t="s">
        <v>935</v>
      </c>
      <c r="S145" s="12">
        <v>112</v>
      </c>
      <c r="T145" s="12" t="s">
        <v>39</v>
      </c>
      <c r="U145" s="12" t="s">
        <v>40</v>
      </c>
      <c r="V145" s="12" t="s">
        <v>96</v>
      </c>
      <c r="W145" s="12">
        <v>150000000</v>
      </c>
      <c r="X145" s="12">
        <v>2011</v>
      </c>
      <c r="Y145" s="12">
        <v>562</v>
      </c>
      <c r="Z145" s="12">
        <v>5.4</v>
      </c>
      <c r="AA145" s="12">
        <v>2.35</v>
      </c>
      <c r="AB145" s="12">
        <v>0</v>
      </c>
      <c r="AC145" s="12"/>
      <c r="AD145" s="12" t="str">
        <f>IFERROR(__xludf.DUMMYFUNCTION("""COMPUTED_VALUE"""),"Noémie Lenoir")</f>
        <v>Noémie Lenoir</v>
      </c>
      <c r="AE145" s="12"/>
    </row>
    <row r="146" customHeight="1" spans="1:31">
      <c r="A146" s="11" t="s">
        <v>30</v>
      </c>
      <c r="B146" s="11" t="s">
        <v>936</v>
      </c>
      <c r="C146" s="11">
        <v>135</v>
      </c>
      <c r="D146" s="11">
        <v>85</v>
      </c>
      <c r="E146" s="11">
        <v>42</v>
      </c>
      <c r="F146" s="11">
        <v>586</v>
      </c>
      <c r="G146" s="11">
        <v>20000</v>
      </c>
      <c r="H146" s="11">
        <v>64459316</v>
      </c>
      <c r="I146" s="11" t="s">
        <v>471</v>
      </c>
      <c r="J146" s="11" t="s">
        <v>263</v>
      </c>
      <c r="K146" s="11" t="s">
        <v>216</v>
      </c>
      <c r="L146" s="11" t="s">
        <v>937</v>
      </c>
      <c r="M146" s="11" t="s">
        <v>938</v>
      </c>
      <c r="N146" s="11">
        <v>85086</v>
      </c>
      <c r="O146" s="11">
        <v>35161</v>
      </c>
      <c r="P146" s="11">
        <v>0</v>
      </c>
      <c r="Q146" s="11" t="s">
        <v>939</v>
      </c>
      <c r="R146" s="14" t="s">
        <v>940</v>
      </c>
      <c r="S146" s="11">
        <v>122</v>
      </c>
      <c r="T146" s="11" t="s">
        <v>39</v>
      </c>
      <c r="U146" s="11" t="s">
        <v>58</v>
      </c>
      <c r="V146" s="11" t="s">
        <v>96</v>
      </c>
      <c r="W146" s="11">
        <v>149000000</v>
      </c>
      <c r="X146" s="11">
        <v>2006</v>
      </c>
      <c r="Y146" s="11">
        <v>14000</v>
      </c>
      <c r="Z146" s="11">
        <v>6.7</v>
      </c>
      <c r="AA146" s="11">
        <v>1.85</v>
      </c>
      <c r="AB146" s="11">
        <v>0</v>
      </c>
      <c r="AC146" s="11"/>
      <c r="AD146" s="11" t="str">
        <f>IFERROR(__xludf.DUMMYFUNCTION("""COMPUTED_VALUE"""),"Oliver Platt")</f>
        <v>Oliver Platt</v>
      </c>
      <c r="AE146" s="11"/>
    </row>
    <row r="147" customHeight="1" spans="1:31">
      <c r="A147" s="12" t="s">
        <v>30</v>
      </c>
      <c r="B147" s="12" t="s">
        <v>941</v>
      </c>
      <c r="C147" s="12">
        <v>256</v>
      </c>
      <c r="D147" s="12">
        <v>111</v>
      </c>
      <c r="E147" s="12">
        <v>456</v>
      </c>
      <c r="F147" s="12">
        <v>394</v>
      </c>
      <c r="G147" s="12">
        <v>20000</v>
      </c>
      <c r="H147" s="12">
        <v>34964818</v>
      </c>
      <c r="I147" s="12" t="s">
        <v>200</v>
      </c>
      <c r="J147" s="12" t="s">
        <v>263</v>
      </c>
      <c r="K147" s="12" t="s">
        <v>942</v>
      </c>
      <c r="L147" s="12" t="s">
        <v>943</v>
      </c>
      <c r="M147" s="12" t="s">
        <v>944</v>
      </c>
      <c r="N147" s="12">
        <v>39956</v>
      </c>
      <c r="O147" s="12">
        <v>21393</v>
      </c>
      <c r="P147" s="12">
        <v>4</v>
      </c>
      <c r="Q147" s="12" t="s">
        <v>945</v>
      </c>
      <c r="R147" s="15" t="s">
        <v>946</v>
      </c>
      <c r="S147" s="12">
        <v>186</v>
      </c>
      <c r="T147" s="12" t="s">
        <v>39</v>
      </c>
      <c r="U147" s="12" t="s">
        <v>40</v>
      </c>
      <c r="V147" s="12" t="s">
        <v>96</v>
      </c>
      <c r="W147" s="12">
        <v>150000000</v>
      </c>
      <c r="X147" s="12">
        <v>2015</v>
      </c>
      <c r="Y147" s="12">
        <v>548</v>
      </c>
      <c r="Z147" s="12">
        <v>5.8</v>
      </c>
      <c r="AA147" s="12">
        <v>2.35</v>
      </c>
      <c r="AB147" s="12">
        <v>24000</v>
      </c>
      <c r="AC147" s="12"/>
      <c r="AD147" s="12" t="str">
        <f>IFERROR(__xludf.DUMMYFUNCTION("""COMPUTED_VALUE"""),"Liam James")</f>
        <v>Liam James</v>
      </c>
      <c r="AE147" s="12"/>
    </row>
    <row r="148" customHeight="1" spans="1:31">
      <c r="A148" s="11" t="s">
        <v>30</v>
      </c>
      <c r="B148" s="11" t="s">
        <v>947</v>
      </c>
      <c r="C148" s="11">
        <v>196</v>
      </c>
      <c r="D148" s="11">
        <v>92</v>
      </c>
      <c r="E148" s="11">
        <v>50</v>
      </c>
      <c r="F148" s="11">
        <v>517</v>
      </c>
      <c r="G148" s="11">
        <v>3000</v>
      </c>
      <c r="H148" s="11">
        <v>111505642</v>
      </c>
      <c r="I148" s="11" t="s">
        <v>621</v>
      </c>
      <c r="J148" s="11" t="s">
        <v>948</v>
      </c>
      <c r="K148" s="11" t="s">
        <v>949</v>
      </c>
      <c r="L148" s="11" t="s">
        <v>950</v>
      </c>
      <c r="M148" s="11" t="s">
        <v>951</v>
      </c>
      <c r="N148" s="11">
        <v>47900</v>
      </c>
      <c r="O148" s="11">
        <v>5810</v>
      </c>
      <c r="P148" s="11">
        <v>2</v>
      </c>
      <c r="Q148" s="11" t="s">
        <v>952</v>
      </c>
      <c r="R148" s="14" t="s">
        <v>953</v>
      </c>
      <c r="S148" s="11">
        <v>130</v>
      </c>
      <c r="T148" s="11" t="s">
        <v>39</v>
      </c>
      <c r="U148" s="11" t="s">
        <v>40</v>
      </c>
      <c r="V148" s="11" t="s">
        <v>96</v>
      </c>
      <c r="W148" s="11">
        <v>145000000</v>
      </c>
      <c r="X148" s="11">
        <v>2014</v>
      </c>
      <c r="Y148" s="11">
        <v>1000</v>
      </c>
      <c r="Z148" s="11">
        <v>6.9</v>
      </c>
      <c r="AA148" s="11">
        <v>1.85</v>
      </c>
      <c r="AB148" s="11">
        <v>11000</v>
      </c>
      <c r="AC148" s="11"/>
      <c r="AD148" s="11" t="str">
        <f>IFERROR(__xludf.DUMMYFUNCTION("""COMPUTED_VALUE"""),"Tom McCarthy")</f>
        <v>Tom McCarthy</v>
      </c>
      <c r="AE148" s="11"/>
    </row>
    <row r="149" customHeight="1" spans="1:31">
      <c r="A149" s="12" t="s">
        <v>30</v>
      </c>
      <c r="B149" s="12" t="s">
        <v>711</v>
      </c>
      <c r="C149" s="12">
        <v>220</v>
      </c>
      <c r="D149" s="12">
        <v>196</v>
      </c>
      <c r="E149" s="12">
        <v>249</v>
      </c>
      <c r="F149" s="12">
        <v>844</v>
      </c>
      <c r="G149" s="12">
        <v>11000</v>
      </c>
      <c r="H149" s="12">
        <v>133228348</v>
      </c>
      <c r="I149" s="12" t="s">
        <v>954</v>
      </c>
      <c r="J149" s="12" t="s">
        <v>343</v>
      </c>
      <c r="K149" s="12" t="s">
        <v>45</v>
      </c>
      <c r="L149" s="12" t="s">
        <v>955</v>
      </c>
      <c r="M149" s="12" t="s">
        <v>956</v>
      </c>
      <c r="N149" s="12">
        <v>381672</v>
      </c>
      <c r="O149" s="12">
        <v>17944</v>
      </c>
      <c r="P149" s="12">
        <v>2</v>
      </c>
      <c r="Q149" s="12" t="s">
        <v>957</v>
      </c>
      <c r="R149" s="15" t="s">
        <v>958</v>
      </c>
      <c r="S149" s="12">
        <v>1694</v>
      </c>
      <c r="T149" s="12" t="s">
        <v>39</v>
      </c>
      <c r="U149" s="12" t="s">
        <v>40</v>
      </c>
      <c r="V149" s="12" t="s">
        <v>586</v>
      </c>
      <c r="W149" s="12">
        <v>175000000</v>
      </c>
      <c r="X149" s="12">
        <v>2004</v>
      </c>
      <c r="Y149" s="12">
        <v>5000</v>
      </c>
      <c r="Z149" s="12">
        <v>7.2</v>
      </c>
      <c r="AA149" s="12">
        <v>2.35</v>
      </c>
      <c r="AB149" s="12">
        <v>0</v>
      </c>
      <c r="AC149" s="12"/>
      <c r="AD149" s="12" t="str">
        <f>IFERROR(__xludf.DUMMYFUNCTION("""COMPUTED_VALUE"""),"Robin Wright")</f>
        <v>Robin Wright</v>
      </c>
      <c r="AE149" s="12"/>
    </row>
    <row r="150" customHeight="1" spans="1:31">
      <c r="A150" s="11" t="s">
        <v>30</v>
      </c>
      <c r="B150" s="11" t="s">
        <v>802</v>
      </c>
      <c r="C150" s="11">
        <v>211</v>
      </c>
      <c r="D150" s="11">
        <v>93</v>
      </c>
      <c r="E150" s="11">
        <v>35</v>
      </c>
      <c r="F150" s="11">
        <v>436</v>
      </c>
      <c r="G150" s="11">
        <v>851</v>
      </c>
      <c r="H150" s="11">
        <v>216366733</v>
      </c>
      <c r="I150" s="11" t="s">
        <v>471</v>
      </c>
      <c r="J150" s="11" t="s">
        <v>805</v>
      </c>
      <c r="K150" s="11" t="s">
        <v>959</v>
      </c>
      <c r="L150" s="11" t="s">
        <v>806</v>
      </c>
      <c r="M150" s="11" t="s">
        <v>960</v>
      </c>
      <c r="N150" s="11">
        <v>119213</v>
      </c>
      <c r="O150" s="11">
        <v>2444</v>
      </c>
      <c r="P150" s="11">
        <v>0</v>
      </c>
      <c r="Q150" s="11" t="s">
        <v>961</v>
      </c>
      <c r="R150" s="14" t="s">
        <v>962</v>
      </c>
      <c r="S150" s="11">
        <v>154</v>
      </c>
      <c r="T150" s="11" t="s">
        <v>39</v>
      </c>
      <c r="U150" s="11" t="s">
        <v>40</v>
      </c>
      <c r="V150" s="11" t="s">
        <v>96</v>
      </c>
      <c r="W150" s="11">
        <v>145000000</v>
      </c>
      <c r="X150" s="11">
        <v>2012</v>
      </c>
      <c r="Y150" s="11">
        <v>770</v>
      </c>
      <c r="Z150" s="11">
        <v>6.9</v>
      </c>
      <c r="AA150" s="11">
        <v>1.85</v>
      </c>
      <c r="AB150" s="11">
        <v>17000</v>
      </c>
      <c r="AC150" s="11"/>
      <c r="AD150" s="11" t="str">
        <f>IFERROR(__xludf.DUMMYFUNCTION("""COMPUTED_VALUE"""),"Colin Firth")</f>
        <v>Colin Firth</v>
      </c>
      <c r="AE150" s="11"/>
    </row>
    <row r="151" customHeight="1" spans="1:31">
      <c r="A151" s="12" t="s">
        <v>748</v>
      </c>
      <c r="B151" s="12" t="s">
        <v>963</v>
      </c>
      <c r="C151" s="12">
        <v>264</v>
      </c>
      <c r="D151" s="12">
        <v>133</v>
      </c>
      <c r="E151" s="12">
        <v>93</v>
      </c>
      <c r="F151" s="12">
        <v>746</v>
      </c>
      <c r="G151" s="12">
        <v>769</v>
      </c>
      <c r="H151" s="12">
        <v>160201106</v>
      </c>
      <c r="I151" s="12" t="s">
        <v>51</v>
      </c>
      <c r="J151" s="12" t="s">
        <v>964</v>
      </c>
      <c r="K151" s="12" t="s">
        <v>965</v>
      </c>
      <c r="L151" s="12" t="s">
        <v>966</v>
      </c>
      <c r="M151" s="12" t="s">
        <v>967</v>
      </c>
      <c r="N151" s="12">
        <v>169914</v>
      </c>
      <c r="O151" s="12">
        <v>2538</v>
      </c>
      <c r="P151" s="12">
        <v>0</v>
      </c>
      <c r="Q151" s="12" t="s">
        <v>968</v>
      </c>
      <c r="R151" s="15" t="s">
        <v>969</v>
      </c>
      <c r="S151" s="12">
        <v>1185</v>
      </c>
      <c r="T151" s="12" t="s">
        <v>39</v>
      </c>
      <c r="U151" s="12" t="s">
        <v>58</v>
      </c>
      <c r="V151" s="12" t="s">
        <v>41</v>
      </c>
      <c r="W151" s="12">
        <v>142000000</v>
      </c>
      <c r="X151" s="12">
        <v>2002</v>
      </c>
      <c r="Y151" s="12">
        <v>766</v>
      </c>
      <c r="Z151" s="12">
        <v>6.1</v>
      </c>
      <c r="AA151" s="12">
        <v>2.35</v>
      </c>
      <c r="AB151" s="12">
        <v>0</v>
      </c>
      <c r="AC151" s="12"/>
      <c r="AD151" s="12" t="str">
        <f>IFERROR(__xludf.DUMMYFUNCTION("""COMPUTED_VALUE"""),"Gary Oldman")</f>
        <v>Gary Oldman</v>
      </c>
      <c r="AE151" s="12"/>
    </row>
    <row r="152" customHeight="1" spans="1:31">
      <c r="A152" s="11" t="s">
        <v>30</v>
      </c>
      <c r="B152" s="11" t="s">
        <v>970</v>
      </c>
      <c r="C152" s="11">
        <v>464</v>
      </c>
      <c r="D152" s="11">
        <v>116</v>
      </c>
      <c r="E152" s="11">
        <v>176</v>
      </c>
      <c r="F152" s="11">
        <v>322</v>
      </c>
      <c r="G152" s="11">
        <v>783</v>
      </c>
      <c r="H152" s="11">
        <v>118099659</v>
      </c>
      <c r="I152" s="11" t="s">
        <v>971</v>
      </c>
      <c r="J152" s="11" t="s">
        <v>972</v>
      </c>
      <c r="K152" s="11" t="s">
        <v>973</v>
      </c>
      <c r="L152" s="11" t="s">
        <v>974</v>
      </c>
      <c r="M152" s="11" t="s">
        <v>975</v>
      </c>
      <c r="N152" s="11">
        <v>69757</v>
      </c>
      <c r="O152" s="11">
        <v>2097</v>
      </c>
      <c r="P152" s="11">
        <v>4</v>
      </c>
      <c r="Q152" s="11" t="s">
        <v>976</v>
      </c>
      <c r="R152" s="14" t="s">
        <v>977</v>
      </c>
      <c r="S152" s="11">
        <v>1211</v>
      </c>
      <c r="T152" s="11" t="s">
        <v>39</v>
      </c>
      <c r="U152" s="11" t="s">
        <v>40</v>
      </c>
      <c r="V152" s="11" t="s">
        <v>41</v>
      </c>
      <c r="W152" s="11">
        <v>144000000</v>
      </c>
      <c r="X152" s="11">
        <v>2016</v>
      </c>
      <c r="Y152" s="11">
        <v>370</v>
      </c>
      <c r="Z152" s="11">
        <v>5.5</v>
      </c>
      <c r="AA152" s="11">
        <v>2.35</v>
      </c>
      <c r="AB152" s="11">
        <v>62000</v>
      </c>
      <c r="AC152" s="11"/>
      <c r="AD152" s="11" t="str">
        <f>IFERROR(__xludf.DUMMYFUNCTION("""COMPUTED_VALUE"""),"Channing Tatum")</f>
        <v>Channing Tatum</v>
      </c>
      <c r="AE152" s="11"/>
    </row>
    <row r="153" customHeight="1" spans="1:31">
      <c r="A153" s="12" t="s">
        <v>30</v>
      </c>
      <c r="B153" s="12" t="s">
        <v>279</v>
      </c>
      <c r="C153" s="12">
        <v>167</v>
      </c>
      <c r="D153" s="12">
        <v>153</v>
      </c>
      <c r="E153" s="12">
        <v>0</v>
      </c>
      <c r="F153" s="12">
        <v>537</v>
      </c>
      <c r="G153" s="12">
        <v>13000</v>
      </c>
      <c r="H153" s="12">
        <v>201573391</v>
      </c>
      <c r="I153" s="12" t="s">
        <v>227</v>
      </c>
      <c r="J153" s="12" t="s">
        <v>978</v>
      </c>
      <c r="K153" s="12" t="s">
        <v>272</v>
      </c>
      <c r="L153" s="12" t="s">
        <v>979</v>
      </c>
      <c r="M153" s="12" t="s">
        <v>980</v>
      </c>
      <c r="N153" s="12">
        <v>322395</v>
      </c>
      <c r="O153" s="12">
        <v>26029</v>
      </c>
      <c r="P153" s="12">
        <v>0</v>
      </c>
      <c r="Q153" s="12" t="s">
        <v>981</v>
      </c>
      <c r="R153" s="15" t="s">
        <v>982</v>
      </c>
      <c r="S153" s="12">
        <v>1171</v>
      </c>
      <c r="T153" s="12" t="s">
        <v>39</v>
      </c>
      <c r="U153" s="12" t="s">
        <v>40</v>
      </c>
      <c r="V153" s="12" t="s">
        <v>41</v>
      </c>
      <c r="W153" s="12">
        <v>140000000</v>
      </c>
      <c r="X153" s="12">
        <v>1998</v>
      </c>
      <c r="Y153" s="12">
        <v>12000</v>
      </c>
      <c r="Z153" s="12">
        <v>6.6</v>
      </c>
      <c r="AA153" s="12">
        <v>2.35</v>
      </c>
      <c r="AB153" s="12">
        <v>11000</v>
      </c>
      <c r="AC153" s="12"/>
      <c r="AD153" s="12" t="str">
        <f>IFERROR(__xludf.DUMMYFUNCTION("""COMPUTED_VALUE"""),"Eddie Redmayne")</f>
        <v>Eddie Redmayne</v>
      </c>
      <c r="AE153" s="12"/>
    </row>
    <row r="154" customHeight="1" spans="1:31">
      <c r="A154" s="11" t="s">
        <v>30</v>
      </c>
      <c r="B154" s="11" t="s">
        <v>164</v>
      </c>
      <c r="C154" s="11">
        <v>208</v>
      </c>
      <c r="D154" s="11">
        <v>88</v>
      </c>
      <c r="E154" s="11">
        <v>188</v>
      </c>
      <c r="F154" s="11">
        <v>826</v>
      </c>
      <c r="G154" s="11">
        <v>10000</v>
      </c>
      <c r="H154" s="11">
        <v>190418803</v>
      </c>
      <c r="I154" s="11" t="s">
        <v>983</v>
      </c>
      <c r="J154" s="11" t="s">
        <v>166</v>
      </c>
      <c r="K154" s="11" t="s">
        <v>984</v>
      </c>
      <c r="L154" s="11" t="s">
        <v>904</v>
      </c>
      <c r="M154" s="11" t="s">
        <v>985</v>
      </c>
      <c r="N154" s="11">
        <v>270207</v>
      </c>
      <c r="O154" s="11">
        <v>14823</v>
      </c>
      <c r="P154" s="11">
        <v>2</v>
      </c>
      <c r="Q154" s="11" t="s">
        <v>986</v>
      </c>
      <c r="R154" s="14" t="s">
        <v>987</v>
      </c>
      <c r="S154" s="11">
        <v>606</v>
      </c>
      <c r="T154" s="11" t="s">
        <v>39</v>
      </c>
      <c r="U154" s="11" t="s">
        <v>40</v>
      </c>
      <c r="V154" s="11" t="s">
        <v>41</v>
      </c>
      <c r="W154" s="11">
        <v>140000000</v>
      </c>
      <c r="X154" s="11">
        <v>2002</v>
      </c>
      <c r="Y154" s="11">
        <v>3000</v>
      </c>
      <c r="Z154" s="11">
        <v>6.1</v>
      </c>
      <c r="AA154" s="11">
        <v>1.85</v>
      </c>
      <c r="AB154" s="11">
        <v>2000</v>
      </c>
      <c r="AC154" s="11"/>
      <c r="AD154" s="11" t="str">
        <f>IFERROR(__xludf.DUMMYFUNCTION("""COMPUTED_VALUE"""),"Casper Crump")</f>
        <v>Casper Crump</v>
      </c>
      <c r="AE154" s="11"/>
    </row>
    <row r="155" customHeight="1" spans="1:31">
      <c r="A155" s="12" t="s">
        <v>30</v>
      </c>
      <c r="B155" s="12" t="s">
        <v>436</v>
      </c>
      <c r="C155" s="12">
        <v>287</v>
      </c>
      <c r="D155" s="12">
        <v>115</v>
      </c>
      <c r="E155" s="12">
        <v>0</v>
      </c>
      <c r="F155" s="12">
        <v>964</v>
      </c>
      <c r="G155" s="12">
        <v>18000</v>
      </c>
      <c r="H155" s="12">
        <v>82161969</v>
      </c>
      <c r="I155" s="12" t="s">
        <v>988</v>
      </c>
      <c r="J155" s="12" t="s">
        <v>438</v>
      </c>
      <c r="K155" s="12" t="s">
        <v>763</v>
      </c>
      <c r="L155" s="12" t="s">
        <v>989</v>
      </c>
      <c r="M155" s="12" t="s">
        <v>990</v>
      </c>
      <c r="N155" s="12">
        <v>142440</v>
      </c>
      <c r="O155" s="12">
        <v>31523</v>
      </c>
      <c r="P155" s="12">
        <v>1</v>
      </c>
      <c r="Q155" s="12" t="s">
        <v>991</v>
      </c>
      <c r="R155" s="15" t="s">
        <v>992</v>
      </c>
      <c r="S155" s="12">
        <v>505</v>
      </c>
      <c r="T155" s="12" t="s">
        <v>39</v>
      </c>
      <c r="U155" s="12" t="s">
        <v>40</v>
      </c>
      <c r="V155" s="12" t="s">
        <v>41</v>
      </c>
      <c r="W155" s="12">
        <v>150000000</v>
      </c>
      <c r="X155" s="12">
        <v>2007</v>
      </c>
      <c r="Y155" s="12">
        <v>12000</v>
      </c>
      <c r="Z155" s="12">
        <v>6.3</v>
      </c>
      <c r="AA155" s="12">
        <v>2.35</v>
      </c>
      <c r="AB155" s="12">
        <v>3000</v>
      </c>
      <c r="AC155" s="12"/>
      <c r="AD155" s="12" t="str">
        <f>IFERROR(__xludf.DUMMYFUNCTION("""COMPUTED_VALUE"""),"Kiran Shah")</f>
        <v>Kiran Shah</v>
      </c>
      <c r="AE155" s="12"/>
    </row>
    <row r="156" customHeight="1" spans="1:31">
      <c r="A156" s="11" t="s">
        <v>30</v>
      </c>
      <c r="B156" s="11" t="s">
        <v>993</v>
      </c>
      <c r="C156" s="11">
        <v>210</v>
      </c>
      <c r="D156" s="11">
        <v>95</v>
      </c>
      <c r="E156" s="11">
        <v>5</v>
      </c>
      <c r="F156" s="11">
        <v>967</v>
      </c>
      <c r="G156" s="11">
        <v>24000</v>
      </c>
      <c r="H156" s="11">
        <v>143523463</v>
      </c>
      <c r="I156" s="11" t="s">
        <v>803</v>
      </c>
      <c r="J156" s="11" t="s">
        <v>82</v>
      </c>
      <c r="K156" s="11" t="s">
        <v>565</v>
      </c>
      <c r="L156" s="11" t="s">
        <v>994</v>
      </c>
      <c r="M156" s="11" t="s">
        <v>995</v>
      </c>
      <c r="N156" s="11">
        <v>64322</v>
      </c>
      <c r="O156" s="11">
        <v>36095</v>
      </c>
      <c r="P156" s="11">
        <v>0</v>
      </c>
      <c r="Q156" s="11" t="s">
        <v>996</v>
      </c>
      <c r="R156" s="14" t="s">
        <v>997</v>
      </c>
      <c r="S156" s="11">
        <v>145</v>
      </c>
      <c r="T156" s="11" t="s">
        <v>39</v>
      </c>
      <c r="U156" s="11" t="s">
        <v>40</v>
      </c>
      <c r="V156" s="11" t="s">
        <v>96</v>
      </c>
      <c r="W156" s="11">
        <v>145000000</v>
      </c>
      <c r="X156" s="11">
        <v>2016</v>
      </c>
      <c r="Y156" s="11">
        <v>11000</v>
      </c>
      <c r="Z156" s="11">
        <v>7.2</v>
      </c>
      <c r="AA156" s="11">
        <v>2.35</v>
      </c>
      <c r="AB156" s="11">
        <v>24000</v>
      </c>
      <c r="AC156" s="11"/>
      <c r="AD156" s="11" t="str">
        <f>IFERROR(__xludf.DUMMYFUNCTION("""COMPUTED_VALUE"""),"Shane Rangi")</f>
        <v>Shane Rangi</v>
      </c>
      <c r="AE156" s="11"/>
    </row>
    <row r="157" customHeight="1" spans="1:31">
      <c r="A157" s="12" t="s">
        <v>30</v>
      </c>
      <c r="B157" s="12" t="s">
        <v>605</v>
      </c>
      <c r="C157" s="12">
        <v>432</v>
      </c>
      <c r="D157" s="12">
        <v>133</v>
      </c>
      <c r="E157" s="12">
        <v>663</v>
      </c>
      <c r="F157" s="12">
        <v>690</v>
      </c>
      <c r="G157" s="12">
        <v>10000</v>
      </c>
      <c r="H157" s="12">
        <v>209364921</v>
      </c>
      <c r="I157" s="12" t="s">
        <v>51</v>
      </c>
      <c r="J157" s="12" t="s">
        <v>523</v>
      </c>
      <c r="K157" s="12" t="s">
        <v>888</v>
      </c>
      <c r="L157" s="12" t="s">
        <v>998</v>
      </c>
      <c r="M157" s="12" t="s">
        <v>999</v>
      </c>
      <c r="N157" s="12">
        <v>365104</v>
      </c>
      <c r="O157" s="12">
        <v>21768</v>
      </c>
      <c r="P157" s="12">
        <v>3</v>
      </c>
      <c r="Q157" s="12" t="s">
        <v>1000</v>
      </c>
      <c r="R157" s="15" t="s">
        <v>1001</v>
      </c>
      <c r="S157" s="12">
        <v>512</v>
      </c>
      <c r="T157" s="12" t="s">
        <v>39</v>
      </c>
      <c r="U157" s="12" t="s">
        <v>40</v>
      </c>
      <c r="V157" s="12" t="s">
        <v>41</v>
      </c>
      <c r="W157" s="12">
        <v>145000000</v>
      </c>
      <c r="X157" s="12">
        <v>2011</v>
      </c>
      <c r="Y157" s="12">
        <v>10000</v>
      </c>
      <c r="Z157" s="12">
        <v>7.4</v>
      </c>
      <c r="AA157" s="12">
        <v>2.35</v>
      </c>
      <c r="AB157" s="12">
        <v>35000</v>
      </c>
      <c r="AC157" s="12"/>
      <c r="AD157" s="12" t="str">
        <f>IFERROR(__xludf.DUMMYFUNCTION("""COMPUTED_VALUE"""),"Michael Fassbender")</f>
        <v>Michael Fassbender</v>
      </c>
      <c r="AE157" s="12"/>
    </row>
    <row r="158" customHeight="1" spans="1:31">
      <c r="A158" s="11" t="s">
        <v>30</v>
      </c>
      <c r="B158" s="11" t="s">
        <v>1002</v>
      </c>
      <c r="C158" s="11">
        <v>256</v>
      </c>
      <c r="D158" s="11">
        <v>97</v>
      </c>
      <c r="E158" s="11">
        <v>52</v>
      </c>
      <c r="F158" s="11">
        <v>161</v>
      </c>
      <c r="G158" s="11">
        <v>20000</v>
      </c>
      <c r="H158" s="11">
        <v>103400692</v>
      </c>
      <c r="I158" s="11" t="s">
        <v>628</v>
      </c>
      <c r="J158" s="11" t="s">
        <v>263</v>
      </c>
      <c r="K158" s="11" t="s">
        <v>1003</v>
      </c>
      <c r="L158" s="11" t="s">
        <v>1004</v>
      </c>
      <c r="M158" s="11" t="s">
        <v>1005</v>
      </c>
      <c r="N158" s="11">
        <v>123553</v>
      </c>
      <c r="O158" s="11">
        <v>20645</v>
      </c>
      <c r="P158" s="11">
        <v>0</v>
      </c>
      <c r="Q158" s="11" t="s">
        <v>1006</v>
      </c>
      <c r="R158" s="14" t="s">
        <v>1007</v>
      </c>
      <c r="S158" s="11">
        <v>174</v>
      </c>
      <c r="T158" s="11" t="s">
        <v>39</v>
      </c>
      <c r="U158" s="11" t="s">
        <v>40</v>
      </c>
      <c r="V158" s="11" t="s">
        <v>96</v>
      </c>
      <c r="W158" s="11">
        <v>145000000</v>
      </c>
      <c r="X158" s="11">
        <v>2012</v>
      </c>
      <c r="Y158" s="11">
        <v>315</v>
      </c>
      <c r="Z158" s="11">
        <v>7.3</v>
      </c>
      <c r="AA158" s="11">
        <v>1.85</v>
      </c>
      <c r="AB158" s="11">
        <v>25000</v>
      </c>
      <c r="AC158" s="11"/>
      <c r="AD158" s="11" t="str">
        <f>IFERROR(__xludf.DUMMYFUNCTION("""COMPUTED_VALUE"""),"Tye Sheridan")</f>
        <v>Tye Sheridan</v>
      </c>
      <c r="AE158" s="11"/>
    </row>
    <row r="159" customHeight="1" spans="1:31">
      <c r="A159" s="12" t="s">
        <v>30</v>
      </c>
      <c r="B159" s="12" t="s">
        <v>1008</v>
      </c>
      <c r="C159" s="12">
        <v>135</v>
      </c>
      <c r="D159" s="12">
        <v>90</v>
      </c>
      <c r="E159" s="12">
        <v>23</v>
      </c>
      <c r="F159" s="12">
        <v>233</v>
      </c>
      <c r="G159" s="12">
        <v>957</v>
      </c>
      <c r="H159" s="12">
        <v>110332737</v>
      </c>
      <c r="I159" s="12" t="s">
        <v>1009</v>
      </c>
      <c r="J159" s="12" t="s">
        <v>1010</v>
      </c>
      <c r="K159" s="12" t="s">
        <v>1011</v>
      </c>
      <c r="L159" s="12" t="s">
        <v>1012</v>
      </c>
      <c r="M159" s="12" t="s">
        <v>1013</v>
      </c>
      <c r="N159" s="12">
        <v>110788</v>
      </c>
      <c r="O159" s="12">
        <v>1997</v>
      </c>
      <c r="P159" s="12">
        <v>1</v>
      </c>
      <c r="Q159" s="12" t="s">
        <v>1014</v>
      </c>
      <c r="R159" s="15" t="s">
        <v>1015</v>
      </c>
      <c r="S159" s="12">
        <v>258</v>
      </c>
      <c r="T159" s="12" t="s">
        <v>39</v>
      </c>
      <c r="U159" s="12" t="s">
        <v>40</v>
      </c>
      <c r="V159" s="12" t="s">
        <v>41</v>
      </c>
      <c r="W159" s="12">
        <v>100000000</v>
      </c>
      <c r="X159" s="12">
        <v>2005</v>
      </c>
      <c r="Y159" s="12">
        <v>550</v>
      </c>
      <c r="Z159" s="12">
        <v>6.1</v>
      </c>
      <c r="AA159" s="12">
        <v>2.35</v>
      </c>
      <c r="AB159" s="12">
        <v>2000</v>
      </c>
      <c r="AC159" s="12"/>
      <c r="AD159" s="12" t="str">
        <f>IFERROR(__xludf.DUMMYFUNCTION("""COMPUTED_VALUE"""),"Heath Ledger")</f>
        <v>Heath Ledger</v>
      </c>
      <c r="AE159" s="12"/>
    </row>
    <row r="160" customHeight="1" spans="1:31">
      <c r="A160" s="11" t="s">
        <v>30</v>
      </c>
      <c r="B160" s="11" t="s">
        <v>1016</v>
      </c>
      <c r="C160" s="11">
        <v>190</v>
      </c>
      <c r="D160" s="11">
        <v>154</v>
      </c>
      <c r="E160" s="11">
        <v>380</v>
      </c>
      <c r="F160" s="11">
        <v>445</v>
      </c>
      <c r="G160" s="11">
        <v>10000</v>
      </c>
      <c r="H160" s="11">
        <v>111110575</v>
      </c>
      <c r="I160" s="11" t="s">
        <v>1017</v>
      </c>
      <c r="J160" s="11" t="s">
        <v>523</v>
      </c>
      <c r="K160" s="11" t="s">
        <v>1018</v>
      </c>
      <c r="L160" s="11" t="s">
        <v>1019</v>
      </c>
      <c r="M160" s="11" t="s">
        <v>1020</v>
      </c>
      <c r="N160" s="11">
        <v>317166</v>
      </c>
      <c r="O160" s="11">
        <v>11945</v>
      </c>
      <c r="P160" s="11">
        <v>1</v>
      </c>
      <c r="Q160" s="11" t="s">
        <v>1021</v>
      </c>
      <c r="R160" s="14" t="s">
        <v>1022</v>
      </c>
      <c r="S160" s="11">
        <v>928</v>
      </c>
      <c r="T160" s="11" t="s">
        <v>39</v>
      </c>
      <c r="U160" s="11" t="s">
        <v>40</v>
      </c>
      <c r="V160" s="11" t="s">
        <v>586</v>
      </c>
      <c r="W160" s="11">
        <v>140000000</v>
      </c>
      <c r="X160" s="11">
        <v>2003</v>
      </c>
      <c r="Y160" s="11">
        <v>956</v>
      </c>
      <c r="Z160" s="11">
        <v>7.7</v>
      </c>
      <c r="AA160" s="11">
        <v>2.35</v>
      </c>
      <c r="AB160" s="11">
        <v>0</v>
      </c>
      <c r="AC160" s="11"/>
      <c r="AD160" s="11" t="str">
        <f>IFERROR(__xludf.DUMMYFUNCTION("""COMPUTED_VALUE"""),"Morgan Freeman")</f>
        <v>Morgan Freeman</v>
      </c>
      <c r="AE160" s="11"/>
    </row>
    <row r="161" customHeight="1" spans="1:31">
      <c r="A161" s="12" t="s">
        <v>30</v>
      </c>
      <c r="B161" s="12" t="s">
        <v>188</v>
      </c>
      <c r="C161" s="12">
        <v>314</v>
      </c>
      <c r="D161" s="12">
        <v>150</v>
      </c>
      <c r="E161" s="12">
        <v>0</v>
      </c>
      <c r="F161" s="12">
        <v>748</v>
      </c>
      <c r="G161" s="12">
        <v>23000</v>
      </c>
      <c r="H161" s="12">
        <v>65007045</v>
      </c>
      <c r="I161" s="12" t="s">
        <v>1023</v>
      </c>
      <c r="J161" s="12" t="s">
        <v>62</v>
      </c>
      <c r="K161" s="12" t="s">
        <v>1024</v>
      </c>
      <c r="L161" s="12" t="s">
        <v>1025</v>
      </c>
      <c r="M161" s="12" t="s">
        <v>1026</v>
      </c>
      <c r="N161" s="12">
        <v>128682</v>
      </c>
      <c r="O161" s="12">
        <v>26490</v>
      </c>
      <c r="P161" s="12">
        <v>0</v>
      </c>
      <c r="Q161" s="12" t="s">
        <v>1027</v>
      </c>
      <c r="R161" s="15" t="s">
        <v>1028</v>
      </c>
      <c r="S161" s="12">
        <v>657</v>
      </c>
      <c r="T161" s="12" t="s">
        <v>39</v>
      </c>
      <c r="U161" s="12" t="s">
        <v>58</v>
      </c>
      <c r="V161" s="12" t="s">
        <v>41</v>
      </c>
      <c r="W161" s="12">
        <v>140000000</v>
      </c>
      <c r="X161" s="12">
        <v>2014</v>
      </c>
      <c r="Y161" s="12">
        <v>893</v>
      </c>
      <c r="Z161" s="12">
        <v>6.1</v>
      </c>
      <c r="AA161" s="12">
        <v>2.35</v>
      </c>
      <c r="AB161" s="12">
        <v>51000</v>
      </c>
      <c r="AC161" s="12"/>
      <c r="AD161" s="12" t="str">
        <f>IFERROR(__xludf.DUMMYFUNCTION("""COMPUTED_VALUE"""),"Delroy Lindo")</f>
        <v>Delroy Lindo</v>
      </c>
      <c r="AE161" s="12"/>
    </row>
    <row r="162" customHeight="1" spans="1:31">
      <c r="A162" s="11" t="s">
        <v>30</v>
      </c>
      <c r="B162" s="11" t="s">
        <v>352</v>
      </c>
      <c r="C162" s="11">
        <v>518</v>
      </c>
      <c r="D162" s="11">
        <v>127</v>
      </c>
      <c r="E162" s="11">
        <v>14000</v>
      </c>
      <c r="F162" s="11">
        <v>981</v>
      </c>
      <c r="G162" s="11">
        <v>26000</v>
      </c>
      <c r="H162" s="11">
        <v>257704099</v>
      </c>
      <c r="I162" s="11" t="s">
        <v>73</v>
      </c>
      <c r="J162" s="11" t="s">
        <v>98</v>
      </c>
      <c r="K162" s="11" t="s">
        <v>1029</v>
      </c>
      <c r="L162" s="11" t="s">
        <v>354</v>
      </c>
      <c r="M162" s="11" t="s">
        <v>1030</v>
      </c>
      <c r="N162" s="11">
        <v>504419</v>
      </c>
      <c r="O162" s="11">
        <v>39284</v>
      </c>
      <c r="P162" s="11">
        <v>0</v>
      </c>
      <c r="Q162" s="11" t="s">
        <v>1031</v>
      </c>
      <c r="R162" s="14" t="s">
        <v>1032</v>
      </c>
      <c r="S162" s="11">
        <v>1559</v>
      </c>
      <c r="T162" s="11" t="s">
        <v>39</v>
      </c>
      <c r="U162" s="11" t="s">
        <v>40</v>
      </c>
      <c r="V162" s="11" t="s">
        <v>41</v>
      </c>
      <c r="W162" s="11">
        <v>150000000</v>
      </c>
      <c r="X162" s="11">
        <v>2009</v>
      </c>
      <c r="Y162" s="11">
        <v>12000</v>
      </c>
      <c r="Z162" s="11">
        <v>8</v>
      </c>
      <c r="AA162" s="11">
        <v>2.35</v>
      </c>
      <c r="AB162" s="11">
        <v>19000</v>
      </c>
      <c r="AC162" s="11"/>
      <c r="AD162" s="11" t="str">
        <f>IFERROR(__xludf.DUMMYFUNCTION("""COMPUTED_VALUE"""),"Jess Harnell")</f>
        <v>Jess Harnell</v>
      </c>
      <c r="AE162" s="11"/>
    </row>
    <row r="163" customHeight="1" spans="1:31">
      <c r="A163" s="12" t="s">
        <v>30</v>
      </c>
      <c r="B163" s="12" t="s">
        <v>80</v>
      </c>
      <c r="C163" s="12">
        <v>291</v>
      </c>
      <c r="D163" s="12">
        <v>121</v>
      </c>
      <c r="E163" s="12">
        <v>0</v>
      </c>
      <c r="F163" s="12">
        <v>4000</v>
      </c>
      <c r="G163" s="12">
        <v>24000</v>
      </c>
      <c r="H163" s="12">
        <v>403706375</v>
      </c>
      <c r="I163" s="12" t="s">
        <v>246</v>
      </c>
      <c r="J163" s="12" t="s">
        <v>82</v>
      </c>
      <c r="K163" s="12" t="s">
        <v>83</v>
      </c>
      <c r="L163" s="12" t="s">
        <v>84</v>
      </c>
      <c r="M163" s="12" t="s">
        <v>1033</v>
      </c>
      <c r="N163" s="12">
        <v>544665</v>
      </c>
      <c r="O163" s="12">
        <v>40484</v>
      </c>
      <c r="P163" s="12">
        <v>0</v>
      </c>
      <c r="Q163" s="12" t="s">
        <v>1034</v>
      </c>
      <c r="R163" s="15" t="s">
        <v>1035</v>
      </c>
      <c r="S163" s="12">
        <v>2012</v>
      </c>
      <c r="T163" s="12" t="s">
        <v>39</v>
      </c>
      <c r="U163" s="12" t="s">
        <v>40</v>
      </c>
      <c r="V163" s="12" t="s">
        <v>41</v>
      </c>
      <c r="W163" s="12">
        <v>139000000</v>
      </c>
      <c r="X163" s="12">
        <v>2002</v>
      </c>
      <c r="Y163" s="12">
        <v>11000</v>
      </c>
      <c r="Z163" s="12">
        <v>7.3</v>
      </c>
      <c r="AA163" s="12">
        <v>1.85</v>
      </c>
      <c r="AB163" s="12">
        <v>5000</v>
      </c>
      <c r="AC163" s="12"/>
      <c r="AD163" s="12" t="str">
        <f>IFERROR(__xludf.DUMMYFUNCTION("""COMPUTED_VALUE"""),"Amy Poehler")</f>
        <v>Amy Poehler</v>
      </c>
      <c r="AE163" s="12"/>
    </row>
    <row r="164" customHeight="1" spans="1:31">
      <c r="A164" s="11" t="s">
        <v>30</v>
      </c>
      <c r="B164" s="11" t="s">
        <v>640</v>
      </c>
      <c r="C164" s="11">
        <v>292</v>
      </c>
      <c r="D164" s="11">
        <v>102</v>
      </c>
      <c r="E164" s="11">
        <v>255</v>
      </c>
      <c r="F164" s="11">
        <v>953</v>
      </c>
      <c r="G164" s="11">
        <v>18000</v>
      </c>
      <c r="H164" s="11">
        <v>176997107</v>
      </c>
      <c r="I164" s="11" t="s">
        <v>1036</v>
      </c>
      <c r="J164" s="11" t="s">
        <v>641</v>
      </c>
      <c r="K164" s="11" t="s">
        <v>656</v>
      </c>
      <c r="L164" s="11" t="s">
        <v>642</v>
      </c>
      <c r="M164" s="11" t="s">
        <v>1037</v>
      </c>
      <c r="N164" s="11">
        <v>221128</v>
      </c>
      <c r="O164" s="11">
        <v>23378</v>
      </c>
      <c r="P164" s="11">
        <v>5</v>
      </c>
      <c r="Q164" s="11" t="s">
        <v>1038</v>
      </c>
      <c r="R164" s="14" t="s">
        <v>1039</v>
      </c>
      <c r="S164" s="11">
        <v>343</v>
      </c>
      <c r="T164" s="11" t="s">
        <v>39</v>
      </c>
      <c r="U164" s="11" t="s">
        <v>40</v>
      </c>
      <c r="V164" s="11" t="s">
        <v>96</v>
      </c>
      <c r="W164" s="11">
        <v>145000000</v>
      </c>
      <c r="X164" s="11">
        <v>2014</v>
      </c>
      <c r="Y164" s="11">
        <v>3000</v>
      </c>
      <c r="Z164" s="11">
        <v>7.9</v>
      </c>
      <c r="AA164" s="11">
        <v>2.35</v>
      </c>
      <c r="AB164" s="11">
        <v>46000</v>
      </c>
      <c r="AC164" s="11"/>
      <c r="AD164" s="11" t="str">
        <f>IFERROR(__xludf.DUMMYFUNCTION("""COMPUTED_VALUE"""),"Rainn Wilson")</f>
        <v>Rainn Wilson</v>
      </c>
      <c r="AE164" s="11"/>
    </row>
    <row r="165" customHeight="1" spans="1:31">
      <c r="A165" s="12" t="s">
        <v>30</v>
      </c>
      <c r="B165" s="12" t="s">
        <v>1040</v>
      </c>
      <c r="C165" s="12">
        <v>184</v>
      </c>
      <c r="D165" s="12">
        <v>126</v>
      </c>
      <c r="E165" s="12">
        <v>295</v>
      </c>
      <c r="F165" s="12">
        <v>284</v>
      </c>
      <c r="G165" s="12">
        <v>18000</v>
      </c>
      <c r="H165" s="12">
        <v>31141074</v>
      </c>
      <c r="I165" s="12" t="s">
        <v>43</v>
      </c>
      <c r="J165" s="12" t="s">
        <v>641</v>
      </c>
      <c r="K165" s="12" t="s">
        <v>1041</v>
      </c>
      <c r="L165" s="12" t="s">
        <v>1042</v>
      </c>
      <c r="M165" s="12" t="s">
        <v>1043</v>
      </c>
      <c r="N165" s="12">
        <v>51892</v>
      </c>
      <c r="O165" s="12">
        <v>19769</v>
      </c>
      <c r="P165" s="12">
        <v>4</v>
      </c>
      <c r="Q165" s="12" t="s">
        <v>1044</v>
      </c>
      <c r="R165" s="15" t="s">
        <v>1045</v>
      </c>
      <c r="S165" s="12">
        <v>273</v>
      </c>
      <c r="T165" s="12" t="s">
        <v>39</v>
      </c>
      <c r="U165" s="12" t="s">
        <v>40</v>
      </c>
      <c r="V165" s="12" t="s">
        <v>41</v>
      </c>
      <c r="W165" s="12">
        <v>140000000</v>
      </c>
      <c r="X165" s="12">
        <v>2016</v>
      </c>
      <c r="Y165" s="12">
        <v>934</v>
      </c>
      <c r="Z165" s="12">
        <v>5.5</v>
      </c>
      <c r="AA165" s="12">
        <v>2.35</v>
      </c>
      <c r="AB165" s="12">
        <v>24000</v>
      </c>
      <c r="AC165" s="12"/>
      <c r="AD165" s="12" t="str">
        <f>IFERROR(__xludf.DUMMYFUNCTION("""COMPUTED_VALUE"""),"Stephen Colbert")</f>
        <v>Stephen Colbert</v>
      </c>
      <c r="AE165" s="12"/>
    </row>
    <row r="166" customHeight="1" spans="1:31">
      <c r="A166" s="11" t="s">
        <v>30</v>
      </c>
      <c r="B166" s="11" t="s">
        <v>500</v>
      </c>
      <c r="C166" s="11">
        <v>145</v>
      </c>
      <c r="D166" s="11">
        <v>121</v>
      </c>
      <c r="E166" s="11">
        <v>357</v>
      </c>
      <c r="F166" s="11">
        <v>653</v>
      </c>
      <c r="G166" s="11">
        <v>820</v>
      </c>
      <c r="H166" s="11">
        <v>31704416</v>
      </c>
      <c r="I166" s="11" t="s">
        <v>227</v>
      </c>
      <c r="J166" s="11" t="s">
        <v>1046</v>
      </c>
      <c r="K166" s="11" t="s">
        <v>1047</v>
      </c>
      <c r="L166" s="11" t="s">
        <v>1048</v>
      </c>
      <c r="M166" s="11" t="s">
        <v>1049</v>
      </c>
      <c r="N166" s="11">
        <v>45455</v>
      </c>
      <c r="O166" s="11">
        <v>2705</v>
      </c>
      <c r="P166" s="11">
        <v>0</v>
      </c>
      <c r="Q166" s="11" t="s">
        <v>1050</v>
      </c>
      <c r="R166" s="14" t="s">
        <v>1051</v>
      </c>
      <c r="S166" s="11">
        <v>388</v>
      </c>
      <c r="T166" s="11" t="s">
        <v>39</v>
      </c>
      <c r="U166" s="11" t="s">
        <v>40</v>
      </c>
      <c r="V166" s="11" t="s">
        <v>41</v>
      </c>
      <c r="W166" s="11">
        <v>135000000</v>
      </c>
      <c r="X166" s="11">
        <v>2005</v>
      </c>
      <c r="Y166" s="11">
        <v>780</v>
      </c>
      <c r="Z166" s="11">
        <v>5</v>
      </c>
      <c r="AA166" s="11">
        <v>2.35</v>
      </c>
      <c r="AB166" s="11">
        <v>0</v>
      </c>
      <c r="AC166" s="11"/>
      <c r="AD166" s="11" t="str">
        <f>IFERROR(__xludf.DUMMYFUNCTION("""COMPUTED_VALUE"""),"Chloë Grace Moretz")</f>
        <v>Chloë Grace Moretz</v>
      </c>
      <c r="AE166" s="11"/>
    </row>
    <row r="167" customHeight="1" spans="1:31">
      <c r="A167" s="12" t="s">
        <v>30</v>
      </c>
      <c r="B167" s="12" t="s">
        <v>112</v>
      </c>
      <c r="C167" s="12">
        <v>451</v>
      </c>
      <c r="D167" s="12">
        <v>215</v>
      </c>
      <c r="E167" s="12">
        <v>0</v>
      </c>
      <c r="F167" s="12">
        <v>413</v>
      </c>
      <c r="G167" s="12">
        <v>986</v>
      </c>
      <c r="H167" s="12">
        <v>107503316</v>
      </c>
      <c r="I167" s="12" t="s">
        <v>1052</v>
      </c>
      <c r="J167" s="12" t="s">
        <v>1053</v>
      </c>
      <c r="K167" s="12" t="s">
        <v>1054</v>
      </c>
      <c r="L167" s="12" t="s">
        <v>1055</v>
      </c>
      <c r="M167" s="12" t="s">
        <v>1056</v>
      </c>
      <c r="N167" s="12">
        <v>392474</v>
      </c>
      <c r="O167" s="12">
        <v>2530</v>
      </c>
      <c r="P167" s="12">
        <v>1</v>
      </c>
      <c r="Q167" s="12" t="s">
        <v>1057</v>
      </c>
      <c r="R167" s="15" t="s">
        <v>1058</v>
      </c>
      <c r="S167" s="12">
        <v>1229</v>
      </c>
      <c r="T167" s="12" t="s">
        <v>39</v>
      </c>
      <c r="U167" s="12" t="s">
        <v>40</v>
      </c>
      <c r="V167" s="12" t="s">
        <v>586</v>
      </c>
      <c r="W167" s="12">
        <v>130000000</v>
      </c>
      <c r="X167" s="12">
        <v>2009</v>
      </c>
      <c r="Y167" s="12">
        <v>745</v>
      </c>
      <c r="Z167" s="12">
        <v>7.7</v>
      </c>
      <c r="AA167" s="12">
        <v>2.35</v>
      </c>
      <c r="AB167" s="12">
        <v>18000</v>
      </c>
      <c r="AC167" s="12"/>
      <c r="AD167" s="12" t="str">
        <f>IFERROR(__xludf.DUMMYFUNCTION("""COMPUTED_VALUE"""),"Salma Hayek")</f>
        <v>Salma Hayek</v>
      </c>
      <c r="AE167" s="12"/>
    </row>
    <row r="168" customHeight="1" spans="1:31">
      <c r="A168" s="11" t="s">
        <v>30</v>
      </c>
      <c r="B168" s="11" t="s">
        <v>1059</v>
      </c>
      <c r="C168" s="11">
        <v>141</v>
      </c>
      <c r="D168" s="11">
        <v>127</v>
      </c>
      <c r="E168" s="11">
        <v>503</v>
      </c>
      <c r="F168" s="11">
        <v>91</v>
      </c>
      <c r="G168" s="11">
        <v>5000</v>
      </c>
      <c r="H168" s="11">
        <v>129734803</v>
      </c>
      <c r="I168" s="11" t="s">
        <v>334</v>
      </c>
      <c r="J168" s="11" t="s">
        <v>502</v>
      </c>
      <c r="K168" s="11" t="s">
        <v>1060</v>
      </c>
      <c r="L168" s="11" t="s">
        <v>1061</v>
      </c>
      <c r="M168" s="11" t="s">
        <v>1062</v>
      </c>
      <c r="N168" s="11">
        <v>127497</v>
      </c>
      <c r="O168" s="11">
        <v>6171</v>
      </c>
      <c r="P168" s="11">
        <v>2</v>
      </c>
      <c r="Q168" s="11" t="s">
        <v>1063</v>
      </c>
      <c r="R168" s="14" t="s">
        <v>1064</v>
      </c>
      <c r="S168" s="11">
        <v>287</v>
      </c>
      <c r="T168" s="11" t="s">
        <v>39</v>
      </c>
      <c r="U168" s="11" t="s">
        <v>40</v>
      </c>
      <c r="V168" s="11" t="s">
        <v>586</v>
      </c>
      <c r="W168" s="11">
        <v>140000000</v>
      </c>
      <c r="X168" s="11">
        <v>1998</v>
      </c>
      <c r="Y168" s="11">
        <v>808</v>
      </c>
      <c r="Z168" s="11">
        <v>6.6</v>
      </c>
      <c r="AA168" s="11">
        <v>2.35</v>
      </c>
      <c r="AB168" s="11">
        <v>0</v>
      </c>
      <c r="AC168" s="11"/>
      <c r="AD168" s="11" t="str">
        <f>IFERROR(__xludf.DUMMYFUNCTION("""COMPUTED_VALUE"""),"Bai Ling")</f>
        <v>Bai Ling</v>
      </c>
      <c r="AE168" s="11"/>
    </row>
    <row r="169" customHeight="1" spans="1:31">
      <c r="A169" s="12" t="s">
        <v>30</v>
      </c>
      <c r="B169" s="12" t="s">
        <v>1065</v>
      </c>
      <c r="C169" s="12">
        <v>267</v>
      </c>
      <c r="D169" s="12">
        <v>138</v>
      </c>
      <c r="E169" s="12">
        <v>0</v>
      </c>
      <c r="F169" s="12">
        <v>258</v>
      </c>
      <c r="G169" s="12">
        <v>820</v>
      </c>
      <c r="H169" s="12">
        <v>132122995</v>
      </c>
      <c r="I169" s="12" t="s">
        <v>648</v>
      </c>
      <c r="J169" s="12" t="s">
        <v>1066</v>
      </c>
      <c r="K169" s="12" t="s">
        <v>1067</v>
      </c>
      <c r="L169" s="12" t="s">
        <v>1068</v>
      </c>
      <c r="M169" s="12" t="s">
        <v>1069</v>
      </c>
      <c r="N169" s="12">
        <v>212106</v>
      </c>
      <c r="O169" s="12">
        <v>1814</v>
      </c>
      <c r="P169" s="12">
        <v>0</v>
      </c>
      <c r="Q169" s="12" t="s">
        <v>1070</v>
      </c>
      <c r="R169" s="15" t="s">
        <v>1071</v>
      </c>
      <c r="S169" s="12">
        <v>1445</v>
      </c>
      <c r="T169" s="12" t="s">
        <v>39</v>
      </c>
      <c r="U169" s="12" t="s">
        <v>40</v>
      </c>
      <c r="V169" s="12" t="s">
        <v>41</v>
      </c>
      <c r="W169" s="12">
        <v>137000000</v>
      </c>
      <c r="X169" s="12">
        <v>2003</v>
      </c>
      <c r="Y169" s="12">
        <v>300</v>
      </c>
      <c r="Z169" s="12">
        <v>5.7</v>
      </c>
      <c r="AA169" s="12">
        <v>1.85</v>
      </c>
      <c r="AB169" s="12">
        <v>0</v>
      </c>
      <c r="AC169" s="12"/>
      <c r="AD169" s="12" t="str">
        <f>IFERROR(__xludf.DUMMYFUNCTION("""COMPUTED_VALUE"""),"Jet Li")</f>
        <v>Jet Li</v>
      </c>
      <c r="AE169" s="12"/>
    </row>
    <row r="170" customHeight="1" spans="1:31">
      <c r="A170" s="11" t="s">
        <v>30</v>
      </c>
      <c r="B170" s="11" t="s">
        <v>1072</v>
      </c>
      <c r="C170" s="11">
        <v>351</v>
      </c>
      <c r="D170" s="11">
        <v>122</v>
      </c>
      <c r="E170" s="11">
        <v>209</v>
      </c>
      <c r="F170" s="11">
        <v>934</v>
      </c>
      <c r="G170" s="11">
        <v>17000</v>
      </c>
      <c r="H170" s="11">
        <v>122512052</v>
      </c>
      <c r="I170" s="11" t="s">
        <v>227</v>
      </c>
      <c r="J170" s="11" t="s">
        <v>445</v>
      </c>
      <c r="K170" s="11" t="s">
        <v>1073</v>
      </c>
      <c r="L170" s="11" t="s">
        <v>1041</v>
      </c>
      <c r="M170" s="11" t="s">
        <v>1074</v>
      </c>
      <c r="N170" s="11">
        <v>146352</v>
      </c>
      <c r="O170" s="11">
        <v>31958</v>
      </c>
      <c r="P170" s="11">
        <v>6</v>
      </c>
      <c r="Q170" s="11" t="s">
        <v>1075</v>
      </c>
      <c r="R170" s="14" t="s">
        <v>1076</v>
      </c>
      <c r="S170" s="11">
        <v>288</v>
      </c>
      <c r="T170" s="11" t="s">
        <v>39</v>
      </c>
      <c r="U170" s="11" t="s">
        <v>40</v>
      </c>
      <c r="V170" s="11" t="s">
        <v>41</v>
      </c>
      <c r="W170" s="11">
        <v>130000000</v>
      </c>
      <c r="X170" s="11">
        <v>2013</v>
      </c>
      <c r="Y170" s="11">
        <v>12000</v>
      </c>
      <c r="Z170" s="11">
        <v>5.8</v>
      </c>
      <c r="AA170" s="11">
        <v>2.35</v>
      </c>
      <c r="AB170" s="11">
        <v>42000</v>
      </c>
      <c r="AC170" s="11"/>
      <c r="AD170" s="11" t="str">
        <f>IFERROR(__xludf.DUMMYFUNCTION("""COMPUTED_VALUE"""),"Brendan Fraser")</f>
        <v>Brendan Fraser</v>
      </c>
      <c r="AE170" s="11"/>
    </row>
    <row r="171" customHeight="1" spans="1:31">
      <c r="A171" s="12" t="s">
        <v>30</v>
      </c>
      <c r="B171" s="12" t="s">
        <v>1077</v>
      </c>
      <c r="C171" s="12">
        <v>163</v>
      </c>
      <c r="D171" s="12">
        <v>124</v>
      </c>
      <c r="E171" s="12">
        <v>42</v>
      </c>
      <c r="F171" s="12">
        <v>848</v>
      </c>
      <c r="G171" s="12">
        <v>11000</v>
      </c>
      <c r="H171" s="12">
        <v>68642452</v>
      </c>
      <c r="I171" s="12" t="s">
        <v>1078</v>
      </c>
      <c r="J171" s="12" t="s">
        <v>661</v>
      </c>
      <c r="K171" s="12" t="s">
        <v>480</v>
      </c>
      <c r="L171" s="12" t="s">
        <v>472</v>
      </c>
      <c r="M171" s="12" t="s">
        <v>1079</v>
      </c>
      <c r="N171" s="12">
        <v>77673</v>
      </c>
      <c r="O171" s="12">
        <v>13073</v>
      </c>
      <c r="P171" s="12">
        <v>3</v>
      </c>
      <c r="Q171" s="12" t="s">
        <v>1080</v>
      </c>
      <c r="R171" s="15" t="s">
        <v>1081</v>
      </c>
      <c r="S171" s="12">
        <v>463</v>
      </c>
      <c r="T171" s="12" t="s">
        <v>39</v>
      </c>
      <c r="U171" s="12" t="s">
        <v>58</v>
      </c>
      <c r="V171" s="12" t="s">
        <v>41</v>
      </c>
      <c r="W171" s="12">
        <v>130000000</v>
      </c>
      <c r="X171" s="12">
        <v>2005</v>
      </c>
      <c r="Y171" s="12">
        <v>973</v>
      </c>
      <c r="Z171" s="12">
        <v>6</v>
      </c>
      <c r="AA171" s="12">
        <v>2.35</v>
      </c>
      <c r="AB171" s="12">
        <v>0</v>
      </c>
      <c r="AC171" s="12"/>
      <c r="AD171" s="12" t="str">
        <f>IFERROR(__xludf.DUMMYFUNCTION("""COMPUTED_VALUE"""),"Russell Wong")</f>
        <v>Russell Wong</v>
      </c>
      <c r="AE171" s="12"/>
    </row>
    <row r="172" customHeight="1" spans="1:31">
      <c r="A172" s="11" t="s">
        <v>30</v>
      </c>
      <c r="B172" s="11" t="s">
        <v>1082</v>
      </c>
      <c r="C172" s="11">
        <v>166</v>
      </c>
      <c r="D172" s="11">
        <v>106</v>
      </c>
      <c r="E172" s="11">
        <v>6</v>
      </c>
      <c r="F172" s="11">
        <v>422</v>
      </c>
      <c r="G172" s="11">
        <v>12000</v>
      </c>
      <c r="H172" s="11">
        <v>32131830</v>
      </c>
      <c r="I172" s="11" t="s">
        <v>1083</v>
      </c>
      <c r="J172" s="11" t="s">
        <v>272</v>
      </c>
      <c r="K172" s="11" t="s">
        <v>1084</v>
      </c>
      <c r="L172" s="11" t="s">
        <v>1085</v>
      </c>
      <c r="M172" s="11" t="s">
        <v>1086</v>
      </c>
      <c r="N172" s="11">
        <v>72259</v>
      </c>
      <c r="O172" s="11">
        <v>15015</v>
      </c>
      <c r="P172" s="11">
        <v>1</v>
      </c>
      <c r="Q172" s="11" t="s">
        <v>1087</v>
      </c>
      <c r="R172" s="14" t="s">
        <v>1088</v>
      </c>
      <c r="S172" s="11">
        <v>788</v>
      </c>
      <c r="T172" s="11" t="s">
        <v>39</v>
      </c>
      <c r="U172" s="11" t="s">
        <v>40</v>
      </c>
      <c r="V172" s="11" t="s">
        <v>41</v>
      </c>
      <c r="W172" s="11">
        <v>137000000</v>
      </c>
      <c r="X172" s="11">
        <v>2001</v>
      </c>
      <c r="Y172" s="11">
        <v>2000</v>
      </c>
      <c r="Z172" s="11">
        <v>6.4</v>
      </c>
      <c r="AA172" s="11">
        <v>1.85</v>
      </c>
      <c r="AB172" s="11">
        <v>0</v>
      </c>
      <c r="AC172" s="11"/>
      <c r="AD172" s="11" t="str">
        <f>IFERROR(__xludf.DUMMYFUNCTION("""COMPUTED_VALUE"""),"Robin Atkin Downes")</f>
        <v>Robin Atkin Downes</v>
      </c>
      <c r="AE172" s="11"/>
    </row>
    <row r="173" customHeight="1" spans="1:31">
      <c r="A173" s="12" t="s">
        <v>30</v>
      </c>
      <c r="B173" s="12" t="s">
        <v>894</v>
      </c>
      <c r="C173" s="12">
        <v>510</v>
      </c>
      <c r="D173" s="12">
        <v>124</v>
      </c>
      <c r="E173" s="12">
        <v>394</v>
      </c>
      <c r="F173" s="12">
        <v>2000</v>
      </c>
      <c r="G173" s="12">
        <v>11000</v>
      </c>
      <c r="H173" s="12">
        <v>176636816</v>
      </c>
      <c r="I173" s="12" t="s">
        <v>73</v>
      </c>
      <c r="J173" s="12" t="s">
        <v>222</v>
      </c>
      <c r="K173" s="12" t="s">
        <v>730</v>
      </c>
      <c r="L173" s="12" t="s">
        <v>594</v>
      </c>
      <c r="M173" s="12" t="s">
        <v>1089</v>
      </c>
      <c r="N173" s="12">
        <v>508818</v>
      </c>
      <c r="O173" s="12">
        <v>19761</v>
      </c>
      <c r="P173" s="12">
        <v>0</v>
      </c>
      <c r="Q173" s="12" t="s">
        <v>1090</v>
      </c>
      <c r="R173" s="15" t="s">
        <v>1091</v>
      </c>
      <c r="S173" s="12">
        <v>679</v>
      </c>
      <c r="T173" s="12" t="s">
        <v>39</v>
      </c>
      <c r="U173" s="12" t="s">
        <v>40</v>
      </c>
      <c r="V173" s="12" t="s">
        <v>41</v>
      </c>
      <c r="W173" s="12">
        <v>140000000</v>
      </c>
      <c r="X173" s="12">
        <v>2011</v>
      </c>
      <c r="Y173" s="12">
        <v>3000</v>
      </c>
      <c r="Z173" s="12">
        <v>6.9</v>
      </c>
      <c r="AA173" s="12">
        <v>2.35</v>
      </c>
      <c r="AB173" s="12">
        <v>46000</v>
      </c>
      <c r="AC173" s="12"/>
      <c r="AD173" s="12" t="str">
        <f>IFERROR(__xludf.DUMMYFUNCTION("""COMPUTED_VALUE"""),"Ike Barinholtz")</f>
        <v>Ike Barinholtz</v>
      </c>
      <c r="AE173" s="12"/>
    </row>
    <row r="174" customHeight="1" spans="1:31">
      <c r="A174" s="11" t="s">
        <v>30</v>
      </c>
      <c r="B174" s="11" t="s">
        <v>742</v>
      </c>
      <c r="C174" s="11">
        <v>197</v>
      </c>
      <c r="D174" s="11">
        <v>128</v>
      </c>
      <c r="E174" s="11">
        <v>150</v>
      </c>
      <c r="F174" s="11">
        <v>244</v>
      </c>
      <c r="G174" s="11">
        <v>766</v>
      </c>
      <c r="H174" s="11">
        <v>126930660</v>
      </c>
      <c r="I174" s="11" t="s">
        <v>51</v>
      </c>
      <c r="J174" s="11" t="s">
        <v>965</v>
      </c>
      <c r="K174" s="11" t="s">
        <v>1092</v>
      </c>
      <c r="L174" s="11" t="s">
        <v>1093</v>
      </c>
      <c r="M174" s="11" t="s">
        <v>1094</v>
      </c>
      <c r="N174" s="11">
        <v>157519</v>
      </c>
      <c r="O174" s="11">
        <v>2037</v>
      </c>
      <c r="P174" s="11">
        <v>2</v>
      </c>
      <c r="Q174" s="11" t="s">
        <v>1095</v>
      </c>
      <c r="R174" s="14" t="s">
        <v>1096</v>
      </c>
      <c r="S174" s="11">
        <v>683</v>
      </c>
      <c r="T174" s="11" t="s">
        <v>39</v>
      </c>
      <c r="U174" s="11" t="s">
        <v>58</v>
      </c>
      <c r="V174" s="11" t="s">
        <v>41</v>
      </c>
      <c r="W174" s="11">
        <v>135000000</v>
      </c>
      <c r="X174" s="11">
        <v>1999</v>
      </c>
      <c r="Y174" s="11">
        <v>536</v>
      </c>
      <c r="Z174" s="11">
        <v>6.4</v>
      </c>
      <c r="AA174" s="11">
        <v>2.35</v>
      </c>
      <c r="AB174" s="11">
        <v>2000</v>
      </c>
      <c r="AC174" s="11"/>
      <c r="AD174" s="11" t="str">
        <f>IFERROR(__xludf.DUMMYFUNCTION("""COMPUTED_VALUE"""),"Jimmy Bennett")</f>
        <v>Jimmy Bennett</v>
      </c>
      <c r="AE174" s="11"/>
    </row>
    <row r="175" customHeight="1" spans="1:31">
      <c r="A175" s="12" t="s">
        <v>30</v>
      </c>
      <c r="B175" s="12" t="s">
        <v>1097</v>
      </c>
      <c r="C175" s="12">
        <v>244</v>
      </c>
      <c r="D175" s="12">
        <v>138</v>
      </c>
      <c r="E175" s="12">
        <v>608</v>
      </c>
      <c r="F175" s="12">
        <v>168</v>
      </c>
      <c r="G175" s="12">
        <v>613</v>
      </c>
      <c r="H175" s="12">
        <v>93926386</v>
      </c>
      <c r="I175" s="12" t="s">
        <v>1098</v>
      </c>
      <c r="J175" s="12" t="s">
        <v>1099</v>
      </c>
      <c r="K175" s="12" t="s">
        <v>1100</v>
      </c>
      <c r="L175" s="12" t="s">
        <v>1101</v>
      </c>
      <c r="M175" s="12" t="s">
        <v>1102</v>
      </c>
      <c r="N175" s="12">
        <v>168207</v>
      </c>
      <c r="O175" s="12">
        <v>1205</v>
      </c>
      <c r="P175" s="12">
        <v>1</v>
      </c>
      <c r="Q175" s="12" t="s">
        <v>1103</v>
      </c>
      <c r="R175" s="15" t="s">
        <v>1104</v>
      </c>
      <c r="S175" s="12">
        <v>684</v>
      </c>
      <c r="T175" s="12" t="s">
        <v>39</v>
      </c>
      <c r="U175" s="12" t="s">
        <v>40</v>
      </c>
      <c r="V175" s="12" t="s">
        <v>41</v>
      </c>
      <c r="W175" s="12">
        <v>150000000</v>
      </c>
      <c r="X175" s="12">
        <v>2003</v>
      </c>
      <c r="Y175" s="12">
        <v>172</v>
      </c>
      <c r="Z175" s="12">
        <v>7.4</v>
      </c>
      <c r="AA175" s="12">
        <v>2.35</v>
      </c>
      <c r="AB175" s="12">
        <v>0</v>
      </c>
      <c r="AC175" s="12"/>
      <c r="AD175" s="12" t="str">
        <f>IFERROR(__xludf.DUMMYFUNCTION("""COMPUTED_VALUE"""),"Steve Carell")</f>
        <v>Steve Carell</v>
      </c>
      <c r="AE175" s="12"/>
    </row>
    <row r="176" customHeight="1" spans="1:31">
      <c r="A176" s="11" t="s">
        <v>30</v>
      </c>
      <c r="B176" s="11" t="s">
        <v>1105</v>
      </c>
      <c r="C176" s="11">
        <v>322</v>
      </c>
      <c r="D176" s="11">
        <v>115</v>
      </c>
      <c r="E176" s="11">
        <v>386</v>
      </c>
      <c r="F176" s="11">
        <v>12000</v>
      </c>
      <c r="G176" s="11">
        <v>21000</v>
      </c>
      <c r="H176" s="11">
        <v>292298923</v>
      </c>
      <c r="I176" s="11" t="s">
        <v>1106</v>
      </c>
      <c r="J176" s="11" t="s">
        <v>769</v>
      </c>
      <c r="K176" s="11" t="s">
        <v>559</v>
      </c>
      <c r="L176" s="11" t="s">
        <v>1107</v>
      </c>
      <c r="M176" s="11" t="s">
        <v>1108</v>
      </c>
      <c r="N176" s="11">
        <v>185394</v>
      </c>
      <c r="O176" s="11">
        <v>59177</v>
      </c>
      <c r="P176" s="11">
        <v>3</v>
      </c>
      <c r="Q176" s="11" t="s">
        <v>1109</v>
      </c>
      <c r="R176" s="14" t="s">
        <v>1110</v>
      </c>
      <c r="S176" s="11">
        <v>329</v>
      </c>
      <c r="T176" s="11" t="s">
        <v>39</v>
      </c>
      <c r="U176" s="11" t="s">
        <v>40</v>
      </c>
      <c r="V176" s="11" t="s">
        <v>41</v>
      </c>
      <c r="W176" s="11">
        <v>120000000</v>
      </c>
      <c r="X176" s="11">
        <v>2012</v>
      </c>
      <c r="Y176" s="11">
        <v>17000</v>
      </c>
      <c r="Z176" s="11">
        <v>5.5</v>
      </c>
      <c r="AA176" s="11">
        <v>2.35</v>
      </c>
      <c r="AB176" s="11">
        <v>65000</v>
      </c>
      <c r="AC176" s="11"/>
      <c r="AD176" s="11" t="str">
        <f>IFERROR(__xludf.DUMMYFUNCTION("""COMPUTED_VALUE"""),"Tom Cruise")</f>
        <v>Tom Cruise</v>
      </c>
      <c r="AE176" s="11"/>
    </row>
    <row r="177" customHeight="1" spans="1:31">
      <c r="A177" s="12" t="s">
        <v>30</v>
      </c>
      <c r="B177" s="12" t="s">
        <v>846</v>
      </c>
      <c r="C177" s="12">
        <v>156</v>
      </c>
      <c r="D177" s="12">
        <v>100</v>
      </c>
      <c r="E177" s="12">
        <v>750</v>
      </c>
      <c r="F177" s="12">
        <v>988</v>
      </c>
      <c r="G177" s="12">
        <v>49000</v>
      </c>
      <c r="H177" s="12">
        <v>63992328</v>
      </c>
      <c r="I177" s="12" t="s">
        <v>1111</v>
      </c>
      <c r="J177" s="12" t="s">
        <v>811</v>
      </c>
      <c r="K177" s="12" t="s">
        <v>343</v>
      </c>
      <c r="L177" s="12" t="s">
        <v>329</v>
      </c>
      <c r="M177" s="12" t="s">
        <v>1112</v>
      </c>
      <c r="N177" s="12">
        <v>32399</v>
      </c>
      <c r="O177" s="12">
        <v>62644</v>
      </c>
      <c r="P177" s="12">
        <v>0</v>
      </c>
      <c r="Q177" s="12" t="s">
        <v>1113</v>
      </c>
      <c r="R177" s="15" t="s">
        <v>1114</v>
      </c>
      <c r="S177" s="12">
        <v>79</v>
      </c>
      <c r="T177" s="12" t="s">
        <v>39</v>
      </c>
      <c r="U177" s="12" t="s">
        <v>371</v>
      </c>
      <c r="V177" s="12" t="s">
        <v>96</v>
      </c>
      <c r="W177" s="12">
        <v>135000000</v>
      </c>
      <c r="X177" s="12">
        <v>2011</v>
      </c>
      <c r="Y177" s="12">
        <v>11000</v>
      </c>
      <c r="Z177" s="12">
        <v>5.9</v>
      </c>
      <c r="AA177" s="12">
        <v>2.35</v>
      </c>
      <c r="AB177" s="12">
        <v>0</v>
      </c>
      <c r="AC177" s="12"/>
      <c r="AD177" s="12" t="str">
        <f>IFERROR(__xludf.DUMMYFUNCTION("""COMPUTED_VALUE"""),"Lara Pulver")</f>
        <v>Lara Pulver</v>
      </c>
      <c r="AE177" s="12"/>
    </row>
    <row r="178" customHeight="1" spans="1:31">
      <c r="A178" s="11" t="s">
        <v>30</v>
      </c>
      <c r="B178" s="11" t="s">
        <v>1115</v>
      </c>
      <c r="C178" s="11">
        <v>354</v>
      </c>
      <c r="D178" s="11">
        <v>135</v>
      </c>
      <c r="E178" s="11">
        <v>255</v>
      </c>
      <c r="F178" s="11">
        <v>882</v>
      </c>
      <c r="G178" s="11">
        <v>3000</v>
      </c>
      <c r="H178" s="11">
        <v>134518390</v>
      </c>
      <c r="I178" s="11" t="s">
        <v>73</v>
      </c>
      <c r="J178" s="11" t="s">
        <v>948</v>
      </c>
      <c r="K178" s="11" t="s">
        <v>1116</v>
      </c>
      <c r="L178" s="11" t="s">
        <v>191</v>
      </c>
      <c r="M178" s="11" t="s">
        <v>1117</v>
      </c>
      <c r="N178" s="11">
        <v>326286</v>
      </c>
      <c r="O178" s="11">
        <v>5811</v>
      </c>
      <c r="P178" s="11">
        <v>0</v>
      </c>
      <c r="Q178" s="11" t="s">
        <v>1118</v>
      </c>
      <c r="R178" s="14" t="s">
        <v>1119</v>
      </c>
      <c r="S178" s="11">
        <v>643</v>
      </c>
      <c r="T178" s="11" t="s">
        <v>39</v>
      </c>
      <c r="U178" s="11" t="s">
        <v>40</v>
      </c>
      <c r="V178" s="11" t="s">
        <v>41</v>
      </c>
      <c r="W178" s="11">
        <v>150000000</v>
      </c>
      <c r="X178" s="11">
        <v>2008</v>
      </c>
      <c r="Y178" s="11">
        <v>1000</v>
      </c>
      <c r="Z178" s="11">
        <v>6.8</v>
      </c>
      <c r="AA178" s="11">
        <v>2.35</v>
      </c>
      <c r="AB178" s="11">
        <v>0</v>
      </c>
      <c r="AC178" s="11"/>
      <c r="AD178" s="11" t="str">
        <f>IFERROR(__xludf.DUMMYFUNCTION("""COMPUTED_VALUE"""),"Noah Taylor")</f>
        <v>Noah Taylor</v>
      </c>
      <c r="AE178" s="11"/>
    </row>
    <row r="179" customHeight="1" spans="1:31">
      <c r="A179" s="12" t="s">
        <v>30</v>
      </c>
      <c r="B179" s="16"/>
      <c r="C179" s="12">
        <v>21</v>
      </c>
      <c r="D179" s="12">
        <v>60</v>
      </c>
      <c r="E179" s="16"/>
      <c r="F179" s="12">
        <v>184</v>
      </c>
      <c r="G179" s="12">
        <v>982</v>
      </c>
      <c r="H179" s="16"/>
      <c r="I179" s="12" t="s">
        <v>1120</v>
      </c>
      <c r="J179" s="12" t="s">
        <v>1121</v>
      </c>
      <c r="K179" s="12" t="s">
        <v>1122</v>
      </c>
      <c r="L179" s="12" t="s">
        <v>1123</v>
      </c>
      <c r="M179" s="12" t="s">
        <v>1124</v>
      </c>
      <c r="N179" s="12">
        <v>16769</v>
      </c>
      <c r="O179" s="12">
        <v>1687</v>
      </c>
      <c r="P179" s="12">
        <v>2</v>
      </c>
      <c r="Q179" s="12" t="s">
        <v>1125</v>
      </c>
      <c r="R179" s="15" t="s">
        <v>1126</v>
      </c>
      <c r="S179" s="12">
        <v>74</v>
      </c>
      <c r="T179" s="12" t="s">
        <v>39</v>
      </c>
      <c r="U179" s="12" t="s">
        <v>40</v>
      </c>
      <c r="V179" s="12" t="s">
        <v>1127</v>
      </c>
      <c r="W179" s="12">
        <v>1500000</v>
      </c>
      <c r="X179" s="16"/>
      <c r="Y179" s="12">
        <v>321</v>
      </c>
      <c r="Z179" s="12">
        <v>7.5</v>
      </c>
      <c r="AA179" s="12">
        <v>1.33</v>
      </c>
      <c r="AB179" s="12">
        <v>0</v>
      </c>
      <c r="AC179" s="12"/>
      <c r="AD179" s="12" t="str">
        <f>IFERROR(__xludf.DUMMYFUNCTION("""COMPUTED_VALUE"""),"Jeanne Tripplehorn")</f>
        <v>Jeanne Tripplehorn</v>
      </c>
      <c r="AE179" s="12"/>
    </row>
    <row r="180" customHeight="1" spans="1:31">
      <c r="A180" s="11" t="s">
        <v>30</v>
      </c>
      <c r="B180" s="11" t="s">
        <v>390</v>
      </c>
      <c r="C180" s="11">
        <v>252</v>
      </c>
      <c r="D180" s="11">
        <v>117</v>
      </c>
      <c r="E180" s="11">
        <v>14000</v>
      </c>
      <c r="F180" s="11">
        <v>358</v>
      </c>
      <c r="G180" s="11">
        <v>535</v>
      </c>
      <c r="H180" s="11">
        <v>52792307</v>
      </c>
      <c r="I180" s="11" t="s">
        <v>200</v>
      </c>
      <c r="J180" s="11" t="s">
        <v>1128</v>
      </c>
      <c r="K180" s="11" t="s">
        <v>1129</v>
      </c>
      <c r="L180" s="11" t="s">
        <v>1130</v>
      </c>
      <c r="M180" s="11" t="s">
        <v>1131</v>
      </c>
      <c r="N180" s="11">
        <v>12572</v>
      </c>
      <c r="O180" s="11">
        <v>1950</v>
      </c>
      <c r="P180" s="11">
        <v>0</v>
      </c>
      <c r="Q180" s="11" t="s">
        <v>1132</v>
      </c>
      <c r="R180" s="14" t="s">
        <v>1133</v>
      </c>
      <c r="S180" s="11">
        <v>106</v>
      </c>
      <c r="T180" s="11" t="s">
        <v>39</v>
      </c>
      <c r="U180" s="11" t="s">
        <v>58</v>
      </c>
      <c r="V180" s="11" t="s">
        <v>96</v>
      </c>
      <c r="W180" s="11">
        <v>140000000</v>
      </c>
      <c r="X180" s="11">
        <v>2016</v>
      </c>
      <c r="Y180" s="11">
        <v>400</v>
      </c>
      <c r="Z180" s="11">
        <v>6.8</v>
      </c>
      <c r="AA180" s="11">
        <v>2.35</v>
      </c>
      <c r="AB180" s="11">
        <v>27000</v>
      </c>
      <c r="AC180" s="11"/>
      <c r="AD180" s="11" t="str">
        <f>IFERROR(__xludf.DUMMYFUNCTION("""COMPUTED_VALUE"""),"Rick Aviles")</f>
        <v>Rick Aviles</v>
      </c>
      <c r="AE180" s="11"/>
    </row>
    <row r="181" customHeight="1" spans="1:31">
      <c r="A181" s="12" t="s">
        <v>30</v>
      </c>
      <c r="B181" s="12" t="s">
        <v>1134</v>
      </c>
      <c r="C181" s="12">
        <v>556</v>
      </c>
      <c r="D181" s="12">
        <v>156</v>
      </c>
      <c r="E181" s="12">
        <v>0</v>
      </c>
      <c r="F181" s="12">
        <v>733</v>
      </c>
      <c r="G181" s="12">
        <v>29000</v>
      </c>
      <c r="H181" s="12">
        <v>183635922</v>
      </c>
      <c r="I181" s="12" t="s">
        <v>1135</v>
      </c>
      <c r="J181" s="12" t="s">
        <v>215</v>
      </c>
      <c r="K181" s="12" t="s">
        <v>61</v>
      </c>
      <c r="L181" s="12" t="s">
        <v>1136</v>
      </c>
      <c r="M181" s="12" t="s">
        <v>1137</v>
      </c>
      <c r="N181" s="12">
        <v>406020</v>
      </c>
      <c r="O181" s="12">
        <v>57108</v>
      </c>
      <c r="P181" s="12">
        <v>0</v>
      </c>
      <c r="Q181" s="12" t="s">
        <v>1138</v>
      </c>
      <c r="R181" s="15" t="s">
        <v>1139</v>
      </c>
      <c r="S181" s="12">
        <v>1188</v>
      </c>
      <c r="T181" s="12" t="s">
        <v>39</v>
      </c>
      <c r="U181" s="12" t="s">
        <v>40</v>
      </c>
      <c r="V181" s="12" t="s">
        <v>586</v>
      </c>
      <c r="W181" s="12">
        <v>135000000</v>
      </c>
      <c r="X181" s="12">
        <v>2015</v>
      </c>
      <c r="Y181" s="12">
        <v>27000</v>
      </c>
      <c r="Z181" s="12">
        <v>8.1</v>
      </c>
      <c r="AA181" s="12">
        <v>2.35</v>
      </c>
      <c r="AB181" s="12">
        <v>190000</v>
      </c>
      <c r="AC181" s="12"/>
      <c r="AD181" s="12" t="str">
        <f>IFERROR(__xludf.DUMMYFUNCTION("""COMPUTED_VALUE"""),"Zakes Mokae")</f>
        <v>Zakes Mokae</v>
      </c>
      <c r="AE181" s="12"/>
    </row>
    <row r="182" customHeight="1" spans="1:31">
      <c r="A182" s="11" t="s">
        <v>30</v>
      </c>
      <c r="B182" s="11" t="s">
        <v>1140</v>
      </c>
      <c r="C182" s="11">
        <v>166</v>
      </c>
      <c r="D182" s="11">
        <v>96</v>
      </c>
      <c r="E182" s="11">
        <v>13</v>
      </c>
      <c r="F182" s="11">
        <v>463</v>
      </c>
      <c r="G182" s="11">
        <v>16000</v>
      </c>
      <c r="H182" s="11">
        <v>83024900</v>
      </c>
      <c r="I182" s="11" t="s">
        <v>308</v>
      </c>
      <c r="J182" s="11" t="s">
        <v>315</v>
      </c>
      <c r="K182" s="11" t="s">
        <v>1141</v>
      </c>
      <c r="L182" s="11" t="s">
        <v>1142</v>
      </c>
      <c r="M182" s="11" t="s">
        <v>1143</v>
      </c>
      <c r="N182" s="11">
        <v>62424</v>
      </c>
      <c r="O182" s="11">
        <v>17416</v>
      </c>
      <c r="P182" s="11">
        <v>0</v>
      </c>
      <c r="Q182" s="11" t="s">
        <v>1144</v>
      </c>
      <c r="R182" s="14" t="s">
        <v>1145</v>
      </c>
      <c r="S182" s="11">
        <v>90</v>
      </c>
      <c r="T182" s="11" t="s">
        <v>39</v>
      </c>
      <c r="U182" s="11" t="s">
        <v>40</v>
      </c>
      <c r="V182" s="11" t="s">
        <v>96</v>
      </c>
      <c r="W182" s="11">
        <v>135000000</v>
      </c>
      <c r="X182" s="11">
        <v>2013</v>
      </c>
      <c r="Y182" s="11">
        <v>881</v>
      </c>
      <c r="Z182" s="11">
        <v>6.5</v>
      </c>
      <c r="AA182" s="11">
        <v>2.35</v>
      </c>
      <c r="AB182" s="11">
        <v>13000</v>
      </c>
      <c r="AC182" s="11"/>
      <c r="AD182" s="11" t="str">
        <f>IFERROR(__xludf.DUMMYFUNCTION("""COMPUTED_VALUE"""),"Dennis Quaid")</f>
        <v>Dennis Quaid</v>
      </c>
      <c r="AE182" s="11"/>
    </row>
    <row r="183" customHeight="1" spans="1:31">
      <c r="A183" s="12" t="s">
        <v>30</v>
      </c>
      <c r="B183" s="12" t="s">
        <v>42</v>
      </c>
      <c r="C183" s="12">
        <v>362</v>
      </c>
      <c r="D183" s="12">
        <v>107</v>
      </c>
      <c r="E183" s="12">
        <v>563</v>
      </c>
      <c r="F183" s="12">
        <v>939</v>
      </c>
      <c r="G183" s="12">
        <v>40000</v>
      </c>
      <c r="H183" s="12">
        <v>123207194</v>
      </c>
      <c r="I183" s="12" t="s">
        <v>1146</v>
      </c>
      <c r="J183" s="12" t="s">
        <v>44</v>
      </c>
      <c r="K183" s="12" t="s">
        <v>392</v>
      </c>
      <c r="L183" s="12" t="s">
        <v>1147</v>
      </c>
      <c r="M183" s="12" t="s">
        <v>1148</v>
      </c>
      <c r="N183" s="12">
        <v>183208</v>
      </c>
      <c r="O183" s="12">
        <v>43291</v>
      </c>
      <c r="P183" s="12">
        <v>0</v>
      </c>
      <c r="Q183" s="12" t="s">
        <v>1149</v>
      </c>
      <c r="R183" s="15" t="s">
        <v>1150</v>
      </c>
      <c r="S183" s="12">
        <v>337</v>
      </c>
      <c r="T183" s="12" t="s">
        <v>39</v>
      </c>
      <c r="U183" s="12" t="s">
        <v>40</v>
      </c>
      <c r="V183" s="12" t="s">
        <v>96</v>
      </c>
      <c r="W183" s="12">
        <v>135000000</v>
      </c>
      <c r="X183" s="12">
        <v>2011</v>
      </c>
      <c r="Y183" s="12">
        <v>1000</v>
      </c>
      <c r="Z183" s="12">
        <v>7.2</v>
      </c>
      <c r="AA183" s="12">
        <v>2.35</v>
      </c>
      <c r="AB183" s="12">
        <v>26000</v>
      </c>
      <c r="AC183" s="12"/>
      <c r="AD183" s="12" t="str">
        <f>IFERROR(__xludf.DUMMYFUNCTION("""COMPUTED_VALUE"""),"Leo Howard")</f>
        <v>Leo Howard</v>
      </c>
      <c r="AE183" s="12"/>
    </row>
    <row r="184" customHeight="1" spans="1:31">
      <c r="A184" s="11" t="s">
        <v>30</v>
      </c>
      <c r="B184" s="11" t="s">
        <v>802</v>
      </c>
      <c r="C184" s="11">
        <v>153</v>
      </c>
      <c r="D184" s="11">
        <v>92</v>
      </c>
      <c r="E184" s="11">
        <v>35</v>
      </c>
      <c r="F184" s="11">
        <v>179</v>
      </c>
      <c r="G184" s="11">
        <v>19000</v>
      </c>
      <c r="H184" s="11">
        <v>83348920</v>
      </c>
      <c r="I184" s="11" t="s">
        <v>471</v>
      </c>
      <c r="J184" s="11" t="s">
        <v>353</v>
      </c>
      <c r="K184" s="11" t="s">
        <v>1151</v>
      </c>
      <c r="L184" s="11" t="s">
        <v>1152</v>
      </c>
      <c r="M184" s="11" t="s">
        <v>1153</v>
      </c>
      <c r="N184" s="11">
        <v>60230</v>
      </c>
      <c r="O184" s="11">
        <v>19963</v>
      </c>
      <c r="P184" s="11">
        <v>0</v>
      </c>
      <c r="Q184" s="11" t="s">
        <v>1154</v>
      </c>
      <c r="R184" s="14" t="s">
        <v>1155</v>
      </c>
      <c r="S184" s="11">
        <v>118</v>
      </c>
      <c r="T184" s="11" t="s">
        <v>39</v>
      </c>
      <c r="U184" s="11" t="s">
        <v>40</v>
      </c>
      <c r="V184" s="11" t="s">
        <v>96</v>
      </c>
      <c r="W184" s="11">
        <v>132000000</v>
      </c>
      <c r="X184" s="11">
        <v>2014</v>
      </c>
      <c r="Y184" s="11">
        <v>411</v>
      </c>
      <c r="Z184" s="11">
        <v>6.7</v>
      </c>
      <c r="AA184" s="11">
        <v>1.85</v>
      </c>
      <c r="AB184" s="11">
        <v>11000</v>
      </c>
      <c r="AC184" s="11"/>
      <c r="AD184" s="11" t="str">
        <f>IFERROR(__xludf.DUMMYFUNCTION("""COMPUTED_VALUE"""),"Mindy Kaling")</f>
        <v>Mindy Kaling</v>
      </c>
      <c r="AE184" s="11"/>
    </row>
    <row r="185" customHeight="1" spans="1:31">
      <c r="A185" s="12" t="s">
        <v>30</v>
      </c>
      <c r="B185" s="12" t="s">
        <v>1156</v>
      </c>
      <c r="C185" s="12">
        <v>329</v>
      </c>
      <c r="D185" s="12">
        <v>115</v>
      </c>
      <c r="E185" s="12">
        <v>521</v>
      </c>
      <c r="F185" s="12">
        <v>883</v>
      </c>
      <c r="G185" s="12">
        <v>13000</v>
      </c>
      <c r="H185" s="12">
        <v>227137090</v>
      </c>
      <c r="I185" s="12" t="s">
        <v>1157</v>
      </c>
      <c r="J185" s="12" t="s">
        <v>1158</v>
      </c>
      <c r="K185" s="12" t="s">
        <v>878</v>
      </c>
      <c r="L185" s="12" t="s">
        <v>241</v>
      </c>
      <c r="M185" s="12" t="s">
        <v>1159</v>
      </c>
      <c r="N185" s="12">
        <v>491077</v>
      </c>
      <c r="O185" s="12">
        <v>17369</v>
      </c>
      <c r="P185" s="12">
        <v>0</v>
      </c>
      <c r="Q185" s="12" t="s">
        <v>1160</v>
      </c>
      <c r="R185" s="15" t="s">
        <v>1161</v>
      </c>
      <c r="S185" s="12">
        <v>820</v>
      </c>
      <c r="T185" s="12" t="s">
        <v>39</v>
      </c>
      <c r="U185" s="12" t="s">
        <v>40</v>
      </c>
      <c r="V185" s="12" t="s">
        <v>41</v>
      </c>
      <c r="W185" s="12">
        <v>110000000</v>
      </c>
      <c r="X185" s="12">
        <v>2007</v>
      </c>
      <c r="Y185" s="12">
        <v>897</v>
      </c>
      <c r="Z185" s="12">
        <v>8.1</v>
      </c>
      <c r="AA185" s="12">
        <v>2.35</v>
      </c>
      <c r="AB185" s="12">
        <v>0</v>
      </c>
      <c r="AC185" s="12"/>
      <c r="AD185" s="12" t="str">
        <f>IFERROR(__xludf.DUMMYFUNCTION("""COMPUTED_VALUE"""),"Phyllis Smith")</f>
        <v>Phyllis Smith</v>
      </c>
      <c r="AE185" s="12"/>
    </row>
    <row r="186" customHeight="1" spans="1:31">
      <c r="A186" s="11" t="s">
        <v>30</v>
      </c>
      <c r="B186" s="11" t="s">
        <v>1162</v>
      </c>
      <c r="C186" s="11">
        <v>266</v>
      </c>
      <c r="D186" s="11">
        <v>92</v>
      </c>
      <c r="E186" s="11">
        <v>54</v>
      </c>
      <c r="F186" s="11">
        <v>562</v>
      </c>
      <c r="G186" s="11">
        <v>11000</v>
      </c>
      <c r="H186" s="11">
        <v>215395021</v>
      </c>
      <c r="I186" s="11" t="s">
        <v>803</v>
      </c>
      <c r="J186" s="11" t="s">
        <v>565</v>
      </c>
      <c r="K186" s="11" t="s">
        <v>994</v>
      </c>
      <c r="L186" s="11" t="s">
        <v>931</v>
      </c>
      <c r="M186" s="11" t="s">
        <v>1163</v>
      </c>
      <c r="N186" s="11">
        <v>307029</v>
      </c>
      <c r="O186" s="11">
        <v>12754</v>
      </c>
      <c r="P186" s="11">
        <v>0</v>
      </c>
      <c r="Q186" s="11" t="s">
        <v>1164</v>
      </c>
      <c r="R186" s="14" t="s">
        <v>1165</v>
      </c>
      <c r="S186" s="11">
        <v>360</v>
      </c>
      <c r="T186" s="11" t="s">
        <v>39</v>
      </c>
      <c r="U186" s="11" t="s">
        <v>40</v>
      </c>
      <c r="V186" s="11" t="s">
        <v>96</v>
      </c>
      <c r="W186" s="11">
        <v>130000000</v>
      </c>
      <c r="X186" s="11">
        <v>2008</v>
      </c>
      <c r="Y186" s="11">
        <v>967</v>
      </c>
      <c r="Z186" s="11">
        <v>7.6</v>
      </c>
      <c r="AA186" s="11">
        <v>2.35</v>
      </c>
      <c r="AB186" s="11">
        <v>6000</v>
      </c>
      <c r="AC186" s="11"/>
      <c r="AD186" s="11" t="str">
        <f>IFERROR(__xludf.DUMMYFUNCTION("""COMPUTED_VALUE"""),"Bill Murray")</f>
        <v>Bill Murray</v>
      </c>
      <c r="AE186" s="11"/>
    </row>
    <row r="187" customHeight="1" spans="1:31">
      <c r="A187" s="12" t="s">
        <v>30</v>
      </c>
      <c r="B187" s="12" t="s">
        <v>1166</v>
      </c>
      <c r="C187" s="12">
        <v>517</v>
      </c>
      <c r="D187" s="12">
        <v>117</v>
      </c>
      <c r="E187" s="12">
        <v>235</v>
      </c>
      <c r="F187" s="12">
        <v>680</v>
      </c>
      <c r="G187" s="12">
        <v>2000</v>
      </c>
      <c r="H187" s="12">
        <v>180191634</v>
      </c>
      <c r="I187" s="12" t="s">
        <v>509</v>
      </c>
      <c r="J187" s="12" t="s">
        <v>236</v>
      </c>
      <c r="K187" s="12" t="s">
        <v>594</v>
      </c>
      <c r="L187" s="12" t="s">
        <v>1167</v>
      </c>
      <c r="M187" s="12" t="s">
        <v>1168</v>
      </c>
      <c r="N187" s="12">
        <v>313866</v>
      </c>
      <c r="O187" s="12">
        <v>5730</v>
      </c>
      <c r="P187" s="12">
        <v>6</v>
      </c>
      <c r="Q187" s="12" t="s">
        <v>1169</v>
      </c>
      <c r="R187" s="15" t="s">
        <v>1170</v>
      </c>
      <c r="S187" s="12">
        <v>549</v>
      </c>
      <c r="T187" s="12" t="s">
        <v>39</v>
      </c>
      <c r="U187" s="12" t="s">
        <v>40</v>
      </c>
      <c r="V187" s="12" t="s">
        <v>41</v>
      </c>
      <c r="W187" s="12">
        <v>130000000</v>
      </c>
      <c r="X187" s="12">
        <v>2015</v>
      </c>
      <c r="Y187" s="12">
        <v>2000</v>
      </c>
      <c r="Z187" s="12">
        <v>7.4</v>
      </c>
      <c r="AA187" s="12">
        <v>1.85</v>
      </c>
      <c r="AB187" s="12">
        <v>61000</v>
      </c>
      <c r="AC187" s="12"/>
      <c r="AD187" s="12" t="str">
        <f>IFERROR(__xludf.DUMMYFUNCTION("""COMPUTED_VALUE"""),"Garry Shandling")</f>
        <v>Garry Shandling</v>
      </c>
      <c r="AE187" s="12"/>
    </row>
    <row r="188" customHeight="1" spans="1:31">
      <c r="A188" s="11" t="s">
        <v>30</v>
      </c>
      <c r="B188" s="11" t="s">
        <v>697</v>
      </c>
      <c r="C188" s="11">
        <v>502</v>
      </c>
      <c r="D188" s="11">
        <v>146</v>
      </c>
      <c r="E188" s="11">
        <v>508</v>
      </c>
      <c r="F188" s="11">
        <v>523</v>
      </c>
      <c r="G188" s="11">
        <v>34000</v>
      </c>
      <c r="H188" s="11">
        <v>424645577</v>
      </c>
      <c r="I188" s="11" t="s">
        <v>1171</v>
      </c>
      <c r="J188" s="11" t="s">
        <v>348</v>
      </c>
      <c r="K188" s="11" t="s">
        <v>700</v>
      </c>
      <c r="L188" s="11" t="s">
        <v>1172</v>
      </c>
      <c r="M188" s="11" t="s">
        <v>1173</v>
      </c>
      <c r="N188" s="11">
        <v>498397</v>
      </c>
      <c r="O188" s="11">
        <v>49355</v>
      </c>
      <c r="P188" s="11">
        <v>1</v>
      </c>
      <c r="Q188" s="11" t="s">
        <v>1174</v>
      </c>
      <c r="R188" s="14" t="s">
        <v>1175</v>
      </c>
      <c r="S188" s="11">
        <v>706</v>
      </c>
      <c r="T188" s="11" t="s">
        <v>39</v>
      </c>
      <c r="U188" s="11" t="s">
        <v>40</v>
      </c>
      <c r="V188" s="11" t="s">
        <v>41</v>
      </c>
      <c r="W188" s="11">
        <v>130000000</v>
      </c>
      <c r="X188" s="11">
        <v>2013</v>
      </c>
      <c r="Y188" s="11">
        <v>14000</v>
      </c>
      <c r="Z188" s="11">
        <v>7.6</v>
      </c>
      <c r="AA188" s="11">
        <v>2.35</v>
      </c>
      <c r="AB188" s="11">
        <v>82000</v>
      </c>
      <c r="AC188" s="11"/>
      <c r="AD188" s="11" t="str">
        <f>IFERROR(__xludf.DUMMYFUNCTION("""COMPUTED_VALUE"""),"Kristen Stewart")</f>
        <v>Kristen Stewart</v>
      </c>
      <c r="AE188" s="11"/>
    </row>
    <row r="189" customHeight="1" spans="1:31">
      <c r="A189" s="12" t="s">
        <v>30</v>
      </c>
      <c r="B189" s="12" t="s">
        <v>1105</v>
      </c>
      <c r="C189" s="12">
        <v>322</v>
      </c>
      <c r="D189" s="12">
        <v>115</v>
      </c>
      <c r="E189" s="12">
        <v>386</v>
      </c>
      <c r="F189" s="12">
        <v>12000</v>
      </c>
      <c r="G189" s="12">
        <v>21000</v>
      </c>
      <c r="H189" s="12">
        <v>292298923</v>
      </c>
      <c r="I189" s="12" t="s">
        <v>1106</v>
      </c>
      <c r="J189" s="12" t="s">
        <v>769</v>
      </c>
      <c r="K189" s="12" t="s">
        <v>559</v>
      </c>
      <c r="L189" s="12" t="s">
        <v>1107</v>
      </c>
      <c r="M189" s="12" t="s">
        <v>1108</v>
      </c>
      <c r="N189" s="12">
        <v>185394</v>
      </c>
      <c r="O189" s="12">
        <v>59177</v>
      </c>
      <c r="P189" s="12">
        <v>3</v>
      </c>
      <c r="Q189" s="12" t="s">
        <v>1109</v>
      </c>
      <c r="R189" s="15" t="s">
        <v>1110</v>
      </c>
      <c r="S189" s="12">
        <v>329</v>
      </c>
      <c r="T189" s="12" t="s">
        <v>39</v>
      </c>
      <c r="U189" s="12" t="s">
        <v>40</v>
      </c>
      <c r="V189" s="12" t="s">
        <v>41</v>
      </c>
      <c r="W189" s="12">
        <v>120000000</v>
      </c>
      <c r="X189" s="12">
        <v>2012</v>
      </c>
      <c r="Y189" s="12">
        <v>17000</v>
      </c>
      <c r="Z189" s="12">
        <v>5.5</v>
      </c>
      <c r="AA189" s="12">
        <v>2.35</v>
      </c>
      <c r="AB189" s="12">
        <v>65000</v>
      </c>
      <c r="AC189" s="12"/>
      <c r="AD189" s="12" t="str">
        <f>IFERROR(__xludf.DUMMYFUNCTION("""COMPUTED_VALUE"""),"Angelina Jolie Pitt")</f>
        <v>Angelina Jolie Pitt</v>
      </c>
      <c r="AE189" s="12"/>
    </row>
    <row r="190" customHeight="1" spans="1:31">
      <c r="A190" s="11" t="s">
        <v>30</v>
      </c>
      <c r="B190" s="11" t="s">
        <v>1176</v>
      </c>
      <c r="C190" s="11">
        <v>165</v>
      </c>
      <c r="D190" s="11">
        <v>94</v>
      </c>
      <c r="E190" s="11">
        <v>12</v>
      </c>
      <c r="F190" s="11">
        <v>183</v>
      </c>
      <c r="G190" s="11">
        <v>17000</v>
      </c>
      <c r="H190" s="11">
        <v>177343675</v>
      </c>
      <c r="I190" s="11" t="s">
        <v>1177</v>
      </c>
      <c r="J190" s="11" t="s">
        <v>1178</v>
      </c>
      <c r="K190" s="11" t="s">
        <v>1179</v>
      </c>
      <c r="L190" s="11" t="s">
        <v>1180</v>
      </c>
      <c r="M190" s="11" t="s">
        <v>1181</v>
      </c>
      <c r="N190" s="11">
        <v>70121</v>
      </c>
      <c r="O190" s="11">
        <v>17883</v>
      </c>
      <c r="P190" s="11">
        <v>0</v>
      </c>
      <c r="Q190" s="11" t="s">
        <v>1182</v>
      </c>
      <c r="R190" s="14" t="s">
        <v>1183</v>
      </c>
      <c r="S190" s="11">
        <v>214</v>
      </c>
      <c r="T190" s="11" t="s">
        <v>39</v>
      </c>
      <c r="U190" s="11" t="s">
        <v>40</v>
      </c>
      <c r="V190" s="11" t="s">
        <v>96</v>
      </c>
      <c r="W190" s="11">
        <v>135000000</v>
      </c>
      <c r="X190" s="11">
        <v>2015</v>
      </c>
      <c r="Y190" s="11">
        <v>523</v>
      </c>
      <c r="Z190" s="11">
        <v>6.7</v>
      </c>
      <c r="AA190" s="11">
        <v>1.85</v>
      </c>
      <c r="AB190" s="11">
        <v>26000</v>
      </c>
      <c r="AC190" s="11"/>
      <c r="AD190" s="11" t="str">
        <f>IFERROR(__xludf.DUMMYFUNCTION("""COMPUTED_VALUE"""),"Sharlto Copley")</f>
        <v>Sharlto Copley</v>
      </c>
      <c r="AE190" s="11"/>
    </row>
    <row r="191" customHeight="1" spans="1:31">
      <c r="A191" s="12" t="s">
        <v>30</v>
      </c>
      <c r="B191" s="12" t="s">
        <v>390</v>
      </c>
      <c r="C191" s="12">
        <v>401</v>
      </c>
      <c r="D191" s="12">
        <v>116</v>
      </c>
      <c r="E191" s="12">
        <v>14000</v>
      </c>
      <c r="F191" s="12">
        <v>807</v>
      </c>
      <c r="G191" s="12">
        <v>10000</v>
      </c>
      <c r="H191" s="12">
        <v>234277056</v>
      </c>
      <c r="I191" s="12" t="s">
        <v>1171</v>
      </c>
      <c r="J191" s="12" t="s">
        <v>523</v>
      </c>
      <c r="K191" s="12" t="s">
        <v>1184</v>
      </c>
      <c r="L191" s="12" t="s">
        <v>1185</v>
      </c>
      <c r="M191" s="12" t="s">
        <v>1186</v>
      </c>
      <c r="N191" s="12">
        <v>334345</v>
      </c>
      <c r="O191" s="12">
        <v>12758</v>
      </c>
      <c r="P191" s="12">
        <v>0</v>
      </c>
      <c r="Q191" s="12" t="s">
        <v>1187</v>
      </c>
      <c r="R191" s="15" t="s">
        <v>1188</v>
      </c>
      <c r="S191" s="12">
        <v>2741</v>
      </c>
      <c r="T191" s="12" t="s">
        <v>39</v>
      </c>
      <c r="U191" s="12" t="s">
        <v>40</v>
      </c>
      <c r="V191" s="12" t="s">
        <v>41</v>
      </c>
      <c r="W191" s="12">
        <v>132000000</v>
      </c>
      <c r="X191" s="12">
        <v>2005</v>
      </c>
      <c r="Y191" s="12">
        <v>1000</v>
      </c>
      <c r="Z191" s="12">
        <v>6.5</v>
      </c>
      <c r="AA191" s="12">
        <v>1.85</v>
      </c>
      <c r="AB191" s="12">
        <v>0</v>
      </c>
      <c r="AC191" s="12"/>
      <c r="AD191" s="12" t="str">
        <f>IFERROR(__xludf.DUMMYFUNCTION("""COMPUTED_VALUE"""),"Sam Riley")</f>
        <v>Sam Riley</v>
      </c>
      <c r="AE191" s="12"/>
    </row>
    <row r="192" customHeight="1" spans="1:31">
      <c r="A192" s="11" t="s">
        <v>30</v>
      </c>
      <c r="B192" s="11" t="s">
        <v>279</v>
      </c>
      <c r="C192" s="11">
        <v>94</v>
      </c>
      <c r="D192" s="11">
        <v>147</v>
      </c>
      <c r="E192" s="11">
        <v>0</v>
      </c>
      <c r="F192" s="11">
        <v>877</v>
      </c>
      <c r="G192" s="11">
        <v>10000</v>
      </c>
      <c r="H192" s="11">
        <v>138396624</v>
      </c>
      <c r="I192" s="11" t="s">
        <v>422</v>
      </c>
      <c r="J192" s="11" t="s">
        <v>166</v>
      </c>
      <c r="K192" s="11" t="s">
        <v>1189</v>
      </c>
      <c r="L192" s="11" t="s">
        <v>1190</v>
      </c>
      <c r="M192" s="11" t="s">
        <v>1191</v>
      </c>
      <c r="N192" s="11">
        <v>178126</v>
      </c>
      <c r="O192" s="11">
        <v>12954</v>
      </c>
      <c r="P192" s="11">
        <v>1</v>
      </c>
      <c r="Q192" s="11" t="s">
        <v>1192</v>
      </c>
      <c r="R192" s="14" t="s">
        <v>1193</v>
      </c>
      <c r="S192" s="11">
        <v>511</v>
      </c>
      <c r="T192" s="11" t="s">
        <v>39</v>
      </c>
      <c r="U192" s="11" t="s">
        <v>40</v>
      </c>
      <c r="V192" s="11" t="s">
        <v>586</v>
      </c>
      <c r="W192" s="11">
        <v>130000000</v>
      </c>
      <c r="X192" s="11">
        <v>2003</v>
      </c>
      <c r="Y192" s="11">
        <v>898</v>
      </c>
      <c r="Z192" s="11">
        <v>6.6</v>
      </c>
      <c r="AA192" s="11">
        <v>2.35</v>
      </c>
      <c r="AB192" s="11">
        <v>0</v>
      </c>
      <c r="AC192" s="11"/>
      <c r="AD192" s="11" t="str">
        <f>IFERROR(__xludf.DUMMYFUNCTION("""COMPUTED_VALUE"""),"Kodi Smit-McPhee")</f>
        <v>Kodi Smit-McPhee</v>
      </c>
      <c r="AE192" s="11"/>
    </row>
    <row r="193" customHeight="1" spans="1:31">
      <c r="A193" s="12" t="s">
        <v>30</v>
      </c>
      <c r="B193" s="12" t="s">
        <v>722</v>
      </c>
      <c r="C193" s="12">
        <v>246</v>
      </c>
      <c r="D193" s="12">
        <v>90</v>
      </c>
      <c r="E193" s="12">
        <v>50</v>
      </c>
      <c r="F193" s="12">
        <v>397</v>
      </c>
      <c r="G193" s="12">
        <v>4000</v>
      </c>
      <c r="H193" s="12">
        <v>149234747</v>
      </c>
      <c r="I193" s="12" t="s">
        <v>1036</v>
      </c>
      <c r="J193" s="12" t="s">
        <v>495</v>
      </c>
      <c r="K193" s="12" t="s">
        <v>1194</v>
      </c>
      <c r="L193" s="12" t="s">
        <v>1195</v>
      </c>
      <c r="M193" s="12" t="s">
        <v>1196</v>
      </c>
      <c r="N193" s="12">
        <v>114287</v>
      </c>
      <c r="O193" s="12">
        <v>5046</v>
      </c>
      <c r="P193" s="12">
        <v>0</v>
      </c>
      <c r="Q193" s="12" t="s">
        <v>1197</v>
      </c>
      <c r="R193" s="15" t="s">
        <v>1198</v>
      </c>
      <c r="S193" s="12">
        <v>137</v>
      </c>
      <c r="T193" s="12" t="s">
        <v>39</v>
      </c>
      <c r="U193" s="12" t="s">
        <v>40</v>
      </c>
      <c r="V193" s="12" t="s">
        <v>96</v>
      </c>
      <c r="W193" s="12">
        <v>130000000</v>
      </c>
      <c r="X193" s="12">
        <v>2011</v>
      </c>
      <c r="Y193" s="12">
        <v>442</v>
      </c>
      <c r="Z193" s="12">
        <v>6.7</v>
      </c>
      <c r="AA193" s="12">
        <v>2.35</v>
      </c>
      <c r="AB193" s="12">
        <v>16000</v>
      </c>
      <c r="AC193" s="12"/>
      <c r="AD193" s="12" t="str">
        <f>IFERROR(__xludf.DUMMYFUNCTION("""COMPUTED_VALUE"""),"Tamsin Egerton")</f>
        <v>Tamsin Egerton</v>
      </c>
      <c r="AE193" s="12"/>
    </row>
    <row r="194" customHeight="1" spans="1:31">
      <c r="A194" s="11" t="s">
        <v>30</v>
      </c>
      <c r="B194" s="11" t="s">
        <v>1199</v>
      </c>
      <c r="C194" s="11">
        <v>330</v>
      </c>
      <c r="D194" s="11">
        <v>101</v>
      </c>
      <c r="E194" s="11">
        <v>176</v>
      </c>
      <c r="F194" s="11">
        <v>282</v>
      </c>
      <c r="G194" s="11">
        <v>11000</v>
      </c>
      <c r="H194" s="11">
        <v>118311368</v>
      </c>
      <c r="I194" s="11" t="s">
        <v>1200</v>
      </c>
      <c r="J194" s="11" t="s">
        <v>565</v>
      </c>
      <c r="K194" s="11" t="s">
        <v>714</v>
      </c>
      <c r="L194" s="11" t="s">
        <v>1201</v>
      </c>
      <c r="M194" s="11" t="s">
        <v>1202</v>
      </c>
      <c r="N194" s="11">
        <v>245621</v>
      </c>
      <c r="O194" s="11">
        <v>12406</v>
      </c>
      <c r="P194" s="11">
        <v>1</v>
      </c>
      <c r="Q194" s="11" t="s">
        <v>1203</v>
      </c>
      <c r="R194" s="14" t="s">
        <v>1204</v>
      </c>
      <c r="S194" s="11">
        <v>514</v>
      </c>
      <c r="T194" s="11" t="s">
        <v>39</v>
      </c>
      <c r="U194" s="11" t="s">
        <v>40</v>
      </c>
      <c r="V194" s="11" t="s">
        <v>41</v>
      </c>
      <c r="W194" s="11">
        <v>110000000</v>
      </c>
      <c r="X194" s="11">
        <v>2010</v>
      </c>
      <c r="Y194" s="11">
        <v>702</v>
      </c>
      <c r="Z194" s="11">
        <v>6.4</v>
      </c>
      <c r="AA194" s="11">
        <v>2.35</v>
      </c>
      <c r="AB194" s="11">
        <v>23000</v>
      </c>
      <c r="AC194" s="11"/>
      <c r="AD194" s="11" t="str">
        <f>IFERROR(__xludf.DUMMYFUNCTION("""COMPUTED_VALUE"""),"Alice Englert")</f>
        <v>Alice Englert</v>
      </c>
      <c r="AE194" s="11"/>
    </row>
    <row r="195" customHeight="1" spans="1:31">
      <c r="A195" s="12" t="s">
        <v>30</v>
      </c>
      <c r="B195" s="12" t="s">
        <v>1205</v>
      </c>
      <c r="C195" s="12">
        <v>434</v>
      </c>
      <c r="D195" s="12">
        <v>138</v>
      </c>
      <c r="E195" s="12">
        <v>0</v>
      </c>
      <c r="F195" s="12">
        <v>8000</v>
      </c>
      <c r="G195" s="12">
        <v>12000</v>
      </c>
      <c r="H195" s="12">
        <v>101160529</v>
      </c>
      <c r="I195" s="12" t="s">
        <v>1023</v>
      </c>
      <c r="J195" s="12" t="s">
        <v>763</v>
      </c>
      <c r="K195" s="12" t="s">
        <v>1206</v>
      </c>
      <c r="L195" s="12" t="s">
        <v>1207</v>
      </c>
      <c r="M195" s="12" t="s">
        <v>1208</v>
      </c>
      <c r="N195" s="12">
        <v>200022</v>
      </c>
      <c r="O195" s="12">
        <v>32355</v>
      </c>
      <c r="P195" s="12">
        <v>2</v>
      </c>
      <c r="Q195" s="12" t="s">
        <v>1209</v>
      </c>
      <c r="R195" s="15" t="s">
        <v>1210</v>
      </c>
      <c r="S195" s="12">
        <v>1240</v>
      </c>
      <c r="T195" s="12" t="s">
        <v>39</v>
      </c>
      <c r="U195" s="12" t="s">
        <v>40</v>
      </c>
      <c r="V195" s="12" t="s">
        <v>41</v>
      </c>
      <c r="W195" s="12">
        <v>125000000</v>
      </c>
      <c r="X195" s="12">
        <v>2014</v>
      </c>
      <c r="Y195" s="12">
        <v>9000</v>
      </c>
      <c r="Z195" s="12">
        <v>5.8</v>
      </c>
      <c r="AA195" s="12">
        <v>1.85</v>
      </c>
      <c r="AB195" s="12">
        <v>71000</v>
      </c>
      <c r="AC195" s="12"/>
      <c r="AD195" s="12" t="str">
        <f>IFERROR(__xludf.DUMMYFUNCTION("""COMPUTED_VALUE"""),"Bipasha Basu")</f>
        <v>Bipasha Basu</v>
      </c>
      <c r="AE195" s="12"/>
    </row>
    <row r="196" customHeight="1" spans="1:31">
      <c r="A196" s="11" t="s">
        <v>30</v>
      </c>
      <c r="B196" s="11" t="s">
        <v>390</v>
      </c>
      <c r="C196" s="11">
        <v>440</v>
      </c>
      <c r="D196" s="11">
        <v>107</v>
      </c>
      <c r="E196" s="11">
        <v>14000</v>
      </c>
      <c r="F196" s="11">
        <v>845</v>
      </c>
      <c r="G196" s="11">
        <v>2000</v>
      </c>
      <c r="H196" s="11">
        <v>77564037</v>
      </c>
      <c r="I196" s="11" t="s">
        <v>1211</v>
      </c>
      <c r="J196" s="11" t="s">
        <v>1212</v>
      </c>
      <c r="K196" s="11" t="s">
        <v>1213</v>
      </c>
      <c r="L196" s="11" t="s">
        <v>1214</v>
      </c>
      <c r="M196" s="11" t="s">
        <v>1215</v>
      </c>
      <c r="N196" s="11">
        <v>177383</v>
      </c>
      <c r="O196" s="11">
        <v>4631</v>
      </c>
      <c r="P196" s="11">
        <v>1</v>
      </c>
      <c r="Q196" s="11" t="s">
        <v>1216</v>
      </c>
      <c r="R196" s="14" t="s">
        <v>1217</v>
      </c>
      <c r="S196" s="11">
        <v>447</v>
      </c>
      <c r="T196" s="11" t="s">
        <v>39</v>
      </c>
      <c r="U196" s="11" t="s">
        <v>40</v>
      </c>
      <c r="V196" s="11" t="s">
        <v>96</v>
      </c>
      <c r="W196" s="11">
        <v>135000000</v>
      </c>
      <c r="X196" s="11">
        <v>2011</v>
      </c>
      <c r="Y196" s="11">
        <v>871</v>
      </c>
      <c r="Z196" s="11">
        <v>7.4</v>
      </c>
      <c r="AA196" s="11">
        <v>2.35</v>
      </c>
      <c r="AB196" s="11">
        <v>44000</v>
      </c>
      <c r="AC196" s="11"/>
      <c r="AD196" s="11" t="str">
        <f>IFERROR(__xludf.DUMMYFUNCTION("""COMPUTED_VALUE"""),"Keanu Reeves")</f>
        <v>Keanu Reeves</v>
      </c>
      <c r="AE196" s="11"/>
    </row>
    <row r="197" customHeight="1" spans="1:31">
      <c r="A197" s="12" t="s">
        <v>30</v>
      </c>
      <c r="B197" s="12" t="s">
        <v>1218</v>
      </c>
      <c r="C197" s="12">
        <v>274</v>
      </c>
      <c r="D197" s="12">
        <v>142</v>
      </c>
      <c r="E197" s="12">
        <v>0</v>
      </c>
      <c r="F197" s="12">
        <v>10000</v>
      </c>
      <c r="G197" s="12">
        <v>11000</v>
      </c>
      <c r="H197" s="12">
        <v>249358727</v>
      </c>
      <c r="I197" s="12" t="s">
        <v>105</v>
      </c>
      <c r="J197" s="12" t="s">
        <v>107</v>
      </c>
      <c r="K197" s="12" t="s">
        <v>440</v>
      </c>
      <c r="L197" s="12" t="s">
        <v>108</v>
      </c>
      <c r="M197" s="12" t="s">
        <v>1219</v>
      </c>
      <c r="N197" s="12">
        <v>382255</v>
      </c>
      <c r="O197" s="12">
        <v>33284</v>
      </c>
      <c r="P197" s="12">
        <v>3</v>
      </c>
      <c r="Q197" s="12" t="s">
        <v>1220</v>
      </c>
      <c r="R197" s="15" t="s">
        <v>1221</v>
      </c>
      <c r="S197" s="12">
        <v>1504</v>
      </c>
      <c r="T197" s="12" t="s">
        <v>39</v>
      </c>
      <c r="U197" s="12" t="s">
        <v>58</v>
      </c>
      <c r="V197" s="12" t="s">
        <v>96</v>
      </c>
      <c r="W197" s="12">
        <v>130000000</v>
      </c>
      <c r="X197" s="12">
        <v>2004</v>
      </c>
      <c r="Y197" s="12">
        <v>10000</v>
      </c>
      <c r="Z197" s="12">
        <v>7.8</v>
      </c>
      <c r="AA197" s="12">
        <v>2.35</v>
      </c>
      <c r="AB197" s="12">
        <v>11000</v>
      </c>
      <c r="AC197" s="12"/>
      <c r="AD197" s="12" t="str">
        <f>IFERROR(__xludf.DUMMYFUNCTION("""COMPUTED_VALUE"""),"Cary-Hiroyuki Tagawa")</f>
        <v>Cary-Hiroyuki Tagawa</v>
      </c>
      <c r="AE197" s="12"/>
    </row>
    <row r="198" customHeight="1" spans="1:31">
      <c r="A198" s="11" t="s">
        <v>30</v>
      </c>
      <c r="B198" s="11" t="s">
        <v>365</v>
      </c>
      <c r="C198" s="11">
        <v>245</v>
      </c>
      <c r="D198" s="11">
        <v>165</v>
      </c>
      <c r="E198" s="11">
        <v>1000</v>
      </c>
      <c r="F198" s="11">
        <v>165</v>
      </c>
      <c r="G198" s="11">
        <v>309</v>
      </c>
      <c r="H198" s="11">
        <v>49551662</v>
      </c>
      <c r="I198" s="11" t="s">
        <v>1222</v>
      </c>
      <c r="J198" s="11" t="s">
        <v>822</v>
      </c>
      <c r="K198" s="11" t="s">
        <v>1042</v>
      </c>
      <c r="L198" s="11" t="s">
        <v>1223</v>
      </c>
      <c r="M198" s="11" t="s">
        <v>1224</v>
      </c>
      <c r="N198" s="11">
        <v>102338</v>
      </c>
      <c r="O198" s="11">
        <v>921</v>
      </c>
      <c r="P198" s="11">
        <v>0</v>
      </c>
      <c r="Q198" s="11" t="s">
        <v>1225</v>
      </c>
      <c r="R198" s="14" t="s">
        <v>1226</v>
      </c>
      <c r="S198" s="11">
        <v>450</v>
      </c>
      <c r="T198" s="11" t="s">
        <v>39</v>
      </c>
      <c r="U198" s="11" t="s">
        <v>371</v>
      </c>
      <c r="V198" s="11" t="s">
        <v>41</v>
      </c>
      <c r="W198" s="11">
        <v>130000000</v>
      </c>
      <c r="X198" s="11">
        <v>2008</v>
      </c>
      <c r="Y198" s="11">
        <v>284</v>
      </c>
      <c r="Z198" s="11">
        <v>6.6</v>
      </c>
      <c r="AA198" s="11">
        <v>2.35</v>
      </c>
      <c r="AB198" s="11">
        <v>0</v>
      </c>
      <c r="AC198" s="11"/>
      <c r="AD198" s="11" t="str">
        <f>IFERROR(__xludf.DUMMYFUNCTION("""COMPUTED_VALUE"""),"Jin Akanishi")</f>
        <v>Jin Akanishi</v>
      </c>
      <c r="AE198" s="11"/>
    </row>
    <row r="199" customHeight="1" spans="1:31">
      <c r="A199" s="12" t="s">
        <v>30</v>
      </c>
      <c r="B199" s="12" t="s">
        <v>913</v>
      </c>
      <c r="C199" s="12">
        <v>349</v>
      </c>
      <c r="D199" s="12">
        <v>100</v>
      </c>
      <c r="E199" s="12">
        <v>0</v>
      </c>
      <c r="F199" s="12">
        <v>894</v>
      </c>
      <c r="G199" s="12">
        <v>10000</v>
      </c>
      <c r="H199" s="12">
        <v>60522097</v>
      </c>
      <c r="I199" s="12" t="s">
        <v>73</v>
      </c>
      <c r="J199" s="12" t="s">
        <v>166</v>
      </c>
      <c r="K199" s="12" t="s">
        <v>847</v>
      </c>
      <c r="L199" s="12" t="s">
        <v>280</v>
      </c>
      <c r="M199" s="12" t="s">
        <v>1227</v>
      </c>
      <c r="N199" s="12">
        <v>158720</v>
      </c>
      <c r="O199" s="12">
        <v>14168</v>
      </c>
      <c r="P199" s="12">
        <v>0</v>
      </c>
      <c r="Q199" s="12" t="s">
        <v>1228</v>
      </c>
      <c r="R199" s="15" t="s">
        <v>1229</v>
      </c>
      <c r="S199" s="12">
        <v>744</v>
      </c>
      <c r="T199" s="12" t="s">
        <v>39</v>
      </c>
      <c r="U199" s="12" t="s">
        <v>40</v>
      </c>
      <c r="V199" s="12" t="s">
        <v>41</v>
      </c>
      <c r="W199" s="12">
        <v>130000000</v>
      </c>
      <c r="X199" s="12">
        <v>2013</v>
      </c>
      <c r="Y199" s="12">
        <v>943</v>
      </c>
      <c r="Z199" s="12">
        <v>4.9</v>
      </c>
      <c r="AA199" s="12">
        <v>2.35</v>
      </c>
      <c r="AB199" s="12">
        <v>37000</v>
      </c>
      <c r="AC199" s="12"/>
      <c r="AD199" s="12" t="str">
        <f>IFERROR(__xludf.DUMMYFUNCTION("""COMPUTED_VALUE"""),"Hayley Atwell")</f>
        <v>Hayley Atwell</v>
      </c>
      <c r="AE199" s="12"/>
    </row>
    <row r="200" customHeight="1" spans="1:31">
      <c r="A200" s="11" t="s">
        <v>30</v>
      </c>
      <c r="B200" s="11" t="s">
        <v>1230</v>
      </c>
      <c r="C200" s="11">
        <v>145</v>
      </c>
      <c r="D200" s="11">
        <v>82</v>
      </c>
      <c r="E200" s="11">
        <v>0</v>
      </c>
      <c r="F200" s="11">
        <v>388</v>
      </c>
      <c r="G200" s="11">
        <v>1000</v>
      </c>
      <c r="H200" s="11">
        <v>137748063</v>
      </c>
      <c r="I200" s="11" t="s">
        <v>1231</v>
      </c>
      <c r="J200" s="11" t="s">
        <v>1232</v>
      </c>
      <c r="K200" s="11" t="s">
        <v>1233</v>
      </c>
      <c r="L200" s="11" t="s">
        <v>1234</v>
      </c>
      <c r="M200" s="11" t="s">
        <v>1235</v>
      </c>
      <c r="N200" s="11">
        <v>38438</v>
      </c>
      <c r="O200" s="11">
        <v>2945</v>
      </c>
      <c r="P200" s="11">
        <v>1</v>
      </c>
      <c r="Q200" s="11" t="s">
        <v>1236</v>
      </c>
      <c r="R200" s="14" t="s">
        <v>1237</v>
      </c>
      <c r="S200" s="11">
        <v>241</v>
      </c>
      <c r="T200" s="11" t="s">
        <v>39</v>
      </c>
      <c r="U200" s="11" t="s">
        <v>40</v>
      </c>
      <c r="V200" s="11" t="s">
        <v>96</v>
      </c>
      <c r="W200" s="11">
        <v>127500000</v>
      </c>
      <c r="X200" s="11">
        <v>2000</v>
      </c>
      <c r="Y200" s="11">
        <v>558</v>
      </c>
      <c r="Z200" s="11">
        <v>6.5</v>
      </c>
      <c r="AA200" s="11">
        <v>1.85</v>
      </c>
      <c r="AB200" s="11">
        <v>0</v>
      </c>
      <c r="AC200" s="11"/>
      <c r="AD200" s="11" t="str">
        <f>IFERROR(__xludf.DUMMYFUNCTION("""COMPUTED_VALUE"""),"Jon Hamm")</f>
        <v>Jon Hamm</v>
      </c>
      <c r="AE200" s="11"/>
    </row>
    <row r="201" customHeight="1" spans="1:31">
      <c r="A201" s="12" t="s">
        <v>30</v>
      </c>
      <c r="B201" s="12" t="s">
        <v>1238</v>
      </c>
      <c r="C201" s="12">
        <v>1</v>
      </c>
      <c r="D201" s="16"/>
      <c r="E201" s="12">
        <v>0</v>
      </c>
      <c r="F201" s="12">
        <v>159</v>
      </c>
      <c r="G201" s="12">
        <v>10000</v>
      </c>
      <c r="H201" s="16"/>
      <c r="I201" s="12" t="s">
        <v>1239</v>
      </c>
      <c r="J201" s="12" t="s">
        <v>108</v>
      </c>
      <c r="K201" s="12" t="s">
        <v>1240</v>
      </c>
      <c r="L201" s="12" t="s">
        <v>1241</v>
      </c>
      <c r="M201" s="12" t="s">
        <v>1242</v>
      </c>
      <c r="N201" s="12">
        <v>381</v>
      </c>
      <c r="O201" s="12">
        <v>11036</v>
      </c>
      <c r="P201" s="12">
        <v>1</v>
      </c>
      <c r="Q201" s="16"/>
      <c r="R201" s="15" t="s">
        <v>1243</v>
      </c>
      <c r="S201" s="12">
        <v>2</v>
      </c>
      <c r="T201" s="12" t="s">
        <v>39</v>
      </c>
      <c r="U201" s="12" t="s">
        <v>58</v>
      </c>
      <c r="V201" s="16"/>
      <c r="W201" s="16"/>
      <c r="X201" s="12">
        <v>2011</v>
      </c>
      <c r="Y201" s="12">
        <v>570</v>
      </c>
      <c r="Z201" s="12">
        <v>7.5</v>
      </c>
      <c r="AA201" s="16"/>
      <c r="AB201" s="12">
        <v>40</v>
      </c>
      <c r="AC201" s="12"/>
      <c r="AD201" s="12" t="str">
        <f>IFERROR(__xludf.DUMMYFUNCTION("""COMPUTED_VALUE"""),"Kathy Griffin")</f>
        <v>Kathy Griffin</v>
      </c>
      <c r="AE201" s="12"/>
    </row>
    <row r="202" customHeight="1" spans="1:31">
      <c r="A202" s="11" t="s">
        <v>30</v>
      </c>
      <c r="B202" s="11" t="s">
        <v>810</v>
      </c>
      <c r="C202" s="11">
        <v>154</v>
      </c>
      <c r="D202" s="11">
        <v>98</v>
      </c>
      <c r="E202" s="11">
        <v>189</v>
      </c>
      <c r="F202" s="11">
        <v>1000</v>
      </c>
      <c r="G202" s="11">
        <v>49000</v>
      </c>
      <c r="H202" s="11">
        <v>113733726</v>
      </c>
      <c r="I202" s="11" t="s">
        <v>788</v>
      </c>
      <c r="J202" s="11" t="s">
        <v>811</v>
      </c>
      <c r="K202" s="11" t="s">
        <v>812</v>
      </c>
      <c r="L202" s="11" t="s">
        <v>813</v>
      </c>
      <c r="M202" s="11" t="s">
        <v>1244</v>
      </c>
      <c r="N202" s="11">
        <v>67223</v>
      </c>
      <c r="O202" s="11">
        <v>53587</v>
      </c>
      <c r="P202" s="11">
        <v>7</v>
      </c>
      <c r="Q202" s="11" t="s">
        <v>1245</v>
      </c>
      <c r="R202" s="14" t="s">
        <v>1246</v>
      </c>
      <c r="S202" s="11">
        <v>126</v>
      </c>
      <c r="T202" s="11" t="s">
        <v>39</v>
      </c>
      <c r="U202" s="11" t="s">
        <v>40</v>
      </c>
      <c r="V202" s="11" t="s">
        <v>96</v>
      </c>
      <c r="W202" s="11">
        <v>127000000</v>
      </c>
      <c r="X202" s="11">
        <v>2014</v>
      </c>
      <c r="Y202" s="11">
        <v>3000</v>
      </c>
      <c r="Z202" s="11">
        <v>6.2</v>
      </c>
      <c r="AA202" s="11">
        <v>1.85</v>
      </c>
      <c r="AB202" s="11">
        <v>11000</v>
      </c>
      <c r="AC202" s="11"/>
      <c r="AD202" s="11" t="str">
        <f>IFERROR(__xludf.DUMMYFUNCTION("""COMPUTED_VALUE"""),"Mary Kay Place")</f>
        <v>Mary Kay Place</v>
      </c>
      <c r="AE202" s="11"/>
    </row>
    <row r="203" customHeight="1" spans="1:31">
      <c r="A203" s="12" t="s">
        <v>30</v>
      </c>
      <c r="B203" s="12" t="s">
        <v>1247</v>
      </c>
      <c r="C203" s="12">
        <v>233</v>
      </c>
      <c r="D203" s="12">
        <v>95</v>
      </c>
      <c r="E203" s="12">
        <v>96</v>
      </c>
      <c r="F203" s="12">
        <v>8000</v>
      </c>
      <c r="G203" s="12">
        <v>24000</v>
      </c>
      <c r="H203" s="12">
        <v>148337537</v>
      </c>
      <c r="I203" s="12" t="s">
        <v>1248</v>
      </c>
      <c r="J203" s="12" t="s">
        <v>82</v>
      </c>
      <c r="K203" s="12" t="s">
        <v>343</v>
      </c>
      <c r="L203" s="12" t="s">
        <v>1249</v>
      </c>
      <c r="M203" s="12" t="s">
        <v>1250</v>
      </c>
      <c r="N203" s="12">
        <v>172754</v>
      </c>
      <c r="O203" s="12">
        <v>46120</v>
      </c>
      <c r="P203" s="12">
        <v>3</v>
      </c>
      <c r="Q203" s="12" t="s">
        <v>1251</v>
      </c>
      <c r="R203" s="15" t="s">
        <v>1252</v>
      </c>
      <c r="S203" s="12">
        <v>187</v>
      </c>
      <c r="T203" s="12" t="s">
        <v>39</v>
      </c>
      <c r="U203" s="12" t="s">
        <v>40</v>
      </c>
      <c r="V203" s="12" t="s">
        <v>96</v>
      </c>
      <c r="W203" s="12">
        <v>130000000</v>
      </c>
      <c r="X203" s="12">
        <v>2010</v>
      </c>
      <c r="Y203" s="12">
        <v>11000</v>
      </c>
      <c r="Z203" s="12">
        <v>7.3</v>
      </c>
      <c r="AA203" s="12">
        <v>2.35</v>
      </c>
      <c r="AB203" s="12">
        <v>13000</v>
      </c>
      <c r="AC203" s="12"/>
      <c r="AD203" s="12" t="str">
        <f>IFERROR(__xludf.DUMMYFUNCTION("""COMPUTED_VALUE"""),"Chris Bauer")</f>
        <v>Chris Bauer</v>
      </c>
      <c r="AE203" s="12"/>
    </row>
    <row r="204" customHeight="1" spans="1:31">
      <c r="A204" s="11" t="s">
        <v>30</v>
      </c>
      <c r="B204" s="11" t="s">
        <v>1253</v>
      </c>
      <c r="C204" s="11">
        <v>258</v>
      </c>
      <c r="D204" s="11">
        <v>159</v>
      </c>
      <c r="E204" s="11">
        <v>0</v>
      </c>
      <c r="F204" s="11">
        <v>645</v>
      </c>
      <c r="G204" s="11">
        <v>11000</v>
      </c>
      <c r="H204" s="11">
        <v>317557891</v>
      </c>
      <c r="I204" s="11" t="s">
        <v>200</v>
      </c>
      <c r="J204" s="11" t="s">
        <v>107</v>
      </c>
      <c r="K204" s="11" t="s">
        <v>770</v>
      </c>
      <c r="L204" s="11" t="s">
        <v>1254</v>
      </c>
      <c r="M204" s="11" t="s">
        <v>1255</v>
      </c>
      <c r="N204" s="11">
        <v>444683</v>
      </c>
      <c r="O204" s="11">
        <v>13191</v>
      </c>
      <c r="P204" s="11">
        <v>4</v>
      </c>
      <c r="Q204" s="11" t="s">
        <v>1256</v>
      </c>
      <c r="R204" s="14" t="s">
        <v>1257</v>
      </c>
      <c r="S204" s="11">
        <v>1571</v>
      </c>
      <c r="T204" s="11" t="s">
        <v>39</v>
      </c>
      <c r="U204" s="11" t="s">
        <v>58</v>
      </c>
      <c r="V204" s="11" t="s">
        <v>96</v>
      </c>
      <c r="W204" s="11">
        <v>125000000</v>
      </c>
      <c r="X204" s="11">
        <v>2001</v>
      </c>
      <c r="Y204" s="11">
        <v>687</v>
      </c>
      <c r="Z204" s="11">
        <v>7.5</v>
      </c>
      <c r="AA204" s="11">
        <v>2.35</v>
      </c>
      <c r="AB204" s="11">
        <v>16000</v>
      </c>
      <c r="AC204" s="11"/>
      <c r="AD204" s="11" t="str">
        <f>IFERROR(__xludf.DUMMYFUNCTION("""COMPUTED_VALUE"""),"Thomas Robinson")</f>
        <v>Thomas Robinson</v>
      </c>
      <c r="AE204" s="11"/>
    </row>
    <row r="205" customHeight="1" spans="1:31">
      <c r="A205" s="12" t="s">
        <v>30</v>
      </c>
      <c r="B205" s="12" t="s">
        <v>1258</v>
      </c>
      <c r="C205" s="12">
        <v>208</v>
      </c>
      <c r="D205" s="12">
        <v>96</v>
      </c>
      <c r="E205" s="12">
        <v>124</v>
      </c>
      <c r="F205" s="12">
        <v>1000</v>
      </c>
      <c r="G205" s="12">
        <v>16000</v>
      </c>
      <c r="H205" s="12">
        <v>33592415</v>
      </c>
      <c r="I205" s="12" t="s">
        <v>1259</v>
      </c>
      <c r="J205" s="12" t="s">
        <v>315</v>
      </c>
      <c r="K205" s="12" t="s">
        <v>301</v>
      </c>
      <c r="L205" s="12" t="s">
        <v>1260</v>
      </c>
      <c r="M205" s="12" t="s">
        <v>1261</v>
      </c>
      <c r="N205" s="12">
        <v>91640</v>
      </c>
      <c r="O205" s="12">
        <v>31549</v>
      </c>
      <c r="P205" s="12">
        <v>2</v>
      </c>
      <c r="Q205" s="12" t="s">
        <v>1262</v>
      </c>
      <c r="R205" s="15" t="s">
        <v>1263</v>
      </c>
      <c r="S205" s="12">
        <v>210</v>
      </c>
      <c r="T205" s="12" t="s">
        <v>39</v>
      </c>
      <c r="U205" s="12" t="s">
        <v>40</v>
      </c>
      <c r="V205" s="12" t="s">
        <v>41</v>
      </c>
      <c r="W205" s="12">
        <v>130000000</v>
      </c>
      <c r="X205" s="12">
        <v>2013</v>
      </c>
      <c r="Y205" s="12">
        <v>12000</v>
      </c>
      <c r="Z205" s="12">
        <v>5.6</v>
      </c>
      <c r="AA205" s="12">
        <v>2.35</v>
      </c>
      <c r="AB205" s="12">
        <v>20000</v>
      </c>
      <c r="AC205" s="12"/>
      <c r="AD205" s="12" t="str">
        <f>IFERROR(__xludf.DUMMYFUNCTION("""COMPUTED_VALUE"""),"Damon Wayans Jr.")</f>
        <v>Damon Wayans Jr.</v>
      </c>
      <c r="AE205" s="12"/>
    </row>
    <row r="206" customHeight="1" spans="1:31">
      <c r="A206" s="11" t="s">
        <v>30</v>
      </c>
      <c r="B206" s="11" t="s">
        <v>669</v>
      </c>
      <c r="C206" s="11">
        <v>1</v>
      </c>
      <c r="D206" s="11">
        <v>120</v>
      </c>
      <c r="E206" s="11">
        <v>28</v>
      </c>
      <c r="F206" s="11">
        <v>12</v>
      </c>
      <c r="G206" s="11">
        <v>544</v>
      </c>
      <c r="H206" s="13"/>
      <c r="I206" s="11" t="s">
        <v>670</v>
      </c>
      <c r="J206" s="11" t="s">
        <v>671</v>
      </c>
      <c r="K206" s="11" t="s">
        <v>672</v>
      </c>
      <c r="L206" s="11" t="s">
        <v>673</v>
      </c>
      <c r="M206" s="11" t="s">
        <v>674</v>
      </c>
      <c r="N206" s="11">
        <v>374</v>
      </c>
      <c r="O206" s="11">
        <v>699</v>
      </c>
      <c r="P206" s="11">
        <v>0</v>
      </c>
      <c r="Q206" s="11" t="s">
        <v>675</v>
      </c>
      <c r="R206" s="14" t="s">
        <v>676</v>
      </c>
      <c r="S206" s="11">
        <v>13</v>
      </c>
      <c r="T206" s="11" t="s">
        <v>677</v>
      </c>
      <c r="U206" s="11" t="s">
        <v>678</v>
      </c>
      <c r="V206" s="13"/>
      <c r="W206" s="13"/>
      <c r="X206" s="11">
        <v>2016</v>
      </c>
      <c r="Y206" s="11">
        <v>106</v>
      </c>
      <c r="Z206" s="11">
        <v>8.2</v>
      </c>
      <c r="AA206" s="11">
        <v>2.35</v>
      </c>
      <c r="AB206" s="11">
        <v>0</v>
      </c>
      <c r="AC206" s="11"/>
      <c r="AD206" s="11" t="str">
        <f>IFERROR(__xludf.DUMMYFUNCTION("""COMPUTED_VALUE"""),"Daniel Henney")</f>
        <v>Daniel Henney</v>
      </c>
      <c r="AE206" s="11"/>
    </row>
    <row r="207" customHeight="1" spans="1:31">
      <c r="A207" s="12" t="s">
        <v>30</v>
      </c>
      <c r="B207" s="12" t="s">
        <v>42</v>
      </c>
      <c r="C207" s="12">
        <v>271</v>
      </c>
      <c r="D207" s="12">
        <v>143</v>
      </c>
      <c r="E207" s="12">
        <v>563</v>
      </c>
      <c r="F207" s="12">
        <v>1000</v>
      </c>
      <c r="G207" s="12">
        <v>40000</v>
      </c>
      <c r="H207" s="12">
        <v>305388685</v>
      </c>
      <c r="I207" s="12" t="s">
        <v>43</v>
      </c>
      <c r="J207" s="12" t="s">
        <v>44</v>
      </c>
      <c r="K207" s="12" t="s">
        <v>45</v>
      </c>
      <c r="L207" s="12" t="s">
        <v>46</v>
      </c>
      <c r="M207" s="12" t="s">
        <v>1264</v>
      </c>
      <c r="N207" s="12">
        <v>809474</v>
      </c>
      <c r="O207" s="12">
        <v>48184</v>
      </c>
      <c r="P207" s="12">
        <v>3</v>
      </c>
      <c r="Q207" s="12" t="s">
        <v>1265</v>
      </c>
      <c r="R207" s="15" t="s">
        <v>1266</v>
      </c>
      <c r="S207" s="12">
        <v>2113</v>
      </c>
      <c r="T207" s="12" t="s">
        <v>39</v>
      </c>
      <c r="U207" s="12" t="s">
        <v>40</v>
      </c>
      <c r="V207" s="12" t="s">
        <v>41</v>
      </c>
      <c r="W207" s="12">
        <v>140000000</v>
      </c>
      <c r="X207" s="12">
        <v>2003</v>
      </c>
      <c r="Y207" s="12">
        <v>5000</v>
      </c>
      <c r="Z207" s="12">
        <v>8.1</v>
      </c>
      <c r="AA207" s="12">
        <v>2.35</v>
      </c>
      <c r="AB207" s="12">
        <v>10000</v>
      </c>
      <c r="AC207" s="12"/>
      <c r="AD207" s="12" t="str">
        <f>IFERROR(__xludf.DUMMYFUNCTION("""COMPUTED_VALUE"""),"Abraham Benrubi")</f>
        <v>Abraham Benrubi</v>
      </c>
      <c r="AE207" s="12"/>
    </row>
    <row r="208" customHeight="1" spans="1:31">
      <c r="A208" s="11" t="s">
        <v>30</v>
      </c>
      <c r="B208" s="11" t="s">
        <v>1238</v>
      </c>
      <c r="C208" s="11">
        <v>4</v>
      </c>
      <c r="D208" s="13"/>
      <c r="E208" s="11">
        <v>0</v>
      </c>
      <c r="F208" s="11">
        <v>1000</v>
      </c>
      <c r="G208" s="11">
        <v>10000</v>
      </c>
      <c r="H208" s="13"/>
      <c r="I208" s="11" t="s">
        <v>1267</v>
      </c>
      <c r="J208" s="11" t="s">
        <v>108</v>
      </c>
      <c r="K208" s="11" t="s">
        <v>1212</v>
      </c>
      <c r="L208" s="11" t="s">
        <v>1268</v>
      </c>
      <c r="M208" s="11" t="s">
        <v>1269</v>
      </c>
      <c r="N208" s="11">
        <v>252</v>
      </c>
      <c r="O208" s="11">
        <v>14719</v>
      </c>
      <c r="P208" s="11">
        <v>1</v>
      </c>
      <c r="Q208" s="13"/>
      <c r="R208" s="14" t="s">
        <v>1270</v>
      </c>
      <c r="S208" s="11">
        <v>2</v>
      </c>
      <c r="T208" s="11" t="s">
        <v>39</v>
      </c>
      <c r="U208" s="11" t="s">
        <v>58</v>
      </c>
      <c r="V208" s="13"/>
      <c r="W208" s="13"/>
      <c r="X208" s="11">
        <v>2010</v>
      </c>
      <c r="Y208" s="11">
        <v>2000</v>
      </c>
      <c r="Z208" s="11">
        <v>6.4</v>
      </c>
      <c r="AA208" s="13"/>
      <c r="AB208" s="11">
        <v>25</v>
      </c>
      <c r="AC208" s="11"/>
      <c r="AD208" s="11" t="str">
        <f>IFERROR(__xludf.DUMMYFUNCTION("""COMPUTED_VALUE"""),"Jack McBrayer")</f>
        <v>Jack McBrayer</v>
      </c>
      <c r="AE208" s="11"/>
    </row>
    <row r="209" customHeight="1" spans="1:31">
      <c r="A209" s="12" t="s">
        <v>30</v>
      </c>
      <c r="B209" s="12" t="s">
        <v>697</v>
      </c>
      <c r="C209" s="12">
        <v>403</v>
      </c>
      <c r="D209" s="12">
        <v>123</v>
      </c>
      <c r="E209" s="12">
        <v>508</v>
      </c>
      <c r="F209" s="12">
        <v>14000</v>
      </c>
      <c r="G209" s="12">
        <v>34000</v>
      </c>
      <c r="H209" s="12">
        <v>337103873</v>
      </c>
      <c r="I209" s="12" t="s">
        <v>1171</v>
      </c>
      <c r="J209" s="12" t="s">
        <v>348</v>
      </c>
      <c r="K209" s="12" t="s">
        <v>699</v>
      </c>
      <c r="L209" s="12" t="s">
        <v>700</v>
      </c>
      <c r="M209" s="12" t="s">
        <v>1271</v>
      </c>
      <c r="N209" s="12">
        <v>305008</v>
      </c>
      <c r="O209" s="12">
        <v>81385</v>
      </c>
      <c r="P209" s="12">
        <v>1</v>
      </c>
      <c r="Q209" s="12" t="s">
        <v>1272</v>
      </c>
      <c r="R209" s="15" t="s">
        <v>1273</v>
      </c>
      <c r="S209" s="12">
        <v>591</v>
      </c>
      <c r="T209" s="12" t="s">
        <v>39</v>
      </c>
      <c r="U209" s="12" t="s">
        <v>40</v>
      </c>
      <c r="V209" s="12" t="s">
        <v>41</v>
      </c>
      <c r="W209" s="12">
        <v>125000000</v>
      </c>
      <c r="X209" s="12">
        <v>2014</v>
      </c>
      <c r="Y209" s="12">
        <v>22000</v>
      </c>
      <c r="Z209" s="12">
        <v>6.7</v>
      </c>
      <c r="AA209" s="12">
        <v>2.35</v>
      </c>
      <c r="AB209" s="12">
        <v>52000</v>
      </c>
      <c r="AC209" s="12"/>
      <c r="AD209" s="12" t="str">
        <f>IFERROR(__xludf.DUMMYFUNCTION("""COMPUTED_VALUE"""),"Sarah Silverman")</f>
        <v>Sarah Silverman</v>
      </c>
      <c r="AE209" s="12"/>
    </row>
    <row r="210" customHeight="1" spans="1:31">
      <c r="A210" s="11" t="s">
        <v>30</v>
      </c>
      <c r="B210" s="11" t="s">
        <v>851</v>
      </c>
      <c r="C210" s="11">
        <v>294</v>
      </c>
      <c r="D210" s="11">
        <v>174</v>
      </c>
      <c r="E210" s="11">
        <v>2000</v>
      </c>
      <c r="F210" s="11">
        <v>362</v>
      </c>
      <c r="G210" s="11">
        <v>15000</v>
      </c>
      <c r="H210" s="11">
        <v>217536138</v>
      </c>
      <c r="I210" s="11" t="s">
        <v>852</v>
      </c>
      <c r="J210" s="11" t="s">
        <v>322</v>
      </c>
      <c r="K210" s="11" t="s">
        <v>1274</v>
      </c>
      <c r="L210" s="11" t="s">
        <v>1275</v>
      </c>
      <c r="M210" s="11" t="s">
        <v>1276</v>
      </c>
      <c r="N210" s="11">
        <v>314253</v>
      </c>
      <c r="O210" s="11">
        <v>16008</v>
      </c>
      <c r="P210" s="11">
        <v>2</v>
      </c>
      <c r="Q210" s="11" t="s">
        <v>1277</v>
      </c>
      <c r="R210" s="14" t="s">
        <v>1278</v>
      </c>
      <c r="S210" s="11">
        <v>1966</v>
      </c>
      <c r="T210" s="11" t="s">
        <v>39</v>
      </c>
      <c r="U210" s="11" t="s">
        <v>40</v>
      </c>
      <c r="V210" s="11" t="s">
        <v>41</v>
      </c>
      <c r="W210" s="11">
        <v>125000000</v>
      </c>
      <c r="X210" s="11">
        <v>2006</v>
      </c>
      <c r="Y210" s="11">
        <v>574</v>
      </c>
      <c r="Z210" s="11">
        <v>6.6</v>
      </c>
      <c r="AA210" s="11">
        <v>2.35</v>
      </c>
      <c r="AB210" s="11">
        <v>0</v>
      </c>
      <c r="AC210" s="11"/>
      <c r="AD210" s="11" t="str">
        <f>IFERROR(__xludf.DUMMYFUNCTION("""COMPUTED_VALUE"""),"Joe Lo Truglio")</f>
        <v>Joe Lo Truglio</v>
      </c>
      <c r="AE210" s="11"/>
    </row>
    <row r="211" customHeight="1" spans="1:31">
      <c r="A211" s="12" t="s">
        <v>30</v>
      </c>
      <c r="B211" s="12" t="s">
        <v>1279</v>
      </c>
      <c r="C211" s="12">
        <v>159</v>
      </c>
      <c r="D211" s="12">
        <v>101</v>
      </c>
      <c r="E211" s="12">
        <v>107</v>
      </c>
      <c r="F211" s="12">
        <v>56</v>
      </c>
      <c r="G211" s="12">
        <v>688</v>
      </c>
      <c r="H211" s="12">
        <v>131536019</v>
      </c>
      <c r="I211" s="12" t="s">
        <v>1280</v>
      </c>
      <c r="J211" s="12" t="s">
        <v>1281</v>
      </c>
      <c r="K211" s="12" t="s">
        <v>1282</v>
      </c>
      <c r="L211" s="12" t="s">
        <v>1283</v>
      </c>
      <c r="M211" s="12" t="s">
        <v>1284</v>
      </c>
      <c r="N211" s="12">
        <v>58498</v>
      </c>
      <c r="O211" s="12">
        <v>1031</v>
      </c>
      <c r="P211" s="12">
        <v>0</v>
      </c>
      <c r="Q211" s="12" t="s">
        <v>1285</v>
      </c>
      <c r="R211" s="15" t="s">
        <v>1286</v>
      </c>
      <c r="S211" s="12">
        <v>99</v>
      </c>
      <c r="T211" s="12" t="s">
        <v>39</v>
      </c>
      <c r="U211" s="12" t="s">
        <v>40</v>
      </c>
      <c r="V211" s="12" t="s">
        <v>278</v>
      </c>
      <c r="W211" s="12">
        <v>103000000</v>
      </c>
      <c r="X211" s="12">
        <v>2014</v>
      </c>
      <c r="Y211" s="12">
        <v>237</v>
      </c>
      <c r="Z211" s="12">
        <v>6.4</v>
      </c>
      <c r="AA211" s="12">
        <v>2.35</v>
      </c>
      <c r="AB211" s="12">
        <v>0</v>
      </c>
      <c r="AC211" s="12"/>
      <c r="AD211" s="12" t="str">
        <f>IFERROR(__xludf.DUMMYFUNCTION("""COMPUTED_VALUE"""),"Eddie Deezen")</f>
        <v>Eddie Deezen</v>
      </c>
      <c r="AE211" s="12"/>
    </row>
    <row r="212" customHeight="1" spans="1:31">
      <c r="A212" s="11" t="s">
        <v>30</v>
      </c>
      <c r="B212" s="11" t="s">
        <v>119</v>
      </c>
      <c r="C212" s="11">
        <v>289</v>
      </c>
      <c r="D212" s="11">
        <v>134</v>
      </c>
      <c r="E212" s="11">
        <v>0</v>
      </c>
      <c r="F212" s="11">
        <v>346</v>
      </c>
      <c r="G212" s="11">
        <v>20000</v>
      </c>
      <c r="H212" s="11">
        <v>214948780</v>
      </c>
      <c r="I212" s="11" t="s">
        <v>262</v>
      </c>
      <c r="J212" s="11" t="s">
        <v>263</v>
      </c>
      <c r="K212" s="11" t="s">
        <v>1287</v>
      </c>
      <c r="L212" s="11" t="s">
        <v>1288</v>
      </c>
      <c r="M212" s="11" t="s">
        <v>1289</v>
      </c>
      <c r="N212" s="11">
        <v>405973</v>
      </c>
      <c r="O212" s="11">
        <v>20952</v>
      </c>
      <c r="P212" s="11">
        <v>4</v>
      </c>
      <c r="Q212" s="11" t="s">
        <v>1290</v>
      </c>
      <c r="R212" s="14" t="s">
        <v>1291</v>
      </c>
      <c r="S212" s="11">
        <v>1055</v>
      </c>
      <c r="T212" s="11" t="s">
        <v>39</v>
      </c>
      <c r="U212" s="11" t="s">
        <v>269</v>
      </c>
      <c r="V212" s="11" t="s">
        <v>41</v>
      </c>
      <c r="W212" s="11">
        <v>110000000</v>
      </c>
      <c r="X212" s="11">
        <v>2003</v>
      </c>
      <c r="Y212" s="11">
        <v>505</v>
      </c>
      <c r="Z212" s="11">
        <v>7.5</v>
      </c>
      <c r="AA212" s="11">
        <v>2.35</v>
      </c>
      <c r="AB212" s="11">
        <v>0</v>
      </c>
      <c r="AC212" s="11"/>
      <c r="AD212" s="11" t="str">
        <f>IFERROR(__xludf.DUMMYFUNCTION("""COMPUTED_VALUE"""),"Peter Scolari")</f>
        <v>Peter Scolari</v>
      </c>
      <c r="AE212" s="11"/>
    </row>
    <row r="213" customHeight="1" spans="1:31">
      <c r="A213" s="12" t="s">
        <v>30</v>
      </c>
      <c r="B213" s="12" t="s">
        <v>409</v>
      </c>
      <c r="C213" s="12">
        <v>342</v>
      </c>
      <c r="D213" s="12">
        <v>132</v>
      </c>
      <c r="E213" s="12">
        <v>681</v>
      </c>
      <c r="F213" s="12">
        <v>12000</v>
      </c>
      <c r="G213" s="12">
        <v>23000</v>
      </c>
      <c r="H213" s="12">
        <v>209805005</v>
      </c>
      <c r="I213" s="12" t="s">
        <v>334</v>
      </c>
      <c r="J213" s="12" t="s">
        <v>336</v>
      </c>
      <c r="K213" s="12" t="s">
        <v>337</v>
      </c>
      <c r="L213" s="12" t="s">
        <v>1073</v>
      </c>
      <c r="M213" s="12" t="s">
        <v>1292</v>
      </c>
      <c r="N213" s="12">
        <v>284792</v>
      </c>
      <c r="O213" s="12">
        <v>55345</v>
      </c>
      <c r="P213" s="12">
        <v>3</v>
      </c>
      <c r="Q213" s="12" t="s">
        <v>1293</v>
      </c>
      <c r="R213" s="15" t="s">
        <v>1294</v>
      </c>
      <c r="S213" s="12">
        <v>366</v>
      </c>
      <c r="T213" s="12" t="s">
        <v>39</v>
      </c>
      <c r="U213" s="12" t="s">
        <v>40</v>
      </c>
      <c r="V213" s="12" t="s">
        <v>41</v>
      </c>
      <c r="W213" s="12">
        <v>125000000</v>
      </c>
      <c r="X213" s="12">
        <v>2011</v>
      </c>
      <c r="Y213" s="12">
        <v>14000</v>
      </c>
      <c r="Z213" s="12">
        <v>7.3</v>
      </c>
      <c r="AA213" s="12">
        <v>2.35</v>
      </c>
      <c r="AB213" s="12">
        <v>54000</v>
      </c>
      <c r="AC213" s="12"/>
      <c r="AD213" s="12" t="str">
        <f>IFERROR(__xludf.DUMMYFUNCTION("""COMPUTED_VALUE"""),"Vivica A. Fox")</f>
        <v>Vivica A. Fox</v>
      </c>
      <c r="AE213" s="12"/>
    </row>
    <row r="214" customHeight="1" spans="1:31">
      <c r="A214" s="11" t="s">
        <v>30</v>
      </c>
      <c r="B214" s="11" t="s">
        <v>1295</v>
      </c>
      <c r="C214" s="11">
        <v>382</v>
      </c>
      <c r="D214" s="11">
        <v>129</v>
      </c>
      <c r="E214" s="11">
        <v>0</v>
      </c>
      <c r="F214" s="11">
        <v>154</v>
      </c>
      <c r="G214" s="11">
        <v>21000</v>
      </c>
      <c r="H214" s="11">
        <v>186830669</v>
      </c>
      <c r="I214" s="11" t="s">
        <v>1296</v>
      </c>
      <c r="J214" s="11" t="s">
        <v>99</v>
      </c>
      <c r="K214" s="11" t="s">
        <v>359</v>
      </c>
      <c r="L214" s="11" t="s">
        <v>1297</v>
      </c>
      <c r="M214" s="11" t="s">
        <v>1298</v>
      </c>
      <c r="N214" s="11">
        <v>338635</v>
      </c>
      <c r="O214" s="11">
        <v>22403</v>
      </c>
      <c r="P214" s="11">
        <v>2</v>
      </c>
      <c r="Q214" s="11" t="s">
        <v>1299</v>
      </c>
      <c r="R214" s="14" t="s">
        <v>1300</v>
      </c>
      <c r="S214" s="11">
        <v>412</v>
      </c>
      <c r="T214" s="11" t="s">
        <v>39</v>
      </c>
      <c r="U214" s="11" t="s">
        <v>40</v>
      </c>
      <c r="V214" s="11" t="s">
        <v>41</v>
      </c>
      <c r="W214" s="11">
        <v>125000000</v>
      </c>
      <c r="X214" s="11">
        <v>2011</v>
      </c>
      <c r="Y214" s="11">
        <v>979</v>
      </c>
      <c r="Z214" s="11">
        <v>7.5</v>
      </c>
      <c r="AA214" s="11">
        <v>2.35</v>
      </c>
      <c r="AB214" s="11">
        <v>39000</v>
      </c>
      <c r="AC214" s="11"/>
      <c r="AD214" s="11" t="str">
        <f>IFERROR(__xludf.DUMMYFUNCTION("""COMPUTED_VALUE"""),"Sela Ward")</f>
        <v>Sela Ward</v>
      </c>
      <c r="AE214" s="11"/>
    </row>
    <row r="215" customHeight="1" spans="1:31">
      <c r="A215" s="12" t="s">
        <v>30</v>
      </c>
      <c r="B215" s="12" t="s">
        <v>1115</v>
      </c>
      <c r="C215" s="12">
        <v>344</v>
      </c>
      <c r="D215" s="12">
        <v>106</v>
      </c>
      <c r="E215" s="12">
        <v>255</v>
      </c>
      <c r="F215" s="12">
        <v>850</v>
      </c>
      <c r="G215" s="12">
        <v>14000</v>
      </c>
      <c r="H215" s="12">
        <v>163192114</v>
      </c>
      <c r="I215" s="12" t="s">
        <v>43</v>
      </c>
      <c r="J215" s="12" t="s">
        <v>228</v>
      </c>
      <c r="K215" s="12" t="s">
        <v>688</v>
      </c>
      <c r="L215" s="12" t="s">
        <v>1301</v>
      </c>
      <c r="M215" s="12" t="s">
        <v>1302</v>
      </c>
      <c r="N215" s="12">
        <v>229679</v>
      </c>
      <c r="O215" s="12">
        <v>18003</v>
      </c>
      <c r="P215" s="12">
        <v>0</v>
      </c>
      <c r="Q215" s="12" t="s">
        <v>1303</v>
      </c>
      <c r="R215" s="15" t="s">
        <v>1304</v>
      </c>
      <c r="S215" s="12">
        <v>637</v>
      </c>
      <c r="T215" s="12" t="s">
        <v>39</v>
      </c>
      <c r="U215" s="12" t="s">
        <v>40</v>
      </c>
      <c r="V215" s="12" t="s">
        <v>41</v>
      </c>
      <c r="W215" s="12">
        <v>125000000</v>
      </c>
      <c r="X215" s="12">
        <v>2010</v>
      </c>
      <c r="Y215" s="12">
        <v>1000</v>
      </c>
      <c r="Z215" s="12">
        <v>5.8</v>
      </c>
      <c r="AA215" s="12">
        <v>2.35</v>
      </c>
      <c r="AB215" s="12">
        <v>15000</v>
      </c>
      <c r="AC215" s="12"/>
      <c r="AD215" s="12" t="str">
        <f>IFERROR(__xludf.DUMMYFUNCTION("""COMPUTED_VALUE"""),"Judd Hirsch")</f>
        <v>Judd Hirsch</v>
      </c>
      <c r="AE215" s="12"/>
    </row>
    <row r="216" customHeight="1" spans="1:31">
      <c r="A216" s="11" t="s">
        <v>30</v>
      </c>
      <c r="B216" s="11" t="s">
        <v>1305</v>
      </c>
      <c r="C216" s="11">
        <v>196</v>
      </c>
      <c r="D216" s="11">
        <v>113</v>
      </c>
      <c r="E216" s="11">
        <v>719</v>
      </c>
      <c r="F216" s="11">
        <v>217</v>
      </c>
      <c r="G216" s="11">
        <v>605</v>
      </c>
      <c r="H216" s="11">
        <v>119412921</v>
      </c>
      <c r="I216" s="11" t="s">
        <v>648</v>
      </c>
      <c r="J216" s="11" t="s">
        <v>1306</v>
      </c>
      <c r="K216" s="11" t="s">
        <v>1307</v>
      </c>
      <c r="L216" s="11" t="s">
        <v>1308</v>
      </c>
      <c r="M216" s="11" t="s">
        <v>1309</v>
      </c>
      <c r="N216" s="11">
        <v>240241</v>
      </c>
      <c r="O216" s="11">
        <v>1441</v>
      </c>
      <c r="P216" s="11">
        <v>0</v>
      </c>
      <c r="Q216" s="11" t="s">
        <v>1310</v>
      </c>
      <c r="R216" s="14" t="s">
        <v>1311</v>
      </c>
      <c r="S216" s="11">
        <v>391</v>
      </c>
      <c r="T216" s="11" t="s">
        <v>39</v>
      </c>
      <c r="U216" s="11" t="s">
        <v>40</v>
      </c>
      <c r="V216" s="11" t="s">
        <v>586</v>
      </c>
      <c r="W216" s="11">
        <v>65000000</v>
      </c>
      <c r="X216" s="11">
        <v>1990</v>
      </c>
      <c r="Y216" s="11">
        <v>308</v>
      </c>
      <c r="Z216" s="11">
        <v>7.5</v>
      </c>
      <c r="AA216" s="11">
        <v>1.85</v>
      </c>
      <c r="AB216" s="11">
        <v>0</v>
      </c>
      <c r="AC216" s="11"/>
      <c r="AD216" s="11" t="str">
        <f>IFERROR(__xludf.DUMMYFUNCTION("""COMPUTED_VALUE"""),"Gerard Butler")</f>
        <v>Gerard Butler</v>
      </c>
      <c r="AE216" s="11"/>
    </row>
    <row r="217" customHeight="1" spans="1:31">
      <c r="A217" s="12" t="s">
        <v>30</v>
      </c>
      <c r="B217" s="12" t="s">
        <v>1312</v>
      </c>
      <c r="C217" s="12">
        <v>85</v>
      </c>
      <c r="D217" s="12">
        <v>102</v>
      </c>
      <c r="E217" s="12">
        <v>323</v>
      </c>
      <c r="F217" s="12">
        <v>241</v>
      </c>
      <c r="G217" s="12">
        <v>845</v>
      </c>
      <c r="H217" s="12">
        <v>32694788</v>
      </c>
      <c r="I217" s="12" t="s">
        <v>1313</v>
      </c>
      <c r="J217" s="12" t="s">
        <v>1214</v>
      </c>
      <c r="K217" s="12" t="s">
        <v>1314</v>
      </c>
      <c r="L217" s="12" t="s">
        <v>1315</v>
      </c>
      <c r="M217" s="12" t="s">
        <v>1316</v>
      </c>
      <c r="N217" s="12">
        <v>101411</v>
      </c>
      <c r="O217" s="12">
        <v>1815</v>
      </c>
      <c r="P217" s="12">
        <v>1</v>
      </c>
      <c r="Q217" s="12" t="s">
        <v>1317</v>
      </c>
      <c r="R217" s="15" t="s">
        <v>1318</v>
      </c>
      <c r="S217" s="12">
        <v>546</v>
      </c>
      <c r="T217" s="12" t="s">
        <v>39</v>
      </c>
      <c r="U217" s="12" t="s">
        <v>40</v>
      </c>
      <c r="V217" s="12" t="s">
        <v>586</v>
      </c>
      <c r="W217" s="12">
        <v>85000000</v>
      </c>
      <c r="X217" s="12">
        <v>1999</v>
      </c>
      <c r="Y217" s="12">
        <v>372</v>
      </c>
      <c r="Z217" s="12">
        <v>6.6</v>
      </c>
      <c r="AA217" s="12">
        <v>2.35</v>
      </c>
      <c r="AB217" s="12">
        <v>0</v>
      </c>
      <c r="AC217" s="12"/>
      <c r="AD217" s="12" t="str">
        <f>IFERROR(__xludf.DUMMYFUNCTION("""COMPUTED_VALUE"""),"America Ferrera")</f>
        <v>America Ferrera</v>
      </c>
      <c r="AE217" s="12"/>
    </row>
    <row r="218" customHeight="1" spans="1:31">
      <c r="A218" s="11" t="s">
        <v>30</v>
      </c>
      <c r="B218" s="11" t="s">
        <v>1319</v>
      </c>
      <c r="C218" s="11">
        <v>436</v>
      </c>
      <c r="D218" s="11">
        <v>135</v>
      </c>
      <c r="E218" s="11">
        <v>209</v>
      </c>
      <c r="F218" s="11">
        <v>602</v>
      </c>
      <c r="G218" s="11">
        <v>10000</v>
      </c>
      <c r="H218" s="11">
        <v>113165635</v>
      </c>
      <c r="I218" s="11" t="s">
        <v>51</v>
      </c>
      <c r="J218" s="11" t="s">
        <v>888</v>
      </c>
      <c r="K218" s="11" t="s">
        <v>1320</v>
      </c>
      <c r="L218" s="11" t="s">
        <v>1321</v>
      </c>
      <c r="M218" s="11" t="s">
        <v>1322</v>
      </c>
      <c r="N218" s="11">
        <v>229823</v>
      </c>
      <c r="O218" s="11">
        <v>12175</v>
      </c>
      <c r="P218" s="11">
        <v>0</v>
      </c>
      <c r="Q218" s="11" t="s">
        <v>1323</v>
      </c>
      <c r="R218" s="14" t="s">
        <v>1324</v>
      </c>
      <c r="S218" s="11">
        <v>504</v>
      </c>
      <c r="T218" s="11" t="s">
        <v>39</v>
      </c>
      <c r="U218" s="11" t="s">
        <v>40</v>
      </c>
      <c r="V218" s="11" t="s">
        <v>41</v>
      </c>
      <c r="W218" s="11">
        <v>125000000</v>
      </c>
      <c r="X218" s="11">
        <v>2012</v>
      </c>
      <c r="Y218" s="11">
        <v>826</v>
      </c>
      <c r="Z218" s="11">
        <v>6.7</v>
      </c>
      <c r="AA218" s="11">
        <v>2.35</v>
      </c>
      <c r="AB218" s="11">
        <v>31000</v>
      </c>
      <c r="AC218" s="11"/>
      <c r="AD218" s="11" t="str">
        <f>IFERROR(__xludf.DUMMYFUNCTION("""COMPUTED_VALUE"""),"Craig Ferguson")</f>
        <v>Craig Ferguson</v>
      </c>
      <c r="AE218" s="11"/>
    </row>
    <row r="219" customHeight="1" spans="1:31">
      <c r="A219" s="12" t="s">
        <v>30</v>
      </c>
      <c r="B219" s="12" t="s">
        <v>1325</v>
      </c>
      <c r="C219" s="12">
        <v>183</v>
      </c>
      <c r="D219" s="12">
        <v>125</v>
      </c>
      <c r="E219" s="12">
        <v>541</v>
      </c>
      <c r="F219" s="12">
        <v>409</v>
      </c>
      <c r="G219" s="12">
        <v>920</v>
      </c>
      <c r="H219" s="12">
        <v>107285004</v>
      </c>
      <c r="I219" s="12" t="s">
        <v>1326</v>
      </c>
      <c r="J219" s="12" t="s">
        <v>1327</v>
      </c>
      <c r="K219" s="12" t="s">
        <v>634</v>
      </c>
      <c r="L219" s="12" t="s">
        <v>1328</v>
      </c>
      <c r="M219" s="12" t="s">
        <v>1329</v>
      </c>
      <c r="N219" s="12">
        <v>189855</v>
      </c>
      <c r="O219" s="12">
        <v>2699</v>
      </c>
      <c r="P219" s="12">
        <v>3</v>
      </c>
      <c r="Q219" s="12" t="s">
        <v>1330</v>
      </c>
      <c r="R219" s="15" t="s">
        <v>1331</v>
      </c>
      <c r="S219" s="12">
        <v>1018</v>
      </c>
      <c r="T219" s="12" t="s">
        <v>39</v>
      </c>
      <c r="U219" s="12" t="s">
        <v>40</v>
      </c>
      <c r="V219" s="12" t="s">
        <v>41</v>
      </c>
      <c r="W219" s="12">
        <v>125000000</v>
      </c>
      <c r="X219" s="12">
        <v>1997</v>
      </c>
      <c r="Y219" s="12">
        <v>890</v>
      </c>
      <c r="Z219" s="12">
        <v>3.7</v>
      </c>
      <c r="AA219" s="12">
        <v>1.85</v>
      </c>
      <c r="AB219" s="12">
        <v>0</v>
      </c>
      <c r="AC219" s="12"/>
      <c r="AD219" s="12" t="str">
        <f>IFERROR(__xludf.DUMMYFUNCTION("""COMPUTED_VALUE"""),"Nick Stahl")</f>
        <v>Nick Stahl</v>
      </c>
      <c r="AE219" s="12"/>
    </row>
    <row r="220" customHeight="1" spans="1:31">
      <c r="A220" s="11" t="s">
        <v>30</v>
      </c>
      <c r="B220" s="11" t="s">
        <v>851</v>
      </c>
      <c r="C220" s="11">
        <v>175</v>
      </c>
      <c r="D220" s="11">
        <v>110</v>
      </c>
      <c r="E220" s="11">
        <v>2000</v>
      </c>
      <c r="F220" s="11">
        <v>636</v>
      </c>
      <c r="G220" s="11">
        <v>1000</v>
      </c>
      <c r="H220" s="11">
        <v>260031035</v>
      </c>
      <c r="I220" s="11" t="s">
        <v>516</v>
      </c>
      <c r="J220" s="11" t="s">
        <v>1332</v>
      </c>
      <c r="K220" s="11" t="s">
        <v>1333</v>
      </c>
      <c r="L220" s="11" t="s">
        <v>1334</v>
      </c>
      <c r="M220" s="11" t="s">
        <v>1335</v>
      </c>
      <c r="N220" s="11">
        <v>141414</v>
      </c>
      <c r="O220" s="11">
        <v>4146</v>
      </c>
      <c r="P220" s="11">
        <v>0</v>
      </c>
      <c r="Q220" s="11" t="s">
        <v>1336</v>
      </c>
      <c r="R220" s="14" t="s">
        <v>1337</v>
      </c>
      <c r="S220" s="11">
        <v>482</v>
      </c>
      <c r="T220" s="11" t="s">
        <v>39</v>
      </c>
      <c r="U220" s="11" t="s">
        <v>40</v>
      </c>
      <c r="V220" s="11" t="s">
        <v>96</v>
      </c>
      <c r="W220" s="11">
        <v>123000000</v>
      </c>
      <c r="X220" s="11">
        <v>2000</v>
      </c>
      <c r="Y220" s="11">
        <v>722</v>
      </c>
      <c r="Z220" s="11">
        <v>6</v>
      </c>
      <c r="AA220" s="11">
        <v>1.85</v>
      </c>
      <c r="AB220" s="11">
        <v>0</v>
      </c>
      <c r="AC220" s="11"/>
      <c r="AD220" s="11" t="str">
        <f>IFERROR(__xludf.DUMMYFUNCTION("""COMPUTED_VALUE"""),"Carolyn Hennesy")</f>
        <v>Carolyn Hennesy</v>
      </c>
      <c r="AE220" s="11"/>
    </row>
    <row r="221" customHeight="1" spans="1:31">
      <c r="A221" s="12" t="s">
        <v>30</v>
      </c>
      <c r="B221" s="12" t="s">
        <v>429</v>
      </c>
      <c r="C221" s="12">
        <v>239</v>
      </c>
      <c r="D221" s="12">
        <v>124</v>
      </c>
      <c r="E221" s="12">
        <v>776</v>
      </c>
      <c r="F221" s="12">
        <v>812</v>
      </c>
      <c r="G221" s="12">
        <v>15000</v>
      </c>
      <c r="H221" s="12">
        <v>186739919</v>
      </c>
      <c r="I221" s="12" t="s">
        <v>227</v>
      </c>
      <c r="J221" s="12" t="s">
        <v>373</v>
      </c>
      <c r="K221" s="12" t="s">
        <v>537</v>
      </c>
      <c r="L221" s="12" t="s">
        <v>635</v>
      </c>
      <c r="M221" s="12" t="s">
        <v>1338</v>
      </c>
      <c r="N221" s="12">
        <v>333248</v>
      </c>
      <c r="O221" s="12">
        <v>20553</v>
      </c>
      <c r="P221" s="12">
        <v>0</v>
      </c>
      <c r="Q221" s="12" t="s">
        <v>1339</v>
      </c>
      <c r="R221" s="15" t="s">
        <v>1340</v>
      </c>
      <c r="S221" s="12">
        <v>1159</v>
      </c>
      <c r="T221" s="12" t="s">
        <v>39</v>
      </c>
      <c r="U221" s="12" t="s">
        <v>40</v>
      </c>
      <c r="V221" s="12" t="s">
        <v>41</v>
      </c>
      <c r="W221" s="12">
        <v>125000000</v>
      </c>
      <c r="X221" s="12">
        <v>2004</v>
      </c>
      <c r="Y221" s="12">
        <v>2000</v>
      </c>
      <c r="Z221" s="12">
        <v>6.4</v>
      </c>
      <c r="AA221" s="12">
        <v>2.35</v>
      </c>
      <c r="AB221" s="12">
        <v>19000</v>
      </c>
      <c r="AC221" s="12"/>
      <c r="AD221" s="12" t="str">
        <f>IFERROR(__xludf.DUMMYFUNCTION("""COMPUTED_VALUE"""),"Bradley Cooper")</f>
        <v>Bradley Cooper</v>
      </c>
      <c r="AE221" s="12"/>
    </row>
    <row r="222" customHeight="1" spans="1:31">
      <c r="A222" s="11" t="s">
        <v>30</v>
      </c>
      <c r="B222" s="11" t="s">
        <v>1341</v>
      </c>
      <c r="C222" s="11">
        <v>237</v>
      </c>
      <c r="D222" s="11">
        <v>123</v>
      </c>
      <c r="E222" s="11">
        <v>610</v>
      </c>
      <c r="F222" s="11">
        <v>653</v>
      </c>
      <c r="G222" s="11">
        <v>10000</v>
      </c>
      <c r="H222" s="11">
        <v>215397307</v>
      </c>
      <c r="I222" s="11" t="s">
        <v>51</v>
      </c>
      <c r="J222" s="11" t="s">
        <v>523</v>
      </c>
      <c r="K222" s="11" t="s">
        <v>1342</v>
      </c>
      <c r="L222" s="11" t="s">
        <v>1048</v>
      </c>
      <c r="M222" s="11" t="s">
        <v>1343</v>
      </c>
      <c r="N222" s="11">
        <v>242188</v>
      </c>
      <c r="O222" s="11">
        <v>11930</v>
      </c>
      <c r="P222" s="11">
        <v>0</v>
      </c>
      <c r="Q222" s="11" t="s">
        <v>1344</v>
      </c>
      <c r="R222" s="14" t="s">
        <v>1345</v>
      </c>
      <c r="S222" s="11">
        <v>1426</v>
      </c>
      <c r="T222" s="11" t="s">
        <v>39</v>
      </c>
      <c r="U222" s="11" t="s">
        <v>40</v>
      </c>
      <c r="V222" s="11" t="s">
        <v>41</v>
      </c>
      <c r="W222" s="11">
        <v>125000000</v>
      </c>
      <c r="X222" s="11">
        <v>2000</v>
      </c>
      <c r="Y222" s="11">
        <v>794</v>
      </c>
      <c r="Z222" s="11">
        <v>6.1</v>
      </c>
      <c r="AA222" s="11">
        <v>2.35</v>
      </c>
      <c r="AB222" s="11">
        <v>0</v>
      </c>
      <c r="AC222" s="11"/>
      <c r="AD222" s="11" t="str">
        <f>IFERROR(__xludf.DUMMYFUNCTION("""COMPUTED_VALUE"""),"Djimon Hounsou")</f>
        <v>Djimon Hounsou</v>
      </c>
      <c r="AE222" s="11"/>
    </row>
    <row r="223" customHeight="1" spans="1:31">
      <c r="A223" s="12" t="s">
        <v>30</v>
      </c>
      <c r="B223" s="12" t="s">
        <v>711</v>
      </c>
      <c r="C223" s="12">
        <v>231</v>
      </c>
      <c r="D223" s="12">
        <v>130</v>
      </c>
      <c r="E223" s="12">
        <v>249</v>
      </c>
      <c r="F223" s="12">
        <v>461</v>
      </c>
      <c r="G223" s="12">
        <v>784</v>
      </c>
      <c r="H223" s="12">
        <v>182618434</v>
      </c>
      <c r="I223" s="12" t="s">
        <v>712</v>
      </c>
      <c r="J223" s="12" t="s">
        <v>1346</v>
      </c>
      <c r="K223" s="12" t="s">
        <v>1347</v>
      </c>
      <c r="L223" s="12" t="s">
        <v>1348</v>
      </c>
      <c r="M223" s="12" t="s">
        <v>1349</v>
      </c>
      <c r="N223" s="12">
        <v>133076</v>
      </c>
      <c r="O223" s="12">
        <v>2684</v>
      </c>
      <c r="P223" s="12">
        <v>0</v>
      </c>
      <c r="Q223" s="12" t="s">
        <v>1350</v>
      </c>
      <c r="R223" s="15" t="s">
        <v>1351</v>
      </c>
      <c r="S223" s="12">
        <v>779</v>
      </c>
      <c r="T223" s="12" t="s">
        <v>39</v>
      </c>
      <c r="U223" s="12" t="s">
        <v>40</v>
      </c>
      <c r="V223" s="12" t="s">
        <v>41</v>
      </c>
      <c r="W223" s="12">
        <v>140000000</v>
      </c>
      <c r="X223" s="12">
        <v>2000</v>
      </c>
      <c r="Y223" s="12">
        <v>638</v>
      </c>
      <c r="Z223" s="12">
        <v>6.4</v>
      </c>
      <c r="AA223" s="12">
        <v>2.35</v>
      </c>
      <c r="AB223" s="12">
        <v>0</v>
      </c>
      <c r="AC223" s="12"/>
      <c r="AD223" s="12" t="str">
        <f>IFERROR(__xludf.DUMMYFUNCTION("""COMPUTED_VALUE"""),"Matthew McConaughey")</f>
        <v>Matthew McConaughey</v>
      </c>
      <c r="AE223" s="12"/>
    </row>
    <row r="224" customHeight="1" spans="1:31">
      <c r="A224" s="11" t="s">
        <v>30</v>
      </c>
      <c r="B224" s="11" t="s">
        <v>1352</v>
      </c>
      <c r="C224" s="11">
        <v>262</v>
      </c>
      <c r="D224" s="11">
        <v>92</v>
      </c>
      <c r="E224" s="11">
        <v>167</v>
      </c>
      <c r="F224" s="11">
        <v>702</v>
      </c>
      <c r="G224" s="11">
        <v>11000</v>
      </c>
      <c r="H224" s="11">
        <v>131920333</v>
      </c>
      <c r="I224" s="11" t="s">
        <v>227</v>
      </c>
      <c r="J224" s="11" t="s">
        <v>222</v>
      </c>
      <c r="K224" s="11" t="s">
        <v>1353</v>
      </c>
      <c r="L224" s="11" t="s">
        <v>714</v>
      </c>
      <c r="M224" s="11" t="s">
        <v>1354</v>
      </c>
      <c r="N224" s="11">
        <v>213275</v>
      </c>
      <c r="O224" s="11">
        <v>15302</v>
      </c>
      <c r="P224" s="11">
        <v>3</v>
      </c>
      <c r="Q224" s="11" t="s">
        <v>1355</v>
      </c>
      <c r="R224" s="14" t="s">
        <v>1356</v>
      </c>
      <c r="S224" s="11">
        <v>436</v>
      </c>
      <c r="T224" s="11" t="s">
        <v>39</v>
      </c>
      <c r="U224" s="11" t="s">
        <v>40</v>
      </c>
      <c r="V224" s="11" t="s">
        <v>96</v>
      </c>
      <c r="W224" s="11">
        <v>130000000</v>
      </c>
      <c r="X224" s="11">
        <v>2007</v>
      </c>
      <c r="Y224" s="11">
        <v>2000</v>
      </c>
      <c r="Z224" s="11">
        <v>5.6</v>
      </c>
      <c r="AA224" s="11">
        <v>2.35</v>
      </c>
      <c r="AB224" s="11">
        <v>0</v>
      </c>
      <c r="AC224" s="11"/>
      <c r="AD224" s="11" t="str">
        <f>IFERROR(__xludf.DUMMYFUNCTION("""COMPUTED_VALUE"""),"Mackenzie Foy")</f>
        <v>Mackenzie Foy</v>
      </c>
      <c r="AE224" s="11"/>
    </row>
    <row r="225" customHeight="1" spans="1:31">
      <c r="A225" s="12" t="s">
        <v>30</v>
      </c>
      <c r="B225" s="12" t="s">
        <v>1065</v>
      </c>
      <c r="C225" s="12">
        <v>552</v>
      </c>
      <c r="D225" s="12">
        <v>127</v>
      </c>
      <c r="E225" s="12">
        <v>0</v>
      </c>
      <c r="F225" s="12">
        <v>341</v>
      </c>
      <c r="G225" s="12">
        <v>774</v>
      </c>
      <c r="H225" s="12">
        <v>124976634</v>
      </c>
      <c r="I225" s="12" t="s">
        <v>1357</v>
      </c>
      <c r="J225" s="12" t="s">
        <v>1358</v>
      </c>
      <c r="K225" s="12" t="s">
        <v>1130</v>
      </c>
      <c r="L225" s="12" t="s">
        <v>1359</v>
      </c>
      <c r="M225" s="12" t="s">
        <v>1360</v>
      </c>
      <c r="N225" s="12">
        <v>440084</v>
      </c>
      <c r="O225" s="12">
        <v>2121</v>
      </c>
      <c r="P225" s="12">
        <v>0</v>
      </c>
      <c r="Q225" s="12" t="s">
        <v>1361</v>
      </c>
      <c r="R225" s="15" t="s">
        <v>1362</v>
      </c>
      <c r="S225" s="12">
        <v>755</v>
      </c>
      <c r="T225" s="12" t="s">
        <v>39</v>
      </c>
      <c r="U225" s="12" t="s">
        <v>40</v>
      </c>
      <c r="V225" s="12" t="s">
        <v>96</v>
      </c>
      <c r="W225" s="12">
        <v>120000000</v>
      </c>
      <c r="X225" s="12">
        <v>2012</v>
      </c>
      <c r="Y225" s="12">
        <v>358</v>
      </c>
      <c r="Z225" s="12">
        <v>8</v>
      </c>
      <c r="AA225" s="12">
        <v>1.85</v>
      </c>
      <c r="AB225" s="12">
        <v>122000</v>
      </c>
      <c r="AC225" s="12"/>
      <c r="AD225" s="12" t="str">
        <f>IFERROR(__xludf.DUMMYFUNCTION("""COMPUTED_VALUE"""),"Mark Chinnery")</f>
        <v>Mark Chinnery</v>
      </c>
      <c r="AE225" s="12"/>
    </row>
    <row r="226" customHeight="1" spans="1:31">
      <c r="A226" s="11" t="s">
        <v>30</v>
      </c>
      <c r="B226" s="11" t="s">
        <v>1363</v>
      </c>
      <c r="C226" s="11">
        <v>276</v>
      </c>
      <c r="D226" s="11">
        <v>123</v>
      </c>
      <c r="E226" s="11">
        <v>160</v>
      </c>
      <c r="F226" s="11">
        <v>402</v>
      </c>
      <c r="G226" s="11">
        <v>12000</v>
      </c>
      <c r="H226" s="11">
        <v>115802596</v>
      </c>
      <c r="I226" s="11" t="s">
        <v>1364</v>
      </c>
      <c r="J226" s="11" t="s">
        <v>705</v>
      </c>
      <c r="K226" s="11" t="s">
        <v>1365</v>
      </c>
      <c r="L226" s="11" t="s">
        <v>1366</v>
      </c>
      <c r="M226" s="11" t="s">
        <v>1367</v>
      </c>
      <c r="N226" s="11">
        <v>182661</v>
      </c>
      <c r="O226" s="11">
        <v>14017</v>
      </c>
      <c r="P226" s="11">
        <v>1</v>
      </c>
      <c r="Q226" s="11" t="s">
        <v>1368</v>
      </c>
      <c r="R226" s="14" t="s">
        <v>1369</v>
      </c>
      <c r="S226" s="11">
        <v>681</v>
      </c>
      <c r="T226" s="11" t="s">
        <v>39</v>
      </c>
      <c r="U226" s="11" t="s">
        <v>40</v>
      </c>
      <c r="V226" s="11" t="s">
        <v>41</v>
      </c>
      <c r="W226" s="11">
        <v>110000000</v>
      </c>
      <c r="X226" s="11">
        <v>2007</v>
      </c>
      <c r="Y226" s="11">
        <v>701</v>
      </c>
      <c r="Z226" s="11">
        <v>5.2</v>
      </c>
      <c r="AA226" s="11">
        <v>2.35</v>
      </c>
      <c r="AB226" s="11">
        <v>0</v>
      </c>
      <c r="AC226" s="11"/>
      <c r="AD226" s="11" t="str">
        <f>IFERROR(__xludf.DUMMYFUNCTION("""COMPUTED_VALUE"""),"Shin'ya Tsukamoto")</f>
        <v>Shin'ya Tsukamoto</v>
      </c>
      <c r="AE226" s="11"/>
    </row>
    <row r="227" customHeight="1" spans="1:31">
      <c r="A227" s="12" t="s">
        <v>30</v>
      </c>
      <c r="B227" s="12" t="s">
        <v>1156</v>
      </c>
      <c r="C227" s="12">
        <v>267</v>
      </c>
      <c r="D227" s="12">
        <v>123</v>
      </c>
      <c r="E227" s="12">
        <v>521</v>
      </c>
      <c r="F227" s="12">
        <v>265</v>
      </c>
      <c r="G227" s="12">
        <v>13000</v>
      </c>
      <c r="H227" s="12">
        <v>108521835</v>
      </c>
      <c r="I227" s="12" t="s">
        <v>60</v>
      </c>
      <c r="J227" s="12" t="s">
        <v>1158</v>
      </c>
      <c r="K227" s="12" t="s">
        <v>1370</v>
      </c>
      <c r="L227" s="12" t="s">
        <v>1371</v>
      </c>
      <c r="M227" s="12" t="s">
        <v>1372</v>
      </c>
      <c r="N227" s="12">
        <v>40123</v>
      </c>
      <c r="O227" s="12">
        <v>13752</v>
      </c>
      <c r="P227" s="12">
        <v>0</v>
      </c>
      <c r="Q227" s="12" t="s">
        <v>1373</v>
      </c>
      <c r="R227" s="15" t="s">
        <v>1374</v>
      </c>
      <c r="S227" s="12">
        <v>297</v>
      </c>
      <c r="T227" s="12" t="s">
        <v>39</v>
      </c>
      <c r="U227" s="12" t="s">
        <v>58</v>
      </c>
      <c r="V227" s="12" t="s">
        <v>41</v>
      </c>
      <c r="W227" s="12">
        <v>120000000</v>
      </c>
      <c r="X227" s="12">
        <v>2016</v>
      </c>
      <c r="Y227" s="12">
        <v>365</v>
      </c>
      <c r="Z227" s="12">
        <v>7.1</v>
      </c>
      <c r="AA227" s="12">
        <v>2.35</v>
      </c>
      <c r="AB227" s="12">
        <v>31000</v>
      </c>
      <c r="AC227" s="12"/>
      <c r="AD227" s="12" t="str">
        <f>IFERROR(__xludf.DUMMYFUNCTION("""COMPUTED_VALUE"""),"Atsuko Maeda")</f>
        <v>Atsuko Maeda</v>
      </c>
      <c r="AE227" s="12"/>
    </row>
    <row r="228" customHeight="1" spans="1:31">
      <c r="A228" s="11" t="s">
        <v>30</v>
      </c>
      <c r="B228" s="11" t="s">
        <v>328</v>
      </c>
      <c r="C228" s="11">
        <v>102</v>
      </c>
      <c r="D228" s="11">
        <v>107</v>
      </c>
      <c r="E228" s="11">
        <v>368</v>
      </c>
      <c r="F228" s="11">
        <v>1000</v>
      </c>
      <c r="G228" s="11">
        <v>2000</v>
      </c>
      <c r="H228" s="11">
        <v>100685880</v>
      </c>
      <c r="I228" s="11" t="s">
        <v>1375</v>
      </c>
      <c r="J228" s="11" t="s">
        <v>1376</v>
      </c>
      <c r="K228" s="11" t="s">
        <v>804</v>
      </c>
      <c r="L228" s="11" t="s">
        <v>1377</v>
      </c>
      <c r="M228" s="11" t="s">
        <v>1378</v>
      </c>
      <c r="N228" s="11">
        <v>100821</v>
      </c>
      <c r="O228" s="11">
        <v>4046</v>
      </c>
      <c r="P228" s="11">
        <v>0</v>
      </c>
      <c r="Q228" s="11" t="s">
        <v>1379</v>
      </c>
      <c r="R228" s="14" t="s">
        <v>1380</v>
      </c>
      <c r="S228" s="11">
        <v>554</v>
      </c>
      <c r="T228" s="11" t="s">
        <v>39</v>
      </c>
      <c r="U228" s="11" t="s">
        <v>40</v>
      </c>
      <c r="V228" s="11" t="s">
        <v>41</v>
      </c>
      <c r="W228" s="11">
        <v>120000000</v>
      </c>
      <c r="X228" s="11">
        <v>2003</v>
      </c>
      <c r="Y228" s="11">
        <v>1000</v>
      </c>
      <c r="Z228" s="11">
        <v>4.8</v>
      </c>
      <c r="AA228" s="11">
        <v>2.35</v>
      </c>
      <c r="AB228" s="11">
        <v>0</v>
      </c>
      <c r="AC228" s="11"/>
      <c r="AD228" s="11" t="str">
        <f>IFERROR(__xludf.DUMMYFUNCTION("""COMPUTED_VALUE"""),"Jordana Brewster")</f>
        <v>Jordana Brewster</v>
      </c>
      <c r="AE228" s="11"/>
    </row>
    <row r="229" customHeight="1" spans="1:31">
      <c r="A229" s="12" t="s">
        <v>30</v>
      </c>
      <c r="B229" s="12" t="s">
        <v>188</v>
      </c>
      <c r="C229" s="12">
        <v>775</v>
      </c>
      <c r="D229" s="12">
        <v>124</v>
      </c>
      <c r="E229" s="12">
        <v>0</v>
      </c>
      <c r="F229" s="12">
        <v>641</v>
      </c>
      <c r="G229" s="12">
        <v>13000</v>
      </c>
      <c r="H229" s="12">
        <v>126464904</v>
      </c>
      <c r="I229" s="12" t="s">
        <v>1381</v>
      </c>
      <c r="J229" s="12" t="s">
        <v>459</v>
      </c>
      <c r="K229" s="12" t="s">
        <v>778</v>
      </c>
      <c r="L229" s="12" t="s">
        <v>889</v>
      </c>
      <c r="M229" s="12" t="s">
        <v>1382</v>
      </c>
      <c r="N229" s="12">
        <v>456260</v>
      </c>
      <c r="O229" s="12">
        <v>24098</v>
      </c>
      <c r="P229" s="12">
        <v>0</v>
      </c>
      <c r="Q229" s="12" t="s">
        <v>1383</v>
      </c>
      <c r="R229" s="15" t="s">
        <v>1384</v>
      </c>
      <c r="S229" s="12">
        <v>2326</v>
      </c>
      <c r="T229" s="12" t="s">
        <v>39</v>
      </c>
      <c r="U229" s="12" t="s">
        <v>40</v>
      </c>
      <c r="V229" s="12" t="s">
        <v>586</v>
      </c>
      <c r="W229" s="12">
        <v>130000000</v>
      </c>
      <c r="X229" s="12">
        <v>2012</v>
      </c>
      <c r="Y229" s="12">
        <v>9000</v>
      </c>
      <c r="Z229" s="12">
        <v>7</v>
      </c>
      <c r="AA229" s="12">
        <v>2.35</v>
      </c>
      <c r="AB229" s="12">
        <v>97000</v>
      </c>
      <c r="AC229" s="12"/>
      <c r="AD229" s="12" t="str">
        <f>IFERROR(__xludf.DUMMYFUNCTION("""COMPUTED_VALUE"""),"Jason Flemyng")</f>
        <v>Jason Flemyng</v>
      </c>
      <c r="AE229" s="12"/>
    </row>
    <row r="230" customHeight="1" spans="1:31">
      <c r="A230" s="11" t="s">
        <v>30</v>
      </c>
      <c r="B230" s="11" t="s">
        <v>947</v>
      </c>
      <c r="C230" s="11">
        <v>71</v>
      </c>
      <c r="D230" s="11">
        <v>77</v>
      </c>
      <c r="E230" s="11">
        <v>50</v>
      </c>
      <c r="F230" s="11">
        <v>537</v>
      </c>
      <c r="G230" s="11">
        <v>886</v>
      </c>
      <c r="H230" s="11">
        <v>64736114</v>
      </c>
      <c r="I230" s="11" t="s">
        <v>271</v>
      </c>
      <c r="J230" s="11" t="s">
        <v>1385</v>
      </c>
      <c r="K230" s="11" t="s">
        <v>90</v>
      </c>
      <c r="L230" s="11" t="s">
        <v>1386</v>
      </c>
      <c r="M230" s="11" t="s">
        <v>1387</v>
      </c>
      <c r="N230" s="11">
        <v>36471</v>
      </c>
      <c r="O230" s="11">
        <v>2682</v>
      </c>
      <c r="P230" s="11">
        <v>0</v>
      </c>
      <c r="Q230" s="11" t="s">
        <v>1388</v>
      </c>
      <c r="R230" s="14" t="s">
        <v>1389</v>
      </c>
      <c r="S230" s="11">
        <v>69</v>
      </c>
      <c r="T230" s="11" t="s">
        <v>39</v>
      </c>
      <c r="U230" s="11" t="s">
        <v>40</v>
      </c>
      <c r="V230" s="11" t="s">
        <v>96</v>
      </c>
      <c r="W230" s="11">
        <v>120000000</v>
      </c>
      <c r="X230" s="11">
        <v>2002</v>
      </c>
      <c r="Y230" s="11">
        <v>799</v>
      </c>
      <c r="Z230" s="11">
        <v>5.4</v>
      </c>
      <c r="AA230" s="11">
        <v>1.85</v>
      </c>
      <c r="AB230" s="11">
        <v>459</v>
      </c>
      <c r="AC230" s="11"/>
      <c r="AD230" s="11" t="str">
        <f>IFERROR(__xludf.DUMMYFUNCTION("""COMPUTED_VALUE"""),"Julia Ormond")</f>
        <v>Julia Ormond</v>
      </c>
      <c r="AE230" s="11"/>
    </row>
    <row r="231" customHeight="1" spans="1:31">
      <c r="A231" s="12" t="s">
        <v>30</v>
      </c>
      <c r="B231" s="12" t="s">
        <v>1390</v>
      </c>
      <c r="C231" s="12">
        <v>476</v>
      </c>
      <c r="D231" s="12">
        <v>109</v>
      </c>
      <c r="E231" s="12">
        <v>662</v>
      </c>
      <c r="F231" s="12">
        <v>1000</v>
      </c>
      <c r="G231" s="12">
        <v>13000</v>
      </c>
      <c r="H231" s="12">
        <v>93050117</v>
      </c>
      <c r="I231" s="12" t="s">
        <v>1391</v>
      </c>
      <c r="J231" s="12" t="s">
        <v>1158</v>
      </c>
      <c r="K231" s="12" t="s">
        <v>566</v>
      </c>
      <c r="L231" s="12" t="s">
        <v>783</v>
      </c>
      <c r="M231" s="12" t="s">
        <v>1392</v>
      </c>
      <c r="N231" s="12">
        <v>338087</v>
      </c>
      <c r="O231" s="12">
        <v>17689</v>
      </c>
      <c r="P231" s="12">
        <v>0</v>
      </c>
      <c r="Q231" s="12" t="s">
        <v>1393</v>
      </c>
      <c r="R231" s="15" t="s">
        <v>1394</v>
      </c>
      <c r="S231" s="12">
        <v>814</v>
      </c>
      <c r="T231" s="12" t="s">
        <v>39</v>
      </c>
      <c r="U231" s="12" t="s">
        <v>40</v>
      </c>
      <c r="V231" s="12" t="s">
        <v>586</v>
      </c>
      <c r="W231" s="12">
        <v>115000000</v>
      </c>
      <c r="X231" s="12">
        <v>2013</v>
      </c>
      <c r="Y231" s="12">
        <v>2000</v>
      </c>
      <c r="Z231" s="12">
        <v>6.6</v>
      </c>
      <c r="AA231" s="12">
        <v>2.35</v>
      </c>
      <c r="AB231" s="12">
        <v>61000</v>
      </c>
      <c r="AC231" s="12"/>
      <c r="AD231" s="12" t="str">
        <f>IFERROR(__xludf.DUMMYFUNCTION("""COMPUTED_VALUE"""),"Philip Seymour Hoffman")</f>
        <v>Philip Seymour Hoffman</v>
      </c>
      <c r="AE231" s="12"/>
    </row>
    <row r="232" customHeight="1" spans="1:31">
      <c r="A232" s="11" t="s">
        <v>30</v>
      </c>
      <c r="B232" s="11" t="s">
        <v>1395</v>
      </c>
      <c r="C232" s="11">
        <v>207</v>
      </c>
      <c r="D232" s="11">
        <v>134</v>
      </c>
      <c r="E232" s="11">
        <v>123</v>
      </c>
      <c r="F232" s="11">
        <v>567</v>
      </c>
      <c r="G232" s="11">
        <v>14000</v>
      </c>
      <c r="H232" s="11">
        <v>57637485</v>
      </c>
      <c r="I232" s="11" t="s">
        <v>227</v>
      </c>
      <c r="J232" s="11" t="s">
        <v>337</v>
      </c>
      <c r="K232" s="11" t="s">
        <v>1301</v>
      </c>
      <c r="L232" s="11" t="s">
        <v>1396</v>
      </c>
      <c r="M232" s="11" t="s">
        <v>1397</v>
      </c>
      <c r="N232" s="11">
        <v>183909</v>
      </c>
      <c r="O232" s="11">
        <v>17159</v>
      </c>
      <c r="P232" s="11">
        <v>0</v>
      </c>
      <c r="Q232" s="11" t="s">
        <v>1398</v>
      </c>
      <c r="R232" s="14" t="s">
        <v>1399</v>
      </c>
      <c r="S232" s="11">
        <v>666</v>
      </c>
      <c r="T232" s="11" t="s">
        <v>39</v>
      </c>
      <c r="U232" s="11" t="s">
        <v>40</v>
      </c>
      <c r="V232" s="11" t="s">
        <v>41</v>
      </c>
      <c r="W232" s="11">
        <v>105000000</v>
      </c>
      <c r="X232" s="11">
        <v>2004</v>
      </c>
      <c r="Y232" s="11">
        <v>850</v>
      </c>
      <c r="Z232" s="11">
        <v>6.7</v>
      </c>
      <c r="AA232" s="11">
        <v>2.35</v>
      </c>
      <c r="AB232" s="11">
        <v>0</v>
      </c>
      <c r="AC232" s="11"/>
      <c r="AD232" s="11" t="str">
        <f>IFERROR(__xludf.DUMMYFUNCTION("""COMPUTED_VALUE"""),"Josh Hutcherson")</f>
        <v>Josh Hutcherson</v>
      </c>
      <c r="AE232" s="11"/>
    </row>
    <row r="233" customHeight="1" spans="1:31">
      <c r="A233" s="12" t="s">
        <v>30</v>
      </c>
      <c r="B233" s="12" t="s">
        <v>1400</v>
      </c>
      <c r="C233" s="12">
        <v>492</v>
      </c>
      <c r="D233" s="12">
        <v>117</v>
      </c>
      <c r="E233" s="12">
        <v>294</v>
      </c>
      <c r="F233" s="12">
        <v>1000</v>
      </c>
      <c r="G233" s="12">
        <v>10000</v>
      </c>
      <c r="H233" s="12">
        <v>58607007</v>
      </c>
      <c r="I233" s="12" t="s">
        <v>1401</v>
      </c>
      <c r="J233" s="12" t="s">
        <v>440</v>
      </c>
      <c r="K233" s="12" t="s">
        <v>1402</v>
      </c>
      <c r="L233" s="12" t="s">
        <v>1403</v>
      </c>
      <c r="M233" s="12" t="s">
        <v>1404</v>
      </c>
      <c r="N233" s="12">
        <v>182899</v>
      </c>
      <c r="O233" s="12">
        <v>14161</v>
      </c>
      <c r="P233" s="12">
        <v>0</v>
      </c>
      <c r="Q233" s="12" t="s">
        <v>1405</v>
      </c>
      <c r="R233" s="15" t="s">
        <v>1406</v>
      </c>
      <c r="S233" s="12">
        <v>630</v>
      </c>
      <c r="T233" s="12" t="s">
        <v>39</v>
      </c>
      <c r="U233" s="12" t="s">
        <v>40</v>
      </c>
      <c r="V233" s="12" t="s">
        <v>41</v>
      </c>
      <c r="W233" s="12">
        <v>100000000</v>
      </c>
      <c r="X233" s="12">
        <v>2014</v>
      </c>
      <c r="Y233" s="12">
        <v>2000</v>
      </c>
      <c r="Z233" s="12">
        <v>6.2</v>
      </c>
      <c r="AA233" s="12">
        <v>2.35</v>
      </c>
      <c r="AB233" s="12">
        <v>60000</v>
      </c>
      <c r="AC233" s="12"/>
      <c r="AD233" s="12" t="str">
        <f>IFERROR(__xludf.DUMMYFUNCTION("""COMPUTED_VALUE"""),"Nicolas Cage")</f>
        <v>Nicolas Cage</v>
      </c>
      <c r="AE233" s="12"/>
    </row>
    <row r="234" customHeight="1" spans="1:31">
      <c r="A234" s="11" t="s">
        <v>30</v>
      </c>
      <c r="B234" s="11" t="s">
        <v>444</v>
      </c>
      <c r="C234" s="11">
        <v>284</v>
      </c>
      <c r="D234" s="11">
        <v>135</v>
      </c>
      <c r="E234" s="11">
        <v>0</v>
      </c>
      <c r="F234" s="11">
        <v>87</v>
      </c>
      <c r="G234" s="11">
        <v>690</v>
      </c>
      <c r="H234" s="11">
        <v>43929341</v>
      </c>
      <c r="I234" s="11" t="s">
        <v>1407</v>
      </c>
      <c r="J234" s="11" t="s">
        <v>1408</v>
      </c>
      <c r="K234" s="11" t="s">
        <v>1409</v>
      </c>
      <c r="L234" s="11" t="s">
        <v>1410</v>
      </c>
      <c r="M234" s="11" t="s">
        <v>1411</v>
      </c>
      <c r="N234" s="11">
        <v>57873</v>
      </c>
      <c r="O234" s="11">
        <v>902</v>
      </c>
      <c r="P234" s="11">
        <v>0</v>
      </c>
      <c r="Q234" s="11" t="s">
        <v>1412</v>
      </c>
      <c r="R234" s="14" t="s">
        <v>1413</v>
      </c>
      <c r="S234" s="11">
        <v>414</v>
      </c>
      <c r="T234" s="11" t="s">
        <v>39</v>
      </c>
      <c r="U234" s="11" t="s">
        <v>40</v>
      </c>
      <c r="V234" s="11" t="s">
        <v>96</v>
      </c>
      <c r="W234" s="11">
        <v>120000000</v>
      </c>
      <c r="X234" s="11">
        <v>2008</v>
      </c>
      <c r="Y234" s="11">
        <v>107</v>
      </c>
      <c r="Z234" s="11">
        <v>6.1</v>
      </c>
      <c r="AA234" s="11">
        <v>2.35</v>
      </c>
      <c r="AB234" s="11">
        <v>0</v>
      </c>
      <c r="AC234" s="11"/>
      <c r="AD234" s="11" t="str">
        <f>IFERROR(__xludf.DUMMYFUNCTION("""COMPUTED_VALUE"""),"Omar Benson Miller")</f>
        <v>Omar Benson Miller</v>
      </c>
      <c r="AE234" s="11"/>
    </row>
    <row r="235" customHeight="1" spans="1:31">
      <c r="A235" s="12" t="s">
        <v>30</v>
      </c>
      <c r="B235" s="12" t="s">
        <v>1414</v>
      </c>
      <c r="C235" s="12">
        <v>168</v>
      </c>
      <c r="D235" s="12">
        <v>121</v>
      </c>
      <c r="E235" s="12">
        <v>274</v>
      </c>
      <c r="F235" s="12">
        <v>157</v>
      </c>
      <c r="G235" s="12">
        <v>273</v>
      </c>
      <c r="H235" s="12">
        <v>30212620</v>
      </c>
      <c r="I235" s="12" t="s">
        <v>1415</v>
      </c>
      <c r="J235" s="12" t="s">
        <v>1416</v>
      </c>
      <c r="K235" s="12" t="s">
        <v>1417</v>
      </c>
      <c r="L235" s="12" t="s">
        <v>1418</v>
      </c>
      <c r="M235" s="12" t="s">
        <v>1419</v>
      </c>
      <c r="N235" s="12">
        <v>35066</v>
      </c>
      <c r="O235" s="12">
        <v>993</v>
      </c>
      <c r="P235" s="12">
        <v>4</v>
      </c>
      <c r="Q235" s="12" t="s">
        <v>1420</v>
      </c>
      <c r="R235" s="15" t="s">
        <v>1421</v>
      </c>
      <c r="S235" s="12">
        <v>196</v>
      </c>
      <c r="T235" s="12" t="s">
        <v>39</v>
      </c>
      <c r="U235" s="12" t="s">
        <v>40</v>
      </c>
      <c r="V235" s="12" t="s">
        <v>41</v>
      </c>
      <c r="W235" s="12">
        <v>120000000</v>
      </c>
      <c r="X235" s="12">
        <v>2010</v>
      </c>
      <c r="Y235" s="12">
        <v>216</v>
      </c>
      <c r="Z235" s="12">
        <v>5.3</v>
      </c>
      <c r="AA235" s="12">
        <v>1.85</v>
      </c>
      <c r="AB235" s="12">
        <v>0</v>
      </c>
      <c r="AC235" s="12"/>
      <c r="AD235" s="12" t="str">
        <f>IFERROR(__xludf.DUMMYFUNCTION("""COMPUTED_VALUE"""),"Robert Capron")</f>
        <v>Robert Capron</v>
      </c>
      <c r="AE235" s="12"/>
    </row>
    <row r="236" customHeight="1" spans="1:31">
      <c r="A236" s="11" t="s">
        <v>30</v>
      </c>
      <c r="B236" s="11" t="s">
        <v>1422</v>
      </c>
      <c r="C236" s="11">
        <v>283</v>
      </c>
      <c r="D236" s="11">
        <v>117</v>
      </c>
      <c r="E236" s="11">
        <v>446</v>
      </c>
      <c r="F236" s="11">
        <v>877</v>
      </c>
      <c r="G236" s="11">
        <v>10000</v>
      </c>
      <c r="H236" s="11">
        <v>76418654</v>
      </c>
      <c r="I236" s="11" t="s">
        <v>1423</v>
      </c>
      <c r="J236" s="11" t="s">
        <v>523</v>
      </c>
      <c r="K236" s="11" t="s">
        <v>1424</v>
      </c>
      <c r="L236" s="11" t="s">
        <v>1190</v>
      </c>
      <c r="M236" s="11" t="s">
        <v>1425</v>
      </c>
      <c r="N236" s="11">
        <v>148280</v>
      </c>
      <c r="O236" s="11">
        <v>12731</v>
      </c>
      <c r="P236" s="11">
        <v>0</v>
      </c>
      <c r="Q236" s="11" t="s">
        <v>1426</v>
      </c>
      <c r="R236" s="14" t="s">
        <v>1427</v>
      </c>
      <c r="S236" s="11">
        <v>348</v>
      </c>
      <c r="T236" s="11" t="s">
        <v>39</v>
      </c>
      <c r="U236" s="11" t="s">
        <v>40</v>
      </c>
      <c r="V236" s="11" t="s">
        <v>41</v>
      </c>
      <c r="W236" s="11">
        <v>117000000</v>
      </c>
      <c r="X236" s="11">
        <v>2010</v>
      </c>
      <c r="Y236" s="11">
        <v>973</v>
      </c>
      <c r="Z236" s="11">
        <v>6.3</v>
      </c>
      <c r="AA236" s="11">
        <v>2.35</v>
      </c>
      <c r="AB236" s="11">
        <v>11000</v>
      </c>
      <c r="AC236" s="11"/>
      <c r="AD236" s="11" t="str">
        <f>IFERROR(__xludf.DUMMYFUNCTION("""COMPUTED_VALUE"""),"Mike Vogel")</f>
        <v>Mike Vogel</v>
      </c>
      <c r="AE236" s="11"/>
    </row>
    <row r="237" customHeight="1" spans="1:31">
      <c r="A237" s="12" t="s">
        <v>30</v>
      </c>
      <c r="B237" s="12" t="s">
        <v>300</v>
      </c>
      <c r="C237" s="12">
        <v>539</v>
      </c>
      <c r="D237" s="12">
        <v>124</v>
      </c>
      <c r="E237" s="12">
        <v>364</v>
      </c>
      <c r="F237" s="12">
        <v>1000</v>
      </c>
      <c r="G237" s="12">
        <v>11000</v>
      </c>
      <c r="H237" s="12">
        <v>89021735</v>
      </c>
      <c r="I237" s="12" t="s">
        <v>1428</v>
      </c>
      <c r="J237" s="12" t="s">
        <v>466</v>
      </c>
      <c r="K237" s="12" t="s">
        <v>523</v>
      </c>
      <c r="L237" s="12" t="s">
        <v>1429</v>
      </c>
      <c r="M237" s="12" t="s">
        <v>1430</v>
      </c>
      <c r="N237" s="12">
        <v>387436</v>
      </c>
      <c r="O237" s="12">
        <v>22004</v>
      </c>
      <c r="P237" s="12">
        <v>0</v>
      </c>
      <c r="Q237" s="12" t="s">
        <v>1431</v>
      </c>
      <c r="R237" s="15" t="s">
        <v>1432</v>
      </c>
      <c r="S237" s="12">
        <v>892</v>
      </c>
      <c r="T237" s="12" t="s">
        <v>39</v>
      </c>
      <c r="U237" s="12" t="s">
        <v>40</v>
      </c>
      <c r="V237" s="12" t="s">
        <v>41</v>
      </c>
      <c r="W237" s="12">
        <v>120000000</v>
      </c>
      <c r="X237" s="12">
        <v>2013</v>
      </c>
      <c r="Y237" s="12">
        <v>10000</v>
      </c>
      <c r="Z237" s="12">
        <v>7</v>
      </c>
      <c r="AA237" s="12">
        <v>2.35</v>
      </c>
      <c r="AB237" s="12">
        <v>71000</v>
      </c>
      <c r="AC237" s="12"/>
      <c r="AD237" s="12" t="str">
        <f>IFERROR(__xludf.DUMMYFUNCTION("""COMPUTED_VALUE"""),"Andre Braugher")</f>
        <v>Andre Braugher</v>
      </c>
      <c r="AE237" s="12"/>
    </row>
    <row r="238" customHeight="1" spans="1:31">
      <c r="A238" s="11" t="s">
        <v>30</v>
      </c>
      <c r="B238" s="11" t="s">
        <v>1433</v>
      </c>
      <c r="C238" s="11">
        <v>359</v>
      </c>
      <c r="D238" s="11">
        <v>140</v>
      </c>
      <c r="E238" s="11">
        <v>0</v>
      </c>
      <c r="F238" s="11">
        <v>4000</v>
      </c>
      <c r="G238" s="11">
        <v>20000</v>
      </c>
      <c r="H238" s="11">
        <v>380262555</v>
      </c>
      <c r="I238" s="11" t="s">
        <v>32</v>
      </c>
      <c r="J238" s="11" t="s">
        <v>842</v>
      </c>
      <c r="K238" s="11" t="s">
        <v>201</v>
      </c>
      <c r="L238" s="11" t="s">
        <v>1434</v>
      </c>
      <c r="M238" s="11" t="s">
        <v>1435</v>
      </c>
      <c r="N238" s="11">
        <v>520104</v>
      </c>
      <c r="O238" s="11">
        <v>44042</v>
      </c>
      <c r="P238" s="11">
        <v>4</v>
      </c>
      <c r="Q238" s="11" t="s">
        <v>1436</v>
      </c>
      <c r="R238" s="14" t="s">
        <v>1437</v>
      </c>
      <c r="S238" s="11">
        <v>3286</v>
      </c>
      <c r="T238" s="11" t="s">
        <v>39</v>
      </c>
      <c r="U238" s="11" t="s">
        <v>40</v>
      </c>
      <c r="V238" s="11" t="s">
        <v>41</v>
      </c>
      <c r="W238" s="11">
        <v>113000000</v>
      </c>
      <c r="X238" s="11">
        <v>2005</v>
      </c>
      <c r="Y238" s="11">
        <v>16000</v>
      </c>
      <c r="Z238" s="11">
        <v>7.6</v>
      </c>
      <c r="AA238" s="11">
        <v>2.35</v>
      </c>
      <c r="AB238" s="11">
        <v>10000</v>
      </c>
      <c r="AC238" s="11"/>
      <c r="AD238" s="11" t="str">
        <f>IFERROR(__xludf.DUMMYFUNCTION("""COMPUTED_VALUE"""),"Justin Timberlake")</f>
        <v>Justin Timberlake</v>
      </c>
      <c r="AE238" s="11"/>
    </row>
    <row r="239" customHeight="1" spans="1:31">
      <c r="A239" s="12" t="s">
        <v>30</v>
      </c>
      <c r="B239" s="12" t="s">
        <v>1433</v>
      </c>
      <c r="C239" s="12">
        <v>284</v>
      </c>
      <c r="D239" s="12">
        <v>142</v>
      </c>
      <c r="E239" s="12">
        <v>0</v>
      </c>
      <c r="F239" s="12">
        <v>4000</v>
      </c>
      <c r="G239" s="12">
        <v>20000</v>
      </c>
      <c r="H239" s="12">
        <v>310675583</v>
      </c>
      <c r="I239" s="12" t="s">
        <v>32</v>
      </c>
      <c r="J239" s="12" t="s">
        <v>842</v>
      </c>
      <c r="K239" s="12" t="s">
        <v>201</v>
      </c>
      <c r="L239" s="12" t="s">
        <v>1434</v>
      </c>
      <c r="M239" s="12" t="s">
        <v>1438</v>
      </c>
      <c r="N239" s="12">
        <v>464310</v>
      </c>
      <c r="O239" s="12">
        <v>42990</v>
      </c>
      <c r="P239" s="12">
        <v>3</v>
      </c>
      <c r="Q239" s="12" t="s">
        <v>1439</v>
      </c>
      <c r="R239" s="15" t="s">
        <v>1440</v>
      </c>
      <c r="S239" s="12">
        <v>3516</v>
      </c>
      <c r="T239" s="12" t="s">
        <v>39</v>
      </c>
      <c r="U239" s="12" t="s">
        <v>40</v>
      </c>
      <c r="V239" s="12" t="s">
        <v>96</v>
      </c>
      <c r="W239" s="12">
        <v>115000000</v>
      </c>
      <c r="X239" s="12">
        <v>2002</v>
      </c>
      <c r="Y239" s="12">
        <v>16000</v>
      </c>
      <c r="Z239" s="12">
        <v>6.7</v>
      </c>
      <c r="AA239" s="12">
        <v>1.78</v>
      </c>
      <c r="AB239" s="12">
        <v>0</v>
      </c>
      <c r="AC239" s="12"/>
      <c r="AD239" s="12" t="str">
        <f>IFERROR(__xludf.DUMMYFUNCTION("""COMPUTED_VALUE"""),"Eric Idle")</f>
        <v>Eric Idle</v>
      </c>
      <c r="AE239" s="12"/>
    </row>
    <row r="240" customHeight="1" spans="1:31">
      <c r="A240" s="11" t="s">
        <v>30</v>
      </c>
      <c r="B240" s="11" t="s">
        <v>470</v>
      </c>
      <c r="C240" s="11">
        <v>250</v>
      </c>
      <c r="D240" s="11">
        <v>92</v>
      </c>
      <c r="E240" s="11">
        <v>0</v>
      </c>
      <c r="F240" s="11">
        <v>773</v>
      </c>
      <c r="G240" s="11">
        <v>12000</v>
      </c>
      <c r="H240" s="11">
        <v>289907418</v>
      </c>
      <c r="I240" s="11" t="s">
        <v>271</v>
      </c>
      <c r="J240" s="11" t="s">
        <v>272</v>
      </c>
      <c r="K240" s="11" t="s">
        <v>323</v>
      </c>
      <c r="L240" s="11" t="s">
        <v>1441</v>
      </c>
      <c r="M240" s="11" t="s">
        <v>1442</v>
      </c>
      <c r="N240" s="11">
        <v>585659</v>
      </c>
      <c r="O240" s="11">
        <v>15013</v>
      </c>
      <c r="P240" s="11">
        <v>0</v>
      </c>
      <c r="Q240" s="11" t="s">
        <v>1443</v>
      </c>
      <c r="R240" s="14" t="s">
        <v>1444</v>
      </c>
      <c r="S240" s="11">
        <v>593</v>
      </c>
      <c r="T240" s="11" t="s">
        <v>39</v>
      </c>
      <c r="U240" s="11" t="s">
        <v>40</v>
      </c>
      <c r="V240" s="11" t="s">
        <v>278</v>
      </c>
      <c r="W240" s="11">
        <v>115000000</v>
      </c>
      <c r="X240" s="11">
        <v>2001</v>
      </c>
      <c r="Y240" s="11">
        <v>1000</v>
      </c>
      <c r="Z240" s="11">
        <v>8.1</v>
      </c>
      <c r="AA240" s="11">
        <v>1.85</v>
      </c>
      <c r="AB240" s="11">
        <v>0</v>
      </c>
      <c r="AC240" s="11"/>
      <c r="AD240" s="11" t="str">
        <f>IFERROR(__xludf.DUMMYFUNCTION("""COMPUTED_VALUE"""),"Rupert Everett")</f>
        <v>Rupert Everett</v>
      </c>
      <c r="AE240" s="11"/>
    </row>
    <row r="241" customHeight="1" spans="1:31">
      <c r="A241" s="12" t="s">
        <v>30</v>
      </c>
      <c r="B241" s="12" t="s">
        <v>1422</v>
      </c>
      <c r="C241" s="12">
        <v>440</v>
      </c>
      <c r="D241" s="12">
        <v>138</v>
      </c>
      <c r="E241" s="12">
        <v>446</v>
      </c>
      <c r="F241" s="12">
        <v>929</v>
      </c>
      <c r="G241" s="12">
        <v>20000</v>
      </c>
      <c r="H241" s="12">
        <v>132550960</v>
      </c>
      <c r="I241" s="12" t="s">
        <v>227</v>
      </c>
      <c r="J241" s="12" t="s">
        <v>263</v>
      </c>
      <c r="K241" s="12" t="s">
        <v>1445</v>
      </c>
      <c r="L241" s="12" t="s">
        <v>1446</v>
      </c>
      <c r="M241" s="12" t="s">
        <v>1447</v>
      </c>
      <c r="N241" s="12">
        <v>328067</v>
      </c>
      <c r="O241" s="12">
        <v>23755</v>
      </c>
      <c r="P241" s="12">
        <v>1</v>
      </c>
      <c r="Q241" s="12" t="s">
        <v>1448</v>
      </c>
      <c r="R241" s="15" t="s">
        <v>1449</v>
      </c>
      <c r="S241" s="12">
        <v>533</v>
      </c>
      <c r="T241" s="12" t="s">
        <v>39</v>
      </c>
      <c r="U241" s="12" t="s">
        <v>40</v>
      </c>
      <c r="V241" s="12" t="s">
        <v>41</v>
      </c>
      <c r="W241" s="12">
        <v>120000000</v>
      </c>
      <c r="X241" s="12">
        <v>2013</v>
      </c>
      <c r="Y241" s="12">
        <v>992</v>
      </c>
      <c r="Z241" s="12">
        <v>6.7</v>
      </c>
      <c r="AA241" s="12">
        <v>2.35</v>
      </c>
      <c r="AB241" s="12">
        <v>68000</v>
      </c>
      <c r="AC241" s="12"/>
      <c r="AD241" s="12" t="str">
        <f>IFERROR(__xludf.DUMMYFUNCTION("""COMPUTED_VALUE"""),"Dominic Cooper")</f>
        <v>Dominic Cooper</v>
      </c>
      <c r="AE241" s="12"/>
    </row>
    <row r="242" customHeight="1" spans="1:31">
      <c r="A242" s="11" t="s">
        <v>30</v>
      </c>
      <c r="B242" s="11" t="s">
        <v>1433</v>
      </c>
      <c r="C242" s="11">
        <v>320</v>
      </c>
      <c r="D242" s="11">
        <v>136</v>
      </c>
      <c r="E242" s="11">
        <v>0</v>
      </c>
      <c r="F242" s="11">
        <v>1000</v>
      </c>
      <c r="G242" s="11">
        <v>20000</v>
      </c>
      <c r="H242" s="11">
        <v>474544677</v>
      </c>
      <c r="I242" s="11" t="s">
        <v>32</v>
      </c>
      <c r="J242" s="11" t="s">
        <v>842</v>
      </c>
      <c r="K242" s="11" t="s">
        <v>228</v>
      </c>
      <c r="L242" s="11" t="s">
        <v>1450</v>
      </c>
      <c r="M242" s="11" t="s">
        <v>1451</v>
      </c>
      <c r="N242" s="11">
        <v>534658</v>
      </c>
      <c r="O242" s="11">
        <v>37723</v>
      </c>
      <c r="P242" s="11">
        <v>1</v>
      </c>
      <c r="Q242" s="11" t="s">
        <v>1452</v>
      </c>
      <c r="R242" s="14" t="s">
        <v>1453</v>
      </c>
      <c r="S242" s="11">
        <v>3597</v>
      </c>
      <c r="T242" s="11" t="s">
        <v>39</v>
      </c>
      <c r="U242" s="11" t="s">
        <v>40</v>
      </c>
      <c r="V242" s="11" t="s">
        <v>96</v>
      </c>
      <c r="W242" s="11">
        <v>115000000</v>
      </c>
      <c r="X242" s="11">
        <v>1999</v>
      </c>
      <c r="Y242" s="11">
        <v>14000</v>
      </c>
      <c r="Z242" s="11">
        <v>6.5</v>
      </c>
      <c r="AA242" s="11">
        <v>2.35</v>
      </c>
      <c r="AB242" s="11">
        <v>13000</v>
      </c>
      <c r="AC242" s="11"/>
      <c r="AD242" s="11" t="str">
        <f>IFERROR(__xludf.DUMMYFUNCTION("""COMPUTED_VALUE"""),"Callum Rennie")</f>
        <v>Callum Rennie</v>
      </c>
      <c r="AE242" s="11"/>
    </row>
    <row r="243" customHeight="1" spans="1:31">
      <c r="A243" s="12" t="s">
        <v>30</v>
      </c>
      <c r="B243" s="12" t="s">
        <v>1454</v>
      </c>
      <c r="C243" s="12">
        <v>257</v>
      </c>
      <c r="D243" s="12">
        <v>98</v>
      </c>
      <c r="E243" s="12">
        <v>16</v>
      </c>
      <c r="F243" s="12">
        <v>12000</v>
      </c>
      <c r="G243" s="12">
        <v>16000</v>
      </c>
      <c r="H243" s="12">
        <v>187165546</v>
      </c>
      <c r="I243" s="12" t="s">
        <v>271</v>
      </c>
      <c r="J243" s="12" t="s">
        <v>315</v>
      </c>
      <c r="K243" s="12" t="s">
        <v>182</v>
      </c>
      <c r="L243" s="12" t="s">
        <v>705</v>
      </c>
      <c r="M243" s="12" t="s">
        <v>1455</v>
      </c>
      <c r="N243" s="12">
        <v>150618</v>
      </c>
      <c r="O243" s="12">
        <v>43286</v>
      </c>
      <c r="P243" s="12">
        <v>3</v>
      </c>
      <c r="Q243" s="12" t="s">
        <v>1456</v>
      </c>
      <c r="R243" s="15" t="s">
        <v>1457</v>
      </c>
      <c r="S243" s="12">
        <v>195</v>
      </c>
      <c r="T243" s="12" t="s">
        <v>39</v>
      </c>
      <c r="U243" s="12" t="s">
        <v>40</v>
      </c>
      <c r="V243" s="12" t="s">
        <v>96</v>
      </c>
      <c r="W243" s="12">
        <v>135000000</v>
      </c>
      <c r="X243" s="12">
        <v>2013</v>
      </c>
      <c r="Y243" s="12">
        <v>15000</v>
      </c>
      <c r="Z243" s="12">
        <v>7.3</v>
      </c>
      <c r="AA243" s="12">
        <v>2.35</v>
      </c>
      <c r="AB243" s="12">
        <v>28000</v>
      </c>
      <c r="AC243" s="12"/>
      <c r="AD243" s="12" t="str">
        <f>IFERROR(__xludf.DUMMYFUNCTION("""COMPUTED_VALUE"""),"Ruth Negga")</f>
        <v>Ruth Negga</v>
      </c>
      <c r="AE243" s="12"/>
    </row>
    <row r="244" customHeight="1" spans="1:31">
      <c r="A244" s="11" t="s">
        <v>30</v>
      </c>
      <c r="B244" s="11" t="s">
        <v>1458</v>
      </c>
      <c r="C244" s="11">
        <v>33</v>
      </c>
      <c r="D244" s="11">
        <v>116</v>
      </c>
      <c r="E244" s="11">
        <v>0</v>
      </c>
      <c r="F244" s="11">
        <v>141</v>
      </c>
      <c r="G244" s="11">
        <v>936</v>
      </c>
      <c r="H244" s="13"/>
      <c r="I244" s="11" t="s">
        <v>788</v>
      </c>
      <c r="J244" s="11" t="s">
        <v>1459</v>
      </c>
      <c r="K244" s="11" t="s">
        <v>1460</v>
      </c>
      <c r="L244" s="11" t="s">
        <v>1461</v>
      </c>
      <c r="M244" s="11" t="s">
        <v>1462</v>
      </c>
      <c r="N244" s="11">
        <v>20567</v>
      </c>
      <c r="O244" s="11">
        <v>1609</v>
      </c>
      <c r="P244" s="11">
        <v>1</v>
      </c>
      <c r="Q244" s="11" t="s">
        <v>1463</v>
      </c>
      <c r="R244" s="14" t="s">
        <v>1464</v>
      </c>
      <c r="S244" s="11">
        <v>36</v>
      </c>
      <c r="T244" s="11" t="s">
        <v>1465</v>
      </c>
      <c r="U244" s="11" t="s">
        <v>1466</v>
      </c>
      <c r="V244" s="13"/>
      <c r="W244" s="11">
        <v>78000000</v>
      </c>
      <c r="X244" s="11">
        <v>2008</v>
      </c>
      <c r="Y244" s="11">
        <v>276</v>
      </c>
      <c r="Z244" s="11">
        <v>5.1</v>
      </c>
      <c r="AA244" s="11">
        <v>2.35</v>
      </c>
      <c r="AB244" s="11">
        <v>291</v>
      </c>
      <c r="AC244" s="11"/>
      <c r="AD244" s="11" t="str">
        <f>IFERROR(__xludf.DUMMYFUNCTION("""COMPUTED_VALUE"""),"Emilia Clarke")</f>
        <v>Emilia Clarke</v>
      </c>
      <c r="AE244" s="11"/>
    </row>
    <row r="245" customHeight="1" spans="1:31">
      <c r="A245" s="12" t="s">
        <v>30</v>
      </c>
      <c r="B245" s="12" t="s">
        <v>1341</v>
      </c>
      <c r="C245" s="12">
        <v>152</v>
      </c>
      <c r="D245" s="12">
        <v>153</v>
      </c>
      <c r="E245" s="12">
        <v>610</v>
      </c>
      <c r="F245" s="12">
        <v>617</v>
      </c>
      <c r="G245" s="12">
        <v>12000</v>
      </c>
      <c r="H245" s="12">
        <v>40911830</v>
      </c>
      <c r="I245" s="12" t="s">
        <v>1467</v>
      </c>
      <c r="J245" s="12" t="s">
        <v>705</v>
      </c>
      <c r="K245" s="12" t="s">
        <v>1468</v>
      </c>
      <c r="L245" s="12" t="s">
        <v>1469</v>
      </c>
      <c r="M245" s="12" t="s">
        <v>1470</v>
      </c>
      <c r="N245" s="12">
        <v>55994</v>
      </c>
      <c r="O245" s="12">
        <v>15046</v>
      </c>
      <c r="P245" s="12">
        <v>0</v>
      </c>
      <c r="Q245" s="12" t="s">
        <v>1471</v>
      </c>
      <c r="R245" s="15" t="s">
        <v>1472</v>
      </c>
      <c r="S245" s="12">
        <v>454</v>
      </c>
      <c r="T245" s="12" t="s">
        <v>39</v>
      </c>
      <c r="U245" s="12" t="s">
        <v>40</v>
      </c>
      <c r="V245" s="12" t="s">
        <v>586</v>
      </c>
      <c r="W245" s="12">
        <v>115000000</v>
      </c>
      <c r="X245" s="12">
        <v>2002</v>
      </c>
      <c r="Y245" s="12">
        <v>836</v>
      </c>
      <c r="Z245" s="12">
        <v>6</v>
      </c>
      <c r="AA245" s="12">
        <v>2.35</v>
      </c>
      <c r="AB245" s="12">
        <v>0</v>
      </c>
      <c r="AC245" s="12"/>
      <c r="AD245" s="12" t="str">
        <f>IFERROR(__xludf.DUMMYFUNCTION("""COMPUTED_VALUE"""),"Matt Smith")</f>
        <v>Matt Smith</v>
      </c>
      <c r="AE245" s="12"/>
    </row>
    <row r="246" customHeight="1" spans="1:31">
      <c r="A246" s="11" t="s">
        <v>30</v>
      </c>
      <c r="B246" s="11" t="s">
        <v>1473</v>
      </c>
      <c r="C246" s="11">
        <v>231</v>
      </c>
      <c r="D246" s="11">
        <v>120</v>
      </c>
      <c r="E246" s="11">
        <v>19</v>
      </c>
      <c r="F246" s="11">
        <v>9000</v>
      </c>
      <c r="G246" s="11">
        <v>26000</v>
      </c>
      <c r="H246" s="11">
        <v>47952020</v>
      </c>
      <c r="I246" s="11" t="s">
        <v>558</v>
      </c>
      <c r="J246" s="11" t="s">
        <v>98</v>
      </c>
      <c r="K246" s="11" t="s">
        <v>159</v>
      </c>
      <c r="L246" s="11" t="s">
        <v>778</v>
      </c>
      <c r="M246" s="11" t="s">
        <v>1474</v>
      </c>
      <c r="N246" s="11">
        <v>37750</v>
      </c>
      <c r="O246" s="11">
        <v>46719</v>
      </c>
      <c r="P246" s="11">
        <v>2</v>
      </c>
      <c r="Q246" s="11" t="s">
        <v>1475</v>
      </c>
      <c r="R246" s="14" t="s">
        <v>1476</v>
      </c>
      <c r="S246" s="11">
        <v>134</v>
      </c>
      <c r="T246" s="11" t="s">
        <v>39</v>
      </c>
      <c r="U246" s="11" t="s">
        <v>40</v>
      </c>
      <c r="V246" s="11" t="s">
        <v>41</v>
      </c>
      <c r="W246" s="11">
        <v>115000000</v>
      </c>
      <c r="X246" s="11">
        <v>2016</v>
      </c>
      <c r="Y246" s="11">
        <v>11000</v>
      </c>
      <c r="Z246" s="11">
        <v>6.1</v>
      </c>
      <c r="AA246" s="11">
        <v>2.35</v>
      </c>
      <c r="AB246" s="11">
        <v>16000</v>
      </c>
      <c r="AC246" s="11"/>
      <c r="AD246" s="11" t="str">
        <f>IFERROR(__xludf.DUMMYFUNCTION("""COMPUTED_VALUE"""),"Bruce Spence")</f>
        <v>Bruce Spence</v>
      </c>
      <c r="AE246" s="11"/>
    </row>
    <row r="247" customHeight="1" spans="1:31">
      <c r="A247" s="12" t="s">
        <v>30</v>
      </c>
      <c r="B247" s="12" t="s">
        <v>877</v>
      </c>
      <c r="C247" s="12">
        <v>348</v>
      </c>
      <c r="D247" s="12">
        <v>101</v>
      </c>
      <c r="E247" s="12">
        <v>473</v>
      </c>
      <c r="F247" s="12">
        <v>429</v>
      </c>
      <c r="G247" s="12">
        <v>833</v>
      </c>
      <c r="H247" s="12">
        <v>190871240</v>
      </c>
      <c r="I247" s="12" t="s">
        <v>509</v>
      </c>
      <c r="J247" s="12" t="s">
        <v>1477</v>
      </c>
      <c r="K247" s="12" t="s">
        <v>1478</v>
      </c>
      <c r="L247" s="12" t="s">
        <v>1479</v>
      </c>
      <c r="M247" s="12" t="s">
        <v>1480</v>
      </c>
      <c r="N247" s="12">
        <v>167085</v>
      </c>
      <c r="O247" s="12">
        <v>2690</v>
      </c>
      <c r="P247" s="12">
        <v>0</v>
      </c>
      <c r="Q247" s="12" t="s">
        <v>1481</v>
      </c>
      <c r="R247" s="15" t="s">
        <v>1482</v>
      </c>
      <c r="S247" s="12">
        <v>491</v>
      </c>
      <c r="T247" s="12" t="s">
        <v>39</v>
      </c>
      <c r="U247" s="12" t="s">
        <v>40</v>
      </c>
      <c r="V247" s="12" t="s">
        <v>41</v>
      </c>
      <c r="W247" s="12">
        <v>125000000</v>
      </c>
      <c r="X247" s="12">
        <v>2014</v>
      </c>
      <c r="Y247" s="12">
        <v>809</v>
      </c>
      <c r="Z247" s="12">
        <v>5.9</v>
      </c>
      <c r="AA247" s="12">
        <v>2.35</v>
      </c>
      <c r="AB247" s="12">
        <v>62000</v>
      </c>
      <c r="AC247" s="12"/>
      <c r="AD247" s="12" t="str">
        <f>IFERROR(__xludf.DUMMYFUNCTION("""COMPUTED_VALUE"""),"Laura Brent")</f>
        <v>Laura Brent</v>
      </c>
      <c r="AE247" s="12"/>
    </row>
    <row r="248" customHeight="1" spans="1:31">
      <c r="A248" s="11" t="s">
        <v>30</v>
      </c>
      <c r="B248" s="11" t="s">
        <v>1218</v>
      </c>
      <c r="C248" s="11">
        <v>738</v>
      </c>
      <c r="D248" s="11">
        <v>91</v>
      </c>
      <c r="E248" s="11">
        <v>0</v>
      </c>
      <c r="F248" s="11">
        <v>13</v>
      </c>
      <c r="G248" s="11">
        <v>39</v>
      </c>
      <c r="H248" s="11">
        <v>274084951</v>
      </c>
      <c r="I248" s="11" t="s">
        <v>1483</v>
      </c>
      <c r="J248" s="11" t="s">
        <v>1484</v>
      </c>
      <c r="K248" s="11" t="s">
        <v>1485</v>
      </c>
      <c r="L248" s="11" t="s">
        <v>1486</v>
      </c>
      <c r="M248" s="11" t="s">
        <v>1487</v>
      </c>
      <c r="N248" s="11">
        <v>582917</v>
      </c>
      <c r="O248" s="11">
        <v>87</v>
      </c>
      <c r="P248" s="11">
        <v>0</v>
      </c>
      <c r="Q248" s="11" t="s">
        <v>1488</v>
      </c>
      <c r="R248" s="14" t="s">
        <v>1489</v>
      </c>
      <c r="S248" s="11">
        <v>1885</v>
      </c>
      <c r="T248" s="11" t="s">
        <v>39</v>
      </c>
      <c r="U248" s="11" t="s">
        <v>58</v>
      </c>
      <c r="V248" s="11" t="s">
        <v>41</v>
      </c>
      <c r="W248" s="11">
        <v>100000000</v>
      </c>
      <c r="X248" s="11">
        <v>2013</v>
      </c>
      <c r="Y248" s="11">
        <v>23</v>
      </c>
      <c r="Z248" s="11">
        <v>7.8</v>
      </c>
      <c r="AA248" s="11">
        <v>2.35</v>
      </c>
      <c r="AB248" s="11">
        <v>147000</v>
      </c>
      <c r="AC248" s="11"/>
      <c r="AD248" s="11" t="str">
        <f>IFERROR(__xludf.DUMMYFUNCTION("""COMPUTED_VALUE"""),"Jennifer Garner")</f>
        <v>Jennifer Garner</v>
      </c>
      <c r="AE248" s="11"/>
    </row>
    <row r="249" customHeight="1" spans="1:31">
      <c r="A249" s="12" t="s">
        <v>30</v>
      </c>
      <c r="B249" s="12" t="s">
        <v>1490</v>
      </c>
      <c r="C249" s="12">
        <v>93</v>
      </c>
      <c r="D249" s="12">
        <v>108</v>
      </c>
      <c r="E249" s="12">
        <v>79</v>
      </c>
      <c r="F249" s="12">
        <v>268</v>
      </c>
      <c r="G249" s="12">
        <v>650</v>
      </c>
      <c r="H249" s="12">
        <v>67155742</v>
      </c>
      <c r="I249" s="12" t="s">
        <v>51</v>
      </c>
      <c r="J249" s="12" t="s">
        <v>1491</v>
      </c>
      <c r="K249" s="12" t="s">
        <v>1492</v>
      </c>
      <c r="L249" s="12" t="s">
        <v>423</v>
      </c>
      <c r="M249" s="12" t="s">
        <v>1493</v>
      </c>
      <c r="N249" s="12">
        <v>62271</v>
      </c>
      <c r="O249" s="12">
        <v>1569</v>
      </c>
      <c r="P249" s="12">
        <v>1</v>
      </c>
      <c r="Q249" s="12" t="s">
        <v>1494</v>
      </c>
      <c r="R249" s="15" t="s">
        <v>1495</v>
      </c>
      <c r="S249" s="12">
        <v>277</v>
      </c>
      <c r="T249" s="12" t="s">
        <v>39</v>
      </c>
      <c r="U249" s="12" t="s">
        <v>40</v>
      </c>
      <c r="V249" s="12" t="s">
        <v>41</v>
      </c>
      <c r="W249" s="12">
        <v>116000000</v>
      </c>
      <c r="X249" s="12">
        <v>1997</v>
      </c>
      <c r="Y249" s="12">
        <v>293</v>
      </c>
      <c r="Z249" s="12">
        <v>5.8</v>
      </c>
      <c r="AA249" s="12">
        <v>2.35</v>
      </c>
      <c r="AB249" s="12">
        <v>0</v>
      </c>
      <c r="AC249" s="12"/>
      <c r="AD249" s="12" t="str">
        <f>IFERROR(__xludf.DUMMYFUNCTION("""COMPUTED_VALUE"""),"Jaime King")</f>
        <v>Jaime King</v>
      </c>
      <c r="AE249" s="12"/>
    </row>
    <row r="250" customHeight="1" spans="1:31">
      <c r="A250" s="11" t="s">
        <v>30</v>
      </c>
      <c r="B250" s="11" t="s">
        <v>1496</v>
      </c>
      <c r="C250" s="11">
        <v>181</v>
      </c>
      <c r="D250" s="11">
        <v>112</v>
      </c>
      <c r="E250" s="11">
        <v>13</v>
      </c>
      <c r="F250" s="11">
        <v>799</v>
      </c>
      <c r="G250" s="11">
        <v>5000</v>
      </c>
      <c r="H250" s="11">
        <v>81638674</v>
      </c>
      <c r="I250" s="11" t="s">
        <v>509</v>
      </c>
      <c r="J250" s="11" t="s">
        <v>1497</v>
      </c>
      <c r="K250" s="11" t="s">
        <v>1477</v>
      </c>
      <c r="L250" s="11" t="s">
        <v>90</v>
      </c>
      <c r="M250" s="11" t="s">
        <v>1498</v>
      </c>
      <c r="N250" s="11">
        <v>17533</v>
      </c>
      <c r="O250" s="11">
        <v>8306</v>
      </c>
      <c r="P250" s="13"/>
      <c r="Q250" s="11" t="s">
        <v>1499</v>
      </c>
      <c r="R250" s="14" t="s">
        <v>1500</v>
      </c>
      <c r="S250" s="11">
        <v>115</v>
      </c>
      <c r="T250" s="11" t="s">
        <v>39</v>
      </c>
      <c r="U250" s="11" t="s">
        <v>40</v>
      </c>
      <c r="V250" s="11" t="s">
        <v>41</v>
      </c>
      <c r="W250" s="11">
        <v>135000000</v>
      </c>
      <c r="X250" s="11">
        <v>2016</v>
      </c>
      <c r="Y250" s="11">
        <v>833</v>
      </c>
      <c r="Z250" s="11">
        <v>6.3</v>
      </c>
      <c r="AA250" s="11">
        <v>2.35</v>
      </c>
      <c r="AB250" s="11">
        <v>12000</v>
      </c>
      <c r="AC250" s="11"/>
      <c r="AD250" s="11" t="str">
        <f>IFERROR(__xludf.DUMMYFUNCTION("""COMPUTED_VALUE"""),"Mako")</f>
        <v>Mako</v>
      </c>
      <c r="AE250" s="11"/>
    </row>
    <row r="251" customHeight="1" spans="1:31">
      <c r="A251" s="12" t="s">
        <v>30</v>
      </c>
      <c r="B251" s="12" t="s">
        <v>1501</v>
      </c>
      <c r="C251" s="12">
        <v>369</v>
      </c>
      <c r="D251" s="12">
        <v>100</v>
      </c>
      <c r="E251" s="12">
        <v>128</v>
      </c>
      <c r="F251" s="12">
        <v>78</v>
      </c>
      <c r="G251" s="12">
        <v>596</v>
      </c>
      <c r="H251" s="12">
        <v>56114221</v>
      </c>
      <c r="I251" s="12" t="s">
        <v>73</v>
      </c>
      <c r="J251" s="12" t="s">
        <v>1502</v>
      </c>
      <c r="K251" s="12" t="s">
        <v>1503</v>
      </c>
      <c r="L251" s="12" t="s">
        <v>1504</v>
      </c>
      <c r="M251" s="12" t="s">
        <v>1505</v>
      </c>
      <c r="N251" s="12">
        <v>110486</v>
      </c>
      <c r="O251" s="12">
        <v>1261</v>
      </c>
      <c r="P251" s="12">
        <v>3</v>
      </c>
      <c r="Q251" s="12" t="s">
        <v>1506</v>
      </c>
      <c r="R251" s="15" t="s">
        <v>1507</v>
      </c>
      <c r="S251" s="12">
        <v>695</v>
      </c>
      <c r="T251" s="12" t="s">
        <v>39</v>
      </c>
      <c r="U251" s="12" t="s">
        <v>40</v>
      </c>
      <c r="V251" s="12" t="s">
        <v>41</v>
      </c>
      <c r="W251" s="12">
        <v>120000000</v>
      </c>
      <c r="X251" s="12">
        <v>2015</v>
      </c>
      <c r="Y251" s="12">
        <v>360</v>
      </c>
      <c r="Z251" s="12">
        <v>4.3</v>
      </c>
      <c r="AA251" s="12">
        <v>2.35</v>
      </c>
      <c r="AB251" s="12">
        <v>41000</v>
      </c>
      <c r="AC251" s="12"/>
      <c r="AD251" s="12" t="str">
        <f>IFERROR(__xludf.DUMMYFUNCTION("""COMPUTED_VALUE"""),"Zack Ward")</f>
        <v>Zack Ward</v>
      </c>
      <c r="AE251" s="12"/>
    </row>
    <row r="252" customHeight="1" spans="1:31">
      <c r="A252" s="11" t="s">
        <v>30</v>
      </c>
      <c r="B252" s="11" t="s">
        <v>810</v>
      </c>
      <c r="C252" s="11">
        <v>179</v>
      </c>
      <c r="D252" s="11">
        <v>108</v>
      </c>
      <c r="E252" s="11">
        <v>189</v>
      </c>
      <c r="F252" s="11">
        <v>1000</v>
      </c>
      <c r="G252" s="11">
        <v>49000</v>
      </c>
      <c r="H252" s="11">
        <v>250863268</v>
      </c>
      <c r="I252" s="11" t="s">
        <v>1508</v>
      </c>
      <c r="J252" s="11" t="s">
        <v>811</v>
      </c>
      <c r="K252" s="11" t="s">
        <v>812</v>
      </c>
      <c r="L252" s="11" t="s">
        <v>813</v>
      </c>
      <c r="M252" s="11" t="s">
        <v>1509</v>
      </c>
      <c r="N252" s="11">
        <v>234480</v>
      </c>
      <c r="O252" s="11">
        <v>55486</v>
      </c>
      <c r="P252" s="11">
        <v>2</v>
      </c>
      <c r="Q252" s="11" t="s">
        <v>1510</v>
      </c>
      <c r="R252" s="14" t="s">
        <v>1511</v>
      </c>
      <c r="S252" s="11">
        <v>444</v>
      </c>
      <c r="T252" s="11" t="s">
        <v>39</v>
      </c>
      <c r="U252" s="11" t="s">
        <v>40</v>
      </c>
      <c r="V252" s="11" t="s">
        <v>96</v>
      </c>
      <c r="W252" s="11">
        <v>110000000</v>
      </c>
      <c r="X252" s="11">
        <v>2006</v>
      </c>
      <c r="Y252" s="11">
        <v>3000</v>
      </c>
      <c r="Z252" s="11">
        <v>6.4</v>
      </c>
      <c r="AA252" s="11">
        <v>1.85</v>
      </c>
      <c r="AB252" s="11">
        <v>3000</v>
      </c>
      <c r="AC252" s="11"/>
      <c r="AD252" s="11" t="str">
        <f>IFERROR(__xludf.DUMMYFUNCTION("""COMPUTED_VALUE"""),"Michael O'Neill")</f>
        <v>Michael O'Neill</v>
      </c>
      <c r="AE252" s="11"/>
    </row>
    <row r="253" customHeight="1" spans="1:31">
      <c r="A253" s="12" t="s">
        <v>30</v>
      </c>
      <c r="B253" s="12" t="s">
        <v>1512</v>
      </c>
      <c r="C253" s="12">
        <v>358</v>
      </c>
      <c r="D253" s="12">
        <v>114</v>
      </c>
      <c r="E253" s="12">
        <v>62</v>
      </c>
      <c r="F253" s="12">
        <v>884</v>
      </c>
      <c r="G253" s="12">
        <v>12000</v>
      </c>
      <c r="H253" s="12">
        <v>155181732</v>
      </c>
      <c r="I253" s="12" t="s">
        <v>712</v>
      </c>
      <c r="J253" s="12" t="s">
        <v>1073</v>
      </c>
      <c r="K253" s="12" t="s">
        <v>1353</v>
      </c>
      <c r="L253" s="12" t="s">
        <v>1513</v>
      </c>
      <c r="M253" s="12" t="s">
        <v>1514</v>
      </c>
      <c r="N253" s="12">
        <v>147497</v>
      </c>
      <c r="O253" s="12">
        <v>16718</v>
      </c>
      <c r="P253" s="12">
        <v>0</v>
      </c>
      <c r="Q253" s="12" t="s">
        <v>1515</v>
      </c>
      <c r="R253" s="15" t="s">
        <v>1516</v>
      </c>
      <c r="S253" s="12">
        <v>499</v>
      </c>
      <c r="T253" s="12" t="s">
        <v>39</v>
      </c>
      <c r="U253" s="12" t="s">
        <v>40</v>
      </c>
      <c r="V253" s="12" t="s">
        <v>41</v>
      </c>
      <c r="W253" s="12">
        <v>110000000</v>
      </c>
      <c r="X253" s="12">
        <v>2015</v>
      </c>
      <c r="Y253" s="12">
        <v>2000</v>
      </c>
      <c r="Z253" s="12">
        <v>6.1</v>
      </c>
      <c r="AA253" s="12">
        <v>2.35</v>
      </c>
      <c r="AB253" s="12">
        <v>52000</v>
      </c>
      <c r="AC253" s="12"/>
      <c r="AD253" s="12" t="str">
        <f>IFERROR(__xludf.DUMMYFUNCTION("""COMPUTED_VALUE"""),"Anthony Hopkins")</f>
        <v>Anthony Hopkins</v>
      </c>
      <c r="AE253" s="12"/>
    </row>
    <row r="254" customHeight="1" spans="1:31">
      <c r="A254" s="11" t="s">
        <v>30</v>
      </c>
      <c r="B254" s="11" t="s">
        <v>1517</v>
      </c>
      <c r="C254" s="11">
        <v>160</v>
      </c>
      <c r="D254" s="11">
        <v>119</v>
      </c>
      <c r="E254" s="11">
        <v>55</v>
      </c>
      <c r="F254" s="11">
        <v>387</v>
      </c>
      <c r="G254" s="11">
        <v>811</v>
      </c>
      <c r="H254" s="11">
        <v>125332007</v>
      </c>
      <c r="I254" s="11" t="s">
        <v>51</v>
      </c>
      <c r="J254" s="11" t="s">
        <v>1518</v>
      </c>
      <c r="K254" s="11" t="s">
        <v>965</v>
      </c>
      <c r="L254" s="11" t="s">
        <v>1519</v>
      </c>
      <c r="M254" s="11" t="s">
        <v>1520</v>
      </c>
      <c r="N254" s="11">
        <v>149680</v>
      </c>
      <c r="O254" s="11">
        <v>2958</v>
      </c>
      <c r="P254" s="11">
        <v>3</v>
      </c>
      <c r="Q254" s="11" t="s">
        <v>1521</v>
      </c>
      <c r="R254" s="14" t="s">
        <v>1522</v>
      </c>
      <c r="S254" s="11">
        <v>328</v>
      </c>
      <c r="T254" s="11" t="s">
        <v>39</v>
      </c>
      <c r="U254" s="11" t="s">
        <v>58</v>
      </c>
      <c r="V254" s="11" t="s">
        <v>41</v>
      </c>
      <c r="W254" s="11">
        <v>110000000</v>
      </c>
      <c r="X254" s="11">
        <v>1997</v>
      </c>
      <c r="Y254" s="11">
        <v>766</v>
      </c>
      <c r="Z254" s="11">
        <v>6.5</v>
      </c>
      <c r="AA254" s="11">
        <v>2.35</v>
      </c>
      <c r="AB254" s="11">
        <v>0</v>
      </c>
      <c r="AC254" s="11"/>
      <c r="AD254" s="11" t="str">
        <f>IFERROR(__xludf.DUMMYFUNCTION("""COMPUTED_VALUE"""),"Brian Blessed")</f>
        <v>Brian Blessed</v>
      </c>
      <c r="AE254" s="11"/>
    </row>
    <row r="255" customHeight="1" spans="1:31">
      <c r="A255" s="12" t="s">
        <v>30</v>
      </c>
      <c r="B255" s="12" t="s">
        <v>429</v>
      </c>
      <c r="C255" s="12">
        <v>192</v>
      </c>
      <c r="D255" s="12">
        <v>142</v>
      </c>
      <c r="E255" s="12">
        <v>776</v>
      </c>
      <c r="F255" s="12">
        <v>1000</v>
      </c>
      <c r="G255" s="12">
        <v>13000</v>
      </c>
      <c r="H255" s="12">
        <v>113330342</v>
      </c>
      <c r="I255" s="12" t="s">
        <v>1017</v>
      </c>
      <c r="J255" s="12" t="s">
        <v>465</v>
      </c>
      <c r="K255" s="12" t="s">
        <v>1523</v>
      </c>
      <c r="L255" s="12" t="s">
        <v>138</v>
      </c>
      <c r="M255" s="12" t="s">
        <v>1524</v>
      </c>
      <c r="N255" s="12">
        <v>207613</v>
      </c>
      <c r="O255" s="12">
        <v>19454</v>
      </c>
      <c r="P255" s="12">
        <v>1</v>
      </c>
      <c r="Q255" s="12" t="s">
        <v>1525</v>
      </c>
      <c r="R255" s="15" t="s">
        <v>1526</v>
      </c>
      <c r="S255" s="12">
        <v>1144</v>
      </c>
      <c r="T255" s="12" t="s">
        <v>39</v>
      </c>
      <c r="U255" s="12" t="s">
        <v>40</v>
      </c>
      <c r="V255" s="12" t="s">
        <v>586</v>
      </c>
      <c r="W255" s="12">
        <v>110000000</v>
      </c>
      <c r="X255" s="12">
        <v>2000</v>
      </c>
      <c r="Y255" s="12">
        <v>2000</v>
      </c>
      <c r="Z255" s="12">
        <v>7.1</v>
      </c>
      <c r="AA255" s="12">
        <v>2.35</v>
      </c>
      <c r="AB255" s="12">
        <v>4000</v>
      </c>
      <c r="AC255" s="12"/>
      <c r="AD255" s="12" t="str">
        <f>IFERROR(__xludf.DUMMYFUNCTION("""COMPUTED_VALUE"""),"Robert Pattinson")</f>
        <v>Robert Pattinson</v>
      </c>
      <c r="AE255" s="12"/>
    </row>
    <row r="256" customHeight="1" spans="1:31">
      <c r="A256" s="11" t="s">
        <v>30</v>
      </c>
      <c r="B256" s="11" t="s">
        <v>1527</v>
      </c>
      <c r="C256" s="11">
        <v>198</v>
      </c>
      <c r="D256" s="11">
        <v>125</v>
      </c>
      <c r="E256" s="11">
        <v>0</v>
      </c>
      <c r="F256" s="11">
        <v>350</v>
      </c>
      <c r="G256" s="11">
        <v>11000</v>
      </c>
      <c r="H256" s="11">
        <v>125531634</v>
      </c>
      <c r="I256" s="11" t="s">
        <v>1528</v>
      </c>
      <c r="J256" s="11" t="s">
        <v>343</v>
      </c>
      <c r="K256" s="11" t="s">
        <v>1529</v>
      </c>
      <c r="L256" s="11" t="s">
        <v>1530</v>
      </c>
      <c r="M256" s="11" t="s">
        <v>1531</v>
      </c>
      <c r="N256" s="11">
        <v>284852</v>
      </c>
      <c r="O256" s="11">
        <v>19359</v>
      </c>
      <c r="P256" s="11">
        <v>0</v>
      </c>
      <c r="Q256" s="11" t="s">
        <v>1532</v>
      </c>
      <c r="R256" s="14" t="s">
        <v>1533</v>
      </c>
      <c r="S256" s="11">
        <v>627</v>
      </c>
      <c r="T256" s="11" t="s">
        <v>39</v>
      </c>
      <c r="U256" s="11" t="s">
        <v>40</v>
      </c>
      <c r="V256" s="11" t="s">
        <v>41</v>
      </c>
      <c r="W256" s="11">
        <v>110000000</v>
      </c>
      <c r="X256" s="11">
        <v>2004</v>
      </c>
      <c r="Y256" s="11">
        <v>8000</v>
      </c>
      <c r="Z256" s="11">
        <v>6.4</v>
      </c>
      <c r="AA256" s="11">
        <v>2.35</v>
      </c>
      <c r="AB256" s="11">
        <v>0</v>
      </c>
      <c r="AC256" s="11"/>
      <c r="AD256" s="11" t="str">
        <f>IFERROR(__xludf.DUMMYFUNCTION("""COMPUTED_VALUE"""),"Fiona Shaw")</f>
        <v>Fiona Shaw</v>
      </c>
      <c r="AE256" s="11"/>
    </row>
    <row r="257" customHeight="1" spans="1:31">
      <c r="A257" s="12" t="s">
        <v>30</v>
      </c>
      <c r="B257" s="12" t="s">
        <v>522</v>
      </c>
      <c r="C257" s="12">
        <v>233</v>
      </c>
      <c r="D257" s="12">
        <v>126</v>
      </c>
      <c r="E257" s="12">
        <v>218</v>
      </c>
      <c r="F257" s="12">
        <v>322</v>
      </c>
      <c r="G257" s="12">
        <v>11000</v>
      </c>
      <c r="H257" s="12">
        <v>186336103</v>
      </c>
      <c r="I257" s="12" t="s">
        <v>1534</v>
      </c>
      <c r="J257" s="12" t="s">
        <v>343</v>
      </c>
      <c r="K257" s="12" t="s">
        <v>565</v>
      </c>
      <c r="L257" s="12" t="s">
        <v>1535</v>
      </c>
      <c r="M257" s="12" t="s">
        <v>1536</v>
      </c>
      <c r="N257" s="12">
        <v>348861</v>
      </c>
      <c r="O257" s="12">
        <v>22722</v>
      </c>
      <c r="P257" s="12">
        <v>2</v>
      </c>
      <c r="Q257" s="12" t="s">
        <v>1537</v>
      </c>
      <c r="R257" s="15" t="s">
        <v>1538</v>
      </c>
      <c r="S257" s="12">
        <v>798</v>
      </c>
      <c r="T257" s="12" t="s">
        <v>39</v>
      </c>
      <c r="U257" s="12" t="s">
        <v>40</v>
      </c>
      <c r="V257" s="12" t="s">
        <v>41</v>
      </c>
      <c r="W257" s="12">
        <v>120000000</v>
      </c>
      <c r="X257" s="12">
        <v>2005</v>
      </c>
      <c r="Y257" s="12">
        <v>11000</v>
      </c>
      <c r="Z257" s="12">
        <v>6.5</v>
      </c>
      <c r="AA257" s="12">
        <v>2.35</v>
      </c>
      <c r="AB257" s="12">
        <v>0</v>
      </c>
      <c r="AC257" s="12"/>
      <c r="AD257" s="12" t="str">
        <f>IFERROR(__xludf.DUMMYFUNCTION("""COMPUTED_VALUE"""),"Charlize Theron")</f>
        <v>Charlize Theron</v>
      </c>
      <c r="AE257" s="12"/>
    </row>
    <row r="258" customHeight="1" spans="1:31">
      <c r="A258" s="11" t="s">
        <v>30</v>
      </c>
      <c r="B258" s="11" t="s">
        <v>1258</v>
      </c>
      <c r="C258" s="11">
        <v>263</v>
      </c>
      <c r="D258" s="11">
        <v>119</v>
      </c>
      <c r="E258" s="11">
        <v>124</v>
      </c>
      <c r="F258" s="11">
        <v>1000</v>
      </c>
      <c r="G258" s="11">
        <v>14000</v>
      </c>
      <c r="H258" s="11">
        <v>129995817</v>
      </c>
      <c r="I258" s="11" t="s">
        <v>1171</v>
      </c>
      <c r="J258" s="11" t="s">
        <v>216</v>
      </c>
      <c r="K258" s="11" t="s">
        <v>1539</v>
      </c>
      <c r="L258" s="11" t="s">
        <v>1540</v>
      </c>
      <c r="M258" s="11" t="s">
        <v>1541</v>
      </c>
      <c r="N258" s="11">
        <v>154621</v>
      </c>
      <c r="O258" s="11">
        <v>22622</v>
      </c>
      <c r="P258" s="11">
        <v>0</v>
      </c>
      <c r="Q258" s="11" t="s">
        <v>1542</v>
      </c>
      <c r="R258" s="14" t="s">
        <v>1543</v>
      </c>
      <c r="S258" s="11">
        <v>258</v>
      </c>
      <c r="T258" s="11" t="s">
        <v>39</v>
      </c>
      <c r="U258" s="11" t="s">
        <v>40</v>
      </c>
      <c r="V258" s="11" t="s">
        <v>41</v>
      </c>
      <c r="W258" s="11">
        <v>110000000</v>
      </c>
      <c r="X258" s="11">
        <v>2015</v>
      </c>
      <c r="Y258" s="11">
        <v>5000</v>
      </c>
      <c r="Z258" s="11">
        <v>6.3</v>
      </c>
      <c r="AA258" s="11">
        <v>2.35</v>
      </c>
      <c r="AB258" s="11">
        <v>27000</v>
      </c>
      <c r="AC258" s="11"/>
      <c r="AD258" s="11" t="str">
        <f>IFERROR(__xludf.DUMMYFUNCTION("""COMPUTED_VALUE"""),"Alice Braga")</f>
        <v>Alice Braga</v>
      </c>
      <c r="AE258" s="11"/>
    </row>
    <row r="259" customHeight="1" spans="1:31">
      <c r="A259" s="12" t="s">
        <v>748</v>
      </c>
      <c r="B259" s="12" t="s">
        <v>488</v>
      </c>
      <c r="C259" s="12">
        <v>267</v>
      </c>
      <c r="D259" s="12">
        <v>170</v>
      </c>
      <c r="E259" s="12">
        <v>17000</v>
      </c>
      <c r="F259" s="12">
        <v>827</v>
      </c>
      <c r="G259" s="12">
        <v>29000</v>
      </c>
      <c r="H259" s="12">
        <v>102608827</v>
      </c>
      <c r="I259" s="12" t="s">
        <v>1544</v>
      </c>
      <c r="J259" s="12" t="s">
        <v>215</v>
      </c>
      <c r="K259" s="12" t="s">
        <v>1545</v>
      </c>
      <c r="L259" s="12" t="s">
        <v>1546</v>
      </c>
      <c r="M259" s="12" t="s">
        <v>1547</v>
      </c>
      <c r="N259" s="12">
        <v>264318</v>
      </c>
      <c r="O259" s="12">
        <v>34582</v>
      </c>
      <c r="P259" s="12">
        <v>0</v>
      </c>
      <c r="Q259" s="12" t="s">
        <v>1548</v>
      </c>
      <c r="R259" s="15" t="s">
        <v>1549</v>
      </c>
      <c r="S259" s="12">
        <v>799</v>
      </c>
      <c r="T259" s="12" t="s">
        <v>39</v>
      </c>
      <c r="U259" s="12" t="s">
        <v>40</v>
      </c>
      <c r="V259" s="12" t="s">
        <v>41</v>
      </c>
      <c r="W259" s="12">
        <v>110000000</v>
      </c>
      <c r="X259" s="12">
        <v>2004</v>
      </c>
      <c r="Y259" s="12">
        <v>3000</v>
      </c>
      <c r="Z259" s="12">
        <v>7.5</v>
      </c>
      <c r="AA259" s="12">
        <v>2.35</v>
      </c>
      <c r="AB259" s="12">
        <v>0</v>
      </c>
      <c r="AC259" s="12"/>
      <c r="AD259" s="12" t="str">
        <f>IFERROR(__xludf.DUMMYFUNCTION("""COMPUTED_VALUE"""),"Willow Smith")</f>
        <v>Willow Smith</v>
      </c>
      <c r="AE259" s="12"/>
    </row>
    <row r="260" customHeight="1" spans="1:31">
      <c r="A260" s="11" t="s">
        <v>30</v>
      </c>
      <c r="B260" s="11" t="s">
        <v>477</v>
      </c>
      <c r="C260" s="11">
        <v>184</v>
      </c>
      <c r="D260" s="11">
        <v>85</v>
      </c>
      <c r="E260" s="11">
        <v>11</v>
      </c>
      <c r="F260" s="11">
        <v>116</v>
      </c>
      <c r="G260" s="11">
        <v>480</v>
      </c>
      <c r="H260" s="11">
        <v>42776259</v>
      </c>
      <c r="I260" s="11" t="s">
        <v>788</v>
      </c>
      <c r="J260" s="11" t="s">
        <v>1550</v>
      </c>
      <c r="K260" s="11" t="s">
        <v>1551</v>
      </c>
      <c r="L260" s="11" t="s">
        <v>1552</v>
      </c>
      <c r="M260" s="11" t="s">
        <v>1553</v>
      </c>
      <c r="N260" s="11">
        <v>53160</v>
      </c>
      <c r="O260" s="11">
        <v>1173</v>
      </c>
      <c r="P260" s="11">
        <v>1</v>
      </c>
      <c r="Q260" s="11" t="s">
        <v>1554</v>
      </c>
      <c r="R260" s="14" t="s">
        <v>1555</v>
      </c>
      <c r="S260" s="11">
        <v>121</v>
      </c>
      <c r="T260" s="11" t="s">
        <v>39</v>
      </c>
      <c r="U260" s="11" t="s">
        <v>40</v>
      </c>
      <c r="V260" s="11" t="s">
        <v>96</v>
      </c>
      <c r="W260" s="11">
        <v>112000000</v>
      </c>
      <c r="X260" s="11">
        <v>2010</v>
      </c>
      <c r="Y260" s="11">
        <v>392</v>
      </c>
      <c r="Z260" s="11">
        <v>4.9</v>
      </c>
      <c r="AA260" s="11">
        <v>2.35</v>
      </c>
      <c r="AB260" s="11">
        <v>0</v>
      </c>
      <c r="AC260" s="11"/>
      <c r="AD260" s="11" t="str">
        <f>IFERROR(__xludf.DUMMYFUNCTION("""COMPUTED_VALUE"""),"David Kelly")</f>
        <v>David Kelly</v>
      </c>
      <c r="AE260" s="11"/>
    </row>
    <row r="261" customHeight="1" spans="1:31">
      <c r="A261" s="12" t="s">
        <v>30</v>
      </c>
      <c r="B261" s="12" t="s">
        <v>1556</v>
      </c>
      <c r="C261" s="12">
        <v>447</v>
      </c>
      <c r="D261" s="12">
        <v>119</v>
      </c>
      <c r="E261" s="12">
        <v>1000</v>
      </c>
      <c r="F261" s="12">
        <v>741</v>
      </c>
      <c r="G261" s="12">
        <v>11000</v>
      </c>
      <c r="H261" s="12">
        <v>98780042</v>
      </c>
      <c r="I261" s="12" t="s">
        <v>1557</v>
      </c>
      <c r="J261" s="12" t="s">
        <v>52</v>
      </c>
      <c r="K261" s="12" t="s">
        <v>138</v>
      </c>
      <c r="L261" s="12" t="s">
        <v>1558</v>
      </c>
      <c r="M261" s="12" t="s">
        <v>1559</v>
      </c>
      <c r="N261" s="12">
        <v>136019</v>
      </c>
      <c r="O261" s="12">
        <v>13391</v>
      </c>
      <c r="P261" s="12">
        <v>0</v>
      </c>
      <c r="Q261" s="12" t="s">
        <v>1560</v>
      </c>
      <c r="R261" s="15" t="s">
        <v>1561</v>
      </c>
      <c r="S261" s="12">
        <v>443</v>
      </c>
      <c r="T261" s="12" t="s">
        <v>39</v>
      </c>
      <c r="U261" s="12" t="s">
        <v>40</v>
      </c>
      <c r="V261" s="12" t="s">
        <v>41</v>
      </c>
      <c r="W261" s="12">
        <v>120000000</v>
      </c>
      <c r="X261" s="12">
        <v>2011</v>
      </c>
      <c r="Y261" s="12">
        <v>1000</v>
      </c>
      <c r="Z261" s="12">
        <v>5.8</v>
      </c>
      <c r="AA261" s="12">
        <v>2.35</v>
      </c>
      <c r="AB261" s="12">
        <v>14000</v>
      </c>
      <c r="AC261" s="12"/>
      <c r="AD261" s="12" t="str">
        <f>IFERROR(__xludf.DUMMYFUNCTION("""COMPUTED_VALUE"""),"Janeane Garofalo")</f>
        <v>Janeane Garofalo</v>
      </c>
      <c r="AE261" s="12"/>
    </row>
    <row r="262" customHeight="1" spans="1:31">
      <c r="A262" s="11" t="s">
        <v>30</v>
      </c>
      <c r="B262" s="13"/>
      <c r="C262" s="11">
        <v>29</v>
      </c>
      <c r="D262" s="11">
        <v>60</v>
      </c>
      <c r="E262" s="13"/>
      <c r="F262" s="11">
        <v>432</v>
      </c>
      <c r="G262" s="11">
        <v>669</v>
      </c>
      <c r="H262" s="13"/>
      <c r="I262" s="11" t="s">
        <v>1562</v>
      </c>
      <c r="J262" s="11" t="s">
        <v>1563</v>
      </c>
      <c r="K262" s="11" t="s">
        <v>1564</v>
      </c>
      <c r="L262" s="11" t="s">
        <v>1565</v>
      </c>
      <c r="M262" s="11" t="s">
        <v>1566</v>
      </c>
      <c r="N262" s="11">
        <v>25402</v>
      </c>
      <c r="O262" s="11">
        <v>1655</v>
      </c>
      <c r="P262" s="11">
        <v>4</v>
      </c>
      <c r="Q262" s="11" t="s">
        <v>1567</v>
      </c>
      <c r="R262" s="14" t="s">
        <v>1568</v>
      </c>
      <c r="S262" s="11">
        <v>97</v>
      </c>
      <c r="T262" s="11" t="s">
        <v>39</v>
      </c>
      <c r="U262" s="11" t="s">
        <v>40</v>
      </c>
      <c r="V262" s="11" t="s">
        <v>1569</v>
      </c>
      <c r="W262" s="13"/>
      <c r="X262" s="13"/>
      <c r="Y262" s="11">
        <v>554</v>
      </c>
      <c r="Z262" s="11">
        <v>7.6</v>
      </c>
      <c r="AA262" s="11">
        <v>4</v>
      </c>
      <c r="AB262" s="11">
        <v>0</v>
      </c>
      <c r="AC262" s="11"/>
      <c r="AD262" s="11" t="str">
        <f>IFERROR(__xludf.DUMMYFUNCTION("""COMPUTED_VALUE"""),"Brian Dennehy")</f>
        <v>Brian Dennehy</v>
      </c>
      <c r="AE262" s="11"/>
    </row>
    <row r="263" customHeight="1" spans="1:31">
      <c r="A263" s="12" t="s">
        <v>30</v>
      </c>
      <c r="B263" s="12" t="s">
        <v>1570</v>
      </c>
      <c r="C263" s="12">
        <v>366</v>
      </c>
      <c r="D263" s="12">
        <v>102</v>
      </c>
      <c r="E263" s="12">
        <v>263</v>
      </c>
      <c r="F263" s="12">
        <v>1000</v>
      </c>
      <c r="G263" s="12">
        <v>6000</v>
      </c>
      <c r="H263" s="12">
        <v>106369117</v>
      </c>
      <c r="I263" s="12" t="s">
        <v>1571</v>
      </c>
      <c r="J263" s="12" t="s">
        <v>202</v>
      </c>
      <c r="K263" s="12" t="s">
        <v>1572</v>
      </c>
      <c r="L263" s="12" t="s">
        <v>1116</v>
      </c>
      <c r="M263" s="12" t="s">
        <v>1573</v>
      </c>
      <c r="N263" s="12">
        <v>225273</v>
      </c>
      <c r="O263" s="12">
        <v>10583</v>
      </c>
      <c r="P263" s="12">
        <v>0</v>
      </c>
      <c r="Q263" s="12" t="s">
        <v>1574</v>
      </c>
      <c r="R263" s="15" t="s">
        <v>1575</v>
      </c>
      <c r="S263" s="12">
        <v>523</v>
      </c>
      <c r="T263" s="12" t="s">
        <v>39</v>
      </c>
      <c r="U263" s="12" t="s">
        <v>40</v>
      </c>
      <c r="V263" s="12" t="s">
        <v>586</v>
      </c>
      <c r="W263" s="12">
        <v>110000000</v>
      </c>
      <c r="X263" s="12">
        <v>2014</v>
      </c>
      <c r="Y263" s="12">
        <v>1000</v>
      </c>
      <c r="Z263" s="12">
        <v>6.2</v>
      </c>
      <c r="AA263" s="12">
        <v>2.35</v>
      </c>
      <c r="AB263" s="12">
        <v>71000</v>
      </c>
      <c r="AC263" s="12"/>
      <c r="AD263" s="12" t="str">
        <f>IFERROR(__xludf.DUMMYFUNCTION("""COMPUTED_VALUE"""),"Bernie Mac")</f>
        <v>Bernie Mac</v>
      </c>
      <c r="AE263" s="12"/>
    </row>
    <row r="264" customHeight="1" spans="1:31">
      <c r="A264" s="11" t="s">
        <v>30</v>
      </c>
      <c r="B264" s="11" t="s">
        <v>1576</v>
      </c>
      <c r="C264" s="11">
        <v>172</v>
      </c>
      <c r="D264" s="11">
        <v>103</v>
      </c>
      <c r="E264" s="11">
        <v>67</v>
      </c>
      <c r="F264" s="11">
        <v>111</v>
      </c>
      <c r="G264" s="11">
        <v>383</v>
      </c>
      <c r="H264" s="11">
        <v>142614158</v>
      </c>
      <c r="I264" s="11" t="s">
        <v>271</v>
      </c>
      <c r="J264" s="11" t="s">
        <v>1577</v>
      </c>
      <c r="K264" s="11" t="s">
        <v>1578</v>
      </c>
      <c r="L264" s="11" t="s">
        <v>1579</v>
      </c>
      <c r="M264" s="11" t="s">
        <v>1580</v>
      </c>
      <c r="N264" s="11">
        <v>66593</v>
      </c>
      <c r="O264" s="11">
        <v>692</v>
      </c>
      <c r="P264" s="11">
        <v>3</v>
      </c>
      <c r="Q264" s="11" t="s">
        <v>1581</v>
      </c>
      <c r="R264" s="14" t="s">
        <v>1582</v>
      </c>
      <c r="S264" s="11">
        <v>153</v>
      </c>
      <c r="T264" s="11" t="s">
        <v>39</v>
      </c>
      <c r="U264" s="11" t="s">
        <v>40</v>
      </c>
      <c r="V264" s="11" t="s">
        <v>96</v>
      </c>
      <c r="W264" s="11">
        <v>110000000</v>
      </c>
      <c r="X264" s="11">
        <v>2011</v>
      </c>
      <c r="Y264" s="11">
        <v>113</v>
      </c>
      <c r="Z264" s="11">
        <v>5.5</v>
      </c>
      <c r="AA264" s="11">
        <v>1.78</v>
      </c>
      <c r="AB264" s="11">
        <v>31000</v>
      </c>
      <c r="AC264" s="11"/>
      <c r="AD264" s="11" t="str">
        <f>IFERROR(__xludf.DUMMYFUNCTION("""COMPUTED_VALUE"""),"Jada Pinkett Smith")</f>
        <v>Jada Pinkett Smith</v>
      </c>
      <c r="AE264" s="11"/>
    </row>
    <row r="265" customHeight="1" spans="1:31">
      <c r="A265" s="12" t="s">
        <v>30</v>
      </c>
      <c r="B265" s="12" t="s">
        <v>1583</v>
      </c>
      <c r="C265" s="12">
        <v>104</v>
      </c>
      <c r="D265" s="12">
        <v>76</v>
      </c>
      <c r="E265" s="12">
        <v>6</v>
      </c>
      <c r="F265" s="12">
        <v>421</v>
      </c>
      <c r="G265" s="12">
        <v>12000</v>
      </c>
      <c r="H265" s="12">
        <v>50026353</v>
      </c>
      <c r="I265" s="12" t="s">
        <v>1584</v>
      </c>
      <c r="J265" s="12" t="s">
        <v>272</v>
      </c>
      <c r="K265" s="12" t="s">
        <v>1585</v>
      </c>
      <c r="L265" s="12" t="s">
        <v>1586</v>
      </c>
      <c r="M265" s="12" t="s">
        <v>1587</v>
      </c>
      <c r="N265" s="12">
        <v>13581</v>
      </c>
      <c r="O265" s="12">
        <v>13607</v>
      </c>
      <c r="P265" s="12">
        <v>0</v>
      </c>
      <c r="Q265" s="12" t="s">
        <v>1588</v>
      </c>
      <c r="R265" s="15" t="s">
        <v>1589</v>
      </c>
      <c r="S265" s="12">
        <v>88</v>
      </c>
      <c r="T265" s="12" t="s">
        <v>39</v>
      </c>
      <c r="U265" s="12" t="s">
        <v>40</v>
      </c>
      <c r="V265" s="12" t="s">
        <v>96</v>
      </c>
      <c r="W265" s="12">
        <v>110000000</v>
      </c>
      <c r="X265" s="12">
        <v>2004</v>
      </c>
      <c r="Y265" s="12">
        <v>513</v>
      </c>
      <c r="Z265" s="12">
        <v>5.4</v>
      </c>
      <c r="AA265" s="12">
        <v>1.78</v>
      </c>
      <c r="AB265" s="12">
        <v>304</v>
      </c>
      <c r="AC265" s="12"/>
      <c r="AD265" s="12" t="str">
        <f>IFERROR(__xludf.DUMMYFUNCTION("""COMPUTED_VALUE"""),"Cedric the Entertainer")</f>
        <v>Cedric the Entertainer</v>
      </c>
      <c r="AE265" s="12"/>
    </row>
    <row r="266" customHeight="1" spans="1:31">
      <c r="A266" s="11" t="s">
        <v>30</v>
      </c>
      <c r="B266" s="11" t="s">
        <v>1258</v>
      </c>
      <c r="C266" s="11">
        <v>181</v>
      </c>
      <c r="D266" s="11">
        <v>120</v>
      </c>
      <c r="E266" s="11">
        <v>124</v>
      </c>
      <c r="F266" s="11">
        <v>943</v>
      </c>
      <c r="G266" s="11">
        <v>6000</v>
      </c>
      <c r="H266" s="11">
        <v>66002193</v>
      </c>
      <c r="I266" s="11" t="s">
        <v>1590</v>
      </c>
      <c r="J266" s="11" t="s">
        <v>208</v>
      </c>
      <c r="K266" s="11" t="s">
        <v>1539</v>
      </c>
      <c r="L266" s="11" t="s">
        <v>847</v>
      </c>
      <c r="M266" s="11" t="s">
        <v>1591</v>
      </c>
      <c r="N266" s="11">
        <v>44296</v>
      </c>
      <c r="O266" s="11">
        <v>12452</v>
      </c>
      <c r="P266" s="11">
        <v>3</v>
      </c>
      <c r="Q266" s="11" t="s">
        <v>1592</v>
      </c>
      <c r="R266" s="14" t="s">
        <v>1593</v>
      </c>
      <c r="S266" s="11">
        <v>144</v>
      </c>
      <c r="T266" s="11" t="s">
        <v>39</v>
      </c>
      <c r="U266" s="11" t="s">
        <v>40</v>
      </c>
      <c r="V266" s="11" t="s">
        <v>41</v>
      </c>
      <c r="W266" s="11">
        <v>110000000</v>
      </c>
      <c r="X266" s="11">
        <v>2016</v>
      </c>
      <c r="Y266" s="11">
        <v>5000</v>
      </c>
      <c r="Z266" s="11">
        <v>5.8</v>
      </c>
      <c r="AA266" s="11">
        <v>2.35</v>
      </c>
      <c r="AB266" s="11">
        <v>12000</v>
      </c>
      <c r="AC266" s="11"/>
      <c r="AD266" s="11" t="str">
        <f>IFERROR(__xludf.DUMMYFUNCTION("""COMPUTED_VALUE"""),"Robin Williams")</f>
        <v>Robin Williams</v>
      </c>
      <c r="AE266" s="11"/>
    </row>
    <row r="267" customHeight="1" spans="1:31">
      <c r="A267" s="12" t="s">
        <v>30</v>
      </c>
      <c r="B267" s="12" t="s">
        <v>810</v>
      </c>
      <c r="C267" s="12">
        <v>327</v>
      </c>
      <c r="D267" s="12">
        <v>127</v>
      </c>
      <c r="E267" s="12">
        <v>189</v>
      </c>
      <c r="F267" s="12">
        <v>544</v>
      </c>
      <c r="G267" s="12">
        <v>20000</v>
      </c>
      <c r="H267" s="12">
        <v>85463309</v>
      </c>
      <c r="I267" s="12" t="s">
        <v>1594</v>
      </c>
      <c r="J267" s="12" t="s">
        <v>263</v>
      </c>
      <c r="K267" s="12" t="s">
        <v>1595</v>
      </c>
      <c r="L267" s="12" t="s">
        <v>1596</v>
      </c>
      <c r="M267" s="12" t="s">
        <v>1597</v>
      </c>
      <c r="N267" s="12">
        <v>254841</v>
      </c>
      <c r="O267" s="12">
        <v>22254</v>
      </c>
      <c r="P267" s="12">
        <v>1</v>
      </c>
      <c r="Q267" s="12" t="s">
        <v>1598</v>
      </c>
      <c r="R267" s="15" t="s">
        <v>1599</v>
      </c>
      <c r="S267" s="12">
        <v>426</v>
      </c>
      <c r="T267" s="12" t="s">
        <v>39</v>
      </c>
      <c r="U267" s="12" t="s">
        <v>40</v>
      </c>
      <c r="V267" s="12" t="s">
        <v>41</v>
      </c>
      <c r="W267" s="12">
        <v>110000000</v>
      </c>
      <c r="X267" s="12">
        <v>2011</v>
      </c>
      <c r="Y267" s="12">
        <v>929</v>
      </c>
      <c r="Z267" s="12">
        <v>7.1</v>
      </c>
      <c r="AA267" s="12">
        <v>2.35</v>
      </c>
      <c r="AB267" s="12">
        <v>36000</v>
      </c>
      <c r="AC267" s="12"/>
      <c r="AD267" s="12" t="str">
        <f>IFERROR(__xludf.DUMMYFUNCTION("""COMPUTED_VALUE"""),"Rami Malek")</f>
        <v>Rami Malek</v>
      </c>
      <c r="AE267" s="12"/>
    </row>
    <row r="268" customHeight="1" spans="1:31">
      <c r="A268" s="11" t="s">
        <v>30</v>
      </c>
      <c r="B268" s="11" t="s">
        <v>1576</v>
      </c>
      <c r="C268" s="11">
        <v>125</v>
      </c>
      <c r="D268" s="11">
        <v>105</v>
      </c>
      <c r="E268" s="11">
        <v>67</v>
      </c>
      <c r="F268" s="11">
        <v>40</v>
      </c>
      <c r="G268" s="11">
        <v>681</v>
      </c>
      <c r="H268" s="11">
        <v>71017784</v>
      </c>
      <c r="I268" s="11" t="s">
        <v>271</v>
      </c>
      <c r="J268" s="11" t="s">
        <v>1600</v>
      </c>
      <c r="K268" s="11" t="s">
        <v>1601</v>
      </c>
      <c r="L268" s="11" t="s">
        <v>1602</v>
      </c>
      <c r="M268" s="11" t="s">
        <v>1603</v>
      </c>
      <c r="N268" s="11">
        <v>27257</v>
      </c>
      <c r="O268" s="11">
        <v>914</v>
      </c>
      <c r="P268" s="11">
        <v>3</v>
      </c>
      <c r="Q268" s="11" t="s">
        <v>1604</v>
      </c>
      <c r="R268" s="14" t="s">
        <v>1605</v>
      </c>
      <c r="S268" s="11">
        <v>59</v>
      </c>
      <c r="T268" s="11" t="s">
        <v>39</v>
      </c>
      <c r="U268" s="11" t="s">
        <v>40</v>
      </c>
      <c r="V268" s="11" t="s">
        <v>96</v>
      </c>
      <c r="W268" s="11">
        <v>105000000</v>
      </c>
      <c r="X268" s="11">
        <v>2013</v>
      </c>
      <c r="Y268" s="11">
        <v>71</v>
      </c>
      <c r="Z268" s="11">
        <v>5.4</v>
      </c>
      <c r="AA268" s="11">
        <v>1.85</v>
      </c>
      <c r="AB268" s="11">
        <v>0</v>
      </c>
      <c r="AC268" s="11"/>
      <c r="AD268" s="11" t="str">
        <f>IFERROR(__xludf.DUMMYFUNCTION("""COMPUTED_VALUE"""),"Steve Coogan")</f>
        <v>Steve Coogan</v>
      </c>
      <c r="AE268" s="11"/>
    </row>
    <row r="269" customHeight="1" spans="1:31">
      <c r="A269" s="12" t="s">
        <v>30</v>
      </c>
      <c r="B269" s="12" t="s">
        <v>1606</v>
      </c>
      <c r="C269" s="12">
        <v>79</v>
      </c>
      <c r="D269" s="12">
        <v>121</v>
      </c>
      <c r="E269" s="12">
        <v>101</v>
      </c>
      <c r="F269" s="12">
        <v>202</v>
      </c>
      <c r="G269" s="12">
        <v>673</v>
      </c>
      <c r="H269" s="12">
        <v>48068396</v>
      </c>
      <c r="I269" s="12" t="s">
        <v>1607</v>
      </c>
      <c r="J269" s="12" t="s">
        <v>1608</v>
      </c>
      <c r="K269" s="12" t="s">
        <v>316</v>
      </c>
      <c r="L269" s="12" t="s">
        <v>1609</v>
      </c>
      <c r="M269" s="12" t="s">
        <v>1610</v>
      </c>
      <c r="N269" s="12">
        <v>60573</v>
      </c>
      <c r="O269" s="12">
        <v>2027</v>
      </c>
      <c r="P269" s="12">
        <v>0</v>
      </c>
      <c r="Q269" s="12" t="s">
        <v>1611</v>
      </c>
      <c r="R269" s="15" t="s">
        <v>1612</v>
      </c>
      <c r="S269" s="12">
        <v>248</v>
      </c>
      <c r="T269" s="12" t="s">
        <v>39</v>
      </c>
      <c r="U269" s="12" t="s">
        <v>40</v>
      </c>
      <c r="V269" s="12" t="s">
        <v>41</v>
      </c>
      <c r="W269" s="12">
        <v>160000000</v>
      </c>
      <c r="X269" s="12">
        <v>1997</v>
      </c>
      <c r="Y269" s="12">
        <v>368</v>
      </c>
      <c r="Z269" s="12">
        <v>3.7</v>
      </c>
      <c r="AA269" s="12">
        <v>2.35</v>
      </c>
      <c r="AB269" s="12">
        <v>894</v>
      </c>
      <c r="AC269" s="12"/>
      <c r="AD269" s="12" t="str">
        <f>IFERROR(__xludf.DUMMYFUNCTION("""COMPUTED_VALUE"""),"Dominic Monaghan")</f>
        <v>Dominic Monaghan</v>
      </c>
      <c r="AE269" s="12"/>
    </row>
    <row r="270" customHeight="1" spans="1:31">
      <c r="A270" s="11" t="s">
        <v>30</v>
      </c>
      <c r="B270" s="11" t="s">
        <v>817</v>
      </c>
      <c r="C270" s="11">
        <v>326</v>
      </c>
      <c r="D270" s="11">
        <v>114</v>
      </c>
      <c r="E270" s="11">
        <v>151</v>
      </c>
      <c r="F270" s="11">
        <v>430</v>
      </c>
      <c r="G270" s="11">
        <v>11000</v>
      </c>
      <c r="H270" s="11">
        <v>61656849</v>
      </c>
      <c r="I270" s="11" t="s">
        <v>648</v>
      </c>
      <c r="J270" s="11" t="s">
        <v>391</v>
      </c>
      <c r="K270" s="11" t="s">
        <v>1613</v>
      </c>
      <c r="L270" s="11" t="s">
        <v>1614</v>
      </c>
      <c r="M270" s="11" t="s">
        <v>1615</v>
      </c>
      <c r="N270" s="11">
        <v>184561</v>
      </c>
      <c r="O270" s="11">
        <v>12908</v>
      </c>
      <c r="P270" s="11">
        <v>4</v>
      </c>
      <c r="Q270" s="11" t="s">
        <v>1616</v>
      </c>
      <c r="R270" s="14" t="s">
        <v>1617</v>
      </c>
      <c r="S270" s="11">
        <v>554</v>
      </c>
      <c r="T270" s="11" t="s">
        <v>39</v>
      </c>
      <c r="U270" s="11" t="s">
        <v>40</v>
      </c>
      <c r="V270" s="11" t="s">
        <v>41</v>
      </c>
      <c r="W270" s="11">
        <v>110000000</v>
      </c>
      <c r="X270" s="11">
        <v>2013</v>
      </c>
      <c r="Y270" s="11">
        <v>635</v>
      </c>
      <c r="Z270" s="11">
        <v>6.7</v>
      </c>
      <c r="AA270" s="11">
        <v>2.35</v>
      </c>
      <c r="AB270" s="11">
        <v>123000</v>
      </c>
      <c r="AC270" s="11"/>
      <c r="AD270" s="11" t="str">
        <f>IFERROR(__xludf.DUMMYFUNCTION("""COMPUTED_VALUE"""),"Essie Davis")</f>
        <v>Essie Davis</v>
      </c>
      <c r="AE270" s="11"/>
    </row>
    <row r="271" customHeight="1" spans="1:31">
      <c r="A271" s="12" t="s">
        <v>30</v>
      </c>
      <c r="B271" s="12" t="s">
        <v>1618</v>
      </c>
      <c r="C271" s="12">
        <v>354</v>
      </c>
      <c r="D271" s="12">
        <v>129</v>
      </c>
      <c r="E271" s="12">
        <v>235</v>
      </c>
      <c r="F271" s="12">
        <v>297</v>
      </c>
      <c r="G271" s="12">
        <v>13000</v>
      </c>
      <c r="H271" s="12">
        <v>134520804</v>
      </c>
      <c r="I271" s="12" t="s">
        <v>51</v>
      </c>
      <c r="J271" s="12" t="s">
        <v>978</v>
      </c>
      <c r="K271" s="12" t="s">
        <v>1619</v>
      </c>
      <c r="L271" s="12" t="s">
        <v>1620</v>
      </c>
      <c r="M271" s="12" t="s">
        <v>1621</v>
      </c>
      <c r="N271" s="12">
        <v>336235</v>
      </c>
      <c r="O271" s="12">
        <v>13961</v>
      </c>
      <c r="P271" s="12">
        <v>1</v>
      </c>
      <c r="Q271" s="12" t="s">
        <v>1622</v>
      </c>
      <c r="R271" s="15" t="s">
        <v>1623</v>
      </c>
      <c r="S271" s="12">
        <v>782</v>
      </c>
      <c r="T271" s="12" t="s">
        <v>39</v>
      </c>
      <c r="U271" s="12" t="s">
        <v>40</v>
      </c>
      <c r="V271" s="12" t="s">
        <v>41</v>
      </c>
      <c r="W271" s="12">
        <v>110000000</v>
      </c>
      <c r="X271" s="12">
        <v>2007</v>
      </c>
      <c r="Y271" s="12">
        <v>300</v>
      </c>
      <c r="Z271" s="12">
        <v>7.2</v>
      </c>
      <c r="AA271" s="12">
        <v>2.35</v>
      </c>
      <c r="AB271" s="12">
        <v>0</v>
      </c>
      <c r="AC271" s="12"/>
      <c r="AD271" s="12" t="str">
        <f>IFERROR(__xludf.DUMMYFUNCTION("""COMPUTED_VALUE"""),"Collin Chou")</f>
        <v>Collin Chou</v>
      </c>
      <c r="AE271" s="12"/>
    </row>
    <row r="272" customHeight="1" spans="1:31">
      <c r="A272" s="11" t="s">
        <v>30</v>
      </c>
      <c r="B272" s="11" t="s">
        <v>172</v>
      </c>
      <c r="C272" s="11">
        <v>297</v>
      </c>
      <c r="D272" s="11">
        <v>171</v>
      </c>
      <c r="E272" s="11">
        <v>0</v>
      </c>
      <c r="F272" s="11">
        <v>857</v>
      </c>
      <c r="G272" s="11">
        <v>16000</v>
      </c>
      <c r="H272" s="11">
        <v>313837577</v>
      </c>
      <c r="I272" s="11" t="s">
        <v>558</v>
      </c>
      <c r="J272" s="11" t="s">
        <v>201</v>
      </c>
      <c r="K272" s="11" t="s">
        <v>45</v>
      </c>
      <c r="L272" s="11" t="s">
        <v>1624</v>
      </c>
      <c r="M272" s="11" t="s">
        <v>1625</v>
      </c>
      <c r="N272" s="11">
        <v>1238746</v>
      </c>
      <c r="O272" s="11">
        <v>22342</v>
      </c>
      <c r="P272" s="11">
        <v>2</v>
      </c>
      <c r="Q272" s="11" t="s">
        <v>1626</v>
      </c>
      <c r="R272" s="14" t="s">
        <v>1627</v>
      </c>
      <c r="S272" s="11">
        <v>5060</v>
      </c>
      <c r="T272" s="11" t="s">
        <v>39</v>
      </c>
      <c r="U272" s="11" t="s">
        <v>180</v>
      </c>
      <c r="V272" s="11" t="s">
        <v>41</v>
      </c>
      <c r="W272" s="11">
        <v>93000000</v>
      </c>
      <c r="X272" s="11">
        <v>2001</v>
      </c>
      <c r="Y272" s="11">
        <v>5000</v>
      </c>
      <c r="Z272" s="11">
        <v>8.8</v>
      </c>
      <c r="AA272" s="11">
        <v>2.35</v>
      </c>
      <c r="AB272" s="11">
        <v>21000</v>
      </c>
      <c r="AC272" s="11"/>
      <c r="AD272" s="11" t="str">
        <f>IFERROR(__xludf.DUMMYFUNCTION("""COMPUTED_VALUE"""),"Nona Gaye")</f>
        <v>Nona Gaye</v>
      </c>
      <c r="AE272" s="11"/>
    </row>
    <row r="273" customHeight="1" spans="1:31">
      <c r="A273" s="12" t="s">
        <v>30</v>
      </c>
      <c r="B273" s="12" t="s">
        <v>1628</v>
      </c>
      <c r="C273" s="12">
        <v>188</v>
      </c>
      <c r="D273" s="12">
        <v>120</v>
      </c>
      <c r="E273" s="12">
        <v>153</v>
      </c>
      <c r="F273" s="12">
        <v>447</v>
      </c>
      <c r="G273" s="12">
        <v>1000</v>
      </c>
      <c r="H273" s="12">
        <v>24004159</v>
      </c>
      <c r="I273" s="12" t="s">
        <v>1629</v>
      </c>
      <c r="J273" s="12" t="s">
        <v>393</v>
      </c>
      <c r="K273" s="12" t="s">
        <v>813</v>
      </c>
      <c r="L273" s="12" t="s">
        <v>1630</v>
      </c>
      <c r="M273" s="12" t="s">
        <v>1631</v>
      </c>
      <c r="N273" s="12">
        <v>68720</v>
      </c>
      <c r="O273" s="12">
        <v>3175</v>
      </c>
      <c r="P273" s="12">
        <v>0</v>
      </c>
      <c r="Q273" s="12" t="s">
        <v>1632</v>
      </c>
      <c r="R273" s="15" t="s">
        <v>1633</v>
      </c>
      <c r="S273" s="12">
        <v>191</v>
      </c>
      <c r="T273" s="12" t="s">
        <v>39</v>
      </c>
      <c r="U273" s="12" t="s">
        <v>40</v>
      </c>
      <c r="V273" s="12" t="s">
        <v>96</v>
      </c>
      <c r="W273" s="12">
        <v>110000000</v>
      </c>
      <c r="X273" s="12">
        <v>2004</v>
      </c>
      <c r="Y273" s="12">
        <v>1000</v>
      </c>
      <c r="Z273" s="12">
        <v>5.8</v>
      </c>
      <c r="AA273" s="12">
        <v>2.35</v>
      </c>
      <c r="AB273" s="12">
        <v>0</v>
      </c>
      <c r="AC273" s="12"/>
      <c r="AD273" s="12" t="str">
        <f>IFERROR(__xludf.DUMMYFUNCTION("""COMPUTED_VALUE"""),"Josh Gad")</f>
        <v>Josh Gad</v>
      </c>
      <c r="AE273" s="12"/>
    </row>
    <row r="274" customHeight="1" spans="1:31">
      <c r="A274" s="11" t="s">
        <v>748</v>
      </c>
      <c r="B274" s="11" t="s">
        <v>1634</v>
      </c>
      <c r="C274" s="11">
        <v>174</v>
      </c>
      <c r="D274" s="11">
        <v>165</v>
      </c>
      <c r="E274" s="11">
        <v>0</v>
      </c>
      <c r="F274" s="11">
        <v>780</v>
      </c>
      <c r="G274" s="11">
        <v>10000</v>
      </c>
      <c r="H274" s="11">
        <v>58183966</v>
      </c>
      <c r="I274" s="11" t="s">
        <v>1635</v>
      </c>
      <c r="J274" s="11" t="s">
        <v>166</v>
      </c>
      <c r="K274" s="11" t="s">
        <v>805</v>
      </c>
      <c r="L274" s="11" t="s">
        <v>1047</v>
      </c>
      <c r="M274" s="11" t="s">
        <v>1636</v>
      </c>
      <c r="N274" s="11">
        <v>79186</v>
      </c>
      <c r="O274" s="11">
        <v>14196</v>
      </c>
      <c r="P274" s="11">
        <v>1</v>
      </c>
      <c r="Q274" s="11" t="s">
        <v>1637</v>
      </c>
      <c r="R274" s="14" t="s">
        <v>1638</v>
      </c>
      <c r="S274" s="11">
        <v>386</v>
      </c>
      <c r="T274" s="11" t="s">
        <v>39</v>
      </c>
      <c r="U274" s="11" t="s">
        <v>40</v>
      </c>
      <c r="V274" s="11" t="s">
        <v>586</v>
      </c>
      <c r="W274" s="11">
        <v>107000000</v>
      </c>
      <c r="X274" s="11">
        <v>2001</v>
      </c>
      <c r="Y274" s="11">
        <v>851</v>
      </c>
      <c r="Z274" s="11">
        <v>6.8</v>
      </c>
      <c r="AA274" s="11">
        <v>2.35</v>
      </c>
      <c r="AB274" s="11">
        <v>0</v>
      </c>
      <c r="AC274" s="11"/>
      <c r="AD274" s="11" t="str">
        <f>IFERROR(__xludf.DUMMYFUNCTION("""COMPUTED_VALUE"""),"Maurice LaMarche")</f>
        <v>Maurice LaMarche</v>
      </c>
      <c r="AE274" s="11"/>
    </row>
    <row r="275" customHeight="1" spans="1:31">
      <c r="A275" s="12" t="s">
        <v>30</v>
      </c>
      <c r="B275" s="12" t="s">
        <v>1639</v>
      </c>
      <c r="C275" s="12">
        <v>109</v>
      </c>
      <c r="D275" s="12">
        <v>82</v>
      </c>
      <c r="E275" s="12">
        <v>34</v>
      </c>
      <c r="F275" s="12">
        <v>434</v>
      </c>
      <c r="G275" s="12">
        <v>760</v>
      </c>
      <c r="H275" s="12">
        <v>100446895</v>
      </c>
      <c r="I275" s="12" t="s">
        <v>788</v>
      </c>
      <c r="J275" s="12" t="s">
        <v>274</v>
      </c>
      <c r="K275" s="12" t="s">
        <v>1640</v>
      </c>
      <c r="L275" s="12" t="s">
        <v>1641</v>
      </c>
      <c r="M275" s="12" t="s">
        <v>1642</v>
      </c>
      <c r="N275" s="12">
        <v>36033</v>
      </c>
      <c r="O275" s="12">
        <v>2762</v>
      </c>
      <c r="P275" s="12">
        <v>1</v>
      </c>
      <c r="Q275" s="12" t="s">
        <v>1643</v>
      </c>
      <c r="R275" s="15" t="s">
        <v>1644</v>
      </c>
      <c r="S275" s="12">
        <v>456</v>
      </c>
      <c r="T275" s="12" t="s">
        <v>39</v>
      </c>
      <c r="U275" s="12" t="s">
        <v>40</v>
      </c>
      <c r="V275" s="12" t="s">
        <v>96</v>
      </c>
      <c r="W275" s="12">
        <v>109000000</v>
      </c>
      <c r="X275" s="12">
        <v>2003</v>
      </c>
      <c r="Y275" s="12">
        <v>743</v>
      </c>
      <c r="Z275" s="12">
        <v>3.8</v>
      </c>
      <c r="AA275" s="12">
        <v>1.85</v>
      </c>
      <c r="AB275" s="12">
        <v>946</v>
      </c>
      <c r="AC275" s="12"/>
      <c r="AD275" s="12" t="str">
        <f>IFERROR(__xludf.DUMMYFUNCTION("""COMPUTED_VALUE"""),"Livvy Stubenrauch")</f>
        <v>Livvy Stubenrauch</v>
      </c>
      <c r="AE275" s="12"/>
    </row>
    <row r="276" customHeight="1" spans="1:31">
      <c r="A276" s="11" t="s">
        <v>30</v>
      </c>
      <c r="B276" s="11" t="s">
        <v>1040</v>
      </c>
      <c r="C276" s="11">
        <v>225</v>
      </c>
      <c r="D276" s="11">
        <v>115</v>
      </c>
      <c r="E276" s="11">
        <v>295</v>
      </c>
      <c r="F276" s="11">
        <v>466</v>
      </c>
      <c r="G276" s="11">
        <v>10000</v>
      </c>
      <c r="H276" s="11">
        <v>144795350</v>
      </c>
      <c r="I276" s="11" t="s">
        <v>1645</v>
      </c>
      <c r="J276" s="11" t="s">
        <v>166</v>
      </c>
      <c r="K276" s="11" t="s">
        <v>354</v>
      </c>
      <c r="L276" s="11" t="s">
        <v>1646</v>
      </c>
      <c r="M276" s="11" t="s">
        <v>1647</v>
      </c>
      <c r="N276" s="11">
        <v>387632</v>
      </c>
      <c r="O276" s="11">
        <v>12068</v>
      </c>
      <c r="P276" s="11">
        <v>1</v>
      </c>
      <c r="Q276" s="11" t="s">
        <v>1648</v>
      </c>
      <c r="R276" s="14" t="s">
        <v>1649</v>
      </c>
      <c r="S276" s="11">
        <v>789</v>
      </c>
      <c r="T276" s="11" t="s">
        <v>39</v>
      </c>
      <c r="U276" s="11" t="s">
        <v>40</v>
      </c>
      <c r="V276" s="11" t="s">
        <v>41</v>
      </c>
      <c r="W276" s="11">
        <v>120000000</v>
      </c>
      <c r="X276" s="11">
        <v>2004</v>
      </c>
      <c r="Y276" s="11">
        <v>981</v>
      </c>
      <c r="Z276" s="11">
        <v>7.1</v>
      </c>
      <c r="AA276" s="11">
        <v>2.35</v>
      </c>
      <c r="AB276" s="11">
        <v>0</v>
      </c>
      <c r="AC276" s="11"/>
      <c r="AD276" s="11" t="str">
        <f>IFERROR(__xludf.DUMMYFUNCTION("""COMPUTED_VALUE"""),"Steve Bastoni")</f>
        <v>Steve Bastoni</v>
      </c>
      <c r="AE276" s="11"/>
    </row>
    <row r="277" customHeight="1" spans="1:31">
      <c r="A277" s="12" t="s">
        <v>30</v>
      </c>
      <c r="B277" s="12" t="s">
        <v>188</v>
      </c>
      <c r="C277" s="12">
        <v>239</v>
      </c>
      <c r="D277" s="12">
        <v>194</v>
      </c>
      <c r="E277" s="12">
        <v>0</v>
      </c>
      <c r="F277" s="12">
        <v>195</v>
      </c>
      <c r="G277" s="12">
        <v>14000</v>
      </c>
      <c r="H277" s="12">
        <v>47396698</v>
      </c>
      <c r="I277" s="12" t="s">
        <v>1098</v>
      </c>
      <c r="J277" s="12" t="s">
        <v>228</v>
      </c>
      <c r="K277" s="12" t="s">
        <v>45</v>
      </c>
      <c r="L277" s="12" t="s">
        <v>1650</v>
      </c>
      <c r="M277" s="12" t="s">
        <v>1651</v>
      </c>
      <c r="N277" s="12">
        <v>217373</v>
      </c>
      <c r="O277" s="12">
        <v>19600</v>
      </c>
      <c r="P277" s="12">
        <v>1</v>
      </c>
      <c r="Q277" s="12" t="s">
        <v>1652</v>
      </c>
      <c r="R277" s="15" t="s">
        <v>1653</v>
      </c>
      <c r="S277" s="12">
        <v>942</v>
      </c>
      <c r="T277" s="12" t="s">
        <v>39</v>
      </c>
      <c r="U277" s="12" t="s">
        <v>40</v>
      </c>
      <c r="V277" s="12" t="s">
        <v>586</v>
      </c>
      <c r="W277" s="12">
        <v>130000000</v>
      </c>
      <c r="X277" s="12">
        <v>2005</v>
      </c>
      <c r="Y277" s="12">
        <v>5000</v>
      </c>
      <c r="Z277" s="12">
        <v>7.2</v>
      </c>
      <c r="AA277" s="12">
        <v>2.35</v>
      </c>
      <c r="AB277" s="12">
        <v>0</v>
      </c>
      <c r="AC277" s="12"/>
      <c r="AD277" s="12" t="str">
        <f>IFERROR(__xludf.DUMMYFUNCTION("""COMPUTED_VALUE"""),"Daniel Bernhardt")</f>
        <v>Daniel Bernhardt</v>
      </c>
      <c r="AE277" s="12"/>
    </row>
    <row r="278" customHeight="1" spans="1:31">
      <c r="A278" s="11" t="s">
        <v>30</v>
      </c>
      <c r="B278" s="11" t="s">
        <v>947</v>
      </c>
      <c r="C278" s="11">
        <v>101</v>
      </c>
      <c r="D278" s="11">
        <v>84</v>
      </c>
      <c r="E278" s="11">
        <v>50</v>
      </c>
      <c r="F278" s="11">
        <v>692</v>
      </c>
      <c r="G278" s="11">
        <v>979</v>
      </c>
      <c r="H278" s="11">
        <v>140015224</v>
      </c>
      <c r="I278" s="11" t="s">
        <v>788</v>
      </c>
      <c r="J278" s="11" t="s">
        <v>1654</v>
      </c>
      <c r="K278" s="11" t="s">
        <v>1385</v>
      </c>
      <c r="L278" s="11" t="s">
        <v>1655</v>
      </c>
      <c r="M278" s="11" t="s">
        <v>1656</v>
      </c>
      <c r="N278" s="11">
        <v>94172</v>
      </c>
      <c r="O278" s="11">
        <v>3382</v>
      </c>
      <c r="P278" s="11">
        <v>0</v>
      </c>
      <c r="Q278" s="11" t="s">
        <v>1657</v>
      </c>
      <c r="R278" s="14" t="s">
        <v>1658</v>
      </c>
      <c r="S278" s="11">
        <v>179</v>
      </c>
      <c r="T278" s="11" t="s">
        <v>39</v>
      </c>
      <c r="U278" s="11" t="s">
        <v>768</v>
      </c>
      <c r="V278" s="11" t="s">
        <v>96</v>
      </c>
      <c r="W278" s="11">
        <v>133000000</v>
      </c>
      <c r="X278" s="11">
        <v>1999</v>
      </c>
      <c r="Y278" s="11">
        <v>886</v>
      </c>
      <c r="Z278" s="11">
        <v>5.9</v>
      </c>
      <c r="AA278" s="11">
        <v>1.85</v>
      </c>
      <c r="AB278" s="11">
        <v>0</v>
      </c>
      <c r="AC278" s="11"/>
      <c r="AD278" s="11" t="str">
        <f>IFERROR(__xludf.DUMMYFUNCTION("""COMPUTED_VALUE"""),"Helmut Bakaitis")</f>
        <v>Helmut Bakaitis</v>
      </c>
      <c r="AE278" s="11"/>
    </row>
    <row r="279" customHeight="1" spans="1:31">
      <c r="A279" s="12" t="s">
        <v>30</v>
      </c>
      <c r="B279" s="12" t="s">
        <v>1659</v>
      </c>
      <c r="C279" s="12">
        <v>228</v>
      </c>
      <c r="D279" s="12">
        <v>97</v>
      </c>
      <c r="E279" s="12">
        <v>63</v>
      </c>
      <c r="F279" s="12">
        <v>525</v>
      </c>
      <c r="G279" s="12">
        <v>852</v>
      </c>
      <c r="H279" s="12">
        <v>104374107</v>
      </c>
      <c r="I279" s="12" t="s">
        <v>1660</v>
      </c>
      <c r="J279" s="12" t="s">
        <v>903</v>
      </c>
      <c r="K279" s="12" t="s">
        <v>1661</v>
      </c>
      <c r="L279" s="12" t="s">
        <v>1662</v>
      </c>
      <c r="M279" s="12" t="s">
        <v>1663</v>
      </c>
      <c r="N279" s="12">
        <v>89351</v>
      </c>
      <c r="O279" s="12">
        <v>2480</v>
      </c>
      <c r="P279" s="12">
        <v>0</v>
      </c>
      <c r="Q279" s="12" t="s">
        <v>1664</v>
      </c>
      <c r="R279" s="15" t="s">
        <v>1665</v>
      </c>
      <c r="S279" s="12">
        <v>214</v>
      </c>
      <c r="T279" s="12" t="s">
        <v>39</v>
      </c>
      <c r="U279" s="12" t="s">
        <v>40</v>
      </c>
      <c r="V279" s="12" t="s">
        <v>278</v>
      </c>
      <c r="W279" s="12">
        <v>105000000</v>
      </c>
      <c r="X279" s="12">
        <v>2009</v>
      </c>
      <c r="Y279" s="12">
        <v>578</v>
      </c>
      <c r="Z279" s="12">
        <v>7.1</v>
      </c>
      <c r="AA279" s="12">
        <v>1.85</v>
      </c>
      <c r="AB279" s="12">
        <v>5000</v>
      </c>
      <c r="AC279" s="12"/>
      <c r="AD279" s="12" t="str">
        <f>IFERROR(__xludf.DUMMYFUNCTION("""COMPUTED_VALUE"""),"Natalie Portman")</f>
        <v>Natalie Portman</v>
      </c>
      <c r="AE279" s="12"/>
    </row>
    <row r="280" customHeight="1" spans="1:31">
      <c r="A280" s="11" t="s">
        <v>30</v>
      </c>
      <c r="B280" s="11" t="s">
        <v>188</v>
      </c>
      <c r="C280" s="11">
        <v>568</v>
      </c>
      <c r="D280" s="11">
        <v>151</v>
      </c>
      <c r="E280" s="11">
        <v>0</v>
      </c>
      <c r="F280" s="11">
        <v>372</v>
      </c>
      <c r="G280" s="11">
        <v>13000</v>
      </c>
      <c r="H280" s="11">
        <v>228430993</v>
      </c>
      <c r="I280" s="11" t="s">
        <v>660</v>
      </c>
      <c r="J280" s="11" t="s">
        <v>1158</v>
      </c>
      <c r="K280" s="11" t="s">
        <v>1666</v>
      </c>
      <c r="L280" s="11" t="s">
        <v>1667</v>
      </c>
      <c r="M280" s="11" t="s">
        <v>1668</v>
      </c>
      <c r="N280" s="11">
        <v>472488</v>
      </c>
      <c r="O280" s="11">
        <v>14831</v>
      </c>
      <c r="P280" s="11">
        <v>1</v>
      </c>
      <c r="Q280" s="11" t="s">
        <v>1669</v>
      </c>
      <c r="R280" s="14" t="s">
        <v>1670</v>
      </c>
      <c r="S280" s="11">
        <v>1023</v>
      </c>
      <c r="T280" s="11" t="s">
        <v>39</v>
      </c>
      <c r="U280" s="11" t="s">
        <v>40</v>
      </c>
      <c r="V280" s="11" t="s">
        <v>41</v>
      </c>
      <c r="W280" s="11">
        <v>108000000</v>
      </c>
      <c r="X280" s="11">
        <v>2015</v>
      </c>
      <c r="Y280" s="11">
        <v>801</v>
      </c>
      <c r="Z280" s="11">
        <v>8.1</v>
      </c>
      <c r="AA280" s="11">
        <v>2.35</v>
      </c>
      <c r="AB280" s="11">
        <v>153000</v>
      </c>
      <c r="AC280" s="11"/>
      <c r="AD280" s="11" t="str">
        <f>IFERROR(__xludf.DUMMYFUNCTION("""COMPUTED_VALUE"""),"Zoë Kravitz")</f>
        <v>Zoë Kravitz</v>
      </c>
      <c r="AE280" s="11"/>
    </row>
    <row r="281" customHeight="1" spans="1:31">
      <c r="A281" s="16"/>
      <c r="B281" s="12" t="s">
        <v>1671</v>
      </c>
      <c r="C281" s="16"/>
      <c r="D281" s="12">
        <v>22</v>
      </c>
      <c r="E281" s="12">
        <v>0</v>
      </c>
      <c r="F281" s="16"/>
      <c r="G281" s="12">
        <v>5</v>
      </c>
      <c r="H281" s="16"/>
      <c r="I281" s="12" t="s">
        <v>1672</v>
      </c>
      <c r="J281" s="12" t="s">
        <v>1673</v>
      </c>
      <c r="K281" s="16"/>
      <c r="L281" s="16"/>
      <c r="M281" s="12" t="s">
        <v>1674</v>
      </c>
      <c r="N281" s="12">
        <v>6</v>
      </c>
      <c r="O281" s="12">
        <v>5</v>
      </c>
      <c r="P281" s="12">
        <v>0</v>
      </c>
      <c r="Q281" s="16"/>
      <c r="R281" s="15" t="s">
        <v>1675</v>
      </c>
      <c r="S281" s="16"/>
      <c r="T281" s="16"/>
      <c r="U281" s="16"/>
      <c r="V281" s="16"/>
      <c r="W281" s="16"/>
      <c r="X281" s="16"/>
      <c r="Y281" s="16"/>
      <c r="Z281" s="12">
        <v>7.2</v>
      </c>
      <c r="AA281" s="16"/>
      <c r="AB281" s="12">
        <v>0</v>
      </c>
      <c r="AC281" s="12"/>
      <c r="AD281" s="12" t="str">
        <f>IFERROR(__xludf.DUMMYFUNCTION("""COMPUTED_VALUE"""),"Ayelet Zurer")</f>
        <v>Ayelet Zurer</v>
      </c>
      <c r="AE281" s="12"/>
    </row>
    <row r="282" customHeight="1" spans="1:31">
      <c r="A282" s="11" t="s">
        <v>30</v>
      </c>
      <c r="B282" s="11" t="s">
        <v>279</v>
      </c>
      <c r="C282" s="11">
        <v>257</v>
      </c>
      <c r="D282" s="11">
        <v>136</v>
      </c>
      <c r="E282" s="11">
        <v>0</v>
      </c>
      <c r="F282" s="11">
        <v>3000</v>
      </c>
      <c r="G282" s="11">
        <v>19000</v>
      </c>
      <c r="H282" s="11">
        <v>35799026</v>
      </c>
      <c r="I282" s="11" t="s">
        <v>1676</v>
      </c>
      <c r="J282" s="11" t="s">
        <v>100</v>
      </c>
      <c r="K282" s="11" t="s">
        <v>272</v>
      </c>
      <c r="L282" s="11" t="s">
        <v>656</v>
      </c>
      <c r="M282" s="11" t="s">
        <v>1677</v>
      </c>
      <c r="N282" s="11">
        <v>263329</v>
      </c>
      <c r="O282" s="11">
        <v>34839</v>
      </c>
      <c r="P282" s="11">
        <v>1</v>
      </c>
      <c r="Q282" s="11" t="s">
        <v>1678</v>
      </c>
      <c r="R282" s="14" t="s">
        <v>1679</v>
      </c>
      <c r="S282" s="11">
        <v>899</v>
      </c>
      <c r="T282" s="11" t="s">
        <v>39</v>
      </c>
      <c r="U282" s="11" t="s">
        <v>40</v>
      </c>
      <c r="V282" s="11" t="s">
        <v>41</v>
      </c>
      <c r="W282" s="11">
        <v>126000000</v>
      </c>
      <c r="X282" s="11">
        <v>2005</v>
      </c>
      <c r="Y282" s="11">
        <v>12000</v>
      </c>
      <c r="Z282" s="11">
        <v>6.9</v>
      </c>
      <c r="AA282" s="11">
        <v>2.35</v>
      </c>
      <c r="AB282" s="11">
        <v>0</v>
      </c>
      <c r="AC282" s="11"/>
      <c r="AD282" s="11" t="str">
        <f>IFERROR(__xludf.DUMMYFUNCTION("""COMPUTED_VALUE"""),"Armin Mueller-Stahl")</f>
        <v>Armin Mueller-Stahl</v>
      </c>
      <c r="AE282" s="11"/>
    </row>
    <row r="283" customHeight="1" spans="1:31">
      <c r="A283" s="12" t="s">
        <v>30</v>
      </c>
      <c r="B283" s="12" t="s">
        <v>1680</v>
      </c>
      <c r="C283" s="12">
        <v>62</v>
      </c>
      <c r="D283" s="12">
        <v>104</v>
      </c>
      <c r="E283" s="12">
        <v>23</v>
      </c>
      <c r="F283" s="12">
        <v>591</v>
      </c>
      <c r="G283" s="12">
        <v>752</v>
      </c>
      <c r="H283" s="12">
        <v>6712451</v>
      </c>
      <c r="I283" s="12" t="s">
        <v>1681</v>
      </c>
      <c r="J283" s="12" t="s">
        <v>1682</v>
      </c>
      <c r="K283" s="12" t="s">
        <v>1683</v>
      </c>
      <c r="L283" s="12" t="s">
        <v>550</v>
      </c>
      <c r="M283" s="12" t="s">
        <v>1684</v>
      </c>
      <c r="N283" s="12">
        <v>4102</v>
      </c>
      <c r="O283" s="12">
        <v>3133</v>
      </c>
      <c r="P283" s="12">
        <v>0</v>
      </c>
      <c r="Q283" s="12" t="s">
        <v>1685</v>
      </c>
      <c r="R283" s="15" t="s">
        <v>1686</v>
      </c>
      <c r="S283" s="12">
        <v>89</v>
      </c>
      <c r="T283" s="12" t="s">
        <v>39</v>
      </c>
      <c r="U283" s="12" t="s">
        <v>1687</v>
      </c>
      <c r="V283" s="12" t="s">
        <v>586</v>
      </c>
      <c r="W283" s="12">
        <v>90000000</v>
      </c>
      <c r="X283" s="12">
        <v>2001</v>
      </c>
      <c r="Y283" s="12">
        <v>631</v>
      </c>
      <c r="Z283" s="12">
        <v>4.4</v>
      </c>
      <c r="AA283" s="12">
        <v>1.85</v>
      </c>
      <c r="AB283" s="12">
        <v>53</v>
      </c>
      <c r="AC283" s="12"/>
      <c r="AD283" s="12" t="str">
        <f>IFERROR(__xludf.DUMMYFUNCTION("""COMPUTED_VALUE"""),"Diedrich Bader")</f>
        <v>Diedrich Bader</v>
      </c>
      <c r="AE283" s="12"/>
    </row>
    <row r="284" customHeight="1" spans="1:31">
      <c r="A284" s="11" t="s">
        <v>30</v>
      </c>
      <c r="B284" s="11" t="s">
        <v>1688</v>
      </c>
      <c r="C284" s="11">
        <v>175</v>
      </c>
      <c r="D284" s="11">
        <v>127</v>
      </c>
      <c r="E284" s="11">
        <v>57</v>
      </c>
      <c r="F284" s="11">
        <v>3000</v>
      </c>
      <c r="G284" s="11">
        <v>12000</v>
      </c>
      <c r="H284" s="11">
        <v>101643008</v>
      </c>
      <c r="I284" s="11" t="s">
        <v>334</v>
      </c>
      <c r="J284" s="11" t="s">
        <v>705</v>
      </c>
      <c r="K284" s="11" t="s">
        <v>565</v>
      </c>
      <c r="L284" s="11" t="s">
        <v>1689</v>
      </c>
      <c r="M284" s="11" t="s">
        <v>1690</v>
      </c>
      <c r="N284" s="11">
        <v>218341</v>
      </c>
      <c r="O284" s="11">
        <v>29069</v>
      </c>
      <c r="P284" s="11">
        <v>1</v>
      </c>
      <c r="Q284" s="11" t="s">
        <v>1691</v>
      </c>
      <c r="R284" s="14" t="s">
        <v>1692</v>
      </c>
      <c r="S284" s="11">
        <v>498</v>
      </c>
      <c r="T284" s="11" t="s">
        <v>39</v>
      </c>
      <c r="U284" s="11" t="s">
        <v>40</v>
      </c>
      <c r="V284" s="11" t="s">
        <v>41</v>
      </c>
      <c r="W284" s="11">
        <v>90000000</v>
      </c>
      <c r="X284" s="11">
        <v>2000</v>
      </c>
      <c r="Y284" s="11">
        <v>11000</v>
      </c>
      <c r="Z284" s="11">
        <v>6.5</v>
      </c>
      <c r="AA284" s="11">
        <v>2.35</v>
      </c>
      <c r="AB284" s="11">
        <v>0</v>
      </c>
      <c r="AC284" s="11"/>
      <c r="AD284" s="11" t="str">
        <f>IFERROR(__xludf.DUMMYFUNCTION("""COMPUTED_VALUE"""),"James Lipton")</f>
        <v>James Lipton</v>
      </c>
      <c r="AE284" s="11"/>
    </row>
    <row r="285" customHeight="1" spans="1:31">
      <c r="A285" s="12" t="s">
        <v>30</v>
      </c>
      <c r="B285" s="12" t="s">
        <v>188</v>
      </c>
      <c r="C285" s="12">
        <v>265</v>
      </c>
      <c r="D285" s="12">
        <v>171</v>
      </c>
      <c r="E285" s="12">
        <v>0</v>
      </c>
      <c r="F285" s="12">
        <v>695</v>
      </c>
      <c r="G285" s="12">
        <v>3000</v>
      </c>
      <c r="H285" s="12">
        <v>187670866</v>
      </c>
      <c r="I285" s="12" t="s">
        <v>1693</v>
      </c>
      <c r="J285" s="12" t="s">
        <v>656</v>
      </c>
      <c r="K285" s="12" t="s">
        <v>1694</v>
      </c>
      <c r="L285" s="12" t="s">
        <v>1695</v>
      </c>
      <c r="M285" s="12" t="s">
        <v>1696</v>
      </c>
      <c r="N285" s="12">
        <v>982637</v>
      </c>
      <c r="O285" s="12">
        <v>6521</v>
      </c>
      <c r="P285" s="12">
        <v>0</v>
      </c>
      <c r="Q285" s="12" t="s">
        <v>1697</v>
      </c>
      <c r="R285" s="15" t="s">
        <v>1698</v>
      </c>
      <c r="S285" s="12">
        <v>2368</v>
      </c>
      <c r="T285" s="12" t="s">
        <v>39</v>
      </c>
      <c r="U285" s="12" t="s">
        <v>40</v>
      </c>
      <c r="V285" s="12" t="s">
        <v>586</v>
      </c>
      <c r="W285" s="12">
        <v>103000000</v>
      </c>
      <c r="X285" s="12">
        <v>2000</v>
      </c>
      <c r="Y285" s="12">
        <v>933</v>
      </c>
      <c r="Z285" s="12">
        <v>8.5</v>
      </c>
      <c r="AA285" s="12">
        <v>2.35</v>
      </c>
      <c r="AB285" s="12">
        <v>21000</v>
      </c>
      <c r="AC285" s="12"/>
      <c r="AD285" s="12" t="str">
        <f>IFERROR(__xludf.DUMMYFUNCTION("""COMPUTED_VALUE"""),"Kelli Garner")</f>
        <v>Kelli Garner</v>
      </c>
      <c r="AE285" s="12"/>
    </row>
    <row r="286" customHeight="1" spans="1:31">
      <c r="A286" s="11" t="s">
        <v>30</v>
      </c>
      <c r="B286" s="11" t="s">
        <v>390</v>
      </c>
      <c r="C286" s="11">
        <v>252</v>
      </c>
      <c r="D286" s="11">
        <v>145</v>
      </c>
      <c r="E286" s="11">
        <v>14000</v>
      </c>
      <c r="F286" s="11">
        <v>533</v>
      </c>
      <c r="G286" s="11">
        <v>10000</v>
      </c>
      <c r="H286" s="11">
        <v>132014112</v>
      </c>
      <c r="I286" s="11" t="s">
        <v>1645</v>
      </c>
      <c r="J286" s="11" t="s">
        <v>523</v>
      </c>
      <c r="K286" s="11" t="s">
        <v>1699</v>
      </c>
      <c r="L286" s="11" t="s">
        <v>1700</v>
      </c>
      <c r="M286" s="11" t="s">
        <v>1701</v>
      </c>
      <c r="N286" s="11">
        <v>399651</v>
      </c>
      <c r="O286" s="11">
        <v>12546</v>
      </c>
      <c r="P286" s="11">
        <v>0</v>
      </c>
      <c r="Q286" s="11" t="s">
        <v>1702</v>
      </c>
      <c r="R286" s="14" t="s">
        <v>1703</v>
      </c>
      <c r="S286" s="11">
        <v>1331</v>
      </c>
      <c r="T286" s="11" t="s">
        <v>39</v>
      </c>
      <c r="U286" s="11" t="s">
        <v>40</v>
      </c>
      <c r="V286" s="11" t="s">
        <v>41</v>
      </c>
      <c r="W286" s="11">
        <v>102000000</v>
      </c>
      <c r="X286" s="11">
        <v>2002</v>
      </c>
      <c r="Y286" s="11">
        <v>798</v>
      </c>
      <c r="Z286" s="11">
        <v>7.7</v>
      </c>
      <c r="AA286" s="11">
        <v>2.35</v>
      </c>
      <c r="AB286" s="11">
        <v>0</v>
      </c>
      <c r="AC286" s="11"/>
      <c r="AD286" s="11" t="str">
        <f>IFERROR(__xludf.DUMMYFUNCTION("""COMPUTED_VALUE"""),"Piper Mackenzie Harris")</f>
        <v>Piper Mackenzie Harris</v>
      </c>
      <c r="AE286" s="11"/>
    </row>
    <row r="287" customHeight="1" spans="1:31">
      <c r="A287" s="12" t="s">
        <v>30</v>
      </c>
      <c r="B287" s="12" t="s">
        <v>1253</v>
      </c>
      <c r="C287" s="12">
        <v>232</v>
      </c>
      <c r="D287" s="12">
        <v>174</v>
      </c>
      <c r="E287" s="12">
        <v>0</v>
      </c>
      <c r="F287" s="12">
        <v>9000</v>
      </c>
      <c r="G287" s="12">
        <v>11000</v>
      </c>
      <c r="H287" s="12">
        <v>261970615</v>
      </c>
      <c r="I287" s="12" t="s">
        <v>105</v>
      </c>
      <c r="J287" s="12" t="s">
        <v>107</v>
      </c>
      <c r="K287" s="12" t="s">
        <v>108</v>
      </c>
      <c r="L287" s="12" t="s">
        <v>1206</v>
      </c>
      <c r="M287" s="12" t="s">
        <v>1704</v>
      </c>
      <c r="N287" s="12">
        <v>387616</v>
      </c>
      <c r="O287" s="12">
        <v>35672</v>
      </c>
      <c r="P287" s="12">
        <v>1</v>
      </c>
      <c r="Q287" s="12" t="s">
        <v>1705</v>
      </c>
      <c r="R287" s="15" t="s">
        <v>1706</v>
      </c>
      <c r="S287" s="12">
        <v>858</v>
      </c>
      <c r="T287" s="12" t="s">
        <v>39</v>
      </c>
      <c r="U287" s="12" t="s">
        <v>58</v>
      </c>
      <c r="V287" s="12" t="s">
        <v>96</v>
      </c>
      <c r="W287" s="12">
        <v>100000000</v>
      </c>
      <c r="X287" s="12">
        <v>2002</v>
      </c>
      <c r="Y287" s="12">
        <v>10000</v>
      </c>
      <c r="Z287" s="12">
        <v>7.4</v>
      </c>
      <c r="AA287" s="12">
        <v>2.35</v>
      </c>
      <c r="AB287" s="12">
        <v>0</v>
      </c>
      <c r="AC287" s="12"/>
      <c r="AD287" s="12" t="str">
        <f>IFERROR(__xludf.DUMMYFUNCTION("""COMPUTED_VALUE"""),"Niecy Nash")</f>
        <v>Niecy Nash</v>
      </c>
      <c r="AE287" s="12"/>
    </row>
    <row r="288" customHeight="1" spans="1:31">
      <c r="A288" s="11" t="s">
        <v>748</v>
      </c>
      <c r="B288" s="11" t="s">
        <v>314</v>
      </c>
      <c r="C288" s="11">
        <v>400</v>
      </c>
      <c r="D288" s="11">
        <v>144</v>
      </c>
      <c r="E288" s="11">
        <v>258</v>
      </c>
      <c r="F288" s="11">
        <v>834</v>
      </c>
      <c r="G288" s="11">
        <v>6000</v>
      </c>
      <c r="H288" s="11">
        <v>167007184</v>
      </c>
      <c r="I288" s="11" t="s">
        <v>51</v>
      </c>
      <c r="J288" s="11" t="s">
        <v>202</v>
      </c>
      <c r="K288" s="11" t="s">
        <v>1707</v>
      </c>
      <c r="L288" s="11" t="s">
        <v>1708</v>
      </c>
      <c r="M288" s="11" t="s">
        <v>1709</v>
      </c>
      <c r="N288" s="11">
        <v>470483</v>
      </c>
      <c r="O288" s="11">
        <v>9125</v>
      </c>
      <c r="P288" s="11">
        <v>1</v>
      </c>
      <c r="Q288" s="11" t="s">
        <v>1710</v>
      </c>
      <c r="R288" s="14" t="s">
        <v>1711</v>
      </c>
      <c r="S288" s="11">
        <v>2301</v>
      </c>
      <c r="T288" s="11" t="s">
        <v>39</v>
      </c>
      <c r="U288" s="11" t="s">
        <v>58</v>
      </c>
      <c r="V288" s="11" t="s">
        <v>41</v>
      </c>
      <c r="W288" s="11">
        <v>150000000</v>
      </c>
      <c r="X288" s="11">
        <v>2006</v>
      </c>
      <c r="Y288" s="11">
        <v>1000</v>
      </c>
      <c r="Z288" s="11">
        <v>8</v>
      </c>
      <c r="AA288" s="11">
        <v>2.35</v>
      </c>
      <c r="AB288" s="11">
        <v>0</v>
      </c>
      <c r="AC288" s="11"/>
      <c r="AD288" s="11" t="str">
        <f>IFERROR(__xludf.DUMMYFUNCTION("""COMPUTED_VALUE"""),"Edgar Ramírez")</f>
        <v>Edgar Ramírez</v>
      </c>
      <c r="AE288" s="11"/>
    </row>
    <row r="289" customHeight="1" spans="1:31">
      <c r="A289" s="12" t="s">
        <v>30</v>
      </c>
      <c r="B289" s="12" t="s">
        <v>256</v>
      </c>
      <c r="C289" s="12">
        <v>230</v>
      </c>
      <c r="D289" s="12">
        <v>119</v>
      </c>
      <c r="E289" s="12">
        <v>13000</v>
      </c>
      <c r="F289" s="12">
        <v>567</v>
      </c>
      <c r="G289" s="12">
        <v>1000</v>
      </c>
      <c r="H289" s="12">
        <v>180011740</v>
      </c>
      <c r="I289" s="12" t="s">
        <v>227</v>
      </c>
      <c r="J289" s="12" t="s">
        <v>589</v>
      </c>
      <c r="K289" s="12" t="s">
        <v>1712</v>
      </c>
      <c r="L289" s="12" t="s">
        <v>1713</v>
      </c>
      <c r="M289" s="12" t="s">
        <v>1714</v>
      </c>
      <c r="N289" s="12">
        <v>177725</v>
      </c>
      <c r="O289" s="12">
        <v>2776</v>
      </c>
      <c r="P289" s="12">
        <v>0</v>
      </c>
      <c r="Q289" s="12" t="s">
        <v>1715</v>
      </c>
      <c r="R289" s="15" t="s">
        <v>1716</v>
      </c>
      <c r="S289" s="12">
        <v>1368</v>
      </c>
      <c r="T289" s="12" t="s">
        <v>39</v>
      </c>
      <c r="U289" s="12" t="s">
        <v>40</v>
      </c>
      <c r="V289" s="12" t="s">
        <v>41</v>
      </c>
      <c r="W289" s="12">
        <v>100000000</v>
      </c>
      <c r="X289" s="12">
        <v>2001</v>
      </c>
      <c r="Y289" s="12">
        <v>658</v>
      </c>
      <c r="Z289" s="12">
        <v>5.7</v>
      </c>
      <c r="AA289" s="12">
        <v>2.35</v>
      </c>
      <c r="AB289" s="12">
        <v>0</v>
      </c>
      <c r="AC289" s="12"/>
      <c r="AD289" s="12" t="str">
        <f>IFERROR(__xludf.DUMMYFUNCTION("""COMPUTED_VALUE"""),"Lily James")</f>
        <v>Lily James</v>
      </c>
      <c r="AE289" s="12"/>
    </row>
    <row r="290" customHeight="1" spans="1:31">
      <c r="A290" s="11" t="s">
        <v>30</v>
      </c>
      <c r="B290" s="11" t="s">
        <v>31</v>
      </c>
      <c r="C290" s="11">
        <v>210</v>
      </c>
      <c r="D290" s="11">
        <v>153</v>
      </c>
      <c r="E290" s="11">
        <v>0</v>
      </c>
      <c r="F290" s="11">
        <v>539</v>
      </c>
      <c r="G290" s="11">
        <v>780</v>
      </c>
      <c r="H290" s="11">
        <v>204843350</v>
      </c>
      <c r="I290" s="11" t="s">
        <v>648</v>
      </c>
      <c r="J290" s="11" t="s">
        <v>1047</v>
      </c>
      <c r="K290" s="11" t="s">
        <v>1717</v>
      </c>
      <c r="L290" s="11" t="s">
        <v>1718</v>
      </c>
      <c r="M290" s="11" t="s">
        <v>1719</v>
      </c>
      <c r="N290" s="11">
        <v>744891</v>
      </c>
      <c r="O290" s="11">
        <v>2829</v>
      </c>
      <c r="P290" s="11">
        <v>0</v>
      </c>
      <c r="Q290" s="11" t="s">
        <v>1720</v>
      </c>
      <c r="R290" s="14" t="s">
        <v>1721</v>
      </c>
      <c r="S290" s="11">
        <v>983</v>
      </c>
      <c r="T290" s="11" t="s">
        <v>39</v>
      </c>
      <c r="U290" s="11" t="s">
        <v>40</v>
      </c>
      <c r="V290" s="11" t="s">
        <v>586</v>
      </c>
      <c r="W290" s="11">
        <v>102000000</v>
      </c>
      <c r="X290" s="11">
        <v>1991</v>
      </c>
      <c r="Y290" s="11">
        <v>604</v>
      </c>
      <c r="Z290" s="11">
        <v>8.5</v>
      </c>
      <c r="AA290" s="11">
        <v>2.35</v>
      </c>
      <c r="AB290" s="11">
        <v>13000</v>
      </c>
      <c r="AC290" s="11"/>
      <c r="AD290" s="11" t="str">
        <f>IFERROR(__xludf.DUMMYFUNCTION("""COMPUTED_VALUE"""),"Jeremy Renner")</f>
        <v>Jeremy Renner</v>
      </c>
      <c r="AE290" s="11"/>
    </row>
    <row r="291" customHeight="1" spans="1:31">
      <c r="A291" s="12" t="s">
        <v>30</v>
      </c>
      <c r="B291" s="12" t="s">
        <v>1634</v>
      </c>
      <c r="C291" s="12">
        <v>357</v>
      </c>
      <c r="D291" s="12">
        <v>140</v>
      </c>
      <c r="E291" s="12">
        <v>0</v>
      </c>
      <c r="F291" s="12">
        <v>1000</v>
      </c>
      <c r="G291" s="12">
        <v>40000</v>
      </c>
      <c r="H291" s="12">
        <v>97030725</v>
      </c>
      <c r="I291" s="12" t="s">
        <v>1722</v>
      </c>
      <c r="J291" s="12" t="s">
        <v>44</v>
      </c>
      <c r="K291" s="12" t="s">
        <v>62</v>
      </c>
      <c r="L291" s="12" t="s">
        <v>160</v>
      </c>
      <c r="M291" s="12" t="s">
        <v>1723</v>
      </c>
      <c r="N291" s="12">
        <v>230931</v>
      </c>
      <c r="O291" s="12">
        <v>64599</v>
      </c>
      <c r="P291" s="12">
        <v>1</v>
      </c>
      <c r="Q291" s="12" t="s">
        <v>1724</v>
      </c>
      <c r="R291" s="15" t="s">
        <v>1725</v>
      </c>
      <c r="S291" s="12">
        <v>585</v>
      </c>
      <c r="T291" s="12" t="s">
        <v>39</v>
      </c>
      <c r="U291" s="12" t="s">
        <v>40</v>
      </c>
      <c r="V291" s="12" t="s">
        <v>586</v>
      </c>
      <c r="W291" s="12">
        <v>100000000</v>
      </c>
      <c r="X291" s="12">
        <v>2009</v>
      </c>
      <c r="Y291" s="12">
        <v>23000</v>
      </c>
      <c r="Z291" s="12">
        <v>7</v>
      </c>
      <c r="AA291" s="12">
        <v>2.35</v>
      </c>
      <c r="AB291" s="12">
        <v>0</v>
      </c>
      <c r="AC291" s="12"/>
      <c r="AD291" s="12" t="str">
        <f>IFERROR(__xludf.DUMMYFUNCTION("""COMPUTED_VALUE"""),"Sean Harris")</f>
        <v>Sean Harris</v>
      </c>
      <c r="AE291" s="12"/>
    </row>
    <row r="292" customHeight="1" spans="1:31">
      <c r="A292" s="11" t="s">
        <v>30</v>
      </c>
      <c r="B292" s="11" t="s">
        <v>188</v>
      </c>
      <c r="C292" s="11">
        <v>300</v>
      </c>
      <c r="D292" s="11">
        <v>176</v>
      </c>
      <c r="E292" s="11">
        <v>0</v>
      </c>
      <c r="F292" s="11">
        <v>561</v>
      </c>
      <c r="G292" s="11">
        <v>18000</v>
      </c>
      <c r="H292" s="11">
        <v>130127620</v>
      </c>
      <c r="I292" s="11" t="s">
        <v>1726</v>
      </c>
      <c r="J292" s="11" t="s">
        <v>1727</v>
      </c>
      <c r="K292" s="11" t="s">
        <v>1728</v>
      </c>
      <c r="L292" s="11" t="s">
        <v>1729</v>
      </c>
      <c r="M292" s="11" t="s">
        <v>1730</v>
      </c>
      <c r="N292" s="11">
        <v>324671</v>
      </c>
      <c r="O292" s="11">
        <v>20354</v>
      </c>
      <c r="P292" s="11">
        <v>0</v>
      </c>
      <c r="Q292" s="11" t="s">
        <v>1731</v>
      </c>
      <c r="R292" s="14" t="s">
        <v>1732</v>
      </c>
      <c r="S292" s="11">
        <v>458</v>
      </c>
      <c r="T292" s="11" t="s">
        <v>39</v>
      </c>
      <c r="U292" s="11" t="s">
        <v>40</v>
      </c>
      <c r="V292" s="11" t="s">
        <v>586</v>
      </c>
      <c r="W292" s="11">
        <v>100000000</v>
      </c>
      <c r="X292" s="11">
        <v>2007</v>
      </c>
      <c r="Y292" s="11">
        <v>782</v>
      </c>
      <c r="Z292" s="11">
        <v>7.8</v>
      </c>
      <c r="AA292" s="11">
        <v>1.85</v>
      </c>
      <c r="AB292" s="11">
        <v>0</v>
      </c>
      <c r="AC292" s="11"/>
      <c r="AD292" s="11" t="str">
        <f>IFERROR(__xludf.DUMMYFUNCTION("""COMPUTED_VALUE"""),"Simon Merrells")</f>
        <v>Simon Merrells</v>
      </c>
      <c r="AE292" s="11"/>
    </row>
    <row r="293" customHeight="1" spans="1:31">
      <c r="A293" s="12" t="s">
        <v>30</v>
      </c>
      <c r="B293" s="12" t="s">
        <v>31</v>
      </c>
      <c r="C293" s="12">
        <v>94</v>
      </c>
      <c r="D293" s="12">
        <v>141</v>
      </c>
      <c r="E293" s="12">
        <v>0</v>
      </c>
      <c r="F293" s="12">
        <v>618</v>
      </c>
      <c r="G293" s="12">
        <v>2000</v>
      </c>
      <c r="H293" s="12">
        <v>146282411</v>
      </c>
      <c r="I293" s="12" t="s">
        <v>1733</v>
      </c>
      <c r="J293" s="12" t="s">
        <v>1734</v>
      </c>
      <c r="K293" s="12" t="s">
        <v>1735</v>
      </c>
      <c r="L293" s="12" t="s">
        <v>1736</v>
      </c>
      <c r="M293" s="12" t="s">
        <v>1737</v>
      </c>
      <c r="N293" s="12">
        <v>190439</v>
      </c>
      <c r="O293" s="12">
        <v>4528</v>
      </c>
      <c r="P293" s="12">
        <v>0</v>
      </c>
      <c r="Q293" s="12" t="s">
        <v>1738</v>
      </c>
      <c r="R293" s="15" t="s">
        <v>1739</v>
      </c>
      <c r="S293" s="12">
        <v>351</v>
      </c>
      <c r="T293" s="12" t="s">
        <v>39</v>
      </c>
      <c r="U293" s="12" t="s">
        <v>40</v>
      </c>
      <c r="V293" s="12" t="s">
        <v>586</v>
      </c>
      <c r="W293" s="12">
        <v>115000000</v>
      </c>
      <c r="X293" s="12">
        <v>1994</v>
      </c>
      <c r="Y293" s="12">
        <v>1000</v>
      </c>
      <c r="Z293" s="12">
        <v>7.2</v>
      </c>
      <c r="AA293" s="12">
        <v>2.35</v>
      </c>
      <c r="AB293" s="12">
        <v>0</v>
      </c>
      <c r="AC293" s="12"/>
      <c r="AD293" s="12" t="str">
        <f>IFERROR(__xludf.DUMMYFUNCTION("""COMPUTED_VALUE"""),"Art Malik")</f>
        <v>Art Malik</v>
      </c>
      <c r="AE293" s="12"/>
    </row>
    <row r="294" customHeight="1" spans="1:31">
      <c r="A294" s="11" t="s">
        <v>30</v>
      </c>
      <c r="B294" s="11" t="s">
        <v>1740</v>
      </c>
      <c r="C294" s="11">
        <v>267</v>
      </c>
      <c r="D294" s="11">
        <v>106</v>
      </c>
      <c r="E294" s="11">
        <v>12000</v>
      </c>
      <c r="F294" s="11">
        <v>385</v>
      </c>
      <c r="G294" s="11">
        <v>18000</v>
      </c>
      <c r="H294" s="11">
        <v>65452312</v>
      </c>
      <c r="I294" s="11" t="s">
        <v>334</v>
      </c>
      <c r="J294" s="11" t="s">
        <v>1727</v>
      </c>
      <c r="K294" s="11" t="s">
        <v>282</v>
      </c>
      <c r="L294" s="11" t="s">
        <v>1741</v>
      </c>
      <c r="M294" s="11" t="s">
        <v>1742</v>
      </c>
      <c r="N294" s="11">
        <v>149998</v>
      </c>
      <c r="O294" s="11">
        <v>19906</v>
      </c>
      <c r="P294" s="11">
        <v>1</v>
      </c>
      <c r="Q294" s="11" t="s">
        <v>1743</v>
      </c>
      <c r="R294" s="14" t="s">
        <v>1744</v>
      </c>
      <c r="S294" s="11">
        <v>285</v>
      </c>
      <c r="T294" s="11" t="s">
        <v>39</v>
      </c>
      <c r="U294" s="11" t="s">
        <v>40</v>
      </c>
      <c r="V294" s="11" t="s">
        <v>586</v>
      </c>
      <c r="W294" s="11">
        <v>100000000</v>
      </c>
      <c r="X294" s="11">
        <v>2009</v>
      </c>
      <c r="Y294" s="11">
        <v>464</v>
      </c>
      <c r="Z294" s="11">
        <v>6.4</v>
      </c>
      <c r="AA294" s="11">
        <v>2.35</v>
      </c>
      <c r="AB294" s="11">
        <v>0</v>
      </c>
      <c r="AC294" s="11"/>
      <c r="AD294" s="11" t="str">
        <f>IFERROR(__xludf.DUMMYFUNCTION("""COMPUTED_VALUE"""),"Matthew Broderick")</f>
        <v>Matthew Broderick</v>
      </c>
      <c r="AE294" s="11"/>
    </row>
    <row r="295" customHeight="1" spans="1:31">
      <c r="A295" s="12" t="s">
        <v>30</v>
      </c>
      <c r="B295" s="12" t="s">
        <v>1745</v>
      </c>
      <c r="C295" s="12">
        <v>180</v>
      </c>
      <c r="D295" s="12">
        <v>98</v>
      </c>
      <c r="E295" s="12">
        <v>80</v>
      </c>
      <c r="F295" s="12">
        <v>708</v>
      </c>
      <c r="G295" s="12">
        <v>22000</v>
      </c>
      <c r="H295" s="12">
        <v>148383780</v>
      </c>
      <c r="I295" s="12" t="s">
        <v>1681</v>
      </c>
      <c r="J295" s="12" t="s">
        <v>1746</v>
      </c>
      <c r="K295" s="12" t="s">
        <v>1747</v>
      </c>
      <c r="L295" s="12" t="s">
        <v>1748</v>
      </c>
      <c r="M295" s="12" t="s">
        <v>1749</v>
      </c>
      <c r="N295" s="12">
        <v>85531</v>
      </c>
      <c r="O295" s="12">
        <v>24082</v>
      </c>
      <c r="P295" s="12">
        <v>10</v>
      </c>
      <c r="Q295" s="12" t="s">
        <v>1750</v>
      </c>
      <c r="R295" s="15" t="s">
        <v>1751</v>
      </c>
      <c r="S295" s="12">
        <v>152</v>
      </c>
      <c r="T295" s="12" t="s">
        <v>39</v>
      </c>
      <c r="U295" s="12" t="s">
        <v>40</v>
      </c>
      <c r="V295" s="12" t="s">
        <v>41</v>
      </c>
      <c r="W295" s="12">
        <v>100000000</v>
      </c>
      <c r="X295" s="12">
        <v>2010</v>
      </c>
      <c r="Y295" s="12">
        <v>713</v>
      </c>
      <c r="Z295" s="12">
        <v>5.5</v>
      </c>
      <c r="AA295" s="12">
        <v>1.85</v>
      </c>
      <c r="AB295" s="12">
        <v>0</v>
      </c>
      <c r="AC295" s="12"/>
      <c r="AD295" s="12" t="str">
        <f>IFERROR(__xludf.DUMMYFUNCTION("""COMPUTED_VALUE"""),"Oprah Winfrey")</f>
        <v>Oprah Winfrey</v>
      </c>
      <c r="AE295" s="12"/>
    </row>
    <row r="296" customHeight="1" spans="1:31">
      <c r="A296" s="11" t="s">
        <v>30</v>
      </c>
      <c r="B296" s="11" t="s">
        <v>1752</v>
      </c>
      <c r="C296" s="11">
        <v>265</v>
      </c>
      <c r="D296" s="11">
        <v>116</v>
      </c>
      <c r="E296" s="11">
        <v>285</v>
      </c>
      <c r="F296" s="11">
        <v>107</v>
      </c>
      <c r="G296" s="11">
        <v>12000</v>
      </c>
      <c r="H296" s="11">
        <v>119219978</v>
      </c>
      <c r="I296" s="11" t="s">
        <v>1753</v>
      </c>
      <c r="J296" s="11" t="s">
        <v>1073</v>
      </c>
      <c r="K296" s="11" t="s">
        <v>1249</v>
      </c>
      <c r="L296" s="11" t="s">
        <v>1754</v>
      </c>
      <c r="M296" s="11" t="s">
        <v>1755</v>
      </c>
      <c r="N296" s="11">
        <v>189806</v>
      </c>
      <c r="O296" s="11">
        <v>20233</v>
      </c>
      <c r="P296" s="11">
        <v>2</v>
      </c>
      <c r="Q296" s="11" t="s">
        <v>1756</v>
      </c>
      <c r="R296" s="14" t="s">
        <v>1757</v>
      </c>
      <c r="S296" s="11">
        <v>316</v>
      </c>
      <c r="T296" s="11" t="s">
        <v>39</v>
      </c>
      <c r="U296" s="11" t="s">
        <v>40</v>
      </c>
      <c r="V296" s="11" t="s">
        <v>41</v>
      </c>
      <c r="W296" s="11">
        <v>100000000</v>
      </c>
      <c r="X296" s="11">
        <v>2010</v>
      </c>
      <c r="Y296" s="11">
        <v>8000</v>
      </c>
      <c r="Z296" s="11">
        <v>6.7</v>
      </c>
      <c r="AA296" s="11">
        <v>2.35</v>
      </c>
      <c r="AB296" s="11">
        <v>16000</v>
      </c>
      <c r="AC296" s="11"/>
      <c r="AD296" s="11" t="str">
        <f>IFERROR(__xludf.DUMMYFUNCTION("""COMPUTED_VALUE"""),"Rip Torn")</f>
        <v>Rip Torn</v>
      </c>
      <c r="AE296" s="11"/>
    </row>
    <row r="297" customHeight="1" spans="1:31">
      <c r="A297" s="12" t="s">
        <v>30</v>
      </c>
      <c r="B297" s="12" t="s">
        <v>1758</v>
      </c>
      <c r="C297" s="12">
        <v>81</v>
      </c>
      <c r="D297" s="12">
        <v>115</v>
      </c>
      <c r="E297" s="12">
        <v>55</v>
      </c>
      <c r="F297" s="12">
        <v>383</v>
      </c>
      <c r="G297" s="12">
        <v>1000</v>
      </c>
      <c r="H297" s="12">
        <v>101228120</v>
      </c>
      <c r="I297" s="12" t="s">
        <v>1759</v>
      </c>
      <c r="J297" s="12" t="s">
        <v>1760</v>
      </c>
      <c r="K297" s="12" t="s">
        <v>1441</v>
      </c>
      <c r="L297" s="12" t="s">
        <v>1761</v>
      </c>
      <c r="M297" s="12" t="s">
        <v>1762</v>
      </c>
      <c r="N297" s="12">
        <v>84424</v>
      </c>
      <c r="O297" s="12">
        <v>3454</v>
      </c>
      <c r="P297" s="12">
        <v>1</v>
      </c>
      <c r="Q297" s="12" t="s">
        <v>1763</v>
      </c>
      <c r="R297" s="15" t="s">
        <v>1764</v>
      </c>
      <c r="S297" s="12">
        <v>131</v>
      </c>
      <c r="T297" s="12" t="s">
        <v>39</v>
      </c>
      <c r="U297" s="12" t="s">
        <v>40</v>
      </c>
      <c r="V297" s="12" t="s">
        <v>586</v>
      </c>
      <c r="W297" s="12">
        <v>100000000</v>
      </c>
      <c r="X297" s="12">
        <v>1996</v>
      </c>
      <c r="Y297" s="12">
        <v>773</v>
      </c>
      <c r="Z297" s="12">
        <v>6.1</v>
      </c>
      <c r="AA297" s="12">
        <v>2.35</v>
      </c>
      <c r="AB297" s="12">
        <v>0</v>
      </c>
      <c r="AC297" s="12"/>
      <c r="AD297" s="12" t="str">
        <f>IFERROR(__xludf.DUMMYFUNCTION("""COMPUTED_VALUE"""),"Mike Bell")</f>
        <v>Mike Bell</v>
      </c>
      <c r="AE297" s="12"/>
    </row>
    <row r="298" customHeight="1" spans="1:31">
      <c r="A298" s="11" t="s">
        <v>30</v>
      </c>
      <c r="B298" s="11" t="s">
        <v>1765</v>
      </c>
      <c r="C298" s="11">
        <v>765</v>
      </c>
      <c r="D298" s="11">
        <v>165</v>
      </c>
      <c r="E298" s="11">
        <v>16000</v>
      </c>
      <c r="F298" s="11">
        <v>265</v>
      </c>
      <c r="G298" s="11">
        <v>29000</v>
      </c>
      <c r="H298" s="11">
        <v>162804648</v>
      </c>
      <c r="I298" s="11" t="s">
        <v>1766</v>
      </c>
      <c r="J298" s="11" t="s">
        <v>215</v>
      </c>
      <c r="K298" s="11" t="s">
        <v>52</v>
      </c>
      <c r="L298" s="11" t="s">
        <v>1371</v>
      </c>
      <c r="M298" s="11" t="s">
        <v>1767</v>
      </c>
      <c r="N298" s="11">
        <v>955174</v>
      </c>
      <c r="O298" s="11">
        <v>40978</v>
      </c>
      <c r="P298" s="11">
        <v>1</v>
      </c>
      <c r="Q298" s="11" t="s">
        <v>1768</v>
      </c>
      <c r="R298" s="14" t="s">
        <v>1769</v>
      </c>
      <c r="S298" s="11">
        <v>1193</v>
      </c>
      <c r="T298" s="11" t="s">
        <v>39</v>
      </c>
      <c r="U298" s="11" t="s">
        <v>40</v>
      </c>
      <c r="V298" s="11" t="s">
        <v>586</v>
      </c>
      <c r="W298" s="11">
        <v>100000000</v>
      </c>
      <c r="X298" s="11">
        <v>2012</v>
      </c>
      <c r="Y298" s="11">
        <v>11000</v>
      </c>
      <c r="Z298" s="11">
        <v>8.5</v>
      </c>
      <c r="AA298" s="11">
        <v>2.35</v>
      </c>
      <c r="AB298" s="11">
        <v>199000</v>
      </c>
      <c r="AC298" s="11"/>
      <c r="AD298" s="11" t="str">
        <f>IFERROR(__xludf.DUMMYFUNCTION("""COMPUTED_VALUE"""),"Seychelle Gabriel")</f>
        <v>Seychelle Gabriel</v>
      </c>
      <c r="AE298" s="11"/>
    </row>
    <row r="299" customHeight="1" spans="1:31">
      <c r="A299" s="12" t="s">
        <v>30</v>
      </c>
      <c r="B299" s="12" t="s">
        <v>1770</v>
      </c>
      <c r="C299" s="12">
        <v>80</v>
      </c>
      <c r="D299" s="12">
        <v>91</v>
      </c>
      <c r="E299" s="12">
        <v>21</v>
      </c>
      <c r="F299" s="12">
        <v>542</v>
      </c>
      <c r="G299" s="12">
        <v>2000</v>
      </c>
      <c r="H299" s="12">
        <v>100117603</v>
      </c>
      <c r="I299" s="12" t="s">
        <v>1771</v>
      </c>
      <c r="J299" s="12" t="s">
        <v>1376</v>
      </c>
      <c r="K299" s="12" t="s">
        <v>1772</v>
      </c>
      <c r="L299" s="12" t="s">
        <v>1773</v>
      </c>
      <c r="M299" s="12" t="s">
        <v>1774</v>
      </c>
      <c r="N299" s="12">
        <v>102933</v>
      </c>
      <c r="O299" s="12">
        <v>4842</v>
      </c>
      <c r="P299" s="12">
        <v>0</v>
      </c>
      <c r="Q299" s="12" t="s">
        <v>1775</v>
      </c>
      <c r="R299" s="15" t="s">
        <v>1776</v>
      </c>
      <c r="S299" s="12">
        <v>230</v>
      </c>
      <c r="T299" s="12" t="s">
        <v>39</v>
      </c>
      <c r="U299" s="12" t="s">
        <v>40</v>
      </c>
      <c r="V299" s="12" t="s">
        <v>278</v>
      </c>
      <c r="W299" s="12">
        <v>100000000</v>
      </c>
      <c r="X299" s="12">
        <v>1996</v>
      </c>
      <c r="Y299" s="12">
        <v>700</v>
      </c>
      <c r="Z299" s="12">
        <v>6.9</v>
      </c>
      <c r="AA299" s="12">
        <v>1.78</v>
      </c>
      <c r="AB299" s="12">
        <v>0</v>
      </c>
      <c r="AC299" s="12"/>
      <c r="AD299" s="12" t="str">
        <f>IFERROR(__xludf.DUMMYFUNCTION("""COMPUTED_VALUE"""),"Noah Ringer")</f>
        <v>Noah Ringer</v>
      </c>
      <c r="AE299" s="12"/>
    </row>
    <row r="300" customHeight="1" spans="1:31">
      <c r="A300" s="11" t="s">
        <v>30</v>
      </c>
      <c r="B300" s="11" t="s">
        <v>1777</v>
      </c>
      <c r="C300" s="11">
        <v>141</v>
      </c>
      <c r="D300" s="11">
        <v>78</v>
      </c>
      <c r="E300" s="11">
        <v>10</v>
      </c>
      <c r="F300" s="11">
        <v>253</v>
      </c>
      <c r="G300" s="11">
        <v>558</v>
      </c>
      <c r="H300" s="11">
        <v>89296573</v>
      </c>
      <c r="I300" s="11" t="s">
        <v>271</v>
      </c>
      <c r="J300" s="11" t="s">
        <v>1778</v>
      </c>
      <c r="K300" s="11" t="s">
        <v>1779</v>
      </c>
      <c r="L300" s="11" t="s">
        <v>1780</v>
      </c>
      <c r="M300" s="11" t="s">
        <v>1781</v>
      </c>
      <c r="N300" s="11">
        <v>128285</v>
      </c>
      <c r="O300" s="11">
        <v>2039</v>
      </c>
      <c r="P300" s="11">
        <v>1</v>
      </c>
      <c r="Q300" s="11" t="s">
        <v>1782</v>
      </c>
      <c r="R300" s="14" t="s">
        <v>1783</v>
      </c>
      <c r="S300" s="11">
        <v>297</v>
      </c>
      <c r="T300" s="11" t="s">
        <v>39</v>
      </c>
      <c r="U300" s="11" t="s">
        <v>40</v>
      </c>
      <c r="V300" s="11" t="s">
        <v>278</v>
      </c>
      <c r="W300" s="11">
        <v>100000000</v>
      </c>
      <c r="X300" s="11">
        <v>2000</v>
      </c>
      <c r="Y300" s="11">
        <v>452</v>
      </c>
      <c r="Z300" s="11">
        <v>7.3</v>
      </c>
      <c r="AA300" s="11">
        <v>1.66</v>
      </c>
      <c r="AB300" s="11">
        <v>0</v>
      </c>
      <c r="AC300" s="11"/>
      <c r="AD300" s="11" t="str">
        <f>IFERROR(__xludf.DUMMYFUNCTION("""COMPUTED_VALUE"""),"Aasif Mandvi")</f>
        <v>Aasif Mandvi</v>
      </c>
      <c r="AE300" s="11"/>
    </row>
    <row r="301" customHeight="1" spans="1:31">
      <c r="A301" s="12" t="s">
        <v>30</v>
      </c>
      <c r="B301" s="12" t="s">
        <v>1784</v>
      </c>
      <c r="C301" s="12">
        <v>383</v>
      </c>
      <c r="D301" s="12">
        <v>103</v>
      </c>
      <c r="E301" s="12">
        <v>165</v>
      </c>
      <c r="F301" s="12">
        <v>13000</v>
      </c>
      <c r="G301" s="12">
        <v>26000</v>
      </c>
      <c r="H301" s="12">
        <v>85017401</v>
      </c>
      <c r="I301" s="12" t="s">
        <v>51</v>
      </c>
      <c r="J301" s="12" t="s">
        <v>335</v>
      </c>
      <c r="K301" s="12" t="s">
        <v>1785</v>
      </c>
      <c r="L301" s="12" t="s">
        <v>978</v>
      </c>
      <c r="M301" s="12" t="s">
        <v>1786</v>
      </c>
      <c r="N301" s="12">
        <v>246803</v>
      </c>
      <c r="O301" s="12">
        <v>57881</v>
      </c>
      <c r="P301" s="12">
        <v>3</v>
      </c>
      <c r="Q301" s="12" t="s">
        <v>1787</v>
      </c>
      <c r="R301" s="15" t="s">
        <v>1788</v>
      </c>
      <c r="S301" s="12">
        <v>474</v>
      </c>
      <c r="T301" s="12" t="s">
        <v>39</v>
      </c>
      <c r="U301" s="12" t="s">
        <v>40</v>
      </c>
      <c r="V301" s="12" t="s">
        <v>586</v>
      </c>
      <c r="W301" s="12">
        <v>92000000</v>
      </c>
      <c r="X301" s="12">
        <v>2012</v>
      </c>
      <c r="Y301" s="12">
        <v>13000</v>
      </c>
      <c r="Z301" s="12">
        <v>6.7</v>
      </c>
      <c r="AA301" s="12">
        <v>2.35</v>
      </c>
      <c r="AB301" s="12">
        <v>108000</v>
      </c>
      <c r="AC301" s="12"/>
      <c r="AD301" s="12" t="str">
        <f>IFERROR(__xludf.DUMMYFUNCTION("""COMPUTED_VALUE"""),"Jake Weber")</f>
        <v>Jake Weber</v>
      </c>
      <c r="AE301" s="12"/>
    </row>
    <row r="302" customHeight="1" spans="1:31">
      <c r="A302" s="11" t="s">
        <v>30</v>
      </c>
      <c r="B302" s="11" t="s">
        <v>704</v>
      </c>
      <c r="C302" s="11">
        <v>193</v>
      </c>
      <c r="D302" s="11">
        <v>131</v>
      </c>
      <c r="E302" s="11">
        <v>226</v>
      </c>
      <c r="F302" s="11">
        <v>341</v>
      </c>
      <c r="G302" s="11">
        <v>12000</v>
      </c>
      <c r="H302" s="11">
        <v>173005002</v>
      </c>
      <c r="I302" s="11" t="s">
        <v>1789</v>
      </c>
      <c r="J302" s="11" t="s">
        <v>705</v>
      </c>
      <c r="K302" s="11" t="s">
        <v>1790</v>
      </c>
      <c r="L302" s="11" t="s">
        <v>1791</v>
      </c>
      <c r="M302" s="11" t="s">
        <v>1792</v>
      </c>
      <c r="N302" s="11">
        <v>255447</v>
      </c>
      <c r="O302" s="11">
        <v>13679</v>
      </c>
      <c r="P302" s="11">
        <v>0</v>
      </c>
      <c r="Q302" s="11" t="s">
        <v>1793</v>
      </c>
      <c r="R302" s="14" t="s">
        <v>1794</v>
      </c>
      <c r="S302" s="11">
        <v>692</v>
      </c>
      <c r="T302" s="11" t="s">
        <v>39</v>
      </c>
      <c r="U302" s="11" t="s">
        <v>40</v>
      </c>
      <c r="V302" s="11" t="s">
        <v>96</v>
      </c>
      <c r="W302" s="11">
        <v>100000000</v>
      </c>
      <c r="X302" s="11">
        <v>2004</v>
      </c>
      <c r="Y302" s="11">
        <v>625</v>
      </c>
      <c r="Z302" s="11">
        <v>6.9</v>
      </c>
      <c r="AA302" s="11">
        <v>2.35</v>
      </c>
      <c r="AB302" s="11">
        <v>0</v>
      </c>
      <c r="AC302" s="11"/>
      <c r="AD302" s="11" t="str">
        <f>IFERROR(__xludf.DUMMYFUNCTION("""COMPUTED_VALUE"""),"Matt Craven")</f>
        <v>Matt Craven</v>
      </c>
      <c r="AE302" s="11"/>
    </row>
    <row r="303" customHeight="1" spans="1:31">
      <c r="A303" s="12" t="s">
        <v>748</v>
      </c>
      <c r="B303" s="12" t="s">
        <v>1795</v>
      </c>
      <c r="C303" s="12">
        <v>170</v>
      </c>
      <c r="D303" s="12">
        <v>104</v>
      </c>
      <c r="E303" s="12">
        <v>14</v>
      </c>
      <c r="F303" s="12">
        <v>203</v>
      </c>
      <c r="G303" s="12">
        <v>3000</v>
      </c>
      <c r="H303" s="12">
        <v>75030163</v>
      </c>
      <c r="I303" s="12" t="s">
        <v>148</v>
      </c>
      <c r="J303" s="12" t="s">
        <v>656</v>
      </c>
      <c r="K303" s="12" t="s">
        <v>1796</v>
      </c>
      <c r="L303" s="12" t="s">
        <v>1797</v>
      </c>
      <c r="M303" s="12" t="s">
        <v>1798</v>
      </c>
      <c r="N303" s="12">
        <v>108076</v>
      </c>
      <c r="O303" s="12">
        <v>4487</v>
      </c>
      <c r="P303" s="12">
        <v>0</v>
      </c>
      <c r="Q303" s="12" t="s">
        <v>1799</v>
      </c>
      <c r="R303" s="15" t="s">
        <v>1800</v>
      </c>
      <c r="S303" s="12">
        <v>1690</v>
      </c>
      <c r="T303" s="12" t="s">
        <v>39</v>
      </c>
      <c r="U303" s="12" t="s">
        <v>40</v>
      </c>
      <c r="V303" s="12" t="s">
        <v>96</v>
      </c>
      <c r="W303" s="12">
        <v>100000000</v>
      </c>
      <c r="X303" s="12">
        <v>2006</v>
      </c>
      <c r="Y303" s="12">
        <v>762</v>
      </c>
      <c r="Z303" s="12">
        <v>5.1</v>
      </c>
      <c r="AA303" s="12">
        <v>2.35</v>
      </c>
      <c r="AB303" s="12">
        <v>0</v>
      </c>
      <c r="AC303" s="12"/>
      <c r="AD303" s="12" t="str">
        <f>IFERROR(__xludf.DUMMYFUNCTION("""COMPUTED_VALUE"""),"Elisabeth Harnois")</f>
        <v>Elisabeth Harnois</v>
      </c>
      <c r="AE303" s="12"/>
    </row>
    <row r="304" customHeight="1" spans="1:31">
      <c r="A304" s="11" t="s">
        <v>30</v>
      </c>
      <c r="B304" s="11" t="s">
        <v>1801</v>
      </c>
      <c r="C304" s="11">
        <v>333</v>
      </c>
      <c r="D304" s="11">
        <v>101</v>
      </c>
      <c r="E304" s="11">
        <v>0</v>
      </c>
      <c r="F304" s="11">
        <v>279</v>
      </c>
      <c r="G304" s="11">
        <v>925</v>
      </c>
      <c r="H304" s="11">
        <v>77222184</v>
      </c>
      <c r="I304" s="11" t="s">
        <v>548</v>
      </c>
      <c r="J304" s="11" t="s">
        <v>1802</v>
      </c>
      <c r="K304" s="11" t="s">
        <v>1803</v>
      </c>
      <c r="L304" s="11" t="s">
        <v>1804</v>
      </c>
      <c r="M304" s="11" t="s">
        <v>1805</v>
      </c>
      <c r="N304" s="11">
        <v>87677</v>
      </c>
      <c r="O304" s="11">
        <v>1738</v>
      </c>
      <c r="P304" s="11">
        <v>0</v>
      </c>
      <c r="Q304" s="11" t="s">
        <v>1806</v>
      </c>
      <c r="R304" s="14" t="s">
        <v>1807</v>
      </c>
      <c r="S304" s="11">
        <v>388</v>
      </c>
      <c r="T304" s="11" t="s">
        <v>39</v>
      </c>
      <c r="U304" s="11" t="s">
        <v>768</v>
      </c>
      <c r="V304" s="11" t="s">
        <v>96</v>
      </c>
      <c r="W304" s="11">
        <v>100000000</v>
      </c>
      <c r="X304" s="11">
        <v>2009</v>
      </c>
      <c r="Y304" s="11">
        <v>468</v>
      </c>
      <c r="Z304" s="11">
        <v>6.8</v>
      </c>
      <c r="AA304" s="11">
        <v>2.35</v>
      </c>
      <c r="AB304" s="11">
        <v>11000</v>
      </c>
      <c r="AC304" s="11"/>
      <c r="AD304" s="11" t="str">
        <f>IFERROR(__xludf.DUMMYFUNCTION("""COMPUTED_VALUE"""),"Dan Fogler")</f>
        <v>Dan Fogler</v>
      </c>
      <c r="AE304" s="11"/>
    </row>
    <row r="305" customHeight="1" spans="1:31">
      <c r="A305" s="12" t="s">
        <v>30</v>
      </c>
      <c r="B305" s="12" t="s">
        <v>941</v>
      </c>
      <c r="C305" s="12">
        <v>256</v>
      </c>
      <c r="D305" s="12">
        <v>111</v>
      </c>
      <c r="E305" s="12">
        <v>456</v>
      </c>
      <c r="F305" s="12">
        <v>394</v>
      </c>
      <c r="G305" s="12">
        <v>20000</v>
      </c>
      <c r="H305" s="12">
        <v>34964818</v>
      </c>
      <c r="I305" s="12" t="s">
        <v>200</v>
      </c>
      <c r="J305" s="12" t="s">
        <v>263</v>
      </c>
      <c r="K305" s="12" t="s">
        <v>942</v>
      </c>
      <c r="L305" s="12" t="s">
        <v>943</v>
      </c>
      <c r="M305" s="12" t="s">
        <v>944</v>
      </c>
      <c r="N305" s="12">
        <v>39956</v>
      </c>
      <c r="O305" s="12">
        <v>21393</v>
      </c>
      <c r="P305" s="12">
        <v>4</v>
      </c>
      <c r="Q305" s="12" t="s">
        <v>945</v>
      </c>
      <c r="R305" s="15" t="s">
        <v>946</v>
      </c>
      <c r="S305" s="12">
        <v>186</v>
      </c>
      <c r="T305" s="12" t="s">
        <v>39</v>
      </c>
      <c r="U305" s="12" t="s">
        <v>40</v>
      </c>
      <c r="V305" s="12" t="s">
        <v>96</v>
      </c>
      <c r="W305" s="12">
        <v>150000000</v>
      </c>
      <c r="X305" s="12">
        <v>2015</v>
      </c>
      <c r="Y305" s="12">
        <v>548</v>
      </c>
      <c r="Z305" s="12">
        <v>5.8</v>
      </c>
      <c r="AA305" s="12">
        <v>2.35</v>
      </c>
      <c r="AB305" s="12">
        <v>24000</v>
      </c>
      <c r="AC305" s="12"/>
      <c r="AD305" s="12" t="str">
        <f>IFERROR(__xludf.DUMMYFUNCTION("""COMPUTED_VALUE"""),"Tom Everett Scott")</f>
        <v>Tom Everett Scott</v>
      </c>
      <c r="AE305" s="12"/>
    </row>
    <row r="306" customHeight="1" spans="1:31">
      <c r="A306" s="11" t="s">
        <v>30</v>
      </c>
      <c r="B306" s="11" t="s">
        <v>1808</v>
      </c>
      <c r="C306" s="11">
        <v>203</v>
      </c>
      <c r="D306" s="11">
        <v>102</v>
      </c>
      <c r="E306" s="11">
        <v>77</v>
      </c>
      <c r="F306" s="11">
        <v>120</v>
      </c>
      <c r="G306" s="11">
        <v>14000</v>
      </c>
      <c r="H306" s="11">
        <v>107515297</v>
      </c>
      <c r="I306" s="11" t="s">
        <v>628</v>
      </c>
      <c r="J306" s="11" t="s">
        <v>700</v>
      </c>
      <c r="K306" s="11" t="s">
        <v>1809</v>
      </c>
      <c r="L306" s="11" t="s">
        <v>1810</v>
      </c>
      <c r="M306" s="11" t="s">
        <v>1811</v>
      </c>
      <c r="N306" s="11">
        <v>85833</v>
      </c>
      <c r="O306" s="11">
        <v>14552</v>
      </c>
      <c r="P306" s="11">
        <v>2</v>
      </c>
      <c r="Q306" s="11" t="s">
        <v>1812</v>
      </c>
      <c r="R306" s="14" t="s">
        <v>1813</v>
      </c>
      <c r="S306" s="11">
        <v>113</v>
      </c>
      <c r="T306" s="11" t="s">
        <v>39</v>
      </c>
      <c r="U306" s="11" t="s">
        <v>40</v>
      </c>
      <c r="V306" s="11" t="s">
        <v>96</v>
      </c>
      <c r="W306" s="11">
        <v>100000000</v>
      </c>
      <c r="X306" s="11">
        <v>2013</v>
      </c>
      <c r="Y306" s="11">
        <v>151</v>
      </c>
      <c r="Z306" s="11">
        <v>6.7</v>
      </c>
      <c r="AA306" s="11">
        <v>2.35</v>
      </c>
      <c r="AB306" s="11">
        <v>17000</v>
      </c>
      <c r="AC306" s="11"/>
      <c r="AD306" s="11" t="str">
        <f>IFERROR(__xludf.DUMMYFUNCTION("""COMPUTED_VALUE"""),"David Suchet")</f>
        <v>David Suchet</v>
      </c>
      <c r="AE306" s="11"/>
    </row>
    <row r="307" customHeight="1" spans="1:31">
      <c r="A307" s="12" t="s">
        <v>30</v>
      </c>
      <c r="B307" s="12" t="s">
        <v>1814</v>
      </c>
      <c r="C307" s="12">
        <v>321</v>
      </c>
      <c r="D307" s="12">
        <v>103</v>
      </c>
      <c r="E307" s="12">
        <v>207</v>
      </c>
      <c r="F307" s="12">
        <v>3000</v>
      </c>
      <c r="G307" s="12">
        <v>40000</v>
      </c>
      <c r="H307" s="12">
        <v>67631157</v>
      </c>
      <c r="I307" s="12" t="s">
        <v>1815</v>
      </c>
      <c r="J307" s="12" t="s">
        <v>44</v>
      </c>
      <c r="K307" s="12" t="s">
        <v>565</v>
      </c>
      <c r="L307" s="12" t="s">
        <v>1816</v>
      </c>
      <c r="M307" s="12" t="s">
        <v>1817</v>
      </c>
      <c r="N307" s="12">
        <v>176598</v>
      </c>
      <c r="O307" s="12">
        <v>55175</v>
      </c>
      <c r="P307" s="12">
        <v>0</v>
      </c>
      <c r="Q307" s="12" t="s">
        <v>1818</v>
      </c>
      <c r="R307" s="15" t="s">
        <v>1819</v>
      </c>
      <c r="S307" s="12">
        <v>374</v>
      </c>
      <c r="T307" s="12" t="s">
        <v>39</v>
      </c>
      <c r="U307" s="12" t="s">
        <v>40</v>
      </c>
      <c r="V307" s="12" t="s">
        <v>41</v>
      </c>
      <c r="W307" s="12">
        <v>100000000</v>
      </c>
      <c r="X307" s="12">
        <v>2010</v>
      </c>
      <c r="Y307" s="12">
        <v>11000</v>
      </c>
      <c r="Z307" s="12">
        <v>6</v>
      </c>
      <c r="AA307" s="12">
        <v>2.35</v>
      </c>
      <c r="AB307" s="12">
        <v>25000</v>
      </c>
      <c r="AC307" s="12"/>
      <c r="AD307" s="12" t="str">
        <f>IFERROR(__xludf.DUMMYFUNCTION("""COMPUTED_VALUE"""),"Cara Delevingne")</f>
        <v>Cara Delevingne</v>
      </c>
      <c r="AE307" s="12"/>
    </row>
    <row r="308" customHeight="1" spans="1:31">
      <c r="A308" s="11" t="s">
        <v>30</v>
      </c>
      <c r="B308" s="11" t="s">
        <v>1820</v>
      </c>
      <c r="C308" s="11">
        <v>174</v>
      </c>
      <c r="D308" s="11">
        <v>121</v>
      </c>
      <c r="E308" s="11">
        <v>0</v>
      </c>
      <c r="F308" s="11">
        <v>595</v>
      </c>
      <c r="G308" s="11">
        <v>1000</v>
      </c>
      <c r="H308" s="11">
        <v>66862068</v>
      </c>
      <c r="I308" s="11" t="s">
        <v>1821</v>
      </c>
      <c r="J308" s="11" t="s">
        <v>33</v>
      </c>
      <c r="K308" s="11" t="s">
        <v>1822</v>
      </c>
      <c r="L308" s="11" t="s">
        <v>1823</v>
      </c>
      <c r="M308" s="11" t="s">
        <v>1824</v>
      </c>
      <c r="N308" s="11">
        <v>89509</v>
      </c>
      <c r="O308" s="11">
        <v>3903</v>
      </c>
      <c r="P308" s="11">
        <v>0</v>
      </c>
      <c r="Q308" s="11" t="s">
        <v>1825</v>
      </c>
      <c r="R308" s="14" t="s">
        <v>1826</v>
      </c>
      <c r="S308" s="11">
        <v>524</v>
      </c>
      <c r="T308" s="11" t="s">
        <v>39</v>
      </c>
      <c r="U308" s="11" t="s">
        <v>40</v>
      </c>
      <c r="V308" s="11" t="s">
        <v>586</v>
      </c>
      <c r="W308" s="11">
        <v>83000000</v>
      </c>
      <c r="X308" s="11">
        <v>1999</v>
      </c>
      <c r="Y308" s="11">
        <v>1000</v>
      </c>
      <c r="Z308" s="11">
        <v>5.7</v>
      </c>
      <c r="AA308" s="11">
        <v>2.35</v>
      </c>
      <c r="AB308" s="11">
        <v>2000</v>
      </c>
      <c r="AC308" s="11"/>
      <c r="AD308" s="11" t="str">
        <f>IFERROR(__xludf.DUMMYFUNCTION("""COMPUTED_VALUE"""),"Nonso Anozie")</f>
        <v>Nonso Anozie</v>
      </c>
      <c r="AE308" s="11"/>
    </row>
    <row r="309" customHeight="1" spans="1:31">
      <c r="A309" s="12" t="s">
        <v>30</v>
      </c>
      <c r="B309" s="12" t="s">
        <v>1016</v>
      </c>
      <c r="C309" s="12">
        <v>166</v>
      </c>
      <c r="D309" s="12">
        <v>143</v>
      </c>
      <c r="E309" s="12">
        <v>380</v>
      </c>
      <c r="F309" s="12">
        <v>452</v>
      </c>
      <c r="G309" s="12">
        <v>29000</v>
      </c>
      <c r="H309" s="12">
        <v>57366262</v>
      </c>
      <c r="I309" s="12" t="s">
        <v>1827</v>
      </c>
      <c r="J309" s="12" t="s">
        <v>215</v>
      </c>
      <c r="K309" s="12" t="s">
        <v>656</v>
      </c>
      <c r="L309" s="12" t="s">
        <v>1828</v>
      </c>
      <c r="M309" s="12" t="s">
        <v>1829</v>
      </c>
      <c r="N309" s="12">
        <v>400292</v>
      </c>
      <c r="O309" s="12">
        <v>33160</v>
      </c>
      <c r="P309" s="12">
        <v>0</v>
      </c>
      <c r="Q309" s="12" t="s">
        <v>1830</v>
      </c>
      <c r="R309" s="15" t="s">
        <v>1831</v>
      </c>
      <c r="S309" s="12">
        <v>657</v>
      </c>
      <c r="T309" s="12" t="s">
        <v>39</v>
      </c>
      <c r="U309" s="12" t="s">
        <v>768</v>
      </c>
      <c r="V309" s="12" t="s">
        <v>586</v>
      </c>
      <c r="W309" s="12">
        <v>100000000</v>
      </c>
      <c r="X309" s="12">
        <v>2006</v>
      </c>
      <c r="Y309" s="12">
        <v>3000</v>
      </c>
      <c r="Z309" s="12">
        <v>8</v>
      </c>
      <c r="AA309" s="12">
        <v>2.35</v>
      </c>
      <c r="AB309" s="12">
        <v>14000</v>
      </c>
      <c r="AC309" s="12"/>
      <c r="AD309" s="12" t="str">
        <f>IFERROR(__xludf.DUMMYFUNCTION("""COMPUTED_VALUE"""),"Ty Burrell")</f>
        <v>Ty Burrell</v>
      </c>
      <c r="AE309" s="12"/>
    </row>
    <row r="310" customHeight="1" spans="1:31">
      <c r="A310" s="11" t="s">
        <v>30</v>
      </c>
      <c r="B310" s="11" t="s">
        <v>488</v>
      </c>
      <c r="C310" s="11">
        <v>606</v>
      </c>
      <c r="D310" s="11">
        <v>240</v>
      </c>
      <c r="E310" s="11">
        <v>17000</v>
      </c>
      <c r="F310" s="11">
        <v>4000</v>
      </c>
      <c r="G310" s="11">
        <v>29000</v>
      </c>
      <c r="H310" s="11">
        <v>116866727</v>
      </c>
      <c r="I310" s="11" t="s">
        <v>1832</v>
      </c>
      <c r="J310" s="11" t="s">
        <v>215</v>
      </c>
      <c r="K310" s="11" t="s">
        <v>661</v>
      </c>
      <c r="L310" s="11" t="s">
        <v>251</v>
      </c>
      <c r="M310" s="11" t="s">
        <v>1833</v>
      </c>
      <c r="N310" s="11">
        <v>780588</v>
      </c>
      <c r="O310" s="11">
        <v>46057</v>
      </c>
      <c r="P310" s="11">
        <v>3</v>
      </c>
      <c r="Q310" s="11" t="s">
        <v>1834</v>
      </c>
      <c r="R310" s="14" t="s">
        <v>1835</v>
      </c>
      <c r="S310" s="11">
        <v>1138</v>
      </c>
      <c r="T310" s="11" t="s">
        <v>39</v>
      </c>
      <c r="U310" s="11" t="s">
        <v>40</v>
      </c>
      <c r="V310" s="11" t="s">
        <v>586</v>
      </c>
      <c r="W310" s="11">
        <v>100000000</v>
      </c>
      <c r="X310" s="11">
        <v>2013</v>
      </c>
      <c r="Y310" s="11">
        <v>11000</v>
      </c>
      <c r="Z310" s="11">
        <v>8.2</v>
      </c>
      <c r="AA310" s="11">
        <v>2.35</v>
      </c>
      <c r="AB310" s="11">
        <v>138000</v>
      </c>
      <c r="AC310" s="11"/>
      <c r="AD310" s="11" t="str">
        <f>IFERROR(__xludf.DUMMYFUNCTION("""COMPUTED_VALUE"""),"Zach Callison")</f>
        <v>Zach Callison</v>
      </c>
      <c r="AE310" s="11"/>
    </row>
    <row r="311" customHeight="1" spans="1:31">
      <c r="A311" s="12" t="s">
        <v>30</v>
      </c>
      <c r="B311" s="12" t="s">
        <v>1325</v>
      </c>
      <c r="C311" s="12">
        <v>144</v>
      </c>
      <c r="D311" s="12">
        <v>121</v>
      </c>
      <c r="E311" s="12">
        <v>541</v>
      </c>
      <c r="F311" s="12">
        <v>680</v>
      </c>
      <c r="G311" s="12">
        <v>920</v>
      </c>
      <c r="H311" s="12">
        <v>184031112</v>
      </c>
      <c r="I311" s="12" t="s">
        <v>43</v>
      </c>
      <c r="J311" s="12" t="s">
        <v>1327</v>
      </c>
      <c r="K311" s="12" t="s">
        <v>1836</v>
      </c>
      <c r="L311" s="12" t="s">
        <v>1837</v>
      </c>
      <c r="M311" s="12" t="s">
        <v>1838</v>
      </c>
      <c r="N311" s="12">
        <v>190786</v>
      </c>
      <c r="O311" s="12">
        <v>2880</v>
      </c>
      <c r="P311" s="12">
        <v>4</v>
      </c>
      <c r="Q311" s="12" t="s">
        <v>1839</v>
      </c>
      <c r="R311" s="15" t="s">
        <v>1840</v>
      </c>
      <c r="S311" s="12">
        <v>539</v>
      </c>
      <c r="T311" s="12" t="s">
        <v>39</v>
      </c>
      <c r="U311" s="12" t="s">
        <v>40</v>
      </c>
      <c r="V311" s="12" t="s">
        <v>41</v>
      </c>
      <c r="W311" s="12">
        <v>100000000</v>
      </c>
      <c r="X311" s="12">
        <v>1995</v>
      </c>
      <c r="Y311" s="12">
        <v>710</v>
      </c>
      <c r="Z311" s="12">
        <v>5.4</v>
      </c>
      <c r="AA311" s="12">
        <v>1.85</v>
      </c>
      <c r="AB311" s="12">
        <v>0</v>
      </c>
      <c r="AC311" s="12"/>
      <c r="AD311" s="12" t="str">
        <f>IFERROR(__xludf.DUMMYFUNCTION("""COMPUTED_VALUE"""),"Karan Brar")</f>
        <v>Karan Brar</v>
      </c>
      <c r="AE311" s="12"/>
    </row>
    <row r="312" customHeight="1" spans="1:31">
      <c r="A312" s="11" t="s">
        <v>30</v>
      </c>
      <c r="B312" s="11" t="s">
        <v>1305</v>
      </c>
      <c r="C312" s="11">
        <v>192</v>
      </c>
      <c r="D312" s="11">
        <v>129</v>
      </c>
      <c r="E312" s="11">
        <v>719</v>
      </c>
      <c r="F312" s="11">
        <v>423</v>
      </c>
      <c r="G312" s="11">
        <v>660</v>
      </c>
      <c r="H312" s="11">
        <v>54700065</v>
      </c>
      <c r="I312" s="11" t="s">
        <v>1841</v>
      </c>
      <c r="J312" s="11" t="s">
        <v>1842</v>
      </c>
      <c r="K312" s="11" t="s">
        <v>1843</v>
      </c>
      <c r="L312" s="11" t="s">
        <v>1844</v>
      </c>
      <c r="M312" s="11" t="s">
        <v>1845</v>
      </c>
      <c r="N312" s="11">
        <v>221521</v>
      </c>
      <c r="O312" s="11">
        <v>2031</v>
      </c>
      <c r="P312" s="11">
        <v>0</v>
      </c>
      <c r="Q312" s="11" t="s">
        <v>1846</v>
      </c>
      <c r="R312" s="14" t="s">
        <v>1847</v>
      </c>
      <c r="S312" s="11">
        <v>1049</v>
      </c>
      <c r="T312" s="11" t="s">
        <v>39</v>
      </c>
      <c r="U312" s="11" t="s">
        <v>40</v>
      </c>
      <c r="V312" s="11" t="s">
        <v>586</v>
      </c>
      <c r="W312" s="11">
        <v>105000000</v>
      </c>
      <c r="X312" s="11">
        <v>1997</v>
      </c>
      <c r="Y312" s="11">
        <v>475</v>
      </c>
      <c r="Z312" s="11">
        <v>7.2</v>
      </c>
      <c r="AA312" s="11">
        <v>1.85</v>
      </c>
      <c r="AB312" s="11">
        <v>0</v>
      </c>
      <c r="AC312" s="11"/>
      <c r="AD312" s="11" t="str">
        <f>IFERROR(__xludf.DUMMYFUNCTION("""COMPUTED_VALUE"""),"Julian Glover")</f>
        <v>Julian Glover</v>
      </c>
      <c r="AE312" s="11"/>
    </row>
    <row r="313" customHeight="1" spans="1:31">
      <c r="A313" s="12" t="s">
        <v>30</v>
      </c>
      <c r="B313" s="12" t="s">
        <v>1848</v>
      </c>
      <c r="C313" s="12">
        <v>511</v>
      </c>
      <c r="D313" s="12">
        <v>172</v>
      </c>
      <c r="E313" s="12">
        <v>670</v>
      </c>
      <c r="F313" s="12">
        <v>1000</v>
      </c>
      <c r="G313" s="12">
        <v>15000</v>
      </c>
      <c r="H313" s="12">
        <v>27098580</v>
      </c>
      <c r="I313" s="12" t="s">
        <v>1849</v>
      </c>
      <c r="J313" s="12" t="s">
        <v>322</v>
      </c>
      <c r="K313" s="12" t="s">
        <v>1850</v>
      </c>
      <c r="L313" s="12" t="s">
        <v>393</v>
      </c>
      <c r="M313" s="12" t="s">
        <v>1851</v>
      </c>
      <c r="N313" s="12">
        <v>284825</v>
      </c>
      <c r="O313" s="12">
        <v>22686</v>
      </c>
      <c r="P313" s="12">
        <v>5</v>
      </c>
      <c r="Q313" s="12" t="s">
        <v>1852</v>
      </c>
      <c r="R313" s="15" t="s">
        <v>1853</v>
      </c>
      <c r="S313" s="12">
        <v>828</v>
      </c>
      <c r="T313" s="12" t="s">
        <v>39</v>
      </c>
      <c r="U313" s="12" t="s">
        <v>768</v>
      </c>
      <c r="V313" s="12" t="s">
        <v>586</v>
      </c>
      <c r="W313" s="12">
        <v>102000000</v>
      </c>
      <c r="X313" s="12">
        <v>2012</v>
      </c>
      <c r="Y313" s="12">
        <v>5000</v>
      </c>
      <c r="Z313" s="12">
        <v>7.5</v>
      </c>
      <c r="AA313" s="12">
        <v>2.35</v>
      </c>
      <c r="AB313" s="12">
        <v>124000</v>
      </c>
      <c r="AC313" s="12"/>
      <c r="AD313" s="12" t="str">
        <f>IFERROR(__xludf.DUMMYFUNCTION("""COMPUTED_VALUE"""),"Martin Short")</f>
        <v>Martin Short</v>
      </c>
      <c r="AE313" s="12"/>
    </row>
    <row r="314" customHeight="1" spans="1:31">
      <c r="A314" s="11" t="s">
        <v>30</v>
      </c>
      <c r="B314" s="11" t="s">
        <v>112</v>
      </c>
      <c r="C314" s="11">
        <v>188</v>
      </c>
      <c r="D314" s="11">
        <v>101</v>
      </c>
      <c r="E314" s="11">
        <v>0</v>
      </c>
      <c r="F314" s="11">
        <v>577</v>
      </c>
      <c r="G314" s="11">
        <v>2000</v>
      </c>
      <c r="H314" s="11">
        <v>55673333</v>
      </c>
      <c r="I314" s="11" t="s">
        <v>1854</v>
      </c>
      <c r="J314" s="11" t="s">
        <v>1402</v>
      </c>
      <c r="K314" s="11" t="s">
        <v>1048</v>
      </c>
      <c r="L314" s="11" t="s">
        <v>1855</v>
      </c>
      <c r="M314" s="11" t="s">
        <v>1856</v>
      </c>
      <c r="N314" s="11">
        <v>65785</v>
      </c>
      <c r="O314" s="11">
        <v>4286</v>
      </c>
      <c r="P314" s="11">
        <v>1</v>
      </c>
      <c r="Q314" s="11" t="s">
        <v>1857</v>
      </c>
      <c r="R314" s="14" t="s">
        <v>1858</v>
      </c>
      <c r="S314" s="11">
        <v>160</v>
      </c>
      <c r="T314" s="11" t="s">
        <v>39</v>
      </c>
      <c r="U314" s="11" t="s">
        <v>40</v>
      </c>
      <c r="V314" s="11" t="s">
        <v>96</v>
      </c>
      <c r="W314" s="11">
        <v>80000000</v>
      </c>
      <c r="X314" s="11">
        <v>2010</v>
      </c>
      <c r="Y314" s="11">
        <v>653</v>
      </c>
      <c r="Z314" s="11">
        <v>7</v>
      </c>
      <c r="AA314" s="11">
        <v>2.35</v>
      </c>
      <c r="AB314" s="11">
        <v>16000</v>
      </c>
      <c r="AC314" s="11"/>
      <c r="AD314" s="11" t="str">
        <f>IFERROR(__xludf.DUMMYFUNCTION("""COMPUTED_VALUE"""),"Toby Stephens")</f>
        <v>Toby Stephens</v>
      </c>
      <c r="AE314" s="11"/>
    </row>
    <row r="315" customHeight="1" spans="1:31">
      <c r="A315" s="12" t="s">
        <v>30</v>
      </c>
      <c r="B315" s="12" t="s">
        <v>1859</v>
      </c>
      <c r="C315" s="12">
        <v>212</v>
      </c>
      <c r="D315" s="12">
        <v>87</v>
      </c>
      <c r="E315" s="12">
        <v>26</v>
      </c>
      <c r="F315" s="12">
        <v>566</v>
      </c>
      <c r="G315" s="12">
        <v>827</v>
      </c>
      <c r="H315" s="12">
        <v>40198710</v>
      </c>
      <c r="I315" s="12" t="s">
        <v>1860</v>
      </c>
      <c r="J315" s="12" t="s">
        <v>1546</v>
      </c>
      <c r="K315" s="12" t="s">
        <v>1861</v>
      </c>
      <c r="L315" s="12" t="s">
        <v>1862</v>
      </c>
      <c r="M315" s="12" t="s">
        <v>1863</v>
      </c>
      <c r="N315" s="12">
        <v>87451</v>
      </c>
      <c r="O315" s="12">
        <v>3144</v>
      </c>
      <c r="P315" s="12">
        <v>0</v>
      </c>
      <c r="Q315" s="12" t="s">
        <v>1864</v>
      </c>
      <c r="R315" s="15" t="s">
        <v>1865</v>
      </c>
      <c r="S315" s="12">
        <v>660</v>
      </c>
      <c r="T315" s="12" t="s">
        <v>39</v>
      </c>
      <c r="U315" s="12" t="s">
        <v>40</v>
      </c>
      <c r="V315" s="12" t="s">
        <v>41</v>
      </c>
      <c r="W315" s="12">
        <v>100000000</v>
      </c>
      <c r="X315" s="12">
        <v>2004</v>
      </c>
      <c r="Y315" s="12">
        <v>825</v>
      </c>
      <c r="Z315" s="12">
        <v>3.3</v>
      </c>
      <c r="AA315" s="12">
        <v>2.35</v>
      </c>
      <c r="AB315" s="12">
        <v>0</v>
      </c>
      <c r="AC315" s="12"/>
      <c r="AD315" s="12" t="str">
        <f>IFERROR(__xludf.DUMMYFUNCTION("""COMPUTED_VALUE"""),"Colin Salmon")</f>
        <v>Colin Salmon</v>
      </c>
      <c r="AE315" s="12"/>
    </row>
    <row r="316" customHeight="1" spans="1:31">
      <c r="A316" s="11" t="s">
        <v>30</v>
      </c>
      <c r="B316" s="11" t="s">
        <v>261</v>
      </c>
      <c r="C316" s="11">
        <v>245</v>
      </c>
      <c r="D316" s="11">
        <v>101</v>
      </c>
      <c r="E316" s="11">
        <v>420</v>
      </c>
      <c r="F316" s="11">
        <v>467</v>
      </c>
      <c r="G316" s="11">
        <v>12000</v>
      </c>
      <c r="H316" s="11">
        <v>72660029</v>
      </c>
      <c r="I316" s="11" t="s">
        <v>127</v>
      </c>
      <c r="J316" s="11" t="s">
        <v>1073</v>
      </c>
      <c r="K316" s="11" t="s">
        <v>1816</v>
      </c>
      <c r="L316" s="11" t="s">
        <v>1866</v>
      </c>
      <c r="M316" s="11" t="s">
        <v>1867</v>
      </c>
      <c r="N316" s="11">
        <v>115687</v>
      </c>
      <c r="O316" s="11">
        <v>16235</v>
      </c>
      <c r="P316" s="11">
        <v>0</v>
      </c>
      <c r="Q316" s="11" t="s">
        <v>1868</v>
      </c>
      <c r="R316" s="14" t="s">
        <v>1869</v>
      </c>
      <c r="S316" s="11">
        <v>269</v>
      </c>
      <c r="T316" s="11" t="s">
        <v>39</v>
      </c>
      <c r="U316" s="11" t="s">
        <v>40</v>
      </c>
      <c r="V316" s="11" t="s">
        <v>41</v>
      </c>
      <c r="W316" s="11">
        <v>100000000</v>
      </c>
      <c r="X316" s="11">
        <v>2014</v>
      </c>
      <c r="Y316" s="11">
        <v>3000</v>
      </c>
      <c r="Z316" s="11">
        <v>6</v>
      </c>
      <c r="AA316" s="11">
        <v>2.35</v>
      </c>
      <c r="AB316" s="11">
        <v>21000</v>
      </c>
      <c r="AC316" s="11"/>
      <c r="AD316" s="11" t="str">
        <f>IFERROR(__xludf.DUMMYFUNCTION("""COMPUTED_VALUE"""),"Rick Yune")</f>
        <v>Rick Yune</v>
      </c>
      <c r="AE316" s="11"/>
    </row>
    <row r="317" customHeight="1" spans="1:31">
      <c r="A317" s="12" t="s">
        <v>30</v>
      </c>
      <c r="B317" s="12" t="s">
        <v>1659</v>
      </c>
      <c r="C317" s="12">
        <v>127</v>
      </c>
      <c r="D317" s="12">
        <v>95</v>
      </c>
      <c r="E317" s="12">
        <v>63</v>
      </c>
      <c r="F317" s="12">
        <v>720</v>
      </c>
      <c r="G317" s="12">
        <v>23000</v>
      </c>
      <c r="H317" s="12">
        <v>38120554</v>
      </c>
      <c r="I317" s="12" t="s">
        <v>416</v>
      </c>
      <c r="J317" s="12" t="s">
        <v>63</v>
      </c>
      <c r="K317" s="12" t="s">
        <v>959</v>
      </c>
      <c r="L317" s="12" t="s">
        <v>1870</v>
      </c>
      <c r="M317" s="12" t="s">
        <v>1871</v>
      </c>
      <c r="N317" s="12">
        <v>71527</v>
      </c>
      <c r="O317" s="12">
        <v>26940</v>
      </c>
      <c r="P317" s="12">
        <v>0</v>
      </c>
      <c r="Q317" s="12" t="s">
        <v>1872</v>
      </c>
      <c r="R317" s="15" t="s">
        <v>1873</v>
      </c>
      <c r="S317" s="12">
        <v>217</v>
      </c>
      <c r="T317" s="12" t="s">
        <v>39</v>
      </c>
      <c r="U317" s="12" t="s">
        <v>40</v>
      </c>
      <c r="V317" s="12" t="s">
        <v>96</v>
      </c>
      <c r="W317" s="12">
        <v>140000000</v>
      </c>
      <c r="X317" s="12">
        <v>2002</v>
      </c>
      <c r="Y317" s="12">
        <v>770</v>
      </c>
      <c r="Z317" s="12">
        <v>7.1</v>
      </c>
      <c r="AA317" s="12">
        <v>1.5</v>
      </c>
      <c r="AB317" s="12">
        <v>0</v>
      </c>
      <c r="AC317" s="12"/>
      <c r="AD317" s="12" t="str">
        <f>IFERROR(__xludf.DUMMYFUNCTION("""COMPUTED_VALUE"""),"Ed Begley Jr.")</f>
        <v>Ed Begley Jr.</v>
      </c>
      <c r="AE317" s="12"/>
    </row>
    <row r="318" customHeight="1" spans="1:31">
      <c r="A318" s="11" t="s">
        <v>30</v>
      </c>
      <c r="B318" s="11" t="s">
        <v>1874</v>
      </c>
      <c r="C318" s="11">
        <v>167</v>
      </c>
      <c r="D318" s="11">
        <v>102</v>
      </c>
      <c r="E318" s="11">
        <v>52</v>
      </c>
      <c r="F318" s="11">
        <v>526</v>
      </c>
      <c r="G318" s="11">
        <v>8000</v>
      </c>
      <c r="H318" s="11">
        <v>49392095</v>
      </c>
      <c r="I318" s="11" t="s">
        <v>1875</v>
      </c>
      <c r="J318" s="11" t="s">
        <v>1249</v>
      </c>
      <c r="K318" s="11" t="s">
        <v>1876</v>
      </c>
      <c r="L318" s="11" t="s">
        <v>1877</v>
      </c>
      <c r="M318" s="11" t="s">
        <v>1878</v>
      </c>
      <c r="N318" s="11">
        <v>52029</v>
      </c>
      <c r="O318" s="11">
        <v>10552</v>
      </c>
      <c r="P318" s="11">
        <v>1</v>
      </c>
      <c r="Q318" s="11" t="s">
        <v>1879</v>
      </c>
      <c r="R318" s="14" t="s">
        <v>1880</v>
      </c>
      <c r="S318" s="11">
        <v>224</v>
      </c>
      <c r="T318" s="11" t="s">
        <v>39</v>
      </c>
      <c r="U318" s="11" t="s">
        <v>40</v>
      </c>
      <c r="V318" s="11" t="s">
        <v>41</v>
      </c>
      <c r="W318" s="11">
        <v>100000000</v>
      </c>
      <c r="X318" s="11">
        <v>2009</v>
      </c>
      <c r="Y318" s="11">
        <v>735</v>
      </c>
      <c r="Z318" s="11">
        <v>5.4</v>
      </c>
      <c r="AA318" s="11">
        <v>1.85</v>
      </c>
      <c r="AB318" s="11">
        <v>0</v>
      </c>
      <c r="AC318" s="11"/>
      <c r="AD318" s="11" t="str">
        <f>IFERROR(__xludf.DUMMYFUNCTION("""COMPUTED_VALUE"""),"Kate McKinnon")</f>
        <v>Kate McKinnon</v>
      </c>
      <c r="AE318" s="11"/>
    </row>
    <row r="319" customHeight="1" spans="1:31">
      <c r="A319" s="12" t="s">
        <v>30</v>
      </c>
      <c r="B319" s="12" t="s">
        <v>1881</v>
      </c>
      <c r="C319" s="12">
        <v>320</v>
      </c>
      <c r="D319" s="12">
        <v>131</v>
      </c>
      <c r="E319" s="12">
        <v>385</v>
      </c>
      <c r="F319" s="12">
        <v>11000</v>
      </c>
      <c r="G319" s="12">
        <v>26000</v>
      </c>
      <c r="H319" s="12">
        <v>39292022</v>
      </c>
      <c r="I319" s="12" t="s">
        <v>51</v>
      </c>
      <c r="J319" s="12" t="s">
        <v>335</v>
      </c>
      <c r="K319" s="12" t="s">
        <v>1785</v>
      </c>
      <c r="L319" s="12" t="s">
        <v>391</v>
      </c>
      <c r="M319" s="12" t="s">
        <v>1882</v>
      </c>
      <c r="N319" s="12">
        <v>127258</v>
      </c>
      <c r="O319" s="12">
        <v>52610</v>
      </c>
      <c r="P319" s="12">
        <v>15</v>
      </c>
      <c r="Q319" s="12" t="s">
        <v>1883</v>
      </c>
      <c r="R319" s="15" t="s">
        <v>1884</v>
      </c>
      <c r="S319" s="12">
        <v>351</v>
      </c>
      <c r="T319" s="12" t="s">
        <v>39</v>
      </c>
      <c r="U319" s="12" t="s">
        <v>40</v>
      </c>
      <c r="V319" s="12" t="s">
        <v>41</v>
      </c>
      <c r="W319" s="12">
        <v>90000000</v>
      </c>
      <c r="X319" s="12">
        <v>2014</v>
      </c>
      <c r="Y319" s="12">
        <v>13000</v>
      </c>
      <c r="Z319" s="12">
        <v>6.1</v>
      </c>
      <c r="AA319" s="12">
        <v>2.35</v>
      </c>
      <c r="AB319" s="12">
        <v>56000</v>
      </c>
      <c r="AC319" s="12"/>
      <c r="AD319" s="12" t="str">
        <f>IFERROR(__xludf.DUMMYFUNCTION("""COMPUTED_VALUE"""),"Zach Woods")</f>
        <v>Zach Woods</v>
      </c>
      <c r="AE319" s="12"/>
    </row>
    <row r="320" customHeight="1" spans="1:31">
      <c r="A320" s="11" t="s">
        <v>30</v>
      </c>
      <c r="B320" s="11" t="s">
        <v>1885</v>
      </c>
      <c r="C320" s="11">
        <v>163</v>
      </c>
      <c r="D320" s="11">
        <v>114</v>
      </c>
      <c r="E320" s="11">
        <v>19</v>
      </c>
      <c r="F320" s="11">
        <v>848</v>
      </c>
      <c r="G320" s="11">
        <v>1000</v>
      </c>
      <c r="H320" s="11">
        <v>28772222</v>
      </c>
      <c r="I320" s="11" t="s">
        <v>1886</v>
      </c>
      <c r="J320" s="11" t="s">
        <v>392</v>
      </c>
      <c r="K320" s="11" t="s">
        <v>878</v>
      </c>
      <c r="L320" s="11" t="s">
        <v>472</v>
      </c>
      <c r="M320" s="11" t="s">
        <v>1887</v>
      </c>
      <c r="N320" s="11">
        <v>33953</v>
      </c>
      <c r="O320" s="11">
        <v>3962</v>
      </c>
      <c r="P320" s="11">
        <v>1</v>
      </c>
      <c r="Q320" s="11" t="s">
        <v>1888</v>
      </c>
      <c r="R320" s="14" t="s">
        <v>1889</v>
      </c>
      <c r="S320" s="11">
        <v>163</v>
      </c>
      <c r="T320" s="11" t="s">
        <v>39</v>
      </c>
      <c r="U320" s="11" t="s">
        <v>40</v>
      </c>
      <c r="V320" s="11" t="s">
        <v>41</v>
      </c>
      <c r="W320" s="11">
        <v>105000000</v>
      </c>
      <c r="X320" s="11">
        <v>2015</v>
      </c>
      <c r="Y320" s="11">
        <v>897</v>
      </c>
      <c r="Z320" s="11">
        <v>5.3</v>
      </c>
      <c r="AA320" s="11">
        <v>2.35</v>
      </c>
      <c r="AB320" s="11">
        <v>37000</v>
      </c>
      <c r="AC320" s="11"/>
      <c r="AD320" s="11" t="str">
        <f>IFERROR(__xludf.DUMMYFUNCTION("""COMPUTED_VALUE"""),"Bruce Willis")</f>
        <v>Bruce Willis</v>
      </c>
      <c r="AE320" s="11"/>
    </row>
    <row r="321" customHeight="1" spans="1:31">
      <c r="A321" s="12" t="s">
        <v>30</v>
      </c>
      <c r="B321" s="12" t="s">
        <v>1890</v>
      </c>
      <c r="C321" s="12">
        <v>78</v>
      </c>
      <c r="D321" s="12">
        <v>94</v>
      </c>
      <c r="E321" s="12">
        <v>6</v>
      </c>
      <c r="F321" s="12">
        <v>227</v>
      </c>
      <c r="G321" s="12">
        <v>490</v>
      </c>
      <c r="H321" s="12">
        <v>17010646</v>
      </c>
      <c r="I321" s="12" t="s">
        <v>516</v>
      </c>
      <c r="J321" s="12" t="s">
        <v>1891</v>
      </c>
      <c r="K321" s="12" t="s">
        <v>1892</v>
      </c>
      <c r="L321" s="12" t="s">
        <v>1893</v>
      </c>
      <c r="M321" s="12" t="s">
        <v>1894</v>
      </c>
      <c r="N321" s="12">
        <v>40751</v>
      </c>
      <c r="O321" s="12">
        <v>1195</v>
      </c>
      <c r="P321" s="12">
        <v>0</v>
      </c>
      <c r="Q321" s="12" t="s">
        <v>1895</v>
      </c>
      <c r="R321" s="15" t="s">
        <v>1896</v>
      </c>
      <c r="S321" s="12">
        <v>239</v>
      </c>
      <c r="T321" s="12" t="s">
        <v>39</v>
      </c>
      <c r="U321" s="12" t="s">
        <v>40</v>
      </c>
      <c r="V321" s="12" t="s">
        <v>96</v>
      </c>
      <c r="W321" s="12">
        <v>84000000</v>
      </c>
      <c r="X321" s="12">
        <v>2005</v>
      </c>
      <c r="Y321" s="12">
        <v>294</v>
      </c>
      <c r="Z321" s="12">
        <v>2.2</v>
      </c>
      <c r="AA321" s="12">
        <v>1.85</v>
      </c>
      <c r="AB321" s="12">
        <v>881</v>
      </c>
      <c r="AC321" s="12"/>
      <c r="AD321" s="12" t="str">
        <f>IFERROR(__xludf.DUMMYFUNCTION("""COMPUTED_VALUE"""),"Will Patton")</f>
        <v>Will Patton</v>
      </c>
      <c r="AE321" s="12"/>
    </row>
    <row r="322" customHeight="1" spans="1:31">
      <c r="A322" s="11" t="s">
        <v>30</v>
      </c>
      <c r="B322" s="11" t="s">
        <v>851</v>
      </c>
      <c r="C322" s="11">
        <v>289</v>
      </c>
      <c r="D322" s="11">
        <v>122</v>
      </c>
      <c r="E322" s="11">
        <v>2000</v>
      </c>
      <c r="F322" s="11">
        <v>571</v>
      </c>
      <c r="G322" s="11">
        <v>26000</v>
      </c>
      <c r="H322" s="11">
        <v>24985612</v>
      </c>
      <c r="I322" s="11" t="s">
        <v>1897</v>
      </c>
      <c r="J322" s="11" t="s">
        <v>98</v>
      </c>
      <c r="K322" s="11" t="s">
        <v>1898</v>
      </c>
      <c r="L322" s="11" t="s">
        <v>1899</v>
      </c>
      <c r="M322" s="11" t="s">
        <v>1900</v>
      </c>
      <c r="N322" s="11">
        <v>71782</v>
      </c>
      <c r="O322" s="11">
        <v>28328</v>
      </c>
      <c r="P322" s="11">
        <v>0</v>
      </c>
      <c r="Q322" s="11" t="s">
        <v>1901</v>
      </c>
      <c r="R322" s="14" t="s">
        <v>1902</v>
      </c>
      <c r="S322" s="11">
        <v>161</v>
      </c>
      <c r="T322" s="11" t="s">
        <v>39</v>
      </c>
      <c r="U322" s="11" t="s">
        <v>40</v>
      </c>
      <c r="V322" s="11" t="s">
        <v>41</v>
      </c>
      <c r="W322" s="11">
        <v>100000000</v>
      </c>
      <c r="X322" s="11">
        <v>2015</v>
      </c>
      <c r="Y322" s="11">
        <v>911</v>
      </c>
      <c r="Z322" s="11">
        <v>7</v>
      </c>
      <c r="AA322" s="11">
        <v>1.85</v>
      </c>
      <c r="AB322" s="11">
        <v>27000</v>
      </c>
      <c r="AC322" s="11"/>
      <c r="AD322" s="11" t="str">
        <f>IFERROR(__xludf.DUMMYFUNCTION("""COMPUTED_VALUE"""),"Rosario Dawson")</f>
        <v>Rosario Dawson</v>
      </c>
      <c r="AE322" s="11"/>
    </row>
    <row r="323" customHeight="1" spans="1:31">
      <c r="A323" s="12" t="s">
        <v>30</v>
      </c>
      <c r="B323" s="12" t="s">
        <v>1903</v>
      </c>
      <c r="C323" s="12">
        <v>66</v>
      </c>
      <c r="D323" s="12">
        <v>95</v>
      </c>
      <c r="E323" s="12">
        <v>31</v>
      </c>
      <c r="F323" s="12">
        <v>683</v>
      </c>
      <c r="G323" s="12">
        <v>3000</v>
      </c>
      <c r="H323" s="12">
        <v>4411102</v>
      </c>
      <c r="I323" s="12" t="s">
        <v>1904</v>
      </c>
      <c r="J323" s="12" t="s">
        <v>984</v>
      </c>
      <c r="K323" s="12" t="s">
        <v>1905</v>
      </c>
      <c r="L323" s="12" t="s">
        <v>1906</v>
      </c>
      <c r="M323" s="12" t="s">
        <v>1907</v>
      </c>
      <c r="N323" s="12">
        <v>20295</v>
      </c>
      <c r="O323" s="12">
        <v>6161</v>
      </c>
      <c r="P323" s="12">
        <v>1</v>
      </c>
      <c r="Q323" s="12" t="s">
        <v>1908</v>
      </c>
      <c r="R323" s="15" t="s">
        <v>1909</v>
      </c>
      <c r="S323" s="12">
        <v>164</v>
      </c>
      <c r="T323" s="12" t="s">
        <v>39</v>
      </c>
      <c r="U323" s="12" t="s">
        <v>40</v>
      </c>
      <c r="V323" s="12" t="s">
        <v>41</v>
      </c>
      <c r="W323" s="12">
        <v>100000000</v>
      </c>
      <c r="X323" s="12">
        <v>2002</v>
      </c>
      <c r="Y323" s="12">
        <v>695</v>
      </c>
      <c r="Z323" s="12">
        <v>3.8</v>
      </c>
      <c r="AA323" s="12">
        <v>1.85</v>
      </c>
      <c r="AB323" s="12">
        <v>416</v>
      </c>
      <c r="AC323" s="12"/>
      <c r="AD323" s="12" t="str">
        <f>IFERROR(__xludf.DUMMYFUNCTION("""COMPUTED_VALUE"""),"Sebastian Roché")</f>
        <v>Sebastian Roché</v>
      </c>
      <c r="AE323" s="12"/>
    </row>
    <row r="324" customHeight="1" spans="1:31">
      <c r="A324" s="11" t="s">
        <v>30</v>
      </c>
      <c r="B324" s="11" t="s">
        <v>1156</v>
      </c>
      <c r="C324" s="11">
        <v>266</v>
      </c>
      <c r="D324" s="11">
        <v>115</v>
      </c>
      <c r="E324" s="11">
        <v>521</v>
      </c>
      <c r="F324" s="11">
        <v>95</v>
      </c>
      <c r="G324" s="11">
        <v>13000</v>
      </c>
      <c r="H324" s="11">
        <v>35024475</v>
      </c>
      <c r="I324" s="11" t="s">
        <v>1910</v>
      </c>
      <c r="J324" s="11" t="s">
        <v>1158</v>
      </c>
      <c r="K324" s="11" t="s">
        <v>1911</v>
      </c>
      <c r="L324" s="11" t="s">
        <v>1912</v>
      </c>
      <c r="M324" s="11" t="s">
        <v>1913</v>
      </c>
      <c r="N324" s="11">
        <v>110364</v>
      </c>
      <c r="O324" s="11">
        <v>13761</v>
      </c>
      <c r="P324" s="11">
        <v>1</v>
      </c>
      <c r="Q324" s="11" t="s">
        <v>1914</v>
      </c>
      <c r="R324" s="14" t="s">
        <v>1915</v>
      </c>
      <c r="S324" s="11">
        <v>261</v>
      </c>
      <c r="T324" s="11" t="s">
        <v>39</v>
      </c>
      <c r="U324" s="11" t="s">
        <v>1466</v>
      </c>
      <c r="V324" s="11" t="s">
        <v>586</v>
      </c>
      <c r="W324" s="11">
        <v>100000000</v>
      </c>
      <c r="X324" s="11">
        <v>2010</v>
      </c>
      <c r="Y324" s="11">
        <v>537</v>
      </c>
      <c r="Z324" s="11">
        <v>6.9</v>
      </c>
      <c r="AA324" s="11">
        <v>2.35</v>
      </c>
      <c r="AB324" s="11">
        <v>0</v>
      </c>
      <c r="AC324" s="11"/>
      <c r="AD324" s="11" t="str">
        <f>IFERROR(__xludf.DUMMYFUNCTION("""COMPUTED_VALUE"""),"Wayne Knight")</f>
        <v>Wayne Knight</v>
      </c>
      <c r="AE324" s="11"/>
    </row>
    <row r="325" customHeight="1" spans="1:31">
      <c r="A325" s="12" t="s">
        <v>30</v>
      </c>
      <c r="B325" s="12" t="s">
        <v>1916</v>
      </c>
      <c r="C325" s="12">
        <v>208</v>
      </c>
      <c r="D325" s="12">
        <v>88</v>
      </c>
      <c r="E325" s="12">
        <v>20</v>
      </c>
      <c r="F325" s="12">
        <v>36</v>
      </c>
      <c r="G325" s="12">
        <v>144</v>
      </c>
      <c r="H325" s="12">
        <v>130174897</v>
      </c>
      <c r="I325" s="12" t="s">
        <v>471</v>
      </c>
      <c r="J325" s="12" t="s">
        <v>1917</v>
      </c>
      <c r="K325" s="12" t="s">
        <v>1918</v>
      </c>
      <c r="L325" s="12" t="s">
        <v>1919</v>
      </c>
      <c r="M325" s="12" t="s">
        <v>1920</v>
      </c>
      <c r="N325" s="12">
        <v>27918</v>
      </c>
      <c r="O325" s="12">
        <v>309</v>
      </c>
      <c r="P325" s="12">
        <v>0</v>
      </c>
      <c r="Q325" s="12" t="s">
        <v>1921</v>
      </c>
      <c r="R325" s="15" t="s">
        <v>1922</v>
      </c>
      <c r="S325" s="12">
        <v>155</v>
      </c>
      <c r="T325" s="12" t="s">
        <v>39</v>
      </c>
      <c r="U325" s="12" t="s">
        <v>40</v>
      </c>
      <c r="V325" s="12" t="s">
        <v>278</v>
      </c>
      <c r="W325" s="12">
        <v>99000000</v>
      </c>
      <c r="X325" s="12">
        <v>2015</v>
      </c>
      <c r="Y325" s="12">
        <v>42</v>
      </c>
      <c r="Z325" s="12">
        <v>7.2</v>
      </c>
      <c r="AA325" s="12">
        <v>1.85</v>
      </c>
      <c r="AB325" s="12">
        <v>33000</v>
      </c>
      <c r="AC325" s="12"/>
      <c r="AD325" s="12" t="str">
        <f>IFERROR(__xludf.DUMMYFUNCTION("""COMPUTED_VALUE"""),"Michael Nyqvist")</f>
        <v>Michael Nyqvist</v>
      </c>
      <c r="AE325" s="12"/>
    </row>
    <row r="326" customHeight="1" spans="1:31">
      <c r="A326" s="11" t="s">
        <v>30</v>
      </c>
      <c r="B326" s="11" t="s">
        <v>1923</v>
      </c>
      <c r="C326" s="11">
        <v>97</v>
      </c>
      <c r="D326" s="11">
        <v>110</v>
      </c>
      <c r="E326" s="11">
        <v>342</v>
      </c>
      <c r="F326" s="11">
        <v>393</v>
      </c>
      <c r="G326" s="11">
        <v>623</v>
      </c>
      <c r="H326" s="11">
        <v>10200000</v>
      </c>
      <c r="I326" s="11" t="s">
        <v>1924</v>
      </c>
      <c r="J326" s="11" t="s">
        <v>1925</v>
      </c>
      <c r="K326" s="11" t="s">
        <v>1926</v>
      </c>
      <c r="L326" s="11" t="s">
        <v>1927</v>
      </c>
      <c r="M326" s="11" t="s">
        <v>1928</v>
      </c>
      <c r="N326" s="11">
        <v>18697</v>
      </c>
      <c r="O326" s="11">
        <v>1722</v>
      </c>
      <c r="P326" s="11">
        <v>0</v>
      </c>
      <c r="Q326" s="11" t="s">
        <v>1929</v>
      </c>
      <c r="R326" s="14" t="s">
        <v>1930</v>
      </c>
      <c r="S326" s="11">
        <v>263</v>
      </c>
      <c r="T326" s="11" t="s">
        <v>39</v>
      </c>
      <c r="U326" s="11" t="s">
        <v>40</v>
      </c>
      <c r="V326" s="11" t="s">
        <v>96</v>
      </c>
      <c r="W326" s="11">
        <v>10000000</v>
      </c>
      <c r="X326" s="11">
        <v>1997</v>
      </c>
      <c r="Y326" s="11">
        <v>508</v>
      </c>
      <c r="Z326" s="11">
        <v>7.3</v>
      </c>
      <c r="AA326" s="11">
        <v>1.85</v>
      </c>
      <c r="AB326" s="11">
        <v>578</v>
      </c>
      <c r="AC326" s="11"/>
      <c r="AD326" s="11" t="str">
        <f>IFERROR(__xludf.DUMMYFUNCTION("""COMPUTED_VALUE"""),"Kamil McFadden")</f>
        <v>Kamil McFadden</v>
      </c>
      <c r="AE326" s="11"/>
    </row>
    <row r="327" customHeight="1" spans="1:31">
      <c r="A327" s="12" t="s">
        <v>30</v>
      </c>
      <c r="B327" s="12" t="s">
        <v>536</v>
      </c>
      <c r="C327" s="12">
        <v>202</v>
      </c>
      <c r="D327" s="12">
        <v>130</v>
      </c>
      <c r="E327" s="12">
        <v>208</v>
      </c>
      <c r="F327" s="12">
        <v>591</v>
      </c>
      <c r="G327" s="12">
        <v>12000</v>
      </c>
      <c r="H327" s="12">
        <v>202007640</v>
      </c>
      <c r="I327" s="12" t="s">
        <v>1931</v>
      </c>
      <c r="J327" s="12" t="s">
        <v>1073</v>
      </c>
      <c r="K327" s="12" t="s">
        <v>503</v>
      </c>
      <c r="L327" s="12" t="s">
        <v>1932</v>
      </c>
      <c r="M327" s="12" t="s">
        <v>1933</v>
      </c>
      <c r="N327" s="12">
        <v>248045</v>
      </c>
      <c r="O327" s="12">
        <v>15972</v>
      </c>
      <c r="P327" s="12">
        <v>5</v>
      </c>
      <c r="Q327" s="12" t="s">
        <v>1934</v>
      </c>
      <c r="R327" s="15" t="s">
        <v>1935</v>
      </c>
      <c r="S327" s="12">
        <v>890</v>
      </c>
      <c r="T327" s="12" t="s">
        <v>39</v>
      </c>
      <c r="U327" s="12" t="s">
        <v>40</v>
      </c>
      <c r="V327" s="12" t="s">
        <v>41</v>
      </c>
      <c r="W327" s="12">
        <v>98000000</v>
      </c>
      <c r="X327" s="12">
        <v>2001</v>
      </c>
      <c r="Y327" s="12">
        <v>3000</v>
      </c>
      <c r="Z327" s="12">
        <v>6.3</v>
      </c>
      <c r="AA327" s="12">
        <v>2.35</v>
      </c>
      <c r="AB327" s="12">
        <v>0</v>
      </c>
      <c r="AC327" s="12"/>
      <c r="AD327" s="12" t="str">
        <f>IFERROR(__xludf.DUMMYFUNCTION("""COMPUTED_VALUE"""),"Khamani Griffin")</f>
        <v>Khamani Griffin</v>
      </c>
      <c r="AE327" s="12"/>
    </row>
    <row r="328" customHeight="1" spans="1:31">
      <c r="A328" s="11" t="s">
        <v>30</v>
      </c>
      <c r="B328" s="11" t="s">
        <v>488</v>
      </c>
      <c r="C328" s="11">
        <v>233</v>
      </c>
      <c r="D328" s="11">
        <v>216</v>
      </c>
      <c r="E328" s="11">
        <v>17000</v>
      </c>
      <c r="F328" s="11">
        <v>1000</v>
      </c>
      <c r="G328" s="11">
        <v>29000</v>
      </c>
      <c r="H328" s="11">
        <v>77679638</v>
      </c>
      <c r="I328" s="11" t="s">
        <v>1936</v>
      </c>
      <c r="J328" s="11" t="s">
        <v>215</v>
      </c>
      <c r="K328" s="11" t="s">
        <v>228</v>
      </c>
      <c r="L328" s="11" t="s">
        <v>393</v>
      </c>
      <c r="M328" s="11" t="s">
        <v>1937</v>
      </c>
      <c r="N328" s="11">
        <v>314033</v>
      </c>
      <c r="O328" s="11">
        <v>47657</v>
      </c>
      <c r="P328" s="11">
        <v>3</v>
      </c>
      <c r="Q328" s="11" t="s">
        <v>1938</v>
      </c>
      <c r="R328" s="14" t="s">
        <v>1939</v>
      </c>
      <c r="S328" s="11">
        <v>1166</v>
      </c>
      <c r="T328" s="11" t="s">
        <v>39</v>
      </c>
      <c r="U328" s="11" t="s">
        <v>40</v>
      </c>
      <c r="V328" s="11" t="s">
        <v>586</v>
      </c>
      <c r="W328" s="11">
        <v>100000000</v>
      </c>
      <c r="X328" s="11">
        <v>2002</v>
      </c>
      <c r="Y328" s="11">
        <v>14000</v>
      </c>
      <c r="Z328" s="11">
        <v>7.5</v>
      </c>
      <c r="AA328" s="11">
        <v>2.35</v>
      </c>
      <c r="AB328" s="11">
        <v>0</v>
      </c>
      <c r="AC328" s="11"/>
      <c r="AD328" s="11" t="str">
        <f>IFERROR(__xludf.DUMMYFUNCTION("""COMPUTED_VALUE"""),"John Michael Higgins")</f>
        <v>John Michael Higgins</v>
      </c>
      <c r="AE328" s="11"/>
    </row>
    <row r="329" customHeight="1" spans="1:31">
      <c r="A329" s="12" t="s">
        <v>30</v>
      </c>
      <c r="B329" s="12" t="s">
        <v>1940</v>
      </c>
      <c r="C329" s="12">
        <v>136</v>
      </c>
      <c r="D329" s="12">
        <v>146</v>
      </c>
      <c r="E329" s="12">
        <v>611</v>
      </c>
      <c r="F329" s="12">
        <v>28</v>
      </c>
      <c r="G329" s="12">
        <v>23000</v>
      </c>
      <c r="H329" s="12">
        <v>9213</v>
      </c>
      <c r="I329" s="12" t="s">
        <v>1941</v>
      </c>
      <c r="J329" s="12" t="s">
        <v>62</v>
      </c>
      <c r="K329" s="12" t="s">
        <v>1942</v>
      </c>
      <c r="L329" s="12" t="s">
        <v>1943</v>
      </c>
      <c r="M329" s="12" t="s">
        <v>1944</v>
      </c>
      <c r="N329" s="12">
        <v>38690</v>
      </c>
      <c r="O329" s="12">
        <v>23240</v>
      </c>
      <c r="P329" s="12">
        <v>2</v>
      </c>
      <c r="Q329" s="12" t="s">
        <v>1945</v>
      </c>
      <c r="R329" s="15" t="s">
        <v>1946</v>
      </c>
      <c r="S329" s="12">
        <v>130</v>
      </c>
      <c r="T329" s="12" t="s">
        <v>1947</v>
      </c>
      <c r="U329" s="12" t="s">
        <v>893</v>
      </c>
      <c r="V329" s="12" t="s">
        <v>586</v>
      </c>
      <c r="W329" s="12">
        <v>94000000</v>
      </c>
      <c r="X329" s="12">
        <v>2011</v>
      </c>
      <c r="Y329" s="12">
        <v>196</v>
      </c>
      <c r="Z329" s="12">
        <v>7.6</v>
      </c>
      <c r="AA329" s="12">
        <v>2.35</v>
      </c>
      <c r="AB329" s="12">
        <v>13000</v>
      </c>
      <c r="AC329" s="12"/>
      <c r="AD329" s="12" t="str">
        <f>IFERROR(__xludf.DUMMYFUNCTION("""COMPUTED_VALUE"""),"Richard Burgi")</f>
        <v>Richard Burgi</v>
      </c>
      <c r="AE329" s="12"/>
    </row>
    <row r="330" customHeight="1" spans="1:31">
      <c r="A330" s="11" t="s">
        <v>30</v>
      </c>
      <c r="B330" s="11" t="s">
        <v>1948</v>
      </c>
      <c r="C330" s="11">
        <v>154</v>
      </c>
      <c r="D330" s="11">
        <v>85</v>
      </c>
      <c r="E330" s="11">
        <v>9</v>
      </c>
      <c r="F330" s="11">
        <v>970</v>
      </c>
      <c r="G330" s="11">
        <v>12000</v>
      </c>
      <c r="H330" s="11">
        <v>58867694</v>
      </c>
      <c r="I330" s="11" t="s">
        <v>1949</v>
      </c>
      <c r="J330" s="11" t="s">
        <v>301</v>
      </c>
      <c r="K330" s="11" t="s">
        <v>1950</v>
      </c>
      <c r="L330" s="11" t="s">
        <v>1951</v>
      </c>
      <c r="M330" s="11" t="s">
        <v>1952</v>
      </c>
      <c r="N330" s="11">
        <v>54077</v>
      </c>
      <c r="O330" s="11">
        <v>25590</v>
      </c>
      <c r="P330" s="11">
        <v>0</v>
      </c>
      <c r="Q330" s="11" t="s">
        <v>1953</v>
      </c>
      <c r="R330" s="14" t="s">
        <v>1954</v>
      </c>
      <c r="S330" s="11">
        <v>112</v>
      </c>
      <c r="T330" s="11" t="s">
        <v>39</v>
      </c>
      <c r="U330" s="11" t="s">
        <v>40</v>
      </c>
      <c r="V330" s="11" t="s">
        <v>96</v>
      </c>
      <c r="W330" s="11">
        <v>100000000</v>
      </c>
      <c r="X330" s="11">
        <v>2007</v>
      </c>
      <c r="Y330" s="11">
        <v>11000</v>
      </c>
      <c r="Z330" s="11">
        <v>6.8</v>
      </c>
      <c r="AA330" s="11">
        <v>1.85</v>
      </c>
      <c r="AB330" s="11">
        <v>0</v>
      </c>
      <c r="AC330" s="11"/>
      <c r="AD330" s="11" t="str">
        <f>IFERROR(__xludf.DUMMYFUNCTION("""COMPUTED_VALUE"""),"David Herman")</f>
        <v>David Herman</v>
      </c>
      <c r="AE330" s="11"/>
    </row>
    <row r="331" customHeight="1" spans="1:31">
      <c r="A331" s="12" t="s">
        <v>30</v>
      </c>
      <c r="B331" s="12" t="s">
        <v>1955</v>
      </c>
      <c r="C331" s="12">
        <v>169</v>
      </c>
      <c r="D331" s="12">
        <v>93</v>
      </c>
      <c r="E331" s="12">
        <v>0</v>
      </c>
      <c r="F331" s="12">
        <v>465</v>
      </c>
      <c r="G331" s="12">
        <v>11000</v>
      </c>
      <c r="H331" s="12">
        <v>59475623</v>
      </c>
      <c r="I331" s="12" t="s">
        <v>1956</v>
      </c>
      <c r="J331" s="12" t="s">
        <v>1957</v>
      </c>
      <c r="K331" s="12" t="s">
        <v>902</v>
      </c>
      <c r="L331" s="12" t="s">
        <v>1958</v>
      </c>
      <c r="M331" s="12" t="s">
        <v>1959</v>
      </c>
      <c r="N331" s="12">
        <v>49739</v>
      </c>
      <c r="O331" s="12">
        <v>13748</v>
      </c>
      <c r="P331" s="12">
        <v>1</v>
      </c>
      <c r="Q331" s="12" t="s">
        <v>1960</v>
      </c>
      <c r="R331" s="15" t="s">
        <v>1961</v>
      </c>
      <c r="S331" s="12">
        <v>407</v>
      </c>
      <c r="T331" s="12" t="s">
        <v>39</v>
      </c>
      <c r="U331" s="12" t="s">
        <v>40</v>
      </c>
      <c r="V331" s="12" t="s">
        <v>41</v>
      </c>
      <c r="W331" s="12">
        <v>90000000</v>
      </c>
      <c r="X331" s="12">
        <v>2004</v>
      </c>
      <c r="Y331" s="12">
        <v>2000</v>
      </c>
      <c r="Z331" s="12">
        <v>5.2</v>
      </c>
      <c r="AA331" s="12">
        <v>1.85</v>
      </c>
      <c r="AB331" s="12">
        <v>0</v>
      </c>
      <c r="AC331" s="12"/>
      <c r="AD331" s="12" t="str">
        <f>IFERROR(__xludf.DUMMYFUNCTION("""COMPUTED_VALUE"""),"Tony Goldwyn")</f>
        <v>Tony Goldwyn</v>
      </c>
      <c r="AE331" s="12"/>
    </row>
    <row r="332" customHeight="1" spans="1:31">
      <c r="A332" s="11" t="s">
        <v>30</v>
      </c>
      <c r="B332" s="11" t="s">
        <v>188</v>
      </c>
      <c r="C332" s="11">
        <v>200</v>
      </c>
      <c r="D332" s="11">
        <v>152</v>
      </c>
      <c r="E332" s="11">
        <v>0</v>
      </c>
      <c r="F332" s="11">
        <v>557</v>
      </c>
      <c r="G332" s="11">
        <v>2000</v>
      </c>
      <c r="H332" s="11">
        <v>108638745</v>
      </c>
      <c r="I332" s="11" t="s">
        <v>1962</v>
      </c>
      <c r="J332" s="11" t="s">
        <v>1353</v>
      </c>
      <c r="K332" s="11" t="s">
        <v>1046</v>
      </c>
      <c r="L332" s="11" t="s">
        <v>360</v>
      </c>
      <c r="M332" s="11" t="s">
        <v>1963</v>
      </c>
      <c r="N332" s="11">
        <v>292022</v>
      </c>
      <c r="O332" s="11">
        <v>4270</v>
      </c>
      <c r="P332" s="11">
        <v>0</v>
      </c>
      <c r="Q332" s="11" t="s">
        <v>1964</v>
      </c>
      <c r="R332" s="14" t="s">
        <v>1965</v>
      </c>
      <c r="S332" s="11">
        <v>1103</v>
      </c>
      <c r="T332" s="11" t="s">
        <v>39</v>
      </c>
      <c r="U332" s="11" t="s">
        <v>40</v>
      </c>
      <c r="V332" s="11" t="s">
        <v>586</v>
      </c>
      <c r="W332" s="11">
        <v>92000000</v>
      </c>
      <c r="X332" s="11">
        <v>2001</v>
      </c>
      <c r="Y332" s="11">
        <v>820</v>
      </c>
      <c r="Z332" s="11">
        <v>7.7</v>
      </c>
      <c r="AA332" s="11">
        <v>2.35</v>
      </c>
      <c r="AB332" s="11">
        <v>10000</v>
      </c>
      <c r="AC332" s="11"/>
      <c r="AD332" s="11" t="str">
        <f>IFERROR(__xludf.DUMMYFUNCTION("""COMPUTED_VALUE"""),"Chad Lindberg")</f>
        <v>Chad Lindberg</v>
      </c>
      <c r="AE332" s="11"/>
    </row>
    <row r="333" customHeight="1" spans="1:31">
      <c r="A333" s="12" t="s">
        <v>30</v>
      </c>
      <c r="B333" s="12" t="s">
        <v>1966</v>
      </c>
      <c r="C333" s="12">
        <v>255</v>
      </c>
      <c r="D333" s="12">
        <v>85</v>
      </c>
      <c r="E333" s="12">
        <v>116</v>
      </c>
      <c r="F333" s="12">
        <v>329</v>
      </c>
      <c r="G333" s="12">
        <v>8000</v>
      </c>
      <c r="H333" s="12">
        <v>86897182</v>
      </c>
      <c r="I333" s="12" t="s">
        <v>1672</v>
      </c>
      <c r="J333" s="12" t="s">
        <v>1249</v>
      </c>
      <c r="K333" s="12" t="s">
        <v>1967</v>
      </c>
      <c r="L333" s="12" t="s">
        <v>1968</v>
      </c>
      <c r="M333" s="12" t="s">
        <v>1969</v>
      </c>
      <c r="N333" s="12">
        <v>106790</v>
      </c>
      <c r="O333" s="12">
        <v>9271</v>
      </c>
      <c r="P333" s="12">
        <v>0</v>
      </c>
      <c r="Q333" s="12" t="s">
        <v>1970</v>
      </c>
      <c r="R333" s="15" t="s">
        <v>1971</v>
      </c>
      <c r="S333" s="12">
        <v>177</v>
      </c>
      <c r="T333" s="12" t="s">
        <v>39</v>
      </c>
      <c r="U333" s="12" t="s">
        <v>40</v>
      </c>
      <c r="V333" s="12" t="s">
        <v>586</v>
      </c>
      <c r="W333" s="12">
        <v>95000000</v>
      </c>
      <c r="X333" s="12">
        <v>2012</v>
      </c>
      <c r="Y333" s="12">
        <v>331</v>
      </c>
      <c r="Z333" s="12">
        <v>6.2</v>
      </c>
      <c r="AA333" s="12">
        <v>1.85</v>
      </c>
      <c r="AB333" s="12">
        <v>18000</v>
      </c>
      <c r="AC333" s="12"/>
      <c r="AD333" s="12" t="str">
        <f>IFERROR(__xludf.DUMMYFUNCTION("""COMPUTED_VALUE"""),"María Valverde")</f>
        <v>María Valverde</v>
      </c>
      <c r="AE333" s="12"/>
    </row>
    <row r="334" customHeight="1" spans="1:31">
      <c r="A334" s="11" t="s">
        <v>30</v>
      </c>
      <c r="B334" s="11" t="s">
        <v>1972</v>
      </c>
      <c r="C334" s="11">
        <v>173</v>
      </c>
      <c r="D334" s="11">
        <v>126</v>
      </c>
      <c r="E334" s="11">
        <v>0</v>
      </c>
      <c r="F334" s="11">
        <v>10000</v>
      </c>
      <c r="G334" s="11">
        <v>14000</v>
      </c>
      <c r="H334" s="11">
        <v>63540020</v>
      </c>
      <c r="I334" s="11" t="s">
        <v>73</v>
      </c>
      <c r="J334" s="11" t="s">
        <v>1973</v>
      </c>
      <c r="K334" s="11" t="s">
        <v>978</v>
      </c>
      <c r="L334" s="11" t="s">
        <v>440</v>
      </c>
      <c r="M334" s="11" t="s">
        <v>1974</v>
      </c>
      <c r="N334" s="11">
        <v>343274</v>
      </c>
      <c r="O334" s="11">
        <v>39319</v>
      </c>
      <c r="P334" s="11">
        <v>2</v>
      </c>
      <c r="Q334" s="11" t="s">
        <v>1975</v>
      </c>
      <c r="R334" s="14" t="s">
        <v>1976</v>
      </c>
      <c r="S334" s="11">
        <v>742</v>
      </c>
      <c r="T334" s="11" t="s">
        <v>39</v>
      </c>
      <c r="U334" s="11" t="s">
        <v>1466</v>
      </c>
      <c r="V334" s="11" t="s">
        <v>41</v>
      </c>
      <c r="W334" s="11">
        <v>93000000</v>
      </c>
      <c r="X334" s="11">
        <v>1997</v>
      </c>
      <c r="Y334" s="11">
        <v>13000</v>
      </c>
      <c r="Z334" s="11">
        <v>7.7</v>
      </c>
      <c r="AA334" s="11">
        <v>2.35</v>
      </c>
      <c r="AB334" s="11">
        <v>18000</v>
      </c>
      <c r="AC334" s="11"/>
      <c r="AD334" s="11" t="str">
        <f>IFERROR(__xludf.DUMMYFUNCTION("""COMPUTED_VALUE"""),"Ben Mendelsohn")</f>
        <v>Ben Mendelsohn</v>
      </c>
      <c r="AE334" s="11"/>
    </row>
    <row r="335" customHeight="1" spans="1:31">
      <c r="A335" s="12" t="s">
        <v>30</v>
      </c>
      <c r="B335" s="12" t="s">
        <v>1977</v>
      </c>
      <c r="C335" s="12">
        <v>221</v>
      </c>
      <c r="D335" s="12">
        <v>146</v>
      </c>
      <c r="E335" s="12">
        <v>127</v>
      </c>
      <c r="F335" s="12">
        <v>722</v>
      </c>
      <c r="G335" s="12">
        <v>962</v>
      </c>
      <c r="H335" s="12">
        <v>95328937</v>
      </c>
      <c r="I335" s="12" t="s">
        <v>1415</v>
      </c>
      <c r="J335" s="12" t="s">
        <v>1978</v>
      </c>
      <c r="K335" s="12" t="s">
        <v>1979</v>
      </c>
      <c r="L335" s="12" t="s">
        <v>1980</v>
      </c>
      <c r="M335" s="12" t="s">
        <v>1981</v>
      </c>
      <c r="N335" s="12">
        <v>59581</v>
      </c>
      <c r="O335" s="12">
        <v>4555</v>
      </c>
      <c r="P335" s="12">
        <v>4</v>
      </c>
      <c r="Q335" s="12" t="s">
        <v>1982</v>
      </c>
      <c r="R335" s="15" t="s">
        <v>1983</v>
      </c>
      <c r="S335" s="12">
        <v>293</v>
      </c>
      <c r="T335" s="12" t="s">
        <v>39</v>
      </c>
      <c r="U335" s="12" t="s">
        <v>40</v>
      </c>
      <c r="V335" s="12" t="s">
        <v>586</v>
      </c>
      <c r="W335" s="12">
        <v>100000000</v>
      </c>
      <c r="X335" s="12">
        <v>2010</v>
      </c>
      <c r="Y335" s="12">
        <v>740</v>
      </c>
      <c r="Z335" s="12">
        <v>4.3</v>
      </c>
      <c r="AA335" s="12">
        <v>1.85</v>
      </c>
      <c r="AB335" s="12">
        <v>0</v>
      </c>
      <c r="AC335" s="12"/>
      <c r="AD335" s="12" t="str">
        <f>IFERROR(__xludf.DUMMYFUNCTION("""COMPUTED_VALUE"""),"Leonard Nimoy")</f>
        <v>Leonard Nimoy</v>
      </c>
      <c r="AE335" s="12"/>
    </row>
    <row r="336" customHeight="1" spans="1:31">
      <c r="A336" s="11" t="s">
        <v>30</v>
      </c>
      <c r="B336" s="11" t="s">
        <v>1984</v>
      </c>
      <c r="C336" s="11">
        <v>82</v>
      </c>
      <c r="D336" s="11">
        <v>89</v>
      </c>
      <c r="E336" s="11">
        <v>10</v>
      </c>
      <c r="F336" s="11">
        <v>442</v>
      </c>
      <c r="G336" s="11">
        <v>2000</v>
      </c>
      <c r="H336" s="11">
        <v>50802661</v>
      </c>
      <c r="I336" s="11" t="s">
        <v>1985</v>
      </c>
      <c r="J336" s="11" t="s">
        <v>1986</v>
      </c>
      <c r="K336" s="11" t="s">
        <v>1987</v>
      </c>
      <c r="L336" s="11" t="s">
        <v>1988</v>
      </c>
      <c r="M336" s="11" t="s">
        <v>1989</v>
      </c>
      <c r="N336" s="11">
        <v>58300</v>
      </c>
      <c r="O336" s="11">
        <v>3372</v>
      </c>
      <c r="P336" s="11">
        <v>1</v>
      </c>
      <c r="Q336" s="11" t="s">
        <v>1990</v>
      </c>
      <c r="R336" s="14" t="s">
        <v>1991</v>
      </c>
      <c r="S336" s="11">
        <v>139</v>
      </c>
      <c r="T336" s="11" t="s">
        <v>39</v>
      </c>
      <c r="U336" s="11" t="s">
        <v>40</v>
      </c>
      <c r="V336" s="11" t="s">
        <v>96</v>
      </c>
      <c r="W336" s="11">
        <v>95000000</v>
      </c>
      <c r="X336" s="11">
        <v>2000</v>
      </c>
      <c r="Y336" s="11">
        <v>919</v>
      </c>
      <c r="Z336" s="11">
        <v>6.9</v>
      </c>
      <c r="AA336" s="11">
        <v>1.85</v>
      </c>
      <c r="AB336" s="11">
        <v>0</v>
      </c>
      <c r="AC336" s="11"/>
      <c r="AD336" s="11" t="str">
        <f>IFERROR(__xludf.DUMMYFUNCTION("""COMPUTED_VALUE"""),"Elodie Yung")</f>
        <v>Elodie Yung</v>
      </c>
      <c r="AE336" s="11"/>
    </row>
    <row r="337" customHeight="1" spans="1:31">
      <c r="A337" s="12" t="s">
        <v>30</v>
      </c>
      <c r="B337" s="12" t="s">
        <v>1916</v>
      </c>
      <c r="C337" s="12">
        <v>233</v>
      </c>
      <c r="D337" s="12">
        <v>88</v>
      </c>
      <c r="E337" s="12">
        <v>20</v>
      </c>
      <c r="F337" s="12">
        <v>916</v>
      </c>
      <c r="G337" s="12">
        <v>22000</v>
      </c>
      <c r="H337" s="12">
        <v>161317423</v>
      </c>
      <c r="I337" s="12" t="s">
        <v>471</v>
      </c>
      <c r="J337" s="12" t="s">
        <v>149</v>
      </c>
      <c r="K337" s="12" t="s">
        <v>830</v>
      </c>
      <c r="L337" s="12" t="s">
        <v>1992</v>
      </c>
      <c r="M337" s="12" t="s">
        <v>1993</v>
      </c>
      <c r="N337" s="12">
        <v>145321</v>
      </c>
      <c r="O337" s="12">
        <v>25354</v>
      </c>
      <c r="P337" s="12">
        <v>0</v>
      </c>
      <c r="Q337" s="12" t="s">
        <v>1994</v>
      </c>
      <c r="R337" s="15" t="s">
        <v>1995</v>
      </c>
      <c r="S337" s="12">
        <v>139</v>
      </c>
      <c r="T337" s="12" t="s">
        <v>39</v>
      </c>
      <c r="U337" s="12" t="s">
        <v>40</v>
      </c>
      <c r="V337" s="12" t="s">
        <v>96</v>
      </c>
      <c r="W337" s="12">
        <v>95000000</v>
      </c>
      <c r="X337" s="12">
        <v>2012</v>
      </c>
      <c r="Y337" s="12">
        <v>1000</v>
      </c>
      <c r="Z337" s="12">
        <v>6.6</v>
      </c>
      <c r="AA337" s="12">
        <v>2.35</v>
      </c>
      <c r="AB337" s="12">
        <v>14000</v>
      </c>
      <c r="AC337" s="12"/>
      <c r="AD337" s="12" t="str">
        <f>IFERROR(__xludf.DUMMYFUNCTION("""COMPUTED_VALUE"""),"Bryan Brown")</f>
        <v>Bryan Brown</v>
      </c>
      <c r="AE337" s="12"/>
    </row>
    <row r="338" customHeight="1" spans="1:31">
      <c r="A338" s="11" t="s">
        <v>30</v>
      </c>
      <c r="B338" s="11" t="s">
        <v>858</v>
      </c>
      <c r="C338" s="11">
        <v>343</v>
      </c>
      <c r="D338" s="11">
        <v>105</v>
      </c>
      <c r="E338" s="11">
        <v>0</v>
      </c>
      <c r="F338" s="11">
        <v>502</v>
      </c>
      <c r="G338" s="11">
        <v>2000</v>
      </c>
      <c r="H338" s="11">
        <v>201148159</v>
      </c>
      <c r="I338" s="11" t="s">
        <v>1996</v>
      </c>
      <c r="J338" s="11" t="s">
        <v>594</v>
      </c>
      <c r="K338" s="11" t="s">
        <v>1997</v>
      </c>
      <c r="L338" s="11" t="s">
        <v>879</v>
      </c>
      <c r="M338" s="11" t="s">
        <v>1998</v>
      </c>
      <c r="N338" s="11">
        <v>103737</v>
      </c>
      <c r="O338" s="11">
        <v>4671</v>
      </c>
      <c r="P338" s="11">
        <v>1</v>
      </c>
      <c r="Q338" s="11" t="s">
        <v>1999</v>
      </c>
      <c r="R338" s="14" t="s">
        <v>2000</v>
      </c>
      <c r="S338" s="11">
        <v>322</v>
      </c>
      <c r="T338" s="11" t="s">
        <v>39</v>
      </c>
      <c r="U338" s="11" t="s">
        <v>40</v>
      </c>
      <c r="V338" s="11" t="s">
        <v>96</v>
      </c>
      <c r="W338" s="11">
        <v>95000000</v>
      </c>
      <c r="X338" s="11">
        <v>2015</v>
      </c>
      <c r="Y338" s="11">
        <v>520</v>
      </c>
      <c r="Z338" s="11">
        <v>7</v>
      </c>
      <c r="AA338" s="11">
        <v>2.35</v>
      </c>
      <c r="AB338" s="11">
        <v>56000</v>
      </c>
      <c r="AC338" s="11"/>
      <c r="AD338" s="11" t="str">
        <f>IFERROR(__xludf.DUMMYFUNCTION("""COMPUTED_VALUE"""),"Sam Shepard")</f>
        <v>Sam Shepard</v>
      </c>
      <c r="AE338" s="11"/>
    </row>
    <row r="339" customHeight="1" spans="1:31">
      <c r="A339" s="12" t="s">
        <v>30</v>
      </c>
      <c r="B339" s="12" t="s">
        <v>172</v>
      </c>
      <c r="C339" s="12">
        <v>308</v>
      </c>
      <c r="D339" s="12">
        <v>135</v>
      </c>
      <c r="E339" s="12">
        <v>0</v>
      </c>
      <c r="F339" s="12">
        <v>310</v>
      </c>
      <c r="G339" s="12">
        <v>873</v>
      </c>
      <c r="H339" s="12">
        <v>43982842</v>
      </c>
      <c r="I339" s="12" t="s">
        <v>2001</v>
      </c>
      <c r="J339" s="12" t="s">
        <v>2002</v>
      </c>
      <c r="K339" s="12" t="s">
        <v>2003</v>
      </c>
      <c r="L339" s="12" t="s">
        <v>432</v>
      </c>
      <c r="M339" s="12" t="s">
        <v>2004</v>
      </c>
      <c r="N339" s="12">
        <v>125109</v>
      </c>
      <c r="O339" s="12">
        <v>2370</v>
      </c>
      <c r="P339" s="12">
        <v>1</v>
      </c>
      <c r="Q339" s="12" t="s">
        <v>2005</v>
      </c>
      <c r="R339" s="15" t="s">
        <v>2006</v>
      </c>
      <c r="S339" s="12">
        <v>593</v>
      </c>
      <c r="T339" s="12" t="s">
        <v>39</v>
      </c>
      <c r="U339" s="12" t="s">
        <v>40</v>
      </c>
      <c r="V339" s="12" t="s">
        <v>41</v>
      </c>
      <c r="W339" s="12">
        <v>65000000</v>
      </c>
      <c r="X339" s="12">
        <v>2009</v>
      </c>
      <c r="Y339" s="12">
        <v>560</v>
      </c>
      <c r="Z339" s="12">
        <v>6.7</v>
      </c>
      <c r="AA339" s="12">
        <v>2.35</v>
      </c>
      <c r="AB339" s="12">
        <v>16000</v>
      </c>
      <c r="AC339" s="12"/>
      <c r="AD339" s="12" t="str">
        <f>IFERROR(__xludf.DUMMYFUNCTION("""COMPUTED_VALUE"""),"Joe Morton")</f>
        <v>Joe Morton</v>
      </c>
      <c r="AE339" s="12"/>
    </row>
    <row r="340" customHeight="1" spans="1:31">
      <c r="A340" s="11" t="s">
        <v>30</v>
      </c>
      <c r="B340" s="11" t="s">
        <v>72</v>
      </c>
      <c r="C340" s="11">
        <v>301</v>
      </c>
      <c r="D340" s="11">
        <v>100</v>
      </c>
      <c r="E340" s="11">
        <v>475</v>
      </c>
      <c r="F340" s="11">
        <v>799</v>
      </c>
      <c r="G340" s="11">
        <v>1000</v>
      </c>
      <c r="H340" s="11">
        <v>380838870</v>
      </c>
      <c r="I340" s="11" t="s">
        <v>471</v>
      </c>
      <c r="J340" s="11" t="s">
        <v>2007</v>
      </c>
      <c r="K340" s="11" t="s">
        <v>1147</v>
      </c>
      <c r="L340" s="11" t="s">
        <v>90</v>
      </c>
      <c r="M340" s="11" t="s">
        <v>2008</v>
      </c>
      <c r="N340" s="11">
        <v>692482</v>
      </c>
      <c r="O340" s="11">
        <v>5641</v>
      </c>
      <c r="P340" s="11">
        <v>0</v>
      </c>
      <c r="Q340" s="11" t="s">
        <v>2009</v>
      </c>
      <c r="R340" s="14" t="s">
        <v>2010</v>
      </c>
      <c r="S340" s="11">
        <v>866</v>
      </c>
      <c r="T340" s="11" t="s">
        <v>39</v>
      </c>
      <c r="U340" s="11" t="s">
        <v>40</v>
      </c>
      <c r="V340" s="11" t="s">
        <v>278</v>
      </c>
      <c r="W340" s="11">
        <v>94000000</v>
      </c>
      <c r="X340" s="11">
        <v>2003</v>
      </c>
      <c r="Y340" s="11">
        <v>939</v>
      </c>
      <c r="Z340" s="11">
        <v>8.2</v>
      </c>
      <c r="AA340" s="11">
        <v>1.85</v>
      </c>
      <c r="AB340" s="11">
        <v>11000</v>
      </c>
      <c r="AC340" s="11"/>
      <c r="AD340" s="11" t="str">
        <f>IFERROR(__xludf.DUMMYFUNCTION("""COMPUTED_VALUE"""),"Richard Roxburgh")</f>
        <v>Richard Roxburgh</v>
      </c>
      <c r="AE340" s="11"/>
    </row>
    <row r="341" customHeight="1" spans="1:31">
      <c r="A341" s="12" t="s">
        <v>30</v>
      </c>
      <c r="B341" s="12" t="s">
        <v>172</v>
      </c>
      <c r="C341" s="12">
        <v>328</v>
      </c>
      <c r="D341" s="12">
        <v>192</v>
      </c>
      <c r="E341" s="12">
        <v>0</v>
      </c>
      <c r="F341" s="12">
        <v>416</v>
      </c>
      <c r="G341" s="12">
        <v>5000</v>
      </c>
      <c r="H341" s="12">
        <v>377019252</v>
      </c>
      <c r="I341" s="12" t="s">
        <v>558</v>
      </c>
      <c r="J341" s="12" t="s">
        <v>45</v>
      </c>
      <c r="K341" s="12" t="s">
        <v>1624</v>
      </c>
      <c r="L341" s="12" t="s">
        <v>2011</v>
      </c>
      <c r="M341" s="12" t="s">
        <v>2012</v>
      </c>
      <c r="N341" s="12">
        <v>1215718</v>
      </c>
      <c r="O341" s="12">
        <v>6434</v>
      </c>
      <c r="P341" s="12">
        <v>2</v>
      </c>
      <c r="Q341" s="12" t="s">
        <v>2013</v>
      </c>
      <c r="R341" s="15" t="s">
        <v>2014</v>
      </c>
      <c r="S341" s="12">
        <v>3189</v>
      </c>
      <c r="T341" s="12" t="s">
        <v>39</v>
      </c>
      <c r="U341" s="12" t="s">
        <v>40</v>
      </c>
      <c r="V341" s="12" t="s">
        <v>41</v>
      </c>
      <c r="W341" s="12">
        <v>94000000</v>
      </c>
      <c r="X341" s="12">
        <v>2003</v>
      </c>
      <c r="Y341" s="12">
        <v>857</v>
      </c>
      <c r="Z341" s="12">
        <v>8.9</v>
      </c>
      <c r="AA341" s="12">
        <v>2.35</v>
      </c>
      <c r="AB341" s="12">
        <v>16000</v>
      </c>
      <c r="AC341" s="12"/>
      <c r="AD341" s="12" t="str">
        <f>IFERROR(__xludf.DUMMYFUNCTION("""COMPUTED_VALUE"""),"Matt Frewer")</f>
        <v>Matt Frewer</v>
      </c>
      <c r="AE341" s="12"/>
    </row>
    <row r="342" customHeight="1" spans="1:31">
      <c r="A342" s="11" t="s">
        <v>30</v>
      </c>
      <c r="B342" s="11" t="s">
        <v>172</v>
      </c>
      <c r="C342" s="11">
        <v>294</v>
      </c>
      <c r="D342" s="11">
        <v>172</v>
      </c>
      <c r="E342" s="11">
        <v>0</v>
      </c>
      <c r="F342" s="11">
        <v>857</v>
      </c>
      <c r="G342" s="11">
        <v>16000</v>
      </c>
      <c r="H342" s="11">
        <v>340478898</v>
      </c>
      <c r="I342" s="11" t="s">
        <v>558</v>
      </c>
      <c r="J342" s="11" t="s">
        <v>201</v>
      </c>
      <c r="K342" s="11" t="s">
        <v>45</v>
      </c>
      <c r="L342" s="11" t="s">
        <v>1624</v>
      </c>
      <c r="M342" s="11" t="s">
        <v>2015</v>
      </c>
      <c r="N342" s="11">
        <v>1100446</v>
      </c>
      <c r="O342" s="11">
        <v>23052</v>
      </c>
      <c r="P342" s="11">
        <v>1</v>
      </c>
      <c r="Q342" s="11" t="s">
        <v>2016</v>
      </c>
      <c r="R342" s="14" t="s">
        <v>2017</v>
      </c>
      <c r="S342" s="11">
        <v>2417</v>
      </c>
      <c r="T342" s="11" t="s">
        <v>39</v>
      </c>
      <c r="U342" s="11" t="s">
        <v>40</v>
      </c>
      <c r="V342" s="11" t="s">
        <v>41</v>
      </c>
      <c r="W342" s="11">
        <v>94000000</v>
      </c>
      <c r="X342" s="11">
        <v>2002</v>
      </c>
      <c r="Y342" s="11">
        <v>5000</v>
      </c>
      <c r="Z342" s="11">
        <v>8.7</v>
      </c>
      <c r="AA342" s="11">
        <v>2.35</v>
      </c>
      <c r="AB342" s="11">
        <v>10000</v>
      </c>
      <c r="AC342" s="11"/>
      <c r="AD342" s="11" t="str">
        <f>IFERROR(__xludf.DUMMYFUNCTION("""COMPUTED_VALUE"""),"Billy Crudup")</f>
        <v>Billy Crudup</v>
      </c>
      <c r="AE342" s="11"/>
    </row>
    <row r="343" customHeight="1" spans="1:31">
      <c r="A343" s="12" t="s">
        <v>30</v>
      </c>
      <c r="B343" s="12" t="s">
        <v>2018</v>
      </c>
      <c r="C343" s="12">
        <v>175</v>
      </c>
      <c r="D343" s="12">
        <v>102</v>
      </c>
      <c r="E343" s="12">
        <v>44</v>
      </c>
      <c r="F343" s="12">
        <v>766</v>
      </c>
      <c r="G343" s="12">
        <v>12000</v>
      </c>
      <c r="H343" s="12">
        <v>17176900</v>
      </c>
      <c r="I343" s="12" t="s">
        <v>43</v>
      </c>
      <c r="J343" s="12" t="s">
        <v>301</v>
      </c>
      <c r="K343" s="12" t="s">
        <v>656</v>
      </c>
      <c r="L343" s="12" t="s">
        <v>2019</v>
      </c>
      <c r="M343" s="12" t="s">
        <v>2020</v>
      </c>
      <c r="N343" s="12">
        <v>54501</v>
      </c>
      <c r="O343" s="12">
        <v>17098</v>
      </c>
      <c r="P343" s="12">
        <v>4</v>
      </c>
      <c r="Q343" s="12" t="s">
        <v>2021</v>
      </c>
      <c r="R343" s="15" t="s">
        <v>2022</v>
      </c>
      <c r="S343" s="12">
        <v>154</v>
      </c>
      <c r="T343" s="12" t="s">
        <v>39</v>
      </c>
      <c r="U343" s="12" t="s">
        <v>40</v>
      </c>
      <c r="V343" s="12" t="s">
        <v>41</v>
      </c>
      <c r="W343" s="12">
        <v>95000000</v>
      </c>
      <c r="X343" s="12">
        <v>2014</v>
      </c>
      <c r="Y343" s="12">
        <v>3000</v>
      </c>
      <c r="Z343" s="12">
        <v>5.5</v>
      </c>
      <c r="AA343" s="12">
        <v>2.35</v>
      </c>
      <c r="AB343" s="12">
        <v>16000</v>
      </c>
      <c r="AC343" s="12"/>
      <c r="AD343" s="12" t="str">
        <f>IFERROR(__xludf.DUMMYFUNCTION("""COMPUTED_VALUE"""),"Stephen McHattie")</f>
        <v>Stephen McHattie</v>
      </c>
      <c r="AE343" s="12"/>
    </row>
    <row r="344" customHeight="1" spans="1:31">
      <c r="A344" s="11" t="s">
        <v>30</v>
      </c>
      <c r="B344" s="11" t="s">
        <v>1784</v>
      </c>
      <c r="C344" s="11">
        <v>199</v>
      </c>
      <c r="D344" s="11">
        <v>100</v>
      </c>
      <c r="E344" s="11">
        <v>165</v>
      </c>
      <c r="F344" s="11">
        <v>240</v>
      </c>
      <c r="G344" s="11">
        <v>11000</v>
      </c>
      <c r="H344" s="11">
        <v>131144183</v>
      </c>
      <c r="I344" s="11" t="s">
        <v>1931</v>
      </c>
      <c r="J344" s="11" t="s">
        <v>565</v>
      </c>
      <c r="K344" s="11" t="s">
        <v>525</v>
      </c>
      <c r="L344" s="11" t="s">
        <v>2023</v>
      </c>
      <c r="M344" s="11" t="s">
        <v>2024</v>
      </c>
      <c r="N344" s="11">
        <v>157016</v>
      </c>
      <c r="O344" s="11">
        <v>12150</v>
      </c>
      <c r="P344" s="11">
        <v>1</v>
      </c>
      <c r="Q344" s="11" t="s">
        <v>2025</v>
      </c>
      <c r="R344" s="14" t="s">
        <v>2026</v>
      </c>
      <c r="S344" s="11">
        <v>824</v>
      </c>
      <c r="T344" s="11" t="s">
        <v>39</v>
      </c>
      <c r="U344" s="11" t="s">
        <v>40</v>
      </c>
      <c r="V344" s="11" t="s">
        <v>41</v>
      </c>
      <c r="W344" s="11">
        <v>115000000</v>
      </c>
      <c r="X344" s="11">
        <v>2001</v>
      </c>
      <c r="Y344" s="11">
        <v>509</v>
      </c>
      <c r="Z344" s="11">
        <v>5.7</v>
      </c>
      <c r="AA344" s="11">
        <v>2.35</v>
      </c>
      <c r="AB344" s="11">
        <v>0</v>
      </c>
      <c r="AC344" s="11"/>
      <c r="AD344" s="11" t="str">
        <f>IFERROR(__xludf.DUMMYFUNCTION("""COMPUTED_VALUE"""),"Rene Russo")</f>
        <v>Rene Russo</v>
      </c>
      <c r="AE344" s="11"/>
    </row>
    <row r="345" customHeight="1" spans="1:31">
      <c r="A345" s="12" t="s">
        <v>30</v>
      </c>
      <c r="B345" s="12" t="s">
        <v>2027</v>
      </c>
      <c r="C345" s="12">
        <v>355</v>
      </c>
      <c r="D345" s="12">
        <v>119</v>
      </c>
      <c r="E345" s="12">
        <v>0</v>
      </c>
      <c r="F345" s="12">
        <v>968</v>
      </c>
      <c r="G345" s="12">
        <v>40000</v>
      </c>
      <c r="H345" s="12">
        <v>23014504</v>
      </c>
      <c r="I345" s="12" t="s">
        <v>2028</v>
      </c>
      <c r="J345" s="12" t="s">
        <v>44</v>
      </c>
      <c r="K345" s="12" t="s">
        <v>466</v>
      </c>
      <c r="L345" s="12" t="s">
        <v>381</v>
      </c>
      <c r="M345" s="12" t="s">
        <v>2029</v>
      </c>
      <c r="N345" s="12">
        <v>172707</v>
      </c>
      <c r="O345" s="12">
        <v>54031</v>
      </c>
      <c r="P345" s="12">
        <v>1</v>
      </c>
      <c r="Q345" s="12" t="s">
        <v>2030</v>
      </c>
      <c r="R345" s="15" t="s">
        <v>2031</v>
      </c>
      <c r="S345" s="12">
        <v>462</v>
      </c>
      <c r="T345" s="12" t="s">
        <v>39</v>
      </c>
      <c r="U345" s="12" t="s">
        <v>58</v>
      </c>
      <c r="V345" s="12" t="s">
        <v>41</v>
      </c>
      <c r="W345" s="12">
        <v>100000000</v>
      </c>
      <c r="X345" s="12">
        <v>2014</v>
      </c>
      <c r="Y345" s="12">
        <v>11000</v>
      </c>
      <c r="Z345" s="12">
        <v>6.3</v>
      </c>
      <c r="AA345" s="12">
        <v>2.35</v>
      </c>
      <c r="AB345" s="12">
        <v>37000</v>
      </c>
      <c r="AC345" s="12"/>
      <c r="AD345" s="12" t="str">
        <f>IFERROR(__xludf.DUMMYFUNCTION("""COMPUTED_VALUE"""),"Darlene Love")</f>
        <v>Darlene Love</v>
      </c>
      <c r="AE345" s="12"/>
    </row>
    <row r="346" customHeight="1" spans="1:31">
      <c r="A346" s="11" t="s">
        <v>30</v>
      </c>
      <c r="B346" s="11" t="s">
        <v>894</v>
      </c>
      <c r="C346" s="11">
        <v>198</v>
      </c>
      <c r="D346" s="11">
        <v>92</v>
      </c>
      <c r="E346" s="11">
        <v>394</v>
      </c>
      <c r="F346" s="11">
        <v>527</v>
      </c>
      <c r="G346" s="11">
        <v>693</v>
      </c>
      <c r="H346" s="11">
        <v>181166115</v>
      </c>
      <c r="I346" s="11" t="s">
        <v>227</v>
      </c>
      <c r="J346" s="11" t="s">
        <v>2032</v>
      </c>
      <c r="K346" s="11" t="s">
        <v>2033</v>
      </c>
      <c r="L346" s="11" t="s">
        <v>2034</v>
      </c>
      <c r="M346" s="11" t="s">
        <v>2035</v>
      </c>
      <c r="N346" s="11">
        <v>219501</v>
      </c>
      <c r="O346" s="11">
        <v>2574</v>
      </c>
      <c r="P346" s="11">
        <v>0</v>
      </c>
      <c r="Q346" s="11" t="s">
        <v>2036</v>
      </c>
      <c r="R346" s="14" t="s">
        <v>2037</v>
      </c>
      <c r="S346" s="11">
        <v>1236</v>
      </c>
      <c r="T346" s="11" t="s">
        <v>39</v>
      </c>
      <c r="U346" s="11" t="s">
        <v>40</v>
      </c>
      <c r="V346" s="11" t="s">
        <v>41</v>
      </c>
      <c r="W346" s="11">
        <v>93000000</v>
      </c>
      <c r="X346" s="11">
        <v>2001</v>
      </c>
      <c r="Y346" s="11">
        <v>595</v>
      </c>
      <c r="Z346" s="11">
        <v>5.9</v>
      </c>
      <c r="AA346" s="11">
        <v>1.85</v>
      </c>
      <c r="AB346" s="11">
        <v>0</v>
      </c>
      <c r="AC346" s="11"/>
      <c r="AD346" s="11" t="str">
        <f>IFERROR(__xludf.DUMMYFUNCTION("""COMPUTED_VALUE"""),"Kevin Rankin")</f>
        <v>Kevin Rankin</v>
      </c>
      <c r="AE346" s="11"/>
    </row>
    <row r="347" customHeight="1" spans="1:31">
      <c r="A347" s="12" t="s">
        <v>30</v>
      </c>
      <c r="B347" s="12" t="s">
        <v>2038</v>
      </c>
      <c r="C347" s="12">
        <v>529</v>
      </c>
      <c r="D347" s="12">
        <v>105</v>
      </c>
      <c r="E347" s="12">
        <v>81</v>
      </c>
      <c r="F347" s="12">
        <v>779</v>
      </c>
      <c r="G347" s="12">
        <v>11000</v>
      </c>
      <c r="H347" s="12">
        <v>176740650</v>
      </c>
      <c r="I347" s="12" t="s">
        <v>1391</v>
      </c>
      <c r="J347" s="12" t="s">
        <v>83</v>
      </c>
      <c r="K347" s="12" t="s">
        <v>2039</v>
      </c>
      <c r="L347" s="12" t="s">
        <v>273</v>
      </c>
      <c r="M347" s="12" t="s">
        <v>2040</v>
      </c>
      <c r="N347" s="12">
        <v>403836</v>
      </c>
      <c r="O347" s="12">
        <v>13118</v>
      </c>
      <c r="P347" s="12">
        <v>0</v>
      </c>
      <c r="Q347" s="12" t="s">
        <v>2041</v>
      </c>
      <c r="R347" s="15" t="s">
        <v>2042</v>
      </c>
      <c r="S347" s="12">
        <v>646</v>
      </c>
      <c r="T347" s="12" t="s">
        <v>39</v>
      </c>
      <c r="U347" s="12" t="s">
        <v>40</v>
      </c>
      <c r="V347" s="12" t="s">
        <v>41</v>
      </c>
      <c r="W347" s="12">
        <v>93000000</v>
      </c>
      <c r="X347" s="12">
        <v>2011</v>
      </c>
      <c r="Y347" s="12">
        <v>1000</v>
      </c>
      <c r="Z347" s="12">
        <v>7.6</v>
      </c>
      <c r="AA347" s="12">
        <v>2.35</v>
      </c>
      <c r="AB347" s="12">
        <v>47000</v>
      </c>
      <c r="AC347" s="12"/>
      <c r="AD347" s="12" t="str">
        <f>IFERROR(__xludf.DUMMYFUNCTION("""COMPUTED_VALUE"""),"Regi Davis")</f>
        <v>Regi Davis</v>
      </c>
      <c r="AE347" s="12"/>
    </row>
    <row r="348" customHeight="1" spans="1:31">
      <c r="A348" s="11" t="s">
        <v>30</v>
      </c>
      <c r="B348" s="11" t="s">
        <v>2043</v>
      </c>
      <c r="C348" s="11">
        <v>198</v>
      </c>
      <c r="D348" s="11">
        <v>107</v>
      </c>
      <c r="E348" s="11">
        <v>70</v>
      </c>
      <c r="F348" s="11">
        <v>330</v>
      </c>
      <c r="G348" s="11">
        <v>770</v>
      </c>
      <c r="H348" s="11">
        <v>71148699</v>
      </c>
      <c r="I348" s="11" t="s">
        <v>200</v>
      </c>
      <c r="J348" s="11" t="s">
        <v>959</v>
      </c>
      <c r="K348" s="11" t="s">
        <v>2044</v>
      </c>
      <c r="L348" s="11" t="s">
        <v>2045</v>
      </c>
      <c r="M348" s="11" t="s">
        <v>2046</v>
      </c>
      <c r="N348" s="11">
        <v>68935</v>
      </c>
      <c r="O348" s="11">
        <v>1614</v>
      </c>
      <c r="P348" s="11">
        <v>0</v>
      </c>
      <c r="Q348" s="11" t="s">
        <v>2047</v>
      </c>
      <c r="R348" s="14" t="s">
        <v>2048</v>
      </c>
      <c r="S348" s="11">
        <v>125</v>
      </c>
      <c r="T348" s="11" t="s">
        <v>39</v>
      </c>
      <c r="U348" s="11" t="s">
        <v>40</v>
      </c>
      <c r="V348" s="11" t="s">
        <v>96</v>
      </c>
      <c r="W348" s="11">
        <v>90000000</v>
      </c>
      <c r="X348" s="11">
        <v>2008</v>
      </c>
      <c r="Y348" s="11">
        <v>419</v>
      </c>
      <c r="Z348" s="11">
        <v>6.6</v>
      </c>
      <c r="AA348" s="11">
        <v>2.35</v>
      </c>
      <c r="AB348" s="11">
        <v>0</v>
      </c>
      <c r="AC348" s="11"/>
      <c r="AD348" s="11" t="str">
        <f>IFERROR(__xludf.DUMMYFUNCTION("""COMPUTED_VALUE"""),"Celia Weston")</f>
        <v>Celia Weston</v>
      </c>
      <c r="AE348" s="11"/>
    </row>
    <row r="349" customHeight="1" spans="1:31">
      <c r="A349" s="12" t="s">
        <v>30</v>
      </c>
      <c r="B349" s="12" t="s">
        <v>2049</v>
      </c>
      <c r="C349" s="12">
        <v>412</v>
      </c>
      <c r="D349" s="12">
        <v>101</v>
      </c>
      <c r="E349" s="12">
        <v>212</v>
      </c>
      <c r="F349" s="12">
        <v>476</v>
      </c>
      <c r="G349" s="12">
        <v>13000</v>
      </c>
      <c r="H349" s="12">
        <v>67344392</v>
      </c>
      <c r="I349" s="12" t="s">
        <v>60</v>
      </c>
      <c r="J349" s="12" t="s">
        <v>978</v>
      </c>
      <c r="K349" s="12" t="s">
        <v>2050</v>
      </c>
      <c r="L349" s="12" t="s">
        <v>2051</v>
      </c>
      <c r="M349" s="12" t="s">
        <v>2052</v>
      </c>
      <c r="N349" s="12">
        <v>165618</v>
      </c>
      <c r="O349" s="12">
        <v>15481</v>
      </c>
      <c r="P349" s="12">
        <v>2</v>
      </c>
      <c r="Q349" s="12" t="s">
        <v>2053</v>
      </c>
      <c r="R349" s="15" t="s">
        <v>2054</v>
      </c>
      <c r="S349" s="12">
        <v>503</v>
      </c>
      <c r="T349" s="12" t="s">
        <v>39</v>
      </c>
      <c r="U349" s="12" t="s">
        <v>40</v>
      </c>
      <c r="V349" s="12" t="s">
        <v>586</v>
      </c>
      <c r="W349" s="12">
        <v>92000000</v>
      </c>
      <c r="X349" s="12">
        <v>2013</v>
      </c>
      <c r="Y349" s="12">
        <v>787</v>
      </c>
      <c r="Z349" s="12">
        <v>5.3</v>
      </c>
      <c r="AA349" s="12">
        <v>1.85</v>
      </c>
      <c r="AB349" s="12">
        <v>66000</v>
      </c>
      <c r="AC349" s="12"/>
      <c r="AD349" s="12" t="str">
        <f>IFERROR(__xludf.DUMMYFUNCTION("""COMPUTED_VALUE"""),"Dwayne Johnson")</f>
        <v>Dwayne Johnson</v>
      </c>
      <c r="AE349" s="12"/>
    </row>
    <row r="350" customHeight="1" spans="1:31">
      <c r="A350" s="11" t="s">
        <v>30</v>
      </c>
      <c r="B350" s="11" t="s">
        <v>2055</v>
      </c>
      <c r="C350" s="11">
        <v>106</v>
      </c>
      <c r="D350" s="11">
        <v>137</v>
      </c>
      <c r="E350" s="11">
        <v>102</v>
      </c>
      <c r="F350" s="11">
        <v>877</v>
      </c>
      <c r="G350" s="11">
        <v>2000</v>
      </c>
      <c r="H350" s="11">
        <v>22406362</v>
      </c>
      <c r="I350" s="11" t="s">
        <v>2056</v>
      </c>
      <c r="J350" s="11" t="s">
        <v>537</v>
      </c>
      <c r="K350" s="11" t="s">
        <v>1424</v>
      </c>
      <c r="L350" s="11" t="s">
        <v>1190</v>
      </c>
      <c r="M350" s="11" t="s">
        <v>2057</v>
      </c>
      <c r="N350" s="11">
        <v>16832</v>
      </c>
      <c r="O350" s="11">
        <v>5780</v>
      </c>
      <c r="P350" s="11">
        <v>0</v>
      </c>
      <c r="Q350" s="11" t="s">
        <v>2058</v>
      </c>
      <c r="R350" s="14" t="s">
        <v>2059</v>
      </c>
      <c r="S350" s="11">
        <v>267</v>
      </c>
      <c r="T350" s="11" t="s">
        <v>39</v>
      </c>
      <c r="U350" s="11" t="s">
        <v>40</v>
      </c>
      <c r="V350" s="11" t="s">
        <v>41</v>
      </c>
      <c r="W350" s="11">
        <v>107000000</v>
      </c>
      <c r="X350" s="11">
        <v>2004</v>
      </c>
      <c r="Y350" s="11">
        <v>973</v>
      </c>
      <c r="Z350" s="11">
        <v>6</v>
      </c>
      <c r="AA350" s="11">
        <v>2.35</v>
      </c>
      <c r="AB350" s="11">
        <v>701</v>
      </c>
      <c r="AC350" s="11"/>
      <c r="AD350" s="11" t="str">
        <f>IFERROR(__xludf.DUMMYFUNCTION("""COMPUTED_VALUE"""),"Ming-Na Wen")</f>
        <v>Ming-Na Wen</v>
      </c>
      <c r="AE350" s="11"/>
    </row>
    <row r="351" customHeight="1" spans="1:31">
      <c r="A351" s="12" t="s">
        <v>30</v>
      </c>
      <c r="B351" s="12" t="s">
        <v>605</v>
      </c>
      <c r="C351" s="12">
        <v>283</v>
      </c>
      <c r="D351" s="12">
        <v>115</v>
      </c>
      <c r="E351" s="12">
        <v>663</v>
      </c>
      <c r="F351" s="12">
        <v>55</v>
      </c>
      <c r="G351" s="12">
        <v>1000</v>
      </c>
      <c r="H351" s="12">
        <v>261437578</v>
      </c>
      <c r="I351" s="12" t="s">
        <v>2060</v>
      </c>
      <c r="J351" s="12" t="s">
        <v>2061</v>
      </c>
      <c r="K351" s="12" t="s">
        <v>2062</v>
      </c>
      <c r="L351" s="12" t="s">
        <v>2063</v>
      </c>
      <c r="M351" s="12" t="s">
        <v>2064</v>
      </c>
      <c r="N351" s="12">
        <v>479166</v>
      </c>
      <c r="O351" s="12">
        <v>1901</v>
      </c>
      <c r="P351" s="12">
        <v>0</v>
      </c>
      <c r="Q351" s="12" t="s">
        <v>2065</v>
      </c>
      <c r="R351" s="15" t="s">
        <v>2066</v>
      </c>
      <c r="S351" s="12">
        <v>815</v>
      </c>
      <c r="T351" s="12" t="s">
        <v>39</v>
      </c>
      <c r="U351" s="12" t="s">
        <v>40</v>
      </c>
      <c r="V351" s="12" t="s">
        <v>96</v>
      </c>
      <c r="W351" s="12">
        <v>92000000</v>
      </c>
      <c r="X351" s="12">
        <v>2004</v>
      </c>
      <c r="Y351" s="12">
        <v>723</v>
      </c>
      <c r="Z351" s="12">
        <v>8</v>
      </c>
      <c r="AA351" s="12">
        <v>2.35</v>
      </c>
      <c r="AB351" s="12">
        <v>0</v>
      </c>
      <c r="AC351" s="12"/>
      <c r="AD351" s="12" t="str">
        <f>IFERROR(__xludf.DUMMYFUNCTION("""COMPUTED_VALUE"""),"Jean Simmons")</f>
        <v>Jean Simmons</v>
      </c>
      <c r="AE351" s="12"/>
    </row>
    <row r="352" customHeight="1" spans="1:31">
      <c r="A352" s="11" t="s">
        <v>30</v>
      </c>
      <c r="B352" s="11" t="s">
        <v>2067</v>
      </c>
      <c r="C352" s="11">
        <v>61</v>
      </c>
      <c r="D352" s="11">
        <v>124</v>
      </c>
      <c r="E352" s="11">
        <v>212</v>
      </c>
      <c r="F352" s="11">
        <v>810</v>
      </c>
      <c r="G352" s="11">
        <v>1000</v>
      </c>
      <c r="H352" s="11">
        <v>11000000</v>
      </c>
      <c r="I352" s="11" t="s">
        <v>1629</v>
      </c>
      <c r="J352" s="11" t="s">
        <v>2068</v>
      </c>
      <c r="K352" s="11" t="s">
        <v>122</v>
      </c>
      <c r="L352" s="11" t="s">
        <v>2069</v>
      </c>
      <c r="M352" s="11" t="s">
        <v>2070</v>
      </c>
      <c r="N352" s="11">
        <v>21102</v>
      </c>
      <c r="O352" s="11">
        <v>3611</v>
      </c>
      <c r="P352" s="11">
        <v>3</v>
      </c>
      <c r="Q352" s="11" t="s">
        <v>2071</v>
      </c>
      <c r="R352" s="14" t="s">
        <v>2072</v>
      </c>
      <c r="S352" s="11">
        <v>169</v>
      </c>
      <c r="T352" s="11" t="s">
        <v>39</v>
      </c>
      <c r="U352" s="11" t="s">
        <v>40</v>
      </c>
      <c r="V352" s="11" t="s">
        <v>41</v>
      </c>
      <c r="W352" s="11">
        <v>98000000</v>
      </c>
      <c r="X352" s="11">
        <v>1995</v>
      </c>
      <c r="Y352" s="11">
        <v>903</v>
      </c>
      <c r="Z352" s="11">
        <v>5.6</v>
      </c>
      <c r="AA352" s="11">
        <v>2.35</v>
      </c>
      <c r="AB352" s="11">
        <v>1000</v>
      </c>
      <c r="AC352" s="11"/>
      <c r="AD352" s="11" t="str">
        <f>IFERROR(__xludf.DUMMYFUNCTION("""COMPUTED_VALUE"""),"Maria Grazia Cucinotta")</f>
        <v>Maria Grazia Cucinotta</v>
      </c>
      <c r="AE352" s="11"/>
    </row>
    <row r="353" customHeight="1" spans="1:31">
      <c r="A353" s="12" t="s">
        <v>30</v>
      </c>
      <c r="B353" s="12" t="s">
        <v>1253</v>
      </c>
      <c r="C353" s="12">
        <v>217</v>
      </c>
      <c r="D353" s="12">
        <v>118</v>
      </c>
      <c r="E353" s="12">
        <v>0</v>
      </c>
      <c r="F353" s="12">
        <v>1000</v>
      </c>
      <c r="G353" s="12">
        <v>8000</v>
      </c>
      <c r="H353" s="12">
        <v>88761720</v>
      </c>
      <c r="I353" s="12" t="s">
        <v>200</v>
      </c>
      <c r="J353" s="12" t="s">
        <v>1207</v>
      </c>
      <c r="K353" s="12" t="s">
        <v>984</v>
      </c>
      <c r="L353" s="12" t="s">
        <v>813</v>
      </c>
      <c r="M353" s="12" t="s">
        <v>2073</v>
      </c>
      <c r="N353" s="12">
        <v>141179</v>
      </c>
      <c r="O353" s="12">
        <v>14024</v>
      </c>
      <c r="P353" s="12">
        <v>0</v>
      </c>
      <c r="Q353" s="12" t="s">
        <v>2074</v>
      </c>
      <c r="R353" s="15" t="s">
        <v>2075</v>
      </c>
      <c r="S353" s="12">
        <v>419</v>
      </c>
      <c r="T353" s="12" t="s">
        <v>39</v>
      </c>
      <c r="U353" s="12" t="s">
        <v>58</v>
      </c>
      <c r="V353" s="12" t="s">
        <v>96</v>
      </c>
      <c r="W353" s="12">
        <v>95000000</v>
      </c>
      <c r="X353" s="12">
        <v>2010</v>
      </c>
      <c r="Y353" s="12">
        <v>3000</v>
      </c>
      <c r="Z353" s="12">
        <v>5.9</v>
      </c>
      <c r="AA353" s="12">
        <v>2.35</v>
      </c>
      <c r="AB353" s="12">
        <v>9000</v>
      </c>
      <c r="AC353" s="12"/>
      <c r="AD353" s="12" t="str">
        <f>IFERROR(__xludf.DUMMYFUNCTION("""COMPUTED_VALUE"""),"Desmond Llewelyn")</f>
        <v>Desmond Llewelyn</v>
      </c>
      <c r="AE353" s="12"/>
    </row>
    <row r="354" customHeight="1" spans="1:31">
      <c r="A354" s="11" t="s">
        <v>30</v>
      </c>
      <c r="B354" s="11" t="s">
        <v>164</v>
      </c>
      <c r="C354" s="11">
        <v>175</v>
      </c>
      <c r="D354" s="11">
        <v>98</v>
      </c>
      <c r="E354" s="11">
        <v>188</v>
      </c>
      <c r="F354" s="11">
        <v>602</v>
      </c>
      <c r="G354" s="11">
        <v>10000</v>
      </c>
      <c r="H354" s="11">
        <v>250147615</v>
      </c>
      <c r="I354" s="11" t="s">
        <v>2076</v>
      </c>
      <c r="J354" s="11" t="s">
        <v>166</v>
      </c>
      <c r="K354" s="11" t="s">
        <v>904</v>
      </c>
      <c r="L354" s="11" t="s">
        <v>2077</v>
      </c>
      <c r="M354" s="11" t="s">
        <v>2078</v>
      </c>
      <c r="N354" s="11">
        <v>403014</v>
      </c>
      <c r="O354" s="11">
        <v>12998</v>
      </c>
      <c r="P354" s="11">
        <v>0</v>
      </c>
      <c r="Q354" s="11" t="s">
        <v>2079</v>
      </c>
      <c r="R354" s="14" t="s">
        <v>2080</v>
      </c>
      <c r="S354" s="11">
        <v>289</v>
      </c>
      <c r="T354" s="11" t="s">
        <v>39</v>
      </c>
      <c r="U354" s="11" t="s">
        <v>40</v>
      </c>
      <c r="V354" s="11" t="s">
        <v>41</v>
      </c>
      <c r="W354" s="11">
        <v>90000000</v>
      </c>
      <c r="X354" s="11">
        <v>1997</v>
      </c>
      <c r="Y354" s="11">
        <v>826</v>
      </c>
      <c r="Z354" s="11">
        <v>7.3</v>
      </c>
      <c r="AA354" s="11">
        <v>1.85</v>
      </c>
      <c r="AB354" s="11">
        <v>0</v>
      </c>
      <c r="AC354" s="11"/>
      <c r="AD354" s="11" t="str">
        <f>IFERROR(__xludf.DUMMYFUNCTION("""COMPUTED_VALUE"""),"James D'Arcy")</f>
        <v>James D'Arcy</v>
      </c>
      <c r="AE354" s="11"/>
    </row>
    <row r="355" customHeight="1" spans="1:31">
      <c r="A355" s="12" t="s">
        <v>30</v>
      </c>
      <c r="B355" s="12" t="s">
        <v>307</v>
      </c>
      <c r="C355" s="12">
        <v>191</v>
      </c>
      <c r="D355" s="12">
        <v>82</v>
      </c>
      <c r="E355" s="12">
        <v>487</v>
      </c>
      <c r="F355" s="12">
        <v>967</v>
      </c>
      <c r="G355" s="12">
        <v>15000</v>
      </c>
      <c r="H355" s="12">
        <v>245823397</v>
      </c>
      <c r="I355" s="12" t="s">
        <v>271</v>
      </c>
      <c r="J355" s="12" t="s">
        <v>322</v>
      </c>
      <c r="K355" s="12" t="s">
        <v>323</v>
      </c>
      <c r="L355" s="12" t="s">
        <v>994</v>
      </c>
      <c r="M355" s="12" t="s">
        <v>2081</v>
      </c>
      <c r="N355" s="12">
        <v>385871</v>
      </c>
      <c r="O355" s="12">
        <v>21275</v>
      </c>
      <c r="P355" s="12">
        <v>2</v>
      </c>
      <c r="Q355" s="12" t="s">
        <v>2082</v>
      </c>
      <c r="R355" s="15" t="s">
        <v>2083</v>
      </c>
      <c r="S355" s="12">
        <v>515</v>
      </c>
      <c r="T355" s="12" t="s">
        <v>39</v>
      </c>
      <c r="U355" s="12" t="s">
        <v>40</v>
      </c>
      <c r="V355" s="12" t="s">
        <v>278</v>
      </c>
      <c r="W355" s="12">
        <v>90000000</v>
      </c>
      <c r="X355" s="12">
        <v>1999</v>
      </c>
      <c r="Y355" s="12">
        <v>1000</v>
      </c>
      <c r="Z355" s="12">
        <v>7.9</v>
      </c>
      <c r="AA355" s="12">
        <v>1.85</v>
      </c>
      <c r="AB355" s="12">
        <v>0</v>
      </c>
      <c r="AC355" s="12"/>
      <c r="AD355" s="12" t="str">
        <f>IFERROR(__xludf.DUMMYFUNCTION("""COMPUTED_VALUE"""),"Lee Ingleby")</f>
        <v>Lee Ingleby</v>
      </c>
      <c r="AE355" s="12"/>
    </row>
    <row r="356" customHeight="1" spans="1:31">
      <c r="A356" s="11" t="s">
        <v>30</v>
      </c>
      <c r="B356" s="11" t="s">
        <v>1740</v>
      </c>
      <c r="C356" s="11">
        <v>316</v>
      </c>
      <c r="D356" s="11">
        <v>98</v>
      </c>
      <c r="E356" s="11">
        <v>12000</v>
      </c>
      <c r="F356" s="11">
        <v>1000</v>
      </c>
      <c r="G356" s="11">
        <v>18000</v>
      </c>
      <c r="H356" s="11">
        <v>81557479</v>
      </c>
      <c r="I356" s="11" t="s">
        <v>60</v>
      </c>
      <c r="J356" s="11" t="s">
        <v>1727</v>
      </c>
      <c r="K356" s="11" t="s">
        <v>984</v>
      </c>
      <c r="L356" s="11" t="s">
        <v>2084</v>
      </c>
      <c r="M356" s="11" t="s">
        <v>2085</v>
      </c>
      <c r="N356" s="11">
        <v>149947</v>
      </c>
      <c r="O356" s="11">
        <v>25780</v>
      </c>
      <c r="P356" s="11">
        <v>1</v>
      </c>
      <c r="Q356" s="11" t="s">
        <v>2086</v>
      </c>
      <c r="R356" s="14" t="s">
        <v>2087</v>
      </c>
      <c r="S356" s="11">
        <v>326</v>
      </c>
      <c r="T356" s="11" t="s">
        <v>39</v>
      </c>
      <c r="U356" s="11" t="s">
        <v>40</v>
      </c>
      <c r="V356" s="11" t="s">
        <v>41</v>
      </c>
      <c r="W356" s="11">
        <v>100000000</v>
      </c>
      <c r="X356" s="11">
        <v>2010</v>
      </c>
      <c r="Y356" s="11">
        <v>3000</v>
      </c>
      <c r="Z356" s="11">
        <v>6.8</v>
      </c>
      <c r="AA356" s="11">
        <v>2.35</v>
      </c>
      <c r="AB356" s="11">
        <v>18000</v>
      </c>
      <c r="AC356" s="11"/>
      <c r="AD356" s="11" t="str">
        <f>IFERROR(__xludf.DUMMYFUNCTION("""COMPUTED_VALUE"""),"David Threlfall")</f>
        <v>David Threlfall</v>
      </c>
      <c r="AE356" s="11"/>
    </row>
    <row r="357" customHeight="1" spans="1:31">
      <c r="A357" s="12" t="s">
        <v>30</v>
      </c>
      <c r="B357" s="12" t="s">
        <v>261</v>
      </c>
      <c r="C357" s="12">
        <v>127</v>
      </c>
      <c r="D357" s="12">
        <v>90</v>
      </c>
      <c r="E357" s="12">
        <v>420</v>
      </c>
      <c r="F357" s="12">
        <v>141</v>
      </c>
      <c r="G357" s="12">
        <v>191</v>
      </c>
      <c r="H357" s="12">
        <v>226138454</v>
      </c>
      <c r="I357" s="12" t="s">
        <v>422</v>
      </c>
      <c r="J357" s="12" t="s">
        <v>2088</v>
      </c>
      <c r="K357" s="12" t="s">
        <v>2089</v>
      </c>
      <c r="L357" s="12" t="s">
        <v>2090</v>
      </c>
      <c r="M357" s="12" t="s">
        <v>2091</v>
      </c>
      <c r="N357" s="12">
        <v>160440</v>
      </c>
      <c r="O357" s="12">
        <v>664</v>
      </c>
      <c r="P357" s="12">
        <v>2</v>
      </c>
      <c r="Q357" s="12" t="s">
        <v>2092</v>
      </c>
      <c r="R357" s="15" t="s">
        <v>2093</v>
      </c>
      <c r="S357" s="12">
        <v>394</v>
      </c>
      <c r="T357" s="12" t="s">
        <v>39</v>
      </c>
      <c r="U357" s="12" t="s">
        <v>40</v>
      </c>
      <c r="V357" s="12" t="s">
        <v>41</v>
      </c>
      <c r="W357" s="12">
        <v>90000000</v>
      </c>
      <c r="X357" s="12">
        <v>2001</v>
      </c>
      <c r="Y357" s="12">
        <v>165</v>
      </c>
      <c r="Z357" s="12">
        <v>6.6</v>
      </c>
      <c r="AA357" s="12">
        <v>2.35</v>
      </c>
      <c r="AB357" s="12">
        <v>0</v>
      </c>
      <c r="AC357" s="12"/>
      <c r="AD357" s="12" t="str">
        <f>IFERROR(__xludf.DUMMYFUNCTION("""COMPUTED_VALUE"""),"Taylor Lautner")</f>
        <v>Taylor Lautner</v>
      </c>
      <c r="AE357" s="12"/>
    </row>
    <row r="358" customHeight="1" spans="1:31">
      <c r="A358" s="11" t="s">
        <v>30</v>
      </c>
      <c r="B358" s="11" t="s">
        <v>436</v>
      </c>
      <c r="C358" s="11">
        <v>185</v>
      </c>
      <c r="D358" s="11">
        <v>130</v>
      </c>
      <c r="E358" s="11">
        <v>0</v>
      </c>
      <c r="F358" s="11">
        <v>568</v>
      </c>
      <c r="G358" s="11">
        <v>11000</v>
      </c>
      <c r="H358" s="11">
        <v>155370362</v>
      </c>
      <c r="I358" s="11" t="s">
        <v>2094</v>
      </c>
      <c r="J358" s="11" t="s">
        <v>391</v>
      </c>
      <c r="K358" s="11" t="s">
        <v>2095</v>
      </c>
      <c r="L358" s="11" t="s">
        <v>2096</v>
      </c>
      <c r="M358" s="11" t="s">
        <v>2097</v>
      </c>
      <c r="N358" s="11">
        <v>98403</v>
      </c>
      <c r="O358" s="11">
        <v>12890</v>
      </c>
      <c r="P358" s="11">
        <v>0</v>
      </c>
      <c r="Q358" s="11" t="s">
        <v>2098</v>
      </c>
      <c r="R358" s="14" t="s">
        <v>2099</v>
      </c>
      <c r="S358" s="11">
        <v>683</v>
      </c>
      <c r="T358" s="11" t="s">
        <v>39</v>
      </c>
      <c r="U358" s="11" t="s">
        <v>40</v>
      </c>
      <c r="V358" s="11" t="s">
        <v>41</v>
      </c>
      <c r="W358" s="11">
        <v>100000000</v>
      </c>
      <c r="X358" s="11">
        <v>2000</v>
      </c>
      <c r="Y358" s="11">
        <v>627</v>
      </c>
      <c r="Z358" s="11">
        <v>6.6</v>
      </c>
      <c r="AA358" s="11">
        <v>2.35</v>
      </c>
      <c r="AB358" s="11">
        <v>0</v>
      </c>
      <c r="AC358" s="11"/>
      <c r="AD358" s="11" t="str">
        <f>IFERROR(__xludf.DUMMYFUNCTION("""COMPUTED_VALUE"""),"Peter Mensah")</f>
        <v>Peter Mensah</v>
      </c>
      <c r="AE358" s="11"/>
    </row>
    <row r="359" customHeight="1" spans="1:31">
      <c r="A359" s="12" t="s">
        <v>30</v>
      </c>
      <c r="B359" s="12" t="s">
        <v>2100</v>
      </c>
      <c r="C359" s="12">
        <v>191</v>
      </c>
      <c r="D359" s="12">
        <v>90</v>
      </c>
      <c r="E359" s="12">
        <v>97</v>
      </c>
      <c r="F359" s="12">
        <v>56</v>
      </c>
      <c r="G359" s="12">
        <v>622</v>
      </c>
      <c r="H359" s="12">
        <v>124870275</v>
      </c>
      <c r="I359" s="12" t="s">
        <v>2101</v>
      </c>
      <c r="J359" s="12" t="s">
        <v>2102</v>
      </c>
      <c r="K359" s="12" t="s">
        <v>1877</v>
      </c>
      <c r="L359" s="12" t="s">
        <v>2103</v>
      </c>
      <c r="M359" s="12" t="s">
        <v>2104</v>
      </c>
      <c r="N359" s="12">
        <v>152601</v>
      </c>
      <c r="O359" s="12">
        <v>1227</v>
      </c>
      <c r="P359" s="12">
        <v>1</v>
      </c>
      <c r="Q359" s="12" t="s">
        <v>2105</v>
      </c>
      <c r="R359" s="15" t="s">
        <v>2106</v>
      </c>
      <c r="S359" s="12">
        <v>156</v>
      </c>
      <c r="T359" s="12" t="s">
        <v>39</v>
      </c>
      <c r="U359" s="12" t="s">
        <v>40</v>
      </c>
      <c r="V359" s="12" t="s">
        <v>96</v>
      </c>
      <c r="W359" s="12">
        <v>100000000</v>
      </c>
      <c r="X359" s="12">
        <v>2009</v>
      </c>
      <c r="Y359" s="12">
        <v>526</v>
      </c>
      <c r="Z359" s="12">
        <v>7</v>
      </c>
      <c r="AA359" s="12">
        <v>2.35</v>
      </c>
      <c r="AB359" s="12">
        <v>0</v>
      </c>
      <c r="AC359" s="12"/>
      <c r="AD359" s="12" t="str">
        <f>IFERROR(__xludf.DUMMYFUNCTION("""COMPUTED_VALUE"""),"Don Johnson")</f>
        <v>Don Johnson</v>
      </c>
      <c r="AE359" s="12"/>
    </row>
    <row r="360" customHeight="1" spans="1:31">
      <c r="A360" s="11" t="s">
        <v>30</v>
      </c>
      <c r="B360" s="11" t="s">
        <v>1279</v>
      </c>
      <c r="C360" s="11">
        <v>188</v>
      </c>
      <c r="D360" s="11">
        <v>94</v>
      </c>
      <c r="E360" s="11">
        <v>107</v>
      </c>
      <c r="F360" s="11">
        <v>117</v>
      </c>
      <c r="G360" s="11">
        <v>835</v>
      </c>
      <c r="H360" s="11">
        <v>196573705</v>
      </c>
      <c r="I360" s="11" t="s">
        <v>803</v>
      </c>
      <c r="J360" s="11" t="s">
        <v>2107</v>
      </c>
      <c r="K360" s="11" t="s">
        <v>2108</v>
      </c>
      <c r="L360" s="11" t="s">
        <v>2109</v>
      </c>
      <c r="M360" s="11" t="s">
        <v>2110</v>
      </c>
      <c r="N360" s="11">
        <v>166791</v>
      </c>
      <c r="O360" s="11">
        <v>1258</v>
      </c>
      <c r="P360" s="11">
        <v>0</v>
      </c>
      <c r="Q360" s="11" t="s">
        <v>2111</v>
      </c>
      <c r="R360" s="14" t="s">
        <v>2112</v>
      </c>
      <c r="S360" s="11">
        <v>132</v>
      </c>
      <c r="T360" s="11" t="s">
        <v>39</v>
      </c>
      <c r="U360" s="11" t="s">
        <v>40</v>
      </c>
      <c r="V360" s="11" t="s">
        <v>96</v>
      </c>
      <c r="W360" s="11">
        <v>90000000</v>
      </c>
      <c r="X360" s="11">
        <v>2009</v>
      </c>
      <c r="Y360" s="11">
        <v>256</v>
      </c>
      <c r="Z360" s="11">
        <v>7</v>
      </c>
      <c r="AA360" s="11">
        <v>1.85</v>
      </c>
      <c r="AB360" s="11">
        <v>0</v>
      </c>
      <c r="AC360" s="11"/>
      <c r="AD360" s="11" t="str">
        <f>IFERROR(__xludf.DUMMYFUNCTION("""COMPUTED_VALUE"""),"Philip Michael Thomas")</f>
        <v>Philip Michael Thomas</v>
      </c>
      <c r="AE360" s="11"/>
    </row>
    <row r="361" customHeight="1" spans="1:31">
      <c r="A361" s="12" t="s">
        <v>30</v>
      </c>
      <c r="B361" s="12" t="s">
        <v>2113</v>
      </c>
      <c r="C361" s="12">
        <v>362</v>
      </c>
      <c r="D361" s="12">
        <v>114</v>
      </c>
      <c r="E361" s="12">
        <v>0</v>
      </c>
      <c r="F361" s="12">
        <v>423</v>
      </c>
      <c r="G361" s="12">
        <v>3000</v>
      </c>
      <c r="H361" s="12">
        <v>58229120</v>
      </c>
      <c r="I361" s="12" t="s">
        <v>2114</v>
      </c>
      <c r="J361" s="12" t="s">
        <v>1545</v>
      </c>
      <c r="K361" s="12" t="s">
        <v>2115</v>
      </c>
      <c r="L361" s="12" t="s">
        <v>2116</v>
      </c>
      <c r="M361" s="12" t="s">
        <v>2117</v>
      </c>
      <c r="N361" s="12">
        <v>236421</v>
      </c>
      <c r="O361" s="12">
        <v>5095</v>
      </c>
      <c r="P361" s="12">
        <v>1</v>
      </c>
      <c r="Q361" s="12" t="s">
        <v>2118</v>
      </c>
      <c r="R361" s="15" t="s">
        <v>2119</v>
      </c>
      <c r="S361" s="12">
        <v>515</v>
      </c>
      <c r="T361" s="12" t="s">
        <v>39</v>
      </c>
      <c r="U361" s="12" t="s">
        <v>40</v>
      </c>
      <c r="V361" s="12" t="s">
        <v>96</v>
      </c>
      <c r="W361" s="12">
        <v>90000000</v>
      </c>
      <c r="X361" s="12">
        <v>2013</v>
      </c>
      <c r="Y361" s="12">
        <v>806</v>
      </c>
      <c r="Z361" s="12">
        <v>7.3</v>
      </c>
      <c r="AA361" s="12">
        <v>2.35</v>
      </c>
      <c r="AB361" s="12">
        <v>70000</v>
      </c>
      <c r="AC361" s="12"/>
      <c r="AD361" s="12" t="str">
        <f>IFERROR(__xludf.DUMMYFUNCTION("""COMPUTED_VALUE"""),"John Diehl")</f>
        <v>John Diehl</v>
      </c>
      <c r="AE361" s="12"/>
    </row>
    <row r="362" customHeight="1" spans="1:31">
      <c r="A362" s="11" t="s">
        <v>30</v>
      </c>
      <c r="B362" s="11" t="s">
        <v>328</v>
      </c>
      <c r="C362" s="11">
        <v>181</v>
      </c>
      <c r="D362" s="11">
        <v>94</v>
      </c>
      <c r="E362" s="11">
        <v>368</v>
      </c>
      <c r="F362" s="11">
        <v>466</v>
      </c>
      <c r="G362" s="11">
        <v>13000</v>
      </c>
      <c r="H362" s="11">
        <v>125305545</v>
      </c>
      <c r="I362" s="11" t="s">
        <v>2120</v>
      </c>
      <c r="J362" s="11" t="s">
        <v>549</v>
      </c>
      <c r="K362" s="11" t="s">
        <v>2121</v>
      </c>
      <c r="L362" s="11" t="s">
        <v>2122</v>
      </c>
      <c r="M362" s="11" t="s">
        <v>2123</v>
      </c>
      <c r="N362" s="11">
        <v>145350</v>
      </c>
      <c r="O362" s="11">
        <v>15419</v>
      </c>
      <c r="P362" s="11">
        <v>0</v>
      </c>
      <c r="Q362" s="11" t="s">
        <v>2124</v>
      </c>
      <c r="R362" s="14" t="s">
        <v>2125</v>
      </c>
      <c r="S362" s="11">
        <v>643</v>
      </c>
      <c r="T362" s="11" t="s">
        <v>39</v>
      </c>
      <c r="U362" s="11" t="s">
        <v>40</v>
      </c>
      <c r="V362" s="11" t="s">
        <v>41</v>
      </c>
      <c r="W362" s="11">
        <v>92000000</v>
      </c>
      <c r="X362" s="11">
        <v>2000</v>
      </c>
      <c r="Y362" s="11">
        <v>1000</v>
      </c>
      <c r="Z362" s="11">
        <v>5.5</v>
      </c>
      <c r="AA362" s="11">
        <v>2.35</v>
      </c>
      <c r="AB362" s="11">
        <v>0</v>
      </c>
      <c r="AC362" s="11"/>
      <c r="AD362" s="11" t="str">
        <f>IFERROR(__xludf.DUMMYFUNCTION("""COMPUTED_VALUE"""),"Mark Rylance")</f>
        <v>Mark Rylance</v>
      </c>
      <c r="AE362" s="11"/>
    </row>
    <row r="363" customHeight="1" spans="1:31">
      <c r="A363" s="12" t="s">
        <v>30</v>
      </c>
      <c r="B363" s="12" t="s">
        <v>488</v>
      </c>
      <c r="C363" s="12">
        <v>352</v>
      </c>
      <c r="D363" s="12">
        <v>151</v>
      </c>
      <c r="E363" s="12">
        <v>17000</v>
      </c>
      <c r="F363" s="12">
        <v>1000</v>
      </c>
      <c r="G363" s="12">
        <v>29000</v>
      </c>
      <c r="H363" s="12">
        <v>132373442</v>
      </c>
      <c r="I363" s="12" t="s">
        <v>2126</v>
      </c>
      <c r="J363" s="12" t="s">
        <v>215</v>
      </c>
      <c r="K363" s="12" t="s">
        <v>1158</v>
      </c>
      <c r="L363" s="12" t="s">
        <v>392</v>
      </c>
      <c r="M363" s="12" t="s">
        <v>2127</v>
      </c>
      <c r="N363" s="12">
        <v>873649</v>
      </c>
      <c r="O363" s="12">
        <v>45648</v>
      </c>
      <c r="P363" s="12">
        <v>0</v>
      </c>
      <c r="Q363" s="12" t="s">
        <v>2128</v>
      </c>
      <c r="R363" s="15" t="s">
        <v>2129</v>
      </c>
      <c r="S363" s="12">
        <v>2054</v>
      </c>
      <c r="T363" s="12" t="s">
        <v>39</v>
      </c>
      <c r="U363" s="12" t="s">
        <v>40</v>
      </c>
      <c r="V363" s="12" t="s">
        <v>586</v>
      </c>
      <c r="W363" s="12">
        <v>90000000</v>
      </c>
      <c r="X363" s="12">
        <v>2006</v>
      </c>
      <c r="Y363" s="12">
        <v>13000</v>
      </c>
      <c r="Z363" s="12">
        <v>8.5</v>
      </c>
      <c r="AA363" s="12">
        <v>2.35</v>
      </c>
      <c r="AB363" s="12">
        <v>29000</v>
      </c>
      <c r="AC363" s="12"/>
      <c r="AD363" s="12" t="str">
        <f>IFERROR(__xludf.DUMMYFUNCTION("""COMPUTED_VALUE"""),"Penelope Wilton")</f>
        <v>Penelope Wilton</v>
      </c>
      <c r="AE363" s="12"/>
    </row>
    <row r="364" customHeight="1" spans="1:31">
      <c r="A364" s="11" t="s">
        <v>30</v>
      </c>
      <c r="B364" s="11" t="s">
        <v>2130</v>
      </c>
      <c r="C364" s="11">
        <v>143</v>
      </c>
      <c r="D364" s="11">
        <v>88</v>
      </c>
      <c r="E364" s="11">
        <v>7</v>
      </c>
      <c r="F364" s="11">
        <v>484</v>
      </c>
      <c r="G364" s="11">
        <v>2000</v>
      </c>
      <c r="H364" s="11">
        <v>120618403</v>
      </c>
      <c r="I364" s="11" t="s">
        <v>2131</v>
      </c>
      <c r="J364" s="11" t="s">
        <v>1084</v>
      </c>
      <c r="K364" s="11" t="s">
        <v>2132</v>
      </c>
      <c r="L364" s="11" t="s">
        <v>2133</v>
      </c>
      <c r="M364" s="11" t="s">
        <v>2134</v>
      </c>
      <c r="N364" s="11">
        <v>171792</v>
      </c>
      <c r="O364" s="11">
        <v>4478</v>
      </c>
      <c r="P364" s="11">
        <v>0</v>
      </c>
      <c r="Q364" s="11" t="s">
        <v>2135</v>
      </c>
      <c r="R364" s="14" t="s">
        <v>2136</v>
      </c>
      <c r="S364" s="11">
        <v>222</v>
      </c>
      <c r="T364" s="11" t="s">
        <v>39</v>
      </c>
      <c r="U364" s="11" t="s">
        <v>40</v>
      </c>
      <c r="V364" s="11" t="s">
        <v>278</v>
      </c>
      <c r="W364" s="11">
        <v>90000000</v>
      </c>
      <c r="X364" s="11">
        <v>1998</v>
      </c>
      <c r="Y364" s="11">
        <v>500</v>
      </c>
      <c r="Z364" s="11">
        <v>7.5</v>
      </c>
      <c r="AA364" s="11">
        <v>1.66</v>
      </c>
      <c r="AB364" s="11">
        <v>12000</v>
      </c>
      <c r="AC364" s="11"/>
      <c r="AD364" s="11" t="str">
        <f>IFERROR(__xludf.DUMMYFUNCTION("""COMPUTED_VALUE"""),"Rafe Spall")</f>
        <v>Rafe Spall</v>
      </c>
      <c r="AE364" s="11"/>
    </row>
    <row r="365" customHeight="1" spans="1:31">
      <c r="A365" s="12" t="s">
        <v>30</v>
      </c>
      <c r="B365" s="12" t="s">
        <v>2113</v>
      </c>
      <c r="C365" s="12">
        <v>308</v>
      </c>
      <c r="D365" s="12">
        <v>121</v>
      </c>
      <c r="E365" s="12">
        <v>0</v>
      </c>
      <c r="F365" s="12">
        <v>918</v>
      </c>
      <c r="G365" s="12">
        <v>21000</v>
      </c>
      <c r="H365" s="12">
        <v>110416702</v>
      </c>
      <c r="I365" s="12" t="s">
        <v>2137</v>
      </c>
      <c r="J365" s="12" t="s">
        <v>99</v>
      </c>
      <c r="K365" s="12" t="s">
        <v>813</v>
      </c>
      <c r="L365" s="12" t="s">
        <v>2138</v>
      </c>
      <c r="M365" s="12" t="s">
        <v>2139</v>
      </c>
      <c r="N365" s="12">
        <v>307539</v>
      </c>
      <c r="O365" s="12">
        <v>23484</v>
      </c>
      <c r="P365" s="12">
        <v>3</v>
      </c>
      <c r="Q365" s="12" t="s">
        <v>2140</v>
      </c>
      <c r="R365" s="15" t="s">
        <v>2141</v>
      </c>
      <c r="S365" s="12">
        <v>577</v>
      </c>
      <c r="T365" s="12" t="s">
        <v>39</v>
      </c>
      <c r="U365" s="12" t="s">
        <v>40</v>
      </c>
      <c r="V365" s="12" t="s">
        <v>586</v>
      </c>
      <c r="W365" s="12">
        <v>92000000</v>
      </c>
      <c r="X365" s="12">
        <v>2008</v>
      </c>
      <c r="Y365" s="12">
        <v>1000</v>
      </c>
      <c r="Z365" s="12">
        <v>7</v>
      </c>
      <c r="AA365" s="12">
        <v>2.35</v>
      </c>
      <c r="AB365" s="12">
        <v>0</v>
      </c>
      <c r="AC365" s="12"/>
      <c r="AD365" s="12" t="str">
        <f>IFERROR(__xludf.DUMMYFUNCTION("""COMPUTED_VALUE"""),"Lukas Haas")</f>
        <v>Lukas Haas</v>
      </c>
      <c r="AE365" s="12"/>
    </row>
    <row r="366" customHeight="1" spans="1:31">
      <c r="A366" s="11" t="s">
        <v>30</v>
      </c>
      <c r="B366" s="11" t="s">
        <v>686</v>
      </c>
      <c r="C366" s="11">
        <v>517</v>
      </c>
      <c r="D366" s="11">
        <v>158</v>
      </c>
      <c r="E366" s="11">
        <v>21000</v>
      </c>
      <c r="F366" s="11">
        <v>585</v>
      </c>
      <c r="G366" s="11">
        <v>18000</v>
      </c>
      <c r="H366" s="11">
        <v>102515793</v>
      </c>
      <c r="I366" s="11" t="s">
        <v>2142</v>
      </c>
      <c r="J366" s="11" t="s">
        <v>438</v>
      </c>
      <c r="K366" s="11" t="s">
        <v>2143</v>
      </c>
      <c r="L366" s="11" t="s">
        <v>2144</v>
      </c>
      <c r="M366" s="11" t="s">
        <v>2145</v>
      </c>
      <c r="N366" s="11">
        <v>330152</v>
      </c>
      <c r="O366" s="11">
        <v>20388</v>
      </c>
      <c r="P366" s="11">
        <v>1</v>
      </c>
      <c r="Q366" s="11" t="s">
        <v>2146</v>
      </c>
      <c r="R366" s="14" t="s">
        <v>2147</v>
      </c>
      <c r="S366" s="11">
        <v>632</v>
      </c>
      <c r="T366" s="11" t="s">
        <v>39</v>
      </c>
      <c r="U366" s="11" t="s">
        <v>40</v>
      </c>
      <c r="V366" s="11" t="s">
        <v>586</v>
      </c>
      <c r="W366" s="11">
        <v>90000000</v>
      </c>
      <c r="X366" s="11">
        <v>2011</v>
      </c>
      <c r="Y366" s="11">
        <v>1000</v>
      </c>
      <c r="Z366" s="11">
        <v>7.8</v>
      </c>
      <c r="AA366" s="11">
        <v>2.35</v>
      </c>
      <c r="AB366" s="11">
        <v>54000</v>
      </c>
      <c r="AC366" s="11"/>
      <c r="AD366" s="11" t="str">
        <f>IFERROR(__xludf.DUMMYFUNCTION("""COMPUTED_VALUE"""),"Snoop Dogg")</f>
        <v>Snoop Dogg</v>
      </c>
      <c r="AE366" s="11"/>
    </row>
    <row r="367" customHeight="1" spans="1:31">
      <c r="A367" s="12" t="s">
        <v>30</v>
      </c>
      <c r="B367" s="12" t="s">
        <v>1312</v>
      </c>
      <c r="C367" s="12">
        <v>148</v>
      </c>
      <c r="D367" s="12">
        <v>128</v>
      </c>
      <c r="E367" s="12">
        <v>323</v>
      </c>
      <c r="F367" s="12">
        <v>489</v>
      </c>
      <c r="G367" s="12">
        <v>13000</v>
      </c>
      <c r="H367" s="12">
        <v>100012500</v>
      </c>
      <c r="I367" s="12" t="s">
        <v>51</v>
      </c>
      <c r="J367" s="12" t="s">
        <v>978</v>
      </c>
      <c r="K367" s="12" t="s">
        <v>2148</v>
      </c>
      <c r="L367" s="12" t="s">
        <v>2149</v>
      </c>
      <c r="M367" s="12" t="s">
        <v>2150</v>
      </c>
      <c r="N367" s="12">
        <v>299258</v>
      </c>
      <c r="O367" s="12">
        <v>14274</v>
      </c>
      <c r="P367" s="12">
        <v>1</v>
      </c>
      <c r="Q367" s="12" t="s">
        <v>2151</v>
      </c>
      <c r="R367" s="15" t="s">
        <v>2152</v>
      </c>
      <c r="S367" s="12">
        <v>346</v>
      </c>
      <c r="T367" s="12" t="s">
        <v>39</v>
      </c>
      <c r="U367" s="12" t="s">
        <v>40</v>
      </c>
      <c r="V367" s="12" t="s">
        <v>586</v>
      </c>
      <c r="W367" s="12">
        <v>90000000</v>
      </c>
      <c r="X367" s="12">
        <v>1995</v>
      </c>
      <c r="Y367" s="12">
        <v>559</v>
      </c>
      <c r="Z367" s="12">
        <v>7.6</v>
      </c>
      <c r="AA367" s="12">
        <v>2.35</v>
      </c>
      <c r="AB367" s="12">
        <v>0</v>
      </c>
      <c r="AC367" s="12"/>
      <c r="AD367" s="12" t="str">
        <f>IFERROR(__xludf.DUMMYFUNCTION("""COMPUTED_VALUE"""),"Ben Schwartz")</f>
        <v>Ben Schwartz</v>
      </c>
      <c r="AE367" s="12"/>
    </row>
    <row r="368" customHeight="1" spans="1:31">
      <c r="A368" s="11" t="s">
        <v>30</v>
      </c>
      <c r="B368" s="11" t="s">
        <v>1295</v>
      </c>
      <c r="C368" s="11">
        <v>415</v>
      </c>
      <c r="D368" s="11">
        <v>128</v>
      </c>
      <c r="E368" s="11">
        <v>0</v>
      </c>
      <c r="F368" s="11">
        <v>727</v>
      </c>
      <c r="G368" s="11">
        <v>21000</v>
      </c>
      <c r="H368" s="11">
        <v>209019489</v>
      </c>
      <c r="I368" s="11" t="s">
        <v>1296</v>
      </c>
      <c r="J368" s="11" t="s">
        <v>99</v>
      </c>
      <c r="K368" s="11" t="s">
        <v>359</v>
      </c>
      <c r="L368" s="11" t="s">
        <v>2153</v>
      </c>
      <c r="M368" s="11" t="s">
        <v>2154</v>
      </c>
      <c r="N368" s="11">
        <v>477300</v>
      </c>
      <c r="O368" s="11">
        <v>23996</v>
      </c>
      <c r="P368" s="11">
        <v>3</v>
      </c>
      <c r="Q368" s="11" t="s">
        <v>2155</v>
      </c>
      <c r="R368" s="14" t="s">
        <v>2156</v>
      </c>
      <c r="S368" s="11">
        <v>621</v>
      </c>
      <c r="T368" s="11" t="s">
        <v>39</v>
      </c>
      <c r="U368" s="11" t="s">
        <v>40</v>
      </c>
      <c r="V368" s="11" t="s">
        <v>41</v>
      </c>
      <c r="W368" s="11">
        <v>90000000</v>
      </c>
      <c r="X368" s="11">
        <v>2009</v>
      </c>
      <c r="Y368" s="11">
        <v>979</v>
      </c>
      <c r="Z368" s="11">
        <v>7.6</v>
      </c>
      <c r="AA368" s="11">
        <v>1.85</v>
      </c>
      <c r="AB368" s="11">
        <v>20000</v>
      </c>
      <c r="AC368" s="11"/>
      <c r="AD368" s="11" t="str">
        <f>IFERROR(__xludf.DUMMYFUNCTION("""COMPUTED_VALUE"""),"Stephen Root")</f>
        <v>Stephen Root</v>
      </c>
      <c r="AE368" s="11"/>
    </row>
    <row r="369" customHeight="1" spans="1:31">
      <c r="A369" s="12" t="s">
        <v>30</v>
      </c>
      <c r="B369" s="12" t="s">
        <v>2157</v>
      </c>
      <c r="C369" s="12">
        <v>1</v>
      </c>
      <c r="D369" s="12">
        <v>141</v>
      </c>
      <c r="E369" s="12">
        <v>335</v>
      </c>
      <c r="F369" s="12">
        <v>635</v>
      </c>
      <c r="G369" s="12">
        <v>11000</v>
      </c>
      <c r="H369" s="16"/>
      <c r="I369" s="12" t="s">
        <v>2158</v>
      </c>
      <c r="J369" s="12" t="s">
        <v>466</v>
      </c>
      <c r="K369" s="12" t="s">
        <v>853</v>
      </c>
      <c r="L369" s="12" t="s">
        <v>1613</v>
      </c>
      <c r="M369" s="12" t="s">
        <v>2159</v>
      </c>
      <c r="N369" s="12">
        <v>57</v>
      </c>
      <c r="O369" s="12">
        <v>13379</v>
      </c>
      <c r="P369" s="12">
        <v>2</v>
      </c>
      <c r="Q369" s="16"/>
      <c r="R369" s="15" t="s">
        <v>2160</v>
      </c>
      <c r="S369" s="12">
        <v>1</v>
      </c>
      <c r="T369" s="12" t="s">
        <v>39</v>
      </c>
      <c r="U369" s="12" t="s">
        <v>40</v>
      </c>
      <c r="V369" s="12" t="s">
        <v>41</v>
      </c>
      <c r="W369" s="16"/>
      <c r="X369" s="12">
        <v>2016</v>
      </c>
      <c r="Y369" s="12">
        <v>745</v>
      </c>
      <c r="Z369" s="12">
        <v>6.1</v>
      </c>
      <c r="AA369" s="12">
        <v>2.35</v>
      </c>
      <c r="AB369" s="12">
        <v>0</v>
      </c>
      <c r="AC369" s="12"/>
      <c r="AD369" s="12" t="str">
        <f>IFERROR(__xludf.DUMMYFUNCTION("""COMPUTED_VALUE"""),"Annet Mahendru")</f>
        <v>Annet Mahendru</v>
      </c>
      <c r="AE369" s="12"/>
    </row>
    <row r="370" customHeight="1" spans="1:31">
      <c r="A370" s="11" t="s">
        <v>30</v>
      </c>
      <c r="B370" s="11" t="s">
        <v>1770</v>
      </c>
      <c r="C370" s="11">
        <v>146</v>
      </c>
      <c r="D370" s="11">
        <v>95</v>
      </c>
      <c r="E370" s="11">
        <v>21</v>
      </c>
      <c r="F370" s="11">
        <v>503</v>
      </c>
      <c r="G370" s="11">
        <v>12000</v>
      </c>
      <c r="H370" s="11">
        <v>84037039</v>
      </c>
      <c r="I370" s="11" t="s">
        <v>2161</v>
      </c>
      <c r="J370" s="11" t="s">
        <v>1029</v>
      </c>
      <c r="K370" s="11" t="s">
        <v>2162</v>
      </c>
      <c r="L370" s="11" t="s">
        <v>2163</v>
      </c>
      <c r="M370" s="11" t="s">
        <v>2164</v>
      </c>
      <c r="N370" s="11">
        <v>72591</v>
      </c>
      <c r="O370" s="11">
        <v>15237</v>
      </c>
      <c r="P370" s="11">
        <v>0</v>
      </c>
      <c r="Q370" s="11" t="s">
        <v>2165</v>
      </c>
      <c r="R370" s="14" t="s">
        <v>2166</v>
      </c>
      <c r="S370" s="11">
        <v>289</v>
      </c>
      <c r="T370" s="11" t="s">
        <v>39</v>
      </c>
      <c r="U370" s="11" t="s">
        <v>40</v>
      </c>
      <c r="V370" s="11" t="s">
        <v>96</v>
      </c>
      <c r="W370" s="11">
        <v>120000000</v>
      </c>
      <c r="X370" s="11">
        <v>2001</v>
      </c>
      <c r="Y370" s="11">
        <v>802</v>
      </c>
      <c r="Z370" s="11">
        <v>6.8</v>
      </c>
      <c r="AA370" s="11">
        <v>2.35</v>
      </c>
      <c r="AB370" s="11">
        <v>0</v>
      </c>
      <c r="AC370" s="11"/>
      <c r="AD370" s="11" t="str">
        <f>IFERROR(__xludf.DUMMYFUNCTION("""COMPUTED_VALUE"""),"Andy Richter")</f>
        <v>Andy Richter</v>
      </c>
      <c r="AE370" s="11"/>
    </row>
    <row r="371" customHeight="1" spans="1:31">
      <c r="A371" s="12" t="s">
        <v>30</v>
      </c>
      <c r="B371" s="12" t="s">
        <v>2167</v>
      </c>
      <c r="C371" s="12">
        <v>70</v>
      </c>
      <c r="D371" s="12">
        <v>92</v>
      </c>
      <c r="E371" s="12">
        <v>12</v>
      </c>
      <c r="F371" s="12">
        <v>1000</v>
      </c>
      <c r="G371" s="12">
        <v>35000</v>
      </c>
      <c r="H371" s="12">
        <v>85884815</v>
      </c>
      <c r="I371" s="12" t="s">
        <v>2168</v>
      </c>
      <c r="J371" s="12" t="s">
        <v>2169</v>
      </c>
      <c r="K371" s="12" t="s">
        <v>2170</v>
      </c>
      <c r="L371" s="12" t="s">
        <v>2171</v>
      </c>
      <c r="M371" s="12" t="s">
        <v>2172</v>
      </c>
      <c r="N371" s="12">
        <v>9418</v>
      </c>
      <c r="O371" s="12">
        <v>38450</v>
      </c>
      <c r="P371" s="12">
        <v>0</v>
      </c>
      <c r="Q371" s="12" t="s">
        <v>2173</v>
      </c>
      <c r="R371" s="15" t="s">
        <v>2174</v>
      </c>
      <c r="S371" s="12">
        <v>53</v>
      </c>
      <c r="T371" s="12" t="s">
        <v>39</v>
      </c>
      <c r="U371" s="12" t="s">
        <v>40</v>
      </c>
      <c r="V371" s="12" t="s">
        <v>96</v>
      </c>
      <c r="W371" s="12">
        <v>90000000</v>
      </c>
      <c r="X371" s="12">
        <v>2015</v>
      </c>
      <c r="Y371" s="12">
        <v>1000</v>
      </c>
      <c r="Z371" s="12">
        <v>5</v>
      </c>
      <c r="AA371" s="12">
        <v>1.85</v>
      </c>
      <c r="AB371" s="12">
        <v>0</v>
      </c>
      <c r="AC371" s="12"/>
      <c r="AD371" s="12" t="str">
        <f>IFERROR(__xludf.DUMMYFUNCTION("""COMPUTED_VALUE"""),"Matt Damon")</f>
        <v>Matt Damon</v>
      </c>
      <c r="AE371" s="12"/>
    </row>
    <row r="372" customHeight="1" spans="1:31">
      <c r="A372" s="11" t="s">
        <v>30</v>
      </c>
      <c r="B372" s="11" t="s">
        <v>119</v>
      </c>
      <c r="C372" s="11">
        <v>269</v>
      </c>
      <c r="D372" s="11">
        <v>121</v>
      </c>
      <c r="E372" s="11">
        <v>0</v>
      </c>
      <c r="F372" s="11">
        <v>919</v>
      </c>
      <c r="G372" s="11">
        <v>10000</v>
      </c>
      <c r="H372" s="11">
        <v>83077470</v>
      </c>
      <c r="I372" s="11" t="s">
        <v>2175</v>
      </c>
      <c r="J372" s="11" t="s">
        <v>523</v>
      </c>
      <c r="K372" s="11" t="s">
        <v>138</v>
      </c>
      <c r="L372" s="11" t="s">
        <v>209</v>
      </c>
      <c r="M372" s="11" t="s">
        <v>2176</v>
      </c>
      <c r="N372" s="11">
        <v>183247</v>
      </c>
      <c r="O372" s="11">
        <v>14165</v>
      </c>
      <c r="P372" s="11">
        <v>0</v>
      </c>
      <c r="Q372" s="11" t="s">
        <v>2177</v>
      </c>
      <c r="R372" s="14" t="s">
        <v>2178</v>
      </c>
      <c r="S372" s="11">
        <v>440</v>
      </c>
      <c r="T372" s="11" t="s">
        <v>39</v>
      </c>
      <c r="U372" s="11" t="s">
        <v>40</v>
      </c>
      <c r="V372" s="11" t="s">
        <v>41</v>
      </c>
      <c r="W372" s="11">
        <v>75000000</v>
      </c>
      <c r="X372" s="11">
        <v>2008</v>
      </c>
      <c r="Y372" s="11">
        <v>1000</v>
      </c>
      <c r="Z372" s="11">
        <v>7.1</v>
      </c>
      <c r="AA372" s="11">
        <v>1.85</v>
      </c>
      <c r="AB372" s="11">
        <v>0</v>
      </c>
      <c r="AC372" s="11"/>
      <c r="AD372" s="11" t="str">
        <f>IFERROR(__xludf.DUMMYFUNCTION("""COMPUTED_VALUE"""),"T.I.")</f>
        <v>T.I.</v>
      </c>
      <c r="AE372" s="11"/>
    </row>
    <row r="373" customHeight="1" spans="1:31">
      <c r="A373" s="12" t="s">
        <v>30</v>
      </c>
      <c r="B373" s="12" t="s">
        <v>2179</v>
      </c>
      <c r="C373" s="12">
        <v>198</v>
      </c>
      <c r="D373" s="12">
        <v>113</v>
      </c>
      <c r="E373" s="12">
        <v>221</v>
      </c>
      <c r="F373" s="12">
        <v>503</v>
      </c>
      <c r="G373" s="12">
        <v>11000</v>
      </c>
      <c r="H373" s="12">
        <v>100018837</v>
      </c>
      <c r="I373" s="12" t="s">
        <v>2137</v>
      </c>
      <c r="J373" s="12" t="s">
        <v>2180</v>
      </c>
      <c r="K373" s="12" t="s">
        <v>2181</v>
      </c>
      <c r="L373" s="12" t="s">
        <v>2182</v>
      </c>
      <c r="M373" s="12" t="s">
        <v>2183</v>
      </c>
      <c r="N373" s="12">
        <v>156348</v>
      </c>
      <c r="O373" s="12">
        <v>13446</v>
      </c>
      <c r="P373" s="12">
        <v>0</v>
      </c>
      <c r="Q373" s="12" t="s">
        <v>2184</v>
      </c>
      <c r="R373" s="15" t="s">
        <v>2185</v>
      </c>
      <c r="S373" s="12">
        <v>380</v>
      </c>
      <c r="T373" s="12" t="s">
        <v>39</v>
      </c>
      <c r="U373" s="12" t="s">
        <v>40</v>
      </c>
      <c r="V373" s="12" t="s">
        <v>41</v>
      </c>
      <c r="W373" s="12">
        <v>90000000</v>
      </c>
      <c r="X373" s="12">
        <v>2008</v>
      </c>
      <c r="Y373" s="12">
        <v>600</v>
      </c>
      <c r="Z373" s="12">
        <v>5.5</v>
      </c>
      <c r="AA373" s="12">
        <v>1.85</v>
      </c>
      <c r="AB373" s="12">
        <v>0</v>
      </c>
      <c r="AC373" s="12"/>
      <c r="AD373" s="12" t="str">
        <f>IFERROR(__xludf.DUMMYFUNCTION("""COMPUTED_VALUE"""),"Sandra Ellis Lafferty")</f>
        <v>Sandra Ellis Lafferty</v>
      </c>
      <c r="AE373" s="12"/>
    </row>
    <row r="374" customHeight="1" spans="1:31">
      <c r="A374" s="11" t="s">
        <v>30</v>
      </c>
      <c r="B374" s="11" t="s">
        <v>1253</v>
      </c>
      <c r="C374" s="11">
        <v>253</v>
      </c>
      <c r="D374" s="11">
        <v>106</v>
      </c>
      <c r="E374" s="11">
        <v>0</v>
      </c>
      <c r="F374" s="11">
        <v>1000</v>
      </c>
      <c r="G374" s="11">
        <v>22000</v>
      </c>
      <c r="H374" s="11">
        <v>78747585</v>
      </c>
      <c r="I374" s="11" t="s">
        <v>2186</v>
      </c>
      <c r="J374" s="11" t="s">
        <v>149</v>
      </c>
      <c r="K374" s="11" t="s">
        <v>2180</v>
      </c>
      <c r="L374" s="11" t="s">
        <v>830</v>
      </c>
      <c r="M374" s="11" t="s">
        <v>2187</v>
      </c>
      <c r="N374" s="11">
        <v>89770</v>
      </c>
      <c r="O374" s="11">
        <v>35367</v>
      </c>
      <c r="P374" s="11">
        <v>0</v>
      </c>
      <c r="Q374" s="11" t="s">
        <v>2188</v>
      </c>
      <c r="R374" s="14" t="s">
        <v>2189</v>
      </c>
      <c r="S374" s="11">
        <v>342</v>
      </c>
      <c r="T374" s="11" t="s">
        <v>39</v>
      </c>
      <c r="U374" s="11" t="s">
        <v>40</v>
      </c>
      <c r="V374" s="11" t="s">
        <v>41</v>
      </c>
      <c r="W374" s="11">
        <v>88000000</v>
      </c>
      <c r="X374" s="11">
        <v>2015</v>
      </c>
      <c r="Y374" s="11">
        <v>11000</v>
      </c>
      <c r="Z374" s="11">
        <v>5.6</v>
      </c>
      <c r="AA374" s="11">
        <v>2.35</v>
      </c>
      <c r="AB374" s="11">
        <v>39000</v>
      </c>
      <c r="AC374" s="11"/>
      <c r="AD374" s="11" t="str">
        <f>IFERROR(__xludf.DUMMYFUNCTION("""COMPUTED_VALUE"""),"Jim Parsons")</f>
        <v>Jim Parsons</v>
      </c>
      <c r="AE374" s="11"/>
    </row>
    <row r="375" customHeight="1" spans="1:31">
      <c r="A375" s="12" t="s">
        <v>30</v>
      </c>
      <c r="B375" s="12" t="s">
        <v>390</v>
      </c>
      <c r="C375" s="12">
        <v>281</v>
      </c>
      <c r="D375" s="12">
        <v>146</v>
      </c>
      <c r="E375" s="12">
        <v>14000</v>
      </c>
      <c r="F375" s="12">
        <v>681</v>
      </c>
      <c r="G375" s="12">
        <v>3000</v>
      </c>
      <c r="H375" s="12">
        <v>78616689</v>
      </c>
      <c r="I375" s="12" t="s">
        <v>660</v>
      </c>
      <c r="J375" s="12" t="s">
        <v>2190</v>
      </c>
      <c r="K375" s="12" t="s">
        <v>191</v>
      </c>
      <c r="L375" s="12" t="s">
        <v>2191</v>
      </c>
      <c r="M375" s="12" t="s">
        <v>2192</v>
      </c>
      <c r="N375" s="12">
        <v>238747</v>
      </c>
      <c r="O375" s="12">
        <v>6217</v>
      </c>
      <c r="P375" s="12">
        <v>0</v>
      </c>
      <c r="Q375" s="12" t="s">
        <v>2193</v>
      </c>
      <c r="R375" s="15" t="s">
        <v>2194</v>
      </c>
      <c r="S375" s="12">
        <v>2153</v>
      </c>
      <c r="T375" s="12" t="s">
        <v>39</v>
      </c>
      <c r="U375" s="12" t="s">
        <v>40</v>
      </c>
      <c r="V375" s="12" t="s">
        <v>41</v>
      </c>
      <c r="W375" s="12">
        <v>100000000</v>
      </c>
      <c r="X375" s="12">
        <v>2001</v>
      </c>
      <c r="Y375" s="12">
        <v>882</v>
      </c>
      <c r="Z375" s="12">
        <v>7.1</v>
      </c>
      <c r="AA375" s="12">
        <v>1.85</v>
      </c>
      <c r="AB375" s="12">
        <v>11000</v>
      </c>
      <c r="AC375" s="12"/>
      <c r="AD375" s="12" t="str">
        <f>IFERROR(__xludf.DUMMYFUNCTION("""COMPUTED_VALUE"""),"Matt Jones")</f>
        <v>Matt Jones</v>
      </c>
      <c r="AE375" s="12"/>
    </row>
    <row r="376" customHeight="1" spans="1:31">
      <c r="A376" s="11" t="s">
        <v>30</v>
      </c>
      <c r="B376" s="11" t="s">
        <v>947</v>
      </c>
      <c r="C376" s="11">
        <v>122</v>
      </c>
      <c r="D376" s="11">
        <v>88</v>
      </c>
      <c r="E376" s="11">
        <v>50</v>
      </c>
      <c r="F376" s="11">
        <v>441</v>
      </c>
      <c r="G376" s="11">
        <v>691</v>
      </c>
      <c r="H376" s="11">
        <v>75817994</v>
      </c>
      <c r="I376" s="11" t="s">
        <v>2195</v>
      </c>
      <c r="J376" s="11" t="s">
        <v>2196</v>
      </c>
      <c r="K376" s="11" t="s">
        <v>2197</v>
      </c>
      <c r="L376" s="11" t="s">
        <v>2198</v>
      </c>
      <c r="M376" s="11" t="s">
        <v>2199</v>
      </c>
      <c r="N376" s="11">
        <v>32049</v>
      </c>
      <c r="O376" s="11">
        <v>2622</v>
      </c>
      <c r="P376" s="11">
        <v>0</v>
      </c>
      <c r="Q376" s="11" t="s">
        <v>2200</v>
      </c>
      <c r="R376" s="14" t="s">
        <v>2201</v>
      </c>
      <c r="S376" s="11">
        <v>179</v>
      </c>
      <c r="T376" s="11" t="s">
        <v>39</v>
      </c>
      <c r="U376" s="11" t="s">
        <v>40</v>
      </c>
      <c r="V376" s="11" t="s">
        <v>96</v>
      </c>
      <c r="W376" s="11">
        <v>90000000</v>
      </c>
      <c r="X376" s="11">
        <v>2003</v>
      </c>
      <c r="Y376" s="11">
        <v>569</v>
      </c>
      <c r="Z376" s="11">
        <v>4.9</v>
      </c>
      <c r="AA376" s="11">
        <v>2.35</v>
      </c>
      <c r="AB376" s="11">
        <v>988</v>
      </c>
      <c r="AC376" s="11"/>
      <c r="AD376" s="11" t="str">
        <f>IFERROR(__xludf.DUMMYFUNCTION("""COMPUTED_VALUE"""),"April Winchell")</f>
        <v>April Winchell</v>
      </c>
      <c r="AE376" s="11"/>
    </row>
    <row r="377" customHeight="1" spans="1:31">
      <c r="A377" s="12" t="s">
        <v>30</v>
      </c>
      <c r="B377" s="12" t="s">
        <v>436</v>
      </c>
      <c r="C377" s="12">
        <v>159</v>
      </c>
      <c r="D377" s="12">
        <v>150</v>
      </c>
      <c r="E377" s="12">
        <v>0</v>
      </c>
      <c r="F377" s="12">
        <v>135</v>
      </c>
      <c r="G377" s="12">
        <v>11000</v>
      </c>
      <c r="H377" s="12">
        <v>100853835</v>
      </c>
      <c r="I377" s="12" t="s">
        <v>2202</v>
      </c>
      <c r="J377" s="12" t="s">
        <v>661</v>
      </c>
      <c r="K377" s="12" t="s">
        <v>2203</v>
      </c>
      <c r="L377" s="12" t="s">
        <v>2204</v>
      </c>
      <c r="M377" s="12" t="s">
        <v>2205</v>
      </c>
      <c r="N377" s="12">
        <v>200556</v>
      </c>
      <c r="O377" s="12">
        <v>12289</v>
      </c>
      <c r="P377" s="12">
        <v>2</v>
      </c>
      <c r="Q377" s="12" t="s">
        <v>2206</v>
      </c>
      <c r="R377" s="15" t="s">
        <v>2207</v>
      </c>
      <c r="S377" s="12">
        <v>611</v>
      </c>
      <c r="T377" s="12" t="s">
        <v>39</v>
      </c>
      <c r="U377" s="12" t="s">
        <v>40</v>
      </c>
      <c r="V377" s="12" t="s">
        <v>96</v>
      </c>
      <c r="W377" s="12">
        <v>90000000</v>
      </c>
      <c r="X377" s="12">
        <v>1997</v>
      </c>
      <c r="Y377" s="12">
        <v>1000</v>
      </c>
      <c r="Z377" s="12">
        <v>7.4</v>
      </c>
      <c r="AA377" s="12">
        <v>2.35</v>
      </c>
      <c r="AB377" s="12">
        <v>15000</v>
      </c>
      <c r="AC377" s="12"/>
      <c r="AD377" s="12" t="str">
        <f>IFERROR(__xludf.DUMMYFUNCTION("""COMPUTED_VALUE"""),"Lisa Ann Walter")</f>
        <v>Lisa Ann Walter</v>
      </c>
      <c r="AE377" s="12"/>
    </row>
    <row r="378" customHeight="1" spans="1:31">
      <c r="A378" s="11" t="s">
        <v>30</v>
      </c>
      <c r="B378" s="11" t="s">
        <v>1305</v>
      </c>
      <c r="C378" s="11">
        <v>180</v>
      </c>
      <c r="D378" s="11">
        <v>119</v>
      </c>
      <c r="E378" s="11">
        <v>719</v>
      </c>
      <c r="F378" s="11">
        <v>423</v>
      </c>
      <c r="G378" s="11">
        <v>833</v>
      </c>
      <c r="H378" s="11">
        <v>73209340</v>
      </c>
      <c r="I378" s="11" t="s">
        <v>2208</v>
      </c>
      <c r="J378" s="11" t="s">
        <v>2209</v>
      </c>
      <c r="K378" s="11" t="s">
        <v>2210</v>
      </c>
      <c r="L378" s="11" t="s">
        <v>2116</v>
      </c>
      <c r="M378" s="11" t="s">
        <v>2211</v>
      </c>
      <c r="N378" s="11">
        <v>101834</v>
      </c>
      <c r="O378" s="11">
        <v>2356</v>
      </c>
      <c r="P378" s="11">
        <v>0</v>
      </c>
      <c r="Q378" s="11" t="s">
        <v>2212</v>
      </c>
      <c r="R378" s="14" t="s">
        <v>2213</v>
      </c>
      <c r="S378" s="11">
        <v>628</v>
      </c>
      <c r="T378" s="11" t="s">
        <v>39</v>
      </c>
      <c r="U378" s="11" t="s">
        <v>40</v>
      </c>
      <c r="V378" s="11" t="s">
        <v>586</v>
      </c>
      <c r="W378" s="11">
        <v>95000000</v>
      </c>
      <c r="X378" s="11">
        <v>2000</v>
      </c>
      <c r="Y378" s="11">
        <v>624</v>
      </c>
      <c r="Z378" s="11">
        <v>5.7</v>
      </c>
      <c r="AA378" s="11">
        <v>1.85</v>
      </c>
      <c r="AB378" s="11">
        <v>0</v>
      </c>
      <c r="AC378" s="11"/>
      <c r="AD378" s="11" t="str">
        <f>IFERROR(__xludf.DUMMYFUNCTION("""COMPUTED_VALUE"""),"Rick Gonzalez")</f>
        <v>Rick Gonzalez</v>
      </c>
      <c r="AE378" s="11"/>
    </row>
    <row r="379" customHeight="1" spans="1:31">
      <c r="A379" s="12" t="s">
        <v>30</v>
      </c>
      <c r="B379" s="12" t="s">
        <v>2214</v>
      </c>
      <c r="C379" s="12">
        <v>227</v>
      </c>
      <c r="D379" s="12">
        <v>128</v>
      </c>
      <c r="E379" s="12">
        <v>521</v>
      </c>
      <c r="F379" s="12">
        <v>249</v>
      </c>
      <c r="G379" s="12">
        <v>591</v>
      </c>
      <c r="H379" s="12">
        <v>72515360</v>
      </c>
      <c r="I379" s="12" t="s">
        <v>2215</v>
      </c>
      <c r="J379" s="12" t="s">
        <v>2216</v>
      </c>
      <c r="K379" s="12" t="s">
        <v>2217</v>
      </c>
      <c r="L379" s="12" t="s">
        <v>2218</v>
      </c>
      <c r="M379" s="12" t="s">
        <v>2219</v>
      </c>
      <c r="N379" s="12">
        <v>86152</v>
      </c>
      <c r="O379" s="12">
        <v>2100</v>
      </c>
      <c r="P379" s="12">
        <v>1</v>
      </c>
      <c r="Q379" s="12" t="s">
        <v>2220</v>
      </c>
      <c r="R379" s="15" t="s">
        <v>2221</v>
      </c>
      <c r="S379" s="12">
        <v>411</v>
      </c>
      <c r="T379" s="12" t="s">
        <v>2222</v>
      </c>
      <c r="U379" s="12" t="s">
        <v>58</v>
      </c>
      <c r="V379" s="12" t="s">
        <v>41</v>
      </c>
      <c r="W379" s="12">
        <v>80000000</v>
      </c>
      <c r="X379" s="12">
        <v>2005</v>
      </c>
      <c r="Y379" s="12">
        <v>249</v>
      </c>
      <c r="Z379" s="12">
        <v>6.4</v>
      </c>
      <c r="AA379" s="12">
        <v>2.35</v>
      </c>
      <c r="AB379" s="12">
        <v>0</v>
      </c>
      <c r="AC379" s="12"/>
      <c r="AD379" s="12" t="str">
        <f>IFERROR(__xludf.DUMMYFUNCTION("""COMPUTED_VALUE"""),"Henry Rollins")</f>
        <v>Henry Rollins</v>
      </c>
      <c r="AE379" s="12"/>
    </row>
    <row r="380" customHeight="1" spans="1:31">
      <c r="A380" s="11" t="s">
        <v>30</v>
      </c>
      <c r="B380" s="11" t="s">
        <v>2223</v>
      </c>
      <c r="C380" s="11">
        <v>183</v>
      </c>
      <c r="D380" s="11">
        <v>106</v>
      </c>
      <c r="E380" s="11">
        <v>87</v>
      </c>
      <c r="F380" s="11">
        <v>918</v>
      </c>
      <c r="G380" s="11">
        <v>8000</v>
      </c>
      <c r="H380" s="11">
        <v>68558662</v>
      </c>
      <c r="I380" s="11" t="s">
        <v>200</v>
      </c>
      <c r="J380" s="11" t="s">
        <v>1207</v>
      </c>
      <c r="K380" s="11" t="s">
        <v>2224</v>
      </c>
      <c r="L380" s="11" t="s">
        <v>2138</v>
      </c>
      <c r="M380" s="11" t="s">
        <v>2225</v>
      </c>
      <c r="N380" s="11">
        <v>86627</v>
      </c>
      <c r="O380" s="11">
        <v>10882</v>
      </c>
      <c r="P380" s="11">
        <v>0</v>
      </c>
      <c r="Q380" s="11" t="s">
        <v>2226</v>
      </c>
      <c r="R380" s="14" t="s">
        <v>2227</v>
      </c>
      <c r="S380" s="11">
        <v>204</v>
      </c>
      <c r="T380" s="11" t="s">
        <v>39</v>
      </c>
      <c r="U380" s="11" t="s">
        <v>40</v>
      </c>
      <c r="V380" s="11" t="s">
        <v>96</v>
      </c>
      <c r="W380" s="11">
        <v>90000000</v>
      </c>
      <c r="X380" s="11">
        <v>2013</v>
      </c>
      <c r="Y380" s="11">
        <v>956</v>
      </c>
      <c r="Z380" s="11">
        <v>5.9</v>
      </c>
      <c r="AA380" s="11">
        <v>2.35</v>
      </c>
      <c r="AB380" s="11">
        <v>28000</v>
      </c>
      <c r="AC380" s="11"/>
      <c r="AD380" s="11" t="str">
        <f>IFERROR(__xludf.DUMMYFUNCTION("""COMPUTED_VALUE"""),"Jordi Mollà")</f>
        <v>Jordi Mollà</v>
      </c>
      <c r="AE380" s="11"/>
    </row>
    <row r="381" customHeight="1" spans="1:31">
      <c r="A381" s="12" t="s">
        <v>30</v>
      </c>
      <c r="B381" s="12" t="s">
        <v>1606</v>
      </c>
      <c r="C381" s="12">
        <v>157</v>
      </c>
      <c r="D381" s="12">
        <v>117</v>
      </c>
      <c r="E381" s="12">
        <v>101</v>
      </c>
      <c r="F381" s="12">
        <v>3000</v>
      </c>
      <c r="G381" s="12">
        <v>18000</v>
      </c>
      <c r="H381" s="12">
        <v>65653758</v>
      </c>
      <c r="I381" s="12" t="s">
        <v>43</v>
      </c>
      <c r="J381" s="12" t="s">
        <v>641</v>
      </c>
      <c r="K381" s="12" t="s">
        <v>565</v>
      </c>
      <c r="L381" s="12" t="s">
        <v>656</v>
      </c>
      <c r="M381" s="12" t="s">
        <v>2228</v>
      </c>
      <c r="N381" s="12">
        <v>102747</v>
      </c>
      <c r="O381" s="12">
        <v>33154</v>
      </c>
      <c r="P381" s="12">
        <v>1</v>
      </c>
      <c r="Q381" s="12" t="s">
        <v>2229</v>
      </c>
      <c r="R381" s="15" t="s">
        <v>2230</v>
      </c>
      <c r="S381" s="12">
        <v>316</v>
      </c>
      <c r="T381" s="12" t="s">
        <v>39</v>
      </c>
      <c r="U381" s="12" t="s">
        <v>40</v>
      </c>
      <c r="V381" s="12" t="s">
        <v>41</v>
      </c>
      <c r="W381" s="12">
        <v>95000000</v>
      </c>
      <c r="X381" s="12">
        <v>2003</v>
      </c>
      <c r="Y381" s="12">
        <v>11000</v>
      </c>
      <c r="Z381" s="12">
        <v>5.5</v>
      </c>
      <c r="AA381" s="12">
        <v>2.35</v>
      </c>
      <c r="AB381" s="12">
        <v>0</v>
      </c>
      <c r="AC381" s="12"/>
      <c r="AD381" s="12" t="str">
        <f>IFERROR(__xludf.DUMMYFUNCTION("""COMPUTED_VALUE"""),"Constance Marie")</f>
        <v>Constance Marie</v>
      </c>
      <c r="AE381" s="12"/>
    </row>
    <row r="382" customHeight="1" spans="1:31">
      <c r="A382" s="11" t="s">
        <v>30</v>
      </c>
      <c r="B382" s="11" t="s">
        <v>1072</v>
      </c>
      <c r="C382" s="11">
        <v>196</v>
      </c>
      <c r="D382" s="11">
        <v>129</v>
      </c>
      <c r="E382" s="11">
        <v>209</v>
      </c>
      <c r="F382" s="11">
        <v>886</v>
      </c>
      <c r="G382" s="11">
        <v>11000</v>
      </c>
      <c r="H382" s="11">
        <v>64685359</v>
      </c>
      <c r="I382" s="11" t="s">
        <v>2231</v>
      </c>
      <c r="J382" s="11" t="s">
        <v>107</v>
      </c>
      <c r="K382" s="11" t="s">
        <v>466</v>
      </c>
      <c r="L382" s="11" t="s">
        <v>2232</v>
      </c>
      <c r="M382" s="11" t="s">
        <v>2233</v>
      </c>
      <c r="N382" s="11">
        <v>40862</v>
      </c>
      <c r="O382" s="11">
        <v>23031</v>
      </c>
      <c r="P382" s="11">
        <v>6</v>
      </c>
      <c r="Q382" s="11" t="s">
        <v>2234</v>
      </c>
      <c r="R382" s="14" t="s">
        <v>2235</v>
      </c>
      <c r="S382" s="11">
        <v>139</v>
      </c>
      <c r="T382" s="11" t="s">
        <v>39</v>
      </c>
      <c r="U382" s="11" t="s">
        <v>40</v>
      </c>
      <c r="V382" s="11" t="s">
        <v>41</v>
      </c>
      <c r="W382" s="11">
        <v>90000000</v>
      </c>
      <c r="X382" s="11">
        <v>2016</v>
      </c>
      <c r="Y382" s="11">
        <v>11000</v>
      </c>
      <c r="Z382" s="11">
        <v>6.9</v>
      </c>
      <c r="AA382" s="11">
        <v>2.35</v>
      </c>
      <c r="AB382" s="11">
        <v>15000</v>
      </c>
      <c r="AC382" s="11"/>
      <c r="AD382" s="11" t="str">
        <f>IFERROR(__xludf.DUMMYFUNCTION("""COMPUTED_VALUE"""),"Amy Sedaris")</f>
        <v>Amy Sedaris</v>
      </c>
      <c r="AE382" s="11"/>
    </row>
    <row r="383" customHeight="1" spans="1:31">
      <c r="A383" s="12" t="s">
        <v>30</v>
      </c>
      <c r="B383" s="12" t="s">
        <v>1199</v>
      </c>
      <c r="C383" s="12">
        <v>64</v>
      </c>
      <c r="D383" s="12">
        <v>116</v>
      </c>
      <c r="E383" s="12">
        <v>176</v>
      </c>
      <c r="F383" s="12">
        <v>84</v>
      </c>
      <c r="G383" s="12">
        <v>192</v>
      </c>
      <c r="H383" s="12">
        <v>61355436</v>
      </c>
      <c r="I383" s="12" t="s">
        <v>1676</v>
      </c>
      <c r="J383" s="12" t="s">
        <v>2236</v>
      </c>
      <c r="K383" s="12" t="s">
        <v>2237</v>
      </c>
      <c r="L383" s="12" t="s">
        <v>2238</v>
      </c>
      <c r="M383" s="12" t="s">
        <v>2239</v>
      </c>
      <c r="N383" s="12">
        <v>52136</v>
      </c>
      <c r="O383" s="12">
        <v>475</v>
      </c>
      <c r="P383" s="12">
        <v>0</v>
      </c>
      <c r="Q383" s="12" t="s">
        <v>2240</v>
      </c>
      <c r="R383" s="15" t="s">
        <v>2241</v>
      </c>
      <c r="S383" s="12">
        <v>184</v>
      </c>
      <c r="T383" s="12" t="s">
        <v>39</v>
      </c>
      <c r="U383" s="12" t="s">
        <v>40</v>
      </c>
      <c r="V383" s="12" t="s">
        <v>41</v>
      </c>
      <c r="W383" s="12">
        <v>68000000</v>
      </c>
      <c r="X383" s="12">
        <v>1997</v>
      </c>
      <c r="Y383" s="12">
        <v>117</v>
      </c>
      <c r="Z383" s="12">
        <v>6.2</v>
      </c>
      <c r="AA383" s="12">
        <v>2.35</v>
      </c>
      <c r="AB383" s="12">
        <v>0</v>
      </c>
      <c r="AC383" s="12"/>
      <c r="AD383" s="12" t="str">
        <f>IFERROR(__xludf.DUMMYFUNCTION("""COMPUTED_VALUE"""),"August Diehl")</f>
        <v>August Diehl</v>
      </c>
      <c r="AE383" s="12"/>
    </row>
    <row r="384" customHeight="1" spans="1:31">
      <c r="A384" s="11" t="s">
        <v>30</v>
      </c>
      <c r="B384" s="11" t="s">
        <v>1740</v>
      </c>
      <c r="C384" s="11">
        <v>142</v>
      </c>
      <c r="D384" s="11">
        <v>114</v>
      </c>
      <c r="E384" s="11">
        <v>12000</v>
      </c>
      <c r="F384" s="11">
        <v>307</v>
      </c>
      <c r="G384" s="11">
        <v>11000</v>
      </c>
      <c r="H384" s="11">
        <v>26871</v>
      </c>
      <c r="I384" s="11" t="s">
        <v>334</v>
      </c>
      <c r="J384" s="11" t="s">
        <v>343</v>
      </c>
      <c r="K384" s="11" t="s">
        <v>2242</v>
      </c>
      <c r="L384" s="11" t="s">
        <v>2243</v>
      </c>
      <c r="M384" s="11" t="s">
        <v>2244</v>
      </c>
      <c r="N384" s="11">
        <v>121259</v>
      </c>
      <c r="O384" s="11">
        <v>12499</v>
      </c>
      <c r="P384" s="11">
        <v>2</v>
      </c>
      <c r="Q384" s="11" t="s">
        <v>2245</v>
      </c>
      <c r="R384" s="14" t="s">
        <v>2246</v>
      </c>
      <c r="S384" s="11">
        <v>361</v>
      </c>
      <c r="T384" s="11" t="s">
        <v>39</v>
      </c>
      <c r="U384" s="11" t="s">
        <v>768</v>
      </c>
      <c r="V384" s="11" t="s">
        <v>586</v>
      </c>
      <c r="W384" s="11">
        <v>92000000</v>
      </c>
      <c r="X384" s="11">
        <v>2001</v>
      </c>
      <c r="Y384" s="11">
        <v>577</v>
      </c>
      <c r="Z384" s="11">
        <v>7</v>
      </c>
      <c r="AA384" s="11">
        <v>2.35</v>
      </c>
      <c r="AB384" s="11">
        <v>0</v>
      </c>
      <c r="AC384" s="11"/>
      <c r="AD384" s="11" t="str">
        <f>IFERROR(__xludf.DUMMYFUNCTION("""COMPUTED_VALUE"""),"Emma Watson")</f>
        <v>Emma Watson</v>
      </c>
      <c r="AE384" s="11"/>
    </row>
    <row r="385" customHeight="1" spans="1:31">
      <c r="A385" s="12" t="s">
        <v>30</v>
      </c>
      <c r="B385" s="12" t="s">
        <v>2247</v>
      </c>
      <c r="C385" s="12">
        <v>181</v>
      </c>
      <c r="D385" s="12">
        <v>114</v>
      </c>
      <c r="E385" s="12">
        <v>0</v>
      </c>
      <c r="F385" s="12">
        <v>281</v>
      </c>
      <c r="G385" s="12">
        <v>3000</v>
      </c>
      <c r="H385" s="12">
        <v>60874615</v>
      </c>
      <c r="I385" s="12" t="s">
        <v>1171</v>
      </c>
      <c r="J385" s="12" t="s">
        <v>252</v>
      </c>
      <c r="K385" s="12" t="s">
        <v>1694</v>
      </c>
      <c r="L385" s="12" t="s">
        <v>2248</v>
      </c>
      <c r="M385" s="12" t="s">
        <v>2249</v>
      </c>
      <c r="N385" s="12">
        <v>60467</v>
      </c>
      <c r="O385" s="12">
        <v>4902</v>
      </c>
      <c r="P385" s="12">
        <v>0</v>
      </c>
      <c r="Q385" s="12" t="s">
        <v>2250</v>
      </c>
      <c r="R385" s="15" t="s">
        <v>2251</v>
      </c>
      <c r="S385" s="12">
        <v>949</v>
      </c>
      <c r="T385" s="12" t="s">
        <v>39</v>
      </c>
      <c r="U385" s="12" t="s">
        <v>40</v>
      </c>
      <c r="V385" s="12" t="s">
        <v>96</v>
      </c>
      <c r="W385" s="12">
        <v>90000000</v>
      </c>
      <c r="X385" s="12">
        <v>2000</v>
      </c>
      <c r="Y385" s="12">
        <v>933</v>
      </c>
      <c r="Z385" s="12">
        <v>5.6</v>
      </c>
      <c r="AA385" s="12">
        <v>2.35</v>
      </c>
      <c r="AB385" s="12">
        <v>0</v>
      </c>
      <c r="AC385" s="12"/>
      <c r="AD385" s="12" t="str">
        <f>IFERROR(__xludf.DUMMYFUNCTION("""COMPUTED_VALUE"""),"Logan Lerman")</f>
        <v>Logan Lerman</v>
      </c>
      <c r="AE385" s="12"/>
    </row>
    <row r="386" customHeight="1" spans="1:31">
      <c r="A386" s="11" t="s">
        <v>30</v>
      </c>
      <c r="B386" s="11" t="s">
        <v>1279</v>
      </c>
      <c r="C386" s="11">
        <v>240</v>
      </c>
      <c r="D386" s="11">
        <v>96</v>
      </c>
      <c r="E386" s="11">
        <v>107</v>
      </c>
      <c r="F386" s="11">
        <v>350</v>
      </c>
      <c r="G386" s="11">
        <v>11000</v>
      </c>
      <c r="H386" s="11">
        <v>143618384</v>
      </c>
      <c r="I386" s="11" t="s">
        <v>1280</v>
      </c>
      <c r="J386" s="11" t="s">
        <v>257</v>
      </c>
      <c r="K386" s="11" t="s">
        <v>2252</v>
      </c>
      <c r="L386" s="14" t="s">
        <v>2253</v>
      </c>
      <c r="M386" s="11" t="s">
        <v>2254</v>
      </c>
      <c r="N386" s="11">
        <v>165333</v>
      </c>
      <c r="O386" s="11">
        <v>12071</v>
      </c>
      <c r="P386" s="11">
        <v>0</v>
      </c>
      <c r="Q386" s="11" t="s">
        <v>2255</v>
      </c>
      <c r="R386" s="14" t="s">
        <v>2256</v>
      </c>
      <c r="S386" s="11">
        <v>186</v>
      </c>
      <c r="T386" s="11" t="s">
        <v>39</v>
      </c>
      <c r="U386" s="11" t="s">
        <v>40</v>
      </c>
      <c r="V386" s="11" t="s">
        <v>278</v>
      </c>
      <c r="W386" s="11">
        <v>90000000</v>
      </c>
      <c r="X386" s="11">
        <v>2011</v>
      </c>
      <c r="Y386" s="11">
        <v>560</v>
      </c>
      <c r="Z386" s="11">
        <v>7</v>
      </c>
      <c r="AA386" s="11">
        <v>2.35</v>
      </c>
      <c r="AB386" s="11">
        <v>19000</v>
      </c>
      <c r="AC386" s="11"/>
      <c r="AD386" s="11" t="str">
        <f>IFERROR(__xludf.DUMMYFUNCTION("""COMPUTED_VALUE"""),"Toby Jones")</f>
        <v>Toby Jones</v>
      </c>
      <c r="AE386" s="11"/>
    </row>
    <row r="387" customHeight="1" spans="1:31">
      <c r="A387" s="12" t="s">
        <v>30</v>
      </c>
      <c r="B387" s="12" t="s">
        <v>1253</v>
      </c>
      <c r="C387" s="12">
        <v>93</v>
      </c>
      <c r="D387" s="12">
        <v>132</v>
      </c>
      <c r="E387" s="12">
        <v>0</v>
      </c>
      <c r="F387" s="12">
        <v>957</v>
      </c>
      <c r="G387" s="12">
        <v>49000</v>
      </c>
      <c r="H387" s="12">
        <v>58220776</v>
      </c>
      <c r="I387" s="12" t="s">
        <v>2257</v>
      </c>
      <c r="J387" s="12" t="s">
        <v>811</v>
      </c>
      <c r="K387" s="12" t="s">
        <v>430</v>
      </c>
      <c r="L387" s="12" t="s">
        <v>1010</v>
      </c>
      <c r="M387" s="12" t="s">
        <v>2258</v>
      </c>
      <c r="N387" s="12">
        <v>87785</v>
      </c>
      <c r="O387" s="12">
        <v>55254</v>
      </c>
      <c r="P387" s="12">
        <v>0</v>
      </c>
      <c r="Q387" s="12" t="s">
        <v>2259</v>
      </c>
      <c r="R387" s="15" t="s">
        <v>2260</v>
      </c>
      <c r="S387" s="12">
        <v>362</v>
      </c>
      <c r="T387" s="12" t="s">
        <v>39</v>
      </c>
      <c r="U387" s="12" t="s">
        <v>40</v>
      </c>
      <c r="V387" s="12" t="s">
        <v>96</v>
      </c>
      <c r="W387" s="12">
        <v>100000000</v>
      </c>
      <c r="X387" s="12">
        <v>1999</v>
      </c>
      <c r="Y387" s="12">
        <v>1000</v>
      </c>
      <c r="Z387" s="12">
        <v>6.8</v>
      </c>
      <c r="AA387" s="12">
        <v>1.85</v>
      </c>
      <c r="AB387" s="12">
        <v>0</v>
      </c>
      <c r="AC387" s="12"/>
      <c r="AD387" s="12" t="str">
        <f>IFERROR(__xludf.DUMMYFUNCTION("""COMPUTED_VALUE"""),"Mackenzie Crook")</f>
        <v>Mackenzie Crook</v>
      </c>
      <c r="AE387" s="12"/>
    </row>
    <row r="388" customHeight="1" spans="1:31">
      <c r="A388" s="11" t="s">
        <v>30</v>
      </c>
      <c r="B388" s="11" t="s">
        <v>2261</v>
      </c>
      <c r="C388" s="11">
        <v>84</v>
      </c>
      <c r="D388" s="11">
        <v>104</v>
      </c>
      <c r="E388" s="11">
        <v>81</v>
      </c>
      <c r="F388" s="11">
        <v>612</v>
      </c>
      <c r="G388" s="11">
        <v>3000</v>
      </c>
      <c r="H388" s="11">
        <v>47474112</v>
      </c>
      <c r="I388" s="11" t="s">
        <v>1391</v>
      </c>
      <c r="J388" s="11" t="s">
        <v>252</v>
      </c>
      <c r="K388" s="11" t="s">
        <v>2262</v>
      </c>
      <c r="L388" s="11" t="s">
        <v>2263</v>
      </c>
      <c r="M388" s="11" t="s">
        <v>2264</v>
      </c>
      <c r="N388" s="11">
        <v>58227</v>
      </c>
      <c r="O388" s="11">
        <v>5062</v>
      </c>
      <c r="P388" s="11">
        <v>0</v>
      </c>
      <c r="Q388" s="11" t="s">
        <v>2265</v>
      </c>
      <c r="R388" s="14" t="s">
        <v>2266</v>
      </c>
      <c r="S388" s="11">
        <v>181</v>
      </c>
      <c r="T388" s="11" t="s">
        <v>39</v>
      </c>
      <c r="U388" s="11" t="s">
        <v>40</v>
      </c>
      <c r="V388" s="11" t="s">
        <v>41</v>
      </c>
      <c r="W388" s="11">
        <v>90000000</v>
      </c>
      <c r="X388" s="11">
        <v>1997</v>
      </c>
      <c r="Y388" s="11">
        <v>643</v>
      </c>
      <c r="Z388" s="11">
        <v>5.4</v>
      </c>
      <c r="AA388" s="11">
        <v>1.85</v>
      </c>
      <c r="AB388" s="11">
        <v>2000</v>
      </c>
      <c r="AC388" s="11"/>
      <c r="AD388" s="11" t="str">
        <f>IFERROR(__xludf.DUMMYFUNCTION("""COMPUTED_VALUE"""),"Tony Curran")</f>
        <v>Tony Curran</v>
      </c>
      <c r="AE388" s="11"/>
    </row>
    <row r="389" customHeight="1" spans="1:31">
      <c r="A389" s="12" t="s">
        <v>30</v>
      </c>
      <c r="B389" s="12" t="s">
        <v>2267</v>
      </c>
      <c r="C389" s="12">
        <v>66</v>
      </c>
      <c r="D389" s="12">
        <v>111</v>
      </c>
      <c r="E389" s="12">
        <v>79</v>
      </c>
      <c r="F389" s="12">
        <v>2000</v>
      </c>
      <c r="G389" s="12">
        <v>11000</v>
      </c>
      <c r="H389" s="12">
        <v>42877165</v>
      </c>
      <c r="I389" s="12" t="s">
        <v>464</v>
      </c>
      <c r="J389" s="12" t="s">
        <v>391</v>
      </c>
      <c r="K389" s="12" t="s">
        <v>343</v>
      </c>
      <c r="L389" s="12" t="s">
        <v>2268</v>
      </c>
      <c r="M389" s="12" t="s">
        <v>2269</v>
      </c>
      <c r="N389" s="12">
        <v>45602</v>
      </c>
      <c r="O389" s="12">
        <v>26088</v>
      </c>
      <c r="P389" s="12">
        <v>0</v>
      </c>
      <c r="Q389" s="12" t="s">
        <v>2270</v>
      </c>
      <c r="R389" s="15" t="s">
        <v>2271</v>
      </c>
      <c r="S389" s="12">
        <v>114</v>
      </c>
      <c r="T389" s="12" t="s">
        <v>39</v>
      </c>
      <c r="U389" s="12" t="s">
        <v>40</v>
      </c>
      <c r="V389" s="12" t="s">
        <v>586</v>
      </c>
      <c r="W389" s="12">
        <v>86000000</v>
      </c>
      <c r="X389" s="12">
        <v>1997</v>
      </c>
      <c r="Y389" s="12">
        <v>11000</v>
      </c>
      <c r="Z389" s="12">
        <v>6.1</v>
      </c>
      <c r="AA389" s="12">
        <v>2.35</v>
      </c>
      <c r="AB389" s="12">
        <v>979</v>
      </c>
      <c r="AC389" s="12"/>
      <c r="AD389" s="12" t="str">
        <f>IFERROR(__xludf.DUMMYFUNCTION("""COMPUTED_VALUE"""),"Eddie Baroo")</f>
        <v>Eddie Baroo</v>
      </c>
      <c r="AE389" s="12"/>
    </row>
    <row r="390" customHeight="1" spans="1:31">
      <c r="A390" s="11" t="s">
        <v>30</v>
      </c>
      <c r="B390" s="11" t="s">
        <v>2272</v>
      </c>
      <c r="C390" s="11">
        <v>136</v>
      </c>
      <c r="D390" s="11">
        <v>138</v>
      </c>
      <c r="E390" s="11">
        <v>0</v>
      </c>
      <c r="F390" s="11">
        <v>123</v>
      </c>
      <c r="G390" s="11">
        <v>14000</v>
      </c>
      <c r="H390" s="11">
        <v>35168677</v>
      </c>
      <c r="I390" s="11" t="s">
        <v>2175</v>
      </c>
      <c r="J390" s="11" t="s">
        <v>228</v>
      </c>
      <c r="K390" s="11" t="s">
        <v>2273</v>
      </c>
      <c r="L390" s="11" t="s">
        <v>2274</v>
      </c>
      <c r="M390" s="11" t="s">
        <v>2275</v>
      </c>
      <c r="N390" s="11">
        <v>49311</v>
      </c>
      <c r="O390" s="11">
        <v>15149</v>
      </c>
      <c r="P390" s="11">
        <v>1</v>
      </c>
      <c r="Q390" s="11" t="s">
        <v>2276</v>
      </c>
      <c r="R390" s="14" t="s">
        <v>2277</v>
      </c>
      <c r="S390" s="11">
        <v>278</v>
      </c>
      <c r="T390" s="11" t="s">
        <v>39</v>
      </c>
      <c r="U390" s="11" t="s">
        <v>58</v>
      </c>
      <c r="V390" s="11" t="s">
        <v>41</v>
      </c>
      <c r="W390" s="11">
        <v>100000000</v>
      </c>
      <c r="X390" s="11">
        <v>2002</v>
      </c>
      <c r="Y390" s="11">
        <v>602</v>
      </c>
      <c r="Z390" s="11">
        <v>6.7</v>
      </c>
      <c r="AA390" s="11">
        <v>2.35</v>
      </c>
      <c r="AB390" s="11">
        <v>0</v>
      </c>
      <c r="AC390" s="11"/>
      <c r="AD390" s="11" t="str">
        <f>IFERROR(__xludf.DUMMYFUNCTION("""COMPUTED_VALUE"""),"Alfre Woodard")</f>
        <v>Alfre Woodard</v>
      </c>
      <c r="AE390" s="11"/>
    </row>
    <row r="391" customHeight="1" spans="1:31">
      <c r="A391" s="12" t="s">
        <v>30</v>
      </c>
      <c r="B391" s="12" t="s">
        <v>1501</v>
      </c>
      <c r="C391" s="12">
        <v>369</v>
      </c>
      <c r="D391" s="12">
        <v>100</v>
      </c>
      <c r="E391" s="12">
        <v>128</v>
      </c>
      <c r="F391" s="12">
        <v>78</v>
      </c>
      <c r="G391" s="12">
        <v>596</v>
      </c>
      <c r="H391" s="12">
        <v>56114221</v>
      </c>
      <c r="I391" s="12" t="s">
        <v>73</v>
      </c>
      <c r="J391" s="12" t="s">
        <v>1502</v>
      </c>
      <c r="K391" s="12" t="s">
        <v>1503</v>
      </c>
      <c r="L391" s="12" t="s">
        <v>1504</v>
      </c>
      <c r="M391" s="12" t="s">
        <v>1505</v>
      </c>
      <c r="N391" s="12">
        <v>110486</v>
      </c>
      <c r="O391" s="12">
        <v>1261</v>
      </c>
      <c r="P391" s="12">
        <v>3</v>
      </c>
      <c r="Q391" s="12" t="s">
        <v>1506</v>
      </c>
      <c r="R391" s="15" t="s">
        <v>1507</v>
      </c>
      <c r="S391" s="12">
        <v>695</v>
      </c>
      <c r="T391" s="12" t="s">
        <v>39</v>
      </c>
      <c r="U391" s="12" t="s">
        <v>40</v>
      </c>
      <c r="V391" s="12" t="s">
        <v>41</v>
      </c>
      <c r="W391" s="12">
        <v>120000000</v>
      </c>
      <c r="X391" s="12">
        <v>2015</v>
      </c>
      <c r="Y391" s="12">
        <v>360</v>
      </c>
      <c r="Z391" s="12">
        <v>4.3</v>
      </c>
      <c r="AA391" s="12">
        <v>2.35</v>
      </c>
      <c r="AB391" s="12">
        <v>41000</v>
      </c>
      <c r="AC391" s="12"/>
      <c r="AD391" s="12" t="str">
        <f>IFERROR(__xludf.DUMMYFUNCTION("""COMPUTED_VALUE"""),"D.B. Sweeney")</f>
        <v>D.B. Sweeney</v>
      </c>
      <c r="AE391" s="12"/>
    </row>
    <row r="392" customHeight="1" spans="1:31">
      <c r="A392" s="11" t="s">
        <v>30</v>
      </c>
      <c r="B392" s="11" t="s">
        <v>2278</v>
      </c>
      <c r="C392" s="11">
        <v>166</v>
      </c>
      <c r="D392" s="11">
        <v>129</v>
      </c>
      <c r="E392" s="11">
        <v>468</v>
      </c>
      <c r="F392" s="11">
        <v>183</v>
      </c>
      <c r="G392" s="11">
        <v>919</v>
      </c>
      <c r="H392" s="11">
        <v>37567440</v>
      </c>
      <c r="I392" s="11" t="s">
        <v>173</v>
      </c>
      <c r="J392" s="11" t="s">
        <v>2279</v>
      </c>
      <c r="K392" s="11" t="s">
        <v>752</v>
      </c>
      <c r="L392" s="11" t="s">
        <v>2280</v>
      </c>
      <c r="M392" s="11" t="s">
        <v>2281</v>
      </c>
      <c r="N392" s="11">
        <v>113065</v>
      </c>
      <c r="O392" s="11">
        <v>2024</v>
      </c>
      <c r="P392" s="11">
        <v>0</v>
      </c>
      <c r="Q392" s="11" t="s">
        <v>2282</v>
      </c>
      <c r="R392" s="14" t="s">
        <v>2283</v>
      </c>
      <c r="S392" s="11">
        <v>337</v>
      </c>
      <c r="T392" s="11" t="s">
        <v>39</v>
      </c>
      <c r="U392" s="11" t="s">
        <v>40</v>
      </c>
      <c r="V392" s="11" t="s">
        <v>586</v>
      </c>
      <c r="W392" s="11">
        <v>20000000</v>
      </c>
      <c r="X392" s="11">
        <v>1982</v>
      </c>
      <c r="Y392" s="11">
        <v>691</v>
      </c>
      <c r="Z392" s="11">
        <v>6.9</v>
      </c>
      <c r="AA392" s="11">
        <v>2.35</v>
      </c>
      <c r="AB392" s="11">
        <v>0</v>
      </c>
      <c r="AC392" s="11"/>
      <c r="AD392" s="11" t="str">
        <f>IFERROR(__xludf.DUMMYFUNCTION("""COMPUTED_VALUE"""),"Della Reese")</f>
        <v>Della Reese</v>
      </c>
      <c r="AE392" s="11"/>
    </row>
    <row r="393" customHeight="1" spans="1:31">
      <c r="A393" s="12" t="s">
        <v>30</v>
      </c>
      <c r="B393" s="12" t="s">
        <v>851</v>
      </c>
      <c r="C393" s="12">
        <v>201</v>
      </c>
      <c r="D393" s="12">
        <v>144</v>
      </c>
      <c r="E393" s="12">
        <v>2000</v>
      </c>
      <c r="F393" s="12">
        <v>537</v>
      </c>
      <c r="G393" s="12">
        <v>680</v>
      </c>
      <c r="H393" s="12">
        <v>61644321</v>
      </c>
      <c r="I393" s="12" t="s">
        <v>1635</v>
      </c>
      <c r="J393" s="12" t="s">
        <v>2284</v>
      </c>
      <c r="K393" s="12" t="s">
        <v>2285</v>
      </c>
      <c r="L393" s="12" t="s">
        <v>2286</v>
      </c>
      <c r="M393" s="12" t="s">
        <v>2287</v>
      </c>
      <c r="N393" s="12">
        <v>148238</v>
      </c>
      <c r="O393" s="12">
        <v>2523</v>
      </c>
      <c r="P393" s="12">
        <v>0</v>
      </c>
      <c r="Q393" s="12" t="s">
        <v>2288</v>
      </c>
      <c r="R393" s="15" t="s">
        <v>2289</v>
      </c>
      <c r="S393" s="12">
        <v>529</v>
      </c>
      <c r="T393" s="12" t="s">
        <v>39</v>
      </c>
      <c r="U393" s="12" t="s">
        <v>40</v>
      </c>
      <c r="V393" s="12" t="s">
        <v>41</v>
      </c>
      <c r="W393" s="12">
        <v>88000000</v>
      </c>
      <c r="X393" s="12">
        <v>2005</v>
      </c>
      <c r="Y393" s="12">
        <v>655</v>
      </c>
      <c r="Z393" s="12">
        <v>8</v>
      </c>
      <c r="AA393" s="12">
        <v>2.35</v>
      </c>
      <c r="AB393" s="12">
        <v>0</v>
      </c>
      <c r="AC393" s="12"/>
      <c r="AD393" s="12" t="str">
        <f>IFERROR(__xludf.DUMMYFUNCTION("""COMPUTED_VALUE"""),"Dave Legeno")</f>
        <v>Dave Legeno</v>
      </c>
      <c r="AE393" s="12"/>
    </row>
    <row r="394" customHeight="1" spans="1:31">
      <c r="A394" s="11" t="s">
        <v>30</v>
      </c>
      <c r="B394" s="11" t="s">
        <v>2290</v>
      </c>
      <c r="C394" s="11">
        <v>47</v>
      </c>
      <c r="D394" s="11">
        <v>110</v>
      </c>
      <c r="E394" s="11">
        <v>96</v>
      </c>
      <c r="F394" s="11">
        <v>554</v>
      </c>
      <c r="G394" s="11">
        <v>887</v>
      </c>
      <c r="H394" s="11">
        <v>190562</v>
      </c>
      <c r="I394" s="11" t="s">
        <v>2291</v>
      </c>
      <c r="J394" s="11" t="s">
        <v>2292</v>
      </c>
      <c r="K394" s="11" t="s">
        <v>1385</v>
      </c>
      <c r="L394" s="11" t="s">
        <v>2293</v>
      </c>
      <c r="M394" s="11" t="s">
        <v>2294</v>
      </c>
      <c r="N394" s="11">
        <v>2508</v>
      </c>
      <c r="O394" s="11">
        <v>2728</v>
      </c>
      <c r="P394" s="11">
        <v>0</v>
      </c>
      <c r="Q394" s="11" t="s">
        <v>2295</v>
      </c>
      <c r="R394" s="14" t="s">
        <v>2296</v>
      </c>
      <c r="S394" s="11">
        <v>24</v>
      </c>
      <c r="T394" s="11" t="s">
        <v>39</v>
      </c>
      <c r="U394" s="11" t="s">
        <v>58</v>
      </c>
      <c r="V394" s="11" t="s">
        <v>96</v>
      </c>
      <c r="W394" s="11">
        <v>90000000</v>
      </c>
      <c r="X394" s="11">
        <v>2010</v>
      </c>
      <c r="Y394" s="11">
        <v>886</v>
      </c>
      <c r="Z394" s="11">
        <v>4.4</v>
      </c>
      <c r="AA394" s="11">
        <v>2.35</v>
      </c>
      <c r="AB394" s="11">
        <v>788</v>
      </c>
      <c r="AC394" s="11"/>
      <c r="AD394" s="11" t="str">
        <f>IFERROR(__xludf.DUMMYFUNCTION("""COMPUTED_VALUE"""),"Ralph Ineson")</f>
        <v>Ralph Ineson</v>
      </c>
      <c r="AE394" s="11"/>
    </row>
    <row r="395" customHeight="1" spans="1:31">
      <c r="A395" s="12" t="s">
        <v>748</v>
      </c>
      <c r="B395" s="12" t="s">
        <v>2297</v>
      </c>
      <c r="C395" s="12">
        <v>175</v>
      </c>
      <c r="D395" s="12">
        <v>140</v>
      </c>
      <c r="E395" s="12">
        <v>378</v>
      </c>
      <c r="F395" s="12">
        <v>599</v>
      </c>
      <c r="G395" s="12">
        <v>12000</v>
      </c>
      <c r="H395" s="12">
        <v>120147445</v>
      </c>
      <c r="I395" s="12" t="s">
        <v>2298</v>
      </c>
      <c r="J395" s="12" t="s">
        <v>301</v>
      </c>
      <c r="K395" s="12" t="s">
        <v>2299</v>
      </c>
      <c r="L395" s="12" t="s">
        <v>757</v>
      </c>
      <c r="M395" s="12" t="s">
        <v>2300</v>
      </c>
      <c r="N395" s="12">
        <v>57661</v>
      </c>
      <c r="O395" s="12">
        <v>13808</v>
      </c>
      <c r="P395" s="12">
        <v>0</v>
      </c>
      <c r="Q395" s="12" t="s">
        <v>2301</v>
      </c>
      <c r="R395" s="15" t="s">
        <v>2302</v>
      </c>
      <c r="S395" s="12">
        <v>455</v>
      </c>
      <c r="T395" s="12" t="s">
        <v>39</v>
      </c>
      <c r="U395" s="12" t="s">
        <v>40</v>
      </c>
      <c r="V395" s="12" t="s">
        <v>41</v>
      </c>
      <c r="W395" s="12">
        <v>87000000</v>
      </c>
      <c r="X395" s="12">
        <v>2003</v>
      </c>
      <c r="Y395" s="12">
        <v>947</v>
      </c>
      <c r="Z395" s="12">
        <v>7.3</v>
      </c>
      <c r="AA395" s="12">
        <v>2.35</v>
      </c>
      <c r="AB395" s="12">
        <v>0</v>
      </c>
      <c r="AC395" s="12"/>
      <c r="AD395" s="12" t="str">
        <f>IFERROR(__xludf.DUMMYFUNCTION("""COMPUTED_VALUE"""),"Will Ferrell")</f>
        <v>Will Ferrell</v>
      </c>
      <c r="AE395" s="12"/>
    </row>
    <row r="396" customHeight="1" spans="1:31">
      <c r="A396" s="11" t="s">
        <v>30</v>
      </c>
      <c r="B396" s="11" t="s">
        <v>1606</v>
      </c>
      <c r="C396" s="11">
        <v>114</v>
      </c>
      <c r="D396" s="11">
        <v>113</v>
      </c>
      <c r="E396" s="11">
        <v>101</v>
      </c>
      <c r="F396" s="11">
        <v>848</v>
      </c>
      <c r="G396" s="11">
        <v>22000</v>
      </c>
      <c r="H396" s="11">
        <v>241688385</v>
      </c>
      <c r="I396" s="11" t="s">
        <v>712</v>
      </c>
      <c r="J396" s="11" t="s">
        <v>699</v>
      </c>
      <c r="K396" s="11" t="s">
        <v>2303</v>
      </c>
      <c r="L396" s="11" t="s">
        <v>2304</v>
      </c>
      <c r="M396" s="11" t="s">
        <v>2305</v>
      </c>
      <c r="N396" s="11">
        <v>144053</v>
      </c>
      <c r="O396" s="11">
        <v>26239</v>
      </c>
      <c r="P396" s="11">
        <v>0</v>
      </c>
      <c r="Q396" s="11" t="s">
        <v>2306</v>
      </c>
      <c r="R396" s="14" t="s">
        <v>2307</v>
      </c>
      <c r="S396" s="11">
        <v>395</v>
      </c>
      <c r="T396" s="11" t="s">
        <v>39</v>
      </c>
      <c r="U396" s="11" t="s">
        <v>40</v>
      </c>
      <c r="V396" s="11" t="s">
        <v>41</v>
      </c>
      <c r="W396" s="11">
        <v>92000000</v>
      </c>
      <c r="X396" s="11">
        <v>1996</v>
      </c>
      <c r="Y396" s="11">
        <v>946</v>
      </c>
      <c r="Z396" s="11">
        <v>6.3</v>
      </c>
      <c r="AA396" s="11">
        <v>2.35</v>
      </c>
      <c r="AB396" s="11">
        <v>0</v>
      </c>
      <c r="AC396" s="11"/>
      <c r="AD396" s="11" t="str">
        <f>IFERROR(__xludf.DUMMYFUNCTION("""COMPUTED_VALUE"""),"Verne Troyer")</f>
        <v>Verne Troyer</v>
      </c>
      <c r="AE396" s="11"/>
    </row>
    <row r="397" customHeight="1" spans="1:31">
      <c r="A397" s="12" t="s">
        <v>30</v>
      </c>
      <c r="B397" s="12" t="s">
        <v>500</v>
      </c>
      <c r="C397" s="12">
        <v>187</v>
      </c>
      <c r="D397" s="12">
        <v>106</v>
      </c>
      <c r="E397" s="12">
        <v>357</v>
      </c>
      <c r="F397" s="12">
        <v>4000</v>
      </c>
      <c r="G397" s="12">
        <v>23000</v>
      </c>
      <c r="H397" s="12">
        <v>144512310</v>
      </c>
      <c r="I397" s="12" t="s">
        <v>334</v>
      </c>
      <c r="J397" s="12" t="s">
        <v>336</v>
      </c>
      <c r="K397" s="12" t="s">
        <v>337</v>
      </c>
      <c r="L397" s="12" t="s">
        <v>682</v>
      </c>
      <c r="M397" s="12" t="s">
        <v>683</v>
      </c>
      <c r="N397" s="12">
        <v>272223</v>
      </c>
      <c r="O397" s="12">
        <v>45327</v>
      </c>
      <c r="P397" s="12">
        <v>2</v>
      </c>
      <c r="Q397" s="12" t="s">
        <v>684</v>
      </c>
      <c r="R397" s="15" t="s">
        <v>685</v>
      </c>
      <c r="S397" s="12">
        <v>988</v>
      </c>
      <c r="T397" s="12" t="s">
        <v>39</v>
      </c>
      <c r="U397" s="12" t="s">
        <v>40</v>
      </c>
      <c r="V397" s="12" t="s">
        <v>41</v>
      </c>
      <c r="W397" s="12">
        <v>38000000</v>
      </c>
      <c r="X397" s="12">
        <v>2001</v>
      </c>
      <c r="Y397" s="12">
        <v>14000</v>
      </c>
      <c r="Z397" s="12">
        <v>6.7</v>
      </c>
      <c r="AA397" s="12">
        <v>2.35</v>
      </c>
      <c r="AB397" s="12">
        <v>14000</v>
      </c>
      <c r="AC397" s="12"/>
      <c r="AD397" s="12" t="str">
        <f>IFERROR(__xludf.DUMMYFUNCTION("""COMPUTED_VALUE"""),"Stephanie Szostak")</f>
        <v>Stephanie Szostak</v>
      </c>
      <c r="AE397" s="12"/>
    </row>
    <row r="398" customHeight="1" spans="1:31">
      <c r="A398" s="11" t="s">
        <v>30</v>
      </c>
      <c r="B398" s="11" t="s">
        <v>436</v>
      </c>
      <c r="C398" s="11">
        <v>221</v>
      </c>
      <c r="D398" s="11">
        <v>143</v>
      </c>
      <c r="E398" s="11">
        <v>0</v>
      </c>
      <c r="F398" s="11">
        <v>272</v>
      </c>
      <c r="G398" s="11">
        <v>15000</v>
      </c>
      <c r="H398" s="11">
        <v>233630478</v>
      </c>
      <c r="I398" s="11" t="s">
        <v>2308</v>
      </c>
      <c r="J398" s="11" t="s">
        <v>322</v>
      </c>
      <c r="K398" s="11" t="s">
        <v>2309</v>
      </c>
      <c r="L398" s="11" t="s">
        <v>2310</v>
      </c>
      <c r="M398" s="11" t="s">
        <v>2311</v>
      </c>
      <c r="N398" s="11">
        <v>394317</v>
      </c>
      <c r="O398" s="11">
        <v>15838</v>
      </c>
      <c r="P398" s="11">
        <v>1</v>
      </c>
      <c r="Q398" s="11" t="s">
        <v>2312</v>
      </c>
      <c r="R398" s="14" t="s">
        <v>2313</v>
      </c>
      <c r="S398" s="11">
        <v>1051</v>
      </c>
      <c r="T398" s="11" t="s">
        <v>39</v>
      </c>
      <c r="U398" s="11" t="s">
        <v>40</v>
      </c>
      <c r="V398" s="11" t="s">
        <v>41</v>
      </c>
      <c r="W398" s="11">
        <v>90000000</v>
      </c>
      <c r="X398" s="11">
        <v>2000</v>
      </c>
      <c r="Y398" s="11">
        <v>410</v>
      </c>
      <c r="Z398" s="11">
        <v>7.7</v>
      </c>
      <c r="AA398" s="11">
        <v>1.85</v>
      </c>
      <c r="AB398" s="11">
        <v>23000</v>
      </c>
      <c r="AC398" s="11"/>
      <c r="AD398" s="11" t="str">
        <f>IFERROR(__xludf.DUMMYFUNCTION("""COMPUTED_VALUE"""),"Alfred Enoch")</f>
        <v>Alfred Enoch</v>
      </c>
      <c r="AE398" s="11"/>
    </row>
    <row r="399" customHeight="1" spans="1:31">
      <c r="A399" s="12" t="s">
        <v>30</v>
      </c>
      <c r="B399" s="12" t="s">
        <v>846</v>
      </c>
      <c r="C399" s="12">
        <v>206</v>
      </c>
      <c r="D399" s="12">
        <v>108</v>
      </c>
      <c r="E399" s="12">
        <v>750</v>
      </c>
      <c r="F399" s="12">
        <v>971</v>
      </c>
      <c r="G399" s="12">
        <v>49000</v>
      </c>
      <c r="H399" s="12">
        <v>197992827</v>
      </c>
      <c r="I399" s="12" t="s">
        <v>2314</v>
      </c>
      <c r="J399" s="12" t="s">
        <v>811</v>
      </c>
      <c r="K399" s="12" t="s">
        <v>263</v>
      </c>
      <c r="L399" s="12" t="s">
        <v>2315</v>
      </c>
      <c r="M399" s="12" t="s">
        <v>2316</v>
      </c>
      <c r="N399" s="12">
        <v>132501</v>
      </c>
      <c r="O399" s="12">
        <v>70996</v>
      </c>
      <c r="P399" s="12">
        <v>0</v>
      </c>
      <c r="Q399" s="12" t="s">
        <v>2317</v>
      </c>
      <c r="R399" s="15" t="s">
        <v>2318</v>
      </c>
      <c r="S399" s="12">
        <v>548</v>
      </c>
      <c r="T399" s="12" t="s">
        <v>39</v>
      </c>
      <c r="U399" s="12" t="s">
        <v>40</v>
      </c>
      <c r="V399" s="12" t="s">
        <v>96</v>
      </c>
      <c r="W399" s="12">
        <v>100000000</v>
      </c>
      <c r="X399" s="12">
        <v>2006</v>
      </c>
      <c r="Y399" s="12">
        <v>20000</v>
      </c>
      <c r="Z399" s="12">
        <v>6.5</v>
      </c>
      <c r="AA399" s="12">
        <v>2.35</v>
      </c>
      <c r="AB399" s="12">
        <v>0</v>
      </c>
      <c r="AC399" s="12"/>
      <c r="AD399" s="12" t="str">
        <f>IFERROR(__xludf.DUMMYFUNCTION("""COMPUTED_VALUE"""),"Seth Gabel")</f>
        <v>Seth Gabel</v>
      </c>
      <c r="AE399" s="12"/>
    </row>
    <row r="400" customHeight="1" spans="1:31">
      <c r="A400" s="11" t="s">
        <v>30</v>
      </c>
      <c r="B400" s="11" t="s">
        <v>1156</v>
      </c>
      <c r="C400" s="11">
        <v>239</v>
      </c>
      <c r="D400" s="11">
        <v>108</v>
      </c>
      <c r="E400" s="11">
        <v>521</v>
      </c>
      <c r="F400" s="11">
        <v>129</v>
      </c>
      <c r="G400" s="11">
        <v>13000</v>
      </c>
      <c r="H400" s="11">
        <v>176049130</v>
      </c>
      <c r="I400" s="11" t="s">
        <v>1157</v>
      </c>
      <c r="J400" s="11" t="s">
        <v>1158</v>
      </c>
      <c r="K400" s="11" t="s">
        <v>2319</v>
      </c>
      <c r="L400" s="11" t="s">
        <v>2320</v>
      </c>
      <c r="M400" s="11" t="s">
        <v>2321</v>
      </c>
      <c r="N400" s="11">
        <v>348232</v>
      </c>
      <c r="O400" s="11">
        <v>14161</v>
      </c>
      <c r="P400" s="11">
        <v>1</v>
      </c>
      <c r="Q400" s="11" t="s">
        <v>2322</v>
      </c>
      <c r="R400" s="14" t="s">
        <v>2323</v>
      </c>
      <c r="S400" s="11">
        <v>806</v>
      </c>
      <c r="T400" s="11" t="s">
        <v>39</v>
      </c>
      <c r="U400" s="11" t="s">
        <v>40</v>
      </c>
      <c r="V400" s="11" t="s">
        <v>41</v>
      </c>
      <c r="W400" s="11">
        <v>75000000</v>
      </c>
      <c r="X400" s="11">
        <v>2004</v>
      </c>
      <c r="Y400" s="11">
        <v>805</v>
      </c>
      <c r="Z400" s="11">
        <v>7.8</v>
      </c>
      <c r="AA400" s="11">
        <v>2.35</v>
      </c>
      <c r="AB400" s="11">
        <v>0</v>
      </c>
      <c r="AC400" s="11"/>
      <c r="AD400" s="11" t="str">
        <f>IFERROR(__xludf.DUMMYFUNCTION("""COMPUTED_VALUE"""),"Jürgen Prochnow")</f>
        <v>Jürgen Prochnow</v>
      </c>
      <c r="AE400" s="11"/>
    </row>
    <row r="401" customHeight="1" spans="1:31">
      <c r="A401" s="12" t="s">
        <v>30</v>
      </c>
      <c r="B401" s="12" t="s">
        <v>711</v>
      </c>
      <c r="C401" s="12">
        <v>142</v>
      </c>
      <c r="D401" s="12">
        <v>124</v>
      </c>
      <c r="E401" s="12">
        <v>249</v>
      </c>
      <c r="F401" s="12">
        <v>936</v>
      </c>
      <c r="G401" s="12">
        <v>11000</v>
      </c>
      <c r="H401" s="12">
        <v>172620724</v>
      </c>
      <c r="I401" s="12" t="s">
        <v>712</v>
      </c>
      <c r="J401" s="12" t="s">
        <v>391</v>
      </c>
      <c r="K401" s="12" t="s">
        <v>440</v>
      </c>
      <c r="L401" s="12" t="s">
        <v>2324</v>
      </c>
      <c r="M401" s="12" t="s">
        <v>2325</v>
      </c>
      <c r="N401" s="12">
        <v>146134</v>
      </c>
      <c r="O401" s="12">
        <v>23603</v>
      </c>
      <c r="P401" s="12">
        <v>1</v>
      </c>
      <c r="Q401" s="12" t="s">
        <v>2326</v>
      </c>
      <c r="R401" s="15" t="s">
        <v>2327</v>
      </c>
      <c r="S401" s="12">
        <v>393</v>
      </c>
      <c r="T401" s="12" t="s">
        <v>39</v>
      </c>
      <c r="U401" s="12" t="s">
        <v>40</v>
      </c>
      <c r="V401" s="12" t="s">
        <v>586</v>
      </c>
      <c r="W401" s="12">
        <v>85000000</v>
      </c>
      <c r="X401" s="12">
        <v>1997</v>
      </c>
      <c r="Y401" s="12">
        <v>10000</v>
      </c>
      <c r="Z401" s="12">
        <v>6.4</v>
      </c>
      <c r="AA401" s="12">
        <v>2.35</v>
      </c>
      <c r="AB401" s="12">
        <v>0</v>
      </c>
      <c r="AC401" s="12"/>
      <c r="AD401" s="12" t="str">
        <f>IFERROR(__xludf.DUMMYFUNCTION("""COMPUTED_VALUE"""),"Miguel Ferrer")</f>
        <v>Miguel Ferrer</v>
      </c>
      <c r="AE401" s="12"/>
    </row>
    <row r="402" customHeight="1" spans="1:31">
      <c r="A402" s="11" t="s">
        <v>30</v>
      </c>
      <c r="B402" s="11" t="s">
        <v>1527</v>
      </c>
      <c r="C402" s="11">
        <v>186</v>
      </c>
      <c r="D402" s="11">
        <v>116</v>
      </c>
      <c r="E402" s="11">
        <v>0</v>
      </c>
      <c r="F402" s="11">
        <v>471</v>
      </c>
      <c r="G402" s="11">
        <v>11000</v>
      </c>
      <c r="H402" s="11">
        <v>183405771</v>
      </c>
      <c r="I402" s="11" t="s">
        <v>1528</v>
      </c>
      <c r="J402" s="11" t="s">
        <v>343</v>
      </c>
      <c r="K402" s="11" t="s">
        <v>804</v>
      </c>
      <c r="L402" s="11" t="s">
        <v>2328</v>
      </c>
      <c r="M402" s="11" t="s">
        <v>2329</v>
      </c>
      <c r="N402" s="11">
        <v>402645</v>
      </c>
      <c r="O402" s="11">
        <v>13028</v>
      </c>
      <c r="P402" s="11">
        <v>4</v>
      </c>
      <c r="Q402" s="11" t="s">
        <v>2330</v>
      </c>
      <c r="R402" s="14" t="s">
        <v>2331</v>
      </c>
      <c r="S402" s="11">
        <v>845</v>
      </c>
      <c r="T402" s="11" t="s">
        <v>39</v>
      </c>
      <c r="U402" s="11" t="s">
        <v>40</v>
      </c>
      <c r="V402" s="11" t="s">
        <v>41</v>
      </c>
      <c r="W402" s="11">
        <v>85000000</v>
      </c>
      <c r="X402" s="11">
        <v>2001</v>
      </c>
      <c r="Y402" s="11">
        <v>1000</v>
      </c>
      <c r="Z402" s="11">
        <v>7.8</v>
      </c>
      <c r="AA402" s="11">
        <v>2.35</v>
      </c>
      <c r="AB402" s="11">
        <v>0</v>
      </c>
      <c r="AC402" s="11"/>
      <c r="AD402" s="11" t="str">
        <f>IFERROR(__xludf.DUMMYFUNCTION("""COMPUTED_VALUE"""),"Rachel Crow")</f>
        <v>Rachel Crow</v>
      </c>
      <c r="AE402" s="11"/>
    </row>
    <row r="403" customHeight="1" spans="1:31">
      <c r="A403" s="12" t="s">
        <v>30</v>
      </c>
      <c r="B403" s="12" t="s">
        <v>2332</v>
      </c>
      <c r="C403" s="12">
        <v>228</v>
      </c>
      <c r="D403" s="12">
        <v>110</v>
      </c>
      <c r="E403" s="12">
        <v>545</v>
      </c>
      <c r="F403" s="12">
        <v>5000</v>
      </c>
      <c r="G403" s="12">
        <v>14000</v>
      </c>
      <c r="H403" s="12">
        <v>20315324</v>
      </c>
      <c r="I403" s="12" t="s">
        <v>81</v>
      </c>
      <c r="J403" s="12" t="s">
        <v>1973</v>
      </c>
      <c r="K403" s="12" t="s">
        <v>1207</v>
      </c>
      <c r="L403" s="12" t="s">
        <v>45</v>
      </c>
      <c r="M403" s="12" t="s">
        <v>2333</v>
      </c>
      <c r="N403" s="12">
        <v>88542</v>
      </c>
      <c r="O403" s="12">
        <v>27694</v>
      </c>
      <c r="P403" s="12">
        <v>8</v>
      </c>
      <c r="Q403" s="12" t="s">
        <v>2334</v>
      </c>
      <c r="R403" s="15" t="s">
        <v>2335</v>
      </c>
      <c r="S403" s="12">
        <v>254</v>
      </c>
      <c r="T403" s="12" t="s">
        <v>39</v>
      </c>
      <c r="U403" s="12" t="s">
        <v>768</v>
      </c>
      <c r="V403" s="12" t="s">
        <v>41</v>
      </c>
      <c r="W403" s="12">
        <v>75000000</v>
      </c>
      <c r="X403" s="12">
        <v>2011</v>
      </c>
      <c r="Y403" s="12">
        <v>8000</v>
      </c>
      <c r="Z403" s="12">
        <v>5.8</v>
      </c>
      <c r="AA403" s="12">
        <v>2.35</v>
      </c>
      <c r="AB403" s="12">
        <v>19000</v>
      </c>
      <c r="AC403" s="12"/>
      <c r="AD403" s="12" t="str">
        <f>IFERROR(__xludf.DUMMYFUNCTION("""COMPUTED_VALUE"""),"Jeffrey Garcia")</f>
        <v>Jeffrey Garcia</v>
      </c>
      <c r="AE403" s="12"/>
    </row>
    <row r="404" customHeight="1" spans="1:31">
      <c r="A404" s="11" t="s">
        <v>30</v>
      </c>
      <c r="B404" s="11" t="s">
        <v>2336</v>
      </c>
      <c r="C404" s="11">
        <v>256</v>
      </c>
      <c r="D404" s="11">
        <v>91</v>
      </c>
      <c r="E404" s="11">
        <v>266</v>
      </c>
      <c r="F404" s="11">
        <v>11000</v>
      </c>
      <c r="G404" s="11">
        <v>12000</v>
      </c>
      <c r="H404" s="11">
        <v>148313048</v>
      </c>
      <c r="I404" s="11" t="s">
        <v>793</v>
      </c>
      <c r="J404" s="11" t="s">
        <v>272</v>
      </c>
      <c r="K404" s="11" t="s">
        <v>2180</v>
      </c>
      <c r="L404" s="11" t="s">
        <v>1957</v>
      </c>
      <c r="M404" s="11" t="s">
        <v>2337</v>
      </c>
      <c r="N404" s="11">
        <v>164148</v>
      </c>
      <c r="O404" s="11">
        <v>37142</v>
      </c>
      <c r="P404" s="11">
        <v>2</v>
      </c>
      <c r="Q404" s="11" t="s">
        <v>2338</v>
      </c>
      <c r="R404" s="14" t="s">
        <v>2339</v>
      </c>
      <c r="S404" s="11">
        <v>168</v>
      </c>
      <c r="T404" s="11" t="s">
        <v>39</v>
      </c>
      <c r="U404" s="11" t="s">
        <v>40</v>
      </c>
      <c r="V404" s="11" t="s">
        <v>96</v>
      </c>
      <c r="W404" s="11">
        <v>85000000</v>
      </c>
      <c r="X404" s="11">
        <v>2012</v>
      </c>
      <c r="Y404" s="11">
        <v>11000</v>
      </c>
      <c r="Z404" s="11">
        <v>7.1</v>
      </c>
      <c r="AA404" s="11">
        <v>1.85</v>
      </c>
      <c r="AB404" s="11">
        <v>28000</v>
      </c>
      <c r="AC404" s="11"/>
      <c r="AD404" s="11" t="str">
        <f>IFERROR(__xludf.DUMMYFUNCTION("""COMPUTED_VALUE"""),"Bruce Davison")</f>
        <v>Bruce Davison</v>
      </c>
      <c r="AE404" s="11"/>
    </row>
    <row r="405" customHeight="1" spans="1:31">
      <c r="A405" s="12" t="s">
        <v>30</v>
      </c>
      <c r="B405" s="12" t="s">
        <v>2340</v>
      </c>
      <c r="C405" s="12">
        <v>222</v>
      </c>
      <c r="D405" s="12">
        <v>107</v>
      </c>
      <c r="E405" s="12">
        <v>36</v>
      </c>
      <c r="F405" s="12">
        <v>118</v>
      </c>
      <c r="G405" s="12">
        <v>283</v>
      </c>
      <c r="H405" s="12">
        <v>127706877</v>
      </c>
      <c r="I405" s="12" t="s">
        <v>2341</v>
      </c>
      <c r="J405" s="12" t="s">
        <v>2342</v>
      </c>
      <c r="K405" s="12" t="s">
        <v>2343</v>
      </c>
      <c r="L405" s="12" t="s">
        <v>2344</v>
      </c>
      <c r="M405" s="12" t="s">
        <v>2345</v>
      </c>
      <c r="N405" s="12">
        <v>142496</v>
      </c>
      <c r="O405" s="12">
        <v>662</v>
      </c>
      <c r="P405" s="12">
        <v>2</v>
      </c>
      <c r="Q405" s="12" t="s">
        <v>2346</v>
      </c>
      <c r="R405" s="15" t="s">
        <v>2347</v>
      </c>
      <c r="S405" s="12">
        <v>399</v>
      </c>
      <c r="T405" s="12" t="s">
        <v>39</v>
      </c>
      <c r="U405" s="12" t="s">
        <v>40</v>
      </c>
      <c r="V405" s="12" t="s">
        <v>96</v>
      </c>
      <c r="W405" s="12">
        <v>85000000</v>
      </c>
      <c r="X405" s="12">
        <v>2007</v>
      </c>
      <c r="Y405" s="12">
        <v>142</v>
      </c>
      <c r="Z405" s="12">
        <v>7.1</v>
      </c>
      <c r="AA405" s="12">
        <v>2.35</v>
      </c>
      <c r="AB405" s="12">
        <v>0</v>
      </c>
      <c r="AC405" s="12"/>
      <c r="AD405" s="12" t="str">
        <f>IFERROR(__xludf.DUMMYFUNCTION("""COMPUTED_VALUE"""),"Aaron Stanford")</f>
        <v>Aaron Stanford</v>
      </c>
      <c r="AE405" s="12"/>
    </row>
    <row r="406" customHeight="1" spans="1:31">
      <c r="A406" s="11" t="s">
        <v>30</v>
      </c>
      <c r="B406" s="13"/>
      <c r="C406" s="11">
        <v>103</v>
      </c>
      <c r="D406" s="11">
        <v>44</v>
      </c>
      <c r="E406" s="13"/>
      <c r="F406" s="11">
        <v>148</v>
      </c>
      <c r="G406" s="11">
        <v>544</v>
      </c>
      <c r="H406" s="13"/>
      <c r="I406" s="11" t="s">
        <v>2348</v>
      </c>
      <c r="J406" s="11" t="s">
        <v>2349</v>
      </c>
      <c r="K406" s="11" t="s">
        <v>2350</v>
      </c>
      <c r="L406" s="11" t="s">
        <v>2351</v>
      </c>
      <c r="M406" s="11" t="s">
        <v>2352</v>
      </c>
      <c r="N406" s="11">
        <v>159910</v>
      </c>
      <c r="O406" s="11">
        <v>996</v>
      </c>
      <c r="P406" s="11">
        <v>1</v>
      </c>
      <c r="Q406" s="11" t="s">
        <v>2353</v>
      </c>
      <c r="R406" s="14" t="s">
        <v>2354</v>
      </c>
      <c r="S406" s="11">
        <v>270</v>
      </c>
      <c r="T406" s="11" t="s">
        <v>39</v>
      </c>
      <c r="U406" s="11" t="s">
        <v>40</v>
      </c>
      <c r="V406" s="11" t="s">
        <v>1127</v>
      </c>
      <c r="W406" s="13"/>
      <c r="X406" s="13"/>
      <c r="Y406" s="11">
        <v>183</v>
      </c>
      <c r="Z406" s="11">
        <v>8.6</v>
      </c>
      <c r="AA406" s="11">
        <v>1.78</v>
      </c>
      <c r="AB406" s="11">
        <v>59000</v>
      </c>
      <c r="AC406" s="11"/>
      <c r="AD406" s="11" t="str">
        <f>IFERROR(__xludf.DUMMYFUNCTION("""COMPUTED_VALUE"""),"Paul Anderson")</f>
        <v>Paul Anderson</v>
      </c>
      <c r="AE406" s="11"/>
    </row>
    <row r="407" customHeight="1" spans="1:31">
      <c r="A407" s="12" t="s">
        <v>30</v>
      </c>
      <c r="B407" s="12" t="s">
        <v>2355</v>
      </c>
      <c r="C407" s="12">
        <v>298</v>
      </c>
      <c r="D407" s="12">
        <v>115</v>
      </c>
      <c r="E407" s="12">
        <v>79</v>
      </c>
      <c r="F407" s="12">
        <v>820</v>
      </c>
      <c r="G407" s="12">
        <v>18000</v>
      </c>
      <c r="H407" s="12">
        <v>126149655</v>
      </c>
      <c r="I407" s="12" t="s">
        <v>1200</v>
      </c>
      <c r="J407" s="12" t="s">
        <v>1727</v>
      </c>
      <c r="K407" s="12" t="s">
        <v>315</v>
      </c>
      <c r="L407" s="12" t="s">
        <v>1046</v>
      </c>
      <c r="M407" s="12" t="s">
        <v>2356</v>
      </c>
      <c r="N407" s="12">
        <v>166693</v>
      </c>
      <c r="O407" s="12">
        <v>36237</v>
      </c>
      <c r="P407" s="12">
        <v>1</v>
      </c>
      <c r="Q407" s="12" t="s">
        <v>2357</v>
      </c>
      <c r="R407" s="15" t="s">
        <v>2358</v>
      </c>
      <c r="S407" s="12">
        <v>276</v>
      </c>
      <c r="T407" s="12" t="s">
        <v>39</v>
      </c>
      <c r="U407" s="12" t="s">
        <v>40</v>
      </c>
      <c r="V407" s="12" t="s">
        <v>586</v>
      </c>
      <c r="W407" s="12">
        <v>85000000</v>
      </c>
      <c r="X407" s="12">
        <v>2012</v>
      </c>
      <c r="Y407" s="12">
        <v>16000</v>
      </c>
      <c r="Z407" s="12">
        <v>6.8</v>
      </c>
      <c r="AA407" s="12">
        <v>2.35</v>
      </c>
      <c r="AB407" s="12">
        <v>19000</v>
      </c>
      <c r="AC407" s="12"/>
      <c r="AD407" s="12" t="str">
        <f>IFERROR(__xludf.DUMMYFUNCTION("""COMPUTED_VALUE"""),"Alexa Davalos")</f>
        <v>Alexa Davalos</v>
      </c>
      <c r="AE407" s="12"/>
    </row>
    <row r="408" customHeight="1" spans="1:31">
      <c r="A408" s="11" t="s">
        <v>30</v>
      </c>
      <c r="B408" s="11" t="s">
        <v>2340</v>
      </c>
      <c r="C408" s="11">
        <v>84</v>
      </c>
      <c r="D408" s="11">
        <v>100</v>
      </c>
      <c r="E408" s="11">
        <v>36</v>
      </c>
      <c r="F408" s="11">
        <v>439</v>
      </c>
      <c r="G408" s="11">
        <v>2000</v>
      </c>
      <c r="H408" s="11">
        <v>66941559</v>
      </c>
      <c r="I408" s="11" t="s">
        <v>2359</v>
      </c>
      <c r="J408" s="11" t="s">
        <v>1353</v>
      </c>
      <c r="K408" s="11" t="s">
        <v>724</v>
      </c>
      <c r="L408" s="11" t="s">
        <v>2360</v>
      </c>
      <c r="M408" s="11" t="s">
        <v>2361</v>
      </c>
      <c r="N408" s="11">
        <v>26413</v>
      </c>
      <c r="O408" s="11">
        <v>4182</v>
      </c>
      <c r="P408" s="11">
        <v>1</v>
      </c>
      <c r="Q408" s="11" t="s">
        <v>2362</v>
      </c>
      <c r="R408" s="14" t="s">
        <v>2363</v>
      </c>
      <c r="S408" s="11">
        <v>77</v>
      </c>
      <c r="T408" s="11" t="s">
        <v>39</v>
      </c>
      <c r="U408" s="11" t="s">
        <v>40</v>
      </c>
      <c r="V408" s="11" t="s">
        <v>278</v>
      </c>
      <c r="W408" s="11">
        <v>85000000</v>
      </c>
      <c r="X408" s="11">
        <v>2000</v>
      </c>
      <c r="Y408" s="11">
        <v>795</v>
      </c>
      <c r="Z408" s="11">
        <v>4.8</v>
      </c>
      <c r="AA408" s="11">
        <v>1.85</v>
      </c>
      <c r="AB408" s="11">
        <v>372</v>
      </c>
      <c r="AC408" s="11"/>
      <c r="AD408" s="11" t="str">
        <f>IFERROR(__xludf.DUMMYFUNCTION("""COMPUTED_VALUE"""),"Ronny Cox")</f>
        <v>Ronny Cox</v>
      </c>
      <c r="AE408" s="11"/>
    </row>
    <row r="409" customHeight="1" spans="1:31">
      <c r="A409" s="12" t="s">
        <v>30</v>
      </c>
      <c r="B409" s="12" t="s">
        <v>261</v>
      </c>
      <c r="C409" s="12">
        <v>236</v>
      </c>
      <c r="D409" s="12">
        <v>104</v>
      </c>
      <c r="E409" s="12">
        <v>420</v>
      </c>
      <c r="F409" s="12">
        <v>535</v>
      </c>
      <c r="G409" s="12">
        <v>2000</v>
      </c>
      <c r="H409" s="12">
        <v>78009155</v>
      </c>
      <c r="I409" s="12" t="s">
        <v>1753</v>
      </c>
      <c r="J409" s="12" t="s">
        <v>902</v>
      </c>
      <c r="K409" s="12" t="s">
        <v>2364</v>
      </c>
      <c r="L409" s="12" t="s">
        <v>636</v>
      </c>
      <c r="M409" s="12" t="s">
        <v>2365</v>
      </c>
      <c r="N409" s="12">
        <v>110073</v>
      </c>
      <c r="O409" s="12">
        <v>3768</v>
      </c>
      <c r="P409" s="12">
        <v>5</v>
      </c>
      <c r="Q409" s="12" t="s">
        <v>2366</v>
      </c>
      <c r="R409" s="15" t="s">
        <v>2367</v>
      </c>
      <c r="S409" s="12">
        <v>194</v>
      </c>
      <c r="T409" s="12" t="s">
        <v>39</v>
      </c>
      <c r="U409" s="12" t="s">
        <v>40</v>
      </c>
      <c r="V409" s="12" t="s">
        <v>41</v>
      </c>
      <c r="W409" s="12">
        <v>75000000</v>
      </c>
      <c r="X409" s="12">
        <v>2011</v>
      </c>
      <c r="Y409" s="12">
        <v>906</v>
      </c>
      <c r="Z409" s="12">
        <v>6.2</v>
      </c>
      <c r="AA409" s="12">
        <v>2.35</v>
      </c>
      <c r="AB409" s="12">
        <v>0</v>
      </c>
      <c r="AC409" s="12"/>
      <c r="AD409" s="12" t="str">
        <f>IFERROR(__xludf.DUMMYFUNCTION("""COMPUTED_VALUE"""),"Rachel Ticotin")</f>
        <v>Rachel Ticotin</v>
      </c>
      <c r="AE409" s="12"/>
    </row>
    <row r="410" customHeight="1" spans="1:31">
      <c r="A410" s="11" t="s">
        <v>30</v>
      </c>
      <c r="B410" s="11" t="s">
        <v>2368</v>
      </c>
      <c r="C410" s="11">
        <v>157</v>
      </c>
      <c r="D410" s="11">
        <v>138</v>
      </c>
      <c r="E410" s="11">
        <v>278</v>
      </c>
      <c r="F410" s="11">
        <v>213</v>
      </c>
      <c r="G410" s="11">
        <v>14000</v>
      </c>
      <c r="H410" s="11">
        <v>63224849</v>
      </c>
      <c r="I410" s="11" t="s">
        <v>1681</v>
      </c>
      <c r="J410" s="11" t="s">
        <v>216</v>
      </c>
      <c r="K410" s="11" t="s">
        <v>1816</v>
      </c>
      <c r="L410" s="11" t="s">
        <v>2369</v>
      </c>
      <c r="M410" s="11" t="s">
        <v>2370</v>
      </c>
      <c r="N410" s="11">
        <v>182757</v>
      </c>
      <c r="O410" s="11">
        <v>17423</v>
      </c>
      <c r="P410" s="11">
        <v>3</v>
      </c>
      <c r="Q410" s="11" t="s">
        <v>2371</v>
      </c>
      <c r="R410" s="14" t="s">
        <v>2372</v>
      </c>
      <c r="S410" s="11">
        <v>483</v>
      </c>
      <c r="T410" s="11" t="s">
        <v>39</v>
      </c>
      <c r="U410" s="11" t="s">
        <v>40</v>
      </c>
      <c r="V410" s="11" t="s">
        <v>41</v>
      </c>
      <c r="W410" s="11">
        <v>85000000</v>
      </c>
      <c r="X410" s="11">
        <v>2006</v>
      </c>
      <c r="Y410" s="11">
        <v>3000</v>
      </c>
      <c r="Z410" s="11">
        <v>6.9</v>
      </c>
      <c r="AA410" s="11">
        <v>1.85</v>
      </c>
      <c r="AB410" s="11">
        <v>19000</v>
      </c>
      <c r="AC410" s="11"/>
      <c r="AD410" s="11" t="str">
        <f>IFERROR(__xludf.DUMMYFUNCTION("""COMPUTED_VALUE"""),"Marshall Bell")</f>
        <v>Marshall Bell</v>
      </c>
      <c r="AE410" s="11"/>
    </row>
    <row r="411" customHeight="1" spans="1:31">
      <c r="A411" s="12" t="s">
        <v>30</v>
      </c>
      <c r="B411" s="12" t="s">
        <v>1740</v>
      </c>
      <c r="C411" s="12">
        <v>81</v>
      </c>
      <c r="D411" s="12">
        <v>140</v>
      </c>
      <c r="E411" s="12">
        <v>12000</v>
      </c>
      <c r="F411" s="12">
        <v>619</v>
      </c>
      <c r="G411" s="12">
        <v>10000</v>
      </c>
      <c r="H411" s="12">
        <v>111544445</v>
      </c>
      <c r="I411" s="12" t="s">
        <v>1120</v>
      </c>
      <c r="J411" s="12" t="s">
        <v>166</v>
      </c>
      <c r="K411" s="12" t="s">
        <v>1842</v>
      </c>
      <c r="L411" s="12" t="s">
        <v>2373</v>
      </c>
      <c r="M411" s="12" t="s">
        <v>2374</v>
      </c>
      <c r="N411" s="12">
        <v>188116</v>
      </c>
      <c r="O411" s="12">
        <v>11951</v>
      </c>
      <c r="P411" s="12">
        <v>4</v>
      </c>
      <c r="Q411" s="12" t="s">
        <v>2375</v>
      </c>
      <c r="R411" s="15" t="s">
        <v>2376</v>
      </c>
      <c r="S411" s="12">
        <v>415</v>
      </c>
      <c r="T411" s="12" t="s">
        <v>39</v>
      </c>
      <c r="U411" s="12" t="s">
        <v>40</v>
      </c>
      <c r="V411" s="12" t="s">
        <v>586</v>
      </c>
      <c r="W411" s="12">
        <v>90000000</v>
      </c>
      <c r="X411" s="12">
        <v>1998</v>
      </c>
      <c r="Y411" s="12">
        <v>660</v>
      </c>
      <c r="Z411" s="12">
        <v>7.3</v>
      </c>
      <c r="AA411" s="12">
        <v>2.35</v>
      </c>
      <c r="AB411" s="12">
        <v>0</v>
      </c>
      <c r="AC411" s="12"/>
      <c r="AD411" s="12" t="str">
        <f>IFERROR(__xludf.DUMMYFUNCTION("""COMPUTED_VALUE"""),"Vladimir Kulich")</f>
        <v>Vladimir Kulich</v>
      </c>
      <c r="AE411" s="12"/>
    </row>
    <row r="412" customHeight="1" spans="1:31">
      <c r="A412" s="11" t="s">
        <v>30</v>
      </c>
      <c r="B412" s="11" t="s">
        <v>2368</v>
      </c>
      <c r="C412" s="11">
        <v>187</v>
      </c>
      <c r="D412" s="11">
        <v>120</v>
      </c>
      <c r="E412" s="11">
        <v>278</v>
      </c>
      <c r="F412" s="11">
        <v>963</v>
      </c>
      <c r="G412" s="11">
        <v>11000</v>
      </c>
      <c r="H412" s="11">
        <v>112703470</v>
      </c>
      <c r="I412" s="11" t="s">
        <v>1415</v>
      </c>
      <c r="J412" s="11" t="s">
        <v>2377</v>
      </c>
      <c r="K412" s="11" t="s">
        <v>2378</v>
      </c>
      <c r="L412" s="11" t="s">
        <v>2379</v>
      </c>
      <c r="M412" s="11" t="s">
        <v>2380</v>
      </c>
      <c r="N412" s="11">
        <v>69860</v>
      </c>
      <c r="O412" s="11">
        <v>15226</v>
      </c>
      <c r="P412" s="11">
        <v>2</v>
      </c>
      <c r="Q412" s="11" t="s">
        <v>2381</v>
      </c>
      <c r="R412" s="14" t="s">
        <v>2382</v>
      </c>
      <c r="S412" s="11">
        <v>214</v>
      </c>
      <c r="T412" s="11" t="s">
        <v>39</v>
      </c>
      <c r="U412" s="11" t="s">
        <v>40</v>
      </c>
      <c r="V412" s="11" t="s">
        <v>586</v>
      </c>
      <c r="W412" s="11">
        <v>85000000</v>
      </c>
      <c r="X412" s="11">
        <v>2009</v>
      </c>
      <c r="Y412" s="11">
        <v>2000</v>
      </c>
      <c r="Z412" s="11">
        <v>6.6</v>
      </c>
      <c r="AA412" s="11">
        <v>1.85</v>
      </c>
      <c r="AB412" s="11">
        <v>0</v>
      </c>
      <c r="AC412" s="11"/>
      <c r="AD412" s="11" t="str">
        <f>IFERROR(__xludf.DUMMYFUNCTION("""COMPUTED_VALUE"""),"Clive Russell")</f>
        <v>Clive Russell</v>
      </c>
      <c r="AE412" s="11"/>
    </row>
    <row r="413" customHeight="1" spans="1:31">
      <c r="A413" s="12" t="s">
        <v>30</v>
      </c>
      <c r="B413" s="12" t="s">
        <v>1527</v>
      </c>
      <c r="C413" s="12">
        <v>238</v>
      </c>
      <c r="D413" s="12">
        <v>122</v>
      </c>
      <c r="E413" s="12">
        <v>0</v>
      </c>
      <c r="F413" s="12">
        <v>11000</v>
      </c>
      <c r="G413" s="12">
        <v>14000</v>
      </c>
      <c r="H413" s="12">
        <v>117144465</v>
      </c>
      <c r="I413" s="12" t="s">
        <v>1528</v>
      </c>
      <c r="J413" s="12" t="s">
        <v>2383</v>
      </c>
      <c r="K413" s="12" t="s">
        <v>1158</v>
      </c>
      <c r="L413" s="12" t="s">
        <v>343</v>
      </c>
      <c r="M413" s="12" t="s">
        <v>2384</v>
      </c>
      <c r="N413" s="12">
        <v>256928</v>
      </c>
      <c r="O413" s="12">
        <v>43499</v>
      </c>
      <c r="P413" s="12">
        <v>3</v>
      </c>
      <c r="Q413" s="12" t="s">
        <v>2385</v>
      </c>
      <c r="R413" s="15" t="s">
        <v>2386</v>
      </c>
      <c r="S413" s="12">
        <v>288</v>
      </c>
      <c r="T413" s="12" t="s">
        <v>39</v>
      </c>
      <c r="U413" s="12" t="s">
        <v>40</v>
      </c>
      <c r="V413" s="12" t="s">
        <v>41</v>
      </c>
      <c r="W413" s="12">
        <v>85000000</v>
      </c>
      <c r="X413" s="12">
        <v>2007</v>
      </c>
      <c r="Y413" s="12">
        <v>13000</v>
      </c>
      <c r="Z413" s="12">
        <v>6.9</v>
      </c>
      <c r="AA413" s="12">
        <v>2.35</v>
      </c>
      <c r="AB413" s="12">
        <v>0</v>
      </c>
      <c r="AC413" s="12"/>
      <c r="AD413" s="12" t="str">
        <f>IFERROR(__xludf.DUMMYFUNCTION("""COMPUTED_VALUE"""),"Scott Glenn")</f>
        <v>Scott Glenn</v>
      </c>
      <c r="AE413" s="12"/>
    </row>
    <row r="414" customHeight="1" spans="1:31">
      <c r="A414" s="11" t="s">
        <v>30</v>
      </c>
      <c r="B414" s="11" t="s">
        <v>2387</v>
      </c>
      <c r="C414" s="11">
        <v>107</v>
      </c>
      <c r="D414" s="11">
        <v>83</v>
      </c>
      <c r="E414" s="11">
        <v>28</v>
      </c>
      <c r="F414" s="11">
        <v>624</v>
      </c>
      <c r="G414" s="11">
        <v>4000</v>
      </c>
      <c r="H414" s="11">
        <v>84303558</v>
      </c>
      <c r="I414" s="11" t="s">
        <v>471</v>
      </c>
      <c r="J414" s="11" t="s">
        <v>251</v>
      </c>
      <c r="K414" s="11" t="s">
        <v>2388</v>
      </c>
      <c r="L414" s="11" t="s">
        <v>2389</v>
      </c>
      <c r="M414" s="11" t="s">
        <v>2390</v>
      </c>
      <c r="N414" s="11">
        <v>65270</v>
      </c>
      <c r="O414" s="11">
        <v>6081</v>
      </c>
      <c r="P414" s="11">
        <v>1</v>
      </c>
      <c r="Q414" s="11" t="s">
        <v>2391</v>
      </c>
      <c r="R414" s="14" t="s">
        <v>2392</v>
      </c>
      <c r="S414" s="11">
        <v>100</v>
      </c>
      <c r="T414" s="11" t="s">
        <v>39</v>
      </c>
      <c r="U414" s="11" t="s">
        <v>40</v>
      </c>
      <c r="V414" s="11" t="s">
        <v>96</v>
      </c>
      <c r="W414" s="11">
        <v>85000000</v>
      </c>
      <c r="X414" s="11">
        <v>2006</v>
      </c>
      <c r="Y414" s="11">
        <v>650</v>
      </c>
      <c r="Z414" s="11">
        <v>6.2</v>
      </c>
      <c r="AA414" s="11">
        <v>1.85</v>
      </c>
      <c r="AB414" s="11">
        <v>863</v>
      </c>
      <c r="AC414" s="11"/>
      <c r="AD414" s="11" t="str">
        <f>IFERROR(__xludf.DUMMYFUNCTION("""COMPUTED_VALUE"""),"Stacy Keach")</f>
        <v>Stacy Keach</v>
      </c>
      <c r="AE414" s="11"/>
    </row>
    <row r="415" customHeight="1" spans="1:31">
      <c r="A415" s="12" t="s">
        <v>30</v>
      </c>
      <c r="B415" s="12" t="s">
        <v>2393</v>
      </c>
      <c r="C415" s="12">
        <v>459</v>
      </c>
      <c r="D415" s="12">
        <v>139</v>
      </c>
      <c r="E415" s="12">
        <v>168</v>
      </c>
      <c r="F415" s="12">
        <v>1000</v>
      </c>
      <c r="G415" s="12">
        <v>14000</v>
      </c>
      <c r="H415" s="12">
        <v>150832203</v>
      </c>
      <c r="I415" s="12" t="s">
        <v>1381</v>
      </c>
      <c r="J415" s="12" t="s">
        <v>216</v>
      </c>
      <c r="K415" s="12" t="s">
        <v>1539</v>
      </c>
      <c r="L415" s="12" t="s">
        <v>1540</v>
      </c>
      <c r="M415" s="12" t="s">
        <v>2394</v>
      </c>
      <c r="N415" s="12">
        <v>341058</v>
      </c>
      <c r="O415" s="12">
        <v>22226</v>
      </c>
      <c r="P415" s="12">
        <v>2</v>
      </c>
      <c r="Q415" s="12" t="s">
        <v>2395</v>
      </c>
      <c r="R415" s="15" t="s">
        <v>2396</v>
      </c>
      <c r="S415" s="12">
        <v>713</v>
      </c>
      <c r="T415" s="12" t="s">
        <v>39</v>
      </c>
      <c r="U415" s="12" t="s">
        <v>40</v>
      </c>
      <c r="V415" s="12" t="s">
        <v>41</v>
      </c>
      <c r="W415" s="12">
        <v>85000000</v>
      </c>
      <c r="X415" s="12">
        <v>2014</v>
      </c>
      <c r="Y415" s="12">
        <v>5000</v>
      </c>
      <c r="Z415" s="12">
        <v>6.7</v>
      </c>
      <c r="AA415" s="12">
        <v>2.35</v>
      </c>
      <c r="AB415" s="12">
        <v>49000</v>
      </c>
      <c r="AC415" s="12"/>
      <c r="AD415" s="12" t="str">
        <f>IFERROR(__xludf.DUMMYFUNCTION("""COMPUTED_VALUE"""),"Michael Gough")</f>
        <v>Michael Gough</v>
      </c>
      <c r="AE415" s="12"/>
    </row>
    <row r="416" customHeight="1" spans="1:31">
      <c r="A416" s="11" t="s">
        <v>30</v>
      </c>
      <c r="B416" s="11" t="s">
        <v>2397</v>
      </c>
      <c r="C416" s="11">
        <v>187</v>
      </c>
      <c r="D416" s="11">
        <v>131</v>
      </c>
      <c r="E416" s="11">
        <v>218</v>
      </c>
      <c r="F416" s="11">
        <v>29</v>
      </c>
      <c r="G416" s="11">
        <v>5000</v>
      </c>
      <c r="H416" s="11">
        <v>51396781</v>
      </c>
      <c r="I416" s="11" t="s">
        <v>1962</v>
      </c>
      <c r="J416" s="11" t="s">
        <v>2398</v>
      </c>
      <c r="K416" s="11" t="s">
        <v>2399</v>
      </c>
      <c r="L416" s="11" t="s">
        <v>2400</v>
      </c>
      <c r="M416" s="11" t="s">
        <v>2401</v>
      </c>
      <c r="N416" s="11">
        <v>188887</v>
      </c>
      <c r="O416" s="11">
        <v>5103</v>
      </c>
      <c r="P416" s="11">
        <v>1</v>
      </c>
      <c r="Q416" s="11" t="s">
        <v>2402</v>
      </c>
      <c r="R416" s="14" t="s">
        <v>2403</v>
      </c>
      <c r="S416" s="11">
        <v>662</v>
      </c>
      <c r="T416" s="11" t="s">
        <v>39</v>
      </c>
      <c r="U416" s="11" t="s">
        <v>40</v>
      </c>
      <c r="V416" s="11" t="s">
        <v>586</v>
      </c>
      <c r="W416" s="11">
        <v>68000000</v>
      </c>
      <c r="X416" s="11">
        <v>2001</v>
      </c>
      <c r="Y416" s="11">
        <v>35</v>
      </c>
      <c r="Z416" s="11">
        <v>7.6</v>
      </c>
      <c r="AA416" s="11">
        <v>2.35</v>
      </c>
      <c r="AB416" s="11">
        <v>0</v>
      </c>
      <c r="AC416" s="11"/>
      <c r="AD416" s="11" t="str">
        <f>IFERROR(__xludf.DUMMYFUNCTION("""COMPUTED_VALUE"""),"John Glover")</f>
        <v>John Glover</v>
      </c>
      <c r="AE416" s="11"/>
    </row>
    <row r="417" customHeight="1" spans="1:31">
      <c r="A417" s="12" t="s">
        <v>30</v>
      </c>
      <c r="B417" s="12" t="s">
        <v>226</v>
      </c>
      <c r="C417" s="12">
        <v>151</v>
      </c>
      <c r="D417" s="12">
        <v>104</v>
      </c>
      <c r="E417" s="12">
        <v>532</v>
      </c>
      <c r="F417" s="12">
        <v>557</v>
      </c>
      <c r="G417" s="12">
        <v>12000</v>
      </c>
      <c r="H417" s="12">
        <v>47592825</v>
      </c>
      <c r="I417" s="12" t="s">
        <v>1078</v>
      </c>
      <c r="J417" s="12" t="s">
        <v>1073</v>
      </c>
      <c r="K417" s="12" t="s">
        <v>984</v>
      </c>
      <c r="L417" s="12" t="s">
        <v>360</v>
      </c>
      <c r="M417" s="12" t="s">
        <v>2404</v>
      </c>
      <c r="N417" s="12">
        <v>82731</v>
      </c>
      <c r="O417" s="12">
        <v>16930</v>
      </c>
      <c r="P417" s="12">
        <v>1</v>
      </c>
      <c r="Q417" s="12" t="s">
        <v>2405</v>
      </c>
      <c r="R417" s="15" t="s">
        <v>2406</v>
      </c>
      <c r="S417" s="12">
        <v>255</v>
      </c>
      <c r="T417" s="12" t="s">
        <v>39</v>
      </c>
      <c r="U417" s="12" t="s">
        <v>40</v>
      </c>
      <c r="V417" s="12" t="s">
        <v>41</v>
      </c>
      <c r="W417" s="12">
        <v>85000000</v>
      </c>
      <c r="X417" s="12">
        <v>2003</v>
      </c>
      <c r="Y417" s="12">
        <v>3000</v>
      </c>
      <c r="Z417" s="12">
        <v>6.7</v>
      </c>
      <c r="AA417" s="12">
        <v>2.35</v>
      </c>
      <c r="AB417" s="12">
        <v>0</v>
      </c>
      <c r="AC417" s="12"/>
      <c r="AD417" s="12" t="str">
        <f>IFERROR(__xludf.DUMMYFUNCTION("""COMPUTED_VALUE"""),"Clint Howard")</f>
        <v>Clint Howard</v>
      </c>
      <c r="AE417" s="12"/>
    </row>
    <row r="418" customHeight="1" spans="1:31">
      <c r="A418" s="11" t="s">
        <v>30</v>
      </c>
      <c r="B418" s="11" t="s">
        <v>1312</v>
      </c>
      <c r="C418" s="11">
        <v>80</v>
      </c>
      <c r="D418" s="11">
        <v>130</v>
      </c>
      <c r="E418" s="11">
        <v>323</v>
      </c>
      <c r="F418" s="11">
        <v>330</v>
      </c>
      <c r="G418" s="11">
        <v>670</v>
      </c>
      <c r="H418" s="11">
        <v>50016394</v>
      </c>
      <c r="I418" s="11" t="s">
        <v>2407</v>
      </c>
      <c r="J418" s="11" t="s">
        <v>2408</v>
      </c>
      <c r="K418" s="11" t="s">
        <v>2409</v>
      </c>
      <c r="L418" s="11" t="s">
        <v>2045</v>
      </c>
      <c r="M418" s="11" t="s">
        <v>2410</v>
      </c>
      <c r="N418" s="11">
        <v>106528</v>
      </c>
      <c r="O418" s="11">
        <v>2407</v>
      </c>
      <c r="P418" s="11">
        <v>1</v>
      </c>
      <c r="Q418" s="11" t="s">
        <v>2411</v>
      </c>
      <c r="R418" s="14" t="s">
        <v>2412</v>
      </c>
      <c r="S418" s="11">
        <v>257</v>
      </c>
      <c r="T418" s="11" t="s">
        <v>39</v>
      </c>
      <c r="U418" s="11" t="s">
        <v>40</v>
      </c>
      <c r="V418" s="11" t="s">
        <v>41</v>
      </c>
      <c r="W418" s="11">
        <v>70000000</v>
      </c>
      <c r="X418" s="11">
        <v>1993</v>
      </c>
      <c r="Y418" s="11">
        <v>442</v>
      </c>
      <c r="Z418" s="11">
        <v>6.2</v>
      </c>
      <c r="AA418" s="11">
        <v>2.35</v>
      </c>
      <c r="AB418" s="11">
        <v>0</v>
      </c>
      <c r="AC418" s="11"/>
      <c r="AD418" s="11" t="str">
        <f>IFERROR(__xludf.DUMMYFUNCTION("""COMPUTED_VALUE"""),"T.J. Thyne")</f>
        <v>T.J. Thyne</v>
      </c>
      <c r="AE418" s="11"/>
    </row>
    <row r="419" customHeight="1" spans="1:31">
      <c r="A419" s="12" t="s">
        <v>30</v>
      </c>
      <c r="B419" s="12" t="s">
        <v>158</v>
      </c>
      <c r="C419" s="12">
        <v>229</v>
      </c>
      <c r="D419" s="12">
        <v>145</v>
      </c>
      <c r="E419" s="12">
        <v>252</v>
      </c>
      <c r="F419" s="12">
        <v>210</v>
      </c>
      <c r="G419" s="12">
        <v>879</v>
      </c>
      <c r="H419" s="12">
        <v>57010853</v>
      </c>
      <c r="I419" s="12" t="s">
        <v>214</v>
      </c>
      <c r="J419" s="12" t="s">
        <v>2413</v>
      </c>
      <c r="K419" s="12" t="s">
        <v>752</v>
      </c>
      <c r="L419" s="12" t="s">
        <v>2414</v>
      </c>
      <c r="M419" s="12" t="s">
        <v>2415</v>
      </c>
      <c r="N419" s="12">
        <v>119286</v>
      </c>
      <c r="O419" s="12">
        <v>2380</v>
      </c>
      <c r="P419" s="12">
        <v>1</v>
      </c>
      <c r="Q419" s="12" t="s">
        <v>2416</v>
      </c>
      <c r="R419" s="15" t="s">
        <v>2417</v>
      </c>
      <c r="S419" s="12">
        <v>548</v>
      </c>
      <c r="T419" s="12" t="s">
        <v>39</v>
      </c>
      <c r="U419" s="12" t="s">
        <v>40</v>
      </c>
      <c r="V419" s="12" t="s">
        <v>41</v>
      </c>
      <c r="W419" s="12">
        <v>85000000</v>
      </c>
      <c r="X419" s="12">
        <v>2005</v>
      </c>
      <c r="Y419" s="12">
        <v>691</v>
      </c>
      <c r="Z419" s="12">
        <v>7.3</v>
      </c>
      <c r="AA419" s="12">
        <v>2.35</v>
      </c>
      <c r="AB419" s="12">
        <v>0</v>
      </c>
      <c r="AC419" s="12"/>
      <c r="AD419" s="12" t="str">
        <f>IFERROR(__xludf.DUMMYFUNCTION("""COMPUTED_VALUE"""),"Molly Shannon")</f>
        <v>Molly Shannon</v>
      </c>
      <c r="AE419" s="12"/>
    </row>
    <row r="420" customHeight="1" spans="1:31">
      <c r="A420" s="11" t="s">
        <v>30</v>
      </c>
      <c r="B420" s="11" t="s">
        <v>409</v>
      </c>
      <c r="C420" s="11">
        <v>158</v>
      </c>
      <c r="D420" s="11">
        <v>104</v>
      </c>
      <c r="E420" s="11">
        <v>681</v>
      </c>
      <c r="F420" s="11">
        <v>159</v>
      </c>
      <c r="G420" s="11">
        <v>584</v>
      </c>
      <c r="H420" s="11">
        <v>62494975</v>
      </c>
      <c r="I420" s="11" t="s">
        <v>334</v>
      </c>
      <c r="J420" s="11" t="s">
        <v>2418</v>
      </c>
      <c r="K420" s="11" t="s">
        <v>2419</v>
      </c>
      <c r="L420" s="11" t="s">
        <v>2420</v>
      </c>
      <c r="M420" s="11" t="s">
        <v>2421</v>
      </c>
      <c r="N420" s="11">
        <v>179500</v>
      </c>
      <c r="O420" s="11">
        <v>1235</v>
      </c>
      <c r="P420" s="11">
        <v>5</v>
      </c>
      <c r="Q420" s="11" t="s">
        <v>2422</v>
      </c>
      <c r="R420" s="14" t="s">
        <v>2423</v>
      </c>
      <c r="S420" s="11">
        <v>378</v>
      </c>
      <c r="T420" s="11" t="s">
        <v>39</v>
      </c>
      <c r="U420" s="11" t="s">
        <v>40</v>
      </c>
      <c r="V420" s="11" t="s">
        <v>41</v>
      </c>
      <c r="W420" s="11">
        <v>85000000</v>
      </c>
      <c r="X420" s="11">
        <v>2006</v>
      </c>
      <c r="Y420" s="11">
        <v>227</v>
      </c>
      <c r="Z420" s="11">
        <v>6</v>
      </c>
      <c r="AA420" s="11">
        <v>2.35</v>
      </c>
      <c r="AB420" s="11">
        <v>0</v>
      </c>
      <c r="AC420" s="11"/>
      <c r="AD420" s="11" t="str">
        <f>IFERROR(__xludf.DUMMYFUNCTION("""COMPUTED_VALUE"""),"Dougray Scott")</f>
        <v>Dougray Scott</v>
      </c>
      <c r="AE420" s="11"/>
    </row>
    <row r="421" customHeight="1" spans="1:31">
      <c r="A421" s="12" t="s">
        <v>30</v>
      </c>
      <c r="B421" s="12" t="s">
        <v>2424</v>
      </c>
      <c r="C421" s="12">
        <v>190</v>
      </c>
      <c r="D421" s="12">
        <v>97</v>
      </c>
      <c r="E421" s="12">
        <v>6</v>
      </c>
      <c r="F421" s="12">
        <v>561</v>
      </c>
      <c r="G421" s="12">
        <v>1000</v>
      </c>
      <c r="H421" s="12">
        <v>46440491</v>
      </c>
      <c r="I421" s="12" t="s">
        <v>271</v>
      </c>
      <c r="J421" s="12" t="s">
        <v>393</v>
      </c>
      <c r="K421" s="12" t="s">
        <v>2425</v>
      </c>
      <c r="L421" s="12" t="s">
        <v>2426</v>
      </c>
      <c r="M421" s="12" t="s">
        <v>2427</v>
      </c>
      <c r="N421" s="12">
        <v>35446</v>
      </c>
      <c r="O421" s="12">
        <v>2707</v>
      </c>
      <c r="P421" s="12">
        <v>1</v>
      </c>
      <c r="Q421" s="12" t="s">
        <v>2428</v>
      </c>
      <c r="R421" s="15" t="s">
        <v>2429</v>
      </c>
      <c r="S421" s="12">
        <v>78</v>
      </c>
      <c r="T421" s="12" t="s">
        <v>39</v>
      </c>
      <c r="U421" s="12" t="s">
        <v>58</v>
      </c>
      <c r="V421" s="12" t="s">
        <v>96</v>
      </c>
      <c r="W421" s="12">
        <v>100000000</v>
      </c>
      <c r="X421" s="12">
        <v>2011</v>
      </c>
      <c r="Y421" s="12">
        <v>579</v>
      </c>
      <c r="Z421" s="12">
        <v>7.1</v>
      </c>
      <c r="AA421" s="12">
        <v>1.85</v>
      </c>
      <c r="AB421" s="12">
        <v>0</v>
      </c>
      <c r="AC421" s="12"/>
      <c r="AD421" s="12" t="str">
        <f>IFERROR(__xludf.DUMMYFUNCTION("""COMPUTED_VALUE"""),"Karen Allen")</f>
        <v>Karen Allen</v>
      </c>
      <c r="AE421" s="12"/>
    </row>
    <row r="422" customHeight="1" spans="1:31">
      <c r="A422" s="11" t="s">
        <v>30</v>
      </c>
      <c r="B422" s="11" t="s">
        <v>2430</v>
      </c>
      <c r="C422" s="11">
        <v>98</v>
      </c>
      <c r="D422" s="11">
        <v>178</v>
      </c>
      <c r="E422" s="11">
        <v>102</v>
      </c>
      <c r="F422" s="11">
        <v>551</v>
      </c>
      <c r="G422" s="11">
        <v>12000</v>
      </c>
      <c r="H422" s="11">
        <v>44606335</v>
      </c>
      <c r="I422" s="11" t="s">
        <v>687</v>
      </c>
      <c r="J422" s="11" t="s">
        <v>763</v>
      </c>
      <c r="K422" s="11" t="s">
        <v>343</v>
      </c>
      <c r="L422" s="11" t="s">
        <v>924</v>
      </c>
      <c r="M422" s="11" t="s">
        <v>2431</v>
      </c>
      <c r="N422" s="11">
        <v>169023</v>
      </c>
      <c r="O422" s="11">
        <v>23950</v>
      </c>
      <c r="P422" s="11">
        <v>0</v>
      </c>
      <c r="Q422" s="11" t="s">
        <v>2432</v>
      </c>
      <c r="R422" s="14" t="s">
        <v>2433</v>
      </c>
      <c r="S422" s="11">
        <v>703</v>
      </c>
      <c r="T422" s="11" t="s">
        <v>39</v>
      </c>
      <c r="U422" s="11" t="s">
        <v>40</v>
      </c>
      <c r="V422" s="11" t="s">
        <v>41</v>
      </c>
      <c r="W422" s="11">
        <v>90000000</v>
      </c>
      <c r="X422" s="11">
        <v>1998</v>
      </c>
      <c r="Y422" s="11">
        <v>11000</v>
      </c>
      <c r="Z422" s="11">
        <v>7.1</v>
      </c>
      <c r="AA422" s="11">
        <v>1.85</v>
      </c>
      <c r="AB422" s="11">
        <v>10000</v>
      </c>
      <c r="AC422" s="11"/>
      <c r="AD422" s="11" t="str">
        <f>IFERROR(__xludf.DUMMYFUNCTION("""COMPUTED_VALUE"""),"Mary Elizabeth Mastrantonio")</f>
        <v>Mary Elizabeth Mastrantonio</v>
      </c>
      <c r="AE422" s="11"/>
    </row>
    <row r="423" customHeight="1" spans="1:31">
      <c r="A423" s="12" t="s">
        <v>30</v>
      </c>
      <c r="B423" s="12" t="s">
        <v>2434</v>
      </c>
      <c r="C423" s="12">
        <v>135</v>
      </c>
      <c r="D423" s="12">
        <v>108</v>
      </c>
      <c r="E423" s="12">
        <v>99</v>
      </c>
      <c r="F423" s="12">
        <v>172</v>
      </c>
      <c r="G423" s="12">
        <v>672</v>
      </c>
      <c r="H423" s="12">
        <v>40048332</v>
      </c>
      <c r="I423" s="12" t="s">
        <v>923</v>
      </c>
      <c r="J423" s="12" t="s">
        <v>2435</v>
      </c>
      <c r="K423" s="12" t="s">
        <v>2436</v>
      </c>
      <c r="L423" s="12" t="s">
        <v>2437</v>
      </c>
      <c r="M423" s="12" t="s">
        <v>2438</v>
      </c>
      <c r="N423" s="12">
        <v>61417</v>
      </c>
      <c r="O423" s="12">
        <v>1460</v>
      </c>
      <c r="P423" s="12">
        <v>1</v>
      </c>
      <c r="Q423" s="12" t="s">
        <v>2439</v>
      </c>
      <c r="R423" s="15" t="s">
        <v>2440</v>
      </c>
      <c r="S423" s="12">
        <v>339</v>
      </c>
      <c r="T423" s="12" t="s">
        <v>39</v>
      </c>
      <c r="U423" s="12" t="s">
        <v>40</v>
      </c>
      <c r="V423" s="12" t="s">
        <v>586</v>
      </c>
      <c r="W423" s="12">
        <v>85000000</v>
      </c>
      <c r="X423" s="12">
        <v>2002</v>
      </c>
      <c r="Y423" s="12">
        <v>174</v>
      </c>
      <c r="Z423" s="12">
        <v>5.5</v>
      </c>
      <c r="AA423" s="12">
        <v>1.85</v>
      </c>
      <c r="AB423" s="12">
        <v>941</v>
      </c>
      <c r="AC423" s="12"/>
      <c r="AD423" s="12" t="str">
        <f>IFERROR(__xludf.DUMMYFUNCTION("""COMPUTED_VALUE"""),"Bob Gunton")</f>
        <v>Bob Gunton</v>
      </c>
      <c r="AE423" s="12"/>
    </row>
    <row r="424" customHeight="1" spans="1:31">
      <c r="A424" s="11" t="s">
        <v>30</v>
      </c>
      <c r="B424" s="11" t="s">
        <v>2441</v>
      </c>
      <c r="C424" s="11">
        <v>84</v>
      </c>
      <c r="D424" s="11">
        <v>123</v>
      </c>
      <c r="E424" s="11">
        <v>189</v>
      </c>
      <c r="F424" s="11">
        <v>87</v>
      </c>
      <c r="G424" s="11">
        <v>813</v>
      </c>
      <c r="H424" s="13"/>
      <c r="I424" s="11" t="s">
        <v>2442</v>
      </c>
      <c r="J424" s="11" t="s">
        <v>2443</v>
      </c>
      <c r="K424" s="11" t="s">
        <v>2444</v>
      </c>
      <c r="L424" s="11" t="s">
        <v>2445</v>
      </c>
      <c r="M424" s="11" t="s">
        <v>2446</v>
      </c>
      <c r="N424" s="11">
        <v>19228</v>
      </c>
      <c r="O424" s="11">
        <v>1476</v>
      </c>
      <c r="P424" s="11">
        <v>0</v>
      </c>
      <c r="Q424" s="11" t="s">
        <v>2447</v>
      </c>
      <c r="R424" s="14" t="s">
        <v>2448</v>
      </c>
      <c r="S424" s="11">
        <v>146</v>
      </c>
      <c r="T424" s="11" t="s">
        <v>39</v>
      </c>
      <c r="U424" s="11" t="s">
        <v>40</v>
      </c>
      <c r="V424" s="11" t="s">
        <v>586</v>
      </c>
      <c r="W424" s="13"/>
      <c r="X424" s="11">
        <v>1979</v>
      </c>
      <c r="Y424" s="11">
        <v>388</v>
      </c>
      <c r="Z424" s="11">
        <v>7.8</v>
      </c>
      <c r="AA424" s="11">
        <v>1.85</v>
      </c>
      <c r="AB424" s="11">
        <v>0</v>
      </c>
      <c r="AC424" s="11"/>
      <c r="AD424" s="11" t="str">
        <f>IFERROR(__xludf.DUMMYFUNCTION("""COMPUTED_VALUE"""),"Ioan Gruffudd")</f>
        <v>Ioan Gruffudd</v>
      </c>
      <c r="AE424" s="11"/>
    </row>
    <row r="425" customHeight="1" spans="1:31">
      <c r="A425" s="12" t="s">
        <v>30</v>
      </c>
      <c r="B425" s="12" t="s">
        <v>2449</v>
      </c>
      <c r="C425" s="12">
        <v>382</v>
      </c>
      <c r="D425" s="12">
        <v>106</v>
      </c>
      <c r="E425" s="12">
        <v>763</v>
      </c>
      <c r="F425" s="12">
        <v>809</v>
      </c>
      <c r="G425" s="12">
        <v>8000</v>
      </c>
      <c r="H425" s="12">
        <v>64933670</v>
      </c>
      <c r="I425" s="12" t="s">
        <v>2450</v>
      </c>
      <c r="J425" s="12" t="s">
        <v>1529</v>
      </c>
      <c r="K425" s="12" t="s">
        <v>1385</v>
      </c>
      <c r="L425" s="12" t="s">
        <v>1478</v>
      </c>
      <c r="M425" s="12" t="s">
        <v>2451</v>
      </c>
      <c r="N425" s="12">
        <v>70838</v>
      </c>
      <c r="O425" s="12">
        <v>11454</v>
      </c>
      <c r="P425" s="12">
        <v>1</v>
      </c>
      <c r="Q425" s="12" t="s">
        <v>2452</v>
      </c>
      <c r="R425" s="15" t="s">
        <v>2453</v>
      </c>
      <c r="S425" s="12">
        <v>208</v>
      </c>
      <c r="T425" s="12" t="s">
        <v>39</v>
      </c>
      <c r="U425" s="12" t="s">
        <v>40</v>
      </c>
      <c r="V425" s="12" t="s">
        <v>96</v>
      </c>
      <c r="W425" s="12">
        <v>85000000</v>
      </c>
      <c r="X425" s="12">
        <v>2012</v>
      </c>
      <c r="Y425" s="12">
        <v>886</v>
      </c>
      <c r="Z425" s="12">
        <v>5.6</v>
      </c>
      <c r="AA425" s="12">
        <v>1.85</v>
      </c>
      <c r="AB425" s="12">
        <v>18000</v>
      </c>
      <c r="AC425" s="12"/>
      <c r="AD425" s="12" t="str">
        <f>IFERROR(__xludf.DUMMYFUNCTION("""COMPUTED_VALUE"""),"Suraj Sharma")</f>
        <v>Suraj Sharma</v>
      </c>
      <c r="AE425" s="12"/>
    </row>
    <row r="426" customHeight="1" spans="1:31">
      <c r="A426" s="11" t="s">
        <v>30</v>
      </c>
      <c r="B426" s="11" t="s">
        <v>2454</v>
      </c>
      <c r="C426" s="11">
        <v>393</v>
      </c>
      <c r="D426" s="11">
        <v>112</v>
      </c>
      <c r="E426" s="11">
        <v>1000</v>
      </c>
      <c r="F426" s="11">
        <v>719</v>
      </c>
      <c r="G426" s="11">
        <v>10000</v>
      </c>
      <c r="H426" s="11">
        <v>31494270</v>
      </c>
      <c r="I426" s="11" t="s">
        <v>2455</v>
      </c>
      <c r="J426" s="11" t="s">
        <v>2456</v>
      </c>
      <c r="K426" s="11" t="s">
        <v>2457</v>
      </c>
      <c r="L426" s="11" t="s">
        <v>2458</v>
      </c>
      <c r="M426" s="11" t="s">
        <v>2459</v>
      </c>
      <c r="N426" s="11">
        <v>273921</v>
      </c>
      <c r="O426" s="11">
        <v>12687</v>
      </c>
      <c r="P426" s="11">
        <v>0</v>
      </c>
      <c r="Q426" s="11" t="s">
        <v>2460</v>
      </c>
      <c r="R426" s="14" t="s">
        <v>2461</v>
      </c>
      <c r="S426" s="11">
        <v>522</v>
      </c>
      <c r="T426" s="11" t="s">
        <v>39</v>
      </c>
      <c r="U426" s="11" t="s">
        <v>40</v>
      </c>
      <c r="V426" s="11" t="s">
        <v>41</v>
      </c>
      <c r="W426" s="11">
        <v>60000000</v>
      </c>
      <c r="X426" s="11">
        <v>2010</v>
      </c>
      <c r="Y426" s="11">
        <v>1000</v>
      </c>
      <c r="Z426" s="11">
        <v>7.5</v>
      </c>
      <c r="AA426" s="11">
        <v>1.85</v>
      </c>
      <c r="AB426" s="11">
        <v>36000</v>
      </c>
      <c r="AC426" s="11"/>
      <c r="AD426" s="11" t="str">
        <f>IFERROR(__xludf.DUMMYFUNCTION("""COMPUTED_VALUE"""),"Tabu")</f>
        <v>Tabu</v>
      </c>
      <c r="AE426" s="11"/>
    </row>
    <row r="427" customHeight="1" spans="1:31">
      <c r="A427" s="12" t="s">
        <v>30</v>
      </c>
      <c r="B427" s="12" t="s">
        <v>2462</v>
      </c>
      <c r="C427" s="12">
        <v>149</v>
      </c>
      <c r="D427" s="12">
        <v>135</v>
      </c>
      <c r="E427" s="12">
        <v>36</v>
      </c>
      <c r="F427" s="12">
        <v>106</v>
      </c>
      <c r="G427" s="12">
        <v>894</v>
      </c>
      <c r="H427" s="12">
        <v>31111260</v>
      </c>
      <c r="I427" s="12" t="s">
        <v>227</v>
      </c>
      <c r="J427" s="12" t="s">
        <v>280</v>
      </c>
      <c r="K427" s="12" t="s">
        <v>2463</v>
      </c>
      <c r="L427" s="12" t="s">
        <v>2464</v>
      </c>
      <c r="M427" s="12" t="s">
        <v>2465</v>
      </c>
      <c r="N427" s="12">
        <v>77029</v>
      </c>
      <c r="O427" s="12">
        <v>1439</v>
      </c>
      <c r="P427" s="12">
        <v>0</v>
      </c>
      <c r="Q427" s="12" t="s">
        <v>2466</v>
      </c>
      <c r="R427" s="15" t="s">
        <v>2467</v>
      </c>
      <c r="S427" s="12">
        <v>466</v>
      </c>
      <c r="T427" s="12" t="s">
        <v>39</v>
      </c>
      <c r="U427" s="12" t="s">
        <v>40</v>
      </c>
      <c r="V427" s="12" t="s">
        <v>41</v>
      </c>
      <c r="W427" s="12">
        <v>60000000</v>
      </c>
      <c r="X427" s="12">
        <v>2003</v>
      </c>
      <c r="Y427" s="12">
        <v>345</v>
      </c>
      <c r="Z427" s="12">
        <v>5.4</v>
      </c>
      <c r="AA427" s="12">
        <v>2.35</v>
      </c>
      <c r="AB427" s="12">
        <v>0</v>
      </c>
      <c r="AC427" s="12"/>
      <c r="AD427" s="12" t="str">
        <f>IFERROR(__xludf.DUMMYFUNCTION("""COMPUTED_VALUE"""),"Matt Long")</f>
        <v>Matt Long</v>
      </c>
      <c r="AE427" s="12"/>
    </row>
    <row r="428" customHeight="1" spans="1:31">
      <c r="A428" s="11" t="s">
        <v>30</v>
      </c>
      <c r="B428" s="11" t="s">
        <v>2468</v>
      </c>
      <c r="C428" s="11">
        <v>94</v>
      </c>
      <c r="D428" s="11">
        <v>109</v>
      </c>
      <c r="E428" s="11">
        <v>88</v>
      </c>
      <c r="F428" s="11">
        <v>571</v>
      </c>
      <c r="G428" s="11">
        <v>611</v>
      </c>
      <c r="H428" s="11">
        <v>123307945</v>
      </c>
      <c r="I428" s="11" t="s">
        <v>2469</v>
      </c>
      <c r="J428" s="11" t="s">
        <v>2470</v>
      </c>
      <c r="K428" s="11" t="s">
        <v>2471</v>
      </c>
      <c r="L428" s="11" t="s">
        <v>2472</v>
      </c>
      <c r="M428" s="11" t="s">
        <v>2473</v>
      </c>
      <c r="N428" s="11">
        <v>39391</v>
      </c>
      <c r="O428" s="11">
        <v>2818</v>
      </c>
      <c r="P428" s="11">
        <v>1</v>
      </c>
      <c r="Q428" s="11" t="s">
        <v>2474</v>
      </c>
      <c r="R428" s="14" t="s">
        <v>2475</v>
      </c>
      <c r="S428" s="11">
        <v>171</v>
      </c>
      <c r="T428" s="11" t="s">
        <v>39</v>
      </c>
      <c r="U428" s="11" t="s">
        <v>40</v>
      </c>
      <c r="V428" s="11" t="s">
        <v>41</v>
      </c>
      <c r="W428" s="11">
        <v>65000000</v>
      </c>
      <c r="X428" s="11">
        <v>2000</v>
      </c>
      <c r="Y428" s="11">
        <v>592</v>
      </c>
      <c r="Z428" s="11">
        <v>4.3</v>
      </c>
      <c r="AA428" s="11">
        <v>1.85</v>
      </c>
      <c r="AB428" s="11">
        <v>374</v>
      </c>
      <c r="AC428" s="11"/>
      <c r="AD428" s="11" t="str">
        <f>IFERROR(__xludf.DUMMYFUNCTION("""COMPUTED_VALUE"""),"Peter Fonda")</f>
        <v>Peter Fonda</v>
      </c>
      <c r="AE428" s="11"/>
    </row>
    <row r="429" customHeight="1" spans="1:31">
      <c r="A429" s="12" t="s">
        <v>30</v>
      </c>
      <c r="B429" s="12" t="s">
        <v>1576</v>
      </c>
      <c r="C429" s="12">
        <v>138</v>
      </c>
      <c r="D429" s="12">
        <v>86</v>
      </c>
      <c r="E429" s="12">
        <v>67</v>
      </c>
      <c r="F429" s="12">
        <v>271</v>
      </c>
      <c r="G429" s="12">
        <v>4000</v>
      </c>
      <c r="H429" s="12">
        <v>153288182</v>
      </c>
      <c r="I429" s="12" t="s">
        <v>2476</v>
      </c>
      <c r="J429" s="12" t="s">
        <v>2477</v>
      </c>
      <c r="K429" s="12" t="s">
        <v>2478</v>
      </c>
      <c r="L429" s="12" t="s">
        <v>2479</v>
      </c>
      <c r="M429" s="12" t="s">
        <v>2480</v>
      </c>
      <c r="N429" s="12">
        <v>71424</v>
      </c>
      <c r="O429" s="12">
        <v>6355</v>
      </c>
      <c r="P429" s="12">
        <v>3</v>
      </c>
      <c r="Q429" s="12" t="s">
        <v>2481</v>
      </c>
      <c r="R429" s="15" t="s">
        <v>2482</v>
      </c>
      <c r="S429" s="12">
        <v>521</v>
      </c>
      <c r="T429" s="12" t="s">
        <v>39</v>
      </c>
      <c r="U429" s="12" t="s">
        <v>40</v>
      </c>
      <c r="V429" s="12" t="s">
        <v>96</v>
      </c>
      <c r="W429" s="12">
        <v>84000000</v>
      </c>
      <c r="X429" s="12">
        <v>2002</v>
      </c>
      <c r="Y429" s="12">
        <v>2000</v>
      </c>
      <c r="Z429" s="12">
        <v>4.9</v>
      </c>
      <c r="AA429" s="12">
        <v>1.85</v>
      </c>
      <c r="AB429" s="12">
        <v>0</v>
      </c>
      <c r="AC429" s="12"/>
      <c r="AD429" s="12" t="str">
        <f>IFERROR(__xludf.DUMMYFUNCTION("""COMPUTED_VALUE"""),"Riz Ahmed")</f>
        <v>Riz Ahmed</v>
      </c>
      <c r="AE429" s="12"/>
    </row>
    <row r="430" customHeight="1" spans="1:31">
      <c r="A430" s="11" t="s">
        <v>30</v>
      </c>
      <c r="B430" s="11" t="s">
        <v>2483</v>
      </c>
      <c r="C430" s="11">
        <v>432</v>
      </c>
      <c r="D430" s="11">
        <v>95</v>
      </c>
      <c r="E430" s="11">
        <v>38</v>
      </c>
      <c r="F430" s="11">
        <v>20</v>
      </c>
      <c r="G430" s="11">
        <v>409</v>
      </c>
      <c r="H430" s="11">
        <v>13401683</v>
      </c>
      <c r="I430" s="11" t="s">
        <v>648</v>
      </c>
      <c r="J430" s="11" t="s">
        <v>2484</v>
      </c>
      <c r="K430" s="11" t="s">
        <v>2485</v>
      </c>
      <c r="L430" s="11" t="s">
        <v>2486</v>
      </c>
      <c r="M430" s="11" t="s">
        <v>2487</v>
      </c>
      <c r="N430" s="11">
        <v>203458</v>
      </c>
      <c r="O430" s="11">
        <v>578</v>
      </c>
      <c r="P430" s="11">
        <v>0</v>
      </c>
      <c r="Q430" s="11" t="s">
        <v>2488</v>
      </c>
      <c r="R430" s="14" t="s">
        <v>2489</v>
      </c>
      <c r="S430" s="11">
        <v>588</v>
      </c>
      <c r="T430" s="11" t="s">
        <v>39</v>
      </c>
      <c r="U430" s="11" t="s">
        <v>58</v>
      </c>
      <c r="V430" s="11" t="s">
        <v>586</v>
      </c>
      <c r="W430" s="11">
        <v>35000000</v>
      </c>
      <c r="X430" s="11">
        <v>2012</v>
      </c>
      <c r="Y430" s="11">
        <v>107</v>
      </c>
      <c r="Z430" s="11">
        <v>7.1</v>
      </c>
      <c r="AA430" s="11">
        <v>2.35</v>
      </c>
      <c r="AB430" s="11">
        <v>46000</v>
      </c>
      <c r="AC430" s="11"/>
      <c r="AD430" s="11" t="str">
        <f>IFERROR(__xludf.DUMMYFUNCTION("""COMPUTED_VALUE"""),"Ato Essandoh")</f>
        <v>Ato Essandoh</v>
      </c>
      <c r="AE430" s="11"/>
    </row>
    <row r="431" customHeight="1" spans="1:31">
      <c r="A431" s="12" t="s">
        <v>30</v>
      </c>
      <c r="B431" s="12" t="s">
        <v>1628</v>
      </c>
      <c r="C431" s="12">
        <v>173</v>
      </c>
      <c r="D431" s="12">
        <v>107</v>
      </c>
      <c r="E431" s="12">
        <v>153</v>
      </c>
      <c r="F431" s="12">
        <v>233</v>
      </c>
      <c r="G431" s="12">
        <v>11000</v>
      </c>
      <c r="H431" s="12">
        <v>137340146</v>
      </c>
      <c r="I431" s="12" t="s">
        <v>2490</v>
      </c>
      <c r="J431" s="12" t="s">
        <v>2180</v>
      </c>
      <c r="K431" s="12" t="s">
        <v>2491</v>
      </c>
      <c r="L431" s="12" t="s">
        <v>2492</v>
      </c>
      <c r="M431" s="12" t="s">
        <v>2493</v>
      </c>
      <c r="N431" s="12">
        <v>246492</v>
      </c>
      <c r="O431" s="12">
        <v>12700</v>
      </c>
      <c r="P431" s="12">
        <v>1</v>
      </c>
      <c r="Q431" s="12" t="s">
        <v>2494</v>
      </c>
      <c r="R431" s="15" t="s">
        <v>2495</v>
      </c>
      <c r="S431" s="12">
        <v>685</v>
      </c>
      <c r="T431" s="12" t="s">
        <v>39</v>
      </c>
      <c r="U431" s="12" t="s">
        <v>40</v>
      </c>
      <c r="V431" s="12" t="s">
        <v>41</v>
      </c>
      <c r="W431" s="12">
        <v>70000000</v>
      </c>
      <c r="X431" s="12">
        <v>2006</v>
      </c>
      <c r="Y431" s="12">
        <v>1000</v>
      </c>
      <c r="Z431" s="12">
        <v>6.4</v>
      </c>
      <c r="AA431" s="12">
        <v>1.85</v>
      </c>
      <c r="AB431" s="12">
        <v>7000</v>
      </c>
      <c r="AC431" s="12"/>
      <c r="AD431" s="12" t="str">
        <f>IFERROR(__xludf.DUMMYFUNCTION("""COMPUTED_VALUE"""),"Demi Moore")</f>
        <v>Demi Moore</v>
      </c>
      <c r="AE431" s="12"/>
    </row>
    <row r="432" customHeight="1" spans="1:31">
      <c r="A432" s="11" t="s">
        <v>30</v>
      </c>
      <c r="B432" s="11" t="s">
        <v>2496</v>
      </c>
      <c r="C432" s="11">
        <v>127</v>
      </c>
      <c r="D432" s="11">
        <v>130</v>
      </c>
      <c r="E432" s="11">
        <v>0</v>
      </c>
      <c r="F432" s="11">
        <v>602</v>
      </c>
      <c r="G432" s="11">
        <v>875</v>
      </c>
      <c r="H432" s="13"/>
      <c r="I432" s="11" t="s">
        <v>883</v>
      </c>
      <c r="J432" s="11" t="s">
        <v>2497</v>
      </c>
      <c r="K432" s="11" t="s">
        <v>2498</v>
      </c>
      <c r="L432" s="11" t="s">
        <v>2499</v>
      </c>
      <c r="M432" s="11" t="s">
        <v>2500</v>
      </c>
      <c r="N432" s="11">
        <v>29932</v>
      </c>
      <c r="O432" s="11">
        <v>2662</v>
      </c>
      <c r="P432" s="11">
        <v>0</v>
      </c>
      <c r="Q432" s="11" t="s">
        <v>2501</v>
      </c>
      <c r="R432" s="14" t="s">
        <v>2502</v>
      </c>
      <c r="S432" s="11">
        <v>211</v>
      </c>
      <c r="T432" s="11" t="s">
        <v>39</v>
      </c>
      <c r="U432" s="11" t="s">
        <v>40</v>
      </c>
      <c r="V432" s="11" t="s">
        <v>586</v>
      </c>
      <c r="W432" s="11">
        <v>8000000</v>
      </c>
      <c r="X432" s="11">
        <v>1982</v>
      </c>
      <c r="Y432" s="11">
        <v>826</v>
      </c>
      <c r="Z432" s="11">
        <v>6.9</v>
      </c>
      <c r="AA432" s="11">
        <v>1.85</v>
      </c>
      <c r="AB432" s="11">
        <v>0</v>
      </c>
      <c r="AC432" s="11"/>
      <c r="AD432" s="11" t="str">
        <f>IFERROR(__xludf.DUMMYFUNCTION("""COMPUTED_VALUE"""),"Justin Theroux")</f>
        <v>Justin Theroux</v>
      </c>
      <c r="AE432" s="11"/>
    </row>
    <row r="433" customHeight="1" spans="1:31">
      <c r="A433" s="12" t="s">
        <v>30</v>
      </c>
      <c r="B433" s="12" t="s">
        <v>1512</v>
      </c>
      <c r="C433" s="12">
        <v>91</v>
      </c>
      <c r="D433" s="12">
        <v>82</v>
      </c>
      <c r="E433" s="12">
        <v>62</v>
      </c>
      <c r="F433" s="12">
        <v>615</v>
      </c>
      <c r="G433" s="12">
        <v>975</v>
      </c>
      <c r="H433" s="12">
        <v>43575716</v>
      </c>
      <c r="I433" s="12" t="s">
        <v>2503</v>
      </c>
      <c r="J433" s="12" t="s">
        <v>622</v>
      </c>
      <c r="K433" s="12" t="s">
        <v>274</v>
      </c>
      <c r="L433" s="12" t="s">
        <v>2504</v>
      </c>
      <c r="M433" s="12" t="s">
        <v>2505</v>
      </c>
      <c r="N433" s="12">
        <v>10233</v>
      </c>
      <c r="O433" s="12">
        <v>3326</v>
      </c>
      <c r="P433" s="12">
        <v>0</v>
      </c>
      <c r="Q433" s="12" t="s">
        <v>2506</v>
      </c>
      <c r="R433" s="15" t="s">
        <v>2507</v>
      </c>
      <c r="S433" s="12">
        <v>63</v>
      </c>
      <c r="T433" s="12" t="s">
        <v>39</v>
      </c>
      <c r="U433" s="12" t="s">
        <v>40</v>
      </c>
      <c r="V433" s="12" t="s">
        <v>96</v>
      </c>
      <c r="W433" s="12">
        <v>85000000</v>
      </c>
      <c r="X433" s="12">
        <v>2010</v>
      </c>
      <c r="Y433" s="12">
        <v>760</v>
      </c>
      <c r="Z433" s="12">
        <v>4.3</v>
      </c>
      <c r="AA433" s="12">
        <v>1.85</v>
      </c>
      <c r="AB433" s="12">
        <v>0</v>
      </c>
      <c r="AC433" s="12"/>
      <c r="AD433" s="12" t="str">
        <f>IFERROR(__xludf.DUMMYFUNCTION("""COMPUTED_VALUE"""),"Nathan Lane")</f>
        <v>Nathan Lane</v>
      </c>
      <c r="AE433" s="12"/>
    </row>
    <row r="434" customHeight="1" spans="1:31">
      <c r="A434" s="11" t="s">
        <v>30</v>
      </c>
      <c r="B434" s="11" t="s">
        <v>522</v>
      </c>
      <c r="C434" s="11">
        <v>238</v>
      </c>
      <c r="D434" s="11">
        <v>88</v>
      </c>
      <c r="E434" s="11">
        <v>218</v>
      </c>
      <c r="F434" s="11">
        <v>521</v>
      </c>
      <c r="G434" s="11">
        <v>17000</v>
      </c>
      <c r="H434" s="11">
        <v>80170146</v>
      </c>
      <c r="I434" s="11" t="s">
        <v>227</v>
      </c>
      <c r="J434" s="11" t="s">
        <v>559</v>
      </c>
      <c r="K434" s="11" t="s">
        <v>1434</v>
      </c>
      <c r="L434" s="11" t="s">
        <v>2508</v>
      </c>
      <c r="M434" s="11" t="s">
        <v>2509</v>
      </c>
      <c r="N434" s="11">
        <v>243053</v>
      </c>
      <c r="O434" s="11">
        <v>21863</v>
      </c>
      <c r="P434" s="11">
        <v>0</v>
      </c>
      <c r="Q434" s="11" t="s">
        <v>2510</v>
      </c>
      <c r="R434" s="14" t="s">
        <v>2511</v>
      </c>
      <c r="S434" s="11">
        <v>488</v>
      </c>
      <c r="T434" s="11" t="s">
        <v>39</v>
      </c>
      <c r="U434" s="11" t="s">
        <v>40</v>
      </c>
      <c r="V434" s="11" t="s">
        <v>41</v>
      </c>
      <c r="W434" s="11">
        <v>85000000</v>
      </c>
      <c r="X434" s="11">
        <v>2008</v>
      </c>
      <c r="Y434" s="11">
        <v>4000</v>
      </c>
      <c r="Z434" s="11">
        <v>6.1</v>
      </c>
      <c r="AA434" s="11">
        <v>2.35</v>
      </c>
      <c r="AB434" s="11">
        <v>0</v>
      </c>
      <c r="AC434" s="11"/>
      <c r="AD434" s="11" t="str">
        <f>IFERROR(__xludf.DUMMYFUNCTION("""COMPUTED_VALUE"""),"Melanie Griffith")</f>
        <v>Melanie Griffith</v>
      </c>
      <c r="AE434" s="11"/>
    </row>
    <row r="435" customHeight="1" spans="1:31">
      <c r="A435" s="12" t="s">
        <v>30</v>
      </c>
      <c r="B435" s="12" t="s">
        <v>379</v>
      </c>
      <c r="C435" s="12">
        <v>345</v>
      </c>
      <c r="D435" s="12">
        <v>120</v>
      </c>
      <c r="E435" s="12">
        <v>0</v>
      </c>
      <c r="F435" s="12">
        <v>160</v>
      </c>
      <c r="G435" s="12">
        <v>3000</v>
      </c>
      <c r="H435" s="12">
        <v>75754670</v>
      </c>
      <c r="I435" s="12" t="s">
        <v>2512</v>
      </c>
      <c r="J435" s="12" t="s">
        <v>2513</v>
      </c>
      <c r="K435" s="12" t="s">
        <v>2514</v>
      </c>
      <c r="L435" s="12" t="s">
        <v>2515</v>
      </c>
      <c r="M435" s="12" t="s">
        <v>2516</v>
      </c>
      <c r="N435" s="12">
        <v>208422</v>
      </c>
      <c r="O435" s="12">
        <v>3632</v>
      </c>
      <c r="P435" s="12">
        <v>0</v>
      </c>
      <c r="Q435" s="12" t="s">
        <v>2517</v>
      </c>
      <c r="R435" s="15" t="s">
        <v>2518</v>
      </c>
      <c r="S435" s="12">
        <v>342</v>
      </c>
      <c r="T435" s="12" t="s">
        <v>39</v>
      </c>
      <c r="U435" s="12" t="s">
        <v>40</v>
      </c>
      <c r="V435" s="12" t="s">
        <v>41</v>
      </c>
      <c r="W435" s="12">
        <v>85000000</v>
      </c>
      <c r="X435" s="12">
        <v>2008</v>
      </c>
      <c r="Y435" s="12">
        <v>169</v>
      </c>
      <c r="Z435" s="12">
        <v>7</v>
      </c>
      <c r="AA435" s="12">
        <v>1.85</v>
      </c>
      <c r="AB435" s="12">
        <v>3000</v>
      </c>
      <c r="AC435" s="12"/>
      <c r="AD435" s="12" t="str">
        <f>IFERROR(__xludf.DUMMYFUNCTION("""COMPUTED_VALUE"""),"Christina Cox")</f>
        <v>Christina Cox</v>
      </c>
      <c r="AE435" s="12"/>
    </row>
    <row r="436" customHeight="1" spans="1:31">
      <c r="A436" s="11" t="s">
        <v>30</v>
      </c>
      <c r="B436" s="11" t="s">
        <v>686</v>
      </c>
      <c r="C436" s="11">
        <v>377</v>
      </c>
      <c r="D436" s="11">
        <v>162</v>
      </c>
      <c r="E436" s="11">
        <v>21000</v>
      </c>
      <c r="F436" s="11">
        <v>495</v>
      </c>
      <c r="G436" s="11">
        <v>21000</v>
      </c>
      <c r="H436" s="11">
        <v>33048353</v>
      </c>
      <c r="I436" s="11" t="s">
        <v>2519</v>
      </c>
      <c r="J436" s="11" t="s">
        <v>99</v>
      </c>
      <c r="K436" s="11" t="s">
        <v>373</v>
      </c>
      <c r="L436" s="11" t="s">
        <v>2520</v>
      </c>
      <c r="M436" s="11" t="s">
        <v>2521</v>
      </c>
      <c r="N436" s="11">
        <v>301279</v>
      </c>
      <c r="O436" s="11">
        <v>36928</v>
      </c>
      <c r="P436" s="11">
        <v>0</v>
      </c>
      <c r="Q436" s="11" t="s">
        <v>2522</v>
      </c>
      <c r="R436" s="14" t="s">
        <v>2523</v>
      </c>
      <c r="S436" s="11">
        <v>589</v>
      </c>
      <c r="T436" s="11" t="s">
        <v>39</v>
      </c>
      <c r="U436" s="11" t="s">
        <v>40</v>
      </c>
      <c r="V436" s="11" t="s">
        <v>586</v>
      </c>
      <c r="W436" s="11">
        <v>65000000</v>
      </c>
      <c r="X436" s="11">
        <v>2007</v>
      </c>
      <c r="Y436" s="11">
        <v>15000</v>
      </c>
      <c r="Z436" s="11">
        <v>7.7</v>
      </c>
      <c r="AA436" s="11">
        <v>2.35</v>
      </c>
      <c r="AB436" s="11">
        <v>12000</v>
      </c>
      <c r="AC436" s="11"/>
      <c r="AD436" s="11" t="str">
        <f>IFERROR(__xludf.DUMMYFUNCTION("""COMPUTED_VALUE"""),"Abbie Cornish")</f>
        <v>Abbie Cornish</v>
      </c>
      <c r="AE436" s="11"/>
    </row>
    <row r="437" customHeight="1" spans="1:31">
      <c r="A437" s="12" t="s">
        <v>30</v>
      </c>
      <c r="B437" s="12" t="s">
        <v>1517</v>
      </c>
      <c r="C437" s="12">
        <v>170</v>
      </c>
      <c r="D437" s="12">
        <v>123</v>
      </c>
      <c r="E437" s="12">
        <v>55</v>
      </c>
      <c r="F437" s="12">
        <v>956</v>
      </c>
      <c r="G437" s="12">
        <v>3000</v>
      </c>
      <c r="H437" s="12">
        <v>34543701</v>
      </c>
      <c r="I437" s="12" t="s">
        <v>1645</v>
      </c>
      <c r="J437" s="12" t="s">
        <v>1689</v>
      </c>
      <c r="K437" s="12" t="s">
        <v>2524</v>
      </c>
      <c r="L437" s="12" t="s">
        <v>1018</v>
      </c>
      <c r="M437" s="12" t="s">
        <v>2525</v>
      </c>
      <c r="N437" s="12">
        <v>100001</v>
      </c>
      <c r="O437" s="12">
        <v>5839</v>
      </c>
      <c r="P437" s="12">
        <v>1</v>
      </c>
      <c r="Q437" s="12" t="s">
        <v>2526</v>
      </c>
      <c r="R437" s="15" t="s">
        <v>2527</v>
      </c>
      <c r="S437" s="12">
        <v>289</v>
      </c>
      <c r="T437" s="12" t="s">
        <v>39</v>
      </c>
      <c r="U437" s="12" t="s">
        <v>40</v>
      </c>
      <c r="V437" s="12" t="s">
        <v>41</v>
      </c>
      <c r="W437" s="12">
        <v>82000000</v>
      </c>
      <c r="X437" s="12">
        <v>2000</v>
      </c>
      <c r="Y437" s="12">
        <v>975</v>
      </c>
      <c r="Z437" s="12">
        <v>5.9</v>
      </c>
      <c r="AA437" s="12">
        <v>2.35</v>
      </c>
      <c r="AB437" s="12">
        <v>0</v>
      </c>
      <c r="AC437" s="12"/>
      <c r="AD437" s="12" t="str">
        <f>IFERROR(__xludf.DUMMYFUNCTION("""COMPUTED_VALUE"""),"Jennifer Ehle")</f>
        <v>Jennifer Ehle</v>
      </c>
      <c r="AE437" s="12"/>
    </row>
    <row r="438" customHeight="1" spans="1:31">
      <c r="A438" s="11" t="s">
        <v>30</v>
      </c>
      <c r="B438" s="11" t="s">
        <v>515</v>
      </c>
      <c r="C438" s="11">
        <v>191</v>
      </c>
      <c r="D438" s="11">
        <v>101</v>
      </c>
      <c r="E438" s="11">
        <v>293</v>
      </c>
      <c r="F438" s="11">
        <v>1000</v>
      </c>
      <c r="G438" s="11">
        <v>11000</v>
      </c>
      <c r="H438" s="11">
        <v>242589580</v>
      </c>
      <c r="I438" s="11" t="s">
        <v>2528</v>
      </c>
      <c r="J438" s="11" t="s">
        <v>466</v>
      </c>
      <c r="K438" s="11" t="s">
        <v>518</v>
      </c>
      <c r="L438" s="11" t="s">
        <v>1184</v>
      </c>
      <c r="M438" s="11" t="s">
        <v>2529</v>
      </c>
      <c r="N438" s="11">
        <v>296904</v>
      </c>
      <c r="O438" s="11">
        <v>21276</v>
      </c>
      <c r="P438" s="11">
        <v>1</v>
      </c>
      <c r="Q438" s="11" t="s">
        <v>2530</v>
      </c>
      <c r="R438" s="14" t="s">
        <v>2531</v>
      </c>
      <c r="S438" s="11">
        <v>604</v>
      </c>
      <c r="T438" s="11" t="s">
        <v>39</v>
      </c>
      <c r="U438" s="11" t="s">
        <v>40</v>
      </c>
      <c r="V438" s="11" t="s">
        <v>41</v>
      </c>
      <c r="W438" s="11">
        <v>81000000</v>
      </c>
      <c r="X438" s="11">
        <v>2003</v>
      </c>
      <c r="Y438" s="11">
        <v>7000</v>
      </c>
      <c r="Z438" s="11">
        <v>6.7</v>
      </c>
      <c r="AA438" s="11">
        <v>1.85</v>
      </c>
      <c r="AB438" s="11">
        <v>0</v>
      </c>
      <c r="AC438" s="11"/>
      <c r="AD438" s="11" t="str">
        <f>IFERROR(__xludf.DUMMYFUNCTION("""COMPUTED_VALUE"""),"Scott Porter")</f>
        <v>Scott Porter</v>
      </c>
      <c r="AE438" s="11"/>
    </row>
    <row r="439" customHeight="1" spans="1:31">
      <c r="A439" s="12" t="s">
        <v>30</v>
      </c>
      <c r="B439" s="12" t="s">
        <v>1785</v>
      </c>
      <c r="C439" s="12">
        <v>424</v>
      </c>
      <c r="D439" s="12">
        <v>113</v>
      </c>
      <c r="E439" s="12">
        <v>13000</v>
      </c>
      <c r="F439" s="12">
        <v>5000</v>
      </c>
      <c r="G439" s="12">
        <v>26000</v>
      </c>
      <c r="H439" s="12">
        <v>102981571</v>
      </c>
      <c r="I439" s="12" t="s">
        <v>51</v>
      </c>
      <c r="J439" s="12" t="s">
        <v>335</v>
      </c>
      <c r="K439" s="12" t="s">
        <v>1785</v>
      </c>
      <c r="L439" s="12" t="s">
        <v>502</v>
      </c>
      <c r="M439" s="12" t="s">
        <v>2532</v>
      </c>
      <c r="N439" s="12">
        <v>270226</v>
      </c>
      <c r="O439" s="12">
        <v>46355</v>
      </c>
      <c r="P439" s="12">
        <v>9</v>
      </c>
      <c r="Q439" s="12" t="s">
        <v>2533</v>
      </c>
      <c r="R439" s="15" t="s">
        <v>2534</v>
      </c>
      <c r="S439" s="12">
        <v>741</v>
      </c>
      <c r="T439" s="12" t="s">
        <v>39</v>
      </c>
      <c r="U439" s="12" t="s">
        <v>40</v>
      </c>
      <c r="V439" s="12" t="s">
        <v>586</v>
      </c>
      <c r="W439" s="12">
        <v>80000000</v>
      </c>
      <c r="X439" s="12">
        <v>2010</v>
      </c>
      <c r="Y439" s="12">
        <v>13000</v>
      </c>
      <c r="Z439" s="12">
        <v>6.5</v>
      </c>
      <c r="AA439" s="12">
        <v>2.35</v>
      </c>
      <c r="AB439" s="12">
        <v>57000</v>
      </c>
      <c r="AC439" s="12"/>
      <c r="AD439" s="12" t="str">
        <f>IFERROR(__xludf.DUMMYFUNCTION("""COMPUTED_VALUE"""),"Kick Gurry")</f>
        <v>Kick Gurry</v>
      </c>
      <c r="AE439" s="12"/>
    </row>
    <row r="440" customHeight="1" spans="1:31">
      <c r="A440" s="11" t="s">
        <v>30</v>
      </c>
      <c r="B440" s="11" t="s">
        <v>2247</v>
      </c>
      <c r="C440" s="11">
        <v>154</v>
      </c>
      <c r="D440" s="11">
        <v>110</v>
      </c>
      <c r="E440" s="11">
        <v>0</v>
      </c>
      <c r="F440" s="11">
        <v>898</v>
      </c>
      <c r="G440" s="11">
        <v>10000</v>
      </c>
      <c r="H440" s="11">
        <v>180965237</v>
      </c>
      <c r="I440" s="11" t="s">
        <v>51</v>
      </c>
      <c r="J440" s="11" t="s">
        <v>523</v>
      </c>
      <c r="K440" s="11" t="s">
        <v>203</v>
      </c>
      <c r="L440" s="11" t="s">
        <v>2535</v>
      </c>
      <c r="M440" s="11" t="s">
        <v>2536</v>
      </c>
      <c r="N440" s="11">
        <v>300542</v>
      </c>
      <c r="O440" s="11">
        <v>12760</v>
      </c>
      <c r="P440" s="11">
        <v>0</v>
      </c>
      <c r="Q440" s="11" t="s">
        <v>2537</v>
      </c>
      <c r="R440" s="14" t="s">
        <v>2538</v>
      </c>
      <c r="S440" s="11">
        <v>378</v>
      </c>
      <c r="T440" s="11" t="s">
        <v>39</v>
      </c>
      <c r="U440" s="11" t="s">
        <v>40</v>
      </c>
      <c r="V440" s="11" t="s">
        <v>41</v>
      </c>
      <c r="W440" s="11">
        <v>80000000</v>
      </c>
      <c r="X440" s="11">
        <v>1996</v>
      </c>
      <c r="Y440" s="11">
        <v>1000</v>
      </c>
      <c r="Z440" s="11">
        <v>7.1</v>
      </c>
      <c r="AA440" s="11">
        <v>2.35</v>
      </c>
      <c r="AB440" s="11">
        <v>0</v>
      </c>
      <c r="AC440" s="11"/>
      <c r="AD440" s="11" t="str">
        <f>IFERROR(__xludf.DUMMYFUNCTION("""COMPUTED_VALUE"""),"Nicholas Elia")</f>
        <v>Nicholas Elia</v>
      </c>
      <c r="AE440" s="11"/>
    </row>
    <row r="441" customHeight="1" spans="1:31">
      <c r="A441" s="12" t="s">
        <v>30</v>
      </c>
      <c r="B441" s="12" t="s">
        <v>2297</v>
      </c>
      <c r="C441" s="12">
        <v>673</v>
      </c>
      <c r="D441" s="12">
        <v>142</v>
      </c>
      <c r="E441" s="12">
        <v>378</v>
      </c>
      <c r="F441" s="12">
        <v>575</v>
      </c>
      <c r="G441" s="12">
        <v>34000</v>
      </c>
      <c r="H441" s="12">
        <v>407999255</v>
      </c>
      <c r="I441" s="12" t="s">
        <v>1483</v>
      </c>
      <c r="J441" s="12" t="s">
        <v>348</v>
      </c>
      <c r="K441" s="12" t="s">
        <v>700</v>
      </c>
      <c r="L441" s="12" t="s">
        <v>2539</v>
      </c>
      <c r="M441" s="12" t="s">
        <v>2540</v>
      </c>
      <c r="N441" s="12">
        <v>701607</v>
      </c>
      <c r="O441" s="12">
        <v>49942</v>
      </c>
      <c r="P441" s="12">
        <v>0</v>
      </c>
      <c r="Q441" s="12" t="s">
        <v>2541</v>
      </c>
      <c r="R441" s="15" t="s">
        <v>2542</v>
      </c>
      <c r="S441" s="12">
        <v>1959</v>
      </c>
      <c r="T441" s="12" t="s">
        <v>39</v>
      </c>
      <c r="U441" s="12" t="s">
        <v>40</v>
      </c>
      <c r="V441" s="12" t="s">
        <v>41</v>
      </c>
      <c r="W441" s="12">
        <v>78000000</v>
      </c>
      <c r="X441" s="12">
        <v>2012</v>
      </c>
      <c r="Y441" s="12">
        <v>14000</v>
      </c>
      <c r="Z441" s="12">
        <v>7.3</v>
      </c>
      <c r="AA441" s="12">
        <v>2.35</v>
      </c>
      <c r="AB441" s="12">
        <v>140000</v>
      </c>
      <c r="AC441" s="12"/>
      <c r="AD441" s="12" t="str">
        <f>IFERROR(__xludf.DUMMYFUNCTION("""COMPUTED_VALUE"""),"Shelley Conn")</f>
        <v>Shelley Conn</v>
      </c>
      <c r="AE441" s="12"/>
    </row>
    <row r="442" customHeight="1" spans="1:31">
      <c r="A442" s="11" t="s">
        <v>30</v>
      </c>
      <c r="B442" s="11" t="s">
        <v>2543</v>
      </c>
      <c r="C442" s="11">
        <v>383</v>
      </c>
      <c r="D442" s="11">
        <v>102</v>
      </c>
      <c r="E442" s="11">
        <v>480</v>
      </c>
      <c r="F442" s="11">
        <v>461</v>
      </c>
      <c r="G442" s="11">
        <v>14000</v>
      </c>
      <c r="H442" s="11">
        <v>254455986</v>
      </c>
      <c r="I442" s="11" t="s">
        <v>1672</v>
      </c>
      <c r="J442" s="11" t="s">
        <v>655</v>
      </c>
      <c r="K442" s="11" t="s">
        <v>2544</v>
      </c>
      <c r="L442" s="11" t="s">
        <v>2545</v>
      </c>
      <c r="M442" s="11" t="s">
        <v>2546</v>
      </c>
      <c r="N442" s="11">
        <v>375879</v>
      </c>
      <c r="O442" s="11">
        <v>16143</v>
      </c>
      <c r="P442" s="11">
        <v>0</v>
      </c>
      <c r="Q442" s="11" t="s">
        <v>2547</v>
      </c>
      <c r="R442" s="14" t="s">
        <v>2548</v>
      </c>
      <c r="S442" s="11">
        <v>402</v>
      </c>
      <c r="T442" s="11" t="s">
        <v>39</v>
      </c>
      <c r="U442" s="11" t="s">
        <v>40</v>
      </c>
      <c r="V442" s="11" t="s">
        <v>586</v>
      </c>
      <c r="W442" s="11">
        <v>80000000</v>
      </c>
      <c r="X442" s="11">
        <v>2011</v>
      </c>
      <c r="Y442" s="11">
        <v>670</v>
      </c>
      <c r="Z442" s="11">
        <v>6.5</v>
      </c>
      <c r="AA442" s="11">
        <v>2.35</v>
      </c>
      <c r="AB442" s="11">
        <v>56000</v>
      </c>
      <c r="AC442" s="11"/>
      <c r="AD442" s="11" t="str">
        <f>IFERROR(__xludf.DUMMYFUNCTION("""COMPUTED_VALUE"""),"Domenick Lombardozzi")</f>
        <v>Domenick Lombardozzi</v>
      </c>
      <c r="AE442" s="11"/>
    </row>
    <row r="443" customHeight="1" spans="1:31">
      <c r="A443" s="12" t="s">
        <v>30</v>
      </c>
      <c r="B443" s="12" t="s">
        <v>256</v>
      </c>
      <c r="C443" s="12">
        <v>153</v>
      </c>
      <c r="D443" s="12">
        <v>126</v>
      </c>
      <c r="E443" s="12">
        <v>13000</v>
      </c>
      <c r="F443" s="12">
        <v>390</v>
      </c>
      <c r="G443" s="12">
        <v>920</v>
      </c>
      <c r="H443" s="12">
        <v>162831698</v>
      </c>
      <c r="I443" s="12" t="s">
        <v>1326</v>
      </c>
      <c r="J443" s="12" t="s">
        <v>1327</v>
      </c>
      <c r="K443" s="12" t="s">
        <v>1518</v>
      </c>
      <c r="L443" s="12" t="s">
        <v>2549</v>
      </c>
      <c r="M443" s="12" t="s">
        <v>2550</v>
      </c>
      <c r="N443" s="12">
        <v>215255</v>
      </c>
      <c r="O443" s="12">
        <v>2899</v>
      </c>
      <c r="P443" s="12">
        <v>0</v>
      </c>
      <c r="Q443" s="12" t="s">
        <v>2551</v>
      </c>
      <c r="R443" s="15" t="s">
        <v>2552</v>
      </c>
      <c r="S443" s="12">
        <v>610</v>
      </c>
      <c r="T443" s="12" t="s">
        <v>39</v>
      </c>
      <c r="U443" s="12" t="s">
        <v>40</v>
      </c>
      <c r="V443" s="12" t="s">
        <v>41</v>
      </c>
      <c r="W443" s="12">
        <v>80000000</v>
      </c>
      <c r="X443" s="12">
        <v>1992</v>
      </c>
      <c r="Y443" s="12">
        <v>811</v>
      </c>
      <c r="Z443" s="12">
        <v>7</v>
      </c>
      <c r="AA443" s="12">
        <v>1.85</v>
      </c>
      <c r="AB443" s="12">
        <v>0</v>
      </c>
      <c r="AC443" s="12"/>
      <c r="AD443" s="12" t="str">
        <f>IFERROR(__xludf.DUMMYFUNCTION("""COMPUTED_VALUE"""),"Teyonah Parris")</f>
        <v>Teyonah Parris</v>
      </c>
      <c r="AE443" s="12"/>
    </row>
    <row r="444" customHeight="1" spans="1:31">
      <c r="A444" s="11" t="s">
        <v>30</v>
      </c>
      <c r="B444" s="11" t="s">
        <v>1176</v>
      </c>
      <c r="C444" s="11">
        <v>166</v>
      </c>
      <c r="D444" s="11">
        <v>83</v>
      </c>
      <c r="E444" s="11">
        <v>12</v>
      </c>
      <c r="F444" s="11">
        <v>925</v>
      </c>
      <c r="G444" s="11">
        <v>13000</v>
      </c>
      <c r="H444" s="11">
        <v>155019340</v>
      </c>
      <c r="I444" s="11" t="s">
        <v>471</v>
      </c>
      <c r="J444" s="11" t="s">
        <v>978</v>
      </c>
      <c r="K444" s="11" t="s">
        <v>518</v>
      </c>
      <c r="L444" s="11" t="s">
        <v>1802</v>
      </c>
      <c r="M444" s="11" t="s">
        <v>2553</v>
      </c>
      <c r="N444" s="11">
        <v>127345</v>
      </c>
      <c r="O444" s="11">
        <v>22813</v>
      </c>
      <c r="P444" s="11">
        <v>1</v>
      </c>
      <c r="Q444" s="11" t="s">
        <v>2554</v>
      </c>
      <c r="R444" s="14" t="s">
        <v>2555</v>
      </c>
      <c r="S444" s="11">
        <v>250</v>
      </c>
      <c r="T444" s="11" t="s">
        <v>39</v>
      </c>
      <c r="U444" s="11" t="s">
        <v>40</v>
      </c>
      <c r="V444" s="11" t="s">
        <v>96</v>
      </c>
      <c r="W444" s="11">
        <v>80000000</v>
      </c>
      <c r="X444" s="11">
        <v>2006</v>
      </c>
      <c r="Y444" s="11">
        <v>7000</v>
      </c>
      <c r="Z444" s="11">
        <v>6.8</v>
      </c>
      <c r="AA444" s="11">
        <v>1.85</v>
      </c>
      <c r="AB444" s="11">
        <v>0</v>
      </c>
      <c r="AC444" s="11"/>
      <c r="AD444" s="11" t="str">
        <f>IFERROR(__xludf.DUMMYFUNCTION("""COMPUTED_VALUE"""),"Marc Blucas")</f>
        <v>Marc Blucas</v>
      </c>
      <c r="AE444" s="11"/>
    </row>
    <row r="445" customHeight="1" spans="1:31">
      <c r="A445" s="12" t="s">
        <v>30</v>
      </c>
      <c r="B445" s="12" t="s">
        <v>640</v>
      </c>
      <c r="C445" s="12">
        <v>180</v>
      </c>
      <c r="D445" s="12">
        <v>85</v>
      </c>
      <c r="E445" s="12">
        <v>255</v>
      </c>
      <c r="F445" s="12">
        <v>443</v>
      </c>
      <c r="G445" s="12">
        <v>1000</v>
      </c>
      <c r="H445" s="12">
        <v>145771527</v>
      </c>
      <c r="I445" s="12" t="s">
        <v>2556</v>
      </c>
      <c r="J445" s="12" t="s">
        <v>1735</v>
      </c>
      <c r="K445" s="12" t="s">
        <v>2557</v>
      </c>
      <c r="L445" s="12" t="s">
        <v>2558</v>
      </c>
      <c r="M445" s="12" t="s">
        <v>2559</v>
      </c>
      <c r="N445" s="12">
        <v>117212</v>
      </c>
      <c r="O445" s="12">
        <v>3112</v>
      </c>
      <c r="P445" s="12">
        <v>0</v>
      </c>
      <c r="Q445" s="12" t="s">
        <v>2560</v>
      </c>
      <c r="R445" s="15" t="s">
        <v>2561</v>
      </c>
      <c r="S445" s="12">
        <v>367</v>
      </c>
      <c r="T445" s="12" t="s">
        <v>39</v>
      </c>
      <c r="U445" s="12" t="s">
        <v>40</v>
      </c>
      <c r="V445" s="12" t="s">
        <v>96</v>
      </c>
      <c r="W445" s="12">
        <v>80000000</v>
      </c>
      <c r="X445" s="12">
        <v>2002</v>
      </c>
      <c r="Y445" s="12">
        <v>533</v>
      </c>
      <c r="Z445" s="12">
        <v>7.2</v>
      </c>
      <c r="AA445" s="12">
        <v>1.66</v>
      </c>
      <c r="AB445" s="12">
        <v>0</v>
      </c>
      <c r="AC445" s="12"/>
      <c r="AD445" s="12" t="str">
        <f>IFERROR(__xludf.DUMMYFUNCTION("""COMPUTED_VALUE"""),"Zoë Bell")</f>
        <v>Zoë Bell</v>
      </c>
      <c r="AE445" s="12"/>
    </row>
    <row r="446" customHeight="1" spans="1:31">
      <c r="A446" s="11" t="s">
        <v>30</v>
      </c>
      <c r="B446" s="11" t="s">
        <v>2562</v>
      </c>
      <c r="C446" s="11">
        <v>120</v>
      </c>
      <c r="D446" s="11">
        <v>97</v>
      </c>
      <c r="E446" s="11">
        <v>56</v>
      </c>
      <c r="F446" s="11">
        <v>852</v>
      </c>
      <c r="G446" s="11">
        <v>12000</v>
      </c>
      <c r="H446" s="11">
        <v>82506325</v>
      </c>
      <c r="I446" s="11" t="s">
        <v>516</v>
      </c>
      <c r="J446" s="11" t="s">
        <v>272</v>
      </c>
      <c r="K446" s="11" t="s">
        <v>1529</v>
      </c>
      <c r="L446" s="11" t="s">
        <v>903</v>
      </c>
      <c r="M446" s="11" t="s">
        <v>2563</v>
      </c>
      <c r="N446" s="11">
        <v>27838</v>
      </c>
      <c r="O446" s="11">
        <v>23907</v>
      </c>
      <c r="P446" s="11">
        <v>0</v>
      </c>
      <c r="Q446" s="11" t="s">
        <v>2564</v>
      </c>
      <c r="R446" s="14" t="s">
        <v>2565</v>
      </c>
      <c r="S446" s="11">
        <v>102</v>
      </c>
      <c r="T446" s="11" t="s">
        <v>39</v>
      </c>
      <c r="U446" s="11" t="s">
        <v>40</v>
      </c>
      <c r="V446" s="11" t="s">
        <v>278</v>
      </c>
      <c r="W446" s="13"/>
      <c r="X446" s="11">
        <v>2006</v>
      </c>
      <c r="Y446" s="11">
        <v>8000</v>
      </c>
      <c r="Z446" s="11">
        <v>6.4</v>
      </c>
      <c r="AA446" s="11">
        <v>1.85</v>
      </c>
      <c r="AB446" s="11">
        <v>0</v>
      </c>
      <c r="AC446" s="11"/>
      <c r="AD446" s="11" t="str">
        <f>IFERROR(__xludf.DUMMYFUNCTION("""COMPUTED_VALUE"""),"Hayden Christensen")</f>
        <v>Hayden Christensen</v>
      </c>
      <c r="AE446" s="11"/>
    </row>
    <row r="447" customHeight="1" spans="1:31">
      <c r="A447" s="12" t="s">
        <v>30</v>
      </c>
      <c r="B447" s="12" t="s">
        <v>2566</v>
      </c>
      <c r="C447" s="12">
        <v>125</v>
      </c>
      <c r="D447" s="12">
        <v>120</v>
      </c>
      <c r="E447" s="12">
        <v>75</v>
      </c>
      <c r="F447" s="12">
        <v>3000</v>
      </c>
      <c r="G447" s="12">
        <v>11000</v>
      </c>
      <c r="H447" s="12">
        <v>140459099</v>
      </c>
      <c r="I447" s="12" t="s">
        <v>2567</v>
      </c>
      <c r="J447" s="12" t="s">
        <v>466</v>
      </c>
      <c r="K447" s="12" t="s">
        <v>251</v>
      </c>
      <c r="L447" s="12" t="s">
        <v>1689</v>
      </c>
      <c r="M447" s="12" t="s">
        <v>2568</v>
      </c>
      <c r="N447" s="12">
        <v>135601</v>
      </c>
      <c r="O447" s="12">
        <v>22750</v>
      </c>
      <c r="P447" s="12">
        <v>0</v>
      </c>
      <c r="Q447" s="12" t="s">
        <v>2569</v>
      </c>
      <c r="R447" s="15" t="s">
        <v>2570</v>
      </c>
      <c r="S447" s="12">
        <v>493</v>
      </c>
      <c r="T447" s="12" t="s">
        <v>39</v>
      </c>
      <c r="U447" s="12" t="s">
        <v>40</v>
      </c>
      <c r="V447" s="12" t="s">
        <v>41</v>
      </c>
      <c r="W447" s="12">
        <v>75000000</v>
      </c>
      <c r="X447" s="12">
        <v>1998</v>
      </c>
      <c r="Y447" s="12">
        <v>4000</v>
      </c>
      <c r="Z447" s="12">
        <v>6.1</v>
      </c>
      <c r="AA447" s="12">
        <v>2.35</v>
      </c>
      <c r="AB447" s="12">
        <v>0</v>
      </c>
      <c r="AC447" s="12"/>
      <c r="AD447" s="12" t="str">
        <f>IFERROR(__xludf.DUMMYFUNCTION("""COMPUTED_VALUE"""),"James Coburn")</f>
        <v>James Coburn</v>
      </c>
      <c r="AE447" s="12"/>
    </row>
    <row r="448" customHeight="1" spans="1:31">
      <c r="A448" s="11" t="s">
        <v>30</v>
      </c>
      <c r="B448" s="11" t="s">
        <v>1008</v>
      </c>
      <c r="C448" s="11">
        <v>234</v>
      </c>
      <c r="D448" s="11">
        <v>116</v>
      </c>
      <c r="E448" s="11">
        <v>23</v>
      </c>
      <c r="F448" s="11">
        <v>110</v>
      </c>
      <c r="G448" s="11">
        <v>13000</v>
      </c>
      <c r="H448" s="11">
        <v>53215979</v>
      </c>
      <c r="I448" s="11" t="s">
        <v>422</v>
      </c>
      <c r="J448" s="11" t="s">
        <v>978</v>
      </c>
      <c r="K448" s="11" t="s">
        <v>763</v>
      </c>
      <c r="L448" s="11" t="s">
        <v>2571</v>
      </c>
      <c r="M448" s="11" t="s">
        <v>2572</v>
      </c>
      <c r="N448" s="11">
        <v>125036</v>
      </c>
      <c r="O448" s="11">
        <v>25220</v>
      </c>
      <c r="P448" s="11">
        <v>7</v>
      </c>
      <c r="Q448" s="11" t="s">
        <v>2573</v>
      </c>
      <c r="R448" s="14" t="s">
        <v>2574</v>
      </c>
      <c r="S448" s="11">
        <v>205</v>
      </c>
      <c r="T448" s="11" t="s">
        <v>39</v>
      </c>
      <c r="U448" s="11" t="s">
        <v>40</v>
      </c>
      <c r="V448" s="11" t="s">
        <v>41</v>
      </c>
      <c r="W448" s="11">
        <v>84000000</v>
      </c>
      <c r="X448" s="11">
        <v>2013</v>
      </c>
      <c r="Y448" s="11">
        <v>12000</v>
      </c>
      <c r="Z448" s="11">
        <v>6.7</v>
      </c>
      <c r="AA448" s="11">
        <v>2.35</v>
      </c>
      <c r="AB448" s="11">
        <v>22000</v>
      </c>
      <c r="AC448" s="11"/>
      <c r="AD448" s="11" t="str">
        <f>IFERROR(__xludf.DUMMYFUNCTION("""COMPUTED_VALUE"""),"Tao Okamoto")</f>
        <v>Tao Okamoto</v>
      </c>
      <c r="AE448" s="11"/>
    </row>
    <row r="449" customHeight="1" spans="1:31">
      <c r="A449" s="12" t="s">
        <v>30</v>
      </c>
      <c r="B449" s="12" t="s">
        <v>2468</v>
      </c>
      <c r="C449" s="12">
        <v>134</v>
      </c>
      <c r="D449" s="12">
        <v>113</v>
      </c>
      <c r="E449" s="12">
        <v>88</v>
      </c>
      <c r="F449" s="12">
        <v>421</v>
      </c>
      <c r="G449" s="12">
        <v>11000</v>
      </c>
      <c r="H449" s="12">
        <v>158115031</v>
      </c>
      <c r="I449" s="12" t="s">
        <v>2575</v>
      </c>
      <c r="J449" s="12" t="s">
        <v>2180</v>
      </c>
      <c r="K449" s="12" t="s">
        <v>2576</v>
      </c>
      <c r="L449" s="12" t="s">
        <v>2577</v>
      </c>
      <c r="M449" s="12" t="s">
        <v>2578</v>
      </c>
      <c r="N449" s="12">
        <v>130070</v>
      </c>
      <c r="O449" s="12">
        <v>13693</v>
      </c>
      <c r="P449" s="12">
        <v>11</v>
      </c>
      <c r="Q449" s="12" t="s">
        <v>2579</v>
      </c>
      <c r="R449" s="15" t="s">
        <v>2580</v>
      </c>
      <c r="S449" s="12">
        <v>316</v>
      </c>
      <c r="T449" s="12" t="s">
        <v>39</v>
      </c>
      <c r="U449" s="12" t="s">
        <v>40</v>
      </c>
      <c r="V449" s="12" t="s">
        <v>41</v>
      </c>
      <c r="W449" s="12">
        <v>82000000</v>
      </c>
      <c r="X449" s="12">
        <v>2005</v>
      </c>
      <c r="Y449" s="12">
        <v>437</v>
      </c>
      <c r="Z449" s="12">
        <v>6.4</v>
      </c>
      <c r="AA449" s="12">
        <v>2.35</v>
      </c>
      <c r="AB449" s="12">
        <v>0</v>
      </c>
      <c r="AC449" s="12"/>
      <c r="AD449" s="12" t="str">
        <f>IFERROR(__xludf.DUMMYFUNCTION("""COMPUTED_VALUE"""),"Rila Fukushima")</f>
        <v>Rila Fukushima</v>
      </c>
      <c r="AE449" s="12"/>
    </row>
    <row r="450" customHeight="1" spans="1:31">
      <c r="A450" s="11" t="s">
        <v>30</v>
      </c>
      <c r="B450" s="11" t="s">
        <v>598</v>
      </c>
      <c r="C450" s="11">
        <v>91</v>
      </c>
      <c r="D450" s="11">
        <v>87</v>
      </c>
      <c r="E450" s="11">
        <v>31</v>
      </c>
      <c r="F450" s="11">
        <v>733</v>
      </c>
      <c r="G450" s="11">
        <v>1000</v>
      </c>
      <c r="H450" s="11">
        <v>133103929</v>
      </c>
      <c r="I450" s="11" t="s">
        <v>2168</v>
      </c>
      <c r="J450" s="11" t="s">
        <v>479</v>
      </c>
      <c r="K450" s="11" t="s">
        <v>2171</v>
      </c>
      <c r="L450" s="11" t="s">
        <v>2581</v>
      </c>
      <c r="M450" s="11" t="s">
        <v>2582</v>
      </c>
      <c r="N450" s="11">
        <v>22838</v>
      </c>
      <c r="O450" s="11">
        <v>4073</v>
      </c>
      <c r="P450" s="11">
        <v>0</v>
      </c>
      <c r="Q450" s="11" t="s">
        <v>2583</v>
      </c>
      <c r="R450" s="14" t="s">
        <v>2584</v>
      </c>
      <c r="S450" s="11">
        <v>56</v>
      </c>
      <c r="T450" s="11" t="s">
        <v>39</v>
      </c>
      <c r="U450" s="11" t="s">
        <v>40</v>
      </c>
      <c r="V450" s="11" t="s">
        <v>278</v>
      </c>
      <c r="W450" s="11">
        <v>75000000</v>
      </c>
      <c r="X450" s="11">
        <v>2011</v>
      </c>
      <c r="Y450" s="11">
        <v>1000</v>
      </c>
      <c r="Z450" s="11">
        <v>4.4</v>
      </c>
      <c r="AA450" s="11">
        <v>1.85</v>
      </c>
      <c r="AB450" s="11">
        <v>0</v>
      </c>
      <c r="AC450" s="11"/>
      <c r="AD450" s="11" t="str">
        <f>IFERROR(__xludf.DUMMYFUNCTION("""COMPUTED_VALUE"""),"Ian McDiarmid")</f>
        <v>Ian McDiarmid</v>
      </c>
      <c r="AE450" s="11"/>
    </row>
    <row r="451" customHeight="1" spans="1:31">
      <c r="A451" s="12" t="s">
        <v>30</v>
      </c>
      <c r="B451" s="12" t="s">
        <v>2179</v>
      </c>
      <c r="C451" s="12">
        <v>139</v>
      </c>
      <c r="D451" s="12">
        <v>101</v>
      </c>
      <c r="E451" s="12">
        <v>221</v>
      </c>
      <c r="F451" s="12">
        <v>11000</v>
      </c>
      <c r="G451" s="12">
        <v>12000</v>
      </c>
      <c r="H451" s="12">
        <v>133668525</v>
      </c>
      <c r="I451" s="12" t="s">
        <v>1672</v>
      </c>
      <c r="J451" s="12" t="s">
        <v>272</v>
      </c>
      <c r="K451" s="12" t="s">
        <v>2180</v>
      </c>
      <c r="L451" s="12" t="s">
        <v>1957</v>
      </c>
      <c r="M451" s="12" t="s">
        <v>2585</v>
      </c>
      <c r="N451" s="12">
        <v>107817</v>
      </c>
      <c r="O451" s="12">
        <v>39269</v>
      </c>
      <c r="P451" s="12">
        <v>4</v>
      </c>
      <c r="Q451" s="12" t="s">
        <v>2586</v>
      </c>
      <c r="R451" s="15" t="s">
        <v>2587</v>
      </c>
      <c r="S451" s="12">
        <v>255</v>
      </c>
      <c r="T451" s="12" t="s">
        <v>39</v>
      </c>
      <c r="U451" s="12" t="s">
        <v>40</v>
      </c>
      <c r="V451" s="12" t="s">
        <v>41</v>
      </c>
      <c r="W451" s="12">
        <v>80000000</v>
      </c>
      <c r="X451" s="12">
        <v>2013</v>
      </c>
      <c r="Y451" s="12">
        <v>11000</v>
      </c>
      <c r="Z451" s="12">
        <v>5.4</v>
      </c>
      <c r="AA451" s="12">
        <v>1.85</v>
      </c>
      <c r="AB451" s="12">
        <v>14000</v>
      </c>
      <c r="AC451" s="12"/>
      <c r="AD451" s="12" t="str">
        <f>IFERROR(__xludf.DUMMYFUNCTION("""COMPUTED_VALUE"""),"Alain Delon")</f>
        <v>Alain Delon</v>
      </c>
      <c r="AE451" s="12"/>
    </row>
    <row r="452" customHeight="1" spans="1:31">
      <c r="A452" s="11" t="s">
        <v>30</v>
      </c>
      <c r="B452" s="11" t="s">
        <v>2468</v>
      </c>
      <c r="C452" s="11">
        <v>265</v>
      </c>
      <c r="D452" s="11">
        <v>110</v>
      </c>
      <c r="E452" s="11">
        <v>88</v>
      </c>
      <c r="F452" s="11">
        <v>11000</v>
      </c>
      <c r="G452" s="11">
        <v>13000</v>
      </c>
      <c r="H452" s="11">
        <v>130313314</v>
      </c>
      <c r="I452" s="11" t="s">
        <v>1629</v>
      </c>
      <c r="J452" s="11" t="s">
        <v>549</v>
      </c>
      <c r="K452" s="11" t="s">
        <v>1073</v>
      </c>
      <c r="L452" s="11" t="s">
        <v>257</v>
      </c>
      <c r="M452" s="11" t="s">
        <v>2588</v>
      </c>
      <c r="N452" s="11">
        <v>168172</v>
      </c>
      <c r="O452" s="11">
        <v>44798</v>
      </c>
      <c r="P452" s="11">
        <v>1</v>
      </c>
      <c r="Q452" s="11" t="s">
        <v>2589</v>
      </c>
      <c r="R452" s="14" t="s">
        <v>2590</v>
      </c>
      <c r="S452" s="11">
        <v>380</v>
      </c>
      <c r="T452" s="11" t="s">
        <v>39</v>
      </c>
      <c r="U452" s="11" t="s">
        <v>40</v>
      </c>
      <c r="V452" s="11" t="s">
        <v>41</v>
      </c>
      <c r="W452" s="11">
        <v>80000000</v>
      </c>
      <c r="X452" s="11">
        <v>2008</v>
      </c>
      <c r="Y452" s="11">
        <v>12000</v>
      </c>
      <c r="Z452" s="11">
        <v>6.5</v>
      </c>
      <c r="AA452" s="11">
        <v>1.85</v>
      </c>
      <c r="AB452" s="11">
        <v>0</v>
      </c>
      <c r="AC452" s="11"/>
      <c r="AD452" s="11" t="str">
        <f>IFERROR(__xludf.DUMMYFUNCTION("""COMPUTED_VALUE"""),"Santiago Segura")</f>
        <v>Santiago Segura</v>
      </c>
      <c r="AE452" s="11"/>
    </row>
    <row r="453" customHeight="1" spans="1:31">
      <c r="A453" s="12" t="s">
        <v>30</v>
      </c>
      <c r="B453" s="12" t="s">
        <v>2368</v>
      </c>
      <c r="C453" s="12">
        <v>145</v>
      </c>
      <c r="D453" s="12">
        <v>128</v>
      </c>
      <c r="E453" s="12">
        <v>278</v>
      </c>
      <c r="F453" s="12">
        <v>343</v>
      </c>
      <c r="G453" s="12">
        <v>18000</v>
      </c>
      <c r="H453" s="12">
        <v>124590960</v>
      </c>
      <c r="I453" s="12" t="s">
        <v>1415</v>
      </c>
      <c r="J453" s="12" t="s">
        <v>588</v>
      </c>
      <c r="K453" s="12" t="s">
        <v>251</v>
      </c>
      <c r="L453" s="12" t="s">
        <v>2591</v>
      </c>
      <c r="M453" s="12" t="s">
        <v>2592</v>
      </c>
      <c r="N453" s="12">
        <v>91092</v>
      </c>
      <c r="O453" s="12">
        <v>22679</v>
      </c>
      <c r="P453" s="12">
        <v>1</v>
      </c>
      <c r="Q453" s="12" t="s">
        <v>2593</v>
      </c>
      <c r="R453" s="15" t="s">
        <v>2594</v>
      </c>
      <c r="S453" s="12">
        <v>402</v>
      </c>
      <c r="T453" s="12" t="s">
        <v>39</v>
      </c>
      <c r="U453" s="12" t="s">
        <v>40</v>
      </c>
      <c r="V453" s="12" t="s">
        <v>41</v>
      </c>
      <c r="W453" s="12">
        <v>80000000</v>
      </c>
      <c r="X453" s="12">
        <v>2003</v>
      </c>
      <c r="Y453" s="12">
        <v>4000</v>
      </c>
      <c r="Z453" s="12">
        <v>6.7</v>
      </c>
      <c r="AA453" s="12">
        <v>1.85</v>
      </c>
      <c r="AB453" s="12">
        <v>0</v>
      </c>
      <c r="AC453" s="12"/>
      <c r="AD453" s="12" t="str">
        <f>IFERROR(__xludf.DUMMYFUNCTION("""COMPUTED_VALUE"""),"Vanessa Hessler")</f>
        <v>Vanessa Hessler</v>
      </c>
      <c r="AE453" s="12"/>
    </row>
    <row r="454" customHeight="1" spans="1:31">
      <c r="A454" s="11" t="s">
        <v>30</v>
      </c>
      <c r="B454" s="11" t="s">
        <v>488</v>
      </c>
      <c r="C454" s="11">
        <v>490</v>
      </c>
      <c r="D454" s="11">
        <v>138</v>
      </c>
      <c r="E454" s="11">
        <v>17000</v>
      </c>
      <c r="F454" s="11">
        <v>163</v>
      </c>
      <c r="G454" s="11">
        <v>29000</v>
      </c>
      <c r="H454" s="11">
        <v>127968405</v>
      </c>
      <c r="I454" s="11" t="s">
        <v>852</v>
      </c>
      <c r="J454" s="11" t="s">
        <v>215</v>
      </c>
      <c r="K454" s="11" t="s">
        <v>2595</v>
      </c>
      <c r="L454" s="11" t="s">
        <v>2596</v>
      </c>
      <c r="M454" s="11" t="s">
        <v>2597</v>
      </c>
      <c r="N454" s="11">
        <v>786092</v>
      </c>
      <c r="O454" s="11">
        <v>29585</v>
      </c>
      <c r="P454" s="11">
        <v>0</v>
      </c>
      <c r="Q454" s="11" t="s">
        <v>2598</v>
      </c>
      <c r="R454" s="14" t="s">
        <v>2599</v>
      </c>
      <c r="S454" s="11">
        <v>964</v>
      </c>
      <c r="T454" s="11" t="s">
        <v>39</v>
      </c>
      <c r="U454" s="11" t="s">
        <v>40</v>
      </c>
      <c r="V454" s="11" t="s">
        <v>586</v>
      </c>
      <c r="W454" s="11">
        <v>80000000</v>
      </c>
      <c r="X454" s="11">
        <v>2010</v>
      </c>
      <c r="Y454" s="11">
        <v>223</v>
      </c>
      <c r="Z454" s="11">
        <v>8.1</v>
      </c>
      <c r="AA454" s="11">
        <v>2.35</v>
      </c>
      <c r="AB454" s="11">
        <v>53000</v>
      </c>
      <c r="AC454" s="11"/>
      <c r="AD454" s="11" t="str">
        <f>IFERROR(__xludf.DUMMYFUNCTION("""COMPUTED_VALUE"""),"Roger Willie")</f>
        <v>Roger Willie</v>
      </c>
      <c r="AE454" s="11"/>
    </row>
    <row r="455" customHeight="1" spans="1:31">
      <c r="A455" s="12" t="s">
        <v>30</v>
      </c>
      <c r="B455" s="12" t="s">
        <v>2600</v>
      </c>
      <c r="C455" s="12">
        <v>141</v>
      </c>
      <c r="D455" s="12">
        <v>88</v>
      </c>
      <c r="E455" s="12">
        <v>91</v>
      </c>
      <c r="F455" s="12">
        <v>982</v>
      </c>
      <c r="G455" s="12">
        <v>4000</v>
      </c>
      <c r="H455" s="12">
        <v>120136047</v>
      </c>
      <c r="I455" s="12" t="s">
        <v>1415</v>
      </c>
      <c r="J455" s="12" t="s">
        <v>251</v>
      </c>
      <c r="K455" s="12" t="s">
        <v>1689</v>
      </c>
      <c r="L455" s="12" t="s">
        <v>2601</v>
      </c>
      <c r="M455" s="12" t="s">
        <v>2602</v>
      </c>
      <c r="N455" s="12">
        <v>48500</v>
      </c>
      <c r="O455" s="12">
        <v>9913</v>
      </c>
      <c r="P455" s="12">
        <v>2</v>
      </c>
      <c r="Q455" s="12" t="s">
        <v>2603</v>
      </c>
      <c r="R455" s="15" t="s">
        <v>2604</v>
      </c>
      <c r="S455" s="12">
        <v>124</v>
      </c>
      <c r="T455" s="12" t="s">
        <v>39</v>
      </c>
      <c r="U455" s="12" t="s">
        <v>768</v>
      </c>
      <c r="V455" s="12" t="s">
        <v>41</v>
      </c>
      <c r="W455" s="12">
        <v>80000000</v>
      </c>
      <c r="X455" s="12">
        <v>2008</v>
      </c>
      <c r="Y455" s="12">
        <v>3000</v>
      </c>
      <c r="Z455" s="12">
        <v>5.6</v>
      </c>
      <c r="AA455" s="12">
        <v>1.85</v>
      </c>
      <c r="AB455" s="12">
        <v>0</v>
      </c>
      <c r="AC455" s="12"/>
      <c r="AD455" s="12" t="str">
        <f>IFERROR(__xludf.DUMMYFUNCTION("""COMPUTED_VALUE"""),"Noah Emmerich")</f>
        <v>Noah Emmerich</v>
      </c>
      <c r="AE455" s="12"/>
    </row>
    <row r="456" customHeight="1" spans="1:31">
      <c r="A456" s="11" t="s">
        <v>30</v>
      </c>
      <c r="B456" s="11" t="s">
        <v>1808</v>
      </c>
      <c r="C456" s="11">
        <v>163</v>
      </c>
      <c r="D456" s="11">
        <v>91</v>
      </c>
      <c r="E456" s="11">
        <v>77</v>
      </c>
      <c r="F456" s="11">
        <v>208</v>
      </c>
      <c r="G456" s="11">
        <v>1000</v>
      </c>
      <c r="H456" s="11">
        <v>128200012</v>
      </c>
      <c r="I456" s="11" t="s">
        <v>621</v>
      </c>
      <c r="J456" s="11" t="s">
        <v>393</v>
      </c>
      <c r="K456" s="11" t="s">
        <v>2605</v>
      </c>
      <c r="L456" s="11" t="s">
        <v>2606</v>
      </c>
      <c r="M456" s="11" t="s">
        <v>2607</v>
      </c>
      <c r="N456" s="11">
        <v>103022</v>
      </c>
      <c r="O456" s="11">
        <v>1804</v>
      </c>
      <c r="P456" s="11">
        <v>1</v>
      </c>
      <c r="Q456" s="11" t="s">
        <v>2608</v>
      </c>
      <c r="R456" s="14" t="s">
        <v>2609</v>
      </c>
      <c r="S456" s="11">
        <v>269</v>
      </c>
      <c r="T456" s="11" t="s">
        <v>39</v>
      </c>
      <c r="U456" s="11" t="s">
        <v>40</v>
      </c>
      <c r="V456" s="11" t="s">
        <v>96</v>
      </c>
      <c r="W456" s="11">
        <v>75000000</v>
      </c>
      <c r="X456" s="11">
        <v>2005</v>
      </c>
      <c r="Y456" s="11">
        <v>311</v>
      </c>
      <c r="Z456" s="11">
        <v>6.3</v>
      </c>
      <c r="AA456" s="11">
        <v>1.85</v>
      </c>
      <c r="AB456" s="11">
        <v>0</v>
      </c>
      <c r="AC456" s="11"/>
      <c r="AD456" s="11" t="str">
        <f>IFERROR(__xludf.DUMMYFUNCTION("""COMPUTED_VALUE"""),"Noel Fisher")</f>
        <v>Noel Fisher</v>
      </c>
      <c r="AE456" s="11"/>
    </row>
    <row r="457" customHeight="1" spans="1:31">
      <c r="A457" s="12" t="s">
        <v>30</v>
      </c>
      <c r="B457" s="12" t="s">
        <v>1341</v>
      </c>
      <c r="C457" s="12">
        <v>155</v>
      </c>
      <c r="D457" s="12">
        <v>138</v>
      </c>
      <c r="E457" s="12">
        <v>610</v>
      </c>
      <c r="F457" s="12">
        <v>805</v>
      </c>
      <c r="G457" s="12">
        <v>12000</v>
      </c>
      <c r="H457" s="12">
        <v>112225777</v>
      </c>
      <c r="I457" s="12" t="s">
        <v>1401</v>
      </c>
      <c r="J457" s="12" t="s">
        <v>705</v>
      </c>
      <c r="K457" s="12" t="s">
        <v>33</v>
      </c>
      <c r="L457" s="12" t="s">
        <v>2319</v>
      </c>
      <c r="M457" s="12" t="s">
        <v>2610</v>
      </c>
      <c r="N457" s="12">
        <v>283967</v>
      </c>
      <c r="O457" s="12">
        <v>17087</v>
      </c>
      <c r="P457" s="12">
        <v>0</v>
      </c>
      <c r="Q457" s="12" t="s">
        <v>2611</v>
      </c>
      <c r="R457" s="15" t="s">
        <v>2612</v>
      </c>
      <c r="S457" s="12">
        <v>535</v>
      </c>
      <c r="T457" s="12" t="s">
        <v>39</v>
      </c>
      <c r="U457" s="12" t="s">
        <v>40</v>
      </c>
      <c r="V457" s="12" t="s">
        <v>586</v>
      </c>
      <c r="W457" s="12">
        <v>80000000</v>
      </c>
      <c r="X457" s="12">
        <v>1997</v>
      </c>
      <c r="Y457" s="12">
        <v>1000</v>
      </c>
      <c r="Z457" s="12">
        <v>7.3</v>
      </c>
      <c r="AA457" s="12">
        <v>2.35</v>
      </c>
      <c r="AB457" s="12">
        <v>11000</v>
      </c>
      <c r="AC457" s="12"/>
      <c r="AD457" s="12" t="str">
        <f>IFERROR(__xludf.DUMMYFUNCTION("""COMPUTED_VALUE"""),"Danny Woodburn")</f>
        <v>Danny Woodburn</v>
      </c>
      <c r="AE457" s="12"/>
    </row>
    <row r="458" customHeight="1" spans="1:31">
      <c r="A458" s="11" t="s">
        <v>30</v>
      </c>
      <c r="B458" s="11" t="s">
        <v>2613</v>
      </c>
      <c r="C458" s="11">
        <v>144</v>
      </c>
      <c r="D458" s="11">
        <v>99</v>
      </c>
      <c r="E458" s="11">
        <v>163</v>
      </c>
      <c r="F458" s="11">
        <v>495</v>
      </c>
      <c r="G458" s="11">
        <v>11000</v>
      </c>
      <c r="H458" s="11">
        <v>109993847</v>
      </c>
      <c r="I458" s="11" t="s">
        <v>2614</v>
      </c>
      <c r="J458" s="11" t="s">
        <v>2180</v>
      </c>
      <c r="K458" s="11" t="s">
        <v>2615</v>
      </c>
      <c r="L458" s="11" t="s">
        <v>2616</v>
      </c>
      <c r="M458" s="11" t="s">
        <v>2617</v>
      </c>
      <c r="N458" s="11">
        <v>72326</v>
      </c>
      <c r="O458" s="11">
        <v>12831</v>
      </c>
      <c r="P458" s="11">
        <v>0</v>
      </c>
      <c r="Q458" s="11" t="s">
        <v>2618</v>
      </c>
      <c r="R458" s="14" t="s">
        <v>2619</v>
      </c>
      <c r="S458" s="11">
        <v>116</v>
      </c>
      <c r="T458" s="11" t="s">
        <v>39</v>
      </c>
      <c r="U458" s="11" t="s">
        <v>40</v>
      </c>
      <c r="V458" s="11" t="s">
        <v>96</v>
      </c>
      <c r="W458" s="11">
        <v>80000000</v>
      </c>
      <c r="X458" s="11">
        <v>2008</v>
      </c>
      <c r="Y458" s="11">
        <v>869</v>
      </c>
      <c r="Z458" s="11">
        <v>6.1</v>
      </c>
      <c r="AA458" s="11">
        <v>2.35</v>
      </c>
      <c r="AB458" s="11">
        <v>0</v>
      </c>
      <c r="AC458" s="11"/>
      <c r="AD458" s="11" t="str">
        <f>IFERROR(__xludf.DUMMYFUNCTION("""COMPUTED_VALUE"""),"Jeremy Howard")</f>
        <v>Jeremy Howard</v>
      </c>
      <c r="AE458" s="11"/>
    </row>
    <row r="459" customHeight="1" spans="1:31">
      <c r="A459" s="12" t="s">
        <v>30</v>
      </c>
      <c r="B459" s="12" t="s">
        <v>50</v>
      </c>
      <c r="C459" s="12">
        <v>226</v>
      </c>
      <c r="D459" s="12">
        <v>117</v>
      </c>
      <c r="E459" s="12">
        <v>0</v>
      </c>
      <c r="F459" s="12">
        <v>818</v>
      </c>
      <c r="G459" s="12">
        <v>15000</v>
      </c>
      <c r="H459" s="12">
        <v>104054514</v>
      </c>
      <c r="I459" s="12" t="s">
        <v>2126</v>
      </c>
      <c r="J459" s="12" t="s">
        <v>322</v>
      </c>
      <c r="K459" s="12" t="s">
        <v>2620</v>
      </c>
      <c r="L459" s="12" t="s">
        <v>2621</v>
      </c>
      <c r="M459" s="12" t="s">
        <v>2622</v>
      </c>
      <c r="N459" s="12">
        <v>200359</v>
      </c>
      <c r="O459" s="12">
        <v>16828</v>
      </c>
      <c r="P459" s="12">
        <v>0</v>
      </c>
      <c r="Q459" s="12" t="s">
        <v>2623</v>
      </c>
      <c r="R459" s="15" t="s">
        <v>2624</v>
      </c>
      <c r="S459" s="12">
        <v>1009</v>
      </c>
      <c r="T459" s="12" t="s">
        <v>39</v>
      </c>
      <c r="U459" s="12" t="s">
        <v>40</v>
      </c>
      <c r="V459" s="12" t="s">
        <v>586</v>
      </c>
      <c r="W459" s="12">
        <v>80000000</v>
      </c>
      <c r="X459" s="12">
        <v>2002</v>
      </c>
      <c r="Y459" s="12">
        <v>1000</v>
      </c>
      <c r="Z459" s="12">
        <v>7.7</v>
      </c>
      <c r="AA459" s="12">
        <v>2.35</v>
      </c>
      <c r="AB459" s="12">
        <v>0</v>
      </c>
      <c r="AC459" s="12"/>
      <c r="AD459" s="12" t="str">
        <f>IFERROR(__xludf.DUMMYFUNCTION("""COMPUTED_VALUE"""),"Phaldut Sharma")</f>
        <v>Phaldut Sharma</v>
      </c>
      <c r="AE459" s="12"/>
    </row>
    <row r="460" customHeight="1" spans="1:31">
      <c r="A460" s="11" t="s">
        <v>30</v>
      </c>
      <c r="B460" s="11" t="s">
        <v>2179</v>
      </c>
      <c r="C460" s="11">
        <v>204</v>
      </c>
      <c r="D460" s="11">
        <v>117</v>
      </c>
      <c r="E460" s="11">
        <v>221</v>
      </c>
      <c r="F460" s="11">
        <v>503</v>
      </c>
      <c r="G460" s="11">
        <v>11000</v>
      </c>
      <c r="H460" s="11">
        <v>103028109</v>
      </c>
      <c r="I460" s="11" t="s">
        <v>1681</v>
      </c>
      <c r="J460" s="11" t="s">
        <v>2180</v>
      </c>
      <c r="K460" s="11" t="s">
        <v>2625</v>
      </c>
      <c r="L460" s="11" t="s">
        <v>2182</v>
      </c>
      <c r="M460" s="11" t="s">
        <v>2626</v>
      </c>
      <c r="N460" s="11">
        <v>172878</v>
      </c>
      <c r="O460" s="11">
        <v>16325</v>
      </c>
      <c r="P460" s="11">
        <v>1</v>
      </c>
      <c r="Q460" s="11" t="s">
        <v>2627</v>
      </c>
      <c r="R460" s="14" t="s">
        <v>2628</v>
      </c>
      <c r="S460" s="11">
        <v>203</v>
      </c>
      <c r="T460" s="11" t="s">
        <v>39</v>
      </c>
      <c r="U460" s="11" t="s">
        <v>40</v>
      </c>
      <c r="V460" s="11" t="s">
        <v>41</v>
      </c>
      <c r="W460" s="11">
        <v>80000000</v>
      </c>
      <c r="X460" s="11">
        <v>2011</v>
      </c>
      <c r="Y460" s="11">
        <v>3000</v>
      </c>
      <c r="Z460" s="11">
        <v>6.4</v>
      </c>
      <c r="AA460" s="11">
        <v>1.85</v>
      </c>
      <c r="AB460" s="11">
        <v>19000</v>
      </c>
      <c r="AC460" s="11"/>
      <c r="AD460" s="11" t="str">
        <f>IFERROR(__xludf.DUMMYFUNCTION("""COMPUTED_VALUE"""),"Basher Savage")</f>
        <v>Basher Savage</v>
      </c>
      <c r="AE460" s="11"/>
    </row>
    <row r="461" customHeight="1" spans="1:31">
      <c r="A461" s="16"/>
      <c r="B461" s="16"/>
      <c r="C461" s="12">
        <v>95</v>
      </c>
      <c r="D461" s="12">
        <v>54</v>
      </c>
      <c r="E461" s="16"/>
      <c r="F461" s="12">
        <v>0</v>
      </c>
      <c r="G461" s="12">
        <v>577</v>
      </c>
      <c r="H461" s="16"/>
      <c r="I461" s="12" t="s">
        <v>2629</v>
      </c>
      <c r="J461" s="12" t="s">
        <v>2630</v>
      </c>
      <c r="K461" s="12" t="s">
        <v>2631</v>
      </c>
      <c r="L461" s="12" t="s">
        <v>2632</v>
      </c>
      <c r="M461" s="12" t="s">
        <v>2633</v>
      </c>
      <c r="N461" s="12">
        <v>213483</v>
      </c>
      <c r="O461" s="12">
        <v>581</v>
      </c>
      <c r="P461" s="12">
        <v>0</v>
      </c>
      <c r="Q461" s="12" t="s">
        <v>2634</v>
      </c>
      <c r="R461" s="15" t="s">
        <v>2635</v>
      </c>
      <c r="S461" s="12">
        <v>394</v>
      </c>
      <c r="T461" s="12" t="s">
        <v>39</v>
      </c>
      <c r="U461" s="12" t="s">
        <v>40</v>
      </c>
      <c r="V461" s="12" t="s">
        <v>2636</v>
      </c>
      <c r="W461" s="16"/>
      <c r="X461" s="16"/>
      <c r="Y461" s="12">
        <v>4</v>
      </c>
      <c r="Z461" s="12">
        <v>8.8</v>
      </c>
      <c r="AA461" s="12">
        <v>16</v>
      </c>
      <c r="AB461" s="12">
        <v>55000</v>
      </c>
      <c r="AC461" s="12"/>
      <c r="AD461" s="12" t="str">
        <f>IFERROR(__xludf.DUMMYFUNCTION("""COMPUTED_VALUE"""),"Amy Warren")</f>
        <v>Amy Warren</v>
      </c>
      <c r="AE461" s="12"/>
    </row>
    <row r="462" customHeight="1" spans="1:31">
      <c r="A462" s="11" t="s">
        <v>30</v>
      </c>
      <c r="B462" s="11" t="s">
        <v>1784</v>
      </c>
      <c r="C462" s="11">
        <v>139</v>
      </c>
      <c r="D462" s="11">
        <v>123</v>
      </c>
      <c r="E462" s="11">
        <v>165</v>
      </c>
      <c r="F462" s="11">
        <v>744</v>
      </c>
      <c r="G462" s="11">
        <v>12000</v>
      </c>
      <c r="H462" s="11">
        <v>101087161</v>
      </c>
      <c r="I462" s="11" t="s">
        <v>334</v>
      </c>
      <c r="J462" s="11" t="s">
        <v>272</v>
      </c>
      <c r="K462" s="11" t="s">
        <v>2637</v>
      </c>
      <c r="L462" s="11" t="s">
        <v>2638</v>
      </c>
      <c r="M462" s="11" t="s">
        <v>2639</v>
      </c>
      <c r="N462" s="11">
        <v>225282</v>
      </c>
      <c r="O462" s="11">
        <v>15362</v>
      </c>
      <c r="P462" s="11">
        <v>6</v>
      </c>
      <c r="Q462" s="11" t="s">
        <v>2640</v>
      </c>
      <c r="R462" s="14" t="s">
        <v>2641</v>
      </c>
      <c r="S462" s="11">
        <v>339</v>
      </c>
      <c r="T462" s="11" t="s">
        <v>39</v>
      </c>
      <c r="U462" s="11" t="s">
        <v>40</v>
      </c>
      <c r="V462" s="11" t="s">
        <v>586</v>
      </c>
      <c r="W462" s="11">
        <v>75000000</v>
      </c>
      <c r="X462" s="11">
        <v>1997</v>
      </c>
      <c r="Y462" s="11">
        <v>878</v>
      </c>
      <c r="Z462" s="11">
        <v>6.8</v>
      </c>
      <c r="AA462" s="11">
        <v>2.35</v>
      </c>
      <c r="AB462" s="11">
        <v>0</v>
      </c>
      <c r="AC462" s="11"/>
      <c r="AD462" s="11" t="str">
        <f>IFERROR(__xludf.DUMMYFUNCTION("""COMPUTED_VALUE"""),"Jamie Renée Smith")</f>
        <v>Jamie Renée Smith</v>
      </c>
      <c r="AE462" s="11"/>
    </row>
    <row r="463" customHeight="1" spans="1:31">
      <c r="A463" s="12" t="s">
        <v>30</v>
      </c>
      <c r="B463" s="12" t="s">
        <v>2642</v>
      </c>
      <c r="C463" s="12">
        <v>215</v>
      </c>
      <c r="D463" s="12">
        <v>118</v>
      </c>
      <c r="E463" s="12">
        <v>154</v>
      </c>
      <c r="F463" s="12">
        <v>915</v>
      </c>
      <c r="G463" s="12">
        <v>3000</v>
      </c>
      <c r="H463" s="12">
        <v>101111837</v>
      </c>
      <c r="I463" s="12" t="s">
        <v>1157</v>
      </c>
      <c r="J463" s="12" t="s">
        <v>984</v>
      </c>
      <c r="K463" s="12" t="s">
        <v>2643</v>
      </c>
      <c r="L463" s="12" t="s">
        <v>2644</v>
      </c>
      <c r="M463" s="12" t="s">
        <v>2645</v>
      </c>
      <c r="N463" s="12">
        <v>150764</v>
      </c>
      <c r="O463" s="12">
        <v>5637</v>
      </c>
      <c r="P463" s="12">
        <v>3</v>
      </c>
      <c r="Q463" s="12" t="s">
        <v>2646</v>
      </c>
      <c r="R463" s="15" t="s">
        <v>2647</v>
      </c>
      <c r="S463" s="12">
        <v>318</v>
      </c>
      <c r="T463" s="12" t="s">
        <v>39</v>
      </c>
      <c r="U463" s="12" t="s">
        <v>40</v>
      </c>
      <c r="V463" s="12" t="s">
        <v>41</v>
      </c>
      <c r="W463" s="12">
        <v>80000000</v>
      </c>
      <c r="X463" s="12">
        <v>2008</v>
      </c>
      <c r="Y463" s="12">
        <v>982</v>
      </c>
      <c r="Z463" s="12">
        <v>6.6</v>
      </c>
      <c r="AA463" s="12">
        <v>2.35</v>
      </c>
      <c r="AB463" s="12">
        <v>0</v>
      </c>
      <c r="AC463" s="12"/>
      <c r="AD463" s="12" t="str">
        <f>IFERROR(__xludf.DUMMYFUNCTION("""COMPUTED_VALUE"""),"Grant Heslov")</f>
        <v>Grant Heslov</v>
      </c>
      <c r="AE463" s="12"/>
    </row>
    <row r="464" customHeight="1" spans="1:31">
      <c r="A464" s="11" t="s">
        <v>30</v>
      </c>
      <c r="B464" s="11" t="s">
        <v>2648</v>
      </c>
      <c r="C464" s="11">
        <v>198</v>
      </c>
      <c r="D464" s="11">
        <v>154</v>
      </c>
      <c r="E464" s="11">
        <v>333</v>
      </c>
      <c r="F464" s="11">
        <v>16000</v>
      </c>
      <c r="G464" s="11">
        <v>22000</v>
      </c>
      <c r="H464" s="11">
        <v>95632614</v>
      </c>
      <c r="I464" s="11" t="s">
        <v>2649</v>
      </c>
      <c r="J464" s="11" t="s">
        <v>699</v>
      </c>
      <c r="K464" s="11" t="s">
        <v>842</v>
      </c>
      <c r="L464" s="11" t="s">
        <v>380</v>
      </c>
      <c r="M464" s="11" t="s">
        <v>2650</v>
      </c>
      <c r="N464" s="11">
        <v>118483</v>
      </c>
      <c r="O464" s="11">
        <v>61110</v>
      </c>
      <c r="P464" s="11">
        <v>3</v>
      </c>
      <c r="Q464" s="11" t="s">
        <v>2651</v>
      </c>
      <c r="R464" s="14" t="s">
        <v>2652</v>
      </c>
      <c r="S464" s="11">
        <v>674</v>
      </c>
      <c r="T464" s="11" t="s">
        <v>39</v>
      </c>
      <c r="U464" s="11" t="s">
        <v>40</v>
      </c>
      <c r="V464" s="11" t="s">
        <v>586</v>
      </c>
      <c r="W464" s="11">
        <v>79000000</v>
      </c>
      <c r="X464" s="11">
        <v>2003</v>
      </c>
      <c r="Y464" s="11">
        <v>20000</v>
      </c>
      <c r="Z464" s="11">
        <v>7.2</v>
      </c>
      <c r="AA464" s="11">
        <v>2.35</v>
      </c>
      <c r="AB464" s="11">
        <v>0</v>
      </c>
      <c r="AC464" s="11"/>
      <c r="AD464" s="11" t="str">
        <f>IFERROR(__xludf.DUMMYFUNCTION("""COMPUTED_VALUE"""),"Stephen Amell")</f>
        <v>Stephen Amell</v>
      </c>
      <c r="AE464" s="11"/>
    </row>
    <row r="465" customHeight="1" spans="1:31">
      <c r="A465" s="12" t="s">
        <v>30</v>
      </c>
      <c r="B465" s="12" t="s">
        <v>2653</v>
      </c>
      <c r="C465" s="12">
        <v>325</v>
      </c>
      <c r="D465" s="12">
        <v>118</v>
      </c>
      <c r="E465" s="12">
        <v>117</v>
      </c>
      <c r="F465" s="12">
        <v>10000</v>
      </c>
      <c r="G465" s="12">
        <v>18000</v>
      </c>
      <c r="H465" s="12">
        <v>94822707</v>
      </c>
      <c r="I465" s="12" t="s">
        <v>712</v>
      </c>
      <c r="J465" s="12" t="s">
        <v>1727</v>
      </c>
      <c r="K465" s="12" t="s">
        <v>292</v>
      </c>
      <c r="L465" s="12" t="s">
        <v>440</v>
      </c>
      <c r="M465" s="12" t="s">
        <v>2654</v>
      </c>
      <c r="N465" s="12">
        <v>227072</v>
      </c>
      <c r="O465" s="12">
        <v>44797</v>
      </c>
      <c r="P465" s="12">
        <v>0</v>
      </c>
      <c r="Q465" s="12" t="s">
        <v>2655</v>
      </c>
      <c r="R465" s="15" t="s">
        <v>2656</v>
      </c>
      <c r="S465" s="12">
        <v>560</v>
      </c>
      <c r="T465" s="12" t="s">
        <v>39</v>
      </c>
      <c r="U465" s="12" t="s">
        <v>40</v>
      </c>
      <c r="V465" s="12" t="s">
        <v>586</v>
      </c>
      <c r="W465" s="12">
        <v>80000000</v>
      </c>
      <c r="X465" s="12">
        <v>2010</v>
      </c>
      <c r="Y465" s="12">
        <v>15000</v>
      </c>
      <c r="Z465" s="12">
        <v>6.9</v>
      </c>
      <c r="AA465" s="12">
        <v>2.35</v>
      </c>
      <c r="AB465" s="12">
        <v>20000</v>
      </c>
      <c r="AC465" s="12"/>
      <c r="AD465" s="12" t="str">
        <f>IFERROR(__xludf.DUMMYFUNCTION("""COMPUTED_VALUE"""),"Tim Blake Nelson")</f>
        <v>Tim Blake Nelson</v>
      </c>
      <c r="AE465" s="12"/>
    </row>
    <row r="466" customHeight="1" spans="1:31">
      <c r="A466" s="11" t="s">
        <v>30</v>
      </c>
      <c r="B466" s="11" t="s">
        <v>2657</v>
      </c>
      <c r="C466" s="11">
        <v>53</v>
      </c>
      <c r="D466" s="11">
        <v>90</v>
      </c>
      <c r="E466" s="11">
        <v>10</v>
      </c>
      <c r="F466" s="11">
        <v>159</v>
      </c>
      <c r="G466" s="11">
        <v>49000</v>
      </c>
      <c r="H466" s="11">
        <v>92969824</v>
      </c>
      <c r="I466" s="11" t="s">
        <v>2658</v>
      </c>
      <c r="J466" s="11" t="s">
        <v>811</v>
      </c>
      <c r="K466" s="11" t="s">
        <v>2659</v>
      </c>
      <c r="L466" s="11" t="s">
        <v>2660</v>
      </c>
      <c r="M466" s="11" t="s">
        <v>2661</v>
      </c>
      <c r="N466" s="11">
        <v>63625</v>
      </c>
      <c r="O466" s="11">
        <v>50005</v>
      </c>
      <c r="P466" s="11">
        <v>1</v>
      </c>
      <c r="Q466" s="11" t="s">
        <v>2662</v>
      </c>
      <c r="R466" s="14" t="s">
        <v>2663</v>
      </c>
      <c r="S466" s="11">
        <v>64</v>
      </c>
      <c r="T466" s="11" t="s">
        <v>39</v>
      </c>
      <c r="U466" s="11" t="s">
        <v>40</v>
      </c>
      <c r="V466" s="11" t="s">
        <v>96</v>
      </c>
      <c r="W466" s="11">
        <v>80000000</v>
      </c>
      <c r="X466" s="11">
        <v>1997</v>
      </c>
      <c r="Y466" s="11">
        <v>570</v>
      </c>
      <c r="Z466" s="11">
        <v>5.2</v>
      </c>
      <c r="AA466" s="11">
        <v>1.85</v>
      </c>
      <c r="AB466" s="11">
        <v>0</v>
      </c>
      <c r="AC466" s="11"/>
      <c r="AD466" s="11" t="str">
        <f>IFERROR(__xludf.DUMMYFUNCTION("""COMPUTED_VALUE"""),"Reg E. Cathey")</f>
        <v>Reg E. Cathey</v>
      </c>
      <c r="AE466" s="11"/>
    </row>
    <row r="467" customHeight="1" spans="1:31">
      <c r="A467" s="12" t="s">
        <v>30</v>
      </c>
      <c r="B467" s="12" t="s">
        <v>1606</v>
      </c>
      <c r="C467" s="12">
        <v>167</v>
      </c>
      <c r="D467" s="12">
        <v>113</v>
      </c>
      <c r="E467" s="12">
        <v>101</v>
      </c>
      <c r="F467" s="12">
        <v>913</v>
      </c>
      <c r="G467" s="12">
        <v>14000</v>
      </c>
      <c r="H467" s="12">
        <v>91188905</v>
      </c>
      <c r="I467" s="12" t="s">
        <v>2664</v>
      </c>
      <c r="J467" s="12" t="s">
        <v>228</v>
      </c>
      <c r="K467" s="12" t="s">
        <v>2665</v>
      </c>
      <c r="L467" s="12" t="s">
        <v>2666</v>
      </c>
      <c r="M467" s="12" t="s">
        <v>2667</v>
      </c>
      <c r="N467" s="12">
        <v>58184</v>
      </c>
      <c r="O467" s="12">
        <v>17786</v>
      </c>
      <c r="P467" s="12">
        <v>0</v>
      </c>
      <c r="Q467" s="12" t="s">
        <v>2668</v>
      </c>
      <c r="R467" s="15" t="s">
        <v>2669</v>
      </c>
      <c r="S467" s="12">
        <v>805</v>
      </c>
      <c r="T467" s="12" t="s">
        <v>39</v>
      </c>
      <c r="U467" s="12" t="s">
        <v>40</v>
      </c>
      <c r="V467" s="12" t="s">
        <v>41</v>
      </c>
      <c r="W467" s="12">
        <v>80000000</v>
      </c>
      <c r="X467" s="12">
        <v>1999</v>
      </c>
      <c r="Y467" s="12">
        <v>960</v>
      </c>
      <c r="Z467" s="12">
        <v>4.9</v>
      </c>
      <c r="AA467" s="12">
        <v>2.35</v>
      </c>
      <c r="AB467" s="12">
        <v>0</v>
      </c>
      <c r="AC467" s="12"/>
      <c r="AD467" s="12" t="str">
        <f>IFERROR(__xludf.DUMMYFUNCTION("""COMPUTED_VALUE"""),"Tim Heidecker")</f>
        <v>Tim Heidecker</v>
      </c>
      <c r="AE467" s="12"/>
    </row>
    <row r="468" customHeight="1" spans="1:31">
      <c r="A468" s="11" t="s">
        <v>30</v>
      </c>
      <c r="B468" s="11" t="s">
        <v>2670</v>
      </c>
      <c r="C468" s="11">
        <v>46</v>
      </c>
      <c r="D468" s="11">
        <v>88</v>
      </c>
      <c r="E468" s="11">
        <v>30</v>
      </c>
      <c r="F468" s="11">
        <v>366</v>
      </c>
      <c r="G468" s="11">
        <v>13000</v>
      </c>
      <c r="H468" s="11">
        <v>90443603</v>
      </c>
      <c r="I468" s="11" t="s">
        <v>2671</v>
      </c>
      <c r="J468" s="11" t="s">
        <v>549</v>
      </c>
      <c r="K468" s="11" t="s">
        <v>994</v>
      </c>
      <c r="L468" s="11" t="s">
        <v>2672</v>
      </c>
      <c r="M468" s="11" t="s">
        <v>2673</v>
      </c>
      <c r="N468" s="11">
        <v>112167</v>
      </c>
      <c r="O468" s="11">
        <v>15001</v>
      </c>
      <c r="P468" s="11">
        <v>1</v>
      </c>
      <c r="Q468" s="11" t="s">
        <v>2674</v>
      </c>
      <c r="R468" s="14" t="s">
        <v>2675</v>
      </c>
      <c r="S468" s="11">
        <v>123</v>
      </c>
      <c r="T468" s="11" t="s">
        <v>39</v>
      </c>
      <c r="U468" s="11" t="s">
        <v>40</v>
      </c>
      <c r="V468" s="11" t="s">
        <v>96</v>
      </c>
      <c r="W468" s="11">
        <v>80000000</v>
      </c>
      <c r="X468" s="11">
        <v>1996</v>
      </c>
      <c r="Y468" s="11">
        <v>967</v>
      </c>
      <c r="Z468" s="11">
        <v>6.3</v>
      </c>
      <c r="AA468" s="11">
        <v>1.77</v>
      </c>
      <c r="AB468" s="11">
        <v>0</v>
      </c>
      <c r="AC468" s="11"/>
      <c r="AD468" s="11" t="str">
        <f>IFERROR(__xludf.DUMMYFUNCTION("""COMPUTED_VALUE"""),"Archie Panjabi")</f>
        <v>Archie Panjabi</v>
      </c>
      <c r="AE468" s="11"/>
    </row>
    <row r="469" customHeight="1" spans="1:31">
      <c r="A469" s="12" t="s">
        <v>30</v>
      </c>
      <c r="B469" s="12" t="s">
        <v>810</v>
      </c>
      <c r="C469" s="12">
        <v>147</v>
      </c>
      <c r="D469" s="12">
        <v>93</v>
      </c>
      <c r="E469" s="12">
        <v>189</v>
      </c>
      <c r="F469" s="12">
        <v>38</v>
      </c>
      <c r="G469" s="12">
        <v>1000</v>
      </c>
      <c r="H469" s="12">
        <v>82226474</v>
      </c>
      <c r="I469" s="12" t="s">
        <v>2676</v>
      </c>
      <c r="J469" s="12" t="s">
        <v>2677</v>
      </c>
      <c r="K469" s="12" t="s">
        <v>2678</v>
      </c>
      <c r="L469" s="12" t="s">
        <v>2679</v>
      </c>
      <c r="M469" s="12" t="s">
        <v>2680</v>
      </c>
      <c r="N469" s="12">
        <v>65499</v>
      </c>
      <c r="O469" s="12">
        <v>1267</v>
      </c>
      <c r="P469" s="12">
        <v>0</v>
      </c>
      <c r="Q469" s="12" t="s">
        <v>2681</v>
      </c>
      <c r="R469" s="15" t="s">
        <v>2682</v>
      </c>
      <c r="S469" s="12">
        <v>424</v>
      </c>
      <c r="T469" s="12" t="s">
        <v>39</v>
      </c>
      <c r="U469" s="12" t="s">
        <v>40</v>
      </c>
      <c r="V469" s="12" t="s">
        <v>96</v>
      </c>
      <c r="W469" s="12">
        <v>65000000</v>
      </c>
      <c r="X469" s="12">
        <v>2006</v>
      </c>
      <c r="Y469" s="12">
        <v>177</v>
      </c>
      <c r="Z469" s="12">
        <v>5.6</v>
      </c>
      <c r="AA469" s="12">
        <v>1.85</v>
      </c>
      <c r="AB469" s="12">
        <v>0</v>
      </c>
      <c r="AC469" s="12"/>
      <c r="AD469" s="12" t="str">
        <f>IFERROR(__xludf.DUMMYFUNCTION("""COMPUTED_VALUE"""),"Vincent Schiavelli")</f>
        <v>Vincent Schiavelli</v>
      </c>
      <c r="AE469" s="12"/>
    </row>
    <row r="470" customHeight="1" spans="1:31">
      <c r="A470" s="11" t="s">
        <v>30</v>
      </c>
      <c r="B470" s="11" t="s">
        <v>2683</v>
      </c>
      <c r="C470" s="11">
        <v>276</v>
      </c>
      <c r="D470" s="11">
        <v>104</v>
      </c>
      <c r="E470" s="11">
        <v>301</v>
      </c>
      <c r="F470" s="11">
        <v>71</v>
      </c>
      <c r="G470" s="11">
        <v>18000</v>
      </c>
      <c r="H470" s="11">
        <v>79363785</v>
      </c>
      <c r="I470" s="11" t="s">
        <v>2684</v>
      </c>
      <c r="J470" s="11" t="s">
        <v>588</v>
      </c>
      <c r="K470" s="11" t="s">
        <v>599</v>
      </c>
      <c r="L470" s="11" t="s">
        <v>2685</v>
      </c>
      <c r="M470" s="11" t="s">
        <v>2686</v>
      </c>
      <c r="N470" s="11">
        <v>139423</v>
      </c>
      <c r="O470" s="11">
        <v>22194</v>
      </c>
      <c r="P470" s="11">
        <v>0</v>
      </c>
      <c r="Q470" s="11" t="s">
        <v>2687</v>
      </c>
      <c r="R470" s="14" t="s">
        <v>2688</v>
      </c>
      <c r="S470" s="11">
        <v>698</v>
      </c>
      <c r="T470" s="11" t="s">
        <v>39</v>
      </c>
      <c r="U470" s="11" t="s">
        <v>40</v>
      </c>
      <c r="V470" s="11" t="s">
        <v>41</v>
      </c>
      <c r="W470" s="11">
        <v>80000000</v>
      </c>
      <c r="X470" s="11">
        <v>2008</v>
      </c>
      <c r="Y470" s="11">
        <v>4000</v>
      </c>
      <c r="Z470" s="11">
        <v>5.5</v>
      </c>
      <c r="AA470" s="11">
        <v>2.35</v>
      </c>
      <c r="AB470" s="11">
        <v>0</v>
      </c>
      <c r="AC470" s="11"/>
      <c r="AD470" s="11" t="str">
        <f>IFERROR(__xludf.DUMMYFUNCTION("""COMPUTED_VALUE"""),"Joe Don Baker")</f>
        <v>Joe Don Baker</v>
      </c>
      <c r="AE470" s="11"/>
    </row>
    <row r="471" customHeight="1" spans="1:31">
      <c r="A471" s="12" t="s">
        <v>30</v>
      </c>
      <c r="B471" s="12" t="s">
        <v>1059</v>
      </c>
      <c r="C471" s="12">
        <v>80</v>
      </c>
      <c r="D471" s="12">
        <v>135</v>
      </c>
      <c r="E471" s="12">
        <v>503</v>
      </c>
      <c r="F471" s="12">
        <v>67</v>
      </c>
      <c r="G471" s="12">
        <v>8000</v>
      </c>
      <c r="H471" s="12">
        <v>76081498</v>
      </c>
      <c r="I471" s="12" t="s">
        <v>2689</v>
      </c>
      <c r="J471" s="12" t="s">
        <v>1529</v>
      </c>
      <c r="K471" s="12" t="s">
        <v>2690</v>
      </c>
      <c r="L471" s="12" t="s">
        <v>2691</v>
      </c>
      <c r="M471" s="12" t="s">
        <v>2692</v>
      </c>
      <c r="N471" s="12">
        <v>76099</v>
      </c>
      <c r="O471" s="12">
        <v>8355</v>
      </c>
      <c r="P471" s="12">
        <v>1</v>
      </c>
      <c r="Q471" s="12" t="s">
        <v>2693</v>
      </c>
      <c r="R471" s="15" t="s">
        <v>2694</v>
      </c>
      <c r="S471" s="12">
        <v>162</v>
      </c>
      <c r="T471" s="12" t="s">
        <v>39</v>
      </c>
      <c r="U471" s="12" t="s">
        <v>40</v>
      </c>
      <c r="V471" s="12" t="s">
        <v>586</v>
      </c>
      <c r="W471" s="12">
        <v>75000000</v>
      </c>
      <c r="X471" s="12">
        <v>1997</v>
      </c>
      <c r="Y471" s="12">
        <v>137</v>
      </c>
      <c r="Z471" s="12">
        <v>6.7</v>
      </c>
      <c r="AA471" s="12">
        <v>2.35</v>
      </c>
      <c r="AB471" s="12">
        <v>0</v>
      </c>
      <c r="AC471" s="12"/>
      <c r="AD471" s="12" t="str">
        <f>IFERROR(__xludf.DUMMYFUNCTION("""COMPUTED_VALUE"""),"Adam Baldwin")</f>
        <v>Adam Baldwin</v>
      </c>
      <c r="AE471" s="12"/>
    </row>
    <row r="472" customHeight="1" spans="1:31">
      <c r="A472" s="11" t="s">
        <v>30</v>
      </c>
      <c r="B472" s="11" t="s">
        <v>508</v>
      </c>
      <c r="C472" s="11">
        <v>406</v>
      </c>
      <c r="D472" s="11">
        <v>134</v>
      </c>
      <c r="E472" s="11">
        <v>452</v>
      </c>
      <c r="F472" s="11">
        <v>697</v>
      </c>
      <c r="G472" s="11">
        <v>11000</v>
      </c>
      <c r="H472" s="11">
        <v>85707116</v>
      </c>
      <c r="I472" s="11" t="s">
        <v>1467</v>
      </c>
      <c r="J472" s="11" t="s">
        <v>343</v>
      </c>
      <c r="K472" s="11" t="s">
        <v>1207</v>
      </c>
      <c r="L472" s="11" t="s">
        <v>2695</v>
      </c>
      <c r="M472" s="11" t="s">
        <v>2696</v>
      </c>
      <c r="N472" s="11">
        <v>303185</v>
      </c>
      <c r="O472" s="11">
        <v>20411</v>
      </c>
      <c r="P472" s="11">
        <v>4</v>
      </c>
      <c r="Q472" s="11" t="s">
        <v>2697</v>
      </c>
      <c r="R472" s="14" t="s">
        <v>2698</v>
      </c>
      <c r="S472" s="11">
        <v>701</v>
      </c>
      <c r="T472" s="11" t="s">
        <v>39</v>
      </c>
      <c r="U472" s="11" t="s">
        <v>40</v>
      </c>
      <c r="V472" s="11" t="s">
        <v>586</v>
      </c>
      <c r="W472" s="11">
        <v>68000000</v>
      </c>
      <c r="X472" s="11">
        <v>2014</v>
      </c>
      <c r="Y472" s="11">
        <v>8000</v>
      </c>
      <c r="Z472" s="11">
        <v>7.6</v>
      </c>
      <c r="AA472" s="11">
        <v>2.35</v>
      </c>
      <c r="AB472" s="11">
        <v>82000</v>
      </c>
      <c r="AC472" s="11"/>
      <c r="AD472" s="11" t="str">
        <f>IFERROR(__xludf.DUMMYFUNCTION("""COMPUTED_VALUE"""),"Julia Roberts")</f>
        <v>Julia Roberts</v>
      </c>
      <c r="AE472" s="11"/>
    </row>
    <row r="473" customHeight="1" spans="1:31">
      <c r="A473" s="12" t="s">
        <v>30</v>
      </c>
      <c r="B473" s="12" t="s">
        <v>2699</v>
      </c>
      <c r="C473" s="12">
        <v>97</v>
      </c>
      <c r="D473" s="12">
        <v>98</v>
      </c>
      <c r="E473" s="12">
        <v>425</v>
      </c>
      <c r="F473" s="12">
        <v>397</v>
      </c>
      <c r="G473" s="12">
        <v>11000</v>
      </c>
      <c r="H473" s="12">
        <v>74329966</v>
      </c>
      <c r="I473" s="12" t="s">
        <v>2700</v>
      </c>
      <c r="J473" s="12" t="s">
        <v>391</v>
      </c>
      <c r="K473" s="12" t="s">
        <v>2262</v>
      </c>
      <c r="L473" s="12" t="s">
        <v>1195</v>
      </c>
      <c r="M473" s="12" t="s">
        <v>2701</v>
      </c>
      <c r="N473" s="12">
        <v>60910</v>
      </c>
      <c r="O473" s="12">
        <v>12729</v>
      </c>
      <c r="P473" s="12">
        <v>2</v>
      </c>
      <c r="Q473" s="12" t="s">
        <v>2702</v>
      </c>
      <c r="R473" s="15" t="s">
        <v>2703</v>
      </c>
      <c r="S473" s="12">
        <v>164</v>
      </c>
      <c r="T473" s="12" t="s">
        <v>39</v>
      </c>
      <c r="U473" s="12" t="s">
        <v>40</v>
      </c>
      <c r="V473" s="12" t="s">
        <v>41</v>
      </c>
      <c r="W473" s="12">
        <v>70000000</v>
      </c>
      <c r="X473" s="12">
        <v>1998</v>
      </c>
      <c r="Y473" s="12">
        <v>643</v>
      </c>
      <c r="Z473" s="12">
        <v>5.7</v>
      </c>
      <c r="AA473" s="12">
        <v>2.35</v>
      </c>
      <c r="AB473" s="12">
        <v>0</v>
      </c>
      <c r="AC473" s="12"/>
      <c r="AD473" s="12" t="str">
        <f>IFERROR(__xludf.DUMMYFUNCTION("""COMPUTED_VALUE"""),"Mini Anden")</f>
        <v>Mini Anden</v>
      </c>
      <c r="AE473" s="12"/>
    </row>
    <row r="474" customHeight="1" spans="1:31">
      <c r="A474" s="11" t="s">
        <v>30</v>
      </c>
      <c r="B474" s="11" t="s">
        <v>2704</v>
      </c>
      <c r="C474" s="11">
        <v>143</v>
      </c>
      <c r="D474" s="11">
        <v>80</v>
      </c>
      <c r="E474" s="11">
        <v>40</v>
      </c>
      <c r="F474" s="11">
        <v>375</v>
      </c>
      <c r="G474" s="11">
        <v>3000</v>
      </c>
      <c r="H474" s="11">
        <v>100169068</v>
      </c>
      <c r="I474" s="11" t="s">
        <v>471</v>
      </c>
      <c r="J474" s="11" t="s">
        <v>723</v>
      </c>
      <c r="K474" s="11" t="s">
        <v>2705</v>
      </c>
      <c r="L474" s="11" t="s">
        <v>2706</v>
      </c>
      <c r="M474" s="11" t="s">
        <v>2707</v>
      </c>
      <c r="N474" s="11">
        <v>16385</v>
      </c>
      <c r="O474" s="11">
        <v>4394</v>
      </c>
      <c r="P474" s="11">
        <v>0</v>
      </c>
      <c r="Q474" s="11" t="s">
        <v>2708</v>
      </c>
      <c r="R474" s="14" t="s">
        <v>2709</v>
      </c>
      <c r="S474" s="11">
        <v>100</v>
      </c>
      <c r="T474" s="11" t="s">
        <v>39</v>
      </c>
      <c r="U474" s="11" t="s">
        <v>40</v>
      </c>
      <c r="V474" s="11" t="s">
        <v>96</v>
      </c>
      <c r="W474" s="11">
        <v>80000000</v>
      </c>
      <c r="X474" s="11">
        <v>2010</v>
      </c>
      <c r="Y474" s="11">
        <v>642</v>
      </c>
      <c r="Z474" s="11">
        <v>4.6</v>
      </c>
      <c r="AA474" s="11">
        <v>1.85</v>
      </c>
      <c r="AB474" s="11">
        <v>0</v>
      </c>
      <c r="AC474" s="11"/>
      <c r="AD474" s="11" t="str">
        <f>IFERROR(__xludf.DUMMYFUNCTION("""COMPUTED_VALUE"""),"Stephanie March")</f>
        <v>Stephanie March</v>
      </c>
      <c r="AE474" s="11"/>
    </row>
    <row r="475" customHeight="1" spans="1:31">
      <c r="A475" s="12" t="s">
        <v>30</v>
      </c>
      <c r="B475" s="12" t="s">
        <v>2710</v>
      </c>
      <c r="C475" s="12">
        <v>106</v>
      </c>
      <c r="D475" s="12">
        <v>83</v>
      </c>
      <c r="E475" s="12">
        <v>21</v>
      </c>
      <c r="F475" s="12">
        <v>495</v>
      </c>
      <c r="G475" s="12">
        <v>13000</v>
      </c>
      <c r="H475" s="12">
        <v>73215310</v>
      </c>
      <c r="I475" s="12" t="s">
        <v>2711</v>
      </c>
      <c r="J475" s="12" t="s">
        <v>1158</v>
      </c>
      <c r="K475" s="12" t="s">
        <v>2712</v>
      </c>
      <c r="L475" s="12" t="s">
        <v>2713</v>
      </c>
      <c r="M475" s="12" t="s">
        <v>2714</v>
      </c>
      <c r="N475" s="12">
        <v>44143</v>
      </c>
      <c r="O475" s="12">
        <v>14261</v>
      </c>
      <c r="P475" s="12">
        <v>0</v>
      </c>
      <c r="Q475" s="12" t="s">
        <v>2715</v>
      </c>
      <c r="R475" s="15" t="s">
        <v>2716</v>
      </c>
      <c r="S475" s="12">
        <v>216</v>
      </c>
      <c r="T475" s="12" t="s">
        <v>39</v>
      </c>
      <c r="U475" s="12" t="s">
        <v>40</v>
      </c>
      <c r="V475" s="12" t="s">
        <v>278</v>
      </c>
      <c r="W475" s="12">
        <v>80000000</v>
      </c>
      <c r="X475" s="12">
        <v>2002</v>
      </c>
      <c r="Y475" s="12">
        <v>503</v>
      </c>
      <c r="Z475" s="12">
        <v>7</v>
      </c>
      <c r="AA475" s="12">
        <v>2.35</v>
      </c>
      <c r="AB475" s="12">
        <v>4000</v>
      </c>
      <c r="AC475" s="12"/>
      <c r="AD475" s="12" t="str">
        <f>IFERROR(__xludf.DUMMYFUNCTION("""COMPUTED_VALUE"""),"Theo James")</f>
        <v>Theo James</v>
      </c>
      <c r="AE475" s="12"/>
    </row>
    <row r="476" customHeight="1" spans="1:31">
      <c r="A476" s="11" t="s">
        <v>30</v>
      </c>
      <c r="B476" s="11" t="s">
        <v>1628</v>
      </c>
      <c r="C476" s="11">
        <v>178</v>
      </c>
      <c r="D476" s="11">
        <v>102</v>
      </c>
      <c r="E476" s="11">
        <v>153</v>
      </c>
      <c r="F476" s="11">
        <v>269</v>
      </c>
      <c r="G476" s="11">
        <v>3000</v>
      </c>
      <c r="H476" s="11">
        <v>80360866</v>
      </c>
      <c r="I476" s="11" t="s">
        <v>2717</v>
      </c>
      <c r="J476" s="11" t="s">
        <v>984</v>
      </c>
      <c r="K476" s="11" t="s">
        <v>2718</v>
      </c>
      <c r="L476" s="11" t="s">
        <v>2719</v>
      </c>
      <c r="M476" s="11" t="s">
        <v>2720</v>
      </c>
      <c r="N476" s="11">
        <v>44662</v>
      </c>
      <c r="O476" s="11">
        <v>5392</v>
      </c>
      <c r="P476" s="11">
        <v>1</v>
      </c>
      <c r="Q476" s="11" t="s">
        <v>2721</v>
      </c>
      <c r="R476" s="14" t="s">
        <v>2722</v>
      </c>
      <c r="S476" s="11">
        <v>127</v>
      </c>
      <c r="T476" s="11" t="s">
        <v>39</v>
      </c>
      <c r="U476" s="11" t="s">
        <v>40</v>
      </c>
      <c r="V476" s="11" t="s">
        <v>96</v>
      </c>
      <c r="W476" s="11">
        <v>80000000</v>
      </c>
      <c r="X476" s="11">
        <v>2011</v>
      </c>
      <c r="Y476" s="11">
        <v>1000</v>
      </c>
      <c r="Z476" s="11">
        <v>5.2</v>
      </c>
      <c r="AA476" s="11">
        <v>2.35</v>
      </c>
      <c r="AB476" s="11">
        <v>0</v>
      </c>
      <c r="AC476" s="11"/>
      <c r="AD476" s="11" t="str">
        <f>IFERROR(__xludf.DUMMYFUNCTION("""COMPUTED_VALUE"""),"Mekhi Phifer")</f>
        <v>Mekhi Phifer</v>
      </c>
      <c r="AE476" s="11"/>
    </row>
    <row r="477" customHeight="1" spans="1:31">
      <c r="A477" s="12" t="s">
        <v>30</v>
      </c>
      <c r="B477" s="12" t="s">
        <v>2723</v>
      </c>
      <c r="C477" s="12">
        <v>102</v>
      </c>
      <c r="D477" s="12">
        <v>130</v>
      </c>
      <c r="E477" s="12">
        <v>81</v>
      </c>
      <c r="F477" s="12">
        <v>427</v>
      </c>
      <c r="G477" s="12">
        <v>10000</v>
      </c>
      <c r="H477" s="12">
        <v>69102910</v>
      </c>
      <c r="I477" s="12" t="s">
        <v>2724</v>
      </c>
      <c r="J477" s="12" t="s">
        <v>440</v>
      </c>
      <c r="K477" s="12" t="s">
        <v>191</v>
      </c>
      <c r="L477" s="12" t="s">
        <v>2725</v>
      </c>
      <c r="M477" s="12" t="s">
        <v>2726</v>
      </c>
      <c r="N477" s="12">
        <v>58402</v>
      </c>
      <c r="O477" s="12">
        <v>12186</v>
      </c>
      <c r="P477" s="12">
        <v>0</v>
      </c>
      <c r="Q477" s="12" t="s">
        <v>2727</v>
      </c>
      <c r="R477" s="15" t="s">
        <v>2728</v>
      </c>
      <c r="S477" s="12">
        <v>370</v>
      </c>
      <c r="T477" s="12" t="s">
        <v>39</v>
      </c>
      <c r="U477" s="12" t="s">
        <v>40</v>
      </c>
      <c r="V477" s="12" t="s">
        <v>41</v>
      </c>
      <c r="W477" s="12">
        <v>80000000</v>
      </c>
      <c r="X477" s="12">
        <v>1998</v>
      </c>
      <c r="Y477" s="12">
        <v>882</v>
      </c>
      <c r="Z477" s="12">
        <v>5.1</v>
      </c>
      <c r="AA477" s="12">
        <v>2.35</v>
      </c>
      <c r="AB477" s="12">
        <v>0</v>
      </c>
      <c r="AC477" s="12"/>
      <c r="AD477" s="12" t="str">
        <f>IFERROR(__xludf.DUMMYFUNCTION("""COMPUTED_VALUE"""),"Adam Scott")</f>
        <v>Adam Scott</v>
      </c>
      <c r="AE477" s="12"/>
    </row>
    <row r="478" customHeight="1" spans="1:31">
      <c r="A478" s="11" t="s">
        <v>30</v>
      </c>
      <c r="B478" s="11" t="s">
        <v>2729</v>
      </c>
      <c r="C478" s="11">
        <v>209</v>
      </c>
      <c r="D478" s="11">
        <v>129</v>
      </c>
      <c r="E478" s="11">
        <v>438</v>
      </c>
      <c r="F478" s="11">
        <v>502</v>
      </c>
      <c r="G478" s="11">
        <v>18000</v>
      </c>
      <c r="H478" s="11">
        <v>65948711</v>
      </c>
      <c r="I478" s="11" t="s">
        <v>2202</v>
      </c>
      <c r="J478" s="11" t="s">
        <v>1727</v>
      </c>
      <c r="K478" s="11" t="s">
        <v>2730</v>
      </c>
      <c r="L478" s="11" t="s">
        <v>2731</v>
      </c>
      <c r="M478" s="11" t="s">
        <v>2732</v>
      </c>
      <c r="N478" s="11">
        <v>86422</v>
      </c>
      <c r="O478" s="11">
        <v>20056</v>
      </c>
      <c r="P478" s="11">
        <v>1</v>
      </c>
      <c r="Q478" s="11" t="s">
        <v>2733</v>
      </c>
      <c r="R478" s="14" t="s">
        <v>2734</v>
      </c>
      <c r="S478" s="11">
        <v>363</v>
      </c>
      <c r="T478" s="11" t="s">
        <v>39</v>
      </c>
      <c r="U478" s="11" t="s">
        <v>40</v>
      </c>
      <c r="V478" s="11" t="s">
        <v>586</v>
      </c>
      <c r="W478" s="11">
        <v>80000000</v>
      </c>
      <c r="X478" s="11">
        <v>2004</v>
      </c>
      <c r="Y478" s="11">
        <v>1000</v>
      </c>
      <c r="Z478" s="11">
        <v>6.6</v>
      </c>
      <c r="AA478" s="11">
        <v>1.85</v>
      </c>
      <c r="AB478" s="11">
        <v>0</v>
      </c>
      <c r="AC478" s="11"/>
      <c r="AD478" s="11" t="str">
        <f>IFERROR(__xludf.DUMMYFUNCTION("""COMPUTED_VALUE"""),"Frances Conroy")</f>
        <v>Frances Conroy</v>
      </c>
      <c r="AE478" s="11"/>
    </row>
    <row r="479" customHeight="1" spans="1:31">
      <c r="A479" s="12" t="s">
        <v>30</v>
      </c>
      <c r="B479" s="12" t="s">
        <v>2735</v>
      </c>
      <c r="C479" s="12">
        <v>19</v>
      </c>
      <c r="D479" s="12">
        <v>117</v>
      </c>
      <c r="E479" s="12">
        <v>69</v>
      </c>
      <c r="F479" s="12">
        <v>87</v>
      </c>
      <c r="G479" s="12">
        <v>898</v>
      </c>
      <c r="H479" s="12">
        <v>821997</v>
      </c>
      <c r="I479" s="12" t="s">
        <v>214</v>
      </c>
      <c r="J479" s="12" t="s">
        <v>2535</v>
      </c>
      <c r="K479" s="12" t="s">
        <v>2242</v>
      </c>
      <c r="L479" s="12" t="s">
        <v>2736</v>
      </c>
      <c r="M479" s="12" t="s">
        <v>2737</v>
      </c>
      <c r="N479" s="12">
        <v>666</v>
      </c>
      <c r="O479" s="12">
        <v>1753</v>
      </c>
      <c r="P479" s="12">
        <v>0</v>
      </c>
      <c r="Q479" s="12" t="s">
        <v>2738</v>
      </c>
      <c r="R479" s="15" t="s">
        <v>2739</v>
      </c>
      <c r="S479" s="12">
        <v>40</v>
      </c>
      <c r="T479" s="12" t="s">
        <v>39</v>
      </c>
      <c r="U479" s="12" t="s">
        <v>40</v>
      </c>
      <c r="V479" s="12" t="s">
        <v>41</v>
      </c>
      <c r="W479" s="16"/>
      <c r="X479" s="12">
        <v>1997</v>
      </c>
      <c r="Y479" s="12">
        <v>577</v>
      </c>
      <c r="Z479" s="12">
        <v>7</v>
      </c>
      <c r="AA479" s="12">
        <v>1.85</v>
      </c>
      <c r="AB479" s="12">
        <v>91</v>
      </c>
      <c r="AC479" s="12"/>
      <c r="AD479" s="12" t="str">
        <f>IFERROR(__xludf.DUMMYFUNCTION("""COMPUTED_VALUE"""),"James Corden")</f>
        <v>James Corden</v>
      </c>
      <c r="AE479" s="12"/>
    </row>
    <row r="480" customHeight="1" spans="1:31">
      <c r="A480" s="11" t="s">
        <v>30</v>
      </c>
      <c r="B480" s="11" t="s">
        <v>2336</v>
      </c>
      <c r="C480" s="11">
        <v>152</v>
      </c>
      <c r="D480" s="11">
        <v>89</v>
      </c>
      <c r="E480" s="11">
        <v>266</v>
      </c>
      <c r="F480" s="11">
        <v>859</v>
      </c>
      <c r="G480" s="11">
        <v>12000</v>
      </c>
      <c r="H480" s="11">
        <v>169692572</v>
      </c>
      <c r="I480" s="11" t="s">
        <v>793</v>
      </c>
      <c r="J480" s="11" t="s">
        <v>272</v>
      </c>
      <c r="K480" s="11" t="s">
        <v>2180</v>
      </c>
      <c r="L480" s="11" t="s">
        <v>2740</v>
      </c>
      <c r="M480" s="11" t="s">
        <v>2741</v>
      </c>
      <c r="N480" s="11">
        <v>56501</v>
      </c>
      <c r="O480" s="11">
        <v>26839</v>
      </c>
      <c r="P480" s="11">
        <v>0</v>
      </c>
      <c r="Q480" s="11" t="s">
        <v>2742</v>
      </c>
      <c r="R480" s="14" t="s">
        <v>2743</v>
      </c>
      <c r="S480" s="11">
        <v>97</v>
      </c>
      <c r="T480" s="11" t="s">
        <v>39</v>
      </c>
      <c r="U480" s="11" t="s">
        <v>40</v>
      </c>
      <c r="V480" s="11" t="s">
        <v>96</v>
      </c>
      <c r="W480" s="11">
        <v>80000000</v>
      </c>
      <c r="X480" s="11">
        <v>2015</v>
      </c>
      <c r="Y480" s="11">
        <v>11000</v>
      </c>
      <c r="Z480" s="11">
        <v>6.7</v>
      </c>
      <c r="AA480" s="11">
        <v>1.85</v>
      </c>
      <c r="AB480" s="11">
        <v>16000</v>
      </c>
      <c r="AC480" s="11"/>
      <c r="AD480" s="11" t="str">
        <f>IFERROR(__xludf.DUMMYFUNCTION("""COMPUTED_VALUE"""),"Catherine Tate")</f>
        <v>Catherine Tate</v>
      </c>
      <c r="AE480" s="11"/>
    </row>
    <row r="481" customHeight="1" spans="1:31">
      <c r="A481" s="12" t="s">
        <v>748</v>
      </c>
      <c r="B481" s="16"/>
      <c r="C481" s="12">
        <v>31</v>
      </c>
      <c r="D481" s="12">
        <v>25</v>
      </c>
      <c r="E481" s="16"/>
      <c r="F481" s="12">
        <v>474</v>
      </c>
      <c r="G481" s="12">
        <v>1000</v>
      </c>
      <c r="H481" s="16"/>
      <c r="I481" s="12" t="s">
        <v>516</v>
      </c>
      <c r="J481" s="12" t="s">
        <v>2744</v>
      </c>
      <c r="K481" s="12" t="s">
        <v>2745</v>
      </c>
      <c r="L481" s="12" t="s">
        <v>2746</v>
      </c>
      <c r="M481" s="12" t="s">
        <v>2747</v>
      </c>
      <c r="N481" s="12">
        <v>11427</v>
      </c>
      <c r="O481" s="12">
        <v>2614</v>
      </c>
      <c r="P481" s="12">
        <v>1</v>
      </c>
      <c r="Q481" s="12" t="s">
        <v>2748</v>
      </c>
      <c r="R481" s="15" t="s">
        <v>2749</v>
      </c>
      <c r="S481" s="12">
        <v>71</v>
      </c>
      <c r="T481" s="12" t="s">
        <v>39</v>
      </c>
      <c r="U481" s="12" t="s">
        <v>40</v>
      </c>
      <c r="V481" s="12" t="s">
        <v>2750</v>
      </c>
      <c r="W481" s="16"/>
      <c r="X481" s="16"/>
      <c r="Y481" s="12">
        <v>960</v>
      </c>
      <c r="Z481" s="12">
        <v>7.6</v>
      </c>
      <c r="AA481" s="12">
        <v>4</v>
      </c>
      <c r="AB481" s="12">
        <v>0</v>
      </c>
      <c r="AC481" s="12"/>
      <c r="AD481" s="12" t="str">
        <f>IFERROR(__xludf.DUMMYFUNCTION("""COMPUTED_VALUE"""),"Olly Alexander")</f>
        <v>Olly Alexander</v>
      </c>
      <c r="AE481" s="12"/>
    </row>
    <row r="482" customHeight="1" spans="1:31">
      <c r="A482" s="11" t="s">
        <v>30</v>
      </c>
      <c r="B482" s="11" t="s">
        <v>2751</v>
      </c>
      <c r="C482" s="11">
        <v>129</v>
      </c>
      <c r="D482" s="11">
        <v>74</v>
      </c>
      <c r="E482" s="11">
        <v>11</v>
      </c>
      <c r="F482" s="11">
        <v>62</v>
      </c>
      <c r="G482" s="11">
        <v>340</v>
      </c>
      <c r="H482" s="11">
        <v>60507228</v>
      </c>
      <c r="I482" s="11" t="s">
        <v>2752</v>
      </c>
      <c r="J482" s="11" t="s">
        <v>2753</v>
      </c>
      <c r="K482" s="11" t="s">
        <v>2754</v>
      </c>
      <c r="L482" s="11" t="s">
        <v>2755</v>
      </c>
      <c r="M482" s="11" t="s">
        <v>2756</v>
      </c>
      <c r="N482" s="11">
        <v>27543</v>
      </c>
      <c r="O482" s="11">
        <v>814</v>
      </c>
      <c r="P482" s="11">
        <v>0</v>
      </c>
      <c r="Q482" s="11" t="s">
        <v>2757</v>
      </c>
      <c r="R482" s="14" t="s">
        <v>2758</v>
      </c>
      <c r="S482" s="11">
        <v>186</v>
      </c>
      <c r="T482" s="11" t="s">
        <v>39</v>
      </c>
      <c r="U482" s="11" t="s">
        <v>40</v>
      </c>
      <c r="V482" s="11" t="s">
        <v>278</v>
      </c>
      <c r="W482" s="11">
        <v>80000000</v>
      </c>
      <c r="X482" s="11">
        <v>1999</v>
      </c>
      <c r="Y482" s="11">
        <v>243</v>
      </c>
      <c r="Z482" s="11">
        <v>7.3</v>
      </c>
      <c r="AA482" s="11">
        <v>1.78</v>
      </c>
      <c r="AB482" s="11">
        <v>607</v>
      </c>
      <c r="AC482" s="11"/>
      <c r="AD482" s="11" t="str">
        <f>IFERROR(__xludf.DUMMYFUNCTION("""COMPUTED_VALUE"""),"Chad L. Coleman")</f>
        <v>Chad L. Coleman</v>
      </c>
      <c r="AE482" s="11"/>
    </row>
    <row r="483" customHeight="1" spans="1:31">
      <c r="A483" s="12" t="s">
        <v>30</v>
      </c>
      <c r="B483" s="12" t="s">
        <v>929</v>
      </c>
      <c r="C483" s="12">
        <v>124</v>
      </c>
      <c r="D483" s="12">
        <v>96</v>
      </c>
      <c r="E483" s="12">
        <v>25</v>
      </c>
      <c r="F483" s="12">
        <v>102</v>
      </c>
      <c r="G483" s="12">
        <v>891</v>
      </c>
      <c r="H483" s="12">
        <v>56684819</v>
      </c>
      <c r="I483" s="12" t="s">
        <v>73</v>
      </c>
      <c r="J483" s="12" t="s">
        <v>190</v>
      </c>
      <c r="K483" s="12" t="s">
        <v>2759</v>
      </c>
      <c r="L483" s="12" t="s">
        <v>2760</v>
      </c>
      <c r="M483" s="12" t="s">
        <v>2761</v>
      </c>
      <c r="N483" s="12">
        <v>103787</v>
      </c>
      <c r="O483" s="12">
        <v>1919</v>
      </c>
      <c r="P483" s="12">
        <v>0</v>
      </c>
      <c r="Q483" s="12" t="s">
        <v>2762</v>
      </c>
      <c r="R483" s="15" t="s">
        <v>2763</v>
      </c>
      <c r="S483" s="12">
        <v>615</v>
      </c>
      <c r="T483" s="12" t="s">
        <v>39</v>
      </c>
      <c r="U483" s="12" t="s">
        <v>40</v>
      </c>
      <c r="V483" s="12" t="s">
        <v>41</v>
      </c>
      <c r="W483" s="12">
        <v>80000000</v>
      </c>
      <c r="X483" s="12">
        <v>2002</v>
      </c>
      <c r="Y483" s="12">
        <v>639</v>
      </c>
      <c r="Z483" s="12">
        <v>5.9</v>
      </c>
      <c r="AA483" s="12">
        <v>2.35</v>
      </c>
      <c r="AB483" s="12">
        <v>3000</v>
      </c>
      <c r="AC483" s="12"/>
      <c r="AD483" s="12" t="str">
        <f>IFERROR(__xludf.DUMMYFUNCTION("""COMPUTED_VALUE"""),"George Peppard")</f>
        <v>George Peppard</v>
      </c>
      <c r="AE483" s="12"/>
    </row>
    <row r="484" customHeight="1" spans="1:31">
      <c r="A484" s="11" t="s">
        <v>30</v>
      </c>
      <c r="B484" s="11" t="s">
        <v>1903</v>
      </c>
      <c r="C484" s="11">
        <v>35</v>
      </c>
      <c r="D484" s="11">
        <v>114</v>
      </c>
      <c r="E484" s="11">
        <v>31</v>
      </c>
      <c r="F484" s="11">
        <v>372</v>
      </c>
      <c r="G484" s="11">
        <v>9000</v>
      </c>
      <c r="H484" s="11">
        <v>50628009</v>
      </c>
      <c r="I484" s="11" t="s">
        <v>2764</v>
      </c>
      <c r="J484" s="11" t="s">
        <v>778</v>
      </c>
      <c r="K484" s="11" t="s">
        <v>2765</v>
      </c>
      <c r="L484" s="11" t="s">
        <v>2766</v>
      </c>
      <c r="M484" s="11" t="s">
        <v>2767</v>
      </c>
      <c r="N484" s="11">
        <v>22955</v>
      </c>
      <c r="O484" s="11">
        <v>10731</v>
      </c>
      <c r="P484" s="11">
        <v>0</v>
      </c>
      <c r="Q484" s="11" t="s">
        <v>2768</v>
      </c>
      <c r="R484" s="14" t="s">
        <v>2769</v>
      </c>
      <c r="S484" s="11">
        <v>88</v>
      </c>
      <c r="T484" s="11" t="s">
        <v>39</v>
      </c>
      <c r="U484" s="11" t="s">
        <v>40</v>
      </c>
      <c r="V484" s="11" t="s">
        <v>96</v>
      </c>
      <c r="W484" s="11">
        <v>90000000</v>
      </c>
      <c r="X484" s="11">
        <v>1998</v>
      </c>
      <c r="Y484" s="11">
        <v>496</v>
      </c>
      <c r="Z484" s="11">
        <v>5.6</v>
      </c>
      <c r="AA484" s="11">
        <v>1.85</v>
      </c>
      <c r="AB484" s="11">
        <v>0</v>
      </c>
      <c r="AC484" s="11"/>
      <c r="AD484" s="11" t="str">
        <f>IFERROR(__xludf.DUMMYFUNCTION("""COMPUTED_VALUE"""),"Dirk Benedict")</f>
        <v>Dirk Benedict</v>
      </c>
      <c r="AE484" s="11"/>
    </row>
    <row r="485" customHeight="1" spans="1:31">
      <c r="A485" s="12" t="s">
        <v>30</v>
      </c>
      <c r="B485" s="12" t="s">
        <v>1688</v>
      </c>
      <c r="C485" s="12">
        <v>166</v>
      </c>
      <c r="D485" s="12">
        <v>99</v>
      </c>
      <c r="E485" s="12">
        <v>57</v>
      </c>
      <c r="F485" s="12">
        <v>820</v>
      </c>
      <c r="G485" s="12">
        <v>20000</v>
      </c>
      <c r="H485" s="12">
        <v>69772969</v>
      </c>
      <c r="I485" s="12" t="s">
        <v>334</v>
      </c>
      <c r="J485" s="12" t="s">
        <v>263</v>
      </c>
      <c r="K485" s="12" t="s">
        <v>252</v>
      </c>
      <c r="L485" s="12" t="s">
        <v>1046</v>
      </c>
      <c r="M485" s="12" t="s">
        <v>2770</v>
      </c>
      <c r="N485" s="12">
        <v>155532</v>
      </c>
      <c r="O485" s="12">
        <v>25942</v>
      </c>
      <c r="P485" s="12">
        <v>4</v>
      </c>
      <c r="Q485" s="12" t="s">
        <v>2771</v>
      </c>
      <c r="R485" s="15" t="s">
        <v>2772</v>
      </c>
      <c r="S485" s="12">
        <v>543</v>
      </c>
      <c r="T485" s="12" t="s">
        <v>39</v>
      </c>
      <c r="U485" s="12" t="s">
        <v>40</v>
      </c>
      <c r="V485" s="12" t="s">
        <v>586</v>
      </c>
      <c r="W485" s="12">
        <v>80000000</v>
      </c>
      <c r="X485" s="12">
        <v>2001</v>
      </c>
      <c r="Y485" s="12">
        <v>3000</v>
      </c>
      <c r="Z485" s="12">
        <v>6.5</v>
      </c>
      <c r="AA485" s="12">
        <v>2.35</v>
      </c>
      <c r="AB485" s="12">
        <v>0</v>
      </c>
      <c r="AC485" s="12"/>
      <c r="AD485" s="12" t="str">
        <f>IFERROR(__xludf.DUMMYFUNCTION("""COMPUTED_VALUE"""),"Dwight Schultz")</f>
        <v>Dwight Schultz</v>
      </c>
      <c r="AE485" s="12"/>
    </row>
    <row r="486" customHeight="1" spans="1:31">
      <c r="A486" s="11" t="s">
        <v>30</v>
      </c>
      <c r="B486" s="11" t="s">
        <v>314</v>
      </c>
      <c r="C486" s="11">
        <v>137</v>
      </c>
      <c r="D486" s="11">
        <v>129</v>
      </c>
      <c r="E486" s="11">
        <v>258</v>
      </c>
      <c r="F486" s="11">
        <v>163</v>
      </c>
      <c r="G486" s="11">
        <v>2000</v>
      </c>
      <c r="H486" s="11">
        <v>45356386</v>
      </c>
      <c r="I486" s="11" t="s">
        <v>136</v>
      </c>
      <c r="J486" s="11" t="s">
        <v>2773</v>
      </c>
      <c r="K486" s="11" t="s">
        <v>2774</v>
      </c>
      <c r="L486" s="11" t="s">
        <v>2775</v>
      </c>
      <c r="M486" s="11" t="s">
        <v>2776</v>
      </c>
      <c r="N486" s="11">
        <v>71574</v>
      </c>
      <c r="O486" s="11">
        <v>2864</v>
      </c>
      <c r="P486" s="11">
        <v>1</v>
      </c>
      <c r="Q486" s="11" t="s">
        <v>2777</v>
      </c>
      <c r="R486" s="14" t="s">
        <v>2778</v>
      </c>
      <c r="S486" s="11">
        <v>244</v>
      </c>
      <c r="T486" s="11" t="s">
        <v>2779</v>
      </c>
      <c r="U486" s="11" t="s">
        <v>40</v>
      </c>
      <c r="V486" s="11" t="s">
        <v>96</v>
      </c>
      <c r="W486" s="11">
        <v>75000000</v>
      </c>
      <c r="X486" s="11">
        <v>2005</v>
      </c>
      <c r="Y486" s="11">
        <v>277</v>
      </c>
      <c r="Z486" s="11">
        <v>5.9</v>
      </c>
      <c r="AA486" s="11">
        <v>2.35</v>
      </c>
      <c r="AB486" s="11">
        <v>951</v>
      </c>
      <c r="AC486" s="11"/>
      <c r="AD486" s="11" t="str">
        <f>IFERROR(__xludf.DUMMYFUNCTION("""COMPUTED_VALUE"""),"Sullivan Stapleton")</f>
        <v>Sullivan Stapleton</v>
      </c>
      <c r="AE486" s="11"/>
    </row>
    <row r="487" customHeight="1" spans="1:31">
      <c r="A487" s="12" t="s">
        <v>30</v>
      </c>
      <c r="B487" s="12" t="s">
        <v>2780</v>
      </c>
      <c r="C487" s="12">
        <v>121</v>
      </c>
      <c r="D487" s="12">
        <v>113</v>
      </c>
      <c r="E487" s="12">
        <v>25</v>
      </c>
      <c r="F487" s="12">
        <v>129</v>
      </c>
      <c r="G487" s="12">
        <v>49000</v>
      </c>
      <c r="H487" s="12">
        <v>55350897</v>
      </c>
      <c r="I487" s="12" t="s">
        <v>687</v>
      </c>
      <c r="J487" s="12" t="s">
        <v>811</v>
      </c>
      <c r="K487" s="12" t="s">
        <v>2781</v>
      </c>
      <c r="L487" s="12" t="s">
        <v>2782</v>
      </c>
      <c r="M487" s="12" t="s">
        <v>2783</v>
      </c>
      <c r="N487" s="12">
        <v>83560</v>
      </c>
      <c r="O487" s="12">
        <v>49631</v>
      </c>
      <c r="P487" s="12">
        <v>1</v>
      </c>
      <c r="Q487" s="12" t="s">
        <v>2784</v>
      </c>
      <c r="R487" s="15" t="s">
        <v>2785</v>
      </c>
      <c r="S487" s="12">
        <v>619</v>
      </c>
      <c r="T487" s="12" t="s">
        <v>39</v>
      </c>
      <c r="U487" s="12" t="s">
        <v>40</v>
      </c>
      <c r="V487" s="12" t="s">
        <v>41</v>
      </c>
      <c r="W487" s="12">
        <v>85000000</v>
      </c>
      <c r="X487" s="12">
        <v>1998</v>
      </c>
      <c r="Y487" s="12">
        <v>448</v>
      </c>
      <c r="Z487" s="12">
        <v>7</v>
      </c>
      <c r="AA487" s="12">
        <v>2.35</v>
      </c>
      <c r="AB487" s="12">
        <v>32000</v>
      </c>
      <c r="AC487" s="12"/>
      <c r="AD487" s="12" t="str">
        <f>IFERROR(__xludf.DUMMYFUNCTION("""COMPUTED_VALUE"""),"Mahadeo Shivraj")</f>
        <v>Mahadeo Shivraj</v>
      </c>
      <c r="AE487" s="12"/>
    </row>
    <row r="488" customHeight="1" spans="1:31">
      <c r="A488" s="11" t="s">
        <v>30</v>
      </c>
      <c r="B488" s="11" t="s">
        <v>2786</v>
      </c>
      <c r="C488" s="11">
        <v>87</v>
      </c>
      <c r="D488" s="11">
        <v>90</v>
      </c>
      <c r="E488" s="11">
        <v>65</v>
      </c>
      <c r="F488" s="11">
        <v>658</v>
      </c>
      <c r="G488" s="11">
        <v>11000</v>
      </c>
      <c r="H488" s="11">
        <v>39442871</v>
      </c>
      <c r="I488" s="11" t="s">
        <v>2787</v>
      </c>
      <c r="J488" s="11" t="s">
        <v>2180</v>
      </c>
      <c r="K488" s="11" t="s">
        <v>1957</v>
      </c>
      <c r="L488" s="11" t="s">
        <v>2788</v>
      </c>
      <c r="M488" s="11" t="s">
        <v>2789</v>
      </c>
      <c r="N488" s="11">
        <v>80639</v>
      </c>
      <c r="O488" s="11">
        <v>25190</v>
      </c>
      <c r="P488" s="11">
        <v>0</v>
      </c>
      <c r="Q488" s="11" t="s">
        <v>2790</v>
      </c>
      <c r="R488" s="14" t="s">
        <v>2791</v>
      </c>
      <c r="S488" s="11">
        <v>237</v>
      </c>
      <c r="T488" s="11" t="s">
        <v>39</v>
      </c>
      <c r="U488" s="11" t="s">
        <v>40</v>
      </c>
      <c r="V488" s="11" t="s">
        <v>41</v>
      </c>
      <c r="W488" s="11">
        <v>80000000</v>
      </c>
      <c r="X488" s="11">
        <v>2000</v>
      </c>
      <c r="Y488" s="11">
        <v>11000</v>
      </c>
      <c r="Z488" s="11">
        <v>5.3</v>
      </c>
      <c r="AA488" s="11">
        <v>1.85</v>
      </c>
      <c r="AB488" s="11">
        <v>0</v>
      </c>
      <c r="AC488" s="11"/>
      <c r="AD488" s="11" t="str">
        <f>IFERROR(__xludf.DUMMYFUNCTION("""COMPUTED_VALUE"""),"Tim Gunn")</f>
        <v>Tim Gunn</v>
      </c>
      <c r="AE488" s="11"/>
    </row>
    <row r="489" customHeight="1" spans="1:31">
      <c r="A489" s="12" t="s">
        <v>30</v>
      </c>
      <c r="B489" s="12" t="s">
        <v>2792</v>
      </c>
      <c r="C489" s="12">
        <v>233</v>
      </c>
      <c r="D489" s="12">
        <v>118</v>
      </c>
      <c r="E489" s="12">
        <v>0</v>
      </c>
      <c r="F489" s="12">
        <v>871</v>
      </c>
      <c r="G489" s="12">
        <v>13000</v>
      </c>
      <c r="H489" s="12">
        <v>37899638</v>
      </c>
      <c r="I489" s="12" t="s">
        <v>2793</v>
      </c>
      <c r="J489" s="12" t="s">
        <v>1158</v>
      </c>
      <c r="K489" s="12" t="s">
        <v>465</v>
      </c>
      <c r="L489" s="12" t="s">
        <v>1213</v>
      </c>
      <c r="M489" s="12" t="s">
        <v>2794</v>
      </c>
      <c r="N489" s="12">
        <v>98472</v>
      </c>
      <c r="O489" s="12">
        <v>27114</v>
      </c>
      <c r="P489" s="12">
        <v>2</v>
      </c>
      <c r="Q489" s="12" t="s">
        <v>2795</v>
      </c>
      <c r="R489" s="15" t="s">
        <v>2796</v>
      </c>
      <c r="S489" s="12">
        <v>492</v>
      </c>
      <c r="T489" s="12" t="s">
        <v>39</v>
      </c>
      <c r="U489" s="12" t="s">
        <v>40</v>
      </c>
      <c r="V489" s="12" t="s">
        <v>41</v>
      </c>
      <c r="W489" s="12">
        <v>88000000</v>
      </c>
      <c r="X489" s="12">
        <v>2005</v>
      </c>
      <c r="Y489" s="12">
        <v>13000</v>
      </c>
      <c r="Z489" s="12">
        <v>5.9</v>
      </c>
      <c r="AA489" s="12">
        <v>1.85</v>
      </c>
      <c r="AB489" s="12">
        <v>0</v>
      </c>
      <c r="AC489" s="12"/>
      <c r="AD489" s="12" t="str">
        <f>IFERROR(__xludf.DUMMYFUNCTION("""COMPUTED_VALUE"""),"Madison McKinley")</f>
        <v>Madison McKinley</v>
      </c>
      <c r="AE489" s="12"/>
    </row>
    <row r="490" customHeight="1" spans="1:31">
      <c r="A490" s="11" t="s">
        <v>30</v>
      </c>
      <c r="B490" s="11" t="s">
        <v>256</v>
      </c>
      <c r="C490" s="11">
        <v>132</v>
      </c>
      <c r="D490" s="11">
        <v>106</v>
      </c>
      <c r="E490" s="11">
        <v>13000</v>
      </c>
      <c r="F490" s="11">
        <v>733</v>
      </c>
      <c r="G490" s="11">
        <v>20000</v>
      </c>
      <c r="H490" s="11">
        <v>37754208</v>
      </c>
      <c r="I490" s="11" t="s">
        <v>1904</v>
      </c>
      <c r="J490" s="11" t="s">
        <v>842</v>
      </c>
      <c r="K490" s="11" t="s">
        <v>959</v>
      </c>
      <c r="L490" s="11" t="s">
        <v>1136</v>
      </c>
      <c r="M490" s="11" t="s">
        <v>2797</v>
      </c>
      <c r="N490" s="11">
        <v>172217</v>
      </c>
      <c r="O490" s="11">
        <v>22590</v>
      </c>
      <c r="P490" s="11">
        <v>3</v>
      </c>
      <c r="Q490" s="11" t="s">
        <v>2798</v>
      </c>
      <c r="R490" s="14" t="s">
        <v>2799</v>
      </c>
      <c r="S490" s="11">
        <v>405</v>
      </c>
      <c r="T490" s="11" t="s">
        <v>39</v>
      </c>
      <c r="U490" s="11" t="s">
        <v>40</v>
      </c>
      <c r="V490" s="11" t="s">
        <v>41</v>
      </c>
      <c r="W490" s="11">
        <v>70000000</v>
      </c>
      <c r="X490" s="11">
        <v>1996</v>
      </c>
      <c r="Y490" s="11">
        <v>770</v>
      </c>
      <c r="Z490" s="11">
        <v>6.3</v>
      </c>
      <c r="AA490" s="11">
        <v>2.35</v>
      </c>
      <c r="AB490" s="11">
        <v>0</v>
      </c>
      <c r="AC490" s="11"/>
      <c r="AD490" s="11" t="str">
        <f>IFERROR(__xludf.DUMMYFUNCTION("""COMPUTED_VALUE"""),"Roseanne Barr")</f>
        <v>Roseanne Barr</v>
      </c>
      <c r="AE490" s="11"/>
    </row>
    <row r="491" customHeight="1" spans="1:31">
      <c r="A491" s="12" t="s">
        <v>30</v>
      </c>
      <c r="B491" s="12" t="s">
        <v>2800</v>
      </c>
      <c r="C491" s="12">
        <v>63</v>
      </c>
      <c r="D491" s="12">
        <v>81</v>
      </c>
      <c r="E491" s="12">
        <v>92</v>
      </c>
      <c r="F491" s="12">
        <v>8</v>
      </c>
      <c r="G491" s="12">
        <v>23</v>
      </c>
      <c r="H491" s="16"/>
      <c r="I491" s="12" t="s">
        <v>2801</v>
      </c>
      <c r="J491" s="12" t="s">
        <v>2802</v>
      </c>
      <c r="K491" s="12" t="s">
        <v>2803</v>
      </c>
      <c r="L491" s="12" t="s">
        <v>2804</v>
      </c>
      <c r="M491" s="12" t="s">
        <v>2805</v>
      </c>
      <c r="N491" s="12">
        <v>979</v>
      </c>
      <c r="O491" s="12">
        <v>54</v>
      </c>
      <c r="P491" s="12">
        <v>0</v>
      </c>
      <c r="Q491" s="12" t="s">
        <v>2806</v>
      </c>
      <c r="R491" s="15" t="s">
        <v>2807</v>
      </c>
      <c r="S491" s="12">
        <v>3</v>
      </c>
      <c r="T491" s="12" t="s">
        <v>1465</v>
      </c>
      <c r="U491" s="12" t="s">
        <v>1466</v>
      </c>
      <c r="V491" s="16"/>
      <c r="W491" s="16"/>
      <c r="X491" s="12">
        <v>2015</v>
      </c>
      <c r="Y491" s="12">
        <v>21</v>
      </c>
      <c r="Z491" s="12">
        <v>6.4</v>
      </c>
      <c r="AA491" s="12">
        <v>2.35</v>
      </c>
      <c r="AB491" s="12">
        <v>257</v>
      </c>
      <c r="AC491" s="12"/>
      <c r="AD491" s="12" t="str">
        <f>IFERROR(__xludf.DUMMYFUNCTION("""COMPUTED_VALUE"""),"G.W. Bailey")</f>
        <v>G.W. Bailey</v>
      </c>
      <c r="AE491" s="12"/>
    </row>
    <row r="492" customHeight="1" spans="1:31">
      <c r="A492" s="11" t="s">
        <v>30</v>
      </c>
      <c r="B492" s="11" t="s">
        <v>963</v>
      </c>
      <c r="C492" s="11">
        <v>95</v>
      </c>
      <c r="D492" s="11">
        <v>117</v>
      </c>
      <c r="E492" s="11">
        <v>93</v>
      </c>
      <c r="F492" s="11">
        <v>904</v>
      </c>
      <c r="G492" s="11">
        <v>12000</v>
      </c>
      <c r="H492" s="11">
        <v>27779888</v>
      </c>
      <c r="I492" s="11" t="s">
        <v>712</v>
      </c>
      <c r="J492" s="11" t="s">
        <v>763</v>
      </c>
      <c r="K492" s="11" t="s">
        <v>2808</v>
      </c>
      <c r="L492" s="11" t="s">
        <v>2809</v>
      </c>
      <c r="M492" s="11" t="s">
        <v>2810</v>
      </c>
      <c r="N492" s="11">
        <v>55913</v>
      </c>
      <c r="O492" s="11">
        <v>14831</v>
      </c>
      <c r="P492" s="11">
        <v>2</v>
      </c>
      <c r="Q492" s="11" t="s">
        <v>2811</v>
      </c>
      <c r="R492" s="14" t="s">
        <v>2812</v>
      </c>
      <c r="S492" s="11">
        <v>182</v>
      </c>
      <c r="T492" s="11" t="s">
        <v>39</v>
      </c>
      <c r="U492" s="11" t="s">
        <v>40</v>
      </c>
      <c r="V492" s="11" t="s">
        <v>586</v>
      </c>
      <c r="W492" s="13"/>
      <c r="X492" s="11">
        <v>1997</v>
      </c>
      <c r="Y492" s="11">
        <v>1000</v>
      </c>
      <c r="Z492" s="11">
        <v>6.9</v>
      </c>
      <c r="AA492" s="11">
        <v>2.35</v>
      </c>
      <c r="AB492" s="11">
        <v>0</v>
      </c>
      <c r="AC492" s="11"/>
      <c r="AD492" s="11" t="str">
        <f>IFERROR(__xludf.DUMMYFUNCTION("""COMPUTED_VALUE"""),"Torey Michael Adkins")</f>
        <v>Torey Michael Adkins</v>
      </c>
      <c r="AE492" s="11"/>
    </row>
    <row r="493" customHeight="1" spans="1:31">
      <c r="A493" s="12" t="s">
        <v>30</v>
      </c>
      <c r="B493" s="12" t="s">
        <v>647</v>
      </c>
      <c r="C493" s="12">
        <v>258</v>
      </c>
      <c r="D493" s="12">
        <v>89</v>
      </c>
      <c r="E493" s="12">
        <v>84</v>
      </c>
      <c r="F493" s="12">
        <v>1000</v>
      </c>
      <c r="G493" s="12">
        <v>13000</v>
      </c>
      <c r="H493" s="12">
        <v>38542418</v>
      </c>
      <c r="I493" s="12" t="s">
        <v>2813</v>
      </c>
      <c r="J493" s="12" t="s">
        <v>978</v>
      </c>
      <c r="K493" s="12" t="s">
        <v>2814</v>
      </c>
      <c r="L493" s="12" t="s">
        <v>2815</v>
      </c>
      <c r="M493" s="12" t="s">
        <v>2816</v>
      </c>
      <c r="N493" s="12">
        <v>151424</v>
      </c>
      <c r="O493" s="12">
        <v>18132</v>
      </c>
      <c r="P493" s="12">
        <v>5</v>
      </c>
      <c r="Q493" s="12" t="s">
        <v>2817</v>
      </c>
      <c r="R493" s="15" t="s">
        <v>2818</v>
      </c>
      <c r="S493" s="12">
        <v>252</v>
      </c>
      <c r="T493" s="12" t="s">
        <v>39</v>
      </c>
      <c r="U493" s="12" t="s">
        <v>40</v>
      </c>
      <c r="V493" s="12" t="s">
        <v>41</v>
      </c>
      <c r="W493" s="12">
        <v>80000000</v>
      </c>
      <c r="X493" s="12">
        <v>2009</v>
      </c>
      <c r="Y493" s="12">
        <v>1000</v>
      </c>
      <c r="Z493" s="12">
        <v>6.3</v>
      </c>
      <c r="AA493" s="12">
        <v>2.35</v>
      </c>
      <c r="AB493" s="12">
        <v>0</v>
      </c>
      <c r="AC493" s="12"/>
      <c r="AD493" s="12" t="str">
        <f>IFERROR(__xludf.DUMMYFUNCTION("""COMPUTED_VALUE"""),"Olga Fonda")</f>
        <v>Olga Fonda</v>
      </c>
      <c r="AE493" s="12"/>
    </row>
    <row r="494" customHeight="1" spans="1:31">
      <c r="A494" s="11" t="s">
        <v>30</v>
      </c>
      <c r="B494" s="11" t="s">
        <v>1490</v>
      </c>
      <c r="C494" s="11">
        <v>162</v>
      </c>
      <c r="D494" s="11">
        <v>145</v>
      </c>
      <c r="E494" s="11">
        <v>79</v>
      </c>
      <c r="F494" s="11">
        <v>183</v>
      </c>
      <c r="G494" s="11">
        <v>981</v>
      </c>
      <c r="H494" s="11">
        <v>34566746</v>
      </c>
      <c r="I494" s="11" t="s">
        <v>2819</v>
      </c>
      <c r="J494" s="11" t="s">
        <v>354</v>
      </c>
      <c r="K494" s="11" t="s">
        <v>2820</v>
      </c>
      <c r="L494" s="11" t="s">
        <v>2821</v>
      </c>
      <c r="M494" s="11" t="s">
        <v>2822</v>
      </c>
      <c r="N494" s="11">
        <v>45231</v>
      </c>
      <c r="O494" s="11">
        <v>1825</v>
      </c>
      <c r="P494" s="11">
        <v>1</v>
      </c>
      <c r="Q494" s="11" t="s">
        <v>2823</v>
      </c>
      <c r="R494" s="14" t="s">
        <v>2824</v>
      </c>
      <c r="S494" s="11">
        <v>315</v>
      </c>
      <c r="T494" s="11" t="s">
        <v>39</v>
      </c>
      <c r="U494" s="11" t="s">
        <v>40</v>
      </c>
      <c r="V494" s="11" t="s">
        <v>41</v>
      </c>
      <c r="W494" s="11">
        <v>80000000</v>
      </c>
      <c r="X494" s="11">
        <v>2000</v>
      </c>
      <c r="Y494" s="11">
        <v>274</v>
      </c>
      <c r="Z494" s="11">
        <v>7.3</v>
      </c>
      <c r="AA494" s="11">
        <v>1.85</v>
      </c>
      <c r="AB494" s="11">
        <v>0</v>
      </c>
      <c r="AC494" s="11"/>
      <c r="AD494" s="11" t="str">
        <f>IFERROR(__xludf.DUMMYFUNCTION("""COMPUTED_VALUE"""),"Jacob Tremblay")</f>
        <v>Jacob Tremblay</v>
      </c>
      <c r="AE494" s="11"/>
    </row>
    <row r="495" customHeight="1" spans="1:31">
      <c r="A495" s="12" t="s">
        <v>30</v>
      </c>
      <c r="B495" s="12" t="s">
        <v>500</v>
      </c>
      <c r="C495" s="12">
        <v>61</v>
      </c>
      <c r="D495" s="12">
        <v>114</v>
      </c>
      <c r="E495" s="12">
        <v>357</v>
      </c>
      <c r="F495" s="12">
        <v>366</v>
      </c>
      <c r="G495" s="12">
        <v>13000</v>
      </c>
      <c r="H495" s="12">
        <v>32885565</v>
      </c>
      <c r="I495" s="12" t="s">
        <v>712</v>
      </c>
      <c r="J495" s="12" t="s">
        <v>1785</v>
      </c>
      <c r="K495" s="12" t="s">
        <v>2825</v>
      </c>
      <c r="L495" s="12" t="s">
        <v>2826</v>
      </c>
      <c r="M495" s="12" t="s">
        <v>2827</v>
      </c>
      <c r="N495" s="12">
        <v>53132</v>
      </c>
      <c r="O495" s="12">
        <v>25126</v>
      </c>
      <c r="P495" s="12">
        <v>0</v>
      </c>
      <c r="Q495" s="12" t="s">
        <v>2828</v>
      </c>
      <c r="R495" s="15" t="s">
        <v>2829</v>
      </c>
      <c r="S495" s="12">
        <v>101</v>
      </c>
      <c r="T495" s="12" t="s">
        <v>39</v>
      </c>
      <c r="U495" s="12" t="s">
        <v>40</v>
      </c>
      <c r="V495" s="12" t="s">
        <v>41</v>
      </c>
      <c r="W495" s="12">
        <v>80000000</v>
      </c>
      <c r="X495" s="12">
        <v>1996</v>
      </c>
      <c r="Y495" s="12">
        <v>10000</v>
      </c>
      <c r="Z495" s="12">
        <v>5.8</v>
      </c>
      <c r="AA495" s="12">
        <v>1.85</v>
      </c>
      <c r="AB495" s="12">
        <v>0</v>
      </c>
      <c r="AC495" s="12"/>
      <c r="AD495" s="12" t="str">
        <f>IFERROR(__xludf.DUMMYFUNCTION("""COMPUTED_VALUE"""),"Nancy O'Dell")</f>
        <v>Nancy O'Dell</v>
      </c>
      <c r="AE495" s="12"/>
    </row>
    <row r="496" customHeight="1" spans="1:31">
      <c r="A496" s="11" t="s">
        <v>30</v>
      </c>
      <c r="B496" s="11" t="s">
        <v>2830</v>
      </c>
      <c r="C496" s="11">
        <v>113</v>
      </c>
      <c r="D496" s="11">
        <v>87</v>
      </c>
      <c r="E496" s="11">
        <v>43</v>
      </c>
      <c r="F496" s="11">
        <v>210</v>
      </c>
      <c r="G496" s="11">
        <v>882</v>
      </c>
      <c r="H496" s="11">
        <v>36073232</v>
      </c>
      <c r="I496" s="11" t="s">
        <v>2831</v>
      </c>
      <c r="J496" s="11" t="s">
        <v>2832</v>
      </c>
      <c r="K496" s="11" t="s">
        <v>2833</v>
      </c>
      <c r="L496" s="11" t="s">
        <v>2834</v>
      </c>
      <c r="M496" s="11" t="s">
        <v>2835</v>
      </c>
      <c r="N496" s="11">
        <v>8913</v>
      </c>
      <c r="O496" s="11">
        <v>1971</v>
      </c>
      <c r="P496" s="11">
        <v>0</v>
      </c>
      <c r="Q496" s="11" t="s">
        <v>2836</v>
      </c>
      <c r="R496" s="14" t="s">
        <v>2837</v>
      </c>
      <c r="S496" s="11">
        <v>66</v>
      </c>
      <c r="T496" s="11" t="s">
        <v>39</v>
      </c>
      <c r="U496" s="11" t="s">
        <v>40</v>
      </c>
      <c r="V496" s="11" t="s">
        <v>96</v>
      </c>
      <c r="W496" s="11">
        <v>80000000</v>
      </c>
      <c r="X496" s="11">
        <v>2013</v>
      </c>
      <c r="Y496" s="11">
        <v>396</v>
      </c>
      <c r="Z496" s="11">
        <v>5.2</v>
      </c>
      <c r="AA496" s="11">
        <v>2.35</v>
      </c>
      <c r="AB496" s="11">
        <v>0</v>
      </c>
      <c r="AC496" s="11"/>
      <c r="AD496" s="11" t="str">
        <f>IFERROR(__xludf.DUMMYFUNCTION("""COMPUTED_VALUE"""),"Vanessa Matsui")</f>
        <v>Vanessa Matsui</v>
      </c>
      <c r="AE496" s="11"/>
    </row>
    <row r="497" customHeight="1" spans="1:31">
      <c r="A497" s="12" t="s">
        <v>30</v>
      </c>
      <c r="B497" s="12" t="s">
        <v>2838</v>
      </c>
      <c r="C497" s="12">
        <v>174</v>
      </c>
      <c r="D497" s="12">
        <v>119</v>
      </c>
      <c r="E497" s="12">
        <v>64</v>
      </c>
      <c r="F497" s="12">
        <v>41</v>
      </c>
      <c r="G497" s="12">
        <v>743</v>
      </c>
      <c r="H497" s="12">
        <v>21471685</v>
      </c>
      <c r="I497" s="12" t="s">
        <v>73</v>
      </c>
      <c r="J497" s="12" t="s">
        <v>2839</v>
      </c>
      <c r="K497" s="12" t="s">
        <v>2237</v>
      </c>
      <c r="L497" s="12" t="s">
        <v>2840</v>
      </c>
      <c r="M497" s="12" t="s">
        <v>2841</v>
      </c>
      <c r="N497" s="12">
        <v>65464</v>
      </c>
      <c r="O497" s="12">
        <v>971</v>
      </c>
      <c r="P497" s="12">
        <v>0</v>
      </c>
      <c r="Q497" s="12" t="s">
        <v>2842</v>
      </c>
      <c r="R497" s="15" t="s">
        <v>2843</v>
      </c>
      <c r="S497" s="12">
        <v>1308</v>
      </c>
      <c r="T497" s="12" t="s">
        <v>39</v>
      </c>
      <c r="U497" s="12" t="s">
        <v>40</v>
      </c>
      <c r="V497" s="12" t="s">
        <v>41</v>
      </c>
      <c r="W497" s="12">
        <v>44000000</v>
      </c>
      <c r="X497" s="12">
        <v>2000</v>
      </c>
      <c r="Y497" s="12">
        <v>117</v>
      </c>
      <c r="Z497" s="12">
        <v>2.4</v>
      </c>
      <c r="AA497" s="12">
        <v>2.35</v>
      </c>
      <c r="AB497" s="12">
        <v>0</v>
      </c>
      <c r="AC497" s="12"/>
      <c r="AD497" s="12" t="str">
        <f>IFERROR(__xludf.DUMMYFUNCTION("""COMPUTED_VALUE"""),"Jason Patric")</f>
        <v>Jason Patric</v>
      </c>
      <c r="AE497" s="12"/>
    </row>
    <row r="498" customHeight="1" spans="1:31">
      <c r="A498" s="11" t="s">
        <v>30</v>
      </c>
      <c r="B498" s="11" t="s">
        <v>2844</v>
      </c>
      <c r="C498" s="11">
        <v>101</v>
      </c>
      <c r="D498" s="11">
        <v>91</v>
      </c>
      <c r="E498" s="11">
        <v>287</v>
      </c>
      <c r="F498" s="11">
        <v>695</v>
      </c>
      <c r="G498" s="11">
        <v>3000</v>
      </c>
      <c r="H498" s="11">
        <v>20950820</v>
      </c>
      <c r="I498" s="11" t="s">
        <v>1177</v>
      </c>
      <c r="J498" s="11" t="s">
        <v>503</v>
      </c>
      <c r="K498" s="11" t="s">
        <v>2845</v>
      </c>
      <c r="L498" s="11" t="s">
        <v>2846</v>
      </c>
      <c r="M498" s="11" t="s">
        <v>2847</v>
      </c>
      <c r="N498" s="11">
        <v>24183</v>
      </c>
      <c r="O498" s="11">
        <v>5593</v>
      </c>
      <c r="P498" s="11">
        <v>4</v>
      </c>
      <c r="Q498" s="11" t="s">
        <v>2848</v>
      </c>
      <c r="R498" s="14" t="s">
        <v>2849</v>
      </c>
      <c r="S498" s="11">
        <v>160</v>
      </c>
      <c r="T498" s="11" t="s">
        <v>39</v>
      </c>
      <c r="U498" s="11" t="s">
        <v>768</v>
      </c>
      <c r="V498" s="11" t="s">
        <v>96</v>
      </c>
      <c r="W498" s="11">
        <v>80000000</v>
      </c>
      <c r="X498" s="11">
        <v>2003</v>
      </c>
      <c r="Y498" s="11">
        <v>739</v>
      </c>
      <c r="Z498" s="11">
        <v>5.7</v>
      </c>
      <c r="AA498" s="11">
        <v>2.35</v>
      </c>
      <c r="AB498" s="11">
        <v>665</v>
      </c>
      <c r="AC498" s="11"/>
      <c r="AD498" s="11" t="str">
        <f>IFERROR(__xludf.DUMMYFUNCTION("""COMPUTED_VALUE"""),"Lois Chiles")</f>
        <v>Lois Chiles</v>
      </c>
      <c r="AE498" s="11"/>
    </row>
    <row r="499" customHeight="1" spans="1:31">
      <c r="A499" s="12" t="s">
        <v>748</v>
      </c>
      <c r="B499" s="12" t="s">
        <v>158</v>
      </c>
      <c r="C499" s="12">
        <v>205</v>
      </c>
      <c r="D499" s="12">
        <v>118</v>
      </c>
      <c r="E499" s="12">
        <v>252</v>
      </c>
      <c r="F499" s="12">
        <v>30</v>
      </c>
      <c r="G499" s="12">
        <v>529</v>
      </c>
      <c r="H499" s="12">
        <v>19673424</v>
      </c>
      <c r="I499" s="12" t="s">
        <v>2850</v>
      </c>
      <c r="J499" s="12" t="s">
        <v>2851</v>
      </c>
      <c r="K499" s="12" t="s">
        <v>2852</v>
      </c>
      <c r="L499" s="12" t="s">
        <v>2853</v>
      </c>
      <c r="M499" s="12" t="s">
        <v>2854</v>
      </c>
      <c r="N499" s="12">
        <v>37446</v>
      </c>
      <c r="O499" s="12">
        <v>619</v>
      </c>
      <c r="P499" s="12">
        <v>4</v>
      </c>
      <c r="Q499" s="12" t="s">
        <v>2855</v>
      </c>
      <c r="R499" s="15" t="s">
        <v>2856</v>
      </c>
      <c r="S499" s="12">
        <v>232</v>
      </c>
      <c r="T499" s="12" t="s">
        <v>39</v>
      </c>
      <c r="U499" s="12" t="s">
        <v>40</v>
      </c>
      <c r="V499" s="12" t="s">
        <v>41</v>
      </c>
      <c r="W499" s="12">
        <v>80000000</v>
      </c>
      <c r="X499" s="12">
        <v>2009</v>
      </c>
      <c r="Y499" s="12">
        <v>48</v>
      </c>
      <c r="Z499" s="12">
        <v>5.8</v>
      </c>
      <c r="AA499" s="12">
        <v>2.35</v>
      </c>
      <c r="AB499" s="12">
        <v>0</v>
      </c>
      <c r="AC499" s="12"/>
      <c r="AD499" s="12" t="str">
        <f>IFERROR(__xludf.DUMMYFUNCTION("""COMPUTED_VALUE"""),"Moises Arias")</f>
        <v>Moises Arias</v>
      </c>
      <c r="AE499" s="12"/>
    </row>
    <row r="500" customHeight="1" spans="1:31">
      <c r="A500" s="11" t="s">
        <v>30</v>
      </c>
      <c r="B500" s="11" t="s">
        <v>1059</v>
      </c>
      <c r="C500" s="11">
        <v>123</v>
      </c>
      <c r="D500" s="11">
        <v>116</v>
      </c>
      <c r="E500" s="11">
        <v>503</v>
      </c>
      <c r="F500" s="11">
        <v>982</v>
      </c>
      <c r="G500" s="11">
        <v>23000</v>
      </c>
      <c r="H500" s="11">
        <v>19480739</v>
      </c>
      <c r="I500" s="11" t="s">
        <v>73</v>
      </c>
      <c r="J500" s="11" t="s">
        <v>336</v>
      </c>
      <c r="K500" s="11" t="s">
        <v>641</v>
      </c>
      <c r="L500" s="11" t="s">
        <v>2643</v>
      </c>
      <c r="M500" s="11" t="s">
        <v>2857</v>
      </c>
      <c r="N500" s="11">
        <v>53057</v>
      </c>
      <c r="O500" s="11">
        <v>43887</v>
      </c>
      <c r="P500" s="11">
        <v>0</v>
      </c>
      <c r="Q500" s="11" t="s">
        <v>2858</v>
      </c>
      <c r="R500" s="14" t="s">
        <v>2859</v>
      </c>
      <c r="S500" s="11">
        <v>457</v>
      </c>
      <c r="T500" s="11" t="s">
        <v>39</v>
      </c>
      <c r="U500" s="11" t="s">
        <v>40</v>
      </c>
      <c r="V500" s="11" t="s">
        <v>41</v>
      </c>
      <c r="W500" s="11">
        <v>80000000</v>
      </c>
      <c r="X500" s="11">
        <v>2003</v>
      </c>
      <c r="Y500" s="11">
        <v>18000</v>
      </c>
      <c r="Z500" s="11">
        <v>5.6</v>
      </c>
      <c r="AA500" s="11">
        <v>2.35</v>
      </c>
      <c r="AB500" s="11">
        <v>0</v>
      </c>
      <c r="AC500" s="11"/>
      <c r="AD500" s="11" t="str">
        <f>IFERROR(__xludf.DUMMYFUNCTION("""COMPUTED_VALUE"""),"Aramis Knight")</f>
        <v>Aramis Knight</v>
      </c>
      <c r="AE500" s="11"/>
    </row>
    <row r="501" customHeight="1" spans="1:31">
      <c r="A501" s="12" t="s">
        <v>30</v>
      </c>
      <c r="B501" s="12" t="s">
        <v>2860</v>
      </c>
      <c r="C501" s="12">
        <v>79</v>
      </c>
      <c r="D501" s="12">
        <v>177</v>
      </c>
      <c r="E501" s="12">
        <v>0</v>
      </c>
      <c r="F501" s="12">
        <v>582</v>
      </c>
      <c r="G501" s="12">
        <v>766</v>
      </c>
      <c r="H501" s="12">
        <v>17593391</v>
      </c>
      <c r="I501" s="12" t="s">
        <v>572</v>
      </c>
      <c r="J501" s="12" t="s">
        <v>2019</v>
      </c>
      <c r="K501" s="12" t="s">
        <v>2861</v>
      </c>
      <c r="L501" s="12" t="s">
        <v>2862</v>
      </c>
      <c r="M501" s="12" t="s">
        <v>2863</v>
      </c>
      <c r="N501" s="12">
        <v>56403</v>
      </c>
      <c r="O501" s="12">
        <v>4346</v>
      </c>
      <c r="P501" s="12">
        <v>1</v>
      </c>
      <c r="Q501" s="12" t="s">
        <v>2864</v>
      </c>
      <c r="R501" s="15" t="s">
        <v>2865</v>
      </c>
      <c r="S501" s="12">
        <v>376</v>
      </c>
      <c r="T501" s="12" t="s">
        <v>39</v>
      </c>
      <c r="U501" s="12" t="s">
        <v>40</v>
      </c>
      <c r="V501" s="12" t="s">
        <v>586</v>
      </c>
      <c r="W501" s="12">
        <v>80000000</v>
      </c>
      <c r="X501" s="12">
        <v>1997</v>
      </c>
      <c r="Y501" s="12">
        <v>674</v>
      </c>
      <c r="Z501" s="12">
        <v>6</v>
      </c>
      <c r="AA501" s="12">
        <v>2.35</v>
      </c>
      <c r="AB501" s="12">
        <v>0</v>
      </c>
      <c r="AC501" s="12"/>
      <c r="AD501" s="12" t="str">
        <f>IFERROR(__xludf.DUMMYFUNCTION("""COMPUTED_VALUE"""),"Jonathan Sadowski")</f>
        <v>Jonathan Sadowski</v>
      </c>
      <c r="AE501" s="12"/>
    </row>
    <row r="502" customHeight="1" spans="1:31">
      <c r="A502" s="11" t="s">
        <v>30</v>
      </c>
      <c r="B502" s="11" t="s">
        <v>846</v>
      </c>
      <c r="C502" s="11">
        <v>61</v>
      </c>
      <c r="D502" s="11">
        <v>97</v>
      </c>
      <c r="E502" s="11">
        <v>750</v>
      </c>
      <c r="F502" s="11">
        <v>231</v>
      </c>
      <c r="G502" s="11">
        <v>1000</v>
      </c>
      <c r="H502" s="11">
        <v>18318000</v>
      </c>
      <c r="I502" s="11" t="s">
        <v>2450</v>
      </c>
      <c r="J502" s="11" t="s">
        <v>2866</v>
      </c>
      <c r="K502" s="11" t="s">
        <v>2315</v>
      </c>
      <c r="L502" s="11" t="s">
        <v>2867</v>
      </c>
      <c r="M502" s="11" t="s">
        <v>2868</v>
      </c>
      <c r="N502" s="11">
        <v>24868</v>
      </c>
      <c r="O502" s="11">
        <v>2521</v>
      </c>
      <c r="P502" s="11">
        <v>0</v>
      </c>
      <c r="Q502" s="11" t="s">
        <v>2869</v>
      </c>
      <c r="R502" s="14" t="s">
        <v>2870</v>
      </c>
      <c r="S502" s="11">
        <v>216</v>
      </c>
      <c r="T502" s="11" t="s">
        <v>39</v>
      </c>
      <c r="U502" s="11" t="s">
        <v>371</v>
      </c>
      <c r="V502" s="11" t="s">
        <v>278</v>
      </c>
      <c r="W502" s="11">
        <v>80000000</v>
      </c>
      <c r="X502" s="11">
        <v>1998</v>
      </c>
      <c r="Y502" s="11">
        <v>971</v>
      </c>
      <c r="Z502" s="11">
        <v>5.8</v>
      </c>
      <c r="AA502" s="11">
        <v>1.85</v>
      </c>
      <c r="AB502" s="11">
        <v>964</v>
      </c>
      <c r="AC502" s="11"/>
      <c r="AD502" s="11" t="str">
        <f>IFERROR(__xludf.DUMMYFUNCTION("""COMPUTED_VALUE"""),"Cyril Raffaelli")</f>
        <v>Cyril Raffaelli</v>
      </c>
      <c r="AE502" s="11"/>
    </row>
    <row r="503" customHeight="1" spans="1:31">
      <c r="A503" s="12" t="s">
        <v>30</v>
      </c>
      <c r="B503" s="12" t="s">
        <v>1077</v>
      </c>
      <c r="C503" s="12">
        <v>202</v>
      </c>
      <c r="D503" s="12">
        <v>106</v>
      </c>
      <c r="E503" s="12">
        <v>42</v>
      </c>
      <c r="F503" s="12">
        <v>612</v>
      </c>
      <c r="G503" s="12">
        <v>14000</v>
      </c>
      <c r="H503" s="12">
        <v>27356090</v>
      </c>
      <c r="I503" s="12" t="s">
        <v>43</v>
      </c>
      <c r="J503" s="12" t="s">
        <v>337</v>
      </c>
      <c r="K503" s="12" t="s">
        <v>2871</v>
      </c>
      <c r="L503" s="12" t="s">
        <v>2872</v>
      </c>
      <c r="M503" s="12" t="s">
        <v>2873</v>
      </c>
      <c r="N503" s="12">
        <v>58752</v>
      </c>
      <c r="O503" s="12">
        <v>16922</v>
      </c>
      <c r="P503" s="12">
        <v>0</v>
      </c>
      <c r="Q503" s="12" t="s">
        <v>2874</v>
      </c>
      <c r="R503" s="15" t="s">
        <v>2875</v>
      </c>
      <c r="S503" s="12">
        <v>117</v>
      </c>
      <c r="T503" s="12" t="s">
        <v>39</v>
      </c>
      <c r="U503" s="12" t="s">
        <v>40</v>
      </c>
      <c r="V503" s="12" t="s">
        <v>41</v>
      </c>
      <c r="W503" s="12">
        <v>90000000</v>
      </c>
      <c r="X503" s="12">
        <v>2015</v>
      </c>
      <c r="Y503" s="12">
        <v>788</v>
      </c>
      <c r="Z503" s="12">
        <v>6</v>
      </c>
      <c r="AA503" s="12">
        <v>2.35</v>
      </c>
      <c r="AB503" s="12">
        <v>21000</v>
      </c>
      <c r="AC503" s="12"/>
      <c r="AD503" s="12" t="str">
        <f>IFERROR(__xludf.DUMMYFUNCTION("""COMPUTED_VALUE"""),"Billy Boyd")</f>
        <v>Billy Boyd</v>
      </c>
      <c r="AE503" s="12"/>
    </row>
    <row r="504" customHeight="1" spans="1:31">
      <c r="A504" s="11" t="s">
        <v>30</v>
      </c>
      <c r="B504" s="11" t="s">
        <v>2876</v>
      </c>
      <c r="C504" s="11">
        <v>145</v>
      </c>
      <c r="D504" s="11">
        <v>106</v>
      </c>
      <c r="E504" s="11">
        <v>14</v>
      </c>
      <c r="F504" s="11">
        <v>0</v>
      </c>
      <c r="G504" s="11">
        <v>2</v>
      </c>
      <c r="H504" s="11">
        <v>17473245</v>
      </c>
      <c r="I504" s="11" t="s">
        <v>2813</v>
      </c>
      <c r="J504" s="11" t="s">
        <v>2877</v>
      </c>
      <c r="K504" s="11" t="s">
        <v>2878</v>
      </c>
      <c r="L504" s="11" t="s">
        <v>2879</v>
      </c>
      <c r="M504" s="11" t="s">
        <v>2880</v>
      </c>
      <c r="N504" s="11">
        <v>47612</v>
      </c>
      <c r="O504" s="11">
        <v>2</v>
      </c>
      <c r="P504" s="11">
        <v>1</v>
      </c>
      <c r="Q504" s="11" t="s">
        <v>2881</v>
      </c>
      <c r="R504" s="14" t="s">
        <v>2882</v>
      </c>
      <c r="S504" s="11">
        <v>348</v>
      </c>
      <c r="T504" s="11" t="s">
        <v>39</v>
      </c>
      <c r="U504" s="11" t="s">
        <v>40</v>
      </c>
      <c r="V504" s="11" t="s">
        <v>41</v>
      </c>
      <c r="W504" s="11">
        <v>70000000</v>
      </c>
      <c r="X504" s="11">
        <v>2000</v>
      </c>
      <c r="Y504" s="11">
        <v>0</v>
      </c>
      <c r="Z504" s="11">
        <v>5.7</v>
      </c>
      <c r="AA504" s="11">
        <v>2.35</v>
      </c>
      <c r="AB504" s="11">
        <v>995</v>
      </c>
      <c r="AC504" s="11"/>
      <c r="AD504" s="11" t="str">
        <f>IFERROR(__xludf.DUMMYFUNCTION("""COMPUTED_VALUE"""),"Cécile De France")</f>
        <v>Cécile De France</v>
      </c>
      <c r="AE504" s="11"/>
    </row>
    <row r="505" customHeight="1" spans="1:31">
      <c r="A505" s="12" t="s">
        <v>30</v>
      </c>
      <c r="B505" s="12" t="s">
        <v>1972</v>
      </c>
      <c r="C505" s="12">
        <v>101</v>
      </c>
      <c r="D505" s="12">
        <v>94</v>
      </c>
      <c r="E505" s="12">
        <v>0</v>
      </c>
      <c r="F505" s="12">
        <v>14</v>
      </c>
      <c r="G505" s="12">
        <v>563</v>
      </c>
      <c r="H505" s="12">
        <v>15131330</v>
      </c>
      <c r="I505" s="12" t="s">
        <v>628</v>
      </c>
      <c r="J505" s="12" t="s">
        <v>2883</v>
      </c>
      <c r="K505" s="12" t="s">
        <v>2884</v>
      </c>
      <c r="L505" s="12" t="s">
        <v>2885</v>
      </c>
      <c r="M505" s="12" t="s">
        <v>2886</v>
      </c>
      <c r="N505" s="12">
        <v>25843</v>
      </c>
      <c r="O505" s="12">
        <v>683</v>
      </c>
      <c r="P505" s="12">
        <v>0</v>
      </c>
      <c r="Q505" s="12" t="s">
        <v>2887</v>
      </c>
      <c r="R505" s="15" t="s">
        <v>2888</v>
      </c>
      <c r="S505" s="12">
        <v>64</v>
      </c>
      <c r="T505" s="12" t="s">
        <v>39</v>
      </c>
      <c r="U505" s="12" t="s">
        <v>1466</v>
      </c>
      <c r="V505" s="12" t="s">
        <v>96</v>
      </c>
      <c r="W505" s="12">
        <v>86000000</v>
      </c>
      <c r="X505" s="12">
        <v>2006</v>
      </c>
      <c r="Y505" s="12">
        <v>80</v>
      </c>
      <c r="Z505" s="12">
        <v>6</v>
      </c>
      <c r="AA505" s="12">
        <v>2.35</v>
      </c>
      <c r="AB505" s="12">
        <v>941</v>
      </c>
      <c r="AC505" s="12"/>
      <c r="AD505" s="12" t="str">
        <f>IFERROR(__xludf.DUMMYFUNCTION("""COMPUTED_VALUE"""),"Kelly Preston")</f>
        <v>Kelly Preston</v>
      </c>
      <c r="AE505" s="12"/>
    </row>
    <row r="506" customHeight="1" spans="1:31">
      <c r="A506" s="11" t="s">
        <v>30</v>
      </c>
      <c r="B506" s="11" t="s">
        <v>2889</v>
      </c>
      <c r="C506" s="11">
        <v>113</v>
      </c>
      <c r="D506" s="11">
        <v>104</v>
      </c>
      <c r="E506" s="11">
        <v>63</v>
      </c>
      <c r="F506" s="11">
        <v>7</v>
      </c>
      <c r="G506" s="11">
        <v>67</v>
      </c>
      <c r="H506" s="11">
        <v>19406406</v>
      </c>
      <c r="I506" s="11" t="s">
        <v>2890</v>
      </c>
      <c r="J506" s="11" t="s">
        <v>2891</v>
      </c>
      <c r="K506" s="11" t="s">
        <v>2889</v>
      </c>
      <c r="L506" s="11" t="s">
        <v>2892</v>
      </c>
      <c r="M506" s="11" t="s">
        <v>2893</v>
      </c>
      <c r="N506" s="11">
        <v>7630</v>
      </c>
      <c r="O506" s="11">
        <v>152</v>
      </c>
      <c r="P506" s="11">
        <v>0</v>
      </c>
      <c r="Q506" s="11" t="s">
        <v>2894</v>
      </c>
      <c r="R506" s="14" t="s">
        <v>2895</v>
      </c>
      <c r="S506" s="11">
        <v>42</v>
      </c>
      <c r="T506" s="11" t="s">
        <v>1465</v>
      </c>
      <c r="U506" s="11" t="s">
        <v>1466</v>
      </c>
      <c r="V506" s="11" t="s">
        <v>278</v>
      </c>
      <c r="W506" s="11">
        <v>40000000</v>
      </c>
      <c r="X506" s="11">
        <v>2009</v>
      </c>
      <c r="Y506" s="11">
        <v>63</v>
      </c>
      <c r="Z506" s="11">
        <v>7.8</v>
      </c>
      <c r="AA506" s="11">
        <v>2.35</v>
      </c>
      <c r="AB506" s="11">
        <v>0</v>
      </c>
      <c r="AC506" s="11"/>
      <c r="AD506" s="11" t="str">
        <f>IFERROR(__xludf.DUMMYFUNCTION("""COMPUTED_VALUE"""),"Spencer Breslin")</f>
        <v>Spencer Breslin</v>
      </c>
      <c r="AE506" s="11"/>
    </row>
    <row r="507" customHeight="1" spans="1:31">
      <c r="A507" s="12" t="s">
        <v>30</v>
      </c>
      <c r="B507" s="12" t="s">
        <v>1820</v>
      </c>
      <c r="C507" s="12">
        <v>113</v>
      </c>
      <c r="D507" s="12">
        <v>102</v>
      </c>
      <c r="E507" s="12">
        <v>0</v>
      </c>
      <c r="F507" s="12">
        <v>212</v>
      </c>
      <c r="G507" s="12">
        <v>1000</v>
      </c>
      <c r="H507" s="12">
        <v>1891821</v>
      </c>
      <c r="I507" s="12" t="s">
        <v>341</v>
      </c>
      <c r="J507" s="12" t="s">
        <v>2039</v>
      </c>
      <c r="K507" s="12" t="s">
        <v>2243</v>
      </c>
      <c r="L507" s="12" t="s">
        <v>2896</v>
      </c>
      <c r="M507" s="12" t="s">
        <v>2897</v>
      </c>
      <c r="N507" s="12">
        <v>16474</v>
      </c>
      <c r="O507" s="12">
        <v>1890</v>
      </c>
      <c r="P507" s="12">
        <v>0</v>
      </c>
      <c r="Q507" s="12" t="s">
        <v>2898</v>
      </c>
      <c r="R507" s="15" t="s">
        <v>2899</v>
      </c>
      <c r="S507" s="12">
        <v>301</v>
      </c>
      <c r="T507" s="12" t="s">
        <v>39</v>
      </c>
      <c r="U507" s="12" t="s">
        <v>58</v>
      </c>
      <c r="V507" s="12" t="s">
        <v>41</v>
      </c>
      <c r="W507" s="12">
        <v>52000000</v>
      </c>
      <c r="X507" s="12">
        <v>2005</v>
      </c>
      <c r="Y507" s="12">
        <v>307</v>
      </c>
      <c r="Z507" s="12">
        <v>4.2</v>
      </c>
      <c r="AA507" s="12">
        <v>2.35</v>
      </c>
      <c r="AB507" s="12">
        <v>785</v>
      </c>
      <c r="AC507" s="12"/>
      <c r="AD507" s="12" t="str">
        <f>IFERROR(__xludf.DUMMYFUNCTION("""COMPUTED_VALUE"""),"Chi McBride")</f>
        <v>Chi McBride</v>
      </c>
      <c r="AE507" s="12"/>
    </row>
    <row r="508" customHeight="1" spans="1:31">
      <c r="A508" s="11" t="s">
        <v>30</v>
      </c>
      <c r="B508" s="11" t="s">
        <v>2332</v>
      </c>
      <c r="C508" s="11">
        <v>272</v>
      </c>
      <c r="D508" s="11">
        <v>105</v>
      </c>
      <c r="E508" s="11">
        <v>545</v>
      </c>
      <c r="F508" s="11">
        <v>74</v>
      </c>
      <c r="G508" s="11">
        <v>795</v>
      </c>
      <c r="H508" s="11">
        <v>23219748</v>
      </c>
      <c r="I508" s="11" t="s">
        <v>2900</v>
      </c>
      <c r="J508" s="11" t="s">
        <v>2901</v>
      </c>
      <c r="K508" s="11" t="s">
        <v>2902</v>
      </c>
      <c r="L508" s="11" t="s">
        <v>2903</v>
      </c>
      <c r="M508" s="11" t="s">
        <v>2904</v>
      </c>
      <c r="N508" s="11">
        <v>84508</v>
      </c>
      <c r="O508" s="11">
        <v>1099</v>
      </c>
      <c r="P508" s="11">
        <v>0</v>
      </c>
      <c r="Q508" s="11" t="s">
        <v>2905</v>
      </c>
      <c r="R508" s="14" t="s">
        <v>2906</v>
      </c>
      <c r="S508" s="11">
        <v>308</v>
      </c>
      <c r="T508" s="11" t="s">
        <v>39</v>
      </c>
      <c r="U508" s="11" t="s">
        <v>269</v>
      </c>
      <c r="V508" s="11" t="s">
        <v>41</v>
      </c>
      <c r="W508" s="11">
        <v>80000000</v>
      </c>
      <c r="X508" s="11">
        <v>2014</v>
      </c>
      <c r="Y508" s="11">
        <v>172</v>
      </c>
      <c r="Z508" s="11">
        <v>5.6</v>
      </c>
      <c r="AA508" s="11">
        <v>2.35</v>
      </c>
      <c r="AB508" s="11">
        <v>20000</v>
      </c>
      <c r="AC508" s="11"/>
      <c r="AD508" s="11" t="str">
        <f>IFERROR(__xludf.DUMMYFUNCTION("""COMPUTED_VALUE"""),"Philip Glenister")</f>
        <v>Philip Glenister</v>
      </c>
      <c r="AE508" s="11"/>
    </row>
    <row r="509" customHeight="1" spans="1:31">
      <c r="A509" s="12" t="s">
        <v>30</v>
      </c>
      <c r="B509" s="12" t="s">
        <v>2907</v>
      </c>
      <c r="C509" s="12">
        <v>3</v>
      </c>
      <c r="D509" s="12">
        <v>89</v>
      </c>
      <c r="E509" s="12">
        <v>0</v>
      </c>
      <c r="F509" s="12">
        <v>20</v>
      </c>
      <c r="G509" s="12">
        <v>163</v>
      </c>
      <c r="H509" s="16"/>
      <c r="I509" s="12" t="s">
        <v>2908</v>
      </c>
      <c r="J509" s="12" t="s">
        <v>2909</v>
      </c>
      <c r="K509" s="12" t="s">
        <v>2910</v>
      </c>
      <c r="L509" s="12" t="s">
        <v>2911</v>
      </c>
      <c r="M509" s="12" t="s">
        <v>2912</v>
      </c>
      <c r="N509" s="12">
        <v>230</v>
      </c>
      <c r="O509" s="12">
        <v>370</v>
      </c>
      <c r="P509" s="12">
        <v>0</v>
      </c>
      <c r="Q509" s="16"/>
      <c r="R509" s="15" t="s">
        <v>2913</v>
      </c>
      <c r="S509" s="12">
        <v>1</v>
      </c>
      <c r="T509" s="12" t="s">
        <v>2779</v>
      </c>
      <c r="U509" s="12" t="s">
        <v>2914</v>
      </c>
      <c r="V509" s="12" t="s">
        <v>96</v>
      </c>
      <c r="W509" s="12">
        <v>8000000</v>
      </c>
      <c r="X509" s="12">
        <v>2015</v>
      </c>
      <c r="Y509" s="12">
        <v>94</v>
      </c>
      <c r="Z509" s="12">
        <v>4.4</v>
      </c>
      <c r="AA509" s="16"/>
      <c r="AB509" s="12">
        <v>138</v>
      </c>
      <c r="AC509" s="12"/>
      <c r="AD509" s="12" t="str">
        <f>IFERROR(__xludf.DUMMYFUNCTION("""COMPUTED_VALUE"""),"Chazz Palminteri")</f>
        <v>Chazz Palminteri</v>
      </c>
      <c r="AE509" s="12"/>
    </row>
    <row r="510" customHeight="1" spans="1:31">
      <c r="A510" s="11" t="s">
        <v>30</v>
      </c>
      <c r="B510" s="11" t="s">
        <v>851</v>
      </c>
      <c r="C510" s="11">
        <v>205</v>
      </c>
      <c r="D510" s="11">
        <v>135</v>
      </c>
      <c r="E510" s="11">
        <v>2000</v>
      </c>
      <c r="F510" s="11">
        <v>535</v>
      </c>
      <c r="G510" s="11">
        <v>1000</v>
      </c>
      <c r="H510" s="11">
        <v>170708996</v>
      </c>
      <c r="I510" s="11" t="s">
        <v>1544</v>
      </c>
      <c r="J510" s="11" t="s">
        <v>2866</v>
      </c>
      <c r="K510" s="11" t="s">
        <v>2915</v>
      </c>
      <c r="L510" s="11" t="s">
        <v>636</v>
      </c>
      <c r="M510" s="11" t="s">
        <v>2916</v>
      </c>
      <c r="N510" s="11">
        <v>610568</v>
      </c>
      <c r="O510" s="11">
        <v>2827</v>
      </c>
      <c r="P510" s="11">
        <v>0</v>
      </c>
      <c r="Q510" s="11" t="s">
        <v>2917</v>
      </c>
      <c r="R510" s="14" t="s">
        <v>2918</v>
      </c>
      <c r="S510" s="11">
        <v>1171</v>
      </c>
      <c r="T510" s="11" t="s">
        <v>39</v>
      </c>
      <c r="U510" s="11" t="s">
        <v>40</v>
      </c>
      <c r="V510" s="11" t="s">
        <v>41</v>
      </c>
      <c r="W510" s="11">
        <v>58000000</v>
      </c>
      <c r="X510" s="11">
        <v>2001</v>
      </c>
      <c r="Y510" s="11">
        <v>592</v>
      </c>
      <c r="Z510" s="11">
        <v>8.2</v>
      </c>
      <c r="AA510" s="11">
        <v>1.85</v>
      </c>
      <c r="AB510" s="11">
        <v>29000</v>
      </c>
      <c r="AC510" s="11"/>
      <c r="AD510" s="11" t="str">
        <f>IFERROR(__xludf.DUMMYFUNCTION("""COMPUTED_VALUE"""),"Jeffrey Jones")</f>
        <v>Jeffrey Jones</v>
      </c>
      <c r="AE510" s="11"/>
    </row>
    <row r="511" customHeight="1" spans="1:31">
      <c r="A511" s="12" t="s">
        <v>30</v>
      </c>
      <c r="B511" s="12" t="s">
        <v>2387</v>
      </c>
      <c r="C511" s="12">
        <v>186</v>
      </c>
      <c r="D511" s="12">
        <v>73</v>
      </c>
      <c r="E511" s="12">
        <v>28</v>
      </c>
      <c r="F511" s="12">
        <v>847</v>
      </c>
      <c r="G511" s="12">
        <v>2000</v>
      </c>
      <c r="H511" s="12">
        <v>422783777</v>
      </c>
      <c r="I511" s="12" t="s">
        <v>2919</v>
      </c>
      <c r="J511" s="12" t="s">
        <v>902</v>
      </c>
      <c r="K511" s="12" t="s">
        <v>1385</v>
      </c>
      <c r="L511" s="12" t="s">
        <v>2920</v>
      </c>
      <c r="M511" s="12" t="s">
        <v>2921</v>
      </c>
      <c r="N511" s="12">
        <v>644348</v>
      </c>
      <c r="O511" s="12">
        <v>6458</v>
      </c>
      <c r="P511" s="12">
        <v>0</v>
      </c>
      <c r="Q511" s="12" t="s">
        <v>2922</v>
      </c>
      <c r="R511" s="15" t="s">
        <v>2923</v>
      </c>
      <c r="S511" s="12">
        <v>656</v>
      </c>
      <c r="T511" s="12" t="s">
        <v>39</v>
      </c>
      <c r="U511" s="12" t="s">
        <v>40</v>
      </c>
      <c r="V511" s="12" t="s">
        <v>278</v>
      </c>
      <c r="W511" s="12">
        <v>45000000</v>
      </c>
      <c r="X511" s="12">
        <v>1994</v>
      </c>
      <c r="Y511" s="12">
        <v>886</v>
      </c>
      <c r="Z511" s="12">
        <v>8.5</v>
      </c>
      <c r="AA511" s="12">
        <v>1.66</v>
      </c>
      <c r="AB511" s="12">
        <v>17000</v>
      </c>
      <c r="AC511" s="12"/>
      <c r="AD511" s="12" t="str">
        <f>IFERROR(__xludf.DUMMYFUNCTION("""COMPUTED_VALUE"""),"Jenifer Lewis")</f>
        <v>Jenifer Lewis</v>
      </c>
      <c r="AE511" s="12"/>
    </row>
    <row r="512" customHeight="1" spans="1:31">
      <c r="A512" s="11" t="s">
        <v>30</v>
      </c>
      <c r="B512" s="11" t="s">
        <v>1512</v>
      </c>
      <c r="C512" s="11">
        <v>178</v>
      </c>
      <c r="D512" s="11">
        <v>94</v>
      </c>
      <c r="E512" s="11">
        <v>62</v>
      </c>
      <c r="F512" s="11">
        <v>722</v>
      </c>
      <c r="G512" s="11">
        <v>14000</v>
      </c>
      <c r="H512" s="11">
        <v>103812241</v>
      </c>
      <c r="I512" s="11" t="s">
        <v>165</v>
      </c>
      <c r="J512" s="11" t="s">
        <v>700</v>
      </c>
      <c r="K512" s="11" t="s">
        <v>1073</v>
      </c>
      <c r="L512" s="11" t="s">
        <v>1980</v>
      </c>
      <c r="M512" s="11" t="s">
        <v>2924</v>
      </c>
      <c r="N512" s="11">
        <v>67296</v>
      </c>
      <c r="O512" s="11">
        <v>27842</v>
      </c>
      <c r="P512" s="11">
        <v>3</v>
      </c>
      <c r="Q512" s="11" t="s">
        <v>2925</v>
      </c>
      <c r="R512" s="14" t="s">
        <v>2926</v>
      </c>
      <c r="S512" s="11">
        <v>133</v>
      </c>
      <c r="T512" s="11" t="s">
        <v>39</v>
      </c>
      <c r="U512" s="11" t="s">
        <v>40</v>
      </c>
      <c r="V512" s="11" t="s">
        <v>96</v>
      </c>
      <c r="W512" s="11">
        <v>79000000</v>
      </c>
      <c r="X512" s="11">
        <v>2012</v>
      </c>
      <c r="Y512" s="11">
        <v>12000</v>
      </c>
      <c r="Z512" s="11">
        <v>5.8</v>
      </c>
      <c r="AA512" s="11">
        <v>1.85</v>
      </c>
      <c r="AB512" s="11">
        <v>0</v>
      </c>
      <c r="AC512" s="11"/>
      <c r="AD512" s="11" t="str">
        <f>IFERROR(__xludf.DUMMYFUNCTION("""COMPUTED_VALUE"""),"Anika Noni Rose")</f>
        <v>Anika Noni Rose</v>
      </c>
      <c r="AE512" s="11"/>
    </row>
    <row r="513" customHeight="1" spans="1:31">
      <c r="A513" s="12" t="s">
        <v>30</v>
      </c>
      <c r="B513" s="12" t="s">
        <v>2927</v>
      </c>
      <c r="C513" s="12">
        <v>169</v>
      </c>
      <c r="D513" s="12">
        <v>95</v>
      </c>
      <c r="E513" s="12">
        <v>18</v>
      </c>
      <c r="F513" s="12">
        <v>18</v>
      </c>
      <c r="G513" s="12">
        <v>622</v>
      </c>
      <c r="H513" s="12">
        <v>119793567</v>
      </c>
      <c r="I513" s="12" t="s">
        <v>2928</v>
      </c>
      <c r="J513" s="12" t="s">
        <v>2102</v>
      </c>
      <c r="K513" s="12" t="s">
        <v>1004</v>
      </c>
      <c r="L513" s="12" t="s">
        <v>2929</v>
      </c>
      <c r="M513" s="12" t="s">
        <v>2930</v>
      </c>
      <c r="N513" s="12">
        <v>64387</v>
      </c>
      <c r="O513" s="12">
        <v>848</v>
      </c>
      <c r="P513" s="12">
        <v>0</v>
      </c>
      <c r="Q513" s="12" t="s">
        <v>2931</v>
      </c>
      <c r="R513" s="15" t="s">
        <v>2932</v>
      </c>
      <c r="S513" s="12">
        <v>85</v>
      </c>
      <c r="T513" s="12" t="s">
        <v>39</v>
      </c>
      <c r="U513" s="12" t="s">
        <v>40</v>
      </c>
      <c r="V513" s="12" t="s">
        <v>96</v>
      </c>
      <c r="W513" s="12">
        <v>78000000</v>
      </c>
      <c r="X513" s="12">
        <v>2013</v>
      </c>
      <c r="Y513" s="12">
        <v>161</v>
      </c>
      <c r="Z513" s="12">
        <v>6.5</v>
      </c>
      <c r="AA513" s="12">
        <v>2.35</v>
      </c>
      <c r="AB513" s="12">
        <v>15000</v>
      </c>
      <c r="AC513" s="12"/>
      <c r="AD513" s="12" t="str">
        <f>IFERROR(__xludf.DUMMYFUNCTION("""COMPUTED_VALUE"""),"Donald Glover")</f>
        <v>Donald Glover</v>
      </c>
      <c r="AE513" s="12"/>
    </row>
    <row r="514" customHeight="1" spans="1:31">
      <c r="A514" s="11" t="s">
        <v>30</v>
      </c>
      <c r="B514" s="11" t="s">
        <v>261</v>
      </c>
      <c r="C514" s="11">
        <v>210</v>
      </c>
      <c r="D514" s="11">
        <v>124</v>
      </c>
      <c r="E514" s="11">
        <v>420</v>
      </c>
      <c r="F514" s="11">
        <v>876</v>
      </c>
      <c r="G514" s="11">
        <v>22000</v>
      </c>
      <c r="H514" s="11">
        <v>92930005</v>
      </c>
      <c r="I514" s="11" t="s">
        <v>2126</v>
      </c>
      <c r="J514" s="11" t="s">
        <v>699</v>
      </c>
      <c r="K514" s="11" t="s">
        <v>763</v>
      </c>
      <c r="L514" s="11" t="s">
        <v>2933</v>
      </c>
      <c r="M514" s="11" t="s">
        <v>2934</v>
      </c>
      <c r="N514" s="11">
        <v>204063</v>
      </c>
      <c r="O514" s="11">
        <v>35867</v>
      </c>
      <c r="P514" s="11">
        <v>0</v>
      </c>
      <c r="Q514" s="11" t="s">
        <v>2935</v>
      </c>
      <c r="R514" s="14" t="s">
        <v>2936</v>
      </c>
      <c r="S514" s="11">
        <v>764</v>
      </c>
      <c r="T514" s="11" t="s">
        <v>39</v>
      </c>
      <c r="U514" s="11" t="s">
        <v>768</v>
      </c>
      <c r="V514" s="11" t="s">
        <v>586</v>
      </c>
      <c r="W514" s="11">
        <v>78000000</v>
      </c>
      <c r="X514" s="11">
        <v>2002</v>
      </c>
      <c r="Y514" s="11">
        <v>12000</v>
      </c>
      <c r="Z514" s="11">
        <v>7.2</v>
      </c>
      <c r="AA514" s="11">
        <v>2.35</v>
      </c>
      <c r="AB514" s="11">
        <v>0</v>
      </c>
      <c r="AC514" s="11"/>
      <c r="AD514" s="11" t="str">
        <f>IFERROR(__xludf.DUMMYFUNCTION("""COMPUTED_VALUE"""),"Benedict Wong")</f>
        <v>Benedict Wong</v>
      </c>
      <c r="AE514" s="11"/>
    </row>
    <row r="515" customHeight="1" spans="1:31">
      <c r="A515" s="12" t="s">
        <v>30</v>
      </c>
      <c r="B515" s="12" t="s">
        <v>894</v>
      </c>
      <c r="C515" s="12">
        <v>140</v>
      </c>
      <c r="D515" s="12">
        <v>136</v>
      </c>
      <c r="E515" s="12">
        <v>394</v>
      </c>
      <c r="F515" s="12">
        <v>1000</v>
      </c>
      <c r="G515" s="12">
        <v>24000</v>
      </c>
      <c r="H515" s="12">
        <v>67286731</v>
      </c>
      <c r="I515" s="12" t="s">
        <v>136</v>
      </c>
      <c r="J515" s="12" t="s">
        <v>82</v>
      </c>
      <c r="K515" s="12" t="s">
        <v>2825</v>
      </c>
      <c r="L515" s="12" t="s">
        <v>1116</v>
      </c>
      <c r="M515" s="12" t="s">
        <v>2937</v>
      </c>
      <c r="N515" s="12">
        <v>67856</v>
      </c>
      <c r="O515" s="12">
        <v>36925</v>
      </c>
      <c r="P515" s="12">
        <v>1</v>
      </c>
      <c r="Q515" s="12" t="s">
        <v>2938</v>
      </c>
      <c r="R515" s="15" t="s">
        <v>2939</v>
      </c>
      <c r="S515" s="12">
        <v>345</v>
      </c>
      <c r="T515" s="12" t="s">
        <v>39</v>
      </c>
      <c r="U515" s="12" t="s">
        <v>40</v>
      </c>
      <c r="V515" s="12" t="s">
        <v>41</v>
      </c>
      <c r="W515" s="12">
        <v>100000000</v>
      </c>
      <c r="X515" s="12">
        <v>2004</v>
      </c>
      <c r="Y515" s="12">
        <v>10000</v>
      </c>
      <c r="Z515" s="12">
        <v>6.7</v>
      </c>
      <c r="AA515" s="12">
        <v>2.35</v>
      </c>
      <c r="AB515" s="12">
        <v>0</v>
      </c>
      <c r="AC515" s="12"/>
      <c r="AD515" s="12" t="str">
        <f>IFERROR(__xludf.DUMMYFUNCTION("""COMPUTED_VALUE"""),"Mathew Buck")</f>
        <v>Mathew Buck</v>
      </c>
      <c r="AE515" s="12"/>
    </row>
    <row r="516" customHeight="1" spans="1:31">
      <c r="A516" s="11" t="s">
        <v>30</v>
      </c>
      <c r="B516" s="11" t="s">
        <v>2179</v>
      </c>
      <c r="C516" s="11">
        <v>156</v>
      </c>
      <c r="D516" s="11">
        <v>91</v>
      </c>
      <c r="E516" s="11">
        <v>221</v>
      </c>
      <c r="F516" s="11">
        <v>553</v>
      </c>
      <c r="G516" s="11">
        <v>14000</v>
      </c>
      <c r="H516" s="11">
        <v>74158157</v>
      </c>
      <c r="I516" s="11" t="s">
        <v>1672</v>
      </c>
      <c r="J516" s="11" t="s">
        <v>2383</v>
      </c>
      <c r="K516" s="11" t="s">
        <v>2180</v>
      </c>
      <c r="L516" s="11" t="s">
        <v>2940</v>
      </c>
      <c r="M516" s="11" t="s">
        <v>2941</v>
      </c>
      <c r="N516" s="11">
        <v>60370</v>
      </c>
      <c r="O516" s="11">
        <v>27405</v>
      </c>
      <c r="P516" s="11">
        <v>2</v>
      </c>
      <c r="Q516" s="11" t="s">
        <v>2942</v>
      </c>
      <c r="R516" s="14" t="s">
        <v>2943</v>
      </c>
      <c r="S516" s="11">
        <v>264</v>
      </c>
      <c r="T516" s="11" t="s">
        <v>39</v>
      </c>
      <c r="U516" s="11" t="s">
        <v>40</v>
      </c>
      <c r="V516" s="11" t="s">
        <v>96</v>
      </c>
      <c r="W516" s="11">
        <v>79000000</v>
      </c>
      <c r="X516" s="11">
        <v>2011</v>
      </c>
      <c r="Y516" s="11">
        <v>11000</v>
      </c>
      <c r="Z516" s="11">
        <v>3.4</v>
      </c>
      <c r="AA516" s="11">
        <v>1.85</v>
      </c>
      <c r="AB516" s="11">
        <v>0</v>
      </c>
      <c r="AC516" s="11"/>
      <c r="AD516" s="11" t="str">
        <f>IFERROR(__xludf.DUMMYFUNCTION("""COMPUTED_VALUE"""),"Del Zamora")</f>
        <v>Del Zamora</v>
      </c>
      <c r="AE516" s="11"/>
    </row>
    <row r="517" customHeight="1" spans="1:31">
      <c r="A517" s="12" t="s">
        <v>30</v>
      </c>
      <c r="B517" s="12" t="s">
        <v>2944</v>
      </c>
      <c r="C517" s="12">
        <v>150</v>
      </c>
      <c r="D517" s="12">
        <v>107</v>
      </c>
      <c r="E517" s="12">
        <v>309</v>
      </c>
      <c r="F517" s="12">
        <v>771</v>
      </c>
      <c r="G517" s="12">
        <v>23000</v>
      </c>
      <c r="H517" s="12">
        <v>127083765</v>
      </c>
      <c r="I517" s="12" t="s">
        <v>334</v>
      </c>
      <c r="J517" s="12" t="s">
        <v>336</v>
      </c>
      <c r="K517" s="12" t="s">
        <v>2050</v>
      </c>
      <c r="L517" s="12" t="s">
        <v>2945</v>
      </c>
      <c r="M517" s="12" t="s">
        <v>2946</v>
      </c>
      <c r="N517" s="12">
        <v>191912</v>
      </c>
      <c r="O517" s="12">
        <v>25296</v>
      </c>
      <c r="P517" s="12">
        <v>5</v>
      </c>
      <c r="Q517" s="12" t="s">
        <v>2947</v>
      </c>
      <c r="R517" s="15" t="s">
        <v>2948</v>
      </c>
      <c r="S517" s="12">
        <v>370</v>
      </c>
      <c r="T517" s="12" t="s">
        <v>39</v>
      </c>
      <c r="U517" s="12" t="s">
        <v>40</v>
      </c>
      <c r="V517" s="12" t="s">
        <v>41</v>
      </c>
      <c r="W517" s="12">
        <v>76000000</v>
      </c>
      <c r="X517" s="12">
        <v>2003</v>
      </c>
      <c r="Y517" s="12">
        <v>787</v>
      </c>
      <c r="Z517" s="12">
        <v>5.9</v>
      </c>
      <c r="AA517" s="12">
        <v>2.35</v>
      </c>
      <c r="AB517" s="12">
        <v>0</v>
      </c>
      <c r="AC517" s="12"/>
      <c r="AD517" s="12" t="str">
        <f>IFERROR(__xludf.DUMMYFUNCTION("""COMPUTED_VALUE"""),"Warren Beatty")</f>
        <v>Warren Beatty</v>
      </c>
      <c r="AE517" s="12"/>
    </row>
    <row r="518" customHeight="1" spans="1:31">
      <c r="A518" s="11" t="s">
        <v>30</v>
      </c>
      <c r="B518" s="11" t="s">
        <v>1162</v>
      </c>
      <c r="C518" s="11">
        <v>119</v>
      </c>
      <c r="D518" s="11">
        <v>108</v>
      </c>
      <c r="E518" s="11">
        <v>54</v>
      </c>
      <c r="F518" s="11">
        <v>6000</v>
      </c>
      <c r="G518" s="11">
        <v>12000</v>
      </c>
      <c r="H518" s="11">
        <v>1339152</v>
      </c>
      <c r="I518" s="11" t="s">
        <v>2949</v>
      </c>
      <c r="J518" s="11" t="s">
        <v>301</v>
      </c>
      <c r="K518" s="11" t="s">
        <v>83</v>
      </c>
      <c r="L518" s="11" t="s">
        <v>662</v>
      </c>
      <c r="M518" s="11" t="s">
        <v>2950</v>
      </c>
      <c r="N518" s="11">
        <v>28276</v>
      </c>
      <c r="O518" s="11">
        <v>30230</v>
      </c>
      <c r="P518" s="11">
        <v>1</v>
      </c>
      <c r="Q518" s="11" t="s">
        <v>2951</v>
      </c>
      <c r="R518" s="14" t="s">
        <v>2952</v>
      </c>
      <c r="S518" s="11">
        <v>64</v>
      </c>
      <c r="T518" s="11" t="s">
        <v>39</v>
      </c>
      <c r="U518" s="11" t="s">
        <v>1466</v>
      </c>
      <c r="V518" s="11" t="s">
        <v>96</v>
      </c>
      <c r="W518" s="11">
        <v>81200000</v>
      </c>
      <c r="X518" s="11">
        <v>2015</v>
      </c>
      <c r="Y518" s="11">
        <v>11000</v>
      </c>
      <c r="Z518" s="11">
        <v>7.8</v>
      </c>
      <c r="AA518" s="11">
        <v>2.35</v>
      </c>
      <c r="AB518" s="11">
        <v>31000</v>
      </c>
      <c r="AC518" s="11"/>
      <c r="AD518" s="11" t="str">
        <f>IFERROR(__xludf.DUMMYFUNCTION("""COMPUTED_VALUE"""),"Robert Duvall")</f>
        <v>Robert Duvall</v>
      </c>
      <c r="AE518" s="11"/>
    </row>
    <row r="519" customHeight="1" spans="1:31">
      <c r="A519" s="12" t="s">
        <v>30</v>
      </c>
      <c r="B519" s="12" t="s">
        <v>2953</v>
      </c>
      <c r="C519" s="12">
        <v>232</v>
      </c>
      <c r="D519" s="12">
        <v>99</v>
      </c>
      <c r="E519" s="12">
        <v>101</v>
      </c>
      <c r="F519" s="12">
        <v>327</v>
      </c>
      <c r="G519" s="12">
        <v>1000</v>
      </c>
      <c r="H519" s="12">
        <v>15071514</v>
      </c>
      <c r="I519" s="12" t="s">
        <v>2954</v>
      </c>
      <c r="J519" s="12" t="s">
        <v>2677</v>
      </c>
      <c r="K519" s="12" t="s">
        <v>2955</v>
      </c>
      <c r="L519" s="12" t="s">
        <v>2956</v>
      </c>
      <c r="M519" s="12" t="s">
        <v>2957</v>
      </c>
      <c r="N519" s="12">
        <v>65037</v>
      </c>
      <c r="O519" s="12">
        <v>2323</v>
      </c>
      <c r="P519" s="12">
        <v>2</v>
      </c>
      <c r="Q519" s="12" t="s">
        <v>2958</v>
      </c>
      <c r="R519" s="15" t="s">
        <v>2959</v>
      </c>
      <c r="S519" s="12">
        <v>273</v>
      </c>
      <c r="T519" s="12" t="s">
        <v>39</v>
      </c>
      <c r="U519" s="12" t="s">
        <v>40</v>
      </c>
      <c r="V519" s="12" t="s">
        <v>41</v>
      </c>
      <c r="W519" s="12">
        <v>80000000</v>
      </c>
      <c r="X519" s="12">
        <v>2007</v>
      </c>
      <c r="Y519" s="12">
        <v>422</v>
      </c>
      <c r="Z519" s="12">
        <v>5.9</v>
      </c>
      <c r="AA519" s="12">
        <v>1.85</v>
      </c>
      <c r="AB519" s="12">
        <v>0</v>
      </c>
      <c r="AC519" s="12"/>
      <c r="AD519" s="12" t="str">
        <f>IFERROR(__xludf.DUMMYFUNCTION("""COMPUTED_VALUE"""),"Connie Nielsen")</f>
        <v>Connie Nielsen</v>
      </c>
      <c r="AE519" s="12"/>
    </row>
    <row r="520" customHeight="1" spans="1:31">
      <c r="A520" s="11" t="s">
        <v>30</v>
      </c>
      <c r="B520" s="11" t="s">
        <v>2960</v>
      </c>
      <c r="C520" s="11">
        <v>49</v>
      </c>
      <c r="D520" s="11">
        <v>92</v>
      </c>
      <c r="E520" s="11">
        <v>5</v>
      </c>
      <c r="F520" s="11">
        <v>924</v>
      </c>
      <c r="G520" s="11">
        <v>22000</v>
      </c>
      <c r="H520" s="11">
        <v>26000610</v>
      </c>
      <c r="I520" s="11" t="s">
        <v>271</v>
      </c>
      <c r="J520" s="11" t="s">
        <v>1746</v>
      </c>
      <c r="K520" s="11" t="s">
        <v>794</v>
      </c>
      <c r="L520" s="11" t="s">
        <v>2961</v>
      </c>
      <c r="M520" s="11" t="s">
        <v>2962</v>
      </c>
      <c r="N520" s="11">
        <v>16611</v>
      </c>
      <c r="O520" s="11">
        <v>28050</v>
      </c>
      <c r="P520" s="11">
        <v>0</v>
      </c>
      <c r="Q520" s="11" t="s">
        <v>2963</v>
      </c>
      <c r="R520" s="14" t="s">
        <v>2964</v>
      </c>
      <c r="S520" s="11">
        <v>197</v>
      </c>
      <c r="T520" s="11" t="s">
        <v>39</v>
      </c>
      <c r="U520" s="11" t="s">
        <v>40</v>
      </c>
      <c r="V520" s="11" t="s">
        <v>96</v>
      </c>
      <c r="W520" s="11">
        <v>76000000</v>
      </c>
      <c r="X520" s="11">
        <v>2000</v>
      </c>
      <c r="Y520" s="11">
        <v>1000</v>
      </c>
      <c r="Z520" s="11">
        <v>4.1</v>
      </c>
      <c r="AA520" s="11">
        <v>1.85</v>
      </c>
      <c r="AB520" s="11">
        <v>413</v>
      </c>
      <c r="AC520" s="11"/>
      <c r="AD520" s="11" t="str">
        <f>IFERROR(__xludf.DUMMYFUNCTION("""COMPUTED_VALUE"""),"Oliver Reed")</f>
        <v>Oliver Reed</v>
      </c>
      <c r="AE520" s="11"/>
    </row>
    <row r="521" customHeight="1" spans="1:31">
      <c r="A521" s="12" t="s">
        <v>30</v>
      </c>
      <c r="B521" s="12" t="s">
        <v>2965</v>
      </c>
      <c r="C521" s="12">
        <v>165</v>
      </c>
      <c r="D521" s="12">
        <v>87</v>
      </c>
      <c r="E521" s="12">
        <v>11</v>
      </c>
      <c r="F521" s="12">
        <v>745</v>
      </c>
      <c r="G521" s="12">
        <v>1000</v>
      </c>
      <c r="H521" s="12">
        <v>323505540</v>
      </c>
      <c r="I521" s="12" t="s">
        <v>2966</v>
      </c>
      <c r="J521" s="12" t="s">
        <v>813</v>
      </c>
      <c r="K521" s="12" t="s">
        <v>2967</v>
      </c>
      <c r="L521" s="12" t="s">
        <v>2968</v>
      </c>
      <c r="M521" s="12" t="s">
        <v>2969</v>
      </c>
      <c r="N521" s="12">
        <v>24407</v>
      </c>
      <c r="O521" s="12">
        <v>4782</v>
      </c>
      <c r="P521" s="12">
        <v>0</v>
      </c>
      <c r="Q521" s="12" t="s">
        <v>2970</v>
      </c>
      <c r="R521" s="15" t="s">
        <v>2971</v>
      </c>
      <c r="S521" s="12">
        <v>155</v>
      </c>
      <c r="T521" s="12" t="s">
        <v>39</v>
      </c>
      <c r="U521" s="12" t="s">
        <v>678</v>
      </c>
      <c r="V521" s="12" t="s">
        <v>96</v>
      </c>
      <c r="W521" s="12">
        <v>75000000</v>
      </c>
      <c r="X521" s="12">
        <v>2016</v>
      </c>
      <c r="Y521" s="12">
        <v>904</v>
      </c>
      <c r="Z521" s="12">
        <v>6.8</v>
      </c>
      <c r="AA521" s="12">
        <v>1.85</v>
      </c>
      <c r="AB521" s="12">
        <v>36000</v>
      </c>
      <c r="AC521" s="12"/>
      <c r="AD521" s="12" t="str">
        <f>IFERROR(__xludf.DUMMYFUNCTION("""COMPUTED_VALUE"""),"Frank Grillo")</f>
        <v>Frank Grillo</v>
      </c>
      <c r="AE521" s="12"/>
    </row>
    <row r="522" customHeight="1" spans="1:31">
      <c r="A522" s="11" t="s">
        <v>748</v>
      </c>
      <c r="B522" s="11" t="s">
        <v>2972</v>
      </c>
      <c r="C522" s="11">
        <v>202</v>
      </c>
      <c r="D522" s="11">
        <v>110</v>
      </c>
      <c r="E522" s="11">
        <v>45</v>
      </c>
      <c r="F522" s="11">
        <v>845</v>
      </c>
      <c r="G522" s="11">
        <v>1000</v>
      </c>
      <c r="H522" s="11">
        <v>66462600</v>
      </c>
      <c r="I522" s="11" t="s">
        <v>32</v>
      </c>
      <c r="J522" s="11" t="s">
        <v>688</v>
      </c>
      <c r="K522" s="11" t="s">
        <v>2973</v>
      </c>
      <c r="L522" s="11" t="s">
        <v>1214</v>
      </c>
      <c r="M522" s="11" t="s">
        <v>2974</v>
      </c>
      <c r="N522" s="11">
        <v>141533</v>
      </c>
      <c r="O522" s="11">
        <v>4714</v>
      </c>
      <c r="P522" s="11">
        <v>3</v>
      </c>
      <c r="Q522" s="11" t="s">
        <v>2975</v>
      </c>
      <c r="R522" s="14" t="s">
        <v>2976</v>
      </c>
      <c r="S522" s="11">
        <v>786</v>
      </c>
      <c r="T522" s="11" t="s">
        <v>39</v>
      </c>
      <c r="U522" s="11" t="s">
        <v>40</v>
      </c>
      <c r="V522" s="11" t="s">
        <v>41</v>
      </c>
      <c r="W522" s="11">
        <v>78000000</v>
      </c>
      <c r="X522" s="11">
        <v>2003</v>
      </c>
      <c r="Y522" s="11">
        <v>872</v>
      </c>
      <c r="Z522" s="11">
        <v>5.8</v>
      </c>
      <c r="AA522" s="11">
        <v>2.35</v>
      </c>
      <c r="AB522" s="11">
        <v>0</v>
      </c>
      <c r="AC522" s="11"/>
      <c r="AD522" s="11" t="str">
        <f>IFERROR(__xludf.DUMMYFUNCTION("""COMPUTED_VALUE"""),"Jessica Capshaw")</f>
        <v>Jessica Capshaw</v>
      </c>
      <c r="AE522" s="11"/>
    </row>
    <row r="523" customHeight="1" spans="1:31">
      <c r="A523" s="12" t="s">
        <v>30</v>
      </c>
      <c r="B523" s="12" t="s">
        <v>2977</v>
      </c>
      <c r="C523" s="12">
        <v>306</v>
      </c>
      <c r="D523" s="12">
        <v>98</v>
      </c>
      <c r="E523" s="12">
        <v>275</v>
      </c>
      <c r="F523" s="12">
        <v>1000</v>
      </c>
      <c r="G523" s="12">
        <v>7000</v>
      </c>
      <c r="H523" s="12">
        <v>368049635</v>
      </c>
      <c r="I523" s="12" t="s">
        <v>2101</v>
      </c>
      <c r="J523" s="12" t="s">
        <v>518</v>
      </c>
      <c r="K523" s="12" t="s">
        <v>2978</v>
      </c>
      <c r="L523" s="12" t="s">
        <v>813</v>
      </c>
      <c r="M523" s="12" t="s">
        <v>2979</v>
      </c>
      <c r="N523" s="12">
        <v>286877</v>
      </c>
      <c r="O523" s="12">
        <v>11905</v>
      </c>
      <c r="P523" s="12">
        <v>0</v>
      </c>
      <c r="Q523" s="12" t="s">
        <v>2980</v>
      </c>
      <c r="R523" s="15" t="s">
        <v>2981</v>
      </c>
      <c r="S523" s="12">
        <v>284</v>
      </c>
      <c r="T523" s="12" t="s">
        <v>39</v>
      </c>
      <c r="U523" s="12" t="s">
        <v>40</v>
      </c>
      <c r="V523" s="12" t="s">
        <v>96</v>
      </c>
      <c r="W523" s="12">
        <v>76000000</v>
      </c>
      <c r="X523" s="12">
        <v>2013</v>
      </c>
      <c r="Y523" s="12">
        <v>2000</v>
      </c>
      <c r="Z523" s="12">
        <v>7.5</v>
      </c>
      <c r="AA523" s="12">
        <v>1.85</v>
      </c>
      <c r="AB523" s="12">
        <v>56000</v>
      </c>
      <c r="AC523" s="12"/>
      <c r="AD523" s="12" t="str">
        <f>IFERROR(__xludf.DUMMYFUNCTION("""COMPUTED_VALUE"""),"Tobias Menzies")</f>
        <v>Tobias Menzies</v>
      </c>
      <c r="AE523" s="12"/>
    </row>
    <row r="524" customHeight="1" spans="1:31">
      <c r="A524" s="11" t="s">
        <v>30</v>
      </c>
      <c r="B524" s="11" t="s">
        <v>429</v>
      </c>
      <c r="C524" s="11">
        <v>185</v>
      </c>
      <c r="D524" s="11">
        <v>154</v>
      </c>
      <c r="E524" s="11">
        <v>776</v>
      </c>
      <c r="F524" s="11">
        <v>933</v>
      </c>
      <c r="G524" s="11">
        <v>10000</v>
      </c>
      <c r="H524" s="11">
        <v>306124059</v>
      </c>
      <c r="I524" s="11" t="s">
        <v>73</v>
      </c>
      <c r="J524" s="11" t="s">
        <v>166</v>
      </c>
      <c r="K524" s="11" t="s">
        <v>1523</v>
      </c>
      <c r="L524" s="11" t="s">
        <v>2982</v>
      </c>
      <c r="M524" s="11" t="s">
        <v>2983</v>
      </c>
      <c r="N524" s="11">
        <v>430055</v>
      </c>
      <c r="O524" s="11">
        <v>16785</v>
      </c>
      <c r="P524" s="11">
        <v>0</v>
      </c>
      <c r="Q524" s="11" t="s">
        <v>2984</v>
      </c>
      <c r="R524" s="14" t="s">
        <v>2985</v>
      </c>
      <c r="S524" s="11">
        <v>856</v>
      </c>
      <c r="T524" s="11" t="s">
        <v>39</v>
      </c>
      <c r="U524" s="11" t="s">
        <v>40</v>
      </c>
      <c r="V524" s="11" t="s">
        <v>41</v>
      </c>
      <c r="W524" s="11">
        <v>75000000</v>
      </c>
      <c r="X524" s="11">
        <v>1996</v>
      </c>
      <c r="Y524" s="11">
        <v>2000</v>
      </c>
      <c r="Z524" s="11">
        <v>6.9</v>
      </c>
      <c r="AA524" s="11">
        <v>2.35</v>
      </c>
      <c r="AB524" s="11">
        <v>16000</v>
      </c>
      <c r="AC524" s="11"/>
      <c r="AD524" s="11" t="str">
        <f>IFERROR(__xludf.DUMMYFUNCTION("""COMPUTED_VALUE"""),"Ivana Milicevic")</f>
        <v>Ivana Milicevic</v>
      </c>
      <c r="AE524" s="11"/>
    </row>
    <row r="525" customHeight="1" spans="1:31">
      <c r="A525" s="12" t="s">
        <v>30</v>
      </c>
      <c r="B525" s="12" t="s">
        <v>390</v>
      </c>
      <c r="C525" s="12">
        <v>177</v>
      </c>
      <c r="D525" s="12">
        <v>129</v>
      </c>
      <c r="E525" s="12">
        <v>14000</v>
      </c>
      <c r="F525" s="12">
        <v>227</v>
      </c>
      <c r="G525" s="12">
        <v>610</v>
      </c>
      <c r="H525" s="12">
        <v>229074524</v>
      </c>
      <c r="I525" s="12" t="s">
        <v>73</v>
      </c>
      <c r="J525" s="12" t="s">
        <v>2986</v>
      </c>
      <c r="K525" s="12" t="s">
        <v>2987</v>
      </c>
      <c r="L525" s="12" t="s">
        <v>2988</v>
      </c>
      <c r="M525" s="12" t="s">
        <v>2989</v>
      </c>
      <c r="N525" s="12">
        <v>278362</v>
      </c>
      <c r="O525" s="12">
        <v>1635</v>
      </c>
      <c r="P525" s="12">
        <v>0</v>
      </c>
      <c r="Q525" s="12" t="s">
        <v>2990</v>
      </c>
      <c r="R525" s="15" t="s">
        <v>2991</v>
      </c>
      <c r="S525" s="12">
        <v>552</v>
      </c>
      <c r="T525" s="12" t="s">
        <v>39</v>
      </c>
      <c r="U525" s="12" t="s">
        <v>40</v>
      </c>
      <c r="V525" s="12" t="s">
        <v>41</v>
      </c>
      <c r="W525" s="12">
        <v>73000000</v>
      </c>
      <c r="X525" s="12">
        <v>1997</v>
      </c>
      <c r="Y525" s="12">
        <v>506</v>
      </c>
      <c r="Z525" s="12">
        <v>6.5</v>
      </c>
      <c r="AA525" s="12">
        <v>1.85</v>
      </c>
      <c r="AB525" s="12">
        <v>0</v>
      </c>
      <c r="AC525" s="12"/>
      <c r="AD525" s="12" t="str">
        <f>IFERROR(__xludf.DUMMYFUNCTION("""COMPUTED_VALUE"""),"Estella Warren")</f>
        <v>Estella Warren</v>
      </c>
      <c r="AE525" s="12"/>
    </row>
    <row r="526" customHeight="1" spans="1:31">
      <c r="A526" s="11" t="s">
        <v>30</v>
      </c>
      <c r="B526" s="11" t="s">
        <v>802</v>
      </c>
      <c r="C526" s="11">
        <v>181</v>
      </c>
      <c r="D526" s="11">
        <v>86</v>
      </c>
      <c r="E526" s="11">
        <v>35</v>
      </c>
      <c r="F526" s="11">
        <v>179</v>
      </c>
      <c r="G526" s="11">
        <v>851</v>
      </c>
      <c r="H526" s="11">
        <v>193136719</v>
      </c>
      <c r="I526" s="11" t="s">
        <v>471</v>
      </c>
      <c r="J526" s="11" t="s">
        <v>805</v>
      </c>
      <c r="K526" s="11" t="s">
        <v>806</v>
      </c>
      <c r="L526" s="11" t="s">
        <v>1152</v>
      </c>
      <c r="M526" s="11" t="s">
        <v>2992</v>
      </c>
      <c r="N526" s="11">
        <v>266636</v>
      </c>
      <c r="O526" s="11">
        <v>1777</v>
      </c>
      <c r="P526" s="11">
        <v>0</v>
      </c>
      <c r="Q526" s="11" t="s">
        <v>2993</v>
      </c>
      <c r="R526" s="14" t="s">
        <v>2994</v>
      </c>
      <c r="S526" s="11">
        <v>385</v>
      </c>
      <c r="T526" s="11" t="s">
        <v>39</v>
      </c>
      <c r="U526" s="11" t="s">
        <v>40</v>
      </c>
      <c r="V526" s="11" t="s">
        <v>96</v>
      </c>
      <c r="W526" s="11">
        <v>75000000</v>
      </c>
      <c r="X526" s="11">
        <v>2005</v>
      </c>
      <c r="Y526" s="11">
        <v>436</v>
      </c>
      <c r="Z526" s="11">
        <v>6.9</v>
      </c>
      <c r="AA526" s="11">
        <v>1.85</v>
      </c>
      <c r="AB526" s="11">
        <v>0</v>
      </c>
      <c r="AC526" s="11"/>
      <c r="AD526" s="11" t="str">
        <f>IFERROR(__xludf.DUMMYFUNCTION("""COMPUTED_VALUE"""),"Erick Avari")</f>
        <v>Erick Avari</v>
      </c>
      <c r="AE526" s="11"/>
    </row>
    <row r="527" customHeight="1" spans="1:31">
      <c r="A527" s="12" t="s">
        <v>30</v>
      </c>
      <c r="B527" s="12" t="s">
        <v>1218</v>
      </c>
      <c r="C527" s="12">
        <v>372</v>
      </c>
      <c r="D527" s="12">
        <v>109</v>
      </c>
      <c r="E527" s="12">
        <v>0</v>
      </c>
      <c r="F527" s="12">
        <v>18</v>
      </c>
      <c r="G527" s="12">
        <v>16000</v>
      </c>
      <c r="H527" s="12">
        <v>35286428</v>
      </c>
      <c r="I527" s="12" t="s">
        <v>2684</v>
      </c>
      <c r="J527" s="12" t="s">
        <v>380</v>
      </c>
      <c r="K527" s="12" t="s">
        <v>2995</v>
      </c>
      <c r="L527" s="12" t="s">
        <v>2996</v>
      </c>
      <c r="M527" s="12" t="s">
        <v>2997</v>
      </c>
      <c r="N527" s="12">
        <v>361767</v>
      </c>
      <c r="O527" s="12">
        <v>16479</v>
      </c>
      <c r="P527" s="12">
        <v>0</v>
      </c>
      <c r="Q527" s="12" t="s">
        <v>2998</v>
      </c>
      <c r="R527" s="15" t="s">
        <v>2999</v>
      </c>
      <c r="S527" s="12">
        <v>1206</v>
      </c>
      <c r="T527" s="12" t="s">
        <v>39</v>
      </c>
      <c r="U527" s="12" t="s">
        <v>40</v>
      </c>
      <c r="V527" s="12" t="s">
        <v>586</v>
      </c>
      <c r="W527" s="12">
        <v>76000000</v>
      </c>
      <c r="X527" s="12">
        <v>2006</v>
      </c>
      <c r="Y527" s="12">
        <v>430</v>
      </c>
      <c r="Z527" s="12">
        <v>7.9</v>
      </c>
      <c r="AA527" s="12">
        <v>1.85</v>
      </c>
      <c r="AB527" s="12">
        <v>17000</v>
      </c>
      <c r="AC527" s="12"/>
      <c r="AD527" s="12" t="str">
        <f>IFERROR(__xludf.DUMMYFUNCTION("""COMPUTED_VALUE"""),"Jenette Goldstein")</f>
        <v>Jenette Goldstein</v>
      </c>
      <c r="AE527" s="12"/>
    </row>
    <row r="528" customHeight="1" spans="1:31">
      <c r="A528" s="11" t="s">
        <v>30</v>
      </c>
      <c r="B528" s="11" t="s">
        <v>119</v>
      </c>
      <c r="C528" s="11">
        <v>290</v>
      </c>
      <c r="D528" s="11">
        <v>104</v>
      </c>
      <c r="E528" s="11">
        <v>0</v>
      </c>
      <c r="F528" s="11">
        <v>505</v>
      </c>
      <c r="G528" s="11">
        <v>20000</v>
      </c>
      <c r="H528" s="11">
        <v>157299717</v>
      </c>
      <c r="I528" s="11" t="s">
        <v>73</v>
      </c>
      <c r="J528" s="11" t="s">
        <v>263</v>
      </c>
      <c r="K528" s="11" t="s">
        <v>3000</v>
      </c>
      <c r="L528" s="11" t="s">
        <v>1287</v>
      </c>
      <c r="M528" s="11" t="s">
        <v>3001</v>
      </c>
      <c r="N528" s="11">
        <v>452928</v>
      </c>
      <c r="O528" s="11">
        <v>21397</v>
      </c>
      <c r="P528" s="11">
        <v>0</v>
      </c>
      <c r="Q528" s="11" t="s">
        <v>3002</v>
      </c>
      <c r="R528" s="14" t="s">
        <v>3003</v>
      </c>
      <c r="S528" s="11">
        <v>1401</v>
      </c>
      <c r="T528" s="11" t="s">
        <v>39</v>
      </c>
      <c r="U528" s="11" t="s">
        <v>40</v>
      </c>
      <c r="V528" s="11" t="s">
        <v>41</v>
      </c>
      <c r="W528" s="11">
        <v>75000000</v>
      </c>
      <c r="X528" s="11">
        <v>2000</v>
      </c>
      <c r="Y528" s="11">
        <v>764</v>
      </c>
      <c r="Z528" s="11">
        <v>7.4</v>
      </c>
      <c r="AA528" s="11">
        <v>2.35</v>
      </c>
      <c r="AB528" s="11">
        <v>0</v>
      </c>
      <c r="AC528" s="11"/>
      <c r="AD528" s="11" t="str">
        <f>IFERROR(__xludf.DUMMYFUNCTION("""COMPUTED_VALUE"""),"S. Epatha Merkerson")</f>
        <v>S. Epatha Merkerson</v>
      </c>
      <c r="AE528" s="11"/>
    </row>
    <row r="529" customHeight="1" spans="1:31">
      <c r="A529" s="12" t="s">
        <v>30</v>
      </c>
      <c r="B529" s="12" t="s">
        <v>2157</v>
      </c>
      <c r="C529" s="12">
        <v>316</v>
      </c>
      <c r="D529" s="12">
        <v>110</v>
      </c>
      <c r="E529" s="12">
        <v>335</v>
      </c>
      <c r="F529" s="12">
        <v>988</v>
      </c>
      <c r="G529" s="12">
        <v>11000</v>
      </c>
      <c r="H529" s="12">
        <v>134568845</v>
      </c>
      <c r="I529" s="12" t="s">
        <v>3004</v>
      </c>
      <c r="J529" s="12" t="s">
        <v>565</v>
      </c>
      <c r="K529" s="12" t="s">
        <v>466</v>
      </c>
      <c r="L529" s="12" t="s">
        <v>329</v>
      </c>
      <c r="M529" s="12" t="s">
        <v>3005</v>
      </c>
      <c r="N529" s="12">
        <v>299852</v>
      </c>
      <c r="O529" s="12">
        <v>25763</v>
      </c>
      <c r="P529" s="12">
        <v>0</v>
      </c>
      <c r="Q529" s="12" t="s">
        <v>3006</v>
      </c>
      <c r="R529" s="15" t="s">
        <v>3007</v>
      </c>
      <c r="S529" s="12">
        <v>713</v>
      </c>
      <c r="T529" s="12" t="s">
        <v>39</v>
      </c>
      <c r="U529" s="12" t="s">
        <v>40</v>
      </c>
      <c r="V529" s="12" t="s">
        <v>586</v>
      </c>
      <c r="W529" s="12">
        <v>75000000</v>
      </c>
      <c r="X529" s="12">
        <v>2008</v>
      </c>
      <c r="Y529" s="12">
        <v>11000</v>
      </c>
      <c r="Z529" s="12">
        <v>6.7</v>
      </c>
      <c r="AA529" s="12">
        <v>2.35</v>
      </c>
      <c r="AB529" s="12">
        <v>0</v>
      </c>
      <c r="AC529" s="12"/>
      <c r="AD529" s="12" t="str">
        <f>IFERROR(__xludf.DUMMYFUNCTION("""COMPUTED_VALUE"""),"Denzel Washington")</f>
        <v>Denzel Washington</v>
      </c>
      <c r="AE529" s="12"/>
    </row>
    <row r="530" customHeight="1" spans="1:31">
      <c r="A530" s="11" t="s">
        <v>30</v>
      </c>
      <c r="B530" s="11" t="s">
        <v>279</v>
      </c>
      <c r="C530" s="11">
        <v>122</v>
      </c>
      <c r="D530" s="11">
        <v>136</v>
      </c>
      <c r="E530" s="11">
        <v>0</v>
      </c>
      <c r="F530" s="11">
        <v>904</v>
      </c>
      <c r="G530" s="11">
        <v>12000</v>
      </c>
      <c r="H530" s="11">
        <v>134006721</v>
      </c>
      <c r="I530" s="11" t="s">
        <v>51</v>
      </c>
      <c r="J530" s="11" t="s">
        <v>705</v>
      </c>
      <c r="K530" s="11" t="s">
        <v>3008</v>
      </c>
      <c r="L530" s="11" t="s">
        <v>3009</v>
      </c>
      <c r="M530" s="11" t="s">
        <v>3010</v>
      </c>
      <c r="N530" s="11">
        <v>259492</v>
      </c>
      <c r="O530" s="11">
        <v>15999</v>
      </c>
      <c r="P530" s="11">
        <v>1</v>
      </c>
      <c r="Q530" s="11" t="s">
        <v>3011</v>
      </c>
      <c r="R530" s="14" t="s">
        <v>3012</v>
      </c>
      <c r="S530" s="11">
        <v>415</v>
      </c>
      <c r="T530" s="11" t="s">
        <v>39</v>
      </c>
      <c r="U530" s="11" t="s">
        <v>40</v>
      </c>
      <c r="V530" s="11" t="s">
        <v>586</v>
      </c>
      <c r="W530" s="11">
        <v>75000000</v>
      </c>
      <c r="X530" s="11">
        <v>1996</v>
      </c>
      <c r="Y530" s="11">
        <v>2000</v>
      </c>
      <c r="Z530" s="11">
        <v>7.4</v>
      </c>
      <c r="AA530" s="11">
        <v>2.35</v>
      </c>
      <c r="AB530" s="11">
        <v>51000</v>
      </c>
      <c r="AC530" s="11"/>
      <c r="AD530" s="11" t="str">
        <f>IFERROR(__xludf.DUMMYFUNCTION("""COMPUTED_VALUE"""),"Ruby Dee")</f>
        <v>Ruby Dee</v>
      </c>
      <c r="AE530" s="11"/>
    </row>
    <row r="531" customHeight="1" spans="1:31">
      <c r="A531" s="12" t="s">
        <v>30</v>
      </c>
      <c r="B531" s="12" t="s">
        <v>1279</v>
      </c>
      <c r="C531" s="12">
        <v>164</v>
      </c>
      <c r="D531" s="12">
        <v>115</v>
      </c>
      <c r="E531" s="12">
        <v>107</v>
      </c>
      <c r="F531" s="12">
        <v>241</v>
      </c>
      <c r="G531" s="12">
        <v>835</v>
      </c>
      <c r="H531" s="12">
        <v>195329763</v>
      </c>
      <c r="I531" s="12" t="s">
        <v>1036</v>
      </c>
      <c r="J531" s="12" t="s">
        <v>2107</v>
      </c>
      <c r="K531" s="12" t="s">
        <v>3013</v>
      </c>
      <c r="L531" s="12" t="s">
        <v>3014</v>
      </c>
      <c r="M531" s="12" t="s">
        <v>3015</v>
      </c>
      <c r="N531" s="12">
        <v>194249</v>
      </c>
      <c r="O531" s="12">
        <v>1815</v>
      </c>
      <c r="P531" s="12">
        <v>0</v>
      </c>
      <c r="Q531" s="12" t="s">
        <v>3016</v>
      </c>
      <c r="R531" s="15" t="s">
        <v>3017</v>
      </c>
      <c r="S531" s="12">
        <v>253</v>
      </c>
      <c r="T531" s="12" t="s">
        <v>39</v>
      </c>
      <c r="U531" s="12" t="s">
        <v>40</v>
      </c>
      <c r="V531" s="12" t="s">
        <v>96</v>
      </c>
      <c r="W531" s="12">
        <v>80000000</v>
      </c>
      <c r="X531" s="12">
        <v>2006</v>
      </c>
      <c r="Y531" s="12">
        <v>590</v>
      </c>
      <c r="Z531" s="12">
        <v>6.9</v>
      </c>
      <c r="AA531" s="12">
        <v>1.85</v>
      </c>
      <c r="AB531" s="12">
        <v>0</v>
      </c>
      <c r="AC531" s="12"/>
      <c r="AD531" s="12" t="str">
        <f>IFERROR(__xludf.DUMMYFUNCTION("""COMPUTED_VALUE"""),"RZA")</f>
        <v>RZA</v>
      </c>
      <c r="AE531" s="12"/>
    </row>
    <row r="532" customHeight="1" spans="1:31">
      <c r="A532" s="11" t="s">
        <v>30</v>
      </c>
      <c r="B532" s="11" t="s">
        <v>2468</v>
      </c>
      <c r="C532" s="11">
        <v>147</v>
      </c>
      <c r="D532" s="11">
        <v>99</v>
      </c>
      <c r="E532" s="11">
        <v>88</v>
      </c>
      <c r="F532" s="11">
        <v>328</v>
      </c>
      <c r="G532" s="11">
        <v>11000</v>
      </c>
      <c r="H532" s="11">
        <v>120776832</v>
      </c>
      <c r="I532" s="11" t="s">
        <v>1681</v>
      </c>
      <c r="J532" s="11" t="s">
        <v>2180</v>
      </c>
      <c r="K532" s="11" t="s">
        <v>3018</v>
      </c>
      <c r="L532" s="11" t="s">
        <v>3019</v>
      </c>
      <c r="M532" s="11" t="s">
        <v>3020</v>
      </c>
      <c r="N532" s="11">
        <v>266103</v>
      </c>
      <c r="O532" s="11">
        <v>12952</v>
      </c>
      <c r="P532" s="11">
        <v>2</v>
      </c>
      <c r="Q532" s="11" t="s">
        <v>3021</v>
      </c>
      <c r="R532" s="14" t="s">
        <v>3022</v>
      </c>
      <c r="S532" s="11">
        <v>456</v>
      </c>
      <c r="T532" s="11" t="s">
        <v>39</v>
      </c>
      <c r="U532" s="11" t="s">
        <v>40</v>
      </c>
      <c r="V532" s="11" t="s">
        <v>41</v>
      </c>
      <c r="W532" s="11">
        <v>75000000</v>
      </c>
      <c r="X532" s="11">
        <v>2004</v>
      </c>
      <c r="Y532" s="11">
        <v>427</v>
      </c>
      <c r="Z532" s="11">
        <v>6.8</v>
      </c>
      <c r="AA532" s="11">
        <v>2.35</v>
      </c>
      <c r="AB532" s="11">
        <v>11000</v>
      </c>
      <c r="AC532" s="11"/>
      <c r="AD532" s="11" t="str">
        <f>IFERROR(__xludf.DUMMYFUNCTION("""COMPUTED_VALUE"""),"Jamie Lee Curtis")</f>
        <v>Jamie Lee Curtis</v>
      </c>
      <c r="AE532" s="11"/>
    </row>
    <row r="533" customHeight="1" spans="1:31">
      <c r="A533" s="12" t="s">
        <v>30</v>
      </c>
      <c r="B533" s="12" t="s">
        <v>2613</v>
      </c>
      <c r="C533" s="12">
        <v>219</v>
      </c>
      <c r="D533" s="12">
        <v>117</v>
      </c>
      <c r="E533" s="12">
        <v>163</v>
      </c>
      <c r="F533" s="12">
        <v>260</v>
      </c>
      <c r="G533" s="12">
        <v>719</v>
      </c>
      <c r="H533" s="12">
        <v>118823091</v>
      </c>
      <c r="I533" s="12" t="s">
        <v>3023</v>
      </c>
      <c r="J533" s="12" t="s">
        <v>3024</v>
      </c>
      <c r="K533" s="12" t="s">
        <v>3025</v>
      </c>
      <c r="L533" s="12" t="s">
        <v>3026</v>
      </c>
      <c r="M533" s="12" t="s">
        <v>3027</v>
      </c>
      <c r="N533" s="12">
        <v>98693</v>
      </c>
      <c r="O533" s="12">
        <v>1673</v>
      </c>
      <c r="P533" s="12">
        <v>9</v>
      </c>
      <c r="Q533" s="12" t="s">
        <v>3028</v>
      </c>
      <c r="R533" s="15" t="s">
        <v>3029</v>
      </c>
      <c r="S533" s="12">
        <v>401</v>
      </c>
      <c r="T533" s="12" t="s">
        <v>39</v>
      </c>
      <c r="U533" s="12" t="s">
        <v>40</v>
      </c>
      <c r="V533" s="12" t="s">
        <v>96</v>
      </c>
      <c r="W533" s="12">
        <v>75000000</v>
      </c>
      <c r="X533" s="12">
        <v>2007</v>
      </c>
      <c r="Y533" s="12">
        <v>339</v>
      </c>
      <c r="Z533" s="12">
        <v>6.7</v>
      </c>
      <c r="AA533" s="12">
        <v>2.35</v>
      </c>
      <c r="AB533" s="12">
        <v>0</v>
      </c>
      <c r="AC533" s="12"/>
      <c r="AD533" s="12" t="str">
        <f>IFERROR(__xludf.DUMMYFUNCTION("""COMPUTED_VALUE"""),"Tia Carrere")</f>
        <v>Tia Carrere</v>
      </c>
      <c r="AE533" s="12"/>
    </row>
    <row r="534" customHeight="1" spans="1:31">
      <c r="A534" s="11" t="s">
        <v>30</v>
      </c>
      <c r="B534" s="11" t="s">
        <v>2067</v>
      </c>
      <c r="C534" s="11">
        <v>167</v>
      </c>
      <c r="D534" s="11">
        <v>125</v>
      </c>
      <c r="E534" s="11">
        <v>212</v>
      </c>
      <c r="F534" s="11">
        <v>394</v>
      </c>
      <c r="G534" s="11">
        <v>613</v>
      </c>
      <c r="H534" s="11">
        <v>41814863</v>
      </c>
      <c r="I534" s="11" t="s">
        <v>3030</v>
      </c>
      <c r="J534" s="11" t="s">
        <v>1099</v>
      </c>
      <c r="K534" s="11" t="s">
        <v>3031</v>
      </c>
      <c r="L534" s="11" t="s">
        <v>3032</v>
      </c>
      <c r="M534" s="11" t="s">
        <v>3033</v>
      </c>
      <c r="N534" s="11">
        <v>28635</v>
      </c>
      <c r="O534" s="11">
        <v>1970</v>
      </c>
      <c r="P534" s="11">
        <v>0</v>
      </c>
      <c r="Q534" s="11" t="s">
        <v>3034</v>
      </c>
      <c r="R534" s="14" t="s">
        <v>3035</v>
      </c>
      <c r="S534" s="11">
        <v>308</v>
      </c>
      <c r="T534" s="11" t="s">
        <v>39</v>
      </c>
      <c r="U534" s="11" t="s">
        <v>40</v>
      </c>
      <c r="V534" s="11" t="s">
        <v>586</v>
      </c>
      <c r="W534" s="11">
        <v>50000000</v>
      </c>
      <c r="X534" s="11">
        <v>2004</v>
      </c>
      <c r="Y534" s="11">
        <v>422</v>
      </c>
      <c r="Z534" s="11">
        <v>5.1</v>
      </c>
      <c r="AA534" s="11">
        <v>2</v>
      </c>
      <c r="AB534" s="11">
        <v>893</v>
      </c>
      <c r="AC534" s="11"/>
      <c r="AD534" s="11" t="str">
        <f>IFERROR(__xludf.DUMMYFUNCTION("""COMPUTED_VALUE"""),"Tom Arnold")</f>
        <v>Tom Arnold</v>
      </c>
      <c r="AE534" s="11"/>
    </row>
    <row r="535" customHeight="1" spans="1:31">
      <c r="A535" s="12" t="s">
        <v>30</v>
      </c>
      <c r="B535" s="12" t="s">
        <v>3036</v>
      </c>
      <c r="C535" s="12">
        <v>70</v>
      </c>
      <c r="D535" s="12">
        <v>110</v>
      </c>
      <c r="E535" s="12">
        <v>16</v>
      </c>
      <c r="F535" s="12">
        <v>692</v>
      </c>
      <c r="G535" s="12">
        <v>2000</v>
      </c>
      <c r="H535" s="12">
        <v>97360069</v>
      </c>
      <c r="I535" s="12" t="s">
        <v>3037</v>
      </c>
      <c r="J535" s="12" t="s">
        <v>902</v>
      </c>
      <c r="K535" s="12" t="s">
        <v>1836</v>
      </c>
      <c r="L535" s="12" t="s">
        <v>725</v>
      </c>
      <c r="M535" s="12" t="s">
        <v>3038</v>
      </c>
      <c r="N535" s="12">
        <v>36491</v>
      </c>
      <c r="O535" s="12">
        <v>5320</v>
      </c>
      <c r="P535" s="12">
        <v>0</v>
      </c>
      <c r="Q535" s="12" t="s">
        <v>3039</v>
      </c>
      <c r="R535" s="15" t="s">
        <v>3040</v>
      </c>
      <c r="S535" s="12">
        <v>231</v>
      </c>
      <c r="T535" s="12" t="s">
        <v>39</v>
      </c>
      <c r="U535" s="12" t="s">
        <v>40</v>
      </c>
      <c r="V535" s="12" t="s">
        <v>96</v>
      </c>
      <c r="W535" s="12">
        <v>75000000</v>
      </c>
      <c r="X535" s="12">
        <v>1999</v>
      </c>
      <c r="Y535" s="12">
        <v>710</v>
      </c>
      <c r="Z535" s="12">
        <v>4.1</v>
      </c>
      <c r="AA535" s="12">
        <v>1.85</v>
      </c>
      <c r="AB535" s="12">
        <v>509</v>
      </c>
      <c r="AC535" s="12"/>
      <c r="AD535" s="12" t="str">
        <f>IFERROR(__xludf.DUMMYFUNCTION("""COMPUTED_VALUE"""),"Michael Rispoli")</f>
        <v>Michael Rispoli</v>
      </c>
      <c r="AE535" s="12"/>
    </row>
    <row r="536" customHeight="1" spans="1:31">
      <c r="A536" s="11" t="s">
        <v>30</v>
      </c>
      <c r="B536" s="11" t="s">
        <v>1115</v>
      </c>
      <c r="C536" s="11">
        <v>384</v>
      </c>
      <c r="D536" s="11">
        <v>125</v>
      </c>
      <c r="E536" s="11">
        <v>255</v>
      </c>
      <c r="F536" s="11">
        <v>963</v>
      </c>
      <c r="G536" s="11">
        <v>11000</v>
      </c>
      <c r="H536" s="11">
        <v>117698894</v>
      </c>
      <c r="I536" s="11" t="s">
        <v>2215</v>
      </c>
      <c r="J536" s="11" t="s">
        <v>466</v>
      </c>
      <c r="K536" s="11" t="s">
        <v>329</v>
      </c>
      <c r="L536" s="11" t="s">
        <v>3041</v>
      </c>
      <c r="M536" s="11" t="s">
        <v>3042</v>
      </c>
      <c r="N536" s="11">
        <v>447979</v>
      </c>
      <c r="O536" s="11">
        <v>13312</v>
      </c>
      <c r="P536" s="11">
        <v>6</v>
      </c>
      <c r="Q536" s="11" t="s">
        <v>3043</v>
      </c>
      <c r="R536" s="14" t="s">
        <v>3044</v>
      </c>
      <c r="S536" s="11">
        <v>629</v>
      </c>
      <c r="T536" s="11" t="s">
        <v>39</v>
      </c>
      <c r="U536" s="11" t="s">
        <v>40</v>
      </c>
      <c r="V536" s="11" t="s">
        <v>41</v>
      </c>
      <c r="W536" s="11">
        <v>75000000</v>
      </c>
      <c r="X536" s="11">
        <v>2013</v>
      </c>
      <c r="Y536" s="11">
        <v>988</v>
      </c>
      <c r="Z536" s="11">
        <v>7.3</v>
      </c>
      <c r="AA536" s="11">
        <v>2.35</v>
      </c>
      <c r="AB536" s="11">
        <v>105000</v>
      </c>
      <c r="AC536" s="11"/>
      <c r="AD536" s="11" t="str">
        <f>IFERROR(__xludf.DUMMYFUNCTION("""COMPUTED_VALUE"""),"Robert De Niro")</f>
        <v>Robert De Niro</v>
      </c>
      <c r="AE536" s="11"/>
    </row>
    <row r="537" customHeight="1" spans="1:31">
      <c r="A537" s="12" t="s">
        <v>30</v>
      </c>
      <c r="B537" s="12" t="s">
        <v>2179</v>
      </c>
      <c r="C537" s="12">
        <v>179</v>
      </c>
      <c r="D537" s="12">
        <v>102</v>
      </c>
      <c r="E537" s="12">
        <v>221</v>
      </c>
      <c r="F537" s="12">
        <v>4000</v>
      </c>
      <c r="G537" s="12">
        <v>12000</v>
      </c>
      <c r="H537" s="12">
        <v>162001186</v>
      </c>
      <c r="I537" s="12" t="s">
        <v>1672</v>
      </c>
      <c r="J537" s="12" t="s">
        <v>272</v>
      </c>
      <c r="K537" s="12" t="s">
        <v>2180</v>
      </c>
      <c r="L537" s="12" t="s">
        <v>495</v>
      </c>
      <c r="M537" s="12" t="s">
        <v>3045</v>
      </c>
      <c r="N537" s="12">
        <v>181443</v>
      </c>
      <c r="O537" s="12">
        <v>28497</v>
      </c>
      <c r="P537" s="12">
        <v>4</v>
      </c>
      <c r="Q537" s="12" t="s">
        <v>3046</v>
      </c>
      <c r="R537" s="15" t="s">
        <v>3047</v>
      </c>
      <c r="S537" s="12">
        <v>311</v>
      </c>
      <c r="T537" s="12" t="s">
        <v>39</v>
      </c>
      <c r="U537" s="12" t="s">
        <v>40</v>
      </c>
      <c r="V537" s="12" t="s">
        <v>41</v>
      </c>
      <c r="W537" s="12">
        <v>80000000</v>
      </c>
      <c r="X537" s="12">
        <v>2010</v>
      </c>
      <c r="Y537" s="12">
        <v>11000</v>
      </c>
      <c r="Z537" s="12">
        <v>6</v>
      </c>
      <c r="AA537" s="12">
        <v>1.85</v>
      </c>
      <c r="AB537" s="12">
        <v>12000</v>
      </c>
      <c r="AC537" s="12"/>
      <c r="AD537" s="12" t="str">
        <f>IFERROR(__xludf.DUMMYFUNCTION("""COMPUTED_VALUE"""),"Blythe Danner")</f>
        <v>Blythe Danner</v>
      </c>
      <c r="AE537" s="12"/>
    </row>
    <row r="538" customHeight="1" spans="1:31">
      <c r="A538" s="11" t="s">
        <v>30</v>
      </c>
      <c r="B538" s="11" t="s">
        <v>390</v>
      </c>
      <c r="C538" s="11">
        <v>151</v>
      </c>
      <c r="D538" s="11">
        <v>128</v>
      </c>
      <c r="E538" s="11">
        <v>14000</v>
      </c>
      <c r="F538" s="11">
        <v>232</v>
      </c>
      <c r="G538" s="11">
        <v>15000</v>
      </c>
      <c r="H538" s="11">
        <v>77032279</v>
      </c>
      <c r="I538" s="11" t="s">
        <v>2528</v>
      </c>
      <c r="J538" s="11" t="s">
        <v>322</v>
      </c>
      <c r="K538" s="11" t="s">
        <v>1646</v>
      </c>
      <c r="L538" s="11" t="s">
        <v>3048</v>
      </c>
      <c r="M538" s="11" t="s">
        <v>3049</v>
      </c>
      <c r="N538" s="11">
        <v>303864</v>
      </c>
      <c r="O538" s="11">
        <v>16199</v>
      </c>
      <c r="P538" s="11">
        <v>0</v>
      </c>
      <c r="Q538" s="11" t="s">
        <v>3050</v>
      </c>
      <c r="R538" s="14" t="s">
        <v>3051</v>
      </c>
      <c r="S538" s="11">
        <v>596</v>
      </c>
      <c r="T538" s="11" t="s">
        <v>39</v>
      </c>
      <c r="U538" s="11" t="s">
        <v>40</v>
      </c>
      <c r="V538" s="11" t="s">
        <v>41</v>
      </c>
      <c r="W538" s="11">
        <v>60000000</v>
      </c>
      <c r="X538" s="11">
        <v>2004</v>
      </c>
      <c r="Y538" s="11">
        <v>466</v>
      </c>
      <c r="Z538" s="11">
        <v>7.3</v>
      </c>
      <c r="AA538" s="11">
        <v>1.85</v>
      </c>
      <c r="AB538" s="11">
        <v>16000</v>
      </c>
      <c r="AC538" s="11"/>
      <c r="AD538" s="11" t="str">
        <f>IFERROR(__xludf.DUMMYFUNCTION("""COMPUTED_VALUE"""),"Teri Polo")</f>
        <v>Teri Polo</v>
      </c>
      <c r="AE538" s="11"/>
    </row>
    <row r="539" customHeight="1" spans="1:31">
      <c r="A539" s="12" t="s">
        <v>30</v>
      </c>
      <c r="B539" s="16"/>
      <c r="C539" s="12">
        <v>12</v>
      </c>
      <c r="D539" s="12">
        <v>43</v>
      </c>
      <c r="E539" s="16"/>
      <c r="F539" s="12">
        <v>218</v>
      </c>
      <c r="G539" s="12">
        <v>1000</v>
      </c>
      <c r="H539" s="16"/>
      <c r="I539" s="12" t="s">
        <v>895</v>
      </c>
      <c r="J539" s="12" t="s">
        <v>2808</v>
      </c>
      <c r="K539" s="12" t="s">
        <v>3052</v>
      </c>
      <c r="L539" s="12" t="s">
        <v>3053</v>
      </c>
      <c r="M539" s="12" t="s">
        <v>3054</v>
      </c>
      <c r="N539" s="12">
        <v>36919</v>
      </c>
      <c r="O539" s="12">
        <v>1990</v>
      </c>
      <c r="P539" s="12">
        <v>1</v>
      </c>
      <c r="Q539" s="12" t="s">
        <v>3055</v>
      </c>
      <c r="R539" s="15" t="s">
        <v>3056</v>
      </c>
      <c r="S539" s="12">
        <v>94</v>
      </c>
      <c r="T539" s="12" t="s">
        <v>39</v>
      </c>
      <c r="U539" s="12" t="s">
        <v>40</v>
      </c>
      <c r="V539" s="12" t="s">
        <v>1127</v>
      </c>
      <c r="W539" s="16"/>
      <c r="X539" s="16"/>
      <c r="Y539" s="12">
        <v>560</v>
      </c>
      <c r="Z539" s="12">
        <v>7.5</v>
      </c>
      <c r="AA539" s="12">
        <v>16</v>
      </c>
      <c r="AB539" s="12">
        <v>10000</v>
      </c>
      <c r="AC539" s="12"/>
      <c r="AD539" s="12" t="str">
        <f>IFERROR(__xludf.DUMMYFUNCTION("""COMPUTED_VALUE"""),"Derek Jeter")</f>
        <v>Derek Jeter</v>
      </c>
      <c r="AE539" s="12"/>
    </row>
    <row r="540" customHeight="1" spans="1:31">
      <c r="A540" s="11" t="s">
        <v>30</v>
      </c>
      <c r="B540" s="11" t="s">
        <v>2223</v>
      </c>
      <c r="C540" s="11">
        <v>107</v>
      </c>
      <c r="D540" s="11">
        <v>100</v>
      </c>
      <c r="E540" s="11">
        <v>87</v>
      </c>
      <c r="F540" s="11">
        <v>446</v>
      </c>
      <c r="G540" s="11">
        <v>3000</v>
      </c>
      <c r="H540" s="11">
        <v>73023275</v>
      </c>
      <c r="I540" s="11" t="s">
        <v>3057</v>
      </c>
      <c r="J540" s="11" t="s">
        <v>252</v>
      </c>
      <c r="K540" s="11" t="s">
        <v>3058</v>
      </c>
      <c r="L540" s="11" t="s">
        <v>3059</v>
      </c>
      <c r="M540" s="11" t="s">
        <v>3060</v>
      </c>
      <c r="N540" s="11">
        <v>16271</v>
      </c>
      <c r="O540" s="11">
        <v>5174</v>
      </c>
      <c r="P540" s="11">
        <v>4</v>
      </c>
      <c r="Q540" s="11" t="s">
        <v>3061</v>
      </c>
      <c r="R540" s="14" t="s">
        <v>3062</v>
      </c>
      <c r="S540" s="11">
        <v>57</v>
      </c>
      <c r="T540" s="11" t="s">
        <v>39</v>
      </c>
      <c r="U540" s="11" t="s">
        <v>40</v>
      </c>
      <c r="V540" s="11" t="s">
        <v>96</v>
      </c>
      <c r="W540" s="11">
        <v>35000000</v>
      </c>
      <c r="X540" s="11">
        <v>2009</v>
      </c>
      <c r="Y540" s="11">
        <v>576</v>
      </c>
      <c r="Z540" s="11">
        <v>5.4</v>
      </c>
      <c r="AA540" s="11">
        <v>1.85</v>
      </c>
      <c r="AB540" s="11">
        <v>1000</v>
      </c>
      <c r="AC540" s="11"/>
      <c r="AD540" s="11" t="str">
        <f>IFERROR(__xludf.DUMMYFUNCTION("""COMPUTED_VALUE"""),"Vanessa Williams")</f>
        <v>Vanessa Williams</v>
      </c>
      <c r="AE540" s="11"/>
    </row>
    <row r="541" customHeight="1" spans="1:31">
      <c r="A541" s="12" t="s">
        <v>30</v>
      </c>
      <c r="B541" s="12" t="s">
        <v>314</v>
      </c>
      <c r="C541" s="12">
        <v>134</v>
      </c>
      <c r="D541" s="12">
        <v>124</v>
      </c>
      <c r="E541" s="12">
        <v>258</v>
      </c>
      <c r="F541" s="12">
        <v>748</v>
      </c>
      <c r="G541" s="12">
        <v>867</v>
      </c>
      <c r="H541" s="12">
        <v>68473360</v>
      </c>
      <c r="I541" s="12" t="s">
        <v>712</v>
      </c>
      <c r="J541" s="12" t="s">
        <v>3063</v>
      </c>
      <c r="K541" s="12" t="s">
        <v>1320</v>
      </c>
      <c r="L541" s="12" t="s">
        <v>1025</v>
      </c>
      <c r="M541" s="12" t="s">
        <v>3064</v>
      </c>
      <c r="N541" s="12">
        <v>49536</v>
      </c>
      <c r="O541" s="12">
        <v>3424</v>
      </c>
      <c r="P541" s="12">
        <v>0</v>
      </c>
      <c r="Q541" s="12" t="s">
        <v>3065</v>
      </c>
      <c r="R541" s="15" t="s">
        <v>3066</v>
      </c>
      <c r="S541" s="12">
        <v>379</v>
      </c>
      <c r="T541" s="12" t="s">
        <v>39</v>
      </c>
      <c r="U541" s="12" t="s">
        <v>40</v>
      </c>
      <c r="V541" s="12" t="s">
        <v>41</v>
      </c>
      <c r="W541" s="12">
        <v>75000000</v>
      </c>
      <c r="X541" s="12">
        <v>2000</v>
      </c>
      <c r="Y541" s="12">
        <v>826</v>
      </c>
      <c r="Z541" s="12">
        <v>5.9</v>
      </c>
      <c r="AA541" s="12">
        <v>1.85</v>
      </c>
      <c r="AB541" s="12">
        <v>0</v>
      </c>
      <c r="AC541" s="12"/>
      <c r="AD541" s="12" t="str">
        <f>IFERROR(__xludf.DUMMYFUNCTION("""COMPUTED_VALUE"""),"Roma Maffia")</f>
        <v>Roma Maffia</v>
      </c>
      <c r="AE541" s="12"/>
    </row>
    <row r="542" customHeight="1" spans="1:31">
      <c r="A542" s="11" t="s">
        <v>30</v>
      </c>
      <c r="B542" s="11" t="s">
        <v>3067</v>
      </c>
      <c r="C542" s="11">
        <v>269</v>
      </c>
      <c r="D542" s="11">
        <v>102</v>
      </c>
      <c r="E542" s="11">
        <v>0</v>
      </c>
      <c r="F542" s="11">
        <v>15000</v>
      </c>
      <c r="G542" s="11">
        <v>22000</v>
      </c>
      <c r="H542" s="11">
        <v>66636385</v>
      </c>
      <c r="I542" s="11" t="s">
        <v>3068</v>
      </c>
      <c r="J542" s="11" t="s">
        <v>699</v>
      </c>
      <c r="K542" s="11" t="s">
        <v>322</v>
      </c>
      <c r="L542" s="11" t="s">
        <v>3069</v>
      </c>
      <c r="M542" s="11" t="s">
        <v>3070</v>
      </c>
      <c r="N542" s="11">
        <v>88451</v>
      </c>
      <c r="O542" s="11">
        <v>60646</v>
      </c>
      <c r="P542" s="11">
        <v>1</v>
      </c>
      <c r="Q542" s="11" t="s">
        <v>3071</v>
      </c>
      <c r="R542" s="14" t="s">
        <v>3072</v>
      </c>
      <c r="S542" s="11">
        <v>289</v>
      </c>
      <c r="T542" s="11" t="s">
        <v>39</v>
      </c>
      <c r="U542" s="11" t="s">
        <v>40</v>
      </c>
      <c r="V542" s="11" t="s">
        <v>586</v>
      </c>
      <c r="W542" s="11">
        <v>75000000</v>
      </c>
      <c r="X542" s="11">
        <v>2007</v>
      </c>
      <c r="Y542" s="11">
        <v>15000</v>
      </c>
      <c r="Z542" s="11">
        <v>7.1</v>
      </c>
      <c r="AA542" s="11">
        <v>1.85</v>
      </c>
      <c r="AB542" s="11">
        <v>0</v>
      </c>
      <c r="AC542" s="11"/>
      <c r="AD542" s="11" t="str">
        <f>IFERROR(__xludf.DUMMYFUNCTION("""COMPUTED_VALUE"""),"Jason Alexander")</f>
        <v>Jason Alexander</v>
      </c>
      <c r="AE542" s="11"/>
    </row>
    <row r="543" customHeight="1" spans="1:31">
      <c r="A543" s="12" t="s">
        <v>30</v>
      </c>
      <c r="B543" s="12" t="s">
        <v>1984</v>
      </c>
      <c r="C543" s="12">
        <v>143</v>
      </c>
      <c r="D543" s="12">
        <v>90</v>
      </c>
      <c r="E543" s="12">
        <v>10</v>
      </c>
      <c r="F543" s="12">
        <v>11000</v>
      </c>
      <c r="G543" s="12">
        <v>22000</v>
      </c>
      <c r="H543" s="12">
        <v>160762022</v>
      </c>
      <c r="I543" s="12" t="s">
        <v>471</v>
      </c>
      <c r="J543" s="12" t="s">
        <v>1746</v>
      </c>
      <c r="K543" s="12" t="s">
        <v>488</v>
      </c>
      <c r="L543" s="12" t="s">
        <v>565</v>
      </c>
      <c r="M543" s="12" t="s">
        <v>3073</v>
      </c>
      <c r="N543" s="12">
        <v>132415</v>
      </c>
      <c r="O543" s="12">
        <v>63165</v>
      </c>
      <c r="P543" s="12">
        <v>0</v>
      </c>
      <c r="Q543" s="12" t="s">
        <v>3074</v>
      </c>
      <c r="R543" s="15" t="s">
        <v>3075</v>
      </c>
      <c r="S543" s="12">
        <v>288</v>
      </c>
      <c r="T543" s="12" t="s">
        <v>39</v>
      </c>
      <c r="U543" s="12" t="s">
        <v>40</v>
      </c>
      <c r="V543" s="12" t="s">
        <v>96</v>
      </c>
      <c r="W543" s="12">
        <v>75000000</v>
      </c>
      <c r="X543" s="12">
        <v>2004</v>
      </c>
      <c r="Y543" s="12">
        <v>17000</v>
      </c>
      <c r="Z543" s="12">
        <v>6</v>
      </c>
      <c r="AA543" s="12">
        <v>1.85</v>
      </c>
      <c r="AB543" s="12">
        <v>0</v>
      </c>
      <c r="AC543" s="12"/>
      <c r="AD543" s="12" t="str">
        <f>IFERROR(__xludf.DUMMYFUNCTION("""COMPUTED_VALUE"""),"Bill Fagerbakke")</f>
        <v>Bill Fagerbakke</v>
      </c>
      <c r="AE543" s="12"/>
    </row>
    <row r="544" customHeight="1" spans="1:31">
      <c r="A544" s="11" t="s">
        <v>30</v>
      </c>
      <c r="B544" s="11" t="s">
        <v>1105</v>
      </c>
      <c r="C544" s="11">
        <v>241</v>
      </c>
      <c r="D544" s="11">
        <v>130</v>
      </c>
      <c r="E544" s="11">
        <v>386</v>
      </c>
      <c r="F544" s="11">
        <v>525</v>
      </c>
      <c r="G544" s="11">
        <v>912</v>
      </c>
      <c r="H544" s="11">
        <v>103338338</v>
      </c>
      <c r="I544" s="11" t="s">
        <v>3076</v>
      </c>
      <c r="J544" s="11" t="s">
        <v>3077</v>
      </c>
      <c r="K544" s="11" t="s">
        <v>3078</v>
      </c>
      <c r="L544" s="11" t="s">
        <v>1662</v>
      </c>
      <c r="M544" s="11" t="s">
        <v>3079</v>
      </c>
      <c r="N544" s="11">
        <v>55901</v>
      </c>
      <c r="O544" s="11">
        <v>2856</v>
      </c>
      <c r="P544" s="11">
        <v>0</v>
      </c>
      <c r="Q544" s="11" t="s">
        <v>3080</v>
      </c>
      <c r="R544" s="14" t="s">
        <v>3081</v>
      </c>
      <c r="S544" s="11">
        <v>503</v>
      </c>
      <c r="T544" s="11" t="s">
        <v>39</v>
      </c>
      <c r="U544" s="11" t="s">
        <v>40</v>
      </c>
      <c r="V544" s="11" t="s">
        <v>41</v>
      </c>
      <c r="W544" s="11">
        <v>70000000</v>
      </c>
      <c r="X544" s="11">
        <v>2006</v>
      </c>
      <c r="Y544" s="11">
        <v>549</v>
      </c>
      <c r="Z544" s="11">
        <v>6.5</v>
      </c>
      <c r="AA544" s="11">
        <v>2.35</v>
      </c>
      <c r="AB544" s="11">
        <v>0</v>
      </c>
      <c r="AC544" s="11"/>
      <c r="AD544" s="11" t="str">
        <f>IFERROR(__xludf.DUMMYFUNCTION("""COMPUTED_VALUE"""),"Eartha Kitt")</f>
        <v>Eartha Kitt</v>
      </c>
      <c r="AE544" s="11"/>
    </row>
    <row r="545" customHeight="1" spans="1:31">
      <c r="A545" s="12" t="s">
        <v>30</v>
      </c>
      <c r="B545" s="16"/>
      <c r="C545" s="12">
        <v>12</v>
      </c>
      <c r="D545" s="12">
        <v>45</v>
      </c>
      <c r="E545" s="16"/>
      <c r="F545" s="12">
        <v>0</v>
      </c>
      <c r="G545" s="12">
        <v>374</v>
      </c>
      <c r="H545" s="16"/>
      <c r="I545" s="12" t="s">
        <v>3082</v>
      </c>
      <c r="J545" s="12" t="s">
        <v>3083</v>
      </c>
      <c r="K545" s="12" t="s">
        <v>3084</v>
      </c>
      <c r="L545" s="12" t="s">
        <v>3085</v>
      </c>
      <c r="M545" s="12" t="s">
        <v>3086</v>
      </c>
      <c r="N545" s="12">
        <v>29450</v>
      </c>
      <c r="O545" s="12">
        <v>504</v>
      </c>
      <c r="P545" s="12">
        <v>1</v>
      </c>
      <c r="Q545" s="12" t="s">
        <v>3087</v>
      </c>
      <c r="R545" s="15" t="s">
        <v>3088</v>
      </c>
      <c r="S545" s="12">
        <v>67</v>
      </c>
      <c r="T545" s="12" t="s">
        <v>39</v>
      </c>
      <c r="U545" s="12" t="s">
        <v>40</v>
      </c>
      <c r="V545" s="16"/>
      <c r="W545" s="16"/>
      <c r="X545" s="16"/>
      <c r="Y545" s="12">
        <v>130</v>
      </c>
      <c r="Z545" s="12">
        <v>8.3</v>
      </c>
      <c r="AA545" s="16"/>
      <c r="AB545" s="12">
        <v>0</v>
      </c>
      <c r="AC545" s="12"/>
      <c r="AD545" s="12" t="str">
        <f>IFERROR(__xludf.DUMMYFUNCTION("""COMPUTED_VALUE"""),"Wendie Malick")</f>
        <v>Wendie Malick</v>
      </c>
      <c r="AE545" s="12"/>
    </row>
    <row r="546" customHeight="1" spans="1:31">
      <c r="A546" s="11" t="s">
        <v>30</v>
      </c>
      <c r="B546" s="11" t="s">
        <v>3089</v>
      </c>
      <c r="C546" s="11">
        <v>161</v>
      </c>
      <c r="D546" s="11">
        <v>118</v>
      </c>
      <c r="E546" s="11">
        <v>473</v>
      </c>
      <c r="F546" s="11">
        <v>680</v>
      </c>
      <c r="G546" s="11">
        <v>12000</v>
      </c>
      <c r="H546" s="11">
        <v>55808744</v>
      </c>
      <c r="I546" s="11" t="s">
        <v>3090</v>
      </c>
      <c r="J546" s="11" t="s">
        <v>1073</v>
      </c>
      <c r="K546" s="11" t="s">
        <v>3091</v>
      </c>
      <c r="L546" s="11" t="s">
        <v>1837</v>
      </c>
      <c r="M546" s="11" t="s">
        <v>3092</v>
      </c>
      <c r="N546" s="11">
        <v>59435</v>
      </c>
      <c r="O546" s="11">
        <v>15889</v>
      </c>
      <c r="P546" s="11">
        <v>4</v>
      </c>
      <c r="Q546" s="11" t="s">
        <v>3093</v>
      </c>
      <c r="R546" s="14" t="s">
        <v>3094</v>
      </c>
      <c r="S546" s="11">
        <v>323</v>
      </c>
      <c r="T546" s="11" t="s">
        <v>39</v>
      </c>
      <c r="U546" s="11" t="s">
        <v>40</v>
      </c>
      <c r="V546" s="11" t="s">
        <v>41</v>
      </c>
      <c r="W546" s="11">
        <v>53000000</v>
      </c>
      <c r="X546" s="11">
        <v>2005</v>
      </c>
      <c r="Y546" s="11">
        <v>1000</v>
      </c>
      <c r="Z546" s="11">
        <v>5.7</v>
      </c>
      <c r="AA546" s="11">
        <v>2.4</v>
      </c>
      <c r="AB546" s="11">
        <v>0</v>
      </c>
      <c r="AC546" s="11"/>
      <c r="AD546" s="11" t="str">
        <f>IFERROR(__xludf.DUMMYFUNCTION("""COMPUTED_VALUE"""),"John Fiedler")</f>
        <v>John Fiedler</v>
      </c>
      <c r="AE546" s="11"/>
    </row>
    <row r="547" customHeight="1" spans="1:31">
      <c r="A547" s="12" t="s">
        <v>30</v>
      </c>
      <c r="B547" s="12" t="s">
        <v>390</v>
      </c>
      <c r="C547" s="12">
        <v>298</v>
      </c>
      <c r="D547" s="12">
        <v>163</v>
      </c>
      <c r="E547" s="12">
        <v>14000</v>
      </c>
      <c r="F547" s="12">
        <v>412</v>
      </c>
      <c r="G547" s="12">
        <v>745</v>
      </c>
      <c r="H547" s="12">
        <v>47379090</v>
      </c>
      <c r="I547" s="12" t="s">
        <v>2819</v>
      </c>
      <c r="J547" s="12" t="s">
        <v>853</v>
      </c>
      <c r="K547" s="12" t="s">
        <v>3095</v>
      </c>
      <c r="L547" s="12" t="s">
        <v>129</v>
      </c>
      <c r="M547" s="12" t="s">
        <v>3096</v>
      </c>
      <c r="N547" s="12">
        <v>176936</v>
      </c>
      <c r="O547" s="12">
        <v>2529</v>
      </c>
      <c r="P547" s="12">
        <v>0</v>
      </c>
      <c r="Q547" s="12" t="s">
        <v>3097</v>
      </c>
      <c r="R547" s="15" t="s">
        <v>3098</v>
      </c>
      <c r="S547" s="12">
        <v>824</v>
      </c>
      <c r="T547" s="12" t="s">
        <v>39</v>
      </c>
      <c r="U547" s="12" t="s">
        <v>1466</v>
      </c>
      <c r="V547" s="12" t="s">
        <v>586</v>
      </c>
      <c r="W547" s="12">
        <v>70000000</v>
      </c>
      <c r="X547" s="12">
        <v>2005</v>
      </c>
      <c r="Y547" s="12">
        <v>486</v>
      </c>
      <c r="Z547" s="12">
        <v>7.6</v>
      </c>
      <c r="AA547" s="12">
        <v>2.35</v>
      </c>
      <c r="AB547" s="12">
        <v>0</v>
      </c>
      <c r="AC547" s="12"/>
      <c r="AD547" s="12" t="str">
        <f>IFERROR(__xludf.DUMMYFUNCTION("""COMPUTED_VALUE"""),"Sylvester Stallone")</f>
        <v>Sylvester Stallone</v>
      </c>
      <c r="AE547" s="12"/>
    </row>
    <row r="548" customHeight="1" spans="1:31">
      <c r="A548" s="11" t="s">
        <v>30</v>
      </c>
      <c r="B548" s="11" t="s">
        <v>3099</v>
      </c>
      <c r="C548" s="11">
        <v>89</v>
      </c>
      <c r="D548" s="11">
        <v>142</v>
      </c>
      <c r="E548" s="11">
        <v>845</v>
      </c>
      <c r="F548" s="11">
        <v>787</v>
      </c>
      <c r="G548" s="11">
        <v>13000</v>
      </c>
      <c r="H548" s="11">
        <v>43426961</v>
      </c>
      <c r="I548" s="11" t="s">
        <v>1910</v>
      </c>
      <c r="J548" s="11" t="s">
        <v>978</v>
      </c>
      <c r="K548" s="11" t="s">
        <v>2203</v>
      </c>
      <c r="L548" s="11" t="s">
        <v>2050</v>
      </c>
      <c r="M548" s="11" t="s">
        <v>3100</v>
      </c>
      <c r="N548" s="11">
        <v>93494</v>
      </c>
      <c r="O548" s="11">
        <v>16580</v>
      </c>
      <c r="P548" s="11">
        <v>1</v>
      </c>
      <c r="Q548" s="11" t="s">
        <v>3101</v>
      </c>
      <c r="R548" s="14" t="s">
        <v>3102</v>
      </c>
      <c r="S548" s="11">
        <v>394</v>
      </c>
      <c r="T548" s="11" t="s">
        <v>39</v>
      </c>
      <c r="U548" s="11" t="s">
        <v>40</v>
      </c>
      <c r="V548" s="11" t="s">
        <v>586</v>
      </c>
      <c r="W548" s="11">
        <v>70000000</v>
      </c>
      <c r="X548" s="11">
        <v>2003</v>
      </c>
      <c r="Y548" s="11">
        <v>1000</v>
      </c>
      <c r="Z548" s="11">
        <v>6.6</v>
      </c>
      <c r="AA548" s="11">
        <v>2.35</v>
      </c>
      <c r="AB548" s="11">
        <v>0</v>
      </c>
      <c r="AC548" s="11"/>
      <c r="AD548" s="11" t="str">
        <f>IFERROR(__xludf.DUMMYFUNCTION("""COMPUTED_VALUE"""),"Armando Riesco")</f>
        <v>Armando Riesco</v>
      </c>
      <c r="AE548" s="11"/>
    </row>
    <row r="549" customHeight="1" spans="1:31">
      <c r="A549" s="12" t="s">
        <v>30</v>
      </c>
      <c r="B549" s="12" t="s">
        <v>3103</v>
      </c>
      <c r="C549" s="12">
        <v>140</v>
      </c>
      <c r="D549" s="12">
        <v>100</v>
      </c>
      <c r="E549" s="12">
        <v>126</v>
      </c>
      <c r="F549" s="12">
        <v>925</v>
      </c>
      <c r="G549" s="12">
        <v>19000</v>
      </c>
      <c r="H549" s="12">
        <v>47000485</v>
      </c>
      <c r="I549" s="12" t="s">
        <v>3104</v>
      </c>
      <c r="J549" s="12" t="s">
        <v>3105</v>
      </c>
      <c r="K549" s="12" t="s">
        <v>1184</v>
      </c>
      <c r="L549" s="12" t="s">
        <v>1802</v>
      </c>
      <c r="M549" s="12" t="s">
        <v>3106</v>
      </c>
      <c r="N549" s="12">
        <v>72867</v>
      </c>
      <c r="O549" s="12">
        <v>25206</v>
      </c>
      <c r="P549" s="12">
        <v>2</v>
      </c>
      <c r="Q549" s="12" t="s">
        <v>3107</v>
      </c>
      <c r="R549" s="15" t="s">
        <v>3108</v>
      </c>
      <c r="S549" s="12">
        <v>120</v>
      </c>
      <c r="T549" s="12" t="s">
        <v>39</v>
      </c>
      <c r="U549" s="12" t="s">
        <v>40</v>
      </c>
      <c r="V549" s="12" t="s">
        <v>41</v>
      </c>
      <c r="W549" s="12">
        <v>75000000</v>
      </c>
      <c r="X549" s="12">
        <v>2010</v>
      </c>
      <c r="Y549" s="12">
        <v>1000</v>
      </c>
      <c r="Z549" s="12">
        <v>5.4</v>
      </c>
      <c r="AA549" s="12">
        <v>2.35</v>
      </c>
      <c r="AB549" s="12">
        <v>0</v>
      </c>
      <c r="AC549" s="12"/>
      <c r="AD549" s="12" t="str">
        <f>IFERROR(__xludf.DUMMYFUNCTION("""COMPUTED_VALUE"""),"Annie Parisse")</f>
        <v>Annie Parisse</v>
      </c>
      <c r="AE549" s="12"/>
    </row>
    <row r="550" customHeight="1" spans="1:31">
      <c r="A550" s="11" t="s">
        <v>30</v>
      </c>
      <c r="B550" s="11" t="s">
        <v>1295</v>
      </c>
      <c r="C550" s="11">
        <v>362</v>
      </c>
      <c r="D550" s="11">
        <v>116</v>
      </c>
      <c r="E550" s="11">
        <v>0</v>
      </c>
      <c r="F550" s="11">
        <v>104</v>
      </c>
      <c r="G550" s="11">
        <v>15000</v>
      </c>
      <c r="H550" s="11">
        <v>45434443</v>
      </c>
      <c r="I550" s="11" t="s">
        <v>1629</v>
      </c>
      <c r="J550" s="11" t="s">
        <v>113</v>
      </c>
      <c r="K550" s="11" t="s">
        <v>366</v>
      </c>
      <c r="L550" s="11" t="s">
        <v>3109</v>
      </c>
      <c r="M550" s="11" t="s">
        <v>3110</v>
      </c>
      <c r="N550" s="11">
        <v>175960</v>
      </c>
      <c r="O550" s="11">
        <v>15735</v>
      </c>
      <c r="P550" s="11">
        <v>2</v>
      </c>
      <c r="Q550" s="11" t="s">
        <v>3111</v>
      </c>
      <c r="R550" s="14" t="s">
        <v>3112</v>
      </c>
      <c r="S550" s="11">
        <v>360</v>
      </c>
      <c r="T550" s="11" t="s">
        <v>39</v>
      </c>
      <c r="U550" s="11" t="s">
        <v>40</v>
      </c>
      <c r="V550" s="11" t="s">
        <v>41</v>
      </c>
      <c r="W550" s="11">
        <v>75000000</v>
      </c>
      <c r="X550" s="11">
        <v>2015</v>
      </c>
      <c r="Y550" s="11">
        <v>509</v>
      </c>
      <c r="Z550" s="11">
        <v>7.3</v>
      </c>
      <c r="AA550" s="11">
        <v>2.35</v>
      </c>
      <c r="AB550" s="11">
        <v>43000</v>
      </c>
      <c r="AC550" s="11"/>
      <c r="AD550" s="11" t="str">
        <f>IFERROR(__xludf.DUMMYFUNCTION("""COMPUTED_VALUE"""),"Ed Speleers")</f>
        <v>Ed Speleers</v>
      </c>
      <c r="AE550" s="11"/>
    </row>
    <row r="551" customHeight="1" spans="1:31">
      <c r="A551" s="12" t="s">
        <v>30</v>
      </c>
      <c r="B551" s="12" t="s">
        <v>1414</v>
      </c>
      <c r="C551" s="12">
        <v>124</v>
      </c>
      <c r="D551" s="12">
        <v>131</v>
      </c>
      <c r="E551" s="12">
        <v>274</v>
      </c>
      <c r="F551" s="12">
        <v>138</v>
      </c>
      <c r="G551" s="12">
        <v>11000</v>
      </c>
      <c r="H551" s="12">
        <v>42044321</v>
      </c>
      <c r="I551" s="12" t="s">
        <v>1415</v>
      </c>
      <c r="J551" s="12" t="s">
        <v>2180</v>
      </c>
      <c r="K551" s="12" t="s">
        <v>3113</v>
      </c>
      <c r="L551" s="12" t="s">
        <v>3114</v>
      </c>
      <c r="M551" s="12" t="s">
        <v>3115</v>
      </c>
      <c r="N551" s="12">
        <v>65668</v>
      </c>
      <c r="O551" s="12">
        <v>12522</v>
      </c>
      <c r="P551" s="12">
        <v>2</v>
      </c>
      <c r="Q551" s="12" t="s">
        <v>3116</v>
      </c>
      <c r="R551" s="15" t="s">
        <v>3117</v>
      </c>
      <c r="S551" s="12">
        <v>342</v>
      </c>
      <c r="T551" s="12" t="s">
        <v>39</v>
      </c>
      <c r="U551" s="12" t="s">
        <v>40</v>
      </c>
      <c r="V551" s="12" t="s">
        <v>41</v>
      </c>
      <c r="W551" s="12">
        <v>80000000</v>
      </c>
      <c r="X551" s="12">
        <v>2004</v>
      </c>
      <c r="Y551" s="12">
        <v>964</v>
      </c>
      <c r="Z551" s="12">
        <v>6.5</v>
      </c>
      <c r="AA551" s="12">
        <v>1.85</v>
      </c>
      <c r="AB551" s="12">
        <v>0</v>
      </c>
      <c r="AC551" s="12"/>
      <c r="AD551" s="12" t="str">
        <f>IFERROR(__xludf.DUMMYFUNCTION("""COMPUTED_VALUE"""),"Gary Lewis")</f>
        <v>Gary Lewis</v>
      </c>
      <c r="AE551" s="12"/>
    </row>
    <row r="552" customHeight="1" spans="1:31">
      <c r="A552" s="11" t="s">
        <v>30</v>
      </c>
      <c r="B552" s="11" t="s">
        <v>3118</v>
      </c>
      <c r="C552" s="11">
        <v>190</v>
      </c>
      <c r="D552" s="11">
        <v>91</v>
      </c>
      <c r="E552" s="11">
        <v>27</v>
      </c>
      <c r="F552" s="11">
        <v>925</v>
      </c>
      <c r="G552" s="11">
        <v>12000</v>
      </c>
      <c r="H552" s="11">
        <v>73661010</v>
      </c>
      <c r="I552" s="11" t="s">
        <v>3119</v>
      </c>
      <c r="J552" s="11" t="s">
        <v>272</v>
      </c>
      <c r="K552" s="11" t="s">
        <v>1951</v>
      </c>
      <c r="L552" s="11" t="s">
        <v>1802</v>
      </c>
      <c r="M552" s="11" t="s">
        <v>3120</v>
      </c>
      <c r="N552" s="11">
        <v>71137</v>
      </c>
      <c r="O552" s="11">
        <v>17299</v>
      </c>
      <c r="P552" s="11">
        <v>0</v>
      </c>
      <c r="Q552" s="11" t="s">
        <v>3121</v>
      </c>
      <c r="R552" s="14" t="s">
        <v>3122</v>
      </c>
      <c r="S552" s="11">
        <v>229</v>
      </c>
      <c r="T552" s="11" t="s">
        <v>39</v>
      </c>
      <c r="U552" s="11" t="s">
        <v>40</v>
      </c>
      <c r="V552" s="11" t="s">
        <v>96</v>
      </c>
      <c r="W552" s="11">
        <v>75000000</v>
      </c>
      <c r="X552" s="11">
        <v>2006</v>
      </c>
      <c r="Y552" s="11">
        <v>970</v>
      </c>
      <c r="Z552" s="11">
        <v>6.6</v>
      </c>
      <c r="AA552" s="11">
        <v>2.35</v>
      </c>
      <c r="AB552" s="11">
        <v>0</v>
      </c>
      <c r="AC552" s="11"/>
      <c r="AD552" s="11" t="str">
        <f>IFERROR(__xludf.DUMMYFUNCTION("""COMPUTED_VALUE"""),"Catherine O'Hara")</f>
        <v>Catherine O'Hara</v>
      </c>
      <c r="AE552" s="11"/>
    </row>
    <row r="553" customHeight="1" spans="1:31">
      <c r="A553" s="12" t="s">
        <v>30</v>
      </c>
      <c r="B553" s="12" t="s">
        <v>3123</v>
      </c>
      <c r="C553" s="12">
        <v>132</v>
      </c>
      <c r="D553" s="12">
        <v>123</v>
      </c>
      <c r="E553" s="12">
        <v>272</v>
      </c>
      <c r="F553" s="12">
        <v>193</v>
      </c>
      <c r="G553" s="12">
        <v>13000</v>
      </c>
      <c r="H553" s="12">
        <v>41523271</v>
      </c>
      <c r="I553" s="12" t="s">
        <v>3124</v>
      </c>
      <c r="J553" s="12" t="s">
        <v>978</v>
      </c>
      <c r="K553" s="12" t="s">
        <v>3125</v>
      </c>
      <c r="L553" s="12" t="s">
        <v>3126</v>
      </c>
      <c r="M553" s="12" t="s">
        <v>3127</v>
      </c>
      <c r="N553" s="12">
        <v>57038</v>
      </c>
      <c r="O553" s="12">
        <v>13934</v>
      </c>
      <c r="P553" s="12">
        <v>2</v>
      </c>
      <c r="Q553" s="12" t="s">
        <v>3128</v>
      </c>
      <c r="R553" s="15" t="s">
        <v>3129</v>
      </c>
      <c r="S553" s="12">
        <v>261</v>
      </c>
      <c r="T553" s="12" t="s">
        <v>39</v>
      </c>
      <c r="U553" s="12" t="s">
        <v>40</v>
      </c>
      <c r="V553" s="12" t="s">
        <v>41</v>
      </c>
      <c r="W553" s="12">
        <v>80000000</v>
      </c>
      <c r="X553" s="12">
        <v>2001</v>
      </c>
      <c r="Y553" s="12">
        <v>450</v>
      </c>
      <c r="Z553" s="12">
        <v>6.6</v>
      </c>
      <c r="AA553" s="12">
        <v>2.35</v>
      </c>
      <c r="AB553" s="12">
        <v>0</v>
      </c>
      <c r="AC553" s="12"/>
      <c r="AD553" s="12" t="str">
        <f>IFERROR(__xludf.DUMMYFUNCTION("""COMPUTED_VALUE"""),"Ryan Corr")</f>
        <v>Ryan Corr</v>
      </c>
      <c r="AE553" s="12"/>
    </row>
    <row r="554" customHeight="1" spans="1:31">
      <c r="A554" s="11" t="s">
        <v>30</v>
      </c>
      <c r="B554" s="11" t="s">
        <v>3130</v>
      </c>
      <c r="C554" s="11">
        <v>53</v>
      </c>
      <c r="D554" s="11">
        <v>134</v>
      </c>
      <c r="E554" s="11">
        <v>109</v>
      </c>
      <c r="F554" s="11">
        <v>249</v>
      </c>
      <c r="G554" s="11">
        <v>919</v>
      </c>
      <c r="H554" s="11">
        <v>37600435</v>
      </c>
      <c r="I554" s="11" t="s">
        <v>3131</v>
      </c>
      <c r="J554" s="11" t="s">
        <v>689</v>
      </c>
      <c r="K554" s="11" t="s">
        <v>3132</v>
      </c>
      <c r="L554" s="11" t="s">
        <v>3133</v>
      </c>
      <c r="M554" s="11" t="s">
        <v>3134</v>
      </c>
      <c r="N554" s="11">
        <v>55350</v>
      </c>
      <c r="O554" s="11">
        <v>1695</v>
      </c>
      <c r="P554" s="11">
        <v>3</v>
      </c>
      <c r="Q554" s="11" t="s">
        <v>3135</v>
      </c>
      <c r="R554" s="14" t="s">
        <v>3136</v>
      </c>
      <c r="S554" s="11">
        <v>180</v>
      </c>
      <c r="T554" s="11" t="s">
        <v>39</v>
      </c>
      <c r="U554" s="11" t="s">
        <v>40</v>
      </c>
      <c r="V554" s="11" t="s">
        <v>41</v>
      </c>
      <c r="W554" s="11">
        <v>55000000</v>
      </c>
      <c r="X554" s="11">
        <v>1995</v>
      </c>
      <c r="Y554" s="11">
        <v>303</v>
      </c>
      <c r="Z554" s="11">
        <v>5.9</v>
      </c>
      <c r="AA554" s="11">
        <v>1.85</v>
      </c>
      <c r="AB554" s="11">
        <v>0</v>
      </c>
      <c r="AC554" s="11"/>
      <c r="AD554" s="11" t="str">
        <f>IFERROR(__xludf.DUMMYFUNCTION("""COMPUTED_VALUE"""),"Max Records")</f>
        <v>Max Records</v>
      </c>
      <c r="AE554" s="11"/>
    </row>
    <row r="555" customHeight="1" spans="1:31">
      <c r="A555" s="12" t="s">
        <v>30</v>
      </c>
      <c r="B555" s="12" t="s">
        <v>3137</v>
      </c>
      <c r="C555" s="12">
        <v>91</v>
      </c>
      <c r="D555" s="12">
        <v>148</v>
      </c>
      <c r="E555" s="12">
        <v>72</v>
      </c>
      <c r="F555" s="12">
        <v>99</v>
      </c>
      <c r="G555" s="12">
        <v>582</v>
      </c>
      <c r="H555" s="12">
        <v>39251128</v>
      </c>
      <c r="I555" s="12" t="s">
        <v>3138</v>
      </c>
      <c r="J555" s="12" t="s">
        <v>496</v>
      </c>
      <c r="K555" s="12" t="s">
        <v>3139</v>
      </c>
      <c r="L555" s="12" t="s">
        <v>3140</v>
      </c>
      <c r="M555" s="12" t="s">
        <v>3141</v>
      </c>
      <c r="N555" s="12">
        <v>31080</v>
      </c>
      <c r="O555" s="12">
        <v>804</v>
      </c>
      <c r="P555" s="12">
        <v>2</v>
      </c>
      <c r="Q555" s="12" t="s">
        <v>3142</v>
      </c>
      <c r="R555" s="15" t="s">
        <v>3143</v>
      </c>
      <c r="S555" s="12">
        <v>217</v>
      </c>
      <c r="T555" s="12" t="s">
        <v>39</v>
      </c>
      <c r="U555" s="12" t="s">
        <v>40</v>
      </c>
      <c r="V555" s="12" t="s">
        <v>41</v>
      </c>
      <c r="W555" s="12">
        <v>75000000</v>
      </c>
      <c r="X555" s="12">
        <v>1999</v>
      </c>
      <c r="Y555" s="12">
        <v>103</v>
      </c>
      <c r="Z555" s="12">
        <v>6.7</v>
      </c>
      <c r="AA555" s="12">
        <v>2.35</v>
      </c>
      <c r="AB555" s="12">
        <v>0</v>
      </c>
      <c r="AC555" s="12"/>
      <c r="AD555" s="12" t="str">
        <f>IFERROR(__xludf.DUMMYFUNCTION("""COMPUTED_VALUE"""),"Emma Kenney")</f>
        <v>Emma Kenney</v>
      </c>
      <c r="AE555" s="12"/>
    </row>
    <row r="556" customHeight="1" spans="1:31">
      <c r="A556" s="11" t="s">
        <v>30</v>
      </c>
      <c r="B556" s="11" t="s">
        <v>2449</v>
      </c>
      <c r="C556" s="11">
        <v>284</v>
      </c>
      <c r="D556" s="11">
        <v>110</v>
      </c>
      <c r="E556" s="11">
        <v>763</v>
      </c>
      <c r="F556" s="11">
        <v>222</v>
      </c>
      <c r="G556" s="11">
        <v>15000</v>
      </c>
      <c r="H556" s="11">
        <v>83503161</v>
      </c>
      <c r="I556" s="11" t="s">
        <v>3144</v>
      </c>
      <c r="J556" s="11" t="s">
        <v>113</v>
      </c>
      <c r="K556" s="11" t="s">
        <v>3145</v>
      </c>
      <c r="L556" s="11" t="s">
        <v>3146</v>
      </c>
      <c r="M556" s="11" t="s">
        <v>3147</v>
      </c>
      <c r="N556" s="11">
        <v>138190</v>
      </c>
      <c r="O556" s="11">
        <v>16691</v>
      </c>
      <c r="P556" s="11">
        <v>1</v>
      </c>
      <c r="Q556" s="11" t="s">
        <v>3148</v>
      </c>
      <c r="R556" s="14" t="s">
        <v>3149</v>
      </c>
      <c r="S556" s="11">
        <v>405</v>
      </c>
      <c r="T556" s="11" t="s">
        <v>39</v>
      </c>
      <c r="U556" s="11" t="s">
        <v>40</v>
      </c>
      <c r="V556" s="11" t="s">
        <v>586</v>
      </c>
      <c r="W556" s="11">
        <v>75000000</v>
      </c>
      <c r="X556" s="11">
        <v>2011</v>
      </c>
      <c r="Y556" s="11">
        <v>1000</v>
      </c>
      <c r="Z556" s="11">
        <v>6.1</v>
      </c>
      <c r="AA556" s="11">
        <v>1.85</v>
      </c>
      <c r="AB556" s="11">
        <v>30000</v>
      </c>
      <c r="AC556" s="11"/>
      <c r="AD556" s="11" t="str">
        <f>IFERROR(__xludf.DUMMYFUNCTION("""COMPUTED_VALUE"""),"Troy Evans")</f>
        <v>Troy Evans</v>
      </c>
      <c r="AE556" s="11"/>
    </row>
    <row r="557" customHeight="1" spans="1:31">
      <c r="A557" s="12" t="s">
        <v>30</v>
      </c>
      <c r="B557" s="12" t="s">
        <v>3150</v>
      </c>
      <c r="C557" s="12">
        <v>152</v>
      </c>
      <c r="D557" s="12">
        <v>113</v>
      </c>
      <c r="E557" s="12">
        <v>17</v>
      </c>
      <c r="F557" s="12">
        <v>759</v>
      </c>
      <c r="G557" s="12">
        <v>87000</v>
      </c>
      <c r="H557" s="12">
        <v>34636443</v>
      </c>
      <c r="I557" s="12" t="s">
        <v>1120</v>
      </c>
      <c r="J557" s="12" t="s">
        <v>517</v>
      </c>
      <c r="K557" s="12" t="s">
        <v>978</v>
      </c>
      <c r="L557" s="12" t="s">
        <v>3151</v>
      </c>
      <c r="M557" s="12" t="s">
        <v>3152</v>
      </c>
      <c r="N557" s="12">
        <v>93790</v>
      </c>
      <c r="O557" s="12">
        <v>103354</v>
      </c>
      <c r="P557" s="12">
        <v>0</v>
      </c>
      <c r="Q557" s="12" t="s">
        <v>3153</v>
      </c>
      <c r="R557" s="15" t="s">
        <v>3154</v>
      </c>
      <c r="S557" s="12">
        <v>288</v>
      </c>
      <c r="T557" s="12" t="s">
        <v>39</v>
      </c>
      <c r="U557" s="12" t="s">
        <v>40</v>
      </c>
      <c r="V557" s="12" t="s">
        <v>586</v>
      </c>
      <c r="W557" s="12">
        <v>52000000</v>
      </c>
      <c r="X557" s="12">
        <v>2005</v>
      </c>
      <c r="Y557" s="12">
        <v>13000</v>
      </c>
      <c r="Z557" s="12">
        <v>6.6</v>
      </c>
      <c r="AA557" s="12">
        <v>2.35</v>
      </c>
      <c r="AB557" s="12">
        <v>0</v>
      </c>
      <c r="AC557" s="12"/>
      <c r="AD557" s="12" t="str">
        <f>IFERROR(__xludf.DUMMYFUNCTION("""COMPUTED_VALUE"""),"Rufus Sewell")</f>
        <v>Rufus Sewell</v>
      </c>
      <c r="AE557" s="12"/>
    </row>
    <row r="558" customHeight="1" spans="1:31">
      <c r="A558" s="11" t="s">
        <v>30</v>
      </c>
      <c r="B558" s="11" t="s">
        <v>3155</v>
      </c>
      <c r="C558" s="11">
        <v>131</v>
      </c>
      <c r="D558" s="11">
        <v>94</v>
      </c>
      <c r="E558" s="11">
        <v>383</v>
      </c>
      <c r="F558" s="11">
        <v>886</v>
      </c>
      <c r="G558" s="11">
        <v>13000</v>
      </c>
      <c r="H558" s="11">
        <v>22751979</v>
      </c>
      <c r="I558" s="11" t="s">
        <v>3156</v>
      </c>
      <c r="J558" s="11" t="s">
        <v>1158</v>
      </c>
      <c r="K558" s="11" t="s">
        <v>794</v>
      </c>
      <c r="L558" s="11" t="s">
        <v>1385</v>
      </c>
      <c r="M558" s="11" t="s">
        <v>3157</v>
      </c>
      <c r="N558" s="11">
        <v>52244</v>
      </c>
      <c r="O558" s="11">
        <v>15857</v>
      </c>
      <c r="P558" s="11">
        <v>0</v>
      </c>
      <c r="Q558" s="11" t="s">
        <v>3158</v>
      </c>
      <c r="R558" s="14" t="s">
        <v>3159</v>
      </c>
      <c r="S558" s="11">
        <v>377</v>
      </c>
      <c r="T558" s="11" t="s">
        <v>39</v>
      </c>
      <c r="U558" s="11" t="s">
        <v>40</v>
      </c>
      <c r="V558" s="11" t="s">
        <v>96</v>
      </c>
      <c r="W558" s="11">
        <v>75000000</v>
      </c>
      <c r="X558" s="11">
        <v>2000</v>
      </c>
      <c r="Y558" s="11">
        <v>1000</v>
      </c>
      <c r="Z558" s="11">
        <v>6.6</v>
      </c>
      <c r="AA558" s="11">
        <v>2.35</v>
      </c>
      <c r="AB558" s="11">
        <v>0</v>
      </c>
      <c r="AC558" s="11"/>
      <c r="AD558" s="11" t="str">
        <f>IFERROR(__xludf.DUMMYFUNCTION("""COMPUTED_VALUE"""),"Mark Margolis")</f>
        <v>Mark Margolis</v>
      </c>
      <c r="AE558" s="11"/>
    </row>
    <row r="559" customHeight="1" spans="1:31">
      <c r="A559" s="12" t="s">
        <v>30</v>
      </c>
      <c r="B559" s="12" t="s">
        <v>3160</v>
      </c>
      <c r="C559" s="12">
        <v>132</v>
      </c>
      <c r="D559" s="12">
        <v>116</v>
      </c>
      <c r="E559" s="12">
        <v>41</v>
      </c>
      <c r="F559" s="12">
        <v>541</v>
      </c>
      <c r="G559" s="12">
        <v>11000</v>
      </c>
      <c r="H559" s="12">
        <v>30013346</v>
      </c>
      <c r="I559" s="12" t="s">
        <v>422</v>
      </c>
      <c r="J559" s="12" t="s">
        <v>391</v>
      </c>
      <c r="K559" s="12" t="s">
        <v>354</v>
      </c>
      <c r="L559" s="12" t="s">
        <v>3161</v>
      </c>
      <c r="M559" s="12" t="s">
        <v>3162</v>
      </c>
      <c r="N559" s="12">
        <v>31293</v>
      </c>
      <c r="O559" s="12">
        <v>14028</v>
      </c>
      <c r="P559" s="12">
        <v>2</v>
      </c>
      <c r="Q559" s="12" t="s">
        <v>3163</v>
      </c>
      <c r="R559" s="15" t="s">
        <v>3164</v>
      </c>
      <c r="S559" s="12">
        <v>254</v>
      </c>
      <c r="T559" s="12" t="s">
        <v>39</v>
      </c>
      <c r="U559" s="12" t="s">
        <v>40</v>
      </c>
      <c r="V559" s="12" t="s">
        <v>41</v>
      </c>
      <c r="W559" s="12">
        <v>75000000</v>
      </c>
      <c r="X559" s="12">
        <v>2003</v>
      </c>
      <c r="Y559" s="12">
        <v>982</v>
      </c>
      <c r="Z559" s="12">
        <v>5.3</v>
      </c>
      <c r="AA559" s="12">
        <v>2.35</v>
      </c>
      <c r="AB559" s="12">
        <v>648</v>
      </c>
      <c r="AC559" s="12"/>
      <c r="AD559" s="12" t="str">
        <f>IFERROR(__xludf.DUMMYFUNCTION("""COMPUTED_VALUE"""),"Udo Kier")</f>
        <v>Udo Kier</v>
      </c>
      <c r="AE559" s="12"/>
    </row>
    <row r="560" customHeight="1" spans="1:31">
      <c r="A560" s="11" t="s">
        <v>30</v>
      </c>
      <c r="B560" s="11" t="s">
        <v>2332</v>
      </c>
      <c r="C560" s="11">
        <v>67</v>
      </c>
      <c r="D560" s="11">
        <v>99</v>
      </c>
      <c r="E560" s="11">
        <v>545</v>
      </c>
      <c r="F560" s="11">
        <v>533</v>
      </c>
      <c r="G560" s="11">
        <v>933</v>
      </c>
      <c r="H560" s="11">
        <v>14567883</v>
      </c>
      <c r="I560" s="11" t="s">
        <v>3165</v>
      </c>
      <c r="J560" s="11" t="s">
        <v>1694</v>
      </c>
      <c r="K560" s="11" t="s">
        <v>3166</v>
      </c>
      <c r="L560" s="11" t="s">
        <v>2557</v>
      </c>
      <c r="M560" s="11" t="s">
        <v>3167</v>
      </c>
      <c r="N560" s="11">
        <v>44248</v>
      </c>
      <c r="O560" s="11">
        <v>2542</v>
      </c>
      <c r="P560" s="11">
        <v>1</v>
      </c>
      <c r="Q560" s="11" t="s">
        <v>3168</v>
      </c>
      <c r="R560" s="14" t="s">
        <v>3169</v>
      </c>
      <c r="S560" s="11">
        <v>373</v>
      </c>
      <c r="T560" s="11" t="s">
        <v>39</v>
      </c>
      <c r="U560" s="11" t="s">
        <v>58</v>
      </c>
      <c r="V560" s="11" t="s">
        <v>586</v>
      </c>
      <c r="W560" s="11">
        <v>75000000</v>
      </c>
      <c r="X560" s="11">
        <v>1998</v>
      </c>
      <c r="Y560" s="11">
        <v>722</v>
      </c>
      <c r="Z560" s="11">
        <v>6</v>
      </c>
      <c r="AA560" s="11">
        <v>2.35</v>
      </c>
      <c r="AB560" s="11">
        <v>0</v>
      </c>
      <c r="AC560" s="11"/>
      <c r="AD560" s="11" t="str">
        <f>IFERROR(__xludf.DUMMYFUNCTION("""COMPUTED_VALUE"""),"Stephen Collins")</f>
        <v>Stephen Collins</v>
      </c>
      <c r="AE560" s="11"/>
    </row>
    <row r="561" customHeight="1" spans="1:31">
      <c r="A561" s="12" t="s">
        <v>30</v>
      </c>
      <c r="B561" s="12" t="s">
        <v>3170</v>
      </c>
      <c r="C561" s="12">
        <v>130</v>
      </c>
      <c r="D561" s="12">
        <v>84</v>
      </c>
      <c r="E561" s="12">
        <v>10</v>
      </c>
      <c r="F561" s="12">
        <v>394</v>
      </c>
      <c r="G561" s="12">
        <v>3000</v>
      </c>
      <c r="H561" s="12">
        <v>90820</v>
      </c>
      <c r="I561" s="12" t="s">
        <v>3171</v>
      </c>
      <c r="J561" s="12" t="s">
        <v>142</v>
      </c>
      <c r="K561" s="12" t="s">
        <v>3172</v>
      </c>
      <c r="L561" s="12" t="s">
        <v>3173</v>
      </c>
      <c r="M561" s="12" t="s">
        <v>3174</v>
      </c>
      <c r="N561" s="12">
        <v>35510</v>
      </c>
      <c r="O561" s="12">
        <v>4368</v>
      </c>
      <c r="P561" s="12">
        <v>0</v>
      </c>
      <c r="Q561" s="12" t="s">
        <v>3175</v>
      </c>
      <c r="R561" s="15" t="s">
        <v>3176</v>
      </c>
      <c r="S561" s="12">
        <v>119</v>
      </c>
      <c r="T561" s="12" t="s">
        <v>39</v>
      </c>
      <c r="U561" s="12" t="s">
        <v>40</v>
      </c>
      <c r="V561" s="12" t="s">
        <v>41</v>
      </c>
      <c r="W561" s="16"/>
      <c r="X561" s="12">
        <v>2009</v>
      </c>
      <c r="Y561" s="12">
        <v>552</v>
      </c>
      <c r="Z561" s="12">
        <v>6</v>
      </c>
      <c r="AA561" s="12">
        <v>2.35</v>
      </c>
      <c r="AB561" s="12">
        <v>0</v>
      </c>
      <c r="AC561" s="12"/>
      <c r="AD561" s="12" t="str">
        <f>IFERROR(__xludf.DUMMYFUNCTION("""COMPUTED_VALUE"""),"Rene Auberjonois")</f>
        <v>Rene Auberjonois</v>
      </c>
      <c r="AE561" s="12"/>
    </row>
    <row r="562" customHeight="1" spans="1:31">
      <c r="A562" s="11" t="s">
        <v>30</v>
      </c>
      <c r="B562" s="11" t="s">
        <v>3177</v>
      </c>
      <c r="C562" s="11">
        <v>74</v>
      </c>
      <c r="D562" s="11">
        <v>93</v>
      </c>
      <c r="E562" s="11">
        <v>253</v>
      </c>
      <c r="F562" s="11">
        <v>637</v>
      </c>
      <c r="G562" s="11">
        <v>3000</v>
      </c>
      <c r="H562" s="11">
        <v>5409517</v>
      </c>
      <c r="I562" s="11" t="s">
        <v>3178</v>
      </c>
      <c r="J562" s="11" t="s">
        <v>503</v>
      </c>
      <c r="K562" s="11" t="s">
        <v>3179</v>
      </c>
      <c r="L562" s="11" t="s">
        <v>3180</v>
      </c>
      <c r="M562" s="11" t="s">
        <v>3181</v>
      </c>
      <c r="N562" s="11">
        <v>14280</v>
      </c>
      <c r="O562" s="11">
        <v>5580</v>
      </c>
      <c r="P562" s="11">
        <v>0</v>
      </c>
      <c r="Q562" s="11" t="s">
        <v>3182</v>
      </c>
      <c r="R562" s="14" t="s">
        <v>3183</v>
      </c>
      <c r="S562" s="11">
        <v>171</v>
      </c>
      <c r="T562" s="11" t="s">
        <v>39</v>
      </c>
      <c r="U562" s="11" t="s">
        <v>40</v>
      </c>
      <c r="V562" s="11" t="s">
        <v>41</v>
      </c>
      <c r="W562" s="11">
        <v>75000000</v>
      </c>
      <c r="X562" s="11">
        <v>2001</v>
      </c>
      <c r="Y562" s="11">
        <v>889</v>
      </c>
      <c r="Z562" s="11">
        <v>4.7</v>
      </c>
      <c r="AA562" s="11">
        <v>1.85</v>
      </c>
      <c r="AB562" s="11">
        <v>683</v>
      </c>
      <c r="AC562" s="11"/>
      <c r="AD562" s="11" t="str">
        <f>IFERROR(__xludf.DUMMYFUNCTION("""COMPUTED_VALUE"""),"Debi Mazar")</f>
        <v>Debi Mazar</v>
      </c>
      <c r="AE562" s="11"/>
    </row>
    <row r="563" customHeight="1" spans="1:31">
      <c r="A563" s="12" t="s">
        <v>30</v>
      </c>
      <c r="B563" s="12" t="s">
        <v>2049</v>
      </c>
      <c r="C563" s="12">
        <v>114</v>
      </c>
      <c r="D563" s="12">
        <v>113</v>
      </c>
      <c r="E563" s="12">
        <v>212</v>
      </c>
      <c r="F563" s="12">
        <v>568</v>
      </c>
      <c r="G563" s="12">
        <v>2000</v>
      </c>
      <c r="H563" s="12">
        <v>21009180</v>
      </c>
      <c r="I563" s="12" t="s">
        <v>712</v>
      </c>
      <c r="J563" s="12" t="s">
        <v>537</v>
      </c>
      <c r="K563" s="12" t="s">
        <v>1214</v>
      </c>
      <c r="L563" s="12" t="s">
        <v>2096</v>
      </c>
      <c r="M563" s="12" t="s">
        <v>3184</v>
      </c>
      <c r="N563" s="12">
        <v>45815</v>
      </c>
      <c r="O563" s="12">
        <v>4397</v>
      </c>
      <c r="P563" s="12">
        <v>4</v>
      </c>
      <c r="Q563" s="12" t="s">
        <v>3185</v>
      </c>
      <c r="R563" s="15" t="s">
        <v>3186</v>
      </c>
      <c r="S563" s="12">
        <v>222</v>
      </c>
      <c r="T563" s="12" t="s">
        <v>39</v>
      </c>
      <c r="U563" s="12" t="s">
        <v>40</v>
      </c>
      <c r="V563" s="12" t="s">
        <v>41</v>
      </c>
      <c r="W563" s="12">
        <v>45000000</v>
      </c>
      <c r="X563" s="12">
        <v>2004</v>
      </c>
      <c r="Y563" s="12">
        <v>845</v>
      </c>
      <c r="Z563" s="12">
        <v>6.1</v>
      </c>
      <c r="AA563" s="12">
        <v>2.35</v>
      </c>
      <c r="AB563" s="12">
        <v>1000</v>
      </c>
      <c r="AC563" s="12"/>
      <c r="AD563" s="12" t="str">
        <f>IFERROR(__xludf.DUMMYFUNCTION("""COMPUTED_VALUE"""),"Jake Busey")</f>
        <v>Jake Busey</v>
      </c>
      <c r="AE563" s="12"/>
    </row>
    <row r="564" customHeight="1" spans="1:31">
      <c r="A564" s="11" t="s">
        <v>30</v>
      </c>
      <c r="B564" s="11" t="s">
        <v>913</v>
      </c>
      <c r="C564" s="11">
        <v>294</v>
      </c>
      <c r="D564" s="11">
        <v>106</v>
      </c>
      <c r="E564" s="11">
        <v>0</v>
      </c>
      <c r="F564" s="11">
        <v>963</v>
      </c>
      <c r="G564" s="11">
        <v>18000</v>
      </c>
      <c r="H564" s="11">
        <v>94999143</v>
      </c>
      <c r="I564" s="11" t="s">
        <v>2202</v>
      </c>
      <c r="J564" s="11" t="s">
        <v>438</v>
      </c>
      <c r="K564" s="11" t="s">
        <v>978</v>
      </c>
      <c r="L564" s="11" t="s">
        <v>3041</v>
      </c>
      <c r="M564" s="11" t="s">
        <v>3187</v>
      </c>
      <c r="N564" s="11">
        <v>245152</v>
      </c>
      <c r="O564" s="11">
        <v>33645</v>
      </c>
      <c r="P564" s="11">
        <v>0</v>
      </c>
      <c r="Q564" s="11" t="s">
        <v>3188</v>
      </c>
      <c r="R564" s="14" t="s">
        <v>3189</v>
      </c>
      <c r="S564" s="11">
        <v>1344</v>
      </c>
      <c r="T564" s="11" t="s">
        <v>39</v>
      </c>
      <c r="U564" s="11" t="s">
        <v>40</v>
      </c>
      <c r="V564" s="11" t="s">
        <v>41</v>
      </c>
      <c r="W564" s="11">
        <v>75000000</v>
      </c>
      <c r="X564" s="11">
        <v>2000</v>
      </c>
      <c r="Y564" s="11">
        <v>13000</v>
      </c>
      <c r="Z564" s="11">
        <v>7.2</v>
      </c>
      <c r="AA564" s="11">
        <v>2.35</v>
      </c>
      <c r="AB564" s="11">
        <v>0</v>
      </c>
      <c r="AC564" s="11"/>
      <c r="AD564" s="11" t="str">
        <f>IFERROR(__xludf.DUMMYFUNCTION("""COMPUTED_VALUE"""),"Patrick Muldoon")</f>
        <v>Patrick Muldoon</v>
      </c>
      <c r="AE564" s="11"/>
    </row>
    <row r="565" customHeight="1" spans="1:31">
      <c r="A565" s="12" t="s">
        <v>30</v>
      </c>
      <c r="B565" s="12" t="s">
        <v>3190</v>
      </c>
      <c r="C565" s="12">
        <v>308</v>
      </c>
      <c r="D565" s="12">
        <v>91</v>
      </c>
      <c r="E565" s="12">
        <v>22</v>
      </c>
      <c r="F565" s="12">
        <v>1000</v>
      </c>
      <c r="G565" s="12">
        <v>7000</v>
      </c>
      <c r="H565" s="12">
        <v>336029560</v>
      </c>
      <c r="I565" s="12" t="s">
        <v>1248</v>
      </c>
      <c r="J565" s="12" t="s">
        <v>518</v>
      </c>
      <c r="K565" s="12" t="s">
        <v>599</v>
      </c>
      <c r="L565" s="12" t="s">
        <v>813</v>
      </c>
      <c r="M565" s="12" t="s">
        <v>3191</v>
      </c>
      <c r="N565" s="12">
        <v>142403</v>
      </c>
      <c r="O565" s="12">
        <v>13616</v>
      </c>
      <c r="P565" s="12">
        <v>0</v>
      </c>
      <c r="Q565" s="12" t="s">
        <v>3192</v>
      </c>
      <c r="R565" s="15" t="s">
        <v>3193</v>
      </c>
      <c r="S565" s="12">
        <v>275</v>
      </c>
      <c r="T565" s="12" t="s">
        <v>39</v>
      </c>
      <c r="U565" s="12" t="s">
        <v>40</v>
      </c>
      <c r="V565" s="12" t="s">
        <v>96</v>
      </c>
      <c r="W565" s="12">
        <v>74000000</v>
      </c>
      <c r="X565" s="12">
        <v>2015</v>
      </c>
      <c r="Y565" s="12">
        <v>4000</v>
      </c>
      <c r="Z565" s="12">
        <v>6.4</v>
      </c>
      <c r="AA565" s="12">
        <v>1.85</v>
      </c>
      <c r="AB565" s="12">
        <v>70000</v>
      </c>
      <c r="AC565" s="12"/>
      <c r="AD565" s="12" t="str">
        <f>IFERROR(__xludf.DUMMYFUNCTION("""COMPUTED_VALUE"""),"Seth Gilliam")</f>
        <v>Seth Gilliam</v>
      </c>
      <c r="AE565" s="12"/>
    </row>
    <row r="566" customHeight="1" spans="1:31">
      <c r="A566" s="11" t="s">
        <v>30</v>
      </c>
      <c r="B566" s="11" t="s">
        <v>112</v>
      </c>
      <c r="C566" s="11">
        <v>435</v>
      </c>
      <c r="D566" s="11">
        <v>128</v>
      </c>
      <c r="E566" s="11">
        <v>0</v>
      </c>
      <c r="F566" s="11">
        <v>826</v>
      </c>
      <c r="G566" s="11">
        <v>4000</v>
      </c>
      <c r="H566" s="11">
        <v>36381716</v>
      </c>
      <c r="I566" s="11" t="s">
        <v>1239</v>
      </c>
      <c r="J566" s="11" t="s">
        <v>599</v>
      </c>
      <c r="K566" s="11" t="s">
        <v>1402</v>
      </c>
      <c r="L566" s="11" t="s">
        <v>1320</v>
      </c>
      <c r="M566" s="11" t="s">
        <v>3194</v>
      </c>
      <c r="N566" s="11">
        <v>197584</v>
      </c>
      <c r="O566" s="11">
        <v>7067</v>
      </c>
      <c r="P566" s="11">
        <v>4</v>
      </c>
      <c r="Q566" s="11" t="s">
        <v>3195</v>
      </c>
      <c r="R566" s="14" t="s">
        <v>3196</v>
      </c>
      <c r="S566" s="11">
        <v>918</v>
      </c>
      <c r="T566" s="11" t="s">
        <v>39</v>
      </c>
      <c r="U566" s="11" t="s">
        <v>40</v>
      </c>
      <c r="V566" s="11" t="s">
        <v>41</v>
      </c>
      <c r="W566" s="11">
        <v>82000000</v>
      </c>
      <c r="X566" s="11">
        <v>2011</v>
      </c>
      <c r="Y566" s="11">
        <v>2000</v>
      </c>
      <c r="Z566" s="11">
        <v>6.1</v>
      </c>
      <c r="AA566" s="11">
        <v>2.35</v>
      </c>
      <c r="AB566" s="11">
        <v>42000</v>
      </c>
      <c r="AC566" s="11"/>
      <c r="AD566" s="11" t="str">
        <f>IFERROR(__xludf.DUMMYFUNCTION("""COMPUTED_VALUE"""),"Jim Sturgess")</f>
        <v>Jim Sturgess</v>
      </c>
      <c r="AE566" s="11"/>
    </row>
    <row r="567" customHeight="1" spans="1:31">
      <c r="A567" s="12" t="s">
        <v>30</v>
      </c>
      <c r="B567" s="12" t="s">
        <v>2247</v>
      </c>
      <c r="C567" s="12">
        <v>117</v>
      </c>
      <c r="D567" s="12">
        <v>98</v>
      </c>
      <c r="E567" s="12">
        <v>0</v>
      </c>
      <c r="F567" s="12">
        <v>697</v>
      </c>
      <c r="G567" s="12">
        <v>12000</v>
      </c>
      <c r="H567" s="12">
        <v>55585389</v>
      </c>
      <c r="I567" s="12" t="s">
        <v>2215</v>
      </c>
      <c r="J567" s="12" t="s">
        <v>705</v>
      </c>
      <c r="K567" s="12" t="s">
        <v>3197</v>
      </c>
      <c r="L567" s="12" t="s">
        <v>3198</v>
      </c>
      <c r="M567" s="12" t="s">
        <v>3199</v>
      </c>
      <c r="N567" s="12">
        <v>64121</v>
      </c>
      <c r="O567" s="12">
        <v>15269</v>
      </c>
      <c r="P567" s="12">
        <v>1</v>
      </c>
      <c r="Q567" s="12" t="s">
        <v>3200</v>
      </c>
      <c r="R567" s="15" t="s">
        <v>3201</v>
      </c>
      <c r="S567" s="12">
        <v>241</v>
      </c>
      <c r="T567" s="12" t="s">
        <v>39</v>
      </c>
      <c r="U567" s="12" t="s">
        <v>40</v>
      </c>
      <c r="V567" s="12" t="s">
        <v>586</v>
      </c>
      <c r="W567" s="12">
        <v>69000000</v>
      </c>
      <c r="X567" s="12">
        <v>1998</v>
      </c>
      <c r="Y567" s="12">
        <v>854</v>
      </c>
      <c r="Z567" s="12">
        <v>5.9</v>
      </c>
      <c r="AA567" s="12">
        <v>2.35</v>
      </c>
      <c r="AB567" s="12">
        <v>880</v>
      </c>
      <c r="AC567" s="12"/>
      <c r="AD567" s="12" t="str">
        <f>IFERROR(__xludf.DUMMYFUNCTION("""COMPUTED_VALUE"""),"Anthony LaPaglia")</f>
        <v>Anthony LaPaglia</v>
      </c>
      <c r="AE567" s="12"/>
    </row>
    <row r="568" customHeight="1" spans="1:31">
      <c r="A568" s="11" t="s">
        <v>30</v>
      </c>
      <c r="B568" s="11" t="s">
        <v>3123</v>
      </c>
      <c r="C568" s="11">
        <v>108</v>
      </c>
      <c r="D568" s="11">
        <v>134</v>
      </c>
      <c r="E568" s="11">
        <v>272</v>
      </c>
      <c r="F568" s="11">
        <v>215</v>
      </c>
      <c r="G568" s="11">
        <v>548</v>
      </c>
      <c r="H568" s="11">
        <v>36976367</v>
      </c>
      <c r="I568" s="11" t="s">
        <v>2202</v>
      </c>
      <c r="J568" s="11" t="s">
        <v>3202</v>
      </c>
      <c r="K568" s="11" t="s">
        <v>3203</v>
      </c>
      <c r="L568" s="11" t="s">
        <v>3204</v>
      </c>
      <c r="M568" s="11" t="s">
        <v>3205</v>
      </c>
      <c r="N568" s="11">
        <v>81611</v>
      </c>
      <c r="O568" s="11">
        <v>1044</v>
      </c>
      <c r="P568" s="11">
        <v>3</v>
      </c>
      <c r="Q568" s="11" t="s">
        <v>3206</v>
      </c>
      <c r="R568" s="14" t="s">
        <v>3207</v>
      </c>
      <c r="S568" s="11">
        <v>274</v>
      </c>
      <c r="T568" s="11" t="s">
        <v>39</v>
      </c>
      <c r="U568" s="11" t="s">
        <v>40</v>
      </c>
      <c r="V568" s="11" t="s">
        <v>41</v>
      </c>
      <c r="W568" s="11">
        <v>75000000</v>
      </c>
      <c r="X568" s="11">
        <v>1998</v>
      </c>
      <c r="Y568" s="11">
        <v>270</v>
      </c>
      <c r="Z568" s="11">
        <v>6</v>
      </c>
      <c r="AA568" s="11">
        <v>2.35</v>
      </c>
      <c r="AB568" s="11">
        <v>0</v>
      </c>
      <c r="AC568" s="11"/>
      <c r="AD568" s="11" t="str">
        <f>IFERROR(__xludf.DUMMYFUNCTION("""COMPUTED_VALUE"""),"Christopher Heyerdahl")</f>
        <v>Christopher Heyerdahl</v>
      </c>
      <c r="AE568" s="11"/>
    </row>
    <row r="569" customHeight="1" spans="1:31">
      <c r="A569" s="12" t="s">
        <v>30</v>
      </c>
      <c r="B569" s="12" t="s">
        <v>3208</v>
      </c>
      <c r="C569" s="12">
        <v>141</v>
      </c>
      <c r="D569" s="12">
        <v>97</v>
      </c>
      <c r="E569" s="12">
        <v>6</v>
      </c>
      <c r="F569" s="12">
        <v>415</v>
      </c>
      <c r="G569" s="12">
        <v>22000</v>
      </c>
      <c r="H569" s="12">
        <v>107225164</v>
      </c>
      <c r="I569" s="12" t="s">
        <v>3209</v>
      </c>
      <c r="J569" s="12" t="s">
        <v>149</v>
      </c>
      <c r="K569" s="12" t="s">
        <v>830</v>
      </c>
      <c r="L569" s="12" t="s">
        <v>3210</v>
      </c>
      <c r="M569" s="12" t="s">
        <v>3211</v>
      </c>
      <c r="N569" s="12">
        <v>27130</v>
      </c>
      <c r="O569" s="12">
        <v>24350</v>
      </c>
      <c r="P569" s="12">
        <v>0</v>
      </c>
      <c r="Q569" s="12" t="s">
        <v>3212</v>
      </c>
      <c r="R569" s="15" t="s">
        <v>3213</v>
      </c>
      <c r="S569" s="12">
        <v>126</v>
      </c>
      <c r="T569" s="12" t="s">
        <v>39</v>
      </c>
      <c r="U569" s="12" t="s">
        <v>40</v>
      </c>
      <c r="V569" s="12" t="s">
        <v>96</v>
      </c>
      <c r="W569" s="12">
        <v>73000000</v>
      </c>
      <c r="X569" s="12">
        <v>2016</v>
      </c>
      <c r="Y569" s="12">
        <v>1000</v>
      </c>
      <c r="Z569" s="12">
        <v>6.3</v>
      </c>
      <c r="AA569" s="12">
        <v>1.85</v>
      </c>
      <c r="AB569" s="12">
        <v>14000</v>
      </c>
      <c r="AC569" s="12"/>
      <c r="AD569" s="12" t="str">
        <f>IFERROR(__xludf.DUMMYFUNCTION("""COMPUTED_VALUE"""),"Alex Borstein")</f>
        <v>Alex Borstein</v>
      </c>
      <c r="AE569" s="12"/>
    </row>
    <row r="570" customHeight="1" spans="1:31">
      <c r="A570" s="11" t="s">
        <v>30</v>
      </c>
      <c r="B570" s="11" t="s">
        <v>3137</v>
      </c>
      <c r="C570" s="11">
        <v>176</v>
      </c>
      <c r="D570" s="11">
        <v>112</v>
      </c>
      <c r="E570" s="11">
        <v>72</v>
      </c>
      <c r="F570" s="11">
        <v>715</v>
      </c>
      <c r="G570" s="11">
        <v>11000</v>
      </c>
      <c r="H570" s="11">
        <v>70224196</v>
      </c>
      <c r="I570" s="11" t="s">
        <v>3214</v>
      </c>
      <c r="J570" s="11" t="s">
        <v>661</v>
      </c>
      <c r="K570" s="11" t="s">
        <v>392</v>
      </c>
      <c r="L570" s="11" t="s">
        <v>3215</v>
      </c>
      <c r="M570" s="11" t="s">
        <v>3216</v>
      </c>
      <c r="N570" s="11">
        <v>59352</v>
      </c>
      <c r="O570" s="11">
        <v>13827</v>
      </c>
      <c r="P570" s="11">
        <v>0</v>
      </c>
      <c r="Q570" s="11" t="s">
        <v>3217</v>
      </c>
      <c r="R570" s="14" t="s">
        <v>3218</v>
      </c>
      <c r="S570" s="11">
        <v>138</v>
      </c>
      <c r="T570" s="11" t="s">
        <v>39</v>
      </c>
      <c r="U570" s="11" t="s">
        <v>40</v>
      </c>
      <c r="V570" s="11" t="s">
        <v>41</v>
      </c>
      <c r="W570" s="11">
        <v>70000000</v>
      </c>
      <c r="X570" s="11">
        <v>2008</v>
      </c>
      <c r="Y570" s="11">
        <v>1000</v>
      </c>
      <c r="Z570" s="11">
        <v>5.6</v>
      </c>
      <c r="AA570" s="11">
        <v>2.35</v>
      </c>
      <c r="AB570" s="11">
        <v>0</v>
      </c>
      <c r="AC570" s="11"/>
      <c r="AD570" s="11" t="str">
        <f>IFERROR(__xludf.DUMMYFUNCTION("""COMPUTED_VALUE"""),"Ingrid Bolsø Berdal")</f>
        <v>Ingrid Bolsø Berdal</v>
      </c>
      <c r="AE570" s="11"/>
    </row>
    <row r="571" customHeight="1" spans="1:31">
      <c r="A571" s="12" t="s">
        <v>30</v>
      </c>
      <c r="B571" s="12" t="s">
        <v>3219</v>
      </c>
      <c r="C571" s="12">
        <v>230</v>
      </c>
      <c r="D571" s="12">
        <v>153</v>
      </c>
      <c r="E571" s="12">
        <v>0</v>
      </c>
      <c r="F571" s="12">
        <v>130</v>
      </c>
      <c r="G571" s="12">
        <v>11000</v>
      </c>
      <c r="H571" s="12">
        <v>51814190</v>
      </c>
      <c r="I571" s="12" t="s">
        <v>2528</v>
      </c>
      <c r="J571" s="12" t="s">
        <v>2180</v>
      </c>
      <c r="K571" s="12" t="s">
        <v>1729</v>
      </c>
      <c r="L571" s="12" t="s">
        <v>3220</v>
      </c>
      <c r="M571" s="12" t="s">
        <v>3221</v>
      </c>
      <c r="N571" s="12">
        <v>100837</v>
      </c>
      <c r="O571" s="12">
        <v>11852</v>
      </c>
      <c r="P571" s="12">
        <v>1</v>
      </c>
      <c r="Q571" s="12" t="s">
        <v>3222</v>
      </c>
      <c r="R571" s="15" t="s">
        <v>3223</v>
      </c>
      <c r="S571" s="12">
        <v>301</v>
      </c>
      <c r="T571" s="12" t="s">
        <v>39</v>
      </c>
      <c r="U571" s="12" t="s">
        <v>40</v>
      </c>
      <c r="V571" s="12" t="s">
        <v>586</v>
      </c>
      <c r="W571" s="12">
        <v>75000000</v>
      </c>
      <c r="X571" s="12">
        <v>2009</v>
      </c>
      <c r="Y571" s="12">
        <v>561</v>
      </c>
      <c r="Z571" s="12">
        <v>6.4</v>
      </c>
      <c r="AA571" s="12">
        <v>1.85</v>
      </c>
      <c r="AB571" s="12">
        <v>0</v>
      </c>
      <c r="AC571" s="12"/>
      <c r="AD571" s="12" t="str">
        <f>IFERROR(__xludf.DUMMYFUNCTION("""COMPUTED_VALUE"""),"Michael Wincott")</f>
        <v>Michael Wincott</v>
      </c>
      <c r="AE571" s="12"/>
    </row>
    <row r="572" customHeight="1" spans="1:31">
      <c r="A572" s="11" t="s">
        <v>30</v>
      </c>
      <c r="B572" s="11" t="s">
        <v>226</v>
      </c>
      <c r="C572" s="11">
        <v>234</v>
      </c>
      <c r="D572" s="11">
        <v>110</v>
      </c>
      <c r="E572" s="11">
        <v>532</v>
      </c>
      <c r="F572" s="11">
        <v>461</v>
      </c>
      <c r="G572" s="11">
        <v>3000</v>
      </c>
      <c r="H572" s="11">
        <v>47456450</v>
      </c>
      <c r="I572" s="11" t="s">
        <v>923</v>
      </c>
      <c r="J572" s="11" t="s">
        <v>750</v>
      </c>
      <c r="K572" s="11" t="s">
        <v>3224</v>
      </c>
      <c r="L572" s="11" t="s">
        <v>3225</v>
      </c>
      <c r="M572" s="11" t="s">
        <v>3226</v>
      </c>
      <c r="N572" s="11">
        <v>101386</v>
      </c>
      <c r="O572" s="11">
        <v>5187</v>
      </c>
      <c r="P572" s="11">
        <v>1</v>
      </c>
      <c r="Q572" s="11" t="s">
        <v>3227</v>
      </c>
      <c r="R572" s="14" t="s">
        <v>3228</v>
      </c>
      <c r="S572" s="11">
        <v>289</v>
      </c>
      <c r="T572" s="11" t="s">
        <v>39</v>
      </c>
      <c r="U572" s="11" t="s">
        <v>40</v>
      </c>
      <c r="V572" s="11" t="s">
        <v>586</v>
      </c>
      <c r="W572" s="11">
        <v>70000000</v>
      </c>
      <c r="X572" s="11">
        <v>2007</v>
      </c>
      <c r="Y572" s="11">
        <v>638</v>
      </c>
      <c r="Z572" s="11">
        <v>7.1</v>
      </c>
      <c r="AA572" s="11">
        <v>2.35</v>
      </c>
      <c r="AB572" s="11">
        <v>0</v>
      </c>
      <c r="AC572" s="11"/>
      <c r="AD572" s="11" t="str">
        <f>IFERROR(__xludf.DUMMYFUNCTION("""COMPUTED_VALUE"""),"Anna Friel")</f>
        <v>Anna Friel</v>
      </c>
      <c r="AE572" s="11"/>
    </row>
    <row r="573" customHeight="1" spans="1:31">
      <c r="A573" s="12" t="s">
        <v>30</v>
      </c>
      <c r="B573" s="12" t="s">
        <v>1752</v>
      </c>
      <c r="C573" s="12">
        <v>164</v>
      </c>
      <c r="D573" s="12">
        <v>122</v>
      </c>
      <c r="E573" s="12">
        <v>285</v>
      </c>
      <c r="F573" s="12">
        <v>989</v>
      </c>
      <c r="G573" s="12">
        <v>8000</v>
      </c>
      <c r="H573" s="12">
        <v>148213377</v>
      </c>
      <c r="I573" s="12" t="s">
        <v>3229</v>
      </c>
      <c r="J573" s="12" t="s">
        <v>1249</v>
      </c>
      <c r="K573" s="12" t="s">
        <v>2718</v>
      </c>
      <c r="L573" s="12" t="s">
        <v>3230</v>
      </c>
      <c r="M573" s="12" t="s">
        <v>3231</v>
      </c>
      <c r="N573" s="12">
        <v>130776</v>
      </c>
      <c r="O573" s="12">
        <v>12410</v>
      </c>
      <c r="P573" s="12">
        <v>5</v>
      </c>
      <c r="Q573" s="12" t="s">
        <v>3232</v>
      </c>
      <c r="R573" s="15" t="s">
        <v>3233</v>
      </c>
      <c r="S573" s="12">
        <v>437</v>
      </c>
      <c r="T573" s="12" t="s">
        <v>39</v>
      </c>
      <c r="U573" s="12" t="s">
        <v>40</v>
      </c>
      <c r="V573" s="12" t="s">
        <v>41</v>
      </c>
      <c r="W573" s="12">
        <v>73000000</v>
      </c>
      <c r="X573" s="12">
        <v>2006</v>
      </c>
      <c r="Y573" s="12">
        <v>1000</v>
      </c>
      <c r="Z573" s="12">
        <v>6.6</v>
      </c>
      <c r="AA573" s="12">
        <v>2.35</v>
      </c>
      <c r="AB573" s="12">
        <v>0</v>
      </c>
      <c r="AC573" s="12"/>
      <c r="AD573" s="12" t="str">
        <f>IFERROR(__xludf.DUMMYFUNCTION("""COMPUTED_VALUE"""),"Bobb'e J. Thompson")</f>
        <v>Bobb'e J. Thompson</v>
      </c>
      <c r="AE573" s="12"/>
    </row>
    <row r="574" customHeight="1" spans="1:31">
      <c r="A574" s="11" t="s">
        <v>30</v>
      </c>
      <c r="B574" s="11" t="s">
        <v>3234</v>
      </c>
      <c r="C574" s="11">
        <v>91</v>
      </c>
      <c r="D574" s="11">
        <v>87</v>
      </c>
      <c r="E574" s="11">
        <v>41</v>
      </c>
      <c r="F574" s="11">
        <v>574</v>
      </c>
      <c r="G574" s="11">
        <v>1000</v>
      </c>
      <c r="H574" s="11">
        <v>112950721</v>
      </c>
      <c r="I574" s="11" t="s">
        <v>516</v>
      </c>
      <c r="J574" s="11" t="s">
        <v>3235</v>
      </c>
      <c r="K574" s="11" t="s">
        <v>1655</v>
      </c>
      <c r="L574" s="11" t="s">
        <v>3236</v>
      </c>
      <c r="M574" s="11" t="s">
        <v>3237</v>
      </c>
      <c r="N574" s="11">
        <v>33884</v>
      </c>
      <c r="O574" s="11">
        <v>3287</v>
      </c>
      <c r="P574" s="11">
        <v>0</v>
      </c>
      <c r="Q574" s="11" t="s">
        <v>3238</v>
      </c>
      <c r="R574" s="14" t="s">
        <v>3239</v>
      </c>
      <c r="S574" s="11">
        <v>79</v>
      </c>
      <c r="T574" s="11" t="s">
        <v>39</v>
      </c>
      <c r="U574" s="11" t="s">
        <v>40</v>
      </c>
      <c r="V574" s="11" t="s">
        <v>96</v>
      </c>
      <c r="W574" s="11">
        <v>72000000</v>
      </c>
      <c r="X574" s="11">
        <v>2001</v>
      </c>
      <c r="Y574" s="11">
        <v>692</v>
      </c>
      <c r="Z574" s="11">
        <v>4.6</v>
      </c>
      <c r="AA574" s="11">
        <v>2.35</v>
      </c>
      <c r="AB574" s="11">
        <v>266</v>
      </c>
      <c r="AC574" s="11"/>
      <c r="AD574" s="11" t="str">
        <f>IFERROR(__xludf.DUMMYFUNCTION("""COMPUTED_VALUE"""),"Jamie Kennedy")</f>
        <v>Jamie Kennedy</v>
      </c>
      <c r="AE574" s="11"/>
    </row>
    <row r="575" customHeight="1" spans="1:31">
      <c r="A575" s="12" t="s">
        <v>30</v>
      </c>
      <c r="B575" s="12" t="s">
        <v>3240</v>
      </c>
      <c r="C575" s="12">
        <v>132</v>
      </c>
      <c r="D575" s="12">
        <v>178</v>
      </c>
      <c r="E575" s="12">
        <v>0</v>
      </c>
      <c r="F575" s="12">
        <v>403</v>
      </c>
      <c r="G575" s="12">
        <v>906</v>
      </c>
      <c r="H575" s="12">
        <v>75600000</v>
      </c>
      <c r="I575" s="12" t="s">
        <v>3241</v>
      </c>
      <c r="J575" s="12" t="s">
        <v>3242</v>
      </c>
      <c r="K575" s="12" t="s">
        <v>3243</v>
      </c>
      <c r="L575" s="12" t="s">
        <v>3244</v>
      </c>
      <c r="M575" s="12" t="s">
        <v>3245</v>
      </c>
      <c r="N575" s="12">
        <v>736638</v>
      </c>
      <c r="O575" s="12">
        <v>1976</v>
      </c>
      <c r="P575" s="12">
        <v>1</v>
      </c>
      <c r="Q575" s="12" t="s">
        <v>3246</v>
      </c>
      <c r="R575" s="15" t="s">
        <v>3247</v>
      </c>
      <c r="S575" s="12">
        <v>1065</v>
      </c>
      <c r="T575" s="12" t="s">
        <v>39</v>
      </c>
      <c r="U575" s="12" t="s">
        <v>40</v>
      </c>
      <c r="V575" s="12" t="s">
        <v>586</v>
      </c>
      <c r="W575" s="12">
        <v>72000000</v>
      </c>
      <c r="X575" s="12">
        <v>1995</v>
      </c>
      <c r="Y575" s="12">
        <v>466</v>
      </c>
      <c r="Z575" s="12">
        <v>8.4</v>
      </c>
      <c r="AA575" s="12">
        <v>2.35</v>
      </c>
      <c r="AB575" s="12">
        <v>17000</v>
      </c>
      <c r="AC575" s="12"/>
      <c r="AD575" s="12" t="str">
        <f>IFERROR(__xludf.DUMMYFUNCTION("""COMPUTED_VALUE"""),"Traylor Howard")</f>
        <v>Traylor Howard</v>
      </c>
      <c r="AE575" s="12"/>
    </row>
    <row r="576" customHeight="1" spans="1:31">
      <c r="A576" s="11" t="s">
        <v>30</v>
      </c>
      <c r="B576" s="11" t="s">
        <v>50</v>
      </c>
      <c r="C576" s="11">
        <v>262</v>
      </c>
      <c r="D576" s="11">
        <v>125</v>
      </c>
      <c r="E576" s="11">
        <v>0</v>
      </c>
      <c r="F576" s="11">
        <v>210</v>
      </c>
      <c r="G576" s="11">
        <v>15000</v>
      </c>
      <c r="H576" s="11">
        <v>62647540</v>
      </c>
      <c r="I576" s="11" t="s">
        <v>1467</v>
      </c>
      <c r="J576" s="11" t="s">
        <v>373</v>
      </c>
      <c r="K576" s="11" t="s">
        <v>3248</v>
      </c>
      <c r="L576" s="11" t="s">
        <v>3249</v>
      </c>
      <c r="M576" s="11" t="s">
        <v>3250</v>
      </c>
      <c r="N576" s="11">
        <v>143525</v>
      </c>
      <c r="O576" s="11">
        <v>15850</v>
      </c>
      <c r="P576" s="11">
        <v>0</v>
      </c>
      <c r="Q576" s="11" t="s">
        <v>3251</v>
      </c>
      <c r="R576" s="14" t="s">
        <v>3252</v>
      </c>
      <c r="S576" s="11">
        <v>657</v>
      </c>
      <c r="T576" s="11" t="s">
        <v>39</v>
      </c>
      <c r="U576" s="11" t="s">
        <v>768</v>
      </c>
      <c r="V576" s="11" t="s">
        <v>586</v>
      </c>
      <c r="W576" s="11">
        <v>70000000</v>
      </c>
      <c r="X576" s="11">
        <v>2005</v>
      </c>
      <c r="Y576" s="11">
        <v>383</v>
      </c>
      <c r="Z576" s="11">
        <v>7.1</v>
      </c>
      <c r="AA576" s="11">
        <v>2.35</v>
      </c>
      <c r="AB576" s="11">
        <v>0</v>
      </c>
      <c r="AC576" s="11"/>
      <c r="AD576" s="11" t="str">
        <f>IFERROR(__xludf.DUMMYFUNCTION("""COMPUTED_VALUE"""),"Ben Stein")</f>
        <v>Ben Stein</v>
      </c>
      <c r="AE576" s="11"/>
    </row>
    <row r="577" customHeight="1" spans="1:31">
      <c r="A577" s="12" t="s">
        <v>30</v>
      </c>
      <c r="B577" s="12" t="s">
        <v>3253</v>
      </c>
      <c r="C577" s="12">
        <v>299</v>
      </c>
      <c r="D577" s="12">
        <v>87</v>
      </c>
      <c r="E577" s="12">
        <v>30</v>
      </c>
      <c r="F577" s="12">
        <v>433</v>
      </c>
      <c r="G577" s="12">
        <v>745</v>
      </c>
      <c r="H577" s="12">
        <v>183132370</v>
      </c>
      <c r="I577" s="12" t="s">
        <v>3254</v>
      </c>
      <c r="J577" s="12" t="s">
        <v>2968</v>
      </c>
      <c r="K577" s="12" t="s">
        <v>3255</v>
      </c>
      <c r="L577" s="12" t="s">
        <v>3256</v>
      </c>
      <c r="M577" s="12" t="s">
        <v>3257</v>
      </c>
      <c r="N577" s="12">
        <v>259083</v>
      </c>
      <c r="O577" s="12">
        <v>3086</v>
      </c>
      <c r="P577" s="12">
        <v>0</v>
      </c>
      <c r="Q577" s="12" t="s">
        <v>3258</v>
      </c>
      <c r="R577" s="15" t="s">
        <v>3259</v>
      </c>
      <c r="S577" s="12">
        <v>763</v>
      </c>
      <c r="T577" s="12" t="s">
        <v>39</v>
      </c>
      <c r="U577" s="12" t="s">
        <v>40</v>
      </c>
      <c r="V577" s="12" t="s">
        <v>41</v>
      </c>
      <c r="W577" s="12">
        <v>75000000</v>
      </c>
      <c r="X577" s="12">
        <v>2007</v>
      </c>
      <c r="Y577" s="12">
        <v>440</v>
      </c>
      <c r="Z577" s="12">
        <v>7.4</v>
      </c>
      <c r="AA577" s="12">
        <v>2.35</v>
      </c>
      <c r="AB577" s="12">
        <v>0</v>
      </c>
      <c r="AC577" s="12"/>
      <c r="AD577" s="12" t="str">
        <f>IFERROR(__xludf.DUMMYFUNCTION("""COMPUTED_VALUE"""),"Benjamin Walker")</f>
        <v>Benjamin Walker</v>
      </c>
      <c r="AE577" s="12"/>
    </row>
    <row r="578" customHeight="1" spans="1:31">
      <c r="A578" s="11" t="s">
        <v>30</v>
      </c>
      <c r="B578" s="11" t="s">
        <v>3260</v>
      </c>
      <c r="C578" s="11">
        <v>128</v>
      </c>
      <c r="D578" s="11">
        <v>152</v>
      </c>
      <c r="E578" s="11">
        <v>0</v>
      </c>
      <c r="F578" s="11">
        <v>745</v>
      </c>
      <c r="G578" s="11">
        <v>940</v>
      </c>
      <c r="H578" s="11">
        <v>27796042</v>
      </c>
      <c r="I578" s="11" t="s">
        <v>214</v>
      </c>
      <c r="J578" s="11" t="s">
        <v>3261</v>
      </c>
      <c r="K578" s="11" t="s">
        <v>2498</v>
      </c>
      <c r="L578" s="11" t="s">
        <v>3262</v>
      </c>
      <c r="M578" s="11" t="s">
        <v>3263</v>
      </c>
      <c r="N578" s="11">
        <v>45031</v>
      </c>
      <c r="O578" s="11">
        <v>4310</v>
      </c>
      <c r="P578" s="11">
        <v>1</v>
      </c>
      <c r="Q578" s="11" t="s">
        <v>3264</v>
      </c>
      <c r="R578" s="14" t="s">
        <v>3265</v>
      </c>
      <c r="S578" s="11">
        <v>376</v>
      </c>
      <c r="T578" s="11" t="s">
        <v>39</v>
      </c>
      <c r="U578" s="11" t="s">
        <v>40</v>
      </c>
      <c r="V578" s="11" t="s">
        <v>96</v>
      </c>
      <c r="W578" s="11">
        <v>72000000</v>
      </c>
      <c r="X578" s="11">
        <v>2001</v>
      </c>
      <c r="Y578" s="11">
        <v>826</v>
      </c>
      <c r="Z578" s="11">
        <v>6.9</v>
      </c>
      <c r="AA578" s="11">
        <v>1.85</v>
      </c>
      <c r="AB578" s="11">
        <v>0</v>
      </c>
      <c r="AC578" s="11"/>
      <c r="AD578" s="11" t="str">
        <f>IFERROR(__xludf.DUMMYFUNCTION("""COMPUTED_VALUE"""),"Frank Dillane")</f>
        <v>Frank Dillane</v>
      </c>
      <c r="AE578" s="11"/>
    </row>
    <row r="579" customHeight="1" spans="1:31">
      <c r="A579" s="12" t="s">
        <v>30</v>
      </c>
      <c r="B579" s="12" t="s">
        <v>2067</v>
      </c>
      <c r="C579" s="12">
        <v>109</v>
      </c>
      <c r="D579" s="12">
        <v>116</v>
      </c>
      <c r="E579" s="12">
        <v>212</v>
      </c>
      <c r="F579" s="12">
        <v>462</v>
      </c>
      <c r="G579" s="12">
        <v>13000</v>
      </c>
      <c r="H579" s="12">
        <v>32616869</v>
      </c>
      <c r="I579" s="12" t="s">
        <v>3266</v>
      </c>
      <c r="J579" s="12" t="s">
        <v>1785</v>
      </c>
      <c r="K579" s="12" t="s">
        <v>1712</v>
      </c>
      <c r="L579" s="12" t="s">
        <v>3267</v>
      </c>
      <c r="M579" s="12" t="s">
        <v>3268</v>
      </c>
      <c r="N579" s="12">
        <v>34435</v>
      </c>
      <c r="O579" s="12">
        <v>14780</v>
      </c>
      <c r="P579" s="12">
        <v>0</v>
      </c>
      <c r="Q579" s="12" t="s">
        <v>3269</v>
      </c>
      <c r="R579" s="15" t="s">
        <v>3270</v>
      </c>
      <c r="S579" s="12">
        <v>346</v>
      </c>
      <c r="T579" s="12" t="s">
        <v>39</v>
      </c>
      <c r="U579" s="12" t="s">
        <v>40</v>
      </c>
      <c r="V579" s="12" t="s">
        <v>41</v>
      </c>
      <c r="W579" s="12">
        <v>72000000</v>
      </c>
      <c r="X579" s="12">
        <v>2001</v>
      </c>
      <c r="Y579" s="12">
        <v>658</v>
      </c>
      <c r="Z579" s="12">
        <v>4.5</v>
      </c>
      <c r="AA579" s="12">
        <v>2.35</v>
      </c>
      <c r="AB579" s="12">
        <v>886</v>
      </c>
      <c r="AC579" s="12"/>
      <c r="AD579" s="12" t="str">
        <f>IFERROR(__xludf.DUMMYFUNCTION("""COMPUTED_VALUE"""),"Randy Quaid")</f>
        <v>Randy Quaid</v>
      </c>
      <c r="AE579" s="12"/>
    </row>
    <row r="580" customHeight="1" spans="1:31">
      <c r="A580" s="11" t="s">
        <v>30</v>
      </c>
      <c r="B580" s="11" t="s">
        <v>2397</v>
      </c>
      <c r="C580" s="11">
        <v>88</v>
      </c>
      <c r="D580" s="11">
        <v>109</v>
      </c>
      <c r="E580" s="11">
        <v>218</v>
      </c>
      <c r="F580" s="11">
        <v>8</v>
      </c>
      <c r="G580" s="11">
        <v>21</v>
      </c>
      <c r="H580" s="11">
        <v>18947630</v>
      </c>
      <c r="I580" s="11" t="s">
        <v>3271</v>
      </c>
      <c r="J580" s="11" t="s">
        <v>3272</v>
      </c>
      <c r="K580" s="11" t="s">
        <v>3273</v>
      </c>
      <c r="L580" s="11" t="s">
        <v>3274</v>
      </c>
      <c r="M580" s="11" t="s">
        <v>3275</v>
      </c>
      <c r="N580" s="11">
        <v>11798</v>
      </c>
      <c r="O580" s="11">
        <v>55</v>
      </c>
      <c r="P580" s="11">
        <v>0</v>
      </c>
      <c r="Q580" s="11" t="s">
        <v>3276</v>
      </c>
      <c r="R580" s="14" t="s">
        <v>3277</v>
      </c>
      <c r="S580" s="11">
        <v>124</v>
      </c>
      <c r="T580" s="11" t="s">
        <v>39</v>
      </c>
      <c r="U580" s="11" t="s">
        <v>1466</v>
      </c>
      <c r="V580" s="11" t="s">
        <v>96</v>
      </c>
      <c r="W580" s="11">
        <v>59660000</v>
      </c>
      <c r="X580" s="11">
        <v>2004</v>
      </c>
      <c r="Y580" s="11">
        <v>17</v>
      </c>
      <c r="Z580" s="11">
        <v>7.1</v>
      </c>
      <c r="AA580" s="11">
        <v>2.35</v>
      </c>
      <c r="AB580" s="11">
        <v>2000</v>
      </c>
      <c r="AC580" s="11"/>
      <c r="AD580" s="11" t="str">
        <f>IFERROR(__xludf.DUMMYFUNCTION("""COMPUTED_VALUE"""),"Burt Young")</f>
        <v>Burt Young</v>
      </c>
      <c r="AE580" s="11"/>
    </row>
    <row r="581" customHeight="1" spans="1:31">
      <c r="A581" s="12" t="s">
        <v>30</v>
      </c>
      <c r="B581" s="12" t="s">
        <v>913</v>
      </c>
      <c r="C581" s="12">
        <v>261</v>
      </c>
      <c r="D581" s="12">
        <v>108</v>
      </c>
      <c r="E581" s="12">
        <v>0</v>
      </c>
      <c r="F581" s="12">
        <v>882</v>
      </c>
      <c r="G581" s="12">
        <v>3000</v>
      </c>
      <c r="H581" s="12">
        <v>114195633</v>
      </c>
      <c r="I581" s="12" t="s">
        <v>3278</v>
      </c>
      <c r="J581" s="12" t="s">
        <v>235</v>
      </c>
      <c r="K581" s="12" t="s">
        <v>236</v>
      </c>
      <c r="L581" s="12" t="s">
        <v>191</v>
      </c>
      <c r="M581" s="12" t="s">
        <v>3279</v>
      </c>
      <c r="N581" s="12">
        <v>193770</v>
      </c>
      <c r="O581" s="12">
        <v>7273</v>
      </c>
      <c r="P581" s="12">
        <v>0</v>
      </c>
      <c r="Q581" s="12" t="s">
        <v>3280</v>
      </c>
      <c r="R581" s="15" t="s">
        <v>3281</v>
      </c>
      <c r="S581" s="12">
        <v>2003</v>
      </c>
      <c r="T581" s="12" t="s">
        <v>39</v>
      </c>
      <c r="U581" s="12" t="s">
        <v>40</v>
      </c>
      <c r="V581" s="12" t="s">
        <v>41</v>
      </c>
      <c r="W581" s="12">
        <v>60000000</v>
      </c>
      <c r="X581" s="12">
        <v>2004</v>
      </c>
      <c r="Y581" s="12">
        <v>2000</v>
      </c>
      <c r="Z581" s="12">
        <v>6.5</v>
      </c>
      <c r="AA581" s="12">
        <v>1.85</v>
      </c>
      <c r="AB581" s="12">
        <v>0</v>
      </c>
      <c r="AC581" s="12"/>
      <c r="AD581" s="12" t="str">
        <f>IFERROR(__xludf.DUMMYFUNCTION("""COMPUTED_VALUE"""),"Sean Huze")</f>
        <v>Sean Huze</v>
      </c>
      <c r="AE581" s="12"/>
    </row>
    <row r="582" customHeight="1" spans="1:31">
      <c r="A582" s="11" t="s">
        <v>30</v>
      </c>
      <c r="B582" s="11" t="s">
        <v>3282</v>
      </c>
      <c r="C582" s="11">
        <v>73</v>
      </c>
      <c r="D582" s="11">
        <v>85</v>
      </c>
      <c r="E582" s="11">
        <v>84</v>
      </c>
      <c r="F582" s="11">
        <v>595</v>
      </c>
      <c r="G582" s="11">
        <v>1000</v>
      </c>
      <c r="H582" s="11">
        <v>144156464</v>
      </c>
      <c r="I582" s="11" t="s">
        <v>516</v>
      </c>
      <c r="J582" s="11" t="s">
        <v>430</v>
      </c>
      <c r="K582" s="11" t="s">
        <v>3235</v>
      </c>
      <c r="L582" s="11" t="s">
        <v>3283</v>
      </c>
      <c r="M582" s="11" t="s">
        <v>3284</v>
      </c>
      <c r="N582" s="11">
        <v>74343</v>
      </c>
      <c r="O582" s="11">
        <v>4166</v>
      </c>
      <c r="P582" s="11">
        <v>0</v>
      </c>
      <c r="Q582" s="11" t="s">
        <v>3285</v>
      </c>
      <c r="R582" s="14" t="s">
        <v>3286</v>
      </c>
      <c r="S582" s="11">
        <v>98</v>
      </c>
      <c r="T582" s="11" t="s">
        <v>39</v>
      </c>
      <c r="U582" s="11" t="s">
        <v>40</v>
      </c>
      <c r="V582" s="11" t="s">
        <v>41</v>
      </c>
      <c r="W582" s="11">
        <v>71500000</v>
      </c>
      <c r="X582" s="11">
        <v>1998</v>
      </c>
      <c r="Y582" s="11">
        <v>1000</v>
      </c>
      <c r="Z582" s="11">
        <v>5.3</v>
      </c>
      <c r="AA582" s="11">
        <v>1.85</v>
      </c>
      <c r="AB582" s="11">
        <v>694</v>
      </c>
      <c r="AC582" s="11"/>
      <c r="AD582" s="11" t="str">
        <f>IFERROR(__xludf.DUMMYFUNCTION("""COMPUTED_VALUE"""),"Igal Naor")</f>
        <v>Igal Naor</v>
      </c>
      <c r="AE582" s="11"/>
    </row>
    <row r="583" customHeight="1" spans="1:31">
      <c r="A583" s="12" t="s">
        <v>30</v>
      </c>
      <c r="B583" s="12" t="s">
        <v>913</v>
      </c>
      <c r="C583" s="12">
        <v>208</v>
      </c>
      <c r="D583" s="12">
        <v>106</v>
      </c>
      <c r="E583" s="12">
        <v>0</v>
      </c>
      <c r="F583" s="12">
        <v>242</v>
      </c>
      <c r="G583" s="12">
        <v>710</v>
      </c>
      <c r="H583" s="12">
        <v>227965690</v>
      </c>
      <c r="I583" s="12" t="s">
        <v>2684</v>
      </c>
      <c r="J583" s="12" t="s">
        <v>3287</v>
      </c>
      <c r="K583" s="12" t="s">
        <v>3288</v>
      </c>
      <c r="L583" s="12" t="s">
        <v>3289</v>
      </c>
      <c r="M583" s="12" t="s">
        <v>3290</v>
      </c>
      <c r="N583" s="12">
        <v>271592</v>
      </c>
      <c r="O583" s="12">
        <v>1675</v>
      </c>
      <c r="P583" s="12">
        <v>0</v>
      </c>
      <c r="Q583" s="12" t="s">
        <v>3291</v>
      </c>
      <c r="R583" s="15" t="s">
        <v>3292</v>
      </c>
      <c r="S583" s="12">
        <v>2335</v>
      </c>
      <c r="T583" s="12" t="s">
        <v>39</v>
      </c>
      <c r="U583" s="12" t="s">
        <v>40</v>
      </c>
      <c r="V583" s="12" t="s">
        <v>41</v>
      </c>
      <c r="W583" s="12">
        <v>72000000</v>
      </c>
      <c r="X583" s="12">
        <v>2002</v>
      </c>
      <c r="Y583" s="12">
        <v>529</v>
      </c>
      <c r="Z583" s="12">
        <v>6.7</v>
      </c>
      <c r="AA583" s="12">
        <v>1.85</v>
      </c>
      <c r="AB583" s="12">
        <v>0</v>
      </c>
      <c r="AC583" s="12"/>
      <c r="AD583" s="12" t="str">
        <f>IFERROR(__xludf.DUMMYFUNCTION("""COMPUTED_VALUE"""),"Francesca Capaldi")</f>
        <v>Francesca Capaldi</v>
      </c>
      <c r="AE583" s="12"/>
    </row>
    <row r="584" customHeight="1" spans="1:31">
      <c r="A584" s="11" t="s">
        <v>30</v>
      </c>
      <c r="B584" s="11" t="s">
        <v>147</v>
      </c>
      <c r="C584" s="11">
        <v>205</v>
      </c>
      <c r="D584" s="11">
        <v>93</v>
      </c>
      <c r="E584" s="11">
        <v>80</v>
      </c>
      <c r="F584" s="11">
        <v>48</v>
      </c>
      <c r="G584" s="11">
        <v>692</v>
      </c>
      <c r="H584" s="11">
        <v>436471036</v>
      </c>
      <c r="I584" s="11" t="s">
        <v>3293</v>
      </c>
      <c r="J584" s="11" t="s">
        <v>725</v>
      </c>
      <c r="K584" s="11" t="s">
        <v>3294</v>
      </c>
      <c r="L584" s="11" t="s">
        <v>3295</v>
      </c>
      <c r="M584" s="11" t="s">
        <v>3296</v>
      </c>
      <c r="N584" s="11">
        <v>314630</v>
      </c>
      <c r="O584" s="11">
        <v>1148</v>
      </c>
      <c r="P584" s="11">
        <v>1</v>
      </c>
      <c r="Q584" s="11" t="s">
        <v>3297</v>
      </c>
      <c r="R584" s="14" t="s">
        <v>3298</v>
      </c>
      <c r="S584" s="11">
        <v>483</v>
      </c>
      <c r="T584" s="11" t="s">
        <v>39</v>
      </c>
      <c r="U584" s="11" t="s">
        <v>40</v>
      </c>
      <c r="V584" s="11" t="s">
        <v>96</v>
      </c>
      <c r="W584" s="11">
        <v>150000000</v>
      </c>
      <c r="X584" s="11">
        <v>2004</v>
      </c>
      <c r="Y584" s="11">
        <v>309</v>
      </c>
      <c r="Z584" s="11">
        <v>7.2</v>
      </c>
      <c r="AA584" s="11">
        <v>1.85</v>
      </c>
      <c r="AB584" s="11">
        <v>0</v>
      </c>
      <c r="AC584" s="11"/>
      <c r="AD584" s="11" t="str">
        <f>IFERROR(__xludf.DUMMYFUNCTION("""COMPUTED_VALUE"""),"Venus Schultheis")</f>
        <v>Venus Schultheis</v>
      </c>
      <c r="AE584" s="11"/>
    </row>
    <row r="585" customHeight="1" spans="1:31">
      <c r="A585" s="12" t="s">
        <v>30</v>
      </c>
      <c r="B585" s="12" t="s">
        <v>307</v>
      </c>
      <c r="C585" s="12">
        <v>256</v>
      </c>
      <c r="D585" s="12">
        <v>117</v>
      </c>
      <c r="E585" s="12">
        <v>487</v>
      </c>
      <c r="F585" s="12">
        <v>769</v>
      </c>
      <c r="G585" s="12">
        <v>1000</v>
      </c>
      <c r="H585" s="12">
        <v>244052771</v>
      </c>
      <c r="I585" s="12" t="s">
        <v>308</v>
      </c>
      <c r="J585" s="12" t="s">
        <v>323</v>
      </c>
      <c r="K585" s="12" t="s">
        <v>3299</v>
      </c>
      <c r="L585" s="12" t="s">
        <v>3300</v>
      </c>
      <c r="M585" s="12" t="s">
        <v>3301</v>
      </c>
      <c r="N585" s="12">
        <v>263853</v>
      </c>
      <c r="O585" s="12">
        <v>4905</v>
      </c>
      <c r="P585" s="12">
        <v>0</v>
      </c>
      <c r="Q585" s="12" t="s">
        <v>3302</v>
      </c>
      <c r="R585" s="15" t="s">
        <v>3303</v>
      </c>
      <c r="S585" s="12">
        <v>584</v>
      </c>
      <c r="T585" s="12" t="s">
        <v>39</v>
      </c>
      <c r="U585" s="12" t="s">
        <v>40</v>
      </c>
      <c r="V585" s="12" t="s">
        <v>278</v>
      </c>
      <c r="W585" s="12">
        <v>120000000</v>
      </c>
      <c r="X585" s="12">
        <v>2006</v>
      </c>
      <c r="Y585" s="12">
        <v>843</v>
      </c>
      <c r="Z585" s="12">
        <v>7.2</v>
      </c>
      <c r="AA585" s="12">
        <v>2.35</v>
      </c>
      <c r="AB585" s="12">
        <v>0</v>
      </c>
      <c r="AC585" s="12"/>
      <c r="AD585" s="12" t="str">
        <f>IFERROR(__xludf.DUMMYFUNCTION("""COMPUTED_VALUE"""),"Bill Melendez")</f>
        <v>Bill Melendez</v>
      </c>
      <c r="AE585" s="12"/>
    </row>
    <row r="586" customHeight="1" spans="1:31">
      <c r="A586" s="11" t="s">
        <v>30</v>
      </c>
      <c r="B586" s="11" t="s">
        <v>3304</v>
      </c>
      <c r="C586" s="11">
        <v>103</v>
      </c>
      <c r="D586" s="11">
        <v>116</v>
      </c>
      <c r="E586" s="11">
        <v>0</v>
      </c>
      <c r="F586" s="11">
        <v>995</v>
      </c>
      <c r="G586" s="11">
        <v>8000</v>
      </c>
      <c r="H586" s="11">
        <v>152149590</v>
      </c>
      <c r="I586" s="11" t="s">
        <v>1681</v>
      </c>
      <c r="J586" s="11" t="s">
        <v>1529</v>
      </c>
      <c r="K586" s="11" t="s">
        <v>142</v>
      </c>
      <c r="L586" s="11" t="s">
        <v>3305</v>
      </c>
      <c r="M586" s="11" t="s">
        <v>3306</v>
      </c>
      <c r="N586" s="11">
        <v>74274</v>
      </c>
      <c r="O586" s="11">
        <v>12790</v>
      </c>
      <c r="P586" s="11">
        <v>2</v>
      </c>
      <c r="Q586" s="11" t="s">
        <v>3307</v>
      </c>
      <c r="R586" s="14" t="s">
        <v>3308</v>
      </c>
      <c r="S586" s="11">
        <v>255</v>
      </c>
      <c r="T586" s="11" t="s">
        <v>39</v>
      </c>
      <c r="U586" s="11" t="s">
        <v>40</v>
      </c>
      <c r="V586" s="11" t="s">
        <v>96</v>
      </c>
      <c r="W586" s="11">
        <v>70000000</v>
      </c>
      <c r="X586" s="11">
        <v>1999</v>
      </c>
      <c r="Y586" s="11">
        <v>3000</v>
      </c>
      <c r="Z586" s="11">
        <v>5.5</v>
      </c>
      <c r="AA586" s="11">
        <v>2.35</v>
      </c>
      <c r="AB586" s="11">
        <v>0</v>
      </c>
      <c r="AC586" s="11"/>
      <c r="AD586" s="11" t="str">
        <f>IFERROR(__xludf.DUMMYFUNCTION("""COMPUTED_VALUE"""),"Ben Gazzara")</f>
        <v>Ben Gazzara</v>
      </c>
      <c r="AE586" s="11"/>
    </row>
    <row r="587" customHeight="1" spans="1:31">
      <c r="A587" s="12" t="s">
        <v>30</v>
      </c>
      <c r="B587" s="12" t="s">
        <v>500</v>
      </c>
      <c r="C587" s="12">
        <v>191</v>
      </c>
      <c r="D587" s="12">
        <v>132</v>
      </c>
      <c r="E587" s="12">
        <v>357</v>
      </c>
      <c r="F587" s="12">
        <v>212</v>
      </c>
      <c r="G587" s="12">
        <v>14000</v>
      </c>
      <c r="H587" s="12">
        <v>141204016</v>
      </c>
      <c r="I587" s="12" t="s">
        <v>51</v>
      </c>
      <c r="J587" s="12" t="s">
        <v>337</v>
      </c>
      <c r="K587" s="12" t="s">
        <v>3309</v>
      </c>
      <c r="L587" s="12" t="s">
        <v>3310</v>
      </c>
      <c r="M587" s="12" t="s">
        <v>3311</v>
      </c>
      <c r="N587" s="12">
        <v>142569</v>
      </c>
      <c r="O587" s="12">
        <v>14790</v>
      </c>
      <c r="P587" s="12">
        <v>0</v>
      </c>
      <c r="Q587" s="12" t="s">
        <v>3312</v>
      </c>
      <c r="R587" s="15" t="s">
        <v>3313</v>
      </c>
      <c r="S587" s="12">
        <v>737</v>
      </c>
      <c r="T587" s="12" t="s">
        <v>39</v>
      </c>
      <c r="U587" s="12" t="s">
        <v>40</v>
      </c>
      <c r="V587" s="12" t="s">
        <v>41</v>
      </c>
      <c r="W587" s="12">
        <v>70000000</v>
      </c>
      <c r="X587" s="12">
        <v>2002</v>
      </c>
      <c r="Y587" s="12">
        <v>223</v>
      </c>
      <c r="Z587" s="12">
        <v>5.8</v>
      </c>
      <c r="AA587" s="12">
        <v>2.35</v>
      </c>
      <c r="AB587" s="12">
        <v>10000</v>
      </c>
      <c r="AC587" s="12"/>
      <c r="AD587" s="12" t="str">
        <f>IFERROR(__xludf.DUMMYFUNCTION("""COMPUTED_VALUE"""),"Felicity Huffman")</f>
        <v>Felicity Huffman</v>
      </c>
      <c r="AE587" s="12"/>
    </row>
    <row r="588" customHeight="1" spans="1:31">
      <c r="A588" s="11" t="s">
        <v>30</v>
      </c>
      <c r="B588" s="11" t="s">
        <v>3314</v>
      </c>
      <c r="C588" s="11">
        <v>147</v>
      </c>
      <c r="D588" s="11">
        <v>92</v>
      </c>
      <c r="E588" s="11">
        <v>5</v>
      </c>
      <c r="F588" s="11">
        <v>726</v>
      </c>
      <c r="G588" s="11">
        <v>870</v>
      </c>
      <c r="H588" s="11">
        <v>162495848</v>
      </c>
      <c r="I588" s="11" t="s">
        <v>271</v>
      </c>
      <c r="J588" s="11" t="s">
        <v>3315</v>
      </c>
      <c r="K588" s="11" t="s">
        <v>3316</v>
      </c>
      <c r="L588" s="11" t="s">
        <v>629</v>
      </c>
      <c r="M588" s="11" t="s">
        <v>3317</v>
      </c>
      <c r="N588" s="11">
        <v>34359</v>
      </c>
      <c r="O588" s="11">
        <v>5217</v>
      </c>
      <c r="P588" s="11">
        <v>0</v>
      </c>
      <c r="Q588" s="11" t="s">
        <v>3318</v>
      </c>
      <c r="R588" s="14" t="s">
        <v>3319</v>
      </c>
      <c r="S588" s="11">
        <v>133</v>
      </c>
      <c r="T588" s="11" t="s">
        <v>39</v>
      </c>
      <c r="U588" s="11" t="s">
        <v>40</v>
      </c>
      <c r="V588" s="11" t="s">
        <v>96</v>
      </c>
      <c r="W588" s="11">
        <v>74000000</v>
      </c>
      <c r="X588" s="11">
        <v>2015</v>
      </c>
      <c r="Y588" s="11">
        <v>861</v>
      </c>
      <c r="Z588" s="11">
        <v>6</v>
      </c>
      <c r="AA588" s="11">
        <v>1.85</v>
      </c>
      <c r="AB588" s="11">
        <v>16000</v>
      </c>
      <c r="AC588" s="11"/>
      <c r="AD588" s="11" t="str">
        <f>IFERROR(__xludf.DUMMYFUNCTION("""COMPUTED_VALUE"""),"Campbell Scott")</f>
        <v>Campbell Scott</v>
      </c>
      <c r="AE588" s="11"/>
    </row>
    <row r="589" customHeight="1" spans="1:31">
      <c r="A589" s="12" t="s">
        <v>30</v>
      </c>
      <c r="B589" s="12" t="s">
        <v>851</v>
      </c>
      <c r="C589" s="12">
        <v>79</v>
      </c>
      <c r="D589" s="12">
        <v>139</v>
      </c>
      <c r="E589" s="12">
        <v>2000</v>
      </c>
      <c r="F589" s="12">
        <v>808</v>
      </c>
      <c r="G589" s="12">
        <v>960</v>
      </c>
      <c r="H589" s="12">
        <v>136448821</v>
      </c>
      <c r="I589" s="12" t="s">
        <v>1528</v>
      </c>
      <c r="J589" s="12" t="s">
        <v>2665</v>
      </c>
      <c r="K589" s="12" t="s">
        <v>472</v>
      </c>
      <c r="L589" s="12" t="s">
        <v>1060</v>
      </c>
      <c r="M589" s="12" t="s">
        <v>3320</v>
      </c>
      <c r="N589" s="12">
        <v>98989</v>
      </c>
      <c r="O589" s="12">
        <v>3667</v>
      </c>
      <c r="P589" s="12">
        <v>1</v>
      </c>
      <c r="Q589" s="12" t="s">
        <v>3321</v>
      </c>
      <c r="R589" s="15" t="s">
        <v>3322</v>
      </c>
      <c r="S589" s="12">
        <v>158</v>
      </c>
      <c r="T589" s="12" t="s">
        <v>39</v>
      </c>
      <c r="U589" s="12" t="s">
        <v>40</v>
      </c>
      <c r="V589" s="12" t="s">
        <v>586</v>
      </c>
      <c r="W589" s="12">
        <v>80000000</v>
      </c>
      <c r="X589" s="12">
        <v>1996</v>
      </c>
      <c r="Y589" s="12">
        <v>848</v>
      </c>
      <c r="Z589" s="12">
        <v>6.6</v>
      </c>
      <c r="AA589" s="12">
        <v>1.85</v>
      </c>
      <c r="AB589" s="12">
        <v>1000</v>
      </c>
      <c r="AC589" s="12"/>
      <c r="AD589" s="12" t="str">
        <f>IFERROR(__xludf.DUMMYFUNCTION("""COMPUTED_VALUE"""),"Patricia Velasquez")</f>
        <v>Patricia Velasquez</v>
      </c>
      <c r="AE589" s="12"/>
    </row>
    <row r="590" customHeight="1" spans="1:31">
      <c r="A590" s="11" t="s">
        <v>30</v>
      </c>
      <c r="B590" s="11" t="s">
        <v>1765</v>
      </c>
      <c r="C590" s="11">
        <v>486</v>
      </c>
      <c r="D590" s="11">
        <v>153</v>
      </c>
      <c r="E590" s="11">
        <v>16000</v>
      </c>
      <c r="F590" s="11">
        <v>11000</v>
      </c>
      <c r="G590" s="11">
        <v>13000</v>
      </c>
      <c r="H590" s="11">
        <v>120523073</v>
      </c>
      <c r="I590" s="11" t="s">
        <v>3323</v>
      </c>
      <c r="J590" s="11" t="s">
        <v>459</v>
      </c>
      <c r="K590" s="11" t="s">
        <v>343</v>
      </c>
      <c r="L590" s="11" t="s">
        <v>52</v>
      </c>
      <c r="M590" s="11" t="s">
        <v>3324</v>
      </c>
      <c r="N590" s="11">
        <v>885175</v>
      </c>
      <c r="O590" s="11">
        <v>36741</v>
      </c>
      <c r="P590" s="11">
        <v>1</v>
      </c>
      <c r="Q590" s="11" t="s">
        <v>3325</v>
      </c>
      <c r="R590" s="14" t="s">
        <v>3326</v>
      </c>
      <c r="S590" s="11">
        <v>1527</v>
      </c>
      <c r="T590" s="11" t="s">
        <v>39</v>
      </c>
      <c r="U590" s="11" t="s">
        <v>40</v>
      </c>
      <c r="V590" s="11" t="s">
        <v>586</v>
      </c>
      <c r="W590" s="11">
        <v>75000000</v>
      </c>
      <c r="X590" s="11">
        <v>2009</v>
      </c>
      <c r="Y590" s="11">
        <v>11000</v>
      </c>
      <c r="Z590" s="11">
        <v>8.3</v>
      </c>
      <c r="AA590" s="11">
        <v>2.35</v>
      </c>
      <c r="AB590" s="11">
        <v>42000</v>
      </c>
      <c r="AC590" s="11"/>
      <c r="AD590" s="11" t="str">
        <f>IFERROR(__xludf.DUMMYFUNCTION("""COMPUTED_VALUE"""),"Ni Ni")</f>
        <v>Ni Ni</v>
      </c>
      <c r="AE590" s="11"/>
    </row>
    <row r="591" customHeight="1" spans="1:31">
      <c r="A591" s="12" t="s">
        <v>30</v>
      </c>
      <c r="B591" s="12" t="s">
        <v>390</v>
      </c>
      <c r="C591" s="12">
        <v>75</v>
      </c>
      <c r="D591" s="12">
        <v>142</v>
      </c>
      <c r="E591" s="12">
        <v>14000</v>
      </c>
      <c r="F591" s="12">
        <v>5000</v>
      </c>
      <c r="G591" s="12">
        <v>49000</v>
      </c>
      <c r="H591" s="12">
        <v>119654900</v>
      </c>
      <c r="I591" s="12" t="s">
        <v>788</v>
      </c>
      <c r="J591" s="12" t="s">
        <v>811</v>
      </c>
      <c r="K591" s="12" t="s">
        <v>1529</v>
      </c>
      <c r="L591" s="12" t="s">
        <v>2398</v>
      </c>
      <c r="M591" s="12" t="s">
        <v>3327</v>
      </c>
      <c r="N591" s="12">
        <v>182802</v>
      </c>
      <c r="O591" s="12">
        <v>64259</v>
      </c>
      <c r="P591" s="12">
        <v>1</v>
      </c>
      <c r="Q591" s="12" t="s">
        <v>3328</v>
      </c>
      <c r="R591" s="15" t="s">
        <v>3329</v>
      </c>
      <c r="S591" s="12">
        <v>363</v>
      </c>
      <c r="T591" s="12" t="s">
        <v>39</v>
      </c>
      <c r="U591" s="12" t="s">
        <v>40</v>
      </c>
      <c r="V591" s="12" t="s">
        <v>96</v>
      </c>
      <c r="W591" s="12">
        <v>70000000</v>
      </c>
      <c r="X591" s="12">
        <v>1991</v>
      </c>
      <c r="Y591" s="12">
        <v>8000</v>
      </c>
      <c r="Z591" s="12">
        <v>6.7</v>
      </c>
      <c r="AA591" s="12">
        <v>2.35</v>
      </c>
      <c r="AB591" s="12">
        <v>13000</v>
      </c>
      <c r="AC591" s="12"/>
      <c r="AD591" s="12" t="str">
        <f>IFERROR(__xludf.DUMMYFUNCTION("""COMPUTED_VALUE"""),"Shigeo Kobayashi")</f>
        <v>Shigeo Kobayashi</v>
      </c>
      <c r="AE591" s="12"/>
    </row>
    <row r="592" customHeight="1" spans="1:31">
      <c r="A592" s="11" t="s">
        <v>30</v>
      </c>
      <c r="B592" s="11" t="s">
        <v>261</v>
      </c>
      <c r="C592" s="11">
        <v>245</v>
      </c>
      <c r="D592" s="11">
        <v>101</v>
      </c>
      <c r="E592" s="11">
        <v>420</v>
      </c>
      <c r="F592" s="11">
        <v>467</v>
      </c>
      <c r="G592" s="11">
        <v>12000</v>
      </c>
      <c r="H592" s="11">
        <v>72660029</v>
      </c>
      <c r="I592" s="11" t="s">
        <v>127</v>
      </c>
      <c r="J592" s="11" t="s">
        <v>1073</v>
      </c>
      <c r="K592" s="11" t="s">
        <v>1816</v>
      </c>
      <c r="L592" s="11" t="s">
        <v>1866</v>
      </c>
      <c r="M592" s="11" t="s">
        <v>1867</v>
      </c>
      <c r="N592" s="11">
        <v>115687</v>
      </c>
      <c r="O592" s="11">
        <v>16235</v>
      </c>
      <c r="P592" s="11">
        <v>0</v>
      </c>
      <c r="Q592" s="11" t="s">
        <v>1868</v>
      </c>
      <c r="R592" s="14" t="s">
        <v>1869</v>
      </c>
      <c r="S592" s="11">
        <v>269</v>
      </c>
      <c r="T592" s="11" t="s">
        <v>39</v>
      </c>
      <c r="U592" s="11" t="s">
        <v>40</v>
      </c>
      <c r="V592" s="11" t="s">
        <v>41</v>
      </c>
      <c r="W592" s="11">
        <v>100000000</v>
      </c>
      <c r="X592" s="11">
        <v>2014</v>
      </c>
      <c r="Y592" s="11">
        <v>3000</v>
      </c>
      <c r="Z592" s="11">
        <v>6</v>
      </c>
      <c r="AA592" s="11">
        <v>2.35</v>
      </c>
      <c r="AB592" s="11">
        <v>21000</v>
      </c>
      <c r="AC592" s="11"/>
      <c r="AD592" s="11" t="str">
        <f>IFERROR(__xludf.DUMMYFUNCTION("""COMPUTED_VALUE"""),"Zooey Deschanel")</f>
        <v>Zooey Deschanel</v>
      </c>
      <c r="AE592" s="11"/>
    </row>
    <row r="593" customHeight="1" spans="1:31">
      <c r="A593" s="12" t="s">
        <v>30</v>
      </c>
      <c r="B593" s="12" t="s">
        <v>2067</v>
      </c>
      <c r="C593" s="12">
        <v>142</v>
      </c>
      <c r="D593" s="12">
        <v>124</v>
      </c>
      <c r="E593" s="12">
        <v>212</v>
      </c>
      <c r="F593" s="12">
        <v>576</v>
      </c>
      <c r="G593" s="12">
        <v>13000</v>
      </c>
      <c r="H593" s="12">
        <v>117541000</v>
      </c>
      <c r="I593" s="12" t="s">
        <v>60</v>
      </c>
      <c r="J593" s="12" t="s">
        <v>978</v>
      </c>
      <c r="K593" s="12" t="s">
        <v>3330</v>
      </c>
      <c r="L593" s="12" t="s">
        <v>3331</v>
      </c>
      <c r="M593" s="12" t="s">
        <v>3332</v>
      </c>
      <c r="N593" s="12">
        <v>269858</v>
      </c>
      <c r="O593" s="12">
        <v>16595</v>
      </c>
      <c r="P593" s="12">
        <v>0</v>
      </c>
      <c r="Q593" s="12" t="s">
        <v>3333</v>
      </c>
      <c r="R593" s="15" t="s">
        <v>3334</v>
      </c>
      <c r="S593" s="12">
        <v>316</v>
      </c>
      <c r="T593" s="12" t="s">
        <v>39</v>
      </c>
      <c r="U593" s="12" t="s">
        <v>40</v>
      </c>
      <c r="V593" s="12" t="s">
        <v>586</v>
      </c>
      <c r="W593" s="12">
        <v>70000000</v>
      </c>
      <c r="X593" s="12">
        <v>1990</v>
      </c>
      <c r="Y593" s="12">
        <v>982</v>
      </c>
      <c r="Z593" s="12">
        <v>7.1</v>
      </c>
      <c r="AA593" s="12">
        <v>2.35</v>
      </c>
      <c r="AB593" s="12">
        <v>0</v>
      </c>
      <c r="AC593" s="12"/>
      <c r="AD593" s="12" t="str">
        <f>IFERROR(__xludf.DUMMYFUNCTION("""COMPUTED_VALUE"""),"Jon Heder")</f>
        <v>Jon Heder</v>
      </c>
      <c r="AE593" s="12"/>
    </row>
    <row r="594" customHeight="1" spans="1:31">
      <c r="A594" s="11" t="s">
        <v>30</v>
      </c>
      <c r="B594" s="11" t="s">
        <v>3335</v>
      </c>
      <c r="C594" s="11">
        <v>144</v>
      </c>
      <c r="D594" s="11">
        <v>117</v>
      </c>
      <c r="E594" s="11">
        <v>69</v>
      </c>
      <c r="F594" s="11">
        <v>1000</v>
      </c>
      <c r="G594" s="11">
        <v>10000</v>
      </c>
      <c r="H594" s="11">
        <v>116643346</v>
      </c>
      <c r="I594" s="11" t="s">
        <v>3336</v>
      </c>
      <c r="J594" s="11" t="s">
        <v>888</v>
      </c>
      <c r="K594" s="11" t="s">
        <v>3337</v>
      </c>
      <c r="L594" s="11" t="s">
        <v>2121</v>
      </c>
      <c r="M594" s="11" t="s">
        <v>3338</v>
      </c>
      <c r="N594" s="11">
        <v>119807</v>
      </c>
      <c r="O594" s="11">
        <v>14486</v>
      </c>
      <c r="P594" s="11">
        <v>1</v>
      </c>
      <c r="Q594" s="11" t="s">
        <v>3339</v>
      </c>
      <c r="R594" s="14" t="s">
        <v>3340</v>
      </c>
      <c r="S594" s="11">
        <v>340</v>
      </c>
      <c r="T594" s="11" t="s">
        <v>39</v>
      </c>
      <c r="U594" s="11" t="s">
        <v>40</v>
      </c>
      <c r="V594" s="11" t="s">
        <v>41</v>
      </c>
      <c r="W594" s="11">
        <v>80000000</v>
      </c>
      <c r="X594" s="11">
        <v>2003</v>
      </c>
      <c r="Y594" s="11">
        <v>1000</v>
      </c>
      <c r="Z594" s="11">
        <v>6</v>
      </c>
      <c r="AA594" s="11">
        <v>2.35</v>
      </c>
      <c r="AB594" s="11">
        <v>0</v>
      </c>
      <c r="AC594" s="11"/>
      <c r="AD594" s="11" t="str">
        <f>IFERROR(__xludf.DUMMYFUNCTION("""COMPUTED_VALUE"""),"Jon Lovitz")</f>
        <v>Jon Lovitz</v>
      </c>
      <c r="AE594" s="11"/>
    </row>
    <row r="595" customHeight="1" spans="1:31">
      <c r="A595" s="12" t="s">
        <v>30</v>
      </c>
      <c r="B595" s="16"/>
      <c r="C595" s="12">
        <v>39</v>
      </c>
      <c r="D595" s="12">
        <v>45</v>
      </c>
      <c r="E595" s="16"/>
      <c r="F595" s="12">
        <v>160</v>
      </c>
      <c r="G595" s="12">
        <v>898</v>
      </c>
      <c r="H595" s="16"/>
      <c r="I595" s="12" t="s">
        <v>3341</v>
      </c>
      <c r="J595" s="12" t="s">
        <v>3342</v>
      </c>
      <c r="K595" s="12" t="s">
        <v>3343</v>
      </c>
      <c r="L595" s="12" t="s">
        <v>3344</v>
      </c>
      <c r="M595" s="12" t="s">
        <v>3345</v>
      </c>
      <c r="N595" s="12">
        <v>49049</v>
      </c>
      <c r="O595" s="12">
        <v>1430</v>
      </c>
      <c r="P595" s="12">
        <v>0</v>
      </c>
      <c r="Q595" s="12" t="s">
        <v>3346</v>
      </c>
      <c r="R595" s="15" t="s">
        <v>3347</v>
      </c>
      <c r="S595" s="12">
        <v>110</v>
      </c>
      <c r="T595" s="12" t="s">
        <v>39</v>
      </c>
      <c r="U595" s="12" t="s">
        <v>40</v>
      </c>
      <c r="V595" s="12" t="s">
        <v>1127</v>
      </c>
      <c r="W595" s="16"/>
      <c r="X595" s="16"/>
      <c r="Y595" s="12">
        <v>372</v>
      </c>
      <c r="Z595" s="12">
        <v>7.5</v>
      </c>
      <c r="AA595" s="12">
        <v>16</v>
      </c>
      <c r="AB595" s="12">
        <v>14000</v>
      </c>
      <c r="AC595" s="12"/>
      <c r="AD595" s="12" t="str">
        <f>IFERROR(__xludf.DUMMYFUNCTION("""COMPUTED_VALUE"""),"Roger Bart")</f>
        <v>Roger Bart</v>
      </c>
      <c r="AE595" s="12"/>
    </row>
    <row r="596" customHeight="1" spans="1:31">
      <c r="A596" s="11" t="s">
        <v>30</v>
      </c>
      <c r="B596" s="11" t="s">
        <v>3348</v>
      </c>
      <c r="C596" s="11">
        <v>153</v>
      </c>
      <c r="D596" s="11">
        <v>141</v>
      </c>
      <c r="E596" s="11">
        <v>488</v>
      </c>
      <c r="F596" s="11">
        <v>509</v>
      </c>
      <c r="G596" s="11">
        <v>10000</v>
      </c>
      <c r="H596" s="11">
        <v>100614858</v>
      </c>
      <c r="I596" s="11" t="s">
        <v>3349</v>
      </c>
      <c r="J596" s="11" t="s">
        <v>523</v>
      </c>
      <c r="K596" s="11" t="s">
        <v>1708</v>
      </c>
      <c r="L596" s="11" t="s">
        <v>525</v>
      </c>
      <c r="M596" s="11" t="s">
        <v>3350</v>
      </c>
      <c r="N596" s="11">
        <v>206776</v>
      </c>
      <c r="O596" s="11">
        <v>11458</v>
      </c>
      <c r="P596" s="11">
        <v>1</v>
      </c>
      <c r="Q596" s="11" t="s">
        <v>3351</v>
      </c>
      <c r="R596" s="14" t="s">
        <v>3352</v>
      </c>
      <c r="S596" s="11">
        <v>1248</v>
      </c>
      <c r="T596" s="11" t="s">
        <v>39</v>
      </c>
      <c r="U596" s="11" t="s">
        <v>40</v>
      </c>
      <c r="V596" s="11" t="s">
        <v>586</v>
      </c>
      <c r="W596" s="11">
        <v>68000000</v>
      </c>
      <c r="X596" s="11">
        <v>2001</v>
      </c>
      <c r="Y596" s="11">
        <v>834</v>
      </c>
      <c r="Z596" s="11">
        <v>6.9</v>
      </c>
      <c r="AA596" s="11">
        <v>1.85</v>
      </c>
      <c r="AB596" s="11">
        <v>0</v>
      </c>
      <c r="AC596" s="11"/>
      <c r="AD596" s="11" t="str">
        <f>IFERROR(__xludf.DUMMYFUNCTION("""COMPUTED_VALUE"""),"Thomas Middleditch")</f>
        <v>Thomas Middleditch</v>
      </c>
      <c r="AE596" s="11"/>
    </row>
    <row r="597" customHeight="1" spans="1:31">
      <c r="A597" s="12" t="s">
        <v>30</v>
      </c>
      <c r="B597" s="12" t="s">
        <v>913</v>
      </c>
      <c r="C597" s="12">
        <v>284</v>
      </c>
      <c r="D597" s="12">
        <v>110</v>
      </c>
      <c r="E597" s="12">
        <v>0</v>
      </c>
      <c r="F597" s="12">
        <v>559</v>
      </c>
      <c r="G597" s="12">
        <v>3000</v>
      </c>
      <c r="H597" s="12">
        <v>42272747</v>
      </c>
      <c r="I597" s="12" t="s">
        <v>3353</v>
      </c>
      <c r="J597" s="12" t="s">
        <v>235</v>
      </c>
      <c r="K597" s="12" t="s">
        <v>3354</v>
      </c>
      <c r="L597" s="12" t="s">
        <v>3355</v>
      </c>
      <c r="M597" s="12" t="s">
        <v>3356</v>
      </c>
      <c r="N597" s="12">
        <v>78635</v>
      </c>
      <c r="O597" s="12">
        <v>5609</v>
      </c>
      <c r="P597" s="12">
        <v>1</v>
      </c>
      <c r="Q597" s="12" t="s">
        <v>3357</v>
      </c>
      <c r="R597" s="15" t="s">
        <v>3358</v>
      </c>
      <c r="S597" s="12">
        <v>1040</v>
      </c>
      <c r="T597" s="12" t="s">
        <v>39</v>
      </c>
      <c r="U597" s="12" t="s">
        <v>40</v>
      </c>
      <c r="V597" s="12" t="s">
        <v>41</v>
      </c>
      <c r="W597" s="12">
        <v>70000000</v>
      </c>
      <c r="X597" s="12">
        <v>2006</v>
      </c>
      <c r="Y597" s="12">
        <v>579</v>
      </c>
      <c r="Z597" s="12">
        <v>5.6</v>
      </c>
      <c r="AA597" s="12">
        <v>1.85</v>
      </c>
      <c r="AB597" s="12">
        <v>0</v>
      </c>
      <c r="AC597" s="12"/>
      <c r="AD597" s="12" t="str">
        <f>IFERROR(__xludf.DUMMYFUNCTION("""COMPUTED_VALUE"""),"Katherine LaNasa")</f>
        <v>Katherine LaNasa</v>
      </c>
      <c r="AE597" s="12"/>
    </row>
    <row r="598" customHeight="1" spans="1:31">
      <c r="A598" s="11" t="s">
        <v>30</v>
      </c>
      <c r="B598" s="11" t="s">
        <v>2332</v>
      </c>
      <c r="C598" s="11">
        <v>247</v>
      </c>
      <c r="D598" s="11">
        <v>109</v>
      </c>
      <c r="E598" s="11">
        <v>545</v>
      </c>
      <c r="F598" s="11">
        <v>727</v>
      </c>
      <c r="G598" s="11">
        <v>886</v>
      </c>
      <c r="H598" s="11">
        <v>80281096</v>
      </c>
      <c r="I598" s="11" t="s">
        <v>2208</v>
      </c>
      <c r="J598" s="11" t="s">
        <v>2232</v>
      </c>
      <c r="K598" s="11" t="s">
        <v>965</v>
      </c>
      <c r="L598" s="11" t="s">
        <v>3359</v>
      </c>
      <c r="M598" s="11" t="s">
        <v>3360</v>
      </c>
      <c r="N598" s="11">
        <v>143628</v>
      </c>
      <c r="O598" s="11">
        <v>3222</v>
      </c>
      <c r="P598" s="11">
        <v>0</v>
      </c>
      <c r="Q598" s="11" t="s">
        <v>3361</v>
      </c>
      <c r="R598" s="14" t="s">
        <v>3362</v>
      </c>
      <c r="S598" s="11">
        <v>1283</v>
      </c>
      <c r="T598" s="11" t="s">
        <v>39</v>
      </c>
      <c r="U598" s="11" t="s">
        <v>40</v>
      </c>
      <c r="V598" s="11" t="s">
        <v>41</v>
      </c>
      <c r="W598" s="11">
        <v>60000000</v>
      </c>
      <c r="X598" s="11">
        <v>2004</v>
      </c>
      <c r="Y598" s="11">
        <v>766</v>
      </c>
      <c r="Z598" s="11">
        <v>5.6</v>
      </c>
      <c r="AA598" s="11">
        <v>2.35</v>
      </c>
      <c r="AB598" s="11">
        <v>0</v>
      </c>
      <c r="AC598" s="11"/>
      <c r="AD598" s="11" t="str">
        <f>IFERROR(__xludf.DUMMYFUNCTION("""COMPUTED_VALUE"""),"Milla Jovovich")</f>
        <v>Milla Jovovich</v>
      </c>
      <c r="AE598" s="11"/>
    </row>
    <row r="599" customHeight="1" spans="1:31">
      <c r="A599" s="12" t="s">
        <v>30</v>
      </c>
      <c r="B599" s="12" t="s">
        <v>3282</v>
      </c>
      <c r="C599" s="12">
        <v>107</v>
      </c>
      <c r="D599" s="12">
        <v>88</v>
      </c>
      <c r="E599" s="12">
        <v>84</v>
      </c>
      <c r="F599" s="12">
        <v>1000</v>
      </c>
      <c r="G599" s="12">
        <v>1000</v>
      </c>
      <c r="H599" s="12">
        <v>219613391</v>
      </c>
      <c r="I599" s="12" t="s">
        <v>3363</v>
      </c>
      <c r="J599" s="12" t="s">
        <v>479</v>
      </c>
      <c r="K599" s="12" t="s">
        <v>3364</v>
      </c>
      <c r="L599" s="12" t="s">
        <v>2171</v>
      </c>
      <c r="M599" s="12" t="s">
        <v>3365</v>
      </c>
      <c r="N599" s="12">
        <v>31649</v>
      </c>
      <c r="O599" s="12">
        <v>5227</v>
      </c>
      <c r="P599" s="12">
        <v>0</v>
      </c>
      <c r="Q599" s="12" t="s">
        <v>3366</v>
      </c>
      <c r="R599" s="15" t="s">
        <v>3367</v>
      </c>
      <c r="S599" s="12">
        <v>98</v>
      </c>
      <c r="T599" s="12" t="s">
        <v>39</v>
      </c>
      <c r="U599" s="12" t="s">
        <v>40</v>
      </c>
      <c r="V599" s="12" t="s">
        <v>96</v>
      </c>
      <c r="W599" s="12">
        <v>75000000</v>
      </c>
      <c r="X599" s="12">
        <v>2009</v>
      </c>
      <c r="Y599" s="12">
        <v>1000</v>
      </c>
      <c r="Z599" s="12">
        <v>4.5</v>
      </c>
      <c r="AA599" s="12">
        <v>1.85</v>
      </c>
      <c r="AB599" s="12">
        <v>2000</v>
      </c>
      <c r="AC599" s="12"/>
      <c r="AD599" s="12" t="str">
        <f>IFERROR(__xludf.DUMMYFUNCTION("""COMPUTED_VALUE"""),"Chris Noth")</f>
        <v>Chris Noth</v>
      </c>
      <c r="AE599" s="12"/>
    </row>
    <row r="600" customHeight="1" spans="1:31">
      <c r="A600" s="11" t="s">
        <v>30</v>
      </c>
      <c r="B600" s="11" t="s">
        <v>3368</v>
      </c>
      <c r="C600" s="11">
        <v>141</v>
      </c>
      <c r="D600" s="11">
        <v>124</v>
      </c>
      <c r="E600" s="11">
        <v>130</v>
      </c>
      <c r="F600" s="11">
        <v>841</v>
      </c>
      <c r="G600" s="11">
        <v>4000</v>
      </c>
      <c r="H600" s="11">
        <v>78120196</v>
      </c>
      <c r="I600" s="11" t="s">
        <v>1017</v>
      </c>
      <c r="J600" s="11" t="s">
        <v>599</v>
      </c>
      <c r="K600" s="11" t="s">
        <v>1424</v>
      </c>
      <c r="L600" s="11" t="s">
        <v>3369</v>
      </c>
      <c r="M600" s="11" t="s">
        <v>3370</v>
      </c>
      <c r="N600" s="11">
        <v>103241</v>
      </c>
      <c r="O600" s="11">
        <v>6181</v>
      </c>
      <c r="P600" s="11">
        <v>0</v>
      </c>
      <c r="Q600" s="11" t="s">
        <v>3371</v>
      </c>
      <c r="R600" s="14" t="s">
        <v>3372</v>
      </c>
      <c r="S600" s="11">
        <v>742</v>
      </c>
      <c r="T600" s="11" t="s">
        <v>39</v>
      </c>
      <c r="U600" s="11" t="s">
        <v>40</v>
      </c>
      <c r="V600" s="11" t="s">
        <v>586</v>
      </c>
      <c r="W600" s="11">
        <v>75000000</v>
      </c>
      <c r="X600" s="11">
        <v>2002</v>
      </c>
      <c r="Y600" s="11">
        <v>973</v>
      </c>
      <c r="Z600" s="11">
        <v>7.1</v>
      </c>
      <c r="AA600" s="11">
        <v>2.35</v>
      </c>
      <c r="AB600" s="11">
        <v>5000</v>
      </c>
      <c r="AC600" s="11"/>
      <c r="AD600" s="11" t="str">
        <f>IFERROR(__xludf.DUMMYFUNCTION("""COMPUTED_VALUE"""),"Liza Minnelli")</f>
        <v>Liza Minnelli</v>
      </c>
      <c r="AE600" s="11"/>
    </row>
    <row r="601" customHeight="1" spans="1:31">
      <c r="A601" s="12" t="s">
        <v>30</v>
      </c>
      <c r="B601" s="12" t="s">
        <v>3099</v>
      </c>
      <c r="C601" s="12">
        <v>358</v>
      </c>
      <c r="D601" s="12">
        <v>119</v>
      </c>
      <c r="E601" s="12">
        <v>845</v>
      </c>
      <c r="F601" s="12">
        <v>992</v>
      </c>
      <c r="G601" s="12">
        <v>18000</v>
      </c>
      <c r="H601" s="12">
        <v>98895417</v>
      </c>
      <c r="I601" s="12" t="s">
        <v>60</v>
      </c>
      <c r="J601" s="12" t="s">
        <v>641</v>
      </c>
      <c r="K601" s="12" t="s">
        <v>466</v>
      </c>
      <c r="L601" s="12" t="s">
        <v>3373</v>
      </c>
      <c r="M601" s="12" t="s">
        <v>3374</v>
      </c>
      <c r="N601" s="12">
        <v>203154</v>
      </c>
      <c r="O601" s="12">
        <v>31782</v>
      </c>
      <c r="P601" s="12">
        <v>3</v>
      </c>
      <c r="Q601" s="12" t="s">
        <v>3375</v>
      </c>
      <c r="R601" s="15" t="s">
        <v>3376</v>
      </c>
      <c r="S601" s="12">
        <v>698</v>
      </c>
      <c r="T601" s="12" t="s">
        <v>39</v>
      </c>
      <c r="U601" s="12" t="s">
        <v>40</v>
      </c>
      <c r="V601" s="12" t="s">
        <v>586</v>
      </c>
      <c r="W601" s="12">
        <v>70000000</v>
      </c>
      <c r="X601" s="12">
        <v>2013</v>
      </c>
      <c r="Y601" s="12">
        <v>11000</v>
      </c>
      <c r="Z601" s="12">
        <v>6.5</v>
      </c>
      <c r="AA601" s="12">
        <v>2.35</v>
      </c>
      <c r="AB601" s="12">
        <v>45000</v>
      </c>
      <c r="AC601" s="12"/>
      <c r="AD601" s="12" t="str">
        <f>IFERROR(__xludf.DUMMYFUNCTION("""COMPUTED_VALUE"""),"Kristin Davis")</f>
        <v>Kristin Davis</v>
      </c>
      <c r="AE601" s="12"/>
    </row>
    <row r="602" customHeight="1" spans="1:31">
      <c r="A602" s="11" t="s">
        <v>30</v>
      </c>
      <c r="B602" s="11" t="s">
        <v>3377</v>
      </c>
      <c r="C602" s="11">
        <v>160</v>
      </c>
      <c r="D602" s="11">
        <v>103</v>
      </c>
      <c r="E602" s="11">
        <v>906</v>
      </c>
      <c r="F602" s="11">
        <v>748</v>
      </c>
      <c r="G602" s="11">
        <v>1000</v>
      </c>
      <c r="H602" s="11">
        <v>70117571</v>
      </c>
      <c r="I602" s="11" t="s">
        <v>227</v>
      </c>
      <c r="J602" s="11" t="s">
        <v>3378</v>
      </c>
      <c r="K602" s="11" t="s">
        <v>3377</v>
      </c>
      <c r="L602" s="11" t="s">
        <v>3379</v>
      </c>
      <c r="M602" s="11" t="s">
        <v>3380</v>
      </c>
      <c r="N602" s="11">
        <v>56741</v>
      </c>
      <c r="O602" s="11">
        <v>6207</v>
      </c>
      <c r="P602" s="11">
        <v>0</v>
      </c>
      <c r="Q602" s="11" t="s">
        <v>3381</v>
      </c>
      <c r="R602" s="14" t="s">
        <v>3382</v>
      </c>
      <c r="S602" s="11">
        <v>515</v>
      </c>
      <c r="T602" s="11" t="s">
        <v>39</v>
      </c>
      <c r="U602" s="11" t="s">
        <v>40</v>
      </c>
      <c r="V602" s="11" t="s">
        <v>96</v>
      </c>
      <c r="W602" s="11">
        <v>58000000</v>
      </c>
      <c r="X602" s="11">
        <v>1998</v>
      </c>
      <c r="Y602" s="11">
        <v>906</v>
      </c>
      <c r="Z602" s="11">
        <v>6.4</v>
      </c>
      <c r="AA602" s="11">
        <v>2.35</v>
      </c>
      <c r="AB602" s="11">
        <v>1000</v>
      </c>
      <c r="AC602" s="11"/>
      <c r="AD602" s="11" t="str">
        <f>IFERROR(__xludf.DUMMYFUNCTION("""COMPUTED_VALUE"""),"Frank Welker")</f>
        <v>Frank Welker</v>
      </c>
      <c r="AE602" s="11"/>
    </row>
    <row r="603" customHeight="1" spans="1:31">
      <c r="A603" s="12" t="s">
        <v>30</v>
      </c>
      <c r="B603" s="12" t="s">
        <v>877</v>
      </c>
      <c r="C603" s="12">
        <v>355</v>
      </c>
      <c r="D603" s="12">
        <v>116</v>
      </c>
      <c r="E603" s="12">
        <v>473</v>
      </c>
      <c r="F603" s="12">
        <v>464</v>
      </c>
      <c r="G603" s="12">
        <v>833</v>
      </c>
      <c r="H603" s="12">
        <v>83552429</v>
      </c>
      <c r="I603" s="12" t="s">
        <v>648</v>
      </c>
      <c r="J603" s="12" t="s">
        <v>1477</v>
      </c>
      <c r="K603" s="12" t="s">
        <v>2695</v>
      </c>
      <c r="L603" s="12" t="s">
        <v>282</v>
      </c>
      <c r="M603" s="12" t="s">
        <v>3383</v>
      </c>
      <c r="N603" s="12">
        <v>154955</v>
      </c>
      <c r="O603" s="12">
        <v>4001</v>
      </c>
      <c r="P603" s="12">
        <v>0</v>
      </c>
      <c r="Q603" s="12" t="s">
        <v>3384</v>
      </c>
      <c r="R603" s="15" t="s">
        <v>3385</v>
      </c>
      <c r="S603" s="12">
        <v>800</v>
      </c>
      <c r="T603" s="12" t="s">
        <v>39</v>
      </c>
      <c r="U603" s="12" t="s">
        <v>40</v>
      </c>
      <c r="V603" s="12" t="s">
        <v>41</v>
      </c>
      <c r="W603" s="12">
        <v>70000000</v>
      </c>
      <c r="X603" s="12">
        <v>2011</v>
      </c>
      <c r="Y603" s="12">
        <v>697</v>
      </c>
      <c r="Z603" s="12">
        <v>5.8</v>
      </c>
      <c r="AA603" s="12">
        <v>2.35</v>
      </c>
      <c r="AB603" s="12">
        <v>25000</v>
      </c>
      <c r="AC603" s="12"/>
      <c r="AD603" s="12" t="str">
        <f>IFERROR(__xludf.DUMMYFUNCTION("""COMPUTED_VALUE"""),"Rosie Perez")</f>
        <v>Rosie Perez</v>
      </c>
      <c r="AE603" s="12"/>
    </row>
    <row r="604" customHeight="1" spans="1:31">
      <c r="A604" s="11" t="s">
        <v>30</v>
      </c>
      <c r="B604" s="11" t="s">
        <v>256</v>
      </c>
      <c r="C604" s="11">
        <v>235</v>
      </c>
      <c r="D604" s="11">
        <v>125</v>
      </c>
      <c r="E604" s="11">
        <v>13000</v>
      </c>
      <c r="F604" s="11">
        <v>883</v>
      </c>
      <c r="G604" s="11">
        <v>12000</v>
      </c>
      <c r="H604" s="11">
        <v>66257002</v>
      </c>
      <c r="I604" s="11" t="s">
        <v>1357</v>
      </c>
      <c r="J604" s="11" t="s">
        <v>272</v>
      </c>
      <c r="K604" s="11" t="s">
        <v>3386</v>
      </c>
      <c r="L604" s="11" t="s">
        <v>241</v>
      </c>
      <c r="M604" s="11" t="s">
        <v>3387</v>
      </c>
      <c r="N604" s="11">
        <v>350698</v>
      </c>
      <c r="O604" s="11">
        <v>16138</v>
      </c>
      <c r="P604" s="11">
        <v>0</v>
      </c>
      <c r="Q604" s="11" t="s">
        <v>3388</v>
      </c>
      <c r="R604" s="14" t="s">
        <v>3389</v>
      </c>
      <c r="S604" s="11">
        <v>816</v>
      </c>
      <c r="T604" s="11" t="s">
        <v>39</v>
      </c>
      <c r="U604" s="11" t="s">
        <v>40</v>
      </c>
      <c r="V604" s="11" t="s">
        <v>41</v>
      </c>
      <c r="W604" s="11">
        <v>70000000</v>
      </c>
      <c r="X604" s="11">
        <v>2003</v>
      </c>
      <c r="Y604" s="11">
        <v>1000</v>
      </c>
      <c r="Z604" s="11">
        <v>8</v>
      </c>
      <c r="AA604" s="11">
        <v>1.37</v>
      </c>
      <c r="AB604" s="11">
        <v>26000</v>
      </c>
      <c r="AC604" s="11"/>
      <c r="AD604" s="11" t="str">
        <f>IFERROR(__xludf.DUMMYFUNCTION("""COMPUTED_VALUE"""),"Elton John")</f>
        <v>Elton John</v>
      </c>
      <c r="AE604" s="11"/>
    </row>
    <row r="605" customHeight="1" spans="1:31">
      <c r="A605" s="12" t="s">
        <v>30</v>
      </c>
      <c r="B605" s="12" t="s">
        <v>3067</v>
      </c>
      <c r="C605" s="12">
        <v>59</v>
      </c>
      <c r="D605" s="12">
        <v>125</v>
      </c>
      <c r="E605" s="12">
        <v>0</v>
      </c>
      <c r="F605" s="12">
        <v>184</v>
      </c>
      <c r="G605" s="12">
        <v>443</v>
      </c>
      <c r="H605" s="12">
        <v>65012000</v>
      </c>
      <c r="I605" s="12" t="s">
        <v>3390</v>
      </c>
      <c r="J605" s="12" t="s">
        <v>3391</v>
      </c>
      <c r="K605" s="12" t="s">
        <v>3392</v>
      </c>
      <c r="L605" s="12" t="s">
        <v>3393</v>
      </c>
      <c r="M605" s="12" t="s">
        <v>3394</v>
      </c>
      <c r="N605" s="12">
        <v>43559</v>
      </c>
      <c r="O605" s="12">
        <v>1439</v>
      </c>
      <c r="P605" s="12">
        <v>1</v>
      </c>
      <c r="Q605" s="12" t="s">
        <v>3395</v>
      </c>
      <c r="R605" s="15" t="s">
        <v>3396</v>
      </c>
      <c r="S605" s="12">
        <v>137</v>
      </c>
      <c r="T605" s="12" t="s">
        <v>39</v>
      </c>
      <c r="U605" s="12" t="s">
        <v>40</v>
      </c>
      <c r="V605" s="12" t="s">
        <v>586</v>
      </c>
      <c r="W605" s="12">
        <v>70000000</v>
      </c>
      <c r="X605" s="12">
        <v>1994</v>
      </c>
      <c r="Y605" s="12">
        <v>277</v>
      </c>
      <c r="Z605" s="12">
        <v>6.2</v>
      </c>
      <c r="AA605" s="12">
        <v>1.85</v>
      </c>
      <c r="AB605" s="12">
        <v>0</v>
      </c>
      <c r="AC605" s="12"/>
      <c r="AD605" s="12" t="str">
        <f>IFERROR(__xludf.DUMMYFUNCTION("""COMPUTED_VALUE"""),"Drake")</f>
        <v>Drake</v>
      </c>
      <c r="AE605" s="12"/>
    </row>
    <row r="606" customHeight="1" spans="1:31">
      <c r="A606" s="11" t="s">
        <v>748</v>
      </c>
      <c r="B606" s="11" t="s">
        <v>390</v>
      </c>
      <c r="C606" s="11">
        <v>388</v>
      </c>
      <c r="D606" s="11">
        <v>146</v>
      </c>
      <c r="E606" s="11">
        <v>14000</v>
      </c>
      <c r="F606" s="11">
        <v>979</v>
      </c>
      <c r="G606" s="11">
        <v>25000</v>
      </c>
      <c r="H606" s="11">
        <v>79883359</v>
      </c>
      <c r="I606" s="11" t="s">
        <v>3397</v>
      </c>
      <c r="J606" s="11" t="s">
        <v>3398</v>
      </c>
      <c r="K606" s="11" t="s">
        <v>353</v>
      </c>
      <c r="L606" s="11" t="s">
        <v>359</v>
      </c>
      <c r="M606" s="11" t="s">
        <v>3399</v>
      </c>
      <c r="N606" s="11">
        <v>116159</v>
      </c>
      <c r="O606" s="11">
        <v>46726</v>
      </c>
      <c r="P606" s="11">
        <v>1</v>
      </c>
      <c r="Q606" s="11" t="s">
        <v>3400</v>
      </c>
      <c r="R606" s="14" t="s">
        <v>3401</v>
      </c>
      <c r="S606" s="11">
        <v>488</v>
      </c>
      <c r="T606" s="11" t="s">
        <v>39</v>
      </c>
      <c r="U606" s="11" t="s">
        <v>40</v>
      </c>
      <c r="V606" s="11" t="s">
        <v>41</v>
      </c>
      <c r="W606" s="11">
        <v>66000000</v>
      </c>
      <c r="X606" s="11">
        <v>2011</v>
      </c>
      <c r="Y606" s="11">
        <v>19000</v>
      </c>
      <c r="Z606" s="11">
        <v>7.2</v>
      </c>
      <c r="AA606" s="11">
        <v>2.35</v>
      </c>
      <c r="AB606" s="11">
        <v>28000</v>
      </c>
      <c r="AC606" s="11"/>
      <c r="AD606" s="11" t="str">
        <f>IFERROR(__xludf.DUMMYFUNCTION("""COMPUTED_VALUE"""),"Derek Jacobi")</f>
        <v>Derek Jacobi</v>
      </c>
      <c r="AE606" s="11"/>
    </row>
    <row r="607" customHeight="1" spans="1:31">
      <c r="A607" s="12" t="s">
        <v>30</v>
      </c>
      <c r="B607" s="12" t="s">
        <v>3402</v>
      </c>
      <c r="C607" s="12">
        <v>371</v>
      </c>
      <c r="D607" s="12">
        <v>118</v>
      </c>
      <c r="E607" s="12">
        <v>0</v>
      </c>
      <c r="F607" s="12">
        <v>559</v>
      </c>
      <c r="G607" s="12">
        <v>13000</v>
      </c>
      <c r="H607" s="12">
        <v>78031620</v>
      </c>
      <c r="I607" s="12" t="s">
        <v>3397</v>
      </c>
      <c r="J607" s="12" t="s">
        <v>549</v>
      </c>
      <c r="K607" s="12" t="s">
        <v>1158</v>
      </c>
      <c r="L607" s="12" t="s">
        <v>3355</v>
      </c>
      <c r="M607" s="12" t="s">
        <v>3403</v>
      </c>
      <c r="N607" s="12">
        <v>102248</v>
      </c>
      <c r="O607" s="12">
        <v>27674</v>
      </c>
      <c r="P607" s="12">
        <v>7</v>
      </c>
      <c r="Q607" s="12" t="s">
        <v>3404</v>
      </c>
      <c r="R607" s="15" t="s">
        <v>3405</v>
      </c>
      <c r="S607" s="12">
        <v>403</v>
      </c>
      <c r="T607" s="12" t="s">
        <v>39</v>
      </c>
      <c r="U607" s="12" t="s">
        <v>40</v>
      </c>
      <c r="V607" s="12" t="s">
        <v>41</v>
      </c>
      <c r="W607" s="12">
        <v>70000000</v>
      </c>
      <c r="X607" s="12">
        <v>2014</v>
      </c>
      <c r="Y607" s="12">
        <v>13000</v>
      </c>
      <c r="Z607" s="12">
        <v>6.1</v>
      </c>
      <c r="AA607" s="12">
        <v>2.35</v>
      </c>
      <c r="AB607" s="12">
        <v>34000</v>
      </c>
      <c r="AC607" s="12"/>
      <c r="AD607" s="12" t="str">
        <f>IFERROR(__xludf.DUMMYFUNCTION("""COMPUTED_VALUE"""),"Michael Imperioli")</f>
        <v>Michael Imperioli</v>
      </c>
      <c r="AE607" s="12"/>
    </row>
    <row r="608" customHeight="1" spans="1:31">
      <c r="A608" s="11" t="s">
        <v>30</v>
      </c>
      <c r="B608" s="11" t="s">
        <v>31</v>
      </c>
      <c r="C608" s="11">
        <v>82</v>
      </c>
      <c r="D608" s="11">
        <v>171</v>
      </c>
      <c r="E608" s="11">
        <v>0</v>
      </c>
      <c r="F608" s="11">
        <v>638</v>
      </c>
      <c r="G608" s="11">
        <v>2000</v>
      </c>
      <c r="H608" s="11">
        <v>54222000</v>
      </c>
      <c r="I608" s="11" t="s">
        <v>1483</v>
      </c>
      <c r="J608" s="11" t="s">
        <v>3008</v>
      </c>
      <c r="K608" s="11" t="s">
        <v>3406</v>
      </c>
      <c r="L608" s="11" t="s">
        <v>1347</v>
      </c>
      <c r="M608" s="11" t="s">
        <v>3407</v>
      </c>
      <c r="N608" s="11">
        <v>131217</v>
      </c>
      <c r="O608" s="11">
        <v>4074</v>
      </c>
      <c r="P608" s="11">
        <v>0</v>
      </c>
      <c r="Q608" s="11" t="s">
        <v>3408</v>
      </c>
      <c r="R608" s="14" t="s">
        <v>3409</v>
      </c>
      <c r="S608" s="11">
        <v>380</v>
      </c>
      <c r="T608" s="11" t="s">
        <v>39</v>
      </c>
      <c r="U608" s="11" t="s">
        <v>40</v>
      </c>
      <c r="V608" s="11" t="s">
        <v>41</v>
      </c>
      <c r="W608" s="11">
        <v>69500000</v>
      </c>
      <c r="X608" s="11">
        <v>1989</v>
      </c>
      <c r="Y608" s="11">
        <v>650</v>
      </c>
      <c r="Z608" s="11">
        <v>7.6</v>
      </c>
      <c r="AA608" s="11">
        <v>2.35</v>
      </c>
      <c r="AB608" s="11">
        <v>0</v>
      </c>
      <c r="AC608" s="11"/>
      <c r="AD608" s="11" t="str">
        <f>IFERROR(__xludf.DUMMYFUNCTION("""COMPUTED_VALUE"""),"AJ Michalka")</f>
        <v>AJ Michalka</v>
      </c>
      <c r="AE608" s="11"/>
    </row>
    <row r="609" customHeight="1" spans="1:31">
      <c r="A609" s="12" t="s">
        <v>30</v>
      </c>
      <c r="B609" s="12" t="s">
        <v>761</v>
      </c>
      <c r="C609" s="12">
        <v>297</v>
      </c>
      <c r="D609" s="12">
        <v>136</v>
      </c>
      <c r="E609" s="12">
        <v>0</v>
      </c>
      <c r="F609" s="12">
        <v>17</v>
      </c>
      <c r="G609" s="12">
        <v>903</v>
      </c>
      <c r="H609" s="12">
        <v>52474616</v>
      </c>
      <c r="I609" s="12" t="s">
        <v>3410</v>
      </c>
      <c r="J609" s="12" t="s">
        <v>122</v>
      </c>
      <c r="K609" s="12" t="s">
        <v>2915</v>
      </c>
      <c r="L609" s="12" t="s">
        <v>3411</v>
      </c>
      <c r="M609" s="12" t="s">
        <v>3412</v>
      </c>
      <c r="N609" s="12">
        <v>84118</v>
      </c>
      <c r="O609" s="12">
        <v>1579</v>
      </c>
      <c r="P609" s="12">
        <v>2</v>
      </c>
      <c r="Q609" s="12" t="s">
        <v>3413</v>
      </c>
      <c r="R609" s="15" t="s">
        <v>3414</v>
      </c>
      <c r="S609" s="12">
        <v>245</v>
      </c>
      <c r="T609" s="12" t="s">
        <v>39</v>
      </c>
      <c r="U609" s="12" t="s">
        <v>40</v>
      </c>
      <c r="V609" s="12" t="s">
        <v>41</v>
      </c>
      <c r="W609" s="12">
        <v>70000000</v>
      </c>
      <c r="X609" s="12">
        <v>2010</v>
      </c>
      <c r="Y609" s="12">
        <v>592</v>
      </c>
      <c r="Z609" s="12">
        <v>6.3</v>
      </c>
      <c r="AA609" s="12">
        <v>2.35</v>
      </c>
      <c r="AB609" s="12">
        <v>13000</v>
      </c>
      <c r="AC609" s="12"/>
      <c r="AD609" s="12" t="str">
        <f>IFERROR(__xludf.DUMMYFUNCTION("""COMPUTED_VALUE"""),"Alexander Gould")</f>
        <v>Alexander Gould</v>
      </c>
      <c r="AE609" s="12"/>
    </row>
    <row r="610" customHeight="1" spans="1:31">
      <c r="A610" s="11" t="s">
        <v>30</v>
      </c>
      <c r="B610" s="11" t="s">
        <v>3415</v>
      </c>
      <c r="C610" s="11">
        <v>261</v>
      </c>
      <c r="D610" s="11">
        <v>92</v>
      </c>
      <c r="E610" s="11">
        <v>28</v>
      </c>
      <c r="F610" s="11">
        <v>423</v>
      </c>
      <c r="G610" s="11">
        <v>3000</v>
      </c>
      <c r="H610" s="11">
        <v>55942830</v>
      </c>
      <c r="I610" s="11" t="s">
        <v>3416</v>
      </c>
      <c r="J610" s="11" t="s">
        <v>730</v>
      </c>
      <c r="K610" s="11" t="s">
        <v>3417</v>
      </c>
      <c r="L610" s="11" t="s">
        <v>3418</v>
      </c>
      <c r="M610" s="11" t="s">
        <v>3419</v>
      </c>
      <c r="N610" s="11">
        <v>138582</v>
      </c>
      <c r="O610" s="11">
        <v>5178</v>
      </c>
      <c r="P610" s="11">
        <v>1</v>
      </c>
      <c r="Q610" s="11" t="s">
        <v>3420</v>
      </c>
      <c r="R610" s="14" t="s">
        <v>3421</v>
      </c>
      <c r="S610" s="11">
        <v>423</v>
      </c>
      <c r="T610" s="11" t="s">
        <v>39</v>
      </c>
      <c r="U610" s="11" t="s">
        <v>40</v>
      </c>
      <c r="V610" s="11" t="s">
        <v>41</v>
      </c>
      <c r="W610" s="11">
        <v>70000000</v>
      </c>
      <c r="X610" s="11">
        <v>2014</v>
      </c>
      <c r="Y610" s="11">
        <v>692</v>
      </c>
      <c r="Z610" s="11">
        <v>6.3</v>
      </c>
      <c r="AA610" s="11">
        <v>2.35</v>
      </c>
      <c r="AB610" s="11">
        <v>37000</v>
      </c>
      <c r="AC610" s="11"/>
      <c r="AD610" s="11" t="str">
        <f>IFERROR(__xludf.DUMMYFUNCTION("""COMPUTED_VALUE"""),"Bernard Hill")</f>
        <v>Bernard Hill</v>
      </c>
      <c r="AE610" s="11"/>
    </row>
    <row r="611" customHeight="1" spans="1:31">
      <c r="A611" s="12" t="s">
        <v>30</v>
      </c>
      <c r="B611" s="12" t="s">
        <v>1016</v>
      </c>
      <c r="C611" s="12">
        <v>120</v>
      </c>
      <c r="D611" s="12">
        <v>116</v>
      </c>
      <c r="E611" s="12">
        <v>380</v>
      </c>
      <c r="F611" s="12">
        <v>774</v>
      </c>
      <c r="G611" s="12">
        <v>18000</v>
      </c>
      <c r="H611" s="12">
        <v>40932372</v>
      </c>
      <c r="I611" s="12" t="s">
        <v>60</v>
      </c>
      <c r="J611" s="12" t="s">
        <v>1727</v>
      </c>
      <c r="K611" s="12" t="s">
        <v>978</v>
      </c>
      <c r="L611" s="12" t="s">
        <v>3422</v>
      </c>
      <c r="M611" s="12" t="s">
        <v>3423</v>
      </c>
      <c r="N611" s="12">
        <v>58023</v>
      </c>
      <c r="O611" s="12">
        <v>32563</v>
      </c>
      <c r="P611" s="12">
        <v>0</v>
      </c>
      <c r="Q611" s="12" t="s">
        <v>3424</v>
      </c>
      <c r="R611" s="15" t="s">
        <v>3425</v>
      </c>
      <c r="S611" s="12">
        <v>281</v>
      </c>
      <c r="T611" s="12" t="s">
        <v>39</v>
      </c>
      <c r="U611" s="12" t="s">
        <v>40</v>
      </c>
      <c r="V611" s="12" t="s">
        <v>586</v>
      </c>
      <c r="W611" s="12">
        <v>70000000</v>
      </c>
      <c r="X611" s="12">
        <v>1998</v>
      </c>
      <c r="Y611" s="12">
        <v>13000</v>
      </c>
      <c r="Z611" s="12">
        <v>6.3</v>
      </c>
      <c r="AA611" s="12">
        <v>2.35</v>
      </c>
      <c r="AB611" s="12">
        <v>0</v>
      </c>
      <c r="AC611" s="12"/>
      <c r="AD611" s="12" t="str">
        <f>IFERROR(__xludf.DUMMYFUNCTION("""COMPUTED_VALUE"""),"Olivia Williams")</f>
        <v>Olivia Williams</v>
      </c>
      <c r="AE611" s="12"/>
    </row>
    <row r="612" customHeight="1" spans="1:31">
      <c r="A612" s="11" t="s">
        <v>30</v>
      </c>
      <c r="B612" s="11" t="s">
        <v>693</v>
      </c>
      <c r="C612" s="11">
        <v>228</v>
      </c>
      <c r="D612" s="11">
        <v>127</v>
      </c>
      <c r="E612" s="11">
        <v>905</v>
      </c>
      <c r="F612" s="11">
        <v>271</v>
      </c>
      <c r="G612" s="11">
        <v>15000</v>
      </c>
      <c r="H612" s="11">
        <v>38345403</v>
      </c>
      <c r="I612" s="11" t="s">
        <v>3426</v>
      </c>
      <c r="J612" s="11" t="s">
        <v>113</v>
      </c>
      <c r="K612" s="11" t="s">
        <v>789</v>
      </c>
      <c r="L612" s="11" t="s">
        <v>3427</v>
      </c>
      <c r="M612" s="11" t="s">
        <v>3428</v>
      </c>
      <c r="N612" s="11">
        <v>212085</v>
      </c>
      <c r="O612" s="11">
        <v>16034</v>
      </c>
      <c r="P612" s="11">
        <v>8</v>
      </c>
      <c r="Q612" s="11" t="s">
        <v>3429</v>
      </c>
      <c r="R612" s="14" t="s">
        <v>3430</v>
      </c>
      <c r="S612" s="11">
        <v>492</v>
      </c>
      <c r="T612" s="11" t="s">
        <v>39</v>
      </c>
      <c r="U612" s="11" t="s">
        <v>58</v>
      </c>
      <c r="V612" s="11" t="s">
        <v>41</v>
      </c>
      <c r="W612" s="11">
        <v>70000000</v>
      </c>
      <c r="X612" s="11">
        <v>2007</v>
      </c>
      <c r="Y612" s="11">
        <v>588</v>
      </c>
      <c r="Z612" s="11">
        <v>7.7</v>
      </c>
      <c r="AA612" s="11">
        <v>2.35</v>
      </c>
      <c r="AB612" s="11">
        <v>15000</v>
      </c>
      <c r="AC612" s="11"/>
      <c r="AD612" s="11" t="str">
        <f>IFERROR(__xludf.DUMMYFUNCTION("""COMPUTED_VALUE"""),"Chris Barrie")</f>
        <v>Chris Barrie</v>
      </c>
      <c r="AE612" s="11"/>
    </row>
    <row r="613" customHeight="1" spans="1:31">
      <c r="A613" s="12" t="s">
        <v>30</v>
      </c>
      <c r="B613" s="12" t="s">
        <v>2397</v>
      </c>
      <c r="C613" s="12">
        <v>76</v>
      </c>
      <c r="D613" s="12">
        <v>136</v>
      </c>
      <c r="E613" s="12">
        <v>218</v>
      </c>
      <c r="F613" s="12">
        <v>400</v>
      </c>
      <c r="G613" s="12">
        <v>11000</v>
      </c>
      <c r="H613" s="12">
        <v>37901509</v>
      </c>
      <c r="I613" s="12" t="s">
        <v>3431</v>
      </c>
      <c r="J613" s="12" t="s">
        <v>343</v>
      </c>
      <c r="K613" s="12" t="s">
        <v>752</v>
      </c>
      <c r="L613" s="12" t="s">
        <v>3432</v>
      </c>
      <c r="M613" s="12" t="s">
        <v>3433</v>
      </c>
      <c r="N613" s="12">
        <v>96385</v>
      </c>
      <c r="O613" s="12">
        <v>12226</v>
      </c>
      <c r="P613" s="12">
        <v>1</v>
      </c>
      <c r="Q613" s="12" t="s">
        <v>3434</v>
      </c>
      <c r="R613" s="15" t="s">
        <v>3435</v>
      </c>
      <c r="S613" s="12">
        <v>119</v>
      </c>
      <c r="T613" s="12" t="s">
        <v>39</v>
      </c>
      <c r="U613" s="12" t="s">
        <v>40</v>
      </c>
      <c r="V613" s="12" t="s">
        <v>41</v>
      </c>
      <c r="W613" s="12">
        <v>70000000</v>
      </c>
      <c r="X613" s="12">
        <v>1997</v>
      </c>
      <c r="Y613" s="12">
        <v>691</v>
      </c>
      <c r="Z613" s="12">
        <v>7</v>
      </c>
      <c r="AA613" s="12">
        <v>2.35</v>
      </c>
      <c r="AB613" s="12">
        <v>0</v>
      </c>
      <c r="AC613" s="12"/>
      <c r="AD613" s="12" t="str">
        <f>IFERROR(__xludf.DUMMYFUNCTION("""COMPUTED_VALUE"""),"Michael Jeter")</f>
        <v>Michael Jeter</v>
      </c>
      <c r="AE613" s="12"/>
    </row>
    <row r="614" customHeight="1" spans="1:31">
      <c r="A614" s="11" t="s">
        <v>30</v>
      </c>
      <c r="B614" s="11" t="s">
        <v>851</v>
      </c>
      <c r="C614" s="11">
        <v>185</v>
      </c>
      <c r="D614" s="11">
        <v>111</v>
      </c>
      <c r="E614" s="11">
        <v>2000</v>
      </c>
      <c r="F614" s="11">
        <v>244</v>
      </c>
      <c r="G614" s="11">
        <v>17000</v>
      </c>
      <c r="H614" s="11">
        <v>48430355</v>
      </c>
      <c r="I614" s="11" t="s">
        <v>2528</v>
      </c>
      <c r="J614" s="11" t="s">
        <v>445</v>
      </c>
      <c r="K614" s="11" t="s">
        <v>1332</v>
      </c>
      <c r="L614" s="11" t="s">
        <v>3436</v>
      </c>
      <c r="M614" s="11" t="s">
        <v>3437</v>
      </c>
      <c r="N614" s="11">
        <v>43709</v>
      </c>
      <c r="O614" s="11">
        <v>18510</v>
      </c>
      <c r="P614" s="11">
        <v>2</v>
      </c>
      <c r="Q614" s="11" t="s">
        <v>3438</v>
      </c>
      <c r="R614" s="14" t="s">
        <v>3439</v>
      </c>
      <c r="S614" s="11">
        <v>141</v>
      </c>
      <c r="T614" s="11" t="s">
        <v>39</v>
      </c>
      <c r="U614" s="11" t="s">
        <v>40</v>
      </c>
      <c r="V614" s="11" t="s">
        <v>41</v>
      </c>
      <c r="W614" s="11">
        <v>70000000</v>
      </c>
      <c r="X614" s="11">
        <v>2011</v>
      </c>
      <c r="Y614" s="11">
        <v>1000</v>
      </c>
      <c r="Z614" s="11">
        <v>5.3</v>
      </c>
      <c r="AA614" s="11">
        <v>2.35</v>
      </c>
      <c r="AB614" s="11">
        <v>0</v>
      </c>
      <c r="AC614" s="11"/>
      <c r="AD614" s="11" t="str">
        <f>IFERROR(__xludf.DUMMYFUNCTION("""COMPUTED_VALUE"""),"Trevor Morgan")</f>
        <v>Trevor Morgan</v>
      </c>
      <c r="AE614" s="11"/>
    </row>
    <row r="615" customHeight="1" spans="1:31">
      <c r="A615" s="12" t="s">
        <v>30</v>
      </c>
      <c r="B615" s="12" t="s">
        <v>1325</v>
      </c>
      <c r="C615" s="12">
        <v>128</v>
      </c>
      <c r="D615" s="12">
        <v>116</v>
      </c>
      <c r="E615" s="12">
        <v>541</v>
      </c>
      <c r="F615" s="12">
        <v>384</v>
      </c>
      <c r="G615" s="12">
        <v>12000</v>
      </c>
      <c r="H615" s="12">
        <v>30157016</v>
      </c>
      <c r="I615" s="12" t="s">
        <v>1078</v>
      </c>
      <c r="J615" s="12" t="s">
        <v>763</v>
      </c>
      <c r="K615" s="12" t="s">
        <v>3440</v>
      </c>
      <c r="L615" s="12" t="s">
        <v>3441</v>
      </c>
      <c r="M615" s="12" t="s">
        <v>3442</v>
      </c>
      <c r="N615" s="12">
        <v>39659</v>
      </c>
      <c r="O615" s="12">
        <v>12993</v>
      </c>
      <c r="P615" s="12">
        <v>2</v>
      </c>
      <c r="Q615" s="12" t="s">
        <v>3443</v>
      </c>
      <c r="R615" s="15" t="s">
        <v>3444</v>
      </c>
      <c r="S615" s="12">
        <v>189</v>
      </c>
      <c r="T615" s="12" t="s">
        <v>39</v>
      </c>
      <c r="U615" s="12" t="s">
        <v>40</v>
      </c>
      <c r="V615" s="12" t="s">
        <v>41</v>
      </c>
      <c r="W615" s="12">
        <v>70000000</v>
      </c>
      <c r="X615" s="12">
        <v>2002</v>
      </c>
      <c r="Y615" s="12">
        <v>405</v>
      </c>
      <c r="Z615" s="12">
        <v>5.6</v>
      </c>
      <c r="AA615" s="12">
        <v>2.35</v>
      </c>
      <c r="AB615" s="12">
        <v>792</v>
      </c>
      <c r="AC615" s="12"/>
      <c r="AD615" s="12" t="str">
        <f>IFERROR(__xludf.DUMMYFUNCTION("""COMPUTED_VALUE"""),"Alessandro Nivola")</f>
        <v>Alessandro Nivola</v>
      </c>
      <c r="AE615" s="12"/>
    </row>
    <row r="616" customHeight="1" spans="1:31">
      <c r="A616" s="11" t="s">
        <v>30</v>
      </c>
      <c r="B616" s="11" t="s">
        <v>3445</v>
      </c>
      <c r="C616" s="11">
        <v>237</v>
      </c>
      <c r="D616" s="11">
        <v>113</v>
      </c>
      <c r="E616" s="11">
        <v>43</v>
      </c>
      <c r="F616" s="11">
        <v>452</v>
      </c>
      <c r="G616" s="11">
        <v>12000</v>
      </c>
      <c r="H616" s="11">
        <v>28031250</v>
      </c>
      <c r="I616" s="11" t="s">
        <v>3446</v>
      </c>
      <c r="J616" s="11" t="s">
        <v>1073</v>
      </c>
      <c r="K616" s="11" t="s">
        <v>3447</v>
      </c>
      <c r="L616" s="11" t="s">
        <v>3448</v>
      </c>
      <c r="M616" s="11" t="s">
        <v>3449</v>
      </c>
      <c r="N616" s="11">
        <v>88146</v>
      </c>
      <c r="O616" s="11">
        <v>13517</v>
      </c>
      <c r="P616" s="11">
        <v>0</v>
      </c>
      <c r="Q616" s="11" t="s">
        <v>3450</v>
      </c>
      <c r="R616" s="14" t="s">
        <v>3451</v>
      </c>
      <c r="S616" s="11">
        <v>814</v>
      </c>
      <c r="T616" s="11" t="s">
        <v>39</v>
      </c>
      <c r="U616" s="11" t="s">
        <v>58</v>
      </c>
      <c r="V616" s="11" t="s">
        <v>586</v>
      </c>
      <c r="W616" s="11">
        <v>60000000</v>
      </c>
      <c r="X616" s="11">
        <v>2005</v>
      </c>
      <c r="Y616" s="11">
        <v>585</v>
      </c>
      <c r="Z616" s="11">
        <v>5.2</v>
      </c>
      <c r="AA616" s="11">
        <v>2.35</v>
      </c>
      <c r="AB616" s="11">
        <v>0</v>
      </c>
      <c r="AC616" s="11"/>
      <c r="AD616" s="11" t="str">
        <f>IFERROR(__xludf.DUMMYFUNCTION("""COMPUTED_VALUE"""),"David Oyelowo")</f>
        <v>David Oyelowo</v>
      </c>
      <c r="AE616" s="11"/>
    </row>
    <row r="617" customHeight="1" spans="1:31">
      <c r="A617" s="12" t="s">
        <v>30</v>
      </c>
      <c r="B617" s="12" t="s">
        <v>3282</v>
      </c>
      <c r="C617" s="12">
        <v>105</v>
      </c>
      <c r="D617" s="12">
        <v>97</v>
      </c>
      <c r="E617" s="12">
        <v>84</v>
      </c>
      <c r="F617" s="12">
        <v>150</v>
      </c>
      <c r="G617" s="12">
        <v>989</v>
      </c>
      <c r="H617" s="12">
        <v>33105600</v>
      </c>
      <c r="I617" s="12" t="s">
        <v>1078</v>
      </c>
      <c r="J617" s="12" t="s">
        <v>3230</v>
      </c>
      <c r="K617" s="12" t="s">
        <v>3452</v>
      </c>
      <c r="L617" s="12" t="s">
        <v>3453</v>
      </c>
      <c r="M617" s="12" t="s">
        <v>3454</v>
      </c>
      <c r="N617" s="12">
        <v>41663</v>
      </c>
      <c r="O617" s="12">
        <v>1576</v>
      </c>
      <c r="P617" s="12">
        <v>1</v>
      </c>
      <c r="Q617" s="12" t="s">
        <v>3455</v>
      </c>
      <c r="R617" s="15" t="s">
        <v>3456</v>
      </c>
      <c r="S617" s="12">
        <v>141</v>
      </c>
      <c r="T617" s="12" t="s">
        <v>39</v>
      </c>
      <c r="U617" s="12" t="s">
        <v>40</v>
      </c>
      <c r="V617" s="12" t="s">
        <v>41</v>
      </c>
      <c r="W617" s="12">
        <v>70000000</v>
      </c>
      <c r="X617" s="12">
        <v>2002</v>
      </c>
      <c r="Y617" s="12">
        <v>229</v>
      </c>
      <c r="Z617" s="12">
        <v>5.4</v>
      </c>
      <c r="AA617" s="12">
        <v>1.37</v>
      </c>
      <c r="AB617" s="12">
        <v>531</v>
      </c>
      <c r="AC617" s="12"/>
      <c r="AD617" s="12" t="str">
        <f>IFERROR(__xludf.DUMMYFUNCTION("""COMPUTED_VALUE"""),"Tod Fennell")</f>
        <v>Tod Fennell</v>
      </c>
      <c r="AE617" s="12"/>
    </row>
    <row r="618" customHeight="1" spans="1:31">
      <c r="A618" s="11" t="s">
        <v>30</v>
      </c>
      <c r="B618" s="11" t="s">
        <v>3457</v>
      </c>
      <c r="C618" s="11">
        <v>242</v>
      </c>
      <c r="D618" s="11">
        <v>88</v>
      </c>
      <c r="E618" s="11">
        <v>24</v>
      </c>
      <c r="F618" s="11">
        <v>324</v>
      </c>
      <c r="G618" s="11">
        <v>5000</v>
      </c>
      <c r="H618" s="11">
        <v>62321039</v>
      </c>
      <c r="I618" s="11" t="s">
        <v>3458</v>
      </c>
      <c r="J618" s="11" t="s">
        <v>1539</v>
      </c>
      <c r="K618" s="11" t="s">
        <v>3459</v>
      </c>
      <c r="L618" s="11" t="s">
        <v>3460</v>
      </c>
      <c r="M618" s="11" t="s">
        <v>3461</v>
      </c>
      <c r="N618" s="11">
        <v>117096</v>
      </c>
      <c r="O618" s="11">
        <v>5861</v>
      </c>
      <c r="P618" s="11">
        <v>1</v>
      </c>
      <c r="Q618" s="11" t="s">
        <v>3462</v>
      </c>
      <c r="R618" s="14" t="s">
        <v>3463</v>
      </c>
      <c r="S618" s="11">
        <v>271</v>
      </c>
      <c r="T618" s="11" t="s">
        <v>39</v>
      </c>
      <c r="U618" s="11" t="s">
        <v>40</v>
      </c>
      <c r="V618" s="11" t="s">
        <v>586</v>
      </c>
      <c r="W618" s="11">
        <v>70000000</v>
      </c>
      <c r="X618" s="11">
        <v>2012</v>
      </c>
      <c r="Y618" s="11">
        <v>327</v>
      </c>
      <c r="Z618" s="11">
        <v>6.4</v>
      </c>
      <c r="AA618" s="11">
        <v>2.35</v>
      </c>
      <c r="AB618" s="11">
        <v>24000</v>
      </c>
      <c r="AC618" s="11"/>
      <c r="AD618" s="11" t="str">
        <f>IFERROR(__xludf.DUMMYFUNCTION("""COMPUTED_VALUE"""),"Joan Plowright")</f>
        <v>Joan Plowright</v>
      </c>
      <c r="AE618" s="11"/>
    </row>
    <row r="619" customHeight="1" spans="1:31">
      <c r="A619" s="12" t="s">
        <v>30</v>
      </c>
      <c r="B619" s="12" t="s">
        <v>2613</v>
      </c>
      <c r="C619" s="12">
        <v>360</v>
      </c>
      <c r="D619" s="12">
        <v>136</v>
      </c>
      <c r="E619" s="12">
        <v>163</v>
      </c>
      <c r="F619" s="12">
        <v>66</v>
      </c>
      <c r="G619" s="12">
        <v>394</v>
      </c>
      <c r="H619" s="12">
        <v>38509342</v>
      </c>
      <c r="I619" s="12" t="s">
        <v>3464</v>
      </c>
      <c r="J619" s="12" t="s">
        <v>3465</v>
      </c>
      <c r="K619" s="12" t="s">
        <v>3466</v>
      </c>
      <c r="L619" s="12" t="s">
        <v>3467</v>
      </c>
      <c r="M619" s="12" t="s">
        <v>3468</v>
      </c>
      <c r="N619" s="12">
        <v>61995</v>
      </c>
      <c r="O619" s="12">
        <v>712</v>
      </c>
      <c r="P619" s="12">
        <v>7</v>
      </c>
      <c r="Q619" s="12" t="s">
        <v>3469</v>
      </c>
      <c r="R619" s="15" t="s">
        <v>3470</v>
      </c>
      <c r="S619" s="12">
        <v>356</v>
      </c>
      <c r="T619" s="12" t="s">
        <v>39</v>
      </c>
      <c r="U619" s="12" t="s">
        <v>40</v>
      </c>
      <c r="V619" s="12" t="s">
        <v>41</v>
      </c>
      <c r="W619" s="12">
        <v>75000000</v>
      </c>
      <c r="X619" s="12">
        <v>2012</v>
      </c>
      <c r="Y619" s="12">
        <v>217</v>
      </c>
      <c r="Z619" s="12">
        <v>5.9</v>
      </c>
      <c r="AA619" s="12">
        <v>2.35</v>
      </c>
      <c r="AB619" s="12">
        <v>33000</v>
      </c>
      <c r="AC619" s="12"/>
      <c r="AD619" s="12" t="str">
        <f>IFERROR(__xludf.DUMMYFUNCTION("""COMPUTED_VALUE"""),"Cole Hauser")</f>
        <v>Cole Hauser</v>
      </c>
      <c r="AE619" s="12"/>
    </row>
    <row r="620" customHeight="1" spans="1:31">
      <c r="A620" s="11" t="s">
        <v>30</v>
      </c>
      <c r="B620" s="11" t="s">
        <v>3471</v>
      </c>
      <c r="C620" s="11">
        <v>112</v>
      </c>
      <c r="D620" s="11">
        <v>125</v>
      </c>
      <c r="E620" s="11">
        <v>40</v>
      </c>
      <c r="F620" s="11">
        <v>407</v>
      </c>
      <c r="G620" s="11">
        <v>13000</v>
      </c>
      <c r="H620" s="11">
        <v>19076815</v>
      </c>
      <c r="I620" s="11" t="s">
        <v>3397</v>
      </c>
      <c r="J620" s="11" t="s">
        <v>978</v>
      </c>
      <c r="K620" s="11" t="s">
        <v>2050</v>
      </c>
      <c r="L620" s="11" t="s">
        <v>3472</v>
      </c>
      <c r="M620" s="11" t="s">
        <v>3473</v>
      </c>
      <c r="N620" s="11">
        <v>43651</v>
      </c>
      <c r="O620" s="11">
        <v>15916</v>
      </c>
      <c r="P620" s="11">
        <v>0</v>
      </c>
      <c r="Q620" s="11" t="s">
        <v>3474</v>
      </c>
      <c r="R620" s="14" t="s">
        <v>3475</v>
      </c>
      <c r="S620" s="11">
        <v>196</v>
      </c>
      <c r="T620" s="11" t="s">
        <v>39</v>
      </c>
      <c r="U620" s="11" t="s">
        <v>40</v>
      </c>
      <c r="V620" s="11" t="s">
        <v>586</v>
      </c>
      <c r="W620" s="11">
        <v>60000000</v>
      </c>
      <c r="X620" s="11">
        <v>2002</v>
      </c>
      <c r="Y620" s="11">
        <v>787</v>
      </c>
      <c r="Z620" s="11">
        <v>6.3</v>
      </c>
      <c r="AA620" s="11">
        <v>2.35</v>
      </c>
      <c r="AB620" s="11">
        <v>997</v>
      </c>
      <c r="AC620" s="11"/>
      <c r="AD620" s="11" t="str">
        <f>IFERROR(__xludf.DUMMYFUNCTION("""COMPUTED_VALUE"""),"Megalyn Echikunwoke")</f>
        <v>Megalyn Echikunwoke</v>
      </c>
      <c r="AE620" s="11"/>
    </row>
    <row r="621" customHeight="1" spans="1:31">
      <c r="A621" s="12" t="s">
        <v>30</v>
      </c>
      <c r="B621" s="12" t="s">
        <v>3476</v>
      </c>
      <c r="C621" s="12">
        <v>189</v>
      </c>
      <c r="D621" s="12">
        <v>116</v>
      </c>
      <c r="E621" s="12">
        <v>5</v>
      </c>
      <c r="F621" s="12">
        <v>748</v>
      </c>
      <c r="G621" s="12">
        <v>26000</v>
      </c>
      <c r="H621" s="12">
        <v>25093607</v>
      </c>
      <c r="I621" s="12" t="s">
        <v>334</v>
      </c>
      <c r="J621" s="12" t="s">
        <v>335</v>
      </c>
      <c r="K621" s="12" t="s">
        <v>1746</v>
      </c>
      <c r="L621" s="12" t="s">
        <v>1025</v>
      </c>
      <c r="M621" s="12" t="s">
        <v>3477</v>
      </c>
      <c r="N621" s="12">
        <v>105556</v>
      </c>
      <c r="O621" s="12">
        <v>49608</v>
      </c>
      <c r="P621" s="12">
        <v>2</v>
      </c>
      <c r="Q621" s="12" t="s">
        <v>3478</v>
      </c>
      <c r="R621" s="15" t="s">
        <v>3479</v>
      </c>
      <c r="S621" s="12">
        <v>157</v>
      </c>
      <c r="T621" s="12" t="s">
        <v>39</v>
      </c>
      <c r="U621" s="12" t="s">
        <v>58</v>
      </c>
      <c r="V621" s="12" t="s">
        <v>586</v>
      </c>
      <c r="W621" s="12">
        <v>35000000</v>
      </c>
      <c r="X621" s="12">
        <v>2011</v>
      </c>
      <c r="Y621" s="12">
        <v>22000</v>
      </c>
      <c r="Z621" s="12">
        <v>6.5</v>
      </c>
      <c r="AA621" s="12">
        <v>2.35</v>
      </c>
      <c r="AB621" s="12">
        <v>17000</v>
      </c>
      <c r="AC621" s="12"/>
      <c r="AD621" s="12" t="str">
        <f>IFERROR(__xludf.DUMMYFUNCTION("""COMPUTED_VALUE"""),"Holly Hunter")</f>
        <v>Holly Hunter</v>
      </c>
      <c r="AE621" s="12"/>
    </row>
    <row r="622" customHeight="1" spans="1:31">
      <c r="A622" s="11" t="s">
        <v>30</v>
      </c>
      <c r="B622" s="11" t="s">
        <v>1312</v>
      </c>
      <c r="C622" s="11">
        <v>151</v>
      </c>
      <c r="D622" s="11">
        <v>98</v>
      </c>
      <c r="E622" s="11">
        <v>323</v>
      </c>
      <c r="F622" s="11">
        <v>390</v>
      </c>
      <c r="G622" s="11">
        <v>1000</v>
      </c>
      <c r="H622" s="11">
        <v>18990542</v>
      </c>
      <c r="I622" s="11" t="s">
        <v>3480</v>
      </c>
      <c r="J622" s="11" t="s">
        <v>2121</v>
      </c>
      <c r="K622" s="11" t="s">
        <v>3369</v>
      </c>
      <c r="L622" s="11" t="s">
        <v>2549</v>
      </c>
      <c r="M622" s="11" t="s">
        <v>3481</v>
      </c>
      <c r="N622" s="11">
        <v>22264</v>
      </c>
      <c r="O622" s="11">
        <v>2763</v>
      </c>
      <c r="P622" s="11">
        <v>3</v>
      </c>
      <c r="Q622" s="11" t="s">
        <v>3482</v>
      </c>
      <c r="R622" s="14" t="s">
        <v>3483</v>
      </c>
      <c r="S622" s="11">
        <v>289</v>
      </c>
      <c r="T622" s="11" t="s">
        <v>39</v>
      </c>
      <c r="U622" s="11" t="s">
        <v>40</v>
      </c>
      <c r="V622" s="11" t="s">
        <v>586</v>
      </c>
      <c r="W622" s="11">
        <v>70000000</v>
      </c>
      <c r="X622" s="11">
        <v>2002</v>
      </c>
      <c r="Y622" s="11">
        <v>841</v>
      </c>
      <c r="Z622" s="11">
        <v>3</v>
      </c>
      <c r="AA622" s="11">
        <v>2.35</v>
      </c>
      <c r="AB622" s="11">
        <v>584</v>
      </c>
      <c r="AC622" s="11"/>
      <c r="AD622" s="11" t="str">
        <f>IFERROR(__xludf.DUMMYFUNCTION("""COMPUTED_VALUE"""),"Craig T. Nelson")</f>
        <v>Craig T. Nelson</v>
      </c>
      <c r="AE622" s="11"/>
    </row>
    <row r="623" customHeight="1" spans="1:31">
      <c r="A623" s="12" t="s">
        <v>30</v>
      </c>
      <c r="B623" s="12" t="s">
        <v>3484</v>
      </c>
      <c r="C623" s="12">
        <v>92</v>
      </c>
      <c r="D623" s="12">
        <v>91</v>
      </c>
      <c r="E623" s="12">
        <v>8</v>
      </c>
      <c r="F623" s="12">
        <v>298</v>
      </c>
      <c r="G623" s="12">
        <v>349</v>
      </c>
      <c r="H623" s="12">
        <v>14294842</v>
      </c>
      <c r="I623" s="12" t="s">
        <v>1401</v>
      </c>
      <c r="J623" s="12" t="s">
        <v>3485</v>
      </c>
      <c r="K623" s="12" t="s">
        <v>3460</v>
      </c>
      <c r="L623" s="12" t="s">
        <v>3486</v>
      </c>
      <c r="M623" s="12" t="s">
        <v>3487</v>
      </c>
      <c r="N623" s="12">
        <v>16761</v>
      </c>
      <c r="O623" s="12">
        <v>1846</v>
      </c>
      <c r="P623" s="12">
        <v>1</v>
      </c>
      <c r="Q623" s="12" t="s">
        <v>3488</v>
      </c>
      <c r="R623" s="15" t="s">
        <v>3489</v>
      </c>
      <c r="S623" s="12">
        <v>277</v>
      </c>
      <c r="T623" s="12" t="s">
        <v>39</v>
      </c>
      <c r="U623" s="12" t="s">
        <v>40</v>
      </c>
      <c r="V623" s="12" t="s">
        <v>586</v>
      </c>
      <c r="W623" s="12">
        <v>70000000</v>
      </c>
      <c r="X623" s="12">
        <v>2002</v>
      </c>
      <c r="Y623" s="12">
        <v>324</v>
      </c>
      <c r="Z623" s="12">
        <v>3.6</v>
      </c>
      <c r="AA623" s="12">
        <v>2.35</v>
      </c>
      <c r="AB623" s="12">
        <v>391</v>
      </c>
      <c r="AC623" s="12"/>
      <c r="AD623" s="12" t="str">
        <f>IFERROR(__xludf.DUMMYFUNCTION("""COMPUTED_VALUE"""),"Lou Romano")</f>
        <v>Lou Romano</v>
      </c>
      <c r="AE623" s="12"/>
    </row>
    <row r="624" customHeight="1" spans="1:31">
      <c r="A624" s="11" t="s">
        <v>30</v>
      </c>
      <c r="B624" s="11" t="s">
        <v>3490</v>
      </c>
      <c r="C624" s="11">
        <v>79</v>
      </c>
      <c r="D624" s="11">
        <v>97</v>
      </c>
      <c r="E624" s="11">
        <v>13</v>
      </c>
      <c r="F624" s="11">
        <v>695</v>
      </c>
      <c r="G624" s="11">
        <v>11000</v>
      </c>
      <c r="H624" s="11">
        <v>19819494</v>
      </c>
      <c r="I624" s="11" t="s">
        <v>464</v>
      </c>
      <c r="J624" s="11" t="s">
        <v>466</v>
      </c>
      <c r="K624" s="11" t="s">
        <v>3491</v>
      </c>
      <c r="L624" s="11" t="s">
        <v>1905</v>
      </c>
      <c r="M624" s="11" t="s">
        <v>3492</v>
      </c>
      <c r="N624" s="11">
        <v>26893</v>
      </c>
      <c r="O624" s="11">
        <v>13628</v>
      </c>
      <c r="P624" s="11">
        <v>0</v>
      </c>
      <c r="Q624" s="11" t="s">
        <v>3493</v>
      </c>
      <c r="R624" s="14" t="s">
        <v>3494</v>
      </c>
      <c r="S624" s="11">
        <v>126</v>
      </c>
      <c r="T624" s="11" t="s">
        <v>39</v>
      </c>
      <c r="U624" s="11" t="s">
        <v>40</v>
      </c>
      <c r="V624" s="11" t="s">
        <v>586</v>
      </c>
      <c r="W624" s="11">
        <v>70000000</v>
      </c>
      <c r="X624" s="11">
        <v>1998</v>
      </c>
      <c r="Y624" s="11">
        <v>893</v>
      </c>
      <c r="Z624" s="11">
        <v>5.8</v>
      </c>
      <c r="AA624" s="11">
        <v>2.35</v>
      </c>
      <c r="AB624" s="11">
        <v>815</v>
      </c>
      <c r="AC624" s="11"/>
      <c r="AD624" s="11" t="str">
        <f>IFERROR(__xludf.DUMMYFUNCTION("""COMPUTED_VALUE"""),"Christopher Masterson")</f>
        <v>Christopher Masterson</v>
      </c>
      <c r="AE624" s="11"/>
    </row>
    <row r="625" customHeight="1" spans="1:31">
      <c r="A625" s="12" t="s">
        <v>30</v>
      </c>
      <c r="B625" s="12" t="s">
        <v>3495</v>
      </c>
      <c r="C625" s="12">
        <v>81</v>
      </c>
      <c r="D625" s="12">
        <v>95</v>
      </c>
      <c r="E625" s="12">
        <v>101</v>
      </c>
      <c r="F625" s="12">
        <v>443</v>
      </c>
      <c r="G625" s="12">
        <v>2000</v>
      </c>
      <c r="H625" s="12">
        <v>13596911</v>
      </c>
      <c r="I625" s="12" t="s">
        <v>3496</v>
      </c>
      <c r="J625" s="12" t="s">
        <v>851</v>
      </c>
      <c r="K625" s="12" t="s">
        <v>3497</v>
      </c>
      <c r="L625" s="12" t="s">
        <v>3391</v>
      </c>
      <c r="M625" s="12" t="s">
        <v>3498</v>
      </c>
      <c r="N625" s="12">
        <v>25572</v>
      </c>
      <c r="O625" s="12">
        <v>3734</v>
      </c>
      <c r="P625" s="12">
        <v>0</v>
      </c>
      <c r="Q625" s="12" t="s">
        <v>3499</v>
      </c>
      <c r="R625" s="15" t="s">
        <v>3500</v>
      </c>
      <c r="S625" s="12">
        <v>123</v>
      </c>
      <c r="T625" s="12" t="s">
        <v>39</v>
      </c>
      <c r="U625" s="12" t="s">
        <v>40</v>
      </c>
      <c r="V625" s="12" t="s">
        <v>96</v>
      </c>
      <c r="W625" s="12">
        <v>70000000</v>
      </c>
      <c r="X625" s="12">
        <v>2001</v>
      </c>
      <c r="Y625" s="12">
        <v>509</v>
      </c>
      <c r="Z625" s="12">
        <v>6.2</v>
      </c>
      <c r="AA625" s="12">
        <v>2.35</v>
      </c>
      <c r="AB625" s="12">
        <v>2000</v>
      </c>
      <c r="AC625" s="12"/>
      <c r="AD625" s="12" t="str">
        <f>IFERROR(__xludf.DUMMYFUNCTION("""COMPUTED_VALUE"""),"Matthew Modine")</f>
        <v>Matthew Modine</v>
      </c>
      <c r="AE625" s="12"/>
    </row>
    <row r="626" customHeight="1" spans="1:31">
      <c r="A626" s="11" t="s">
        <v>30</v>
      </c>
      <c r="B626" s="11" t="s">
        <v>1583</v>
      </c>
      <c r="C626" s="11">
        <v>51</v>
      </c>
      <c r="D626" s="11">
        <v>88</v>
      </c>
      <c r="E626" s="11">
        <v>6</v>
      </c>
      <c r="F626" s="11">
        <v>854</v>
      </c>
      <c r="G626" s="11">
        <v>2000</v>
      </c>
      <c r="H626" s="11">
        <v>8460990</v>
      </c>
      <c r="I626" s="11" t="s">
        <v>3501</v>
      </c>
      <c r="J626" s="11" t="s">
        <v>3502</v>
      </c>
      <c r="K626" s="11" t="s">
        <v>430</v>
      </c>
      <c r="L626" s="11" t="s">
        <v>3503</v>
      </c>
      <c r="M626" s="11" t="s">
        <v>3504</v>
      </c>
      <c r="N626" s="11">
        <v>5116</v>
      </c>
      <c r="O626" s="11">
        <v>6946</v>
      </c>
      <c r="P626" s="11">
        <v>1</v>
      </c>
      <c r="Q626" s="11" t="s">
        <v>3505</v>
      </c>
      <c r="R626" s="14" t="s">
        <v>3506</v>
      </c>
      <c r="S626" s="11">
        <v>54</v>
      </c>
      <c r="T626" s="11" t="s">
        <v>39</v>
      </c>
      <c r="U626" s="11" t="s">
        <v>40</v>
      </c>
      <c r="V626" s="11" t="s">
        <v>96</v>
      </c>
      <c r="W626" s="11">
        <v>70000000</v>
      </c>
      <c r="X626" s="11">
        <v>2013</v>
      </c>
      <c r="Y626" s="11">
        <v>1000</v>
      </c>
      <c r="Z626" s="11">
        <v>5.6</v>
      </c>
      <c r="AA626" s="13"/>
      <c r="AB626" s="11">
        <v>5000</v>
      </c>
      <c r="AC626" s="11"/>
      <c r="AD626" s="11" t="str">
        <f>IFERROR(__xludf.DUMMYFUNCTION("""COMPUTED_VALUE"""),"Linda Fiorentino")</f>
        <v>Linda Fiorentino</v>
      </c>
      <c r="AE626" s="11"/>
    </row>
    <row r="627" customHeight="1" spans="1:31">
      <c r="A627" s="12" t="s">
        <v>30</v>
      </c>
      <c r="B627" s="12" t="s">
        <v>1634</v>
      </c>
      <c r="C627" s="12">
        <v>261</v>
      </c>
      <c r="D627" s="12">
        <v>133</v>
      </c>
      <c r="E627" s="12">
        <v>0</v>
      </c>
      <c r="F627" s="12">
        <v>301</v>
      </c>
      <c r="G627" s="12">
        <v>26000</v>
      </c>
      <c r="H627" s="12">
        <v>7097125</v>
      </c>
      <c r="I627" s="12" t="s">
        <v>1120</v>
      </c>
      <c r="J627" s="12" t="s">
        <v>98</v>
      </c>
      <c r="K627" s="12" t="s">
        <v>3507</v>
      </c>
      <c r="L627" s="12" t="s">
        <v>3508</v>
      </c>
      <c r="M627" s="12" t="s">
        <v>3509</v>
      </c>
      <c r="N627" s="12">
        <v>38983</v>
      </c>
      <c r="O627" s="12">
        <v>28129</v>
      </c>
      <c r="P627" s="12">
        <v>1</v>
      </c>
      <c r="Q627" s="12" t="s">
        <v>3510</v>
      </c>
      <c r="R627" s="15" t="s">
        <v>3511</v>
      </c>
      <c r="S627" s="12">
        <v>207</v>
      </c>
      <c r="T627" s="12" t="s">
        <v>39</v>
      </c>
      <c r="U627" s="12" t="s">
        <v>40</v>
      </c>
      <c r="V627" s="12" t="s">
        <v>586</v>
      </c>
      <c r="W627" s="12">
        <v>70000000</v>
      </c>
      <c r="X627" s="12">
        <v>2015</v>
      </c>
      <c r="Y627" s="12">
        <v>326</v>
      </c>
      <c r="Z627" s="12">
        <v>5.4</v>
      </c>
      <c r="AA627" s="12">
        <v>2.35</v>
      </c>
      <c r="AB627" s="12">
        <v>11000</v>
      </c>
      <c r="AC627" s="12"/>
      <c r="AD627" s="12" t="str">
        <f>IFERROR(__xludf.DUMMYFUNCTION("""COMPUTED_VALUE"""),"Ethan Suplee")</f>
        <v>Ethan Suplee</v>
      </c>
      <c r="AE627" s="12"/>
    </row>
    <row r="628" customHeight="1" spans="1:31">
      <c r="A628" s="11" t="s">
        <v>30</v>
      </c>
      <c r="B628" s="11" t="s">
        <v>3512</v>
      </c>
      <c r="C628" s="11">
        <v>197</v>
      </c>
      <c r="D628" s="11">
        <v>106</v>
      </c>
      <c r="E628" s="11">
        <v>14</v>
      </c>
      <c r="F628" s="11">
        <v>582</v>
      </c>
      <c r="G628" s="11">
        <v>11000</v>
      </c>
      <c r="H628" s="11">
        <v>37760080</v>
      </c>
      <c r="I628" s="11" t="s">
        <v>1590</v>
      </c>
      <c r="J628" s="11" t="s">
        <v>565</v>
      </c>
      <c r="K628" s="11" t="s">
        <v>3513</v>
      </c>
      <c r="L628" s="11" t="s">
        <v>496</v>
      </c>
      <c r="M628" s="11" t="s">
        <v>3514</v>
      </c>
      <c r="N628" s="11">
        <v>72868</v>
      </c>
      <c r="O628" s="11">
        <v>12871</v>
      </c>
      <c r="P628" s="11">
        <v>2</v>
      </c>
      <c r="Q628" s="11" t="s">
        <v>3515</v>
      </c>
      <c r="R628" s="14" t="s">
        <v>3516</v>
      </c>
      <c r="S628" s="11">
        <v>618</v>
      </c>
      <c r="T628" s="11" t="s">
        <v>39</v>
      </c>
      <c r="U628" s="11" t="s">
        <v>40</v>
      </c>
      <c r="V628" s="11" t="s">
        <v>96</v>
      </c>
      <c r="W628" s="11">
        <v>70000000</v>
      </c>
      <c r="X628" s="11">
        <v>2004</v>
      </c>
      <c r="Y628" s="11">
        <v>1000</v>
      </c>
      <c r="Z628" s="11">
        <v>6.1</v>
      </c>
      <c r="AA628" s="11">
        <v>1.85</v>
      </c>
      <c r="AB628" s="11">
        <v>0</v>
      </c>
      <c r="AC628" s="11"/>
      <c r="AD628" s="11" t="str">
        <f>IFERROR(__xludf.DUMMYFUNCTION("""COMPUTED_VALUE"""),"Mei Melançon")</f>
        <v>Mei Melançon</v>
      </c>
      <c r="AE628" s="11"/>
    </row>
    <row r="629" customHeight="1" spans="1:31">
      <c r="A629" s="12" t="s">
        <v>30</v>
      </c>
      <c r="B629" s="12" t="s">
        <v>3517</v>
      </c>
      <c r="C629" s="12">
        <v>159</v>
      </c>
      <c r="D629" s="12">
        <v>116</v>
      </c>
      <c r="E629" s="12">
        <v>105</v>
      </c>
      <c r="F629" s="12">
        <v>246</v>
      </c>
      <c r="G629" s="12">
        <v>844</v>
      </c>
      <c r="H629" s="12">
        <v>5851188</v>
      </c>
      <c r="I629" s="12" t="s">
        <v>2215</v>
      </c>
      <c r="J629" s="12" t="s">
        <v>3518</v>
      </c>
      <c r="K629" s="12" t="s">
        <v>3519</v>
      </c>
      <c r="L629" s="12" t="s">
        <v>3520</v>
      </c>
      <c r="M629" s="12" t="s">
        <v>3521</v>
      </c>
      <c r="N629" s="12">
        <v>31124</v>
      </c>
      <c r="O629" s="12">
        <v>1899</v>
      </c>
      <c r="P629" s="12">
        <v>1</v>
      </c>
      <c r="Q629" s="12" t="s">
        <v>3522</v>
      </c>
      <c r="R629" s="15" t="s">
        <v>3523</v>
      </c>
      <c r="S629" s="12">
        <v>313</v>
      </c>
      <c r="T629" s="12" t="s">
        <v>39</v>
      </c>
      <c r="U629" s="12" t="s">
        <v>58</v>
      </c>
      <c r="V629" s="12" t="s">
        <v>586</v>
      </c>
      <c r="W629" s="12">
        <v>70000000</v>
      </c>
      <c r="X629" s="12">
        <v>2006</v>
      </c>
      <c r="Y629" s="12">
        <v>729</v>
      </c>
      <c r="Z629" s="12">
        <v>4.2</v>
      </c>
      <c r="AA629" s="12">
        <v>2.35</v>
      </c>
      <c r="AB629" s="12">
        <v>764</v>
      </c>
      <c r="AC629" s="12"/>
      <c r="AD629" s="12" t="str">
        <f>IFERROR(__xludf.DUMMYFUNCTION("""COMPUTED_VALUE"""),"John Lone")</f>
        <v>John Lone</v>
      </c>
      <c r="AE629" s="12"/>
    </row>
    <row r="630" customHeight="1" spans="1:31">
      <c r="A630" s="11" t="s">
        <v>30</v>
      </c>
      <c r="B630" s="11" t="s">
        <v>3524</v>
      </c>
      <c r="C630" s="11">
        <v>286</v>
      </c>
      <c r="D630" s="11">
        <v>115</v>
      </c>
      <c r="E630" s="11">
        <v>101</v>
      </c>
      <c r="F630" s="11">
        <v>585</v>
      </c>
      <c r="G630" s="11">
        <v>13000</v>
      </c>
      <c r="H630" s="11">
        <v>25121291</v>
      </c>
      <c r="I630" s="11" t="s">
        <v>3525</v>
      </c>
      <c r="J630" s="11" t="s">
        <v>1785</v>
      </c>
      <c r="K630" s="11" t="s">
        <v>3526</v>
      </c>
      <c r="L630" s="11" t="s">
        <v>3527</v>
      </c>
      <c r="M630" s="11" t="s">
        <v>3528</v>
      </c>
      <c r="N630" s="11">
        <v>177653</v>
      </c>
      <c r="O630" s="11">
        <v>15708</v>
      </c>
      <c r="P630" s="11">
        <v>1</v>
      </c>
      <c r="Q630" s="11" t="s">
        <v>3529</v>
      </c>
      <c r="R630" s="14" t="s">
        <v>3530</v>
      </c>
      <c r="S630" s="11">
        <v>279</v>
      </c>
      <c r="T630" s="11" t="s">
        <v>39</v>
      </c>
      <c r="U630" s="11" t="s">
        <v>40</v>
      </c>
      <c r="V630" s="11" t="s">
        <v>586</v>
      </c>
      <c r="W630" s="11">
        <v>50000000</v>
      </c>
      <c r="X630" s="11">
        <v>2013</v>
      </c>
      <c r="Y630" s="11">
        <v>1000</v>
      </c>
      <c r="Z630" s="11">
        <v>6.7</v>
      </c>
      <c r="AA630" s="11">
        <v>2.35</v>
      </c>
      <c r="AB630" s="11">
        <v>34000</v>
      </c>
      <c r="AC630" s="11"/>
      <c r="AD630" s="11" t="str">
        <f>IFERROR(__xludf.DUMMYFUNCTION("""COMPUTED_VALUE"""),"Harris Yulin")</f>
        <v>Harris Yulin</v>
      </c>
      <c r="AE630" s="11"/>
    </row>
    <row r="631" customHeight="1" spans="1:31">
      <c r="A631" s="12" t="s">
        <v>30</v>
      </c>
      <c r="B631" s="12" t="s">
        <v>2067</v>
      </c>
      <c r="C631" s="12">
        <v>156</v>
      </c>
      <c r="D631" s="12">
        <v>99</v>
      </c>
      <c r="E631" s="12">
        <v>212</v>
      </c>
      <c r="F631" s="12">
        <v>182</v>
      </c>
      <c r="G631" s="12">
        <v>576</v>
      </c>
      <c r="H631" s="12">
        <v>18821279</v>
      </c>
      <c r="I631" s="12" t="s">
        <v>43</v>
      </c>
      <c r="J631" s="12" t="s">
        <v>3531</v>
      </c>
      <c r="K631" s="12" t="s">
        <v>3532</v>
      </c>
      <c r="L631" s="12" t="s">
        <v>3533</v>
      </c>
      <c r="M631" s="12" t="s">
        <v>3534</v>
      </c>
      <c r="N631" s="12">
        <v>44891</v>
      </c>
      <c r="O631" s="12">
        <v>1520</v>
      </c>
      <c r="P631" s="12">
        <v>0</v>
      </c>
      <c r="Q631" s="12" t="s">
        <v>3535</v>
      </c>
      <c r="R631" s="15" t="s">
        <v>3536</v>
      </c>
      <c r="S631" s="12">
        <v>202</v>
      </c>
      <c r="T631" s="12" t="s">
        <v>39</v>
      </c>
      <c r="U631" s="12" t="s">
        <v>40</v>
      </c>
      <c r="V631" s="12" t="s">
        <v>41</v>
      </c>
      <c r="W631" s="12">
        <v>70000000</v>
      </c>
      <c r="X631" s="12">
        <v>2014</v>
      </c>
      <c r="Y631" s="12">
        <v>358</v>
      </c>
      <c r="Z631" s="12">
        <v>4.2</v>
      </c>
      <c r="AA631" s="12">
        <v>2.35</v>
      </c>
      <c r="AB631" s="12">
        <v>12000</v>
      </c>
      <c r="AC631" s="12"/>
      <c r="AD631" s="12" t="str">
        <f>IFERROR(__xludf.DUMMYFUNCTION("""COMPUTED_VALUE"""),"Amber Valletta")</f>
        <v>Amber Valletta</v>
      </c>
      <c r="AE631" s="12"/>
    </row>
    <row r="632" customHeight="1" spans="1:31">
      <c r="A632" s="11" t="s">
        <v>30</v>
      </c>
      <c r="B632" s="11" t="s">
        <v>3537</v>
      </c>
      <c r="C632" s="11">
        <v>176</v>
      </c>
      <c r="D632" s="11">
        <v>124</v>
      </c>
      <c r="E632" s="11">
        <v>31</v>
      </c>
      <c r="F632" s="11">
        <v>497</v>
      </c>
      <c r="G632" s="11">
        <v>11000</v>
      </c>
      <c r="H632" s="11">
        <v>118471320</v>
      </c>
      <c r="I632" s="11" t="s">
        <v>923</v>
      </c>
      <c r="J632" s="11" t="s">
        <v>466</v>
      </c>
      <c r="K632" s="11" t="s">
        <v>2285</v>
      </c>
      <c r="L632" s="11" t="s">
        <v>3538</v>
      </c>
      <c r="M632" s="11" t="s">
        <v>3539</v>
      </c>
      <c r="N632" s="11">
        <v>86504</v>
      </c>
      <c r="O632" s="11">
        <v>12556</v>
      </c>
      <c r="P632" s="11">
        <v>0</v>
      </c>
      <c r="Q632" s="11" t="s">
        <v>3540</v>
      </c>
      <c r="R632" s="14" t="s">
        <v>3541</v>
      </c>
      <c r="S632" s="11">
        <v>568</v>
      </c>
      <c r="T632" s="11" t="s">
        <v>39</v>
      </c>
      <c r="U632" s="11" t="s">
        <v>40</v>
      </c>
      <c r="V632" s="11" t="s">
        <v>41</v>
      </c>
      <c r="W632" s="11">
        <v>68000000</v>
      </c>
      <c r="X632" s="11">
        <v>2002</v>
      </c>
      <c r="Y632" s="11">
        <v>655</v>
      </c>
      <c r="Z632" s="11">
        <v>6.4</v>
      </c>
      <c r="AA632" s="11">
        <v>2.35</v>
      </c>
      <c r="AB632" s="11">
        <v>0</v>
      </c>
      <c r="AC632" s="11"/>
      <c r="AD632" s="11" t="str">
        <f>IFERROR(__xludf.DUMMYFUNCTION("""COMPUTED_VALUE"""),"Miranda Otto")</f>
        <v>Miranda Otto</v>
      </c>
      <c r="AE632" s="11"/>
    </row>
    <row r="633" customHeight="1" spans="1:31">
      <c r="A633" s="12" t="s">
        <v>30</v>
      </c>
      <c r="B633" s="12" t="s">
        <v>3542</v>
      </c>
      <c r="C633" s="12">
        <v>293</v>
      </c>
      <c r="D633" s="12">
        <v>124</v>
      </c>
      <c r="E633" s="12">
        <v>171</v>
      </c>
      <c r="F633" s="12">
        <v>10000</v>
      </c>
      <c r="G633" s="12">
        <v>21000</v>
      </c>
      <c r="H633" s="12">
        <v>300523113</v>
      </c>
      <c r="I633" s="12" t="s">
        <v>1106</v>
      </c>
      <c r="J633" s="12" t="s">
        <v>769</v>
      </c>
      <c r="K633" s="12" t="s">
        <v>559</v>
      </c>
      <c r="L633" s="12" t="s">
        <v>2456</v>
      </c>
      <c r="M633" s="12" t="s">
        <v>3543</v>
      </c>
      <c r="N633" s="12">
        <v>184637</v>
      </c>
      <c r="O633" s="12">
        <v>52547</v>
      </c>
      <c r="P633" s="12">
        <v>3</v>
      </c>
      <c r="Q633" s="12" t="s">
        <v>3544</v>
      </c>
      <c r="R633" s="15" t="s">
        <v>3545</v>
      </c>
      <c r="S633" s="12">
        <v>498</v>
      </c>
      <c r="T633" s="12" t="s">
        <v>39</v>
      </c>
      <c r="U633" s="12" t="s">
        <v>40</v>
      </c>
      <c r="V633" s="12" t="s">
        <v>41</v>
      </c>
      <c r="W633" s="12">
        <v>68000000</v>
      </c>
      <c r="X633" s="12">
        <v>2010</v>
      </c>
      <c r="Y633" s="12">
        <v>17000</v>
      </c>
      <c r="Z633" s="12">
        <v>4.9</v>
      </c>
      <c r="AA633" s="12">
        <v>2.35</v>
      </c>
      <c r="AB633" s="12">
        <v>29000</v>
      </c>
      <c r="AC633" s="12"/>
      <c r="AD633" s="12" t="str">
        <f>IFERROR(__xludf.DUMMYFUNCTION("""COMPUTED_VALUE"""),"Will Forte")</f>
        <v>Will Forte</v>
      </c>
      <c r="AE633" s="12"/>
    </row>
    <row r="634" customHeight="1" spans="1:31">
      <c r="A634" s="11" t="s">
        <v>30</v>
      </c>
      <c r="B634" s="11" t="s">
        <v>1955</v>
      </c>
      <c r="C634" s="11">
        <v>141</v>
      </c>
      <c r="D634" s="11">
        <v>124</v>
      </c>
      <c r="E634" s="11">
        <v>0</v>
      </c>
      <c r="F634" s="11">
        <v>580</v>
      </c>
      <c r="G634" s="11">
        <v>22000</v>
      </c>
      <c r="H634" s="11">
        <v>71069884</v>
      </c>
      <c r="I634" s="11" t="s">
        <v>2126</v>
      </c>
      <c r="J634" s="11" t="s">
        <v>1746</v>
      </c>
      <c r="K634" s="11" t="s">
        <v>121</v>
      </c>
      <c r="L634" s="11" t="s">
        <v>3546</v>
      </c>
      <c r="M634" s="11" t="s">
        <v>3547</v>
      </c>
      <c r="N634" s="11">
        <v>101899</v>
      </c>
      <c r="O634" s="11">
        <v>32871</v>
      </c>
      <c r="P634" s="11">
        <v>0</v>
      </c>
      <c r="Q634" s="11" t="s">
        <v>3548</v>
      </c>
      <c r="R634" s="14" t="s">
        <v>3549</v>
      </c>
      <c r="S634" s="11">
        <v>445</v>
      </c>
      <c r="T634" s="11" t="s">
        <v>39</v>
      </c>
      <c r="U634" s="11" t="s">
        <v>40</v>
      </c>
      <c r="V634" s="11" t="s">
        <v>586</v>
      </c>
      <c r="W634" s="11">
        <v>68000000</v>
      </c>
      <c r="X634" s="11">
        <v>2001</v>
      </c>
      <c r="Y634" s="11">
        <v>10000</v>
      </c>
      <c r="Z634" s="11">
        <v>6.8</v>
      </c>
      <c r="AA634" s="11">
        <v>2.35</v>
      </c>
      <c r="AB634" s="11">
        <v>0</v>
      </c>
      <c r="AC634" s="11"/>
      <c r="AD634" s="11" t="str">
        <f>IFERROR(__xludf.DUMMYFUNCTION("""COMPUTED_VALUE"""),"Al Roker")</f>
        <v>Al Roker</v>
      </c>
      <c r="AE634" s="11"/>
    </row>
    <row r="635" customHeight="1" spans="1:31">
      <c r="A635" s="12" t="s">
        <v>30</v>
      </c>
      <c r="B635" s="12" t="s">
        <v>2977</v>
      </c>
      <c r="C635" s="12">
        <v>304</v>
      </c>
      <c r="D635" s="12">
        <v>87</v>
      </c>
      <c r="E635" s="12">
        <v>275</v>
      </c>
      <c r="F635" s="12">
        <v>975</v>
      </c>
      <c r="G635" s="12">
        <v>7000</v>
      </c>
      <c r="H635" s="12">
        <v>251501645</v>
      </c>
      <c r="I635" s="12" t="s">
        <v>2966</v>
      </c>
      <c r="J635" s="12" t="s">
        <v>518</v>
      </c>
      <c r="K635" s="12" t="s">
        <v>2978</v>
      </c>
      <c r="L635" s="12" t="s">
        <v>622</v>
      </c>
      <c r="M635" s="12" t="s">
        <v>3550</v>
      </c>
      <c r="N635" s="12">
        <v>385943</v>
      </c>
      <c r="O635" s="12">
        <v>11608</v>
      </c>
      <c r="P635" s="12">
        <v>0</v>
      </c>
      <c r="Q635" s="12" t="s">
        <v>3551</v>
      </c>
      <c r="R635" s="15" t="s">
        <v>3552</v>
      </c>
      <c r="S635" s="12">
        <v>296</v>
      </c>
      <c r="T635" s="12" t="s">
        <v>39</v>
      </c>
      <c r="U635" s="12" t="s">
        <v>40</v>
      </c>
      <c r="V635" s="12" t="s">
        <v>96</v>
      </c>
      <c r="W635" s="12">
        <v>69000000</v>
      </c>
      <c r="X635" s="12">
        <v>2010</v>
      </c>
      <c r="Y635" s="12">
        <v>2000</v>
      </c>
      <c r="Z635" s="12">
        <v>7.7</v>
      </c>
      <c r="AA635" s="12">
        <v>1.85</v>
      </c>
      <c r="AB635" s="12">
        <v>31000</v>
      </c>
      <c r="AC635" s="12"/>
      <c r="AD635" s="12" t="str">
        <f>IFERROR(__xludf.DUMMYFUNCTION("""COMPUTED_VALUE"""),"Denis Leary")</f>
        <v>Denis Leary</v>
      </c>
      <c r="AE635" s="12"/>
    </row>
    <row r="636" customHeight="1" spans="1:31">
      <c r="A636" s="11" t="s">
        <v>30</v>
      </c>
      <c r="B636" s="11" t="s">
        <v>3553</v>
      </c>
      <c r="C636" s="11">
        <v>40</v>
      </c>
      <c r="D636" s="11">
        <v>105</v>
      </c>
      <c r="E636" s="11">
        <v>29</v>
      </c>
      <c r="F636" s="11">
        <v>97</v>
      </c>
      <c r="G636" s="11">
        <v>584</v>
      </c>
      <c r="H636" s="11">
        <v>35324232</v>
      </c>
      <c r="I636" s="11" t="s">
        <v>3554</v>
      </c>
      <c r="J636" s="11" t="s">
        <v>3555</v>
      </c>
      <c r="K636" s="11" t="s">
        <v>3556</v>
      </c>
      <c r="L636" s="11" t="s">
        <v>3557</v>
      </c>
      <c r="M636" s="11" t="s">
        <v>3558</v>
      </c>
      <c r="N636" s="11">
        <v>32224</v>
      </c>
      <c r="O636" s="11">
        <v>1132</v>
      </c>
      <c r="P636" s="11">
        <v>1</v>
      </c>
      <c r="Q636" s="11" t="s">
        <v>3559</v>
      </c>
      <c r="R636" s="14" t="s">
        <v>3560</v>
      </c>
      <c r="S636" s="11">
        <v>62</v>
      </c>
      <c r="T636" s="11" t="s">
        <v>39</v>
      </c>
      <c r="U636" s="11" t="s">
        <v>40</v>
      </c>
      <c r="V636" s="11" t="s">
        <v>586</v>
      </c>
      <c r="W636" s="11">
        <v>68000000</v>
      </c>
      <c r="X636" s="11">
        <v>1995</v>
      </c>
      <c r="Y636" s="11">
        <v>220</v>
      </c>
      <c r="Z636" s="11">
        <v>5.6</v>
      </c>
      <c r="AA636" s="11">
        <v>2.35</v>
      </c>
      <c r="AB636" s="11">
        <v>617</v>
      </c>
      <c r="AC636" s="11"/>
      <c r="AD636" s="11" t="str">
        <f>IFERROR(__xludf.DUMMYFUNCTION("""COMPUTED_VALUE"""),"Maile Flanagan")</f>
        <v>Maile Flanagan</v>
      </c>
      <c r="AE636" s="11"/>
    </row>
    <row r="637" customHeight="1" spans="1:31">
      <c r="A637" s="12" t="s">
        <v>30</v>
      </c>
      <c r="B637" s="12" t="s">
        <v>2513</v>
      </c>
      <c r="C637" s="12">
        <v>280</v>
      </c>
      <c r="D637" s="12">
        <v>125</v>
      </c>
      <c r="E637" s="12">
        <v>3000</v>
      </c>
      <c r="F637" s="12">
        <v>3000</v>
      </c>
      <c r="G637" s="12">
        <v>14000</v>
      </c>
      <c r="H637" s="12">
        <v>81257500</v>
      </c>
      <c r="I637" s="12" t="s">
        <v>1672</v>
      </c>
      <c r="J637" s="12" t="s">
        <v>228</v>
      </c>
      <c r="K637" s="12" t="s">
        <v>466</v>
      </c>
      <c r="L637" s="12" t="s">
        <v>2513</v>
      </c>
      <c r="M637" s="12" t="s">
        <v>3561</v>
      </c>
      <c r="N637" s="12">
        <v>117739</v>
      </c>
      <c r="O637" s="12">
        <v>30010</v>
      </c>
      <c r="P637" s="12">
        <v>0</v>
      </c>
      <c r="Q637" s="12" t="s">
        <v>3562</v>
      </c>
      <c r="R637" s="15" t="s">
        <v>3563</v>
      </c>
      <c r="S637" s="12">
        <v>229</v>
      </c>
      <c r="T637" s="12" t="s">
        <v>39</v>
      </c>
      <c r="U637" s="12" t="s">
        <v>40</v>
      </c>
      <c r="V637" s="12" t="s">
        <v>586</v>
      </c>
      <c r="W637" s="12">
        <v>68000000</v>
      </c>
      <c r="X637" s="12">
        <v>2015</v>
      </c>
      <c r="Y637" s="12">
        <v>11000</v>
      </c>
      <c r="Z637" s="12">
        <v>6.4</v>
      </c>
      <c r="AA637" s="12">
        <v>2.35</v>
      </c>
      <c r="AB637" s="12">
        <v>30000</v>
      </c>
      <c r="AC637" s="12"/>
      <c r="AD637" s="12" t="str">
        <f>IFERROR(__xludf.DUMMYFUNCTION("""COMPUTED_VALUE"""),"Kelly Keaton")</f>
        <v>Kelly Keaton</v>
      </c>
      <c r="AE637" s="12"/>
    </row>
    <row r="638" customHeight="1" spans="1:31">
      <c r="A638" s="11" t="s">
        <v>30</v>
      </c>
      <c r="B638" s="11" t="s">
        <v>3564</v>
      </c>
      <c r="C638" s="11">
        <v>180</v>
      </c>
      <c r="D638" s="11">
        <v>141</v>
      </c>
      <c r="E638" s="11">
        <v>448</v>
      </c>
      <c r="F638" s="11">
        <v>334</v>
      </c>
      <c r="G638" s="11">
        <v>614</v>
      </c>
      <c r="H638" s="11">
        <v>617840</v>
      </c>
      <c r="I638" s="11" t="s">
        <v>3565</v>
      </c>
      <c r="J638" s="11" t="s">
        <v>3566</v>
      </c>
      <c r="K638" s="11" t="s">
        <v>3567</v>
      </c>
      <c r="L638" s="11" t="s">
        <v>3568</v>
      </c>
      <c r="M638" s="11" t="s">
        <v>3569</v>
      </c>
      <c r="N638" s="11">
        <v>52496</v>
      </c>
      <c r="O638" s="11">
        <v>1829</v>
      </c>
      <c r="P638" s="11">
        <v>2</v>
      </c>
      <c r="Q638" s="11" t="s">
        <v>3570</v>
      </c>
      <c r="R638" s="14" t="s">
        <v>3571</v>
      </c>
      <c r="S638" s="11">
        <v>172</v>
      </c>
      <c r="T638" s="11" t="s">
        <v>39</v>
      </c>
      <c r="U638" s="11" t="s">
        <v>3572</v>
      </c>
      <c r="V638" s="11" t="s">
        <v>586</v>
      </c>
      <c r="W638" s="11">
        <v>70000000</v>
      </c>
      <c r="X638" s="11">
        <v>2009</v>
      </c>
      <c r="Y638" s="11">
        <v>451</v>
      </c>
      <c r="Z638" s="11">
        <v>7.2</v>
      </c>
      <c r="AA638" s="11">
        <v>2.35</v>
      </c>
      <c r="AB638" s="11">
        <v>29000</v>
      </c>
      <c r="AC638" s="11"/>
      <c r="AD638" s="11" t="str">
        <f>IFERROR(__xludf.DUMMYFUNCTION("""COMPUTED_VALUE"""),"Adrian Martinez")</f>
        <v>Adrian Martinez</v>
      </c>
      <c r="AE638" s="11"/>
    </row>
    <row r="639" customHeight="1" spans="1:31">
      <c r="A639" s="12" t="s">
        <v>30</v>
      </c>
      <c r="B639" s="12" t="s">
        <v>3573</v>
      </c>
      <c r="C639" s="12">
        <v>125</v>
      </c>
      <c r="D639" s="12">
        <v>121</v>
      </c>
      <c r="E639" s="12">
        <v>18</v>
      </c>
      <c r="F639" s="12">
        <v>776</v>
      </c>
      <c r="G639" s="12">
        <v>1000</v>
      </c>
      <c r="H639" s="12">
        <v>29655590</v>
      </c>
      <c r="I639" s="12" t="s">
        <v>971</v>
      </c>
      <c r="J639" s="12" t="s">
        <v>794</v>
      </c>
      <c r="K639" s="12" t="s">
        <v>35</v>
      </c>
      <c r="L639" s="12" t="s">
        <v>310</v>
      </c>
      <c r="M639" s="12" t="s">
        <v>3574</v>
      </c>
      <c r="N639" s="12">
        <v>53970</v>
      </c>
      <c r="O639" s="12">
        <v>3986</v>
      </c>
      <c r="P639" s="12">
        <v>4</v>
      </c>
      <c r="Q639" s="12" t="s">
        <v>3575</v>
      </c>
      <c r="R639" s="15" t="s">
        <v>3576</v>
      </c>
      <c r="S639" s="12">
        <v>435</v>
      </c>
      <c r="T639" s="12" t="s">
        <v>39</v>
      </c>
      <c r="U639" s="12" t="s">
        <v>40</v>
      </c>
      <c r="V639" s="12" t="s">
        <v>41</v>
      </c>
      <c r="W639" s="12">
        <v>65000000</v>
      </c>
      <c r="X639" s="12">
        <v>1999</v>
      </c>
      <c r="Y639" s="12">
        <v>855</v>
      </c>
      <c r="Z639" s="12">
        <v>6</v>
      </c>
      <c r="AA639" s="12">
        <v>1.85</v>
      </c>
      <c r="AB639" s="12">
        <v>0</v>
      </c>
      <c r="AC639" s="12"/>
      <c r="AD639" s="12" t="str">
        <f>IFERROR(__xludf.DUMMYFUNCTION("""COMPUTED_VALUE"""),"Joey Slotnick")</f>
        <v>Joey Slotnick</v>
      </c>
      <c r="AE639" s="12"/>
    </row>
    <row r="640" customHeight="1" spans="1:31">
      <c r="A640" s="11" t="s">
        <v>30</v>
      </c>
      <c r="B640" s="11" t="s">
        <v>3495</v>
      </c>
      <c r="C640" s="11">
        <v>237</v>
      </c>
      <c r="D640" s="11">
        <v>111</v>
      </c>
      <c r="E640" s="11">
        <v>101</v>
      </c>
      <c r="F640" s="11">
        <v>681</v>
      </c>
      <c r="G640" s="11">
        <v>966</v>
      </c>
      <c r="H640" s="11">
        <v>45045037</v>
      </c>
      <c r="I640" s="11" t="s">
        <v>1681</v>
      </c>
      <c r="J640" s="11" t="s">
        <v>3577</v>
      </c>
      <c r="K640" s="11" t="s">
        <v>382</v>
      </c>
      <c r="L640" s="11" t="s">
        <v>3578</v>
      </c>
      <c r="M640" s="11" t="s">
        <v>3579</v>
      </c>
      <c r="N640" s="11">
        <v>103230</v>
      </c>
      <c r="O640" s="11">
        <v>3393</v>
      </c>
      <c r="P640" s="11">
        <v>3</v>
      </c>
      <c r="Q640" s="11" t="s">
        <v>3580</v>
      </c>
      <c r="R640" s="14" t="s">
        <v>3581</v>
      </c>
      <c r="S640" s="11">
        <v>143</v>
      </c>
      <c r="T640" s="11" t="s">
        <v>39</v>
      </c>
      <c r="U640" s="11" t="s">
        <v>40</v>
      </c>
      <c r="V640" s="11" t="s">
        <v>586</v>
      </c>
      <c r="W640" s="11">
        <v>36000000</v>
      </c>
      <c r="X640" s="11">
        <v>2011</v>
      </c>
      <c r="Y640" s="11">
        <v>919</v>
      </c>
      <c r="Z640" s="11">
        <v>5.9</v>
      </c>
      <c r="AA640" s="11">
        <v>2.35</v>
      </c>
      <c r="AB640" s="11">
        <v>10000</v>
      </c>
      <c r="AC640" s="11"/>
      <c r="AD640" s="11" t="str">
        <f>IFERROR(__xludf.DUMMYFUNCTION("""COMPUTED_VALUE"""),"LL Cool J")</f>
        <v>LL Cool J</v>
      </c>
      <c r="AE640" s="11"/>
    </row>
    <row r="641" customHeight="1" spans="1:31">
      <c r="A641" s="12" t="s">
        <v>30</v>
      </c>
      <c r="B641" s="12" t="s">
        <v>1634</v>
      </c>
      <c r="C641" s="12">
        <v>209</v>
      </c>
      <c r="D641" s="12">
        <v>157</v>
      </c>
      <c r="E641" s="12">
        <v>0</v>
      </c>
      <c r="F641" s="12">
        <v>680</v>
      </c>
      <c r="G641" s="12">
        <v>14000</v>
      </c>
      <c r="H641" s="12">
        <v>28965197</v>
      </c>
      <c r="I641" s="12" t="s">
        <v>3582</v>
      </c>
      <c r="J641" s="12" t="s">
        <v>2383</v>
      </c>
      <c r="K641" s="12" t="s">
        <v>904</v>
      </c>
      <c r="L641" s="12" t="s">
        <v>1837</v>
      </c>
      <c r="M641" s="12" t="s">
        <v>3583</v>
      </c>
      <c r="N641" s="12">
        <v>133526</v>
      </c>
      <c r="O641" s="12">
        <v>18216</v>
      </c>
      <c r="P641" s="12">
        <v>1</v>
      </c>
      <c r="Q641" s="12" t="s">
        <v>3584</v>
      </c>
      <c r="R641" s="15" t="s">
        <v>3585</v>
      </c>
      <c r="S641" s="12">
        <v>521</v>
      </c>
      <c r="T641" s="12" t="s">
        <v>39</v>
      </c>
      <c r="U641" s="12" t="s">
        <v>40</v>
      </c>
      <c r="V641" s="12" t="s">
        <v>586</v>
      </c>
      <c r="W641" s="12">
        <v>68000000</v>
      </c>
      <c r="X641" s="12">
        <v>1999</v>
      </c>
      <c r="Y641" s="12">
        <v>826</v>
      </c>
      <c r="Z641" s="12">
        <v>7.9</v>
      </c>
      <c r="AA641" s="12">
        <v>2.35</v>
      </c>
      <c r="AB641" s="12">
        <v>0</v>
      </c>
      <c r="AC641" s="12"/>
      <c r="AD641" s="12" t="str">
        <f>IFERROR(__xludf.DUMMYFUNCTION("""COMPUTED_VALUE"""),"Kelly Lynch")</f>
        <v>Kelly Lynch</v>
      </c>
      <c r="AE641" s="12"/>
    </row>
    <row r="642" customHeight="1" spans="1:31">
      <c r="A642" s="11" t="s">
        <v>30</v>
      </c>
      <c r="B642" s="11" t="s">
        <v>3586</v>
      </c>
      <c r="C642" s="11">
        <v>178</v>
      </c>
      <c r="D642" s="11">
        <v>117</v>
      </c>
      <c r="E642" s="11">
        <v>44</v>
      </c>
      <c r="F642" s="11">
        <v>531</v>
      </c>
      <c r="G642" s="11">
        <v>788</v>
      </c>
      <c r="H642" s="11">
        <v>27550735</v>
      </c>
      <c r="I642" s="11" t="s">
        <v>3587</v>
      </c>
      <c r="J642" s="11" t="s">
        <v>3588</v>
      </c>
      <c r="K642" s="11" t="s">
        <v>616</v>
      </c>
      <c r="L642" s="11" t="s">
        <v>3589</v>
      </c>
      <c r="M642" s="11" t="s">
        <v>3590</v>
      </c>
      <c r="N642" s="11">
        <v>27481</v>
      </c>
      <c r="O642" s="11">
        <v>3524</v>
      </c>
      <c r="P642" s="11">
        <v>0</v>
      </c>
      <c r="Q642" s="11" t="s">
        <v>3591</v>
      </c>
      <c r="R642" s="14" t="s">
        <v>3592</v>
      </c>
      <c r="S642" s="11">
        <v>113</v>
      </c>
      <c r="T642" s="11" t="s">
        <v>39</v>
      </c>
      <c r="U642" s="11" t="s">
        <v>40</v>
      </c>
      <c r="V642" s="11" t="s">
        <v>41</v>
      </c>
      <c r="W642" s="13"/>
      <c r="X642" s="11">
        <v>2016</v>
      </c>
      <c r="Y642" s="11">
        <v>562</v>
      </c>
      <c r="Z642" s="11">
        <v>6.8</v>
      </c>
      <c r="AA642" s="11">
        <v>2.35</v>
      </c>
      <c r="AB642" s="11">
        <v>12000</v>
      </c>
      <c r="AC642" s="11"/>
      <c r="AD642" s="11" t="str">
        <f>IFERROR(__xludf.DUMMYFUNCTION("""COMPUTED_VALUE"""),"Harvey Fierstein")</f>
        <v>Harvey Fierstein</v>
      </c>
      <c r="AE642" s="11"/>
    </row>
    <row r="643" customHeight="1" spans="1:31">
      <c r="A643" s="12" t="s">
        <v>30</v>
      </c>
      <c r="B643" s="12" t="s">
        <v>188</v>
      </c>
      <c r="C643" s="12">
        <v>238</v>
      </c>
      <c r="D643" s="12">
        <v>128</v>
      </c>
      <c r="E643" s="12">
        <v>0</v>
      </c>
      <c r="F643" s="12">
        <v>135</v>
      </c>
      <c r="G643" s="12">
        <v>29000</v>
      </c>
      <c r="H643" s="12">
        <v>39380442</v>
      </c>
      <c r="I643" s="12" t="s">
        <v>923</v>
      </c>
      <c r="J643" s="12" t="s">
        <v>215</v>
      </c>
      <c r="K643" s="12" t="s">
        <v>3593</v>
      </c>
      <c r="L643" s="12" t="s">
        <v>3594</v>
      </c>
      <c r="M643" s="12" t="s">
        <v>3595</v>
      </c>
      <c r="N643" s="12">
        <v>174248</v>
      </c>
      <c r="O643" s="12">
        <v>29824</v>
      </c>
      <c r="P643" s="12">
        <v>1</v>
      </c>
      <c r="Q643" s="12" t="s">
        <v>3596</v>
      </c>
      <c r="R643" s="15" t="s">
        <v>3597</v>
      </c>
      <c r="S643" s="12">
        <v>263</v>
      </c>
      <c r="T643" s="12" t="s">
        <v>39</v>
      </c>
      <c r="U643" s="12" t="s">
        <v>40</v>
      </c>
      <c r="V643" s="12" t="s">
        <v>586</v>
      </c>
      <c r="W643" s="12">
        <v>70000000</v>
      </c>
      <c r="X643" s="12">
        <v>2008</v>
      </c>
      <c r="Y643" s="12">
        <v>149</v>
      </c>
      <c r="Z643" s="12">
        <v>7.1</v>
      </c>
      <c r="AA643" s="12">
        <v>2.35</v>
      </c>
      <c r="AB643" s="12">
        <v>0</v>
      </c>
      <c r="AC643" s="12"/>
      <c r="AD643" s="12" t="str">
        <f>IFERROR(__xludf.DUMMYFUNCTION("""COMPUTED_VALUE"""),"June Foray")</f>
        <v>June Foray</v>
      </c>
      <c r="AE643" s="12"/>
    </row>
    <row r="644" customHeight="1" spans="1:31">
      <c r="A644" s="11" t="s">
        <v>30</v>
      </c>
      <c r="B644" s="11" t="s">
        <v>1966</v>
      </c>
      <c r="C644" s="11">
        <v>190</v>
      </c>
      <c r="D644" s="11">
        <v>114</v>
      </c>
      <c r="E644" s="11">
        <v>116</v>
      </c>
      <c r="F644" s="11">
        <v>982</v>
      </c>
      <c r="G644" s="11">
        <v>7000</v>
      </c>
      <c r="H644" s="11">
        <v>72980108</v>
      </c>
      <c r="I644" s="11" t="s">
        <v>1672</v>
      </c>
      <c r="J644" s="11" t="s">
        <v>518</v>
      </c>
      <c r="K644" s="11" t="s">
        <v>1260</v>
      </c>
      <c r="L644" s="11" t="s">
        <v>354</v>
      </c>
      <c r="M644" s="11" t="s">
        <v>3598</v>
      </c>
      <c r="N644" s="11">
        <v>80338</v>
      </c>
      <c r="O644" s="11">
        <v>10419</v>
      </c>
      <c r="P644" s="11">
        <v>2</v>
      </c>
      <c r="Q644" s="11" t="s">
        <v>3599</v>
      </c>
      <c r="R644" s="14" t="s">
        <v>3600</v>
      </c>
      <c r="S644" s="11">
        <v>264</v>
      </c>
      <c r="T644" s="11" t="s">
        <v>39</v>
      </c>
      <c r="U644" s="11" t="s">
        <v>40</v>
      </c>
      <c r="V644" s="11" t="s">
        <v>41</v>
      </c>
      <c r="W644" s="13"/>
      <c r="X644" s="11">
        <v>2010</v>
      </c>
      <c r="Y644" s="11">
        <v>1000</v>
      </c>
      <c r="Z644" s="11">
        <v>5.9</v>
      </c>
      <c r="AA644" s="11">
        <v>1.85</v>
      </c>
      <c r="AB644" s="11">
        <v>0</v>
      </c>
      <c r="AC644" s="11"/>
      <c r="AD644" s="11" t="str">
        <f>IFERROR(__xludf.DUMMYFUNCTION("""COMPUTED_VALUE"""),"Brandon T. Jackson")</f>
        <v>Brandon T. Jackson</v>
      </c>
      <c r="AE644" s="11"/>
    </row>
    <row r="645" customHeight="1" spans="1:31">
      <c r="A645" s="12" t="s">
        <v>30</v>
      </c>
      <c r="B645" s="12" t="s">
        <v>2157</v>
      </c>
      <c r="C645" s="12">
        <v>393</v>
      </c>
      <c r="D645" s="12">
        <v>105</v>
      </c>
      <c r="E645" s="12">
        <v>335</v>
      </c>
      <c r="F645" s="12">
        <v>911</v>
      </c>
      <c r="G645" s="12">
        <v>3000</v>
      </c>
      <c r="H645" s="12">
        <v>37516013</v>
      </c>
      <c r="I645" s="12" t="s">
        <v>3458</v>
      </c>
      <c r="J645" s="12" t="s">
        <v>1816</v>
      </c>
      <c r="K645" s="12" t="s">
        <v>730</v>
      </c>
      <c r="L645" s="12" t="s">
        <v>1898</v>
      </c>
      <c r="M645" s="12" t="s">
        <v>3601</v>
      </c>
      <c r="N645" s="12">
        <v>128629</v>
      </c>
      <c r="O645" s="12">
        <v>8281</v>
      </c>
      <c r="P645" s="12">
        <v>0</v>
      </c>
      <c r="Q645" s="12" t="s">
        <v>3602</v>
      </c>
      <c r="R645" s="15" t="s">
        <v>3603</v>
      </c>
      <c r="S645" s="12">
        <v>348</v>
      </c>
      <c r="T645" s="12" t="s">
        <v>39</v>
      </c>
      <c r="U645" s="12" t="s">
        <v>40</v>
      </c>
      <c r="V645" s="12" t="s">
        <v>586</v>
      </c>
      <c r="W645" s="12">
        <v>69000000</v>
      </c>
      <c r="X645" s="12">
        <v>2012</v>
      </c>
      <c r="Y645" s="12">
        <v>3000</v>
      </c>
      <c r="Z645" s="12">
        <v>5.9</v>
      </c>
      <c r="AA645" s="12">
        <v>2.35</v>
      </c>
      <c r="AB645" s="12">
        <v>98000</v>
      </c>
      <c r="AC645" s="12"/>
      <c r="AD645" s="12" t="str">
        <f>IFERROR(__xludf.DUMMYFUNCTION("""COMPUTED_VALUE"""),"Goran Visnjic")</f>
        <v>Goran Visnjic</v>
      </c>
      <c r="AE645" s="12"/>
    </row>
    <row r="646" customHeight="1" spans="1:31">
      <c r="A646" s="11" t="s">
        <v>30</v>
      </c>
      <c r="B646" s="11" t="s">
        <v>2462</v>
      </c>
      <c r="C646" s="11">
        <v>138</v>
      </c>
      <c r="D646" s="11">
        <v>113</v>
      </c>
      <c r="E646" s="11">
        <v>36</v>
      </c>
      <c r="F646" s="11">
        <v>232</v>
      </c>
      <c r="G646" s="11">
        <v>537</v>
      </c>
      <c r="H646" s="11">
        <v>87704396</v>
      </c>
      <c r="I646" s="11" t="s">
        <v>1607</v>
      </c>
      <c r="J646" s="11" t="s">
        <v>979</v>
      </c>
      <c r="K646" s="11" t="s">
        <v>3604</v>
      </c>
      <c r="L646" s="11" t="s">
        <v>3605</v>
      </c>
      <c r="M646" s="11" t="s">
        <v>3606</v>
      </c>
      <c r="N646" s="11">
        <v>88132</v>
      </c>
      <c r="O646" s="11">
        <v>1302</v>
      </c>
      <c r="P646" s="11">
        <v>1</v>
      </c>
      <c r="Q646" s="11" t="s">
        <v>3607</v>
      </c>
      <c r="R646" s="14" t="s">
        <v>3608</v>
      </c>
      <c r="S646" s="11">
        <v>274</v>
      </c>
      <c r="T646" s="11" t="s">
        <v>39</v>
      </c>
      <c r="U646" s="11" t="s">
        <v>40</v>
      </c>
      <c r="V646" s="11" t="s">
        <v>41</v>
      </c>
      <c r="W646" s="11">
        <v>66000000</v>
      </c>
      <c r="X646" s="11">
        <v>1999</v>
      </c>
      <c r="Y646" s="11">
        <v>427</v>
      </c>
      <c r="Z646" s="11">
        <v>6.2</v>
      </c>
      <c r="AA646" s="11">
        <v>2.35</v>
      </c>
      <c r="AB646" s="11">
        <v>0</v>
      </c>
      <c r="AC646" s="11"/>
      <c r="AD646" s="11" t="str">
        <f>IFERROR(__xludf.DUMMYFUNCTION("""COMPUTED_VALUE"""),"Joely Richardson")</f>
        <v>Joely Richardson</v>
      </c>
      <c r="AE646" s="11"/>
    </row>
    <row r="647" customHeight="1" spans="1:31">
      <c r="A647" s="12" t="s">
        <v>30</v>
      </c>
      <c r="B647" s="16"/>
      <c r="C647" s="12">
        <v>4</v>
      </c>
      <c r="D647" s="12">
        <v>30</v>
      </c>
      <c r="E647" s="16"/>
      <c r="F647" s="12">
        <v>359</v>
      </c>
      <c r="G647" s="12">
        <v>995</v>
      </c>
      <c r="H647" s="16"/>
      <c r="I647" s="12" t="s">
        <v>1672</v>
      </c>
      <c r="J647" s="12" t="s">
        <v>3305</v>
      </c>
      <c r="K647" s="12" t="s">
        <v>3609</v>
      </c>
      <c r="L647" s="12" t="s">
        <v>3610</v>
      </c>
      <c r="M647" s="12" t="s">
        <v>3611</v>
      </c>
      <c r="N647" s="12">
        <v>15114</v>
      </c>
      <c r="O647" s="12">
        <v>2465</v>
      </c>
      <c r="P647" s="12">
        <v>1</v>
      </c>
      <c r="Q647" s="12" t="s">
        <v>3612</v>
      </c>
      <c r="R647" s="15" t="s">
        <v>3613</v>
      </c>
      <c r="S647" s="12">
        <v>87</v>
      </c>
      <c r="T647" s="12" t="s">
        <v>39</v>
      </c>
      <c r="U647" s="12" t="s">
        <v>40</v>
      </c>
      <c r="V647" s="12" t="s">
        <v>1569</v>
      </c>
      <c r="W647" s="16"/>
      <c r="X647" s="16"/>
      <c r="Y647" s="12">
        <v>363</v>
      </c>
      <c r="Z647" s="12">
        <v>7.4</v>
      </c>
      <c r="AA647" s="12">
        <v>16</v>
      </c>
      <c r="AB647" s="12">
        <v>0</v>
      </c>
      <c r="AC647" s="12"/>
      <c r="AD647" s="12" t="str">
        <f>IFERROR(__xludf.DUMMYFUNCTION("""COMPUTED_VALUE"""),"Aldis Hodge")</f>
        <v>Aldis Hodge</v>
      </c>
      <c r="AE647" s="12"/>
    </row>
    <row r="648" customHeight="1" spans="1:31">
      <c r="A648" s="11" t="s">
        <v>30</v>
      </c>
      <c r="B648" s="11" t="s">
        <v>3614</v>
      </c>
      <c r="C648" s="11">
        <v>142</v>
      </c>
      <c r="D648" s="11">
        <v>121</v>
      </c>
      <c r="E648" s="11">
        <v>38</v>
      </c>
      <c r="F648" s="11">
        <v>745</v>
      </c>
      <c r="G648" s="11">
        <v>940</v>
      </c>
      <c r="H648" s="11">
        <v>83892374</v>
      </c>
      <c r="I648" s="11" t="s">
        <v>2202</v>
      </c>
      <c r="J648" s="11" t="s">
        <v>3261</v>
      </c>
      <c r="K648" s="11" t="s">
        <v>3615</v>
      </c>
      <c r="L648" s="11" t="s">
        <v>3262</v>
      </c>
      <c r="M648" s="11" t="s">
        <v>3616</v>
      </c>
      <c r="N648" s="11">
        <v>85720</v>
      </c>
      <c r="O648" s="11">
        <v>4230</v>
      </c>
      <c r="P648" s="11">
        <v>0</v>
      </c>
      <c r="Q648" s="11" t="s">
        <v>3617</v>
      </c>
      <c r="R648" s="14" t="s">
        <v>3618</v>
      </c>
      <c r="S648" s="11">
        <v>297</v>
      </c>
      <c r="T648" s="11" t="s">
        <v>39</v>
      </c>
      <c r="U648" s="11" t="s">
        <v>40</v>
      </c>
      <c r="V648" s="11" t="s">
        <v>41</v>
      </c>
      <c r="W648" s="11">
        <v>66000000</v>
      </c>
      <c r="X648" s="11">
        <v>1998</v>
      </c>
      <c r="Y648" s="11">
        <v>826</v>
      </c>
      <c r="Z648" s="11">
        <v>7</v>
      </c>
      <c r="AA648" s="11">
        <v>2.35</v>
      </c>
      <c r="AB648" s="11">
        <v>0</v>
      </c>
      <c r="AC648" s="11"/>
      <c r="AD648" s="11" t="str">
        <f>IFERROR(__xludf.DUMMYFUNCTION("""COMPUTED_VALUE"""),"Kevin Chamberlin")</f>
        <v>Kevin Chamberlin</v>
      </c>
      <c r="AE648" s="11"/>
    </row>
    <row r="649" customHeight="1" spans="1:31">
      <c r="A649" s="12" t="s">
        <v>30</v>
      </c>
      <c r="B649" s="12" t="s">
        <v>3619</v>
      </c>
      <c r="C649" s="12">
        <v>90</v>
      </c>
      <c r="D649" s="12">
        <v>102</v>
      </c>
      <c r="E649" s="12">
        <v>4</v>
      </c>
      <c r="F649" s="12">
        <v>112</v>
      </c>
      <c r="G649" s="12">
        <v>14000</v>
      </c>
      <c r="H649" s="12">
        <v>5932060</v>
      </c>
      <c r="I649" s="12" t="s">
        <v>3620</v>
      </c>
      <c r="J649" s="12" t="s">
        <v>439</v>
      </c>
      <c r="K649" s="12" t="s">
        <v>943</v>
      </c>
      <c r="L649" s="12" t="s">
        <v>3621</v>
      </c>
      <c r="M649" s="12" t="s">
        <v>3622</v>
      </c>
      <c r="N649" s="12">
        <v>29285</v>
      </c>
      <c r="O649" s="12">
        <v>14625</v>
      </c>
      <c r="P649" s="12">
        <v>0</v>
      </c>
      <c r="Q649" s="12" t="s">
        <v>3623</v>
      </c>
      <c r="R649" s="15" t="s">
        <v>3624</v>
      </c>
      <c r="S649" s="12">
        <v>174</v>
      </c>
      <c r="T649" s="12" t="s">
        <v>39</v>
      </c>
      <c r="U649" s="12" t="s">
        <v>58</v>
      </c>
      <c r="V649" s="12" t="s">
        <v>41</v>
      </c>
      <c r="W649" s="12">
        <v>35000000</v>
      </c>
      <c r="X649" s="12">
        <v>2007</v>
      </c>
      <c r="Y649" s="12">
        <v>394</v>
      </c>
      <c r="Z649" s="12">
        <v>5.4</v>
      </c>
      <c r="AA649" s="12">
        <v>2.35</v>
      </c>
      <c r="AB649" s="12">
        <v>0</v>
      </c>
      <c r="AC649" s="12"/>
      <c r="AD649" s="12" t="str">
        <f>IFERROR(__xludf.DUMMYFUNCTION("""COMPUTED_VALUE"""),"Robert Maillet")</f>
        <v>Robert Maillet</v>
      </c>
      <c r="AE649" s="12"/>
    </row>
    <row r="650" customHeight="1" spans="1:31">
      <c r="A650" s="11" t="s">
        <v>30</v>
      </c>
      <c r="B650" s="11" t="s">
        <v>390</v>
      </c>
      <c r="C650" s="11">
        <v>219</v>
      </c>
      <c r="D650" s="11">
        <v>169</v>
      </c>
      <c r="E650" s="11">
        <v>14000</v>
      </c>
      <c r="F650" s="11">
        <v>13000</v>
      </c>
      <c r="G650" s="11">
        <v>15000</v>
      </c>
      <c r="H650" s="11">
        <v>216119491</v>
      </c>
      <c r="I650" s="11" t="s">
        <v>1467</v>
      </c>
      <c r="J650" s="11" t="s">
        <v>322</v>
      </c>
      <c r="K650" s="11" t="s">
        <v>337</v>
      </c>
      <c r="L650" s="11" t="s">
        <v>1158</v>
      </c>
      <c r="M650" s="11" t="s">
        <v>3625</v>
      </c>
      <c r="N650" s="11">
        <v>881236</v>
      </c>
      <c r="O650" s="11">
        <v>44998</v>
      </c>
      <c r="P650" s="11">
        <v>2</v>
      </c>
      <c r="Q650" s="11" t="s">
        <v>3626</v>
      </c>
      <c r="R650" s="14" t="s">
        <v>3627</v>
      </c>
      <c r="S650" s="11">
        <v>2277</v>
      </c>
      <c r="T650" s="11" t="s">
        <v>39</v>
      </c>
      <c r="U650" s="11" t="s">
        <v>40</v>
      </c>
      <c r="V650" s="11" t="s">
        <v>586</v>
      </c>
      <c r="W650" s="11">
        <v>70000000</v>
      </c>
      <c r="X650" s="11">
        <v>1998</v>
      </c>
      <c r="Y650" s="11">
        <v>14000</v>
      </c>
      <c r="Z650" s="11">
        <v>8.6</v>
      </c>
      <c r="AA650" s="11">
        <v>1.85</v>
      </c>
      <c r="AB650" s="11">
        <v>22000</v>
      </c>
      <c r="AC650" s="11"/>
      <c r="AD650" s="11" t="str">
        <f>IFERROR(__xludf.DUMMYFUNCTION("""COMPUTED_VALUE"""),"Jim Varney")</f>
        <v>Jim Varney</v>
      </c>
      <c r="AE650" s="11"/>
    </row>
    <row r="651" customHeight="1" spans="1:31">
      <c r="A651" s="12" t="s">
        <v>30</v>
      </c>
      <c r="B651" s="12" t="s">
        <v>3628</v>
      </c>
      <c r="C651" s="12">
        <v>327</v>
      </c>
      <c r="D651" s="12">
        <v>132</v>
      </c>
      <c r="E651" s="12">
        <v>76</v>
      </c>
      <c r="F651" s="12">
        <v>464</v>
      </c>
      <c r="G651" s="12">
        <v>3000</v>
      </c>
      <c r="H651" s="12">
        <v>43568507</v>
      </c>
      <c r="I651" s="12" t="s">
        <v>464</v>
      </c>
      <c r="J651" s="12" t="s">
        <v>812</v>
      </c>
      <c r="K651" s="12" t="s">
        <v>730</v>
      </c>
      <c r="L651" s="12" t="s">
        <v>282</v>
      </c>
      <c r="M651" s="12" t="s">
        <v>3629</v>
      </c>
      <c r="N651" s="12">
        <v>136954</v>
      </c>
      <c r="O651" s="12">
        <v>7081</v>
      </c>
      <c r="P651" s="12">
        <v>1</v>
      </c>
      <c r="Q651" s="12" t="s">
        <v>3630</v>
      </c>
      <c r="R651" s="15" t="s">
        <v>3631</v>
      </c>
      <c r="S651" s="12">
        <v>346</v>
      </c>
      <c r="T651" s="12" t="s">
        <v>39</v>
      </c>
      <c r="U651" s="12" t="s">
        <v>40</v>
      </c>
      <c r="V651" s="12" t="s">
        <v>41</v>
      </c>
      <c r="W651" s="12">
        <v>66000000</v>
      </c>
      <c r="X651" s="12">
        <v>2014</v>
      </c>
      <c r="Y651" s="12">
        <v>3000</v>
      </c>
      <c r="Z651" s="12">
        <v>6.5</v>
      </c>
      <c r="AA651" s="12">
        <v>2.35</v>
      </c>
      <c r="AB651" s="12">
        <v>32000</v>
      </c>
      <c r="AC651" s="12"/>
      <c r="AD651" s="12" t="str">
        <f>IFERROR(__xludf.DUMMYFUNCTION("""COMPUTED_VALUE"""),"Cree Summer")</f>
        <v>Cree Summer</v>
      </c>
      <c r="AE651" s="12"/>
    </row>
    <row r="652" customHeight="1" spans="1:31">
      <c r="A652" s="11" t="s">
        <v>30</v>
      </c>
      <c r="B652" s="11" t="s">
        <v>2368</v>
      </c>
      <c r="C652" s="11">
        <v>149</v>
      </c>
      <c r="D652" s="11">
        <v>127</v>
      </c>
      <c r="E652" s="11">
        <v>278</v>
      </c>
      <c r="F652" s="11">
        <v>912</v>
      </c>
      <c r="G652" s="11">
        <v>2000</v>
      </c>
      <c r="H652" s="11">
        <v>182805123</v>
      </c>
      <c r="I652" s="11" t="s">
        <v>3632</v>
      </c>
      <c r="J652" s="11" t="s">
        <v>236</v>
      </c>
      <c r="K652" s="11" t="s">
        <v>3633</v>
      </c>
      <c r="L652" s="11" t="s">
        <v>3077</v>
      </c>
      <c r="M652" s="11" t="s">
        <v>3634</v>
      </c>
      <c r="N652" s="11">
        <v>158864</v>
      </c>
      <c r="O652" s="11">
        <v>5838</v>
      </c>
      <c r="P652" s="11">
        <v>1</v>
      </c>
      <c r="Q652" s="11" t="s">
        <v>3635</v>
      </c>
      <c r="R652" s="14" t="s">
        <v>3636</v>
      </c>
      <c r="S652" s="11">
        <v>395</v>
      </c>
      <c r="T652" s="11" t="s">
        <v>39</v>
      </c>
      <c r="U652" s="11" t="s">
        <v>40</v>
      </c>
      <c r="V652" s="11" t="s">
        <v>41</v>
      </c>
      <c r="W652" s="11">
        <v>70000000</v>
      </c>
      <c r="X652" s="11">
        <v>2000</v>
      </c>
      <c r="Y652" s="11">
        <v>955</v>
      </c>
      <c r="Z652" s="11">
        <v>6.4</v>
      </c>
      <c r="AA652" s="11">
        <v>1.37</v>
      </c>
      <c r="AB652" s="11">
        <v>0</v>
      </c>
      <c r="AC652" s="11"/>
      <c r="AD652" s="11" t="str">
        <f>IFERROR(__xludf.DUMMYFUNCTION("""COMPUTED_VALUE"""),"Bella Thorne")</f>
        <v>Bella Thorne</v>
      </c>
      <c r="AE652" s="11"/>
    </row>
    <row r="653" customHeight="1" spans="1:31">
      <c r="A653" s="12" t="s">
        <v>30</v>
      </c>
      <c r="B653" s="12" t="s">
        <v>1808</v>
      </c>
      <c r="C653" s="12">
        <v>193</v>
      </c>
      <c r="D653" s="12">
        <v>103</v>
      </c>
      <c r="E653" s="12">
        <v>77</v>
      </c>
      <c r="F653" s="12">
        <v>835</v>
      </c>
      <c r="G653" s="12">
        <v>1000</v>
      </c>
      <c r="H653" s="12">
        <v>176387405</v>
      </c>
      <c r="I653" s="12" t="s">
        <v>471</v>
      </c>
      <c r="J653" s="12" t="s">
        <v>2143</v>
      </c>
      <c r="K653" s="12" t="s">
        <v>1147</v>
      </c>
      <c r="L653" s="12" t="s">
        <v>2107</v>
      </c>
      <c r="M653" s="12" t="s">
        <v>3637</v>
      </c>
      <c r="N653" s="12">
        <v>328159</v>
      </c>
      <c r="O653" s="12">
        <v>5437</v>
      </c>
      <c r="P653" s="12">
        <v>0</v>
      </c>
      <c r="Q653" s="12" t="s">
        <v>3638</v>
      </c>
      <c r="R653" s="15" t="s">
        <v>3639</v>
      </c>
      <c r="S653" s="12">
        <v>467</v>
      </c>
      <c r="T653" s="12" t="s">
        <v>39</v>
      </c>
      <c r="U653" s="12" t="s">
        <v>40</v>
      </c>
      <c r="V653" s="12" t="s">
        <v>96</v>
      </c>
      <c r="W653" s="12">
        <v>59000000</v>
      </c>
      <c r="X653" s="12">
        <v>2002</v>
      </c>
      <c r="Y653" s="12">
        <v>939</v>
      </c>
      <c r="Z653" s="12">
        <v>7.6</v>
      </c>
      <c r="AA653" s="12">
        <v>1.85</v>
      </c>
      <c r="AB653" s="12">
        <v>3000</v>
      </c>
      <c r="AC653" s="12"/>
      <c r="AD653" s="12" t="str">
        <f>IFERROR(__xludf.DUMMYFUNCTION("""COMPUTED_VALUE"""),"Joshua Mikel")</f>
        <v>Joshua Mikel</v>
      </c>
      <c r="AE653" s="12"/>
    </row>
    <row r="654" customHeight="1" spans="1:31">
      <c r="A654" s="11" t="s">
        <v>30</v>
      </c>
      <c r="B654" s="11" t="s">
        <v>3640</v>
      </c>
      <c r="C654" s="11">
        <v>175</v>
      </c>
      <c r="D654" s="11">
        <v>136</v>
      </c>
      <c r="E654" s="11">
        <v>759</v>
      </c>
      <c r="F654" s="11">
        <v>354</v>
      </c>
      <c r="G654" s="11">
        <v>11000</v>
      </c>
      <c r="H654" s="11">
        <v>33685268</v>
      </c>
      <c r="I654" s="11" t="s">
        <v>3171</v>
      </c>
      <c r="J654" s="11" t="s">
        <v>466</v>
      </c>
      <c r="K654" s="11" t="s">
        <v>757</v>
      </c>
      <c r="L654" s="11" t="s">
        <v>3641</v>
      </c>
      <c r="M654" s="11" t="s">
        <v>3642</v>
      </c>
      <c r="N654" s="11">
        <v>75573</v>
      </c>
      <c r="O654" s="11">
        <v>12194</v>
      </c>
      <c r="P654" s="11">
        <v>1</v>
      </c>
      <c r="Q654" s="11" t="s">
        <v>3643</v>
      </c>
      <c r="R654" s="14" t="s">
        <v>3644</v>
      </c>
      <c r="S654" s="11">
        <v>662</v>
      </c>
      <c r="T654" s="11" t="s">
        <v>39</v>
      </c>
      <c r="U654" s="11" t="s">
        <v>40</v>
      </c>
      <c r="V654" s="11" t="s">
        <v>586</v>
      </c>
      <c r="W654" s="11">
        <v>68000000</v>
      </c>
      <c r="X654" s="11">
        <v>2003</v>
      </c>
      <c r="Y654" s="11">
        <v>599</v>
      </c>
      <c r="Z654" s="11">
        <v>5.5</v>
      </c>
      <c r="AA654" s="11">
        <v>2.35</v>
      </c>
      <c r="AB654" s="11">
        <v>4000</v>
      </c>
      <c r="AC654" s="11"/>
      <c r="AD654" s="11" t="str">
        <f>IFERROR(__xludf.DUMMYFUNCTION("""COMPUTED_VALUE"""),"Jesse McCartney")</f>
        <v>Jesse McCartney</v>
      </c>
      <c r="AE654" s="11"/>
    </row>
    <row r="655" customHeight="1" spans="1:31">
      <c r="A655" s="12" t="s">
        <v>30</v>
      </c>
      <c r="B655" s="12" t="s">
        <v>390</v>
      </c>
      <c r="C655" s="12">
        <v>538</v>
      </c>
      <c r="D655" s="12">
        <v>150</v>
      </c>
      <c r="E655" s="12">
        <v>14000</v>
      </c>
      <c r="F655" s="12">
        <v>655</v>
      </c>
      <c r="G655" s="12">
        <v>23000</v>
      </c>
      <c r="H655" s="12">
        <v>182204440</v>
      </c>
      <c r="I655" s="12" t="s">
        <v>3241</v>
      </c>
      <c r="J655" s="12" t="s">
        <v>63</v>
      </c>
      <c r="K655" s="12" t="s">
        <v>2498</v>
      </c>
      <c r="L655" s="12" t="s">
        <v>2285</v>
      </c>
      <c r="M655" s="12" t="s">
        <v>3645</v>
      </c>
      <c r="N655" s="12">
        <v>197412</v>
      </c>
      <c r="O655" s="12">
        <v>25517</v>
      </c>
      <c r="P655" s="12">
        <v>0</v>
      </c>
      <c r="Q655" s="12" t="s">
        <v>3646</v>
      </c>
      <c r="R655" s="15" t="s">
        <v>3647</v>
      </c>
      <c r="S655" s="12">
        <v>720</v>
      </c>
      <c r="T655" s="12" t="s">
        <v>39</v>
      </c>
      <c r="U655" s="12" t="s">
        <v>40</v>
      </c>
      <c r="V655" s="12" t="s">
        <v>41</v>
      </c>
      <c r="W655" s="12">
        <v>65000000</v>
      </c>
      <c r="X655" s="12">
        <v>2012</v>
      </c>
      <c r="Y655" s="12">
        <v>826</v>
      </c>
      <c r="Z655" s="12">
        <v>7.4</v>
      </c>
      <c r="AA655" s="12">
        <v>2.35</v>
      </c>
      <c r="AB655" s="12">
        <v>71000</v>
      </c>
      <c r="AC655" s="12"/>
      <c r="AD655" s="12" t="str">
        <f>IFERROR(__xludf.DUMMYFUNCTION("""COMPUTED_VALUE"""),"Adam Sandler")</f>
        <v>Adam Sandler</v>
      </c>
      <c r="AE655" s="12"/>
    </row>
    <row r="656" customHeight="1" spans="1:31">
      <c r="A656" s="11" t="s">
        <v>30</v>
      </c>
      <c r="B656" s="11" t="s">
        <v>444</v>
      </c>
      <c r="C656" s="11">
        <v>313</v>
      </c>
      <c r="D656" s="11">
        <v>136</v>
      </c>
      <c r="E656" s="11">
        <v>0</v>
      </c>
      <c r="F656" s="11">
        <v>99</v>
      </c>
      <c r="G656" s="11">
        <v>18000</v>
      </c>
      <c r="H656" s="11">
        <v>171383253</v>
      </c>
      <c r="I656" s="11" t="s">
        <v>648</v>
      </c>
      <c r="J656" s="11" t="s">
        <v>588</v>
      </c>
      <c r="K656" s="11" t="s">
        <v>3648</v>
      </c>
      <c r="L656" s="11" t="s">
        <v>3649</v>
      </c>
      <c r="M656" s="11" t="s">
        <v>3650</v>
      </c>
      <c r="N656" s="11">
        <v>1217752</v>
      </c>
      <c r="O656" s="11">
        <v>18563</v>
      </c>
      <c r="P656" s="11">
        <v>3</v>
      </c>
      <c r="Q656" s="11" t="s">
        <v>3651</v>
      </c>
      <c r="R656" s="14" t="s">
        <v>3652</v>
      </c>
      <c r="S656" s="11">
        <v>3646</v>
      </c>
      <c r="T656" s="11" t="s">
        <v>39</v>
      </c>
      <c r="U656" s="11" t="s">
        <v>40</v>
      </c>
      <c r="V656" s="11" t="s">
        <v>586</v>
      </c>
      <c r="W656" s="11">
        <v>63000000</v>
      </c>
      <c r="X656" s="11">
        <v>1999</v>
      </c>
      <c r="Y656" s="11">
        <v>145</v>
      </c>
      <c r="Z656" s="11">
        <v>8.7</v>
      </c>
      <c r="AA656" s="11">
        <v>2.35</v>
      </c>
      <c r="AB656" s="11">
        <v>25000</v>
      </c>
      <c r="AC656" s="11"/>
      <c r="AD656" s="11" t="str">
        <f>IFERROR(__xludf.DUMMYFUNCTION("""COMPUTED_VALUE"""),"Sayed Badreya")</f>
        <v>Sayed Badreya</v>
      </c>
      <c r="AE656" s="11"/>
    </row>
    <row r="657" customHeight="1" spans="1:31">
      <c r="A657" s="12" t="s">
        <v>30</v>
      </c>
      <c r="B657" s="12" t="s">
        <v>851</v>
      </c>
      <c r="C657" s="12">
        <v>159</v>
      </c>
      <c r="D657" s="12">
        <v>140</v>
      </c>
      <c r="E657" s="12">
        <v>2000</v>
      </c>
      <c r="F657" s="12">
        <v>552</v>
      </c>
      <c r="G657" s="12">
        <v>15000</v>
      </c>
      <c r="H657" s="12">
        <v>172071312</v>
      </c>
      <c r="I657" s="12" t="s">
        <v>2158</v>
      </c>
      <c r="J657" s="12" t="s">
        <v>322</v>
      </c>
      <c r="K657" s="12" t="s">
        <v>3653</v>
      </c>
      <c r="L657" s="12" t="s">
        <v>3654</v>
      </c>
      <c r="M657" s="12" t="s">
        <v>3655</v>
      </c>
      <c r="N657" s="12">
        <v>208817</v>
      </c>
      <c r="O657" s="12">
        <v>17171</v>
      </c>
      <c r="P657" s="12">
        <v>0</v>
      </c>
      <c r="Q657" s="12" t="s">
        <v>3656</v>
      </c>
      <c r="R657" s="15" t="s">
        <v>3657</v>
      </c>
      <c r="S657" s="12">
        <v>296</v>
      </c>
      <c r="T657" s="12" t="s">
        <v>39</v>
      </c>
      <c r="U657" s="12" t="s">
        <v>40</v>
      </c>
      <c r="V657" s="12" t="s">
        <v>96</v>
      </c>
      <c r="W657" s="12">
        <v>62000000</v>
      </c>
      <c r="X657" s="12">
        <v>1995</v>
      </c>
      <c r="Y657" s="12">
        <v>968</v>
      </c>
      <c r="Z657" s="12">
        <v>7.6</v>
      </c>
      <c r="AA657" s="12">
        <v>2.35</v>
      </c>
      <c r="AB657" s="12">
        <v>5000</v>
      </c>
      <c r="AC657" s="12"/>
      <c r="AD657" s="12" t="str">
        <f>IFERROR(__xludf.DUMMYFUNCTION("""COMPUTED_VALUE"""),"Kevin Nealon")</f>
        <v>Kevin Nealon</v>
      </c>
      <c r="AE657" s="12"/>
    </row>
    <row r="658" customHeight="1" spans="1:31">
      <c r="A658" s="11" t="s">
        <v>30</v>
      </c>
      <c r="B658" s="11" t="s">
        <v>1305</v>
      </c>
      <c r="C658" s="11">
        <v>196</v>
      </c>
      <c r="D658" s="11">
        <v>113</v>
      </c>
      <c r="E658" s="11">
        <v>719</v>
      </c>
      <c r="F658" s="11">
        <v>217</v>
      </c>
      <c r="G658" s="11">
        <v>605</v>
      </c>
      <c r="H658" s="11">
        <v>119412921</v>
      </c>
      <c r="I658" s="11" t="s">
        <v>648</v>
      </c>
      <c r="J658" s="11" t="s">
        <v>1306</v>
      </c>
      <c r="K658" s="11" t="s">
        <v>1307</v>
      </c>
      <c r="L658" s="11" t="s">
        <v>1308</v>
      </c>
      <c r="M658" s="11" t="s">
        <v>1309</v>
      </c>
      <c r="N658" s="11">
        <v>240241</v>
      </c>
      <c r="O658" s="11">
        <v>1441</v>
      </c>
      <c r="P658" s="11">
        <v>0</v>
      </c>
      <c r="Q658" s="11" t="s">
        <v>1310</v>
      </c>
      <c r="R658" s="14" t="s">
        <v>1311</v>
      </c>
      <c r="S658" s="11">
        <v>391</v>
      </c>
      <c r="T658" s="11" t="s">
        <v>39</v>
      </c>
      <c r="U658" s="11" t="s">
        <v>40</v>
      </c>
      <c r="V658" s="11" t="s">
        <v>586</v>
      </c>
      <c r="W658" s="11">
        <v>65000000</v>
      </c>
      <c r="X658" s="11">
        <v>1990</v>
      </c>
      <c r="Y658" s="11">
        <v>308</v>
      </c>
      <c r="Z658" s="11">
        <v>7.5</v>
      </c>
      <c r="AA658" s="11">
        <v>1.85</v>
      </c>
      <c r="AB658" s="11">
        <v>0</v>
      </c>
      <c r="AC658" s="11"/>
      <c r="AD658" s="11" t="str">
        <f>IFERROR(__xludf.DUMMYFUNCTION("""COMPUTED_VALUE"""),"Haley Joel Osment")</f>
        <v>Haley Joel Osment</v>
      </c>
      <c r="AE658" s="11"/>
    </row>
    <row r="659" customHeight="1" spans="1:31">
      <c r="A659" s="12" t="s">
        <v>30</v>
      </c>
      <c r="B659" s="12" t="s">
        <v>3658</v>
      </c>
      <c r="C659" s="12">
        <v>80</v>
      </c>
      <c r="D659" s="12">
        <v>104</v>
      </c>
      <c r="E659" s="12">
        <v>54</v>
      </c>
      <c r="F659" s="12">
        <v>775</v>
      </c>
      <c r="G659" s="12">
        <v>901</v>
      </c>
      <c r="H659" s="12">
        <v>139225854</v>
      </c>
      <c r="I659" s="12" t="s">
        <v>516</v>
      </c>
      <c r="J659" s="12" t="s">
        <v>3659</v>
      </c>
      <c r="K659" s="12" t="s">
        <v>3660</v>
      </c>
      <c r="L659" s="12" t="s">
        <v>3661</v>
      </c>
      <c r="M659" s="12" t="s">
        <v>3662</v>
      </c>
      <c r="N659" s="12">
        <v>34561</v>
      </c>
      <c r="O659" s="12">
        <v>5265</v>
      </c>
      <c r="P659" s="12">
        <v>0</v>
      </c>
      <c r="Q659" s="12" t="s">
        <v>3663</v>
      </c>
      <c r="R659" s="15" t="s">
        <v>3664</v>
      </c>
      <c r="S659" s="12">
        <v>116</v>
      </c>
      <c r="T659" s="12" t="s">
        <v>39</v>
      </c>
      <c r="U659" s="12" t="s">
        <v>40</v>
      </c>
      <c r="V659" s="12" t="s">
        <v>278</v>
      </c>
      <c r="W659" s="12">
        <v>60000000</v>
      </c>
      <c r="X659" s="12">
        <v>2002</v>
      </c>
      <c r="Y659" s="12">
        <v>857</v>
      </c>
      <c r="Z659" s="12">
        <v>5.5</v>
      </c>
      <c r="AA659" s="12">
        <v>1.85</v>
      </c>
      <c r="AB659" s="12">
        <v>1000</v>
      </c>
      <c r="AC659" s="12"/>
      <c r="AD659" s="12" t="str">
        <f>IFERROR(__xludf.DUMMYFUNCTION("""COMPUTED_VALUE"""),"Kevin Sussman")</f>
        <v>Kevin Sussman</v>
      </c>
      <c r="AE659" s="12"/>
    </row>
    <row r="660" customHeight="1" spans="1:31">
      <c r="A660" s="11" t="s">
        <v>30</v>
      </c>
      <c r="B660" s="11" t="s">
        <v>3665</v>
      </c>
      <c r="C660" s="11">
        <v>488</v>
      </c>
      <c r="D660" s="11">
        <v>158</v>
      </c>
      <c r="E660" s="11">
        <v>0</v>
      </c>
      <c r="F660" s="11">
        <v>11000</v>
      </c>
      <c r="G660" s="11">
        <v>20000</v>
      </c>
      <c r="H660" s="11">
        <v>148775460</v>
      </c>
      <c r="I660" s="11" t="s">
        <v>2850</v>
      </c>
      <c r="J660" s="11" t="s">
        <v>263</v>
      </c>
      <c r="K660" s="11" t="s">
        <v>446</v>
      </c>
      <c r="L660" s="11" t="s">
        <v>257</v>
      </c>
      <c r="M660" s="11" t="s">
        <v>3666</v>
      </c>
      <c r="N660" s="11">
        <v>243834</v>
      </c>
      <c r="O660" s="11">
        <v>46204</v>
      </c>
      <c r="P660" s="11">
        <v>1</v>
      </c>
      <c r="Q660" s="11" t="s">
        <v>3667</v>
      </c>
      <c r="R660" s="14" t="s">
        <v>3668</v>
      </c>
      <c r="S660" s="11">
        <v>845</v>
      </c>
      <c r="T660" s="11" t="s">
        <v>39</v>
      </c>
      <c r="U660" s="11" t="s">
        <v>40</v>
      </c>
      <c r="V660" s="11" t="s">
        <v>41</v>
      </c>
      <c r="W660" s="11">
        <v>61000000</v>
      </c>
      <c r="X660" s="11">
        <v>2012</v>
      </c>
      <c r="Y660" s="11">
        <v>13000</v>
      </c>
      <c r="Z660" s="11">
        <v>7.6</v>
      </c>
      <c r="AA660" s="11">
        <v>1.85</v>
      </c>
      <c r="AB660" s="11">
        <v>144000</v>
      </c>
      <c r="AC660" s="11"/>
      <c r="AD660" s="11" t="str">
        <f>IFERROR(__xludf.DUMMYFUNCTION("""COMPUTED_VALUE"""),"Marsha Thomason")</f>
        <v>Marsha Thomason</v>
      </c>
      <c r="AE660" s="11"/>
    </row>
    <row r="661" customHeight="1" spans="1:31">
      <c r="A661" s="12" t="s">
        <v>30</v>
      </c>
      <c r="B661" s="12" t="s">
        <v>3669</v>
      </c>
      <c r="C661" s="12">
        <v>153</v>
      </c>
      <c r="D661" s="12">
        <v>119</v>
      </c>
      <c r="E661" s="12">
        <v>0</v>
      </c>
      <c r="F661" s="12">
        <v>744</v>
      </c>
      <c r="G661" s="12">
        <v>15000</v>
      </c>
      <c r="H661" s="12">
        <v>115731542</v>
      </c>
      <c r="I661" s="12" t="s">
        <v>1415</v>
      </c>
      <c r="J661" s="12" t="s">
        <v>322</v>
      </c>
      <c r="K661" s="12" t="s">
        <v>3670</v>
      </c>
      <c r="L661" s="12" t="s">
        <v>2638</v>
      </c>
      <c r="M661" s="12" t="s">
        <v>3671</v>
      </c>
      <c r="N661" s="12">
        <v>151812</v>
      </c>
      <c r="O661" s="12">
        <v>17768</v>
      </c>
      <c r="P661" s="12">
        <v>2</v>
      </c>
      <c r="Q661" s="12" t="s">
        <v>3672</v>
      </c>
      <c r="R661" s="15" t="s">
        <v>3673</v>
      </c>
      <c r="S661" s="12">
        <v>556</v>
      </c>
      <c r="T661" s="12" t="s">
        <v>39</v>
      </c>
      <c r="U661" s="12" t="s">
        <v>40</v>
      </c>
      <c r="V661" s="12" t="s">
        <v>96</v>
      </c>
      <c r="W661" s="12">
        <v>65000000</v>
      </c>
      <c r="X661" s="12">
        <v>1998</v>
      </c>
      <c r="Y661" s="12">
        <v>793</v>
      </c>
      <c r="Z661" s="12">
        <v>6.5</v>
      </c>
      <c r="AA661" s="12">
        <v>1.85</v>
      </c>
      <c r="AB661" s="12">
        <v>0</v>
      </c>
      <c r="AC661" s="12"/>
      <c r="AD661" s="12" t="str">
        <f>IFERROR(__xludf.DUMMYFUNCTION("""COMPUTED_VALUE"""),"Rachael Harris")</f>
        <v>Rachael Harris</v>
      </c>
      <c r="AE661" s="12"/>
    </row>
    <row r="662" customHeight="1" spans="1:31">
      <c r="A662" s="11" t="s">
        <v>30</v>
      </c>
      <c r="B662" s="11" t="s">
        <v>1752</v>
      </c>
      <c r="C662" s="11">
        <v>173</v>
      </c>
      <c r="D662" s="11">
        <v>106</v>
      </c>
      <c r="E662" s="11">
        <v>285</v>
      </c>
      <c r="F662" s="11">
        <v>105</v>
      </c>
      <c r="G662" s="11">
        <v>8000</v>
      </c>
      <c r="H662" s="11">
        <v>100468793</v>
      </c>
      <c r="I662" s="11" t="s">
        <v>1672</v>
      </c>
      <c r="J662" s="11" t="s">
        <v>1249</v>
      </c>
      <c r="K662" s="11" t="s">
        <v>1545</v>
      </c>
      <c r="L662" s="11" t="s">
        <v>3674</v>
      </c>
      <c r="M662" s="11" t="s">
        <v>3675</v>
      </c>
      <c r="N662" s="11">
        <v>212499</v>
      </c>
      <c r="O662" s="11">
        <v>11264</v>
      </c>
      <c r="P662" s="11">
        <v>2</v>
      </c>
      <c r="Q662" s="11" t="s">
        <v>3676</v>
      </c>
      <c r="R662" s="14" t="s">
        <v>3677</v>
      </c>
      <c r="S662" s="11">
        <v>277</v>
      </c>
      <c r="T662" s="11" t="s">
        <v>39</v>
      </c>
      <c r="U662" s="11" t="s">
        <v>40</v>
      </c>
      <c r="V662" s="11" t="s">
        <v>586</v>
      </c>
      <c r="W662" s="11">
        <v>65000000</v>
      </c>
      <c r="X662" s="11">
        <v>2008</v>
      </c>
      <c r="Y662" s="11">
        <v>3000</v>
      </c>
      <c r="Z662" s="11">
        <v>6.9</v>
      </c>
      <c r="AA662" s="11">
        <v>2.35</v>
      </c>
      <c r="AB662" s="11">
        <v>0</v>
      </c>
      <c r="AC662" s="11"/>
      <c r="AD662" s="11" t="str">
        <f>IFERROR(__xludf.DUMMYFUNCTION("""COMPUTED_VALUE"""),"Marc John Jefferies")</f>
        <v>Marc John Jefferies</v>
      </c>
      <c r="AE662" s="11"/>
    </row>
    <row r="663" customHeight="1" spans="1:31">
      <c r="A663" s="12" t="s">
        <v>30</v>
      </c>
      <c r="B663" s="12" t="s">
        <v>314</v>
      </c>
      <c r="C663" s="12">
        <v>156</v>
      </c>
      <c r="D663" s="12">
        <v>136</v>
      </c>
      <c r="E663" s="12">
        <v>258</v>
      </c>
      <c r="F663" s="12">
        <v>94</v>
      </c>
      <c r="G663" s="12">
        <v>12000</v>
      </c>
      <c r="H663" s="12">
        <v>93771072</v>
      </c>
      <c r="I663" s="12" t="s">
        <v>3678</v>
      </c>
      <c r="J663" s="12" t="s">
        <v>763</v>
      </c>
      <c r="K663" s="12" t="s">
        <v>3679</v>
      </c>
      <c r="L663" s="12" t="s">
        <v>3680</v>
      </c>
      <c r="M663" s="12" t="s">
        <v>3681</v>
      </c>
      <c r="N663" s="12">
        <v>135404</v>
      </c>
      <c r="O663" s="12">
        <v>12396</v>
      </c>
      <c r="P663" s="12">
        <v>0</v>
      </c>
      <c r="Q663" s="12" t="s">
        <v>3682</v>
      </c>
      <c r="R663" s="15" t="s">
        <v>3683</v>
      </c>
      <c r="S663" s="12">
        <v>318</v>
      </c>
      <c r="T663" s="12" t="s">
        <v>39</v>
      </c>
      <c r="U663" s="12" t="s">
        <v>40</v>
      </c>
      <c r="V663" s="12" t="s">
        <v>41</v>
      </c>
      <c r="W663" s="12">
        <v>65000000</v>
      </c>
      <c r="X663" s="12">
        <v>1998</v>
      </c>
      <c r="Y663" s="12">
        <v>174</v>
      </c>
      <c r="Z663" s="12">
        <v>6.7</v>
      </c>
      <c r="AA663" s="12">
        <v>2.35</v>
      </c>
      <c r="AB663" s="12">
        <v>0</v>
      </c>
      <c r="AC663" s="12"/>
      <c r="AD663" s="12" t="str">
        <f>IFERROR(__xludf.DUMMYFUNCTION("""COMPUTED_VALUE"""),"Tom Skerritt")</f>
        <v>Tom Skerritt</v>
      </c>
      <c r="AE663" s="12"/>
    </row>
    <row r="664" customHeight="1" spans="1:31">
      <c r="A664" s="11" t="s">
        <v>30</v>
      </c>
      <c r="B664" s="11" t="s">
        <v>2543</v>
      </c>
      <c r="C664" s="11">
        <v>307</v>
      </c>
      <c r="D664" s="11">
        <v>95</v>
      </c>
      <c r="E664" s="11">
        <v>480</v>
      </c>
      <c r="F664" s="11">
        <v>490</v>
      </c>
      <c r="G664" s="11">
        <v>21000</v>
      </c>
      <c r="H664" s="11">
        <v>100448498</v>
      </c>
      <c r="I664" s="11" t="s">
        <v>2528</v>
      </c>
      <c r="J664" s="11" t="s">
        <v>99</v>
      </c>
      <c r="K664" s="11" t="s">
        <v>1729</v>
      </c>
      <c r="L664" s="11" t="s">
        <v>3684</v>
      </c>
      <c r="M664" s="11" t="s">
        <v>3685</v>
      </c>
      <c r="N664" s="11">
        <v>272789</v>
      </c>
      <c r="O664" s="11">
        <v>23018</v>
      </c>
      <c r="P664" s="11">
        <v>3</v>
      </c>
      <c r="Q664" s="11" t="s">
        <v>3686</v>
      </c>
      <c r="R664" s="14" t="s">
        <v>3687</v>
      </c>
      <c r="S664" s="11">
        <v>285</v>
      </c>
      <c r="T664" s="11" t="s">
        <v>39</v>
      </c>
      <c r="U664" s="11" t="s">
        <v>40</v>
      </c>
      <c r="V664" s="11" t="s">
        <v>586</v>
      </c>
      <c r="W664" s="11">
        <v>65000000</v>
      </c>
      <c r="X664" s="11">
        <v>2010</v>
      </c>
      <c r="Y664" s="11">
        <v>561</v>
      </c>
      <c r="Z664" s="11">
        <v>6.6</v>
      </c>
      <c r="AA664" s="11">
        <v>2.35</v>
      </c>
      <c r="AB664" s="11">
        <v>25000</v>
      </c>
      <c r="AC664" s="11"/>
      <c r="AD664" s="11" t="str">
        <f>IFERROR(__xludf.DUMMYFUNCTION("""COMPUTED_VALUE"""),"Larry King")</f>
        <v>Larry King</v>
      </c>
      <c r="AE664" s="11"/>
    </row>
    <row r="665" customHeight="1" spans="1:31">
      <c r="A665" s="12" t="s">
        <v>30</v>
      </c>
      <c r="B665" s="12" t="s">
        <v>565</v>
      </c>
      <c r="C665" s="12">
        <v>322</v>
      </c>
      <c r="D665" s="12">
        <v>137</v>
      </c>
      <c r="E665" s="12">
        <v>11000</v>
      </c>
      <c r="F665" s="12">
        <v>465</v>
      </c>
      <c r="G665" s="12">
        <v>769</v>
      </c>
      <c r="H665" s="12">
        <v>115603980</v>
      </c>
      <c r="I665" s="12" t="s">
        <v>3688</v>
      </c>
      <c r="J665" s="12" t="s">
        <v>3689</v>
      </c>
      <c r="K665" s="12" t="s">
        <v>3690</v>
      </c>
      <c r="L665" s="12" t="s">
        <v>3691</v>
      </c>
      <c r="M665" s="12" t="s">
        <v>3692</v>
      </c>
      <c r="N665" s="12">
        <v>103589</v>
      </c>
      <c r="O665" s="12">
        <v>2938</v>
      </c>
      <c r="P665" s="12">
        <v>0</v>
      </c>
      <c r="Q665" s="12" t="s">
        <v>3693</v>
      </c>
      <c r="R665" s="15" t="s">
        <v>3694</v>
      </c>
      <c r="S665" s="12">
        <v>351</v>
      </c>
      <c r="T665" s="12" t="s">
        <v>39</v>
      </c>
      <c r="U665" s="12" t="s">
        <v>40</v>
      </c>
      <c r="V665" s="12" t="s">
        <v>41</v>
      </c>
      <c r="W665" s="12">
        <v>65000000</v>
      </c>
      <c r="X665" s="12">
        <v>2014</v>
      </c>
      <c r="Y665" s="12">
        <v>698</v>
      </c>
      <c r="Z665" s="12">
        <v>7.2</v>
      </c>
      <c r="AA665" s="12">
        <v>2.35</v>
      </c>
      <c r="AB665" s="12">
        <v>35000</v>
      </c>
      <c r="AC665" s="12"/>
      <c r="AD665" s="12" t="str">
        <f>IFERROR(__xludf.DUMMYFUNCTION("""COMPUTED_VALUE"""),"Greg Grunberg")</f>
        <v>Greg Grunberg</v>
      </c>
      <c r="AE665" s="12"/>
    </row>
    <row r="666" customHeight="1" spans="1:31">
      <c r="A666" s="11" t="s">
        <v>748</v>
      </c>
      <c r="B666" s="11" t="s">
        <v>3695</v>
      </c>
      <c r="C666" s="11">
        <v>169</v>
      </c>
      <c r="D666" s="11">
        <v>130</v>
      </c>
      <c r="E666" s="11">
        <v>16000</v>
      </c>
      <c r="F666" s="11">
        <v>416</v>
      </c>
      <c r="G666" s="11">
        <v>16000</v>
      </c>
      <c r="H666" s="11">
        <v>90454043</v>
      </c>
      <c r="I666" s="11" t="s">
        <v>51</v>
      </c>
      <c r="J666" s="11" t="s">
        <v>3695</v>
      </c>
      <c r="K666" s="11" t="s">
        <v>3696</v>
      </c>
      <c r="L666" s="11" t="s">
        <v>3697</v>
      </c>
      <c r="M666" s="11" t="s">
        <v>3698</v>
      </c>
      <c r="N666" s="11">
        <v>60165</v>
      </c>
      <c r="O666" s="11">
        <v>17771</v>
      </c>
      <c r="P666" s="11">
        <v>1</v>
      </c>
      <c r="Q666" s="11" t="s">
        <v>3699</v>
      </c>
      <c r="R666" s="14" t="s">
        <v>3700</v>
      </c>
      <c r="S666" s="11">
        <v>326</v>
      </c>
      <c r="T666" s="11" t="s">
        <v>39</v>
      </c>
      <c r="U666" s="11" t="s">
        <v>40</v>
      </c>
      <c r="V666" s="11" t="s">
        <v>41</v>
      </c>
      <c r="W666" s="11">
        <v>65000000</v>
      </c>
      <c r="X666" s="11">
        <v>2000</v>
      </c>
      <c r="Y666" s="11">
        <v>495</v>
      </c>
      <c r="Z666" s="11">
        <v>6.4</v>
      </c>
      <c r="AA666" s="11">
        <v>2.35</v>
      </c>
      <c r="AB666" s="11">
        <v>0</v>
      </c>
      <c r="AC666" s="11"/>
      <c r="AD666" s="11" t="str">
        <f>IFERROR(__xludf.DUMMYFUNCTION("""COMPUTED_VALUE"""),"Kim Dickens")</f>
        <v>Kim Dickens</v>
      </c>
      <c r="AE666" s="11"/>
    </row>
    <row r="667" customHeight="1" spans="1:31">
      <c r="A667" s="12" t="s">
        <v>30</v>
      </c>
      <c r="B667" s="12" t="s">
        <v>2067</v>
      </c>
      <c r="C667" s="12">
        <v>74</v>
      </c>
      <c r="D667" s="12">
        <v>124</v>
      </c>
      <c r="E667" s="12">
        <v>212</v>
      </c>
      <c r="F667" s="12">
        <v>369</v>
      </c>
      <c r="G667" s="12">
        <v>13000</v>
      </c>
      <c r="H667" s="12">
        <v>84049211</v>
      </c>
      <c r="I667" s="12" t="s">
        <v>51</v>
      </c>
      <c r="J667" s="12" t="s">
        <v>1785</v>
      </c>
      <c r="K667" s="12" t="s">
        <v>3701</v>
      </c>
      <c r="L667" s="12" t="s">
        <v>3702</v>
      </c>
      <c r="M667" s="12" t="s">
        <v>3703</v>
      </c>
      <c r="N667" s="12">
        <v>96096</v>
      </c>
      <c r="O667" s="12">
        <v>15229</v>
      </c>
      <c r="P667" s="12">
        <v>1</v>
      </c>
      <c r="Q667" s="12" t="s">
        <v>3704</v>
      </c>
      <c r="R667" s="15" t="s">
        <v>3705</v>
      </c>
      <c r="S667" s="12">
        <v>172</v>
      </c>
      <c r="T667" s="12" t="s">
        <v>39</v>
      </c>
      <c r="U667" s="12" t="s">
        <v>40</v>
      </c>
      <c r="V667" s="12" t="s">
        <v>586</v>
      </c>
      <c r="W667" s="12">
        <v>70000000</v>
      </c>
      <c r="X667" s="12">
        <v>1993</v>
      </c>
      <c r="Y667" s="12">
        <v>730</v>
      </c>
      <c r="Z667" s="12">
        <v>6.4</v>
      </c>
      <c r="AA667" s="12">
        <v>2.35</v>
      </c>
      <c r="AB667" s="12">
        <v>0</v>
      </c>
      <c r="AC667" s="12"/>
      <c r="AD667" s="12" t="str">
        <f>IFERROR(__xludf.DUMMYFUNCTION("""COMPUTED_VALUE"""),"Curtiss Cook")</f>
        <v>Curtiss Cook</v>
      </c>
      <c r="AE667" s="12"/>
    </row>
    <row r="668" customHeight="1" spans="1:31">
      <c r="A668" s="11" t="s">
        <v>30</v>
      </c>
      <c r="B668" s="11" t="s">
        <v>1341</v>
      </c>
      <c r="C668" s="11">
        <v>72</v>
      </c>
      <c r="D668" s="11">
        <v>108</v>
      </c>
      <c r="E668" s="11">
        <v>610</v>
      </c>
      <c r="F668" s="11">
        <v>461</v>
      </c>
      <c r="G668" s="11">
        <v>848</v>
      </c>
      <c r="H668" s="11">
        <v>70450000</v>
      </c>
      <c r="I668" s="11" t="s">
        <v>334</v>
      </c>
      <c r="J668" s="11" t="s">
        <v>472</v>
      </c>
      <c r="K668" s="11" t="s">
        <v>3706</v>
      </c>
      <c r="L668" s="11" t="s">
        <v>1348</v>
      </c>
      <c r="M668" s="11" t="s">
        <v>3707</v>
      </c>
      <c r="N668" s="11">
        <v>77390</v>
      </c>
      <c r="O668" s="11">
        <v>2913</v>
      </c>
      <c r="P668" s="11">
        <v>2</v>
      </c>
      <c r="Q668" s="11" t="s">
        <v>3708</v>
      </c>
      <c r="R668" s="14" t="s">
        <v>3709</v>
      </c>
      <c r="S668" s="11">
        <v>189</v>
      </c>
      <c r="T668" s="11" t="s">
        <v>39</v>
      </c>
      <c r="U668" s="11" t="s">
        <v>40</v>
      </c>
      <c r="V668" s="11" t="s">
        <v>586</v>
      </c>
      <c r="W668" s="11">
        <v>50000000</v>
      </c>
      <c r="X668" s="11">
        <v>1996</v>
      </c>
      <c r="Y668" s="11">
        <v>517</v>
      </c>
      <c r="Z668" s="11">
        <v>6</v>
      </c>
      <c r="AA668" s="11">
        <v>2.35</v>
      </c>
      <c r="AB668" s="11">
        <v>0</v>
      </c>
      <c r="AC668" s="11"/>
      <c r="AD668" s="11" t="str">
        <f>IFERROR(__xludf.DUMMYFUNCTION("""COMPUTED_VALUE"""),"George Harris")</f>
        <v>George Harris</v>
      </c>
      <c r="AE668" s="11"/>
    </row>
    <row r="669" customHeight="1" spans="1:31">
      <c r="A669" s="12" t="s">
        <v>30</v>
      </c>
      <c r="B669" s="12" t="s">
        <v>704</v>
      </c>
      <c r="C669" s="12">
        <v>86</v>
      </c>
      <c r="D669" s="12">
        <v>104</v>
      </c>
      <c r="E669" s="12">
        <v>226</v>
      </c>
      <c r="F669" s="12">
        <v>577</v>
      </c>
      <c r="G669" s="12">
        <v>13000</v>
      </c>
      <c r="H669" s="12">
        <v>69688384</v>
      </c>
      <c r="I669" s="12" t="s">
        <v>516</v>
      </c>
      <c r="J669" s="12" t="s">
        <v>978</v>
      </c>
      <c r="K669" s="12" t="s">
        <v>3710</v>
      </c>
      <c r="L669" s="12" t="s">
        <v>3711</v>
      </c>
      <c r="M669" s="12" t="s">
        <v>3712</v>
      </c>
      <c r="N669" s="12">
        <v>34473</v>
      </c>
      <c r="O669" s="12">
        <v>16452</v>
      </c>
      <c r="P669" s="12">
        <v>1</v>
      </c>
      <c r="Q669" s="12" t="s">
        <v>3713</v>
      </c>
      <c r="R669" s="15" t="s">
        <v>3714</v>
      </c>
      <c r="S669" s="12">
        <v>139</v>
      </c>
      <c r="T669" s="12" t="s">
        <v>39</v>
      </c>
      <c r="U669" s="12" t="s">
        <v>40</v>
      </c>
      <c r="V669" s="12" t="s">
        <v>96</v>
      </c>
      <c r="W669" s="12">
        <v>60000000</v>
      </c>
      <c r="X669" s="12">
        <v>2000</v>
      </c>
      <c r="Y669" s="12">
        <v>718</v>
      </c>
      <c r="Z669" s="12">
        <v>6.1</v>
      </c>
      <c r="AA669" s="12">
        <v>1.85</v>
      </c>
      <c r="AB669" s="12">
        <v>0</v>
      </c>
      <c r="AC669" s="12"/>
      <c r="AD669" s="12" t="str">
        <f>IFERROR(__xludf.DUMMYFUNCTION("""COMPUTED_VALUE"""),"Michael Wright")</f>
        <v>Michael Wright</v>
      </c>
      <c r="AE669" s="12"/>
    </row>
    <row r="670" customHeight="1" spans="1:31">
      <c r="A670" s="11" t="s">
        <v>30</v>
      </c>
      <c r="B670" s="11" t="s">
        <v>761</v>
      </c>
      <c r="C670" s="11">
        <v>242</v>
      </c>
      <c r="D670" s="11">
        <v>129</v>
      </c>
      <c r="E670" s="11">
        <v>0</v>
      </c>
      <c r="F670" s="11">
        <v>625</v>
      </c>
      <c r="G670" s="11">
        <v>12000</v>
      </c>
      <c r="H670" s="11">
        <v>70236496</v>
      </c>
      <c r="I670" s="11" t="s">
        <v>2819</v>
      </c>
      <c r="J670" s="11" t="s">
        <v>705</v>
      </c>
      <c r="K670" s="11" t="s">
        <v>3715</v>
      </c>
      <c r="L670" s="11" t="s">
        <v>1790</v>
      </c>
      <c r="M670" s="11" t="s">
        <v>3716</v>
      </c>
      <c r="N670" s="11">
        <v>67395</v>
      </c>
      <c r="O670" s="11">
        <v>14421</v>
      </c>
      <c r="P670" s="11">
        <v>0</v>
      </c>
      <c r="Q670" s="11" t="s">
        <v>3717</v>
      </c>
      <c r="R670" s="14" t="s">
        <v>3718</v>
      </c>
      <c r="S670" s="11">
        <v>564</v>
      </c>
      <c r="T670" s="11" t="s">
        <v>39</v>
      </c>
      <c r="U670" s="11" t="s">
        <v>40</v>
      </c>
      <c r="V670" s="11" t="s">
        <v>41</v>
      </c>
      <c r="W670" s="11">
        <v>63000000</v>
      </c>
      <c r="X670" s="11">
        <v>2006</v>
      </c>
      <c r="Y670" s="11">
        <v>1000</v>
      </c>
      <c r="Z670" s="11">
        <v>6</v>
      </c>
      <c r="AA670" s="11">
        <v>1.85</v>
      </c>
      <c r="AB670" s="11">
        <v>0</v>
      </c>
      <c r="AC670" s="11"/>
      <c r="AD670" s="11" t="str">
        <f>IFERROR(__xludf.DUMMYFUNCTION("""COMPUTED_VALUE"""),"Leven Rambin")</f>
        <v>Leven Rambin</v>
      </c>
      <c r="AE670" s="11"/>
    </row>
    <row r="671" customHeight="1" spans="1:31">
      <c r="A671" s="12" t="s">
        <v>30</v>
      </c>
      <c r="B671" s="12" t="s">
        <v>372</v>
      </c>
      <c r="C671" s="12">
        <v>141</v>
      </c>
      <c r="D671" s="12">
        <v>117</v>
      </c>
      <c r="E671" s="12">
        <v>179</v>
      </c>
      <c r="F671" s="12">
        <v>403</v>
      </c>
      <c r="G671" s="12">
        <v>8000</v>
      </c>
      <c r="H671" s="12">
        <v>63695760</v>
      </c>
      <c r="I671" s="12" t="s">
        <v>3410</v>
      </c>
      <c r="J671" s="12" t="s">
        <v>1529</v>
      </c>
      <c r="K671" s="12" t="s">
        <v>84</v>
      </c>
      <c r="L671" s="12" t="s">
        <v>3719</v>
      </c>
      <c r="M671" s="12" t="s">
        <v>3720</v>
      </c>
      <c r="N671" s="12">
        <v>61490</v>
      </c>
      <c r="O671" s="12">
        <v>12850</v>
      </c>
      <c r="P671" s="12">
        <v>1</v>
      </c>
      <c r="Q671" s="12" t="s">
        <v>3721</v>
      </c>
      <c r="R671" s="15" t="s">
        <v>3722</v>
      </c>
      <c r="S671" s="12">
        <v>264</v>
      </c>
      <c r="T671" s="12" t="s">
        <v>39</v>
      </c>
      <c r="U671" s="12" t="s">
        <v>40</v>
      </c>
      <c r="V671" s="12" t="s">
        <v>41</v>
      </c>
      <c r="W671" s="12">
        <v>65000000</v>
      </c>
      <c r="X671" s="12">
        <v>2003</v>
      </c>
      <c r="Y671" s="12">
        <v>4000</v>
      </c>
      <c r="Z671" s="12">
        <v>6.4</v>
      </c>
      <c r="AA671" s="12">
        <v>1.85</v>
      </c>
      <c r="AB671" s="12">
        <v>0</v>
      </c>
      <c r="AC671" s="12"/>
      <c r="AD671" s="12" t="str">
        <f>IFERROR(__xludf.DUMMYFUNCTION("""COMPUTED_VALUE"""),"Sanaa Lathan")</f>
        <v>Sanaa Lathan</v>
      </c>
      <c r="AE671" s="12"/>
    </row>
    <row r="672" customHeight="1" spans="1:31">
      <c r="A672" s="11" t="s">
        <v>30</v>
      </c>
      <c r="B672" s="11" t="s">
        <v>3723</v>
      </c>
      <c r="C672" s="11">
        <v>313</v>
      </c>
      <c r="D672" s="11">
        <v>99</v>
      </c>
      <c r="E672" s="11">
        <v>119</v>
      </c>
      <c r="F672" s="11">
        <v>174</v>
      </c>
      <c r="G672" s="11">
        <v>600</v>
      </c>
      <c r="H672" s="11">
        <v>59617068</v>
      </c>
      <c r="I672" s="11" t="s">
        <v>1681</v>
      </c>
      <c r="J672" s="11" t="s">
        <v>2181</v>
      </c>
      <c r="K672" s="11" t="s">
        <v>916</v>
      </c>
      <c r="L672" s="11" t="s">
        <v>3724</v>
      </c>
      <c r="M672" s="11" t="s">
        <v>3725</v>
      </c>
      <c r="N672" s="11">
        <v>213863</v>
      </c>
      <c r="O672" s="11">
        <v>1375</v>
      </c>
      <c r="P672" s="11">
        <v>0</v>
      </c>
      <c r="Q672" s="11" t="s">
        <v>3726</v>
      </c>
      <c r="R672" s="14" t="s">
        <v>3727</v>
      </c>
      <c r="S672" s="11">
        <v>310</v>
      </c>
      <c r="T672" s="11" t="s">
        <v>39</v>
      </c>
      <c r="U672" s="11" t="s">
        <v>40</v>
      </c>
      <c r="V672" s="11" t="s">
        <v>586</v>
      </c>
      <c r="W672" s="11">
        <v>65000000</v>
      </c>
      <c r="X672" s="11">
        <v>2012</v>
      </c>
      <c r="Y672" s="11">
        <v>346</v>
      </c>
      <c r="Z672" s="11">
        <v>6.4</v>
      </c>
      <c r="AA672" s="11">
        <v>2.35</v>
      </c>
      <c r="AB672" s="11">
        <v>59000</v>
      </c>
      <c r="AC672" s="11"/>
      <c r="AD672" s="11" t="str">
        <f>IFERROR(__xludf.DUMMYFUNCTION("""COMPUTED_VALUE"""),"Alun Armstrong")</f>
        <v>Alun Armstrong</v>
      </c>
      <c r="AE672" s="11"/>
    </row>
    <row r="673" customHeight="1" spans="1:31">
      <c r="A673" s="12" t="s">
        <v>30</v>
      </c>
      <c r="B673" s="12" t="s">
        <v>3728</v>
      </c>
      <c r="C673" s="12">
        <v>280</v>
      </c>
      <c r="D673" s="12">
        <v>159</v>
      </c>
      <c r="E673" s="12">
        <v>0</v>
      </c>
      <c r="F673" s="12">
        <v>521</v>
      </c>
      <c r="G673" s="12">
        <v>10000</v>
      </c>
      <c r="H673" s="12">
        <v>55637680</v>
      </c>
      <c r="I673" s="12" t="s">
        <v>1924</v>
      </c>
      <c r="J673" s="12" t="s">
        <v>523</v>
      </c>
      <c r="K673" s="12" t="s">
        <v>3729</v>
      </c>
      <c r="L673" s="12" t="s">
        <v>2214</v>
      </c>
      <c r="M673" s="12" t="s">
        <v>3730</v>
      </c>
      <c r="N673" s="12">
        <v>227071</v>
      </c>
      <c r="O673" s="12">
        <v>11424</v>
      </c>
      <c r="P673" s="12">
        <v>1</v>
      </c>
      <c r="Q673" s="12" t="s">
        <v>3731</v>
      </c>
      <c r="R673" s="15" t="s">
        <v>3732</v>
      </c>
      <c r="S673" s="12">
        <v>1500</v>
      </c>
      <c r="T673" s="12" t="s">
        <v>39</v>
      </c>
      <c r="U673" s="12" t="s">
        <v>58</v>
      </c>
      <c r="V673" s="12" t="s">
        <v>586</v>
      </c>
      <c r="W673" s="12">
        <v>65000000</v>
      </c>
      <c r="X673" s="12">
        <v>1999</v>
      </c>
      <c r="Y673" s="12">
        <v>580</v>
      </c>
      <c r="Z673" s="12">
        <v>7.3</v>
      </c>
      <c r="AA673" s="12">
        <v>1.66</v>
      </c>
      <c r="AB673" s="12">
        <v>10000</v>
      </c>
      <c r="AC673" s="12"/>
      <c r="AD673" s="12" t="str">
        <f>IFERROR(__xludf.DUMMYFUNCTION("""COMPUTED_VALUE"""),"Michael Byrne")</f>
        <v>Michael Byrne</v>
      </c>
      <c r="AE673" s="12"/>
    </row>
    <row r="674" customHeight="1" spans="1:31">
      <c r="A674" s="11" t="s">
        <v>30</v>
      </c>
      <c r="B674" s="11" t="s">
        <v>3733</v>
      </c>
      <c r="C674" s="11">
        <v>176</v>
      </c>
      <c r="D674" s="11">
        <v>118</v>
      </c>
      <c r="E674" s="11">
        <v>87</v>
      </c>
      <c r="F674" s="11">
        <v>929</v>
      </c>
      <c r="G674" s="11">
        <v>2000</v>
      </c>
      <c r="H674" s="11">
        <v>85911262</v>
      </c>
      <c r="I674" s="11" t="s">
        <v>3734</v>
      </c>
      <c r="J674" s="11" t="s">
        <v>3735</v>
      </c>
      <c r="K674" s="11" t="s">
        <v>2730</v>
      </c>
      <c r="L674" s="11" t="s">
        <v>3736</v>
      </c>
      <c r="M674" s="11" t="s">
        <v>3737</v>
      </c>
      <c r="N674" s="11">
        <v>24735</v>
      </c>
      <c r="O674" s="11">
        <v>4796</v>
      </c>
      <c r="P674" s="11">
        <v>6</v>
      </c>
      <c r="Q674" s="11" t="s">
        <v>3738</v>
      </c>
      <c r="R674" s="14" t="s">
        <v>3739</v>
      </c>
      <c r="S674" s="11">
        <v>213</v>
      </c>
      <c r="T674" s="11" t="s">
        <v>39</v>
      </c>
      <c r="U674" s="11" t="s">
        <v>40</v>
      </c>
      <c r="V674" s="11" t="s">
        <v>96</v>
      </c>
      <c r="W674" s="11">
        <v>65000000</v>
      </c>
      <c r="X674" s="11">
        <v>2014</v>
      </c>
      <c r="Y674" s="11">
        <v>1000</v>
      </c>
      <c r="Z674" s="11">
        <v>5.2</v>
      </c>
      <c r="AA674" s="11">
        <v>2.39</v>
      </c>
      <c r="AB674" s="11">
        <v>16000</v>
      </c>
      <c r="AC674" s="11"/>
      <c r="AD674" s="11" t="str">
        <f>IFERROR(__xludf.DUMMYFUNCTION("""COMPUTED_VALUE"""),"Velibor Topic")</f>
        <v>Velibor Topic</v>
      </c>
      <c r="AE674" s="11"/>
    </row>
    <row r="675" customHeight="1" spans="1:31">
      <c r="A675" s="12" t="s">
        <v>30</v>
      </c>
      <c r="B675" s="12" t="s">
        <v>3740</v>
      </c>
      <c r="C675" s="12">
        <v>279</v>
      </c>
      <c r="D675" s="12">
        <v>105</v>
      </c>
      <c r="E675" s="12">
        <v>43</v>
      </c>
      <c r="F675" s="12">
        <v>523</v>
      </c>
      <c r="G675" s="12">
        <v>10000</v>
      </c>
      <c r="H675" s="12">
        <v>53846915</v>
      </c>
      <c r="I675" s="12" t="s">
        <v>3124</v>
      </c>
      <c r="J675" s="12" t="s">
        <v>166</v>
      </c>
      <c r="K675" s="12" t="s">
        <v>2115</v>
      </c>
      <c r="L675" s="12" t="s">
        <v>3741</v>
      </c>
      <c r="M675" s="12" t="s">
        <v>3742</v>
      </c>
      <c r="N675" s="12">
        <v>149337</v>
      </c>
      <c r="O675" s="12">
        <v>11943</v>
      </c>
      <c r="P675" s="12">
        <v>0</v>
      </c>
      <c r="Q675" s="12" t="s">
        <v>3743</v>
      </c>
      <c r="R675" s="15" t="s">
        <v>3744</v>
      </c>
      <c r="S675" s="12">
        <v>221</v>
      </c>
      <c r="T675" s="12" t="s">
        <v>39</v>
      </c>
      <c r="U675" s="12" t="s">
        <v>40</v>
      </c>
      <c r="V675" s="12" t="s">
        <v>586</v>
      </c>
      <c r="W675" s="12">
        <v>50100000</v>
      </c>
      <c r="X675" s="12">
        <v>2015</v>
      </c>
      <c r="Y675" s="12">
        <v>806</v>
      </c>
      <c r="Z675" s="12">
        <v>6.6</v>
      </c>
      <c r="AA675" s="12">
        <v>1.85</v>
      </c>
      <c r="AB675" s="12">
        <v>23000</v>
      </c>
      <c r="AC675" s="12"/>
      <c r="AD675" s="12" t="str">
        <f>IFERROR(__xludf.DUMMYFUNCTION("""COMPUTED_VALUE"""),"Stephen Dillane")</f>
        <v>Stephen Dillane</v>
      </c>
      <c r="AE675" s="12"/>
    </row>
    <row r="676" customHeight="1" spans="1:31">
      <c r="A676" s="11" t="s">
        <v>30</v>
      </c>
      <c r="B676" s="11" t="s">
        <v>328</v>
      </c>
      <c r="C676" s="11">
        <v>241</v>
      </c>
      <c r="D676" s="11">
        <v>103</v>
      </c>
      <c r="E676" s="11">
        <v>368</v>
      </c>
      <c r="F676" s="11">
        <v>520</v>
      </c>
      <c r="G676" s="11">
        <v>27000</v>
      </c>
      <c r="H676" s="11">
        <v>54758461</v>
      </c>
      <c r="I676" s="11" t="s">
        <v>1423</v>
      </c>
      <c r="J676" s="11" t="s">
        <v>61</v>
      </c>
      <c r="K676" s="11" t="s">
        <v>3745</v>
      </c>
      <c r="L676" s="11" t="s">
        <v>3746</v>
      </c>
      <c r="M676" s="11" t="s">
        <v>3747</v>
      </c>
      <c r="N676" s="11">
        <v>147641</v>
      </c>
      <c r="O676" s="11">
        <v>29808</v>
      </c>
      <c r="P676" s="11">
        <v>3</v>
      </c>
      <c r="Q676" s="11" t="s">
        <v>3748</v>
      </c>
      <c r="R676" s="14" t="s">
        <v>3749</v>
      </c>
      <c r="S676" s="11">
        <v>238</v>
      </c>
      <c r="T676" s="11" t="s">
        <v>39</v>
      </c>
      <c r="U676" s="11" t="s">
        <v>40</v>
      </c>
      <c r="V676" s="11" t="s">
        <v>41</v>
      </c>
      <c r="W676" s="11">
        <v>65000000</v>
      </c>
      <c r="X676" s="11">
        <v>2012</v>
      </c>
      <c r="Y676" s="11">
        <v>1000</v>
      </c>
      <c r="Z676" s="11">
        <v>6.3</v>
      </c>
      <c r="AA676" s="11">
        <v>2.35</v>
      </c>
      <c r="AB676" s="11">
        <v>18000</v>
      </c>
      <c r="AC676" s="11"/>
      <c r="AD676" s="11" t="str">
        <f>IFERROR(__xludf.DUMMYFUNCTION("""COMPUTED_VALUE"""),"Catherine McCormack")</f>
        <v>Catherine McCormack</v>
      </c>
      <c r="AE676" s="11"/>
    </row>
    <row r="677" customHeight="1" spans="1:31">
      <c r="A677" s="12" t="s">
        <v>30</v>
      </c>
      <c r="B677" s="12" t="s">
        <v>3750</v>
      </c>
      <c r="C677" s="12">
        <v>185</v>
      </c>
      <c r="D677" s="12">
        <v>122</v>
      </c>
      <c r="E677" s="12">
        <v>687</v>
      </c>
      <c r="F677" s="12">
        <v>957</v>
      </c>
      <c r="G677" s="12">
        <v>16000</v>
      </c>
      <c r="H677" s="12">
        <v>52397389</v>
      </c>
      <c r="I677" s="12" t="s">
        <v>3751</v>
      </c>
      <c r="J677" s="12" t="s">
        <v>315</v>
      </c>
      <c r="K677" s="12" t="s">
        <v>3752</v>
      </c>
      <c r="L677" s="12" t="s">
        <v>1010</v>
      </c>
      <c r="M677" s="12" t="s">
        <v>3753</v>
      </c>
      <c r="N677" s="12">
        <v>132954</v>
      </c>
      <c r="O677" s="12">
        <v>19764</v>
      </c>
      <c r="P677" s="12">
        <v>0</v>
      </c>
      <c r="Q677" s="12" t="s">
        <v>3754</v>
      </c>
      <c r="R677" s="15" t="s">
        <v>3755</v>
      </c>
      <c r="S677" s="12">
        <v>514</v>
      </c>
      <c r="T677" s="12" t="s">
        <v>39</v>
      </c>
      <c r="U677" s="12" t="s">
        <v>40</v>
      </c>
      <c r="V677" s="12" t="s">
        <v>586</v>
      </c>
      <c r="W677" s="12">
        <v>65000000</v>
      </c>
      <c r="X677" s="12">
        <v>2004</v>
      </c>
      <c r="Y677" s="12">
        <v>1000</v>
      </c>
      <c r="Z677" s="12">
        <v>5.9</v>
      </c>
      <c r="AA677" s="12">
        <v>2.35</v>
      </c>
      <c r="AB677" s="12">
        <v>0</v>
      </c>
      <c r="AC677" s="12"/>
      <c r="AD677" s="12" t="str">
        <f>IFERROR(__xludf.DUMMYFUNCTION("""COMPUTED_VALUE"""),"Kim Delaney")</f>
        <v>Kim Delaney</v>
      </c>
      <c r="AE677" s="12"/>
    </row>
    <row r="678" customHeight="1" spans="1:31">
      <c r="A678" s="11" t="s">
        <v>30</v>
      </c>
      <c r="B678" s="11" t="s">
        <v>2278</v>
      </c>
      <c r="C678" s="11">
        <v>97</v>
      </c>
      <c r="D678" s="11">
        <v>114</v>
      </c>
      <c r="E678" s="11">
        <v>468</v>
      </c>
      <c r="F678" s="11">
        <v>919</v>
      </c>
      <c r="G678" s="11">
        <v>1000</v>
      </c>
      <c r="H678" s="13"/>
      <c r="I678" s="11" t="s">
        <v>1467</v>
      </c>
      <c r="J678" s="11" t="s">
        <v>3756</v>
      </c>
      <c r="K678" s="11" t="s">
        <v>3757</v>
      </c>
      <c r="L678" s="11" t="s">
        <v>2279</v>
      </c>
      <c r="M678" s="11" t="s">
        <v>3758</v>
      </c>
      <c r="N678" s="11">
        <v>41776</v>
      </c>
      <c r="O678" s="11">
        <v>3860</v>
      </c>
      <c r="P678" s="11">
        <v>0</v>
      </c>
      <c r="Q678" s="11" t="s">
        <v>3759</v>
      </c>
      <c r="R678" s="14" t="s">
        <v>3760</v>
      </c>
      <c r="S678" s="11">
        <v>383</v>
      </c>
      <c r="T678" s="11" t="s">
        <v>39</v>
      </c>
      <c r="U678" s="11" t="s">
        <v>40</v>
      </c>
      <c r="V678" s="11" t="s">
        <v>41</v>
      </c>
      <c r="W678" s="11">
        <v>16900000</v>
      </c>
      <c r="X678" s="11">
        <v>1984</v>
      </c>
      <c r="Y678" s="11">
        <v>1000</v>
      </c>
      <c r="Z678" s="11">
        <v>6.4</v>
      </c>
      <c r="AA678" s="11">
        <v>1.85</v>
      </c>
      <c r="AB678" s="11">
        <v>0</v>
      </c>
      <c r="AC678" s="11"/>
      <c r="AD678" s="11" t="str">
        <f>IFERROR(__xludf.DUMMYFUNCTION("""COMPUTED_VALUE"""),"Wanda Sykes")</f>
        <v>Wanda Sykes</v>
      </c>
      <c r="AE678" s="11"/>
    </row>
    <row r="679" customHeight="1" spans="1:31">
      <c r="A679" s="12" t="s">
        <v>30</v>
      </c>
      <c r="B679" s="12" t="s">
        <v>3067</v>
      </c>
      <c r="C679" s="12">
        <v>117</v>
      </c>
      <c r="D679" s="12">
        <v>143</v>
      </c>
      <c r="E679" s="12">
        <v>0</v>
      </c>
      <c r="F679" s="12">
        <v>210</v>
      </c>
      <c r="G679" s="12">
        <v>509</v>
      </c>
      <c r="H679" s="12">
        <v>38966057</v>
      </c>
      <c r="I679" s="12" t="s">
        <v>2528</v>
      </c>
      <c r="J679" s="12" t="s">
        <v>3761</v>
      </c>
      <c r="K679" s="12" t="s">
        <v>3762</v>
      </c>
      <c r="L679" s="12" t="s">
        <v>3763</v>
      </c>
      <c r="M679" s="12" t="s">
        <v>3764</v>
      </c>
      <c r="N679" s="12">
        <v>23940</v>
      </c>
      <c r="O679" s="12">
        <v>1409</v>
      </c>
      <c r="P679" s="12">
        <v>0</v>
      </c>
      <c r="Q679" s="12" t="s">
        <v>3765</v>
      </c>
      <c r="R679" s="15" t="s">
        <v>3766</v>
      </c>
      <c r="S679" s="12">
        <v>157</v>
      </c>
      <c r="T679" s="12" t="s">
        <v>39</v>
      </c>
      <c r="U679" s="12" t="s">
        <v>1466</v>
      </c>
      <c r="V679" s="12" t="s">
        <v>586</v>
      </c>
      <c r="W679" s="12">
        <v>65000000</v>
      </c>
      <c r="X679" s="12">
        <v>1998</v>
      </c>
      <c r="Y679" s="12">
        <v>317</v>
      </c>
      <c r="Z679" s="12">
        <v>6.7</v>
      </c>
      <c r="AA679" s="12">
        <v>2.35</v>
      </c>
      <c r="AB679" s="12">
        <v>688</v>
      </c>
      <c r="AC679" s="12"/>
      <c r="AD679" s="15" t="str">
        <f>IFERROR(__xludf.DUMMYFUNCTION("""COMPUTED_VALUE"""),"Will.i.am")</f>
        <v>Will.i.am</v>
      </c>
      <c r="AE679" s="12"/>
    </row>
    <row r="680" customHeight="1" spans="1:31">
      <c r="A680" s="11" t="s">
        <v>30</v>
      </c>
      <c r="B680" s="11" t="s">
        <v>2332</v>
      </c>
      <c r="C680" s="11">
        <v>239</v>
      </c>
      <c r="D680" s="11">
        <v>96</v>
      </c>
      <c r="E680" s="11">
        <v>545</v>
      </c>
      <c r="F680" s="11">
        <v>974</v>
      </c>
      <c r="G680" s="11">
        <v>14000</v>
      </c>
      <c r="H680" s="11">
        <v>42345531</v>
      </c>
      <c r="I680" s="11" t="s">
        <v>2208</v>
      </c>
      <c r="J680" s="11" t="s">
        <v>1973</v>
      </c>
      <c r="K680" s="11" t="s">
        <v>2815</v>
      </c>
      <c r="L680" s="11" t="s">
        <v>286</v>
      </c>
      <c r="M680" s="11" t="s">
        <v>3767</v>
      </c>
      <c r="N680" s="11">
        <v>104831</v>
      </c>
      <c r="O680" s="11">
        <v>17913</v>
      </c>
      <c r="P680" s="11">
        <v>0</v>
      </c>
      <c r="Q680" s="11" t="s">
        <v>3768</v>
      </c>
      <c r="R680" s="14" t="s">
        <v>3769</v>
      </c>
      <c r="S680" s="11">
        <v>423</v>
      </c>
      <c r="T680" s="11" t="s">
        <v>39</v>
      </c>
      <c r="U680" s="11" t="s">
        <v>768</v>
      </c>
      <c r="V680" s="11" t="s">
        <v>586</v>
      </c>
      <c r="W680" s="11">
        <v>65000000</v>
      </c>
      <c r="X680" s="11">
        <v>2012</v>
      </c>
      <c r="Y680" s="11">
        <v>1000</v>
      </c>
      <c r="Z680" s="11">
        <v>5.4</v>
      </c>
      <c r="AA680" s="11">
        <v>2.35</v>
      </c>
      <c r="AB680" s="11">
        <v>32000</v>
      </c>
      <c r="AC680" s="11"/>
      <c r="AD680" s="11" t="str">
        <f>IFERROR(__xludf.DUMMYFUNCTION("""COMPUTED_VALUE"""),"Anne Heche")</f>
        <v>Anne Heche</v>
      </c>
      <c r="AE680" s="11"/>
    </row>
    <row r="681" customHeight="1" spans="1:31">
      <c r="A681" s="12" t="s">
        <v>30</v>
      </c>
      <c r="B681" s="12" t="s">
        <v>2332</v>
      </c>
      <c r="C681" s="12">
        <v>230</v>
      </c>
      <c r="D681" s="12">
        <v>111</v>
      </c>
      <c r="E681" s="12">
        <v>545</v>
      </c>
      <c r="F681" s="12">
        <v>805</v>
      </c>
      <c r="G681" s="12">
        <v>26000</v>
      </c>
      <c r="H681" s="12">
        <v>36064910</v>
      </c>
      <c r="I681" s="12" t="s">
        <v>2813</v>
      </c>
      <c r="J681" s="12" t="s">
        <v>335</v>
      </c>
      <c r="K681" s="12" t="s">
        <v>2973</v>
      </c>
      <c r="L681" s="12" t="s">
        <v>2319</v>
      </c>
      <c r="M681" s="12" t="s">
        <v>3770</v>
      </c>
      <c r="N681" s="12">
        <v>166610</v>
      </c>
      <c r="O681" s="12">
        <v>28643</v>
      </c>
      <c r="P681" s="12">
        <v>4</v>
      </c>
      <c r="Q681" s="12" t="s">
        <v>3771</v>
      </c>
      <c r="R681" s="15" t="s">
        <v>3772</v>
      </c>
      <c r="S681" s="12">
        <v>211</v>
      </c>
      <c r="T681" s="12" t="s">
        <v>39</v>
      </c>
      <c r="U681" s="12" t="s">
        <v>40</v>
      </c>
      <c r="V681" s="12" t="s">
        <v>586</v>
      </c>
      <c r="W681" s="12">
        <v>45000000</v>
      </c>
      <c r="X681" s="12">
        <v>2008</v>
      </c>
      <c r="Y681" s="12">
        <v>872</v>
      </c>
      <c r="Z681" s="12">
        <v>6.4</v>
      </c>
      <c r="AA681" s="12">
        <v>2.35</v>
      </c>
      <c r="AB681" s="12">
        <v>0</v>
      </c>
      <c r="AC681" s="12"/>
      <c r="AD681" s="12" t="str">
        <f>IFERROR(__xludf.DUMMYFUNCTION("""COMPUTED_VALUE"""),"Gaby Hoffmann")</f>
        <v>Gaby Hoffmann</v>
      </c>
      <c r="AE681" s="12"/>
    </row>
    <row r="682" customHeight="1" spans="1:31">
      <c r="A682" s="11" t="s">
        <v>30</v>
      </c>
      <c r="B682" s="11" t="s">
        <v>2067</v>
      </c>
      <c r="C682" s="11">
        <v>94</v>
      </c>
      <c r="D682" s="11">
        <v>121</v>
      </c>
      <c r="E682" s="11">
        <v>212</v>
      </c>
      <c r="F682" s="11">
        <v>263</v>
      </c>
      <c r="G682" s="11">
        <v>394</v>
      </c>
      <c r="H682" s="11">
        <v>33328051</v>
      </c>
      <c r="I682" s="11" t="s">
        <v>1120</v>
      </c>
      <c r="J682" s="11" t="s">
        <v>3773</v>
      </c>
      <c r="K682" s="11" t="s">
        <v>3774</v>
      </c>
      <c r="L682" s="11" t="s">
        <v>3775</v>
      </c>
      <c r="M682" s="11" t="s">
        <v>3776</v>
      </c>
      <c r="N682" s="11">
        <v>60508</v>
      </c>
      <c r="O682" s="11">
        <v>1531</v>
      </c>
      <c r="P682" s="11">
        <v>2</v>
      </c>
      <c r="Q682" s="11" t="s">
        <v>3777</v>
      </c>
      <c r="R682" s="14" t="s">
        <v>3778</v>
      </c>
      <c r="S682" s="11">
        <v>285</v>
      </c>
      <c r="T682" s="11" t="s">
        <v>39</v>
      </c>
      <c r="U682" s="11" t="s">
        <v>40</v>
      </c>
      <c r="V682" s="11" t="s">
        <v>586</v>
      </c>
      <c r="W682" s="11">
        <v>65000000</v>
      </c>
      <c r="X682" s="11">
        <v>1996</v>
      </c>
      <c r="Y682" s="11">
        <v>380</v>
      </c>
      <c r="Z682" s="11">
        <v>6.7</v>
      </c>
      <c r="AA682" s="11">
        <v>2.35</v>
      </c>
      <c r="AB682" s="11">
        <v>4000</v>
      </c>
      <c r="AC682" s="11"/>
      <c r="AD682" s="11" t="str">
        <f>IFERROR(__xludf.DUMMYFUNCTION("""COMPUTED_VALUE"""),"Natascha McElhone")</f>
        <v>Natascha McElhone</v>
      </c>
      <c r="AE682" s="11"/>
    </row>
    <row r="683" customHeight="1" spans="1:31">
      <c r="A683" s="12" t="s">
        <v>30</v>
      </c>
      <c r="B683" s="12" t="s">
        <v>3779</v>
      </c>
      <c r="C683" s="12">
        <v>134</v>
      </c>
      <c r="D683" s="12">
        <v>135</v>
      </c>
      <c r="E683" s="12">
        <v>138</v>
      </c>
      <c r="F683" s="12">
        <v>184</v>
      </c>
      <c r="G683" s="12">
        <v>324</v>
      </c>
      <c r="H683" s="12">
        <v>32598931</v>
      </c>
      <c r="I683" s="12" t="s">
        <v>923</v>
      </c>
      <c r="J683" s="12" t="s">
        <v>3780</v>
      </c>
      <c r="K683" s="12" t="s">
        <v>2236</v>
      </c>
      <c r="L683" s="12" t="s">
        <v>3781</v>
      </c>
      <c r="M683" s="12" t="s">
        <v>3782</v>
      </c>
      <c r="N683" s="12">
        <v>49300</v>
      </c>
      <c r="O683" s="12">
        <v>1013</v>
      </c>
      <c r="P683" s="12">
        <v>1</v>
      </c>
      <c r="Q683" s="12" t="s">
        <v>3783</v>
      </c>
      <c r="R683" s="15" t="s">
        <v>3784</v>
      </c>
      <c r="S683" s="12">
        <v>265</v>
      </c>
      <c r="T683" s="12" t="s">
        <v>39</v>
      </c>
      <c r="U683" s="12" t="s">
        <v>40</v>
      </c>
      <c r="V683" s="12" t="s">
        <v>586</v>
      </c>
      <c r="W683" s="12">
        <v>65000000</v>
      </c>
      <c r="X683" s="12">
        <v>2000</v>
      </c>
      <c r="Y683" s="12">
        <v>192</v>
      </c>
      <c r="Z683" s="12">
        <v>6.2</v>
      </c>
      <c r="AA683" s="12">
        <v>2.35</v>
      </c>
      <c r="AB683" s="12">
        <v>892</v>
      </c>
      <c r="AC683" s="12"/>
      <c r="AD683" s="12" t="str">
        <f>IFERROR(__xludf.DUMMYFUNCTION("""COMPUTED_VALUE"""),"Christian Camargo")</f>
        <v>Christian Camargo</v>
      </c>
      <c r="AE683" s="12"/>
    </row>
    <row r="684" customHeight="1" spans="1:31">
      <c r="A684" s="11" t="s">
        <v>30</v>
      </c>
      <c r="B684" s="11" t="s">
        <v>251</v>
      </c>
      <c r="C684" s="11">
        <v>136</v>
      </c>
      <c r="D684" s="11">
        <v>101</v>
      </c>
      <c r="E684" s="11">
        <v>4000</v>
      </c>
      <c r="F684" s="11">
        <v>539</v>
      </c>
      <c r="G684" s="11">
        <v>17000</v>
      </c>
      <c r="H684" s="11">
        <v>28045540</v>
      </c>
      <c r="I684" s="11" t="s">
        <v>165</v>
      </c>
      <c r="J684" s="11" t="s">
        <v>559</v>
      </c>
      <c r="K684" s="11" t="s">
        <v>700</v>
      </c>
      <c r="L684" s="11" t="s">
        <v>3785</v>
      </c>
      <c r="M684" s="11" t="s">
        <v>3786</v>
      </c>
      <c r="N684" s="11">
        <v>67707</v>
      </c>
      <c r="O684" s="11">
        <v>32232</v>
      </c>
      <c r="P684" s="11">
        <v>0</v>
      </c>
      <c r="Q684" s="11" t="s">
        <v>3787</v>
      </c>
      <c r="R684" s="14" t="s">
        <v>3788</v>
      </c>
      <c r="S684" s="11">
        <v>202</v>
      </c>
      <c r="T684" s="11" t="s">
        <v>39</v>
      </c>
      <c r="U684" s="11" t="s">
        <v>40</v>
      </c>
      <c r="V684" s="11" t="s">
        <v>96</v>
      </c>
      <c r="W684" s="11">
        <v>65000000</v>
      </c>
      <c r="X684" s="11">
        <v>2005</v>
      </c>
      <c r="Y684" s="11">
        <v>14000</v>
      </c>
      <c r="Z684" s="11">
        <v>6.1</v>
      </c>
      <c r="AA684" s="11">
        <v>1.85</v>
      </c>
      <c r="AB684" s="11">
        <v>0</v>
      </c>
      <c r="AC684" s="11"/>
      <c r="AD684" s="11" t="str">
        <f>IFERROR(__xludf.DUMMYFUNCTION("""COMPUTED_VALUE"""),"Lex Shrapnel")</f>
        <v>Lex Shrapnel</v>
      </c>
      <c r="AE684" s="11"/>
    </row>
    <row r="685" customHeight="1" spans="1:31">
      <c r="A685" s="12" t="s">
        <v>30</v>
      </c>
      <c r="B685" s="12" t="s">
        <v>686</v>
      </c>
      <c r="C685" s="12">
        <v>315</v>
      </c>
      <c r="D685" s="12">
        <v>151</v>
      </c>
      <c r="E685" s="12">
        <v>21000</v>
      </c>
      <c r="F685" s="12">
        <v>637</v>
      </c>
      <c r="G685" s="12">
        <v>11000</v>
      </c>
      <c r="H685" s="12">
        <v>37023395</v>
      </c>
      <c r="I685" s="12" t="s">
        <v>3410</v>
      </c>
      <c r="J685" s="12" t="s">
        <v>343</v>
      </c>
      <c r="K685" s="12" t="s">
        <v>3789</v>
      </c>
      <c r="L685" s="12" t="s">
        <v>3790</v>
      </c>
      <c r="M685" s="12" t="s">
        <v>3791</v>
      </c>
      <c r="N685" s="12">
        <v>1347461</v>
      </c>
      <c r="O685" s="12">
        <v>13209</v>
      </c>
      <c r="P685" s="12">
        <v>2</v>
      </c>
      <c r="Q685" s="12" t="s">
        <v>3792</v>
      </c>
      <c r="R685" s="15" t="s">
        <v>3793</v>
      </c>
      <c r="S685" s="12">
        <v>2968</v>
      </c>
      <c r="T685" s="12" t="s">
        <v>39</v>
      </c>
      <c r="U685" s="12" t="s">
        <v>40</v>
      </c>
      <c r="V685" s="12" t="s">
        <v>586</v>
      </c>
      <c r="W685" s="12">
        <v>63000000</v>
      </c>
      <c r="X685" s="12">
        <v>1999</v>
      </c>
      <c r="Y685" s="12">
        <v>783</v>
      </c>
      <c r="Z685" s="12">
        <v>8.8</v>
      </c>
      <c r="AA685" s="12">
        <v>2.35</v>
      </c>
      <c r="AB685" s="12">
        <v>48000</v>
      </c>
      <c r="AC685" s="12"/>
      <c r="AD685" s="12" t="str">
        <f>IFERROR(__xludf.DUMMYFUNCTION("""COMPUTED_VALUE"""),"William Smith")</f>
        <v>William Smith</v>
      </c>
      <c r="AE685" s="12"/>
    </row>
    <row r="686" customHeight="1" spans="1:31">
      <c r="A686" s="11" t="s">
        <v>30</v>
      </c>
      <c r="B686" s="11" t="s">
        <v>328</v>
      </c>
      <c r="C686" s="11">
        <v>96</v>
      </c>
      <c r="D686" s="11">
        <v>131</v>
      </c>
      <c r="E686" s="11">
        <v>368</v>
      </c>
      <c r="F686" s="11">
        <v>383</v>
      </c>
      <c r="G686" s="11">
        <v>11000</v>
      </c>
      <c r="H686" s="11">
        <v>43532294</v>
      </c>
      <c r="I686" s="11" t="s">
        <v>3794</v>
      </c>
      <c r="J686" s="11" t="s">
        <v>661</v>
      </c>
      <c r="K686" s="11" t="s">
        <v>3795</v>
      </c>
      <c r="L686" s="11" t="s">
        <v>3248</v>
      </c>
      <c r="M686" s="11" t="s">
        <v>3796</v>
      </c>
      <c r="N686" s="11">
        <v>46951</v>
      </c>
      <c r="O686" s="11">
        <v>12088</v>
      </c>
      <c r="P686" s="11">
        <v>0</v>
      </c>
      <c r="Q686" s="11" t="s">
        <v>3797</v>
      </c>
      <c r="R686" s="14" t="s">
        <v>3798</v>
      </c>
      <c r="S686" s="11">
        <v>175</v>
      </c>
      <c r="T686" s="11" t="s">
        <v>39</v>
      </c>
      <c r="U686" s="11" t="s">
        <v>40</v>
      </c>
      <c r="V686" s="11" t="s">
        <v>96</v>
      </c>
      <c r="W686" s="11">
        <v>65000000</v>
      </c>
      <c r="X686" s="11">
        <v>2006</v>
      </c>
      <c r="Y686" s="11">
        <v>529</v>
      </c>
      <c r="Z686" s="11">
        <v>7.1</v>
      </c>
      <c r="AA686" s="11">
        <v>2.35</v>
      </c>
      <c r="AB686" s="11">
        <v>0</v>
      </c>
      <c r="AC686" s="11"/>
      <c r="AD686" s="11" t="str">
        <f>IFERROR(__xludf.DUMMYFUNCTION("""COMPUTED_VALUE"""),"Sandahl Bergman")</f>
        <v>Sandahl Bergman</v>
      </c>
      <c r="AE686" s="11"/>
    </row>
    <row r="687" customHeight="1" spans="1:31">
      <c r="A687" s="12" t="s">
        <v>30</v>
      </c>
      <c r="B687" s="16"/>
      <c r="C687" s="12">
        <v>14</v>
      </c>
      <c r="D687" s="12">
        <v>60</v>
      </c>
      <c r="E687" s="16"/>
      <c r="F687" s="12">
        <v>575</v>
      </c>
      <c r="G687" s="12">
        <v>1000</v>
      </c>
      <c r="H687" s="16"/>
      <c r="I687" s="12" t="s">
        <v>3082</v>
      </c>
      <c r="J687" s="12" t="s">
        <v>688</v>
      </c>
      <c r="K687" s="12" t="s">
        <v>176</v>
      </c>
      <c r="L687" s="12" t="s">
        <v>3799</v>
      </c>
      <c r="M687" s="12" t="s">
        <v>3800</v>
      </c>
      <c r="N687" s="12">
        <v>8739</v>
      </c>
      <c r="O687" s="12">
        <v>3537</v>
      </c>
      <c r="P687" s="12">
        <v>0</v>
      </c>
      <c r="Q687" s="12" t="s">
        <v>3801</v>
      </c>
      <c r="R687" s="15" t="s">
        <v>3802</v>
      </c>
      <c r="S687" s="12">
        <v>28</v>
      </c>
      <c r="T687" s="12" t="s">
        <v>39</v>
      </c>
      <c r="U687" s="12" t="s">
        <v>58</v>
      </c>
      <c r="V687" s="16"/>
      <c r="W687" s="16"/>
      <c r="X687" s="16"/>
      <c r="Y687" s="12">
        <v>773</v>
      </c>
      <c r="Z687" s="12">
        <v>8.1</v>
      </c>
      <c r="AA687" s="16"/>
      <c r="AB687" s="12">
        <v>0</v>
      </c>
      <c r="AC687" s="12"/>
      <c r="AD687" s="12" t="str">
        <f>IFERROR(__xludf.DUMMYFUNCTION("""COMPUTED_VALUE"""),"Paddy Considine")</f>
        <v>Paddy Considine</v>
      </c>
      <c r="AE687" s="12"/>
    </row>
    <row r="688" customHeight="1" spans="1:31">
      <c r="A688" s="11" t="s">
        <v>30</v>
      </c>
      <c r="B688" s="11" t="s">
        <v>3803</v>
      </c>
      <c r="C688" s="11">
        <v>60</v>
      </c>
      <c r="D688" s="11">
        <v>100</v>
      </c>
      <c r="E688" s="11">
        <v>36</v>
      </c>
      <c r="F688" s="11">
        <v>554</v>
      </c>
      <c r="G688" s="11">
        <v>13000</v>
      </c>
      <c r="H688" s="11">
        <v>17218080</v>
      </c>
      <c r="I688" s="11" t="s">
        <v>1629</v>
      </c>
      <c r="J688" s="11" t="s">
        <v>978</v>
      </c>
      <c r="K688" s="11" t="s">
        <v>1441</v>
      </c>
      <c r="L688" s="11" t="s">
        <v>2293</v>
      </c>
      <c r="M688" s="11" t="s">
        <v>3804</v>
      </c>
      <c r="N688" s="11">
        <v>43376</v>
      </c>
      <c r="O688" s="11">
        <v>15944</v>
      </c>
      <c r="P688" s="11">
        <v>0</v>
      </c>
      <c r="Q688" s="11" t="s">
        <v>3805</v>
      </c>
      <c r="R688" s="14" t="s">
        <v>3806</v>
      </c>
      <c r="S688" s="11">
        <v>249</v>
      </c>
      <c r="T688" s="11" t="s">
        <v>39</v>
      </c>
      <c r="U688" s="11" t="s">
        <v>40</v>
      </c>
      <c r="V688" s="11" t="s">
        <v>586</v>
      </c>
      <c r="W688" s="11">
        <v>70000000</v>
      </c>
      <c r="X688" s="11">
        <v>1991</v>
      </c>
      <c r="Y688" s="11">
        <v>773</v>
      </c>
      <c r="Z688" s="11">
        <v>5.7</v>
      </c>
      <c r="AA688" s="11">
        <v>1.85</v>
      </c>
      <c r="AB688" s="11">
        <v>0</v>
      </c>
      <c r="AC688" s="11"/>
      <c r="AD688" s="11" t="str">
        <f>IFERROR(__xludf.DUMMYFUNCTION("""COMPUTED_VALUE"""),"Bruce McGill")</f>
        <v>Bruce McGill</v>
      </c>
      <c r="AE688" s="11"/>
    </row>
    <row r="689" customHeight="1" spans="1:31">
      <c r="A689" s="12" t="s">
        <v>30</v>
      </c>
      <c r="B689" s="12" t="s">
        <v>3669</v>
      </c>
      <c r="C689" s="12">
        <v>60</v>
      </c>
      <c r="D689" s="12">
        <v>105</v>
      </c>
      <c r="E689" s="12">
        <v>0</v>
      </c>
      <c r="F689" s="12">
        <v>506</v>
      </c>
      <c r="G689" s="12">
        <v>975</v>
      </c>
      <c r="H689" s="12">
        <v>10014234</v>
      </c>
      <c r="I689" s="12" t="s">
        <v>1009</v>
      </c>
      <c r="J689" s="12" t="s">
        <v>2524</v>
      </c>
      <c r="K689" s="12" t="s">
        <v>3807</v>
      </c>
      <c r="L689" s="12" t="s">
        <v>2987</v>
      </c>
      <c r="M689" s="12" t="s">
        <v>3808</v>
      </c>
      <c r="N689" s="12">
        <v>8560</v>
      </c>
      <c r="O689" s="12">
        <v>3580</v>
      </c>
      <c r="P689" s="12">
        <v>1</v>
      </c>
      <c r="Q689" s="12" t="s">
        <v>3809</v>
      </c>
      <c r="R689" s="15" t="s">
        <v>3810</v>
      </c>
      <c r="S689" s="12">
        <v>69</v>
      </c>
      <c r="T689" s="12" t="s">
        <v>39</v>
      </c>
      <c r="U689" s="12" t="s">
        <v>1466</v>
      </c>
      <c r="V689" s="12" t="s">
        <v>586</v>
      </c>
      <c r="W689" s="12">
        <v>65000000</v>
      </c>
      <c r="X689" s="12">
        <v>2000</v>
      </c>
      <c r="Y689" s="12">
        <v>909</v>
      </c>
      <c r="Z689" s="12">
        <v>5</v>
      </c>
      <c r="AA689" s="12">
        <v>1.85</v>
      </c>
      <c r="AB689" s="12">
        <v>177</v>
      </c>
      <c r="AC689" s="12"/>
      <c r="AD689" s="12" t="str">
        <f>IFERROR(__xludf.DUMMYFUNCTION("""COMPUTED_VALUE"""),"Rosemarie DeWitt")</f>
        <v>Rosemarie DeWitt</v>
      </c>
      <c r="AE689" s="12"/>
    </row>
    <row r="690" customHeight="1" spans="1:31">
      <c r="A690" s="11" t="s">
        <v>30</v>
      </c>
      <c r="B690" s="11" t="s">
        <v>3811</v>
      </c>
      <c r="C690" s="11">
        <v>308</v>
      </c>
      <c r="D690" s="11">
        <v>92</v>
      </c>
      <c r="E690" s="11">
        <v>72</v>
      </c>
      <c r="F690" s="11">
        <v>568</v>
      </c>
      <c r="G690" s="11">
        <v>623</v>
      </c>
      <c r="H690" s="11">
        <v>19059018</v>
      </c>
      <c r="I690" s="11" t="s">
        <v>3812</v>
      </c>
      <c r="J690" s="11" t="s">
        <v>3813</v>
      </c>
      <c r="K690" s="11" t="s">
        <v>3814</v>
      </c>
      <c r="L690" s="11" t="s">
        <v>2096</v>
      </c>
      <c r="M690" s="11" t="s">
        <v>3815</v>
      </c>
      <c r="N690" s="11">
        <v>65709</v>
      </c>
      <c r="O690" s="11">
        <v>3165</v>
      </c>
      <c r="P690" s="11">
        <v>0</v>
      </c>
      <c r="Q690" s="11" t="s">
        <v>3816</v>
      </c>
      <c r="R690" s="14" t="s">
        <v>3817</v>
      </c>
      <c r="S690" s="11">
        <v>194</v>
      </c>
      <c r="T690" s="11" t="s">
        <v>39</v>
      </c>
      <c r="U690" s="11" t="s">
        <v>371</v>
      </c>
      <c r="V690" s="11" t="s">
        <v>41</v>
      </c>
      <c r="W690" s="11">
        <v>65000000</v>
      </c>
      <c r="X690" s="11">
        <v>2014</v>
      </c>
      <c r="Y690" s="11">
        <v>593</v>
      </c>
      <c r="Z690" s="11">
        <v>5.1</v>
      </c>
      <c r="AA690" s="11">
        <v>2.35</v>
      </c>
      <c r="AB690" s="11">
        <v>15000</v>
      </c>
      <c r="AC690" s="11"/>
      <c r="AD690" s="11" t="str">
        <f>IFERROR(__xludf.DUMMYFUNCTION("""COMPUTED_VALUE"""),"Shirley Henderson")</f>
        <v>Shirley Henderson</v>
      </c>
      <c r="AE690" s="11"/>
    </row>
    <row r="691" customHeight="1" spans="1:31">
      <c r="A691" s="12" t="s">
        <v>30</v>
      </c>
      <c r="B691" s="12" t="s">
        <v>3818</v>
      </c>
      <c r="C691" s="12">
        <v>127</v>
      </c>
      <c r="D691" s="12">
        <v>130</v>
      </c>
      <c r="E691" s="12">
        <v>2000</v>
      </c>
      <c r="F691" s="12">
        <v>25</v>
      </c>
      <c r="G691" s="12">
        <v>268</v>
      </c>
      <c r="H691" s="12">
        <v>1987287</v>
      </c>
      <c r="I691" s="12" t="s">
        <v>1936</v>
      </c>
      <c r="J691" s="12" t="s">
        <v>3819</v>
      </c>
      <c r="K691" s="12" t="s">
        <v>3820</v>
      </c>
      <c r="L691" s="12" t="s">
        <v>3821</v>
      </c>
      <c r="M691" s="12" t="s">
        <v>3822</v>
      </c>
      <c r="N691" s="12">
        <v>25474</v>
      </c>
      <c r="O691" s="12">
        <v>450</v>
      </c>
      <c r="P691" s="12">
        <v>0</v>
      </c>
      <c r="Q691" s="12" t="s">
        <v>3823</v>
      </c>
      <c r="R691" s="15" t="s">
        <v>3824</v>
      </c>
      <c r="S691" s="12">
        <v>138</v>
      </c>
      <c r="T691" s="12" t="s">
        <v>39</v>
      </c>
      <c r="U691" s="12" t="s">
        <v>58</v>
      </c>
      <c r="V691" s="12" t="s">
        <v>41</v>
      </c>
      <c r="W691" s="12">
        <v>50000000</v>
      </c>
      <c r="X691" s="12">
        <v>2005</v>
      </c>
      <c r="Y691" s="12">
        <v>85</v>
      </c>
      <c r="Z691" s="12">
        <v>6.9</v>
      </c>
      <c r="AA691" s="12">
        <v>2.35</v>
      </c>
      <c r="AB691" s="12">
        <v>0</v>
      </c>
      <c r="AC691" s="12"/>
      <c r="AD691" s="12" t="str">
        <f>IFERROR(__xludf.DUMMYFUNCTION("""COMPUTED_VALUE"""),"Richard E. Grant")</f>
        <v>Richard E. Grant</v>
      </c>
      <c r="AE691" s="12"/>
    </row>
    <row r="692" customHeight="1" spans="1:31">
      <c r="A692" s="11" t="s">
        <v>30</v>
      </c>
      <c r="B692" s="11" t="s">
        <v>3614</v>
      </c>
      <c r="C692" s="11">
        <v>196</v>
      </c>
      <c r="D692" s="11">
        <v>100</v>
      </c>
      <c r="E692" s="11">
        <v>38</v>
      </c>
      <c r="F692" s="11">
        <v>1000</v>
      </c>
      <c r="G692" s="11">
        <v>3000</v>
      </c>
      <c r="H692" s="11">
        <v>24407944</v>
      </c>
      <c r="I692" s="11" t="s">
        <v>3004</v>
      </c>
      <c r="J692" s="11" t="s">
        <v>750</v>
      </c>
      <c r="K692" s="11" t="s">
        <v>589</v>
      </c>
      <c r="L692" s="11" t="s">
        <v>2143</v>
      </c>
      <c r="M692" s="11" t="s">
        <v>3825</v>
      </c>
      <c r="N692" s="11">
        <v>71202</v>
      </c>
      <c r="O692" s="11">
        <v>7048</v>
      </c>
      <c r="P692" s="11">
        <v>0</v>
      </c>
      <c r="Q692" s="11" t="s">
        <v>3826</v>
      </c>
      <c r="R692" s="14" t="s">
        <v>3827</v>
      </c>
      <c r="S692" s="11">
        <v>380</v>
      </c>
      <c r="T692" s="11" t="s">
        <v>39</v>
      </c>
      <c r="U692" s="11" t="s">
        <v>269</v>
      </c>
      <c r="V692" s="11" t="s">
        <v>41</v>
      </c>
      <c r="W692" s="11">
        <v>43000000</v>
      </c>
      <c r="X692" s="11">
        <v>2005</v>
      </c>
      <c r="Y692" s="11">
        <v>1000</v>
      </c>
      <c r="Z692" s="11">
        <v>4.8</v>
      </c>
      <c r="AA692" s="11">
        <v>2.35</v>
      </c>
      <c r="AB692" s="11">
        <v>0</v>
      </c>
      <c r="AC692" s="11"/>
      <c r="AD692" s="11" t="str">
        <f>IFERROR(__xludf.DUMMYFUNCTION("""COMPUTED_VALUE"""),"Michael Angarano")</f>
        <v>Michael Angarano</v>
      </c>
      <c r="AE692" s="11"/>
    </row>
    <row r="693" customHeight="1" spans="1:31">
      <c r="A693" s="12" t="s">
        <v>748</v>
      </c>
      <c r="B693" s="12" t="s">
        <v>3828</v>
      </c>
      <c r="C693" s="12">
        <v>339</v>
      </c>
      <c r="D693" s="12">
        <v>102</v>
      </c>
      <c r="E693" s="12">
        <v>436</v>
      </c>
      <c r="F693" s="12">
        <v>6000</v>
      </c>
      <c r="G693" s="12">
        <v>23000</v>
      </c>
      <c r="H693" s="12">
        <v>13750556</v>
      </c>
      <c r="I693" s="12" t="s">
        <v>334</v>
      </c>
      <c r="J693" s="12" t="s">
        <v>63</v>
      </c>
      <c r="K693" s="12" t="s">
        <v>978</v>
      </c>
      <c r="L693" s="12" t="s">
        <v>202</v>
      </c>
      <c r="M693" s="12" t="s">
        <v>3829</v>
      </c>
      <c r="N693" s="12">
        <v>111102</v>
      </c>
      <c r="O693" s="12">
        <v>49433</v>
      </c>
      <c r="P693" s="12">
        <v>3</v>
      </c>
      <c r="Q693" s="12" t="s">
        <v>3830</v>
      </c>
      <c r="R693" s="15" t="s">
        <v>3831</v>
      </c>
      <c r="S693" s="12">
        <v>239</v>
      </c>
      <c r="T693" s="12" t="s">
        <v>39</v>
      </c>
      <c r="U693" s="12" t="s">
        <v>40</v>
      </c>
      <c r="V693" s="12" t="s">
        <v>586</v>
      </c>
      <c r="W693" s="12">
        <v>65000000</v>
      </c>
      <c r="X693" s="12">
        <v>2014</v>
      </c>
      <c r="Y693" s="12">
        <v>13000</v>
      </c>
      <c r="Z693" s="12">
        <v>6.5</v>
      </c>
      <c r="AA693" s="12">
        <v>1.85</v>
      </c>
      <c r="AB693" s="12">
        <v>32000</v>
      </c>
      <c r="AC693" s="12"/>
      <c r="AD693" s="12" t="str">
        <f>IFERROR(__xludf.DUMMYFUNCTION("""COMPUTED_VALUE"""),"Alan Ruck")</f>
        <v>Alan Ruck</v>
      </c>
      <c r="AE693" s="12"/>
    </row>
    <row r="694" customHeight="1" spans="1:31">
      <c r="A694" s="11" t="s">
        <v>30</v>
      </c>
      <c r="B694" s="11" t="s">
        <v>2214</v>
      </c>
      <c r="C694" s="11">
        <v>96</v>
      </c>
      <c r="D694" s="11">
        <v>133</v>
      </c>
      <c r="E694" s="11">
        <v>521</v>
      </c>
      <c r="F694" s="11">
        <v>970</v>
      </c>
      <c r="G694" s="11">
        <v>11000</v>
      </c>
      <c r="H694" s="11">
        <v>31054924</v>
      </c>
      <c r="I694" s="11" t="s">
        <v>3832</v>
      </c>
      <c r="J694" s="11" t="s">
        <v>391</v>
      </c>
      <c r="K694" s="11" t="s">
        <v>203</v>
      </c>
      <c r="L694" s="11" t="s">
        <v>3833</v>
      </c>
      <c r="M694" s="11" t="s">
        <v>3834</v>
      </c>
      <c r="N694" s="11">
        <v>17025</v>
      </c>
      <c r="O694" s="11">
        <v>16710</v>
      </c>
      <c r="P694" s="11">
        <v>1</v>
      </c>
      <c r="Q694" s="11" t="s">
        <v>3835</v>
      </c>
      <c r="R694" s="14" t="s">
        <v>3836</v>
      </c>
      <c r="S694" s="11">
        <v>290</v>
      </c>
      <c r="T694" s="11" t="s">
        <v>39</v>
      </c>
      <c r="U694" s="11" t="s">
        <v>40</v>
      </c>
      <c r="V694" s="11" t="s">
        <v>586</v>
      </c>
      <c r="W694" s="11">
        <v>64000000</v>
      </c>
      <c r="X694" s="11">
        <v>1999</v>
      </c>
      <c r="Y694" s="11">
        <v>1000</v>
      </c>
      <c r="Z694" s="11">
        <v>5.1</v>
      </c>
      <c r="AA694" s="11">
        <v>1.85</v>
      </c>
      <c r="AB694" s="11">
        <v>295</v>
      </c>
      <c r="AC694" s="11"/>
      <c r="AD694" s="11" t="str">
        <f>IFERROR(__xludf.DUMMYFUNCTION("""COMPUTED_VALUE"""),"Jami Gertz")</f>
        <v>Jami Gertz</v>
      </c>
      <c r="AE694" s="11"/>
    </row>
    <row r="695" customHeight="1" spans="1:31">
      <c r="A695" s="12" t="s">
        <v>30</v>
      </c>
      <c r="B695" s="12" t="s">
        <v>3837</v>
      </c>
      <c r="C695" s="12">
        <v>361</v>
      </c>
      <c r="D695" s="12">
        <v>121</v>
      </c>
      <c r="E695" s="12">
        <v>175</v>
      </c>
      <c r="F695" s="12">
        <v>221</v>
      </c>
      <c r="G695" s="12">
        <v>963</v>
      </c>
      <c r="H695" s="12">
        <v>43247140</v>
      </c>
      <c r="I695" s="12" t="s">
        <v>3838</v>
      </c>
      <c r="J695" s="12" t="s">
        <v>3041</v>
      </c>
      <c r="K695" s="12" t="s">
        <v>3839</v>
      </c>
      <c r="L695" s="12" t="s">
        <v>3840</v>
      </c>
      <c r="M695" s="12" t="s">
        <v>3841</v>
      </c>
      <c r="N695" s="12">
        <v>134625</v>
      </c>
      <c r="O695" s="12">
        <v>2131</v>
      </c>
      <c r="P695" s="12">
        <v>0</v>
      </c>
      <c r="Q695" s="12" t="s">
        <v>3842</v>
      </c>
      <c r="R695" s="15" t="s">
        <v>3843</v>
      </c>
      <c r="S695" s="12">
        <v>265</v>
      </c>
      <c r="T695" s="12" t="s">
        <v>39</v>
      </c>
      <c r="U695" s="12" t="s">
        <v>58</v>
      </c>
      <c r="V695" s="12" t="s">
        <v>41</v>
      </c>
      <c r="W695" s="12">
        <v>55000000</v>
      </c>
      <c r="X695" s="12">
        <v>2015</v>
      </c>
      <c r="Y695" s="12">
        <v>580</v>
      </c>
      <c r="Z695" s="12">
        <v>7.1</v>
      </c>
      <c r="AA695" s="12">
        <v>2.35</v>
      </c>
      <c r="AB695" s="12">
        <v>40000</v>
      </c>
      <c r="AC695" s="12"/>
      <c r="AD695" s="12" t="str">
        <f>IFERROR(__xludf.DUMMYFUNCTION("""COMPUTED_VALUE"""),"Paul Sanchez")</f>
        <v>Paul Sanchez</v>
      </c>
      <c r="AE695" s="12"/>
    </row>
    <row r="696" customHeight="1" spans="1:31">
      <c r="A696" s="11" t="s">
        <v>30</v>
      </c>
      <c r="B696" s="11" t="s">
        <v>1848</v>
      </c>
      <c r="C696" s="11">
        <v>226</v>
      </c>
      <c r="D696" s="11">
        <v>147</v>
      </c>
      <c r="E696" s="11">
        <v>670</v>
      </c>
      <c r="F696" s="11">
        <v>16</v>
      </c>
      <c r="G696" s="11">
        <v>177</v>
      </c>
      <c r="H696" s="11">
        <v>2208939</v>
      </c>
      <c r="I696" s="11" t="s">
        <v>3844</v>
      </c>
      <c r="J696" s="11" t="s">
        <v>3845</v>
      </c>
      <c r="K696" s="11" t="s">
        <v>3846</v>
      </c>
      <c r="L696" s="11" t="s">
        <v>3847</v>
      </c>
      <c r="M696" s="11" t="s">
        <v>3848</v>
      </c>
      <c r="N696" s="11">
        <v>190490</v>
      </c>
      <c r="O696" s="11">
        <v>253</v>
      </c>
      <c r="P696" s="11">
        <v>0</v>
      </c>
      <c r="Q696" s="11" t="s">
        <v>3849</v>
      </c>
      <c r="R696" s="14" t="s">
        <v>3850</v>
      </c>
      <c r="S696" s="11">
        <v>482</v>
      </c>
      <c r="T696" s="11" t="s">
        <v>39</v>
      </c>
      <c r="U696" s="11" t="s">
        <v>768</v>
      </c>
      <c r="V696" s="11" t="s">
        <v>586</v>
      </c>
      <c r="W696" s="11">
        <v>50000000</v>
      </c>
      <c r="X696" s="11">
        <v>2006</v>
      </c>
      <c r="Y696" s="11">
        <v>27</v>
      </c>
      <c r="Z696" s="11">
        <v>7.5</v>
      </c>
      <c r="AA696" s="11">
        <v>2.35</v>
      </c>
      <c r="AB696" s="11">
        <v>26000</v>
      </c>
      <c r="AC696" s="11"/>
      <c r="AD696" s="11" t="str">
        <f>IFERROR(__xludf.DUMMYFUNCTION("""COMPUTED_VALUE"""),"Nick Searcy")</f>
        <v>Nick Searcy</v>
      </c>
      <c r="AE696" s="11"/>
    </row>
    <row r="697" customHeight="1" spans="1:31">
      <c r="A697" s="12" t="s">
        <v>30</v>
      </c>
      <c r="B697" s="12" t="s">
        <v>1966</v>
      </c>
      <c r="C697" s="12">
        <v>194</v>
      </c>
      <c r="D697" s="12">
        <v>94</v>
      </c>
      <c r="E697" s="12">
        <v>116</v>
      </c>
      <c r="F697" s="12">
        <v>481</v>
      </c>
      <c r="G697" s="12">
        <v>645</v>
      </c>
      <c r="H697" s="12">
        <v>213079163</v>
      </c>
      <c r="I697" s="12" t="s">
        <v>1753</v>
      </c>
      <c r="J697" s="12" t="s">
        <v>1254</v>
      </c>
      <c r="K697" s="12" t="s">
        <v>3851</v>
      </c>
      <c r="L697" s="12" t="s">
        <v>3852</v>
      </c>
      <c r="M697" s="12" t="s">
        <v>3853</v>
      </c>
      <c r="N697" s="12">
        <v>162909</v>
      </c>
      <c r="O697" s="12">
        <v>2725</v>
      </c>
      <c r="P697" s="12">
        <v>2</v>
      </c>
      <c r="Q697" s="12" t="s">
        <v>3854</v>
      </c>
      <c r="R697" s="15" t="s">
        <v>3855</v>
      </c>
      <c r="S697" s="12">
        <v>795</v>
      </c>
      <c r="T697" s="12" t="s">
        <v>39</v>
      </c>
      <c r="U697" s="12" t="s">
        <v>40</v>
      </c>
      <c r="V697" s="12" t="s">
        <v>41</v>
      </c>
      <c r="W697" s="12">
        <v>63000000</v>
      </c>
      <c r="X697" s="12">
        <v>2002</v>
      </c>
      <c r="Y697" s="12">
        <v>522</v>
      </c>
      <c r="Z697" s="12">
        <v>6.2</v>
      </c>
      <c r="AA697" s="12">
        <v>2.35</v>
      </c>
      <c r="AB697" s="12">
        <v>0</v>
      </c>
      <c r="AC697" s="12"/>
      <c r="AD697" s="12" t="str">
        <f>IFERROR(__xludf.DUMMYFUNCTION("""COMPUTED_VALUE"""),"Elizabeth Daily")</f>
        <v>Elizabeth Daily</v>
      </c>
      <c r="AE697" s="12"/>
    </row>
    <row r="698" customHeight="1" spans="1:31">
      <c r="A698" s="11" t="s">
        <v>30</v>
      </c>
      <c r="B698" s="11" t="s">
        <v>936</v>
      </c>
      <c r="C698" s="11">
        <v>138</v>
      </c>
      <c r="D698" s="11">
        <v>94</v>
      </c>
      <c r="E698" s="11">
        <v>42</v>
      </c>
      <c r="F698" s="11">
        <v>668</v>
      </c>
      <c r="G698" s="11">
        <v>12000</v>
      </c>
      <c r="H698" s="11">
        <v>19548064</v>
      </c>
      <c r="I698" s="11" t="s">
        <v>1248</v>
      </c>
      <c r="J698" s="11" t="s">
        <v>705</v>
      </c>
      <c r="K698" s="11" t="s">
        <v>778</v>
      </c>
      <c r="L698" s="11" t="s">
        <v>3856</v>
      </c>
      <c r="M698" s="11" t="s">
        <v>3857</v>
      </c>
      <c r="N698" s="11">
        <v>25681</v>
      </c>
      <c r="O698" s="11">
        <v>23365</v>
      </c>
      <c r="P698" s="11">
        <v>1</v>
      </c>
      <c r="Q698" s="11" t="s">
        <v>3858</v>
      </c>
      <c r="R698" s="14" t="s">
        <v>3859</v>
      </c>
      <c r="S698" s="11">
        <v>77</v>
      </c>
      <c r="T698" s="11" t="s">
        <v>39</v>
      </c>
      <c r="U698" s="11" t="s">
        <v>3860</v>
      </c>
      <c r="V698" s="11" t="s">
        <v>96</v>
      </c>
      <c r="W698" s="11">
        <v>65000000</v>
      </c>
      <c r="X698" s="11">
        <v>2009</v>
      </c>
      <c r="Y698" s="11">
        <v>9000</v>
      </c>
      <c r="Z698" s="11">
        <v>6.3</v>
      </c>
      <c r="AA698" s="11">
        <v>2.35</v>
      </c>
      <c r="AB698" s="11">
        <v>0</v>
      </c>
      <c r="AC698" s="11"/>
      <c r="AD698" s="11" t="str">
        <f>IFERROR(__xludf.DUMMYFUNCTION("""COMPUTED_VALUE"""),"Joan Allen")</f>
        <v>Joan Allen</v>
      </c>
      <c r="AE698" s="11"/>
    </row>
    <row r="699" customHeight="1" spans="1:31">
      <c r="A699" s="12" t="s">
        <v>30</v>
      </c>
      <c r="B699" s="12" t="s">
        <v>390</v>
      </c>
      <c r="C699" s="12">
        <v>308</v>
      </c>
      <c r="D699" s="12">
        <v>127</v>
      </c>
      <c r="E699" s="12">
        <v>14000</v>
      </c>
      <c r="F699" s="12">
        <v>191</v>
      </c>
      <c r="G699" s="12">
        <v>967</v>
      </c>
      <c r="H699" s="12">
        <v>356784000</v>
      </c>
      <c r="I699" s="12" t="s">
        <v>1171</v>
      </c>
      <c r="J699" s="12" t="s">
        <v>994</v>
      </c>
      <c r="K699" s="12" t="s">
        <v>2986</v>
      </c>
      <c r="L699" s="12" t="s">
        <v>3861</v>
      </c>
      <c r="M699" s="12" t="s">
        <v>3862</v>
      </c>
      <c r="N699" s="12">
        <v>613473</v>
      </c>
      <c r="O699" s="12">
        <v>2129</v>
      </c>
      <c r="P699" s="12">
        <v>0</v>
      </c>
      <c r="Q699" s="12" t="s">
        <v>3863</v>
      </c>
      <c r="R699" s="15" t="s">
        <v>3864</v>
      </c>
      <c r="S699" s="12">
        <v>895</v>
      </c>
      <c r="T699" s="12" t="s">
        <v>39</v>
      </c>
      <c r="U699" s="12" t="s">
        <v>40</v>
      </c>
      <c r="V699" s="12" t="s">
        <v>41</v>
      </c>
      <c r="W699" s="12">
        <v>63000000</v>
      </c>
      <c r="X699" s="12">
        <v>1993</v>
      </c>
      <c r="Y699" s="12">
        <v>610</v>
      </c>
      <c r="Z699" s="12">
        <v>8.1</v>
      </c>
      <c r="AA699" s="12">
        <v>1.85</v>
      </c>
      <c r="AB699" s="12">
        <v>19000</v>
      </c>
      <c r="AC699" s="12"/>
      <c r="AD699" s="12" t="str">
        <f>IFERROR(__xludf.DUMMYFUNCTION("""COMPUTED_VALUE"""),"Oksana Akinshina")</f>
        <v>Oksana Akinshina</v>
      </c>
      <c r="AE699" s="12"/>
    </row>
    <row r="700" customHeight="1" spans="1:31">
      <c r="A700" s="11" t="s">
        <v>30</v>
      </c>
      <c r="B700" s="11" t="s">
        <v>3640</v>
      </c>
      <c r="C700" s="11">
        <v>40</v>
      </c>
      <c r="D700" s="11">
        <v>212</v>
      </c>
      <c r="E700" s="11">
        <v>759</v>
      </c>
      <c r="F700" s="11">
        <v>812</v>
      </c>
      <c r="G700" s="11">
        <v>2000</v>
      </c>
      <c r="H700" s="11">
        <v>25052000</v>
      </c>
      <c r="I700" s="11" t="s">
        <v>3865</v>
      </c>
      <c r="J700" s="11" t="s">
        <v>537</v>
      </c>
      <c r="K700" s="11" t="s">
        <v>1802</v>
      </c>
      <c r="L700" s="11" t="s">
        <v>3866</v>
      </c>
      <c r="M700" s="11" t="s">
        <v>3867</v>
      </c>
      <c r="N700" s="11">
        <v>35314</v>
      </c>
      <c r="O700" s="11">
        <v>5708</v>
      </c>
      <c r="P700" s="11">
        <v>0</v>
      </c>
      <c r="Q700" s="11" t="s">
        <v>3868</v>
      </c>
      <c r="R700" s="14" t="s">
        <v>3869</v>
      </c>
      <c r="S700" s="11">
        <v>145</v>
      </c>
      <c r="T700" s="11" t="s">
        <v>39</v>
      </c>
      <c r="U700" s="11" t="s">
        <v>40</v>
      </c>
      <c r="V700" s="11" t="s">
        <v>41</v>
      </c>
      <c r="W700" s="11">
        <v>63000000</v>
      </c>
      <c r="X700" s="11">
        <v>1994</v>
      </c>
      <c r="Y700" s="11">
        <v>925</v>
      </c>
      <c r="Z700" s="11">
        <v>6.6</v>
      </c>
      <c r="AA700" s="11">
        <v>2.35</v>
      </c>
      <c r="AB700" s="11">
        <v>0</v>
      </c>
      <c r="AC700" s="11"/>
      <c r="AD700" s="11" t="str">
        <f>IFERROR(__xludf.DUMMYFUNCTION("""COMPUTED_VALUE"""),"Dean Stockwell")</f>
        <v>Dean Stockwell</v>
      </c>
      <c r="AE700" s="11"/>
    </row>
    <row r="701" customHeight="1" spans="1:31">
      <c r="A701" s="12" t="s">
        <v>30</v>
      </c>
      <c r="B701" s="12" t="s">
        <v>1199</v>
      </c>
      <c r="C701" s="12">
        <v>42</v>
      </c>
      <c r="D701" s="12">
        <v>141</v>
      </c>
      <c r="E701" s="12">
        <v>176</v>
      </c>
      <c r="F701" s="12">
        <v>672</v>
      </c>
      <c r="G701" s="12">
        <v>11000</v>
      </c>
      <c r="H701" s="12">
        <v>122012710</v>
      </c>
      <c r="I701" s="12" t="s">
        <v>464</v>
      </c>
      <c r="J701" s="12" t="s">
        <v>391</v>
      </c>
      <c r="K701" s="12" t="s">
        <v>3870</v>
      </c>
      <c r="L701" s="12" t="s">
        <v>2435</v>
      </c>
      <c r="M701" s="12" t="s">
        <v>3871</v>
      </c>
      <c r="N701" s="12">
        <v>69663</v>
      </c>
      <c r="O701" s="12">
        <v>14178</v>
      </c>
      <c r="P701" s="12">
        <v>1</v>
      </c>
      <c r="Q701" s="12" t="s">
        <v>3872</v>
      </c>
      <c r="R701" s="15" t="s">
        <v>3873</v>
      </c>
      <c r="S701" s="12">
        <v>133</v>
      </c>
      <c r="T701" s="12" t="s">
        <v>39</v>
      </c>
      <c r="U701" s="12" t="s">
        <v>40</v>
      </c>
      <c r="V701" s="12" t="s">
        <v>41</v>
      </c>
      <c r="W701" s="12">
        <v>62000000</v>
      </c>
      <c r="X701" s="12">
        <v>1994</v>
      </c>
      <c r="Y701" s="12">
        <v>913</v>
      </c>
      <c r="Z701" s="12">
        <v>6.9</v>
      </c>
      <c r="AA701" s="12">
        <v>2.35</v>
      </c>
      <c r="AB701" s="12">
        <v>0</v>
      </c>
      <c r="AC701" s="12"/>
      <c r="AD701" s="12" t="str">
        <f>IFERROR(__xludf.DUMMYFUNCTION("""COMPUTED_VALUE"""),"Elliott Gould")</f>
        <v>Elliott Gould</v>
      </c>
      <c r="AE701" s="12"/>
    </row>
    <row r="702" customHeight="1" spans="1:31">
      <c r="A702" s="11" t="s">
        <v>30</v>
      </c>
      <c r="B702" s="11" t="s">
        <v>3874</v>
      </c>
      <c r="C702" s="11">
        <v>68</v>
      </c>
      <c r="D702" s="11">
        <v>103</v>
      </c>
      <c r="E702" s="11">
        <v>10</v>
      </c>
      <c r="F702" s="11">
        <v>7</v>
      </c>
      <c r="G702" s="11">
        <v>21</v>
      </c>
      <c r="H702" s="11">
        <v>72413</v>
      </c>
      <c r="I702" s="11" t="s">
        <v>189</v>
      </c>
      <c r="J702" s="11" t="s">
        <v>3875</v>
      </c>
      <c r="K702" s="11" t="s">
        <v>3876</v>
      </c>
      <c r="L702" s="11" t="s">
        <v>3877</v>
      </c>
      <c r="M702" s="11" t="s">
        <v>3878</v>
      </c>
      <c r="N702" s="11">
        <v>11584</v>
      </c>
      <c r="O702" s="11">
        <v>58</v>
      </c>
      <c r="P702" s="11">
        <v>3</v>
      </c>
      <c r="Q702" s="11" t="s">
        <v>3879</v>
      </c>
      <c r="R702" s="14" t="s">
        <v>3880</v>
      </c>
      <c r="S702" s="11">
        <v>86</v>
      </c>
      <c r="T702" s="11" t="s">
        <v>1947</v>
      </c>
      <c r="U702" s="11" t="s">
        <v>893</v>
      </c>
      <c r="V702" s="11" t="s">
        <v>586</v>
      </c>
      <c r="W702" s="11">
        <v>65000000</v>
      </c>
      <c r="X702" s="11">
        <v>2015</v>
      </c>
      <c r="Y702" s="11">
        <v>18</v>
      </c>
      <c r="Z702" s="11">
        <v>6.1</v>
      </c>
      <c r="AA702" s="11">
        <v>2.35</v>
      </c>
      <c r="AB702" s="11">
        <v>0</v>
      </c>
      <c r="AC702" s="11"/>
      <c r="AD702" s="11" t="str">
        <f>IFERROR(__xludf.DUMMYFUNCTION("""COMPUTED_VALUE"""),"Jeff Bennett")</f>
        <v>Jeff Bennett</v>
      </c>
      <c r="AE702" s="11"/>
    </row>
    <row r="703" customHeight="1" spans="1:31">
      <c r="A703" s="12" t="s">
        <v>30</v>
      </c>
      <c r="B703" s="12" t="s">
        <v>3881</v>
      </c>
      <c r="C703" s="12">
        <v>78</v>
      </c>
      <c r="D703" s="12">
        <v>98</v>
      </c>
      <c r="E703" s="12">
        <v>322</v>
      </c>
      <c r="F703" s="12">
        <v>723</v>
      </c>
      <c r="G703" s="12">
        <v>979</v>
      </c>
      <c r="H703" s="12">
        <v>58255287</v>
      </c>
      <c r="I703" s="12" t="s">
        <v>1009</v>
      </c>
      <c r="J703" s="12" t="s">
        <v>1654</v>
      </c>
      <c r="K703" s="12" t="s">
        <v>3882</v>
      </c>
      <c r="L703" s="12" t="s">
        <v>3883</v>
      </c>
      <c r="M703" s="12" t="s">
        <v>3884</v>
      </c>
      <c r="N703" s="12">
        <v>39471</v>
      </c>
      <c r="O703" s="12">
        <v>6334</v>
      </c>
      <c r="P703" s="12">
        <v>1</v>
      </c>
      <c r="Q703" s="12" t="s">
        <v>3885</v>
      </c>
      <c r="R703" s="15" t="s">
        <v>3886</v>
      </c>
      <c r="S703" s="12">
        <v>187</v>
      </c>
      <c r="T703" s="12" t="s">
        <v>39</v>
      </c>
      <c r="U703" s="12" t="s">
        <v>40</v>
      </c>
      <c r="V703" s="12" t="s">
        <v>41</v>
      </c>
      <c r="W703" s="12">
        <v>64000000</v>
      </c>
      <c r="X703" s="12">
        <v>2006</v>
      </c>
      <c r="Y703" s="12">
        <v>862</v>
      </c>
      <c r="Z703" s="12">
        <v>4.3</v>
      </c>
      <c r="AA703" s="12">
        <v>1.85</v>
      </c>
      <c r="AB703" s="12">
        <v>0</v>
      </c>
      <c r="AC703" s="12"/>
      <c r="AD703" s="12" t="str">
        <f>IFERROR(__xludf.DUMMYFUNCTION("""COMPUTED_VALUE"""),"Teala Dunn")</f>
        <v>Teala Dunn</v>
      </c>
      <c r="AE703" s="12"/>
    </row>
    <row r="704" customHeight="1" spans="1:31">
      <c r="A704" s="11" t="s">
        <v>30</v>
      </c>
      <c r="B704" s="11" t="s">
        <v>647</v>
      </c>
      <c r="C704" s="11">
        <v>178</v>
      </c>
      <c r="D704" s="11">
        <v>116</v>
      </c>
      <c r="E704" s="11">
        <v>84</v>
      </c>
      <c r="F704" s="11">
        <v>563</v>
      </c>
      <c r="G704" s="11">
        <v>11000</v>
      </c>
      <c r="H704" s="11">
        <v>77086030</v>
      </c>
      <c r="I704" s="11" t="s">
        <v>3887</v>
      </c>
      <c r="J704" s="11" t="s">
        <v>661</v>
      </c>
      <c r="K704" s="11" t="s">
        <v>209</v>
      </c>
      <c r="L704" s="11" t="s">
        <v>3888</v>
      </c>
      <c r="M704" s="11" t="s">
        <v>3889</v>
      </c>
      <c r="N704" s="11">
        <v>65297</v>
      </c>
      <c r="O704" s="11">
        <v>14931</v>
      </c>
      <c r="P704" s="11">
        <v>0</v>
      </c>
      <c r="Q704" s="11" t="s">
        <v>3890</v>
      </c>
      <c r="R704" s="14" t="s">
        <v>3891</v>
      </c>
      <c r="S704" s="11">
        <v>602</v>
      </c>
      <c r="T704" s="11" t="s">
        <v>39</v>
      </c>
      <c r="U704" s="11" t="s">
        <v>1466</v>
      </c>
      <c r="V704" s="11" t="s">
        <v>41</v>
      </c>
      <c r="W704" s="11">
        <v>62000000</v>
      </c>
      <c r="X704" s="11">
        <v>2000</v>
      </c>
      <c r="Y704" s="11">
        <v>919</v>
      </c>
      <c r="Z704" s="11">
        <v>6.6</v>
      </c>
      <c r="AA704" s="11">
        <v>2.35</v>
      </c>
      <c r="AB704" s="11">
        <v>0</v>
      </c>
      <c r="AC704" s="11"/>
      <c r="AD704" s="11" t="str">
        <f>IFERROR(__xludf.DUMMYFUNCTION("""COMPUTED_VALUE"""),"Fred Tatasciore")</f>
        <v>Fred Tatasciore</v>
      </c>
      <c r="AE704" s="11"/>
    </row>
    <row r="705" customHeight="1" spans="1:31">
      <c r="A705" s="12" t="s">
        <v>30</v>
      </c>
      <c r="B705" s="12" t="s">
        <v>3892</v>
      </c>
      <c r="C705" s="12">
        <v>75</v>
      </c>
      <c r="D705" s="12">
        <v>114</v>
      </c>
      <c r="E705" s="12">
        <v>0</v>
      </c>
      <c r="F705" s="12">
        <v>452</v>
      </c>
      <c r="G705" s="12">
        <v>524</v>
      </c>
      <c r="H705" s="12">
        <v>65000000</v>
      </c>
      <c r="I705" s="12" t="s">
        <v>1415</v>
      </c>
      <c r="J705" s="12" t="s">
        <v>3893</v>
      </c>
      <c r="K705" s="12" t="s">
        <v>3706</v>
      </c>
      <c r="L705" s="12" t="s">
        <v>1779</v>
      </c>
      <c r="M705" s="12" t="s">
        <v>3894</v>
      </c>
      <c r="N705" s="12">
        <v>43027</v>
      </c>
      <c r="O705" s="12">
        <v>2668</v>
      </c>
      <c r="P705" s="12">
        <v>0</v>
      </c>
      <c r="Q705" s="12" t="s">
        <v>3895</v>
      </c>
      <c r="R705" s="15" t="s">
        <v>3896</v>
      </c>
      <c r="S705" s="12">
        <v>214</v>
      </c>
      <c r="T705" s="12" t="s">
        <v>39</v>
      </c>
      <c r="U705" s="12" t="s">
        <v>40</v>
      </c>
      <c r="V705" s="12" t="s">
        <v>41</v>
      </c>
      <c r="W705" s="12">
        <v>62000000</v>
      </c>
      <c r="X705" s="12">
        <v>1995</v>
      </c>
      <c r="Y705" s="12">
        <v>517</v>
      </c>
      <c r="Z705" s="12">
        <v>6.8</v>
      </c>
      <c r="AA705" s="12">
        <v>2.35</v>
      </c>
      <c r="AB705" s="12">
        <v>0</v>
      </c>
      <c r="AC705" s="12"/>
      <c r="AD705" s="12" t="str">
        <f>IFERROR(__xludf.DUMMYFUNCTION("""COMPUTED_VALUE"""),"Caroline Dhavernas")</f>
        <v>Caroline Dhavernas</v>
      </c>
      <c r="AE705" s="12"/>
    </row>
    <row r="706" customHeight="1" spans="1:31">
      <c r="A706" s="11" t="s">
        <v>30</v>
      </c>
      <c r="B706" s="11" t="s">
        <v>3897</v>
      </c>
      <c r="C706" s="11">
        <v>150</v>
      </c>
      <c r="D706" s="11">
        <v>87</v>
      </c>
      <c r="E706" s="11">
        <v>12</v>
      </c>
      <c r="F706" s="11">
        <v>645</v>
      </c>
      <c r="G706" s="11">
        <v>3000</v>
      </c>
      <c r="H706" s="11">
        <v>32178777</v>
      </c>
      <c r="I706" s="11" t="s">
        <v>3898</v>
      </c>
      <c r="J706" s="11" t="s">
        <v>723</v>
      </c>
      <c r="K706" s="11" t="s">
        <v>3899</v>
      </c>
      <c r="L706" s="11" t="s">
        <v>1254</v>
      </c>
      <c r="M706" s="11" t="s">
        <v>3900</v>
      </c>
      <c r="N706" s="11">
        <v>43300</v>
      </c>
      <c r="O706" s="11">
        <v>6658</v>
      </c>
      <c r="P706" s="11">
        <v>6</v>
      </c>
      <c r="Q706" s="11" t="s">
        <v>3901</v>
      </c>
      <c r="R706" s="14" t="s">
        <v>3902</v>
      </c>
      <c r="S706" s="11">
        <v>250</v>
      </c>
      <c r="T706" s="11" t="s">
        <v>39</v>
      </c>
      <c r="U706" s="11" t="s">
        <v>40</v>
      </c>
      <c r="V706" s="11" t="s">
        <v>41</v>
      </c>
      <c r="W706" s="11">
        <v>62000000</v>
      </c>
      <c r="X706" s="11">
        <v>2008</v>
      </c>
      <c r="Y706" s="11">
        <v>966</v>
      </c>
      <c r="Z706" s="11">
        <v>3.8</v>
      </c>
      <c r="AA706" s="11">
        <v>2.35</v>
      </c>
      <c r="AB706" s="11">
        <v>0</v>
      </c>
      <c r="AC706" s="11"/>
      <c r="AD706" s="11" t="str">
        <f>IFERROR(__xludf.DUMMYFUNCTION("""COMPUTED_VALUE"""),"Scott Thompson")</f>
        <v>Scott Thompson</v>
      </c>
      <c r="AE706" s="11"/>
    </row>
    <row r="707" customHeight="1" spans="1:31">
      <c r="A707" s="12" t="s">
        <v>30</v>
      </c>
      <c r="B707" s="12" t="s">
        <v>3903</v>
      </c>
      <c r="C707" s="12">
        <v>113</v>
      </c>
      <c r="D707" s="12">
        <v>125</v>
      </c>
      <c r="E707" s="12">
        <v>11</v>
      </c>
      <c r="F707" s="12">
        <v>867</v>
      </c>
      <c r="G707" s="12">
        <v>11000</v>
      </c>
      <c r="H707" s="12">
        <v>15738632</v>
      </c>
      <c r="I707" s="12" t="s">
        <v>422</v>
      </c>
      <c r="J707" s="12" t="s">
        <v>1957</v>
      </c>
      <c r="K707" s="12" t="s">
        <v>3009</v>
      </c>
      <c r="L707" s="12" t="s">
        <v>3904</v>
      </c>
      <c r="M707" s="12" t="s">
        <v>3905</v>
      </c>
      <c r="N707" s="12">
        <v>38076</v>
      </c>
      <c r="O707" s="12">
        <v>14536</v>
      </c>
      <c r="P707" s="12">
        <v>2</v>
      </c>
      <c r="Q707" s="12" t="s">
        <v>3906</v>
      </c>
      <c r="R707" s="15" t="s">
        <v>3907</v>
      </c>
      <c r="S707" s="12">
        <v>399</v>
      </c>
      <c r="T707" s="12" t="s">
        <v>39</v>
      </c>
      <c r="U707" s="12" t="s">
        <v>40</v>
      </c>
      <c r="V707" s="12" t="s">
        <v>586</v>
      </c>
      <c r="W707" s="12">
        <v>42000000</v>
      </c>
      <c r="X707" s="12">
        <v>2001</v>
      </c>
      <c r="Y707" s="12">
        <v>904</v>
      </c>
      <c r="Z707" s="12">
        <v>5.9</v>
      </c>
      <c r="AA707" s="12">
        <v>2.35</v>
      </c>
      <c r="AB707" s="12">
        <v>0</v>
      </c>
      <c r="AC707" s="12"/>
      <c r="AD707" s="12" t="str">
        <f>IFERROR(__xludf.DUMMYFUNCTION("""COMPUTED_VALUE"""),"Hettienne Park")</f>
        <v>Hettienne Park</v>
      </c>
      <c r="AE707" s="12"/>
    </row>
    <row r="708" customHeight="1" spans="1:31">
      <c r="A708" s="11" t="s">
        <v>30</v>
      </c>
      <c r="B708" s="11" t="s">
        <v>1765</v>
      </c>
      <c r="C708" s="11">
        <v>596</v>
      </c>
      <c r="D708" s="11">
        <v>187</v>
      </c>
      <c r="E708" s="11">
        <v>16000</v>
      </c>
      <c r="F708" s="11">
        <v>1000</v>
      </c>
      <c r="G708" s="11">
        <v>46000</v>
      </c>
      <c r="H708" s="11">
        <v>54116191</v>
      </c>
      <c r="I708" s="11" t="s">
        <v>3908</v>
      </c>
      <c r="J708" s="11" t="s">
        <v>3909</v>
      </c>
      <c r="K708" s="11" t="s">
        <v>2620</v>
      </c>
      <c r="L708" s="11" t="s">
        <v>1429</v>
      </c>
      <c r="M708" s="11" t="s">
        <v>3910</v>
      </c>
      <c r="N708" s="11">
        <v>272839</v>
      </c>
      <c r="O708" s="11">
        <v>49912</v>
      </c>
      <c r="P708" s="11">
        <v>1</v>
      </c>
      <c r="Q708" s="11" t="s">
        <v>3911</v>
      </c>
      <c r="R708" s="14" t="s">
        <v>3912</v>
      </c>
      <c r="S708" s="11">
        <v>1018</v>
      </c>
      <c r="T708" s="11" t="s">
        <v>39</v>
      </c>
      <c r="U708" s="11" t="s">
        <v>40</v>
      </c>
      <c r="V708" s="11" t="s">
        <v>586</v>
      </c>
      <c r="W708" s="11">
        <v>44000000</v>
      </c>
      <c r="X708" s="11">
        <v>2015</v>
      </c>
      <c r="Y708" s="11">
        <v>1000</v>
      </c>
      <c r="Z708" s="11">
        <v>7.9</v>
      </c>
      <c r="AA708" s="11">
        <v>2.76</v>
      </c>
      <c r="AB708" s="11">
        <v>114000</v>
      </c>
      <c r="AC708" s="11"/>
      <c r="AD708" s="11" t="str">
        <f>IFERROR(__xludf.DUMMYFUNCTION("""COMPUTED_VALUE"""),"Jim Carter")</f>
        <v>Jim Carter</v>
      </c>
      <c r="AE708" s="11"/>
    </row>
    <row r="709" customHeight="1" spans="1:31">
      <c r="A709" s="12" t="s">
        <v>30</v>
      </c>
      <c r="B709" s="12" t="s">
        <v>3913</v>
      </c>
      <c r="C709" s="12">
        <v>191</v>
      </c>
      <c r="D709" s="12">
        <v>93</v>
      </c>
      <c r="E709" s="12">
        <v>8</v>
      </c>
      <c r="F709" s="12">
        <v>970</v>
      </c>
      <c r="G709" s="12">
        <v>8000</v>
      </c>
      <c r="H709" s="12">
        <v>118153533</v>
      </c>
      <c r="I709" s="12" t="s">
        <v>3914</v>
      </c>
      <c r="J709" s="12" t="s">
        <v>1249</v>
      </c>
      <c r="K709" s="12" t="s">
        <v>479</v>
      </c>
      <c r="L709" s="12" t="s">
        <v>1951</v>
      </c>
      <c r="M709" s="12" t="s">
        <v>3915</v>
      </c>
      <c r="N709" s="12">
        <v>129995</v>
      </c>
      <c r="O709" s="12">
        <v>13232</v>
      </c>
      <c r="P709" s="12">
        <v>2</v>
      </c>
      <c r="Q709" s="12" t="s">
        <v>3916</v>
      </c>
      <c r="R709" s="15" t="s">
        <v>3917</v>
      </c>
      <c r="S709" s="12">
        <v>246</v>
      </c>
      <c r="T709" s="12" t="s">
        <v>39</v>
      </c>
      <c r="U709" s="12" t="s">
        <v>40</v>
      </c>
      <c r="V709" s="12" t="s">
        <v>41</v>
      </c>
      <c r="W709" s="12">
        <v>61000000</v>
      </c>
      <c r="X709" s="12">
        <v>2007</v>
      </c>
      <c r="Y709" s="12">
        <v>1000</v>
      </c>
      <c r="Z709" s="12">
        <v>6.3</v>
      </c>
      <c r="AA709" s="12">
        <v>1.85</v>
      </c>
      <c r="AB709" s="12">
        <v>0</v>
      </c>
      <c r="AC709" s="12"/>
      <c r="AD709" s="12" t="str">
        <f>IFERROR(__xludf.DUMMYFUNCTION("""COMPUTED_VALUE"""),"Gabourey Sidibe")</f>
        <v>Gabourey Sidibe</v>
      </c>
      <c r="AE709" s="12"/>
    </row>
    <row r="710" customHeight="1" spans="1:31">
      <c r="A710" s="11" t="s">
        <v>30</v>
      </c>
      <c r="B710" s="11" t="s">
        <v>3918</v>
      </c>
      <c r="C710" s="11">
        <v>156</v>
      </c>
      <c r="D710" s="11">
        <v>95</v>
      </c>
      <c r="E710" s="11">
        <v>25</v>
      </c>
      <c r="F710" s="11">
        <v>439</v>
      </c>
      <c r="G710" s="11">
        <v>989</v>
      </c>
      <c r="H710" s="11">
        <v>108012170</v>
      </c>
      <c r="I710" s="11" t="s">
        <v>271</v>
      </c>
      <c r="J710" s="11" t="s">
        <v>3230</v>
      </c>
      <c r="K710" s="11" t="s">
        <v>3919</v>
      </c>
      <c r="L710" s="11" t="s">
        <v>3920</v>
      </c>
      <c r="M710" s="11" t="s">
        <v>3921</v>
      </c>
      <c r="N710" s="11">
        <v>24089</v>
      </c>
      <c r="O710" s="11">
        <v>2558</v>
      </c>
      <c r="P710" s="11">
        <v>0</v>
      </c>
      <c r="Q710" s="11" t="s">
        <v>3922</v>
      </c>
      <c r="R710" s="14" t="s">
        <v>3923</v>
      </c>
      <c r="S710" s="11">
        <v>82</v>
      </c>
      <c r="T710" s="11" t="s">
        <v>39</v>
      </c>
      <c r="U710" s="11" t="s">
        <v>40</v>
      </c>
      <c r="V710" s="11" t="s">
        <v>96</v>
      </c>
      <c r="W710" s="11">
        <v>63000000</v>
      </c>
      <c r="X710" s="11">
        <v>2011</v>
      </c>
      <c r="Y710" s="11">
        <v>664</v>
      </c>
      <c r="Z710" s="11">
        <v>5.5</v>
      </c>
      <c r="AA710" s="11">
        <v>1.85</v>
      </c>
      <c r="AB710" s="11">
        <v>0</v>
      </c>
      <c r="AC710" s="11"/>
      <c r="AD710" s="11" t="str">
        <f>IFERROR(__xludf.DUMMYFUNCTION("""COMPUTED_VALUE"""),"Sarah Parish")</f>
        <v>Sarah Parish</v>
      </c>
      <c r="AE710" s="11"/>
    </row>
    <row r="711" customHeight="1" spans="1:31">
      <c r="A711" s="12" t="s">
        <v>30</v>
      </c>
      <c r="B711" s="12" t="s">
        <v>112</v>
      </c>
      <c r="C711" s="12">
        <v>460</v>
      </c>
      <c r="D711" s="12">
        <v>117</v>
      </c>
      <c r="E711" s="12">
        <v>0</v>
      </c>
      <c r="F711" s="12">
        <v>447</v>
      </c>
      <c r="G711" s="12">
        <v>18000</v>
      </c>
      <c r="H711" s="12">
        <v>210592590</v>
      </c>
      <c r="I711" s="12" t="s">
        <v>1571</v>
      </c>
      <c r="J711" s="12" t="s">
        <v>641</v>
      </c>
      <c r="K711" s="12" t="s">
        <v>459</v>
      </c>
      <c r="L711" s="12" t="s">
        <v>3924</v>
      </c>
      <c r="M711" s="12" t="s">
        <v>3925</v>
      </c>
      <c r="N711" s="12">
        <v>607235</v>
      </c>
      <c r="O711" s="12">
        <v>32360</v>
      </c>
      <c r="P711" s="12">
        <v>0</v>
      </c>
      <c r="Q711" s="12" t="s">
        <v>3926</v>
      </c>
      <c r="R711" s="15" t="s">
        <v>3927</v>
      </c>
      <c r="S711" s="12">
        <v>2073</v>
      </c>
      <c r="T711" s="12" t="s">
        <v>39</v>
      </c>
      <c r="U711" s="12" t="s">
        <v>40</v>
      </c>
      <c r="V711" s="12" t="s">
        <v>586</v>
      </c>
      <c r="W711" s="12">
        <v>65000000</v>
      </c>
      <c r="X711" s="12">
        <v>2006</v>
      </c>
      <c r="Y711" s="12">
        <v>13000</v>
      </c>
      <c r="Z711" s="12">
        <v>7.7</v>
      </c>
      <c r="AA711" s="12">
        <v>2.35</v>
      </c>
      <c r="AB711" s="12">
        <v>13000</v>
      </c>
      <c r="AC711" s="12"/>
      <c r="AD711" s="12" t="str">
        <f>IFERROR(__xludf.DUMMYFUNCTION("""COMPUTED_VALUE"""),"Lisa Bonet")</f>
        <v>Lisa Bonet</v>
      </c>
      <c r="AE711" s="12"/>
    </row>
    <row r="712" customHeight="1" spans="1:31">
      <c r="A712" s="11" t="s">
        <v>30</v>
      </c>
      <c r="B712" s="11" t="s">
        <v>1966</v>
      </c>
      <c r="C712" s="11">
        <v>141</v>
      </c>
      <c r="D712" s="11">
        <v>106</v>
      </c>
      <c r="E712" s="11">
        <v>116</v>
      </c>
      <c r="F712" s="11">
        <v>708</v>
      </c>
      <c r="G712" s="11">
        <v>22000</v>
      </c>
      <c r="H712" s="11">
        <v>279167575</v>
      </c>
      <c r="I712" s="11" t="s">
        <v>1681</v>
      </c>
      <c r="J712" s="11" t="s">
        <v>1746</v>
      </c>
      <c r="K712" s="11" t="s">
        <v>1747</v>
      </c>
      <c r="L712" s="11" t="s">
        <v>1748</v>
      </c>
      <c r="M712" s="11" t="s">
        <v>3928</v>
      </c>
      <c r="N712" s="11">
        <v>211296</v>
      </c>
      <c r="O712" s="11">
        <v>24938</v>
      </c>
      <c r="P712" s="11">
        <v>6</v>
      </c>
      <c r="Q712" s="11" t="s">
        <v>3929</v>
      </c>
      <c r="R712" s="14" t="s">
        <v>3930</v>
      </c>
      <c r="S712" s="11">
        <v>428</v>
      </c>
      <c r="T712" s="11" t="s">
        <v>39</v>
      </c>
      <c r="U712" s="11" t="s">
        <v>40</v>
      </c>
      <c r="V712" s="11" t="s">
        <v>41</v>
      </c>
      <c r="W712" s="11">
        <v>80000000</v>
      </c>
      <c r="X712" s="11">
        <v>2004</v>
      </c>
      <c r="Y712" s="11">
        <v>713</v>
      </c>
      <c r="Z712" s="11">
        <v>6.3</v>
      </c>
      <c r="AA712" s="11">
        <v>1.85</v>
      </c>
      <c r="AB712" s="11">
        <v>0</v>
      </c>
      <c r="AC712" s="11"/>
      <c r="AD712" s="11" t="str">
        <f>IFERROR(__xludf.DUMMYFUNCTION("""COMPUTED_VALUE"""),"Meryl Streep")</f>
        <v>Meryl Streep</v>
      </c>
      <c r="AE712" s="11"/>
    </row>
    <row r="713" customHeight="1" spans="1:31">
      <c r="A713" s="12" t="s">
        <v>30</v>
      </c>
      <c r="B713" s="12" t="s">
        <v>3931</v>
      </c>
      <c r="C713" s="12">
        <v>180</v>
      </c>
      <c r="D713" s="12">
        <v>115</v>
      </c>
      <c r="E713" s="12">
        <v>64</v>
      </c>
      <c r="F713" s="12">
        <v>664</v>
      </c>
      <c r="G713" s="12">
        <v>2000</v>
      </c>
      <c r="H713" s="12">
        <v>143151473</v>
      </c>
      <c r="I713" s="12" t="s">
        <v>3932</v>
      </c>
      <c r="J713" s="12" t="s">
        <v>3933</v>
      </c>
      <c r="K713" s="12" t="s">
        <v>3934</v>
      </c>
      <c r="L713" s="12" t="s">
        <v>3935</v>
      </c>
      <c r="M713" s="12" t="s">
        <v>3936</v>
      </c>
      <c r="N713" s="12">
        <v>116681</v>
      </c>
      <c r="O713" s="12">
        <v>4811</v>
      </c>
      <c r="P713" s="12">
        <v>0</v>
      </c>
      <c r="Q713" s="12" t="s">
        <v>3937</v>
      </c>
      <c r="R713" s="15" t="s">
        <v>3938</v>
      </c>
      <c r="S713" s="12">
        <v>320</v>
      </c>
      <c r="T713" s="12" t="s">
        <v>39</v>
      </c>
      <c r="U713" s="12" t="s">
        <v>40</v>
      </c>
      <c r="V713" s="12" t="s">
        <v>96</v>
      </c>
      <c r="W713" s="12">
        <v>60000000</v>
      </c>
      <c r="X713" s="12">
        <v>2008</v>
      </c>
      <c r="Y713" s="12">
        <v>899</v>
      </c>
      <c r="Z713" s="12">
        <v>7.1</v>
      </c>
      <c r="AA713" s="12">
        <v>2.35</v>
      </c>
      <c r="AB713" s="12">
        <v>11000</v>
      </c>
      <c r="AC713" s="12"/>
      <c r="AD713" s="12" t="str">
        <f>IFERROR(__xludf.DUMMYFUNCTION("""COMPUTED_VALUE"""),"Hunter Parrish")</f>
        <v>Hunter Parrish</v>
      </c>
      <c r="AE713" s="12"/>
    </row>
    <row r="714" customHeight="1" spans="1:31">
      <c r="A714" s="11" t="s">
        <v>30</v>
      </c>
      <c r="B714" s="11" t="s">
        <v>3260</v>
      </c>
      <c r="C714" s="11">
        <v>186</v>
      </c>
      <c r="D714" s="11">
        <v>189</v>
      </c>
      <c r="E714" s="11">
        <v>0</v>
      </c>
      <c r="F714" s="11">
        <v>693</v>
      </c>
      <c r="G714" s="11">
        <v>15000</v>
      </c>
      <c r="H714" s="11">
        <v>136801374</v>
      </c>
      <c r="I714" s="11" t="s">
        <v>3939</v>
      </c>
      <c r="J714" s="11" t="s">
        <v>322</v>
      </c>
      <c r="K714" s="11" t="s">
        <v>3262</v>
      </c>
      <c r="L714" s="11" t="s">
        <v>2032</v>
      </c>
      <c r="M714" s="11" t="s">
        <v>3940</v>
      </c>
      <c r="N714" s="11">
        <v>782610</v>
      </c>
      <c r="O714" s="11">
        <v>17716</v>
      </c>
      <c r="P714" s="11">
        <v>0</v>
      </c>
      <c r="Q714" s="11" t="s">
        <v>3941</v>
      </c>
      <c r="R714" s="14" t="s">
        <v>3942</v>
      </c>
      <c r="S714" s="11">
        <v>1377</v>
      </c>
      <c r="T714" s="11" t="s">
        <v>39</v>
      </c>
      <c r="U714" s="11" t="s">
        <v>40</v>
      </c>
      <c r="V714" s="11" t="s">
        <v>586</v>
      </c>
      <c r="W714" s="11">
        <v>60000000</v>
      </c>
      <c r="X714" s="11">
        <v>1999</v>
      </c>
      <c r="Y714" s="11">
        <v>745</v>
      </c>
      <c r="Z714" s="11">
        <v>8.5</v>
      </c>
      <c r="AA714" s="11">
        <v>1.85</v>
      </c>
      <c r="AB714" s="11">
        <v>30000</v>
      </c>
      <c r="AC714" s="11"/>
      <c r="AD714" s="11" t="str">
        <f>IFERROR(__xludf.DUMMYFUNCTION("""COMPUTED_VALUE"""),"Zoe Kazan")</f>
        <v>Zoe Kazan</v>
      </c>
      <c r="AE714" s="11"/>
    </row>
    <row r="715" customHeight="1" spans="1:31">
      <c r="A715" s="12" t="s">
        <v>30</v>
      </c>
      <c r="B715" s="12" t="s">
        <v>2167</v>
      </c>
      <c r="C715" s="12">
        <v>177</v>
      </c>
      <c r="D715" s="12">
        <v>100</v>
      </c>
      <c r="E715" s="12">
        <v>12</v>
      </c>
      <c r="F715" s="12">
        <v>311</v>
      </c>
      <c r="G715" s="12">
        <v>419</v>
      </c>
      <c r="H715" s="12">
        <v>168213584</v>
      </c>
      <c r="I715" s="12" t="s">
        <v>1629</v>
      </c>
      <c r="J715" s="12" t="s">
        <v>3943</v>
      </c>
      <c r="K715" s="12" t="s">
        <v>3944</v>
      </c>
      <c r="L715" s="12" t="s">
        <v>3945</v>
      </c>
      <c r="M715" s="12" t="s">
        <v>3946</v>
      </c>
      <c r="N715" s="12">
        <v>99989</v>
      </c>
      <c r="O715" s="12">
        <v>1412</v>
      </c>
      <c r="P715" s="12">
        <v>3</v>
      </c>
      <c r="Q715" s="12" t="s">
        <v>3947</v>
      </c>
      <c r="R715" s="15" t="s">
        <v>3948</v>
      </c>
      <c r="S715" s="12">
        <v>255</v>
      </c>
      <c r="T715" s="12" t="s">
        <v>39</v>
      </c>
      <c r="U715" s="12" t="s">
        <v>40</v>
      </c>
      <c r="V715" s="12" t="s">
        <v>41</v>
      </c>
      <c r="W715" s="16"/>
      <c r="X715" s="12">
        <v>2007</v>
      </c>
      <c r="Y715" s="12">
        <v>330</v>
      </c>
      <c r="Z715" s="12">
        <v>5.9</v>
      </c>
      <c r="AA715" s="12">
        <v>2.35</v>
      </c>
      <c r="AB715" s="12">
        <v>0</v>
      </c>
      <c r="AC715" s="12"/>
      <c r="AD715" s="12" t="str">
        <f>IFERROR(__xludf.DUMMYFUNCTION("""COMPUTED_VALUE"""),"Al Pacino")</f>
        <v>Al Pacino</v>
      </c>
      <c r="AE715" s="12"/>
    </row>
    <row r="716" customHeight="1" spans="1:31">
      <c r="A716" s="11" t="s">
        <v>30</v>
      </c>
      <c r="B716" s="11" t="s">
        <v>1777</v>
      </c>
      <c r="C716" s="11">
        <v>161</v>
      </c>
      <c r="D716" s="11">
        <v>81</v>
      </c>
      <c r="E716" s="11">
        <v>10</v>
      </c>
      <c r="F716" s="11">
        <v>397</v>
      </c>
      <c r="G716" s="11">
        <v>925</v>
      </c>
      <c r="H716" s="11">
        <v>135381507</v>
      </c>
      <c r="I716" s="11" t="s">
        <v>621</v>
      </c>
      <c r="J716" s="11" t="s">
        <v>1802</v>
      </c>
      <c r="K716" s="11" t="s">
        <v>417</v>
      </c>
      <c r="L716" s="11" t="s">
        <v>1195</v>
      </c>
      <c r="M716" s="11" t="s">
        <v>3949</v>
      </c>
      <c r="N716" s="11">
        <v>63912</v>
      </c>
      <c r="O716" s="11">
        <v>2252</v>
      </c>
      <c r="P716" s="11">
        <v>0</v>
      </c>
      <c r="Q716" s="11" t="s">
        <v>3950</v>
      </c>
      <c r="R716" s="14" t="s">
        <v>3951</v>
      </c>
      <c r="S716" s="11">
        <v>251</v>
      </c>
      <c r="T716" s="11" t="s">
        <v>39</v>
      </c>
      <c r="U716" s="11" t="s">
        <v>40</v>
      </c>
      <c r="V716" s="11" t="s">
        <v>278</v>
      </c>
      <c r="W716" s="11">
        <v>150000000</v>
      </c>
      <c r="X716" s="11">
        <v>2005</v>
      </c>
      <c r="Y716" s="11">
        <v>729</v>
      </c>
      <c r="Z716" s="11">
        <v>5.8</v>
      </c>
      <c r="AA716" s="11">
        <v>1.85</v>
      </c>
      <c r="AB716" s="11">
        <v>912</v>
      </c>
      <c r="AC716" s="11"/>
      <c r="AD716" s="11" t="str">
        <f>IFERROR(__xludf.DUMMYFUNCTION("""COMPUTED_VALUE"""),"Debra Messing")</f>
        <v>Debra Messing</v>
      </c>
      <c r="AE716" s="11"/>
    </row>
    <row r="717" customHeight="1" spans="1:31">
      <c r="A717" s="12" t="s">
        <v>30</v>
      </c>
      <c r="B717" s="12" t="s">
        <v>686</v>
      </c>
      <c r="C717" s="12">
        <v>568</v>
      </c>
      <c r="D717" s="12">
        <v>149</v>
      </c>
      <c r="E717" s="12">
        <v>21000</v>
      </c>
      <c r="F717" s="12">
        <v>625</v>
      </c>
      <c r="G717" s="12">
        <v>835</v>
      </c>
      <c r="H717" s="12">
        <v>167735396</v>
      </c>
      <c r="I717" s="12" t="s">
        <v>2142</v>
      </c>
      <c r="J717" s="12" t="s">
        <v>3952</v>
      </c>
      <c r="K717" s="12" t="s">
        <v>635</v>
      </c>
      <c r="L717" s="12" t="s">
        <v>3953</v>
      </c>
      <c r="M717" s="12" t="s">
        <v>3954</v>
      </c>
      <c r="N717" s="12">
        <v>569841</v>
      </c>
      <c r="O717" s="12">
        <v>4348</v>
      </c>
      <c r="P717" s="12">
        <v>0</v>
      </c>
      <c r="Q717" s="12" t="s">
        <v>3955</v>
      </c>
      <c r="R717" s="15" t="s">
        <v>3956</v>
      </c>
      <c r="S717" s="12">
        <v>1127</v>
      </c>
      <c r="T717" s="12" t="s">
        <v>39</v>
      </c>
      <c r="U717" s="12" t="s">
        <v>40</v>
      </c>
      <c r="V717" s="12" t="s">
        <v>586</v>
      </c>
      <c r="W717" s="12">
        <v>61000000</v>
      </c>
      <c r="X717" s="12">
        <v>2014</v>
      </c>
      <c r="Y717" s="12">
        <v>812</v>
      </c>
      <c r="Z717" s="12">
        <v>8.1</v>
      </c>
      <c r="AA717" s="12">
        <v>2.35</v>
      </c>
      <c r="AB717" s="12">
        <v>146000</v>
      </c>
      <c r="AC717" s="12"/>
      <c r="AD717" s="12" t="str">
        <f>IFERROR(__xludf.DUMMYFUNCTION("""COMPUTED_VALUE"""),"Jane Krakowski")</f>
        <v>Jane Krakowski</v>
      </c>
      <c r="AE717" s="12"/>
    </row>
    <row r="718" customHeight="1" spans="1:31">
      <c r="A718" s="11" t="s">
        <v>30</v>
      </c>
      <c r="B718" s="11" t="s">
        <v>522</v>
      </c>
      <c r="C718" s="11">
        <v>249</v>
      </c>
      <c r="D718" s="11">
        <v>119</v>
      </c>
      <c r="E718" s="11">
        <v>218</v>
      </c>
      <c r="F718" s="11">
        <v>73</v>
      </c>
      <c r="G718" s="11">
        <v>13000</v>
      </c>
      <c r="H718" s="11">
        <v>121468960</v>
      </c>
      <c r="I718" s="11" t="s">
        <v>1157</v>
      </c>
      <c r="J718" s="11" t="s">
        <v>1158</v>
      </c>
      <c r="K718" s="11" t="s">
        <v>3957</v>
      </c>
      <c r="L718" s="11" t="s">
        <v>3958</v>
      </c>
      <c r="M718" s="11" t="s">
        <v>3959</v>
      </c>
      <c r="N718" s="11">
        <v>407601</v>
      </c>
      <c r="O718" s="11">
        <v>13249</v>
      </c>
      <c r="P718" s="11">
        <v>1</v>
      </c>
      <c r="Q718" s="11" t="s">
        <v>3960</v>
      </c>
      <c r="R718" s="14" t="s">
        <v>3961</v>
      </c>
      <c r="S718" s="11">
        <v>849</v>
      </c>
      <c r="T718" s="11" t="s">
        <v>39</v>
      </c>
      <c r="U718" s="11" t="s">
        <v>40</v>
      </c>
      <c r="V718" s="11" t="s">
        <v>41</v>
      </c>
      <c r="W718" s="11">
        <v>60000000</v>
      </c>
      <c r="X718" s="11">
        <v>2002</v>
      </c>
      <c r="Y718" s="11">
        <v>147</v>
      </c>
      <c r="Z718" s="11">
        <v>7.9</v>
      </c>
      <c r="AA718" s="11">
        <v>2.35</v>
      </c>
      <c r="AB718" s="11">
        <v>0</v>
      </c>
      <c r="AC718" s="11"/>
      <c r="AD718" s="11" t="str">
        <f>IFERROR(__xludf.DUMMYFUNCTION("""COMPUTED_VALUE"""),"Bob Hoskins")</f>
        <v>Bob Hoskins</v>
      </c>
      <c r="AE718" s="11"/>
    </row>
    <row r="719" customHeight="1" spans="1:31">
      <c r="A719" s="12" t="s">
        <v>30</v>
      </c>
      <c r="B719" s="12" t="s">
        <v>314</v>
      </c>
      <c r="C719" s="12">
        <v>137</v>
      </c>
      <c r="D719" s="12">
        <v>130</v>
      </c>
      <c r="E719" s="12">
        <v>258</v>
      </c>
      <c r="F719" s="12">
        <v>345</v>
      </c>
      <c r="G719" s="12">
        <v>394</v>
      </c>
      <c r="H719" s="12">
        <v>106635996</v>
      </c>
      <c r="I719" s="12" t="s">
        <v>51</v>
      </c>
      <c r="J719" s="12" t="s">
        <v>3032</v>
      </c>
      <c r="K719" s="12" t="s">
        <v>1519</v>
      </c>
      <c r="L719" s="12" t="s">
        <v>2463</v>
      </c>
      <c r="M719" s="12" t="s">
        <v>3962</v>
      </c>
      <c r="N719" s="12">
        <v>199025</v>
      </c>
      <c r="O719" s="12">
        <v>1784</v>
      </c>
      <c r="P719" s="12">
        <v>2</v>
      </c>
      <c r="Q719" s="12" t="s">
        <v>3963</v>
      </c>
      <c r="R719" s="15" t="s">
        <v>3964</v>
      </c>
      <c r="S719" s="12">
        <v>416</v>
      </c>
      <c r="T719" s="12" t="s">
        <v>39</v>
      </c>
      <c r="U719" s="12" t="s">
        <v>58</v>
      </c>
      <c r="V719" s="12" t="s">
        <v>41</v>
      </c>
      <c r="W719" s="12">
        <v>58000000</v>
      </c>
      <c r="X719" s="12">
        <v>1995</v>
      </c>
      <c r="Y719" s="12">
        <v>387</v>
      </c>
      <c r="Z719" s="12">
        <v>7.2</v>
      </c>
      <c r="AA719" s="12">
        <v>2.35</v>
      </c>
      <c r="AB719" s="12">
        <v>0</v>
      </c>
      <c r="AC719" s="12"/>
      <c r="AD719" s="12" t="str">
        <f>IFERROR(__xludf.DUMMYFUNCTION("""COMPUTED_VALUE"""),"Gabriel Thomson")</f>
        <v>Gabriel Thomson</v>
      </c>
      <c r="AE719" s="12"/>
    </row>
    <row r="720" customHeight="1" spans="1:31">
      <c r="A720" s="11" t="s">
        <v>30</v>
      </c>
      <c r="B720" s="11" t="s">
        <v>1784</v>
      </c>
      <c r="C720" s="11">
        <v>113</v>
      </c>
      <c r="D720" s="11">
        <v>116</v>
      </c>
      <c r="E720" s="11">
        <v>165</v>
      </c>
      <c r="F720" s="11">
        <v>475</v>
      </c>
      <c r="G720" s="11">
        <v>577</v>
      </c>
      <c r="H720" s="11">
        <v>102678089</v>
      </c>
      <c r="I720" s="11" t="s">
        <v>1924</v>
      </c>
      <c r="J720" s="11" t="s">
        <v>3711</v>
      </c>
      <c r="K720" s="11" t="s">
        <v>3965</v>
      </c>
      <c r="L720" s="11" t="s">
        <v>3966</v>
      </c>
      <c r="M720" s="11" t="s">
        <v>3967</v>
      </c>
      <c r="N720" s="11">
        <v>42705</v>
      </c>
      <c r="O720" s="11">
        <v>2321</v>
      </c>
      <c r="P720" s="11">
        <v>0</v>
      </c>
      <c r="Q720" s="11" t="s">
        <v>3968</v>
      </c>
      <c r="R720" s="14" t="s">
        <v>3969</v>
      </c>
      <c r="S720" s="11">
        <v>274</v>
      </c>
      <c r="T720" s="11" t="s">
        <v>39</v>
      </c>
      <c r="U720" s="11" t="s">
        <v>40</v>
      </c>
      <c r="V720" s="11" t="s">
        <v>586</v>
      </c>
      <c r="W720" s="11">
        <v>95000000</v>
      </c>
      <c r="X720" s="11">
        <v>1999</v>
      </c>
      <c r="Y720" s="11">
        <v>501</v>
      </c>
      <c r="Z720" s="11">
        <v>6.3</v>
      </c>
      <c r="AA720" s="11">
        <v>2.35</v>
      </c>
      <c r="AB720" s="11">
        <v>885</v>
      </c>
      <c r="AC720" s="11"/>
      <c r="AD720" s="11" t="str">
        <f>IFERROR(__xludf.DUMMYFUNCTION("""COMPUTED_VALUE"""),"Clemens Schick")</f>
        <v>Clemens Schick</v>
      </c>
      <c r="AE720" s="11"/>
    </row>
    <row r="721" customHeight="1" spans="1:31">
      <c r="A721" s="12" t="s">
        <v>30</v>
      </c>
      <c r="B721" s="12" t="s">
        <v>1097</v>
      </c>
      <c r="C721" s="12">
        <v>213</v>
      </c>
      <c r="D721" s="12">
        <v>103</v>
      </c>
      <c r="E721" s="12">
        <v>608</v>
      </c>
      <c r="F721" s="12">
        <v>576</v>
      </c>
      <c r="G721" s="12">
        <v>2000</v>
      </c>
      <c r="H721" s="12">
        <v>125603360</v>
      </c>
      <c r="I721" s="12" t="s">
        <v>2257</v>
      </c>
      <c r="J721" s="12" t="s">
        <v>2268</v>
      </c>
      <c r="K721" s="12" t="s">
        <v>1469</v>
      </c>
      <c r="L721" s="12" t="s">
        <v>3970</v>
      </c>
      <c r="M721" s="12" t="s">
        <v>3971</v>
      </c>
      <c r="N721" s="12">
        <v>667983</v>
      </c>
      <c r="O721" s="12">
        <v>3698</v>
      </c>
      <c r="P721" s="12">
        <v>1</v>
      </c>
      <c r="Q721" s="12" t="s">
        <v>3972</v>
      </c>
      <c r="R721" s="15" t="s">
        <v>3973</v>
      </c>
      <c r="S721" s="12">
        <v>877</v>
      </c>
      <c r="T721" s="12" t="s">
        <v>39</v>
      </c>
      <c r="U721" s="12" t="s">
        <v>40</v>
      </c>
      <c r="V721" s="12" t="s">
        <v>96</v>
      </c>
      <c r="W721" s="12">
        <v>60000000</v>
      </c>
      <c r="X721" s="12">
        <v>1998</v>
      </c>
      <c r="Y721" s="12">
        <v>617</v>
      </c>
      <c r="Z721" s="12">
        <v>8.1</v>
      </c>
      <c r="AA721" s="12">
        <v>1.85</v>
      </c>
      <c r="AB721" s="12">
        <v>18000</v>
      </c>
      <c r="AC721" s="12"/>
      <c r="AD721" s="12" t="str">
        <f>IFERROR(__xludf.DUMMYFUNCTION("""COMPUTED_VALUE"""),"F. Murray Abraham")</f>
        <v>F. Murray Abraham</v>
      </c>
      <c r="AE721" s="12"/>
    </row>
    <row r="722" customHeight="1" spans="1:31">
      <c r="A722" s="11" t="s">
        <v>30</v>
      </c>
      <c r="B722" s="11" t="s">
        <v>3974</v>
      </c>
      <c r="C722" s="11">
        <v>120</v>
      </c>
      <c r="D722" s="11">
        <v>99</v>
      </c>
      <c r="E722" s="11">
        <v>59</v>
      </c>
      <c r="F722" s="11">
        <v>145</v>
      </c>
      <c r="G722" s="11">
        <v>770</v>
      </c>
      <c r="H722" s="11">
        <v>101217900</v>
      </c>
      <c r="I722" s="11" t="s">
        <v>3975</v>
      </c>
      <c r="J722" s="11" t="s">
        <v>959</v>
      </c>
      <c r="K722" s="11" t="s">
        <v>3976</v>
      </c>
      <c r="L722" s="11" t="s">
        <v>3977</v>
      </c>
      <c r="M722" s="11" t="s">
        <v>3978</v>
      </c>
      <c r="N722" s="11">
        <v>91093</v>
      </c>
      <c r="O722" s="11">
        <v>1195</v>
      </c>
      <c r="P722" s="11">
        <v>2</v>
      </c>
      <c r="Q722" s="11" t="s">
        <v>3979</v>
      </c>
      <c r="R722" s="14" t="s">
        <v>3980</v>
      </c>
      <c r="S722" s="11">
        <v>353</v>
      </c>
      <c r="T722" s="11" t="s">
        <v>39</v>
      </c>
      <c r="U722" s="11" t="s">
        <v>40</v>
      </c>
      <c r="V722" s="11" t="s">
        <v>96</v>
      </c>
      <c r="W722" s="11">
        <v>70000000</v>
      </c>
      <c r="X722" s="11">
        <v>1998</v>
      </c>
      <c r="Y722" s="11">
        <v>263</v>
      </c>
      <c r="Z722" s="11">
        <v>7</v>
      </c>
      <c r="AA722" s="11">
        <v>1.85</v>
      </c>
      <c r="AB722" s="11">
        <v>0</v>
      </c>
      <c r="AC722" s="11"/>
      <c r="AD722" s="11" t="str">
        <f>IFERROR(__xludf.DUMMYFUNCTION("""COMPUTED_VALUE"""),"Tom Noonan")</f>
        <v>Tom Noonan</v>
      </c>
      <c r="AE722" s="11"/>
    </row>
    <row r="723" customHeight="1" spans="1:31">
      <c r="A723" s="12" t="s">
        <v>30</v>
      </c>
      <c r="B723" s="12" t="s">
        <v>3234</v>
      </c>
      <c r="C723" s="12">
        <v>81</v>
      </c>
      <c r="D723" s="12">
        <v>92</v>
      </c>
      <c r="E723" s="12">
        <v>41</v>
      </c>
      <c r="F723" s="12">
        <v>522</v>
      </c>
      <c r="G723" s="12">
        <v>1000</v>
      </c>
      <c r="H723" s="12">
        <v>104148781</v>
      </c>
      <c r="I723" s="12" t="s">
        <v>3057</v>
      </c>
      <c r="J723" s="12" t="s">
        <v>3981</v>
      </c>
      <c r="K723" s="12" t="s">
        <v>3633</v>
      </c>
      <c r="L723" s="12" t="s">
        <v>418</v>
      </c>
      <c r="M723" s="12" t="s">
        <v>3982</v>
      </c>
      <c r="N723" s="12">
        <v>49486</v>
      </c>
      <c r="O723" s="12">
        <v>4050</v>
      </c>
      <c r="P723" s="12">
        <v>1</v>
      </c>
      <c r="Q723" s="12" t="s">
        <v>3983</v>
      </c>
      <c r="R723" s="15" t="s">
        <v>3984</v>
      </c>
      <c r="S723" s="12">
        <v>116</v>
      </c>
      <c r="T723" s="12" t="s">
        <v>39</v>
      </c>
      <c r="U723" s="12" t="s">
        <v>40</v>
      </c>
      <c r="V723" s="12" t="s">
        <v>96</v>
      </c>
      <c r="W723" s="12">
        <v>60000000</v>
      </c>
      <c r="X723" s="12">
        <v>2003</v>
      </c>
      <c r="Y723" s="12">
        <v>955</v>
      </c>
      <c r="Z723" s="12">
        <v>5.5</v>
      </c>
      <c r="AA723" s="12">
        <v>1.85</v>
      </c>
      <c r="AB723" s="12">
        <v>886</v>
      </c>
      <c r="AC723" s="12"/>
      <c r="AD723" s="12" t="str">
        <f>IFERROR(__xludf.DUMMYFUNCTION("""COMPUTED_VALUE"""),"Li Gong")</f>
        <v>Li Gong</v>
      </c>
      <c r="AE723" s="12"/>
    </row>
    <row r="724" customHeight="1" spans="1:31">
      <c r="A724" s="11" t="s">
        <v>30</v>
      </c>
      <c r="B724" s="11" t="s">
        <v>3837</v>
      </c>
      <c r="C724" s="11">
        <v>265</v>
      </c>
      <c r="D724" s="11">
        <v>109</v>
      </c>
      <c r="E724" s="11">
        <v>175</v>
      </c>
      <c r="F724" s="11">
        <v>459</v>
      </c>
      <c r="G724" s="11">
        <v>18000</v>
      </c>
      <c r="H724" s="11">
        <v>75573300</v>
      </c>
      <c r="I724" s="11" t="s">
        <v>3554</v>
      </c>
      <c r="J724" s="11" t="s">
        <v>1727</v>
      </c>
      <c r="K724" s="11" t="s">
        <v>3985</v>
      </c>
      <c r="L724" s="11" t="s">
        <v>3986</v>
      </c>
      <c r="M724" s="11" t="s">
        <v>3987</v>
      </c>
      <c r="N724" s="11">
        <v>156898</v>
      </c>
      <c r="O724" s="11">
        <v>20148</v>
      </c>
      <c r="P724" s="11">
        <v>1</v>
      </c>
      <c r="Q724" s="11" t="s">
        <v>3988</v>
      </c>
      <c r="R724" s="14" t="s">
        <v>3989</v>
      </c>
      <c r="S724" s="11">
        <v>172</v>
      </c>
      <c r="T724" s="11" t="s">
        <v>39</v>
      </c>
      <c r="U724" s="11" t="s">
        <v>40</v>
      </c>
      <c r="V724" s="11" t="s">
        <v>586</v>
      </c>
      <c r="W724" s="11">
        <v>61000000</v>
      </c>
      <c r="X724" s="11">
        <v>2013</v>
      </c>
      <c r="Y724" s="11">
        <v>497</v>
      </c>
      <c r="Z724" s="11">
        <v>6.7</v>
      </c>
      <c r="AA724" s="11">
        <v>2.35</v>
      </c>
      <c r="AB724" s="11">
        <v>22000</v>
      </c>
      <c r="AC724" s="11"/>
      <c r="AD724" s="11" t="str">
        <f>IFERROR(__xludf.DUMMYFUNCTION("""COMPUTED_VALUE"""),"Karl Yune")</f>
        <v>Karl Yune</v>
      </c>
      <c r="AE724" s="11"/>
    </row>
    <row r="725" customHeight="1" spans="1:31">
      <c r="A725" s="12" t="s">
        <v>30</v>
      </c>
      <c r="B725" s="12" t="s">
        <v>1890</v>
      </c>
      <c r="C725" s="12">
        <v>105</v>
      </c>
      <c r="D725" s="12">
        <v>87</v>
      </c>
      <c r="E725" s="12">
        <v>6</v>
      </c>
      <c r="F725" s="12">
        <v>405</v>
      </c>
      <c r="G725" s="12">
        <v>3000</v>
      </c>
      <c r="H725" s="12">
        <v>93375151</v>
      </c>
      <c r="I725" s="12" t="s">
        <v>2503</v>
      </c>
      <c r="J725" s="12" t="s">
        <v>3990</v>
      </c>
      <c r="K725" s="12" t="s">
        <v>3919</v>
      </c>
      <c r="L725" s="12" t="s">
        <v>3991</v>
      </c>
      <c r="M725" s="12" t="s">
        <v>3992</v>
      </c>
      <c r="N725" s="12">
        <v>46031</v>
      </c>
      <c r="O725" s="12">
        <v>4171</v>
      </c>
      <c r="P725" s="12">
        <v>0</v>
      </c>
      <c r="Q725" s="12" t="s">
        <v>3993</v>
      </c>
      <c r="R725" s="15" t="s">
        <v>3994</v>
      </c>
      <c r="S725" s="12">
        <v>235</v>
      </c>
      <c r="T725" s="12" t="s">
        <v>39</v>
      </c>
      <c r="U725" s="12" t="s">
        <v>40</v>
      </c>
      <c r="V725" s="12" t="s">
        <v>96</v>
      </c>
      <c r="W725" s="12">
        <v>60000000</v>
      </c>
      <c r="X725" s="12">
        <v>2001</v>
      </c>
      <c r="Y725" s="12">
        <v>664</v>
      </c>
      <c r="Z725" s="12">
        <v>5.2</v>
      </c>
      <c r="AA725" s="12">
        <v>1.85</v>
      </c>
      <c r="AB725" s="12">
        <v>0</v>
      </c>
      <c r="AC725" s="12"/>
      <c r="AD725" s="12" t="str">
        <f>IFERROR(__xludf.DUMMYFUNCTION("""COMPUTED_VALUE"""),"Amber Stevens West")</f>
        <v>Amber Stevens West</v>
      </c>
      <c r="AE725" s="12"/>
    </row>
    <row r="726" customHeight="1" spans="1:31">
      <c r="A726" s="11" t="s">
        <v>30</v>
      </c>
      <c r="B726" s="11" t="s">
        <v>3089</v>
      </c>
      <c r="C726" s="11">
        <v>155</v>
      </c>
      <c r="D726" s="11">
        <v>111</v>
      </c>
      <c r="E726" s="11">
        <v>473</v>
      </c>
      <c r="F726" s="11">
        <v>82</v>
      </c>
      <c r="G726" s="11">
        <v>26000</v>
      </c>
      <c r="H726" s="11">
        <v>106126012</v>
      </c>
      <c r="I726" s="11" t="s">
        <v>334</v>
      </c>
      <c r="J726" s="11" t="s">
        <v>335</v>
      </c>
      <c r="K726" s="11" t="s">
        <v>778</v>
      </c>
      <c r="L726" s="11" t="s">
        <v>3995</v>
      </c>
      <c r="M726" s="11" t="s">
        <v>3996</v>
      </c>
      <c r="N726" s="11">
        <v>285623</v>
      </c>
      <c r="O726" s="11">
        <v>35084</v>
      </c>
      <c r="P726" s="11">
        <v>6</v>
      </c>
      <c r="Q726" s="11" t="s">
        <v>3997</v>
      </c>
      <c r="R726" s="14" t="s">
        <v>3998</v>
      </c>
      <c r="S726" s="11">
        <v>497</v>
      </c>
      <c r="T726" s="11" t="s">
        <v>39</v>
      </c>
      <c r="U726" s="11" t="s">
        <v>40</v>
      </c>
      <c r="V726" s="11" t="s">
        <v>41</v>
      </c>
      <c r="W726" s="11">
        <v>60000000</v>
      </c>
      <c r="X726" s="11">
        <v>2003</v>
      </c>
      <c r="Y726" s="11">
        <v>9000</v>
      </c>
      <c r="Z726" s="11">
        <v>7</v>
      </c>
      <c r="AA726" s="11">
        <v>2.35</v>
      </c>
      <c r="AB726" s="11">
        <v>0</v>
      </c>
      <c r="AC726" s="11"/>
      <c r="AD726" s="11" t="str">
        <f>IFERROR(__xludf.DUMMYFUNCTION("""COMPUTED_VALUE"""),"Zachery Ty Bryan")</f>
        <v>Zachery Ty Bryan</v>
      </c>
      <c r="AE726" s="11"/>
    </row>
    <row r="727" customHeight="1" spans="1:31">
      <c r="A727" s="12" t="s">
        <v>30</v>
      </c>
      <c r="B727" s="12" t="s">
        <v>3999</v>
      </c>
      <c r="C727" s="12">
        <v>118</v>
      </c>
      <c r="D727" s="12">
        <v>101</v>
      </c>
      <c r="E727" s="12">
        <v>30</v>
      </c>
      <c r="F727" s="12">
        <v>268</v>
      </c>
      <c r="G727" s="12">
        <v>1000</v>
      </c>
      <c r="H727" s="12">
        <v>93307796</v>
      </c>
      <c r="I727" s="12" t="s">
        <v>1681</v>
      </c>
      <c r="J727" s="12" t="s">
        <v>2730</v>
      </c>
      <c r="K727" s="12" t="s">
        <v>4000</v>
      </c>
      <c r="L727" s="12" t="s">
        <v>424</v>
      </c>
      <c r="M727" s="12" t="s">
        <v>4001</v>
      </c>
      <c r="N727" s="12">
        <v>85673</v>
      </c>
      <c r="O727" s="12">
        <v>2636</v>
      </c>
      <c r="P727" s="12">
        <v>2</v>
      </c>
      <c r="Q727" s="12" t="s">
        <v>4002</v>
      </c>
      <c r="R727" s="15" t="s">
        <v>4003</v>
      </c>
      <c r="S727" s="12">
        <v>269</v>
      </c>
      <c r="T727" s="12" t="s">
        <v>39</v>
      </c>
      <c r="U727" s="12" t="s">
        <v>40</v>
      </c>
      <c r="V727" s="12" t="s">
        <v>41</v>
      </c>
      <c r="W727" s="12">
        <v>60000000</v>
      </c>
      <c r="X727" s="12">
        <v>2002</v>
      </c>
      <c r="Y727" s="12">
        <v>976</v>
      </c>
      <c r="Z727" s="12">
        <v>6.1</v>
      </c>
      <c r="AA727" s="12">
        <v>1.85</v>
      </c>
      <c r="AB727" s="12">
        <v>0</v>
      </c>
      <c r="AC727" s="12"/>
      <c r="AD727" s="12" t="str">
        <f>IFERROR(__xludf.DUMMYFUNCTION("""COMPUTED_VALUE"""),"Nikki Griffin")</f>
        <v>Nikki Griffin</v>
      </c>
      <c r="AE727" s="12"/>
    </row>
    <row r="728" customHeight="1" spans="1:31">
      <c r="A728" s="11" t="s">
        <v>30</v>
      </c>
      <c r="B728" s="11" t="s">
        <v>802</v>
      </c>
      <c r="C728" s="11">
        <v>131</v>
      </c>
      <c r="D728" s="11">
        <v>83</v>
      </c>
      <c r="E728" s="11">
        <v>35</v>
      </c>
      <c r="F728" s="11">
        <v>754</v>
      </c>
      <c r="G728" s="11">
        <v>13000</v>
      </c>
      <c r="H728" s="11">
        <v>90646554</v>
      </c>
      <c r="I728" s="11" t="s">
        <v>471</v>
      </c>
      <c r="J728" s="11" t="s">
        <v>1785</v>
      </c>
      <c r="K728" s="11" t="s">
        <v>4004</v>
      </c>
      <c r="L728" s="11" t="s">
        <v>4005</v>
      </c>
      <c r="M728" s="11" t="s">
        <v>4006</v>
      </c>
      <c r="N728" s="11">
        <v>124641</v>
      </c>
      <c r="O728" s="11">
        <v>25788</v>
      </c>
      <c r="P728" s="11">
        <v>0</v>
      </c>
      <c r="Q728" s="11" t="s">
        <v>4007</v>
      </c>
      <c r="R728" s="14" t="s">
        <v>4008</v>
      </c>
      <c r="S728" s="11">
        <v>289</v>
      </c>
      <c r="T728" s="11" t="s">
        <v>39</v>
      </c>
      <c r="U728" s="11" t="s">
        <v>40</v>
      </c>
      <c r="V728" s="11" t="s">
        <v>96</v>
      </c>
      <c r="W728" s="11">
        <v>105000000</v>
      </c>
      <c r="X728" s="11">
        <v>1998</v>
      </c>
      <c r="Y728" s="11">
        <v>11000</v>
      </c>
      <c r="Z728" s="11">
        <v>6.6</v>
      </c>
      <c r="AA728" s="11">
        <v>1.85</v>
      </c>
      <c r="AB728" s="11">
        <v>0</v>
      </c>
      <c r="AC728" s="11"/>
      <c r="AD728" s="11" t="str">
        <f>IFERROR(__xludf.DUMMYFUNCTION("""COMPUTED_VALUE"""),"Imelda Staunton")</f>
        <v>Imelda Staunton</v>
      </c>
      <c r="AE728" s="11"/>
    </row>
    <row r="729" customHeight="1" spans="1:31">
      <c r="A729" s="12" t="s">
        <v>30</v>
      </c>
      <c r="B729" s="12" t="s">
        <v>4009</v>
      </c>
      <c r="C729" s="12">
        <v>166</v>
      </c>
      <c r="D729" s="12">
        <v>113</v>
      </c>
      <c r="E729" s="12">
        <v>0</v>
      </c>
      <c r="F729" s="12">
        <v>721</v>
      </c>
      <c r="G729" s="12">
        <v>4000</v>
      </c>
      <c r="H729" s="12">
        <v>109176215</v>
      </c>
      <c r="I729" s="12" t="s">
        <v>1672</v>
      </c>
      <c r="J729" s="12" t="s">
        <v>251</v>
      </c>
      <c r="K729" s="12" t="s">
        <v>1980</v>
      </c>
      <c r="L729" s="12" t="s">
        <v>4010</v>
      </c>
      <c r="M729" s="12" t="s">
        <v>4011</v>
      </c>
      <c r="N729" s="12">
        <v>83506</v>
      </c>
      <c r="O729" s="12">
        <v>8172</v>
      </c>
      <c r="P729" s="12">
        <v>6</v>
      </c>
      <c r="Q729" s="12" t="s">
        <v>4012</v>
      </c>
      <c r="R729" s="15" t="s">
        <v>4013</v>
      </c>
      <c r="S729" s="12">
        <v>144</v>
      </c>
      <c r="T729" s="12" t="s">
        <v>39</v>
      </c>
      <c r="U729" s="12" t="s">
        <v>40</v>
      </c>
      <c r="V729" s="12" t="s">
        <v>41</v>
      </c>
      <c r="W729" s="12">
        <v>60000000</v>
      </c>
      <c r="X729" s="12">
        <v>2009</v>
      </c>
      <c r="Y729" s="12">
        <v>722</v>
      </c>
      <c r="Z729" s="12">
        <v>5.5</v>
      </c>
      <c r="AA729" s="12">
        <v>1.85</v>
      </c>
      <c r="AB729" s="12">
        <v>0</v>
      </c>
      <c r="AC729" s="12"/>
      <c r="AD729" s="12" t="str">
        <f>IFERROR(__xludf.DUMMYFUNCTION("""COMPUTED_VALUE"""),"Michael Palin")</f>
        <v>Michael Palin</v>
      </c>
      <c r="AE729" s="12"/>
    </row>
    <row r="730" customHeight="1" spans="1:31">
      <c r="A730" s="11" t="s">
        <v>30</v>
      </c>
      <c r="B730" s="11" t="s">
        <v>1740</v>
      </c>
      <c r="C730" s="11">
        <v>60</v>
      </c>
      <c r="D730" s="11">
        <v>107</v>
      </c>
      <c r="E730" s="11">
        <v>12000</v>
      </c>
      <c r="F730" s="11">
        <v>695</v>
      </c>
      <c r="G730" s="11">
        <v>10000</v>
      </c>
      <c r="H730" s="11">
        <v>82670733</v>
      </c>
      <c r="I730" s="11" t="s">
        <v>3266</v>
      </c>
      <c r="J730" s="11" t="s">
        <v>523</v>
      </c>
      <c r="K730" s="11" t="s">
        <v>1689</v>
      </c>
      <c r="L730" s="11" t="s">
        <v>1905</v>
      </c>
      <c r="M730" s="11" t="s">
        <v>4014</v>
      </c>
      <c r="N730" s="11">
        <v>60476</v>
      </c>
      <c r="O730" s="11">
        <v>14006</v>
      </c>
      <c r="P730" s="11">
        <v>0</v>
      </c>
      <c r="Q730" s="11" t="s">
        <v>4015</v>
      </c>
      <c r="R730" s="14" t="s">
        <v>4016</v>
      </c>
      <c r="S730" s="11">
        <v>97</v>
      </c>
      <c r="T730" s="11" t="s">
        <v>39</v>
      </c>
      <c r="U730" s="11" t="s">
        <v>40</v>
      </c>
      <c r="V730" s="11" t="s">
        <v>41</v>
      </c>
      <c r="W730" s="11">
        <v>60000000</v>
      </c>
      <c r="X730" s="11">
        <v>1990</v>
      </c>
      <c r="Y730" s="11">
        <v>3000</v>
      </c>
      <c r="Z730" s="11">
        <v>5.9</v>
      </c>
      <c r="AA730" s="11">
        <v>2.35</v>
      </c>
      <c r="AB730" s="11">
        <v>0</v>
      </c>
      <c r="AC730" s="11"/>
      <c r="AD730" s="11" t="str">
        <f>IFERROR(__xludf.DUMMYFUNCTION("""COMPUTED_VALUE"""),"Raymond Cruz")</f>
        <v>Raymond Cruz</v>
      </c>
      <c r="AE730" s="11"/>
    </row>
    <row r="731" customHeight="1" spans="1:31">
      <c r="A731" s="12" t="s">
        <v>30</v>
      </c>
      <c r="B731" s="12" t="s">
        <v>2613</v>
      </c>
      <c r="C731" s="12">
        <v>77</v>
      </c>
      <c r="D731" s="12">
        <v>94</v>
      </c>
      <c r="E731" s="12">
        <v>163</v>
      </c>
      <c r="F731" s="12">
        <v>2000</v>
      </c>
      <c r="G731" s="12">
        <v>12000</v>
      </c>
      <c r="H731" s="12">
        <v>82569532</v>
      </c>
      <c r="I731" s="12" t="s">
        <v>2359</v>
      </c>
      <c r="J731" s="12" t="s">
        <v>1107</v>
      </c>
      <c r="K731" s="12" t="s">
        <v>4017</v>
      </c>
      <c r="L731" s="12" t="s">
        <v>4018</v>
      </c>
      <c r="M731" s="12" t="s">
        <v>4019</v>
      </c>
      <c r="N731" s="12">
        <v>42737</v>
      </c>
      <c r="O731" s="12">
        <v>20348</v>
      </c>
      <c r="P731" s="12">
        <v>6</v>
      </c>
      <c r="Q731" s="12" t="s">
        <v>4020</v>
      </c>
      <c r="R731" s="15" t="s">
        <v>4021</v>
      </c>
      <c r="S731" s="12">
        <v>128</v>
      </c>
      <c r="T731" s="12" t="s">
        <v>39</v>
      </c>
      <c r="U731" s="12" t="s">
        <v>40</v>
      </c>
      <c r="V731" s="12" t="s">
        <v>96</v>
      </c>
      <c r="W731" s="12">
        <v>60000000</v>
      </c>
      <c r="X731" s="12">
        <v>2005</v>
      </c>
      <c r="Y731" s="12">
        <v>3000</v>
      </c>
      <c r="Z731" s="12">
        <v>5.4</v>
      </c>
      <c r="AA731" s="12">
        <v>2.35</v>
      </c>
      <c r="AB731" s="12">
        <v>781</v>
      </c>
      <c r="AC731" s="12"/>
      <c r="AD731" s="12" t="str">
        <f>IFERROR(__xludf.DUMMYFUNCTION("""COMPUTED_VALUE"""),"Rick Worthy")</f>
        <v>Rick Worthy</v>
      </c>
      <c r="AE731" s="12"/>
    </row>
    <row r="732" customHeight="1" spans="1:31">
      <c r="A732" s="11" t="s">
        <v>30</v>
      </c>
      <c r="B732" s="11" t="s">
        <v>4022</v>
      </c>
      <c r="C732" s="11">
        <v>249</v>
      </c>
      <c r="D732" s="11">
        <v>132</v>
      </c>
      <c r="E732" s="11">
        <v>47</v>
      </c>
      <c r="F732" s="11">
        <v>240</v>
      </c>
      <c r="G732" s="11">
        <v>988</v>
      </c>
      <c r="H732" s="11">
        <v>81687587</v>
      </c>
      <c r="I732" s="11" t="s">
        <v>2813</v>
      </c>
      <c r="J732" s="11" t="s">
        <v>4023</v>
      </c>
      <c r="K732" s="11" t="s">
        <v>2665</v>
      </c>
      <c r="L732" s="11" t="s">
        <v>4024</v>
      </c>
      <c r="M732" s="11" t="s">
        <v>4025</v>
      </c>
      <c r="N732" s="11">
        <v>138246</v>
      </c>
      <c r="O732" s="11">
        <v>2517</v>
      </c>
      <c r="P732" s="11">
        <v>0</v>
      </c>
      <c r="Q732" s="11" t="s">
        <v>4026</v>
      </c>
      <c r="R732" s="14" t="s">
        <v>4027</v>
      </c>
      <c r="S732" s="11">
        <v>360</v>
      </c>
      <c r="T732" s="11" t="s">
        <v>39</v>
      </c>
      <c r="U732" s="11" t="s">
        <v>40</v>
      </c>
      <c r="V732" s="11" t="s">
        <v>41</v>
      </c>
      <c r="W732" s="11">
        <v>61000000</v>
      </c>
      <c r="X732" s="11">
        <v>2015</v>
      </c>
      <c r="Y732" s="11">
        <v>960</v>
      </c>
      <c r="Z732" s="11">
        <v>6.4</v>
      </c>
      <c r="AA732" s="11">
        <v>2.35</v>
      </c>
      <c r="AB732" s="11">
        <v>24000</v>
      </c>
      <c r="AC732" s="11"/>
      <c r="AD732" s="11" t="str">
        <f>IFERROR(__xludf.DUMMYFUNCTION("""COMPUTED_VALUE"""),"Jsu Garcia")</f>
        <v>Jsu Garcia</v>
      </c>
      <c r="AE732" s="11"/>
    </row>
    <row r="733" customHeight="1" spans="1:31">
      <c r="A733" s="12" t="s">
        <v>30</v>
      </c>
      <c r="B733" s="12" t="s">
        <v>4028</v>
      </c>
      <c r="C733" s="12">
        <v>213</v>
      </c>
      <c r="D733" s="12">
        <v>140</v>
      </c>
      <c r="E733" s="12">
        <v>708</v>
      </c>
      <c r="F733" s="12">
        <v>745</v>
      </c>
      <c r="G733" s="12">
        <v>11000</v>
      </c>
      <c r="H733" s="12">
        <v>80574010</v>
      </c>
      <c r="I733" s="12" t="s">
        <v>214</v>
      </c>
      <c r="J733" s="12" t="s">
        <v>83</v>
      </c>
      <c r="K733" s="12" t="s">
        <v>1529</v>
      </c>
      <c r="L733" s="12" t="s">
        <v>1054</v>
      </c>
      <c r="M733" s="12" t="s">
        <v>4029</v>
      </c>
      <c r="N733" s="12">
        <v>63493</v>
      </c>
      <c r="O733" s="12">
        <v>20440</v>
      </c>
      <c r="P733" s="12">
        <v>1</v>
      </c>
      <c r="Q733" s="12" t="s">
        <v>4030</v>
      </c>
      <c r="R733" s="15" t="s">
        <v>4031</v>
      </c>
      <c r="S733" s="12">
        <v>302</v>
      </c>
      <c r="T733" s="12" t="s">
        <v>39</v>
      </c>
      <c r="U733" s="12" t="s">
        <v>40</v>
      </c>
      <c r="V733" s="12" t="s">
        <v>41</v>
      </c>
      <c r="W733" s="12">
        <v>60000000</v>
      </c>
      <c r="X733" s="12">
        <v>2010</v>
      </c>
      <c r="Y733" s="12">
        <v>8000</v>
      </c>
      <c r="Z733" s="12">
        <v>5.7</v>
      </c>
      <c r="AA733" s="12">
        <v>1.85</v>
      </c>
      <c r="AB733" s="12">
        <v>26000</v>
      </c>
      <c r="AC733" s="12"/>
      <c r="AD733" s="12" t="str">
        <f>IFERROR(__xludf.DUMMYFUNCTION("""COMPUTED_VALUE"""),"Roy Scheider")</f>
        <v>Roy Scheider</v>
      </c>
      <c r="AE733" s="12"/>
    </row>
    <row r="734" customHeight="1" spans="1:31">
      <c r="A734" s="11" t="s">
        <v>30</v>
      </c>
      <c r="B734" s="11" t="s">
        <v>261</v>
      </c>
      <c r="C734" s="11">
        <v>121</v>
      </c>
      <c r="D734" s="11">
        <v>125</v>
      </c>
      <c r="E734" s="11">
        <v>420</v>
      </c>
      <c r="F734" s="11">
        <v>627</v>
      </c>
      <c r="G734" s="11">
        <v>12000</v>
      </c>
      <c r="H734" s="11">
        <v>75764085</v>
      </c>
      <c r="I734" s="11" t="s">
        <v>2490</v>
      </c>
      <c r="J734" s="11" t="s">
        <v>705</v>
      </c>
      <c r="K734" s="11" t="s">
        <v>252</v>
      </c>
      <c r="L734" s="11" t="s">
        <v>2095</v>
      </c>
      <c r="M734" s="11" t="s">
        <v>4032</v>
      </c>
      <c r="N734" s="11">
        <v>85844</v>
      </c>
      <c r="O734" s="11">
        <v>16646</v>
      </c>
      <c r="P734" s="11">
        <v>1</v>
      </c>
      <c r="Q734" s="11" t="s">
        <v>4033</v>
      </c>
      <c r="R734" s="14" t="s">
        <v>4034</v>
      </c>
      <c r="S734" s="11">
        <v>322</v>
      </c>
      <c r="T734" s="11" t="s">
        <v>39</v>
      </c>
      <c r="U734" s="11" t="s">
        <v>40</v>
      </c>
      <c r="V734" s="11" t="s">
        <v>41</v>
      </c>
      <c r="W734" s="11">
        <v>60000000</v>
      </c>
      <c r="X734" s="11">
        <v>2000</v>
      </c>
      <c r="Y734" s="11">
        <v>3000</v>
      </c>
      <c r="Z734" s="11">
        <v>6.7</v>
      </c>
      <c r="AA734" s="11">
        <v>2.35</v>
      </c>
      <c r="AB734" s="11">
        <v>0</v>
      </c>
      <c r="AC734" s="11"/>
      <c r="AD734" s="11" t="str">
        <f>IFERROR(__xludf.DUMMYFUNCTION("""COMPUTED_VALUE"""),"Ben Vereen")</f>
        <v>Ben Vereen</v>
      </c>
      <c r="AE734" s="11"/>
    </row>
    <row r="735" customHeight="1" spans="1:31">
      <c r="A735" s="12" t="s">
        <v>30</v>
      </c>
      <c r="B735" s="12" t="s">
        <v>1258</v>
      </c>
      <c r="C735" s="12">
        <v>315</v>
      </c>
      <c r="D735" s="12">
        <v>111</v>
      </c>
      <c r="E735" s="12">
        <v>124</v>
      </c>
      <c r="F735" s="12">
        <v>357</v>
      </c>
      <c r="G735" s="12">
        <v>13000</v>
      </c>
      <c r="H735" s="12">
        <v>90356857</v>
      </c>
      <c r="I735" s="12" t="s">
        <v>422</v>
      </c>
      <c r="J735" s="12" t="s">
        <v>978</v>
      </c>
      <c r="K735" s="12" t="s">
        <v>466</v>
      </c>
      <c r="L735" s="12" t="s">
        <v>4035</v>
      </c>
      <c r="M735" s="12" t="s">
        <v>4036</v>
      </c>
      <c r="N735" s="12">
        <v>238916</v>
      </c>
      <c r="O735" s="12">
        <v>24928</v>
      </c>
      <c r="P735" s="12">
        <v>4</v>
      </c>
      <c r="Q735" s="12" t="s">
        <v>4037</v>
      </c>
      <c r="R735" s="15" t="s">
        <v>4038</v>
      </c>
      <c r="S735" s="12">
        <v>328</v>
      </c>
      <c r="T735" s="12" t="s">
        <v>39</v>
      </c>
      <c r="U735" s="12" t="s">
        <v>40</v>
      </c>
      <c r="V735" s="12" t="s">
        <v>41</v>
      </c>
      <c r="W735" s="12">
        <v>58000000</v>
      </c>
      <c r="X735" s="12">
        <v>2010</v>
      </c>
      <c r="Y735" s="12">
        <v>11000</v>
      </c>
      <c r="Z735" s="12">
        <v>7.1</v>
      </c>
      <c r="AA735" s="12">
        <v>2.35</v>
      </c>
      <c r="AB735" s="12">
        <v>32000</v>
      </c>
      <c r="AC735" s="12"/>
      <c r="AD735" s="12" t="str">
        <f>IFERROR(__xludf.DUMMYFUNCTION("""COMPUTED_VALUE"""),"Max Wright")</f>
        <v>Max Wright</v>
      </c>
      <c r="AE735" s="12"/>
    </row>
    <row r="736" customHeight="1" spans="1:31">
      <c r="A736" s="11" t="s">
        <v>30</v>
      </c>
      <c r="B736" s="11" t="s">
        <v>761</v>
      </c>
      <c r="C736" s="11">
        <v>171</v>
      </c>
      <c r="D736" s="11">
        <v>156</v>
      </c>
      <c r="E736" s="11">
        <v>0</v>
      </c>
      <c r="F736" s="11">
        <v>1000</v>
      </c>
      <c r="G736" s="11">
        <v>14000</v>
      </c>
      <c r="H736" s="11">
        <v>75530832</v>
      </c>
      <c r="I736" s="11" t="s">
        <v>3794</v>
      </c>
      <c r="J736" s="11" t="s">
        <v>2383</v>
      </c>
      <c r="K736" s="11" t="s">
        <v>537</v>
      </c>
      <c r="L736" s="11" t="s">
        <v>2121</v>
      </c>
      <c r="M736" s="11" t="s">
        <v>4039</v>
      </c>
      <c r="N736" s="11">
        <v>97047</v>
      </c>
      <c r="O736" s="11">
        <v>20761</v>
      </c>
      <c r="P736" s="11">
        <v>5</v>
      </c>
      <c r="Q736" s="11" t="s">
        <v>4040</v>
      </c>
      <c r="R736" s="14" t="s">
        <v>4041</v>
      </c>
      <c r="S736" s="11">
        <v>452</v>
      </c>
      <c r="T736" s="11" t="s">
        <v>39</v>
      </c>
      <c r="U736" s="11" t="s">
        <v>40</v>
      </c>
      <c r="V736" s="11" t="s">
        <v>586</v>
      </c>
      <c r="W736" s="11">
        <v>55000000</v>
      </c>
      <c r="X736" s="11">
        <v>1999</v>
      </c>
      <c r="Y736" s="11">
        <v>2000</v>
      </c>
      <c r="Z736" s="11">
        <v>6.8</v>
      </c>
      <c r="AA736" s="11">
        <v>2.35</v>
      </c>
      <c r="AB736" s="11">
        <v>0</v>
      </c>
      <c r="AC736" s="11"/>
      <c r="AD736" s="11" t="str">
        <f>IFERROR(__xludf.DUMMYFUNCTION("""COMPUTED_VALUE"""),"Anna Kendrick")</f>
        <v>Anna Kendrick</v>
      </c>
      <c r="AE736" s="11"/>
    </row>
    <row r="737" customHeight="1" spans="1:31">
      <c r="A737" s="12" t="s">
        <v>30</v>
      </c>
      <c r="B737" s="12" t="s">
        <v>4042</v>
      </c>
      <c r="C737" s="12">
        <v>96</v>
      </c>
      <c r="D737" s="12">
        <v>170</v>
      </c>
      <c r="E737" s="12">
        <v>0</v>
      </c>
      <c r="F737" s="12">
        <v>380</v>
      </c>
      <c r="G737" s="12">
        <v>19000</v>
      </c>
      <c r="H737" s="12">
        <v>75370763</v>
      </c>
      <c r="I737" s="12" t="s">
        <v>4043</v>
      </c>
      <c r="J737" s="12" t="s">
        <v>100</v>
      </c>
      <c r="K737" s="12" t="s">
        <v>203</v>
      </c>
      <c r="L737" s="12" t="s">
        <v>4044</v>
      </c>
      <c r="M737" s="12" t="s">
        <v>4045</v>
      </c>
      <c r="N737" s="12">
        <v>32353</v>
      </c>
      <c r="O737" s="12">
        <v>20683</v>
      </c>
      <c r="P737" s="12">
        <v>0</v>
      </c>
      <c r="Q737" s="12" t="s">
        <v>4046</v>
      </c>
      <c r="R737" s="15" t="s">
        <v>4047</v>
      </c>
      <c r="S737" s="12">
        <v>263</v>
      </c>
      <c r="T737" s="12" t="s">
        <v>39</v>
      </c>
      <c r="U737" s="12" t="s">
        <v>40</v>
      </c>
      <c r="V737" s="12" t="s">
        <v>41</v>
      </c>
      <c r="W737" s="12">
        <v>60000000</v>
      </c>
      <c r="X737" s="12">
        <v>1998</v>
      </c>
      <c r="Y737" s="12">
        <v>1000</v>
      </c>
      <c r="Z737" s="12">
        <v>6.5</v>
      </c>
      <c r="AA737" s="12">
        <v>1.85</v>
      </c>
      <c r="AB737" s="12">
        <v>0</v>
      </c>
      <c r="AC737" s="12"/>
      <c r="AD737" s="12" t="str">
        <f>IFERROR(__xludf.DUMMYFUNCTION("""COMPUTED_VALUE"""),"Kieran Culkin")</f>
        <v>Kieran Culkin</v>
      </c>
      <c r="AE737" s="12"/>
    </row>
    <row r="738" customHeight="1" spans="1:31">
      <c r="A738" s="11" t="s">
        <v>30</v>
      </c>
      <c r="B738" s="11" t="s">
        <v>1634</v>
      </c>
      <c r="C738" s="11">
        <v>299</v>
      </c>
      <c r="D738" s="11">
        <v>120</v>
      </c>
      <c r="E738" s="11">
        <v>0</v>
      </c>
      <c r="F738" s="11">
        <v>680</v>
      </c>
      <c r="G738" s="11">
        <v>10000</v>
      </c>
      <c r="H738" s="11">
        <v>100003492</v>
      </c>
      <c r="I738" s="11" t="s">
        <v>2126</v>
      </c>
      <c r="J738" s="11" t="s">
        <v>523</v>
      </c>
      <c r="K738" s="11" t="s">
        <v>805</v>
      </c>
      <c r="L738" s="11" t="s">
        <v>1837</v>
      </c>
      <c r="M738" s="11" t="s">
        <v>4048</v>
      </c>
      <c r="N738" s="11">
        <v>293662</v>
      </c>
      <c r="O738" s="11">
        <v>13581</v>
      </c>
      <c r="P738" s="11">
        <v>0</v>
      </c>
      <c r="Q738" s="11" t="s">
        <v>4049</v>
      </c>
      <c r="R738" s="14" t="s">
        <v>4050</v>
      </c>
      <c r="S738" s="11">
        <v>836</v>
      </c>
      <c r="T738" s="11" t="s">
        <v>39</v>
      </c>
      <c r="U738" s="11" t="s">
        <v>40</v>
      </c>
      <c r="V738" s="11" t="s">
        <v>586</v>
      </c>
      <c r="W738" s="11">
        <v>65000000</v>
      </c>
      <c r="X738" s="11">
        <v>2004</v>
      </c>
      <c r="Y738" s="11">
        <v>851</v>
      </c>
      <c r="Z738" s="11">
        <v>7.6</v>
      </c>
      <c r="AA738" s="11">
        <v>2.35</v>
      </c>
      <c r="AB738" s="11">
        <v>0</v>
      </c>
      <c r="AC738" s="11"/>
      <c r="AD738" s="11" t="str">
        <f>IFERROR(__xludf.DUMMYFUNCTION("""COMPUTED_VALUE"""),"Ellen Wong")</f>
        <v>Ellen Wong</v>
      </c>
      <c r="AE738" s="11"/>
    </row>
    <row r="739" customHeight="1" spans="1:31">
      <c r="A739" s="12" t="s">
        <v>30</v>
      </c>
      <c r="B739" s="12" t="s">
        <v>1758</v>
      </c>
      <c r="C739" s="12">
        <v>167</v>
      </c>
      <c r="D739" s="12">
        <v>100</v>
      </c>
      <c r="E739" s="12">
        <v>55</v>
      </c>
      <c r="F739" s="12">
        <v>416</v>
      </c>
      <c r="G739" s="12">
        <v>12000</v>
      </c>
      <c r="H739" s="12">
        <v>90341670</v>
      </c>
      <c r="I739" s="12" t="s">
        <v>1931</v>
      </c>
      <c r="J739" s="12" t="s">
        <v>1073</v>
      </c>
      <c r="K739" s="12" t="s">
        <v>2677</v>
      </c>
      <c r="L739" s="12" t="s">
        <v>2011</v>
      </c>
      <c r="M739" s="12" t="s">
        <v>4051</v>
      </c>
      <c r="N739" s="12">
        <v>102129</v>
      </c>
      <c r="O739" s="12">
        <v>14611</v>
      </c>
      <c r="P739" s="12">
        <v>4</v>
      </c>
      <c r="Q739" s="12" t="s">
        <v>4052</v>
      </c>
      <c r="R739" s="15" t="s">
        <v>4053</v>
      </c>
      <c r="S739" s="12">
        <v>432</v>
      </c>
      <c r="T739" s="12" t="s">
        <v>39</v>
      </c>
      <c r="U739" s="12" t="s">
        <v>40</v>
      </c>
      <c r="V739" s="12" t="s">
        <v>41</v>
      </c>
      <c r="W739" s="12">
        <v>60000000</v>
      </c>
      <c r="X739" s="12">
        <v>2002</v>
      </c>
      <c r="Y739" s="12">
        <v>1000</v>
      </c>
      <c r="Z739" s="12">
        <v>5.5</v>
      </c>
      <c r="AA739" s="12">
        <v>2.35</v>
      </c>
      <c r="AB739" s="12">
        <v>0</v>
      </c>
      <c r="AC739" s="12"/>
      <c r="AD739" s="12" t="str">
        <f>IFERROR(__xludf.DUMMYFUNCTION("""COMPUTED_VALUE"""),"Tchéky Karyo")</f>
        <v>Tchéky Karyo</v>
      </c>
      <c r="AE739" s="12"/>
    </row>
    <row r="740" customHeight="1" spans="1:31">
      <c r="A740" s="11" t="s">
        <v>30</v>
      </c>
      <c r="B740" s="11" t="s">
        <v>4054</v>
      </c>
      <c r="C740" s="11">
        <v>125</v>
      </c>
      <c r="D740" s="11">
        <v>115</v>
      </c>
      <c r="E740" s="11">
        <v>13</v>
      </c>
      <c r="F740" s="11">
        <v>579</v>
      </c>
      <c r="G740" s="11">
        <v>2000</v>
      </c>
      <c r="H740" s="11">
        <v>74540762</v>
      </c>
      <c r="I740" s="11" t="s">
        <v>923</v>
      </c>
      <c r="J740" s="11" t="s">
        <v>4055</v>
      </c>
      <c r="K740" s="11" t="s">
        <v>3715</v>
      </c>
      <c r="L740" s="11" t="s">
        <v>4056</v>
      </c>
      <c r="M740" s="11" t="s">
        <v>4057</v>
      </c>
      <c r="N740" s="11">
        <v>48753</v>
      </c>
      <c r="O740" s="11">
        <v>4496</v>
      </c>
      <c r="P740" s="11">
        <v>2</v>
      </c>
      <c r="Q740" s="11" t="s">
        <v>4058</v>
      </c>
      <c r="R740" s="14" t="s">
        <v>4059</v>
      </c>
      <c r="S740" s="11">
        <v>323</v>
      </c>
      <c r="T740" s="11" t="s">
        <v>39</v>
      </c>
      <c r="U740" s="11" t="s">
        <v>40</v>
      </c>
      <c r="V740" s="11" t="s">
        <v>41</v>
      </c>
      <c r="W740" s="11">
        <v>55000000</v>
      </c>
      <c r="X740" s="11">
        <v>2004</v>
      </c>
      <c r="Y740" s="11">
        <v>1000</v>
      </c>
      <c r="Z740" s="11">
        <v>6.5</v>
      </c>
      <c r="AA740" s="11">
        <v>1.85</v>
      </c>
      <c r="AB740" s="11">
        <v>0</v>
      </c>
      <c r="AC740" s="11"/>
      <c r="AD740" s="11" t="str">
        <f>IFERROR(__xludf.DUMMYFUNCTION("""COMPUTED_VALUE"""),"Rekha Sharma")</f>
        <v>Rekha Sharma</v>
      </c>
      <c r="AE740" s="11"/>
    </row>
    <row r="741" customHeight="1" spans="1:31">
      <c r="A741" s="12" t="s">
        <v>30</v>
      </c>
      <c r="B741" s="12" t="s">
        <v>887</v>
      </c>
      <c r="C741" s="12">
        <v>387</v>
      </c>
      <c r="D741" s="12">
        <v>130</v>
      </c>
      <c r="E741" s="12">
        <v>188</v>
      </c>
      <c r="F741" s="12">
        <v>1000</v>
      </c>
      <c r="G741" s="12">
        <v>10000</v>
      </c>
      <c r="H741" s="12">
        <v>80033643</v>
      </c>
      <c r="I741" s="12" t="s">
        <v>1200</v>
      </c>
      <c r="J741" s="12" t="s">
        <v>523</v>
      </c>
      <c r="K741" s="12" t="s">
        <v>1689</v>
      </c>
      <c r="L741" s="12" t="s">
        <v>2039</v>
      </c>
      <c r="M741" s="12" t="s">
        <v>4060</v>
      </c>
      <c r="N741" s="12">
        <v>226570</v>
      </c>
      <c r="O741" s="12">
        <v>16385</v>
      </c>
      <c r="P741" s="12">
        <v>2</v>
      </c>
      <c r="Q741" s="12" t="s">
        <v>4061</v>
      </c>
      <c r="R741" s="15" t="s">
        <v>4062</v>
      </c>
      <c r="S741" s="12">
        <v>448</v>
      </c>
      <c r="T741" s="12" t="s">
        <v>39</v>
      </c>
      <c r="U741" s="12" t="s">
        <v>40</v>
      </c>
      <c r="V741" s="12" t="s">
        <v>41</v>
      </c>
      <c r="W741" s="12">
        <v>60000000</v>
      </c>
      <c r="X741" s="12">
        <v>2012</v>
      </c>
      <c r="Y741" s="12">
        <v>3000</v>
      </c>
      <c r="Z741" s="12">
        <v>7</v>
      </c>
      <c r="AA741" s="12">
        <v>2.35</v>
      </c>
      <c r="AB741" s="12">
        <v>38000</v>
      </c>
      <c r="AC741" s="12"/>
      <c r="AD741" s="12" t="str">
        <f>IFERROR(__xludf.DUMMYFUNCTION("""COMPUTED_VALUE"""),"Larry Miller")</f>
        <v>Larry Miller</v>
      </c>
      <c r="AE741" s="12"/>
    </row>
    <row r="742" customHeight="1" spans="1:31">
      <c r="A742" s="11" t="s">
        <v>30</v>
      </c>
      <c r="B742" s="11" t="s">
        <v>2067</v>
      </c>
      <c r="C742" s="11">
        <v>199</v>
      </c>
      <c r="D742" s="11">
        <v>105</v>
      </c>
      <c r="E742" s="11">
        <v>212</v>
      </c>
      <c r="F742" s="11">
        <v>811</v>
      </c>
      <c r="G742" s="11">
        <v>1000</v>
      </c>
      <c r="H742" s="11">
        <v>73648142</v>
      </c>
      <c r="I742" s="11" t="s">
        <v>2813</v>
      </c>
      <c r="J742" s="11" t="s">
        <v>2121</v>
      </c>
      <c r="K742" s="11" t="s">
        <v>2524</v>
      </c>
      <c r="L742" s="11" t="s">
        <v>4063</v>
      </c>
      <c r="M742" s="11" t="s">
        <v>4064</v>
      </c>
      <c r="N742" s="11">
        <v>99043</v>
      </c>
      <c r="O742" s="11">
        <v>3697</v>
      </c>
      <c r="P742" s="11">
        <v>1</v>
      </c>
      <c r="Q742" s="11" t="s">
        <v>4065</v>
      </c>
      <c r="R742" s="14" t="s">
        <v>4066</v>
      </c>
      <c r="S742" s="11">
        <v>643</v>
      </c>
      <c r="T742" s="11" t="s">
        <v>39</v>
      </c>
      <c r="U742" s="11" t="s">
        <v>40</v>
      </c>
      <c r="V742" s="11" t="s">
        <v>586</v>
      </c>
      <c r="W742" s="11">
        <v>60000000</v>
      </c>
      <c r="X742" s="11">
        <v>1999</v>
      </c>
      <c r="Y742" s="11">
        <v>975</v>
      </c>
      <c r="Z742" s="11">
        <v>5.8</v>
      </c>
      <c r="AA742" s="11">
        <v>2.35</v>
      </c>
      <c r="AB742" s="11">
        <v>0</v>
      </c>
      <c r="AC742" s="11"/>
      <c r="AD742" s="11" t="str">
        <f>IFERROR(__xludf.DUMMYFUNCTION("""COMPUTED_VALUE"""),"Janet Jackson")</f>
        <v>Janet Jackson</v>
      </c>
      <c r="AE742" s="11"/>
    </row>
    <row r="743" customHeight="1" spans="1:31">
      <c r="A743" s="12" t="s">
        <v>30</v>
      </c>
      <c r="B743" s="12" t="s">
        <v>4067</v>
      </c>
      <c r="C743" s="12">
        <v>136</v>
      </c>
      <c r="D743" s="12">
        <v>111</v>
      </c>
      <c r="E743" s="12">
        <v>197</v>
      </c>
      <c r="F743" s="12">
        <v>6</v>
      </c>
      <c r="G743" s="12">
        <v>433</v>
      </c>
      <c r="H743" s="12">
        <v>71844424</v>
      </c>
      <c r="I743" s="12" t="s">
        <v>4068</v>
      </c>
      <c r="J743" s="12" t="s">
        <v>4069</v>
      </c>
      <c r="K743" s="12" t="s">
        <v>4070</v>
      </c>
      <c r="L743" s="12" t="s">
        <v>4071</v>
      </c>
      <c r="M743" s="12" t="s">
        <v>4072</v>
      </c>
      <c r="N743" s="12">
        <v>33158</v>
      </c>
      <c r="O743" s="12">
        <v>679</v>
      </c>
      <c r="P743" s="12">
        <v>0</v>
      </c>
      <c r="Q743" s="12" t="s">
        <v>4073</v>
      </c>
      <c r="R743" s="15" t="s">
        <v>4074</v>
      </c>
      <c r="S743" s="12">
        <v>223</v>
      </c>
      <c r="T743" s="12" t="s">
        <v>39</v>
      </c>
      <c r="U743" s="12" t="s">
        <v>40</v>
      </c>
      <c r="V743" s="12" t="s">
        <v>96</v>
      </c>
      <c r="W743" s="12">
        <v>60000000</v>
      </c>
      <c r="X743" s="12">
        <v>2009</v>
      </c>
      <c r="Y743" s="12">
        <v>208</v>
      </c>
      <c r="Z743" s="12">
        <v>7.3</v>
      </c>
      <c r="AA743" s="12">
        <v>1.78</v>
      </c>
      <c r="AB743" s="12">
        <v>0</v>
      </c>
      <c r="AC743" s="12"/>
      <c r="AD743" s="12" t="str">
        <f>IFERROR(__xludf.DUMMYFUNCTION("""COMPUTED_VALUE"""),"Chris Elliott")</f>
        <v>Chris Elliott</v>
      </c>
      <c r="AE743" s="12"/>
    </row>
    <row r="744" customHeight="1" spans="1:31">
      <c r="A744" s="11" t="s">
        <v>30</v>
      </c>
      <c r="B744" s="11" t="s">
        <v>1527</v>
      </c>
      <c r="C744" s="11">
        <v>436</v>
      </c>
      <c r="D744" s="11">
        <v>106</v>
      </c>
      <c r="E744" s="11">
        <v>0</v>
      </c>
      <c r="F744" s="11">
        <v>175</v>
      </c>
      <c r="G744" s="11">
        <v>13000</v>
      </c>
      <c r="H744" s="11">
        <v>75638743</v>
      </c>
      <c r="I744" s="11" t="s">
        <v>4075</v>
      </c>
      <c r="J744" s="11" t="s">
        <v>1158</v>
      </c>
      <c r="K744" s="11" t="s">
        <v>4076</v>
      </c>
      <c r="L744" s="11" t="s">
        <v>4077</v>
      </c>
      <c r="M744" s="11" t="s">
        <v>4078</v>
      </c>
      <c r="N744" s="11">
        <v>180479</v>
      </c>
      <c r="O744" s="11">
        <v>13634</v>
      </c>
      <c r="P744" s="11">
        <v>4</v>
      </c>
      <c r="Q744" s="11" t="s">
        <v>4079</v>
      </c>
      <c r="R744" s="14" t="s">
        <v>4080</v>
      </c>
      <c r="S744" s="11">
        <v>411</v>
      </c>
      <c r="T744" s="11" t="s">
        <v>39</v>
      </c>
      <c r="U744" s="11" t="s">
        <v>40</v>
      </c>
      <c r="V744" s="11" t="s">
        <v>41</v>
      </c>
      <c r="W744" s="11">
        <v>60000000</v>
      </c>
      <c r="X744" s="11">
        <v>2011</v>
      </c>
      <c r="Y744" s="11">
        <v>240</v>
      </c>
      <c r="Z744" s="11">
        <v>6.6</v>
      </c>
      <c r="AA744" s="11">
        <v>1.85</v>
      </c>
      <c r="AB744" s="11">
        <v>42000</v>
      </c>
      <c r="AC744" s="11"/>
      <c r="AD744" s="11" t="str">
        <f>IFERROR(__xludf.DUMMYFUNCTION("""COMPUTED_VALUE"""),"Sarah Michelle Gellar")</f>
        <v>Sarah Michelle Gellar</v>
      </c>
      <c r="AE744" s="11"/>
    </row>
    <row r="745" customHeight="1" spans="1:31">
      <c r="A745" s="12" t="s">
        <v>30</v>
      </c>
      <c r="B745" s="12" t="s">
        <v>4081</v>
      </c>
      <c r="C745" s="12">
        <v>73</v>
      </c>
      <c r="D745" s="12">
        <v>89</v>
      </c>
      <c r="E745" s="12">
        <v>18</v>
      </c>
      <c r="F745" s="12">
        <v>226</v>
      </c>
      <c r="G745" s="12">
        <v>658</v>
      </c>
      <c r="H745" s="12">
        <v>66734992</v>
      </c>
      <c r="I745" s="12" t="s">
        <v>1375</v>
      </c>
      <c r="J745" s="12" t="s">
        <v>1712</v>
      </c>
      <c r="K745" s="12" t="s">
        <v>4082</v>
      </c>
      <c r="L745" s="12" t="s">
        <v>4083</v>
      </c>
      <c r="M745" s="12" t="s">
        <v>4084</v>
      </c>
      <c r="N745" s="12">
        <v>23476</v>
      </c>
      <c r="O745" s="12">
        <v>1233</v>
      </c>
      <c r="P745" s="12">
        <v>0</v>
      </c>
      <c r="Q745" s="12" t="s">
        <v>4085</v>
      </c>
      <c r="R745" s="15" t="s">
        <v>4086</v>
      </c>
      <c r="S745" s="12">
        <v>181</v>
      </c>
      <c r="T745" s="12" t="s">
        <v>39</v>
      </c>
      <c r="U745" s="12" t="s">
        <v>40</v>
      </c>
      <c r="V745" s="12" t="s">
        <v>96</v>
      </c>
      <c r="W745" s="12">
        <v>60000000</v>
      </c>
      <c r="X745" s="12">
        <v>2003</v>
      </c>
      <c r="Y745" s="12">
        <v>257</v>
      </c>
      <c r="Z745" s="12">
        <v>4.4</v>
      </c>
      <c r="AA745" s="12">
        <v>2.35</v>
      </c>
      <c r="AB745" s="12">
        <v>858</v>
      </c>
      <c r="AC745" s="12"/>
      <c r="AD745" s="12" t="str">
        <f>IFERROR(__xludf.DUMMYFUNCTION("""COMPUTED_VALUE"""),"Linda Cardellini")</f>
        <v>Linda Cardellini</v>
      </c>
      <c r="AE745" s="12"/>
    </row>
    <row r="746" customHeight="1" spans="1:31">
      <c r="A746" s="11" t="s">
        <v>748</v>
      </c>
      <c r="B746" s="11" t="s">
        <v>3177</v>
      </c>
      <c r="C746" s="11">
        <v>310</v>
      </c>
      <c r="D746" s="11">
        <v>100</v>
      </c>
      <c r="E746" s="11">
        <v>253</v>
      </c>
      <c r="F746" s="11">
        <v>57</v>
      </c>
      <c r="G746" s="11">
        <v>309</v>
      </c>
      <c r="H746" s="11">
        <v>75280058</v>
      </c>
      <c r="I746" s="11" t="s">
        <v>4087</v>
      </c>
      <c r="J746" s="11" t="s">
        <v>3294</v>
      </c>
      <c r="K746" s="11" t="s">
        <v>4088</v>
      </c>
      <c r="L746" s="11" t="s">
        <v>4089</v>
      </c>
      <c r="M746" s="11" t="s">
        <v>4090</v>
      </c>
      <c r="N746" s="11">
        <v>143121</v>
      </c>
      <c r="O746" s="11">
        <v>647</v>
      </c>
      <c r="P746" s="11">
        <v>1</v>
      </c>
      <c r="Q746" s="11" t="s">
        <v>4091</v>
      </c>
      <c r="R746" s="14" t="s">
        <v>4092</v>
      </c>
      <c r="S746" s="11">
        <v>279</v>
      </c>
      <c r="T746" s="11" t="s">
        <v>39</v>
      </c>
      <c r="U746" s="11" t="s">
        <v>40</v>
      </c>
      <c r="V746" s="11" t="s">
        <v>96</v>
      </c>
      <c r="W746" s="11">
        <v>60000000</v>
      </c>
      <c r="X746" s="11">
        <v>2009</v>
      </c>
      <c r="Y746" s="11">
        <v>229</v>
      </c>
      <c r="Z746" s="11">
        <v>7.7</v>
      </c>
      <c r="AA746" s="11">
        <v>1.85</v>
      </c>
      <c r="AB746" s="11">
        <v>10000</v>
      </c>
      <c r="AC746" s="11"/>
      <c r="AD746" s="11" t="str">
        <f>IFERROR(__xludf.DUMMYFUNCTION("""COMPUTED_VALUE"""),"Miguel A. Núñez Jr.")</f>
        <v>Miguel A. Núñez Jr.</v>
      </c>
      <c r="AE746" s="11"/>
    </row>
    <row r="747" customHeight="1" spans="1:31">
      <c r="A747" s="12" t="s">
        <v>30</v>
      </c>
      <c r="B747" s="12" t="s">
        <v>913</v>
      </c>
      <c r="C747" s="12">
        <v>323</v>
      </c>
      <c r="D747" s="12">
        <v>91</v>
      </c>
      <c r="E747" s="12">
        <v>0</v>
      </c>
      <c r="F747" s="12">
        <v>751</v>
      </c>
      <c r="G747" s="12">
        <v>11000</v>
      </c>
      <c r="H747" s="12">
        <v>64505912</v>
      </c>
      <c r="I747" s="12" t="s">
        <v>2954</v>
      </c>
      <c r="J747" s="12" t="s">
        <v>1950</v>
      </c>
      <c r="K747" s="12" t="s">
        <v>2303</v>
      </c>
      <c r="L747" s="12" t="s">
        <v>4093</v>
      </c>
      <c r="M747" s="12" t="s">
        <v>4094</v>
      </c>
      <c r="N747" s="12">
        <v>163130</v>
      </c>
      <c r="O747" s="12">
        <v>13654</v>
      </c>
      <c r="P747" s="12">
        <v>0</v>
      </c>
      <c r="Q747" s="12" t="s">
        <v>4095</v>
      </c>
      <c r="R747" s="15" t="s">
        <v>4096</v>
      </c>
      <c r="S747" s="12">
        <v>1264</v>
      </c>
      <c r="T747" s="12" t="s">
        <v>39</v>
      </c>
      <c r="U747" s="12" t="s">
        <v>40</v>
      </c>
      <c r="V747" s="12" t="s">
        <v>586</v>
      </c>
      <c r="W747" s="12">
        <v>48000000</v>
      </c>
      <c r="X747" s="12">
        <v>2008</v>
      </c>
      <c r="Y747" s="12">
        <v>946</v>
      </c>
      <c r="Z747" s="12">
        <v>5</v>
      </c>
      <c r="AA747" s="12">
        <v>1.85</v>
      </c>
      <c r="AB747" s="12">
        <v>6000</v>
      </c>
      <c r="AC747" s="12"/>
      <c r="AD747" s="12" t="str">
        <f>IFERROR(__xludf.DUMMYFUNCTION("""COMPUTED_VALUE"""),"Wood Harris")</f>
        <v>Wood Harris</v>
      </c>
      <c r="AE747" s="12"/>
    </row>
    <row r="748" customHeight="1" spans="1:31">
      <c r="A748" s="11" t="s">
        <v>30</v>
      </c>
      <c r="B748" s="11" t="s">
        <v>1740</v>
      </c>
      <c r="C748" s="11">
        <v>171</v>
      </c>
      <c r="D748" s="11">
        <v>146</v>
      </c>
      <c r="E748" s="11">
        <v>12000</v>
      </c>
      <c r="F748" s="11">
        <v>451</v>
      </c>
      <c r="G748" s="11">
        <v>18000</v>
      </c>
      <c r="H748" s="11">
        <v>77862546</v>
      </c>
      <c r="I748" s="11" t="s">
        <v>464</v>
      </c>
      <c r="J748" s="11" t="s">
        <v>1727</v>
      </c>
      <c r="K748" s="11" t="s">
        <v>3373</v>
      </c>
      <c r="L748" s="11" t="s">
        <v>128</v>
      </c>
      <c r="M748" s="11" t="s">
        <v>4097</v>
      </c>
      <c r="N748" s="11">
        <v>266310</v>
      </c>
      <c r="O748" s="11">
        <v>20454</v>
      </c>
      <c r="P748" s="11">
        <v>2</v>
      </c>
      <c r="Q748" s="11" t="s">
        <v>4098</v>
      </c>
      <c r="R748" s="14" t="s">
        <v>4099</v>
      </c>
      <c r="S748" s="11">
        <v>690</v>
      </c>
      <c r="T748" s="11" t="s">
        <v>39</v>
      </c>
      <c r="U748" s="11" t="s">
        <v>40</v>
      </c>
      <c r="V748" s="11" t="s">
        <v>586</v>
      </c>
      <c r="W748" s="11">
        <v>70000000</v>
      </c>
      <c r="X748" s="11">
        <v>2004</v>
      </c>
      <c r="Y748" s="11">
        <v>992</v>
      </c>
      <c r="Z748" s="11">
        <v>7.7</v>
      </c>
      <c r="AA748" s="11">
        <v>2.35</v>
      </c>
      <c r="AB748" s="11">
        <v>14000</v>
      </c>
      <c r="AC748" s="11"/>
      <c r="AD748" s="11" t="str">
        <f>IFERROR(__xludf.DUMMYFUNCTION("""COMPUTED_VALUE"""),"Jason Cope")</f>
        <v>Jason Cope</v>
      </c>
      <c r="AE748" s="11"/>
    </row>
    <row r="749" customHeight="1" spans="1:31">
      <c r="A749" s="12" t="s">
        <v>30</v>
      </c>
      <c r="B749" s="12" t="s">
        <v>4100</v>
      </c>
      <c r="C749" s="12">
        <v>76</v>
      </c>
      <c r="D749" s="12">
        <v>98</v>
      </c>
      <c r="E749" s="12">
        <v>48</v>
      </c>
      <c r="F749" s="12">
        <v>722</v>
      </c>
      <c r="G749" s="12">
        <v>21000</v>
      </c>
      <c r="H749" s="12">
        <v>61112916</v>
      </c>
      <c r="I749" s="12" t="s">
        <v>516</v>
      </c>
      <c r="J749" s="12" t="s">
        <v>99</v>
      </c>
      <c r="K749" s="12" t="s">
        <v>34</v>
      </c>
      <c r="L749" s="12" t="s">
        <v>1980</v>
      </c>
      <c r="M749" s="12" t="s">
        <v>4101</v>
      </c>
      <c r="N749" s="12">
        <v>14888</v>
      </c>
      <c r="O749" s="12">
        <v>24664</v>
      </c>
      <c r="P749" s="12">
        <v>0</v>
      </c>
      <c r="Q749" s="12" t="s">
        <v>4102</v>
      </c>
      <c r="R749" s="15" t="s">
        <v>4103</v>
      </c>
      <c r="S749" s="12">
        <v>83</v>
      </c>
      <c r="T749" s="12" t="s">
        <v>39</v>
      </c>
      <c r="U749" s="12" t="s">
        <v>40</v>
      </c>
      <c r="V749" s="12" t="s">
        <v>96</v>
      </c>
      <c r="W749" s="12">
        <v>50000000</v>
      </c>
      <c r="X749" s="12">
        <v>2006</v>
      </c>
      <c r="Y749" s="12">
        <v>936</v>
      </c>
      <c r="Z749" s="12">
        <v>4.4</v>
      </c>
      <c r="AA749" s="12">
        <v>2.35</v>
      </c>
      <c r="AB749" s="12">
        <v>747</v>
      </c>
      <c r="AC749" s="12"/>
      <c r="AD749" s="12" t="str">
        <f>IFERROR(__xludf.DUMMYFUNCTION("""COMPUTED_VALUE"""),"Rakie Ayola")</f>
        <v>Rakie Ayola</v>
      </c>
      <c r="AE749" s="12"/>
    </row>
    <row r="750" customHeight="1" spans="1:31">
      <c r="A750" s="11" t="s">
        <v>30</v>
      </c>
      <c r="B750" s="11" t="s">
        <v>2543</v>
      </c>
      <c r="C750" s="11">
        <v>173</v>
      </c>
      <c r="D750" s="11">
        <v>101</v>
      </c>
      <c r="E750" s="11">
        <v>480</v>
      </c>
      <c r="F750" s="11">
        <v>767</v>
      </c>
      <c r="G750" s="11">
        <v>881</v>
      </c>
      <c r="H750" s="11">
        <v>88200225</v>
      </c>
      <c r="I750" s="11" t="s">
        <v>1009</v>
      </c>
      <c r="J750" s="11" t="s">
        <v>1141</v>
      </c>
      <c r="K750" s="11" t="s">
        <v>2615</v>
      </c>
      <c r="L750" s="11" t="s">
        <v>4104</v>
      </c>
      <c r="M750" s="11" t="s">
        <v>4105</v>
      </c>
      <c r="N750" s="11">
        <v>120795</v>
      </c>
      <c r="O750" s="11">
        <v>3943</v>
      </c>
      <c r="P750" s="11">
        <v>5</v>
      </c>
      <c r="Q750" s="11" t="s">
        <v>4106</v>
      </c>
      <c r="R750" s="14" t="s">
        <v>4107</v>
      </c>
      <c r="S750" s="11">
        <v>308</v>
      </c>
      <c r="T750" s="11" t="s">
        <v>39</v>
      </c>
      <c r="U750" s="11" t="s">
        <v>40</v>
      </c>
      <c r="V750" s="11" t="s">
        <v>41</v>
      </c>
      <c r="W750" s="11">
        <v>60000000</v>
      </c>
      <c r="X750" s="11">
        <v>2004</v>
      </c>
      <c r="Y750" s="11">
        <v>869</v>
      </c>
      <c r="Z750" s="11">
        <v>6.1</v>
      </c>
      <c r="AA750" s="11">
        <v>2.35</v>
      </c>
      <c r="AB750" s="11">
        <v>0</v>
      </c>
      <c r="AC750" s="11"/>
      <c r="AD750" s="11" t="str">
        <f>IFERROR(__xludf.DUMMYFUNCTION("""COMPUTED_VALUE"""),"Cameron Monaghan")</f>
        <v>Cameron Monaghan</v>
      </c>
      <c r="AE750" s="11"/>
    </row>
    <row r="751" customHeight="1" spans="1:31">
      <c r="A751" s="12" t="s">
        <v>30</v>
      </c>
      <c r="B751" s="12" t="s">
        <v>4108</v>
      </c>
      <c r="C751" s="12">
        <v>81</v>
      </c>
      <c r="D751" s="12">
        <v>94</v>
      </c>
      <c r="E751" s="12">
        <v>32</v>
      </c>
      <c r="F751" s="12">
        <v>626</v>
      </c>
      <c r="G751" s="12">
        <v>854</v>
      </c>
      <c r="H751" s="12">
        <v>60573641</v>
      </c>
      <c r="I751" s="12" t="s">
        <v>3057</v>
      </c>
      <c r="J751" s="12" t="s">
        <v>3503</v>
      </c>
      <c r="K751" s="12" t="s">
        <v>4109</v>
      </c>
      <c r="L751" s="12" t="s">
        <v>4110</v>
      </c>
      <c r="M751" s="12" t="s">
        <v>4111</v>
      </c>
      <c r="N751" s="12">
        <v>68406</v>
      </c>
      <c r="O751" s="12">
        <v>4530</v>
      </c>
      <c r="P751" s="12">
        <v>1</v>
      </c>
      <c r="Q751" s="12" t="s">
        <v>4112</v>
      </c>
      <c r="R751" s="15" t="s">
        <v>4113</v>
      </c>
      <c r="S751" s="12">
        <v>162</v>
      </c>
      <c r="T751" s="12" t="s">
        <v>39</v>
      </c>
      <c r="U751" s="12" t="s">
        <v>40</v>
      </c>
      <c r="V751" s="12" t="s">
        <v>96</v>
      </c>
      <c r="W751" s="12">
        <v>60000000</v>
      </c>
      <c r="X751" s="12">
        <v>1996</v>
      </c>
      <c r="Y751" s="12">
        <v>628</v>
      </c>
      <c r="Z751" s="12">
        <v>5.4</v>
      </c>
      <c r="AA751" s="12">
        <v>1.85</v>
      </c>
      <c r="AB751" s="12">
        <v>0</v>
      </c>
      <c r="AC751" s="12"/>
      <c r="AD751" s="12" t="str">
        <f>IFERROR(__xludf.DUMMYFUNCTION("""COMPUTED_VALUE"""),"Julie Kavner")</f>
        <v>Julie Kavner</v>
      </c>
      <c r="AE751" s="12"/>
    </row>
    <row r="752" customHeight="1" spans="1:31">
      <c r="A752" s="11" t="s">
        <v>30</v>
      </c>
      <c r="B752" s="11" t="s">
        <v>379</v>
      </c>
      <c r="C752" s="11">
        <v>242</v>
      </c>
      <c r="D752" s="11">
        <v>132</v>
      </c>
      <c r="E752" s="11">
        <v>0</v>
      </c>
      <c r="F752" s="11">
        <v>160</v>
      </c>
      <c r="G752" s="11">
        <v>366</v>
      </c>
      <c r="H752" s="11">
        <v>59035104</v>
      </c>
      <c r="I752" s="11" t="s">
        <v>4114</v>
      </c>
      <c r="J752" s="11" t="s">
        <v>4115</v>
      </c>
      <c r="K752" s="11" t="s">
        <v>3568</v>
      </c>
      <c r="L752" s="11" t="s">
        <v>2515</v>
      </c>
      <c r="M752" s="11" t="s">
        <v>4116</v>
      </c>
      <c r="N752" s="11">
        <v>244566</v>
      </c>
      <c r="O752" s="11">
        <v>1112</v>
      </c>
      <c r="P752" s="11">
        <v>1</v>
      </c>
      <c r="Q752" s="11" t="s">
        <v>4117</v>
      </c>
      <c r="R752" s="14" t="s">
        <v>4118</v>
      </c>
      <c r="S752" s="11">
        <v>597</v>
      </c>
      <c r="T752" s="11" t="s">
        <v>39</v>
      </c>
      <c r="U752" s="11" t="s">
        <v>40</v>
      </c>
      <c r="V752" s="11" t="s">
        <v>41</v>
      </c>
      <c r="W752" s="11">
        <v>66000000</v>
      </c>
      <c r="X752" s="11">
        <v>2004</v>
      </c>
      <c r="Y752" s="11">
        <v>334</v>
      </c>
      <c r="Z752" s="11">
        <v>6.8</v>
      </c>
      <c r="AA752" s="11">
        <v>1.85</v>
      </c>
      <c r="AB752" s="11">
        <v>0</v>
      </c>
      <c r="AC752" s="11"/>
      <c r="AD752" s="11" t="str">
        <f>IFERROR(__xludf.DUMMYFUNCTION("""COMPUTED_VALUE"""),"Ted Danson")</f>
        <v>Ted Danson</v>
      </c>
      <c r="AE752" s="11"/>
    </row>
    <row r="753" customHeight="1" spans="1:31">
      <c r="A753" s="12" t="s">
        <v>30</v>
      </c>
      <c r="B753" s="12" t="s">
        <v>4119</v>
      </c>
      <c r="C753" s="12">
        <v>110</v>
      </c>
      <c r="D753" s="12">
        <v>115</v>
      </c>
      <c r="E753" s="12">
        <v>234</v>
      </c>
      <c r="F753" s="12">
        <v>521</v>
      </c>
      <c r="G753" s="12">
        <v>3000</v>
      </c>
      <c r="H753" s="12">
        <v>56702901</v>
      </c>
      <c r="I753" s="12" t="s">
        <v>3410</v>
      </c>
      <c r="J753" s="12" t="s">
        <v>1689</v>
      </c>
      <c r="K753" s="12" t="s">
        <v>3654</v>
      </c>
      <c r="L753" s="12" t="s">
        <v>2214</v>
      </c>
      <c r="M753" s="12" t="s">
        <v>4120</v>
      </c>
      <c r="N753" s="12">
        <v>23302</v>
      </c>
      <c r="O753" s="12">
        <v>4713</v>
      </c>
      <c r="P753" s="12">
        <v>1</v>
      </c>
      <c r="Q753" s="12" t="s">
        <v>4121</v>
      </c>
      <c r="R753" s="15" t="s">
        <v>4122</v>
      </c>
      <c r="S753" s="12">
        <v>181</v>
      </c>
      <c r="T753" s="12" t="s">
        <v>39</v>
      </c>
      <c r="U753" s="12" t="s">
        <v>40</v>
      </c>
      <c r="V753" s="12" t="s">
        <v>41</v>
      </c>
      <c r="W753" s="12">
        <v>60000000</v>
      </c>
      <c r="X753" s="12">
        <v>1998</v>
      </c>
      <c r="Y753" s="12">
        <v>552</v>
      </c>
      <c r="Z753" s="12">
        <v>6.5</v>
      </c>
      <c r="AA753" s="12">
        <v>2.35</v>
      </c>
      <c r="AB753" s="12">
        <v>1000</v>
      </c>
      <c r="AC753" s="12"/>
      <c r="AD753" s="12" t="str">
        <f>IFERROR(__xludf.DUMMYFUNCTION("""COMPUTED_VALUE"""),"Hal Holbrook")</f>
        <v>Hal Holbrook</v>
      </c>
      <c r="AE753" s="12"/>
    </row>
    <row r="754" customHeight="1" spans="1:31">
      <c r="A754" s="11" t="s">
        <v>30</v>
      </c>
      <c r="B754" s="11" t="s">
        <v>4123</v>
      </c>
      <c r="C754" s="11">
        <v>328</v>
      </c>
      <c r="D754" s="11">
        <v>92</v>
      </c>
      <c r="E754" s="11">
        <v>28</v>
      </c>
      <c r="F754" s="11">
        <v>586</v>
      </c>
      <c r="G754" s="11">
        <v>10000</v>
      </c>
      <c r="H754" s="11">
        <v>55994557</v>
      </c>
      <c r="I754" s="11" t="s">
        <v>271</v>
      </c>
      <c r="J754" s="11" t="s">
        <v>2456</v>
      </c>
      <c r="K754" s="11" t="s">
        <v>573</v>
      </c>
      <c r="L754" s="11" t="s">
        <v>4124</v>
      </c>
      <c r="M754" s="11" t="s">
        <v>4125</v>
      </c>
      <c r="N754" s="11">
        <v>72287</v>
      </c>
      <c r="O754" s="11">
        <v>13597</v>
      </c>
      <c r="P754" s="11">
        <v>0</v>
      </c>
      <c r="Q754" s="11" t="s">
        <v>4126</v>
      </c>
      <c r="R754" s="14" t="s">
        <v>4127</v>
      </c>
      <c r="S754" s="11">
        <v>176</v>
      </c>
      <c r="T754" s="11" t="s">
        <v>39</v>
      </c>
      <c r="U754" s="11" t="s">
        <v>40</v>
      </c>
      <c r="V754" s="11" t="s">
        <v>96</v>
      </c>
      <c r="W754" s="11">
        <v>60000000</v>
      </c>
      <c r="X754" s="11">
        <v>2012</v>
      </c>
      <c r="Y754" s="11">
        <v>884</v>
      </c>
      <c r="Z754" s="11">
        <v>7</v>
      </c>
      <c r="AA754" s="11">
        <v>2.35</v>
      </c>
      <c r="AB754" s="11">
        <v>12000</v>
      </c>
      <c r="AC754" s="11"/>
      <c r="AD754" s="11" t="str">
        <f>IFERROR(__xludf.DUMMYFUNCTION("""COMPUTED_VALUE"""),"Adrienne Barbeau")</f>
        <v>Adrienne Barbeau</v>
      </c>
      <c r="AE754" s="11"/>
    </row>
    <row r="755" customHeight="1" spans="1:31">
      <c r="A755" s="12" t="s">
        <v>30</v>
      </c>
      <c r="B755" s="12" t="s">
        <v>3517</v>
      </c>
      <c r="C755" s="12">
        <v>83</v>
      </c>
      <c r="D755" s="12">
        <v>124</v>
      </c>
      <c r="E755" s="12">
        <v>105</v>
      </c>
      <c r="F755" s="12">
        <v>460</v>
      </c>
      <c r="G755" s="12">
        <v>24000</v>
      </c>
      <c r="H755" s="12">
        <v>54910560</v>
      </c>
      <c r="I755" s="12" t="s">
        <v>3336</v>
      </c>
      <c r="J755" s="12" t="s">
        <v>82</v>
      </c>
      <c r="K755" s="12" t="s">
        <v>978</v>
      </c>
      <c r="L755" s="12" t="s">
        <v>4128</v>
      </c>
      <c r="M755" s="12" t="s">
        <v>4129</v>
      </c>
      <c r="N755" s="12">
        <v>88225</v>
      </c>
      <c r="O755" s="12">
        <v>38227</v>
      </c>
      <c r="P755" s="12">
        <v>0</v>
      </c>
      <c r="Q755" s="12" t="s">
        <v>4130</v>
      </c>
      <c r="R755" s="15" t="s">
        <v>4131</v>
      </c>
      <c r="S755" s="12">
        <v>227</v>
      </c>
      <c r="T755" s="12" t="s">
        <v>39</v>
      </c>
      <c r="U755" s="12" t="s">
        <v>40</v>
      </c>
      <c r="V755" s="12" t="s">
        <v>586</v>
      </c>
      <c r="W755" s="12">
        <v>60000000</v>
      </c>
      <c r="X755" s="12">
        <v>1997</v>
      </c>
      <c r="Y755" s="12">
        <v>13000</v>
      </c>
      <c r="Z755" s="12">
        <v>6.3</v>
      </c>
      <c r="AA755" s="12">
        <v>2.35</v>
      </c>
      <c r="AB755" s="12">
        <v>0</v>
      </c>
      <c r="AC755" s="12"/>
      <c r="AD755" s="12" t="str">
        <f>IFERROR(__xludf.DUMMYFUNCTION("""COMPUTED_VALUE"""),"Katt Williams")</f>
        <v>Katt Williams</v>
      </c>
      <c r="AE755" s="12"/>
    </row>
    <row r="756" customHeight="1" spans="1:31">
      <c r="A756" s="11" t="s">
        <v>30</v>
      </c>
      <c r="B756" s="11" t="s">
        <v>1341</v>
      </c>
      <c r="C756" s="11">
        <v>196</v>
      </c>
      <c r="D756" s="11">
        <v>119</v>
      </c>
      <c r="E756" s="11">
        <v>610</v>
      </c>
      <c r="F756" s="11">
        <v>716</v>
      </c>
      <c r="G756" s="11">
        <v>834</v>
      </c>
      <c r="H756" s="11">
        <v>53789313</v>
      </c>
      <c r="I756" s="11" t="s">
        <v>1645</v>
      </c>
      <c r="J756" s="11" t="s">
        <v>1708</v>
      </c>
      <c r="K756" s="11" t="s">
        <v>1047</v>
      </c>
      <c r="L756" s="11" t="s">
        <v>731</v>
      </c>
      <c r="M756" s="11" t="s">
        <v>4132</v>
      </c>
      <c r="N756" s="11">
        <v>89816</v>
      </c>
      <c r="O756" s="11">
        <v>3637</v>
      </c>
      <c r="P756" s="11">
        <v>0</v>
      </c>
      <c r="Q756" s="11" t="s">
        <v>4133</v>
      </c>
      <c r="R756" s="14" t="s">
        <v>4134</v>
      </c>
      <c r="S756" s="11">
        <v>347</v>
      </c>
      <c r="T756" s="11" t="s">
        <v>39</v>
      </c>
      <c r="U756" s="11" t="s">
        <v>40</v>
      </c>
      <c r="V756" s="11" t="s">
        <v>41</v>
      </c>
      <c r="W756" s="11">
        <v>60000000</v>
      </c>
      <c r="X756" s="11">
        <v>2003</v>
      </c>
      <c r="Y756" s="11">
        <v>780</v>
      </c>
      <c r="Z756" s="11">
        <v>6.3</v>
      </c>
      <c r="AA756" s="11">
        <v>2.35</v>
      </c>
      <c r="AB756" s="11">
        <v>0</v>
      </c>
      <c r="AC756" s="11"/>
      <c r="AD756" s="11" t="str">
        <f>IFERROR(__xludf.DUMMYFUNCTION("""COMPUTED_VALUE"""),"Tom Hulce")</f>
        <v>Tom Hulce</v>
      </c>
      <c r="AE756" s="11"/>
    </row>
    <row r="757" customHeight="1" spans="1:31">
      <c r="A757" s="12" t="s">
        <v>30</v>
      </c>
      <c r="B757" s="12" t="s">
        <v>4135</v>
      </c>
      <c r="C757" s="12">
        <v>34</v>
      </c>
      <c r="D757" s="12">
        <v>124</v>
      </c>
      <c r="E757" s="12">
        <v>50</v>
      </c>
      <c r="F757" s="12">
        <v>672</v>
      </c>
      <c r="G757" s="12">
        <v>1000</v>
      </c>
      <c r="H757" s="12">
        <v>51045801</v>
      </c>
      <c r="I757" s="12" t="s">
        <v>214</v>
      </c>
      <c r="J757" s="12" t="s">
        <v>309</v>
      </c>
      <c r="K757" s="12" t="s">
        <v>4136</v>
      </c>
      <c r="L757" s="12" t="s">
        <v>2435</v>
      </c>
      <c r="M757" s="12" t="s">
        <v>4137</v>
      </c>
      <c r="N757" s="12">
        <v>11370</v>
      </c>
      <c r="O757" s="12">
        <v>3653</v>
      </c>
      <c r="P757" s="12">
        <v>2</v>
      </c>
      <c r="Q757" s="12" t="s">
        <v>4138</v>
      </c>
      <c r="R757" s="15" t="s">
        <v>4139</v>
      </c>
      <c r="S757" s="12">
        <v>54</v>
      </c>
      <c r="T757" s="12" t="s">
        <v>39</v>
      </c>
      <c r="U757" s="12" t="s">
        <v>40</v>
      </c>
      <c r="V757" s="12" t="s">
        <v>41</v>
      </c>
      <c r="W757" s="12">
        <v>60000000</v>
      </c>
      <c r="X757" s="12">
        <v>1996</v>
      </c>
      <c r="Y757" s="12">
        <v>944</v>
      </c>
      <c r="Z757" s="12">
        <v>6.1</v>
      </c>
      <c r="AA757" s="12">
        <v>1.85</v>
      </c>
      <c r="AB757" s="12">
        <v>829</v>
      </c>
      <c r="AC757" s="12"/>
      <c r="AD757" s="12" t="str">
        <f>IFERROR(__xludf.DUMMYFUNCTION("""COMPUTED_VALUE"""),"Seth MacFarlane")</f>
        <v>Seth MacFarlane</v>
      </c>
      <c r="AE757" s="12"/>
    </row>
    <row r="758" customHeight="1" spans="1:31">
      <c r="A758" s="11" t="s">
        <v>30</v>
      </c>
      <c r="B758" s="11" t="s">
        <v>4140</v>
      </c>
      <c r="C758" s="11">
        <v>118</v>
      </c>
      <c r="D758" s="11">
        <v>93</v>
      </c>
      <c r="E758" s="11">
        <v>18</v>
      </c>
      <c r="F758" s="11">
        <v>903</v>
      </c>
      <c r="G758" s="11">
        <v>9000</v>
      </c>
      <c r="H758" s="11">
        <v>50818750</v>
      </c>
      <c r="I758" s="11" t="s">
        <v>271</v>
      </c>
      <c r="J758" s="11" t="s">
        <v>1206</v>
      </c>
      <c r="K758" s="11" t="s">
        <v>902</v>
      </c>
      <c r="L758" s="11" t="s">
        <v>122</v>
      </c>
      <c r="M758" s="11" t="s">
        <v>4141</v>
      </c>
      <c r="N758" s="11">
        <v>31209</v>
      </c>
      <c r="O758" s="11">
        <v>13403</v>
      </c>
      <c r="P758" s="11">
        <v>0</v>
      </c>
      <c r="Q758" s="11" t="s">
        <v>4142</v>
      </c>
      <c r="R758" s="14" t="s">
        <v>4143</v>
      </c>
      <c r="S758" s="11">
        <v>106</v>
      </c>
      <c r="T758" s="11" t="s">
        <v>39</v>
      </c>
      <c r="U758" s="11" t="s">
        <v>58</v>
      </c>
      <c r="V758" s="11" t="s">
        <v>278</v>
      </c>
      <c r="W758" s="11">
        <v>60000000</v>
      </c>
      <c r="X758" s="11">
        <v>2008</v>
      </c>
      <c r="Y758" s="11">
        <v>2000</v>
      </c>
      <c r="Z758" s="11">
        <v>6.1</v>
      </c>
      <c r="AA758" s="11">
        <v>2.35</v>
      </c>
      <c r="AB758" s="11">
        <v>0</v>
      </c>
      <c r="AC758" s="11"/>
      <c r="AD758" s="11" t="str">
        <f>IFERROR(__xludf.DUMMYFUNCTION("""COMPUTED_VALUE"""),"Iván Kamarás")</f>
        <v>Iván Kamarás</v>
      </c>
      <c r="AE758" s="11"/>
    </row>
    <row r="759" customHeight="1" spans="1:31">
      <c r="A759" s="12" t="s">
        <v>30</v>
      </c>
      <c r="B759" s="16"/>
      <c r="C759" s="12">
        <v>8</v>
      </c>
      <c r="D759" s="12">
        <v>22</v>
      </c>
      <c r="E759" s="16"/>
      <c r="F759" s="12">
        <v>402</v>
      </c>
      <c r="G759" s="12">
        <v>732</v>
      </c>
      <c r="H759" s="16"/>
      <c r="I759" s="12" t="s">
        <v>1681</v>
      </c>
      <c r="J759" s="12" t="s">
        <v>4144</v>
      </c>
      <c r="K759" s="12" t="s">
        <v>4145</v>
      </c>
      <c r="L759" s="12" t="s">
        <v>4146</v>
      </c>
      <c r="M759" s="12" t="s">
        <v>4147</v>
      </c>
      <c r="N759" s="12">
        <v>26404</v>
      </c>
      <c r="O759" s="12">
        <v>2064</v>
      </c>
      <c r="P759" s="12">
        <v>3</v>
      </c>
      <c r="Q759" s="12" t="s">
        <v>4148</v>
      </c>
      <c r="R759" s="15" t="s">
        <v>4149</v>
      </c>
      <c r="S759" s="12">
        <v>41</v>
      </c>
      <c r="T759" s="12" t="s">
        <v>39</v>
      </c>
      <c r="U759" s="12" t="s">
        <v>40</v>
      </c>
      <c r="V759" s="12" t="s">
        <v>1569</v>
      </c>
      <c r="W759" s="16"/>
      <c r="X759" s="16"/>
      <c r="Y759" s="12">
        <v>607</v>
      </c>
      <c r="Z759" s="12">
        <v>7.3</v>
      </c>
      <c r="AA759" s="12">
        <v>1.78</v>
      </c>
      <c r="AB759" s="12">
        <v>0</v>
      </c>
      <c r="AC759" s="12"/>
      <c r="AD759" s="12" t="str">
        <f>IFERROR(__xludf.DUMMYFUNCTION("""COMPUTED_VALUE"""),"Brian Steele")</f>
        <v>Brian Steele</v>
      </c>
      <c r="AE759" s="12"/>
    </row>
    <row r="760" customHeight="1" spans="1:31">
      <c r="A760" s="11" t="s">
        <v>30</v>
      </c>
      <c r="B760" s="11" t="s">
        <v>4150</v>
      </c>
      <c r="C760" s="11">
        <v>81</v>
      </c>
      <c r="D760" s="11">
        <v>98</v>
      </c>
      <c r="E760" s="11">
        <v>11</v>
      </c>
      <c r="F760" s="11">
        <v>107</v>
      </c>
      <c r="G760" s="11">
        <v>966</v>
      </c>
      <c r="H760" s="11">
        <v>50189179</v>
      </c>
      <c r="I760" s="11" t="s">
        <v>1904</v>
      </c>
      <c r="J760" s="11" t="s">
        <v>3899</v>
      </c>
      <c r="K760" s="11" t="s">
        <v>1837</v>
      </c>
      <c r="L760" s="11" t="s">
        <v>4151</v>
      </c>
      <c r="M760" s="11" t="s">
        <v>4152</v>
      </c>
      <c r="N760" s="11">
        <v>61966</v>
      </c>
      <c r="O760" s="11">
        <v>2018</v>
      </c>
      <c r="P760" s="11">
        <v>2</v>
      </c>
      <c r="Q760" s="11" t="s">
        <v>4153</v>
      </c>
      <c r="R760" s="14" t="s">
        <v>4154</v>
      </c>
      <c r="S760" s="11">
        <v>207</v>
      </c>
      <c r="T760" s="11" t="s">
        <v>39</v>
      </c>
      <c r="U760" s="11" t="s">
        <v>40</v>
      </c>
      <c r="V760" s="11" t="s">
        <v>41</v>
      </c>
      <c r="W760" s="11">
        <v>60000000</v>
      </c>
      <c r="X760" s="11">
        <v>2002</v>
      </c>
      <c r="Y760" s="11">
        <v>680</v>
      </c>
      <c r="Z760" s="11">
        <v>5.3</v>
      </c>
      <c r="AA760" s="11">
        <v>1.85</v>
      </c>
      <c r="AB760" s="11">
        <v>797</v>
      </c>
      <c r="AC760" s="11"/>
      <c r="AD760" s="11" t="str">
        <f>IFERROR(__xludf.DUMMYFUNCTION("""COMPUTED_VALUE"""),"Anthony Edwards")</f>
        <v>Anthony Edwards</v>
      </c>
      <c r="AE760" s="11"/>
    </row>
    <row r="761" customHeight="1" spans="1:31">
      <c r="A761" s="12" t="s">
        <v>30</v>
      </c>
      <c r="B761" s="12" t="s">
        <v>4155</v>
      </c>
      <c r="C761" s="12">
        <v>47</v>
      </c>
      <c r="D761" s="12">
        <v>92</v>
      </c>
      <c r="E761" s="12">
        <v>14</v>
      </c>
      <c r="F761" s="12">
        <v>488</v>
      </c>
      <c r="G761" s="12">
        <v>789</v>
      </c>
      <c r="H761" s="12">
        <v>50024083</v>
      </c>
      <c r="I761" s="12" t="s">
        <v>60</v>
      </c>
      <c r="J761" s="12" t="s">
        <v>4156</v>
      </c>
      <c r="K761" s="12" t="s">
        <v>4157</v>
      </c>
      <c r="L761" s="12" t="s">
        <v>4158</v>
      </c>
      <c r="M761" s="12" t="s">
        <v>4159</v>
      </c>
      <c r="N761" s="12">
        <v>35918</v>
      </c>
      <c r="O761" s="12">
        <v>2318</v>
      </c>
      <c r="P761" s="12">
        <v>1</v>
      </c>
      <c r="Q761" s="12" t="s">
        <v>4160</v>
      </c>
      <c r="R761" s="15" t="s">
        <v>4161</v>
      </c>
      <c r="S761" s="12">
        <v>126</v>
      </c>
      <c r="T761" s="12" t="s">
        <v>39</v>
      </c>
      <c r="U761" s="12" t="s">
        <v>40</v>
      </c>
      <c r="V761" s="12" t="s">
        <v>586</v>
      </c>
      <c r="W761" s="12">
        <v>60000000</v>
      </c>
      <c r="X761" s="12">
        <v>1995</v>
      </c>
      <c r="Y761" s="12">
        <v>520</v>
      </c>
      <c r="Z761" s="12">
        <v>5.4</v>
      </c>
      <c r="AA761" s="12">
        <v>1.85</v>
      </c>
      <c r="AB761" s="12">
        <v>1000</v>
      </c>
      <c r="AC761" s="12"/>
      <c r="AD761" s="12" t="str">
        <f>IFERROR(__xludf.DUMMYFUNCTION("""COMPUTED_VALUE"""),"Michael Rapaport")</f>
        <v>Michael Rapaport</v>
      </c>
      <c r="AE761" s="12"/>
    </row>
    <row r="762" customHeight="1" spans="1:31">
      <c r="A762" s="11" t="s">
        <v>30</v>
      </c>
      <c r="B762" s="11" t="s">
        <v>858</v>
      </c>
      <c r="C762" s="11">
        <v>313</v>
      </c>
      <c r="D762" s="11">
        <v>105</v>
      </c>
      <c r="E762" s="11">
        <v>0</v>
      </c>
      <c r="F762" s="11">
        <v>288</v>
      </c>
      <c r="G762" s="11">
        <v>539</v>
      </c>
      <c r="H762" s="11">
        <v>50549107</v>
      </c>
      <c r="I762" s="11" t="s">
        <v>923</v>
      </c>
      <c r="J762" s="11" t="s">
        <v>4162</v>
      </c>
      <c r="K762" s="11" t="s">
        <v>943</v>
      </c>
      <c r="L762" s="11" t="s">
        <v>4163</v>
      </c>
      <c r="M762" s="11" t="s">
        <v>4164</v>
      </c>
      <c r="N762" s="11">
        <v>99035</v>
      </c>
      <c r="O762" s="11">
        <v>1411</v>
      </c>
      <c r="P762" s="11">
        <v>3</v>
      </c>
      <c r="Q762" s="11" t="s">
        <v>4165</v>
      </c>
      <c r="R762" s="14" t="s">
        <v>4166</v>
      </c>
      <c r="S762" s="11">
        <v>289</v>
      </c>
      <c r="T762" s="11" t="s">
        <v>39</v>
      </c>
      <c r="U762" s="11" t="s">
        <v>40</v>
      </c>
      <c r="V762" s="11" t="s">
        <v>41</v>
      </c>
      <c r="W762" s="11">
        <v>60000000</v>
      </c>
      <c r="X762" s="11">
        <v>2014</v>
      </c>
      <c r="Y762" s="11">
        <v>394</v>
      </c>
      <c r="Z762" s="11">
        <v>6.2</v>
      </c>
      <c r="AA762" s="11">
        <v>2.35</v>
      </c>
      <c r="AB762" s="11">
        <v>17000</v>
      </c>
      <c r="AC762" s="11"/>
      <c r="AD762" s="11" t="str">
        <f>IFERROR(__xludf.DUMMYFUNCTION("""COMPUTED_VALUE"""),"Vanessa Redgrave")</f>
        <v>Vanessa Redgrave</v>
      </c>
      <c r="AE762" s="11"/>
    </row>
    <row r="763" customHeight="1" spans="1:31">
      <c r="A763" s="12" t="s">
        <v>30</v>
      </c>
      <c r="B763" s="12" t="s">
        <v>4167</v>
      </c>
      <c r="C763" s="12">
        <v>315</v>
      </c>
      <c r="D763" s="12">
        <v>124</v>
      </c>
      <c r="E763" s="12">
        <v>737</v>
      </c>
      <c r="F763" s="12">
        <v>14000</v>
      </c>
      <c r="G763" s="12">
        <v>34000</v>
      </c>
      <c r="H763" s="12">
        <v>56443482</v>
      </c>
      <c r="I763" s="12" t="s">
        <v>4168</v>
      </c>
      <c r="J763" s="12" t="s">
        <v>348</v>
      </c>
      <c r="K763" s="12" t="s">
        <v>1746</v>
      </c>
      <c r="L763" s="12" t="s">
        <v>655</v>
      </c>
      <c r="M763" s="12" t="s">
        <v>4169</v>
      </c>
      <c r="N763" s="12">
        <v>75329</v>
      </c>
      <c r="O763" s="12">
        <v>75793</v>
      </c>
      <c r="P763" s="12">
        <v>3</v>
      </c>
      <c r="Q763" s="12" t="s">
        <v>4170</v>
      </c>
      <c r="R763" s="15" t="s">
        <v>4171</v>
      </c>
      <c r="S763" s="12">
        <v>256</v>
      </c>
      <c r="T763" s="12" t="s">
        <v>39</v>
      </c>
      <c r="U763" s="12" t="s">
        <v>40</v>
      </c>
      <c r="V763" s="12" t="s">
        <v>41</v>
      </c>
      <c r="W763" s="12">
        <v>60000000</v>
      </c>
      <c r="X763" s="12">
        <v>2015</v>
      </c>
      <c r="Y763" s="12">
        <v>22000</v>
      </c>
      <c r="Z763" s="12">
        <v>6.6</v>
      </c>
      <c r="AA763" s="12">
        <v>1.85</v>
      </c>
      <c r="AB763" s="12">
        <v>24000</v>
      </c>
      <c r="AC763" s="12"/>
      <c r="AD763" s="12" t="str">
        <f>IFERROR(__xludf.DUMMYFUNCTION("""COMPUTED_VALUE"""),"Anthony Reynolds")</f>
        <v>Anthony Reynolds</v>
      </c>
      <c r="AE763" s="12"/>
    </row>
    <row r="764" customHeight="1" spans="1:31">
      <c r="A764" s="11" t="s">
        <v>30</v>
      </c>
      <c r="B764" s="11" t="s">
        <v>4172</v>
      </c>
      <c r="C764" s="11">
        <v>225</v>
      </c>
      <c r="D764" s="11">
        <v>99</v>
      </c>
      <c r="E764" s="11">
        <v>24</v>
      </c>
      <c r="F764" s="11">
        <v>864</v>
      </c>
      <c r="G764" s="11">
        <v>18000</v>
      </c>
      <c r="H764" s="11">
        <v>62401264</v>
      </c>
      <c r="I764" s="11" t="s">
        <v>464</v>
      </c>
      <c r="J764" s="11" t="s">
        <v>641</v>
      </c>
      <c r="K764" s="11" t="s">
        <v>3373</v>
      </c>
      <c r="L764" s="11" t="s">
        <v>4173</v>
      </c>
      <c r="M764" s="11" t="s">
        <v>4174</v>
      </c>
      <c r="N764" s="11">
        <v>69484</v>
      </c>
      <c r="O764" s="11">
        <v>20276</v>
      </c>
      <c r="P764" s="11">
        <v>3</v>
      </c>
      <c r="Q764" s="11" t="s">
        <v>4175</v>
      </c>
      <c r="R764" s="14" t="s">
        <v>4176</v>
      </c>
      <c r="S764" s="11">
        <v>323</v>
      </c>
      <c r="T764" s="11" t="s">
        <v>39</v>
      </c>
      <c r="U764" s="11" t="s">
        <v>58</v>
      </c>
      <c r="V764" s="11" t="s">
        <v>586</v>
      </c>
      <c r="W764" s="11">
        <v>60000000</v>
      </c>
      <c r="X764" s="11">
        <v>2016</v>
      </c>
      <c r="Y764" s="11">
        <v>992</v>
      </c>
      <c r="Z764" s="11">
        <v>5.9</v>
      </c>
      <c r="AA764" s="11">
        <v>2.35</v>
      </c>
      <c r="AB764" s="11">
        <v>28000</v>
      </c>
      <c r="AC764" s="11"/>
      <c r="AD764" s="11" t="str">
        <f>IFERROR(__xludf.DUMMYFUNCTION("""COMPUTED_VALUE"""),"Mason Lee")</f>
        <v>Mason Lee</v>
      </c>
      <c r="AE764" s="11"/>
    </row>
    <row r="765" customHeight="1" spans="1:31">
      <c r="A765" s="12" t="s">
        <v>30</v>
      </c>
      <c r="B765" s="12" t="s">
        <v>4177</v>
      </c>
      <c r="C765" s="12">
        <v>223</v>
      </c>
      <c r="D765" s="12">
        <v>116</v>
      </c>
      <c r="E765" s="12">
        <v>0</v>
      </c>
      <c r="F765" s="12">
        <v>672</v>
      </c>
      <c r="G765" s="12">
        <v>1000</v>
      </c>
      <c r="H765" s="12">
        <v>47748610</v>
      </c>
      <c r="I765" s="12" t="s">
        <v>4178</v>
      </c>
      <c r="J765" s="12" t="s">
        <v>4179</v>
      </c>
      <c r="K765" s="12" t="s">
        <v>1870</v>
      </c>
      <c r="L765" s="12" t="s">
        <v>2435</v>
      </c>
      <c r="M765" s="12" t="s">
        <v>4180</v>
      </c>
      <c r="N765" s="12">
        <v>170179</v>
      </c>
      <c r="O765" s="12">
        <v>3090</v>
      </c>
      <c r="P765" s="12">
        <v>0</v>
      </c>
      <c r="Q765" s="12" t="s">
        <v>4181</v>
      </c>
      <c r="R765" s="15" t="s">
        <v>4182</v>
      </c>
      <c r="S765" s="12">
        <v>656</v>
      </c>
      <c r="T765" s="12" t="s">
        <v>39</v>
      </c>
      <c r="U765" s="12" t="s">
        <v>40</v>
      </c>
      <c r="V765" s="12" t="s">
        <v>586</v>
      </c>
      <c r="W765" s="12">
        <v>75000000</v>
      </c>
      <c r="X765" s="12">
        <v>1997</v>
      </c>
      <c r="Y765" s="12">
        <v>720</v>
      </c>
      <c r="Z765" s="12">
        <v>6.3</v>
      </c>
      <c r="AA765" s="12">
        <v>2.35</v>
      </c>
      <c r="AB765" s="12">
        <v>0</v>
      </c>
      <c r="AC765" s="12"/>
      <c r="AD765" s="12" t="str">
        <f>IFERROR(__xludf.DUMMYFUNCTION("""COMPUTED_VALUE"""),"Mike Tyson")</f>
        <v>Mike Tyson</v>
      </c>
      <c r="AE765" s="12"/>
    </row>
    <row r="766" customHeight="1" spans="1:31">
      <c r="A766" s="11" t="s">
        <v>30</v>
      </c>
      <c r="B766" s="11" t="s">
        <v>3099</v>
      </c>
      <c r="C766" s="11">
        <v>198</v>
      </c>
      <c r="D766" s="11">
        <v>124</v>
      </c>
      <c r="E766" s="11">
        <v>845</v>
      </c>
      <c r="F766" s="11">
        <v>295</v>
      </c>
      <c r="G766" s="11">
        <v>650</v>
      </c>
      <c r="H766" s="11">
        <v>46975183</v>
      </c>
      <c r="I766" s="11" t="s">
        <v>1120</v>
      </c>
      <c r="J766" s="11" t="s">
        <v>4183</v>
      </c>
      <c r="K766" s="11" t="s">
        <v>4184</v>
      </c>
      <c r="L766" s="11" t="s">
        <v>4185</v>
      </c>
      <c r="M766" s="11" t="s">
        <v>4186</v>
      </c>
      <c r="N766" s="11">
        <v>256213</v>
      </c>
      <c r="O766" s="11">
        <v>1640</v>
      </c>
      <c r="P766" s="11">
        <v>0</v>
      </c>
      <c r="Q766" s="11" t="s">
        <v>4187</v>
      </c>
      <c r="R766" s="14" t="s">
        <v>4188</v>
      </c>
      <c r="S766" s="11">
        <v>338</v>
      </c>
      <c r="T766" s="11" t="s">
        <v>39</v>
      </c>
      <c r="U766" s="11" t="s">
        <v>40</v>
      </c>
      <c r="V766" s="11" t="s">
        <v>586</v>
      </c>
      <c r="W766" s="11">
        <v>61000000</v>
      </c>
      <c r="X766" s="11">
        <v>2007</v>
      </c>
      <c r="Y766" s="11">
        <v>467</v>
      </c>
      <c r="Z766" s="11">
        <v>7.2</v>
      </c>
      <c r="AA766" s="11">
        <v>2.35</v>
      </c>
      <c r="AB766" s="11">
        <v>0</v>
      </c>
      <c r="AC766" s="11"/>
      <c r="AD766" s="11" t="str">
        <f>IFERROR(__xludf.DUMMYFUNCTION("""COMPUTED_VALUE"""),"Andrew Bryniarski")</f>
        <v>Andrew Bryniarski</v>
      </c>
      <c r="AE766" s="11"/>
    </row>
    <row r="767" customHeight="1" spans="1:31">
      <c r="A767" s="12" t="s">
        <v>30</v>
      </c>
      <c r="B767" s="12" t="s">
        <v>4189</v>
      </c>
      <c r="C767" s="12">
        <v>219</v>
      </c>
      <c r="D767" s="12">
        <v>96</v>
      </c>
      <c r="E767" s="12">
        <v>7</v>
      </c>
      <c r="F767" s="12">
        <v>642</v>
      </c>
      <c r="G767" s="12">
        <v>874</v>
      </c>
      <c r="H767" s="12">
        <v>50807639</v>
      </c>
      <c r="I767" s="12" t="s">
        <v>271</v>
      </c>
      <c r="J767" s="12" t="s">
        <v>4190</v>
      </c>
      <c r="K767" s="12" t="s">
        <v>3856</v>
      </c>
      <c r="L767" s="12" t="s">
        <v>4191</v>
      </c>
      <c r="M767" s="12" t="s">
        <v>4192</v>
      </c>
      <c r="N767" s="12">
        <v>40883</v>
      </c>
      <c r="O767" s="12">
        <v>3151</v>
      </c>
      <c r="P767" s="12">
        <v>3</v>
      </c>
      <c r="Q767" s="12" t="s">
        <v>4193</v>
      </c>
      <c r="R767" s="15" t="s">
        <v>4194</v>
      </c>
      <c r="S767" s="12">
        <v>122</v>
      </c>
      <c r="T767" s="12" t="s">
        <v>39</v>
      </c>
      <c r="U767" s="12" t="s">
        <v>40</v>
      </c>
      <c r="V767" s="12" t="s">
        <v>96</v>
      </c>
      <c r="W767" s="12">
        <v>60000000</v>
      </c>
      <c r="X767" s="12">
        <v>2014</v>
      </c>
      <c r="Y767" s="12">
        <v>668</v>
      </c>
      <c r="Z767" s="12">
        <v>6.8</v>
      </c>
      <c r="AA767" s="12">
        <v>1.85</v>
      </c>
      <c r="AB767" s="12">
        <v>11000</v>
      </c>
      <c r="AC767" s="12"/>
      <c r="AD767" s="12" t="str">
        <f>IFERROR(__xludf.DUMMYFUNCTION("""COMPUTED_VALUE"""),"Jason Scott Lee")</f>
        <v>Jason Scott Lee</v>
      </c>
      <c r="AE767" s="12"/>
    </row>
    <row r="768" customHeight="1" spans="1:31">
      <c r="A768" s="11" t="s">
        <v>30</v>
      </c>
      <c r="B768" s="11" t="s">
        <v>4195</v>
      </c>
      <c r="C768" s="11">
        <v>92</v>
      </c>
      <c r="D768" s="11">
        <v>104</v>
      </c>
      <c r="E768" s="11">
        <v>165</v>
      </c>
      <c r="F768" s="11">
        <v>944</v>
      </c>
      <c r="G768" s="11">
        <v>1000</v>
      </c>
      <c r="H768" s="11">
        <v>46611204</v>
      </c>
      <c r="I768" s="11" t="s">
        <v>2490</v>
      </c>
      <c r="J768" s="11" t="s">
        <v>2143</v>
      </c>
      <c r="K768" s="11" t="s">
        <v>4196</v>
      </c>
      <c r="L768" s="11" t="s">
        <v>4136</v>
      </c>
      <c r="M768" s="11" t="s">
        <v>4197</v>
      </c>
      <c r="N768" s="11">
        <v>55749</v>
      </c>
      <c r="O768" s="11">
        <v>4294</v>
      </c>
      <c r="P768" s="11">
        <v>1</v>
      </c>
      <c r="Q768" s="11" t="s">
        <v>4198</v>
      </c>
      <c r="R768" s="14" t="s">
        <v>4199</v>
      </c>
      <c r="S768" s="11">
        <v>257</v>
      </c>
      <c r="T768" s="11" t="s">
        <v>39</v>
      </c>
      <c r="U768" s="11" t="s">
        <v>40</v>
      </c>
      <c r="V768" s="11" t="s">
        <v>41</v>
      </c>
      <c r="W768" s="11">
        <v>48000000</v>
      </c>
      <c r="X768" s="11">
        <v>1998</v>
      </c>
      <c r="Y768" s="11">
        <v>967</v>
      </c>
      <c r="Z768" s="11">
        <v>6.1</v>
      </c>
      <c r="AA768" s="11">
        <v>2.35</v>
      </c>
      <c r="AB768" s="11">
        <v>0</v>
      </c>
      <c r="AC768" s="11"/>
      <c r="AD768" s="11" t="str">
        <f>IFERROR(__xludf.DUMMYFUNCTION("""COMPUTED_VALUE"""),"David Ogden Stiers")</f>
        <v>David Ogden Stiers</v>
      </c>
      <c r="AE768" s="11"/>
    </row>
    <row r="769" customHeight="1" spans="1:31">
      <c r="A769" s="12" t="s">
        <v>30</v>
      </c>
      <c r="B769" s="12" t="s">
        <v>2100</v>
      </c>
      <c r="C769" s="12">
        <v>435</v>
      </c>
      <c r="D769" s="12">
        <v>100</v>
      </c>
      <c r="E769" s="12">
        <v>97</v>
      </c>
      <c r="F769" s="12">
        <v>2000</v>
      </c>
      <c r="G769" s="12">
        <v>11000</v>
      </c>
      <c r="H769" s="12">
        <v>257756197</v>
      </c>
      <c r="I769" s="12" t="s">
        <v>1036</v>
      </c>
      <c r="J769" s="12" t="s">
        <v>466</v>
      </c>
      <c r="K769" s="12" t="s">
        <v>1249</v>
      </c>
      <c r="L769" s="12" t="s">
        <v>4200</v>
      </c>
      <c r="M769" s="12" t="s">
        <v>4201</v>
      </c>
      <c r="N769" s="12">
        <v>246698</v>
      </c>
      <c r="O769" s="12">
        <v>22128</v>
      </c>
      <c r="P769" s="12">
        <v>0</v>
      </c>
      <c r="Q769" s="12" t="s">
        <v>4202</v>
      </c>
      <c r="R769" s="15" t="s">
        <v>4203</v>
      </c>
      <c r="S769" s="12">
        <v>471</v>
      </c>
      <c r="T769" s="12" t="s">
        <v>39</v>
      </c>
      <c r="U769" s="12" t="s">
        <v>371</v>
      </c>
      <c r="V769" s="12" t="s">
        <v>96</v>
      </c>
      <c r="W769" s="12">
        <v>60000000</v>
      </c>
      <c r="X769" s="12">
        <v>2014</v>
      </c>
      <c r="Y769" s="12">
        <v>8000</v>
      </c>
      <c r="Z769" s="12">
        <v>7.8</v>
      </c>
      <c r="AA769" s="12">
        <v>2.35</v>
      </c>
      <c r="AB769" s="12">
        <v>64000</v>
      </c>
      <c r="AC769" s="12"/>
      <c r="AD769" s="12" t="str">
        <f>IFERROR(__xludf.DUMMYFUNCTION("""COMPUTED_VALUE"""),"Garrick Hagon")</f>
        <v>Garrick Hagon</v>
      </c>
      <c r="AE769" s="12"/>
    </row>
    <row r="770" customHeight="1" spans="1:31">
      <c r="A770" s="11" t="s">
        <v>30</v>
      </c>
      <c r="B770" s="11" t="s">
        <v>4204</v>
      </c>
      <c r="C770" s="11">
        <v>111</v>
      </c>
      <c r="D770" s="11">
        <v>115</v>
      </c>
      <c r="E770" s="11">
        <v>11</v>
      </c>
      <c r="F770" s="11">
        <v>642</v>
      </c>
      <c r="G770" s="11">
        <v>1000</v>
      </c>
      <c r="H770" s="11">
        <v>48472213</v>
      </c>
      <c r="I770" s="11" t="s">
        <v>1753</v>
      </c>
      <c r="J770" s="11" t="s">
        <v>4205</v>
      </c>
      <c r="K770" s="11" t="s">
        <v>864</v>
      </c>
      <c r="L770" s="11" t="s">
        <v>4206</v>
      </c>
      <c r="M770" s="11" t="s">
        <v>4207</v>
      </c>
      <c r="N770" s="11">
        <v>51252</v>
      </c>
      <c r="O770" s="11">
        <v>4305</v>
      </c>
      <c r="P770" s="11">
        <v>2</v>
      </c>
      <c r="Q770" s="11" t="s">
        <v>4208</v>
      </c>
      <c r="R770" s="14" t="s">
        <v>4209</v>
      </c>
      <c r="S770" s="11">
        <v>156</v>
      </c>
      <c r="T770" s="11" t="s">
        <v>39</v>
      </c>
      <c r="U770" s="11" t="s">
        <v>40</v>
      </c>
      <c r="V770" s="11" t="s">
        <v>41</v>
      </c>
      <c r="W770" s="11">
        <v>45000000</v>
      </c>
      <c r="X770" s="11">
        <v>2005</v>
      </c>
      <c r="Y770" s="11">
        <v>759</v>
      </c>
      <c r="Z770" s="11">
        <v>5</v>
      </c>
      <c r="AA770" s="11">
        <v>2.35</v>
      </c>
      <c r="AB770" s="11">
        <v>621</v>
      </c>
      <c r="AC770" s="11"/>
      <c r="AD770" s="11" t="str">
        <f>IFERROR(__xludf.DUMMYFUNCTION("""COMPUTED_VALUE"""),"Steve Reevis")</f>
        <v>Steve Reevis</v>
      </c>
      <c r="AE770" s="11"/>
    </row>
    <row r="771" customHeight="1" spans="1:31">
      <c r="A771" s="12" t="s">
        <v>30</v>
      </c>
      <c r="B771" s="12" t="s">
        <v>3614</v>
      </c>
      <c r="C771" s="12">
        <v>138</v>
      </c>
      <c r="D771" s="12">
        <v>101</v>
      </c>
      <c r="E771" s="12">
        <v>38</v>
      </c>
      <c r="F771" s="12">
        <v>11000</v>
      </c>
      <c r="G771" s="12">
        <v>23000</v>
      </c>
      <c r="H771" s="12">
        <v>43060566</v>
      </c>
      <c r="I771" s="12" t="s">
        <v>262</v>
      </c>
      <c r="J771" s="12" t="s">
        <v>62</v>
      </c>
      <c r="K771" s="12" t="s">
        <v>641</v>
      </c>
      <c r="L771" s="12" t="s">
        <v>661</v>
      </c>
      <c r="M771" s="12" t="s">
        <v>4210</v>
      </c>
      <c r="N771" s="12">
        <v>107859</v>
      </c>
      <c r="O771" s="12">
        <v>53024</v>
      </c>
      <c r="P771" s="12">
        <v>0</v>
      </c>
      <c r="Q771" s="12" t="s">
        <v>4211</v>
      </c>
      <c r="R771" s="15" t="s">
        <v>4212</v>
      </c>
      <c r="S771" s="12">
        <v>569</v>
      </c>
      <c r="T771" s="12" t="s">
        <v>39</v>
      </c>
      <c r="U771" s="12" t="s">
        <v>40</v>
      </c>
      <c r="V771" s="12" t="s">
        <v>41</v>
      </c>
      <c r="W771" s="12">
        <v>60000000</v>
      </c>
      <c r="X771" s="12">
        <v>2002</v>
      </c>
      <c r="Y771" s="12">
        <v>18000</v>
      </c>
      <c r="Z771" s="12">
        <v>6.2</v>
      </c>
      <c r="AA771" s="12">
        <v>2.35</v>
      </c>
      <c r="AB771" s="12">
        <v>0</v>
      </c>
      <c r="AC771" s="12"/>
      <c r="AD771" s="12" t="str">
        <f>IFERROR(__xludf.DUMMYFUNCTION("""COMPUTED_VALUE"""),"Dalip Singh")</f>
        <v>Dalip Singh</v>
      </c>
      <c r="AE771" s="12"/>
    </row>
    <row r="772" customHeight="1" spans="1:31">
      <c r="A772" s="11" t="s">
        <v>30</v>
      </c>
      <c r="B772" s="11" t="s">
        <v>4213</v>
      </c>
      <c r="C772" s="11">
        <v>415</v>
      </c>
      <c r="D772" s="11">
        <v>113</v>
      </c>
      <c r="E772" s="11">
        <v>181</v>
      </c>
      <c r="F772" s="11">
        <v>300</v>
      </c>
      <c r="G772" s="11">
        <v>33000</v>
      </c>
      <c r="H772" s="11">
        <v>45996718</v>
      </c>
      <c r="I772" s="11" t="s">
        <v>464</v>
      </c>
      <c r="J772" s="11" t="s">
        <v>4214</v>
      </c>
      <c r="K772" s="11" t="s">
        <v>3508</v>
      </c>
      <c r="L772" s="11" t="s">
        <v>4215</v>
      </c>
      <c r="M772" s="11" t="s">
        <v>4216</v>
      </c>
      <c r="N772" s="11">
        <v>173530</v>
      </c>
      <c r="O772" s="11">
        <v>34738</v>
      </c>
      <c r="P772" s="11">
        <v>3</v>
      </c>
      <c r="Q772" s="11" t="s">
        <v>4217</v>
      </c>
      <c r="R772" s="14" t="s">
        <v>4218</v>
      </c>
      <c r="S772" s="11">
        <v>264</v>
      </c>
      <c r="T772" s="11" t="s">
        <v>39</v>
      </c>
      <c r="U772" s="11" t="s">
        <v>40</v>
      </c>
      <c r="V772" s="11" t="s">
        <v>586</v>
      </c>
      <c r="W772" s="11">
        <v>60000000</v>
      </c>
      <c r="X772" s="11">
        <v>2013</v>
      </c>
      <c r="Y772" s="11">
        <v>301</v>
      </c>
      <c r="Z772" s="11">
        <v>6.7</v>
      </c>
      <c r="AA772" s="11">
        <v>2.35</v>
      </c>
      <c r="AB772" s="11">
        <v>40000</v>
      </c>
      <c r="AC772" s="11"/>
      <c r="AD772" s="11" t="str">
        <f>IFERROR(__xludf.DUMMYFUNCTION("""COMPUTED_VALUE"""),"Lauren Gottlieb")</f>
        <v>Lauren Gottlieb</v>
      </c>
      <c r="AE772" s="11"/>
    </row>
    <row r="773" customHeight="1" spans="1:31">
      <c r="A773" s="12" t="s">
        <v>30</v>
      </c>
      <c r="B773" s="12" t="s">
        <v>4219</v>
      </c>
      <c r="C773" s="12">
        <v>170</v>
      </c>
      <c r="D773" s="12">
        <v>100</v>
      </c>
      <c r="E773" s="12">
        <v>11000</v>
      </c>
      <c r="F773" s="12">
        <v>485</v>
      </c>
      <c r="G773" s="12">
        <v>10000</v>
      </c>
      <c r="H773" s="12">
        <v>43337279</v>
      </c>
      <c r="I773" s="12" t="s">
        <v>4220</v>
      </c>
      <c r="J773" s="12" t="s">
        <v>302</v>
      </c>
      <c r="K773" s="12" t="s">
        <v>430</v>
      </c>
      <c r="L773" s="12" t="s">
        <v>4221</v>
      </c>
      <c r="M773" s="12" t="s">
        <v>4222</v>
      </c>
      <c r="N773" s="12">
        <v>76770</v>
      </c>
      <c r="O773" s="12">
        <v>12258</v>
      </c>
      <c r="P773" s="12">
        <v>2</v>
      </c>
      <c r="Q773" s="12" t="s">
        <v>4223</v>
      </c>
      <c r="R773" s="15" t="s">
        <v>4224</v>
      </c>
      <c r="S773" s="12">
        <v>203</v>
      </c>
      <c r="T773" s="12" t="s">
        <v>39</v>
      </c>
      <c r="U773" s="12" t="s">
        <v>40</v>
      </c>
      <c r="V773" s="12" t="s">
        <v>41</v>
      </c>
      <c r="W773" s="12">
        <v>60000000</v>
      </c>
      <c r="X773" s="12">
        <v>2009</v>
      </c>
      <c r="Y773" s="12">
        <v>1000</v>
      </c>
      <c r="Z773" s="12">
        <v>4.9</v>
      </c>
      <c r="AA773" s="12">
        <v>1.85</v>
      </c>
      <c r="AB773" s="12">
        <v>0</v>
      </c>
      <c r="AC773" s="12"/>
      <c r="AD773" s="12" t="str">
        <f>IFERROR(__xludf.DUMMYFUNCTION("""COMPUTED_VALUE"""),"Paul Michael Glaser")</f>
        <v>Paul Michael Glaser</v>
      </c>
      <c r="AE773" s="12"/>
    </row>
    <row r="774" customHeight="1" spans="1:31">
      <c r="A774" s="11" t="s">
        <v>30</v>
      </c>
      <c r="B774" s="11" t="s">
        <v>3695</v>
      </c>
      <c r="C774" s="11">
        <v>306</v>
      </c>
      <c r="D774" s="11">
        <v>134</v>
      </c>
      <c r="E774" s="11">
        <v>16000</v>
      </c>
      <c r="F774" s="11">
        <v>204</v>
      </c>
      <c r="G774" s="11">
        <v>13000</v>
      </c>
      <c r="H774" s="11">
        <v>37479778</v>
      </c>
      <c r="I774" s="11" t="s">
        <v>4225</v>
      </c>
      <c r="J774" s="11" t="s">
        <v>1158</v>
      </c>
      <c r="K774" s="11" t="s">
        <v>466</v>
      </c>
      <c r="L774" s="11" t="s">
        <v>4226</v>
      </c>
      <c r="M774" s="11" t="s">
        <v>4227</v>
      </c>
      <c r="N774" s="11">
        <v>124222</v>
      </c>
      <c r="O774" s="11">
        <v>24458</v>
      </c>
      <c r="P774" s="11">
        <v>1</v>
      </c>
      <c r="Q774" s="11" t="s">
        <v>4228</v>
      </c>
      <c r="R774" s="14" t="s">
        <v>4229</v>
      </c>
      <c r="S774" s="11">
        <v>259</v>
      </c>
      <c r="T774" s="11" t="s">
        <v>39</v>
      </c>
      <c r="U774" s="11" t="s">
        <v>40</v>
      </c>
      <c r="V774" s="11" t="s">
        <v>41</v>
      </c>
      <c r="W774" s="11">
        <v>60000000</v>
      </c>
      <c r="X774" s="11">
        <v>2009</v>
      </c>
      <c r="Y774" s="11">
        <v>11000</v>
      </c>
      <c r="Z774" s="11">
        <v>7.4</v>
      </c>
      <c r="AA774" s="11">
        <v>2.35</v>
      </c>
      <c r="AB774" s="11">
        <v>23000</v>
      </c>
      <c r="AC774" s="11"/>
      <c r="AD774" s="11" t="str">
        <f>IFERROR(__xludf.DUMMYFUNCTION("""COMPUTED_VALUE"""),"Joseph Sikora")</f>
        <v>Joseph Sikora</v>
      </c>
      <c r="AE774" s="11"/>
    </row>
    <row r="775" customHeight="1" spans="1:31">
      <c r="A775" s="12" t="s">
        <v>30</v>
      </c>
      <c r="B775" s="12" t="s">
        <v>4230</v>
      </c>
      <c r="C775" s="12">
        <v>252</v>
      </c>
      <c r="D775" s="12">
        <v>127</v>
      </c>
      <c r="E775" s="12">
        <v>162</v>
      </c>
      <c r="F775" s="12">
        <v>379</v>
      </c>
      <c r="G775" s="12">
        <v>18000</v>
      </c>
      <c r="H775" s="12">
        <v>36965395</v>
      </c>
      <c r="I775" s="12" t="s">
        <v>2142</v>
      </c>
      <c r="J775" s="12" t="s">
        <v>438</v>
      </c>
      <c r="K775" s="12" t="s">
        <v>143</v>
      </c>
      <c r="L775" s="12" t="s">
        <v>4231</v>
      </c>
      <c r="M775" s="12" t="s">
        <v>4232</v>
      </c>
      <c r="N775" s="12">
        <v>113295</v>
      </c>
      <c r="O775" s="12">
        <v>19776</v>
      </c>
      <c r="P775" s="12">
        <v>3</v>
      </c>
      <c r="Q775" s="12" t="s">
        <v>4233</v>
      </c>
      <c r="R775" s="15" t="s">
        <v>4234</v>
      </c>
      <c r="S775" s="12">
        <v>235</v>
      </c>
      <c r="T775" s="12" t="s">
        <v>39</v>
      </c>
      <c r="U775" s="12" t="s">
        <v>40</v>
      </c>
      <c r="V775" s="12" t="s">
        <v>41</v>
      </c>
      <c r="W775" s="16"/>
      <c r="X775" s="12">
        <v>2009</v>
      </c>
      <c r="Y775" s="12">
        <v>748</v>
      </c>
      <c r="Z775" s="12">
        <v>7.1</v>
      </c>
      <c r="AA775" s="12">
        <v>2.35</v>
      </c>
      <c r="AB775" s="12">
        <v>0</v>
      </c>
      <c r="AC775" s="12"/>
      <c r="AD775" s="12" t="str">
        <f>IFERROR(__xludf.DUMMYFUNCTION("""COMPUTED_VALUE"""),"Nellie Sciutto")</f>
        <v>Nellie Sciutto</v>
      </c>
      <c r="AE775" s="12"/>
    </row>
    <row r="776" customHeight="1" spans="1:31">
      <c r="A776" s="11" t="s">
        <v>30</v>
      </c>
      <c r="B776" s="11" t="s">
        <v>1319</v>
      </c>
      <c r="C776" s="11">
        <v>211</v>
      </c>
      <c r="D776" s="11">
        <v>125</v>
      </c>
      <c r="E776" s="11">
        <v>209</v>
      </c>
      <c r="F776" s="11">
        <v>896</v>
      </c>
      <c r="G776" s="11">
        <v>8000</v>
      </c>
      <c r="H776" s="11">
        <v>40559930</v>
      </c>
      <c r="I776" s="11" t="s">
        <v>4235</v>
      </c>
      <c r="J776" s="11" t="s">
        <v>1529</v>
      </c>
      <c r="K776" s="11" t="s">
        <v>138</v>
      </c>
      <c r="L776" s="11" t="s">
        <v>4236</v>
      </c>
      <c r="M776" s="11" t="s">
        <v>4237</v>
      </c>
      <c r="N776" s="11">
        <v>41727</v>
      </c>
      <c r="O776" s="11">
        <v>10623</v>
      </c>
      <c r="P776" s="11">
        <v>0</v>
      </c>
      <c r="Q776" s="11" t="s">
        <v>4238</v>
      </c>
      <c r="R776" s="14" t="s">
        <v>4239</v>
      </c>
      <c r="S776" s="11">
        <v>184</v>
      </c>
      <c r="T776" s="11" t="s">
        <v>39</v>
      </c>
      <c r="U776" s="11" t="s">
        <v>40</v>
      </c>
      <c r="V776" s="11" t="s">
        <v>41</v>
      </c>
      <c r="W776" s="11">
        <v>60000000</v>
      </c>
      <c r="X776" s="11">
        <v>2009</v>
      </c>
      <c r="Y776" s="11">
        <v>1000</v>
      </c>
      <c r="Z776" s="11">
        <v>6.2</v>
      </c>
      <c r="AA776" s="11">
        <v>2.35</v>
      </c>
      <c r="AB776" s="11">
        <v>0</v>
      </c>
      <c r="AC776" s="11"/>
      <c r="AD776" s="11" t="str">
        <f>IFERROR(__xludf.DUMMYFUNCTION("""COMPUTED_VALUE"""),"Katy Mixon")</f>
        <v>Katy Mixon</v>
      </c>
      <c r="AE776" s="11"/>
    </row>
    <row r="777" customHeight="1" spans="1:31">
      <c r="A777" s="12" t="s">
        <v>30</v>
      </c>
      <c r="B777" s="12" t="s">
        <v>4240</v>
      </c>
      <c r="C777" s="12">
        <v>49</v>
      </c>
      <c r="D777" s="12">
        <v>94</v>
      </c>
      <c r="E777" s="12">
        <v>80</v>
      </c>
      <c r="F777" s="12">
        <v>230</v>
      </c>
      <c r="G777" s="12">
        <v>1000</v>
      </c>
      <c r="H777" s="12">
        <v>36830057</v>
      </c>
      <c r="I777" s="12" t="s">
        <v>2658</v>
      </c>
      <c r="J777" s="12" t="s">
        <v>4241</v>
      </c>
      <c r="K777" s="12" t="s">
        <v>4242</v>
      </c>
      <c r="L777" s="12" t="s">
        <v>4243</v>
      </c>
      <c r="M777" s="12" t="s">
        <v>4244</v>
      </c>
      <c r="N777" s="12">
        <v>10883</v>
      </c>
      <c r="O777" s="12">
        <v>2151</v>
      </c>
      <c r="P777" s="12">
        <v>2</v>
      </c>
      <c r="Q777" s="12" t="s">
        <v>4245</v>
      </c>
      <c r="R777" s="15" t="s">
        <v>4246</v>
      </c>
      <c r="S777" s="12">
        <v>73</v>
      </c>
      <c r="T777" s="12" t="s">
        <v>39</v>
      </c>
      <c r="U777" s="12" t="s">
        <v>40</v>
      </c>
      <c r="V777" s="12" t="s">
        <v>96</v>
      </c>
      <c r="W777" s="12">
        <v>65000000</v>
      </c>
      <c r="X777" s="12">
        <v>1999</v>
      </c>
      <c r="Y777" s="12">
        <v>417</v>
      </c>
      <c r="Z777" s="12">
        <v>4.9</v>
      </c>
      <c r="AA777" s="12">
        <v>1.85</v>
      </c>
      <c r="AB777" s="12">
        <v>448</v>
      </c>
      <c r="AC777" s="12"/>
      <c r="AD777" s="12" t="str">
        <f>IFERROR(__xludf.DUMMYFUNCTION("""COMPUTED_VALUE"""),"Drew Carey")</f>
        <v>Drew Carey</v>
      </c>
      <c r="AE777" s="12"/>
    </row>
    <row r="778" customHeight="1" spans="1:31">
      <c r="A778" s="11" t="s">
        <v>30</v>
      </c>
      <c r="B778" s="11" t="s">
        <v>3335</v>
      </c>
      <c r="C778" s="11">
        <v>161</v>
      </c>
      <c r="D778" s="11">
        <v>107</v>
      </c>
      <c r="E778" s="11">
        <v>69</v>
      </c>
      <c r="F778" s="11">
        <v>206</v>
      </c>
      <c r="G778" s="11">
        <v>310</v>
      </c>
      <c r="H778" s="11">
        <v>36279230</v>
      </c>
      <c r="I778" s="11" t="s">
        <v>334</v>
      </c>
      <c r="J778" s="11" t="s">
        <v>4247</v>
      </c>
      <c r="K778" s="11" t="s">
        <v>4248</v>
      </c>
      <c r="L778" s="11" t="s">
        <v>4249</v>
      </c>
      <c r="M778" s="11" t="s">
        <v>4250</v>
      </c>
      <c r="N778" s="11">
        <v>42144</v>
      </c>
      <c r="O778" s="11">
        <v>1352</v>
      </c>
      <c r="P778" s="11">
        <v>0</v>
      </c>
      <c r="Q778" s="11" t="s">
        <v>4251</v>
      </c>
      <c r="R778" s="14" t="s">
        <v>4252</v>
      </c>
      <c r="S778" s="11">
        <v>213</v>
      </c>
      <c r="T778" s="11" t="s">
        <v>39</v>
      </c>
      <c r="U778" s="11" t="s">
        <v>40</v>
      </c>
      <c r="V778" s="11" t="s">
        <v>41</v>
      </c>
      <c r="W778" s="11">
        <v>60000000</v>
      </c>
      <c r="X778" s="11">
        <v>2006</v>
      </c>
      <c r="Y778" s="11">
        <v>219</v>
      </c>
      <c r="Z778" s="11">
        <v>6.1</v>
      </c>
      <c r="AA778" s="11">
        <v>2.35</v>
      </c>
      <c r="AB778" s="11">
        <v>690</v>
      </c>
      <c r="AC778" s="11"/>
      <c r="AD778" s="11" t="str">
        <f>IFERROR(__xludf.DUMMYFUNCTION("""COMPUTED_VALUE"""),"Paula Abdul")</f>
        <v>Paula Abdul</v>
      </c>
      <c r="AE778" s="11"/>
    </row>
    <row r="779" customHeight="1" spans="1:31">
      <c r="A779" s="12" t="s">
        <v>30</v>
      </c>
      <c r="B779" s="12" t="s">
        <v>4253</v>
      </c>
      <c r="C779" s="12">
        <v>156</v>
      </c>
      <c r="D779" s="12">
        <v>91</v>
      </c>
      <c r="E779" s="12">
        <v>2</v>
      </c>
      <c r="F779" s="12">
        <v>480</v>
      </c>
      <c r="G779" s="12">
        <v>12000</v>
      </c>
      <c r="H779" s="12">
        <v>42194060</v>
      </c>
      <c r="I779" s="12" t="s">
        <v>621</v>
      </c>
      <c r="J779" s="12" t="s">
        <v>1073</v>
      </c>
      <c r="K779" s="12" t="s">
        <v>440</v>
      </c>
      <c r="L779" s="12" t="s">
        <v>1550</v>
      </c>
      <c r="M779" s="12" t="s">
        <v>4254</v>
      </c>
      <c r="N779" s="12">
        <v>41259</v>
      </c>
      <c r="O779" s="12">
        <v>22668</v>
      </c>
      <c r="P779" s="12">
        <v>1</v>
      </c>
      <c r="Q779" s="12" t="s">
        <v>4255</v>
      </c>
      <c r="R779" s="15" t="s">
        <v>4256</v>
      </c>
      <c r="S779" s="12">
        <v>72</v>
      </c>
      <c r="T779" s="12" t="s">
        <v>39</v>
      </c>
      <c r="U779" s="12" t="s">
        <v>3572</v>
      </c>
      <c r="V779" s="12" t="s">
        <v>96</v>
      </c>
      <c r="W779" s="12">
        <v>70000000</v>
      </c>
      <c r="X779" s="12">
        <v>2009</v>
      </c>
      <c r="Y779" s="12">
        <v>10000</v>
      </c>
      <c r="Z779" s="12">
        <v>6.1</v>
      </c>
      <c r="AA779" s="12">
        <v>2.35</v>
      </c>
      <c r="AB779" s="12">
        <v>0</v>
      </c>
      <c r="AC779" s="12"/>
      <c r="AD779" s="12" t="str">
        <f>IFERROR(__xludf.DUMMYFUNCTION("""COMPUTED_VALUE"""),"Carmen Electra")</f>
        <v>Carmen Electra</v>
      </c>
      <c r="AE779" s="12"/>
    </row>
    <row r="780" customHeight="1" spans="1:31">
      <c r="A780" s="11" t="s">
        <v>30</v>
      </c>
      <c r="B780" s="11" t="s">
        <v>4257</v>
      </c>
      <c r="C780" s="11">
        <v>172</v>
      </c>
      <c r="D780" s="11">
        <v>116</v>
      </c>
      <c r="E780" s="11">
        <v>53</v>
      </c>
      <c r="F780" s="11">
        <v>906</v>
      </c>
      <c r="G780" s="11">
        <v>27000</v>
      </c>
      <c r="H780" s="11">
        <v>43119879</v>
      </c>
      <c r="I780" s="11" t="s">
        <v>227</v>
      </c>
      <c r="J780" s="11" t="s">
        <v>61</v>
      </c>
      <c r="K780" s="11" t="s">
        <v>3378</v>
      </c>
      <c r="L780" s="11" t="s">
        <v>3377</v>
      </c>
      <c r="M780" s="11" t="s">
        <v>4258</v>
      </c>
      <c r="N780" s="11">
        <v>58450</v>
      </c>
      <c r="O780" s="11">
        <v>31224</v>
      </c>
      <c r="P780" s="11">
        <v>0</v>
      </c>
      <c r="Q780" s="11" t="s">
        <v>4259</v>
      </c>
      <c r="R780" s="14" t="s">
        <v>4260</v>
      </c>
      <c r="S780" s="11">
        <v>842</v>
      </c>
      <c r="T780" s="11" t="s">
        <v>39</v>
      </c>
      <c r="U780" s="11" t="s">
        <v>40</v>
      </c>
      <c r="V780" s="11" t="s">
        <v>41</v>
      </c>
      <c r="W780" s="11">
        <v>60000000</v>
      </c>
      <c r="X780" s="11">
        <v>2002</v>
      </c>
      <c r="Y780" s="11">
        <v>1000</v>
      </c>
      <c r="Z780" s="11">
        <v>6.4</v>
      </c>
      <c r="AA780" s="11">
        <v>2.35</v>
      </c>
      <c r="AB780" s="11">
        <v>0</v>
      </c>
      <c r="AC780" s="11"/>
      <c r="AD780" s="11" t="str">
        <f>IFERROR(__xludf.DUMMYFUNCTION("""COMPUTED_VALUE"""),"Kathryn Joosten")</f>
        <v>Kathryn Joosten</v>
      </c>
      <c r="AE780" s="11"/>
    </row>
    <row r="781" customHeight="1" spans="1:31">
      <c r="A781" s="12" t="s">
        <v>30</v>
      </c>
      <c r="B781" s="12" t="s">
        <v>4261</v>
      </c>
      <c r="C781" s="12">
        <v>161</v>
      </c>
      <c r="D781" s="12">
        <v>100</v>
      </c>
      <c r="E781" s="12">
        <v>0</v>
      </c>
      <c r="F781" s="12">
        <v>210</v>
      </c>
      <c r="G781" s="12">
        <v>436</v>
      </c>
      <c r="H781" s="12">
        <v>35096190</v>
      </c>
      <c r="I781" s="12" t="s">
        <v>4262</v>
      </c>
      <c r="J781" s="12" t="s">
        <v>806</v>
      </c>
      <c r="K781" s="12" t="s">
        <v>4263</v>
      </c>
      <c r="L781" s="12" t="s">
        <v>4264</v>
      </c>
      <c r="M781" s="12" t="s">
        <v>4265</v>
      </c>
      <c r="N781" s="12">
        <v>76560</v>
      </c>
      <c r="O781" s="12">
        <v>1395</v>
      </c>
      <c r="P781" s="12">
        <v>1</v>
      </c>
      <c r="Q781" s="12" t="s">
        <v>4266</v>
      </c>
      <c r="R781" s="15" t="s">
        <v>4267</v>
      </c>
      <c r="S781" s="12">
        <v>322</v>
      </c>
      <c r="T781" s="12" t="s">
        <v>39</v>
      </c>
      <c r="U781" s="12" t="s">
        <v>40</v>
      </c>
      <c r="V781" s="12" t="s">
        <v>41</v>
      </c>
      <c r="W781" s="12">
        <v>60000000</v>
      </c>
      <c r="X781" s="12">
        <v>2003</v>
      </c>
      <c r="Y781" s="12">
        <v>399</v>
      </c>
      <c r="Z781" s="12">
        <v>6.3</v>
      </c>
      <c r="AA781" s="12">
        <v>1.85</v>
      </c>
      <c r="AB781" s="12">
        <v>0</v>
      </c>
      <c r="AC781" s="12"/>
      <c r="AD781" s="12" t="str">
        <f>IFERROR(__xludf.DUMMYFUNCTION("""COMPUTED_VALUE"""),"Jennifer Jason Leigh")</f>
        <v>Jennifer Jason Leigh</v>
      </c>
      <c r="AE781" s="12"/>
    </row>
    <row r="782" customHeight="1" spans="1:31">
      <c r="A782" s="11" t="s">
        <v>30</v>
      </c>
      <c r="B782" s="11" t="s">
        <v>4268</v>
      </c>
      <c r="C782" s="11">
        <v>239</v>
      </c>
      <c r="D782" s="11">
        <v>111</v>
      </c>
      <c r="E782" s="11">
        <v>39</v>
      </c>
      <c r="F782" s="11">
        <v>461</v>
      </c>
      <c r="G782" s="11">
        <v>16000</v>
      </c>
      <c r="H782" s="11">
        <v>35754555</v>
      </c>
      <c r="I782" s="11" t="s">
        <v>3794</v>
      </c>
      <c r="J782" s="11" t="s">
        <v>3695</v>
      </c>
      <c r="K782" s="11" t="s">
        <v>4269</v>
      </c>
      <c r="L782" s="11" t="s">
        <v>1348</v>
      </c>
      <c r="M782" s="11" t="s">
        <v>4270</v>
      </c>
      <c r="N782" s="11">
        <v>47954</v>
      </c>
      <c r="O782" s="11">
        <v>17871</v>
      </c>
      <c r="P782" s="11">
        <v>0</v>
      </c>
      <c r="Q782" s="11" t="s">
        <v>4271</v>
      </c>
      <c r="R782" s="14" t="s">
        <v>4272</v>
      </c>
      <c r="S782" s="11">
        <v>150</v>
      </c>
      <c r="T782" s="11" t="s">
        <v>39</v>
      </c>
      <c r="U782" s="11" t="s">
        <v>40</v>
      </c>
      <c r="V782" s="11" t="s">
        <v>41</v>
      </c>
      <c r="W782" s="13"/>
      <c r="X782" s="11">
        <v>2012</v>
      </c>
      <c r="Y782" s="11">
        <v>897</v>
      </c>
      <c r="Z782" s="11">
        <v>6.8</v>
      </c>
      <c r="AA782" s="11">
        <v>2.35</v>
      </c>
      <c r="AB782" s="11">
        <v>11000</v>
      </c>
      <c r="AC782" s="11"/>
      <c r="AD782" s="11" t="str">
        <f>IFERROR(__xludf.DUMMYFUNCTION("""COMPUTED_VALUE"""),"Liam Aiken")</f>
        <v>Liam Aiken</v>
      </c>
      <c r="AE782" s="11"/>
    </row>
    <row r="783" customHeight="1" spans="1:31">
      <c r="A783" s="12" t="s">
        <v>30</v>
      </c>
      <c r="B783" s="12" t="s">
        <v>314</v>
      </c>
      <c r="C783" s="12">
        <v>258</v>
      </c>
      <c r="D783" s="12">
        <v>117</v>
      </c>
      <c r="E783" s="12">
        <v>258</v>
      </c>
      <c r="F783" s="12">
        <v>896</v>
      </c>
      <c r="G783" s="12">
        <v>2000</v>
      </c>
      <c r="H783" s="12">
        <v>43290977</v>
      </c>
      <c r="I783" s="12" t="s">
        <v>2142</v>
      </c>
      <c r="J783" s="12" t="s">
        <v>4273</v>
      </c>
      <c r="K783" s="12" t="s">
        <v>392</v>
      </c>
      <c r="L783" s="12" t="s">
        <v>4236</v>
      </c>
      <c r="M783" s="12" t="s">
        <v>4274</v>
      </c>
      <c r="N783" s="12">
        <v>75201</v>
      </c>
      <c r="O783" s="12">
        <v>7053</v>
      </c>
      <c r="P783" s="12">
        <v>1</v>
      </c>
      <c r="Q783" s="12" t="s">
        <v>4275</v>
      </c>
      <c r="R783" s="15" t="s">
        <v>4276</v>
      </c>
      <c r="S783" s="12">
        <v>256</v>
      </c>
      <c r="T783" s="12" t="s">
        <v>39</v>
      </c>
      <c r="U783" s="12" t="s">
        <v>58</v>
      </c>
      <c r="V783" s="12" t="s">
        <v>586</v>
      </c>
      <c r="W783" s="12">
        <v>80000000</v>
      </c>
      <c r="X783" s="12">
        <v>2010</v>
      </c>
      <c r="Y783" s="12">
        <v>1000</v>
      </c>
      <c r="Z783" s="12">
        <v>6.6</v>
      </c>
      <c r="AA783" s="12">
        <v>2.35</v>
      </c>
      <c r="AB783" s="12">
        <v>0</v>
      </c>
      <c r="AC783" s="12"/>
      <c r="AD783" s="12" t="str">
        <f>IFERROR(__xludf.DUMMYFUNCTION("""COMPUTED_VALUE"""),"Bailee Madison")</f>
        <v>Bailee Madison</v>
      </c>
      <c r="AE783" s="12"/>
    </row>
    <row r="784" customHeight="1" spans="1:31">
      <c r="A784" s="11" t="s">
        <v>30</v>
      </c>
      <c r="B784" s="11" t="s">
        <v>1820</v>
      </c>
      <c r="C784" s="11">
        <v>95</v>
      </c>
      <c r="D784" s="11">
        <v>110</v>
      </c>
      <c r="E784" s="11">
        <v>0</v>
      </c>
      <c r="F784" s="11">
        <v>308</v>
      </c>
      <c r="G784" s="11">
        <v>510</v>
      </c>
      <c r="H784" s="11">
        <v>33927476</v>
      </c>
      <c r="I784" s="11" t="s">
        <v>4277</v>
      </c>
      <c r="J784" s="11" t="s">
        <v>4278</v>
      </c>
      <c r="K784" s="11" t="s">
        <v>4279</v>
      </c>
      <c r="L784" s="11" t="s">
        <v>4280</v>
      </c>
      <c r="M784" s="11" t="s">
        <v>4281</v>
      </c>
      <c r="N784" s="11">
        <v>19176</v>
      </c>
      <c r="O784" s="11">
        <v>1976</v>
      </c>
      <c r="P784" s="11">
        <v>0</v>
      </c>
      <c r="Q784" s="11" t="s">
        <v>4282</v>
      </c>
      <c r="R784" s="14" t="s">
        <v>4283</v>
      </c>
      <c r="S784" s="11">
        <v>165</v>
      </c>
      <c r="T784" s="11" t="s">
        <v>39</v>
      </c>
      <c r="U784" s="11" t="s">
        <v>58</v>
      </c>
      <c r="V784" s="11" t="s">
        <v>586</v>
      </c>
      <c r="W784" s="11">
        <v>40000000</v>
      </c>
      <c r="X784" s="11">
        <v>1997</v>
      </c>
      <c r="Y784" s="11">
        <v>344</v>
      </c>
      <c r="Z784" s="11">
        <v>5.7</v>
      </c>
      <c r="AA784" s="11">
        <v>2.35</v>
      </c>
      <c r="AB784" s="11">
        <v>956</v>
      </c>
      <c r="AC784" s="11"/>
      <c r="AD784" s="11" t="str">
        <f>IFERROR(__xludf.DUMMYFUNCTION("""COMPUTED_VALUE"""),"Elden Henson")</f>
        <v>Elden Henson</v>
      </c>
      <c r="AE784" s="11"/>
    </row>
    <row r="785" customHeight="1" spans="1:31">
      <c r="A785" s="12" t="s">
        <v>30</v>
      </c>
      <c r="B785" s="12" t="s">
        <v>4219</v>
      </c>
      <c r="C785" s="12">
        <v>105</v>
      </c>
      <c r="D785" s="12">
        <v>96</v>
      </c>
      <c r="E785" s="12">
        <v>11000</v>
      </c>
      <c r="F785" s="12">
        <v>236</v>
      </c>
      <c r="G785" s="12">
        <v>22000</v>
      </c>
      <c r="H785" s="12">
        <v>32122249</v>
      </c>
      <c r="I785" s="12" t="s">
        <v>1009</v>
      </c>
      <c r="J785" s="12" t="s">
        <v>1746</v>
      </c>
      <c r="K785" s="12" t="s">
        <v>4284</v>
      </c>
      <c r="L785" s="12" t="s">
        <v>4285</v>
      </c>
      <c r="M785" s="12" t="s">
        <v>4286</v>
      </c>
      <c r="N785" s="12">
        <v>69319</v>
      </c>
      <c r="O785" s="12">
        <v>22889</v>
      </c>
      <c r="P785" s="12">
        <v>1</v>
      </c>
      <c r="Q785" s="12" t="s">
        <v>4287</v>
      </c>
      <c r="R785" s="15" t="s">
        <v>4288</v>
      </c>
      <c r="S785" s="12">
        <v>138</v>
      </c>
      <c r="T785" s="12" t="s">
        <v>39</v>
      </c>
      <c r="U785" s="12" t="s">
        <v>40</v>
      </c>
      <c r="V785" s="12" t="s">
        <v>586</v>
      </c>
      <c r="W785" s="12">
        <v>60000000</v>
      </c>
      <c r="X785" s="12">
        <v>2002</v>
      </c>
      <c r="Y785" s="12">
        <v>394</v>
      </c>
      <c r="Z785" s="12">
        <v>5.9</v>
      </c>
      <c r="AA785" s="12">
        <v>1.85</v>
      </c>
      <c r="AB785" s="12">
        <v>846</v>
      </c>
      <c r="AC785" s="12"/>
      <c r="AD785" s="12" t="str">
        <f>IFERROR(__xludf.DUMMYFUNCTION("""COMPUTED_VALUE"""),"Royce Johnson")</f>
        <v>Royce Johnson</v>
      </c>
      <c r="AE785" s="12"/>
    </row>
    <row r="786" customHeight="1" spans="1:31">
      <c r="A786" s="11" t="s">
        <v>30</v>
      </c>
      <c r="B786" s="11" t="s">
        <v>4135</v>
      </c>
      <c r="C786" s="11">
        <v>198</v>
      </c>
      <c r="D786" s="11">
        <v>101</v>
      </c>
      <c r="E786" s="11">
        <v>50</v>
      </c>
      <c r="F786" s="11">
        <v>1000</v>
      </c>
      <c r="G786" s="11">
        <v>22000</v>
      </c>
      <c r="H786" s="11">
        <v>40076438</v>
      </c>
      <c r="I786" s="11" t="s">
        <v>1120</v>
      </c>
      <c r="J786" s="11" t="s">
        <v>1746</v>
      </c>
      <c r="K786" s="11" t="s">
        <v>2383</v>
      </c>
      <c r="L786" s="11" t="s">
        <v>3526</v>
      </c>
      <c r="M786" s="11" t="s">
        <v>4289</v>
      </c>
      <c r="N786" s="11">
        <v>73368</v>
      </c>
      <c r="O786" s="11">
        <v>38809</v>
      </c>
      <c r="P786" s="11">
        <v>2</v>
      </c>
      <c r="Q786" s="11" t="s">
        <v>4290</v>
      </c>
      <c r="R786" s="14" t="s">
        <v>4291</v>
      </c>
      <c r="S786" s="11">
        <v>248</v>
      </c>
      <c r="T786" s="11" t="s">
        <v>39</v>
      </c>
      <c r="U786" s="11" t="s">
        <v>40</v>
      </c>
      <c r="V786" s="11" t="s">
        <v>586</v>
      </c>
      <c r="W786" s="11">
        <v>60000000</v>
      </c>
      <c r="X786" s="11">
        <v>2008</v>
      </c>
      <c r="Y786" s="11">
        <v>14000</v>
      </c>
      <c r="Z786" s="11">
        <v>6</v>
      </c>
      <c r="AA786" s="11">
        <v>2.35</v>
      </c>
      <c r="AB786" s="11">
        <v>0</v>
      </c>
      <c r="AC786" s="11"/>
      <c r="AD786" s="11" t="str">
        <f>IFERROR(__xludf.DUMMYFUNCTION("""COMPUTED_VALUE"""),"Charlie Cox")</f>
        <v>Charlie Cox</v>
      </c>
      <c r="AE786" s="11"/>
    </row>
    <row r="787" customHeight="1" spans="1:31">
      <c r="A787" s="12" t="s">
        <v>30</v>
      </c>
      <c r="B787" s="12" t="s">
        <v>4292</v>
      </c>
      <c r="C787" s="12">
        <v>79</v>
      </c>
      <c r="D787" s="12">
        <v>111</v>
      </c>
      <c r="E787" s="12">
        <v>17</v>
      </c>
      <c r="F787" s="12">
        <v>652</v>
      </c>
      <c r="G787" s="12">
        <v>13000</v>
      </c>
      <c r="H787" s="12">
        <v>32940507</v>
      </c>
      <c r="I787" s="12" t="s">
        <v>464</v>
      </c>
      <c r="J787" s="12" t="s">
        <v>978</v>
      </c>
      <c r="K787" s="12" t="s">
        <v>3653</v>
      </c>
      <c r="L787" s="12" t="s">
        <v>4293</v>
      </c>
      <c r="M787" s="12" t="s">
        <v>4294</v>
      </c>
      <c r="N787" s="12">
        <v>54314</v>
      </c>
      <c r="O787" s="12">
        <v>16536</v>
      </c>
      <c r="P787" s="12">
        <v>1</v>
      </c>
      <c r="Q787" s="12" t="s">
        <v>4295</v>
      </c>
      <c r="R787" s="15" t="s">
        <v>4296</v>
      </c>
      <c r="S787" s="12">
        <v>127</v>
      </c>
      <c r="T787" s="12" t="s">
        <v>39</v>
      </c>
      <c r="U787" s="12" t="s">
        <v>40</v>
      </c>
      <c r="V787" s="12" t="s">
        <v>586</v>
      </c>
      <c r="W787" s="12">
        <v>60000000</v>
      </c>
      <c r="X787" s="12">
        <v>1998</v>
      </c>
      <c r="Y787" s="12">
        <v>968</v>
      </c>
      <c r="Z787" s="12">
        <v>6.1</v>
      </c>
      <c r="AA787" s="12">
        <v>2.35</v>
      </c>
      <c r="AB787" s="12">
        <v>0</v>
      </c>
      <c r="AC787" s="12"/>
      <c r="AD787" s="12" t="str">
        <f>IFERROR(__xludf.DUMMYFUNCTION("""COMPUTED_VALUE"""),"Monica Potter")</f>
        <v>Monica Potter</v>
      </c>
      <c r="AE787" s="12"/>
    </row>
    <row r="788" customHeight="1" spans="1:31">
      <c r="A788" s="11" t="s">
        <v>30</v>
      </c>
      <c r="B788" s="11" t="s">
        <v>941</v>
      </c>
      <c r="C788" s="11">
        <v>210</v>
      </c>
      <c r="D788" s="11">
        <v>117</v>
      </c>
      <c r="E788" s="11">
        <v>456</v>
      </c>
      <c r="F788" s="11">
        <v>569</v>
      </c>
      <c r="G788" s="11">
        <v>21000</v>
      </c>
      <c r="H788" s="11">
        <v>31670931</v>
      </c>
      <c r="I788" s="11" t="s">
        <v>4297</v>
      </c>
      <c r="J788" s="11" t="s">
        <v>99</v>
      </c>
      <c r="K788" s="11" t="s">
        <v>1147</v>
      </c>
      <c r="L788" s="11" t="s">
        <v>2197</v>
      </c>
      <c r="M788" s="11" t="s">
        <v>4298</v>
      </c>
      <c r="N788" s="11">
        <v>44099</v>
      </c>
      <c r="O788" s="11">
        <v>23745</v>
      </c>
      <c r="P788" s="11">
        <v>0</v>
      </c>
      <c r="Q788" s="11" t="s">
        <v>4299</v>
      </c>
      <c r="R788" s="14" t="s">
        <v>4300</v>
      </c>
      <c r="S788" s="11">
        <v>143</v>
      </c>
      <c r="T788" s="11" t="s">
        <v>39</v>
      </c>
      <c r="U788" s="11" t="s">
        <v>58</v>
      </c>
      <c r="V788" s="11" t="s">
        <v>41</v>
      </c>
      <c r="W788" s="11">
        <v>60000000</v>
      </c>
      <c r="X788" s="11">
        <v>2009</v>
      </c>
      <c r="Y788" s="11">
        <v>939</v>
      </c>
      <c r="Z788" s="11">
        <v>6.7</v>
      </c>
      <c r="AA788" s="11">
        <v>2.35</v>
      </c>
      <c r="AB788" s="11">
        <v>0</v>
      </c>
      <c r="AC788" s="11"/>
      <c r="AD788" s="11" t="str">
        <f>IFERROR(__xludf.DUMMYFUNCTION("""COMPUTED_VALUE"""),"Dave Chappelle")</f>
        <v>Dave Chappelle</v>
      </c>
      <c r="AE788" s="11"/>
    </row>
    <row r="789" customHeight="1" spans="1:31">
      <c r="A789" s="12" t="s">
        <v>30</v>
      </c>
      <c r="B789" s="12" t="s">
        <v>4042</v>
      </c>
      <c r="C789" s="12">
        <v>125</v>
      </c>
      <c r="D789" s="12">
        <v>126</v>
      </c>
      <c r="E789" s="12">
        <v>0</v>
      </c>
      <c r="F789" s="12">
        <v>9000</v>
      </c>
      <c r="G789" s="12">
        <v>13000</v>
      </c>
      <c r="H789" s="12">
        <v>30695227</v>
      </c>
      <c r="I789" s="12" t="s">
        <v>4301</v>
      </c>
      <c r="J789" s="12" t="s">
        <v>1158</v>
      </c>
      <c r="K789" s="12" t="s">
        <v>166</v>
      </c>
      <c r="L789" s="12" t="s">
        <v>778</v>
      </c>
      <c r="M789" s="12" t="s">
        <v>4302</v>
      </c>
      <c r="N789" s="12">
        <v>45296</v>
      </c>
      <c r="O789" s="12">
        <v>34774</v>
      </c>
      <c r="P789" s="12">
        <v>3</v>
      </c>
      <c r="Q789" s="12" t="s">
        <v>4303</v>
      </c>
      <c r="R789" s="15" t="s">
        <v>4304</v>
      </c>
      <c r="S789" s="12">
        <v>267</v>
      </c>
      <c r="T789" s="12" t="s">
        <v>39</v>
      </c>
      <c r="U789" s="12" t="s">
        <v>40</v>
      </c>
      <c r="V789" s="12" t="s">
        <v>41</v>
      </c>
      <c r="W789" s="12">
        <v>60000000</v>
      </c>
      <c r="X789" s="12">
        <v>2000</v>
      </c>
      <c r="Y789" s="12">
        <v>10000</v>
      </c>
      <c r="Z789" s="12">
        <v>6.7</v>
      </c>
      <c r="AA789" s="12">
        <v>1.85</v>
      </c>
      <c r="AB789" s="12">
        <v>0</v>
      </c>
      <c r="AC789" s="12"/>
      <c r="AD789" s="12" t="str">
        <f>IFERROR(__xludf.DUMMYFUNCTION("""COMPUTED_VALUE"""),"Ethan Embry")</f>
        <v>Ethan Embry</v>
      </c>
      <c r="AE789" s="12"/>
    </row>
    <row r="790" customHeight="1" spans="1:31">
      <c r="A790" s="11" t="s">
        <v>30</v>
      </c>
      <c r="B790" s="11" t="s">
        <v>3348</v>
      </c>
      <c r="C790" s="11">
        <v>149</v>
      </c>
      <c r="D790" s="11">
        <v>152</v>
      </c>
      <c r="E790" s="11">
        <v>488</v>
      </c>
      <c r="F790" s="11">
        <v>947</v>
      </c>
      <c r="G790" s="11">
        <v>22000</v>
      </c>
      <c r="H790" s="11">
        <v>32522352</v>
      </c>
      <c r="I790" s="11" t="s">
        <v>4305</v>
      </c>
      <c r="J790" s="11" t="s">
        <v>699</v>
      </c>
      <c r="K790" s="11" t="s">
        <v>1950</v>
      </c>
      <c r="L790" s="11" t="s">
        <v>2299</v>
      </c>
      <c r="M790" s="11" t="s">
        <v>4306</v>
      </c>
      <c r="N790" s="11">
        <v>207287</v>
      </c>
      <c r="O790" s="11">
        <v>36897</v>
      </c>
      <c r="P790" s="11">
        <v>1</v>
      </c>
      <c r="Q790" s="11" t="s">
        <v>4307</v>
      </c>
      <c r="R790" s="14" t="s">
        <v>4308</v>
      </c>
      <c r="S790" s="11">
        <v>822</v>
      </c>
      <c r="T790" s="11" t="s">
        <v>39</v>
      </c>
      <c r="U790" s="11" t="s">
        <v>40</v>
      </c>
      <c r="V790" s="11" t="s">
        <v>586</v>
      </c>
      <c r="W790" s="11">
        <v>60000000</v>
      </c>
      <c r="X790" s="11">
        <v>2000</v>
      </c>
      <c r="Y790" s="11">
        <v>11000</v>
      </c>
      <c r="Z790" s="11">
        <v>7.9</v>
      </c>
      <c r="AA790" s="11">
        <v>1.85</v>
      </c>
      <c r="AB790" s="11">
        <v>15000</v>
      </c>
      <c r="AC790" s="11"/>
      <c r="AD790" s="11" t="str">
        <f>IFERROR(__xludf.DUMMYFUNCTION("""COMPUTED_VALUE"""),"Cameron Boyce")</f>
        <v>Cameron Boyce</v>
      </c>
      <c r="AE790" s="11"/>
    </row>
    <row r="791" customHeight="1" spans="1:31">
      <c r="A791" s="12" t="s">
        <v>30</v>
      </c>
      <c r="B791" s="12" t="s">
        <v>3918</v>
      </c>
      <c r="C791" s="12">
        <v>77</v>
      </c>
      <c r="D791" s="12">
        <v>86</v>
      </c>
      <c r="E791" s="12">
        <v>25</v>
      </c>
      <c r="F791" s="12">
        <v>265</v>
      </c>
      <c r="G791" s="12">
        <v>13000</v>
      </c>
      <c r="H791" s="12">
        <v>28424210</v>
      </c>
      <c r="I791" s="12" t="s">
        <v>793</v>
      </c>
      <c r="J791" s="12" t="s">
        <v>549</v>
      </c>
      <c r="K791" s="12" t="s">
        <v>2677</v>
      </c>
      <c r="L791" s="12" t="s">
        <v>4309</v>
      </c>
      <c r="M791" s="12" t="s">
        <v>4310</v>
      </c>
      <c r="N791" s="12">
        <v>27517</v>
      </c>
      <c r="O791" s="12">
        <v>14918</v>
      </c>
      <c r="P791" s="12">
        <v>0</v>
      </c>
      <c r="Q791" s="12" t="s">
        <v>4311</v>
      </c>
      <c r="R791" s="15" t="s">
        <v>4312</v>
      </c>
      <c r="S791" s="12">
        <v>74</v>
      </c>
      <c r="T791" s="12" t="s">
        <v>39</v>
      </c>
      <c r="U791" s="12" t="s">
        <v>58</v>
      </c>
      <c r="V791" s="12" t="s">
        <v>96</v>
      </c>
      <c r="W791" s="16"/>
      <c r="X791" s="12">
        <v>2006</v>
      </c>
      <c r="Y791" s="12">
        <v>1000</v>
      </c>
      <c r="Z791" s="12">
        <v>5</v>
      </c>
      <c r="AA791" s="12">
        <v>1.85</v>
      </c>
      <c r="AB791" s="12">
        <v>470</v>
      </c>
      <c r="AC791" s="12"/>
      <c r="AD791" s="12" t="str">
        <f>IFERROR(__xludf.DUMMYFUNCTION("""COMPUTED_VALUE"""),"Jodi Benson")</f>
        <v>Jodi Benson</v>
      </c>
      <c r="AE791" s="12"/>
    </row>
    <row r="792" customHeight="1" spans="1:31">
      <c r="A792" s="11" t="s">
        <v>30</v>
      </c>
      <c r="B792" s="11" t="s">
        <v>963</v>
      </c>
      <c r="C792" s="11">
        <v>77</v>
      </c>
      <c r="D792" s="11">
        <v>101</v>
      </c>
      <c r="E792" s="11">
        <v>93</v>
      </c>
      <c r="F792" s="11">
        <v>218</v>
      </c>
      <c r="G792" s="11">
        <v>287</v>
      </c>
      <c r="H792" s="11">
        <v>26082914</v>
      </c>
      <c r="I792" s="11" t="s">
        <v>3336</v>
      </c>
      <c r="J792" s="11" t="s">
        <v>4313</v>
      </c>
      <c r="K792" s="11" t="s">
        <v>824</v>
      </c>
      <c r="L792" s="11" t="s">
        <v>4314</v>
      </c>
      <c r="M792" s="11" t="s">
        <v>4315</v>
      </c>
      <c r="N792" s="11">
        <v>51349</v>
      </c>
      <c r="O792" s="11">
        <v>993</v>
      </c>
      <c r="P792" s="11">
        <v>2</v>
      </c>
      <c r="Q792" s="11" t="s">
        <v>4316</v>
      </c>
      <c r="R792" s="14" t="s">
        <v>4317</v>
      </c>
      <c r="S792" s="11">
        <v>213</v>
      </c>
      <c r="T792" s="11" t="s">
        <v>39</v>
      </c>
      <c r="U792" s="11" t="s">
        <v>40</v>
      </c>
      <c r="V792" s="11" t="s">
        <v>41</v>
      </c>
      <c r="W792" s="11">
        <v>87000000</v>
      </c>
      <c r="X792" s="11">
        <v>2005</v>
      </c>
      <c r="Y792" s="11">
        <v>233</v>
      </c>
      <c r="Z792" s="11">
        <v>4.3</v>
      </c>
      <c r="AA792" s="11">
        <v>2.35</v>
      </c>
      <c r="AB792" s="11">
        <v>0</v>
      </c>
      <c r="AC792" s="11"/>
      <c r="AD792" s="11" t="str">
        <f>IFERROR(__xludf.DUMMYFUNCTION("""COMPUTED_VALUE"""),"Sam Lloyd")</f>
        <v>Sam Lloyd</v>
      </c>
      <c r="AE792" s="11"/>
    </row>
    <row r="793" customHeight="1" spans="1:31">
      <c r="A793" s="12" t="s">
        <v>30</v>
      </c>
      <c r="B793" s="12" t="s">
        <v>4318</v>
      </c>
      <c r="C793" s="12">
        <v>225</v>
      </c>
      <c r="D793" s="12">
        <v>87</v>
      </c>
      <c r="E793" s="12">
        <v>124</v>
      </c>
      <c r="F793" s="12">
        <v>77</v>
      </c>
      <c r="G793" s="12">
        <v>865</v>
      </c>
      <c r="H793" s="12">
        <v>29136626</v>
      </c>
      <c r="I793" s="12" t="s">
        <v>4319</v>
      </c>
      <c r="J793" s="12" t="s">
        <v>4320</v>
      </c>
      <c r="K793" s="12" t="s">
        <v>4321</v>
      </c>
      <c r="L793" s="12" t="s">
        <v>4322</v>
      </c>
      <c r="M793" s="12" t="s">
        <v>4323</v>
      </c>
      <c r="N793" s="12">
        <v>97089</v>
      </c>
      <c r="O793" s="12">
        <v>1417</v>
      </c>
      <c r="P793" s="12">
        <v>0</v>
      </c>
      <c r="Q793" s="12" t="s">
        <v>4324</v>
      </c>
      <c r="R793" s="15" t="s">
        <v>4325</v>
      </c>
      <c r="S793" s="12">
        <v>233</v>
      </c>
      <c r="T793" s="12" t="s">
        <v>39</v>
      </c>
      <c r="U793" s="12" t="s">
        <v>40</v>
      </c>
      <c r="V793" s="12" t="s">
        <v>41</v>
      </c>
      <c r="W793" s="12">
        <v>60000000</v>
      </c>
      <c r="X793" s="12">
        <v>2011</v>
      </c>
      <c r="Y793" s="12">
        <v>441</v>
      </c>
      <c r="Z793" s="12">
        <v>5.7</v>
      </c>
      <c r="AA793" s="12">
        <v>2.35</v>
      </c>
      <c r="AB793" s="12">
        <v>20000</v>
      </c>
      <c r="AC793" s="12"/>
      <c r="AD793" s="12" t="str">
        <f>IFERROR(__xludf.DUMMYFUNCTION("""COMPUTED_VALUE"""),"Lili Taylor")</f>
        <v>Lili Taylor</v>
      </c>
      <c r="AE793" s="12"/>
    </row>
    <row r="794" customHeight="1" spans="1:31">
      <c r="A794" s="11" t="s">
        <v>30</v>
      </c>
      <c r="B794" s="11" t="s">
        <v>4326</v>
      </c>
      <c r="C794" s="11">
        <v>98</v>
      </c>
      <c r="D794" s="11">
        <v>85</v>
      </c>
      <c r="E794" s="11">
        <v>0</v>
      </c>
      <c r="F794" s="11">
        <v>82</v>
      </c>
      <c r="G794" s="11">
        <v>11000</v>
      </c>
      <c r="H794" s="11">
        <v>26288320</v>
      </c>
      <c r="I794" s="11" t="s">
        <v>4327</v>
      </c>
      <c r="J794" s="11" t="s">
        <v>343</v>
      </c>
      <c r="K794" s="11" t="s">
        <v>4328</v>
      </c>
      <c r="L794" s="11" t="s">
        <v>4329</v>
      </c>
      <c r="M794" s="11" t="s">
        <v>4330</v>
      </c>
      <c r="N794" s="11">
        <v>36144</v>
      </c>
      <c r="O794" s="11">
        <v>11301</v>
      </c>
      <c r="P794" s="11">
        <v>0</v>
      </c>
      <c r="Q794" s="11" t="s">
        <v>4331</v>
      </c>
      <c r="R794" s="14" t="s">
        <v>4332</v>
      </c>
      <c r="S794" s="11">
        <v>91</v>
      </c>
      <c r="T794" s="11" t="s">
        <v>39</v>
      </c>
      <c r="U794" s="11" t="s">
        <v>40</v>
      </c>
      <c r="V794" s="11" t="s">
        <v>96</v>
      </c>
      <c r="W794" s="11">
        <v>60000000</v>
      </c>
      <c r="X794" s="11">
        <v>2003</v>
      </c>
      <c r="Y794" s="11">
        <v>102</v>
      </c>
      <c r="Z794" s="11">
        <v>6.7</v>
      </c>
      <c r="AA794" s="11">
        <v>1.66</v>
      </c>
      <c r="AB794" s="11">
        <v>880</v>
      </c>
      <c r="AC794" s="11"/>
      <c r="AD794" s="11" t="str">
        <f>IFERROR(__xludf.DUMMYFUNCTION("""COMPUTED_VALUE"""),"Virginia Madsen")</f>
        <v>Virginia Madsen</v>
      </c>
      <c r="AE794" s="11"/>
    </row>
    <row r="795" customHeight="1" spans="1:31">
      <c r="A795" s="12" t="s">
        <v>30</v>
      </c>
      <c r="B795" s="12" t="s">
        <v>2332</v>
      </c>
      <c r="C795" s="12">
        <v>172</v>
      </c>
      <c r="D795" s="12">
        <v>130</v>
      </c>
      <c r="E795" s="12">
        <v>545</v>
      </c>
      <c r="F795" s="12">
        <v>552</v>
      </c>
      <c r="G795" s="12">
        <v>722</v>
      </c>
      <c r="H795" s="12">
        <v>26616590</v>
      </c>
      <c r="I795" s="12" t="s">
        <v>4333</v>
      </c>
      <c r="J795" s="12" t="s">
        <v>3166</v>
      </c>
      <c r="K795" s="12" t="s">
        <v>2144</v>
      </c>
      <c r="L795" s="12" t="s">
        <v>3654</v>
      </c>
      <c r="M795" s="12" t="s">
        <v>4334</v>
      </c>
      <c r="N795" s="12">
        <v>120416</v>
      </c>
      <c r="O795" s="12">
        <v>2525</v>
      </c>
      <c r="P795" s="12">
        <v>0</v>
      </c>
      <c r="Q795" s="12" t="s">
        <v>4335</v>
      </c>
      <c r="R795" s="15" t="s">
        <v>4336</v>
      </c>
      <c r="S795" s="12">
        <v>857</v>
      </c>
      <c r="T795" s="12" t="s">
        <v>39</v>
      </c>
      <c r="U795" s="12" t="s">
        <v>58</v>
      </c>
      <c r="V795" s="12" t="s">
        <v>586</v>
      </c>
      <c r="W795" s="12">
        <v>60000000</v>
      </c>
      <c r="X795" s="12">
        <v>1997</v>
      </c>
      <c r="Y795" s="12">
        <v>585</v>
      </c>
      <c r="Z795" s="12">
        <v>6.7</v>
      </c>
      <c r="AA795" s="12">
        <v>2.35</v>
      </c>
      <c r="AB795" s="12">
        <v>10000</v>
      </c>
      <c r="AC795" s="12"/>
      <c r="AD795" s="12" t="str">
        <f>IFERROR(__xludf.DUMMYFUNCTION("""COMPUTED_VALUE"""),"Michael Jordan")</f>
        <v>Michael Jordan</v>
      </c>
      <c r="AE795" s="12"/>
    </row>
    <row r="796" customHeight="1" spans="1:31">
      <c r="A796" s="11" t="s">
        <v>30</v>
      </c>
      <c r="B796" s="11" t="s">
        <v>97</v>
      </c>
      <c r="C796" s="11">
        <v>703</v>
      </c>
      <c r="D796" s="11">
        <v>173</v>
      </c>
      <c r="E796" s="11">
        <v>0</v>
      </c>
      <c r="F796" s="11">
        <v>19000</v>
      </c>
      <c r="G796" s="11">
        <v>26000</v>
      </c>
      <c r="H796" s="11">
        <v>623279547</v>
      </c>
      <c r="I796" s="11" t="s">
        <v>73</v>
      </c>
      <c r="J796" s="11" t="s">
        <v>98</v>
      </c>
      <c r="K796" s="11" t="s">
        <v>99</v>
      </c>
      <c r="L796" s="11" t="s">
        <v>100</v>
      </c>
      <c r="M796" s="11" t="s">
        <v>155</v>
      </c>
      <c r="N796" s="11">
        <v>995415</v>
      </c>
      <c r="O796" s="11">
        <v>87697</v>
      </c>
      <c r="P796" s="11">
        <v>3</v>
      </c>
      <c r="Q796" s="11" t="s">
        <v>156</v>
      </c>
      <c r="R796" s="14" t="s">
        <v>157</v>
      </c>
      <c r="S796" s="11">
        <v>1722</v>
      </c>
      <c r="T796" s="11" t="s">
        <v>39</v>
      </c>
      <c r="U796" s="11" t="s">
        <v>40</v>
      </c>
      <c r="V796" s="11" t="s">
        <v>41</v>
      </c>
      <c r="W796" s="11">
        <v>220000000</v>
      </c>
      <c r="X796" s="11">
        <v>2012</v>
      </c>
      <c r="Y796" s="11">
        <v>21000</v>
      </c>
      <c r="Z796" s="11">
        <v>8.1</v>
      </c>
      <c r="AA796" s="11">
        <v>1.85</v>
      </c>
      <c r="AB796" s="11">
        <v>123000</v>
      </c>
      <c r="AC796" s="11"/>
      <c r="AD796" s="11" t="str">
        <f>IFERROR(__xludf.DUMMYFUNCTION("""COMPUTED_VALUE"""),"Roger Rees")</f>
        <v>Roger Rees</v>
      </c>
      <c r="AE796" s="11"/>
    </row>
    <row r="797" customHeight="1" spans="1:31">
      <c r="A797" s="12" t="s">
        <v>30</v>
      </c>
      <c r="B797" s="12" t="s">
        <v>515</v>
      </c>
      <c r="C797" s="12">
        <v>117</v>
      </c>
      <c r="D797" s="12">
        <v>104</v>
      </c>
      <c r="E797" s="12">
        <v>293</v>
      </c>
      <c r="F797" s="12">
        <v>256</v>
      </c>
      <c r="G797" s="12">
        <v>780</v>
      </c>
      <c r="H797" s="12">
        <v>30063805</v>
      </c>
      <c r="I797" s="12" t="s">
        <v>4337</v>
      </c>
      <c r="J797" s="12" t="s">
        <v>1047</v>
      </c>
      <c r="K797" s="12" t="s">
        <v>4338</v>
      </c>
      <c r="L797" s="12" t="s">
        <v>925</v>
      </c>
      <c r="M797" s="12" t="s">
        <v>4339</v>
      </c>
      <c r="N797" s="12">
        <v>31788</v>
      </c>
      <c r="O797" s="12">
        <v>2109</v>
      </c>
      <c r="P797" s="12">
        <v>0</v>
      </c>
      <c r="Q797" s="12" t="s">
        <v>4340</v>
      </c>
      <c r="R797" s="15" t="s">
        <v>4341</v>
      </c>
      <c r="S797" s="12">
        <v>243</v>
      </c>
      <c r="T797" s="12" t="s">
        <v>39</v>
      </c>
      <c r="U797" s="12" t="s">
        <v>40</v>
      </c>
      <c r="V797" s="12" t="s">
        <v>41</v>
      </c>
      <c r="W797" s="12">
        <v>60000000</v>
      </c>
      <c r="X797" s="12">
        <v>2002</v>
      </c>
      <c r="Y797" s="12">
        <v>265</v>
      </c>
      <c r="Z797" s="12">
        <v>6.1</v>
      </c>
      <c r="AA797" s="12">
        <v>2.35</v>
      </c>
      <c r="AB797" s="12">
        <v>0</v>
      </c>
      <c r="AC797" s="12"/>
      <c r="AD797" s="12" t="str">
        <f>IFERROR(__xludf.DUMMYFUNCTION("""COMPUTED_VALUE"""),"Henry Czerny")</f>
        <v>Henry Czerny</v>
      </c>
      <c r="AE797" s="12"/>
    </row>
    <row r="798" customHeight="1" spans="1:31">
      <c r="A798" s="11" t="s">
        <v>30</v>
      </c>
      <c r="B798" s="11" t="s">
        <v>2247</v>
      </c>
      <c r="C798" s="11">
        <v>240</v>
      </c>
      <c r="D798" s="11">
        <v>121</v>
      </c>
      <c r="E798" s="11">
        <v>0</v>
      </c>
      <c r="F798" s="11">
        <v>854</v>
      </c>
      <c r="G798" s="11">
        <v>19000</v>
      </c>
      <c r="H798" s="11">
        <v>22518325</v>
      </c>
      <c r="I798" s="11" t="s">
        <v>2142</v>
      </c>
      <c r="J798" s="11" t="s">
        <v>100</v>
      </c>
      <c r="K798" s="11" t="s">
        <v>4342</v>
      </c>
      <c r="L798" s="11" t="s">
        <v>3197</v>
      </c>
      <c r="M798" s="11" t="s">
        <v>4343</v>
      </c>
      <c r="N798" s="11">
        <v>63363</v>
      </c>
      <c r="O798" s="11">
        <v>22833</v>
      </c>
      <c r="P798" s="11">
        <v>0</v>
      </c>
      <c r="Q798" s="11" t="s">
        <v>4344</v>
      </c>
      <c r="R798" s="14" t="s">
        <v>4345</v>
      </c>
      <c r="S798" s="11">
        <v>644</v>
      </c>
      <c r="T798" s="11" t="s">
        <v>39</v>
      </c>
      <c r="U798" s="11" t="s">
        <v>768</v>
      </c>
      <c r="V798" s="11" t="s">
        <v>586</v>
      </c>
      <c r="W798" s="11">
        <v>50000000</v>
      </c>
      <c r="X798" s="11">
        <v>2006</v>
      </c>
      <c r="Y798" s="11">
        <v>972</v>
      </c>
      <c r="Z798" s="11">
        <v>5.6</v>
      </c>
      <c r="AA798" s="11">
        <v>2.35</v>
      </c>
      <c r="AB798" s="11">
        <v>0</v>
      </c>
      <c r="AC798" s="11"/>
      <c r="AD798" s="11" t="str">
        <f>IFERROR(__xludf.DUMMYFUNCTION("""COMPUTED_VALUE"""),"William Abadie")</f>
        <v>William Abadie</v>
      </c>
      <c r="AE798" s="11"/>
    </row>
    <row r="799" customHeight="1" spans="1:31">
      <c r="A799" s="12" t="s">
        <v>748</v>
      </c>
      <c r="B799" s="12" t="s">
        <v>4346</v>
      </c>
      <c r="C799" s="12">
        <v>123</v>
      </c>
      <c r="D799" s="12">
        <v>140</v>
      </c>
      <c r="E799" s="12">
        <v>23</v>
      </c>
      <c r="F799" s="12">
        <v>579</v>
      </c>
      <c r="G799" s="12">
        <v>11000</v>
      </c>
      <c r="H799" s="12">
        <v>13082288</v>
      </c>
      <c r="I799" s="12" t="s">
        <v>4347</v>
      </c>
      <c r="J799" s="12" t="s">
        <v>83</v>
      </c>
      <c r="K799" s="12" t="s">
        <v>273</v>
      </c>
      <c r="L799" s="12" t="s">
        <v>4348</v>
      </c>
      <c r="M799" s="12" t="s">
        <v>4349</v>
      </c>
      <c r="N799" s="12">
        <v>35565</v>
      </c>
      <c r="O799" s="12">
        <v>12634</v>
      </c>
      <c r="P799" s="12">
        <v>1</v>
      </c>
      <c r="Q799" s="12" t="s">
        <v>4350</v>
      </c>
      <c r="R799" s="15" t="s">
        <v>4351</v>
      </c>
      <c r="S799" s="12">
        <v>247</v>
      </c>
      <c r="T799" s="12" t="s">
        <v>39</v>
      </c>
      <c r="U799" s="12" t="s">
        <v>58</v>
      </c>
      <c r="V799" s="12" t="s">
        <v>41</v>
      </c>
      <c r="W799" s="12">
        <v>60000000</v>
      </c>
      <c r="X799" s="12">
        <v>2006</v>
      </c>
      <c r="Y799" s="12">
        <v>779</v>
      </c>
      <c r="Z799" s="12">
        <v>6.6</v>
      </c>
      <c r="AA799" s="12">
        <v>2.35</v>
      </c>
      <c r="AB799" s="12">
        <v>2000</v>
      </c>
      <c r="AC799" s="12"/>
      <c r="AD799" s="12" t="str">
        <f>IFERROR(__xludf.DUMMYFUNCTION("""COMPUTED_VALUE"""),"Juan Riedinger")</f>
        <v>Juan Riedinger</v>
      </c>
      <c r="AE799" s="12"/>
    </row>
    <row r="800" customHeight="1" spans="1:31">
      <c r="A800" s="11" t="s">
        <v>30</v>
      </c>
      <c r="B800" s="11" t="s">
        <v>4352</v>
      </c>
      <c r="C800" s="11">
        <v>110</v>
      </c>
      <c r="D800" s="11">
        <v>131</v>
      </c>
      <c r="E800" s="11">
        <v>37</v>
      </c>
      <c r="F800" s="11">
        <v>507</v>
      </c>
      <c r="G800" s="11">
        <v>968</v>
      </c>
      <c r="H800" s="11">
        <v>18208078</v>
      </c>
      <c r="I800" s="11" t="s">
        <v>923</v>
      </c>
      <c r="J800" s="11" t="s">
        <v>381</v>
      </c>
      <c r="K800" s="11" t="s">
        <v>472</v>
      </c>
      <c r="L800" s="11" t="s">
        <v>4353</v>
      </c>
      <c r="M800" s="11" t="s">
        <v>4354</v>
      </c>
      <c r="N800" s="11">
        <v>57100</v>
      </c>
      <c r="O800" s="11">
        <v>3012</v>
      </c>
      <c r="P800" s="11">
        <v>3</v>
      </c>
      <c r="Q800" s="11" t="s">
        <v>4355</v>
      </c>
      <c r="R800" s="14" t="s">
        <v>4356</v>
      </c>
      <c r="S800" s="11">
        <v>281</v>
      </c>
      <c r="T800" s="11" t="s">
        <v>39</v>
      </c>
      <c r="U800" s="11" t="s">
        <v>40</v>
      </c>
      <c r="V800" s="11" t="s">
        <v>586</v>
      </c>
      <c r="W800" s="11">
        <v>60000000</v>
      </c>
      <c r="X800" s="11">
        <v>2001</v>
      </c>
      <c r="Y800" s="11">
        <v>848</v>
      </c>
      <c r="Z800" s="11">
        <v>6.9</v>
      </c>
      <c r="AA800" s="11">
        <v>2.35</v>
      </c>
      <c r="AB800" s="11">
        <v>0</v>
      </c>
      <c r="AC800" s="11"/>
      <c r="AD800" s="11" t="str">
        <f>IFERROR(__xludf.DUMMYFUNCTION("""COMPUTED_VALUE"""),"Alex McArthur")</f>
        <v>Alex McArthur</v>
      </c>
      <c r="AE800" s="11"/>
    </row>
    <row r="801" customHeight="1" spans="1:31">
      <c r="A801" s="12" t="s">
        <v>30</v>
      </c>
      <c r="B801" s="12" t="s">
        <v>4357</v>
      </c>
      <c r="C801" s="12">
        <v>100</v>
      </c>
      <c r="D801" s="12">
        <v>91</v>
      </c>
      <c r="E801" s="12">
        <v>394</v>
      </c>
      <c r="F801" s="12">
        <v>68</v>
      </c>
      <c r="G801" s="12">
        <v>889</v>
      </c>
      <c r="H801" s="12">
        <v>14218868</v>
      </c>
      <c r="I801" s="12" t="s">
        <v>4333</v>
      </c>
      <c r="J801" s="12" t="s">
        <v>4358</v>
      </c>
      <c r="K801" s="12" t="s">
        <v>4359</v>
      </c>
      <c r="L801" s="12" t="s">
        <v>4360</v>
      </c>
      <c r="M801" s="12" t="s">
        <v>4361</v>
      </c>
      <c r="N801" s="12">
        <v>14596</v>
      </c>
      <c r="O801" s="12">
        <v>1262</v>
      </c>
      <c r="P801" s="12">
        <v>0</v>
      </c>
      <c r="Q801" s="12" t="s">
        <v>4362</v>
      </c>
      <c r="R801" s="15" t="s">
        <v>4363</v>
      </c>
      <c r="S801" s="12">
        <v>282</v>
      </c>
      <c r="T801" s="12" t="s">
        <v>39</v>
      </c>
      <c r="U801" s="12" t="s">
        <v>40</v>
      </c>
      <c r="V801" s="12" t="s">
        <v>41</v>
      </c>
      <c r="W801" s="12">
        <v>65000000</v>
      </c>
      <c r="X801" s="12">
        <v>2000</v>
      </c>
      <c r="Y801" s="12">
        <v>290</v>
      </c>
      <c r="Z801" s="12">
        <v>4.8</v>
      </c>
      <c r="AA801" s="12">
        <v>2.35</v>
      </c>
      <c r="AB801" s="12">
        <v>589</v>
      </c>
      <c r="AC801" s="12"/>
      <c r="AD801" s="12" t="str">
        <f>IFERROR(__xludf.DUMMYFUNCTION("""COMPUTED_VALUE"""),"Michael Potts")</f>
        <v>Michael Potts</v>
      </c>
      <c r="AE801" s="12"/>
    </row>
    <row r="802" customHeight="1" spans="1:31">
      <c r="A802" s="11" t="s">
        <v>30</v>
      </c>
      <c r="B802" s="11" t="s">
        <v>4364</v>
      </c>
      <c r="C802" s="11">
        <v>189</v>
      </c>
      <c r="D802" s="11">
        <v>118</v>
      </c>
      <c r="E802" s="11">
        <v>167</v>
      </c>
      <c r="F802" s="11">
        <v>778</v>
      </c>
      <c r="G802" s="11">
        <v>20000</v>
      </c>
      <c r="H802" s="11">
        <v>22451</v>
      </c>
      <c r="I802" s="11" t="s">
        <v>4365</v>
      </c>
      <c r="J802" s="11" t="s">
        <v>4366</v>
      </c>
      <c r="K802" s="11" t="s">
        <v>191</v>
      </c>
      <c r="L802" s="11" t="s">
        <v>4367</v>
      </c>
      <c r="M802" s="11" t="s">
        <v>4368</v>
      </c>
      <c r="N802" s="11">
        <v>41288</v>
      </c>
      <c r="O802" s="11">
        <v>22447</v>
      </c>
      <c r="P802" s="11">
        <v>0</v>
      </c>
      <c r="Q802" s="11" t="s">
        <v>4369</v>
      </c>
      <c r="R802" s="14" t="s">
        <v>4370</v>
      </c>
      <c r="S802" s="11">
        <v>126</v>
      </c>
      <c r="T802" s="11" t="s">
        <v>39</v>
      </c>
      <c r="U802" s="11" t="s">
        <v>40</v>
      </c>
      <c r="V802" s="11" t="s">
        <v>41</v>
      </c>
      <c r="W802" s="11">
        <v>60000000</v>
      </c>
      <c r="X802" s="11">
        <v>2014</v>
      </c>
      <c r="Y802" s="11">
        <v>882</v>
      </c>
      <c r="Z802" s="11">
        <v>6.2</v>
      </c>
      <c r="AA802" s="11">
        <v>2.35</v>
      </c>
      <c r="AB802" s="11">
        <v>17000</v>
      </c>
      <c r="AC802" s="11"/>
      <c r="AD802" s="11" t="str">
        <f>IFERROR(__xludf.DUMMYFUNCTION("""COMPUTED_VALUE"""),"Jim Parrack")</f>
        <v>Jim Parrack</v>
      </c>
      <c r="AE802" s="11"/>
    </row>
    <row r="803" customHeight="1" spans="1:31">
      <c r="A803" s="12" t="s">
        <v>30</v>
      </c>
      <c r="B803" s="12" t="s">
        <v>4371</v>
      </c>
      <c r="C803" s="12">
        <v>212</v>
      </c>
      <c r="D803" s="12">
        <v>130</v>
      </c>
      <c r="E803" s="12">
        <v>91</v>
      </c>
      <c r="F803" s="12">
        <v>1000</v>
      </c>
      <c r="G803" s="12">
        <v>5000</v>
      </c>
      <c r="H803" s="12">
        <v>31165421</v>
      </c>
      <c r="I803" s="12" t="s">
        <v>4372</v>
      </c>
      <c r="J803" s="12" t="s">
        <v>174</v>
      </c>
      <c r="K803" s="12" t="s">
        <v>4373</v>
      </c>
      <c r="L803" s="12" t="s">
        <v>33</v>
      </c>
      <c r="M803" s="12" t="s">
        <v>4374</v>
      </c>
      <c r="N803" s="12">
        <v>107028</v>
      </c>
      <c r="O803" s="12">
        <v>10247</v>
      </c>
      <c r="P803" s="12">
        <v>3</v>
      </c>
      <c r="Q803" s="12" t="s">
        <v>4375</v>
      </c>
      <c r="R803" s="15" t="s">
        <v>4376</v>
      </c>
      <c r="S803" s="12">
        <v>457</v>
      </c>
      <c r="T803" s="12" t="s">
        <v>39</v>
      </c>
      <c r="U803" s="12" t="s">
        <v>40</v>
      </c>
      <c r="V803" s="12" t="s">
        <v>41</v>
      </c>
      <c r="W803" s="12">
        <v>60000000</v>
      </c>
      <c r="X803" s="12">
        <v>2013</v>
      </c>
      <c r="Y803" s="12">
        <v>2000</v>
      </c>
      <c r="Z803" s="12">
        <v>6</v>
      </c>
      <c r="AA803" s="12">
        <v>2.35</v>
      </c>
      <c r="AB803" s="12">
        <v>44000</v>
      </c>
      <c r="AC803" s="12"/>
      <c r="AD803" s="12" t="str">
        <f>IFERROR(__xludf.DUMMYFUNCTION("""COMPUTED_VALUE"""),"Tom Cavanagh")</f>
        <v>Tom Cavanagh</v>
      </c>
      <c r="AE803" s="12"/>
    </row>
    <row r="804" customHeight="1" spans="1:31">
      <c r="A804" s="11" t="s">
        <v>30</v>
      </c>
      <c r="B804" s="11" t="s">
        <v>4100</v>
      </c>
      <c r="C804" s="11">
        <v>127</v>
      </c>
      <c r="D804" s="11">
        <v>90</v>
      </c>
      <c r="E804" s="11">
        <v>48</v>
      </c>
      <c r="F804" s="11">
        <v>196</v>
      </c>
      <c r="G804" s="11">
        <v>973</v>
      </c>
      <c r="H804" s="11">
        <v>11802056</v>
      </c>
      <c r="I804" s="11" t="s">
        <v>4377</v>
      </c>
      <c r="J804" s="11" t="s">
        <v>1424</v>
      </c>
      <c r="K804" s="11" t="s">
        <v>4378</v>
      </c>
      <c r="L804" s="11" t="s">
        <v>4379</v>
      </c>
      <c r="M804" s="11" t="s">
        <v>4380</v>
      </c>
      <c r="N804" s="11">
        <v>31640</v>
      </c>
      <c r="O804" s="11">
        <v>1865</v>
      </c>
      <c r="P804" s="11">
        <v>1</v>
      </c>
      <c r="Q804" s="11" t="s">
        <v>4381</v>
      </c>
      <c r="R804" s="14" t="s">
        <v>4382</v>
      </c>
      <c r="S804" s="11">
        <v>109</v>
      </c>
      <c r="T804" s="11" t="s">
        <v>39</v>
      </c>
      <c r="U804" s="11" t="s">
        <v>40</v>
      </c>
      <c r="V804" s="11" t="s">
        <v>96</v>
      </c>
      <c r="W804" s="11">
        <v>60000000</v>
      </c>
      <c r="X804" s="11">
        <v>2008</v>
      </c>
      <c r="Y804" s="11">
        <v>400</v>
      </c>
      <c r="Z804" s="11">
        <v>4.9</v>
      </c>
      <c r="AA804" s="11">
        <v>1.85</v>
      </c>
      <c r="AB804" s="11">
        <v>791</v>
      </c>
      <c r="AC804" s="11"/>
      <c r="AD804" s="11" t="str">
        <f>IFERROR(__xludf.DUMMYFUNCTION("""COMPUTED_VALUE"""),"Josh Robert Thompson")</f>
        <v>Josh Robert Thompson</v>
      </c>
      <c r="AE804" s="11"/>
    </row>
    <row r="805" customHeight="1" spans="1:31">
      <c r="A805" s="12" t="s">
        <v>30</v>
      </c>
      <c r="B805" s="12" t="s">
        <v>4383</v>
      </c>
      <c r="C805" s="12">
        <v>196</v>
      </c>
      <c r="D805" s="12">
        <v>103</v>
      </c>
      <c r="E805" s="12">
        <v>179</v>
      </c>
      <c r="F805" s="12">
        <v>87</v>
      </c>
      <c r="G805" s="12">
        <v>794</v>
      </c>
      <c r="H805" s="12">
        <v>25472967</v>
      </c>
      <c r="I805" s="12" t="s">
        <v>4384</v>
      </c>
      <c r="J805" s="12" t="s">
        <v>1342</v>
      </c>
      <c r="K805" s="12" t="s">
        <v>4385</v>
      </c>
      <c r="L805" s="12" t="s">
        <v>4386</v>
      </c>
      <c r="M805" s="12" t="s">
        <v>4387</v>
      </c>
      <c r="N805" s="12">
        <v>44966</v>
      </c>
      <c r="O805" s="12">
        <v>1467</v>
      </c>
      <c r="P805" s="12">
        <v>2</v>
      </c>
      <c r="Q805" s="12" t="s">
        <v>4388</v>
      </c>
      <c r="R805" s="15" t="s">
        <v>4389</v>
      </c>
      <c r="S805" s="12">
        <v>411</v>
      </c>
      <c r="T805" s="12" t="s">
        <v>39</v>
      </c>
      <c r="U805" s="12" t="s">
        <v>40</v>
      </c>
      <c r="V805" s="12" t="s">
        <v>41</v>
      </c>
      <c r="W805" s="12">
        <v>30000000</v>
      </c>
      <c r="X805" s="12">
        <v>2005</v>
      </c>
      <c r="Y805" s="12">
        <v>329</v>
      </c>
      <c r="Z805" s="12">
        <v>5.6</v>
      </c>
      <c r="AA805" s="12">
        <v>2.35</v>
      </c>
      <c r="AB805" s="12">
        <v>0</v>
      </c>
      <c r="AC805" s="12"/>
      <c r="AD805" s="12" t="str">
        <f>IFERROR(__xludf.DUMMYFUNCTION("""COMPUTED_VALUE"""),"Charles Napier")</f>
        <v>Charles Napier</v>
      </c>
      <c r="AE805" s="12"/>
    </row>
    <row r="806" customHeight="1" spans="1:31">
      <c r="A806" s="11" t="s">
        <v>30</v>
      </c>
      <c r="B806" s="11" t="s">
        <v>851</v>
      </c>
      <c r="C806" s="11">
        <v>115</v>
      </c>
      <c r="D806" s="11">
        <v>122</v>
      </c>
      <c r="E806" s="11">
        <v>2000</v>
      </c>
      <c r="F806" s="11">
        <v>1000</v>
      </c>
      <c r="G806" s="11">
        <v>11000</v>
      </c>
      <c r="H806" s="11">
        <v>22362500</v>
      </c>
      <c r="I806" s="11" t="s">
        <v>2528</v>
      </c>
      <c r="J806" s="11" t="s">
        <v>661</v>
      </c>
      <c r="K806" s="11" t="s">
        <v>2866</v>
      </c>
      <c r="L806" s="11" t="s">
        <v>1332</v>
      </c>
      <c r="M806" s="11" t="s">
        <v>4390</v>
      </c>
      <c r="N806" s="11">
        <v>35599</v>
      </c>
      <c r="O806" s="11">
        <v>15275</v>
      </c>
      <c r="P806" s="11">
        <v>0</v>
      </c>
      <c r="Q806" s="11" t="s">
        <v>4391</v>
      </c>
      <c r="R806" s="14" t="s">
        <v>4392</v>
      </c>
      <c r="S806" s="11">
        <v>195</v>
      </c>
      <c r="T806" s="11" t="s">
        <v>39</v>
      </c>
      <c r="U806" s="11" t="s">
        <v>40</v>
      </c>
      <c r="V806" s="11" t="s">
        <v>41</v>
      </c>
      <c r="W806" s="11">
        <v>55000000</v>
      </c>
      <c r="X806" s="11">
        <v>1999</v>
      </c>
      <c r="Y806" s="11">
        <v>1000</v>
      </c>
      <c r="Z806" s="11">
        <v>6.1</v>
      </c>
      <c r="AA806" s="11">
        <v>1.85</v>
      </c>
      <c r="AB806" s="11">
        <v>641</v>
      </c>
      <c r="AC806" s="11"/>
      <c r="AD806" s="11" t="str">
        <f>IFERROR(__xludf.DUMMYFUNCTION("""COMPUTED_VALUE"""),"Zahn McClarnon")</f>
        <v>Zahn McClarnon</v>
      </c>
      <c r="AE806" s="11"/>
    </row>
    <row r="807" customHeight="1" spans="1:31">
      <c r="A807" s="12" t="s">
        <v>30</v>
      </c>
      <c r="B807" s="12" t="s">
        <v>4393</v>
      </c>
      <c r="C807" s="12">
        <v>161</v>
      </c>
      <c r="D807" s="12">
        <v>106</v>
      </c>
      <c r="E807" s="12">
        <v>34</v>
      </c>
      <c r="F807" s="12">
        <v>466</v>
      </c>
      <c r="G807" s="12">
        <v>3000</v>
      </c>
      <c r="H807" s="12">
        <v>17281832</v>
      </c>
      <c r="I807" s="12" t="s">
        <v>200</v>
      </c>
      <c r="J807" s="12" t="s">
        <v>503</v>
      </c>
      <c r="K807" s="12" t="s">
        <v>160</v>
      </c>
      <c r="L807" s="12" t="s">
        <v>4394</v>
      </c>
      <c r="M807" s="12" t="s">
        <v>4395</v>
      </c>
      <c r="N807" s="12">
        <v>60232</v>
      </c>
      <c r="O807" s="12">
        <v>5329</v>
      </c>
      <c r="P807" s="12">
        <v>3</v>
      </c>
      <c r="Q807" s="12" t="s">
        <v>4396</v>
      </c>
      <c r="R807" s="15" t="s">
        <v>4397</v>
      </c>
      <c r="S807" s="12">
        <v>110</v>
      </c>
      <c r="T807" s="12" t="s">
        <v>39</v>
      </c>
      <c r="U807" s="12" t="s">
        <v>768</v>
      </c>
      <c r="V807" s="12" t="s">
        <v>96</v>
      </c>
      <c r="W807" s="12">
        <v>60000000</v>
      </c>
      <c r="X807" s="12">
        <v>2008</v>
      </c>
      <c r="Y807" s="12">
        <v>1000</v>
      </c>
      <c r="Z807" s="12">
        <v>6.1</v>
      </c>
      <c r="AA807" s="12">
        <v>2.35</v>
      </c>
      <c r="AB807" s="12">
        <v>0</v>
      </c>
      <c r="AC807" s="12"/>
      <c r="AD807" s="12" t="str">
        <f>IFERROR(__xludf.DUMMYFUNCTION("""COMPUTED_VALUE"""),"Leslie Bibb")</f>
        <v>Leslie Bibb</v>
      </c>
      <c r="AE807" s="12"/>
    </row>
    <row r="808" customHeight="1" spans="1:31">
      <c r="A808" s="11" t="s">
        <v>30</v>
      </c>
      <c r="B808" s="11" t="s">
        <v>3828</v>
      </c>
      <c r="C808" s="11">
        <v>223</v>
      </c>
      <c r="D808" s="11">
        <v>103</v>
      </c>
      <c r="E808" s="11">
        <v>436</v>
      </c>
      <c r="F808" s="11">
        <v>437</v>
      </c>
      <c r="G808" s="11">
        <v>19000</v>
      </c>
      <c r="H808" s="11">
        <v>19781879</v>
      </c>
      <c r="I808" s="11" t="s">
        <v>3004</v>
      </c>
      <c r="J808" s="11" t="s">
        <v>100</v>
      </c>
      <c r="K808" s="11" t="s">
        <v>751</v>
      </c>
      <c r="L808" s="11" t="s">
        <v>4398</v>
      </c>
      <c r="M808" s="11" t="s">
        <v>4399</v>
      </c>
      <c r="N808" s="11">
        <v>53864</v>
      </c>
      <c r="O808" s="11">
        <v>20881</v>
      </c>
      <c r="P808" s="11">
        <v>1</v>
      </c>
      <c r="Q808" s="11" t="s">
        <v>4400</v>
      </c>
      <c r="R808" s="14" t="s">
        <v>4401</v>
      </c>
      <c r="S808" s="11">
        <v>290</v>
      </c>
      <c r="T808" s="11" t="s">
        <v>39</v>
      </c>
      <c r="U808" s="11" t="s">
        <v>40</v>
      </c>
      <c r="V808" s="11" t="s">
        <v>41</v>
      </c>
      <c r="W808" s="11">
        <v>60000000</v>
      </c>
      <c r="X808" s="11">
        <v>2008</v>
      </c>
      <c r="Y808" s="11">
        <v>961</v>
      </c>
      <c r="Z808" s="11">
        <v>4.8</v>
      </c>
      <c r="AA808" s="11">
        <v>2.35</v>
      </c>
      <c r="AB808" s="11">
        <v>2000</v>
      </c>
      <c r="AC808" s="11"/>
      <c r="AD808" s="11" t="str">
        <f>IFERROR(__xludf.DUMMYFUNCTION("""COMPUTED_VALUE"""),"Nicholas Turturro")</f>
        <v>Nicholas Turturro</v>
      </c>
      <c r="AE808" s="11"/>
    </row>
    <row r="809" customHeight="1" spans="1:31">
      <c r="A809" s="12" t="s">
        <v>30</v>
      </c>
      <c r="B809" s="12" t="s">
        <v>4402</v>
      </c>
      <c r="C809" s="12">
        <v>181</v>
      </c>
      <c r="D809" s="12">
        <v>107</v>
      </c>
      <c r="E809" s="12">
        <v>192</v>
      </c>
      <c r="F809" s="12">
        <v>280</v>
      </c>
      <c r="G809" s="12">
        <v>40000</v>
      </c>
      <c r="H809" s="12">
        <v>7605668</v>
      </c>
      <c r="I809" s="12" t="s">
        <v>4403</v>
      </c>
      <c r="J809" s="12" t="s">
        <v>44</v>
      </c>
      <c r="K809" s="12" t="s">
        <v>4404</v>
      </c>
      <c r="L809" s="12" t="s">
        <v>4405</v>
      </c>
      <c r="M809" s="12" t="s">
        <v>4406</v>
      </c>
      <c r="N809" s="12">
        <v>47320</v>
      </c>
      <c r="O809" s="12">
        <v>42683</v>
      </c>
      <c r="P809" s="12">
        <v>2</v>
      </c>
      <c r="Q809" s="12" t="s">
        <v>4407</v>
      </c>
      <c r="R809" s="15" t="s">
        <v>4408</v>
      </c>
      <c r="S809" s="12">
        <v>188</v>
      </c>
      <c r="T809" s="12" t="s">
        <v>39</v>
      </c>
      <c r="U809" s="12" t="s">
        <v>58</v>
      </c>
      <c r="V809" s="12" t="s">
        <v>586</v>
      </c>
      <c r="W809" s="12">
        <v>60000000</v>
      </c>
      <c r="X809" s="12">
        <v>2015</v>
      </c>
      <c r="Y809" s="12">
        <v>2000</v>
      </c>
      <c r="Z809" s="12">
        <v>5.5</v>
      </c>
      <c r="AA809" s="12">
        <v>2.35</v>
      </c>
      <c r="AB809" s="12">
        <v>12000</v>
      </c>
      <c r="AC809" s="12"/>
      <c r="AD809" s="12" t="str">
        <f>IFERROR(__xludf.DUMMYFUNCTION("""COMPUTED_VALUE"""),"June Lockhart")</f>
        <v>June Lockhart</v>
      </c>
      <c r="AE809" s="12"/>
    </row>
    <row r="810" customHeight="1" spans="1:31">
      <c r="A810" s="11" t="s">
        <v>30</v>
      </c>
      <c r="B810" s="11" t="s">
        <v>4409</v>
      </c>
      <c r="C810" s="11">
        <v>140</v>
      </c>
      <c r="D810" s="11">
        <v>156</v>
      </c>
      <c r="E810" s="11">
        <v>892</v>
      </c>
      <c r="F810" s="11">
        <v>102</v>
      </c>
      <c r="G810" s="11">
        <v>26000</v>
      </c>
      <c r="H810" s="11">
        <v>4535117</v>
      </c>
      <c r="I810" s="11" t="s">
        <v>1931</v>
      </c>
      <c r="J810" s="11" t="s">
        <v>335</v>
      </c>
      <c r="K810" s="11" t="s">
        <v>4410</v>
      </c>
      <c r="L810" s="11" t="s">
        <v>4411</v>
      </c>
      <c r="M810" s="11" t="s">
        <v>4412</v>
      </c>
      <c r="N810" s="11">
        <v>38398</v>
      </c>
      <c r="O810" s="11">
        <v>26564</v>
      </c>
      <c r="P810" s="11">
        <v>3</v>
      </c>
      <c r="Q810" s="11" t="s">
        <v>4413</v>
      </c>
      <c r="R810" s="14" t="s">
        <v>4414</v>
      </c>
      <c r="S810" s="11">
        <v>368</v>
      </c>
      <c r="T810" s="11" t="s">
        <v>39</v>
      </c>
      <c r="U810" s="11" t="s">
        <v>768</v>
      </c>
      <c r="V810" s="11" t="s">
        <v>41</v>
      </c>
      <c r="W810" s="11">
        <v>60000000</v>
      </c>
      <c r="X810" s="11">
        <v>2007</v>
      </c>
      <c r="Y810" s="11">
        <v>368</v>
      </c>
      <c r="Z810" s="11">
        <v>3.8</v>
      </c>
      <c r="AA810" s="11">
        <v>2.35</v>
      </c>
      <c r="AB810" s="11">
        <v>0</v>
      </c>
      <c r="AC810" s="11"/>
      <c r="AD810" s="11" t="str">
        <f>IFERROR(__xludf.DUMMYFUNCTION("""COMPUTED_VALUE"""),"Dorian Missick")</f>
        <v>Dorian Missick</v>
      </c>
      <c r="AE810" s="11"/>
    </row>
    <row r="811" customHeight="1" spans="1:31">
      <c r="A811" s="12" t="s">
        <v>30</v>
      </c>
      <c r="B811" s="12" t="s">
        <v>314</v>
      </c>
      <c r="C811" s="12">
        <v>54</v>
      </c>
      <c r="D811" s="12">
        <v>127</v>
      </c>
      <c r="E811" s="12">
        <v>258</v>
      </c>
      <c r="F811" s="12">
        <v>617</v>
      </c>
      <c r="G811" s="12">
        <v>11000</v>
      </c>
      <c r="H811" s="12">
        <v>4426297</v>
      </c>
      <c r="I811" s="12" t="s">
        <v>1222</v>
      </c>
      <c r="J811" s="12" t="s">
        <v>565</v>
      </c>
      <c r="K811" s="12" t="s">
        <v>1748</v>
      </c>
      <c r="L811" s="12" t="s">
        <v>1469</v>
      </c>
      <c r="M811" s="12" t="s">
        <v>4415</v>
      </c>
      <c r="N811" s="12">
        <v>22570</v>
      </c>
      <c r="O811" s="12">
        <v>12947</v>
      </c>
      <c r="P811" s="12">
        <v>2</v>
      </c>
      <c r="Q811" s="12" t="s">
        <v>4416</v>
      </c>
      <c r="R811" s="15" t="s">
        <v>4417</v>
      </c>
      <c r="S811" s="12">
        <v>156</v>
      </c>
      <c r="T811" s="12" t="s">
        <v>39</v>
      </c>
      <c r="U811" s="12" t="s">
        <v>40</v>
      </c>
      <c r="V811" s="12" t="s">
        <v>586</v>
      </c>
      <c r="W811" s="12">
        <v>35000000</v>
      </c>
      <c r="X811" s="12">
        <v>2003</v>
      </c>
      <c r="Y811" s="12">
        <v>708</v>
      </c>
      <c r="Z811" s="12">
        <v>6.5</v>
      </c>
      <c r="AA811" s="12">
        <v>2.35</v>
      </c>
      <c r="AB811" s="12">
        <v>0</v>
      </c>
      <c r="AC811" s="12"/>
      <c r="AD811" s="12" t="str">
        <f>IFERROR(__xludf.DUMMYFUNCTION("""COMPUTED_VALUE"""),"Jose Pablo Cantillo")</f>
        <v>Jose Pablo Cantillo</v>
      </c>
      <c r="AE811" s="12"/>
    </row>
    <row r="812" customHeight="1" spans="1:31">
      <c r="A812" s="11" t="s">
        <v>30</v>
      </c>
      <c r="B812" s="11" t="s">
        <v>4418</v>
      </c>
      <c r="C812" s="11">
        <v>14</v>
      </c>
      <c r="D812" s="11">
        <v>119</v>
      </c>
      <c r="E812" s="11">
        <v>3</v>
      </c>
      <c r="F812" s="11">
        <v>22</v>
      </c>
      <c r="G812" s="11">
        <v>879</v>
      </c>
      <c r="H812" s="13"/>
      <c r="I812" s="11" t="s">
        <v>43</v>
      </c>
      <c r="J812" s="11" t="s">
        <v>2413</v>
      </c>
      <c r="K812" s="11" t="s">
        <v>4419</v>
      </c>
      <c r="L812" s="11" t="s">
        <v>4420</v>
      </c>
      <c r="M812" s="11" t="s">
        <v>4421</v>
      </c>
      <c r="N812" s="11">
        <v>1212</v>
      </c>
      <c r="O812" s="11">
        <v>1026</v>
      </c>
      <c r="P812" s="11">
        <v>1</v>
      </c>
      <c r="Q812" s="11" t="s">
        <v>4422</v>
      </c>
      <c r="R812" s="14" t="s">
        <v>4423</v>
      </c>
      <c r="S812" s="11">
        <v>9</v>
      </c>
      <c r="T812" s="11" t="s">
        <v>39</v>
      </c>
      <c r="U812" s="11" t="s">
        <v>893</v>
      </c>
      <c r="V812" s="13"/>
      <c r="W812" s="11">
        <v>68005000</v>
      </c>
      <c r="X812" s="11">
        <v>2016</v>
      </c>
      <c r="Y812" s="11">
        <v>107</v>
      </c>
      <c r="Z812" s="11">
        <v>6</v>
      </c>
      <c r="AA812" s="11">
        <v>2.35</v>
      </c>
      <c r="AB812" s="11">
        <v>426</v>
      </c>
      <c r="AC812" s="11"/>
      <c r="AD812" s="11" t="str">
        <f>IFERROR(__xludf.DUMMYFUNCTION("""COMPUTED_VALUE"""),"Michael Brandon")</f>
        <v>Michael Brandon</v>
      </c>
      <c r="AE812" s="11"/>
    </row>
    <row r="813" customHeight="1" spans="1:31">
      <c r="A813" s="12" t="s">
        <v>748</v>
      </c>
      <c r="B813" s="12" t="s">
        <v>4424</v>
      </c>
      <c r="C813" s="12">
        <v>81</v>
      </c>
      <c r="D813" s="12">
        <v>132</v>
      </c>
      <c r="E813" s="12">
        <v>131</v>
      </c>
      <c r="F813" s="12">
        <v>242</v>
      </c>
      <c r="G813" s="12">
        <v>11000</v>
      </c>
      <c r="H813" s="12">
        <v>10166502</v>
      </c>
      <c r="I813" s="12" t="s">
        <v>1467</v>
      </c>
      <c r="J813" s="12" t="s">
        <v>83</v>
      </c>
      <c r="K813" s="12" t="s">
        <v>4425</v>
      </c>
      <c r="L813" s="12" t="s">
        <v>4426</v>
      </c>
      <c r="M813" s="12" t="s">
        <v>4427</v>
      </c>
      <c r="N813" s="12">
        <v>18209</v>
      </c>
      <c r="O813" s="12">
        <v>12133</v>
      </c>
      <c r="P813" s="12">
        <v>0</v>
      </c>
      <c r="Q813" s="12" t="s">
        <v>4428</v>
      </c>
      <c r="R813" s="15" t="s">
        <v>4429</v>
      </c>
      <c r="S813" s="12">
        <v>183</v>
      </c>
      <c r="T813" s="12" t="s">
        <v>4430</v>
      </c>
      <c r="U813" s="12" t="s">
        <v>40</v>
      </c>
      <c r="V813" s="12" t="s">
        <v>586</v>
      </c>
      <c r="W813" s="12">
        <v>80000000</v>
      </c>
      <c r="X813" s="12">
        <v>2005</v>
      </c>
      <c r="Y813" s="12">
        <v>298</v>
      </c>
      <c r="Z813" s="12">
        <v>6.7</v>
      </c>
      <c r="AA813" s="12">
        <v>2.35</v>
      </c>
      <c r="AB813" s="12">
        <v>0</v>
      </c>
      <c r="AC813" s="12"/>
      <c r="AD813" s="12" t="str">
        <f>IFERROR(__xludf.DUMMYFUNCTION("""COMPUTED_VALUE"""),"Fran Drescher")</f>
        <v>Fran Drescher</v>
      </c>
      <c r="AE813" s="12"/>
    </row>
    <row r="814" customHeight="1" spans="1:31">
      <c r="A814" s="11" t="s">
        <v>30</v>
      </c>
      <c r="B814" s="11" t="s">
        <v>4431</v>
      </c>
      <c r="C814" s="11">
        <v>579</v>
      </c>
      <c r="D814" s="11">
        <v>108</v>
      </c>
      <c r="E814" s="11">
        <v>84</v>
      </c>
      <c r="F814" s="11">
        <v>361</v>
      </c>
      <c r="G814" s="11">
        <v>16000</v>
      </c>
      <c r="H814" s="11">
        <v>363024263</v>
      </c>
      <c r="I814" s="11" t="s">
        <v>4432</v>
      </c>
      <c r="J814" s="11" t="s">
        <v>315</v>
      </c>
      <c r="K814" s="11" t="s">
        <v>4433</v>
      </c>
      <c r="L814" s="11" t="s">
        <v>4434</v>
      </c>
      <c r="M814" s="11" t="s">
        <v>4435</v>
      </c>
      <c r="N814" s="11">
        <v>479047</v>
      </c>
      <c r="O814" s="11">
        <v>18239</v>
      </c>
      <c r="P814" s="11">
        <v>0</v>
      </c>
      <c r="Q814" s="11" t="s">
        <v>4436</v>
      </c>
      <c r="R814" s="14" t="s">
        <v>4437</v>
      </c>
      <c r="S814" s="11">
        <v>1058</v>
      </c>
      <c r="T814" s="11" t="s">
        <v>39</v>
      </c>
      <c r="U814" s="11" t="s">
        <v>40</v>
      </c>
      <c r="V814" s="11" t="s">
        <v>586</v>
      </c>
      <c r="W814" s="11">
        <v>58000000</v>
      </c>
      <c r="X814" s="11">
        <v>2016</v>
      </c>
      <c r="Y814" s="11">
        <v>805</v>
      </c>
      <c r="Z814" s="11">
        <v>8.1</v>
      </c>
      <c r="AA814" s="11">
        <v>2.35</v>
      </c>
      <c r="AB814" s="11">
        <v>117000</v>
      </c>
      <c r="AC814" s="11"/>
      <c r="AD814" s="11" t="str">
        <f>IFERROR(__xludf.DUMMYFUNCTION("""COMPUTED_VALUE"""),"Elizabeth Montgomery")</f>
        <v>Elizabeth Montgomery</v>
      </c>
      <c r="AE814" s="11"/>
    </row>
    <row r="815" customHeight="1" spans="1:31">
      <c r="A815" s="12" t="s">
        <v>30</v>
      </c>
      <c r="B815" s="12" t="s">
        <v>4438</v>
      </c>
      <c r="C815" s="12">
        <v>56</v>
      </c>
      <c r="D815" s="12">
        <v>114</v>
      </c>
      <c r="E815" s="12">
        <v>65</v>
      </c>
      <c r="F815" s="12">
        <v>440</v>
      </c>
      <c r="G815" s="12">
        <v>743</v>
      </c>
      <c r="H815" s="12">
        <v>12065985</v>
      </c>
      <c r="I815" s="12" t="s">
        <v>2528</v>
      </c>
      <c r="J815" s="12" t="s">
        <v>1640</v>
      </c>
      <c r="K815" s="12" t="s">
        <v>4439</v>
      </c>
      <c r="L815" s="12" t="s">
        <v>4440</v>
      </c>
      <c r="M815" s="12" t="s">
        <v>4441</v>
      </c>
      <c r="N815" s="12">
        <v>16260</v>
      </c>
      <c r="O815" s="12">
        <v>2367</v>
      </c>
      <c r="P815" s="12">
        <v>1</v>
      </c>
      <c r="Q815" s="12" t="s">
        <v>4442</v>
      </c>
      <c r="R815" s="15" t="s">
        <v>4443</v>
      </c>
      <c r="S815" s="12">
        <v>88</v>
      </c>
      <c r="T815" s="12" t="s">
        <v>39</v>
      </c>
      <c r="U815" s="12" t="s">
        <v>40</v>
      </c>
      <c r="V815" s="12" t="s">
        <v>96</v>
      </c>
      <c r="W815" s="12">
        <v>60000000</v>
      </c>
      <c r="X815" s="12">
        <v>1998</v>
      </c>
      <c r="Y815" s="12">
        <v>730</v>
      </c>
      <c r="Z815" s="12">
        <v>4.9</v>
      </c>
      <c r="AA815" s="12">
        <v>2.35</v>
      </c>
      <c r="AB815" s="12">
        <v>296</v>
      </c>
      <c r="AC815" s="12"/>
      <c r="AD815" s="12" t="str">
        <f>IFERROR(__xludf.DUMMYFUNCTION("""COMPUTED_VALUE"""),"Agnes Moorehead")</f>
        <v>Agnes Moorehead</v>
      </c>
      <c r="AE815" s="12"/>
    </row>
    <row r="816" customHeight="1" spans="1:31">
      <c r="A816" s="11" t="s">
        <v>30</v>
      </c>
      <c r="B816" s="11" t="s">
        <v>3695</v>
      </c>
      <c r="C816" s="11">
        <v>490</v>
      </c>
      <c r="D816" s="11">
        <v>133</v>
      </c>
      <c r="E816" s="11">
        <v>16000</v>
      </c>
      <c r="F816" s="11">
        <v>318</v>
      </c>
      <c r="G816" s="11">
        <v>14000</v>
      </c>
      <c r="H816" s="11">
        <v>350123553</v>
      </c>
      <c r="I816" s="11" t="s">
        <v>4444</v>
      </c>
      <c r="J816" s="11" t="s">
        <v>655</v>
      </c>
      <c r="K816" s="11" t="s">
        <v>4445</v>
      </c>
      <c r="L816" s="11" t="s">
        <v>4446</v>
      </c>
      <c r="M816" s="11" t="s">
        <v>4447</v>
      </c>
      <c r="N816" s="11">
        <v>325264</v>
      </c>
      <c r="O816" s="11">
        <v>16277</v>
      </c>
      <c r="P816" s="11">
        <v>0</v>
      </c>
      <c r="Q816" s="11" t="s">
        <v>4448</v>
      </c>
      <c r="R816" s="14" t="s">
        <v>4449</v>
      </c>
      <c r="S816" s="11">
        <v>916</v>
      </c>
      <c r="T816" s="11" t="s">
        <v>39</v>
      </c>
      <c r="U816" s="11" t="s">
        <v>40</v>
      </c>
      <c r="V816" s="11" t="s">
        <v>586</v>
      </c>
      <c r="W816" s="11">
        <v>58800000</v>
      </c>
      <c r="X816" s="11">
        <v>2014</v>
      </c>
      <c r="Y816" s="11">
        <v>962</v>
      </c>
      <c r="Z816" s="11">
        <v>7.3</v>
      </c>
      <c r="AA816" s="11">
        <v>2.35</v>
      </c>
      <c r="AB816" s="11">
        <v>112000</v>
      </c>
      <c r="AC816" s="11"/>
      <c r="AD816" s="11" t="str">
        <f>IFERROR(__xludf.DUMMYFUNCTION("""COMPUTED_VALUE"""),"Dick York")</f>
        <v>Dick York</v>
      </c>
      <c r="AE816" s="11"/>
    </row>
    <row r="817" customHeight="1" spans="1:31">
      <c r="A817" s="12" t="s">
        <v>30</v>
      </c>
      <c r="B817" s="12" t="s">
        <v>477</v>
      </c>
      <c r="C817" s="12">
        <v>218</v>
      </c>
      <c r="D817" s="12">
        <v>103</v>
      </c>
      <c r="E817" s="12">
        <v>11</v>
      </c>
      <c r="F817" s="12">
        <v>543</v>
      </c>
      <c r="G817" s="12">
        <v>2000</v>
      </c>
      <c r="H817" s="12">
        <v>80021740</v>
      </c>
      <c r="I817" s="12" t="s">
        <v>4450</v>
      </c>
      <c r="J817" s="12" t="s">
        <v>4451</v>
      </c>
      <c r="K817" s="12" t="s">
        <v>4452</v>
      </c>
      <c r="L817" s="12" t="s">
        <v>4453</v>
      </c>
      <c r="M817" s="12" t="s">
        <v>4454</v>
      </c>
      <c r="N817" s="12">
        <v>47968</v>
      </c>
      <c r="O817" s="12">
        <v>5497</v>
      </c>
      <c r="P817" s="12">
        <v>4</v>
      </c>
      <c r="Q817" s="12" t="s">
        <v>4455</v>
      </c>
      <c r="R817" s="15" t="s">
        <v>4456</v>
      </c>
      <c r="S817" s="12">
        <v>154</v>
      </c>
      <c r="T817" s="12" t="s">
        <v>39</v>
      </c>
      <c r="U817" s="12" t="s">
        <v>40</v>
      </c>
      <c r="V817" s="12" t="s">
        <v>96</v>
      </c>
      <c r="W817" s="12">
        <v>58000000</v>
      </c>
      <c r="X817" s="12">
        <v>2015</v>
      </c>
      <c r="Y817" s="12">
        <v>1000</v>
      </c>
      <c r="Z817" s="12">
        <v>6.4</v>
      </c>
      <c r="AA817" s="12">
        <v>2.35</v>
      </c>
      <c r="AB817" s="12">
        <v>35000</v>
      </c>
      <c r="AC817" s="12"/>
      <c r="AD817" s="12" t="str">
        <f>IFERROR(__xludf.DUMMYFUNCTION("""COMPUTED_VALUE"""),"Quincy Jones")</f>
        <v>Quincy Jones</v>
      </c>
      <c r="AE817" s="12"/>
    </row>
    <row r="818" customHeight="1" spans="1:31">
      <c r="A818" s="11" t="s">
        <v>30</v>
      </c>
      <c r="B818" s="13"/>
      <c r="C818" s="11">
        <v>20</v>
      </c>
      <c r="D818" s="11">
        <v>22</v>
      </c>
      <c r="E818" s="13"/>
      <c r="F818" s="11">
        <v>271</v>
      </c>
      <c r="G818" s="11">
        <v>870</v>
      </c>
      <c r="H818" s="13"/>
      <c r="I818" s="11" t="s">
        <v>516</v>
      </c>
      <c r="J818" s="11" t="s">
        <v>4457</v>
      </c>
      <c r="K818" s="11" t="s">
        <v>4458</v>
      </c>
      <c r="L818" s="11" t="s">
        <v>4459</v>
      </c>
      <c r="M818" s="11" t="s">
        <v>4460</v>
      </c>
      <c r="N818" s="11">
        <v>24420</v>
      </c>
      <c r="O818" s="11">
        <v>2433</v>
      </c>
      <c r="P818" s="11">
        <v>1</v>
      </c>
      <c r="Q818" s="11" t="s">
        <v>4461</v>
      </c>
      <c r="R818" s="14" t="s">
        <v>4462</v>
      </c>
      <c r="S818" s="11">
        <v>94</v>
      </c>
      <c r="T818" s="11" t="s">
        <v>39</v>
      </c>
      <c r="U818" s="11" t="s">
        <v>40</v>
      </c>
      <c r="V818" s="11" t="s">
        <v>2750</v>
      </c>
      <c r="W818" s="11">
        <v>3000000</v>
      </c>
      <c r="X818" s="13"/>
      <c r="Y818" s="11">
        <v>558</v>
      </c>
      <c r="Z818" s="11">
        <v>6.6</v>
      </c>
      <c r="AA818" s="11">
        <v>1.33</v>
      </c>
      <c r="AB818" s="11">
        <v>990</v>
      </c>
      <c r="AC818" s="11"/>
      <c r="AD818" s="11" t="str">
        <f>IFERROR(__xludf.DUMMYFUNCTION("""COMPUTED_VALUE"""),"Penn Jillette")</f>
        <v>Penn Jillette</v>
      </c>
      <c r="AE818" s="11"/>
    </row>
    <row r="819" customHeight="1" spans="1:31">
      <c r="A819" s="12" t="s">
        <v>30</v>
      </c>
      <c r="B819" s="12" t="s">
        <v>2043</v>
      </c>
      <c r="C819" s="12">
        <v>142</v>
      </c>
      <c r="D819" s="12">
        <v>95</v>
      </c>
      <c r="E819" s="12">
        <v>70</v>
      </c>
      <c r="F819" s="12">
        <v>512</v>
      </c>
      <c r="G819" s="12">
        <v>970</v>
      </c>
      <c r="H819" s="12">
        <v>48291624</v>
      </c>
      <c r="I819" s="12" t="s">
        <v>3632</v>
      </c>
      <c r="J819" s="12" t="s">
        <v>1951</v>
      </c>
      <c r="K819" s="12" t="s">
        <v>1708</v>
      </c>
      <c r="L819" s="12" t="s">
        <v>4463</v>
      </c>
      <c r="M819" s="12" t="s">
        <v>4464</v>
      </c>
      <c r="N819" s="12">
        <v>82819</v>
      </c>
      <c r="O819" s="12">
        <v>2876</v>
      </c>
      <c r="P819" s="12">
        <v>1</v>
      </c>
      <c r="Q819" s="12" t="s">
        <v>4465</v>
      </c>
      <c r="R819" s="15" t="s">
        <v>4466</v>
      </c>
      <c r="S819" s="12">
        <v>263</v>
      </c>
      <c r="T819" s="12" t="s">
        <v>39</v>
      </c>
      <c r="U819" s="12" t="s">
        <v>40</v>
      </c>
      <c r="V819" s="12" t="s">
        <v>41</v>
      </c>
      <c r="W819" s="12">
        <v>58000000</v>
      </c>
      <c r="X819" s="12">
        <v>2005</v>
      </c>
      <c r="Y819" s="12">
        <v>834</v>
      </c>
      <c r="Z819" s="12">
        <v>6.7</v>
      </c>
      <c r="AA819" s="12">
        <v>1.85</v>
      </c>
      <c r="AB819" s="12">
        <v>0</v>
      </c>
      <c r="AC819" s="12"/>
      <c r="AD819" s="12" t="str">
        <f>IFERROR(__xludf.DUMMYFUNCTION("""COMPUTED_VALUE"""),"Russi Taylor")</f>
        <v>Russi Taylor</v>
      </c>
      <c r="AE819" s="12"/>
    </row>
    <row r="820" customHeight="1" spans="1:31">
      <c r="A820" s="11" t="s">
        <v>30</v>
      </c>
      <c r="B820" s="11" t="s">
        <v>4108</v>
      </c>
      <c r="C820" s="11">
        <v>57</v>
      </c>
      <c r="D820" s="11">
        <v>90</v>
      </c>
      <c r="E820" s="11">
        <v>32</v>
      </c>
      <c r="F820" s="11">
        <v>809</v>
      </c>
      <c r="G820" s="11">
        <v>1000</v>
      </c>
      <c r="H820" s="11">
        <v>35231365</v>
      </c>
      <c r="I820" s="11" t="s">
        <v>4467</v>
      </c>
      <c r="J820" s="11" t="s">
        <v>4468</v>
      </c>
      <c r="K820" s="11" t="s">
        <v>190</v>
      </c>
      <c r="L820" s="11" t="s">
        <v>1478</v>
      </c>
      <c r="M820" s="11" t="s">
        <v>4469</v>
      </c>
      <c r="N820" s="11">
        <v>15517</v>
      </c>
      <c r="O820" s="11">
        <v>6299</v>
      </c>
      <c r="P820" s="11">
        <v>0</v>
      </c>
      <c r="Q820" s="11" t="s">
        <v>4470</v>
      </c>
      <c r="R820" s="14" t="s">
        <v>4471</v>
      </c>
      <c r="S820" s="11">
        <v>85</v>
      </c>
      <c r="T820" s="11" t="s">
        <v>39</v>
      </c>
      <c r="U820" s="11" t="s">
        <v>40</v>
      </c>
      <c r="V820" s="11" t="s">
        <v>96</v>
      </c>
      <c r="W820" s="11">
        <v>60000000</v>
      </c>
      <c r="X820" s="11">
        <v>2000</v>
      </c>
      <c r="Y820" s="11">
        <v>891</v>
      </c>
      <c r="Z820" s="11">
        <v>3.6</v>
      </c>
      <c r="AA820" s="11">
        <v>1.85</v>
      </c>
      <c r="AB820" s="11">
        <v>500</v>
      </c>
      <c r="AC820" s="11"/>
      <c r="AD820" s="11" t="str">
        <f>IFERROR(__xludf.DUMMYFUNCTION("""COMPUTED_VALUE"""),"Alan Young")</f>
        <v>Alan Young</v>
      </c>
      <c r="AE820" s="11"/>
    </row>
    <row r="821" customHeight="1" spans="1:31">
      <c r="A821" s="12" t="s">
        <v>30</v>
      </c>
      <c r="B821" s="12" t="s">
        <v>4472</v>
      </c>
      <c r="C821" s="12">
        <v>84</v>
      </c>
      <c r="D821" s="12">
        <v>87</v>
      </c>
      <c r="E821" s="12">
        <v>10</v>
      </c>
      <c r="F821" s="12">
        <v>349</v>
      </c>
      <c r="G821" s="12">
        <v>13000</v>
      </c>
      <c r="H821" s="12">
        <v>53715611</v>
      </c>
      <c r="I821" s="12" t="s">
        <v>4473</v>
      </c>
      <c r="J821" s="12" t="s">
        <v>1785</v>
      </c>
      <c r="K821" s="12" t="s">
        <v>4474</v>
      </c>
      <c r="L821" s="12" t="s">
        <v>4475</v>
      </c>
      <c r="M821" s="12" t="s">
        <v>4476</v>
      </c>
      <c r="N821" s="12">
        <v>92106</v>
      </c>
      <c r="O821" s="12">
        <v>14574</v>
      </c>
      <c r="P821" s="12">
        <v>1</v>
      </c>
      <c r="Q821" s="12" t="s">
        <v>4477</v>
      </c>
      <c r="R821" s="15" t="s">
        <v>4478</v>
      </c>
      <c r="S821" s="12">
        <v>171</v>
      </c>
      <c r="T821" s="12" t="s">
        <v>39</v>
      </c>
      <c r="U821" s="12" t="s">
        <v>40</v>
      </c>
      <c r="V821" s="12" t="s">
        <v>586</v>
      </c>
      <c r="W821" s="12">
        <v>63000000</v>
      </c>
      <c r="X821" s="12">
        <v>1988</v>
      </c>
      <c r="Y821" s="12">
        <v>1000</v>
      </c>
      <c r="Z821" s="12">
        <v>5.7</v>
      </c>
      <c r="AA821" s="12">
        <v>2.35</v>
      </c>
      <c r="AB821" s="12">
        <v>2000</v>
      </c>
      <c r="AC821" s="12"/>
      <c r="AD821" s="12" t="str">
        <f>IFERROR(__xludf.DUMMYFUNCTION("""COMPUTED_VALUE"""),"Josh Stamberg")</f>
        <v>Josh Stamberg</v>
      </c>
      <c r="AE821" s="12"/>
    </row>
    <row r="822" customHeight="1" spans="1:31">
      <c r="A822" s="11" t="s">
        <v>30</v>
      </c>
      <c r="B822" s="11" t="s">
        <v>3402</v>
      </c>
      <c r="C822" s="11">
        <v>186</v>
      </c>
      <c r="D822" s="11">
        <v>114</v>
      </c>
      <c r="E822" s="11">
        <v>0</v>
      </c>
      <c r="F822" s="11">
        <v>110</v>
      </c>
      <c r="G822" s="11">
        <v>142</v>
      </c>
      <c r="H822" s="11">
        <v>31199215</v>
      </c>
      <c r="I822" s="11" t="s">
        <v>4479</v>
      </c>
      <c r="J822" s="11" t="s">
        <v>4480</v>
      </c>
      <c r="K822" s="11" t="s">
        <v>4481</v>
      </c>
      <c r="L822" s="11" t="s">
        <v>4482</v>
      </c>
      <c r="M822" s="11" t="s">
        <v>4483</v>
      </c>
      <c r="N822" s="11">
        <v>27664</v>
      </c>
      <c r="O822" s="11">
        <v>589</v>
      </c>
      <c r="P822" s="11">
        <v>8</v>
      </c>
      <c r="Q822" s="11" t="s">
        <v>4484</v>
      </c>
      <c r="R822" s="14" t="s">
        <v>4485</v>
      </c>
      <c r="S822" s="11">
        <v>120</v>
      </c>
      <c r="T822" s="11" t="s">
        <v>39</v>
      </c>
      <c r="U822" s="11" t="s">
        <v>40</v>
      </c>
      <c r="V822" s="11" t="s">
        <v>41</v>
      </c>
      <c r="W822" s="11">
        <v>58000000</v>
      </c>
      <c r="X822" s="11">
        <v>2008</v>
      </c>
      <c r="Y822" s="11">
        <v>117</v>
      </c>
      <c r="Z822" s="11">
        <v>6</v>
      </c>
      <c r="AA822" s="11">
        <v>1.85</v>
      </c>
      <c r="AB822" s="11">
        <v>472</v>
      </c>
      <c r="AC822" s="11"/>
      <c r="AD822" s="11" t="str">
        <f>IFERROR(__xludf.DUMMYFUNCTION("""COMPUTED_VALUE"""),"Mika Boorem")</f>
        <v>Mika Boorem</v>
      </c>
      <c r="AE822" s="11"/>
    </row>
    <row r="823" customHeight="1" spans="1:31">
      <c r="A823" s="12" t="s">
        <v>30</v>
      </c>
      <c r="B823" s="12" t="s">
        <v>1628</v>
      </c>
      <c r="C823" s="12">
        <v>53</v>
      </c>
      <c r="D823" s="12">
        <v>119</v>
      </c>
      <c r="E823" s="12">
        <v>153</v>
      </c>
      <c r="F823" s="12">
        <v>11000</v>
      </c>
      <c r="G823" s="12">
        <v>12000</v>
      </c>
      <c r="H823" s="16"/>
      <c r="I823" s="12" t="s">
        <v>4486</v>
      </c>
      <c r="J823" s="12" t="s">
        <v>1107</v>
      </c>
      <c r="K823" s="12" t="s">
        <v>2180</v>
      </c>
      <c r="L823" s="12" t="s">
        <v>1957</v>
      </c>
      <c r="M823" s="12" t="s">
        <v>4487</v>
      </c>
      <c r="N823" s="12">
        <v>27019</v>
      </c>
      <c r="O823" s="12">
        <v>36167</v>
      </c>
      <c r="P823" s="12">
        <v>4</v>
      </c>
      <c r="Q823" s="12" t="s">
        <v>4488</v>
      </c>
      <c r="R823" s="15" t="s">
        <v>4489</v>
      </c>
      <c r="S823" s="12">
        <v>143</v>
      </c>
      <c r="T823" s="12" t="s">
        <v>39</v>
      </c>
      <c r="U823" s="12" t="s">
        <v>40</v>
      </c>
      <c r="V823" s="12" t="s">
        <v>1127</v>
      </c>
      <c r="W823" s="16"/>
      <c r="X823" s="12">
        <v>2015</v>
      </c>
      <c r="Y823" s="12">
        <v>11000</v>
      </c>
      <c r="Z823" s="12">
        <v>4.9</v>
      </c>
      <c r="AA823" s="12">
        <v>2.35</v>
      </c>
      <c r="AB823" s="12">
        <v>0</v>
      </c>
      <c r="AC823" s="12"/>
      <c r="AD823" s="12" t="str">
        <f>IFERROR(__xludf.DUMMYFUNCTION("""COMPUTED_VALUE"""),"David Paymer")</f>
        <v>David Paymer</v>
      </c>
      <c r="AE823" s="12"/>
    </row>
    <row r="824" customHeight="1" spans="1:31">
      <c r="A824" s="11" t="s">
        <v>30</v>
      </c>
      <c r="B824" s="11" t="s">
        <v>3999</v>
      </c>
      <c r="C824" s="11">
        <v>133</v>
      </c>
      <c r="D824" s="11">
        <v>103</v>
      </c>
      <c r="E824" s="11">
        <v>30</v>
      </c>
      <c r="F824" s="11">
        <v>727</v>
      </c>
      <c r="G824" s="11">
        <v>963</v>
      </c>
      <c r="H824" s="11">
        <v>29580087</v>
      </c>
      <c r="I824" s="11" t="s">
        <v>1415</v>
      </c>
      <c r="J824" s="11" t="s">
        <v>3041</v>
      </c>
      <c r="K824" s="11" t="s">
        <v>4490</v>
      </c>
      <c r="L824" s="11" t="s">
        <v>4491</v>
      </c>
      <c r="M824" s="11" t="s">
        <v>4492</v>
      </c>
      <c r="N824" s="11">
        <v>29523</v>
      </c>
      <c r="O824" s="11">
        <v>3150</v>
      </c>
      <c r="P824" s="11">
        <v>2</v>
      </c>
      <c r="Q824" s="11" t="s">
        <v>4493</v>
      </c>
      <c r="R824" s="14" t="s">
        <v>4494</v>
      </c>
      <c r="S824" s="11">
        <v>121</v>
      </c>
      <c r="T824" s="11" t="s">
        <v>39</v>
      </c>
      <c r="U824" s="11" t="s">
        <v>40</v>
      </c>
      <c r="V824" s="11" t="s">
        <v>41</v>
      </c>
      <c r="W824" s="11">
        <v>58000000</v>
      </c>
      <c r="X824" s="11">
        <v>2009</v>
      </c>
      <c r="Y824" s="11">
        <v>935</v>
      </c>
      <c r="Z824" s="11">
        <v>4.7</v>
      </c>
      <c r="AA824" s="11">
        <v>2.35</v>
      </c>
      <c r="AB824" s="11">
        <v>0</v>
      </c>
      <c r="AC824" s="11"/>
      <c r="AD824" s="11" t="str">
        <f>IFERROR(__xludf.DUMMYFUNCTION("""COMPUTED_VALUE"""),"Michael Emerson")</f>
        <v>Michael Emerson</v>
      </c>
      <c r="AE824" s="11"/>
    </row>
    <row r="825" customHeight="1" spans="1:31">
      <c r="A825" s="12" t="s">
        <v>30</v>
      </c>
      <c r="B825" s="12" t="s">
        <v>810</v>
      </c>
      <c r="C825" s="12">
        <v>246</v>
      </c>
      <c r="D825" s="12">
        <v>125</v>
      </c>
      <c r="E825" s="12">
        <v>189</v>
      </c>
      <c r="F825" s="12">
        <v>839</v>
      </c>
      <c r="G825" s="12">
        <v>1000</v>
      </c>
      <c r="H825" s="12">
        <v>44665963</v>
      </c>
      <c r="I825" s="12" t="s">
        <v>1672</v>
      </c>
      <c r="J825" s="12" t="s">
        <v>830</v>
      </c>
      <c r="K825" s="12" t="s">
        <v>4495</v>
      </c>
      <c r="L825" s="12" t="s">
        <v>4496</v>
      </c>
      <c r="M825" s="12" t="s">
        <v>4497</v>
      </c>
      <c r="N825" s="12">
        <v>159931</v>
      </c>
      <c r="O825" s="12">
        <v>5081</v>
      </c>
      <c r="P825" s="12">
        <v>2</v>
      </c>
      <c r="Q825" s="12" t="s">
        <v>4498</v>
      </c>
      <c r="R825" s="15" t="s">
        <v>4499</v>
      </c>
      <c r="S825" s="12">
        <v>281</v>
      </c>
      <c r="T825" s="12" t="s">
        <v>39</v>
      </c>
      <c r="U825" s="12" t="s">
        <v>40</v>
      </c>
      <c r="V825" s="12" t="s">
        <v>41</v>
      </c>
      <c r="W825" s="12">
        <v>58000000</v>
      </c>
      <c r="X825" s="12">
        <v>2013</v>
      </c>
      <c r="Y825" s="12">
        <v>847</v>
      </c>
      <c r="Z825" s="12">
        <v>6.3</v>
      </c>
      <c r="AA825" s="12">
        <v>2.35</v>
      </c>
      <c r="AB825" s="12">
        <v>22000</v>
      </c>
      <c r="AC825" s="12"/>
      <c r="AD825" s="12" t="str">
        <f>IFERROR(__xludf.DUMMYFUNCTION("""COMPUTED_VALUE"""),"Nick Chinlund")</f>
        <v>Nick Chinlund</v>
      </c>
      <c r="AE825" s="12"/>
    </row>
    <row r="826" customHeight="1" spans="1:31">
      <c r="A826" s="11" t="s">
        <v>30</v>
      </c>
      <c r="B826" s="11" t="s">
        <v>2332</v>
      </c>
      <c r="C826" s="11">
        <v>253</v>
      </c>
      <c r="D826" s="11">
        <v>97</v>
      </c>
      <c r="E826" s="11">
        <v>545</v>
      </c>
      <c r="F826" s="11">
        <v>529</v>
      </c>
      <c r="G826" s="11">
        <v>14000</v>
      </c>
      <c r="H826" s="11">
        <v>60128566</v>
      </c>
      <c r="I826" s="11" t="s">
        <v>3446</v>
      </c>
      <c r="J826" s="11" t="s">
        <v>1973</v>
      </c>
      <c r="K826" s="11" t="s">
        <v>2815</v>
      </c>
      <c r="L826" s="11" t="s">
        <v>4500</v>
      </c>
      <c r="M826" s="11" t="s">
        <v>4501</v>
      </c>
      <c r="N826" s="11">
        <v>131447</v>
      </c>
      <c r="O826" s="11">
        <v>16098</v>
      </c>
      <c r="P826" s="11">
        <v>1</v>
      </c>
      <c r="Q826" s="11" t="s">
        <v>4502</v>
      </c>
      <c r="R826" s="14" t="s">
        <v>4503</v>
      </c>
      <c r="S826" s="11">
        <v>410</v>
      </c>
      <c r="T826" s="11" t="s">
        <v>39</v>
      </c>
      <c r="U826" s="11" t="s">
        <v>768</v>
      </c>
      <c r="V826" s="11" t="s">
        <v>586</v>
      </c>
      <c r="W826" s="11">
        <v>60000000</v>
      </c>
      <c r="X826" s="11">
        <v>2010</v>
      </c>
      <c r="Y826" s="11">
        <v>1000</v>
      </c>
      <c r="Z826" s="11">
        <v>5.9</v>
      </c>
      <c r="AA826" s="11">
        <v>2.35</v>
      </c>
      <c r="AB826" s="11">
        <v>19000</v>
      </c>
      <c r="AC826" s="11"/>
      <c r="AD826" s="11" t="str">
        <f>IFERROR(__xludf.DUMMYFUNCTION("""COMPUTED_VALUE"""),"Adrian Alonso")</f>
        <v>Adrian Alonso</v>
      </c>
      <c r="AE826" s="11"/>
    </row>
    <row r="827" customHeight="1" spans="1:31">
      <c r="A827" s="12" t="s">
        <v>30</v>
      </c>
      <c r="B827" s="12" t="s">
        <v>4504</v>
      </c>
      <c r="C827" s="12">
        <v>144</v>
      </c>
      <c r="D827" s="12">
        <v>125</v>
      </c>
      <c r="E827" s="12">
        <v>143</v>
      </c>
      <c r="F827" s="12">
        <v>519</v>
      </c>
      <c r="G827" s="12">
        <v>1000</v>
      </c>
      <c r="H827" s="12">
        <v>49875589</v>
      </c>
      <c r="I827" s="12" t="s">
        <v>1098</v>
      </c>
      <c r="J827" s="12" t="s">
        <v>2039</v>
      </c>
      <c r="K827" s="12" t="s">
        <v>4505</v>
      </c>
      <c r="L827" s="12" t="s">
        <v>4506</v>
      </c>
      <c r="M827" s="12" t="s">
        <v>4507</v>
      </c>
      <c r="N827" s="12">
        <v>28807</v>
      </c>
      <c r="O827" s="12">
        <v>4416</v>
      </c>
      <c r="P827" s="12">
        <v>0</v>
      </c>
      <c r="Q827" s="12" t="s">
        <v>4508</v>
      </c>
      <c r="R827" s="15" t="s">
        <v>4509</v>
      </c>
      <c r="S827" s="12">
        <v>273</v>
      </c>
      <c r="T827" s="12" t="s">
        <v>39</v>
      </c>
      <c r="U827" s="12" t="s">
        <v>40</v>
      </c>
      <c r="V827" s="12" t="s">
        <v>41</v>
      </c>
      <c r="W827" s="12">
        <v>58000000</v>
      </c>
      <c r="X827" s="12">
        <v>2012</v>
      </c>
      <c r="Y827" s="12">
        <v>664</v>
      </c>
      <c r="Z827" s="12">
        <v>5.9</v>
      </c>
      <c r="AA827" s="12">
        <v>2.35</v>
      </c>
      <c r="AB827" s="12">
        <v>0</v>
      </c>
      <c r="AC827" s="12"/>
      <c r="AD827" s="12" t="str">
        <f>IFERROR(__xludf.DUMMYFUNCTION("""COMPUTED_VALUE"""),"Annabella Sciorra")</f>
        <v>Annabella Sciorra</v>
      </c>
      <c r="AE827" s="12"/>
    </row>
    <row r="828" customHeight="1" spans="1:31">
      <c r="A828" s="11" t="s">
        <v>30</v>
      </c>
      <c r="B828" s="13"/>
      <c r="C828" s="11">
        <v>46</v>
      </c>
      <c r="D828" s="11">
        <v>30</v>
      </c>
      <c r="E828" s="13"/>
      <c r="F828" s="11">
        <v>479</v>
      </c>
      <c r="G828" s="11">
        <v>962</v>
      </c>
      <c r="H828" s="13"/>
      <c r="I828" s="11" t="s">
        <v>1681</v>
      </c>
      <c r="J828" s="11" t="s">
        <v>1978</v>
      </c>
      <c r="K828" s="11" t="s">
        <v>1980</v>
      </c>
      <c r="L828" s="11" t="s">
        <v>4510</v>
      </c>
      <c r="M828" s="11" t="s">
        <v>4511</v>
      </c>
      <c r="N828" s="11">
        <v>80025</v>
      </c>
      <c r="O828" s="11">
        <v>2558</v>
      </c>
      <c r="P828" s="11">
        <v>0</v>
      </c>
      <c r="Q828" s="11" t="s">
        <v>4512</v>
      </c>
      <c r="R828" s="14" t="s">
        <v>4513</v>
      </c>
      <c r="S828" s="11">
        <v>238</v>
      </c>
      <c r="T828" s="11" t="s">
        <v>39</v>
      </c>
      <c r="U828" s="11" t="s">
        <v>40</v>
      </c>
      <c r="V828" s="11" t="s">
        <v>2636</v>
      </c>
      <c r="W828" s="13"/>
      <c r="X828" s="13"/>
      <c r="Y828" s="11">
        <v>722</v>
      </c>
      <c r="Z828" s="11">
        <v>7</v>
      </c>
      <c r="AA828" s="11">
        <v>1.33</v>
      </c>
      <c r="AB828" s="11">
        <v>0</v>
      </c>
      <c r="AC828" s="11"/>
      <c r="AD828" s="11" t="str">
        <f>IFERROR(__xludf.DUMMYFUNCTION("""COMPUTED_VALUE"""),"Rosalind Chao")</f>
        <v>Rosalind Chao</v>
      </c>
      <c r="AE828" s="11"/>
    </row>
    <row r="829" customHeight="1" spans="1:31">
      <c r="A829" s="12" t="s">
        <v>30</v>
      </c>
      <c r="B829" s="12" t="s">
        <v>3779</v>
      </c>
      <c r="C829" s="12">
        <v>117</v>
      </c>
      <c r="D829" s="12">
        <v>136</v>
      </c>
      <c r="E829" s="12">
        <v>138</v>
      </c>
      <c r="F829" s="12">
        <v>9000</v>
      </c>
      <c r="G829" s="12">
        <v>18000</v>
      </c>
      <c r="H829" s="12">
        <v>60984028</v>
      </c>
      <c r="I829" s="12" t="s">
        <v>1924</v>
      </c>
      <c r="J829" s="12" t="s">
        <v>588</v>
      </c>
      <c r="K829" s="12" t="s">
        <v>2383</v>
      </c>
      <c r="L829" s="12" t="s">
        <v>778</v>
      </c>
      <c r="M829" s="12" t="s">
        <v>4514</v>
      </c>
      <c r="N829" s="12">
        <v>259519</v>
      </c>
      <c r="O829" s="12">
        <v>45271</v>
      </c>
      <c r="P829" s="12">
        <v>2</v>
      </c>
      <c r="Q829" s="12" t="s">
        <v>4515</v>
      </c>
      <c r="R829" s="15" t="s">
        <v>4516</v>
      </c>
      <c r="S829" s="12">
        <v>431</v>
      </c>
      <c r="T829" s="12" t="s">
        <v>39</v>
      </c>
      <c r="U829" s="12" t="s">
        <v>40</v>
      </c>
      <c r="V829" s="12" t="s">
        <v>586</v>
      </c>
      <c r="W829" s="12">
        <v>57000000</v>
      </c>
      <c r="X829" s="12">
        <v>1997</v>
      </c>
      <c r="Y829" s="12">
        <v>14000</v>
      </c>
      <c r="Z829" s="12">
        <v>7.5</v>
      </c>
      <c r="AA829" s="12">
        <v>2.35</v>
      </c>
      <c r="AB829" s="12">
        <v>11000</v>
      </c>
      <c r="AC829" s="12"/>
      <c r="AD829" s="12" t="str">
        <f>IFERROR(__xludf.DUMMYFUNCTION("""COMPUTED_VALUE"""),"Michael McKean")</f>
        <v>Michael McKean</v>
      </c>
      <c r="AE829" s="12"/>
    </row>
    <row r="830" customHeight="1" spans="1:31">
      <c r="A830" s="11" t="s">
        <v>30</v>
      </c>
      <c r="B830" s="11" t="s">
        <v>4517</v>
      </c>
      <c r="C830" s="11">
        <v>157</v>
      </c>
      <c r="D830" s="11">
        <v>116</v>
      </c>
      <c r="E830" s="11">
        <v>51</v>
      </c>
      <c r="F830" s="11">
        <v>622</v>
      </c>
      <c r="G830" s="11">
        <v>11000</v>
      </c>
      <c r="H830" s="11">
        <v>36931089</v>
      </c>
      <c r="I830" s="11" t="s">
        <v>1672</v>
      </c>
      <c r="J830" s="11" t="s">
        <v>2180</v>
      </c>
      <c r="K830" s="11" t="s">
        <v>4518</v>
      </c>
      <c r="L830" s="11" t="s">
        <v>2102</v>
      </c>
      <c r="M830" s="11" t="s">
        <v>4519</v>
      </c>
      <c r="N830" s="11">
        <v>70681</v>
      </c>
      <c r="O830" s="11">
        <v>16484</v>
      </c>
      <c r="P830" s="11">
        <v>2</v>
      </c>
      <c r="Q830" s="11" t="s">
        <v>4520</v>
      </c>
      <c r="R830" s="14" t="s">
        <v>4521</v>
      </c>
      <c r="S830" s="11">
        <v>198</v>
      </c>
      <c r="T830" s="11" t="s">
        <v>39</v>
      </c>
      <c r="U830" s="11" t="s">
        <v>40</v>
      </c>
      <c r="V830" s="11" t="s">
        <v>586</v>
      </c>
      <c r="W830" s="11">
        <v>70000000</v>
      </c>
      <c r="X830" s="11">
        <v>2012</v>
      </c>
      <c r="Y830" s="11">
        <v>3000</v>
      </c>
      <c r="Z830" s="11">
        <v>5.6</v>
      </c>
      <c r="AA830" s="11">
        <v>2.35</v>
      </c>
      <c r="AB830" s="11">
        <v>12000</v>
      </c>
      <c r="AC830" s="11"/>
      <c r="AD830" s="11" t="str">
        <f>IFERROR(__xludf.DUMMYFUNCTION("""COMPUTED_VALUE"""),"Nissim Renard")</f>
        <v>Nissim Renard</v>
      </c>
      <c r="AE830" s="11"/>
    </row>
    <row r="831" customHeight="1" spans="1:31">
      <c r="A831" s="12" t="s">
        <v>30</v>
      </c>
      <c r="B831" s="12" t="s">
        <v>500</v>
      </c>
      <c r="C831" s="12">
        <v>60</v>
      </c>
      <c r="D831" s="12">
        <v>103</v>
      </c>
      <c r="E831" s="12">
        <v>357</v>
      </c>
      <c r="F831" s="12">
        <v>40</v>
      </c>
      <c r="G831" s="12">
        <v>2000</v>
      </c>
      <c r="H831" s="12">
        <v>51317350</v>
      </c>
      <c r="I831" s="12" t="s">
        <v>43</v>
      </c>
      <c r="J831" s="12" t="s">
        <v>537</v>
      </c>
      <c r="K831" s="12" t="s">
        <v>4522</v>
      </c>
      <c r="L831" s="12" t="s">
        <v>4523</v>
      </c>
      <c r="M831" s="12" t="s">
        <v>4524</v>
      </c>
      <c r="N831" s="12">
        <v>78343</v>
      </c>
      <c r="O831" s="12">
        <v>2710</v>
      </c>
      <c r="P831" s="12">
        <v>0</v>
      </c>
      <c r="Q831" s="12" t="s">
        <v>4525</v>
      </c>
      <c r="R831" s="15" t="s">
        <v>4526</v>
      </c>
      <c r="S831" s="12">
        <v>139</v>
      </c>
      <c r="T831" s="12" t="s">
        <v>39</v>
      </c>
      <c r="U831" s="12" t="s">
        <v>40</v>
      </c>
      <c r="V831" s="12" t="s">
        <v>41</v>
      </c>
      <c r="W831" s="12">
        <v>57000000</v>
      </c>
      <c r="X831" s="12">
        <v>1996</v>
      </c>
      <c r="Y831" s="12">
        <v>663</v>
      </c>
      <c r="Z831" s="12">
        <v>6.4</v>
      </c>
      <c r="AA831" s="12">
        <v>2.35</v>
      </c>
      <c r="AB831" s="12">
        <v>0</v>
      </c>
      <c r="AC831" s="12"/>
      <c r="AD831" s="12" t="str">
        <f>IFERROR(__xludf.DUMMYFUNCTION("""COMPUTED_VALUE"""),"Roxane Duran")</f>
        <v>Roxane Duran</v>
      </c>
      <c r="AE831" s="12"/>
    </row>
    <row r="832" customHeight="1" spans="1:31">
      <c r="A832" s="11" t="s">
        <v>30</v>
      </c>
      <c r="B832" s="11" t="s">
        <v>261</v>
      </c>
      <c r="C832" s="11">
        <v>117</v>
      </c>
      <c r="D832" s="11">
        <v>97</v>
      </c>
      <c r="E832" s="11">
        <v>420</v>
      </c>
      <c r="F832" s="11">
        <v>455</v>
      </c>
      <c r="G832" s="11">
        <v>4000</v>
      </c>
      <c r="H832" s="11">
        <v>28328132</v>
      </c>
      <c r="I832" s="11" t="s">
        <v>4527</v>
      </c>
      <c r="J832" s="11" t="s">
        <v>495</v>
      </c>
      <c r="K832" s="11" t="s">
        <v>252</v>
      </c>
      <c r="L832" s="11" t="s">
        <v>4528</v>
      </c>
      <c r="M832" s="11" t="s">
        <v>4529</v>
      </c>
      <c r="N832" s="11">
        <v>38298</v>
      </c>
      <c r="O832" s="11">
        <v>9814</v>
      </c>
      <c r="P832" s="11">
        <v>2</v>
      </c>
      <c r="Q832" s="11" t="s">
        <v>4530</v>
      </c>
      <c r="R832" s="14" t="s">
        <v>4531</v>
      </c>
      <c r="S832" s="11">
        <v>147</v>
      </c>
      <c r="T832" s="11" t="s">
        <v>39</v>
      </c>
      <c r="U832" s="11" t="s">
        <v>40</v>
      </c>
      <c r="V832" s="11" t="s">
        <v>41</v>
      </c>
      <c r="W832" s="11">
        <v>58000000</v>
      </c>
      <c r="X832" s="11">
        <v>2004</v>
      </c>
      <c r="Y832" s="11">
        <v>3000</v>
      </c>
      <c r="Z832" s="11">
        <v>6.3</v>
      </c>
      <c r="AA832" s="11">
        <v>2.35</v>
      </c>
      <c r="AB832" s="11">
        <v>782</v>
      </c>
      <c r="AC832" s="11"/>
      <c r="AD832" s="11" t="str">
        <f>IFERROR(__xludf.DUMMYFUNCTION("""COMPUTED_VALUE"""),"Julie-Marie Parmentier")</f>
        <v>Julie-Marie Parmentier</v>
      </c>
      <c r="AE832" s="11"/>
    </row>
    <row r="833" customHeight="1" spans="1:31">
      <c r="A833" s="12" t="s">
        <v>30</v>
      </c>
      <c r="B833" s="12" t="s">
        <v>4532</v>
      </c>
      <c r="C833" s="12">
        <v>287</v>
      </c>
      <c r="D833" s="12">
        <v>96</v>
      </c>
      <c r="E833" s="12">
        <v>83</v>
      </c>
      <c r="F833" s="12">
        <v>1000</v>
      </c>
      <c r="G833" s="12">
        <v>12000</v>
      </c>
      <c r="H833" s="12">
        <v>51774002</v>
      </c>
      <c r="I833" s="12" t="s">
        <v>1364</v>
      </c>
      <c r="J833" s="12" t="s">
        <v>705</v>
      </c>
      <c r="K833" s="12" t="s">
        <v>4533</v>
      </c>
      <c r="L833" s="12" t="s">
        <v>4534</v>
      </c>
      <c r="M833" s="12" t="s">
        <v>4535</v>
      </c>
      <c r="N833" s="12">
        <v>87745</v>
      </c>
      <c r="O833" s="12">
        <v>16121</v>
      </c>
      <c r="P833" s="12">
        <v>1</v>
      </c>
      <c r="Q833" s="12" t="s">
        <v>4536</v>
      </c>
      <c r="R833" s="15" t="s">
        <v>4537</v>
      </c>
      <c r="S833" s="12">
        <v>331</v>
      </c>
      <c r="T833" s="12" t="s">
        <v>39</v>
      </c>
      <c r="U833" s="12" t="s">
        <v>40</v>
      </c>
      <c r="V833" s="12" t="s">
        <v>41</v>
      </c>
      <c r="W833" s="12">
        <v>57000000</v>
      </c>
      <c r="X833" s="12">
        <v>2011</v>
      </c>
      <c r="Y833" s="12">
        <v>1000</v>
      </c>
      <c r="Z833" s="12">
        <v>4.3</v>
      </c>
      <c r="AA833" s="12">
        <v>2.35</v>
      </c>
      <c r="AB833" s="12">
        <v>18000</v>
      </c>
      <c r="AC833" s="12"/>
      <c r="AD833" s="12" t="str">
        <f>IFERROR(__xludf.DUMMYFUNCTION("""COMPUTED_VALUE"""),"Harold Perrineau")</f>
        <v>Harold Perrineau</v>
      </c>
      <c r="AE833" s="12"/>
    </row>
    <row r="834" customHeight="1" spans="1:31">
      <c r="A834" s="11" t="s">
        <v>30</v>
      </c>
      <c r="B834" s="11" t="s">
        <v>4538</v>
      </c>
      <c r="C834" s="11">
        <v>96</v>
      </c>
      <c r="D834" s="11">
        <v>131</v>
      </c>
      <c r="E834" s="11">
        <v>108</v>
      </c>
      <c r="F834" s="11">
        <v>58</v>
      </c>
      <c r="G834" s="11">
        <v>23000</v>
      </c>
      <c r="H834" s="11">
        <v>25528495</v>
      </c>
      <c r="I834" s="11" t="s">
        <v>4539</v>
      </c>
      <c r="J834" s="11" t="s">
        <v>62</v>
      </c>
      <c r="K834" s="11" t="s">
        <v>4540</v>
      </c>
      <c r="L834" s="11" t="s">
        <v>4541</v>
      </c>
      <c r="M834" s="11" t="s">
        <v>4542</v>
      </c>
      <c r="N834" s="11">
        <v>28099</v>
      </c>
      <c r="O834" s="11">
        <v>23325</v>
      </c>
      <c r="P834" s="11">
        <v>2</v>
      </c>
      <c r="Q834" s="11" t="s">
        <v>4543</v>
      </c>
      <c r="R834" s="14" t="s">
        <v>4544</v>
      </c>
      <c r="S834" s="11">
        <v>220</v>
      </c>
      <c r="T834" s="11" t="s">
        <v>39</v>
      </c>
      <c r="U834" s="11" t="s">
        <v>58</v>
      </c>
      <c r="V834" s="11" t="s">
        <v>586</v>
      </c>
      <c r="W834" s="11">
        <v>57000000</v>
      </c>
      <c r="X834" s="11">
        <v>2001</v>
      </c>
      <c r="Y834" s="11">
        <v>243</v>
      </c>
      <c r="Z834" s="11">
        <v>5.9</v>
      </c>
      <c r="AA834" s="11">
        <v>2.35</v>
      </c>
      <c r="AB834" s="11">
        <v>0</v>
      </c>
      <c r="AC834" s="11"/>
      <c r="AD834" s="11" t="str">
        <f>IFERROR(__xludf.DUMMYFUNCTION("""COMPUTED_VALUE"""),"Bart the Bear")</f>
        <v>Bart the Bear</v>
      </c>
      <c r="AE834" s="11"/>
    </row>
    <row r="835" customHeight="1" spans="1:31">
      <c r="A835" s="12" t="s">
        <v>30</v>
      </c>
      <c r="B835" s="16"/>
      <c r="C835" s="12">
        <v>26</v>
      </c>
      <c r="D835" s="12">
        <v>22</v>
      </c>
      <c r="E835" s="16"/>
      <c r="F835" s="12">
        <v>676</v>
      </c>
      <c r="G835" s="12">
        <v>883</v>
      </c>
      <c r="H835" s="16"/>
      <c r="I835" s="12" t="s">
        <v>1681</v>
      </c>
      <c r="J835" s="12" t="s">
        <v>4545</v>
      </c>
      <c r="K835" s="12" t="s">
        <v>4546</v>
      </c>
      <c r="L835" s="12" t="s">
        <v>4547</v>
      </c>
      <c r="M835" s="12" t="s">
        <v>4548</v>
      </c>
      <c r="N835" s="12">
        <v>26992</v>
      </c>
      <c r="O835" s="12">
        <v>4115</v>
      </c>
      <c r="P835" s="12">
        <v>1</v>
      </c>
      <c r="Q835" s="12" t="s">
        <v>4549</v>
      </c>
      <c r="R835" s="15" t="s">
        <v>4550</v>
      </c>
      <c r="S835" s="12">
        <v>54</v>
      </c>
      <c r="T835" s="12" t="s">
        <v>39</v>
      </c>
      <c r="U835" s="12" t="s">
        <v>40</v>
      </c>
      <c r="V835" s="16"/>
      <c r="W835" s="16"/>
      <c r="X835" s="16"/>
      <c r="Y835" s="12">
        <v>701</v>
      </c>
      <c r="Z835" s="12">
        <v>6.7</v>
      </c>
      <c r="AA835" s="12">
        <v>16</v>
      </c>
      <c r="AB835" s="12">
        <v>0</v>
      </c>
      <c r="AC835" s="12"/>
      <c r="AD835" s="12" t="str">
        <f>IFERROR(__xludf.DUMMYFUNCTION("""COMPUTED_VALUE"""),"Devin Ratray")</f>
        <v>Devin Ratray</v>
      </c>
      <c r="AE835" s="12"/>
    </row>
    <row r="836" customHeight="1" spans="1:31">
      <c r="A836" s="11" t="s">
        <v>30</v>
      </c>
      <c r="B836" s="11" t="s">
        <v>2613</v>
      </c>
      <c r="C836" s="11">
        <v>125</v>
      </c>
      <c r="D836" s="11">
        <v>95</v>
      </c>
      <c r="E836" s="11">
        <v>163</v>
      </c>
      <c r="F836" s="11">
        <v>650</v>
      </c>
      <c r="G836" s="11">
        <v>14000</v>
      </c>
      <c r="H836" s="11">
        <v>113006880</v>
      </c>
      <c r="I836" s="11" t="s">
        <v>4551</v>
      </c>
      <c r="J836" s="11" t="s">
        <v>337</v>
      </c>
      <c r="K836" s="11" t="s">
        <v>90</v>
      </c>
      <c r="L836" s="11" t="s">
        <v>4183</v>
      </c>
      <c r="M836" s="11" t="s">
        <v>4552</v>
      </c>
      <c r="N836" s="11">
        <v>66308</v>
      </c>
      <c r="O836" s="11">
        <v>16884</v>
      </c>
      <c r="P836" s="11">
        <v>0</v>
      </c>
      <c r="Q836" s="11" t="s">
        <v>4553</v>
      </c>
      <c r="R836" s="14" t="s">
        <v>4554</v>
      </c>
      <c r="S836" s="11">
        <v>225</v>
      </c>
      <c r="T836" s="11" t="s">
        <v>39</v>
      </c>
      <c r="U836" s="11" t="s">
        <v>269</v>
      </c>
      <c r="V836" s="11" t="s">
        <v>96</v>
      </c>
      <c r="W836" s="11">
        <v>56000000</v>
      </c>
      <c r="X836" s="11">
        <v>2005</v>
      </c>
      <c r="Y836" s="11">
        <v>799</v>
      </c>
      <c r="Z836" s="11">
        <v>5.5</v>
      </c>
      <c r="AA836" s="11">
        <v>2.35</v>
      </c>
      <c r="AB836" s="11">
        <v>0</v>
      </c>
      <c r="AC836" s="11"/>
      <c r="AD836" s="11" t="str">
        <f>IFERROR(__xludf.DUMMYFUNCTION("""COMPUTED_VALUE"""),"Boris Kodjoe")</f>
        <v>Boris Kodjoe</v>
      </c>
      <c r="AE836" s="11"/>
    </row>
    <row r="837" customHeight="1" spans="1:31">
      <c r="A837" s="12" t="s">
        <v>30</v>
      </c>
      <c r="B837" s="12" t="s">
        <v>4555</v>
      </c>
      <c r="C837" s="12">
        <v>117</v>
      </c>
      <c r="D837" s="12">
        <v>86</v>
      </c>
      <c r="E837" s="12">
        <v>10</v>
      </c>
      <c r="F837" s="12">
        <v>348</v>
      </c>
      <c r="G837" s="12">
        <v>12000</v>
      </c>
      <c r="H837" s="12">
        <v>45860039</v>
      </c>
      <c r="I837" s="12" t="s">
        <v>4556</v>
      </c>
      <c r="J837" s="12" t="s">
        <v>1073</v>
      </c>
      <c r="K837" s="12" t="s">
        <v>4557</v>
      </c>
      <c r="L837" s="12" t="s">
        <v>4558</v>
      </c>
      <c r="M837" s="12" t="s">
        <v>4559</v>
      </c>
      <c r="N837" s="12">
        <v>53118</v>
      </c>
      <c r="O837" s="12">
        <v>14146</v>
      </c>
      <c r="P837" s="12">
        <v>1</v>
      </c>
      <c r="Q837" s="12" t="s">
        <v>4560</v>
      </c>
      <c r="R837" s="15" t="s">
        <v>4561</v>
      </c>
      <c r="S837" s="12">
        <v>221</v>
      </c>
      <c r="T837" s="12" t="s">
        <v>39</v>
      </c>
      <c r="U837" s="12" t="s">
        <v>40</v>
      </c>
      <c r="V837" s="12" t="s">
        <v>41</v>
      </c>
      <c r="W837" s="12">
        <v>56000000</v>
      </c>
      <c r="X837" s="12">
        <v>2004</v>
      </c>
      <c r="Y837" s="12">
        <v>795</v>
      </c>
      <c r="Z837" s="12">
        <v>6.2</v>
      </c>
      <c r="AA837" s="12">
        <v>2.35</v>
      </c>
      <c r="AB837" s="12">
        <v>0</v>
      </c>
      <c r="AC837" s="12"/>
      <c r="AD837" s="12" t="str">
        <f>IFERROR(__xludf.DUMMYFUNCTION("""COMPUTED_VALUE"""),"Jon Foster")</f>
        <v>Jon Foster</v>
      </c>
      <c r="AE837" s="12"/>
    </row>
    <row r="838" customHeight="1" spans="1:31">
      <c r="A838" s="11" t="s">
        <v>748</v>
      </c>
      <c r="B838" s="11" t="s">
        <v>436</v>
      </c>
      <c r="C838" s="11">
        <v>149</v>
      </c>
      <c r="D838" s="11">
        <v>142</v>
      </c>
      <c r="E838" s="11">
        <v>0</v>
      </c>
      <c r="F838" s="11">
        <v>194</v>
      </c>
      <c r="G838" s="11">
        <v>15000</v>
      </c>
      <c r="H838" s="11">
        <v>329691196</v>
      </c>
      <c r="I838" s="11" t="s">
        <v>2528</v>
      </c>
      <c r="J838" s="11" t="s">
        <v>322</v>
      </c>
      <c r="K838" s="11" t="s">
        <v>4562</v>
      </c>
      <c r="L838" s="11" t="s">
        <v>4563</v>
      </c>
      <c r="M838" s="11" t="s">
        <v>4564</v>
      </c>
      <c r="N838" s="11">
        <v>1251222</v>
      </c>
      <c r="O838" s="11">
        <v>15700</v>
      </c>
      <c r="P838" s="11">
        <v>0</v>
      </c>
      <c r="Q838" s="11" t="s">
        <v>4565</v>
      </c>
      <c r="R838" s="14" t="s">
        <v>4566</v>
      </c>
      <c r="S838" s="11">
        <v>1398</v>
      </c>
      <c r="T838" s="11" t="s">
        <v>39</v>
      </c>
      <c r="U838" s="11" t="s">
        <v>40</v>
      </c>
      <c r="V838" s="11" t="s">
        <v>41</v>
      </c>
      <c r="W838" s="11">
        <v>55000000</v>
      </c>
      <c r="X838" s="11">
        <v>1994</v>
      </c>
      <c r="Y838" s="11">
        <v>294</v>
      </c>
      <c r="Z838" s="11">
        <v>8.8</v>
      </c>
      <c r="AA838" s="11">
        <v>2.35</v>
      </c>
      <c r="AB838" s="11">
        <v>59000</v>
      </c>
      <c r="AC838" s="11"/>
      <c r="AD838" s="11" t="str">
        <f>IFERROR(__xludf.DUMMYFUNCTION("""COMPUTED_VALUE"""),"Bruce Thomas")</f>
        <v>Bruce Thomas</v>
      </c>
      <c r="AE838" s="11"/>
    </row>
    <row r="839" customHeight="1" spans="1:31">
      <c r="A839" s="12" t="s">
        <v>30</v>
      </c>
      <c r="B839" s="12" t="s">
        <v>3918</v>
      </c>
      <c r="C839" s="12">
        <v>131</v>
      </c>
      <c r="D839" s="12">
        <v>92</v>
      </c>
      <c r="E839" s="12">
        <v>25</v>
      </c>
      <c r="F839" s="12">
        <v>639</v>
      </c>
      <c r="G839" s="12">
        <v>1000</v>
      </c>
      <c r="H839" s="12">
        <v>217326336</v>
      </c>
      <c r="I839" s="12" t="s">
        <v>3363</v>
      </c>
      <c r="J839" s="12" t="s">
        <v>2171</v>
      </c>
      <c r="K839" s="12" t="s">
        <v>4567</v>
      </c>
      <c r="L839" s="12" t="s">
        <v>4568</v>
      </c>
      <c r="M839" s="12" t="s">
        <v>4569</v>
      </c>
      <c r="N839" s="12">
        <v>57276</v>
      </c>
      <c r="O839" s="12">
        <v>2847</v>
      </c>
      <c r="P839" s="12">
        <v>0</v>
      </c>
      <c r="Q839" s="12" t="s">
        <v>4570</v>
      </c>
      <c r="R839" s="15" t="s">
        <v>4571</v>
      </c>
      <c r="S839" s="12">
        <v>146</v>
      </c>
      <c r="T839" s="12" t="s">
        <v>39</v>
      </c>
      <c r="U839" s="12" t="s">
        <v>40</v>
      </c>
      <c r="V839" s="12" t="s">
        <v>96</v>
      </c>
      <c r="W839" s="12">
        <v>60000000</v>
      </c>
      <c r="X839" s="12">
        <v>2007</v>
      </c>
      <c r="Y839" s="12">
        <v>718</v>
      </c>
      <c r="Z839" s="12">
        <v>5.2</v>
      </c>
      <c r="AA839" s="12">
        <v>1.85</v>
      </c>
      <c r="AB839" s="12">
        <v>0</v>
      </c>
      <c r="AC839" s="12"/>
      <c r="AD839" s="12" t="str">
        <f>IFERROR(__xludf.DUMMYFUNCTION("""COMPUTED_VALUE"""),"Viggo Mortensen")</f>
        <v>Viggo Mortensen</v>
      </c>
      <c r="AE839" s="12"/>
    </row>
    <row r="840" customHeight="1" spans="1:31">
      <c r="A840" s="11" t="s">
        <v>30</v>
      </c>
      <c r="B840" s="11" t="s">
        <v>1966</v>
      </c>
      <c r="C840" s="11">
        <v>150</v>
      </c>
      <c r="D840" s="11">
        <v>108</v>
      </c>
      <c r="E840" s="11">
        <v>116</v>
      </c>
      <c r="F840" s="11">
        <v>708</v>
      </c>
      <c r="G840" s="11">
        <v>22000</v>
      </c>
      <c r="H840" s="11">
        <v>166225040</v>
      </c>
      <c r="I840" s="11" t="s">
        <v>1672</v>
      </c>
      <c r="J840" s="11" t="s">
        <v>1746</v>
      </c>
      <c r="K840" s="11" t="s">
        <v>1747</v>
      </c>
      <c r="L840" s="11" t="s">
        <v>1748</v>
      </c>
      <c r="M840" s="11" t="s">
        <v>4572</v>
      </c>
      <c r="N840" s="11">
        <v>260442</v>
      </c>
      <c r="O840" s="11">
        <v>24286</v>
      </c>
      <c r="P840" s="11">
        <v>2</v>
      </c>
      <c r="Q840" s="11" t="s">
        <v>4573</v>
      </c>
      <c r="R840" s="14" t="s">
        <v>4574</v>
      </c>
      <c r="S840" s="11">
        <v>507</v>
      </c>
      <c r="T840" s="11" t="s">
        <v>39</v>
      </c>
      <c r="U840" s="11" t="s">
        <v>40</v>
      </c>
      <c r="V840" s="11" t="s">
        <v>41</v>
      </c>
      <c r="W840" s="11">
        <v>55000000</v>
      </c>
      <c r="X840" s="11">
        <v>2000</v>
      </c>
      <c r="Y840" s="11">
        <v>713</v>
      </c>
      <c r="Z840" s="11">
        <v>7</v>
      </c>
      <c r="AA840" s="11">
        <v>1.85</v>
      </c>
      <c r="AB840" s="11">
        <v>0</v>
      </c>
      <c r="AC840" s="11"/>
      <c r="AD840" s="11" t="str">
        <f>IFERROR(__xludf.DUMMYFUNCTION("""COMPUTED_VALUE"""),"Amy Brenneman")</f>
        <v>Amy Brenneman</v>
      </c>
      <c r="AE840" s="11"/>
    </row>
    <row r="841" customHeight="1" spans="1:31">
      <c r="A841" s="12" t="s">
        <v>30</v>
      </c>
      <c r="B841" s="12" t="s">
        <v>4575</v>
      </c>
      <c r="C841" s="12">
        <v>92</v>
      </c>
      <c r="D841" s="12">
        <v>84</v>
      </c>
      <c r="E841" s="12">
        <v>12</v>
      </c>
      <c r="F841" s="12">
        <v>752</v>
      </c>
      <c r="G841" s="12">
        <v>23000</v>
      </c>
      <c r="H841" s="12">
        <v>141600000</v>
      </c>
      <c r="I841" s="12" t="s">
        <v>4576</v>
      </c>
      <c r="J841" s="12" t="s">
        <v>62</v>
      </c>
      <c r="K841" s="12" t="s">
        <v>1986</v>
      </c>
      <c r="L841" s="12" t="s">
        <v>4577</v>
      </c>
      <c r="M841" s="12" t="s">
        <v>4578</v>
      </c>
      <c r="N841" s="12">
        <v>119675</v>
      </c>
      <c r="O841" s="12">
        <v>26754</v>
      </c>
      <c r="P841" s="12">
        <v>1</v>
      </c>
      <c r="Q841" s="12" t="s">
        <v>4579</v>
      </c>
      <c r="R841" s="15" t="s">
        <v>4580</v>
      </c>
      <c r="S841" s="12">
        <v>216</v>
      </c>
      <c r="T841" s="12" t="s">
        <v>39</v>
      </c>
      <c r="U841" s="12" t="s">
        <v>40</v>
      </c>
      <c r="V841" s="12" t="s">
        <v>278</v>
      </c>
      <c r="W841" s="12">
        <v>55000000</v>
      </c>
      <c r="X841" s="12">
        <v>1995</v>
      </c>
      <c r="Y841" s="12">
        <v>2000</v>
      </c>
      <c r="Z841" s="12">
        <v>6.6</v>
      </c>
      <c r="AA841" s="12">
        <v>1.78</v>
      </c>
      <c r="AB841" s="12">
        <v>0</v>
      </c>
      <c r="AC841" s="12"/>
      <c r="AD841" s="12" t="str">
        <f>IFERROR(__xludf.DUMMYFUNCTION("""COMPUTED_VALUE"""),"Charlie Rowe")</f>
        <v>Charlie Rowe</v>
      </c>
      <c r="AE841" s="12"/>
    </row>
    <row r="842" customHeight="1" spans="1:31">
      <c r="A842" s="11" t="s">
        <v>30</v>
      </c>
      <c r="B842" s="11" t="s">
        <v>1059</v>
      </c>
      <c r="C842" s="11">
        <v>169</v>
      </c>
      <c r="D842" s="11">
        <v>188</v>
      </c>
      <c r="E842" s="11">
        <v>503</v>
      </c>
      <c r="F842" s="11">
        <v>467</v>
      </c>
      <c r="G842" s="11">
        <v>10000</v>
      </c>
      <c r="H842" s="11">
        <v>134218018</v>
      </c>
      <c r="I842" s="11" t="s">
        <v>4581</v>
      </c>
      <c r="J842" s="11" t="s">
        <v>121</v>
      </c>
      <c r="K842" s="11" t="s">
        <v>4582</v>
      </c>
      <c r="L842" s="11" t="s">
        <v>4184</v>
      </c>
      <c r="M842" s="11" t="s">
        <v>4583</v>
      </c>
      <c r="N842" s="11">
        <v>126357</v>
      </c>
      <c r="O842" s="11">
        <v>12940</v>
      </c>
      <c r="P842" s="11">
        <v>0</v>
      </c>
      <c r="Q842" s="11" t="s">
        <v>4584</v>
      </c>
      <c r="R842" s="14" t="s">
        <v>4585</v>
      </c>
      <c r="S842" s="11">
        <v>497</v>
      </c>
      <c r="T842" s="11" t="s">
        <v>39</v>
      </c>
      <c r="U842" s="11" t="s">
        <v>40</v>
      </c>
      <c r="V842" s="11" t="s">
        <v>96</v>
      </c>
      <c r="W842" s="11">
        <v>55000000</v>
      </c>
      <c r="X842" s="11">
        <v>1978</v>
      </c>
      <c r="Y842" s="11">
        <v>593</v>
      </c>
      <c r="Z842" s="11">
        <v>7.3</v>
      </c>
      <c r="AA842" s="11">
        <v>2.35</v>
      </c>
      <c r="AB842" s="11">
        <v>0</v>
      </c>
      <c r="AC842" s="11"/>
      <c r="AD842" s="11" t="str">
        <f>IFERROR(__xludf.DUMMYFUNCTION("""COMPUTED_VALUE"""),"Tiya Sircar")</f>
        <v>Tiya Sircar</v>
      </c>
      <c r="AE842" s="11"/>
    </row>
    <row r="843" customHeight="1" spans="1:31">
      <c r="A843" s="12" t="s">
        <v>30</v>
      </c>
      <c r="B843" s="12" t="s">
        <v>515</v>
      </c>
      <c r="C843" s="12">
        <v>57</v>
      </c>
      <c r="D843" s="12">
        <v>95</v>
      </c>
      <c r="E843" s="12">
        <v>293</v>
      </c>
      <c r="F843" s="12">
        <v>744</v>
      </c>
      <c r="G843" s="12">
        <v>851</v>
      </c>
      <c r="H843" s="12">
        <v>128769345</v>
      </c>
      <c r="I843" s="12" t="s">
        <v>2469</v>
      </c>
      <c r="J843" s="12" t="s">
        <v>805</v>
      </c>
      <c r="K843" s="12" t="s">
        <v>1441</v>
      </c>
      <c r="L843" s="12" t="s">
        <v>2638</v>
      </c>
      <c r="M843" s="12" t="s">
        <v>4586</v>
      </c>
      <c r="N843" s="12">
        <v>86556</v>
      </c>
      <c r="O843" s="12">
        <v>3155</v>
      </c>
      <c r="P843" s="12">
        <v>1</v>
      </c>
      <c r="Q843" s="12" t="s">
        <v>4587</v>
      </c>
      <c r="R843" s="15" t="s">
        <v>4588</v>
      </c>
      <c r="S843" s="12">
        <v>99</v>
      </c>
      <c r="T843" s="12" t="s">
        <v>39</v>
      </c>
      <c r="U843" s="12" t="s">
        <v>40</v>
      </c>
      <c r="V843" s="12" t="s">
        <v>41</v>
      </c>
      <c r="W843" s="12">
        <v>54000000</v>
      </c>
      <c r="X843" s="12">
        <v>1996</v>
      </c>
      <c r="Y843" s="12">
        <v>773</v>
      </c>
      <c r="Z843" s="12">
        <v>5.6</v>
      </c>
      <c r="AA843" s="12">
        <v>1.85</v>
      </c>
      <c r="AB843" s="12">
        <v>960</v>
      </c>
      <c r="AC843" s="12"/>
      <c r="AD843" s="12" t="str">
        <f>IFERROR(__xludf.DUMMYFUNCTION("""COMPUTED_VALUE"""),"Madison Rothschild")</f>
        <v>Madison Rothschild</v>
      </c>
      <c r="AE843" s="12"/>
    </row>
    <row r="844" customHeight="1" spans="1:31">
      <c r="A844" s="11" t="s">
        <v>30</v>
      </c>
      <c r="B844" s="11" t="s">
        <v>3137</v>
      </c>
      <c r="C844" s="11">
        <v>171</v>
      </c>
      <c r="D844" s="11">
        <v>118</v>
      </c>
      <c r="E844" s="11">
        <v>72</v>
      </c>
      <c r="F844" s="11">
        <v>681</v>
      </c>
      <c r="G844" s="11">
        <v>10000</v>
      </c>
      <c r="H844" s="11">
        <v>177575142</v>
      </c>
      <c r="I844" s="11" t="s">
        <v>1681</v>
      </c>
      <c r="J844" s="11" t="s">
        <v>166</v>
      </c>
      <c r="K844" s="11" t="s">
        <v>2524</v>
      </c>
      <c r="L844" s="11" t="s">
        <v>2191</v>
      </c>
      <c r="M844" s="11" t="s">
        <v>4589</v>
      </c>
      <c r="N844" s="11">
        <v>244840</v>
      </c>
      <c r="O844" s="11">
        <v>13426</v>
      </c>
      <c r="P844" s="11">
        <v>1</v>
      </c>
      <c r="Q844" s="11" t="s">
        <v>4590</v>
      </c>
      <c r="R844" s="14" t="s">
        <v>4591</v>
      </c>
      <c r="S844" s="11">
        <v>372</v>
      </c>
      <c r="T844" s="11" t="s">
        <v>39</v>
      </c>
      <c r="U844" s="11" t="s">
        <v>40</v>
      </c>
      <c r="V844" s="11" t="s">
        <v>41</v>
      </c>
      <c r="W844" s="11">
        <v>70000000</v>
      </c>
      <c r="X844" s="11">
        <v>2005</v>
      </c>
      <c r="Y844" s="11">
        <v>975</v>
      </c>
      <c r="Z844" s="11">
        <v>6.6</v>
      </c>
      <c r="AA844" s="11">
        <v>2.35</v>
      </c>
      <c r="AB844" s="11">
        <v>0</v>
      </c>
      <c r="AC844" s="11"/>
      <c r="AD844" s="11" t="str">
        <f>IFERROR(__xludf.DUMMYFUNCTION("""COMPUTED_VALUE"""),"Richard Tyson")</f>
        <v>Richard Tyson</v>
      </c>
      <c r="AE844" s="11"/>
    </row>
    <row r="845" customHeight="1" spans="1:31">
      <c r="A845" s="12" t="s">
        <v>30</v>
      </c>
      <c r="B845" s="12" t="s">
        <v>4592</v>
      </c>
      <c r="C845" s="12">
        <v>53</v>
      </c>
      <c r="D845" s="12">
        <v>92</v>
      </c>
      <c r="E845" s="12">
        <v>39</v>
      </c>
      <c r="F845" s="12">
        <v>458</v>
      </c>
      <c r="G845" s="12">
        <v>3000</v>
      </c>
      <c r="H845" s="12">
        <v>105263257</v>
      </c>
      <c r="I845" s="12" t="s">
        <v>4593</v>
      </c>
      <c r="J845" s="12" t="s">
        <v>503</v>
      </c>
      <c r="K845" s="12" t="s">
        <v>616</v>
      </c>
      <c r="L845" s="12" t="s">
        <v>4594</v>
      </c>
      <c r="M845" s="12" t="s">
        <v>4595</v>
      </c>
      <c r="N845" s="12">
        <v>56168</v>
      </c>
      <c r="O845" s="12">
        <v>4518</v>
      </c>
      <c r="P845" s="12">
        <v>0</v>
      </c>
      <c r="Q845" s="12" t="s">
        <v>4596</v>
      </c>
      <c r="R845" s="15" t="s">
        <v>4597</v>
      </c>
      <c r="S845" s="12">
        <v>103</v>
      </c>
      <c r="T845" s="12" t="s">
        <v>39</v>
      </c>
      <c r="U845" s="12" t="s">
        <v>40</v>
      </c>
      <c r="V845" s="12" t="s">
        <v>96</v>
      </c>
      <c r="W845" s="12">
        <v>55000000</v>
      </c>
      <c r="X845" s="12">
        <v>1997</v>
      </c>
      <c r="Y845" s="12">
        <v>562</v>
      </c>
      <c r="Z845" s="12">
        <v>5.4</v>
      </c>
      <c r="AA845" s="12">
        <v>1.85</v>
      </c>
      <c r="AB845" s="12">
        <v>5000</v>
      </c>
      <c r="AC845" s="12"/>
      <c r="AD845" s="12" t="str">
        <f>IFERROR(__xludf.DUMMYFUNCTION("""COMPUTED_VALUE"""),"John Topor")</f>
        <v>John Topor</v>
      </c>
      <c r="AE845" s="12"/>
    </row>
    <row r="846" customHeight="1" spans="1:31">
      <c r="A846" s="11" t="s">
        <v>30</v>
      </c>
      <c r="B846" s="11" t="s">
        <v>4598</v>
      </c>
      <c r="C846" s="11">
        <v>153</v>
      </c>
      <c r="D846" s="11">
        <v>74</v>
      </c>
      <c r="E846" s="11">
        <v>58</v>
      </c>
      <c r="F846" s="11">
        <v>729</v>
      </c>
      <c r="G846" s="11">
        <v>3000</v>
      </c>
      <c r="H846" s="11">
        <v>104354205</v>
      </c>
      <c r="I846" s="11" t="s">
        <v>1681</v>
      </c>
      <c r="J846" s="11" t="s">
        <v>4599</v>
      </c>
      <c r="K846" s="11" t="s">
        <v>4600</v>
      </c>
      <c r="L846" s="11" t="s">
        <v>417</v>
      </c>
      <c r="M846" s="11" t="s">
        <v>4601</v>
      </c>
      <c r="N846" s="11">
        <v>162331</v>
      </c>
      <c r="O846" s="11">
        <v>5713</v>
      </c>
      <c r="P846" s="11">
        <v>3</v>
      </c>
      <c r="Q846" s="11" t="s">
        <v>4602</v>
      </c>
      <c r="R846" s="14" t="s">
        <v>4603</v>
      </c>
      <c r="S846" s="11">
        <v>332</v>
      </c>
      <c r="T846" s="11" t="s">
        <v>39</v>
      </c>
      <c r="U846" s="11" t="s">
        <v>40</v>
      </c>
      <c r="V846" s="11" t="s">
        <v>586</v>
      </c>
      <c r="W846" s="11">
        <v>55000000</v>
      </c>
      <c r="X846" s="11">
        <v>2003</v>
      </c>
      <c r="Y846" s="11">
        <v>864</v>
      </c>
      <c r="Z846" s="11">
        <v>6.3</v>
      </c>
      <c r="AA846" s="11">
        <v>2.35</v>
      </c>
      <c r="AB846" s="11">
        <v>0</v>
      </c>
      <c r="AC846" s="11"/>
      <c r="AD846" s="11" t="str">
        <f>IFERROR(__xludf.DUMMYFUNCTION("""COMPUTED_VALUE"""),"Jenna Elfman")</f>
        <v>Jenna Elfman</v>
      </c>
      <c r="AE846" s="11"/>
    </row>
    <row r="847" customHeight="1" spans="1:31">
      <c r="A847" s="12" t="s">
        <v>30</v>
      </c>
      <c r="B847" s="12" t="s">
        <v>1156</v>
      </c>
      <c r="C847" s="12">
        <v>491</v>
      </c>
      <c r="D847" s="12">
        <v>134</v>
      </c>
      <c r="E847" s="12">
        <v>521</v>
      </c>
      <c r="F847" s="12">
        <v>186</v>
      </c>
      <c r="G847" s="12">
        <v>15000</v>
      </c>
      <c r="H847" s="12">
        <v>107100855</v>
      </c>
      <c r="I847" s="12" t="s">
        <v>3582</v>
      </c>
      <c r="J847" s="12" t="s">
        <v>322</v>
      </c>
      <c r="K847" s="12" t="s">
        <v>4604</v>
      </c>
      <c r="L847" s="12" t="s">
        <v>4605</v>
      </c>
      <c r="M847" s="12" t="s">
        <v>4606</v>
      </c>
      <c r="N847" s="12">
        <v>323353</v>
      </c>
      <c r="O847" s="12">
        <v>16281</v>
      </c>
      <c r="P847" s="12">
        <v>0</v>
      </c>
      <c r="Q847" s="12" t="s">
        <v>4607</v>
      </c>
      <c r="R847" s="15" t="s">
        <v>4608</v>
      </c>
      <c r="S847" s="12">
        <v>527</v>
      </c>
      <c r="T847" s="12" t="s">
        <v>39</v>
      </c>
      <c r="U847" s="12" t="s">
        <v>40</v>
      </c>
      <c r="V847" s="12" t="s">
        <v>41</v>
      </c>
      <c r="W847" s="12">
        <v>55000000</v>
      </c>
      <c r="X847" s="12">
        <v>2013</v>
      </c>
      <c r="Y847" s="12">
        <v>535</v>
      </c>
      <c r="Z847" s="12">
        <v>7.9</v>
      </c>
      <c r="AA847" s="12">
        <v>2.35</v>
      </c>
      <c r="AB847" s="12">
        <v>65000</v>
      </c>
      <c r="AC847" s="12"/>
      <c r="AD847" s="12" t="str">
        <f>IFERROR(__xludf.DUMMYFUNCTION("""COMPUTED_VALUE"""),"Heather Locklear")</f>
        <v>Heather Locklear</v>
      </c>
      <c r="AE847" s="12"/>
    </row>
    <row r="848" customHeight="1" spans="1:31">
      <c r="A848" s="11" t="s">
        <v>30</v>
      </c>
      <c r="B848" s="11" t="s">
        <v>810</v>
      </c>
      <c r="C848" s="11">
        <v>247</v>
      </c>
      <c r="D848" s="11">
        <v>101</v>
      </c>
      <c r="E848" s="11">
        <v>189</v>
      </c>
      <c r="F848" s="11">
        <v>7000</v>
      </c>
      <c r="G848" s="11">
        <v>15000</v>
      </c>
      <c r="H848" s="11">
        <v>98711404</v>
      </c>
      <c r="I848" s="11" t="s">
        <v>4235</v>
      </c>
      <c r="J848" s="11" t="s">
        <v>292</v>
      </c>
      <c r="K848" s="11" t="s">
        <v>83</v>
      </c>
      <c r="L848" s="11" t="s">
        <v>518</v>
      </c>
      <c r="M848" s="11" t="s">
        <v>4609</v>
      </c>
      <c r="N848" s="11">
        <v>127571</v>
      </c>
      <c r="O848" s="11">
        <v>39822</v>
      </c>
      <c r="P848" s="11">
        <v>2</v>
      </c>
      <c r="Q848" s="11" t="s">
        <v>4610</v>
      </c>
      <c r="R848" s="14" t="s">
        <v>4611</v>
      </c>
      <c r="S848" s="11">
        <v>207</v>
      </c>
      <c r="T848" s="11" t="s">
        <v>39</v>
      </c>
      <c r="U848" s="11" t="s">
        <v>40</v>
      </c>
      <c r="V848" s="11" t="s">
        <v>41</v>
      </c>
      <c r="W848" s="11">
        <v>55000000</v>
      </c>
      <c r="X848" s="11">
        <v>2010</v>
      </c>
      <c r="Y848" s="11">
        <v>11000</v>
      </c>
      <c r="Z848" s="11">
        <v>6.3</v>
      </c>
      <c r="AA848" s="11">
        <v>2.35</v>
      </c>
      <c r="AB848" s="11">
        <v>0</v>
      </c>
      <c r="AC848" s="11"/>
      <c r="AD848" s="11" t="str">
        <f>IFERROR(__xludf.DUMMYFUNCTION("""COMPUTED_VALUE"""),"Fergie")</f>
        <v>Fergie</v>
      </c>
      <c r="AE848" s="11"/>
    </row>
    <row r="849" customHeight="1" spans="1:31">
      <c r="A849" s="12" t="s">
        <v>30</v>
      </c>
      <c r="B849" s="12" t="s">
        <v>1874</v>
      </c>
      <c r="C849" s="12">
        <v>26</v>
      </c>
      <c r="D849" s="12">
        <v>100</v>
      </c>
      <c r="E849" s="12">
        <v>52</v>
      </c>
      <c r="F849" s="12">
        <v>394</v>
      </c>
      <c r="G849" s="12">
        <v>795</v>
      </c>
      <c r="H849" s="12">
        <v>100328194</v>
      </c>
      <c r="I849" s="12" t="s">
        <v>516</v>
      </c>
      <c r="J849" s="12" t="s">
        <v>724</v>
      </c>
      <c r="K849" s="12" t="s">
        <v>4612</v>
      </c>
      <c r="L849" s="12" t="s">
        <v>4284</v>
      </c>
      <c r="M849" s="12" t="s">
        <v>4613</v>
      </c>
      <c r="N849" s="12">
        <v>85903</v>
      </c>
      <c r="O849" s="12">
        <v>2638</v>
      </c>
      <c r="P849" s="12">
        <v>0</v>
      </c>
      <c r="Q849" s="12" t="s">
        <v>4614</v>
      </c>
      <c r="R849" s="15" t="s">
        <v>4615</v>
      </c>
      <c r="S849" s="12">
        <v>92</v>
      </c>
      <c r="T849" s="12" t="s">
        <v>39</v>
      </c>
      <c r="U849" s="12" t="s">
        <v>40</v>
      </c>
      <c r="V849" s="12" t="s">
        <v>96</v>
      </c>
      <c r="W849" s="12">
        <v>50000000</v>
      </c>
      <c r="X849" s="12">
        <v>1995</v>
      </c>
      <c r="Y849" s="12">
        <v>419</v>
      </c>
      <c r="Z849" s="12">
        <v>6</v>
      </c>
      <c r="AA849" s="12">
        <v>1.85</v>
      </c>
      <c r="AB849" s="12">
        <v>0</v>
      </c>
      <c r="AC849" s="12"/>
      <c r="AD849" s="12" t="str">
        <f>IFERROR(__xludf.DUMMYFUNCTION("""COMPUTED_VALUE"""),"Elio Germano")</f>
        <v>Elio Germano</v>
      </c>
      <c r="AE849" s="12"/>
    </row>
    <row r="850" customHeight="1" spans="1:31">
      <c r="A850" s="11" t="s">
        <v>30</v>
      </c>
      <c r="B850" s="11" t="s">
        <v>3099</v>
      </c>
      <c r="C850" s="11">
        <v>292</v>
      </c>
      <c r="D850" s="11">
        <v>132</v>
      </c>
      <c r="E850" s="11">
        <v>845</v>
      </c>
      <c r="F850" s="11">
        <v>683</v>
      </c>
      <c r="G850" s="11">
        <v>18000</v>
      </c>
      <c r="H850" s="11">
        <v>101530738</v>
      </c>
      <c r="I850" s="11" t="s">
        <v>334</v>
      </c>
      <c r="J850" s="11" t="s">
        <v>1727</v>
      </c>
      <c r="K850" s="11" t="s">
        <v>490</v>
      </c>
      <c r="L850" s="11" t="s">
        <v>4616</v>
      </c>
      <c r="M850" s="11" t="s">
        <v>4617</v>
      </c>
      <c r="N850" s="11">
        <v>229574</v>
      </c>
      <c r="O850" s="11">
        <v>37605</v>
      </c>
      <c r="P850" s="11">
        <v>0</v>
      </c>
      <c r="Q850" s="11" t="s">
        <v>4618</v>
      </c>
      <c r="R850" s="14" t="s">
        <v>4619</v>
      </c>
      <c r="S850" s="11">
        <v>436</v>
      </c>
      <c r="T850" s="11" t="s">
        <v>39</v>
      </c>
      <c r="U850" s="11" t="s">
        <v>40</v>
      </c>
      <c r="V850" s="11" t="s">
        <v>586</v>
      </c>
      <c r="W850" s="11">
        <v>55000000</v>
      </c>
      <c r="X850" s="11">
        <v>2014</v>
      </c>
      <c r="Y850" s="11">
        <v>17000</v>
      </c>
      <c r="Z850" s="11">
        <v>7.2</v>
      </c>
      <c r="AA850" s="11">
        <v>2.35</v>
      </c>
      <c r="AB850" s="11">
        <v>56000</v>
      </c>
      <c r="AC850" s="11"/>
      <c r="AD850" s="11" t="str">
        <f>IFERROR(__xludf.DUMMYFUNCTION("""COMPUTED_VALUE"""),"Andrea Di Stefano")</f>
        <v>Andrea Di Stefano</v>
      </c>
      <c r="AE850" s="11"/>
    </row>
    <row r="851" customHeight="1" spans="1:31">
      <c r="A851" s="12" t="s">
        <v>30</v>
      </c>
      <c r="B851" s="12" t="s">
        <v>4620</v>
      </c>
      <c r="C851" s="12">
        <v>114</v>
      </c>
      <c r="D851" s="12">
        <v>105</v>
      </c>
      <c r="E851" s="12">
        <v>61</v>
      </c>
      <c r="F851" s="12">
        <v>708</v>
      </c>
      <c r="G851" s="12">
        <v>5000</v>
      </c>
      <c r="H851" s="12">
        <v>93815117</v>
      </c>
      <c r="I851" s="12" t="s">
        <v>1415</v>
      </c>
      <c r="J851" s="12" t="s">
        <v>2398</v>
      </c>
      <c r="K851" s="12" t="s">
        <v>1546</v>
      </c>
      <c r="L851" s="12" t="s">
        <v>4621</v>
      </c>
      <c r="M851" s="12" t="s">
        <v>4622</v>
      </c>
      <c r="N851" s="12">
        <v>68417</v>
      </c>
      <c r="O851" s="12">
        <v>7184</v>
      </c>
      <c r="P851" s="12">
        <v>2</v>
      </c>
      <c r="Q851" s="12" t="s">
        <v>4623</v>
      </c>
      <c r="R851" s="15" t="s">
        <v>4624</v>
      </c>
      <c r="S851" s="12">
        <v>242</v>
      </c>
      <c r="T851" s="12" t="s">
        <v>39</v>
      </c>
      <c r="U851" s="12" t="s">
        <v>40</v>
      </c>
      <c r="V851" s="12" t="s">
        <v>41</v>
      </c>
      <c r="W851" s="12">
        <v>55000000</v>
      </c>
      <c r="X851" s="12">
        <v>2002</v>
      </c>
      <c r="Y851" s="12">
        <v>827</v>
      </c>
      <c r="Z851" s="12">
        <v>5.1</v>
      </c>
      <c r="AA851" s="12">
        <v>2.35</v>
      </c>
      <c r="AB851" s="12">
        <v>0</v>
      </c>
      <c r="AC851" s="12"/>
      <c r="AD851" s="12" t="str">
        <f>IFERROR(__xludf.DUMMYFUNCTION("""COMPUTED_VALUE"""),"Brian Anthony Wilson")</f>
        <v>Brian Anthony Wilson</v>
      </c>
      <c r="AE851" s="12"/>
    </row>
    <row r="852" customHeight="1" spans="1:31">
      <c r="A852" s="11" t="s">
        <v>30</v>
      </c>
      <c r="B852" s="11" t="s">
        <v>1740</v>
      </c>
      <c r="C852" s="11">
        <v>82</v>
      </c>
      <c r="D852" s="11">
        <v>123</v>
      </c>
      <c r="E852" s="11">
        <v>12000</v>
      </c>
      <c r="F852" s="11">
        <v>665</v>
      </c>
      <c r="G852" s="11">
        <v>18000</v>
      </c>
      <c r="H852" s="11">
        <v>91400000</v>
      </c>
      <c r="I852" s="11" t="s">
        <v>1910</v>
      </c>
      <c r="J852" s="11" t="s">
        <v>1727</v>
      </c>
      <c r="K852" s="11" t="s">
        <v>2825</v>
      </c>
      <c r="L852" s="11" t="s">
        <v>4625</v>
      </c>
      <c r="M852" s="11" t="s">
        <v>4626</v>
      </c>
      <c r="N852" s="11">
        <v>81026</v>
      </c>
      <c r="O852" s="11">
        <v>30132</v>
      </c>
      <c r="P852" s="11">
        <v>0</v>
      </c>
      <c r="Q852" s="11" t="s">
        <v>4627</v>
      </c>
      <c r="R852" s="14" t="s">
        <v>4628</v>
      </c>
      <c r="S852" s="11">
        <v>194</v>
      </c>
      <c r="T852" s="11" t="s">
        <v>39</v>
      </c>
      <c r="U852" s="11" t="s">
        <v>40</v>
      </c>
      <c r="V852" s="11" t="s">
        <v>586</v>
      </c>
      <c r="W852" s="11">
        <v>53000000</v>
      </c>
      <c r="X852" s="11">
        <v>1995</v>
      </c>
      <c r="Y852" s="11">
        <v>10000</v>
      </c>
      <c r="Z852" s="11">
        <v>7.3</v>
      </c>
      <c r="AA852" s="11">
        <v>2.35</v>
      </c>
      <c r="AB852" s="11">
        <v>0</v>
      </c>
      <c r="AC852" s="11"/>
      <c r="AD852" s="11" t="str">
        <f>IFERROR(__xludf.DUMMYFUNCTION("""COMPUTED_VALUE"""),"Larenz Tate")</f>
        <v>Larenz Tate</v>
      </c>
      <c r="AE852" s="11"/>
    </row>
    <row r="853" customHeight="1" spans="1:31">
      <c r="A853" s="12" t="s">
        <v>30</v>
      </c>
      <c r="B853" s="12" t="s">
        <v>4629</v>
      </c>
      <c r="C853" s="12">
        <v>201</v>
      </c>
      <c r="D853" s="12">
        <v>117</v>
      </c>
      <c r="E853" s="12">
        <v>125</v>
      </c>
      <c r="F853" s="12">
        <v>168</v>
      </c>
      <c r="G853" s="12">
        <v>10000</v>
      </c>
      <c r="H853" s="12">
        <v>162586036</v>
      </c>
      <c r="I853" s="12" t="s">
        <v>1544</v>
      </c>
      <c r="J853" s="12" t="s">
        <v>166</v>
      </c>
      <c r="K853" s="12" t="s">
        <v>4630</v>
      </c>
      <c r="L853" s="12" t="s">
        <v>4631</v>
      </c>
      <c r="M853" s="12" t="s">
        <v>4632</v>
      </c>
      <c r="N853" s="12">
        <v>338383</v>
      </c>
      <c r="O853" s="12">
        <v>11036</v>
      </c>
      <c r="P853" s="12">
        <v>0</v>
      </c>
      <c r="Q853" s="12" t="s">
        <v>4633</v>
      </c>
      <c r="R853" s="15" t="s">
        <v>4634</v>
      </c>
      <c r="S853" s="12">
        <v>611</v>
      </c>
      <c r="T853" s="12" t="s">
        <v>39</v>
      </c>
      <c r="U853" s="12" t="s">
        <v>40</v>
      </c>
      <c r="V853" s="12" t="s">
        <v>41</v>
      </c>
      <c r="W853" s="12">
        <v>55000000</v>
      </c>
      <c r="X853" s="12">
        <v>2006</v>
      </c>
      <c r="Y853" s="12">
        <v>617</v>
      </c>
      <c r="Z853" s="12">
        <v>8</v>
      </c>
      <c r="AA853" s="12">
        <v>2.35</v>
      </c>
      <c r="AB853" s="12">
        <v>32000</v>
      </c>
      <c r="AC853" s="12"/>
      <c r="AD853" s="12" t="str">
        <f>IFERROR(__xludf.DUMMYFUNCTION("""COMPUTED_VALUE"""),"Adam Goldberg")</f>
        <v>Adam Goldberg</v>
      </c>
      <c r="AE853" s="12"/>
    </row>
    <row r="854" customHeight="1" spans="1:31">
      <c r="A854" s="11" t="s">
        <v>30</v>
      </c>
      <c r="B854" s="11" t="s">
        <v>1258</v>
      </c>
      <c r="C854" s="11">
        <v>231</v>
      </c>
      <c r="D854" s="11">
        <v>98</v>
      </c>
      <c r="E854" s="11">
        <v>124</v>
      </c>
      <c r="F854" s="11">
        <v>354</v>
      </c>
      <c r="G854" s="11">
        <v>931</v>
      </c>
      <c r="H854" s="11">
        <v>89706988</v>
      </c>
      <c r="I854" s="11" t="s">
        <v>1924</v>
      </c>
      <c r="J854" s="11" t="s">
        <v>4635</v>
      </c>
      <c r="K854" s="11" t="s">
        <v>4353</v>
      </c>
      <c r="L854" s="11" t="s">
        <v>4636</v>
      </c>
      <c r="M854" s="11" t="s">
        <v>4637</v>
      </c>
      <c r="N854" s="11">
        <v>126746</v>
      </c>
      <c r="O854" s="11">
        <v>2287</v>
      </c>
      <c r="P854" s="11">
        <v>1</v>
      </c>
      <c r="Q854" s="11" t="s">
        <v>4638</v>
      </c>
      <c r="R854" s="14" t="s">
        <v>4639</v>
      </c>
      <c r="S854" s="11">
        <v>600</v>
      </c>
      <c r="T854" s="11" t="s">
        <v>39</v>
      </c>
      <c r="U854" s="11" t="s">
        <v>40</v>
      </c>
      <c r="V854" s="11" t="s">
        <v>41</v>
      </c>
      <c r="W854" s="11">
        <v>55000000</v>
      </c>
      <c r="X854" s="11">
        <v>2005</v>
      </c>
      <c r="Y854" s="11">
        <v>507</v>
      </c>
      <c r="Z854" s="11">
        <v>6.2</v>
      </c>
      <c r="AA854" s="11">
        <v>2.35</v>
      </c>
      <c r="AB854" s="11">
        <v>0</v>
      </c>
      <c r="AC854" s="11"/>
      <c r="AD854" s="11" t="str">
        <f>IFERROR(__xludf.DUMMYFUNCTION("""COMPUTED_VALUE"""),"Glenne Headly")</f>
        <v>Glenne Headly</v>
      </c>
      <c r="AE854" s="11"/>
    </row>
    <row r="855" customHeight="1" spans="1:31">
      <c r="A855" s="12" t="s">
        <v>30</v>
      </c>
      <c r="B855" s="12" t="s">
        <v>3123</v>
      </c>
      <c r="C855" s="12">
        <v>55</v>
      </c>
      <c r="D855" s="12">
        <v>128</v>
      </c>
      <c r="E855" s="12">
        <v>272</v>
      </c>
      <c r="F855" s="12">
        <v>383</v>
      </c>
      <c r="G855" s="12">
        <v>2000</v>
      </c>
      <c r="H855" s="12">
        <v>83000000</v>
      </c>
      <c r="I855" s="12" t="s">
        <v>4075</v>
      </c>
      <c r="J855" s="12" t="s">
        <v>1376</v>
      </c>
      <c r="K855" s="12" t="s">
        <v>4640</v>
      </c>
      <c r="L855" s="12" t="s">
        <v>1761</v>
      </c>
      <c r="M855" s="12" t="s">
        <v>4641</v>
      </c>
      <c r="N855" s="12">
        <v>36587</v>
      </c>
      <c r="O855" s="12">
        <v>3888</v>
      </c>
      <c r="P855" s="12">
        <v>0</v>
      </c>
      <c r="Q855" s="12" t="s">
        <v>4642</v>
      </c>
      <c r="R855" s="15" t="s">
        <v>4643</v>
      </c>
      <c r="S855" s="12">
        <v>95</v>
      </c>
      <c r="T855" s="12" t="s">
        <v>39</v>
      </c>
      <c r="U855" s="12" t="s">
        <v>40</v>
      </c>
      <c r="V855" s="12" t="s">
        <v>586</v>
      </c>
      <c r="W855" s="12">
        <v>55000000</v>
      </c>
      <c r="X855" s="12">
        <v>1994</v>
      </c>
      <c r="Y855" s="12">
        <v>812</v>
      </c>
      <c r="Z855" s="12">
        <v>6</v>
      </c>
      <c r="AA855" s="12">
        <v>2.35</v>
      </c>
      <c r="AB855" s="12">
        <v>0</v>
      </c>
      <c r="AC855" s="12"/>
      <c r="AD855" s="12" t="str">
        <f>IFERROR(__xludf.DUMMYFUNCTION("""COMPUTED_VALUE"""),"Joseph Gilgun")</f>
        <v>Joseph Gilgun</v>
      </c>
      <c r="AE855" s="12"/>
    </row>
    <row r="856" customHeight="1" spans="1:31">
      <c r="A856" s="11" t="s">
        <v>30</v>
      </c>
      <c r="B856" s="11" t="s">
        <v>1874</v>
      </c>
      <c r="C856" s="11">
        <v>110</v>
      </c>
      <c r="D856" s="11">
        <v>114</v>
      </c>
      <c r="E856" s="11">
        <v>52</v>
      </c>
      <c r="F856" s="11">
        <v>539</v>
      </c>
      <c r="G856" s="11">
        <v>12000</v>
      </c>
      <c r="H856" s="11">
        <v>78745923</v>
      </c>
      <c r="I856" s="11" t="s">
        <v>687</v>
      </c>
      <c r="J856" s="11" t="s">
        <v>705</v>
      </c>
      <c r="K856" s="11" t="s">
        <v>714</v>
      </c>
      <c r="L856" s="11" t="s">
        <v>4162</v>
      </c>
      <c r="M856" s="11" t="s">
        <v>4644</v>
      </c>
      <c r="N856" s="11">
        <v>94407</v>
      </c>
      <c r="O856" s="11">
        <v>13905</v>
      </c>
      <c r="P856" s="11">
        <v>1</v>
      </c>
      <c r="Q856" s="11" t="s">
        <v>4645</v>
      </c>
      <c r="R856" s="14" t="s">
        <v>4646</v>
      </c>
      <c r="S856" s="11">
        <v>322</v>
      </c>
      <c r="T856" s="11" t="s">
        <v>39</v>
      </c>
      <c r="U856" s="11" t="s">
        <v>768</v>
      </c>
      <c r="V856" s="11" t="s">
        <v>41</v>
      </c>
      <c r="W856" s="11">
        <v>55000000</v>
      </c>
      <c r="X856" s="11">
        <v>1998</v>
      </c>
      <c r="Y856" s="11">
        <v>702</v>
      </c>
      <c r="Z856" s="11">
        <v>6.7</v>
      </c>
      <c r="AA856" s="11">
        <v>2.35</v>
      </c>
      <c r="AB856" s="11">
        <v>0</v>
      </c>
      <c r="AC856" s="11"/>
      <c r="AD856" s="11" t="str">
        <f>IFERROR(__xludf.DUMMYFUNCTION("""COMPUTED_VALUE"""),"Lotte Verbeek")</f>
        <v>Lotte Verbeek</v>
      </c>
      <c r="AE856" s="11"/>
    </row>
    <row r="857" customHeight="1" spans="1:31">
      <c r="A857" s="12" t="s">
        <v>748</v>
      </c>
      <c r="B857" s="12" t="s">
        <v>1765</v>
      </c>
      <c r="C857" s="12">
        <v>354</v>
      </c>
      <c r="D857" s="12">
        <v>111</v>
      </c>
      <c r="E857" s="12">
        <v>16000</v>
      </c>
      <c r="F857" s="12">
        <v>640</v>
      </c>
      <c r="G857" s="12">
        <v>926</v>
      </c>
      <c r="H857" s="12">
        <v>70098138</v>
      </c>
      <c r="I857" s="12" t="s">
        <v>1326</v>
      </c>
      <c r="J857" s="12" t="s">
        <v>4647</v>
      </c>
      <c r="K857" s="12" t="s">
        <v>634</v>
      </c>
      <c r="L857" s="12" t="s">
        <v>4648</v>
      </c>
      <c r="M857" s="12" t="s">
        <v>4649</v>
      </c>
      <c r="N857" s="12">
        <v>735784</v>
      </c>
      <c r="O857" s="12">
        <v>3983</v>
      </c>
      <c r="P857" s="12">
        <v>0</v>
      </c>
      <c r="Q857" s="12" t="s">
        <v>4650</v>
      </c>
      <c r="R857" s="15" t="s">
        <v>4651</v>
      </c>
      <c r="S857" s="12">
        <v>2105</v>
      </c>
      <c r="T857" s="12" t="s">
        <v>39</v>
      </c>
      <c r="U857" s="12" t="s">
        <v>40</v>
      </c>
      <c r="V857" s="12" t="s">
        <v>586</v>
      </c>
      <c r="W857" s="12">
        <v>30000000</v>
      </c>
      <c r="X857" s="12">
        <v>2003</v>
      </c>
      <c r="Y857" s="12">
        <v>890</v>
      </c>
      <c r="Z857" s="12">
        <v>8.1</v>
      </c>
      <c r="AA857" s="12">
        <v>2.35</v>
      </c>
      <c r="AB857" s="12">
        <v>13000</v>
      </c>
      <c r="AC857" s="12"/>
      <c r="AD857" s="12" t="str">
        <f>IFERROR(__xludf.DUMMYFUNCTION("""COMPUTED_VALUE"""),"Bob Neill")</f>
        <v>Bob Neill</v>
      </c>
      <c r="AE857" s="12"/>
    </row>
    <row r="858" customHeight="1" spans="1:31">
      <c r="A858" s="11" t="s">
        <v>30</v>
      </c>
      <c r="B858" s="11" t="s">
        <v>1955</v>
      </c>
      <c r="C858" s="11">
        <v>140</v>
      </c>
      <c r="D858" s="11">
        <v>85</v>
      </c>
      <c r="E858" s="11">
        <v>0</v>
      </c>
      <c r="F858" s="11">
        <v>490</v>
      </c>
      <c r="G858" s="11">
        <v>21000</v>
      </c>
      <c r="H858" s="11">
        <v>66365290</v>
      </c>
      <c r="I858" s="11" t="s">
        <v>1672</v>
      </c>
      <c r="J858" s="11" t="s">
        <v>99</v>
      </c>
      <c r="K858" s="11" t="s">
        <v>4652</v>
      </c>
      <c r="L858" s="11" t="s">
        <v>1891</v>
      </c>
      <c r="M858" s="11" t="s">
        <v>4653</v>
      </c>
      <c r="N858" s="11">
        <v>56874</v>
      </c>
      <c r="O858" s="11">
        <v>22458</v>
      </c>
      <c r="P858" s="11">
        <v>2</v>
      </c>
      <c r="Q858" s="11" t="s">
        <v>4654</v>
      </c>
      <c r="R858" s="14" t="s">
        <v>4655</v>
      </c>
      <c r="S858" s="11">
        <v>358</v>
      </c>
      <c r="T858" s="11" t="s">
        <v>39</v>
      </c>
      <c r="U858" s="11" t="s">
        <v>40</v>
      </c>
      <c r="V858" s="11" t="s">
        <v>41</v>
      </c>
      <c r="W858" s="11">
        <v>55000000</v>
      </c>
      <c r="X858" s="11">
        <v>1999</v>
      </c>
      <c r="Y858" s="11">
        <v>860</v>
      </c>
      <c r="Z858" s="11">
        <v>6.4</v>
      </c>
      <c r="AA858" s="11">
        <v>1.37</v>
      </c>
      <c r="AB858" s="11">
        <v>0</v>
      </c>
      <c r="AC858" s="11"/>
      <c r="AD858" s="11" t="str">
        <f>IFERROR(__xludf.DUMMYFUNCTION("""COMPUTED_VALUE"""),"Val Kilmer")</f>
        <v>Val Kilmer</v>
      </c>
      <c r="AE858" s="11"/>
    </row>
    <row r="859" customHeight="1" spans="1:31">
      <c r="A859" s="12" t="s">
        <v>30</v>
      </c>
      <c r="B859" s="16"/>
      <c r="C859" s="12">
        <v>77</v>
      </c>
      <c r="D859" s="12">
        <v>44</v>
      </c>
      <c r="E859" s="16"/>
      <c r="F859" s="12">
        <v>72</v>
      </c>
      <c r="G859" s="12">
        <v>847</v>
      </c>
      <c r="H859" s="16"/>
      <c r="I859" s="12" t="s">
        <v>572</v>
      </c>
      <c r="J859" s="12" t="s">
        <v>4656</v>
      </c>
      <c r="K859" s="12" t="s">
        <v>4657</v>
      </c>
      <c r="L859" s="12" t="s">
        <v>4658</v>
      </c>
      <c r="M859" s="12" t="s">
        <v>4659</v>
      </c>
      <c r="N859" s="12">
        <v>63982</v>
      </c>
      <c r="O859" s="12">
        <v>1359</v>
      </c>
      <c r="P859" s="12">
        <v>4</v>
      </c>
      <c r="Q859" s="12" t="s">
        <v>4660</v>
      </c>
      <c r="R859" s="15" t="s">
        <v>4661</v>
      </c>
      <c r="S859" s="12">
        <v>181</v>
      </c>
      <c r="T859" s="12" t="s">
        <v>39</v>
      </c>
      <c r="U859" s="12" t="s">
        <v>40</v>
      </c>
      <c r="V859" s="12" t="s">
        <v>1127</v>
      </c>
      <c r="W859" s="12">
        <v>1400000</v>
      </c>
      <c r="X859" s="16"/>
      <c r="Y859" s="12">
        <v>440</v>
      </c>
      <c r="Z859" s="12">
        <v>8.4</v>
      </c>
      <c r="AA859" s="12">
        <v>1.33</v>
      </c>
      <c r="AB859" s="12">
        <v>0</v>
      </c>
      <c r="AC859" s="12"/>
      <c r="AD859" s="12" t="str">
        <f>IFERROR(__xludf.DUMMYFUNCTION("""COMPUTED_VALUE"""),"Tom Sizemore")</f>
        <v>Tom Sizemore</v>
      </c>
      <c r="AE859" s="12"/>
    </row>
    <row r="860" customHeight="1" spans="1:31">
      <c r="A860" s="11" t="s">
        <v>748</v>
      </c>
      <c r="B860" s="11" t="s">
        <v>1765</v>
      </c>
      <c r="C860" s="11">
        <v>304</v>
      </c>
      <c r="D860" s="11">
        <v>137</v>
      </c>
      <c r="E860" s="11">
        <v>16000</v>
      </c>
      <c r="F860" s="11">
        <v>348</v>
      </c>
      <c r="G860" s="11">
        <v>890</v>
      </c>
      <c r="H860" s="11">
        <v>66207920</v>
      </c>
      <c r="I860" s="11" t="s">
        <v>464</v>
      </c>
      <c r="J860" s="11" t="s">
        <v>634</v>
      </c>
      <c r="K860" s="11" t="s">
        <v>4662</v>
      </c>
      <c r="L860" s="11" t="s">
        <v>4558</v>
      </c>
      <c r="M860" s="11" t="s">
        <v>4663</v>
      </c>
      <c r="N860" s="11">
        <v>512749</v>
      </c>
      <c r="O860" s="11">
        <v>1959</v>
      </c>
      <c r="P860" s="11">
        <v>0</v>
      </c>
      <c r="Q860" s="11" t="s">
        <v>4664</v>
      </c>
      <c r="R860" s="14" t="s">
        <v>4665</v>
      </c>
      <c r="S860" s="11">
        <v>935</v>
      </c>
      <c r="T860" s="11" t="s">
        <v>39</v>
      </c>
      <c r="U860" s="11" t="s">
        <v>40</v>
      </c>
      <c r="V860" s="11" t="s">
        <v>586</v>
      </c>
      <c r="W860" s="11">
        <v>30000000</v>
      </c>
      <c r="X860" s="11">
        <v>2004</v>
      </c>
      <c r="Y860" s="11">
        <v>387</v>
      </c>
      <c r="Z860" s="11">
        <v>8</v>
      </c>
      <c r="AA860" s="11">
        <v>2.35</v>
      </c>
      <c r="AB860" s="11">
        <v>0</v>
      </c>
      <c r="AC860" s="11"/>
      <c r="AD860" s="11" t="str">
        <f>IFERROR(__xludf.DUMMYFUNCTION("""COMPUTED_VALUE"""),"Mia Farrow")</f>
        <v>Mia Farrow</v>
      </c>
      <c r="AE860" s="11"/>
    </row>
    <row r="861" customHeight="1" spans="1:31">
      <c r="A861" s="12" t="s">
        <v>30</v>
      </c>
      <c r="B861" s="12" t="s">
        <v>2290</v>
      </c>
      <c r="C861" s="12">
        <v>45</v>
      </c>
      <c r="D861" s="12">
        <v>97</v>
      </c>
      <c r="E861" s="12">
        <v>96</v>
      </c>
      <c r="F861" s="12">
        <v>403</v>
      </c>
      <c r="G861" s="12">
        <v>13000</v>
      </c>
      <c r="H861" s="12">
        <v>63408614</v>
      </c>
      <c r="I861" s="12" t="s">
        <v>422</v>
      </c>
      <c r="J861" s="12" t="s">
        <v>1785</v>
      </c>
      <c r="K861" s="12" t="s">
        <v>4666</v>
      </c>
      <c r="L861" s="12" t="s">
        <v>4667</v>
      </c>
      <c r="M861" s="12" t="s">
        <v>4668</v>
      </c>
      <c r="N861" s="12">
        <v>75365</v>
      </c>
      <c r="O861" s="12">
        <v>14432</v>
      </c>
      <c r="P861" s="12">
        <v>1</v>
      </c>
      <c r="Q861" s="12" t="s">
        <v>4669</v>
      </c>
      <c r="R861" s="15" t="s">
        <v>4670</v>
      </c>
      <c r="S861" s="12">
        <v>149</v>
      </c>
      <c r="T861" s="12" t="s">
        <v>39</v>
      </c>
      <c r="U861" s="12" t="s">
        <v>40</v>
      </c>
      <c r="V861" s="12" t="s">
        <v>586</v>
      </c>
      <c r="W861" s="12">
        <v>55000000</v>
      </c>
      <c r="X861" s="12">
        <v>1989</v>
      </c>
      <c r="Y861" s="12">
        <v>549</v>
      </c>
      <c r="Z861" s="12">
        <v>6.3</v>
      </c>
      <c r="AA861" s="12">
        <v>2.35</v>
      </c>
      <c r="AB861" s="12">
        <v>0</v>
      </c>
      <c r="AC861" s="12"/>
      <c r="AD861" s="12" t="str">
        <f>IFERROR(__xludf.DUMMYFUNCTION("""COMPUTED_VALUE"""),"Adam LeFevre")</f>
        <v>Adam LeFevre</v>
      </c>
      <c r="AE861" s="12"/>
    </row>
    <row r="862" customHeight="1" spans="1:31">
      <c r="A862" s="11" t="s">
        <v>30</v>
      </c>
      <c r="B862" s="11" t="s">
        <v>436</v>
      </c>
      <c r="C862" s="11">
        <v>49</v>
      </c>
      <c r="D862" s="11">
        <v>104</v>
      </c>
      <c r="E862" s="11">
        <v>0</v>
      </c>
      <c r="F862" s="11">
        <v>812</v>
      </c>
      <c r="G862" s="11">
        <v>13000</v>
      </c>
      <c r="H862" s="11">
        <v>58422650</v>
      </c>
      <c r="I862" s="11" t="s">
        <v>883</v>
      </c>
      <c r="J862" s="11" t="s">
        <v>978</v>
      </c>
      <c r="K862" s="11" t="s">
        <v>2377</v>
      </c>
      <c r="L862" s="11" t="s">
        <v>3866</v>
      </c>
      <c r="M862" s="11" t="s">
        <v>4671</v>
      </c>
      <c r="N862" s="11">
        <v>78974</v>
      </c>
      <c r="O862" s="11">
        <v>25599</v>
      </c>
      <c r="P862" s="11">
        <v>3</v>
      </c>
      <c r="Q862" s="11" t="s">
        <v>4672</v>
      </c>
      <c r="R862" s="14" t="s">
        <v>4673</v>
      </c>
      <c r="S862" s="11">
        <v>173</v>
      </c>
      <c r="T862" s="11" t="s">
        <v>39</v>
      </c>
      <c r="U862" s="11" t="s">
        <v>40</v>
      </c>
      <c r="V862" s="11" t="s">
        <v>41</v>
      </c>
      <c r="W862" s="11">
        <v>55000000</v>
      </c>
      <c r="X862" s="11">
        <v>1992</v>
      </c>
      <c r="Y862" s="11">
        <v>11000</v>
      </c>
      <c r="Z862" s="11">
        <v>6.4</v>
      </c>
      <c r="AA862" s="11">
        <v>1.85</v>
      </c>
      <c r="AB862" s="11">
        <v>8000</v>
      </c>
      <c r="AC862" s="11"/>
      <c r="AD862" s="11" t="str">
        <f>IFERROR(__xludf.DUMMYFUNCTION("""COMPUTED_VALUE"""),"Penny Balfour")</f>
        <v>Penny Balfour</v>
      </c>
      <c r="AE862" s="11"/>
    </row>
    <row r="863" customHeight="1" spans="1:31">
      <c r="A863" s="12" t="s">
        <v>30</v>
      </c>
      <c r="B863" s="12" t="s">
        <v>4674</v>
      </c>
      <c r="C863" s="12">
        <v>146</v>
      </c>
      <c r="D863" s="12">
        <v>110</v>
      </c>
      <c r="E863" s="12">
        <v>9</v>
      </c>
      <c r="F863" s="12">
        <v>95</v>
      </c>
      <c r="G863" s="12">
        <v>485</v>
      </c>
      <c r="H863" s="12">
        <v>56932305</v>
      </c>
      <c r="I863" s="12" t="s">
        <v>4675</v>
      </c>
      <c r="J863" s="12" t="s">
        <v>4221</v>
      </c>
      <c r="K863" s="12" t="s">
        <v>4676</v>
      </c>
      <c r="L863" s="12" t="s">
        <v>4677</v>
      </c>
      <c r="M863" s="12" t="s">
        <v>4678</v>
      </c>
      <c r="N863" s="12">
        <v>96690</v>
      </c>
      <c r="O863" s="12">
        <v>939</v>
      </c>
      <c r="P863" s="12">
        <v>2</v>
      </c>
      <c r="Q863" s="12" t="s">
        <v>4679</v>
      </c>
      <c r="R863" s="15" t="s">
        <v>4680</v>
      </c>
      <c r="S863" s="12">
        <v>293</v>
      </c>
      <c r="T863" s="12" t="s">
        <v>39</v>
      </c>
      <c r="U863" s="12" t="s">
        <v>40</v>
      </c>
      <c r="V863" s="12" t="s">
        <v>41</v>
      </c>
      <c r="W863" s="12">
        <v>55000000</v>
      </c>
      <c r="X863" s="12">
        <v>2000</v>
      </c>
      <c r="Y863" s="12">
        <v>110</v>
      </c>
      <c r="Z863" s="12">
        <v>6.6</v>
      </c>
      <c r="AA863" s="12">
        <v>2.35</v>
      </c>
      <c r="AB863" s="12">
        <v>0</v>
      </c>
      <c r="AC863" s="12"/>
      <c r="AD863" s="12" t="str">
        <f>IFERROR(__xludf.DUMMYFUNCTION("""COMPUTED_VALUE"""),"Pedro Armendáriz Jr.")</f>
        <v>Pedro Armendáriz Jr.</v>
      </c>
      <c r="AE863" s="12"/>
    </row>
    <row r="864" customHeight="1" spans="1:31">
      <c r="A864" s="11" t="s">
        <v>30</v>
      </c>
      <c r="B864" s="11" t="s">
        <v>4257</v>
      </c>
      <c r="C864" s="11">
        <v>60</v>
      </c>
      <c r="D864" s="11">
        <v>133</v>
      </c>
      <c r="E864" s="11">
        <v>53</v>
      </c>
      <c r="F864" s="11">
        <v>263</v>
      </c>
      <c r="G864" s="11">
        <v>1000</v>
      </c>
      <c r="H864" s="11">
        <v>68750000</v>
      </c>
      <c r="I864" s="11" t="s">
        <v>51</v>
      </c>
      <c r="J864" s="11" t="s">
        <v>430</v>
      </c>
      <c r="K864" s="11" t="s">
        <v>1047</v>
      </c>
      <c r="L864" s="11" t="s">
        <v>4681</v>
      </c>
      <c r="M864" s="11" t="s">
        <v>4682</v>
      </c>
      <c r="N864" s="11">
        <v>40858</v>
      </c>
      <c r="O864" s="11">
        <v>2916</v>
      </c>
      <c r="P864" s="11">
        <v>0</v>
      </c>
      <c r="Q864" s="11" t="s">
        <v>4683</v>
      </c>
      <c r="R864" s="14" t="s">
        <v>4684</v>
      </c>
      <c r="S864" s="11">
        <v>144</v>
      </c>
      <c r="T864" s="11" t="s">
        <v>39</v>
      </c>
      <c r="U864" s="11" t="s">
        <v>40</v>
      </c>
      <c r="V864" s="11" t="s">
        <v>586</v>
      </c>
      <c r="W864" s="11">
        <v>55000000</v>
      </c>
      <c r="X864" s="11">
        <v>1996</v>
      </c>
      <c r="Y864" s="11">
        <v>780</v>
      </c>
      <c r="Z864" s="11">
        <v>6.4</v>
      </c>
      <c r="AA864" s="11">
        <v>2.35</v>
      </c>
      <c r="AB864" s="11">
        <v>0</v>
      </c>
      <c r="AC864" s="11"/>
      <c r="AD864" s="11" t="str">
        <f>IFERROR(__xludf.DUMMYFUNCTION("""COMPUTED_VALUE"""),"Jacques Perrin")</f>
        <v>Jacques Perrin</v>
      </c>
      <c r="AE864" s="11"/>
    </row>
    <row r="865" customHeight="1" spans="1:31">
      <c r="A865" s="12" t="s">
        <v>30</v>
      </c>
      <c r="B865" s="12" t="s">
        <v>2043</v>
      </c>
      <c r="C865" s="12">
        <v>189</v>
      </c>
      <c r="D865" s="12">
        <v>94</v>
      </c>
      <c r="E865" s="12">
        <v>70</v>
      </c>
      <c r="F865" s="12">
        <v>497</v>
      </c>
      <c r="G865" s="12">
        <v>1000</v>
      </c>
      <c r="H865" s="12">
        <v>68218041</v>
      </c>
      <c r="I865" s="12" t="s">
        <v>516</v>
      </c>
      <c r="J865" s="12" t="s">
        <v>4685</v>
      </c>
      <c r="K865" s="12" t="s">
        <v>4686</v>
      </c>
      <c r="L865" s="12" t="s">
        <v>3538</v>
      </c>
      <c r="M865" s="12" t="s">
        <v>4687</v>
      </c>
      <c r="N865" s="12">
        <v>67191</v>
      </c>
      <c r="O865" s="12">
        <v>2820</v>
      </c>
      <c r="P865" s="12">
        <v>1</v>
      </c>
      <c r="Q865" s="12" t="s">
        <v>4688</v>
      </c>
      <c r="R865" s="15" t="s">
        <v>4689</v>
      </c>
      <c r="S865" s="12">
        <v>108</v>
      </c>
      <c r="T865" s="12" t="s">
        <v>39</v>
      </c>
      <c r="U865" s="12" t="s">
        <v>40</v>
      </c>
      <c r="V865" s="12" t="s">
        <v>96</v>
      </c>
      <c r="W865" s="12">
        <v>55000000</v>
      </c>
      <c r="X865" s="12">
        <v>2011</v>
      </c>
      <c r="Y865" s="12">
        <v>549</v>
      </c>
      <c r="Z865" s="12">
        <v>6</v>
      </c>
      <c r="AA865" s="12">
        <v>1.85</v>
      </c>
      <c r="AB865" s="12">
        <v>14000</v>
      </c>
      <c r="AC865" s="12"/>
      <c r="AD865" s="12" t="str">
        <f>IFERROR(__xludf.DUMMYFUNCTION("""COMPUTED_VALUE"""),"Rie Miyazawa")</f>
        <v>Rie Miyazawa</v>
      </c>
      <c r="AE865" s="12"/>
    </row>
    <row r="866" customHeight="1" spans="1:31">
      <c r="A866" s="11" t="s">
        <v>30</v>
      </c>
      <c r="B866" s="11" t="s">
        <v>947</v>
      </c>
      <c r="C866" s="11">
        <v>206</v>
      </c>
      <c r="D866" s="11">
        <v>104</v>
      </c>
      <c r="E866" s="11">
        <v>50</v>
      </c>
      <c r="F866" s="11">
        <v>947</v>
      </c>
      <c r="G866" s="11">
        <v>5000</v>
      </c>
      <c r="H866" s="11">
        <v>25040293</v>
      </c>
      <c r="I866" s="11" t="s">
        <v>43</v>
      </c>
      <c r="J866" s="11" t="s">
        <v>502</v>
      </c>
      <c r="K866" s="11" t="s">
        <v>4690</v>
      </c>
      <c r="L866" s="11" t="s">
        <v>2299</v>
      </c>
      <c r="M866" s="11" t="s">
        <v>4691</v>
      </c>
      <c r="N866" s="11">
        <v>88049</v>
      </c>
      <c r="O866" s="11">
        <v>7247</v>
      </c>
      <c r="P866" s="11">
        <v>0</v>
      </c>
      <c r="Q866" s="11" t="s">
        <v>4692</v>
      </c>
      <c r="R866" s="14" t="s">
        <v>4693</v>
      </c>
      <c r="S866" s="11">
        <v>279</v>
      </c>
      <c r="T866" s="11" t="s">
        <v>39</v>
      </c>
      <c r="U866" s="11" t="s">
        <v>40</v>
      </c>
      <c r="V866" s="11" t="s">
        <v>41</v>
      </c>
      <c r="W866" s="11">
        <v>55000000</v>
      </c>
      <c r="X866" s="11">
        <v>2008</v>
      </c>
      <c r="Y866" s="11">
        <v>962</v>
      </c>
      <c r="Z866" s="11">
        <v>6.6</v>
      </c>
      <c r="AA866" s="11">
        <v>2.35</v>
      </c>
      <c r="AB866" s="11">
        <v>0</v>
      </c>
      <c r="AC866" s="11"/>
      <c r="AD866" s="11" t="str">
        <f>IFERROR(__xludf.DUMMYFUNCTION("""COMPUTED_VALUE"""),"Jemima Rooper")</f>
        <v>Jemima Rooper</v>
      </c>
      <c r="AE866" s="11"/>
    </row>
    <row r="867" customHeight="1" spans="1:31">
      <c r="A867" s="12" t="s">
        <v>30</v>
      </c>
      <c r="B867" s="12" t="s">
        <v>4694</v>
      </c>
      <c r="C867" s="12">
        <v>118</v>
      </c>
      <c r="D867" s="12">
        <v>91</v>
      </c>
      <c r="E867" s="12">
        <v>39</v>
      </c>
      <c r="F867" s="12">
        <v>562</v>
      </c>
      <c r="G867" s="12">
        <v>1000</v>
      </c>
      <c r="H867" s="12">
        <v>55747724</v>
      </c>
      <c r="I867" s="12" t="s">
        <v>471</v>
      </c>
      <c r="J867" s="12" t="s">
        <v>479</v>
      </c>
      <c r="K867" s="12" t="s">
        <v>4695</v>
      </c>
      <c r="L867" s="12" t="s">
        <v>931</v>
      </c>
      <c r="M867" s="12" t="s">
        <v>4696</v>
      </c>
      <c r="N867" s="12">
        <v>18042</v>
      </c>
      <c r="O867" s="12">
        <v>3104</v>
      </c>
      <c r="P867" s="12">
        <v>1</v>
      </c>
      <c r="Q867" s="12" t="s">
        <v>4697</v>
      </c>
      <c r="R867" s="15" t="s">
        <v>4698</v>
      </c>
      <c r="S867" s="12">
        <v>73</v>
      </c>
      <c r="T867" s="12" t="s">
        <v>39</v>
      </c>
      <c r="U867" s="12" t="s">
        <v>40</v>
      </c>
      <c r="V867" s="12" t="s">
        <v>96</v>
      </c>
      <c r="W867" s="12">
        <v>55000000</v>
      </c>
      <c r="X867" s="12">
        <v>2013</v>
      </c>
      <c r="Y867" s="12">
        <v>591</v>
      </c>
      <c r="Z867" s="12">
        <v>5.9</v>
      </c>
      <c r="AA867" s="12">
        <v>1.85</v>
      </c>
      <c r="AB867" s="12">
        <v>0</v>
      </c>
      <c r="AC867" s="12"/>
      <c r="AD867" s="12" t="str">
        <f>IFERROR(__xludf.DUMMYFUNCTION("""COMPUTED_VALUE"""),"Sasha Roiz")</f>
        <v>Sasha Roiz</v>
      </c>
      <c r="AE867" s="12"/>
    </row>
    <row r="868" customHeight="1" spans="1:31">
      <c r="A868" s="11" t="s">
        <v>30</v>
      </c>
      <c r="B868" s="11" t="s">
        <v>686</v>
      </c>
      <c r="C868" s="11">
        <v>210</v>
      </c>
      <c r="D868" s="11">
        <v>145</v>
      </c>
      <c r="E868" s="11">
        <v>21000</v>
      </c>
      <c r="F868" s="11">
        <v>243</v>
      </c>
      <c r="G868" s="11">
        <v>534</v>
      </c>
      <c r="H868" s="11">
        <v>55473600</v>
      </c>
      <c r="I868" s="11" t="s">
        <v>4178</v>
      </c>
      <c r="J868" s="11" t="s">
        <v>4699</v>
      </c>
      <c r="K868" s="11" t="s">
        <v>4700</v>
      </c>
      <c r="L868" s="11" t="s">
        <v>4701</v>
      </c>
      <c r="M868" s="11" t="s">
        <v>4702</v>
      </c>
      <c r="N868" s="11">
        <v>207686</v>
      </c>
      <c r="O868" s="11">
        <v>1543</v>
      </c>
      <c r="P868" s="11">
        <v>0</v>
      </c>
      <c r="Q868" s="11" t="s">
        <v>4703</v>
      </c>
      <c r="R868" s="14" t="s">
        <v>4704</v>
      </c>
      <c r="S868" s="11">
        <v>776</v>
      </c>
      <c r="T868" s="11" t="s">
        <v>39</v>
      </c>
      <c r="U868" s="11" t="s">
        <v>40</v>
      </c>
      <c r="V868" s="11" t="s">
        <v>586</v>
      </c>
      <c r="W868" s="11">
        <v>50000000</v>
      </c>
      <c r="X868" s="11">
        <v>1992</v>
      </c>
      <c r="Y868" s="11">
        <v>273</v>
      </c>
      <c r="Z868" s="11">
        <v>6.4</v>
      </c>
      <c r="AA868" s="11">
        <v>2.35</v>
      </c>
      <c r="AB868" s="11">
        <v>0</v>
      </c>
      <c r="AC868" s="11"/>
      <c r="AD868" s="11" t="str">
        <f>IFERROR(__xludf.DUMMYFUNCTION("""COMPUTED_VALUE"""),"Currie Graham")</f>
        <v>Currie Graham</v>
      </c>
      <c r="AE868" s="11"/>
    </row>
    <row r="869" customHeight="1" spans="1:31">
      <c r="A869" s="12" t="s">
        <v>30</v>
      </c>
      <c r="B869" s="12" t="s">
        <v>4705</v>
      </c>
      <c r="C869" s="12">
        <v>76</v>
      </c>
      <c r="D869" s="12">
        <v>135</v>
      </c>
      <c r="E869" s="12">
        <v>317</v>
      </c>
      <c r="F869" s="12">
        <v>34</v>
      </c>
      <c r="G869" s="12">
        <v>57</v>
      </c>
      <c r="H869" s="12">
        <v>49994804</v>
      </c>
      <c r="I869" s="12" t="s">
        <v>4706</v>
      </c>
      <c r="J869" s="12" t="s">
        <v>4707</v>
      </c>
      <c r="K869" s="12" t="s">
        <v>4708</v>
      </c>
      <c r="L869" s="12" t="s">
        <v>4709</v>
      </c>
      <c r="M869" s="12" t="s">
        <v>4710</v>
      </c>
      <c r="N869" s="12">
        <v>29205</v>
      </c>
      <c r="O869" s="12">
        <v>164</v>
      </c>
      <c r="P869" s="12">
        <v>1</v>
      </c>
      <c r="Q869" s="12" t="s">
        <v>4711</v>
      </c>
      <c r="R869" s="15" t="s">
        <v>4712</v>
      </c>
      <c r="S869" s="12">
        <v>194</v>
      </c>
      <c r="T869" s="12" t="s">
        <v>39</v>
      </c>
      <c r="U869" s="12" t="s">
        <v>40</v>
      </c>
      <c r="V869" s="12" t="s">
        <v>96</v>
      </c>
      <c r="W869" s="12">
        <v>55000000</v>
      </c>
      <c r="X869" s="12">
        <v>1996</v>
      </c>
      <c r="Y869" s="12">
        <v>40</v>
      </c>
      <c r="Z869" s="12">
        <v>6.3</v>
      </c>
      <c r="AA869" s="12">
        <v>2.35</v>
      </c>
      <c r="AB869" s="12">
        <v>0</v>
      </c>
      <c r="AC869" s="12"/>
      <c r="AD869" s="12" t="str">
        <f>IFERROR(__xludf.DUMMYFUNCTION("""COMPUTED_VALUE"""),"Dylan Schombing")</f>
        <v>Dylan Schombing</v>
      </c>
      <c r="AE869" s="12"/>
    </row>
    <row r="870" customHeight="1" spans="1:31">
      <c r="A870" s="11" t="s">
        <v>30</v>
      </c>
      <c r="B870" s="11" t="s">
        <v>4713</v>
      </c>
      <c r="C870" s="11">
        <v>149</v>
      </c>
      <c r="D870" s="11">
        <v>122</v>
      </c>
      <c r="E870" s="11">
        <v>287</v>
      </c>
      <c r="F870" s="11">
        <v>135</v>
      </c>
      <c r="G870" s="11">
        <v>22000</v>
      </c>
      <c r="H870" s="11">
        <v>41609593</v>
      </c>
      <c r="I870" s="11" t="s">
        <v>3336</v>
      </c>
      <c r="J870" s="11" t="s">
        <v>1746</v>
      </c>
      <c r="K870" s="11" t="s">
        <v>2268</v>
      </c>
      <c r="L870" s="11" t="s">
        <v>4714</v>
      </c>
      <c r="M870" s="11" t="s">
        <v>4715</v>
      </c>
      <c r="N870" s="11">
        <v>145422</v>
      </c>
      <c r="O870" s="11">
        <v>24270</v>
      </c>
      <c r="P870" s="11">
        <v>2</v>
      </c>
      <c r="Q870" s="11" t="s">
        <v>4716</v>
      </c>
      <c r="R870" s="14" t="s">
        <v>4717</v>
      </c>
      <c r="S870" s="11">
        <v>572</v>
      </c>
      <c r="T870" s="11" t="s">
        <v>39</v>
      </c>
      <c r="U870" s="11" t="s">
        <v>58</v>
      </c>
      <c r="V870" s="11" t="s">
        <v>586</v>
      </c>
      <c r="W870" s="11">
        <v>55000000</v>
      </c>
      <c r="X870" s="11">
        <v>1998</v>
      </c>
      <c r="Y870" s="11">
        <v>2000</v>
      </c>
      <c r="Z870" s="11">
        <v>7.3</v>
      </c>
      <c r="AA870" s="11">
        <v>2.35</v>
      </c>
      <c r="AB870" s="11">
        <v>0</v>
      </c>
      <c r="AC870" s="11"/>
      <c r="AD870" s="11" t="str">
        <f>IFERROR(__xludf.DUMMYFUNCTION("""COMPUTED_VALUE"""),"Sariann Monaco")</f>
        <v>Sariann Monaco</v>
      </c>
      <c r="AE870" s="11"/>
    </row>
    <row r="871" customHeight="1" spans="1:31">
      <c r="A871" s="12" t="s">
        <v>30</v>
      </c>
      <c r="B871" s="12" t="s">
        <v>2723</v>
      </c>
      <c r="C871" s="12">
        <v>62</v>
      </c>
      <c r="D871" s="12">
        <v>110</v>
      </c>
      <c r="E871" s="12">
        <v>81</v>
      </c>
      <c r="F871" s="12">
        <v>163</v>
      </c>
      <c r="G871" s="12">
        <v>1000</v>
      </c>
      <c r="H871" s="12">
        <v>38553833</v>
      </c>
      <c r="I871" s="12" t="s">
        <v>4718</v>
      </c>
      <c r="J871" s="12" t="s">
        <v>138</v>
      </c>
      <c r="K871" s="12" t="s">
        <v>2011</v>
      </c>
      <c r="L871" s="12" t="s">
        <v>4719</v>
      </c>
      <c r="M871" s="12" t="s">
        <v>4720</v>
      </c>
      <c r="N871" s="12">
        <v>46239</v>
      </c>
      <c r="O871" s="12">
        <v>1752</v>
      </c>
      <c r="P871" s="12">
        <v>0</v>
      </c>
      <c r="Q871" s="12" t="s">
        <v>4721</v>
      </c>
      <c r="R871" s="15" t="s">
        <v>4722</v>
      </c>
      <c r="S871" s="12">
        <v>155</v>
      </c>
      <c r="T871" s="12" t="s">
        <v>39</v>
      </c>
      <c r="U871" s="12" t="s">
        <v>40</v>
      </c>
      <c r="V871" s="12" t="s">
        <v>586</v>
      </c>
      <c r="W871" s="12">
        <v>55000000</v>
      </c>
      <c r="X871" s="12">
        <v>1996</v>
      </c>
      <c r="Y871" s="12">
        <v>416</v>
      </c>
      <c r="Z871" s="12">
        <v>6.8</v>
      </c>
      <c r="AA871" s="12">
        <v>2.35</v>
      </c>
      <c r="AB871" s="12">
        <v>0</v>
      </c>
      <c r="AC871" s="12"/>
      <c r="AD871" s="12" t="str">
        <f>IFERROR(__xludf.DUMMYFUNCTION("""COMPUTED_VALUE"""),"David Hoffman")</f>
        <v>David Hoffman</v>
      </c>
      <c r="AE871" s="12"/>
    </row>
    <row r="872" customHeight="1" spans="1:31">
      <c r="A872" s="11" t="s">
        <v>30</v>
      </c>
      <c r="B872" s="11" t="s">
        <v>4723</v>
      </c>
      <c r="C872" s="11">
        <v>224</v>
      </c>
      <c r="D872" s="11">
        <v>95</v>
      </c>
      <c r="E872" s="11">
        <v>17</v>
      </c>
      <c r="F872" s="11">
        <v>594</v>
      </c>
      <c r="G872" s="11">
        <v>838</v>
      </c>
      <c r="H872" s="11">
        <v>76137505</v>
      </c>
      <c r="I872" s="11" t="s">
        <v>793</v>
      </c>
      <c r="J872" s="11" t="s">
        <v>405</v>
      </c>
      <c r="K872" s="11" t="s">
        <v>4724</v>
      </c>
      <c r="L872" s="11" t="s">
        <v>4725</v>
      </c>
      <c r="M872" s="11" t="s">
        <v>4726</v>
      </c>
      <c r="N872" s="11">
        <v>49207</v>
      </c>
      <c r="O872" s="11">
        <v>3697</v>
      </c>
      <c r="P872" s="11">
        <v>0</v>
      </c>
      <c r="Q872" s="11" t="s">
        <v>4727</v>
      </c>
      <c r="R872" s="14" t="s">
        <v>4728</v>
      </c>
      <c r="S872" s="11">
        <v>174</v>
      </c>
      <c r="T872" s="11" t="s">
        <v>39</v>
      </c>
      <c r="U872" s="11" t="s">
        <v>58</v>
      </c>
      <c r="V872" s="11" t="s">
        <v>96</v>
      </c>
      <c r="W872" s="11">
        <v>55000000</v>
      </c>
      <c r="X872" s="11">
        <v>2014</v>
      </c>
      <c r="Y872" s="11">
        <v>722</v>
      </c>
      <c r="Z872" s="11">
        <v>7.2</v>
      </c>
      <c r="AA872" s="11">
        <v>2.35</v>
      </c>
      <c r="AB872" s="11">
        <v>30000</v>
      </c>
      <c r="AC872" s="11"/>
      <c r="AD872" s="11" t="str">
        <f>IFERROR(__xludf.DUMMYFUNCTION("""COMPUTED_VALUE"""),"Ben Diskin")</f>
        <v>Ben Diskin</v>
      </c>
      <c r="AE872" s="11"/>
    </row>
    <row r="873" customHeight="1" spans="1:31">
      <c r="A873" s="12" t="s">
        <v>30</v>
      </c>
      <c r="B873" s="12" t="s">
        <v>4729</v>
      </c>
      <c r="C873" s="12">
        <v>265</v>
      </c>
      <c r="D873" s="12">
        <v>102</v>
      </c>
      <c r="E873" s="12">
        <v>82</v>
      </c>
      <c r="F873" s="12">
        <v>537</v>
      </c>
      <c r="G873" s="12">
        <v>622</v>
      </c>
      <c r="H873" s="12">
        <v>34350553</v>
      </c>
      <c r="I873" s="12" t="s">
        <v>1904</v>
      </c>
      <c r="J873" s="12" t="s">
        <v>2102</v>
      </c>
      <c r="K873" s="12" t="s">
        <v>4730</v>
      </c>
      <c r="L873" s="12" t="s">
        <v>2286</v>
      </c>
      <c r="M873" s="12" t="s">
        <v>4731</v>
      </c>
      <c r="N873" s="12">
        <v>104066</v>
      </c>
      <c r="O873" s="12">
        <v>2488</v>
      </c>
      <c r="P873" s="12">
        <v>4</v>
      </c>
      <c r="Q873" s="12" t="s">
        <v>4732</v>
      </c>
      <c r="R873" s="15" t="s">
        <v>4733</v>
      </c>
      <c r="S873" s="12">
        <v>207</v>
      </c>
      <c r="T873" s="12" t="s">
        <v>39</v>
      </c>
      <c r="U873" s="12" t="s">
        <v>40</v>
      </c>
      <c r="V873" s="12" t="s">
        <v>586</v>
      </c>
      <c r="W873" s="12">
        <v>68000000</v>
      </c>
      <c r="X873" s="12">
        <v>2012</v>
      </c>
      <c r="Y873" s="12">
        <v>591</v>
      </c>
      <c r="Z873" s="12">
        <v>5.7</v>
      </c>
      <c r="AA873" s="12">
        <v>2.35</v>
      </c>
      <c r="AB873" s="12">
        <v>15000</v>
      </c>
      <c r="AC873" s="12"/>
      <c r="AD873" s="12" t="str">
        <f>IFERROR(__xludf.DUMMYFUNCTION("""COMPUTED_VALUE"""),"Austin Pendleton")</f>
        <v>Austin Pendleton</v>
      </c>
      <c r="AE873" s="12"/>
    </row>
    <row r="874" customHeight="1" spans="1:31">
      <c r="A874" s="11" t="s">
        <v>30</v>
      </c>
      <c r="B874" s="11" t="s">
        <v>4734</v>
      </c>
      <c r="C874" s="11">
        <v>135</v>
      </c>
      <c r="D874" s="11">
        <v>94</v>
      </c>
      <c r="E874" s="11">
        <v>607</v>
      </c>
      <c r="F874" s="11">
        <v>215</v>
      </c>
      <c r="G874" s="11">
        <v>933</v>
      </c>
      <c r="H874" s="11">
        <v>34238611</v>
      </c>
      <c r="I874" s="11" t="s">
        <v>464</v>
      </c>
      <c r="J874" s="11" t="s">
        <v>1694</v>
      </c>
      <c r="K874" s="11" t="s">
        <v>4735</v>
      </c>
      <c r="L874" s="11" t="s">
        <v>4736</v>
      </c>
      <c r="M874" s="11" t="s">
        <v>4737</v>
      </c>
      <c r="N874" s="11">
        <v>35830</v>
      </c>
      <c r="O874" s="11">
        <v>2248</v>
      </c>
      <c r="P874" s="11">
        <v>1</v>
      </c>
      <c r="Q874" s="11" t="s">
        <v>4738</v>
      </c>
      <c r="R874" s="14" t="s">
        <v>4739</v>
      </c>
      <c r="S874" s="11">
        <v>321</v>
      </c>
      <c r="T874" s="11" t="s">
        <v>39</v>
      </c>
      <c r="U874" s="11" t="s">
        <v>40</v>
      </c>
      <c r="V874" s="11" t="s">
        <v>586</v>
      </c>
      <c r="W874" s="11">
        <v>55000000</v>
      </c>
      <c r="X874" s="11">
        <v>2003</v>
      </c>
      <c r="Y874" s="11">
        <v>518</v>
      </c>
      <c r="Z874" s="11">
        <v>6</v>
      </c>
      <c r="AA874" s="11">
        <v>1.85</v>
      </c>
      <c r="AB874" s="11">
        <v>0</v>
      </c>
      <c r="AC874" s="11"/>
      <c r="AD874" s="11" t="str">
        <f>IFERROR(__xludf.DUMMYFUNCTION("""COMPUTED_VALUE"""),"Niketa Calame")</f>
        <v>Niketa Calame</v>
      </c>
      <c r="AE874" s="11"/>
    </row>
    <row r="875" customHeight="1" spans="1:31">
      <c r="A875" s="12" t="s">
        <v>30</v>
      </c>
      <c r="B875" s="12" t="s">
        <v>704</v>
      </c>
      <c r="C875" s="12">
        <v>100</v>
      </c>
      <c r="D875" s="12">
        <v>126</v>
      </c>
      <c r="E875" s="12">
        <v>226</v>
      </c>
      <c r="F875" s="12">
        <v>241</v>
      </c>
      <c r="G875" s="12">
        <v>12000</v>
      </c>
      <c r="H875" s="12">
        <v>34098563</v>
      </c>
      <c r="I875" s="12" t="s">
        <v>4075</v>
      </c>
      <c r="J875" s="12" t="s">
        <v>763</v>
      </c>
      <c r="K875" s="12" t="s">
        <v>3761</v>
      </c>
      <c r="L875" s="12" t="s">
        <v>4740</v>
      </c>
      <c r="M875" s="12" t="s">
        <v>4741</v>
      </c>
      <c r="N875" s="12">
        <v>27191</v>
      </c>
      <c r="O875" s="12">
        <v>13406</v>
      </c>
      <c r="P875" s="12">
        <v>1</v>
      </c>
      <c r="Q875" s="12" t="s">
        <v>4742</v>
      </c>
      <c r="R875" s="15" t="s">
        <v>4743</v>
      </c>
      <c r="S875" s="12">
        <v>232</v>
      </c>
      <c r="T875" s="12" t="s">
        <v>39</v>
      </c>
      <c r="U875" s="12" t="s">
        <v>40</v>
      </c>
      <c r="V875" s="12" t="s">
        <v>586</v>
      </c>
      <c r="W875" s="12">
        <v>55000000</v>
      </c>
      <c r="X875" s="12">
        <v>1999</v>
      </c>
      <c r="Y875" s="12">
        <v>509</v>
      </c>
      <c r="Z875" s="12">
        <v>6.5</v>
      </c>
      <c r="AA875" s="12">
        <v>2.35</v>
      </c>
      <c r="AB875" s="12">
        <v>0</v>
      </c>
      <c r="AC875" s="12"/>
      <c r="AD875" s="12" t="str">
        <f>IFERROR(__xludf.DUMMYFUNCTION("""COMPUTED_VALUE"""),"Melissa Sturm")</f>
        <v>Melissa Sturm</v>
      </c>
      <c r="AE875" s="12"/>
    </row>
    <row r="876" customHeight="1" spans="1:31">
      <c r="A876" s="11" t="s">
        <v>30</v>
      </c>
      <c r="B876" s="11" t="s">
        <v>3495</v>
      </c>
      <c r="C876" s="11">
        <v>123</v>
      </c>
      <c r="D876" s="11">
        <v>118</v>
      </c>
      <c r="E876" s="11">
        <v>101</v>
      </c>
      <c r="F876" s="11">
        <v>327</v>
      </c>
      <c r="G876" s="11">
        <v>13000</v>
      </c>
      <c r="H876" s="11">
        <v>33828318</v>
      </c>
      <c r="I876" s="11" t="s">
        <v>1672</v>
      </c>
      <c r="J876" s="11" t="s">
        <v>1158</v>
      </c>
      <c r="K876" s="11" t="s">
        <v>4744</v>
      </c>
      <c r="L876" s="11" t="s">
        <v>4745</v>
      </c>
      <c r="M876" s="11" t="s">
        <v>4746</v>
      </c>
      <c r="N876" s="11">
        <v>44453</v>
      </c>
      <c r="O876" s="11">
        <v>14036</v>
      </c>
      <c r="P876" s="11">
        <v>2</v>
      </c>
      <c r="Q876" s="11" t="s">
        <v>4747</v>
      </c>
      <c r="R876" s="14" t="s">
        <v>4748</v>
      </c>
      <c r="S876" s="11">
        <v>154</v>
      </c>
      <c r="T876" s="11" t="s">
        <v>39</v>
      </c>
      <c r="U876" s="11" t="s">
        <v>40</v>
      </c>
      <c r="V876" s="11" t="s">
        <v>41</v>
      </c>
      <c r="W876" s="11">
        <v>55000000</v>
      </c>
      <c r="X876" s="11">
        <v>2003</v>
      </c>
      <c r="Y876" s="11">
        <v>390</v>
      </c>
      <c r="Z876" s="11">
        <v>5.8</v>
      </c>
      <c r="AA876" s="11">
        <v>2.35</v>
      </c>
      <c r="AB876" s="11">
        <v>0</v>
      </c>
      <c r="AC876" s="11"/>
      <c r="AD876" s="11" t="str">
        <f>IFERROR(__xludf.DUMMYFUNCTION("""COMPUTED_VALUE"""),"Emily Watson")</f>
        <v>Emily Watson</v>
      </c>
      <c r="AE876" s="11"/>
    </row>
    <row r="877" customHeight="1" spans="1:31">
      <c r="A877" s="12" t="s">
        <v>30</v>
      </c>
      <c r="B877" s="12" t="s">
        <v>4749</v>
      </c>
      <c r="C877" s="12">
        <v>164</v>
      </c>
      <c r="D877" s="12">
        <v>99</v>
      </c>
      <c r="E877" s="12">
        <v>3</v>
      </c>
      <c r="F877" s="12">
        <v>490</v>
      </c>
      <c r="G877" s="12">
        <v>8000</v>
      </c>
      <c r="H877" s="12">
        <v>33472850</v>
      </c>
      <c r="I877" s="12" t="s">
        <v>3914</v>
      </c>
      <c r="J877" s="12" t="s">
        <v>1249</v>
      </c>
      <c r="K877" s="12" t="s">
        <v>3761</v>
      </c>
      <c r="L877" s="12" t="s">
        <v>3684</v>
      </c>
      <c r="M877" s="12" t="s">
        <v>4750</v>
      </c>
      <c r="N877" s="12">
        <v>67005</v>
      </c>
      <c r="O877" s="12">
        <v>10026</v>
      </c>
      <c r="P877" s="12">
        <v>3</v>
      </c>
      <c r="Q877" s="12" t="s">
        <v>4751</v>
      </c>
      <c r="R877" s="15" t="s">
        <v>4752</v>
      </c>
      <c r="S877" s="12">
        <v>119</v>
      </c>
      <c r="T877" s="12" t="s">
        <v>39</v>
      </c>
      <c r="U877" s="12" t="s">
        <v>40</v>
      </c>
      <c r="V877" s="12" t="s">
        <v>586</v>
      </c>
      <c r="W877" s="12">
        <v>55000000</v>
      </c>
      <c r="X877" s="12">
        <v>2008</v>
      </c>
      <c r="Y877" s="12">
        <v>509</v>
      </c>
      <c r="Z877" s="12">
        <v>5.8</v>
      </c>
      <c r="AA877" s="12">
        <v>2.35</v>
      </c>
      <c r="AB877" s="12">
        <v>0</v>
      </c>
      <c r="AC877" s="12"/>
      <c r="AD877" s="12" t="str">
        <f>IFERROR(__xludf.DUMMYFUNCTION("""COMPUTED_VALUE"""),"Tim Meadows")</f>
        <v>Tim Meadows</v>
      </c>
      <c r="AE877" s="12"/>
    </row>
    <row r="878" customHeight="1" spans="1:31">
      <c r="A878" s="11" t="s">
        <v>30</v>
      </c>
      <c r="B878" s="11" t="s">
        <v>4753</v>
      </c>
      <c r="C878" s="11">
        <v>238</v>
      </c>
      <c r="D878" s="11">
        <v>88</v>
      </c>
      <c r="E878" s="11">
        <v>91</v>
      </c>
      <c r="F878" s="11">
        <v>591</v>
      </c>
      <c r="G878" s="11">
        <v>4000</v>
      </c>
      <c r="H878" s="11">
        <v>31051126</v>
      </c>
      <c r="I878" s="11" t="s">
        <v>471</v>
      </c>
      <c r="J878" s="11" t="s">
        <v>495</v>
      </c>
      <c r="K878" s="11" t="s">
        <v>4754</v>
      </c>
      <c r="L878" s="11" t="s">
        <v>764</v>
      </c>
      <c r="M878" s="11" t="s">
        <v>4755</v>
      </c>
      <c r="N878" s="11">
        <v>36877</v>
      </c>
      <c r="O878" s="11">
        <v>6254</v>
      </c>
      <c r="P878" s="11">
        <v>0</v>
      </c>
      <c r="Q878" s="11" t="s">
        <v>4756</v>
      </c>
      <c r="R878" s="14" t="s">
        <v>4757</v>
      </c>
      <c r="S878" s="11">
        <v>101</v>
      </c>
      <c r="T878" s="11" t="s">
        <v>39</v>
      </c>
      <c r="U878" s="11" t="s">
        <v>58</v>
      </c>
      <c r="V878" s="11" t="s">
        <v>96</v>
      </c>
      <c r="W878" s="11">
        <v>55000000</v>
      </c>
      <c r="X878" s="11">
        <v>2012</v>
      </c>
      <c r="Y878" s="11">
        <v>796</v>
      </c>
      <c r="Z878" s="11">
        <v>6.7</v>
      </c>
      <c r="AA878" s="11">
        <v>2.35</v>
      </c>
      <c r="AB878" s="11">
        <v>0</v>
      </c>
      <c r="AC878" s="11"/>
      <c r="AD878" s="11" t="str">
        <f>IFERROR(__xludf.DUMMYFUNCTION("""COMPUTED_VALUE"""),"Mo Gallini")</f>
        <v>Mo Gallini</v>
      </c>
      <c r="AE878" s="11"/>
    </row>
    <row r="879" customHeight="1" spans="1:31">
      <c r="A879" s="12" t="s">
        <v>30</v>
      </c>
      <c r="B879" s="12" t="s">
        <v>3695</v>
      </c>
      <c r="C879" s="12">
        <v>264</v>
      </c>
      <c r="D879" s="12">
        <v>141</v>
      </c>
      <c r="E879" s="12">
        <v>16000</v>
      </c>
      <c r="F879" s="12">
        <v>539</v>
      </c>
      <c r="G879" s="12">
        <v>11000</v>
      </c>
      <c r="H879" s="12">
        <v>35707327</v>
      </c>
      <c r="I879" s="12" t="s">
        <v>2142</v>
      </c>
      <c r="J879" s="12" t="s">
        <v>565</v>
      </c>
      <c r="K879" s="12" t="s">
        <v>3041</v>
      </c>
      <c r="L879" s="12" t="s">
        <v>4162</v>
      </c>
      <c r="M879" s="12" t="s">
        <v>4758</v>
      </c>
      <c r="N879" s="12">
        <v>199056</v>
      </c>
      <c r="O879" s="12">
        <v>12840</v>
      </c>
      <c r="P879" s="12">
        <v>0</v>
      </c>
      <c r="Q879" s="12" t="s">
        <v>4759</v>
      </c>
      <c r="R879" s="15" t="s">
        <v>4760</v>
      </c>
      <c r="S879" s="12">
        <v>387</v>
      </c>
      <c r="T879" s="12" t="s">
        <v>39</v>
      </c>
      <c r="U879" s="12" t="s">
        <v>40</v>
      </c>
      <c r="V879" s="12" t="s">
        <v>586</v>
      </c>
      <c r="W879" s="12">
        <v>55000000</v>
      </c>
      <c r="X879" s="12">
        <v>2008</v>
      </c>
      <c r="Y879" s="12">
        <v>963</v>
      </c>
      <c r="Z879" s="12">
        <v>7.8</v>
      </c>
      <c r="AA879" s="12">
        <v>2.35</v>
      </c>
      <c r="AB879" s="12">
        <v>14000</v>
      </c>
      <c r="AC879" s="12"/>
      <c r="AD879" s="12" t="str">
        <f>IFERROR(__xludf.DUMMYFUNCTION("""COMPUTED_VALUE"""),"Veronica Cartwright")</f>
        <v>Veronica Cartwright</v>
      </c>
      <c r="AE879" s="12"/>
    </row>
    <row r="880" customHeight="1" spans="1:31">
      <c r="A880" s="11" t="s">
        <v>30</v>
      </c>
      <c r="B880" s="11" t="s">
        <v>2434</v>
      </c>
      <c r="C880" s="11">
        <v>47</v>
      </c>
      <c r="D880" s="11">
        <v>107</v>
      </c>
      <c r="E880" s="11">
        <v>99</v>
      </c>
      <c r="F880" s="11">
        <v>581</v>
      </c>
      <c r="G880" s="11">
        <v>18000</v>
      </c>
      <c r="H880" s="11">
        <v>20550712</v>
      </c>
      <c r="I880" s="11" t="s">
        <v>1391</v>
      </c>
      <c r="J880" s="11" t="s">
        <v>588</v>
      </c>
      <c r="K880" s="11" t="s">
        <v>466</v>
      </c>
      <c r="L880" s="11" t="s">
        <v>281</v>
      </c>
      <c r="M880" s="11" t="s">
        <v>4761</v>
      </c>
      <c r="N880" s="11">
        <v>40346</v>
      </c>
      <c r="O880" s="11">
        <v>31014</v>
      </c>
      <c r="P880" s="11">
        <v>1</v>
      </c>
      <c r="Q880" s="11" t="s">
        <v>4762</v>
      </c>
      <c r="R880" s="14" t="s">
        <v>4763</v>
      </c>
      <c r="S880" s="11">
        <v>95</v>
      </c>
      <c r="T880" s="11" t="s">
        <v>39</v>
      </c>
      <c r="U880" s="11" t="s">
        <v>40</v>
      </c>
      <c r="V880" s="11" t="s">
        <v>41</v>
      </c>
      <c r="W880" s="11">
        <v>50000000</v>
      </c>
      <c r="X880" s="11">
        <v>1996</v>
      </c>
      <c r="Y880" s="11">
        <v>11000</v>
      </c>
      <c r="Z880" s="11">
        <v>5.6</v>
      </c>
      <c r="AA880" s="11">
        <v>1.85</v>
      </c>
      <c r="AB880" s="11">
        <v>1000</v>
      </c>
      <c r="AC880" s="11"/>
      <c r="AD880" s="11" t="str">
        <f>IFERROR(__xludf.DUMMYFUNCTION("""COMPUTED_VALUE"""),"Jeremy Northam")</f>
        <v>Jeremy Northam</v>
      </c>
      <c r="AE880" s="11"/>
    </row>
    <row r="881" customHeight="1" spans="1:31">
      <c r="A881" s="12" t="s">
        <v>30</v>
      </c>
      <c r="B881" s="12" t="s">
        <v>1740</v>
      </c>
      <c r="C881" s="12">
        <v>50</v>
      </c>
      <c r="D881" s="12">
        <v>116</v>
      </c>
      <c r="E881" s="12">
        <v>12000</v>
      </c>
      <c r="F881" s="12">
        <v>552</v>
      </c>
      <c r="G881" s="12">
        <v>22000</v>
      </c>
      <c r="H881" s="12">
        <v>18573791</v>
      </c>
      <c r="I881" s="12" t="s">
        <v>4764</v>
      </c>
      <c r="J881" s="12" t="s">
        <v>1746</v>
      </c>
      <c r="K881" s="12" t="s">
        <v>4630</v>
      </c>
      <c r="L881" s="12" t="s">
        <v>4765</v>
      </c>
      <c r="M881" s="12" t="s">
        <v>4766</v>
      </c>
      <c r="N881" s="12">
        <v>38533</v>
      </c>
      <c r="O881" s="12">
        <v>24618</v>
      </c>
      <c r="P881" s="12">
        <v>3</v>
      </c>
      <c r="Q881" s="12" t="s">
        <v>4767</v>
      </c>
      <c r="R881" s="15" t="s">
        <v>4768</v>
      </c>
      <c r="S881" s="12">
        <v>89</v>
      </c>
      <c r="T881" s="12" t="s">
        <v>39</v>
      </c>
      <c r="U881" s="12" t="s">
        <v>40</v>
      </c>
      <c r="V881" s="12" t="s">
        <v>586</v>
      </c>
      <c r="W881" s="12">
        <v>55000000</v>
      </c>
      <c r="X881" s="12">
        <v>1996</v>
      </c>
      <c r="Y881" s="12">
        <v>617</v>
      </c>
      <c r="Z881" s="12">
        <v>5.8</v>
      </c>
      <c r="AA881" s="12">
        <v>2.35</v>
      </c>
      <c r="AB881" s="12">
        <v>0</v>
      </c>
      <c r="AC881" s="12"/>
      <c r="AD881" s="12" t="str">
        <f>IFERROR(__xludf.DUMMYFUNCTION("""COMPUTED_VALUE"""),"Jonathan Winters")</f>
        <v>Jonathan Winters</v>
      </c>
      <c r="AE881" s="12"/>
    </row>
    <row r="882" customHeight="1" spans="1:31">
      <c r="A882" s="11" t="s">
        <v>748</v>
      </c>
      <c r="B882" s="11" t="s">
        <v>1325</v>
      </c>
      <c r="C882" s="11">
        <v>153</v>
      </c>
      <c r="D882" s="11">
        <v>143</v>
      </c>
      <c r="E882" s="11">
        <v>541</v>
      </c>
      <c r="F882" s="11">
        <v>530</v>
      </c>
      <c r="G882" s="11">
        <v>18000</v>
      </c>
      <c r="H882" s="11">
        <v>51225796</v>
      </c>
      <c r="I882" s="11" t="s">
        <v>4769</v>
      </c>
      <c r="J882" s="11" t="s">
        <v>641</v>
      </c>
      <c r="K882" s="11" t="s">
        <v>3491</v>
      </c>
      <c r="L882" s="11" t="s">
        <v>4770</v>
      </c>
      <c r="M882" s="11" t="s">
        <v>4771</v>
      </c>
      <c r="N882" s="11">
        <v>96654</v>
      </c>
      <c r="O882" s="11">
        <v>20660</v>
      </c>
      <c r="P882" s="11">
        <v>0</v>
      </c>
      <c r="Q882" s="11" t="s">
        <v>4772</v>
      </c>
      <c r="R882" s="14" t="s">
        <v>4773</v>
      </c>
      <c r="S882" s="11">
        <v>2047</v>
      </c>
      <c r="T882" s="11" t="s">
        <v>39</v>
      </c>
      <c r="U882" s="11" t="s">
        <v>58</v>
      </c>
      <c r="V882" s="11" t="s">
        <v>41</v>
      </c>
      <c r="W882" s="11">
        <v>70000000</v>
      </c>
      <c r="X882" s="11">
        <v>2004</v>
      </c>
      <c r="Y882" s="11">
        <v>893</v>
      </c>
      <c r="Z882" s="11">
        <v>7.4</v>
      </c>
      <c r="AA882" s="11">
        <v>2.35</v>
      </c>
      <c r="AB882" s="11">
        <v>0</v>
      </c>
      <c r="AC882" s="11"/>
      <c r="AD882" s="11" t="str">
        <f>IFERROR(__xludf.DUMMYFUNCTION("""COMPUTED_VALUE"""),"Eric Stonestreet")</f>
        <v>Eric Stonestreet</v>
      </c>
      <c r="AE882" s="11"/>
    </row>
    <row r="883" customHeight="1" spans="1:31">
      <c r="A883" s="12" t="s">
        <v>30</v>
      </c>
      <c r="B883" s="12" t="s">
        <v>4774</v>
      </c>
      <c r="C883" s="12">
        <v>202</v>
      </c>
      <c r="D883" s="12">
        <v>114</v>
      </c>
      <c r="E883" s="12">
        <v>159</v>
      </c>
      <c r="F883" s="12">
        <v>877</v>
      </c>
      <c r="G883" s="12">
        <v>13000</v>
      </c>
      <c r="H883" s="12">
        <v>16264475</v>
      </c>
      <c r="I883" s="12" t="s">
        <v>3241</v>
      </c>
      <c r="J883" s="12" t="s">
        <v>446</v>
      </c>
      <c r="K883" s="12" t="s">
        <v>1402</v>
      </c>
      <c r="L883" s="12" t="s">
        <v>1190</v>
      </c>
      <c r="M883" s="12" t="s">
        <v>4775</v>
      </c>
      <c r="N883" s="12">
        <v>54787</v>
      </c>
      <c r="O883" s="12">
        <v>16899</v>
      </c>
      <c r="P883" s="12">
        <v>1</v>
      </c>
      <c r="Q883" s="12" t="s">
        <v>4776</v>
      </c>
      <c r="R883" s="15" t="s">
        <v>4777</v>
      </c>
      <c r="S883" s="12">
        <v>216</v>
      </c>
      <c r="T883" s="12" t="s">
        <v>39</v>
      </c>
      <c r="U883" s="12" t="s">
        <v>58</v>
      </c>
      <c r="V883" s="12" t="s">
        <v>41</v>
      </c>
      <c r="W883" s="12">
        <v>55000000</v>
      </c>
      <c r="X883" s="12">
        <v>2007</v>
      </c>
      <c r="Y883" s="12">
        <v>2000</v>
      </c>
      <c r="Z883" s="12">
        <v>6.9</v>
      </c>
      <c r="AA883" s="12">
        <v>1.85</v>
      </c>
      <c r="AB883" s="12">
        <v>0</v>
      </c>
      <c r="AC883" s="12"/>
      <c r="AD883" s="12" t="str">
        <f>IFERROR(__xludf.DUMMYFUNCTION("""COMPUTED_VALUE"""),"Albert Brooks")</f>
        <v>Albert Brooks</v>
      </c>
      <c r="AE883" s="12"/>
    </row>
    <row r="884" customHeight="1" spans="1:31">
      <c r="A884" s="11" t="s">
        <v>30</v>
      </c>
      <c r="B884" s="11" t="s">
        <v>4778</v>
      </c>
      <c r="C884" s="11">
        <v>178</v>
      </c>
      <c r="D884" s="11">
        <v>93</v>
      </c>
      <c r="E884" s="11">
        <v>45</v>
      </c>
      <c r="F884" s="11">
        <v>352</v>
      </c>
      <c r="G884" s="11">
        <v>9000</v>
      </c>
      <c r="H884" s="11">
        <v>25857987</v>
      </c>
      <c r="I884" s="11" t="s">
        <v>648</v>
      </c>
      <c r="J884" s="11" t="s">
        <v>778</v>
      </c>
      <c r="K884" s="11" t="s">
        <v>4128</v>
      </c>
      <c r="L884" s="11" t="s">
        <v>4779</v>
      </c>
      <c r="M884" s="11" t="s">
        <v>4780</v>
      </c>
      <c r="N884" s="11">
        <v>110614</v>
      </c>
      <c r="O884" s="11">
        <v>10185</v>
      </c>
      <c r="P884" s="11">
        <v>0</v>
      </c>
      <c r="Q884" s="11" t="s">
        <v>4781</v>
      </c>
      <c r="R884" s="14" t="s">
        <v>4782</v>
      </c>
      <c r="S884" s="11">
        <v>532</v>
      </c>
      <c r="T884" s="11" t="s">
        <v>39</v>
      </c>
      <c r="U884" s="11" t="s">
        <v>40</v>
      </c>
      <c r="V884" s="11" t="s">
        <v>41</v>
      </c>
      <c r="W884" s="11">
        <v>62000000</v>
      </c>
      <c r="X884" s="11">
        <v>2005</v>
      </c>
      <c r="Y884" s="11">
        <v>460</v>
      </c>
      <c r="Z884" s="11">
        <v>5.5</v>
      </c>
      <c r="AA884" s="11">
        <v>2.35</v>
      </c>
      <c r="AB884" s="11">
        <v>0</v>
      </c>
      <c r="AC884" s="11"/>
      <c r="AD884" s="11" t="str">
        <f>IFERROR(__xludf.DUMMYFUNCTION("""COMPUTED_VALUE"""),"Max Ryan")</f>
        <v>Max Ryan</v>
      </c>
      <c r="AE884" s="11"/>
    </row>
    <row r="885" customHeight="1" spans="1:31">
      <c r="A885" s="12" t="s">
        <v>30</v>
      </c>
      <c r="B885" s="12" t="s">
        <v>4783</v>
      </c>
      <c r="C885" s="12">
        <v>84</v>
      </c>
      <c r="D885" s="12">
        <v>280</v>
      </c>
      <c r="E885" s="12">
        <v>33</v>
      </c>
      <c r="F885" s="12">
        <v>67</v>
      </c>
      <c r="G885" s="12">
        <v>789</v>
      </c>
      <c r="H885" s="12">
        <v>12870569</v>
      </c>
      <c r="I885" s="12" t="s">
        <v>1962</v>
      </c>
      <c r="J885" s="12" t="s">
        <v>4784</v>
      </c>
      <c r="K885" s="12" t="s">
        <v>4785</v>
      </c>
      <c r="L885" s="12" t="s">
        <v>4786</v>
      </c>
      <c r="M885" s="12" t="s">
        <v>4787</v>
      </c>
      <c r="N885" s="12">
        <v>13215</v>
      </c>
      <c r="O885" s="12">
        <v>1671</v>
      </c>
      <c r="P885" s="12">
        <v>0</v>
      </c>
      <c r="Q885" s="12" t="s">
        <v>4788</v>
      </c>
      <c r="R885" s="15" t="s">
        <v>4789</v>
      </c>
      <c r="S885" s="12">
        <v>497</v>
      </c>
      <c r="T885" s="12" t="s">
        <v>39</v>
      </c>
      <c r="U885" s="12" t="s">
        <v>40</v>
      </c>
      <c r="V885" s="12" t="s">
        <v>41</v>
      </c>
      <c r="W885" s="12">
        <v>56000000</v>
      </c>
      <c r="X885" s="12">
        <v>2003</v>
      </c>
      <c r="Y885" s="12">
        <v>640</v>
      </c>
      <c r="Z885" s="12">
        <v>6.3</v>
      </c>
      <c r="AA885" s="12">
        <v>2.35</v>
      </c>
      <c r="AB885" s="12">
        <v>953</v>
      </c>
      <c r="AC885" s="12"/>
      <c r="AD885" s="12" t="str">
        <f>IFERROR(__xludf.DUMMYFUNCTION("""COMPUTED_VALUE"""),"Miranda Cosgrove")</f>
        <v>Miranda Cosgrove</v>
      </c>
      <c r="AE885" s="12"/>
    </row>
    <row r="886" customHeight="1" spans="1:31">
      <c r="A886" s="11" t="s">
        <v>30</v>
      </c>
      <c r="B886" s="11" t="s">
        <v>4790</v>
      </c>
      <c r="C886" s="11">
        <v>44</v>
      </c>
      <c r="D886" s="11">
        <v>100</v>
      </c>
      <c r="E886" s="11">
        <v>0</v>
      </c>
      <c r="F886" s="11">
        <v>745</v>
      </c>
      <c r="G886" s="11">
        <v>995</v>
      </c>
      <c r="H886" s="11">
        <v>11466088</v>
      </c>
      <c r="I886" s="11" t="s">
        <v>60</v>
      </c>
      <c r="J886" s="11" t="s">
        <v>3305</v>
      </c>
      <c r="K886" s="11" t="s">
        <v>4791</v>
      </c>
      <c r="L886" s="11" t="s">
        <v>3262</v>
      </c>
      <c r="M886" s="11" t="s">
        <v>4792</v>
      </c>
      <c r="N886" s="11">
        <v>8983</v>
      </c>
      <c r="O886" s="11">
        <v>3952</v>
      </c>
      <c r="P886" s="11">
        <v>0</v>
      </c>
      <c r="Q886" s="11" t="s">
        <v>4793</v>
      </c>
      <c r="R886" s="14" t="s">
        <v>4794</v>
      </c>
      <c r="S886" s="11">
        <v>84</v>
      </c>
      <c r="T886" s="11" t="s">
        <v>39</v>
      </c>
      <c r="U886" s="11" t="s">
        <v>40</v>
      </c>
      <c r="V886" s="11" t="s">
        <v>586</v>
      </c>
      <c r="W886" s="11">
        <v>71000000</v>
      </c>
      <c r="X886" s="11">
        <v>1997</v>
      </c>
      <c r="Y886" s="11">
        <v>879</v>
      </c>
      <c r="Z886" s="11">
        <v>4.7</v>
      </c>
      <c r="AA886" s="11">
        <v>2.35</v>
      </c>
      <c r="AB886" s="11">
        <v>316</v>
      </c>
      <c r="AC886" s="11"/>
      <c r="AD886" s="11" t="str">
        <f>IFERROR(__xludf.DUMMYFUNCTION("""COMPUTED_VALUE"""),"Mary McDonnell")</f>
        <v>Mary McDonnell</v>
      </c>
      <c r="AE886" s="11"/>
    </row>
    <row r="887" customHeight="1" spans="1:31">
      <c r="A887" s="12" t="s">
        <v>30</v>
      </c>
      <c r="B887" s="12" t="s">
        <v>4795</v>
      </c>
      <c r="C887" s="12">
        <v>93</v>
      </c>
      <c r="D887" s="12">
        <v>107</v>
      </c>
      <c r="E887" s="12">
        <v>11</v>
      </c>
      <c r="F887" s="12">
        <v>506</v>
      </c>
      <c r="G887" s="12">
        <v>939</v>
      </c>
      <c r="H887" s="12">
        <v>16088610</v>
      </c>
      <c r="I887" s="12" t="s">
        <v>4796</v>
      </c>
      <c r="J887" s="12" t="s">
        <v>1147</v>
      </c>
      <c r="K887" s="12" t="s">
        <v>1306</v>
      </c>
      <c r="L887" s="12" t="s">
        <v>2987</v>
      </c>
      <c r="M887" s="12" t="s">
        <v>4797</v>
      </c>
      <c r="N887" s="12">
        <v>10417</v>
      </c>
      <c r="O887" s="12">
        <v>3742</v>
      </c>
      <c r="P887" s="12">
        <v>2</v>
      </c>
      <c r="Q887" s="12" t="s">
        <v>4798</v>
      </c>
      <c r="R887" s="15" t="s">
        <v>4799</v>
      </c>
      <c r="S887" s="12">
        <v>39</v>
      </c>
      <c r="T887" s="12" t="s">
        <v>39</v>
      </c>
      <c r="U887" s="12" t="s">
        <v>40</v>
      </c>
      <c r="V887" s="12" t="s">
        <v>96</v>
      </c>
      <c r="W887" s="12">
        <v>55000000</v>
      </c>
      <c r="X887" s="12">
        <v>2009</v>
      </c>
      <c r="Y887" s="12">
        <v>605</v>
      </c>
      <c r="Z887" s="12">
        <v>5.6</v>
      </c>
      <c r="AA887" s="12">
        <v>2.35</v>
      </c>
      <c r="AB887" s="12">
        <v>610</v>
      </c>
      <c r="AC887" s="12"/>
      <c r="AD887" s="12" t="str">
        <f>IFERROR(__xludf.DUMMYFUNCTION("""COMPUTED_VALUE"""),"Ariana Richards")</f>
        <v>Ariana Richards</v>
      </c>
      <c r="AE887" s="12"/>
    </row>
    <row r="888" customHeight="1" spans="1:31">
      <c r="A888" s="11" t="s">
        <v>30</v>
      </c>
      <c r="B888" s="11" t="s">
        <v>718</v>
      </c>
      <c r="C888" s="11">
        <v>277</v>
      </c>
      <c r="D888" s="11">
        <v>119</v>
      </c>
      <c r="E888" s="11">
        <v>33</v>
      </c>
      <c r="F888" s="11">
        <v>518</v>
      </c>
      <c r="G888" s="11">
        <v>3000</v>
      </c>
      <c r="H888" s="11">
        <v>51178893</v>
      </c>
      <c r="I888" s="11" t="s">
        <v>4800</v>
      </c>
      <c r="J888" s="11" t="s">
        <v>948</v>
      </c>
      <c r="K888" s="11" t="s">
        <v>4801</v>
      </c>
      <c r="L888" s="11" t="s">
        <v>4802</v>
      </c>
      <c r="M888" s="11" t="s">
        <v>4803</v>
      </c>
      <c r="N888" s="11">
        <v>24285</v>
      </c>
      <c r="O888" s="11">
        <v>6089</v>
      </c>
      <c r="P888" s="11">
        <v>4</v>
      </c>
      <c r="Q888" s="11" t="s">
        <v>4804</v>
      </c>
      <c r="R888" s="14" t="s">
        <v>4805</v>
      </c>
      <c r="S888" s="11">
        <v>110</v>
      </c>
      <c r="T888" s="11" t="s">
        <v>39</v>
      </c>
      <c r="U888" s="11" t="s">
        <v>40</v>
      </c>
      <c r="V888" s="11" t="s">
        <v>96</v>
      </c>
      <c r="W888" s="11">
        <v>50000000</v>
      </c>
      <c r="X888" s="11">
        <v>2014</v>
      </c>
      <c r="Y888" s="11">
        <v>2000</v>
      </c>
      <c r="Z888" s="11">
        <v>6.4</v>
      </c>
      <c r="AA888" s="11">
        <v>1.85</v>
      </c>
      <c r="AB888" s="11">
        <v>10000</v>
      </c>
      <c r="AC888" s="11"/>
      <c r="AD888" s="11" t="str">
        <f>IFERROR(__xludf.DUMMYFUNCTION("""COMPUTED_VALUE"""),"Richard Schiff")</f>
        <v>Richard Schiff</v>
      </c>
      <c r="AE888" s="11"/>
    </row>
    <row r="889" customHeight="1" spans="1:31">
      <c r="A889" s="12" t="s">
        <v>30</v>
      </c>
      <c r="B889" s="12" t="s">
        <v>3377</v>
      </c>
      <c r="C889" s="12">
        <v>76</v>
      </c>
      <c r="D889" s="12">
        <v>95</v>
      </c>
      <c r="E889" s="12">
        <v>906</v>
      </c>
      <c r="F889" s="12">
        <v>287</v>
      </c>
      <c r="G889" s="12">
        <v>956</v>
      </c>
      <c r="H889" s="12">
        <v>6768055</v>
      </c>
      <c r="I889" s="12" t="s">
        <v>3037</v>
      </c>
      <c r="J889" s="12" t="s">
        <v>287</v>
      </c>
      <c r="K889" s="12" t="s">
        <v>4348</v>
      </c>
      <c r="L889" s="12" t="s">
        <v>4806</v>
      </c>
      <c r="M889" s="12" t="s">
        <v>4807</v>
      </c>
      <c r="N889" s="12">
        <v>11148</v>
      </c>
      <c r="O889" s="12">
        <v>2260</v>
      </c>
      <c r="P889" s="12">
        <v>0</v>
      </c>
      <c r="Q889" s="12" t="s">
        <v>4808</v>
      </c>
      <c r="R889" s="15" t="s">
        <v>4809</v>
      </c>
      <c r="S889" s="12">
        <v>229</v>
      </c>
      <c r="T889" s="12" t="s">
        <v>39</v>
      </c>
      <c r="U889" s="12" t="s">
        <v>58</v>
      </c>
      <c r="V889" s="12" t="s">
        <v>96</v>
      </c>
      <c r="W889" s="12">
        <v>57000000</v>
      </c>
      <c r="X889" s="12">
        <v>2004</v>
      </c>
      <c r="Y889" s="12">
        <v>579</v>
      </c>
      <c r="Z889" s="12">
        <v>4.2</v>
      </c>
      <c r="AA889" s="12">
        <v>1.85</v>
      </c>
      <c r="AB889" s="12">
        <v>437</v>
      </c>
      <c r="AC889" s="12"/>
      <c r="AD889" s="12" t="str">
        <f>IFERROR(__xludf.DUMMYFUNCTION("""COMPUTED_VALUE"""),"Vanessa Lee Chester")</f>
        <v>Vanessa Lee Chester</v>
      </c>
      <c r="AE889" s="12"/>
    </row>
    <row r="890" customHeight="1" spans="1:31">
      <c r="A890" s="11" t="s">
        <v>30</v>
      </c>
      <c r="B890" s="11" t="s">
        <v>4810</v>
      </c>
      <c r="C890" s="11">
        <v>197</v>
      </c>
      <c r="D890" s="11">
        <v>119</v>
      </c>
      <c r="E890" s="11">
        <v>59</v>
      </c>
      <c r="F890" s="11">
        <v>676</v>
      </c>
      <c r="G890" s="11">
        <v>2000</v>
      </c>
      <c r="H890" s="11">
        <v>39440655</v>
      </c>
      <c r="I890" s="11" t="s">
        <v>4811</v>
      </c>
      <c r="J890" s="11" t="s">
        <v>3933</v>
      </c>
      <c r="K890" s="11" t="s">
        <v>4812</v>
      </c>
      <c r="L890" s="11" t="s">
        <v>4813</v>
      </c>
      <c r="M890" s="11" t="s">
        <v>4814</v>
      </c>
      <c r="N890" s="11">
        <v>61680</v>
      </c>
      <c r="O890" s="11">
        <v>4315</v>
      </c>
      <c r="P890" s="11">
        <v>1</v>
      </c>
      <c r="Q890" s="11" t="s">
        <v>4815</v>
      </c>
      <c r="R890" s="14" t="s">
        <v>4816</v>
      </c>
      <c r="S890" s="11">
        <v>222</v>
      </c>
      <c r="T890" s="11" t="s">
        <v>39</v>
      </c>
      <c r="U890" s="11" t="s">
        <v>40</v>
      </c>
      <c r="V890" s="11" t="s">
        <v>41</v>
      </c>
      <c r="W890" s="11">
        <v>55000000</v>
      </c>
      <c r="X890" s="11">
        <v>2010</v>
      </c>
      <c r="Y890" s="11">
        <v>828</v>
      </c>
      <c r="Z890" s="11">
        <v>6.4</v>
      </c>
      <c r="AA890" s="11">
        <v>2.35</v>
      </c>
      <c r="AB890" s="11">
        <v>19000</v>
      </c>
      <c r="AC890" s="11"/>
      <c r="AD890" s="11" t="str">
        <f>IFERROR(__xludf.DUMMYFUNCTION("""COMPUTED_VALUE"""),"Danny Huston")</f>
        <v>Danny Huston</v>
      </c>
      <c r="AE890" s="11"/>
    </row>
    <row r="891" customHeight="1" spans="1:31">
      <c r="A891" s="12" t="s">
        <v>30</v>
      </c>
      <c r="B891" s="12" t="s">
        <v>4177</v>
      </c>
      <c r="C891" s="12">
        <v>186</v>
      </c>
      <c r="D891" s="12">
        <v>133</v>
      </c>
      <c r="E891" s="12">
        <v>0</v>
      </c>
      <c r="F891" s="12">
        <v>46</v>
      </c>
      <c r="G891" s="12">
        <v>226</v>
      </c>
      <c r="H891" s="12">
        <v>6167817</v>
      </c>
      <c r="I891" s="12" t="s">
        <v>4817</v>
      </c>
      <c r="J891" s="12" t="s">
        <v>4818</v>
      </c>
      <c r="K891" s="12" t="s">
        <v>4819</v>
      </c>
      <c r="L891" s="12" t="s">
        <v>4820</v>
      </c>
      <c r="M891" s="12" t="s">
        <v>4821</v>
      </c>
      <c r="N891" s="12">
        <v>62607</v>
      </c>
      <c r="O891" s="12">
        <v>405</v>
      </c>
      <c r="P891" s="12">
        <v>1</v>
      </c>
      <c r="Q891" s="12" t="s">
        <v>4822</v>
      </c>
      <c r="R891" s="15" t="s">
        <v>4823</v>
      </c>
      <c r="S891" s="12">
        <v>239</v>
      </c>
      <c r="T891" s="12" t="s">
        <v>1465</v>
      </c>
      <c r="U891" s="12" t="s">
        <v>1466</v>
      </c>
      <c r="V891" s="12" t="s">
        <v>586</v>
      </c>
      <c r="W891" s="12">
        <v>47000000</v>
      </c>
      <c r="X891" s="12">
        <v>2004</v>
      </c>
      <c r="Y891" s="12">
        <v>52</v>
      </c>
      <c r="Z891" s="12">
        <v>7.7</v>
      </c>
      <c r="AA891" s="12">
        <v>2.35</v>
      </c>
      <c r="AB891" s="12">
        <v>0</v>
      </c>
      <c r="AC891" s="12"/>
      <c r="AD891" s="12" t="str">
        <f>IFERROR(__xludf.DUMMYFUNCTION("""COMPUTED_VALUE"""),"Rita Davies")</f>
        <v>Rita Davies</v>
      </c>
      <c r="AE891" s="12"/>
    </row>
    <row r="892" customHeight="1" spans="1:31">
      <c r="A892" s="11" t="s">
        <v>748</v>
      </c>
      <c r="B892" s="11" t="s">
        <v>3728</v>
      </c>
      <c r="C892" s="11">
        <v>103</v>
      </c>
      <c r="D892" s="11">
        <v>152</v>
      </c>
      <c r="E892" s="11">
        <v>0</v>
      </c>
      <c r="F892" s="11">
        <v>177</v>
      </c>
      <c r="G892" s="11">
        <v>617</v>
      </c>
      <c r="H892" s="13"/>
      <c r="I892" s="11" t="s">
        <v>4824</v>
      </c>
      <c r="J892" s="11" t="s">
        <v>4825</v>
      </c>
      <c r="K892" s="11" t="s">
        <v>4826</v>
      </c>
      <c r="L892" s="11" t="s">
        <v>4827</v>
      </c>
      <c r="M892" s="11" t="s">
        <v>4828</v>
      </c>
      <c r="N892" s="11">
        <v>67822</v>
      </c>
      <c r="O892" s="11">
        <v>1403</v>
      </c>
      <c r="P892" s="11">
        <v>0</v>
      </c>
      <c r="Q892" s="11" t="s">
        <v>4829</v>
      </c>
      <c r="R892" s="14" t="s">
        <v>4830</v>
      </c>
      <c r="S892" s="11">
        <v>207</v>
      </c>
      <c r="T892" s="11" t="s">
        <v>39</v>
      </c>
      <c r="U892" s="11" t="s">
        <v>58</v>
      </c>
      <c r="V892" s="11" t="s">
        <v>4831</v>
      </c>
      <c r="W892" s="11">
        <v>2000000</v>
      </c>
      <c r="X892" s="11">
        <v>1962</v>
      </c>
      <c r="Y892" s="11">
        <v>367</v>
      </c>
      <c r="Z892" s="11">
        <v>7.7</v>
      </c>
      <c r="AA892" s="11">
        <v>1.66</v>
      </c>
      <c r="AB892" s="11">
        <v>0</v>
      </c>
      <c r="AC892" s="11"/>
      <c r="AD892" s="11" t="str">
        <f>IFERROR(__xludf.DUMMYFUNCTION("""COMPUTED_VALUE"""),"Tyler Mane")</f>
        <v>Tyler Mane</v>
      </c>
      <c r="AE892" s="11"/>
    </row>
    <row r="893" customHeight="1" spans="1:31">
      <c r="A893" s="12" t="s">
        <v>30</v>
      </c>
      <c r="B893" s="12" t="s">
        <v>4832</v>
      </c>
      <c r="C893" s="12">
        <v>66</v>
      </c>
      <c r="D893" s="12">
        <v>96</v>
      </c>
      <c r="E893" s="12">
        <v>13</v>
      </c>
      <c r="F893" s="12">
        <v>534</v>
      </c>
      <c r="G893" s="12">
        <v>13000</v>
      </c>
      <c r="H893" s="16"/>
      <c r="I893" s="12" t="s">
        <v>4833</v>
      </c>
      <c r="J893" s="12" t="s">
        <v>1785</v>
      </c>
      <c r="K893" s="12" t="s">
        <v>4834</v>
      </c>
      <c r="L893" s="12" t="s">
        <v>4699</v>
      </c>
      <c r="M893" s="12" t="s">
        <v>4835</v>
      </c>
      <c r="N893" s="12">
        <v>19706</v>
      </c>
      <c r="O893" s="12">
        <v>15803</v>
      </c>
      <c r="P893" s="12">
        <v>1</v>
      </c>
      <c r="Q893" s="12" t="s">
        <v>4836</v>
      </c>
      <c r="R893" s="15" t="s">
        <v>4837</v>
      </c>
      <c r="S893" s="12">
        <v>142</v>
      </c>
      <c r="T893" s="12" t="s">
        <v>39</v>
      </c>
      <c r="U893" s="12" t="s">
        <v>40</v>
      </c>
      <c r="V893" s="12" t="s">
        <v>586</v>
      </c>
      <c r="W893" s="12">
        <v>55000000</v>
      </c>
      <c r="X893" s="12">
        <v>2002</v>
      </c>
      <c r="Y893" s="12">
        <v>854</v>
      </c>
      <c r="Z893" s="12">
        <v>5.3</v>
      </c>
      <c r="AA893" s="12">
        <v>2.35</v>
      </c>
      <c r="AB893" s="12">
        <v>448</v>
      </c>
      <c r="AC893" s="12"/>
      <c r="AD893" s="12" t="str">
        <f>IFERROR(__xludf.DUMMYFUNCTION("""COMPUTED_VALUE"""),"Michael Biehn")</f>
        <v>Michael Biehn</v>
      </c>
      <c r="AE893" s="12"/>
    </row>
    <row r="894" customHeight="1" spans="1:31">
      <c r="A894" s="11" t="s">
        <v>30</v>
      </c>
      <c r="B894" s="11" t="s">
        <v>379</v>
      </c>
      <c r="C894" s="11">
        <v>224</v>
      </c>
      <c r="D894" s="11">
        <v>117</v>
      </c>
      <c r="E894" s="11">
        <v>0</v>
      </c>
      <c r="F894" s="11">
        <v>845</v>
      </c>
      <c r="G894" s="11">
        <v>12000</v>
      </c>
      <c r="H894" s="11">
        <v>81645152</v>
      </c>
      <c r="I894" s="11" t="s">
        <v>2208</v>
      </c>
      <c r="J894" s="11" t="s">
        <v>4838</v>
      </c>
      <c r="K894" s="11" t="s">
        <v>209</v>
      </c>
      <c r="L894" s="11" t="s">
        <v>1214</v>
      </c>
      <c r="M894" s="11" t="s">
        <v>4839</v>
      </c>
      <c r="N894" s="11">
        <v>158267</v>
      </c>
      <c r="O894" s="11">
        <v>15371</v>
      </c>
      <c r="P894" s="11">
        <v>1</v>
      </c>
      <c r="Q894" s="11" t="s">
        <v>4840</v>
      </c>
      <c r="R894" s="14" t="s">
        <v>4841</v>
      </c>
      <c r="S894" s="11">
        <v>559</v>
      </c>
      <c r="T894" s="11" t="s">
        <v>39</v>
      </c>
      <c r="U894" s="11" t="s">
        <v>40</v>
      </c>
      <c r="V894" s="11" t="s">
        <v>586</v>
      </c>
      <c r="W894" s="11">
        <v>54000000</v>
      </c>
      <c r="X894" s="11">
        <v>2002</v>
      </c>
      <c r="Y894" s="11">
        <v>919</v>
      </c>
      <c r="Z894" s="11">
        <v>6.7</v>
      </c>
      <c r="AA894" s="11">
        <v>1.85</v>
      </c>
      <c r="AB894" s="11">
        <v>0</v>
      </c>
      <c r="AC894" s="11"/>
      <c r="AD894" s="11" t="str">
        <f>IFERROR(__xludf.DUMMYFUNCTION("""COMPUTED_VALUE"""),"Bokeem Woodbine")</f>
        <v>Bokeem Woodbine</v>
      </c>
      <c r="AE894" s="11"/>
    </row>
    <row r="895" customHeight="1" spans="1:31">
      <c r="A895" s="12" t="s">
        <v>30</v>
      </c>
      <c r="B895" s="12" t="s">
        <v>4629</v>
      </c>
      <c r="C895" s="12">
        <v>202</v>
      </c>
      <c r="D895" s="12">
        <v>123</v>
      </c>
      <c r="E895" s="12">
        <v>125</v>
      </c>
      <c r="F895" s="12">
        <v>835</v>
      </c>
      <c r="G895" s="12">
        <v>10000</v>
      </c>
      <c r="H895" s="12">
        <v>69951824</v>
      </c>
      <c r="I895" s="12" t="s">
        <v>214</v>
      </c>
      <c r="J895" s="12" t="s">
        <v>166</v>
      </c>
      <c r="K895" s="12" t="s">
        <v>984</v>
      </c>
      <c r="L895" s="12" t="s">
        <v>4842</v>
      </c>
      <c r="M895" s="12" t="s">
        <v>4843</v>
      </c>
      <c r="N895" s="12">
        <v>232710</v>
      </c>
      <c r="O895" s="12">
        <v>14727</v>
      </c>
      <c r="P895" s="12">
        <v>1</v>
      </c>
      <c r="Q895" s="12" t="s">
        <v>4844</v>
      </c>
      <c r="R895" s="15" t="s">
        <v>4845</v>
      </c>
      <c r="S895" s="12">
        <v>599</v>
      </c>
      <c r="T895" s="12" t="s">
        <v>39</v>
      </c>
      <c r="U895" s="12" t="s">
        <v>40</v>
      </c>
      <c r="V895" s="12" t="s">
        <v>41</v>
      </c>
      <c r="W895" s="12">
        <v>55000000</v>
      </c>
      <c r="X895" s="12">
        <v>2008</v>
      </c>
      <c r="Y895" s="12">
        <v>3000</v>
      </c>
      <c r="Z895" s="12">
        <v>7.7</v>
      </c>
      <c r="AA895" s="12">
        <v>2.35</v>
      </c>
      <c r="AB895" s="12">
        <v>26000</v>
      </c>
      <c r="AC895" s="12"/>
      <c r="AD895" s="12" t="str">
        <f>IFERROR(__xludf.DUMMYFUNCTION("""COMPUTED_VALUE"""),"Ray Romano")</f>
        <v>Ray Romano</v>
      </c>
      <c r="AE895" s="12"/>
    </row>
    <row r="896" customHeight="1" spans="1:31">
      <c r="A896" s="11" t="s">
        <v>30</v>
      </c>
      <c r="B896" s="11" t="s">
        <v>4357</v>
      </c>
      <c r="C896" s="11">
        <v>279</v>
      </c>
      <c r="D896" s="11">
        <v>92</v>
      </c>
      <c r="E896" s="11">
        <v>394</v>
      </c>
      <c r="F896" s="11">
        <v>565</v>
      </c>
      <c r="G896" s="11">
        <v>13000</v>
      </c>
      <c r="H896" s="11">
        <v>9483821</v>
      </c>
      <c r="I896" s="11" t="s">
        <v>60</v>
      </c>
      <c r="J896" s="11" t="s">
        <v>1785</v>
      </c>
      <c r="K896" s="11" t="s">
        <v>4846</v>
      </c>
      <c r="L896" s="11" t="s">
        <v>4847</v>
      </c>
      <c r="M896" s="11" t="s">
        <v>4848</v>
      </c>
      <c r="N896" s="11">
        <v>39247</v>
      </c>
      <c r="O896" s="11">
        <v>25418</v>
      </c>
      <c r="P896" s="11">
        <v>3</v>
      </c>
      <c r="Q896" s="11" t="s">
        <v>4849</v>
      </c>
      <c r="R896" s="14" t="s">
        <v>4850</v>
      </c>
      <c r="S896" s="11">
        <v>131</v>
      </c>
      <c r="T896" s="11" t="s">
        <v>39</v>
      </c>
      <c r="U896" s="11" t="s">
        <v>40</v>
      </c>
      <c r="V896" s="11" t="s">
        <v>586</v>
      </c>
      <c r="W896" s="11">
        <v>55000000</v>
      </c>
      <c r="X896" s="11">
        <v>2012</v>
      </c>
      <c r="Y896" s="11">
        <v>11000</v>
      </c>
      <c r="Z896" s="11">
        <v>5.7</v>
      </c>
      <c r="AA896" s="11">
        <v>1.85</v>
      </c>
      <c r="AB896" s="11">
        <v>10000</v>
      </c>
      <c r="AC896" s="11"/>
      <c r="AD896" s="11" t="str">
        <f>IFERROR(__xludf.DUMMYFUNCTION("""COMPUTED_VALUE"""),"Jay Leno")</f>
        <v>Jay Leno</v>
      </c>
      <c r="AE896" s="11"/>
    </row>
    <row r="897" customHeight="1" spans="1:31">
      <c r="A897" s="12" t="s">
        <v>30</v>
      </c>
      <c r="B897" s="12" t="s">
        <v>4851</v>
      </c>
      <c r="C897" s="12">
        <v>110</v>
      </c>
      <c r="D897" s="12">
        <v>170</v>
      </c>
      <c r="E897" s="12">
        <v>0</v>
      </c>
      <c r="F897" s="12">
        <v>889</v>
      </c>
      <c r="G897" s="12">
        <v>14000</v>
      </c>
      <c r="H897" s="12">
        <v>66676062</v>
      </c>
      <c r="I897" s="12" t="s">
        <v>1936</v>
      </c>
      <c r="J897" s="12" t="s">
        <v>2383</v>
      </c>
      <c r="K897" s="12" t="s">
        <v>309</v>
      </c>
      <c r="L897" s="12" t="s">
        <v>3179</v>
      </c>
      <c r="M897" s="12" t="s">
        <v>4852</v>
      </c>
      <c r="N897" s="12">
        <v>267980</v>
      </c>
      <c r="O897" s="12">
        <v>16949</v>
      </c>
      <c r="P897" s="12">
        <v>1</v>
      </c>
      <c r="Q897" s="12" t="s">
        <v>4853</v>
      </c>
      <c r="R897" s="15" t="s">
        <v>4854</v>
      </c>
      <c r="S897" s="12">
        <v>545</v>
      </c>
      <c r="T897" s="12" t="s">
        <v>39</v>
      </c>
      <c r="U897" s="12" t="s">
        <v>40</v>
      </c>
      <c r="V897" s="12" t="s">
        <v>586</v>
      </c>
      <c r="W897" s="12">
        <v>54000000</v>
      </c>
      <c r="X897" s="12">
        <v>1990</v>
      </c>
      <c r="Y897" s="12">
        <v>1000</v>
      </c>
      <c r="Z897" s="12">
        <v>7.6</v>
      </c>
      <c r="AA897" s="12">
        <v>1.85</v>
      </c>
      <c r="AB897" s="12">
        <v>0</v>
      </c>
      <c r="AC897" s="12"/>
      <c r="AD897" s="12" t="str">
        <f>IFERROR(__xludf.DUMMYFUNCTION("""COMPUTED_VALUE"""),"Peter Dante")</f>
        <v>Peter Dante</v>
      </c>
      <c r="AE897" s="12"/>
    </row>
    <row r="898" customHeight="1" spans="1:31">
      <c r="A898" s="11" t="s">
        <v>30</v>
      </c>
      <c r="B898" s="11" t="s">
        <v>3348</v>
      </c>
      <c r="C898" s="11">
        <v>190</v>
      </c>
      <c r="D898" s="11">
        <v>123</v>
      </c>
      <c r="E898" s="11">
        <v>488</v>
      </c>
      <c r="F898" s="11">
        <v>2000</v>
      </c>
      <c r="G898" s="11">
        <v>5000</v>
      </c>
      <c r="H898" s="11">
        <v>26838389</v>
      </c>
      <c r="I898" s="11" t="s">
        <v>1415</v>
      </c>
      <c r="J898" s="11" t="s">
        <v>45</v>
      </c>
      <c r="K898" s="11" t="s">
        <v>84</v>
      </c>
      <c r="L898" s="11" t="s">
        <v>236</v>
      </c>
      <c r="M898" s="11" t="s">
        <v>4855</v>
      </c>
      <c r="N898" s="11">
        <v>58658</v>
      </c>
      <c r="O898" s="11">
        <v>12700</v>
      </c>
      <c r="P898" s="11">
        <v>0</v>
      </c>
      <c r="Q898" s="11" t="s">
        <v>4856</v>
      </c>
      <c r="R898" s="14" t="s">
        <v>4857</v>
      </c>
      <c r="S898" s="11">
        <v>495</v>
      </c>
      <c r="T898" s="11" t="s">
        <v>39</v>
      </c>
      <c r="U898" s="11" t="s">
        <v>40</v>
      </c>
      <c r="V898" s="11" t="s">
        <v>41</v>
      </c>
      <c r="W898" s="11">
        <v>57000000</v>
      </c>
      <c r="X898" s="11">
        <v>2005</v>
      </c>
      <c r="Y898" s="11">
        <v>4000</v>
      </c>
      <c r="Z898" s="11">
        <v>6.4</v>
      </c>
      <c r="AA898" s="11">
        <v>1.85</v>
      </c>
      <c r="AB898" s="11">
        <v>0</v>
      </c>
      <c r="AC898" s="11"/>
      <c r="AD898" s="11" t="str">
        <f>IFERROR(__xludf.DUMMYFUNCTION("""COMPUTED_VALUE"""),"Allen Covert")</f>
        <v>Allen Covert</v>
      </c>
      <c r="AE898" s="11"/>
    </row>
    <row r="899" customHeight="1" spans="1:31">
      <c r="A899" s="12" t="s">
        <v>30</v>
      </c>
      <c r="B899" s="12" t="s">
        <v>221</v>
      </c>
      <c r="C899" s="12">
        <v>136</v>
      </c>
      <c r="D899" s="12">
        <v>110</v>
      </c>
      <c r="E899" s="12">
        <v>94</v>
      </c>
      <c r="F899" s="12">
        <v>240</v>
      </c>
      <c r="G899" s="12">
        <v>277</v>
      </c>
      <c r="H899" s="12">
        <v>75604320</v>
      </c>
      <c r="I899" s="12" t="s">
        <v>1681</v>
      </c>
      <c r="J899" s="12" t="s">
        <v>4858</v>
      </c>
      <c r="K899" s="12" t="s">
        <v>4859</v>
      </c>
      <c r="L899" s="12" t="s">
        <v>4860</v>
      </c>
      <c r="M899" s="12" t="s">
        <v>4861</v>
      </c>
      <c r="N899" s="12">
        <v>68417</v>
      </c>
      <c r="O899" s="12">
        <v>847</v>
      </c>
      <c r="P899" s="12">
        <v>1</v>
      </c>
      <c r="Q899" s="12" t="s">
        <v>4862</v>
      </c>
      <c r="R899" s="15" t="s">
        <v>4863</v>
      </c>
      <c r="S899" s="12">
        <v>195</v>
      </c>
      <c r="T899" s="12" t="s">
        <v>39</v>
      </c>
      <c r="U899" s="12" t="s">
        <v>40</v>
      </c>
      <c r="V899" s="12" t="s">
        <v>41</v>
      </c>
      <c r="W899" s="12">
        <v>54000000</v>
      </c>
      <c r="X899" s="12">
        <v>2006</v>
      </c>
      <c r="Y899" s="12">
        <v>245</v>
      </c>
      <c r="Z899" s="12">
        <v>5.6</v>
      </c>
      <c r="AA899" s="12">
        <v>1.85</v>
      </c>
      <c r="AB899" s="12">
        <v>0</v>
      </c>
      <c r="AC899" s="12"/>
      <c r="AD899" s="12" t="str">
        <f>IFERROR(__xludf.DUMMYFUNCTION("""COMPUTED_VALUE"""),"Jerry Stiller")</f>
        <v>Jerry Stiller</v>
      </c>
      <c r="AE899" s="12"/>
    </row>
    <row r="900" customHeight="1" spans="1:31">
      <c r="A900" s="11" t="s">
        <v>30</v>
      </c>
      <c r="B900" s="11" t="s">
        <v>4864</v>
      </c>
      <c r="C900" s="11">
        <v>121</v>
      </c>
      <c r="D900" s="11">
        <v>116</v>
      </c>
      <c r="E900" s="11">
        <v>44</v>
      </c>
      <c r="F900" s="11">
        <v>420</v>
      </c>
      <c r="G900" s="11">
        <v>593</v>
      </c>
      <c r="H900" s="11">
        <v>108200000</v>
      </c>
      <c r="I900" s="11" t="s">
        <v>578</v>
      </c>
      <c r="J900" s="11" t="s">
        <v>4582</v>
      </c>
      <c r="K900" s="11" t="s">
        <v>4184</v>
      </c>
      <c r="L900" s="11" t="s">
        <v>4865</v>
      </c>
      <c r="M900" s="11" t="s">
        <v>4866</v>
      </c>
      <c r="N900" s="11">
        <v>76331</v>
      </c>
      <c r="O900" s="11">
        <v>2908</v>
      </c>
      <c r="P900" s="11">
        <v>4</v>
      </c>
      <c r="Q900" s="11" t="s">
        <v>4867</v>
      </c>
      <c r="R900" s="14" t="s">
        <v>4868</v>
      </c>
      <c r="S900" s="11">
        <v>269</v>
      </c>
      <c r="T900" s="11" t="s">
        <v>39</v>
      </c>
      <c r="U900" s="11" t="s">
        <v>40</v>
      </c>
      <c r="V900" s="11" t="s">
        <v>96</v>
      </c>
      <c r="W900" s="11">
        <v>54000000</v>
      </c>
      <c r="X900" s="11">
        <v>1980</v>
      </c>
      <c r="Y900" s="11">
        <v>467</v>
      </c>
      <c r="Z900" s="11">
        <v>6.8</v>
      </c>
      <c r="AA900" s="11">
        <v>2.35</v>
      </c>
      <c r="AB900" s="11">
        <v>0</v>
      </c>
      <c r="AC900" s="11"/>
      <c r="AD900" s="11" t="str">
        <f>IFERROR(__xludf.DUMMYFUNCTION("""COMPUTED_VALUE"""),"Elijah Kelley")</f>
        <v>Elijah Kelley</v>
      </c>
      <c r="AE900" s="11"/>
    </row>
    <row r="901" customHeight="1" spans="1:31">
      <c r="A901" s="12" t="s">
        <v>30</v>
      </c>
      <c r="B901" s="12" t="s">
        <v>2430</v>
      </c>
      <c r="C901" s="12">
        <v>131</v>
      </c>
      <c r="D901" s="12">
        <v>121</v>
      </c>
      <c r="E901" s="12">
        <v>102</v>
      </c>
      <c r="F901" s="12">
        <v>43</v>
      </c>
      <c r="G901" s="12">
        <v>117</v>
      </c>
      <c r="H901" s="12">
        <v>5660084</v>
      </c>
      <c r="I901" s="12" t="s">
        <v>4262</v>
      </c>
      <c r="J901" s="12" t="s">
        <v>4869</v>
      </c>
      <c r="K901" s="12" t="s">
        <v>4870</v>
      </c>
      <c r="L901" s="12" t="s">
        <v>4871</v>
      </c>
      <c r="M901" s="12" t="s">
        <v>4872</v>
      </c>
      <c r="N901" s="12">
        <v>41620</v>
      </c>
      <c r="O901" s="12">
        <v>286</v>
      </c>
      <c r="P901" s="12">
        <v>0</v>
      </c>
      <c r="Q901" s="12" t="s">
        <v>4873</v>
      </c>
      <c r="R901" s="15" t="s">
        <v>4874</v>
      </c>
      <c r="S901" s="12">
        <v>418</v>
      </c>
      <c r="T901" s="12" t="s">
        <v>39</v>
      </c>
      <c r="U901" s="12" t="s">
        <v>40</v>
      </c>
      <c r="V901" s="12" t="s">
        <v>586</v>
      </c>
      <c r="W901" s="12">
        <v>54000000</v>
      </c>
      <c r="X901" s="12">
        <v>2003</v>
      </c>
      <c r="Y901" s="12">
        <v>62</v>
      </c>
      <c r="Z901" s="12">
        <v>2.4</v>
      </c>
      <c r="AA901" s="12">
        <v>2.35</v>
      </c>
      <c r="AB901" s="12">
        <v>2000</v>
      </c>
      <c r="AC901" s="12"/>
      <c r="AD901" s="12" t="str">
        <f>IFERROR(__xludf.DUMMYFUNCTION("""COMPUTED_VALUE"""),"Paul Dooley")</f>
        <v>Paul Dooley</v>
      </c>
      <c r="AE901" s="12"/>
    </row>
    <row r="902" customHeight="1" spans="1:31">
      <c r="A902" s="11" t="s">
        <v>748</v>
      </c>
      <c r="B902" s="11" t="s">
        <v>4119</v>
      </c>
      <c r="C902" s="11">
        <v>127</v>
      </c>
      <c r="D902" s="11">
        <v>128</v>
      </c>
      <c r="E902" s="11">
        <v>234</v>
      </c>
      <c r="F902" s="11">
        <v>581</v>
      </c>
      <c r="G902" s="11">
        <v>14000</v>
      </c>
      <c r="H902" s="11">
        <v>7221458</v>
      </c>
      <c r="I902" s="11" t="s">
        <v>4075</v>
      </c>
      <c r="J902" s="11" t="s">
        <v>216</v>
      </c>
      <c r="K902" s="11" t="s">
        <v>763</v>
      </c>
      <c r="L902" s="11" t="s">
        <v>281</v>
      </c>
      <c r="M902" s="11" t="s">
        <v>4875</v>
      </c>
      <c r="N902" s="11">
        <v>20740</v>
      </c>
      <c r="O902" s="11">
        <v>27614</v>
      </c>
      <c r="P902" s="11">
        <v>0</v>
      </c>
      <c r="Q902" s="11" t="s">
        <v>4876</v>
      </c>
      <c r="R902" s="14" t="s">
        <v>4877</v>
      </c>
      <c r="S902" s="11">
        <v>178</v>
      </c>
      <c r="T902" s="11" t="s">
        <v>39</v>
      </c>
      <c r="U902" s="11" t="s">
        <v>768</v>
      </c>
      <c r="V902" s="11" t="s">
        <v>41</v>
      </c>
      <c r="W902" s="11">
        <v>55000000</v>
      </c>
      <c r="X902" s="11">
        <v>2006</v>
      </c>
      <c r="Y902" s="11">
        <v>12000</v>
      </c>
      <c r="Z902" s="11">
        <v>6.2</v>
      </c>
      <c r="AA902" s="11">
        <v>1.85</v>
      </c>
      <c r="AB902" s="11">
        <v>0</v>
      </c>
      <c r="AC902" s="11"/>
      <c r="AD902" s="11" t="str">
        <f>IFERROR(__xludf.DUMMYFUNCTION("""COMPUTED_VALUE"""),"Alan Ford")</f>
        <v>Alan Ford</v>
      </c>
      <c r="AE902" s="11"/>
    </row>
    <row r="903" customHeight="1" spans="1:31">
      <c r="A903" s="12" t="s">
        <v>30</v>
      </c>
      <c r="B903" s="12" t="s">
        <v>2944</v>
      </c>
      <c r="C903" s="12">
        <v>160</v>
      </c>
      <c r="D903" s="12">
        <v>99</v>
      </c>
      <c r="E903" s="12">
        <v>309</v>
      </c>
      <c r="F903" s="12">
        <v>577</v>
      </c>
      <c r="G903" s="12">
        <v>23000</v>
      </c>
      <c r="H903" s="12">
        <v>70327868</v>
      </c>
      <c r="I903" s="12" t="s">
        <v>334</v>
      </c>
      <c r="J903" s="12" t="s">
        <v>62</v>
      </c>
      <c r="K903" s="12" t="s">
        <v>1760</v>
      </c>
      <c r="L903" s="12" t="s">
        <v>3711</v>
      </c>
      <c r="M903" s="12" t="s">
        <v>4878</v>
      </c>
      <c r="N903" s="12">
        <v>58416</v>
      </c>
      <c r="O903" s="12">
        <v>26527</v>
      </c>
      <c r="P903" s="12">
        <v>0</v>
      </c>
      <c r="Q903" s="12" t="s">
        <v>4879</v>
      </c>
      <c r="R903" s="15" t="s">
        <v>4880</v>
      </c>
      <c r="S903" s="12">
        <v>301</v>
      </c>
      <c r="T903" s="12" t="s">
        <v>39</v>
      </c>
      <c r="U903" s="12" t="s">
        <v>768</v>
      </c>
      <c r="V903" s="12" t="s">
        <v>586</v>
      </c>
      <c r="W903" s="12">
        <v>46000000</v>
      </c>
      <c r="X903" s="12">
        <v>2000</v>
      </c>
      <c r="Y903" s="12">
        <v>1000</v>
      </c>
      <c r="Z903" s="12">
        <v>5.9</v>
      </c>
      <c r="AA903" s="12">
        <v>2.35</v>
      </c>
      <c r="AB903" s="12">
        <v>0</v>
      </c>
      <c r="AC903" s="12"/>
      <c r="AD903" s="12" t="str">
        <f>IFERROR(__xludf.DUMMYFUNCTION("""COMPUTED_VALUE"""),"Izabella Scorupco")</f>
        <v>Izabella Scorupco</v>
      </c>
      <c r="AE903" s="12"/>
    </row>
    <row r="904" customHeight="1" spans="1:31">
      <c r="A904" s="11" t="s">
        <v>30</v>
      </c>
      <c r="B904" s="11" t="s">
        <v>3155</v>
      </c>
      <c r="C904" s="11">
        <v>78</v>
      </c>
      <c r="D904" s="11">
        <v>94</v>
      </c>
      <c r="E904" s="11">
        <v>383</v>
      </c>
      <c r="F904" s="11">
        <v>753</v>
      </c>
      <c r="G904" s="11">
        <v>4000</v>
      </c>
      <c r="H904" s="11">
        <v>58297830</v>
      </c>
      <c r="I904" s="11" t="s">
        <v>4881</v>
      </c>
      <c r="J904" s="11" t="s">
        <v>84</v>
      </c>
      <c r="K904" s="11" t="s">
        <v>264</v>
      </c>
      <c r="L904" s="11" t="s">
        <v>4882</v>
      </c>
      <c r="M904" s="11" t="s">
        <v>4883</v>
      </c>
      <c r="N904" s="11">
        <v>86347</v>
      </c>
      <c r="O904" s="11">
        <v>6017</v>
      </c>
      <c r="P904" s="11">
        <v>1</v>
      </c>
      <c r="Q904" s="11" t="s">
        <v>4884</v>
      </c>
      <c r="R904" s="14" t="s">
        <v>4885</v>
      </c>
      <c r="S904" s="11">
        <v>191</v>
      </c>
      <c r="T904" s="11" t="s">
        <v>39</v>
      </c>
      <c r="U904" s="11" t="s">
        <v>40</v>
      </c>
      <c r="V904" s="11" t="s">
        <v>278</v>
      </c>
      <c r="W904" s="11">
        <v>50000000</v>
      </c>
      <c r="X904" s="11">
        <v>1997</v>
      </c>
      <c r="Y904" s="11">
        <v>808</v>
      </c>
      <c r="Z904" s="11">
        <v>7.1</v>
      </c>
      <c r="AA904" s="11">
        <v>2.35</v>
      </c>
      <c r="AB904" s="11">
        <v>0</v>
      </c>
      <c r="AC904" s="11"/>
      <c r="AD904" s="11" t="str">
        <f>IFERROR(__xludf.DUMMYFUNCTION("""COMPUTED_VALUE"""),"Michael Kelly")</f>
        <v>Michael Kelly</v>
      </c>
      <c r="AE904" s="11"/>
    </row>
    <row r="905" customHeight="1" spans="1:31">
      <c r="A905" s="12" t="s">
        <v>748</v>
      </c>
      <c r="B905" s="12" t="s">
        <v>365</v>
      </c>
      <c r="C905" s="12">
        <v>209</v>
      </c>
      <c r="D905" s="12">
        <v>127</v>
      </c>
      <c r="E905" s="12">
        <v>1000</v>
      </c>
      <c r="F905" s="12">
        <v>653</v>
      </c>
      <c r="G905" s="12">
        <v>1000</v>
      </c>
      <c r="H905" s="12">
        <v>57386369</v>
      </c>
      <c r="I905" s="12" t="s">
        <v>2850</v>
      </c>
      <c r="J905" s="12" t="s">
        <v>393</v>
      </c>
      <c r="K905" s="12" t="s">
        <v>4886</v>
      </c>
      <c r="L905" s="12" t="s">
        <v>1048</v>
      </c>
      <c r="M905" s="12" t="s">
        <v>4887</v>
      </c>
      <c r="N905" s="12">
        <v>224013</v>
      </c>
      <c r="O905" s="12">
        <v>2601</v>
      </c>
      <c r="P905" s="12">
        <v>1</v>
      </c>
      <c r="Q905" s="12" t="s">
        <v>4888</v>
      </c>
      <c r="R905" s="15" t="s">
        <v>4889</v>
      </c>
      <c r="S905" s="12">
        <v>2319</v>
      </c>
      <c r="T905" s="12" t="s">
        <v>39</v>
      </c>
      <c r="U905" s="12" t="s">
        <v>40</v>
      </c>
      <c r="V905" s="12" t="s">
        <v>41</v>
      </c>
      <c r="W905" s="12">
        <v>52500000</v>
      </c>
      <c r="X905" s="12">
        <v>2001</v>
      </c>
      <c r="Y905" s="12">
        <v>691</v>
      </c>
      <c r="Z905" s="12">
        <v>7.6</v>
      </c>
      <c r="AA905" s="12">
        <v>2.35</v>
      </c>
      <c r="AB905" s="12">
        <v>10000</v>
      </c>
      <c r="AC905" s="12"/>
      <c r="AD905" s="12" t="str">
        <f>IFERROR(__xludf.DUMMYFUNCTION("""COMPUTED_VALUE"""),"Barry Shabaka Henley")</f>
        <v>Barry Shabaka Henley</v>
      </c>
      <c r="AE905" s="12"/>
    </row>
    <row r="906" customHeight="1" spans="1:31">
      <c r="A906" s="11" t="s">
        <v>30</v>
      </c>
      <c r="B906" s="11" t="s">
        <v>4292</v>
      </c>
      <c r="C906" s="11">
        <v>98</v>
      </c>
      <c r="D906" s="11">
        <v>89</v>
      </c>
      <c r="E906" s="11">
        <v>17</v>
      </c>
      <c r="F906" s="11">
        <v>303</v>
      </c>
      <c r="G906" s="11">
        <v>12000</v>
      </c>
      <c r="H906" s="11">
        <v>45207112</v>
      </c>
      <c r="I906" s="11" t="s">
        <v>2215</v>
      </c>
      <c r="J906" s="11" t="s">
        <v>272</v>
      </c>
      <c r="K906" s="11" t="s">
        <v>1748</v>
      </c>
      <c r="L906" s="11" t="s">
        <v>4890</v>
      </c>
      <c r="M906" s="11" t="s">
        <v>4891</v>
      </c>
      <c r="N906" s="11">
        <v>21283</v>
      </c>
      <c r="O906" s="11">
        <v>13390</v>
      </c>
      <c r="P906" s="11">
        <v>1</v>
      </c>
      <c r="Q906" s="11" t="s">
        <v>4892</v>
      </c>
      <c r="R906" s="14" t="s">
        <v>4893</v>
      </c>
      <c r="S906" s="11">
        <v>190</v>
      </c>
      <c r="T906" s="11" t="s">
        <v>39</v>
      </c>
      <c r="U906" s="11" t="s">
        <v>40</v>
      </c>
      <c r="V906" s="11" t="s">
        <v>41</v>
      </c>
      <c r="W906" s="11">
        <v>53000000</v>
      </c>
      <c r="X906" s="11">
        <v>2001</v>
      </c>
      <c r="Y906" s="11">
        <v>708</v>
      </c>
      <c r="Z906" s="11">
        <v>5.5</v>
      </c>
      <c r="AA906" s="11">
        <v>2.35</v>
      </c>
      <c r="AB906" s="11">
        <v>361</v>
      </c>
      <c r="AC906" s="11"/>
      <c r="AD906" s="11" t="str">
        <f>IFERROR(__xludf.DUMMYFUNCTION("""COMPUTED_VALUE"""),"Matt Ryan")</f>
        <v>Matt Ryan</v>
      </c>
      <c r="AE906" s="11"/>
    </row>
    <row r="907" customHeight="1" spans="1:31">
      <c r="A907" s="12" t="s">
        <v>30</v>
      </c>
      <c r="B907" s="12" t="s">
        <v>4894</v>
      </c>
      <c r="C907" s="12">
        <v>391</v>
      </c>
      <c r="D907" s="12">
        <v>123</v>
      </c>
      <c r="E907" s="12">
        <v>108</v>
      </c>
      <c r="F907" s="12">
        <v>3000</v>
      </c>
      <c r="G907" s="12">
        <v>40000</v>
      </c>
      <c r="H907" s="12">
        <v>62563543</v>
      </c>
      <c r="I907" s="12" t="s">
        <v>1726</v>
      </c>
      <c r="J907" s="12" t="s">
        <v>44</v>
      </c>
      <c r="K907" s="12" t="s">
        <v>353</v>
      </c>
      <c r="L907" s="12" t="s">
        <v>1545</v>
      </c>
      <c r="M907" s="12" t="s">
        <v>4895</v>
      </c>
      <c r="N907" s="12">
        <v>115216</v>
      </c>
      <c r="O907" s="12">
        <v>63769</v>
      </c>
      <c r="P907" s="12">
        <v>7</v>
      </c>
      <c r="Q907" s="12" t="s">
        <v>4896</v>
      </c>
      <c r="R907" s="15" t="s">
        <v>4897</v>
      </c>
      <c r="S907" s="12">
        <v>289</v>
      </c>
      <c r="T907" s="12" t="s">
        <v>39</v>
      </c>
      <c r="U907" s="12" t="s">
        <v>40</v>
      </c>
      <c r="V907" s="12" t="s">
        <v>586</v>
      </c>
      <c r="W907" s="12">
        <v>53000000</v>
      </c>
      <c r="X907" s="12">
        <v>2015</v>
      </c>
      <c r="Y907" s="12">
        <v>19000</v>
      </c>
      <c r="Z907" s="12">
        <v>7</v>
      </c>
      <c r="AA907" s="12">
        <v>2.35</v>
      </c>
      <c r="AB907" s="12">
        <v>44000</v>
      </c>
      <c r="AC907" s="12"/>
      <c r="AD907" s="12" t="str">
        <f>IFERROR(__xludf.DUMMYFUNCTION("""COMPUTED_VALUE"""),"Charles Halford")</f>
        <v>Charles Halford</v>
      </c>
      <c r="AE907" s="12"/>
    </row>
    <row r="908" customHeight="1" spans="1:31">
      <c r="A908" s="11" t="s">
        <v>30</v>
      </c>
      <c r="B908" s="11" t="s">
        <v>3695</v>
      </c>
      <c r="C908" s="11">
        <v>279</v>
      </c>
      <c r="D908" s="11">
        <v>135</v>
      </c>
      <c r="E908" s="11">
        <v>16000</v>
      </c>
      <c r="F908" s="11">
        <v>310</v>
      </c>
      <c r="G908" s="11">
        <v>23000</v>
      </c>
      <c r="H908" s="11">
        <v>33574332</v>
      </c>
      <c r="I908" s="11" t="s">
        <v>1962</v>
      </c>
      <c r="J908" s="11" t="s">
        <v>336</v>
      </c>
      <c r="K908" s="11" t="s">
        <v>607</v>
      </c>
      <c r="L908" s="11" t="s">
        <v>432</v>
      </c>
      <c r="M908" s="11" t="s">
        <v>4898</v>
      </c>
      <c r="N908" s="11">
        <v>101221</v>
      </c>
      <c r="O908" s="11">
        <v>24468</v>
      </c>
      <c r="P908" s="11">
        <v>0</v>
      </c>
      <c r="Q908" s="11" t="s">
        <v>4899</v>
      </c>
      <c r="R908" s="14" t="s">
        <v>4900</v>
      </c>
      <c r="S908" s="11">
        <v>415</v>
      </c>
      <c r="T908" s="11" t="s">
        <v>39</v>
      </c>
      <c r="U908" s="11" t="s">
        <v>40</v>
      </c>
      <c r="V908" s="11" t="s">
        <v>586</v>
      </c>
      <c r="W908" s="11">
        <v>90000000</v>
      </c>
      <c r="X908" s="11">
        <v>2006</v>
      </c>
      <c r="Y908" s="11">
        <v>638</v>
      </c>
      <c r="Z908" s="11">
        <v>7.1</v>
      </c>
      <c r="AA908" s="11">
        <v>2.35</v>
      </c>
      <c r="AB908" s="11">
        <v>0</v>
      </c>
      <c r="AC908" s="11"/>
      <c r="AD908" s="11" t="str">
        <f>IFERROR(__xludf.DUMMYFUNCTION("""COMPUTED_VALUE"""),"Kevin Dillon")</f>
        <v>Kevin Dillon</v>
      </c>
      <c r="AE908" s="11"/>
    </row>
    <row r="909" customHeight="1" spans="1:31">
      <c r="A909" s="12" t="s">
        <v>30</v>
      </c>
      <c r="B909" s="12" t="s">
        <v>3089</v>
      </c>
      <c r="C909" s="12">
        <v>216</v>
      </c>
      <c r="D909" s="12">
        <v>118</v>
      </c>
      <c r="E909" s="12">
        <v>473</v>
      </c>
      <c r="F909" s="12">
        <v>963</v>
      </c>
      <c r="G909" s="12">
        <v>18000</v>
      </c>
      <c r="H909" s="12">
        <v>73343413</v>
      </c>
      <c r="I909" s="12" t="s">
        <v>2126</v>
      </c>
      <c r="J909" s="12" t="s">
        <v>641</v>
      </c>
      <c r="K909" s="12" t="s">
        <v>2718</v>
      </c>
      <c r="L909" s="12" t="s">
        <v>3041</v>
      </c>
      <c r="M909" s="12" t="s">
        <v>4901</v>
      </c>
      <c r="N909" s="12">
        <v>217480</v>
      </c>
      <c r="O909" s="12">
        <v>22517</v>
      </c>
      <c r="P909" s="12">
        <v>0</v>
      </c>
      <c r="Q909" s="12" t="s">
        <v>4902</v>
      </c>
      <c r="R909" s="15" t="s">
        <v>4903</v>
      </c>
      <c r="S909" s="12">
        <v>429</v>
      </c>
      <c r="T909" s="12" t="s">
        <v>39</v>
      </c>
      <c r="U909" s="12" t="s">
        <v>40</v>
      </c>
      <c r="V909" s="12" t="s">
        <v>586</v>
      </c>
      <c r="W909" s="12">
        <v>50000000</v>
      </c>
      <c r="X909" s="12">
        <v>2009</v>
      </c>
      <c r="Y909" s="12">
        <v>1000</v>
      </c>
      <c r="Z909" s="12">
        <v>7.4</v>
      </c>
      <c r="AA909" s="12">
        <v>2.35</v>
      </c>
      <c r="AB909" s="12">
        <v>21000</v>
      </c>
      <c r="AC909" s="12"/>
      <c r="AD909" s="12" t="str">
        <f>IFERROR(__xludf.DUMMYFUNCTION("""COMPUTED_VALUE"""),"Yvette Nicole Brown")</f>
        <v>Yvette Nicole Brown</v>
      </c>
      <c r="AE909" s="12"/>
    </row>
    <row r="910" customHeight="1" spans="1:31">
      <c r="A910" s="11" t="s">
        <v>30</v>
      </c>
      <c r="B910" s="11" t="s">
        <v>4904</v>
      </c>
      <c r="C910" s="11">
        <v>250</v>
      </c>
      <c r="D910" s="11">
        <v>189</v>
      </c>
      <c r="E910" s="11">
        <v>0</v>
      </c>
      <c r="F910" s="11">
        <v>1000</v>
      </c>
      <c r="G910" s="11">
        <v>16000</v>
      </c>
      <c r="H910" s="11">
        <v>25031037</v>
      </c>
      <c r="I910" s="11" t="s">
        <v>4905</v>
      </c>
      <c r="J910" s="11" t="s">
        <v>1765</v>
      </c>
      <c r="K910" s="11" t="s">
        <v>984</v>
      </c>
      <c r="L910" s="11" t="s">
        <v>1429</v>
      </c>
      <c r="M910" s="11" t="s">
        <v>4906</v>
      </c>
      <c r="N910" s="11">
        <v>155496</v>
      </c>
      <c r="O910" s="11">
        <v>22186</v>
      </c>
      <c r="P910" s="11">
        <v>0</v>
      </c>
      <c r="Q910" s="11" t="s">
        <v>4907</v>
      </c>
      <c r="R910" s="14" t="s">
        <v>4908</v>
      </c>
      <c r="S910" s="11">
        <v>532</v>
      </c>
      <c r="T910" s="11" t="s">
        <v>39</v>
      </c>
      <c r="U910" s="11" t="s">
        <v>40</v>
      </c>
      <c r="V910" s="11" t="s">
        <v>586</v>
      </c>
      <c r="W910" s="11">
        <v>53000000</v>
      </c>
      <c r="X910" s="11">
        <v>2007</v>
      </c>
      <c r="Y910" s="11">
        <v>3000</v>
      </c>
      <c r="Z910" s="11">
        <v>7.6</v>
      </c>
      <c r="AA910" s="11">
        <v>2.35</v>
      </c>
      <c r="AB910" s="11">
        <v>0</v>
      </c>
      <c r="AC910" s="11"/>
      <c r="AD910" s="11" t="str">
        <f>IFERROR(__xludf.DUMMYFUNCTION("""COMPUTED_VALUE"""),"Nicholas Lea")</f>
        <v>Nicholas Lea</v>
      </c>
      <c r="AE910" s="11"/>
    </row>
    <row r="911" customHeight="1" spans="1:31">
      <c r="A911" s="12" t="s">
        <v>30</v>
      </c>
      <c r="B911" s="12" t="s">
        <v>2729</v>
      </c>
      <c r="C911" s="12">
        <v>78</v>
      </c>
      <c r="D911" s="12">
        <v>172</v>
      </c>
      <c r="E911" s="12">
        <v>438</v>
      </c>
      <c r="F911" s="12">
        <v>466</v>
      </c>
      <c r="G911" s="12">
        <v>852</v>
      </c>
      <c r="H911" s="12">
        <v>22843047</v>
      </c>
      <c r="I911" s="12" t="s">
        <v>4909</v>
      </c>
      <c r="J911" s="12" t="s">
        <v>903</v>
      </c>
      <c r="K911" s="12" t="s">
        <v>4910</v>
      </c>
      <c r="L911" s="12" t="s">
        <v>4911</v>
      </c>
      <c r="M911" s="12" t="s">
        <v>4912</v>
      </c>
      <c r="N911" s="12">
        <v>6082</v>
      </c>
      <c r="O911" s="12">
        <v>2397</v>
      </c>
      <c r="P911" s="12">
        <v>1</v>
      </c>
      <c r="Q911" s="12" t="s">
        <v>4913</v>
      </c>
      <c r="R911" s="15" t="s">
        <v>4914</v>
      </c>
      <c r="S911" s="12">
        <v>207</v>
      </c>
      <c r="T911" s="12" t="s">
        <v>39</v>
      </c>
      <c r="U911" s="12" t="s">
        <v>40</v>
      </c>
      <c r="V911" s="12" t="s">
        <v>586</v>
      </c>
      <c r="W911" s="12">
        <v>55000000</v>
      </c>
      <c r="X911" s="12">
        <v>1998</v>
      </c>
      <c r="Y911" s="12">
        <v>637</v>
      </c>
      <c r="Z911" s="12">
        <v>5.9</v>
      </c>
      <c r="AA911" s="12">
        <v>1.85</v>
      </c>
      <c r="AB911" s="12">
        <v>853</v>
      </c>
      <c r="AC911" s="12"/>
      <c r="AD911" s="12" t="str">
        <f>IFERROR(__xludf.DUMMYFUNCTION("""COMPUTED_VALUE"""),"Jud Tylor")</f>
        <v>Jud Tylor</v>
      </c>
      <c r="AE911" s="12"/>
    </row>
    <row r="912" customHeight="1" spans="1:31">
      <c r="A912" s="11" t="s">
        <v>30</v>
      </c>
      <c r="B912" s="11" t="s">
        <v>4915</v>
      </c>
      <c r="C912" s="11">
        <v>106</v>
      </c>
      <c r="D912" s="11">
        <v>124</v>
      </c>
      <c r="E912" s="11">
        <v>161</v>
      </c>
      <c r="F912" s="11">
        <v>681</v>
      </c>
      <c r="G912" s="11">
        <v>21000</v>
      </c>
      <c r="H912" s="11">
        <v>5755286</v>
      </c>
      <c r="I912" s="11" t="s">
        <v>4916</v>
      </c>
      <c r="J912" s="11" t="s">
        <v>99</v>
      </c>
      <c r="K912" s="11" t="s">
        <v>1689</v>
      </c>
      <c r="L912" s="11" t="s">
        <v>4917</v>
      </c>
      <c r="M912" s="11" t="s">
        <v>4918</v>
      </c>
      <c r="N912" s="11">
        <v>18310</v>
      </c>
      <c r="O912" s="11">
        <v>26334</v>
      </c>
      <c r="P912" s="11">
        <v>1</v>
      </c>
      <c r="Q912" s="11" t="s">
        <v>4919</v>
      </c>
      <c r="R912" s="14" t="s">
        <v>4920</v>
      </c>
      <c r="S912" s="11">
        <v>63</v>
      </c>
      <c r="T912" s="11" t="s">
        <v>39</v>
      </c>
      <c r="U912" s="11" t="s">
        <v>40</v>
      </c>
      <c r="V912" s="11" t="s">
        <v>41</v>
      </c>
      <c r="W912" s="11">
        <v>55000000</v>
      </c>
      <c r="X912" s="11">
        <v>2007</v>
      </c>
      <c r="Y912" s="11">
        <v>3000</v>
      </c>
      <c r="Z912" s="11">
        <v>5.9</v>
      </c>
      <c r="AA912" s="11">
        <v>2.35</v>
      </c>
      <c r="AB912" s="11">
        <v>672</v>
      </c>
      <c r="AC912" s="11"/>
      <c r="AD912" s="11" t="str">
        <f>IFERROR(__xludf.DUMMYFUNCTION("""COMPUTED_VALUE"""),"Martin Scorsese")</f>
        <v>Martin Scorsese</v>
      </c>
      <c r="AE912" s="11"/>
    </row>
    <row r="913" customHeight="1" spans="1:31">
      <c r="A913" s="12" t="s">
        <v>30</v>
      </c>
      <c r="B913" s="12" t="s">
        <v>390</v>
      </c>
      <c r="C913" s="12">
        <v>194</v>
      </c>
      <c r="D913" s="12">
        <v>141</v>
      </c>
      <c r="E913" s="12">
        <v>14000</v>
      </c>
      <c r="F913" s="12">
        <v>3000</v>
      </c>
      <c r="G913" s="12">
        <v>29000</v>
      </c>
      <c r="H913" s="12">
        <v>164435221</v>
      </c>
      <c r="I913" s="12" t="s">
        <v>1726</v>
      </c>
      <c r="J913" s="12" t="s">
        <v>215</v>
      </c>
      <c r="K913" s="12" t="s">
        <v>322</v>
      </c>
      <c r="L913" s="12" t="s">
        <v>750</v>
      </c>
      <c r="M913" s="12" t="s">
        <v>4921</v>
      </c>
      <c r="N913" s="12">
        <v>525801</v>
      </c>
      <c r="O913" s="12">
        <v>48153</v>
      </c>
      <c r="P913" s="12">
        <v>0</v>
      </c>
      <c r="Q913" s="12" t="s">
        <v>4922</v>
      </c>
      <c r="R913" s="15" t="s">
        <v>4923</v>
      </c>
      <c r="S913" s="12">
        <v>667</v>
      </c>
      <c r="T913" s="12" t="s">
        <v>39</v>
      </c>
      <c r="U913" s="12" t="s">
        <v>40</v>
      </c>
      <c r="V913" s="12" t="s">
        <v>41</v>
      </c>
      <c r="W913" s="12">
        <v>52000000</v>
      </c>
      <c r="X913" s="12">
        <v>2002</v>
      </c>
      <c r="Y913" s="12">
        <v>15000</v>
      </c>
      <c r="Z913" s="12">
        <v>8</v>
      </c>
      <c r="AA913" s="12">
        <v>1.85</v>
      </c>
      <c r="AB913" s="12">
        <v>15000</v>
      </c>
      <c r="AC913" s="12"/>
      <c r="AD913" s="12" t="str">
        <f>IFERROR(__xludf.DUMMYFUNCTION("""COMPUTED_VALUE"""),"Loretta Devine")</f>
        <v>Loretta Devine</v>
      </c>
      <c r="AE913" s="12"/>
    </row>
    <row r="914" customHeight="1" spans="1:31">
      <c r="A914" s="11" t="s">
        <v>30</v>
      </c>
      <c r="B914" s="11" t="s">
        <v>2272</v>
      </c>
      <c r="C914" s="11">
        <v>558</v>
      </c>
      <c r="D914" s="11">
        <v>157</v>
      </c>
      <c r="E914" s="11">
        <v>0</v>
      </c>
      <c r="F914" s="11">
        <v>304</v>
      </c>
      <c r="G914" s="11">
        <v>1000</v>
      </c>
      <c r="H914" s="11">
        <v>95720716</v>
      </c>
      <c r="I914" s="11" t="s">
        <v>2819</v>
      </c>
      <c r="J914" s="11" t="s">
        <v>1403</v>
      </c>
      <c r="K914" s="11" t="s">
        <v>2808</v>
      </c>
      <c r="L914" s="11" t="s">
        <v>4924</v>
      </c>
      <c r="M914" s="11" t="s">
        <v>4925</v>
      </c>
      <c r="N914" s="11">
        <v>216032</v>
      </c>
      <c r="O914" s="11">
        <v>2759</v>
      </c>
      <c r="P914" s="11">
        <v>0</v>
      </c>
      <c r="Q914" s="11" t="s">
        <v>4926</v>
      </c>
      <c r="R914" s="14" t="s">
        <v>4927</v>
      </c>
      <c r="S914" s="11">
        <v>640</v>
      </c>
      <c r="T914" s="11" t="s">
        <v>39</v>
      </c>
      <c r="U914" s="11" t="s">
        <v>40</v>
      </c>
      <c r="V914" s="11" t="s">
        <v>586</v>
      </c>
      <c r="W914" s="11">
        <v>40000000</v>
      </c>
      <c r="X914" s="11">
        <v>2012</v>
      </c>
      <c r="Y914" s="11">
        <v>1000</v>
      </c>
      <c r="Z914" s="11">
        <v>7.4</v>
      </c>
      <c r="AA914" s="11">
        <v>1.85</v>
      </c>
      <c r="AB914" s="11">
        <v>39000</v>
      </c>
      <c r="AC914" s="11"/>
      <c r="AD914" s="11" t="str">
        <f>IFERROR(__xludf.DUMMYFUNCTION("""COMPUTED_VALUE"""),"Jennifer Hudson")</f>
        <v>Jennifer Hudson</v>
      </c>
      <c r="AE914" s="11"/>
    </row>
    <row r="915" customHeight="1" spans="1:31">
      <c r="A915" s="12" t="s">
        <v>30</v>
      </c>
      <c r="B915" s="12" t="s">
        <v>1166</v>
      </c>
      <c r="C915" s="12">
        <v>183</v>
      </c>
      <c r="D915" s="12">
        <v>106</v>
      </c>
      <c r="E915" s="12">
        <v>235</v>
      </c>
      <c r="F915" s="12">
        <v>931</v>
      </c>
      <c r="G915" s="12">
        <v>4000</v>
      </c>
      <c r="H915" s="12">
        <v>118683135</v>
      </c>
      <c r="I915" s="12" t="s">
        <v>1415</v>
      </c>
      <c r="J915" s="12" t="s">
        <v>251</v>
      </c>
      <c r="K915" s="12" t="s">
        <v>1010</v>
      </c>
      <c r="L915" s="12" t="s">
        <v>4928</v>
      </c>
      <c r="M915" s="12" t="s">
        <v>4929</v>
      </c>
      <c r="N915" s="12">
        <v>102167</v>
      </c>
      <c r="O915" s="12">
        <v>8315</v>
      </c>
      <c r="P915" s="12">
        <v>1</v>
      </c>
      <c r="Q915" s="12" t="s">
        <v>4930</v>
      </c>
      <c r="R915" s="15" t="s">
        <v>4931</v>
      </c>
      <c r="S915" s="12">
        <v>483</v>
      </c>
      <c r="T915" s="12" t="s">
        <v>39</v>
      </c>
      <c r="U915" s="12" t="s">
        <v>40</v>
      </c>
      <c r="V915" s="12" t="s">
        <v>41</v>
      </c>
      <c r="W915" s="12">
        <v>52000000</v>
      </c>
      <c r="X915" s="12">
        <v>2006</v>
      </c>
      <c r="Y915" s="12">
        <v>957</v>
      </c>
      <c r="Z915" s="12">
        <v>5.8</v>
      </c>
      <c r="AA915" s="12">
        <v>1.85</v>
      </c>
      <c r="AB915" s="12">
        <v>0</v>
      </c>
      <c r="AC915" s="12"/>
      <c r="AD915" s="12" t="str">
        <f>IFERROR(__xludf.DUMMYFUNCTION("""COMPUTED_VALUE"""),"Adam Arkin")</f>
        <v>Adam Arkin</v>
      </c>
      <c r="AE915" s="12"/>
    </row>
    <row r="916" customHeight="1" spans="1:31">
      <c r="A916" s="11" t="s">
        <v>30</v>
      </c>
      <c r="B916" s="11" t="s">
        <v>4932</v>
      </c>
      <c r="C916" s="11">
        <v>238</v>
      </c>
      <c r="D916" s="11">
        <v>108</v>
      </c>
      <c r="E916" s="11">
        <v>58</v>
      </c>
      <c r="F916" s="11">
        <v>838</v>
      </c>
      <c r="G916" s="11">
        <v>14000</v>
      </c>
      <c r="H916" s="11">
        <v>143704210</v>
      </c>
      <c r="I916" s="11" t="s">
        <v>4933</v>
      </c>
      <c r="J916" s="11" t="s">
        <v>439</v>
      </c>
      <c r="K916" s="11" t="s">
        <v>2377</v>
      </c>
      <c r="L916" s="11" t="s">
        <v>405</v>
      </c>
      <c r="M916" s="11" t="s">
        <v>4934</v>
      </c>
      <c r="N916" s="11">
        <v>145974</v>
      </c>
      <c r="O916" s="11">
        <v>26002</v>
      </c>
      <c r="P916" s="11">
        <v>1</v>
      </c>
      <c r="Q916" s="11" t="s">
        <v>4935</v>
      </c>
      <c r="R916" s="14" t="s">
        <v>4936</v>
      </c>
      <c r="S916" s="11">
        <v>611</v>
      </c>
      <c r="T916" s="11" t="s">
        <v>39</v>
      </c>
      <c r="U916" s="11" t="s">
        <v>40</v>
      </c>
      <c r="V916" s="11" t="s">
        <v>41</v>
      </c>
      <c r="W916" s="11">
        <v>52000000</v>
      </c>
      <c r="X916" s="11">
        <v>2008</v>
      </c>
      <c r="Y916" s="11">
        <v>11000</v>
      </c>
      <c r="Z916" s="11">
        <v>6.3</v>
      </c>
      <c r="AA916" s="11">
        <v>2.35</v>
      </c>
      <c r="AB916" s="11">
        <v>10000</v>
      </c>
      <c r="AC916" s="11"/>
      <c r="AD916" s="11" t="str">
        <f>IFERROR(__xludf.DUMMYFUNCTION("""COMPUTED_VALUE"""),"Brent Sexton")</f>
        <v>Brent Sexton</v>
      </c>
      <c r="AE916" s="11"/>
    </row>
    <row r="917" customHeight="1" spans="1:31">
      <c r="A917" s="12" t="s">
        <v>30</v>
      </c>
      <c r="B917" s="12" t="s">
        <v>3304</v>
      </c>
      <c r="C917" s="12">
        <v>186</v>
      </c>
      <c r="D917" s="12">
        <v>125</v>
      </c>
      <c r="E917" s="12">
        <v>0</v>
      </c>
      <c r="F917" s="12">
        <v>11000</v>
      </c>
      <c r="G917" s="12">
        <v>14000</v>
      </c>
      <c r="H917" s="12">
        <v>110476776</v>
      </c>
      <c r="I917" s="12" t="s">
        <v>1681</v>
      </c>
      <c r="J917" s="12" t="s">
        <v>655</v>
      </c>
      <c r="K917" s="12" t="s">
        <v>1107</v>
      </c>
      <c r="L917" s="12" t="s">
        <v>257</v>
      </c>
      <c r="M917" s="12" t="s">
        <v>4937</v>
      </c>
      <c r="N917" s="12">
        <v>95437</v>
      </c>
      <c r="O917" s="12">
        <v>45696</v>
      </c>
      <c r="P917" s="12">
        <v>12</v>
      </c>
      <c r="Q917" s="12" t="s">
        <v>4938</v>
      </c>
      <c r="R917" s="15" t="s">
        <v>4939</v>
      </c>
      <c r="S917" s="12">
        <v>211</v>
      </c>
      <c r="T917" s="12" t="s">
        <v>39</v>
      </c>
      <c r="U917" s="12" t="s">
        <v>40</v>
      </c>
      <c r="V917" s="12" t="s">
        <v>41</v>
      </c>
      <c r="W917" s="12">
        <v>52000000</v>
      </c>
      <c r="X917" s="12">
        <v>2010</v>
      </c>
      <c r="Y917" s="12">
        <v>12000</v>
      </c>
      <c r="Z917" s="12">
        <v>5.7</v>
      </c>
      <c r="AA917" s="12">
        <v>1.85</v>
      </c>
      <c r="AB917" s="12">
        <v>9000</v>
      </c>
      <c r="AC917" s="12"/>
      <c r="AD917" s="12" t="str">
        <f>IFERROR(__xludf.DUMMYFUNCTION("""COMPUTED_VALUE"""),"Damian Lewis")</f>
        <v>Damian Lewis</v>
      </c>
      <c r="AE917" s="12"/>
    </row>
    <row r="918" customHeight="1" spans="1:31">
      <c r="A918" s="11" t="s">
        <v>30</v>
      </c>
      <c r="B918" s="11" t="s">
        <v>4940</v>
      </c>
      <c r="C918" s="11">
        <v>144</v>
      </c>
      <c r="D918" s="11">
        <v>107</v>
      </c>
      <c r="E918" s="11">
        <v>422</v>
      </c>
      <c r="F918" s="11">
        <v>379</v>
      </c>
      <c r="G918" s="11">
        <v>631</v>
      </c>
      <c r="H918" s="11">
        <v>80270227</v>
      </c>
      <c r="I918" s="11" t="s">
        <v>1629</v>
      </c>
      <c r="J918" s="11" t="s">
        <v>4941</v>
      </c>
      <c r="K918" s="11" t="s">
        <v>4942</v>
      </c>
      <c r="L918" s="11" t="s">
        <v>4231</v>
      </c>
      <c r="M918" s="11" t="s">
        <v>4943</v>
      </c>
      <c r="N918" s="11">
        <v>66382</v>
      </c>
      <c r="O918" s="11">
        <v>2297</v>
      </c>
      <c r="P918" s="11">
        <v>5</v>
      </c>
      <c r="Q918" s="11" t="s">
        <v>4944</v>
      </c>
      <c r="R918" s="14" t="s">
        <v>4945</v>
      </c>
      <c r="S918" s="11">
        <v>612</v>
      </c>
      <c r="T918" s="11" t="s">
        <v>39</v>
      </c>
      <c r="U918" s="11" t="s">
        <v>40</v>
      </c>
      <c r="V918" s="11" t="s">
        <v>41</v>
      </c>
      <c r="W918" s="11">
        <v>50000000</v>
      </c>
      <c r="X918" s="11">
        <v>2005</v>
      </c>
      <c r="Y918" s="11">
        <v>534</v>
      </c>
      <c r="Z918" s="11">
        <v>5.1</v>
      </c>
      <c r="AA918" s="11">
        <v>2.35</v>
      </c>
      <c r="AB918" s="11">
        <v>0</v>
      </c>
      <c r="AC918" s="11"/>
      <c r="AD918" s="11" t="str">
        <f>IFERROR(__xludf.DUMMYFUNCTION("""COMPUTED_VALUE"""),"Christina Milian")</f>
        <v>Christina Milian</v>
      </c>
      <c r="AE918" s="11"/>
    </row>
    <row r="919" customHeight="1" spans="1:31">
      <c r="A919" s="12" t="s">
        <v>30</v>
      </c>
      <c r="B919" s="12" t="s">
        <v>4946</v>
      </c>
      <c r="C919" s="12">
        <v>156</v>
      </c>
      <c r="D919" s="12">
        <v>215</v>
      </c>
      <c r="E919" s="12">
        <v>0</v>
      </c>
      <c r="F919" s="12">
        <v>463</v>
      </c>
      <c r="G919" s="12">
        <v>648</v>
      </c>
      <c r="H919" s="12">
        <v>36385763</v>
      </c>
      <c r="I919" s="12" t="s">
        <v>3397</v>
      </c>
      <c r="J919" s="12" t="s">
        <v>649</v>
      </c>
      <c r="K919" s="12" t="s">
        <v>2096</v>
      </c>
      <c r="L919" s="12" t="s">
        <v>4947</v>
      </c>
      <c r="M919" s="12" t="s">
        <v>4948</v>
      </c>
      <c r="N919" s="12">
        <v>138941</v>
      </c>
      <c r="O919" s="12">
        <v>1937</v>
      </c>
      <c r="P919" s="12">
        <v>0</v>
      </c>
      <c r="Q919" s="12" t="s">
        <v>4949</v>
      </c>
      <c r="R919" s="15" t="s">
        <v>4950</v>
      </c>
      <c r="S919" s="12">
        <v>1448</v>
      </c>
      <c r="T919" s="12" t="s">
        <v>39</v>
      </c>
      <c r="U919" s="12" t="s">
        <v>40</v>
      </c>
      <c r="V919" s="12" t="s">
        <v>586</v>
      </c>
      <c r="W919" s="12">
        <v>52000000</v>
      </c>
      <c r="X919" s="12">
        <v>1998</v>
      </c>
      <c r="Y919" s="12">
        <v>568</v>
      </c>
      <c r="Z919" s="12">
        <v>7.6</v>
      </c>
      <c r="AA919" s="12">
        <v>2.35</v>
      </c>
      <c r="AB919" s="12">
        <v>0</v>
      </c>
      <c r="AC919" s="12"/>
      <c r="AD919" s="12" t="str">
        <f>IFERROR(__xludf.DUMMYFUNCTION("""COMPUTED_VALUE"""),"Moritz Bleibtreu")</f>
        <v>Moritz Bleibtreu</v>
      </c>
      <c r="AE919" s="12"/>
    </row>
    <row r="920" customHeight="1" spans="1:31">
      <c r="A920" s="11" t="s">
        <v>30</v>
      </c>
      <c r="B920" s="11" t="s">
        <v>4951</v>
      </c>
      <c r="C920" s="11">
        <v>215</v>
      </c>
      <c r="D920" s="11">
        <v>118</v>
      </c>
      <c r="E920" s="11">
        <v>71</v>
      </c>
      <c r="F920" s="11">
        <v>634</v>
      </c>
      <c r="G920" s="11">
        <v>16000</v>
      </c>
      <c r="H920" s="11">
        <v>37035845</v>
      </c>
      <c r="I920" s="11" t="s">
        <v>2787</v>
      </c>
      <c r="J920" s="11" t="s">
        <v>315</v>
      </c>
      <c r="K920" s="11" t="s">
        <v>302</v>
      </c>
      <c r="L920" s="11" t="s">
        <v>4952</v>
      </c>
      <c r="M920" s="11" t="s">
        <v>4953</v>
      </c>
      <c r="N920" s="11">
        <v>136680</v>
      </c>
      <c r="O920" s="11">
        <v>28045</v>
      </c>
      <c r="P920" s="11">
        <v>2</v>
      </c>
      <c r="Q920" s="11" t="s">
        <v>4954</v>
      </c>
      <c r="R920" s="14" t="s">
        <v>4955</v>
      </c>
      <c r="S920" s="11">
        <v>149</v>
      </c>
      <c r="T920" s="11" t="s">
        <v>39</v>
      </c>
      <c r="U920" s="11" t="s">
        <v>40</v>
      </c>
      <c r="V920" s="11" t="s">
        <v>586</v>
      </c>
      <c r="W920" s="11">
        <v>52000000</v>
      </c>
      <c r="X920" s="11">
        <v>2011</v>
      </c>
      <c r="Y920" s="11">
        <v>10000</v>
      </c>
      <c r="Z920" s="11">
        <v>6.4</v>
      </c>
      <c r="AA920" s="11">
        <v>2.35</v>
      </c>
      <c r="AB920" s="11">
        <v>13000</v>
      </c>
      <c r="AC920" s="11"/>
      <c r="AD920" s="11" t="str">
        <f>IFERROR(__xludf.DUMMYFUNCTION("""COMPUTED_VALUE"""),"Tom Selleck")</f>
        <v>Tom Selleck</v>
      </c>
      <c r="AE920" s="11"/>
    </row>
    <row r="921" customHeight="1" spans="1:31">
      <c r="A921" s="12" t="s">
        <v>30</v>
      </c>
      <c r="B921" s="12" t="s">
        <v>4956</v>
      </c>
      <c r="C921" s="12">
        <v>140</v>
      </c>
      <c r="D921" s="12">
        <v>118</v>
      </c>
      <c r="E921" s="12">
        <v>869</v>
      </c>
      <c r="F921" s="12">
        <v>21</v>
      </c>
      <c r="G921" s="12">
        <v>134</v>
      </c>
      <c r="H921" s="12">
        <v>34580635</v>
      </c>
      <c r="I921" s="12" t="s">
        <v>4168</v>
      </c>
      <c r="J921" s="12" t="s">
        <v>4957</v>
      </c>
      <c r="K921" s="12" t="s">
        <v>4958</v>
      </c>
      <c r="L921" s="12" t="s">
        <v>4959</v>
      </c>
      <c r="M921" s="12" t="s">
        <v>4960</v>
      </c>
      <c r="N921" s="12">
        <v>100743</v>
      </c>
      <c r="O921" s="12">
        <v>209</v>
      </c>
      <c r="P921" s="12">
        <v>1</v>
      </c>
      <c r="Q921" s="12" t="s">
        <v>4961</v>
      </c>
      <c r="R921" s="15" t="s">
        <v>4962</v>
      </c>
      <c r="S921" s="12">
        <v>549</v>
      </c>
      <c r="T921" s="12" t="s">
        <v>39</v>
      </c>
      <c r="U921" s="12" t="s">
        <v>58</v>
      </c>
      <c r="V921" s="12" t="s">
        <v>586</v>
      </c>
      <c r="W921" s="12">
        <v>52000000</v>
      </c>
      <c r="X921" s="12">
        <v>1999</v>
      </c>
      <c r="Y921" s="12">
        <v>27</v>
      </c>
      <c r="Z921" s="12">
        <v>7.4</v>
      </c>
      <c r="AA921" s="12">
        <v>2.35</v>
      </c>
      <c r="AB921" s="12">
        <v>0</v>
      </c>
      <c r="AC921" s="12"/>
      <c r="AD921" s="12" t="str">
        <f>IFERROR(__xludf.DUMMYFUNCTION("""COMPUTED_VALUE"""),"Christian Berkel")</f>
        <v>Christian Berkel</v>
      </c>
      <c r="AE921" s="12"/>
    </row>
    <row r="922" customHeight="1" spans="1:31">
      <c r="A922" s="11" t="s">
        <v>30</v>
      </c>
      <c r="B922" s="11" t="s">
        <v>488</v>
      </c>
      <c r="C922" s="11">
        <v>133</v>
      </c>
      <c r="D922" s="11">
        <v>178</v>
      </c>
      <c r="E922" s="11">
        <v>17000</v>
      </c>
      <c r="F922" s="11">
        <v>574</v>
      </c>
      <c r="G922" s="11">
        <v>22000</v>
      </c>
      <c r="H922" s="11">
        <v>42438300</v>
      </c>
      <c r="I922" s="11" t="s">
        <v>1726</v>
      </c>
      <c r="J922" s="11" t="s">
        <v>1746</v>
      </c>
      <c r="K922" s="11" t="s">
        <v>324</v>
      </c>
      <c r="L922" s="11" t="s">
        <v>3236</v>
      </c>
      <c r="M922" s="11" t="s">
        <v>4963</v>
      </c>
      <c r="N922" s="11">
        <v>333542</v>
      </c>
      <c r="O922" s="11">
        <v>24183</v>
      </c>
      <c r="P922" s="11">
        <v>2</v>
      </c>
      <c r="Q922" s="11" t="s">
        <v>4964</v>
      </c>
      <c r="R922" s="14" t="s">
        <v>4965</v>
      </c>
      <c r="S922" s="11">
        <v>533</v>
      </c>
      <c r="T922" s="11" t="s">
        <v>39</v>
      </c>
      <c r="U922" s="11" t="s">
        <v>40</v>
      </c>
      <c r="V922" s="11" t="s">
        <v>586</v>
      </c>
      <c r="W922" s="11">
        <v>52000000</v>
      </c>
      <c r="X922" s="11">
        <v>1995</v>
      </c>
      <c r="Y922" s="11">
        <v>721</v>
      </c>
      <c r="Z922" s="11">
        <v>8.2</v>
      </c>
      <c r="AA922" s="11">
        <v>2.35</v>
      </c>
      <c r="AB922" s="11">
        <v>11000</v>
      </c>
      <c r="AC922" s="11"/>
      <c r="AD922" s="11" t="str">
        <f>IFERROR(__xludf.DUMMYFUNCTION("""COMPUTED_VALUE"""),"Paz Vega")</f>
        <v>Paz Vega</v>
      </c>
      <c r="AE922" s="11"/>
    </row>
    <row r="923" customHeight="1" spans="1:31">
      <c r="A923" s="12" t="s">
        <v>30</v>
      </c>
      <c r="B923" s="12" t="s">
        <v>4966</v>
      </c>
      <c r="C923" s="12">
        <v>203</v>
      </c>
      <c r="D923" s="12">
        <v>92</v>
      </c>
      <c r="E923" s="12">
        <v>180</v>
      </c>
      <c r="F923" s="12">
        <v>75</v>
      </c>
      <c r="G923" s="12">
        <v>211</v>
      </c>
      <c r="H923" s="12">
        <v>23324666</v>
      </c>
      <c r="I923" s="12" t="s">
        <v>60</v>
      </c>
      <c r="J923" s="12" t="s">
        <v>4967</v>
      </c>
      <c r="K923" s="12" t="s">
        <v>4968</v>
      </c>
      <c r="L923" s="12" t="s">
        <v>4969</v>
      </c>
      <c r="M923" s="12" t="s">
        <v>4970</v>
      </c>
      <c r="N923" s="12">
        <v>97775</v>
      </c>
      <c r="O923" s="12">
        <v>488</v>
      </c>
      <c r="P923" s="12">
        <v>1</v>
      </c>
      <c r="Q923" s="12" t="s">
        <v>4971</v>
      </c>
      <c r="R923" s="15" t="s">
        <v>4972</v>
      </c>
      <c r="S923" s="12">
        <v>211</v>
      </c>
      <c r="T923" s="12" t="s">
        <v>39</v>
      </c>
      <c r="U923" s="12" t="s">
        <v>1466</v>
      </c>
      <c r="V923" s="12" t="s">
        <v>586</v>
      </c>
      <c r="W923" s="12">
        <v>52000000</v>
      </c>
      <c r="X923" s="12">
        <v>2010</v>
      </c>
      <c r="Y923" s="12">
        <v>135</v>
      </c>
      <c r="Z923" s="12">
        <v>6.5</v>
      </c>
      <c r="AA923" s="12">
        <v>2.35</v>
      </c>
      <c r="AB923" s="12">
        <v>0</v>
      </c>
      <c r="AC923" s="12"/>
      <c r="AD923" s="12" t="str">
        <f>IFERROR(__xludf.DUMMYFUNCTION("""COMPUTED_VALUE"""),"Sarah Steele")</f>
        <v>Sarah Steele</v>
      </c>
      <c r="AE923" s="12"/>
    </row>
    <row r="924" customHeight="1" spans="1:31">
      <c r="A924" s="11" t="s">
        <v>30</v>
      </c>
      <c r="B924" s="11" t="s">
        <v>4973</v>
      </c>
      <c r="C924" s="11">
        <v>127</v>
      </c>
      <c r="D924" s="11">
        <v>104</v>
      </c>
      <c r="E924" s="11">
        <v>13</v>
      </c>
      <c r="F924" s="11">
        <v>343</v>
      </c>
      <c r="G924" s="11">
        <v>961</v>
      </c>
      <c r="H924" s="11">
        <v>23020488</v>
      </c>
      <c r="I924" s="11" t="s">
        <v>1259</v>
      </c>
      <c r="J924" s="11" t="s">
        <v>751</v>
      </c>
      <c r="K924" s="11" t="s">
        <v>752</v>
      </c>
      <c r="L924" s="11" t="s">
        <v>4974</v>
      </c>
      <c r="M924" s="11" t="s">
        <v>4975</v>
      </c>
      <c r="N924" s="11">
        <v>42324</v>
      </c>
      <c r="O924" s="11">
        <v>2422</v>
      </c>
      <c r="P924" s="11">
        <v>3</v>
      </c>
      <c r="Q924" s="11" t="s">
        <v>4976</v>
      </c>
      <c r="R924" s="14" t="s">
        <v>4977</v>
      </c>
      <c r="S924" s="11">
        <v>180</v>
      </c>
      <c r="T924" s="11" t="s">
        <v>39</v>
      </c>
      <c r="U924" s="11" t="s">
        <v>40</v>
      </c>
      <c r="V924" s="11" t="s">
        <v>41</v>
      </c>
      <c r="W924" s="11">
        <v>52000000</v>
      </c>
      <c r="X924" s="11">
        <v>2003</v>
      </c>
      <c r="Y924" s="11">
        <v>691</v>
      </c>
      <c r="Z924" s="11">
        <v>5.5</v>
      </c>
      <c r="AA924" s="11">
        <v>2.35</v>
      </c>
      <c r="AB924" s="11">
        <v>846</v>
      </c>
      <c r="AC924" s="11"/>
      <c r="AD924" s="11" t="str">
        <f>IFERROR(__xludf.DUMMYFUNCTION("""COMPUTED_VALUE"""),"Brían F. O'Byrne")</f>
        <v>Brían F. O'Byrne</v>
      </c>
      <c r="AE924" s="11"/>
    </row>
    <row r="925" customHeight="1" spans="1:31">
      <c r="A925" s="12" t="s">
        <v>30</v>
      </c>
      <c r="B925" s="12" t="s">
        <v>3495</v>
      </c>
      <c r="C925" s="12">
        <v>155</v>
      </c>
      <c r="D925" s="12">
        <v>116</v>
      </c>
      <c r="E925" s="12">
        <v>101</v>
      </c>
      <c r="F925" s="12">
        <v>79</v>
      </c>
      <c r="G925" s="12">
        <v>889</v>
      </c>
      <c r="H925" s="12">
        <v>90567722</v>
      </c>
      <c r="I925" s="12" t="s">
        <v>1672</v>
      </c>
      <c r="J925" s="12" t="s">
        <v>4358</v>
      </c>
      <c r="K925" s="12" t="s">
        <v>4978</v>
      </c>
      <c r="L925" s="12" t="s">
        <v>4979</v>
      </c>
      <c r="M925" s="12" t="s">
        <v>4980</v>
      </c>
      <c r="N925" s="12">
        <v>185878</v>
      </c>
      <c r="O925" s="12">
        <v>1711</v>
      </c>
      <c r="P925" s="12">
        <v>1</v>
      </c>
      <c r="Q925" s="12" t="s">
        <v>4981</v>
      </c>
      <c r="R925" s="15" t="s">
        <v>4982</v>
      </c>
      <c r="S925" s="12">
        <v>481</v>
      </c>
      <c r="T925" s="12" t="s">
        <v>39</v>
      </c>
      <c r="U925" s="12" t="s">
        <v>40</v>
      </c>
      <c r="V925" s="12" t="s">
        <v>586</v>
      </c>
      <c r="W925" s="12">
        <v>51000000</v>
      </c>
      <c r="X925" s="12">
        <v>2000</v>
      </c>
      <c r="Y925" s="12">
        <v>624</v>
      </c>
      <c r="Z925" s="12">
        <v>6.5</v>
      </c>
      <c r="AA925" s="12">
        <v>1.85</v>
      </c>
      <c r="AB925" s="12">
        <v>0</v>
      </c>
      <c r="AC925" s="12"/>
      <c r="AD925" s="12" t="str">
        <f>IFERROR(__xludf.DUMMYFUNCTION("""COMPUTED_VALUE"""),"Azura Skye")</f>
        <v>Azura Skye</v>
      </c>
      <c r="AE925" s="12"/>
    </row>
    <row r="926" customHeight="1" spans="1:31">
      <c r="A926" s="11" t="s">
        <v>30</v>
      </c>
      <c r="B926" s="11" t="s">
        <v>4983</v>
      </c>
      <c r="C926" s="11">
        <v>98</v>
      </c>
      <c r="D926" s="11">
        <v>90</v>
      </c>
      <c r="E926" s="11">
        <v>176</v>
      </c>
      <c r="F926" s="11">
        <v>523</v>
      </c>
      <c r="G926" s="11">
        <v>677</v>
      </c>
      <c r="H926" s="11">
        <v>72601713</v>
      </c>
      <c r="I926" s="11" t="s">
        <v>2966</v>
      </c>
      <c r="J926" s="11" t="s">
        <v>4984</v>
      </c>
      <c r="K926" s="11" t="s">
        <v>2252</v>
      </c>
      <c r="L926" s="11" t="s">
        <v>831</v>
      </c>
      <c r="M926" s="11" t="s">
        <v>4985</v>
      </c>
      <c r="N926" s="11">
        <v>21396</v>
      </c>
      <c r="O926" s="11">
        <v>2055</v>
      </c>
      <c r="P926" s="11">
        <v>1</v>
      </c>
      <c r="Q926" s="11" t="s">
        <v>4986</v>
      </c>
      <c r="R926" s="14" t="s">
        <v>4987</v>
      </c>
      <c r="S926" s="11">
        <v>155</v>
      </c>
      <c r="T926" s="11" t="s">
        <v>39</v>
      </c>
      <c r="U926" s="11" t="s">
        <v>768</v>
      </c>
      <c r="V926" s="11" t="s">
        <v>96</v>
      </c>
      <c r="W926" s="11">
        <v>51000000</v>
      </c>
      <c r="X926" s="11">
        <v>2006</v>
      </c>
      <c r="Y926" s="11">
        <v>560</v>
      </c>
      <c r="Z926" s="11">
        <v>5.6</v>
      </c>
      <c r="AA926" s="11">
        <v>1.85</v>
      </c>
      <c r="AB926" s="11">
        <v>605</v>
      </c>
      <c r="AC926" s="11"/>
      <c r="AD926" s="11" t="str">
        <f>IFERROR(__xludf.DUMMYFUNCTION("""COMPUTED_VALUE"""),"Ben Cross")</f>
        <v>Ben Cross</v>
      </c>
      <c r="AE926" s="11"/>
    </row>
    <row r="927" customHeight="1" spans="1:31">
      <c r="A927" s="12" t="s">
        <v>30</v>
      </c>
      <c r="B927" s="12" t="s">
        <v>4988</v>
      </c>
      <c r="C927" s="12">
        <v>71</v>
      </c>
      <c r="D927" s="12">
        <v>93</v>
      </c>
      <c r="E927" s="12">
        <v>14</v>
      </c>
      <c r="F927" s="12">
        <v>728</v>
      </c>
      <c r="G927" s="12">
        <v>2000</v>
      </c>
      <c r="H927" s="12">
        <v>35092918</v>
      </c>
      <c r="I927" s="12" t="s">
        <v>3057</v>
      </c>
      <c r="J927" s="12" t="s">
        <v>902</v>
      </c>
      <c r="K927" s="12" t="s">
        <v>4989</v>
      </c>
      <c r="L927" s="12" t="s">
        <v>4990</v>
      </c>
      <c r="M927" s="12" t="s">
        <v>4991</v>
      </c>
      <c r="N927" s="12">
        <v>15740</v>
      </c>
      <c r="O927" s="12">
        <v>5468</v>
      </c>
      <c r="P927" s="12">
        <v>0</v>
      </c>
      <c r="Q927" s="12" t="s">
        <v>4992</v>
      </c>
      <c r="R927" s="15" t="s">
        <v>4993</v>
      </c>
      <c r="S927" s="12">
        <v>110</v>
      </c>
      <c r="T927" s="12" t="s">
        <v>39</v>
      </c>
      <c r="U927" s="12" t="s">
        <v>40</v>
      </c>
      <c r="V927" s="12" t="s">
        <v>96</v>
      </c>
      <c r="W927" s="16"/>
      <c r="X927" s="12">
        <v>2006</v>
      </c>
      <c r="Y927" s="12">
        <v>1000</v>
      </c>
      <c r="Z927" s="12">
        <v>4.9</v>
      </c>
      <c r="AA927" s="12">
        <v>1.85</v>
      </c>
      <c r="AB927" s="12">
        <v>1000</v>
      </c>
      <c r="AC927" s="12"/>
      <c r="AD927" s="12" t="str">
        <f>IFERROR(__xludf.DUMMYFUNCTION("""COMPUTED_VALUE"""),"John Gielgud")</f>
        <v>John Gielgud</v>
      </c>
      <c r="AE927" s="12"/>
    </row>
    <row r="928" customHeight="1" spans="1:31">
      <c r="A928" s="11" t="s">
        <v>30</v>
      </c>
      <c r="B928" s="11" t="s">
        <v>199</v>
      </c>
      <c r="C928" s="11">
        <v>299</v>
      </c>
      <c r="D928" s="11">
        <v>130</v>
      </c>
      <c r="E928" s="11">
        <v>129</v>
      </c>
      <c r="F928" s="11">
        <v>12000</v>
      </c>
      <c r="G928" s="11">
        <v>21000</v>
      </c>
      <c r="H928" s="11">
        <v>296623634</v>
      </c>
      <c r="I928" s="11" t="s">
        <v>1106</v>
      </c>
      <c r="J928" s="11" t="s">
        <v>769</v>
      </c>
      <c r="K928" s="11" t="s">
        <v>559</v>
      </c>
      <c r="L928" s="11" t="s">
        <v>1107</v>
      </c>
      <c r="M928" s="11" t="s">
        <v>4994</v>
      </c>
      <c r="N928" s="11">
        <v>220758</v>
      </c>
      <c r="O928" s="11">
        <v>64040</v>
      </c>
      <c r="P928" s="11">
        <v>2</v>
      </c>
      <c r="Q928" s="11" t="s">
        <v>4995</v>
      </c>
      <c r="R928" s="14" t="s">
        <v>4996</v>
      </c>
      <c r="S928" s="11">
        <v>919</v>
      </c>
      <c r="T928" s="11" t="s">
        <v>39</v>
      </c>
      <c r="U928" s="11" t="s">
        <v>40</v>
      </c>
      <c r="V928" s="11" t="s">
        <v>41</v>
      </c>
      <c r="W928" s="11">
        <v>50000000</v>
      </c>
      <c r="X928" s="11">
        <v>2009</v>
      </c>
      <c r="Y928" s="11">
        <v>17000</v>
      </c>
      <c r="Z928" s="11">
        <v>4.6</v>
      </c>
      <c r="AA928" s="11">
        <v>2.35</v>
      </c>
      <c r="AB928" s="11">
        <v>13000</v>
      </c>
      <c r="AC928" s="11"/>
      <c r="AD928" s="11" t="str">
        <f>IFERROR(__xludf.DUMMYFUNCTION("""COMPUTED_VALUE"""),"Geoffrey Palmer")</f>
        <v>Geoffrey Palmer</v>
      </c>
      <c r="AE928" s="11"/>
    </row>
    <row r="929" customHeight="1" spans="1:31">
      <c r="A929" s="12" t="s">
        <v>30</v>
      </c>
      <c r="B929" s="12" t="s">
        <v>147</v>
      </c>
      <c r="C929" s="12">
        <v>212</v>
      </c>
      <c r="D929" s="12">
        <v>90</v>
      </c>
      <c r="E929" s="12">
        <v>80</v>
      </c>
      <c r="F929" s="12">
        <v>21</v>
      </c>
      <c r="G929" s="12">
        <v>145</v>
      </c>
      <c r="H929" s="12">
        <v>267652016</v>
      </c>
      <c r="I929" s="12" t="s">
        <v>271</v>
      </c>
      <c r="J929" s="12" t="s">
        <v>4997</v>
      </c>
      <c r="K929" s="12" t="s">
        <v>722</v>
      </c>
      <c r="L929" s="12" t="s">
        <v>4998</v>
      </c>
      <c r="M929" s="12" t="s">
        <v>4999</v>
      </c>
      <c r="N929" s="12">
        <v>467113</v>
      </c>
      <c r="O929" s="12">
        <v>275</v>
      </c>
      <c r="P929" s="12">
        <v>1</v>
      </c>
      <c r="Q929" s="12" t="s">
        <v>5000</v>
      </c>
      <c r="R929" s="15" t="s">
        <v>5001</v>
      </c>
      <c r="S929" s="12">
        <v>945</v>
      </c>
      <c r="T929" s="12" t="s">
        <v>39</v>
      </c>
      <c r="U929" s="12" t="s">
        <v>40</v>
      </c>
      <c r="V929" s="12" t="s">
        <v>96</v>
      </c>
      <c r="W929" s="12">
        <v>60000000</v>
      </c>
      <c r="X929" s="12">
        <v>2001</v>
      </c>
      <c r="Y929" s="12">
        <v>50</v>
      </c>
      <c r="Z929" s="12">
        <v>7.9</v>
      </c>
      <c r="AA929" s="12">
        <v>1.85</v>
      </c>
      <c r="AB929" s="12">
        <v>0</v>
      </c>
      <c r="AC929" s="12"/>
      <c r="AD929" s="12" t="str">
        <f>IFERROR(__xludf.DUMMYFUNCTION("""COMPUTED_VALUE"""),"Randall Duk Kim")</f>
        <v>Randall Duk Kim</v>
      </c>
      <c r="AE929" s="12"/>
    </row>
    <row r="930" customHeight="1" spans="1:31">
      <c r="A930" s="11" t="s">
        <v>30</v>
      </c>
      <c r="B930" s="11" t="s">
        <v>5002</v>
      </c>
      <c r="C930" s="11">
        <v>413</v>
      </c>
      <c r="D930" s="11">
        <v>106</v>
      </c>
      <c r="E930" s="11">
        <v>53</v>
      </c>
      <c r="F930" s="11">
        <v>593</v>
      </c>
      <c r="G930" s="11">
        <v>13000</v>
      </c>
      <c r="H930" s="11">
        <v>62453315</v>
      </c>
      <c r="I930" s="11" t="s">
        <v>5003</v>
      </c>
      <c r="J930" s="11" t="s">
        <v>1158</v>
      </c>
      <c r="K930" s="11" t="s">
        <v>3041</v>
      </c>
      <c r="L930" s="11" t="s">
        <v>5004</v>
      </c>
      <c r="M930" s="11" t="s">
        <v>5005</v>
      </c>
      <c r="N930" s="11">
        <v>200035</v>
      </c>
      <c r="O930" s="11">
        <v>14607</v>
      </c>
      <c r="P930" s="11">
        <v>2</v>
      </c>
      <c r="Q930" s="11" t="s">
        <v>5006</v>
      </c>
      <c r="R930" s="14" t="s">
        <v>5007</v>
      </c>
      <c r="S930" s="11">
        <v>407</v>
      </c>
      <c r="T930" s="11" t="s">
        <v>39</v>
      </c>
      <c r="U930" s="11" t="s">
        <v>40</v>
      </c>
      <c r="V930" s="11" t="s">
        <v>41</v>
      </c>
      <c r="W930" s="11">
        <v>50200000</v>
      </c>
      <c r="X930" s="11">
        <v>2011</v>
      </c>
      <c r="Y930" s="11">
        <v>963</v>
      </c>
      <c r="Z930" s="11">
        <v>7.1</v>
      </c>
      <c r="AA930" s="11">
        <v>1.85</v>
      </c>
      <c r="AB930" s="11">
        <v>36000</v>
      </c>
      <c r="AC930" s="11"/>
      <c r="AD930" s="11" t="str">
        <f>IFERROR(__xludf.DUMMYFUNCTION("""COMPUTED_VALUE"""),"Daniel Sharman")</f>
        <v>Daniel Sharman</v>
      </c>
      <c r="AE930" s="11"/>
    </row>
    <row r="931" customHeight="1" spans="1:31">
      <c r="A931" s="12" t="s">
        <v>30</v>
      </c>
      <c r="B931" s="12" t="s">
        <v>529</v>
      </c>
      <c r="C931" s="12">
        <v>67</v>
      </c>
      <c r="D931" s="12">
        <v>155</v>
      </c>
      <c r="E931" s="12">
        <v>58</v>
      </c>
      <c r="F931" s="12">
        <v>720</v>
      </c>
      <c r="G931" s="12">
        <v>25000</v>
      </c>
      <c r="H931" s="12">
        <v>165500000</v>
      </c>
      <c r="I931" s="12" t="s">
        <v>207</v>
      </c>
      <c r="J931" s="12" t="s">
        <v>106</v>
      </c>
      <c r="K931" s="12" t="s">
        <v>466</v>
      </c>
      <c r="L931" s="12" t="s">
        <v>1870</v>
      </c>
      <c r="M931" s="12" t="s">
        <v>5008</v>
      </c>
      <c r="N931" s="12">
        <v>145257</v>
      </c>
      <c r="O931" s="12">
        <v>38518</v>
      </c>
      <c r="P931" s="12">
        <v>0</v>
      </c>
      <c r="Q931" s="12" t="s">
        <v>5009</v>
      </c>
      <c r="R931" s="15" t="s">
        <v>5010</v>
      </c>
      <c r="S931" s="12">
        <v>322</v>
      </c>
      <c r="T931" s="12" t="s">
        <v>39</v>
      </c>
      <c r="U931" s="12" t="s">
        <v>40</v>
      </c>
      <c r="V931" s="12" t="s">
        <v>41</v>
      </c>
      <c r="W931" s="12">
        <v>48000000</v>
      </c>
      <c r="X931" s="12">
        <v>1991</v>
      </c>
      <c r="Y931" s="12">
        <v>11000</v>
      </c>
      <c r="Z931" s="12">
        <v>6.9</v>
      </c>
      <c r="AA931" s="12">
        <v>1.85</v>
      </c>
      <c r="AB931" s="12">
        <v>0</v>
      </c>
      <c r="AC931" s="12"/>
      <c r="AD931" s="12" t="str">
        <f>IFERROR(__xludf.DUMMYFUNCTION("""COMPUTED_VALUE"""),"Steve Byers")</f>
        <v>Steve Byers</v>
      </c>
      <c r="AE931" s="12"/>
    </row>
    <row r="932" customHeight="1" spans="1:31">
      <c r="A932" s="11" t="s">
        <v>30</v>
      </c>
      <c r="B932" s="11" t="s">
        <v>3348</v>
      </c>
      <c r="C932" s="11">
        <v>109</v>
      </c>
      <c r="D932" s="11">
        <v>139</v>
      </c>
      <c r="E932" s="11">
        <v>488</v>
      </c>
      <c r="F932" s="11">
        <v>597</v>
      </c>
      <c r="G932" s="11">
        <v>10000</v>
      </c>
      <c r="H932" s="11">
        <v>153620822</v>
      </c>
      <c r="I932" s="11" t="s">
        <v>4479</v>
      </c>
      <c r="J932" s="11" t="s">
        <v>523</v>
      </c>
      <c r="K932" s="11" t="s">
        <v>1640</v>
      </c>
      <c r="L932" s="11" t="s">
        <v>5011</v>
      </c>
      <c r="M932" s="11" t="s">
        <v>5012</v>
      </c>
      <c r="N932" s="11">
        <v>189923</v>
      </c>
      <c r="O932" s="11">
        <v>12182</v>
      </c>
      <c r="P932" s="11">
        <v>0</v>
      </c>
      <c r="Q932" s="11" t="s">
        <v>5013</v>
      </c>
      <c r="R932" s="14" t="s">
        <v>5014</v>
      </c>
      <c r="S932" s="11">
        <v>318</v>
      </c>
      <c r="T932" s="11" t="s">
        <v>39</v>
      </c>
      <c r="U932" s="11" t="s">
        <v>40</v>
      </c>
      <c r="V932" s="11" t="s">
        <v>586</v>
      </c>
      <c r="W932" s="11">
        <v>50000000</v>
      </c>
      <c r="X932" s="11">
        <v>1996</v>
      </c>
      <c r="Y932" s="11">
        <v>743</v>
      </c>
      <c r="Z932" s="11">
        <v>7.3</v>
      </c>
      <c r="AA932" s="11">
        <v>1.85</v>
      </c>
      <c r="AB932" s="11">
        <v>0</v>
      </c>
      <c r="AC932" s="11"/>
      <c r="AD932" s="11" t="str">
        <f>IFERROR(__xludf.DUMMYFUNCTION("""COMPUTED_VALUE"""),"Ransford Doherty")</f>
        <v>Ransford Doherty</v>
      </c>
      <c r="AE932" s="11"/>
    </row>
    <row r="933" customHeight="1" spans="1:31">
      <c r="A933" s="12" t="s">
        <v>30</v>
      </c>
      <c r="B933" s="12" t="s">
        <v>2513</v>
      </c>
      <c r="C933" s="12">
        <v>457</v>
      </c>
      <c r="D933" s="12">
        <v>112</v>
      </c>
      <c r="E933" s="12">
        <v>3000</v>
      </c>
      <c r="F933" s="12">
        <v>1000</v>
      </c>
      <c r="G933" s="12">
        <v>15000</v>
      </c>
      <c r="H933" s="12">
        <v>218628680</v>
      </c>
      <c r="I933" s="12" t="s">
        <v>2787</v>
      </c>
      <c r="J933" s="12" t="s">
        <v>292</v>
      </c>
      <c r="K933" s="12" t="s">
        <v>2513</v>
      </c>
      <c r="L933" s="12" t="s">
        <v>2203</v>
      </c>
      <c r="M933" s="12" t="s">
        <v>5015</v>
      </c>
      <c r="N933" s="12">
        <v>471644</v>
      </c>
      <c r="O933" s="12">
        <v>21773</v>
      </c>
      <c r="P933" s="12">
        <v>1</v>
      </c>
      <c r="Q933" s="12" t="s">
        <v>5016</v>
      </c>
      <c r="R933" s="15" t="s">
        <v>5017</v>
      </c>
      <c r="S933" s="12">
        <v>623</v>
      </c>
      <c r="T933" s="12" t="s">
        <v>39</v>
      </c>
      <c r="U933" s="12" t="s">
        <v>40</v>
      </c>
      <c r="V933" s="12" t="s">
        <v>586</v>
      </c>
      <c r="W933" s="12">
        <v>50000000</v>
      </c>
      <c r="X933" s="12">
        <v>2012</v>
      </c>
      <c r="Y933" s="12">
        <v>3000</v>
      </c>
      <c r="Z933" s="12">
        <v>7</v>
      </c>
      <c r="AA933" s="12">
        <v>1.85</v>
      </c>
      <c r="AB933" s="12">
        <v>74000</v>
      </c>
      <c r="AC933" s="12"/>
      <c r="AD933" s="12" t="str">
        <f>IFERROR(__xludf.DUMMYFUNCTION("""COMPUTED_VALUE"""),"Lena Olin")</f>
        <v>Lena Olin</v>
      </c>
      <c r="AE933" s="12"/>
    </row>
    <row r="934" customHeight="1" spans="1:31">
      <c r="A934" s="11" t="s">
        <v>30</v>
      </c>
      <c r="B934" s="11" t="s">
        <v>1414</v>
      </c>
      <c r="C934" s="11">
        <v>156</v>
      </c>
      <c r="D934" s="11">
        <v>139</v>
      </c>
      <c r="E934" s="11">
        <v>274</v>
      </c>
      <c r="F934" s="11">
        <v>285</v>
      </c>
      <c r="G934" s="11">
        <v>625</v>
      </c>
      <c r="H934" s="11">
        <v>147637474</v>
      </c>
      <c r="I934" s="11" t="s">
        <v>1415</v>
      </c>
      <c r="J934" s="11" t="s">
        <v>5018</v>
      </c>
      <c r="K934" s="11" t="s">
        <v>3255</v>
      </c>
      <c r="L934" s="11" t="s">
        <v>5019</v>
      </c>
      <c r="M934" s="11" t="s">
        <v>5020</v>
      </c>
      <c r="N934" s="11">
        <v>224671</v>
      </c>
      <c r="O934" s="11">
        <v>1474</v>
      </c>
      <c r="P934" s="11">
        <v>0</v>
      </c>
      <c r="Q934" s="11" t="s">
        <v>5021</v>
      </c>
      <c r="R934" s="14" t="s">
        <v>5022</v>
      </c>
      <c r="S934" s="11">
        <v>470</v>
      </c>
      <c r="T934" s="11" t="s">
        <v>39</v>
      </c>
      <c r="U934" s="11" t="s">
        <v>40</v>
      </c>
      <c r="V934" s="11" t="s">
        <v>41</v>
      </c>
      <c r="W934" s="11">
        <v>50000000</v>
      </c>
      <c r="X934" s="11">
        <v>1997</v>
      </c>
      <c r="Y934" s="11">
        <v>440</v>
      </c>
      <c r="Z934" s="11">
        <v>7.7</v>
      </c>
      <c r="AA934" s="11">
        <v>1.85</v>
      </c>
      <c r="AB934" s="11">
        <v>11000</v>
      </c>
      <c r="AC934" s="11"/>
      <c r="AD934" s="11" t="str">
        <f>IFERROR(__xludf.DUMMYFUNCTION("""COMPUTED_VALUE"""),"Sean Pertwee")</f>
        <v>Sean Pertwee</v>
      </c>
      <c r="AE934" s="11"/>
    </row>
    <row r="935" customHeight="1" spans="1:31">
      <c r="A935" s="12" t="s">
        <v>30</v>
      </c>
      <c r="B935" s="12" t="s">
        <v>515</v>
      </c>
      <c r="C935" s="12">
        <v>55</v>
      </c>
      <c r="D935" s="12">
        <v>115</v>
      </c>
      <c r="E935" s="12">
        <v>293</v>
      </c>
      <c r="F935" s="12">
        <v>878</v>
      </c>
      <c r="G935" s="12">
        <v>49000</v>
      </c>
      <c r="H935" s="12">
        <v>135014968</v>
      </c>
      <c r="I935" s="12" t="s">
        <v>5023</v>
      </c>
      <c r="J935" s="12" t="s">
        <v>811</v>
      </c>
      <c r="K935" s="12" t="s">
        <v>699</v>
      </c>
      <c r="L935" s="12" t="s">
        <v>2637</v>
      </c>
      <c r="M935" s="12" t="s">
        <v>5024</v>
      </c>
      <c r="N935" s="12">
        <v>80580</v>
      </c>
      <c r="O935" s="12">
        <v>74382</v>
      </c>
      <c r="P935" s="12">
        <v>1</v>
      </c>
      <c r="Q935" s="12" t="s">
        <v>5025</v>
      </c>
      <c r="R935" s="15" t="s">
        <v>5026</v>
      </c>
      <c r="S935" s="12">
        <v>375</v>
      </c>
      <c r="T935" s="12" t="s">
        <v>39</v>
      </c>
      <c r="U935" s="12" t="s">
        <v>40</v>
      </c>
      <c r="V935" s="12" t="s">
        <v>41</v>
      </c>
      <c r="W935" s="12">
        <v>50000000</v>
      </c>
      <c r="X935" s="12">
        <v>1998</v>
      </c>
      <c r="Y935" s="12">
        <v>22000</v>
      </c>
      <c r="Z935" s="12">
        <v>6.7</v>
      </c>
      <c r="AA935" s="12">
        <v>2.35</v>
      </c>
      <c r="AB935" s="12">
        <v>0</v>
      </c>
      <c r="AC935" s="12"/>
      <c r="AD935" s="12" t="str">
        <f>IFERROR(__xludf.DUMMYFUNCTION("""COMPUTED_VALUE"""),"Kiernan Shipka")</f>
        <v>Kiernan Shipka</v>
      </c>
      <c r="AE935" s="12"/>
    </row>
    <row r="936" customHeight="1" spans="1:31">
      <c r="A936" s="11" t="s">
        <v>30</v>
      </c>
      <c r="B936" s="11" t="s">
        <v>1752</v>
      </c>
      <c r="C936" s="11">
        <v>272</v>
      </c>
      <c r="D936" s="11">
        <v>143</v>
      </c>
      <c r="E936" s="11">
        <v>285</v>
      </c>
      <c r="F936" s="11">
        <v>7000</v>
      </c>
      <c r="G936" s="11">
        <v>11000</v>
      </c>
      <c r="H936" s="11">
        <v>2175312</v>
      </c>
      <c r="I936" s="11" t="s">
        <v>1672</v>
      </c>
      <c r="J936" s="11" t="s">
        <v>391</v>
      </c>
      <c r="K936" s="11" t="s">
        <v>1249</v>
      </c>
      <c r="L936" s="11" t="s">
        <v>518</v>
      </c>
      <c r="M936" s="11" t="s">
        <v>5027</v>
      </c>
      <c r="N936" s="11">
        <v>131227</v>
      </c>
      <c r="O936" s="11">
        <v>28176</v>
      </c>
      <c r="P936" s="11">
        <v>2</v>
      </c>
      <c r="Q936" s="11" t="s">
        <v>5028</v>
      </c>
      <c r="R936" s="14" t="s">
        <v>5029</v>
      </c>
      <c r="S936" s="11">
        <v>346</v>
      </c>
      <c r="T936" s="11" t="s">
        <v>39</v>
      </c>
      <c r="U936" s="11" t="s">
        <v>40</v>
      </c>
      <c r="V936" s="11" t="s">
        <v>41</v>
      </c>
      <c r="W936" s="11">
        <v>50000000</v>
      </c>
      <c r="X936" s="11">
        <v>2013</v>
      </c>
      <c r="Y936" s="11">
        <v>8000</v>
      </c>
      <c r="Z936" s="11">
        <v>6.3</v>
      </c>
      <c r="AA936" s="11">
        <v>2.35</v>
      </c>
      <c r="AB936" s="11">
        <v>41000</v>
      </c>
      <c r="AC936" s="11"/>
      <c r="AD936" s="11" t="str">
        <f>IFERROR(__xludf.DUMMYFUNCTION("""COMPUTED_VALUE"""),"Lou Taylor Pucci")</f>
        <v>Lou Taylor Pucci</v>
      </c>
      <c r="AE936" s="11"/>
    </row>
    <row r="937" customHeight="1" spans="1:31">
      <c r="A937" s="12" t="s">
        <v>30</v>
      </c>
      <c r="B937" s="12" t="s">
        <v>2786</v>
      </c>
      <c r="C937" s="12">
        <v>117</v>
      </c>
      <c r="D937" s="12">
        <v>96</v>
      </c>
      <c r="E937" s="12">
        <v>65</v>
      </c>
      <c r="F937" s="12">
        <v>828</v>
      </c>
      <c r="G937" s="12">
        <v>12000</v>
      </c>
      <c r="H937" s="12">
        <v>126203320</v>
      </c>
      <c r="I937" s="12" t="s">
        <v>1681</v>
      </c>
      <c r="J937" s="12" t="s">
        <v>272</v>
      </c>
      <c r="K937" s="12" t="s">
        <v>2180</v>
      </c>
      <c r="L937" s="12" t="s">
        <v>4812</v>
      </c>
      <c r="M937" s="12" t="s">
        <v>5030</v>
      </c>
      <c r="N937" s="12">
        <v>110432</v>
      </c>
      <c r="O937" s="12">
        <v>26826</v>
      </c>
      <c r="P937" s="12">
        <v>1</v>
      </c>
      <c r="Q937" s="12" t="s">
        <v>5031</v>
      </c>
      <c r="R937" s="15" t="s">
        <v>5032</v>
      </c>
      <c r="S937" s="12">
        <v>309</v>
      </c>
      <c r="T937" s="12" t="s">
        <v>39</v>
      </c>
      <c r="U937" s="12" t="s">
        <v>40</v>
      </c>
      <c r="V937" s="12" t="s">
        <v>41</v>
      </c>
      <c r="W937" s="12">
        <v>50000000</v>
      </c>
      <c r="X937" s="12">
        <v>2002</v>
      </c>
      <c r="Y937" s="12">
        <v>11000</v>
      </c>
      <c r="Z937" s="12">
        <v>5.8</v>
      </c>
      <c r="AA937" s="12">
        <v>1.85</v>
      </c>
      <c r="AB937" s="12">
        <v>0</v>
      </c>
      <c r="AC937" s="12"/>
      <c r="AD937" s="12" t="str">
        <f>IFERROR(__xludf.DUMMYFUNCTION("""COMPUTED_VALUE"""),"Bridget Fonda")</f>
        <v>Bridget Fonda</v>
      </c>
      <c r="AE937" s="12"/>
    </row>
    <row r="938" customHeight="1" spans="1:31">
      <c r="A938" s="11" t="s">
        <v>30</v>
      </c>
      <c r="B938" s="11" t="s">
        <v>352</v>
      </c>
      <c r="C938" s="11">
        <v>539</v>
      </c>
      <c r="D938" s="11">
        <v>112</v>
      </c>
      <c r="E938" s="11">
        <v>14000</v>
      </c>
      <c r="F938" s="11">
        <v>417</v>
      </c>
      <c r="G938" s="11">
        <v>1000</v>
      </c>
      <c r="H938" s="11">
        <v>126975169</v>
      </c>
      <c r="I938" s="11" t="s">
        <v>5033</v>
      </c>
      <c r="J938" s="11" t="s">
        <v>5034</v>
      </c>
      <c r="K938" s="11" t="s">
        <v>2003</v>
      </c>
      <c r="L938" s="11" t="s">
        <v>5035</v>
      </c>
      <c r="M938" s="11" t="s">
        <v>5036</v>
      </c>
      <c r="N938" s="11">
        <v>287822</v>
      </c>
      <c r="O938" s="11">
        <v>3388</v>
      </c>
      <c r="P938" s="11">
        <v>0</v>
      </c>
      <c r="Q938" s="11" t="s">
        <v>5037</v>
      </c>
      <c r="R938" s="14" t="s">
        <v>5038</v>
      </c>
      <c r="S938" s="11">
        <v>849</v>
      </c>
      <c r="T938" s="11" t="s">
        <v>39</v>
      </c>
      <c r="U938" s="11" t="s">
        <v>40</v>
      </c>
      <c r="V938" s="11" t="s">
        <v>41</v>
      </c>
      <c r="W938" s="11">
        <v>50000000</v>
      </c>
      <c r="X938" s="11">
        <v>2011</v>
      </c>
      <c r="Y938" s="11">
        <v>560</v>
      </c>
      <c r="Z938" s="11">
        <v>7.1</v>
      </c>
      <c r="AA938" s="11">
        <v>2.35</v>
      </c>
      <c r="AB938" s="11">
        <v>37000</v>
      </c>
      <c r="AC938" s="11"/>
      <c r="AD938" s="11" t="str">
        <f>IFERROR(__xludf.DUMMYFUNCTION("""COMPUTED_VALUE"""),"Megan Mullally")</f>
        <v>Megan Mullally</v>
      </c>
      <c r="AE938" s="11"/>
    </row>
    <row r="939" customHeight="1" spans="1:31">
      <c r="A939" s="12" t="s">
        <v>30</v>
      </c>
      <c r="B939" s="12" t="s">
        <v>1527</v>
      </c>
      <c r="C939" s="12">
        <v>169</v>
      </c>
      <c r="D939" s="12">
        <v>131</v>
      </c>
      <c r="E939" s="12">
        <v>0</v>
      </c>
      <c r="F939" s="12">
        <v>658</v>
      </c>
      <c r="G939" s="12">
        <v>8000</v>
      </c>
      <c r="H939" s="12">
        <v>125548685</v>
      </c>
      <c r="I939" s="12" t="s">
        <v>1544</v>
      </c>
      <c r="J939" s="12" t="s">
        <v>1529</v>
      </c>
      <c r="K939" s="12" t="s">
        <v>241</v>
      </c>
      <c r="L939" s="12" t="s">
        <v>5039</v>
      </c>
      <c r="M939" s="12" t="s">
        <v>5040</v>
      </c>
      <c r="N939" s="12">
        <v>135246</v>
      </c>
      <c r="O939" s="12">
        <v>10003</v>
      </c>
      <c r="P939" s="12">
        <v>0</v>
      </c>
      <c r="Q939" s="12" t="s">
        <v>5041</v>
      </c>
      <c r="R939" s="15" t="s">
        <v>5042</v>
      </c>
      <c r="S939" s="12">
        <v>498</v>
      </c>
      <c r="T939" s="12" t="s">
        <v>39</v>
      </c>
      <c r="U939" s="12" t="s">
        <v>40</v>
      </c>
      <c r="V939" s="12" t="s">
        <v>586</v>
      </c>
      <c r="W939" s="12">
        <v>52000000</v>
      </c>
      <c r="X939" s="12">
        <v>2000</v>
      </c>
      <c r="Y939" s="12">
        <v>883</v>
      </c>
      <c r="Z939" s="12">
        <v>7.3</v>
      </c>
      <c r="AA939" s="12">
        <v>1.85</v>
      </c>
      <c r="AB939" s="12">
        <v>0</v>
      </c>
      <c r="AC939" s="12"/>
      <c r="AD939" s="12" t="str">
        <f>IFERROR(__xludf.DUMMYFUNCTION("""COMPUTED_VALUE"""),"Mike Starr")</f>
        <v>Mike Starr</v>
      </c>
      <c r="AE939" s="12"/>
    </row>
    <row r="940" customHeight="1" spans="1:31">
      <c r="A940" s="11" t="s">
        <v>30</v>
      </c>
      <c r="B940" s="11" t="s">
        <v>4240</v>
      </c>
      <c r="C940" s="11">
        <v>140</v>
      </c>
      <c r="D940" s="11">
        <v>116</v>
      </c>
      <c r="E940" s="11">
        <v>80</v>
      </c>
      <c r="F940" s="11">
        <v>651</v>
      </c>
      <c r="G940" s="11">
        <v>11000</v>
      </c>
      <c r="H940" s="11">
        <v>105807520</v>
      </c>
      <c r="I940" s="11" t="s">
        <v>1681</v>
      </c>
      <c r="J940" s="11" t="s">
        <v>661</v>
      </c>
      <c r="K940" s="11" t="s">
        <v>2866</v>
      </c>
      <c r="L940" s="11" t="s">
        <v>5043</v>
      </c>
      <c r="M940" s="11" t="s">
        <v>5044</v>
      </c>
      <c r="N940" s="11">
        <v>156717</v>
      </c>
      <c r="O940" s="11">
        <v>14087</v>
      </c>
      <c r="P940" s="11">
        <v>2</v>
      </c>
      <c r="Q940" s="11" t="s">
        <v>5045</v>
      </c>
      <c r="R940" s="14" t="s">
        <v>5046</v>
      </c>
      <c r="S940" s="11">
        <v>357</v>
      </c>
      <c r="T940" s="11" t="s">
        <v>39</v>
      </c>
      <c r="U940" s="11" t="s">
        <v>40</v>
      </c>
      <c r="V940" s="11" t="s">
        <v>41</v>
      </c>
      <c r="W940" s="11">
        <v>50000000</v>
      </c>
      <c r="X940" s="11">
        <v>2003</v>
      </c>
      <c r="Y940" s="11">
        <v>1000</v>
      </c>
      <c r="Z940" s="11">
        <v>6.4</v>
      </c>
      <c r="AA940" s="11">
        <v>1.85</v>
      </c>
      <c r="AB940" s="11">
        <v>0</v>
      </c>
      <c r="AC940" s="11"/>
      <c r="AD940" s="11" t="str">
        <f>IFERROR(__xludf.DUMMYFUNCTION("""COMPUTED_VALUE"""),"John Heard")</f>
        <v>John Heard</v>
      </c>
      <c r="AE940" s="11"/>
    </row>
    <row r="941" customHeight="1" spans="1:31">
      <c r="A941" s="12" t="s">
        <v>30</v>
      </c>
      <c r="B941" s="12" t="s">
        <v>2100</v>
      </c>
      <c r="C941" s="12">
        <v>330</v>
      </c>
      <c r="D941" s="12">
        <v>112</v>
      </c>
      <c r="E941" s="12">
        <v>97</v>
      </c>
      <c r="F941" s="12">
        <v>584</v>
      </c>
      <c r="G941" s="12">
        <v>17000</v>
      </c>
      <c r="H941" s="12">
        <v>191616238</v>
      </c>
      <c r="I941" s="12" t="s">
        <v>1753</v>
      </c>
      <c r="J941" s="12" t="s">
        <v>445</v>
      </c>
      <c r="K941" s="12" t="s">
        <v>5047</v>
      </c>
      <c r="L941" s="12" t="s">
        <v>2418</v>
      </c>
      <c r="M941" s="12" t="s">
        <v>5048</v>
      </c>
      <c r="N941" s="12">
        <v>258186</v>
      </c>
      <c r="O941" s="12">
        <v>19428</v>
      </c>
      <c r="P941" s="12">
        <v>2</v>
      </c>
      <c r="Q941" s="12" t="s">
        <v>5049</v>
      </c>
      <c r="R941" s="15" t="s">
        <v>5050</v>
      </c>
      <c r="S941" s="12">
        <v>322</v>
      </c>
      <c r="T941" s="12" t="s">
        <v>39</v>
      </c>
      <c r="U941" s="12" t="s">
        <v>40</v>
      </c>
      <c r="V941" s="12" t="s">
        <v>586</v>
      </c>
      <c r="W941" s="12">
        <v>50000000</v>
      </c>
      <c r="X941" s="12">
        <v>2014</v>
      </c>
      <c r="Y941" s="12">
        <v>920</v>
      </c>
      <c r="Z941" s="12">
        <v>7.1</v>
      </c>
      <c r="AA941" s="12">
        <v>2.35</v>
      </c>
      <c r="AB941" s="12">
        <v>24000</v>
      </c>
      <c r="AC941" s="12"/>
      <c r="AD941" s="12" t="str">
        <f>IFERROR(__xludf.DUMMYFUNCTION("""COMPUTED_VALUE"""),"Peter Coyote")</f>
        <v>Peter Coyote</v>
      </c>
      <c r="AE941" s="12"/>
    </row>
    <row r="942" customHeight="1" spans="1:31">
      <c r="A942" s="11" t="s">
        <v>30</v>
      </c>
      <c r="B942" s="11" t="s">
        <v>5051</v>
      </c>
      <c r="C942" s="11">
        <v>120</v>
      </c>
      <c r="D942" s="11">
        <v>123</v>
      </c>
      <c r="E942" s="11">
        <v>277</v>
      </c>
      <c r="F942" s="11">
        <v>4000</v>
      </c>
      <c r="G942" s="11">
        <v>11000</v>
      </c>
      <c r="H942" s="11">
        <v>105264608</v>
      </c>
      <c r="I942" s="11" t="s">
        <v>5052</v>
      </c>
      <c r="J942" s="11" t="s">
        <v>343</v>
      </c>
      <c r="K942" s="11" t="s">
        <v>523</v>
      </c>
      <c r="L942" s="11" t="s">
        <v>84</v>
      </c>
      <c r="M942" s="11" t="s">
        <v>5053</v>
      </c>
      <c r="N942" s="11">
        <v>239752</v>
      </c>
      <c r="O942" s="11">
        <v>25697</v>
      </c>
      <c r="P942" s="11">
        <v>0</v>
      </c>
      <c r="Q942" s="11" t="s">
        <v>5054</v>
      </c>
      <c r="R942" s="14" t="s">
        <v>5055</v>
      </c>
      <c r="S942" s="11">
        <v>406</v>
      </c>
      <c r="T942" s="11" t="s">
        <v>39</v>
      </c>
      <c r="U942" s="11" t="s">
        <v>40</v>
      </c>
      <c r="V942" s="11" t="s">
        <v>586</v>
      </c>
      <c r="W942" s="11">
        <v>60000000</v>
      </c>
      <c r="X942" s="11">
        <v>1994</v>
      </c>
      <c r="Y942" s="11">
        <v>10000</v>
      </c>
      <c r="Z942" s="11">
        <v>7.6</v>
      </c>
      <c r="AA942" s="11">
        <v>1.85</v>
      </c>
      <c r="AB942" s="11">
        <v>11000</v>
      </c>
      <c r="AC942" s="11"/>
      <c r="AD942" s="11" t="str">
        <f>IFERROR(__xludf.DUMMYFUNCTION("""COMPUTED_VALUE"""),"James Pickens Jr.")</f>
        <v>James Pickens Jr.</v>
      </c>
      <c r="AE942" s="11"/>
    </row>
    <row r="943" customHeight="1" spans="1:31">
      <c r="A943" s="12" t="s">
        <v>30</v>
      </c>
      <c r="B943" s="12" t="s">
        <v>1166</v>
      </c>
      <c r="C943" s="12">
        <v>190</v>
      </c>
      <c r="D943" s="12">
        <v>104</v>
      </c>
      <c r="E943" s="12">
        <v>235</v>
      </c>
      <c r="F943" s="12">
        <v>1000</v>
      </c>
      <c r="G943" s="12">
        <v>14000</v>
      </c>
      <c r="H943" s="12">
        <v>97680195</v>
      </c>
      <c r="I943" s="12" t="s">
        <v>1681</v>
      </c>
      <c r="J943" s="12" t="s">
        <v>655</v>
      </c>
      <c r="K943" s="12" t="s">
        <v>1950</v>
      </c>
      <c r="L943" s="12" t="s">
        <v>5056</v>
      </c>
      <c r="M943" s="12" t="s">
        <v>5057</v>
      </c>
      <c r="N943" s="12">
        <v>271691</v>
      </c>
      <c r="O943" s="12">
        <v>29505</v>
      </c>
      <c r="P943" s="12">
        <v>1</v>
      </c>
      <c r="Q943" s="12" t="s">
        <v>5058</v>
      </c>
      <c r="R943" s="15" t="s">
        <v>5059</v>
      </c>
      <c r="S943" s="12">
        <v>243</v>
      </c>
      <c r="T943" s="12" t="s">
        <v>39</v>
      </c>
      <c r="U943" s="12" t="s">
        <v>40</v>
      </c>
      <c r="V943" s="12" t="s">
        <v>41</v>
      </c>
      <c r="W943" s="12">
        <v>70000000</v>
      </c>
      <c r="X943" s="12">
        <v>2008</v>
      </c>
      <c r="Y943" s="12">
        <v>11000</v>
      </c>
      <c r="Z943" s="12">
        <v>6.8</v>
      </c>
      <c r="AA943" s="12">
        <v>2.35</v>
      </c>
      <c r="AB943" s="12">
        <v>0</v>
      </c>
      <c r="AC943" s="12"/>
      <c r="AD943" s="12" t="str">
        <f>IFERROR(__xludf.DUMMYFUNCTION("""COMPUTED_VALUE"""),"Huey Lewis")</f>
        <v>Huey Lewis</v>
      </c>
      <c r="AE943" s="12"/>
    </row>
    <row r="944" customHeight="1" spans="1:31">
      <c r="A944" s="11" t="s">
        <v>30</v>
      </c>
      <c r="B944" s="11" t="s">
        <v>5060</v>
      </c>
      <c r="C944" s="11">
        <v>177</v>
      </c>
      <c r="D944" s="11">
        <v>107</v>
      </c>
      <c r="E944" s="11">
        <v>43</v>
      </c>
      <c r="F944" s="11">
        <v>569</v>
      </c>
      <c r="G944" s="11">
        <v>12000</v>
      </c>
      <c r="H944" s="11">
        <v>126088877</v>
      </c>
      <c r="I944" s="11" t="s">
        <v>1753</v>
      </c>
      <c r="J944" s="11" t="s">
        <v>1073</v>
      </c>
      <c r="K944" s="11" t="s">
        <v>209</v>
      </c>
      <c r="L944" s="11" t="s">
        <v>5061</v>
      </c>
      <c r="M944" s="11" t="s">
        <v>5062</v>
      </c>
      <c r="N944" s="11">
        <v>33354</v>
      </c>
      <c r="O944" s="11">
        <v>14569</v>
      </c>
      <c r="P944" s="11">
        <v>2</v>
      </c>
      <c r="Q944" s="11" t="s">
        <v>5063</v>
      </c>
      <c r="R944" s="14" t="s">
        <v>5064</v>
      </c>
      <c r="S944" s="11">
        <v>110</v>
      </c>
      <c r="T944" s="11" t="s">
        <v>39</v>
      </c>
      <c r="U944" s="11" t="s">
        <v>40</v>
      </c>
      <c r="V944" s="11" t="s">
        <v>41</v>
      </c>
      <c r="W944" s="11">
        <v>50000000</v>
      </c>
      <c r="X944" s="11">
        <v>2016</v>
      </c>
      <c r="Y944" s="11">
        <v>919</v>
      </c>
      <c r="Z944" s="11">
        <v>6.6</v>
      </c>
      <c r="AA944" s="11">
        <v>2.35</v>
      </c>
      <c r="AB944" s="11">
        <v>10000</v>
      </c>
      <c r="AC944" s="11"/>
      <c r="AD944" s="11" t="str">
        <f>IFERROR(__xludf.DUMMYFUNCTION("""COMPUTED_VALUE"""),"Keegan-Michael Key")</f>
        <v>Keegan-Michael Key</v>
      </c>
      <c r="AE944" s="11"/>
    </row>
    <row r="945" customHeight="1" spans="1:31">
      <c r="A945" s="12" t="s">
        <v>30</v>
      </c>
      <c r="B945" s="12" t="s">
        <v>1253</v>
      </c>
      <c r="C945" s="12">
        <v>65</v>
      </c>
      <c r="D945" s="12">
        <v>124</v>
      </c>
      <c r="E945" s="12">
        <v>0</v>
      </c>
      <c r="F945" s="12">
        <v>701</v>
      </c>
      <c r="G945" s="12">
        <v>8000</v>
      </c>
      <c r="H945" s="12">
        <v>91030827</v>
      </c>
      <c r="I945" s="12" t="s">
        <v>2528</v>
      </c>
      <c r="J945" s="12" t="s">
        <v>1529</v>
      </c>
      <c r="K945" s="12" t="s">
        <v>2621</v>
      </c>
      <c r="L945" s="12" t="s">
        <v>5065</v>
      </c>
      <c r="M945" s="12" t="s">
        <v>5066</v>
      </c>
      <c r="N945" s="12">
        <v>46482</v>
      </c>
      <c r="O945" s="12">
        <v>9988</v>
      </c>
      <c r="P945" s="12">
        <v>2</v>
      </c>
      <c r="Q945" s="12" t="s">
        <v>5067</v>
      </c>
      <c r="R945" s="15" t="s">
        <v>5068</v>
      </c>
      <c r="S945" s="12">
        <v>252</v>
      </c>
      <c r="T945" s="12" t="s">
        <v>39</v>
      </c>
      <c r="U945" s="12" t="s">
        <v>40</v>
      </c>
      <c r="V945" s="12" t="s">
        <v>41</v>
      </c>
      <c r="W945" s="12">
        <v>50000000</v>
      </c>
      <c r="X945" s="12">
        <v>1998</v>
      </c>
      <c r="Y945" s="12">
        <v>818</v>
      </c>
      <c r="Z945" s="12">
        <v>6.7</v>
      </c>
      <c r="AA945" s="12">
        <v>2.35</v>
      </c>
      <c r="AB945" s="12">
        <v>0</v>
      </c>
      <c r="AC945" s="12"/>
      <c r="AD945" s="12" t="str">
        <f>IFERROR(__xludf.DUMMYFUNCTION("""COMPUTED_VALUE"""),"Alexis Dziena")</f>
        <v>Alexis Dziena</v>
      </c>
      <c r="AE945" s="12"/>
    </row>
    <row r="946" customHeight="1" spans="1:31">
      <c r="A946" s="11" t="s">
        <v>30</v>
      </c>
      <c r="B946" s="11" t="s">
        <v>4517</v>
      </c>
      <c r="C946" s="11">
        <v>145</v>
      </c>
      <c r="D946" s="11">
        <v>96</v>
      </c>
      <c r="E946" s="11">
        <v>51</v>
      </c>
      <c r="F946" s="11">
        <v>322</v>
      </c>
      <c r="G946" s="11">
        <v>8000</v>
      </c>
      <c r="H946" s="11">
        <v>150315155</v>
      </c>
      <c r="I946" s="11" t="s">
        <v>3057</v>
      </c>
      <c r="J946" s="11" t="s">
        <v>1249</v>
      </c>
      <c r="K946" s="11" t="s">
        <v>2478</v>
      </c>
      <c r="L946" s="11" t="s">
        <v>5069</v>
      </c>
      <c r="M946" s="11" t="s">
        <v>5070</v>
      </c>
      <c r="N946" s="11">
        <v>54010</v>
      </c>
      <c r="O946" s="11">
        <v>10886</v>
      </c>
      <c r="P946" s="11">
        <v>2</v>
      </c>
      <c r="Q946" s="11" t="s">
        <v>5071</v>
      </c>
      <c r="R946" s="14" t="s">
        <v>5072</v>
      </c>
      <c r="S946" s="11">
        <v>130</v>
      </c>
      <c r="T946" s="11" t="s">
        <v>39</v>
      </c>
      <c r="U946" s="11" t="s">
        <v>40</v>
      </c>
      <c r="V946" s="11" t="s">
        <v>41</v>
      </c>
      <c r="W946" s="11">
        <v>50000000</v>
      </c>
      <c r="X946" s="11">
        <v>2015</v>
      </c>
      <c r="Y946" s="11">
        <v>2000</v>
      </c>
      <c r="Z946" s="11">
        <v>6.1</v>
      </c>
      <c r="AA946" s="11">
        <v>1.85</v>
      </c>
      <c r="AB946" s="11">
        <v>13000</v>
      </c>
      <c r="AC946" s="11"/>
      <c r="AD946" s="11" t="str">
        <f>IFERROR(__xludf.DUMMYFUNCTION("""COMPUTED_VALUE"""),"Maude Apatow")</f>
        <v>Maude Apatow</v>
      </c>
      <c r="AE946" s="11"/>
    </row>
    <row r="947" customHeight="1" spans="1:31">
      <c r="A947" s="12" t="s">
        <v>30</v>
      </c>
      <c r="B947" s="12" t="s">
        <v>158</v>
      </c>
      <c r="C947" s="12">
        <v>321</v>
      </c>
      <c r="D947" s="12">
        <v>125</v>
      </c>
      <c r="E947" s="12">
        <v>252</v>
      </c>
      <c r="F947" s="12">
        <v>10000</v>
      </c>
      <c r="G947" s="12">
        <v>40000</v>
      </c>
      <c r="H947" s="12">
        <v>127997349</v>
      </c>
      <c r="I947" s="12" t="s">
        <v>5073</v>
      </c>
      <c r="J947" s="12" t="s">
        <v>44</v>
      </c>
      <c r="K947" s="12" t="s">
        <v>2377</v>
      </c>
      <c r="L947" s="12" t="s">
        <v>2456</v>
      </c>
      <c r="M947" s="12" t="s">
        <v>5074</v>
      </c>
      <c r="N947" s="12">
        <v>101178</v>
      </c>
      <c r="O947" s="12">
        <v>62837</v>
      </c>
      <c r="P947" s="12">
        <v>1</v>
      </c>
      <c r="Q947" s="12" t="s">
        <v>5075</v>
      </c>
      <c r="R947" s="15" t="s">
        <v>5076</v>
      </c>
      <c r="S947" s="12">
        <v>779</v>
      </c>
      <c r="T947" s="12" t="s">
        <v>39</v>
      </c>
      <c r="U947" s="12" t="s">
        <v>40</v>
      </c>
      <c r="V947" s="12" t="s">
        <v>96</v>
      </c>
      <c r="W947" s="12">
        <v>50000000</v>
      </c>
      <c r="X947" s="12">
        <v>2014</v>
      </c>
      <c r="Y947" s="12">
        <v>11000</v>
      </c>
      <c r="Z947" s="12">
        <v>6</v>
      </c>
      <c r="AA947" s="12">
        <v>2.39</v>
      </c>
      <c r="AB947" s="12">
        <v>90000</v>
      </c>
      <c r="AC947" s="12"/>
      <c r="AD947" s="12" t="str">
        <f>IFERROR(__xludf.DUMMYFUNCTION("""COMPUTED_VALUE"""),"Frances Fisher")</f>
        <v>Frances Fisher</v>
      </c>
      <c r="AE947" s="12"/>
    </row>
    <row r="948" customHeight="1" spans="1:31">
      <c r="A948" s="11" t="s">
        <v>30</v>
      </c>
      <c r="B948" s="11" t="s">
        <v>5077</v>
      </c>
      <c r="C948" s="11">
        <v>230</v>
      </c>
      <c r="D948" s="11">
        <v>129</v>
      </c>
      <c r="E948" s="11">
        <v>0</v>
      </c>
      <c r="F948" s="11">
        <v>277</v>
      </c>
      <c r="G948" s="11">
        <v>18000</v>
      </c>
      <c r="H948" s="11">
        <v>88504640</v>
      </c>
      <c r="I948" s="11" t="s">
        <v>2142</v>
      </c>
      <c r="J948" s="11" t="s">
        <v>1727</v>
      </c>
      <c r="K948" s="11" t="s">
        <v>5078</v>
      </c>
      <c r="L948" s="11" t="s">
        <v>3392</v>
      </c>
      <c r="M948" s="11" t="s">
        <v>5079</v>
      </c>
      <c r="N948" s="11">
        <v>273108</v>
      </c>
      <c r="O948" s="11">
        <v>19148</v>
      </c>
      <c r="P948" s="11">
        <v>2</v>
      </c>
      <c r="Q948" s="11" t="s">
        <v>5080</v>
      </c>
      <c r="R948" s="14" t="s">
        <v>5081</v>
      </c>
      <c r="S948" s="11">
        <v>646</v>
      </c>
      <c r="T948" s="11" t="s">
        <v>39</v>
      </c>
      <c r="U948" s="11" t="s">
        <v>40</v>
      </c>
      <c r="V948" s="11" t="s">
        <v>586</v>
      </c>
      <c r="W948" s="11">
        <v>45000000</v>
      </c>
      <c r="X948" s="11">
        <v>2006</v>
      </c>
      <c r="Y948" s="11">
        <v>412</v>
      </c>
      <c r="Z948" s="11">
        <v>7.6</v>
      </c>
      <c r="AA948" s="11">
        <v>2.35</v>
      </c>
      <c r="AB948" s="11">
        <v>0</v>
      </c>
      <c r="AC948" s="11"/>
      <c r="AD948" s="11" t="str">
        <f>IFERROR(__xludf.DUMMYFUNCTION("""COMPUTED_VALUE"""),"Tim McGraw")</f>
        <v>Tim McGraw</v>
      </c>
      <c r="AE948" s="11"/>
    </row>
    <row r="949" customHeight="1" spans="1:31">
      <c r="A949" s="12" t="s">
        <v>30</v>
      </c>
      <c r="B949" s="12" t="s">
        <v>5082</v>
      </c>
      <c r="C949" s="12">
        <v>143</v>
      </c>
      <c r="D949" s="12">
        <v>90</v>
      </c>
      <c r="E949" s="12">
        <v>241</v>
      </c>
      <c r="F949" s="12">
        <v>416</v>
      </c>
      <c r="G949" s="12">
        <v>1000</v>
      </c>
      <c r="H949" s="12">
        <v>81517441</v>
      </c>
      <c r="I949" s="12" t="s">
        <v>464</v>
      </c>
      <c r="J949" s="12" t="s">
        <v>5083</v>
      </c>
      <c r="K949" s="12" t="s">
        <v>5084</v>
      </c>
      <c r="L949" s="12" t="s">
        <v>3697</v>
      </c>
      <c r="M949" s="12" t="s">
        <v>5085</v>
      </c>
      <c r="N949" s="12">
        <v>111368</v>
      </c>
      <c r="O949" s="12">
        <v>3148</v>
      </c>
      <c r="P949" s="12">
        <v>1</v>
      </c>
      <c r="Q949" s="12" t="s">
        <v>5086</v>
      </c>
      <c r="R949" s="15" t="s">
        <v>5087</v>
      </c>
      <c r="S949" s="12">
        <v>394</v>
      </c>
      <c r="T949" s="12" t="s">
        <v>39</v>
      </c>
      <c r="U949" s="12" t="s">
        <v>40</v>
      </c>
      <c r="V949" s="12" t="s">
        <v>586</v>
      </c>
      <c r="W949" s="12">
        <v>50000000</v>
      </c>
      <c r="X949" s="12">
        <v>1999</v>
      </c>
      <c r="Y949" s="12">
        <v>495</v>
      </c>
      <c r="Z949" s="12">
        <v>7.1</v>
      </c>
      <c r="AA949" s="12">
        <v>2.35</v>
      </c>
      <c r="AB949" s="12">
        <v>0</v>
      </c>
      <c r="AC949" s="12"/>
      <c r="AD949" s="12" t="str">
        <f>IFERROR(__xludf.DUMMYFUNCTION("""COMPUTED_VALUE"""),"Gary Cole")</f>
        <v>Gary Cole</v>
      </c>
      <c r="AE949" s="12"/>
    </row>
    <row r="950" customHeight="1" spans="1:31">
      <c r="A950" s="11" t="s">
        <v>30</v>
      </c>
      <c r="B950" s="11" t="s">
        <v>5088</v>
      </c>
      <c r="C950" s="11">
        <v>55</v>
      </c>
      <c r="D950" s="11">
        <v>109</v>
      </c>
      <c r="E950" s="11">
        <v>155</v>
      </c>
      <c r="F950" s="11">
        <v>293</v>
      </c>
      <c r="G950" s="11">
        <v>426</v>
      </c>
      <c r="H950" s="11">
        <v>81022333</v>
      </c>
      <c r="I950" s="11" t="s">
        <v>1428</v>
      </c>
      <c r="J950" s="11" t="s">
        <v>5089</v>
      </c>
      <c r="K950" s="11" t="s">
        <v>1519</v>
      </c>
      <c r="L950" s="11" t="s">
        <v>1492</v>
      </c>
      <c r="M950" s="11" t="s">
        <v>5090</v>
      </c>
      <c r="N950" s="11">
        <v>34471</v>
      </c>
      <c r="O950" s="11">
        <v>1761</v>
      </c>
      <c r="P950" s="11">
        <v>0</v>
      </c>
      <c r="Q950" s="11" t="s">
        <v>5091</v>
      </c>
      <c r="R950" s="14" t="s">
        <v>5092</v>
      </c>
      <c r="S950" s="11">
        <v>147</v>
      </c>
      <c r="T950" s="11" t="s">
        <v>39</v>
      </c>
      <c r="U950" s="11" t="s">
        <v>40</v>
      </c>
      <c r="V950" s="11" t="s">
        <v>41</v>
      </c>
      <c r="W950" s="11">
        <v>50000000</v>
      </c>
      <c r="X950" s="11">
        <v>1995</v>
      </c>
      <c r="Y950" s="11">
        <v>387</v>
      </c>
      <c r="Z950" s="11">
        <v>5</v>
      </c>
      <c r="AA950" s="11">
        <v>1.85</v>
      </c>
      <c r="AB950" s="11">
        <v>0</v>
      </c>
      <c r="AC950" s="11"/>
      <c r="AD950" s="11" t="str">
        <f>IFERROR(__xludf.DUMMYFUNCTION("""COMPUTED_VALUE"""),"Raven-Symoné")</f>
        <v>Raven-Symoné</v>
      </c>
      <c r="AE950" s="11"/>
    </row>
    <row r="951" customHeight="1" spans="1:31">
      <c r="A951" s="12" t="s">
        <v>30</v>
      </c>
      <c r="B951" s="12" t="s">
        <v>3348</v>
      </c>
      <c r="C951" s="12">
        <v>257</v>
      </c>
      <c r="D951" s="12">
        <v>124</v>
      </c>
      <c r="E951" s="12">
        <v>488</v>
      </c>
      <c r="F951" s="12">
        <v>1000</v>
      </c>
      <c r="G951" s="12">
        <v>19000</v>
      </c>
      <c r="H951" s="12">
        <v>75621915</v>
      </c>
      <c r="I951" s="12" t="s">
        <v>3932</v>
      </c>
      <c r="J951" s="12" t="s">
        <v>100</v>
      </c>
      <c r="K951" s="12" t="s">
        <v>1158</v>
      </c>
      <c r="L951" s="12" t="s">
        <v>1260</v>
      </c>
      <c r="M951" s="12" t="s">
        <v>5093</v>
      </c>
      <c r="N951" s="12">
        <v>111003</v>
      </c>
      <c r="O951" s="12">
        <v>36873</v>
      </c>
      <c r="P951" s="12">
        <v>3</v>
      </c>
      <c r="Q951" s="12" t="s">
        <v>5094</v>
      </c>
      <c r="R951" s="15" t="s">
        <v>5095</v>
      </c>
      <c r="S951" s="12">
        <v>199</v>
      </c>
      <c r="T951" s="12" t="s">
        <v>39</v>
      </c>
      <c r="U951" s="12" t="s">
        <v>40</v>
      </c>
      <c r="V951" s="12" t="s">
        <v>96</v>
      </c>
      <c r="W951" s="16"/>
      <c r="X951" s="12">
        <v>2011</v>
      </c>
      <c r="Y951" s="12">
        <v>13000</v>
      </c>
      <c r="Z951" s="12">
        <v>7.1</v>
      </c>
      <c r="AA951" s="12">
        <v>1.85</v>
      </c>
      <c r="AB951" s="12">
        <v>22000</v>
      </c>
      <c r="AC951" s="12"/>
      <c r="AD951" s="12" t="str">
        <f>IFERROR(__xludf.DUMMYFUNCTION("""COMPUTED_VALUE"""),"Kevin Pollak")</f>
        <v>Kevin Pollak</v>
      </c>
      <c r="AE951" s="12"/>
    </row>
    <row r="952" customHeight="1" spans="1:31">
      <c r="A952" s="11" t="s">
        <v>30</v>
      </c>
      <c r="B952" s="11" t="s">
        <v>1040</v>
      </c>
      <c r="C952" s="11">
        <v>279</v>
      </c>
      <c r="D952" s="11">
        <v>121</v>
      </c>
      <c r="E952" s="11">
        <v>295</v>
      </c>
      <c r="F952" s="11">
        <v>329</v>
      </c>
      <c r="G952" s="11">
        <v>12000</v>
      </c>
      <c r="H952" s="11">
        <v>79948113</v>
      </c>
      <c r="I952" s="11" t="s">
        <v>2202</v>
      </c>
      <c r="J952" s="11" t="s">
        <v>705</v>
      </c>
      <c r="K952" s="11" t="s">
        <v>1025</v>
      </c>
      <c r="L952" s="11" t="s">
        <v>5096</v>
      </c>
      <c r="M952" s="11" t="s">
        <v>5097</v>
      </c>
      <c r="N952" s="11">
        <v>186879</v>
      </c>
      <c r="O952" s="11">
        <v>13421</v>
      </c>
      <c r="P952" s="11">
        <v>0</v>
      </c>
      <c r="Q952" s="11" t="s">
        <v>5098</v>
      </c>
      <c r="R952" s="14" t="s">
        <v>5099</v>
      </c>
      <c r="S952" s="11">
        <v>791</v>
      </c>
      <c r="T952" s="11" t="s">
        <v>39</v>
      </c>
      <c r="U952" s="11" t="s">
        <v>40</v>
      </c>
      <c r="V952" s="11" t="s">
        <v>41</v>
      </c>
      <c r="W952" s="11">
        <v>50000000</v>
      </c>
      <c r="X952" s="11">
        <v>2009</v>
      </c>
      <c r="Y952" s="11">
        <v>748</v>
      </c>
      <c r="Z952" s="11">
        <v>6.2</v>
      </c>
      <c r="AA952" s="11">
        <v>2.35</v>
      </c>
      <c r="AB952" s="11">
        <v>0</v>
      </c>
      <c r="AC952" s="11"/>
      <c r="AD952" s="11" t="str">
        <f>IFERROR(__xludf.DUMMYFUNCTION("""COMPUTED_VALUE"""),"Mhairi Calvey")</f>
        <v>Mhairi Calvey</v>
      </c>
      <c r="AE952" s="11"/>
    </row>
    <row r="953" customHeight="1" spans="1:31">
      <c r="A953" s="12" t="s">
        <v>30</v>
      </c>
      <c r="B953" s="12" t="s">
        <v>4674</v>
      </c>
      <c r="C953" s="12">
        <v>143</v>
      </c>
      <c r="D953" s="12">
        <v>95</v>
      </c>
      <c r="E953" s="12">
        <v>9</v>
      </c>
      <c r="F953" s="12">
        <v>11000</v>
      </c>
      <c r="G953" s="12">
        <v>14000</v>
      </c>
      <c r="H953" s="12">
        <v>88658172</v>
      </c>
      <c r="I953" s="12" t="s">
        <v>1681</v>
      </c>
      <c r="J953" s="12" t="s">
        <v>655</v>
      </c>
      <c r="K953" s="12" t="s">
        <v>661</v>
      </c>
      <c r="L953" s="12" t="s">
        <v>1950</v>
      </c>
      <c r="M953" s="12" t="s">
        <v>5100</v>
      </c>
      <c r="N953" s="12">
        <v>58412</v>
      </c>
      <c r="O953" s="12">
        <v>37967</v>
      </c>
      <c r="P953" s="12">
        <v>2</v>
      </c>
      <c r="Q953" s="12" t="s">
        <v>5101</v>
      </c>
      <c r="R953" s="15" t="s">
        <v>5102</v>
      </c>
      <c r="S953" s="12">
        <v>242</v>
      </c>
      <c r="T953" s="12" t="s">
        <v>39</v>
      </c>
      <c r="U953" s="12" t="s">
        <v>40</v>
      </c>
      <c r="V953" s="12" t="s">
        <v>41</v>
      </c>
      <c r="W953" s="12">
        <v>50000000</v>
      </c>
      <c r="X953" s="12">
        <v>2006</v>
      </c>
      <c r="Y953" s="12">
        <v>11000</v>
      </c>
      <c r="Z953" s="12">
        <v>5.6</v>
      </c>
      <c r="AA953" s="12">
        <v>2.35</v>
      </c>
      <c r="AB953" s="12">
        <v>2000</v>
      </c>
      <c r="AC953" s="12"/>
      <c r="AD953" s="12" t="str">
        <f>IFERROR(__xludf.DUMMYFUNCTION("""COMPUTED_VALUE"""),"Patrick McGoohan")</f>
        <v>Patrick McGoohan</v>
      </c>
      <c r="AE953" s="12"/>
    </row>
    <row r="954" customHeight="1" spans="1:31">
      <c r="A954" s="11" t="s">
        <v>30</v>
      </c>
      <c r="B954" s="11" t="s">
        <v>5103</v>
      </c>
      <c r="C954" s="11">
        <v>196</v>
      </c>
      <c r="D954" s="11">
        <v>128</v>
      </c>
      <c r="E954" s="11">
        <v>62</v>
      </c>
      <c r="F954" s="11">
        <v>874</v>
      </c>
      <c r="G954" s="11">
        <v>6000</v>
      </c>
      <c r="H954" s="11">
        <v>75888270</v>
      </c>
      <c r="I954" s="11" t="s">
        <v>5104</v>
      </c>
      <c r="J954" s="11" t="s">
        <v>208</v>
      </c>
      <c r="K954" s="11" t="s">
        <v>3230</v>
      </c>
      <c r="L954" s="11" t="s">
        <v>5105</v>
      </c>
      <c r="M954" s="11" t="s">
        <v>5106</v>
      </c>
      <c r="N954" s="11">
        <v>71153</v>
      </c>
      <c r="O954" s="11">
        <v>10163</v>
      </c>
      <c r="P954" s="11">
        <v>0</v>
      </c>
      <c r="Q954" s="11" t="s">
        <v>5107</v>
      </c>
      <c r="R954" s="14" t="s">
        <v>5108</v>
      </c>
      <c r="S954" s="11">
        <v>560</v>
      </c>
      <c r="T954" s="11" t="s">
        <v>39</v>
      </c>
      <c r="U954" s="11" t="s">
        <v>40</v>
      </c>
      <c r="V954" s="11" t="s">
        <v>41</v>
      </c>
      <c r="W954" s="13"/>
      <c r="X954" s="11">
        <v>2005</v>
      </c>
      <c r="Y954" s="11">
        <v>989</v>
      </c>
      <c r="Z954" s="11">
        <v>5.4</v>
      </c>
      <c r="AA954" s="11">
        <v>1.85</v>
      </c>
      <c r="AB954" s="11">
        <v>0</v>
      </c>
      <c r="AC954" s="11"/>
      <c r="AD954" s="11" t="str">
        <f>IFERROR(__xludf.DUMMYFUNCTION("""COMPUTED_VALUE"""),"James Robinson")</f>
        <v>James Robinson</v>
      </c>
      <c r="AE954" s="11"/>
    </row>
    <row r="955" customHeight="1" spans="1:31">
      <c r="A955" s="12" t="s">
        <v>30</v>
      </c>
      <c r="B955" s="12" t="s">
        <v>3740</v>
      </c>
      <c r="C955" s="12">
        <v>310</v>
      </c>
      <c r="D955" s="12">
        <v>118</v>
      </c>
      <c r="E955" s="12">
        <v>43</v>
      </c>
      <c r="F955" s="12">
        <v>7000</v>
      </c>
      <c r="G955" s="12">
        <v>33000</v>
      </c>
      <c r="H955" s="12">
        <v>84244877</v>
      </c>
      <c r="I955" s="12" t="s">
        <v>1415</v>
      </c>
      <c r="J955" s="12" t="s">
        <v>4214</v>
      </c>
      <c r="K955" s="12" t="s">
        <v>182</v>
      </c>
      <c r="L955" s="12" t="s">
        <v>518</v>
      </c>
      <c r="M955" s="12" t="s">
        <v>5109</v>
      </c>
      <c r="N955" s="12">
        <v>375456</v>
      </c>
      <c r="O955" s="12">
        <v>57426</v>
      </c>
      <c r="P955" s="12">
        <v>7</v>
      </c>
      <c r="Q955" s="12" t="s">
        <v>5110</v>
      </c>
      <c r="R955" s="15" t="s">
        <v>5111</v>
      </c>
      <c r="S955" s="12">
        <v>292</v>
      </c>
      <c r="T955" s="12" t="s">
        <v>39</v>
      </c>
      <c r="U955" s="12" t="s">
        <v>40</v>
      </c>
      <c r="V955" s="12" t="s">
        <v>41</v>
      </c>
      <c r="W955" s="12">
        <v>50000000</v>
      </c>
      <c r="X955" s="12">
        <v>2011</v>
      </c>
      <c r="Y955" s="12">
        <v>15000</v>
      </c>
      <c r="Z955" s="12">
        <v>7.4</v>
      </c>
      <c r="AA955" s="12">
        <v>2.39</v>
      </c>
      <c r="AB955" s="12">
        <v>44000</v>
      </c>
      <c r="AC955" s="12"/>
      <c r="AD955" s="12" t="str">
        <f>IFERROR(__xludf.DUMMYFUNCTION("""COMPUTED_VALUE"""),"Brian Geraghty")</f>
        <v>Brian Geraghty</v>
      </c>
      <c r="AE955" s="12"/>
    </row>
    <row r="956" customHeight="1" spans="1:31">
      <c r="A956" s="11" t="s">
        <v>30</v>
      </c>
      <c r="B956" s="11" t="s">
        <v>5112</v>
      </c>
      <c r="C956" s="11">
        <v>116</v>
      </c>
      <c r="D956" s="11">
        <v>80</v>
      </c>
      <c r="E956" s="11">
        <v>12</v>
      </c>
      <c r="F956" s="11">
        <v>58</v>
      </c>
      <c r="G956" s="11">
        <v>13000</v>
      </c>
      <c r="H956" s="11">
        <v>75367693</v>
      </c>
      <c r="I956" s="11" t="s">
        <v>793</v>
      </c>
      <c r="J956" s="11" t="s">
        <v>549</v>
      </c>
      <c r="K956" s="11" t="s">
        <v>5113</v>
      </c>
      <c r="L956" s="11" t="s">
        <v>5114</v>
      </c>
      <c r="M956" s="11" t="s">
        <v>5115</v>
      </c>
      <c r="N956" s="11">
        <v>58961</v>
      </c>
      <c r="O956" s="11">
        <v>13430</v>
      </c>
      <c r="P956" s="11">
        <v>0</v>
      </c>
      <c r="Q956" s="11" t="s">
        <v>5116</v>
      </c>
      <c r="R956" s="14" t="s">
        <v>5117</v>
      </c>
      <c r="S956" s="11">
        <v>232</v>
      </c>
      <c r="T956" s="11" t="s">
        <v>39</v>
      </c>
      <c r="U956" s="11" t="s">
        <v>40</v>
      </c>
      <c r="V956" s="11" t="s">
        <v>96</v>
      </c>
      <c r="W956" s="11">
        <v>35000000</v>
      </c>
      <c r="X956" s="11">
        <v>2004</v>
      </c>
      <c r="Y956" s="11">
        <v>258</v>
      </c>
      <c r="Z956" s="11">
        <v>5</v>
      </c>
      <c r="AA956" s="11">
        <v>1.85</v>
      </c>
      <c r="AB956" s="11">
        <v>795</v>
      </c>
      <c r="AC956" s="11"/>
      <c r="AD956" s="11" t="str">
        <f>IFERROR(__xludf.DUMMYFUNCTION("""COMPUTED_VALUE"""),"James Morrison")</f>
        <v>James Morrison</v>
      </c>
      <c r="AE956" s="11"/>
    </row>
    <row r="957" customHeight="1" spans="1:31">
      <c r="A957" s="12" t="s">
        <v>30</v>
      </c>
      <c r="B957" s="12" t="s">
        <v>5118</v>
      </c>
      <c r="C957" s="12">
        <v>105</v>
      </c>
      <c r="D957" s="12">
        <v>99</v>
      </c>
      <c r="E957" s="12">
        <v>148</v>
      </c>
      <c r="F957" s="12">
        <v>660</v>
      </c>
      <c r="G957" s="12">
        <v>2000</v>
      </c>
      <c r="H957" s="12">
        <v>73701902</v>
      </c>
      <c r="I957" s="12" t="s">
        <v>3057</v>
      </c>
      <c r="J957" s="12" t="s">
        <v>1734</v>
      </c>
      <c r="K957" s="12" t="s">
        <v>3299</v>
      </c>
      <c r="L957" s="12" t="s">
        <v>1842</v>
      </c>
      <c r="M957" s="12" t="s">
        <v>5119</v>
      </c>
      <c r="N957" s="12">
        <v>27548</v>
      </c>
      <c r="O957" s="12">
        <v>6729</v>
      </c>
      <c r="P957" s="12">
        <v>1</v>
      </c>
      <c r="Q957" s="12" t="s">
        <v>5120</v>
      </c>
      <c r="R957" s="15" t="s">
        <v>5121</v>
      </c>
      <c r="S957" s="12">
        <v>209</v>
      </c>
      <c r="T957" s="12" t="s">
        <v>39</v>
      </c>
      <c r="U957" s="12" t="s">
        <v>40</v>
      </c>
      <c r="V957" s="12" t="s">
        <v>96</v>
      </c>
      <c r="W957" s="12">
        <v>60000000</v>
      </c>
      <c r="X957" s="12">
        <v>2004</v>
      </c>
      <c r="Y957" s="12">
        <v>843</v>
      </c>
      <c r="Z957" s="12">
        <v>5.2</v>
      </c>
      <c r="AA957" s="12">
        <v>2.35</v>
      </c>
      <c r="AB957" s="12">
        <v>0</v>
      </c>
      <c r="AC957" s="12"/>
      <c r="AD957" s="12" t="str">
        <f>IFERROR(__xludf.DUMMYFUNCTION("""COMPUTED_VALUE"""),"Yeardley Smith")</f>
        <v>Yeardley Smith</v>
      </c>
      <c r="AE957" s="12"/>
    </row>
    <row r="958" customHeight="1" spans="1:31">
      <c r="A958" s="11" t="s">
        <v>30</v>
      </c>
      <c r="B958" s="11" t="s">
        <v>5122</v>
      </c>
      <c r="C958" s="11">
        <v>419</v>
      </c>
      <c r="D958" s="11">
        <v>133</v>
      </c>
      <c r="E958" s="11">
        <v>152</v>
      </c>
      <c r="F958" s="11">
        <v>11000</v>
      </c>
      <c r="G958" s="11">
        <v>22000</v>
      </c>
      <c r="H958" s="11">
        <v>75605492</v>
      </c>
      <c r="I958" s="11" t="s">
        <v>1635</v>
      </c>
      <c r="J958" s="11" t="s">
        <v>699</v>
      </c>
      <c r="K958" s="11" t="s">
        <v>438</v>
      </c>
      <c r="L958" s="11" t="s">
        <v>343</v>
      </c>
      <c r="M958" s="11" t="s">
        <v>5123</v>
      </c>
      <c r="N958" s="11">
        <v>283563</v>
      </c>
      <c r="O958" s="11">
        <v>53094</v>
      </c>
      <c r="P958" s="11">
        <v>1</v>
      </c>
      <c r="Q958" s="11" t="s">
        <v>5124</v>
      </c>
      <c r="R958" s="14" t="s">
        <v>5125</v>
      </c>
      <c r="S958" s="11">
        <v>312</v>
      </c>
      <c r="T958" s="11" t="s">
        <v>39</v>
      </c>
      <c r="U958" s="11" t="s">
        <v>40</v>
      </c>
      <c r="V958" s="11" t="s">
        <v>41</v>
      </c>
      <c r="W958" s="11">
        <v>50000000</v>
      </c>
      <c r="X958" s="11">
        <v>2011</v>
      </c>
      <c r="Y958" s="11">
        <v>18000</v>
      </c>
      <c r="Z958" s="11">
        <v>7.6</v>
      </c>
      <c r="AA958" s="11">
        <v>1.85</v>
      </c>
      <c r="AB958" s="11">
        <v>27000</v>
      </c>
      <c r="AC958" s="11"/>
      <c r="AD958" s="11" t="str">
        <f>IFERROR(__xludf.DUMMYFUNCTION("""COMPUTED_VALUE"""),"Marcia Wallace")</f>
        <v>Marcia Wallace</v>
      </c>
      <c r="AE958" s="11"/>
    </row>
    <row r="959" customHeight="1" spans="1:31">
      <c r="A959" s="12" t="s">
        <v>30</v>
      </c>
      <c r="B959" s="12" t="s">
        <v>711</v>
      </c>
      <c r="C959" s="12">
        <v>64</v>
      </c>
      <c r="D959" s="12">
        <v>127</v>
      </c>
      <c r="E959" s="12">
        <v>249</v>
      </c>
      <c r="F959" s="12">
        <v>808</v>
      </c>
      <c r="G959" s="12">
        <v>18000</v>
      </c>
      <c r="H959" s="12">
        <v>67823573</v>
      </c>
      <c r="I959" s="12" t="s">
        <v>923</v>
      </c>
      <c r="J959" s="12" t="s">
        <v>120</v>
      </c>
      <c r="K959" s="12" t="s">
        <v>466</v>
      </c>
      <c r="L959" s="12" t="s">
        <v>1060</v>
      </c>
      <c r="M959" s="12" t="s">
        <v>5126</v>
      </c>
      <c r="N959" s="12">
        <v>91176</v>
      </c>
      <c r="O959" s="12">
        <v>30383</v>
      </c>
      <c r="P959" s="12">
        <v>3</v>
      </c>
      <c r="Q959" s="12" t="s">
        <v>5127</v>
      </c>
      <c r="R959" s="15" t="s">
        <v>5128</v>
      </c>
      <c r="S959" s="12">
        <v>130</v>
      </c>
      <c r="T959" s="12" t="s">
        <v>39</v>
      </c>
      <c r="U959" s="12" t="s">
        <v>40</v>
      </c>
      <c r="V959" s="12" t="s">
        <v>586</v>
      </c>
      <c r="W959" s="12">
        <v>50000000</v>
      </c>
      <c r="X959" s="12">
        <v>1995</v>
      </c>
      <c r="Y959" s="12">
        <v>11000</v>
      </c>
      <c r="Z959" s="12">
        <v>6.6</v>
      </c>
      <c r="AA959" s="12">
        <v>1.85</v>
      </c>
      <c r="AB959" s="12">
        <v>0</v>
      </c>
      <c r="AC959" s="12"/>
      <c r="AD959" s="12" t="str">
        <f>IFERROR(__xludf.DUMMYFUNCTION("""COMPUTED_VALUE"""),"Martin Landau")</f>
        <v>Martin Landau</v>
      </c>
      <c r="AE959" s="12"/>
    </row>
    <row r="960" customHeight="1" spans="1:31">
      <c r="A960" s="11" t="s">
        <v>30</v>
      </c>
      <c r="B960" s="11" t="s">
        <v>5129</v>
      </c>
      <c r="C960" s="11">
        <v>359</v>
      </c>
      <c r="D960" s="11">
        <v>106</v>
      </c>
      <c r="E960" s="11">
        <v>174</v>
      </c>
      <c r="F960" s="11">
        <v>660</v>
      </c>
      <c r="G960" s="11">
        <v>14000</v>
      </c>
      <c r="H960" s="11">
        <v>91439400</v>
      </c>
      <c r="I960" s="11" t="s">
        <v>1157</v>
      </c>
      <c r="J960" s="11" t="s">
        <v>228</v>
      </c>
      <c r="K960" s="11" t="s">
        <v>4505</v>
      </c>
      <c r="L960" s="11" t="s">
        <v>5130</v>
      </c>
      <c r="M960" s="11" t="s">
        <v>5131</v>
      </c>
      <c r="N960" s="11">
        <v>200647</v>
      </c>
      <c r="O960" s="11">
        <v>16967</v>
      </c>
      <c r="P960" s="11">
        <v>0</v>
      </c>
      <c r="Q960" s="11" t="s">
        <v>5132</v>
      </c>
      <c r="R960" s="14" t="s">
        <v>5133</v>
      </c>
      <c r="S960" s="11">
        <v>384</v>
      </c>
      <c r="T960" s="11" t="s">
        <v>39</v>
      </c>
      <c r="U960" s="11" t="s">
        <v>58</v>
      </c>
      <c r="V960" s="11" t="s">
        <v>41</v>
      </c>
      <c r="W960" s="11">
        <v>50000000</v>
      </c>
      <c r="X960" s="11">
        <v>2014</v>
      </c>
      <c r="Y960" s="11">
        <v>664</v>
      </c>
      <c r="Z960" s="11">
        <v>7</v>
      </c>
      <c r="AA960" s="11">
        <v>2.35</v>
      </c>
      <c r="AB960" s="11">
        <v>24000</v>
      </c>
      <c r="AC960" s="11"/>
      <c r="AD960" s="11" t="str">
        <f>IFERROR(__xludf.DUMMYFUNCTION("""COMPUTED_VALUE"""),"Jeffrey DeMunn")</f>
        <v>Jeffrey DeMunn</v>
      </c>
      <c r="AE960" s="11"/>
    </row>
    <row r="961" customHeight="1" spans="1:31">
      <c r="A961" s="12" t="s">
        <v>30</v>
      </c>
      <c r="B961" s="12" t="s">
        <v>5134</v>
      </c>
      <c r="C961" s="12">
        <v>166</v>
      </c>
      <c r="D961" s="12">
        <v>98</v>
      </c>
      <c r="E961" s="12">
        <v>99</v>
      </c>
      <c r="F961" s="12">
        <v>433</v>
      </c>
      <c r="G961" s="12">
        <v>12000</v>
      </c>
      <c r="H961" s="12">
        <v>67128202</v>
      </c>
      <c r="I961" s="12" t="s">
        <v>5135</v>
      </c>
      <c r="J961" s="12" t="s">
        <v>1073</v>
      </c>
      <c r="K961" s="12" t="s">
        <v>5136</v>
      </c>
      <c r="L961" s="12" t="s">
        <v>932</v>
      </c>
      <c r="M961" s="12" t="s">
        <v>5137</v>
      </c>
      <c r="N961" s="12">
        <v>43328</v>
      </c>
      <c r="O961" s="12">
        <v>14007</v>
      </c>
      <c r="P961" s="12">
        <v>3</v>
      </c>
      <c r="Q961" s="12" t="s">
        <v>5138</v>
      </c>
      <c r="R961" s="15" t="s">
        <v>5139</v>
      </c>
      <c r="S961" s="12">
        <v>110</v>
      </c>
      <c r="T961" s="12" t="s">
        <v>39</v>
      </c>
      <c r="U961" s="12" t="s">
        <v>40</v>
      </c>
      <c r="V961" s="12" t="s">
        <v>96</v>
      </c>
      <c r="W961" s="12">
        <v>65000000</v>
      </c>
      <c r="X961" s="12">
        <v>2009</v>
      </c>
      <c r="Y961" s="12">
        <v>536</v>
      </c>
      <c r="Z961" s="12">
        <v>5.7</v>
      </c>
      <c r="AA961" s="12">
        <v>2.35</v>
      </c>
      <c r="AB961" s="12">
        <v>0</v>
      </c>
      <c r="AC961" s="12"/>
      <c r="AD961" s="12" t="str">
        <f>IFERROR(__xludf.DUMMYFUNCTION("""COMPUTED_VALUE"""),"Cristián de la Fuente")</f>
        <v>Cristián de la Fuente</v>
      </c>
      <c r="AE961" s="12"/>
    </row>
    <row r="962" customHeight="1" spans="1:31">
      <c r="A962" s="11" t="s">
        <v>30</v>
      </c>
      <c r="B962" s="11" t="s">
        <v>5140</v>
      </c>
      <c r="C962" s="11">
        <v>525</v>
      </c>
      <c r="D962" s="11">
        <v>132</v>
      </c>
      <c r="E962" s="11">
        <v>160</v>
      </c>
      <c r="F962" s="11">
        <v>443</v>
      </c>
      <c r="G962" s="11">
        <v>20000</v>
      </c>
      <c r="H962" s="11">
        <v>70496802</v>
      </c>
      <c r="I962" s="11" t="s">
        <v>923</v>
      </c>
      <c r="J962" s="11" t="s">
        <v>842</v>
      </c>
      <c r="K962" s="11" t="s">
        <v>359</v>
      </c>
      <c r="L962" s="11" t="s">
        <v>5141</v>
      </c>
      <c r="M962" s="11" t="s">
        <v>5142</v>
      </c>
      <c r="N962" s="11">
        <v>791783</v>
      </c>
      <c r="O962" s="11">
        <v>22417</v>
      </c>
      <c r="P962" s="11">
        <v>1</v>
      </c>
      <c r="Q962" s="11" t="s">
        <v>5143</v>
      </c>
      <c r="R962" s="14" t="s">
        <v>5144</v>
      </c>
      <c r="S962" s="11">
        <v>2042</v>
      </c>
      <c r="T962" s="11" t="s">
        <v>39</v>
      </c>
      <c r="U962" s="11" t="s">
        <v>40</v>
      </c>
      <c r="V962" s="11" t="s">
        <v>586</v>
      </c>
      <c r="W962" s="11">
        <v>54000000</v>
      </c>
      <c r="X962" s="11">
        <v>2005</v>
      </c>
      <c r="Y962" s="11">
        <v>979</v>
      </c>
      <c r="Z962" s="11">
        <v>8.2</v>
      </c>
      <c r="AA962" s="11">
        <v>2.35</v>
      </c>
      <c r="AB962" s="11">
        <v>48000</v>
      </c>
      <c r="AC962" s="11"/>
      <c r="AD962" s="11" t="str">
        <f>IFERROR(__xludf.DUMMYFUNCTION("""COMPUTED_VALUE"""),"David Gant")</f>
        <v>David Gant</v>
      </c>
      <c r="AE962" s="11"/>
    </row>
    <row r="963" customHeight="1" spans="1:31">
      <c r="A963" s="12" t="s">
        <v>30</v>
      </c>
      <c r="B963" s="12" t="s">
        <v>4951</v>
      </c>
      <c r="C963" s="12">
        <v>165</v>
      </c>
      <c r="D963" s="12">
        <v>114</v>
      </c>
      <c r="E963" s="12">
        <v>71</v>
      </c>
      <c r="F963" s="12">
        <v>55</v>
      </c>
      <c r="G963" s="12">
        <v>154</v>
      </c>
      <c r="H963" s="12">
        <v>60470220</v>
      </c>
      <c r="I963" s="12" t="s">
        <v>1629</v>
      </c>
      <c r="J963" s="12" t="s">
        <v>5145</v>
      </c>
      <c r="K963" s="12" t="s">
        <v>5146</v>
      </c>
      <c r="L963" s="12" t="s">
        <v>5147</v>
      </c>
      <c r="M963" s="12" t="s">
        <v>5148</v>
      </c>
      <c r="N963" s="12">
        <v>81444</v>
      </c>
      <c r="O963" s="12">
        <v>428</v>
      </c>
      <c r="P963" s="12">
        <v>2</v>
      </c>
      <c r="Q963" s="12" t="s">
        <v>5149</v>
      </c>
      <c r="R963" s="15" t="s">
        <v>5150</v>
      </c>
      <c r="S963" s="12">
        <v>192</v>
      </c>
      <c r="T963" s="12" t="s">
        <v>39</v>
      </c>
      <c r="U963" s="12" t="s">
        <v>40</v>
      </c>
      <c r="V963" s="12" t="s">
        <v>41</v>
      </c>
      <c r="W963" s="12">
        <v>50000000</v>
      </c>
      <c r="X963" s="12">
        <v>2003</v>
      </c>
      <c r="Y963" s="12">
        <v>131</v>
      </c>
      <c r="Z963" s="12">
        <v>6.2</v>
      </c>
      <c r="AA963" s="12">
        <v>2.35</v>
      </c>
      <c r="AB963" s="12">
        <v>955</v>
      </c>
      <c r="AC963" s="12"/>
      <c r="AD963" s="12" t="str">
        <f>IFERROR(__xludf.DUMMYFUNCTION("""COMPUTED_VALUE"""),"Jean-Claude Dreyfus")</f>
        <v>Jean-Claude Dreyfus</v>
      </c>
      <c r="AE963" s="12"/>
    </row>
    <row r="964" customHeight="1" spans="1:31">
      <c r="A964" s="11" t="s">
        <v>30</v>
      </c>
      <c r="B964" s="13"/>
      <c r="C964" s="11">
        <v>2</v>
      </c>
      <c r="D964" s="11">
        <v>45</v>
      </c>
      <c r="E964" s="13"/>
      <c r="F964" s="11">
        <v>132</v>
      </c>
      <c r="G964" s="11">
        <v>416</v>
      </c>
      <c r="H964" s="13"/>
      <c r="I964" s="11" t="s">
        <v>1936</v>
      </c>
      <c r="J964" s="11" t="s">
        <v>2011</v>
      </c>
      <c r="K964" s="11" t="s">
        <v>5151</v>
      </c>
      <c r="L964" s="11" t="s">
        <v>5152</v>
      </c>
      <c r="M964" s="11" t="s">
        <v>5153</v>
      </c>
      <c r="N964" s="11">
        <v>1824</v>
      </c>
      <c r="O964" s="11">
        <v>1816</v>
      </c>
      <c r="P964" s="11">
        <v>2</v>
      </c>
      <c r="Q964" s="13"/>
      <c r="R964" s="14" t="s">
        <v>5154</v>
      </c>
      <c r="S964" s="11">
        <v>9</v>
      </c>
      <c r="T964" s="11" t="s">
        <v>39</v>
      </c>
      <c r="U964" s="11" t="s">
        <v>58</v>
      </c>
      <c r="V964" s="13"/>
      <c r="W964" s="13"/>
      <c r="X964" s="13"/>
      <c r="Y964" s="11">
        <v>171</v>
      </c>
      <c r="Z964" s="11">
        <v>7.9</v>
      </c>
      <c r="AA964" s="13"/>
      <c r="AB964" s="11">
        <v>0</v>
      </c>
      <c r="AC964" s="11"/>
      <c r="AD964" s="11" t="str">
        <f>IFERROR(__xludf.DUMMYFUNCTION("""COMPUTED_VALUE"""),"Oanh Nguyen")</f>
        <v>Oanh Nguyen</v>
      </c>
      <c r="AE964" s="11"/>
    </row>
    <row r="965" customHeight="1" spans="1:31">
      <c r="A965" s="12" t="s">
        <v>30</v>
      </c>
      <c r="B965" s="12" t="s">
        <v>5155</v>
      </c>
      <c r="C965" s="12">
        <v>87</v>
      </c>
      <c r="D965" s="12">
        <v>78</v>
      </c>
      <c r="E965" s="12">
        <v>5</v>
      </c>
      <c r="F965" s="12">
        <v>1000</v>
      </c>
      <c r="G965" s="12">
        <v>8000</v>
      </c>
      <c r="H965" s="12">
        <v>58336565</v>
      </c>
      <c r="I965" s="12" t="s">
        <v>471</v>
      </c>
      <c r="J965" s="12" t="s">
        <v>1249</v>
      </c>
      <c r="K965" s="12" t="s">
        <v>1986</v>
      </c>
      <c r="L965" s="12" t="s">
        <v>2007</v>
      </c>
      <c r="M965" s="12" t="s">
        <v>5156</v>
      </c>
      <c r="N965" s="12">
        <v>12845</v>
      </c>
      <c r="O965" s="12">
        <v>11124</v>
      </c>
      <c r="P965" s="12">
        <v>0</v>
      </c>
      <c r="Q965" s="12" t="s">
        <v>5157</v>
      </c>
      <c r="R965" s="15" t="s">
        <v>5158</v>
      </c>
      <c r="S965" s="12">
        <v>118</v>
      </c>
      <c r="T965" s="12" t="s">
        <v>39</v>
      </c>
      <c r="U965" s="12" t="s">
        <v>40</v>
      </c>
      <c r="V965" s="12" t="s">
        <v>278</v>
      </c>
      <c r="W965" s="12">
        <v>50000000</v>
      </c>
      <c r="X965" s="12">
        <v>2006</v>
      </c>
      <c r="Y965" s="12">
        <v>2000</v>
      </c>
      <c r="Z965" s="12">
        <v>6.6</v>
      </c>
      <c r="AA965" s="12">
        <v>1.85</v>
      </c>
      <c r="AB965" s="12">
        <v>624</v>
      </c>
      <c r="AC965" s="12"/>
      <c r="AD965" s="12" t="str">
        <f>IFERROR(__xludf.DUMMYFUNCTION("""COMPUTED_VALUE"""),"Peter Boyle")</f>
        <v>Peter Boyle</v>
      </c>
      <c r="AE965" s="12"/>
    </row>
    <row r="966" customHeight="1" spans="1:31">
      <c r="A966" s="11" t="s">
        <v>30</v>
      </c>
      <c r="B966" s="11" t="s">
        <v>5159</v>
      </c>
      <c r="C966" s="11">
        <v>117</v>
      </c>
      <c r="D966" s="11">
        <v>101</v>
      </c>
      <c r="E966" s="11">
        <v>23</v>
      </c>
      <c r="F966" s="11">
        <v>541</v>
      </c>
      <c r="G966" s="11">
        <v>660</v>
      </c>
      <c r="H966" s="11">
        <v>66002004</v>
      </c>
      <c r="I966" s="11" t="s">
        <v>5160</v>
      </c>
      <c r="J966" s="11" t="s">
        <v>5130</v>
      </c>
      <c r="K966" s="11" t="s">
        <v>5043</v>
      </c>
      <c r="L966" s="11" t="s">
        <v>5161</v>
      </c>
      <c r="M966" s="11" t="s">
        <v>5162</v>
      </c>
      <c r="N966" s="11">
        <v>36431</v>
      </c>
      <c r="O966" s="11">
        <v>2177</v>
      </c>
      <c r="P966" s="11">
        <v>1</v>
      </c>
      <c r="Q966" s="11" t="s">
        <v>5163</v>
      </c>
      <c r="R966" s="14" t="s">
        <v>5164</v>
      </c>
      <c r="S966" s="11">
        <v>168</v>
      </c>
      <c r="T966" s="11" t="s">
        <v>39</v>
      </c>
      <c r="U966" s="11" t="s">
        <v>40</v>
      </c>
      <c r="V966" s="11" t="s">
        <v>278</v>
      </c>
      <c r="W966" s="11">
        <v>50000000</v>
      </c>
      <c r="X966" s="11">
        <v>2005</v>
      </c>
      <c r="Y966" s="11">
        <v>651</v>
      </c>
      <c r="Z966" s="11">
        <v>4.7</v>
      </c>
      <c r="AA966" s="11">
        <v>1.85</v>
      </c>
      <c r="AB966" s="11">
        <v>1000</v>
      </c>
      <c r="AC966" s="11"/>
      <c r="AD966" s="11" t="str">
        <f>IFERROR(__xludf.DUMMYFUNCTION("""COMPUTED_VALUE"""),"Rory Culkin")</f>
        <v>Rory Culkin</v>
      </c>
      <c r="AE966" s="11"/>
    </row>
    <row r="967" customHeight="1" spans="1:31">
      <c r="A967" s="12" t="s">
        <v>30</v>
      </c>
      <c r="B967" s="12" t="s">
        <v>5165</v>
      </c>
      <c r="C967" s="12">
        <v>113</v>
      </c>
      <c r="D967" s="12">
        <v>113</v>
      </c>
      <c r="E967" s="12">
        <v>39</v>
      </c>
      <c r="F967" s="12">
        <v>477</v>
      </c>
      <c r="G967" s="12">
        <v>1000</v>
      </c>
      <c r="H967" s="12">
        <v>54997476</v>
      </c>
      <c r="I967" s="12" t="s">
        <v>2142</v>
      </c>
      <c r="J967" s="12" t="s">
        <v>430</v>
      </c>
      <c r="K967" s="12" t="s">
        <v>5166</v>
      </c>
      <c r="L967" s="12" t="s">
        <v>5167</v>
      </c>
      <c r="M967" s="12" t="s">
        <v>5168</v>
      </c>
      <c r="N967" s="12">
        <v>40362</v>
      </c>
      <c r="O967" s="12">
        <v>3341</v>
      </c>
      <c r="P967" s="12">
        <v>0</v>
      </c>
      <c r="Q967" s="12" t="s">
        <v>5169</v>
      </c>
      <c r="R967" s="15" t="s">
        <v>5170</v>
      </c>
      <c r="S967" s="12">
        <v>248</v>
      </c>
      <c r="T967" s="12" t="s">
        <v>39</v>
      </c>
      <c r="U967" s="12" t="s">
        <v>40</v>
      </c>
      <c r="V967" s="12" t="s">
        <v>586</v>
      </c>
      <c r="W967" s="12">
        <v>50000000</v>
      </c>
      <c r="X967" s="12">
        <v>2001</v>
      </c>
      <c r="Y967" s="12">
        <v>912</v>
      </c>
      <c r="Z967" s="12">
        <v>6.3</v>
      </c>
      <c r="AA967" s="12">
        <v>2.35</v>
      </c>
      <c r="AB967" s="12">
        <v>970</v>
      </c>
      <c r="AC967" s="12"/>
      <c r="AD967" s="12" t="str">
        <f>IFERROR(__xludf.DUMMYFUNCTION("""COMPUTED_VALUE"""),"Merritt Wever")</f>
        <v>Merritt Wever</v>
      </c>
      <c r="AE967" s="12"/>
    </row>
    <row r="968" customHeight="1" spans="1:31">
      <c r="A968" s="11" t="s">
        <v>30</v>
      </c>
      <c r="B968" s="11" t="s">
        <v>5171</v>
      </c>
      <c r="C968" s="11">
        <v>349</v>
      </c>
      <c r="D968" s="11">
        <v>98</v>
      </c>
      <c r="E968" s="11">
        <v>75</v>
      </c>
      <c r="F968" s="11">
        <v>467</v>
      </c>
      <c r="G968" s="11">
        <v>10000</v>
      </c>
      <c r="H968" s="11">
        <v>55682070</v>
      </c>
      <c r="I968" s="11" t="s">
        <v>3458</v>
      </c>
      <c r="J968" s="11" t="s">
        <v>888</v>
      </c>
      <c r="K968" s="11" t="s">
        <v>5172</v>
      </c>
      <c r="L968" s="11" t="s">
        <v>1866</v>
      </c>
      <c r="M968" s="11" t="s">
        <v>5173</v>
      </c>
      <c r="N968" s="11">
        <v>159868</v>
      </c>
      <c r="O968" s="11">
        <v>11946</v>
      </c>
      <c r="P968" s="11">
        <v>2</v>
      </c>
      <c r="Q968" s="11" t="s">
        <v>5174</v>
      </c>
      <c r="R968" s="14" t="s">
        <v>5175</v>
      </c>
      <c r="S968" s="11">
        <v>304</v>
      </c>
      <c r="T968" s="11" t="s">
        <v>39</v>
      </c>
      <c r="U968" s="11" t="s">
        <v>768</v>
      </c>
      <c r="V968" s="11" t="s">
        <v>586</v>
      </c>
      <c r="W968" s="11">
        <v>50000000</v>
      </c>
      <c r="X968" s="11">
        <v>2013</v>
      </c>
      <c r="Y968" s="11">
        <v>520</v>
      </c>
      <c r="Z968" s="11">
        <v>6.1</v>
      </c>
      <c r="AA968" s="11">
        <v>2.35</v>
      </c>
      <c r="AB968" s="11">
        <v>45000</v>
      </c>
      <c r="AC968" s="11"/>
      <c r="AD968" s="11" t="str">
        <f>IFERROR(__xludf.DUMMYFUNCTION("""COMPUTED_VALUE"""),"Cherry Jones")</f>
        <v>Cherry Jones</v>
      </c>
      <c r="AE968" s="11"/>
    </row>
    <row r="969" customHeight="1" spans="1:31">
      <c r="A969" s="12" t="s">
        <v>30</v>
      </c>
      <c r="B969" s="12" t="s">
        <v>5176</v>
      </c>
      <c r="C969" s="12">
        <v>152</v>
      </c>
      <c r="D969" s="12">
        <v>124</v>
      </c>
      <c r="E969" s="12">
        <v>213</v>
      </c>
      <c r="F969" s="12">
        <v>372</v>
      </c>
      <c r="G969" s="12">
        <v>838</v>
      </c>
      <c r="H969" s="12">
        <v>52752475</v>
      </c>
      <c r="I969" s="12" t="s">
        <v>4075</v>
      </c>
      <c r="J969" s="12" t="s">
        <v>5177</v>
      </c>
      <c r="K969" s="12" t="s">
        <v>5178</v>
      </c>
      <c r="L969" s="12" t="s">
        <v>5179</v>
      </c>
      <c r="M969" s="12" t="s">
        <v>5180</v>
      </c>
      <c r="N969" s="12">
        <v>63067</v>
      </c>
      <c r="O969" s="12">
        <v>2583</v>
      </c>
      <c r="P969" s="12">
        <v>0</v>
      </c>
      <c r="Q969" s="12" t="s">
        <v>5181</v>
      </c>
      <c r="R969" s="15" t="s">
        <v>5182</v>
      </c>
      <c r="S969" s="12">
        <v>533</v>
      </c>
      <c r="T969" s="12" t="s">
        <v>39</v>
      </c>
      <c r="U969" s="12" t="s">
        <v>40</v>
      </c>
      <c r="V969" s="12" t="s">
        <v>586</v>
      </c>
      <c r="W969" s="12">
        <v>50000000</v>
      </c>
      <c r="X969" s="12">
        <v>2002</v>
      </c>
      <c r="Y969" s="12">
        <v>593</v>
      </c>
      <c r="Z969" s="12">
        <v>6.7</v>
      </c>
      <c r="AA969" s="12">
        <v>1.85</v>
      </c>
      <c r="AB969" s="12">
        <v>0</v>
      </c>
      <c r="AC969" s="12"/>
      <c r="AD969" s="12" t="str">
        <f>IFERROR(__xludf.DUMMYFUNCTION("""COMPUTED_VALUE"""),"Jennifer Saunders")</f>
        <v>Jennifer Saunders</v>
      </c>
      <c r="AE969" s="12"/>
    </row>
    <row r="970" customHeight="1" spans="1:31">
      <c r="A970" s="11" t="s">
        <v>30</v>
      </c>
      <c r="B970" s="11" t="s">
        <v>2642</v>
      </c>
      <c r="C970" s="11">
        <v>288</v>
      </c>
      <c r="D970" s="11">
        <v>109</v>
      </c>
      <c r="E970" s="11">
        <v>154</v>
      </c>
      <c r="F970" s="11">
        <v>144</v>
      </c>
      <c r="G970" s="11">
        <v>15000</v>
      </c>
      <c r="H970" s="11">
        <v>55092830</v>
      </c>
      <c r="I970" s="11" t="s">
        <v>227</v>
      </c>
      <c r="J970" s="11" t="s">
        <v>5183</v>
      </c>
      <c r="K970" s="11" t="s">
        <v>5184</v>
      </c>
      <c r="L970" s="11" t="s">
        <v>5185</v>
      </c>
      <c r="M970" s="11" t="s">
        <v>5186</v>
      </c>
      <c r="N970" s="11">
        <v>195043</v>
      </c>
      <c r="O970" s="11">
        <v>15608</v>
      </c>
      <c r="P970" s="11">
        <v>1</v>
      </c>
      <c r="Q970" s="11" t="s">
        <v>5187</v>
      </c>
      <c r="R970" s="14" t="s">
        <v>5188</v>
      </c>
      <c r="S970" s="11">
        <v>329</v>
      </c>
      <c r="T970" s="11" t="s">
        <v>39</v>
      </c>
      <c r="U970" s="11" t="s">
        <v>40</v>
      </c>
      <c r="V970" s="11" t="s">
        <v>41</v>
      </c>
      <c r="W970" s="11">
        <v>60000000</v>
      </c>
      <c r="X970" s="11">
        <v>2011</v>
      </c>
      <c r="Y970" s="11">
        <v>348</v>
      </c>
      <c r="Z970" s="11">
        <v>6.1</v>
      </c>
      <c r="AA970" s="11">
        <v>1.85</v>
      </c>
      <c r="AB970" s="11">
        <v>27000</v>
      </c>
      <c r="AC970" s="11"/>
      <c r="AD970" s="11" t="str">
        <f>IFERROR(__xludf.DUMMYFUNCTION("""COMPUTED_VALUE"""),"Conrad Vernon")</f>
        <v>Conrad Vernon</v>
      </c>
      <c r="AE970" s="11"/>
    </row>
    <row r="971" customHeight="1" spans="1:31">
      <c r="A971" s="12" t="s">
        <v>30</v>
      </c>
      <c r="B971" s="12" t="s">
        <v>5189</v>
      </c>
      <c r="C971" s="12">
        <v>358</v>
      </c>
      <c r="D971" s="12">
        <v>128</v>
      </c>
      <c r="E971" s="12">
        <v>79</v>
      </c>
      <c r="F971" s="12">
        <v>414</v>
      </c>
      <c r="G971" s="12">
        <v>13000</v>
      </c>
      <c r="H971" s="12">
        <v>50815288</v>
      </c>
      <c r="I971" s="12" t="s">
        <v>4075</v>
      </c>
      <c r="J971" s="12" t="s">
        <v>1158</v>
      </c>
      <c r="K971" s="12" t="s">
        <v>5190</v>
      </c>
      <c r="L971" s="12" t="s">
        <v>5191</v>
      </c>
      <c r="M971" s="12" t="s">
        <v>5192</v>
      </c>
      <c r="N971" s="12">
        <v>109188</v>
      </c>
      <c r="O971" s="12">
        <v>14747</v>
      </c>
      <c r="P971" s="12">
        <v>0</v>
      </c>
      <c r="Q971" s="12" t="s">
        <v>5193</v>
      </c>
      <c r="R971" s="15" t="s">
        <v>5194</v>
      </c>
      <c r="S971" s="12">
        <v>625</v>
      </c>
      <c r="T971" s="12" t="s">
        <v>39</v>
      </c>
      <c r="U971" s="12" t="s">
        <v>40</v>
      </c>
      <c r="V971" s="12" t="s">
        <v>586</v>
      </c>
      <c r="W971" s="12">
        <v>50000000</v>
      </c>
      <c r="X971" s="12">
        <v>2005</v>
      </c>
      <c r="Y971" s="12">
        <v>903</v>
      </c>
      <c r="Z971" s="12">
        <v>7</v>
      </c>
      <c r="AA971" s="12">
        <v>2.35</v>
      </c>
      <c r="AB971" s="12">
        <v>0</v>
      </c>
      <c r="AC971" s="12"/>
      <c r="AD971" s="12" t="str">
        <f>IFERROR(__xludf.DUMMYFUNCTION("""COMPUTED_VALUE"""),"Cheech Marin")</f>
        <v>Cheech Marin</v>
      </c>
      <c r="AE971" s="12"/>
    </row>
    <row r="972" customHeight="1" spans="1:31">
      <c r="A972" s="11" t="s">
        <v>30</v>
      </c>
      <c r="B972" s="11" t="s">
        <v>279</v>
      </c>
      <c r="C972" s="11">
        <v>204</v>
      </c>
      <c r="D972" s="11">
        <v>144</v>
      </c>
      <c r="E972" s="11">
        <v>0</v>
      </c>
      <c r="F972" s="11">
        <v>681</v>
      </c>
      <c r="G972" s="11">
        <v>769</v>
      </c>
      <c r="H972" s="11">
        <v>52822418</v>
      </c>
      <c r="I972" s="11" t="s">
        <v>1910</v>
      </c>
      <c r="J972" s="11" t="s">
        <v>964</v>
      </c>
      <c r="K972" s="11" t="s">
        <v>5195</v>
      </c>
      <c r="L972" s="11" t="s">
        <v>5196</v>
      </c>
      <c r="M972" s="11" t="s">
        <v>5197</v>
      </c>
      <c r="N972" s="11">
        <v>47764</v>
      </c>
      <c r="O972" s="11">
        <v>3580</v>
      </c>
      <c r="P972" s="11">
        <v>0</v>
      </c>
      <c r="Q972" s="11" t="s">
        <v>5198</v>
      </c>
      <c r="R972" s="14" t="s">
        <v>5199</v>
      </c>
      <c r="S972" s="11">
        <v>219</v>
      </c>
      <c r="T972" s="11" t="s">
        <v>39</v>
      </c>
      <c r="U972" s="11" t="s">
        <v>40</v>
      </c>
      <c r="V972" s="11" t="s">
        <v>586</v>
      </c>
      <c r="W972" s="11">
        <v>50000000</v>
      </c>
      <c r="X972" s="11">
        <v>2016</v>
      </c>
      <c r="Y972" s="11">
        <v>726</v>
      </c>
      <c r="Z972" s="11">
        <v>7.4</v>
      </c>
      <c r="AA972" s="11">
        <v>2.35</v>
      </c>
      <c r="AB972" s="11">
        <v>44000</v>
      </c>
      <c r="AC972" s="11"/>
      <c r="AD972" s="11" t="str">
        <f>IFERROR(__xludf.DUMMYFUNCTION("""COMPUTED_VALUE"""),"George Carlin")</f>
        <v>George Carlin</v>
      </c>
      <c r="AE972" s="11"/>
    </row>
    <row r="973" customHeight="1" spans="1:31">
      <c r="A973" s="12" t="s">
        <v>30</v>
      </c>
      <c r="B973" s="12" t="s">
        <v>5200</v>
      </c>
      <c r="C973" s="12">
        <v>156</v>
      </c>
      <c r="D973" s="12">
        <v>95</v>
      </c>
      <c r="E973" s="12">
        <v>34</v>
      </c>
      <c r="F973" s="12">
        <v>679</v>
      </c>
      <c r="G973" s="12">
        <v>17000</v>
      </c>
      <c r="H973" s="12">
        <v>50150619</v>
      </c>
      <c r="I973" s="12" t="s">
        <v>3293</v>
      </c>
      <c r="J973" s="12" t="s">
        <v>445</v>
      </c>
      <c r="K973" s="12" t="s">
        <v>3305</v>
      </c>
      <c r="L973" s="12" t="s">
        <v>5201</v>
      </c>
      <c r="M973" s="12" t="s">
        <v>5202</v>
      </c>
      <c r="N973" s="12">
        <v>45580</v>
      </c>
      <c r="O973" s="12">
        <v>19513</v>
      </c>
      <c r="P973" s="12">
        <v>1</v>
      </c>
      <c r="Q973" s="12" t="s">
        <v>5203</v>
      </c>
      <c r="R973" s="15" t="s">
        <v>5204</v>
      </c>
      <c r="S973" s="12">
        <v>102</v>
      </c>
      <c r="T973" s="12" t="s">
        <v>39</v>
      </c>
      <c r="U973" s="12" t="s">
        <v>40</v>
      </c>
      <c r="V973" s="12" t="s">
        <v>96</v>
      </c>
      <c r="W973" s="12">
        <v>50000000</v>
      </c>
      <c r="X973" s="12">
        <v>2014</v>
      </c>
      <c r="Y973" s="12">
        <v>995</v>
      </c>
      <c r="Z973" s="12">
        <v>7.3</v>
      </c>
      <c r="AA973" s="12">
        <v>2.35</v>
      </c>
      <c r="AB973" s="12">
        <v>18000</v>
      </c>
      <c r="AC973" s="12"/>
      <c r="AD973" s="12" t="str">
        <f>IFERROR(__xludf.DUMMYFUNCTION("""COMPUTED_VALUE"""),"Hector Elizondo")</f>
        <v>Hector Elizondo</v>
      </c>
      <c r="AE973" s="12"/>
    </row>
    <row r="974" customHeight="1" spans="1:31">
      <c r="A974" s="11" t="s">
        <v>30</v>
      </c>
      <c r="B974" s="11" t="s">
        <v>5205</v>
      </c>
      <c r="C974" s="11">
        <v>171</v>
      </c>
      <c r="D974" s="11">
        <v>105</v>
      </c>
      <c r="E974" s="11">
        <v>12</v>
      </c>
      <c r="F974" s="11">
        <v>935</v>
      </c>
      <c r="G974" s="11">
        <v>87000</v>
      </c>
      <c r="H974" s="11">
        <v>48745150</v>
      </c>
      <c r="I974" s="11" t="s">
        <v>1528</v>
      </c>
      <c r="J974" s="11" t="s">
        <v>517</v>
      </c>
      <c r="K974" s="11" t="s">
        <v>391</v>
      </c>
      <c r="L974" s="11" t="s">
        <v>5206</v>
      </c>
      <c r="M974" s="11" t="s">
        <v>5207</v>
      </c>
      <c r="N974" s="11">
        <v>50170</v>
      </c>
      <c r="O974" s="11">
        <v>101383</v>
      </c>
      <c r="P974" s="11">
        <v>1</v>
      </c>
      <c r="Q974" s="11" t="s">
        <v>5208</v>
      </c>
      <c r="R974" s="14" t="s">
        <v>5209</v>
      </c>
      <c r="S974" s="11">
        <v>306</v>
      </c>
      <c r="T974" s="11" t="s">
        <v>39</v>
      </c>
      <c r="U974" s="11" t="s">
        <v>40</v>
      </c>
      <c r="V974" s="11" t="s">
        <v>41</v>
      </c>
      <c r="W974" s="11">
        <v>50000000</v>
      </c>
      <c r="X974" s="11">
        <v>2006</v>
      </c>
      <c r="Y974" s="11">
        <v>11000</v>
      </c>
      <c r="Z974" s="11">
        <v>5.8</v>
      </c>
      <c r="AA974" s="11">
        <v>2.35</v>
      </c>
      <c r="AB974" s="11">
        <v>773</v>
      </c>
      <c r="AC974" s="11"/>
      <c r="AD974" s="11" t="str">
        <f>IFERROR(__xludf.DUMMYFUNCTION("""COMPUTED_VALUE"""),"Eve")</f>
        <v>Eve</v>
      </c>
      <c r="AE974" s="11"/>
    </row>
    <row r="975" customHeight="1" spans="1:31">
      <c r="A975" s="12" t="s">
        <v>30</v>
      </c>
      <c r="B975" s="12" t="s">
        <v>3695</v>
      </c>
      <c r="C975" s="12">
        <v>76</v>
      </c>
      <c r="D975" s="12">
        <v>121</v>
      </c>
      <c r="E975" s="12">
        <v>16000</v>
      </c>
      <c r="F975" s="12">
        <v>826</v>
      </c>
      <c r="G975" s="12">
        <v>16000</v>
      </c>
      <c r="H975" s="12">
        <v>50007168</v>
      </c>
      <c r="I975" s="12" t="s">
        <v>464</v>
      </c>
      <c r="J975" s="12" t="s">
        <v>3695</v>
      </c>
      <c r="K975" s="12" t="s">
        <v>1822</v>
      </c>
      <c r="L975" s="12" t="s">
        <v>1320</v>
      </c>
      <c r="M975" s="12" t="s">
        <v>5210</v>
      </c>
      <c r="N975" s="12">
        <v>39529</v>
      </c>
      <c r="O975" s="12">
        <v>19139</v>
      </c>
      <c r="P975" s="12">
        <v>0</v>
      </c>
      <c r="Q975" s="12" t="s">
        <v>5211</v>
      </c>
      <c r="R975" s="15" t="s">
        <v>5212</v>
      </c>
      <c r="S975" s="12">
        <v>142</v>
      </c>
      <c r="T975" s="12" t="s">
        <v>39</v>
      </c>
      <c r="U975" s="12" t="s">
        <v>40</v>
      </c>
      <c r="V975" s="12" t="s">
        <v>586</v>
      </c>
      <c r="W975" s="12">
        <v>50000000</v>
      </c>
      <c r="X975" s="12">
        <v>1997</v>
      </c>
      <c r="Y975" s="12">
        <v>1000</v>
      </c>
      <c r="Z975" s="12">
        <v>6.7</v>
      </c>
      <c r="AA975" s="12">
        <v>2.35</v>
      </c>
      <c r="AB975" s="12">
        <v>1000</v>
      </c>
      <c r="AC975" s="12"/>
      <c r="AD975" s="12" t="str">
        <f>IFERROR(__xludf.DUMMYFUNCTION("""COMPUTED_VALUE"""),"Leila Arcieri")</f>
        <v>Leila Arcieri</v>
      </c>
      <c r="AE975" s="12"/>
    </row>
    <row r="976" customHeight="1" spans="1:31">
      <c r="A976" s="11" t="s">
        <v>30</v>
      </c>
      <c r="B976" s="11" t="s">
        <v>188</v>
      </c>
      <c r="C976" s="11">
        <v>97</v>
      </c>
      <c r="D976" s="11">
        <v>125</v>
      </c>
      <c r="E976" s="11">
        <v>0</v>
      </c>
      <c r="F976" s="11">
        <v>957</v>
      </c>
      <c r="G976" s="11">
        <v>10000</v>
      </c>
      <c r="H976" s="11">
        <v>48154732</v>
      </c>
      <c r="I976" s="11" t="s">
        <v>1467</v>
      </c>
      <c r="J976" s="11" t="s">
        <v>2825</v>
      </c>
      <c r="K976" s="11" t="s">
        <v>1376</v>
      </c>
      <c r="L976" s="11" t="s">
        <v>1010</v>
      </c>
      <c r="M976" s="11" t="s">
        <v>5213</v>
      </c>
      <c r="N976" s="11">
        <v>60326</v>
      </c>
      <c r="O976" s="11">
        <v>15569</v>
      </c>
      <c r="P976" s="11">
        <v>1</v>
      </c>
      <c r="Q976" s="11" t="s">
        <v>5214</v>
      </c>
      <c r="R976" s="14" t="s">
        <v>5215</v>
      </c>
      <c r="S976" s="11">
        <v>142</v>
      </c>
      <c r="T976" s="11" t="s">
        <v>39</v>
      </c>
      <c r="U976" s="11" t="s">
        <v>40</v>
      </c>
      <c r="V976" s="11" t="s">
        <v>586</v>
      </c>
      <c r="W976" s="11">
        <v>50000000</v>
      </c>
      <c r="X976" s="11">
        <v>1997</v>
      </c>
      <c r="Y976" s="11">
        <v>2000</v>
      </c>
      <c r="Z976" s="11">
        <v>5.8</v>
      </c>
      <c r="AA976" s="11">
        <v>2.35</v>
      </c>
      <c r="AB976" s="11">
        <v>2000</v>
      </c>
      <c r="AC976" s="11"/>
      <c r="AD976" s="11" t="str">
        <f>IFERROR(__xludf.DUMMYFUNCTION("""COMPUTED_VALUE"""),"Tim Conway")</f>
        <v>Tim Conway</v>
      </c>
      <c r="AE976" s="11"/>
    </row>
    <row r="977" customHeight="1" spans="1:31">
      <c r="A977" s="12" t="s">
        <v>30</v>
      </c>
      <c r="B977" s="12" t="s">
        <v>686</v>
      </c>
      <c r="C977" s="12">
        <v>157</v>
      </c>
      <c r="D977" s="12">
        <v>129</v>
      </c>
      <c r="E977" s="12">
        <v>21000</v>
      </c>
      <c r="F977" s="12">
        <v>283</v>
      </c>
      <c r="G977" s="12">
        <v>495</v>
      </c>
      <c r="H977" s="12">
        <v>48265581</v>
      </c>
      <c r="I977" s="12" t="s">
        <v>1924</v>
      </c>
      <c r="J977" s="12" t="s">
        <v>5084</v>
      </c>
      <c r="K977" s="12" t="s">
        <v>854</v>
      </c>
      <c r="L977" s="12" t="s">
        <v>5216</v>
      </c>
      <c r="M977" s="12" t="s">
        <v>5217</v>
      </c>
      <c r="N977" s="12">
        <v>261069</v>
      </c>
      <c r="O977" s="12">
        <v>1397</v>
      </c>
      <c r="P977" s="12">
        <v>1</v>
      </c>
      <c r="Q977" s="12" t="s">
        <v>5218</v>
      </c>
      <c r="R977" s="15" t="s">
        <v>5219</v>
      </c>
      <c r="S977" s="12">
        <v>506</v>
      </c>
      <c r="T977" s="12" t="s">
        <v>39</v>
      </c>
      <c r="U977" s="12" t="s">
        <v>40</v>
      </c>
      <c r="V977" s="12" t="s">
        <v>586</v>
      </c>
      <c r="W977" s="12">
        <v>50000000</v>
      </c>
      <c r="X977" s="12">
        <v>1997</v>
      </c>
      <c r="Y977" s="12">
        <v>294</v>
      </c>
      <c r="Z977" s="12">
        <v>7.8</v>
      </c>
      <c r="AA977" s="12">
        <v>2.35</v>
      </c>
      <c r="AB977" s="12">
        <v>25000</v>
      </c>
      <c r="AC977" s="12"/>
      <c r="AD977" s="12" t="str">
        <f>IFERROR(__xludf.DUMMYFUNCTION("""COMPUTED_VALUE"""),"Billy West")</f>
        <v>Billy West</v>
      </c>
      <c r="AE977" s="12"/>
    </row>
    <row r="978" customHeight="1" spans="1:31">
      <c r="A978" s="11" t="s">
        <v>30</v>
      </c>
      <c r="B978" s="11" t="s">
        <v>5220</v>
      </c>
      <c r="C978" s="11">
        <v>267</v>
      </c>
      <c r="D978" s="11">
        <v>132</v>
      </c>
      <c r="E978" s="11">
        <v>50</v>
      </c>
      <c r="F978" s="11">
        <v>368</v>
      </c>
      <c r="G978" s="11">
        <v>992</v>
      </c>
      <c r="H978" s="11">
        <v>46982632</v>
      </c>
      <c r="I978" s="11" t="s">
        <v>5221</v>
      </c>
      <c r="J978" s="11" t="s">
        <v>3373</v>
      </c>
      <c r="K978" s="11" t="s">
        <v>5084</v>
      </c>
      <c r="L978" s="11" t="s">
        <v>5222</v>
      </c>
      <c r="M978" s="11" t="s">
        <v>5223</v>
      </c>
      <c r="N978" s="11">
        <v>172792</v>
      </c>
      <c r="O978" s="11">
        <v>1933</v>
      </c>
      <c r="P978" s="11">
        <v>0</v>
      </c>
      <c r="Q978" s="11" t="s">
        <v>5224</v>
      </c>
      <c r="R978" s="14" t="s">
        <v>5225</v>
      </c>
      <c r="S978" s="11">
        <v>1740</v>
      </c>
      <c r="T978" s="11" t="s">
        <v>39</v>
      </c>
      <c r="U978" s="11" t="s">
        <v>269</v>
      </c>
      <c r="V978" s="11" t="s">
        <v>586</v>
      </c>
      <c r="W978" s="11">
        <v>50000000</v>
      </c>
      <c r="X978" s="11">
        <v>2006</v>
      </c>
      <c r="Y978" s="11">
        <v>495</v>
      </c>
      <c r="Z978" s="11">
        <v>6.6</v>
      </c>
      <c r="AA978" s="11">
        <v>2.35</v>
      </c>
      <c r="AB978" s="11">
        <v>0</v>
      </c>
      <c r="AC978" s="11"/>
      <c r="AD978" s="11" t="str">
        <f>IFERROR(__xludf.DUMMYFUNCTION("""COMPUTED_VALUE"""),"John Amos")</f>
        <v>John Amos</v>
      </c>
      <c r="AE978" s="11"/>
    </row>
    <row r="979" customHeight="1" spans="1:31">
      <c r="A979" s="12" t="s">
        <v>30</v>
      </c>
      <c r="B979" s="12" t="s">
        <v>5226</v>
      </c>
      <c r="C979" s="12">
        <v>118</v>
      </c>
      <c r="D979" s="12">
        <v>118</v>
      </c>
      <c r="E979" s="12">
        <v>41</v>
      </c>
      <c r="F979" s="12">
        <v>585</v>
      </c>
      <c r="G979" s="12">
        <v>18000</v>
      </c>
      <c r="H979" s="12">
        <v>44737059</v>
      </c>
      <c r="I979" s="12" t="s">
        <v>3914</v>
      </c>
      <c r="J979" s="12" t="s">
        <v>588</v>
      </c>
      <c r="K979" s="12" t="s">
        <v>251</v>
      </c>
      <c r="L979" s="12" t="s">
        <v>5227</v>
      </c>
      <c r="M979" s="12" t="s">
        <v>5228</v>
      </c>
      <c r="N979" s="12">
        <v>48322</v>
      </c>
      <c r="O979" s="12">
        <v>24024</v>
      </c>
      <c r="P979" s="12">
        <v>1</v>
      </c>
      <c r="Q979" s="12" t="s">
        <v>5229</v>
      </c>
      <c r="R979" s="15" t="s">
        <v>5230</v>
      </c>
      <c r="S979" s="12">
        <v>261</v>
      </c>
      <c r="T979" s="12" t="s">
        <v>39</v>
      </c>
      <c r="U979" s="12" t="s">
        <v>40</v>
      </c>
      <c r="V979" s="12" t="s">
        <v>41</v>
      </c>
      <c r="W979" s="12">
        <v>50000000</v>
      </c>
      <c r="X979" s="12">
        <v>2000</v>
      </c>
      <c r="Y979" s="12">
        <v>4000</v>
      </c>
      <c r="Z979" s="12">
        <v>6.5</v>
      </c>
      <c r="AA979" s="12">
        <v>1.85</v>
      </c>
      <c r="AB979" s="12">
        <v>0</v>
      </c>
      <c r="AC979" s="12"/>
      <c r="AD979" s="12" t="str">
        <f>IFERROR(__xludf.DUMMYFUNCTION("""COMPUTED_VALUE"""),"Franco Nero")</f>
        <v>Franco Nero</v>
      </c>
      <c r="AE979" s="12"/>
    </row>
    <row r="980" customHeight="1" spans="1:31">
      <c r="A980" s="11" t="s">
        <v>30</v>
      </c>
      <c r="B980" s="11" t="s">
        <v>5231</v>
      </c>
      <c r="C980" s="11">
        <v>291</v>
      </c>
      <c r="D980" s="11">
        <v>113</v>
      </c>
      <c r="E980" s="11">
        <v>22</v>
      </c>
      <c r="F980" s="11">
        <v>1000</v>
      </c>
      <c r="G980" s="11">
        <v>3000</v>
      </c>
      <c r="H980" s="11">
        <v>56724080</v>
      </c>
      <c r="I980" s="11" t="s">
        <v>1672</v>
      </c>
      <c r="J980" s="11" t="s">
        <v>4599</v>
      </c>
      <c r="K980" s="11" t="s">
        <v>5232</v>
      </c>
      <c r="L980" s="11" t="s">
        <v>3752</v>
      </c>
      <c r="M980" s="11" t="s">
        <v>5233</v>
      </c>
      <c r="N980" s="11">
        <v>172112</v>
      </c>
      <c r="O980" s="11">
        <v>8398</v>
      </c>
      <c r="P980" s="11">
        <v>7</v>
      </c>
      <c r="Q980" s="11" t="s">
        <v>5234</v>
      </c>
      <c r="R980" s="14" t="s">
        <v>5235</v>
      </c>
      <c r="S980" s="11">
        <v>181</v>
      </c>
      <c r="T980" s="11" t="s">
        <v>39</v>
      </c>
      <c r="U980" s="11" t="s">
        <v>40</v>
      </c>
      <c r="V980" s="11" t="s">
        <v>586</v>
      </c>
      <c r="W980" s="11">
        <v>50000000</v>
      </c>
      <c r="X980" s="11">
        <v>2012</v>
      </c>
      <c r="Y980" s="11">
        <v>1000</v>
      </c>
      <c r="Z980" s="11">
        <v>6.7</v>
      </c>
      <c r="AA980" s="11">
        <v>1.85</v>
      </c>
      <c r="AB980" s="11">
        <v>39000</v>
      </c>
      <c r="AC980" s="11"/>
      <c r="AD980" s="11" t="str">
        <f>IFERROR(__xludf.DUMMYFUNCTION("""COMPUTED_VALUE"""),"Josh Charles")</f>
        <v>Josh Charles</v>
      </c>
      <c r="AE980" s="11"/>
    </row>
    <row r="981" customHeight="1" spans="1:31">
      <c r="A981" s="12" t="s">
        <v>30</v>
      </c>
      <c r="B981" s="12" t="s">
        <v>3089</v>
      </c>
      <c r="C981" s="12">
        <v>68</v>
      </c>
      <c r="D981" s="12">
        <v>140</v>
      </c>
      <c r="E981" s="12">
        <v>473</v>
      </c>
      <c r="F981" s="12">
        <v>294</v>
      </c>
      <c r="G981" s="12">
        <v>18000</v>
      </c>
      <c r="H981" s="12">
        <v>44484065</v>
      </c>
      <c r="I981" s="12" t="s">
        <v>1120</v>
      </c>
      <c r="J981" s="12" t="s">
        <v>120</v>
      </c>
      <c r="K981" s="12" t="s">
        <v>5236</v>
      </c>
      <c r="L981" s="12" t="s">
        <v>4562</v>
      </c>
      <c r="M981" s="12" t="s">
        <v>5237</v>
      </c>
      <c r="N981" s="12">
        <v>107227</v>
      </c>
      <c r="O981" s="12">
        <v>20152</v>
      </c>
      <c r="P981" s="12">
        <v>2</v>
      </c>
      <c r="Q981" s="12" t="s">
        <v>5238</v>
      </c>
      <c r="R981" s="15" t="s">
        <v>5239</v>
      </c>
      <c r="S981" s="12">
        <v>279</v>
      </c>
      <c r="T981" s="12" t="s">
        <v>39</v>
      </c>
      <c r="U981" s="12" t="s">
        <v>768</v>
      </c>
      <c r="V981" s="12" t="s">
        <v>586</v>
      </c>
      <c r="W981" s="12">
        <v>50000000</v>
      </c>
      <c r="X981" s="12">
        <v>1998</v>
      </c>
      <c r="Y981" s="12">
        <v>822</v>
      </c>
      <c r="Z981" s="12">
        <v>7.3</v>
      </c>
      <c r="AA981" s="12">
        <v>2.35</v>
      </c>
      <c r="AB981" s="12">
        <v>3000</v>
      </c>
      <c r="AC981" s="12"/>
      <c r="AD981" s="12" t="str">
        <f>IFERROR(__xludf.DUMMYFUNCTION("""COMPUTED_VALUE"""),"Nicole Beharie")</f>
        <v>Nicole Beharie</v>
      </c>
      <c r="AE981" s="12"/>
    </row>
    <row r="982" customHeight="1" spans="1:31">
      <c r="A982" s="11" t="s">
        <v>30</v>
      </c>
      <c r="B982" s="11" t="s">
        <v>5240</v>
      </c>
      <c r="C982" s="11">
        <v>228</v>
      </c>
      <c r="D982" s="11">
        <v>89</v>
      </c>
      <c r="E982" s="11">
        <v>77</v>
      </c>
      <c r="F982" s="11">
        <v>159</v>
      </c>
      <c r="G982" s="11">
        <v>490</v>
      </c>
      <c r="H982" s="11">
        <v>47553512</v>
      </c>
      <c r="I982" s="11" t="s">
        <v>60</v>
      </c>
      <c r="J982" s="11" t="s">
        <v>3684</v>
      </c>
      <c r="K982" s="11" t="s">
        <v>5241</v>
      </c>
      <c r="L982" s="11" t="s">
        <v>5242</v>
      </c>
      <c r="M982" s="11" t="s">
        <v>5243</v>
      </c>
      <c r="N982" s="11">
        <v>54101</v>
      </c>
      <c r="O982" s="11">
        <v>1367</v>
      </c>
      <c r="P982" s="11">
        <v>0</v>
      </c>
      <c r="Q982" s="11" t="s">
        <v>5244</v>
      </c>
      <c r="R982" s="14" t="s">
        <v>5245</v>
      </c>
      <c r="S982" s="11">
        <v>210</v>
      </c>
      <c r="T982" s="11" t="s">
        <v>39</v>
      </c>
      <c r="U982" s="11" t="s">
        <v>40</v>
      </c>
      <c r="V982" s="11" t="s">
        <v>41</v>
      </c>
      <c r="W982" s="11">
        <v>50000000</v>
      </c>
      <c r="X982" s="11">
        <v>2014</v>
      </c>
      <c r="Y982" s="11">
        <v>298</v>
      </c>
      <c r="Z982" s="11">
        <v>5.8</v>
      </c>
      <c r="AA982" s="11">
        <v>1.85</v>
      </c>
      <c r="AB982" s="11">
        <v>15000</v>
      </c>
      <c r="AC982" s="11"/>
      <c r="AD982" s="11" t="str">
        <f>IFERROR(__xludf.DUMMYFUNCTION("""COMPUTED_VALUE"""),"Katia Winter")</f>
        <v>Katia Winter</v>
      </c>
      <c r="AE982" s="11"/>
    </row>
    <row r="983" customHeight="1" spans="1:31">
      <c r="A983" s="12" t="s">
        <v>30</v>
      </c>
      <c r="B983" s="12" t="s">
        <v>5246</v>
      </c>
      <c r="C983" s="12">
        <v>36</v>
      </c>
      <c r="D983" s="12">
        <v>104</v>
      </c>
      <c r="E983" s="12">
        <v>644</v>
      </c>
      <c r="F983" s="12">
        <v>174</v>
      </c>
      <c r="G983" s="12">
        <v>437</v>
      </c>
      <c r="H983" s="12">
        <v>42610000</v>
      </c>
      <c r="I983" s="12" t="s">
        <v>422</v>
      </c>
      <c r="J983" s="12" t="s">
        <v>4398</v>
      </c>
      <c r="K983" s="12" t="s">
        <v>5247</v>
      </c>
      <c r="L983" s="12" t="s">
        <v>5248</v>
      </c>
      <c r="M983" s="12" t="s">
        <v>5249</v>
      </c>
      <c r="N983" s="12">
        <v>60293</v>
      </c>
      <c r="O983" s="12">
        <v>1093</v>
      </c>
      <c r="P983" s="12">
        <v>1</v>
      </c>
      <c r="Q983" s="12" t="s">
        <v>5250</v>
      </c>
      <c r="R983" s="15" t="s">
        <v>5251</v>
      </c>
      <c r="S983" s="12">
        <v>114</v>
      </c>
      <c r="T983" s="12" t="s">
        <v>39</v>
      </c>
      <c r="U983" s="12" t="s">
        <v>40</v>
      </c>
      <c r="V983" s="12" t="s">
        <v>586</v>
      </c>
      <c r="W983" s="12">
        <v>55000000</v>
      </c>
      <c r="X983" s="12">
        <v>1994</v>
      </c>
      <c r="Y983" s="12">
        <v>289</v>
      </c>
      <c r="Z983" s="12">
        <v>5.5</v>
      </c>
      <c r="AA983" s="12">
        <v>1.85</v>
      </c>
      <c r="AB983" s="12">
        <v>669</v>
      </c>
      <c r="AC983" s="12"/>
      <c r="AD983" s="12" t="str">
        <f>IFERROR(__xludf.DUMMYFUNCTION("""COMPUTED_VALUE"""),"Lyndie Greenwood")</f>
        <v>Lyndie Greenwood</v>
      </c>
      <c r="AE983" s="12"/>
    </row>
    <row r="984" customHeight="1" spans="1:31">
      <c r="A984" s="11" t="s">
        <v>30</v>
      </c>
      <c r="B984" s="11" t="s">
        <v>2844</v>
      </c>
      <c r="C984" s="11">
        <v>105</v>
      </c>
      <c r="D984" s="11">
        <v>106</v>
      </c>
      <c r="E984" s="11">
        <v>287</v>
      </c>
      <c r="F984" s="11">
        <v>767</v>
      </c>
      <c r="G984" s="11">
        <v>16000</v>
      </c>
      <c r="H984" s="11">
        <v>41482207</v>
      </c>
      <c r="I984" s="11" t="s">
        <v>883</v>
      </c>
      <c r="J984" s="11" t="s">
        <v>201</v>
      </c>
      <c r="K984" s="11" t="s">
        <v>5252</v>
      </c>
      <c r="L984" s="11" t="s">
        <v>5253</v>
      </c>
      <c r="M984" s="11" t="s">
        <v>5254</v>
      </c>
      <c r="N984" s="11">
        <v>68428</v>
      </c>
      <c r="O984" s="11">
        <v>19610</v>
      </c>
      <c r="P984" s="11">
        <v>0</v>
      </c>
      <c r="Q984" s="11" t="s">
        <v>5255</v>
      </c>
      <c r="R984" s="14" t="s">
        <v>5256</v>
      </c>
      <c r="S984" s="11">
        <v>148</v>
      </c>
      <c r="T984" s="11" t="s">
        <v>39</v>
      </c>
      <c r="U984" s="11" t="s">
        <v>40</v>
      </c>
      <c r="V984" s="11" t="s">
        <v>41</v>
      </c>
      <c r="W984" s="11">
        <v>50000000</v>
      </c>
      <c r="X984" s="11">
        <v>1990</v>
      </c>
      <c r="Y984" s="11">
        <v>823</v>
      </c>
      <c r="Z984" s="11">
        <v>6.3</v>
      </c>
      <c r="AA984" s="11">
        <v>1.85</v>
      </c>
      <c r="AB984" s="11">
        <v>0</v>
      </c>
      <c r="AC984" s="11"/>
      <c r="AD984" s="11" t="str">
        <f>IFERROR(__xludf.DUMMYFUNCTION("""COMPUTED_VALUE"""),"Freddy Rodríguez")</f>
        <v>Freddy Rodríguez</v>
      </c>
      <c r="AE984" s="11"/>
    </row>
    <row r="985" customHeight="1" spans="1:31">
      <c r="A985" s="12" t="s">
        <v>30</v>
      </c>
      <c r="B985" s="12" t="s">
        <v>4951</v>
      </c>
      <c r="C985" s="12">
        <v>276</v>
      </c>
      <c r="D985" s="12">
        <v>141</v>
      </c>
      <c r="E985" s="12">
        <v>71</v>
      </c>
      <c r="F985" s="12">
        <v>3000</v>
      </c>
      <c r="G985" s="12">
        <v>21000</v>
      </c>
      <c r="H985" s="12">
        <v>47105085</v>
      </c>
      <c r="I985" s="12" t="s">
        <v>1936</v>
      </c>
      <c r="J985" s="12" t="s">
        <v>99</v>
      </c>
      <c r="K985" s="12" t="s">
        <v>1689</v>
      </c>
      <c r="L985" s="12" t="s">
        <v>4518</v>
      </c>
      <c r="M985" s="12" t="s">
        <v>5257</v>
      </c>
      <c r="N985" s="12">
        <v>136973</v>
      </c>
      <c r="O985" s="12">
        <v>30183</v>
      </c>
      <c r="P985" s="12">
        <v>1</v>
      </c>
      <c r="Q985" s="12" t="s">
        <v>5258</v>
      </c>
      <c r="R985" s="15" t="s">
        <v>5259</v>
      </c>
      <c r="S985" s="12">
        <v>275</v>
      </c>
      <c r="T985" s="12" t="s">
        <v>39</v>
      </c>
      <c r="U985" s="12" t="s">
        <v>40</v>
      </c>
      <c r="V985" s="12" t="s">
        <v>586</v>
      </c>
      <c r="W985" s="12">
        <v>50000000</v>
      </c>
      <c r="X985" s="12">
        <v>2014</v>
      </c>
      <c r="Y985" s="12">
        <v>3000</v>
      </c>
      <c r="Z985" s="12">
        <v>7.4</v>
      </c>
      <c r="AA985" s="12">
        <v>2.35</v>
      </c>
      <c r="AB985" s="12">
        <v>47000</v>
      </c>
      <c r="AC985" s="12"/>
      <c r="AD985" s="12" t="str">
        <f>IFERROR(__xludf.DUMMYFUNCTION("""COMPUTED_VALUE"""),"Bob Balaban")</f>
        <v>Bob Balaban</v>
      </c>
      <c r="AE985" s="12"/>
    </row>
    <row r="986" customHeight="1" spans="1:31">
      <c r="A986" s="11" t="s">
        <v>30</v>
      </c>
      <c r="B986" s="11" t="s">
        <v>2566</v>
      </c>
      <c r="C986" s="11">
        <v>93</v>
      </c>
      <c r="D986" s="11">
        <v>124</v>
      </c>
      <c r="E986" s="11">
        <v>75</v>
      </c>
      <c r="F986" s="11">
        <v>258</v>
      </c>
      <c r="G986" s="11">
        <v>294</v>
      </c>
      <c r="H986" s="11">
        <v>41256277</v>
      </c>
      <c r="I986" s="11" t="s">
        <v>60</v>
      </c>
      <c r="J986" s="11" t="s">
        <v>854</v>
      </c>
      <c r="K986" s="11" t="s">
        <v>4700</v>
      </c>
      <c r="L986" s="11" t="s">
        <v>5260</v>
      </c>
      <c r="M986" s="11" t="s">
        <v>5261</v>
      </c>
      <c r="N986" s="11">
        <v>46451</v>
      </c>
      <c r="O986" s="11">
        <v>1289</v>
      </c>
      <c r="P986" s="11">
        <v>2</v>
      </c>
      <c r="Q986" s="11" t="s">
        <v>5262</v>
      </c>
      <c r="R986" s="14" t="s">
        <v>5263</v>
      </c>
      <c r="S986" s="11">
        <v>156</v>
      </c>
      <c r="T986" s="11" t="s">
        <v>39</v>
      </c>
      <c r="U986" s="11" t="s">
        <v>40</v>
      </c>
      <c r="V986" s="11" t="s">
        <v>586</v>
      </c>
      <c r="W986" s="11">
        <v>50000000</v>
      </c>
      <c r="X986" s="11">
        <v>1997</v>
      </c>
      <c r="Y986" s="11">
        <v>273</v>
      </c>
      <c r="Z986" s="11">
        <v>5.9</v>
      </c>
      <c r="AA986" s="11">
        <v>2.35</v>
      </c>
      <c r="AB986" s="11">
        <v>0</v>
      </c>
      <c r="AC986" s="11"/>
      <c r="AD986" s="11" t="str">
        <f>IFERROR(__xludf.DUMMYFUNCTION("""COMPUTED_VALUE"""),"Raoul Bova")</f>
        <v>Raoul Bova</v>
      </c>
      <c r="AE986" s="11"/>
    </row>
    <row r="987" customHeight="1" spans="1:31">
      <c r="A987" s="12" t="s">
        <v>30</v>
      </c>
      <c r="B987" s="12" t="s">
        <v>5264</v>
      </c>
      <c r="C987" s="12">
        <v>191</v>
      </c>
      <c r="D987" s="12">
        <v>98</v>
      </c>
      <c r="E987" s="12">
        <v>38</v>
      </c>
      <c r="F987" s="12">
        <v>706</v>
      </c>
      <c r="G987" s="12">
        <v>14000</v>
      </c>
      <c r="H987" s="12">
        <v>50740078</v>
      </c>
      <c r="I987" s="12" t="s">
        <v>2208</v>
      </c>
      <c r="J987" s="12" t="s">
        <v>1973</v>
      </c>
      <c r="K987" s="12" t="s">
        <v>209</v>
      </c>
      <c r="L987" s="12" t="s">
        <v>5265</v>
      </c>
      <c r="M987" s="12" t="s">
        <v>5266</v>
      </c>
      <c r="N987" s="12">
        <v>151580</v>
      </c>
      <c r="O987" s="12">
        <v>16791</v>
      </c>
      <c r="P987" s="12">
        <v>1</v>
      </c>
      <c r="Q987" s="12" t="s">
        <v>5267</v>
      </c>
      <c r="R987" s="15" t="s">
        <v>5268</v>
      </c>
      <c r="S987" s="12">
        <v>672</v>
      </c>
      <c r="T987" s="12" t="s">
        <v>39</v>
      </c>
      <c r="U987" s="12" t="s">
        <v>768</v>
      </c>
      <c r="V987" s="12" t="s">
        <v>586</v>
      </c>
      <c r="W987" s="12">
        <v>45000000</v>
      </c>
      <c r="X987" s="12">
        <v>2004</v>
      </c>
      <c r="Y987" s="12">
        <v>919</v>
      </c>
      <c r="Z987" s="12">
        <v>6.2</v>
      </c>
      <c r="AA987" s="12">
        <v>2.35</v>
      </c>
      <c r="AB987" s="12">
        <v>0</v>
      </c>
      <c r="AC987" s="12"/>
      <c r="AD987" s="12" t="str">
        <f>IFERROR(__xludf.DUMMYFUNCTION("""COMPUTED_VALUE"""),"Bridgit Mendler")</f>
        <v>Bridgit Mendler</v>
      </c>
      <c r="AE987" s="12"/>
    </row>
    <row r="988" customHeight="1" spans="1:31">
      <c r="A988" s="11" t="s">
        <v>30</v>
      </c>
      <c r="B988" s="11" t="s">
        <v>5269</v>
      </c>
      <c r="C988" s="11">
        <v>143</v>
      </c>
      <c r="D988" s="11">
        <v>108</v>
      </c>
      <c r="E988" s="11">
        <v>17</v>
      </c>
      <c r="F988" s="11">
        <v>186</v>
      </c>
      <c r="G988" s="11">
        <v>14000</v>
      </c>
      <c r="H988" s="11">
        <v>40203020</v>
      </c>
      <c r="I988" s="11" t="s">
        <v>1415</v>
      </c>
      <c r="J988" s="11" t="s">
        <v>439</v>
      </c>
      <c r="K988" s="11" t="s">
        <v>393</v>
      </c>
      <c r="L988" s="11" t="s">
        <v>5270</v>
      </c>
      <c r="M988" s="11" t="s">
        <v>5271</v>
      </c>
      <c r="N988" s="11">
        <v>74315</v>
      </c>
      <c r="O988" s="11">
        <v>15634</v>
      </c>
      <c r="P988" s="11">
        <v>1</v>
      </c>
      <c r="Q988" s="11" t="s">
        <v>5272</v>
      </c>
      <c r="R988" s="14" t="s">
        <v>5273</v>
      </c>
      <c r="S988" s="11">
        <v>259</v>
      </c>
      <c r="T988" s="11" t="s">
        <v>39</v>
      </c>
      <c r="U988" s="11" t="s">
        <v>58</v>
      </c>
      <c r="V988" s="11" t="s">
        <v>586</v>
      </c>
      <c r="W988" s="11">
        <v>40000000</v>
      </c>
      <c r="X988" s="11">
        <v>2004</v>
      </c>
      <c r="Y988" s="11">
        <v>1000</v>
      </c>
      <c r="Z988" s="11">
        <v>5.9</v>
      </c>
      <c r="AA988" s="11">
        <v>2.35</v>
      </c>
      <c r="AB988" s="11">
        <v>0</v>
      </c>
      <c r="AC988" s="11"/>
      <c r="AD988" s="11" t="str">
        <f>IFERROR(__xludf.DUMMYFUNCTION("""COMPUTED_VALUE"""),"Chris Klein")</f>
        <v>Chris Klein</v>
      </c>
      <c r="AE988" s="11"/>
    </row>
    <row r="989" customHeight="1" spans="1:31">
      <c r="A989" s="12" t="s">
        <v>30</v>
      </c>
      <c r="B989" s="12" t="s">
        <v>5274</v>
      </c>
      <c r="C989" s="12">
        <v>124</v>
      </c>
      <c r="D989" s="12">
        <v>114</v>
      </c>
      <c r="E989" s="12">
        <v>73</v>
      </c>
      <c r="F989" s="12">
        <v>323</v>
      </c>
      <c r="G989" s="12">
        <v>18000</v>
      </c>
      <c r="H989" s="12">
        <v>40905277</v>
      </c>
      <c r="I989" s="12" t="s">
        <v>5275</v>
      </c>
      <c r="J989" s="12" t="s">
        <v>1727</v>
      </c>
      <c r="K989" s="12" t="s">
        <v>2232</v>
      </c>
      <c r="L989" s="12" t="s">
        <v>5276</v>
      </c>
      <c r="M989" s="12" t="s">
        <v>5277</v>
      </c>
      <c r="N989" s="12">
        <v>45895</v>
      </c>
      <c r="O989" s="12">
        <v>19739</v>
      </c>
      <c r="P989" s="12">
        <v>3</v>
      </c>
      <c r="Q989" s="12" t="s">
        <v>5278</v>
      </c>
      <c r="R989" s="15" t="s">
        <v>5279</v>
      </c>
      <c r="S989" s="12">
        <v>157</v>
      </c>
      <c r="T989" s="12" t="s">
        <v>39</v>
      </c>
      <c r="U989" s="12" t="s">
        <v>40</v>
      </c>
      <c r="V989" s="12" t="s">
        <v>586</v>
      </c>
      <c r="W989" s="12">
        <v>50000000</v>
      </c>
      <c r="X989" s="12">
        <v>2003</v>
      </c>
      <c r="Y989" s="12">
        <v>886</v>
      </c>
      <c r="Z989" s="12">
        <v>6.5</v>
      </c>
      <c r="AA989" s="12">
        <v>2.35</v>
      </c>
      <c r="AB989" s="12">
        <v>1000</v>
      </c>
      <c r="AC989" s="12"/>
      <c r="AD989" s="12" t="str">
        <f>IFERROR(__xludf.DUMMYFUNCTION("""COMPUTED_VALUE"""),"Radha Mitchell")</f>
        <v>Radha Mitchell</v>
      </c>
      <c r="AE989" s="12"/>
    </row>
    <row r="990" customHeight="1" spans="1:31">
      <c r="A990" s="11" t="s">
        <v>30</v>
      </c>
      <c r="B990" s="11" t="s">
        <v>5280</v>
      </c>
      <c r="C990" s="11">
        <v>47</v>
      </c>
      <c r="D990" s="11">
        <v>101</v>
      </c>
      <c r="E990" s="11">
        <v>0</v>
      </c>
      <c r="F990" s="11">
        <v>158</v>
      </c>
      <c r="G990" s="11">
        <v>854</v>
      </c>
      <c r="H990" s="11">
        <v>38590500</v>
      </c>
      <c r="I990" s="11" t="s">
        <v>51</v>
      </c>
      <c r="J990" s="11" t="s">
        <v>3197</v>
      </c>
      <c r="K990" s="11" t="s">
        <v>5281</v>
      </c>
      <c r="L990" s="11" t="s">
        <v>5282</v>
      </c>
      <c r="M990" s="11" t="s">
        <v>5283</v>
      </c>
      <c r="N990" s="11">
        <v>17997</v>
      </c>
      <c r="O990" s="11">
        <v>1860</v>
      </c>
      <c r="P990" s="11">
        <v>1</v>
      </c>
      <c r="Q990" s="11" t="s">
        <v>5284</v>
      </c>
      <c r="R990" s="14" t="s">
        <v>5285</v>
      </c>
      <c r="S990" s="11">
        <v>140</v>
      </c>
      <c r="T990" s="11" t="s">
        <v>39</v>
      </c>
      <c r="U990" s="11" t="s">
        <v>40</v>
      </c>
      <c r="V990" s="11" t="s">
        <v>586</v>
      </c>
      <c r="W990" s="11">
        <v>50000000</v>
      </c>
      <c r="X990" s="11">
        <v>1994</v>
      </c>
      <c r="Y990" s="11">
        <v>643</v>
      </c>
      <c r="Z990" s="11">
        <v>4.4</v>
      </c>
      <c r="AA990" s="11">
        <v>2.35</v>
      </c>
      <c r="AB990" s="11">
        <v>812</v>
      </c>
      <c r="AC990" s="11"/>
      <c r="AD990" s="11" t="str">
        <f>IFERROR(__xludf.DUMMYFUNCTION("""COMPUTED_VALUE"""),"LeVar Burton")</f>
        <v>LeVar Burton</v>
      </c>
      <c r="AE990" s="11"/>
    </row>
    <row r="991" customHeight="1" spans="1:31">
      <c r="A991" s="12" t="s">
        <v>30</v>
      </c>
      <c r="B991" s="12" t="s">
        <v>4904</v>
      </c>
      <c r="C991" s="12">
        <v>66</v>
      </c>
      <c r="D991" s="12">
        <v>93</v>
      </c>
      <c r="E991" s="12">
        <v>0</v>
      </c>
      <c r="F991" s="12">
        <v>717</v>
      </c>
      <c r="G991" s="12">
        <v>12000</v>
      </c>
      <c r="H991" s="12">
        <v>39177541</v>
      </c>
      <c r="I991" s="12" t="s">
        <v>148</v>
      </c>
      <c r="J991" s="12" t="s">
        <v>1107</v>
      </c>
      <c r="K991" s="12" t="s">
        <v>1980</v>
      </c>
      <c r="L991" s="12" t="s">
        <v>5286</v>
      </c>
      <c r="M991" s="12" t="s">
        <v>5287</v>
      </c>
      <c r="N991" s="12">
        <v>20310</v>
      </c>
      <c r="O991" s="12">
        <v>14899</v>
      </c>
      <c r="P991" s="12">
        <v>1</v>
      </c>
      <c r="Q991" s="12" t="s">
        <v>5288</v>
      </c>
      <c r="R991" s="15" t="s">
        <v>5289</v>
      </c>
      <c r="S991" s="12">
        <v>177</v>
      </c>
      <c r="T991" s="12" t="s">
        <v>39</v>
      </c>
      <c r="U991" s="12" t="s">
        <v>40</v>
      </c>
      <c r="V991" s="12" t="s">
        <v>96</v>
      </c>
      <c r="W991" s="12">
        <v>50000000</v>
      </c>
      <c r="X991" s="12">
        <v>2005</v>
      </c>
      <c r="Y991" s="12">
        <v>722</v>
      </c>
      <c r="Z991" s="12">
        <v>3.5</v>
      </c>
      <c r="AA991" s="12">
        <v>1.85</v>
      </c>
      <c r="AB991" s="12">
        <v>0</v>
      </c>
      <c r="AC991" s="12"/>
      <c r="AD991" s="12" t="str">
        <f>IFERROR(__xludf.DUMMYFUNCTION("""COMPUTED_VALUE"""),"Jonathan Frakes")</f>
        <v>Jonathan Frakes</v>
      </c>
      <c r="AE991" s="12"/>
    </row>
    <row r="992" customHeight="1" spans="1:31">
      <c r="A992" s="11" t="s">
        <v>30</v>
      </c>
      <c r="B992" s="11" t="s">
        <v>5290</v>
      </c>
      <c r="C992" s="11">
        <v>118</v>
      </c>
      <c r="D992" s="11">
        <v>119</v>
      </c>
      <c r="E992" s="11">
        <v>0</v>
      </c>
      <c r="F992" s="11">
        <v>39</v>
      </c>
      <c r="G992" s="11">
        <v>29000</v>
      </c>
      <c r="H992" s="11">
        <v>39778599</v>
      </c>
      <c r="I992" s="11" t="s">
        <v>1827</v>
      </c>
      <c r="J992" s="11" t="s">
        <v>215</v>
      </c>
      <c r="K992" s="11" t="s">
        <v>5291</v>
      </c>
      <c r="L992" s="11" t="s">
        <v>5292</v>
      </c>
      <c r="M992" s="11" t="s">
        <v>5293</v>
      </c>
      <c r="N992" s="11">
        <v>176169</v>
      </c>
      <c r="O992" s="11">
        <v>29461</v>
      </c>
      <c r="P992" s="11">
        <v>0</v>
      </c>
      <c r="Q992" s="11" t="s">
        <v>5294</v>
      </c>
      <c r="R992" s="14" t="s">
        <v>5295</v>
      </c>
      <c r="S992" s="11">
        <v>548</v>
      </c>
      <c r="T992" s="11" t="s">
        <v>39</v>
      </c>
      <c r="U992" s="11" t="s">
        <v>40</v>
      </c>
      <c r="V992" s="11" t="s">
        <v>586</v>
      </c>
      <c r="W992" s="11">
        <v>50000000</v>
      </c>
      <c r="X992" s="11">
        <v>2000</v>
      </c>
      <c r="Y992" s="11">
        <v>414</v>
      </c>
      <c r="Z992" s="11">
        <v>6.6</v>
      </c>
      <c r="AA992" s="11">
        <v>2.35</v>
      </c>
      <c r="AB992" s="11">
        <v>0</v>
      </c>
      <c r="AC992" s="11"/>
      <c r="AD992" s="11" t="str">
        <f>IFERROR(__xludf.DUMMYFUNCTION("""COMPUTED_VALUE"""),"Michael Dorn")</f>
        <v>Michael Dorn</v>
      </c>
      <c r="AE992" s="11"/>
    </row>
    <row r="993" customHeight="1" spans="1:31">
      <c r="A993" s="12" t="s">
        <v>30</v>
      </c>
      <c r="B993" s="12" t="s">
        <v>3304</v>
      </c>
      <c r="C993" s="12">
        <v>93</v>
      </c>
      <c r="D993" s="12">
        <v>119</v>
      </c>
      <c r="E993" s="12">
        <v>0</v>
      </c>
      <c r="F993" s="12">
        <v>434</v>
      </c>
      <c r="G993" s="12">
        <v>627</v>
      </c>
      <c r="H993" s="12">
        <v>37486138</v>
      </c>
      <c r="I993" s="12" t="s">
        <v>1415</v>
      </c>
      <c r="J993" s="12" t="s">
        <v>2095</v>
      </c>
      <c r="K993" s="12" t="s">
        <v>1926</v>
      </c>
      <c r="L993" s="12" t="s">
        <v>1641</v>
      </c>
      <c r="M993" s="12" t="s">
        <v>5296</v>
      </c>
      <c r="N993" s="12">
        <v>30890</v>
      </c>
      <c r="O993" s="12">
        <v>2052</v>
      </c>
      <c r="P993" s="12">
        <v>1</v>
      </c>
      <c r="Q993" s="12" t="s">
        <v>5297</v>
      </c>
      <c r="R993" s="15" t="s">
        <v>5298</v>
      </c>
      <c r="S993" s="12">
        <v>106</v>
      </c>
      <c r="T993" s="12" t="s">
        <v>39</v>
      </c>
      <c r="U993" s="12" t="s">
        <v>40</v>
      </c>
      <c r="V993" s="12" t="s">
        <v>41</v>
      </c>
      <c r="W993" s="12">
        <v>50000000</v>
      </c>
      <c r="X993" s="12">
        <v>2004</v>
      </c>
      <c r="Y993" s="12">
        <v>508</v>
      </c>
      <c r="Z993" s="12">
        <v>6</v>
      </c>
      <c r="AA993" s="12">
        <v>1.85</v>
      </c>
      <c r="AB993" s="12">
        <v>718</v>
      </c>
      <c r="AC993" s="12"/>
      <c r="AD993" s="12" t="str">
        <f>IFERROR(__xludf.DUMMYFUNCTION("""COMPUTED_VALUE"""),"Alison Lohman")</f>
        <v>Alison Lohman</v>
      </c>
      <c r="AE993" s="12"/>
    </row>
    <row r="994" customHeight="1" spans="1:31">
      <c r="A994" s="11" t="s">
        <v>30</v>
      </c>
      <c r="B994" s="11" t="s">
        <v>5140</v>
      </c>
      <c r="C994" s="11">
        <v>235</v>
      </c>
      <c r="D994" s="11">
        <v>99</v>
      </c>
      <c r="E994" s="11">
        <v>160</v>
      </c>
      <c r="F994" s="11">
        <v>72</v>
      </c>
      <c r="G994" s="11">
        <v>330</v>
      </c>
      <c r="H994" s="11">
        <v>38105077</v>
      </c>
      <c r="I994" s="11" t="s">
        <v>334</v>
      </c>
      <c r="J994" s="11" t="s">
        <v>5299</v>
      </c>
      <c r="K994" s="11" t="s">
        <v>5300</v>
      </c>
      <c r="L994" s="11" t="s">
        <v>5301</v>
      </c>
      <c r="M994" s="11" t="s">
        <v>5302</v>
      </c>
      <c r="N994" s="11">
        <v>58349</v>
      </c>
      <c r="O994" s="11">
        <v>701</v>
      </c>
      <c r="P994" s="11">
        <v>0</v>
      </c>
      <c r="Q994" s="11" t="s">
        <v>5303</v>
      </c>
      <c r="R994" s="14" t="s">
        <v>5304</v>
      </c>
      <c r="S994" s="11">
        <v>194</v>
      </c>
      <c r="T994" s="11" t="s">
        <v>39</v>
      </c>
      <c r="U994" s="11" t="s">
        <v>40</v>
      </c>
      <c r="V994" s="11" t="s">
        <v>586</v>
      </c>
      <c r="W994" s="11">
        <v>40000000</v>
      </c>
      <c r="X994" s="11">
        <v>2009</v>
      </c>
      <c r="Y994" s="11">
        <v>119</v>
      </c>
      <c r="Z994" s="11">
        <v>6.4</v>
      </c>
      <c r="AA994" s="11">
        <v>2.35</v>
      </c>
      <c r="AB994" s="11">
        <v>0</v>
      </c>
      <c r="AC994" s="11"/>
      <c r="AD994" s="11" t="str">
        <f>IFERROR(__xludf.DUMMYFUNCTION("""COMPUTED_VALUE"""),"David Hyde Pierce")</f>
        <v>David Hyde Pierce</v>
      </c>
      <c r="AE994" s="11"/>
    </row>
    <row r="995" customHeight="1" spans="1:31">
      <c r="A995" s="12" t="s">
        <v>30</v>
      </c>
      <c r="B995" s="12" t="s">
        <v>80</v>
      </c>
      <c r="C995" s="12">
        <v>113</v>
      </c>
      <c r="D995" s="12">
        <v>137</v>
      </c>
      <c r="E995" s="12">
        <v>0</v>
      </c>
      <c r="F995" s="12">
        <v>432</v>
      </c>
      <c r="G995" s="12">
        <v>24000</v>
      </c>
      <c r="H995" s="12">
        <v>35168395</v>
      </c>
      <c r="I995" s="12" t="s">
        <v>4916</v>
      </c>
      <c r="J995" s="12" t="s">
        <v>82</v>
      </c>
      <c r="K995" s="12" t="s">
        <v>1640</v>
      </c>
      <c r="L995" s="12" t="s">
        <v>5305</v>
      </c>
      <c r="M995" s="12" t="s">
        <v>5306</v>
      </c>
      <c r="N995" s="12">
        <v>26034</v>
      </c>
      <c r="O995" s="12">
        <v>25469</v>
      </c>
      <c r="P995" s="12">
        <v>0</v>
      </c>
      <c r="Q995" s="12" t="s">
        <v>5307</v>
      </c>
      <c r="R995" s="15" t="s">
        <v>5308</v>
      </c>
      <c r="S995" s="12">
        <v>226</v>
      </c>
      <c r="T995" s="12" t="s">
        <v>39</v>
      </c>
      <c r="U995" s="12" t="s">
        <v>40</v>
      </c>
      <c r="V995" s="12" t="s">
        <v>41</v>
      </c>
      <c r="W995" s="12">
        <v>50000000</v>
      </c>
      <c r="X995" s="12">
        <v>1999</v>
      </c>
      <c r="Y995" s="12">
        <v>743</v>
      </c>
      <c r="Z995" s="12">
        <v>6.5</v>
      </c>
      <c r="AA995" s="12">
        <v>2.35</v>
      </c>
      <c r="AB995" s="12">
        <v>0</v>
      </c>
      <c r="AC995" s="12"/>
      <c r="AD995" s="12" t="str">
        <f>IFERROR(__xludf.DUMMYFUNCTION("""COMPUTED_VALUE"""),"Peter Gerety")</f>
        <v>Peter Gerety</v>
      </c>
      <c r="AE995" s="12"/>
    </row>
    <row r="996" customHeight="1" spans="1:31">
      <c r="A996" s="11" t="s">
        <v>30</v>
      </c>
      <c r="B996" s="13"/>
      <c r="C996" s="11">
        <v>14</v>
      </c>
      <c r="D996" s="11">
        <v>105</v>
      </c>
      <c r="E996" s="13"/>
      <c r="F996" s="11">
        <v>5</v>
      </c>
      <c r="G996" s="11">
        <v>325</v>
      </c>
      <c r="H996" s="13"/>
      <c r="I996" s="11" t="s">
        <v>3082</v>
      </c>
      <c r="J996" s="11" t="s">
        <v>5309</v>
      </c>
      <c r="K996" s="11" t="s">
        <v>5310</v>
      </c>
      <c r="L996" s="11" t="s">
        <v>5311</v>
      </c>
      <c r="M996" s="11" t="s">
        <v>5312</v>
      </c>
      <c r="N996" s="11">
        <v>4438</v>
      </c>
      <c r="O996" s="11">
        <v>344</v>
      </c>
      <c r="P996" s="11">
        <v>1</v>
      </c>
      <c r="Q996" s="11" t="s">
        <v>5313</v>
      </c>
      <c r="R996" s="14" t="s">
        <v>5314</v>
      </c>
      <c r="S996" s="11">
        <v>33</v>
      </c>
      <c r="T996" s="11" t="s">
        <v>39</v>
      </c>
      <c r="U996" s="11" t="s">
        <v>58</v>
      </c>
      <c r="V996" s="13"/>
      <c r="W996" s="13"/>
      <c r="X996" s="13"/>
      <c r="Y996" s="11">
        <v>7</v>
      </c>
      <c r="Z996" s="11">
        <v>7.8</v>
      </c>
      <c r="AA996" s="11">
        <v>1.33</v>
      </c>
      <c r="AB996" s="11">
        <v>361</v>
      </c>
      <c r="AC996" s="11"/>
      <c r="AD996" s="11" t="str">
        <f>IFERROR(__xludf.DUMMYFUNCTION("""COMPUTED_VALUE"""),"Ron Rifkin")</f>
        <v>Ron Rifkin</v>
      </c>
      <c r="AE996" s="11"/>
    </row>
    <row r="997" customHeight="1" spans="1:31">
      <c r="A997" s="12" t="s">
        <v>30</v>
      </c>
      <c r="B997" s="12" t="s">
        <v>5315</v>
      </c>
      <c r="C997" s="12">
        <v>51</v>
      </c>
      <c r="D997" s="12">
        <v>117</v>
      </c>
      <c r="E997" s="12">
        <v>31</v>
      </c>
      <c r="F997" s="12">
        <v>210</v>
      </c>
      <c r="G997" s="12">
        <v>2000</v>
      </c>
      <c r="H997" s="12">
        <v>32800000</v>
      </c>
      <c r="I997" s="12" t="s">
        <v>5316</v>
      </c>
      <c r="J997" s="12" t="s">
        <v>1376</v>
      </c>
      <c r="K997" s="12" t="s">
        <v>5317</v>
      </c>
      <c r="L997" s="12" t="s">
        <v>3763</v>
      </c>
      <c r="M997" s="12" t="s">
        <v>5318</v>
      </c>
      <c r="N997" s="12">
        <v>34896</v>
      </c>
      <c r="O997" s="12">
        <v>3016</v>
      </c>
      <c r="P997" s="12">
        <v>1</v>
      </c>
      <c r="Q997" s="12" t="s">
        <v>5319</v>
      </c>
      <c r="R997" s="15" t="s">
        <v>5320</v>
      </c>
      <c r="S997" s="12">
        <v>118</v>
      </c>
      <c r="T997" s="12" t="s">
        <v>39</v>
      </c>
      <c r="U997" s="12" t="s">
        <v>40</v>
      </c>
      <c r="V997" s="12" t="s">
        <v>586</v>
      </c>
      <c r="W997" s="12">
        <v>40000000</v>
      </c>
      <c r="X997" s="12">
        <v>1996</v>
      </c>
      <c r="Y997" s="12">
        <v>472</v>
      </c>
      <c r="Z997" s="12">
        <v>4.3</v>
      </c>
      <c r="AA997" s="12">
        <v>1.85</v>
      </c>
      <c r="AB997" s="12">
        <v>877</v>
      </c>
      <c r="AC997" s="12"/>
      <c r="AD997" s="12" t="str">
        <f>IFERROR(__xludf.DUMMYFUNCTION("""COMPUTED_VALUE"""),"Jeremy Irvine")</f>
        <v>Jeremy Irvine</v>
      </c>
      <c r="AE997" s="12"/>
    </row>
    <row r="998" customHeight="1" spans="1:31">
      <c r="A998" s="11" t="s">
        <v>30</v>
      </c>
      <c r="B998" s="11" t="s">
        <v>4674</v>
      </c>
      <c r="C998" s="11">
        <v>98</v>
      </c>
      <c r="D998" s="11">
        <v>87</v>
      </c>
      <c r="E998" s="11">
        <v>9</v>
      </c>
      <c r="F998" s="11">
        <v>1000</v>
      </c>
      <c r="G998" s="11">
        <v>15000</v>
      </c>
      <c r="H998" s="11">
        <v>33643461</v>
      </c>
      <c r="I998" s="11" t="s">
        <v>3057</v>
      </c>
      <c r="J998" s="11" t="s">
        <v>182</v>
      </c>
      <c r="K998" s="11" t="s">
        <v>236</v>
      </c>
      <c r="L998" s="11" t="s">
        <v>813</v>
      </c>
      <c r="M998" s="11" t="s">
        <v>5321</v>
      </c>
      <c r="N998" s="11">
        <v>11257</v>
      </c>
      <c r="O998" s="11">
        <v>20061</v>
      </c>
      <c r="P998" s="11">
        <v>0</v>
      </c>
      <c r="Q998" s="11" t="s">
        <v>5322</v>
      </c>
      <c r="R998" s="14" t="s">
        <v>5323</v>
      </c>
      <c r="S998" s="11">
        <v>65</v>
      </c>
      <c r="T998" s="11" t="s">
        <v>39</v>
      </c>
      <c r="U998" s="11" t="s">
        <v>40</v>
      </c>
      <c r="V998" s="11" t="s">
        <v>96</v>
      </c>
      <c r="W998" s="11">
        <v>50000000</v>
      </c>
      <c r="X998" s="11">
        <v>2010</v>
      </c>
      <c r="Y998" s="11">
        <v>2000</v>
      </c>
      <c r="Z998" s="11">
        <v>4.2</v>
      </c>
      <c r="AA998" s="11">
        <v>2.35</v>
      </c>
      <c r="AB998" s="11">
        <v>0</v>
      </c>
      <c r="AC998" s="11"/>
      <c r="AD998" s="11" t="str">
        <f>IFERROR(__xludf.DUMMYFUNCTION("""COMPUTED_VALUE"""),"Todd Graff")</f>
        <v>Todd Graff</v>
      </c>
      <c r="AE998" s="11"/>
    </row>
    <row r="999" customHeight="1" spans="1:31">
      <c r="A999" s="12" t="s">
        <v>30</v>
      </c>
      <c r="B999" s="12" t="s">
        <v>3695</v>
      </c>
      <c r="C999" s="12">
        <v>315</v>
      </c>
      <c r="D999" s="12">
        <v>129</v>
      </c>
      <c r="E999" s="12">
        <v>16000</v>
      </c>
      <c r="F999" s="12">
        <v>447</v>
      </c>
      <c r="G999" s="12">
        <v>13000</v>
      </c>
      <c r="H999" s="12">
        <v>32741596</v>
      </c>
      <c r="I999" s="12" t="s">
        <v>5324</v>
      </c>
      <c r="J999" s="12" t="s">
        <v>1158</v>
      </c>
      <c r="K999" s="12" t="s">
        <v>5325</v>
      </c>
      <c r="L999" s="12" t="s">
        <v>1630</v>
      </c>
      <c r="M999" s="12" t="s">
        <v>5326</v>
      </c>
      <c r="N999" s="12">
        <v>80140</v>
      </c>
      <c r="O999" s="12">
        <v>14344</v>
      </c>
      <c r="P999" s="12">
        <v>0</v>
      </c>
      <c r="Q999" s="12" t="s">
        <v>5327</v>
      </c>
      <c r="R999" s="15" t="s">
        <v>5328</v>
      </c>
      <c r="S999" s="12">
        <v>323</v>
      </c>
      <c r="T999" s="12" t="s">
        <v>39</v>
      </c>
      <c r="U999" s="12" t="s">
        <v>40</v>
      </c>
      <c r="V999" s="12" t="s">
        <v>41</v>
      </c>
      <c r="W999" s="12">
        <v>50000000</v>
      </c>
      <c r="X999" s="12">
        <v>2010</v>
      </c>
      <c r="Y999" s="12">
        <v>563</v>
      </c>
      <c r="Z999" s="12">
        <v>6.5</v>
      </c>
      <c r="AA999" s="12">
        <v>2.35</v>
      </c>
      <c r="AB999" s="12">
        <v>16000</v>
      </c>
      <c r="AC999" s="12"/>
      <c r="AD999" s="12" t="str">
        <f>IFERROR(__xludf.DUMMYFUNCTION("""COMPUTED_VALUE"""),"John Buffalo Mailer")</f>
        <v>John Buffalo Mailer</v>
      </c>
      <c r="AE999" s="12"/>
    </row>
    <row r="1000" customHeight="1" spans="1:31">
      <c r="A1000" s="11" t="s">
        <v>30</v>
      </c>
      <c r="B1000" s="11" t="s">
        <v>5329</v>
      </c>
      <c r="C1000" s="11">
        <v>136</v>
      </c>
      <c r="D1000" s="11">
        <v>115</v>
      </c>
      <c r="E1000" s="11">
        <v>58</v>
      </c>
      <c r="F1000" s="11">
        <v>401</v>
      </c>
      <c r="G1000" s="11">
        <v>33000</v>
      </c>
      <c r="H1000" s="11">
        <v>31874869</v>
      </c>
      <c r="I1000" s="11" t="s">
        <v>2215</v>
      </c>
      <c r="J1000" s="11" t="s">
        <v>4214</v>
      </c>
      <c r="K1000" s="11" t="s">
        <v>4528</v>
      </c>
      <c r="L1000" s="11" t="s">
        <v>5330</v>
      </c>
      <c r="M1000" s="11" t="s">
        <v>5331</v>
      </c>
      <c r="N1000" s="11">
        <v>43574</v>
      </c>
      <c r="O1000" s="11">
        <v>34606</v>
      </c>
      <c r="P1000" s="11">
        <v>0</v>
      </c>
      <c r="Q1000" s="11" t="s">
        <v>5332</v>
      </c>
      <c r="R1000" s="14" t="s">
        <v>5333</v>
      </c>
      <c r="S1000" s="11">
        <v>302</v>
      </c>
      <c r="T1000" s="11" t="s">
        <v>39</v>
      </c>
      <c r="U1000" s="11" t="s">
        <v>40</v>
      </c>
      <c r="V1000" s="11" t="s">
        <v>586</v>
      </c>
      <c r="W1000" s="11">
        <v>50000000</v>
      </c>
      <c r="X1000" s="11">
        <v>2002</v>
      </c>
      <c r="Y1000" s="11">
        <v>455</v>
      </c>
      <c r="Z1000" s="11">
        <v>6.1</v>
      </c>
      <c r="AA1000" s="11">
        <v>1.85</v>
      </c>
      <c r="AB1000" s="11">
        <v>0</v>
      </c>
      <c r="AC1000" s="11"/>
      <c r="AD1000" s="11" t="str">
        <f>IFERROR(__xludf.DUMMYFUNCTION("""COMPUTED_VALUE"""),"Sarah Gadon")</f>
        <v>Sarah Gadon</v>
      </c>
      <c r="AE1000" s="11"/>
    </row>
    <row r="1001" customHeight="1" spans="1:31">
      <c r="A1001" s="12" t="s">
        <v>748</v>
      </c>
      <c r="B1001" s="12" t="s">
        <v>1059</v>
      </c>
      <c r="C1001" s="12">
        <v>61</v>
      </c>
      <c r="D1001" s="12">
        <v>132</v>
      </c>
      <c r="E1001" s="12">
        <v>503</v>
      </c>
      <c r="F1001" s="12">
        <v>282</v>
      </c>
      <c r="G1001" s="12">
        <v>45000</v>
      </c>
      <c r="H1001" s="12">
        <v>30306268</v>
      </c>
      <c r="I1001" s="12" t="s">
        <v>334</v>
      </c>
      <c r="J1001" s="12" t="s">
        <v>5334</v>
      </c>
      <c r="K1001" s="12" t="s">
        <v>1785</v>
      </c>
      <c r="L1001" s="12" t="s">
        <v>5335</v>
      </c>
      <c r="M1001" s="12" t="s">
        <v>5336</v>
      </c>
      <c r="N1001" s="12">
        <v>62981</v>
      </c>
      <c r="O1001" s="12">
        <v>58528</v>
      </c>
      <c r="P1001" s="12">
        <v>0</v>
      </c>
      <c r="Q1001" s="12" t="s">
        <v>5337</v>
      </c>
      <c r="R1001" s="15" t="s">
        <v>5338</v>
      </c>
      <c r="S1001" s="12">
        <v>84</v>
      </c>
      <c r="T1001" s="12" t="s">
        <v>39</v>
      </c>
      <c r="U1001" s="12" t="s">
        <v>1466</v>
      </c>
      <c r="V1001" s="12" t="s">
        <v>586</v>
      </c>
      <c r="W1001" s="12">
        <v>50000000</v>
      </c>
      <c r="X1001" s="12">
        <v>1995</v>
      </c>
      <c r="Y1001" s="12">
        <v>13000</v>
      </c>
      <c r="Z1001" s="12">
        <v>6.3</v>
      </c>
      <c r="AA1001" s="12">
        <v>1.85</v>
      </c>
      <c r="AB1001" s="12">
        <v>0</v>
      </c>
      <c r="AC1001" s="12"/>
      <c r="AD1001" s="12" t="str">
        <f>IFERROR(__xludf.DUMMYFUNCTION("""COMPUTED_VALUE"""),"Zach McGowan")</f>
        <v>Zach McGowan</v>
      </c>
      <c r="AE1001" s="12"/>
    </row>
    <row r="1002" customHeight="1" spans="1:31">
      <c r="A1002" s="11" t="s">
        <v>30</v>
      </c>
      <c r="B1002" s="11" t="s">
        <v>5339</v>
      </c>
      <c r="C1002" s="11">
        <v>209</v>
      </c>
      <c r="D1002" s="11">
        <v>131</v>
      </c>
      <c r="E1002" s="11">
        <v>73</v>
      </c>
      <c r="F1002" s="11">
        <v>163</v>
      </c>
      <c r="G1002" s="11">
        <v>879</v>
      </c>
      <c r="H1002" s="11">
        <v>27667947</v>
      </c>
      <c r="I1002" s="11" t="s">
        <v>2126</v>
      </c>
      <c r="J1002" s="11" t="s">
        <v>2413</v>
      </c>
      <c r="K1002" s="11" t="s">
        <v>5340</v>
      </c>
      <c r="L1002" s="11" t="s">
        <v>5341</v>
      </c>
      <c r="M1002" s="11" t="s">
        <v>5342</v>
      </c>
      <c r="N1002" s="11">
        <v>86374</v>
      </c>
      <c r="O1002" s="11">
        <v>1344</v>
      </c>
      <c r="P1002" s="11">
        <v>0</v>
      </c>
      <c r="Q1002" s="11" t="s">
        <v>5343</v>
      </c>
      <c r="R1002" s="14" t="s">
        <v>5344</v>
      </c>
      <c r="S1002" s="11">
        <v>392</v>
      </c>
      <c r="T1002" s="11" t="s">
        <v>39</v>
      </c>
      <c r="U1002" s="11" t="s">
        <v>58</v>
      </c>
      <c r="V1002" s="11" t="s">
        <v>586</v>
      </c>
      <c r="W1002" s="11">
        <v>50000000</v>
      </c>
      <c r="X1002" s="11">
        <v>2007</v>
      </c>
      <c r="Y1002" s="11">
        <v>184</v>
      </c>
      <c r="Z1002" s="11">
        <v>6.2</v>
      </c>
      <c r="AA1002" s="11">
        <v>2.35</v>
      </c>
      <c r="AB1002" s="11">
        <v>3000</v>
      </c>
      <c r="AC1002" s="11"/>
      <c r="AD1002" s="11" t="str">
        <f>IFERROR(__xludf.DUMMYFUNCTION("""COMPUTED_VALUE"""),"Mark Valley")</f>
        <v>Mark Valley</v>
      </c>
      <c r="AE1002" s="11"/>
    </row>
    <row r="1003" customHeight="1" spans="1:31">
      <c r="A1003" s="12" t="s">
        <v>30</v>
      </c>
      <c r="B1003" s="12" t="s">
        <v>3892</v>
      </c>
      <c r="C1003" s="12">
        <v>99</v>
      </c>
      <c r="D1003" s="12">
        <v>95</v>
      </c>
      <c r="E1003" s="12">
        <v>0</v>
      </c>
      <c r="F1003" s="12">
        <v>323</v>
      </c>
      <c r="G1003" s="12">
        <v>13000</v>
      </c>
      <c r="H1003" s="12">
        <v>27067160</v>
      </c>
      <c r="I1003" s="12" t="s">
        <v>1415</v>
      </c>
      <c r="J1003" s="12" t="s">
        <v>978</v>
      </c>
      <c r="K1003" s="12" t="s">
        <v>5345</v>
      </c>
      <c r="L1003" s="12" t="s">
        <v>5346</v>
      </c>
      <c r="M1003" s="12" t="s">
        <v>5347</v>
      </c>
      <c r="N1003" s="12">
        <v>18404</v>
      </c>
      <c r="O1003" s="12">
        <v>14706</v>
      </c>
      <c r="P1003" s="12">
        <v>1</v>
      </c>
      <c r="Q1003" s="12" t="s">
        <v>5348</v>
      </c>
      <c r="R1003" s="15" t="s">
        <v>5349</v>
      </c>
      <c r="S1003" s="12">
        <v>150</v>
      </c>
      <c r="T1003" s="12" t="s">
        <v>39</v>
      </c>
      <c r="U1003" s="12" t="s">
        <v>40</v>
      </c>
      <c r="V1003" s="12" t="s">
        <v>586</v>
      </c>
      <c r="W1003" s="12">
        <v>50000000</v>
      </c>
      <c r="X1003" s="12">
        <v>1999</v>
      </c>
      <c r="Y1003" s="12">
        <v>559</v>
      </c>
      <c r="Z1003" s="12">
        <v>5.9</v>
      </c>
      <c r="AA1003" s="12">
        <v>1.85</v>
      </c>
      <c r="AB1003" s="12">
        <v>0</v>
      </c>
      <c r="AC1003" s="12"/>
      <c r="AD1003" s="12" t="str">
        <f>IFERROR(__xludf.DUMMYFUNCTION("""COMPUTED_VALUE"""),"Nathaniel Parker")</f>
        <v>Nathaniel Parker</v>
      </c>
      <c r="AE1003" s="12"/>
    </row>
    <row r="1004" customHeight="1" spans="1:31">
      <c r="A1004" s="11" t="s">
        <v>30</v>
      </c>
      <c r="B1004" s="11" t="s">
        <v>5350</v>
      </c>
      <c r="C1004" s="11">
        <v>298</v>
      </c>
      <c r="D1004" s="11">
        <v>125</v>
      </c>
      <c r="E1004" s="11">
        <v>487</v>
      </c>
      <c r="F1004" s="11">
        <v>201</v>
      </c>
      <c r="G1004" s="11">
        <v>430</v>
      </c>
      <c r="H1004" s="11">
        <v>26616999</v>
      </c>
      <c r="I1004" s="11" t="s">
        <v>1676</v>
      </c>
      <c r="J1004" s="11" t="s">
        <v>5351</v>
      </c>
      <c r="K1004" s="11" t="s">
        <v>5096</v>
      </c>
      <c r="L1004" s="11" t="s">
        <v>5352</v>
      </c>
      <c r="M1004" s="11" t="s">
        <v>5353</v>
      </c>
      <c r="N1004" s="11">
        <v>92461</v>
      </c>
      <c r="O1004" s="11">
        <v>1300</v>
      </c>
      <c r="P1004" s="11">
        <v>3</v>
      </c>
      <c r="Q1004" s="11" t="s">
        <v>5354</v>
      </c>
      <c r="R1004" s="14" t="s">
        <v>5355</v>
      </c>
      <c r="S1004" s="11">
        <v>347</v>
      </c>
      <c r="T1004" s="11" t="s">
        <v>39</v>
      </c>
      <c r="U1004" s="11" t="s">
        <v>40</v>
      </c>
      <c r="V1004" s="11" t="s">
        <v>41</v>
      </c>
      <c r="W1004" s="11">
        <v>40000000</v>
      </c>
      <c r="X1004" s="11">
        <v>2013</v>
      </c>
      <c r="Y1004" s="11">
        <v>329</v>
      </c>
      <c r="Z1004" s="11">
        <v>5.9</v>
      </c>
      <c r="AA1004" s="11">
        <v>2.35</v>
      </c>
      <c r="AB1004" s="11">
        <v>43000</v>
      </c>
      <c r="AC1004" s="11"/>
      <c r="AD1004" s="11" t="str">
        <f>IFERROR(__xludf.DUMMYFUNCTION("""COMPUTED_VALUE"""),"Victor Wong")</f>
        <v>Victor Wong</v>
      </c>
      <c r="AE1004" s="11"/>
    </row>
    <row r="1005" customHeight="1" spans="1:31">
      <c r="A1005" s="12" t="s">
        <v>30</v>
      </c>
      <c r="B1005" s="12" t="s">
        <v>1312</v>
      </c>
      <c r="C1005" s="12">
        <v>131</v>
      </c>
      <c r="D1005" s="12">
        <v>98</v>
      </c>
      <c r="E1005" s="12">
        <v>323</v>
      </c>
      <c r="F1005" s="12">
        <v>511</v>
      </c>
      <c r="G1005" s="12">
        <v>933</v>
      </c>
      <c r="H1005" s="12">
        <v>26536120</v>
      </c>
      <c r="I1005" s="12" t="s">
        <v>1120</v>
      </c>
      <c r="J1005" s="12" t="s">
        <v>1694</v>
      </c>
      <c r="K1005" s="12" t="s">
        <v>5356</v>
      </c>
      <c r="L1005" s="12" t="s">
        <v>5357</v>
      </c>
      <c r="M1005" s="12" t="s">
        <v>5358</v>
      </c>
      <c r="N1005" s="12">
        <v>49926</v>
      </c>
      <c r="O1005" s="12">
        <v>3357</v>
      </c>
      <c r="P1005" s="12">
        <v>0</v>
      </c>
      <c r="Q1005" s="12" t="s">
        <v>5359</v>
      </c>
      <c r="R1005" s="15" t="s">
        <v>5360</v>
      </c>
      <c r="S1005" s="12">
        <v>286</v>
      </c>
      <c r="T1005" s="12" t="s">
        <v>39</v>
      </c>
      <c r="U1005" s="12" t="s">
        <v>768</v>
      </c>
      <c r="V1005" s="12" t="s">
        <v>586</v>
      </c>
      <c r="W1005" s="12">
        <v>50000000</v>
      </c>
      <c r="X1005" s="12">
        <v>2003</v>
      </c>
      <c r="Y1005" s="12">
        <v>631</v>
      </c>
      <c r="Z1005" s="12">
        <v>6.5</v>
      </c>
      <c r="AA1005" s="12">
        <v>2.35</v>
      </c>
      <c r="AB1005" s="12">
        <v>0</v>
      </c>
      <c r="AC1005" s="12"/>
      <c r="AD1005" s="12" t="str">
        <f>IFERROR(__xludf.DUMMYFUNCTION("""COMPUTED_VALUE"""),"Chelcie Ross")</f>
        <v>Chelcie Ross</v>
      </c>
      <c r="AE1005" s="12"/>
    </row>
    <row r="1006" customHeight="1" spans="1:31">
      <c r="A1006" s="11" t="s">
        <v>30</v>
      </c>
      <c r="B1006" s="11" t="s">
        <v>3695</v>
      </c>
      <c r="C1006" s="11">
        <v>146</v>
      </c>
      <c r="D1006" s="11">
        <v>110</v>
      </c>
      <c r="E1006" s="11">
        <v>16000</v>
      </c>
      <c r="F1006" s="11">
        <v>581</v>
      </c>
      <c r="G1006" s="11">
        <v>16000</v>
      </c>
      <c r="H1006" s="11">
        <v>26199517</v>
      </c>
      <c r="I1006" s="11" t="s">
        <v>1120</v>
      </c>
      <c r="J1006" s="11" t="s">
        <v>3695</v>
      </c>
      <c r="K1006" s="11" t="s">
        <v>3981</v>
      </c>
      <c r="L1006" s="11" t="s">
        <v>5361</v>
      </c>
      <c r="M1006" s="11" t="s">
        <v>5362</v>
      </c>
      <c r="N1006" s="11">
        <v>34356</v>
      </c>
      <c r="O1006" s="11">
        <v>18635</v>
      </c>
      <c r="P1006" s="11">
        <v>1</v>
      </c>
      <c r="Q1006" s="11" t="s">
        <v>5363</v>
      </c>
      <c r="R1006" s="14" t="s">
        <v>5364</v>
      </c>
      <c r="S1006" s="11">
        <v>260</v>
      </c>
      <c r="T1006" s="11" t="s">
        <v>39</v>
      </c>
      <c r="U1006" s="11" t="s">
        <v>40</v>
      </c>
      <c r="V1006" s="11" t="s">
        <v>586</v>
      </c>
      <c r="W1006" s="11">
        <v>50000000</v>
      </c>
      <c r="X1006" s="11">
        <v>2002</v>
      </c>
      <c r="Y1006" s="11">
        <v>1000</v>
      </c>
      <c r="Z1006" s="11">
        <v>6.4</v>
      </c>
      <c r="AA1006" s="11">
        <v>2.35</v>
      </c>
      <c r="AB1006" s="11">
        <v>705</v>
      </c>
      <c r="AC1006" s="11"/>
      <c r="AD1006" s="11" t="str">
        <f>IFERROR(__xludf.DUMMYFUNCTION("""COMPUTED_VALUE"""),"Brooke Smith")</f>
        <v>Brooke Smith</v>
      </c>
      <c r="AE1006" s="11"/>
    </row>
    <row r="1007" customHeight="1" spans="1:31">
      <c r="A1007" s="12" t="s">
        <v>30</v>
      </c>
      <c r="B1007" s="12" t="s">
        <v>1848</v>
      </c>
      <c r="C1007" s="12">
        <v>245</v>
      </c>
      <c r="D1007" s="12">
        <v>118</v>
      </c>
      <c r="E1007" s="12">
        <v>670</v>
      </c>
      <c r="F1007" s="12">
        <v>294</v>
      </c>
      <c r="G1007" s="12">
        <v>6000</v>
      </c>
      <c r="H1007" s="12">
        <v>25450527</v>
      </c>
      <c r="I1007" s="12" t="s">
        <v>1120</v>
      </c>
      <c r="J1007" s="12" t="s">
        <v>208</v>
      </c>
      <c r="K1007" s="12" t="s">
        <v>3125</v>
      </c>
      <c r="L1007" s="12" t="s">
        <v>854</v>
      </c>
      <c r="M1007" s="12" t="s">
        <v>5365</v>
      </c>
      <c r="N1007" s="12">
        <v>80196</v>
      </c>
      <c r="O1007" s="12">
        <v>7654</v>
      </c>
      <c r="P1007" s="12">
        <v>0</v>
      </c>
      <c r="Q1007" s="12" t="s">
        <v>5366</v>
      </c>
      <c r="R1007" s="15" t="s">
        <v>5367</v>
      </c>
      <c r="S1007" s="12">
        <v>190</v>
      </c>
      <c r="T1007" s="12" t="s">
        <v>39</v>
      </c>
      <c r="U1007" s="12" t="s">
        <v>40</v>
      </c>
      <c r="V1007" s="12" t="s">
        <v>586</v>
      </c>
      <c r="W1007" s="12">
        <v>50000000</v>
      </c>
      <c r="X1007" s="12">
        <v>2009</v>
      </c>
      <c r="Y1007" s="12">
        <v>450</v>
      </c>
      <c r="Z1007" s="12">
        <v>6.5</v>
      </c>
      <c r="AA1007" s="12">
        <v>2.35</v>
      </c>
      <c r="AB1007" s="12">
        <v>0</v>
      </c>
      <c r="AC1007" s="12"/>
      <c r="AD1007" s="12" t="str">
        <f>IFERROR(__xludf.DUMMYFUNCTION("""COMPUTED_VALUE"""),"Garcelle Beauvais")</f>
        <v>Garcelle Beauvais</v>
      </c>
      <c r="AE1007" s="12"/>
    </row>
    <row r="1008" customHeight="1" spans="1:31">
      <c r="A1008" s="11" t="s">
        <v>30</v>
      </c>
      <c r="B1008" s="11" t="s">
        <v>5368</v>
      </c>
      <c r="C1008" s="11">
        <v>104</v>
      </c>
      <c r="D1008" s="11">
        <v>101</v>
      </c>
      <c r="E1008" s="11">
        <v>0</v>
      </c>
      <c r="F1008" s="11">
        <v>764</v>
      </c>
      <c r="G1008" s="11">
        <v>12000</v>
      </c>
      <c r="H1008" s="11">
        <v>25407250</v>
      </c>
      <c r="I1008" s="11" t="s">
        <v>227</v>
      </c>
      <c r="J1008" s="11" t="s">
        <v>272</v>
      </c>
      <c r="K1008" s="11" t="s">
        <v>5369</v>
      </c>
      <c r="L1008" s="11" t="s">
        <v>5370</v>
      </c>
      <c r="M1008" s="11" t="s">
        <v>5371</v>
      </c>
      <c r="N1008" s="11">
        <v>54021</v>
      </c>
      <c r="O1008" s="11">
        <v>15935</v>
      </c>
      <c r="P1008" s="11">
        <v>0</v>
      </c>
      <c r="Q1008" s="11" t="s">
        <v>5372</v>
      </c>
      <c r="R1008" s="14" t="s">
        <v>5373</v>
      </c>
      <c r="S1008" s="11">
        <v>227</v>
      </c>
      <c r="T1008" s="11" t="s">
        <v>39</v>
      </c>
      <c r="U1008" s="11" t="s">
        <v>40</v>
      </c>
      <c r="V1008" s="11" t="s">
        <v>586</v>
      </c>
      <c r="W1008" s="11">
        <v>50000000</v>
      </c>
      <c r="X1008" s="11">
        <v>1996</v>
      </c>
      <c r="Y1008" s="11">
        <v>898</v>
      </c>
      <c r="Z1008" s="11">
        <v>5.7</v>
      </c>
      <c r="AA1008" s="11">
        <v>2.35</v>
      </c>
      <c r="AB1008" s="11">
        <v>0</v>
      </c>
      <c r="AC1008" s="11"/>
      <c r="AD1008" s="11" t="str">
        <f>IFERROR(__xludf.DUMMYFUNCTION("""COMPUTED_VALUE"""),"Ben Daniels")</f>
        <v>Ben Daniels</v>
      </c>
      <c r="AE1008" s="11"/>
    </row>
    <row r="1009" customHeight="1" spans="1:31">
      <c r="A1009" s="12" t="s">
        <v>30</v>
      </c>
      <c r="B1009" s="16"/>
      <c r="C1009" s="12">
        <v>4</v>
      </c>
      <c r="D1009" s="12">
        <v>60</v>
      </c>
      <c r="E1009" s="16"/>
      <c r="F1009" s="12">
        <v>398</v>
      </c>
      <c r="G1009" s="12">
        <v>629</v>
      </c>
      <c r="H1009" s="16"/>
      <c r="I1009" s="12" t="s">
        <v>1924</v>
      </c>
      <c r="J1009" s="12" t="s">
        <v>5374</v>
      </c>
      <c r="K1009" s="12" t="s">
        <v>5375</v>
      </c>
      <c r="L1009" s="12" t="s">
        <v>5376</v>
      </c>
      <c r="M1009" s="12" t="s">
        <v>5377</v>
      </c>
      <c r="N1009" s="12">
        <v>7945</v>
      </c>
      <c r="O1009" s="12">
        <v>2758</v>
      </c>
      <c r="P1009" s="12">
        <v>2</v>
      </c>
      <c r="Q1009" s="16"/>
      <c r="R1009" s="15" t="s">
        <v>5378</v>
      </c>
      <c r="S1009" s="12">
        <v>22</v>
      </c>
      <c r="T1009" s="12" t="s">
        <v>39</v>
      </c>
      <c r="U1009" s="12" t="s">
        <v>40</v>
      </c>
      <c r="V1009" s="16"/>
      <c r="W1009" s="16"/>
      <c r="X1009" s="16"/>
      <c r="Y1009" s="12">
        <v>512</v>
      </c>
      <c r="Z1009" s="12">
        <v>7.5</v>
      </c>
      <c r="AA1009" s="12">
        <v>16</v>
      </c>
      <c r="AB1009" s="12">
        <v>915</v>
      </c>
      <c r="AC1009" s="12"/>
      <c r="AD1009" s="12" t="str">
        <f>IFERROR(__xludf.DUMMYFUNCTION("""COMPUTED_VALUE"""),"Dexter Fletcher")</f>
        <v>Dexter Fletcher</v>
      </c>
      <c r="AE1009" s="12"/>
    </row>
    <row r="1010" customHeight="1" spans="1:31">
      <c r="A1010" s="11" t="s">
        <v>30</v>
      </c>
      <c r="B1010" s="11" t="s">
        <v>605</v>
      </c>
      <c r="C1010" s="11">
        <v>162</v>
      </c>
      <c r="D1010" s="11">
        <v>90</v>
      </c>
      <c r="E1010" s="11">
        <v>663</v>
      </c>
      <c r="F1010" s="11">
        <v>521</v>
      </c>
      <c r="G1010" s="11">
        <v>14000</v>
      </c>
      <c r="H1010" s="11">
        <v>23159305</v>
      </c>
      <c r="I1010" s="11" t="s">
        <v>613</v>
      </c>
      <c r="J1010" s="11" t="s">
        <v>337</v>
      </c>
      <c r="K1010" s="11" t="s">
        <v>5356</v>
      </c>
      <c r="L1010" s="11" t="s">
        <v>5379</v>
      </c>
      <c r="M1010" s="11" t="s">
        <v>5380</v>
      </c>
      <c r="N1010" s="11">
        <v>128455</v>
      </c>
      <c r="O1010" s="11">
        <v>16358</v>
      </c>
      <c r="P1010" s="11">
        <v>1</v>
      </c>
      <c r="Q1010" s="11" t="s">
        <v>5381</v>
      </c>
      <c r="R1010" s="14" t="s">
        <v>5382</v>
      </c>
      <c r="S1010" s="11">
        <v>514</v>
      </c>
      <c r="T1010" s="11" t="s">
        <v>39</v>
      </c>
      <c r="U1010" s="11" t="s">
        <v>40</v>
      </c>
      <c r="V1010" s="11" t="s">
        <v>96</v>
      </c>
      <c r="W1010" s="11">
        <v>70000000</v>
      </c>
      <c r="X1010" s="11">
        <v>1999</v>
      </c>
      <c r="Y1010" s="11">
        <v>631</v>
      </c>
      <c r="Z1010" s="11">
        <v>8</v>
      </c>
      <c r="AA1010" s="11">
        <v>2.35</v>
      </c>
      <c r="AB1010" s="11">
        <v>0</v>
      </c>
      <c r="AC1010" s="11"/>
      <c r="AD1010" s="11" t="str">
        <f>IFERROR(__xludf.DUMMYFUNCTION("""COMPUTED_VALUE"""),"Phill Lewis")</f>
        <v>Phill Lewis</v>
      </c>
      <c r="AE1010" s="11"/>
    </row>
    <row r="1011" customHeight="1" spans="1:31">
      <c r="A1011" s="12" t="s">
        <v>30</v>
      </c>
      <c r="B1011" s="12" t="s">
        <v>5383</v>
      </c>
      <c r="C1011" s="12">
        <v>259</v>
      </c>
      <c r="D1011" s="12">
        <v>119</v>
      </c>
      <c r="E1011" s="12">
        <v>0</v>
      </c>
      <c r="F1011" s="12">
        <v>639</v>
      </c>
      <c r="G1011" s="12">
        <v>13000</v>
      </c>
      <c r="H1011" s="12">
        <v>24006726</v>
      </c>
      <c r="I1011" s="12" t="s">
        <v>5384</v>
      </c>
      <c r="J1011" s="12" t="s">
        <v>549</v>
      </c>
      <c r="K1011" s="12" t="s">
        <v>3981</v>
      </c>
      <c r="L1011" s="12" t="s">
        <v>4568</v>
      </c>
      <c r="M1011" s="12" t="s">
        <v>5385</v>
      </c>
      <c r="N1011" s="12">
        <v>139535</v>
      </c>
      <c r="O1011" s="12">
        <v>15757</v>
      </c>
      <c r="P1011" s="12">
        <v>8</v>
      </c>
      <c r="Q1011" s="12" t="s">
        <v>5386</v>
      </c>
      <c r="R1011" s="15" t="s">
        <v>5387</v>
      </c>
      <c r="S1011" s="12">
        <v>632</v>
      </c>
      <c r="T1011" s="12" t="s">
        <v>39</v>
      </c>
      <c r="U1011" s="12" t="s">
        <v>40</v>
      </c>
      <c r="V1011" s="12" t="s">
        <v>586</v>
      </c>
      <c r="W1011" s="12">
        <v>50000000</v>
      </c>
      <c r="X1011" s="12">
        <v>2004</v>
      </c>
      <c r="Y1011" s="12">
        <v>1000</v>
      </c>
      <c r="Z1011" s="12">
        <v>7.3</v>
      </c>
      <c r="AA1011" s="12">
        <v>2.35</v>
      </c>
      <c r="AB1011" s="12">
        <v>0</v>
      </c>
      <c r="AC1011" s="12"/>
      <c r="AD1011" s="12" t="str">
        <f>IFERROR(__xludf.DUMMYFUNCTION("""COMPUTED_VALUE"""),"Tate Taylor")</f>
        <v>Tate Taylor</v>
      </c>
      <c r="AE1011" s="12"/>
    </row>
    <row r="1012" customHeight="1" spans="1:31">
      <c r="A1012" s="11" t="s">
        <v>30</v>
      </c>
      <c r="B1012" s="11" t="s">
        <v>2297</v>
      </c>
      <c r="C1012" s="11">
        <v>79</v>
      </c>
      <c r="D1012" s="11">
        <v>139</v>
      </c>
      <c r="E1012" s="11">
        <v>378</v>
      </c>
      <c r="F1012" s="11">
        <v>303</v>
      </c>
      <c r="G1012" s="11">
        <v>11000</v>
      </c>
      <c r="H1012" s="11">
        <v>20389967</v>
      </c>
      <c r="I1012" s="11" t="s">
        <v>5388</v>
      </c>
      <c r="J1012" s="11" t="s">
        <v>661</v>
      </c>
      <c r="K1012" s="11" t="s">
        <v>5389</v>
      </c>
      <c r="L1012" s="11" t="s">
        <v>5390</v>
      </c>
      <c r="M1012" s="11" t="s">
        <v>5391</v>
      </c>
      <c r="N1012" s="11">
        <v>3077</v>
      </c>
      <c r="O1012" s="11">
        <v>12786</v>
      </c>
      <c r="P1012" s="11">
        <v>1</v>
      </c>
      <c r="Q1012" s="11" t="s">
        <v>5392</v>
      </c>
      <c r="R1012" s="14" t="s">
        <v>5393</v>
      </c>
      <c r="S1012" s="11">
        <v>47</v>
      </c>
      <c r="T1012" s="11" t="s">
        <v>39</v>
      </c>
      <c r="U1012" s="11" t="s">
        <v>40</v>
      </c>
      <c r="V1012" s="11" t="s">
        <v>586</v>
      </c>
      <c r="W1012" s="11">
        <v>50000000</v>
      </c>
      <c r="X1012" s="11">
        <v>2016</v>
      </c>
      <c r="Y1012" s="11">
        <v>552</v>
      </c>
      <c r="Z1012" s="11">
        <v>6.7</v>
      </c>
      <c r="AA1012" s="11">
        <v>1.85</v>
      </c>
      <c r="AB1012" s="11">
        <v>10000</v>
      </c>
      <c r="AC1012" s="11"/>
      <c r="AD1012" s="11" t="str">
        <f>IFERROR(__xludf.DUMMYFUNCTION("""COMPUTED_VALUE"""),"Stephen Rea")</f>
        <v>Stephen Rea</v>
      </c>
      <c r="AE1012" s="11"/>
    </row>
    <row r="1013" customHeight="1" spans="1:31">
      <c r="A1013" s="12" t="s">
        <v>30</v>
      </c>
      <c r="B1013" s="12" t="s">
        <v>4705</v>
      </c>
      <c r="C1013" s="12">
        <v>141</v>
      </c>
      <c r="D1013" s="12">
        <v>130</v>
      </c>
      <c r="E1013" s="12">
        <v>317</v>
      </c>
      <c r="F1013" s="12">
        <v>256</v>
      </c>
      <c r="G1013" s="12">
        <v>18000</v>
      </c>
      <c r="H1013" s="12">
        <v>19593740</v>
      </c>
      <c r="I1013" s="12" t="s">
        <v>2126</v>
      </c>
      <c r="J1013" s="12" t="s">
        <v>120</v>
      </c>
      <c r="K1013" s="12" t="s">
        <v>216</v>
      </c>
      <c r="L1013" s="12" t="s">
        <v>925</v>
      </c>
      <c r="M1013" s="12" t="s">
        <v>5394</v>
      </c>
      <c r="N1013" s="12">
        <v>88270</v>
      </c>
      <c r="O1013" s="12">
        <v>32637</v>
      </c>
      <c r="P1013" s="12">
        <v>0</v>
      </c>
      <c r="Q1013" s="12" t="s">
        <v>5395</v>
      </c>
      <c r="R1013" s="15" t="s">
        <v>5396</v>
      </c>
      <c r="S1013" s="12">
        <v>420</v>
      </c>
      <c r="T1013" s="12" t="s">
        <v>39</v>
      </c>
      <c r="U1013" s="12" t="s">
        <v>40</v>
      </c>
      <c r="V1013" s="12" t="s">
        <v>586</v>
      </c>
      <c r="W1013" s="12">
        <v>50000000</v>
      </c>
      <c r="X1013" s="12">
        <v>2003</v>
      </c>
      <c r="Y1013" s="12">
        <v>14000</v>
      </c>
      <c r="Z1013" s="12">
        <v>7.5</v>
      </c>
      <c r="AA1013" s="12">
        <v>2.35</v>
      </c>
      <c r="AB1013" s="12">
        <v>0</v>
      </c>
      <c r="AC1013" s="12"/>
      <c r="AD1013" s="12" t="str">
        <f>IFERROR(__xludf.DUMMYFUNCTION("""COMPUTED_VALUE"""),"Sandrine Holt")</f>
        <v>Sandrine Holt</v>
      </c>
      <c r="AE1013" s="12"/>
    </row>
    <row r="1014" customHeight="1" spans="1:31">
      <c r="A1014" s="11" t="s">
        <v>30</v>
      </c>
      <c r="B1014" s="11" t="s">
        <v>4438</v>
      </c>
      <c r="C1014" s="11">
        <v>59</v>
      </c>
      <c r="D1014" s="11">
        <v>100</v>
      </c>
      <c r="E1014" s="11">
        <v>65</v>
      </c>
      <c r="F1014" s="11">
        <v>730</v>
      </c>
      <c r="G1014" s="11">
        <v>1000</v>
      </c>
      <c r="H1014" s="11">
        <v>19118247</v>
      </c>
      <c r="I1014" s="11" t="s">
        <v>2137</v>
      </c>
      <c r="J1014" s="11" t="s">
        <v>3091</v>
      </c>
      <c r="K1014" s="11" t="s">
        <v>5397</v>
      </c>
      <c r="L1014" s="11" t="s">
        <v>871</v>
      </c>
      <c r="M1014" s="11" t="s">
        <v>5398</v>
      </c>
      <c r="N1014" s="11">
        <v>19829</v>
      </c>
      <c r="O1014" s="11">
        <v>6171</v>
      </c>
      <c r="P1014" s="11">
        <v>5</v>
      </c>
      <c r="Q1014" s="11" t="s">
        <v>5399</v>
      </c>
      <c r="R1014" s="14" t="s">
        <v>5400</v>
      </c>
      <c r="S1014" s="11">
        <v>94</v>
      </c>
      <c r="T1014" s="11" t="s">
        <v>39</v>
      </c>
      <c r="U1014" s="11" t="s">
        <v>40</v>
      </c>
      <c r="V1014" s="11" t="s">
        <v>41</v>
      </c>
      <c r="W1014" s="11">
        <v>40000000</v>
      </c>
      <c r="X1014" s="11">
        <v>2005</v>
      </c>
      <c r="Y1014" s="11">
        <v>923</v>
      </c>
      <c r="Z1014" s="11">
        <v>5.4</v>
      </c>
      <c r="AA1014" s="11">
        <v>2.35</v>
      </c>
      <c r="AB1014" s="11">
        <v>779</v>
      </c>
      <c r="AC1014" s="11"/>
      <c r="AD1014" s="11" t="str">
        <f>IFERROR(__xludf.DUMMYFUNCTION("""COMPUTED_VALUE"""),"James Martin Kelly")</f>
        <v>James Martin Kelly</v>
      </c>
      <c r="AE1014" s="11"/>
    </row>
    <row r="1015" customHeight="1" spans="1:31">
      <c r="A1015" s="12" t="s">
        <v>30</v>
      </c>
      <c r="B1015" s="12" t="s">
        <v>5129</v>
      </c>
      <c r="C1015" s="12">
        <v>236</v>
      </c>
      <c r="D1015" s="12">
        <v>114</v>
      </c>
      <c r="E1015" s="12">
        <v>174</v>
      </c>
      <c r="F1015" s="12">
        <v>655</v>
      </c>
      <c r="G1015" s="12">
        <v>14000</v>
      </c>
      <c r="H1015" s="12">
        <v>26442251</v>
      </c>
      <c r="I1015" s="12" t="s">
        <v>464</v>
      </c>
      <c r="J1015" s="12" t="s">
        <v>228</v>
      </c>
      <c r="K1015" s="12" t="s">
        <v>329</v>
      </c>
      <c r="L1015" s="12" t="s">
        <v>2285</v>
      </c>
      <c r="M1015" s="12" t="s">
        <v>5401</v>
      </c>
      <c r="N1015" s="12">
        <v>76010</v>
      </c>
      <c r="O1015" s="12">
        <v>16992</v>
      </c>
      <c r="P1015" s="12">
        <v>2</v>
      </c>
      <c r="Q1015" s="12" t="s">
        <v>5402</v>
      </c>
      <c r="R1015" s="15" t="s">
        <v>5403</v>
      </c>
      <c r="S1015" s="12">
        <v>205</v>
      </c>
      <c r="T1015" s="12" t="s">
        <v>39</v>
      </c>
      <c r="U1015" s="12" t="s">
        <v>40</v>
      </c>
      <c r="V1015" s="12" t="s">
        <v>586</v>
      </c>
      <c r="W1015" s="12">
        <v>50000000</v>
      </c>
      <c r="X1015" s="12">
        <v>2015</v>
      </c>
      <c r="Y1015" s="12">
        <v>988</v>
      </c>
      <c r="Z1015" s="12">
        <v>6.6</v>
      </c>
      <c r="AA1015" s="12">
        <v>2.35</v>
      </c>
      <c r="AB1015" s="12">
        <v>15000</v>
      </c>
      <c r="AC1015" s="12"/>
      <c r="AD1015" s="12" t="str">
        <f>IFERROR(__xludf.DUMMYFUNCTION("""COMPUTED_VALUE"""),"Shane Hartline")</f>
        <v>Shane Hartline</v>
      </c>
      <c r="AE1015" s="12"/>
    </row>
    <row r="1016" customHeight="1" spans="1:31">
      <c r="A1016" s="11" t="s">
        <v>30</v>
      </c>
      <c r="B1016" s="11" t="s">
        <v>5404</v>
      </c>
      <c r="C1016" s="11">
        <v>356</v>
      </c>
      <c r="D1016" s="11">
        <v>96</v>
      </c>
      <c r="E1016" s="11">
        <v>0</v>
      </c>
      <c r="F1016" s="11">
        <v>509</v>
      </c>
      <c r="G1016" s="11">
        <v>10000</v>
      </c>
      <c r="H1016" s="11">
        <v>17114882</v>
      </c>
      <c r="I1016" s="11" t="s">
        <v>2215</v>
      </c>
      <c r="J1016" s="11" t="s">
        <v>2825</v>
      </c>
      <c r="K1016" s="11" t="s">
        <v>208</v>
      </c>
      <c r="L1016" s="11" t="s">
        <v>5405</v>
      </c>
      <c r="M1016" s="11" t="s">
        <v>5406</v>
      </c>
      <c r="N1016" s="11">
        <v>189249</v>
      </c>
      <c r="O1016" s="11">
        <v>17211</v>
      </c>
      <c r="P1016" s="11">
        <v>1</v>
      </c>
      <c r="Q1016" s="11" t="s">
        <v>5407</v>
      </c>
      <c r="R1016" s="14" t="s">
        <v>5408</v>
      </c>
      <c r="S1016" s="11">
        <v>398</v>
      </c>
      <c r="T1016" s="11" t="s">
        <v>39</v>
      </c>
      <c r="U1016" s="11" t="s">
        <v>40</v>
      </c>
      <c r="V1016" s="11" t="s">
        <v>586</v>
      </c>
      <c r="W1016" s="11">
        <v>25000000</v>
      </c>
      <c r="X1016" s="11">
        <v>2007</v>
      </c>
      <c r="Y1016" s="11">
        <v>6000</v>
      </c>
      <c r="Z1016" s="11">
        <v>7.7</v>
      </c>
      <c r="AA1016" s="11">
        <v>1.85</v>
      </c>
      <c r="AB1016" s="11">
        <v>0</v>
      </c>
      <c r="AC1016" s="11"/>
      <c r="AD1016" s="11" t="str">
        <f>IFERROR(__xludf.DUMMYFUNCTION("""COMPUTED_VALUE"""),"Celina Beach")</f>
        <v>Celina Beach</v>
      </c>
      <c r="AE1016" s="11"/>
    </row>
    <row r="1017" customHeight="1" spans="1:31">
      <c r="A1017" s="12" t="s">
        <v>30</v>
      </c>
      <c r="B1017" s="12" t="s">
        <v>5409</v>
      </c>
      <c r="C1017" s="12">
        <v>120</v>
      </c>
      <c r="D1017" s="12">
        <v>110</v>
      </c>
      <c r="E1017" s="12">
        <v>134</v>
      </c>
      <c r="F1017" s="12">
        <v>795</v>
      </c>
      <c r="G1017" s="12">
        <v>23000</v>
      </c>
      <c r="H1017" s="12">
        <v>18472363</v>
      </c>
      <c r="I1017" s="12" t="s">
        <v>3336</v>
      </c>
      <c r="J1017" s="12" t="s">
        <v>336</v>
      </c>
      <c r="K1017" s="12" t="s">
        <v>303</v>
      </c>
      <c r="L1017" s="12" t="s">
        <v>4557</v>
      </c>
      <c r="M1017" s="12" t="s">
        <v>5410</v>
      </c>
      <c r="N1017" s="12">
        <v>63599</v>
      </c>
      <c r="O1017" s="12">
        <v>25049</v>
      </c>
      <c r="P1017" s="12">
        <v>3</v>
      </c>
      <c r="Q1017" s="12" t="s">
        <v>5411</v>
      </c>
      <c r="R1017" s="15" t="s">
        <v>5412</v>
      </c>
      <c r="S1017" s="12">
        <v>208</v>
      </c>
      <c r="T1017" s="12" t="s">
        <v>39</v>
      </c>
      <c r="U1017" s="12" t="s">
        <v>40</v>
      </c>
      <c r="V1017" s="12" t="s">
        <v>41</v>
      </c>
      <c r="W1017" s="12">
        <v>50000000</v>
      </c>
      <c r="X1017" s="12">
        <v>2005</v>
      </c>
      <c r="Y1017" s="12">
        <v>1000</v>
      </c>
      <c r="Z1017" s="12">
        <v>5.8</v>
      </c>
      <c r="AA1017" s="12">
        <v>2.35</v>
      </c>
      <c r="AB1017" s="12">
        <v>0</v>
      </c>
      <c r="AC1017" s="12"/>
      <c r="AD1017" s="12" t="str">
        <f>IFERROR(__xludf.DUMMYFUNCTION("""COMPUTED_VALUE"""),"Rory Cochrane")</f>
        <v>Rory Cochrane</v>
      </c>
      <c r="AE1017" s="12"/>
    </row>
    <row r="1018" customHeight="1" spans="1:31">
      <c r="A1018" s="11" t="s">
        <v>30</v>
      </c>
      <c r="B1018" s="11" t="s">
        <v>1972</v>
      </c>
      <c r="C1018" s="11">
        <v>111</v>
      </c>
      <c r="D1018" s="11">
        <v>158</v>
      </c>
      <c r="E1018" s="11">
        <v>0</v>
      </c>
      <c r="F1018" s="11">
        <v>15</v>
      </c>
      <c r="G1018" s="11">
        <v>51</v>
      </c>
      <c r="H1018" s="11">
        <v>14131298</v>
      </c>
      <c r="I1018" s="11" t="s">
        <v>3431</v>
      </c>
      <c r="J1018" s="11" t="s">
        <v>5413</v>
      </c>
      <c r="K1018" s="11" t="s">
        <v>5414</v>
      </c>
      <c r="L1018" s="11" t="s">
        <v>5415</v>
      </c>
      <c r="M1018" s="11" t="s">
        <v>5416</v>
      </c>
      <c r="N1018" s="11">
        <v>55889</v>
      </c>
      <c r="O1018" s="11">
        <v>144</v>
      </c>
      <c r="P1018" s="11">
        <v>0</v>
      </c>
      <c r="Q1018" s="11" t="s">
        <v>5417</v>
      </c>
      <c r="R1018" s="14" t="s">
        <v>5418</v>
      </c>
      <c r="S1018" s="11">
        <v>390</v>
      </c>
      <c r="T1018" s="11" t="s">
        <v>39</v>
      </c>
      <c r="U1018" s="11" t="s">
        <v>1466</v>
      </c>
      <c r="V1018" s="11" t="s">
        <v>586</v>
      </c>
      <c r="W1018" s="11">
        <v>390000000</v>
      </c>
      <c r="X1018" s="11">
        <v>1999</v>
      </c>
      <c r="Y1018" s="11">
        <v>40</v>
      </c>
      <c r="Z1018" s="11">
        <v>6.4</v>
      </c>
      <c r="AA1018" s="11">
        <v>2.35</v>
      </c>
      <c r="AB1018" s="11">
        <v>0</v>
      </c>
      <c r="AC1018" s="11"/>
      <c r="AD1018" s="11" t="str">
        <f>IFERROR(__xludf.DUMMYFUNCTION("""COMPUTED_VALUE"""),"Talisa Soto")</f>
        <v>Talisa Soto</v>
      </c>
      <c r="AE1018" s="11"/>
    </row>
    <row r="1019" customHeight="1" spans="1:31">
      <c r="A1019" s="12" t="s">
        <v>30</v>
      </c>
      <c r="B1019" s="12" t="s">
        <v>5419</v>
      </c>
      <c r="C1019" s="12">
        <v>208</v>
      </c>
      <c r="D1019" s="12">
        <v>102</v>
      </c>
      <c r="E1019" s="12">
        <v>234</v>
      </c>
      <c r="F1019" s="12">
        <v>11000</v>
      </c>
      <c r="G1019" s="12">
        <v>20000</v>
      </c>
      <c r="H1019" s="12">
        <v>21557240</v>
      </c>
      <c r="I1019" s="12" t="s">
        <v>5420</v>
      </c>
      <c r="J1019" s="12" t="s">
        <v>842</v>
      </c>
      <c r="K1019" s="12" t="s">
        <v>1950</v>
      </c>
      <c r="L1019" s="12" t="s">
        <v>83</v>
      </c>
      <c r="M1019" s="12" t="s">
        <v>5421</v>
      </c>
      <c r="N1019" s="12">
        <v>85237</v>
      </c>
      <c r="O1019" s="12">
        <v>45202</v>
      </c>
      <c r="P1019" s="12">
        <v>3</v>
      </c>
      <c r="Q1019" s="12" t="s">
        <v>5422</v>
      </c>
      <c r="R1019" s="15" t="s">
        <v>5423</v>
      </c>
      <c r="S1019" s="12">
        <v>274</v>
      </c>
      <c r="T1019" s="12" t="s">
        <v>39</v>
      </c>
      <c r="U1019" s="12" t="s">
        <v>40</v>
      </c>
      <c r="V1019" s="12" t="s">
        <v>586</v>
      </c>
      <c r="W1019" s="12">
        <v>49900000</v>
      </c>
      <c r="X1019" s="12">
        <v>2011</v>
      </c>
      <c r="Y1019" s="12">
        <v>11000</v>
      </c>
      <c r="Z1019" s="12">
        <v>5.6</v>
      </c>
      <c r="AA1019" s="12">
        <v>2.35</v>
      </c>
      <c r="AB1019" s="12">
        <v>18000</v>
      </c>
      <c r="AC1019" s="12"/>
      <c r="AD1019" s="12" t="str">
        <f>IFERROR(__xludf.DUMMYFUNCTION("""COMPUTED_VALUE"""),"Gregg Henry")</f>
        <v>Gregg Henry</v>
      </c>
      <c r="AE1019" s="12"/>
    </row>
    <row r="1020" customHeight="1" spans="1:31">
      <c r="A1020" s="11" t="s">
        <v>30</v>
      </c>
      <c r="B1020" s="11" t="s">
        <v>5424</v>
      </c>
      <c r="C1020" s="11">
        <v>174</v>
      </c>
      <c r="D1020" s="11">
        <v>84</v>
      </c>
      <c r="E1020" s="11">
        <v>260</v>
      </c>
      <c r="F1020" s="11">
        <v>692</v>
      </c>
      <c r="G1020" s="11">
        <v>6000</v>
      </c>
      <c r="H1020" s="11">
        <v>21283440</v>
      </c>
      <c r="I1020" s="11" t="s">
        <v>1924</v>
      </c>
      <c r="J1020" s="11" t="s">
        <v>208</v>
      </c>
      <c r="K1020" s="11" t="s">
        <v>5425</v>
      </c>
      <c r="L1020" s="11" t="s">
        <v>3417</v>
      </c>
      <c r="M1020" s="11" t="s">
        <v>5426</v>
      </c>
      <c r="N1020" s="11">
        <v>46239</v>
      </c>
      <c r="O1020" s="11">
        <v>8018</v>
      </c>
      <c r="P1020" s="11">
        <v>0</v>
      </c>
      <c r="Q1020" s="11" t="s">
        <v>5427</v>
      </c>
      <c r="R1020" s="14" t="s">
        <v>5428</v>
      </c>
      <c r="S1020" s="11">
        <v>137</v>
      </c>
      <c r="T1020" s="11" t="s">
        <v>39</v>
      </c>
      <c r="U1020" s="11" t="s">
        <v>40</v>
      </c>
      <c r="V1020" s="11" t="s">
        <v>41</v>
      </c>
      <c r="W1020" s="11">
        <v>55000000</v>
      </c>
      <c r="X1020" s="11">
        <v>2011</v>
      </c>
      <c r="Y1020" s="11">
        <v>694</v>
      </c>
      <c r="Z1020" s="11">
        <v>6</v>
      </c>
      <c r="AA1020" s="11">
        <v>2.35</v>
      </c>
      <c r="AB1020" s="11">
        <v>0</v>
      </c>
      <c r="AC1020" s="11"/>
      <c r="AD1020" s="11" t="str">
        <f>IFERROR(__xludf.DUMMYFUNCTION("""COMPUTED_VALUE"""),"Minnie Driver")</f>
        <v>Minnie Driver</v>
      </c>
      <c r="AE1020" s="11"/>
    </row>
    <row r="1021" customHeight="1" spans="1:31">
      <c r="A1021" s="12" t="s">
        <v>30</v>
      </c>
      <c r="B1021" s="12" t="s">
        <v>5429</v>
      </c>
      <c r="C1021" s="12">
        <v>59</v>
      </c>
      <c r="D1021" s="12">
        <v>115</v>
      </c>
      <c r="E1021" s="12">
        <v>333</v>
      </c>
      <c r="F1021" s="12">
        <v>317</v>
      </c>
      <c r="G1021" s="12">
        <v>972</v>
      </c>
      <c r="H1021" s="12">
        <v>10556196</v>
      </c>
      <c r="I1021" s="12" t="s">
        <v>2126</v>
      </c>
      <c r="J1021" s="12" t="s">
        <v>4342</v>
      </c>
      <c r="K1021" s="12" t="s">
        <v>1747</v>
      </c>
      <c r="L1021" s="12" t="s">
        <v>5430</v>
      </c>
      <c r="M1021" s="12" t="s">
        <v>5431</v>
      </c>
      <c r="N1021" s="12">
        <v>16562</v>
      </c>
      <c r="O1021" s="12">
        <v>2606</v>
      </c>
      <c r="P1021" s="12">
        <v>2</v>
      </c>
      <c r="Q1021" s="12" t="s">
        <v>5432</v>
      </c>
      <c r="R1021" s="15" t="s">
        <v>5433</v>
      </c>
      <c r="S1021" s="12">
        <v>73</v>
      </c>
      <c r="T1021" s="12" t="s">
        <v>39</v>
      </c>
      <c r="U1021" s="12" t="s">
        <v>40</v>
      </c>
      <c r="V1021" s="12" t="s">
        <v>41</v>
      </c>
      <c r="W1021" s="12">
        <v>50000000</v>
      </c>
      <c r="X1021" s="12">
        <v>1997</v>
      </c>
      <c r="Y1021" s="12">
        <v>713</v>
      </c>
      <c r="Z1021" s="12">
        <v>6.2</v>
      </c>
      <c r="AA1021" s="12">
        <v>2.35</v>
      </c>
      <c r="AB1021" s="12">
        <v>697</v>
      </c>
      <c r="AC1021" s="12"/>
      <c r="AD1021" s="12" t="str">
        <f>IFERROR(__xludf.DUMMYFUNCTION("""COMPUTED_VALUE"""),"Ron Howard")</f>
        <v>Ron Howard</v>
      </c>
      <c r="AE1021" s="12"/>
    </row>
    <row r="1022" customHeight="1" spans="1:31">
      <c r="A1022" s="11" t="s">
        <v>30</v>
      </c>
      <c r="B1022" s="11" t="s">
        <v>5434</v>
      </c>
      <c r="C1022" s="11">
        <v>22</v>
      </c>
      <c r="D1022" s="11">
        <v>99</v>
      </c>
      <c r="E1022" s="11">
        <v>32</v>
      </c>
      <c r="F1022" s="11">
        <v>479</v>
      </c>
      <c r="G1022" s="11">
        <v>1000</v>
      </c>
      <c r="H1022" s="11">
        <v>16671505</v>
      </c>
      <c r="I1022" s="11" t="s">
        <v>5435</v>
      </c>
      <c r="J1022" s="11" t="s">
        <v>309</v>
      </c>
      <c r="K1022" s="11" t="s">
        <v>5436</v>
      </c>
      <c r="L1022" s="11" t="s">
        <v>4510</v>
      </c>
      <c r="M1022" s="11" t="s">
        <v>5437</v>
      </c>
      <c r="N1022" s="11">
        <v>33186</v>
      </c>
      <c r="O1022" s="11">
        <v>2949</v>
      </c>
      <c r="P1022" s="11">
        <v>1</v>
      </c>
      <c r="Q1022" s="11" t="s">
        <v>5438</v>
      </c>
      <c r="R1022" s="14" t="s">
        <v>5439</v>
      </c>
      <c r="S1022" s="11">
        <v>78</v>
      </c>
      <c r="T1022" s="11" t="s">
        <v>39</v>
      </c>
      <c r="U1022" s="11" t="s">
        <v>40</v>
      </c>
      <c r="V1022" s="11" t="s">
        <v>96</v>
      </c>
      <c r="W1022" s="11">
        <v>50000000</v>
      </c>
      <c r="X1022" s="11">
        <v>1994</v>
      </c>
      <c r="Y1022" s="11">
        <v>619</v>
      </c>
      <c r="Z1022" s="11">
        <v>5.9</v>
      </c>
      <c r="AA1022" s="11">
        <v>1.85</v>
      </c>
      <c r="AB1022" s="11">
        <v>0</v>
      </c>
      <c r="AC1022" s="11"/>
      <c r="AD1022" s="11" t="str">
        <f>IFERROR(__xludf.DUMMYFUNCTION("""COMPUTED_VALUE"""),"Brandy Norwood")</f>
        <v>Brandy Norwood</v>
      </c>
      <c r="AE1022" s="11"/>
    </row>
    <row r="1023" customHeight="1" spans="1:31">
      <c r="A1023" s="12" t="s">
        <v>30</v>
      </c>
      <c r="B1023" s="12" t="s">
        <v>577</v>
      </c>
      <c r="C1023" s="12">
        <v>34</v>
      </c>
      <c r="D1023" s="12">
        <v>135</v>
      </c>
      <c r="E1023" s="12">
        <v>596</v>
      </c>
      <c r="F1023" s="12">
        <v>2000</v>
      </c>
      <c r="G1023" s="12">
        <v>10000</v>
      </c>
      <c r="H1023" s="12">
        <v>10400000</v>
      </c>
      <c r="I1023" s="12" t="s">
        <v>214</v>
      </c>
      <c r="J1023" s="12" t="s">
        <v>440</v>
      </c>
      <c r="K1023" s="12" t="s">
        <v>1689</v>
      </c>
      <c r="L1023" s="12" t="s">
        <v>1376</v>
      </c>
      <c r="M1023" s="12" t="s">
        <v>5440</v>
      </c>
      <c r="N1023" s="12">
        <v>12037</v>
      </c>
      <c r="O1023" s="12">
        <v>15820</v>
      </c>
      <c r="P1023" s="12">
        <v>1</v>
      </c>
      <c r="Q1023" s="12" t="s">
        <v>5441</v>
      </c>
      <c r="R1023" s="15" t="s">
        <v>5442</v>
      </c>
      <c r="S1023" s="12">
        <v>90</v>
      </c>
      <c r="T1023" s="12" t="s">
        <v>39</v>
      </c>
      <c r="U1023" s="12" t="s">
        <v>40</v>
      </c>
      <c r="V1023" s="12" t="s">
        <v>586</v>
      </c>
      <c r="W1023" s="12">
        <v>50000000</v>
      </c>
      <c r="X1023" s="12">
        <v>1995</v>
      </c>
      <c r="Y1023" s="12">
        <v>3000</v>
      </c>
      <c r="Z1023" s="12">
        <v>5.1</v>
      </c>
      <c r="AA1023" s="12">
        <v>2.35</v>
      </c>
      <c r="AB1023" s="12">
        <v>943</v>
      </c>
      <c r="AC1023" s="12"/>
      <c r="AD1023" s="12" t="str">
        <f>IFERROR(__xludf.DUMMYFUNCTION("""COMPUTED_VALUE"""),"Lea Michele")</f>
        <v>Lea Michele</v>
      </c>
      <c r="AE1023" s="12"/>
    </row>
    <row r="1024" customHeight="1" spans="1:31">
      <c r="A1024" s="11" t="s">
        <v>30</v>
      </c>
      <c r="B1024" s="11" t="s">
        <v>522</v>
      </c>
      <c r="C1024" s="11">
        <v>214</v>
      </c>
      <c r="D1024" s="11">
        <v>108</v>
      </c>
      <c r="E1024" s="11">
        <v>218</v>
      </c>
      <c r="F1024" s="11">
        <v>405</v>
      </c>
      <c r="G1024" s="11">
        <v>6000</v>
      </c>
      <c r="H1024" s="11">
        <v>9528092</v>
      </c>
      <c r="I1024" s="11" t="s">
        <v>3582</v>
      </c>
      <c r="J1024" s="11" t="s">
        <v>208</v>
      </c>
      <c r="K1024" s="11" t="s">
        <v>948</v>
      </c>
      <c r="L1024" s="11" t="s">
        <v>3440</v>
      </c>
      <c r="M1024" s="11" t="s">
        <v>5443</v>
      </c>
      <c r="N1024" s="11">
        <v>38513</v>
      </c>
      <c r="O1024" s="11">
        <v>10191</v>
      </c>
      <c r="P1024" s="11">
        <v>2</v>
      </c>
      <c r="Q1024" s="11" t="s">
        <v>5444</v>
      </c>
      <c r="R1024" s="14" t="s">
        <v>5445</v>
      </c>
      <c r="S1024" s="11">
        <v>127</v>
      </c>
      <c r="T1024" s="11" t="s">
        <v>39</v>
      </c>
      <c r="U1024" s="11" t="s">
        <v>40</v>
      </c>
      <c r="V1024" s="11" t="s">
        <v>41</v>
      </c>
      <c r="W1024" s="11">
        <v>22000000</v>
      </c>
      <c r="X1024" s="11">
        <v>2010</v>
      </c>
      <c r="Y1024" s="11">
        <v>3000</v>
      </c>
      <c r="Z1024" s="11">
        <v>6.8</v>
      </c>
      <c r="AA1024" s="11">
        <v>2.35</v>
      </c>
      <c r="AB1024" s="11">
        <v>9000</v>
      </c>
      <c r="AC1024" s="11"/>
      <c r="AD1024" s="11" t="str">
        <f>IFERROR(__xludf.DUMMYFUNCTION("""COMPUTED_VALUE"""),"Jim Belushi")</f>
        <v>Jim Belushi</v>
      </c>
      <c r="AE1024" s="11"/>
    </row>
    <row r="1025" customHeight="1" spans="1:31">
      <c r="A1025" s="12" t="s">
        <v>30</v>
      </c>
      <c r="B1025" s="16"/>
      <c r="C1025" s="12">
        <v>28</v>
      </c>
      <c r="D1025" s="12">
        <v>43</v>
      </c>
      <c r="E1025" s="16"/>
      <c r="F1025" s="12">
        <v>600</v>
      </c>
      <c r="G1025" s="12">
        <v>3000</v>
      </c>
      <c r="H1025" s="16"/>
      <c r="I1025" s="12" t="s">
        <v>3165</v>
      </c>
      <c r="J1025" s="12" t="s">
        <v>5446</v>
      </c>
      <c r="K1025" s="12" t="s">
        <v>1214</v>
      </c>
      <c r="L1025" s="12" t="s">
        <v>5447</v>
      </c>
      <c r="M1025" s="12" t="s">
        <v>5448</v>
      </c>
      <c r="N1025" s="12">
        <v>33535</v>
      </c>
      <c r="O1025" s="12">
        <v>5381</v>
      </c>
      <c r="P1025" s="12">
        <v>3</v>
      </c>
      <c r="Q1025" s="12" t="s">
        <v>5449</v>
      </c>
      <c r="R1025" s="15" t="s">
        <v>5450</v>
      </c>
      <c r="S1025" s="12">
        <v>149</v>
      </c>
      <c r="T1025" s="12" t="s">
        <v>39</v>
      </c>
      <c r="U1025" s="12" t="s">
        <v>40</v>
      </c>
      <c r="V1025" s="12" t="s">
        <v>2636</v>
      </c>
      <c r="W1025" s="16"/>
      <c r="X1025" s="16"/>
      <c r="Y1025" s="12">
        <v>845</v>
      </c>
      <c r="Z1025" s="12">
        <v>7</v>
      </c>
      <c r="AA1025" s="12">
        <v>1.78</v>
      </c>
      <c r="AB1025" s="12">
        <v>0</v>
      </c>
      <c r="AC1025" s="12"/>
      <c r="AD1025" s="12" t="str">
        <f>IFERROR(__xludf.DUMMYFUNCTION("""COMPUTED_VALUE"""),"Archie Kao")</f>
        <v>Archie Kao</v>
      </c>
      <c r="AE1025" s="12"/>
    </row>
    <row r="1026" customHeight="1" spans="1:31">
      <c r="A1026" s="11" t="s">
        <v>30</v>
      </c>
      <c r="B1026" s="11" t="s">
        <v>1740</v>
      </c>
      <c r="C1026" s="11">
        <v>186</v>
      </c>
      <c r="D1026" s="11">
        <v>127</v>
      </c>
      <c r="E1026" s="11">
        <v>12000</v>
      </c>
      <c r="F1026" s="11">
        <v>897</v>
      </c>
      <c r="G1026" s="11">
        <v>984</v>
      </c>
      <c r="H1026" s="11">
        <v>10137232</v>
      </c>
      <c r="I1026" s="11" t="s">
        <v>5451</v>
      </c>
      <c r="J1026" s="11" t="s">
        <v>5452</v>
      </c>
      <c r="K1026" s="11" t="s">
        <v>5453</v>
      </c>
      <c r="L1026" s="11" t="s">
        <v>878</v>
      </c>
      <c r="M1026" s="11" t="s">
        <v>5454</v>
      </c>
      <c r="N1026" s="11">
        <v>58015</v>
      </c>
      <c r="O1026" s="11">
        <v>5702</v>
      </c>
      <c r="P1026" s="11">
        <v>0</v>
      </c>
      <c r="Q1026" s="11" t="s">
        <v>5455</v>
      </c>
      <c r="R1026" s="14" t="s">
        <v>5456</v>
      </c>
      <c r="S1026" s="11">
        <v>374</v>
      </c>
      <c r="T1026" s="11" t="s">
        <v>39</v>
      </c>
      <c r="U1026" s="11" t="s">
        <v>1466</v>
      </c>
      <c r="V1026" s="11" t="s">
        <v>586</v>
      </c>
      <c r="W1026" s="11">
        <v>50000000</v>
      </c>
      <c r="X1026" s="11">
        <v>2005</v>
      </c>
      <c r="Y1026" s="11">
        <v>940</v>
      </c>
      <c r="Z1026" s="11">
        <v>6</v>
      </c>
      <c r="AA1026" s="11">
        <v>2.35</v>
      </c>
      <c r="AB1026" s="11">
        <v>0</v>
      </c>
      <c r="AC1026" s="11"/>
      <c r="AD1026" s="11" t="str">
        <f>IFERROR(__xludf.DUMMYFUNCTION("""COMPUTED_VALUE"""),"Brandon Molale")</f>
        <v>Brandon Molale</v>
      </c>
      <c r="AE1026" s="11"/>
    </row>
    <row r="1027" customHeight="1" spans="1:31">
      <c r="A1027" s="12" t="s">
        <v>30</v>
      </c>
      <c r="B1027" s="12" t="s">
        <v>4734</v>
      </c>
      <c r="C1027" s="12">
        <v>50</v>
      </c>
      <c r="D1027" s="12">
        <v>107</v>
      </c>
      <c r="E1027" s="12">
        <v>607</v>
      </c>
      <c r="F1027" s="12">
        <v>602</v>
      </c>
      <c r="G1027" s="12">
        <v>2000</v>
      </c>
      <c r="H1027" s="12">
        <v>9795017</v>
      </c>
      <c r="I1027" s="12" t="s">
        <v>2126</v>
      </c>
      <c r="J1027" s="12" t="s">
        <v>3008</v>
      </c>
      <c r="K1027" s="12" t="s">
        <v>1654</v>
      </c>
      <c r="L1027" s="12" t="s">
        <v>2077</v>
      </c>
      <c r="M1027" s="12" t="s">
        <v>5457</v>
      </c>
      <c r="N1027" s="12">
        <v>9227</v>
      </c>
      <c r="O1027" s="12">
        <v>5461</v>
      </c>
      <c r="P1027" s="12">
        <v>0</v>
      </c>
      <c r="Q1027" s="12" t="s">
        <v>5458</v>
      </c>
      <c r="R1027" s="15" t="s">
        <v>5459</v>
      </c>
      <c r="S1027" s="12">
        <v>70</v>
      </c>
      <c r="T1027" s="12" t="s">
        <v>39</v>
      </c>
      <c r="U1027" s="12" t="s">
        <v>40</v>
      </c>
      <c r="V1027" s="12" t="s">
        <v>586</v>
      </c>
      <c r="W1027" s="12">
        <v>50000000</v>
      </c>
      <c r="X1027" s="12">
        <v>1995</v>
      </c>
      <c r="Y1027" s="12">
        <v>979</v>
      </c>
      <c r="Z1027" s="12">
        <v>5.1</v>
      </c>
      <c r="AA1027" s="12">
        <v>1.85</v>
      </c>
      <c r="AB1027" s="12">
        <v>422</v>
      </c>
      <c r="AC1027" s="12"/>
      <c r="AD1027" s="12" t="str">
        <f>IFERROR(__xludf.DUMMYFUNCTION("""COMPUTED_VALUE"""),"Laurence Olivier")</f>
        <v>Laurence Olivier</v>
      </c>
      <c r="AE1027" s="12"/>
    </row>
    <row r="1028" customHeight="1" spans="1:31">
      <c r="A1028" s="11" t="s">
        <v>30</v>
      </c>
      <c r="B1028" s="11" t="s">
        <v>4532</v>
      </c>
      <c r="C1028" s="11">
        <v>180</v>
      </c>
      <c r="D1028" s="11">
        <v>95</v>
      </c>
      <c r="E1028" s="11">
        <v>83</v>
      </c>
      <c r="F1028" s="11">
        <v>1000</v>
      </c>
      <c r="G1028" s="11">
        <v>18000</v>
      </c>
      <c r="H1028" s="11">
        <v>20488579</v>
      </c>
      <c r="I1028" s="11" t="s">
        <v>2813</v>
      </c>
      <c r="J1028" s="11" t="s">
        <v>641</v>
      </c>
      <c r="K1028" s="11" t="s">
        <v>1207</v>
      </c>
      <c r="L1028" s="11" t="s">
        <v>3386</v>
      </c>
      <c r="M1028" s="11" t="s">
        <v>5460</v>
      </c>
      <c r="N1028" s="11">
        <v>113483</v>
      </c>
      <c r="O1028" s="11">
        <v>29926</v>
      </c>
      <c r="P1028" s="11">
        <v>1</v>
      </c>
      <c r="Q1028" s="11" t="s">
        <v>5461</v>
      </c>
      <c r="R1028" s="14" t="s">
        <v>5462</v>
      </c>
      <c r="S1028" s="11">
        <v>245</v>
      </c>
      <c r="T1028" s="11" t="s">
        <v>39</v>
      </c>
      <c r="U1028" s="11" t="s">
        <v>40</v>
      </c>
      <c r="V1028" s="11" t="s">
        <v>586</v>
      </c>
      <c r="W1028" s="11">
        <v>50000000</v>
      </c>
      <c r="X1028" s="11">
        <v>2009</v>
      </c>
      <c r="Y1028" s="11">
        <v>8000</v>
      </c>
      <c r="Z1028" s="11">
        <v>5.8</v>
      </c>
      <c r="AA1028" s="11">
        <v>1.85</v>
      </c>
      <c r="AB1028" s="11">
        <v>0</v>
      </c>
      <c r="AC1028" s="11"/>
      <c r="AD1028" s="11" t="str">
        <f>IFERROR(__xludf.DUMMYFUNCTION("""COMPUTED_VALUE"""),"Charlotte Rampling")</f>
        <v>Charlotte Rampling</v>
      </c>
      <c r="AE1028" s="11"/>
    </row>
    <row r="1029" customHeight="1" spans="1:31">
      <c r="A1029" s="12" t="s">
        <v>30</v>
      </c>
      <c r="B1029" s="12" t="s">
        <v>5463</v>
      </c>
      <c r="C1029" s="12">
        <v>231</v>
      </c>
      <c r="D1029" s="12">
        <v>124</v>
      </c>
      <c r="E1029" s="12">
        <v>98</v>
      </c>
      <c r="F1029" s="12">
        <v>592</v>
      </c>
      <c r="G1029" s="12">
        <v>1000</v>
      </c>
      <c r="H1029" s="12">
        <v>19445217</v>
      </c>
      <c r="I1029" s="12" t="s">
        <v>687</v>
      </c>
      <c r="J1029" s="12" t="s">
        <v>5464</v>
      </c>
      <c r="K1029" s="12" t="s">
        <v>5465</v>
      </c>
      <c r="L1029" s="12" t="s">
        <v>5466</v>
      </c>
      <c r="M1029" s="12" t="s">
        <v>5467</v>
      </c>
      <c r="N1029" s="12">
        <v>67796</v>
      </c>
      <c r="O1029" s="12">
        <v>3580</v>
      </c>
      <c r="P1029" s="12">
        <v>7</v>
      </c>
      <c r="Q1029" s="12" t="s">
        <v>5468</v>
      </c>
      <c r="R1029" s="15" t="s">
        <v>5469</v>
      </c>
      <c r="S1029" s="12">
        <v>258</v>
      </c>
      <c r="T1029" s="12" t="s">
        <v>39</v>
      </c>
      <c r="U1029" s="12" t="s">
        <v>40</v>
      </c>
      <c r="V1029" s="12" t="s">
        <v>41</v>
      </c>
      <c r="W1029" s="12">
        <v>60000000</v>
      </c>
      <c r="X1029" s="12">
        <v>2013</v>
      </c>
      <c r="Y1029" s="12">
        <v>852</v>
      </c>
      <c r="Z1029" s="12">
        <v>6.2</v>
      </c>
      <c r="AA1029" s="12">
        <v>2.35</v>
      </c>
      <c r="AB1029" s="12">
        <v>14000</v>
      </c>
      <c r="AC1029" s="12"/>
      <c r="AD1029" s="12" t="str">
        <f>IFERROR(__xludf.DUMMYFUNCTION("""COMPUTED_VALUE"""),"Indira Varma")</f>
        <v>Indira Varma</v>
      </c>
      <c r="AE1029" s="12"/>
    </row>
    <row r="1030" customHeight="1" spans="1:31">
      <c r="A1030" s="11" t="s">
        <v>30</v>
      </c>
      <c r="B1030" s="11" t="s">
        <v>5470</v>
      </c>
      <c r="C1030" s="11">
        <v>105</v>
      </c>
      <c r="D1030" s="11">
        <v>109</v>
      </c>
      <c r="E1030" s="11">
        <v>0</v>
      </c>
      <c r="F1030" s="11">
        <v>809</v>
      </c>
      <c r="G1030" s="11">
        <v>49000</v>
      </c>
      <c r="H1030" s="11">
        <v>8355815</v>
      </c>
      <c r="I1030" s="11" t="s">
        <v>5316</v>
      </c>
      <c r="J1030" s="11" t="s">
        <v>811</v>
      </c>
      <c r="K1030" s="11" t="s">
        <v>1518</v>
      </c>
      <c r="L1030" s="11" t="s">
        <v>1478</v>
      </c>
      <c r="M1030" s="11" t="s">
        <v>5471</v>
      </c>
      <c r="N1030" s="11">
        <v>34730</v>
      </c>
      <c r="O1030" s="11">
        <v>52885</v>
      </c>
      <c r="P1030" s="11">
        <v>2</v>
      </c>
      <c r="Q1030" s="11" t="s">
        <v>5472</v>
      </c>
      <c r="R1030" s="14" t="s">
        <v>5473</v>
      </c>
      <c r="S1030" s="11">
        <v>341</v>
      </c>
      <c r="T1030" s="11" t="s">
        <v>39</v>
      </c>
      <c r="U1030" s="11" t="s">
        <v>58</v>
      </c>
      <c r="V1030" s="11" t="s">
        <v>586</v>
      </c>
      <c r="W1030" s="11">
        <v>55000000</v>
      </c>
      <c r="X1030" s="11">
        <v>2002</v>
      </c>
      <c r="Y1030" s="11">
        <v>811</v>
      </c>
      <c r="Z1030" s="11">
        <v>6.4</v>
      </c>
      <c r="AA1030" s="11">
        <v>1.85</v>
      </c>
      <c r="AB1030" s="11">
        <v>0</v>
      </c>
      <c r="AC1030" s="11"/>
      <c r="AD1030" s="11" t="str">
        <f>IFERROR(__xludf.DUMMYFUNCTION("""COMPUTED_VALUE"""),"Neil Maskell")</f>
        <v>Neil Maskell</v>
      </c>
      <c r="AE1030" s="11"/>
    </row>
    <row r="1031" customHeight="1" spans="1:31">
      <c r="A1031" s="12" t="s">
        <v>30</v>
      </c>
      <c r="B1031" s="12" t="s">
        <v>2113</v>
      </c>
      <c r="C1031" s="12">
        <v>226</v>
      </c>
      <c r="D1031" s="12">
        <v>102</v>
      </c>
      <c r="E1031" s="12">
        <v>0</v>
      </c>
      <c r="F1031" s="12">
        <v>1000</v>
      </c>
      <c r="G1031" s="12">
        <v>14000</v>
      </c>
      <c r="H1031" s="12">
        <v>28837115</v>
      </c>
      <c r="I1031" s="12" t="s">
        <v>1672</v>
      </c>
      <c r="J1031" s="12" t="s">
        <v>1973</v>
      </c>
      <c r="K1031" s="12" t="s">
        <v>1249</v>
      </c>
      <c r="L1031" s="12" t="s">
        <v>1377</v>
      </c>
      <c r="M1031" s="12" t="s">
        <v>5474</v>
      </c>
      <c r="N1031" s="12">
        <v>34964</v>
      </c>
      <c r="O1031" s="12">
        <v>24107</v>
      </c>
      <c r="P1031" s="12">
        <v>4</v>
      </c>
      <c r="Q1031" s="12" t="s">
        <v>5475</v>
      </c>
      <c r="R1031" s="15" t="s">
        <v>5476</v>
      </c>
      <c r="S1031" s="12">
        <v>150</v>
      </c>
      <c r="T1031" s="12" t="s">
        <v>39</v>
      </c>
      <c r="U1031" s="12" t="s">
        <v>40</v>
      </c>
      <c r="V1031" s="12" t="s">
        <v>41</v>
      </c>
      <c r="W1031" s="12">
        <v>50000000</v>
      </c>
      <c r="X1031" s="12">
        <v>2016</v>
      </c>
      <c r="Y1031" s="12">
        <v>8000</v>
      </c>
      <c r="Z1031" s="12">
        <v>4.8</v>
      </c>
      <c r="AA1031" s="12">
        <v>2.35</v>
      </c>
      <c r="AB1031" s="12">
        <v>28000</v>
      </c>
      <c r="AC1031" s="12"/>
      <c r="AD1031" s="12" t="str">
        <f>IFERROR(__xludf.DUMMYFUNCTION("""COMPUTED_VALUE"""),"50 Cent")</f>
        <v>50 Cent</v>
      </c>
      <c r="AE1031" s="12"/>
    </row>
    <row r="1032" customHeight="1" spans="1:31">
      <c r="A1032" s="11" t="s">
        <v>30</v>
      </c>
      <c r="B1032" s="11" t="s">
        <v>5477</v>
      </c>
      <c r="C1032" s="11">
        <v>75</v>
      </c>
      <c r="D1032" s="11">
        <v>88</v>
      </c>
      <c r="E1032" s="11">
        <v>5</v>
      </c>
      <c r="F1032" s="11">
        <v>338</v>
      </c>
      <c r="G1032" s="11">
        <v>11000</v>
      </c>
      <c r="H1032" s="11">
        <v>6471394</v>
      </c>
      <c r="I1032" s="11" t="s">
        <v>1009</v>
      </c>
      <c r="J1032" s="11" t="s">
        <v>466</v>
      </c>
      <c r="K1032" s="11" t="s">
        <v>5478</v>
      </c>
      <c r="L1032" s="11" t="s">
        <v>5479</v>
      </c>
      <c r="M1032" s="11" t="s">
        <v>5480</v>
      </c>
      <c r="N1032" s="11">
        <v>15880</v>
      </c>
      <c r="O1032" s="11">
        <v>11972</v>
      </c>
      <c r="P1032" s="11">
        <v>5</v>
      </c>
      <c r="Q1032" s="11" t="s">
        <v>5481</v>
      </c>
      <c r="R1032" s="14" t="s">
        <v>5482</v>
      </c>
      <c r="S1032" s="11">
        <v>93</v>
      </c>
      <c r="T1032" s="11" t="s">
        <v>39</v>
      </c>
      <c r="U1032" s="11" t="s">
        <v>40</v>
      </c>
      <c r="V1032" s="11" t="s">
        <v>41</v>
      </c>
      <c r="W1032" s="11">
        <v>50000000</v>
      </c>
      <c r="X1032" s="11">
        <v>2004</v>
      </c>
      <c r="Y1032" s="11">
        <v>387</v>
      </c>
      <c r="Z1032" s="11">
        <v>4.9</v>
      </c>
      <c r="AA1032" s="11">
        <v>2.35</v>
      </c>
      <c r="AB1032" s="11">
        <v>288</v>
      </c>
      <c r="AC1032" s="11"/>
      <c r="AD1032" s="11" t="str">
        <f>IFERROR(__xludf.DUMMYFUNCTION("""COMPUTED_VALUE"""),"Matt Gerald")</f>
        <v>Matt Gerald</v>
      </c>
      <c r="AE1032" s="11"/>
    </row>
    <row r="1033" customHeight="1" spans="1:31">
      <c r="A1033" s="12" t="s">
        <v>30</v>
      </c>
      <c r="B1033" s="12" t="s">
        <v>3067</v>
      </c>
      <c r="C1033" s="12">
        <v>82</v>
      </c>
      <c r="D1033" s="12">
        <v>87</v>
      </c>
      <c r="E1033" s="12">
        <v>0</v>
      </c>
      <c r="F1033" s="12">
        <v>591</v>
      </c>
      <c r="G1033" s="12">
        <v>2000</v>
      </c>
      <c r="H1033" s="12">
        <v>6291602</v>
      </c>
      <c r="I1033" s="12" t="s">
        <v>5483</v>
      </c>
      <c r="J1033" s="12" t="s">
        <v>236</v>
      </c>
      <c r="K1033" s="12" t="s">
        <v>2077</v>
      </c>
      <c r="L1033" s="12" t="s">
        <v>550</v>
      </c>
      <c r="M1033" s="12" t="s">
        <v>5484</v>
      </c>
      <c r="N1033" s="12">
        <v>8070</v>
      </c>
      <c r="O1033" s="12">
        <v>3954</v>
      </c>
      <c r="P1033" s="12">
        <v>0</v>
      </c>
      <c r="Q1033" s="12" t="s">
        <v>5485</v>
      </c>
      <c r="R1033" s="15" t="s">
        <v>5486</v>
      </c>
      <c r="S1033" s="12">
        <v>91</v>
      </c>
      <c r="T1033" s="12" t="s">
        <v>39</v>
      </c>
      <c r="U1033" s="12" t="s">
        <v>40</v>
      </c>
      <c r="V1033" s="12" t="s">
        <v>586</v>
      </c>
      <c r="W1033" s="12">
        <v>50000000</v>
      </c>
      <c r="X1033" s="12">
        <v>2000</v>
      </c>
      <c r="Y1033" s="12">
        <v>602</v>
      </c>
      <c r="Z1033" s="12">
        <v>5.6</v>
      </c>
      <c r="AA1033" s="12">
        <v>1.85</v>
      </c>
      <c r="AB1033" s="12">
        <v>255</v>
      </c>
      <c r="AC1033" s="12"/>
      <c r="AD1033" s="12" t="str">
        <f>IFERROR(__xludf.DUMMYFUNCTION("""COMPUTED_VALUE"""),"Roxanne McKee")</f>
        <v>Roxanne McKee</v>
      </c>
      <c r="AE1033" s="12"/>
    </row>
    <row r="1034" customHeight="1" spans="1:31">
      <c r="A1034" s="11" t="s">
        <v>30</v>
      </c>
      <c r="B1034" s="11" t="s">
        <v>5487</v>
      </c>
      <c r="C1034" s="11">
        <v>296</v>
      </c>
      <c r="D1034" s="11">
        <v>104</v>
      </c>
      <c r="E1034" s="11">
        <v>71</v>
      </c>
      <c r="F1034" s="11">
        <v>982</v>
      </c>
      <c r="G1034" s="11">
        <v>12000</v>
      </c>
      <c r="H1034" s="11">
        <v>10706786</v>
      </c>
      <c r="I1034" s="11" t="s">
        <v>1364</v>
      </c>
      <c r="J1034" s="11" t="s">
        <v>705</v>
      </c>
      <c r="K1034" s="11" t="s">
        <v>4055</v>
      </c>
      <c r="L1034" s="11" t="s">
        <v>2601</v>
      </c>
      <c r="M1034" s="11" t="s">
        <v>5488</v>
      </c>
      <c r="N1034" s="11">
        <v>81800</v>
      </c>
      <c r="O1034" s="11">
        <v>16481</v>
      </c>
      <c r="P1034" s="11">
        <v>1</v>
      </c>
      <c r="Q1034" s="11" t="s">
        <v>5489</v>
      </c>
      <c r="R1034" s="14" t="s">
        <v>5490</v>
      </c>
      <c r="S1034" s="11">
        <v>211</v>
      </c>
      <c r="T1034" s="11" t="s">
        <v>39</v>
      </c>
      <c r="U1034" s="11" t="s">
        <v>40</v>
      </c>
      <c r="V1034" s="11" t="s">
        <v>586</v>
      </c>
      <c r="W1034" s="11">
        <v>50000000</v>
      </c>
      <c r="X1034" s="11">
        <v>2011</v>
      </c>
      <c r="Y1034" s="11">
        <v>2000</v>
      </c>
      <c r="Z1034" s="11">
        <v>5.5</v>
      </c>
      <c r="AA1034" s="11">
        <v>1.85</v>
      </c>
      <c r="AB1034" s="11">
        <v>15000</v>
      </c>
      <c r="AC1034" s="11"/>
      <c r="AD1034" s="11" t="str">
        <f>IFERROR(__xludf.DUMMYFUNCTION("""COMPUTED_VALUE"""),"Luke Newberry")</f>
        <v>Luke Newberry</v>
      </c>
      <c r="AE1034" s="11"/>
    </row>
    <row r="1035" customHeight="1" spans="1:31">
      <c r="A1035" s="12" t="s">
        <v>30</v>
      </c>
      <c r="B1035" s="12" t="s">
        <v>3445</v>
      </c>
      <c r="C1035" s="12">
        <v>103</v>
      </c>
      <c r="D1035" s="12">
        <v>96</v>
      </c>
      <c r="E1035" s="12">
        <v>43</v>
      </c>
      <c r="F1035" s="12">
        <v>77</v>
      </c>
      <c r="G1035" s="12">
        <v>841</v>
      </c>
      <c r="H1035" s="12">
        <v>8742261</v>
      </c>
      <c r="I1035" s="12" t="s">
        <v>1120</v>
      </c>
      <c r="J1035" s="12" t="s">
        <v>3369</v>
      </c>
      <c r="K1035" s="12" t="s">
        <v>5491</v>
      </c>
      <c r="L1035" s="12" t="s">
        <v>5492</v>
      </c>
      <c r="M1035" s="12" t="s">
        <v>5493</v>
      </c>
      <c r="N1035" s="12">
        <v>19824</v>
      </c>
      <c r="O1035" s="12">
        <v>1385</v>
      </c>
      <c r="P1035" s="12">
        <v>2</v>
      </c>
      <c r="Q1035" s="12" t="s">
        <v>5494</v>
      </c>
      <c r="R1035" s="15" t="s">
        <v>5495</v>
      </c>
      <c r="S1035" s="12">
        <v>179</v>
      </c>
      <c r="T1035" s="12" t="s">
        <v>39</v>
      </c>
      <c r="U1035" s="12" t="s">
        <v>269</v>
      </c>
      <c r="V1035" s="12" t="s">
        <v>41</v>
      </c>
      <c r="W1035" s="12">
        <v>18000000</v>
      </c>
      <c r="X1035" s="12">
        <v>2009</v>
      </c>
      <c r="Y1035" s="12">
        <v>342</v>
      </c>
      <c r="Z1035" s="12">
        <v>3.7</v>
      </c>
      <c r="AA1035" s="12">
        <v>2.35</v>
      </c>
      <c r="AB1035" s="12">
        <v>0</v>
      </c>
      <c r="AC1035" s="12"/>
      <c r="AD1035" s="12" t="str">
        <f>IFERROR(__xludf.DUMMYFUNCTION("""COMPUTED_VALUE"""),"Gaia Weiss")</f>
        <v>Gaia Weiss</v>
      </c>
      <c r="AE1035" s="12"/>
    </row>
    <row r="1036" customHeight="1" spans="1:31">
      <c r="A1036" s="11" t="s">
        <v>30</v>
      </c>
      <c r="B1036" s="11" t="s">
        <v>5496</v>
      </c>
      <c r="C1036" s="11">
        <v>98</v>
      </c>
      <c r="D1036" s="11">
        <v>85</v>
      </c>
      <c r="E1036" s="11">
        <v>70</v>
      </c>
      <c r="F1036" s="11">
        <v>848</v>
      </c>
      <c r="G1036" s="11">
        <v>26000</v>
      </c>
      <c r="H1036" s="11">
        <v>43905746</v>
      </c>
      <c r="I1036" s="11" t="s">
        <v>2813</v>
      </c>
      <c r="J1036" s="11" t="s">
        <v>335</v>
      </c>
      <c r="K1036" s="11" t="s">
        <v>502</v>
      </c>
      <c r="L1036" s="11" t="s">
        <v>472</v>
      </c>
      <c r="M1036" s="11" t="s">
        <v>5497</v>
      </c>
      <c r="N1036" s="11">
        <v>77684</v>
      </c>
      <c r="O1036" s="11">
        <v>32831</v>
      </c>
      <c r="P1036" s="11">
        <v>1</v>
      </c>
      <c r="Q1036" s="11" t="s">
        <v>5498</v>
      </c>
      <c r="R1036" s="14" t="s">
        <v>5499</v>
      </c>
      <c r="S1036" s="11">
        <v>294</v>
      </c>
      <c r="T1036" s="11" t="s">
        <v>39</v>
      </c>
      <c r="U1036" s="11" t="s">
        <v>40</v>
      </c>
      <c r="V1036" s="11" t="s">
        <v>41</v>
      </c>
      <c r="W1036" s="11">
        <v>49000000</v>
      </c>
      <c r="X1036" s="11">
        <v>2001</v>
      </c>
      <c r="Y1036" s="11">
        <v>5000</v>
      </c>
      <c r="Z1036" s="11">
        <v>5.9</v>
      </c>
      <c r="AA1036" s="11">
        <v>2.35</v>
      </c>
      <c r="AB1036" s="11">
        <v>0</v>
      </c>
      <c r="AC1036" s="11"/>
      <c r="AD1036" s="11" t="str">
        <f>IFERROR(__xludf.DUMMYFUNCTION("""COMPUTED_VALUE"""),"Philip Baker Hall")</f>
        <v>Philip Baker Hall</v>
      </c>
      <c r="AE1036" s="11"/>
    </row>
    <row r="1037" customHeight="1" spans="1:31">
      <c r="A1037" s="12" t="s">
        <v>30</v>
      </c>
      <c r="B1037" s="16"/>
      <c r="C1037" s="12">
        <v>30</v>
      </c>
      <c r="D1037" s="12">
        <v>64</v>
      </c>
      <c r="E1037" s="16"/>
      <c r="F1037" s="12">
        <v>184</v>
      </c>
      <c r="G1037" s="12">
        <v>1000</v>
      </c>
      <c r="H1037" s="16"/>
      <c r="I1037" s="12" t="s">
        <v>5500</v>
      </c>
      <c r="J1037" s="12" t="s">
        <v>1707</v>
      </c>
      <c r="K1037" s="12" t="s">
        <v>3589</v>
      </c>
      <c r="L1037" s="12" t="s">
        <v>5340</v>
      </c>
      <c r="M1037" s="12" t="s">
        <v>5501</v>
      </c>
      <c r="N1037" s="12">
        <v>50391</v>
      </c>
      <c r="O1037" s="12">
        <v>1863</v>
      </c>
      <c r="P1037" s="12">
        <v>8</v>
      </c>
      <c r="Q1037" s="12" t="s">
        <v>5502</v>
      </c>
      <c r="R1037" s="15" t="s">
        <v>5503</v>
      </c>
      <c r="S1037" s="12">
        <v>148</v>
      </c>
      <c r="T1037" s="12" t="s">
        <v>39</v>
      </c>
      <c r="U1037" s="12" t="s">
        <v>40</v>
      </c>
      <c r="V1037" s="12" t="s">
        <v>2636</v>
      </c>
      <c r="W1037" s="16"/>
      <c r="X1037" s="16"/>
      <c r="Y1037" s="12">
        <v>531</v>
      </c>
      <c r="Z1037" s="12">
        <v>8.5</v>
      </c>
      <c r="AA1037" s="12">
        <v>16</v>
      </c>
      <c r="AB1037" s="12">
        <v>31000</v>
      </c>
      <c r="AC1037" s="12"/>
      <c r="AD1037" s="12" t="str">
        <f>IFERROR(__xludf.DUMMYFUNCTION("""COMPUTED_VALUE"""),"Gary Farmer")</f>
        <v>Gary Farmer</v>
      </c>
      <c r="AE1037" s="12"/>
    </row>
    <row r="1038" customHeight="1" spans="1:31">
      <c r="A1038" s="11" t="s">
        <v>30</v>
      </c>
      <c r="B1038" s="11" t="s">
        <v>2067</v>
      </c>
      <c r="C1038" s="11">
        <v>48</v>
      </c>
      <c r="D1038" s="11">
        <v>104</v>
      </c>
      <c r="E1038" s="11">
        <v>212</v>
      </c>
      <c r="F1038" s="11">
        <v>380</v>
      </c>
      <c r="G1038" s="11">
        <v>879</v>
      </c>
      <c r="H1038" s="11">
        <v>21413502</v>
      </c>
      <c r="I1038" s="11" t="s">
        <v>5504</v>
      </c>
      <c r="J1038" s="11" t="s">
        <v>4791</v>
      </c>
      <c r="K1038" s="11" t="s">
        <v>5505</v>
      </c>
      <c r="L1038" s="11" t="s">
        <v>5506</v>
      </c>
      <c r="M1038" s="11" t="s">
        <v>5507</v>
      </c>
      <c r="N1038" s="11">
        <v>14429</v>
      </c>
      <c r="O1038" s="11">
        <v>2795</v>
      </c>
      <c r="P1038" s="11">
        <v>5</v>
      </c>
      <c r="Q1038" s="11" t="s">
        <v>5508</v>
      </c>
      <c r="R1038" s="14" t="s">
        <v>5509</v>
      </c>
      <c r="S1038" s="11">
        <v>113</v>
      </c>
      <c r="T1038" s="11" t="s">
        <v>39</v>
      </c>
      <c r="U1038" s="11" t="s">
        <v>40</v>
      </c>
      <c r="V1038" s="11" t="s">
        <v>586</v>
      </c>
      <c r="W1038" s="11">
        <v>40000000</v>
      </c>
      <c r="X1038" s="11">
        <v>1990</v>
      </c>
      <c r="Y1038" s="11">
        <v>560</v>
      </c>
      <c r="Z1038" s="11">
        <v>6.3</v>
      </c>
      <c r="AA1038" s="11">
        <v>2.35</v>
      </c>
      <c r="AB1038" s="11">
        <v>2000</v>
      </c>
      <c r="AC1038" s="11"/>
      <c r="AD1038" s="11" t="str">
        <f>IFERROR(__xludf.DUMMYFUNCTION("""COMPUTED_VALUE"""),"Vincent Pastore")</f>
        <v>Vincent Pastore</v>
      </c>
      <c r="AE1038" s="11"/>
    </row>
    <row r="1039" customHeight="1" spans="1:31">
      <c r="A1039" s="12" t="s">
        <v>30</v>
      </c>
      <c r="B1039" s="12" t="s">
        <v>5510</v>
      </c>
      <c r="C1039" s="12">
        <v>195</v>
      </c>
      <c r="D1039" s="12">
        <v>135</v>
      </c>
      <c r="E1039" s="12">
        <v>628</v>
      </c>
      <c r="F1039" s="12">
        <v>830</v>
      </c>
      <c r="G1039" s="12">
        <v>22000</v>
      </c>
      <c r="H1039" s="12">
        <v>7994115</v>
      </c>
      <c r="I1039" s="12" t="s">
        <v>5511</v>
      </c>
      <c r="J1039" s="12" t="s">
        <v>699</v>
      </c>
      <c r="K1039" s="12" t="s">
        <v>2832</v>
      </c>
      <c r="L1039" s="12" t="s">
        <v>5512</v>
      </c>
      <c r="M1039" s="12" t="s">
        <v>5513</v>
      </c>
      <c r="N1039" s="12">
        <v>90932</v>
      </c>
      <c r="O1039" s="12">
        <v>24316</v>
      </c>
      <c r="P1039" s="12">
        <v>2</v>
      </c>
      <c r="Q1039" s="12" t="s">
        <v>5514</v>
      </c>
      <c r="R1039" s="15" t="s">
        <v>5515</v>
      </c>
      <c r="S1039" s="12">
        <v>209</v>
      </c>
      <c r="T1039" s="12" t="s">
        <v>39</v>
      </c>
      <c r="U1039" s="12" t="s">
        <v>58</v>
      </c>
      <c r="V1039" s="12" t="s">
        <v>586</v>
      </c>
      <c r="W1039" s="16"/>
      <c r="X1039" s="12">
        <v>2009</v>
      </c>
      <c r="Y1039" s="12">
        <v>882</v>
      </c>
      <c r="Z1039" s="12">
        <v>7.4</v>
      </c>
      <c r="AA1039" s="12">
        <v>2.35</v>
      </c>
      <c r="AB1039" s="12">
        <v>21000</v>
      </c>
      <c r="AC1039" s="12"/>
      <c r="AD1039" s="12" t="str">
        <f>IFERROR(__xludf.DUMMYFUNCTION("""COMPUTED_VALUE"""),"Robert Blake")</f>
        <v>Robert Blake</v>
      </c>
      <c r="AE1039" s="12"/>
    </row>
    <row r="1040" customHeight="1" spans="1:31">
      <c r="A1040" s="11" t="s">
        <v>30</v>
      </c>
      <c r="B1040" s="11" t="s">
        <v>1527</v>
      </c>
      <c r="C1040" s="11">
        <v>223</v>
      </c>
      <c r="D1040" s="11">
        <v>190</v>
      </c>
      <c r="E1040" s="11">
        <v>0</v>
      </c>
      <c r="F1040" s="11">
        <v>215</v>
      </c>
      <c r="G1040" s="11">
        <v>599</v>
      </c>
      <c r="H1040" s="11">
        <v>124107476</v>
      </c>
      <c r="I1040" s="11" t="s">
        <v>2126</v>
      </c>
      <c r="J1040" s="11" t="s">
        <v>757</v>
      </c>
      <c r="K1040" s="11" t="s">
        <v>5516</v>
      </c>
      <c r="L1040" s="11" t="s">
        <v>5517</v>
      </c>
      <c r="M1040" s="11" t="s">
        <v>5518</v>
      </c>
      <c r="N1040" s="11">
        <v>170684</v>
      </c>
      <c r="O1040" s="11">
        <v>1418</v>
      </c>
      <c r="P1040" s="11">
        <v>0</v>
      </c>
      <c r="Q1040" s="11" t="s">
        <v>5519</v>
      </c>
      <c r="R1040" s="14" t="s">
        <v>5520</v>
      </c>
      <c r="S1040" s="11">
        <v>867</v>
      </c>
      <c r="T1040" s="11" t="s">
        <v>39</v>
      </c>
      <c r="U1040" s="11" t="s">
        <v>40</v>
      </c>
      <c r="V1040" s="11" t="s">
        <v>586</v>
      </c>
      <c r="W1040" s="11">
        <v>48000000</v>
      </c>
      <c r="X1040" s="11">
        <v>2000</v>
      </c>
      <c r="Y1040" s="11">
        <v>399</v>
      </c>
      <c r="Z1040" s="11">
        <v>7.6</v>
      </c>
      <c r="AA1040" s="11">
        <v>1.85</v>
      </c>
      <c r="AB1040" s="11">
        <v>0</v>
      </c>
      <c r="AC1040" s="11"/>
      <c r="AD1040" s="11" t="str">
        <f>IFERROR(__xludf.DUMMYFUNCTION("""COMPUTED_VALUE"""),"Aida Turturro")</f>
        <v>Aida Turturro</v>
      </c>
      <c r="AE1040" s="11"/>
    </row>
    <row r="1041" customHeight="1" spans="1:31">
      <c r="A1041" s="12" t="s">
        <v>30</v>
      </c>
      <c r="B1041" s="12" t="s">
        <v>390</v>
      </c>
      <c r="C1041" s="12">
        <v>149</v>
      </c>
      <c r="D1041" s="12">
        <v>127</v>
      </c>
      <c r="E1041" s="12">
        <v>14000</v>
      </c>
      <c r="F1041" s="12">
        <v>440</v>
      </c>
      <c r="G1041" s="12">
        <v>11000</v>
      </c>
      <c r="H1041" s="12">
        <v>197171806</v>
      </c>
      <c r="I1041" s="12" t="s">
        <v>43</v>
      </c>
      <c r="J1041" s="12" t="s">
        <v>391</v>
      </c>
      <c r="K1041" s="12" t="s">
        <v>955</v>
      </c>
      <c r="L1041" s="12" t="s">
        <v>5521</v>
      </c>
      <c r="M1041" s="12" t="s">
        <v>5522</v>
      </c>
      <c r="N1041" s="12">
        <v>515306</v>
      </c>
      <c r="O1041" s="12">
        <v>12884</v>
      </c>
      <c r="P1041" s="12">
        <v>5</v>
      </c>
      <c r="Q1041" s="12" t="s">
        <v>5523</v>
      </c>
      <c r="R1041" s="15" t="s">
        <v>5524</v>
      </c>
      <c r="S1041" s="12">
        <v>477</v>
      </c>
      <c r="T1041" s="12" t="s">
        <v>39</v>
      </c>
      <c r="U1041" s="12" t="s">
        <v>40</v>
      </c>
      <c r="V1041" s="12" t="s">
        <v>41</v>
      </c>
      <c r="W1041" s="12">
        <v>48000000</v>
      </c>
      <c r="X1041" s="12">
        <v>1989</v>
      </c>
      <c r="Y1041" s="12">
        <v>844</v>
      </c>
      <c r="Z1041" s="12">
        <v>8.3</v>
      </c>
      <c r="AA1041" s="12">
        <v>2.35</v>
      </c>
      <c r="AB1041" s="12">
        <v>0</v>
      </c>
      <c r="AC1041" s="12"/>
      <c r="AD1041" s="12" t="str">
        <f>IFERROR(__xludf.DUMMYFUNCTION("""COMPUTED_VALUE"""),"Max Minghella")</f>
        <v>Max Minghella</v>
      </c>
      <c r="AE1041" s="12"/>
    </row>
    <row r="1042" customHeight="1" spans="1:31">
      <c r="A1042" s="11" t="s">
        <v>30</v>
      </c>
      <c r="B1042" s="11" t="s">
        <v>941</v>
      </c>
      <c r="C1042" s="11">
        <v>324</v>
      </c>
      <c r="D1042" s="11">
        <v>129</v>
      </c>
      <c r="E1042" s="11">
        <v>456</v>
      </c>
      <c r="F1042" s="11">
        <v>0</v>
      </c>
      <c r="G1042" s="11">
        <v>2000</v>
      </c>
      <c r="H1042" s="11">
        <v>12802907</v>
      </c>
      <c r="I1042" s="11" t="s">
        <v>214</v>
      </c>
      <c r="J1042" s="11" t="s">
        <v>404</v>
      </c>
      <c r="K1042" s="11" t="s">
        <v>5525</v>
      </c>
      <c r="L1042" s="11" t="s">
        <v>5526</v>
      </c>
      <c r="M1042" s="11" t="s">
        <v>5527</v>
      </c>
      <c r="N1042" s="11">
        <v>70886</v>
      </c>
      <c r="O1042" s="11">
        <v>2035</v>
      </c>
      <c r="P1042" s="11">
        <v>1</v>
      </c>
      <c r="Q1042" s="11" t="s">
        <v>5528</v>
      </c>
      <c r="R1042" s="14" t="s">
        <v>5529</v>
      </c>
      <c r="S1042" s="11">
        <v>226</v>
      </c>
      <c r="T1042" s="11" t="s">
        <v>39</v>
      </c>
      <c r="U1042" s="11" t="s">
        <v>58</v>
      </c>
      <c r="V1042" s="11" t="s">
        <v>586</v>
      </c>
      <c r="W1042" s="13"/>
      <c r="X1042" s="11">
        <v>2012</v>
      </c>
      <c r="Y1042" s="11">
        <v>35</v>
      </c>
      <c r="Z1042" s="11">
        <v>6.6</v>
      </c>
      <c r="AA1042" s="11">
        <v>2.35</v>
      </c>
      <c r="AB1042" s="11">
        <v>36000</v>
      </c>
      <c r="AC1042" s="11"/>
      <c r="AD1042" s="11" t="str">
        <f>IFERROR(__xludf.DUMMYFUNCTION("""COMPUTED_VALUE"""),"Ashraf Barhom")</f>
        <v>Ashraf Barhom</v>
      </c>
      <c r="AE1042" s="11"/>
    </row>
    <row r="1043" customHeight="1" spans="1:31">
      <c r="A1043" s="12" t="s">
        <v>30</v>
      </c>
      <c r="B1043" s="12" t="s">
        <v>1390</v>
      </c>
      <c r="C1043" s="12">
        <v>371</v>
      </c>
      <c r="D1043" s="12">
        <v>120</v>
      </c>
      <c r="E1043" s="12">
        <v>662</v>
      </c>
      <c r="F1043" s="12">
        <v>502</v>
      </c>
      <c r="G1043" s="12">
        <v>20000</v>
      </c>
      <c r="H1043" s="12">
        <v>31569268</v>
      </c>
      <c r="I1043" s="12" t="s">
        <v>5530</v>
      </c>
      <c r="J1043" s="12" t="s">
        <v>263</v>
      </c>
      <c r="K1043" s="12" t="s">
        <v>566</v>
      </c>
      <c r="L1043" s="12" t="s">
        <v>2731</v>
      </c>
      <c r="M1043" s="12" t="s">
        <v>5531</v>
      </c>
      <c r="N1043" s="12">
        <v>172965</v>
      </c>
      <c r="O1043" s="12">
        <v>23051</v>
      </c>
      <c r="P1043" s="12">
        <v>0</v>
      </c>
      <c r="Q1043" s="12" t="s">
        <v>5532</v>
      </c>
      <c r="R1043" s="15" t="s">
        <v>5533</v>
      </c>
      <c r="S1043" s="12">
        <v>627</v>
      </c>
      <c r="T1043" s="12" t="s">
        <v>39</v>
      </c>
      <c r="U1043" s="12" t="s">
        <v>40</v>
      </c>
      <c r="V1043" s="12" t="s">
        <v>586</v>
      </c>
      <c r="W1043" s="12">
        <v>49000000</v>
      </c>
      <c r="X1043" s="12">
        <v>2015</v>
      </c>
      <c r="Y1043" s="12">
        <v>2000</v>
      </c>
      <c r="Z1043" s="12">
        <v>6.9</v>
      </c>
      <c r="AA1043" s="12">
        <v>2.35</v>
      </c>
      <c r="AB1043" s="12">
        <v>67000</v>
      </c>
      <c r="AC1043" s="12"/>
      <c r="AD1043" s="12" t="str">
        <f>IFERROR(__xludf.DUMMYFUNCTION("""COMPUTED_VALUE"""),"Rupert Evans")</f>
        <v>Rupert Evans</v>
      </c>
      <c r="AE1043" s="12"/>
    </row>
    <row r="1044" customHeight="1" spans="1:31">
      <c r="A1044" s="11" t="s">
        <v>30</v>
      </c>
      <c r="B1044" s="11" t="s">
        <v>1199</v>
      </c>
      <c r="C1044" s="11">
        <v>75</v>
      </c>
      <c r="D1044" s="11">
        <v>118</v>
      </c>
      <c r="E1044" s="11">
        <v>176</v>
      </c>
      <c r="F1044" s="11">
        <v>308</v>
      </c>
      <c r="G1044" s="11">
        <v>18000</v>
      </c>
      <c r="H1044" s="11">
        <v>66488090</v>
      </c>
      <c r="I1044" s="11" t="s">
        <v>2142</v>
      </c>
      <c r="J1044" s="11" t="s">
        <v>1727</v>
      </c>
      <c r="K1044" s="11" t="s">
        <v>565</v>
      </c>
      <c r="L1044" s="11" t="s">
        <v>5534</v>
      </c>
      <c r="M1044" s="11" t="s">
        <v>5535</v>
      </c>
      <c r="N1044" s="11">
        <v>120202</v>
      </c>
      <c r="O1044" s="11">
        <v>29748</v>
      </c>
      <c r="P1044" s="11">
        <v>2</v>
      </c>
      <c r="Q1044" s="11" t="s">
        <v>5536</v>
      </c>
      <c r="R1044" s="14" t="s">
        <v>5537</v>
      </c>
      <c r="S1044" s="11">
        <v>397</v>
      </c>
      <c r="T1044" s="11" t="s">
        <v>39</v>
      </c>
      <c r="U1044" s="11" t="s">
        <v>40</v>
      </c>
      <c r="V1044" s="11" t="s">
        <v>586</v>
      </c>
      <c r="W1044" s="11">
        <v>48000000</v>
      </c>
      <c r="X1044" s="11">
        <v>1999</v>
      </c>
      <c r="Y1044" s="11">
        <v>11000</v>
      </c>
      <c r="Z1044" s="11">
        <v>6.7</v>
      </c>
      <c r="AA1044" s="11">
        <v>2.35</v>
      </c>
      <c r="AB1044" s="11">
        <v>0</v>
      </c>
      <c r="AC1044" s="11"/>
      <c r="AD1044" s="11" t="str">
        <f>IFERROR(__xludf.DUMMYFUNCTION("""COMPUTED_VALUE"""),"Jenna Fischer")</f>
        <v>Jenna Fischer</v>
      </c>
      <c r="AE1044" s="11"/>
    </row>
    <row r="1045" customHeight="1" spans="1:31">
      <c r="A1045" s="12" t="s">
        <v>30</v>
      </c>
      <c r="B1045" s="12" t="s">
        <v>686</v>
      </c>
      <c r="C1045" s="12">
        <v>233</v>
      </c>
      <c r="D1045" s="12">
        <v>112</v>
      </c>
      <c r="E1045" s="12">
        <v>21000</v>
      </c>
      <c r="F1045" s="12">
        <v>237</v>
      </c>
      <c r="G1045" s="12">
        <v>17000</v>
      </c>
      <c r="H1045" s="12">
        <v>95308367</v>
      </c>
      <c r="I1045" s="12" t="s">
        <v>2126</v>
      </c>
      <c r="J1045" s="12" t="s">
        <v>559</v>
      </c>
      <c r="K1045" s="12" t="s">
        <v>5538</v>
      </c>
      <c r="L1045" s="12" t="s">
        <v>5539</v>
      </c>
      <c r="M1045" s="12" t="s">
        <v>5540</v>
      </c>
      <c r="N1045" s="12">
        <v>206104</v>
      </c>
      <c r="O1045" s="12">
        <v>18141</v>
      </c>
      <c r="P1045" s="12">
        <v>0</v>
      </c>
      <c r="Q1045" s="12" t="s">
        <v>5541</v>
      </c>
      <c r="R1045" s="15" t="s">
        <v>5542</v>
      </c>
      <c r="S1045" s="12">
        <v>850</v>
      </c>
      <c r="T1045" s="12" t="s">
        <v>39</v>
      </c>
      <c r="U1045" s="12" t="s">
        <v>40</v>
      </c>
      <c r="V1045" s="12" t="s">
        <v>586</v>
      </c>
      <c r="W1045" s="12">
        <v>48000000</v>
      </c>
      <c r="X1045" s="12">
        <v>2002</v>
      </c>
      <c r="Y1045" s="12">
        <v>324</v>
      </c>
      <c r="Z1045" s="12">
        <v>6.8</v>
      </c>
      <c r="AA1045" s="12">
        <v>2.35</v>
      </c>
      <c r="AB1045" s="12">
        <v>0</v>
      </c>
      <c r="AC1045" s="12"/>
      <c r="AD1045" s="12" t="str">
        <f>IFERROR(__xludf.DUMMYFUNCTION("""COMPUTED_VALUE"""),"Stephen Merchant")</f>
        <v>Stephen Merchant</v>
      </c>
      <c r="AE1045" s="12"/>
    </row>
    <row r="1046" customHeight="1" spans="1:31">
      <c r="A1046" s="11" t="s">
        <v>30</v>
      </c>
      <c r="B1046" s="11" t="s">
        <v>5543</v>
      </c>
      <c r="C1046" s="11">
        <v>32</v>
      </c>
      <c r="D1046" s="11">
        <v>89</v>
      </c>
      <c r="E1046" s="11">
        <v>42</v>
      </c>
      <c r="F1046" s="11">
        <v>235</v>
      </c>
      <c r="G1046" s="11">
        <v>598</v>
      </c>
      <c r="H1046" s="13"/>
      <c r="I1046" s="11" t="s">
        <v>5544</v>
      </c>
      <c r="J1046" s="11" t="s">
        <v>5545</v>
      </c>
      <c r="K1046" s="11" t="s">
        <v>5546</v>
      </c>
      <c r="L1046" s="11" t="s">
        <v>5547</v>
      </c>
      <c r="M1046" s="11" t="s">
        <v>5548</v>
      </c>
      <c r="N1046" s="11">
        <v>1263</v>
      </c>
      <c r="O1046" s="11">
        <v>2353</v>
      </c>
      <c r="P1046" s="11">
        <v>0</v>
      </c>
      <c r="Q1046" s="11" t="s">
        <v>5549</v>
      </c>
      <c r="R1046" s="14" t="s">
        <v>5550</v>
      </c>
      <c r="S1046" s="11">
        <v>32</v>
      </c>
      <c r="T1046" s="11" t="s">
        <v>39</v>
      </c>
      <c r="U1046" s="11" t="s">
        <v>40</v>
      </c>
      <c r="V1046" s="13"/>
      <c r="W1046" s="11">
        <v>1500000</v>
      </c>
      <c r="X1046" s="11">
        <v>2006</v>
      </c>
      <c r="Y1046" s="11">
        <v>555</v>
      </c>
      <c r="Z1046" s="11">
        <v>4.6</v>
      </c>
      <c r="AA1046" s="11">
        <v>1.78</v>
      </c>
      <c r="AB1046" s="11">
        <v>352</v>
      </c>
      <c r="AC1046" s="11"/>
      <c r="AD1046" s="11" t="str">
        <f>IFERROR(__xludf.DUMMYFUNCTION("""COMPUTED_VALUE"""),"Michael Raymond-James")</f>
        <v>Michael Raymond-James</v>
      </c>
      <c r="AE1046" s="11"/>
    </row>
    <row r="1047" customHeight="1" spans="1:31">
      <c r="A1047" s="12" t="s">
        <v>30</v>
      </c>
      <c r="B1047" s="12" t="s">
        <v>4167</v>
      </c>
      <c r="C1047" s="12">
        <v>150</v>
      </c>
      <c r="D1047" s="12">
        <v>114</v>
      </c>
      <c r="E1047" s="12">
        <v>737</v>
      </c>
      <c r="F1047" s="12">
        <v>393</v>
      </c>
      <c r="G1047" s="12">
        <v>2000</v>
      </c>
      <c r="H1047" s="12">
        <v>60652036</v>
      </c>
      <c r="I1047" s="12" t="s">
        <v>5551</v>
      </c>
      <c r="J1047" s="12" t="s">
        <v>236</v>
      </c>
      <c r="K1047" s="12" t="s">
        <v>1891</v>
      </c>
      <c r="L1047" s="12" t="s">
        <v>5552</v>
      </c>
      <c r="M1047" s="12" t="s">
        <v>5553</v>
      </c>
      <c r="N1047" s="12">
        <v>137854</v>
      </c>
      <c r="O1047" s="12">
        <v>3743</v>
      </c>
      <c r="P1047" s="12">
        <v>1</v>
      </c>
      <c r="Q1047" s="12" t="s">
        <v>5554</v>
      </c>
      <c r="R1047" s="15" t="s">
        <v>5555</v>
      </c>
      <c r="S1047" s="12">
        <v>560</v>
      </c>
      <c r="T1047" s="12" t="s">
        <v>39</v>
      </c>
      <c r="U1047" s="12" t="s">
        <v>40</v>
      </c>
      <c r="V1047" s="12" t="s">
        <v>586</v>
      </c>
      <c r="W1047" s="12">
        <v>48000000</v>
      </c>
      <c r="X1047" s="12">
        <v>1999</v>
      </c>
      <c r="Y1047" s="12">
        <v>490</v>
      </c>
      <c r="Z1047" s="12">
        <v>7.1</v>
      </c>
      <c r="AA1047" s="12">
        <v>2.35</v>
      </c>
      <c r="AB1047" s="12">
        <v>3000</v>
      </c>
      <c r="AC1047" s="12"/>
      <c r="AD1047" s="12" t="str">
        <f>IFERROR(__xludf.DUMMYFUNCTION("""COMPUTED_VALUE"""),"Graham McTavish")</f>
        <v>Graham McTavish</v>
      </c>
      <c r="AE1047" s="12"/>
    </row>
    <row r="1048" customHeight="1" spans="1:31">
      <c r="A1048" s="11" t="s">
        <v>30</v>
      </c>
      <c r="B1048" s="11" t="s">
        <v>2355</v>
      </c>
      <c r="C1048" s="11">
        <v>172</v>
      </c>
      <c r="D1048" s="11">
        <v>137</v>
      </c>
      <c r="E1048" s="11">
        <v>79</v>
      </c>
      <c r="F1048" s="11">
        <v>194</v>
      </c>
      <c r="G1048" s="11">
        <v>27000</v>
      </c>
      <c r="H1048" s="11">
        <v>1206135</v>
      </c>
      <c r="I1048" s="11" t="s">
        <v>2126</v>
      </c>
      <c r="J1048" s="11" t="s">
        <v>61</v>
      </c>
      <c r="K1048" s="11" t="s">
        <v>5556</v>
      </c>
      <c r="L1048" s="11" t="s">
        <v>5557</v>
      </c>
      <c r="M1048" s="11" t="s">
        <v>5558</v>
      </c>
      <c r="N1048" s="11">
        <v>40568</v>
      </c>
      <c r="O1048" s="11">
        <v>27666</v>
      </c>
      <c r="P1048" s="11">
        <v>3</v>
      </c>
      <c r="Q1048" s="11" t="s">
        <v>5559</v>
      </c>
      <c r="R1048" s="14" t="s">
        <v>5560</v>
      </c>
      <c r="S1048" s="11">
        <v>185</v>
      </c>
      <c r="T1048" s="11" t="s">
        <v>39</v>
      </c>
      <c r="U1048" s="11" t="s">
        <v>5561</v>
      </c>
      <c r="V1048" s="11" t="s">
        <v>586</v>
      </c>
      <c r="W1048" s="11">
        <v>50000000</v>
      </c>
      <c r="X1048" s="11">
        <v>2015</v>
      </c>
      <c r="Y1048" s="11">
        <v>254</v>
      </c>
      <c r="Z1048" s="11">
        <v>6.4</v>
      </c>
      <c r="AA1048" s="11">
        <v>2.35</v>
      </c>
      <c r="AB1048" s="11">
        <v>18000</v>
      </c>
      <c r="AC1048" s="11"/>
      <c r="AD1048" s="11" t="str">
        <f>IFERROR(__xludf.DUMMYFUNCTION("""COMPUTED_VALUE"""),"Simon McBurney")</f>
        <v>Simon McBurney</v>
      </c>
      <c r="AE1048" s="11"/>
    </row>
    <row r="1049" customHeight="1" spans="1:31">
      <c r="A1049" s="12" t="s">
        <v>30</v>
      </c>
      <c r="B1049" s="12" t="s">
        <v>3130</v>
      </c>
      <c r="C1049" s="12">
        <v>103</v>
      </c>
      <c r="D1049" s="12">
        <v>112</v>
      </c>
      <c r="E1049" s="12">
        <v>109</v>
      </c>
      <c r="F1049" s="12">
        <v>261</v>
      </c>
      <c r="G1049" s="12">
        <v>779</v>
      </c>
      <c r="H1049" s="12">
        <v>56607223</v>
      </c>
      <c r="I1049" s="12" t="s">
        <v>4220</v>
      </c>
      <c r="J1049" s="12" t="s">
        <v>5562</v>
      </c>
      <c r="K1049" s="12" t="s">
        <v>5563</v>
      </c>
      <c r="L1049" s="12" t="s">
        <v>5564</v>
      </c>
      <c r="M1049" s="12" t="s">
        <v>5565</v>
      </c>
      <c r="N1049" s="12">
        <v>93367</v>
      </c>
      <c r="O1049" s="12">
        <v>1823</v>
      </c>
      <c r="P1049" s="12">
        <v>8</v>
      </c>
      <c r="Q1049" s="12" t="s">
        <v>5566</v>
      </c>
      <c r="R1049" s="15" t="s">
        <v>5567</v>
      </c>
      <c r="S1049" s="12">
        <v>497</v>
      </c>
      <c r="T1049" s="12" t="s">
        <v>39</v>
      </c>
      <c r="U1049" s="12" t="s">
        <v>269</v>
      </c>
      <c r="V1049" s="12" t="s">
        <v>41</v>
      </c>
      <c r="W1049" s="12">
        <v>48000000</v>
      </c>
      <c r="X1049" s="12">
        <v>2001</v>
      </c>
      <c r="Y1049" s="12">
        <v>629</v>
      </c>
      <c r="Z1049" s="12">
        <v>6.4</v>
      </c>
      <c r="AA1049" s="12">
        <v>2.35</v>
      </c>
      <c r="AB1049" s="12">
        <v>0</v>
      </c>
      <c r="AC1049" s="12"/>
      <c r="AD1049" s="12" t="str">
        <f>IFERROR(__xludf.DUMMYFUNCTION("""COMPUTED_VALUE"""),"Michael Gaston")</f>
        <v>Michael Gaston</v>
      </c>
      <c r="AE1049" s="12"/>
    </row>
    <row r="1050" customHeight="1" spans="1:31">
      <c r="A1050" s="11" t="s">
        <v>30</v>
      </c>
      <c r="B1050" s="11" t="s">
        <v>4393</v>
      </c>
      <c r="C1050" s="11">
        <v>140</v>
      </c>
      <c r="D1050" s="11">
        <v>120</v>
      </c>
      <c r="E1050" s="11">
        <v>34</v>
      </c>
      <c r="F1050" s="11">
        <v>1000</v>
      </c>
      <c r="G1050" s="11">
        <v>18000</v>
      </c>
      <c r="H1050" s="11">
        <v>50173190</v>
      </c>
      <c r="I1050" s="11" t="s">
        <v>5568</v>
      </c>
      <c r="J1050" s="11" t="s">
        <v>120</v>
      </c>
      <c r="K1050" s="11" t="s">
        <v>301</v>
      </c>
      <c r="L1050" s="11" t="s">
        <v>1232</v>
      </c>
      <c r="M1050" s="11" t="s">
        <v>5569</v>
      </c>
      <c r="N1050" s="11">
        <v>148490</v>
      </c>
      <c r="O1050" s="11">
        <v>33615</v>
      </c>
      <c r="P1050" s="11">
        <v>1</v>
      </c>
      <c r="Q1050" s="11" t="s">
        <v>5570</v>
      </c>
      <c r="R1050" s="14" t="s">
        <v>5571</v>
      </c>
      <c r="S1050" s="11">
        <v>537</v>
      </c>
      <c r="T1050" s="11" t="s">
        <v>39</v>
      </c>
      <c r="U1050" s="11" t="s">
        <v>40</v>
      </c>
      <c r="V1050" s="11" t="s">
        <v>41</v>
      </c>
      <c r="W1050" s="11">
        <v>48000000</v>
      </c>
      <c r="X1050" s="11">
        <v>2001</v>
      </c>
      <c r="Y1050" s="11">
        <v>12000</v>
      </c>
      <c r="Z1050" s="11">
        <v>7.4</v>
      </c>
      <c r="AA1050" s="11">
        <v>2.35</v>
      </c>
      <c r="AB1050" s="11">
        <v>0</v>
      </c>
      <c r="AC1050" s="11"/>
      <c r="AD1050" s="11" t="str">
        <f>IFERROR(__xludf.DUMMYFUNCTION("""COMPUTED_VALUE"""),"Kevin McNally")</f>
        <v>Kevin McNally</v>
      </c>
      <c r="AE1050" s="11"/>
    </row>
    <row r="1051" customHeight="1" spans="1:31">
      <c r="A1051" s="12" t="s">
        <v>30</v>
      </c>
      <c r="B1051" s="12" t="s">
        <v>1422</v>
      </c>
      <c r="C1051" s="12">
        <v>125</v>
      </c>
      <c r="D1051" s="12">
        <v>123</v>
      </c>
      <c r="E1051" s="12">
        <v>446</v>
      </c>
      <c r="F1051" s="12">
        <v>821</v>
      </c>
      <c r="G1051" s="12">
        <v>20000</v>
      </c>
      <c r="H1051" s="12">
        <v>47095453</v>
      </c>
      <c r="I1051" s="12" t="s">
        <v>3632</v>
      </c>
      <c r="J1051" s="12" t="s">
        <v>263</v>
      </c>
      <c r="K1051" s="12" t="s">
        <v>3752</v>
      </c>
      <c r="L1051" s="12" t="s">
        <v>5572</v>
      </c>
      <c r="M1051" s="12" t="s">
        <v>5573</v>
      </c>
      <c r="N1051" s="12">
        <v>64595</v>
      </c>
      <c r="O1051" s="12">
        <v>22209</v>
      </c>
      <c r="P1051" s="12">
        <v>1</v>
      </c>
      <c r="Q1051" s="12" t="s">
        <v>5574</v>
      </c>
      <c r="R1051" s="15" t="s">
        <v>5575</v>
      </c>
      <c r="S1051" s="12">
        <v>316</v>
      </c>
      <c r="T1051" s="12" t="s">
        <v>39</v>
      </c>
      <c r="U1051" s="12" t="s">
        <v>40</v>
      </c>
      <c r="V1051" s="12" t="s">
        <v>41</v>
      </c>
      <c r="W1051" s="12">
        <v>48000000</v>
      </c>
      <c r="X1051" s="12">
        <v>2001</v>
      </c>
      <c r="Y1051" s="12">
        <v>1000</v>
      </c>
      <c r="Z1051" s="12">
        <v>6.4</v>
      </c>
      <c r="AA1051" s="12">
        <v>1.85</v>
      </c>
      <c r="AB1051" s="12">
        <v>0</v>
      </c>
      <c r="AC1051" s="12"/>
      <c r="AD1051" s="12" t="str">
        <f>IFERROR(__xludf.DUMMYFUNCTION("""COMPUTED_VALUE"""),"Maury Chaykin")</f>
        <v>Maury Chaykin</v>
      </c>
      <c r="AE1051" s="12"/>
    </row>
    <row r="1052" customHeight="1" spans="1:31">
      <c r="A1052" s="11" t="s">
        <v>30</v>
      </c>
      <c r="B1052" s="11" t="s">
        <v>4219</v>
      </c>
      <c r="C1052" s="11">
        <v>125</v>
      </c>
      <c r="D1052" s="11">
        <v>93</v>
      </c>
      <c r="E1052" s="11">
        <v>11000</v>
      </c>
      <c r="F1052" s="11">
        <v>484</v>
      </c>
      <c r="G1052" s="11">
        <v>3000</v>
      </c>
      <c r="H1052" s="11">
        <v>37879996</v>
      </c>
      <c r="I1052" s="11" t="s">
        <v>3632</v>
      </c>
      <c r="J1052" s="11" t="s">
        <v>503</v>
      </c>
      <c r="K1052" s="11" t="s">
        <v>3799</v>
      </c>
      <c r="L1052" s="11" t="s">
        <v>5576</v>
      </c>
      <c r="M1052" s="11" t="s">
        <v>5577</v>
      </c>
      <c r="N1052" s="11">
        <v>81888</v>
      </c>
      <c r="O1052" s="11">
        <v>5390</v>
      </c>
      <c r="P1052" s="11">
        <v>2</v>
      </c>
      <c r="Q1052" s="11" t="s">
        <v>5578</v>
      </c>
      <c r="R1052" s="14" t="s">
        <v>5579</v>
      </c>
      <c r="S1052" s="11">
        <v>254</v>
      </c>
      <c r="T1052" s="11" t="s">
        <v>39</v>
      </c>
      <c r="U1052" s="11" t="s">
        <v>40</v>
      </c>
      <c r="V1052" s="11" t="s">
        <v>41</v>
      </c>
      <c r="W1052" s="11">
        <v>48000000</v>
      </c>
      <c r="X1052" s="11">
        <v>2000</v>
      </c>
      <c r="Y1052" s="11">
        <v>575</v>
      </c>
      <c r="Z1052" s="11">
        <v>6</v>
      </c>
      <c r="AA1052" s="11">
        <v>2.35</v>
      </c>
      <c r="AB1052" s="11">
        <v>0</v>
      </c>
      <c r="AC1052" s="11"/>
      <c r="AD1052" s="11" t="str">
        <f>IFERROR(__xludf.DUMMYFUNCTION("""COMPUTED_VALUE"""),"Kaitlyn Dever")</f>
        <v>Kaitlyn Dever</v>
      </c>
      <c r="AE1052" s="11"/>
    </row>
    <row r="1053" customHeight="1" spans="1:31">
      <c r="A1053" s="12" t="s">
        <v>30</v>
      </c>
      <c r="B1053" s="12" t="s">
        <v>4851</v>
      </c>
      <c r="C1053" s="12">
        <v>36</v>
      </c>
      <c r="D1053" s="12">
        <v>123</v>
      </c>
      <c r="E1053" s="12">
        <v>0</v>
      </c>
      <c r="F1053" s="12">
        <v>886</v>
      </c>
      <c r="G1053" s="12">
        <v>12000</v>
      </c>
      <c r="H1053" s="12">
        <v>25900000</v>
      </c>
      <c r="I1053" s="12" t="s">
        <v>5580</v>
      </c>
      <c r="J1053" s="12" t="s">
        <v>705</v>
      </c>
      <c r="K1053" s="12" t="s">
        <v>2398</v>
      </c>
      <c r="L1053" s="12" t="s">
        <v>5581</v>
      </c>
      <c r="M1053" s="12" t="s">
        <v>5582</v>
      </c>
      <c r="N1053" s="12">
        <v>12771</v>
      </c>
      <c r="O1053" s="12">
        <v>18793</v>
      </c>
      <c r="P1053" s="12">
        <v>1</v>
      </c>
      <c r="Q1053" s="12" t="s">
        <v>5583</v>
      </c>
      <c r="R1053" s="15" t="s">
        <v>5584</v>
      </c>
      <c r="S1053" s="12">
        <v>84</v>
      </c>
      <c r="T1053" s="12" t="s">
        <v>39</v>
      </c>
      <c r="U1053" s="12" t="s">
        <v>40</v>
      </c>
      <c r="V1053" s="12" t="s">
        <v>586</v>
      </c>
      <c r="W1053" s="12">
        <v>58000000</v>
      </c>
      <c r="X1053" s="12">
        <v>1984</v>
      </c>
      <c r="Y1053" s="12">
        <v>5000</v>
      </c>
      <c r="Z1053" s="12">
        <v>6.5</v>
      </c>
      <c r="AA1053" s="12">
        <v>1.85</v>
      </c>
      <c r="AB1053" s="12">
        <v>828</v>
      </c>
      <c r="AC1053" s="12"/>
      <c r="AD1053" s="12" t="str">
        <f>IFERROR(__xludf.DUMMYFUNCTION("""COMPUTED_VALUE"""),"Nancy Travis")</f>
        <v>Nancy Travis</v>
      </c>
      <c r="AE1053" s="12"/>
    </row>
    <row r="1054" customHeight="1" spans="1:31">
      <c r="A1054" s="11" t="s">
        <v>30</v>
      </c>
      <c r="B1054" s="11" t="s">
        <v>1422</v>
      </c>
      <c r="C1054" s="11">
        <v>295</v>
      </c>
      <c r="D1054" s="11">
        <v>122</v>
      </c>
      <c r="E1054" s="11">
        <v>446</v>
      </c>
      <c r="F1054" s="11">
        <v>600</v>
      </c>
      <c r="G1054" s="11">
        <v>23000</v>
      </c>
      <c r="H1054" s="11">
        <v>53574088</v>
      </c>
      <c r="I1054" s="11" t="s">
        <v>5585</v>
      </c>
      <c r="J1054" s="11" t="s">
        <v>62</v>
      </c>
      <c r="K1054" s="11" t="s">
        <v>1207</v>
      </c>
      <c r="L1054" s="11" t="s">
        <v>5586</v>
      </c>
      <c r="M1054" s="11" t="s">
        <v>5587</v>
      </c>
      <c r="N1054" s="11">
        <v>237872</v>
      </c>
      <c r="O1054" s="11">
        <v>33548</v>
      </c>
      <c r="P1054" s="11">
        <v>1</v>
      </c>
      <c r="Q1054" s="11" t="s">
        <v>5588</v>
      </c>
      <c r="R1054" s="14" t="s">
        <v>5589</v>
      </c>
      <c r="S1054" s="11">
        <v>560</v>
      </c>
      <c r="T1054" s="11" t="s">
        <v>39</v>
      </c>
      <c r="U1054" s="11" t="s">
        <v>40</v>
      </c>
      <c r="V1054" s="11" t="s">
        <v>586</v>
      </c>
      <c r="W1054" s="11">
        <v>55000000</v>
      </c>
      <c r="X1054" s="11">
        <v>2007</v>
      </c>
      <c r="Y1054" s="11">
        <v>8000</v>
      </c>
      <c r="Z1054" s="11">
        <v>7.8</v>
      </c>
      <c r="AA1054" s="11">
        <v>2.35</v>
      </c>
      <c r="AB1054" s="11">
        <v>0</v>
      </c>
      <c r="AC1054" s="11"/>
      <c r="AD1054" s="11" t="str">
        <f>IFERROR(__xludf.DUMMYFUNCTION("""COMPUTED_VALUE"""),"Mitch Pileggi")</f>
        <v>Mitch Pileggi</v>
      </c>
      <c r="AE1054" s="11"/>
    </row>
    <row r="1055" customHeight="1" spans="1:31">
      <c r="A1055" s="12" t="s">
        <v>30</v>
      </c>
      <c r="B1055" s="12" t="s">
        <v>5590</v>
      </c>
      <c r="C1055" s="12">
        <v>222</v>
      </c>
      <c r="D1055" s="12">
        <v>115</v>
      </c>
      <c r="E1055" s="12">
        <v>118</v>
      </c>
      <c r="F1055" s="12">
        <v>482</v>
      </c>
      <c r="G1055" s="12">
        <v>14000</v>
      </c>
      <c r="H1055" s="12">
        <v>89253340</v>
      </c>
      <c r="I1055" s="12" t="s">
        <v>60</v>
      </c>
      <c r="J1055" s="12" t="s">
        <v>228</v>
      </c>
      <c r="K1055" s="12" t="s">
        <v>1342</v>
      </c>
      <c r="L1055" s="12" t="s">
        <v>5591</v>
      </c>
      <c r="M1055" s="12" t="s">
        <v>5592</v>
      </c>
      <c r="N1055" s="12">
        <v>133436</v>
      </c>
      <c r="O1055" s="12">
        <v>16967</v>
      </c>
      <c r="P1055" s="12">
        <v>0</v>
      </c>
      <c r="Q1055" s="12" t="s">
        <v>5593</v>
      </c>
      <c r="R1055" s="15" t="s">
        <v>5594</v>
      </c>
      <c r="S1055" s="12">
        <v>323</v>
      </c>
      <c r="T1055" s="12" t="s">
        <v>39</v>
      </c>
      <c r="U1055" s="12" t="s">
        <v>1466</v>
      </c>
      <c r="V1055" s="12" t="s">
        <v>41</v>
      </c>
      <c r="W1055" s="12">
        <v>48000000</v>
      </c>
      <c r="X1055" s="12">
        <v>2014</v>
      </c>
      <c r="Y1055" s="12">
        <v>794</v>
      </c>
      <c r="Z1055" s="12">
        <v>6</v>
      </c>
      <c r="AA1055" s="12">
        <v>2.35</v>
      </c>
      <c r="AB1055" s="12">
        <v>38000</v>
      </c>
      <c r="AC1055" s="12"/>
      <c r="AD1055" s="12" t="str">
        <f>IFERROR(__xludf.DUMMYFUNCTION("""COMPUTED_VALUE"""),"Owen Teale")</f>
        <v>Owen Teale</v>
      </c>
      <c r="AE1055" s="12"/>
    </row>
    <row r="1056" customHeight="1" spans="1:31">
      <c r="A1056" s="11" t="s">
        <v>30</v>
      </c>
      <c r="B1056" s="11" t="s">
        <v>1527</v>
      </c>
      <c r="C1056" s="11">
        <v>158</v>
      </c>
      <c r="D1056" s="11">
        <v>123</v>
      </c>
      <c r="E1056" s="11">
        <v>0</v>
      </c>
      <c r="F1056" s="11">
        <v>23</v>
      </c>
      <c r="G1056" s="11">
        <v>3000</v>
      </c>
      <c r="H1056" s="11">
        <v>37339525</v>
      </c>
      <c r="I1056" s="11" t="s">
        <v>5275</v>
      </c>
      <c r="J1056" s="11" t="s">
        <v>252</v>
      </c>
      <c r="K1056" s="11" t="s">
        <v>2968</v>
      </c>
      <c r="L1056" s="11" t="s">
        <v>5595</v>
      </c>
      <c r="M1056" s="11" t="s">
        <v>5596</v>
      </c>
      <c r="N1056" s="11">
        <v>71708</v>
      </c>
      <c r="O1056" s="11">
        <v>3768</v>
      </c>
      <c r="P1056" s="11">
        <v>1</v>
      </c>
      <c r="Q1056" s="11" t="s">
        <v>5597</v>
      </c>
      <c r="R1056" s="14" t="s">
        <v>5598</v>
      </c>
      <c r="S1056" s="11">
        <v>307</v>
      </c>
      <c r="T1056" s="11" t="s">
        <v>39</v>
      </c>
      <c r="U1056" s="11" t="s">
        <v>40</v>
      </c>
      <c r="V1056" s="11" t="s">
        <v>586</v>
      </c>
      <c r="W1056" s="11">
        <v>48000000</v>
      </c>
      <c r="X1056" s="11">
        <v>1998</v>
      </c>
      <c r="Y1056" s="11">
        <v>745</v>
      </c>
      <c r="Z1056" s="11">
        <v>7</v>
      </c>
      <c r="AA1056" s="11">
        <v>1.85</v>
      </c>
      <c r="AB1056" s="11">
        <v>0</v>
      </c>
      <c r="AC1056" s="11"/>
      <c r="AD1056" s="11" t="str">
        <f>IFERROR(__xludf.DUMMYFUNCTION("""COMPUTED_VALUE"""),"Lisa Edelstein")</f>
        <v>Lisa Edelstein</v>
      </c>
      <c r="AE1056" s="11"/>
    </row>
    <row r="1057" customHeight="1" spans="1:31">
      <c r="A1057" s="12" t="s">
        <v>30</v>
      </c>
      <c r="B1057" s="12" t="s">
        <v>2113</v>
      </c>
      <c r="C1057" s="12">
        <v>72</v>
      </c>
      <c r="D1057" s="12">
        <v>96</v>
      </c>
      <c r="E1057" s="12">
        <v>0</v>
      </c>
      <c r="F1057" s="12">
        <v>302</v>
      </c>
      <c r="G1057" s="12">
        <v>2000</v>
      </c>
      <c r="H1057" s="12">
        <v>60154431</v>
      </c>
      <c r="I1057" s="12" t="s">
        <v>5599</v>
      </c>
      <c r="J1057" s="12" t="s">
        <v>902</v>
      </c>
      <c r="K1057" s="12" t="s">
        <v>794</v>
      </c>
      <c r="L1057" s="12" t="s">
        <v>5600</v>
      </c>
      <c r="M1057" s="12" t="s">
        <v>5601</v>
      </c>
      <c r="N1057" s="12">
        <v>122347</v>
      </c>
      <c r="O1057" s="12">
        <v>3718</v>
      </c>
      <c r="P1057" s="12">
        <v>1</v>
      </c>
      <c r="Q1057" s="12" t="s">
        <v>5602</v>
      </c>
      <c r="R1057" s="15" t="s">
        <v>5603</v>
      </c>
      <c r="S1057" s="12">
        <v>345</v>
      </c>
      <c r="T1057" s="12" t="s">
        <v>39</v>
      </c>
      <c r="U1057" s="12" t="s">
        <v>40</v>
      </c>
      <c r="V1057" s="12" t="s">
        <v>41</v>
      </c>
      <c r="W1057" s="12">
        <v>47000000</v>
      </c>
      <c r="X1057" s="12">
        <v>1996</v>
      </c>
      <c r="Y1057" s="12">
        <v>1000</v>
      </c>
      <c r="Z1057" s="12">
        <v>6</v>
      </c>
      <c r="AA1057" s="12">
        <v>2.35</v>
      </c>
      <c r="AB1057" s="12">
        <v>0</v>
      </c>
      <c r="AC1057" s="12"/>
      <c r="AD1057" s="12" t="str">
        <f>IFERROR(__xludf.DUMMYFUNCTION("""COMPUTED_VALUE"""),"Reece Thompson")</f>
        <v>Reece Thompson</v>
      </c>
      <c r="AE1057" s="12"/>
    </row>
    <row r="1058" customHeight="1" spans="1:31">
      <c r="A1058" s="11" t="s">
        <v>30</v>
      </c>
      <c r="B1058" s="11" t="s">
        <v>5604</v>
      </c>
      <c r="C1058" s="11">
        <v>34</v>
      </c>
      <c r="D1058" s="11">
        <v>110</v>
      </c>
      <c r="E1058" s="11">
        <v>375</v>
      </c>
      <c r="F1058" s="11">
        <v>59</v>
      </c>
      <c r="G1058" s="11">
        <v>113</v>
      </c>
      <c r="H1058" s="11">
        <v>528972</v>
      </c>
      <c r="I1058" s="11" t="s">
        <v>5605</v>
      </c>
      <c r="J1058" s="11" t="s">
        <v>5606</v>
      </c>
      <c r="K1058" s="11" t="s">
        <v>5607</v>
      </c>
      <c r="L1058" s="11" t="s">
        <v>5608</v>
      </c>
      <c r="M1058" s="11" t="s">
        <v>5609</v>
      </c>
      <c r="N1058" s="11">
        <v>5639</v>
      </c>
      <c r="O1058" s="11">
        <v>371</v>
      </c>
      <c r="P1058" s="11">
        <v>0</v>
      </c>
      <c r="Q1058" s="11" t="s">
        <v>5610</v>
      </c>
      <c r="R1058" s="14" t="s">
        <v>5611</v>
      </c>
      <c r="S1058" s="11">
        <v>55</v>
      </c>
      <c r="T1058" s="11" t="s">
        <v>5612</v>
      </c>
      <c r="U1058" s="11" t="s">
        <v>5613</v>
      </c>
      <c r="V1058" s="11" t="s">
        <v>5614</v>
      </c>
      <c r="W1058" s="13"/>
      <c r="X1058" s="11">
        <v>1998</v>
      </c>
      <c r="Y1058" s="11">
        <v>102</v>
      </c>
      <c r="Z1058" s="11">
        <v>7.8</v>
      </c>
      <c r="AA1058" s="13"/>
      <c r="AB1058" s="11">
        <v>522</v>
      </c>
      <c r="AC1058" s="11"/>
      <c r="AD1058" s="11" t="str">
        <f>IFERROR(__xludf.DUMMYFUNCTION("""COMPUTED_VALUE"""),"Marcus Chong")</f>
        <v>Marcus Chong</v>
      </c>
      <c r="AE1058" s="11"/>
    </row>
    <row r="1059" customHeight="1" spans="1:31">
      <c r="A1059" s="12" t="s">
        <v>30</v>
      </c>
      <c r="B1059" s="12" t="s">
        <v>1683</v>
      </c>
      <c r="C1059" s="12">
        <v>72</v>
      </c>
      <c r="D1059" s="12">
        <v>105</v>
      </c>
      <c r="E1059" s="12">
        <v>631</v>
      </c>
      <c r="F1059" s="12">
        <v>327</v>
      </c>
      <c r="G1059" s="12">
        <v>678</v>
      </c>
      <c r="H1059" s="12">
        <v>103738726</v>
      </c>
      <c r="I1059" s="12" t="s">
        <v>5615</v>
      </c>
      <c r="J1059" s="12" t="s">
        <v>5616</v>
      </c>
      <c r="K1059" s="12" t="s">
        <v>1683</v>
      </c>
      <c r="L1059" s="12" t="s">
        <v>4745</v>
      </c>
      <c r="M1059" s="12" t="s">
        <v>5617</v>
      </c>
      <c r="N1059" s="12">
        <v>47819</v>
      </c>
      <c r="O1059" s="12">
        <v>2096</v>
      </c>
      <c r="P1059" s="12">
        <v>1</v>
      </c>
      <c r="Q1059" s="12" t="s">
        <v>5618</v>
      </c>
      <c r="R1059" s="15" t="s">
        <v>5619</v>
      </c>
      <c r="S1059" s="12">
        <v>164</v>
      </c>
      <c r="T1059" s="12" t="s">
        <v>39</v>
      </c>
      <c r="U1059" s="12" t="s">
        <v>40</v>
      </c>
      <c r="V1059" s="12" t="s">
        <v>96</v>
      </c>
      <c r="W1059" s="12">
        <v>100000000</v>
      </c>
      <c r="X1059" s="12">
        <v>1990</v>
      </c>
      <c r="Y1059" s="12">
        <v>631</v>
      </c>
      <c r="Z1059" s="12">
        <v>6.1</v>
      </c>
      <c r="AA1059" s="12">
        <v>1.85</v>
      </c>
      <c r="AB1059" s="12">
        <v>2000</v>
      </c>
      <c r="AC1059" s="12"/>
      <c r="AD1059" s="12" t="str">
        <f>IFERROR(__xludf.DUMMYFUNCTION("""COMPUTED_VALUE"""),"Gloria Foster")</f>
        <v>Gloria Foster</v>
      </c>
      <c r="AE1059" s="12"/>
    </row>
    <row r="1060" customHeight="1" spans="1:31">
      <c r="A1060" s="11" t="s">
        <v>30</v>
      </c>
      <c r="B1060" s="11" t="s">
        <v>1312</v>
      </c>
      <c r="C1060" s="11">
        <v>152</v>
      </c>
      <c r="D1060" s="11">
        <v>113</v>
      </c>
      <c r="E1060" s="11">
        <v>323</v>
      </c>
      <c r="F1060" s="11">
        <v>835</v>
      </c>
      <c r="G1060" s="11">
        <v>1000</v>
      </c>
      <c r="H1060" s="11">
        <v>69304264</v>
      </c>
      <c r="I1060" s="11" t="s">
        <v>5620</v>
      </c>
      <c r="J1060" s="11" t="s">
        <v>1822</v>
      </c>
      <c r="K1060" s="11" t="s">
        <v>5621</v>
      </c>
      <c r="L1060" s="11" t="s">
        <v>2107</v>
      </c>
      <c r="M1060" s="11" t="s">
        <v>5622</v>
      </c>
      <c r="N1060" s="11">
        <v>73068</v>
      </c>
      <c r="O1060" s="11">
        <v>4660</v>
      </c>
      <c r="P1060" s="11">
        <v>0</v>
      </c>
      <c r="Q1060" s="11" t="s">
        <v>5623</v>
      </c>
      <c r="R1060" s="14" t="s">
        <v>5624</v>
      </c>
      <c r="S1060" s="11">
        <v>419</v>
      </c>
      <c r="T1060" s="11" t="s">
        <v>39</v>
      </c>
      <c r="U1060" s="11" t="s">
        <v>40</v>
      </c>
      <c r="V1060" s="11" t="s">
        <v>586</v>
      </c>
      <c r="W1060" s="11">
        <v>48000000</v>
      </c>
      <c r="X1060" s="11">
        <v>1999</v>
      </c>
      <c r="Y1060" s="11">
        <v>977</v>
      </c>
      <c r="Z1060" s="11">
        <v>6.8</v>
      </c>
      <c r="AA1060" s="11">
        <v>2.35</v>
      </c>
      <c r="AB1060" s="11">
        <v>0</v>
      </c>
      <c r="AC1060" s="11"/>
      <c r="AD1060" s="11" t="str">
        <f>IFERROR(__xludf.DUMMYFUNCTION("""COMPUTED_VALUE"""),"Miko Hughes")</f>
        <v>Miko Hughes</v>
      </c>
      <c r="AE1060" s="11"/>
    </row>
    <row r="1061" customHeight="1" spans="1:31">
      <c r="A1061" s="12" t="s">
        <v>30</v>
      </c>
      <c r="B1061" s="12" t="s">
        <v>5625</v>
      </c>
      <c r="C1061" s="12">
        <v>89</v>
      </c>
      <c r="D1061" s="12">
        <v>132</v>
      </c>
      <c r="E1061" s="12">
        <v>545</v>
      </c>
      <c r="F1061" s="12">
        <v>807</v>
      </c>
      <c r="G1061" s="12">
        <v>919</v>
      </c>
      <c r="H1061" s="12">
        <v>29781453</v>
      </c>
      <c r="I1061" s="12" t="s">
        <v>4168</v>
      </c>
      <c r="J1061" s="12" t="s">
        <v>1987</v>
      </c>
      <c r="K1061" s="12" t="s">
        <v>5626</v>
      </c>
      <c r="L1061" s="12" t="s">
        <v>5627</v>
      </c>
      <c r="M1061" s="12" t="s">
        <v>5628</v>
      </c>
      <c r="N1061" s="12">
        <v>22447</v>
      </c>
      <c r="O1061" s="12">
        <v>4796</v>
      </c>
      <c r="P1061" s="12">
        <v>1</v>
      </c>
      <c r="Q1061" s="12" t="s">
        <v>5629</v>
      </c>
      <c r="R1061" s="15" t="s">
        <v>5630</v>
      </c>
      <c r="S1061" s="12">
        <v>210</v>
      </c>
      <c r="T1061" s="12" t="s">
        <v>39</v>
      </c>
      <c r="U1061" s="12" t="s">
        <v>40</v>
      </c>
      <c r="V1061" s="12" t="s">
        <v>41</v>
      </c>
      <c r="W1061" s="12">
        <v>48000000</v>
      </c>
      <c r="X1061" s="12">
        <v>2001</v>
      </c>
      <c r="Y1061" s="12">
        <v>811</v>
      </c>
      <c r="Z1061" s="12">
        <v>6.4</v>
      </c>
      <c r="AA1061" s="12">
        <v>1.85</v>
      </c>
      <c r="AB1061" s="12">
        <v>0</v>
      </c>
      <c r="AC1061" s="12"/>
      <c r="AD1061" s="12" t="str">
        <f>IFERROR(__xludf.DUMMYFUNCTION("""COMPUTED_VALUE"""),"Kathleen Quinlan")</f>
        <v>Kathleen Quinlan</v>
      </c>
      <c r="AE1061" s="12"/>
    </row>
    <row r="1062" customHeight="1" spans="1:31">
      <c r="A1062" s="11" t="s">
        <v>30</v>
      </c>
      <c r="B1062" s="11" t="s">
        <v>5631</v>
      </c>
      <c r="C1062" s="11">
        <v>145</v>
      </c>
      <c r="D1062" s="11">
        <v>93</v>
      </c>
      <c r="E1062" s="11">
        <v>270</v>
      </c>
      <c r="F1062" s="11">
        <v>535</v>
      </c>
      <c r="G1062" s="11">
        <v>13000</v>
      </c>
      <c r="H1062" s="13"/>
      <c r="I1062" s="11" t="s">
        <v>1023</v>
      </c>
      <c r="J1062" s="11" t="s">
        <v>1785</v>
      </c>
      <c r="K1062" s="11" t="s">
        <v>795</v>
      </c>
      <c r="L1062" s="11" t="s">
        <v>4604</v>
      </c>
      <c r="M1062" s="11" t="s">
        <v>5632</v>
      </c>
      <c r="N1062" s="11">
        <v>172489</v>
      </c>
      <c r="O1062" s="11">
        <v>15192</v>
      </c>
      <c r="P1062" s="11">
        <v>1</v>
      </c>
      <c r="Q1062" s="11" t="s">
        <v>5633</v>
      </c>
      <c r="R1062" s="14" t="s">
        <v>5634</v>
      </c>
      <c r="S1062" s="11">
        <v>376</v>
      </c>
      <c r="T1062" s="11" t="s">
        <v>39</v>
      </c>
      <c r="U1062" s="11" t="s">
        <v>40</v>
      </c>
      <c r="V1062" s="11" t="s">
        <v>586</v>
      </c>
      <c r="W1062" s="11">
        <v>14000000</v>
      </c>
      <c r="X1062" s="11">
        <v>1982</v>
      </c>
      <c r="Y1062" s="11">
        <v>954</v>
      </c>
      <c r="Z1062" s="11">
        <v>7.7</v>
      </c>
      <c r="AA1062" s="11">
        <v>2.35</v>
      </c>
      <c r="AB1062" s="11">
        <v>0</v>
      </c>
      <c r="AC1062" s="11"/>
      <c r="AD1062" s="11" t="str">
        <f>IFERROR(__xludf.DUMMYFUNCTION("""COMPUTED_VALUE"""),"Judge Reinhold")</f>
        <v>Judge Reinhold</v>
      </c>
      <c r="AE1062" s="11"/>
    </row>
    <row r="1063" customHeight="1" spans="1:31">
      <c r="A1063" s="12" t="s">
        <v>748</v>
      </c>
      <c r="B1063" s="12" t="s">
        <v>5635</v>
      </c>
      <c r="C1063" s="12">
        <v>144</v>
      </c>
      <c r="D1063" s="12">
        <v>115</v>
      </c>
      <c r="E1063" s="12">
        <v>0</v>
      </c>
      <c r="F1063" s="12">
        <v>12</v>
      </c>
      <c r="G1063" s="12">
        <v>29</v>
      </c>
      <c r="H1063" s="16"/>
      <c r="I1063" s="12" t="s">
        <v>5568</v>
      </c>
      <c r="J1063" s="12" t="s">
        <v>5636</v>
      </c>
      <c r="K1063" s="12" t="s">
        <v>5637</v>
      </c>
      <c r="L1063" s="12" t="s">
        <v>5638</v>
      </c>
      <c r="M1063" s="12" t="s">
        <v>5639</v>
      </c>
      <c r="N1063" s="12">
        <v>54057</v>
      </c>
      <c r="O1063" s="12">
        <v>95</v>
      </c>
      <c r="P1063" s="12">
        <v>0</v>
      </c>
      <c r="Q1063" s="12" t="s">
        <v>5640</v>
      </c>
      <c r="R1063" s="15" t="s">
        <v>5641</v>
      </c>
      <c r="S1063" s="12">
        <v>236</v>
      </c>
      <c r="T1063" s="12" t="s">
        <v>5642</v>
      </c>
      <c r="U1063" s="12" t="s">
        <v>5643</v>
      </c>
      <c r="V1063" s="12" t="s">
        <v>96</v>
      </c>
      <c r="W1063" s="12">
        <v>1000000</v>
      </c>
      <c r="X1063" s="12">
        <v>1972</v>
      </c>
      <c r="Y1063" s="12">
        <v>29</v>
      </c>
      <c r="Z1063" s="12">
        <v>8.1</v>
      </c>
      <c r="AA1063" s="12">
        <v>2.35</v>
      </c>
      <c r="AB1063" s="12">
        <v>0</v>
      </c>
      <c r="AC1063" s="12"/>
      <c r="AD1063" s="12" t="str">
        <f>IFERROR(__xludf.DUMMYFUNCTION("""COMPUTED_VALUE"""),"Aisha Tyler")</f>
        <v>Aisha Tyler</v>
      </c>
      <c r="AE1063" s="12"/>
    </row>
    <row r="1064" customHeight="1" spans="1:31">
      <c r="A1064" s="11" t="s">
        <v>30</v>
      </c>
      <c r="B1064" s="11" t="s">
        <v>5644</v>
      </c>
      <c r="C1064" s="11">
        <v>93</v>
      </c>
      <c r="D1064" s="11">
        <v>75</v>
      </c>
      <c r="E1064" s="11">
        <v>0</v>
      </c>
      <c r="F1064" s="11">
        <v>677</v>
      </c>
      <c r="G1064" s="11">
        <v>4000</v>
      </c>
      <c r="H1064" s="11">
        <v>15519841</v>
      </c>
      <c r="I1064" s="11" t="s">
        <v>271</v>
      </c>
      <c r="J1064" s="11" t="s">
        <v>2477</v>
      </c>
      <c r="K1064" s="11" t="s">
        <v>3300</v>
      </c>
      <c r="L1064" s="11" t="s">
        <v>4984</v>
      </c>
      <c r="M1064" s="11" t="s">
        <v>5645</v>
      </c>
      <c r="N1064" s="11">
        <v>8693</v>
      </c>
      <c r="O1064" s="11">
        <v>6863</v>
      </c>
      <c r="P1064" s="11">
        <v>3</v>
      </c>
      <c r="Q1064" s="11" t="s">
        <v>5646</v>
      </c>
      <c r="R1064" s="14" t="s">
        <v>5647</v>
      </c>
      <c r="S1064" s="11">
        <v>71</v>
      </c>
      <c r="T1064" s="11" t="s">
        <v>39</v>
      </c>
      <c r="U1064" s="11" t="s">
        <v>40</v>
      </c>
      <c r="V1064" s="11" t="s">
        <v>96</v>
      </c>
      <c r="W1064" s="11">
        <v>47000000</v>
      </c>
      <c r="X1064" s="11">
        <v>2006</v>
      </c>
      <c r="Y1064" s="11">
        <v>769</v>
      </c>
      <c r="Z1064" s="11">
        <v>4.5</v>
      </c>
      <c r="AA1064" s="11">
        <v>1.85</v>
      </c>
      <c r="AB1064" s="11">
        <v>261</v>
      </c>
      <c r="AC1064" s="11"/>
      <c r="AD1064" s="11" t="str">
        <f>IFERROR(__xludf.DUMMYFUNCTION("""COMPUTED_VALUE"""),"Eric Lloyd")</f>
        <v>Eric Lloyd</v>
      </c>
      <c r="AE1064" s="11"/>
    </row>
    <row r="1065" customHeight="1" spans="1:31">
      <c r="A1065" s="12" t="s">
        <v>30</v>
      </c>
      <c r="B1065" s="12" t="s">
        <v>5648</v>
      </c>
      <c r="C1065" s="12">
        <v>46</v>
      </c>
      <c r="D1065" s="12">
        <v>108</v>
      </c>
      <c r="E1065" s="12">
        <v>350</v>
      </c>
      <c r="F1065" s="12">
        <v>77</v>
      </c>
      <c r="G1065" s="12">
        <v>8000</v>
      </c>
      <c r="H1065" s="12">
        <v>5600000</v>
      </c>
      <c r="I1065" s="12" t="s">
        <v>3390</v>
      </c>
      <c r="J1065" s="12" t="s">
        <v>1529</v>
      </c>
      <c r="K1065" s="12" t="s">
        <v>5649</v>
      </c>
      <c r="L1065" s="12" t="s">
        <v>5650</v>
      </c>
      <c r="M1065" s="12" t="s">
        <v>5651</v>
      </c>
      <c r="N1065" s="12">
        <v>11913</v>
      </c>
      <c r="O1065" s="12">
        <v>8349</v>
      </c>
      <c r="P1065" s="12">
        <v>1</v>
      </c>
      <c r="Q1065" s="12" t="s">
        <v>5652</v>
      </c>
      <c r="R1065" s="15" t="s">
        <v>5653</v>
      </c>
      <c r="S1065" s="12">
        <v>97</v>
      </c>
      <c r="T1065" s="12" t="s">
        <v>39</v>
      </c>
      <c r="U1065" s="12" t="s">
        <v>40</v>
      </c>
      <c r="V1065" s="12" t="s">
        <v>586</v>
      </c>
      <c r="W1065" s="12">
        <v>47000000</v>
      </c>
      <c r="X1065" s="12">
        <v>1996</v>
      </c>
      <c r="Y1065" s="12">
        <v>115</v>
      </c>
      <c r="Z1065" s="12">
        <v>5.8</v>
      </c>
      <c r="AA1065" s="12">
        <v>1.85</v>
      </c>
      <c r="AB1065" s="12">
        <v>616</v>
      </c>
      <c r="AC1065" s="12"/>
      <c r="AD1065" s="12" t="str">
        <f>IFERROR(__xludf.DUMMYFUNCTION("""COMPUTED_VALUE"""),"Jean Stapleton")</f>
        <v>Jean Stapleton</v>
      </c>
      <c r="AE1065" s="12"/>
    </row>
    <row r="1066" customHeight="1" spans="1:31">
      <c r="A1066" s="11" t="s">
        <v>30</v>
      </c>
      <c r="B1066" s="11" t="s">
        <v>5654</v>
      </c>
      <c r="C1066" s="11">
        <v>84</v>
      </c>
      <c r="D1066" s="11">
        <v>105</v>
      </c>
      <c r="E1066" s="11">
        <v>29</v>
      </c>
      <c r="F1066" s="11">
        <v>692</v>
      </c>
      <c r="G1066" s="11">
        <v>8000</v>
      </c>
      <c r="H1066" s="11">
        <v>126805112</v>
      </c>
      <c r="I1066" s="11" t="s">
        <v>1681</v>
      </c>
      <c r="J1066" s="11" t="s">
        <v>1529</v>
      </c>
      <c r="K1066" s="11" t="s">
        <v>2068</v>
      </c>
      <c r="L1066" s="11" t="s">
        <v>725</v>
      </c>
      <c r="M1066" s="11" t="s">
        <v>5655</v>
      </c>
      <c r="N1066" s="11">
        <v>98199</v>
      </c>
      <c r="O1066" s="11">
        <v>12344</v>
      </c>
      <c r="P1066" s="11">
        <v>1</v>
      </c>
      <c r="Q1066" s="11" t="s">
        <v>5656</v>
      </c>
      <c r="R1066" s="14" t="s">
        <v>5657</v>
      </c>
      <c r="S1066" s="11">
        <v>169</v>
      </c>
      <c r="T1066" s="11" t="s">
        <v>39</v>
      </c>
      <c r="U1066" s="11" t="s">
        <v>40</v>
      </c>
      <c r="V1066" s="11" t="s">
        <v>41</v>
      </c>
      <c r="W1066" s="11">
        <v>46000000</v>
      </c>
      <c r="X1066" s="11">
        <v>1997</v>
      </c>
      <c r="Y1066" s="11">
        <v>1000</v>
      </c>
      <c r="Z1066" s="11">
        <v>6.3</v>
      </c>
      <c r="AA1066" s="11">
        <v>2.35</v>
      </c>
      <c r="AB1066" s="11">
        <v>0</v>
      </c>
      <c r="AC1066" s="11"/>
      <c r="AD1066" s="11" t="str">
        <f>IFERROR(__xludf.DUMMYFUNCTION("""COMPUTED_VALUE"""),"Andrea Savage")</f>
        <v>Andrea Savage</v>
      </c>
      <c r="AE1066" s="11"/>
    </row>
    <row r="1067" customHeight="1" spans="1:31">
      <c r="A1067" s="12" t="s">
        <v>30</v>
      </c>
      <c r="B1067" s="12" t="s">
        <v>5118</v>
      </c>
      <c r="C1067" s="12">
        <v>142</v>
      </c>
      <c r="D1067" s="12">
        <v>102</v>
      </c>
      <c r="E1067" s="12">
        <v>148</v>
      </c>
      <c r="F1067" s="12">
        <v>135</v>
      </c>
      <c r="G1067" s="12">
        <v>8000</v>
      </c>
      <c r="H1067" s="12">
        <v>93607673</v>
      </c>
      <c r="I1067" s="12" t="s">
        <v>1681</v>
      </c>
      <c r="J1067" s="12" t="s">
        <v>1529</v>
      </c>
      <c r="K1067" s="12" t="s">
        <v>480</v>
      </c>
      <c r="L1067" s="12" t="s">
        <v>2204</v>
      </c>
      <c r="M1067" s="12" t="s">
        <v>5658</v>
      </c>
      <c r="N1067" s="12">
        <v>47573</v>
      </c>
      <c r="O1067" s="12">
        <v>9176</v>
      </c>
      <c r="P1067" s="12">
        <v>4</v>
      </c>
      <c r="Q1067" s="12" t="s">
        <v>5659</v>
      </c>
      <c r="R1067" s="15" t="s">
        <v>5660</v>
      </c>
      <c r="S1067" s="12">
        <v>343</v>
      </c>
      <c r="T1067" s="12" t="s">
        <v>39</v>
      </c>
      <c r="U1067" s="12" t="s">
        <v>40</v>
      </c>
      <c r="V1067" s="12" t="s">
        <v>41</v>
      </c>
      <c r="W1067" s="12">
        <v>48000000</v>
      </c>
      <c r="X1067" s="12">
        <v>2001</v>
      </c>
      <c r="Y1067" s="12">
        <v>973</v>
      </c>
      <c r="Z1067" s="12">
        <v>5.7</v>
      </c>
      <c r="AA1067" s="12">
        <v>2.35</v>
      </c>
      <c r="AB1067" s="12">
        <v>881</v>
      </c>
      <c r="AC1067" s="12"/>
      <c r="AD1067" s="12" t="str">
        <f>IFERROR(__xludf.DUMMYFUNCTION("""COMPUTED_VALUE"""),"Tony Amendola")</f>
        <v>Tony Amendola</v>
      </c>
      <c r="AE1067" s="12"/>
    </row>
    <row r="1068" customHeight="1" spans="1:31">
      <c r="A1068" s="11" t="s">
        <v>30</v>
      </c>
      <c r="B1068" s="11" t="s">
        <v>59</v>
      </c>
      <c r="C1068" s="11">
        <v>185</v>
      </c>
      <c r="D1068" s="11">
        <v>118</v>
      </c>
      <c r="E1068" s="11">
        <v>22000</v>
      </c>
      <c r="F1068" s="11">
        <v>319</v>
      </c>
      <c r="G1068" s="11">
        <v>14000</v>
      </c>
      <c r="H1068" s="11">
        <v>67263182</v>
      </c>
      <c r="I1068" s="11" t="s">
        <v>1924</v>
      </c>
      <c r="J1068" s="11" t="s">
        <v>2383</v>
      </c>
      <c r="K1068" s="11" t="s">
        <v>3761</v>
      </c>
      <c r="L1068" s="11" t="s">
        <v>5661</v>
      </c>
      <c r="M1068" s="11" t="s">
        <v>5662</v>
      </c>
      <c r="N1068" s="11">
        <v>218771</v>
      </c>
      <c r="O1068" s="11">
        <v>15658</v>
      </c>
      <c r="P1068" s="11">
        <v>0</v>
      </c>
      <c r="Q1068" s="11" t="s">
        <v>5663</v>
      </c>
      <c r="R1068" s="14" t="s">
        <v>5664</v>
      </c>
      <c r="S1068" s="11">
        <v>651</v>
      </c>
      <c r="T1068" s="11" t="s">
        <v>39</v>
      </c>
      <c r="U1068" s="11" t="s">
        <v>40</v>
      </c>
      <c r="V1068" s="11" t="s">
        <v>586</v>
      </c>
      <c r="W1068" s="11">
        <v>46000000</v>
      </c>
      <c r="X1068" s="11">
        <v>2002</v>
      </c>
      <c r="Y1068" s="11">
        <v>509</v>
      </c>
      <c r="Z1068" s="11">
        <v>7.2</v>
      </c>
      <c r="AA1068" s="11">
        <v>2.35</v>
      </c>
      <c r="AB1068" s="11">
        <v>0</v>
      </c>
      <c r="AC1068" s="11"/>
      <c r="AD1068" s="11" t="str">
        <f>IFERROR(__xludf.DUMMYFUNCTION("""COMPUTED_VALUE"""),"Stuart Wilson")</f>
        <v>Stuart Wilson</v>
      </c>
      <c r="AE1068" s="11"/>
    </row>
    <row r="1069" customHeight="1" spans="1:31">
      <c r="A1069" s="12" t="s">
        <v>30</v>
      </c>
      <c r="B1069" s="12" t="s">
        <v>3377</v>
      </c>
      <c r="C1069" s="12">
        <v>143</v>
      </c>
      <c r="D1069" s="12">
        <v>111</v>
      </c>
      <c r="E1069" s="12">
        <v>906</v>
      </c>
      <c r="F1069" s="12">
        <v>906</v>
      </c>
      <c r="G1069" s="12">
        <v>1000</v>
      </c>
      <c r="H1069" s="12">
        <v>92001027</v>
      </c>
      <c r="I1069" s="12" t="s">
        <v>5665</v>
      </c>
      <c r="J1069" s="12" t="s">
        <v>3378</v>
      </c>
      <c r="K1069" s="12" t="s">
        <v>1232</v>
      </c>
      <c r="L1069" s="12" t="s">
        <v>3377</v>
      </c>
      <c r="M1069" s="12" t="s">
        <v>5666</v>
      </c>
      <c r="N1069" s="12">
        <v>97838</v>
      </c>
      <c r="O1069" s="12">
        <v>6315</v>
      </c>
      <c r="P1069" s="12">
        <v>2</v>
      </c>
      <c r="Q1069" s="12" t="s">
        <v>5667</v>
      </c>
      <c r="R1069" s="15" t="s">
        <v>5668</v>
      </c>
      <c r="S1069" s="12">
        <v>286</v>
      </c>
      <c r="T1069" s="12" t="s">
        <v>39</v>
      </c>
      <c r="U1069" s="12" t="s">
        <v>40</v>
      </c>
      <c r="V1069" s="12" t="s">
        <v>41</v>
      </c>
      <c r="W1069" s="12">
        <v>45000000</v>
      </c>
      <c r="X1069" s="12">
        <v>1996</v>
      </c>
      <c r="Y1069" s="12">
        <v>1000</v>
      </c>
      <c r="Z1069" s="12">
        <v>7.6</v>
      </c>
      <c r="AA1069" s="12">
        <v>2.35</v>
      </c>
      <c r="AB1069" s="12">
        <v>3000</v>
      </c>
      <c r="AC1069" s="12"/>
      <c r="AD1069" s="12" t="str">
        <f>IFERROR(__xludf.DUMMYFUNCTION("""COMPUTED_VALUE"""),"Matt Walsh")</f>
        <v>Matt Walsh</v>
      </c>
      <c r="AE1069" s="12"/>
    </row>
    <row r="1070" customHeight="1" spans="1:31">
      <c r="A1070" s="11" t="s">
        <v>30</v>
      </c>
      <c r="B1070" s="11" t="s">
        <v>4694</v>
      </c>
      <c r="C1070" s="11">
        <v>178</v>
      </c>
      <c r="D1070" s="11">
        <v>81</v>
      </c>
      <c r="E1070" s="11">
        <v>39</v>
      </c>
      <c r="F1070" s="11">
        <v>364</v>
      </c>
      <c r="G1070" s="11">
        <v>13000</v>
      </c>
      <c r="H1070" s="11">
        <v>10539414</v>
      </c>
      <c r="I1070" s="11" t="s">
        <v>5669</v>
      </c>
      <c r="J1070" s="11" t="s">
        <v>459</v>
      </c>
      <c r="K1070" s="11" t="s">
        <v>5670</v>
      </c>
      <c r="L1070" s="11" t="s">
        <v>5671</v>
      </c>
      <c r="M1070" s="11" t="s">
        <v>5672</v>
      </c>
      <c r="N1070" s="11">
        <v>45729</v>
      </c>
      <c r="O1070" s="11">
        <v>14619</v>
      </c>
      <c r="P1070" s="11">
        <v>1</v>
      </c>
      <c r="Q1070" s="11" t="s">
        <v>5673</v>
      </c>
      <c r="R1070" s="14" t="s">
        <v>5674</v>
      </c>
      <c r="S1070" s="11">
        <v>176</v>
      </c>
      <c r="T1070" s="11" t="s">
        <v>39</v>
      </c>
      <c r="U1070" s="11" t="s">
        <v>40</v>
      </c>
      <c r="V1070" s="11" t="s">
        <v>41</v>
      </c>
      <c r="W1070" s="11">
        <v>47000000</v>
      </c>
      <c r="X1070" s="11">
        <v>2010</v>
      </c>
      <c r="Y1070" s="11">
        <v>541</v>
      </c>
      <c r="Z1070" s="11">
        <v>4.7</v>
      </c>
      <c r="AA1070" s="11">
        <v>2.35</v>
      </c>
      <c r="AB1070" s="11">
        <v>0</v>
      </c>
      <c r="AC1070" s="11"/>
      <c r="AD1070" s="11" t="str">
        <f>IFERROR(__xludf.DUMMYFUNCTION("""COMPUTED_VALUE"""),"Finn Wittrock")</f>
        <v>Finn Wittrock</v>
      </c>
      <c r="AE1070" s="11"/>
    </row>
    <row r="1071" customHeight="1" spans="1:31">
      <c r="A1071" s="12" t="s">
        <v>30</v>
      </c>
      <c r="B1071" s="12" t="s">
        <v>1016</v>
      </c>
      <c r="C1071" s="12">
        <v>65</v>
      </c>
      <c r="D1071" s="12">
        <v>116</v>
      </c>
      <c r="E1071" s="12">
        <v>380</v>
      </c>
      <c r="F1071" s="12">
        <v>826</v>
      </c>
      <c r="G1071" s="12">
        <v>18000</v>
      </c>
      <c r="H1071" s="12">
        <v>58918501</v>
      </c>
      <c r="I1071" s="12" t="s">
        <v>5675</v>
      </c>
      <c r="J1071" s="12" t="s">
        <v>1727</v>
      </c>
      <c r="K1071" s="12" t="s">
        <v>1158</v>
      </c>
      <c r="L1071" s="12" t="s">
        <v>1320</v>
      </c>
      <c r="M1071" s="12" t="s">
        <v>5676</v>
      </c>
      <c r="N1071" s="12">
        <v>40126</v>
      </c>
      <c r="O1071" s="12">
        <v>33233</v>
      </c>
      <c r="P1071" s="12">
        <v>1</v>
      </c>
      <c r="Q1071" s="12" t="s">
        <v>5677</v>
      </c>
      <c r="R1071" s="15" t="s">
        <v>5678</v>
      </c>
      <c r="S1071" s="12">
        <v>107</v>
      </c>
      <c r="T1071" s="12" t="s">
        <v>39</v>
      </c>
      <c r="U1071" s="12" t="s">
        <v>40</v>
      </c>
      <c r="V1071" s="12" t="s">
        <v>586</v>
      </c>
      <c r="W1071" s="12">
        <v>46000000</v>
      </c>
      <c r="X1071" s="12">
        <v>1996</v>
      </c>
      <c r="Y1071" s="12">
        <v>13000</v>
      </c>
      <c r="Z1071" s="12">
        <v>6.6</v>
      </c>
      <c r="AA1071" s="12">
        <v>1.85</v>
      </c>
      <c r="AB1071" s="12">
        <v>975</v>
      </c>
      <c r="AC1071" s="12"/>
      <c r="AD1071" s="12" t="str">
        <f>IFERROR(__xludf.DUMMYFUNCTION("""COMPUTED_VALUE"""),"Jack O'Connell")</f>
        <v>Jack O'Connell</v>
      </c>
      <c r="AE1071" s="12"/>
    </row>
    <row r="1072" customHeight="1" spans="1:31">
      <c r="A1072" s="11" t="s">
        <v>30</v>
      </c>
      <c r="B1072" s="11" t="s">
        <v>515</v>
      </c>
      <c r="C1072" s="11">
        <v>73</v>
      </c>
      <c r="D1072" s="11">
        <v>86</v>
      </c>
      <c r="E1072" s="11">
        <v>293</v>
      </c>
      <c r="F1072" s="11">
        <v>255</v>
      </c>
      <c r="G1072" s="11">
        <v>509</v>
      </c>
      <c r="H1072" s="11">
        <v>181395380</v>
      </c>
      <c r="I1072" s="11" t="s">
        <v>3632</v>
      </c>
      <c r="J1072" s="11" t="s">
        <v>3761</v>
      </c>
      <c r="K1072" s="11" t="s">
        <v>5679</v>
      </c>
      <c r="L1072" s="11" t="s">
        <v>5680</v>
      </c>
      <c r="M1072" s="11" t="s">
        <v>5681</v>
      </c>
      <c r="N1072" s="11">
        <v>220392</v>
      </c>
      <c r="O1072" s="11">
        <v>2070</v>
      </c>
      <c r="P1072" s="11">
        <v>1</v>
      </c>
      <c r="Q1072" s="11" t="s">
        <v>5682</v>
      </c>
      <c r="R1072" s="14" t="s">
        <v>5683</v>
      </c>
      <c r="S1072" s="11">
        <v>243</v>
      </c>
      <c r="T1072" s="11" t="s">
        <v>39</v>
      </c>
      <c r="U1072" s="11" t="s">
        <v>40</v>
      </c>
      <c r="V1072" s="11" t="s">
        <v>41</v>
      </c>
      <c r="W1072" s="11">
        <v>45000000</v>
      </c>
      <c r="X1072" s="11">
        <v>1997</v>
      </c>
      <c r="Y1072" s="11">
        <v>418</v>
      </c>
      <c r="Z1072" s="11">
        <v>6.8</v>
      </c>
      <c r="AA1072" s="11">
        <v>1.85</v>
      </c>
      <c r="AB1072" s="11">
        <v>0</v>
      </c>
      <c r="AC1072" s="11"/>
      <c r="AD1072" s="11" t="str">
        <f>IFERROR(__xludf.DUMMYFUNCTION("""COMPUTED_VALUE"""),"Alex Russell")</f>
        <v>Alex Russell</v>
      </c>
      <c r="AE1072" s="11"/>
    </row>
    <row r="1073" customHeight="1" spans="1:31">
      <c r="A1073" s="12" t="s">
        <v>30</v>
      </c>
      <c r="B1073" s="12" t="s">
        <v>5684</v>
      </c>
      <c r="C1073" s="12">
        <v>72</v>
      </c>
      <c r="D1073" s="12">
        <v>127</v>
      </c>
      <c r="E1073" s="12">
        <v>65</v>
      </c>
      <c r="F1073" s="12">
        <v>345</v>
      </c>
      <c r="G1073" s="12">
        <v>788</v>
      </c>
      <c r="H1073" s="12">
        <v>14946229</v>
      </c>
      <c r="I1073" s="12" t="s">
        <v>5685</v>
      </c>
      <c r="J1073" s="12" t="s">
        <v>2871</v>
      </c>
      <c r="K1073" s="12" t="s">
        <v>5686</v>
      </c>
      <c r="L1073" s="12" t="s">
        <v>5687</v>
      </c>
      <c r="M1073" s="12" t="s">
        <v>5688</v>
      </c>
      <c r="N1073" s="12">
        <v>2581</v>
      </c>
      <c r="O1073" s="12">
        <v>2104</v>
      </c>
      <c r="P1073" s="12">
        <v>1</v>
      </c>
      <c r="Q1073" s="16"/>
      <c r="R1073" s="15" t="s">
        <v>5689</v>
      </c>
      <c r="S1073" s="12">
        <v>29</v>
      </c>
      <c r="T1073" s="12" t="s">
        <v>39</v>
      </c>
      <c r="U1073" s="12" t="s">
        <v>58</v>
      </c>
      <c r="V1073" s="12" t="s">
        <v>586</v>
      </c>
      <c r="W1073" s="12">
        <v>25000000</v>
      </c>
      <c r="X1073" s="12">
        <v>2016</v>
      </c>
      <c r="Y1073" s="12">
        <v>423</v>
      </c>
      <c r="Z1073" s="12">
        <v>7.3</v>
      </c>
      <c r="AA1073" s="12">
        <v>2.35</v>
      </c>
      <c r="AB1073" s="12">
        <v>0</v>
      </c>
      <c r="AC1073" s="12"/>
      <c r="AD1073" s="12" t="str">
        <f>IFERROR(__xludf.DUMMYFUNCTION("""COMPUTED_VALUE"""),"Clint Eastwood")</f>
        <v>Clint Eastwood</v>
      </c>
      <c r="AE1073" s="12"/>
    </row>
    <row r="1074" customHeight="1" spans="1:31">
      <c r="A1074" s="11" t="s">
        <v>30</v>
      </c>
      <c r="B1074" s="11" t="s">
        <v>5690</v>
      </c>
      <c r="C1074" s="11">
        <v>10</v>
      </c>
      <c r="D1074" s="11">
        <v>140</v>
      </c>
      <c r="E1074" s="11">
        <v>92</v>
      </c>
      <c r="F1074" s="11">
        <v>522</v>
      </c>
      <c r="G1074" s="11">
        <v>1000</v>
      </c>
      <c r="H1074" s="13"/>
      <c r="I1074" s="11" t="s">
        <v>1962</v>
      </c>
      <c r="J1074" s="11" t="s">
        <v>3513</v>
      </c>
      <c r="K1074" s="11" t="s">
        <v>1925</v>
      </c>
      <c r="L1074" s="11" t="s">
        <v>5691</v>
      </c>
      <c r="M1074" s="11" t="s">
        <v>5692</v>
      </c>
      <c r="N1074" s="11">
        <v>491</v>
      </c>
      <c r="O1074" s="11">
        <v>2704</v>
      </c>
      <c r="P1074" s="11">
        <v>1</v>
      </c>
      <c r="Q1074" s="11" t="s">
        <v>5693</v>
      </c>
      <c r="R1074" s="14" t="s">
        <v>5694</v>
      </c>
      <c r="S1074" s="11">
        <v>16</v>
      </c>
      <c r="T1074" s="11" t="s">
        <v>39</v>
      </c>
      <c r="U1074" s="11" t="s">
        <v>5695</v>
      </c>
      <c r="V1074" s="11" t="s">
        <v>96</v>
      </c>
      <c r="W1074" s="11">
        <v>48000000</v>
      </c>
      <c r="X1074" s="11">
        <v>1981</v>
      </c>
      <c r="Y1074" s="11">
        <v>623</v>
      </c>
      <c r="Z1074" s="11">
        <v>2.7</v>
      </c>
      <c r="AA1074" s="11">
        <v>2.35</v>
      </c>
      <c r="AB1074" s="11">
        <v>115</v>
      </c>
      <c r="AC1074" s="11"/>
      <c r="AD1074" s="11" t="str">
        <f>IFERROR(__xludf.DUMMYFUNCTION("""COMPUTED_VALUE"""),"Courtney B. Vance")</f>
        <v>Courtney B. Vance</v>
      </c>
      <c r="AE1074" s="11"/>
    </row>
    <row r="1075" customHeight="1" spans="1:31">
      <c r="A1075" s="12" t="s">
        <v>30</v>
      </c>
      <c r="B1075" s="12" t="s">
        <v>4108</v>
      </c>
      <c r="C1075" s="12">
        <v>35</v>
      </c>
      <c r="D1075" s="12">
        <v>91</v>
      </c>
      <c r="E1075" s="12">
        <v>32</v>
      </c>
      <c r="F1075" s="12">
        <v>628</v>
      </c>
      <c r="G1075" s="12">
        <v>924</v>
      </c>
      <c r="H1075" s="12">
        <v>130512915</v>
      </c>
      <c r="I1075" s="12" t="s">
        <v>516</v>
      </c>
      <c r="J1075" s="12" t="s">
        <v>2961</v>
      </c>
      <c r="K1075" s="12" t="s">
        <v>3919</v>
      </c>
      <c r="L1075" s="12" t="s">
        <v>4109</v>
      </c>
      <c r="M1075" s="12" t="s">
        <v>5696</v>
      </c>
      <c r="N1075" s="12">
        <v>60884</v>
      </c>
      <c r="O1075" s="12">
        <v>3244</v>
      </c>
      <c r="P1075" s="12">
        <v>2</v>
      </c>
      <c r="Q1075" s="12" t="s">
        <v>5697</v>
      </c>
      <c r="R1075" s="15" t="s">
        <v>5698</v>
      </c>
      <c r="S1075" s="12">
        <v>85</v>
      </c>
      <c r="T1075" s="12" t="s">
        <v>39</v>
      </c>
      <c r="U1075" s="12" t="s">
        <v>40</v>
      </c>
      <c r="V1075" s="12" t="s">
        <v>96</v>
      </c>
      <c r="W1075" s="12">
        <v>45000000</v>
      </c>
      <c r="X1075" s="12">
        <v>1994</v>
      </c>
      <c r="Y1075" s="12">
        <v>664</v>
      </c>
      <c r="Z1075" s="12">
        <v>4.8</v>
      </c>
      <c r="AA1075" s="12">
        <v>1.33</v>
      </c>
      <c r="AB1075" s="12">
        <v>0</v>
      </c>
      <c r="AC1075" s="12"/>
      <c r="AD1075" s="12" t="str">
        <f>IFERROR(__xludf.DUMMYFUNCTION("""COMPUTED_VALUE"""),"William Devane")</f>
        <v>William Devane</v>
      </c>
      <c r="AE1075" s="12"/>
    </row>
    <row r="1076" customHeight="1" spans="1:31">
      <c r="A1076" s="11" t="s">
        <v>30</v>
      </c>
      <c r="B1076" s="11" t="s">
        <v>5590</v>
      </c>
      <c r="C1076" s="11">
        <v>358</v>
      </c>
      <c r="D1076" s="11">
        <v>98</v>
      </c>
      <c r="E1076" s="11">
        <v>118</v>
      </c>
      <c r="F1076" s="11">
        <v>558</v>
      </c>
      <c r="G1076" s="11">
        <v>14000</v>
      </c>
      <c r="H1076" s="11">
        <v>139852971</v>
      </c>
      <c r="I1076" s="11" t="s">
        <v>334</v>
      </c>
      <c r="J1076" s="11" t="s">
        <v>228</v>
      </c>
      <c r="K1076" s="11" t="s">
        <v>5699</v>
      </c>
      <c r="L1076" s="11" t="s">
        <v>1233</v>
      </c>
      <c r="M1076" s="11" t="s">
        <v>5700</v>
      </c>
      <c r="N1076" s="11">
        <v>238671</v>
      </c>
      <c r="O1076" s="11">
        <v>16410</v>
      </c>
      <c r="P1076" s="11">
        <v>0</v>
      </c>
      <c r="Q1076" s="11" t="s">
        <v>5701</v>
      </c>
      <c r="R1076" s="14" t="s">
        <v>5702</v>
      </c>
      <c r="S1076" s="11">
        <v>461</v>
      </c>
      <c r="T1076" s="11" t="s">
        <v>39</v>
      </c>
      <c r="U1076" s="11" t="s">
        <v>1466</v>
      </c>
      <c r="V1076" s="11" t="s">
        <v>41</v>
      </c>
      <c r="W1076" s="11">
        <v>45000000</v>
      </c>
      <c r="X1076" s="11">
        <v>2012</v>
      </c>
      <c r="Y1076" s="11">
        <v>935</v>
      </c>
      <c r="Z1076" s="11">
        <v>6.3</v>
      </c>
      <c r="AA1076" s="11">
        <v>2.35</v>
      </c>
      <c r="AB1076" s="11">
        <v>63000</v>
      </c>
      <c r="AC1076" s="11"/>
      <c r="AD1076" s="11" t="str">
        <f>IFERROR(__xludf.DUMMYFUNCTION("""COMPUTED_VALUE"""),"Leon")</f>
        <v>Leon</v>
      </c>
      <c r="AE1076" s="11"/>
    </row>
    <row r="1077" customHeight="1" spans="1:31">
      <c r="A1077" s="12" t="s">
        <v>30</v>
      </c>
      <c r="B1077" s="12" t="s">
        <v>5703</v>
      </c>
      <c r="C1077" s="12">
        <v>151</v>
      </c>
      <c r="D1077" s="12">
        <v>84</v>
      </c>
      <c r="E1077" s="12">
        <v>119</v>
      </c>
      <c r="F1077" s="12">
        <v>750</v>
      </c>
      <c r="G1077" s="12">
        <v>807</v>
      </c>
      <c r="H1077" s="12">
        <v>110000082</v>
      </c>
      <c r="I1077" s="12" t="s">
        <v>1672</v>
      </c>
      <c r="J1077" s="12" t="s">
        <v>5704</v>
      </c>
      <c r="K1077" s="12" t="s">
        <v>5705</v>
      </c>
      <c r="L1077" s="12" t="s">
        <v>5706</v>
      </c>
      <c r="M1077" s="12" t="s">
        <v>5707</v>
      </c>
      <c r="N1077" s="12">
        <v>111526</v>
      </c>
      <c r="O1077" s="12">
        <v>3629</v>
      </c>
      <c r="P1077" s="12">
        <v>7</v>
      </c>
      <c r="Q1077" s="12" t="s">
        <v>5708</v>
      </c>
      <c r="R1077" s="15" t="s">
        <v>5709</v>
      </c>
      <c r="S1077" s="12">
        <v>347</v>
      </c>
      <c r="T1077" s="12" t="s">
        <v>39</v>
      </c>
      <c r="U1077" s="12" t="s">
        <v>40</v>
      </c>
      <c r="V1077" s="12" t="s">
        <v>41</v>
      </c>
      <c r="W1077" s="12">
        <v>48000000</v>
      </c>
      <c r="X1077" s="12">
        <v>2003</v>
      </c>
      <c r="Y1077" s="12">
        <v>780</v>
      </c>
      <c r="Z1077" s="12">
        <v>5.5</v>
      </c>
      <c r="AA1077" s="12">
        <v>1.85</v>
      </c>
      <c r="AB1077" s="12">
        <v>0</v>
      </c>
      <c r="AC1077" s="12"/>
      <c r="AD1077" s="12" t="str">
        <f>IFERROR(__xludf.DUMMYFUNCTION("""COMPUTED_VALUE"""),"Janine Turner")</f>
        <v>Janine Turner</v>
      </c>
      <c r="AE1077" s="12"/>
    </row>
    <row r="1078" customHeight="1" spans="1:31">
      <c r="A1078" s="11" t="s">
        <v>30</v>
      </c>
      <c r="B1078" s="11" t="s">
        <v>4240</v>
      </c>
      <c r="C1078" s="11">
        <v>140</v>
      </c>
      <c r="D1078" s="11">
        <v>109</v>
      </c>
      <c r="E1078" s="11">
        <v>80</v>
      </c>
      <c r="F1078" s="11">
        <v>213</v>
      </c>
      <c r="G1078" s="11">
        <v>545</v>
      </c>
      <c r="H1078" s="11">
        <v>106807667</v>
      </c>
      <c r="I1078" s="11" t="s">
        <v>5710</v>
      </c>
      <c r="J1078" s="11" t="s">
        <v>5711</v>
      </c>
      <c r="K1078" s="11" t="s">
        <v>5712</v>
      </c>
      <c r="L1078" s="11" t="s">
        <v>5713</v>
      </c>
      <c r="M1078" s="11" t="s">
        <v>5714</v>
      </c>
      <c r="N1078" s="11">
        <v>137377</v>
      </c>
      <c r="O1078" s="11">
        <v>1574</v>
      </c>
      <c r="P1078" s="11">
        <v>1</v>
      </c>
      <c r="Q1078" s="11" t="s">
        <v>5715</v>
      </c>
      <c r="R1078" s="14" t="s">
        <v>5716</v>
      </c>
      <c r="S1078" s="11">
        <v>370</v>
      </c>
      <c r="T1078" s="11" t="s">
        <v>39</v>
      </c>
      <c r="U1078" s="11" t="s">
        <v>40</v>
      </c>
      <c r="V1078" s="11" t="s">
        <v>41</v>
      </c>
      <c r="W1078" s="11">
        <v>45000000</v>
      </c>
      <c r="X1078" s="11">
        <v>2000</v>
      </c>
      <c r="Y1078" s="11">
        <v>337</v>
      </c>
      <c r="Z1078" s="11">
        <v>6.2</v>
      </c>
      <c r="AA1078" s="11">
        <v>1.85</v>
      </c>
      <c r="AB1078" s="11">
        <v>0</v>
      </c>
      <c r="AC1078" s="11"/>
      <c r="AD1078" s="11" t="str">
        <f>IFERROR(__xludf.DUMMYFUNCTION("""COMPUTED_VALUE"""),"Samantha Mathis")</f>
        <v>Samantha Mathis</v>
      </c>
      <c r="AE1078" s="11"/>
    </row>
    <row r="1079" customHeight="1" spans="1:31">
      <c r="A1079" s="12" t="s">
        <v>30</v>
      </c>
      <c r="B1079" s="12" t="s">
        <v>2704</v>
      </c>
      <c r="C1079" s="12">
        <v>201</v>
      </c>
      <c r="D1079" s="12">
        <v>93</v>
      </c>
      <c r="E1079" s="12">
        <v>40</v>
      </c>
      <c r="F1079" s="12">
        <v>311</v>
      </c>
      <c r="G1079" s="12">
        <v>14000</v>
      </c>
      <c r="H1079" s="12">
        <v>101702060</v>
      </c>
      <c r="I1079" s="12" t="s">
        <v>5717</v>
      </c>
      <c r="J1079" s="12" t="s">
        <v>700</v>
      </c>
      <c r="K1079" s="12" t="s">
        <v>503</v>
      </c>
      <c r="L1079" s="12" t="s">
        <v>5718</v>
      </c>
      <c r="M1079" s="12" t="s">
        <v>5719</v>
      </c>
      <c r="N1079" s="12">
        <v>85323</v>
      </c>
      <c r="O1079" s="12">
        <v>17925</v>
      </c>
      <c r="P1079" s="12">
        <v>0</v>
      </c>
      <c r="Q1079" s="12" t="s">
        <v>5720</v>
      </c>
      <c r="R1079" s="15" t="s">
        <v>5721</v>
      </c>
      <c r="S1079" s="12">
        <v>212</v>
      </c>
      <c r="T1079" s="12" t="s">
        <v>39</v>
      </c>
      <c r="U1079" s="12" t="s">
        <v>40</v>
      </c>
      <c r="V1079" s="12" t="s">
        <v>96</v>
      </c>
      <c r="W1079" s="12">
        <v>45000000</v>
      </c>
      <c r="X1079" s="12">
        <v>2008</v>
      </c>
      <c r="Y1079" s="12">
        <v>3000</v>
      </c>
      <c r="Z1079" s="12">
        <v>5.8</v>
      </c>
      <c r="AA1079" s="12">
        <v>1.85</v>
      </c>
      <c r="AB1079" s="12">
        <v>0</v>
      </c>
      <c r="AC1079" s="12"/>
      <c r="AD1079" s="12" t="str">
        <f>IFERROR(__xludf.DUMMYFUNCTION("""COMPUTED_VALUE"""),"Lily Tomlin")</f>
        <v>Lily Tomlin</v>
      </c>
      <c r="AE1079" s="12"/>
    </row>
    <row r="1080" customHeight="1" spans="1:31">
      <c r="A1080" s="11" t="s">
        <v>30</v>
      </c>
      <c r="B1080" s="11" t="s">
        <v>3304</v>
      </c>
      <c r="C1080" s="11">
        <v>77</v>
      </c>
      <c r="D1080" s="11">
        <v>113</v>
      </c>
      <c r="E1080" s="11">
        <v>0</v>
      </c>
      <c r="F1080" s="11">
        <v>995</v>
      </c>
      <c r="G1080" s="11">
        <v>11000</v>
      </c>
      <c r="H1080" s="11">
        <v>95149435</v>
      </c>
      <c r="I1080" s="11" t="s">
        <v>2717</v>
      </c>
      <c r="J1080" s="11" t="s">
        <v>257</v>
      </c>
      <c r="K1080" s="11" t="s">
        <v>3235</v>
      </c>
      <c r="L1080" s="11" t="s">
        <v>3305</v>
      </c>
      <c r="M1080" s="11" t="s">
        <v>5722</v>
      </c>
      <c r="N1080" s="11">
        <v>53687</v>
      </c>
      <c r="O1080" s="11">
        <v>15362</v>
      </c>
      <c r="P1080" s="11">
        <v>2</v>
      </c>
      <c r="Q1080" s="11" t="s">
        <v>5723</v>
      </c>
      <c r="R1080" s="14" t="s">
        <v>5724</v>
      </c>
      <c r="S1080" s="11">
        <v>152</v>
      </c>
      <c r="T1080" s="11" t="s">
        <v>39</v>
      </c>
      <c r="U1080" s="11" t="s">
        <v>40</v>
      </c>
      <c r="V1080" s="11" t="s">
        <v>278</v>
      </c>
      <c r="W1080" s="11">
        <v>40000000</v>
      </c>
      <c r="X1080" s="11">
        <v>2004</v>
      </c>
      <c r="Y1080" s="11">
        <v>1000</v>
      </c>
      <c r="Z1080" s="11">
        <v>5.7</v>
      </c>
      <c r="AA1080" s="11">
        <v>1.85</v>
      </c>
      <c r="AB1080" s="11">
        <v>1000</v>
      </c>
      <c r="AC1080" s="11"/>
      <c r="AD1080" s="11" t="str">
        <f>IFERROR(__xludf.DUMMYFUNCTION("""COMPUTED_VALUE"""),"Daniel von Bargen")</f>
        <v>Daniel von Bargen</v>
      </c>
      <c r="AE1080" s="11"/>
    </row>
    <row r="1081" customHeight="1" spans="1:31">
      <c r="A1081" s="12" t="s">
        <v>30</v>
      </c>
      <c r="B1081" s="12" t="s">
        <v>2267</v>
      </c>
      <c r="C1081" s="12">
        <v>43</v>
      </c>
      <c r="D1081" s="12">
        <v>141</v>
      </c>
      <c r="E1081" s="12">
        <v>79</v>
      </c>
      <c r="F1081" s="12">
        <v>956</v>
      </c>
      <c r="G1081" s="12">
        <v>18000</v>
      </c>
      <c r="H1081" s="12">
        <v>100768056</v>
      </c>
      <c r="I1081" s="12" t="s">
        <v>2142</v>
      </c>
      <c r="J1081" s="12" t="s">
        <v>1727</v>
      </c>
      <c r="K1081" s="12" t="s">
        <v>1529</v>
      </c>
      <c r="L1081" s="12" t="s">
        <v>1018</v>
      </c>
      <c r="M1081" s="12" t="s">
        <v>5725</v>
      </c>
      <c r="N1081" s="12">
        <v>59569</v>
      </c>
      <c r="O1081" s="12">
        <v>30063</v>
      </c>
      <c r="P1081" s="12">
        <v>0</v>
      </c>
      <c r="Q1081" s="12" t="s">
        <v>5726</v>
      </c>
      <c r="R1081" s="15" t="s">
        <v>5727</v>
      </c>
      <c r="S1081" s="12">
        <v>89</v>
      </c>
      <c r="T1081" s="12" t="s">
        <v>39</v>
      </c>
      <c r="U1081" s="12" t="s">
        <v>40</v>
      </c>
      <c r="V1081" s="12" t="s">
        <v>41</v>
      </c>
      <c r="W1081" s="12">
        <v>45000000</v>
      </c>
      <c r="X1081" s="12">
        <v>1993</v>
      </c>
      <c r="Y1081" s="12">
        <v>8000</v>
      </c>
      <c r="Z1081" s="12">
        <v>6.5</v>
      </c>
      <c r="AA1081" s="12">
        <v>2.35</v>
      </c>
      <c r="AB1081" s="12">
        <v>0</v>
      </c>
      <c r="AC1081" s="12"/>
      <c r="AD1081" s="12" t="str">
        <f>IFERROR(__xludf.DUMMYFUNCTION("""COMPUTED_VALUE"""),"Jay Hernandez")</f>
        <v>Jay Hernandez</v>
      </c>
      <c r="AE1081" s="12"/>
    </row>
    <row r="1082" customHeight="1" spans="1:31">
      <c r="A1082" s="11" t="s">
        <v>30</v>
      </c>
      <c r="B1082" s="11" t="s">
        <v>1325</v>
      </c>
      <c r="C1082" s="11">
        <v>39</v>
      </c>
      <c r="D1082" s="11">
        <v>119</v>
      </c>
      <c r="E1082" s="11">
        <v>541</v>
      </c>
      <c r="F1082" s="11">
        <v>551</v>
      </c>
      <c r="G1082" s="11">
        <v>821</v>
      </c>
      <c r="H1082" s="11">
        <v>92115211</v>
      </c>
      <c r="I1082" s="11" t="s">
        <v>2142</v>
      </c>
      <c r="J1082" s="11" t="s">
        <v>5572</v>
      </c>
      <c r="K1082" s="11" t="s">
        <v>1855</v>
      </c>
      <c r="L1082" s="11" t="s">
        <v>5728</v>
      </c>
      <c r="M1082" s="11" t="s">
        <v>5729</v>
      </c>
      <c r="N1082" s="11">
        <v>45798</v>
      </c>
      <c r="O1082" s="11">
        <v>4043</v>
      </c>
      <c r="P1082" s="11">
        <v>3</v>
      </c>
      <c r="Q1082" s="11" t="s">
        <v>5730</v>
      </c>
      <c r="R1082" s="14" t="s">
        <v>5731</v>
      </c>
      <c r="S1082" s="11">
        <v>94</v>
      </c>
      <c r="T1082" s="11" t="s">
        <v>39</v>
      </c>
      <c r="U1082" s="11" t="s">
        <v>40</v>
      </c>
      <c r="V1082" s="11" t="s">
        <v>41</v>
      </c>
      <c r="W1082" s="11">
        <v>45000000</v>
      </c>
      <c r="X1082" s="11">
        <v>1994</v>
      </c>
      <c r="Y1082" s="11">
        <v>577</v>
      </c>
      <c r="Z1082" s="11">
        <v>6.7</v>
      </c>
      <c r="AA1082" s="11">
        <v>2.35</v>
      </c>
      <c r="AB1082" s="11">
        <v>1000</v>
      </c>
      <c r="AC1082" s="11"/>
      <c r="AD1082" s="11" t="str">
        <f>IFERROR(__xludf.DUMMYFUNCTION("""COMPUTED_VALUE"""),"Marian Seldes")</f>
        <v>Marian Seldes</v>
      </c>
      <c r="AE1082" s="11"/>
    </row>
    <row r="1083" customHeight="1" spans="1:31">
      <c r="A1083" s="12" t="s">
        <v>30</v>
      </c>
      <c r="B1083" s="12" t="s">
        <v>3892</v>
      </c>
      <c r="C1083" s="12">
        <v>207</v>
      </c>
      <c r="D1083" s="12">
        <v>97</v>
      </c>
      <c r="E1083" s="12">
        <v>0</v>
      </c>
      <c r="F1083" s="12">
        <v>760</v>
      </c>
      <c r="G1083" s="12">
        <v>11000</v>
      </c>
      <c r="H1083" s="12">
        <v>93452056</v>
      </c>
      <c r="I1083" s="12" t="s">
        <v>5384</v>
      </c>
      <c r="J1083" s="12" t="s">
        <v>466</v>
      </c>
      <c r="K1083" s="12" t="s">
        <v>5732</v>
      </c>
      <c r="L1083" s="12" t="s">
        <v>274</v>
      </c>
      <c r="M1083" s="12" t="s">
        <v>5733</v>
      </c>
      <c r="N1083" s="12">
        <v>184795</v>
      </c>
      <c r="O1083" s="12">
        <v>14868</v>
      </c>
      <c r="P1083" s="12">
        <v>1</v>
      </c>
      <c r="Q1083" s="12" t="s">
        <v>5734</v>
      </c>
      <c r="R1083" s="15" t="s">
        <v>5735</v>
      </c>
      <c r="S1083" s="12">
        <v>310</v>
      </c>
      <c r="T1083" s="12" t="s">
        <v>39</v>
      </c>
      <c r="U1083" s="12" t="s">
        <v>40</v>
      </c>
      <c r="V1083" s="12" t="s">
        <v>41</v>
      </c>
      <c r="W1083" s="12">
        <v>45000000</v>
      </c>
      <c r="X1083" s="12">
        <v>2007</v>
      </c>
      <c r="Y1083" s="12">
        <v>2000</v>
      </c>
      <c r="Z1083" s="12">
        <v>7.4</v>
      </c>
      <c r="AA1083" s="12">
        <v>1.85</v>
      </c>
      <c r="AB1083" s="12">
        <v>22000</v>
      </c>
      <c r="AC1083" s="12"/>
      <c r="AD1083" s="12" t="str">
        <f>IFERROR(__xludf.DUMMYFUNCTION("""COMPUTED_VALUE"""),"Horatio Sanz")</f>
        <v>Horatio Sanz</v>
      </c>
      <c r="AE1083" s="12"/>
    </row>
    <row r="1084" customHeight="1" spans="1:31">
      <c r="A1084" s="11" t="s">
        <v>30</v>
      </c>
      <c r="B1084" s="11" t="s">
        <v>1199</v>
      </c>
      <c r="C1084" s="11">
        <v>47</v>
      </c>
      <c r="D1084" s="11">
        <v>117</v>
      </c>
      <c r="E1084" s="11">
        <v>176</v>
      </c>
      <c r="F1084" s="11">
        <v>308</v>
      </c>
      <c r="G1084" s="11">
        <v>11000</v>
      </c>
      <c r="H1084" s="11">
        <v>83287363</v>
      </c>
      <c r="I1084" s="11" t="s">
        <v>60</v>
      </c>
      <c r="J1084" s="11" t="s">
        <v>391</v>
      </c>
      <c r="K1084" s="11" t="s">
        <v>76</v>
      </c>
      <c r="L1084" s="11" t="s">
        <v>5736</v>
      </c>
      <c r="M1084" s="11" t="s">
        <v>5737</v>
      </c>
      <c r="N1084" s="11">
        <v>81442</v>
      </c>
      <c r="O1084" s="11">
        <v>12757</v>
      </c>
      <c r="P1084" s="11">
        <v>1</v>
      </c>
      <c r="Q1084" s="11" t="s">
        <v>5738</v>
      </c>
      <c r="R1084" s="14" t="s">
        <v>5739</v>
      </c>
      <c r="S1084" s="11">
        <v>137</v>
      </c>
      <c r="T1084" s="11" t="s">
        <v>39</v>
      </c>
      <c r="U1084" s="11" t="s">
        <v>40</v>
      </c>
      <c r="V1084" s="11" t="s">
        <v>586</v>
      </c>
      <c r="W1084" s="11">
        <v>45000000</v>
      </c>
      <c r="X1084" s="11">
        <v>1992</v>
      </c>
      <c r="Y1084" s="11">
        <v>530</v>
      </c>
      <c r="Z1084" s="11">
        <v>6.9</v>
      </c>
      <c r="AA1084" s="11">
        <v>2.35</v>
      </c>
      <c r="AB1084" s="11">
        <v>0</v>
      </c>
      <c r="AC1084" s="11"/>
      <c r="AD1084" s="11" t="str">
        <f>IFERROR(__xludf.DUMMYFUNCTION("""COMPUTED_VALUE"""),"Vinessa Shaw")</f>
        <v>Vinessa Shaw</v>
      </c>
      <c r="AE1084" s="11"/>
    </row>
    <row r="1085" customHeight="1" spans="1:31">
      <c r="A1085" s="12" t="s">
        <v>30</v>
      </c>
      <c r="B1085" s="12" t="s">
        <v>3103</v>
      </c>
      <c r="C1085" s="12">
        <v>132</v>
      </c>
      <c r="D1085" s="12">
        <v>101</v>
      </c>
      <c r="E1085" s="12">
        <v>126</v>
      </c>
      <c r="F1085" s="12">
        <v>586</v>
      </c>
      <c r="G1085" s="12">
        <v>3000</v>
      </c>
      <c r="H1085" s="12">
        <v>82931301</v>
      </c>
      <c r="I1085" s="12" t="s">
        <v>1681</v>
      </c>
      <c r="J1085" s="12" t="s">
        <v>1545</v>
      </c>
      <c r="K1085" s="12" t="s">
        <v>5740</v>
      </c>
      <c r="L1085" s="12" t="s">
        <v>4124</v>
      </c>
      <c r="M1085" s="12" t="s">
        <v>5741</v>
      </c>
      <c r="N1085" s="12">
        <v>43358</v>
      </c>
      <c r="O1085" s="12">
        <v>6292</v>
      </c>
      <c r="P1085" s="12">
        <v>0</v>
      </c>
      <c r="Q1085" s="12" t="s">
        <v>5742</v>
      </c>
      <c r="R1085" s="15" t="s">
        <v>5743</v>
      </c>
      <c r="S1085" s="12">
        <v>228</v>
      </c>
      <c r="T1085" s="12" t="s">
        <v>39</v>
      </c>
      <c r="U1085" s="12" t="s">
        <v>768</v>
      </c>
      <c r="V1085" s="12" t="s">
        <v>41</v>
      </c>
      <c r="W1085" s="12">
        <v>60000000</v>
      </c>
      <c r="X1085" s="12">
        <v>2005</v>
      </c>
      <c r="Y1085" s="12">
        <v>949</v>
      </c>
      <c r="Z1085" s="12">
        <v>5.5</v>
      </c>
      <c r="AA1085" s="12">
        <v>2.35</v>
      </c>
      <c r="AB1085" s="12">
        <v>0</v>
      </c>
      <c r="AC1085" s="12"/>
      <c r="AD1085" s="12" t="str">
        <f>IFERROR(__xludf.DUMMYFUNCTION("""COMPUTED_VALUE"""),"Sydney Pollack")</f>
        <v>Sydney Pollack</v>
      </c>
      <c r="AE1085" s="12"/>
    </row>
    <row r="1086" customHeight="1" spans="1:31">
      <c r="A1086" s="11" t="s">
        <v>30</v>
      </c>
      <c r="B1086" s="11" t="s">
        <v>5744</v>
      </c>
      <c r="C1086" s="11">
        <v>454</v>
      </c>
      <c r="D1086" s="11">
        <v>153</v>
      </c>
      <c r="E1086" s="11">
        <v>777</v>
      </c>
      <c r="F1086" s="11">
        <v>1000</v>
      </c>
      <c r="G1086" s="11">
        <v>20000</v>
      </c>
      <c r="H1086" s="11">
        <v>60962878</v>
      </c>
      <c r="I1086" s="11" t="s">
        <v>2142</v>
      </c>
      <c r="J1086" s="11" t="s">
        <v>263</v>
      </c>
      <c r="K1086" s="11" t="s">
        <v>373</v>
      </c>
      <c r="L1086" s="11" t="s">
        <v>4452</v>
      </c>
      <c r="M1086" s="11" t="s">
        <v>5745</v>
      </c>
      <c r="N1086" s="11">
        <v>383591</v>
      </c>
      <c r="O1086" s="11">
        <v>37321</v>
      </c>
      <c r="P1086" s="11">
        <v>2</v>
      </c>
      <c r="Q1086" s="11" t="s">
        <v>5746</v>
      </c>
      <c r="R1086" s="14" t="s">
        <v>5747</v>
      </c>
      <c r="S1086" s="11">
        <v>620</v>
      </c>
      <c r="T1086" s="11" t="s">
        <v>39</v>
      </c>
      <c r="U1086" s="11" t="s">
        <v>40</v>
      </c>
      <c r="V1086" s="11" t="s">
        <v>586</v>
      </c>
      <c r="W1086" s="11">
        <v>46000000</v>
      </c>
      <c r="X1086" s="11">
        <v>2013</v>
      </c>
      <c r="Y1086" s="11">
        <v>15000</v>
      </c>
      <c r="Z1086" s="11">
        <v>8.1</v>
      </c>
      <c r="AA1086" s="11">
        <v>1.85</v>
      </c>
      <c r="AB1086" s="11">
        <v>86000</v>
      </c>
      <c r="AC1086" s="11"/>
      <c r="AD1086" s="11" t="str">
        <f>IFERROR(__xludf.DUMMYFUNCTION("""COMPUTED_VALUE"""),"Quvenzhané Wallis")</f>
        <v>Quvenzhané Wallis</v>
      </c>
      <c r="AE1086" s="11"/>
    </row>
    <row r="1087" customHeight="1" spans="1:31">
      <c r="A1087" s="12" t="s">
        <v>30</v>
      </c>
      <c r="B1087" s="12" t="s">
        <v>3099</v>
      </c>
      <c r="C1087" s="12">
        <v>109</v>
      </c>
      <c r="D1087" s="12">
        <v>122</v>
      </c>
      <c r="E1087" s="12">
        <v>845</v>
      </c>
      <c r="F1087" s="12">
        <v>854</v>
      </c>
      <c r="G1087" s="12">
        <v>18000</v>
      </c>
      <c r="H1087" s="12">
        <v>76261036</v>
      </c>
      <c r="I1087" s="12" t="s">
        <v>2126</v>
      </c>
      <c r="J1087" s="12" t="s">
        <v>1727</v>
      </c>
      <c r="K1087" s="12" t="s">
        <v>1141</v>
      </c>
      <c r="L1087" s="12" t="s">
        <v>4834</v>
      </c>
      <c r="M1087" s="12" t="s">
        <v>5748</v>
      </c>
      <c r="N1087" s="12">
        <v>305929</v>
      </c>
      <c r="O1087" s="12">
        <v>22370</v>
      </c>
      <c r="P1087" s="12">
        <v>2</v>
      </c>
      <c r="Q1087" s="12" t="s">
        <v>5749</v>
      </c>
      <c r="R1087" s="15" t="s">
        <v>5750</v>
      </c>
      <c r="S1087" s="12">
        <v>633</v>
      </c>
      <c r="T1087" s="12" t="s">
        <v>39</v>
      </c>
      <c r="U1087" s="12" t="s">
        <v>40</v>
      </c>
      <c r="V1087" s="12" t="s">
        <v>586</v>
      </c>
      <c r="W1087" s="12">
        <v>45000000</v>
      </c>
      <c r="X1087" s="12">
        <v>2001</v>
      </c>
      <c r="Y1087" s="12">
        <v>881</v>
      </c>
      <c r="Z1087" s="12">
        <v>7.7</v>
      </c>
      <c r="AA1087" s="12">
        <v>2.35</v>
      </c>
      <c r="AB1087" s="12">
        <v>0</v>
      </c>
      <c r="AC1087" s="12"/>
      <c r="AD1087" s="12" t="str">
        <f>IFERROR(__xludf.DUMMYFUNCTION("""COMPUTED_VALUE"""),"David Zayas")</f>
        <v>David Zayas</v>
      </c>
      <c r="AE1087" s="12"/>
    </row>
    <row r="1088" customHeight="1" spans="1:31">
      <c r="A1088" s="11" t="s">
        <v>30</v>
      </c>
      <c r="B1088" s="11" t="s">
        <v>1008</v>
      </c>
      <c r="C1088" s="11">
        <v>213</v>
      </c>
      <c r="D1088" s="11">
        <v>102</v>
      </c>
      <c r="E1088" s="11">
        <v>23</v>
      </c>
      <c r="F1088" s="11">
        <v>436</v>
      </c>
      <c r="G1088" s="11">
        <v>25000</v>
      </c>
      <c r="H1088" s="11">
        <v>71423726</v>
      </c>
      <c r="I1088" s="11" t="s">
        <v>1875</v>
      </c>
      <c r="J1088" s="11" t="s">
        <v>106</v>
      </c>
      <c r="K1088" s="11" t="s">
        <v>5751</v>
      </c>
      <c r="L1088" s="11" t="s">
        <v>5752</v>
      </c>
      <c r="M1088" s="11" t="s">
        <v>5753</v>
      </c>
      <c r="N1088" s="11">
        <v>123558</v>
      </c>
      <c r="O1088" s="11">
        <v>26998</v>
      </c>
      <c r="P1088" s="11">
        <v>3</v>
      </c>
      <c r="Q1088" s="11" t="s">
        <v>5754</v>
      </c>
      <c r="R1088" s="14" t="s">
        <v>5755</v>
      </c>
      <c r="S1088" s="11">
        <v>609</v>
      </c>
      <c r="T1088" s="11" t="s">
        <v>39</v>
      </c>
      <c r="U1088" s="11" t="s">
        <v>40</v>
      </c>
      <c r="V1088" s="11" t="s">
        <v>96</v>
      </c>
      <c r="W1088" s="11">
        <v>45000000</v>
      </c>
      <c r="X1088" s="11">
        <v>1999</v>
      </c>
      <c r="Y1088" s="11">
        <v>724</v>
      </c>
      <c r="Z1088" s="11">
        <v>7.3</v>
      </c>
      <c r="AA1088" s="11">
        <v>2.35</v>
      </c>
      <c r="AB1088" s="11">
        <v>19000</v>
      </c>
      <c r="AC1088" s="11"/>
      <c r="AD1088" s="11" t="str">
        <f>IFERROR(__xludf.DUMMYFUNCTION("""COMPUTED_VALUE"""),"Gerald McRaney")</f>
        <v>Gerald McRaney</v>
      </c>
      <c r="AE1088" s="11"/>
    </row>
    <row r="1089" customHeight="1" spans="1:31">
      <c r="A1089" s="12" t="s">
        <v>30</v>
      </c>
      <c r="B1089" s="12" t="s">
        <v>3881</v>
      </c>
      <c r="C1089" s="12">
        <v>127</v>
      </c>
      <c r="D1089" s="12">
        <v>83</v>
      </c>
      <c r="E1089" s="12">
        <v>322</v>
      </c>
      <c r="F1089" s="12">
        <v>179</v>
      </c>
      <c r="G1089" s="12">
        <v>1000</v>
      </c>
      <c r="H1089" s="12">
        <v>71277420</v>
      </c>
      <c r="I1089" s="12" t="s">
        <v>1672</v>
      </c>
      <c r="J1089" s="12" t="s">
        <v>3752</v>
      </c>
      <c r="K1089" s="12" t="s">
        <v>2955</v>
      </c>
      <c r="L1089" s="12" t="s">
        <v>1152</v>
      </c>
      <c r="M1089" s="12" t="s">
        <v>5756</v>
      </c>
      <c r="N1089" s="12">
        <v>119590</v>
      </c>
      <c r="O1089" s="12">
        <v>1645</v>
      </c>
      <c r="P1089" s="12">
        <v>7</v>
      </c>
      <c r="Q1089" s="12" t="s">
        <v>5757</v>
      </c>
      <c r="R1089" s="15" t="s">
        <v>5758</v>
      </c>
      <c r="S1089" s="12">
        <v>548</v>
      </c>
      <c r="T1089" s="12" t="s">
        <v>39</v>
      </c>
      <c r="U1089" s="12" t="s">
        <v>40</v>
      </c>
      <c r="V1089" s="12" t="s">
        <v>586</v>
      </c>
      <c r="W1089" s="12">
        <v>45000000</v>
      </c>
      <c r="X1089" s="12">
        <v>2001</v>
      </c>
      <c r="Y1089" s="12">
        <v>422</v>
      </c>
      <c r="Z1089" s="12">
        <v>5.2</v>
      </c>
      <c r="AA1089" s="12">
        <v>1.85</v>
      </c>
      <c r="AB1089" s="12">
        <v>0</v>
      </c>
      <c r="AC1089" s="12"/>
      <c r="AD1089" s="12" t="str">
        <f>IFERROR(__xludf.DUMMYFUNCTION("""COMPUTED_VALUE"""),"Abigail Spencer")</f>
        <v>Abigail Spencer</v>
      </c>
      <c r="AE1089" s="12"/>
    </row>
    <row r="1090" customHeight="1" spans="1:31">
      <c r="A1090" s="11" t="s">
        <v>30</v>
      </c>
      <c r="B1090" s="11" t="s">
        <v>718</v>
      </c>
      <c r="C1090" s="11">
        <v>398</v>
      </c>
      <c r="D1090" s="11">
        <v>103</v>
      </c>
      <c r="E1090" s="11">
        <v>33</v>
      </c>
      <c r="F1090" s="11">
        <v>84</v>
      </c>
      <c r="G1090" s="11">
        <v>970</v>
      </c>
      <c r="H1090" s="11">
        <v>88625922</v>
      </c>
      <c r="I1090" s="11" t="s">
        <v>5759</v>
      </c>
      <c r="J1090" s="11" t="s">
        <v>3833</v>
      </c>
      <c r="K1090" s="11" t="s">
        <v>5760</v>
      </c>
      <c r="L1090" s="11" t="s">
        <v>5761</v>
      </c>
      <c r="M1090" s="11" t="s">
        <v>5762</v>
      </c>
      <c r="N1090" s="11">
        <v>75176</v>
      </c>
      <c r="O1090" s="11">
        <v>1336</v>
      </c>
      <c r="P1090" s="11">
        <v>3</v>
      </c>
      <c r="Q1090" s="11" t="s">
        <v>5763</v>
      </c>
      <c r="R1090" s="14" t="s">
        <v>5764</v>
      </c>
      <c r="S1090" s="11">
        <v>252</v>
      </c>
      <c r="T1090" s="11" t="s">
        <v>39</v>
      </c>
      <c r="U1090" s="11" t="s">
        <v>40</v>
      </c>
      <c r="V1090" s="11" t="s">
        <v>96</v>
      </c>
      <c r="W1090" s="11">
        <v>45000000</v>
      </c>
      <c r="X1090" s="11">
        <v>2011</v>
      </c>
      <c r="Y1090" s="11">
        <v>91</v>
      </c>
      <c r="Z1090" s="11">
        <v>7.1</v>
      </c>
      <c r="AA1090" s="11">
        <v>1.85</v>
      </c>
      <c r="AB1090" s="11">
        <v>26000</v>
      </c>
      <c r="AC1090" s="11"/>
      <c r="AD1090" s="11" t="str">
        <f>IFERROR(__xludf.DUMMYFUNCTION("""COMPUTED_VALUE"""),"Warren Christie")</f>
        <v>Warren Christie</v>
      </c>
      <c r="AE1090" s="11"/>
    </row>
    <row r="1091" customHeight="1" spans="1:31">
      <c r="A1091" s="12" t="s">
        <v>30</v>
      </c>
      <c r="B1091" s="12" t="s">
        <v>2972</v>
      </c>
      <c r="C1091" s="12">
        <v>184</v>
      </c>
      <c r="D1091" s="12">
        <v>110</v>
      </c>
      <c r="E1091" s="12">
        <v>45</v>
      </c>
      <c r="F1091" s="12">
        <v>595</v>
      </c>
      <c r="G1091" s="12">
        <v>886</v>
      </c>
      <c r="H1091" s="12">
        <v>70001065</v>
      </c>
      <c r="I1091" s="12" t="s">
        <v>5765</v>
      </c>
      <c r="J1091" s="12" t="s">
        <v>2232</v>
      </c>
      <c r="K1091" s="12" t="s">
        <v>5766</v>
      </c>
      <c r="L1091" s="12" t="s">
        <v>1823</v>
      </c>
      <c r="M1091" s="12" t="s">
        <v>5767</v>
      </c>
      <c r="N1091" s="12">
        <v>191437</v>
      </c>
      <c r="O1091" s="12">
        <v>3174</v>
      </c>
      <c r="P1091" s="12">
        <v>1</v>
      </c>
      <c r="Q1091" s="12" t="s">
        <v>5768</v>
      </c>
      <c r="R1091" s="15" t="s">
        <v>5769</v>
      </c>
      <c r="S1091" s="12">
        <v>582</v>
      </c>
      <c r="T1091" s="12" t="s">
        <v>39</v>
      </c>
      <c r="U1091" s="12" t="s">
        <v>40</v>
      </c>
      <c r="V1091" s="12" t="s">
        <v>586</v>
      </c>
      <c r="W1091" s="12">
        <v>45000000</v>
      </c>
      <c r="X1091" s="12">
        <v>1998</v>
      </c>
      <c r="Y1091" s="12">
        <v>650</v>
      </c>
      <c r="Z1091" s="12">
        <v>7.1</v>
      </c>
      <c r="AA1091" s="12">
        <v>2.35</v>
      </c>
      <c r="AB1091" s="12">
        <v>0</v>
      </c>
      <c r="AC1091" s="12"/>
      <c r="AD1091" s="12" t="str">
        <f>IFERROR(__xludf.DUMMYFUNCTION("""COMPUTED_VALUE"""),"Natasha Lyonne")</f>
        <v>Natasha Lyonne</v>
      </c>
      <c r="AE1091" s="12"/>
    </row>
    <row r="1092" customHeight="1" spans="1:31">
      <c r="A1092" s="11" t="s">
        <v>30</v>
      </c>
      <c r="B1092" s="11" t="s">
        <v>5770</v>
      </c>
      <c r="C1092" s="11">
        <v>127</v>
      </c>
      <c r="D1092" s="11">
        <v>136</v>
      </c>
      <c r="E1092" s="11">
        <v>49</v>
      </c>
      <c r="F1092" s="11">
        <v>730</v>
      </c>
      <c r="G1092" s="11">
        <v>17000</v>
      </c>
      <c r="H1092" s="11">
        <v>67253092</v>
      </c>
      <c r="I1092" s="11" t="s">
        <v>3794</v>
      </c>
      <c r="J1092" s="11" t="s">
        <v>445</v>
      </c>
      <c r="K1092" s="11" t="s">
        <v>1185</v>
      </c>
      <c r="L1092" s="11" t="s">
        <v>5771</v>
      </c>
      <c r="M1092" s="11" t="s">
        <v>5772</v>
      </c>
      <c r="N1092" s="11">
        <v>92702</v>
      </c>
      <c r="O1092" s="11">
        <v>20299</v>
      </c>
      <c r="P1092" s="11">
        <v>0</v>
      </c>
      <c r="Q1092" s="11" t="s">
        <v>5773</v>
      </c>
      <c r="R1092" s="14" t="s">
        <v>5774</v>
      </c>
      <c r="S1092" s="11">
        <v>209</v>
      </c>
      <c r="T1092" s="11" t="s">
        <v>39</v>
      </c>
      <c r="U1092" s="11" t="s">
        <v>40</v>
      </c>
      <c r="V1092" s="11" t="s">
        <v>41</v>
      </c>
      <c r="W1092" s="11">
        <v>30000000</v>
      </c>
      <c r="X1092" s="11">
        <v>2005</v>
      </c>
      <c r="Y1092" s="11">
        <v>807</v>
      </c>
      <c r="Z1092" s="11">
        <v>7.2</v>
      </c>
      <c r="AA1092" s="11">
        <v>2.35</v>
      </c>
      <c r="AB1092" s="11">
        <v>0</v>
      </c>
      <c r="AC1092" s="11"/>
      <c r="AD1092" s="11" t="str">
        <f>IFERROR(__xludf.DUMMYFUNCTION("""COMPUTED_VALUE"""),"Lea Thompson")</f>
        <v>Lea Thompson</v>
      </c>
      <c r="AE1092" s="11"/>
    </row>
    <row r="1093" customHeight="1" spans="1:31">
      <c r="A1093" s="12" t="s">
        <v>30</v>
      </c>
      <c r="B1093" s="12" t="s">
        <v>5775</v>
      </c>
      <c r="C1093" s="12">
        <v>167</v>
      </c>
      <c r="D1093" s="12">
        <v>91</v>
      </c>
      <c r="E1093" s="12">
        <v>50</v>
      </c>
      <c r="F1093" s="12">
        <v>67</v>
      </c>
      <c r="G1093" s="12">
        <v>521</v>
      </c>
      <c r="H1093" s="12">
        <v>66790248</v>
      </c>
      <c r="I1093" s="12" t="s">
        <v>4075</v>
      </c>
      <c r="J1093" s="12" t="s">
        <v>2214</v>
      </c>
      <c r="K1093" s="12" t="s">
        <v>5776</v>
      </c>
      <c r="L1093" s="12" t="s">
        <v>5777</v>
      </c>
      <c r="M1093" s="12" t="s">
        <v>5778</v>
      </c>
      <c r="N1093" s="12">
        <v>57281</v>
      </c>
      <c r="O1093" s="12">
        <v>758</v>
      </c>
      <c r="P1093" s="12">
        <v>0</v>
      </c>
      <c r="Q1093" s="12" t="s">
        <v>5779</v>
      </c>
      <c r="R1093" s="15" t="s">
        <v>5780</v>
      </c>
      <c r="S1093" s="12">
        <v>350</v>
      </c>
      <c r="T1093" s="12" t="s">
        <v>39</v>
      </c>
      <c r="U1093" s="12" t="s">
        <v>40</v>
      </c>
      <c r="V1093" s="12" t="s">
        <v>586</v>
      </c>
      <c r="W1093" s="12">
        <v>45000000</v>
      </c>
      <c r="X1093" s="12">
        <v>2002</v>
      </c>
      <c r="Y1093" s="12">
        <v>108</v>
      </c>
      <c r="Z1093" s="12">
        <v>6.5</v>
      </c>
      <c r="AA1093" s="12">
        <v>2.35</v>
      </c>
      <c r="AB1093" s="12">
        <v>0</v>
      </c>
      <c r="AC1093" s="12"/>
      <c r="AD1093" s="12" t="str">
        <f>IFERROR(__xludf.DUMMYFUNCTION("""COMPUTED_VALUE"""),"Jennifer Grey")</f>
        <v>Jennifer Grey</v>
      </c>
      <c r="AE1093" s="12"/>
    </row>
    <row r="1094" customHeight="1" spans="1:31">
      <c r="A1094" s="11" t="s">
        <v>30</v>
      </c>
      <c r="B1094" s="11" t="s">
        <v>5781</v>
      </c>
      <c r="C1094" s="11">
        <v>119</v>
      </c>
      <c r="D1094" s="11">
        <v>89</v>
      </c>
      <c r="E1094" s="11">
        <v>49</v>
      </c>
      <c r="F1094" s="11">
        <v>514</v>
      </c>
      <c r="G1094" s="11">
        <v>2000</v>
      </c>
      <c r="H1094" s="11">
        <v>65557989</v>
      </c>
      <c r="I1094" s="11" t="s">
        <v>5782</v>
      </c>
      <c r="J1094" s="11" t="s">
        <v>1986</v>
      </c>
      <c r="K1094" s="11" t="s">
        <v>5783</v>
      </c>
      <c r="L1094" s="11" t="s">
        <v>5784</v>
      </c>
      <c r="M1094" s="11" t="s">
        <v>5785</v>
      </c>
      <c r="N1094" s="11">
        <v>73539</v>
      </c>
      <c r="O1094" s="11">
        <v>3717</v>
      </c>
      <c r="P1094" s="11">
        <v>0</v>
      </c>
      <c r="Q1094" s="11" t="s">
        <v>5786</v>
      </c>
      <c r="R1094" s="14" t="s">
        <v>5787</v>
      </c>
      <c r="S1094" s="11">
        <v>271</v>
      </c>
      <c r="T1094" s="11" t="s">
        <v>39</v>
      </c>
      <c r="U1094" s="11" t="s">
        <v>40</v>
      </c>
      <c r="V1094" s="11" t="s">
        <v>41</v>
      </c>
      <c r="W1094" s="11">
        <v>45000000</v>
      </c>
      <c r="X1094" s="11">
        <v>1997</v>
      </c>
      <c r="Y1094" s="11">
        <v>902</v>
      </c>
      <c r="Z1094" s="11">
        <v>4.6</v>
      </c>
      <c r="AA1094" s="11">
        <v>2.35</v>
      </c>
      <c r="AB1094" s="11">
        <v>0</v>
      </c>
      <c r="AC1094" s="11"/>
      <c r="AD1094" s="11" t="str">
        <f>IFERROR(__xludf.DUMMYFUNCTION("""COMPUTED_VALUE"""),"Maura Tierney")</f>
        <v>Maura Tierney</v>
      </c>
      <c r="AE1094" s="11"/>
    </row>
    <row r="1095" customHeight="1" spans="1:31">
      <c r="A1095" s="12" t="s">
        <v>30</v>
      </c>
      <c r="B1095" s="12" t="s">
        <v>4081</v>
      </c>
      <c r="C1095" s="12">
        <v>155</v>
      </c>
      <c r="D1095" s="12">
        <v>107</v>
      </c>
      <c r="E1095" s="12">
        <v>18</v>
      </c>
      <c r="F1095" s="12">
        <v>560</v>
      </c>
      <c r="G1095" s="12">
        <v>811</v>
      </c>
      <c r="H1095" s="12">
        <v>60786269</v>
      </c>
      <c r="I1095" s="12" t="s">
        <v>5788</v>
      </c>
      <c r="J1095" s="12" t="s">
        <v>5626</v>
      </c>
      <c r="K1095" s="12" t="s">
        <v>5789</v>
      </c>
      <c r="L1095" s="12" t="s">
        <v>5790</v>
      </c>
      <c r="M1095" s="12" t="s">
        <v>5791</v>
      </c>
      <c r="N1095" s="12">
        <v>90539</v>
      </c>
      <c r="O1095" s="12">
        <v>3106</v>
      </c>
      <c r="P1095" s="12">
        <v>5</v>
      </c>
      <c r="Q1095" s="12" t="s">
        <v>5792</v>
      </c>
      <c r="R1095" s="15" t="s">
        <v>5793</v>
      </c>
      <c r="S1095" s="12">
        <v>379</v>
      </c>
      <c r="T1095" s="12" t="s">
        <v>39</v>
      </c>
      <c r="U1095" s="12" t="s">
        <v>40</v>
      </c>
      <c r="V1095" s="12" t="s">
        <v>41</v>
      </c>
      <c r="W1095" s="12">
        <v>45000000</v>
      </c>
      <c r="X1095" s="12">
        <v>2000</v>
      </c>
      <c r="Y1095" s="12">
        <v>625</v>
      </c>
      <c r="Z1095" s="12">
        <v>5.6</v>
      </c>
      <c r="AA1095" s="12">
        <v>2.35</v>
      </c>
      <c r="AB1095" s="12">
        <v>0</v>
      </c>
      <c r="AC1095" s="12"/>
      <c r="AD1095" s="12" t="str">
        <f>IFERROR(__xludf.DUMMYFUNCTION("""COMPUTED_VALUE"""),"Adrian Lester")</f>
        <v>Adrian Lester</v>
      </c>
      <c r="AE1095" s="12"/>
    </row>
    <row r="1096" customHeight="1" spans="1:31">
      <c r="A1096" s="11" t="s">
        <v>30</v>
      </c>
      <c r="B1096" s="11" t="s">
        <v>5510</v>
      </c>
      <c r="C1096" s="11">
        <v>218</v>
      </c>
      <c r="D1096" s="11">
        <v>129</v>
      </c>
      <c r="E1096" s="11">
        <v>628</v>
      </c>
      <c r="F1096" s="11">
        <v>548</v>
      </c>
      <c r="G1096" s="11">
        <v>14000</v>
      </c>
      <c r="H1096" s="11">
        <v>59365105</v>
      </c>
      <c r="I1096" s="11" t="s">
        <v>1415</v>
      </c>
      <c r="J1096" s="11" t="s">
        <v>439</v>
      </c>
      <c r="K1096" s="11" t="s">
        <v>228</v>
      </c>
      <c r="L1096" s="11" t="s">
        <v>5794</v>
      </c>
      <c r="M1096" s="11" t="s">
        <v>5795</v>
      </c>
      <c r="N1096" s="11">
        <v>318634</v>
      </c>
      <c r="O1096" s="11">
        <v>28886</v>
      </c>
      <c r="P1096" s="11">
        <v>9</v>
      </c>
      <c r="Q1096" s="11" t="s">
        <v>5796</v>
      </c>
      <c r="R1096" s="14" t="s">
        <v>5797</v>
      </c>
      <c r="S1096" s="11">
        <v>1004</v>
      </c>
      <c r="T1096" s="11" t="s">
        <v>39</v>
      </c>
      <c r="U1096" s="11" t="s">
        <v>58</v>
      </c>
      <c r="V1096" s="11" t="s">
        <v>586</v>
      </c>
      <c r="W1096" s="11">
        <v>45000000</v>
      </c>
      <c r="X1096" s="11">
        <v>2003</v>
      </c>
      <c r="Y1096" s="11">
        <v>14000</v>
      </c>
      <c r="Z1096" s="11">
        <v>7.7</v>
      </c>
      <c r="AA1096" s="11">
        <v>2.35</v>
      </c>
      <c r="AB1096" s="11">
        <v>52000</v>
      </c>
      <c r="AC1096" s="11"/>
      <c r="AD1096" s="11" t="str">
        <f>IFERROR(__xludf.DUMMYFUNCTION("""COMPUTED_VALUE"""),"Paul Guilfoyle")</f>
        <v>Paul Guilfoyle</v>
      </c>
      <c r="AE1096" s="11"/>
    </row>
    <row r="1097" customHeight="1" spans="1:31">
      <c r="A1097" s="12" t="s">
        <v>30</v>
      </c>
      <c r="B1097" s="12" t="s">
        <v>307</v>
      </c>
      <c r="C1097" s="12">
        <v>117</v>
      </c>
      <c r="D1097" s="12">
        <v>95</v>
      </c>
      <c r="E1097" s="12">
        <v>487</v>
      </c>
      <c r="F1097" s="12">
        <v>1000</v>
      </c>
      <c r="G1097" s="12">
        <v>18000</v>
      </c>
      <c r="H1097" s="12">
        <v>162792677</v>
      </c>
      <c r="I1097" s="12" t="s">
        <v>271</v>
      </c>
      <c r="J1097" s="12" t="s">
        <v>120</v>
      </c>
      <c r="K1097" s="12" t="s">
        <v>5798</v>
      </c>
      <c r="L1097" s="12" t="s">
        <v>323</v>
      </c>
      <c r="M1097" s="12" t="s">
        <v>5799</v>
      </c>
      <c r="N1097" s="12">
        <v>211226</v>
      </c>
      <c r="O1097" s="12">
        <v>24205</v>
      </c>
      <c r="P1097" s="12">
        <v>0</v>
      </c>
      <c r="Q1097" s="12" t="s">
        <v>5800</v>
      </c>
      <c r="R1097" s="15" t="s">
        <v>5801</v>
      </c>
      <c r="S1097" s="12">
        <v>317</v>
      </c>
      <c r="T1097" s="12" t="s">
        <v>39</v>
      </c>
      <c r="U1097" s="12" t="s">
        <v>40</v>
      </c>
      <c r="V1097" s="12" t="s">
        <v>278</v>
      </c>
      <c r="W1097" s="12">
        <v>120000000</v>
      </c>
      <c r="X1097" s="12">
        <v>1998</v>
      </c>
      <c r="Y1097" s="12">
        <v>1000</v>
      </c>
      <c r="Z1097" s="12">
        <v>7.2</v>
      </c>
      <c r="AA1097" s="12">
        <v>2.35</v>
      </c>
      <c r="AB1097" s="12">
        <v>0</v>
      </c>
      <c r="AC1097" s="12"/>
      <c r="AD1097" s="12" t="str">
        <f>IFERROR(__xludf.DUMMYFUNCTION("""COMPUTED_VALUE"""),"Melina Kanakaredes")</f>
        <v>Melina Kanakaredes</v>
      </c>
      <c r="AE1097" s="12"/>
    </row>
    <row r="1098" customHeight="1" spans="1:31">
      <c r="A1098" s="11" t="s">
        <v>30</v>
      </c>
      <c r="B1098" s="11" t="s">
        <v>2653</v>
      </c>
      <c r="C1098" s="11">
        <v>208</v>
      </c>
      <c r="D1098" s="11">
        <v>122</v>
      </c>
      <c r="E1098" s="11">
        <v>117</v>
      </c>
      <c r="F1098" s="11">
        <v>140</v>
      </c>
      <c r="G1098" s="11">
        <v>40000</v>
      </c>
      <c r="H1098" s="11">
        <v>31598308</v>
      </c>
      <c r="I1098" s="11" t="s">
        <v>3030</v>
      </c>
      <c r="J1098" s="11" t="s">
        <v>44</v>
      </c>
      <c r="K1098" s="11" t="s">
        <v>688</v>
      </c>
      <c r="L1098" s="11" t="s">
        <v>5802</v>
      </c>
      <c r="M1098" s="11" t="s">
        <v>5803</v>
      </c>
      <c r="N1098" s="11">
        <v>124765</v>
      </c>
      <c r="O1098" s="11">
        <v>41636</v>
      </c>
      <c r="P1098" s="11">
        <v>1</v>
      </c>
      <c r="Q1098" s="11" t="s">
        <v>5804</v>
      </c>
      <c r="R1098" s="14" t="s">
        <v>5805</v>
      </c>
      <c r="S1098" s="11">
        <v>541</v>
      </c>
      <c r="T1098" s="11" t="s">
        <v>39</v>
      </c>
      <c r="U1098" s="11" t="s">
        <v>40</v>
      </c>
      <c r="V1098" s="11" t="s">
        <v>586</v>
      </c>
      <c r="W1098" s="11">
        <v>35000000</v>
      </c>
      <c r="X1098" s="11">
        <v>2001</v>
      </c>
      <c r="Y1098" s="11">
        <v>1000</v>
      </c>
      <c r="Z1098" s="11">
        <v>6.8</v>
      </c>
      <c r="AA1098" s="11">
        <v>2.35</v>
      </c>
      <c r="AB1098" s="11">
        <v>0</v>
      </c>
      <c r="AC1098" s="11"/>
      <c r="AD1098" s="11" t="str">
        <f>IFERROR(__xludf.DUMMYFUNCTION("""COMPUTED_VALUE"""),"Craig Bierko")</f>
        <v>Craig Bierko</v>
      </c>
      <c r="AE1098" s="11"/>
    </row>
    <row r="1099" customHeight="1" spans="1:31">
      <c r="A1099" s="12" t="s">
        <v>30</v>
      </c>
      <c r="B1099" s="12" t="s">
        <v>5781</v>
      </c>
      <c r="C1099" s="12">
        <v>38</v>
      </c>
      <c r="D1099" s="12">
        <v>110</v>
      </c>
      <c r="E1099" s="12">
        <v>49</v>
      </c>
      <c r="F1099" s="12">
        <v>20</v>
      </c>
      <c r="G1099" s="12">
        <v>13000</v>
      </c>
      <c r="H1099" s="12">
        <v>57362581</v>
      </c>
      <c r="I1099" s="12" t="s">
        <v>5806</v>
      </c>
      <c r="J1099" s="12" t="s">
        <v>1785</v>
      </c>
      <c r="K1099" s="12" t="s">
        <v>5807</v>
      </c>
      <c r="L1099" s="12" t="s">
        <v>5808</v>
      </c>
      <c r="M1099" s="12" t="s">
        <v>5809</v>
      </c>
      <c r="N1099" s="12">
        <v>50148</v>
      </c>
      <c r="O1099" s="12">
        <v>13331</v>
      </c>
      <c r="P1099" s="12">
        <v>2</v>
      </c>
      <c r="Q1099" s="12" t="s">
        <v>5810</v>
      </c>
      <c r="R1099" s="15" t="s">
        <v>5811</v>
      </c>
      <c r="S1099" s="12">
        <v>116</v>
      </c>
      <c r="T1099" s="12" t="s">
        <v>39</v>
      </c>
      <c r="U1099" s="12" t="s">
        <v>5812</v>
      </c>
      <c r="V1099" s="12" t="s">
        <v>586</v>
      </c>
      <c r="W1099" s="12">
        <v>45000000</v>
      </c>
      <c r="X1099" s="12">
        <v>1994</v>
      </c>
      <c r="Y1099" s="12">
        <v>279</v>
      </c>
      <c r="Z1099" s="12">
        <v>5.4</v>
      </c>
      <c r="AA1099" s="12">
        <v>1.85</v>
      </c>
      <c r="AB1099" s="12">
        <v>0</v>
      </c>
      <c r="AC1099" s="12"/>
      <c r="AD1099" s="12" t="str">
        <f>IFERROR(__xludf.DUMMYFUNCTION("""COMPUTED_VALUE"""),"Yvonne Zima")</f>
        <v>Yvonne Zima</v>
      </c>
      <c r="AE1099" s="12"/>
    </row>
    <row r="1100" customHeight="1" spans="1:31">
      <c r="A1100" s="11" t="s">
        <v>30</v>
      </c>
      <c r="B1100" s="11" t="s">
        <v>3160</v>
      </c>
      <c r="C1100" s="11">
        <v>48</v>
      </c>
      <c r="D1100" s="11">
        <v>135</v>
      </c>
      <c r="E1100" s="11">
        <v>41</v>
      </c>
      <c r="F1100" s="11">
        <v>808</v>
      </c>
      <c r="G1100" s="11">
        <v>982</v>
      </c>
      <c r="H1100" s="11">
        <v>53854588</v>
      </c>
      <c r="I1100" s="11" t="s">
        <v>4479</v>
      </c>
      <c r="J1100" s="11" t="s">
        <v>1121</v>
      </c>
      <c r="K1100" s="11" t="s">
        <v>3299</v>
      </c>
      <c r="L1100" s="11" t="s">
        <v>1060</v>
      </c>
      <c r="M1100" s="11" t="s">
        <v>5813</v>
      </c>
      <c r="N1100" s="11">
        <v>37911</v>
      </c>
      <c r="O1100" s="11">
        <v>3648</v>
      </c>
      <c r="P1100" s="11">
        <v>0</v>
      </c>
      <c r="Q1100" s="11" t="s">
        <v>5814</v>
      </c>
      <c r="R1100" s="14" t="s">
        <v>5815</v>
      </c>
      <c r="S1100" s="11">
        <v>73</v>
      </c>
      <c r="T1100" s="11" t="s">
        <v>39</v>
      </c>
      <c r="U1100" s="11" t="s">
        <v>40</v>
      </c>
      <c r="V1100" s="11" t="s">
        <v>586</v>
      </c>
      <c r="W1100" s="11">
        <v>45000000</v>
      </c>
      <c r="X1100" s="11">
        <v>1996</v>
      </c>
      <c r="Y1100" s="11">
        <v>843</v>
      </c>
      <c r="Z1100" s="11">
        <v>6.3</v>
      </c>
      <c r="AA1100" s="11">
        <v>2.35</v>
      </c>
      <c r="AB1100" s="11">
        <v>1000</v>
      </c>
      <c r="AC1100" s="11"/>
      <c r="AD1100" s="11" t="str">
        <f>IFERROR(__xludf.DUMMYFUNCTION("""COMPUTED_VALUE"""),"Pamela Reed")</f>
        <v>Pamela Reed</v>
      </c>
      <c r="AE1100" s="11"/>
    </row>
    <row r="1101" customHeight="1" spans="1:31">
      <c r="A1101" s="12" t="s">
        <v>30</v>
      </c>
      <c r="B1101" s="12" t="s">
        <v>5816</v>
      </c>
      <c r="C1101" s="12">
        <v>8</v>
      </c>
      <c r="D1101" s="12">
        <v>111</v>
      </c>
      <c r="E1101" s="12">
        <v>5</v>
      </c>
      <c r="F1101" s="12">
        <v>559</v>
      </c>
      <c r="G1101" s="12">
        <v>6000</v>
      </c>
      <c r="H1101" s="16"/>
      <c r="I1101" s="12" t="s">
        <v>3057</v>
      </c>
      <c r="J1101" s="12" t="s">
        <v>5817</v>
      </c>
      <c r="K1101" s="12" t="s">
        <v>5818</v>
      </c>
      <c r="L1101" s="12" t="s">
        <v>5345</v>
      </c>
      <c r="M1101" s="12" t="s">
        <v>5819</v>
      </c>
      <c r="N1101" s="12">
        <v>5888</v>
      </c>
      <c r="O1101" s="12">
        <v>7493</v>
      </c>
      <c r="P1101" s="12">
        <v>0</v>
      </c>
      <c r="Q1101" s="12" t="s">
        <v>5820</v>
      </c>
      <c r="R1101" s="15" t="s">
        <v>5821</v>
      </c>
      <c r="S1101" s="12">
        <v>61</v>
      </c>
      <c r="T1101" s="12" t="s">
        <v>39</v>
      </c>
      <c r="U1101" s="12" t="s">
        <v>40</v>
      </c>
      <c r="V1101" s="12" t="s">
        <v>5614</v>
      </c>
      <c r="W1101" s="12">
        <v>2500000</v>
      </c>
      <c r="X1101" s="12">
        <v>1968</v>
      </c>
      <c r="Y1101" s="12">
        <v>584</v>
      </c>
      <c r="Z1101" s="12">
        <v>7.2</v>
      </c>
      <c r="AA1101" s="12">
        <v>1.85</v>
      </c>
      <c r="AB1101" s="12">
        <v>0</v>
      </c>
      <c r="AC1101" s="12"/>
      <c r="AD1101" s="12" t="str">
        <f>IFERROR(__xludf.DUMMYFUNCTION("""COMPUTED_VALUE"""),"Michael Kitchen")</f>
        <v>Michael Kitchen</v>
      </c>
      <c r="AE1101" s="12"/>
    </row>
    <row r="1102" customHeight="1" spans="1:31">
      <c r="A1102" s="11" t="s">
        <v>30</v>
      </c>
      <c r="B1102" s="11" t="s">
        <v>4598</v>
      </c>
      <c r="C1102" s="11">
        <v>94</v>
      </c>
      <c r="D1102" s="11">
        <v>95</v>
      </c>
      <c r="E1102" s="11">
        <v>58</v>
      </c>
      <c r="F1102" s="11">
        <v>3000</v>
      </c>
      <c r="G1102" s="11">
        <v>14000</v>
      </c>
      <c r="H1102" s="11">
        <v>52580895</v>
      </c>
      <c r="I1102" s="11" t="s">
        <v>5822</v>
      </c>
      <c r="J1102" s="11" t="s">
        <v>700</v>
      </c>
      <c r="K1102" s="11" t="s">
        <v>1249</v>
      </c>
      <c r="L1102" s="11" t="s">
        <v>1689</v>
      </c>
      <c r="M1102" s="11" t="s">
        <v>5823</v>
      </c>
      <c r="N1102" s="11">
        <v>30255</v>
      </c>
      <c r="O1102" s="11">
        <v>27351</v>
      </c>
      <c r="P1102" s="11">
        <v>1</v>
      </c>
      <c r="Q1102" s="11" t="s">
        <v>5824</v>
      </c>
      <c r="R1102" s="14" t="s">
        <v>5825</v>
      </c>
      <c r="S1102" s="11">
        <v>118</v>
      </c>
      <c r="T1102" s="11" t="s">
        <v>39</v>
      </c>
      <c r="U1102" s="11" t="s">
        <v>40</v>
      </c>
      <c r="V1102" s="11" t="s">
        <v>96</v>
      </c>
      <c r="W1102" s="11">
        <v>45000000</v>
      </c>
      <c r="X1102" s="11">
        <v>2005</v>
      </c>
      <c r="Y1102" s="11">
        <v>8000</v>
      </c>
      <c r="Z1102" s="11">
        <v>5.6</v>
      </c>
      <c r="AA1102" s="11">
        <v>2.35</v>
      </c>
      <c r="AB1102" s="11">
        <v>743</v>
      </c>
      <c r="AC1102" s="11"/>
      <c r="AD1102" s="11" t="str">
        <f>IFERROR(__xludf.DUMMYFUNCTION("""COMPUTED_VALUE"""),"Jonah Bobo")</f>
        <v>Jonah Bobo</v>
      </c>
      <c r="AE1102" s="11"/>
    </row>
    <row r="1103" customHeight="1" spans="1:31">
      <c r="A1103" s="12" t="s">
        <v>30</v>
      </c>
      <c r="B1103" s="12" t="s">
        <v>5826</v>
      </c>
      <c r="C1103" s="12">
        <v>276</v>
      </c>
      <c r="D1103" s="12">
        <v>109</v>
      </c>
      <c r="E1103" s="12">
        <v>37</v>
      </c>
      <c r="F1103" s="12">
        <v>651</v>
      </c>
      <c r="G1103" s="12">
        <v>11000</v>
      </c>
      <c r="H1103" s="12">
        <v>51019112</v>
      </c>
      <c r="I1103" s="12" t="s">
        <v>1875</v>
      </c>
      <c r="J1103" s="12" t="s">
        <v>1950</v>
      </c>
      <c r="K1103" s="12" t="s">
        <v>404</v>
      </c>
      <c r="L1103" s="12" t="s">
        <v>5043</v>
      </c>
      <c r="M1103" s="12" t="s">
        <v>5827</v>
      </c>
      <c r="N1103" s="12">
        <v>155745</v>
      </c>
      <c r="O1103" s="12">
        <v>14073</v>
      </c>
      <c r="P1103" s="12">
        <v>0</v>
      </c>
      <c r="Q1103" s="12" t="s">
        <v>5828</v>
      </c>
      <c r="R1103" s="15" t="s">
        <v>5829</v>
      </c>
      <c r="S1103" s="12">
        <v>1053</v>
      </c>
      <c r="T1103" s="12" t="s">
        <v>39</v>
      </c>
      <c r="U1103" s="12" t="s">
        <v>40</v>
      </c>
      <c r="V1103" s="12" t="s">
        <v>96</v>
      </c>
      <c r="W1103" s="12">
        <v>50000000</v>
      </c>
      <c r="X1103" s="12">
        <v>2005</v>
      </c>
      <c r="Y1103" s="12">
        <v>2000</v>
      </c>
      <c r="Z1103" s="12">
        <v>6.8</v>
      </c>
      <c r="AA1103" s="12">
        <v>2.35</v>
      </c>
      <c r="AB1103" s="12">
        <v>10000</v>
      </c>
      <c r="AC1103" s="12"/>
      <c r="AD1103" s="12" t="str">
        <f>IFERROR(__xludf.DUMMYFUNCTION("""COMPUTED_VALUE"""),"Meat Loaf")</f>
        <v>Meat Loaf</v>
      </c>
      <c r="AE1103" s="12"/>
    </row>
    <row r="1104" customHeight="1" spans="1:31">
      <c r="A1104" s="11" t="s">
        <v>30</v>
      </c>
      <c r="B1104" s="11" t="s">
        <v>5830</v>
      </c>
      <c r="C1104" s="11">
        <v>59</v>
      </c>
      <c r="D1104" s="11">
        <v>93</v>
      </c>
      <c r="E1104" s="11">
        <v>38</v>
      </c>
      <c r="F1104" s="11">
        <v>631</v>
      </c>
      <c r="G1104" s="11">
        <v>1000</v>
      </c>
      <c r="H1104" s="11">
        <v>48114556</v>
      </c>
      <c r="I1104" s="11" t="s">
        <v>2614</v>
      </c>
      <c r="J1104" s="11" t="s">
        <v>5232</v>
      </c>
      <c r="K1104" s="11" t="s">
        <v>5831</v>
      </c>
      <c r="L1104" s="11" t="s">
        <v>4941</v>
      </c>
      <c r="M1104" s="11" t="s">
        <v>5832</v>
      </c>
      <c r="N1104" s="11">
        <v>9380</v>
      </c>
      <c r="O1104" s="11">
        <v>4604</v>
      </c>
      <c r="P1104" s="11">
        <v>1</v>
      </c>
      <c r="Q1104" s="11" t="s">
        <v>5833</v>
      </c>
      <c r="R1104" s="14" t="s">
        <v>5834</v>
      </c>
      <c r="S1104" s="11">
        <v>91</v>
      </c>
      <c r="T1104" s="11" t="s">
        <v>39</v>
      </c>
      <c r="U1104" s="11" t="s">
        <v>40</v>
      </c>
      <c r="V1104" s="11" t="s">
        <v>96</v>
      </c>
      <c r="W1104" s="11">
        <v>26000000</v>
      </c>
      <c r="X1104" s="11">
        <v>2004</v>
      </c>
      <c r="Y1104" s="11">
        <v>641</v>
      </c>
      <c r="Z1104" s="11">
        <v>4.3</v>
      </c>
      <c r="AA1104" s="11">
        <v>2.35</v>
      </c>
      <c r="AB1104" s="11">
        <v>531</v>
      </c>
      <c r="AC1104" s="11"/>
      <c r="AD1104" s="11" t="str">
        <f>IFERROR(__xludf.DUMMYFUNCTION("""COMPUTED_VALUE"""),"Eugenie Bondurant")</f>
        <v>Eugenie Bondurant</v>
      </c>
      <c r="AE1104" s="11"/>
    </row>
    <row r="1105" customHeight="1" spans="1:31">
      <c r="A1105" s="12" t="s">
        <v>30</v>
      </c>
      <c r="B1105" s="12" t="s">
        <v>5835</v>
      </c>
      <c r="C1105" s="12">
        <v>216</v>
      </c>
      <c r="D1105" s="12">
        <v>94</v>
      </c>
      <c r="E1105" s="12">
        <v>85</v>
      </c>
      <c r="F1105" s="12">
        <v>443</v>
      </c>
      <c r="G1105" s="12">
        <v>14000</v>
      </c>
      <c r="H1105" s="12">
        <v>50648679</v>
      </c>
      <c r="I1105" s="12" t="s">
        <v>2208</v>
      </c>
      <c r="J1105" s="12" t="s">
        <v>1973</v>
      </c>
      <c r="K1105" s="12" t="s">
        <v>5265</v>
      </c>
      <c r="L1105" s="12" t="s">
        <v>5836</v>
      </c>
      <c r="M1105" s="12" t="s">
        <v>5837</v>
      </c>
      <c r="N1105" s="12">
        <v>149549</v>
      </c>
      <c r="O1105" s="12">
        <v>16225</v>
      </c>
      <c r="P1105" s="12">
        <v>1</v>
      </c>
      <c r="Q1105" s="12" t="s">
        <v>5838</v>
      </c>
      <c r="R1105" s="15" t="s">
        <v>5839</v>
      </c>
      <c r="S1105" s="12">
        <v>348</v>
      </c>
      <c r="T1105" s="12" t="s">
        <v>39</v>
      </c>
      <c r="U1105" s="12" t="s">
        <v>1466</v>
      </c>
      <c r="V1105" s="12" t="s">
        <v>586</v>
      </c>
      <c r="W1105" s="12">
        <v>45000000</v>
      </c>
      <c r="X1105" s="12">
        <v>2007</v>
      </c>
      <c r="Y1105" s="12">
        <v>706</v>
      </c>
      <c r="Z1105" s="12">
        <v>6.3</v>
      </c>
      <c r="AA1105" s="12">
        <v>2.35</v>
      </c>
      <c r="AB1105" s="12">
        <v>0</v>
      </c>
      <c r="AC1105" s="12"/>
      <c r="AD1105" s="12" t="str">
        <f>IFERROR(__xludf.DUMMYFUNCTION("""COMPUTED_VALUE"""),"Kimberly Williams-Paisley")</f>
        <v>Kimberly Williams-Paisley</v>
      </c>
      <c r="AE1105" s="12"/>
    </row>
    <row r="1106" customHeight="1" spans="1:31">
      <c r="A1106" s="11" t="s">
        <v>30</v>
      </c>
      <c r="B1106" s="11" t="s">
        <v>1628</v>
      </c>
      <c r="C1106" s="11">
        <v>173</v>
      </c>
      <c r="D1106" s="11">
        <v>117</v>
      </c>
      <c r="E1106" s="11">
        <v>153</v>
      </c>
      <c r="F1106" s="11">
        <v>734</v>
      </c>
      <c r="G1106" s="11">
        <v>35000</v>
      </c>
      <c r="H1106" s="11">
        <v>46280507</v>
      </c>
      <c r="I1106" s="11" t="s">
        <v>1681</v>
      </c>
      <c r="J1106" s="11" t="s">
        <v>2169</v>
      </c>
      <c r="K1106" s="11" t="s">
        <v>2180</v>
      </c>
      <c r="L1106" s="11" t="s">
        <v>5840</v>
      </c>
      <c r="M1106" s="11" t="s">
        <v>5841</v>
      </c>
      <c r="N1106" s="11">
        <v>87165</v>
      </c>
      <c r="O1106" s="11">
        <v>49743</v>
      </c>
      <c r="P1106" s="11">
        <v>0</v>
      </c>
      <c r="Q1106" s="11" t="s">
        <v>5842</v>
      </c>
      <c r="R1106" s="14" t="s">
        <v>5843</v>
      </c>
      <c r="S1106" s="11">
        <v>184</v>
      </c>
      <c r="T1106" s="11" t="s">
        <v>39</v>
      </c>
      <c r="U1106" s="11" t="s">
        <v>40</v>
      </c>
      <c r="V1106" s="11" t="s">
        <v>41</v>
      </c>
      <c r="W1106" s="11">
        <v>40000000</v>
      </c>
      <c r="X1106" s="11">
        <v>2014</v>
      </c>
      <c r="Y1106" s="11">
        <v>11000</v>
      </c>
      <c r="Z1106" s="11">
        <v>6.5</v>
      </c>
      <c r="AA1106" s="11">
        <v>1.85</v>
      </c>
      <c r="AB1106" s="11">
        <v>12000</v>
      </c>
      <c r="AC1106" s="11"/>
      <c r="AD1106" s="11" t="str">
        <f>IFERROR(__xludf.DUMMYFUNCTION("""COMPUTED_VALUE"""),"Frances O'Connor")</f>
        <v>Frances O'Connor</v>
      </c>
      <c r="AE1106" s="11"/>
    </row>
    <row r="1107" customHeight="1" spans="1:31">
      <c r="A1107" s="12" t="s">
        <v>30</v>
      </c>
      <c r="B1107" s="12" t="s">
        <v>4620</v>
      </c>
      <c r="C1107" s="12">
        <v>99</v>
      </c>
      <c r="D1107" s="12">
        <v>112</v>
      </c>
      <c r="E1107" s="12">
        <v>61</v>
      </c>
      <c r="F1107" s="12">
        <v>501</v>
      </c>
      <c r="G1107" s="12">
        <v>1000</v>
      </c>
      <c r="H1107" s="12">
        <v>38360195</v>
      </c>
      <c r="I1107" s="12" t="s">
        <v>5384</v>
      </c>
      <c r="J1107" s="12" t="s">
        <v>2121</v>
      </c>
      <c r="K1107" s="12" t="s">
        <v>4000</v>
      </c>
      <c r="L1107" s="12" t="s">
        <v>3965</v>
      </c>
      <c r="M1107" s="12" t="s">
        <v>5844</v>
      </c>
      <c r="N1107" s="12">
        <v>21215</v>
      </c>
      <c r="O1107" s="12">
        <v>3757</v>
      </c>
      <c r="P1107" s="12">
        <v>1</v>
      </c>
      <c r="Q1107" s="12" t="s">
        <v>5845</v>
      </c>
      <c r="R1107" s="15" t="s">
        <v>5846</v>
      </c>
      <c r="S1107" s="12">
        <v>116</v>
      </c>
      <c r="T1107" s="12" t="s">
        <v>39</v>
      </c>
      <c r="U1107" s="12" t="s">
        <v>40</v>
      </c>
      <c r="V1107" s="12" t="s">
        <v>41</v>
      </c>
      <c r="W1107" s="12">
        <v>45000000</v>
      </c>
      <c r="X1107" s="12">
        <v>2006</v>
      </c>
      <c r="Y1107" s="12">
        <v>976</v>
      </c>
      <c r="Z1107" s="12">
        <v>6.4</v>
      </c>
      <c r="AA1107" s="12">
        <v>2.35</v>
      </c>
      <c r="AB1107" s="12">
        <v>0</v>
      </c>
      <c r="AC1107" s="12"/>
      <c r="AD1107" s="12" t="str">
        <f>IFERROR(__xludf.DUMMYFUNCTION("""COMPUTED_VALUE"""),"Michael Moore")</f>
        <v>Michael Moore</v>
      </c>
      <c r="AE1107" s="12"/>
    </row>
    <row r="1108" customHeight="1" spans="1:31">
      <c r="A1108" s="11" t="s">
        <v>30</v>
      </c>
      <c r="B1108" s="11" t="s">
        <v>4915</v>
      </c>
      <c r="C1108" s="11">
        <v>42</v>
      </c>
      <c r="D1108" s="11">
        <v>111</v>
      </c>
      <c r="E1108" s="11">
        <v>161</v>
      </c>
      <c r="F1108" s="11">
        <v>132</v>
      </c>
      <c r="G1108" s="11">
        <v>11000</v>
      </c>
      <c r="H1108" s="11">
        <v>46815748</v>
      </c>
      <c r="I1108" s="11" t="s">
        <v>3336</v>
      </c>
      <c r="J1108" s="11" t="s">
        <v>2377</v>
      </c>
      <c r="K1108" s="11" t="s">
        <v>280</v>
      </c>
      <c r="L1108" s="11" t="s">
        <v>5847</v>
      </c>
      <c r="M1108" s="11" t="s">
        <v>5848</v>
      </c>
      <c r="N1108" s="11">
        <v>32544</v>
      </c>
      <c r="O1108" s="11">
        <v>12161</v>
      </c>
      <c r="P1108" s="11">
        <v>1</v>
      </c>
      <c r="Q1108" s="11" t="s">
        <v>5849</v>
      </c>
      <c r="R1108" s="14" t="s">
        <v>5850</v>
      </c>
      <c r="S1108" s="11">
        <v>69</v>
      </c>
      <c r="T1108" s="11" t="s">
        <v>39</v>
      </c>
      <c r="U1108" s="11" t="s">
        <v>40</v>
      </c>
      <c r="V1108" s="11" t="s">
        <v>41</v>
      </c>
      <c r="W1108" s="11">
        <v>45000000</v>
      </c>
      <c r="X1108" s="11">
        <v>1994</v>
      </c>
      <c r="Y1108" s="11">
        <v>894</v>
      </c>
      <c r="Z1108" s="11">
        <v>6.3</v>
      </c>
      <c r="AA1108" s="11">
        <v>2.35</v>
      </c>
      <c r="AB1108" s="11">
        <v>0</v>
      </c>
      <c r="AC1108" s="11"/>
      <c r="AD1108" s="11" t="str">
        <f>IFERROR(__xludf.DUMMYFUNCTION("""COMPUTED_VALUE"""),"Caitlin Stasey")</f>
        <v>Caitlin Stasey</v>
      </c>
      <c r="AE1108" s="11"/>
    </row>
    <row r="1109" customHeight="1" spans="1:31">
      <c r="A1109" s="12" t="s">
        <v>30</v>
      </c>
      <c r="B1109" s="12" t="s">
        <v>1955</v>
      </c>
      <c r="C1109" s="12">
        <v>25</v>
      </c>
      <c r="D1109" s="12">
        <v>96</v>
      </c>
      <c r="E1109" s="12">
        <v>0</v>
      </c>
      <c r="F1109" s="12">
        <v>563</v>
      </c>
      <c r="G1109" s="12">
        <v>1000</v>
      </c>
      <c r="H1109" s="12">
        <v>35617599</v>
      </c>
      <c r="I1109" s="12" t="s">
        <v>5851</v>
      </c>
      <c r="J1109" s="12" t="s">
        <v>813</v>
      </c>
      <c r="K1109" s="12" t="s">
        <v>5852</v>
      </c>
      <c r="L1109" s="12" t="s">
        <v>3888</v>
      </c>
      <c r="M1109" s="12" t="s">
        <v>5853</v>
      </c>
      <c r="N1109" s="12">
        <v>20688</v>
      </c>
      <c r="O1109" s="12">
        <v>2965</v>
      </c>
      <c r="P1109" s="12">
        <v>1</v>
      </c>
      <c r="Q1109" s="12" t="s">
        <v>5854</v>
      </c>
      <c r="R1109" s="15" t="s">
        <v>5855</v>
      </c>
      <c r="S1109" s="12">
        <v>47</v>
      </c>
      <c r="T1109" s="12" t="s">
        <v>39</v>
      </c>
      <c r="U1109" s="12" t="s">
        <v>40</v>
      </c>
      <c r="V1109" s="12" t="s">
        <v>96</v>
      </c>
      <c r="W1109" s="12">
        <v>45000000</v>
      </c>
      <c r="X1109" s="12">
        <v>1995</v>
      </c>
      <c r="Y1109" s="12">
        <v>845</v>
      </c>
      <c r="Z1109" s="12">
        <v>5.9</v>
      </c>
      <c r="AA1109" s="12">
        <v>1.85</v>
      </c>
      <c r="AB1109" s="12">
        <v>0</v>
      </c>
      <c r="AC1109" s="12"/>
      <c r="AD1109" s="12" t="str">
        <f>IFERROR(__xludf.DUMMYFUNCTION("""COMPUTED_VALUE"""),"Kevin Grevioux")</f>
        <v>Kevin Grevioux</v>
      </c>
      <c r="AE1109" s="12"/>
    </row>
    <row r="1110" customHeight="1" spans="1:31">
      <c r="A1110" s="11" t="s">
        <v>748</v>
      </c>
      <c r="B1110" s="11" t="s">
        <v>761</v>
      </c>
      <c r="C1110" s="11">
        <v>339</v>
      </c>
      <c r="D1110" s="11">
        <v>141</v>
      </c>
      <c r="E1110" s="11">
        <v>0</v>
      </c>
      <c r="F1110" s="11">
        <v>404</v>
      </c>
      <c r="G1110" s="11">
        <v>749</v>
      </c>
      <c r="H1110" s="11">
        <v>47307550</v>
      </c>
      <c r="I1110" s="11" t="s">
        <v>2126</v>
      </c>
      <c r="J1110" s="11" t="s">
        <v>5856</v>
      </c>
      <c r="K1110" s="11" t="s">
        <v>5857</v>
      </c>
      <c r="L1110" s="11" t="s">
        <v>5858</v>
      </c>
      <c r="M1110" s="11" t="s">
        <v>5859</v>
      </c>
      <c r="N1110" s="11">
        <v>104301</v>
      </c>
      <c r="O1110" s="11">
        <v>1948</v>
      </c>
      <c r="P1110" s="11">
        <v>4</v>
      </c>
      <c r="Q1110" s="11" t="s">
        <v>5860</v>
      </c>
      <c r="R1110" s="14" t="s">
        <v>5861</v>
      </c>
      <c r="S1110" s="11">
        <v>269</v>
      </c>
      <c r="T1110" s="11" t="s">
        <v>39</v>
      </c>
      <c r="U1110" s="11" t="s">
        <v>40</v>
      </c>
      <c r="V1110" s="11" t="s">
        <v>586</v>
      </c>
      <c r="W1110" s="11">
        <v>45000000</v>
      </c>
      <c r="X1110" s="11">
        <v>2012</v>
      </c>
      <c r="Y1110" s="11">
        <v>463</v>
      </c>
      <c r="Z1110" s="11">
        <v>6.5</v>
      </c>
      <c r="AA1110" s="11">
        <v>2.35</v>
      </c>
      <c r="AB1110" s="11">
        <v>28000</v>
      </c>
      <c r="AC1110" s="11"/>
      <c r="AD1110" s="11" t="str">
        <f>IFERROR(__xludf.DUMMYFUNCTION("""COMPUTED_VALUE"""),"Ian McNeice")</f>
        <v>Ian McNeice</v>
      </c>
      <c r="AE1110" s="11"/>
    </row>
    <row r="1111" customHeight="1" spans="1:31">
      <c r="A1111" s="12" t="s">
        <v>30</v>
      </c>
      <c r="B1111" s="12" t="s">
        <v>5862</v>
      </c>
      <c r="C1111" s="12">
        <v>127</v>
      </c>
      <c r="D1111" s="12">
        <v>94</v>
      </c>
      <c r="E1111" s="12">
        <v>160</v>
      </c>
      <c r="F1111" s="12">
        <v>167</v>
      </c>
      <c r="G1111" s="12">
        <v>550</v>
      </c>
      <c r="H1111" s="12">
        <v>32003620</v>
      </c>
      <c r="I1111" s="12" t="s">
        <v>334</v>
      </c>
      <c r="J1111" s="12" t="s">
        <v>1011</v>
      </c>
      <c r="K1111" s="12" t="s">
        <v>5863</v>
      </c>
      <c r="L1111" s="12" t="s">
        <v>5864</v>
      </c>
      <c r="M1111" s="12" t="s">
        <v>5865</v>
      </c>
      <c r="N1111" s="12">
        <v>79141</v>
      </c>
      <c r="O1111" s="12">
        <v>1102</v>
      </c>
      <c r="P1111" s="12">
        <v>1</v>
      </c>
      <c r="Q1111" s="12" t="s">
        <v>5866</v>
      </c>
      <c r="R1111" s="15" t="s">
        <v>5867</v>
      </c>
      <c r="S1111" s="12">
        <v>355</v>
      </c>
      <c r="T1111" s="12" t="s">
        <v>39</v>
      </c>
      <c r="U1111" s="12" t="s">
        <v>40</v>
      </c>
      <c r="V1111" s="12" t="s">
        <v>41</v>
      </c>
      <c r="W1111" s="12">
        <v>25000000</v>
      </c>
      <c r="X1111" s="12">
        <v>2004</v>
      </c>
      <c r="Y1111" s="12">
        <v>216</v>
      </c>
      <c r="Z1111" s="12">
        <v>6.5</v>
      </c>
      <c r="AA1111" s="12">
        <v>2.35</v>
      </c>
      <c r="AB1111" s="12">
        <v>2000</v>
      </c>
      <c r="AC1111" s="12"/>
      <c r="AD1111" s="12" t="str">
        <f>IFERROR(__xludf.DUMMYFUNCTION("""COMPUTED_VALUE"""),"Barney Clark")</f>
        <v>Barney Clark</v>
      </c>
      <c r="AE1111" s="12"/>
    </row>
    <row r="1112" customHeight="1" spans="1:31">
      <c r="A1112" s="11" t="s">
        <v>30</v>
      </c>
      <c r="B1112" s="11" t="s">
        <v>5868</v>
      </c>
      <c r="C1112" s="11">
        <v>122</v>
      </c>
      <c r="D1112" s="11">
        <v>87</v>
      </c>
      <c r="E1112" s="11">
        <v>29</v>
      </c>
      <c r="F1112" s="11">
        <v>252</v>
      </c>
      <c r="G1112" s="11">
        <v>427</v>
      </c>
      <c r="H1112" s="11">
        <v>27972410</v>
      </c>
      <c r="I1112" s="11" t="s">
        <v>1629</v>
      </c>
      <c r="J1112" s="11" t="s">
        <v>3604</v>
      </c>
      <c r="K1112" s="11" t="s">
        <v>5869</v>
      </c>
      <c r="L1112" s="11" t="s">
        <v>5870</v>
      </c>
      <c r="M1112" s="11" t="s">
        <v>5871</v>
      </c>
      <c r="N1112" s="11">
        <v>114692</v>
      </c>
      <c r="O1112" s="11">
        <v>1461</v>
      </c>
      <c r="P1112" s="11">
        <v>1</v>
      </c>
      <c r="Q1112" s="11" t="s">
        <v>5872</v>
      </c>
      <c r="R1112" s="14" t="s">
        <v>5873</v>
      </c>
      <c r="S1112" s="11">
        <v>285</v>
      </c>
      <c r="T1112" s="11" t="s">
        <v>39</v>
      </c>
      <c r="U1112" s="11" t="s">
        <v>58</v>
      </c>
      <c r="V1112" s="11" t="s">
        <v>96</v>
      </c>
      <c r="W1112" s="11">
        <v>35000000</v>
      </c>
      <c r="X1112" s="11">
        <v>2003</v>
      </c>
      <c r="Y1112" s="11">
        <v>304</v>
      </c>
      <c r="Z1112" s="11">
        <v>6.1</v>
      </c>
      <c r="AA1112" s="11">
        <v>1.85</v>
      </c>
      <c r="AB1112" s="11">
        <v>2000</v>
      </c>
      <c r="AC1112" s="11"/>
      <c r="AD1112" s="11" t="str">
        <f>IFERROR(__xludf.DUMMYFUNCTION("""COMPUTED_VALUE"""),"Tony Noble")</f>
        <v>Tony Noble</v>
      </c>
      <c r="AE1112" s="11"/>
    </row>
    <row r="1113" customHeight="1" spans="1:31">
      <c r="A1113" s="12" t="s">
        <v>30</v>
      </c>
      <c r="B1113" s="12" t="s">
        <v>5874</v>
      </c>
      <c r="C1113" s="12">
        <v>105</v>
      </c>
      <c r="D1113" s="12">
        <v>88</v>
      </c>
      <c r="E1113" s="12">
        <v>8</v>
      </c>
      <c r="F1113" s="12">
        <v>8000</v>
      </c>
      <c r="G1113" s="12">
        <v>12000</v>
      </c>
      <c r="H1113" s="12">
        <v>28133159</v>
      </c>
      <c r="I1113" s="12" t="s">
        <v>271</v>
      </c>
      <c r="J1113" s="12" t="s">
        <v>705</v>
      </c>
      <c r="K1113" s="12" t="s">
        <v>2377</v>
      </c>
      <c r="L1113" s="12" t="s">
        <v>1529</v>
      </c>
      <c r="M1113" s="12" t="s">
        <v>5875</v>
      </c>
      <c r="N1113" s="12">
        <v>30055</v>
      </c>
      <c r="O1113" s="12">
        <v>33822</v>
      </c>
      <c r="P1113" s="12">
        <v>1</v>
      </c>
      <c r="Q1113" s="12" t="s">
        <v>5876</v>
      </c>
      <c r="R1113" s="15" t="s">
        <v>5877</v>
      </c>
      <c r="S1113" s="12">
        <v>70</v>
      </c>
      <c r="T1113" s="12" t="s">
        <v>39</v>
      </c>
      <c r="U1113" s="12" t="s">
        <v>40</v>
      </c>
      <c r="V1113" s="12" t="s">
        <v>96</v>
      </c>
      <c r="W1113" s="12">
        <v>50000000</v>
      </c>
      <c r="X1113" s="12">
        <v>2006</v>
      </c>
      <c r="Y1113" s="12">
        <v>11000</v>
      </c>
      <c r="Z1113" s="12">
        <v>5.9</v>
      </c>
      <c r="AA1113" s="12">
        <v>1.85</v>
      </c>
      <c r="AB1113" s="12">
        <v>593</v>
      </c>
      <c r="AC1113" s="12"/>
      <c r="AD1113" s="12" t="str">
        <f>IFERROR(__xludf.DUMMYFUNCTION("""COMPUTED_VALUE"""),"Bill Cobbs")</f>
        <v>Bill Cobbs</v>
      </c>
      <c r="AE1113" s="12"/>
    </row>
    <row r="1114" customHeight="1" spans="1:31">
      <c r="A1114" s="11" t="s">
        <v>30</v>
      </c>
      <c r="B1114" s="11" t="s">
        <v>5878</v>
      </c>
      <c r="C1114" s="11">
        <v>144</v>
      </c>
      <c r="D1114" s="11">
        <v>177</v>
      </c>
      <c r="E1114" s="11">
        <v>0</v>
      </c>
      <c r="F1114" s="11">
        <v>202</v>
      </c>
      <c r="G1114" s="11">
        <v>913</v>
      </c>
      <c r="H1114" s="11">
        <v>27400000</v>
      </c>
      <c r="I1114" s="11" t="s">
        <v>73</v>
      </c>
      <c r="J1114" s="11" t="s">
        <v>2666</v>
      </c>
      <c r="K1114" s="11" t="s">
        <v>1275</v>
      </c>
      <c r="L1114" s="11" t="s">
        <v>5879</v>
      </c>
      <c r="M1114" s="11" t="s">
        <v>5880</v>
      </c>
      <c r="N1114" s="11">
        <v>97087</v>
      </c>
      <c r="O1114" s="11">
        <v>2449</v>
      </c>
      <c r="P1114" s="11">
        <v>3</v>
      </c>
      <c r="Q1114" s="11" t="s">
        <v>5881</v>
      </c>
      <c r="R1114" s="14" t="s">
        <v>5882</v>
      </c>
      <c r="S1114" s="11">
        <v>569</v>
      </c>
      <c r="T1114" s="11" t="s">
        <v>39</v>
      </c>
      <c r="U1114" s="11" t="s">
        <v>40</v>
      </c>
      <c r="V1114" s="11" t="s">
        <v>41</v>
      </c>
      <c r="W1114" s="11">
        <v>40000000</v>
      </c>
      <c r="X1114" s="11">
        <v>1984</v>
      </c>
      <c r="Y1114" s="11">
        <v>362</v>
      </c>
      <c r="Z1114" s="11">
        <v>6.6</v>
      </c>
      <c r="AA1114" s="11">
        <v>2.35</v>
      </c>
      <c r="AB1114" s="11">
        <v>11000</v>
      </c>
      <c r="AC1114" s="11"/>
      <c r="AD1114" s="11" t="str">
        <f>IFERROR(__xludf.DUMMYFUNCTION("""COMPUTED_VALUE"""),"Martin Henderson")</f>
        <v>Martin Henderson</v>
      </c>
      <c r="AE1114" s="11"/>
    </row>
    <row r="1115" customHeight="1" spans="1:31">
      <c r="A1115" s="12" t="s">
        <v>30</v>
      </c>
      <c r="B1115" s="12" t="s">
        <v>5883</v>
      </c>
      <c r="C1115" s="12">
        <v>156</v>
      </c>
      <c r="D1115" s="12">
        <v>133</v>
      </c>
      <c r="E1115" s="12">
        <v>278</v>
      </c>
      <c r="F1115" s="12">
        <v>107</v>
      </c>
      <c r="G1115" s="12">
        <v>5000</v>
      </c>
      <c r="H1115" s="12">
        <v>24343673</v>
      </c>
      <c r="I1115" s="12" t="s">
        <v>5884</v>
      </c>
      <c r="J1115" s="12" t="s">
        <v>1850</v>
      </c>
      <c r="K1115" s="12" t="s">
        <v>5885</v>
      </c>
      <c r="L1115" s="12" t="s">
        <v>5886</v>
      </c>
      <c r="M1115" s="12" t="s">
        <v>5887</v>
      </c>
      <c r="N1115" s="12">
        <v>91860</v>
      </c>
      <c r="O1115" s="12">
        <v>5405</v>
      </c>
      <c r="P1115" s="12">
        <v>0</v>
      </c>
      <c r="Q1115" s="12" t="s">
        <v>5888</v>
      </c>
      <c r="R1115" s="15" t="s">
        <v>5889</v>
      </c>
      <c r="S1115" s="12">
        <v>524</v>
      </c>
      <c r="T1115" s="12" t="s">
        <v>39</v>
      </c>
      <c r="U1115" s="12" t="s">
        <v>40</v>
      </c>
      <c r="V1115" s="12" t="s">
        <v>41</v>
      </c>
      <c r="W1115" s="12">
        <v>45000000</v>
      </c>
      <c r="X1115" s="12">
        <v>2007</v>
      </c>
      <c r="Y1115" s="12">
        <v>117</v>
      </c>
      <c r="Z1115" s="12">
        <v>7.4</v>
      </c>
      <c r="AA1115" s="12">
        <v>2.35</v>
      </c>
      <c r="AB1115" s="12">
        <v>14000</v>
      </c>
      <c r="AC1115" s="12"/>
      <c r="AD1115" s="12" t="str">
        <f>IFERROR(__xludf.DUMMYFUNCTION("""COMPUTED_VALUE"""),"Tom Goodman-Hill")</f>
        <v>Tom Goodman-Hill</v>
      </c>
      <c r="AE1115" s="12"/>
    </row>
    <row r="1116" customHeight="1" spans="1:31">
      <c r="A1116" s="11" t="s">
        <v>30</v>
      </c>
      <c r="B1116" s="11" t="s">
        <v>50</v>
      </c>
      <c r="C1116" s="11">
        <v>323</v>
      </c>
      <c r="D1116" s="11">
        <v>119</v>
      </c>
      <c r="E1116" s="11">
        <v>0</v>
      </c>
      <c r="F1116" s="11">
        <v>10000</v>
      </c>
      <c r="G1116" s="11">
        <v>29000</v>
      </c>
      <c r="H1116" s="11">
        <v>22877808</v>
      </c>
      <c r="I1116" s="11" t="s">
        <v>214</v>
      </c>
      <c r="J1116" s="11" t="s">
        <v>215</v>
      </c>
      <c r="K1116" s="11" t="s">
        <v>216</v>
      </c>
      <c r="L1116" s="11" t="s">
        <v>5890</v>
      </c>
      <c r="M1116" s="11" t="s">
        <v>5891</v>
      </c>
      <c r="N1116" s="11">
        <v>152591</v>
      </c>
      <c r="O1116" s="11">
        <v>53895</v>
      </c>
      <c r="P1116" s="11">
        <v>0</v>
      </c>
      <c r="Q1116" s="11" t="s">
        <v>5892</v>
      </c>
      <c r="R1116" s="14" t="s">
        <v>5893</v>
      </c>
      <c r="S1116" s="11">
        <v>414</v>
      </c>
      <c r="T1116" s="11" t="s">
        <v>39</v>
      </c>
      <c r="U1116" s="11" t="s">
        <v>40</v>
      </c>
      <c r="V1116" s="11" t="s">
        <v>586</v>
      </c>
      <c r="W1116" s="11">
        <v>35000000</v>
      </c>
      <c r="X1116" s="11">
        <v>2008</v>
      </c>
      <c r="Y1116" s="11">
        <v>14000</v>
      </c>
      <c r="Z1116" s="11">
        <v>7.3</v>
      </c>
      <c r="AA1116" s="11">
        <v>2.35</v>
      </c>
      <c r="AB1116" s="11">
        <v>0</v>
      </c>
      <c r="AC1116" s="11"/>
      <c r="AD1116" s="11" t="str">
        <f>IFERROR(__xludf.DUMMYFUNCTION("""COMPUTED_VALUE"""),"Michael Smiley")</f>
        <v>Michael Smiley</v>
      </c>
      <c r="AE1116" s="11"/>
    </row>
    <row r="1117" customHeight="1" spans="1:31">
      <c r="A1117" s="12" t="s">
        <v>30</v>
      </c>
      <c r="B1117" s="12" t="s">
        <v>1059</v>
      </c>
      <c r="C1117" s="12">
        <v>199</v>
      </c>
      <c r="D1117" s="12">
        <v>102</v>
      </c>
      <c r="E1117" s="12">
        <v>503</v>
      </c>
      <c r="F1117" s="12">
        <v>795</v>
      </c>
      <c r="G1117" s="12">
        <v>13000</v>
      </c>
      <c r="H1117" s="12">
        <v>36883539</v>
      </c>
      <c r="I1117" s="12" t="s">
        <v>464</v>
      </c>
      <c r="J1117" s="12" t="s">
        <v>978</v>
      </c>
      <c r="K1117" s="12" t="s">
        <v>3736</v>
      </c>
      <c r="L1117" s="12" t="s">
        <v>2901</v>
      </c>
      <c r="M1117" s="12" t="s">
        <v>5894</v>
      </c>
      <c r="N1117" s="12">
        <v>112769</v>
      </c>
      <c r="O1117" s="12">
        <v>15053</v>
      </c>
      <c r="P1117" s="12">
        <v>2</v>
      </c>
      <c r="Q1117" s="12" t="s">
        <v>5895</v>
      </c>
      <c r="R1117" s="15" t="s">
        <v>5896</v>
      </c>
      <c r="S1117" s="12">
        <v>305</v>
      </c>
      <c r="T1117" s="12" t="s">
        <v>39</v>
      </c>
      <c r="U1117" s="12" t="s">
        <v>768</v>
      </c>
      <c r="V1117" s="12" t="s">
        <v>41</v>
      </c>
      <c r="W1117" s="12">
        <v>52000000</v>
      </c>
      <c r="X1117" s="12">
        <v>2006</v>
      </c>
      <c r="Y1117" s="12">
        <v>929</v>
      </c>
      <c r="Z1117" s="12">
        <v>6.6</v>
      </c>
      <c r="AA1117" s="12">
        <v>2.35</v>
      </c>
      <c r="AB1117" s="12">
        <v>0</v>
      </c>
      <c r="AC1117" s="12"/>
      <c r="AD1117" s="12" t="str">
        <f>IFERROR(__xludf.DUMMYFUNCTION("""COMPUTED_VALUE"""),"David Calder")</f>
        <v>David Calder</v>
      </c>
      <c r="AE1117" s="12"/>
    </row>
    <row r="1118" customHeight="1" spans="1:31">
      <c r="A1118" s="11" t="s">
        <v>30</v>
      </c>
      <c r="B1118" s="11" t="s">
        <v>5897</v>
      </c>
      <c r="C1118" s="11">
        <v>164</v>
      </c>
      <c r="D1118" s="11">
        <v>101</v>
      </c>
      <c r="E1118" s="11">
        <v>326</v>
      </c>
      <c r="F1118" s="11">
        <v>510</v>
      </c>
      <c r="G1118" s="11">
        <v>14000</v>
      </c>
      <c r="H1118" s="11">
        <v>22531698</v>
      </c>
      <c r="I1118" s="11" t="s">
        <v>227</v>
      </c>
      <c r="J1118" s="11" t="s">
        <v>337</v>
      </c>
      <c r="K1118" s="11" t="s">
        <v>3518</v>
      </c>
      <c r="L1118" s="11" t="s">
        <v>5898</v>
      </c>
      <c r="M1118" s="11" t="s">
        <v>5899</v>
      </c>
      <c r="N1118" s="11">
        <v>81523</v>
      </c>
      <c r="O1118" s="11">
        <v>15990</v>
      </c>
      <c r="P1118" s="11">
        <v>0</v>
      </c>
      <c r="Q1118" s="11" t="s">
        <v>5900</v>
      </c>
      <c r="R1118" s="14" t="s">
        <v>5901</v>
      </c>
      <c r="S1118" s="11">
        <v>214</v>
      </c>
      <c r="T1118" s="11" t="s">
        <v>39</v>
      </c>
      <c r="U1118" s="11" t="s">
        <v>1466</v>
      </c>
      <c r="V1118" s="11" t="s">
        <v>41</v>
      </c>
      <c r="W1118" s="11">
        <v>70000000</v>
      </c>
      <c r="X1118" s="11">
        <v>2008</v>
      </c>
      <c r="Y1118" s="11">
        <v>844</v>
      </c>
      <c r="Z1118" s="11">
        <v>5.6</v>
      </c>
      <c r="AA1118" s="11">
        <v>2.35</v>
      </c>
      <c r="AB1118" s="11">
        <v>0</v>
      </c>
      <c r="AC1118" s="11"/>
      <c r="AD1118" s="11" t="str">
        <f>IFERROR(__xludf.DUMMYFUNCTION("""COMPUTED_VALUE"""),"Simon Chandler")</f>
        <v>Simon Chandler</v>
      </c>
      <c r="AE1118" s="11"/>
    </row>
    <row r="1119" customHeight="1" spans="1:31">
      <c r="A1119" s="12" t="s">
        <v>30</v>
      </c>
      <c r="B1119" s="12" t="s">
        <v>5902</v>
      </c>
      <c r="C1119" s="12">
        <v>39</v>
      </c>
      <c r="D1119" s="12">
        <v>91</v>
      </c>
      <c r="E1119" s="12">
        <v>29</v>
      </c>
      <c r="F1119" s="12">
        <v>322</v>
      </c>
      <c r="G1119" s="12">
        <v>2000</v>
      </c>
      <c r="H1119" s="12">
        <v>20400913</v>
      </c>
      <c r="I1119" s="12" t="s">
        <v>3554</v>
      </c>
      <c r="J1119" s="12" t="s">
        <v>5903</v>
      </c>
      <c r="K1119" s="12" t="s">
        <v>1348</v>
      </c>
      <c r="L1119" s="12" t="s">
        <v>3881</v>
      </c>
      <c r="M1119" s="12" t="s">
        <v>5904</v>
      </c>
      <c r="N1119" s="12">
        <v>15455</v>
      </c>
      <c r="O1119" s="12">
        <v>3855</v>
      </c>
      <c r="P1119" s="12">
        <v>1</v>
      </c>
      <c r="Q1119" s="12" t="s">
        <v>5905</v>
      </c>
      <c r="R1119" s="15" t="s">
        <v>5906</v>
      </c>
      <c r="S1119" s="12">
        <v>80</v>
      </c>
      <c r="T1119" s="12" t="s">
        <v>39</v>
      </c>
      <c r="U1119" s="12" t="s">
        <v>40</v>
      </c>
      <c r="V1119" s="12" t="s">
        <v>586</v>
      </c>
      <c r="W1119" s="12">
        <v>45000000</v>
      </c>
      <c r="X1119" s="12">
        <v>1996</v>
      </c>
      <c r="Y1119" s="12">
        <v>461</v>
      </c>
      <c r="Z1119" s="12">
        <v>5.3</v>
      </c>
      <c r="AA1119" s="12">
        <v>1.85</v>
      </c>
      <c r="AB1119" s="12">
        <v>451</v>
      </c>
      <c r="AC1119" s="12"/>
      <c r="AD1119" s="12" t="str">
        <f>IFERROR(__xludf.DUMMYFUNCTION("""COMPUTED_VALUE"""),"Josh Zuckerman")</f>
        <v>Josh Zuckerman</v>
      </c>
      <c r="AE1119" s="12"/>
    </row>
    <row r="1120" customHeight="1" spans="1:31">
      <c r="A1120" s="11" t="s">
        <v>30</v>
      </c>
      <c r="B1120" s="11" t="s">
        <v>4219</v>
      </c>
      <c r="C1120" s="11">
        <v>43</v>
      </c>
      <c r="D1120" s="11">
        <v>117</v>
      </c>
      <c r="E1120" s="11">
        <v>11000</v>
      </c>
      <c r="F1120" s="11">
        <v>451</v>
      </c>
      <c r="G1120" s="11">
        <v>905</v>
      </c>
      <c r="H1120" s="11">
        <v>20101861</v>
      </c>
      <c r="I1120" s="11" t="s">
        <v>2469</v>
      </c>
      <c r="J1120" s="11" t="s">
        <v>5907</v>
      </c>
      <c r="K1120" s="11" t="s">
        <v>5576</v>
      </c>
      <c r="L1120" s="11" t="s">
        <v>5908</v>
      </c>
      <c r="M1120" s="11" t="s">
        <v>5909</v>
      </c>
      <c r="N1120" s="11">
        <v>24757</v>
      </c>
      <c r="O1120" s="11">
        <v>2348</v>
      </c>
      <c r="P1120" s="11">
        <v>0</v>
      </c>
      <c r="Q1120" s="11" t="s">
        <v>5910</v>
      </c>
      <c r="R1120" s="14" t="s">
        <v>5911</v>
      </c>
      <c r="S1120" s="11">
        <v>81</v>
      </c>
      <c r="T1120" s="11" t="s">
        <v>39</v>
      </c>
      <c r="U1120" s="11" t="s">
        <v>40</v>
      </c>
      <c r="V1120" s="11" t="s">
        <v>41</v>
      </c>
      <c r="W1120" s="11">
        <v>45000000</v>
      </c>
      <c r="X1120" s="11">
        <v>1996</v>
      </c>
      <c r="Y1120" s="11">
        <v>484</v>
      </c>
      <c r="Z1120" s="11">
        <v>6</v>
      </c>
      <c r="AA1120" s="11">
        <v>2.35</v>
      </c>
      <c r="AB1120" s="11">
        <v>0</v>
      </c>
      <c r="AC1120" s="11"/>
      <c r="AD1120" s="11" t="str">
        <f>IFERROR(__xludf.DUMMYFUNCTION("""COMPUTED_VALUE"""),"Robert Wagner")</f>
        <v>Robert Wagner</v>
      </c>
      <c r="AE1120" s="11"/>
    </row>
    <row r="1121" customHeight="1" spans="1:31">
      <c r="A1121" s="12" t="s">
        <v>30</v>
      </c>
      <c r="B1121" s="12" t="s">
        <v>5912</v>
      </c>
      <c r="C1121" s="12">
        <v>82</v>
      </c>
      <c r="D1121" s="12">
        <v>86</v>
      </c>
      <c r="E1121" s="12">
        <v>13</v>
      </c>
      <c r="F1121" s="12">
        <v>553</v>
      </c>
      <c r="G1121" s="12">
        <v>1000</v>
      </c>
      <c r="H1121" s="12">
        <v>25200412</v>
      </c>
      <c r="I1121" s="12" t="s">
        <v>5913</v>
      </c>
      <c r="J1121" s="12" t="s">
        <v>5914</v>
      </c>
      <c r="K1121" s="12" t="s">
        <v>5915</v>
      </c>
      <c r="L1121" s="12" t="s">
        <v>2940</v>
      </c>
      <c r="M1121" s="12" t="s">
        <v>5916</v>
      </c>
      <c r="N1121" s="12">
        <v>16580</v>
      </c>
      <c r="O1121" s="12">
        <v>3423</v>
      </c>
      <c r="P1121" s="12">
        <v>3</v>
      </c>
      <c r="Q1121" s="12" t="s">
        <v>5917</v>
      </c>
      <c r="R1121" s="15" t="s">
        <v>5918</v>
      </c>
      <c r="S1121" s="12">
        <v>55</v>
      </c>
      <c r="T1121" s="12" t="s">
        <v>39</v>
      </c>
      <c r="U1121" s="12" t="s">
        <v>40</v>
      </c>
      <c r="V1121" s="12" t="s">
        <v>96</v>
      </c>
      <c r="W1121" s="12">
        <v>45000000</v>
      </c>
      <c r="X1121" s="12">
        <v>2009</v>
      </c>
      <c r="Y1121" s="12">
        <v>701</v>
      </c>
      <c r="Z1121" s="12">
        <v>5.4</v>
      </c>
      <c r="AA1121" s="12">
        <v>1.85</v>
      </c>
      <c r="AB1121" s="12">
        <v>916</v>
      </c>
      <c r="AC1121" s="12"/>
      <c r="AD1121" s="12" t="str">
        <f>IFERROR(__xludf.DUMMYFUNCTION("""COMPUTED_VALUE"""),"Dee Bradley Baker")</f>
        <v>Dee Bradley Baker</v>
      </c>
      <c r="AE1121" s="12"/>
    </row>
    <row r="1122" customHeight="1" spans="1:31">
      <c r="A1122" s="11" t="s">
        <v>30</v>
      </c>
      <c r="B1122" s="11" t="s">
        <v>5919</v>
      </c>
      <c r="C1122" s="11">
        <v>150</v>
      </c>
      <c r="D1122" s="11">
        <v>124</v>
      </c>
      <c r="E1122" s="11">
        <v>0</v>
      </c>
      <c r="F1122" s="11">
        <v>19</v>
      </c>
      <c r="G1122" s="11">
        <v>723</v>
      </c>
      <c r="H1122" s="11">
        <v>19719930</v>
      </c>
      <c r="I1122" s="11" t="s">
        <v>2142</v>
      </c>
      <c r="J1122" s="11" t="s">
        <v>5920</v>
      </c>
      <c r="K1122" s="11" t="s">
        <v>5921</v>
      </c>
      <c r="L1122" s="11" t="s">
        <v>5922</v>
      </c>
      <c r="M1122" s="11" t="s">
        <v>5923</v>
      </c>
      <c r="N1122" s="11">
        <v>42621</v>
      </c>
      <c r="O1122" s="11">
        <v>793</v>
      </c>
      <c r="P1122" s="11">
        <v>0</v>
      </c>
      <c r="Q1122" s="11" t="s">
        <v>5924</v>
      </c>
      <c r="R1122" s="14" t="s">
        <v>5925</v>
      </c>
      <c r="S1122" s="11">
        <v>531</v>
      </c>
      <c r="T1122" s="11" t="s">
        <v>39</v>
      </c>
      <c r="U1122" s="11" t="s">
        <v>40</v>
      </c>
      <c r="V1122" s="11" t="s">
        <v>586</v>
      </c>
      <c r="W1122" s="11">
        <v>45000000</v>
      </c>
      <c r="X1122" s="11">
        <v>2001</v>
      </c>
      <c r="Y1122" s="11">
        <v>44</v>
      </c>
      <c r="Z1122" s="11">
        <v>6.8</v>
      </c>
      <c r="AA1122" s="11">
        <v>2.35</v>
      </c>
      <c r="AB1122" s="11">
        <v>0</v>
      </c>
      <c r="AC1122" s="11"/>
      <c r="AD1122" s="11" t="str">
        <f>IFERROR(__xludf.DUMMYFUNCTION("""COMPUTED_VALUE"""),"Bob Peck")</f>
        <v>Bob Peck</v>
      </c>
      <c r="AE1122" s="11"/>
    </row>
    <row r="1123" customHeight="1" spans="1:31">
      <c r="A1123" s="12" t="s">
        <v>30</v>
      </c>
      <c r="B1123" s="12" t="s">
        <v>5926</v>
      </c>
      <c r="C1123" s="12">
        <v>168</v>
      </c>
      <c r="D1123" s="12">
        <v>134</v>
      </c>
      <c r="E1123" s="12">
        <v>38</v>
      </c>
      <c r="F1123" s="12">
        <v>2000</v>
      </c>
      <c r="G1123" s="12">
        <v>11000</v>
      </c>
      <c r="H1123" s="12">
        <v>19377727</v>
      </c>
      <c r="I1123" s="12" t="s">
        <v>5927</v>
      </c>
      <c r="J1123" s="12" t="s">
        <v>1957</v>
      </c>
      <c r="K1123" s="12" t="s">
        <v>1249</v>
      </c>
      <c r="L1123" s="12" t="s">
        <v>902</v>
      </c>
      <c r="M1123" s="12" t="s">
        <v>5928</v>
      </c>
      <c r="N1123" s="12">
        <v>35140</v>
      </c>
      <c r="O1123" s="12">
        <v>24351</v>
      </c>
      <c r="P1123" s="12">
        <v>3</v>
      </c>
      <c r="Q1123" s="12" t="s">
        <v>5929</v>
      </c>
      <c r="R1123" s="15" t="s">
        <v>5930</v>
      </c>
      <c r="S1123" s="12">
        <v>409</v>
      </c>
      <c r="T1123" s="12" t="s">
        <v>39</v>
      </c>
      <c r="U1123" s="12" t="s">
        <v>40</v>
      </c>
      <c r="V1123" s="12" t="s">
        <v>41</v>
      </c>
      <c r="W1123" s="12">
        <v>45000000</v>
      </c>
      <c r="X1123" s="12">
        <v>2005</v>
      </c>
      <c r="Y1123" s="12">
        <v>8000</v>
      </c>
      <c r="Z1123" s="12">
        <v>6.4</v>
      </c>
      <c r="AA1123" s="12">
        <v>2.35</v>
      </c>
      <c r="AB1123" s="12">
        <v>0</v>
      </c>
      <c r="AC1123" s="12"/>
      <c r="AD1123" s="12" t="str">
        <f>IFERROR(__xludf.DUMMYFUNCTION("""COMPUTED_VALUE"""),"Isabella Rossellini")</f>
        <v>Isabella Rossellini</v>
      </c>
      <c r="AE1123" s="12"/>
    </row>
    <row r="1124" customHeight="1" spans="1:31">
      <c r="A1124" s="11" t="s">
        <v>30</v>
      </c>
      <c r="B1124" s="11" t="s">
        <v>2483</v>
      </c>
      <c r="C1124" s="11">
        <v>432</v>
      </c>
      <c r="D1124" s="11">
        <v>95</v>
      </c>
      <c r="E1124" s="11">
        <v>38</v>
      </c>
      <c r="F1124" s="11">
        <v>20</v>
      </c>
      <c r="G1124" s="11">
        <v>409</v>
      </c>
      <c r="H1124" s="11">
        <v>13401683</v>
      </c>
      <c r="I1124" s="11" t="s">
        <v>648</v>
      </c>
      <c r="J1124" s="11" t="s">
        <v>2484</v>
      </c>
      <c r="K1124" s="11" t="s">
        <v>2485</v>
      </c>
      <c r="L1124" s="11" t="s">
        <v>2486</v>
      </c>
      <c r="M1124" s="11" t="s">
        <v>2487</v>
      </c>
      <c r="N1124" s="11">
        <v>203461</v>
      </c>
      <c r="O1124" s="11">
        <v>578</v>
      </c>
      <c r="P1124" s="11">
        <v>0</v>
      </c>
      <c r="Q1124" s="11" t="s">
        <v>2488</v>
      </c>
      <c r="R1124" s="14" t="s">
        <v>2489</v>
      </c>
      <c r="S1124" s="11">
        <v>588</v>
      </c>
      <c r="T1124" s="11" t="s">
        <v>39</v>
      </c>
      <c r="U1124" s="11" t="s">
        <v>58</v>
      </c>
      <c r="V1124" s="11" t="s">
        <v>586</v>
      </c>
      <c r="W1124" s="11">
        <v>35000000</v>
      </c>
      <c r="X1124" s="11">
        <v>2012</v>
      </c>
      <c r="Y1124" s="11">
        <v>107</v>
      </c>
      <c r="Z1124" s="11">
        <v>7.1</v>
      </c>
      <c r="AA1124" s="11">
        <v>2.35</v>
      </c>
      <c r="AB1124" s="11">
        <v>46000</v>
      </c>
      <c r="AC1124" s="11"/>
      <c r="AD1124" s="11" t="str">
        <f>IFERROR(__xludf.DUMMYFUNCTION("""COMPUTED_VALUE"""),"Dean Jones")</f>
        <v>Dean Jones</v>
      </c>
      <c r="AE1124" s="11"/>
    </row>
    <row r="1125" customHeight="1" spans="1:31">
      <c r="A1125" s="12" t="s">
        <v>30</v>
      </c>
      <c r="B1125" s="12" t="s">
        <v>5931</v>
      </c>
      <c r="C1125" s="12">
        <v>60</v>
      </c>
      <c r="D1125" s="12">
        <v>100</v>
      </c>
      <c r="E1125" s="12">
        <v>23</v>
      </c>
      <c r="F1125" s="12">
        <v>579</v>
      </c>
      <c r="G1125" s="12">
        <v>1000</v>
      </c>
      <c r="H1125" s="12">
        <v>17300889</v>
      </c>
      <c r="I1125" s="12" t="s">
        <v>2407</v>
      </c>
      <c r="J1125" s="12" t="s">
        <v>589</v>
      </c>
      <c r="K1125" s="12" t="s">
        <v>4206</v>
      </c>
      <c r="L1125" s="12" t="s">
        <v>5932</v>
      </c>
      <c r="M1125" s="12" t="s">
        <v>5933</v>
      </c>
      <c r="N1125" s="12">
        <v>27648</v>
      </c>
      <c r="O1125" s="12">
        <v>3855</v>
      </c>
      <c r="P1125" s="12">
        <v>0</v>
      </c>
      <c r="Q1125" s="12" t="s">
        <v>5934</v>
      </c>
      <c r="R1125" s="15" t="s">
        <v>5935</v>
      </c>
      <c r="S1125" s="12">
        <v>148</v>
      </c>
      <c r="T1125" s="12" t="s">
        <v>39</v>
      </c>
      <c r="U1125" s="12" t="s">
        <v>371</v>
      </c>
      <c r="V1125" s="12" t="s">
        <v>96</v>
      </c>
      <c r="W1125" s="12">
        <v>45000000</v>
      </c>
      <c r="X1125" s="12">
        <v>1996</v>
      </c>
      <c r="Y1125" s="12">
        <v>642</v>
      </c>
      <c r="Z1125" s="12">
        <v>4.9</v>
      </c>
      <c r="AA1125" s="12">
        <v>2.35</v>
      </c>
      <c r="AB1125" s="12">
        <v>0</v>
      </c>
      <c r="AC1125" s="12"/>
      <c r="AD1125" s="12" t="str">
        <f>IFERROR(__xludf.DUMMYFUNCTION("""COMPUTED_VALUE"""),"Si Won Choi")</f>
        <v>Si Won Choi</v>
      </c>
      <c r="AE1125" s="12"/>
    </row>
    <row r="1126" customHeight="1" spans="1:31">
      <c r="A1126" s="11" t="s">
        <v>30</v>
      </c>
      <c r="B1126" s="11" t="s">
        <v>5936</v>
      </c>
      <c r="C1126" s="11">
        <v>85</v>
      </c>
      <c r="D1126" s="11">
        <v>220</v>
      </c>
      <c r="E1126" s="11">
        <v>0</v>
      </c>
      <c r="F1126" s="11">
        <v>820</v>
      </c>
      <c r="G1126" s="11">
        <v>13000</v>
      </c>
      <c r="H1126" s="11">
        <v>15527125</v>
      </c>
      <c r="I1126" s="11" t="s">
        <v>4043</v>
      </c>
      <c r="J1126" s="11" t="s">
        <v>1158</v>
      </c>
      <c r="K1126" s="11" t="s">
        <v>5937</v>
      </c>
      <c r="L1126" s="11" t="s">
        <v>1046</v>
      </c>
      <c r="M1126" s="11" t="s">
        <v>5938</v>
      </c>
      <c r="N1126" s="11">
        <v>11388</v>
      </c>
      <c r="O1126" s="11">
        <v>15006</v>
      </c>
      <c r="P1126" s="11">
        <v>2</v>
      </c>
      <c r="Q1126" s="11" t="s">
        <v>5939</v>
      </c>
      <c r="R1126" s="14" t="s">
        <v>5940</v>
      </c>
      <c r="S1126" s="11">
        <v>183</v>
      </c>
      <c r="T1126" s="11" t="s">
        <v>39</v>
      </c>
      <c r="U1126" s="11" t="s">
        <v>40</v>
      </c>
      <c r="V1126" s="11" t="s">
        <v>41</v>
      </c>
      <c r="W1126" s="11">
        <v>57000000</v>
      </c>
      <c r="X1126" s="11">
        <v>2000</v>
      </c>
      <c r="Y1126" s="11">
        <v>861</v>
      </c>
      <c r="Z1126" s="11">
        <v>5.8</v>
      </c>
      <c r="AA1126" s="11">
        <v>2.35</v>
      </c>
      <c r="AB1126" s="11">
        <v>652</v>
      </c>
      <c r="AC1126" s="11"/>
      <c r="AD1126" s="11" t="str">
        <f>IFERROR(__xludf.DUMMYFUNCTION("""COMPUTED_VALUE"""),"Peng Lin")</f>
        <v>Peng Lin</v>
      </c>
      <c r="AE1126" s="11"/>
    </row>
    <row r="1127" customHeight="1" spans="1:31">
      <c r="A1127" s="12" t="s">
        <v>748</v>
      </c>
      <c r="B1127" s="12" t="s">
        <v>761</v>
      </c>
      <c r="C1127" s="12">
        <v>83</v>
      </c>
      <c r="D1127" s="12">
        <v>212</v>
      </c>
      <c r="E1127" s="12">
        <v>0</v>
      </c>
      <c r="F1127" s="12">
        <v>805</v>
      </c>
      <c r="G1127" s="12">
        <v>12000</v>
      </c>
      <c r="H1127" s="12">
        <v>13560960</v>
      </c>
      <c r="I1127" s="12" t="s">
        <v>5941</v>
      </c>
      <c r="J1127" s="12" t="s">
        <v>763</v>
      </c>
      <c r="K1127" s="12" t="s">
        <v>2398</v>
      </c>
      <c r="L1127" s="12" t="s">
        <v>2319</v>
      </c>
      <c r="M1127" s="12" t="s">
        <v>5942</v>
      </c>
      <c r="N1127" s="12">
        <v>23996</v>
      </c>
      <c r="O1127" s="12">
        <v>21130</v>
      </c>
      <c r="P1127" s="12">
        <v>0</v>
      </c>
      <c r="Q1127" s="12" t="s">
        <v>5943</v>
      </c>
      <c r="R1127" s="15" t="s">
        <v>5944</v>
      </c>
      <c r="S1127" s="12">
        <v>161</v>
      </c>
      <c r="T1127" s="12" t="s">
        <v>39</v>
      </c>
      <c r="U1127" s="12" t="s">
        <v>40</v>
      </c>
      <c r="V1127" s="12" t="s">
        <v>586</v>
      </c>
      <c r="W1127" s="12">
        <v>50000000</v>
      </c>
      <c r="X1127" s="12">
        <v>1995</v>
      </c>
      <c r="Y1127" s="12">
        <v>5000</v>
      </c>
      <c r="Z1127" s="12">
        <v>7.1</v>
      </c>
      <c r="AA1127" s="12">
        <v>2.35</v>
      </c>
      <c r="AB1127" s="12">
        <v>915</v>
      </c>
      <c r="AC1127" s="12"/>
      <c r="AD1127" s="12" t="str">
        <f>IFERROR(__xludf.DUMMYFUNCTION("""COMPUTED_VALUE"""),"Sung-jun Yoo")</f>
        <v>Sung-jun Yoo</v>
      </c>
      <c r="AE1127" s="12"/>
    </row>
    <row r="1128" customHeight="1" spans="1:31">
      <c r="A1128" s="11" t="s">
        <v>30</v>
      </c>
      <c r="B1128" s="11" t="s">
        <v>3818</v>
      </c>
      <c r="C1128" s="11">
        <v>343</v>
      </c>
      <c r="D1128" s="11">
        <v>128</v>
      </c>
      <c r="E1128" s="11">
        <v>2000</v>
      </c>
      <c r="F1128" s="11">
        <v>501</v>
      </c>
      <c r="G1128" s="11">
        <v>854</v>
      </c>
      <c r="H1128" s="11">
        <v>15523168</v>
      </c>
      <c r="I1128" s="11" t="s">
        <v>852</v>
      </c>
      <c r="J1128" s="11" t="s">
        <v>3503</v>
      </c>
      <c r="K1128" s="11" t="s">
        <v>2019</v>
      </c>
      <c r="L1128" s="11" t="s">
        <v>3965</v>
      </c>
      <c r="M1128" s="11" t="s">
        <v>5945</v>
      </c>
      <c r="N1128" s="11">
        <v>132423</v>
      </c>
      <c r="O1128" s="11">
        <v>2507</v>
      </c>
      <c r="P1128" s="11">
        <v>2</v>
      </c>
      <c r="Q1128" s="11" t="s">
        <v>5946</v>
      </c>
      <c r="R1128" s="14" t="s">
        <v>5947</v>
      </c>
      <c r="S1128" s="11">
        <v>349</v>
      </c>
      <c r="T1128" s="11" t="s">
        <v>39</v>
      </c>
      <c r="U1128" s="11" t="s">
        <v>1466</v>
      </c>
      <c r="V1128" s="11" t="s">
        <v>41</v>
      </c>
      <c r="W1128" s="11">
        <v>45000000</v>
      </c>
      <c r="X1128" s="11">
        <v>2010</v>
      </c>
      <c r="Y1128" s="11">
        <v>766</v>
      </c>
      <c r="Z1128" s="11">
        <v>7.2</v>
      </c>
      <c r="AA1128" s="11">
        <v>2.35</v>
      </c>
      <c r="AB1128" s="11">
        <v>15000</v>
      </c>
      <c r="AC1128" s="11"/>
      <c r="AD1128" s="11" t="str">
        <f>IFERROR(__xludf.DUMMYFUNCTION("""COMPUTED_VALUE"""),"Brittany Daniel")</f>
        <v>Brittany Daniel</v>
      </c>
      <c r="AE1128" s="11"/>
    </row>
    <row r="1129" customHeight="1" spans="1:31">
      <c r="A1129" s="12" t="s">
        <v>30</v>
      </c>
      <c r="B1129" s="12" t="s">
        <v>536</v>
      </c>
      <c r="C1129" s="12">
        <v>106</v>
      </c>
      <c r="D1129" s="12">
        <v>106</v>
      </c>
      <c r="E1129" s="12">
        <v>208</v>
      </c>
      <c r="F1129" s="12">
        <v>855</v>
      </c>
      <c r="G1129" s="12">
        <v>3000</v>
      </c>
      <c r="H1129" s="12">
        <v>11146409</v>
      </c>
      <c r="I1129" s="12" t="s">
        <v>3446</v>
      </c>
      <c r="J1129" s="12" t="s">
        <v>656</v>
      </c>
      <c r="K1129" s="12" t="s">
        <v>688</v>
      </c>
      <c r="L1129" s="12" t="s">
        <v>35</v>
      </c>
      <c r="M1129" s="12" t="s">
        <v>5948</v>
      </c>
      <c r="N1129" s="12">
        <v>26551</v>
      </c>
      <c r="O1129" s="12">
        <v>6558</v>
      </c>
      <c r="P1129" s="12">
        <v>0</v>
      </c>
      <c r="Q1129" s="12" t="s">
        <v>5949</v>
      </c>
      <c r="R1129" s="15" t="s">
        <v>5950</v>
      </c>
      <c r="S1129" s="12">
        <v>273</v>
      </c>
      <c r="T1129" s="12" t="s">
        <v>39</v>
      </c>
      <c r="U1129" s="12" t="s">
        <v>40</v>
      </c>
      <c r="V1129" s="12" t="s">
        <v>586</v>
      </c>
      <c r="W1129" s="12">
        <v>45000000</v>
      </c>
      <c r="X1129" s="12">
        <v>1998</v>
      </c>
      <c r="Y1129" s="12">
        <v>1000</v>
      </c>
      <c r="Z1129" s="12">
        <v>6</v>
      </c>
      <c r="AA1129" s="12">
        <v>2.35</v>
      </c>
      <c r="AB1129" s="12">
        <v>0</v>
      </c>
      <c r="AC1129" s="12"/>
      <c r="AD1129" s="12" t="str">
        <f>IFERROR(__xludf.DUMMYFUNCTION("""COMPUTED_VALUE"""),"John Witherspoon")</f>
        <v>John Witherspoon</v>
      </c>
      <c r="AE1129" s="12"/>
    </row>
    <row r="1130" customHeight="1" spans="1:31">
      <c r="A1130" s="11" t="s">
        <v>30</v>
      </c>
      <c r="B1130" s="11" t="s">
        <v>5077</v>
      </c>
      <c r="C1130" s="11">
        <v>158</v>
      </c>
      <c r="D1130" s="11">
        <v>160</v>
      </c>
      <c r="E1130" s="11">
        <v>0</v>
      </c>
      <c r="F1130" s="11">
        <v>826</v>
      </c>
      <c r="G1130" s="11">
        <v>23000</v>
      </c>
      <c r="H1130" s="11">
        <v>7916887</v>
      </c>
      <c r="I1130" s="11" t="s">
        <v>5951</v>
      </c>
      <c r="J1130" s="11" t="s">
        <v>63</v>
      </c>
      <c r="K1130" s="11" t="s">
        <v>5952</v>
      </c>
      <c r="L1130" s="11" t="s">
        <v>5953</v>
      </c>
      <c r="M1130" s="11" t="s">
        <v>5954</v>
      </c>
      <c r="N1130" s="11">
        <v>15697</v>
      </c>
      <c r="O1130" s="11">
        <v>26982</v>
      </c>
      <c r="P1130" s="11">
        <v>0</v>
      </c>
      <c r="Q1130" s="11" t="s">
        <v>5955</v>
      </c>
      <c r="R1130" s="14" t="s">
        <v>5956</v>
      </c>
      <c r="S1130" s="11">
        <v>182</v>
      </c>
      <c r="T1130" s="11" t="s">
        <v>39</v>
      </c>
      <c r="U1130" s="11" t="s">
        <v>40</v>
      </c>
      <c r="V1130" s="11" t="s">
        <v>586</v>
      </c>
      <c r="W1130" s="11">
        <v>45000000</v>
      </c>
      <c r="X1130" s="11">
        <v>2008</v>
      </c>
      <c r="Y1130" s="11">
        <v>1000</v>
      </c>
      <c r="Z1130" s="11">
        <v>6</v>
      </c>
      <c r="AA1130" s="11">
        <v>2.35</v>
      </c>
      <c r="AB1130" s="11">
        <v>0</v>
      </c>
      <c r="AC1130" s="11"/>
      <c r="AD1130" s="11" t="str">
        <f>IFERROR(__xludf.DUMMYFUNCTION("""COMPUTED_VALUE"""),"David Keith")</f>
        <v>David Keith</v>
      </c>
      <c r="AE1130" s="11"/>
    </row>
    <row r="1131" customHeight="1" spans="1:31">
      <c r="A1131" s="12" t="s">
        <v>30</v>
      </c>
      <c r="B1131" s="12" t="s">
        <v>1940</v>
      </c>
      <c r="C1131" s="12">
        <v>189</v>
      </c>
      <c r="D1131" s="12">
        <v>114</v>
      </c>
      <c r="E1131" s="12">
        <v>611</v>
      </c>
      <c r="F1131" s="12">
        <v>10</v>
      </c>
      <c r="G1131" s="12">
        <v>879</v>
      </c>
      <c r="H1131" s="12">
        <v>6565495</v>
      </c>
      <c r="I1131" s="12" t="s">
        <v>214</v>
      </c>
      <c r="J1131" s="12" t="s">
        <v>2413</v>
      </c>
      <c r="K1131" s="12" t="s">
        <v>5957</v>
      </c>
      <c r="L1131" s="12" t="s">
        <v>5958</v>
      </c>
      <c r="M1131" s="12" t="s">
        <v>5959</v>
      </c>
      <c r="N1131" s="12">
        <v>36455</v>
      </c>
      <c r="O1131" s="12">
        <v>949</v>
      </c>
      <c r="P1131" s="12">
        <v>2</v>
      </c>
      <c r="Q1131" s="12" t="s">
        <v>5960</v>
      </c>
      <c r="R1131" s="15" t="s">
        <v>5961</v>
      </c>
      <c r="S1131" s="12">
        <v>229</v>
      </c>
      <c r="T1131" s="12" t="s">
        <v>1947</v>
      </c>
      <c r="U1131" s="12" t="s">
        <v>893</v>
      </c>
      <c r="V1131" s="12" t="s">
        <v>586</v>
      </c>
      <c r="W1131" s="12">
        <v>45000000</v>
      </c>
      <c r="X1131" s="12">
        <v>2006</v>
      </c>
      <c r="Y1131" s="12">
        <v>52</v>
      </c>
      <c r="Z1131" s="12">
        <v>7</v>
      </c>
      <c r="AA1131" s="12">
        <v>2.35</v>
      </c>
      <c r="AB1131" s="12">
        <v>0</v>
      </c>
      <c r="AC1131" s="12"/>
      <c r="AD1131" s="12" t="str">
        <f>IFERROR(__xludf.DUMMYFUNCTION("""COMPUTED_VALUE"""),"Shawna Waldron")</f>
        <v>Shawna Waldron</v>
      </c>
      <c r="AE1131" s="12"/>
    </row>
    <row r="1132" customHeight="1" spans="1:31">
      <c r="A1132" s="11" t="s">
        <v>30</v>
      </c>
      <c r="B1132" s="11" t="s">
        <v>5962</v>
      </c>
      <c r="C1132" s="11">
        <v>125</v>
      </c>
      <c r="D1132" s="11">
        <v>99</v>
      </c>
      <c r="E1132" s="11">
        <v>15</v>
      </c>
      <c r="F1132" s="11">
        <v>61</v>
      </c>
      <c r="G1132" s="11">
        <v>12000</v>
      </c>
      <c r="H1132" s="11">
        <v>15279680</v>
      </c>
      <c r="I1132" s="11" t="s">
        <v>334</v>
      </c>
      <c r="J1132" s="11" t="s">
        <v>705</v>
      </c>
      <c r="K1132" s="11" t="s">
        <v>5963</v>
      </c>
      <c r="L1132" s="11" t="s">
        <v>5964</v>
      </c>
      <c r="M1132" s="11" t="s">
        <v>5965</v>
      </c>
      <c r="N1132" s="11">
        <v>48245</v>
      </c>
      <c r="O1132" s="11">
        <v>12166</v>
      </c>
      <c r="P1132" s="11">
        <v>1</v>
      </c>
      <c r="Q1132" s="11" t="s">
        <v>5966</v>
      </c>
      <c r="R1132" s="14" t="s">
        <v>5967</v>
      </c>
      <c r="S1132" s="11">
        <v>154</v>
      </c>
      <c r="T1132" s="11" t="s">
        <v>39</v>
      </c>
      <c r="U1132" s="11" t="s">
        <v>40</v>
      </c>
      <c r="V1132" s="11" t="s">
        <v>586</v>
      </c>
      <c r="W1132" s="11">
        <v>40000000</v>
      </c>
      <c r="X1132" s="11">
        <v>2008</v>
      </c>
      <c r="Y1132" s="11">
        <v>68</v>
      </c>
      <c r="Z1132" s="11">
        <v>5.4</v>
      </c>
      <c r="AA1132" s="11">
        <v>1.85</v>
      </c>
      <c r="AB1132" s="11">
        <v>0</v>
      </c>
      <c r="AC1132" s="11"/>
      <c r="AD1132" s="11" t="str">
        <f>IFERROR(__xludf.DUMMYFUNCTION("""COMPUTED_VALUE"""),"Romany Malco")</f>
        <v>Romany Malco</v>
      </c>
      <c r="AE1132" s="11"/>
    </row>
    <row r="1133" customHeight="1" spans="1:31">
      <c r="A1133" s="12" t="s">
        <v>30</v>
      </c>
      <c r="B1133" s="12" t="s">
        <v>164</v>
      </c>
      <c r="C1133" s="12">
        <v>87</v>
      </c>
      <c r="D1133" s="12">
        <v>74</v>
      </c>
      <c r="E1133" s="12">
        <v>188</v>
      </c>
      <c r="F1133" s="12">
        <v>865</v>
      </c>
      <c r="G1133" s="12">
        <v>11000</v>
      </c>
      <c r="H1133" s="12">
        <v>7262288</v>
      </c>
      <c r="I1133" s="12" t="s">
        <v>5968</v>
      </c>
      <c r="J1133" s="12" t="s">
        <v>1950</v>
      </c>
      <c r="K1133" s="12" t="s">
        <v>794</v>
      </c>
      <c r="L1133" s="12" t="s">
        <v>5969</v>
      </c>
      <c r="M1133" s="12" t="s">
        <v>5970</v>
      </c>
      <c r="N1133" s="12">
        <v>17307</v>
      </c>
      <c r="O1133" s="12">
        <v>13917</v>
      </c>
      <c r="P1133" s="12">
        <v>2</v>
      </c>
      <c r="Q1133" s="12" t="s">
        <v>5971</v>
      </c>
      <c r="R1133" s="15" t="s">
        <v>5972</v>
      </c>
      <c r="S1133" s="12">
        <v>186</v>
      </c>
      <c r="T1133" s="12" t="s">
        <v>39</v>
      </c>
      <c r="U1133" s="12" t="s">
        <v>40</v>
      </c>
      <c r="V1133" s="12" t="s">
        <v>41</v>
      </c>
      <c r="W1133" s="12">
        <v>40000000</v>
      </c>
      <c r="X1133" s="12">
        <v>2002</v>
      </c>
      <c r="Y1133" s="12">
        <v>1000</v>
      </c>
      <c r="Z1133" s="12">
        <v>6.5</v>
      </c>
      <c r="AA1133" s="12">
        <v>1.85</v>
      </c>
      <c r="AB1133" s="12">
        <v>892</v>
      </c>
      <c r="AC1133" s="12"/>
      <c r="AD1133" s="12" t="str">
        <f>IFERROR(__xludf.DUMMYFUNCTION("""COMPUTED_VALUE"""),"Ice-T")</f>
        <v>Ice-T</v>
      </c>
      <c r="AE1133" s="12"/>
    </row>
    <row r="1134" customHeight="1" spans="1:31">
      <c r="A1134" s="11" t="s">
        <v>30</v>
      </c>
      <c r="B1134" s="11" t="s">
        <v>372</v>
      </c>
      <c r="C1134" s="11">
        <v>115</v>
      </c>
      <c r="D1134" s="11">
        <v>139</v>
      </c>
      <c r="E1134" s="11">
        <v>179</v>
      </c>
      <c r="F1134" s="11">
        <v>50</v>
      </c>
      <c r="G1134" s="11">
        <v>267</v>
      </c>
      <c r="H1134" s="11">
        <v>4584886</v>
      </c>
      <c r="I1134" s="11" t="s">
        <v>214</v>
      </c>
      <c r="J1134" s="11" t="s">
        <v>5973</v>
      </c>
      <c r="K1134" s="11" t="s">
        <v>5974</v>
      </c>
      <c r="L1134" s="11" t="s">
        <v>5975</v>
      </c>
      <c r="M1134" s="11" t="s">
        <v>5976</v>
      </c>
      <c r="N1134" s="11">
        <v>19114</v>
      </c>
      <c r="O1134" s="11">
        <v>538</v>
      </c>
      <c r="P1134" s="11">
        <v>0</v>
      </c>
      <c r="Q1134" s="11" t="s">
        <v>5977</v>
      </c>
      <c r="R1134" s="14" t="s">
        <v>5978</v>
      </c>
      <c r="S1134" s="11">
        <v>115</v>
      </c>
      <c r="T1134" s="11" t="s">
        <v>39</v>
      </c>
      <c r="U1134" s="11" t="s">
        <v>40</v>
      </c>
      <c r="V1134" s="11" t="s">
        <v>586</v>
      </c>
      <c r="W1134" s="11">
        <v>45000000</v>
      </c>
      <c r="X1134" s="11">
        <v>2007</v>
      </c>
      <c r="Y1134" s="11">
        <v>202</v>
      </c>
      <c r="Z1134" s="11">
        <v>6.4</v>
      </c>
      <c r="AA1134" s="11">
        <v>2.35</v>
      </c>
      <c r="AB1134" s="11">
        <v>0</v>
      </c>
      <c r="AC1134" s="11"/>
      <c r="AD1134" s="11" t="str">
        <f>IFERROR(__xludf.DUMMYFUNCTION("""COMPUTED_VALUE"""),"Craig Stark")</f>
        <v>Craig Stark</v>
      </c>
      <c r="AE1134" s="11"/>
    </row>
    <row r="1135" customHeight="1" spans="1:31">
      <c r="A1135" s="12" t="s">
        <v>30</v>
      </c>
      <c r="B1135" s="16"/>
      <c r="C1135" s="12">
        <v>23</v>
      </c>
      <c r="D1135" s="12">
        <v>52</v>
      </c>
      <c r="E1135" s="16"/>
      <c r="F1135" s="12">
        <v>114</v>
      </c>
      <c r="G1135" s="12">
        <v>164</v>
      </c>
      <c r="H1135" s="16"/>
      <c r="I1135" s="12" t="s">
        <v>5979</v>
      </c>
      <c r="J1135" s="12" t="s">
        <v>5980</v>
      </c>
      <c r="K1135" s="12" t="s">
        <v>5981</v>
      </c>
      <c r="L1135" s="12" t="s">
        <v>5982</v>
      </c>
      <c r="M1135" s="12" t="s">
        <v>5983</v>
      </c>
      <c r="N1135" s="12">
        <v>15762</v>
      </c>
      <c r="O1135" s="12">
        <v>654</v>
      </c>
      <c r="P1135" s="12">
        <v>9</v>
      </c>
      <c r="Q1135" s="12" t="s">
        <v>5984</v>
      </c>
      <c r="R1135" s="15" t="s">
        <v>5985</v>
      </c>
      <c r="S1135" s="12">
        <v>47</v>
      </c>
      <c r="T1135" s="12" t="s">
        <v>1465</v>
      </c>
      <c r="U1135" s="12" t="s">
        <v>1466</v>
      </c>
      <c r="V1135" s="12" t="s">
        <v>2636</v>
      </c>
      <c r="W1135" s="16"/>
      <c r="X1135" s="16"/>
      <c r="Y1135" s="12">
        <v>116</v>
      </c>
      <c r="Z1135" s="12">
        <v>8.3</v>
      </c>
      <c r="AA1135" s="12">
        <v>16</v>
      </c>
      <c r="AB1135" s="12">
        <v>17000</v>
      </c>
      <c r="AC1135" s="12"/>
      <c r="AD1135" s="12" t="str">
        <f>IFERROR(__xludf.DUMMYFUNCTION("""COMPUTED_VALUE"""),"Elizabeth Perkins")</f>
        <v>Elizabeth Perkins</v>
      </c>
      <c r="AE1135" s="12"/>
    </row>
    <row r="1136" customHeight="1" spans="1:31">
      <c r="A1136" s="11" t="s">
        <v>30</v>
      </c>
      <c r="B1136" s="11" t="s">
        <v>5986</v>
      </c>
      <c r="C1136" s="11">
        <v>24</v>
      </c>
      <c r="D1136" s="11">
        <v>103</v>
      </c>
      <c r="E1136" s="11">
        <v>170</v>
      </c>
      <c r="F1136" s="11">
        <v>269</v>
      </c>
      <c r="G1136" s="11">
        <v>849</v>
      </c>
      <c r="H1136" s="11">
        <v>2154540</v>
      </c>
      <c r="I1136" s="11" t="s">
        <v>60</v>
      </c>
      <c r="J1136" s="11" t="s">
        <v>5987</v>
      </c>
      <c r="K1136" s="11" t="s">
        <v>1925</v>
      </c>
      <c r="L1136" s="11" t="s">
        <v>2719</v>
      </c>
      <c r="M1136" s="11" t="s">
        <v>5988</v>
      </c>
      <c r="N1136" s="11">
        <v>3803</v>
      </c>
      <c r="O1136" s="11">
        <v>2457</v>
      </c>
      <c r="P1136" s="11">
        <v>2</v>
      </c>
      <c r="Q1136" s="11" t="s">
        <v>5989</v>
      </c>
      <c r="R1136" s="14" t="s">
        <v>5990</v>
      </c>
      <c r="S1136" s="11">
        <v>41</v>
      </c>
      <c r="T1136" s="11" t="s">
        <v>39</v>
      </c>
      <c r="U1136" s="11" t="s">
        <v>40</v>
      </c>
      <c r="V1136" s="11" t="s">
        <v>586</v>
      </c>
      <c r="W1136" s="11">
        <v>45000000</v>
      </c>
      <c r="X1136" s="11">
        <v>1997</v>
      </c>
      <c r="Y1136" s="11">
        <v>623</v>
      </c>
      <c r="Z1136" s="11">
        <v>4.9</v>
      </c>
      <c r="AA1136" s="11">
        <v>2.35</v>
      </c>
      <c r="AB1136" s="11">
        <v>68</v>
      </c>
      <c r="AC1136" s="11"/>
      <c r="AD1136" s="11" t="str">
        <f>IFERROR(__xludf.DUMMYFUNCTION("""COMPUTED_VALUE"""),"Chelsea Handler")</f>
        <v>Chelsea Handler</v>
      </c>
      <c r="AE1136" s="11"/>
    </row>
    <row r="1137" customHeight="1" spans="1:31">
      <c r="A1137" s="12" t="s">
        <v>30</v>
      </c>
      <c r="B1137" s="12" t="s">
        <v>5991</v>
      </c>
      <c r="C1137" s="12">
        <v>152</v>
      </c>
      <c r="D1137" s="12">
        <v>101</v>
      </c>
      <c r="E1137" s="12">
        <v>32</v>
      </c>
      <c r="F1137" s="12">
        <v>104</v>
      </c>
      <c r="G1137" s="12">
        <v>219</v>
      </c>
      <c r="H1137" s="12">
        <v>8129455</v>
      </c>
      <c r="I1137" s="12" t="s">
        <v>1375</v>
      </c>
      <c r="J1137" s="12" t="s">
        <v>5992</v>
      </c>
      <c r="K1137" s="12" t="s">
        <v>5993</v>
      </c>
      <c r="L1137" s="12" t="s">
        <v>5994</v>
      </c>
      <c r="M1137" s="12" t="s">
        <v>5995</v>
      </c>
      <c r="N1137" s="12">
        <v>89568</v>
      </c>
      <c r="O1137" s="12">
        <v>661</v>
      </c>
      <c r="P1137" s="12">
        <v>1</v>
      </c>
      <c r="Q1137" s="12" t="s">
        <v>5996</v>
      </c>
      <c r="R1137" s="15" t="s">
        <v>5997</v>
      </c>
      <c r="S1137" s="12">
        <v>142</v>
      </c>
      <c r="T1137" s="12" t="s">
        <v>39</v>
      </c>
      <c r="U1137" s="12" t="s">
        <v>40</v>
      </c>
      <c r="V1137" s="12" t="s">
        <v>96</v>
      </c>
      <c r="W1137" s="12">
        <v>45000000</v>
      </c>
      <c r="X1137" s="12">
        <v>2011</v>
      </c>
      <c r="Y1137" s="12">
        <v>141</v>
      </c>
      <c r="Z1137" s="12">
        <v>6.3</v>
      </c>
      <c r="AA1137" s="12">
        <v>2.35</v>
      </c>
      <c r="AB1137" s="12">
        <v>17000</v>
      </c>
      <c r="AC1137" s="12"/>
      <c r="AD1137" s="12" t="str">
        <f>IFERROR(__xludf.DUMMYFUNCTION("""COMPUTED_VALUE"""),"Vincent Regan")</f>
        <v>Vincent Regan</v>
      </c>
      <c r="AE1137" s="12"/>
    </row>
    <row r="1138" customHeight="1" spans="1:31">
      <c r="A1138" s="11" t="s">
        <v>30</v>
      </c>
      <c r="B1138" s="11" t="s">
        <v>5998</v>
      </c>
      <c r="C1138" s="11">
        <v>12</v>
      </c>
      <c r="D1138" s="11">
        <v>91</v>
      </c>
      <c r="E1138" s="11">
        <v>11</v>
      </c>
      <c r="F1138" s="11">
        <v>500</v>
      </c>
      <c r="G1138" s="11">
        <v>719</v>
      </c>
      <c r="H1138" s="13"/>
      <c r="I1138" s="11" t="s">
        <v>5999</v>
      </c>
      <c r="J1138" s="11" t="s">
        <v>3024</v>
      </c>
      <c r="K1138" s="11" t="s">
        <v>2470</v>
      </c>
      <c r="L1138" s="11" t="s">
        <v>2132</v>
      </c>
      <c r="M1138" s="11" t="s">
        <v>6000</v>
      </c>
      <c r="N1138" s="11">
        <v>4377</v>
      </c>
      <c r="O1138" s="11">
        <v>3090</v>
      </c>
      <c r="P1138" s="11">
        <v>0</v>
      </c>
      <c r="Q1138" s="11" t="s">
        <v>6001</v>
      </c>
      <c r="R1138" s="14" t="s">
        <v>6002</v>
      </c>
      <c r="S1138" s="11">
        <v>66</v>
      </c>
      <c r="T1138" s="11" t="s">
        <v>39</v>
      </c>
      <c r="U1138" s="11" t="s">
        <v>40</v>
      </c>
      <c r="V1138" s="11" t="s">
        <v>96</v>
      </c>
      <c r="W1138" s="11">
        <v>65000000</v>
      </c>
      <c r="X1138" s="11">
        <v>2012</v>
      </c>
      <c r="Y1138" s="11">
        <v>611</v>
      </c>
      <c r="Z1138" s="11">
        <v>1.7</v>
      </c>
      <c r="AA1138" s="13"/>
      <c r="AB1138" s="11">
        <v>0</v>
      </c>
      <c r="AC1138" s="11"/>
      <c r="AD1138" s="11" t="str">
        <f>IFERROR(__xludf.DUMMYFUNCTION("""COMPUTED_VALUE"""),"Eric Dane")</f>
        <v>Eric Dane</v>
      </c>
      <c r="AE1138" s="11"/>
    </row>
    <row r="1139" customHeight="1" spans="1:31">
      <c r="A1139" s="12" t="s">
        <v>30</v>
      </c>
      <c r="B1139" s="12" t="s">
        <v>6003</v>
      </c>
      <c r="C1139" s="12">
        <v>656</v>
      </c>
      <c r="D1139" s="12">
        <v>130</v>
      </c>
      <c r="E1139" s="12">
        <v>0</v>
      </c>
      <c r="F1139" s="12">
        <v>650</v>
      </c>
      <c r="G1139" s="12">
        <v>1000</v>
      </c>
      <c r="H1139" s="12">
        <v>136019448</v>
      </c>
      <c r="I1139" s="12" t="s">
        <v>6004</v>
      </c>
      <c r="J1139" s="12" t="s">
        <v>6005</v>
      </c>
      <c r="K1139" s="12" t="s">
        <v>5130</v>
      </c>
      <c r="L1139" s="12" t="s">
        <v>4183</v>
      </c>
      <c r="M1139" s="12" t="s">
        <v>6006</v>
      </c>
      <c r="N1139" s="12">
        <v>452465</v>
      </c>
      <c r="O1139" s="12">
        <v>3133</v>
      </c>
      <c r="P1139" s="12">
        <v>1</v>
      </c>
      <c r="Q1139" s="12" t="s">
        <v>6007</v>
      </c>
      <c r="R1139" s="15" t="s">
        <v>6008</v>
      </c>
      <c r="S1139" s="12">
        <v>695</v>
      </c>
      <c r="T1139" s="12" t="s">
        <v>39</v>
      </c>
      <c r="U1139" s="12" t="s">
        <v>40</v>
      </c>
      <c r="V1139" s="12" t="s">
        <v>586</v>
      </c>
      <c r="W1139" s="12">
        <v>44500000</v>
      </c>
      <c r="X1139" s="12">
        <v>2012</v>
      </c>
      <c r="Y1139" s="12">
        <v>660</v>
      </c>
      <c r="Z1139" s="12">
        <v>7.7</v>
      </c>
      <c r="AA1139" s="12">
        <v>2.35</v>
      </c>
      <c r="AB1139" s="12">
        <v>89000</v>
      </c>
      <c r="AC1139" s="12"/>
      <c r="AD1139" s="12" t="str">
        <f>IFERROR(__xludf.DUMMYFUNCTION("""COMPUTED_VALUE"""),"Kathleen Turner")</f>
        <v>Kathleen Turner</v>
      </c>
      <c r="AE1139" s="12"/>
    </row>
    <row r="1140" customHeight="1" spans="1:31">
      <c r="A1140" s="11" t="s">
        <v>30</v>
      </c>
      <c r="B1140" s="11" t="s">
        <v>2434</v>
      </c>
      <c r="C1140" s="11">
        <v>119</v>
      </c>
      <c r="D1140" s="11">
        <v>130</v>
      </c>
      <c r="E1140" s="11">
        <v>99</v>
      </c>
      <c r="F1140" s="11">
        <v>812</v>
      </c>
      <c r="G1140" s="11">
        <v>11000</v>
      </c>
      <c r="H1140" s="11">
        <v>183875760</v>
      </c>
      <c r="I1140" s="11" t="s">
        <v>6009</v>
      </c>
      <c r="J1140" s="11" t="s">
        <v>391</v>
      </c>
      <c r="K1140" s="11" t="s">
        <v>6010</v>
      </c>
      <c r="L1140" s="11" t="s">
        <v>635</v>
      </c>
      <c r="M1140" s="11" t="s">
        <v>6011</v>
      </c>
      <c r="N1140" s="11">
        <v>213668</v>
      </c>
      <c r="O1140" s="11">
        <v>13357</v>
      </c>
      <c r="P1140" s="11">
        <v>1</v>
      </c>
      <c r="Q1140" s="11" t="s">
        <v>6012</v>
      </c>
      <c r="R1140" s="14" t="s">
        <v>6013</v>
      </c>
      <c r="S1140" s="11">
        <v>270</v>
      </c>
      <c r="T1140" s="11" t="s">
        <v>39</v>
      </c>
      <c r="U1140" s="11" t="s">
        <v>40</v>
      </c>
      <c r="V1140" s="11" t="s">
        <v>41</v>
      </c>
      <c r="W1140" s="11">
        <v>44000000</v>
      </c>
      <c r="X1140" s="11">
        <v>1993</v>
      </c>
      <c r="Y1140" s="11">
        <v>1000</v>
      </c>
      <c r="Z1140" s="11">
        <v>7.8</v>
      </c>
      <c r="AA1140" s="11">
        <v>1.85</v>
      </c>
      <c r="AB1140" s="11">
        <v>0</v>
      </c>
      <c r="AC1140" s="11"/>
      <c r="AD1140" s="11" t="str">
        <f>IFERROR(__xludf.DUMMYFUNCTION("""COMPUTED_VALUE"""),"Haley Bennett")</f>
        <v>Haley Bennett</v>
      </c>
      <c r="AE1140" s="11"/>
    </row>
    <row r="1141" customHeight="1" spans="1:31">
      <c r="A1141" s="12" t="s">
        <v>30</v>
      </c>
      <c r="B1141" s="12" t="s">
        <v>3137</v>
      </c>
      <c r="C1141" s="12">
        <v>161</v>
      </c>
      <c r="D1141" s="12">
        <v>110</v>
      </c>
      <c r="E1141" s="12">
        <v>72</v>
      </c>
      <c r="F1141" s="12">
        <v>789</v>
      </c>
      <c r="G1141" s="12">
        <v>18000</v>
      </c>
      <c r="H1141" s="12">
        <v>67061228</v>
      </c>
      <c r="I1141" s="12" t="s">
        <v>1423</v>
      </c>
      <c r="J1141" s="12" t="s">
        <v>641</v>
      </c>
      <c r="K1141" s="12" t="s">
        <v>2730</v>
      </c>
      <c r="L1141" s="12" t="s">
        <v>4156</v>
      </c>
      <c r="M1141" s="12" t="s">
        <v>6014</v>
      </c>
      <c r="N1141" s="12">
        <v>96565</v>
      </c>
      <c r="O1141" s="12">
        <v>21554</v>
      </c>
      <c r="P1141" s="12">
        <v>1</v>
      </c>
      <c r="Q1141" s="12" t="s">
        <v>6015</v>
      </c>
      <c r="R1141" s="15" t="s">
        <v>6016</v>
      </c>
      <c r="S1141" s="12">
        <v>135</v>
      </c>
      <c r="T1141" s="12" t="s">
        <v>39</v>
      </c>
      <c r="U1141" s="12" t="s">
        <v>40</v>
      </c>
      <c r="V1141" s="12" t="s">
        <v>41</v>
      </c>
      <c r="W1141" s="12">
        <v>40000000</v>
      </c>
      <c r="X1141" s="12">
        <v>2010</v>
      </c>
      <c r="Y1141" s="12">
        <v>1000</v>
      </c>
      <c r="Z1141" s="12">
        <v>5.5</v>
      </c>
      <c r="AA1141" s="12">
        <v>2.35</v>
      </c>
      <c r="AB1141" s="12">
        <v>0</v>
      </c>
      <c r="AC1141" s="12"/>
      <c r="AD1141" s="12" t="str">
        <f>IFERROR(__xludf.DUMMYFUNCTION("""COMPUTED_VALUE"""),"Jill Hennessy")</f>
        <v>Jill Hennessy</v>
      </c>
      <c r="AE1141" s="12"/>
    </row>
    <row r="1142" customHeight="1" spans="1:31">
      <c r="A1142" s="11" t="s">
        <v>748</v>
      </c>
      <c r="B1142" s="11" t="s">
        <v>3123</v>
      </c>
      <c r="C1142" s="11">
        <v>73</v>
      </c>
      <c r="D1142" s="11">
        <v>147</v>
      </c>
      <c r="E1142" s="11">
        <v>272</v>
      </c>
      <c r="F1142" s="11">
        <v>893</v>
      </c>
      <c r="G1142" s="11">
        <v>22000</v>
      </c>
      <c r="H1142" s="11">
        <v>53300852</v>
      </c>
      <c r="I1142" s="11" t="s">
        <v>2126</v>
      </c>
      <c r="J1142" s="11" t="s">
        <v>1746</v>
      </c>
      <c r="K1142" s="11" t="s">
        <v>343</v>
      </c>
      <c r="L1142" s="11" t="s">
        <v>3491</v>
      </c>
      <c r="M1142" s="11" t="s">
        <v>6017</v>
      </c>
      <c r="N1142" s="11">
        <v>154487</v>
      </c>
      <c r="O1142" s="11">
        <v>37076</v>
      </c>
      <c r="P1142" s="11">
        <v>3</v>
      </c>
      <c r="Q1142" s="11" t="s">
        <v>6018</v>
      </c>
      <c r="R1142" s="14" t="s">
        <v>6019</v>
      </c>
      <c r="S1142" s="11">
        <v>259</v>
      </c>
      <c r="T1142" s="11" t="s">
        <v>39</v>
      </c>
      <c r="U1142" s="11" t="s">
        <v>40</v>
      </c>
      <c r="V1142" s="11" t="s">
        <v>586</v>
      </c>
      <c r="W1142" s="11">
        <v>44000000</v>
      </c>
      <c r="X1142" s="11">
        <v>1996</v>
      </c>
      <c r="Y1142" s="11">
        <v>11000</v>
      </c>
      <c r="Z1142" s="11">
        <v>7.5</v>
      </c>
      <c r="AA1142" s="11">
        <v>2.35</v>
      </c>
      <c r="AB1142" s="11">
        <v>0</v>
      </c>
      <c r="AC1142" s="11"/>
      <c r="AD1142" s="11" t="str">
        <f>IFERROR(__xludf.DUMMYFUNCTION("""COMPUTED_VALUE"""),"Tichina Arnold")</f>
        <v>Tichina Arnold</v>
      </c>
      <c r="AE1142" s="11"/>
    </row>
    <row r="1143" customHeight="1" spans="1:31">
      <c r="A1143" s="12" t="s">
        <v>30</v>
      </c>
      <c r="B1143" s="12" t="s">
        <v>5986</v>
      </c>
      <c r="C1143" s="12">
        <v>96</v>
      </c>
      <c r="D1143" s="12">
        <v>96</v>
      </c>
      <c r="E1143" s="12">
        <v>170</v>
      </c>
      <c r="F1143" s="12">
        <v>668</v>
      </c>
      <c r="G1143" s="12">
        <v>13000</v>
      </c>
      <c r="H1143" s="12">
        <v>150415432</v>
      </c>
      <c r="I1143" s="12" t="s">
        <v>4473</v>
      </c>
      <c r="J1143" s="12" t="s">
        <v>1785</v>
      </c>
      <c r="K1143" s="12" t="s">
        <v>6020</v>
      </c>
      <c r="L1143" s="12" t="s">
        <v>6021</v>
      </c>
      <c r="M1143" s="12" t="s">
        <v>6022</v>
      </c>
      <c r="N1143" s="12">
        <v>117606</v>
      </c>
      <c r="O1143" s="12">
        <v>15662</v>
      </c>
      <c r="P1143" s="12">
        <v>0</v>
      </c>
      <c r="Q1143" s="12" t="s">
        <v>6023</v>
      </c>
      <c r="R1143" s="15" t="s">
        <v>6024</v>
      </c>
      <c r="S1143" s="12">
        <v>217</v>
      </c>
      <c r="T1143" s="12" t="s">
        <v>39</v>
      </c>
      <c r="U1143" s="12" t="s">
        <v>40</v>
      </c>
      <c r="V1143" s="12" t="s">
        <v>586</v>
      </c>
      <c r="W1143" s="12">
        <v>44000000</v>
      </c>
      <c r="X1143" s="12">
        <v>1985</v>
      </c>
      <c r="Y1143" s="12">
        <v>738</v>
      </c>
      <c r="Z1143" s="12">
        <v>6.4</v>
      </c>
      <c r="AA1143" s="12">
        <v>2.35</v>
      </c>
      <c r="AB1143" s="12">
        <v>0</v>
      </c>
      <c r="AC1143" s="12"/>
      <c r="AD1143" s="12" t="str">
        <f>IFERROR(__xludf.DUMMYFUNCTION("""COMPUTED_VALUE"""),"Drew Sidora")</f>
        <v>Drew Sidora</v>
      </c>
      <c r="AE1143" s="12"/>
    </row>
    <row r="1144" customHeight="1" spans="1:31">
      <c r="A1144" s="11" t="s">
        <v>30</v>
      </c>
      <c r="B1144" s="11" t="s">
        <v>6025</v>
      </c>
      <c r="C1144" s="11">
        <v>28</v>
      </c>
      <c r="D1144" s="11">
        <v>118</v>
      </c>
      <c r="E1144" s="11">
        <v>13</v>
      </c>
      <c r="F1144" s="11">
        <v>643</v>
      </c>
      <c r="G1144" s="11">
        <v>23000</v>
      </c>
      <c r="H1144" s="11">
        <v>44834712</v>
      </c>
      <c r="I1144" s="11" t="s">
        <v>4075</v>
      </c>
      <c r="J1144" s="11" t="s">
        <v>63</v>
      </c>
      <c r="K1144" s="11" t="s">
        <v>1376</v>
      </c>
      <c r="L1144" s="11" t="s">
        <v>2262</v>
      </c>
      <c r="M1144" s="11" t="s">
        <v>6026</v>
      </c>
      <c r="N1144" s="11">
        <v>13995</v>
      </c>
      <c r="O1144" s="11">
        <v>26907</v>
      </c>
      <c r="P1144" s="11">
        <v>1</v>
      </c>
      <c r="Q1144" s="11" t="s">
        <v>6027</v>
      </c>
      <c r="R1144" s="14" t="s">
        <v>6028</v>
      </c>
      <c r="S1144" s="11">
        <v>62</v>
      </c>
      <c r="T1144" s="11" t="s">
        <v>39</v>
      </c>
      <c r="U1144" s="11" t="s">
        <v>40</v>
      </c>
      <c r="V1144" s="11" t="s">
        <v>586</v>
      </c>
      <c r="W1144" s="11">
        <v>44000000</v>
      </c>
      <c r="X1144" s="11">
        <v>1996</v>
      </c>
      <c r="Y1144" s="11">
        <v>2000</v>
      </c>
      <c r="Z1144" s="11">
        <v>5.6</v>
      </c>
      <c r="AA1144" s="11">
        <v>2.35</v>
      </c>
      <c r="AB1144" s="11">
        <v>353</v>
      </c>
      <c r="AC1144" s="11"/>
      <c r="AD1144" s="11" t="str">
        <f>IFERROR(__xludf.DUMMYFUNCTION("""COMPUTED_VALUE"""),"Patrick Fugit")</f>
        <v>Patrick Fugit</v>
      </c>
      <c r="AE1144" s="11"/>
    </row>
    <row r="1145" customHeight="1" spans="1:31">
      <c r="A1145" s="12" t="s">
        <v>30</v>
      </c>
      <c r="B1145" s="12" t="s">
        <v>6029</v>
      </c>
      <c r="C1145" s="12">
        <v>105</v>
      </c>
      <c r="D1145" s="12">
        <v>88</v>
      </c>
      <c r="E1145" s="12">
        <v>3</v>
      </c>
      <c r="F1145" s="12">
        <v>40</v>
      </c>
      <c r="G1145" s="12">
        <v>1000</v>
      </c>
      <c r="H1145" s="12">
        <v>84300000</v>
      </c>
      <c r="I1145" s="12" t="s">
        <v>6030</v>
      </c>
      <c r="J1145" s="12" t="s">
        <v>6031</v>
      </c>
      <c r="K1145" s="12" t="s">
        <v>6032</v>
      </c>
      <c r="L1145" s="12" t="s">
        <v>6033</v>
      </c>
      <c r="M1145" s="12" t="s">
        <v>6034</v>
      </c>
      <c r="N1145" s="12">
        <v>90360</v>
      </c>
      <c r="O1145" s="12">
        <v>1178</v>
      </c>
      <c r="P1145" s="12">
        <v>0</v>
      </c>
      <c r="Q1145" s="12" t="s">
        <v>6035</v>
      </c>
      <c r="R1145" s="15" t="s">
        <v>6036</v>
      </c>
      <c r="S1145" s="12">
        <v>147</v>
      </c>
      <c r="T1145" s="12" t="s">
        <v>39</v>
      </c>
      <c r="U1145" s="12" t="s">
        <v>40</v>
      </c>
      <c r="V1145" s="12" t="s">
        <v>6037</v>
      </c>
      <c r="W1145" s="12">
        <v>2600000</v>
      </c>
      <c r="X1145" s="12">
        <v>1940</v>
      </c>
      <c r="Y1145" s="12">
        <v>48</v>
      </c>
      <c r="Z1145" s="12">
        <v>7.5</v>
      </c>
      <c r="AA1145" s="12">
        <v>1.37</v>
      </c>
      <c r="AB1145" s="12">
        <v>0</v>
      </c>
      <c r="AC1145" s="12"/>
      <c r="AD1145" s="12" t="str">
        <f>IFERROR(__xludf.DUMMYFUNCTION("""COMPUTED_VALUE"""),"Emily Ratajkowski")</f>
        <v>Emily Ratajkowski</v>
      </c>
      <c r="AE1145" s="12"/>
    </row>
    <row r="1146" customHeight="1" spans="1:31">
      <c r="A1146" s="11" t="s">
        <v>30</v>
      </c>
      <c r="B1146" s="11" t="s">
        <v>6038</v>
      </c>
      <c r="C1146" s="11">
        <v>102</v>
      </c>
      <c r="D1146" s="11">
        <v>325</v>
      </c>
      <c r="E1146" s="11">
        <v>517</v>
      </c>
      <c r="F1146" s="11">
        <v>678</v>
      </c>
      <c r="G1146" s="11">
        <v>12000</v>
      </c>
      <c r="H1146" s="11">
        <v>1500000</v>
      </c>
      <c r="I1146" s="11" t="s">
        <v>6039</v>
      </c>
      <c r="J1146" s="11" t="s">
        <v>301</v>
      </c>
      <c r="K1146" s="11" t="s">
        <v>5987</v>
      </c>
      <c r="L1146" s="11" t="s">
        <v>6040</v>
      </c>
      <c r="M1146" s="11" t="s">
        <v>6041</v>
      </c>
      <c r="N1146" s="11">
        <v>9830</v>
      </c>
      <c r="O1146" s="11">
        <v>14255</v>
      </c>
      <c r="P1146" s="11">
        <v>0</v>
      </c>
      <c r="Q1146" s="11" t="s">
        <v>6042</v>
      </c>
      <c r="R1146" s="14" t="s">
        <v>6043</v>
      </c>
      <c r="S1146" s="11">
        <v>189</v>
      </c>
      <c r="T1146" s="11" t="s">
        <v>39</v>
      </c>
      <c r="U1146" s="11" t="s">
        <v>40</v>
      </c>
      <c r="V1146" s="11" t="s">
        <v>586</v>
      </c>
      <c r="W1146" s="11">
        <v>44000000</v>
      </c>
      <c r="X1146" s="11">
        <v>1980</v>
      </c>
      <c r="Y1146" s="11">
        <v>849</v>
      </c>
      <c r="Z1146" s="11">
        <v>6.8</v>
      </c>
      <c r="AA1146" s="11">
        <v>2.35</v>
      </c>
      <c r="AB1146" s="11">
        <v>1000</v>
      </c>
      <c r="AC1146" s="11"/>
      <c r="AD1146" s="11" t="str">
        <f>IFERROR(__xludf.DUMMYFUNCTION("""COMPUTED_VALUE"""),"Josh Hamilton")</f>
        <v>Josh Hamilton</v>
      </c>
      <c r="AE1146" s="11"/>
    </row>
    <row r="1147" customHeight="1" spans="1:31">
      <c r="A1147" s="12" t="s">
        <v>30</v>
      </c>
      <c r="B1147" s="12" t="s">
        <v>1618</v>
      </c>
      <c r="C1147" s="12">
        <v>206</v>
      </c>
      <c r="D1147" s="12">
        <v>102</v>
      </c>
      <c r="E1147" s="12">
        <v>235</v>
      </c>
      <c r="F1147" s="12">
        <v>520</v>
      </c>
      <c r="G1147" s="12">
        <v>956</v>
      </c>
      <c r="H1147" s="12">
        <v>62318875</v>
      </c>
      <c r="I1147" s="12" t="s">
        <v>262</v>
      </c>
      <c r="J1147" s="12" t="s">
        <v>287</v>
      </c>
      <c r="K1147" s="12" t="s">
        <v>1214</v>
      </c>
      <c r="L1147" s="12" t="s">
        <v>1997</v>
      </c>
      <c r="M1147" s="12" t="s">
        <v>6044</v>
      </c>
      <c r="N1147" s="12">
        <v>156225</v>
      </c>
      <c r="O1147" s="12">
        <v>2998</v>
      </c>
      <c r="P1147" s="12">
        <v>1</v>
      </c>
      <c r="Q1147" s="12" t="s">
        <v>6045</v>
      </c>
      <c r="R1147" s="15" t="s">
        <v>6046</v>
      </c>
      <c r="S1147" s="12">
        <v>502</v>
      </c>
      <c r="T1147" s="12" t="s">
        <v>39</v>
      </c>
      <c r="U1147" s="12" t="s">
        <v>40</v>
      </c>
      <c r="V1147" s="12" t="s">
        <v>586</v>
      </c>
      <c r="W1147" s="12">
        <v>50000000</v>
      </c>
      <c r="X1147" s="12">
        <v>2006</v>
      </c>
      <c r="Y1147" s="12">
        <v>845</v>
      </c>
      <c r="Z1147" s="12">
        <v>6.8</v>
      </c>
      <c r="AA1147" s="12">
        <v>2.35</v>
      </c>
      <c r="AB1147" s="12">
        <v>0</v>
      </c>
      <c r="AC1147" s="12"/>
      <c r="AD1147" s="12" t="str">
        <f>IFERROR(__xludf.DUMMYFUNCTION("""COMPUTED_VALUE"""),"Nicky Naudé")</f>
        <v>Nicky Naudé</v>
      </c>
      <c r="AE1147" s="12"/>
    </row>
    <row r="1148" customHeight="1" spans="1:31">
      <c r="A1148" s="11" t="s">
        <v>30</v>
      </c>
      <c r="B1148" s="11" t="s">
        <v>6047</v>
      </c>
      <c r="C1148" s="11">
        <v>159</v>
      </c>
      <c r="D1148" s="11">
        <v>110</v>
      </c>
      <c r="E1148" s="11">
        <v>118</v>
      </c>
      <c r="F1148" s="11">
        <v>287</v>
      </c>
      <c r="G1148" s="11">
        <v>11000</v>
      </c>
      <c r="H1148" s="11">
        <v>5773519</v>
      </c>
      <c r="I1148" s="11" t="s">
        <v>3171</v>
      </c>
      <c r="J1148" s="11" t="s">
        <v>107</v>
      </c>
      <c r="K1148" s="11" t="s">
        <v>4533</v>
      </c>
      <c r="L1148" s="11" t="s">
        <v>6048</v>
      </c>
      <c r="M1148" s="11" t="s">
        <v>6049</v>
      </c>
      <c r="N1148" s="11">
        <v>28618</v>
      </c>
      <c r="O1148" s="11">
        <v>12876</v>
      </c>
      <c r="P1148" s="11">
        <v>2</v>
      </c>
      <c r="Q1148" s="11" t="s">
        <v>6050</v>
      </c>
      <c r="R1148" s="14" t="s">
        <v>6051</v>
      </c>
      <c r="S1148" s="11">
        <v>91</v>
      </c>
      <c r="T1148" s="11" t="s">
        <v>39</v>
      </c>
      <c r="U1148" s="11" t="s">
        <v>40</v>
      </c>
      <c r="V1148" s="11" t="s">
        <v>41</v>
      </c>
      <c r="W1148" s="11">
        <v>40000000</v>
      </c>
      <c r="X1148" s="11">
        <v>2015</v>
      </c>
      <c r="Y1148" s="11">
        <v>1000</v>
      </c>
      <c r="Z1148" s="11">
        <v>6</v>
      </c>
      <c r="AA1148" s="11">
        <v>2.35</v>
      </c>
      <c r="AB1148" s="11">
        <v>11000</v>
      </c>
      <c r="AC1148" s="11"/>
      <c r="AD1148" s="11" t="str">
        <f>IFERROR(__xludf.DUMMYFUNCTION("""COMPUTED_VALUE"""),"Timothy Hutton")</f>
        <v>Timothy Hutton</v>
      </c>
      <c r="AE1148" s="11"/>
    </row>
    <row r="1149" customHeight="1" spans="1:31">
      <c r="A1149" s="12" t="s">
        <v>30</v>
      </c>
      <c r="B1149" s="12" t="s">
        <v>6052</v>
      </c>
      <c r="C1149" s="12">
        <v>137</v>
      </c>
      <c r="D1149" s="12">
        <v>136</v>
      </c>
      <c r="E1149" s="12">
        <v>835</v>
      </c>
      <c r="F1149" s="12">
        <v>225</v>
      </c>
      <c r="G1149" s="12">
        <v>670</v>
      </c>
      <c r="H1149" s="12">
        <v>51768623</v>
      </c>
      <c r="I1149" s="12" t="s">
        <v>3410</v>
      </c>
      <c r="J1149" s="12" t="s">
        <v>2408</v>
      </c>
      <c r="K1149" s="12" t="s">
        <v>6053</v>
      </c>
      <c r="L1149" s="12" t="s">
        <v>6054</v>
      </c>
      <c r="M1149" s="12" t="s">
        <v>6055</v>
      </c>
      <c r="N1149" s="12">
        <v>73006</v>
      </c>
      <c r="O1149" s="12">
        <v>1801</v>
      </c>
      <c r="P1149" s="12">
        <v>1</v>
      </c>
      <c r="Q1149" s="12" t="s">
        <v>6056</v>
      </c>
      <c r="R1149" s="15" t="s">
        <v>6057</v>
      </c>
      <c r="S1149" s="12">
        <v>297</v>
      </c>
      <c r="T1149" s="12" t="s">
        <v>39</v>
      </c>
      <c r="U1149" s="12" t="s">
        <v>40</v>
      </c>
      <c r="V1149" s="12" t="s">
        <v>41</v>
      </c>
      <c r="W1149" s="12">
        <v>43000000</v>
      </c>
      <c r="X1149" s="12">
        <v>2000</v>
      </c>
      <c r="Y1149" s="12">
        <v>370</v>
      </c>
      <c r="Z1149" s="12">
        <v>7.3</v>
      </c>
      <c r="AA1149" s="12">
        <v>2.35</v>
      </c>
      <c r="AB1149" s="12">
        <v>0</v>
      </c>
      <c r="AC1149" s="12"/>
      <c r="AD1149" s="12" t="str">
        <f>IFERROR(__xludf.DUMMYFUNCTION("""COMPUTED_VALUE"""),"Clarence Williams III")</f>
        <v>Clarence Williams III</v>
      </c>
      <c r="AE1149" s="12"/>
    </row>
    <row r="1150" customHeight="1" spans="1:31">
      <c r="A1150" s="11" t="s">
        <v>30</v>
      </c>
      <c r="B1150" s="11" t="s">
        <v>3282</v>
      </c>
      <c r="C1150" s="11">
        <v>116</v>
      </c>
      <c r="D1150" s="11">
        <v>103</v>
      </c>
      <c r="E1150" s="11">
        <v>84</v>
      </c>
      <c r="F1150" s="11">
        <v>664</v>
      </c>
      <c r="G1150" s="11">
        <v>12000</v>
      </c>
      <c r="H1150" s="11">
        <v>37035515</v>
      </c>
      <c r="I1150" s="11" t="s">
        <v>2528</v>
      </c>
      <c r="J1150" s="11" t="s">
        <v>272</v>
      </c>
      <c r="K1150" s="11" t="s">
        <v>2825</v>
      </c>
      <c r="L1150" s="11" t="s">
        <v>3919</v>
      </c>
      <c r="M1150" s="11" t="s">
        <v>6058</v>
      </c>
      <c r="N1150" s="11">
        <v>34597</v>
      </c>
      <c r="O1150" s="11">
        <v>23864</v>
      </c>
      <c r="P1150" s="11">
        <v>1</v>
      </c>
      <c r="Q1150" s="11" t="s">
        <v>6059</v>
      </c>
      <c r="R1150" s="14" t="s">
        <v>6060</v>
      </c>
      <c r="S1150" s="11">
        <v>194</v>
      </c>
      <c r="T1150" s="11" t="s">
        <v>39</v>
      </c>
      <c r="U1150" s="11" t="s">
        <v>40</v>
      </c>
      <c r="V1150" s="11" t="s">
        <v>41</v>
      </c>
      <c r="W1150" s="11">
        <v>43000000</v>
      </c>
      <c r="X1150" s="11">
        <v>2000</v>
      </c>
      <c r="Y1150" s="11">
        <v>10000</v>
      </c>
      <c r="Z1150" s="11">
        <v>6</v>
      </c>
      <c r="AA1150" s="11">
        <v>1.37</v>
      </c>
      <c r="AB1150" s="11">
        <v>0</v>
      </c>
      <c r="AC1150" s="11"/>
      <c r="AD1150" s="11" t="str">
        <f>IFERROR(__xludf.DUMMYFUNCTION("""COMPUTED_VALUE"""),"Peter Krause")</f>
        <v>Peter Krause</v>
      </c>
      <c r="AE1150" s="11"/>
    </row>
    <row r="1151" customHeight="1" spans="1:31">
      <c r="A1151" s="12" t="s">
        <v>30</v>
      </c>
      <c r="B1151" s="12" t="s">
        <v>1115</v>
      </c>
      <c r="C1151" s="12">
        <v>177</v>
      </c>
      <c r="D1151" s="12">
        <v>103</v>
      </c>
      <c r="E1151" s="12">
        <v>255</v>
      </c>
      <c r="F1151" s="12">
        <v>5000</v>
      </c>
      <c r="G1151" s="12">
        <v>11000</v>
      </c>
      <c r="H1151" s="12">
        <v>24520892</v>
      </c>
      <c r="I1151" s="12" t="s">
        <v>464</v>
      </c>
      <c r="J1151" s="12" t="s">
        <v>466</v>
      </c>
      <c r="K1151" s="12" t="s">
        <v>502</v>
      </c>
      <c r="L1151" s="12" t="s">
        <v>2398</v>
      </c>
      <c r="M1151" s="12" t="s">
        <v>6061</v>
      </c>
      <c r="N1151" s="12">
        <v>85198</v>
      </c>
      <c r="O1151" s="12">
        <v>22383</v>
      </c>
      <c r="P1151" s="12">
        <v>1</v>
      </c>
      <c r="Q1151" s="12" t="s">
        <v>6062</v>
      </c>
      <c r="R1151" s="15" t="s">
        <v>6063</v>
      </c>
      <c r="S1151" s="12">
        <v>303</v>
      </c>
      <c r="T1151" s="12" t="s">
        <v>39</v>
      </c>
      <c r="U1151" s="12" t="s">
        <v>1466</v>
      </c>
      <c r="V1151" s="12" t="s">
        <v>586</v>
      </c>
      <c r="W1151" s="12">
        <v>45000000</v>
      </c>
      <c r="X1151" s="12">
        <v>2005</v>
      </c>
      <c r="Y1151" s="12">
        <v>5000</v>
      </c>
      <c r="Z1151" s="12">
        <v>7</v>
      </c>
      <c r="AA1151" s="12">
        <v>2.35</v>
      </c>
      <c r="AB1151" s="12">
        <v>0</v>
      </c>
      <c r="AC1151" s="12"/>
      <c r="AD1151" s="12" t="str">
        <f>IFERROR(__xludf.DUMMYFUNCTION("""COMPUTED_VALUE"""),"Aria Noelle Curzon")</f>
        <v>Aria Noelle Curzon</v>
      </c>
      <c r="AE1151" s="12"/>
    </row>
    <row r="1152" customHeight="1" spans="1:31">
      <c r="A1152" s="11" t="s">
        <v>30</v>
      </c>
      <c r="B1152" s="11" t="s">
        <v>6064</v>
      </c>
      <c r="C1152" s="11">
        <v>99</v>
      </c>
      <c r="D1152" s="11">
        <v>90</v>
      </c>
      <c r="E1152" s="11">
        <v>16</v>
      </c>
      <c r="F1152" s="11">
        <v>16</v>
      </c>
      <c r="G1152" s="11">
        <v>44</v>
      </c>
      <c r="H1152" s="11">
        <v>24430272</v>
      </c>
      <c r="I1152" s="11" t="s">
        <v>1681</v>
      </c>
      <c r="J1152" s="11" t="s">
        <v>6065</v>
      </c>
      <c r="K1152" s="11" t="s">
        <v>6066</v>
      </c>
      <c r="L1152" s="11" t="s">
        <v>6067</v>
      </c>
      <c r="M1152" s="11" t="s">
        <v>6068</v>
      </c>
      <c r="N1152" s="11">
        <v>46158</v>
      </c>
      <c r="O1152" s="11">
        <v>132</v>
      </c>
      <c r="P1152" s="11">
        <v>3</v>
      </c>
      <c r="Q1152" s="11" t="s">
        <v>6069</v>
      </c>
      <c r="R1152" s="14" t="s">
        <v>6070</v>
      </c>
      <c r="S1152" s="11">
        <v>403</v>
      </c>
      <c r="T1152" s="11" t="s">
        <v>39</v>
      </c>
      <c r="U1152" s="11" t="s">
        <v>40</v>
      </c>
      <c r="V1152" s="11" t="s">
        <v>586</v>
      </c>
      <c r="W1152" s="11">
        <v>43000000</v>
      </c>
      <c r="X1152" s="11">
        <v>2002</v>
      </c>
      <c r="Y1152" s="11">
        <v>28</v>
      </c>
      <c r="Z1152" s="11">
        <v>5.1</v>
      </c>
      <c r="AA1152" s="11">
        <v>1.85</v>
      </c>
      <c r="AB1152" s="11">
        <v>0</v>
      </c>
      <c r="AC1152" s="11"/>
      <c r="AD1152" s="11" t="str">
        <f>IFERROR(__xludf.DUMMYFUNCTION("""COMPUTED_VALUE"""),"Eden Riegel")</f>
        <v>Eden Riegel</v>
      </c>
      <c r="AE1152" s="11"/>
    </row>
    <row r="1153" customHeight="1" spans="1:31">
      <c r="A1153" s="12" t="s">
        <v>30</v>
      </c>
      <c r="B1153" s="12" t="s">
        <v>2214</v>
      </c>
      <c r="C1153" s="12">
        <v>56</v>
      </c>
      <c r="D1153" s="12">
        <v>154</v>
      </c>
      <c r="E1153" s="12">
        <v>521</v>
      </c>
      <c r="F1153" s="12">
        <v>957</v>
      </c>
      <c r="G1153" s="12">
        <v>10000</v>
      </c>
      <c r="H1153" s="12">
        <v>158348400</v>
      </c>
      <c r="I1153" s="12" t="s">
        <v>1924</v>
      </c>
      <c r="J1153" s="12" t="s">
        <v>523</v>
      </c>
      <c r="K1153" s="12" t="s">
        <v>2061</v>
      </c>
      <c r="L1153" s="12" t="s">
        <v>6071</v>
      </c>
      <c r="M1153" s="12" t="s">
        <v>6072</v>
      </c>
      <c r="N1153" s="12">
        <v>88844</v>
      </c>
      <c r="O1153" s="12">
        <v>14244</v>
      </c>
      <c r="P1153" s="12">
        <v>0</v>
      </c>
      <c r="Q1153" s="12" t="s">
        <v>6073</v>
      </c>
      <c r="R1153" s="15" t="s">
        <v>6074</v>
      </c>
      <c r="S1153" s="12">
        <v>142</v>
      </c>
      <c r="T1153" s="12" t="s">
        <v>39</v>
      </c>
      <c r="U1153" s="12" t="s">
        <v>40</v>
      </c>
      <c r="V1153" s="12" t="s">
        <v>586</v>
      </c>
      <c r="W1153" s="12">
        <v>42000000</v>
      </c>
      <c r="X1153" s="12">
        <v>1993</v>
      </c>
      <c r="Y1153" s="12">
        <v>1000</v>
      </c>
      <c r="Z1153" s="12">
        <v>6.8</v>
      </c>
      <c r="AA1153" s="12">
        <v>1.85</v>
      </c>
      <c r="AB1153" s="12">
        <v>0</v>
      </c>
      <c r="AC1153" s="12"/>
      <c r="AD1153" s="12" t="str">
        <f>IFERROR(__xludf.DUMMYFUNCTION("""COMPUTED_VALUE"""),"Anjelica Huston")</f>
        <v>Anjelica Huston</v>
      </c>
      <c r="AE1153" s="12"/>
    </row>
    <row r="1154" customHeight="1" spans="1:31">
      <c r="A1154" s="11" t="s">
        <v>30</v>
      </c>
      <c r="B1154" s="11" t="s">
        <v>6075</v>
      </c>
      <c r="C1154" s="11">
        <v>117</v>
      </c>
      <c r="D1154" s="11">
        <v>99</v>
      </c>
      <c r="E1154" s="11">
        <v>23</v>
      </c>
      <c r="F1154" s="11">
        <v>135</v>
      </c>
      <c r="G1154" s="11">
        <v>405</v>
      </c>
      <c r="H1154" s="11">
        <v>31136950</v>
      </c>
      <c r="I1154" s="11" t="s">
        <v>687</v>
      </c>
      <c r="J1154" s="11" t="s">
        <v>6076</v>
      </c>
      <c r="K1154" s="11" t="s">
        <v>6077</v>
      </c>
      <c r="L1154" s="11" t="s">
        <v>6078</v>
      </c>
      <c r="M1154" s="11" t="s">
        <v>6079</v>
      </c>
      <c r="N1154" s="11">
        <v>47364</v>
      </c>
      <c r="O1154" s="11">
        <v>1066</v>
      </c>
      <c r="P1154" s="11">
        <v>1</v>
      </c>
      <c r="Q1154" s="11" t="s">
        <v>6080</v>
      </c>
      <c r="R1154" s="14" t="s">
        <v>6081</v>
      </c>
      <c r="S1154" s="11">
        <v>75</v>
      </c>
      <c r="T1154" s="11" t="s">
        <v>39</v>
      </c>
      <c r="U1154" s="11" t="s">
        <v>40</v>
      </c>
      <c r="V1154" s="11" t="s">
        <v>41</v>
      </c>
      <c r="W1154" s="11">
        <v>44000000</v>
      </c>
      <c r="X1154" s="11">
        <v>2010</v>
      </c>
      <c r="Y1154" s="11">
        <v>268</v>
      </c>
      <c r="Z1154" s="11">
        <v>6.5</v>
      </c>
      <c r="AA1154" s="11">
        <v>2.35</v>
      </c>
      <c r="AB1154" s="11">
        <v>0</v>
      </c>
      <c r="AC1154" s="11"/>
      <c r="AD1154" s="11" t="str">
        <f>IFERROR(__xludf.DUMMYFUNCTION("""COMPUTED_VALUE"""),"Patrick Fischler")</f>
        <v>Patrick Fischler</v>
      </c>
      <c r="AE1154" s="11"/>
    </row>
    <row r="1155" customHeight="1" spans="1:31">
      <c r="A1155" s="12" t="s">
        <v>30</v>
      </c>
      <c r="B1155" s="12" t="s">
        <v>1784</v>
      </c>
      <c r="C1155" s="12">
        <v>252</v>
      </c>
      <c r="D1155" s="12">
        <v>93</v>
      </c>
      <c r="E1155" s="12">
        <v>165</v>
      </c>
      <c r="F1155" s="12">
        <v>350</v>
      </c>
      <c r="G1155" s="12">
        <v>26000</v>
      </c>
      <c r="H1155" s="12">
        <v>29113588</v>
      </c>
      <c r="I1155" s="12" t="s">
        <v>334</v>
      </c>
      <c r="J1155" s="12" t="s">
        <v>335</v>
      </c>
      <c r="K1155" s="12" t="s">
        <v>1018</v>
      </c>
      <c r="L1155" s="12" t="s">
        <v>1530</v>
      </c>
      <c r="M1155" s="12" t="s">
        <v>6082</v>
      </c>
      <c r="N1155" s="12">
        <v>117999</v>
      </c>
      <c r="O1155" s="12">
        <v>27834</v>
      </c>
      <c r="P1155" s="12">
        <v>0</v>
      </c>
      <c r="Q1155" s="12" t="s">
        <v>6083</v>
      </c>
      <c r="R1155" s="15" t="s">
        <v>6084</v>
      </c>
      <c r="S1155" s="12">
        <v>181</v>
      </c>
      <c r="T1155" s="12" t="s">
        <v>39</v>
      </c>
      <c r="U1155" s="12" t="s">
        <v>40</v>
      </c>
      <c r="V1155" s="12" t="s">
        <v>586</v>
      </c>
      <c r="W1155" s="12">
        <v>40000000</v>
      </c>
      <c r="X1155" s="12">
        <v>2011</v>
      </c>
      <c r="Y1155" s="12">
        <v>956</v>
      </c>
      <c r="Z1155" s="12">
        <v>6.6</v>
      </c>
      <c r="AA1155" s="12">
        <v>2.35</v>
      </c>
      <c r="AB1155" s="12">
        <v>16000</v>
      </c>
      <c r="AC1155" s="12"/>
      <c r="AD1155" s="12" t="str">
        <f>IFERROR(__xludf.DUMMYFUNCTION("""COMPUTED_VALUE"""),"Fred Ward")</f>
        <v>Fred Ward</v>
      </c>
      <c r="AE1155" s="12"/>
    </row>
    <row r="1156" customHeight="1" spans="1:31">
      <c r="A1156" s="11" t="s">
        <v>30</v>
      </c>
      <c r="B1156" s="11" t="s">
        <v>2100</v>
      </c>
      <c r="C1156" s="11">
        <v>375</v>
      </c>
      <c r="D1156" s="11">
        <v>109</v>
      </c>
      <c r="E1156" s="11">
        <v>97</v>
      </c>
      <c r="F1156" s="11">
        <v>839</v>
      </c>
      <c r="G1156" s="11">
        <v>17000</v>
      </c>
      <c r="H1156" s="11">
        <v>138447667</v>
      </c>
      <c r="I1156" s="11" t="s">
        <v>1753</v>
      </c>
      <c r="J1156" s="11" t="s">
        <v>445</v>
      </c>
      <c r="K1156" s="11" t="s">
        <v>6085</v>
      </c>
      <c r="L1156" s="11" t="s">
        <v>4496</v>
      </c>
      <c r="M1156" s="11" t="s">
        <v>6086</v>
      </c>
      <c r="N1156" s="11">
        <v>408302</v>
      </c>
      <c r="O1156" s="11">
        <v>19968</v>
      </c>
      <c r="P1156" s="11">
        <v>2</v>
      </c>
      <c r="Q1156" s="11" t="s">
        <v>6087</v>
      </c>
      <c r="R1156" s="14" t="s">
        <v>6088</v>
      </c>
      <c r="S1156" s="11">
        <v>345</v>
      </c>
      <c r="T1156" s="11" t="s">
        <v>39</v>
      </c>
      <c r="U1156" s="11" t="s">
        <v>40</v>
      </c>
      <c r="V1156" s="11" t="s">
        <v>586</v>
      </c>
      <c r="W1156" s="11">
        <v>42000000</v>
      </c>
      <c r="X1156" s="11">
        <v>2012</v>
      </c>
      <c r="Y1156" s="11">
        <v>971</v>
      </c>
      <c r="Z1156" s="11">
        <v>7.2</v>
      </c>
      <c r="AA1156" s="11">
        <v>2.35</v>
      </c>
      <c r="AB1156" s="11">
        <v>39000</v>
      </c>
      <c r="AC1156" s="11"/>
      <c r="AD1156" s="11" t="str">
        <f>IFERROR(__xludf.DUMMYFUNCTION("""COMPUTED_VALUE"""),"Carol Ann Susi")</f>
        <v>Carol Ann Susi</v>
      </c>
      <c r="AE1156" s="11"/>
    </row>
    <row r="1157" customHeight="1" spans="1:31">
      <c r="A1157" s="12" t="s">
        <v>30</v>
      </c>
      <c r="B1157" s="12" t="s">
        <v>5775</v>
      </c>
      <c r="C1157" s="12">
        <v>150</v>
      </c>
      <c r="D1157" s="12">
        <v>124</v>
      </c>
      <c r="E1157" s="12">
        <v>50</v>
      </c>
      <c r="F1157" s="12">
        <v>427</v>
      </c>
      <c r="G1157" s="12">
        <v>8000</v>
      </c>
      <c r="H1157" s="12">
        <v>116006080</v>
      </c>
      <c r="I1157" s="12" t="s">
        <v>1415</v>
      </c>
      <c r="J1157" s="12" t="s">
        <v>1529</v>
      </c>
      <c r="K1157" s="12" t="s">
        <v>6089</v>
      </c>
      <c r="L1157" s="12" t="s">
        <v>6090</v>
      </c>
      <c r="M1157" s="12" t="s">
        <v>6091</v>
      </c>
      <c r="N1157" s="12">
        <v>203269</v>
      </c>
      <c r="O1157" s="12">
        <v>9255</v>
      </c>
      <c r="P1157" s="12">
        <v>1</v>
      </c>
      <c r="Q1157" s="12" t="s">
        <v>6092</v>
      </c>
      <c r="R1157" s="15" t="s">
        <v>6093</v>
      </c>
      <c r="S1157" s="12">
        <v>602</v>
      </c>
      <c r="T1157" s="12" t="s">
        <v>39</v>
      </c>
      <c r="U1157" s="12" t="s">
        <v>58</v>
      </c>
      <c r="V1157" s="12" t="s">
        <v>41</v>
      </c>
      <c r="W1157" s="12">
        <v>42000000</v>
      </c>
      <c r="X1157" s="12">
        <v>1999</v>
      </c>
      <c r="Y1157" s="12">
        <v>437</v>
      </c>
      <c r="Z1157" s="12">
        <v>7</v>
      </c>
      <c r="AA1157" s="12">
        <v>2.35</v>
      </c>
      <c r="AB1157" s="12">
        <v>11000</v>
      </c>
      <c r="AC1157" s="12"/>
      <c r="AD1157" s="12" t="str">
        <f>IFERROR(__xludf.DUMMYFUNCTION("""COMPUTED_VALUE"""),"Miriam Margolyes")</f>
        <v>Miriam Margolyes</v>
      </c>
      <c r="AE1157" s="12"/>
    </row>
    <row r="1158" customHeight="1" spans="1:31">
      <c r="A1158" s="11" t="s">
        <v>30</v>
      </c>
      <c r="B1158" s="11" t="s">
        <v>4753</v>
      </c>
      <c r="C1158" s="11">
        <v>187</v>
      </c>
      <c r="D1158" s="11">
        <v>84</v>
      </c>
      <c r="E1158" s="11">
        <v>91</v>
      </c>
      <c r="F1158" s="11">
        <v>206</v>
      </c>
      <c r="G1158" s="11">
        <v>579</v>
      </c>
      <c r="H1158" s="11">
        <v>106793915</v>
      </c>
      <c r="I1158" s="11" t="s">
        <v>863</v>
      </c>
      <c r="J1158" s="11" t="s">
        <v>2425</v>
      </c>
      <c r="K1158" s="11" t="s">
        <v>4770</v>
      </c>
      <c r="L1158" s="11" t="s">
        <v>6094</v>
      </c>
      <c r="M1158" s="11" t="s">
        <v>6095</v>
      </c>
      <c r="N1158" s="11">
        <v>140499</v>
      </c>
      <c r="O1158" s="11">
        <v>1817</v>
      </c>
      <c r="P1158" s="11">
        <v>0</v>
      </c>
      <c r="Q1158" s="11" t="s">
        <v>6096</v>
      </c>
      <c r="R1158" s="14" t="s">
        <v>6097</v>
      </c>
      <c r="S1158" s="11">
        <v>358</v>
      </c>
      <c r="T1158" s="11" t="s">
        <v>39</v>
      </c>
      <c r="U1158" s="11" t="s">
        <v>58</v>
      </c>
      <c r="V1158" s="11" t="s">
        <v>278</v>
      </c>
      <c r="W1158" s="11">
        <v>45000000</v>
      </c>
      <c r="X1158" s="11">
        <v>2000</v>
      </c>
      <c r="Y1158" s="11">
        <v>530</v>
      </c>
      <c r="Z1158" s="11">
        <v>7</v>
      </c>
      <c r="AA1158" s="11">
        <v>1.85</v>
      </c>
      <c r="AB1158" s="11">
        <v>0</v>
      </c>
      <c r="AC1158" s="11"/>
      <c r="AD1158" s="11" t="str">
        <f>IFERROR(__xludf.DUMMYFUNCTION("""COMPUTED_VALUE"""),"Jimmy Shubert")</f>
        <v>Jimmy Shubert</v>
      </c>
      <c r="AE1158" s="11"/>
    </row>
    <row r="1159" customHeight="1" spans="1:31">
      <c r="A1159" s="12" t="s">
        <v>30</v>
      </c>
      <c r="B1159" s="12" t="s">
        <v>6098</v>
      </c>
      <c r="C1159" s="12">
        <v>108</v>
      </c>
      <c r="D1159" s="12">
        <v>90</v>
      </c>
      <c r="E1159" s="12">
        <v>29</v>
      </c>
      <c r="F1159" s="12">
        <v>650</v>
      </c>
      <c r="G1159" s="12">
        <v>22000</v>
      </c>
      <c r="H1159" s="12">
        <v>87856565</v>
      </c>
      <c r="I1159" s="12" t="s">
        <v>1681</v>
      </c>
      <c r="J1159" s="12" t="s">
        <v>699</v>
      </c>
      <c r="K1159" s="12" t="s">
        <v>6099</v>
      </c>
      <c r="L1159" s="12" t="s">
        <v>2388</v>
      </c>
      <c r="M1159" s="12" t="s">
        <v>6100</v>
      </c>
      <c r="N1159" s="12">
        <v>106909</v>
      </c>
      <c r="O1159" s="12">
        <v>24534</v>
      </c>
      <c r="P1159" s="12">
        <v>1</v>
      </c>
      <c r="Q1159" s="12" t="s">
        <v>6101</v>
      </c>
      <c r="R1159" s="15" t="s">
        <v>6102</v>
      </c>
      <c r="S1159" s="12">
        <v>268</v>
      </c>
      <c r="T1159" s="12" t="s">
        <v>39</v>
      </c>
      <c r="U1159" s="12" t="s">
        <v>40</v>
      </c>
      <c r="V1159" s="12" t="s">
        <v>41</v>
      </c>
      <c r="W1159" s="12">
        <v>42000000</v>
      </c>
      <c r="X1159" s="12">
        <v>2004</v>
      </c>
      <c r="Y1159" s="12">
        <v>923</v>
      </c>
      <c r="Z1159" s="12">
        <v>5.9</v>
      </c>
      <c r="AA1159" s="12">
        <v>1.85</v>
      </c>
      <c r="AB1159" s="12">
        <v>0</v>
      </c>
      <c r="AC1159" s="12"/>
      <c r="AD1159" s="12" t="str">
        <f>IFERROR(__xludf.DUMMYFUNCTION("""COMPUTED_VALUE"""),"Alicia Witt")</f>
        <v>Alicia Witt</v>
      </c>
      <c r="AE1159" s="12"/>
    </row>
    <row r="1160" customHeight="1" spans="1:31">
      <c r="A1160" s="11" t="s">
        <v>30</v>
      </c>
      <c r="B1160" s="11" t="s">
        <v>6103</v>
      </c>
      <c r="C1160" s="11">
        <v>21</v>
      </c>
      <c r="D1160" s="11">
        <v>117</v>
      </c>
      <c r="E1160" s="11">
        <v>71</v>
      </c>
      <c r="F1160" s="11">
        <v>547</v>
      </c>
      <c r="G1160" s="11">
        <v>723</v>
      </c>
      <c r="H1160" s="11">
        <v>70100000</v>
      </c>
      <c r="I1160" s="11" t="s">
        <v>1415</v>
      </c>
      <c r="J1160" s="11" t="s">
        <v>3883</v>
      </c>
      <c r="K1160" s="11" t="s">
        <v>1778</v>
      </c>
      <c r="L1160" s="11" t="s">
        <v>6104</v>
      </c>
      <c r="M1160" s="11" t="s">
        <v>6105</v>
      </c>
      <c r="N1160" s="11">
        <v>20183</v>
      </c>
      <c r="O1160" s="11">
        <v>3841</v>
      </c>
      <c r="P1160" s="11">
        <v>1</v>
      </c>
      <c r="Q1160" s="11" t="s">
        <v>6106</v>
      </c>
      <c r="R1160" s="14" t="s">
        <v>6107</v>
      </c>
      <c r="S1160" s="11">
        <v>41</v>
      </c>
      <c r="T1160" s="11" t="s">
        <v>39</v>
      </c>
      <c r="U1160" s="11" t="s">
        <v>40</v>
      </c>
      <c r="V1160" s="11" t="s">
        <v>586</v>
      </c>
      <c r="W1160" s="11">
        <v>40000000</v>
      </c>
      <c r="X1160" s="11">
        <v>1992</v>
      </c>
      <c r="Y1160" s="11">
        <v>558</v>
      </c>
      <c r="Z1160" s="11">
        <v>5.4</v>
      </c>
      <c r="AA1160" s="11">
        <v>1.85</v>
      </c>
      <c r="AB1160" s="11">
        <v>0</v>
      </c>
      <c r="AC1160" s="11"/>
      <c r="AD1160" s="11" t="str">
        <f>IFERROR(__xludf.DUMMYFUNCTION("""COMPUTED_VALUE"""),"Woody Allen")</f>
        <v>Woody Allen</v>
      </c>
      <c r="AE1160" s="11"/>
    </row>
    <row r="1161" customHeight="1" spans="1:31">
      <c r="A1161" s="12" t="s">
        <v>30</v>
      </c>
      <c r="B1161" s="12" t="s">
        <v>970</v>
      </c>
      <c r="C1161" s="12">
        <v>270</v>
      </c>
      <c r="D1161" s="12">
        <v>123</v>
      </c>
      <c r="E1161" s="12">
        <v>176</v>
      </c>
      <c r="F1161" s="12">
        <v>749</v>
      </c>
      <c r="G1161" s="12">
        <v>975</v>
      </c>
      <c r="H1161" s="12">
        <v>159578352</v>
      </c>
      <c r="I1161" s="12" t="s">
        <v>1753</v>
      </c>
      <c r="J1161" s="12" t="s">
        <v>2524</v>
      </c>
      <c r="K1161" s="12" t="s">
        <v>6108</v>
      </c>
      <c r="L1161" s="12" t="s">
        <v>5856</v>
      </c>
      <c r="M1161" s="12" t="s">
        <v>6109</v>
      </c>
      <c r="N1161" s="12">
        <v>133177</v>
      </c>
      <c r="O1161" s="12">
        <v>4825</v>
      </c>
      <c r="P1161" s="12">
        <v>7</v>
      </c>
      <c r="Q1161" s="12" t="s">
        <v>6110</v>
      </c>
      <c r="R1161" s="15" t="s">
        <v>6111</v>
      </c>
      <c r="S1161" s="12">
        <v>380</v>
      </c>
      <c r="T1161" s="12" t="s">
        <v>39</v>
      </c>
      <c r="U1161" s="12" t="s">
        <v>40</v>
      </c>
      <c r="V1161" s="12" t="s">
        <v>586</v>
      </c>
      <c r="W1161" s="12">
        <v>43000000</v>
      </c>
      <c r="X1161" s="12">
        <v>2013</v>
      </c>
      <c r="Y1161" s="12">
        <v>815</v>
      </c>
      <c r="Z1161" s="12">
        <v>6.6</v>
      </c>
      <c r="AA1161" s="12">
        <v>2.35</v>
      </c>
      <c r="AB1161" s="12">
        <v>24000</v>
      </c>
      <c r="AC1161" s="12"/>
      <c r="AD1161" s="12" t="str">
        <f>IFERROR(__xludf.DUMMYFUNCTION("""COMPUTED_VALUE"""),"Anne Bancroft")</f>
        <v>Anne Bancroft</v>
      </c>
      <c r="AE1161" s="12"/>
    </row>
    <row r="1162" customHeight="1" spans="1:31">
      <c r="A1162" s="11" t="s">
        <v>30</v>
      </c>
      <c r="B1162" s="11" t="s">
        <v>6112</v>
      </c>
      <c r="C1162" s="11">
        <v>72</v>
      </c>
      <c r="D1162" s="11">
        <v>251</v>
      </c>
      <c r="E1162" s="11">
        <v>311</v>
      </c>
      <c r="F1162" s="11">
        <v>595</v>
      </c>
      <c r="G1162" s="11">
        <v>940</v>
      </c>
      <c r="H1162" s="11">
        <v>57750000</v>
      </c>
      <c r="I1162" s="11" t="s">
        <v>6113</v>
      </c>
      <c r="J1162" s="11" t="s">
        <v>3261</v>
      </c>
      <c r="K1162" s="11" t="s">
        <v>6114</v>
      </c>
      <c r="L1162" s="11" t="s">
        <v>6115</v>
      </c>
      <c r="M1162" s="11" t="s">
        <v>6116</v>
      </c>
      <c r="N1162" s="11">
        <v>21554</v>
      </c>
      <c r="O1162" s="11">
        <v>2957</v>
      </c>
      <c r="P1162" s="11">
        <v>2</v>
      </c>
      <c r="Q1162" s="11" t="s">
        <v>6117</v>
      </c>
      <c r="R1162" s="14" t="s">
        <v>6118</v>
      </c>
      <c r="S1162" s="11">
        <v>192</v>
      </c>
      <c r="T1162" s="11" t="s">
        <v>39</v>
      </c>
      <c r="U1162" s="11" t="s">
        <v>58</v>
      </c>
      <c r="V1162" s="11" t="s">
        <v>6037</v>
      </c>
      <c r="W1162" s="11">
        <v>31115000</v>
      </c>
      <c r="X1162" s="11">
        <v>1963</v>
      </c>
      <c r="Y1162" s="11">
        <v>726</v>
      </c>
      <c r="Z1162" s="11">
        <v>7</v>
      </c>
      <c r="AA1162" s="11">
        <v>2.2</v>
      </c>
      <c r="AB1162" s="11">
        <v>0</v>
      </c>
      <c r="AC1162" s="11"/>
      <c r="AD1162" s="11" t="str">
        <f>IFERROR(__xludf.DUMMYFUNCTION("""COMPUTED_VALUE"""),"Tasha Smith")</f>
        <v>Tasha Smith</v>
      </c>
      <c r="AE1162" s="11"/>
    </row>
    <row r="1163" customHeight="1" spans="1:31">
      <c r="A1163" s="12" t="s">
        <v>30</v>
      </c>
      <c r="B1163" s="12" t="s">
        <v>1628</v>
      </c>
      <c r="C1163" s="12">
        <v>154</v>
      </c>
      <c r="D1163" s="12">
        <v>105</v>
      </c>
      <c r="E1163" s="12">
        <v>153</v>
      </c>
      <c r="F1163" s="12">
        <v>491</v>
      </c>
      <c r="G1163" s="12">
        <v>4000</v>
      </c>
      <c r="H1163" s="12">
        <v>45290318</v>
      </c>
      <c r="I1163" s="12" t="s">
        <v>3229</v>
      </c>
      <c r="J1163" s="12" t="s">
        <v>495</v>
      </c>
      <c r="K1163" s="12" t="s">
        <v>6119</v>
      </c>
      <c r="L1163" s="12" t="s">
        <v>6120</v>
      </c>
      <c r="M1163" s="12" t="s">
        <v>6121</v>
      </c>
      <c r="N1163" s="12">
        <v>74169</v>
      </c>
      <c r="O1163" s="12">
        <v>6727</v>
      </c>
      <c r="P1163" s="12">
        <v>2</v>
      </c>
      <c r="Q1163" s="12" t="s">
        <v>6122</v>
      </c>
      <c r="R1163" s="15" t="s">
        <v>6123</v>
      </c>
      <c r="S1163" s="12">
        <v>112</v>
      </c>
      <c r="T1163" s="12" t="s">
        <v>39</v>
      </c>
      <c r="U1163" s="12" t="s">
        <v>40</v>
      </c>
      <c r="V1163" s="12" t="s">
        <v>96</v>
      </c>
      <c r="W1163" s="12">
        <v>42000000</v>
      </c>
      <c r="X1163" s="12">
        <v>2012</v>
      </c>
      <c r="Y1163" s="12">
        <v>828</v>
      </c>
      <c r="Z1163" s="12">
        <v>6.5</v>
      </c>
      <c r="AA1163" s="12">
        <v>1.85</v>
      </c>
      <c r="AB1163" s="12">
        <v>17000</v>
      </c>
      <c r="AC1163" s="12"/>
      <c r="AD1163" s="12" t="str">
        <f>IFERROR(__xludf.DUMMYFUNCTION("""COMPUTED_VALUE"""),"Tom Welling")</f>
        <v>Tom Welling</v>
      </c>
      <c r="AE1163" s="12"/>
    </row>
    <row r="1164" customHeight="1" spans="1:31">
      <c r="A1164" s="11" t="s">
        <v>30</v>
      </c>
      <c r="B1164" s="11" t="s">
        <v>5274</v>
      </c>
      <c r="C1164" s="11">
        <v>114</v>
      </c>
      <c r="D1164" s="11">
        <v>115</v>
      </c>
      <c r="E1164" s="11">
        <v>73</v>
      </c>
      <c r="F1164" s="11">
        <v>505</v>
      </c>
      <c r="G1164" s="11">
        <v>11000</v>
      </c>
      <c r="H1164" s="11">
        <v>41543207</v>
      </c>
      <c r="I1164" s="11" t="s">
        <v>2142</v>
      </c>
      <c r="J1164" s="11" t="s">
        <v>466</v>
      </c>
      <c r="K1164" s="11" t="s">
        <v>1545</v>
      </c>
      <c r="L1164" s="11" t="s">
        <v>1287</v>
      </c>
      <c r="M1164" s="11" t="s">
        <v>6124</v>
      </c>
      <c r="N1164" s="11">
        <v>30077</v>
      </c>
      <c r="O1164" s="11">
        <v>15571</v>
      </c>
      <c r="P1164" s="11">
        <v>1</v>
      </c>
      <c r="Q1164" s="11" t="s">
        <v>6125</v>
      </c>
      <c r="R1164" s="14" t="s">
        <v>6126</v>
      </c>
      <c r="S1164" s="11">
        <v>175</v>
      </c>
      <c r="T1164" s="11" t="s">
        <v>39</v>
      </c>
      <c r="U1164" s="11" t="s">
        <v>40</v>
      </c>
      <c r="V1164" s="11" t="s">
        <v>41</v>
      </c>
      <c r="W1164" s="11">
        <v>42000000</v>
      </c>
      <c r="X1164" s="11">
        <v>2002</v>
      </c>
      <c r="Y1164" s="11">
        <v>3000</v>
      </c>
      <c r="Z1164" s="11">
        <v>6.3</v>
      </c>
      <c r="AA1164" s="11">
        <v>2.35</v>
      </c>
      <c r="AB1164" s="11">
        <v>893</v>
      </c>
      <c r="AC1164" s="11"/>
      <c r="AD1164" s="11" t="str">
        <f>IFERROR(__xludf.DUMMYFUNCTION("""COMPUTED_VALUE"""),"Alyson Stoner")</f>
        <v>Alyson Stoner</v>
      </c>
      <c r="AE1164" s="11"/>
    </row>
    <row r="1165" customHeight="1" spans="1:31">
      <c r="A1165" s="12" t="s">
        <v>30</v>
      </c>
      <c r="B1165" s="12" t="s">
        <v>6127</v>
      </c>
      <c r="C1165" s="12">
        <v>27</v>
      </c>
      <c r="D1165" s="12">
        <v>122</v>
      </c>
      <c r="E1165" s="12">
        <v>0</v>
      </c>
      <c r="F1165" s="12">
        <v>292</v>
      </c>
      <c r="G1165" s="12">
        <v>12000</v>
      </c>
      <c r="H1165" s="12">
        <v>41252428</v>
      </c>
      <c r="I1165" s="12" t="s">
        <v>1415</v>
      </c>
      <c r="J1165" s="12" t="s">
        <v>301</v>
      </c>
      <c r="K1165" s="12" t="s">
        <v>2915</v>
      </c>
      <c r="L1165" s="12" t="s">
        <v>6128</v>
      </c>
      <c r="M1165" s="12" t="s">
        <v>6129</v>
      </c>
      <c r="N1165" s="12">
        <v>11453</v>
      </c>
      <c r="O1165" s="12">
        <v>13716</v>
      </c>
      <c r="P1165" s="12">
        <v>0</v>
      </c>
      <c r="Q1165" s="12" t="s">
        <v>6130</v>
      </c>
      <c r="R1165" s="15" t="s">
        <v>6131</v>
      </c>
      <c r="S1165" s="12">
        <v>71</v>
      </c>
      <c r="T1165" s="12" t="s">
        <v>39</v>
      </c>
      <c r="U1165" s="12" t="s">
        <v>40</v>
      </c>
      <c r="V1165" s="12" t="s">
        <v>41</v>
      </c>
      <c r="W1165" s="12">
        <v>42000000</v>
      </c>
      <c r="X1165" s="12">
        <v>1996</v>
      </c>
      <c r="Y1165" s="12">
        <v>592</v>
      </c>
      <c r="Z1165" s="12">
        <v>6.5</v>
      </c>
      <c r="AA1165" s="12">
        <v>1.85</v>
      </c>
      <c r="AB1165" s="12">
        <v>0</v>
      </c>
      <c r="AC1165" s="12"/>
      <c r="AD1165" s="12" t="str">
        <f>IFERROR(__xludf.DUMMYFUNCTION("""COMPUTED_VALUE"""),"Ki Hong Lee")</f>
        <v>Ki Hong Lee</v>
      </c>
      <c r="AE1165" s="12"/>
    </row>
    <row r="1166" customHeight="1" spans="1:31">
      <c r="A1166" s="11" t="s">
        <v>30</v>
      </c>
      <c r="B1166" s="11" t="s">
        <v>6132</v>
      </c>
      <c r="C1166" s="11">
        <v>166</v>
      </c>
      <c r="D1166" s="11">
        <v>119</v>
      </c>
      <c r="E1166" s="11">
        <v>89</v>
      </c>
      <c r="F1166" s="11">
        <v>395</v>
      </c>
      <c r="G1166" s="11">
        <v>650</v>
      </c>
      <c r="H1166" s="11">
        <v>35228696</v>
      </c>
      <c r="I1166" s="11" t="s">
        <v>6133</v>
      </c>
      <c r="J1166" s="11" t="s">
        <v>2388</v>
      </c>
      <c r="K1166" s="11" t="s">
        <v>979</v>
      </c>
      <c r="L1166" s="11" t="s">
        <v>6134</v>
      </c>
      <c r="M1166" s="11" t="s">
        <v>6135</v>
      </c>
      <c r="N1166" s="11">
        <v>63677</v>
      </c>
      <c r="O1166" s="11">
        <v>1651</v>
      </c>
      <c r="P1166" s="11">
        <v>0</v>
      </c>
      <c r="Q1166" s="11" t="s">
        <v>6136</v>
      </c>
      <c r="R1166" s="14" t="s">
        <v>6137</v>
      </c>
      <c r="S1166" s="11">
        <v>460</v>
      </c>
      <c r="T1166" s="11" t="s">
        <v>39</v>
      </c>
      <c r="U1166" s="11" t="s">
        <v>40</v>
      </c>
      <c r="V1166" s="11" t="s">
        <v>41</v>
      </c>
      <c r="W1166" s="11">
        <v>32000000</v>
      </c>
      <c r="X1166" s="11">
        <v>2002</v>
      </c>
      <c r="Y1166" s="11">
        <v>537</v>
      </c>
      <c r="Z1166" s="11">
        <v>6.5</v>
      </c>
      <c r="AA1166" s="11">
        <v>2.35</v>
      </c>
      <c r="AB1166" s="11">
        <v>0</v>
      </c>
      <c r="AC1166" s="11"/>
      <c r="AD1166" s="11" t="str">
        <f>IFERROR(__xludf.DUMMYFUNCTION("""COMPUTED_VALUE"""),"Rosa Salazar")</f>
        <v>Rosa Salazar</v>
      </c>
      <c r="AE1166" s="11"/>
    </row>
    <row r="1167" customHeight="1" spans="1:31">
      <c r="A1167" s="12" t="s">
        <v>30</v>
      </c>
      <c r="B1167" s="12" t="s">
        <v>3723</v>
      </c>
      <c r="C1167" s="12">
        <v>288</v>
      </c>
      <c r="D1167" s="12">
        <v>81</v>
      </c>
      <c r="E1167" s="12">
        <v>119</v>
      </c>
      <c r="F1167" s="12">
        <v>412</v>
      </c>
      <c r="G1167" s="12">
        <v>468</v>
      </c>
      <c r="H1167" s="12">
        <v>59992760</v>
      </c>
      <c r="I1167" s="12" t="s">
        <v>1672</v>
      </c>
      <c r="J1167" s="12" t="s">
        <v>6138</v>
      </c>
      <c r="K1167" s="12" t="s">
        <v>1988</v>
      </c>
      <c r="L1167" s="12" t="s">
        <v>6139</v>
      </c>
      <c r="M1167" s="12" t="s">
        <v>6140</v>
      </c>
      <c r="N1167" s="12">
        <v>119622</v>
      </c>
      <c r="O1167" s="12">
        <v>2134</v>
      </c>
      <c r="P1167" s="12">
        <v>1</v>
      </c>
      <c r="Q1167" s="12" t="s">
        <v>6141</v>
      </c>
      <c r="R1167" s="15" t="s">
        <v>6142</v>
      </c>
      <c r="S1167" s="12">
        <v>396</v>
      </c>
      <c r="T1167" s="12" t="s">
        <v>39</v>
      </c>
      <c r="U1167" s="12" t="s">
        <v>40</v>
      </c>
      <c r="V1167" s="12" t="s">
        <v>586</v>
      </c>
      <c r="W1167" s="12">
        <v>42000000</v>
      </c>
      <c r="X1167" s="12">
        <v>2009</v>
      </c>
      <c r="Y1167" s="12">
        <v>442</v>
      </c>
      <c r="Z1167" s="12">
        <v>5.8</v>
      </c>
      <c r="AA1167" s="12">
        <v>1.85</v>
      </c>
      <c r="AB1167" s="12">
        <v>0</v>
      </c>
      <c r="AC1167" s="12"/>
      <c r="AD1167" s="12" t="str">
        <f>IFERROR(__xludf.DUMMYFUNCTION("""COMPUTED_VALUE"""),"Jaqueline Fleming")</f>
        <v>Jaqueline Fleming</v>
      </c>
      <c r="AE1167" s="12"/>
    </row>
    <row r="1168" customHeight="1" spans="1:31">
      <c r="A1168" s="11" t="s">
        <v>30</v>
      </c>
      <c r="B1168" s="11" t="s">
        <v>6143</v>
      </c>
      <c r="C1168" s="11">
        <v>117</v>
      </c>
      <c r="D1168" s="11">
        <v>133</v>
      </c>
      <c r="E1168" s="11">
        <v>46</v>
      </c>
      <c r="F1168" s="11">
        <v>275</v>
      </c>
      <c r="G1168" s="11">
        <v>683</v>
      </c>
      <c r="H1168" s="11">
        <v>34667015</v>
      </c>
      <c r="I1168" s="11" t="s">
        <v>51</v>
      </c>
      <c r="J1168" s="11" t="s">
        <v>6144</v>
      </c>
      <c r="K1168" s="11" t="s">
        <v>3485</v>
      </c>
      <c r="L1168" s="11" t="s">
        <v>6145</v>
      </c>
      <c r="M1168" s="11" t="s">
        <v>6146</v>
      </c>
      <c r="N1168" s="11">
        <v>74009</v>
      </c>
      <c r="O1168" s="11">
        <v>2371</v>
      </c>
      <c r="P1168" s="11">
        <v>0</v>
      </c>
      <c r="Q1168" s="11" t="s">
        <v>6147</v>
      </c>
      <c r="R1168" s="14" t="s">
        <v>6148</v>
      </c>
      <c r="S1168" s="11">
        <v>317</v>
      </c>
      <c r="T1168" s="11" t="s">
        <v>39</v>
      </c>
      <c r="U1168" s="11" t="s">
        <v>58</v>
      </c>
      <c r="V1168" s="11" t="s">
        <v>41</v>
      </c>
      <c r="W1168" s="11">
        <v>32000000</v>
      </c>
      <c r="X1168" s="11">
        <v>1989</v>
      </c>
      <c r="Y1168" s="11">
        <v>349</v>
      </c>
      <c r="Z1168" s="11">
        <v>6.6</v>
      </c>
      <c r="AA1168" s="11">
        <v>2.35</v>
      </c>
      <c r="AB1168" s="11">
        <v>0</v>
      </c>
      <c r="AC1168" s="11"/>
      <c r="AD1168" s="11" t="str">
        <f>IFERROR(__xludf.DUMMYFUNCTION("""COMPUTED_VALUE"""),"Jessalyn Gilsig")</f>
        <v>Jessalyn Gilsig</v>
      </c>
      <c r="AE1168" s="11"/>
    </row>
    <row r="1169" customHeight="1" spans="1:31">
      <c r="A1169" s="12" t="s">
        <v>30</v>
      </c>
      <c r="B1169" s="12" t="s">
        <v>6149</v>
      </c>
      <c r="C1169" s="12">
        <v>291</v>
      </c>
      <c r="D1169" s="12">
        <v>100</v>
      </c>
      <c r="E1169" s="12">
        <v>308</v>
      </c>
      <c r="F1169" s="12">
        <v>913</v>
      </c>
      <c r="G1169" s="12">
        <v>10000</v>
      </c>
      <c r="H1169" s="12">
        <v>37652565</v>
      </c>
      <c r="I1169" s="12" t="s">
        <v>2664</v>
      </c>
      <c r="J1169" s="12" t="s">
        <v>440</v>
      </c>
      <c r="K1169" s="12" t="s">
        <v>4055</v>
      </c>
      <c r="L1169" s="12" t="s">
        <v>2666</v>
      </c>
      <c r="M1169" s="12" t="s">
        <v>6150</v>
      </c>
      <c r="N1169" s="12">
        <v>91151</v>
      </c>
      <c r="O1169" s="12">
        <v>15369</v>
      </c>
      <c r="P1169" s="12">
        <v>2</v>
      </c>
      <c r="Q1169" s="12" t="s">
        <v>6151</v>
      </c>
      <c r="R1169" s="15" t="s">
        <v>6152</v>
      </c>
      <c r="S1169" s="12">
        <v>283</v>
      </c>
      <c r="T1169" s="12" t="s">
        <v>39</v>
      </c>
      <c r="U1169" s="12" t="s">
        <v>40</v>
      </c>
      <c r="V1169" s="12" t="s">
        <v>41</v>
      </c>
      <c r="W1169" s="12">
        <v>42000000</v>
      </c>
      <c r="X1169" s="12">
        <v>2011</v>
      </c>
      <c r="Y1169" s="12">
        <v>2000</v>
      </c>
      <c r="Z1169" s="12">
        <v>5.4</v>
      </c>
      <c r="AA1169" s="12">
        <v>2.35</v>
      </c>
      <c r="AB1169" s="12">
        <v>20000</v>
      </c>
      <c r="AC1169" s="12"/>
      <c r="AD1169" s="12" t="str">
        <f>IFERROR(__xludf.DUMMYFUNCTION("""COMPUTED_VALUE"""),"Billy Burke")</f>
        <v>Billy Burke</v>
      </c>
      <c r="AE1169" s="12"/>
    </row>
    <row r="1170" customHeight="1" spans="1:31">
      <c r="A1170" s="11" t="s">
        <v>30</v>
      </c>
      <c r="B1170" s="11" t="s">
        <v>6153</v>
      </c>
      <c r="C1170" s="11">
        <v>151</v>
      </c>
      <c r="D1170" s="11">
        <v>120</v>
      </c>
      <c r="E1170" s="11">
        <v>17</v>
      </c>
      <c r="F1170" s="11">
        <v>808</v>
      </c>
      <c r="G1170" s="11">
        <v>22000</v>
      </c>
      <c r="H1170" s="11">
        <v>24375436</v>
      </c>
      <c r="I1170" s="11" t="s">
        <v>464</v>
      </c>
      <c r="J1170" s="11" t="s">
        <v>1746</v>
      </c>
      <c r="K1170" s="11" t="s">
        <v>778</v>
      </c>
      <c r="L1170" s="11" t="s">
        <v>264</v>
      </c>
      <c r="M1170" s="11" t="s">
        <v>6154</v>
      </c>
      <c r="N1170" s="11">
        <v>42547</v>
      </c>
      <c r="O1170" s="11">
        <v>33585</v>
      </c>
      <c r="P1170" s="11">
        <v>1</v>
      </c>
      <c r="Q1170" s="11" t="s">
        <v>6155</v>
      </c>
      <c r="R1170" s="14" t="s">
        <v>6156</v>
      </c>
      <c r="S1170" s="11">
        <v>265</v>
      </c>
      <c r="T1170" s="11" t="s">
        <v>39</v>
      </c>
      <c r="U1170" s="11" t="s">
        <v>40</v>
      </c>
      <c r="V1170" s="11" t="s">
        <v>586</v>
      </c>
      <c r="W1170" s="11">
        <v>42000000</v>
      </c>
      <c r="X1170" s="11">
        <v>2001</v>
      </c>
      <c r="Y1170" s="11">
        <v>9000</v>
      </c>
      <c r="Z1170" s="11">
        <v>6.1</v>
      </c>
      <c r="AA1170" s="11">
        <v>2.35</v>
      </c>
      <c r="AB1170" s="11">
        <v>748</v>
      </c>
      <c r="AC1170" s="11"/>
      <c r="AD1170" s="11" t="str">
        <f>IFERROR(__xludf.DUMMYFUNCTION("""COMPUTED_VALUE"""),"Jacinda Barrett")</f>
        <v>Jacinda Barrett</v>
      </c>
      <c r="AE1170" s="11"/>
    </row>
    <row r="1171" customHeight="1" spans="1:31">
      <c r="A1171" s="12" t="s">
        <v>30</v>
      </c>
      <c r="B1171" s="12" t="s">
        <v>6157</v>
      </c>
      <c r="C1171" s="12">
        <v>36</v>
      </c>
      <c r="D1171" s="12">
        <v>104</v>
      </c>
      <c r="E1171" s="12">
        <v>5</v>
      </c>
      <c r="F1171" s="12">
        <v>687</v>
      </c>
      <c r="G1171" s="12">
        <v>5000</v>
      </c>
      <c r="H1171" s="12">
        <v>20915465</v>
      </c>
      <c r="I1171" s="12" t="s">
        <v>5913</v>
      </c>
      <c r="J1171" s="12" t="s">
        <v>2398</v>
      </c>
      <c r="K1171" s="12" t="s">
        <v>6158</v>
      </c>
      <c r="L1171" s="12" t="s">
        <v>770</v>
      </c>
      <c r="M1171" s="12" t="s">
        <v>6159</v>
      </c>
      <c r="N1171" s="12">
        <v>38203</v>
      </c>
      <c r="O1171" s="12">
        <v>7723</v>
      </c>
      <c r="P1171" s="12">
        <v>0</v>
      </c>
      <c r="Q1171" s="12" t="s">
        <v>6160</v>
      </c>
      <c r="R1171" s="15" t="s">
        <v>6161</v>
      </c>
      <c r="S1171" s="12">
        <v>290</v>
      </c>
      <c r="T1171" s="12" t="s">
        <v>39</v>
      </c>
      <c r="U1171" s="12" t="s">
        <v>58</v>
      </c>
      <c r="V1171" s="12" t="s">
        <v>96</v>
      </c>
      <c r="W1171" s="12">
        <v>42000000</v>
      </c>
      <c r="X1171" s="12">
        <v>1993</v>
      </c>
      <c r="Y1171" s="12">
        <v>922</v>
      </c>
      <c r="Z1171" s="12">
        <v>4</v>
      </c>
      <c r="AA1171" s="12">
        <v>1.85</v>
      </c>
      <c r="AB1171" s="12">
        <v>0</v>
      </c>
      <c r="AC1171" s="12"/>
      <c r="AD1171" s="12" t="str">
        <f>IFERROR(__xludf.DUMMYFUNCTION("""COMPUTED_VALUE"""),"Saffron Burrows")</f>
        <v>Saffron Burrows</v>
      </c>
      <c r="AE1171" s="12"/>
    </row>
    <row r="1172" customHeight="1" spans="1:31">
      <c r="A1172" s="11" t="s">
        <v>30</v>
      </c>
      <c r="B1172" s="11" t="s">
        <v>5350</v>
      </c>
      <c r="C1172" s="11">
        <v>168</v>
      </c>
      <c r="D1172" s="11">
        <v>122</v>
      </c>
      <c r="E1172" s="11">
        <v>487</v>
      </c>
      <c r="F1172" s="11">
        <v>16</v>
      </c>
      <c r="G1172" s="11">
        <v>12000</v>
      </c>
      <c r="H1172" s="11">
        <v>24127895</v>
      </c>
      <c r="I1172" s="11" t="s">
        <v>2126</v>
      </c>
      <c r="J1172" s="11" t="s">
        <v>705</v>
      </c>
      <c r="K1172" s="11" t="s">
        <v>6162</v>
      </c>
      <c r="L1172" s="11" t="s">
        <v>6163</v>
      </c>
      <c r="M1172" s="11" t="s">
        <v>6164</v>
      </c>
      <c r="N1172" s="11">
        <v>248123</v>
      </c>
      <c r="O1172" s="11">
        <v>12076</v>
      </c>
      <c r="P1172" s="11">
        <v>2</v>
      </c>
      <c r="Q1172" s="11" t="s">
        <v>6165</v>
      </c>
      <c r="R1172" s="14" t="s">
        <v>6166</v>
      </c>
      <c r="S1172" s="11">
        <v>437</v>
      </c>
      <c r="T1172" s="11" t="s">
        <v>39</v>
      </c>
      <c r="U1172" s="11" t="s">
        <v>40</v>
      </c>
      <c r="V1172" s="11" t="s">
        <v>586</v>
      </c>
      <c r="W1172" s="11">
        <v>50000000</v>
      </c>
      <c r="X1172" s="11">
        <v>2005</v>
      </c>
      <c r="Y1172" s="11">
        <v>43</v>
      </c>
      <c r="Z1172" s="11">
        <v>7.6</v>
      </c>
      <c r="AA1172" s="11">
        <v>2.35</v>
      </c>
      <c r="AB1172" s="11">
        <v>10000</v>
      </c>
      <c r="AC1172" s="11"/>
      <c r="AD1172" s="11" t="str">
        <f>IFERROR(__xludf.DUMMYFUNCTION("""COMPUTED_VALUE"""),"Misha Gabriel Hamilton")</f>
        <v>Misha Gabriel Hamilton</v>
      </c>
      <c r="AE1172" s="11"/>
    </row>
    <row r="1173" customHeight="1" spans="1:31">
      <c r="A1173" s="12" t="s">
        <v>748</v>
      </c>
      <c r="B1173" s="12" t="s">
        <v>1940</v>
      </c>
      <c r="C1173" s="12">
        <v>283</v>
      </c>
      <c r="D1173" s="12">
        <v>80</v>
      </c>
      <c r="E1173" s="12">
        <v>611</v>
      </c>
      <c r="F1173" s="12">
        <v>576</v>
      </c>
      <c r="G1173" s="12">
        <v>5000</v>
      </c>
      <c r="H1173" s="12">
        <v>84961</v>
      </c>
      <c r="I1173" s="12" t="s">
        <v>1313</v>
      </c>
      <c r="J1173" s="12" t="s">
        <v>502</v>
      </c>
      <c r="K1173" s="12" t="s">
        <v>6167</v>
      </c>
      <c r="L1173" s="12" t="s">
        <v>6168</v>
      </c>
      <c r="M1173" s="12" t="s">
        <v>6169</v>
      </c>
      <c r="N1173" s="12">
        <v>149414</v>
      </c>
      <c r="O1173" s="12">
        <v>6229</v>
      </c>
      <c r="P1173" s="12">
        <v>4</v>
      </c>
      <c r="Q1173" s="12" t="s">
        <v>6170</v>
      </c>
      <c r="R1173" s="15" t="s">
        <v>6171</v>
      </c>
      <c r="S1173" s="12">
        <v>841</v>
      </c>
      <c r="T1173" s="12" t="s">
        <v>1947</v>
      </c>
      <c r="U1173" s="12" t="s">
        <v>893</v>
      </c>
      <c r="V1173" s="12" t="s">
        <v>41</v>
      </c>
      <c r="W1173" s="12">
        <v>31000000</v>
      </c>
      <c r="X1173" s="12">
        <v>2002</v>
      </c>
      <c r="Y1173" s="12">
        <v>643</v>
      </c>
      <c r="Z1173" s="12">
        <v>7.9</v>
      </c>
      <c r="AA1173" s="12">
        <v>2.35</v>
      </c>
      <c r="AB1173" s="12">
        <v>0</v>
      </c>
      <c r="AC1173" s="12"/>
      <c r="AD1173" s="12" t="str">
        <f>IFERROR(__xludf.DUMMYFUNCTION("""COMPUTED_VALUE"""),"Mekia Cox")</f>
        <v>Mekia Cox</v>
      </c>
      <c r="AE1173" s="12"/>
    </row>
    <row r="1174" customHeight="1" spans="1:31">
      <c r="A1174" s="11" t="s">
        <v>30</v>
      </c>
      <c r="B1174" s="11" t="s">
        <v>6172</v>
      </c>
      <c r="C1174" s="11">
        <v>127</v>
      </c>
      <c r="D1174" s="11">
        <v>91</v>
      </c>
      <c r="E1174" s="11">
        <v>30</v>
      </c>
      <c r="F1174" s="11">
        <v>497</v>
      </c>
      <c r="G1174" s="11">
        <v>922</v>
      </c>
      <c r="H1174" s="11">
        <v>26404753</v>
      </c>
      <c r="I1174" s="11" t="s">
        <v>1534</v>
      </c>
      <c r="J1174" s="11" t="s">
        <v>6158</v>
      </c>
      <c r="K1174" s="11" t="s">
        <v>6173</v>
      </c>
      <c r="L1174" s="11" t="s">
        <v>3985</v>
      </c>
      <c r="M1174" s="11" t="s">
        <v>6174</v>
      </c>
      <c r="N1174" s="11">
        <v>34203</v>
      </c>
      <c r="O1174" s="11">
        <v>3301</v>
      </c>
      <c r="P1174" s="11">
        <v>1</v>
      </c>
      <c r="Q1174" s="11" t="s">
        <v>6175</v>
      </c>
      <c r="R1174" s="14" t="s">
        <v>6176</v>
      </c>
      <c r="S1174" s="11">
        <v>169</v>
      </c>
      <c r="T1174" s="11" t="s">
        <v>39</v>
      </c>
      <c r="U1174" s="11" t="s">
        <v>40</v>
      </c>
      <c r="V1174" s="11" t="s">
        <v>41</v>
      </c>
      <c r="W1174" s="11">
        <v>40000000</v>
      </c>
      <c r="X1174" s="11">
        <v>2012</v>
      </c>
      <c r="Y1174" s="11">
        <v>786</v>
      </c>
      <c r="Z1174" s="11">
        <v>5.3</v>
      </c>
      <c r="AA1174" s="11">
        <v>2.35</v>
      </c>
      <c r="AB1174" s="11">
        <v>19000</v>
      </c>
      <c r="AC1174" s="11"/>
      <c r="AD1174" s="11" t="str">
        <f>IFERROR(__xludf.DUMMYFUNCTION("""COMPUTED_VALUE"""),"Judith Hill")</f>
        <v>Judith Hill</v>
      </c>
      <c r="AE1174" s="11"/>
    </row>
    <row r="1175" customHeight="1" spans="1:31">
      <c r="A1175" s="12" t="s">
        <v>30</v>
      </c>
      <c r="B1175" s="12" t="s">
        <v>6177</v>
      </c>
      <c r="C1175" s="12">
        <v>293</v>
      </c>
      <c r="D1175" s="12">
        <v>112</v>
      </c>
      <c r="E1175" s="12">
        <v>133</v>
      </c>
      <c r="F1175" s="12">
        <v>365</v>
      </c>
      <c r="G1175" s="12">
        <v>11000</v>
      </c>
      <c r="H1175" s="12">
        <v>6105175</v>
      </c>
      <c r="I1175" s="12" t="s">
        <v>1672</v>
      </c>
      <c r="J1175" s="12" t="s">
        <v>83</v>
      </c>
      <c r="K1175" s="12" t="s">
        <v>6178</v>
      </c>
      <c r="L1175" s="12" t="s">
        <v>6179</v>
      </c>
      <c r="M1175" s="12" t="s">
        <v>6180</v>
      </c>
      <c r="N1175" s="12">
        <v>247020</v>
      </c>
      <c r="O1175" s="12">
        <v>12239</v>
      </c>
      <c r="P1175" s="12">
        <v>4</v>
      </c>
      <c r="Q1175" s="12" t="s">
        <v>6181</v>
      </c>
      <c r="R1175" s="15" t="s">
        <v>6182</v>
      </c>
      <c r="S1175" s="12">
        <v>835</v>
      </c>
      <c r="T1175" s="12" t="s">
        <v>39</v>
      </c>
      <c r="U1175" s="12" t="s">
        <v>40</v>
      </c>
      <c r="V1175" s="12" t="s">
        <v>586</v>
      </c>
      <c r="W1175" s="12">
        <v>44000000</v>
      </c>
      <c r="X1175" s="12">
        <v>2014</v>
      </c>
      <c r="Y1175" s="12">
        <v>392</v>
      </c>
      <c r="Z1175" s="12">
        <v>6.6</v>
      </c>
      <c r="AA1175" s="12">
        <v>2.35</v>
      </c>
      <c r="AB1175" s="12">
        <v>50000</v>
      </c>
      <c r="AC1175" s="12"/>
      <c r="AD1175" s="12" t="str">
        <f>IFERROR(__xludf.DUMMYFUNCTION("""COMPUTED_VALUE"""),"Monique Gabriela Curnen")</f>
        <v>Monique Gabriela Curnen</v>
      </c>
      <c r="AE1175" s="12"/>
    </row>
    <row r="1176" customHeight="1" spans="1:31">
      <c r="A1176" s="11" t="s">
        <v>30</v>
      </c>
      <c r="B1176" s="11" t="s">
        <v>6183</v>
      </c>
      <c r="C1176" s="11">
        <v>95</v>
      </c>
      <c r="D1176" s="11">
        <v>100</v>
      </c>
      <c r="E1176" s="11">
        <v>19</v>
      </c>
      <c r="F1176" s="11">
        <v>433</v>
      </c>
      <c r="G1176" s="11">
        <v>624</v>
      </c>
      <c r="H1176" s="11">
        <v>5664251</v>
      </c>
      <c r="I1176" s="11" t="s">
        <v>6184</v>
      </c>
      <c r="J1176" s="11" t="s">
        <v>4978</v>
      </c>
      <c r="K1176" s="11" t="s">
        <v>6185</v>
      </c>
      <c r="L1176" s="11" t="s">
        <v>6186</v>
      </c>
      <c r="M1176" s="11" t="s">
        <v>6187</v>
      </c>
      <c r="N1176" s="11">
        <v>22309</v>
      </c>
      <c r="O1176" s="11">
        <v>2056</v>
      </c>
      <c r="P1176" s="11">
        <v>1</v>
      </c>
      <c r="Q1176" s="11" t="s">
        <v>6188</v>
      </c>
      <c r="R1176" s="14" t="s">
        <v>6189</v>
      </c>
      <c r="S1176" s="11">
        <v>102</v>
      </c>
      <c r="T1176" s="11" t="s">
        <v>39</v>
      </c>
      <c r="U1176" s="11" t="s">
        <v>180</v>
      </c>
      <c r="V1176" s="11" t="s">
        <v>586</v>
      </c>
      <c r="W1176" s="11">
        <v>45000000</v>
      </c>
      <c r="X1176" s="11">
        <v>2010</v>
      </c>
      <c r="Y1176" s="11">
        <v>489</v>
      </c>
      <c r="Z1176" s="11">
        <v>6.3</v>
      </c>
      <c r="AA1176" s="11">
        <v>2.35</v>
      </c>
      <c r="AB1176" s="11">
        <v>0</v>
      </c>
      <c r="AC1176" s="11"/>
      <c r="AD1176" s="11" t="str">
        <f>IFERROR(__xludf.DUMMYFUNCTION("""COMPUTED_VALUE"""),"Griffin Kane")</f>
        <v>Griffin Kane</v>
      </c>
      <c r="AE1176" s="11"/>
    </row>
    <row r="1177" customHeight="1" spans="1:31">
      <c r="A1177" s="12" t="s">
        <v>748</v>
      </c>
      <c r="B1177" s="16"/>
      <c r="C1177" s="12">
        <v>4</v>
      </c>
      <c r="D1177" s="12">
        <v>30</v>
      </c>
      <c r="E1177" s="16"/>
      <c r="F1177" s="12">
        <v>253</v>
      </c>
      <c r="G1177" s="12">
        <v>870</v>
      </c>
      <c r="H1177" s="16"/>
      <c r="I1177" s="12" t="s">
        <v>6190</v>
      </c>
      <c r="J1177" s="12" t="s">
        <v>3315</v>
      </c>
      <c r="K1177" s="12" t="s">
        <v>6191</v>
      </c>
      <c r="L1177" s="12" t="s">
        <v>6192</v>
      </c>
      <c r="M1177" s="12" t="s">
        <v>6193</v>
      </c>
      <c r="N1177" s="12">
        <v>1558</v>
      </c>
      <c r="O1177" s="12">
        <v>1610</v>
      </c>
      <c r="P1177" s="12">
        <v>1</v>
      </c>
      <c r="Q1177" s="12" t="s">
        <v>6194</v>
      </c>
      <c r="R1177" s="15" t="s">
        <v>6195</v>
      </c>
      <c r="S1177" s="12">
        <v>18</v>
      </c>
      <c r="T1177" s="12" t="s">
        <v>39</v>
      </c>
      <c r="U1177" s="12" t="s">
        <v>40</v>
      </c>
      <c r="V1177" s="12" t="s">
        <v>2750</v>
      </c>
      <c r="W1177" s="16"/>
      <c r="X1177" s="16"/>
      <c r="Y1177" s="12">
        <v>284</v>
      </c>
      <c r="Z1177" s="12">
        <v>7.5</v>
      </c>
      <c r="AA1177" s="12">
        <v>4</v>
      </c>
      <c r="AB1177" s="12">
        <v>455</v>
      </c>
      <c r="AC1177" s="12"/>
      <c r="AD1177" s="12" t="str">
        <f>IFERROR(__xludf.DUMMYFUNCTION("""COMPUTED_VALUE"""),"Dyan Cannon")</f>
        <v>Dyan Cannon</v>
      </c>
      <c r="AE1177" s="12"/>
    </row>
    <row r="1178" customHeight="1" spans="1:31">
      <c r="A1178" s="11" t="s">
        <v>30</v>
      </c>
      <c r="B1178" s="11" t="s">
        <v>4177</v>
      </c>
      <c r="C1178" s="11">
        <v>213</v>
      </c>
      <c r="D1178" s="11">
        <v>105</v>
      </c>
      <c r="E1178" s="11">
        <v>0</v>
      </c>
      <c r="F1178" s="11">
        <v>52</v>
      </c>
      <c r="G1178" s="11">
        <v>1000</v>
      </c>
      <c r="H1178" s="11">
        <v>1260917</v>
      </c>
      <c r="I1178" s="11" t="s">
        <v>1753</v>
      </c>
      <c r="J1178" s="11" t="s">
        <v>237</v>
      </c>
      <c r="K1178" s="11" t="s">
        <v>6196</v>
      </c>
      <c r="L1178" s="11" t="s">
        <v>4819</v>
      </c>
      <c r="M1178" s="11" t="s">
        <v>6197</v>
      </c>
      <c r="N1178" s="11">
        <v>24657</v>
      </c>
      <c r="O1178" s="11">
        <v>1342</v>
      </c>
      <c r="P1178" s="11">
        <v>4</v>
      </c>
      <c r="Q1178" s="11" t="s">
        <v>6198</v>
      </c>
      <c r="R1178" s="14" t="s">
        <v>6199</v>
      </c>
      <c r="S1178" s="11">
        <v>71</v>
      </c>
      <c r="T1178" s="11" t="s">
        <v>1465</v>
      </c>
      <c r="U1178" s="11" t="s">
        <v>1466</v>
      </c>
      <c r="V1178" s="11" t="s">
        <v>586</v>
      </c>
      <c r="W1178" s="11">
        <v>27000000</v>
      </c>
      <c r="X1178" s="11">
        <v>2009</v>
      </c>
      <c r="Y1178" s="11">
        <v>172</v>
      </c>
      <c r="Z1178" s="11">
        <v>7.2</v>
      </c>
      <c r="AA1178" s="11">
        <v>2.35</v>
      </c>
      <c r="AB1178" s="11">
        <v>0</v>
      </c>
      <c r="AC1178" s="11"/>
      <c r="AD1178" s="11" t="str">
        <f>IFERROR(__xludf.DUMMYFUNCTION("""COMPUTED_VALUE"""),"Bill Hunter")</f>
        <v>Bill Hunter</v>
      </c>
      <c r="AE1178" s="11"/>
    </row>
    <row r="1179" customHeight="1" spans="1:31">
      <c r="A1179" s="12" t="s">
        <v>30</v>
      </c>
      <c r="B1179" s="12" t="s">
        <v>4915</v>
      </c>
      <c r="C1179" s="12">
        <v>119</v>
      </c>
      <c r="D1179" s="12">
        <v>110</v>
      </c>
      <c r="E1179" s="12">
        <v>161</v>
      </c>
      <c r="F1179" s="12">
        <v>196</v>
      </c>
      <c r="G1179" s="12">
        <v>1000</v>
      </c>
      <c r="H1179" s="12">
        <v>116724075</v>
      </c>
      <c r="I1179" s="12" t="s">
        <v>6200</v>
      </c>
      <c r="J1179" s="12" t="s">
        <v>1540</v>
      </c>
      <c r="K1179" s="12" t="s">
        <v>706</v>
      </c>
      <c r="L1179" s="12" t="s">
        <v>6201</v>
      </c>
      <c r="M1179" s="12" t="s">
        <v>6202</v>
      </c>
      <c r="N1179" s="12">
        <v>187181</v>
      </c>
      <c r="O1179" s="12">
        <v>1954</v>
      </c>
      <c r="P1179" s="12">
        <v>0</v>
      </c>
      <c r="Q1179" s="12" t="s">
        <v>6203</v>
      </c>
      <c r="R1179" s="15" t="s">
        <v>6204</v>
      </c>
      <c r="S1179" s="12">
        <v>564</v>
      </c>
      <c r="T1179" s="12" t="s">
        <v>39</v>
      </c>
      <c r="U1179" s="12" t="s">
        <v>40</v>
      </c>
      <c r="V1179" s="12" t="s">
        <v>586</v>
      </c>
      <c r="W1179" s="12">
        <v>41000000</v>
      </c>
      <c r="X1179" s="12">
        <v>2002</v>
      </c>
      <c r="Y1179" s="12">
        <v>418</v>
      </c>
      <c r="Z1179" s="12">
        <v>7</v>
      </c>
      <c r="AA1179" s="12">
        <v>2.35</v>
      </c>
      <c r="AB1179" s="12">
        <v>0</v>
      </c>
      <c r="AC1179" s="12"/>
      <c r="AD1179" s="12" t="str">
        <f>IFERROR(__xludf.DUMMYFUNCTION("""COMPUTED_VALUE"""),"Dawn French")</f>
        <v>Dawn French</v>
      </c>
      <c r="AE1179" s="12"/>
    </row>
    <row r="1180" customHeight="1" spans="1:31">
      <c r="A1180" s="11" t="s">
        <v>30</v>
      </c>
      <c r="B1180" s="11" t="s">
        <v>6205</v>
      </c>
      <c r="C1180" s="11">
        <v>9</v>
      </c>
      <c r="D1180" s="11">
        <v>101</v>
      </c>
      <c r="E1180" s="11">
        <v>326</v>
      </c>
      <c r="F1180" s="11">
        <v>6</v>
      </c>
      <c r="G1180" s="11">
        <v>326</v>
      </c>
      <c r="H1180" s="13"/>
      <c r="I1180" s="11" t="s">
        <v>471</v>
      </c>
      <c r="J1180" s="11" t="s">
        <v>6205</v>
      </c>
      <c r="K1180" s="11" t="s">
        <v>6206</v>
      </c>
      <c r="L1180" s="11" t="s">
        <v>6207</v>
      </c>
      <c r="M1180" s="11" t="s">
        <v>6208</v>
      </c>
      <c r="N1180" s="11">
        <v>590</v>
      </c>
      <c r="O1180" s="11">
        <v>488</v>
      </c>
      <c r="P1180" s="11">
        <v>0</v>
      </c>
      <c r="Q1180" s="11" t="s">
        <v>6209</v>
      </c>
      <c r="R1180" s="14" t="s">
        <v>6210</v>
      </c>
      <c r="S1180" s="11">
        <v>5</v>
      </c>
      <c r="T1180" s="11" t="s">
        <v>1465</v>
      </c>
      <c r="U1180" s="11" t="s">
        <v>1466</v>
      </c>
      <c r="V1180" s="13"/>
      <c r="W1180" s="13"/>
      <c r="X1180" s="11">
        <v>2015</v>
      </c>
      <c r="Y1180" s="11">
        <v>152</v>
      </c>
      <c r="Z1180" s="11">
        <v>4.9</v>
      </c>
      <c r="AA1180" s="13"/>
      <c r="AB1180" s="11">
        <v>161</v>
      </c>
      <c r="AC1180" s="11"/>
      <c r="AD1180" s="11" t="str">
        <f>IFERROR(__xludf.DUMMYFUNCTION("""COMPUTED_VALUE"""),"John Hodgman")</f>
        <v>John Hodgman</v>
      </c>
      <c r="AE1180" s="11"/>
    </row>
    <row r="1181" customHeight="1" spans="1:31">
      <c r="A1181" s="12" t="s">
        <v>30</v>
      </c>
      <c r="B1181" s="12" t="s">
        <v>5082</v>
      </c>
      <c r="C1181" s="12">
        <v>167</v>
      </c>
      <c r="D1181" s="12">
        <v>144</v>
      </c>
      <c r="E1181" s="12">
        <v>241</v>
      </c>
      <c r="F1181" s="12">
        <v>996</v>
      </c>
      <c r="G1181" s="12">
        <v>13000</v>
      </c>
      <c r="H1181" s="12">
        <v>56083966</v>
      </c>
      <c r="I1181" s="12" t="s">
        <v>81</v>
      </c>
      <c r="J1181" s="12" t="s">
        <v>465</v>
      </c>
      <c r="K1181" s="12" t="s">
        <v>1816</v>
      </c>
      <c r="L1181" s="12" t="s">
        <v>6211</v>
      </c>
      <c r="M1181" s="12" t="s">
        <v>6212</v>
      </c>
      <c r="N1181" s="12">
        <v>137003</v>
      </c>
      <c r="O1181" s="12">
        <v>18761</v>
      </c>
      <c r="P1181" s="12">
        <v>1</v>
      </c>
      <c r="Q1181" s="12" t="s">
        <v>6213</v>
      </c>
      <c r="R1181" s="15" t="s">
        <v>6214</v>
      </c>
      <c r="S1181" s="12">
        <v>658</v>
      </c>
      <c r="T1181" s="12" t="s">
        <v>39</v>
      </c>
      <c r="U1181" s="12" t="s">
        <v>40</v>
      </c>
      <c r="V1181" s="12" t="s">
        <v>41</v>
      </c>
      <c r="W1181" s="12">
        <v>65000000</v>
      </c>
      <c r="X1181" s="12">
        <v>2001</v>
      </c>
      <c r="Y1181" s="12">
        <v>3000</v>
      </c>
      <c r="Z1181" s="12">
        <v>6.9</v>
      </c>
      <c r="AA1181" s="12">
        <v>2.35</v>
      </c>
      <c r="AB1181" s="12">
        <v>0</v>
      </c>
      <c r="AC1181" s="12"/>
      <c r="AD1181" s="12" t="str">
        <f>IFERROR(__xludf.DUMMYFUNCTION("""COMPUTED_VALUE"""),"Kristen Connolly")</f>
        <v>Kristen Connolly</v>
      </c>
      <c r="AE1181" s="12"/>
    </row>
    <row r="1182" customHeight="1" spans="1:31">
      <c r="A1182" s="11" t="s">
        <v>30</v>
      </c>
      <c r="B1182" s="11" t="s">
        <v>6215</v>
      </c>
      <c r="C1182" s="11">
        <v>98</v>
      </c>
      <c r="D1182" s="11">
        <v>108</v>
      </c>
      <c r="E1182" s="11">
        <v>4</v>
      </c>
      <c r="F1182" s="11">
        <v>96</v>
      </c>
      <c r="G1182" s="11">
        <v>687</v>
      </c>
      <c r="H1182" s="11">
        <v>22108977</v>
      </c>
      <c r="I1182" s="11" t="s">
        <v>1259</v>
      </c>
      <c r="J1182" s="11" t="s">
        <v>6216</v>
      </c>
      <c r="K1182" s="11" t="s">
        <v>6217</v>
      </c>
      <c r="L1182" s="11" t="s">
        <v>6218</v>
      </c>
      <c r="M1182" s="11" t="s">
        <v>6219</v>
      </c>
      <c r="N1182" s="11">
        <v>29861</v>
      </c>
      <c r="O1182" s="11">
        <v>1134</v>
      </c>
      <c r="P1182" s="11">
        <v>1</v>
      </c>
      <c r="Q1182" s="11" t="s">
        <v>6220</v>
      </c>
      <c r="R1182" s="14" t="s">
        <v>6221</v>
      </c>
      <c r="S1182" s="11">
        <v>132</v>
      </c>
      <c r="T1182" s="11" t="s">
        <v>39</v>
      </c>
      <c r="U1182" s="11" t="s">
        <v>3860</v>
      </c>
      <c r="V1182" s="11" t="s">
        <v>41</v>
      </c>
      <c r="W1182" s="11">
        <v>41000000</v>
      </c>
      <c r="X1182" s="11">
        <v>2003</v>
      </c>
      <c r="Y1182" s="11">
        <v>312</v>
      </c>
      <c r="Z1182" s="11">
        <v>5.2</v>
      </c>
      <c r="AA1182" s="11">
        <v>2.35</v>
      </c>
      <c r="AB1182" s="11">
        <v>505</v>
      </c>
      <c r="AC1182" s="11"/>
      <c r="AD1182" s="11" t="str">
        <f>IFERROR(__xludf.DUMMYFUNCTION("""COMPUTED_VALUE"""),"Fred Williamson")</f>
        <v>Fred Williamson</v>
      </c>
      <c r="AE1182" s="11"/>
    </row>
    <row r="1183" customHeight="1" spans="1:31">
      <c r="A1183" s="12" t="s">
        <v>30</v>
      </c>
      <c r="B1183" s="12" t="s">
        <v>913</v>
      </c>
      <c r="C1183" s="12">
        <v>234</v>
      </c>
      <c r="D1183" s="12">
        <v>107</v>
      </c>
      <c r="E1183" s="12">
        <v>0</v>
      </c>
      <c r="F1183" s="12">
        <v>766</v>
      </c>
      <c r="G1183" s="12">
        <v>13000</v>
      </c>
      <c r="H1183" s="12">
        <v>293501675</v>
      </c>
      <c r="I1183" s="12" t="s">
        <v>1924</v>
      </c>
      <c r="J1183" s="12" t="s">
        <v>978</v>
      </c>
      <c r="K1183" s="12" t="s">
        <v>2190</v>
      </c>
      <c r="L1183" s="12" t="s">
        <v>2019</v>
      </c>
      <c r="M1183" s="12" t="s">
        <v>6222</v>
      </c>
      <c r="N1183" s="12">
        <v>704766</v>
      </c>
      <c r="O1183" s="12">
        <v>17540</v>
      </c>
      <c r="P1183" s="12">
        <v>0</v>
      </c>
      <c r="Q1183" s="12" t="s">
        <v>6223</v>
      </c>
      <c r="R1183" s="15" t="s">
        <v>6224</v>
      </c>
      <c r="S1183" s="12">
        <v>2073</v>
      </c>
      <c r="T1183" s="12" t="s">
        <v>39</v>
      </c>
      <c r="U1183" s="12" t="s">
        <v>40</v>
      </c>
      <c r="V1183" s="12" t="s">
        <v>41</v>
      </c>
      <c r="W1183" s="12">
        <v>40000000</v>
      </c>
      <c r="X1183" s="12">
        <v>1999</v>
      </c>
      <c r="Y1183" s="12">
        <v>3000</v>
      </c>
      <c r="Z1183" s="12">
        <v>8.1</v>
      </c>
      <c r="AA1183" s="12">
        <v>1.85</v>
      </c>
      <c r="AB1183" s="12">
        <v>14000</v>
      </c>
      <c r="AC1183" s="12"/>
      <c r="AD1183" s="12" t="str">
        <f>IFERROR(__xludf.DUMMYFUNCTION("""COMPUTED_VALUE"""),"Harvey Korman")</f>
        <v>Harvey Korman</v>
      </c>
      <c r="AE1183" s="12"/>
    </row>
    <row r="1184" customHeight="1" spans="1:31">
      <c r="A1184" s="11" t="s">
        <v>30</v>
      </c>
      <c r="B1184" s="11" t="s">
        <v>6225</v>
      </c>
      <c r="C1184" s="11">
        <v>258</v>
      </c>
      <c r="D1184" s="11">
        <v>102</v>
      </c>
      <c r="E1184" s="11">
        <v>20</v>
      </c>
      <c r="F1184" s="11">
        <v>54</v>
      </c>
      <c r="G1184" s="11">
        <v>107</v>
      </c>
      <c r="H1184" s="11">
        <v>18600911</v>
      </c>
      <c r="I1184" s="11" t="s">
        <v>334</v>
      </c>
      <c r="J1184" s="11" t="s">
        <v>5886</v>
      </c>
      <c r="K1184" s="11" t="s">
        <v>6226</v>
      </c>
      <c r="L1184" s="11" t="s">
        <v>6227</v>
      </c>
      <c r="M1184" s="11" t="s">
        <v>6228</v>
      </c>
      <c r="N1184" s="11">
        <v>125198</v>
      </c>
      <c r="O1184" s="11">
        <v>362</v>
      </c>
      <c r="P1184" s="11">
        <v>6</v>
      </c>
      <c r="Q1184" s="11" t="s">
        <v>6229</v>
      </c>
      <c r="R1184" s="14" t="s">
        <v>6230</v>
      </c>
      <c r="S1184" s="11">
        <v>153</v>
      </c>
      <c r="T1184" s="11" t="s">
        <v>39</v>
      </c>
      <c r="U1184" s="11" t="s">
        <v>40</v>
      </c>
      <c r="V1184" s="11" t="s">
        <v>41</v>
      </c>
      <c r="W1184" s="11">
        <v>42000000</v>
      </c>
      <c r="X1184" s="11">
        <v>2012</v>
      </c>
      <c r="Y1184" s="11">
        <v>81</v>
      </c>
      <c r="Z1184" s="11">
        <v>6.6</v>
      </c>
      <c r="AA1184" s="11">
        <v>2.35</v>
      </c>
      <c r="AB1184" s="11">
        <v>11000</v>
      </c>
      <c r="AC1184" s="11"/>
      <c r="AD1184" s="11" t="str">
        <f>IFERROR(__xludf.DUMMYFUNCTION("""COMPUTED_VALUE"""),"Jake Lloyd")</f>
        <v>Jake Lloyd</v>
      </c>
      <c r="AE1184" s="11"/>
    </row>
    <row r="1185" customHeight="1" spans="1:31">
      <c r="A1185" s="12" t="s">
        <v>30</v>
      </c>
      <c r="B1185" s="12" t="s">
        <v>3931</v>
      </c>
      <c r="C1185" s="12">
        <v>108</v>
      </c>
      <c r="D1185" s="12">
        <v>100</v>
      </c>
      <c r="E1185" s="12">
        <v>64</v>
      </c>
      <c r="F1185" s="12">
        <v>296</v>
      </c>
      <c r="G1185" s="12">
        <v>734</v>
      </c>
      <c r="H1185" s="12">
        <v>7204138</v>
      </c>
      <c r="I1185" s="12" t="s">
        <v>1672</v>
      </c>
      <c r="J1185" s="12" t="s">
        <v>5840</v>
      </c>
      <c r="K1185" s="12" t="s">
        <v>3236</v>
      </c>
      <c r="L1185" s="12" t="s">
        <v>6231</v>
      </c>
      <c r="M1185" s="12" t="s">
        <v>6232</v>
      </c>
      <c r="N1185" s="12">
        <v>34809</v>
      </c>
      <c r="O1185" s="12">
        <v>2085</v>
      </c>
      <c r="P1185" s="12">
        <v>0</v>
      </c>
      <c r="Q1185" s="12" t="s">
        <v>6233</v>
      </c>
      <c r="R1185" s="15" t="s">
        <v>6234</v>
      </c>
      <c r="S1185" s="12">
        <v>125</v>
      </c>
      <c r="T1185" s="12" t="s">
        <v>39</v>
      </c>
      <c r="U1185" s="12" t="s">
        <v>40</v>
      </c>
      <c r="V1185" s="12" t="s">
        <v>96</v>
      </c>
      <c r="W1185" s="12">
        <v>41000000</v>
      </c>
      <c r="X1185" s="12">
        <v>2011</v>
      </c>
      <c r="Y1185" s="12">
        <v>574</v>
      </c>
      <c r="Z1185" s="12">
        <v>6.2</v>
      </c>
      <c r="AA1185" s="12">
        <v>2.35</v>
      </c>
      <c r="AB1185" s="12">
        <v>11000</v>
      </c>
      <c r="AC1185" s="12"/>
      <c r="AD1185" s="12" t="str">
        <f>IFERROR(__xludf.DUMMYFUNCTION("""COMPUTED_VALUE"""),"James Babson")</f>
        <v>James Babson</v>
      </c>
      <c r="AE1185" s="12"/>
    </row>
    <row r="1186" customHeight="1" spans="1:31">
      <c r="A1186" s="11" t="s">
        <v>30</v>
      </c>
      <c r="B1186" s="11" t="s">
        <v>6235</v>
      </c>
      <c r="C1186" s="11">
        <v>81</v>
      </c>
      <c r="D1186" s="11">
        <v>126</v>
      </c>
      <c r="E1186" s="11">
        <v>80</v>
      </c>
      <c r="F1186" s="11">
        <v>225</v>
      </c>
      <c r="G1186" s="11">
        <v>668</v>
      </c>
      <c r="H1186" s="11">
        <v>90800000</v>
      </c>
      <c r="I1186" s="11" t="s">
        <v>6236</v>
      </c>
      <c r="J1186" s="11" t="s">
        <v>6021</v>
      </c>
      <c r="K1186" s="11" t="s">
        <v>6237</v>
      </c>
      <c r="L1186" s="11" t="s">
        <v>6238</v>
      </c>
      <c r="M1186" s="11" t="s">
        <v>6239</v>
      </c>
      <c r="N1186" s="11">
        <v>126907</v>
      </c>
      <c r="O1186" s="11">
        <v>2004</v>
      </c>
      <c r="P1186" s="11">
        <v>0</v>
      </c>
      <c r="Q1186" s="11" t="s">
        <v>6240</v>
      </c>
      <c r="R1186" s="14" t="s">
        <v>6241</v>
      </c>
      <c r="S1186" s="11">
        <v>235</v>
      </c>
      <c r="T1186" s="11" t="s">
        <v>39</v>
      </c>
      <c r="U1186" s="11" t="s">
        <v>40</v>
      </c>
      <c r="V1186" s="11" t="s">
        <v>96</v>
      </c>
      <c r="W1186" s="11">
        <v>8000000</v>
      </c>
      <c r="X1186" s="11">
        <v>1984</v>
      </c>
      <c r="Y1186" s="11">
        <v>641</v>
      </c>
      <c r="Z1186" s="11">
        <v>7.2</v>
      </c>
      <c r="AA1186" s="11">
        <v>1.85</v>
      </c>
      <c r="AB1186" s="11">
        <v>0</v>
      </c>
      <c r="AC1186" s="11"/>
      <c r="AD1186" s="11" t="str">
        <f>IFERROR(__xludf.DUMMYFUNCTION("""COMPUTED_VALUE"""),"Elaine Stritch")</f>
        <v>Elaine Stritch</v>
      </c>
      <c r="AE1186" s="11"/>
    </row>
    <row r="1187" customHeight="1" spans="1:31">
      <c r="A1187" s="12" t="s">
        <v>30</v>
      </c>
      <c r="B1187" s="12" t="s">
        <v>4167</v>
      </c>
      <c r="C1187" s="12">
        <v>538</v>
      </c>
      <c r="D1187" s="12">
        <v>138</v>
      </c>
      <c r="E1187" s="12">
        <v>737</v>
      </c>
      <c r="F1187" s="12">
        <v>14000</v>
      </c>
      <c r="G1187" s="12">
        <v>34000</v>
      </c>
      <c r="H1187" s="12">
        <v>150117807</v>
      </c>
      <c r="I1187" s="12" t="s">
        <v>1936</v>
      </c>
      <c r="J1187" s="12" t="s">
        <v>348</v>
      </c>
      <c r="K1187" s="12" t="s">
        <v>62</v>
      </c>
      <c r="L1187" s="12" t="s">
        <v>655</v>
      </c>
      <c r="M1187" s="12" t="s">
        <v>6242</v>
      </c>
      <c r="N1187" s="12">
        <v>358416</v>
      </c>
      <c r="O1187" s="12">
        <v>83012</v>
      </c>
      <c r="P1187" s="12">
        <v>5</v>
      </c>
      <c r="Q1187" s="12" t="s">
        <v>6243</v>
      </c>
      <c r="R1187" s="15" t="s">
        <v>6244</v>
      </c>
      <c r="S1187" s="12">
        <v>751</v>
      </c>
      <c r="T1187" s="12" t="s">
        <v>39</v>
      </c>
      <c r="U1187" s="12" t="s">
        <v>40</v>
      </c>
      <c r="V1187" s="12" t="s">
        <v>586</v>
      </c>
      <c r="W1187" s="12">
        <v>40000000</v>
      </c>
      <c r="X1187" s="12">
        <v>2013</v>
      </c>
      <c r="Y1187" s="12">
        <v>23000</v>
      </c>
      <c r="Z1187" s="12">
        <v>7.3</v>
      </c>
      <c r="AA1187" s="12">
        <v>2.35</v>
      </c>
      <c r="AB1187" s="12">
        <v>63000</v>
      </c>
      <c r="AC1187" s="12"/>
      <c r="AD1187" s="12" t="str">
        <f>IFERROR(__xludf.DUMMYFUNCTION("""COMPUTED_VALUE"""),"Sophie Okonedo")</f>
        <v>Sophie Okonedo</v>
      </c>
      <c r="AE1187" s="12"/>
    </row>
    <row r="1188" customHeight="1" spans="1:31">
      <c r="A1188" s="11" t="s">
        <v>30</v>
      </c>
      <c r="B1188" s="11" t="s">
        <v>6245</v>
      </c>
      <c r="C1188" s="11">
        <v>224</v>
      </c>
      <c r="D1188" s="11">
        <v>108</v>
      </c>
      <c r="E1188" s="11">
        <v>98</v>
      </c>
      <c r="F1188" s="11">
        <v>723</v>
      </c>
      <c r="G1188" s="11">
        <v>16000</v>
      </c>
      <c r="H1188" s="11">
        <v>163947053</v>
      </c>
      <c r="I1188" s="11" t="s">
        <v>1415</v>
      </c>
      <c r="J1188" s="11" t="s">
        <v>315</v>
      </c>
      <c r="K1188" s="11" t="s">
        <v>4236</v>
      </c>
      <c r="L1188" s="11" t="s">
        <v>2062</v>
      </c>
      <c r="M1188" s="11" t="s">
        <v>6246</v>
      </c>
      <c r="N1188" s="11">
        <v>227824</v>
      </c>
      <c r="O1188" s="11">
        <v>18656</v>
      </c>
      <c r="P1188" s="11">
        <v>1</v>
      </c>
      <c r="Q1188" s="11" t="s">
        <v>6247</v>
      </c>
      <c r="R1188" s="14" t="s">
        <v>6248</v>
      </c>
      <c r="S1188" s="11">
        <v>273</v>
      </c>
      <c r="T1188" s="11" t="s">
        <v>39</v>
      </c>
      <c r="U1188" s="11" t="s">
        <v>40</v>
      </c>
      <c r="V1188" s="11" t="s">
        <v>41</v>
      </c>
      <c r="W1188" s="11">
        <v>40000000</v>
      </c>
      <c r="X1188" s="11">
        <v>2009</v>
      </c>
      <c r="Y1188" s="11">
        <v>896</v>
      </c>
      <c r="Z1188" s="11">
        <v>6.7</v>
      </c>
      <c r="AA1188" s="11">
        <v>2.35</v>
      </c>
      <c r="AB1188" s="11">
        <v>10000</v>
      </c>
      <c r="AC1188" s="11"/>
      <c r="AD1188" s="11" t="str">
        <f>IFERROR(__xludf.DUMMYFUNCTION("""COMPUTED_VALUE"""),"Stockard Channing")</f>
        <v>Stockard Channing</v>
      </c>
      <c r="AE1188" s="11"/>
    </row>
    <row r="1189" customHeight="1" spans="1:31">
      <c r="A1189" s="12" t="s">
        <v>30</v>
      </c>
      <c r="B1189" s="12" t="s">
        <v>6249</v>
      </c>
      <c r="C1189" s="12">
        <v>129</v>
      </c>
      <c r="D1189" s="12">
        <v>105</v>
      </c>
      <c r="E1189" s="12">
        <v>78</v>
      </c>
      <c r="F1189" s="12">
        <v>298</v>
      </c>
      <c r="G1189" s="12">
        <v>984</v>
      </c>
      <c r="H1189" s="12">
        <v>116735231</v>
      </c>
      <c r="I1189" s="12" t="s">
        <v>2215</v>
      </c>
      <c r="J1189" s="12" t="s">
        <v>354</v>
      </c>
      <c r="K1189" s="12" t="s">
        <v>6250</v>
      </c>
      <c r="L1189" s="12" t="s">
        <v>6251</v>
      </c>
      <c r="M1189" s="12" t="s">
        <v>6252</v>
      </c>
      <c r="N1189" s="12">
        <v>56646</v>
      </c>
      <c r="O1189" s="12">
        <v>2129</v>
      </c>
      <c r="P1189" s="12">
        <v>0</v>
      </c>
      <c r="Q1189" s="12" t="s">
        <v>6253</v>
      </c>
      <c r="R1189" s="15" t="s">
        <v>6254</v>
      </c>
      <c r="S1189" s="12">
        <v>336</v>
      </c>
      <c r="T1189" s="12" t="s">
        <v>39</v>
      </c>
      <c r="U1189" s="12" t="s">
        <v>40</v>
      </c>
      <c r="V1189" s="12" t="s">
        <v>586</v>
      </c>
      <c r="W1189" s="12">
        <v>70000000</v>
      </c>
      <c r="X1189" s="12">
        <v>1999</v>
      </c>
      <c r="Y1189" s="12">
        <v>489</v>
      </c>
      <c r="Z1189" s="12">
        <v>6.4</v>
      </c>
      <c r="AA1189" s="12">
        <v>2.35</v>
      </c>
      <c r="AB1189" s="12">
        <v>0</v>
      </c>
      <c r="AC1189" s="12"/>
      <c r="AD1189" s="12" t="str">
        <f>IFERROR(__xludf.DUMMYFUNCTION("""COMPUTED_VALUE"""),"Bianca Kajlich")</f>
        <v>Bianca Kajlich</v>
      </c>
      <c r="AE1189" s="12"/>
    </row>
    <row r="1190" customHeight="1" spans="1:31">
      <c r="A1190" s="11" t="s">
        <v>30</v>
      </c>
      <c r="B1190" s="11" t="s">
        <v>436</v>
      </c>
      <c r="C1190" s="11">
        <v>125</v>
      </c>
      <c r="D1190" s="11">
        <v>108</v>
      </c>
      <c r="E1190" s="11">
        <v>0</v>
      </c>
      <c r="F1190" s="11">
        <v>690</v>
      </c>
      <c r="G1190" s="11">
        <v>1000</v>
      </c>
      <c r="H1190" s="11">
        <v>118500000</v>
      </c>
      <c r="I1190" s="11" t="s">
        <v>1875</v>
      </c>
      <c r="J1190" s="11" t="s">
        <v>3756</v>
      </c>
      <c r="K1190" s="11" t="s">
        <v>6255</v>
      </c>
      <c r="L1190" s="11" t="s">
        <v>6256</v>
      </c>
      <c r="M1190" s="11" t="s">
        <v>6257</v>
      </c>
      <c r="N1190" s="11">
        <v>340085</v>
      </c>
      <c r="O1190" s="11">
        <v>3660</v>
      </c>
      <c r="P1190" s="11">
        <v>0</v>
      </c>
      <c r="Q1190" s="11" t="s">
        <v>6258</v>
      </c>
      <c r="R1190" s="14" t="s">
        <v>6259</v>
      </c>
      <c r="S1190" s="11">
        <v>327</v>
      </c>
      <c r="T1190" s="11" t="s">
        <v>39</v>
      </c>
      <c r="U1190" s="11" t="s">
        <v>40</v>
      </c>
      <c r="V1190" s="11" t="s">
        <v>96</v>
      </c>
      <c r="W1190" s="11">
        <v>40000000</v>
      </c>
      <c r="X1190" s="11">
        <v>1989</v>
      </c>
      <c r="Y1190" s="11">
        <v>869</v>
      </c>
      <c r="Z1190" s="11">
        <v>7.8</v>
      </c>
      <c r="AA1190" s="11">
        <v>1.85</v>
      </c>
      <c r="AB1190" s="11">
        <v>12000</v>
      </c>
      <c r="AC1190" s="11"/>
      <c r="AD1190" s="11" t="str">
        <f>IFERROR(__xludf.DUMMYFUNCTION("""COMPUTED_VALUE"""),"Oliver Hudson")</f>
        <v>Oliver Hudson</v>
      </c>
      <c r="AE1190" s="11"/>
    </row>
    <row r="1191" customHeight="1" spans="1:31">
      <c r="A1191" s="12" t="s">
        <v>30</v>
      </c>
      <c r="B1191" s="12" t="s">
        <v>1972</v>
      </c>
      <c r="C1191" s="12">
        <v>433</v>
      </c>
      <c r="D1191" s="12">
        <v>89</v>
      </c>
      <c r="E1191" s="12">
        <v>0</v>
      </c>
      <c r="F1191" s="12">
        <v>903</v>
      </c>
      <c r="G1191" s="12">
        <v>19000</v>
      </c>
      <c r="H1191" s="12">
        <v>126546825</v>
      </c>
      <c r="I1191" s="12" t="s">
        <v>2813</v>
      </c>
      <c r="J1191" s="12" t="s">
        <v>100</v>
      </c>
      <c r="K1191" s="12" t="s">
        <v>466</v>
      </c>
      <c r="L1191" s="12" t="s">
        <v>5190</v>
      </c>
      <c r="M1191" s="12" t="s">
        <v>6260</v>
      </c>
      <c r="N1191" s="12">
        <v>327367</v>
      </c>
      <c r="O1191" s="12">
        <v>32325</v>
      </c>
      <c r="P1191" s="12">
        <v>0</v>
      </c>
      <c r="Q1191" s="12" t="s">
        <v>6261</v>
      </c>
      <c r="R1191" s="15" t="s">
        <v>6262</v>
      </c>
      <c r="S1191" s="12">
        <v>918</v>
      </c>
      <c r="T1191" s="12" t="s">
        <v>39</v>
      </c>
      <c r="U1191" s="12" t="s">
        <v>1466</v>
      </c>
      <c r="V1191" s="12" t="s">
        <v>586</v>
      </c>
      <c r="W1191" s="12">
        <v>40000000</v>
      </c>
      <c r="X1191" s="12">
        <v>2014</v>
      </c>
      <c r="Y1191" s="12">
        <v>11000</v>
      </c>
      <c r="Z1191" s="12">
        <v>6.4</v>
      </c>
      <c r="AA1191" s="12">
        <v>2.35</v>
      </c>
      <c r="AB1191" s="12">
        <v>83000</v>
      </c>
      <c r="AC1191" s="12"/>
      <c r="AD1191" s="12" t="str">
        <f>IFERROR(__xludf.DUMMYFUNCTION("""COMPUTED_VALUE"""),"Adhir Kalyan")</f>
        <v>Adhir Kalyan</v>
      </c>
      <c r="AE1191" s="12"/>
    </row>
    <row r="1192" customHeight="1" spans="1:31">
      <c r="A1192" s="11" t="s">
        <v>30</v>
      </c>
      <c r="B1192" s="11" t="s">
        <v>6263</v>
      </c>
      <c r="C1192" s="11">
        <v>362</v>
      </c>
      <c r="D1192" s="11">
        <v>129</v>
      </c>
      <c r="E1192" s="11">
        <v>456</v>
      </c>
      <c r="F1192" s="11">
        <v>716</v>
      </c>
      <c r="G1192" s="11">
        <v>1000</v>
      </c>
      <c r="H1192" s="11">
        <v>166147885</v>
      </c>
      <c r="I1192" s="11" t="s">
        <v>214</v>
      </c>
      <c r="J1192" s="11" t="s">
        <v>1403</v>
      </c>
      <c r="K1192" s="11" t="s">
        <v>5699</v>
      </c>
      <c r="L1192" s="11" t="s">
        <v>731</v>
      </c>
      <c r="M1192" s="11" t="s">
        <v>6264</v>
      </c>
      <c r="N1192" s="11">
        <v>220020</v>
      </c>
      <c r="O1192" s="11">
        <v>4585</v>
      </c>
      <c r="P1192" s="11">
        <v>0</v>
      </c>
      <c r="Q1192" s="11" t="s">
        <v>6265</v>
      </c>
      <c r="R1192" s="14" t="s">
        <v>6266</v>
      </c>
      <c r="S1192" s="11">
        <v>1360</v>
      </c>
      <c r="T1192" s="11" t="s">
        <v>39</v>
      </c>
      <c r="U1192" s="11" t="s">
        <v>40</v>
      </c>
      <c r="V1192" s="11" t="s">
        <v>586</v>
      </c>
      <c r="W1192" s="11">
        <v>40000000</v>
      </c>
      <c r="X1192" s="11">
        <v>2015</v>
      </c>
      <c r="Y1192" s="11">
        <v>935</v>
      </c>
      <c r="Z1192" s="11">
        <v>4.1</v>
      </c>
      <c r="AA1192" s="11">
        <v>2.35</v>
      </c>
      <c r="AB1192" s="11">
        <v>101000</v>
      </c>
      <c r="AC1192" s="11"/>
      <c r="AD1192" s="11" t="str">
        <f>IFERROR(__xludf.DUMMYFUNCTION("""COMPUTED_VALUE"""),"Ritchie Coster")</f>
        <v>Ritchie Coster</v>
      </c>
      <c r="AE1192" s="11"/>
    </row>
    <row r="1193" customHeight="1" spans="1:31">
      <c r="A1193" s="12" t="s">
        <v>30</v>
      </c>
      <c r="B1193" s="12" t="s">
        <v>4904</v>
      </c>
      <c r="C1193" s="12">
        <v>93</v>
      </c>
      <c r="D1193" s="12">
        <v>84</v>
      </c>
      <c r="E1193" s="12">
        <v>0</v>
      </c>
      <c r="F1193" s="12">
        <v>2000</v>
      </c>
      <c r="G1193" s="12">
        <v>13000</v>
      </c>
      <c r="H1193" s="12">
        <v>111760631</v>
      </c>
      <c r="I1193" s="12" t="s">
        <v>3037</v>
      </c>
      <c r="J1193" s="12" t="s">
        <v>1785</v>
      </c>
      <c r="K1193" s="12" t="s">
        <v>495</v>
      </c>
      <c r="L1193" s="12" t="s">
        <v>5903</v>
      </c>
      <c r="M1193" s="12" t="s">
        <v>6267</v>
      </c>
      <c r="N1193" s="12">
        <v>40227</v>
      </c>
      <c r="O1193" s="12">
        <v>22935</v>
      </c>
      <c r="P1193" s="12">
        <v>3</v>
      </c>
      <c r="Q1193" s="12" t="s">
        <v>6268</v>
      </c>
      <c r="R1193" s="15" t="s">
        <v>6269</v>
      </c>
      <c r="S1193" s="12">
        <v>188</v>
      </c>
      <c r="T1193" s="12" t="s">
        <v>39</v>
      </c>
      <c r="U1193" s="12" t="s">
        <v>40</v>
      </c>
      <c r="V1193" s="12" t="s">
        <v>96</v>
      </c>
      <c r="W1193" s="12">
        <v>38000000</v>
      </c>
      <c r="X1193" s="12">
        <v>2003</v>
      </c>
      <c r="Y1193" s="12">
        <v>4000</v>
      </c>
      <c r="Z1193" s="12">
        <v>4.1</v>
      </c>
      <c r="AA1193" s="12">
        <v>1.85</v>
      </c>
      <c r="AB1193" s="12">
        <v>681</v>
      </c>
      <c r="AC1193" s="12"/>
      <c r="AD1193" s="12" t="str">
        <f>IFERROR(__xludf.DUMMYFUNCTION("""COMPUTED_VALUE"""),"Peter Greene")</f>
        <v>Peter Greene</v>
      </c>
      <c r="AE1193" s="12"/>
    </row>
    <row r="1194" customHeight="1" spans="1:31">
      <c r="A1194" s="11" t="s">
        <v>30</v>
      </c>
      <c r="B1194" s="11" t="s">
        <v>1325</v>
      </c>
      <c r="C1194" s="11">
        <v>71</v>
      </c>
      <c r="D1194" s="11">
        <v>149</v>
      </c>
      <c r="E1194" s="11">
        <v>541</v>
      </c>
      <c r="F1194" s="11">
        <v>1000</v>
      </c>
      <c r="G1194" s="11">
        <v>18000</v>
      </c>
      <c r="H1194" s="11">
        <v>108706165</v>
      </c>
      <c r="I1194" s="11" t="s">
        <v>2126</v>
      </c>
      <c r="J1194" s="11" t="s">
        <v>120</v>
      </c>
      <c r="K1194" s="11" t="s">
        <v>661</v>
      </c>
      <c r="L1194" s="11" t="s">
        <v>430</v>
      </c>
      <c r="M1194" s="11" t="s">
        <v>6270</v>
      </c>
      <c r="N1194" s="11">
        <v>99558</v>
      </c>
      <c r="O1194" s="11">
        <v>31349</v>
      </c>
      <c r="P1194" s="11">
        <v>3</v>
      </c>
      <c r="Q1194" s="11" t="s">
        <v>6271</v>
      </c>
      <c r="R1194" s="14" t="s">
        <v>6272</v>
      </c>
      <c r="S1194" s="11">
        <v>236</v>
      </c>
      <c r="T1194" s="11" t="s">
        <v>39</v>
      </c>
      <c r="U1194" s="11" t="s">
        <v>40</v>
      </c>
      <c r="V1194" s="11" t="s">
        <v>586</v>
      </c>
      <c r="W1194" s="11">
        <v>40000000</v>
      </c>
      <c r="X1194" s="11">
        <v>1996</v>
      </c>
      <c r="Y1194" s="11">
        <v>11000</v>
      </c>
      <c r="Z1194" s="11">
        <v>7.4</v>
      </c>
      <c r="AA1194" s="11">
        <v>2.35</v>
      </c>
      <c r="AB1194" s="11">
        <v>0</v>
      </c>
      <c r="AC1194" s="11"/>
      <c r="AD1194" s="11" t="str">
        <f>IFERROR(__xludf.DUMMYFUNCTION("""COMPUTED_VALUE"""),"Brenda Bakke")</f>
        <v>Brenda Bakke</v>
      </c>
      <c r="AE1194" s="11"/>
    </row>
    <row r="1195" customHeight="1" spans="1:31">
      <c r="A1195" s="12" t="s">
        <v>30</v>
      </c>
      <c r="B1195" s="12" t="s">
        <v>810</v>
      </c>
      <c r="C1195" s="12">
        <v>104</v>
      </c>
      <c r="D1195" s="12">
        <v>94</v>
      </c>
      <c r="E1195" s="12">
        <v>189</v>
      </c>
      <c r="F1195" s="12">
        <v>597</v>
      </c>
      <c r="G1195" s="12">
        <v>3000</v>
      </c>
      <c r="H1195" s="12">
        <v>138614544</v>
      </c>
      <c r="I1195" s="12" t="s">
        <v>3057</v>
      </c>
      <c r="J1195" s="12" t="s">
        <v>4017</v>
      </c>
      <c r="K1195" s="12" t="s">
        <v>4018</v>
      </c>
      <c r="L1195" s="12" t="s">
        <v>5011</v>
      </c>
      <c r="M1195" s="12" t="s">
        <v>6273</v>
      </c>
      <c r="N1195" s="12">
        <v>75152</v>
      </c>
      <c r="O1195" s="12">
        <v>7014</v>
      </c>
      <c r="P1195" s="12">
        <v>15</v>
      </c>
      <c r="Q1195" s="12" t="s">
        <v>6274</v>
      </c>
      <c r="R1195" s="15" t="s">
        <v>6275</v>
      </c>
      <c r="S1195" s="12">
        <v>288</v>
      </c>
      <c r="T1195" s="12" t="s">
        <v>39</v>
      </c>
      <c r="U1195" s="12" t="s">
        <v>40</v>
      </c>
      <c r="V1195" s="12" t="s">
        <v>96</v>
      </c>
      <c r="W1195" s="12">
        <v>40000000</v>
      </c>
      <c r="X1195" s="12">
        <v>2003</v>
      </c>
      <c r="Y1195" s="12">
        <v>2000</v>
      </c>
      <c r="Z1195" s="12">
        <v>5.8</v>
      </c>
      <c r="AA1195" s="12">
        <v>1.85</v>
      </c>
      <c r="AB1195" s="12">
        <v>0</v>
      </c>
      <c r="AC1195" s="12"/>
      <c r="AD1195" s="12" t="str">
        <f>IFERROR(__xludf.DUMMYFUNCTION("""COMPUTED_VALUE"""),"Patrick Kilpatrick")</f>
        <v>Patrick Kilpatrick</v>
      </c>
      <c r="AE1195" s="12"/>
    </row>
    <row r="1196" customHeight="1" spans="1:31">
      <c r="A1196" s="11" t="s">
        <v>30</v>
      </c>
      <c r="B1196" s="11" t="s">
        <v>226</v>
      </c>
      <c r="C1196" s="11">
        <v>319</v>
      </c>
      <c r="D1196" s="11">
        <v>121</v>
      </c>
      <c r="E1196" s="11">
        <v>532</v>
      </c>
      <c r="F1196" s="11">
        <v>127</v>
      </c>
      <c r="G1196" s="11">
        <v>480</v>
      </c>
      <c r="H1196" s="11">
        <v>125069696</v>
      </c>
      <c r="I1196" s="11" t="s">
        <v>6276</v>
      </c>
      <c r="J1196" s="11" t="s">
        <v>6277</v>
      </c>
      <c r="K1196" s="11" t="s">
        <v>6278</v>
      </c>
      <c r="L1196" s="11" t="s">
        <v>6279</v>
      </c>
      <c r="M1196" s="11" t="s">
        <v>6280</v>
      </c>
      <c r="N1196" s="11">
        <v>203963</v>
      </c>
      <c r="O1196" s="11">
        <v>1261</v>
      </c>
      <c r="P1196" s="11">
        <v>0</v>
      </c>
      <c r="Q1196" s="11" t="s">
        <v>6281</v>
      </c>
      <c r="R1196" s="14" t="s">
        <v>6282</v>
      </c>
      <c r="S1196" s="11">
        <v>420</v>
      </c>
      <c r="T1196" s="11" t="s">
        <v>39</v>
      </c>
      <c r="U1196" s="11" t="s">
        <v>40</v>
      </c>
      <c r="V1196" s="11" t="s">
        <v>586</v>
      </c>
      <c r="W1196" s="11">
        <v>40000000</v>
      </c>
      <c r="X1196" s="11">
        <v>2013</v>
      </c>
      <c r="Y1196" s="11">
        <v>449</v>
      </c>
      <c r="Z1196" s="11">
        <v>7.6</v>
      </c>
      <c r="AA1196" s="11">
        <v>2.35</v>
      </c>
      <c r="AB1196" s="11">
        <v>58000</v>
      </c>
      <c r="AC1196" s="11"/>
      <c r="AD1196" s="11" t="str">
        <f>IFERROR(__xludf.DUMMYFUNCTION("""COMPUTED_VALUE"""),"Colm Feore")</f>
        <v>Colm Feore</v>
      </c>
      <c r="AE1196" s="11"/>
    </row>
    <row r="1197" customHeight="1" spans="1:31">
      <c r="A1197" s="12" t="s">
        <v>748</v>
      </c>
      <c r="B1197" s="12" t="s">
        <v>5625</v>
      </c>
      <c r="C1197" s="12">
        <v>41</v>
      </c>
      <c r="D1197" s="12">
        <v>128</v>
      </c>
      <c r="E1197" s="12">
        <v>545</v>
      </c>
      <c r="F1197" s="12">
        <v>251</v>
      </c>
      <c r="G1197" s="12">
        <v>15000</v>
      </c>
      <c r="H1197" s="12">
        <v>107458785</v>
      </c>
      <c r="I1197" s="12" t="s">
        <v>6283</v>
      </c>
      <c r="J1197" s="12" t="s">
        <v>322</v>
      </c>
      <c r="K1197" s="12" t="s">
        <v>6284</v>
      </c>
      <c r="L1197" s="12" t="s">
        <v>6285</v>
      </c>
      <c r="M1197" s="12" t="s">
        <v>6286</v>
      </c>
      <c r="N1197" s="12">
        <v>71754</v>
      </c>
      <c r="O1197" s="12">
        <v>16751</v>
      </c>
      <c r="P1197" s="12">
        <v>3</v>
      </c>
      <c r="Q1197" s="12" t="s">
        <v>6287</v>
      </c>
      <c r="R1197" s="15" t="s">
        <v>6288</v>
      </c>
      <c r="S1197" s="12">
        <v>166</v>
      </c>
      <c r="T1197" s="12" t="s">
        <v>39</v>
      </c>
      <c r="U1197" s="12" t="s">
        <v>40</v>
      </c>
      <c r="V1197" s="12" t="s">
        <v>96</v>
      </c>
      <c r="W1197" s="12">
        <v>40000000</v>
      </c>
      <c r="X1197" s="12">
        <v>1992</v>
      </c>
      <c r="Y1197" s="12">
        <v>923</v>
      </c>
      <c r="Z1197" s="12">
        <v>7.2</v>
      </c>
      <c r="AA1197" s="12">
        <v>2.35</v>
      </c>
      <c r="AB1197" s="12">
        <v>0</v>
      </c>
      <c r="AC1197" s="12"/>
      <c r="AD1197" s="12" t="str">
        <f>IFERROR(__xludf.DUMMYFUNCTION("""COMPUTED_VALUE"""),"Gemma Chan")</f>
        <v>Gemma Chan</v>
      </c>
      <c r="AE1197" s="12"/>
    </row>
    <row r="1198" customHeight="1" spans="1:31">
      <c r="A1198" s="11" t="s">
        <v>30</v>
      </c>
      <c r="B1198" s="11" t="s">
        <v>333</v>
      </c>
      <c r="C1198" s="11">
        <v>300</v>
      </c>
      <c r="D1198" s="11">
        <v>134</v>
      </c>
      <c r="E1198" s="11">
        <v>0</v>
      </c>
      <c r="F1198" s="11">
        <v>336</v>
      </c>
      <c r="G1198" s="11">
        <v>1000</v>
      </c>
      <c r="H1198" s="11">
        <v>102310175</v>
      </c>
      <c r="I1198" s="11" t="s">
        <v>3030</v>
      </c>
      <c r="J1198" s="11" t="s">
        <v>6289</v>
      </c>
      <c r="K1198" s="11" t="s">
        <v>3799</v>
      </c>
      <c r="L1198" s="11" t="s">
        <v>510</v>
      </c>
      <c r="M1198" s="11" t="s">
        <v>6290</v>
      </c>
      <c r="N1198" s="11">
        <v>64989</v>
      </c>
      <c r="O1198" s="11">
        <v>2676</v>
      </c>
      <c r="P1198" s="11">
        <v>0</v>
      </c>
      <c r="Q1198" s="11" t="s">
        <v>6291</v>
      </c>
      <c r="R1198" s="14" t="s">
        <v>6292</v>
      </c>
      <c r="S1198" s="11">
        <v>279</v>
      </c>
      <c r="T1198" s="11" t="s">
        <v>39</v>
      </c>
      <c r="U1198" s="11" t="s">
        <v>40</v>
      </c>
      <c r="V1198" s="11" t="s">
        <v>586</v>
      </c>
      <c r="W1198" s="11">
        <v>40000000</v>
      </c>
      <c r="X1198" s="11">
        <v>2016</v>
      </c>
      <c r="Y1198" s="11">
        <v>575</v>
      </c>
      <c r="Z1198" s="11">
        <v>7.8</v>
      </c>
      <c r="AA1198" s="11">
        <v>2.35</v>
      </c>
      <c r="AB1198" s="11">
        <v>40000</v>
      </c>
      <c r="AC1198" s="11"/>
      <c r="AD1198" s="11" t="str">
        <f>IFERROR(__xludf.DUMMYFUNCTION("""COMPUTED_VALUE"""),"Julian Kostov")</f>
        <v>Julian Kostov</v>
      </c>
      <c r="AE1198" s="11"/>
    </row>
    <row r="1199" customHeight="1" spans="1:31">
      <c r="A1199" s="12" t="s">
        <v>30</v>
      </c>
      <c r="B1199" s="12" t="s">
        <v>686</v>
      </c>
      <c r="C1199" s="12">
        <v>556</v>
      </c>
      <c r="D1199" s="12">
        <v>120</v>
      </c>
      <c r="E1199" s="12">
        <v>21000</v>
      </c>
      <c r="F1199" s="12">
        <v>81</v>
      </c>
      <c r="G1199" s="12">
        <v>10000</v>
      </c>
      <c r="H1199" s="12">
        <v>96917897</v>
      </c>
      <c r="I1199" s="12" t="s">
        <v>1544</v>
      </c>
      <c r="J1199" s="12" t="s">
        <v>183</v>
      </c>
      <c r="K1199" s="12" t="s">
        <v>6293</v>
      </c>
      <c r="L1199" s="12" t="s">
        <v>6294</v>
      </c>
      <c r="M1199" s="12" t="s">
        <v>6295</v>
      </c>
      <c r="N1199" s="12">
        <v>479453</v>
      </c>
      <c r="O1199" s="12">
        <v>10555</v>
      </c>
      <c r="P1199" s="12">
        <v>0</v>
      </c>
      <c r="Q1199" s="12" t="s">
        <v>6296</v>
      </c>
      <c r="R1199" s="15" t="s">
        <v>6297</v>
      </c>
      <c r="S1199" s="12">
        <v>696</v>
      </c>
      <c r="T1199" s="12" t="s">
        <v>39</v>
      </c>
      <c r="U1199" s="12" t="s">
        <v>40</v>
      </c>
      <c r="V1199" s="12" t="s">
        <v>41</v>
      </c>
      <c r="W1199" s="12">
        <v>40000000</v>
      </c>
      <c r="X1199" s="12">
        <v>2010</v>
      </c>
      <c r="Y1199" s="12">
        <v>349</v>
      </c>
      <c r="Z1199" s="12">
        <v>7.7</v>
      </c>
      <c r="AA1199" s="12">
        <v>2.35</v>
      </c>
      <c r="AB1199" s="12">
        <v>74000</v>
      </c>
      <c r="AC1199" s="12"/>
      <c r="AD1199" s="12" t="str">
        <f>IFERROR(__xludf.DUMMYFUNCTION("""COMPUTED_VALUE"""),"Gary Dourdan")</f>
        <v>Gary Dourdan</v>
      </c>
      <c r="AE1199" s="12"/>
    </row>
    <row r="1200" customHeight="1" spans="1:31">
      <c r="A1200" s="11" t="s">
        <v>30</v>
      </c>
      <c r="B1200" s="11" t="s">
        <v>6298</v>
      </c>
      <c r="C1200" s="11">
        <v>161</v>
      </c>
      <c r="D1200" s="11">
        <v>129</v>
      </c>
      <c r="E1200" s="11">
        <v>42</v>
      </c>
      <c r="F1200" s="11">
        <v>49</v>
      </c>
      <c r="G1200" s="11">
        <v>97</v>
      </c>
      <c r="H1200" s="11">
        <v>93952276</v>
      </c>
      <c r="I1200" s="11" t="s">
        <v>1415</v>
      </c>
      <c r="J1200" s="11" t="s">
        <v>6299</v>
      </c>
      <c r="K1200" s="11" t="s">
        <v>6300</v>
      </c>
      <c r="L1200" s="11" t="s">
        <v>6301</v>
      </c>
      <c r="M1200" s="11" t="s">
        <v>6302</v>
      </c>
      <c r="N1200" s="11">
        <v>132048</v>
      </c>
      <c r="O1200" s="11">
        <v>318</v>
      </c>
      <c r="P1200" s="11">
        <v>7</v>
      </c>
      <c r="Q1200" s="11" t="s">
        <v>6303</v>
      </c>
      <c r="R1200" s="14" t="s">
        <v>6304</v>
      </c>
      <c r="S1200" s="11">
        <v>203</v>
      </c>
      <c r="T1200" s="11" t="s">
        <v>39</v>
      </c>
      <c r="U1200" s="11" t="s">
        <v>40</v>
      </c>
      <c r="V1200" s="11" t="s">
        <v>41</v>
      </c>
      <c r="W1200" s="11">
        <v>40000000</v>
      </c>
      <c r="X1200" s="11">
        <v>2009</v>
      </c>
      <c r="Y1200" s="11">
        <v>50</v>
      </c>
      <c r="Z1200" s="11">
        <v>6.4</v>
      </c>
      <c r="AA1200" s="11">
        <v>2.35</v>
      </c>
      <c r="AB1200" s="11">
        <v>12000</v>
      </c>
      <c r="AC1200" s="11"/>
      <c r="AD1200" s="11" t="str">
        <f>IFERROR(__xludf.DUMMYFUNCTION("""COMPUTED_VALUE"""),"Tate Donovan")</f>
        <v>Tate Donovan</v>
      </c>
      <c r="AE1200" s="11"/>
    </row>
    <row r="1201" customHeight="1" spans="1:31">
      <c r="A1201" s="12" t="s">
        <v>30</v>
      </c>
      <c r="B1201" s="12" t="s">
        <v>5703</v>
      </c>
      <c r="C1201" s="12">
        <v>151</v>
      </c>
      <c r="D1201" s="12">
        <v>89</v>
      </c>
      <c r="E1201" s="12">
        <v>119</v>
      </c>
      <c r="F1201" s="12">
        <v>807</v>
      </c>
      <c r="G1201" s="12">
        <v>2000</v>
      </c>
      <c r="H1201" s="12">
        <v>90703745</v>
      </c>
      <c r="I1201" s="12" t="s">
        <v>1672</v>
      </c>
      <c r="J1201" s="12" t="s">
        <v>6305</v>
      </c>
      <c r="K1201" s="12" t="s">
        <v>2615</v>
      </c>
      <c r="L1201" s="12" t="s">
        <v>5704</v>
      </c>
      <c r="M1201" s="12" t="s">
        <v>6306</v>
      </c>
      <c r="N1201" s="12">
        <v>93748</v>
      </c>
      <c r="O1201" s="12">
        <v>5855</v>
      </c>
      <c r="P1201" s="12">
        <v>8</v>
      </c>
      <c r="Q1201" s="12" t="s">
        <v>6307</v>
      </c>
      <c r="R1201" s="15" t="s">
        <v>6308</v>
      </c>
      <c r="S1201" s="12">
        <v>410</v>
      </c>
      <c r="T1201" s="12" t="s">
        <v>39</v>
      </c>
      <c r="U1201" s="12" t="s">
        <v>40</v>
      </c>
      <c r="V1201" s="12" t="s">
        <v>41</v>
      </c>
      <c r="W1201" s="12">
        <v>45000000</v>
      </c>
      <c r="X1201" s="12">
        <v>2006</v>
      </c>
      <c r="Y1201" s="12">
        <v>869</v>
      </c>
      <c r="Z1201" s="12">
        <v>5.1</v>
      </c>
      <c r="AA1201" s="12">
        <v>1.85</v>
      </c>
      <c r="AB1201" s="12">
        <v>1000</v>
      </c>
      <c r="AC1201" s="12"/>
      <c r="AD1201" s="12" t="str">
        <f>IFERROR(__xludf.DUMMYFUNCTION("""COMPUTED_VALUE"""),"Ned Beatty")</f>
        <v>Ned Beatty</v>
      </c>
      <c r="AE1201" s="12"/>
    </row>
    <row r="1202" customHeight="1" spans="1:31">
      <c r="A1202" s="11" t="s">
        <v>30</v>
      </c>
      <c r="B1202" s="11" t="s">
        <v>6309</v>
      </c>
      <c r="C1202" s="11">
        <v>212</v>
      </c>
      <c r="D1202" s="11">
        <v>116</v>
      </c>
      <c r="E1202" s="11">
        <v>0</v>
      </c>
      <c r="F1202" s="11">
        <v>71</v>
      </c>
      <c r="G1202" s="11">
        <v>287</v>
      </c>
      <c r="H1202" s="11">
        <v>89138076</v>
      </c>
      <c r="I1202" s="11" t="s">
        <v>5104</v>
      </c>
      <c r="J1202" s="11" t="s">
        <v>6310</v>
      </c>
      <c r="K1202" s="11" t="s">
        <v>6311</v>
      </c>
      <c r="L1202" s="11" t="s">
        <v>1601</v>
      </c>
      <c r="M1202" s="11" t="s">
        <v>6312</v>
      </c>
      <c r="N1202" s="11">
        <v>98535</v>
      </c>
      <c r="O1202" s="11">
        <v>600</v>
      </c>
      <c r="P1202" s="11">
        <v>4</v>
      </c>
      <c r="Q1202" s="11" t="s">
        <v>6313</v>
      </c>
      <c r="R1202" s="14" t="s">
        <v>6314</v>
      </c>
      <c r="S1202" s="11">
        <v>734</v>
      </c>
      <c r="T1202" s="11" t="s">
        <v>39</v>
      </c>
      <c r="U1202" s="11" t="s">
        <v>40</v>
      </c>
      <c r="V1202" s="11" t="s">
        <v>586</v>
      </c>
      <c r="W1202" s="11">
        <v>40000000</v>
      </c>
      <c r="X1202" s="11">
        <v>2000</v>
      </c>
      <c r="Y1202" s="11">
        <v>157</v>
      </c>
      <c r="Z1202" s="11">
        <v>5.5</v>
      </c>
      <c r="AA1202" s="11">
        <v>2.35</v>
      </c>
      <c r="AB1202" s="11">
        <v>0</v>
      </c>
      <c r="AC1202" s="11"/>
      <c r="AD1202" s="11" t="str">
        <f>IFERROR(__xludf.DUMMYFUNCTION("""COMPUTED_VALUE"""),"Louis Ferreira")</f>
        <v>Louis Ferreira</v>
      </c>
      <c r="AE1202" s="11"/>
    </row>
    <row r="1203" customHeight="1" spans="1:31">
      <c r="A1203" s="12" t="s">
        <v>30</v>
      </c>
      <c r="B1203" s="12" t="s">
        <v>436</v>
      </c>
      <c r="C1203" s="12">
        <v>111</v>
      </c>
      <c r="D1203" s="12">
        <v>118</v>
      </c>
      <c r="E1203" s="12">
        <v>0</v>
      </c>
      <c r="F1203" s="12">
        <v>690</v>
      </c>
      <c r="G1203" s="12">
        <v>1000</v>
      </c>
      <c r="H1203" s="12">
        <v>87666629</v>
      </c>
      <c r="I1203" s="12" t="s">
        <v>6315</v>
      </c>
      <c r="J1203" s="12" t="s">
        <v>3756</v>
      </c>
      <c r="K1203" s="12" t="s">
        <v>6255</v>
      </c>
      <c r="L1203" s="12" t="s">
        <v>6256</v>
      </c>
      <c r="M1203" s="12" t="s">
        <v>6316</v>
      </c>
      <c r="N1203" s="12">
        <v>283480</v>
      </c>
      <c r="O1203" s="12">
        <v>3986</v>
      </c>
      <c r="P1203" s="12">
        <v>0</v>
      </c>
      <c r="Q1203" s="12" t="s">
        <v>6317</v>
      </c>
      <c r="R1203" s="15" t="s">
        <v>6318</v>
      </c>
      <c r="S1203" s="12">
        <v>263</v>
      </c>
      <c r="T1203" s="12" t="s">
        <v>39</v>
      </c>
      <c r="U1203" s="12" t="s">
        <v>40</v>
      </c>
      <c r="V1203" s="12" t="s">
        <v>96</v>
      </c>
      <c r="W1203" s="12">
        <v>40000000</v>
      </c>
      <c r="X1203" s="12">
        <v>1990</v>
      </c>
      <c r="Y1203" s="12">
        <v>869</v>
      </c>
      <c r="Z1203" s="12">
        <v>7.4</v>
      </c>
      <c r="AA1203" s="12">
        <v>1.37</v>
      </c>
      <c r="AB1203" s="12">
        <v>0</v>
      </c>
      <c r="AC1203" s="12"/>
      <c r="AD1203" s="12" t="str">
        <f>IFERROR(__xludf.DUMMYFUNCTION("""COMPUTED_VALUE"""),"Isaac Hempstead Wright")</f>
        <v>Isaac Hempstead Wright</v>
      </c>
      <c r="AE1203" s="12"/>
    </row>
    <row r="1204" customHeight="1" spans="1:31">
      <c r="A1204" s="11" t="s">
        <v>30</v>
      </c>
      <c r="B1204" s="11" t="s">
        <v>6319</v>
      </c>
      <c r="C1204" s="11">
        <v>173</v>
      </c>
      <c r="D1204" s="11">
        <v>107</v>
      </c>
      <c r="E1204" s="11">
        <v>164</v>
      </c>
      <c r="F1204" s="11">
        <v>723</v>
      </c>
      <c r="G1204" s="11">
        <v>8000</v>
      </c>
      <c r="H1204" s="11">
        <v>90353764</v>
      </c>
      <c r="I1204" s="11" t="s">
        <v>1009</v>
      </c>
      <c r="J1204" s="11" t="s">
        <v>1249</v>
      </c>
      <c r="K1204" s="11" t="s">
        <v>4200</v>
      </c>
      <c r="L1204" s="11" t="s">
        <v>2062</v>
      </c>
      <c r="M1204" s="11" t="s">
        <v>6320</v>
      </c>
      <c r="N1204" s="11">
        <v>85629</v>
      </c>
      <c r="O1204" s="11">
        <v>12556</v>
      </c>
      <c r="P1204" s="11">
        <v>2</v>
      </c>
      <c r="Q1204" s="11" t="s">
        <v>6321</v>
      </c>
      <c r="R1204" s="14" t="s">
        <v>6322</v>
      </c>
      <c r="S1204" s="11">
        <v>144</v>
      </c>
      <c r="T1204" s="11" t="s">
        <v>39</v>
      </c>
      <c r="U1204" s="11" t="s">
        <v>40</v>
      </c>
      <c r="V1204" s="11" t="s">
        <v>586</v>
      </c>
      <c r="W1204" s="11">
        <v>40000000</v>
      </c>
      <c r="X1204" s="11">
        <v>2015</v>
      </c>
      <c r="Y1204" s="11">
        <v>2000</v>
      </c>
      <c r="Z1204" s="11">
        <v>6</v>
      </c>
      <c r="AA1204" s="11">
        <v>1.85</v>
      </c>
      <c r="AB1204" s="11">
        <v>14000</v>
      </c>
      <c r="AC1204" s="11"/>
      <c r="AD1204" s="11" t="str">
        <f>IFERROR(__xludf.DUMMYFUNCTION("""COMPUTED_VALUE"""),"Tracy Morgan")</f>
        <v>Tracy Morgan</v>
      </c>
      <c r="AE1204" s="11"/>
    </row>
    <row r="1205" customHeight="1" spans="1:31">
      <c r="A1205" s="12" t="s">
        <v>30</v>
      </c>
      <c r="B1205" s="12" t="s">
        <v>4851</v>
      </c>
      <c r="C1205" s="12">
        <v>181</v>
      </c>
      <c r="D1205" s="12">
        <v>155</v>
      </c>
      <c r="E1205" s="12">
        <v>0</v>
      </c>
      <c r="F1205" s="12">
        <v>10000</v>
      </c>
      <c r="G1205" s="12">
        <v>18000</v>
      </c>
      <c r="H1205" s="12">
        <v>82522790</v>
      </c>
      <c r="I1205" s="12" t="s">
        <v>6323</v>
      </c>
      <c r="J1205" s="12" t="s">
        <v>588</v>
      </c>
      <c r="K1205" s="12" t="s">
        <v>763</v>
      </c>
      <c r="L1205" s="12" t="s">
        <v>440</v>
      </c>
      <c r="M1205" s="12" t="s">
        <v>6324</v>
      </c>
      <c r="N1205" s="12">
        <v>143835</v>
      </c>
      <c r="O1205" s="12">
        <v>42220</v>
      </c>
      <c r="P1205" s="12">
        <v>0</v>
      </c>
      <c r="Q1205" s="12" t="s">
        <v>6325</v>
      </c>
      <c r="R1205" s="15" t="s">
        <v>6326</v>
      </c>
      <c r="S1205" s="12">
        <v>654</v>
      </c>
      <c r="T1205" s="12" t="s">
        <v>39</v>
      </c>
      <c r="U1205" s="12" t="s">
        <v>40</v>
      </c>
      <c r="V1205" s="12" t="s">
        <v>586</v>
      </c>
      <c r="W1205" s="12">
        <v>40000000</v>
      </c>
      <c r="X1205" s="12">
        <v>1992</v>
      </c>
      <c r="Y1205" s="12">
        <v>12000</v>
      </c>
      <c r="Z1205" s="12">
        <v>7.5</v>
      </c>
      <c r="AA1205" s="12">
        <v>1.85</v>
      </c>
      <c r="AB1205" s="12">
        <v>14000</v>
      </c>
      <c r="AC1205" s="12"/>
      <c r="AD1205" s="12" t="str">
        <f>IFERROR(__xludf.DUMMYFUNCTION("""COMPUTED_VALUE"""),"Dianne Wiest")</f>
        <v>Dianne Wiest</v>
      </c>
      <c r="AE1205" s="12"/>
    </row>
    <row r="1206" customHeight="1" spans="1:31">
      <c r="A1206" s="11" t="s">
        <v>30</v>
      </c>
      <c r="B1206" s="11" t="s">
        <v>3669</v>
      </c>
      <c r="C1206" s="11">
        <v>252</v>
      </c>
      <c r="D1206" s="11">
        <v>123</v>
      </c>
      <c r="E1206" s="11">
        <v>0</v>
      </c>
      <c r="F1206" s="11">
        <v>923</v>
      </c>
      <c r="G1206" s="11">
        <v>11000</v>
      </c>
      <c r="H1206" s="11">
        <v>94125426</v>
      </c>
      <c r="I1206" s="11" t="s">
        <v>6327</v>
      </c>
      <c r="J1206" s="11" t="s">
        <v>2377</v>
      </c>
      <c r="K1206" s="11" t="s">
        <v>5206</v>
      </c>
      <c r="L1206" s="11" t="s">
        <v>5397</v>
      </c>
      <c r="M1206" s="11" t="s">
        <v>6328</v>
      </c>
      <c r="N1206" s="11">
        <v>79264</v>
      </c>
      <c r="O1206" s="11">
        <v>13321</v>
      </c>
      <c r="P1206" s="11">
        <v>2</v>
      </c>
      <c r="Q1206" s="11" t="s">
        <v>6329</v>
      </c>
      <c r="R1206" s="14" t="s">
        <v>6330</v>
      </c>
      <c r="S1206" s="11">
        <v>277</v>
      </c>
      <c r="T1206" s="11" t="s">
        <v>39</v>
      </c>
      <c r="U1206" s="11" t="s">
        <v>40</v>
      </c>
      <c r="V1206" s="11" t="s">
        <v>41</v>
      </c>
      <c r="W1206" s="11">
        <v>40000000</v>
      </c>
      <c r="X1206" s="11">
        <v>2009</v>
      </c>
      <c r="Y1206" s="11">
        <v>935</v>
      </c>
      <c r="Z1206" s="11">
        <v>7</v>
      </c>
      <c r="AA1206" s="11">
        <v>1.85</v>
      </c>
      <c r="AB1206" s="11">
        <v>13000</v>
      </c>
      <c r="AC1206" s="11"/>
      <c r="AD1206" s="11" t="str">
        <f>IFERROR(__xludf.DUMMYFUNCTION("""COMPUTED_VALUE"""),"Alison Brie")</f>
        <v>Alison Brie</v>
      </c>
      <c r="AE1206" s="11"/>
    </row>
    <row r="1207" customHeight="1" spans="1:31">
      <c r="A1207" s="12" t="s">
        <v>30</v>
      </c>
      <c r="B1207" s="12" t="s">
        <v>5082</v>
      </c>
      <c r="C1207" s="12">
        <v>216</v>
      </c>
      <c r="D1207" s="12">
        <v>128</v>
      </c>
      <c r="E1207" s="12">
        <v>241</v>
      </c>
      <c r="F1207" s="12">
        <v>898</v>
      </c>
      <c r="G1207" s="12">
        <v>11000</v>
      </c>
      <c r="H1207" s="12">
        <v>95001343</v>
      </c>
      <c r="I1207" s="12" t="s">
        <v>1635</v>
      </c>
      <c r="J1207" s="12" t="s">
        <v>391</v>
      </c>
      <c r="K1207" s="12" t="s">
        <v>142</v>
      </c>
      <c r="L1207" s="12" t="s">
        <v>3342</v>
      </c>
      <c r="M1207" s="12" t="s">
        <v>6331</v>
      </c>
      <c r="N1207" s="12">
        <v>66511</v>
      </c>
      <c r="O1207" s="12">
        <v>16911</v>
      </c>
      <c r="P1207" s="12">
        <v>0</v>
      </c>
      <c r="Q1207" s="12" t="s">
        <v>6332</v>
      </c>
      <c r="R1207" s="15" t="s">
        <v>6333</v>
      </c>
      <c r="S1207" s="12">
        <v>200</v>
      </c>
      <c r="T1207" s="12" t="s">
        <v>39</v>
      </c>
      <c r="U1207" s="12" t="s">
        <v>40</v>
      </c>
      <c r="V1207" s="12" t="s">
        <v>41</v>
      </c>
      <c r="W1207" s="12">
        <v>40000000</v>
      </c>
      <c r="X1207" s="12">
        <v>2013</v>
      </c>
      <c r="Y1207" s="12">
        <v>3000</v>
      </c>
      <c r="Z1207" s="12">
        <v>7.5</v>
      </c>
      <c r="AA1207" s="12">
        <v>2.35</v>
      </c>
      <c r="AB1207" s="12">
        <v>28000</v>
      </c>
      <c r="AC1207" s="12"/>
      <c r="AD1207" s="12" t="str">
        <f>IFERROR(__xludf.DUMMYFUNCTION("""COMPUTED_VALUE"""),"Eileen Brennan")</f>
        <v>Eileen Brennan</v>
      </c>
      <c r="AE1207" s="12"/>
    </row>
    <row r="1208" customHeight="1" spans="1:31">
      <c r="A1208" s="11" t="s">
        <v>30</v>
      </c>
      <c r="B1208" s="11" t="s">
        <v>2648</v>
      </c>
      <c r="C1208" s="11">
        <v>203</v>
      </c>
      <c r="D1208" s="11">
        <v>139</v>
      </c>
      <c r="E1208" s="11">
        <v>333</v>
      </c>
      <c r="F1208" s="11">
        <v>1000</v>
      </c>
      <c r="G1208" s="11">
        <v>22000</v>
      </c>
      <c r="H1208" s="11">
        <v>81292135</v>
      </c>
      <c r="I1208" s="11" t="s">
        <v>2126</v>
      </c>
      <c r="J1208" s="11" t="s">
        <v>699</v>
      </c>
      <c r="K1208" s="11" t="s">
        <v>1158</v>
      </c>
      <c r="L1208" s="11" t="s">
        <v>46</v>
      </c>
      <c r="M1208" s="11" t="s">
        <v>6334</v>
      </c>
      <c r="N1208" s="11">
        <v>137891</v>
      </c>
      <c r="O1208" s="11">
        <v>36810</v>
      </c>
      <c r="P1208" s="11">
        <v>1</v>
      </c>
      <c r="Q1208" s="11" t="s">
        <v>6335</v>
      </c>
      <c r="R1208" s="14" t="s">
        <v>6336</v>
      </c>
      <c r="S1208" s="11">
        <v>696</v>
      </c>
      <c r="T1208" s="11" t="s">
        <v>39</v>
      </c>
      <c r="U1208" s="11" t="s">
        <v>40</v>
      </c>
      <c r="V1208" s="11" t="s">
        <v>586</v>
      </c>
      <c r="W1208" s="11">
        <v>40000000</v>
      </c>
      <c r="X1208" s="11">
        <v>1999</v>
      </c>
      <c r="Y1208" s="11">
        <v>13000</v>
      </c>
      <c r="Z1208" s="11">
        <v>7.3</v>
      </c>
      <c r="AA1208" s="11">
        <v>1.85</v>
      </c>
      <c r="AB1208" s="11">
        <v>0</v>
      </c>
      <c r="AC1208" s="11"/>
      <c r="AD1208" s="11" t="str">
        <f>IFERROR(__xludf.DUMMYFUNCTION("""COMPUTED_VALUE"""),"Treat Williams")</f>
        <v>Treat Williams</v>
      </c>
      <c r="AE1208" s="11"/>
    </row>
    <row r="1209" customHeight="1" spans="1:31">
      <c r="A1209" s="12" t="s">
        <v>30</v>
      </c>
      <c r="B1209" s="12" t="s">
        <v>3495</v>
      </c>
      <c r="C1209" s="12">
        <v>218</v>
      </c>
      <c r="D1209" s="12">
        <v>109</v>
      </c>
      <c r="E1209" s="12">
        <v>101</v>
      </c>
      <c r="F1209" s="12">
        <v>839</v>
      </c>
      <c r="G1209" s="12">
        <v>13000</v>
      </c>
      <c r="H1209" s="12">
        <v>86208010</v>
      </c>
      <c r="I1209" s="12" t="s">
        <v>1672</v>
      </c>
      <c r="J1209" s="12" t="s">
        <v>549</v>
      </c>
      <c r="K1209" s="12" t="s">
        <v>3934</v>
      </c>
      <c r="L1209" s="12" t="s">
        <v>4496</v>
      </c>
      <c r="M1209" s="12" t="s">
        <v>6337</v>
      </c>
      <c r="N1209" s="12">
        <v>97045</v>
      </c>
      <c r="O1209" s="12">
        <v>16179</v>
      </c>
      <c r="P1209" s="12">
        <v>1</v>
      </c>
      <c r="Q1209" s="12" t="s">
        <v>6338</v>
      </c>
      <c r="R1209" s="15" t="s">
        <v>6339</v>
      </c>
      <c r="S1209" s="12">
        <v>285</v>
      </c>
      <c r="T1209" s="12" t="s">
        <v>39</v>
      </c>
      <c r="U1209" s="12" t="s">
        <v>40</v>
      </c>
      <c r="V1209" s="12" t="s">
        <v>41</v>
      </c>
      <c r="W1209" s="12">
        <v>35000000</v>
      </c>
      <c r="X1209" s="12">
        <v>2014</v>
      </c>
      <c r="Y1209" s="12">
        <v>899</v>
      </c>
      <c r="Z1209" s="12">
        <v>5.7</v>
      </c>
      <c r="AA1209" s="12">
        <v>1.85</v>
      </c>
      <c r="AB1209" s="12">
        <v>55000</v>
      </c>
      <c r="AC1209" s="12"/>
      <c r="AD1209" s="12" t="str">
        <f>IFERROR(__xludf.DUMMYFUNCTION("""COMPUTED_VALUE"""),"Ryan Gosling")</f>
        <v>Ryan Gosling</v>
      </c>
      <c r="AE1209" s="12"/>
    </row>
    <row r="1210" customHeight="1" spans="1:31">
      <c r="A1210" s="11" t="s">
        <v>30</v>
      </c>
      <c r="B1210" s="11" t="s">
        <v>5088</v>
      </c>
      <c r="C1210" s="11">
        <v>118</v>
      </c>
      <c r="D1210" s="11">
        <v>120</v>
      </c>
      <c r="E1210" s="11">
        <v>155</v>
      </c>
      <c r="F1210" s="11">
        <v>249</v>
      </c>
      <c r="G1210" s="11">
        <v>23000</v>
      </c>
      <c r="H1210" s="11">
        <v>81593527</v>
      </c>
      <c r="I1210" s="11" t="s">
        <v>3271</v>
      </c>
      <c r="J1210" s="11" t="s">
        <v>336</v>
      </c>
      <c r="K1210" s="11" t="s">
        <v>354</v>
      </c>
      <c r="L1210" s="11" t="s">
        <v>6340</v>
      </c>
      <c r="M1210" s="11" t="s">
        <v>6341</v>
      </c>
      <c r="N1210" s="11">
        <v>48806</v>
      </c>
      <c r="O1210" s="11">
        <v>24300</v>
      </c>
      <c r="P1210" s="11">
        <v>1</v>
      </c>
      <c r="Q1210" s="11" t="s">
        <v>6342</v>
      </c>
      <c r="R1210" s="14" t="s">
        <v>6343</v>
      </c>
      <c r="S1210" s="11">
        <v>263</v>
      </c>
      <c r="T1210" s="11" t="s">
        <v>39</v>
      </c>
      <c r="U1210" s="11" t="s">
        <v>40</v>
      </c>
      <c r="V1210" s="11" t="s">
        <v>96</v>
      </c>
      <c r="W1210" s="11">
        <v>40000000</v>
      </c>
      <c r="X1210" s="11">
        <v>2006</v>
      </c>
      <c r="Y1210" s="11">
        <v>984</v>
      </c>
      <c r="Z1210" s="11">
        <v>7.3</v>
      </c>
      <c r="AA1210" s="11">
        <v>2.35</v>
      </c>
      <c r="AB1210" s="11">
        <v>11000</v>
      </c>
      <c r="AC1210" s="11"/>
      <c r="AD1210" s="11" t="str">
        <f>IFERROR(__xludf.DUMMYFUNCTION("""COMPUTED_VALUE"""),"Wade Williams")</f>
        <v>Wade Williams</v>
      </c>
      <c r="AE1210" s="11"/>
    </row>
    <row r="1211" customHeight="1" spans="1:31">
      <c r="A1211" s="12" t="s">
        <v>30</v>
      </c>
      <c r="B1211" s="12" t="s">
        <v>2368</v>
      </c>
      <c r="C1211" s="12">
        <v>241</v>
      </c>
      <c r="D1211" s="12">
        <v>121</v>
      </c>
      <c r="E1211" s="12">
        <v>278</v>
      </c>
      <c r="F1211" s="12">
        <v>808</v>
      </c>
      <c r="G1211" s="12">
        <v>22000</v>
      </c>
      <c r="H1211" s="12">
        <v>75274748</v>
      </c>
      <c r="I1211" s="12" t="s">
        <v>2528</v>
      </c>
      <c r="J1211" s="12" t="s">
        <v>1746</v>
      </c>
      <c r="K1211" s="12" t="s">
        <v>257</v>
      </c>
      <c r="L1211" s="12" t="s">
        <v>1060</v>
      </c>
      <c r="M1211" s="12" t="s">
        <v>6344</v>
      </c>
      <c r="N1211" s="12">
        <v>130661</v>
      </c>
      <c r="O1211" s="12">
        <v>36010</v>
      </c>
      <c r="P1211" s="12">
        <v>2</v>
      </c>
      <c r="Q1211" s="12" t="s">
        <v>6345</v>
      </c>
      <c r="R1211" s="15" t="s">
        <v>6346</v>
      </c>
      <c r="S1211" s="12">
        <v>304</v>
      </c>
      <c r="T1211" s="12" t="s">
        <v>39</v>
      </c>
      <c r="U1211" s="12" t="s">
        <v>40</v>
      </c>
      <c r="V1211" s="12" t="s">
        <v>41</v>
      </c>
      <c r="W1211" s="12">
        <v>35000000</v>
      </c>
      <c r="X1211" s="12">
        <v>2015</v>
      </c>
      <c r="Y1211" s="12">
        <v>11000</v>
      </c>
      <c r="Z1211" s="12">
        <v>7.2</v>
      </c>
      <c r="AA1211" s="12">
        <v>1.85</v>
      </c>
      <c r="AB1211" s="12">
        <v>54000</v>
      </c>
      <c r="AC1211" s="12"/>
      <c r="AD1211" s="12" t="str">
        <f>IFERROR(__xludf.DUMMYFUNCTION("""COMPUTED_VALUE"""),"Xander Berkeley")</f>
        <v>Xander Berkeley</v>
      </c>
      <c r="AE1211" s="12"/>
    </row>
    <row r="1212" customHeight="1" spans="1:31">
      <c r="A1212" s="11" t="s">
        <v>30</v>
      </c>
      <c r="B1212" s="11" t="s">
        <v>1352</v>
      </c>
      <c r="C1212" s="11">
        <v>119</v>
      </c>
      <c r="D1212" s="11">
        <v>102</v>
      </c>
      <c r="E1212" s="11">
        <v>167</v>
      </c>
      <c r="F1212" s="11">
        <v>655</v>
      </c>
      <c r="G1212" s="11">
        <v>2000</v>
      </c>
      <c r="H1212" s="11">
        <v>90835030</v>
      </c>
      <c r="I1212" s="11" t="s">
        <v>2137</v>
      </c>
      <c r="J1212" s="11" t="s">
        <v>4404</v>
      </c>
      <c r="K1212" s="11" t="s">
        <v>6347</v>
      </c>
      <c r="L1212" s="11" t="s">
        <v>2285</v>
      </c>
      <c r="M1212" s="11" t="s">
        <v>6348</v>
      </c>
      <c r="N1212" s="11">
        <v>28621</v>
      </c>
      <c r="O1212" s="11">
        <v>5178</v>
      </c>
      <c r="P1212" s="11">
        <v>0</v>
      </c>
      <c r="Q1212" s="11" t="s">
        <v>6349</v>
      </c>
      <c r="R1212" s="14" t="s">
        <v>6350</v>
      </c>
      <c r="S1212" s="11">
        <v>58</v>
      </c>
      <c r="T1212" s="11" t="s">
        <v>39</v>
      </c>
      <c r="U1212" s="11" t="s">
        <v>40</v>
      </c>
      <c r="V1212" s="11" t="s">
        <v>41</v>
      </c>
      <c r="W1212" s="11">
        <v>40000000</v>
      </c>
      <c r="X1212" s="11">
        <v>2016</v>
      </c>
      <c r="Y1212" s="11">
        <v>874</v>
      </c>
      <c r="Z1212" s="11">
        <v>5.9</v>
      </c>
      <c r="AA1212" s="11">
        <v>2.35</v>
      </c>
      <c r="AB1212" s="11">
        <v>0</v>
      </c>
      <c r="AC1212" s="11"/>
      <c r="AD1212" s="11" t="str">
        <f>IFERROR(__xludf.DUMMYFUNCTION("""COMPUTED_VALUE"""),"Leleti Khumalo")</f>
        <v>Leleti Khumalo</v>
      </c>
      <c r="AE1212" s="11"/>
    </row>
    <row r="1213" customHeight="1" spans="1:31">
      <c r="A1213" s="12" t="s">
        <v>30</v>
      </c>
      <c r="B1213" s="12" t="s">
        <v>1634</v>
      </c>
      <c r="C1213" s="12">
        <v>89</v>
      </c>
      <c r="D1213" s="12">
        <v>117</v>
      </c>
      <c r="E1213" s="12">
        <v>0</v>
      </c>
      <c r="F1213" s="12">
        <v>322</v>
      </c>
      <c r="G1213" s="12">
        <v>855</v>
      </c>
      <c r="H1213" s="12">
        <v>72455275</v>
      </c>
      <c r="I1213" s="12" t="s">
        <v>6351</v>
      </c>
      <c r="J1213" s="12" t="s">
        <v>35</v>
      </c>
      <c r="K1213" s="12" t="s">
        <v>6352</v>
      </c>
      <c r="L1213" s="12" t="s">
        <v>6353</v>
      </c>
      <c r="M1213" s="12" t="s">
        <v>6354</v>
      </c>
      <c r="N1213" s="12">
        <v>113068</v>
      </c>
      <c r="O1213" s="12">
        <v>2144</v>
      </c>
      <c r="P1213" s="12">
        <v>1</v>
      </c>
      <c r="Q1213" s="12" t="s">
        <v>6355</v>
      </c>
      <c r="R1213" s="15" t="s">
        <v>6356</v>
      </c>
      <c r="S1213" s="12">
        <v>382</v>
      </c>
      <c r="T1213" s="12" t="s">
        <v>39</v>
      </c>
      <c r="U1213" s="12" t="s">
        <v>40</v>
      </c>
      <c r="V1213" s="12" t="s">
        <v>586</v>
      </c>
      <c r="W1213" s="12">
        <v>40000000</v>
      </c>
      <c r="X1213" s="12">
        <v>1992</v>
      </c>
      <c r="Y1213" s="12">
        <v>363</v>
      </c>
      <c r="Z1213" s="12">
        <v>7.8</v>
      </c>
      <c r="AA1213" s="12">
        <v>2.35</v>
      </c>
      <c r="AB1213" s="12">
        <v>0</v>
      </c>
      <c r="AC1213" s="12"/>
      <c r="AD1213" s="12" t="str">
        <f>IFERROR(__xludf.DUMMYFUNCTION("""COMPUTED_VALUE"""),"Michael Weston")</f>
        <v>Michael Weston</v>
      </c>
      <c r="AE1213" s="12"/>
    </row>
    <row r="1214" customHeight="1" spans="1:31">
      <c r="A1214" s="11" t="s">
        <v>30</v>
      </c>
      <c r="B1214" s="11" t="s">
        <v>3779</v>
      </c>
      <c r="C1214" s="11">
        <v>209</v>
      </c>
      <c r="D1214" s="11">
        <v>178</v>
      </c>
      <c r="E1214" s="11">
        <v>138</v>
      </c>
      <c r="F1214" s="11">
        <v>748</v>
      </c>
      <c r="G1214" s="11">
        <v>904</v>
      </c>
      <c r="H1214" s="11">
        <v>75305995</v>
      </c>
      <c r="I1214" s="11" t="s">
        <v>4297</v>
      </c>
      <c r="J1214" s="11" t="s">
        <v>3009</v>
      </c>
      <c r="K1214" s="11" t="s">
        <v>6357</v>
      </c>
      <c r="L1214" s="11" t="s">
        <v>143</v>
      </c>
      <c r="M1214" s="11" t="s">
        <v>6358</v>
      </c>
      <c r="N1214" s="11">
        <v>110394</v>
      </c>
      <c r="O1214" s="11">
        <v>5074</v>
      </c>
      <c r="P1214" s="11">
        <v>0</v>
      </c>
      <c r="Q1214" s="11" t="s">
        <v>6359</v>
      </c>
      <c r="R1214" s="14" t="s">
        <v>6360</v>
      </c>
      <c r="S1214" s="11">
        <v>433</v>
      </c>
      <c r="T1214" s="11" t="s">
        <v>39</v>
      </c>
      <c r="U1214" s="11" t="s">
        <v>40</v>
      </c>
      <c r="V1214" s="11" t="s">
        <v>41</v>
      </c>
      <c r="W1214" s="11">
        <v>40000000</v>
      </c>
      <c r="X1214" s="11">
        <v>2004</v>
      </c>
      <c r="Y1214" s="11">
        <v>876</v>
      </c>
      <c r="Z1214" s="11">
        <v>7.7</v>
      </c>
      <c r="AA1214" s="11">
        <v>1.85</v>
      </c>
      <c r="AB1214" s="11">
        <v>0</v>
      </c>
      <c r="AC1214" s="11"/>
      <c r="AD1214" s="11" t="str">
        <f>IFERROR(__xludf.DUMMYFUNCTION("""COMPUTED_VALUE"""),"Denis O'Hare")</f>
        <v>Denis O'Hare</v>
      </c>
      <c r="AE1214" s="11"/>
    </row>
    <row r="1215" customHeight="1" spans="1:31">
      <c r="A1215" s="12" t="s">
        <v>748</v>
      </c>
      <c r="B1215" s="12" t="s">
        <v>3828</v>
      </c>
      <c r="C1215" s="12">
        <v>374</v>
      </c>
      <c r="D1215" s="12">
        <v>147</v>
      </c>
      <c r="E1215" s="12">
        <v>436</v>
      </c>
      <c r="F1215" s="12">
        <v>175</v>
      </c>
      <c r="G1215" s="12">
        <v>3000</v>
      </c>
      <c r="H1215" s="12">
        <v>74098862</v>
      </c>
      <c r="I1215" s="12" t="s">
        <v>1528</v>
      </c>
      <c r="J1215" s="12" t="s">
        <v>984</v>
      </c>
      <c r="K1215" s="12" t="s">
        <v>6361</v>
      </c>
      <c r="L1215" s="12" t="s">
        <v>6362</v>
      </c>
      <c r="M1215" s="12" t="s">
        <v>6363</v>
      </c>
      <c r="N1215" s="12">
        <v>656640</v>
      </c>
      <c r="O1215" s="12">
        <v>3924</v>
      </c>
      <c r="P1215" s="12">
        <v>1</v>
      </c>
      <c r="Q1215" s="12" t="s">
        <v>6364</v>
      </c>
      <c r="R1215" s="15" t="s">
        <v>6365</v>
      </c>
      <c r="S1215" s="12">
        <v>1732</v>
      </c>
      <c r="T1215" s="12" t="s">
        <v>39</v>
      </c>
      <c r="U1215" s="12" t="s">
        <v>40</v>
      </c>
      <c r="V1215" s="12" t="s">
        <v>586</v>
      </c>
      <c r="W1215" s="12">
        <v>40000000</v>
      </c>
      <c r="X1215" s="12">
        <v>2005</v>
      </c>
      <c r="Y1215" s="12">
        <v>472</v>
      </c>
      <c r="Z1215" s="12">
        <v>8.1</v>
      </c>
      <c r="AA1215" s="12">
        <v>1.85</v>
      </c>
      <c r="AB1215" s="12">
        <v>13000</v>
      </c>
      <c r="AC1215" s="12"/>
      <c r="AD1215" s="12" t="str">
        <f>IFERROR(__xludf.DUMMYFUNCTION("""COMPUTED_VALUE"""),"Steven Anthony Lawrence")</f>
        <v>Steven Anthony Lawrence</v>
      </c>
      <c r="AE1215" s="12"/>
    </row>
    <row r="1216" customHeight="1" spans="1:31">
      <c r="A1216" s="11" t="s">
        <v>30</v>
      </c>
      <c r="B1216" s="11" t="s">
        <v>2483</v>
      </c>
      <c r="C1216" s="11">
        <v>235</v>
      </c>
      <c r="D1216" s="11">
        <v>90</v>
      </c>
      <c r="E1216" s="11">
        <v>38</v>
      </c>
      <c r="F1216" s="11">
        <v>882</v>
      </c>
      <c r="G1216" s="11">
        <v>2000</v>
      </c>
      <c r="H1216" s="11">
        <v>72266306</v>
      </c>
      <c r="I1216" s="11" t="s">
        <v>2142</v>
      </c>
      <c r="J1216" s="11" t="s">
        <v>537</v>
      </c>
      <c r="K1216" s="11" t="s">
        <v>878</v>
      </c>
      <c r="L1216" s="11" t="s">
        <v>191</v>
      </c>
      <c r="M1216" s="11" t="s">
        <v>6366</v>
      </c>
      <c r="N1216" s="11">
        <v>127528</v>
      </c>
      <c r="O1216" s="11">
        <v>6775</v>
      </c>
      <c r="P1216" s="11">
        <v>4</v>
      </c>
      <c r="Q1216" s="11" t="s">
        <v>6367</v>
      </c>
      <c r="R1216" s="14" t="s">
        <v>6368</v>
      </c>
      <c r="S1216" s="11">
        <v>422</v>
      </c>
      <c r="T1216" s="11" t="s">
        <v>39</v>
      </c>
      <c r="U1216" s="11" t="s">
        <v>40</v>
      </c>
      <c r="V1216" s="11" t="s">
        <v>41</v>
      </c>
      <c r="W1216" s="11">
        <v>40000000</v>
      </c>
      <c r="X1216" s="11">
        <v>2008</v>
      </c>
      <c r="Y1216" s="11">
        <v>897</v>
      </c>
      <c r="Z1216" s="11">
        <v>6.6</v>
      </c>
      <c r="AA1216" s="11">
        <v>2.35</v>
      </c>
      <c r="AB1216" s="11">
        <v>0</v>
      </c>
      <c r="AC1216" s="11"/>
      <c r="AD1216" s="11" t="str">
        <f>IFERROR(__xludf.DUMMYFUNCTION("""COMPUTED_VALUE"""),"Ray Walston")</f>
        <v>Ray Walston</v>
      </c>
      <c r="AE1216" s="11"/>
    </row>
    <row r="1217" customHeight="1" spans="1:31">
      <c r="A1217" s="12" t="s">
        <v>30</v>
      </c>
      <c r="B1217" s="12" t="s">
        <v>6098</v>
      </c>
      <c r="C1217" s="12">
        <v>215</v>
      </c>
      <c r="D1217" s="12">
        <v>105</v>
      </c>
      <c r="E1217" s="12">
        <v>29</v>
      </c>
      <c r="F1217" s="12">
        <v>257</v>
      </c>
      <c r="G1217" s="12">
        <v>24000</v>
      </c>
      <c r="H1217" s="12">
        <v>71347010</v>
      </c>
      <c r="I1217" s="12" t="s">
        <v>1681</v>
      </c>
      <c r="J1217" s="12" t="s">
        <v>82</v>
      </c>
      <c r="K1217" s="12" t="s">
        <v>251</v>
      </c>
      <c r="L1217" s="12" t="s">
        <v>6369</v>
      </c>
      <c r="M1217" s="12" t="s">
        <v>6370</v>
      </c>
      <c r="N1217" s="12">
        <v>166194</v>
      </c>
      <c r="O1217" s="12">
        <v>28928</v>
      </c>
      <c r="P1217" s="12">
        <v>2</v>
      </c>
      <c r="Q1217" s="12" t="s">
        <v>6371</v>
      </c>
      <c r="R1217" s="15" t="s">
        <v>6372</v>
      </c>
      <c r="S1217" s="12">
        <v>215</v>
      </c>
      <c r="T1217" s="12" t="s">
        <v>39</v>
      </c>
      <c r="U1217" s="12" t="s">
        <v>40</v>
      </c>
      <c r="V1217" s="12" t="s">
        <v>586</v>
      </c>
      <c r="W1217" s="12">
        <v>40000000</v>
      </c>
      <c r="X1217" s="12">
        <v>2009</v>
      </c>
      <c r="Y1217" s="12">
        <v>4000</v>
      </c>
      <c r="Z1217" s="12">
        <v>7.1</v>
      </c>
      <c r="AA1217" s="12">
        <v>1.85</v>
      </c>
      <c r="AB1217" s="12">
        <v>0</v>
      </c>
      <c r="AC1217" s="12"/>
      <c r="AD1217" s="12" t="str">
        <f>IFERROR(__xludf.DUMMYFUNCTION("""COMPUTED_VALUE"""),"Michael Lerner")</f>
        <v>Michael Lerner</v>
      </c>
      <c r="AE1217" s="12"/>
    </row>
    <row r="1218" customHeight="1" spans="1:31">
      <c r="A1218" s="11" t="s">
        <v>30</v>
      </c>
      <c r="B1218" s="11" t="s">
        <v>3495</v>
      </c>
      <c r="C1218" s="11">
        <v>109</v>
      </c>
      <c r="D1218" s="11">
        <v>114</v>
      </c>
      <c r="E1218" s="11">
        <v>101</v>
      </c>
      <c r="F1218" s="11">
        <v>398</v>
      </c>
      <c r="G1218" s="11">
        <v>700</v>
      </c>
      <c r="H1218" s="11">
        <v>70836296</v>
      </c>
      <c r="I1218" s="11" t="s">
        <v>2490</v>
      </c>
      <c r="J1218" s="11" t="s">
        <v>1772</v>
      </c>
      <c r="K1218" s="11" t="s">
        <v>2285</v>
      </c>
      <c r="L1218" s="11" t="s">
        <v>6373</v>
      </c>
      <c r="M1218" s="11" t="s">
        <v>6374</v>
      </c>
      <c r="N1218" s="11">
        <v>109445</v>
      </c>
      <c r="O1218" s="11">
        <v>2842</v>
      </c>
      <c r="P1218" s="11">
        <v>2</v>
      </c>
      <c r="Q1218" s="11" t="s">
        <v>6375</v>
      </c>
      <c r="R1218" s="14" t="s">
        <v>6376</v>
      </c>
      <c r="S1218" s="11">
        <v>426</v>
      </c>
      <c r="T1218" s="11" t="s">
        <v>39</v>
      </c>
      <c r="U1218" s="11" t="s">
        <v>40</v>
      </c>
      <c r="V1218" s="11" t="s">
        <v>41</v>
      </c>
      <c r="W1218" s="11">
        <v>40000000</v>
      </c>
      <c r="X1218" s="11">
        <v>2001</v>
      </c>
      <c r="Y1218" s="11">
        <v>655</v>
      </c>
      <c r="Z1218" s="11">
        <v>5.9</v>
      </c>
      <c r="AA1218" s="11">
        <v>1.85</v>
      </c>
      <c r="AB1218" s="11">
        <v>0</v>
      </c>
      <c r="AC1218" s="11"/>
      <c r="AD1218" s="11" t="str">
        <f>IFERROR(__xludf.DUMMYFUNCTION("""COMPUTED_VALUE"""),"Blair Brown")</f>
        <v>Blair Brown</v>
      </c>
      <c r="AE1218" s="11"/>
    </row>
    <row r="1219" customHeight="1" spans="1:31">
      <c r="A1219" s="12" t="s">
        <v>748</v>
      </c>
      <c r="B1219" s="12" t="s">
        <v>761</v>
      </c>
      <c r="C1219" s="12">
        <v>125</v>
      </c>
      <c r="D1219" s="12">
        <v>206</v>
      </c>
      <c r="E1219" s="12">
        <v>0</v>
      </c>
      <c r="F1219" s="12">
        <v>4</v>
      </c>
      <c r="G1219" s="12">
        <v>433</v>
      </c>
      <c r="H1219" s="12">
        <v>70405498</v>
      </c>
      <c r="I1219" s="12" t="s">
        <v>2819</v>
      </c>
      <c r="J1219" s="12" t="s">
        <v>6377</v>
      </c>
      <c r="K1219" s="12" t="s">
        <v>6378</v>
      </c>
      <c r="L1219" s="12" t="s">
        <v>6379</v>
      </c>
      <c r="M1219" s="12" t="s">
        <v>6380</v>
      </c>
      <c r="N1219" s="12">
        <v>113472</v>
      </c>
      <c r="O1219" s="12">
        <v>698</v>
      </c>
      <c r="P1219" s="12">
        <v>1</v>
      </c>
      <c r="Q1219" s="12" t="s">
        <v>6381</v>
      </c>
      <c r="R1219" s="15" t="s">
        <v>6382</v>
      </c>
      <c r="S1219" s="12">
        <v>442</v>
      </c>
      <c r="T1219" s="12" t="s">
        <v>39</v>
      </c>
      <c r="U1219" s="12" t="s">
        <v>1466</v>
      </c>
      <c r="V1219" s="12" t="s">
        <v>586</v>
      </c>
      <c r="W1219" s="12">
        <v>40000000</v>
      </c>
      <c r="X1219" s="12">
        <v>1991</v>
      </c>
      <c r="Y1219" s="12">
        <v>256</v>
      </c>
      <c r="Z1219" s="12">
        <v>8</v>
      </c>
      <c r="AA1219" s="12">
        <v>2.35</v>
      </c>
      <c r="AB1219" s="12">
        <v>0</v>
      </c>
      <c r="AC1219" s="12"/>
      <c r="AD1219" s="12" t="str">
        <f>IFERROR(__xludf.DUMMYFUNCTION("""COMPUTED_VALUE"""),"David Rasche")</f>
        <v>David Rasche</v>
      </c>
      <c r="AE1219" s="12"/>
    </row>
    <row r="1220" customHeight="1" spans="1:31">
      <c r="A1220" s="11" t="s">
        <v>30</v>
      </c>
      <c r="B1220" s="11" t="s">
        <v>4988</v>
      </c>
      <c r="C1220" s="11">
        <v>65</v>
      </c>
      <c r="D1220" s="11">
        <v>99</v>
      </c>
      <c r="E1220" s="11">
        <v>14</v>
      </c>
      <c r="F1220" s="11">
        <v>633</v>
      </c>
      <c r="G1220" s="11">
        <v>17000</v>
      </c>
      <c r="H1220" s="11">
        <v>70163652</v>
      </c>
      <c r="I1220" s="11" t="s">
        <v>1009</v>
      </c>
      <c r="J1220" s="11" t="s">
        <v>490</v>
      </c>
      <c r="K1220" s="11" t="s">
        <v>6383</v>
      </c>
      <c r="L1220" s="11" t="s">
        <v>6384</v>
      </c>
      <c r="M1220" s="11" t="s">
        <v>6385</v>
      </c>
      <c r="N1220" s="11">
        <v>31968</v>
      </c>
      <c r="O1220" s="11">
        <v>19334</v>
      </c>
      <c r="P1220" s="11">
        <v>0</v>
      </c>
      <c r="Q1220" s="11" t="s">
        <v>6386</v>
      </c>
      <c r="R1220" s="14" t="s">
        <v>6387</v>
      </c>
      <c r="S1220" s="11">
        <v>82</v>
      </c>
      <c r="T1220" s="11" t="s">
        <v>39</v>
      </c>
      <c r="U1220" s="11" t="s">
        <v>40</v>
      </c>
      <c r="V1220" s="11" t="s">
        <v>41</v>
      </c>
      <c r="W1220" s="11">
        <v>40000000</v>
      </c>
      <c r="X1220" s="11">
        <v>2006</v>
      </c>
      <c r="Y1220" s="11">
        <v>826</v>
      </c>
      <c r="Z1220" s="11">
        <v>4.6</v>
      </c>
      <c r="AA1220" s="11">
        <v>1.85</v>
      </c>
      <c r="AB1220" s="11">
        <v>663</v>
      </c>
      <c r="AC1220" s="11"/>
      <c r="AD1220" s="11" t="str">
        <f>IFERROR(__xludf.DUMMYFUNCTION("""COMPUTED_VALUE"""),"Martin Donovan")</f>
        <v>Martin Donovan</v>
      </c>
      <c r="AE1220" s="11"/>
    </row>
    <row r="1221" customHeight="1" spans="1:31">
      <c r="A1221" s="12" t="s">
        <v>30</v>
      </c>
      <c r="B1221" s="12" t="s">
        <v>42</v>
      </c>
      <c r="C1221" s="12">
        <v>125</v>
      </c>
      <c r="D1221" s="12">
        <v>123</v>
      </c>
      <c r="E1221" s="12">
        <v>563</v>
      </c>
      <c r="F1221" s="12">
        <v>8000</v>
      </c>
      <c r="G1221" s="12">
        <v>24000</v>
      </c>
      <c r="H1221" s="12">
        <v>66808615</v>
      </c>
      <c r="I1221" s="12" t="s">
        <v>6388</v>
      </c>
      <c r="J1221" s="12" t="s">
        <v>82</v>
      </c>
      <c r="K1221" s="12" t="s">
        <v>343</v>
      </c>
      <c r="L1221" s="12" t="s">
        <v>1529</v>
      </c>
      <c r="M1221" s="12" t="s">
        <v>6389</v>
      </c>
      <c r="N1221" s="12">
        <v>87351</v>
      </c>
      <c r="O1221" s="12">
        <v>43917</v>
      </c>
      <c r="P1221" s="12">
        <v>0</v>
      </c>
      <c r="Q1221" s="12" t="s">
        <v>6390</v>
      </c>
      <c r="R1221" s="15" t="s">
        <v>6391</v>
      </c>
      <c r="S1221" s="12">
        <v>344</v>
      </c>
      <c r="T1221" s="12" t="s">
        <v>39</v>
      </c>
      <c r="U1221" s="12" t="s">
        <v>40</v>
      </c>
      <c r="V1221" s="12" t="s">
        <v>586</v>
      </c>
      <c r="W1221" s="12">
        <v>34000000</v>
      </c>
      <c r="X1221" s="12">
        <v>2001</v>
      </c>
      <c r="Y1221" s="12">
        <v>11000</v>
      </c>
      <c r="Z1221" s="12">
        <v>6.1</v>
      </c>
      <c r="AA1221" s="12">
        <v>2.35</v>
      </c>
      <c r="AB1221" s="12">
        <v>2000</v>
      </c>
      <c r="AC1221" s="12"/>
      <c r="AD1221" s="12" t="str">
        <f>IFERROR(__xludf.DUMMYFUNCTION("""COMPUTED_VALUE"""),"Paul Adelstein")</f>
        <v>Paul Adelstein</v>
      </c>
      <c r="AE1221" s="12"/>
    </row>
    <row r="1222" customHeight="1" spans="1:31">
      <c r="A1222" s="11" t="s">
        <v>30</v>
      </c>
      <c r="B1222" s="11" t="s">
        <v>565</v>
      </c>
      <c r="C1222" s="11">
        <v>322</v>
      </c>
      <c r="D1222" s="11">
        <v>137</v>
      </c>
      <c r="E1222" s="11">
        <v>11000</v>
      </c>
      <c r="F1222" s="11">
        <v>465</v>
      </c>
      <c r="G1222" s="11">
        <v>769</v>
      </c>
      <c r="H1222" s="11">
        <v>115603980</v>
      </c>
      <c r="I1222" s="11" t="s">
        <v>3688</v>
      </c>
      <c r="J1222" s="11" t="s">
        <v>3689</v>
      </c>
      <c r="K1222" s="11" t="s">
        <v>3690</v>
      </c>
      <c r="L1222" s="11" t="s">
        <v>3691</v>
      </c>
      <c r="M1222" s="11" t="s">
        <v>3692</v>
      </c>
      <c r="N1222" s="11">
        <v>103589</v>
      </c>
      <c r="O1222" s="11">
        <v>2938</v>
      </c>
      <c r="P1222" s="11">
        <v>0</v>
      </c>
      <c r="Q1222" s="11" t="s">
        <v>3693</v>
      </c>
      <c r="R1222" s="14" t="s">
        <v>3694</v>
      </c>
      <c r="S1222" s="11">
        <v>351</v>
      </c>
      <c r="T1222" s="11" t="s">
        <v>39</v>
      </c>
      <c r="U1222" s="11" t="s">
        <v>40</v>
      </c>
      <c r="V1222" s="11" t="s">
        <v>41</v>
      </c>
      <c r="W1222" s="11">
        <v>65000000</v>
      </c>
      <c r="X1222" s="11">
        <v>2014</v>
      </c>
      <c r="Y1222" s="11">
        <v>698</v>
      </c>
      <c r="Z1222" s="11">
        <v>7.2</v>
      </c>
      <c r="AA1222" s="11">
        <v>2.35</v>
      </c>
      <c r="AB1222" s="11">
        <v>35000</v>
      </c>
      <c r="AC1222" s="11"/>
      <c r="AD1222" s="11" t="str">
        <f>IFERROR(__xludf.DUMMYFUNCTION("""COMPUTED_VALUE"""),"Julia Duffy")</f>
        <v>Julia Duffy</v>
      </c>
      <c r="AE1222" s="11"/>
    </row>
    <row r="1223" customHeight="1" spans="1:31">
      <c r="A1223" s="12" t="s">
        <v>30</v>
      </c>
      <c r="B1223" s="12" t="s">
        <v>6075</v>
      </c>
      <c r="C1223" s="12">
        <v>191</v>
      </c>
      <c r="D1223" s="12">
        <v>102</v>
      </c>
      <c r="E1223" s="12">
        <v>23</v>
      </c>
      <c r="F1223" s="12">
        <v>651</v>
      </c>
      <c r="G1223" s="12">
        <v>2000</v>
      </c>
      <c r="H1223" s="12">
        <v>64149837</v>
      </c>
      <c r="I1223" s="12" t="s">
        <v>6392</v>
      </c>
      <c r="J1223" s="12" t="s">
        <v>6393</v>
      </c>
      <c r="K1223" s="12" t="s">
        <v>2378</v>
      </c>
      <c r="L1223" s="12" t="s">
        <v>5043</v>
      </c>
      <c r="M1223" s="12" t="s">
        <v>6394</v>
      </c>
      <c r="N1223" s="12">
        <v>146899</v>
      </c>
      <c r="O1223" s="12">
        <v>7009</v>
      </c>
      <c r="P1223" s="12">
        <v>1</v>
      </c>
      <c r="Q1223" s="12" t="s">
        <v>6395</v>
      </c>
      <c r="R1223" s="15" t="s">
        <v>6396</v>
      </c>
      <c r="S1223" s="12">
        <v>185</v>
      </c>
      <c r="T1223" s="12" t="s">
        <v>39</v>
      </c>
      <c r="U1223" s="12" t="s">
        <v>40</v>
      </c>
      <c r="V1223" s="12" t="s">
        <v>41</v>
      </c>
      <c r="W1223" s="12">
        <v>20000000</v>
      </c>
      <c r="X1223" s="12">
        <v>2009</v>
      </c>
      <c r="Y1223" s="12">
        <v>2000</v>
      </c>
      <c r="Z1223" s="12">
        <v>6.4</v>
      </c>
      <c r="AA1223" s="12">
        <v>2.35</v>
      </c>
      <c r="AB1223" s="12">
        <v>0</v>
      </c>
      <c r="AC1223" s="12"/>
      <c r="AD1223" s="12" t="str">
        <f>IFERROR(__xludf.DUMMYFUNCTION("""COMPUTED_VALUE"""),"Ed Lauter")</f>
        <v>Ed Lauter</v>
      </c>
      <c r="AE1223" s="12"/>
    </row>
    <row r="1224" customHeight="1" spans="1:31">
      <c r="A1224" s="11" t="s">
        <v>30</v>
      </c>
      <c r="B1224" s="11" t="s">
        <v>6397</v>
      </c>
      <c r="C1224" s="11">
        <v>191</v>
      </c>
      <c r="D1224" s="11">
        <v>109</v>
      </c>
      <c r="E1224" s="11">
        <v>415</v>
      </c>
      <c r="F1224" s="11">
        <v>119</v>
      </c>
      <c r="G1224" s="11">
        <v>982</v>
      </c>
      <c r="H1224" s="11">
        <v>83906114</v>
      </c>
      <c r="I1224" s="11" t="s">
        <v>1681</v>
      </c>
      <c r="J1224" s="11" t="s">
        <v>1121</v>
      </c>
      <c r="K1224" s="11" t="s">
        <v>6398</v>
      </c>
      <c r="L1224" s="11" t="s">
        <v>6399</v>
      </c>
      <c r="M1224" s="11" t="s">
        <v>6400</v>
      </c>
      <c r="N1224" s="11">
        <v>104481</v>
      </c>
      <c r="O1224" s="11">
        <v>2357</v>
      </c>
      <c r="P1224" s="11">
        <v>2</v>
      </c>
      <c r="Q1224" s="11" t="s">
        <v>6401</v>
      </c>
      <c r="R1224" s="14" t="s">
        <v>6402</v>
      </c>
      <c r="S1224" s="11">
        <v>189</v>
      </c>
      <c r="T1224" s="11" t="s">
        <v>39</v>
      </c>
      <c r="U1224" s="11" t="s">
        <v>40</v>
      </c>
      <c r="V1224" s="11" t="s">
        <v>41</v>
      </c>
      <c r="W1224" s="11">
        <v>40000000</v>
      </c>
      <c r="X1224" s="11">
        <v>2014</v>
      </c>
      <c r="Y1224" s="11">
        <v>971</v>
      </c>
      <c r="Z1224" s="11">
        <v>6</v>
      </c>
      <c r="AA1224" s="11">
        <v>2.35</v>
      </c>
      <c r="AB1224" s="11">
        <v>16000</v>
      </c>
      <c r="AC1224" s="11"/>
      <c r="AD1224" s="11" t="str">
        <f>IFERROR(__xludf.DUMMYFUNCTION("""COMPUTED_VALUE"""),"Bojana Novakovic")</f>
        <v>Bojana Novakovic</v>
      </c>
      <c r="AE1224" s="11"/>
    </row>
    <row r="1225" customHeight="1" spans="1:31">
      <c r="A1225" s="12" t="s">
        <v>30</v>
      </c>
      <c r="B1225" s="12" t="s">
        <v>5862</v>
      </c>
      <c r="C1225" s="12">
        <v>221</v>
      </c>
      <c r="D1225" s="12">
        <v>82</v>
      </c>
      <c r="E1225" s="12">
        <v>160</v>
      </c>
      <c r="F1225" s="12">
        <v>748</v>
      </c>
      <c r="G1225" s="12">
        <v>164000</v>
      </c>
      <c r="H1225" s="12">
        <v>66466372</v>
      </c>
      <c r="I1225" s="12" t="s">
        <v>6403</v>
      </c>
      <c r="J1225" s="12" t="s">
        <v>6404</v>
      </c>
      <c r="K1225" s="12" t="s">
        <v>6405</v>
      </c>
      <c r="L1225" s="12" t="s">
        <v>6406</v>
      </c>
      <c r="M1225" s="12" t="s">
        <v>6407</v>
      </c>
      <c r="N1225" s="12">
        <v>75345</v>
      </c>
      <c r="O1225" s="12">
        <v>303717</v>
      </c>
      <c r="P1225" s="12">
        <v>0</v>
      </c>
      <c r="Q1225" s="12" t="s">
        <v>6408</v>
      </c>
      <c r="R1225" s="15" t="s">
        <v>6409</v>
      </c>
      <c r="S1225" s="12">
        <v>290</v>
      </c>
      <c r="T1225" s="12" t="s">
        <v>39</v>
      </c>
      <c r="U1225" s="12" t="s">
        <v>40</v>
      </c>
      <c r="V1225" s="12" t="s">
        <v>586</v>
      </c>
      <c r="W1225" s="12">
        <v>40000000</v>
      </c>
      <c r="X1225" s="12">
        <v>2009</v>
      </c>
      <c r="Y1225" s="12">
        <v>137000</v>
      </c>
      <c r="Z1225" s="12">
        <v>5.2</v>
      </c>
      <c r="AA1225" s="12">
        <v>2.35</v>
      </c>
      <c r="AB1225" s="12">
        <v>0</v>
      </c>
      <c r="AC1225" s="12"/>
      <c r="AD1225" s="12" t="str">
        <f>IFERROR(__xludf.DUMMYFUNCTION("""COMPUTED_VALUE"""),"John Kapelos")</f>
        <v>John Kapelos</v>
      </c>
      <c r="AE1225" s="12"/>
    </row>
    <row r="1226" customHeight="1" spans="1:31">
      <c r="A1226" s="11" t="s">
        <v>30</v>
      </c>
      <c r="B1226" s="11" t="s">
        <v>390</v>
      </c>
      <c r="C1226" s="11">
        <v>459</v>
      </c>
      <c r="D1226" s="11">
        <v>142</v>
      </c>
      <c r="E1226" s="11">
        <v>14000</v>
      </c>
      <c r="F1226" s="11">
        <v>423</v>
      </c>
      <c r="G1226" s="11">
        <v>15000</v>
      </c>
      <c r="H1226" s="11">
        <v>72306065</v>
      </c>
      <c r="I1226" s="11" t="s">
        <v>2819</v>
      </c>
      <c r="J1226" s="11" t="s">
        <v>322</v>
      </c>
      <c r="K1226" s="11" t="s">
        <v>1128</v>
      </c>
      <c r="L1226" s="11" t="s">
        <v>5686</v>
      </c>
      <c r="M1226" s="11" t="s">
        <v>6410</v>
      </c>
      <c r="N1226" s="11">
        <v>178118</v>
      </c>
      <c r="O1226" s="11">
        <v>16944</v>
      </c>
      <c r="P1226" s="11">
        <v>0</v>
      </c>
      <c r="Q1226" s="11" t="s">
        <v>6411</v>
      </c>
      <c r="R1226" s="14" t="s">
        <v>6412</v>
      </c>
      <c r="S1226" s="11">
        <v>355</v>
      </c>
      <c r="T1226" s="11" t="s">
        <v>39</v>
      </c>
      <c r="U1226" s="11" t="s">
        <v>40</v>
      </c>
      <c r="V1226" s="11" t="s">
        <v>41</v>
      </c>
      <c r="W1226" s="11">
        <v>40000000</v>
      </c>
      <c r="X1226" s="11">
        <v>2015</v>
      </c>
      <c r="Y1226" s="11">
        <v>535</v>
      </c>
      <c r="Z1226" s="11">
        <v>7.6</v>
      </c>
      <c r="AA1226" s="11">
        <v>2.35</v>
      </c>
      <c r="AB1226" s="11">
        <v>55000</v>
      </c>
      <c r="AC1226" s="11"/>
      <c r="AD1226" s="11" t="str">
        <f>IFERROR(__xludf.DUMMYFUNCTION("""COMPUTED_VALUE"""),"Penelope Ann Miller")</f>
        <v>Penelope Ann Miller</v>
      </c>
      <c r="AE1226" s="11"/>
    </row>
    <row r="1227" customHeight="1" spans="1:31">
      <c r="A1227" s="12" t="s">
        <v>30</v>
      </c>
      <c r="B1227" s="12" t="s">
        <v>2049</v>
      </c>
      <c r="C1227" s="12">
        <v>131</v>
      </c>
      <c r="D1227" s="12">
        <v>106</v>
      </c>
      <c r="E1227" s="12">
        <v>212</v>
      </c>
      <c r="F1227" s="12">
        <v>389</v>
      </c>
      <c r="G1227" s="12">
        <v>578</v>
      </c>
      <c r="H1227" s="12">
        <v>59068786</v>
      </c>
      <c r="I1227" s="12" t="s">
        <v>1910</v>
      </c>
      <c r="J1227" s="12" t="s">
        <v>6413</v>
      </c>
      <c r="K1227" s="12" t="s">
        <v>3888</v>
      </c>
      <c r="L1227" s="12" t="s">
        <v>6414</v>
      </c>
      <c r="M1227" s="12" t="s">
        <v>6415</v>
      </c>
      <c r="N1227" s="12">
        <v>86902</v>
      </c>
      <c r="O1227" s="12">
        <v>2544</v>
      </c>
      <c r="P1227" s="12">
        <v>2</v>
      </c>
      <c r="Q1227" s="12" t="s">
        <v>6416</v>
      </c>
      <c r="R1227" s="15" t="s">
        <v>6417</v>
      </c>
      <c r="S1227" s="12">
        <v>411</v>
      </c>
      <c r="T1227" s="12" t="s">
        <v>39</v>
      </c>
      <c r="U1227" s="12" t="s">
        <v>40</v>
      </c>
      <c r="V1227" s="12" t="s">
        <v>41</v>
      </c>
      <c r="W1227" s="12">
        <v>40000000</v>
      </c>
      <c r="X1227" s="12">
        <v>2001</v>
      </c>
      <c r="Y1227" s="12">
        <v>563</v>
      </c>
      <c r="Z1227" s="12">
        <v>6.4</v>
      </c>
      <c r="AA1227" s="12">
        <v>2.35</v>
      </c>
      <c r="AB1227" s="12">
        <v>0</v>
      </c>
      <c r="AC1227" s="12"/>
      <c r="AD1227" s="12" t="str">
        <f>IFERROR(__xludf.DUMMYFUNCTION("""COMPUTED_VALUE"""),"Chi Muoi Lo")</f>
        <v>Chi Muoi Lo</v>
      </c>
      <c r="AE1227" s="12"/>
    </row>
    <row r="1228" customHeight="1" spans="1:31">
      <c r="A1228" s="11" t="s">
        <v>30</v>
      </c>
      <c r="B1228" s="11" t="s">
        <v>6418</v>
      </c>
      <c r="C1228" s="11">
        <v>222</v>
      </c>
      <c r="D1228" s="11">
        <v>114</v>
      </c>
      <c r="E1228" s="11">
        <v>89</v>
      </c>
      <c r="F1228" s="11">
        <v>177</v>
      </c>
      <c r="G1228" s="11">
        <v>836</v>
      </c>
      <c r="H1228" s="11">
        <v>60923325</v>
      </c>
      <c r="I1228" s="11" t="s">
        <v>6419</v>
      </c>
      <c r="J1228" s="11" t="s">
        <v>6420</v>
      </c>
      <c r="K1228" s="11" t="s">
        <v>6421</v>
      </c>
      <c r="L1228" s="11" t="s">
        <v>6422</v>
      </c>
      <c r="M1228" s="11" t="s">
        <v>6423</v>
      </c>
      <c r="N1228" s="11">
        <v>147317</v>
      </c>
      <c r="O1228" s="11">
        <v>2091</v>
      </c>
      <c r="P1228" s="11">
        <v>2</v>
      </c>
      <c r="Q1228" s="11" t="s">
        <v>6424</v>
      </c>
      <c r="R1228" s="14" t="s">
        <v>6425</v>
      </c>
      <c r="S1228" s="11">
        <v>197</v>
      </c>
      <c r="T1228" s="11" t="s">
        <v>39</v>
      </c>
      <c r="U1228" s="11" t="s">
        <v>40</v>
      </c>
      <c r="V1228" s="11" t="s">
        <v>586</v>
      </c>
      <c r="W1228" s="13"/>
      <c r="X1228" s="11">
        <v>2010</v>
      </c>
      <c r="Y1228" s="11">
        <v>719</v>
      </c>
      <c r="Z1228" s="11">
        <v>6.4</v>
      </c>
      <c r="AA1228" s="11">
        <v>1.85</v>
      </c>
      <c r="AB1228" s="11">
        <v>12000</v>
      </c>
      <c r="AC1228" s="11"/>
      <c r="AD1228" s="11" t="str">
        <f>IFERROR(__xludf.DUMMYFUNCTION("""COMPUTED_VALUE"""),"Cathy Moriarty")</f>
        <v>Cathy Moriarty</v>
      </c>
      <c r="AE1228" s="11"/>
    </row>
    <row r="1229" customHeight="1" spans="1:31">
      <c r="A1229" s="12" t="s">
        <v>30</v>
      </c>
      <c r="B1229" s="12" t="s">
        <v>1680</v>
      </c>
      <c r="C1229" s="12">
        <v>118</v>
      </c>
      <c r="D1229" s="12">
        <v>106</v>
      </c>
      <c r="E1229" s="12">
        <v>23</v>
      </c>
      <c r="F1229" s="12">
        <v>418</v>
      </c>
      <c r="G1229" s="12">
        <v>1000</v>
      </c>
      <c r="H1229" s="12">
        <v>57887882</v>
      </c>
      <c r="I1229" s="12" t="s">
        <v>1415</v>
      </c>
      <c r="J1229" s="12" t="s">
        <v>1184</v>
      </c>
      <c r="K1229" s="12" t="s">
        <v>6426</v>
      </c>
      <c r="L1229" s="12" t="s">
        <v>706</v>
      </c>
      <c r="M1229" s="12" t="s">
        <v>6427</v>
      </c>
      <c r="N1229" s="12">
        <v>35508</v>
      </c>
      <c r="O1229" s="12">
        <v>2325</v>
      </c>
      <c r="P1229" s="12">
        <v>2</v>
      </c>
      <c r="Q1229" s="12" t="s">
        <v>6428</v>
      </c>
      <c r="R1229" s="15" t="s">
        <v>6429</v>
      </c>
      <c r="S1229" s="12">
        <v>211</v>
      </c>
      <c r="T1229" s="12" t="s">
        <v>39</v>
      </c>
      <c r="U1229" s="12" t="s">
        <v>40</v>
      </c>
      <c r="V1229" s="12" t="s">
        <v>41</v>
      </c>
      <c r="W1229" s="12">
        <v>50000000</v>
      </c>
      <c r="X1229" s="12">
        <v>2004</v>
      </c>
      <c r="Y1229" s="12">
        <v>593</v>
      </c>
      <c r="Z1229" s="12">
        <v>6.1</v>
      </c>
      <c r="AA1229" s="12">
        <v>1.85</v>
      </c>
      <c r="AB1229" s="12">
        <v>0</v>
      </c>
      <c r="AC1229" s="12"/>
      <c r="AD1229" s="12" t="str">
        <f>IFERROR(__xludf.DUMMYFUNCTION("""COMPUTED_VALUE"""),"Joe Viterelli")</f>
        <v>Joe Viterelli</v>
      </c>
      <c r="AE1229" s="12"/>
    </row>
    <row r="1230" customHeight="1" spans="1:31">
      <c r="A1230" s="11" t="s">
        <v>30</v>
      </c>
      <c r="B1230" s="11" t="s">
        <v>2844</v>
      </c>
      <c r="C1230" s="11">
        <v>100</v>
      </c>
      <c r="D1230" s="11">
        <v>108</v>
      </c>
      <c r="E1230" s="11">
        <v>287</v>
      </c>
      <c r="F1230" s="11">
        <v>823</v>
      </c>
      <c r="G1230" s="11">
        <v>4000</v>
      </c>
      <c r="H1230" s="11">
        <v>53955614</v>
      </c>
      <c r="I1230" s="11" t="s">
        <v>3037</v>
      </c>
      <c r="J1230" s="11" t="s">
        <v>84</v>
      </c>
      <c r="K1230" s="11" t="s">
        <v>2107</v>
      </c>
      <c r="L1230" s="11" t="s">
        <v>5252</v>
      </c>
      <c r="M1230" s="11" t="s">
        <v>6430</v>
      </c>
      <c r="N1230" s="11">
        <v>77415</v>
      </c>
      <c r="O1230" s="11">
        <v>8610</v>
      </c>
      <c r="P1230" s="11">
        <v>0</v>
      </c>
      <c r="Q1230" s="11" t="s">
        <v>6431</v>
      </c>
      <c r="R1230" s="14" t="s">
        <v>6432</v>
      </c>
      <c r="S1230" s="11">
        <v>139</v>
      </c>
      <c r="T1230" s="11" t="s">
        <v>39</v>
      </c>
      <c r="U1230" s="11" t="s">
        <v>40</v>
      </c>
      <c r="V1230" s="11" t="s">
        <v>41</v>
      </c>
      <c r="W1230" s="11">
        <v>40000000</v>
      </c>
      <c r="X1230" s="11">
        <v>1998</v>
      </c>
      <c r="Y1230" s="11">
        <v>835</v>
      </c>
      <c r="Z1230" s="11">
        <v>6.1</v>
      </c>
      <c r="AA1230" s="11">
        <v>2.35</v>
      </c>
      <c r="AB1230" s="11">
        <v>0</v>
      </c>
      <c r="AC1230" s="11"/>
      <c r="AD1230" s="11" t="str">
        <f>IFERROR(__xludf.DUMMYFUNCTION("""COMPUTED_VALUE"""),"Carrie Preston")</f>
        <v>Carrie Preston</v>
      </c>
      <c r="AE1230" s="11"/>
    </row>
    <row r="1231" customHeight="1" spans="1:31">
      <c r="A1231" s="12" t="s">
        <v>30</v>
      </c>
      <c r="B1231" s="12" t="s">
        <v>6433</v>
      </c>
      <c r="C1231" s="12">
        <v>70</v>
      </c>
      <c r="D1231" s="12">
        <v>98</v>
      </c>
      <c r="E1231" s="12">
        <v>20</v>
      </c>
      <c r="F1231" s="12">
        <v>968</v>
      </c>
      <c r="G1231" s="12">
        <v>2000</v>
      </c>
      <c r="H1231" s="12">
        <v>54967359</v>
      </c>
      <c r="I1231" s="12" t="s">
        <v>5765</v>
      </c>
      <c r="J1231" s="12" t="s">
        <v>6434</v>
      </c>
      <c r="K1231" s="12" t="s">
        <v>1986</v>
      </c>
      <c r="L1231" s="12" t="s">
        <v>3653</v>
      </c>
      <c r="M1231" s="12" t="s">
        <v>6435</v>
      </c>
      <c r="N1231" s="12">
        <v>52805</v>
      </c>
      <c r="O1231" s="12">
        <v>7039</v>
      </c>
      <c r="P1231" s="12">
        <v>0</v>
      </c>
      <c r="Q1231" s="12" t="s">
        <v>6436</v>
      </c>
      <c r="R1231" s="15" t="s">
        <v>6437</v>
      </c>
      <c r="S1231" s="12">
        <v>209</v>
      </c>
      <c r="T1231" s="12" t="s">
        <v>39</v>
      </c>
      <c r="U1231" s="12" t="s">
        <v>40</v>
      </c>
      <c r="V1231" s="12" t="s">
        <v>586</v>
      </c>
      <c r="W1231" s="12">
        <v>40000000</v>
      </c>
      <c r="X1231" s="12">
        <v>1997</v>
      </c>
      <c r="Y1231" s="12">
        <v>2000</v>
      </c>
      <c r="Z1231" s="12">
        <v>5.2</v>
      </c>
      <c r="AA1231" s="12">
        <v>1.85</v>
      </c>
      <c r="AB1231" s="12">
        <v>0</v>
      </c>
      <c r="AC1231" s="12"/>
      <c r="AD1231" s="12" t="str">
        <f>IFERROR(__xludf.DUMMYFUNCTION("""COMPUTED_VALUE"""),"Ben Falcone")</f>
        <v>Ben Falcone</v>
      </c>
      <c r="AE1231" s="12"/>
    </row>
    <row r="1232" customHeight="1" spans="1:31">
      <c r="A1232" s="11" t="s">
        <v>30</v>
      </c>
      <c r="B1232" s="11" t="s">
        <v>529</v>
      </c>
      <c r="C1232" s="11">
        <v>138</v>
      </c>
      <c r="D1232" s="11">
        <v>131</v>
      </c>
      <c r="E1232" s="11">
        <v>58</v>
      </c>
      <c r="F1232" s="11">
        <v>720</v>
      </c>
      <c r="G1232" s="11">
        <v>15000</v>
      </c>
      <c r="H1232" s="11">
        <v>54228104</v>
      </c>
      <c r="I1232" s="11" t="s">
        <v>6438</v>
      </c>
      <c r="J1232" s="11" t="s">
        <v>113</v>
      </c>
      <c r="K1232" s="11" t="s">
        <v>303</v>
      </c>
      <c r="L1232" s="11" t="s">
        <v>1870</v>
      </c>
      <c r="M1232" s="11" t="s">
        <v>6439</v>
      </c>
      <c r="N1232" s="11">
        <v>104991</v>
      </c>
      <c r="O1232" s="11">
        <v>17152</v>
      </c>
      <c r="P1232" s="11">
        <v>1</v>
      </c>
      <c r="Q1232" s="11" t="s">
        <v>6440</v>
      </c>
      <c r="R1232" s="14" t="s">
        <v>6441</v>
      </c>
      <c r="S1232" s="11">
        <v>544</v>
      </c>
      <c r="T1232" s="11" t="s">
        <v>39</v>
      </c>
      <c r="U1232" s="11" t="s">
        <v>58</v>
      </c>
      <c r="V1232" s="11" t="s">
        <v>41</v>
      </c>
      <c r="W1232" s="11">
        <v>35000000</v>
      </c>
      <c r="X1232" s="11">
        <v>2002</v>
      </c>
      <c r="Y1232" s="11">
        <v>1000</v>
      </c>
      <c r="Z1232" s="11">
        <v>7.7</v>
      </c>
      <c r="AA1232" s="11">
        <v>1.85</v>
      </c>
      <c r="AB1232" s="11">
        <v>0</v>
      </c>
      <c r="AC1232" s="11"/>
      <c r="AD1232" s="11" t="str">
        <f>IFERROR(__xludf.DUMMYFUNCTION("""COMPUTED_VALUE"""),"Sunny Mabrey")</f>
        <v>Sunny Mabrey</v>
      </c>
      <c r="AE1232" s="11"/>
    </row>
    <row r="1233" customHeight="1" spans="1:31">
      <c r="A1233" s="12" t="s">
        <v>30</v>
      </c>
      <c r="B1233" s="12" t="s">
        <v>5684</v>
      </c>
      <c r="C1233" s="12">
        <v>274</v>
      </c>
      <c r="D1233" s="12">
        <v>118</v>
      </c>
      <c r="E1233" s="12">
        <v>65</v>
      </c>
      <c r="F1233" s="12">
        <v>638</v>
      </c>
      <c r="G1233" s="12">
        <v>11000</v>
      </c>
      <c r="H1233" s="12">
        <v>57981889</v>
      </c>
      <c r="I1233" s="12" t="s">
        <v>2126</v>
      </c>
      <c r="J1233" s="12" t="s">
        <v>661</v>
      </c>
      <c r="K1233" s="12" t="s">
        <v>6442</v>
      </c>
      <c r="L1233" s="12" t="s">
        <v>3224</v>
      </c>
      <c r="M1233" s="12" t="s">
        <v>6443</v>
      </c>
      <c r="N1233" s="12">
        <v>173848</v>
      </c>
      <c r="O1233" s="12">
        <v>13943</v>
      </c>
      <c r="P1233" s="12">
        <v>1</v>
      </c>
      <c r="Q1233" s="12" t="s">
        <v>6444</v>
      </c>
      <c r="R1233" s="15" t="s">
        <v>6445</v>
      </c>
      <c r="S1233" s="12">
        <v>203</v>
      </c>
      <c r="T1233" s="12" t="s">
        <v>39</v>
      </c>
      <c r="U1233" s="12" t="s">
        <v>40</v>
      </c>
      <c r="V1233" s="12" t="s">
        <v>586</v>
      </c>
      <c r="W1233" s="12">
        <v>40000000</v>
      </c>
      <c r="X1233" s="12">
        <v>2011</v>
      </c>
      <c r="Y1233" s="12">
        <v>980</v>
      </c>
      <c r="Z1233" s="12">
        <v>7.3</v>
      </c>
      <c r="AA1233" s="12">
        <v>2.35</v>
      </c>
      <c r="AB1233" s="12">
        <v>25000</v>
      </c>
      <c r="AC1233" s="12"/>
      <c r="AD1233" s="12" t="str">
        <f>IFERROR(__xludf.DUMMYFUNCTION("""COMPUTED_VALUE"""),"Xzibit")</f>
        <v>Xzibit</v>
      </c>
      <c r="AE1233" s="12"/>
    </row>
    <row r="1234" customHeight="1" spans="1:31">
      <c r="A1234" s="11" t="s">
        <v>30</v>
      </c>
      <c r="B1234" s="11" t="s">
        <v>5129</v>
      </c>
      <c r="C1234" s="11">
        <v>349</v>
      </c>
      <c r="D1234" s="11">
        <v>113</v>
      </c>
      <c r="E1234" s="11">
        <v>174</v>
      </c>
      <c r="F1234" s="11">
        <v>767</v>
      </c>
      <c r="G1234" s="11">
        <v>14000</v>
      </c>
      <c r="H1234" s="11">
        <v>61094903</v>
      </c>
      <c r="I1234" s="11" t="s">
        <v>1157</v>
      </c>
      <c r="J1234" s="11" t="s">
        <v>228</v>
      </c>
      <c r="K1234" s="11" t="s">
        <v>122</v>
      </c>
      <c r="L1234" s="11" t="s">
        <v>6446</v>
      </c>
      <c r="M1234" s="11" t="s">
        <v>6447</v>
      </c>
      <c r="N1234" s="11">
        <v>210542</v>
      </c>
      <c r="O1234" s="11">
        <v>17152</v>
      </c>
      <c r="P1234" s="11">
        <v>3</v>
      </c>
      <c r="Q1234" s="11" t="s">
        <v>6448</v>
      </c>
      <c r="R1234" s="14" t="s">
        <v>6449</v>
      </c>
      <c r="S1234" s="11">
        <v>332</v>
      </c>
      <c r="T1234" s="11" t="s">
        <v>39</v>
      </c>
      <c r="U1234" s="11" t="s">
        <v>58</v>
      </c>
      <c r="V1234" s="11" t="s">
        <v>41</v>
      </c>
      <c r="W1234" s="11">
        <v>30000000</v>
      </c>
      <c r="X1234" s="11">
        <v>2011</v>
      </c>
      <c r="Y1234" s="11">
        <v>903</v>
      </c>
      <c r="Z1234" s="11">
        <v>6.9</v>
      </c>
      <c r="AA1234" s="11">
        <v>2.35</v>
      </c>
      <c r="AB1234" s="11">
        <v>29000</v>
      </c>
      <c r="AC1234" s="11"/>
      <c r="AD1234" s="11" t="str">
        <f>IFERROR(__xludf.DUMMYFUNCTION("""COMPUTED_VALUE"""),"Josh Wingate")</f>
        <v>Josh Wingate</v>
      </c>
      <c r="AE1234" s="11"/>
    </row>
    <row r="1235" customHeight="1" spans="1:31">
      <c r="A1235" s="12" t="s">
        <v>30</v>
      </c>
      <c r="B1235" s="12" t="s">
        <v>59</v>
      </c>
      <c r="C1235" s="12">
        <v>341</v>
      </c>
      <c r="D1235" s="12">
        <v>130</v>
      </c>
      <c r="E1235" s="12">
        <v>22000</v>
      </c>
      <c r="F1235" s="12">
        <v>19000</v>
      </c>
      <c r="G1235" s="12">
        <v>23000</v>
      </c>
      <c r="H1235" s="12">
        <v>53082743</v>
      </c>
      <c r="I1235" s="12" t="s">
        <v>2202</v>
      </c>
      <c r="J1235" s="12" t="s">
        <v>62</v>
      </c>
      <c r="K1235" s="12" t="s">
        <v>263</v>
      </c>
      <c r="L1235" s="12" t="s">
        <v>100</v>
      </c>
      <c r="M1235" s="12" t="s">
        <v>6450</v>
      </c>
      <c r="N1235" s="12">
        <v>844052</v>
      </c>
      <c r="O1235" s="12">
        <v>63986</v>
      </c>
      <c r="P1235" s="12">
        <v>1</v>
      </c>
      <c r="Q1235" s="12" t="s">
        <v>6451</v>
      </c>
      <c r="R1235" s="15" t="s">
        <v>6452</v>
      </c>
      <c r="S1235" s="12">
        <v>1100</v>
      </c>
      <c r="T1235" s="12" t="s">
        <v>39</v>
      </c>
      <c r="U1235" s="12" t="s">
        <v>40</v>
      </c>
      <c r="V1235" s="12" t="s">
        <v>41</v>
      </c>
      <c r="W1235" s="12">
        <v>40000000</v>
      </c>
      <c r="X1235" s="12">
        <v>2006</v>
      </c>
      <c r="Y1235" s="12">
        <v>20000</v>
      </c>
      <c r="Z1235" s="12">
        <v>8.5</v>
      </c>
      <c r="AA1235" s="12">
        <v>2.35</v>
      </c>
      <c r="AB1235" s="12">
        <v>49000</v>
      </c>
      <c r="AC1235" s="12"/>
      <c r="AD1235" s="12" t="str">
        <f>IFERROR(__xludf.DUMMYFUNCTION("""COMPUTED_VALUE"""),"Alan Dale")</f>
        <v>Alan Dale</v>
      </c>
      <c r="AE1235" s="12"/>
    </row>
    <row r="1236" customHeight="1" spans="1:31">
      <c r="A1236" s="11" t="s">
        <v>30</v>
      </c>
      <c r="B1236" s="11" t="s">
        <v>4517</v>
      </c>
      <c r="C1236" s="11">
        <v>196</v>
      </c>
      <c r="D1236" s="11">
        <v>116</v>
      </c>
      <c r="E1236" s="11">
        <v>51</v>
      </c>
      <c r="F1236" s="11">
        <v>465</v>
      </c>
      <c r="G1236" s="11">
        <v>18000</v>
      </c>
      <c r="H1236" s="11">
        <v>54414716</v>
      </c>
      <c r="I1236" s="11" t="s">
        <v>1009</v>
      </c>
      <c r="J1236" s="11" t="s">
        <v>120</v>
      </c>
      <c r="K1236" s="11" t="s">
        <v>52</v>
      </c>
      <c r="L1236" s="11" t="s">
        <v>6453</v>
      </c>
      <c r="M1236" s="11" t="s">
        <v>6454</v>
      </c>
      <c r="N1236" s="11">
        <v>114294</v>
      </c>
      <c r="O1236" s="11">
        <v>30571</v>
      </c>
      <c r="P1236" s="11">
        <v>7</v>
      </c>
      <c r="Q1236" s="11" t="s">
        <v>6455</v>
      </c>
      <c r="R1236" s="14" t="s">
        <v>6456</v>
      </c>
      <c r="S1236" s="11">
        <v>187</v>
      </c>
      <c r="T1236" s="11" t="s">
        <v>39</v>
      </c>
      <c r="U1236" s="11" t="s">
        <v>40</v>
      </c>
      <c r="V1236" s="11" t="s">
        <v>586</v>
      </c>
      <c r="W1236" s="11">
        <v>42000000</v>
      </c>
      <c r="X1236" s="11">
        <v>2014</v>
      </c>
      <c r="Y1236" s="11">
        <v>11000</v>
      </c>
      <c r="Z1236" s="11">
        <v>6.3</v>
      </c>
      <c r="AA1236" s="11">
        <v>2.35</v>
      </c>
      <c r="AB1236" s="11">
        <v>12000</v>
      </c>
      <c r="AC1236" s="11"/>
      <c r="AD1236" s="11" t="str">
        <f>IFERROR(__xludf.DUMMYFUNCTION("""COMPUTED_VALUE"""),"Jacob Hopkins")</f>
        <v>Jacob Hopkins</v>
      </c>
      <c r="AE1236" s="11"/>
    </row>
    <row r="1237" customHeight="1" spans="1:31">
      <c r="A1237" s="12" t="s">
        <v>30</v>
      </c>
      <c r="B1237" s="12" t="s">
        <v>6457</v>
      </c>
      <c r="C1237" s="12">
        <v>83</v>
      </c>
      <c r="D1237" s="12">
        <v>89</v>
      </c>
      <c r="E1237" s="12">
        <v>7</v>
      </c>
      <c r="F1237" s="12">
        <v>91</v>
      </c>
      <c r="G1237" s="12">
        <v>3000</v>
      </c>
      <c r="H1237" s="12">
        <v>57011847</v>
      </c>
      <c r="I1237" s="12" t="s">
        <v>621</v>
      </c>
      <c r="J1237" s="12" t="s">
        <v>503</v>
      </c>
      <c r="K1237" s="12" t="s">
        <v>6458</v>
      </c>
      <c r="L1237" s="12" t="s">
        <v>6459</v>
      </c>
      <c r="M1237" s="12" t="s">
        <v>6460</v>
      </c>
      <c r="N1237" s="12">
        <v>20615</v>
      </c>
      <c r="O1237" s="12">
        <v>3361</v>
      </c>
      <c r="P1237" s="12">
        <v>2</v>
      </c>
      <c r="Q1237" s="12" t="s">
        <v>6461</v>
      </c>
      <c r="R1237" s="15" t="s">
        <v>6462</v>
      </c>
      <c r="S1237" s="12">
        <v>44</v>
      </c>
      <c r="T1237" s="12" t="s">
        <v>39</v>
      </c>
      <c r="U1237" s="12" t="s">
        <v>40</v>
      </c>
      <c r="V1237" s="12" t="s">
        <v>96</v>
      </c>
      <c r="W1237" s="12">
        <v>40000000</v>
      </c>
      <c r="X1237" s="12">
        <v>2013</v>
      </c>
      <c r="Y1237" s="12">
        <v>190</v>
      </c>
      <c r="Z1237" s="12">
        <v>5.9</v>
      </c>
      <c r="AA1237" s="12">
        <v>2.35</v>
      </c>
      <c r="AB1237" s="12">
        <v>0</v>
      </c>
      <c r="AC1237" s="12"/>
      <c r="AD1237" s="12" t="str">
        <f>IFERROR(__xludf.DUMMYFUNCTION("""COMPUTED_VALUE"""),"Adriano Giannini")</f>
        <v>Adriano Giannini</v>
      </c>
      <c r="AE1237" s="12"/>
    </row>
    <row r="1238" customHeight="1" spans="1:31">
      <c r="A1238" s="11" t="s">
        <v>30</v>
      </c>
      <c r="B1238" s="11" t="s">
        <v>3240</v>
      </c>
      <c r="C1238" s="11">
        <v>283</v>
      </c>
      <c r="D1238" s="11">
        <v>139</v>
      </c>
      <c r="E1238" s="11">
        <v>0</v>
      </c>
      <c r="F1238" s="11">
        <v>19</v>
      </c>
      <c r="G1238" s="11">
        <v>708</v>
      </c>
      <c r="H1238" s="11">
        <v>50859889</v>
      </c>
      <c r="I1238" s="11" t="s">
        <v>712</v>
      </c>
      <c r="J1238" s="11" t="s">
        <v>6463</v>
      </c>
      <c r="K1238" s="11" t="s">
        <v>6464</v>
      </c>
      <c r="L1238" s="11" t="s">
        <v>6465</v>
      </c>
      <c r="M1238" s="11" t="s">
        <v>6466</v>
      </c>
      <c r="N1238" s="11">
        <v>236000</v>
      </c>
      <c r="O1238" s="11">
        <v>848</v>
      </c>
      <c r="P1238" s="11">
        <v>0</v>
      </c>
      <c r="Q1238" s="11" t="s">
        <v>6467</v>
      </c>
      <c r="R1238" s="14" t="s">
        <v>6468</v>
      </c>
      <c r="S1238" s="11">
        <v>1043</v>
      </c>
      <c r="T1238" s="11" t="s">
        <v>6469</v>
      </c>
      <c r="U1238" s="11" t="s">
        <v>40</v>
      </c>
      <c r="V1238" s="11" t="s">
        <v>586</v>
      </c>
      <c r="W1238" s="11">
        <v>40000000</v>
      </c>
      <c r="X1238" s="11">
        <v>2006</v>
      </c>
      <c r="Y1238" s="11">
        <v>78</v>
      </c>
      <c r="Z1238" s="11">
        <v>7.8</v>
      </c>
      <c r="AA1238" s="11">
        <v>1.85</v>
      </c>
      <c r="AB1238" s="11">
        <v>14000</v>
      </c>
      <c r="AC1238" s="11"/>
      <c r="AD1238" s="11" t="str">
        <f>IFERROR(__xludf.DUMMYFUNCTION("""COMPUTED_VALUE"""),"Timothy West")</f>
        <v>Timothy West</v>
      </c>
      <c r="AE1238" s="11"/>
    </row>
    <row r="1239" customHeight="1" spans="1:31">
      <c r="A1239" s="12" t="s">
        <v>30</v>
      </c>
      <c r="B1239" s="12" t="s">
        <v>6143</v>
      </c>
      <c r="C1239" s="12">
        <v>105</v>
      </c>
      <c r="D1239" s="12">
        <v>130</v>
      </c>
      <c r="E1239" s="12">
        <v>46</v>
      </c>
      <c r="F1239" s="12">
        <v>162</v>
      </c>
      <c r="G1239" s="12">
        <v>387</v>
      </c>
      <c r="H1239" s="12">
        <v>51185897</v>
      </c>
      <c r="I1239" s="12" t="s">
        <v>51</v>
      </c>
      <c r="J1239" s="12" t="s">
        <v>1519</v>
      </c>
      <c r="K1239" s="12" t="s">
        <v>1093</v>
      </c>
      <c r="L1239" s="12" t="s">
        <v>897</v>
      </c>
      <c r="M1239" s="12" t="s">
        <v>6470</v>
      </c>
      <c r="N1239" s="12">
        <v>69457</v>
      </c>
      <c r="O1239" s="12">
        <v>1233</v>
      </c>
      <c r="P1239" s="12">
        <v>1</v>
      </c>
      <c r="Q1239" s="12" t="s">
        <v>6471</v>
      </c>
      <c r="R1239" s="15" t="s">
        <v>6472</v>
      </c>
      <c r="S1239" s="12">
        <v>271</v>
      </c>
      <c r="T1239" s="12" t="s">
        <v>39</v>
      </c>
      <c r="U1239" s="12" t="s">
        <v>58</v>
      </c>
      <c r="V1239" s="12" t="s">
        <v>96</v>
      </c>
      <c r="W1239" s="12">
        <v>30000000</v>
      </c>
      <c r="X1239" s="12">
        <v>1987</v>
      </c>
      <c r="Y1239" s="12">
        <v>244</v>
      </c>
      <c r="Z1239" s="12">
        <v>6.7</v>
      </c>
      <c r="AA1239" s="12">
        <v>2.35</v>
      </c>
      <c r="AB1239" s="12">
        <v>0</v>
      </c>
      <c r="AC1239" s="12"/>
      <c r="AD1239" s="12" t="str">
        <f>IFERROR(__xludf.DUMMYFUNCTION("""COMPUTED_VALUE"""),"Susanna Thompson")</f>
        <v>Susanna Thompson</v>
      </c>
      <c r="AE1239" s="12"/>
    </row>
    <row r="1240" customHeight="1" spans="1:31">
      <c r="A1240" s="11" t="s">
        <v>30</v>
      </c>
      <c r="B1240" s="11" t="s">
        <v>6473</v>
      </c>
      <c r="C1240" s="11">
        <v>351</v>
      </c>
      <c r="D1240" s="11">
        <v>107</v>
      </c>
      <c r="E1240" s="11">
        <v>190</v>
      </c>
      <c r="F1240" s="11">
        <v>520</v>
      </c>
      <c r="G1240" s="11">
        <v>2000</v>
      </c>
      <c r="H1240" s="11">
        <v>52000688</v>
      </c>
      <c r="I1240" s="11" t="s">
        <v>227</v>
      </c>
      <c r="J1240" s="11" t="s">
        <v>6474</v>
      </c>
      <c r="K1240" s="11" t="s">
        <v>783</v>
      </c>
      <c r="L1240" s="11" t="s">
        <v>5172</v>
      </c>
      <c r="M1240" s="11" t="s">
        <v>6475</v>
      </c>
      <c r="N1240" s="11">
        <v>171418</v>
      </c>
      <c r="O1240" s="11">
        <v>4243</v>
      </c>
      <c r="P1240" s="11">
        <v>0</v>
      </c>
      <c r="Q1240" s="11" t="s">
        <v>6476</v>
      </c>
      <c r="R1240" s="14" t="s">
        <v>6477</v>
      </c>
      <c r="S1240" s="11">
        <v>619</v>
      </c>
      <c r="T1240" s="11" t="s">
        <v>39</v>
      </c>
      <c r="U1240" s="11" t="s">
        <v>40</v>
      </c>
      <c r="V1240" s="11" t="s">
        <v>586</v>
      </c>
      <c r="W1240" s="11">
        <v>40000000</v>
      </c>
      <c r="X1240" s="11">
        <v>2010</v>
      </c>
      <c r="Y1240" s="11">
        <v>1000</v>
      </c>
      <c r="Z1240" s="11">
        <v>6.4</v>
      </c>
      <c r="AA1240" s="11">
        <v>2.35</v>
      </c>
      <c r="AB1240" s="11">
        <v>17000</v>
      </c>
      <c r="AC1240" s="11"/>
      <c r="AD1240" s="11" t="str">
        <f>IFERROR(__xludf.DUMMYFUNCTION("""COMPUTED_VALUE"""),"Mia Kirshner")</f>
        <v>Mia Kirshner</v>
      </c>
      <c r="AE1240" s="11"/>
    </row>
    <row r="1241" customHeight="1" spans="1:31">
      <c r="A1241" s="12" t="s">
        <v>30</v>
      </c>
      <c r="B1241" s="12" t="s">
        <v>2699</v>
      </c>
      <c r="C1241" s="12">
        <v>16</v>
      </c>
      <c r="D1241" s="12">
        <v>116</v>
      </c>
      <c r="E1241" s="12">
        <v>425</v>
      </c>
      <c r="F1241" s="12">
        <v>204</v>
      </c>
      <c r="G1241" s="12">
        <v>954</v>
      </c>
      <c r="H1241" s="12">
        <v>49851591</v>
      </c>
      <c r="I1241" s="12" t="s">
        <v>4262</v>
      </c>
      <c r="J1241" s="12" t="s">
        <v>795</v>
      </c>
      <c r="K1241" s="12" t="s">
        <v>6478</v>
      </c>
      <c r="L1241" s="12" t="s">
        <v>6479</v>
      </c>
      <c r="M1241" s="12" t="s">
        <v>6480</v>
      </c>
      <c r="N1241" s="12">
        <v>7900</v>
      </c>
      <c r="O1241" s="12">
        <v>2179</v>
      </c>
      <c r="P1241" s="12">
        <v>3</v>
      </c>
      <c r="Q1241" s="12" t="s">
        <v>6481</v>
      </c>
      <c r="R1241" s="15" t="s">
        <v>6482</v>
      </c>
      <c r="S1241" s="12">
        <v>34</v>
      </c>
      <c r="T1241" s="12" t="s">
        <v>39</v>
      </c>
      <c r="U1241" s="12" t="s">
        <v>40</v>
      </c>
      <c r="V1241" s="12" t="s">
        <v>96</v>
      </c>
      <c r="W1241" s="12">
        <v>40000000</v>
      </c>
      <c r="X1241" s="12">
        <v>1986</v>
      </c>
      <c r="Y1241" s="12">
        <v>568</v>
      </c>
      <c r="Z1241" s="12">
        <v>5.9</v>
      </c>
      <c r="AA1241" s="12">
        <v>2.35</v>
      </c>
      <c r="AB1241" s="12">
        <v>263</v>
      </c>
      <c r="AC1241" s="12"/>
      <c r="AD1241" s="12" t="str">
        <f>IFERROR(__xludf.DUMMYFUNCTION("""COMPUTED_VALUE"""),"Philip Winchester")</f>
        <v>Philip Winchester</v>
      </c>
      <c r="AE1241" s="12"/>
    </row>
    <row r="1242" customHeight="1" spans="1:31">
      <c r="A1242" s="11" t="s">
        <v>30</v>
      </c>
      <c r="B1242" s="11" t="s">
        <v>4402</v>
      </c>
      <c r="C1242" s="11">
        <v>195</v>
      </c>
      <c r="D1242" s="11">
        <v>96</v>
      </c>
      <c r="E1242" s="11">
        <v>192</v>
      </c>
      <c r="F1242" s="11">
        <v>501</v>
      </c>
      <c r="G1242" s="11">
        <v>40000</v>
      </c>
      <c r="H1242" s="11">
        <v>47781388</v>
      </c>
      <c r="I1242" s="11" t="s">
        <v>852</v>
      </c>
      <c r="J1242" s="11" t="s">
        <v>44</v>
      </c>
      <c r="K1242" s="11" t="s">
        <v>4699</v>
      </c>
      <c r="L1242" s="11" t="s">
        <v>3965</v>
      </c>
      <c r="M1242" s="11" t="s">
        <v>6483</v>
      </c>
      <c r="N1242" s="11">
        <v>147504</v>
      </c>
      <c r="O1242" s="11">
        <v>41293</v>
      </c>
      <c r="P1242" s="11">
        <v>1</v>
      </c>
      <c r="Q1242" s="11" t="s">
        <v>6484</v>
      </c>
      <c r="R1242" s="14" t="s">
        <v>6485</v>
      </c>
      <c r="S1242" s="11">
        <v>531</v>
      </c>
      <c r="T1242" s="11" t="s">
        <v>39</v>
      </c>
      <c r="U1242" s="11" t="s">
        <v>40</v>
      </c>
      <c r="V1242" s="11" t="s">
        <v>41</v>
      </c>
      <c r="W1242" s="11">
        <v>40000000</v>
      </c>
      <c r="X1242" s="11">
        <v>2004</v>
      </c>
      <c r="Y1242" s="11">
        <v>534</v>
      </c>
      <c r="Z1242" s="11">
        <v>6.6</v>
      </c>
      <c r="AA1242" s="11">
        <v>2.35</v>
      </c>
      <c r="AB1242" s="11">
        <v>0</v>
      </c>
      <c r="AC1242" s="11"/>
      <c r="AD1242" s="11" t="str">
        <f>IFERROR(__xludf.DUMMYFUNCTION("""COMPUTED_VALUE"""),"Michael Irby")</f>
        <v>Michael Irby</v>
      </c>
      <c r="AE1242" s="11"/>
    </row>
    <row r="1243" customHeight="1" spans="1:31">
      <c r="A1243" s="12" t="s">
        <v>30</v>
      </c>
      <c r="B1243" s="12" t="s">
        <v>6486</v>
      </c>
      <c r="C1243" s="12">
        <v>175</v>
      </c>
      <c r="D1243" s="12">
        <v>99</v>
      </c>
      <c r="E1243" s="12">
        <v>18</v>
      </c>
      <c r="F1243" s="12">
        <v>211</v>
      </c>
      <c r="G1243" s="12">
        <v>18000</v>
      </c>
      <c r="H1243" s="12">
        <v>52320979</v>
      </c>
      <c r="I1243" s="12" t="s">
        <v>687</v>
      </c>
      <c r="J1243" s="12" t="s">
        <v>588</v>
      </c>
      <c r="K1243" s="12" t="s">
        <v>5089</v>
      </c>
      <c r="L1243" s="12" t="s">
        <v>6487</v>
      </c>
      <c r="M1243" s="12" t="s">
        <v>6488</v>
      </c>
      <c r="N1243" s="12">
        <v>114321</v>
      </c>
      <c r="O1243" s="12">
        <v>18693</v>
      </c>
      <c r="P1243" s="12">
        <v>0</v>
      </c>
      <c r="Q1243" s="12" t="s">
        <v>6489</v>
      </c>
      <c r="R1243" s="15" t="s">
        <v>6490</v>
      </c>
      <c r="S1243" s="12">
        <v>548</v>
      </c>
      <c r="T1243" s="12" t="s">
        <v>39</v>
      </c>
      <c r="U1243" s="12" t="s">
        <v>40</v>
      </c>
      <c r="V1243" s="12" t="s">
        <v>96</v>
      </c>
      <c r="W1243" s="12">
        <v>40000000</v>
      </c>
      <c r="X1243" s="12">
        <v>2006</v>
      </c>
      <c r="Y1243" s="12">
        <v>426</v>
      </c>
      <c r="Z1243" s="12">
        <v>6.8</v>
      </c>
      <c r="AA1243" s="12">
        <v>2.35</v>
      </c>
      <c r="AB1243" s="12">
        <v>0</v>
      </c>
      <c r="AC1243" s="12"/>
      <c r="AD1243" s="12" t="str">
        <f>IFERROR(__xludf.DUMMYFUNCTION("""COMPUTED_VALUE"""),"Robert Forster")</f>
        <v>Robert Forster</v>
      </c>
      <c r="AE1243" s="12"/>
    </row>
    <row r="1244" customHeight="1" spans="1:31">
      <c r="A1244" s="11" t="s">
        <v>748</v>
      </c>
      <c r="B1244" s="11" t="s">
        <v>4393</v>
      </c>
      <c r="C1244" s="11">
        <v>193</v>
      </c>
      <c r="D1244" s="11">
        <v>104</v>
      </c>
      <c r="E1244" s="11">
        <v>34</v>
      </c>
      <c r="F1244" s="11">
        <v>280</v>
      </c>
      <c r="G1244" s="11">
        <v>545</v>
      </c>
      <c r="H1244" s="11">
        <v>47806295</v>
      </c>
      <c r="I1244" s="11" t="s">
        <v>3030</v>
      </c>
      <c r="J1244" s="11" t="s">
        <v>6491</v>
      </c>
      <c r="K1244" s="11" t="s">
        <v>6492</v>
      </c>
      <c r="L1244" s="11" t="s">
        <v>6493</v>
      </c>
      <c r="M1244" s="11" t="s">
        <v>6494</v>
      </c>
      <c r="N1244" s="11">
        <v>87447</v>
      </c>
      <c r="O1244" s="11">
        <v>1274</v>
      </c>
      <c r="P1244" s="11">
        <v>0</v>
      </c>
      <c r="Q1244" s="11" t="s">
        <v>6495</v>
      </c>
      <c r="R1244" s="14" t="s">
        <v>6496</v>
      </c>
      <c r="S1244" s="11">
        <v>371</v>
      </c>
      <c r="T1244" s="11" t="s">
        <v>39</v>
      </c>
      <c r="U1244" s="11" t="s">
        <v>40</v>
      </c>
      <c r="V1244" s="11" t="s">
        <v>41</v>
      </c>
      <c r="W1244" s="11">
        <v>43000000</v>
      </c>
      <c r="X1244" s="11">
        <v>2005</v>
      </c>
      <c r="Y1244" s="11">
        <v>351</v>
      </c>
      <c r="Z1244" s="11">
        <v>6.5</v>
      </c>
      <c r="AA1244" s="11">
        <v>2.35</v>
      </c>
      <c r="AB1244" s="11">
        <v>0</v>
      </c>
      <c r="AC1244" s="11"/>
      <c r="AD1244" s="11" t="str">
        <f>IFERROR(__xludf.DUMMYFUNCTION("""COMPUTED_VALUE"""),"Wilson Cruz")</f>
        <v>Wilson Cruz</v>
      </c>
      <c r="AE1244" s="11"/>
    </row>
    <row r="1245" customHeight="1" spans="1:31">
      <c r="A1245" s="12" t="s">
        <v>30</v>
      </c>
      <c r="B1245" s="12" t="s">
        <v>6497</v>
      </c>
      <c r="C1245" s="12">
        <v>169</v>
      </c>
      <c r="D1245" s="12">
        <v>105</v>
      </c>
      <c r="E1245" s="12">
        <v>54</v>
      </c>
      <c r="F1245" s="12">
        <v>988</v>
      </c>
      <c r="G1245" s="12">
        <v>3000</v>
      </c>
      <c r="H1245" s="12">
        <v>51853450</v>
      </c>
      <c r="I1245" s="12" t="s">
        <v>4796</v>
      </c>
      <c r="J1245" s="12" t="s">
        <v>750</v>
      </c>
      <c r="K1245" s="12" t="s">
        <v>4451</v>
      </c>
      <c r="L1245" s="12" t="s">
        <v>329</v>
      </c>
      <c r="M1245" s="12" t="s">
        <v>6498</v>
      </c>
      <c r="N1245" s="12">
        <v>37398</v>
      </c>
      <c r="O1245" s="12">
        <v>9069</v>
      </c>
      <c r="P1245" s="12">
        <v>0</v>
      </c>
      <c r="Q1245" s="12" t="s">
        <v>6499</v>
      </c>
      <c r="R1245" s="15" t="s">
        <v>6500</v>
      </c>
      <c r="S1245" s="12">
        <v>110</v>
      </c>
      <c r="T1245" s="12" t="s">
        <v>39</v>
      </c>
      <c r="U1245" s="12" t="s">
        <v>40</v>
      </c>
      <c r="V1245" s="12" t="s">
        <v>96</v>
      </c>
      <c r="W1245" s="12">
        <v>25000000</v>
      </c>
      <c r="X1245" s="12">
        <v>2012</v>
      </c>
      <c r="Y1245" s="12">
        <v>2000</v>
      </c>
      <c r="Z1245" s="12">
        <v>6.6</v>
      </c>
      <c r="AA1245" s="12">
        <v>1.85</v>
      </c>
      <c r="AB1245" s="12">
        <v>11000</v>
      </c>
      <c r="AC1245" s="12"/>
      <c r="AD1245" s="12" t="str">
        <f>IFERROR(__xludf.DUMMYFUNCTION("""COMPUTED_VALUE"""),"Vanessa Marshall")</f>
        <v>Vanessa Marshall</v>
      </c>
      <c r="AE1245" s="12"/>
    </row>
    <row r="1246" customHeight="1" spans="1:31">
      <c r="A1246" s="11" t="s">
        <v>30</v>
      </c>
      <c r="B1246" s="11" t="s">
        <v>6501</v>
      </c>
      <c r="C1246" s="11">
        <v>128</v>
      </c>
      <c r="D1246" s="11">
        <v>101</v>
      </c>
      <c r="E1246" s="11">
        <v>10</v>
      </c>
      <c r="F1246" s="11">
        <v>681</v>
      </c>
      <c r="G1246" s="11">
        <v>1000</v>
      </c>
      <c r="H1246" s="11">
        <v>46012734</v>
      </c>
      <c r="I1246" s="11" t="s">
        <v>1681</v>
      </c>
      <c r="J1246" s="11" t="s">
        <v>6502</v>
      </c>
      <c r="K1246" s="11" t="s">
        <v>6503</v>
      </c>
      <c r="L1246" s="11" t="s">
        <v>2191</v>
      </c>
      <c r="M1246" s="11" t="s">
        <v>6504</v>
      </c>
      <c r="N1246" s="11">
        <v>54421</v>
      </c>
      <c r="O1246" s="11">
        <v>4298</v>
      </c>
      <c r="P1246" s="11">
        <v>2</v>
      </c>
      <c r="Q1246" s="11" t="s">
        <v>6505</v>
      </c>
      <c r="R1246" s="14" t="s">
        <v>6506</v>
      </c>
      <c r="S1246" s="11">
        <v>101</v>
      </c>
      <c r="T1246" s="11" t="s">
        <v>39</v>
      </c>
      <c r="U1246" s="11" t="s">
        <v>40</v>
      </c>
      <c r="V1246" s="11" t="s">
        <v>41</v>
      </c>
      <c r="W1246" s="11">
        <v>40000000</v>
      </c>
      <c r="X1246" s="11">
        <v>2008</v>
      </c>
      <c r="Y1246" s="11">
        <v>689</v>
      </c>
      <c r="Z1246" s="11">
        <v>5.8</v>
      </c>
      <c r="AA1246" s="11">
        <v>2.35</v>
      </c>
      <c r="AB1246" s="11">
        <v>3000</v>
      </c>
      <c r="AC1246" s="11"/>
      <c r="AD1246" s="11" t="str">
        <f>IFERROR(__xludf.DUMMYFUNCTION("""COMPUTED_VALUE"""),"Matt Bomer")</f>
        <v>Matt Bomer</v>
      </c>
      <c r="AE1246" s="11"/>
    </row>
    <row r="1247" customHeight="1" spans="1:31">
      <c r="A1247" s="12" t="s">
        <v>30</v>
      </c>
      <c r="B1247" s="12" t="s">
        <v>3695</v>
      </c>
      <c r="C1247" s="12">
        <v>249</v>
      </c>
      <c r="D1247" s="12">
        <v>134</v>
      </c>
      <c r="E1247" s="12">
        <v>16000</v>
      </c>
      <c r="F1247" s="12">
        <v>235</v>
      </c>
      <c r="G1247" s="12">
        <v>880</v>
      </c>
      <c r="H1247" s="12">
        <v>47034272</v>
      </c>
      <c r="I1247" s="12" t="s">
        <v>6507</v>
      </c>
      <c r="J1247" s="12" t="s">
        <v>6508</v>
      </c>
      <c r="K1247" s="12" t="s">
        <v>6509</v>
      </c>
      <c r="L1247" s="12" t="s">
        <v>6510</v>
      </c>
      <c r="M1247" s="12" t="s">
        <v>6511</v>
      </c>
      <c r="N1247" s="12">
        <v>25465</v>
      </c>
      <c r="O1247" s="12">
        <v>2281</v>
      </c>
      <c r="P1247" s="12">
        <v>1</v>
      </c>
      <c r="Q1247" s="12" t="s">
        <v>6512</v>
      </c>
      <c r="R1247" s="15" t="s">
        <v>6513</v>
      </c>
      <c r="S1247" s="12">
        <v>190</v>
      </c>
      <c r="T1247" s="12" t="s">
        <v>39</v>
      </c>
      <c r="U1247" s="12" t="s">
        <v>40</v>
      </c>
      <c r="V1247" s="12" t="s">
        <v>586</v>
      </c>
      <c r="W1247" s="12">
        <v>40000000</v>
      </c>
      <c r="X1247" s="12">
        <v>2014</v>
      </c>
      <c r="Y1247" s="12">
        <v>413</v>
      </c>
      <c r="Z1247" s="12">
        <v>6.9</v>
      </c>
      <c r="AA1247" s="12">
        <v>2.35</v>
      </c>
      <c r="AB1247" s="12">
        <v>16000</v>
      </c>
      <c r="AC1247" s="12"/>
      <c r="AD1247" s="12" t="str">
        <f>IFERROR(__xludf.DUMMYFUNCTION("""COMPUTED_VALUE"""),"Kevin Corrigan")</f>
        <v>Kevin Corrigan</v>
      </c>
      <c r="AE1247" s="12"/>
    </row>
    <row r="1248" customHeight="1" spans="1:31">
      <c r="A1248" s="11" t="s">
        <v>30</v>
      </c>
      <c r="B1248" s="11" t="s">
        <v>4851</v>
      </c>
      <c r="C1248" s="11">
        <v>91</v>
      </c>
      <c r="D1248" s="11">
        <v>135</v>
      </c>
      <c r="E1248" s="11">
        <v>0</v>
      </c>
      <c r="F1248" s="11">
        <v>913</v>
      </c>
      <c r="G1248" s="11">
        <v>13000</v>
      </c>
      <c r="H1248" s="11">
        <v>45856732</v>
      </c>
      <c r="I1248" s="11" t="s">
        <v>2126</v>
      </c>
      <c r="J1248" s="11" t="s">
        <v>1158</v>
      </c>
      <c r="K1248" s="11" t="s">
        <v>2324</v>
      </c>
      <c r="L1248" s="11" t="s">
        <v>2666</v>
      </c>
      <c r="M1248" s="11" t="s">
        <v>6514</v>
      </c>
      <c r="N1248" s="11">
        <v>46221</v>
      </c>
      <c r="O1248" s="11">
        <v>16762</v>
      </c>
      <c r="P1248" s="11">
        <v>1</v>
      </c>
      <c r="Q1248" s="11" t="s">
        <v>6515</v>
      </c>
      <c r="R1248" s="14" t="s">
        <v>6516</v>
      </c>
      <c r="S1248" s="11">
        <v>141</v>
      </c>
      <c r="T1248" s="11" t="s">
        <v>39</v>
      </c>
      <c r="U1248" s="11" t="s">
        <v>40</v>
      </c>
      <c r="V1248" s="11" t="s">
        <v>41</v>
      </c>
      <c r="W1248" s="11">
        <v>40000000</v>
      </c>
      <c r="X1248" s="11">
        <v>1997</v>
      </c>
      <c r="Y1248" s="11">
        <v>936</v>
      </c>
      <c r="Z1248" s="11">
        <v>7.1</v>
      </c>
      <c r="AA1248" s="11">
        <v>2.35</v>
      </c>
      <c r="AB1248" s="11">
        <v>0</v>
      </c>
      <c r="AC1248" s="11"/>
      <c r="AD1248" s="11" t="str">
        <f>IFERROR(__xludf.DUMMYFUNCTION("""COMPUTED_VALUE"""),"Kevin Zegers")</f>
        <v>Kevin Zegers</v>
      </c>
      <c r="AE1248" s="11"/>
    </row>
    <row r="1249" customHeight="1" spans="1:31">
      <c r="A1249" s="12" t="s">
        <v>30</v>
      </c>
      <c r="B1249" s="12" t="s">
        <v>5897</v>
      </c>
      <c r="C1249" s="12">
        <v>207</v>
      </c>
      <c r="D1249" s="12">
        <v>98</v>
      </c>
      <c r="E1249" s="12">
        <v>326</v>
      </c>
      <c r="F1249" s="12">
        <v>416</v>
      </c>
      <c r="G1249" s="12">
        <v>21000</v>
      </c>
      <c r="H1249" s="12">
        <v>59588068</v>
      </c>
      <c r="I1249" s="12" t="s">
        <v>3030</v>
      </c>
      <c r="J1249" s="12" t="s">
        <v>99</v>
      </c>
      <c r="K1249" s="12" t="s">
        <v>4699</v>
      </c>
      <c r="L1249" s="12" t="s">
        <v>2011</v>
      </c>
      <c r="M1249" s="12" t="s">
        <v>6517</v>
      </c>
      <c r="N1249" s="12">
        <v>89557</v>
      </c>
      <c r="O1249" s="12">
        <v>22318</v>
      </c>
      <c r="P1249" s="12">
        <v>1</v>
      </c>
      <c r="Q1249" s="12" t="s">
        <v>6518</v>
      </c>
      <c r="R1249" s="15" t="s">
        <v>6519</v>
      </c>
      <c r="S1249" s="12">
        <v>376</v>
      </c>
      <c r="T1249" s="12" t="s">
        <v>39</v>
      </c>
      <c r="U1249" s="12" t="s">
        <v>40</v>
      </c>
      <c r="V1249" s="12" t="s">
        <v>586</v>
      </c>
      <c r="W1249" s="12">
        <v>40000000</v>
      </c>
      <c r="X1249" s="12">
        <v>2003</v>
      </c>
      <c r="Y1249" s="12">
        <v>534</v>
      </c>
      <c r="Z1249" s="12">
        <v>5.8</v>
      </c>
      <c r="AA1249" s="12">
        <v>1.85</v>
      </c>
      <c r="AB1249" s="12">
        <v>0</v>
      </c>
      <c r="AC1249" s="12"/>
      <c r="AD1249" s="12" t="str">
        <f>IFERROR(__xludf.DUMMYFUNCTION("""COMPUTED_VALUE"""),"Mike O'Malley")</f>
        <v>Mike O'Malley</v>
      </c>
      <c r="AE1249" s="12"/>
    </row>
    <row r="1250" customHeight="1" spans="1:31">
      <c r="A1250" s="11" t="s">
        <v>30</v>
      </c>
      <c r="B1250" s="11" t="s">
        <v>390</v>
      </c>
      <c r="C1250" s="11">
        <v>77</v>
      </c>
      <c r="D1250" s="11">
        <v>155</v>
      </c>
      <c r="E1250" s="11">
        <v>14000</v>
      </c>
      <c r="F1250" s="11">
        <v>11000</v>
      </c>
      <c r="G1250" s="11">
        <v>12000</v>
      </c>
      <c r="H1250" s="11">
        <v>44175394</v>
      </c>
      <c r="I1250" s="11" t="s">
        <v>6520</v>
      </c>
      <c r="J1250" s="11" t="s">
        <v>763</v>
      </c>
      <c r="K1250" s="11" t="s">
        <v>466</v>
      </c>
      <c r="L1250" s="11" t="s">
        <v>661</v>
      </c>
      <c r="M1250" s="11" t="s">
        <v>6521</v>
      </c>
      <c r="N1250" s="11">
        <v>56509</v>
      </c>
      <c r="O1250" s="11">
        <v>37570</v>
      </c>
      <c r="P1250" s="11">
        <v>2</v>
      </c>
      <c r="Q1250" s="11" t="s">
        <v>6522</v>
      </c>
      <c r="R1250" s="14" t="s">
        <v>6523</v>
      </c>
      <c r="S1250" s="11">
        <v>227</v>
      </c>
      <c r="T1250" s="11" t="s">
        <v>39</v>
      </c>
      <c r="U1250" s="11" t="s">
        <v>40</v>
      </c>
      <c r="V1250" s="11" t="s">
        <v>586</v>
      </c>
      <c r="W1250" s="11">
        <v>36000000</v>
      </c>
      <c r="X1250" s="11">
        <v>1997</v>
      </c>
      <c r="Y1250" s="11">
        <v>11000</v>
      </c>
      <c r="Z1250" s="11">
        <v>7.2</v>
      </c>
      <c r="AA1250" s="11">
        <v>1.85</v>
      </c>
      <c r="AB1250" s="11">
        <v>0</v>
      </c>
      <c r="AC1250" s="11"/>
      <c r="AD1250" s="11" t="str">
        <f>IFERROR(__xludf.DUMMYFUNCTION("""COMPUTED_VALUE"""),"Shawn Christian")</f>
        <v>Shawn Christian</v>
      </c>
      <c r="AE1250" s="11"/>
    </row>
    <row r="1251" customHeight="1" spans="1:31">
      <c r="A1251" s="12" t="s">
        <v>30</v>
      </c>
      <c r="B1251" s="12" t="s">
        <v>1312</v>
      </c>
      <c r="C1251" s="12">
        <v>25</v>
      </c>
      <c r="D1251" s="12">
        <v>106</v>
      </c>
      <c r="E1251" s="12">
        <v>323</v>
      </c>
      <c r="F1251" s="12">
        <v>0</v>
      </c>
      <c r="G1251" s="12">
        <v>472</v>
      </c>
      <c r="H1251" s="12">
        <v>45500797</v>
      </c>
      <c r="I1251" s="12" t="s">
        <v>2308</v>
      </c>
      <c r="J1251" s="12" t="s">
        <v>6524</v>
      </c>
      <c r="K1251" s="12" t="s">
        <v>6525</v>
      </c>
      <c r="L1251" s="12" t="s">
        <v>6526</v>
      </c>
      <c r="M1251" s="12" t="s">
        <v>6527</v>
      </c>
      <c r="N1251" s="12">
        <v>17443</v>
      </c>
      <c r="O1251" s="12">
        <v>519</v>
      </c>
      <c r="P1251" s="12">
        <v>2</v>
      </c>
      <c r="Q1251" s="12" t="s">
        <v>6528</v>
      </c>
      <c r="R1251" s="15" t="s">
        <v>6529</v>
      </c>
      <c r="S1251" s="12">
        <v>56</v>
      </c>
      <c r="T1251" s="12" t="s">
        <v>39</v>
      </c>
      <c r="U1251" s="12" t="s">
        <v>40</v>
      </c>
      <c r="V1251" s="12" t="s">
        <v>41</v>
      </c>
      <c r="W1251" s="12">
        <v>40000000</v>
      </c>
      <c r="X1251" s="12">
        <v>1992</v>
      </c>
      <c r="Y1251" s="12">
        <v>47</v>
      </c>
      <c r="Z1251" s="12">
        <v>6</v>
      </c>
      <c r="AA1251" s="12">
        <v>2.35</v>
      </c>
      <c r="AB1251" s="12">
        <v>694</v>
      </c>
      <c r="AC1251" s="12"/>
      <c r="AD1251" s="12" t="str">
        <f>IFERROR(__xludf.DUMMYFUNCTION("""COMPUTED_VALUE"""),"Camryn Manheim")</f>
        <v>Camryn Manheim</v>
      </c>
      <c r="AE1251" s="12"/>
    </row>
    <row r="1252" customHeight="1" spans="1:31">
      <c r="A1252" s="11" t="s">
        <v>30</v>
      </c>
      <c r="B1252" s="11" t="s">
        <v>6530</v>
      </c>
      <c r="C1252" s="11">
        <v>211</v>
      </c>
      <c r="D1252" s="11">
        <v>102</v>
      </c>
      <c r="E1252" s="11">
        <v>25</v>
      </c>
      <c r="F1252" s="11">
        <v>473</v>
      </c>
      <c r="G1252" s="11">
        <v>1000</v>
      </c>
      <c r="H1252" s="11">
        <v>41797066</v>
      </c>
      <c r="I1252" s="11" t="s">
        <v>2208</v>
      </c>
      <c r="J1252" s="11" t="s">
        <v>6531</v>
      </c>
      <c r="K1252" s="11" t="s">
        <v>6532</v>
      </c>
      <c r="L1252" s="11" t="s">
        <v>6533</v>
      </c>
      <c r="M1252" s="11" t="s">
        <v>6534</v>
      </c>
      <c r="N1252" s="11">
        <v>92789</v>
      </c>
      <c r="O1252" s="11">
        <v>4324</v>
      </c>
      <c r="P1252" s="11">
        <v>0</v>
      </c>
      <c r="Q1252" s="11" t="s">
        <v>6535</v>
      </c>
      <c r="R1252" s="14" t="s">
        <v>6536</v>
      </c>
      <c r="S1252" s="11">
        <v>998</v>
      </c>
      <c r="T1252" s="11" t="s">
        <v>39</v>
      </c>
      <c r="U1252" s="11" t="s">
        <v>40</v>
      </c>
      <c r="V1252" s="11" t="s">
        <v>586</v>
      </c>
      <c r="W1252" s="11">
        <v>40000000</v>
      </c>
      <c r="X1252" s="11">
        <v>2007</v>
      </c>
      <c r="Y1252" s="11">
        <v>741</v>
      </c>
      <c r="Z1252" s="11">
        <v>4.7</v>
      </c>
      <c r="AA1252" s="11">
        <v>2.35</v>
      </c>
      <c r="AB1252" s="11">
        <v>0</v>
      </c>
      <c r="AC1252" s="11"/>
      <c r="AD1252" s="11" t="str">
        <f>IFERROR(__xludf.DUMMYFUNCTION("""COMPUTED_VALUE"""),"Ariel Gade")</f>
        <v>Ariel Gade</v>
      </c>
      <c r="AE1252" s="11"/>
    </row>
    <row r="1253" customHeight="1" spans="1:31">
      <c r="A1253" s="12" t="s">
        <v>30</v>
      </c>
      <c r="B1253" s="12" t="s">
        <v>4240</v>
      </c>
      <c r="C1253" s="12">
        <v>19</v>
      </c>
      <c r="D1253" s="12">
        <v>95</v>
      </c>
      <c r="E1253" s="12">
        <v>80</v>
      </c>
      <c r="F1253" s="12">
        <v>287</v>
      </c>
      <c r="G1253" s="12">
        <v>3000</v>
      </c>
      <c r="H1253" s="12">
        <v>38087756</v>
      </c>
      <c r="I1253" s="12" t="s">
        <v>3057</v>
      </c>
      <c r="J1253" s="12" t="s">
        <v>6537</v>
      </c>
      <c r="K1253" s="12" t="s">
        <v>6538</v>
      </c>
      <c r="L1253" s="12" t="s">
        <v>6539</v>
      </c>
      <c r="M1253" s="12" t="s">
        <v>6540</v>
      </c>
      <c r="N1253" s="12">
        <v>49612</v>
      </c>
      <c r="O1253" s="12">
        <v>4634</v>
      </c>
      <c r="P1253" s="12">
        <v>1</v>
      </c>
      <c r="Q1253" s="12" t="s">
        <v>6541</v>
      </c>
      <c r="R1253" s="15" t="s">
        <v>6542</v>
      </c>
      <c r="S1253" s="12">
        <v>39</v>
      </c>
      <c r="T1253" s="12" t="s">
        <v>39</v>
      </c>
      <c r="U1253" s="12" t="s">
        <v>40</v>
      </c>
      <c r="V1253" s="12" t="s">
        <v>96</v>
      </c>
      <c r="W1253" s="12">
        <v>40000000</v>
      </c>
      <c r="X1253" s="12">
        <v>1994</v>
      </c>
      <c r="Y1253" s="12">
        <v>450</v>
      </c>
      <c r="Z1253" s="12">
        <v>5.2</v>
      </c>
      <c r="AA1253" s="12">
        <v>1.85</v>
      </c>
      <c r="AB1253" s="12">
        <v>0</v>
      </c>
      <c r="AC1253" s="12"/>
      <c r="AD1253" s="12" t="str">
        <f>IFERROR(__xludf.DUMMYFUNCTION("""COMPUTED_VALUE"""),"Jamie Foreman")</f>
        <v>Jamie Foreman</v>
      </c>
      <c r="AE1253" s="12"/>
    </row>
    <row r="1254" customHeight="1" spans="1:31">
      <c r="A1254" s="11" t="s">
        <v>30</v>
      </c>
      <c r="B1254" s="11" t="s">
        <v>5281</v>
      </c>
      <c r="C1254" s="11">
        <v>101</v>
      </c>
      <c r="D1254" s="11">
        <v>103</v>
      </c>
      <c r="E1254" s="11">
        <v>643</v>
      </c>
      <c r="F1254" s="11">
        <v>586</v>
      </c>
      <c r="G1254" s="11">
        <v>24000</v>
      </c>
      <c r="H1254" s="11">
        <v>37752931</v>
      </c>
      <c r="I1254" s="11" t="s">
        <v>214</v>
      </c>
      <c r="J1254" s="11" t="s">
        <v>82</v>
      </c>
      <c r="K1254" s="11" t="s">
        <v>6531</v>
      </c>
      <c r="L1254" s="11" t="s">
        <v>4124</v>
      </c>
      <c r="M1254" s="11" t="s">
        <v>6543</v>
      </c>
      <c r="N1254" s="11">
        <v>20201</v>
      </c>
      <c r="O1254" s="11">
        <v>26938</v>
      </c>
      <c r="P1254" s="11">
        <v>2</v>
      </c>
      <c r="Q1254" s="11" t="s">
        <v>6544</v>
      </c>
      <c r="R1254" s="14" t="s">
        <v>6545</v>
      </c>
      <c r="S1254" s="11">
        <v>180</v>
      </c>
      <c r="T1254" s="11" t="s">
        <v>39</v>
      </c>
      <c r="U1254" s="11" t="s">
        <v>40</v>
      </c>
      <c r="V1254" s="11" t="s">
        <v>41</v>
      </c>
      <c r="W1254" s="11">
        <v>40000000</v>
      </c>
      <c r="X1254" s="11">
        <v>2000</v>
      </c>
      <c r="Y1254" s="11">
        <v>1000</v>
      </c>
      <c r="Z1254" s="11">
        <v>5.5</v>
      </c>
      <c r="AA1254" s="11">
        <v>1.85</v>
      </c>
      <c r="AB1254" s="11">
        <v>0</v>
      </c>
      <c r="AC1254" s="11"/>
      <c r="AD1254" s="11" t="str">
        <f>IFERROR(__xludf.DUMMYFUNCTION("""COMPUTED_VALUE"""),"Louis Lombardi")</f>
        <v>Louis Lombardi</v>
      </c>
      <c r="AE1254" s="11"/>
    </row>
    <row r="1255" customHeight="1" spans="1:31">
      <c r="A1255" s="12" t="s">
        <v>30</v>
      </c>
      <c r="B1255" s="12" t="s">
        <v>3999</v>
      </c>
      <c r="C1255" s="12">
        <v>175</v>
      </c>
      <c r="D1255" s="12">
        <v>95</v>
      </c>
      <c r="E1255" s="12">
        <v>30</v>
      </c>
      <c r="F1255" s="12">
        <v>664</v>
      </c>
      <c r="G1255" s="12">
        <v>799</v>
      </c>
      <c r="H1255" s="12">
        <v>50562555</v>
      </c>
      <c r="I1255" s="12" t="s">
        <v>6546</v>
      </c>
      <c r="J1255" s="12" t="s">
        <v>90</v>
      </c>
      <c r="K1255" s="12" t="s">
        <v>1408</v>
      </c>
      <c r="L1255" s="12" t="s">
        <v>3935</v>
      </c>
      <c r="M1255" s="12" t="s">
        <v>6547</v>
      </c>
      <c r="N1255" s="12">
        <v>81334</v>
      </c>
      <c r="O1255" s="12">
        <v>2787</v>
      </c>
      <c r="P1255" s="12">
        <v>4</v>
      </c>
      <c r="Q1255" s="12" t="s">
        <v>6548</v>
      </c>
      <c r="R1255" s="15" t="s">
        <v>6549</v>
      </c>
      <c r="S1255" s="12">
        <v>291</v>
      </c>
      <c r="T1255" s="12" t="s">
        <v>39</v>
      </c>
      <c r="U1255" s="12" t="s">
        <v>40</v>
      </c>
      <c r="V1255" s="12" t="s">
        <v>41</v>
      </c>
      <c r="W1255" s="16"/>
      <c r="X1255" s="12">
        <v>2007</v>
      </c>
      <c r="Y1255" s="12">
        <v>690</v>
      </c>
      <c r="Z1255" s="12">
        <v>6.5</v>
      </c>
      <c r="AA1255" s="12">
        <v>1.85</v>
      </c>
      <c r="AB1255" s="12">
        <v>0</v>
      </c>
      <c r="AC1255" s="12"/>
      <c r="AD1255" s="12" t="str">
        <f>IFERROR(__xludf.DUMMYFUNCTION("""COMPUTED_VALUE"""),"Olivia Munn")</f>
        <v>Olivia Munn</v>
      </c>
      <c r="AE1255" s="12"/>
    </row>
    <row r="1256" customHeight="1" spans="1:31">
      <c r="A1256" s="11" t="s">
        <v>30</v>
      </c>
      <c r="B1256" s="11" t="s">
        <v>6550</v>
      </c>
      <c r="C1256" s="11">
        <v>342</v>
      </c>
      <c r="D1256" s="11">
        <v>109</v>
      </c>
      <c r="E1256" s="11">
        <v>99</v>
      </c>
      <c r="F1256" s="11">
        <v>57</v>
      </c>
      <c r="G1256" s="11">
        <v>176</v>
      </c>
      <c r="H1256" s="11">
        <v>37371385</v>
      </c>
      <c r="I1256" s="11" t="s">
        <v>1875</v>
      </c>
      <c r="J1256" s="11" t="s">
        <v>6551</v>
      </c>
      <c r="K1256" s="11" t="s">
        <v>6552</v>
      </c>
      <c r="L1256" s="11" t="s">
        <v>6553</v>
      </c>
      <c r="M1256" s="11" t="s">
        <v>6554</v>
      </c>
      <c r="N1256" s="11">
        <v>192462</v>
      </c>
      <c r="O1256" s="11">
        <v>390</v>
      </c>
      <c r="P1256" s="11">
        <v>0</v>
      </c>
      <c r="Q1256" s="11" t="s">
        <v>6555</v>
      </c>
      <c r="R1256" s="14" t="s">
        <v>6556</v>
      </c>
      <c r="S1256" s="11">
        <v>334</v>
      </c>
      <c r="T1256" s="11" t="s">
        <v>39</v>
      </c>
      <c r="U1256" s="11" t="s">
        <v>40</v>
      </c>
      <c r="V1256" s="11" t="s">
        <v>586</v>
      </c>
      <c r="W1256" s="11">
        <v>40000000</v>
      </c>
      <c r="X1256" s="11">
        <v>2011</v>
      </c>
      <c r="Y1256" s="11">
        <v>61</v>
      </c>
      <c r="Z1256" s="11">
        <v>7</v>
      </c>
      <c r="AA1256" s="11">
        <v>2.35</v>
      </c>
      <c r="AB1256" s="11">
        <v>42000</v>
      </c>
      <c r="AC1256" s="11"/>
      <c r="AD1256" s="11" t="str">
        <f>IFERROR(__xludf.DUMMYFUNCTION("""COMPUTED_VALUE"""),"Ulrich Thomsen")</f>
        <v>Ulrich Thomsen</v>
      </c>
      <c r="AE1256" s="11"/>
    </row>
    <row r="1257" customHeight="1" spans="1:31">
      <c r="A1257" s="12" t="s">
        <v>30</v>
      </c>
      <c r="B1257" s="12" t="s">
        <v>6245</v>
      </c>
      <c r="C1257" s="12">
        <v>147</v>
      </c>
      <c r="D1257" s="12">
        <v>95</v>
      </c>
      <c r="E1257" s="12">
        <v>98</v>
      </c>
      <c r="F1257" s="12">
        <v>78</v>
      </c>
      <c r="G1257" s="12">
        <v>405</v>
      </c>
      <c r="H1257" s="12">
        <v>37101011</v>
      </c>
      <c r="I1257" s="12" t="s">
        <v>2528</v>
      </c>
      <c r="J1257" s="12" t="s">
        <v>3991</v>
      </c>
      <c r="K1257" s="12" t="s">
        <v>6557</v>
      </c>
      <c r="L1257" s="12" t="s">
        <v>6558</v>
      </c>
      <c r="M1257" s="12" t="s">
        <v>6559</v>
      </c>
      <c r="N1257" s="12">
        <v>30394</v>
      </c>
      <c r="O1257" s="12">
        <v>1070</v>
      </c>
      <c r="P1257" s="12">
        <v>1</v>
      </c>
      <c r="Q1257" s="12" t="s">
        <v>6560</v>
      </c>
      <c r="R1257" s="15" t="s">
        <v>6561</v>
      </c>
      <c r="S1257" s="12">
        <v>103</v>
      </c>
      <c r="T1257" s="12" t="s">
        <v>39</v>
      </c>
      <c r="U1257" s="12" t="s">
        <v>40</v>
      </c>
      <c r="V1257" s="12" t="s">
        <v>41</v>
      </c>
      <c r="W1257" s="12">
        <v>40000000</v>
      </c>
      <c r="X1257" s="12">
        <v>2012</v>
      </c>
      <c r="Y1257" s="12">
        <v>358</v>
      </c>
      <c r="Z1257" s="12">
        <v>5.8</v>
      </c>
      <c r="AA1257" s="12">
        <v>2.35</v>
      </c>
      <c r="AB1257" s="12">
        <v>0</v>
      </c>
      <c r="AC1257" s="12"/>
      <c r="AD1257" s="12" t="str">
        <f>IFERROR(__xludf.DUMMYFUNCTION("""COMPUTED_VALUE"""),"Mike Dopud")</f>
        <v>Mike Dopud</v>
      </c>
      <c r="AE1257" s="12"/>
    </row>
    <row r="1258" customHeight="1" spans="1:31">
      <c r="A1258" s="11" t="s">
        <v>30</v>
      </c>
      <c r="B1258" s="11" t="s">
        <v>6309</v>
      </c>
      <c r="C1258" s="11">
        <v>420</v>
      </c>
      <c r="D1258" s="11">
        <v>111</v>
      </c>
      <c r="E1258" s="11">
        <v>0</v>
      </c>
      <c r="F1258" s="11">
        <v>687</v>
      </c>
      <c r="G1258" s="11">
        <v>2000</v>
      </c>
      <c r="H1258" s="11">
        <v>38176892</v>
      </c>
      <c r="I1258" s="11" t="s">
        <v>5104</v>
      </c>
      <c r="J1258" s="11" t="s">
        <v>4200</v>
      </c>
      <c r="K1258" s="11" t="s">
        <v>6562</v>
      </c>
      <c r="L1258" s="11" t="s">
        <v>6563</v>
      </c>
      <c r="M1258" s="11" t="s">
        <v>6564</v>
      </c>
      <c r="N1258" s="11">
        <v>104119</v>
      </c>
      <c r="O1258" s="11">
        <v>4486</v>
      </c>
      <c r="P1258" s="11">
        <v>0</v>
      </c>
      <c r="Q1258" s="11" t="s">
        <v>6565</v>
      </c>
      <c r="R1258" s="14" t="s">
        <v>6566</v>
      </c>
      <c r="S1258" s="11">
        <v>518</v>
      </c>
      <c r="T1258" s="11" t="s">
        <v>39</v>
      </c>
      <c r="U1258" s="11" t="s">
        <v>40</v>
      </c>
      <c r="V1258" s="11" t="s">
        <v>586</v>
      </c>
      <c r="W1258" s="11">
        <v>40000000</v>
      </c>
      <c r="X1258" s="11">
        <v>2011</v>
      </c>
      <c r="Y1258" s="11">
        <v>741</v>
      </c>
      <c r="Z1258" s="11">
        <v>6.2</v>
      </c>
      <c r="AA1258" s="11">
        <v>2.35</v>
      </c>
      <c r="AB1258" s="11">
        <v>26000</v>
      </c>
      <c r="AC1258" s="11"/>
      <c r="AD1258" s="11" t="str">
        <f>IFERROR(__xludf.DUMMYFUNCTION("""COMPUTED_VALUE"""),"Tania Saulnier")</f>
        <v>Tania Saulnier</v>
      </c>
      <c r="AE1258" s="11"/>
    </row>
    <row r="1259" customHeight="1" spans="1:31">
      <c r="A1259" s="12" t="s">
        <v>30</v>
      </c>
      <c r="B1259" s="12" t="s">
        <v>1325</v>
      </c>
      <c r="C1259" s="12">
        <v>138</v>
      </c>
      <c r="D1259" s="12">
        <v>123</v>
      </c>
      <c r="E1259" s="12">
        <v>541</v>
      </c>
      <c r="F1259" s="12">
        <v>173</v>
      </c>
      <c r="G1259" s="12">
        <v>12000</v>
      </c>
      <c r="H1259" s="12">
        <v>36283504</v>
      </c>
      <c r="I1259" s="12" t="s">
        <v>852</v>
      </c>
      <c r="J1259" s="12" t="s">
        <v>705</v>
      </c>
      <c r="K1259" s="12" t="s">
        <v>607</v>
      </c>
      <c r="L1259" s="12" t="s">
        <v>6567</v>
      </c>
      <c r="M1259" s="12" t="s">
        <v>6568</v>
      </c>
      <c r="N1259" s="12">
        <v>104564</v>
      </c>
      <c r="O1259" s="12">
        <v>12970</v>
      </c>
      <c r="P1259" s="12">
        <v>1</v>
      </c>
      <c r="Q1259" s="12" t="s">
        <v>6569</v>
      </c>
      <c r="R1259" s="15" t="s">
        <v>6570</v>
      </c>
      <c r="S1259" s="12">
        <v>587</v>
      </c>
      <c r="T1259" s="12" t="s">
        <v>39</v>
      </c>
      <c r="U1259" s="12" t="s">
        <v>768</v>
      </c>
      <c r="V1259" s="12" t="s">
        <v>586</v>
      </c>
      <c r="W1259" s="12">
        <v>40000000</v>
      </c>
      <c r="X1259" s="12">
        <v>1999</v>
      </c>
      <c r="Y1259" s="12">
        <v>638</v>
      </c>
      <c r="Z1259" s="12">
        <v>6.5</v>
      </c>
      <c r="AA1259" s="12">
        <v>2.35</v>
      </c>
      <c r="AB1259" s="12">
        <v>0</v>
      </c>
      <c r="AC1259" s="12"/>
      <c r="AD1259" s="12" t="str">
        <f>IFERROR(__xludf.DUMMYFUNCTION("""COMPUTED_VALUE"""),"Aaron Kwok")</f>
        <v>Aaron Kwok</v>
      </c>
      <c r="AE1259" s="12"/>
    </row>
    <row r="1260" customHeight="1" spans="1:31">
      <c r="A1260" s="11" t="s">
        <v>30</v>
      </c>
      <c r="B1260" s="11" t="s">
        <v>761</v>
      </c>
      <c r="C1260" s="11">
        <v>82</v>
      </c>
      <c r="D1260" s="11">
        <v>140</v>
      </c>
      <c r="E1260" s="11">
        <v>0</v>
      </c>
      <c r="F1260" s="11">
        <v>552</v>
      </c>
      <c r="G1260" s="11">
        <v>720</v>
      </c>
      <c r="H1260" s="11">
        <v>35183792</v>
      </c>
      <c r="I1260" s="11" t="s">
        <v>6507</v>
      </c>
      <c r="J1260" s="11" t="s">
        <v>1870</v>
      </c>
      <c r="K1260" s="11" t="s">
        <v>3058</v>
      </c>
      <c r="L1260" s="11" t="s">
        <v>3654</v>
      </c>
      <c r="M1260" s="11" t="s">
        <v>6571</v>
      </c>
      <c r="N1260" s="11">
        <v>68159</v>
      </c>
      <c r="O1260" s="11">
        <v>3044</v>
      </c>
      <c r="P1260" s="11">
        <v>1</v>
      </c>
      <c r="Q1260" s="11" t="s">
        <v>6572</v>
      </c>
      <c r="R1260" s="14" t="s">
        <v>6573</v>
      </c>
      <c r="S1260" s="11">
        <v>209</v>
      </c>
      <c r="T1260" s="11" t="s">
        <v>39</v>
      </c>
      <c r="U1260" s="11" t="s">
        <v>40</v>
      </c>
      <c r="V1260" s="11" t="s">
        <v>586</v>
      </c>
      <c r="W1260" s="11">
        <v>38000000</v>
      </c>
      <c r="X1260" s="11">
        <v>1991</v>
      </c>
      <c r="Y1260" s="11">
        <v>576</v>
      </c>
      <c r="Z1260" s="11">
        <v>7.2</v>
      </c>
      <c r="AA1260" s="11">
        <v>2.35</v>
      </c>
      <c r="AB1260" s="11">
        <v>0</v>
      </c>
      <c r="AC1260" s="11"/>
      <c r="AD1260" s="11" t="str">
        <f>IFERROR(__xludf.DUMMYFUNCTION("""COMPUTED_VALUE"""),"Eddie Peng")</f>
        <v>Eddie Peng</v>
      </c>
      <c r="AE1260" s="11"/>
    </row>
    <row r="1261" customHeight="1" spans="1:31">
      <c r="A1261" s="12" t="s">
        <v>30</v>
      </c>
      <c r="B1261" s="12" t="s">
        <v>6574</v>
      </c>
      <c r="C1261" s="12">
        <v>201</v>
      </c>
      <c r="D1261" s="12">
        <v>94</v>
      </c>
      <c r="E1261" s="12">
        <v>52</v>
      </c>
      <c r="F1261" s="12">
        <v>214</v>
      </c>
      <c r="G1261" s="12">
        <v>683</v>
      </c>
      <c r="H1261" s="12">
        <v>38543473</v>
      </c>
      <c r="I1261" s="12" t="s">
        <v>1672</v>
      </c>
      <c r="J1261" s="12" t="s">
        <v>4616</v>
      </c>
      <c r="K1261" s="12" t="s">
        <v>6178</v>
      </c>
      <c r="L1261" s="12" t="s">
        <v>6575</v>
      </c>
      <c r="M1261" s="12" t="s">
        <v>6576</v>
      </c>
      <c r="N1261" s="12">
        <v>84382</v>
      </c>
      <c r="O1261" s="12">
        <v>1488</v>
      </c>
      <c r="P1261" s="12">
        <v>2</v>
      </c>
      <c r="Q1261" s="12" t="s">
        <v>6577</v>
      </c>
      <c r="R1261" s="15" t="s">
        <v>6578</v>
      </c>
      <c r="S1261" s="12">
        <v>158</v>
      </c>
      <c r="T1261" s="12" t="s">
        <v>39</v>
      </c>
      <c r="U1261" s="12" t="s">
        <v>40</v>
      </c>
      <c r="V1261" s="12" t="s">
        <v>586</v>
      </c>
      <c r="W1261" s="12">
        <v>40000000</v>
      </c>
      <c r="X1261" s="12">
        <v>2014</v>
      </c>
      <c r="Y1261" s="12">
        <v>392</v>
      </c>
      <c r="Z1261" s="12">
        <v>5.1</v>
      </c>
      <c r="AA1261" s="12">
        <v>1.85</v>
      </c>
      <c r="AB1261" s="12">
        <v>0</v>
      </c>
      <c r="AC1261" s="12"/>
      <c r="AD1261" s="12" t="str">
        <f>IFERROR(__xludf.DUMMYFUNCTION("""COMPUTED_VALUE"""),"Clayne Crawford")</f>
        <v>Clayne Crawford</v>
      </c>
      <c r="AE1261" s="12"/>
    </row>
    <row r="1262" customHeight="1" spans="1:31">
      <c r="A1262" s="11" t="s">
        <v>30</v>
      </c>
      <c r="B1262" s="11" t="s">
        <v>6579</v>
      </c>
      <c r="C1262" s="11">
        <v>82</v>
      </c>
      <c r="D1262" s="11">
        <v>94</v>
      </c>
      <c r="E1262" s="11">
        <v>0</v>
      </c>
      <c r="F1262" s="11">
        <v>235</v>
      </c>
      <c r="G1262" s="11">
        <v>374</v>
      </c>
      <c r="H1262" s="11">
        <v>36037909</v>
      </c>
      <c r="I1262" s="11" t="s">
        <v>2528</v>
      </c>
      <c r="J1262" s="11" t="s">
        <v>3083</v>
      </c>
      <c r="K1262" s="11" t="s">
        <v>1068</v>
      </c>
      <c r="L1262" s="11" t="s">
        <v>6580</v>
      </c>
      <c r="M1262" s="11" t="s">
        <v>6581</v>
      </c>
      <c r="N1262" s="11">
        <v>10132</v>
      </c>
      <c r="O1262" s="11">
        <v>1238</v>
      </c>
      <c r="P1262" s="11">
        <v>3</v>
      </c>
      <c r="Q1262" s="11" t="s">
        <v>6582</v>
      </c>
      <c r="R1262" s="14" t="s">
        <v>6583</v>
      </c>
      <c r="S1262" s="11">
        <v>130</v>
      </c>
      <c r="T1262" s="11" t="s">
        <v>39</v>
      </c>
      <c r="U1262" s="11" t="s">
        <v>768</v>
      </c>
      <c r="V1262" s="11" t="s">
        <v>41</v>
      </c>
      <c r="W1262" s="11">
        <v>60000000</v>
      </c>
      <c r="X1262" s="11">
        <v>2000</v>
      </c>
      <c r="Y1262" s="11">
        <v>258</v>
      </c>
      <c r="Z1262" s="11">
        <v>4.7</v>
      </c>
      <c r="AA1262" s="11">
        <v>1.85</v>
      </c>
      <c r="AB1262" s="11">
        <v>390</v>
      </c>
      <c r="AC1262" s="11"/>
      <c r="AD1262" s="11" t="str">
        <f>IFERROR(__xludf.DUMMYFUNCTION("""COMPUTED_VALUE"""),"Paolo Montalban")</f>
        <v>Paolo Montalban</v>
      </c>
      <c r="AE1262" s="11"/>
    </row>
    <row r="1263" customHeight="1" spans="1:31">
      <c r="A1263" s="12" t="s">
        <v>30</v>
      </c>
      <c r="B1263" s="12" t="s">
        <v>5240</v>
      </c>
      <c r="C1263" s="12">
        <v>277</v>
      </c>
      <c r="D1263" s="12">
        <v>92</v>
      </c>
      <c r="E1263" s="12">
        <v>77</v>
      </c>
      <c r="F1263" s="12">
        <v>495</v>
      </c>
      <c r="G1263" s="12">
        <v>703</v>
      </c>
      <c r="H1263" s="12">
        <v>42575718</v>
      </c>
      <c r="I1263" s="12" t="s">
        <v>6403</v>
      </c>
      <c r="J1263" s="12" t="s">
        <v>6584</v>
      </c>
      <c r="K1263" s="12" t="s">
        <v>6585</v>
      </c>
      <c r="L1263" s="12" t="s">
        <v>3696</v>
      </c>
      <c r="M1263" s="12" t="s">
        <v>6586</v>
      </c>
      <c r="N1263" s="12">
        <v>83788</v>
      </c>
      <c r="O1263" s="12">
        <v>3074</v>
      </c>
      <c r="P1263" s="12">
        <v>0</v>
      </c>
      <c r="Q1263" s="12" t="s">
        <v>6587</v>
      </c>
      <c r="R1263" s="15" t="s">
        <v>6588</v>
      </c>
      <c r="S1263" s="12">
        <v>227</v>
      </c>
      <c r="T1263" s="12" t="s">
        <v>39</v>
      </c>
      <c r="U1263" s="12" t="s">
        <v>40</v>
      </c>
      <c r="V1263" s="12" t="s">
        <v>586</v>
      </c>
      <c r="W1263" s="12">
        <v>40000000</v>
      </c>
      <c r="X1263" s="12">
        <v>2011</v>
      </c>
      <c r="Y1263" s="12">
        <v>682</v>
      </c>
      <c r="Z1263" s="12">
        <v>5.9</v>
      </c>
      <c r="AA1263" s="12">
        <v>2.35</v>
      </c>
      <c r="AB1263" s="12">
        <v>20000</v>
      </c>
      <c r="AC1263" s="12"/>
      <c r="AD1263" s="12" t="str">
        <f>IFERROR(__xludf.DUMMYFUNCTION("""COMPUTED_VALUE"""),"Ed Skrein")</f>
        <v>Ed Skrein</v>
      </c>
      <c r="AE1263" s="12"/>
    </row>
    <row r="1264" customHeight="1" spans="1:31">
      <c r="A1264" s="11" t="s">
        <v>30</v>
      </c>
      <c r="B1264" s="11" t="s">
        <v>6589</v>
      </c>
      <c r="C1264" s="11">
        <v>90</v>
      </c>
      <c r="D1264" s="11">
        <v>102</v>
      </c>
      <c r="E1264" s="11">
        <v>6</v>
      </c>
      <c r="F1264" s="11">
        <v>584</v>
      </c>
      <c r="G1264" s="11">
        <v>711</v>
      </c>
      <c r="H1264" s="11">
        <v>33864342</v>
      </c>
      <c r="I1264" s="11" t="s">
        <v>4262</v>
      </c>
      <c r="J1264" s="11" t="s">
        <v>530</v>
      </c>
      <c r="K1264" s="11" t="s">
        <v>1906</v>
      </c>
      <c r="L1264" s="11" t="s">
        <v>3555</v>
      </c>
      <c r="M1264" s="11" t="s">
        <v>6590</v>
      </c>
      <c r="N1264" s="11">
        <v>29968</v>
      </c>
      <c r="O1264" s="11">
        <v>2913</v>
      </c>
      <c r="P1264" s="11">
        <v>1</v>
      </c>
      <c r="Q1264" s="11" t="s">
        <v>6591</v>
      </c>
      <c r="R1264" s="14" t="s">
        <v>6592</v>
      </c>
      <c r="S1264" s="11">
        <v>117</v>
      </c>
      <c r="T1264" s="11" t="s">
        <v>39</v>
      </c>
      <c r="U1264" s="11" t="s">
        <v>58</v>
      </c>
      <c r="V1264" s="11" t="s">
        <v>41</v>
      </c>
      <c r="W1264" s="11">
        <v>40000000</v>
      </c>
      <c r="X1264" s="11">
        <v>1999</v>
      </c>
      <c r="Y1264" s="11">
        <v>683</v>
      </c>
      <c r="Z1264" s="11">
        <v>5.8</v>
      </c>
      <c r="AA1264" s="11">
        <v>1.85</v>
      </c>
      <c r="AB1264" s="11">
        <v>445</v>
      </c>
      <c r="AC1264" s="11"/>
      <c r="AD1264" s="11" t="str">
        <f>IFERROR(__xludf.DUMMYFUNCTION("""COMPUTED_VALUE"""),"Stefan Kapicic")</f>
        <v>Stefan Kapicic</v>
      </c>
      <c r="AE1264" s="11"/>
    </row>
    <row r="1265" customHeight="1" spans="1:31">
      <c r="A1265" s="12" t="s">
        <v>30</v>
      </c>
      <c r="B1265" s="12" t="s">
        <v>2566</v>
      </c>
      <c r="C1265" s="12">
        <v>157</v>
      </c>
      <c r="D1265" s="12">
        <v>123</v>
      </c>
      <c r="E1265" s="12">
        <v>75</v>
      </c>
      <c r="F1265" s="12">
        <v>754</v>
      </c>
      <c r="G1265" s="12">
        <v>18000</v>
      </c>
      <c r="H1265" s="12">
        <v>33508922</v>
      </c>
      <c r="I1265" s="12" t="s">
        <v>3410</v>
      </c>
      <c r="J1265" s="12" t="s">
        <v>120</v>
      </c>
      <c r="K1265" s="12" t="s">
        <v>2190</v>
      </c>
      <c r="L1265" s="12" t="s">
        <v>6593</v>
      </c>
      <c r="M1265" s="12" t="s">
        <v>6594</v>
      </c>
      <c r="N1265" s="12">
        <v>95860</v>
      </c>
      <c r="O1265" s="12">
        <v>23920</v>
      </c>
      <c r="P1265" s="12">
        <v>2</v>
      </c>
      <c r="Q1265" s="12" t="s">
        <v>6595</v>
      </c>
      <c r="R1265" s="15" t="s">
        <v>6596</v>
      </c>
      <c r="S1265" s="12">
        <v>660</v>
      </c>
      <c r="T1265" s="12" t="s">
        <v>39</v>
      </c>
      <c r="U1265" s="12" t="s">
        <v>40</v>
      </c>
      <c r="V1265" s="12" t="s">
        <v>41</v>
      </c>
      <c r="W1265" s="12">
        <v>40000000</v>
      </c>
      <c r="X1265" s="12">
        <v>2000</v>
      </c>
      <c r="Y1265" s="12">
        <v>3000</v>
      </c>
      <c r="Z1265" s="12">
        <v>7.2</v>
      </c>
      <c r="AA1265" s="12">
        <v>1.85</v>
      </c>
      <c r="AB1265" s="12">
        <v>16000</v>
      </c>
      <c r="AC1265" s="12"/>
      <c r="AD1265" s="12" t="str">
        <f>IFERROR(__xludf.DUMMYFUNCTION("""COMPUTED_VALUE"""),"Morgan Fairchild")</f>
        <v>Morgan Fairchild</v>
      </c>
      <c r="AE1265" s="12"/>
    </row>
    <row r="1266" customHeight="1" spans="1:31">
      <c r="A1266" s="11" t="s">
        <v>30</v>
      </c>
      <c r="B1266" s="11" t="s">
        <v>3495</v>
      </c>
      <c r="C1266" s="11">
        <v>124</v>
      </c>
      <c r="D1266" s="11">
        <v>104</v>
      </c>
      <c r="E1266" s="11">
        <v>101</v>
      </c>
      <c r="F1266" s="11">
        <v>223</v>
      </c>
      <c r="G1266" s="11">
        <v>787</v>
      </c>
      <c r="H1266" s="11">
        <v>42071069</v>
      </c>
      <c r="I1266" s="11" t="s">
        <v>4479</v>
      </c>
      <c r="J1266" s="11" t="s">
        <v>6597</v>
      </c>
      <c r="K1266" s="11" t="s">
        <v>6598</v>
      </c>
      <c r="L1266" s="11" t="s">
        <v>6599</v>
      </c>
      <c r="M1266" s="11" t="s">
        <v>6600</v>
      </c>
      <c r="N1266" s="11">
        <v>36223</v>
      </c>
      <c r="O1266" s="11">
        <v>1827</v>
      </c>
      <c r="P1266" s="11">
        <v>1</v>
      </c>
      <c r="Q1266" s="11" t="s">
        <v>6601</v>
      </c>
      <c r="R1266" s="14" t="s">
        <v>6602</v>
      </c>
      <c r="S1266" s="11">
        <v>208</v>
      </c>
      <c r="T1266" s="11" t="s">
        <v>39</v>
      </c>
      <c r="U1266" s="11" t="s">
        <v>40</v>
      </c>
      <c r="V1266" s="11" t="s">
        <v>41</v>
      </c>
      <c r="W1266" s="11">
        <v>30000000</v>
      </c>
      <c r="X1266" s="11">
        <v>2005</v>
      </c>
      <c r="Y1266" s="11">
        <v>299</v>
      </c>
      <c r="Z1266" s="11">
        <v>6.2</v>
      </c>
      <c r="AA1266" s="11">
        <v>2.35</v>
      </c>
      <c r="AB1266" s="11">
        <v>0</v>
      </c>
      <c r="AC1266" s="11"/>
      <c r="AD1266" s="11" t="str">
        <f>IFERROR(__xludf.DUMMYFUNCTION("""COMPUTED_VALUE"""),"Eric McCormack")</f>
        <v>Eric McCormack</v>
      </c>
      <c r="AE1266" s="11"/>
    </row>
    <row r="1267" customHeight="1" spans="1:31">
      <c r="A1267" s="12" t="s">
        <v>30</v>
      </c>
      <c r="B1267" s="16"/>
      <c r="C1267" s="12">
        <v>3</v>
      </c>
      <c r="D1267" s="12">
        <v>30</v>
      </c>
      <c r="E1267" s="16"/>
      <c r="F1267" s="12">
        <v>12</v>
      </c>
      <c r="G1267" s="12">
        <v>51</v>
      </c>
      <c r="H1267" s="16"/>
      <c r="I1267" s="12" t="s">
        <v>2966</v>
      </c>
      <c r="J1267" s="12" t="s">
        <v>6603</v>
      </c>
      <c r="K1267" s="12" t="s">
        <v>6604</v>
      </c>
      <c r="L1267" s="12" t="s">
        <v>6605</v>
      </c>
      <c r="M1267" s="12" t="s">
        <v>6606</v>
      </c>
      <c r="N1267" s="12">
        <v>8495</v>
      </c>
      <c r="O1267" s="12">
        <v>108</v>
      </c>
      <c r="P1267" s="12">
        <v>0</v>
      </c>
      <c r="Q1267" s="12" t="s">
        <v>6607</v>
      </c>
      <c r="R1267" s="15" t="s">
        <v>6608</v>
      </c>
      <c r="S1267" s="12">
        <v>43</v>
      </c>
      <c r="T1267" s="12" t="s">
        <v>39</v>
      </c>
      <c r="U1267" s="12" t="s">
        <v>269</v>
      </c>
      <c r="V1267" s="12" t="s">
        <v>6609</v>
      </c>
      <c r="W1267" s="16"/>
      <c r="X1267" s="16"/>
      <c r="Y1267" s="12">
        <v>21</v>
      </c>
      <c r="Z1267" s="12">
        <v>7.4</v>
      </c>
      <c r="AA1267" s="12">
        <v>1.33</v>
      </c>
      <c r="AB1267" s="12">
        <v>301</v>
      </c>
      <c r="AC1267" s="12"/>
      <c r="AD1267" s="12" t="str">
        <f>IFERROR(__xludf.DUMMYFUNCTION("""COMPUTED_VALUE"""),"Leonard Roberts")</f>
        <v>Leonard Roberts</v>
      </c>
      <c r="AE1267" s="12"/>
    </row>
    <row r="1268" customHeight="1" spans="1:31">
      <c r="A1268" s="11" t="s">
        <v>30</v>
      </c>
      <c r="B1268" s="11" t="s">
        <v>2786</v>
      </c>
      <c r="C1268" s="11">
        <v>146</v>
      </c>
      <c r="D1268" s="11">
        <v>102</v>
      </c>
      <c r="E1268" s="11">
        <v>65</v>
      </c>
      <c r="F1268" s="11">
        <v>490</v>
      </c>
      <c r="G1268" s="11">
        <v>1000</v>
      </c>
      <c r="H1268" s="11">
        <v>32853640</v>
      </c>
      <c r="I1268" s="11" t="s">
        <v>2528</v>
      </c>
      <c r="J1268" s="11" t="s">
        <v>1184</v>
      </c>
      <c r="K1268" s="11" t="s">
        <v>6610</v>
      </c>
      <c r="L1268" s="11" t="s">
        <v>3684</v>
      </c>
      <c r="M1268" s="11" t="s">
        <v>6611</v>
      </c>
      <c r="N1268" s="11">
        <v>50199</v>
      </c>
      <c r="O1268" s="11">
        <v>3239</v>
      </c>
      <c r="P1268" s="11">
        <v>1</v>
      </c>
      <c r="Q1268" s="11" t="s">
        <v>6612</v>
      </c>
      <c r="R1268" s="14" t="s">
        <v>6613</v>
      </c>
      <c r="S1268" s="11">
        <v>101</v>
      </c>
      <c r="T1268" s="11" t="s">
        <v>39</v>
      </c>
      <c r="U1268" s="11" t="s">
        <v>40</v>
      </c>
      <c r="V1268" s="11" t="s">
        <v>41</v>
      </c>
      <c r="W1268" s="11">
        <v>40000000</v>
      </c>
      <c r="X1268" s="11">
        <v>2008</v>
      </c>
      <c r="Y1268" s="11">
        <v>613</v>
      </c>
      <c r="Z1268" s="11">
        <v>5.7</v>
      </c>
      <c r="AA1268" s="11">
        <v>2.35</v>
      </c>
      <c r="AB1268" s="11">
        <v>702</v>
      </c>
      <c r="AC1268" s="11"/>
      <c r="AD1268" s="11" t="str">
        <f>IFERROR(__xludf.DUMMYFUNCTION("""COMPUTED_VALUE"""),"Keir O'Donnell")</f>
        <v>Keir O'Donnell</v>
      </c>
      <c r="AE1268" s="11"/>
    </row>
    <row r="1269" customHeight="1" spans="1:31">
      <c r="A1269" s="12" t="s">
        <v>30</v>
      </c>
      <c r="B1269" s="12" t="s">
        <v>2513</v>
      </c>
      <c r="C1269" s="12">
        <v>303</v>
      </c>
      <c r="D1269" s="12">
        <v>136</v>
      </c>
      <c r="E1269" s="12">
        <v>3000</v>
      </c>
      <c r="F1269" s="12">
        <v>3000</v>
      </c>
      <c r="G1269" s="12">
        <v>14000</v>
      </c>
      <c r="H1269" s="12">
        <v>42615685</v>
      </c>
      <c r="I1269" s="12" t="s">
        <v>4486</v>
      </c>
      <c r="J1269" s="12" t="s">
        <v>228</v>
      </c>
      <c r="K1269" s="12" t="s">
        <v>778</v>
      </c>
      <c r="L1269" s="12" t="s">
        <v>2513</v>
      </c>
      <c r="M1269" s="12" t="s">
        <v>6614</v>
      </c>
      <c r="N1269" s="12">
        <v>136093</v>
      </c>
      <c r="O1269" s="12">
        <v>28927</v>
      </c>
      <c r="P1269" s="12">
        <v>3</v>
      </c>
      <c r="Q1269" s="12" t="s">
        <v>6615</v>
      </c>
      <c r="R1269" s="15" t="s">
        <v>6616</v>
      </c>
      <c r="S1269" s="12">
        <v>416</v>
      </c>
      <c r="T1269" s="12" t="s">
        <v>39</v>
      </c>
      <c r="U1269" s="12" t="s">
        <v>40</v>
      </c>
      <c r="V1269" s="12" t="s">
        <v>586</v>
      </c>
      <c r="W1269" s="12">
        <v>40000000</v>
      </c>
      <c r="X1269" s="12">
        <v>2014</v>
      </c>
      <c r="Y1269" s="12">
        <v>9000</v>
      </c>
      <c r="Z1269" s="12">
        <v>6.1</v>
      </c>
      <c r="AA1269" s="12">
        <v>2.35</v>
      </c>
      <c r="AB1269" s="12">
        <v>24000</v>
      </c>
      <c r="AC1269" s="12"/>
      <c r="AD1269" s="12" t="str">
        <f>IFERROR(__xludf.DUMMYFUNCTION("""COMPUTED_VALUE"""),"Odeya Rush")</f>
        <v>Odeya Rush</v>
      </c>
      <c r="AE1269" s="12"/>
    </row>
    <row r="1270" customHeight="1" spans="1:31">
      <c r="A1270" s="11" t="s">
        <v>30</v>
      </c>
      <c r="B1270" s="11" t="s">
        <v>5835</v>
      </c>
      <c r="C1270" s="11">
        <v>70</v>
      </c>
      <c r="D1270" s="11">
        <v>93</v>
      </c>
      <c r="E1270" s="11">
        <v>85</v>
      </c>
      <c r="F1270" s="11">
        <v>510</v>
      </c>
      <c r="G1270" s="11">
        <v>924</v>
      </c>
      <c r="H1270" s="11">
        <v>32055248</v>
      </c>
      <c r="I1270" s="11" t="s">
        <v>6617</v>
      </c>
      <c r="J1270" s="11" t="s">
        <v>2961</v>
      </c>
      <c r="K1270" s="11" t="s">
        <v>3283</v>
      </c>
      <c r="L1270" s="11" t="s">
        <v>4278</v>
      </c>
      <c r="M1270" s="11" t="s">
        <v>6618</v>
      </c>
      <c r="N1270" s="11">
        <v>18723</v>
      </c>
      <c r="O1270" s="11">
        <v>2711</v>
      </c>
      <c r="P1270" s="11">
        <v>0</v>
      </c>
      <c r="Q1270" s="11" t="s">
        <v>6619</v>
      </c>
      <c r="R1270" s="14" t="s">
        <v>6620</v>
      </c>
      <c r="S1270" s="11">
        <v>146</v>
      </c>
      <c r="T1270" s="11" t="s">
        <v>39</v>
      </c>
      <c r="U1270" s="11" t="s">
        <v>40</v>
      </c>
      <c r="V1270" s="11" t="s">
        <v>41</v>
      </c>
      <c r="W1270" s="11">
        <v>25000000</v>
      </c>
      <c r="X1270" s="11">
        <v>1994</v>
      </c>
      <c r="Y1270" s="11">
        <v>595</v>
      </c>
      <c r="Z1270" s="11">
        <v>6</v>
      </c>
      <c r="AA1270" s="11">
        <v>1.85</v>
      </c>
      <c r="AB1270" s="11">
        <v>0</v>
      </c>
      <c r="AC1270" s="11"/>
      <c r="AD1270" s="11" t="str">
        <f>IFERROR(__xludf.DUMMYFUNCTION("""COMPUTED_VALUE"""),"Dylan Minnette")</f>
        <v>Dylan Minnette</v>
      </c>
      <c r="AE1270" s="11"/>
    </row>
    <row r="1271" customHeight="1" spans="1:31">
      <c r="A1271" s="12" t="s">
        <v>30</v>
      </c>
      <c r="B1271" s="12" t="s">
        <v>6621</v>
      </c>
      <c r="C1271" s="12">
        <v>283</v>
      </c>
      <c r="D1271" s="12">
        <v>129</v>
      </c>
      <c r="E1271" s="12">
        <v>335</v>
      </c>
      <c r="F1271" s="12">
        <v>64</v>
      </c>
      <c r="G1271" s="12">
        <v>15000</v>
      </c>
      <c r="H1271" s="12">
        <v>31836745</v>
      </c>
      <c r="I1271" s="12" t="s">
        <v>6622</v>
      </c>
      <c r="J1271" s="12" t="s">
        <v>322</v>
      </c>
      <c r="K1271" s="12" t="s">
        <v>6623</v>
      </c>
      <c r="L1271" s="12" t="s">
        <v>6624</v>
      </c>
      <c r="M1271" s="12" t="s">
        <v>6625</v>
      </c>
      <c r="N1271" s="12">
        <v>81298</v>
      </c>
      <c r="O1271" s="12">
        <v>15595</v>
      </c>
      <c r="P1271" s="12">
        <v>1</v>
      </c>
      <c r="Q1271" s="12" t="s">
        <v>6626</v>
      </c>
      <c r="R1271" s="15" t="s">
        <v>6627</v>
      </c>
      <c r="S1271" s="12">
        <v>341</v>
      </c>
      <c r="T1271" s="12" t="s">
        <v>39</v>
      </c>
      <c r="U1271" s="12" t="s">
        <v>40</v>
      </c>
      <c r="V1271" s="12" t="s">
        <v>41</v>
      </c>
      <c r="W1271" s="12">
        <v>40000000</v>
      </c>
      <c r="X1271" s="12">
        <v>2011</v>
      </c>
      <c r="Y1271" s="12">
        <v>467</v>
      </c>
      <c r="Z1271" s="12">
        <v>6.9</v>
      </c>
      <c r="AA1271" s="12">
        <v>2.35</v>
      </c>
      <c r="AB1271" s="12">
        <v>39000</v>
      </c>
      <c r="AC1271" s="12"/>
      <c r="AD1271" s="12" t="str">
        <f>IFERROR(__xludf.DUMMYFUNCTION("""COMPUTED_VALUE"""),"Ken Marino")</f>
        <v>Ken Marino</v>
      </c>
      <c r="AE1271" s="12"/>
    </row>
    <row r="1272" customHeight="1" spans="1:31">
      <c r="A1272" s="11" t="s">
        <v>30</v>
      </c>
      <c r="B1272" s="11" t="s">
        <v>5775</v>
      </c>
      <c r="C1272" s="11">
        <v>212</v>
      </c>
      <c r="D1272" s="11">
        <v>107</v>
      </c>
      <c r="E1272" s="11">
        <v>50</v>
      </c>
      <c r="F1272" s="11">
        <v>58</v>
      </c>
      <c r="G1272" s="11">
        <v>293</v>
      </c>
      <c r="H1272" s="11">
        <v>30993544</v>
      </c>
      <c r="I1272" s="11" t="s">
        <v>1415</v>
      </c>
      <c r="J1272" s="11" t="s">
        <v>6628</v>
      </c>
      <c r="K1272" s="11" t="s">
        <v>6629</v>
      </c>
      <c r="L1272" s="11" t="s">
        <v>6630</v>
      </c>
      <c r="M1272" s="11" t="s">
        <v>6631</v>
      </c>
      <c r="N1272" s="11">
        <v>58871</v>
      </c>
      <c r="O1272" s="11">
        <v>621</v>
      </c>
      <c r="P1272" s="11">
        <v>0</v>
      </c>
      <c r="Q1272" s="11" t="s">
        <v>6632</v>
      </c>
      <c r="R1272" s="14" t="s">
        <v>6633</v>
      </c>
      <c r="S1272" s="11">
        <v>156</v>
      </c>
      <c r="T1272" s="11" t="s">
        <v>39</v>
      </c>
      <c r="U1272" s="11" t="s">
        <v>40</v>
      </c>
      <c r="V1272" s="11" t="s">
        <v>41</v>
      </c>
      <c r="W1272" s="11">
        <v>40000000</v>
      </c>
      <c r="X1272" s="11">
        <v>2010</v>
      </c>
      <c r="Y1272" s="11">
        <v>117</v>
      </c>
      <c r="Z1272" s="11">
        <v>6.5</v>
      </c>
      <c r="AA1272" s="11">
        <v>2.35</v>
      </c>
      <c r="AB1272" s="11">
        <v>0</v>
      </c>
      <c r="AC1272" s="11"/>
      <c r="AD1272" s="11" t="str">
        <f>IFERROR(__xludf.DUMMYFUNCTION("""COMPUTED_VALUE"""),"Nate Richert")</f>
        <v>Nate Richert</v>
      </c>
      <c r="AE1272" s="11"/>
    </row>
    <row r="1273" customHeight="1" spans="1:31">
      <c r="A1273" s="12" t="s">
        <v>30</v>
      </c>
      <c r="B1273" s="12" t="s">
        <v>5424</v>
      </c>
      <c r="C1273" s="12">
        <v>98</v>
      </c>
      <c r="D1273" s="12">
        <v>117</v>
      </c>
      <c r="E1273" s="12">
        <v>260</v>
      </c>
      <c r="F1273" s="12">
        <v>441</v>
      </c>
      <c r="G1273" s="12">
        <v>1000</v>
      </c>
      <c r="H1273" s="12">
        <v>30981850</v>
      </c>
      <c r="I1273" s="12" t="s">
        <v>6634</v>
      </c>
      <c r="J1273" s="12" t="s">
        <v>3526</v>
      </c>
      <c r="K1273" s="12" t="s">
        <v>5083</v>
      </c>
      <c r="L1273" s="12" t="s">
        <v>2198</v>
      </c>
      <c r="M1273" s="12" t="s">
        <v>6635</v>
      </c>
      <c r="N1273" s="12">
        <v>35834</v>
      </c>
      <c r="O1273" s="12">
        <v>3969</v>
      </c>
      <c r="P1273" s="12">
        <v>0</v>
      </c>
      <c r="Q1273" s="12" t="s">
        <v>6636</v>
      </c>
      <c r="R1273" s="15" t="s">
        <v>6637</v>
      </c>
      <c r="S1273" s="12">
        <v>284</v>
      </c>
      <c r="T1273" s="12" t="s">
        <v>39</v>
      </c>
      <c r="U1273" s="12" t="s">
        <v>40</v>
      </c>
      <c r="V1273" s="12" t="s">
        <v>586</v>
      </c>
      <c r="W1273" s="12">
        <v>40000000</v>
      </c>
      <c r="X1273" s="12">
        <v>2005</v>
      </c>
      <c r="Y1273" s="12">
        <v>1000</v>
      </c>
      <c r="Z1273" s="12">
        <v>5</v>
      </c>
      <c r="AA1273" s="12">
        <v>2.35</v>
      </c>
      <c r="AB1273" s="12">
        <v>0</v>
      </c>
      <c r="AC1273" s="12"/>
      <c r="AD1273" s="12" t="str">
        <f>IFERROR(__xludf.DUMMYFUNCTION("""COMPUTED_VALUE"""),"Soleil Moon Frye")</f>
        <v>Soleil Moon Frye</v>
      </c>
      <c r="AE1273" s="12"/>
    </row>
    <row r="1274" customHeight="1" spans="1:31">
      <c r="A1274" s="11" t="s">
        <v>30</v>
      </c>
      <c r="B1274" s="11" t="s">
        <v>6638</v>
      </c>
      <c r="C1274" s="11">
        <v>110</v>
      </c>
      <c r="D1274" s="11">
        <v>116</v>
      </c>
      <c r="E1274" s="11">
        <v>18</v>
      </c>
      <c r="F1274" s="11">
        <v>249</v>
      </c>
      <c r="G1274" s="11">
        <v>2000</v>
      </c>
      <c r="H1274" s="11">
        <v>30199105</v>
      </c>
      <c r="I1274" s="11" t="s">
        <v>3336</v>
      </c>
      <c r="J1274" s="11" t="s">
        <v>3008</v>
      </c>
      <c r="K1274" s="11" t="s">
        <v>589</v>
      </c>
      <c r="L1274" s="11" t="s">
        <v>6639</v>
      </c>
      <c r="M1274" s="11" t="s">
        <v>6640</v>
      </c>
      <c r="N1274" s="11">
        <v>25346</v>
      </c>
      <c r="O1274" s="11">
        <v>3753</v>
      </c>
      <c r="P1274" s="11">
        <v>0</v>
      </c>
      <c r="Q1274" s="11" t="s">
        <v>6641</v>
      </c>
      <c r="R1274" s="14" t="s">
        <v>6642</v>
      </c>
      <c r="S1274" s="11">
        <v>167</v>
      </c>
      <c r="T1274" s="11" t="s">
        <v>39</v>
      </c>
      <c r="U1274" s="11" t="s">
        <v>40</v>
      </c>
      <c r="V1274" s="11" t="s">
        <v>586</v>
      </c>
      <c r="W1274" s="11">
        <v>40000000</v>
      </c>
      <c r="X1274" s="11">
        <v>2000</v>
      </c>
      <c r="Y1274" s="11">
        <v>1000</v>
      </c>
      <c r="Z1274" s="11">
        <v>5.7</v>
      </c>
      <c r="AA1274" s="11">
        <v>2.35</v>
      </c>
      <c r="AB1274" s="11">
        <v>470</v>
      </c>
      <c r="AC1274" s="11"/>
      <c r="AD1274" s="11" t="str">
        <f>IFERROR(__xludf.DUMMYFUNCTION("""COMPUTED_VALUE"""),"Caroline Rhea")</f>
        <v>Caroline Rhea</v>
      </c>
      <c r="AE1274" s="11"/>
    </row>
    <row r="1275" customHeight="1" spans="1:31">
      <c r="A1275" s="12" t="s">
        <v>30</v>
      </c>
      <c r="B1275" s="12" t="s">
        <v>1253</v>
      </c>
      <c r="C1275" s="12">
        <v>146</v>
      </c>
      <c r="D1275" s="12">
        <v>135</v>
      </c>
      <c r="E1275" s="12">
        <v>0</v>
      </c>
      <c r="F1275" s="12">
        <v>715</v>
      </c>
      <c r="G1275" s="12">
        <v>3000</v>
      </c>
      <c r="H1275" s="12">
        <v>29077547</v>
      </c>
      <c r="I1275" s="12" t="s">
        <v>2850</v>
      </c>
      <c r="J1275" s="12" t="s">
        <v>984</v>
      </c>
      <c r="K1275" s="12" t="s">
        <v>6643</v>
      </c>
      <c r="L1275" s="12" t="s">
        <v>6644</v>
      </c>
      <c r="M1275" s="12" t="s">
        <v>6645</v>
      </c>
      <c r="N1275" s="12">
        <v>41685</v>
      </c>
      <c r="O1275" s="12">
        <v>5917</v>
      </c>
      <c r="P1275" s="12">
        <v>1</v>
      </c>
      <c r="Q1275" s="12" t="s">
        <v>6646</v>
      </c>
      <c r="R1275" s="15" t="s">
        <v>6647</v>
      </c>
      <c r="S1275" s="12">
        <v>754</v>
      </c>
      <c r="T1275" s="12" t="s">
        <v>39</v>
      </c>
      <c r="U1275" s="12" t="s">
        <v>40</v>
      </c>
      <c r="V1275" s="12" t="s">
        <v>41</v>
      </c>
      <c r="W1275" s="12">
        <v>40000000</v>
      </c>
      <c r="X1275" s="12">
        <v>2005</v>
      </c>
      <c r="Y1275" s="12">
        <v>1000</v>
      </c>
      <c r="Z1275" s="12">
        <v>7</v>
      </c>
      <c r="AA1275" s="12">
        <v>2.35</v>
      </c>
      <c r="AB1275" s="12">
        <v>3000</v>
      </c>
      <c r="AC1275" s="12"/>
      <c r="AD1275" s="12" t="str">
        <f>IFERROR(__xludf.DUMMYFUNCTION("""COMPUTED_VALUE"""),"Willie Garson")</f>
        <v>Willie Garson</v>
      </c>
      <c r="AE1275" s="12"/>
    </row>
    <row r="1276" customHeight="1" spans="1:31">
      <c r="A1276" s="11" t="s">
        <v>30</v>
      </c>
      <c r="B1276" s="11" t="s">
        <v>1758</v>
      </c>
      <c r="C1276" s="11">
        <v>100</v>
      </c>
      <c r="D1276" s="11">
        <v>107</v>
      </c>
      <c r="E1276" s="11">
        <v>55</v>
      </c>
      <c r="F1276" s="11">
        <v>294</v>
      </c>
      <c r="G1276" s="11">
        <v>3000</v>
      </c>
      <c r="H1276" s="11">
        <v>29374178</v>
      </c>
      <c r="I1276" s="11" t="s">
        <v>6648</v>
      </c>
      <c r="J1276" s="11" t="s">
        <v>1816</v>
      </c>
      <c r="K1276" s="11" t="s">
        <v>6649</v>
      </c>
      <c r="L1276" s="11" t="s">
        <v>6650</v>
      </c>
      <c r="M1276" s="11" t="s">
        <v>6651</v>
      </c>
      <c r="N1276" s="11">
        <v>12093</v>
      </c>
      <c r="O1276" s="11">
        <v>4565</v>
      </c>
      <c r="P1276" s="11">
        <v>0</v>
      </c>
      <c r="Q1276" s="11" t="s">
        <v>6652</v>
      </c>
      <c r="R1276" s="14" t="s">
        <v>6653</v>
      </c>
      <c r="S1276" s="11">
        <v>188</v>
      </c>
      <c r="T1276" s="11" t="s">
        <v>39</v>
      </c>
      <c r="U1276" s="11" t="s">
        <v>40</v>
      </c>
      <c r="V1276" s="11" t="s">
        <v>586</v>
      </c>
      <c r="W1276" s="11">
        <v>40000000</v>
      </c>
      <c r="X1276" s="11">
        <v>2000</v>
      </c>
      <c r="Y1276" s="11">
        <v>941</v>
      </c>
      <c r="Z1276" s="11">
        <v>5.1</v>
      </c>
      <c r="AA1276" s="11">
        <v>2.35</v>
      </c>
      <c r="AB1276" s="11">
        <v>394</v>
      </c>
      <c r="AC1276" s="11"/>
      <c r="AD1276" s="11" t="str">
        <f>IFERROR(__xludf.DUMMYFUNCTION("""COMPUTED_VALUE"""),"Taylor Negron")</f>
        <v>Taylor Negron</v>
      </c>
      <c r="AE1276" s="11"/>
    </row>
    <row r="1277" customHeight="1" spans="1:31">
      <c r="A1277" s="12" t="s">
        <v>30</v>
      </c>
      <c r="B1277" s="12" t="s">
        <v>4592</v>
      </c>
      <c r="C1277" s="12">
        <v>62</v>
      </c>
      <c r="D1277" s="12">
        <v>90</v>
      </c>
      <c r="E1277" s="12">
        <v>39</v>
      </c>
      <c r="F1277" s="12">
        <v>210</v>
      </c>
      <c r="G1277" s="12">
        <v>607</v>
      </c>
      <c r="H1277" s="12">
        <v>28535768</v>
      </c>
      <c r="I1277" s="12" t="s">
        <v>1672</v>
      </c>
      <c r="J1277" s="12" t="s">
        <v>4145</v>
      </c>
      <c r="K1277" s="12" t="s">
        <v>6654</v>
      </c>
      <c r="L1277" s="12" t="s">
        <v>6655</v>
      </c>
      <c r="M1277" s="12" t="s">
        <v>6656</v>
      </c>
      <c r="N1277" s="12">
        <v>10446</v>
      </c>
      <c r="O1277" s="12">
        <v>1335</v>
      </c>
      <c r="P1277" s="12">
        <v>2</v>
      </c>
      <c r="Q1277" s="12" t="s">
        <v>6657</v>
      </c>
      <c r="R1277" s="15" t="s">
        <v>6658</v>
      </c>
      <c r="S1277" s="12">
        <v>105</v>
      </c>
      <c r="T1277" s="12" t="s">
        <v>39</v>
      </c>
      <c r="U1277" s="12" t="s">
        <v>40</v>
      </c>
      <c r="V1277" s="12" t="s">
        <v>41</v>
      </c>
      <c r="W1277" s="12">
        <v>40000000</v>
      </c>
      <c r="X1277" s="12">
        <v>1999</v>
      </c>
      <c r="Y1277" s="12">
        <v>322</v>
      </c>
      <c r="Z1277" s="12">
        <v>5.3</v>
      </c>
      <c r="AA1277" s="12">
        <v>1.85</v>
      </c>
      <c r="AB1277" s="12">
        <v>279</v>
      </c>
      <c r="AC1277" s="12"/>
      <c r="AD1277" s="12" t="str">
        <f>IFERROR(__xludf.DUMMYFUNCTION("""COMPUTED_VALUE"""),"Kurtwood Smith")</f>
        <v>Kurtwood Smith</v>
      </c>
      <c r="AE1277" s="12"/>
    </row>
    <row r="1278" customHeight="1" spans="1:31">
      <c r="A1278" s="11" t="s">
        <v>30</v>
      </c>
      <c r="B1278" s="11" t="s">
        <v>4713</v>
      </c>
      <c r="C1278" s="11">
        <v>70</v>
      </c>
      <c r="D1278" s="11">
        <v>99</v>
      </c>
      <c r="E1278" s="11">
        <v>287</v>
      </c>
      <c r="F1278" s="11">
        <v>44</v>
      </c>
      <c r="G1278" s="11">
        <v>10000</v>
      </c>
      <c r="H1278" s="11">
        <v>27663982</v>
      </c>
      <c r="I1278" s="11" t="s">
        <v>4333</v>
      </c>
      <c r="J1278" s="11" t="s">
        <v>121</v>
      </c>
      <c r="K1278" s="11" t="s">
        <v>316</v>
      </c>
      <c r="L1278" s="11" t="s">
        <v>6659</v>
      </c>
      <c r="M1278" s="11" t="s">
        <v>6660</v>
      </c>
      <c r="N1278" s="11">
        <v>26051</v>
      </c>
      <c r="O1278" s="11">
        <v>10469</v>
      </c>
      <c r="P1278" s="11">
        <v>2</v>
      </c>
      <c r="Q1278" s="11" t="s">
        <v>6661</v>
      </c>
      <c r="R1278" s="14" t="s">
        <v>6662</v>
      </c>
      <c r="S1278" s="11">
        <v>164</v>
      </c>
      <c r="T1278" s="11" t="s">
        <v>39</v>
      </c>
      <c r="U1278" s="11" t="s">
        <v>40</v>
      </c>
      <c r="V1278" s="11" t="s">
        <v>41</v>
      </c>
      <c r="W1278" s="11">
        <v>40000000</v>
      </c>
      <c r="X1278" s="11">
        <v>1996</v>
      </c>
      <c r="Y1278" s="11">
        <v>368</v>
      </c>
      <c r="Z1278" s="11">
        <v>4.4</v>
      </c>
      <c r="AA1278" s="11">
        <v>2.35</v>
      </c>
      <c r="AB1278" s="11">
        <v>0</v>
      </c>
      <c r="AC1278" s="11"/>
      <c r="AD1278" s="11" t="str">
        <f>IFERROR(__xludf.DUMMYFUNCTION("""COMPUTED_VALUE"""),"Richard Crenna")</f>
        <v>Richard Crenna</v>
      </c>
      <c r="AE1278" s="11"/>
    </row>
    <row r="1279" customHeight="1" spans="1:31">
      <c r="A1279" s="12" t="s">
        <v>30</v>
      </c>
      <c r="B1279" s="12" t="s">
        <v>1820</v>
      </c>
      <c r="C1279" s="12">
        <v>107</v>
      </c>
      <c r="D1279" s="12">
        <v>104</v>
      </c>
      <c r="E1279" s="12">
        <v>0</v>
      </c>
      <c r="F1279" s="12">
        <v>327</v>
      </c>
      <c r="G1279" s="12">
        <v>964</v>
      </c>
      <c r="H1279" s="12">
        <v>27053815</v>
      </c>
      <c r="I1279" s="12" t="s">
        <v>81</v>
      </c>
      <c r="J1279" s="12" t="s">
        <v>6663</v>
      </c>
      <c r="K1279" s="12" t="s">
        <v>6664</v>
      </c>
      <c r="L1279" s="12" t="s">
        <v>3459</v>
      </c>
      <c r="M1279" s="12" t="s">
        <v>6665</v>
      </c>
      <c r="N1279" s="12">
        <v>12856</v>
      </c>
      <c r="O1279" s="12">
        <v>2888</v>
      </c>
      <c r="P1279" s="12">
        <v>0</v>
      </c>
      <c r="Q1279" s="12" t="s">
        <v>6666</v>
      </c>
      <c r="R1279" s="15" t="s">
        <v>6667</v>
      </c>
      <c r="S1279" s="12">
        <v>291</v>
      </c>
      <c r="T1279" s="12" t="s">
        <v>39</v>
      </c>
      <c r="U1279" s="12" t="s">
        <v>768</v>
      </c>
      <c r="V1279" s="12" t="s">
        <v>41</v>
      </c>
      <c r="W1279" s="12">
        <v>40000000</v>
      </c>
      <c r="X1279" s="12">
        <v>2001</v>
      </c>
      <c r="Y1279" s="12">
        <v>931</v>
      </c>
      <c r="Z1279" s="12">
        <v>4.7</v>
      </c>
      <c r="AA1279" s="12">
        <v>2.35</v>
      </c>
      <c r="AB1279" s="12">
        <v>299</v>
      </c>
      <c r="AC1279" s="12"/>
      <c r="AD1279" s="12" t="str">
        <f>IFERROR(__xludf.DUMMYFUNCTION("""COMPUTED_VALUE"""),"Robert Baker")</f>
        <v>Robert Baker</v>
      </c>
      <c r="AE1279" s="12"/>
    </row>
    <row r="1280" customHeight="1" spans="1:31">
      <c r="A1280" s="11" t="s">
        <v>30</v>
      </c>
      <c r="B1280" s="11" t="s">
        <v>6668</v>
      </c>
      <c r="C1280" s="11">
        <v>169</v>
      </c>
      <c r="D1280" s="11">
        <v>115</v>
      </c>
      <c r="E1280" s="11">
        <v>56</v>
      </c>
      <c r="F1280" s="11">
        <v>19000</v>
      </c>
      <c r="G1280" s="11">
        <v>20000</v>
      </c>
      <c r="H1280" s="11">
        <v>26814957</v>
      </c>
      <c r="I1280" s="11" t="s">
        <v>6113</v>
      </c>
      <c r="J1280" s="11" t="s">
        <v>842</v>
      </c>
      <c r="K1280" s="11" t="s">
        <v>100</v>
      </c>
      <c r="L1280" s="11" t="s">
        <v>353</v>
      </c>
      <c r="M1280" s="11" t="s">
        <v>6669</v>
      </c>
      <c r="N1280" s="11">
        <v>84357</v>
      </c>
      <c r="O1280" s="11">
        <v>77823</v>
      </c>
      <c r="P1280" s="11">
        <v>3</v>
      </c>
      <c r="Q1280" s="11" t="s">
        <v>6670</v>
      </c>
      <c r="R1280" s="14" t="s">
        <v>6671</v>
      </c>
      <c r="S1280" s="11">
        <v>252</v>
      </c>
      <c r="T1280" s="11" t="s">
        <v>39</v>
      </c>
      <c r="U1280" s="11" t="s">
        <v>58</v>
      </c>
      <c r="V1280" s="11" t="s">
        <v>41</v>
      </c>
      <c r="W1280" s="11">
        <v>35000000</v>
      </c>
      <c r="X1280" s="11">
        <v>2008</v>
      </c>
      <c r="Y1280" s="11">
        <v>19000</v>
      </c>
      <c r="Z1280" s="11">
        <v>6.7</v>
      </c>
      <c r="AA1280" s="11">
        <v>1.85</v>
      </c>
      <c r="AB1280" s="11">
        <v>0</v>
      </c>
      <c r="AC1280" s="11"/>
      <c r="AD1280" s="11" t="str">
        <f>IFERROR(__xludf.DUMMYFUNCTION("""COMPUTED_VALUE"""),"Malcolm Goodwin")</f>
        <v>Malcolm Goodwin</v>
      </c>
      <c r="AE1280" s="11"/>
    </row>
    <row r="1281" customHeight="1" spans="1:31">
      <c r="A1281" s="12" t="s">
        <v>30</v>
      </c>
      <c r="B1281" s="12" t="s">
        <v>6672</v>
      </c>
      <c r="C1281" s="12">
        <v>94</v>
      </c>
      <c r="D1281" s="12">
        <v>119</v>
      </c>
      <c r="E1281" s="12">
        <v>7</v>
      </c>
      <c r="F1281" s="12">
        <v>903</v>
      </c>
      <c r="G1281" s="12">
        <v>18000</v>
      </c>
      <c r="H1281" s="12">
        <v>25178165</v>
      </c>
      <c r="I1281" s="12" t="s">
        <v>214</v>
      </c>
      <c r="J1281" s="12" t="s">
        <v>588</v>
      </c>
      <c r="K1281" s="12" t="s">
        <v>778</v>
      </c>
      <c r="L1281" s="12" t="s">
        <v>122</v>
      </c>
      <c r="M1281" s="12" t="s">
        <v>6673</v>
      </c>
      <c r="N1281" s="12">
        <v>70292</v>
      </c>
      <c r="O1281" s="12">
        <v>29484</v>
      </c>
      <c r="P1281" s="12">
        <v>1</v>
      </c>
      <c r="Q1281" s="12" t="s">
        <v>6674</v>
      </c>
      <c r="R1281" s="15" t="s">
        <v>6675</v>
      </c>
      <c r="S1281" s="12">
        <v>274</v>
      </c>
      <c r="T1281" s="12" t="s">
        <v>39</v>
      </c>
      <c r="U1281" s="12" t="s">
        <v>40</v>
      </c>
      <c r="V1281" s="12" t="s">
        <v>41</v>
      </c>
      <c r="W1281" s="12">
        <v>40000000</v>
      </c>
      <c r="X1281" s="12">
        <v>2001</v>
      </c>
      <c r="Y1281" s="12">
        <v>9000</v>
      </c>
      <c r="Z1281" s="12">
        <v>6.7</v>
      </c>
      <c r="AA1281" s="12">
        <v>1.85</v>
      </c>
      <c r="AB1281" s="12">
        <v>8000</v>
      </c>
      <c r="AC1281" s="12"/>
      <c r="AD1281" s="12" t="str">
        <f>IFERROR(__xludf.DUMMYFUNCTION("""COMPUTED_VALUE"""),"Matt Bushell")</f>
        <v>Matt Bushell</v>
      </c>
      <c r="AE1281" s="12"/>
    </row>
    <row r="1282" customHeight="1" spans="1:31">
      <c r="A1282" s="11" t="s">
        <v>30</v>
      </c>
      <c r="B1282" s="11" t="s">
        <v>2723</v>
      </c>
      <c r="C1282" s="11">
        <v>190</v>
      </c>
      <c r="D1282" s="11">
        <v>99</v>
      </c>
      <c r="E1282" s="11">
        <v>81</v>
      </c>
      <c r="F1282" s="11">
        <v>135</v>
      </c>
      <c r="G1282" s="11">
        <v>327</v>
      </c>
      <c r="H1282" s="11">
        <v>25117498</v>
      </c>
      <c r="I1282" s="11" t="s">
        <v>5544</v>
      </c>
      <c r="J1282" s="11" t="s">
        <v>3459</v>
      </c>
      <c r="K1282" s="11" t="s">
        <v>6676</v>
      </c>
      <c r="L1282" s="11" t="s">
        <v>6677</v>
      </c>
      <c r="M1282" s="11" t="s">
        <v>6678</v>
      </c>
      <c r="N1282" s="11">
        <v>37412</v>
      </c>
      <c r="O1282" s="11">
        <v>960</v>
      </c>
      <c r="P1282" s="11">
        <v>0</v>
      </c>
      <c r="Q1282" s="11" t="s">
        <v>6679</v>
      </c>
      <c r="R1282" s="14" t="s">
        <v>6680</v>
      </c>
      <c r="S1282" s="11">
        <v>178</v>
      </c>
      <c r="T1282" s="11" t="s">
        <v>39</v>
      </c>
      <c r="U1282" s="11" t="s">
        <v>40</v>
      </c>
      <c r="V1282" s="11" t="s">
        <v>586</v>
      </c>
      <c r="W1282" s="11">
        <v>40000000</v>
      </c>
      <c r="X1282" s="11">
        <v>2007</v>
      </c>
      <c r="Y1282" s="11">
        <v>253</v>
      </c>
      <c r="Z1282" s="11">
        <v>5.7</v>
      </c>
      <c r="AA1282" s="11">
        <v>2.35</v>
      </c>
      <c r="AB1282" s="11">
        <v>0</v>
      </c>
      <c r="AC1282" s="11"/>
      <c r="AD1282" s="11" t="str">
        <f>IFERROR(__xludf.DUMMYFUNCTION("""COMPUTED_VALUE"""),"Kim Shaw")</f>
        <v>Kim Shaw</v>
      </c>
      <c r="AE1282" s="11"/>
    </row>
    <row r="1283" customHeight="1" spans="1:31">
      <c r="A1283" s="12" t="s">
        <v>30</v>
      </c>
      <c r="B1283" s="12" t="s">
        <v>488</v>
      </c>
      <c r="C1283" s="12">
        <v>112</v>
      </c>
      <c r="D1283" s="12">
        <v>112</v>
      </c>
      <c r="E1283" s="12">
        <v>17000</v>
      </c>
      <c r="F1283" s="12">
        <v>354</v>
      </c>
      <c r="G1283" s="12">
        <v>22000</v>
      </c>
      <c r="H1283" s="12">
        <v>32645</v>
      </c>
      <c r="I1283" s="12" t="s">
        <v>5275</v>
      </c>
      <c r="J1283" s="12" t="s">
        <v>1746</v>
      </c>
      <c r="K1283" s="12" t="s">
        <v>4647</v>
      </c>
      <c r="L1283" s="12" t="s">
        <v>6681</v>
      </c>
      <c r="M1283" s="12" t="s">
        <v>6682</v>
      </c>
      <c r="N1283" s="12">
        <v>67797</v>
      </c>
      <c r="O1283" s="12">
        <v>23737</v>
      </c>
      <c r="P1283" s="12">
        <v>0</v>
      </c>
      <c r="Q1283" s="12" t="s">
        <v>6683</v>
      </c>
      <c r="R1283" s="15" t="s">
        <v>6684</v>
      </c>
      <c r="S1283" s="12">
        <v>223</v>
      </c>
      <c r="T1283" s="12" t="s">
        <v>39</v>
      </c>
      <c r="U1283" s="12" t="s">
        <v>40</v>
      </c>
      <c r="V1283" s="12" t="s">
        <v>586</v>
      </c>
      <c r="W1283" s="12">
        <v>500000</v>
      </c>
      <c r="X1283" s="12">
        <v>1973</v>
      </c>
      <c r="Y1283" s="12">
        <v>926</v>
      </c>
      <c r="Z1283" s="12">
        <v>7.4</v>
      </c>
      <c r="AA1283" s="12">
        <v>1.85</v>
      </c>
      <c r="AB1283" s="12">
        <v>0</v>
      </c>
      <c r="AC1283" s="12"/>
      <c r="AD1283" s="12" t="str">
        <f>IFERROR(__xludf.DUMMYFUNCTION("""COMPUTED_VALUE"""),"Kevin Brown")</f>
        <v>Kevin Brown</v>
      </c>
      <c r="AE1283" s="12"/>
    </row>
    <row r="1284" customHeight="1" spans="1:31">
      <c r="A1284" s="11" t="s">
        <v>30</v>
      </c>
      <c r="B1284" s="11" t="s">
        <v>5625</v>
      </c>
      <c r="C1284" s="11">
        <v>12</v>
      </c>
      <c r="D1284" s="11">
        <v>128</v>
      </c>
      <c r="E1284" s="11">
        <v>545</v>
      </c>
      <c r="F1284" s="11">
        <v>353</v>
      </c>
      <c r="G1284" s="11">
        <v>783</v>
      </c>
      <c r="H1284" s="11">
        <v>24332324</v>
      </c>
      <c r="I1284" s="11" t="s">
        <v>2528</v>
      </c>
      <c r="J1284" s="11" t="s">
        <v>972</v>
      </c>
      <c r="K1284" s="11" t="s">
        <v>6685</v>
      </c>
      <c r="L1284" s="11" t="s">
        <v>6686</v>
      </c>
      <c r="M1284" s="11" t="s">
        <v>6687</v>
      </c>
      <c r="N1284" s="11">
        <v>13830</v>
      </c>
      <c r="O1284" s="11">
        <v>3126</v>
      </c>
      <c r="P1284" s="11">
        <v>1</v>
      </c>
      <c r="Q1284" s="11" t="s">
        <v>6688</v>
      </c>
      <c r="R1284" s="14" t="s">
        <v>6689</v>
      </c>
      <c r="S1284" s="11">
        <v>61</v>
      </c>
      <c r="T1284" s="11" t="s">
        <v>39</v>
      </c>
      <c r="U1284" s="11" t="s">
        <v>40</v>
      </c>
      <c r="V1284" s="11" t="s">
        <v>41</v>
      </c>
      <c r="W1284" s="11">
        <v>40000000</v>
      </c>
      <c r="X1284" s="11">
        <v>1994</v>
      </c>
      <c r="Y1284" s="11">
        <v>754</v>
      </c>
      <c r="Z1284" s="11">
        <v>6.1</v>
      </c>
      <c r="AA1284" s="11">
        <v>1.85</v>
      </c>
      <c r="AB1284" s="11">
        <v>680</v>
      </c>
      <c r="AC1284" s="11"/>
      <c r="AD1284" s="11" t="str">
        <f>IFERROR(__xludf.DUMMYFUNCTION("""COMPUTED_VALUE"""),"Jessica Szohr")</f>
        <v>Jessica Szohr</v>
      </c>
      <c r="AE1284" s="11"/>
    </row>
    <row r="1285" customHeight="1" spans="1:31">
      <c r="A1285" s="12" t="s">
        <v>30</v>
      </c>
      <c r="B1285" s="12" t="s">
        <v>5590</v>
      </c>
      <c r="C1285" s="12">
        <v>201</v>
      </c>
      <c r="D1285" s="12">
        <v>112</v>
      </c>
      <c r="E1285" s="12">
        <v>118</v>
      </c>
      <c r="F1285" s="12">
        <v>674</v>
      </c>
      <c r="G1285" s="12">
        <v>877</v>
      </c>
      <c r="H1285" s="12">
        <v>36665854</v>
      </c>
      <c r="I1285" s="12" t="s">
        <v>464</v>
      </c>
      <c r="J1285" s="12" t="s">
        <v>1190</v>
      </c>
      <c r="K1285" s="12" t="s">
        <v>6690</v>
      </c>
      <c r="L1285" s="12" t="s">
        <v>6691</v>
      </c>
      <c r="M1285" s="12" t="s">
        <v>6692</v>
      </c>
      <c r="N1285" s="12">
        <v>76498</v>
      </c>
      <c r="O1285" s="12">
        <v>3432</v>
      </c>
      <c r="P1285" s="12">
        <v>0</v>
      </c>
      <c r="Q1285" s="12" t="s">
        <v>6693</v>
      </c>
      <c r="R1285" s="15" t="s">
        <v>6694</v>
      </c>
      <c r="S1285" s="12">
        <v>203</v>
      </c>
      <c r="T1285" s="12" t="s">
        <v>39</v>
      </c>
      <c r="U1285" s="12" t="s">
        <v>1466</v>
      </c>
      <c r="V1285" s="12" t="s">
        <v>41</v>
      </c>
      <c r="W1285" s="12">
        <v>40000000</v>
      </c>
      <c r="X1285" s="12">
        <v>2011</v>
      </c>
      <c r="Y1285" s="12">
        <v>738</v>
      </c>
      <c r="Z1285" s="12">
        <v>6.4</v>
      </c>
      <c r="AA1285" s="12">
        <v>2.35</v>
      </c>
      <c r="AB1285" s="12">
        <v>15000</v>
      </c>
      <c r="AC1285" s="12"/>
      <c r="AD1285" s="12" t="str">
        <f>IFERROR(__xludf.DUMMYFUNCTION("""COMPUTED_VALUE"""),"Rob Riggle")</f>
        <v>Rob Riggle</v>
      </c>
      <c r="AE1285" s="12"/>
    </row>
    <row r="1286" customHeight="1" spans="1:31">
      <c r="A1286" s="11" t="s">
        <v>30</v>
      </c>
      <c r="B1286" s="11" t="s">
        <v>6695</v>
      </c>
      <c r="C1286" s="11">
        <v>34</v>
      </c>
      <c r="D1286" s="11">
        <v>86</v>
      </c>
      <c r="E1286" s="11">
        <v>7</v>
      </c>
      <c r="F1286" s="11">
        <v>795</v>
      </c>
      <c r="G1286" s="11">
        <v>10000</v>
      </c>
      <c r="H1286" s="11">
        <v>22717758</v>
      </c>
      <c r="I1286" s="11" t="s">
        <v>6696</v>
      </c>
      <c r="J1286" s="11" t="s">
        <v>440</v>
      </c>
      <c r="K1286" s="11" t="s">
        <v>6697</v>
      </c>
      <c r="L1286" s="11" t="s">
        <v>724</v>
      </c>
      <c r="M1286" s="11" t="s">
        <v>6698</v>
      </c>
      <c r="N1286" s="11">
        <v>11156</v>
      </c>
      <c r="O1286" s="11">
        <v>14275</v>
      </c>
      <c r="P1286" s="11">
        <v>0</v>
      </c>
      <c r="Q1286" s="11" t="s">
        <v>6699</v>
      </c>
      <c r="R1286" s="14" t="s">
        <v>6700</v>
      </c>
      <c r="S1286" s="11">
        <v>67</v>
      </c>
      <c r="T1286" s="11" t="s">
        <v>39</v>
      </c>
      <c r="U1286" s="11" t="s">
        <v>40</v>
      </c>
      <c r="V1286" s="11" t="s">
        <v>278</v>
      </c>
      <c r="W1286" s="11">
        <v>40000000</v>
      </c>
      <c r="X1286" s="11">
        <v>1998</v>
      </c>
      <c r="Y1286" s="11">
        <v>908</v>
      </c>
      <c r="Z1286" s="11">
        <v>6.2</v>
      </c>
      <c r="AA1286" s="11">
        <v>1.85</v>
      </c>
      <c r="AB1286" s="11">
        <v>0</v>
      </c>
      <c r="AC1286" s="11"/>
      <c r="AD1286" s="11" t="str">
        <f>IFERROR(__xludf.DUMMYFUNCTION("""COMPUTED_VALUE"""),"Shawn Roberts")</f>
        <v>Shawn Roberts</v>
      </c>
      <c r="AE1286" s="11"/>
    </row>
    <row r="1287" customHeight="1" spans="1:31">
      <c r="A1287" s="12" t="s">
        <v>30</v>
      </c>
      <c r="B1287" s="12" t="s">
        <v>3517</v>
      </c>
      <c r="C1287" s="12">
        <v>104</v>
      </c>
      <c r="D1287" s="12">
        <v>108</v>
      </c>
      <c r="E1287" s="12">
        <v>105</v>
      </c>
      <c r="F1287" s="12">
        <v>616</v>
      </c>
      <c r="G1287" s="12">
        <v>22000</v>
      </c>
      <c r="H1287" s="12">
        <v>22433915</v>
      </c>
      <c r="I1287" s="12" t="s">
        <v>2142</v>
      </c>
      <c r="J1287" s="12" t="s">
        <v>1746</v>
      </c>
      <c r="K1287" s="12" t="s">
        <v>83</v>
      </c>
      <c r="L1287" s="12" t="s">
        <v>6701</v>
      </c>
      <c r="M1287" s="12" t="s">
        <v>6702</v>
      </c>
      <c r="N1287" s="12">
        <v>21319</v>
      </c>
      <c r="O1287" s="12">
        <v>34377</v>
      </c>
      <c r="P1287" s="12">
        <v>1</v>
      </c>
      <c r="Q1287" s="12" t="s">
        <v>6703</v>
      </c>
      <c r="R1287" s="15" t="s">
        <v>6704</v>
      </c>
      <c r="S1287" s="12">
        <v>166</v>
      </c>
      <c r="T1287" s="12" t="s">
        <v>39</v>
      </c>
      <c r="U1287" s="12" t="s">
        <v>40</v>
      </c>
      <c r="V1287" s="12" t="s">
        <v>586</v>
      </c>
      <c r="W1287" s="12">
        <v>60000000</v>
      </c>
      <c r="X1287" s="12">
        <v>2002</v>
      </c>
      <c r="Y1287" s="12">
        <v>11000</v>
      </c>
      <c r="Z1287" s="12">
        <v>6.2</v>
      </c>
      <c r="AA1287" s="12">
        <v>2.35</v>
      </c>
      <c r="AB1287" s="12">
        <v>416</v>
      </c>
      <c r="AC1287" s="12"/>
      <c r="AD1287" s="12" t="str">
        <f>IFERROR(__xludf.DUMMYFUNCTION("""COMPUTED_VALUE"""),"Nate Parker")</f>
        <v>Nate Parker</v>
      </c>
      <c r="AE1287" s="12"/>
    </row>
    <row r="1288" customHeight="1" spans="1:31">
      <c r="A1288" s="11" t="s">
        <v>748</v>
      </c>
      <c r="B1288" s="11" t="s">
        <v>6705</v>
      </c>
      <c r="C1288" s="11">
        <v>55</v>
      </c>
      <c r="D1288" s="11">
        <v>128</v>
      </c>
      <c r="E1288" s="11">
        <v>34</v>
      </c>
      <c r="F1288" s="11">
        <v>685</v>
      </c>
      <c r="G1288" s="11">
        <v>978</v>
      </c>
      <c r="H1288" s="11">
        <v>22326247</v>
      </c>
      <c r="I1288" s="11" t="s">
        <v>214</v>
      </c>
      <c r="J1288" s="11" t="s">
        <v>6706</v>
      </c>
      <c r="K1288" s="11" t="s">
        <v>1385</v>
      </c>
      <c r="L1288" s="11" t="s">
        <v>6707</v>
      </c>
      <c r="M1288" s="11" t="s">
        <v>6708</v>
      </c>
      <c r="N1288" s="11">
        <v>11232</v>
      </c>
      <c r="O1288" s="11">
        <v>3821</v>
      </c>
      <c r="P1288" s="11">
        <v>1</v>
      </c>
      <c r="Q1288" s="11" t="s">
        <v>6709</v>
      </c>
      <c r="R1288" s="14" t="s">
        <v>6710</v>
      </c>
      <c r="S1288" s="11">
        <v>106</v>
      </c>
      <c r="T1288" s="11" t="s">
        <v>39</v>
      </c>
      <c r="U1288" s="11" t="s">
        <v>40</v>
      </c>
      <c r="V1288" s="11" t="s">
        <v>41</v>
      </c>
      <c r="W1288" s="11">
        <v>60000000</v>
      </c>
      <c r="X1288" s="11">
        <v>1999</v>
      </c>
      <c r="Y1288" s="11">
        <v>886</v>
      </c>
      <c r="Z1288" s="11">
        <v>5.9</v>
      </c>
      <c r="AA1288" s="11">
        <v>1.85</v>
      </c>
      <c r="AB1288" s="11">
        <v>0</v>
      </c>
      <c r="AC1288" s="11"/>
      <c r="AD1288" s="11" t="str">
        <f>IFERROR(__xludf.DUMMYFUNCTION("""COMPUTED_VALUE"""),"Tristan Mack Wilds")</f>
        <v>Tristan Mack Wilds</v>
      </c>
      <c r="AE1288" s="11"/>
    </row>
    <row r="1289" customHeight="1" spans="1:31">
      <c r="A1289" s="12" t="s">
        <v>30</v>
      </c>
      <c r="B1289" s="12" t="s">
        <v>6711</v>
      </c>
      <c r="C1289" s="12">
        <v>86</v>
      </c>
      <c r="D1289" s="12">
        <v>84</v>
      </c>
      <c r="E1289" s="12">
        <v>33</v>
      </c>
      <c r="F1289" s="12">
        <v>1000</v>
      </c>
      <c r="G1289" s="12">
        <v>1000</v>
      </c>
      <c r="H1289" s="12">
        <v>21176322</v>
      </c>
      <c r="I1289" s="12" t="s">
        <v>1753</v>
      </c>
      <c r="J1289" s="12" t="s">
        <v>6712</v>
      </c>
      <c r="K1289" s="12" t="s">
        <v>3715</v>
      </c>
      <c r="L1289" s="12" t="s">
        <v>3091</v>
      </c>
      <c r="M1289" s="12" t="s">
        <v>6713</v>
      </c>
      <c r="N1289" s="12">
        <v>23747</v>
      </c>
      <c r="O1289" s="12">
        <v>5039</v>
      </c>
      <c r="P1289" s="12">
        <v>0</v>
      </c>
      <c r="Q1289" s="12" t="s">
        <v>6714</v>
      </c>
      <c r="R1289" s="15" t="s">
        <v>6715</v>
      </c>
      <c r="S1289" s="12">
        <v>207</v>
      </c>
      <c r="T1289" s="12" t="s">
        <v>39</v>
      </c>
      <c r="U1289" s="12" t="s">
        <v>40</v>
      </c>
      <c r="V1289" s="12" t="s">
        <v>41</v>
      </c>
      <c r="W1289" s="12">
        <v>40000000</v>
      </c>
      <c r="X1289" s="12">
        <v>2004</v>
      </c>
      <c r="Y1289" s="12">
        <v>1000</v>
      </c>
      <c r="Z1289" s="12">
        <v>4</v>
      </c>
      <c r="AA1289" s="12">
        <v>2.35</v>
      </c>
      <c r="AB1289" s="12">
        <v>0</v>
      </c>
      <c r="AC1289" s="12"/>
      <c r="AD1289" s="12" t="str">
        <f>IFERROR(__xludf.DUMMYFUNCTION("""COMPUTED_VALUE"""),"Cynthia Nixon")</f>
        <v>Cynthia Nixon</v>
      </c>
      <c r="AE1289" s="12"/>
    </row>
    <row r="1290" customHeight="1" spans="1:31">
      <c r="A1290" s="11" t="s">
        <v>30</v>
      </c>
      <c r="B1290" s="11" t="s">
        <v>4292</v>
      </c>
      <c r="C1290" s="11">
        <v>50</v>
      </c>
      <c r="D1290" s="11">
        <v>111</v>
      </c>
      <c r="E1290" s="11">
        <v>17</v>
      </c>
      <c r="F1290" s="11">
        <v>889</v>
      </c>
      <c r="G1290" s="11">
        <v>14000</v>
      </c>
      <c r="H1290" s="11">
        <v>20300000</v>
      </c>
      <c r="I1290" s="11" t="s">
        <v>4075</v>
      </c>
      <c r="J1290" s="11" t="s">
        <v>2383</v>
      </c>
      <c r="K1290" s="11" t="s">
        <v>3261</v>
      </c>
      <c r="L1290" s="11" t="s">
        <v>3179</v>
      </c>
      <c r="M1290" s="11" t="s">
        <v>6716</v>
      </c>
      <c r="N1290" s="11">
        <v>16741</v>
      </c>
      <c r="O1290" s="11">
        <v>17877</v>
      </c>
      <c r="P1290" s="11">
        <v>2</v>
      </c>
      <c r="Q1290" s="11" t="s">
        <v>6717</v>
      </c>
      <c r="R1290" s="14" t="s">
        <v>6718</v>
      </c>
      <c r="S1290" s="11">
        <v>60</v>
      </c>
      <c r="T1290" s="11" t="s">
        <v>39</v>
      </c>
      <c r="U1290" s="11" t="s">
        <v>40</v>
      </c>
      <c r="V1290" s="11" t="s">
        <v>586</v>
      </c>
      <c r="W1290" s="11">
        <v>40000000</v>
      </c>
      <c r="X1290" s="11">
        <v>1996</v>
      </c>
      <c r="Y1290" s="11">
        <v>940</v>
      </c>
      <c r="Z1290" s="11">
        <v>6.2</v>
      </c>
      <c r="AA1290" s="11">
        <v>1.85</v>
      </c>
      <c r="AB1290" s="11">
        <v>309</v>
      </c>
      <c r="AC1290" s="11"/>
      <c r="AD1290" s="11" t="str">
        <f>IFERROR(__xludf.DUMMYFUNCTION("""COMPUTED_VALUE"""),"Leighton Meester")</f>
        <v>Leighton Meester</v>
      </c>
      <c r="AE1290" s="11"/>
    </row>
    <row r="1291" customHeight="1" spans="1:31">
      <c r="A1291" s="12" t="s">
        <v>30</v>
      </c>
      <c r="B1291" s="12" t="s">
        <v>1305</v>
      </c>
      <c r="C1291" s="12">
        <v>181</v>
      </c>
      <c r="D1291" s="12">
        <v>131</v>
      </c>
      <c r="E1291" s="12">
        <v>719</v>
      </c>
      <c r="F1291" s="12">
        <v>683</v>
      </c>
      <c r="G1291" s="12">
        <v>16000</v>
      </c>
      <c r="H1291" s="12">
        <v>20302961</v>
      </c>
      <c r="I1291" s="12" t="s">
        <v>3410</v>
      </c>
      <c r="J1291" s="12" t="s">
        <v>6719</v>
      </c>
      <c r="K1291" s="12" t="s">
        <v>6720</v>
      </c>
      <c r="L1291" s="12" t="s">
        <v>6144</v>
      </c>
      <c r="M1291" s="12" t="s">
        <v>6721</v>
      </c>
      <c r="N1291" s="12">
        <v>49874</v>
      </c>
      <c r="O1291" s="12">
        <v>18913</v>
      </c>
      <c r="P1291" s="12">
        <v>0</v>
      </c>
      <c r="Q1291" s="12" t="s">
        <v>6722</v>
      </c>
      <c r="R1291" s="15" t="s">
        <v>6723</v>
      </c>
      <c r="S1291" s="12">
        <v>450</v>
      </c>
      <c r="T1291" s="12" t="s">
        <v>39</v>
      </c>
      <c r="U1291" s="12" t="s">
        <v>1466</v>
      </c>
      <c r="V1291" s="12" t="s">
        <v>6724</v>
      </c>
      <c r="W1291" s="12">
        <v>45000000</v>
      </c>
      <c r="X1291" s="12">
        <v>1995</v>
      </c>
      <c r="Y1291" s="12">
        <v>893</v>
      </c>
      <c r="Z1291" s="12">
        <v>4.6</v>
      </c>
      <c r="AA1291" s="12">
        <v>2.35</v>
      </c>
      <c r="AB1291" s="12">
        <v>0</v>
      </c>
      <c r="AC1291" s="12"/>
      <c r="AD1291" s="12" t="str">
        <f>IFERROR(__xludf.DUMMYFUNCTION("""COMPUTED_VALUE"""),"Brian Thompson")</f>
        <v>Brian Thompson</v>
      </c>
      <c r="AE1291" s="12"/>
    </row>
    <row r="1292" customHeight="1" spans="1:31">
      <c r="A1292" s="11" t="s">
        <v>30</v>
      </c>
      <c r="B1292" s="11" t="s">
        <v>6725</v>
      </c>
      <c r="C1292" s="11">
        <v>260</v>
      </c>
      <c r="D1292" s="11">
        <v>123</v>
      </c>
      <c r="E1292" s="11">
        <v>0</v>
      </c>
      <c r="F1292" s="11">
        <v>826</v>
      </c>
      <c r="G1292" s="11">
        <v>4000</v>
      </c>
      <c r="H1292" s="11">
        <v>15962471</v>
      </c>
      <c r="I1292" s="11" t="s">
        <v>6113</v>
      </c>
      <c r="J1292" s="11" t="s">
        <v>84</v>
      </c>
      <c r="K1292" s="11" t="s">
        <v>2292</v>
      </c>
      <c r="L1292" s="11" t="s">
        <v>904</v>
      </c>
      <c r="M1292" s="11" t="s">
        <v>6726</v>
      </c>
      <c r="N1292" s="11">
        <v>79892</v>
      </c>
      <c r="O1292" s="11">
        <v>7243</v>
      </c>
      <c r="P1292" s="11">
        <v>1</v>
      </c>
      <c r="Q1292" s="11" t="s">
        <v>6727</v>
      </c>
      <c r="R1292" s="14" t="s">
        <v>6728</v>
      </c>
      <c r="S1292" s="11">
        <v>619</v>
      </c>
      <c r="T1292" s="11" t="s">
        <v>39</v>
      </c>
      <c r="U1292" s="11" t="s">
        <v>40</v>
      </c>
      <c r="V1292" s="11" t="s">
        <v>41</v>
      </c>
      <c r="W1292" s="11">
        <v>40000000</v>
      </c>
      <c r="X1292" s="11">
        <v>2006</v>
      </c>
      <c r="Y1292" s="11">
        <v>887</v>
      </c>
      <c r="Z1292" s="11">
        <v>6.4</v>
      </c>
      <c r="AA1292" s="11">
        <v>1.85</v>
      </c>
      <c r="AB1292" s="11">
        <v>0</v>
      </c>
      <c r="AC1292" s="11"/>
      <c r="AD1292" s="11" t="str">
        <f>IFERROR(__xludf.DUMMYFUNCTION("""COMPUTED_VALUE"""),"Terry O'Neill")</f>
        <v>Terry O'Neill</v>
      </c>
      <c r="AE1292" s="11"/>
    </row>
    <row r="1293" customHeight="1" spans="1:31">
      <c r="A1293" s="12" t="s">
        <v>30</v>
      </c>
      <c r="B1293" s="12" t="s">
        <v>5329</v>
      </c>
      <c r="C1293" s="12">
        <v>40</v>
      </c>
      <c r="D1293" s="12">
        <v>101</v>
      </c>
      <c r="E1293" s="12">
        <v>58</v>
      </c>
      <c r="F1293" s="12">
        <v>497</v>
      </c>
      <c r="G1293" s="12">
        <v>12000</v>
      </c>
      <c r="H1293" s="12">
        <v>14942422</v>
      </c>
      <c r="I1293" s="12" t="s">
        <v>334</v>
      </c>
      <c r="J1293" s="12" t="s">
        <v>705</v>
      </c>
      <c r="K1293" s="12" t="s">
        <v>2524</v>
      </c>
      <c r="L1293" s="12" t="s">
        <v>3538</v>
      </c>
      <c r="M1293" s="12" t="s">
        <v>6729</v>
      </c>
      <c r="N1293" s="12">
        <v>14226</v>
      </c>
      <c r="O1293" s="12">
        <v>14008</v>
      </c>
      <c r="P1293" s="12">
        <v>3</v>
      </c>
      <c r="Q1293" s="12" t="s">
        <v>6730</v>
      </c>
      <c r="R1293" s="15" t="s">
        <v>6731</v>
      </c>
      <c r="S1293" s="12">
        <v>60</v>
      </c>
      <c r="T1293" s="12" t="s">
        <v>39</v>
      </c>
      <c r="U1293" s="12" t="s">
        <v>40</v>
      </c>
      <c r="V1293" s="12" t="s">
        <v>586</v>
      </c>
      <c r="W1293" s="12">
        <v>40000000</v>
      </c>
      <c r="X1293" s="12">
        <v>1995</v>
      </c>
      <c r="Y1293" s="12">
        <v>975</v>
      </c>
      <c r="Z1293" s="12">
        <v>5.9</v>
      </c>
      <c r="AA1293" s="12">
        <v>1.85</v>
      </c>
      <c r="AB1293" s="12">
        <v>555</v>
      </c>
      <c r="AC1293" s="12"/>
      <c r="AD1293" s="12" t="str">
        <f>IFERROR(__xludf.DUMMYFUNCTION("""COMPUTED_VALUE"""),"Chris Penn")</f>
        <v>Chris Penn</v>
      </c>
      <c r="AE1293" s="12"/>
    </row>
    <row r="1294" customHeight="1" spans="1:31">
      <c r="A1294" s="11" t="s">
        <v>30</v>
      </c>
      <c r="B1294" s="11" t="s">
        <v>6732</v>
      </c>
      <c r="C1294" s="11">
        <v>102</v>
      </c>
      <c r="D1294" s="11">
        <v>102</v>
      </c>
      <c r="E1294" s="11">
        <v>19</v>
      </c>
      <c r="F1294" s="11">
        <v>351</v>
      </c>
      <c r="G1294" s="11">
        <v>13000</v>
      </c>
      <c r="H1294" s="11">
        <v>14967182</v>
      </c>
      <c r="I1294" s="11" t="s">
        <v>464</v>
      </c>
      <c r="J1294" s="11" t="s">
        <v>1785</v>
      </c>
      <c r="K1294" s="11" t="s">
        <v>4770</v>
      </c>
      <c r="L1294" s="11" t="s">
        <v>6733</v>
      </c>
      <c r="M1294" s="11" t="s">
        <v>6734</v>
      </c>
      <c r="N1294" s="11">
        <v>27305</v>
      </c>
      <c r="O1294" s="11">
        <v>14463</v>
      </c>
      <c r="P1294" s="11">
        <v>1</v>
      </c>
      <c r="Q1294" s="11" t="s">
        <v>6735</v>
      </c>
      <c r="R1294" s="14" t="s">
        <v>6736</v>
      </c>
      <c r="S1294" s="11">
        <v>284</v>
      </c>
      <c r="T1294" s="11" t="s">
        <v>39</v>
      </c>
      <c r="U1294" s="11" t="s">
        <v>40</v>
      </c>
      <c r="V1294" s="11" t="s">
        <v>586</v>
      </c>
      <c r="W1294" s="11">
        <v>40000000</v>
      </c>
      <c r="X1294" s="11">
        <v>2000</v>
      </c>
      <c r="Y1294" s="11">
        <v>530</v>
      </c>
      <c r="Z1294" s="11">
        <v>5.1</v>
      </c>
      <c r="AA1294" s="11">
        <v>2.35</v>
      </c>
      <c r="AB1294" s="11">
        <v>604</v>
      </c>
      <c r="AC1294" s="11"/>
      <c r="AD1294" s="11" t="str">
        <f>IFERROR(__xludf.DUMMYFUNCTION("""COMPUTED_VALUE"""),"Spencer Wilding")</f>
        <v>Spencer Wilding</v>
      </c>
      <c r="AE1294" s="11"/>
    </row>
    <row r="1295" customHeight="1" spans="1:31">
      <c r="A1295" s="12" t="s">
        <v>30</v>
      </c>
      <c r="B1295" s="12" t="s">
        <v>6737</v>
      </c>
      <c r="C1295" s="12">
        <v>371</v>
      </c>
      <c r="D1295" s="12">
        <v>114</v>
      </c>
      <c r="E1295" s="12">
        <v>171</v>
      </c>
      <c r="F1295" s="12">
        <v>284</v>
      </c>
      <c r="G1295" s="12">
        <v>6000</v>
      </c>
      <c r="H1295" s="12">
        <v>18996755</v>
      </c>
      <c r="I1295" s="12" t="s">
        <v>4075</v>
      </c>
      <c r="J1295" s="12" t="s">
        <v>208</v>
      </c>
      <c r="K1295" s="12" t="s">
        <v>6738</v>
      </c>
      <c r="L1295" s="12" t="s">
        <v>6739</v>
      </c>
      <c r="M1295" s="12" t="s">
        <v>6740</v>
      </c>
      <c r="N1295" s="12">
        <v>145270</v>
      </c>
      <c r="O1295" s="12">
        <v>7099</v>
      </c>
      <c r="P1295" s="12">
        <v>0</v>
      </c>
      <c r="Q1295" s="12" t="s">
        <v>6741</v>
      </c>
      <c r="R1295" s="15" t="s">
        <v>6742</v>
      </c>
      <c r="S1295" s="12">
        <v>322</v>
      </c>
      <c r="T1295" s="12" t="s">
        <v>39</v>
      </c>
      <c r="U1295" s="12" t="s">
        <v>3572</v>
      </c>
      <c r="V1295" s="12" t="s">
        <v>41</v>
      </c>
      <c r="W1295" s="12">
        <v>45000000</v>
      </c>
      <c r="X1295" s="12">
        <v>2012</v>
      </c>
      <c r="Y1295" s="12">
        <v>382</v>
      </c>
      <c r="Z1295" s="12">
        <v>7.6</v>
      </c>
      <c r="AA1295" s="12">
        <v>2.35</v>
      </c>
      <c r="AB1295" s="12">
        <v>54000</v>
      </c>
      <c r="AC1295" s="12"/>
      <c r="AD1295" s="12" t="str">
        <f>IFERROR(__xludf.DUMMYFUNCTION("""COMPUTED_VALUE"""),"Christopher Lambert")</f>
        <v>Christopher Lambert</v>
      </c>
      <c r="AE1295" s="12"/>
    </row>
    <row r="1296" customHeight="1" spans="1:31">
      <c r="A1296" s="11" t="s">
        <v>30</v>
      </c>
      <c r="B1296" s="11" t="s">
        <v>6743</v>
      </c>
      <c r="C1296" s="11">
        <v>49</v>
      </c>
      <c r="D1296" s="11">
        <v>107</v>
      </c>
      <c r="E1296" s="11">
        <v>124</v>
      </c>
      <c r="F1296" s="11">
        <v>572</v>
      </c>
      <c r="G1296" s="11">
        <v>636</v>
      </c>
      <c r="H1296" s="11">
        <v>14375181</v>
      </c>
      <c r="I1296" s="11" t="s">
        <v>6744</v>
      </c>
      <c r="J1296" s="11" t="s">
        <v>6745</v>
      </c>
      <c r="K1296" s="11" t="s">
        <v>1683</v>
      </c>
      <c r="L1296" s="11" t="s">
        <v>6746</v>
      </c>
      <c r="M1296" s="11" t="s">
        <v>6747</v>
      </c>
      <c r="N1296" s="11">
        <v>8692</v>
      </c>
      <c r="O1296" s="11">
        <v>3374</v>
      </c>
      <c r="P1296" s="11">
        <v>2</v>
      </c>
      <c r="Q1296" s="11" t="s">
        <v>6748</v>
      </c>
      <c r="R1296" s="14" t="s">
        <v>6749</v>
      </c>
      <c r="S1296" s="11">
        <v>126</v>
      </c>
      <c r="T1296" s="11" t="s">
        <v>39</v>
      </c>
      <c r="U1296" s="11" t="s">
        <v>40</v>
      </c>
      <c r="V1296" s="11" t="s">
        <v>41</v>
      </c>
      <c r="W1296" s="11">
        <v>51000000</v>
      </c>
      <c r="X1296" s="11">
        <v>1987</v>
      </c>
      <c r="Y1296" s="11">
        <v>631</v>
      </c>
      <c r="Z1296" s="11">
        <v>4.2</v>
      </c>
      <c r="AA1296" s="11">
        <v>1.85</v>
      </c>
      <c r="AB1296" s="11">
        <v>754</v>
      </c>
      <c r="AC1296" s="11"/>
      <c r="AD1296" s="11" t="str">
        <f>IFERROR(__xludf.DUMMYFUNCTION("""COMPUTED_VALUE"""),"Irene Papas")</f>
        <v>Irene Papas</v>
      </c>
      <c r="AE1296" s="11"/>
    </row>
    <row r="1297" customHeight="1" spans="1:31">
      <c r="A1297" s="12" t="s">
        <v>30</v>
      </c>
      <c r="B1297" s="12" t="s">
        <v>5383</v>
      </c>
      <c r="C1297" s="12">
        <v>335</v>
      </c>
      <c r="D1297" s="12">
        <v>87</v>
      </c>
      <c r="E1297" s="12">
        <v>0</v>
      </c>
      <c r="F1297" s="12">
        <v>563</v>
      </c>
      <c r="G1297" s="12">
        <v>13000</v>
      </c>
      <c r="H1297" s="12">
        <v>20999103</v>
      </c>
      <c r="I1297" s="12" t="s">
        <v>6750</v>
      </c>
      <c r="J1297" s="12" t="s">
        <v>549</v>
      </c>
      <c r="K1297" s="12" t="s">
        <v>2377</v>
      </c>
      <c r="L1297" s="12" t="s">
        <v>242</v>
      </c>
      <c r="M1297" s="12" t="s">
        <v>6751</v>
      </c>
      <c r="N1297" s="12">
        <v>139114</v>
      </c>
      <c r="O1297" s="12">
        <v>24770</v>
      </c>
      <c r="P1297" s="12">
        <v>0</v>
      </c>
      <c r="Q1297" s="12" t="s">
        <v>6752</v>
      </c>
      <c r="R1297" s="15" t="s">
        <v>6753</v>
      </c>
      <c r="S1297" s="12">
        <v>245</v>
      </c>
      <c r="T1297" s="12" t="s">
        <v>39</v>
      </c>
      <c r="U1297" s="12" t="s">
        <v>40</v>
      </c>
      <c r="V1297" s="12" t="s">
        <v>96</v>
      </c>
      <c r="W1297" s="12">
        <v>40000000</v>
      </c>
      <c r="X1297" s="12">
        <v>2009</v>
      </c>
      <c r="Y1297" s="12">
        <v>11000</v>
      </c>
      <c r="Z1297" s="12">
        <v>7.8</v>
      </c>
      <c r="AA1297" s="12">
        <v>1.85</v>
      </c>
      <c r="AB1297" s="12">
        <v>15000</v>
      </c>
      <c r="AC1297" s="12"/>
      <c r="AD1297" s="12" t="str">
        <f>IFERROR(__xludf.DUMMYFUNCTION("""COMPUTED_VALUE"""),"Mihalis Giannatos")</f>
        <v>Mihalis Giannatos</v>
      </c>
      <c r="AE1297" s="12"/>
    </row>
    <row r="1298" customHeight="1" spans="1:31">
      <c r="A1298" s="11" t="s">
        <v>30</v>
      </c>
      <c r="B1298" s="11" t="s">
        <v>4438</v>
      </c>
      <c r="C1298" s="11">
        <v>86</v>
      </c>
      <c r="D1298" s="11">
        <v>103</v>
      </c>
      <c r="E1298" s="11">
        <v>65</v>
      </c>
      <c r="F1298" s="11">
        <v>311</v>
      </c>
      <c r="G1298" s="11">
        <v>11000</v>
      </c>
      <c r="H1298" s="11">
        <v>14448589</v>
      </c>
      <c r="I1298" s="11" t="s">
        <v>1681</v>
      </c>
      <c r="J1298" s="11" t="s">
        <v>565</v>
      </c>
      <c r="K1298" s="11" t="s">
        <v>4136</v>
      </c>
      <c r="L1298" s="11" t="s">
        <v>6754</v>
      </c>
      <c r="M1298" s="11" t="s">
        <v>6755</v>
      </c>
      <c r="N1298" s="11">
        <v>19364</v>
      </c>
      <c r="O1298" s="11">
        <v>12566</v>
      </c>
      <c r="P1298" s="11">
        <v>2</v>
      </c>
      <c r="Q1298" s="11" t="s">
        <v>6756</v>
      </c>
      <c r="R1298" s="14" t="s">
        <v>6757</v>
      </c>
      <c r="S1298" s="11">
        <v>128</v>
      </c>
      <c r="T1298" s="11" t="s">
        <v>39</v>
      </c>
      <c r="U1298" s="11" t="s">
        <v>40</v>
      </c>
      <c r="V1298" s="11" t="s">
        <v>41</v>
      </c>
      <c r="W1298" s="11">
        <v>40000000</v>
      </c>
      <c r="X1298" s="11">
        <v>2002</v>
      </c>
      <c r="Y1298" s="11">
        <v>944</v>
      </c>
      <c r="Z1298" s="11">
        <v>5.8</v>
      </c>
      <c r="AA1298" s="11">
        <v>2.35</v>
      </c>
      <c r="AB1298" s="11">
        <v>835</v>
      </c>
      <c r="AC1298" s="11"/>
      <c r="AD1298" s="11" t="str">
        <f>IFERROR(__xludf.DUMMYFUNCTION("""COMPUTED_VALUE"""),"Barry Corbin")</f>
        <v>Barry Corbin</v>
      </c>
      <c r="AE1298" s="11"/>
    </row>
    <row r="1299" customHeight="1" spans="1:31">
      <c r="A1299" s="12" t="s">
        <v>30</v>
      </c>
      <c r="B1299" s="12" t="s">
        <v>5368</v>
      </c>
      <c r="C1299" s="12">
        <v>40</v>
      </c>
      <c r="D1299" s="12">
        <v>99</v>
      </c>
      <c r="E1299" s="12">
        <v>0</v>
      </c>
      <c r="F1299" s="12">
        <v>402</v>
      </c>
      <c r="G1299" s="12">
        <v>782</v>
      </c>
      <c r="H1299" s="12">
        <v>14358033</v>
      </c>
      <c r="I1299" s="12" t="s">
        <v>6758</v>
      </c>
      <c r="J1299" s="12" t="s">
        <v>6759</v>
      </c>
      <c r="K1299" s="12" t="s">
        <v>2788</v>
      </c>
      <c r="L1299" s="12" t="s">
        <v>6760</v>
      </c>
      <c r="M1299" s="12" t="s">
        <v>6761</v>
      </c>
      <c r="N1299" s="12">
        <v>17365</v>
      </c>
      <c r="O1299" s="12">
        <v>2125</v>
      </c>
      <c r="P1299" s="12">
        <v>2</v>
      </c>
      <c r="Q1299" s="12" t="s">
        <v>6762</v>
      </c>
      <c r="R1299" s="15" t="s">
        <v>6763</v>
      </c>
      <c r="S1299" s="12">
        <v>66</v>
      </c>
      <c r="T1299" s="12" t="s">
        <v>39</v>
      </c>
      <c r="U1299" s="12" t="s">
        <v>40</v>
      </c>
      <c r="V1299" s="12" t="s">
        <v>41</v>
      </c>
      <c r="W1299" s="12">
        <v>40000000</v>
      </c>
      <c r="X1299" s="12">
        <v>1992</v>
      </c>
      <c r="Y1299" s="12">
        <v>658</v>
      </c>
      <c r="Z1299" s="12">
        <v>5.9</v>
      </c>
      <c r="AA1299" s="12">
        <v>2.35</v>
      </c>
      <c r="AB1299" s="12">
        <v>630</v>
      </c>
      <c r="AC1299" s="12"/>
      <c r="AD1299" s="12" t="str">
        <f>IFERROR(__xludf.DUMMYFUNCTION("""COMPUTED_VALUE"""),"Noureen DeWulf")</f>
        <v>Noureen DeWulf</v>
      </c>
      <c r="AE1299" s="12"/>
    </row>
    <row r="1300" customHeight="1" spans="1:31">
      <c r="A1300" s="11" t="s">
        <v>748</v>
      </c>
      <c r="B1300" s="11" t="s">
        <v>4177</v>
      </c>
      <c r="C1300" s="11">
        <v>242</v>
      </c>
      <c r="D1300" s="11">
        <v>122</v>
      </c>
      <c r="E1300" s="11">
        <v>0</v>
      </c>
      <c r="F1300" s="11">
        <v>54</v>
      </c>
      <c r="G1300" s="11">
        <v>326</v>
      </c>
      <c r="H1300" s="11">
        <v>33201661</v>
      </c>
      <c r="I1300" s="11" t="s">
        <v>1681</v>
      </c>
      <c r="J1300" s="11" t="s">
        <v>5897</v>
      </c>
      <c r="K1300" s="11" t="s">
        <v>6205</v>
      </c>
      <c r="L1300" s="11" t="s">
        <v>6764</v>
      </c>
      <c r="M1300" s="11" t="s">
        <v>6765</v>
      </c>
      <c r="N1300" s="11">
        <v>534262</v>
      </c>
      <c r="O1300" s="11">
        <v>809</v>
      </c>
      <c r="P1300" s="11">
        <v>0</v>
      </c>
      <c r="Q1300" s="11" t="s">
        <v>6766</v>
      </c>
      <c r="R1300" s="14" t="s">
        <v>6767</v>
      </c>
      <c r="S1300" s="11">
        <v>1314</v>
      </c>
      <c r="T1300" s="11" t="s">
        <v>1465</v>
      </c>
      <c r="U1300" s="11" t="s">
        <v>1466</v>
      </c>
      <c r="V1300" s="11" t="s">
        <v>586</v>
      </c>
      <c r="W1300" s="11">
        <v>77000000</v>
      </c>
      <c r="X1300" s="11">
        <v>2001</v>
      </c>
      <c r="Y1300" s="11">
        <v>326</v>
      </c>
      <c r="Z1300" s="11">
        <v>8.4</v>
      </c>
      <c r="AA1300" s="11">
        <v>2.35</v>
      </c>
      <c r="AB1300" s="11">
        <v>39000</v>
      </c>
      <c r="AC1300" s="11"/>
      <c r="AD1300" s="11" t="str">
        <f>IFERROR(__xludf.DUMMYFUNCTION("""COMPUTED_VALUE"""),"Brian Austin Green")</f>
        <v>Brian Austin Green</v>
      </c>
      <c r="AE1300" s="11"/>
    </row>
    <row r="1301" customHeight="1" spans="1:31">
      <c r="A1301" s="12" t="s">
        <v>30</v>
      </c>
      <c r="B1301" s="12" t="s">
        <v>6768</v>
      </c>
      <c r="C1301" s="12">
        <v>70</v>
      </c>
      <c r="D1301" s="12">
        <v>91</v>
      </c>
      <c r="E1301" s="12">
        <v>29</v>
      </c>
      <c r="F1301" s="12">
        <v>762</v>
      </c>
      <c r="G1301" s="12">
        <v>976</v>
      </c>
      <c r="H1301" s="12">
        <v>14018364</v>
      </c>
      <c r="I1301" s="12" t="s">
        <v>6769</v>
      </c>
      <c r="J1301" s="12" t="s">
        <v>6770</v>
      </c>
      <c r="K1301" s="12" t="s">
        <v>6771</v>
      </c>
      <c r="L1301" s="12" t="s">
        <v>6772</v>
      </c>
      <c r="M1301" s="12" t="s">
        <v>6773</v>
      </c>
      <c r="N1301" s="12">
        <v>17722</v>
      </c>
      <c r="O1301" s="12">
        <v>3974</v>
      </c>
      <c r="P1301" s="12">
        <v>1</v>
      </c>
      <c r="Q1301" s="12" t="s">
        <v>6774</v>
      </c>
      <c r="R1301" s="15" t="s">
        <v>6775</v>
      </c>
      <c r="S1301" s="12">
        <v>111</v>
      </c>
      <c r="T1301" s="12" t="s">
        <v>39</v>
      </c>
      <c r="U1301" s="12" t="s">
        <v>40</v>
      </c>
      <c r="V1301" s="12" t="s">
        <v>96</v>
      </c>
      <c r="W1301" s="12">
        <v>30000000</v>
      </c>
      <c r="X1301" s="12">
        <v>2004</v>
      </c>
      <c r="Y1301" s="12">
        <v>799</v>
      </c>
      <c r="Z1301" s="12">
        <v>4.8</v>
      </c>
      <c r="AA1301" s="12">
        <v>1.85</v>
      </c>
      <c r="AB1301" s="12">
        <v>849</v>
      </c>
      <c r="AC1301" s="12"/>
      <c r="AD1301" s="12" t="str">
        <f>IFERROR(__xludf.DUMMYFUNCTION("""COMPUTED_VALUE"""),"Ashley Scott")</f>
        <v>Ashley Scott</v>
      </c>
      <c r="AE1301" s="12"/>
    </row>
    <row r="1302" customHeight="1" spans="1:31">
      <c r="A1302" s="11" t="s">
        <v>30</v>
      </c>
      <c r="B1302" s="11" t="s">
        <v>6776</v>
      </c>
      <c r="C1302" s="11">
        <v>135</v>
      </c>
      <c r="D1302" s="11">
        <v>103</v>
      </c>
      <c r="E1302" s="11">
        <v>14</v>
      </c>
      <c r="F1302" s="11">
        <v>624</v>
      </c>
      <c r="G1302" s="11">
        <v>865</v>
      </c>
      <c r="H1302" s="11">
        <v>13395939</v>
      </c>
      <c r="I1302" s="11" t="s">
        <v>1415</v>
      </c>
      <c r="J1302" s="11" t="s">
        <v>5969</v>
      </c>
      <c r="K1302" s="11" t="s">
        <v>6383</v>
      </c>
      <c r="L1302" s="11" t="s">
        <v>2389</v>
      </c>
      <c r="M1302" s="11" t="s">
        <v>6777</v>
      </c>
      <c r="N1302" s="11">
        <v>43442</v>
      </c>
      <c r="O1302" s="11">
        <v>3639</v>
      </c>
      <c r="P1302" s="11">
        <v>4</v>
      </c>
      <c r="Q1302" s="11" t="s">
        <v>6778</v>
      </c>
      <c r="R1302" s="14" t="s">
        <v>6779</v>
      </c>
      <c r="S1302" s="11">
        <v>146</v>
      </c>
      <c r="T1302" s="11" t="s">
        <v>39</v>
      </c>
      <c r="U1302" s="11" t="s">
        <v>58</v>
      </c>
      <c r="V1302" s="11" t="s">
        <v>586</v>
      </c>
      <c r="W1302" s="11">
        <v>60000000</v>
      </c>
      <c r="X1302" s="11">
        <v>2004</v>
      </c>
      <c r="Y1302" s="11">
        <v>826</v>
      </c>
      <c r="Z1302" s="11">
        <v>6.2</v>
      </c>
      <c r="AA1302" s="11">
        <v>1.85</v>
      </c>
      <c r="AB1302" s="11">
        <v>0</v>
      </c>
      <c r="AC1302" s="11"/>
      <c r="AD1302" s="11" t="str">
        <f>IFERROR(__xludf.DUMMYFUNCTION("""COMPUTED_VALUE"""),"Michael Bowen")</f>
        <v>Michael Bowen</v>
      </c>
      <c r="AE1302" s="11"/>
    </row>
    <row r="1303" customHeight="1" spans="1:31">
      <c r="A1303" s="12" t="s">
        <v>30</v>
      </c>
      <c r="B1303" s="12" t="s">
        <v>6298</v>
      </c>
      <c r="C1303" s="12">
        <v>125</v>
      </c>
      <c r="D1303" s="12">
        <v>107</v>
      </c>
      <c r="E1303" s="12">
        <v>42</v>
      </c>
      <c r="F1303" s="12">
        <v>171</v>
      </c>
      <c r="G1303" s="12">
        <v>875</v>
      </c>
      <c r="H1303" s="12">
        <v>20113965</v>
      </c>
      <c r="I1303" s="12" t="s">
        <v>6327</v>
      </c>
      <c r="J1303" s="12" t="s">
        <v>2497</v>
      </c>
      <c r="K1303" s="12" t="s">
        <v>1502</v>
      </c>
      <c r="L1303" s="12" t="s">
        <v>6780</v>
      </c>
      <c r="M1303" s="12" t="s">
        <v>6781</v>
      </c>
      <c r="N1303" s="12">
        <v>15231</v>
      </c>
      <c r="O1303" s="12">
        <v>1702</v>
      </c>
      <c r="P1303" s="12">
        <v>3</v>
      </c>
      <c r="Q1303" s="12" t="s">
        <v>6782</v>
      </c>
      <c r="R1303" s="15" t="s">
        <v>6783</v>
      </c>
      <c r="S1303" s="12">
        <v>66</v>
      </c>
      <c r="T1303" s="12" t="s">
        <v>39</v>
      </c>
      <c r="U1303" s="12" t="s">
        <v>40</v>
      </c>
      <c r="V1303" s="12" t="s">
        <v>96</v>
      </c>
      <c r="W1303" s="12">
        <v>40000000</v>
      </c>
      <c r="X1303" s="12">
        <v>2012</v>
      </c>
      <c r="Y1303" s="12">
        <v>596</v>
      </c>
      <c r="Z1303" s="12">
        <v>6.5</v>
      </c>
      <c r="AA1303" s="12">
        <v>2.35</v>
      </c>
      <c r="AB1303" s="12">
        <v>0</v>
      </c>
      <c r="AC1303" s="12"/>
      <c r="AD1303" s="12" t="str">
        <f>IFERROR(__xludf.DUMMYFUNCTION("""COMPUTED_VALUE"""),"Siobhan Fallon Hogan")</f>
        <v>Siobhan Fallon Hogan</v>
      </c>
      <c r="AE1303" s="12"/>
    </row>
    <row r="1304" customHeight="1" spans="1:31">
      <c r="A1304" s="11" t="s">
        <v>30</v>
      </c>
      <c r="B1304" s="11" t="s">
        <v>6784</v>
      </c>
      <c r="C1304" s="11">
        <v>54</v>
      </c>
      <c r="D1304" s="11">
        <v>106</v>
      </c>
      <c r="E1304" s="11">
        <v>22</v>
      </c>
      <c r="F1304" s="11">
        <v>613</v>
      </c>
      <c r="G1304" s="11">
        <v>2000</v>
      </c>
      <c r="H1304" s="11">
        <v>13376506</v>
      </c>
      <c r="I1304" s="11" t="s">
        <v>3410</v>
      </c>
      <c r="J1304" s="11" t="s">
        <v>5903</v>
      </c>
      <c r="K1304" s="11" t="s">
        <v>4206</v>
      </c>
      <c r="L1304" s="11" t="s">
        <v>6785</v>
      </c>
      <c r="M1304" s="11" t="s">
        <v>6786</v>
      </c>
      <c r="N1304" s="11">
        <v>10413</v>
      </c>
      <c r="O1304" s="11">
        <v>4327</v>
      </c>
      <c r="P1304" s="11">
        <v>1</v>
      </c>
      <c r="Q1304" s="11" t="s">
        <v>6787</v>
      </c>
      <c r="R1304" s="14" t="s">
        <v>6788</v>
      </c>
      <c r="S1304" s="11">
        <v>111</v>
      </c>
      <c r="T1304" s="11" t="s">
        <v>39</v>
      </c>
      <c r="U1304" s="11" t="s">
        <v>40</v>
      </c>
      <c r="V1304" s="11" t="s">
        <v>41</v>
      </c>
      <c r="W1304" s="11">
        <v>40000000</v>
      </c>
      <c r="X1304" s="11">
        <v>1999</v>
      </c>
      <c r="Y1304" s="11">
        <v>642</v>
      </c>
      <c r="Z1304" s="11">
        <v>6.3</v>
      </c>
      <c r="AA1304" s="11">
        <v>1.85</v>
      </c>
      <c r="AB1304" s="11">
        <v>579</v>
      </c>
      <c r="AC1304" s="11"/>
      <c r="AD1304" s="11" t="str">
        <f>IFERROR(__xludf.DUMMYFUNCTION("""COMPUTED_VALUE"""),"Sam Anderson")</f>
        <v>Sam Anderson</v>
      </c>
      <c r="AE1304" s="11"/>
    </row>
    <row r="1305" customHeight="1" spans="1:31">
      <c r="A1305" s="12" t="s">
        <v>30</v>
      </c>
      <c r="B1305" s="12" t="s">
        <v>6789</v>
      </c>
      <c r="C1305" s="12">
        <v>104</v>
      </c>
      <c r="D1305" s="12">
        <v>101</v>
      </c>
      <c r="E1305" s="12">
        <v>37</v>
      </c>
      <c r="F1305" s="12">
        <v>595</v>
      </c>
      <c r="G1305" s="12">
        <v>2000</v>
      </c>
      <c r="H1305" s="12">
        <v>13208023</v>
      </c>
      <c r="I1305" s="12" t="s">
        <v>6790</v>
      </c>
      <c r="J1305" s="12" t="s">
        <v>2268</v>
      </c>
      <c r="K1305" s="12" t="s">
        <v>6791</v>
      </c>
      <c r="L1305" s="12" t="s">
        <v>1823</v>
      </c>
      <c r="M1305" s="12" t="s">
        <v>6792</v>
      </c>
      <c r="N1305" s="12">
        <v>17309</v>
      </c>
      <c r="O1305" s="12">
        <v>4262</v>
      </c>
      <c r="P1305" s="12">
        <v>1</v>
      </c>
      <c r="Q1305" s="12" t="s">
        <v>6793</v>
      </c>
      <c r="R1305" s="15" t="s">
        <v>6794</v>
      </c>
      <c r="S1305" s="12">
        <v>388</v>
      </c>
      <c r="T1305" s="12" t="s">
        <v>39</v>
      </c>
      <c r="U1305" s="12" t="s">
        <v>58</v>
      </c>
      <c r="V1305" s="12" t="s">
        <v>586</v>
      </c>
      <c r="W1305" s="12">
        <v>42000000</v>
      </c>
      <c r="X1305" s="12">
        <v>2002</v>
      </c>
      <c r="Y1305" s="12">
        <v>886</v>
      </c>
      <c r="Z1305" s="12">
        <v>3.3</v>
      </c>
      <c r="AA1305" s="12">
        <v>2.35</v>
      </c>
      <c r="AB1305" s="12">
        <v>612</v>
      </c>
      <c r="AC1305" s="12"/>
      <c r="AD1305" s="12" t="str">
        <f>IFERROR(__xludf.DUMMYFUNCTION("""COMPUTED_VALUE"""),"Beth Riesgraf")</f>
        <v>Beth Riesgraf</v>
      </c>
      <c r="AE1305" s="12"/>
    </row>
    <row r="1306" customHeight="1" spans="1:31">
      <c r="A1306" s="11" t="s">
        <v>30</v>
      </c>
      <c r="B1306" s="11" t="s">
        <v>1745</v>
      </c>
      <c r="C1306" s="11">
        <v>157</v>
      </c>
      <c r="D1306" s="11">
        <v>109</v>
      </c>
      <c r="E1306" s="11">
        <v>80</v>
      </c>
      <c r="F1306" s="11">
        <v>835</v>
      </c>
      <c r="G1306" s="11">
        <v>14000</v>
      </c>
      <c r="H1306" s="11">
        <v>13838130</v>
      </c>
      <c r="I1306" s="11" t="s">
        <v>1931</v>
      </c>
      <c r="J1306" s="11" t="s">
        <v>700</v>
      </c>
      <c r="K1306" s="11" t="s">
        <v>495</v>
      </c>
      <c r="L1306" s="11" t="s">
        <v>3952</v>
      </c>
      <c r="M1306" s="11" t="s">
        <v>6795</v>
      </c>
      <c r="N1306" s="11">
        <v>35990</v>
      </c>
      <c r="O1306" s="11">
        <v>20503</v>
      </c>
      <c r="P1306" s="11">
        <v>3</v>
      </c>
      <c r="Q1306" s="11" t="s">
        <v>6796</v>
      </c>
      <c r="R1306" s="14" t="s">
        <v>6797</v>
      </c>
      <c r="S1306" s="11">
        <v>157</v>
      </c>
      <c r="T1306" s="11" t="s">
        <v>39</v>
      </c>
      <c r="U1306" s="11" t="s">
        <v>40</v>
      </c>
      <c r="V1306" s="11" t="s">
        <v>41</v>
      </c>
      <c r="W1306" s="11">
        <v>40000000</v>
      </c>
      <c r="X1306" s="11">
        <v>2009</v>
      </c>
      <c r="Y1306" s="11">
        <v>4000</v>
      </c>
      <c r="Z1306" s="11">
        <v>5.9</v>
      </c>
      <c r="AA1306" s="11">
        <v>2.35</v>
      </c>
      <c r="AB1306" s="11">
        <v>0</v>
      </c>
      <c r="AC1306" s="11"/>
      <c r="AD1306" s="11" t="str">
        <f>IFERROR(__xludf.DUMMYFUNCTION("""COMPUTED_VALUE"""),"Matthew Gray Gubler")</f>
        <v>Matthew Gray Gubler</v>
      </c>
      <c r="AE1306" s="11"/>
    </row>
    <row r="1307" customHeight="1" spans="1:31">
      <c r="A1307" s="12" t="s">
        <v>30</v>
      </c>
      <c r="B1307" s="12" t="s">
        <v>6047</v>
      </c>
      <c r="C1307" s="12">
        <v>159</v>
      </c>
      <c r="D1307" s="12">
        <v>110</v>
      </c>
      <c r="E1307" s="12">
        <v>118</v>
      </c>
      <c r="F1307" s="12">
        <v>287</v>
      </c>
      <c r="G1307" s="12">
        <v>11000</v>
      </c>
      <c r="H1307" s="12">
        <v>5773519</v>
      </c>
      <c r="I1307" s="12" t="s">
        <v>3171</v>
      </c>
      <c r="J1307" s="12" t="s">
        <v>107</v>
      </c>
      <c r="K1307" s="12" t="s">
        <v>4533</v>
      </c>
      <c r="L1307" s="12" t="s">
        <v>6048</v>
      </c>
      <c r="M1307" s="12" t="s">
        <v>6049</v>
      </c>
      <c r="N1307" s="12">
        <v>28618</v>
      </c>
      <c r="O1307" s="12">
        <v>12876</v>
      </c>
      <c r="P1307" s="12">
        <v>2</v>
      </c>
      <c r="Q1307" s="12" t="s">
        <v>6050</v>
      </c>
      <c r="R1307" s="15" t="s">
        <v>6051</v>
      </c>
      <c r="S1307" s="12">
        <v>91</v>
      </c>
      <c r="T1307" s="12" t="s">
        <v>39</v>
      </c>
      <c r="U1307" s="12" t="s">
        <v>40</v>
      </c>
      <c r="V1307" s="12" t="s">
        <v>41</v>
      </c>
      <c r="W1307" s="12">
        <v>40000000</v>
      </c>
      <c r="X1307" s="12">
        <v>2015</v>
      </c>
      <c r="Y1307" s="12">
        <v>1000</v>
      </c>
      <c r="Z1307" s="12">
        <v>6</v>
      </c>
      <c r="AA1307" s="12">
        <v>2.35</v>
      </c>
      <c r="AB1307" s="12">
        <v>11000</v>
      </c>
      <c r="AC1307" s="12"/>
      <c r="AD1307" s="12" t="str">
        <f>IFERROR(__xludf.DUMMYFUNCTION("""COMPUTED_VALUE"""),"Irene Bedard")</f>
        <v>Irene Bedard</v>
      </c>
      <c r="AE1307" s="12"/>
    </row>
    <row r="1308" customHeight="1" spans="1:31">
      <c r="A1308" s="11" t="s">
        <v>30</v>
      </c>
      <c r="B1308" s="11" t="s">
        <v>5470</v>
      </c>
      <c r="C1308" s="11">
        <v>78</v>
      </c>
      <c r="D1308" s="11">
        <v>89</v>
      </c>
      <c r="E1308" s="11">
        <v>0</v>
      </c>
      <c r="F1308" s="11">
        <v>500</v>
      </c>
      <c r="G1308" s="11">
        <v>1000</v>
      </c>
      <c r="H1308" s="11">
        <v>9652000</v>
      </c>
      <c r="I1308" s="11" t="s">
        <v>1672</v>
      </c>
      <c r="J1308" s="11" t="s">
        <v>1377</v>
      </c>
      <c r="K1308" s="11" t="s">
        <v>2095</v>
      </c>
      <c r="L1308" s="11" t="s">
        <v>2132</v>
      </c>
      <c r="M1308" s="11" t="s">
        <v>6798</v>
      </c>
      <c r="N1308" s="11">
        <v>46205</v>
      </c>
      <c r="O1308" s="11">
        <v>3096</v>
      </c>
      <c r="P1308" s="11">
        <v>0</v>
      </c>
      <c r="Q1308" s="11" t="s">
        <v>6799</v>
      </c>
      <c r="R1308" s="14" t="s">
        <v>6800</v>
      </c>
      <c r="S1308" s="11">
        <v>147</v>
      </c>
      <c r="T1308" s="11" t="s">
        <v>39</v>
      </c>
      <c r="U1308" s="11" t="s">
        <v>40</v>
      </c>
      <c r="V1308" s="11" t="s">
        <v>41</v>
      </c>
      <c r="W1308" s="11">
        <v>40000000</v>
      </c>
      <c r="X1308" s="11">
        <v>2003</v>
      </c>
      <c r="Y1308" s="11">
        <v>627</v>
      </c>
      <c r="Z1308" s="11">
        <v>5.8</v>
      </c>
      <c r="AA1308" s="11">
        <v>1.85</v>
      </c>
      <c r="AB1308" s="11">
        <v>0</v>
      </c>
      <c r="AC1308" s="11"/>
      <c r="AD1308" s="11" t="str">
        <f>IFERROR(__xludf.DUMMYFUNCTION("""COMPUTED_VALUE"""),"Margot Kidder")</f>
        <v>Margot Kidder</v>
      </c>
      <c r="AE1308" s="11"/>
    </row>
    <row r="1309" customHeight="1" spans="1:31">
      <c r="A1309" s="12" t="s">
        <v>30</v>
      </c>
      <c r="B1309" s="12" t="s">
        <v>6801</v>
      </c>
      <c r="C1309" s="12">
        <v>88</v>
      </c>
      <c r="D1309" s="12">
        <v>100</v>
      </c>
      <c r="E1309" s="12">
        <v>92</v>
      </c>
      <c r="F1309" s="12">
        <v>706</v>
      </c>
      <c r="G1309" s="12">
        <v>1000</v>
      </c>
      <c r="H1309" s="12">
        <v>12081447</v>
      </c>
      <c r="I1309" s="12" t="s">
        <v>5511</v>
      </c>
      <c r="J1309" s="12" t="s">
        <v>804</v>
      </c>
      <c r="K1309" s="12" t="s">
        <v>274</v>
      </c>
      <c r="L1309" s="12" t="s">
        <v>5265</v>
      </c>
      <c r="M1309" s="12" t="s">
        <v>6802</v>
      </c>
      <c r="N1309" s="12">
        <v>7794</v>
      </c>
      <c r="O1309" s="12">
        <v>4103</v>
      </c>
      <c r="P1309" s="12">
        <v>2</v>
      </c>
      <c r="Q1309" s="12" t="s">
        <v>6803</v>
      </c>
      <c r="R1309" s="15" t="s">
        <v>6804</v>
      </c>
      <c r="S1309" s="12">
        <v>25</v>
      </c>
      <c r="T1309" s="12" t="s">
        <v>39</v>
      </c>
      <c r="U1309" s="12" t="s">
        <v>40</v>
      </c>
      <c r="V1309" s="12" t="s">
        <v>586</v>
      </c>
      <c r="W1309" s="16"/>
      <c r="X1309" s="12">
        <v>2008</v>
      </c>
      <c r="Y1309" s="12">
        <v>760</v>
      </c>
      <c r="Z1309" s="12">
        <v>6.5</v>
      </c>
      <c r="AA1309" s="12">
        <v>2.35</v>
      </c>
      <c r="AB1309" s="12">
        <v>866</v>
      </c>
      <c r="AC1309" s="12"/>
      <c r="AD1309" s="12" t="str">
        <f>IFERROR(__xludf.DUMMYFUNCTION("""COMPUTED_VALUE"""),"Holland Taylor")</f>
        <v>Holland Taylor</v>
      </c>
      <c r="AE1309" s="12"/>
    </row>
    <row r="1310" customHeight="1" spans="1:31">
      <c r="A1310" s="11" t="s">
        <v>30</v>
      </c>
      <c r="B1310" s="11" t="s">
        <v>6805</v>
      </c>
      <c r="C1310" s="11">
        <v>32</v>
      </c>
      <c r="D1310" s="11">
        <v>119</v>
      </c>
      <c r="E1310" s="11">
        <v>5</v>
      </c>
      <c r="F1310" s="11">
        <v>249</v>
      </c>
      <c r="G1310" s="11">
        <v>521</v>
      </c>
      <c r="H1310" s="11">
        <v>7000000</v>
      </c>
      <c r="I1310" s="11" t="s">
        <v>712</v>
      </c>
      <c r="J1310" s="11" t="s">
        <v>5379</v>
      </c>
      <c r="K1310" s="11" t="s">
        <v>6806</v>
      </c>
      <c r="L1310" s="11" t="s">
        <v>6639</v>
      </c>
      <c r="M1310" s="11" t="s">
        <v>6807</v>
      </c>
      <c r="N1310" s="11">
        <v>2933</v>
      </c>
      <c r="O1310" s="11">
        <v>1883</v>
      </c>
      <c r="P1310" s="11">
        <v>0</v>
      </c>
      <c r="Q1310" s="11" t="s">
        <v>6808</v>
      </c>
      <c r="R1310" s="14" t="s">
        <v>6809</v>
      </c>
      <c r="S1310" s="11">
        <v>70</v>
      </c>
      <c r="T1310" s="11" t="s">
        <v>39</v>
      </c>
      <c r="U1310" s="11" t="s">
        <v>58</v>
      </c>
      <c r="V1310" s="11" t="s">
        <v>96</v>
      </c>
      <c r="W1310" s="11">
        <v>36000000</v>
      </c>
      <c r="X1310" s="11">
        <v>1980</v>
      </c>
      <c r="Y1310" s="11">
        <v>372</v>
      </c>
      <c r="Z1310" s="11">
        <v>4.7</v>
      </c>
      <c r="AA1310" s="11">
        <v>2.35</v>
      </c>
      <c r="AB1310" s="11">
        <v>328</v>
      </c>
      <c r="AC1310" s="11"/>
      <c r="AD1310" s="11" t="str">
        <f>IFERROR(__xludf.DUMMYFUNCTION("""COMPUTED_VALUE"""),"Alyson Hannigan")</f>
        <v>Alyson Hannigan</v>
      </c>
      <c r="AE1310" s="11"/>
    </row>
    <row r="1311" customHeight="1" spans="1:31">
      <c r="A1311" s="12" t="s">
        <v>30</v>
      </c>
      <c r="B1311" s="12" t="s">
        <v>6810</v>
      </c>
      <c r="C1311" s="12">
        <v>75</v>
      </c>
      <c r="D1311" s="12">
        <v>83</v>
      </c>
      <c r="E1311" s="12">
        <v>7</v>
      </c>
      <c r="F1311" s="12">
        <v>485</v>
      </c>
      <c r="G1311" s="12">
        <v>2000</v>
      </c>
      <c r="H1311" s="12">
        <v>10431220</v>
      </c>
      <c r="I1311" s="12" t="s">
        <v>648</v>
      </c>
      <c r="J1311" s="12" t="s">
        <v>6434</v>
      </c>
      <c r="K1311" s="12" t="s">
        <v>3711</v>
      </c>
      <c r="L1311" s="12" t="s">
        <v>4221</v>
      </c>
      <c r="M1311" s="12" t="s">
        <v>6811</v>
      </c>
      <c r="N1311" s="12">
        <v>24216</v>
      </c>
      <c r="O1311" s="12">
        <v>4024</v>
      </c>
      <c r="P1311" s="12">
        <v>0</v>
      </c>
      <c r="Q1311" s="12" t="s">
        <v>6812</v>
      </c>
      <c r="R1311" s="15" t="s">
        <v>6813</v>
      </c>
      <c r="S1311" s="12">
        <v>162</v>
      </c>
      <c r="T1311" s="12" t="s">
        <v>39</v>
      </c>
      <c r="U1311" s="12" t="s">
        <v>40</v>
      </c>
      <c r="V1311" s="12" t="s">
        <v>586</v>
      </c>
      <c r="W1311" s="12">
        <v>24000000</v>
      </c>
      <c r="X1311" s="12">
        <v>1999</v>
      </c>
      <c r="Y1311" s="12">
        <v>577</v>
      </c>
      <c r="Z1311" s="12">
        <v>4.1</v>
      </c>
      <c r="AA1311" s="12">
        <v>1.85</v>
      </c>
      <c r="AB1311" s="12">
        <v>401</v>
      </c>
      <c r="AC1311" s="12"/>
      <c r="AD1311" s="12" t="str">
        <f>IFERROR(__xludf.DUMMYFUNCTION("""COMPUTED_VALUE"""),"Thomas Ian Nicholas")</f>
        <v>Thomas Ian Nicholas</v>
      </c>
      <c r="AE1311" s="12"/>
    </row>
    <row r="1312" customHeight="1" spans="1:31">
      <c r="A1312" s="11" t="s">
        <v>30</v>
      </c>
      <c r="B1312" s="11" t="s">
        <v>6814</v>
      </c>
      <c r="C1312" s="11">
        <v>219</v>
      </c>
      <c r="D1312" s="11">
        <v>108</v>
      </c>
      <c r="E1312" s="11">
        <v>22</v>
      </c>
      <c r="F1312" s="11">
        <v>61</v>
      </c>
      <c r="G1312" s="11">
        <v>12000</v>
      </c>
      <c r="H1312" s="11">
        <v>10326062</v>
      </c>
      <c r="I1312" s="11" t="s">
        <v>6815</v>
      </c>
      <c r="J1312" s="11" t="s">
        <v>4838</v>
      </c>
      <c r="K1312" s="11" t="s">
        <v>537</v>
      </c>
      <c r="L1312" s="11" t="s">
        <v>6816</v>
      </c>
      <c r="M1312" s="11" t="s">
        <v>6817</v>
      </c>
      <c r="N1312" s="11">
        <v>121432</v>
      </c>
      <c r="O1312" s="11">
        <v>14127</v>
      </c>
      <c r="P1312" s="11">
        <v>0</v>
      </c>
      <c r="Q1312" s="11" t="s">
        <v>6818</v>
      </c>
      <c r="R1312" s="14" t="s">
        <v>6819</v>
      </c>
      <c r="S1312" s="11">
        <v>310</v>
      </c>
      <c r="T1312" s="11" t="s">
        <v>39</v>
      </c>
      <c r="U1312" s="11" t="s">
        <v>768</v>
      </c>
      <c r="V1312" s="11" t="s">
        <v>586</v>
      </c>
      <c r="W1312" s="11">
        <v>33000000</v>
      </c>
      <c r="X1312" s="11">
        <v>2009</v>
      </c>
      <c r="Y1312" s="11">
        <v>2000</v>
      </c>
      <c r="Z1312" s="11">
        <v>6.8</v>
      </c>
      <c r="AA1312" s="11">
        <v>2.35</v>
      </c>
      <c r="AB1312" s="11">
        <v>10000</v>
      </c>
      <c r="AC1312" s="11"/>
      <c r="AD1312" s="11" t="str">
        <f>IFERROR(__xludf.DUMMYFUNCTION("""COMPUTED_VALUE"""),"Chris Mulkey")</f>
        <v>Chris Mulkey</v>
      </c>
      <c r="AE1312" s="11"/>
    </row>
    <row r="1313" customHeight="1" spans="1:31">
      <c r="A1313" s="12" t="s">
        <v>30</v>
      </c>
      <c r="B1313" s="12" t="s">
        <v>5165</v>
      </c>
      <c r="C1313" s="12">
        <v>83</v>
      </c>
      <c r="D1313" s="12">
        <v>102</v>
      </c>
      <c r="E1313" s="12">
        <v>39</v>
      </c>
      <c r="F1313" s="12">
        <v>259</v>
      </c>
      <c r="G1313" s="12">
        <v>1000</v>
      </c>
      <c r="H1313" s="12">
        <v>6114237</v>
      </c>
      <c r="I1313" s="12" t="s">
        <v>2202</v>
      </c>
      <c r="J1313" s="12" t="s">
        <v>4179</v>
      </c>
      <c r="K1313" s="12" t="s">
        <v>1540</v>
      </c>
      <c r="L1313" s="12" t="s">
        <v>6820</v>
      </c>
      <c r="M1313" s="12" t="s">
        <v>6821</v>
      </c>
      <c r="N1313" s="12">
        <v>19986</v>
      </c>
      <c r="O1313" s="12">
        <v>2664</v>
      </c>
      <c r="P1313" s="12">
        <v>4</v>
      </c>
      <c r="Q1313" s="12" t="s">
        <v>6822</v>
      </c>
      <c r="R1313" s="15" t="s">
        <v>6823</v>
      </c>
      <c r="S1313" s="12">
        <v>207</v>
      </c>
      <c r="T1313" s="12" t="s">
        <v>39</v>
      </c>
      <c r="U1313" s="12" t="s">
        <v>40</v>
      </c>
      <c r="V1313" s="12" t="s">
        <v>586</v>
      </c>
      <c r="W1313" s="12">
        <v>40000000</v>
      </c>
      <c r="X1313" s="12">
        <v>2001</v>
      </c>
      <c r="Y1313" s="12">
        <v>1000</v>
      </c>
      <c r="Z1313" s="12">
        <v>6.2</v>
      </c>
      <c r="AA1313" s="12">
        <v>1.85</v>
      </c>
      <c r="AB1313" s="12">
        <v>892</v>
      </c>
      <c r="AC1313" s="12"/>
      <c r="AD1313" s="12" t="str">
        <f>IFERROR(__xludf.DUMMYFUNCTION("""COMPUTED_VALUE"""),"Michael Chernus")</f>
        <v>Michael Chernus</v>
      </c>
      <c r="AE1313" s="12"/>
    </row>
    <row r="1314" customHeight="1" spans="1:31">
      <c r="A1314" s="11" t="s">
        <v>30</v>
      </c>
      <c r="B1314" s="11" t="s">
        <v>6638</v>
      </c>
      <c r="C1314" s="11">
        <v>53</v>
      </c>
      <c r="D1314" s="11">
        <v>93</v>
      </c>
      <c r="E1314" s="11">
        <v>18</v>
      </c>
      <c r="F1314" s="11">
        <v>443</v>
      </c>
      <c r="G1314" s="11">
        <v>3000</v>
      </c>
      <c r="H1314" s="11">
        <v>4835968</v>
      </c>
      <c r="I1314" s="11" t="s">
        <v>51</v>
      </c>
      <c r="J1314" s="11" t="s">
        <v>1816</v>
      </c>
      <c r="K1314" s="11" t="s">
        <v>6824</v>
      </c>
      <c r="L1314" s="11" t="s">
        <v>5141</v>
      </c>
      <c r="M1314" s="11" t="s">
        <v>6825</v>
      </c>
      <c r="N1314" s="11">
        <v>4821</v>
      </c>
      <c r="O1314" s="11">
        <v>4123</v>
      </c>
      <c r="P1314" s="11">
        <v>0</v>
      </c>
      <c r="Q1314" s="11" t="s">
        <v>6826</v>
      </c>
      <c r="R1314" s="14" t="s">
        <v>6827</v>
      </c>
      <c r="S1314" s="11">
        <v>82</v>
      </c>
      <c r="T1314" s="11" t="s">
        <v>39</v>
      </c>
      <c r="U1314" s="11" t="s">
        <v>58</v>
      </c>
      <c r="V1314" s="11" t="s">
        <v>41</v>
      </c>
      <c r="W1314" s="11">
        <v>40000000</v>
      </c>
      <c r="X1314" s="11">
        <v>2002</v>
      </c>
      <c r="Y1314" s="11">
        <v>545</v>
      </c>
      <c r="Z1314" s="11">
        <v>4.5</v>
      </c>
      <c r="AA1314" s="11">
        <v>2.35</v>
      </c>
      <c r="AB1314" s="11">
        <v>158</v>
      </c>
      <c r="AC1314" s="11"/>
      <c r="AD1314" s="11" t="str">
        <f>IFERROR(__xludf.DUMMYFUNCTION("""COMPUTED_VALUE"""),"Fred Rogers")</f>
        <v>Fred Rogers</v>
      </c>
      <c r="AE1314" s="11"/>
    </row>
    <row r="1315" customHeight="1" spans="1:31">
      <c r="A1315" s="12" t="s">
        <v>30</v>
      </c>
      <c r="B1315" s="12" t="s">
        <v>6828</v>
      </c>
      <c r="C1315" s="12">
        <v>61</v>
      </c>
      <c r="D1315" s="12">
        <v>84</v>
      </c>
      <c r="E1315" s="12">
        <v>8</v>
      </c>
      <c r="F1315" s="12">
        <v>219</v>
      </c>
      <c r="G1315" s="12">
        <v>545</v>
      </c>
      <c r="H1315" s="12">
        <v>4777007</v>
      </c>
      <c r="I1315" s="12" t="s">
        <v>6829</v>
      </c>
      <c r="J1315" s="12" t="s">
        <v>6824</v>
      </c>
      <c r="K1315" s="12" t="s">
        <v>6830</v>
      </c>
      <c r="L1315" s="12" t="s">
        <v>6831</v>
      </c>
      <c r="M1315" s="12" t="s">
        <v>6832</v>
      </c>
      <c r="N1315" s="12">
        <v>15130</v>
      </c>
      <c r="O1315" s="12">
        <v>1149</v>
      </c>
      <c r="P1315" s="12">
        <v>3</v>
      </c>
      <c r="Q1315" s="12" t="s">
        <v>6833</v>
      </c>
      <c r="R1315" s="15" t="s">
        <v>6834</v>
      </c>
      <c r="S1315" s="12">
        <v>98</v>
      </c>
      <c r="T1315" s="12" t="s">
        <v>39</v>
      </c>
      <c r="U1315" s="12" t="s">
        <v>1466</v>
      </c>
      <c r="V1315" s="12" t="s">
        <v>41</v>
      </c>
      <c r="W1315" s="12">
        <v>40000000</v>
      </c>
      <c r="X1315" s="12">
        <v>2001</v>
      </c>
      <c r="Y1315" s="12">
        <v>248</v>
      </c>
      <c r="Z1315" s="12">
        <v>5.8</v>
      </c>
      <c r="AA1315" s="12">
        <v>2.35</v>
      </c>
      <c r="AB1315" s="12">
        <v>565</v>
      </c>
      <c r="AC1315" s="12"/>
      <c r="AD1315" s="12" t="str">
        <f>IFERROR(__xludf.DUMMYFUNCTION("""COMPUTED_VALUE"""),"James Wilcox")</f>
        <v>James Wilcox</v>
      </c>
      <c r="AE1315" s="12"/>
    </row>
    <row r="1316" customHeight="1" spans="1:31">
      <c r="A1316" s="11" t="s">
        <v>30</v>
      </c>
      <c r="B1316" s="11" t="s">
        <v>5290</v>
      </c>
      <c r="C1316" s="11">
        <v>308</v>
      </c>
      <c r="D1316" s="11">
        <v>107</v>
      </c>
      <c r="E1316" s="11">
        <v>0</v>
      </c>
      <c r="F1316" s="11">
        <v>167</v>
      </c>
      <c r="G1316" s="11">
        <v>11000</v>
      </c>
      <c r="H1316" s="11">
        <v>3675072</v>
      </c>
      <c r="I1316" s="11" t="s">
        <v>1171</v>
      </c>
      <c r="J1316" s="11" t="s">
        <v>222</v>
      </c>
      <c r="K1316" s="11" t="s">
        <v>1667</v>
      </c>
      <c r="L1316" s="11" t="s">
        <v>6835</v>
      </c>
      <c r="M1316" s="11" t="s">
        <v>6836</v>
      </c>
      <c r="N1316" s="11">
        <v>190132</v>
      </c>
      <c r="O1316" s="11">
        <v>11623</v>
      </c>
      <c r="P1316" s="11">
        <v>0</v>
      </c>
      <c r="Q1316" s="11" t="s">
        <v>6837</v>
      </c>
      <c r="R1316" s="14" t="s">
        <v>6838</v>
      </c>
      <c r="S1316" s="11">
        <v>801</v>
      </c>
      <c r="T1316" s="11" t="s">
        <v>39</v>
      </c>
      <c r="U1316" s="11" t="s">
        <v>58</v>
      </c>
      <c r="V1316" s="11" t="s">
        <v>586</v>
      </c>
      <c r="W1316" s="11">
        <v>26000000</v>
      </c>
      <c r="X1316" s="11">
        <v>2007</v>
      </c>
      <c r="Y1316" s="11">
        <v>372</v>
      </c>
      <c r="Z1316" s="11">
        <v>7.3</v>
      </c>
      <c r="AA1316" s="11">
        <v>2.35</v>
      </c>
      <c r="AB1316" s="11">
        <v>15000</v>
      </c>
      <c r="AC1316" s="11"/>
      <c r="AD1316" s="11" t="str">
        <f>IFERROR(__xludf.DUMMYFUNCTION("""COMPUTED_VALUE"""),"Natasha Richardson")</f>
        <v>Natasha Richardson</v>
      </c>
      <c r="AE1316" s="11"/>
    </row>
    <row r="1317" customHeight="1" spans="1:31">
      <c r="A1317" s="12" t="s">
        <v>30</v>
      </c>
      <c r="B1317" s="12" t="s">
        <v>4100</v>
      </c>
      <c r="C1317" s="12">
        <v>70</v>
      </c>
      <c r="D1317" s="12">
        <v>91</v>
      </c>
      <c r="E1317" s="12">
        <v>48</v>
      </c>
      <c r="F1317" s="12">
        <v>39</v>
      </c>
      <c r="G1317" s="12">
        <v>61</v>
      </c>
      <c r="H1317" s="12">
        <v>18438149</v>
      </c>
      <c r="I1317" s="12" t="s">
        <v>2528</v>
      </c>
      <c r="J1317" s="12" t="s">
        <v>6839</v>
      </c>
      <c r="K1317" s="12" t="s">
        <v>6840</v>
      </c>
      <c r="L1317" s="12" t="s">
        <v>6841</v>
      </c>
      <c r="M1317" s="12" t="s">
        <v>6842</v>
      </c>
      <c r="N1317" s="12">
        <v>30842</v>
      </c>
      <c r="O1317" s="12">
        <v>222</v>
      </c>
      <c r="P1317" s="12">
        <v>8</v>
      </c>
      <c r="Q1317" s="12" t="s">
        <v>6843</v>
      </c>
      <c r="R1317" s="15" t="s">
        <v>6844</v>
      </c>
      <c r="S1317" s="12">
        <v>93</v>
      </c>
      <c r="T1317" s="12" t="s">
        <v>39</v>
      </c>
      <c r="U1317" s="12" t="s">
        <v>40</v>
      </c>
      <c r="V1317" s="12" t="s">
        <v>41</v>
      </c>
      <c r="W1317" s="12">
        <v>40000000</v>
      </c>
      <c r="X1317" s="12">
        <v>2012</v>
      </c>
      <c r="Y1317" s="12">
        <v>46</v>
      </c>
      <c r="Z1317" s="12">
        <v>5.9</v>
      </c>
      <c r="AA1317" s="12">
        <v>2.35</v>
      </c>
      <c r="AB1317" s="12">
        <v>0</v>
      </c>
      <c r="AC1317" s="12"/>
      <c r="AD1317" s="12" t="str">
        <f>IFERROR(__xludf.DUMMYFUNCTION("""COMPUTED_VALUE"""),"Ricky Schroder")</f>
        <v>Ricky Schroder</v>
      </c>
      <c r="AE1317" s="12"/>
    </row>
    <row r="1318" customHeight="1" spans="1:31">
      <c r="A1318" s="11" t="s">
        <v>30</v>
      </c>
      <c r="B1318" s="11" t="s">
        <v>6845</v>
      </c>
      <c r="C1318" s="11">
        <v>41</v>
      </c>
      <c r="D1318" s="11">
        <v>94</v>
      </c>
      <c r="E1318" s="11">
        <v>0</v>
      </c>
      <c r="F1318" s="11">
        <v>379</v>
      </c>
      <c r="G1318" s="11">
        <v>795</v>
      </c>
      <c r="H1318" s="11">
        <v>511920</v>
      </c>
      <c r="I1318" s="11" t="s">
        <v>6846</v>
      </c>
      <c r="J1318" s="11" t="s">
        <v>724</v>
      </c>
      <c r="K1318" s="11" t="s">
        <v>4005</v>
      </c>
      <c r="L1318" s="11" t="s">
        <v>6847</v>
      </c>
      <c r="M1318" s="11" t="s">
        <v>6848</v>
      </c>
      <c r="N1318" s="11">
        <v>2458</v>
      </c>
      <c r="O1318" s="11">
        <v>2449</v>
      </c>
      <c r="P1318" s="11">
        <v>1</v>
      </c>
      <c r="Q1318" s="11" t="s">
        <v>6849</v>
      </c>
      <c r="R1318" s="14" t="s">
        <v>6850</v>
      </c>
      <c r="S1318" s="11">
        <v>26</v>
      </c>
      <c r="T1318" s="11" t="s">
        <v>39</v>
      </c>
      <c r="U1318" s="11" t="s">
        <v>40</v>
      </c>
      <c r="V1318" s="11" t="s">
        <v>96</v>
      </c>
      <c r="W1318" s="11">
        <v>40000000</v>
      </c>
      <c r="X1318" s="11">
        <v>2008</v>
      </c>
      <c r="Y1318" s="11">
        <v>754</v>
      </c>
      <c r="Z1318" s="11">
        <v>4.4</v>
      </c>
      <c r="AA1318" s="11">
        <v>1.85</v>
      </c>
      <c r="AB1318" s="11">
        <v>211</v>
      </c>
      <c r="AC1318" s="11"/>
      <c r="AD1318" s="11" t="str">
        <f>IFERROR(__xludf.DUMMYFUNCTION("""COMPUTED_VALUE"""),"Kurt Fuller")</f>
        <v>Kurt Fuller</v>
      </c>
      <c r="AE1318" s="11"/>
    </row>
    <row r="1319" customHeight="1" spans="1:31">
      <c r="A1319" s="12" t="s">
        <v>30</v>
      </c>
      <c r="B1319" s="12" t="s">
        <v>4966</v>
      </c>
      <c r="C1319" s="12">
        <v>224</v>
      </c>
      <c r="D1319" s="12">
        <v>115</v>
      </c>
      <c r="E1319" s="12">
        <v>180</v>
      </c>
      <c r="F1319" s="12">
        <v>87</v>
      </c>
      <c r="G1319" s="12">
        <v>1000</v>
      </c>
      <c r="H1319" s="12">
        <v>10640645</v>
      </c>
      <c r="I1319" s="12" t="s">
        <v>1120</v>
      </c>
      <c r="J1319" s="12" t="s">
        <v>392</v>
      </c>
      <c r="K1319" s="12" t="s">
        <v>1128</v>
      </c>
      <c r="L1319" s="12" t="s">
        <v>6851</v>
      </c>
      <c r="M1319" s="12" t="s">
        <v>6852</v>
      </c>
      <c r="N1319" s="12">
        <v>28429</v>
      </c>
      <c r="O1319" s="12">
        <v>1686</v>
      </c>
      <c r="P1319" s="12">
        <v>0</v>
      </c>
      <c r="Q1319" s="12" t="s">
        <v>6853</v>
      </c>
      <c r="R1319" s="15" t="s">
        <v>6854</v>
      </c>
      <c r="S1319" s="12">
        <v>110</v>
      </c>
      <c r="T1319" s="12" t="s">
        <v>39</v>
      </c>
      <c r="U1319" s="12" t="s">
        <v>40</v>
      </c>
      <c r="V1319" s="12" t="s">
        <v>586</v>
      </c>
      <c r="W1319" s="12">
        <v>40000000</v>
      </c>
      <c r="X1319" s="12">
        <v>2015</v>
      </c>
      <c r="Y1319" s="12">
        <v>535</v>
      </c>
      <c r="Z1319" s="12">
        <v>5.8</v>
      </c>
      <c r="AA1319" s="12">
        <v>2.35</v>
      </c>
      <c r="AB1319" s="12">
        <v>0</v>
      </c>
      <c r="AC1319" s="12"/>
      <c r="AD1319" s="12" t="str">
        <f>IFERROR(__xludf.DUMMYFUNCTION("""COMPUTED_VALUE"""),"James Karen")</f>
        <v>James Karen</v>
      </c>
      <c r="AE1319" s="12"/>
    </row>
    <row r="1320" customHeight="1" spans="1:31">
      <c r="A1320" s="11" t="s">
        <v>30</v>
      </c>
      <c r="B1320" s="11" t="s">
        <v>6855</v>
      </c>
      <c r="C1320" s="11">
        <v>66</v>
      </c>
      <c r="D1320" s="11">
        <v>93</v>
      </c>
      <c r="E1320" s="11">
        <v>13</v>
      </c>
      <c r="F1320" s="11">
        <v>173</v>
      </c>
      <c r="G1320" s="11">
        <v>15000</v>
      </c>
      <c r="H1320" s="11">
        <v>652526</v>
      </c>
      <c r="I1320" s="11" t="s">
        <v>6856</v>
      </c>
      <c r="J1320" s="11" t="s">
        <v>5183</v>
      </c>
      <c r="K1320" s="11" t="s">
        <v>4128</v>
      </c>
      <c r="L1320" s="11" t="s">
        <v>6857</v>
      </c>
      <c r="M1320" s="11" t="s">
        <v>6858</v>
      </c>
      <c r="N1320" s="11">
        <v>20201</v>
      </c>
      <c r="O1320" s="11">
        <v>15638</v>
      </c>
      <c r="P1320" s="11">
        <v>3</v>
      </c>
      <c r="Q1320" s="11" t="s">
        <v>6859</v>
      </c>
      <c r="R1320" s="14" t="s">
        <v>6860</v>
      </c>
      <c r="S1320" s="11">
        <v>187</v>
      </c>
      <c r="T1320" s="11" t="s">
        <v>39</v>
      </c>
      <c r="U1320" s="11" t="s">
        <v>768</v>
      </c>
      <c r="V1320" s="11" t="s">
        <v>96</v>
      </c>
      <c r="W1320" s="11">
        <v>40000000</v>
      </c>
      <c r="X1320" s="11">
        <v>2006</v>
      </c>
      <c r="Y1320" s="11">
        <v>460</v>
      </c>
      <c r="Z1320" s="11">
        <v>5.1</v>
      </c>
      <c r="AA1320" s="11">
        <v>2.35</v>
      </c>
      <c r="AB1320" s="11">
        <v>823</v>
      </c>
      <c r="AC1320" s="11"/>
      <c r="AD1320" s="11" t="str">
        <f>IFERROR(__xludf.DUMMYFUNCTION("""COMPUTED_VALUE"""),"Erika Christensen")</f>
        <v>Erika Christensen</v>
      </c>
      <c r="AE1320" s="11"/>
    </row>
    <row r="1321" customHeight="1" spans="1:31">
      <c r="A1321" s="12" t="s">
        <v>30</v>
      </c>
      <c r="B1321" s="12" t="s">
        <v>2642</v>
      </c>
      <c r="C1321" s="12">
        <v>253</v>
      </c>
      <c r="D1321" s="12">
        <v>105</v>
      </c>
      <c r="E1321" s="12">
        <v>154</v>
      </c>
      <c r="F1321" s="12">
        <v>502</v>
      </c>
      <c r="G1321" s="12">
        <v>884</v>
      </c>
      <c r="H1321" s="12">
        <v>80050171</v>
      </c>
      <c r="I1321" s="12" t="s">
        <v>1924</v>
      </c>
      <c r="J1321" s="12" t="s">
        <v>6861</v>
      </c>
      <c r="K1321" s="12" t="s">
        <v>6862</v>
      </c>
      <c r="L1321" s="12" t="s">
        <v>2731</v>
      </c>
      <c r="M1321" s="12" t="s">
        <v>6863</v>
      </c>
      <c r="N1321" s="12">
        <v>186982</v>
      </c>
      <c r="O1321" s="12">
        <v>2288</v>
      </c>
      <c r="P1321" s="12">
        <v>0</v>
      </c>
      <c r="Q1321" s="12" t="s">
        <v>6864</v>
      </c>
      <c r="R1321" s="15" t="s">
        <v>6865</v>
      </c>
      <c r="S1321" s="12">
        <v>491</v>
      </c>
      <c r="T1321" s="12" t="s">
        <v>39</v>
      </c>
      <c r="U1321" s="12" t="s">
        <v>40</v>
      </c>
      <c r="V1321" s="12" t="s">
        <v>41</v>
      </c>
      <c r="W1321" s="12">
        <v>20000000</v>
      </c>
      <c r="X1321" s="12">
        <v>2007</v>
      </c>
      <c r="Y1321" s="12">
        <v>617</v>
      </c>
      <c r="Z1321" s="12">
        <v>6.9</v>
      </c>
      <c r="AA1321" s="12">
        <v>1.85</v>
      </c>
      <c r="AB1321" s="12">
        <v>0</v>
      </c>
      <c r="AC1321" s="12"/>
      <c r="AD1321" s="12" t="str">
        <f>IFERROR(__xludf.DUMMYFUNCTION("""COMPUTED_VALUE"""),"Haley Ramm")</f>
        <v>Haley Ramm</v>
      </c>
      <c r="AE1321" s="12"/>
    </row>
    <row r="1322" customHeight="1" spans="1:31">
      <c r="A1322" s="11" t="s">
        <v>30</v>
      </c>
      <c r="B1322" s="11" t="s">
        <v>4393</v>
      </c>
      <c r="C1322" s="11">
        <v>79</v>
      </c>
      <c r="D1322" s="11">
        <v>107</v>
      </c>
      <c r="E1322" s="11">
        <v>34</v>
      </c>
      <c r="F1322" s="11">
        <v>472</v>
      </c>
      <c r="G1322" s="11">
        <v>11000</v>
      </c>
      <c r="H1322" s="11">
        <v>7564000</v>
      </c>
      <c r="I1322" s="11" t="s">
        <v>5316</v>
      </c>
      <c r="J1322" s="11" t="s">
        <v>565</v>
      </c>
      <c r="K1322" s="11" t="s">
        <v>6158</v>
      </c>
      <c r="L1322" s="11" t="s">
        <v>6524</v>
      </c>
      <c r="M1322" s="11" t="s">
        <v>6866</v>
      </c>
      <c r="N1322" s="11">
        <v>54650</v>
      </c>
      <c r="O1322" s="11">
        <v>13821</v>
      </c>
      <c r="P1322" s="11">
        <v>1</v>
      </c>
      <c r="Q1322" s="11" t="s">
        <v>6867</v>
      </c>
      <c r="R1322" s="14" t="s">
        <v>6868</v>
      </c>
      <c r="S1322" s="11">
        <v>223</v>
      </c>
      <c r="T1322" s="11" t="s">
        <v>39</v>
      </c>
      <c r="U1322" s="11" t="s">
        <v>40</v>
      </c>
      <c r="V1322" s="11" t="s">
        <v>41</v>
      </c>
      <c r="W1322" s="11">
        <v>20000000</v>
      </c>
      <c r="X1322" s="11">
        <v>1995</v>
      </c>
      <c r="Y1322" s="11">
        <v>922</v>
      </c>
      <c r="Z1322" s="11">
        <v>6.2</v>
      </c>
      <c r="AA1322" s="11">
        <v>2.35</v>
      </c>
      <c r="AB1322" s="11">
        <v>12000</v>
      </c>
      <c r="AC1322" s="11"/>
      <c r="AD1322" s="11" t="str">
        <f>IFERROR(__xludf.DUMMYFUNCTION("""COMPUTED_VALUE"""),"Dylan Baker")</f>
        <v>Dylan Baker</v>
      </c>
      <c r="AE1322" s="11"/>
    </row>
    <row r="1323" customHeight="1" spans="1:31">
      <c r="A1323" s="12" t="s">
        <v>30</v>
      </c>
      <c r="B1323" s="12" t="s">
        <v>6869</v>
      </c>
      <c r="C1323" s="12">
        <v>94</v>
      </c>
      <c r="D1323" s="12">
        <v>101</v>
      </c>
      <c r="E1323" s="12">
        <v>47</v>
      </c>
      <c r="F1323" s="12">
        <v>2</v>
      </c>
      <c r="G1323" s="12">
        <v>499</v>
      </c>
      <c r="H1323" s="12">
        <v>876671</v>
      </c>
      <c r="I1323" s="12" t="s">
        <v>6870</v>
      </c>
      <c r="J1323" s="12" t="s">
        <v>6871</v>
      </c>
      <c r="K1323" s="12" t="s">
        <v>6872</v>
      </c>
      <c r="L1323" s="12" t="s">
        <v>6873</v>
      </c>
      <c r="M1323" s="12" t="s">
        <v>6874</v>
      </c>
      <c r="N1323" s="12">
        <v>22010</v>
      </c>
      <c r="O1323" s="12">
        <v>504</v>
      </c>
      <c r="P1323" s="12">
        <v>2</v>
      </c>
      <c r="Q1323" s="12" t="s">
        <v>6875</v>
      </c>
      <c r="R1323" s="15" t="s">
        <v>6876</v>
      </c>
      <c r="S1323" s="12">
        <v>90</v>
      </c>
      <c r="T1323" s="12" t="s">
        <v>39</v>
      </c>
      <c r="U1323" s="12" t="s">
        <v>40</v>
      </c>
      <c r="V1323" s="12" t="s">
        <v>586</v>
      </c>
      <c r="W1323" s="12">
        <v>25000000</v>
      </c>
      <c r="X1323" s="12">
        <v>2007</v>
      </c>
      <c r="Y1323" s="12">
        <v>3</v>
      </c>
      <c r="Z1323" s="12">
        <v>6.9</v>
      </c>
      <c r="AA1323" s="12">
        <v>2.35</v>
      </c>
      <c r="AB1323" s="12">
        <v>0</v>
      </c>
      <c r="AC1323" s="12"/>
      <c r="AD1323" s="12" t="str">
        <f>IFERROR(__xludf.DUMMYFUNCTION("""COMPUTED_VALUE"""),"David Carradine")</f>
        <v>David Carradine</v>
      </c>
      <c r="AE1323" s="12"/>
    </row>
    <row r="1324" customHeight="1" spans="1:31">
      <c r="A1324" s="11" t="s">
        <v>748</v>
      </c>
      <c r="B1324" s="11" t="s">
        <v>4261</v>
      </c>
      <c r="C1324" s="11">
        <v>77</v>
      </c>
      <c r="D1324" s="11">
        <v>111</v>
      </c>
      <c r="E1324" s="11">
        <v>0</v>
      </c>
      <c r="F1324" s="11">
        <v>385</v>
      </c>
      <c r="G1324" s="11">
        <v>1000</v>
      </c>
      <c r="H1324" s="11">
        <v>2869369</v>
      </c>
      <c r="I1324" s="11" t="s">
        <v>2787</v>
      </c>
      <c r="J1324" s="11" t="s">
        <v>2620</v>
      </c>
      <c r="K1324" s="11" t="s">
        <v>3833</v>
      </c>
      <c r="L1324" s="11" t="s">
        <v>6877</v>
      </c>
      <c r="M1324" s="11" t="s">
        <v>6878</v>
      </c>
      <c r="N1324" s="11">
        <v>65474</v>
      </c>
      <c r="O1324" s="11">
        <v>2612</v>
      </c>
      <c r="P1324" s="11">
        <v>2</v>
      </c>
      <c r="Q1324" s="11" t="s">
        <v>6879</v>
      </c>
      <c r="R1324" s="14" t="s">
        <v>6880</v>
      </c>
      <c r="S1324" s="11">
        <v>211</v>
      </c>
      <c r="T1324" s="11" t="s">
        <v>39</v>
      </c>
      <c r="U1324" s="11" t="s">
        <v>58</v>
      </c>
      <c r="V1324" s="11" t="s">
        <v>96</v>
      </c>
      <c r="W1324" s="11">
        <v>30000000</v>
      </c>
      <c r="X1324" s="11">
        <v>1994</v>
      </c>
      <c r="Y1324" s="11">
        <v>970</v>
      </c>
      <c r="Z1324" s="11">
        <v>7.3</v>
      </c>
      <c r="AA1324" s="11">
        <v>1.85</v>
      </c>
      <c r="AB1324" s="11">
        <v>0</v>
      </c>
      <c r="AC1324" s="11"/>
      <c r="AD1324" s="11" t="str">
        <f>IFERROR(__xludf.DUMMYFUNCTION("""COMPUTED_VALUE"""),"Chiaki Kuriyama")</f>
        <v>Chiaki Kuriyama</v>
      </c>
      <c r="AE1324" s="11"/>
    </row>
    <row r="1325" customHeight="1" spans="1:31">
      <c r="A1325" s="12" t="s">
        <v>30</v>
      </c>
      <c r="B1325" s="12" t="s">
        <v>6881</v>
      </c>
      <c r="C1325" s="12">
        <v>106</v>
      </c>
      <c r="D1325" s="12">
        <v>113</v>
      </c>
      <c r="E1325" s="12">
        <v>31</v>
      </c>
      <c r="F1325" s="12">
        <v>483</v>
      </c>
      <c r="G1325" s="12">
        <v>5000</v>
      </c>
      <c r="H1325" s="12">
        <v>128978</v>
      </c>
      <c r="I1325" s="12" t="s">
        <v>749</v>
      </c>
      <c r="J1325" s="12" t="s">
        <v>502</v>
      </c>
      <c r="K1325" s="12" t="s">
        <v>6882</v>
      </c>
      <c r="L1325" s="12" t="s">
        <v>6883</v>
      </c>
      <c r="M1325" s="12" t="s">
        <v>6884</v>
      </c>
      <c r="N1325" s="12">
        <v>22897</v>
      </c>
      <c r="O1325" s="12">
        <v>6267</v>
      </c>
      <c r="P1325" s="12">
        <v>2</v>
      </c>
      <c r="Q1325" s="12" t="s">
        <v>6885</v>
      </c>
      <c r="R1325" s="15" t="s">
        <v>6886</v>
      </c>
      <c r="S1325" s="12">
        <v>61</v>
      </c>
      <c r="T1325" s="12" t="s">
        <v>1947</v>
      </c>
      <c r="U1325" s="12" t="s">
        <v>3860</v>
      </c>
      <c r="V1325" s="12" t="s">
        <v>586</v>
      </c>
      <c r="W1325" s="12">
        <v>40000000</v>
      </c>
      <c r="X1325" s="12">
        <v>2007</v>
      </c>
      <c r="Y1325" s="12">
        <v>755</v>
      </c>
      <c r="Z1325" s="12">
        <v>7.1</v>
      </c>
      <c r="AA1325" s="12">
        <v>2.35</v>
      </c>
      <c r="AB1325" s="12">
        <v>0</v>
      </c>
      <c r="AC1325" s="12"/>
      <c r="AD1325" s="12" t="str">
        <f>IFERROR(__xludf.DUMMYFUNCTION("""COMPUTED_VALUE"""),"Adam Alexi-Malle")</f>
        <v>Adam Alexi-Malle</v>
      </c>
      <c r="AE1325" s="12"/>
    </row>
    <row r="1326" customHeight="1" spans="1:31">
      <c r="A1326" s="11" t="s">
        <v>30</v>
      </c>
      <c r="B1326" s="11" t="s">
        <v>2018</v>
      </c>
      <c r="C1326" s="11">
        <v>30</v>
      </c>
      <c r="D1326" s="11">
        <v>112</v>
      </c>
      <c r="E1326" s="11">
        <v>44</v>
      </c>
      <c r="F1326" s="11">
        <v>533</v>
      </c>
      <c r="G1326" s="11">
        <v>1000</v>
      </c>
      <c r="H1326" s="11">
        <v>77231</v>
      </c>
      <c r="I1326" s="11" t="s">
        <v>1962</v>
      </c>
      <c r="J1326" s="11" t="s">
        <v>3715</v>
      </c>
      <c r="K1326" s="11" t="s">
        <v>6887</v>
      </c>
      <c r="L1326" s="11" t="s">
        <v>2557</v>
      </c>
      <c r="M1326" s="11" t="s">
        <v>6888</v>
      </c>
      <c r="N1326" s="11">
        <v>3322</v>
      </c>
      <c r="O1326" s="11">
        <v>2115</v>
      </c>
      <c r="P1326" s="11">
        <v>0</v>
      </c>
      <c r="Q1326" s="11" t="s">
        <v>6889</v>
      </c>
      <c r="R1326" s="14" t="s">
        <v>6890</v>
      </c>
      <c r="S1326" s="11">
        <v>32</v>
      </c>
      <c r="T1326" s="11" t="s">
        <v>6891</v>
      </c>
      <c r="U1326" s="11" t="s">
        <v>1466</v>
      </c>
      <c r="V1326" s="11" t="s">
        <v>586</v>
      </c>
      <c r="W1326" s="11">
        <v>25000000</v>
      </c>
      <c r="X1326" s="11">
        <v>2005</v>
      </c>
      <c r="Y1326" s="11">
        <v>580</v>
      </c>
      <c r="Z1326" s="11">
        <v>6</v>
      </c>
      <c r="AA1326" s="11">
        <v>2.35</v>
      </c>
      <c r="AB1326" s="11">
        <v>265</v>
      </c>
      <c r="AC1326" s="11"/>
      <c r="AD1326" s="11" t="str">
        <f>IFERROR(__xludf.DUMMYFUNCTION("""COMPUTED_VALUE"""),"Christopher Judge")</f>
        <v>Christopher Judge</v>
      </c>
      <c r="AE1326" s="11"/>
    </row>
    <row r="1327" customHeight="1" spans="1:31">
      <c r="A1327" s="12" t="s">
        <v>30</v>
      </c>
      <c r="B1327" s="12" t="s">
        <v>6892</v>
      </c>
      <c r="C1327" s="12">
        <v>488</v>
      </c>
      <c r="D1327" s="12">
        <v>126</v>
      </c>
      <c r="E1327" s="12">
        <v>584</v>
      </c>
      <c r="F1327" s="12">
        <v>398</v>
      </c>
      <c r="G1327" s="12">
        <v>11000</v>
      </c>
      <c r="H1327" s="12">
        <v>4563029</v>
      </c>
      <c r="I1327" s="12" t="s">
        <v>1391</v>
      </c>
      <c r="J1327" s="12" t="s">
        <v>222</v>
      </c>
      <c r="K1327" s="12" t="s">
        <v>360</v>
      </c>
      <c r="L1327" s="12" t="s">
        <v>6893</v>
      </c>
      <c r="M1327" s="12" t="s">
        <v>6894</v>
      </c>
      <c r="N1327" s="12">
        <v>181472</v>
      </c>
      <c r="O1327" s="12">
        <v>12286</v>
      </c>
      <c r="P1327" s="12">
        <v>5</v>
      </c>
      <c r="Q1327" s="12" t="s">
        <v>6895</v>
      </c>
      <c r="R1327" s="15" t="s">
        <v>6896</v>
      </c>
      <c r="S1327" s="12">
        <v>514</v>
      </c>
      <c r="T1327" s="12" t="s">
        <v>39</v>
      </c>
      <c r="U1327" s="12" t="s">
        <v>5695</v>
      </c>
      <c r="V1327" s="12" t="s">
        <v>586</v>
      </c>
      <c r="W1327" s="12">
        <v>39200000</v>
      </c>
      <c r="X1327" s="12">
        <v>2013</v>
      </c>
      <c r="Y1327" s="12">
        <v>557</v>
      </c>
      <c r="Z1327" s="12">
        <v>7</v>
      </c>
      <c r="AA1327" s="12">
        <v>1.85</v>
      </c>
      <c r="AB1327" s="12">
        <v>58000</v>
      </c>
      <c r="AC1327" s="12"/>
      <c r="AD1327" s="12" t="str">
        <f>IFERROR(__xludf.DUMMYFUNCTION("""COMPUTED_VALUE"""),"Don S. Davis")</f>
        <v>Don S. Davis</v>
      </c>
      <c r="AE1327" s="12"/>
    </row>
    <row r="1328" customHeight="1" spans="1:31">
      <c r="A1328" s="11" t="s">
        <v>30</v>
      </c>
      <c r="B1328" s="11" t="s">
        <v>1984</v>
      </c>
      <c r="C1328" s="11">
        <v>63</v>
      </c>
      <c r="D1328" s="11">
        <v>90</v>
      </c>
      <c r="E1328" s="11">
        <v>10</v>
      </c>
      <c r="F1328" s="11">
        <v>541</v>
      </c>
      <c r="G1328" s="11">
        <v>1000</v>
      </c>
      <c r="H1328" s="13"/>
      <c r="I1328" s="11" t="s">
        <v>6897</v>
      </c>
      <c r="J1328" s="11" t="s">
        <v>2866</v>
      </c>
      <c r="K1328" s="11" t="s">
        <v>3355</v>
      </c>
      <c r="L1328" s="11" t="s">
        <v>6898</v>
      </c>
      <c r="M1328" s="11" t="s">
        <v>6899</v>
      </c>
      <c r="N1328" s="11">
        <v>15790</v>
      </c>
      <c r="O1328" s="11">
        <v>3243</v>
      </c>
      <c r="P1328" s="11">
        <v>0</v>
      </c>
      <c r="Q1328" s="11" t="s">
        <v>6900</v>
      </c>
      <c r="R1328" s="14" t="s">
        <v>6901</v>
      </c>
      <c r="S1328" s="11">
        <v>40</v>
      </c>
      <c r="T1328" s="11" t="s">
        <v>1465</v>
      </c>
      <c r="U1328" s="11" t="s">
        <v>1466</v>
      </c>
      <c r="V1328" s="11" t="s">
        <v>96</v>
      </c>
      <c r="W1328" s="11">
        <v>25000000</v>
      </c>
      <c r="X1328" s="11">
        <v>2011</v>
      </c>
      <c r="Y1328" s="11">
        <v>559</v>
      </c>
      <c r="Z1328" s="11">
        <v>6.8</v>
      </c>
      <c r="AA1328" s="11">
        <v>1.85</v>
      </c>
      <c r="AB1328" s="11">
        <v>0</v>
      </c>
      <c r="AC1328" s="11"/>
      <c r="AD1328" s="11" t="str">
        <f>IFERROR(__xludf.DUMMYFUNCTION("""COMPUTED_VALUE"""),"Gary Jones")</f>
        <v>Gary Jones</v>
      </c>
      <c r="AE1328" s="11"/>
    </row>
    <row r="1329" customHeight="1" spans="1:31">
      <c r="A1329" s="12" t="s">
        <v>30</v>
      </c>
      <c r="B1329" s="12" t="s">
        <v>6902</v>
      </c>
      <c r="C1329" s="12">
        <v>42</v>
      </c>
      <c r="D1329" s="12">
        <v>93</v>
      </c>
      <c r="E1329" s="12">
        <v>23</v>
      </c>
      <c r="F1329" s="12">
        <v>596</v>
      </c>
      <c r="G1329" s="12">
        <v>2000</v>
      </c>
      <c r="H1329" s="12">
        <v>463730</v>
      </c>
      <c r="I1329" s="12" t="s">
        <v>1672</v>
      </c>
      <c r="J1329" s="12" t="s">
        <v>902</v>
      </c>
      <c r="K1329" s="12" t="s">
        <v>280</v>
      </c>
      <c r="L1329" s="12" t="s">
        <v>1502</v>
      </c>
      <c r="M1329" s="12" t="s">
        <v>6903</v>
      </c>
      <c r="N1329" s="12">
        <v>3789</v>
      </c>
      <c r="O1329" s="12">
        <v>5240</v>
      </c>
      <c r="P1329" s="12">
        <v>10</v>
      </c>
      <c r="Q1329" s="12" t="s">
        <v>6904</v>
      </c>
      <c r="R1329" s="15" t="s">
        <v>6905</v>
      </c>
      <c r="S1329" s="12">
        <v>39</v>
      </c>
      <c r="T1329" s="12" t="s">
        <v>39</v>
      </c>
      <c r="U1329" s="12" t="s">
        <v>40</v>
      </c>
      <c r="V1329" s="12" t="s">
        <v>586</v>
      </c>
      <c r="W1329" s="16"/>
      <c r="X1329" s="12">
        <v>2004</v>
      </c>
      <c r="Y1329" s="12">
        <v>894</v>
      </c>
      <c r="Z1329" s="12">
        <v>5.7</v>
      </c>
      <c r="AA1329" s="12">
        <v>1.85</v>
      </c>
      <c r="AB1329" s="12">
        <v>89</v>
      </c>
      <c r="AC1329" s="12"/>
      <c r="AD1329" s="12" t="str">
        <f>IFERROR(__xludf.DUMMYFUNCTION("""COMPUTED_VALUE"""),"Michael Parks")</f>
        <v>Michael Parks</v>
      </c>
      <c r="AE1329" s="12"/>
    </row>
    <row r="1330" customHeight="1" spans="1:31">
      <c r="A1330" s="11" t="s">
        <v>30</v>
      </c>
      <c r="B1330" s="11" t="s">
        <v>1040</v>
      </c>
      <c r="C1330" s="11">
        <v>118</v>
      </c>
      <c r="D1330" s="11">
        <v>98</v>
      </c>
      <c r="E1330" s="11">
        <v>295</v>
      </c>
      <c r="F1330" s="11">
        <v>380</v>
      </c>
      <c r="G1330" s="11">
        <v>720</v>
      </c>
      <c r="H1330" s="11">
        <v>50693162</v>
      </c>
      <c r="I1330" s="11" t="s">
        <v>6906</v>
      </c>
      <c r="J1330" s="11" t="s">
        <v>1870</v>
      </c>
      <c r="K1330" s="11" t="s">
        <v>496</v>
      </c>
      <c r="L1330" s="11" t="s">
        <v>5506</v>
      </c>
      <c r="M1330" s="11" t="s">
        <v>6907</v>
      </c>
      <c r="N1330" s="11">
        <v>136580</v>
      </c>
      <c r="O1330" s="11">
        <v>2630</v>
      </c>
      <c r="P1330" s="11">
        <v>0</v>
      </c>
      <c r="Q1330" s="11" t="s">
        <v>6908</v>
      </c>
      <c r="R1330" s="14" t="s">
        <v>6909</v>
      </c>
      <c r="S1330" s="11">
        <v>545</v>
      </c>
      <c r="T1330" s="11" t="s">
        <v>39</v>
      </c>
      <c r="U1330" s="11" t="s">
        <v>40</v>
      </c>
      <c r="V1330" s="11" t="s">
        <v>586</v>
      </c>
      <c r="W1330" s="11">
        <v>23000000</v>
      </c>
      <c r="X1330" s="11">
        <v>1994</v>
      </c>
      <c r="Y1330" s="11">
        <v>581</v>
      </c>
      <c r="Z1330" s="11">
        <v>7.6</v>
      </c>
      <c r="AA1330" s="11">
        <v>1.85</v>
      </c>
      <c r="AB1330" s="11">
        <v>15000</v>
      </c>
      <c r="AC1330" s="11"/>
      <c r="AD1330" s="11" t="str">
        <f>IFERROR(__xludf.DUMMYFUNCTION("""COMPUTED_VALUE"""),"Jack Palance")</f>
        <v>Jack Palance</v>
      </c>
      <c r="AE1330" s="11"/>
    </row>
    <row r="1331" customHeight="1" spans="1:31">
      <c r="A1331" s="12" t="s">
        <v>30</v>
      </c>
      <c r="B1331" s="12" t="s">
        <v>6910</v>
      </c>
      <c r="C1331" s="12">
        <v>44</v>
      </c>
      <c r="D1331" s="12">
        <v>159</v>
      </c>
      <c r="E1331" s="12">
        <v>50</v>
      </c>
      <c r="F1331" s="12">
        <v>72</v>
      </c>
      <c r="G1331" s="12">
        <v>218</v>
      </c>
      <c r="H1331" s="12">
        <v>6498000</v>
      </c>
      <c r="I1331" s="12" t="s">
        <v>6911</v>
      </c>
      <c r="J1331" s="12" t="s">
        <v>6912</v>
      </c>
      <c r="K1331" s="12" t="s">
        <v>6913</v>
      </c>
      <c r="L1331" s="12" t="s">
        <v>6914</v>
      </c>
      <c r="M1331" s="12" t="s">
        <v>6915</v>
      </c>
      <c r="N1331" s="12">
        <v>62756</v>
      </c>
      <c r="O1331" s="12">
        <v>554</v>
      </c>
      <c r="P1331" s="12">
        <v>1</v>
      </c>
      <c r="Q1331" s="12" t="s">
        <v>6916</v>
      </c>
      <c r="R1331" s="15" t="s">
        <v>6917</v>
      </c>
      <c r="S1331" s="12">
        <v>410</v>
      </c>
      <c r="T1331" s="12" t="s">
        <v>6918</v>
      </c>
      <c r="U1331" s="12" t="s">
        <v>5613</v>
      </c>
      <c r="V1331" s="16"/>
      <c r="W1331" s="12">
        <v>18026148</v>
      </c>
      <c r="X1331" s="12">
        <v>2015</v>
      </c>
      <c r="Y1331" s="12">
        <v>133</v>
      </c>
      <c r="Z1331" s="12">
        <v>8.4</v>
      </c>
      <c r="AA1331" s="12">
        <v>1.85</v>
      </c>
      <c r="AB1331" s="12">
        <v>21000</v>
      </c>
      <c r="AC1331" s="12"/>
      <c r="AD1331" s="12" t="str">
        <f>IFERROR(__xludf.DUMMYFUNCTION("""COMPUTED_VALUE"""),"Brion James")</f>
        <v>Brion James</v>
      </c>
      <c r="AE1331" s="12"/>
    </row>
    <row r="1332" customHeight="1" spans="1:31">
      <c r="A1332" s="11" t="s">
        <v>30</v>
      </c>
      <c r="B1332" s="11" t="s">
        <v>1258</v>
      </c>
      <c r="C1332" s="11">
        <v>214</v>
      </c>
      <c r="D1332" s="11">
        <v>107</v>
      </c>
      <c r="E1332" s="11">
        <v>124</v>
      </c>
      <c r="F1332" s="11">
        <v>100</v>
      </c>
      <c r="G1332" s="11">
        <v>152</v>
      </c>
      <c r="H1332" s="11">
        <v>63411478</v>
      </c>
      <c r="I1332" s="11" t="s">
        <v>6919</v>
      </c>
      <c r="J1332" s="11" t="s">
        <v>6920</v>
      </c>
      <c r="K1332" s="11" t="s">
        <v>6921</v>
      </c>
      <c r="L1332" s="11" t="s">
        <v>6922</v>
      </c>
      <c r="M1332" s="11" t="s">
        <v>6923</v>
      </c>
      <c r="N1332" s="11">
        <v>114925</v>
      </c>
      <c r="O1332" s="11">
        <v>568</v>
      </c>
      <c r="P1332" s="11">
        <v>1</v>
      </c>
      <c r="Q1332" s="11" t="s">
        <v>6924</v>
      </c>
      <c r="R1332" s="14" t="s">
        <v>6925</v>
      </c>
      <c r="S1332" s="11">
        <v>234</v>
      </c>
      <c r="T1332" s="11" t="s">
        <v>39</v>
      </c>
      <c r="U1332" s="11" t="s">
        <v>40</v>
      </c>
      <c r="V1332" s="11" t="s">
        <v>41</v>
      </c>
      <c r="W1332" s="11">
        <v>39000000</v>
      </c>
      <c r="X1332" s="11">
        <v>2009</v>
      </c>
      <c r="Y1332" s="11">
        <v>142</v>
      </c>
      <c r="Z1332" s="11">
        <v>7.1</v>
      </c>
      <c r="AA1332" s="11">
        <v>2.35</v>
      </c>
      <c r="AB1332" s="11">
        <v>13000</v>
      </c>
      <c r="AC1332" s="11"/>
      <c r="AD1332" s="11" t="str">
        <f>IFERROR(__xludf.DUMMYFUNCTION("""COMPUTED_VALUE"""),"Jason Connery")</f>
        <v>Jason Connery</v>
      </c>
      <c r="AE1332" s="11"/>
    </row>
    <row r="1333" customHeight="1" spans="1:31">
      <c r="A1333" s="12" t="s">
        <v>30</v>
      </c>
      <c r="B1333" s="12" t="s">
        <v>3803</v>
      </c>
      <c r="C1333" s="12">
        <v>110</v>
      </c>
      <c r="D1333" s="12">
        <v>102</v>
      </c>
      <c r="E1333" s="12">
        <v>36</v>
      </c>
      <c r="F1333" s="12">
        <v>433</v>
      </c>
      <c r="G1333" s="12">
        <v>747</v>
      </c>
      <c r="H1333" s="12">
        <v>42640890</v>
      </c>
      <c r="I1333" s="12" t="s">
        <v>1681</v>
      </c>
      <c r="J1333" s="12" t="s">
        <v>6926</v>
      </c>
      <c r="K1333" s="12" t="s">
        <v>1828</v>
      </c>
      <c r="L1333" s="12" t="s">
        <v>932</v>
      </c>
      <c r="M1333" s="12" t="s">
        <v>6927</v>
      </c>
      <c r="N1333" s="12">
        <v>32412</v>
      </c>
      <c r="O1333" s="12">
        <v>1930</v>
      </c>
      <c r="P1333" s="12">
        <v>1</v>
      </c>
      <c r="Q1333" s="12" t="s">
        <v>6928</v>
      </c>
      <c r="R1333" s="15" t="s">
        <v>6929</v>
      </c>
      <c r="S1333" s="12">
        <v>184</v>
      </c>
      <c r="T1333" s="12" t="s">
        <v>39</v>
      </c>
      <c r="U1333" s="12" t="s">
        <v>40</v>
      </c>
      <c r="V1333" s="12" t="s">
        <v>41</v>
      </c>
      <c r="W1333" s="16"/>
      <c r="X1333" s="12">
        <v>2007</v>
      </c>
      <c r="Y1333" s="12">
        <v>452</v>
      </c>
      <c r="Z1333" s="12">
        <v>5.6</v>
      </c>
      <c r="AA1333" s="12">
        <v>1.85</v>
      </c>
      <c r="AB1333" s="12">
        <v>0</v>
      </c>
      <c r="AC1333" s="12"/>
      <c r="AD1333" s="12" t="str">
        <f>IFERROR(__xludf.DUMMYFUNCTION("""COMPUTED_VALUE"""),"Kate Luyben")</f>
        <v>Kate Luyben</v>
      </c>
      <c r="AE1333" s="12"/>
    </row>
    <row r="1334" customHeight="1" spans="1:31">
      <c r="A1334" s="11" t="s">
        <v>30</v>
      </c>
      <c r="B1334" s="11" t="s">
        <v>500</v>
      </c>
      <c r="C1334" s="11">
        <v>187</v>
      </c>
      <c r="D1334" s="11">
        <v>106</v>
      </c>
      <c r="E1334" s="11">
        <v>357</v>
      </c>
      <c r="F1334" s="11">
        <v>4000</v>
      </c>
      <c r="G1334" s="11">
        <v>23000</v>
      </c>
      <c r="H1334" s="11">
        <v>144512310</v>
      </c>
      <c r="I1334" s="11" t="s">
        <v>334</v>
      </c>
      <c r="J1334" s="11" t="s">
        <v>336</v>
      </c>
      <c r="K1334" s="11" t="s">
        <v>337</v>
      </c>
      <c r="L1334" s="11" t="s">
        <v>682</v>
      </c>
      <c r="M1334" s="11" t="s">
        <v>683</v>
      </c>
      <c r="N1334" s="11">
        <v>272227</v>
      </c>
      <c r="O1334" s="11">
        <v>45327</v>
      </c>
      <c r="P1334" s="11">
        <v>2</v>
      </c>
      <c r="Q1334" s="11" t="s">
        <v>684</v>
      </c>
      <c r="R1334" s="14" t="s">
        <v>685</v>
      </c>
      <c r="S1334" s="11">
        <v>988</v>
      </c>
      <c r="T1334" s="11" t="s">
        <v>39</v>
      </c>
      <c r="U1334" s="11" t="s">
        <v>40</v>
      </c>
      <c r="V1334" s="11" t="s">
        <v>41</v>
      </c>
      <c r="W1334" s="11">
        <v>38000000</v>
      </c>
      <c r="X1334" s="11">
        <v>2001</v>
      </c>
      <c r="Y1334" s="11">
        <v>14000</v>
      </c>
      <c r="Z1334" s="11">
        <v>6.7</v>
      </c>
      <c r="AA1334" s="11">
        <v>2.35</v>
      </c>
      <c r="AB1334" s="11">
        <v>14000</v>
      </c>
      <c r="AC1334" s="11"/>
      <c r="AD1334" s="11" t="str">
        <f>IFERROR(__xludf.DUMMYFUNCTION("""COMPUTED_VALUE"""),"J.T. Walsh")</f>
        <v>J.T. Walsh</v>
      </c>
      <c r="AE1334" s="11"/>
    </row>
    <row r="1335" customHeight="1" spans="1:31">
      <c r="A1335" s="12" t="s">
        <v>748</v>
      </c>
      <c r="B1335" s="12" t="s">
        <v>256</v>
      </c>
      <c r="C1335" s="12">
        <v>370</v>
      </c>
      <c r="D1335" s="12">
        <v>87</v>
      </c>
      <c r="E1335" s="12">
        <v>13000</v>
      </c>
      <c r="F1335" s="12">
        <v>787</v>
      </c>
      <c r="G1335" s="12">
        <v>940</v>
      </c>
      <c r="H1335" s="12">
        <v>35287788</v>
      </c>
      <c r="I1335" s="12" t="s">
        <v>6930</v>
      </c>
      <c r="J1335" s="12" t="s">
        <v>3261</v>
      </c>
      <c r="K1335" s="12" t="s">
        <v>1802</v>
      </c>
      <c r="L1335" s="12" t="s">
        <v>6931</v>
      </c>
      <c r="M1335" s="12" t="s">
        <v>6932</v>
      </c>
      <c r="N1335" s="12">
        <v>73886</v>
      </c>
      <c r="O1335" s="12">
        <v>4774</v>
      </c>
      <c r="P1335" s="12">
        <v>0</v>
      </c>
      <c r="Q1335" s="12" t="s">
        <v>6933</v>
      </c>
      <c r="R1335" s="15" t="s">
        <v>6934</v>
      </c>
      <c r="S1335" s="12">
        <v>165</v>
      </c>
      <c r="T1335" s="12" t="s">
        <v>39</v>
      </c>
      <c r="U1335" s="12" t="s">
        <v>40</v>
      </c>
      <c r="V1335" s="12" t="s">
        <v>96</v>
      </c>
      <c r="W1335" s="12">
        <v>39000000</v>
      </c>
      <c r="X1335" s="12">
        <v>2012</v>
      </c>
      <c r="Y1335" s="12">
        <v>925</v>
      </c>
      <c r="Z1335" s="12">
        <v>7</v>
      </c>
      <c r="AA1335" s="12">
        <v>1.85</v>
      </c>
      <c r="AB1335" s="12">
        <v>25000</v>
      </c>
      <c r="AC1335" s="12"/>
      <c r="AD1335" s="12" t="str">
        <f>IFERROR(__xludf.DUMMYFUNCTION("""COMPUTED_VALUE"""),"Madeline Carroll")</f>
        <v>Madeline Carroll</v>
      </c>
      <c r="AE1335" s="12"/>
    </row>
    <row r="1336" customHeight="1" spans="1:31">
      <c r="A1336" s="11" t="s">
        <v>30</v>
      </c>
      <c r="B1336" s="11" t="s">
        <v>97</v>
      </c>
      <c r="C1336" s="11">
        <v>276</v>
      </c>
      <c r="D1336" s="11">
        <v>119</v>
      </c>
      <c r="E1336" s="11">
        <v>0</v>
      </c>
      <c r="F1336" s="11">
        <v>279</v>
      </c>
      <c r="G1336" s="11">
        <v>2000</v>
      </c>
      <c r="H1336" s="11">
        <v>25335935</v>
      </c>
      <c r="I1336" s="11" t="s">
        <v>227</v>
      </c>
      <c r="J1336" s="11" t="s">
        <v>1523</v>
      </c>
      <c r="K1336" s="11" t="s">
        <v>6935</v>
      </c>
      <c r="L1336" s="11" t="s">
        <v>6936</v>
      </c>
      <c r="M1336" s="11" t="s">
        <v>6937</v>
      </c>
      <c r="N1336" s="11">
        <v>242599</v>
      </c>
      <c r="O1336" s="11">
        <v>2853</v>
      </c>
      <c r="P1336" s="11">
        <v>0</v>
      </c>
      <c r="Q1336" s="11" t="s">
        <v>6938</v>
      </c>
      <c r="R1336" s="14" t="s">
        <v>6939</v>
      </c>
      <c r="S1336" s="11">
        <v>1594</v>
      </c>
      <c r="T1336" s="11" t="s">
        <v>39</v>
      </c>
      <c r="U1336" s="11" t="s">
        <v>40</v>
      </c>
      <c r="V1336" s="11" t="s">
        <v>41</v>
      </c>
      <c r="W1336" s="11">
        <v>40000000</v>
      </c>
      <c r="X1336" s="11">
        <v>2005</v>
      </c>
      <c r="Y1336" s="11">
        <v>505</v>
      </c>
      <c r="Z1336" s="11">
        <v>8</v>
      </c>
      <c r="AA1336" s="11">
        <v>2.35</v>
      </c>
      <c r="AB1336" s="11">
        <v>14000</v>
      </c>
      <c r="AC1336" s="11"/>
      <c r="AD1336" s="11" t="str">
        <f>IFERROR(__xludf.DUMMYFUNCTION("""COMPUTED_VALUE"""),"Ophelia Lovibond")</f>
        <v>Ophelia Lovibond</v>
      </c>
      <c r="AE1336" s="11"/>
    </row>
    <row r="1337" customHeight="1" spans="1:31">
      <c r="A1337" s="12" t="s">
        <v>30</v>
      </c>
      <c r="B1337" s="12" t="s">
        <v>4699</v>
      </c>
      <c r="C1337" s="12">
        <v>76</v>
      </c>
      <c r="D1337" s="12">
        <v>110</v>
      </c>
      <c r="E1337" s="12">
        <v>534</v>
      </c>
      <c r="F1337" s="12">
        <v>511</v>
      </c>
      <c r="G1337" s="12">
        <v>865</v>
      </c>
      <c r="H1337" s="12">
        <v>5881504</v>
      </c>
      <c r="I1337" s="12" t="s">
        <v>6940</v>
      </c>
      <c r="J1337" s="12" t="s">
        <v>5969</v>
      </c>
      <c r="K1337" s="12" t="s">
        <v>4699</v>
      </c>
      <c r="L1337" s="12" t="s">
        <v>5357</v>
      </c>
      <c r="M1337" s="12" t="s">
        <v>6941</v>
      </c>
      <c r="N1337" s="12">
        <v>5917</v>
      </c>
      <c r="O1337" s="12">
        <v>2972</v>
      </c>
      <c r="P1337" s="12">
        <v>2</v>
      </c>
      <c r="Q1337" s="12" t="s">
        <v>6942</v>
      </c>
      <c r="R1337" s="15" t="s">
        <v>6943</v>
      </c>
      <c r="S1337" s="12">
        <v>50</v>
      </c>
      <c r="T1337" s="12" t="s">
        <v>39</v>
      </c>
      <c r="U1337" s="12" t="s">
        <v>40</v>
      </c>
      <c r="V1337" s="12" t="s">
        <v>41</v>
      </c>
      <c r="W1337" s="12">
        <v>39000000</v>
      </c>
      <c r="X1337" s="12">
        <v>2004</v>
      </c>
      <c r="Y1337" s="12">
        <v>534</v>
      </c>
      <c r="Z1337" s="12">
        <v>5.3</v>
      </c>
      <c r="AA1337" s="12">
        <v>2.35</v>
      </c>
      <c r="AB1337" s="12">
        <v>177</v>
      </c>
      <c r="AC1337" s="12"/>
      <c r="AD1337" s="12" t="str">
        <f>IFERROR(__xludf.DUMMYFUNCTION("""COMPUTED_VALUE"""),"Thomas McDonell")</f>
        <v>Thomas McDonell</v>
      </c>
      <c r="AE1337" s="12"/>
    </row>
    <row r="1338" customHeight="1" spans="1:31">
      <c r="A1338" s="11" t="s">
        <v>30</v>
      </c>
      <c r="B1338" s="11" t="s">
        <v>4864</v>
      </c>
      <c r="C1338" s="11">
        <v>95</v>
      </c>
      <c r="D1338" s="11">
        <v>125</v>
      </c>
      <c r="E1338" s="11">
        <v>44</v>
      </c>
      <c r="F1338" s="11">
        <v>420</v>
      </c>
      <c r="G1338" s="11">
        <v>593</v>
      </c>
      <c r="H1338" s="11">
        <v>60000000</v>
      </c>
      <c r="I1338" s="11" t="s">
        <v>1904</v>
      </c>
      <c r="J1338" s="11" t="s">
        <v>4582</v>
      </c>
      <c r="K1338" s="11" t="s">
        <v>6944</v>
      </c>
      <c r="L1338" s="11" t="s">
        <v>4865</v>
      </c>
      <c r="M1338" s="11" t="s">
        <v>6945</v>
      </c>
      <c r="N1338" s="11">
        <v>49934</v>
      </c>
      <c r="O1338" s="11">
        <v>2329</v>
      </c>
      <c r="P1338" s="11">
        <v>1</v>
      </c>
      <c r="Q1338" s="11" t="s">
        <v>6946</v>
      </c>
      <c r="R1338" s="14" t="s">
        <v>6947</v>
      </c>
      <c r="S1338" s="11">
        <v>224</v>
      </c>
      <c r="T1338" s="11" t="s">
        <v>39</v>
      </c>
      <c r="U1338" s="11" t="s">
        <v>58</v>
      </c>
      <c r="V1338" s="11" t="s">
        <v>96</v>
      </c>
      <c r="W1338" s="11">
        <v>39000000</v>
      </c>
      <c r="X1338" s="11">
        <v>1983</v>
      </c>
      <c r="Y1338" s="11">
        <v>542</v>
      </c>
      <c r="Z1338" s="11">
        <v>4.9</v>
      </c>
      <c r="AA1338" s="11">
        <v>2.35</v>
      </c>
      <c r="AB1338" s="11">
        <v>0</v>
      </c>
      <c r="AC1338" s="11"/>
      <c r="AD1338" s="11" t="str">
        <f>IFERROR(__xludf.DUMMYFUNCTION("""COMPUTED_VALUE"""),"Carlos Ponce")</f>
        <v>Carlos Ponce</v>
      </c>
      <c r="AE1338" s="11"/>
    </row>
    <row r="1339" customHeight="1" spans="1:31">
      <c r="A1339" s="12" t="s">
        <v>30</v>
      </c>
      <c r="B1339" s="12" t="s">
        <v>2468</v>
      </c>
      <c r="C1339" s="12">
        <v>211</v>
      </c>
      <c r="D1339" s="12">
        <v>113</v>
      </c>
      <c r="E1339" s="12">
        <v>88</v>
      </c>
      <c r="F1339" s="12">
        <v>785</v>
      </c>
      <c r="G1339" s="12">
        <v>22000</v>
      </c>
      <c r="H1339" s="12">
        <v>29802761</v>
      </c>
      <c r="I1339" s="12" t="s">
        <v>3914</v>
      </c>
      <c r="J1339" s="12" t="s">
        <v>1746</v>
      </c>
      <c r="K1339" s="12" t="s">
        <v>1785</v>
      </c>
      <c r="L1339" s="12" t="s">
        <v>6948</v>
      </c>
      <c r="M1339" s="12" t="s">
        <v>6949</v>
      </c>
      <c r="N1339" s="12">
        <v>46480</v>
      </c>
      <c r="O1339" s="12">
        <v>36009</v>
      </c>
      <c r="P1339" s="12">
        <v>1</v>
      </c>
      <c r="Q1339" s="12" t="s">
        <v>6950</v>
      </c>
      <c r="R1339" s="15" t="s">
        <v>6951</v>
      </c>
      <c r="S1339" s="12">
        <v>115</v>
      </c>
      <c r="T1339" s="12" t="s">
        <v>39</v>
      </c>
      <c r="U1339" s="12" t="s">
        <v>40</v>
      </c>
      <c r="V1339" s="12" t="s">
        <v>41</v>
      </c>
      <c r="W1339" s="12">
        <v>40000000</v>
      </c>
      <c r="X1339" s="12">
        <v>2013</v>
      </c>
      <c r="Y1339" s="12">
        <v>13000</v>
      </c>
      <c r="Z1339" s="12">
        <v>6.4</v>
      </c>
      <c r="AA1339" s="12">
        <v>1.85</v>
      </c>
      <c r="AB1339" s="12">
        <v>12000</v>
      </c>
      <c r="AC1339" s="12"/>
      <c r="AD1339" s="12" t="str">
        <f>IFERROR(__xludf.DUMMYFUNCTION("""COMPUTED_VALUE"""),"Charles S. Dutton")</f>
        <v>Charles S. Dutton</v>
      </c>
      <c r="AE1339" s="12"/>
    </row>
    <row r="1340" customHeight="1" spans="1:31">
      <c r="A1340" s="11" t="s">
        <v>30</v>
      </c>
      <c r="B1340" s="11" t="s">
        <v>1341</v>
      </c>
      <c r="C1340" s="11">
        <v>160</v>
      </c>
      <c r="D1340" s="11">
        <v>150</v>
      </c>
      <c r="E1340" s="11">
        <v>610</v>
      </c>
      <c r="F1340" s="11">
        <v>478</v>
      </c>
      <c r="G1340" s="11">
        <v>755</v>
      </c>
      <c r="H1340" s="11">
        <v>626809</v>
      </c>
      <c r="I1340" s="11" t="s">
        <v>1098</v>
      </c>
      <c r="J1340" s="11" t="s">
        <v>6882</v>
      </c>
      <c r="K1340" s="11" t="s">
        <v>6167</v>
      </c>
      <c r="L1340" s="11" t="s">
        <v>6952</v>
      </c>
      <c r="M1340" s="11" t="s">
        <v>6953</v>
      </c>
      <c r="N1340" s="11">
        <v>36894</v>
      </c>
      <c r="O1340" s="11">
        <v>2172</v>
      </c>
      <c r="P1340" s="11">
        <v>4</v>
      </c>
      <c r="Q1340" s="11" t="s">
        <v>6954</v>
      </c>
      <c r="R1340" s="14" t="s">
        <v>6955</v>
      </c>
      <c r="S1340" s="11">
        <v>105</v>
      </c>
      <c r="T1340" s="11" t="s">
        <v>1947</v>
      </c>
      <c r="U1340" s="11" t="s">
        <v>893</v>
      </c>
      <c r="V1340" s="11" t="s">
        <v>586</v>
      </c>
      <c r="W1340" s="11">
        <v>553632000</v>
      </c>
      <c r="X1340" s="11">
        <v>2008</v>
      </c>
      <c r="Y1340" s="11">
        <v>643</v>
      </c>
      <c r="Z1340" s="11">
        <v>7.4</v>
      </c>
      <c r="AA1340" s="11">
        <v>2.35</v>
      </c>
      <c r="AB1340" s="11">
        <v>0</v>
      </c>
      <c r="AC1340" s="11"/>
      <c r="AD1340" s="11" t="str">
        <f>IFERROR(__xludf.DUMMYFUNCTION("""COMPUTED_VALUE"""),"Holt McCallany")</f>
        <v>Holt McCallany</v>
      </c>
      <c r="AE1340" s="11"/>
    </row>
    <row r="1341" customHeight="1" spans="1:31">
      <c r="A1341" s="12" t="s">
        <v>30</v>
      </c>
      <c r="B1341" s="12" t="s">
        <v>3137</v>
      </c>
      <c r="C1341" s="12">
        <v>97</v>
      </c>
      <c r="D1341" s="12">
        <v>108</v>
      </c>
      <c r="E1341" s="12">
        <v>72</v>
      </c>
      <c r="F1341" s="12">
        <v>559</v>
      </c>
      <c r="G1341" s="12">
        <v>982</v>
      </c>
      <c r="H1341" s="12">
        <v>127214072</v>
      </c>
      <c r="I1341" s="12" t="s">
        <v>1681</v>
      </c>
      <c r="J1341" s="12" t="s">
        <v>2643</v>
      </c>
      <c r="K1341" s="12" t="s">
        <v>5206</v>
      </c>
      <c r="L1341" s="12" t="s">
        <v>6956</v>
      </c>
      <c r="M1341" s="12" t="s">
        <v>6957</v>
      </c>
      <c r="N1341" s="12">
        <v>83786</v>
      </c>
      <c r="O1341" s="12">
        <v>4251</v>
      </c>
      <c r="P1341" s="12">
        <v>1</v>
      </c>
      <c r="Q1341" s="12" t="s">
        <v>6958</v>
      </c>
      <c r="R1341" s="15" t="s">
        <v>6959</v>
      </c>
      <c r="S1341" s="12">
        <v>392</v>
      </c>
      <c r="T1341" s="12" t="s">
        <v>39</v>
      </c>
      <c r="U1341" s="12" t="s">
        <v>40</v>
      </c>
      <c r="V1341" s="12" t="s">
        <v>41</v>
      </c>
      <c r="W1341" s="12">
        <v>38000000</v>
      </c>
      <c r="X1341" s="12">
        <v>2002</v>
      </c>
      <c r="Y1341" s="12">
        <v>935</v>
      </c>
      <c r="Z1341" s="12">
        <v>6.1</v>
      </c>
      <c r="AA1341" s="12">
        <v>2.35</v>
      </c>
      <c r="AB1341" s="12">
        <v>0</v>
      </c>
      <c r="AC1341" s="12"/>
      <c r="AD1341" s="12" t="str">
        <f>IFERROR(__xludf.DUMMYFUNCTION("""COMPUTED_VALUE"""),"Paul McGann")</f>
        <v>Paul McGann</v>
      </c>
      <c r="AE1341" s="12"/>
    </row>
    <row r="1342" customHeight="1" spans="1:31">
      <c r="A1342" s="11" t="s">
        <v>30</v>
      </c>
      <c r="B1342" s="11" t="s">
        <v>3103</v>
      </c>
      <c r="C1342" s="11">
        <v>174</v>
      </c>
      <c r="D1342" s="11">
        <v>96</v>
      </c>
      <c r="E1342" s="11">
        <v>126</v>
      </c>
      <c r="F1342" s="11">
        <v>954</v>
      </c>
      <c r="G1342" s="11">
        <v>18000</v>
      </c>
      <c r="H1342" s="11">
        <v>88915214</v>
      </c>
      <c r="I1342" s="11" t="s">
        <v>1681</v>
      </c>
      <c r="J1342" s="11" t="s">
        <v>641</v>
      </c>
      <c r="K1342" s="11" t="s">
        <v>1010</v>
      </c>
      <c r="L1342" s="11" t="s">
        <v>6960</v>
      </c>
      <c r="M1342" s="11" t="s">
        <v>6961</v>
      </c>
      <c r="N1342" s="11">
        <v>163665</v>
      </c>
      <c r="O1342" s="11">
        <v>22436</v>
      </c>
      <c r="P1342" s="11">
        <v>2</v>
      </c>
      <c r="Q1342" s="11" t="s">
        <v>6962</v>
      </c>
      <c r="R1342" s="14" t="s">
        <v>6963</v>
      </c>
      <c r="S1342" s="11">
        <v>169</v>
      </c>
      <c r="T1342" s="11" t="s">
        <v>39</v>
      </c>
      <c r="U1342" s="11" t="s">
        <v>40</v>
      </c>
      <c r="V1342" s="11" t="s">
        <v>586</v>
      </c>
      <c r="W1342" s="11">
        <v>38000000</v>
      </c>
      <c r="X1342" s="11">
        <v>2009</v>
      </c>
      <c r="Y1342" s="11">
        <v>957</v>
      </c>
      <c r="Z1342" s="11">
        <v>6.5</v>
      </c>
      <c r="AA1342" s="11">
        <v>2.35</v>
      </c>
      <c r="AB1342" s="11">
        <v>9000</v>
      </c>
      <c r="AC1342" s="11"/>
      <c r="AD1342" s="11" t="str">
        <f>IFERROR(__xludf.DUMMYFUNCTION("""COMPUTED_VALUE"""),"Andrea Corr")</f>
        <v>Andrea Corr</v>
      </c>
      <c r="AE1342" s="11"/>
    </row>
    <row r="1343" customHeight="1" spans="1:31">
      <c r="A1343" s="12" t="s">
        <v>30</v>
      </c>
      <c r="B1343" s="12" t="s">
        <v>6964</v>
      </c>
      <c r="C1343" s="12">
        <v>23</v>
      </c>
      <c r="D1343" s="12">
        <v>93</v>
      </c>
      <c r="E1343" s="12">
        <v>36</v>
      </c>
      <c r="F1343" s="12">
        <v>275</v>
      </c>
      <c r="G1343" s="12">
        <v>592</v>
      </c>
      <c r="H1343" s="12">
        <v>30400000</v>
      </c>
      <c r="I1343" s="12" t="s">
        <v>1672</v>
      </c>
      <c r="J1343" s="12" t="s">
        <v>2915</v>
      </c>
      <c r="K1343" s="12" t="s">
        <v>6965</v>
      </c>
      <c r="L1343" s="12" t="s">
        <v>6966</v>
      </c>
      <c r="M1343" s="12" t="s">
        <v>6967</v>
      </c>
      <c r="N1343" s="12">
        <v>17810</v>
      </c>
      <c r="O1343" s="12">
        <v>2176</v>
      </c>
      <c r="P1343" s="12">
        <v>2</v>
      </c>
      <c r="Q1343" s="12" t="s">
        <v>6968</v>
      </c>
      <c r="R1343" s="15" t="s">
        <v>6969</v>
      </c>
      <c r="S1343" s="12">
        <v>73</v>
      </c>
      <c r="T1343" s="12" t="s">
        <v>39</v>
      </c>
      <c r="U1343" s="12" t="s">
        <v>40</v>
      </c>
      <c r="V1343" s="12" t="s">
        <v>96</v>
      </c>
      <c r="W1343" s="12">
        <v>39000000</v>
      </c>
      <c r="X1343" s="12">
        <v>1996</v>
      </c>
      <c r="Y1343" s="12">
        <v>516</v>
      </c>
      <c r="Z1343" s="12">
        <v>5.7</v>
      </c>
      <c r="AA1343" s="12">
        <v>2.35</v>
      </c>
      <c r="AB1343" s="12">
        <v>478</v>
      </c>
      <c r="AC1343" s="12"/>
      <c r="AD1343" s="12" t="str">
        <f>IFERROR(__xludf.DUMMYFUNCTION("""COMPUTED_VALUE"""),"Jimmy Nail")</f>
        <v>Jimmy Nail</v>
      </c>
      <c r="AE1343" s="12"/>
    </row>
    <row r="1344" customHeight="1" spans="1:31">
      <c r="A1344" s="11" t="s">
        <v>30</v>
      </c>
      <c r="B1344" s="11" t="s">
        <v>4904</v>
      </c>
      <c r="C1344" s="11">
        <v>103</v>
      </c>
      <c r="D1344" s="11">
        <v>100</v>
      </c>
      <c r="E1344" s="11">
        <v>0</v>
      </c>
      <c r="F1344" s="11">
        <v>1000</v>
      </c>
      <c r="G1344" s="11">
        <v>12000</v>
      </c>
      <c r="H1344" s="11">
        <v>85570368</v>
      </c>
      <c r="I1344" s="11" t="s">
        <v>3037</v>
      </c>
      <c r="J1344" s="11" t="s">
        <v>272</v>
      </c>
      <c r="K1344" s="11" t="s">
        <v>5903</v>
      </c>
      <c r="L1344" s="11" t="s">
        <v>6970</v>
      </c>
      <c r="M1344" s="11" t="s">
        <v>6971</v>
      </c>
      <c r="N1344" s="11">
        <v>44885</v>
      </c>
      <c r="O1344" s="11">
        <v>18291</v>
      </c>
      <c r="P1344" s="11">
        <v>1</v>
      </c>
      <c r="Q1344" s="11" t="s">
        <v>6972</v>
      </c>
      <c r="R1344" s="14" t="s">
        <v>6973</v>
      </c>
      <c r="S1344" s="11">
        <v>107</v>
      </c>
      <c r="T1344" s="11" t="s">
        <v>39</v>
      </c>
      <c r="U1344" s="11" t="s">
        <v>40</v>
      </c>
      <c r="V1344" s="11" t="s">
        <v>96</v>
      </c>
      <c r="W1344" s="11">
        <v>38000000</v>
      </c>
      <c r="X1344" s="11">
        <v>2002</v>
      </c>
      <c r="Y1344" s="11">
        <v>2000</v>
      </c>
      <c r="Z1344" s="11">
        <v>5.1</v>
      </c>
      <c r="AA1344" s="11">
        <v>1.85</v>
      </c>
      <c r="AB1344" s="11">
        <v>478</v>
      </c>
      <c r="AC1344" s="11"/>
      <c r="AD1344" s="11" t="str">
        <f>IFERROR(__xludf.DUMMYFUNCTION("""COMPUTED_VALUE"""),"Peter Polycarpou")</f>
        <v>Peter Polycarpou</v>
      </c>
      <c r="AE1344" s="11"/>
    </row>
    <row r="1345" customHeight="1" spans="1:31">
      <c r="A1345" s="12" t="s">
        <v>30</v>
      </c>
      <c r="B1345" s="12" t="s">
        <v>6974</v>
      </c>
      <c r="C1345" s="12">
        <v>98</v>
      </c>
      <c r="D1345" s="12">
        <v>118</v>
      </c>
      <c r="E1345" s="12">
        <v>18</v>
      </c>
      <c r="F1345" s="12">
        <v>906</v>
      </c>
      <c r="G1345" s="12">
        <v>1000</v>
      </c>
      <c r="H1345" s="12">
        <v>75668868</v>
      </c>
      <c r="I1345" s="12" t="s">
        <v>1590</v>
      </c>
      <c r="J1345" s="12" t="s">
        <v>3378</v>
      </c>
      <c r="K1345" s="12" t="s">
        <v>2303</v>
      </c>
      <c r="L1345" s="12" t="s">
        <v>3377</v>
      </c>
      <c r="M1345" s="12" t="s">
        <v>6975</v>
      </c>
      <c r="N1345" s="12">
        <v>60504</v>
      </c>
      <c r="O1345" s="12">
        <v>6427</v>
      </c>
      <c r="P1345" s="12">
        <v>0</v>
      </c>
      <c r="Q1345" s="12" t="s">
        <v>6976</v>
      </c>
      <c r="R1345" s="15" t="s">
        <v>6977</v>
      </c>
      <c r="S1345" s="12">
        <v>249</v>
      </c>
      <c r="T1345" s="12" t="s">
        <v>39</v>
      </c>
      <c r="U1345" s="12" t="s">
        <v>40</v>
      </c>
      <c r="V1345" s="12" t="s">
        <v>96</v>
      </c>
      <c r="W1345" s="12">
        <v>35000000</v>
      </c>
      <c r="X1345" s="12">
        <v>1994</v>
      </c>
      <c r="Y1345" s="12">
        <v>946</v>
      </c>
      <c r="Z1345" s="12">
        <v>6.6</v>
      </c>
      <c r="AA1345" s="12">
        <v>2.35</v>
      </c>
      <c r="AB1345" s="12">
        <v>0</v>
      </c>
      <c r="AC1345" s="12"/>
      <c r="AD1345" s="12" t="str">
        <f>IFERROR(__xludf.DUMMYFUNCTION("""COMPUTED_VALUE"""),"Michael Lonsdale")</f>
        <v>Michael Lonsdale</v>
      </c>
      <c r="AE1345" s="12"/>
    </row>
    <row r="1346" customHeight="1" spans="1:31">
      <c r="A1346" s="11" t="s">
        <v>30</v>
      </c>
      <c r="B1346" s="11" t="s">
        <v>6978</v>
      </c>
      <c r="C1346" s="11">
        <v>273</v>
      </c>
      <c r="D1346" s="11">
        <v>122</v>
      </c>
      <c r="E1346" s="11">
        <v>0</v>
      </c>
      <c r="F1346" s="11">
        <v>7</v>
      </c>
      <c r="G1346" s="11">
        <v>643</v>
      </c>
      <c r="H1346" s="11">
        <v>6594136</v>
      </c>
      <c r="I1346" s="11" t="s">
        <v>6979</v>
      </c>
      <c r="J1346" s="11" t="s">
        <v>6167</v>
      </c>
      <c r="K1346" s="11" t="s">
        <v>6980</v>
      </c>
      <c r="L1346" s="11" t="s">
        <v>6981</v>
      </c>
      <c r="M1346" s="11" t="s">
        <v>6982</v>
      </c>
      <c r="N1346" s="11">
        <v>24557</v>
      </c>
      <c r="O1346" s="11">
        <v>943</v>
      </c>
      <c r="P1346" s="11">
        <v>1</v>
      </c>
      <c r="Q1346" s="11" t="s">
        <v>6983</v>
      </c>
      <c r="R1346" s="14" t="s">
        <v>6984</v>
      </c>
      <c r="S1346" s="11">
        <v>111</v>
      </c>
      <c r="T1346" s="11" t="s">
        <v>1947</v>
      </c>
      <c r="U1346" s="11" t="s">
        <v>3860</v>
      </c>
      <c r="V1346" s="11" t="s">
        <v>41</v>
      </c>
      <c r="W1346" s="11">
        <v>38600000</v>
      </c>
      <c r="X1346" s="11">
        <v>2013</v>
      </c>
      <c r="Y1346" s="11">
        <v>290</v>
      </c>
      <c r="Z1346" s="11">
        <v>6.5</v>
      </c>
      <c r="AA1346" s="11">
        <v>2.35</v>
      </c>
      <c r="AB1346" s="11">
        <v>13000</v>
      </c>
      <c r="AC1346" s="11"/>
      <c r="AD1346" s="11" t="str">
        <f>IFERROR(__xludf.DUMMYFUNCTION("""COMPUTED_VALUE"""),"Om Puri")</f>
        <v>Om Puri</v>
      </c>
      <c r="AE1346" s="11"/>
    </row>
    <row r="1347" customHeight="1" spans="1:31">
      <c r="A1347" s="12" t="s">
        <v>30</v>
      </c>
      <c r="B1347" s="12" t="s">
        <v>697</v>
      </c>
      <c r="C1347" s="12">
        <v>279</v>
      </c>
      <c r="D1347" s="12">
        <v>120</v>
      </c>
      <c r="E1347" s="12">
        <v>508</v>
      </c>
      <c r="F1347" s="12">
        <v>1000</v>
      </c>
      <c r="G1347" s="12">
        <v>21000</v>
      </c>
      <c r="H1347" s="12">
        <v>58700247</v>
      </c>
      <c r="I1347" s="12" t="s">
        <v>214</v>
      </c>
      <c r="J1347" s="12" t="s">
        <v>769</v>
      </c>
      <c r="K1347" s="12" t="s">
        <v>52</v>
      </c>
      <c r="L1347" s="12" t="s">
        <v>303</v>
      </c>
      <c r="M1347" s="12" t="s">
        <v>6985</v>
      </c>
      <c r="N1347" s="12">
        <v>95367</v>
      </c>
      <c r="O1347" s="12">
        <v>36062</v>
      </c>
      <c r="P1347" s="12">
        <v>1</v>
      </c>
      <c r="Q1347" s="12" t="s">
        <v>6986</v>
      </c>
      <c r="R1347" s="15" t="s">
        <v>6987</v>
      </c>
      <c r="S1347" s="12">
        <v>260</v>
      </c>
      <c r="T1347" s="12" t="s">
        <v>39</v>
      </c>
      <c r="U1347" s="12" t="s">
        <v>40</v>
      </c>
      <c r="V1347" s="12" t="s">
        <v>41</v>
      </c>
      <c r="W1347" s="12">
        <v>38000000</v>
      </c>
      <c r="X1347" s="12">
        <v>2011</v>
      </c>
      <c r="Y1347" s="12">
        <v>11000</v>
      </c>
      <c r="Z1347" s="12">
        <v>6.9</v>
      </c>
      <c r="AA1347" s="12">
        <v>2.35</v>
      </c>
      <c r="AB1347" s="12">
        <v>33000</v>
      </c>
      <c r="AC1347" s="12"/>
      <c r="AD1347" s="12" t="str">
        <f>IFERROR(__xludf.DUMMYFUNCTION("""COMPUTED_VALUE"""),"Matt Lucas")</f>
        <v>Matt Lucas</v>
      </c>
      <c r="AE1347" s="12"/>
    </row>
    <row r="1348" customHeight="1" spans="1:31">
      <c r="A1348" s="11" t="s">
        <v>30</v>
      </c>
      <c r="B1348" s="13"/>
      <c r="C1348" s="11">
        <v>22</v>
      </c>
      <c r="D1348" s="11">
        <v>60</v>
      </c>
      <c r="E1348" s="13"/>
      <c r="F1348" s="11">
        <v>501</v>
      </c>
      <c r="G1348" s="11">
        <v>23000</v>
      </c>
      <c r="H1348" s="13"/>
      <c r="I1348" s="11" t="s">
        <v>2658</v>
      </c>
      <c r="J1348" s="11" t="s">
        <v>63</v>
      </c>
      <c r="K1348" s="11" t="s">
        <v>994</v>
      </c>
      <c r="L1348" s="11" t="s">
        <v>6988</v>
      </c>
      <c r="M1348" s="11" t="s">
        <v>6989</v>
      </c>
      <c r="N1348" s="11">
        <v>38383</v>
      </c>
      <c r="O1348" s="11">
        <v>25160</v>
      </c>
      <c r="P1348" s="11">
        <v>4</v>
      </c>
      <c r="Q1348" s="11" t="s">
        <v>6990</v>
      </c>
      <c r="R1348" s="14" t="s">
        <v>6991</v>
      </c>
      <c r="S1348" s="11">
        <v>86</v>
      </c>
      <c r="T1348" s="11" t="s">
        <v>39</v>
      </c>
      <c r="U1348" s="11" t="s">
        <v>40</v>
      </c>
      <c r="V1348" s="11" t="s">
        <v>1569</v>
      </c>
      <c r="W1348" s="13"/>
      <c r="X1348" s="13"/>
      <c r="Y1348" s="11">
        <v>967</v>
      </c>
      <c r="Z1348" s="11">
        <v>7.8</v>
      </c>
      <c r="AA1348" s="11">
        <v>1.33</v>
      </c>
      <c r="AB1348" s="11">
        <v>0</v>
      </c>
      <c r="AC1348" s="11"/>
      <c r="AD1348" s="11" t="str">
        <f>IFERROR(__xludf.DUMMYFUNCTION("""COMPUTED_VALUE"""),"Sally Hawkins")</f>
        <v>Sally Hawkins</v>
      </c>
      <c r="AE1348" s="11"/>
    </row>
    <row r="1349" customHeight="1" spans="1:31">
      <c r="A1349" s="12" t="s">
        <v>30</v>
      </c>
      <c r="B1349" s="12" t="s">
        <v>6992</v>
      </c>
      <c r="C1349" s="12">
        <v>4</v>
      </c>
      <c r="D1349" s="12">
        <v>88</v>
      </c>
      <c r="E1349" s="12">
        <v>0</v>
      </c>
      <c r="F1349" s="12">
        <v>46</v>
      </c>
      <c r="G1349" s="12">
        <v>76</v>
      </c>
      <c r="H1349" s="16"/>
      <c r="I1349" s="12" t="s">
        <v>628</v>
      </c>
      <c r="J1349" s="12" t="s">
        <v>6993</v>
      </c>
      <c r="K1349" s="12" t="s">
        <v>6994</v>
      </c>
      <c r="L1349" s="12" t="s">
        <v>6995</v>
      </c>
      <c r="M1349" s="12" t="s">
        <v>6996</v>
      </c>
      <c r="N1349" s="12">
        <v>2169</v>
      </c>
      <c r="O1349" s="12">
        <v>196</v>
      </c>
      <c r="P1349" s="12">
        <v>0</v>
      </c>
      <c r="Q1349" s="16"/>
      <c r="R1349" s="15" t="s">
        <v>6997</v>
      </c>
      <c r="S1349" s="12">
        <v>18</v>
      </c>
      <c r="T1349" s="12" t="s">
        <v>39</v>
      </c>
      <c r="U1349" s="12" t="s">
        <v>893</v>
      </c>
      <c r="V1349" s="16"/>
      <c r="W1349" s="12">
        <v>40000000</v>
      </c>
      <c r="X1349" s="12">
        <v>2014</v>
      </c>
      <c r="Y1349" s="12">
        <v>47</v>
      </c>
      <c r="Z1349" s="12">
        <v>6.4</v>
      </c>
      <c r="AA1349" s="16"/>
      <c r="AB1349" s="12">
        <v>0</v>
      </c>
      <c r="AC1349" s="12"/>
      <c r="AD1349" s="12" t="str">
        <f>IFERROR(__xludf.DUMMYFUNCTION("""COMPUTED_VALUE"""),"Nicholas Braun")</f>
        <v>Nicholas Braun</v>
      </c>
      <c r="AE1349" s="12"/>
    </row>
    <row r="1350" customHeight="1" spans="1:31">
      <c r="A1350" s="11" t="s">
        <v>748</v>
      </c>
      <c r="B1350" s="11" t="s">
        <v>6998</v>
      </c>
      <c r="C1350" s="11">
        <v>65</v>
      </c>
      <c r="D1350" s="11">
        <v>146</v>
      </c>
      <c r="E1350" s="11">
        <v>278</v>
      </c>
      <c r="F1350" s="11">
        <v>494</v>
      </c>
      <c r="G1350" s="11">
        <v>18000</v>
      </c>
      <c r="H1350" s="11">
        <v>50668906</v>
      </c>
      <c r="I1350" s="11" t="s">
        <v>1635</v>
      </c>
      <c r="J1350" s="11" t="s">
        <v>1727</v>
      </c>
      <c r="K1350" s="11" t="s">
        <v>3555</v>
      </c>
      <c r="L1350" s="11" t="s">
        <v>5084</v>
      </c>
      <c r="M1350" s="11" t="s">
        <v>6999</v>
      </c>
      <c r="N1350" s="11">
        <v>76016</v>
      </c>
      <c r="O1350" s="11">
        <v>20516</v>
      </c>
      <c r="P1350" s="11">
        <v>0</v>
      </c>
      <c r="Q1350" s="11" t="s">
        <v>7000</v>
      </c>
      <c r="R1350" s="14" t="s">
        <v>7001</v>
      </c>
      <c r="S1350" s="11">
        <v>265</v>
      </c>
      <c r="T1350" s="11" t="s">
        <v>39</v>
      </c>
      <c r="U1350" s="11" t="s">
        <v>40</v>
      </c>
      <c r="V1350" s="11" t="s">
        <v>586</v>
      </c>
      <c r="W1350" s="11">
        <v>38000000</v>
      </c>
      <c r="X1350" s="11">
        <v>1999</v>
      </c>
      <c r="Y1350" s="11">
        <v>584</v>
      </c>
      <c r="Z1350" s="11">
        <v>7.6</v>
      </c>
      <c r="AA1350" s="11">
        <v>1.85</v>
      </c>
      <c r="AB1350" s="11">
        <v>0</v>
      </c>
      <c r="AC1350" s="11"/>
      <c r="AD1350" s="11" t="str">
        <f>IFERROR(__xludf.DUMMYFUNCTION("""COMPUTED_VALUE"""),"Jenna Boyd")</f>
        <v>Jenna Boyd</v>
      </c>
      <c r="AE1350" s="11"/>
    </row>
    <row r="1351" customHeight="1" spans="1:31">
      <c r="A1351" s="12" t="s">
        <v>30</v>
      </c>
      <c r="B1351" s="12" t="s">
        <v>742</v>
      </c>
      <c r="C1351" s="12">
        <v>98</v>
      </c>
      <c r="D1351" s="12">
        <v>115</v>
      </c>
      <c r="E1351" s="12">
        <v>150</v>
      </c>
      <c r="F1351" s="12">
        <v>789</v>
      </c>
      <c r="G1351" s="12">
        <v>970</v>
      </c>
      <c r="H1351" s="12">
        <v>39177215</v>
      </c>
      <c r="I1351" s="12" t="s">
        <v>2126</v>
      </c>
      <c r="J1351" s="12" t="s">
        <v>3833</v>
      </c>
      <c r="K1351" s="12" t="s">
        <v>7002</v>
      </c>
      <c r="L1351" s="12" t="s">
        <v>4784</v>
      </c>
      <c r="M1351" s="12" t="s">
        <v>7003</v>
      </c>
      <c r="N1351" s="12">
        <v>30667</v>
      </c>
      <c r="O1351" s="12">
        <v>3770</v>
      </c>
      <c r="P1351" s="12">
        <v>1</v>
      </c>
      <c r="Q1351" s="12" t="s">
        <v>7004</v>
      </c>
      <c r="R1351" s="15" t="s">
        <v>7005</v>
      </c>
      <c r="S1351" s="12">
        <v>234</v>
      </c>
      <c r="T1351" s="12" t="s">
        <v>39</v>
      </c>
      <c r="U1351" s="12" t="s">
        <v>40</v>
      </c>
      <c r="V1351" s="12" t="s">
        <v>41</v>
      </c>
      <c r="W1351" s="12">
        <v>38000000</v>
      </c>
      <c r="X1351" s="12">
        <v>2002</v>
      </c>
      <c r="Y1351" s="12">
        <v>919</v>
      </c>
      <c r="Z1351" s="12">
        <v>5.6</v>
      </c>
      <c r="AA1351" s="12">
        <v>2.35</v>
      </c>
      <c r="AB1351" s="12">
        <v>0</v>
      </c>
      <c r="AC1351" s="12"/>
      <c r="AD1351" s="12" t="str">
        <f>IFERROR(__xludf.DUMMYFUNCTION("""COMPUTED_VALUE"""),"Rex Linn")</f>
        <v>Rex Linn</v>
      </c>
      <c r="AE1351" s="12"/>
    </row>
    <row r="1352" customHeight="1" spans="1:31">
      <c r="A1352" s="11" t="s">
        <v>30</v>
      </c>
      <c r="B1352" s="11" t="s">
        <v>7006</v>
      </c>
      <c r="C1352" s="11">
        <v>116</v>
      </c>
      <c r="D1352" s="11">
        <v>123</v>
      </c>
      <c r="E1352" s="11">
        <v>7</v>
      </c>
      <c r="F1352" s="11">
        <v>692</v>
      </c>
      <c r="G1352" s="11">
        <v>931</v>
      </c>
      <c r="H1352" s="11">
        <v>40334024</v>
      </c>
      <c r="I1352" s="11" t="s">
        <v>4262</v>
      </c>
      <c r="J1352" s="11" t="s">
        <v>623</v>
      </c>
      <c r="K1352" s="11" t="s">
        <v>4005</v>
      </c>
      <c r="L1352" s="11" t="s">
        <v>1655</v>
      </c>
      <c r="M1352" s="11" t="s">
        <v>7007</v>
      </c>
      <c r="N1352" s="11">
        <v>44168</v>
      </c>
      <c r="O1352" s="11">
        <v>2912</v>
      </c>
      <c r="P1352" s="11">
        <v>3</v>
      </c>
      <c r="Q1352" s="11" t="s">
        <v>7008</v>
      </c>
      <c r="R1352" s="14" t="s">
        <v>7009</v>
      </c>
      <c r="S1352" s="11">
        <v>216</v>
      </c>
      <c r="T1352" s="11" t="s">
        <v>39</v>
      </c>
      <c r="U1352" s="11" t="s">
        <v>40</v>
      </c>
      <c r="V1352" s="11" t="s">
        <v>41</v>
      </c>
      <c r="W1352" s="11">
        <v>35000000</v>
      </c>
      <c r="X1352" s="11">
        <v>2001</v>
      </c>
      <c r="Y1352" s="11">
        <v>754</v>
      </c>
      <c r="Z1352" s="11">
        <v>6.2</v>
      </c>
      <c r="AA1352" s="11">
        <v>2.35</v>
      </c>
      <c r="AB1352" s="11">
        <v>989</v>
      </c>
      <c r="AC1352" s="11"/>
      <c r="AD1352" s="11" t="str">
        <f>IFERROR(__xludf.DUMMYFUNCTION("""COMPUTED_VALUE"""),"John Ashton")</f>
        <v>John Ashton</v>
      </c>
      <c r="AE1352" s="11"/>
    </row>
    <row r="1353" customHeight="1" spans="1:31">
      <c r="A1353" s="12" t="s">
        <v>30</v>
      </c>
      <c r="B1353" s="12" t="s">
        <v>5134</v>
      </c>
      <c r="C1353" s="12">
        <v>76</v>
      </c>
      <c r="D1353" s="12">
        <v>94</v>
      </c>
      <c r="E1353" s="12">
        <v>99</v>
      </c>
      <c r="F1353" s="12">
        <v>377</v>
      </c>
      <c r="G1353" s="12">
        <v>598</v>
      </c>
      <c r="H1353" s="12">
        <v>71038190</v>
      </c>
      <c r="I1353" s="12" t="s">
        <v>1753</v>
      </c>
      <c r="J1353" s="12" t="s">
        <v>7010</v>
      </c>
      <c r="K1353" s="12" t="s">
        <v>7011</v>
      </c>
      <c r="L1353" s="12" t="s">
        <v>7012</v>
      </c>
      <c r="M1353" s="12" t="s">
        <v>7013</v>
      </c>
      <c r="N1353" s="12">
        <v>23473</v>
      </c>
      <c r="O1353" s="12">
        <v>3552</v>
      </c>
      <c r="P1353" s="12">
        <v>1</v>
      </c>
      <c r="Q1353" s="12" t="s">
        <v>7014</v>
      </c>
      <c r="R1353" s="15" t="s">
        <v>7015</v>
      </c>
      <c r="S1353" s="12">
        <v>123</v>
      </c>
      <c r="T1353" s="12" t="s">
        <v>39</v>
      </c>
      <c r="U1353" s="12" t="s">
        <v>40</v>
      </c>
      <c r="V1353" s="12" t="s">
        <v>96</v>
      </c>
      <c r="W1353" s="12">
        <v>30000000</v>
      </c>
      <c r="X1353" s="12">
        <v>2015</v>
      </c>
      <c r="Y1353" s="12">
        <v>557</v>
      </c>
      <c r="Z1353" s="12">
        <v>4.4</v>
      </c>
      <c r="AA1353" s="12">
        <v>1.85</v>
      </c>
      <c r="AB1353" s="12">
        <v>8000</v>
      </c>
      <c r="AC1353" s="12"/>
      <c r="AD1353" s="12" t="str">
        <f>IFERROR(__xludf.DUMMYFUNCTION("""COMPUTED_VALUE"""),"Terence Bernie Hines")</f>
        <v>Terence Bernie Hines</v>
      </c>
      <c r="AE1353" s="12"/>
    </row>
    <row r="1354" customHeight="1" spans="1:31">
      <c r="A1354" s="11" t="s">
        <v>30</v>
      </c>
      <c r="B1354" s="11" t="s">
        <v>7016</v>
      </c>
      <c r="C1354" s="11">
        <v>106</v>
      </c>
      <c r="D1354" s="11">
        <v>102</v>
      </c>
      <c r="E1354" s="11">
        <v>43</v>
      </c>
      <c r="F1354" s="11">
        <v>280</v>
      </c>
      <c r="G1354" s="11">
        <v>308</v>
      </c>
      <c r="H1354" s="11">
        <v>24044532</v>
      </c>
      <c r="I1354" s="11" t="s">
        <v>214</v>
      </c>
      <c r="J1354" s="11" t="s">
        <v>7017</v>
      </c>
      <c r="K1354" s="11" t="s">
        <v>5019</v>
      </c>
      <c r="L1354" s="11" t="s">
        <v>7018</v>
      </c>
      <c r="M1354" s="11" t="s">
        <v>7019</v>
      </c>
      <c r="N1354" s="11">
        <v>19686</v>
      </c>
      <c r="O1354" s="11">
        <v>1440</v>
      </c>
      <c r="P1354" s="11">
        <v>0</v>
      </c>
      <c r="Q1354" s="11" t="s">
        <v>7020</v>
      </c>
      <c r="R1354" s="14" t="s">
        <v>7021</v>
      </c>
      <c r="S1354" s="11">
        <v>180</v>
      </c>
      <c r="T1354" s="11" t="s">
        <v>39</v>
      </c>
      <c r="U1354" s="11" t="s">
        <v>40</v>
      </c>
      <c r="V1354" s="11" t="s">
        <v>586</v>
      </c>
      <c r="W1354" s="11">
        <v>38000000</v>
      </c>
      <c r="X1354" s="11">
        <v>2001</v>
      </c>
      <c r="Y1354" s="11">
        <v>285</v>
      </c>
      <c r="Z1354" s="11">
        <v>5.6</v>
      </c>
      <c r="AA1354" s="11">
        <v>1.85</v>
      </c>
      <c r="AB1354" s="11">
        <v>689</v>
      </c>
      <c r="AC1354" s="11"/>
      <c r="AD1354" s="11" t="str">
        <f>IFERROR(__xludf.DUMMYFUNCTION("""COMPUTED_VALUE"""),"Seymour Cassel")</f>
        <v>Seymour Cassel</v>
      </c>
      <c r="AE1354" s="11"/>
    </row>
    <row r="1355" customHeight="1" spans="1:31">
      <c r="A1355" s="12" t="s">
        <v>30</v>
      </c>
      <c r="B1355" s="12" t="s">
        <v>4204</v>
      </c>
      <c r="C1355" s="12">
        <v>55</v>
      </c>
      <c r="D1355" s="12">
        <v>98</v>
      </c>
      <c r="E1355" s="12">
        <v>11</v>
      </c>
      <c r="F1355" s="12">
        <v>466</v>
      </c>
      <c r="G1355" s="12">
        <v>854</v>
      </c>
      <c r="H1355" s="12">
        <v>22770864</v>
      </c>
      <c r="I1355" s="12" t="s">
        <v>2528</v>
      </c>
      <c r="J1355" s="12" t="s">
        <v>3503</v>
      </c>
      <c r="K1355" s="12" t="s">
        <v>4453</v>
      </c>
      <c r="L1355" s="12" t="s">
        <v>2122</v>
      </c>
      <c r="M1355" s="12" t="s">
        <v>7022</v>
      </c>
      <c r="N1355" s="12">
        <v>8433</v>
      </c>
      <c r="O1355" s="12">
        <v>2765</v>
      </c>
      <c r="P1355" s="12">
        <v>1</v>
      </c>
      <c r="Q1355" s="12" t="s">
        <v>7023</v>
      </c>
      <c r="R1355" s="15" t="s">
        <v>7024</v>
      </c>
      <c r="S1355" s="12">
        <v>85</v>
      </c>
      <c r="T1355" s="12" t="s">
        <v>39</v>
      </c>
      <c r="U1355" s="12" t="s">
        <v>40</v>
      </c>
      <c r="V1355" s="12" t="s">
        <v>96</v>
      </c>
      <c r="W1355" s="12">
        <v>38000000</v>
      </c>
      <c r="X1355" s="12">
        <v>2001</v>
      </c>
      <c r="Y1355" s="12">
        <v>543</v>
      </c>
      <c r="Z1355" s="12">
        <v>5.5</v>
      </c>
      <c r="AA1355" s="12">
        <v>1.85</v>
      </c>
      <c r="AB1355" s="12">
        <v>168</v>
      </c>
      <c r="AC1355" s="12"/>
      <c r="AD1355" s="12" t="str">
        <f>IFERROR(__xludf.DUMMYFUNCTION("""COMPUTED_VALUE"""),"Russell Tovey")</f>
        <v>Russell Tovey</v>
      </c>
      <c r="AE1355" s="12"/>
    </row>
    <row r="1356" customHeight="1" spans="1:31">
      <c r="A1356" s="11" t="s">
        <v>30</v>
      </c>
      <c r="B1356" s="11" t="s">
        <v>3818</v>
      </c>
      <c r="C1356" s="11">
        <v>172</v>
      </c>
      <c r="D1356" s="11">
        <v>133</v>
      </c>
      <c r="E1356" s="11">
        <v>2000</v>
      </c>
      <c r="F1356" s="11">
        <v>541</v>
      </c>
      <c r="G1356" s="11">
        <v>40000</v>
      </c>
      <c r="H1356" s="11">
        <v>18653746</v>
      </c>
      <c r="I1356" s="11" t="s">
        <v>852</v>
      </c>
      <c r="J1356" s="11" t="s">
        <v>44</v>
      </c>
      <c r="K1356" s="11" t="s">
        <v>122</v>
      </c>
      <c r="L1356" s="11" t="s">
        <v>3161</v>
      </c>
      <c r="M1356" s="11" t="s">
        <v>7025</v>
      </c>
      <c r="N1356" s="11">
        <v>137722</v>
      </c>
      <c r="O1356" s="11">
        <v>42344</v>
      </c>
      <c r="P1356" s="11">
        <v>1</v>
      </c>
      <c r="Q1356" s="11" t="s">
        <v>7026</v>
      </c>
      <c r="R1356" s="14" t="s">
        <v>7027</v>
      </c>
      <c r="S1356" s="11">
        <v>638</v>
      </c>
      <c r="T1356" s="11" t="s">
        <v>39</v>
      </c>
      <c r="U1356" s="11" t="s">
        <v>3572</v>
      </c>
      <c r="V1356" s="11" t="s">
        <v>586</v>
      </c>
      <c r="W1356" s="11">
        <v>38000000</v>
      </c>
      <c r="X1356" s="11">
        <v>1999</v>
      </c>
      <c r="Y1356" s="11">
        <v>903</v>
      </c>
      <c r="Z1356" s="11">
        <v>6.7</v>
      </c>
      <c r="AA1356" s="11">
        <v>2.35</v>
      </c>
      <c r="AB1356" s="11">
        <v>0</v>
      </c>
      <c r="AC1356" s="11"/>
      <c r="AD1356" s="11" t="str">
        <f>IFERROR(__xludf.DUMMYFUNCTION("""COMPUTED_VALUE"""),"Ellen Barkin")</f>
        <v>Ellen Barkin</v>
      </c>
      <c r="AE1356" s="11"/>
    </row>
    <row r="1357" customHeight="1" spans="1:31">
      <c r="A1357" s="12" t="s">
        <v>30</v>
      </c>
      <c r="B1357" s="12" t="s">
        <v>742</v>
      </c>
      <c r="C1357" s="12">
        <v>47</v>
      </c>
      <c r="D1357" s="12">
        <v>118</v>
      </c>
      <c r="E1357" s="12">
        <v>150</v>
      </c>
      <c r="F1357" s="12">
        <v>182</v>
      </c>
      <c r="G1357" s="12">
        <v>24000</v>
      </c>
      <c r="H1357" s="12">
        <v>17305211</v>
      </c>
      <c r="I1357" s="12" t="s">
        <v>2142</v>
      </c>
      <c r="J1357" s="12" t="s">
        <v>82</v>
      </c>
      <c r="K1357" s="12" t="s">
        <v>3763</v>
      </c>
      <c r="L1357" s="12" t="s">
        <v>7028</v>
      </c>
      <c r="M1357" s="12" t="s">
        <v>7029</v>
      </c>
      <c r="N1357" s="12">
        <v>14066</v>
      </c>
      <c r="O1357" s="12">
        <v>24547</v>
      </c>
      <c r="P1357" s="12">
        <v>0</v>
      </c>
      <c r="Q1357" s="12" t="s">
        <v>7030</v>
      </c>
      <c r="R1357" s="15" t="s">
        <v>7031</v>
      </c>
      <c r="S1357" s="12">
        <v>75</v>
      </c>
      <c r="T1357" s="12" t="s">
        <v>39</v>
      </c>
      <c r="U1357" s="12" t="s">
        <v>40</v>
      </c>
      <c r="V1357" s="12" t="s">
        <v>586</v>
      </c>
      <c r="W1357" s="12">
        <v>38000000</v>
      </c>
      <c r="X1357" s="12">
        <v>1996</v>
      </c>
      <c r="Y1357" s="12">
        <v>210</v>
      </c>
      <c r="Z1357" s="12">
        <v>6.1</v>
      </c>
      <c r="AA1357" s="12">
        <v>2.35</v>
      </c>
      <c r="AB1357" s="12">
        <v>352</v>
      </c>
      <c r="AC1357" s="12"/>
      <c r="AD1357" s="12" t="str">
        <f>IFERROR(__xludf.DUMMYFUNCTION("""COMPUTED_VALUE"""),"Miranda Richardson")</f>
        <v>Miranda Richardson</v>
      </c>
      <c r="AE1357" s="12"/>
    </row>
    <row r="1358" customHeight="1" spans="1:31">
      <c r="A1358" s="11" t="s">
        <v>30</v>
      </c>
      <c r="B1358" s="11" t="s">
        <v>4438</v>
      </c>
      <c r="C1358" s="11">
        <v>107</v>
      </c>
      <c r="D1358" s="11">
        <v>105</v>
      </c>
      <c r="E1358" s="11">
        <v>65</v>
      </c>
      <c r="F1358" s="11">
        <v>108</v>
      </c>
      <c r="G1358" s="11">
        <v>628</v>
      </c>
      <c r="H1358" s="11">
        <v>16991902</v>
      </c>
      <c r="I1358" s="11" t="s">
        <v>6200</v>
      </c>
      <c r="J1358" s="11" t="s">
        <v>7032</v>
      </c>
      <c r="K1358" s="11" t="s">
        <v>7033</v>
      </c>
      <c r="L1358" s="11" t="s">
        <v>7034</v>
      </c>
      <c r="M1358" s="11" t="s">
        <v>7035</v>
      </c>
      <c r="N1358" s="11">
        <v>34592</v>
      </c>
      <c r="O1358" s="11">
        <v>1265</v>
      </c>
      <c r="P1358" s="11">
        <v>0</v>
      </c>
      <c r="Q1358" s="11" t="s">
        <v>7036</v>
      </c>
      <c r="R1358" s="14" t="s">
        <v>7037</v>
      </c>
      <c r="S1358" s="11">
        <v>191</v>
      </c>
      <c r="T1358" s="11" t="s">
        <v>39</v>
      </c>
      <c r="U1358" s="11" t="s">
        <v>40</v>
      </c>
      <c r="V1358" s="11" t="s">
        <v>586</v>
      </c>
      <c r="W1358" s="11">
        <v>57000000</v>
      </c>
      <c r="X1358" s="11">
        <v>2001</v>
      </c>
      <c r="Y1358" s="11">
        <v>316</v>
      </c>
      <c r="Z1358" s="11">
        <v>6.2</v>
      </c>
      <c r="AA1358" s="11">
        <v>2.35</v>
      </c>
      <c r="AB1358" s="11">
        <v>0</v>
      </c>
      <c r="AC1358" s="11"/>
      <c r="AD1358" s="11" t="str">
        <f>IFERROR(__xludf.DUMMYFUNCTION("""COMPUTED_VALUE"""),"Paterson Joseph")</f>
        <v>Paterson Joseph</v>
      </c>
      <c r="AE1358" s="11"/>
    </row>
    <row r="1359" customHeight="1" spans="1:31">
      <c r="A1359" s="12" t="s">
        <v>30</v>
      </c>
      <c r="B1359" s="12" t="s">
        <v>7038</v>
      </c>
      <c r="C1359" s="12">
        <v>323</v>
      </c>
      <c r="D1359" s="12">
        <v>109</v>
      </c>
      <c r="E1359" s="12">
        <v>304</v>
      </c>
      <c r="F1359" s="12">
        <v>736</v>
      </c>
      <c r="G1359" s="12">
        <v>940</v>
      </c>
      <c r="H1359" s="12">
        <v>47536959</v>
      </c>
      <c r="I1359" s="12" t="s">
        <v>3410</v>
      </c>
      <c r="J1359" s="12" t="s">
        <v>5453</v>
      </c>
      <c r="K1359" s="12" t="s">
        <v>2364</v>
      </c>
      <c r="L1359" s="12" t="s">
        <v>7039</v>
      </c>
      <c r="M1359" s="12" t="s">
        <v>7040</v>
      </c>
      <c r="N1359" s="12">
        <v>86955</v>
      </c>
      <c r="O1359" s="12">
        <v>3277</v>
      </c>
      <c r="P1359" s="12">
        <v>0</v>
      </c>
      <c r="Q1359" s="12" t="s">
        <v>7041</v>
      </c>
      <c r="R1359" s="15" t="s">
        <v>7042</v>
      </c>
      <c r="S1359" s="12">
        <v>275</v>
      </c>
      <c r="T1359" s="12" t="s">
        <v>39</v>
      </c>
      <c r="U1359" s="12" t="s">
        <v>40</v>
      </c>
      <c r="V1359" s="12" t="s">
        <v>586</v>
      </c>
      <c r="W1359" s="12">
        <v>10000000</v>
      </c>
      <c r="X1359" s="12">
        <v>2009</v>
      </c>
      <c r="Y1359" s="12">
        <v>906</v>
      </c>
      <c r="Z1359" s="12">
        <v>7.3</v>
      </c>
      <c r="AA1359" s="12">
        <v>1.85</v>
      </c>
      <c r="AB1359" s="12">
        <v>12000</v>
      </c>
      <c r="AC1359" s="12"/>
      <c r="AD1359" s="12" t="str">
        <f>IFERROR(__xludf.DUMMYFUNCTION("""COMPUTED_VALUE"""),"Billy Campbell")</f>
        <v>Billy Campbell</v>
      </c>
      <c r="AE1359" s="12"/>
    </row>
    <row r="1360" customHeight="1" spans="1:31">
      <c r="A1360" s="11" t="s">
        <v>30</v>
      </c>
      <c r="B1360" s="11" t="s">
        <v>188</v>
      </c>
      <c r="C1360" s="11">
        <v>37</v>
      </c>
      <c r="D1360" s="11">
        <v>129</v>
      </c>
      <c r="E1360" s="11">
        <v>0</v>
      </c>
      <c r="F1360" s="11">
        <v>982</v>
      </c>
      <c r="G1360" s="11">
        <v>12000</v>
      </c>
      <c r="H1360" s="11">
        <v>10300000</v>
      </c>
      <c r="I1360" s="11" t="s">
        <v>7043</v>
      </c>
      <c r="J1360" s="11" t="s">
        <v>301</v>
      </c>
      <c r="K1360" s="11" t="s">
        <v>7044</v>
      </c>
      <c r="L1360" s="11" t="s">
        <v>2643</v>
      </c>
      <c r="M1360" s="11" t="s">
        <v>7045</v>
      </c>
      <c r="N1360" s="11">
        <v>17859</v>
      </c>
      <c r="O1360" s="11">
        <v>16237</v>
      </c>
      <c r="P1360" s="11">
        <v>4</v>
      </c>
      <c r="Q1360" s="11" t="s">
        <v>7046</v>
      </c>
      <c r="R1360" s="14" t="s">
        <v>7047</v>
      </c>
      <c r="S1360" s="11">
        <v>89</v>
      </c>
      <c r="T1360" s="11" t="s">
        <v>39</v>
      </c>
      <c r="U1360" s="11" t="s">
        <v>40</v>
      </c>
      <c r="V1360" s="11" t="s">
        <v>41</v>
      </c>
      <c r="W1360" s="11">
        <v>38000000</v>
      </c>
      <c r="X1360" s="11">
        <v>1996</v>
      </c>
      <c r="Y1360" s="11">
        <v>1000</v>
      </c>
      <c r="Z1360" s="11">
        <v>6.6</v>
      </c>
      <c r="AA1360" s="11">
        <v>2.35</v>
      </c>
      <c r="AB1360" s="11">
        <v>911</v>
      </c>
      <c r="AC1360" s="11"/>
      <c r="AD1360" s="11" t="str">
        <f>IFERROR(__xludf.DUMMYFUNCTION("""COMPUTED_VALUE"""),"Bruce Boxleitner")</f>
        <v>Bruce Boxleitner</v>
      </c>
      <c r="AE1360" s="11"/>
    </row>
    <row r="1361" customHeight="1" spans="1:31">
      <c r="A1361" s="12" t="s">
        <v>30</v>
      </c>
      <c r="B1361" s="12" t="s">
        <v>5368</v>
      </c>
      <c r="C1361" s="12">
        <v>297</v>
      </c>
      <c r="D1361" s="12">
        <v>109</v>
      </c>
      <c r="E1361" s="12">
        <v>0</v>
      </c>
      <c r="F1361" s="12">
        <v>145</v>
      </c>
      <c r="G1361" s="12">
        <v>957</v>
      </c>
      <c r="H1361" s="12">
        <v>13782838</v>
      </c>
      <c r="I1361" s="12" t="s">
        <v>7048</v>
      </c>
      <c r="J1361" s="12" t="s">
        <v>6071</v>
      </c>
      <c r="K1361" s="12" t="s">
        <v>7049</v>
      </c>
      <c r="L1361" s="12" t="s">
        <v>7050</v>
      </c>
      <c r="M1361" s="12" t="s">
        <v>7051</v>
      </c>
      <c r="N1361" s="12">
        <v>258078</v>
      </c>
      <c r="O1361" s="12">
        <v>1757</v>
      </c>
      <c r="P1361" s="12">
        <v>0</v>
      </c>
      <c r="Q1361" s="12" t="s">
        <v>7052</v>
      </c>
      <c r="R1361" s="15" t="s">
        <v>7053</v>
      </c>
      <c r="S1361" s="12">
        <v>911</v>
      </c>
      <c r="T1361" s="12" t="s">
        <v>39</v>
      </c>
      <c r="U1361" s="12" t="s">
        <v>40</v>
      </c>
      <c r="V1361" s="12" t="s">
        <v>586</v>
      </c>
      <c r="W1361" s="12">
        <v>15000000</v>
      </c>
      <c r="X1361" s="12">
        <v>1982</v>
      </c>
      <c r="Y1361" s="12">
        <v>163</v>
      </c>
      <c r="Z1361" s="12">
        <v>8.2</v>
      </c>
      <c r="AA1361" s="12">
        <v>2.35</v>
      </c>
      <c r="AB1361" s="12">
        <v>23000</v>
      </c>
      <c r="AC1361" s="12"/>
      <c r="AD1361" s="12" t="str">
        <f>IFERROR(__xludf.DUMMYFUNCTION("""COMPUTED_VALUE"""),"John Castle")</f>
        <v>John Castle</v>
      </c>
      <c r="AE1361" s="12"/>
    </row>
    <row r="1362" customHeight="1" spans="1:31">
      <c r="A1362" s="11" t="s">
        <v>30</v>
      </c>
      <c r="B1362" s="11" t="s">
        <v>1395</v>
      </c>
      <c r="C1362" s="11">
        <v>302</v>
      </c>
      <c r="D1362" s="11">
        <v>127</v>
      </c>
      <c r="E1362" s="11">
        <v>123</v>
      </c>
      <c r="F1362" s="11">
        <v>904</v>
      </c>
      <c r="G1362" s="11">
        <v>14000</v>
      </c>
      <c r="H1362" s="11">
        <v>41997790</v>
      </c>
      <c r="I1362" s="11" t="s">
        <v>2813</v>
      </c>
      <c r="J1362" s="11" t="s">
        <v>337</v>
      </c>
      <c r="K1362" s="11" t="s">
        <v>7054</v>
      </c>
      <c r="L1362" s="11" t="s">
        <v>3009</v>
      </c>
      <c r="M1362" s="11" t="s">
        <v>7055</v>
      </c>
      <c r="N1362" s="11">
        <v>125305</v>
      </c>
      <c r="O1362" s="11">
        <v>17551</v>
      </c>
      <c r="P1362" s="11">
        <v>0</v>
      </c>
      <c r="Q1362" s="11" t="s">
        <v>7056</v>
      </c>
      <c r="R1362" s="14" t="s">
        <v>7057</v>
      </c>
      <c r="S1362" s="11">
        <v>343</v>
      </c>
      <c r="T1362" s="11" t="s">
        <v>39</v>
      </c>
      <c r="U1362" s="11" t="s">
        <v>40</v>
      </c>
      <c r="V1362" s="11" t="s">
        <v>586</v>
      </c>
      <c r="W1362" s="11">
        <v>38000000</v>
      </c>
      <c r="X1362" s="11">
        <v>2013</v>
      </c>
      <c r="Y1362" s="11">
        <v>924</v>
      </c>
      <c r="Z1362" s="11">
        <v>6.4</v>
      </c>
      <c r="AA1362" s="11">
        <v>2.35</v>
      </c>
      <c r="AB1362" s="11">
        <v>39000</v>
      </c>
      <c r="AC1362" s="11"/>
      <c r="AD1362" s="11" t="str">
        <f>IFERROR(__xludf.DUMMYFUNCTION("""COMPUTED_VALUE"""),"Lauren Holly")</f>
        <v>Lauren Holly</v>
      </c>
      <c r="AE1362" s="11"/>
    </row>
    <row r="1363" customHeight="1" spans="1:31">
      <c r="A1363" s="12" t="s">
        <v>30</v>
      </c>
      <c r="B1363" s="12" t="s">
        <v>7058</v>
      </c>
      <c r="C1363" s="12">
        <v>38</v>
      </c>
      <c r="D1363" s="12">
        <v>118</v>
      </c>
      <c r="E1363" s="12">
        <v>11</v>
      </c>
      <c r="F1363" s="12">
        <v>12</v>
      </c>
      <c r="G1363" s="12">
        <v>37</v>
      </c>
      <c r="H1363" s="12">
        <v>6482195</v>
      </c>
      <c r="I1363" s="12" t="s">
        <v>2215</v>
      </c>
      <c r="J1363" s="12" t="s">
        <v>7059</v>
      </c>
      <c r="K1363" s="12" t="s">
        <v>7060</v>
      </c>
      <c r="L1363" s="12" t="s">
        <v>7061</v>
      </c>
      <c r="M1363" s="12" t="s">
        <v>7062</v>
      </c>
      <c r="N1363" s="12">
        <v>9740</v>
      </c>
      <c r="O1363" s="12">
        <v>74</v>
      </c>
      <c r="P1363" s="12">
        <v>1</v>
      </c>
      <c r="Q1363" s="12" t="s">
        <v>7063</v>
      </c>
      <c r="R1363" s="15" t="s">
        <v>7064</v>
      </c>
      <c r="S1363" s="12">
        <v>81</v>
      </c>
      <c r="T1363" s="12" t="s">
        <v>39</v>
      </c>
      <c r="U1363" s="12" t="s">
        <v>40</v>
      </c>
      <c r="V1363" s="12" t="s">
        <v>586</v>
      </c>
      <c r="W1363" s="12">
        <v>37000000</v>
      </c>
      <c r="X1363" s="12">
        <v>1997</v>
      </c>
      <c r="Y1363" s="12">
        <v>12</v>
      </c>
      <c r="Z1363" s="12">
        <v>6.4</v>
      </c>
      <c r="AA1363" s="12">
        <v>2.35</v>
      </c>
      <c r="AB1363" s="12">
        <v>389</v>
      </c>
      <c r="AC1363" s="12"/>
      <c r="AD1363" s="12" t="str">
        <f>IFERROR(__xludf.DUMMYFUNCTION("""COMPUTED_VALUE"""),"Tina Fey")</f>
        <v>Tina Fey</v>
      </c>
      <c r="AE1363" s="12"/>
    </row>
    <row r="1364" customHeight="1" spans="1:31">
      <c r="A1364" s="11" t="s">
        <v>30</v>
      </c>
      <c r="B1364" s="11" t="s">
        <v>7065</v>
      </c>
      <c r="C1364" s="11">
        <v>31</v>
      </c>
      <c r="D1364" s="11">
        <v>110</v>
      </c>
      <c r="E1364" s="11">
        <v>49</v>
      </c>
      <c r="F1364" s="11">
        <v>427</v>
      </c>
      <c r="G1364" s="11">
        <v>1000</v>
      </c>
      <c r="H1364" s="11">
        <v>623374</v>
      </c>
      <c r="I1364" s="11" t="s">
        <v>7066</v>
      </c>
      <c r="J1364" s="11" t="s">
        <v>2203</v>
      </c>
      <c r="K1364" s="11" t="s">
        <v>7067</v>
      </c>
      <c r="L1364" s="11" t="s">
        <v>7068</v>
      </c>
      <c r="M1364" s="11" t="s">
        <v>7069</v>
      </c>
      <c r="N1364" s="11">
        <v>4757</v>
      </c>
      <c r="O1364" s="11">
        <v>2120</v>
      </c>
      <c r="P1364" s="11">
        <v>2</v>
      </c>
      <c r="Q1364" s="11" t="s">
        <v>7070</v>
      </c>
      <c r="R1364" s="14" t="s">
        <v>7071</v>
      </c>
      <c r="S1364" s="11">
        <v>67</v>
      </c>
      <c r="T1364" s="11" t="s">
        <v>39</v>
      </c>
      <c r="U1364" s="11" t="s">
        <v>40</v>
      </c>
      <c r="V1364" s="11" t="s">
        <v>41</v>
      </c>
      <c r="W1364" s="11">
        <v>38000000</v>
      </c>
      <c r="X1364" s="11">
        <v>2001</v>
      </c>
      <c r="Y1364" s="11">
        <v>569</v>
      </c>
      <c r="Z1364" s="11">
        <v>5.2</v>
      </c>
      <c r="AA1364" s="11">
        <v>2.35</v>
      </c>
      <c r="AB1364" s="11">
        <v>474</v>
      </c>
      <c r="AC1364" s="11"/>
      <c r="AD1364" s="11" t="str">
        <f>IFERROR(__xludf.DUMMYFUNCTION("""COMPUTED_VALUE"""),"Hugh Bonneville")</f>
        <v>Hugh Bonneville</v>
      </c>
      <c r="AE1364" s="11"/>
    </row>
    <row r="1365" customHeight="1" spans="1:31">
      <c r="A1365" s="12" t="s">
        <v>30</v>
      </c>
      <c r="B1365" s="12" t="s">
        <v>3118</v>
      </c>
      <c r="C1365" s="12">
        <v>118</v>
      </c>
      <c r="D1365" s="12">
        <v>90</v>
      </c>
      <c r="E1365" s="12">
        <v>27</v>
      </c>
      <c r="F1365" s="12">
        <v>260</v>
      </c>
      <c r="G1365" s="12">
        <v>13000</v>
      </c>
      <c r="H1365" s="12">
        <v>7871693</v>
      </c>
      <c r="I1365" s="12" t="s">
        <v>7072</v>
      </c>
      <c r="J1365" s="12" t="s">
        <v>549</v>
      </c>
      <c r="K1365" s="12" t="s">
        <v>1212</v>
      </c>
      <c r="L1365" s="12" t="s">
        <v>7073</v>
      </c>
      <c r="M1365" s="12" t="s">
        <v>7074</v>
      </c>
      <c r="N1365" s="12">
        <v>52908</v>
      </c>
      <c r="O1365" s="12">
        <v>15494</v>
      </c>
      <c r="P1365" s="12">
        <v>0</v>
      </c>
      <c r="Q1365" s="12" t="s">
        <v>7075</v>
      </c>
      <c r="R1365" s="15" t="s">
        <v>7076</v>
      </c>
      <c r="S1365" s="12">
        <v>102</v>
      </c>
      <c r="T1365" s="12" t="s">
        <v>39</v>
      </c>
      <c r="U1365" s="12" t="s">
        <v>40</v>
      </c>
      <c r="V1365" s="12" t="s">
        <v>96</v>
      </c>
      <c r="W1365" s="12">
        <v>55000000</v>
      </c>
      <c r="X1365" s="12">
        <v>2008</v>
      </c>
      <c r="Y1365" s="12">
        <v>2000</v>
      </c>
      <c r="Z1365" s="12">
        <v>6.5</v>
      </c>
      <c r="AA1365" s="12">
        <v>2.35</v>
      </c>
      <c r="AB1365" s="12">
        <v>0</v>
      </c>
      <c r="AC1365" s="12"/>
      <c r="AD1365" s="12" t="str">
        <f>IFERROR(__xludf.DUMMYFUNCTION("""COMPUTED_VALUE"""),"Brady Corbet")</f>
        <v>Brady Corbet</v>
      </c>
      <c r="AE1365" s="12"/>
    </row>
    <row r="1366" customHeight="1" spans="1:31">
      <c r="A1366" s="11" t="s">
        <v>30</v>
      </c>
      <c r="B1366" s="11" t="s">
        <v>7077</v>
      </c>
      <c r="C1366" s="11">
        <v>546</v>
      </c>
      <c r="D1366" s="11">
        <v>144</v>
      </c>
      <c r="E1366" s="11">
        <v>0</v>
      </c>
      <c r="F1366" s="11">
        <v>15</v>
      </c>
      <c r="G1366" s="11">
        <v>378</v>
      </c>
      <c r="H1366" s="11">
        <v>16377274</v>
      </c>
      <c r="I1366" s="11" t="s">
        <v>3410</v>
      </c>
      <c r="J1366" s="11" t="s">
        <v>7078</v>
      </c>
      <c r="K1366" s="11" t="s">
        <v>7079</v>
      </c>
      <c r="L1366" s="11" t="s">
        <v>7080</v>
      </c>
      <c r="M1366" s="11" t="s">
        <v>7081</v>
      </c>
      <c r="N1366" s="11">
        <v>105144</v>
      </c>
      <c r="O1366" s="11">
        <v>427</v>
      </c>
      <c r="P1366" s="11">
        <v>31</v>
      </c>
      <c r="Q1366" s="11" t="s">
        <v>7082</v>
      </c>
      <c r="R1366" s="14" t="s">
        <v>7083</v>
      </c>
      <c r="S1366" s="11">
        <v>405</v>
      </c>
      <c r="T1366" s="11" t="s">
        <v>39</v>
      </c>
      <c r="U1366" s="11" t="s">
        <v>40</v>
      </c>
      <c r="V1366" s="11" t="s">
        <v>586</v>
      </c>
      <c r="W1366" s="11">
        <v>32000000</v>
      </c>
      <c r="X1366" s="11">
        <v>2012</v>
      </c>
      <c r="Y1366" s="11">
        <v>18</v>
      </c>
      <c r="Z1366" s="11">
        <v>7.1</v>
      </c>
      <c r="AA1366" s="11">
        <v>1.85</v>
      </c>
      <c r="AB1366" s="11">
        <v>27000</v>
      </c>
      <c r="AC1366" s="11"/>
      <c r="AD1366" s="11" t="str">
        <f>IFERROR(__xludf.DUMMYFUNCTION("""COMPUTED_VALUE"""),"Peter Gallagher")</f>
        <v>Peter Gallagher</v>
      </c>
      <c r="AE1366" s="11"/>
    </row>
    <row r="1367" customHeight="1" spans="1:31">
      <c r="A1367" s="12" t="s">
        <v>30</v>
      </c>
      <c r="B1367" s="12" t="s">
        <v>7084</v>
      </c>
      <c r="C1367" s="12">
        <v>21</v>
      </c>
      <c r="D1367" s="12">
        <v>97</v>
      </c>
      <c r="E1367" s="12">
        <v>2</v>
      </c>
      <c r="F1367" s="12">
        <v>217</v>
      </c>
      <c r="G1367" s="12">
        <v>4000</v>
      </c>
      <c r="H1367" s="16"/>
      <c r="I1367" s="12" t="s">
        <v>7085</v>
      </c>
      <c r="J1367" s="12" t="s">
        <v>1434</v>
      </c>
      <c r="K1367" s="12" t="s">
        <v>7086</v>
      </c>
      <c r="L1367" s="12" t="s">
        <v>7087</v>
      </c>
      <c r="M1367" s="12" t="s">
        <v>7088</v>
      </c>
      <c r="N1367" s="12">
        <v>6691</v>
      </c>
      <c r="O1367" s="12">
        <v>4900</v>
      </c>
      <c r="P1367" s="12">
        <v>2</v>
      </c>
      <c r="Q1367" s="12" t="s">
        <v>7089</v>
      </c>
      <c r="R1367" s="15" t="s">
        <v>7090</v>
      </c>
      <c r="S1367" s="12">
        <v>28</v>
      </c>
      <c r="T1367" s="12" t="s">
        <v>39</v>
      </c>
      <c r="U1367" s="12" t="s">
        <v>7091</v>
      </c>
      <c r="V1367" s="12" t="s">
        <v>586</v>
      </c>
      <c r="W1367" s="12">
        <v>38000000</v>
      </c>
      <c r="X1367" s="12">
        <v>2007</v>
      </c>
      <c r="Y1367" s="12">
        <v>476</v>
      </c>
      <c r="Z1367" s="12">
        <v>4.8</v>
      </c>
      <c r="AA1367" s="12">
        <v>1.85</v>
      </c>
      <c r="AB1367" s="12">
        <v>366</v>
      </c>
      <c r="AC1367" s="12"/>
      <c r="AD1367" s="12" t="str">
        <f>IFERROR(__xludf.DUMMYFUNCTION("""COMPUTED_VALUE"""),"David Walton")</f>
        <v>David Walton</v>
      </c>
      <c r="AE1367" s="12"/>
    </row>
    <row r="1368" customHeight="1" spans="1:31">
      <c r="A1368" s="11" t="s">
        <v>748</v>
      </c>
      <c r="B1368" s="11" t="s">
        <v>5165</v>
      </c>
      <c r="C1368" s="11">
        <v>86</v>
      </c>
      <c r="D1368" s="11">
        <v>130</v>
      </c>
      <c r="E1368" s="11">
        <v>39</v>
      </c>
      <c r="F1368" s="11">
        <v>534</v>
      </c>
      <c r="G1368" s="11">
        <v>2000</v>
      </c>
      <c r="H1368" s="11">
        <v>9589875</v>
      </c>
      <c r="I1368" s="11" t="s">
        <v>1635</v>
      </c>
      <c r="J1368" s="11" t="s">
        <v>537</v>
      </c>
      <c r="K1368" s="11" t="s">
        <v>3342</v>
      </c>
      <c r="L1368" s="11" t="s">
        <v>4699</v>
      </c>
      <c r="M1368" s="11" t="s">
        <v>7092</v>
      </c>
      <c r="N1368" s="11">
        <v>16673</v>
      </c>
      <c r="O1368" s="11">
        <v>5162</v>
      </c>
      <c r="P1368" s="11">
        <v>0</v>
      </c>
      <c r="Q1368" s="11" t="s">
        <v>7093</v>
      </c>
      <c r="R1368" s="14" t="s">
        <v>7094</v>
      </c>
      <c r="S1368" s="11">
        <v>45</v>
      </c>
      <c r="T1368" s="11" t="s">
        <v>39</v>
      </c>
      <c r="U1368" s="11" t="s">
        <v>40</v>
      </c>
      <c r="V1368" s="11" t="s">
        <v>96</v>
      </c>
      <c r="W1368" s="11">
        <v>40000000</v>
      </c>
      <c r="X1368" s="11">
        <v>2008</v>
      </c>
      <c r="Y1368" s="11">
        <v>898</v>
      </c>
      <c r="Z1368" s="11">
        <v>7.3</v>
      </c>
      <c r="AA1368" s="11">
        <v>2.35</v>
      </c>
      <c r="AB1368" s="11">
        <v>0</v>
      </c>
      <c r="AC1368" s="11"/>
      <c r="AD1368" s="11" t="str">
        <f>IFERROR(__xludf.DUMMYFUNCTION("""COMPUTED_VALUE"""),"Denis Lavant")</f>
        <v>Denis Lavant</v>
      </c>
      <c r="AE1368" s="11"/>
    </row>
    <row r="1369" customHeight="1" spans="1:31">
      <c r="A1369" s="12" t="s">
        <v>30</v>
      </c>
      <c r="B1369" s="12" t="s">
        <v>7095</v>
      </c>
      <c r="C1369" s="12">
        <v>194</v>
      </c>
      <c r="D1369" s="12">
        <v>112</v>
      </c>
      <c r="E1369" s="12">
        <v>5</v>
      </c>
      <c r="F1369" s="12">
        <v>724</v>
      </c>
      <c r="G1369" s="12">
        <v>17000</v>
      </c>
      <c r="H1369" s="12">
        <v>34912982</v>
      </c>
      <c r="I1369" s="12" t="s">
        <v>227</v>
      </c>
      <c r="J1369" s="12" t="s">
        <v>490</v>
      </c>
      <c r="K1369" s="12" t="s">
        <v>7096</v>
      </c>
      <c r="L1369" s="12" t="s">
        <v>7097</v>
      </c>
      <c r="M1369" s="12" t="s">
        <v>7098</v>
      </c>
      <c r="N1369" s="12">
        <v>55617</v>
      </c>
      <c r="O1369" s="12">
        <v>19974</v>
      </c>
      <c r="P1369" s="12">
        <v>0</v>
      </c>
      <c r="Q1369" s="12" t="s">
        <v>7099</v>
      </c>
      <c r="R1369" s="15" t="s">
        <v>7100</v>
      </c>
      <c r="S1369" s="12">
        <v>266</v>
      </c>
      <c r="T1369" s="12" t="s">
        <v>39</v>
      </c>
      <c r="U1369" s="12" t="s">
        <v>40</v>
      </c>
      <c r="V1369" s="12" t="s">
        <v>41</v>
      </c>
      <c r="W1369" s="12">
        <v>38000000</v>
      </c>
      <c r="X1369" s="12">
        <v>2016</v>
      </c>
      <c r="Y1369" s="12">
        <v>1000</v>
      </c>
      <c r="Z1369" s="12">
        <v>5.2</v>
      </c>
      <c r="AA1369" s="12">
        <v>2.35</v>
      </c>
      <c r="AB1369" s="12">
        <v>14000</v>
      </c>
      <c r="AC1369" s="12"/>
      <c r="AD1369" s="12" t="str">
        <f>IFERROR(__xludf.DUMMYFUNCTION("""COMPUTED_VALUE"""),"André Dussollier")</f>
        <v>André Dussollier</v>
      </c>
      <c r="AE1369" s="12"/>
    </row>
    <row r="1370" customHeight="1" spans="1:31">
      <c r="A1370" s="11" t="s">
        <v>30</v>
      </c>
      <c r="B1370" s="11" t="s">
        <v>7101</v>
      </c>
      <c r="C1370" s="11">
        <v>437</v>
      </c>
      <c r="D1370" s="11">
        <v>133</v>
      </c>
      <c r="E1370" s="11">
        <v>0</v>
      </c>
      <c r="F1370" s="11">
        <v>531</v>
      </c>
      <c r="G1370" s="11">
        <v>13000</v>
      </c>
      <c r="H1370" s="11">
        <v>109712885</v>
      </c>
      <c r="I1370" s="11" t="s">
        <v>3794</v>
      </c>
      <c r="J1370" s="11" t="s">
        <v>1785</v>
      </c>
      <c r="K1370" s="11" t="s">
        <v>7102</v>
      </c>
      <c r="L1370" s="11" t="s">
        <v>3589</v>
      </c>
      <c r="M1370" s="11" t="s">
        <v>7103</v>
      </c>
      <c r="N1370" s="11">
        <v>146708</v>
      </c>
      <c r="O1370" s="11">
        <v>15106</v>
      </c>
      <c r="P1370" s="11">
        <v>1</v>
      </c>
      <c r="Q1370" s="11" t="s">
        <v>7104</v>
      </c>
      <c r="R1370" s="14" t="s">
        <v>7105</v>
      </c>
      <c r="S1370" s="11">
        <v>362</v>
      </c>
      <c r="T1370" s="11" t="s">
        <v>39</v>
      </c>
      <c r="U1370" s="11" t="s">
        <v>40</v>
      </c>
      <c r="V1370" s="11" t="s">
        <v>41</v>
      </c>
      <c r="W1370" s="11">
        <v>35000000</v>
      </c>
      <c r="X1370" s="11">
        <v>2015</v>
      </c>
      <c r="Y1370" s="11">
        <v>597</v>
      </c>
      <c r="Z1370" s="11">
        <v>7.7</v>
      </c>
      <c r="AA1370" s="11">
        <v>2.35</v>
      </c>
      <c r="AB1370" s="11">
        <v>70000</v>
      </c>
      <c r="AC1370" s="11"/>
      <c r="AD1370" s="11" t="str">
        <f>IFERROR(__xludf.DUMMYFUNCTION("""COMPUTED_VALUE"""),"Albert Dupontel")</f>
        <v>Albert Dupontel</v>
      </c>
      <c r="AE1370" s="11"/>
    </row>
    <row r="1371" customHeight="1" spans="1:31">
      <c r="A1371" s="12" t="s">
        <v>30</v>
      </c>
      <c r="B1371" s="12" t="s">
        <v>6003</v>
      </c>
      <c r="C1371" s="12">
        <v>378</v>
      </c>
      <c r="D1371" s="12">
        <v>150</v>
      </c>
      <c r="E1371" s="12">
        <v>0</v>
      </c>
      <c r="F1371" s="12">
        <v>206</v>
      </c>
      <c r="G1371" s="12">
        <v>10000</v>
      </c>
      <c r="H1371" s="12">
        <v>92173235</v>
      </c>
      <c r="I1371" s="12" t="s">
        <v>2126</v>
      </c>
      <c r="J1371" s="12" t="s">
        <v>888</v>
      </c>
      <c r="K1371" s="12" t="s">
        <v>599</v>
      </c>
      <c r="L1371" s="12" t="s">
        <v>7106</v>
      </c>
      <c r="M1371" s="12" t="s">
        <v>7107</v>
      </c>
      <c r="N1371" s="12">
        <v>280228</v>
      </c>
      <c r="O1371" s="12">
        <v>14296</v>
      </c>
      <c r="P1371" s="12">
        <v>7</v>
      </c>
      <c r="Q1371" s="12" t="s">
        <v>7108</v>
      </c>
      <c r="R1371" s="15" t="s">
        <v>7109</v>
      </c>
      <c r="S1371" s="12">
        <v>420</v>
      </c>
      <c r="T1371" s="12" t="s">
        <v>39</v>
      </c>
      <c r="U1371" s="12" t="s">
        <v>40</v>
      </c>
      <c r="V1371" s="12" t="s">
        <v>586</v>
      </c>
      <c r="W1371" s="12">
        <v>37000000</v>
      </c>
      <c r="X1371" s="12">
        <v>2010</v>
      </c>
      <c r="Y1371" s="12">
        <v>4000</v>
      </c>
      <c r="Z1371" s="12">
        <v>7.6</v>
      </c>
      <c r="AA1371" s="12">
        <v>2.35</v>
      </c>
      <c r="AB1371" s="12">
        <v>29000</v>
      </c>
      <c r="AC1371" s="12"/>
      <c r="AD1371" s="12" t="str">
        <f>IFERROR(__xludf.DUMMYFUNCTION("""COMPUTED_VALUE"""),"James Mason")</f>
        <v>James Mason</v>
      </c>
      <c r="AE1371" s="12"/>
    </row>
    <row r="1372" customHeight="1" spans="1:31">
      <c r="A1372" s="11" t="s">
        <v>30</v>
      </c>
      <c r="B1372" s="11" t="s">
        <v>7110</v>
      </c>
      <c r="C1372" s="11">
        <v>170</v>
      </c>
      <c r="D1372" s="11">
        <v>110</v>
      </c>
      <c r="E1372" s="11">
        <v>52</v>
      </c>
      <c r="F1372" s="11">
        <v>651</v>
      </c>
      <c r="G1372" s="11">
        <v>10000</v>
      </c>
      <c r="H1372" s="11">
        <v>41102171</v>
      </c>
      <c r="I1372" s="11" t="s">
        <v>1415</v>
      </c>
      <c r="J1372" s="11" t="s">
        <v>2456</v>
      </c>
      <c r="K1372" s="11" t="s">
        <v>537</v>
      </c>
      <c r="L1372" s="11" t="s">
        <v>5043</v>
      </c>
      <c r="M1372" s="11" t="s">
        <v>7111</v>
      </c>
      <c r="N1372" s="11">
        <v>57266</v>
      </c>
      <c r="O1372" s="11">
        <v>13396</v>
      </c>
      <c r="P1372" s="11">
        <v>12</v>
      </c>
      <c r="Q1372" s="11" t="s">
        <v>7112</v>
      </c>
      <c r="R1372" s="14" t="s">
        <v>7113</v>
      </c>
      <c r="S1372" s="11">
        <v>89</v>
      </c>
      <c r="T1372" s="11" t="s">
        <v>39</v>
      </c>
      <c r="U1372" s="11" t="s">
        <v>40</v>
      </c>
      <c r="V1372" s="11" t="s">
        <v>41</v>
      </c>
      <c r="W1372" s="11">
        <v>40000000</v>
      </c>
      <c r="X1372" s="11">
        <v>2012</v>
      </c>
      <c r="Y1372" s="11">
        <v>2000</v>
      </c>
      <c r="Z1372" s="11">
        <v>5.7</v>
      </c>
      <c r="AA1372" s="11">
        <v>2.35</v>
      </c>
      <c r="AB1372" s="11">
        <v>14000</v>
      </c>
      <c r="AC1372" s="11"/>
      <c r="AD1372" s="11" t="str">
        <f>IFERROR(__xludf.DUMMYFUNCTION("""COMPUTED_VALUE"""),"Shelley Winters")</f>
        <v>Shelley Winters</v>
      </c>
      <c r="AE1372" s="11"/>
    </row>
    <row r="1373" customHeight="1" spans="1:31">
      <c r="A1373" s="12" t="s">
        <v>30</v>
      </c>
      <c r="B1373" s="12" t="s">
        <v>7114</v>
      </c>
      <c r="C1373" s="12">
        <v>341</v>
      </c>
      <c r="D1373" s="12">
        <v>96</v>
      </c>
      <c r="E1373" s="12">
        <v>1000</v>
      </c>
      <c r="F1373" s="12">
        <v>681</v>
      </c>
      <c r="G1373" s="12">
        <v>24000</v>
      </c>
      <c r="H1373" s="12">
        <v>60338891</v>
      </c>
      <c r="I1373" s="12" t="s">
        <v>2528</v>
      </c>
      <c r="J1373" s="12" t="s">
        <v>82</v>
      </c>
      <c r="K1373" s="12" t="s">
        <v>343</v>
      </c>
      <c r="L1373" s="12" t="s">
        <v>2191</v>
      </c>
      <c r="M1373" s="12" t="s">
        <v>7115</v>
      </c>
      <c r="N1373" s="12">
        <v>248468</v>
      </c>
      <c r="O1373" s="12">
        <v>36093</v>
      </c>
      <c r="P1373" s="12">
        <v>0</v>
      </c>
      <c r="Q1373" s="12" t="s">
        <v>7116</v>
      </c>
      <c r="R1373" s="15" t="s">
        <v>7117</v>
      </c>
      <c r="S1373" s="12">
        <v>545</v>
      </c>
      <c r="T1373" s="12" t="s">
        <v>39</v>
      </c>
      <c r="U1373" s="12" t="s">
        <v>40</v>
      </c>
      <c r="V1373" s="12" t="s">
        <v>586</v>
      </c>
      <c r="W1373" s="12">
        <v>37000000</v>
      </c>
      <c r="X1373" s="12">
        <v>2008</v>
      </c>
      <c r="Y1373" s="12">
        <v>11000</v>
      </c>
      <c r="Z1373" s="12">
        <v>7</v>
      </c>
      <c r="AA1373" s="12">
        <v>1.85</v>
      </c>
      <c r="AB1373" s="12">
        <v>0</v>
      </c>
      <c r="AC1373" s="12"/>
      <c r="AD1373" s="12" t="str">
        <f>IFERROR(__xludf.DUMMYFUNCTION("""COMPUTED_VALUE"""),"Lois Maxwell")</f>
        <v>Lois Maxwell</v>
      </c>
      <c r="AE1373" s="12"/>
    </row>
    <row r="1374" customHeight="1" spans="1:31">
      <c r="A1374" s="11" t="s">
        <v>30</v>
      </c>
      <c r="B1374" s="11" t="s">
        <v>7118</v>
      </c>
      <c r="C1374" s="11">
        <v>139</v>
      </c>
      <c r="D1374" s="11">
        <v>96</v>
      </c>
      <c r="E1374" s="11">
        <v>3</v>
      </c>
      <c r="F1374" s="11">
        <v>35</v>
      </c>
      <c r="G1374" s="11">
        <v>18000</v>
      </c>
      <c r="H1374" s="11">
        <v>48006503</v>
      </c>
      <c r="I1374" s="11" t="s">
        <v>788</v>
      </c>
      <c r="J1374" s="11" t="s">
        <v>641</v>
      </c>
      <c r="K1374" s="11" t="s">
        <v>7119</v>
      </c>
      <c r="L1374" s="11" t="s">
        <v>7120</v>
      </c>
      <c r="M1374" s="11" t="s">
        <v>7121</v>
      </c>
      <c r="N1374" s="11">
        <v>28109</v>
      </c>
      <c r="O1374" s="11">
        <v>18178</v>
      </c>
      <c r="P1374" s="11">
        <v>3</v>
      </c>
      <c r="Q1374" s="11" t="s">
        <v>7122</v>
      </c>
      <c r="R1374" s="14" t="s">
        <v>7123</v>
      </c>
      <c r="S1374" s="11">
        <v>110</v>
      </c>
      <c r="T1374" s="11" t="s">
        <v>39</v>
      </c>
      <c r="U1374" s="11" t="s">
        <v>40</v>
      </c>
      <c r="V1374" s="11" t="s">
        <v>96</v>
      </c>
      <c r="W1374" s="11">
        <v>37000000</v>
      </c>
      <c r="X1374" s="11">
        <v>2008</v>
      </c>
      <c r="Y1374" s="11">
        <v>82</v>
      </c>
      <c r="Z1374" s="11">
        <v>6</v>
      </c>
      <c r="AA1374" s="11">
        <v>2.35</v>
      </c>
      <c r="AB1374" s="11">
        <v>0</v>
      </c>
      <c r="AC1374" s="11"/>
      <c r="AD1374" s="11" t="str">
        <f>IFERROR(__xludf.DUMMYFUNCTION("""COMPUTED_VALUE"""),"Tom Berenger")</f>
        <v>Tom Berenger</v>
      </c>
      <c r="AE1374" s="11"/>
    </row>
    <row r="1375" customHeight="1" spans="1:31">
      <c r="A1375" s="12" t="s">
        <v>30</v>
      </c>
      <c r="B1375" s="12" t="s">
        <v>851</v>
      </c>
      <c r="C1375" s="12">
        <v>393</v>
      </c>
      <c r="D1375" s="12">
        <v>123</v>
      </c>
      <c r="E1375" s="12">
        <v>2000</v>
      </c>
      <c r="F1375" s="12">
        <v>471</v>
      </c>
      <c r="G1375" s="12">
        <v>26000</v>
      </c>
      <c r="H1375" s="12">
        <v>26903709</v>
      </c>
      <c r="I1375" s="12" t="s">
        <v>7124</v>
      </c>
      <c r="J1375" s="12" t="s">
        <v>98</v>
      </c>
      <c r="K1375" s="12" t="s">
        <v>302</v>
      </c>
      <c r="L1375" s="12" t="s">
        <v>7125</v>
      </c>
      <c r="M1375" s="12" t="s">
        <v>7126</v>
      </c>
      <c r="N1375" s="12">
        <v>312629</v>
      </c>
      <c r="O1375" s="12">
        <v>37206</v>
      </c>
      <c r="P1375" s="12">
        <v>0</v>
      </c>
      <c r="Q1375" s="12" t="s">
        <v>7127</v>
      </c>
      <c r="R1375" s="15" t="s">
        <v>7128</v>
      </c>
      <c r="S1375" s="12">
        <v>475</v>
      </c>
      <c r="T1375" s="12" t="s">
        <v>39</v>
      </c>
      <c r="U1375" s="12" t="s">
        <v>58</v>
      </c>
      <c r="V1375" s="12" t="s">
        <v>586</v>
      </c>
      <c r="W1375" s="12">
        <v>38000000</v>
      </c>
      <c r="X1375" s="12">
        <v>2013</v>
      </c>
      <c r="Y1375" s="12">
        <v>10000</v>
      </c>
      <c r="Z1375" s="12">
        <v>8.1</v>
      </c>
      <c r="AA1375" s="12">
        <v>2.35</v>
      </c>
      <c r="AB1375" s="12">
        <v>83000</v>
      </c>
      <c r="AC1375" s="12"/>
      <c r="AD1375" s="12" t="str">
        <f>IFERROR(__xludf.DUMMYFUNCTION("""COMPUTED_VALUE"""),"Norman Reedus")</f>
        <v>Norman Reedus</v>
      </c>
      <c r="AE1375" s="12"/>
    </row>
    <row r="1376" customHeight="1" spans="1:31">
      <c r="A1376" s="11" t="s">
        <v>30</v>
      </c>
      <c r="B1376" s="11" t="s">
        <v>7077</v>
      </c>
      <c r="C1376" s="11">
        <v>224</v>
      </c>
      <c r="D1376" s="11">
        <v>188</v>
      </c>
      <c r="E1376" s="11">
        <v>0</v>
      </c>
      <c r="F1376" s="11">
        <v>272</v>
      </c>
      <c r="G1376" s="11">
        <v>786</v>
      </c>
      <c r="H1376" s="11">
        <v>22450975</v>
      </c>
      <c r="I1376" s="11" t="s">
        <v>3410</v>
      </c>
      <c r="J1376" s="11" t="s">
        <v>7129</v>
      </c>
      <c r="K1376" s="11" t="s">
        <v>7130</v>
      </c>
      <c r="L1376" s="11" t="s">
        <v>7131</v>
      </c>
      <c r="M1376" s="11" t="s">
        <v>7132</v>
      </c>
      <c r="N1376" s="11">
        <v>241030</v>
      </c>
      <c r="O1376" s="11">
        <v>1906</v>
      </c>
      <c r="P1376" s="11">
        <v>1</v>
      </c>
      <c r="Q1376" s="11" t="s">
        <v>7133</v>
      </c>
      <c r="R1376" s="14" t="s">
        <v>7134</v>
      </c>
      <c r="S1376" s="11">
        <v>1437</v>
      </c>
      <c r="T1376" s="11" t="s">
        <v>39</v>
      </c>
      <c r="U1376" s="11" t="s">
        <v>40</v>
      </c>
      <c r="V1376" s="11" t="s">
        <v>586</v>
      </c>
      <c r="W1376" s="11">
        <v>37000000</v>
      </c>
      <c r="X1376" s="11">
        <v>1999</v>
      </c>
      <c r="Y1376" s="11">
        <v>625</v>
      </c>
      <c r="Z1376" s="11">
        <v>8</v>
      </c>
      <c r="AA1376" s="11">
        <v>2.35</v>
      </c>
      <c r="AB1376" s="11">
        <v>13000</v>
      </c>
      <c r="AC1376" s="11"/>
      <c r="AD1376" s="11" t="str">
        <f>IFERROR(__xludf.DUMMYFUNCTION("""COMPUTED_VALUE"""),"Madison Pettis")</f>
        <v>Madison Pettis</v>
      </c>
      <c r="AE1376" s="11"/>
    </row>
    <row r="1377" customHeight="1" spans="1:31">
      <c r="A1377" s="12" t="s">
        <v>30</v>
      </c>
      <c r="B1377" s="12" t="s">
        <v>7135</v>
      </c>
      <c r="C1377" s="12">
        <v>203</v>
      </c>
      <c r="D1377" s="12">
        <v>107</v>
      </c>
      <c r="E1377" s="12">
        <v>0</v>
      </c>
      <c r="F1377" s="12">
        <v>574</v>
      </c>
      <c r="G1377" s="12">
        <v>13000</v>
      </c>
      <c r="H1377" s="12">
        <v>44867349</v>
      </c>
      <c r="I1377" s="12" t="s">
        <v>1753</v>
      </c>
      <c r="J1377" s="12" t="s">
        <v>978</v>
      </c>
      <c r="K1377" s="12" t="s">
        <v>4191</v>
      </c>
      <c r="L1377" s="12" t="s">
        <v>3236</v>
      </c>
      <c r="M1377" s="12" t="s">
        <v>7136</v>
      </c>
      <c r="N1377" s="12">
        <v>75347</v>
      </c>
      <c r="O1377" s="12">
        <v>14483</v>
      </c>
      <c r="P1377" s="12">
        <v>2</v>
      </c>
      <c r="Q1377" s="12" t="s">
        <v>7137</v>
      </c>
      <c r="R1377" s="15" t="s">
        <v>7138</v>
      </c>
      <c r="S1377" s="12">
        <v>176</v>
      </c>
      <c r="T1377" s="12" t="s">
        <v>39</v>
      </c>
      <c r="U1377" s="12" t="s">
        <v>40</v>
      </c>
      <c r="V1377" s="12" t="s">
        <v>586</v>
      </c>
      <c r="W1377" s="12">
        <v>37000000</v>
      </c>
      <c r="X1377" s="12">
        <v>2010</v>
      </c>
      <c r="Y1377" s="12">
        <v>642</v>
      </c>
      <c r="Z1377" s="12">
        <v>5.6</v>
      </c>
      <c r="AA1377" s="12">
        <v>2.35</v>
      </c>
      <c r="AB1377" s="12">
        <v>0</v>
      </c>
      <c r="AC1377" s="12"/>
      <c r="AD1377" s="12" t="str">
        <f>IFERROR(__xludf.DUMMYFUNCTION("""COMPUTED_VALUE"""),"Jason Momoa")</f>
        <v>Jason Momoa</v>
      </c>
      <c r="AE1377" s="12"/>
    </row>
    <row r="1378" customHeight="1" spans="1:31">
      <c r="A1378" s="11" t="s">
        <v>30</v>
      </c>
      <c r="B1378" s="11" t="s">
        <v>7139</v>
      </c>
      <c r="C1378" s="11">
        <v>148</v>
      </c>
      <c r="D1378" s="11">
        <v>110</v>
      </c>
      <c r="E1378" s="11">
        <v>11</v>
      </c>
      <c r="F1378" s="11">
        <v>591</v>
      </c>
      <c r="G1378" s="11">
        <v>2000</v>
      </c>
      <c r="H1378" s="11">
        <v>46813366</v>
      </c>
      <c r="I1378" s="11" t="s">
        <v>1681</v>
      </c>
      <c r="J1378" s="11" t="s">
        <v>4200</v>
      </c>
      <c r="K1378" s="11" t="s">
        <v>614</v>
      </c>
      <c r="L1378" s="11" t="s">
        <v>4730</v>
      </c>
      <c r="M1378" s="11" t="s">
        <v>7140</v>
      </c>
      <c r="N1378" s="11">
        <v>39440</v>
      </c>
      <c r="O1378" s="11">
        <v>4882</v>
      </c>
      <c r="P1378" s="11">
        <v>4</v>
      </c>
      <c r="Q1378" s="11" t="s">
        <v>7141</v>
      </c>
      <c r="R1378" s="14" t="s">
        <v>7142</v>
      </c>
      <c r="S1378" s="11">
        <v>83</v>
      </c>
      <c r="T1378" s="11" t="s">
        <v>39</v>
      </c>
      <c r="U1378" s="11" t="s">
        <v>40</v>
      </c>
      <c r="V1378" s="11" t="s">
        <v>586</v>
      </c>
      <c r="W1378" s="11">
        <v>38000000</v>
      </c>
      <c r="X1378" s="11">
        <v>2016</v>
      </c>
      <c r="Y1378" s="11">
        <v>756</v>
      </c>
      <c r="Z1378" s="11">
        <v>6.1</v>
      </c>
      <c r="AA1378" s="11">
        <v>2.35</v>
      </c>
      <c r="AB1378" s="11">
        <v>15000</v>
      </c>
      <c r="AC1378" s="11"/>
      <c r="AD1378" s="11" t="str">
        <f>IFERROR(__xludf.DUMMYFUNCTION("""COMPUTED_VALUE"""),"Jon Seda")</f>
        <v>Jon Seda</v>
      </c>
      <c r="AE1378" s="11"/>
    </row>
    <row r="1379" customHeight="1" spans="1:31">
      <c r="A1379" s="12" t="s">
        <v>30</v>
      </c>
      <c r="B1379" s="12" t="s">
        <v>7143</v>
      </c>
      <c r="C1379" s="12">
        <v>131</v>
      </c>
      <c r="D1379" s="12">
        <v>113</v>
      </c>
      <c r="E1379" s="12">
        <v>188</v>
      </c>
      <c r="F1379" s="12">
        <v>631</v>
      </c>
      <c r="G1379" s="12">
        <v>11000</v>
      </c>
      <c r="H1379" s="12">
        <v>72279690</v>
      </c>
      <c r="I1379" s="12" t="s">
        <v>7144</v>
      </c>
      <c r="J1379" s="12" t="s">
        <v>466</v>
      </c>
      <c r="K1379" s="12" t="s">
        <v>7145</v>
      </c>
      <c r="L1379" s="12" t="s">
        <v>5356</v>
      </c>
      <c r="M1379" s="12" t="s">
        <v>7146</v>
      </c>
      <c r="N1379" s="12">
        <v>17948</v>
      </c>
      <c r="O1379" s="12">
        <v>14209</v>
      </c>
      <c r="P1379" s="12">
        <v>5</v>
      </c>
      <c r="Q1379" s="12" t="s">
        <v>7147</v>
      </c>
      <c r="R1379" s="15" t="s">
        <v>7148</v>
      </c>
      <c r="S1379" s="12">
        <v>86</v>
      </c>
      <c r="T1379" s="12" t="s">
        <v>39</v>
      </c>
      <c r="U1379" s="12" t="s">
        <v>40</v>
      </c>
      <c r="V1379" s="12" t="s">
        <v>96</v>
      </c>
      <c r="W1379" s="12">
        <v>37000000</v>
      </c>
      <c r="X1379" s="12">
        <v>2011</v>
      </c>
      <c r="Y1379" s="12">
        <v>680</v>
      </c>
      <c r="Z1379" s="12">
        <v>6.9</v>
      </c>
      <c r="AA1379" s="12">
        <v>1.85</v>
      </c>
      <c r="AB1379" s="12">
        <v>0</v>
      </c>
      <c r="AC1379" s="12"/>
      <c r="AD1379" s="12" t="str">
        <f>IFERROR(__xludf.DUMMYFUNCTION("""COMPUTED_VALUE"""),"Todd Stashwick")</f>
        <v>Todd Stashwick</v>
      </c>
      <c r="AE1379" s="12"/>
    </row>
    <row r="1380" customHeight="1" spans="1:31">
      <c r="A1380" s="11" t="s">
        <v>30</v>
      </c>
      <c r="B1380" s="11" t="s">
        <v>6149</v>
      </c>
      <c r="C1380" s="11">
        <v>350</v>
      </c>
      <c r="D1380" s="11">
        <v>122</v>
      </c>
      <c r="E1380" s="11">
        <v>308</v>
      </c>
      <c r="F1380" s="11">
        <v>10000</v>
      </c>
      <c r="G1380" s="11">
        <v>17000</v>
      </c>
      <c r="H1380" s="11">
        <v>191449475</v>
      </c>
      <c r="I1380" s="11" t="s">
        <v>687</v>
      </c>
      <c r="J1380" s="11" t="s">
        <v>559</v>
      </c>
      <c r="K1380" s="11" t="s">
        <v>1107</v>
      </c>
      <c r="L1380" s="11" t="s">
        <v>2456</v>
      </c>
      <c r="M1380" s="11" t="s">
        <v>7149</v>
      </c>
      <c r="N1380" s="11">
        <v>348007</v>
      </c>
      <c r="O1380" s="11">
        <v>44060</v>
      </c>
      <c r="P1380" s="11">
        <v>1</v>
      </c>
      <c r="Q1380" s="11" t="s">
        <v>7150</v>
      </c>
      <c r="R1380" s="14" t="s">
        <v>7151</v>
      </c>
      <c r="S1380" s="11">
        <v>1535</v>
      </c>
      <c r="T1380" s="11" t="s">
        <v>39</v>
      </c>
      <c r="U1380" s="11" t="s">
        <v>40</v>
      </c>
      <c r="V1380" s="11" t="s">
        <v>41</v>
      </c>
      <c r="W1380" s="11">
        <v>37000000</v>
      </c>
      <c r="X1380" s="11">
        <v>2008</v>
      </c>
      <c r="Y1380" s="11">
        <v>12000</v>
      </c>
      <c r="Z1380" s="11">
        <v>5.2</v>
      </c>
      <c r="AA1380" s="11">
        <v>2.35</v>
      </c>
      <c r="AB1380" s="11">
        <v>19000</v>
      </c>
      <c r="AC1380" s="11"/>
      <c r="AD1380" s="11" t="str">
        <f>IFERROR(__xludf.DUMMYFUNCTION("""COMPUTED_VALUE"""),"Billy Gardell")</f>
        <v>Billy Gardell</v>
      </c>
      <c r="AE1380" s="11"/>
    </row>
    <row r="1381" customHeight="1" spans="1:31">
      <c r="A1381" s="12" t="s">
        <v>30</v>
      </c>
      <c r="B1381" s="12" t="s">
        <v>6397</v>
      </c>
      <c r="C1381" s="12">
        <v>129</v>
      </c>
      <c r="D1381" s="12">
        <v>116</v>
      </c>
      <c r="E1381" s="12">
        <v>415</v>
      </c>
      <c r="F1381" s="12">
        <v>644</v>
      </c>
      <c r="G1381" s="12">
        <v>18000</v>
      </c>
      <c r="H1381" s="12">
        <v>71026631</v>
      </c>
      <c r="I1381" s="12" t="s">
        <v>2126</v>
      </c>
      <c r="J1381" s="12" t="s">
        <v>1727</v>
      </c>
      <c r="K1381" s="12" t="s">
        <v>7152</v>
      </c>
      <c r="L1381" s="12" t="s">
        <v>2262</v>
      </c>
      <c r="M1381" s="12" t="s">
        <v>7153</v>
      </c>
      <c r="N1381" s="12">
        <v>98899</v>
      </c>
      <c r="O1381" s="12">
        <v>20970</v>
      </c>
      <c r="P1381" s="12">
        <v>1</v>
      </c>
      <c r="Q1381" s="12" t="s">
        <v>7154</v>
      </c>
      <c r="R1381" s="15" t="s">
        <v>7155</v>
      </c>
      <c r="S1381" s="12">
        <v>394</v>
      </c>
      <c r="T1381" s="12" t="s">
        <v>39</v>
      </c>
      <c r="U1381" s="12" t="s">
        <v>40</v>
      </c>
      <c r="V1381" s="12" t="s">
        <v>41</v>
      </c>
      <c r="W1381" s="12">
        <v>36000000</v>
      </c>
      <c r="X1381" s="12">
        <v>2002</v>
      </c>
      <c r="Y1381" s="12">
        <v>669</v>
      </c>
      <c r="Z1381" s="12">
        <v>7</v>
      </c>
      <c r="AA1381" s="12">
        <v>1.85</v>
      </c>
      <c r="AB1381" s="12">
        <v>0</v>
      </c>
      <c r="AC1381" s="12"/>
      <c r="AD1381" s="12" t="str">
        <f>IFERROR(__xludf.DUMMYFUNCTION("""COMPUTED_VALUE"""),"Amanda Detmer")</f>
        <v>Amanda Detmer</v>
      </c>
      <c r="AE1381" s="12"/>
    </row>
    <row r="1382" customHeight="1" spans="1:31">
      <c r="A1382" s="11" t="s">
        <v>30</v>
      </c>
      <c r="B1382" s="11" t="s">
        <v>2657</v>
      </c>
      <c r="C1382" s="11">
        <v>40</v>
      </c>
      <c r="D1382" s="11">
        <v>93</v>
      </c>
      <c r="E1382" s="11">
        <v>10</v>
      </c>
      <c r="F1382" s="11">
        <v>405</v>
      </c>
      <c r="G1382" s="11">
        <v>789</v>
      </c>
      <c r="H1382" s="11">
        <v>68208190</v>
      </c>
      <c r="I1382" s="11" t="s">
        <v>422</v>
      </c>
      <c r="J1382" s="11" t="s">
        <v>4156</v>
      </c>
      <c r="K1382" s="11" t="s">
        <v>2638</v>
      </c>
      <c r="L1382" s="11" t="s">
        <v>7156</v>
      </c>
      <c r="M1382" s="11" t="s">
        <v>7157</v>
      </c>
      <c r="N1382" s="11">
        <v>60572</v>
      </c>
      <c r="O1382" s="11">
        <v>2986</v>
      </c>
      <c r="P1382" s="11">
        <v>1</v>
      </c>
      <c r="Q1382" s="11" t="s">
        <v>7158</v>
      </c>
      <c r="R1382" s="14" t="s">
        <v>7159</v>
      </c>
      <c r="S1382" s="11">
        <v>144</v>
      </c>
      <c r="T1382" s="11" t="s">
        <v>39</v>
      </c>
      <c r="U1382" s="11" t="s">
        <v>40</v>
      </c>
      <c r="V1382" s="11" t="s">
        <v>41</v>
      </c>
      <c r="W1382" s="11">
        <v>65000000</v>
      </c>
      <c r="X1382" s="11">
        <v>1999</v>
      </c>
      <c r="Y1382" s="11">
        <v>744</v>
      </c>
      <c r="Z1382" s="11">
        <v>6.3</v>
      </c>
      <c r="AA1382" s="11">
        <v>1.85</v>
      </c>
      <c r="AB1382" s="11">
        <v>0</v>
      </c>
      <c r="AC1382" s="11"/>
      <c r="AD1382" s="11" t="str">
        <f>IFERROR(__xludf.DUMMYFUNCTION("""COMPUTED_VALUE"""),"Jackie Cooper")</f>
        <v>Jackie Cooper</v>
      </c>
      <c r="AE1382" s="11"/>
    </row>
    <row r="1383" customHeight="1" spans="1:31">
      <c r="A1383" s="12" t="s">
        <v>30</v>
      </c>
      <c r="B1383" s="12" t="s">
        <v>5060</v>
      </c>
      <c r="C1383" s="12">
        <v>289</v>
      </c>
      <c r="D1383" s="12">
        <v>118</v>
      </c>
      <c r="E1383" s="12">
        <v>43</v>
      </c>
      <c r="F1383" s="12">
        <v>651</v>
      </c>
      <c r="G1383" s="12">
        <v>740</v>
      </c>
      <c r="H1383" s="12">
        <v>150368971</v>
      </c>
      <c r="I1383" s="12" t="s">
        <v>1009</v>
      </c>
      <c r="J1383" s="12" t="s">
        <v>7160</v>
      </c>
      <c r="K1383" s="12" t="s">
        <v>7161</v>
      </c>
      <c r="L1383" s="12" t="s">
        <v>5043</v>
      </c>
      <c r="M1383" s="12" t="s">
        <v>7162</v>
      </c>
      <c r="N1383" s="12">
        <v>316671</v>
      </c>
      <c r="O1383" s="12">
        <v>3425</v>
      </c>
      <c r="P1383" s="12">
        <v>4</v>
      </c>
      <c r="Q1383" s="12" t="s">
        <v>7163</v>
      </c>
      <c r="R1383" s="15" t="s">
        <v>7164</v>
      </c>
      <c r="S1383" s="12">
        <v>301</v>
      </c>
      <c r="T1383" s="12" t="s">
        <v>39</v>
      </c>
      <c r="U1383" s="12" t="s">
        <v>40</v>
      </c>
      <c r="V1383" s="12" t="s">
        <v>586</v>
      </c>
      <c r="W1383" s="12">
        <v>37000000</v>
      </c>
      <c r="X1383" s="12">
        <v>2013</v>
      </c>
      <c r="Y1383" s="12">
        <v>707</v>
      </c>
      <c r="Z1383" s="12">
        <v>7</v>
      </c>
      <c r="AA1383" s="12">
        <v>2.35</v>
      </c>
      <c r="AB1383" s="12">
        <v>35000</v>
      </c>
      <c r="AC1383" s="12"/>
      <c r="AD1383" s="12" t="str">
        <f>IFERROR(__xludf.DUMMYFUNCTION("""COMPUTED_VALUE"""),"Todd Giebenhain")</f>
        <v>Todd Giebenhain</v>
      </c>
      <c r="AE1383" s="12"/>
    </row>
    <row r="1384" customHeight="1" spans="1:31">
      <c r="A1384" s="11" t="s">
        <v>30</v>
      </c>
      <c r="B1384" s="11" t="s">
        <v>7165</v>
      </c>
      <c r="C1384" s="11">
        <v>14</v>
      </c>
      <c r="D1384" s="11">
        <v>115</v>
      </c>
      <c r="E1384" s="11">
        <v>35</v>
      </c>
      <c r="F1384" s="11">
        <v>30</v>
      </c>
      <c r="G1384" s="11">
        <v>463</v>
      </c>
      <c r="H1384" s="13"/>
      <c r="I1384" s="11" t="s">
        <v>73</v>
      </c>
      <c r="J1384" s="11" t="s">
        <v>7166</v>
      </c>
      <c r="K1384" s="11" t="s">
        <v>7165</v>
      </c>
      <c r="L1384" s="11" t="s">
        <v>7167</v>
      </c>
      <c r="M1384" s="11" t="s">
        <v>7168</v>
      </c>
      <c r="N1384" s="11">
        <v>4387</v>
      </c>
      <c r="O1384" s="11">
        <v>599</v>
      </c>
      <c r="P1384" s="11">
        <v>0</v>
      </c>
      <c r="Q1384" s="11" t="s">
        <v>7169</v>
      </c>
      <c r="R1384" s="14" t="s">
        <v>7170</v>
      </c>
      <c r="S1384" s="11">
        <v>21</v>
      </c>
      <c r="T1384" s="11" t="s">
        <v>5642</v>
      </c>
      <c r="U1384" s="11" t="s">
        <v>7171</v>
      </c>
      <c r="V1384" s="13"/>
      <c r="W1384" s="11">
        <v>29500000</v>
      </c>
      <c r="X1384" s="11">
        <v>2009</v>
      </c>
      <c r="Y1384" s="11">
        <v>35</v>
      </c>
      <c r="Z1384" s="11">
        <v>5.3</v>
      </c>
      <c r="AA1384" s="13"/>
      <c r="AB1384" s="11">
        <v>240</v>
      </c>
      <c r="AC1384" s="11"/>
      <c r="AD1384" s="11" t="str">
        <f>IFERROR(__xludf.DUMMYFUNCTION("""COMPUTED_VALUE"""),"Lenny Venito")</f>
        <v>Lenny Venito</v>
      </c>
      <c r="AE1384" s="11"/>
    </row>
    <row r="1385" customHeight="1" spans="1:31">
      <c r="A1385" s="12" t="s">
        <v>30</v>
      </c>
      <c r="B1385" s="12" t="s">
        <v>647</v>
      </c>
      <c r="C1385" s="12">
        <v>72</v>
      </c>
      <c r="D1385" s="12">
        <v>93</v>
      </c>
      <c r="E1385" s="12">
        <v>84</v>
      </c>
      <c r="F1385" s="12">
        <v>263</v>
      </c>
      <c r="G1385" s="12">
        <v>551</v>
      </c>
      <c r="H1385" s="12">
        <v>50129186</v>
      </c>
      <c r="I1385" s="12" t="s">
        <v>1120</v>
      </c>
      <c r="J1385" s="12" t="s">
        <v>3654</v>
      </c>
      <c r="K1385" s="12" t="s">
        <v>92</v>
      </c>
      <c r="L1385" s="12" t="s">
        <v>4681</v>
      </c>
      <c r="M1385" s="12" t="s">
        <v>7172</v>
      </c>
      <c r="N1385" s="12">
        <v>38399</v>
      </c>
      <c r="O1385" s="12">
        <v>1874</v>
      </c>
      <c r="P1385" s="12">
        <v>0</v>
      </c>
      <c r="Q1385" s="12" t="s">
        <v>7173</v>
      </c>
      <c r="R1385" s="15" t="s">
        <v>7174</v>
      </c>
      <c r="S1385" s="12">
        <v>218</v>
      </c>
      <c r="T1385" s="12" t="s">
        <v>39</v>
      </c>
      <c r="U1385" s="12" t="s">
        <v>40</v>
      </c>
      <c r="V1385" s="12" t="s">
        <v>586</v>
      </c>
      <c r="W1385" s="12">
        <v>36000000</v>
      </c>
      <c r="X1385" s="12">
        <v>1997</v>
      </c>
      <c r="Y1385" s="12">
        <v>284</v>
      </c>
      <c r="Z1385" s="12">
        <v>6.9</v>
      </c>
      <c r="AA1385" s="12">
        <v>2.35</v>
      </c>
      <c r="AB1385" s="12">
        <v>0</v>
      </c>
      <c r="AC1385" s="12"/>
      <c r="AD1385" s="12" t="str">
        <f>IFERROR(__xludf.DUMMYFUNCTION("""COMPUTED_VALUE"""),"David Backus")</f>
        <v>David Backus</v>
      </c>
      <c r="AE1385" s="12"/>
    </row>
    <row r="1386" customHeight="1" spans="1:31">
      <c r="A1386" s="11" t="s">
        <v>30</v>
      </c>
      <c r="B1386" s="11" t="s">
        <v>7175</v>
      </c>
      <c r="C1386" s="11">
        <v>89</v>
      </c>
      <c r="D1386" s="11">
        <v>121</v>
      </c>
      <c r="E1386" s="11">
        <v>883</v>
      </c>
      <c r="F1386" s="11">
        <v>133</v>
      </c>
      <c r="G1386" s="11">
        <v>180</v>
      </c>
      <c r="H1386" s="11">
        <v>55500000</v>
      </c>
      <c r="I1386" s="11" t="s">
        <v>51</v>
      </c>
      <c r="J1386" s="11" t="s">
        <v>7176</v>
      </c>
      <c r="K1386" s="11" t="s">
        <v>7177</v>
      </c>
      <c r="L1386" s="11" t="s">
        <v>7178</v>
      </c>
      <c r="M1386" s="11" t="s">
        <v>7179</v>
      </c>
      <c r="N1386" s="11">
        <v>48636</v>
      </c>
      <c r="O1386" s="11">
        <v>762</v>
      </c>
      <c r="P1386" s="11">
        <v>3</v>
      </c>
      <c r="Q1386" s="11" t="s">
        <v>7180</v>
      </c>
      <c r="R1386" s="14" t="s">
        <v>7181</v>
      </c>
      <c r="S1386" s="11">
        <v>214</v>
      </c>
      <c r="T1386" s="11" t="s">
        <v>39</v>
      </c>
      <c r="U1386" s="11" t="s">
        <v>58</v>
      </c>
      <c r="V1386" s="11" t="s">
        <v>96</v>
      </c>
      <c r="W1386" s="11">
        <v>36000000</v>
      </c>
      <c r="X1386" s="11">
        <v>1983</v>
      </c>
      <c r="Y1386" s="11">
        <v>172</v>
      </c>
      <c r="Z1386" s="11">
        <v>6.2</v>
      </c>
      <c r="AA1386" s="11">
        <v>2.35</v>
      </c>
      <c r="AB1386" s="11">
        <v>0</v>
      </c>
      <c r="AC1386" s="11"/>
      <c r="AD1386" s="11" t="str">
        <f>IFERROR(__xludf.DUMMYFUNCTION("""COMPUTED_VALUE"""),"Bernadette Peters")</f>
        <v>Bernadette Peters</v>
      </c>
      <c r="AE1386" s="11"/>
    </row>
    <row r="1387" customHeight="1" spans="1:31">
      <c r="A1387" s="12" t="s">
        <v>30</v>
      </c>
      <c r="B1387" s="12" t="s">
        <v>7182</v>
      </c>
      <c r="C1387" s="12">
        <v>265</v>
      </c>
      <c r="D1387" s="12">
        <v>101</v>
      </c>
      <c r="E1387" s="12">
        <v>38</v>
      </c>
      <c r="F1387" s="12">
        <v>318</v>
      </c>
      <c r="G1387" s="12">
        <v>496</v>
      </c>
      <c r="H1387" s="12">
        <v>50213619</v>
      </c>
      <c r="I1387" s="12" t="s">
        <v>5483</v>
      </c>
      <c r="J1387" s="12" t="s">
        <v>7183</v>
      </c>
      <c r="K1387" s="12" t="s">
        <v>7184</v>
      </c>
      <c r="L1387" s="12" t="s">
        <v>5661</v>
      </c>
      <c r="M1387" s="12" t="s">
        <v>7185</v>
      </c>
      <c r="N1387" s="12">
        <v>139184</v>
      </c>
      <c r="O1387" s="12">
        <v>1272</v>
      </c>
      <c r="P1387" s="12">
        <v>8</v>
      </c>
      <c r="Q1387" s="12" t="s">
        <v>7186</v>
      </c>
      <c r="R1387" s="15" t="s">
        <v>7187</v>
      </c>
      <c r="S1387" s="12">
        <v>243</v>
      </c>
      <c r="T1387" s="12" t="s">
        <v>39</v>
      </c>
      <c r="U1387" s="12" t="s">
        <v>40</v>
      </c>
      <c r="V1387" s="12" t="s">
        <v>586</v>
      </c>
      <c r="W1387" s="12">
        <v>36000000</v>
      </c>
      <c r="X1387" s="12">
        <v>2010</v>
      </c>
      <c r="Y1387" s="12">
        <v>390</v>
      </c>
      <c r="Z1387" s="12">
        <v>6.4</v>
      </c>
      <c r="AA1387" s="12">
        <v>1.85</v>
      </c>
      <c r="AB1387" s="12">
        <v>12000</v>
      </c>
      <c r="AC1387" s="12"/>
      <c r="AD1387" s="12" t="str">
        <f>IFERROR(__xludf.DUMMYFUNCTION("""COMPUTED_VALUE"""),"Kylie Minogue")</f>
        <v>Kylie Minogue</v>
      </c>
      <c r="AE1387" s="12"/>
    </row>
    <row r="1388" customHeight="1" spans="1:31">
      <c r="A1388" s="11" t="s">
        <v>30</v>
      </c>
      <c r="B1388" s="11" t="s">
        <v>7143</v>
      </c>
      <c r="C1388" s="11">
        <v>54</v>
      </c>
      <c r="D1388" s="11">
        <v>107</v>
      </c>
      <c r="E1388" s="11">
        <v>188</v>
      </c>
      <c r="F1388" s="11">
        <v>631</v>
      </c>
      <c r="G1388" s="11">
        <v>11000</v>
      </c>
      <c r="H1388" s="11">
        <v>42019483</v>
      </c>
      <c r="I1388" s="11" t="s">
        <v>7144</v>
      </c>
      <c r="J1388" s="11" t="s">
        <v>466</v>
      </c>
      <c r="K1388" s="11" t="s">
        <v>7188</v>
      </c>
      <c r="L1388" s="11" t="s">
        <v>5356</v>
      </c>
      <c r="M1388" s="11" t="s">
        <v>7189</v>
      </c>
      <c r="N1388" s="11">
        <v>6069</v>
      </c>
      <c r="O1388" s="11">
        <v>13904</v>
      </c>
      <c r="P1388" s="11">
        <v>0</v>
      </c>
      <c r="Q1388" s="11" t="s">
        <v>7190</v>
      </c>
      <c r="R1388" s="14" t="s">
        <v>7191</v>
      </c>
      <c r="S1388" s="11">
        <v>33</v>
      </c>
      <c r="T1388" s="11" t="s">
        <v>39</v>
      </c>
      <c r="U1388" s="11" t="s">
        <v>40</v>
      </c>
      <c r="V1388" s="11" t="s">
        <v>96</v>
      </c>
      <c r="W1388" s="11">
        <v>36000000</v>
      </c>
      <c r="X1388" s="11">
        <v>2014</v>
      </c>
      <c r="Y1388" s="11">
        <v>641</v>
      </c>
      <c r="Z1388" s="11">
        <v>6.4</v>
      </c>
      <c r="AA1388" s="11">
        <v>1.85</v>
      </c>
      <c r="AB1388" s="11">
        <v>0</v>
      </c>
      <c r="AC1388" s="11"/>
      <c r="AD1388" s="11" t="str">
        <f>IFERROR(__xludf.DUMMYFUNCTION("""COMPUTED_VALUE"""),"Matt O'Leary")</f>
        <v>Matt O'Leary</v>
      </c>
      <c r="AE1388" s="11"/>
    </row>
    <row r="1389" customHeight="1" spans="1:31">
      <c r="A1389" s="12" t="s">
        <v>30</v>
      </c>
      <c r="B1389" s="12" t="s">
        <v>4713</v>
      </c>
      <c r="C1389" s="12">
        <v>126</v>
      </c>
      <c r="D1389" s="12">
        <v>124</v>
      </c>
      <c r="E1389" s="12">
        <v>287</v>
      </c>
      <c r="F1389" s="12">
        <v>475</v>
      </c>
      <c r="G1389" s="12">
        <v>9000</v>
      </c>
      <c r="H1389" s="12">
        <v>23360779</v>
      </c>
      <c r="I1389" s="12" t="s">
        <v>7192</v>
      </c>
      <c r="J1389" s="12" t="s">
        <v>778</v>
      </c>
      <c r="K1389" s="12" t="s">
        <v>303</v>
      </c>
      <c r="L1389" s="12" t="s">
        <v>3966</v>
      </c>
      <c r="M1389" s="12" t="s">
        <v>7193</v>
      </c>
      <c r="N1389" s="12">
        <v>31113</v>
      </c>
      <c r="O1389" s="12">
        <v>10838</v>
      </c>
      <c r="P1389" s="12">
        <v>0</v>
      </c>
      <c r="Q1389" s="12" t="s">
        <v>7194</v>
      </c>
      <c r="R1389" s="15" t="s">
        <v>7195</v>
      </c>
      <c r="S1389" s="12">
        <v>212</v>
      </c>
      <c r="T1389" s="12" t="s">
        <v>39</v>
      </c>
      <c r="U1389" s="12" t="s">
        <v>40</v>
      </c>
      <c r="V1389" s="12" t="s">
        <v>586</v>
      </c>
      <c r="W1389" s="12">
        <v>34000000</v>
      </c>
      <c r="X1389" s="12">
        <v>2000</v>
      </c>
      <c r="Y1389" s="12">
        <v>1000</v>
      </c>
      <c r="Z1389" s="12">
        <v>5.7</v>
      </c>
      <c r="AA1389" s="12">
        <v>2.35</v>
      </c>
      <c r="AB1389" s="12">
        <v>852</v>
      </c>
      <c r="AC1389" s="12"/>
      <c r="AD1389" s="12" t="str">
        <f>IFERROR(__xludf.DUMMYFUNCTION("""COMPUTED_VALUE"""),"Quentin Tarantino")</f>
        <v>Quentin Tarantino</v>
      </c>
      <c r="AE1389" s="12"/>
    </row>
    <row r="1390" customHeight="1" spans="1:31">
      <c r="A1390" s="11" t="s">
        <v>30</v>
      </c>
      <c r="B1390" s="11" t="s">
        <v>3089</v>
      </c>
      <c r="C1390" s="11">
        <v>110</v>
      </c>
      <c r="D1390" s="11">
        <v>109</v>
      </c>
      <c r="E1390" s="11">
        <v>473</v>
      </c>
      <c r="F1390" s="11">
        <v>582</v>
      </c>
      <c r="G1390" s="11">
        <v>14000</v>
      </c>
      <c r="H1390" s="11">
        <v>26183197</v>
      </c>
      <c r="I1390" s="11" t="s">
        <v>464</v>
      </c>
      <c r="J1390" s="11" t="s">
        <v>337</v>
      </c>
      <c r="K1390" s="11" t="s">
        <v>7002</v>
      </c>
      <c r="L1390" s="11" t="s">
        <v>2862</v>
      </c>
      <c r="M1390" s="11" t="s">
        <v>7196</v>
      </c>
      <c r="N1390" s="11">
        <v>38348</v>
      </c>
      <c r="O1390" s="11">
        <v>16611</v>
      </c>
      <c r="P1390" s="11">
        <v>0</v>
      </c>
      <c r="Q1390" s="11" t="s">
        <v>7197</v>
      </c>
      <c r="R1390" s="14" t="s">
        <v>7198</v>
      </c>
      <c r="S1390" s="11">
        <v>135</v>
      </c>
      <c r="T1390" s="11" t="s">
        <v>39</v>
      </c>
      <c r="U1390" s="11" t="s">
        <v>40</v>
      </c>
      <c r="V1390" s="11" t="s">
        <v>586</v>
      </c>
      <c r="W1390" s="11">
        <v>36000000</v>
      </c>
      <c r="X1390" s="11">
        <v>2003</v>
      </c>
      <c r="Y1390" s="11">
        <v>919</v>
      </c>
      <c r="Z1390" s="11">
        <v>6.1</v>
      </c>
      <c r="AA1390" s="11">
        <v>2.35</v>
      </c>
      <c r="AB1390" s="11">
        <v>0</v>
      </c>
      <c r="AC1390" s="11"/>
      <c r="AD1390" s="11" t="str">
        <f>IFERROR(__xludf.DUMMYFUNCTION("""COMPUTED_VALUE"""),"Kimberly Elise")</f>
        <v>Kimberly Elise</v>
      </c>
      <c r="AE1390" s="11"/>
    </row>
    <row r="1391" customHeight="1" spans="1:31">
      <c r="A1391" s="12" t="s">
        <v>30</v>
      </c>
      <c r="B1391" s="12" t="s">
        <v>3348</v>
      </c>
      <c r="C1391" s="12">
        <v>138</v>
      </c>
      <c r="D1391" s="12">
        <v>105</v>
      </c>
      <c r="E1391" s="12">
        <v>488</v>
      </c>
      <c r="F1391" s="12">
        <v>13000</v>
      </c>
      <c r="G1391" s="12">
        <v>15000</v>
      </c>
      <c r="H1391" s="12">
        <v>20991497</v>
      </c>
      <c r="I1391" s="12" t="s">
        <v>1415</v>
      </c>
      <c r="J1391" s="12" t="s">
        <v>182</v>
      </c>
      <c r="K1391" s="12" t="s">
        <v>655</v>
      </c>
      <c r="L1391" s="12" t="s">
        <v>549</v>
      </c>
      <c r="M1391" s="12" t="s">
        <v>7199</v>
      </c>
      <c r="N1391" s="12">
        <v>39778</v>
      </c>
      <c r="O1391" s="12">
        <v>44037</v>
      </c>
      <c r="P1391" s="12">
        <v>1</v>
      </c>
      <c r="Q1391" s="12" t="s">
        <v>7200</v>
      </c>
      <c r="R1391" s="15" t="s">
        <v>7201</v>
      </c>
      <c r="S1391" s="12">
        <v>172</v>
      </c>
      <c r="T1391" s="12" t="s">
        <v>39</v>
      </c>
      <c r="U1391" s="12" t="s">
        <v>40</v>
      </c>
      <c r="V1391" s="12" t="s">
        <v>41</v>
      </c>
      <c r="W1391" s="12">
        <v>37000000</v>
      </c>
      <c r="X1391" s="12">
        <v>2015</v>
      </c>
      <c r="Y1391" s="12">
        <v>14000</v>
      </c>
      <c r="Z1391" s="12">
        <v>5.4</v>
      </c>
      <c r="AA1391" s="12">
        <v>1.85</v>
      </c>
      <c r="AB1391" s="12">
        <v>11000</v>
      </c>
      <c r="AC1391" s="12"/>
      <c r="AD1391" s="12" t="str">
        <f>IFERROR(__xludf.DUMMYFUNCTION("""COMPUTED_VALUE"""),"Hill Harper")</f>
        <v>Hill Harper</v>
      </c>
      <c r="AE1391" s="12"/>
    </row>
    <row r="1392" customHeight="1" spans="1:31">
      <c r="A1392" s="11" t="s">
        <v>30</v>
      </c>
      <c r="B1392" s="11" t="s">
        <v>3892</v>
      </c>
      <c r="C1392" s="11">
        <v>31</v>
      </c>
      <c r="D1392" s="11">
        <v>130</v>
      </c>
      <c r="E1392" s="11">
        <v>0</v>
      </c>
      <c r="F1392" s="11">
        <v>723</v>
      </c>
      <c r="G1392" s="11">
        <v>2000</v>
      </c>
      <c r="H1392" s="11">
        <v>13052741</v>
      </c>
      <c r="I1392" s="11" t="s">
        <v>6520</v>
      </c>
      <c r="J1392" s="11" t="s">
        <v>5903</v>
      </c>
      <c r="K1392" s="11" t="s">
        <v>2666</v>
      </c>
      <c r="L1392" s="11" t="s">
        <v>2062</v>
      </c>
      <c r="M1392" s="11" t="s">
        <v>7202</v>
      </c>
      <c r="N1392" s="11">
        <v>8531</v>
      </c>
      <c r="O1392" s="11">
        <v>3968</v>
      </c>
      <c r="P1392" s="11">
        <v>0</v>
      </c>
      <c r="Q1392" s="11" t="s">
        <v>7203</v>
      </c>
      <c r="R1392" s="14" t="s">
        <v>7204</v>
      </c>
      <c r="S1392" s="11">
        <v>57</v>
      </c>
      <c r="T1392" s="11" t="s">
        <v>39</v>
      </c>
      <c r="U1392" s="11" t="s">
        <v>40</v>
      </c>
      <c r="V1392" s="11" t="s">
        <v>41</v>
      </c>
      <c r="W1392" s="11">
        <v>36000000</v>
      </c>
      <c r="X1392" s="11">
        <v>1996</v>
      </c>
      <c r="Y1392" s="11">
        <v>912</v>
      </c>
      <c r="Z1392" s="11">
        <v>6.7</v>
      </c>
      <c r="AA1392" s="11">
        <v>1.85</v>
      </c>
      <c r="AB1392" s="11">
        <v>591</v>
      </c>
      <c r="AC1392" s="11"/>
      <c r="AD1392" s="11" t="str">
        <f>IFERROR(__xludf.DUMMYFUNCTION("""COMPUTED_VALUE"""),"Kelvin Han Yee")</f>
        <v>Kelvin Han Yee</v>
      </c>
      <c r="AE1392" s="11"/>
    </row>
    <row r="1393" customHeight="1" spans="1:31">
      <c r="A1393" s="12" t="s">
        <v>30</v>
      </c>
      <c r="B1393" s="12" t="s">
        <v>7205</v>
      </c>
      <c r="C1393" s="12">
        <v>95</v>
      </c>
      <c r="D1393" s="12">
        <v>127</v>
      </c>
      <c r="E1393" s="12">
        <v>96</v>
      </c>
      <c r="F1393" s="12">
        <v>577</v>
      </c>
      <c r="G1393" s="12">
        <v>746</v>
      </c>
      <c r="H1393" s="12">
        <v>14378353</v>
      </c>
      <c r="I1393" s="12" t="s">
        <v>3278</v>
      </c>
      <c r="J1393" s="12" t="s">
        <v>966</v>
      </c>
      <c r="K1393" s="12" t="s">
        <v>7206</v>
      </c>
      <c r="L1393" s="12" t="s">
        <v>3711</v>
      </c>
      <c r="M1393" s="12" t="s">
        <v>7207</v>
      </c>
      <c r="N1393" s="12">
        <v>12375</v>
      </c>
      <c r="O1393" s="12">
        <v>2393</v>
      </c>
      <c r="P1393" s="12">
        <v>1</v>
      </c>
      <c r="Q1393" s="12" t="s">
        <v>7208</v>
      </c>
      <c r="R1393" s="15" t="s">
        <v>7209</v>
      </c>
      <c r="S1393" s="12">
        <v>194</v>
      </c>
      <c r="T1393" s="12" t="s">
        <v>39</v>
      </c>
      <c r="U1393" s="12" t="s">
        <v>40</v>
      </c>
      <c r="V1393" s="12" t="s">
        <v>41</v>
      </c>
      <c r="W1393" s="12">
        <v>36000000</v>
      </c>
      <c r="X1393" s="12">
        <v>1999</v>
      </c>
      <c r="Y1393" s="12">
        <v>602</v>
      </c>
      <c r="Z1393" s="12">
        <v>6.8</v>
      </c>
      <c r="AA1393" s="12">
        <v>2.35</v>
      </c>
      <c r="AB1393" s="12">
        <v>846</v>
      </c>
      <c r="AC1393" s="12"/>
      <c r="AD1393" s="12" t="str">
        <f>IFERROR(__xludf.DUMMYFUNCTION("""COMPUTED_VALUE"""),"Parker Sawyers")</f>
        <v>Parker Sawyers</v>
      </c>
      <c r="AE1393" s="12"/>
    </row>
    <row r="1394" customHeight="1" spans="1:31">
      <c r="A1394" s="11" t="s">
        <v>30</v>
      </c>
      <c r="B1394" s="11" t="s">
        <v>3524</v>
      </c>
      <c r="C1394" s="11">
        <v>267</v>
      </c>
      <c r="D1394" s="11">
        <v>114</v>
      </c>
      <c r="E1394" s="11">
        <v>101</v>
      </c>
      <c r="F1394" s="11">
        <v>2000</v>
      </c>
      <c r="G1394" s="11">
        <v>12000</v>
      </c>
      <c r="H1394" s="11">
        <v>33037754</v>
      </c>
      <c r="I1394" s="11" t="s">
        <v>6133</v>
      </c>
      <c r="J1394" s="11" t="s">
        <v>763</v>
      </c>
      <c r="K1394" s="11" t="s">
        <v>7210</v>
      </c>
      <c r="L1394" s="11" t="s">
        <v>1212</v>
      </c>
      <c r="M1394" s="11" t="s">
        <v>7211</v>
      </c>
      <c r="N1394" s="11">
        <v>75864</v>
      </c>
      <c r="O1394" s="11">
        <v>19904</v>
      </c>
      <c r="P1394" s="11">
        <v>1</v>
      </c>
      <c r="Q1394" s="11" t="s">
        <v>7212</v>
      </c>
      <c r="R1394" s="14" t="s">
        <v>7213</v>
      </c>
      <c r="S1394" s="11">
        <v>197</v>
      </c>
      <c r="T1394" s="11" t="s">
        <v>39</v>
      </c>
      <c r="U1394" s="11" t="s">
        <v>40</v>
      </c>
      <c r="V1394" s="11" t="s">
        <v>41</v>
      </c>
      <c r="W1394" s="11">
        <v>37000000</v>
      </c>
      <c r="X1394" s="11">
        <v>2011</v>
      </c>
      <c r="Y1394" s="11">
        <v>3000</v>
      </c>
      <c r="Z1394" s="11">
        <v>6</v>
      </c>
      <c r="AA1394" s="11">
        <v>2.35</v>
      </c>
      <c r="AB1394" s="11">
        <v>23000</v>
      </c>
      <c r="AC1394" s="11"/>
      <c r="AD1394" s="11" t="str">
        <f>IFERROR(__xludf.DUMMYFUNCTION("""COMPUTED_VALUE"""),"Ann-Margret")</f>
        <v>Ann-Margret</v>
      </c>
      <c r="AE1394" s="11"/>
    </row>
    <row r="1395" customHeight="1" spans="1:31">
      <c r="A1395" s="12" t="s">
        <v>30</v>
      </c>
      <c r="B1395" s="12" t="s">
        <v>5350</v>
      </c>
      <c r="C1395" s="12">
        <v>175</v>
      </c>
      <c r="D1395" s="12">
        <v>106</v>
      </c>
      <c r="E1395" s="12">
        <v>487</v>
      </c>
      <c r="F1395" s="12">
        <v>263</v>
      </c>
      <c r="G1395" s="12">
        <v>685</v>
      </c>
      <c r="H1395" s="12">
        <v>12339633</v>
      </c>
      <c r="I1395" s="12" t="s">
        <v>2684</v>
      </c>
      <c r="J1395" s="12" t="s">
        <v>7214</v>
      </c>
      <c r="K1395" s="12" t="s">
        <v>4221</v>
      </c>
      <c r="L1395" s="12" t="s">
        <v>7215</v>
      </c>
      <c r="M1395" s="12" t="s">
        <v>7216</v>
      </c>
      <c r="N1395" s="12">
        <v>220591</v>
      </c>
      <c r="O1395" s="12">
        <v>1942</v>
      </c>
      <c r="P1395" s="12">
        <v>2</v>
      </c>
      <c r="Q1395" s="12" t="s">
        <v>7217</v>
      </c>
      <c r="R1395" s="15" t="s">
        <v>7218</v>
      </c>
      <c r="S1395" s="12">
        <v>641</v>
      </c>
      <c r="T1395" s="12" t="s">
        <v>39</v>
      </c>
      <c r="U1395" s="12" t="s">
        <v>40</v>
      </c>
      <c r="V1395" s="12" t="s">
        <v>41</v>
      </c>
      <c r="W1395" s="12">
        <v>36000000</v>
      </c>
      <c r="X1395" s="12">
        <v>1997</v>
      </c>
      <c r="Y1395" s="12">
        <v>485</v>
      </c>
      <c r="Z1395" s="12">
        <v>7.8</v>
      </c>
      <c r="AA1395" s="12">
        <v>2.35</v>
      </c>
      <c r="AB1395" s="12">
        <v>17000</v>
      </c>
      <c r="AC1395" s="12"/>
      <c r="AD1395" s="12" t="str">
        <f>IFERROR(__xludf.DUMMYFUNCTION("""COMPUTED_VALUE"""),"Alice Greczyn")</f>
        <v>Alice Greczyn</v>
      </c>
      <c r="AE1395" s="12"/>
    </row>
    <row r="1396" customHeight="1" spans="1:31">
      <c r="A1396" s="11" t="s">
        <v>30</v>
      </c>
      <c r="B1396" s="11" t="s">
        <v>5315</v>
      </c>
      <c r="C1396" s="11">
        <v>63</v>
      </c>
      <c r="D1396" s="11">
        <v>95</v>
      </c>
      <c r="E1396" s="11">
        <v>31</v>
      </c>
      <c r="F1396" s="11">
        <v>450</v>
      </c>
      <c r="G1396" s="11">
        <v>944</v>
      </c>
      <c r="H1396" s="11">
        <v>2954405</v>
      </c>
      <c r="I1396" s="11" t="s">
        <v>7219</v>
      </c>
      <c r="J1396" s="11" t="s">
        <v>4136</v>
      </c>
      <c r="K1396" s="11" t="s">
        <v>1385</v>
      </c>
      <c r="L1396" s="11" t="s">
        <v>6538</v>
      </c>
      <c r="M1396" s="11" t="s">
        <v>7220</v>
      </c>
      <c r="N1396" s="11">
        <v>1977</v>
      </c>
      <c r="O1396" s="11">
        <v>2928</v>
      </c>
      <c r="P1396" s="11">
        <v>0</v>
      </c>
      <c r="Q1396" s="11" t="s">
        <v>7221</v>
      </c>
      <c r="R1396" s="14" t="s">
        <v>7222</v>
      </c>
      <c r="S1396" s="11">
        <v>64</v>
      </c>
      <c r="T1396" s="11" t="s">
        <v>39</v>
      </c>
      <c r="U1396" s="11" t="s">
        <v>40</v>
      </c>
      <c r="V1396" s="11" t="s">
        <v>586</v>
      </c>
      <c r="W1396" s="11">
        <v>36000000</v>
      </c>
      <c r="X1396" s="11">
        <v>2000</v>
      </c>
      <c r="Y1396" s="11">
        <v>886</v>
      </c>
      <c r="Z1396" s="11">
        <v>5.3</v>
      </c>
      <c r="AA1396" s="11">
        <v>1.85</v>
      </c>
      <c r="AB1396" s="11">
        <v>133</v>
      </c>
      <c r="AC1396" s="11"/>
      <c r="AD1396" s="11" t="str">
        <f>IFERROR(__xludf.DUMMYFUNCTION("""COMPUTED_VALUE"""),"Jessica Simpson")</f>
        <v>Jessica Simpson</v>
      </c>
      <c r="AE1396" s="11"/>
    </row>
    <row r="1397" customHeight="1" spans="1:31">
      <c r="A1397" s="12" t="s">
        <v>30</v>
      </c>
      <c r="B1397" s="12" t="s">
        <v>1454</v>
      </c>
      <c r="C1397" s="12">
        <v>85</v>
      </c>
      <c r="D1397" s="12">
        <v>81</v>
      </c>
      <c r="E1397" s="12">
        <v>16</v>
      </c>
      <c r="F1397" s="12">
        <v>387</v>
      </c>
      <c r="G1397" s="12">
        <v>541</v>
      </c>
      <c r="H1397" s="12">
        <v>30105968</v>
      </c>
      <c r="I1397" s="12" t="s">
        <v>621</v>
      </c>
      <c r="J1397" s="12" t="s">
        <v>5161</v>
      </c>
      <c r="K1397" s="12" t="s">
        <v>7223</v>
      </c>
      <c r="L1397" s="12" t="s">
        <v>7224</v>
      </c>
      <c r="M1397" s="12" t="s">
        <v>7225</v>
      </c>
      <c r="N1397" s="12">
        <v>8860</v>
      </c>
      <c r="O1397" s="12">
        <v>2268</v>
      </c>
      <c r="P1397" s="12">
        <v>0</v>
      </c>
      <c r="Q1397" s="12" t="s">
        <v>7226</v>
      </c>
      <c r="R1397" s="15" t="s">
        <v>7227</v>
      </c>
      <c r="S1397" s="12">
        <v>45</v>
      </c>
      <c r="T1397" s="12" t="s">
        <v>39</v>
      </c>
      <c r="U1397" s="12" t="s">
        <v>40</v>
      </c>
      <c r="V1397" s="12" t="s">
        <v>278</v>
      </c>
      <c r="W1397" s="12">
        <v>37000000</v>
      </c>
      <c r="X1397" s="12">
        <v>2008</v>
      </c>
      <c r="Y1397" s="12">
        <v>521</v>
      </c>
      <c r="Z1397" s="12">
        <v>4.5</v>
      </c>
      <c r="AA1397" s="12">
        <v>2.35</v>
      </c>
      <c r="AB1397" s="12">
        <v>279</v>
      </c>
      <c r="AC1397" s="12"/>
      <c r="AD1397" s="12" t="str">
        <f>IFERROR(__xludf.DUMMYFUNCTION("""COMPUTED_VALUE"""),"Dash Mihok")</f>
        <v>Dash Mihok</v>
      </c>
      <c r="AE1397" s="12"/>
    </row>
    <row r="1398" customHeight="1" spans="1:31">
      <c r="A1398" s="11" t="s">
        <v>30</v>
      </c>
      <c r="B1398" s="11" t="s">
        <v>7228</v>
      </c>
      <c r="C1398" s="11">
        <v>44</v>
      </c>
      <c r="D1398" s="11">
        <v>95</v>
      </c>
      <c r="E1398" s="11">
        <v>0</v>
      </c>
      <c r="F1398" s="11">
        <v>642</v>
      </c>
      <c r="G1398" s="11">
        <v>1000</v>
      </c>
      <c r="H1398" s="11">
        <v>37788228</v>
      </c>
      <c r="I1398" s="11" t="s">
        <v>1672</v>
      </c>
      <c r="J1398" s="11" t="s">
        <v>804</v>
      </c>
      <c r="K1398" s="11" t="s">
        <v>4640</v>
      </c>
      <c r="L1398" s="11" t="s">
        <v>4191</v>
      </c>
      <c r="M1398" s="11" t="s">
        <v>7229</v>
      </c>
      <c r="N1398" s="11">
        <v>15046</v>
      </c>
      <c r="O1398" s="11">
        <v>4537</v>
      </c>
      <c r="P1398" s="11">
        <v>1</v>
      </c>
      <c r="Q1398" s="11" t="s">
        <v>7230</v>
      </c>
      <c r="R1398" s="14" t="s">
        <v>7231</v>
      </c>
      <c r="S1398" s="11">
        <v>80</v>
      </c>
      <c r="T1398" s="11" t="s">
        <v>39</v>
      </c>
      <c r="U1398" s="11" t="s">
        <v>40</v>
      </c>
      <c r="V1398" s="11" t="s">
        <v>41</v>
      </c>
      <c r="W1398" s="11">
        <v>35200000</v>
      </c>
      <c r="X1398" s="11">
        <v>2003</v>
      </c>
      <c r="Y1398" s="11">
        <v>812</v>
      </c>
      <c r="Z1398" s="11">
        <v>5.4</v>
      </c>
      <c r="AA1398" s="11">
        <v>1.85</v>
      </c>
      <c r="AB1398" s="11">
        <v>638</v>
      </c>
      <c r="AC1398" s="11"/>
      <c r="AD1398" s="11" t="str">
        <f>IFERROR(__xludf.DUMMYFUNCTION("""COMPUTED_VALUE"""),"Mircea Monroe")</f>
        <v>Mircea Monroe</v>
      </c>
      <c r="AE1398" s="11"/>
    </row>
    <row r="1399" customHeight="1" spans="1:31">
      <c r="A1399" s="12" t="s">
        <v>30</v>
      </c>
      <c r="B1399" s="12" t="s">
        <v>2543</v>
      </c>
      <c r="C1399" s="12">
        <v>334</v>
      </c>
      <c r="D1399" s="12">
        <v>108</v>
      </c>
      <c r="E1399" s="12">
        <v>480</v>
      </c>
      <c r="F1399" s="12">
        <v>706</v>
      </c>
      <c r="G1399" s="12">
        <v>14000</v>
      </c>
      <c r="H1399" s="12">
        <v>277313371</v>
      </c>
      <c r="I1399" s="12" t="s">
        <v>1672</v>
      </c>
      <c r="J1399" s="12" t="s">
        <v>655</v>
      </c>
      <c r="K1399" s="12" t="s">
        <v>4496</v>
      </c>
      <c r="L1399" s="12" t="s">
        <v>5265</v>
      </c>
      <c r="M1399" s="12" t="s">
        <v>7232</v>
      </c>
      <c r="N1399" s="12">
        <v>583341</v>
      </c>
      <c r="O1399" s="12">
        <v>17623</v>
      </c>
      <c r="P1399" s="12">
        <v>3</v>
      </c>
      <c r="Q1399" s="12" t="s">
        <v>7233</v>
      </c>
      <c r="R1399" s="15" t="s">
        <v>7234</v>
      </c>
      <c r="S1399" s="12">
        <v>626</v>
      </c>
      <c r="T1399" s="12" t="s">
        <v>39</v>
      </c>
      <c r="U1399" s="12" t="s">
        <v>40</v>
      </c>
      <c r="V1399" s="12" t="s">
        <v>586</v>
      </c>
      <c r="W1399" s="12">
        <v>35000000</v>
      </c>
      <c r="X1399" s="12">
        <v>2009</v>
      </c>
      <c r="Y1399" s="12">
        <v>839</v>
      </c>
      <c r="Z1399" s="12">
        <v>7.8</v>
      </c>
      <c r="AA1399" s="12">
        <v>2.35</v>
      </c>
      <c r="AB1399" s="12">
        <v>24000</v>
      </c>
      <c r="AC1399" s="12"/>
      <c r="AD1399" s="12" t="str">
        <f>IFERROR(__xludf.DUMMYFUNCTION("""COMPUTED_VALUE"""),"Matt Price")</f>
        <v>Matt Price</v>
      </c>
      <c r="AE1399" s="12"/>
    </row>
    <row r="1400" customHeight="1" spans="1:31">
      <c r="A1400" s="11" t="s">
        <v>30</v>
      </c>
      <c r="B1400" s="11" t="s">
        <v>7235</v>
      </c>
      <c r="C1400" s="11">
        <v>78</v>
      </c>
      <c r="D1400" s="11">
        <v>105</v>
      </c>
      <c r="E1400" s="11">
        <v>25</v>
      </c>
      <c r="F1400" s="11">
        <v>51</v>
      </c>
      <c r="G1400" s="11">
        <v>461</v>
      </c>
      <c r="H1400" s="11">
        <v>2126511</v>
      </c>
      <c r="I1400" s="11" t="s">
        <v>7236</v>
      </c>
      <c r="J1400" s="11" t="s">
        <v>2545</v>
      </c>
      <c r="K1400" s="11" t="s">
        <v>7237</v>
      </c>
      <c r="L1400" s="11" t="s">
        <v>7238</v>
      </c>
      <c r="M1400" s="11" t="s">
        <v>7239</v>
      </c>
      <c r="N1400" s="11">
        <v>21912</v>
      </c>
      <c r="O1400" s="11">
        <v>615</v>
      </c>
      <c r="P1400" s="11">
        <v>0</v>
      </c>
      <c r="Q1400" s="11" t="s">
        <v>7240</v>
      </c>
      <c r="R1400" s="14" t="s">
        <v>7241</v>
      </c>
      <c r="S1400" s="11">
        <v>45</v>
      </c>
      <c r="T1400" s="11" t="s">
        <v>7242</v>
      </c>
      <c r="U1400" s="11" t="s">
        <v>3860</v>
      </c>
      <c r="V1400" s="11" t="s">
        <v>41</v>
      </c>
      <c r="W1400" s="11">
        <v>36000000</v>
      </c>
      <c r="X1400" s="11">
        <v>2015</v>
      </c>
      <c r="Y1400" s="11">
        <v>79</v>
      </c>
      <c r="Z1400" s="11">
        <v>7.2</v>
      </c>
      <c r="AA1400" s="11">
        <v>2.35</v>
      </c>
      <c r="AB1400" s="11">
        <v>12000</v>
      </c>
      <c r="AC1400" s="11"/>
      <c r="AD1400" s="11" t="str">
        <f>IFERROR(__xludf.DUMMYFUNCTION("""COMPUTED_VALUE"""),"Gerry Becker")</f>
        <v>Gerry Becker</v>
      </c>
      <c r="AE1400" s="11"/>
    </row>
    <row r="1401" customHeight="1" spans="1:31">
      <c r="A1401" s="12" t="s">
        <v>30</v>
      </c>
      <c r="B1401" s="12" t="s">
        <v>1966</v>
      </c>
      <c r="C1401" s="12">
        <v>199</v>
      </c>
      <c r="D1401" s="12">
        <v>95</v>
      </c>
      <c r="E1401" s="12">
        <v>116</v>
      </c>
      <c r="F1401" s="12">
        <v>481</v>
      </c>
      <c r="G1401" s="12">
        <v>45000</v>
      </c>
      <c r="H1401" s="12">
        <v>205399422</v>
      </c>
      <c r="I1401" s="12" t="s">
        <v>1375</v>
      </c>
      <c r="J1401" s="12" t="s">
        <v>5334</v>
      </c>
      <c r="K1401" s="12" t="s">
        <v>1254</v>
      </c>
      <c r="L1401" s="12" t="s">
        <v>3852</v>
      </c>
      <c r="M1401" s="12" t="s">
        <v>7243</v>
      </c>
      <c r="N1401" s="12">
        <v>181225</v>
      </c>
      <c r="O1401" s="12">
        <v>47203</v>
      </c>
      <c r="P1401" s="12">
        <v>1</v>
      </c>
      <c r="Q1401" s="12" t="s">
        <v>7244</v>
      </c>
      <c r="R1401" s="15" t="s">
        <v>7245</v>
      </c>
      <c r="S1401" s="12">
        <v>784</v>
      </c>
      <c r="T1401" s="12" t="s">
        <v>39</v>
      </c>
      <c r="U1401" s="12" t="s">
        <v>40</v>
      </c>
      <c r="V1401" s="12" t="s">
        <v>41</v>
      </c>
      <c r="W1401" s="12">
        <v>33000000</v>
      </c>
      <c r="X1401" s="12">
        <v>1999</v>
      </c>
      <c r="Y1401" s="12">
        <v>645</v>
      </c>
      <c r="Z1401" s="12">
        <v>6.6</v>
      </c>
      <c r="AA1401" s="12">
        <v>2.35</v>
      </c>
      <c r="AB1401" s="12">
        <v>0</v>
      </c>
      <c r="AC1401" s="12"/>
      <c r="AD1401" s="12" t="str">
        <f>IFERROR(__xludf.DUMMYFUNCTION("""COMPUTED_VALUE"""),"Tom Dreesen")</f>
        <v>Tom Dreesen</v>
      </c>
      <c r="AE1401" s="12"/>
    </row>
    <row r="1402" customHeight="1" spans="1:31">
      <c r="A1402" s="11" t="s">
        <v>30</v>
      </c>
      <c r="B1402" s="11" t="s">
        <v>256</v>
      </c>
      <c r="C1402" s="11">
        <v>186</v>
      </c>
      <c r="D1402" s="11">
        <v>126</v>
      </c>
      <c r="E1402" s="11">
        <v>13000</v>
      </c>
      <c r="F1402" s="11">
        <v>488</v>
      </c>
      <c r="G1402" s="11">
        <v>920</v>
      </c>
      <c r="H1402" s="11">
        <v>251188924</v>
      </c>
      <c r="I1402" s="11" t="s">
        <v>127</v>
      </c>
      <c r="J1402" s="11" t="s">
        <v>1327</v>
      </c>
      <c r="K1402" s="11" t="s">
        <v>4666</v>
      </c>
      <c r="L1402" s="11" t="s">
        <v>7246</v>
      </c>
      <c r="M1402" s="11" t="s">
        <v>7247</v>
      </c>
      <c r="N1402" s="11">
        <v>269033</v>
      </c>
      <c r="O1402" s="11">
        <v>2725</v>
      </c>
      <c r="P1402" s="11">
        <v>0</v>
      </c>
      <c r="Q1402" s="11" t="s">
        <v>7248</v>
      </c>
      <c r="R1402" s="14" t="s">
        <v>7249</v>
      </c>
      <c r="S1402" s="11">
        <v>817</v>
      </c>
      <c r="T1402" s="11" t="s">
        <v>39</v>
      </c>
      <c r="U1402" s="11" t="s">
        <v>40</v>
      </c>
      <c r="V1402" s="11" t="s">
        <v>41</v>
      </c>
      <c r="W1402" s="11">
        <v>35000000</v>
      </c>
      <c r="X1402" s="11">
        <v>1989</v>
      </c>
      <c r="Y1402" s="11">
        <v>549</v>
      </c>
      <c r="Z1402" s="11">
        <v>7.6</v>
      </c>
      <c r="AA1402" s="11">
        <v>1.85</v>
      </c>
      <c r="AB1402" s="11">
        <v>12000</v>
      </c>
      <c r="AC1402" s="11"/>
      <c r="AD1402" s="11" t="str">
        <f>IFERROR(__xludf.DUMMYFUNCTION("""COMPUTED_VALUE"""),"Kasia Smutniak")</f>
        <v>Kasia Smutniak</v>
      </c>
      <c r="AE1402" s="11"/>
    </row>
    <row r="1403" customHeight="1" spans="1:31">
      <c r="A1403" s="12" t="s">
        <v>30</v>
      </c>
      <c r="B1403" s="12" t="s">
        <v>577</v>
      </c>
      <c r="C1403" s="12">
        <v>77</v>
      </c>
      <c r="D1403" s="12">
        <v>102</v>
      </c>
      <c r="E1403" s="12">
        <v>596</v>
      </c>
      <c r="F1403" s="12">
        <v>785</v>
      </c>
      <c r="G1403" s="12">
        <v>877</v>
      </c>
      <c r="H1403" s="12">
        <v>1068392</v>
      </c>
      <c r="I1403" s="12" t="s">
        <v>7250</v>
      </c>
      <c r="J1403" s="12" t="s">
        <v>1190</v>
      </c>
      <c r="K1403" s="12" t="s">
        <v>1342</v>
      </c>
      <c r="L1403" s="12" t="s">
        <v>7251</v>
      </c>
      <c r="M1403" s="12" t="s">
        <v>7252</v>
      </c>
      <c r="N1403" s="12">
        <v>3865</v>
      </c>
      <c r="O1403" s="12">
        <v>3497</v>
      </c>
      <c r="P1403" s="12">
        <v>0</v>
      </c>
      <c r="Q1403" s="12" t="s">
        <v>7253</v>
      </c>
      <c r="R1403" s="15" t="s">
        <v>7254</v>
      </c>
      <c r="S1403" s="12">
        <v>53</v>
      </c>
      <c r="T1403" s="12" t="s">
        <v>39</v>
      </c>
      <c r="U1403" s="12" t="s">
        <v>3572</v>
      </c>
      <c r="V1403" s="12" t="s">
        <v>41</v>
      </c>
      <c r="W1403" s="12">
        <v>36000000</v>
      </c>
      <c r="X1403" s="12">
        <v>2011</v>
      </c>
      <c r="Y1403" s="12">
        <v>794</v>
      </c>
      <c r="Z1403" s="12">
        <v>5.9</v>
      </c>
      <c r="AA1403" s="12">
        <v>2.35</v>
      </c>
      <c r="AB1403" s="12">
        <v>2000</v>
      </c>
      <c r="AC1403" s="12"/>
      <c r="AD1403" s="12" t="str">
        <f>IFERROR(__xludf.DUMMYFUNCTION("""COMPUTED_VALUE"""),"Amber Rose Revah")</f>
        <v>Amber Rose Revah</v>
      </c>
      <c r="AE1403" s="12"/>
    </row>
    <row r="1404" customHeight="1" spans="1:31">
      <c r="A1404" s="11" t="s">
        <v>30</v>
      </c>
      <c r="B1404" s="11" t="s">
        <v>1059</v>
      </c>
      <c r="C1404" s="11">
        <v>68</v>
      </c>
      <c r="D1404" s="11">
        <v>121</v>
      </c>
      <c r="E1404" s="11">
        <v>503</v>
      </c>
      <c r="F1404" s="11">
        <v>94</v>
      </c>
      <c r="G1404" s="11">
        <v>808</v>
      </c>
      <c r="H1404" s="11">
        <v>144731527</v>
      </c>
      <c r="I1404" s="11" t="s">
        <v>334</v>
      </c>
      <c r="J1404" s="11" t="s">
        <v>1060</v>
      </c>
      <c r="K1404" s="11" t="s">
        <v>2774</v>
      </c>
      <c r="L1404" s="11" t="s">
        <v>3680</v>
      </c>
      <c r="M1404" s="11" t="s">
        <v>7255</v>
      </c>
      <c r="N1404" s="11">
        <v>128010</v>
      </c>
      <c r="O1404" s="11">
        <v>1446</v>
      </c>
      <c r="P1404" s="11">
        <v>2</v>
      </c>
      <c r="Q1404" s="11" t="s">
        <v>7256</v>
      </c>
      <c r="R1404" s="14" t="s">
        <v>7257</v>
      </c>
      <c r="S1404" s="11">
        <v>136</v>
      </c>
      <c r="T1404" s="11" t="s">
        <v>39</v>
      </c>
      <c r="U1404" s="11" t="s">
        <v>40</v>
      </c>
      <c r="V1404" s="11" t="s">
        <v>586</v>
      </c>
      <c r="W1404" s="11">
        <v>35000000</v>
      </c>
      <c r="X1404" s="11">
        <v>1992</v>
      </c>
      <c r="Y1404" s="11">
        <v>277</v>
      </c>
      <c r="Z1404" s="11">
        <v>6.7</v>
      </c>
      <c r="AA1404" s="11">
        <v>2.35</v>
      </c>
      <c r="AB1404" s="11">
        <v>0</v>
      </c>
      <c r="AC1404" s="11"/>
      <c r="AD1404" s="11" t="str">
        <f>IFERROR(__xludf.DUMMYFUNCTION("""COMPUTED_VALUE"""),"Rebecca Dayan")</f>
        <v>Rebecca Dayan</v>
      </c>
      <c r="AE1404" s="11"/>
    </row>
    <row r="1405" customHeight="1" spans="1:31">
      <c r="A1405" s="12" t="s">
        <v>30</v>
      </c>
      <c r="B1405" s="12" t="s">
        <v>2055</v>
      </c>
      <c r="C1405" s="12">
        <v>261</v>
      </c>
      <c r="D1405" s="12">
        <v>129</v>
      </c>
      <c r="E1405" s="12">
        <v>102</v>
      </c>
      <c r="F1405" s="12">
        <v>624</v>
      </c>
      <c r="G1405" s="12">
        <v>768</v>
      </c>
      <c r="H1405" s="12">
        <v>255950375</v>
      </c>
      <c r="I1405" s="12" t="s">
        <v>1635</v>
      </c>
      <c r="J1405" s="12" t="s">
        <v>7258</v>
      </c>
      <c r="K1405" s="12" t="s">
        <v>7259</v>
      </c>
      <c r="L1405" s="12" t="s">
        <v>2210</v>
      </c>
      <c r="M1405" s="12" t="s">
        <v>7260</v>
      </c>
      <c r="N1405" s="12">
        <v>223127</v>
      </c>
      <c r="O1405" s="12">
        <v>3389</v>
      </c>
      <c r="P1405" s="12">
        <v>0</v>
      </c>
      <c r="Q1405" s="12" t="s">
        <v>7261</v>
      </c>
      <c r="R1405" s="15" t="s">
        <v>7262</v>
      </c>
      <c r="S1405" s="12">
        <v>420</v>
      </c>
      <c r="T1405" s="12" t="s">
        <v>39</v>
      </c>
      <c r="U1405" s="12" t="s">
        <v>40</v>
      </c>
      <c r="V1405" s="12" t="s">
        <v>41</v>
      </c>
      <c r="W1405" s="12">
        <v>29000000</v>
      </c>
      <c r="X1405" s="12">
        <v>2009</v>
      </c>
      <c r="Y1405" s="12">
        <v>734</v>
      </c>
      <c r="Z1405" s="12">
        <v>7.7</v>
      </c>
      <c r="AA1405" s="12">
        <v>1.85</v>
      </c>
      <c r="AB1405" s="12">
        <v>38000</v>
      </c>
      <c r="AC1405" s="12"/>
      <c r="AD1405" s="12" t="str">
        <f>IFERROR(__xludf.DUMMYFUNCTION("""COMPUTED_VALUE"""),"Victoria Smurfit")</f>
        <v>Victoria Smurfit</v>
      </c>
      <c r="AE1405" s="12"/>
    </row>
    <row r="1406" customHeight="1" spans="1:31">
      <c r="A1406" s="11" t="s">
        <v>30</v>
      </c>
      <c r="B1406" s="13"/>
      <c r="C1406" s="11">
        <v>5</v>
      </c>
      <c r="D1406" s="11">
        <v>43</v>
      </c>
      <c r="E1406" s="13"/>
      <c r="F1406" s="11">
        <v>452</v>
      </c>
      <c r="G1406" s="11">
        <v>778</v>
      </c>
      <c r="H1406" s="13"/>
      <c r="I1406" s="11" t="s">
        <v>1753</v>
      </c>
      <c r="J1406" s="11" t="s">
        <v>7263</v>
      </c>
      <c r="K1406" s="11" t="s">
        <v>7264</v>
      </c>
      <c r="L1406" s="11" t="s">
        <v>1779</v>
      </c>
      <c r="M1406" s="11" t="s">
        <v>7265</v>
      </c>
      <c r="N1406" s="11">
        <v>2185</v>
      </c>
      <c r="O1406" s="11">
        <v>2255</v>
      </c>
      <c r="P1406" s="11">
        <v>2</v>
      </c>
      <c r="Q1406" s="13"/>
      <c r="R1406" s="14" t="s">
        <v>7266</v>
      </c>
      <c r="S1406" s="11">
        <v>30</v>
      </c>
      <c r="T1406" s="11" t="s">
        <v>39</v>
      </c>
      <c r="U1406" s="11" t="s">
        <v>40</v>
      </c>
      <c r="V1406" s="11" t="s">
        <v>1127</v>
      </c>
      <c r="W1406" s="13"/>
      <c r="X1406" s="13"/>
      <c r="Y1406" s="11">
        <v>618</v>
      </c>
      <c r="Z1406" s="11">
        <v>5.8</v>
      </c>
      <c r="AA1406" s="11">
        <v>16</v>
      </c>
      <c r="AB1406" s="11">
        <v>0</v>
      </c>
      <c r="AC1406" s="11"/>
      <c r="AD1406" s="11" t="str">
        <f>IFERROR(__xludf.DUMMYFUNCTION("""COMPUTED_VALUE"""),"Tony Cox")</f>
        <v>Tony Cox</v>
      </c>
      <c r="AE1406" s="11"/>
    </row>
    <row r="1407" customHeight="1" spans="1:31">
      <c r="A1407" s="12" t="s">
        <v>30</v>
      </c>
      <c r="B1407" s="12" t="s">
        <v>4904</v>
      </c>
      <c r="C1407" s="12">
        <v>122</v>
      </c>
      <c r="D1407" s="12">
        <v>88</v>
      </c>
      <c r="E1407" s="12">
        <v>0</v>
      </c>
      <c r="F1407" s="12">
        <v>640</v>
      </c>
      <c r="G1407" s="12">
        <v>2000</v>
      </c>
      <c r="H1407" s="12">
        <v>112692062</v>
      </c>
      <c r="I1407" s="12" t="s">
        <v>3037</v>
      </c>
      <c r="J1407" s="12" t="s">
        <v>5903</v>
      </c>
      <c r="K1407" s="12" t="s">
        <v>3299</v>
      </c>
      <c r="L1407" s="12" t="s">
        <v>74</v>
      </c>
      <c r="M1407" s="12" t="s">
        <v>7267</v>
      </c>
      <c r="N1407" s="12">
        <v>84325</v>
      </c>
      <c r="O1407" s="12">
        <v>4499</v>
      </c>
      <c r="P1407" s="12">
        <v>0</v>
      </c>
      <c r="Q1407" s="12" t="s">
        <v>7268</v>
      </c>
      <c r="R1407" s="15" t="s">
        <v>7269</v>
      </c>
      <c r="S1407" s="12">
        <v>205</v>
      </c>
      <c r="T1407" s="12" t="s">
        <v>39</v>
      </c>
      <c r="U1407" s="12" t="s">
        <v>40</v>
      </c>
      <c r="V1407" s="12" t="s">
        <v>96</v>
      </c>
      <c r="W1407" s="12">
        <v>35000000</v>
      </c>
      <c r="X1407" s="12">
        <v>2001</v>
      </c>
      <c r="Y1407" s="12">
        <v>843</v>
      </c>
      <c r="Z1407" s="12">
        <v>5.4</v>
      </c>
      <c r="AA1407" s="12">
        <v>1.85</v>
      </c>
      <c r="AB1407" s="12">
        <v>0</v>
      </c>
      <c r="AC1407" s="12"/>
      <c r="AD1407" s="12" t="str">
        <f>IFERROR(__xludf.DUMMYFUNCTION("""COMPUTED_VALUE"""),"Rob Moran")</f>
        <v>Rob Moran</v>
      </c>
      <c r="AE1407" s="12"/>
    </row>
    <row r="1408" customHeight="1" spans="1:31">
      <c r="A1408" s="11" t="s">
        <v>30</v>
      </c>
      <c r="B1408" s="11" t="s">
        <v>2600</v>
      </c>
      <c r="C1408" s="11">
        <v>340</v>
      </c>
      <c r="D1408" s="11">
        <v>106</v>
      </c>
      <c r="E1408" s="11">
        <v>91</v>
      </c>
      <c r="F1408" s="11">
        <v>64</v>
      </c>
      <c r="G1408" s="11">
        <v>18000</v>
      </c>
      <c r="H1408" s="11">
        <v>117528646</v>
      </c>
      <c r="I1408" s="11" t="s">
        <v>1009</v>
      </c>
      <c r="J1408" s="11" t="s">
        <v>120</v>
      </c>
      <c r="K1408" s="11" t="s">
        <v>6453</v>
      </c>
      <c r="L1408" s="11" t="s">
        <v>7270</v>
      </c>
      <c r="M1408" s="11" t="s">
        <v>7271</v>
      </c>
      <c r="N1408" s="11">
        <v>353442</v>
      </c>
      <c r="O1408" s="11">
        <v>18669</v>
      </c>
      <c r="P1408" s="11">
        <v>5</v>
      </c>
      <c r="Q1408" s="11" t="s">
        <v>7272</v>
      </c>
      <c r="R1408" s="14" t="s">
        <v>7273</v>
      </c>
      <c r="S1408" s="11">
        <v>387</v>
      </c>
      <c r="T1408" s="11" t="s">
        <v>39</v>
      </c>
      <c r="U1408" s="11" t="s">
        <v>40</v>
      </c>
      <c r="V1408" s="11" t="s">
        <v>586</v>
      </c>
      <c r="W1408" s="11">
        <v>35000000</v>
      </c>
      <c r="X1408" s="11">
        <v>2011</v>
      </c>
      <c r="Y1408" s="11">
        <v>464</v>
      </c>
      <c r="Z1408" s="11">
        <v>6.9</v>
      </c>
      <c r="AA1408" s="11">
        <v>2.35</v>
      </c>
      <c r="AB1408" s="11">
        <v>31000</v>
      </c>
      <c r="AC1408" s="11"/>
      <c r="AD1408" s="11" t="str">
        <f>IFERROR(__xludf.DUMMYFUNCTION("""COMPUTED_VALUE"""),"Rob Paulsen")</f>
        <v>Rob Paulsen</v>
      </c>
      <c r="AE1408" s="11"/>
    </row>
    <row r="1409" customHeight="1" spans="1:31">
      <c r="A1409" s="12" t="s">
        <v>30</v>
      </c>
      <c r="B1409" s="12" t="s">
        <v>7114</v>
      </c>
      <c r="C1409" s="12">
        <v>493</v>
      </c>
      <c r="D1409" s="12">
        <v>110</v>
      </c>
      <c r="E1409" s="12">
        <v>1000</v>
      </c>
      <c r="F1409" s="12">
        <v>538</v>
      </c>
      <c r="G1409" s="12">
        <v>13000</v>
      </c>
      <c r="H1409" s="12">
        <v>171031347</v>
      </c>
      <c r="I1409" s="12" t="s">
        <v>6039</v>
      </c>
      <c r="J1409" s="12" t="s">
        <v>1158</v>
      </c>
      <c r="K1409" s="12" t="s">
        <v>301</v>
      </c>
      <c r="L1409" s="12" t="s">
        <v>7274</v>
      </c>
      <c r="M1409" s="12" t="s">
        <v>7275</v>
      </c>
      <c r="N1409" s="12">
        <v>240962</v>
      </c>
      <c r="O1409" s="12">
        <v>25964</v>
      </c>
      <c r="P1409" s="12">
        <v>0</v>
      </c>
      <c r="Q1409" s="12" t="s">
        <v>7276</v>
      </c>
      <c r="R1409" s="15" t="s">
        <v>7277</v>
      </c>
      <c r="S1409" s="12">
        <v>724</v>
      </c>
      <c r="T1409" s="12" t="s">
        <v>39</v>
      </c>
      <c r="U1409" s="12" t="s">
        <v>40</v>
      </c>
      <c r="V1409" s="12" t="s">
        <v>41</v>
      </c>
      <c r="W1409" s="12">
        <v>38000000</v>
      </c>
      <c r="X1409" s="12">
        <v>2010</v>
      </c>
      <c r="Y1409" s="12">
        <v>12000</v>
      </c>
      <c r="Z1409" s="12">
        <v>7.7</v>
      </c>
      <c r="AA1409" s="12">
        <v>2.35</v>
      </c>
      <c r="AB1409" s="12">
        <v>36000</v>
      </c>
      <c r="AC1409" s="12"/>
      <c r="AD1409" s="12" t="str">
        <f>IFERROR(__xludf.DUMMYFUNCTION("""COMPUTED_VALUE"""),"Jorge Garcia")</f>
        <v>Jorge Garcia</v>
      </c>
      <c r="AE1409" s="12"/>
    </row>
    <row r="1410" customHeight="1" spans="1:31">
      <c r="A1410" s="11" t="s">
        <v>30</v>
      </c>
      <c r="B1410" s="11" t="s">
        <v>3931</v>
      </c>
      <c r="C1410" s="11">
        <v>208</v>
      </c>
      <c r="D1410" s="11">
        <v>109</v>
      </c>
      <c r="E1410" s="11">
        <v>64</v>
      </c>
      <c r="F1410" s="11">
        <v>505</v>
      </c>
      <c r="G1410" s="11">
        <v>11000</v>
      </c>
      <c r="H1410" s="11">
        <v>124732962</v>
      </c>
      <c r="I1410" s="11" t="s">
        <v>1415</v>
      </c>
      <c r="J1410" s="11" t="s">
        <v>2377</v>
      </c>
      <c r="K1410" s="11" t="s">
        <v>257</v>
      </c>
      <c r="L1410" s="11" t="s">
        <v>7278</v>
      </c>
      <c r="M1410" s="11" t="s">
        <v>7279</v>
      </c>
      <c r="N1410" s="11">
        <v>286178</v>
      </c>
      <c r="O1410" s="11">
        <v>23923</v>
      </c>
      <c r="P1410" s="11">
        <v>0</v>
      </c>
      <c r="Q1410" s="11" t="s">
        <v>7280</v>
      </c>
      <c r="R1410" s="14" t="s">
        <v>7281</v>
      </c>
      <c r="S1410" s="11">
        <v>631</v>
      </c>
      <c r="T1410" s="11" t="s">
        <v>39</v>
      </c>
      <c r="U1410" s="11" t="s">
        <v>40</v>
      </c>
      <c r="V1410" s="11" t="s">
        <v>41</v>
      </c>
      <c r="W1410" s="11">
        <v>35000000</v>
      </c>
      <c r="X1410" s="11">
        <v>2006</v>
      </c>
      <c r="Y1410" s="11">
        <v>11000</v>
      </c>
      <c r="Z1410" s="11">
        <v>6.8</v>
      </c>
      <c r="AA1410" s="11">
        <v>2.35</v>
      </c>
      <c r="AB1410" s="11">
        <v>0</v>
      </c>
      <c r="AC1410" s="11"/>
      <c r="AD1410" s="11" t="str">
        <f>IFERROR(__xludf.DUMMYFUNCTION("""COMPUTED_VALUE"""),"Alia Shawkat")</f>
        <v>Alia Shawkat</v>
      </c>
      <c r="AE1410" s="11"/>
    </row>
    <row r="1411" customHeight="1" spans="1:31">
      <c r="A1411" s="12" t="s">
        <v>30</v>
      </c>
      <c r="B1411" s="12" t="s">
        <v>7282</v>
      </c>
      <c r="C1411" s="12">
        <v>134</v>
      </c>
      <c r="D1411" s="12">
        <v>143</v>
      </c>
      <c r="E1411" s="12">
        <v>338</v>
      </c>
      <c r="F1411" s="12">
        <v>643</v>
      </c>
      <c r="G1411" s="12">
        <v>12000</v>
      </c>
      <c r="H1411" s="12">
        <v>82300000</v>
      </c>
      <c r="I1411" s="12" t="s">
        <v>1381</v>
      </c>
      <c r="J1411" s="12" t="s">
        <v>1029</v>
      </c>
      <c r="K1411" s="12" t="s">
        <v>7283</v>
      </c>
      <c r="L1411" s="12" t="s">
        <v>7284</v>
      </c>
      <c r="M1411" s="12" t="s">
        <v>7285</v>
      </c>
      <c r="N1411" s="12">
        <v>63330</v>
      </c>
      <c r="O1411" s="12">
        <v>16007</v>
      </c>
      <c r="P1411" s="12">
        <v>2</v>
      </c>
      <c r="Q1411" s="12" t="s">
        <v>7286</v>
      </c>
      <c r="R1411" s="15" t="s">
        <v>7287</v>
      </c>
      <c r="S1411" s="12">
        <v>405</v>
      </c>
      <c r="T1411" s="12" t="s">
        <v>39</v>
      </c>
      <c r="U1411" s="12" t="s">
        <v>40</v>
      </c>
      <c r="V1411" s="12" t="s">
        <v>96</v>
      </c>
      <c r="W1411" s="12">
        <v>35000000</v>
      </c>
      <c r="X1411" s="12">
        <v>1979</v>
      </c>
      <c r="Y1411" s="12">
        <v>664</v>
      </c>
      <c r="Z1411" s="12">
        <v>6.4</v>
      </c>
      <c r="AA1411" s="12">
        <v>2.35</v>
      </c>
      <c r="AB1411" s="12">
        <v>0</v>
      </c>
      <c r="AC1411" s="12"/>
      <c r="AD1411" s="12" t="str">
        <f>IFERROR(__xludf.DUMMYFUNCTION("""COMPUTED_VALUE"""),"Kathleen Freeman")</f>
        <v>Kathleen Freeman</v>
      </c>
      <c r="AE1411" s="12"/>
    </row>
    <row r="1412" customHeight="1" spans="1:31">
      <c r="A1412" s="11" t="s">
        <v>30</v>
      </c>
      <c r="B1412" s="11" t="s">
        <v>2600</v>
      </c>
      <c r="C1412" s="11">
        <v>275</v>
      </c>
      <c r="D1412" s="11">
        <v>120</v>
      </c>
      <c r="E1412" s="11">
        <v>91</v>
      </c>
      <c r="F1412" s="11">
        <v>680</v>
      </c>
      <c r="G1412" s="11">
        <v>4000</v>
      </c>
      <c r="H1412" s="11">
        <v>134455175</v>
      </c>
      <c r="I1412" s="11" t="s">
        <v>1009</v>
      </c>
      <c r="J1412" s="11" t="s">
        <v>251</v>
      </c>
      <c r="K1412" s="11" t="s">
        <v>2967</v>
      </c>
      <c r="L1412" s="11" t="s">
        <v>1167</v>
      </c>
      <c r="M1412" s="11" t="s">
        <v>7288</v>
      </c>
      <c r="N1412" s="11">
        <v>97664</v>
      </c>
      <c r="O1412" s="11">
        <v>5826</v>
      </c>
      <c r="P1412" s="11">
        <v>2</v>
      </c>
      <c r="Q1412" s="11" t="s">
        <v>7289</v>
      </c>
      <c r="R1412" s="14" t="s">
        <v>7290</v>
      </c>
      <c r="S1412" s="11">
        <v>232</v>
      </c>
      <c r="T1412" s="11" t="s">
        <v>39</v>
      </c>
      <c r="U1412" s="11" t="s">
        <v>40</v>
      </c>
      <c r="V1412" s="11" t="s">
        <v>586</v>
      </c>
      <c r="W1412" s="11">
        <v>35000000</v>
      </c>
      <c r="X1412" s="11">
        <v>2013</v>
      </c>
      <c r="Y1412" s="11">
        <v>904</v>
      </c>
      <c r="Z1412" s="11">
        <v>5.7</v>
      </c>
      <c r="AA1412" s="11">
        <v>2.35</v>
      </c>
      <c r="AB1412" s="11">
        <v>17000</v>
      </c>
      <c r="AC1412" s="11"/>
      <c r="AD1412" s="11" t="str">
        <f>IFERROR(__xludf.DUMMYFUNCTION("""COMPUTED_VALUE"""),"Chris Miller")</f>
        <v>Chris Miller</v>
      </c>
      <c r="AE1412" s="11"/>
    </row>
    <row r="1413" customHeight="1" spans="1:31">
      <c r="A1413" s="12" t="s">
        <v>30</v>
      </c>
      <c r="B1413" s="12" t="s">
        <v>488</v>
      </c>
      <c r="C1413" s="12">
        <v>120</v>
      </c>
      <c r="D1413" s="12">
        <v>128</v>
      </c>
      <c r="E1413" s="12">
        <v>17000</v>
      </c>
      <c r="F1413" s="12">
        <v>387</v>
      </c>
      <c r="G1413" s="12">
        <v>22000</v>
      </c>
      <c r="H1413" s="12">
        <v>79100000</v>
      </c>
      <c r="I1413" s="12" t="s">
        <v>1528</v>
      </c>
      <c r="J1413" s="12" t="s">
        <v>1746</v>
      </c>
      <c r="K1413" s="12" t="s">
        <v>7291</v>
      </c>
      <c r="L1413" s="12" t="s">
        <v>1519</v>
      </c>
      <c r="M1413" s="12" t="s">
        <v>7292</v>
      </c>
      <c r="N1413" s="12">
        <v>127503</v>
      </c>
      <c r="O1413" s="12">
        <v>24006</v>
      </c>
      <c r="P1413" s="12">
        <v>0</v>
      </c>
      <c r="Q1413" s="12" t="s">
        <v>7293</v>
      </c>
      <c r="R1413" s="15" t="s">
        <v>7294</v>
      </c>
      <c r="S1413" s="12">
        <v>261</v>
      </c>
      <c r="T1413" s="12" t="s">
        <v>39</v>
      </c>
      <c r="U1413" s="12" t="s">
        <v>40</v>
      </c>
      <c r="V1413" s="12" t="s">
        <v>586</v>
      </c>
      <c r="W1413" s="12">
        <v>35000000</v>
      </c>
      <c r="X1413" s="12">
        <v>1991</v>
      </c>
      <c r="Y1413" s="12">
        <v>1000</v>
      </c>
      <c r="Z1413" s="12">
        <v>7.3</v>
      </c>
      <c r="AA1413" s="12">
        <v>2.35</v>
      </c>
      <c r="AB1413" s="12">
        <v>0</v>
      </c>
      <c r="AC1413" s="12"/>
      <c r="AD1413" s="12" t="str">
        <f>IFERROR(__xludf.DUMMYFUNCTION("""COMPUTED_VALUE"""),"Bobby Block")</f>
        <v>Bobby Block</v>
      </c>
      <c r="AE1413" s="12"/>
    </row>
    <row r="1414" customHeight="1" spans="1:31">
      <c r="A1414" s="11" t="s">
        <v>30</v>
      </c>
      <c r="B1414" s="11" t="s">
        <v>3103</v>
      </c>
      <c r="C1414" s="11">
        <v>144</v>
      </c>
      <c r="D1414" s="11">
        <v>123</v>
      </c>
      <c r="E1414" s="11">
        <v>126</v>
      </c>
      <c r="F1414" s="11">
        <v>1000</v>
      </c>
      <c r="G1414" s="11">
        <v>18000</v>
      </c>
      <c r="H1414" s="11">
        <v>81159365</v>
      </c>
      <c r="I1414" s="11" t="s">
        <v>2126</v>
      </c>
      <c r="J1414" s="11" t="s">
        <v>120</v>
      </c>
      <c r="K1414" s="11" t="s">
        <v>1850</v>
      </c>
      <c r="L1414" s="11" t="s">
        <v>830</v>
      </c>
      <c r="M1414" s="11" t="s">
        <v>7295</v>
      </c>
      <c r="N1414" s="11">
        <v>191470</v>
      </c>
      <c r="O1414" s="11">
        <v>25661</v>
      </c>
      <c r="P1414" s="11">
        <v>2</v>
      </c>
      <c r="Q1414" s="11" t="s">
        <v>7296</v>
      </c>
      <c r="R1414" s="14" t="s">
        <v>7297</v>
      </c>
      <c r="S1414" s="11">
        <v>278</v>
      </c>
      <c r="T1414" s="11" t="s">
        <v>39</v>
      </c>
      <c r="U1414" s="11" t="s">
        <v>40</v>
      </c>
      <c r="V1414" s="11" t="s">
        <v>41</v>
      </c>
      <c r="W1414" s="11">
        <v>35000000</v>
      </c>
      <c r="X1414" s="11">
        <v>2008</v>
      </c>
      <c r="Y1414" s="11">
        <v>5000</v>
      </c>
      <c r="Z1414" s="11">
        <v>6.8</v>
      </c>
      <c r="AA1414" s="11">
        <v>2.35</v>
      </c>
      <c r="AB1414" s="11">
        <v>0</v>
      </c>
      <c r="AC1414" s="11"/>
      <c r="AD1414" s="11" t="str">
        <f>IFERROR(__xludf.DUMMYFUNCTION("""COMPUTED_VALUE"""),"Jon Stewart")</f>
        <v>Jon Stewart</v>
      </c>
      <c r="AE1414" s="11"/>
    </row>
    <row r="1415" customHeight="1" spans="1:31">
      <c r="A1415" s="12" t="s">
        <v>30</v>
      </c>
      <c r="B1415" s="12" t="s">
        <v>3219</v>
      </c>
      <c r="C1415" s="12">
        <v>332</v>
      </c>
      <c r="D1415" s="12">
        <v>129</v>
      </c>
      <c r="E1415" s="12">
        <v>0</v>
      </c>
      <c r="F1415" s="12">
        <v>213</v>
      </c>
      <c r="G1415" s="12">
        <v>492</v>
      </c>
      <c r="H1415" s="12">
        <v>110008260</v>
      </c>
      <c r="I1415" s="12" t="s">
        <v>1681</v>
      </c>
      <c r="J1415" s="12" t="s">
        <v>7298</v>
      </c>
      <c r="K1415" s="12" t="s">
        <v>6178</v>
      </c>
      <c r="L1415" s="12" t="s">
        <v>7299</v>
      </c>
      <c r="M1415" s="12" t="s">
        <v>7300</v>
      </c>
      <c r="N1415" s="12">
        <v>94241</v>
      </c>
      <c r="O1415" s="12">
        <v>1450</v>
      </c>
      <c r="P1415" s="12">
        <v>1</v>
      </c>
      <c r="Q1415" s="12" t="s">
        <v>7301</v>
      </c>
      <c r="R1415" s="15" t="s">
        <v>7302</v>
      </c>
      <c r="S1415" s="12">
        <v>309</v>
      </c>
      <c r="T1415" s="12" t="s">
        <v>39</v>
      </c>
      <c r="U1415" s="12" t="s">
        <v>678</v>
      </c>
      <c r="V1415" s="12" t="s">
        <v>586</v>
      </c>
      <c r="W1415" s="12">
        <v>35000000</v>
      </c>
      <c r="X1415" s="12">
        <v>2015</v>
      </c>
      <c r="Y1415" s="12">
        <v>392</v>
      </c>
      <c r="Z1415" s="12">
        <v>6.3</v>
      </c>
      <c r="AA1415" s="12">
        <v>2.35</v>
      </c>
      <c r="AB1415" s="12">
        <v>25000</v>
      </c>
      <c r="AC1415" s="12"/>
      <c r="AD1415" s="12" t="str">
        <f>IFERROR(__xludf.DUMMYFUNCTION("""COMPUTED_VALUE"""),"Bonnie Hunt")</f>
        <v>Bonnie Hunt</v>
      </c>
      <c r="AE1415" s="12"/>
    </row>
    <row r="1416" customHeight="1" spans="1:31">
      <c r="A1416" s="11" t="s">
        <v>30</v>
      </c>
      <c r="B1416" s="11" t="s">
        <v>7303</v>
      </c>
      <c r="C1416" s="11">
        <v>104</v>
      </c>
      <c r="D1416" s="11">
        <v>105</v>
      </c>
      <c r="E1416" s="11">
        <v>8</v>
      </c>
      <c r="F1416" s="11">
        <v>278</v>
      </c>
      <c r="G1416" s="11">
        <v>1000</v>
      </c>
      <c r="H1416" s="11">
        <v>67962333</v>
      </c>
      <c r="I1416" s="11" t="s">
        <v>1681</v>
      </c>
      <c r="J1416" s="11" t="s">
        <v>804</v>
      </c>
      <c r="K1416" s="11" t="s">
        <v>7304</v>
      </c>
      <c r="L1416" s="11" t="s">
        <v>7305</v>
      </c>
      <c r="M1416" s="11" t="s">
        <v>7306</v>
      </c>
      <c r="N1416" s="11">
        <v>33887</v>
      </c>
      <c r="O1416" s="11">
        <v>2689</v>
      </c>
      <c r="P1416" s="11">
        <v>2</v>
      </c>
      <c r="Q1416" s="11" t="s">
        <v>7307</v>
      </c>
      <c r="R1416" s="14" t="s">
        <v>7308</v>
      </c>
      <c r="S1416" s="11">
        <v>160</v>
      </c>
      <c r="T1416" s="11" t="s">
        <v>39</v>
      </c>
      <c r="U1416" s="11" t="s">
        <v>40</v>
      </c>
      <c r="V1416" s="11" t="s">
        <v>41</v>
      </c>
      <c r="W1416" s="11">
        <v>35000000</v>
      </c>
      <c r="X1416" s="11">
        <v>2005</v>
      </c>
      <c r="Y1416" s="11">
        <v>358</v>
      </c>
      <c r="Z1416" s="11">
        <v>5.9</v>
      </c>
      <c r="AA1416" s="11">
        <v>1.85</v>
      </c>
      <c r="AB1416" s="11">
        <v>919</v>
      </c>
      <c r="AC1416" s="11"/>
      <c r="AD1416" s="11" t="str">
        <f>IFERROR(__xludf.DUMMYFUNCTION("""COMPUTED_VALUE"""),"Lupe Ontiveros")</f>
        <v>Lupe Ontiveros</v>
      </c>
      <c r="AE1416" s="11"/>
    </row>
    <row r="1417" customHeight="1" spans="1:31">
      <c r="A1417" s="12" t="s">
        <v>30</v>
      </c>
      <c r="B1417" s="12" t="s">
        <v>2648</v>
      </c>
      <c r="C1417" s="12">
        <v>116</v>
      </c>
      <c r="D1417" s="12">
        <v>162</v>
      </c>
      <c r="E1417" s="12">
        <v>333</v>
      </c>
      <c r="F1417" s="12">
        <v>362</v>
      </c>
      <c r="G1417" s="12">
        <v>14000</v>
      </c>
      <c r="H1417" s="12">
        <v>78651430</v>
      </c>
      <c r="I1417" s="12" t="s">
        <v>5605</v>
      </c>
      <c r="J1417" s="12" t="s">
        <v>439</v>
      </c>
      <c r="K1417" s="12" t="s">
        <v>203</v>
      </c>
      <c r="L1417" s="12" t="s">
        <v>1275</v>
      </c>
      <c r="M1417" s="12" t="s">
        <v>7309</v>
      </c>
      <c r="N1417" s="12">
        <v>142067</v>
      </c>
      <c r="O1417" s="12">
        <v>15912</v>
      </c>
      <c r="P1417" s="12">
        <v>0</v>
      </c>
      <c r="Q1417" s="12" t="s">
        <v>7310</v>
      </c>
      <c r="R1417" s="15" t="s">
        <v>7311</v>
      </c>
      <c r="S1417" s="12">
        <v>457</v>
      </c>
      <c r="T1417" s="12" t="s">
        <v>39</v>
      </c>
      <c r="U1417" s="12" t="s">
        <v>40</v>
      </c>
      <c r="V1417" s="12" t="s">
        <v>586</v>
      </c>
      <c r="W1417" s="12">
        <v>27000000</v>
      </c>
      <c r="X1417" s="12">
        <v>1996</v>
      </c>
      <c r="Y1417" s="12">
        <v>1000</v>
      </c>
      <c r="Z1417" s="12">
        <v>7.4</v>
      </c>
      <c r="AA1417" s="12">
        <v>1.85</v>
      </c>
      <c r="AB1417" s="12">
        <v>0</v>
      </c>
      <c r="AC1417" s="12"/>
      <c r="AD1417" s="12" t="str">
        <f>IFERROR(__xludf.DUMMYFUNCTION("""COMPUTED_VALUE"""),"Shirley Knight")</f>
        <v>Shirley Knight</v>
      </c>
      <c r="AE1417" s="12"/>
    </row>
    <row r="1418" customHeight="1" spans="1:31">
      <c r="A1418" s="11" t="s">
        <v>30</v>
      </c>
      <c r="B1418" s="11" t="s">
        <v>4915</v>
      </c>
      <c r="C1418" s="11">
        <v>177</v>
      </c>
      <c r="D1418" s="11">
        <v>138</v>
      </c>
      <c r="E1418" s="11">
        <v>161</v>
      </c>
      <c r="F1418" s="11">
        <v>210</v>
      </c>
      <c r="G1418" s="11">
        <v>18000</v>
      </c>
      <c r="H1418" s="11">
        <v>64604977</v>
      </c>
      <c r="I1418" s="11" t="s">
        <v>2142</v>
      </c>
      <c r="J1418" s="11" t="s">
        <v>120</v>
      </c>
      <c r="K1418" s="11" t="s">
        <v>7312</v>
      </c>
      <c r="L1418" s="11" t="s">
        <v>3763</v>
      </c>
      <c r="M1418" s="11" t="s">
        <v>7313</v>
      </c>
      <c r="N1418" s="11">
        <v>414219</v>
      </c>
      <c r="O1418" s="11">
        <v>19129</v>
      </c>
      <c r="P1418" s="11">
        <v>2</v>
      </c>
      <c r="Q1418" s="11" t="s">
        <v>7314</v>
      </c>
      <c r="R1418" s="14" t="s">
        <v>7315</v>
      </c>
      <c r="S1418" s="11">
        <v>625</v>
      </c>
      <c r="T1418" s="11" t="s">
        <v>39</v>
      </c>
      <c r="U1418" s="11" t="s">
        <v>40</v>
      </c>
      <c r="V1418" s="11" t="s">
        <v>586</v>
      </c>
      <c r="W1418" s="11">
        <v>35000000</v>
      </c>
      <c r="X1418" s="11">
        <v>1997</v>
      </c>
      <c r="Y1418" s="11">
        <v>398</v>
      </c>
      <c r="Z1418" s="11">
        <v>8.3</v>
      </c>
      <c r="AA1418" s="11">
        <v>2.35</v>
      </c>
      <c r="AB1418" s="11">
        <v>11000</v>
      </c>
      <c r="AC1418" s="11"/>
      <c r="AD1418" s="11" t="str">
        <f>IFERROR(__xludf.DUMMYFUNCTION("""COMPUTED_VALUE"""),"Joel Courtney")</f>
        <v>Joel Courtney</v>
      </c>
      <c r="AE1418" s="11"/>
    </row>
    <row r="1419" customHeight="1" spans="1:31">
      <c r="A1419" s="12" t="s">
        <v>30</v>
      </c>
      <c r="B1419" s="12" t="s">
        <v>598</v>
      </c>
      <c r="C1419" s="12">
        <v>127</v>
      </c>
      <c r="D1419" s="12">
        <v>100</v>
      </c>
      <c r="E1419" s="12">
        <v>31</v>
      </c>
      <c r="F1419" s="12">
        <v>591</v>
      </c>
      <c r="G1419" s="12">
        <v>947</v>
      </c>
      <c r="H1419" s="12">
        <v>63939454</v>
      </c>
      <c r="I1419" s="12" t="s">
        <v>7316</v>
      </c>
      <c r="J1419" s="12" t="s">
        <v>2299</v>
      </c>
      <c r="K1419" s="12" t="s">
        <v>1640</v>
      </c>
      <c r="L1419" s="12" t="s">
        <v>4730</v>
      </c>
      <c r="M1419" s="12" t="s">
        <v>7317</v>
      </c>
      <c r="N1419" s="12">
        <v>61321</v>
      </c>
      <c r="O1419" s="12">
        <v>2968</v>
      </c>
      <c r="P1419" s="12">
        <v>3</v>
      </c>
      <c r="Q1419" s="12" t="s">
        <v>7318</v>
      </c>
      <c r="R1419" s="15" t="s">
        <v>7319</v>
      </c>
      <c r="S1419" s="12">
        <v>217</v>
      </c>
      <c r="T1419" s="12" t="s">
        <v>39</v>
      </c>
      <c r="U1419" s="12" t="s">
        <v>40</v>
      </c>
      <c r="V1419" s="12" t="s">
        <v>96</v>
      </c>
      <c r="W1419" s="12">
        <v>35000000</v>
      </c>
      <c r="X1419" s="12">
        <v>2005</v>
      </c>
      <c r="Y1419" s="12">
        <v>742</v>
      </c>
      <c r="Z1419" s="12">
        <v>6.2</v>
      </c>
      <c r="AA1419" s="12">
        <v>2.35</v>
      </c>
      <c r="AB1419" s="12">
        <v>0</v>
      </c>
      <c r="AC1419" s="12"/>
      <c r="AD1419" s="12" t="str">
        <f>IFERROR(__xludf.DUMMYFUNCTION("""COMPUTED_VALUE"""),"Zach Mills")</f>
        <v>Zach Mills</v>
      </c>
      <c r="AE1419" s="12"/>
    </row>
    <row r="1420" customHeight="1" spans="1:31">
      <c r="A1420" s="11" t="s">
        <v>30</v>
      </c>
      <c r="B1420" s="11" t="s">
        <v>1955</v>
      </c>
      <c r="C1420" s="11">
        <v>83</v>
      </c>
      <c r="D1420" s="11">
        <v>90</v>
      </c>
      <c r="E1420" s="11">
        <v>0</v>
      </c>
      <c r="F1420" s="11">
        <v>945</v>
      </c>
      <c r="G1420" s="11">
        <v>19000</v>
      </c>
      <c r="H1420" s="11">
        <v>63826569</v>
      </c>
      <c r="I1420" s="11" t="s">
        <v>1672</v>
      </c>
      <c r="J1420" s="11" t="s">
        <v>3105</v>
      </c>
      <c r="K1420" s="11" t="s">
        <v>6071</v>
      </c>
      <c r="L1420" s="11" t="s">
        <v>7320</v>
      </c>
      <c r="M1420" s="11" t="s">
        <v>7321</v>
      </c>
      <c r="N1420" s="11">
        <v>32416</v>
      </c>
      <c r="O1420" s="11">
        <v>23504</v>
      </c>
      <c r="P1420" s="11">
        <v>0</v>
      </c>
      <c r="Q1420" s="11" t="s">
        <v>7322</v>
      </c>
      <c r="R1420" s="14" t="s">
        <v>7323</v>
      </c>
      <c r="S1420" s="11">
        <v>138</v>
      </c>
      <c r="T1420" s="11" t="s">
        <v>39</v>
      </c>
      <c r="U1420" s="11" t="s">
        <v>40</v>
      </c>
      <c r="V1420" s="11" t="s">
        <v>41</v>
      </c>
      <c r="W1420" s="11">
        <v>35000000</v>
      </c>
      <c r="X1420" s="11">
        <v>1997</v>
      </c>
      <c r="Y1420" s="11">
        <v>957</v>
      </c>
      <c r="Z1420" s="11">
        <v>6.3</v>
      </c>
      <c r="AA1420" s="11">
        <v>1.85</v>
      </c>
      <c r="AB1420" s="11">
        <v>0</v>
      </c>
      <c r="AC1420" s="11"/>
      <c r="AD1420" s="11" t="str">
        <f>IFERROR(__xludf.DUMMYFUNCTION("""COMPUTED_VALUE"""),"Conchata Ferrell")</f>
        <v>Conchata Ferrell</v>
      </c>
      <c r="AE1420" s="11"/>
    </row>
    <row r="1421" customHeight="1" spans="1:31">
      <c r="A1421" s="12" t="s">
        <v>30</v>
      </c>
      <c r="B1421" s="12" t="s">
        <v>1490</v>
      </c>
      <c r="C1421" s="12">
        <v>97</v>
      </c>
      <c r="D1421" s="12">
        <v>108</v>
      </c>
      <c r="E1421" s="12">
        <v>79</v>
      </c>
      <c r="F1421" s="12">
        <v>25</v>
      </c>
      <c r="G1421" s="12">
        <v>900</v>
      </c>
      <c r="H1421" s="12">
        <v>60054449</v>
      </c>
      <c r="I1421" s="12" t="s">
        <v>2208</v>
      </c>
      <c r="J1421" s="12" t="s">
        <v>7324</v>
      </c>
      <c r="K1421" s="12" t="s">
        <v>7325</v>
      </c>
      <c r="L1421" s="12" t="s">
        <v>7326</v>
      </c>
      <c r="M1421" s="12" t="s">
        <v>7327</v>
      </c>
      <c r="N1421" s="12">
        <v>61018</v>
      </c>
      <c r="O1421" s="12">
        <v>1715</v>
      </c>
      <c r="P1421" s="12">
        <v>0</v>
      </c>
      <c r="Q1421" s="12" t="s">
        <v>7328</v>
      </c>
      <c r="R1421" s="15" t="s">
        <v>7329</v>
      </c>
      <c r="S1421" s="12">
        <v>140</v>
      </c>
      <c r="T1421" s="12" t="s">
        <v>39</v>
      </c>
      <c r="U1421" s="12" t="s">
        <v>40</v>
      </c>
      <c r="V1421" s="12" t="s">
        <v>586</v>
      </c>
      <c r="W1421" s="12">
        <v>35000000</v>
      </c>
      <c r="X1421" s="12">
        <v>1995</v>
      </c>
      <c r="Y1421" s="12">
        <v>759</v>
      </c>
      <c r="Z1421" s="12">
        <v>5.8</v>
      </c>
      <c r="AA1421" s="12">
        <v>2.35</v>
      </c>
      <c r="AB1421" s="12">
        <v>0</v>
      </c>
      <c r="AC1421" s="12"/>
      <c r="AD1421" s="12" t="str">
        <f>IFERROR(__xludf.DUMMYFUNCTION("""COMPUTED_VALUE"""),"Thomas Lennon")</f>
        <v>Thomas Lennon</v>
      </c>
      <c r="AE1421" s="12"/>
    </row>
    <row r="1422" customHeight="1" spans="1:31">
      <c r="A1422" s="11" t="s">
        <v>30</v>
      </c>
      <c r="B1422" s="11" t="s">
        <v>6309</v>
      </c>
      <c r="C1422" s="11">
        <v>256</v>
      </c>
      <c r="D1422" s="11">
        <v>101</v>
      </c>
      <c r="E1422" s="11">
        <v>0</v>
      </c>
      <c r="F1422" s="11">
        <v>574</v>
      </c>
      <c r="G1422" s="11">
        <v>40000</v>
      </c>
      <c r="H1422" s="11">
        <v>26505000</v>
      </c>
      <c r="I1422" s="11" t="s">
        <v>6403</v>
      </c>
      <c r="J1422" s="11" t="s">
        <v>44</v>
      </c>
      <c r="K1422" s="11" t="s">
        <v>7330</v>
      </c>
      <c r="L1422" s="11" t="s">
        <v>7331</v>
      </c>
      <c r="M1422" s="11" t="s">
        <v>7332</v>
      </c>
      <c r="N1422" s="11">
        <v>149285</v>
      </c>
      <c r="O1422" s="11">
        <v>42918</v>
      </c>
      <c r="P1422" s="11">
        <v>1</v>
      </c>
      <c r="Q1422" s="11" t="s">
        <v>7333</v>
      </c>
      <c r="R1422" s="14" t="s">
        <v>7334</v>
      </c>
      <c r="S1422" s="11">
        <v>668</v>
      </c>
      <c r="T1422" s="11" t="s">
        <v>39</v>
      </c>
      <c r="U1422" s="11" t="s">
        <v>40</v>
      </c>
      <c r="V1422" s="11" t="s">
        <v>7335</v>
      </c>
      <c r="W1422" s="11">
        <v>1800000</v>
      </c>
      <c r="X1422" s="11">
        <v>1984</v>
      </c>
      <c r="Y1422" s="11">
        <v>852</v>
      </c>
      <c r="Z1422" s="11">
        <v>7.5</v>
      </c>
      <c r="AA1422" s="11">
        <v>1.85</v>
      </c>
      <c r="AB1422" s="11">
        <v>10000</v>
      </c>
      <c r="AC1422" s="11"/>
      <c r="AD1422" s="11" t="str">
        <f>IFERROR(__xludf.DUMMYFUNCTION("""COMPUTED_VALUE"""),"Craig Roberts")</f>
        <v>Craig Roberts</v>
      </c>
      <c r="AE1422" s="11"/>
    </row>
    <row r="1423" customHeight="1" spans="1:31">
      <c r="A1423" s="12" t="s">
        <v>30</v>
      </c>
      <c r="B1423" s="12" t="s">
        <v>2449</v>
      </c>
      <c r="C1423" s="12">
        <v>225</v>
      </c>
      <c r="D1423" s="12">
        <v>109</v>
      </c>
      <c r="E1423" s="12">
        <v>763</v>
      </c>
      <c r="F1423" s="12">
        <v>311</v>
      </c>
      <c r="G1423" s="12">
        <v>812</v>
      </c>
      <c r="H1423" s="12">
        <v>61280963</v>
      </c>
      <c r="I1423" s="12" t="s">
        <v>4333</v>
      </c>
      <c r="J1423" s="12" t="s">
        <v>4640</v>
      </c>
      <c r="K1423" s="12" t="s">
        <v>924</v>
      </c>
      <c r="L1423" s="12" t="s">
        <v>6754</v>
      </c>
      <c r="M1423" s="12" t="s">
        <v>7336</v>
      </c>
      <c r="N1423" s="12">
        <v>79877</v>
      </c>
      <c r="O1423" s="12">
        <v>2474</v>
      </c>
      <c r="P1423" s="12">
        <v>1</v>
      </c>
      <c r="Q1423" s="12" t="s">
        <v>7337</v>
      </c>
      <c r="R1423" s="15" t="s">
        <v>7338</v>
      </c>
      <c r="S1423" s="12">
        <v>677</v>
      </c>
      <c r="T1423" s="12" t="s">
        <v>39</v>
      </c>
      <c r="U1423" s="12" t="s">
        <v>40</v>
      </c>
      <c r="V1423" s="12" t="s">
        <v>586</v>
      </c>
      <c r="W1423" s="12">
        <v>33000000</v>
      </c>
      <c r="X1423" s="12">
        <v>2000</v>
      </c>
      <c r="Y1423" s="12">
        <v>551</v>
      </c>
      <c r="Z1423" s="12">
        <v>6.3</v>
      </c>
      <c r="AA1423" s="12">
        <v>2.35</v>
      </c>
      <c r="AB1423" s="12">
        <v>0</v>
      </c>
      <c r="AC1423" s="12"/>
      <c r="AD1423" s="12" t="str">
        <f>IFERROR(__xludf.DUMMYFUNCTION("""COMPUTED_VALUE"""),"Danny Masterson")</f>
        <v>Danny Masterson</v>
      </c>
      <c r="AE1423" s="12"/>
    </row>
    <row r="1424" customHeight="1" spans="1:31">
      <c r="A1424" s="11" t="s">
        <v>30</v>
      </c>
      <c r="B1424" s="11" t="s">
        <v>3368</v>
      </c>
      <c r="C1424" s="11">
        <v>83</v>
      </c>
      <c r="D1424" s="11">
        <v>132</v>
      </c>
      <c r="E1424" s="11">
        <v>130</v>
      </c>
      <c r="F1424" s="11">
        <v>80</v>
      </c>
      <c r="G1424" s="11">
        <v>29000</v>
      </c>
      <c r="H1424" s="11">
        <v>56876365</v>
      </c>
      <c r="I1424" s="11" t="s">
        <v>127</v>
      </c>
      <c r="J1424" s="11" t="s">
        <v>215</v>
      </c>
      <c r="K1424" s="11" t="s">
        <v>7339</v>
      </c>
      <c r="L1424" s="11" t="s">
        <v>7340</v>
      </c>
      <c r="M1424" s="11" t="s">
        <v>7341</v>
      </c>
      <c r="N1424" s="11">
        <v>125219</v>
      </c>
      <c r="O1424" s="11">
        <v>29265</v>
      </c>
      <c r="P1424" s="11">
        <v>1</v>
      </c>
      <c r="Q1424" s="11" t="s">
        <v>7342</v>
      </c>
      <c r="R1424" s="14" t="s">
        <v>7343</v>
      </c>
      <c r="S1424" s="11">
        <v>244</v>
      </c>
      <c r="T1424" s="11" t="s">
        <v>39</v>
      </c>
      <c r="U1424" s="11" t="s">
        <v>40</v>
      </c>
      <c r="V1424" s="11" t="s">
        <v>41</v>
      </c>
      <c r="W1424" s="11">
        <v>35000000</v>
      </c>
      <c r="X1424" s="11">
        <v>1998</v>
      </c>
      <c r="Y1424" s="11">
        <v>130</v>
      </c>
      <c r="Z1424" s="11">
        <v>6.4</v>
      </c>
      <c r="AA1424" s="11">
        <v>1.85</v>
      </c>
      <c r="AB1424" s="11">
        <v>0</v>
      </c>
      <c r="AC1424" s="11"/>
      <c r="AD1424" s="11" t="str">
        <f>IFERROR(__xludf.DUMMYFUNCTION("""COMPUTED_VALUE"""),"Megan Park")</f>
        <v>Megan Park</v>
      </c>
      <c r="AE1424" s="11"/>
    </row>
    <row r="1425" customHeight="1" spans="1:31">
      <c r="A1425" s="12" t="s">
        <v>30</v>
      </c>
      <c r="B1425" s="12" t="s">
        <v>3368</v>
      </c>
      <c r="C1425" s="12">
        <v>160</v>
      </c>
      <c r="D1425" s="12">
        <v>123</v>
      </c>
      <c r="E1425" s="12">
        <v>130</v>
      </c>
      <c r="F1425" s="12">
        <v>426</v>
      </c>
      <c r="G1425" s="12">
        <v>826</v>
      </c>
      <c r="H1425" s="12">
        <v>59699513</v>
      </c>
      <c r="I1425" s="12" t="s">
        <v>7344</v>
      </c>
      <c r="J1425" s="12" t="s">
        <v>1320</v>
      </c>
      <c r="K1425" s="12" t="s">
        <v>7345</v>
      </c>
      <c r="L1425" s="12" t="s">
        <v>5089</v>
      </c>
      <c r="M1425" s="12" t="s">
        <v>7346</v>
      </c>
      <c r="N1425" s="12">
        <v>20827</v>
      </c>
      <c r="O1425" s="12">
        <v>2259</v>
      </c>
      <c r="P1425" s="12">
        <v>0</v>
      </c>
      <c r="Q1425" s="12" t="s">
        <v>7347</v>
      </c>
      <c r="R1425" s="15" t="s">
        <v>7348</v>
      </c>
      <c r="S1425" s="12">
        <v>136</v>
      </c>
      <c r="T1425" s="12" t="s">
        <v>39</v>
      </c>
      <c r="U1425" s="12" t="s">
        <v>40</v>
      </c>
      <c r="V1425" s="12" t="s">
        <v>96</v>
      </c>
      <c r="W1425" s="12">
        <v>35000000</v>
      </c>
      <c r="X1425" s="12">
        <v>2010</v>
      </c>
      <c r="Y1425" s="12">
        <v>638</v>
      </c>
      <c r="Z1425" s="12">
        <v>7.2</v>
      </c>
      <c r="AA1425" s="12">
        <v>2.35</v>
      </c>
      <c r="AB1425" s="12">
        <v>0</v>
      </c>
      <c r="AC1425" s="12"/>
      <c r="AD1425" s="12" t="str">
        <f>IFERROR(__xludf.DUMMYFUNCTION("""COMPUTED_VALUE"""),"Herbert Russell")</f>
        <v>Herbert Russell</v>
      </c>
      <c r="AE1425" s="12"/>
    </row>
    <row r="1426" customHeight="1" spans="1:31">
      <c r="A1426" s="11" t="s">
        <v>30</v>
      </c>
      <c r="B1426" s="11" t="s">
        <v>7349</v>
      </c>
      <c r="C1426" s="11">
        <v>191</v>
      </c>
      <c r="D1426" s="11">
        <v>87</v>
      </c>
      <c r="E1426" s="11">
        <v>14</v>
      </c>
      <c r="F1426" s="11">
        <v>691</v>
      </c>
      <c r="G1426" s="11">
        <v>11000</v>
      </c>
      <c r="H1426" s="11">
        <v>54132596</v>
      </c>
      <c r="I1426" s="11" t="s">
        <v>870</v>
      </c>
      <c r="J1426" s="11" t="s">
        <v>222</v>
      </c>
      <c r="K1426" s="11" t="s">
        <v>2477</v>
      </c>
      <c r="L1426" s="11" t="s">
        <v>752</v>
      </c>
      <c r="M1426" s="11" t="s">
        <v>7350</v>
      </c>
      <c r="N1426" s="11">
        <v>53786</v>
      </c>
      <c r="O1426" s="11">
        <v>16571</v>
      </c>
      <c r="P1426" s="11">
        <v>0</v>
      </c>
      <c r="Q1426" s="11" t="s">
        <v>7351</v>
      </c>
      <c r="R1426" s="14" t="s">
        <v>7352</v>
      </c>
      <c r="S1426" s="11">
        <v>211</v>
      </c>
      <c r="T1426" s="11" t="s">
        <v>39</v>
      </c>
      <c r="U1426" s="11" t="s">
        <v>3860</v>
      </c>
      <c r="V1426" s="11" t="s">
        <v>96</v>
      </c>
      <c r="W1426" s="11">
        <v>34000000</v>
      </c>
      <c r="X1426" s="11">
        <v>2007</v>
      </c>
      <c r="Y1426" s="11">
        <v>4000</v>
      </c>
      <c r="Z1426" s="11">
        <v>6.3</v>
      </c>
      <c r="AA1426" s="11">
        <v>2.35</v>
      </c>
      <c r="AB1426" s="11">
        <v>0</v>
      </c>
      <c r="AC1426" s="11"/>
      <c r="AD1426" s="11" t="str">
        <f>IFERROR(__xludf.DUMMYFUNCTION("""COMPUTED_VALUE"""),"Mark L. Young")</f>
        <v>Mark L. Young</v>
      </c>
      <c r="AE1426" s="11"/>
    </row>
    <row r="1427" customHeight="1" spans="1:31">
      <c r="A1427" s="12" t="s">
        <v>30</v>
      </c>
      <c r="B1427" s="12" t="s">
        <v>7353</v>
      </c>
      <c r="C1427" s="12">
        <v>74</v>
      </c>
      <c r="D1427" s="12">
        <v>109</v>
      </c>
      <c r="E1427" s="12">
        <v>19</v>
      </c>
      <c r="F1427" s="12">
        <v>568</v>
      </c>
      <c r="G1427" s="12">
        <v>1000</v>
      </c>
      <c r="H1427" s="12">
        <v>52277485</v>
      </c>
      <c r="I1427" s="12" t="s">
        <v>1635</v>
      </c>
      <c r="J1427" s="12" t="s">
        <v>1232</v>
      </c>
      <c r="K1427" s="12" t="s">
        <v>6772</v>
      </c>
      <c r="L1427" s="12" t="s">
        <v>6478</v>
      </c>
      <c r="M1427" s="12" t="s">
        <v>7354</v>
      </c>
      <c r="N1427" s="12">
        <v>32370</v>
      </c>
      <c r="O1427" s="12">
        <v>4231</v>
      </c>
      <c r="P1427" s="12">
        <v>1</v>
      </c>
      <c r="Q1427" s="12" t="s">
        <v>7355</v>
      </c>
      <c r="R1427" s="15" t="s">
        <v>7356</v>
      </c>
      <c r="S1427" s="12">
        <v>196</v>
      </c>
      <c r="T1427" s="12" t="s">
        <v>39</v>
      </c>
      <c r="U1427" s="12" t="s">
        <v>40</v>
      </c>
      <c r="V1427" s="12" t="s">
        <v>96</v>
      </c>
      <c r="W1427" s="12">
        <v>35000000</v>
      </c>
      <c r="X1427" s="12">
        <v>2003</v>
      </c>
      <c r="Y1427" s="12">
        <v>762</v>
      </c>
      <c r="Z1427" s="12">
        <v>6.9</v>
      </c>
      <c r="AA1427" s="12">
        <v>1.85</v>
      </c>
      <c r="AB1427" s="12">
        <v>0</v>
      </c>
      <c r="AC1427" s="12"/>
      <c r="AD1427" s="12" t="str">
        <f>IFERROR(__xludf.DUMMYFUNCTION("""COMPUTED_VALUE"""),"James Ransone")</f>
        <v>James Ransone</v>
      </c>
      <c r="AE1427" s="12"/>
    </row>
    <row r="1428" customHeight="1" spans="1:31">
      <c r="A1428" s="11" t="s">
        <v>30</v>
      </c>
      <c r="B1428" s="11" t="s">
        <v>3733</v>
      </c>
      <c r="C1428" s="11">
        <v>238</v>
      </c>
      <c r="D1428" s="11">
        <v>109</v>
      </c>
      <c r="E1428" s="11">
        <v>87</v>
      </c>
      <c r="F1428" s="11">
        <v>923</v>
      </c>
      <c r="G1428" s="11">
        <v>15000</v>
      </c>
      <c r="H1428" s="11">
        <v>55802754</v>
      </c>
      <c r="I1428" s="11" t="s">
        <v>1681</v>
      </c>
      <c r="J1428" s="11" t="s">
        <v>292</v>
      </c>
      <c r="K1428" s="11" t="s">
        <v>723</v>
      </c>
      <c r="L1428" s="11" t="s">
        <v>6099</v>
      </c>
      <c r="M1428" s="11" t="s">
        <v>7357</v>
      </c>
      <c r="N1428" s="11">
        <v>270228</v>
      </c>
      <c r="O1428" s="11">
        <v>20956</v>
      </c>
      <c r="P1428" s="11">
        <v>2</v>
      </c>
      <c r="Q1428" s="11" t="s">
        <v>7358</v>
      </c>
      <c r="R1428" s="14" t="s">
        <v>7359</v>
      </c>
      <c r="S1428" s="11">
        <v>194</v>
      </c>
      <c r="T1428" s="11" t="s">
        <v>39</v>
      </c>
      <c r="U1428" s="11" t="s">
        <v>40</v>
      </c>
      <c r="V1428" s="11" t="s">
        <v>586</v>
      </c>
      <c r="W1428" s="11">
        <v>35000000</v>
      </c>
      <c r="X1428" s="11">
        <v>2011</v>
      </c>
      <c r="Y1428" s="11">
        <v>3000</v>
      </c>
      <c r="Z1428" s="11">
        <v>6.6</v>
      </c>
      <c r="AA1428" s="11">
        <v>2.35</v>
      </c>
      <c r="AB1428" s="11">
        <v>41000</v>
      </c>
      <c r="AC1428" s="11"/>
      <c r="AD1428" s="11" t="str">
        <f>IFERROR(__xludf.DUMMYFUNCTION("""COMPUTED_VALUE"""),"Bill Duke")</f>
        <v>Bill Duke</v>
      </c>
      <c r="AE1428" s="11"/>
    </row>
    <row r="1429" customHeight="1" spans="1:31">
      <c r="A1429" s="12" t="s">
        <v>30</v>
      </c>
      <c r="B1429" s="12" t="s">
        <v>6418</v>
      </c>
      <c r="C1429" s="12">
        <v>177</v>
      </c>
      <c r="D1429" s="12">
        <v>92</v>
      </c>
      <c r="E1429" s="12">
        <v>89</v>
      </c>
      <c r="F1429" s="12">
        <v>190</v>
      </c>
      <c r="G1429" s="12">
        <v>17000</v>
      </c>
      <c r="H1429" s="12">
        <v>55291815</v>
      </c>
      <c r="I1429" s="12" t="s">
        <v>1672</v>
      </c>
      <c r="J1429" s="12" t="s">
        <v>490</v>
      </c>
      <c r="K1429" s="12" t="s">
        <v>511</v>
      </c>
      <c r="L1429" s="12" t="s">
        <v>7360</v>
      </c>
      <c r="M1429" s="12" t="s">
        <v>7361</v>
      </c>
      <c r="N1429" s="12">
        <v>28041</v>
      </c>
      <c r="O1429" s="12">
        <v>17860</v>
      </c>
      <c r="P1429" s="12">
        <v>0</v>
      </c>
      <c r="Q1429" s="12" t="s">
        <v>7362</v>
      </c>
      <c r="R1429" s="15" t="s">
        <v>7363</v>
      </c>
      <c r="S1429" s="12">
        <v>111</v>
      </c>
      <c r="T1429" s="12" t="s">
        <v>39</v>
      </c>
      <c r="U1429" s="12" t="s">
        <v>40</v>
      </c>
      <c r="V1429" s="12" t="s">
        <v>586</v>
      </c>
      <c r="W1429" s="12">
        <v>35000000</v>
      </c>
      <c r="X1429" s="12">
        <v>2016</v>
      </c>
      <c r="Y1429" s="12">
        <v>329</v>
      </c>
      <c r="Z1429" s="12">
        <v>6</v>
      </c>
      <c r="AA1429" s="12">
        <v>2.35</v>
      </c>
      <c r="AB1429" s="12">
        <v>0</v>
      </c>
      <c r="AC1429" s="12"/>
      <c r="AD1429" s="12" t="str">
        <f>IFERROR(__xludf.DUMMYFUNCTION("""COMPUTED_VALUE"""),"Deborah Kara Unger")</f>
        <v>Deborah Kara Unger</v>
      </c>
      <c r="AE1429" s="12"/>
    </row>
    <row r="1430" customHeight="1" spans="1:31">
      <c r="A1430" s="11" t="s">
        <v>30</v>
      </c>
      <c r="B1430" s="11" t="s">
        <v>2055</v>
      </c>
      <c r="C1430" s="11">
        <v>405</v>
      </c>
      <c r="D1430" s="11">
        <v>125</v>
      </c>
      <c r="E1430" s="11">
        <v>102</v>
      </c>
      <c r="F1430" s="11">
        <v>825</v>
      </c>
      <c r="G1430" s="11">
        <v>15000</v>
      </c>
      <c r="H1430" s="11">
        <v>83299761</v>
      </c>
      <c r="I1430" s="11" t="s">
        <v>7364</v>
      </c>
      <c r="J1430" s="11" t="s">
        <v>322</v>
      </c>
      <c r="K1430" s="11" t="s">
        <v>137</v>
      </c>
      <c r="L1430" s="11" t="s">
        <v>296</v>
      </c>
      <c r="M1430" s="11" t="s">
        <v>7365</v>
      </c>
      <c r="N1430" s="11">
        <v>117719</v>
      </c>
      <c r="O1430" s="11">
        <v>19809</v>
      </c>
      <c r="P1430" s="11">
        <v>2</v>
      </c>
      <c r="Q1430" s="11" t="s">
        <v>7366</v>
      </c>
      <c r="R1430" s="14" t="s">
        <v>7367</v>
      </c>
      <c r="S1430" s="11">
        <v>306</v>
      </c>
      <c r="T1430" s="11" t="s">
        <v>39</v>
      </c>
      <c r="U1430" s="11" t="s">
        <v>40</v>
      </c>
      <c r="V1430" s="11" t="s">
        <v>41</v>
      </c>
      <c r="W1430" s="11">
        <v>35000000</v>
      </c>
      <c r="X1430" s="11">
        <v>2013</v>
      </c>
      <c r="Y1430" s="11">
        <v>2000</v>
      </c>
      <c r="Z1430" s="11">
        <v>7.5</v>
      </c>
      <c r="AA1430" s="11">
        <v>2.35</v>
      </c>
      <c r="AB1430" s="11">
        <v>39000</v>
      </c>
      <c r="AC1430" s="11"/>
      <c r="AD1430" s="11" t="str">
        <f>IFERROR(__xludf.DUMMYFUNCTION("""COMPUTED_VALUE"""),"Dylan Walsh")</f>
        <v>Dylan Walsh</v>
      </c>
      <c r="AE1430" s="11"/>
    </row>
    <row r="1431" customHeight="1" spans="1:31">
      <c r="A1431" s="12" t="s">
        <v>30</v>
      </c>
      <c r="B1431" s="12" t="s">
        <v>5077</v>
      </c>
      <c r="C1431" s="12">
        <v>61</v>
      </c>
      <c r="D1431" s="12">
        <v>202</v>
      </c>
      <c r="E1431" s="12">
        <v>0</v>
      </c>
      <c r="F1431" s="12">
        <v>318</v>
      </c>
      <c r="G1431" s="12">
        <v>18000</v>
      </c>
      <c r="H1431" s="12">
        <v>48169908</v>
      </c>
      <c r="I1431" s="12" t="s">
        <v>6113</v>
      </c>
      <c r="J1431" s="12" t="s">
        <v>1727</v>
      </c>
      <c r="K1431" s="12" t="s">
        <v>472</v>
      </c>
      <c r="L1431" s="12" t="s">
        <v>7368</v>
      </c>
      <c r="M1431" s="12" t="s">
        <v>7369</v>
      </c>
      <c r="N1431" s="12">
        <v>63923</v>
      </c>
      <c r="O1431" s="12">
        <v>20143</v>
      </c>
      <c r="P1431" s="12">
        <v>0</v>
      </c>
      <c r="Q1431" s="12" t="s">
        <v>7370</v>
      </c>
      <c r="R1431" s="15" t="s">
        <v>7371</v>
      </c>
      <c r="S1431" s="12">
        <v>156</v>
      </c>
      <c r="T1431" s="12" t="s">
        <v>39</v>
      </c>
      <c r="U1431" s="12" t="s">
        <v>40</v>
      </c>
      <c r="V1431" s="12" t="s">
        <v>41</v>
      </c>
      <c r="W1431" s="12">
        <v>33000000</v>
      </c>
      <c r="X1431" s="12">
        <v>1992</v>
      </c>
      <c r="Y1431" s="12">
        <v>848</v>
      </c>
      <c r="Z1431" s="12">
        <v>7.7</v>
      </c>
      <c r="AA1431" s="12">
        <v>1.85</v>
      </c>
      <c r="AB1431" s="12">
        <v>0</v>
      </c>
      <c r="AC1431" s="12"/>
      <c r="AD1431" s="12" t="str">
        <f>IFERROR(__xludf.DUMMYFUNCTION("""COMPUTED_VALUE"""),"Chandler Canterbury")</f>
        <v>Chandler Canterbury</v>
      </c>
      <c r="AE1431" s="12"/>
    </row>
    <row r="1432" customHeight="1" spans="1:31">
      <c r="A1432" s="11" t="s">
        <v>30</v>
      </c>
      <c r="B1432" s="11" t="s">
        <v>3219</v>
      </c>
      <c r="C1432" s="11">
        <v>285</v>
      </c>
      <c r="D1432" s="11">
        <v>134</v>
      </c>
      <c r="E1432" s="11">
        <v>0</v>
      </c>
      <c r="F1432" s="11">
        <v>120</v>
      </c>
      <c r="G1432" s="11">
        <v>529</v>
      </c>
      <c r="H1432" s="11">
        <v>67523385</v>
      </c>
      <c r="I1432" s="11" t="s">
        <v>1672</v>
      </c>
      <c r="J1432" s="11" t="s">
        <v>7372</v>
      </c>
      <c r="K1432" s="11" t="s">
        <v>3220</v>
      </c>
      <c r="L1432" s="11" t="s">
        <v>7373</v>
      </c>
      <c r="M1432" s="11" t="s">
        <v>7374</v>
      </c>
      <c r="N1432" s="11">
        <v>104005</v>
      </c>
      <c r="O1432" s="11">
        <v>1050</v>
      </c>
      <c r="P1432" s="11">
        <v>2</v>
      </c>
      <c r="Q1432" s="11" t="s">
        <v>7375</v>
      </c>
      <c r="R1432" s="14" t="s">
        <v>7376</v>
      </c>
      <c r="S1432" s="11">
        <v>248</v>
      </c>
      <c r="T1432" s="11" t="s">
        <v>39</v>
      </c>
      <c r="U1432" s="11" t="s">
        <v>40</v>
      </c>
      <c r="V1432" s="11" t="s">
        <v>586</v>
      </c>
      <c r="W1432" s="11">
        <v>35000000</v>
      </c>
      <c r="X1432" s="11">
        <v>2012</v>
      </c>
      <c r="Y1432" s="11">
        <v>130</v>
      </c>
      <c r="Z1432" s="11">
        <v>6.2</v>
      </c>
      <c r="AA1432" s="11">
        <v>2.35</v>
      </c>
      <c r="AB1432" s="11">
        <v>18000</v>
      </c>
      <c r="AC1432" s="11"/>
      <c r="AD1432" s="11" t="str">
        <f>IFERROR(__xludf.DUMMYFUNCTION("""COMPUTED_VALUE"""),"Sissy Spacek")</f>
        <v>Sissy Spacek</v>
      </c>
      <c r="AE1432" s="11"/>
    </row>
    <row r="1433" customHeight="1" spans="1:31">
      <c r="A1433" s="12" t="s">
        <v>30</v>
      </c>
      <c r="B1433" s="12" t="s">
        <v>2167</v>
      </c>
      <c r="C1433" s="12">
        <v>124</v>
      </c>
      <c r="D1433" s="12">
        <v>88</v>
      </c>
      <c r="E1433" s="12">
        <v>12</v>
      </c>
      <c r="F1433" s="12">
        <v>931</v>
      </c>
      <c r="G1433" s="12">
        <v>49000</v>
      </c>
      <c r="H1433" s="12">
        <v>49474048</v>
      </c>
      <c r="I1433" s="12" t="s">
        <v>3057</v>
      </c>
      <c r="J1433" s="12" t="s">
        <v>811</v>
      </c>
      <c r="K1433" s="12" t="s">
        <v>804</v>
      </c>
      <c r="L1433" s="12" t="s">
        <v>4928</v>
      </c>
      <c r="M1433" s="12" t="s">
        <v>7377</v>
      </c>
      <c r="N1433" s="12">
        <v>31191</v>
      </c>
      <c r="O1433" s="12">
        <v>53370</v>
      </c>
      <c r="P1433" s="12">
        <v>2</v>
      </c>
      <c r="Q1433" s="12" t="s">
        <v>7378</v>
      </c>
      <c r="R1433" s="15" t="s">
        <v>7379</v>
      </c>
      <c r="S1433" s="12">
        <v>120</v>
      </c>
      <c r="T1433" s="12" t="s">
        <v>39</v>
      </c>
      <c r="U1433" s="12" t="s">
        <v>40</v>
      </c>
      <c r="V1433" s="12" t="s">
        <v>96</v>
      </c>
      <c r="W1433" s="12">
        <v>35000000</v>
      </c>
      <c r="X1433" s="12">
        <v>2009</v>
      </c>
      <c r="Y1433" s="12">
        <v>1000</v>
      </c>
      <c r="Z1433" s="12">
        <v>5.4</v>
      </c>
      <c r="AA1433" s="12">
        <v>1.85</v>
      </c>
      <c r="AB1433" s="12">
        <v>0</v>
      </c>
      <c r="AC1433" s="12"/>
      <c r="AD1433" s="12" t="str">
        <f>IFERROR(__xludf.DUMMYFUNCTION("""COMPUTED_VALUE"""),"Mark Christopher Lawrence")</f>
        <v>Mark Christopher Lawrence</v>
      </c>
      <c r="AE1433" s="12"/>
    </row>
    <row r="1434" customHeight="1" spans="1:31">
      <c r="A1434" s="11" t="s">
        <v>30</v>
      </c>
      <c r="B1434" s="11" t="s">
        <v>7380</v>
      </c>
      <c r="C1434" s="11">
        <v>164</v>
      </c>
      <c r="D1434" s="11">
        <v>92</v>
      </c>
      <c r="E1434" s="11">
        <v>148</v>
      </c>
      <c r="F1434" s="11">
        <v>227</v>
      </c>
      <c r="G1434" s="11">
        <v>978</v>
      </c>
      <c r="H1434" s="11">
        <v>45802315</v>
      </c>
      <c r="I1434" s="11" t="s">
        <v>262</v>
      </c>
      <c r="J1434" s="11" t="s">
        <v>7381</v>
      </c>
      <c r="K1434" s="11" t="s">
        <v>3814</v>
      </c>
      <c r="L1434" s="11" t="s">
        <v>7382</v>
      </c>
      <c r="M1434" s="11" t="s">
        <v>7383</v>
      </c>
      <c r="N1434" s="11">
        <v>119974</v>
      </c>
      <c r="O1434" s="11">
        <v>2184</v>
      </c>
      <c r="P1434" s="11">
        <v>1</v>
      </c>
      <c r="Q1434" s="11" t="s">
        <v>7384</v>
      </c>
      <c r="R1434" s="14" t="s">
        <v>7385</v>
      </c>
      <c r="S1434" s="11">
        <v>169</v>
      </c>
      <c r="T1434" s="11" t="s">
        <v>39</v>
      </c>
      <c r="U1434" s="11" t="s">
        <v>40</v>
      </c>
      <c r="V1434" s="11" t="s">
        <v>586</v>
      </c>
      <c r="W1434" s="11">
        <v>35000000</v>
      </c>
      <c r="X1434" s="11">
        <v>2009</v>
      </c>
      <c r="Y1434" s="11">
        <v>593</v>
      </c>
      <c r="Z1434" s="11">
        <v>6.6</v>
      </c>
      <c r="AA1434" s="11">
        <v>2.35</v>
      </c>
      <c r="AB1434" s="11">
        <v>0</v>
      </c>
      <c r="AC1434" s="11"/>
      <c r="AD1434" s="11" t="str">
        <f>IFERROR(__xludf.DUMMYFUNCTION("""COMPUTED_VALUE"""),"Michael Monks")</f>
        <v>Michael Monks</v>
      </c>
      <c r="AE1434" s="11"/>
    </row>
    <row r="1435" customHeight="1" spans="1:31">
      <c r="A1435" s="12" t="s">
        <v>30</v>
      </c>
      <c r="B1435" s="12" t="s">
        <v>6298</v>
      </c>
      <c r="C1435" s="12">
        <v>120</v>
      </c>
      <c r="D1435" s="12">
        <v>91</v>
      </c>
      <c r="E1435" s="12">
        <v>42</v>
      </c>
      <c r="F1435" s="12">
        <v>766</v>
      </c>
      <c r="G1435" s="12">
        <v>49000</v>
      </c>
      <c r="H1435" s="12">
        <v>43792641</v>
      </c>
      <c r="I1435" s="12" t="s">
        <v>1681</v>
      </c>
      <c r="J1435" s="12" t="s">
        <v>811</v>
      </c>
      <c r="K1435" s="12" t="s">
        <v>7386</v>
      </c>
      <c r="L1435" s="12" t="s">
        <v>543</v>
      </c>
      <c r="M1435" s="12" t="s">
        <v>7387</v>
      </c>
      <c r="N1435" s="12">
        <v>32157</v>
      </c>
      <c r="O1435" s="12">
        <v>52566</v>
      </c>
      <c r="P1435" s="12">
        <v>3</v>
      </c>
      <c r="Q1435" s="12" t="s">
        <v>7388</v>
      </c>
      <c r="R1435" s="15" t="s">
        <v>7389</v>
      </c>
      <c r="S1435" s="12">
        <v>119</v>
      </c>
      <c r="T1435" s="12" t="s">
        <v>39</v>
      </c>
      <c r="U1435" s="12" t="s">
        <v>40</v>
      </c>
      <c r="V1435" s="12" t="s">
        <v>41</v>
      </c>
      <c r="W1435" s="12">
        <v>35000000</v>
      </c>
      <c r="X1435" s="12">
        <v>2007</v>
      </c>
      <c r="Y1435" s="12">
        <v>838</v>
      </c>
      <c r="Z1435" s="12">
        <v>5.3</v>
      </c>
      <c r="AA1435" s="12">
        <v>2.35</v>
      </c>
      <c r="AB1435" s="12">
        <v>913</v>
      </c>
      <c r="AC1435" s="12"/>
      <c r="AD1435" s="12" t="str">
        <f>IFERROR(__xludf.DUMMYFUNCTION("""COMPUTED_VALUE"""),"Scoot McNairy")</f>
        <v>Scoot McNairy</v>
      </c>
      <c r="AE1435" s="12"/>
    </row>
    <row r="1436" customHeight="1" spans="1:31">
      <c r="A1436" s="11" t="s">
        <v>30</v>
      </c>
      <c r="B1436" s="11" t="s">
        <v>2179</v>
      </c>
      <c r="C1436" s="11">
        <v>90</v>
      </c>
      <c r="D1436" s="11">
        <v>75</v>
      </c>
      <c r="E1436" s="11">
        <v>221</v>
      </c>
      <c r="F1436" s="11">
        <v>553</v>
      </c>
      <c r="G1436" s="11">
        <v>11000</v>
      </c>
      <c r="H1436" s="11">
        <v>57651794</v>
      </c>
      <c r="I1436" s="11" t="s">
        <v>3898</v>
      </c>
      <c r="J1436" s="11" t="s">
        <v>1957</v>
      </c>
      <c r="K1436" s="11" t="s">
        <v>1951</v>
      </c>
      <c r="L1436" s="11" t="s">
        <v>2940</v>
      </c>
      <c r="M1436" s="11" t="s">
        <v>7390</v>
      </c>
      <c r="N1436" s="11">
        <v>40651</v>
      </c>
      <c r="O1436" s="11">
        <v>13125</v>
      </c>
      <c r="P1436" s="11">
        <v>2</v>
      </c>
      <c r="Q1436" s="11" t="s">
        <v>7391</v>
      </c>
      <c r="R1436" s="14" t="s">
        <v>7392</v>
      </c>
      <c r="S1436" s="11">
        <v>209</v>
      </c>
      <c r="T1436" s="11" t="s">
        <v>39</v>
      </c>
      <c r="U1436" s="11" t="s">
        <v>40</v>
      </c>
      <c r="V1436" s="11" t="s">
        <v>41</v>
      </c>
      <c r="W1436" s="11">
        <v>33000000</v>
      </c>
      <c r="X1436" s="11">
        <v>2006</v>
      </c>
      <c r="Y1436" s="11">
        <v>970</v>
      </c>
      <c r="Z1436" s="11">
        <v>5.6</v>
      </c>
      <c r="AA1436" s="11">
        <v>1.85</v>
      </c>
      <c r="AB1436" s="11">
        <v>0</v>
      </c>
      <c r="AC1436" s="11"/>
      <c r="AD1436" s="11" t="str">
        <f>IFERROR(__xludf.DUMMYFUNCTION("""COMPUTED_VALUE"""),"Billy Brown")</f>
        <v>Billy Brown</v>
      </c>
      <c r="AE1436" s="11"/>
    </row>
    <row r="1437" customHeight="1" spans="1:31">
      <c r="A1437" s="12" t="s">
        <v>30</v>
      </c>
      <c r="B1437" s="12" t="s">
        <v>7393</v>
      </c>
      <c r="C1437" s="12">
        <v>120</v>
      </c>
      <c r="D1437" s="12">
        <v>98</v>
      </c>
      <c r="E1437" s="12">
        <v>30</v>
      </c>
      <c r="F1437" s="12">
        <v>664</v>
      </c>
      <c r="G1437" s="12">
        <v>944</v>
      </c>
      <c r="H1437" s="12">
        <v>43894863</v>
      </c>
      <c r="I1437" s="12" t="s">
        <v>1681</v>
      </c>
      <c r="J1437" s="12" t="s">
        <v>4136</v>
      </c>
      <c r="K1437" s="12" t="s">
        <v>7394</v>
      </c>
      <c r="L1437" s="12" t="s">
        <v>3919</v>
      </c>
      <c r="M1437" s="12" t="s">
        <v>7395</v>
      </c>
      <c r="N1437" s="12">
        <v>25883</v>
      </c>
      <c r="O1437" s="12">
        <v>4879</v>
      </c>
      <c r="P1437" s="12">
        <v>2</v>
      </c>
      <c r="Q1437" s="12" t="s">
        <v>7396</v>
      </c>
      <c r="R1437" s="15" t="s">
        <v>7397</v>
      </c>
      <c r="S1437" s="12">
        <v>262</v>
      </c>
      <c r="T1437" s="12" t="s">
        <v>39</v>
      </c>
      <c r="U1437" s="12" t="s">
        <v>40</v>
      </c>
      <c r="V1437" s="12" t="s">
        <v>41</v>
      </c>
      <c r="W1437" s="12">
        <v>30000000</v>
      </c>
      <c r="X1437" s="12">
        <v>2005</v>
      </c>
      <c r="Y1437" s="12">
        <v>940</v>
      </c>
      <c r="Z1437" s="12">
        <v>5.9</v>
      </c>
      <c r="AA1437" s="12">
        <v>2.35</v>
      </c>
      <c r="AB1437" s="12">
        <v>0</v>
      </c>
      <c r="AC1437" s="12"/>
      <c r="AD1437" s="12" t="str">
        <f>IFERROR(__xludf.DUMMYFUNCTION("""COMPUTED_VALUE"""),"Rupert Graves")</f>
        <v>Rupert Graves</v>
      </c>
      <c r="AE1437" s="12"/>
    </row>
    <row r="1438" customHeight="1" spans="1:31">
      <c r="A1438" s="11" t="s">
        <v>30</v>
      </c>
      <c r="B1438" s="11" t="s">
        <v>372</v>
      </c>
      <c r="C1438" s="11">
        <v>117</v>
      </c>
      <c r="D1438" s="11">
        <v>147</v>
      </c>
      <c r="E1438" s="11">
        <v>179</v>
      </c>
      <c r="F1438" s="11">
        <v>646</v>
      </c>
      <c r="G1438" s="11">
        <v>40000</v>
      </c>
      <c r="H1438" s="11">
        <v>41954997</v>
      </c>
      <c r="I1438" s="11" t="s">
        <v>1726</v>
      </c>
      <c r="J1438" s="11" t="s">
        <v>44</v>
      </c>
      <c r="K1438" s="11" t="s">
        <v>2383</v>
      </c>
      <c r="L1438" s="11" t="s">
        <v>2262</v>
      </c>
      <c r="M1438" s="11" t="s">
        <v>7398</v>
      </c>
      <c r="N1438" s="11">
        <v>225122</v>
      </c>
      <c r="O1438" s="11">
        <v>56014</v>
      </c>
      <c r="P1438" s="11">
        <v>2</v>
      </c>
      <c r="Q1438" s="11" t="s">
        <v>7399</v>
      </c>
      <c r="R1438" s="14" t="s">
        <v>7400</v>
      </c>
      <c r="S1438" s="11">
        <v>234</v>
      </c>
      <c r="T1438" s="11" t="s">
        <v>39</v>
      </c>
      <c r="U1438" s="11" t="s">
        <v>40</v>
      </c>
      <c r="V1438" s="11" t="s">
        <v>586</v>
      </c>
      <c r="W1438" s="11">
        <v>35000000</v>
      </c>
      <c r="X1438" s="11">
        <v>1997</v>
      </c>
      <c r="Y1438" s="11">
        <v>14000</v>
      </c>
      <c r="Z1438" s="11">
        <v>7.8</v>
      </c>
      <c r="AA1438" s="11">
        <v>2.35</v>
      </c>
      <c r="AB1438" s="11">
        <v>0</v>
      </c>
      <c r="AC1438" s="11"/>
      <c r="AD1438" s="11" t="str">
        <f>IFERROR(__xludf.DUMMYFUNCTION("""COMPUTED_VALUE"""),"Fann Wong")</f>
        <v>Fann Wong</v>
      </c>
      <c r="AE1438" s="11"/>
    </row>
    <row r="1439" customHeight="1" spans="1:31">
      <c r="A1439" s="12" t="s">
        <v>30</v>
      </c>
      <c r="B1439" s="12" t="s">
        <v>2332</v>
      </c>
      <c r="C1439" s="12">
        <v>226</v>
      </c>
      <c r="D1439" s="12">
        <v>100</v>
      </c>
      <c r="E1439" s="12">
        <v>545</v>
      </c>
      <c r="F1439" s="12">
        <v>766</v>
      </c>
      <c r="G1439" s="12">
        <v>14000</v>
      </c>
      <c r="H1439" s="12">
        <v>39532308</v>
      </c>
      <c r="I1439" s="12" t="s">
        <v>4178</v>
      </c>
      <c r="J1439" s="12" t="s">
        <v>1973</v>
      </c>
      <c r="K1439" s="12" t="s">
        <v>7401</v>
      </c>
      <c r="L1439" s="12" t="s">
        <v>965</v>
      </c>
      <c r="M1439" s="12" t="s">
        <v>7402</v>
      </c>
      <c r="N1439" s="12">
        <v>198701</v>
      </c>
      <c r="O1439" s="12">
        <v>17902</v>
      </c>
      <c r="P1439" s="12">
        <v>0</v>
      </c>
      <c r="Q1439" s="12" t="s">
        <v>7403</v>
      </c>
      <c r="R1439" s="15" t="s">
        <v>7404</v>
      </c>
      <c r="S1439" s="12">
        <v>1138</v>
      </c>
      <c r="T1439" s="12" t="s">
        <v>39</v>
      </c>
      <c r="U1439" s="12" t="s">
        <v>58</v>
      </c>
      <c r="V1439" s="12" t="s">
        <v>586</v>
      </c>
      <c r="W1439" s="12">
        <v>33000000</v>
      </c>
      <c r="X1439" s="12">
        <v>2002</v>
      </c>
      <c r="Y1439" s="12">
        <v>2000</v>
      </c>
      <c r="Z1439" s="12">
        <v>6.7</v>
      </c>
      <c r="AA1439" s="12">
        <v>1.85</v>
      </c>
      <c r="AB1439" s="12">
        <v>0</v>
      </c>
      <c r="AC1439" s="12"/>
      <c r="AD1439" s="12" t="str">
        <f>IFERROR(__xludf.DUMMYFUNCTION("""COMPUTED_VALUE"""),"Anna-Louise Plowman")</f>
        <v>Anna-Louise Plowman</v>
      </c>
      <c r="AE1439" s="12"/>
    </row>
    <row r="1440" customHeight="1" spans="1:31">
      <c r="A1440" s="11" t="s">
        <v>30</v>
      </c>
      <c r="B1440" s="11" t="s">
        <v>7405</v>
      </c>
      <c r="C1440" s="11">
        <v>223</v>
      </c>
      <c r="D1440" s="11">
        <v>120</v>
      </c>
      <c r="E1440" s="11">
        <v>365</v>
      </c>
      <c r="F1440" s="11">
        <v>723</v>
      </c>
      <c r="G1440" s="11">
        <v>887</v>
      </c>
      <c r="H1440" s="11">
        <v>76600000</v>
      </c>
      <c r="I1440" s="11" t="s">
        <v>7406</v>
      </c>
      <c r="J1440" s="11" t="s">
        <v>7407</v>
      </c>
      <c r="K1440" s="11" t="s">
        <v>7408</v>
      </c>
      <c r="L1440" s="11" t="s">
        <v>2062</v>
      </c>
      <c r="M1440" s="11" t="s">
        <v>7409</v>
      </c>
      <c r="N1440" s="11">
        <v>105446</v>
      </c>
      <c r="O1440" s="11">
        <v>3876</v>
      </c>
      <c r="P1440" s="11">
        <v>0</v>
      </c>
      <c r="Q1440" s="11" t="s">
        <v>7410</v>
      </c>
      <c r="R1440" s="14" t="s">
        <v>7411</v>
      </c>
      <c r="S1440" s="11">
        <v>321</v>
      </c>
      <c r="T1440" s="11" t="s">
        <v>39</v>
      </c>
      <c r="U1440" s="11" t="s">
        <v>40</v>
      </c>
      <c r="V1440" s="11" t="s">
        <v>96</v>
      </c>
      <c r="W1440" s="11">
        <v>10700000</v>
      </c>
      <c r="X1440" s="11">
        <v>1982</v>
      </c>
      <c r="Y1440" s="11">
        <v>770</v>
      </c>
      <c r="Z1440" s="11">
        <v>7.4</v>
      </c>
      <c r="AA1440" s="11">
        <v>2.35</v>
      </c>
      <c r="AB1440" s="11">
        <v>11000</v>
      </c>
      <c r="AC1440" s="11"/>
      <c r="AD1440" s="11" t="str">
        <f>IFERROR(__xludf.DUMMYFUNCTION("""COMPUTED_VALUE"""),"Georgina Chapman")</f>
        <v>Georgina Chapman</v>
      </c>
      <c r="AE1440" s="11"/>
    </row>
    <row r="1441" customHeight="1" spans="1:31">
      <c r="A1441" s="12" t="s">
        <v>30</v>
      </c>
      <c r="B1441" s="12" t="s">
        <v>7114</v>
      </c>
      <c r="C1441" s="12">
        <v>193</v>
      </c>
      <c r="D1441" s="12">
        <v>104</v>
      </c>
      <c r="E1441" s="12">
        <v>1000</v>
      </c>
      <c r="F1441" s="12">
        <v>939</v>
      </c>
      <c r="G1441" s="12">
        <v>24000</v>
      </c>
      <c r="H1441" s="12">
        <v>39692139</v>
      </c>
      <c r="I1441" s="12" t="s">
        <v>5968</v>
      </c>
      <c r="J1441" s="12" t="s">
        <v>82</v>
      </c>
      <c r="K1441" s="12" t="s">
        <v>322</v>
      </c>
      <c r="L1441" s="12" t="s">
        <v>1147</v>
      </c>
      <c r="M1441" s="12" t="s">
        <v>7412</v>
      </c>
      <c r="N1441" s="12">
        <v>84131</v>
      </c>
      <c r="O1441" s="12">
        <v>41701</v>
      </c>
      <c r="P1441" s="12">
        <v>1</v>
      </c>
      <c r="Q1441" s="12" t="s">
        <v>7413</v>
      </c>
      <c r="R1441" s="15" t="s">
        <v>7414</v>
      </c>
      <c r="S1441" s="12">
        <v>400</v>
      </c>
      <c r="T1441" s="12" t="s">
        <v>39</v>
      </c>
      <c r="U1441" s="12" t="s">
        <v>40</v>
      </c>
      <c r="V1441" s="12" t="s">
        <v>586</v>
      </c>
      <c r="W1441" s="12">
        <v>35000000</v>
      </c>
      <c r="X1441" s="12">
        <v>2004</v>
      </c>
      <c r="Y1441" s="12">
        <v>15000</v>
      </c>
      <c r="Z1441" s="12">
        <v>6.2</v>
      </c>
      <c r="AA1441" s="12">
        <v>1.85</v>
      </c>
      <c r="AB1441" s="12">
        <v>0</v>
      </c>
      <c r="AC1441" s="12"/>
      <c r="AD1441" s="12" t="str">
        <f>IFERROR(__xludf.DUMMYFUNCTION("""COMPUTED_VALUE"""),"Gemma Jones")</f>
        <v>Gemma Jones</v>
      </c>
      <c r="AE1441" s="12"/>
    </row>
    <row r="1442" customHeight="1" spans="1:31">
      <c r="A1442" s="11" t="s">
        <v>30</v>
      </c>
      <c r="B1442" s="11" t="s">
        <v>2049</v>
      </c>
      <c r="C1442" s="11">
        <v>228</v>
      </c>
      <c r="D1442" s="11">
        <v>103</v>
      </c>
      <c r="E1442" s="11">
        <v>212</v>
      </c>
      <c r="F1442" s="11">
        <v>248</v>
      </c>
      <c r="G1442" s="11">
        <v>15000</v>
      </c>
      <c r="H1442" s="11">
        <v>40687294</v>
      </c>
      <c r="I1442" s="11" t="s">
        <v>1120</v>
      </c>
      <c r="J1442" s="11" t="s">
        <v>292</v>
      </c>
      <c r="K1442" s="11" t="s">
        <v>7415</v>
      </c>
      <c r="L1442" s="11" t="s">
        <v>7416</v>
      </c>
      <c r="M1442" s="11" t="s">
        <v>7417</v>
      </c>
      <c r="N1442" s="11">
        <v>107772</v>
      </c>
      <c r="O1442" s="11">
        <v>16249</v>
      </c>
      <c r="P1442" s="11">
        <v>1</v>
      </c>
      <c r="Q1442" s="11" t="s">
        <v>7418</v>
      </c>
      <c r="R1442" s="14" t="s">
        <v>7419</v>
      </c>
      <c r="S1442" s="11">
        <v>398</v>
      </c>
      <c r="T1442" s="11" t="s">
        <v>39</v>
      </c>
      <c r="U1442" s="11" t="s">
        <v>269</v>
      </c>
      <c r="V1442" s="11" t="s">
        <v>41</v>
      </c>
      <c r="W1442" s="11">
        <v>35000000</v>
      </c>
      <c r="X1442" s="11">
        <v>2008</v>
      </c>
      <c r="Y1442" s="11">
        <v>552</v>
      </c>
      <c r="Z1442" s="11">
        <v>5.4</v>
      </c>
      <c r="AA1442" s="11">
        <v>2.35</v>
      </c>
      <c r="AB1442" s="11">
        <v>0</v>
      </c>
      <c r="AC1442" s="11"/>
      <c r="AD1442" s="11" t="str">
        <f>IFERROR(__xludf.DUMMYFUNCTION("""COMPUTED_VALUE"""),"Nicola Walker")</f>
        <v>Nicola Walker</v>
      </c>
      <c r="AE1442" s="11"/>
    </row>
    <row r="1443" customHeight="1" spans="1:31">
      <c r="A1443" s="12" t="s">
        <v>30</v>
      </c>
      <c r="B1443" s="12" t="s">
        <v>5350</v>
      </c>
      <c r="C1443" s="12">
        <v>360</v>
      </c>
      <c r="D1443" s="12">
        <v>109</v>
      </c>
      <c r="E1443" s="12">
        <v>487</v>
      </c>
      <c r="F1443" s="12">
        <v>3000</v>
      </c>
      <c r="G1443" s="12">
        <v>20000</v>
      </c>
      <c r="H1443" s="12">
        <v>37553932</v>
      </c>
      <c r="I1443" s="12" t="s">
        <v>2813</v>
      </c>
      <c r="J1443" s="12" t="s">
        <v>4366</v>
      </c>
      <c r="K1443" s="12" t="s">
        <v>302</v>
      </c>
      <c r="L1443" s="12" t="s">
        <v>723</v>
      </c>
      <c r="M1443" s="12" t="s">
        <v>7420</v>
      </c>
      <c r="N1443" s="12">
        <v>304318</v>
      </c>
      <c r="O1443" s="12">
        <v>34011</v>
      </c>
      <c r="P1443" s="12">
        <v>2</v>
      </c>
      <c r="Q1443" s="12" t="s">
        <v>7421</v>
      </c>
      <c r="R1443" s="15" t="s">
        <v>7422</v>
      </c>
      <c r="S1443" s="12">
        <v>463</v>
      </c>
      <c r="T1443" s="12" t="s">
        <v>39</v>
      </c>
      <c r="U1443" s="12" t="s">
        <v>40</v>
      </c>
      <c r="V1443" s="12" t="s">
        <v>41</v>
      </c>
      <c r="W1443" s="12">
        <v>40000000</v>
      </c>
      <c r="X1443" s="12">
        <v>2011</v>
      </c>
      <c r="Y1443" s="12">
        <v>10000</v>
      </c>
      <c r="Z1443" s="12">
        <v>6.7</v>
      </c>
      <c r="AA1443" s="12">
        <v>2.35</v>
      </c>
      <c r="AB1443" s="12">
        <v>52000</v>
      </c>
      <c r="AC1443" s="12"/>
      <c r="AD1443" s="12" t="str">
        <f>IFERROR(__xludf.DUMMYFUNCTION("""COMPUTED_VALUE"""),"Cheryl Hines")</f>
        <v>Cheryl Hines</v>
      </c>
      <c r="AE1443" s="12"/>
    </row>
    <row r="1444" customHeight="1" spans="1:31">
      <c r="A1444" s="11" t="s">
        <v>30</v>
      </c>
      <c r="B1444" s="11" t="s">
        <v>7423</v>
      </c>
      <c r="C1444" s="11">
        <v>148</v>
      </c>
      <c r="D1444" s="11">
        <v>104</v>
      </c>
      <c r="E1444" s="11">
        <v>16</v>
      </c>
      <c r="F1444" s="11">
        <v>584</v>
      </c>
      <c r="G1444" s="11">
        <v>1000</v>
      </c>
      <c r="H1444" s="11">
        <v>37481242</v>
      </c>
      <c r="I1444" s="11" t="s">
        <v>1681</v>
      </c>
      <c r="J1444" s="11" t="s">
        <v>7424</v>
      </c>
      <c r="K1444" s="11" t="s">
        <v>4546</v>
      </c>
      <c r="L1444" s="11" t="s">
        <v>5818</v>
      </c>
      <c r="M1444" s="11" t="s">
        <v>7425</v>
      </c>
      <c r="N1444" s="11">
        <v>40654</v>
      </c>
      <c r="O1444" s="11">
        <v>3356</v>
      </c>
      <c r="P1444" s="11">
        <v>0</v>
      </c>
      <c r="Q1444" s="11" t="s">
        <v>7426</v>
      </c>
      <c r="R1444" s="14" t="s">
        <v>7427</v>
      </c>
      <c r="S1444" s="11">
        <v>97</v>
      </c>
      <c r="T1444" s="11" t="s">
        <v>39</v>
      </c>
      <c r="U1444" s="11" t="s">
        <v>40</v>
      </c>
      <c r="V1444" s="11" t="s">
        <v>41</v>
      </c>
      <c r="W1444" s="11">
        <v>35000000</v>
      </c>
      <c r="X1444" s="11">
        <v>2010</v>
      </c>
      <c r="Y1444" s="11">
        <v>700</v>
      </c>
      <c r="Z1444" s="11">
        <v>5.3</v>
      </c>
      <c r="AA1444" s="11">
        <v>2.35</v>
      </c>
      <c r="AB1444" s="11">
        <v>0</v>
      </c>
      <c r="AC1444" s="11"/>
      <c r="AD1444" s="11" t="str">
        <f>IFERROR(__xludf.DUMMYFUNCTION("""COMPUTED_VALUE"""),"Jennifer Esposito")</f>
        <v>Jennifer Esposito</v>
      </c>
      <c r="AE1444" s="11"/>
    </row>
    <row r="1445" customHeight="1" spans="1:31">
      <c r="A1445" s="12" t="s">
        <v>30</v>
      </c>
      <c r="B1445" s="12" t="s">
        <v>7428</v>
      </c>
      <c r="C1445" s="12">
        <v>128</v>
      </c>
      <c r="D1445" s="12">
        <v>112</v>
      </c>
      <c r="E1445" s="12">
        <v>42</v>
      </c>
      <c r="F1445" s="12">
        <v>196</v>
      </c>
      <c r="G1445" s="12">
        <v>969</v>
      </c>
      <c r="H1445" s="12">
        <v>39026186</v>
      </c>
      <c r="I1445" s="12" t="s">
        <v>1415</v>
      </c>
      <c r="J1445" s="12" t="s">
        <v>7429</v>
      </c>
      <c r="K1445" s="12" t="s">
        <v>7430</v>
      </c>
      <c r="L1445" s="12" t="s">
        <v>7431</v>
      </c>
      <c r="M1445" s="12" t="s">
        <v>7432</v>
      </c>
      <c r="N1445" s="12">
        <v>48019</v>
      </c>
      <c r="O1445" s="12">
        <v>2371</v>
      </c>
      <c r="P1445" s="12">
        <v>4</v>
      </c>
      <c r="Q1445" s="12" t="s">
        <v>7433</v>
      </c>
      <c r="R1445" s="15" t="s">
        <v>7434</v>
      </c>
      <c r="S1445" s="12">
        <v>153</v>
      </c>
      <c r="T1445" s="12" t="s">
        <v>39</v>
      </c>
      <c r="U1445" s="12" t="s">
        <v>40</v>
      </c>
      <c r="V1445" s="12" t="s">
        <v>41</v>
      </c>
      <c r="W1445" s="12">
        <v>35000000</v>
      </c>
      <c r="X1445" s="12">
        <v>2011</v>
      </c>
      <c r="Y1445" s="12">
        <v>826</v>
      </c>
      <c r="Z1445" s="12">
        <v>5.9</v>
      </c>
      <c r="AA1445" s="12">
        <v>1.85</v>
      </c>
      <c r="AB1445" s="12">
        <v>13000</v>
      </c>
      <c r="AC1445" s="12"/>
      <c r="AD1445" s="12" t="str">
        <f>IFERROR(__xludf.DUMMYFUNCTION("""COMPUTED_VALUE"""),"Conrad Goode")</f>
        <v>Conrad Goode</v>
      </c>
      <c r="AE1445" s="12"/>
    </row>
    <row r="1446" customHeight="1" spans="1:31">
      <c r="A1446" s="11" t="s">
        <v>30</v>
      </c>
      <c r="B1446" s="13"/>
      <c r="C1446" s="11">
        <v>3</v>
      </c>
      <c r="D1446" s="11">
        <v>60</v>
      </c>
      <c r="E1446" s="13"/>
      <c r="F1446" s="11">
        <v>628</v>
      </c>
      <c r="G1446" s="11">
        <v>897</v>
      </c>
      <c r="H1446" s="13"/>
      <c r="I1446" s="11" t="s">
        <v>214</v>
      </c>
      <c r="J1446" s="11" t="s">
        <v>7435</v>
      </c>
      <c r="K1446" s="11" t="s">
        <v>4910</v>
      </c>
      <c r="L1446" s="11" t="s">
        <v>7436</v>
      </c>
      <c r="M1446" s="11" t="s">
        <v>7437</v>
      </c>
      <c r="N1446" s="11">
        <v>1641</v>
      </c>
      <c r="O1446" s="11">
        <v>3438</v>
      </c>
      <c r="P1446" s="11">
        <v>4</v>
      </c>
      <c r="Q1446" s="11" t="s">
        <v>7438</v>
      </c>
      <c r="R1446" s="14" t="s">
        <v>7439</v>
      </c>
      <c r="S1446" s="11">
        <v>11</v>
      </c>
      <c r="T1446" s="11" t="s">
        <v>39</v>
      </c>
      <c r="U1446" s="11" t="s">
        <v>40</v>
      </c>
      <c r="V1446" s="13"/>
      <c r="W1446" s="13"/>
      <c r="X1446" s="13"/>
      <c r="Y1446" s="11">
        <v>637</v>
      </c>
      <c r="Z1446" s="11">
        <v>7</v>
      </c>
      <c r="AA1446" s="13"/>
      <c r="AB1446" s="11">
        <v>265</v>
      </c>
      <c r="AC1446" s="11"/>
      <c r="AD1446" s="11" t="str">
        <f>IFERROR(__xludf.DUMMYFUNCTION("""COMPUTED_VALUE"""),"Derek Mears")</f>
        <v>Derek Mears</v>
      </c>
      <c r="AE1446" s="11"/>
    </row>
    <row r="1447" customHeight="1" spans="1:31">
      <c r="A1447" s="12" t="s">
        <v>30</v>
      </c>
      <c r="B1447" s="12" t="s">
        <v>7440</v>
      </c>
      <c r="C1447" s="12">
        <v>46</v>
      </c>
      <c r="D1447" s="12">
        <v>95</v>
      </c>
      <c r="E1447" s="12">
        <v>19</v>
      </c>
      <c r="F1447" s="12">
        <v>447</v>
      </c>
      <c r="G1447" s="12">
        <v>1000</v>
      </c>
      <c r="H1447" s="12">
        <v>33422806</v>
      </c>
      <c r="I1447" s="12" t="s">
        <v>5420</v>
      </c>
      <c r="J1447" s="12" t="s">
        <v>138</v>
      </c>
      <c r="K1447" s="12" t="s">
        <v>2196</v>
      </c>
      <c r="L1447" s="12" t="s">
        <v>3924</v>
      </c>
      <c r="M1447" s="12" t="s">
        <v>7441</v>
      </c>
      <c r="N1447" s="12">
        <v>30771</v>
      </c>
      <c r="O1447" s="12">
        <v>2643</v>
      </c>
      <c r="P1447" s="12">
        <v>1</v>
      </c>
      <c r="Q1447" s="12" t="s">
        <v>7442</v>
      </c>
      <c r="R1447" s="15" t="s">
        <v>7443</v>
      </c>
      <c r="S1447" s="12">
        <v>164</v>
      </c>
      <c r="T1447" s="12" t="s">
        <v>39</v>
      </c>
      <c r="U1447" s="12" t="s">
        <v>40</v>
      </c>
      <c r="V1447" s="12" t="s">
        <v>41</v>
      </c>
      <c r="W1447" s="12">
        <v>50000000</v>
      </c>
      <c r="X1447" s="12">
        <v>2001</v>
      </c>
      <c r="Y1447" s="12">
        <v>691</v>
      </c>
      <c r="Z1447" s="12">
        <v>4.8</v>
      </c>
      <c r="AA1447" s="12">
        <v>2.35</v>
      </c>
      <c r="AB1447" s="12">
        <v>0</v>
      </c>
      <c r="AC1447" s="12"/>
      <c r="AD1447" s="12" t="str">
        <f>IFERROR(__xludf.DUMMYFUNCTION("""COMPUTED_VALUE"""),"Olivier Martinez")</f>
        <v>Olivier Martinez</v>
      </c>
      <c r="AE1447" s="12"/>
    </row>
    <row r="1448" customHeight="1" spans="1:31">
      <c r="A1448" s="11" t="s">
        <v>30</v>
      </c>
      <c r="B1448" s="11" t="s">
        <v>7444</v>
      </c>
      <c r="C1448" s="11">
        <v>40</v>
      </c>
      <c r="D1448" s="11">
        <v>102</v>
      </c>
      <c r="E1448" s="11">
        <v>23</v>
      </c>
      <c r="F1448" s="11">
        <v>57</v>
      </c>
      <c r="G1448" s="11">
        <v>288</v>
      </c>
      <c r="H1448" s="13"/>
      <c r="I1448" s="11" t="s">
        <v>7445</v>
      </c>
      <c r="J1448" s="11" t="s">
        <v>7446</v>
      </c>
      <c r="K1448" s="11" t="s">
        <v>7447</v>
      </c>
      <c r="L1448" s="11" t="s">
        <v>7448</v>
      </c>
      <c r="M1448" s="11" t="s">
        <v>7449</v>
      </c>
      <c r="N1448" s="11">
        <v>16323</v>
      </c>
      <c r="O1448" s="11">
        <v>677</v>
      </c>
      <c r="P1448" s="11">
        <v>1</v>
      </c>
      <c r="Q1448" s="11" t="s">
        <v>7450</v>
      </c>
      <c r="R1448" s="14" t="s">
        <v>7451</v>
      </c>
      <c r="S1448" s="11">
        <v>91</v>
      </c>
      <c r="T1448" s="11" t="s">
        <v>39</v>
      </c>
      <c r="U1448" s="11" t="s">
        <v>40</v>
      </c>
      <c r="V1448" s="11" t="s">
        <v>96</v>
      </c>
      <c r="W1448" s="13"/>
      <c r="X1448" s="11">
        <v>1976</v>
      </c>
      <c r="Y1448" s="11">
        <v>257</v>
      </c>
      <c r="Z1448" s="11">
        <v>7.3</v>
      </c>
      <c r="AA1448" s="11">
        <v>1.85</v>
      </c>
      <c r="AB1448" s="11">
        <v>0</v>
      </c>
      <c r="AC1448" s="11"/>
      <c r="AD1448" s="11" t="str">
        <f>IFERROR(__xludf.DUMMYFUNCTION("""COMPUTED_VALUE"""),"Erik Per Sullivan")</f>
        <v>Erik Per Sullivan</v>
      </c>
      <c r="AE1448" s="11"/>
    </row>
    <row r="1449" customHeight="1" spans="1:31">
      <c r="A1449" s="12" t="s">
        <v>30</v>
      </c>
      <c r="B1449" s="12" t="s">
        <v>7452</v>
      </c>
      <c r="C1449" s="12">
        <v>63</v>
      </c>
      <c r="D1449" s="12">
        <v>102</v>
      </c>
      <c r="E1449" s="12">
        <v>133</v>
      </c>
      <c r="F1449" s="12">
        <v>690</v>
      </c>
      <c r="G1449" s="12">
        <v>2000</v>
      </c>
      <c r="H1449" s="12">
        <v>33423521</v>
      </c>
      <c r="I1449" s="12" t="s">
        <v>1078</v>
      </c>
      <c r="J1449" s="12" t="s">
        <v>1084</v>
      </c>
      <c r="K1449" s="12" t="s">
        <v>7453</v>
      </c>
      <c r="L1449" s="12" t="s">
        <v>4886</v>
      </c>
      <c r="M1449" s="12" t="s">
        <v>7454</v>
      </c>
      <c r="N1449" s="12">
        <v>53115</v>
      </c>
      <c r="O1449" s="12">
        <v>5443</v>
      </c>
      <c r="P1449" s="12">
        <v>1</v>
      </c>
      <c r="Q1449" s="12" t="s">
        <v>7455</v>
      </c>
      <c r="R1449" s="15" t="s">
        <v>7456</v>
      </c>
      <c r="S1449" s="12">
        <v>282</v>
      </c>
      <c r="T1449" s="12" t="s">
        <v>39</v>
      </c>
      <c r="U1449" s="12" t="s">
        <v>678</v>
      </c>
      <c r="V1449" s="12" t="s">
        <v>41</v>
      </c>
      <c r="W1449" s="12">
        <v>35000000</v>
      </c>
      <c r="X1449" s="12">
        <v>1994</v>
      </c>
      <c r="Y1449" s="12">
        <v>1000</v>
      </c>
      <c r="Z1449" s="12">
        <v>3.8</v>
      </c>
      <c r="AA1449" s="12">
        <v>2.35</v>
      </c>
      <c r="AB1449" s="12">
        <v>0</v>
      </c>
      <c r="AC1449" s="12"/>
      <c r="AD1449" s="12" t="str">
        <f>IFERROR(__xludf.DUMMYFUNCTION("""COMPUTED_VALUE"""),"Chad Lowe")</f>
        <v>Chad Lowe</v>
      </c>
      <c r="AE1449" s="12"/>
    </row>
    <row r="1450" customHeight="1" spans="1:31">
      <c r="A1450" s="11" t="s">
        <v>748</v>
      </c>
      <c r="B1450" s="11" t="s">
        <v>3818</v>
      </c>
      <c r="C1450" s="11">
        <v>193</v>
      </c>
      <c r="D1450" s="11">
        <v>150</v>
      </c>
      <c r="E1450" s="11">
        <v>2000</v>
      </c>
      <c r="F1450" s="11">
        <v>95</v>
      </c>
      <c r="G1450" s="11">
        <v>396</v>
      </c>
      <c r="H1450" s="11">
        <v>32519322</v>
      </c>
      <c r="I1450" s="11" t="s">
        <v>7250</v>
      </c>
      <c r="J1450" s="11" t="s">
        <v>7457</v>
      </c>
      <c r="K1450" s="11" t="s">
        <v>7458</v>
      </c>
      <c r="L1450" s="11" t="s">
        <v>7459</v>
      </c>
      <c r="M1450" s="11" t="s">
        <v>7460</v>
      </c>
      <c r="N1450" s="11">
        <v>497946</v>
      </c>
      <c r="O1450" s="11">
        <v>1075</v>
      </c>
      <c r="P1450" s="11">
        <v>0</v>
      </c>
      <c r="Q1450" s="11" t="s">
        <v>7461</v>
      </c>
      <c r="R1450" s="14" t="s">
        <v>7462</v>
      </c>
      <c r="S1450" s="11">
        <v>761</v>
      </c>
      <c r="T1450" s="11" t="s">
        <v>39</v>
      </c>
      <c r="U1450" s="11" t="s">
        <v>1466</v>
      </c>
      <c r="V1450" s="11" t="s">
        <v>586</v>
      </c>
      <c r="W1450" s="11">
        <v>35000000</v>
      </c>
      <c r="X1450" s="11">
        <v>2002</v>
      </c>
      <c r="Y1450" s="11">
        <v>338</v>
      </c>
      <c r="Z1450" s="11">
        <v>8.5</v>
      </c>
      <c r="AA1450" s="11">
        <v>1.85</v>
      </c>
      <c r="AB1450" s="11">
        <v>21000</v>
      </c>
      <c r="AC1450" s="11"/>
      <c r="AD1450" s="11" t="str">
        <f>IFERROR(__xludf.DUMMYFUNCTION("""COMPUTED_VALUE"""),"Alex Pettyfer")</f>
        <v>Alex Pettyfer</v>
      </c>
      <c r="AE1450" s="11"/>
    </row>
    <row r="1451" customHeight="1" spans="1:31">
      <c r="A1451" s="12" t="s">
        <v>30</v>
      </c>
      <c r="B1451" s="12" t="s">
        <v>2653</v>
      </c>
      <c r="C1451" s="12">
        <v>208</v>
      </c>
      <c r="D1451" s="12">
        <v>122</v>
      </c>
      <c r="E1451" s="12">
        <v>117</v>
      </c>
      <c r="F1451" s="12">
        <v>140</v>
      </c>
      <c r="G1451" s="12">
        <v>40000</v>
      </c>
      <c r="H1451" s="12">
        <v>31598308</v>
      </c>
      <c r="I1451" s="12" t="s">
        <v>3030</v>
      </c>
      <c r="J1451" s="12" t="s">
        <v>44</v>
      </c>
      <c r="K1451" s="12" t="s">
        <v>688</v>
      </c>
      <c r="L1451" s="12" t="s">
        <v>5802</v>
      </c>
      <c r="M1451" s="12" t="s">
        <v>5803</v>
      </c>
      <c r="N1451" s="12">
        <v>124765</v>
      </c>
      <c r="O1451" s="12">
        <v>41636</v>
      </c>
      <c r="P1451" s="12">
        <v>1</v>
      </c>
      <c r="Q1451" s="12" t="s">
        <v>5804</v>
      </c>
      <c r="R1451" s="15" t="s">
        <v>5805</v>
      </c>
      <c r="S1451" s="12">
        <v>541</v>
      </c>
      <c r="T1451" s="12" t="s">
        <v>39</v>
      </c>
      <c r="U1451" s="12" t="s">
        <v>40</v>
      </c>
      <c r="V1451" s="12" t="s">
        <v>586</v>
      </c>
      <c r="W1451" s="12">
        <v>35000000</v>
      </c>
      <c r="X1451" s="12">
        <v>2001</v>
      </c>
      <c r="Y1451" s="12">
        <v>1000</v>
      </c>
      <c r="Z1451" s="12">
        <v>6.8</v>
      </c>
      <c r="AA1451" s="12">
        <v>2.35</v>
      </c>
      <c r="AB1451" s="12">
        <v>0</v>
      </c>
      <c r="AC1451" s="12"/>
      <c r="AD1451" s="12" t="str">
        <f>IFERROR(__xludf.DUMMYFUNCTION("""COMPUTED_VALUE"""),"Emily Wickersham")</f>
        <v>Emily Wickersham</v>
      </c>
      <c r="AE1451" s="12"/>
    </row>
    <row r="1452" customHeight="1" spans="1:31">
      <c r="A1452" s="11" t="s">
        <v>30</v>
      </c>
      <c r="B1452" s="11" t="s">
        <v>6149</v>
      </c>
      <c r="C1452" s="11">
        <v>122</v>
      </c>
      <c r="D1452" s="11">
        <v>101</v>
      </c>
      <c r="E1452" s="11">
        <v>308</v>
      </c>
      <c r="F1452" s="11">
        <v>206</v>
      </c>
      <c r="G1452" s="11">
        <v>446</v>
      </c>
      <c r="H1452" s="11">
        <v>37617947</v>
      </c>
      <c r="I1452" s="11" t="s">
        <v>5851</v>
      </c>
      <c r="J1452" s="11" t="s">
        <v>7463</v>
      </c>
      <c r="K1452" s="11" t="s">
        <v>7464</v>
      </c>
      <c r="L1452" s="11" t="s">
        <v>7465</v>
      </c>
      <c r="M1452" s="11" t="s">
        <v>7466</v>
      </c>
      <c r="N1452" s="11">
        <v>8143</v>
      </c>
      <c r="O1452" s="11">
        <v>966</v>
      </c>
      <c r="P1452" s="11">
        <v>0</v>
      </c>
      <c r="Q1452" s="11" t="s">
        <v>7467</v>
      </c>
      <c r="R1452" s="14" t="s">
        <v>7468</v>
      </c>
      <c r="S1452" s="11">
        <v>203</v>
      </c>
      <c r="T1452" s="11" t="s">
        <v>39</v>
      </c>
      <c r="U1452" s="11" t="s">
        <v>40</v>
      </c>
      <c r="V1452" s="11" t="s">
        <v>96</v>
      </c>
      <c r="W1452" s="11">
        <v>30000000</v>
      </c>
      <c r="X1452" s="11">
        <v>2006</v>
      </c>
      <c r="Y1452" s="11">
        <v>224</v>
      </c>
      <c r="Z1452" s="11">
        <v>6.8</v>
      </c>
      <c r="AA1452" s="11">
        <v>2.35</v>
      </c>
      <c r="AB1452" s="11">
        <v>0</v>
      </c>
      <c r="AC1452" s="11"/>
      <c r="AD1452" s="11" t="str">
        <f>IFERROR(__xludf.DUMMYFUNCTION("""COMPUTED_VALUE"""),"Reuben Langdon")</f>
        <v>Reuben Langdon</v>
      </c>
      <c r="AE1452" s="11"/>
    </row>
    <row r="1453" customHeight="1" spans="1:31">
      <c r="A1453" s="12" t="s">
        <v>30</v>
      </c>
      <c r="B1453" s="12" t="s">
        <v>5129</v>
      </c>
      <c r="C1453" s="12">
        <v>228</v>
      </c>
      <c r="D1453" s="12">
        <v>108</v>
      </c>
      <c r="E1453" s="12">
        <v>174</v>
      </c>
      <c r="F1453" s="12">
        <v>324</v>
      </c>
      <c r="G1453" s="12">
        <v>730</v>
      </c>
      <c r="H1453" s="12">
        <v>32048809</v>
      </c>
      <c r="I1453" s="12" t="s">
        <v>6403</v>
      </c>
      <c r="J1453" s="12" t="s">
        <v>5771</v>
      </c>
      <c r="K1453" s="12" t="s">
        <v>7469</v>
      </c>
      <c r="L1453" s="12" t="s">
        <v>7470</v>
      </c>
      <c r="M1453" s="12" t="s">
        <v>7471</v>
      </c>
      <c r="N1453" s="12">
        <v>94456</v>
      </c>
      <c r="O1453" s="12">
        <v>2178</v>
      </c>
      <c r="P1453" s="12">
        <v>0</v>
      </c>
      <c r="Q1453" s="12" t="s">
        <v>7472</v>
      </c>
      <c r="R1453" s="15" t="s">
        <v>7473</v>
      </c>
      <c r="S1453" s="12">
        <v>576</v>
      </c>
      <c r="T1453" s="12" t="s">
        <v>39</v>
      </c>
      <c r="U1453" s="12" t="s">
        <v>371</v>
      </c>
      <c r="V1453" s="12" t="s">
        <v>586</v>
      </c>
      <c r="W1453" s="12">
        <v>30000000</v>
      </c>
      <c r="X1453" s="12">
        <v>2005</v>
      </c>
      <c r="Y1453" s="12">
        <v>716</v>
      </c>
      <c r="Z1453" s="12">
        <v>5.3</v>
      </c>
      <c r="AA1453" s="12">
        <v>1.85</v>
      </c>
      <c r="AB1453" s="12">
        <v>0</v>
      </c>
      <c r="AC1453" s="12"/>
      <c r="AD1453" s="12" t="str">
        <f>IFERROR(__xludf.DUMMYFUNCTION("""COMPUTED_VALUE"""),"Amr Waked")</f>
        <v>Amr Waked</v>
      </c>
      <c r="AE1453" s="12"/>
    </row>
    <row r="1454" customHeight="1" spans="1:31">
      <c r="A1454" s="11" t="s">
        <v>30</v>
      </c>
      <c r="B1454" s="11" t="s">
        <v>3067</v>
      </c>
      <c r="C1454" s="11">
        <v>212</v>
      </c>
      <c r="D1454" s="11">
        <v>98</v>
      </c>
      <c r="E1454" s="11">
        <v>0</v>
      </c>
      <c r="F1454" s="11">
        <v>23</v>
      </c>
      <c r="G1454" s="11">
        <v>20000</v>
      </c>
      <c r="H1454" s="11">
        <v>33987757</v>
      </c>
      <c r="I1454" s="11" t="s">
        <v>214</v>
      </c>
      <c r="J1454" s="11" t="s">
        <v>842</v>
      </c>
      <c r="K1454" s="11" t="s">
        <v>1529</v>
      </c>
      <c r="L1454" s="11" t="s">
        <v>7474</v>
      </c>
      <c r="M1454" s="11" t="s">
        <v>7475</v>
      </c>
      <c r="N1454" s="11">
        <v>168314</v>
      </c>
      <c r="O1454" s="11">
        <v>28027</v>
      </c>
      <c r="P1454" s="11">
        <v>2</v>
      </c>
      <c r="Q1454" s="11" t="s">
        <v>7476</v>
      </c>
      <c r="R1454" s="14" t="s">
        <v>7477</v>
      </c>
      <c r="S1454" s="11">
        <v>903</v>
      </c>
      <c r="T1454" s="11" t="s">
        <v>39</v>
      </c>
      <c r="U1454" s="11" t="s">
        <v>40</v>
      </c>
      <c r="V1454" s="11" t="s">
        <v>586</v>
      </c>
      <c r="W1454" s="11">
        <v>27000000</v>
      </c>
      <c r="X1454" s="11">
        <v>2004</v>
      </c>
      <c r="Y1454" s="11">
        <v>8000</v>
      </c>
      <c r="Z1454" s="11">
        <v>7.3</v>
      </c>
      <c r="AA1454" s="11">
        <v>1.85</v>
      </c>
      <c r="AB1454" s="11">
        <v>12000</v>
      </c>
      <c r="AC1454" s="11"/>
      <c r="AD1454" s="11" t="str">
        <f>IFERROR(__xludf.DUMMYFUNCTION("""COMPUTED_VALUE"""),"Kayvan Novak")</f>
        <v>Kayvan Novak</v>
      </c>
      <c r="AE1454" s="11"/>
    </row>
    <row r="1455" customHeight="1" spans="1:31">
      <c r="A1455" s="12" t="s">
        <v>30</v>
      </c>
      <c r="B1455" s="12" t="s">
        <v>3695</v>
      </c>
      <c r="C1455" s="12">
        <v>392</v>
      </c>
      <c r="D1455" s="12">
        <v>137</v>
      </c>
      <c r="E1455" s="12">
        <v>16000</v>
      </c>
      <c r="F1455" s="12">
        <v>363</v>
      </c>
      <c r="G1455" s="12">
        <v>29000</v>
      </c>
      <c r="H1455" s="12">
        <v>37304950</v>
      </c>
      <c r="I1455" s="12" t="s">
        <v>1726</v>
      </c>
      <c r="J1455" s="12" t="s">
        <v>215</v>
      </c>
      <c r="K1455" s="12" t="s">
        <v>208</v>
      </c>
      <c r="L1455" s="12" t="s">
        <v>3609</v>
      </c>
      <c r="M1455" s="12" t="s">
        <v>7478</v>
      </c>
      <c r="N1455" s="12">
        <v>102728</v>
      </c>
      <c r="O1455" s="12">
        <v>36258</v>
      </c>
      <c r="P1455" s="12">
        <v>0</v>
      </c>
      <c r="Q1455" s="12" t="s">
        <v>7479</v>
      </c>
      <c r="R1455" s="15" t="s">
        <v>7480</v>
      </c>
      <c r="S1455" s="12">
        <v>279</v>
      </c>
      <c r="T1455" s="12" t="s">
        <v>39</v>
      </c>
      <c r="U1455" s="12" t="s">
        <v>40</v>
      </c>
      <c r="V1455" s="12" t="s">
        <v>586</v>
      </c>
      <c r="W1455" s="12">
        <v>35000000</v>
      </c>
      <c r="X1455" s="12">
        <v>2011</v>
      </c>
      <c r="Y1455" s="12">
        <v>6000</v>
      </c>
      <c r="Z1455" s="12">
        <v>6.6</v>
      </c>
      <c r="AA1455" s="12">
        <v>2.35</v>
      </c>
      <c r="AB1455" s="12">
        <v>16000</v>
      </c>
      <c r="AC1455" s="12"/>
      <c r="AD1455" s="12" t="str">
        <f>IFERROR(__xludf.DUMMYFUNCTION("""COMPUTED_VALUE"""),"James Badge Dale")</f>
        <v>James Badge Dale</v>
      </c>
      <c r="AE1455" s="12"/>
    </row>
    <row r="1456" customHeight="1" spans="1:31">
      <c r="A1456" s="11" t="s">
        <v>30</v>
      </c>
      <c r="B1456" s="11" t="s">
        <v>7481</v>
      </c>
      <c r="C1456" s="11">
        <v>208</v>
      </c>
      <c r="D1456" s="11">
        <v>112</v>
      </c>
      <c r="E1456" s="11">
        <v>192</v>
      </c>
      <c r="F1456" s="11">
        <v>844</v>
      </c>
      <c r="G1456" s="11">
        <v>1000</v>
      </c>
      <c r="H1456" s="11">
        <v>30691439</v>
      </c>
      <c r="I1456" s="11" t="s">
        <v>5104</v>
      </c>
      <c r="J1456" s="11" t="s">
        <v>688</v>
      </c>
      <c r="K1456" s="11" t="s">
        <v>2644</v>
      </c>
      <c r="L1456" s="11" t="s">
        <v>955</v>
      </c>
      <c r="M1456" s="11" t="s">
        <v>7482</v>
      </c>
      <c r="N1456" s="11">
        <v>86205</v>
      </c>
      <c r="O1456" s="11">
        <v>3185</v>
      </c>
      <c r="P1456" s="11">
        <v>0</v>
      </c>
      <c r="Q1456" s="11" t="s">
        <v>7483</v>
      </c>
      <c r="R1456" s="14" t="s">
        <v>7484</v>
      </c>
      <c r="S1456" s="11">
        <v>232</v>
      </c>
      <c r="T1456" s="11" t="s">
        <v>39</v>
      </c>
      <c r="U1456" s="11" t="s">
        <v>40</v>
      </c>
      <c r="V1456" s="11" t="s">
        <v>586</v>
      </c>
      <c r="W1456" s="11">
        <v>35000000</v>
      </c>
      <c r="X1456" s="11">
        <v>2008</v>
      </c>
      <c r="Y1456" s="11">
        <v>915</v>
      </c>
      <c r="Z1456" s="11">
        <v>6.2</v>
      </c>
      <c r="AA1456" s="11">
        <v>2.35</v>
      </c>
      <c r="AB1456" s="11">
        <v>5000</v>
      </c>
      <c r="AC1456" s="11"/>
      <c r="AD1456" s="11" t="str">
        <f>IFERROR(__xludf.DUMMYFUNCTION("""COMPUTED_VALUE"""),"David Costabile")</f>
        <v>David Costabile</v>
      </c>
      <c r="AE1456" s="11"/>
    </row>
    <row r="1457" customHeight="1" spans="1:31">
      <c r="A1457" s="12" t="s">
        <v>30</v>
      </c>
      <c r="B1457" s="12" t="s">
        <v>7485</v>
      </c>
      <c r="C1457" s="12">
        <v>137</v>
      </c>
      <c r="D1457" s="12">
        <v>101</v>
      </c>
      <c r="E1457" s="12">
        <v>48</v>
      </c>
      <c r="F1457" s="12">
        <v>531</v>
      </c>
      <c r="G1457" s="12">
        <v>775</v>
      </c>
      <c r="H1457" s="12">
        <v>30307804</v>
      </c>
      <c r="I1457" s="12" t="s">
        <v>5052</v>
      </c>
      <c r="J1457" s="12" t="s">
        <v>7486</v>
      </c>
      <c r="K1457" s="12" t="s">
        <v>3161</v>
      </c>
      <c r="L1457" s="12" t="s">
        <v>743</v>
      </c>
      <c r="M1457" s="12" t="s">
        <v>7487</v>
      </c>
      <c r="N1457" s="12">
        <v>43991</v>
      </c>
      <c r="O1457" s="12">
        <v>3001</v>
      </c>
      <c r="P1457" s="12">
        <v>2</v>
      </c>
      <c r="Q1457" s="12" t="s">
        <v>7488</v>
      </c>
      <c r="R1457" s="15" t="s">
        <v>7489</v>
      </c>
      <c r="S1457" s="12">
        <v>695</v>
      </c>
      <c r="T1457" s="12" t="s">
        <v>39</v>
      </c>
      <c r="U1457" s="12" t="s">
        <v>40</v>
      </c>
      <c r="V1457" s="12" t="s">
        <v>586</v>
      </c>
      <c r="W1457" s="12">
        <v>35000000</v>
      </c>
      <c r="X1457" s="12">
        <v>2002</v>
      </c>
      <c r="Y1457" s="12">
        <v>541</v>
      </c>
      <c r="Z1457" s="12">
        <v>5.2</v>
      </c>
      <c r="AA1457" s="12">
        <v>2.35</v>
      </c>
      <c r="AB1457" s="12">
        <v>0</v>
      </c>
      <c r="AC1457" s="12"/>
      <c r="AD1457" s="12" t="str">
        <f>IFERROR(__xludf.DUMMYFUNCTION("""COMPUTED_VALUE"""),"Ana de la Reguera")</f>
        <v>Ana de la Reguera</v>
      </c>
      <c r="AE1457" s="12"/>
    </row>
    <row r="1458" customHeight="1" spans="1:31">
      <c r="A1458" s="11" t="s">
        <v>30</v>
      </c>
      <c r="B1458" s="11" t="s">
        <v>2723</v>
      </c>
      <c r="C1458" s="11">
        <v>119</v>
      </c>
      <c r="D1458" s="11">
        <v>103</v>
      </c>
      <c r="E1458" s="11">
        <v>81</v>
      </c>
      <c r="F1458" s="11">
        <v>636</v>
      </c>
      <c r="G1458" s="11">
        <v>2000</v>
      </c>
      <c r="H1458" s="11">
        <v>30669413</v>
      </c>
      <c r="I1458" s="11" t="s">
        <v>4178</v>
      </c>
      <c r="J1458" s="11" t="s">
        <v>1523</v>
      </c>
      <c r="K1458" s="11" t="s">
        <v>6144</v>
      </c>
      <c r="L1458" s="11" t="s">
        <v>7490</v>
      </c>
      <c r="M1458" s="11" t="s">
        <v>7491</v>
      </c>
      <c r="N1458" s="11">
        <v>105478</v>
      </c>
      <c r="O1458" s="11">
        <v>4722</v>
      </c>
      <c r="P1458" s="11">
        <v>0</v>
      </c>
      <c r="Q1458" s="11" t="s">
        <v>7492</v>
      </c>
      <c r="R1458" s="14" t="s">
        <v>7493</v>
      </c>
      <c r="S1458" s="11">
        <v>291</v>
      </c>
      <c r="T1458" s="11" t="s">
        <v>39</v>
      </c>
      <c r="U1458" s="11" t="s">
        <v>40</v>
      </c>
      <c r="V1458" s="11" t="s">
        <v>586</v>
      </c>
      <c r="W1458" s="11">
        <v>35000000</v>
      </c>
      <c r="X1458" s="11">
        <v>1990</v>
      </c>
      <c r="Y1458" s="11">
        <v>683</v>
      </c>
      <c r="Z1458" s="11">
        <v>6.2</v>
      </c>
      <c r="AA1458" s="11">
        <v>1.37</v>
      </c>
      <c r="AB1458" s="11">
        <v>0</v>
      </c>
      <c r="AC1458" s="11"/>
      <c r="AD1458" s="11" t="str">
        <f>IFERROR(__xludf.DUMMYFUNCTION("""COMPUTED_VALUE"""),"Mary Lynn Rajskub")</f>
        <v>Mary Lynn Rajskub</v>
      </c>
      <c r="AE1458" s="11"/>
    </row>
    <row r="1459" customHeight="1" spans="1:31">
      <c r="A1459" s="12" t="s">
        <v>30</v>
      </c>
      <c r="B1459" s="12" t="s">
        <v>3471</v>
      </c>
      <c r="C1459" s="12">
        <v>195</v>
      </c>
      <c r="D1459" s="12">
        <v>101</v>
      </c>
      <c r="E1459" s="12">
        <v>40</v>
      </c>
      <c r="F1459" s="12">
        <v>398</v>
      </c>
      <c r="G1459" s="12">
        <v>2000</v>
      </c>
      <c r="H1459" s="12">
        <v>28687835</v>
      </c>
      <c r="I1459" s="12" t="s">
        <v>2126</v>
      </c>
      <c r="J1459" s="12" t="s">
        <v>4055</v>
      </c>
      <c r="K1459" s="12" t="s">
        <v>7494</v>
      </c>
      <c r="L1459" s="12" t="s">
        <v>7495</v>
      </c>
      <c r="M1459" s="12" t="s">
        <v>7496</v>
      </c>
      <c r="N1459" s="12">
        <v>40964</v>
      </c>
      <c r="O1459" s="12">
        <v>3612</v>
      </c>
      <c r="P1459" s="12">
        <v>1</v>
      </c>
      <c r="Q1459" s="12" t="s">
        <v>7497</v>
      </c>
      <c r="R1459" s="15" t="s">
        <v>7498</v>
      </c>
      <c r="S1459" s="12">
        <v>245</v>
      </c>
      <c r="T1459" s="12" t="s">
        <v>39</v>
      </c>
      <c r="U1459" s="12" t="s">
        <v>40</v>
      </c>
      <c r="V1459" s="12" t="s">
        <v>586</v>
      </c>
      <c r="W1459" s="12">
        <v>35000000</v>
      </c>
      <c r="X1459" s="12">
        <v>2008</v>
      </c>
      <c r="Y1459" s="12">
        <v>648</v>
      </c>
      <c r="Z1459" s="12">
        <v>6.2</v>
      </c>
      <c r="AA1459" s="12">
        <v>2.35</v>
      </c>
      <c r="AB1459" s="12">
        <v>0</v>
      </c>
      <c r="AC1459" s="12"/>
      <c r="AD1459" s="12" t="str">
        <f>IFERROR(__xludf.DUMMYFUNCTION("""COMPUTED_VALUE"""),"Charles Martinet")</f>
        <v>Charles Martinet</v>
      </c>
      <c r="AE1459" s="12"/>
    </row>
    <row r="1460" customHeight="1" spans="1:31">
      <c r="A1460" s="11" t="s">
        <v>30</v>
      </c>
      <c r="B1460" s="11" t="s">
        <v>7499</v>
      </c>
      <c r="C1460" s="11">
        <v>95</v>
      </c>
      <c r="D1460" s="11">
        <v>112</v>
      </c>
      <c r="E1460" s="11">
        <v>37</v>
      </c>
      <c r="F1460" s="11">
        <v>480</v>
      </c>
      <c r="G1460" s="11">
        <v>3000</v>
      </c>
      <c r="H1460" s="11">
        <v>26494611</v>
      </c>
      <c r="I1460" s="11" t="s">
        <v>7500</v>
      </c>
      <c r="J1460" s="11" t="s">
        <v>503</v>
      </c>
      <c r="K1460" s="11" t="s">
        <v>5105</v>
      </c>
      <c r="L1460" s="11" t="s">
        <v>7501</v>
      </c>
      <c r="M1460" s="11" t="s">
        <v>7502</v>
      </c>
      <c r="N1460" s="11">
        <v>48621</v>
      </c>
      <c r="O1460" s="11">
        <v>5709</v>
      </c>
      <c r="P1460" s="11">
        <v>0</v>
      </c>
      <c r="Q1460" s="11" t="s">
        <v>7503</v>
      </c>
      <c r="R1460" s="14" t="s">
        <v>7504</v>
      </c>
      <c r="S1460" s="11">
        <v>239</v>
      </c>
      <c r="T1460" s="11" t="s">
        <v>39</v>
      </c>
      <c r="U1460" s="11" t="s">
        <v>40</v>
      </c>
      <c r="V1460" s="11" t="s">
        <v>41</v>
      </c>
      <c r="W1460" s="11">
        <v>35000000</v>
      </c>
      <c r="X1460" s="11">
        <v>1999</v>
      </c>
      <c r="Y1460" s="11">
        <v>874</v>
      </c>
      <c r="Z1460" s="11">
        <v>6.6</v>
      </c>
      <c r="AA1460" s="11">
        <v>2.35</v>
      </c>
      <c r="AB1460" s="11">
        <v>0</v>
      </c>
      <c r="AC1460" s="11"/>
      <c r="AD1460" s="11" t="str">
        <f>IFERROR(__xludf.DUMMYFUNCTION("""COMPUTED_VALUE"""),"Alice Krige")</f>
        <v>Alice Krige</v>
      </c>
      <c r="AE1460" s="11"/>
    </row>
    <row r="1461" customHeight="1" spans="1:31">
      <c r="A1461" s="12" t="s">
        <v>30</v>
      </c>
      <c r="B1461" s="12" t="s">
        <v>7505</v>
      </c>
      <c r="C1461" s="12">
        <v>100</v>
      </c>
      <c r="D1461" s="12">
        <v>111</v>
      </c>
      <c r="E1461" s="12">
        <v>24</v>
      </c>
      <c r="F1461" s="12">
        <v>455</v>
      </c>
      <c r="G1461" s="12">
        <v>591</v>
      </c>
      <c r="H1461" s="16"/>
      <c r="I1461" s="12" t="s">
        <v>73</v>
      </c>
      <c r="J1461" s="12" t="s">
        <v>764</v>
      </c>
      <c r="K1461" s="12" t="s">
        <v>7246</v>
      </c>
      <c r="L1461" s="12" t="s">
        <v>7506</v>
      </c>
      <c r="M1461" s="12" t="s">
        <v>7507</v>
      </c>
      <c r="N1461" s="12">
        <v>38017</v>
      </c>
      <c r="O1461" s="12">
        <v>2603</v>
      </c>
      <c r="P1461" s="12">
        <v>1</v>
      </c>
      <c r="Q1461" s="12" t="s">
        <v>7508</v>
      </c>
      <c r="R1461" s="15" t="s">
        <v>7509</v>
      </c>
      <c r="S1461" s="12">
        <v>247</v>
      </c>
      <c r="T1461" s="12" t="s">
        <v>39</v>
      </c>
      <c r="U1461" s="12" t="s">
        <v>58</v>
      </c>
      <c r="V1461" s="12" t="s">
        <v>96</v>
      </c>
      <c r="W1461" s="12">
        <v>20000000</v>
      </c>
      <c r="X1461" s="12">
        <v>1980</v>
      </c>
      <c r="Y1461" s="12">
        <v>488</v>
      </c>
      <c r="Z1461" s="12">
        <v>6.4</v>
      </c>
      <c r="AA1461" s="12">
        <v>2.35</v>
      </c>
      <c r="AB1461" s="12">
        <v>12000</v>
      </c>
      <c r="AC1461" s="12"/>
      <c r="AD1461" s="12" t="str">
        <f>IFERROR(__xludf.DUMMYFUNCTION("""COMPUTED_VALUE"""),"Faizon Love")</f>
        <v>Faizon Love</v>
      </c>
      <c r="AE1461" s="12"/>
    </row>
    <row r="1462" customHeight="1" spans="1:31">
      <c r="A1462" s="11" t="s">
        <v>30</v>
      </c>
      <c r="B1462" s="11" t="s">
        <v>7135</v>
      </c>
      <c r="C1462" s="11">
        <v>164</v>
      </c>
      <c r="D1462" s="11">
        <v>102</v>
      </c>
      <c r="E1462" s="11">
        <v>0</v>
      </c>
      <c r="F1462" s="11">
        <v>769</v>
      </c>
      <c r="G1462" s="11">
        <v>939</v>
      </c>
      <c r="H1462" s="11">
        <v>25266129</v>
      </c>
      <c r="I1462" s="11" t="s">
        <v>1415</v>
      </c>
      <c r="J1462" s="11" t="s">
        <v>1147</v>
      </c>
      <c r="K1462" s="11" t="s">
        <v>3197</v>
      </c>
      <c r="L1462" s="11" t="s">
        <v>3300</v>
      </c>
      <c r="M1462" s="11" t="s">
        <v>7510</v>
      </c>
      <c r="N1462" s="11">
        <v>54346</v>
      </c>
      <c r="O1462" s="11">
        <v>3592</v>
      </c>
      <c r="P1462" s="11">
        <v>5</v>
      </c>
      <c r="Q1462" s="11" t="s">
        <v>7511</v>
      </c>
      <c r="R1462" s="14" t="s">
        <v>7512</v>
      </c>
      <c r="S1462" s="11">
        <v>358</v>
      </c>
      <c r="T1462" s="11" t="s">
        <v>39</v>
      </c>
      <c r="U1462" s="11" t="s">
        <v>40</v>
      </c>
      <c r="V1462" s="11" t="s">
        <v>41</v>
      </c>
      <c r="W1462" s="11">
        <v>35000000</v>
      </c>
      <c r="X1462" s="11">
        <v>2004</v>
      </c>
      <c r="Y1462" s="11">
        <v>854</v>
      </c>
      <c r="Z1462" s="11">
        <v>6.2</v>
      </c>
      <c r="AA1462" s="11">
        <v>2.35</v>
      </c>
      <c r="AB1462" s="11">
        <v>0</v>
      </c>
      <c r="AC1462" s="11"/>
      <c r="AD1462" s="11" t="str">
        <f>IFERROR(__xludf.DUMMYFUNCTION("""COMPUTED_VALUE"""),"Dania Ramirez")</f>
        <v>Dania Ramirez</v>
      </c>
      <c r="AE1462" s="11"/>
    </row>
    <row r="1463" customHeight="1" spans="1:31">
      <c r="A1463" s="12" t="s">
        <v>30</v>
      </c>
      <c r="B1463" s="12" t="s">
        <v>500</v>
      </c>
      <c r="C1463" s="12">
        <v>211</v>
      </c>
      <c r="D1463" s="12">
        <v>101</v>
      </c>
      <c r="E1463" s="12">
        <v>357</v>
      </c>
      <c r="F1463" s="12">
        <v>374</v>
      </c>
      <c r="G1463" s="12">
        <v>907</v>
      </c>
      <c r="H1463" s="12">
        <v>25863915</v>
      </c>
      <c r="I1463" s="12" t="s">
        <v>1200</v>
      </c>
      <c r="J1463" s="12" t="s">
        <v>7513</v>
      </c>
      <c r="K1463" s="12" t="s">
        <v>1019</v>
      </c>
      <c r="L1463" s="12" t="s">
        <v>7514</v>
      </c>
      <c r="M1463" s="12" t="s">
        <v>7515</v>
      </c>
      <c r="N1463" s="12">
        <v>28257</v>
      </c>
      <c r="O1463" s="12">
        <v>2471</v>
      </c>
      <c r="P1463" s="12">
        <v>0</v>
      </c>
      <c r="Q1463" s="12" t="s">
        <v>7516</v>
      </c>
      <c r="R1463" s="15" t="s">
        <v>7517</v>
      </c>
      <c r="S1463" s="12">
        <v>151</v>
      </c>
      <c r="T1463" s="12" t="s">
        <v>39</v>
      </c>
      <c r="U1463" s="12" t="s">
        <v>40</v>
      </c>
      <c r="V1463" s="12" t="s">
        <v>41</v>
      </c>
      <c r="W1463" s="12">
        <v>35000000</v>
      </c>
      <c r="X1463" s="12">
        <v>2012</v>
      </c>
      <c r="Y1463" s="12">
        <v>445</v>
      </c>
      <c r="Z1463" s="12">
        <v>5.1</v>
      </c>
      <c r="AA1463" s="12">
        <v>2.35</v>
      </c>
      <c r="AB1463" s="12">
        <v>11000</v>
      </c>
      <c r="AC1463" s="12"/>
      <c r="AD1463" s="12" t="str">
        <f>IFERROR(__xludf.DUMMYFUNCTION("""COMPUTED_VALUE"""),"Michael Cudlitz")</f>
        <v>Michael Cudlitz</v>
      </c>
      <c r="AE1463" s="12"/>
    </row>
    <row r="1464" customHeight="1" spans="1:31">
      <c r="A1464" s="11" t="s">
        <v>30</v>
      </c>
      <c r="B1464" s="11" t="s">
        <v>3695</v>
      </c>
      <c r="C1464" s="11">
        <v>91</v>
      </c>
      <c r="D1464" s="11">
        <v>155</v>
      </c>
      <c r="E1464" s="11">
        <v>16000</v>
      </c>
      <c r="F1464" s="11">
        <v>229</v>
      </c>
      <c r="G1464" s="11">
        <v>18000</v>
      </c>
      <c r="H1464" s="11">
        <v>25078937</v>
      </c>
      <c r="I1464" s="11" t="s">
        <v>2142</v>
      </c>
      <c r="J1464" s="11" t="s">
        <v>120</v>
      </c>
      <c r="K1464" s="11" t="s">
        <v>1348</v>
      </c>
      <c r="L1464" s="11" t="s">
        <v>7518</v>
      </c>
      <c r="M1464" s="11" t="s">
        <v>7519</v>
      </c>
      <c r="N1464" s="11">
        <v>31751</v>
      </c>
      <c r="O1464" s="11">
        <v>19689</v>
      </c>
      <c r="P1464" s="11">
        <v>2</v>
      </c>
      <c r="Q1464" s="11" t="s">
        <v>7520</v>
      </c>
      <c r="R1464" s="14" t="s">
        <v>7521</v>
      </c>
      <c r="S1464" s="11">
        <v>216</v>
      </c>
      <c r="T1464" s="11" t="s">
        <v>39</v>
      </c>
      <c r="U1464" s="11" t="s">
        <v>40</v>
      </c>
      <c r="V1464" s="11" t="s">
        <v>586</v>
      </c>
      <c r="W1464" s="11">
        <v>30000000</v>
      </c>
      <c r="X1464" s="11">
        <v>1997</v>
      </c>
      <c r="Y1464" s="11">
        <v>461</v>
      </c>
      <c r="Z1464" s="11">
        <v>6.6</v>
      </c>
      <c r="AA1464" s="11">
        <v>1.85</v>
      </c>
      <c r="AB1464" s="11">
        <v>0</v>
      </c>
      <c r="AC1464" s="11"/>
      <c r="AD1464" s="11" t="str">
        <f>IFERROR(__xludf.DUMMYFUNCTION("""COMPUTED_VALUE"""),"Alycia Debnam-Carey")</f>
        <v>Alycia Debnam-Carey</v>
      </c>
      <c r="AE1464" s="11"/>
    </row>
    <row r="1465" customHeight="1" spans="1:31">
      <c r="A1465" s="12" t="s">
        <v>30</v>
      </c>
      <c r="B1465" s="12" t="s">
        <v>7522</v>
      </c>
      <c r="C1465" s="12">
        <v>44</v>
      </c>
      <c r="D1465" s="12">
        <v>93</v>
      </c>
      <c r="E1465" s="12">
        <v>8</v>
      </c>
      <c r="F1465" s="12">
        <v>558</v>
      </c>
      <c r="G1465" s="12">
        <v>22000</v>
      </c>
      <c r="H1465" s="16"/>
      <c r="I1465" s="12" t="s">
        <v>334</v>
      </c>
      <c r="J1465" s="12" t="s">
        <v>1746</v>
      </c>
      <c r="K1465" s="12" t="s">
        <v>2170</v>
      </c>
      <c r="L1465" s="12" t="s">
        <v>1233</v>
      </c>
      <c r="M1465" s="12" t="s">
        <v>7523</v>
      </c>
      <c r="N1465" s="12">
        <v>16193</v>
      </c>
      <c r="O1465" s="12">
        <v>24154</v>
      </c>
      <c r="P1465" s="12">
        <v>1</v>
      </c>
      <c r="Q1465" s="12" t="s">
        <v>7524</v>
      </c>
      <c r="R1465" s="15" t="s">
        <v>7525</v>
      </c>
      <c r="S1465" s="12">
        <v>57</v>
      </c>
      <c r="T1465" s="12" t="s">
        <v>39</v>
      </c>
      <c r="U1465" s="12" t="s">
        <v>40</v>
      </c>
      <c r="V1465" s="12" t="s">
        <v>586</v>
      </c>
      <c r="W1465" s="12">
        <v>19000000</v>
      </c>
      <c r="X1465" s="12">
        <v>2015</v>
      </c>
      <c r="Y1465" s="12">
        <v>1000</v>
      </c>
      <c r="Z1465" s="12">
        <v>6.1</v>
      </c>
      <c r="AA1465" s="12">
        <v>2.35</v>
      </c>
      <c r="AB1465" s="12">
        <v>0</v>
      </c>
      <c r="AC1465" s="12"/>
      <c r="AD1465" s="12" t="str">
        <f>IFERROR(__xludf.DUMMYFUNCTION("""COMPUTED_VALUE"""),"Scott Lawrence")</f>
        <v>Scott Lawrence</v>
      </c>
      <c r="AE1465" s="12"/>
    </row>
    <row r="1466" customHeight="1" spans="1:31">
      <c r="A1466" s="11" t="s">
        <v>30</v>
      </c>
      <c r="B1466" s="11" t="s">
        <v>7526</v>
      </c>
      <c r="C1466" s="11">
        <v>97</v>
      </c>
      <c r="D1466" s="11">
        <v>109</v>
      </c>
      <c r="E1466" s="11">
        <v>24</v>
      </c>
      <c r="F1466" s="11">
        <v>167</v>
      </c>
      <c r="G1466" s="11">
        <v>287</v>
      </c>
      <c r="H1466" s="11">
        <v>28995450</v>
      </c>
      <c r="I1466" s="11" t="s">
        <v>516</v>
      </c>
      <c r="J1466" s="11" t="s">
        <v>6048</v>
      </c>
      <c r="K1466" s="11" t="s">
        <v>7527</v>
      </c>
      <c r="L1466" s="11" t="s">
        <v>7528</v>
      </c>
      <c r="M1466" s="11" t="s">
        <v>7529</v>
      </c>
      <c r="N1466" s="11">
        <v>19230</v>
      </c>
      <c r="O1466" s="11">
        <v>855</v>
      </c>
      <c r="P1466" s="11">
        <v>5</v>
      </c>
      <c r="Q1466" s="11" t="s">
        <v>7530</v>
      </c>
      <c r="R1466" s="14" t="s">
        <v>7531</v>
      </c>
      <c r="S1466" s="11">
        <v>59</v>
      </c>
      <c r="T1466" s="11" t="s">
        <v>39</v>
      </c>
      <c r="U1466" s="11" t="s">
        <v>58</v>
      </c>
      <c r="V1466" s="11" t="s">
        <v>96</v>
      </c>
      <c r="W1466" s="11">
        <v>35000000</v>
      </c>
      <c r="X1466" s="11">
        <v>2010</v>
      </c>
      <c r="Y1466" s="11">
        <v>175</v>
      </c>
      <c r="Z1466" s="11">
        <v>6.1</v>
      </c>
      <c r="AA1466" s="11">
        <v>2.35</v>
      </c>
      <c r="AB1466" s="11">
        <v>0</v>
      </c>
      <c r="AC1466" s="11"/>
      <c r="AD1466" s="11" t="str">
        <f>IFERROR(__xludf.DUMMYFUNCTION("""COMPUTED_VALUE"""),"Jon Tenney")</f>
        <v>Jon Tenney</v>
      </c>
      <c r="AE1466" s="11"/>
    </row>
    <row r="1467" customHeight="1" spans="1:31">
      <c r="A1467" s="12" t="s">
        <v>30</v>
      </c>
      <c r="B1467" s="12" t="s">
        <v>5470</v>
      </c>
      <c r="C1467" s="12">
        <v>32</v>
      </c>
      <c r="D1467" s="12">
        <v>140</v>
      </c>
      <c r="E1467" s="12">
        <v>0</v>
      </c>
      <c r="F1467" s="12">
        <v>210</v>
      </c>
      <c r="G1467" s="12">
        <v>436</v>
      </c>
      <c r="H1467" s="12">
        <v>24276500</v>
      </c>
      <c r="I1467" s="12" t="s">
        <v>1726</v>
      </c>
      <c r="J1467" s="12" t="s">
        <v>7532</v>
      </c>
      <c r="K1467" s="12" t="s">
        <v>4681</v>
      </c>
      <c r="L1467" s="12" t="s">
        <v>3763</v>
      </c>
      <c r="M1467" s="12" t="s">
        <v>7533</v>
      </c>
      <c r="N1467" s="12">
        <v>17124</v>
      </c>
      <c r="O1467" s="12">
        <v>1394</v>
      </c>
      <c r="P1467" s="12">
        <v>2</v>
      </c>
      <c r="Q1467" s="12" t="s">
        <v>7534</v>
      </c>
      <c r="R1467" s="15" t="s">
        <v>7535</v>
      </c>
      <c r="S1467" s="12">
        <v>68</v>
      </c>
      <c r="T1467" s="12" t="s">
        <v>39</v>
      </c>
      <c r="U1467" s="12" t="s">
        <v>40</v>
      </c>
      <c r="V1467" s="12" t="s">
        <v>586</v>
      </c>
      <c r="W1467" s="12">
        <v>35000000</v>
      </c>
      <c r="X1467" s="12">
        <v>1992</v>
      </c>
      <c r="Y1467" s="12">
        <v>263</v>
      </c>
      <c r="Z1467" s="12">
        <v>6.6</v>
      </c>
      <c r="AA1467" s="12">
        <v>2.35</v>
      </c>
      <c r="AB1467" s="12">
        <v>949</v>
      </c>
      <c r="AC1467" s="12"/>
      <c r="AD1467" s="12" t="str">
        <f>IFERROR(__xludf.DUMMYFUNCTION("""COMPUTED_VALUE"""),"Gilbert R. Hill")</f>
        <v>Gilbert R. Hill</v>
      </c>
      <c r="AE1467" s="12"/>
    </row>
    <row r="1468" customHeight="1" spans="1:31">
      <c r="A1468" s="11" t="s">
        <v>30</v>
      </c>
      <c r="B1468" s="11" t="s">
        <v>7536</v>
      </c>
      <c r="C1468" s="11">
        <v>270</v>
      </c>
      <c r="D1468" s="11">
        <v>108</v>
      </c>
      <c r="E1468" s="11">
        <v>251</v>
      </c>
      <c r="F1468" s="11">
        <v>296</v>
      </c>
      <c r="G1468" s="11">
        <v>826</v>
      </c>
      <c r="H1468" s="11">
        <v>20981633</v>
      </c>
      <c r="I1468" s="11" t="s">
        <v>2202</v>
      </c>
      <c r="J1468" s="11" t="s">
        <v>3615</v>
      </c>
      <c r="K1468" s="11" t="s">
        <v>731</v>
      </c>
      <c r="L1468" s="11" t="s">
        <v>7537</v>
      </c>
      <c r="M1468" s="11" t="s">
        <v>7538</v>
      </c>
      <c r="N1468" s="11">
        <v>78256</v>
      </c>
      <c r="O1468" s="11">
        <v>2351</v>
      </c>
      <c r="P1468" s="11">
        <v>0</v>
      </c>
      <c r="Q1468" s="11" t="s">
        <v>7539</v>
      </c>
      <c r="R1468" s="14" t="s">
        <v>7540</v>
      </c>
      <c r="S1468" s="11">
        <v>492</v>
      </c>
      <c r="T1468" s="11" t="s">
        <v>39</v>
      </c>
      <c r="U1468" s="11" t="s">
        <v>40</v>
      </c>
      <c r="V1468" s="11" t="s">
        <v>41</v>
      </c>
      <c r="W1468" s="11">
        <v>30000000</v>
      </c>
      <c r="X1468" s="11">
        <v>2008</v>
      </c>
      <c r="Y1468" s="11">
        <v>716</v>
      </c>
      <c r="Z1468" s="11">
        <v>5.9</v>
      </c>
      <c r="AA1468" s="11">
        <v>2.35</v>
      </c>
      <c r="AB1468" s="11">
        <v>0</v>
      </c>
      <c r="AC1468" s="11"/>
      <c r="AD1468" s="11" t="str">
        <f>IFERROR(__xludf.DUMMYFUNCTION("""COMPUTED_VALUE"""),"Robert Picardo")</f>
        <v>Robert Picardo</v>
      </c>
      <c r="AE1468" s="11"/>
    </row>
    <row r="1469" customHeight="1" spans="1:31">
      <c r="A1469" s="12" t="s">
        <v>30</v>
      </c>
      <c r="B1469" s="12" t="s">
        <v>7541</v>
      </c>
      <c r="C1469" s="12">
        <v>89</v>
      </c>
      <c r="D1469" s="12">
        <v>96</v>
      </c>
      <c r="E1469" s="12">
        <v>13</v>
      </c>
      <c r="F1469" s="12">
        <v>973</v>
      </c>
      <c r="G1469" s="12">
        <v>11000</v>
      </c>
      <c r="H1469" s="12">
        <v>22913677</v>
      </c>
      <c r="I1469" s="12" t="s">
        <v>2614</v>
      </c>
      <c r="J1469" s="12" t="s">
        <v>257</v>
      </c>
      <c r="K1469" s="12" t="s">
        <v>813</v>
      </c>
      <c r="L1469" s="12" t="s">
        <v>7542</v>
      </c>
      <c r="M1469" s="12" t="s">
        <v>7543</v>
      </c>
      <c r="N1469" s="12">
        <v>47800</v>
      </c>
      <c r="O1469" s="12">
        <v>17292</v>
      </c>
      <c r="P1469" s="12">
        <v>1</v>
      </c>
      <c r="Q1469" s="12" t="s">
        <v>7544</v>
      </c>
      <c r="R1469" s="15" t="s">
        <v>7545</v>
      </c>
      <c r="S1469" s="12">
        <v>244</v>
      </c>
      <c r="T1469" s="12" t="s">
        <v>39</v>
      </c>
      <c r="U1469" s="12" t="s">
        <v>40</v>
      </c>
      <c r="V1469" s="12" t="s">
        <v>96</v>
      </c>
      <c r="W1469" s="12">
        <v>35000000</v>
      </c>
      <c r="X1469" s="12">
        <v>2004</v>
      </c>
      <c r="Y1469" s="12">
        <v>1000</v>
      </c>
      <c r="Z1469" s="12">
        <v>6.3</v>
      </c>
      <c r="AA1469" s="12">
        <v>1.85</v>
      </c>
      <c r="AB1469" s="12">
        <v>0</v>
      </c>
      <c r="AC1469" s="12"/>
      <c r="AD1469" s="12" t="str">
        <f>IFERROR(__xludf.DUMMYFUNCTION("""COMPUTED_VALUE"""),"Phoebe Cates")</f>
        <v>Phoebe Cates</v>
      </c>
      <c r="AE1469" s="12"/>
    </row>
    <row r="1470" customHeight="1" spans="1:31">
      <c r="A1470" s="11" t="s">
        <v>30</v>
      </c>
      <c r="B1470" s="11" t="s">
        <v>7546</v>
      </c>
      <c r="C1470" s="11">
        <v>219</v>
      </c>
      <c r="D1470" s="11">
        <v>123</v>
      </c>
      <c r="E1470" s="11">
        <v>15</v>
      </c>
      <c r="F1470" s="11">
        <v>745</v>
      </c>
      <c r="G1470" s="11">
        <v>10000</v>
      </c>
      <c r="H1470" s="11">
        <v>34531832</v>
      </c>
      <c r="I1470" s="11" t="s">
        <v>1635</v>
      </c>
      <c r="J1470" s="11" t="s">
        <v>166</v>
      </c>
      <c r="K1470" s="11" t="s">
        <v>359</v>
      </c>
      <c r="L1470" s="11" t="s">
        <v>2968</v>
      </c>
      <c r="M1470" s="11" t="s">
        <v>7547</v>
      </c>
      <c r="N1470" s="11">
        <v>44788</v>
      </c>
      <c r="O1470" s="11">
        <v>13371</v>
      </c>
      <c r="P1470" s="11">
        <v>0</v>
      </c>
      <c r="Q1470" s="11" t="s">
        <v>7548</v>
      </c>
      <c r="R1470" s="14" t="s">
        <v>7549</v>
      </c>
      <c r="S1470" s="11">
        <v>138</v>
      </c>
      <c r="T1470" s="11" t="s">
        <v>39</v>
      </c>
      <c r="U1470" s="11" t="s">
        <v>58</v>
      </c>
      <c r="V1470" s="11" t="s">
        <v>41</v>
      </c>
      <c r="W1470" s="11">
        <v>35000000</v>
      </c>
      <c r="X1470" s="11">
        <v>2015</v>
      </c>
      <c r="Y1470" s="11">
        <v>979</v>
      </c>
      <c r="Z1470" s="11">
        <v>7.1</v>
      </c>
      <c r="AA1470" s="11">
        <v>2.35</v>
      </c>
      <c r="AB1470" s="11">
        <v>23000</v>
      </c>
      <c r="AC1470" s="11"/>
      <c r="AD1470" s="11" t="str">
        <f>IFERROR(__xludf.DUMMYFUNCTION("""COMPUTED_VALUE"""),"Marcel Iures")</f>
        <v>Marcel Iures</v>
      </c>
      <c r="AE1470" s="11"/>
    </row>
    <row r="1471" customHeight="1" spans="1:31">
      <c r="A1471" s="12" t="s">
        <v>30</v>
      </c>
      <c r="B1471" s="12" t="s">
        <v>2944</v>
      </c>
      <c r="C1471" s="12">
        <v>180</v>
      </c>
      <c r="D1471" s="12">
        <v>106</v>
      </c>
      <c r="E1471" s="12">
        <v>309</v>
      </c>
      <c r="F1471" s="12">
        <v>63</v>
      </c>
      <c r="G1471" s="12">
        <v>327</v>
      </c>
      <c r="H1471" s="12">
        <v>28064226</v>
      </c>
      <c r="I1471" s="12" t="s">
        <v>1157</v>
      </c>
      <c r="J1471" s="12" t="s">
        <v>7550</v>
      </c>
      <c r="K1471" s="12" t="s">
        <v>7551</v>
      </c>
      <c r="L1471" s="12" t="s">
        <v>7552</v>
      </c>
      <c r="M1471" s="12" t="s">
        <v>7553</v>
      </c>
      <c r="N1471" s="12">
        <v>65044</v>
      </c>
      <c r="O1471" s="12">
        <v>561</v>
      </c>
      <c r="P1471" s="12">
        <v>1</v>
      </c>
      <c r="Q1471" s="12" t="s">
        <v>7554</v>
      </c>
      <c r="R1471" s="15" t="s">
        <v>7555</v>
      </c>
      <c r="S1471" s="12">
        <v>173</v>
      </c>
      <c r="T1471" s="12" t="s">
        <v>39</v>
      </c>
      <c r="U1471" s="12" t="s">
        <v>40</v>
      </c>
      <c r="V1471" s="12" t="s">
        <v>41</v>
      </c>
      <c r="W1471" s="12">
        <v>35000000</v>
      </c>
      <c r="X1471" s="12">
        <v>2011</v>
      </c>
      <c r="Y1471" s="12">
        <v>73</v>
      </c>
      <c r="Z1471" s="12">
        <v>5</v>
      </c>
      <c r="AA1471" s="12">
        <v>2.35</v>
      </c>
      <c r="AB1471" s="12">
        <v>13000</v>
      </c>
      <c r="AC1471" s="12"/>
      <c r="AD1471" s="12" t="str">
        <f>IFERROR(__xludf.DUMMYFUNCTION("""COMPUTED_VALUE"""),"Mike Epps")</f>
        <v>Mike Epps</v>
      </c>
      <c r="AE1471" s="12"/>
    </row>
    <row r="1472" customHeight="1" spans="1:31">
      <c r="A1472" s="11" t="s">
        <v>30</v>
      </c>
      <c r="B1472" s="11" t="s">
        <v>7556</v>
      </c>
      <c r="C1472" s="11">
        <v>93</v>
      </c>
      <c r="D1472" s="11">
        <v>76</v>
      </c>
      <c r="E1472" s="11">
        <v>2</v>
      </c>
      <c r="F1472" s="11">
        <v>72</v>
      </c>
      <c r="G1472" s="11">
        <v>1000</v>
      </c>
      <c r="H1472" s="11">
        <v>19447478</v>
      </c>
      <c r="I1472" s="11" t="s">
        <v>7557</v>
      </c>
      <c r="J1472" s="11" t="s">
        <v>393</v>
      </c>
      <c r="K1472" s="11" t="s">
        <v>2019</v>
      </c>
      <c r="L1472" s="11" t="s">
        <v>7558</v>
      </c>
      <c r="M1472" s="11" t="s">
        <v>7559</v>
      </c>
      <c r="N1472" s="11">
        <v>15788</v>
      </c>
      <c r="O1472" s="11">
        <v>1908</v>
      </c>
      <c r="P1472" s="11">
        <v>0</v>
      </c>
      <c r="Q1472" s="11" t="s">
        <v>7560</v>
      </c>
      <c r="R1472" s="14" t="s">
        <v>7561</v>
      </c>
      <c r="S1472" s="11">
        <v>80</v>
      </c>
      <c r="T1472" s="11" t="s">
        <v>39</v>
      </c>
      <c r="U1472" s="11" t="s">
        <v>58</v>
      </c>
      <c r="V1472" s="11" t="s">
        <v>278</v>
      </c>
      <c r="W1472" s="11">
        <v>35000000</v>
      </c>
      <c r="X1472" s="11">
        <v>2005</v>
      </c>
      <c r="Y1472" s="11">
        <v>766</v>
      </c>
      <c r="Z1472" s="11">
        <v>5.6</v>
      </c>
      <c r="AA1472" s="11">
        <v>1.85</v>
      </c>
      <c r="AB1472" s="11">
        <v>538</v>
      </c>
      <c r="AC1472" s="11"/>
      <c r="AD1472" s="11" t="str">
        <f>IFERROR(__xludf.DUMMYFUNCTION("""COMPUTED_VALUE"""),"Celia Imrie")</f>
        <v>Celia Imrie</v>
      </c>
      <c r="AE1472" s="11"/>
    </row>
    <row r="1473" customHeight="1" spans="1:31">
      <c r="A1473" s="12" t="s">
        <v>30</v>
      </c>
      <c r="B1473" s="12" t="s">
        <v>4915</v>
      </c>
      <c r="C1473" s="12">
        <v>173</v>
      </c>
      <c r="D1473" s="12">
        <v>107</v>
      </c>
      <c r="E1473" s="12">
        <v>161</v>
      </c>
      <c r="F1473" s="12">
        <v>549</v>
      </c>
      <c r="G1473" s="12">
        <v>21000</v>
      </c>
      <c r="H1473" s="12">
        <v>19389454</v>
      </c>
      <c r="I1473" s="12" t="s">
        <v>2528</v>
      </c>
      <c r="J1473" s="12" t="s">
        <v>99</v>
      </c>
      <c r="K1473" s="12" t="s">
        <v>904</v>
      </c>
      <c r="L1473" s="12" t="s">
        <v>7562</v>
      </c>
      <c r="M1473" s="12" t="s">
        <v>7563</v>
      </c>
      <c r="N1473" s="12">
        <v>54643</v>
      </c>
      <c r="O1473" s="12">
        <v>22974</v>
      </c>
      <c r="P1473" s="12">
        <v>5</v>
      </c>
      <c r="Q1473" s="12" t="s">
        <v>7564</v>
      </c>
      <c r="R1473" s="15" t="s">
        <v>7565</v>
      </c>
      <c r="S1473" s="12">
        <v>335</v>
      </c>
      <c r="T1473" s="12" t="s">
        <v>39</v>
      </c>
      <c r="U1473" s="12" t="s">
        <v>40</v>
      </c>
      <c r="V1473" s="12" t="s">
        <v>586</v>
      </c>
      <c r="W1473" s="12">
        <v>55000000</v>
      </c>
      <c r="X1473" s="12">
        <v>2000</v>
      </c>
      <c r="Y1473" s="12">
        <v>826</v>
      </c>
      <c r="Z1473" s="12">
        <v>7.4</v>
      </c>
      <c r="AA1473" s="12">
        <v>2.35</v>
      </c>
      <c r="AB1473" s="12">
        <v>0</v>
      </c>
      <c r="AC1473" s="12"/>
      <c r="AD1473" s="12" t="str">
        <f>IFERROR(__xludf.DUMMYFUNCTION("""COMPUTED_VALUE"""),"John Billingsley")</f>
        <v>John Billingsley</v>
      </c>
      <c r="AE1473" s="12"/>
    </row>
    <row r="1474" customHeight="1" spans="1:31">
      <c r="A1474" s="11" t="s">
        <v>30</v>
      </c>
      <c r="B1474" s="11" t="s">
        <v>7566</v>
      </c>
      <c r="C1474" s="11">
        <v>121</v>
      </c>
      <c r="D1474" s="11">
        <v>82</v>
      </c>
      <c r="E1474" s="11">
        <v>82</v>
      </c>
      <c r="F1474" s="11">
        <v>418</v>
      </c>
      <c r="G1474" s="11">
        <v>1000</v>
      </c>
      <c r="H1474" s="11">
        <v>25871834</v>
      </c>
      <c r="I1474" s="11" t="s">
        <v>7567</v>
      </c>
      <c r="J1474" s="11" t="s">
        <v>7568</v>
      </c>
      <c r="K1474" s="11" t="s">
        <v>4191</v>
      </c>
      <c r="L1474" s="11" t="s">
        <v>7569</v>
      </c>
      <c r="M1474" s="11" t="s">
        <v>7570</v>
      </c>
      <c r="N1474" s="11">
        <v>52052</v>
      </c>
      <c r="O1474" s="11">
        <v>3266</v>
      </c>
      <c r="P1474" s="11">
        <v>6</v>
      </c>
      <c r="Q1474" s="11" t="s">
        <v>7571</v>
      </c>
      <c r="R1474" s="14" t="s">
        <v>7572</v>
      </c>
      <c r="S1474" s="11">
        <v>173</v>
      </c>
      <c r="T1474" s="11" t="s">
        <v>39</v>
      </c>
      <c r="U1474" s="11" t="s">
        <v>40</v>
      </c>
      <c r="V1474" s="11" t="s">
        <v>41</v>
      </c>
      <c r="W1474" s="11">
        <v>35000000</v>
      </c>
      <c r="X1474" s="11">
        <v>2008</v>
      </c>
      <c r="Y1474" s="11">
        <v>642</v>
      </c>
      <c r="Z1474" s="11">
        <v>4.5</v>
      </c>
      <c r="AA1474" s="11">
        <v>1.85</v>
      </c>
      <c r="AB1474" s="11">
        <v>0</v>
      </c>
      <c r="AC1474" s="11"/>
      <c r="AD1474" s="11" t="str">
        <f>IFERROR(__xludf.DUMMYFUNCTION("""COMPUTED_VALUE"""),"Joan Chen")</f>
        <v>Joan Chen</v>
      </c>
      <c r="AE1474" s="11"/>
    </row>
    <row r="1475" customHeight="1" spans="1:31">
      <c r="A1475" s="12" t="s">
        <v>30</v>
      </c>
      <c r="B1475" s="12" t="s">
        <v>7573</v>
      </c>
      <c r="C1475" s="12">
        <v>298</v>
      </c>
      <c r="D1475" s="12">
        <v>109</v>
      </c>
      <c r="E1475" s="12">
        <v>90</v>
      </c>
      <c r="F1475" s="12">
        <v>344</v>
      </c>
      <c r="G1475" s="12">
        <v>1000</v>
      </c>
      <c r="H1475" s="12">
        <v>19692608</v>
      </c>
      <c r="I1475" s="12" t="s">
        <v>2126</v>
      </c>
      <c r="J1475" s="12" t="s">
        <v>7574</v>
      </c>
      <c r="K1475" s="12" t="s">
        <v>5078</v>
      </c>
      <c r="L1475" s="12" t="s">
        <v>7575</v>
      </c>
      <c r="M1475" s="12" t="s">
        <v>7576</v>
      </c>
      <c r="N1475" s="12">
        <v>63548</v>
      </c>
      <c r="O1475" s="12">
        <v>2073</v>
      </c>
      <c r="P1475" s="12">
        <v>3</v>
      </c>
      <c r="Q1475" s="12" t="s">
        <v>7577</v>
      </c>
      <c r="R1475" s="15" t="s">
        <v>7578</v>
      </c>
      <c r="S1475" s="12">
        <v>134</v>
      </c>
      <c r="T1475" s="12" t="s">
        <v>39</v>
      </c>
      <c r="U1475" s="12" t="s">
        <v>40</v>
      </c>
      <c r="V1475" s="12" t="s">
        <v>586</v>
      </c>
      <c r="W1475" s="12">
        <v>35000000</v>
      </c>
      <c r="X1475" s="12">
        <v>2013</v>
      </c>
      <c r="Y1475" s="12">
        <v>412</v>
      </c>
      <c r="Z1475" s="12">
        <v>6.2</v>
      </c>
      <c r="AA1475" s="12">
        <v>2.35</v>
      </c>
      <c r="AB1475" s="12">
        <v>0</v>
      </c>
      <c r="AC1475" s="12"/>
      <c r="AD1475" s="12" t="str">
        <f>IFERROR(__xludf.DUMMYFUNCTION("""COMPUTED_VALUE"""),"Sven-Ole Thorsen")</f>
        <v>Sven-Ole Thorsen</v>
      </c>
      <c r="AE1475" s="12"/>
    </row>
    <row r="1476" customHeight="1" spans="1:31">
      <c r="A1476" s="11" t="s">
        <v>30</v>
      </c>
      <c r="B1476" s="11" t="s">
        <v>6309</v>
      </c>
      <c r="C1476" s="11">
        <v>158</v>
      </c>
      <c r="D1476" s="11">
        <v>99</v>
      </c>
      <c r="E1476" s="11">
        <v>0</v>
      </c>
      <c r="F1476" s="11">
        <v>520</v>
      </c>
      <c r="G1476" s="11">
        <v>1000</v>
      </c>
      <c r="H1476" s="11">
        <v>19294901</v>
      </c>
      <c r="I1476" s="11" t="s">
        <v>7579</v>
      </c>
      <c r="J1476" s="11" t="s">
        <v>7580</v>
      </c>
      <c r="K1476" s="11" t="s">
        <v>7581</v>
      </c>
      <c r="L1476" s="11" t="s">
        <v>5172</v>
      </c>
      <c r="M1476" s="11" t="s">
        <v>7582</v>
      </c>
      <c r="N1476" s="11">
        <v>26126</v>
      </c>
      <c r="O1476" s="11">
        <v>2535</v>
      </c>
      <c r="P1476" s="11">
        <v>0</v>
      </c>
      <c r="Q1476" s="11" t="s">
        <v>7583</v>
      </c>
      <c r="R1476" s="14" t="s">
        <v>7584</v>
      </c>
      <c r="S1476" s="11">
        <v>325</v>
      </c>
      <c r="T1476" s="11" t="s">
        <v>39</v>
      </c>
      <c r="U1476" s="11" t="s">
        <v>40</v>
      </c>
      <c r="V1476" s="11" t="s">
        <v>41</v>
      </c>
      <c r="W1476" s="11">
        <v>35000000</v>
      </c>
      <c r="X1476" s="11">
        <v>2005</v>
      </c>
      <c r="Y1476" s="11">
        <v>573</v>
      </c>
      <c r="Z1476" s="11">
        <v>5</v>
      </c>
      <c r="AA1476" s="11">
        <v>2.35</v>
      </c>
      <c r="AB1476" s="11">
        <v>0</v>
      </c>
      <c r="AC1476" s="11"/>
      <c r="AD1476" s="11" t="str">
        <f>IFERROR(__xludf.DUMMYFUNCTION("""COMPUTED_VALUE"""),"Taylor Dooley")</f>
        <v>Taylor Dooley</v>
      </c>
      <c r="AE1476" s="11"/>
    </row>
    <row r="1477" customHeight="1" spans="1:31">
      <c r="A1477" s="12" t="s">
        <v>30</v>
      </c>
      <c r="B1477" s="12" t="s">
        <v>4402</v>
      </c>
      <c r="C1477" s="12">
        <v>248</v>
      </c>
      <c r="D1477" s="12">
        <v>91</v>
      </c>
      <c r="E1477" s="12">
        <v>192</v>
      </c>
      <c r="F1477" s="12">
        <v>346</v>
      </c>
      <c r="G1477" s="12">
        <v>23000</v>
      </c>
      <c r="H1477" s="12">
        <v>20275446</v>
      </c>
      <c r="I1477" s="12" t="s">
        <v>334</v>
      </c>
      <c r="J1477" s="12" t="s">
        <v>63</v>
      </c>
      <c r="K1477" s="12" t="s">
        <v>5232</v>
      </c>
      <c r="L1477" s="12" t="s">
        <v>916</v>
      </c>
      <c r="M1477" s="12" t="s">
        <v>7585</v>
      </c>
      <c r="N1477" s="12">
        <v>95274</v>
      </c>
      <c r="O1477" s="12">
        <v>24669</v>
      </c>
      <c r="P1477" s="12">
        <v>0</v>
      </c>
      <c r="Q1477" s="12" t="s">
        <v>7586</v>
      </c>
      <c r="R1477" s="15" t="s">
        <v>7587</v>
      </c>
      <c r="S1477" s="12">
        <v>178</v>
      </c>
      <c r="T1477" s="12" t="s">
        <v>39</v>
      </c>
      <c r="U1477" s="12" t="s">
        <v>40</v>
      </c>
      <c r="V1477" s="12" t="s">
        <v>41</v>
      </c>
      <c r="W1477" s="12">
        <v>35000000</v>
      </c>
      <c r="X1477" s="12">
        <v>2012</v>
      </c>
      <c r="Y1477" s="12">
        <v>1000</v>
      </c>
      <c r="Z1477" s="12">
        <v>6.5</v>
      </c>
      <c r="AA1477" s="12">
        <v>2.35</v>
      </c>
      <c r="AB1477" s="12">
        <v>20000</v>
      </c>
      <c r="AC1477" s="12"/>
      <c r="AD1477" s="12" t="str">
        <f>IFERROR(__xludf.DUMMYFUNCTION("""COMPUTED_VALUE"""),"Virginie Ledoyen")</f>
        <v>Virginie Ledoyen</v>
      </c>
      <c r="AE1477" s="12"/>
    </row>
    <row r="1478" customHeight="1" spans="1:31">
      <c r="A1478" s="11" t="s">
        <v>30</v>
      </c>
      <c r="B1478" s="11" t="s">
        <v>6245</v>
      </c>
      <c r="C1478" s="11">
        <v>155</v>
      </c>
      <c r="D1478" s="11">
        <v>87</v>
      </c>
      <c r="E1478" s="11">
        <v>98</v>
      </c>
      <c r="F1478" s="11">
        <v>253</v>
      </c>
      <c r="G1478" s="11">
        <v>472</v>
      </c>
      <c r="H1478" s="11">
        <v>34507079</v>
      </c>
      <c r="I1478" s="11" t="s">
        <v>1753</v>
      </c>
      <c r="J1478" s="11" t="s">
        <v>7588</v>
      </c>
      <c r="K1478" s="11" t="s">
        <v>7589</v>
      </c>
      <c r="L1478" s="11" t="s">
        <v>7590</v>
      </c>
      <c r="M1478" s="11" t="s">
        <v>7591</v>
      </c>
      <c r="N1478" s="11">
        <v>34948</v>
      </c>
      <c r="O1478" s="11">
        <v>1679</v>
      </c>
      <c r="P1478" s="11">
        <v>2</v>
      </c>
      <c r="Q1478" s="11" t="s">
        <v>7592</v>
      </c>
      <c r="R1478" s="14" t="s">
        <v>7593</v>
      </c>
      <c r="S1478" s="11">
        <v>118</v>
      </c>
      <c r="T1478" s="11" t="s">
        <v>39</v>
      </c>
      <c r="U1478" s="11" t="s">
        <v>40</v>
      </c>
      <c r="V1478" s="11" t="s">
        <v>41</v>
      </c>
      <c r="W1478" s="11">
        <v>35000000</v>
      </c>
      <c r="X1478" s="11">
        <v>2015</v>
      </c>
      <c r="Y1478" s="11">
        <v>328</v>
      </c>
      <c r="Z1478" s="11">
        <v>5.1</v>
      </c>
      <c r="AA1478" s="11">
        <v>2.35</v>
      </c>
      <c r="AB1478" s="11">
        <v>0</v>
      </c>
      <c r="AC1478" s="11"/>
      <c r="AD1478" s="11" t="str">
        <f>IFERROR(__xludf.DUMMYFUNCTION("""COMPUTED_VALUE"""),"Peter Youngblood Hills")</f>
        <v>Peter Youngblood Hills</v>
      </c>
      <c r="AE1478" s="11"/>
    </row>
    <row r="1479" customHeight="1" spans="1:31">
      <c r="A1479" s="12" t="s">
        <v>30</v>
      </c>
      <c r="B1479" s="12" t="s">
        <v>4774</v>
      </c>
      <c r="C1479" s="12">
        <v>105</v>
      </c>
      <c r="D1479" s="12">
        <v>125</v>
      </c>
      <c r="E1479" s="12">
        <v>159</v>
      </c>
      <c r="F1479" s="12">
        <v>39</v>
      </c>
      <c r="G1479" s="12">
        <v>3000</v>
      </c>
      <c r="H1479" s="12">
        <v>18306166</v>
      </c>
      <c r="I1479" s="12" t="s">
        <v>1222</v>
      </c>
      <c r="J1479" s="12" t="s">
        <v>656</v>
      </c>
      <c r="K1479" s="12" t="s">
        <v>7594</v>
      </c>
      <c r="L1479" s="12" t="s">
        <v>7595</v>
      </c>
      <c r="M1479" s="12" t="s">
        <v>7596</v>
      </c>
      <c r="N1479" s="12">
        <v>28130</v>
      </c>
      <c r="O1479" s="12">
        <v>3142</v>
      </c>
      <c r="P1479" s="12">
        <v>2</v>
      </c>
      <c r="Q1479" s="12" t="s">
        <v>7597</v>
      </c>
      <c r="R1479" s="15" t="s">
        <v>7598</v>
      </c>
      <c r="S1479" s="12">
        <v>215</v>
      </c>
      <c r="T1479" s="12" t="s">
        <v>39</v>
      </c>
      <c r="U1479" s="12" t="s">
        <v>58</v>
      </c>
      <c r="V1479" s="12" t="s">
        <v>41</v>
      </c>
      <c r="W1479" s="12">
        <v>35000000</v>
      </c>
      <c r="X1479" s="12">
        <v>2002</v>
      </c>
      <c r="Y1479" s="12">
        <v>61</v>
      </c>
      <c r="Z1479" s="12">
        <v>6.5</v>
      </c>
      <c r="AA1479" s="12">
        <v>2.35</v>
      </c>
      <c r="AB1479" s="12">
        <v>0</v>
      </c>
      <c r="AC1479" s="12"/>
      <c r="AD1479" s="12" t="str">
        <f>IFERROR(__xludf.DUMMYFUNCTION("""COMPUTED_VALUE"""),"Shô Kosugi")</f>
        <v>Shô Kosugi</v>
      </c>
      <c r="AE1479" s="12"/>
    </row>
    <row r="1480" customHeight="1" spans="1:31">
      <c r="A1480" s="11" t="s">
        <v>30</v>
      </c>
      <c r="B1480" s="11" t="s">
        <v>3779</v>
      </c>
      <c r="C1480" s="11">
        <v>224</v>
      </c>
      <c r="D1480" s="11">
        <v>118</v>
      </c>
      <c r="E1480" s="11">
        <v>138</v>
      </c>
      <c r="F1480" s="11">
        <v>458</v>
      </c>
      <c r="G1480" s="11">
        <v>26000</v>
      </c>
      <c r="H1480" s="11">
        <v>17609982</v>
      </c>
      <c r="I1480" s="11" t="s">
        <v>1607</v>
      </c>
      <c r="J1480" s="11" t="s">
        <v>335</v>
      </c>
      <c r="K1480" s="11" t="s">
        <v>381</v>
      </c>
      <c r="L1480" s="11" t="s">
        <v>7599</v>
      </c>
      <c r="M1480" s="11" t="s">
        <v>7600</v>
      </c>
      <c r="N1480" s="11">
        <v>90046</v>
      </c>
      <c r="O1480" s="11">
        <v>28479</v>
      </c>
      <c r="P1480" s="11">
        <v>0</v>
      </c>
      <c r="Q1480" s="11" t="s">
        <v>7601</v>
      </c>
      <c r="R1480" s="14" t="s">
        <v>7602</v>
      </c>
      <c r="S1480" s="11">
        <v>141</v>
      </c>
      <c r="T1480" s="11" t="s">
        <v>39</v>
      </c>
      <c r="U1480" s="11" t="s">
        <v>40</v>
      </c>
      <c r="V1480" s="11" t="s">
        <v>586</v>
      </c>
      <c r="W1480" s="11">
        <v>35000000</v>
      </c>
      <c r="X1480" s="11">
        <v>2013</v>
      </c>
      <c r="Y1480" s="11">
        <v>968</v>
      </c>
      <c r="Z1480" s="11">
        <v>6.2</v>
      </c>
      <c r="AA1480" s="11">
        <v>2.35</v>
      </c>
      <c r="AB1480" s="11">
        <v>17000</v>
      </c>
      <c r="AC1480" s="11"/>
      <c r="AD1480" s="11" t="str">
        <f>IFERROR(__xludf.DUMMYFUNCTION("""COMPUTED_VALUE"""),"Ben Miles")</f>
        <v>Ben Miles</v>
      </c>
      <c r="AE1480" s="11"/>
    </row>
    <row r="1481" customHeight="1" spans="1:31">
      <c r="A1481" s="12" t="s">
        <v>30</v>
      </c>
      <c r="B1481" s="12" t="s">
        <v>5205</v>
      </c>
      <c r="C1481" s="12">
        <v>129</v>
      </c>
      <c r="D1481" s="12">
        <v>98</v>
      </c>
      <c r="E1481" s="12">
        <v>12</v>
      </c>
      <c r="F1481" s="12">
        <v>663</v>
      </c>
      <c r="G1481" s="12">
        <v>4000</v>
      </c>
      <c r="H1481" s="12">
        <v>16831505</v>
      </c>
      <c r="I1481" s="12" t="s">
        <v>3898</v>
      </c>
      <c r="J1481" s="12" t="s">
        <v>84</v>
      </c>
      <c r="K1481" s="12" t="s">
        <v>251</v>
      </c>
      <c r="L1481" s="12" t="s">
        <v>7603</v>
      </c>
      <c r="M1481" s="12" t="s">
        <v>7604</v>
      </c>
      <c r="N1481" s="12">
        <v>51842</v>
      </c>
      <c r="O1481" s="12">
        <v>9330</v>
      </c>
      <c r="P1481" s="12">
        <v>1</v>
      </c>
      <c r="Q1481" s="12" t="s">
        <v>7605</v>
      </c>
      <c r="R1481" s="15" t="s">
        <v>7606</v>
      </c>
      <c r="S1481" s="12">
        <v>173</v>
      </c>
      <c r="T1481" s="12" t="s">
        <v>39</v>
      </c>
      <c r="U1481" s="12" t="s">
        <v>58</v>
      </c>
      <c r="V1481" s="12" t="s">
        <v>41</v>
      </c>
      <c r="W1481" s="12">
        <v>31000000</v>
      </c>
      <c r="X1481" s="12">
        <v>2004</v>
      </c>
      <c r="Y1481" s="12">
        <v>4000</v>
      </c>
      <c r="Z1481" s="12">
        <v>6.3</v>
      </c>
      <c r="AA1481" s="12">
        <v>2.35</v>
      </c>
      <c r="AB1481" s="12">
        <v>0</v>
      </c>
      <c r="AC1481" s="12"/>
      <c r="AD1481" s="12" t="str">
        <f>IFERROR(__xludf.DUMMYFUNCTION("""COMPUTED_VALUE"""),"Rain")</f>
        <v>Rain</v>
      </c>
      <c r="AE1481" s="12"/>
    </row>
    <row r="1482" customHeight="1" spans="1:31">
      <c r="A1482" s="11" t="s">
        <v>30</v>
      </c>
      <c r="B1482" s="11" t="s">
        <v>6064</v>
      </c>
      <c r="C1482" s="11">
        <v>101</v>
      </c>
      <c r="D1482" s="11">
        <v>92</v>
      </c>
      <c r="E1482" s="11">
        <v>16</v>
      </c>
      <c r="F1482" s="11">
        <v>734</v>
      </c>
      <c r="G1482" s="11">
        <v>3000</v>
      </c>
      <c r="H1482" s="11">
        <v>17596256</v>
      </c>
      <c r="I1482" s="11" t="s">
        <v>3057</v>
      </c>
      <c r="J1482" s="11" t="s">
        <v>503</v>
      </c>
      <c r="K1482" s="11" t="s">
        <v>7607</v>
      </c>
      <c r="L1482" s="11" t="s">
        <v>7608</v>
      </c>
      <c r="M1482" s="11" t="s">
        <v>7609</v>
      </c>
      <c r="N1482" s="11">
        <v>12399</v>
      </c>
      <c r="O1482" s="11">
        <v>6327</v>
      </c>
      <c r="P1482" s="11">
        <v>1</v>
      </c>
      <c r="Q1482" s="11" t="s">
        <v>7610</v>
      </c>
      <c r="R1482" s="14" t="s">
        <v>7611</v>
      </c>
      <c r="S1482" s="11">
        <v>84</v>
      </c>
      <c r="T1482" s="11" t="s">
        <v>39</v>
      </c>
      <c r="U1482" s="11" t="s">
        <v>40</v>
      </c>
      <c r="V1482" s="11" t="s">
        <v>96</v>
      </c>
      <c r="W1482" s="11">
        <v>35000000</v>
      </c>
      <c r="X1482" s="11">
        <v>2010</v>
      </c>
      <c r="Y1482" s="11">
        <v>1000</v>
      </c>
      <c r="Z1482" s="11">
        <v>3.8</v>
      </c>
      <c r="AA1482" s="11">
        <v>1.85</v>
      </c>
      <c r="AB1482" s="11">
        <v>0</v>
      </c>
      <c r="AC1482" s="11"/>
      <c r="AD1482" s="11" t="str">
        <f>IFERROR(__xludf.DUMMYFUNCTION("""COMPUTED_VALUE"""),"Carmine Giovinazzo")</f>
        <v>Carmine Giovinazzo</v>
      </c>
      <c r="AE1482" s="11"/>
    </row>
    <row r="1483" customHeight="1" spans="1:31">
      <c r="A1483" s="12" t="s">
        <v>30</v>
      </c>
      <c r="B1483" s="12" t="s">
        <v>7612</v>
      </c>
      <c r="C1483" s="12">
        <v>145</v>
      </c>
      <c r="D1483" s="12">
        <v>93</v>
      </c>
      <c r="E1483" s="12">
        <v>0</v>
      </c>
      <c r="F1483" s="12">
        <v>174</v>
      </c>
      <c r="G1483" s="12">
        <v>465</v>
      </c>
      <c r="H1483" s="16"/>
      <c r="I1483" s="12" t="s">
        <v>4178</v>
      </c>
      <c r="J1483" s="12" t="s">
        <v>3691</v>
      </c>
      <c r="K1483" s="12" t="s">
        <v>7613</v>
      </c>
      <c r="L1483" s="12" t="s">
        <v>7614</v>
      </c>
      <c r="M1483" s="12" t="s">
        <v>7615</v>
      </c>
      <c r="N1483" s="12">
        <v>11482</v>
      </c>
      <c r="O1483" s="12">
        <v>1361</v>
      </c>
      <c r="P1483" s="12">
        <v>1</v>
      </c>
      <c r="Q1483" s="12" t="s">
        <v>7616</v>
      </c>
      <c r="R1483" s="15" t="s">
        <v>7617</v>
      </c>
      <c r="S1483" s="12">
        <v>82</v>
      </c>
      <c r="T1483" s="12" t="s">
        <v>39</v>
      </c>
      <c r="U1483" s="12" t="s">
        <v>371</v>
      </c>
      <c r="V1483" s="12" t="s">
        <v>586</v>
      </c>
      <c r="W1483" s="12">
        <v>30000000</v>
      </c>
      <c r="X1483" s="12">
        <v>2012</v>
      </c>
      <c r="Y1483" s="12">
        <v>351</v>
      </c>
      <c r="Z1483" s="12">
        <v>5.2</v>
      </c>
      <c r="AA1483" s="12">
        <v>1.85</v>
      </c>
      <c r="AB1483" s="12">
        <v>0</v>
      </c>
      <c r="AC1483" s="12"/>
      <c r="AD1483" s="12" t="str">
        <f>IFERROR(__xludf.DUMMYFUNCTION("""COMPUTED_VALUE"""),"David Jason")</f>
        <v>David Jason</v>
      </c>
      <c r="AE1483" s="12"/>
    </row>
    <row r="1484" customHeight="1" spans="1:31">
      <c r="A1484" s="11" t="s">
        <v>30</v>
      </c>
      <c r="B1484" s="11" t="s">
        <v>7618</v>
      </c>
      <c r="C1484" s="11">
        <v>57</v>
      </c>
      <c r="D1484" s="11">
        <v>116</v>
      </c>
      <c r="E1484" s="11">
        <v>170</v>
      </c>
      <c r="F1484" s="11">
        <v>136</v>
      </c>
      <c r="G1484" s="11">
        <v>14000</v>
      </c>
      <c r="H1484" s="13"/>
      <c r="I1484" s="11" t="s">
        <v>43</v>
      </c>
      <c r="J1484" s="11" t="s">
        <v>228</v>
      </c>
      <c r="K1484" s="11" t="s">
        <v>2236</v>
      </c>
      <c r="L1484" s="11" t="s">
        <v>7619</v>
      </c>
      <c r="M1484" s="11" t="s">
        <v>7620</v>
      </c>
      <c r="N1484" s="11">
        <v>23351</v>
      </c>
      <c r="O1484" s="11">
        <v>14744</v>
      </c>
      <c r="P1484" s="11">
        <v>1</v>
      </c>
      <c r="Q1484" s="11" t="s">
        <v>7621</v>
      </c>
      <c r="R1484" s="14" t="s">
        <v>7622</v>
      </c>
      <c r="S1484" s="11">
        <v>178</v>
      </c>
      <c r="T1484" s="11" t="s">
        <v>39</v>
      </c>
      <c r="U1484" s="11" t="s">
        <v>58</v>
      </c>
      <c r="V1484" s="11" t="s">
        <v>96</v>
      </c>
      <c r="W1484" s="11">
        <v>27000000</v>
      </c>
      <c r="X1484" s="11">
        <v>1983</v>
      </c>
      <c r="Y1484" s="11">
        <v>192</v>
      </c>
      <c r="Z1484" s="11">
        <v>6</v>
      </c>
      <c r="AA1484" s="11">
        <v>2.35</v>
      </c>
      <c r="AB1484" s="11">
        <v>0</v>
      </c>
      <c r="AC1484" s="11"/>
      <c r="AD1484" s="11" t="str">
        <f>IFERROR(__xludf.DUMMYFUNCTION("""COMPUTED_VALUE"""),"Bruce Alexander")</f>
        <v>Bruce Alexander</v>
      </c>
      <c r="AE1484" s="11"/>
    </row>
    <row r="1485" customHeight="1" spans="1:31">
      <c r="A1485" s="12" t="s">
        <v>30</v>
      </c>
      <c r="B1485" s="12" t="s">
        <v>4042</v>
      </c>
      <c r="C1485" s="12">
        <v>227</v>
      </c>
      <c r="D1485" s="12">
        <v>92</v>
      </c>
      <c r="E1485" s="12">
        <v>0</v>
      </c>
      <c r="F1485" s="12">
        <v>10000</v>
      </c>
      <c r="G1485" s="12">
        <v>11000</v>
      </c>
      <c r="H1485" s="12">
        <v>14998070</v>
      </c>
      <c r="I1485" s="12" t="s">
        <v>7623</v>
      </c>
      <c r="J1485" s="12" t="s">
        <v>2377</v>
      </c>
      <c r="K1485" s="12" t="s">
        <v>523</v>
      </c>
      <c r="L1485" s="12" t="s">
        <v>183</v>
      </c>
      <c r="M1485" s="12" t="s">
        <v>7624</v>
      </c>
      <c r="N1485" s="12">
        <v>41170</v>
      </c>
      <c r="O1485" s="12">
        <v>32875</v>
      </c>
      <c r="P1485" s="12">
        <v>3</v>
      </c>
      <c r="Q1485" s="12" t="s">
        <v>7625</v>
      </c>
      <c r="R1485" s="15" t="s">
        <v>7626</v>
      </c>
      <c r="S1485" s="12">
        <v>298</v>
      </c>
      <c r="T1485" s="12" t="s">
        <v>39</v>
      </c>
      <c r="U1485" s="12" t="s">
        <v>40</v>
      </c>
      <c r="V1485" s="12" t="s">
        <v>586</v>
      </c>
      <c r="W1485" s="12">
        <v>35000000</v>
      </c>
      <c r="X1485" s="12">
        <v>2007</v>
      </c>
      <c r="Y1485" s="12">
        <v>10000</v>
      </c>
      <c r="Z1485" s="12">
        <v>6.2</v>
      </c>
      <c r="AA1485" s="12">
        <v>2.35</v>
      </c>
      <c r="AB1485" s="12">
        <v>0</v>
      </c>
      <c r="AC1485" s="12"/>
      <c r="AD1485" s="12" t="str">
        <f>IFERROR(__xludf.DUMMYFUNCTION("""COMPUTED_VALUE"""),"John Lyons")</f>
        <v>John Lyons</v>
      </c>
      <c r="AE1485" s="12"/>
    </row>
    <row r="1486" customHeight="1" spans="1:31">
      <c r="A1486" s="11" t="s">
        <v>30</v>
      </c>
      <c r="B1486" s="11" t="s">
        <v>2278</v>
      </c>
      <c r="C1486" s="11">
        <v>13</v>
      </c>
      <c r="D1486" s="11">
        <v>115</v>
      </c>
      <c r="E1486" s="11">
        <v>468</v>
      </c>
      <c r="F1486" s="11">
        <v>150</v>
      </c>
      <c r="G1486" s="11">
        <v>605</v>
      </c>
      <c r="H1486" s="11">
        <v>14587732</v>
      </c>
      <c r="I1486" s="11" t="s">
        <v>1910</v>
      </c>
      <c r="J1486" s="11" t="s">
        <v>7627</v>
      </c>
      <c r="K1486" s="11" t="s">
        <v>7628</v>
      </c>
      <c r="L1486" s="11" t="s">
        <v>7629</v>
      </c>
      <c r="M1486" s="11" t="s">
        <v>7630</v>
      </c>
      <c r="N1486" s="11">
        <v>4795</v>
      </c>
      <c r="O1486" s="11">
        <v>1290</v>
      </c>
      <c r="P1486" s="11">
        <v>3</v>
      </c>
      <c r="Q1486" s="11" t="s">
        <v>7631</v>
      </c>
      <c r="R1486" s="14" t="s">
        <v>7632</v>
      </c>
      <c r="S1486" s="11">
        <v>39</v>
      </c>
      <c r="T1486" s="11" t="s">
        <v>39</v>
      </c>
      <c r="U1486" s="11" t="s">
        <v>40</v>
      </c>
      <c r="V1486" s="11" t="s">
        <v>41</v>
      </c>
      <c r="W1486" s="11">
        <v>35000000</v>
      </c>
      <c r="X1486" s="11">
        <v>1991</v>
      </c>
      <c r="Y1486" s="11">
        <v>367</v>
      </c>
      <c r="Z1486" s="11">
        <v>5.7</v>
      </c>
      <c r="AA1486" s="11">
        <v>2.35</v>
      </c>
      <c r="AB1486" s="11">
        <v>452</v>
      </c>
      <c r="AC1486" s="11"/>
      <c r="AD1486" s="11" t="str">
        <f>IFERROR(__xludf.DUMMYFUNCTION("""COMPUTED_VALUE"""),"Rumer Willis")</f>
        <v>Rumer Willis</v>
      </c>
      <c r="AE1486" s="11"/>
    </row>
    <row r="1487" customHeight="1" spans="1:31">
      <c r="A1487" s="12" t="s">
        <v>30</v>
      </c>
      <c r="B1487" s="12" t="s">
        <v>6574</v>
      </c>
      <c r="C1487" s="12">
        <v>171</v>
      </c>
      <c r="D1487" s="12">
        <v>120</v>
      </c>
      <c r="E1487" s="12">
        <v>52</v>
      </c>
      <c r="F1487" s="12">
        <v>134</v>
      </c>
      <c r="G1487" s="12">
        <v>553</v>
      </c>
      <c r="H1487" s="12">
        <v>18317151</v>
      </c>
      <c r="I1487" s="12" t="s">
        <v>6419</v>
      </c>
      <c r="J1487" s="12" t="s">
        <v>2940</v>
      </c>
      <c r="K1487" s="12" t="s">
        <v>6575</v>
      </c>
      <c r="L1487" s="12" t="s">
        <v>4957</v>
      </c>
      <c r="M1487" s="12" t="s">
        <v>7633</v>
      </c>
      <c r="N1487" s="12">
        <v>55630</v>
      </c>
      <c r="O1487" s="12">
        <v>1082</v>
      </c>
      <c r="P1487" s="12">
        <v>1</v>
      </c>
      <c r="Q1487" s="12" t="s">
        <v>7634</v>
      </c>
      <c r="R1487" s="15" t="s">
        <v>7635</v>
      </c>
      <c r="S1487" s="12">
        <v>200</v>
      </c>
      <c r="T1487" s="12" t="s">
        <v>39</v>
      </c>
      <c r="U1487" s="12" t="s">
        <v>40</v>
      </c>
      <c r="V1487" s="12" t="s">
        <v>586</v>
      </c>
      <c r="W1487" s="12">
        <v>35000000</v>
      </c>
      <c r="X1487" s="12">
        <v>2007</v>
      </c>
      <c r="Y1487" s="12">
        <v>214</v>
      </c>
      <c r="Z1487" s="12">
        <v>6.7</v>
      </c>
      <c r="AA1487" s="12">
        <v>2.35</v>
      </c>
      <c r="AB1487" s="12">
        <v>0</v>
      </c>
      <c r="AC1487" s="12"/>
      <c r="AD1487" s="12" t="str">
        <f>IFERROR(__xludf.DUMMYFUNCTION("""COMPUTED_VALUE"""),"Jay Mohr")</f>
        <v>Jay Mohr</v>
      </c>
      <c r="AE1487" s="12"/>
    </row>
    <row r="1488" customHeight="1" spans="1:31">
      <c r="A1488" s="11" t="s">
        <v>30</v>
      </c>
      <c r="B1488" s="11" t="s">
        <v>7636</v>
      </c>
      <c r="C1488" s="11">
        <v>119</v>
      </c>
      <c r="D1488" s="11">
        <v>111</v>
      </c>
      <c r="E1488" s="11">
        <v>529</v>
      </c>
      <c r="F1488" s="11">
        <v>505</v>
      </c>
      <c r="G1488" s="11">
        <v>18000</v>
      </c>
      <c r="H1488" s="11">
        <v>11405825</v>
      </c>
      <c r="I1488" s="11" t="s">
        <v>3410</v>
      </c>
      <c r="J1488" s="11" t="s">
        <v>120</v>
      </c>
      <c r="K1488" s="11" t="s">
        <v>1320</v>
      </c>
      <c r="L1488" s="11" t="s">
        <v>7637</v>
      </c>
      <c r="M1488" s="11" t="s">
        <v>7638</v>
      </c>
      <c r="N1488" s="11">
        <v>28542</v>
      </c>
      <c r="O1488" s="11">
        <v>19805</v>
      </c>
      <c r="P1488" s="11">
        <v>3</v>
      </c>
      <c r="Q1488" s="11" t="s">
        <v>7639</v>
      </c>
      <c r="R1488" s="14" t="s">
        <v>7640</v>
      </c>
      <c r="S1488" s="11">
        <v>208</v>
      </c>
      <c r="T1488" s="11" t="s">
        <v>39</v>
      </c>
      <c r="U1488" s="11" t="s">
        <v>40</v>
      </c>
      <c r="V1488" s="11" t="s">
        <v>586</v>
      </c>
      <c r="W1488" s="11">
        <v>35000000</v>
      </c>
      <c r="X1488" s="11">
        <v>2001</v>
      </c>
      <c r="Y1488" s="11">
        <v>826</v>
      </c>
      <c r="Z1488" s="11">
        <v>6.8</v>
      </c>
      <c r="AA1488" s="11">
        <v>2.35</v>
      </c>
      <c r="AB1488" s="11">
        <v>0</v>
      </c>
      <c r="AC1488" s="11"/>
      <c r="AD1488" s="11" t="str">
        <f>IFERROR(__xludf.DUMMYFUNCTION("""COMPUTED_VALUE"""),"Agnes Bruckner")</f>
        <v>Agnes Bruckner</v>
      </c>
      <c r="AE1488" s="11"/>
    </row>
    <row r="1489" customHeight="1" spans="1:31">
      <c r="A1489" s="12" t="s">
        <v>30</v>
      </c>
      <c r="B1489" s="12" t="s">
        <v>2657</v>
      </c>
      <c r="C1489" s="12">
        <v>44</v>
      </c>
      <c r="D1489" s="12">
        <v>94</v>
      </c>
      <c r="E1489" s="12">
        <v>10</v>
      </c>
      <c r="F1489" s="12">
        <v>141</v>
      </c>
      <c r="G1489" s="12">
        <v>694</v>
      </c>
      <c r="H1489" s="12">
        <v>13264986</v>
      </c>
      <c r="I1489" s="12" t="s">
        <v>7641</v>
      </c>
      <c r="J1489" s="12" t="s">
        <v>5425</v>
      </c>
      <c r="K1489" s="12" t="s">
        <v>1306</v>
      </c>
      <c r="L1489" s="12" t="s">
        <v>2090</v>
      </c>
      <c r="M1489" s="12" t="s">
        <v>7642</v>
      </c>
      <c r="N1489" s="12">
        <v>12077</v>
      </c>
      <c r="O1489" s="12">
        <v>1668</v>
      </c>
      <c r="P1489" s="12">
        <v>2</v>
      </c>
      <c r="Q1489" s="12" t="s">
        <v>7643</v>
      </c>
      <c r="R1489" s="15" t="s">
        <v>7644</v>
      </c>
      <c r="S1489" s="12">
        <v>162</v>
      </c>
      <c r="T1489" s="12" t="s">
        <v>39</v>
      </c>
      <c r="U1489" s="12" t="s">
        <v>40</v>
      </c>
      <c r="V1489" s="12" t="s">
        <v>41</v>
      </c>
      <c r="W1489" s="12">
        <v>35000000</v>
      </c>
      <c r="X1489" s="12">
        <v>2001</v>
      </c>
      <c r="Y1489" s="12">
        <v>605</v>
      </c>
      <c r="Z1489" s="12">
        <v>6</v>
      </c>
      <c r="AA1489" s="12">
        <v>1.85</v>
      </c>
      <c r="AB1489" s="12">
        <v>433</v>
      </c>
      <c r="AC1489" s="12"/>
      <c r="AD1489" s="12" t="str">
        <f>IFERROR(__xludf.DUMMYFUNCTION("""COMPUTED_VALUE"""),"Muse Watson")</f>
        <v>Muse Watson</v>
      </c>
      <c r="AE1489" s="12"/>
    </row>
    <row r="1490" customHeight="1" spans="1:31">
      <c r="A1490" s="11" t="s">
        <v>30</v>
      </c>
      <c r="B1490" s="11" t="s">
        <v>7645</v>
      </c>
      <c r="C1490" s="11">
        <v>188</v>
      </c>
      <c r="D1490" s="11">
        <v>100</v>
      </c>
      <c r="E1490" s="11">
        <v>212</v>
      </c>
      <c r="F1490" s="11">
        <v>919</v>
      </c>
      <c r="G1490" s="11">
        <v>2000</v>
      </c>
      <c r="H1490" s="11">
        <v>10991381</v>
      </c>
      <c r="I1490" s="11" t="s">
        <v>6113</v>
      </c>
      <c r="J1490" s="11" t="s">
        <v>7646</v>
      </c>
      <c r="K1490" s="11" t="s">
        <v>393</v>
      </c>
      <c r="L1490" s="11" t="s">
        <v>209</v>
      </c>
      <c r="M1490" s="11" t="s">
        <v>7647</v>
      </c>
      <c r="N1490" s="11">
        <v>44931</v>
      </c>
      <c r="O1490" s="11">
        <v>5890</v>
      </c>
      <c r="P1490" s="11">
        <v>1</v>
      </c>
      <c r="Q1490" s="11" t="s">
        <v>7648</v>
      </c>
      <c r="R1490" s="14" t="s">
        <v>7649</v>
      </c>
      <c r="S1490" s="11">
        <v>100</v>
      </c>
      <c r="T1490" s="11" t="s">
        <v>39</v>
      </c>
      <c r="U1490" s="11" t="s">
        <v>58</v>
      </c>
      <c r="V1490" s="11" t="s">
        <v>96</v>
      </c>
      <c r="W1490" s="11">
        <v>35000000</v>
      </c>
      <c r="X1490" s="11">
        <v>2009</v>
      </c>
      <c r="Y1490" s="11">
        <v>1000</v>
      </c>
      <c r="Z1490" s="11">
        <v>7.3</v>
      </c>
      <c r="AA1490" s="11">
        <v>2.35</v>
      </c>
      <c r="AB1490" s="11">
        <v>0</v>
      </c>
      <c r="AC1490" s="11"/>
      <c r="AD1490" s="11" t="str">
        <f>IFERROR(__xludf.DUMMYFUNCTION("""COMPUTED_VALUE"""),"Kelly Rowan")</f>
        <v>Kelly Rowan</v>
      </c>
      <c r="AE1490" s="11"/>
    </row>
    <row r="1491" customHeight="1" spans="1:31">
      <c r="A1491" s="12" t="s">
        <v>30</v>
      </c>
      <c r="B1491" s="12" t="s">
        <v>1688</v>
      </c>
      <c r="C1491" s="12">
        <v>166</v>
      </c>
      <c r="D1491" s="12">
        <v>101</v>
      </c>
      <c r="E1491" s="12">
        <v>57</v>
      </c>
      <c r="F1491" s="12">
        <v>230</v>
      </c>
      <c r="G1491" s="12">
        <v>1000</v>
      </c>
      <c r="H1491" s="12">
        <v>10268846</v>
      </c>
      <c r="I1491" s="12" t="s">
        <v>1200</v>
      </c>
      <c r="J1491" s="12" t="s">
        <v>2203</v>
      </c>
      <c r="K1491" s="12" t="s">
        <v>7650</v>
      </c>
      <c r="L1491" s="12" t="s">
        <v>7651</v>
      </c>
      <c r="M1491" s="12" t="s">
        <v>7652</v>
      </c>
      <c r="N1491" s="12">
        <v>31918</v>
      </c>
      <c r="O1491" s="12">
        <v>1947</v>
      </c>
      <c r="P1491" s="12">
        <v>1</v>
      </c>
      <c r="Q1491" s="12" t="s">
        <v>7653</v>
      </c>
      <c r="R1491" s="15" t="s">
        <v>7654</v>
      </c>
      <c r="S1491" s="12">
        <v>142</v>
      </c>
      <c r="T1491" s="12" t="s">
        <v>39</v>
      </c>
      <c r="U1491" s="12" t="s">
        <v>40</v>
      </c>
      <c r="V1491" s="12" t="s">
        <v>586</v>
      </c>
      <c r="W1491" s="12">
        <v>35000000</v>
      </c>
      <c r="X1491" s="12">
        <v>2009</v>
      </c>
      <c r="Y1491" s="12">
        <v>603</v>
      </c>
      <c r="Z1491" s="12">
        <v>5.5</v>
      </c>
      <c r="AA1491" s="12">
        <v>2.35</v>
      </c>
      <c r="AB1491" s="12">
        <v>0</v>
      </c>
      <c r="AC1491" s="12"/>
      <c r="AD1491" s="12" t="str">
        <f>IFERROR(__xludf.DUMMYFUNCTION("""COMPUTED_VALUE"""),"Stephen Walters")</f>
        <v>Stephen Walters</v>
      </c>
      <c r="AE1491" s="12"/>
    </row>
    <row r="1492" customHeight="1" spans="1:31">
      <c r="A1492" s="11" t="s">
        <v>30</v>
      </c>
      <c r="B1492" s="11" t="s">
        <v>4946</v>
      </c>
      <c r="C1492" s="11">
        <v>584</v>
      </c>
      <c r="D1492" s="11">
        <v>139</v>
      </c>
      <c r="E1492" s="11">
        <v>0</v>
      </c>
      <c r="F1492" s="11">
        <v>687</v>
      </c>
      <c r="G1492" s="11">
        <v>11000</v>
      </c>
      <c r="H1492" s="11">
        <v>13303319</v>
      </c>
      <c r="I1492" s="11" t="s">
        <v>5324</v>
      </c>
      <c r="J1492" s="11" t="s">
        <v>343</v>
      </c>
      <c r="K1492" s="11" t="s">
        <v>460</v>
      </c>
      <c r="L1492" s="11" t="s">
        <v>770</v>
      </c>
      <c r="M1492" s="11" t="s">
        <v>7655</v>
      </c>
      <c r="N1492" s="11">
        <v>136367</v>
      </c>
      <c r="O1492" s="11">
        <v>13021</v>
      </c>
      <c r="P1492" s="11">
        <v>0</v>
      </c>
      <c r="Q1492" s="11" t="s">
        <v>7656</v>
      </c>
      <c r="R1492" s="14" t="s">
        <v>7657</v>
      </c>
      <c r="S1492" s="11">
        <v>975</v>
      </c>
      <c r="T1492" s="11" t="s">
        <v>39</v>
      </c>
      <c r="U1492" s="11" t="s">
        <v>40</v>
      </c>
      <c r="V1492" s="11" t="s">
        <v>41</v>
      </c>
      <c r="W1492" s="11">
        <v>32000000</v>
      </c>
      <c r="X1492" s="11">
        <v>2011</v>
      </c>
      <c r="Y1492" s="11">
        <v>1000</v>
      </c>
      <c r="Z1492" s="11">
        <v>6.7</v>
      </c>
      <c r="AA1492" s="11">
        <v>1.85</v>
      </c>
      <c r="AB1492" s="11">
        <v>39000</v>
      </c>
      <c r="AC1492" s="11"/>
      <c r="AD1492" s="11" t="str">
        <f>IFERROR(__xludf.DUMMYFUNCTION("""COMPUTED_VALUE"""),"Richard Brake")</f>
        <v>Richard Brake</v>
      </c>
      <c r="AE1492" s="11"/>
    </row>
    <row r="1493" customHeight="1" spans="1:31">
      <c r="A1493" s="12" t="s">
        <v>30</v>
      </c>
      <c r="B1493" s="12" t="s">
        <v>7658</v>
      </c>
      <c r="C1493" s="12">
        <v>67</v>
      </c>
      <c r="D1493" s="12">
        <v>91</v>
      </c>
      <c r="E1493" s="12">
        <v>85</v>
      </c>
      <c r="F1493" s="12">
        <v>105</v>
      </c>
      <c r="G1493" s="12">
        <v>635</v>
      </c>
      <c r="H1493" s="12">
        <v>10076136</v>
      </c>
      <c r="I1493" s="12" t="s">
        <v>1733</v>
      </c>
      <c r="J1493" s="12" t="s">
        <v>7659</v>
      </c>
      <c r="K1493" s="12" t="s">
        <v>7660</v>
      </c>
      <c r="L1493" s="12" t="s">
        <v>7661</v>
      </c>
      <c r="M1493" s="12" t="s">
        <v>7662</v>
      </c>
      <c r="N1493" s="12">
        <v>11512</v>
      </c>
      <c r="O1493" s="12">
        <v>1352</v>
      </c>
      <c r="P1493" s="12">
        <v>0</v>
      </c>
      <c r="Q1493" s="12" t="s">
        <v>7663</v>
      </c>
      <c r="R1493" s="15" t="s">
        <v>7664</v>
      </c>
      <c r="S1493" s="12">
        <v>141</v>
      </c>
      <c r="T1493" s="12" t="s">
        <v>39</v>
      </c>
      <c r="U1493" s="12" t="s">
        <v>7665</v>
      </c>
      <c r="V1493" s="12" t="s">
        <v>586</v>
      </c>
      <c r="W1493" s="12">
        <v>35000000</v>
      </c>
      <c r="X1493" s="12">
        <v>1998</v>
      </c>
      <c r="Y1493" s="12">
        <v>316</v>
      </c>
      <c r="Z1493" s="12">
        <v>4.8</v>
      </c>
      <c r="AA1493" s="12">
        <v>2.35</v>
      </c>
      <c r="AB1493" s="12">
        <v>471</v>
      </c>
      <c r="AC1493" s="12"/>
      <c r="AD1493" s="12" t="str">
        <f>IFERROR(__xludf.DUMMYFUNCTION("""COMPUTED_VALUE"""),"Tim Matheson")</f>
        <v>Tim Matheson</v>
      </c>
      <c r="AE1493" s="12"/>
    </row>
    <row r="1494" customHeight="1" spans="1:31">
      <c r="A1494" s="11" t="s">
        <v>30</v>
      </c>
      <c r="B1494" s="11" t="s">
        <v>508</v>
      </c>
      <c r="C1494" s="11">
        <v>233</v>
      </c>
      <c r="D1494" s="11">
        <v>109</v>
      </c>
      <c r="E1494" s="11">
        <v>453</v>
      </c>
      <c r="F1494" s="11">
        <v>120</v>
      </c>
      <c r="G1494" s="11">
        <v>1000</v>
      </c>
      <c r="H1494" s="11">
        <v>10499968</v>
      </c>
      <c r="I1494" s="11" t="s">
        <v>464</v>
      </c>
      <c r="J1494" s="11" t="s">
        <v>344</v>
      </c>
      <c r="K1494" s="11" t="s">
        <v>4249</v>
      </c>
      <c r="L1494" s="11" t="s">
        <v>7666</v>
      </c>
      <c r="M1494" s="11" t="s">
        <v>7667</v>
      </c>
      <c r="N1494" s="11">
        <v>47498</v>
      </c>
      <c r="O1494" s="11">
        <v>1458</v>
      </c>
      <c r="P1494" s="11">
        <v>3</v>
      </c>
      <c r="Q1494" s="11" t="s">
        <v>7668</v>
      </c>
      <c r="R1494" s="14" t="s">
        <v>7669</v>
      </c>
      <c r="S1494" s="11">
        <v>212</v>
      </c>
      <c r="T1494" s="11" t="s">
        <v>39</v>
      </c>
      <c r="U1494" s="11" t="s">
        <v>40</v>
      </c>
      <c r="V1494" s="11" t="s">
        <v>586</v>
      </c>
      <c r="W1494" s="11">
        <v>35000000</v>
      </c>
      <c r="X1494" s="11">
        <v>2014</v>
      </c>
      <c r="Y1494" s="11">
        <v>206</v>
      </c>
      <c r="Z1494" s="11">
        <v>5.7</v>
      </c>
      <c r="AA1494" s="11">
        <v>1.85</v>
      </c>
      <c r="AB1494" s="11">
        <v>10000</v>
      </c>
      <c r="AC1494" s="11"/>
      <c r="AD1494" s="11" t="str">
        <f>IFERROR(__xludf.DUMMYFUNCTION("""COMPUTED_VALUE"""),"Rita Wilson")</f>
        <v>Rita Wilson</v>
      </c>
      <c r="AE1494" s="11"/>
    </row>
    <row r="1495" customHeight="1" spans="1:31">
      <c r="A1495" s="12" t="s">
        <v>30</v>
      </c>
      <c r="B1495" s="12" t="s">
        <v>5082</v>
      </c>
      <c r="C1495" s="12">
        <v>112</v>
      </c>
      <c r="D1495" s="12">
        <v>102</v>
      </c>
      <c r="E1495" s="12">
        <v>241</v>
      </c>
      <c r="F1495" s="12">
        <v>127</v>
      </c>
      <c r="G1495" s="12">
        <v>13000</v>
      </c>
      <c r="H1495" s="12">
        <v>7659747</v>
      </c>
      <c r="I1495" s="12" t="s">
        <v>1157</v>
      </c>
      <c r="J1495" s="12" t="s">
        <v>465</v>
      </c>
      <c r="K1495" s="12" t="s">
        <v>190</v>
      </c>
      <c r="L1495" s="12" t="s">
        <v>7670</v>
      </c>
      <c r="M1495" s="12" t="s">
        <v>7671</v>
      </c>
      <c r="N1495" s="12">
        <v>14962</v>
      </c>
      <c r="O1495" s="12">
        <v>14165</v>
      </c>
      <c r="P1495" s="12">
        <v>1</v>
      </c>
      <c r="Q1495" s="12" t="s">
        <v>7672</v>
      </c>
      <c r="R1495" s="15" t="s">
        <v>7673</v>
      </c>
      <c r="S1495" s="12">
        <v>204</v>
      </c>
      <c r="T1495" s="12" t="s">
        <v>39</v>
      </c>
      <c r="U1495" s="12" t="s">
        <v>40</v>
      </c>
      <c r="V1495" s="12" t="s">
        <v>586</v>
      </c>
      <c r="W1495" s="12">
        <v>38000000</v>
      </c>
      <c r="X1495" s="12">
        <v>2003</v>
      </c>
      <c r="Y1495" s="12">
        <v>891</v>
      </c>
      <c r="Z1495" s="12">
        <v>5.1</v>
      </c>
      <c r="AA1495" s="12">
        <v>1.85</v>
      </c>
      <c r="AB1495" s="12">
        <v>704</v>
      </c>
      <c r="AC1495" s="12"/>
      <c r="AD1495" s="12" t="str">
        <f>IFERROR(__xludf.DUMMYFUNCTION("""COMPUTED_VALUE"""),"J.D. Evermore")</f>
        <v>J.D. Evermore</v>
      </c>
      <c r="AE1495" s="12"/>
    </row>
    <row r="1496" customHeight="1" spans="1:31">
      <c r="A1496" s="11" t="s">
        <v>30</v>
      </c>
      <c r="B1496" s="11" t="s">
        <v>7674</v>
      </c>
      <c r="C1496" s="11">
        <v>151</v>
      </c>
      <c r="D1496" s="11">
        <v>103</v>
      </c>
      <c r="E1496" s="11">
        <v>189</v>
      </c>
      <c r="F1496" s="11">
        <v>766</v>
      </c>
      <c r="G1496" s="11">
        <v>3000</v>
      </c>
      <c r="H1496" s="11">
        <v>7948159</v>
      </c>
      <c r="I1496" s="11" t="s">
        <v>464</v>
      </c>
      <c r="J1496" s="11" t="s">
        <v>5446</v>
      </c>
      <c r="K1496" s="11" t="s">
        <v>994</v>
      </c>
      <c r="L1496" s="11" t="s">
        <v>965</v>
      </c>
      <c r="M1496" s="11" t="s">
        <v>7675</v>
      </c>
      <c r="N1496" s="11">
        <v>48999</v>
      </c>
      <c r="O1496" s="11">
        <v>6563</v>
      </c>
      <c r="P1496" s="11">
        <v>1</v>
      </c>
      <c r="Q1496" s="11" t="s">
        <v>7676</v>
      </c>
      <c r="R1496" s="14" t="s">
        <v>7677</v>
      </c>
      <c r="S1496" s="11">
        <v>280</v>
      </c>
      <c r="T1496" s="11" t="s">
        <v>39</v>
      </c>
      <c r="U1496" s="11" t="s">
        <v>40</v>
      </c>
      <c r="V1496" s="11" t="s">
        <v>586</v>
      </c>
      <c r="W1496" s="11">
        <v>35000000</v>
      </c>
      <c r="X1496" s="11">
        <v>2008</v>
      </c>
      <c r="Y1496" s="11">
        <v>967</v>
      </c>
      <c r="Z1496" s="11">
        <v>6</v>
      </c>
      <c r="AA1496" s="11">
        <v>2.35</v>
      </c>
      <c r="AB1496" s="11">
        <v>0</v>
      </c>
      <c r="AC1496" s="11"/>
      <c r="AD1496" s="11" t="str">
        <f>IFERROR(__xludf.DUMMYFUNCTION("""COMPUTED_VALUE"""),"Rachel Roberts")</f>
        <v>Rachel Roberts</v>
      </c>
      <c r="AE1496" s="11"/>
    </row>
    <row r="1497" customHeight="1" spans="1:31">
      <c r="A1497" s="12" t="s">
        <v>30</v>
      </c>
      <c r="B1497" s="12" t="s">
        <v>5112</v>
      </c>
      <c r="C1497" s="12">
        <v>63</v>
      </c>
      <c r="D1497" s="12">
        <v>83</v>
      </c>
      <c r="E1497" s="12">
        <v>12</v>
      </c>
      <c r="F1497" s="12">
        <v>690</v>
      </c>
      <c r="G1497" s="12">
        <v>2000</v>
      </c>
      <c r="H1497" s="12">
        <v>11631245</v>
      </c>
      <c r="I1497" s="12" t="s">
        <v>7678</v>
      </c>
      <c r="J1497" s="12" t="s">
        <v>4373</v>
      </c>
      <c r="K1497" s="12" t="s">
        <v>904</v>
      </c>
      <c r="L1497" s="12" t="s">
        <v>6256</v>
      </c>
      <c r="M1497" s="12" t="s">
        <v>7679</v>
      </c>
      <c r="N1497" s="12">
        <v>15015</v>
      </c>
      <c r="O1497" s="12">
        <v>5022</v>
      </c>
      <c r="P1497" s="12">
        <v>5</v>
      </c>
      <c r="Q1497" s="12" t="s">
        <v>7680</v>
      </c>
      <c r="R1497" s="15" t="s">
        <v>7681</v>
      </c>
      <c r="S1497" s="12">
        <v>113</v>
      </c>
      <c r="T1497" s="12" t="s">
        <v>39</v>
      </c>
      <c r="U1497" s="12" t="s">
        <v>40</v>
      </c>
      <c r="V1497" s="12" t="s">
        <v>96</v>
      </c>
      <c r="W1497" s="12">
        <v>35000000</v>
      </c>
      <c r="X1497" s="12">
        <v>2006</v>
      </c>
      <c r="Y1497" s="12">
        <v>826</v>
      </c>
      <c r="Z1497" s="12">
        <v>4.2</v>
      </c>
      <c r="AA1497" s="12">
        <v>1.85</v>
      </c>
      <c r="AB1497" s="12">
        <v>494</v>
      </c>
      <c r="AC1497" s="12"/>
      <c r="AD1497" s="12" t="str">
        <f>IFERROR(__xludf.DUMMYFUNCTION("""COMPUTED_VALUE"""),"Harry Connick Jr.")</f>
        <v>Harry Connick Jr.</v>
      </c>
      <c r="AE1497" s="12"/>
    </row>
    <row r="1498" customHeight="1" spans="1:31">
      <c r="A1498" s="11" t="s">
        <v>30</v>
      </c>
      <c r="B1498" s="11" t="s">
        <v>436</v>
      </c>
      <c r="C1498" s="11">
        <v>335</v>
      </c>
      <c r="D1498" s="11">
        <v>123</v>
      </c>
      <c r="E1498" s="11">
        <v>0</v>
      </c>
      <c r="F1498" s="11">
        <v>6</v>
      </c>
      <c r="G1498" s="11">
        <v>23000</v>
      </c>
      <c r="H1498" s="11">
        <v>10137502</v>
      </c>
      <c r="I1498" s="11" t="s">
        <v>7682</v>
      </c>
      <c r="J1498" s="11" t="s">
        <v>63</v>
      </c>
      <c r="K1498" s="11" t="s">
        <v>7683</v>
      </c>
      <c r="L1498" s="11" t="s">
        <v>7684</v>
      </c>
      <c r="M1498" s="11" t="s">
        <v>7685</v>
      </c>
      <c r="N1498" s="11">
        <v>77394</v>
      </c>
      <c r="O1498" s="11">
        <v>23031</v>
      </c>
      <c r="P1498" s="11">
        <v>0</v>
      </c>
      <c r="Q1498" s="11" t="s">
        <v>7686</v>
      </c>
      <c r="R1498" s="14" t="s">
        <v>7687</v>
      </c>
      <c r="S1498" s="11">
        <v>195</v>
      </c>
      <c r="T1498" s="11" t="s">
        <v>39</v>
      </c>
      <c r="U1498" s="11" t="s">
        <v>40</v>
      </c>
      <c r="V1498" s="11" t="s">
        <v>96</v>
      </c>
      <c r="W1498" s="11">
        <v>35000000</v>
      </c>
      <c r="X1498" s="11">
        <v>2015</v>
      </c>
      <c r="Y1498" s="11">
        <v>22</v>
      </c>
      <c r="Z1498" s="11">
        <v>7.4</v>
      </c>
      <c r="AA1498" s="11">
        <v>2.35</v>
      </c>
      <c r="AB1498" s="11">
        <v>24000</v>
      </c>
      <c r="AC1498" s="11"/>
      <c r="AD1498" s="11" t="str">
        <f>IFERROR(__xludf.DUMMYFUNCTION("""COMPUTED_VALUE"""),"Tim Daly")</f>
        <v>Tim Daly</v>
      </c>
      <c r="AE1498" s="11"/>
    </row>
    <row r="1499" customHeight="1" spans="1:31">
      <c r="A1499" s="12" t="s">
        <v>30</v>
      </c>
      <c r="B1499" s="12" t="s">
        <v>7688</v>
      </c>
      <c r="C1499" s="12">
        <v>24</v>
      </c>
      <c r="D1499" s="12">
        <v>101</v>
      </c>
      <c r="E1499" s="12">
        <v>31</v>
      </c>
      <c r="F1499" s="12">
        <v>448</v>
      </c>
      <c r="G1499" s="12">
        <v>690</v>
      </c>
      <c r="H1499" s="12">
        <v>6448817</v>
      </c>
      <c r="I1499" s="12" t="s">
        <v>43</v>
      </c>
      <c r="J1499" s="12" t="s">
        <v>7689</v>
      </c>
      <c r="K1499" s="12" t="s">
        <v>7690</v>
      </c>
      <c r="L1499" s="12" t="s">
        <v>7691</v>
      </c>
      <c r="M1499" s="12" t="s">
        <v>7692</v>
      </c>
      <c r="N1499" s="12">
        <v>2189</v>
      </c>
      <c r="O1499" s="12">
        <v>1993</v>
      </c>
      <c r="P1499" s="12">
        <v>0</v>
      </c>
      <c r="Q1499" s="12" t="s">
        <v>7693</v>
      </c>
      <c r="R1499" s="15" t="s">
        <v>7694</v>
      </c>
      <c r="S1499" s="12">
        <v>31</v>
      </c>
      <c r="T1499" s="12" t="s">
        <v>39</v>
      </c>
      <c r="U1499" s="12" t="s">
        <v>40</v>
      </c>
      <c r="V1499" s="12" t="s">
        <v>96</v>
      </c>
      <c r="W1499" s="12">
        <v>35000000</v>
      </c>
      <c r="X1499" s="12">
        <v>1997</v>
      </c>
      <c r="Y1499" s="12">
        <v>457</v>
      </c>
      <c r="Z1499" s="12">
        <v>4.6</v>
      </c>
      <c r="AA1499" s="12">
        <v>2.35</v>
      </c>
      <c r="AB1499" s="12">
        <v>0</v>
      </c>
      <c r="AC1499" s="12"/>
      <c r="AD1499" s="12" t="str">
        <f>IFERROR(__xludf.DUMMYFUNCTION("""COMPUTED_VALUE"""),"Rick Hoffman")</f>
        <v>Rick Hoffman</v>
      </c>
      <c r="AE1499" s="12"/>
    </row>
    <row r="1500" customHeight="1" spans="1:31">
      <c r="A1500" s="11" t="s">
        <v>30</v>
      </c>
      <c r="B1500" s="11" t="s">
        <v>188</v>
      </c>
      <c r="C1500" s="11">
        <v>147</v>
      </c>
      <c r="D1500" s="11">
        <v>117</v>
      </c>
      <c r="E1500" s="11">
        <v>0</v>
      </c>
      <c r="F1500" s="11">
        <v>567</v>
      </c>
      <c r="G1500" s="11">
        <v>883</v>
      </c>
      <c r="H1500" s="11">
        <v>7458269</v>
      </c>
      <c r="I1500" s="11" t="s">
        <v>1415</v>
      </c>
      <c r="J1500" s="11" t="s">
        <v>1513</v>
      </c>
      <c r="K1500" s="11" t="s">
        <v>241</v>
      </c>
      <c r="L1500" s="11" t="s">
        <v>374</v>
      </c>
      <c r="M1500" s="11" t="s">
        <v>7695</v>
      </c>
      <c r="N1500" s="11">
        <v>70698</v>
      </c>
      <c r="O1500" s="11">
        <v>3611</v>
      </c>
      <c r="P1500" s="11">
        <v>1</v>
      </c>
      <c r="Q1500" s="11" t="s">
        <v>7696</v>
      </c>
      <c r="R1500" s="14" t="s">
        <v>7697</v>
      </c>
      <c r="S1500" s="11">
        <v>196</v>
      </c>
      <c r="T1500" s="11" t="s">
        <v>39</v>
      </c>
      <c r="U1500" s="11" t="s">
        <v>40</v>
      </c>
      <c r="V1500" s="11" t="s">
        <v>41</v>
      </c>
      <c r="W1500" s="11">
        <v>35000000</v>
      </c>
      <c r="X1500" s="11">
        <v>2006</v>
      </c>
      <c r="Y1500" s="11">
        <v>883</v>
      </c>
      <c r="Z1500" s="11">
        <v>6.9</v>
      </c>
      <c r="AA1500" s="11">
        <v>2.35</v>
      </c>
      <c r="AB1500" s="11">
        <v>9000</v>
      </c>
      <c r="AC1500" s="11"/>
      <c r="AD1500" s="11" t="str">
        <f>IFERROR(__xludf.DUMMYFUNCTION("""COMPUTED_VALUE"""),"Valeria Golino")</f>
        <v>Valeria Golino</v>
      </c>
      <c r="AE1500" s="11"/>
    </row>
    <row r="1501" customHeight="1" spans="1:31">
      <c r="A1501" s="12" t="s">
        <v>30</v>
      </c>
      <c r="B1501" s="16"/>
      <c r="C1501" s="12">
        <v>51</v>
      </c>
      <c r="D1501" s="12">
        <v>60</v>
      </c>
      <c r="E1501" s="16"/>
      <c r="F1501" s="12">
        <v>256</v>
      </c>
      <c r="G1501" s="12">
        <v>2000</v>
      </c>
      <c r="H1501" s="16"/>
      <c r="I1501" s="12" t="s">
        <v>2142</v>
      </c>
      <c r="J1501" s="12" t="s">
        <v>137</v>
      </c>
      <c r="K1501" s="12" t="s">
        <v>3519</v>
      </c>
      <c r="L1501" s="12" t="s">
        <v>7698</v>
      </c>
      <c r="M1501" s="12" t="s">
        <v>7699</v>
      </c>
      <c r="N1501" s="12">
        <v>70568</v>
      </c>
      <c r="O1501" s="12">
        <v>3823</v>
      </c>
      <c r="P1501" s="12">
        <v>1</v>
      </c>
      <c r="Q1501" s="12" t="s">
        <v>7700</v>
      </c>
      <c r="R1501" s="15" t="s">
        <v>7701</v>
      </c>
      <c r="S1501" s="12">
        <v>105</v>
      </c>
      <c r="T1501" s="12" t="s">
        <v>39</v>
      </c>
      <c r="U1501" s="12" t="s">
        <v>58</v>
      </c>
      <c r="V1501" s="12" t="s">
        <v>2636</v>
      </c>
      <c r="W1501" s="16"/>
      <c r="X1501" s="16"/>
      <c r="Y1501" s="12">
        <v>729</v>
      </c>
      <c r="Z1501" s="12">
        <v>8.6</v>
      </c>
      <c r="AA1501" s="12">
        <v>16</v>
      </c>
      <c r="AB1501" s="12">
        <v>20000</v>
      </c>
      <c r="AC1501" s="12"/>
      <c r="AD1501" s="12" t="str">
        <f>IFERROR(__xludf.DUMMYFUNCTION("""COMPUTED_VALUE"""),"Michelle Forbes")</f>
        <v>Michelle Forbes</v>
      </c>
      <c r="AE1501" s="12"/>
    </row>
    <row r="1502" customHeight="1" spans="1:31">
      <c r="A1502" s="11" t="s">
        <v>30</v>
      </c>
      <c r="B1502" s="11" t="s">
        <v>1059</v>
      </c>
      <c r="C1502" s="11">
        <v>10</v>
      </c>
      <c r="D1502" s="11">
        <v>114</v>
      </c>
      <c r="E1502" s="11">
        <v>503</v>
      </c>
      <c r="F1502" s="11">
        <v>697</v>
      </c>
      <c r="G1502" s="11">
        <v>2000</v>
      </c>
      <c r="H1502" s="11">
        <v>4651977</v>
      </c>
      <c r="I1502" s="11" t="s">
        <v>3410</v>
      </c>
      <c r="J1502" s="11" t="s">
        <v>1523</v>
      </c>
      <c r="K1502" s="11" t="s">
        <v>4600</v>
      </c>
      <c r="L1502" s="11" t="s">
        <v>3198</v>
      </c>
      <c r="M1502" s="11" t="s">
        <v>7702</v>
      </c>
      <c r="N1502" s="11">
        <v>10410</v>
      </c>
      <c r="O1502" s="11">
        <v>4334</v>
      </c>
      <c r="P1502" s="11">
        <v>3</v>
      </c>
      <c r="Q1502" s="11" t="s">
        <v>7703</v>
      </c>
      <c r="R1502" s="14" t="s">
        <v>7704</v>
      </c>
      <c r="S1502" s="11">
        <v>71</v>
      </c>
      <c r="T1502" s="11" t="s">
        <v>39</v>
      </c>
      <c r="U1502" s="11" t="s">
        <v>40</v>
      </c>
      <c r="V1502" s="11" t="s">
        <v>41</v>
      </c>
      <c r="W1502" s="11">
        <v>35000000</v>
      </c>
      <c r="X1502" s="11">
        <v>1992</v>
      </c>
      <c r="Y1502" s="11">
        <v>864</v>
      </c>
      <c r="Z1502" s="11">
        <v>6.9</v>
      </c>
      <c r="AA1502" s="11">
        <v>2.35</v>
      </c>
      <c r="AB1502" s="11">
        <v>892</v>
      </c>
      <c r="AC1502" s="11"/>
      <c r="AD1502" s="11" t="str">
        <f>IFERROR(__xludf.DUMMYFUNCTION("""COMPUTED_VALUE"""),"Grey Damon")</f>
        <v>Grey Damon</v>
      </c>
      <c r="AE1502" s="11"/>
    </row>
    <row r="1503" customHeight="1" spans="1:31">
      <c r="A1503" s="12" t="s">
        <v>30</v>
      </c>
      <c r="B1503" s="12" t="s">
        <v>3779</v>
      </c>
      <c r="C1503" s="12">
        <v>12</v>
      </c>
      <c r="D1503" s="12">
        <v>330</v>
      </c>
      <c r="E1503" s="12">
        <v>138</v>
      </c>
      <c r="F1503" s="12">
        <v>672</v>
      </c>
      <c r="G1503" s="12">
        <v>848</v>
      </c>
      <c r="H1503" s="12">
        <v>4496583</v>
      </c>
      <c r="I1503" s="12" t="s">
        <v>1936</v>
      </c>
      <c r="J1503" s="12" t="s">
        <v>472</v>
      </c>
      <c r="K1503" s="12" t="s">
        <v>6691</v>
      </c>
      <c r="L1503" s="12" t="s">
        <v>2435</v>
      </c>
      <c r="M1503" s="12" t="s">
        <v>7705</v>
      </c>
      <c r="N1503" s="12">
        <v>23181</v>
      </c>
      <c r="O1503" s="12">
        <v>3227</v>
      </c>
      <c r="P1503" s="12">
        <v>2</v>
      </c>
      <c r="Q1503" s="12" t="s">
        <v>7706</v>
      </c>
      <c r="R1503" s="15" t="s">
        <v>7707</v>
      </c>
      <c r="S1503" s="12">
        <v>129</v>
      </c>
      <c r="T1503" s="12" t="s">
        <v>39</v>
      </c>
      <c r="U1503" s="12" t="s">
        <v>40</v>
      </c>
      <c r="V1503" s="12" t="s">
        <v>586</v>
      </c>
      <c r="W1503" s="12">
        <v>35000000</v>
      </c>
      <c r="X1503" s="12">
        <v>1993</v>
      </c>
      <c r="Y1503" s="12">
        <v>674</v>
      </c>
      <c r="Z1503" s="12">
        <v>8</v>
      </c>
      <c r="AA1503" s="12">
        <v>1.66</v>
      </c>
      <c r="AB1503" s="12">
        <v>6000</v>
      </c>
      <c r="AC1503" s="12"/>
      <c r="AD1503" s="12" t="str">
        <f>IFERROR(__xludf.DUMMYFUNCTION("""COMPUTED_VALUE"""),"Brittany Curran")</f>
        <v>Brittany Curran</v>
      </c>
      <c r="AE1503" s="12"/>
    </row>
    <row r="1504" customHeight="1" spans="1:31">
      <c r="A1504" s="11" t="s">
        <v>30</v>
      </c>
      <c r="B1504" s="11" t="s">
        <v>7708</v>
      </c>
      <c r="C1504" s="11">
        <v>50</v>
      </c>
      <c r="D1504" s="11">
        <v>121</v>
      </c>
      <c r="E1504" s="11">
        <v>55</v>
      </c>
      <c r="F1504" s="11">
        <v>918</v>
      </c>
      <c r="G1504" s="11">
        <v>1000</v>
      </c>
      <c r="H1504" s="11">
        <v>2221994</v>
      </c>
      <c r="I1504" s="11" t="s">
        <v>1391</v>
      </c>
      <c r="J1504" s="11" t="s">
        <v>393</v>
      </c>
      <c r="K1504" s="11" t="s">
        <v>138</v>
      </c>
      <c r="L1504" s="11" t="s">
        <v>689</v>
      </c>
      <c r="M1504" s="11" t="s">
        <v>7709</v>
      </c>
      <c r="N1504" s="11">
        <v>11747</v>
      </c>
      <c r="O1504" s="11">
        <v>3125</v>
      </c>
      <c r="P1504" s="11">
        <v>1</v>
      </c>
      <c r="Q1504" s="11" t="s">
        <v>7710</v>
      </c>
      <c r="R1504" s="14" t="s">
        <v>7711</v>
      </c>
      <c r="S1504" s="11">
        <v>99</v>
      </c>
      <c r="T1504" s="11" t="s">
        <v>39</v>
      </c>
      <c r="U1504" s="11" t="s">
        <v>7712</v>
      </c>
      <c r="V1504" s="11" t="s">
        <v>586</v>
      </c>
      <c r="W1504" s="11">
        <v>35000000</v>
      </c>
      <c r="X1504" s="11">
        <v>1997</v>
      </c>
      <c r="Y1504" s="11">
        <v>1000</v>
      </c>
      <c r="Z1504" s="11">
        <v>6.4</v>
      </c>
      <c r="AA1504" s="11">
        <v>2.35</v>
      </c>
      <c r="AB1504" s="11">
        <v>561</v>
      </c>
      <c r="AC1504" s="11"/>
      <c r="AD1504" s="11" t="str">
        <f>IFERROR(__xludf.DUMMYFUNCTION("""COMPUTED_VALUE"""),"Aaron Hill")</f>
        <v>Aaron Hill</v>
      </c>
      <c r="AE1504" s="11"/>
    </row>
    <row r="1505" customHeight="1" spans="1:31">
      <c r="A1505" s="12" t="s">
        <v>30</v>
      </c>
      <c r="B1505" s="12" t="s">
        <v>2247</v>
      </c>
      <c r="C1505" s="12">
        <v>149</v>
      </c>
      <c r="D1505" s="12">
        <v>114</v>
      </c>
      <c r="E1505" s="12">
        <v>0</v>
      </c>
      <c r="F1505" s="12">
        <v>115</v>
      </c>
      <c r="G1505" s="12">
        <v>548</v>
      </c>
      <c r="H1505" s="12">
        <v>6592103</v>
      </c>
      <c r="I1505" s="12" t="s">
        <v>2142</v>
      </c>
      <c r="J1505" s="12" t="s">
        <v>3202</v>
      </c>
      <c r="K1505" s="12" t="s">
        <v>3486</v>
      </c>
      <c r="L1505" s="12" t="s">
        <v>7713</v>
      </c>
      <c r="M1505" s="12" t="s">
        <v>7714</v>
      </c>
      <c r="N1505" s="12">
        <v>28584</v>
      </c>
      <c r="O1505" s="12">
        <v>1005</v>
      </c>
      <c r="P1505" s="12">
        <v>1</v>
      </c>
      <c r="Q1505" s="12" t="s">
        <v>7715</v>
      </c>
      <c r="R1505" s="15" t="s">
        <v>7716</v>
      </c>
      <c r="S1505" s="12">
        <v>232</v>
      </c>
      <c r="T1505" s="12" t="s">
        <v>39</v>
      </c>
      <c r="U1505" s="12" t="s">
        <v>1466</v>
      </c>
      <c r="V1505" s="12" t="s">
        <v>586</v>
      </c>
      <c r="W1505" s="12">
        <v>35000000</v>
      </c>
      <c r="X1505" s="12">
        <v>2002</v>
      </c>
      <c r="Y1505" s="12">
        <v>298</v>
      </c>
      <c r="Z1505" s="12">
        <v>6.3</v>
      </c>
      <c r="AA1505" s="12">
        <v>1.85</v>
      </c>
      <c r="AB1505" s="12">
        <v>675</v>
      </c>
      <c r="AC1505" s="12"/>
      <c r="AD1505" s="12" t="str">
        <f>IFERROR(__xludf.DUMMYFUNCTION("""COMPUTED_VALUE"""),"M. Emmet Walsh")</f>
        <v>M. Emmet Walsh</v>
      </c>
      <c r="AE1505" s="12"/>
    </row>
    <row r="1506" customHeight="1" spans="1:31">
      <c r="A1506" s="11" t="s">
        <v>748</v>
      </c>
      <c r="B1506" s="11" t="s">
        <v>7717</v>
      </c>
      <c r="C1506" s="11">
        <v>24</v>
      </c>
      <c r="D1506" s="11">
        <v>156</v>
      </c>
      <c r="E1506" s="11">
        <v>278</v>
      </c>
      <c r="F1506" s="11">
        <v>249</v>
      </c>
      <c r="G1506" s="11">
        <v>695</v>
      </c>
      <c r="H1506" s="13"/>
      <c r="I1506" s="11" t="s">
        <v>3241</v>
      </c>
      <c r="J1506" s="11" t="s">
        <v>1695</v>
      </c>
      <c r="K1506" s="11" t="s">
        <v>5807</v>
      </c>
      <c r="L1506" s="11" t="s">
        <v>3133</v>
      </c>
      <c r="M1506" s="11" t="s">
        <v>7718</v>
      </c>
      <c r="N1506" s="11">
        <v>9852</v>
      </c>
      <c r="O1506" s="11">
        <v>1573</v>
      </c>
      <c r="P1506" s="11">
        <v>0</v>
      </c>
      <c r="Q1506" s="11" t="s">
        <v>7719</v>
      </c>
      <c r="R1506" s="14" t="s">
        <v>7720</v>
      </c>
      <c r="S1506" s="11">
        <v>55</v>
      </c>
      <c r="T1506" s="11" t="s">
        <v>39</v>
      </c>
      <c r="U1506" s="11" t="s">
        <v>7721</v>
      </c>
      <c r="V1506" s="11" t="s">
        <v>96</v>
      </c>
      <c r="W1506" s="11">
        <v>35000000</v>
      </c>
      <c r="X1506" s="11">
        <v>1980</v>
      </c>
      <c r="Y1506" s="11">
        <v>279</v>
      </c>
      <c r="Z1506" s="11">
        <v>8.4</v>
      </c>
      <c r="AA1506" s="11">
        <v>2.35</v>
      </c>
      <c r="AB1506" s="11">
        <v>0</v>
      </c>
      <c r="AC1506" s="11"/>
      <c r="AD1506" s="11" t="str">
        <f>IFERROR(__xludf.DUMMYFUNCTION("""COMPUTED_VALUE"""),"Donald Watkins")</f>
        <v>Donald Watkins</v>
      </c>
      <c r="AE1506" s="11"/>
    </row>
    <row r="1507" customHeight="1" spans="1:31">
      <c r="A1507" s="12" t="s">
        <v>30</v>
      </c>
      <c r="B1507" s="12" t="s">
        <v>7722</v>
      </c>
      <c r="C1507" s="12">
        <v>28</v>
      </c>
      <c r="D1507" s="12">
        <v>135</v>
      </c>
      <c r="E1507" s="12">
        <v>22</v>
      </c>
      <c r="F1507" s="12">
        <v>45</v>
      </c>
      <c r="G1507" s="12">
        <v>837</v>
      </c>
      <c r="H1507" s="12">
        <v>1877179</v>
      </c>
      <c r="I1507" s="12" t="s">
        <v>1222</v>
      </c>
      <c r="J1507" s="12" t="s">
        <v>5177</v>
      </c>
      <c r="K1507" s="12" t="s">
        <v>6898</v>
      </c>
      <c r="L1507" s="12" t="s">
        <v>7723</v>
      </c>
      <c r="M1507" s="12" t="s">
        <v>7724</v>
      </c>
      <c r="N1507" s="12">
        <v>4885</v>
      </c>
      <c r="O1507" s="12">
        <v>1508</v>
      </c>
      <c r="P1507" s="12">
        <v>1</v>
      </c>
      <c r="Q1507" s="12" t="s">
        <v>7725</v>
      </c>
      <c r="R1507" s="15" t="s">
        <v>7726</v>
      </c>
      <c r="S1507" s="12">
        <v>25</v>
      </c>
      <c r="T1507" s="12" t="s">
        <v>1465</v>
      </c>
      <c r="U1507" s="12" t="s">
        <v>1466</v>
      </c>
      <c r="V1507" s="12" t="s">
        <v>586</v>
      </c>
      <c r="W1507" s="16"/>
      <c r="X1507" s="12">
        <v>1995</v>
      </c>
      <c r="Y1507" s="12">
        <v>541</v>
      </c>
      <c r="Z1507" s="12">
        <v>7.1</v>
      </c>
      <c r="AA1507" s="12">
        <v>2.35</v>
      </c>
      <c r="AB1507" s="12">
        <v>262</v>
      </c>
      <c r="AC1507" s="12"/>
      <c r="AD1507" s="12" t="str">
        <f>IFERROR(__xludf.DUMMYFUNCTION("""COMPUTED_VALUE"""),"Jessica Collins")</f>
        <v>Jessica Collins</v>
      </c>
      <c r="AE1507" s="12"/>
    </row>
    <row r="1508" customHeight="1" spans="1:31">
      <c r="A1508" s="11" t="s">
        <v>30</v>
      </c>
      <c r="B1508" s="11" t="s">
        <v>1065</v>
      </c>
      <c r="C1508" s="11">
        <v>95</v>
      </c>
      <c r="D1508" s="11">
        <v>148</v>
      </c>
      <c r="E1508" s="11">
        <v>0</v>
      </c>
      <c r="F1508" s="11">
        <v>0</v>
      </c>
      <c r="G1508" s="11">
        <v>3</v>
      </c>
      <c r="H1508" s="11">
        <v>630779</v>
      </c>
      <c r="I1508" s="11" t="s">
        <v>7727</v>
      </c>
      <c r="J1508" s="11" t="s">
        <v>7728</v>
      </c>
      <c r="K1508" s="11" t="s">
        <v>7729</v>
      </c>
      <c r="L1508" s="11" t="s">
        <v>7730</v>
      </c>
      <c r="M1508" s="11" t="s">
        <v>7731</v>
      </c>
      <c r="N1508" s="11">
        <v>11101</v>
      </c>
      <c r="O1508" s="11">
        <v>5</v>
      </c>
      <c r="P1508" s="11">
        <v>0</v>
      </c>
      <c r="Q1508" s="11" t="s">
        <v>7732</v>
      </c>
      <c r="R1508" s="14" t="s">
        <v>7733</v>
      </c>
      <c r="S1508" s="11">
        <v>159</v>
      </c>
      <c r="T1508" s="11" t="s">
        <v>39</v>
      </c>
      <c r="U1508" s="11" t="s">
        <v>40</v>
      </c>
      <c r="V1508" s="11" t="s">
        <v>586</v>
      </c>
      <c r="W1508" s="11">
        <v>35000000</v>
      </c>
      <c r="X1508" s="11">
        <v>1999</v>
      </c>
      <c r="Y1508" s="11">
        <v>2</v>
      </c>
      <c r="Z1508" s="11">
        <v>6.8</v>
      </c>
      <c r="AA1508" s="11">
        <v>2.35</v>
      </c>
      <c r="AB1508" s="11">
        <v>633</v>
      </c>
      <c r="AC1508" s="11"/>
      <c r="AD1508" s="11" t="str">
        <f>IFERROR(__xludf.DUMMYFUNCTION("""COMPUTED_VALUE"""),"Vanessa Ferlito")</f>
        <v>Vanessa Ferlito</v>
      </c>
      <c r="AE1508" s="11"/>
    </row>
    <row r="1509" customHeight="1" spans="1:31">
      <c r="A1509" s="12" t="s">
        <v>30</v>
      </c>
      <c r="B1509" s="12" t="s">
        <v>1134</v>
      </c>
      <c r="C1509" s="12">
        <v>288</v>
      </c>
      <c r="D1509" s="12">
        <v>148</v>
      </c>
      <c r="E1509" s="12">
        <v>0</v>
      </c>
      <c r="F1509" s="12">
        <v>7</v>
      </c>
      <c r="G1509" s="12">
        <v>30</v>
      </c>
      <c r="H1509" s="12">
        <v>5100937</v>
      </c>
      <c r="I1509" s="12" t="s">
        <v>3410</v>
      </c>
      <c r="J1509" s="12" t="s">
        <v>7734</v>
      </c>
      <c r="K1509" s="12" t="s">
        <v>7735</v>
      </c>
      <c r="L1509" s="12" t="s">
        <v>7736</v>
      </c>
      <c r="M1509" s="12" t="s">
        <v>7737</v>
      </c>
      <c r="N1509" s="12">
        <v>68885</v>
      </c>
      <c r="O1509" s="12">
        <v>50</v>
      </c>
      <c r="P1509" s="12">
        <v>0</v>
      </c>
      <c r="Q1509" s="12" t="s">
        <v>7738</v>
      </c>
      <c r="R1509" s="15" t="s">
        <v>7739</v>
      </c>
      <c r="S1509" s="12">
        <v>127</v>
      </c>
      <c r="T1509" s="12" t="s">
        <v>2779</v>
      </c>
      <c r="U1509" s="12" t="s">
        <v>2914</v>
      </c>
      <c r="V1509" s="12" t="s">
        <v>586</v>
      </c>
      <c r="W1509" s="16"/>
      <c r="X1509" s="12">
        <v>2010</v>
      </c>
      <c r="Y1509" s="12">
        <v>9</v>
      </c>
      <c r="Z1509" s="12">
        <v>7.5</v>
      </c>
      <c r="AA1509" s="12">
        <v>2.35</v>
      </c>
      <c r="AB1509" s="12">
        <v>29000</v>
      </c>
      <c r="AC1509" s="12"/>
      <c r="AD1509" s="12" t="str">
        <f>IFERROR(__xludf.DUMMYFUNCTION("""COMPUTED_VALUE"""),"Raza Jaffrey")</f>
        <v>Raza Jaffrey</v>
      </c>
      <c r="AE1509" s="12"/>
    </row>
    <row r="1510" customHeight="1" spans="1:31">
      <c r="A1510" s="11" t="s">
        <v>30</v>
      </c>
      <c r="B1510" s="11" t="s">
        <v>577</v>
      </c>
      <c r="C1510" s="11">
        <v>10</v>
      </c>
      <c r="D1510" s="11">
        <v>109</v>
      </c>
      <c r="E1510" s="11">
        <v>596</v>
      </c>
      <c r="F1510" s="11">
        <v>282</v>
      </c>
      <c r="G1510" s="11">
        <v>621</v>
      </c>
      <c r="H1510" s="13"/>
      <c r="I1510" s="11" t="s">
        <v>578</v>
      </c>
      <c r="J1510" s="11" t="s">
        <v>579</v>
      </c>
      <c r="K1510" s="11" t="s">
        <v>580</v>
      </c>
      <c r="L1510" s="11" t="s">
        <v>581</v>
      </c>
      <c r="M1510" s="11" t="s">
        <v>582</v>
      </c>
      <c r="N1510" s="11">
        <v>2138</v>
      </c>
      <c r="O1510" s="11">
        <v>1980</v>
      </c>
      <c r="P1510" s="11">
        <v>3</v>
      </c>
      <c r="Q1510" s="11" t="s">
        <v>583</v>
      </c>
      <c r="R1510" s="14" t="s">
        <v>584</v>
      </c>
      <c r="S1510" s="11">
        <v>15</v>
      </c>
      <c r="T1510" s="11" t="s">
        <v>39</v>
      </c>
      <c r="U1510" s="11" t="s">
        <v>585</v>
      </c>
      <c r="V1510" s="11" t="s">
        <v>586</v>
      </c>
      <c r="W1510" s="13"/>
      <c r="X1510" s="11">
        <v>2015</v>
      </c>
      <c r="Y1510" s="11">
        <v>525</v>
      </c>
      <c r="Z1510" s="11">
        <v>4.5</v>
      </c>
      <c r="AA1510" s="13"/>
      <c r="AB1510" s="11">
        <v>677</v>
      </c>
      <c r="AC1510" s="11"/>
      <c r="AD1510" s="11" t="str">
        <f>IFERROR(__xludf.DUMMYFUNCTION("""COMPUTED_VALUE"""),"Paul Brooke")</f>
        <v>Paul Brooke</v>
      </c>
      <c r="AE1510" s="11"/>
    </row>
    <row r="1511" customHeight="1" spans="1:31">
      <c r="A1511" s="12" t="s">
        <v>30</v>
      </c>
      <c r="B1511" s="12" t="s">
        <v>7740</v>
      </c>
      <c r="C1511" s="12">
        <v>58</v>
      </c>
      <c r="D1511" s="12">
        <v>93</v>
      </c>
      <c r="E1511" s="12">
        <v>18</v>
      </c>
      <c r="F1511" s="12">
        <v>324</v>
      </c>
      <c r="G1511" s="12">
        <v>4000</v>
      </c>
      <c r="H1511" s="16"/>
      <c r="I1511" s="12" t="s">
        <v>7741</v>
      </c>
      <c r="J1511" s="12" t="s">
        <v>495</v>
      </c>
      <c r="K1511" s="12" t="s">
        <v>1046</v>
      </c>
      <c r="L1511" s="12" t="s">
        <v>5538</v>
      </c>
      <c r="M1511" s="12" t="s">
        <v>7742</v>
      </c>
      <c r="N1511" s="12">
        <v>28848</v>
      </c>
      <c r="O1511" s="12">
        <v>5377</v>
      </c>
      <c r="P1511" s="12">
        <v>2</v>
      </c>
      <c r="Q1511" s="12" t="s">
        <v>7743</v>
      </c>
      <c r="R1511" s="15" t="s">
        <v>7744</v>
      </c>
      <c r="S1511" s="12">
        <v>76</v>
      </c>
      <c r="T1511" s="12" t="s">
        <v>39</v>
      </c>
      <c r="U1511" s="12" t="s">
        <v>1466</v>
      </c>
      <c r="V1511" s="12" t="s">
        <v>41</v>
      </c>
      <c r="W1511" s="12">
        <v>32000000</v>
      </c>
      <c r="X1511" s="12">
        <v>2006</v>
      </c>
      <c r="Y1511" s="12">
        <v>820</v>
      </c>
      <c r="Z1511" s="12">
        <v>5.7</v>
      </c>
      <c r="AA1511" s="12">
        <v>2.35</v>
      </c>
      <c r="AB1511" s="12">
        <v>0</v>
      </c>
      <c r="AC1511" s="12"/>
      <c r="AD1511" s="12" t="str">
        <f>IFERROR(__xludf.DUMMYFUNCTION("""COMPUTED_VALUE"""),"David Bailie")</f>
        <v>David Bailie</v>
      </c>
      <c r="AE1511" s="12"/>
    </row>
    <row r="1512" customHeight="1" spans="1:31">
      <c r="A1512" s="11" t="s">
        <v>30</v>
      </c>
      <c r="B1512" s="11" t="s">
        <v>7745</v>
      </c>
      <c r="C1512" s="13"/>
      <c r="D1512" s="13"/>
      <c r="E1512" s="11">
        <v>194</v>
      </c>
      <c r="F1512" s="11">
        <v>816</v>
      </c>
      <c r="G1512" s="11">
        <v>970</v>
      </c>
      <c r="H1512" s="13"/>
      <c r="I1512" s="11" t="s">
        <v>1936</v>
      </c>
      <c r="J1512" s="11" t="s">
        <v>3833</v>
      </c>
      <c r="K1512" s="11" t="s">
        <v>3660</v>
      </c>
      <c r="L1512" s="11" t="s">
        <v>7746</v>
      </c>
      <c r="M1512" s="11" t="s">
        <v>7747</v>
      </c>
      <c r="N1512" s="11">
        <v>219</v>
      </c>
      <c r="O1512" s="11">
        <v>3874</v>
      </c>
      <c r="P1512" s="11">
        <v>0</v>
      </c>
      <c r="Q1512" s="11" t="s">
        <v>7748</v>
      </c>
      <c r="R1512" s="14" t="s">
        <v>7749</v>
      </c>
      <c r="S1512" s="13"/>
      <c r="T1512" s="11" t="s">
        <v>39</v>
      </c>
      <c r="U1512" s="11" t="s">
        <v>40</v>
      </c>
      <c r="V1512" s="13"/>
      <c r="W1512" s="11">
        <v>23000000</v>
      </c>
      <c r="X1512" s="11">
        <v>2009</v>
      </c>
      <c r="Y1512" s="11">
        <v>856</v>
      </c>
      <c r="Z1512" s="11">
        <v>7.2</v>
      </c>
      <c r="AA1512" s="13"/>
      <c r="AB1512" s="11">
        <v>26</v>
      </c>
      <c r="AC1512" s="11"/>
      <c r="AD1512" s="11" t="str">
        <f>IFERROR(__xludf.DUMMYFUNCTION("""COMPUTED_VALUE"""),"Rab Affleck")</f>
        <v>Rab Affleck</v>
      </c>
      <c r="AE1512" s="11"/>
    </row>
    <row r="1513" customHeight="1" spans="1:31">
      <c r="A1513" s="12" t="s">
        <v>30</v>
      </c>
      <c r="B1513" s="12" t="s">
        <v>4022</v>
      </c>
      <c r="C1513" s="12">
        <v>297</v>
      </c>
      <c r="D1513" s="12">
        <v>113</v>
      </c>
      <c r="E1513" s="12">
        <v>47</v>
      </c>
      <c r="F1513" s="12">
        <v>129</v>
      </c>
      <c r="G1513" s="12">
        <v>988</v>
      </c>
      <c r="H1513" s="12">
        <v>102413606</v>
      </c>
      <c r="I1513" s="12" t="s">
        <v>1645</v>
      </c>
      <c r="J1513" s="12" t="s">
        <v>4023</v>
      </c>
      <c r="K1513" s="12" t="s">
        <v>7750</v>
      </c>
      <c r="L1513" s="12" t="s">
        <v>7751</v>
      </c>
      <c r="M1513" s="12" t="s">
        <v>7752</v>
      </c>
      <c r="N1513" s="12">
        <v>310903</v>
      </c>
      <c r="O1513" s="12">
        <v>1783</v>
      </c>
      <c r="P1513" s="12">
        <v>0</v>
      </c>
      <c r="Q1513" s="12" t="s">
        <v>7753</v>
      </c>
      <c r="R1513" s="15" t="s">
        <v>7754</v>
      </c>
      <c r="S1513" s="12">
        <v>524</v>
      </c>
      <c r="T1513" s="12" t="s">
        <v>39</v>
      </c>
      <c r="U1513" s="12" t="s">
        <v>40</v>
      </c>
      <c r="V1513" s="12" t="s">
        <v>41</v>
      </c>
      <c r="W1513" s="12">
        <v>34000000</v>
      </c>
      <c r="X1513" s="12">
        <v>2014</v>
      </c>
      <c r="Y1513" s="12">
        <v>149</v>
      </c>
      <c r="Z1513" s="12">
        <v>6.8</v>
      </c>
      <c r="AA1513" s="12">
        <v>2.35</v>
      </c>
      <c r="AB1513" s="12">
        <v>38000</v>
      </c>
      <c r="AC1513" s="12"/>
      <c r="AD1513" s="12" t="str">
        <f>IFERROR(__xludf.DUMMYFUNCTION("""COMPUTED_VALUE"""),"Gregory Smith")</f>
        <v>Gregory Smith</v>
      </c>
      <c r="AE1513" s="12"/>
    </row>
    <row r="1514" customHeight="1" spans="1:31">
      <c r="A1514" s="11" t="s">
        <v>30</v>
      </c>
      <c r="B1514" s="11" t="s">
        <v>7755</v>
      </c>
      <c r="C1514" s="11">
        <v>90</v>
      </c>
      <c r="D1514" s="11">
        <v>91</v>
      </c>
      <c r="E1514" s="11">
        <v>31</v>
      </c>
      <c r="F1514" s="11">
        <v>141</v>
      </c>
      <c r="G1514" s="11">
        <v>1000</v>
      </c>
      <c r="H1514" s="11">
        <v>10214013</v>
      </c>
      <c r="I1514" s="11" t="s">
        <v>1672</v>
      </c>
      <c r="J1514" s="11" t="s">
        <v>138</v>
      </c>
      <c r="K1514" s="11" t="s">
        <v>7756</v>
      </c>
      <c r="L1514" s="11" t="s">
        <v>7757</v>
      </c>
      <c r="M1514" s="11" t="s">
        <v>7758</v>
      </c>
      <c r="N1514" s="11">
        <v>23072</v>
      </c>
      <c r="O1514" s="11">
        <v>1564</v>
      </c>
      <c r="P1514" s="11">
        <v>2</v>
      </c>
      <c r="Q1514" s="11" t="s">
        <v>7759</v>
      </c>
      <c r="R1514" s="14" t="s">
        <v>7760</v>
      </c>
      <c r="S1514" s="11">
        <v>89</v>
      </c>
      <c r="T1514" s="11" t="s">
        <v>39</v>
      </c>
      <c r="U1514" s="11" t="s">
        <v>40</v>
      </c>
      <c r="V1514" s="11" t="s">
        <v>586</v>
      </c>
      <c r="W1514" s="11">
        <v>35000000</v>
      </c>
      <c r="X1514" s="11">
        <v>2015</v>
      </c>
      <c r="Y1514" s="11">
        <v>249</v>
      </c>
      <c r="Z1514" s="11">
        <v>5.4</v>
      </c>
      <c r="AA1514" s="11">
        <v>2.35</v>
      </c>
      <c r="AB1514" s="11">
        <v>0</v>
      </c>
      <c r="AC1514" s="11"/>
      <c r="AD1514" s="11" t="str">
        <f>IFERROR(__xludf.DUMMYFUNCTION("""COMPUTED_VALUE"""),"William Atherton")</f>
        <v>William Atherton</v>
      </c>
      <c r="AE1514" s="11"/>
    </row>
    <row r="1515" customHeight="1" spans="1:31">
      <c r="A1515" s="12" t="s">
        <v>30</v>
      </c>
      <c r="B1515" s="12" t="s">
        <v>488</v>
      </c>
      <c r="C1515" s="12">
        <v>56</v>
      </c>
      <c r="D1515" s="12">
        <v>139</v>
      </c>
      <c r="E1515" s="12">
        <v>17000</v>
      </c>
      <c r="F1515" s="12">
        <v>94</v>
      </c>
      <c r="G1515" s="12">
        <v>554</v>
      </c>
      <c r="H1515" s="12">
        <v>32000000</v>
      </c>
      <c r="I1515" s="12" t="s">
        <v>214</v>
      </c>
      <c r="J1515" s="12" t="s">
        <v>2293</v>
      </c>
      <c r="K1515" s="12" t="s">
        <v>6738</v>
      </c>
      <c r="L1515" s="12" t="s">
        <v>3680</v>
      </c>
      <c r="M1515" s="12" t="s">
        <v>7761</v>
      </c>
      <c r="N1515" s="12">
        <v>36267</v>
      </c>
      <c r="O1515" s="12">
        <v>1068</v>
      </c>
      <c r="P1515" s="12">
        <v>3</v>
      </c>
      <c r="Q1515" s="12" t="s">
        <v>7762</v>
      </c>
      <c r="R1515" s="15" t="s">
        <v>7763</v>
      </c>
      <c r="S1515" s="12">
        <v>150</v>
      </c>
      <c r="T1515" s="12" t="s">
        <v>39</v>
      </c>
      <c r="U1515" s="12" t="s">
        <v>40</v>
      </c>
      <c r="V1515" s="12" t="s">
        <v>96</v>
      </c>
      <c r="W1515" s="12">
        <v>30000000</v>
      </c>
      <c r="X1515" s="12">
        <v>1993</v>
      </c>
      <c r="Y1515" s="12">
        <v>382</v>
      </c>
      <c r="Z1515" s="12">
        <v>7.2</v>
      </c>
      <c r="AA1515" s="12">
        <v>2.35</v>
      </c>
      <c r="AB1515" s="12">
        <v>0</v>
      </c>
      <c r="AC1515" s="12"/>
      <c r="AD1515" s="12" t="str">
        <f>IFERROR(__xludf.DUMMYFUNCTION("""COMPUTED_VALUE"""),"Lara Flynn Boyle")</f>
        <v>Lara Flynn Boyle</v>
      </c>
      <c r="AE1515" s="12"/>
    </row>
    <row r="1516" customHeight="1" spans="1:31">
      <c r="A1516" s="11" t="s">
        <v>30</v>
      </c>
      <c r="B1516" s="11" t="s">
        <v>1205</v>
      </c>
      <c r="C1516" s="11">
        <v>274</v>
      </c>
      <c r="D1516" s="11">
        <v>96</v>
      </c>
      <c r="E1516" s="11">
        <v>0</v>
      </c>
      <c r="F1516" s="11">
        <v>1000</v>
      </c>
      <c r="G1516" s="11">
        <v>20000</v>
      </c>
      <c r="H1516" s="11">
        <v>10139254</v>
      </c>
      <c r="I1516" s="11" t="s">
        <v>1849</v>
      </c>
      <c r="J1516" s="11" t="s">
        <v>263</v>
      </c>
      <c r="K1516" s="11" t="s">
        <v>7764</v>
      </c>
      <c r="L1516" s="11" t="s">
        <v>1822</v>
      </c>
      <c r="M1516" s="11" t="s">
        <v>7765</v>
      </c>
      <c r="N1516" s="11">
        <v>190990</v>
      </c>
      <c r="O1516" s="11">
        <v>24640</v>
      </c>
      <c r="P1516" s="11">
        <v>0</v>
      </c>
      <c r="Q1516" s="11" t="s">
        <v>7766</v>
      </c>
      <c r="R1516" s="14" t="s">
        <v>7767</v>
      </c>
      <c r="S1516" s="11">
        <v>915</v>
      </c>
      <c r="T1516" s="11" t="s">
        <v>39</v>
      </c>
      <c r="U1516" s="11" t="s">
        <v>40</v>
      </c>
      <c r="V1516" s="11" t="s">
        <v>41</v>
      </c>
      <c r="W1516" s="11">
        <v>35000000</v>
      </c>
      <c r="X1516" s="11">
        <v>2006</v>
      </c>
      <c r="Y1516" s="11">
        <v>1000</v>
      </c>
      <c r="Z1516" s="11">
        <v>7.3</v>
      </c>
      <c r="AA1516" s="11">
        <v>1.85</v>
      </c>
      <c r="AB1516" s="11">
        <v>23000</v>
      </c>
      <c r="AC1516" s="11"/>
      <c r="AD1516" s="11" t="str">
        <f>IFERROR(__xludf.DUMMYFUNCTION("""COMPUTED_VALUE"""),"Julie Benz")</f>
        <v>Julie Benz</v>
      </c>
      <c r="AE1516" s="11"/>
    </row>
    <row r="1517" customHeight="1" spans="1:31">
      <c r="A1517" s="12" t="s">
        <v>30</v>
      </c>
      <c r="B1517" s="12" t="s">
        <v>7768</v>
      </c>
      <c r="C1517" s="12">
        <v>68</v>
      </c>
      <c r="D1517" s="12">
        <v>102</v>
      </c>
      <c r="E1517" s="12">
        <v>3</v>
      </c>
      <c r="F1517" s="12">
        <v>239</v>
      </c>
      <c r="G1517" s="12">
        <v>372</v>
      </c>
      <c r="H1517" s="12">
        <v>11227940</v>
      </c>
      <c r="I1517" s="12" t="s">
        <v>7769</v>
      </c>
      <c r="J1517" s="12" t="s">
        <v>2766</v>
      </c>
      <c r="K1517" s="12" t="s">
        <v>7770</v>
      </c>
      <c r="L1517" s="12" t="s">
        <v>7771</v>
      </c>
      <c r="M1517" s="12" t="s">
        <v>7772</v>
      </c>
      <c r="N1517" s="12">
        <v>8367</v>
      </c>
      <c r="O1517" s="12">
        <v>1274</v>
      </c>
      <c r="P1517" s="12">
        <v>0</v>
      </c>
      <c r="Q1517" s="12" t="s">
        <v>7773</v>
      </c>
      <c r="R1517" s="15" t="s">
        <v>7774</v>
      </c>
      <c r="S1517" s="12">
        <v>94</v>
      </c>
      <c r="T1517" s="12" t="s">
        <v>39</v>
      </c>
      <c r="U1517" s="12" t="s">
        <v>40</v>
      </c>
      <c r="V1517" s="12" t="s">
        <v>586</v>
      </c>
      <c r="W1517" s="12">
        <v>34000000</v>
      </c>
      <c r="X1517" s="12">
        <v>1999</v>
      </c>
      <c r="Y1517" s="12">
        <v>248</v>
      </c>
      <c r="Z1517" s="12">
        <v>5.2</v>
      </c>
      <c r="AA1517" s="12">
        <v>2.35</v>
      </c>
      <c r="AB1517" s="12">
        <v>120</v>
      </c>
      <c r="AC1517" s="12"/>
      <c r="AD1517" s="12" t="str">
        <f>IFERROR(__xludf.DUMMYFUNCTION("""COMPUTED_VALUE"""),"Grant Bowler")</f>
        <v>Grant Bowler</v>
      </c>
      <c r="AE1517" s="12"/>
    </row>
    <row r="1518" customHeight="1" spans="1:31">
      <c r="A1518" s="11" t="s">
        <v>30</v>
      </c>
      <c r="B1518" s="11" t="s">
        <v>1784</v>
      </c>
      <c r="C1518" s="11">
        <v>98</v>
      </c>
      <c r="D1518" s="11">
        <v>96</v>
      </c>
      <c r="E1518" s="11">
        <v>165</v>
      </c>
      <c r="F1518" s="11">
        <v>566</v>
      </c>
      <c r="G1518" s="11">
        <v>12000</v>
      </c>
      <c r="H1518" s="11">
        <v>183125</v>
      </c>
      <c r="I1518" s="11" t="s">
        <v>464</v>
      </c>
      <c r="J1518" s="11" t="s">
        <v>705</v>
      </c>
      <c r="K1518" s="11" t="s">
        <v>3422</v>
      </c>
      <c r="L1518" s="11" t="s">
        <v>7775</v>
      </c>
      <c r="M1518" s="11" t="s">
        <v>7776</v>
      </c>
      <c r="N1518" s="11">
        <v>36914</v>
      </c>
      <c r="O1518" s="11">
        <v>14978</v>
      </c>
      <c r="P1518" s="11">
        <v>1</v>
      </c>
      <c r="Q1518" s="11" t="s">
        <v>7777</v>
      </c>
      <c r="R1518" s="14" t="s">
        <v>7778</v>
      </c>
      <c r="S1518" s="11">
        <v>86</v>
      </c>
      <c r="T1518" s="11" t="s">
        <v>39</v>
      </c>
      <c r="U1518" s="11" t="s">
        <v>40</v>
      </c>
      <c r="V1518" s="11" t="s">
        <v>586</v>
      </c>
      <c r="W1518" s="11">
        <v>35000000</v>
      </c>
      <c r="X1518" s="11">
        <v>2012</v>
      </c>
      <c r="Y1518" s="11">
        <v>774</v>
      </c>
      <c r="Z1518" s="11">
        <v>5.5</v>
      </c>
      <c r="AA1518" s="11">
        <v>2.35</v>
      </c>
      <c r="AB1518" s="11">
        <v>0</v>
      </c>
      <c r="AC1518" s="11"/>
      <c r="AD1518" s="11" t="str">
        <f>IFERROR(__xludf.DUMMYFUNCTION("""COMPUTED_VALUE"""),"Ian Ziering")</f>
        <v>Ian Ziering</v>
      </c>
      <c r="AE1518" s="11"/>
    </row>
    <row r="1519" customHeight="1" spans="1:31">
      <c r="A1519" s="12" t="s">
        <v>30</v>
      </c>
      <c r="B1519" s="12" t="s">
        <v>7779</v>
      </c>
      <c r="C1519" s="12">
        <v>256</v>
      </c>
      <c r="D1519" s="12">
        <v>101</v>
      </c>
      <c r="E1519" s="12">
        <v>6000</v>
      </c>
      <c r="F1519" s="12">
        <v>2</v>
      </c>
      <c r="G1519" s="12">
        <v>6</v>
      </c>
      <c r="H1519" s="12">
        <v>15081783</v>
      </c>
      <c r="I1519" s="12" t="s">
        <v>628</v>
      </c>
      <c r="J1519" s="12" t="s">
        <v>7780</v>
      </c>
      <c r="K1519" s="12" t="s">
        <v>7781</v>
      </c>
      <c r="L1519" s="12" t="s">
        <v>7782</v>
      </c>
      <c r="M1519" s="12" t="s">
        <v>7783</v>
      </c>
      <c r="N1519" s="12">
        <v>85589</v>
      </c>
      <c r="O1519" s="12">
        <v>13</v>
      </c>
      <c r="P1519" s="12">
        <v>0</v>
      </c>
      <c r="Q1519" s="12" t="s">
        <v>7784</v>
      </c>
      <c r="R1519" s="15" t="s">
        <v>7785</v>
      </c>
      <c r="S1519" s="12">
        <v>144</v>
      </c>
      <c r="T1519" s="12" t="s">
        <v>677</v>
      </c>
      <c r="U1519" s="12" t="s">
        <v>678</v>
      </c>
      <c r="V1519" s="12" t="s">
        <v>278</v>
      </c>
      <c r="W1519" s="12">
        <v>34000000</v>
      </c>
      <c r="X1519" s="12">
        <v>2008</v>
      </c>
      <c r="Y1519" s="12">
        <v>3</v>
      </c>
      <c r="Z1519" s="12">
        <v>7.7</v>
      </c>
      <c r="AA1519" s="12">
        <v>1.85</v>
      </c>
      <c r="AB1519" s="12">
        <v>0</v>
      </c>
      <c r="AC1519" s="12"/>
      <c r="AD1519" s="12" t="str">
        <f>IFERROR(__xludf.DUMMYFUNCTION("""COMPUTED_VALUE"""),"Mo'Nique")</f>
        <v>Mo'Nique</v>
      </c>
      <c r="AE1519" s="12"/>
    </row>
    <row r="1520" customHeight="1" spans="1:31">
      <c r="A1520" s="11" t="s">
        <v>30</v>
      </c>
      <c r="B1520" s="11" t="s">
        <v>7786</v>
      </c>
      <c r="C1520" s="11">
        <v>117</v>
      </c>
      <c r="D1520" s="11">
        <v>128</v>
      </c>
      <c r="E1520" s="11">
        <v>88</v>
      </c>
      <c r="F1520" s="11">
        <v>954</v>
      </c>
      <c r="G1520" s="11">
        <v>989</v>
      </c>
      <c r="H1520" s="11">
        <v>37432299</v>
      </c>
      <c r="I1520" s="11" t="s">
        <v>214</v>
      </c>
      <c r="J1520" s="11" t="s">
        <v>7787</v>
      </c>
      <c r="K1520" s="11" t="s">
        <v>7788</v>
      </c>
      <c r="L1520" s="11" t="s">
        <v>7789</v>
      </c>
      <c r="M1520" s="11" t="s">
        <v>7790</v>
      </c>
      <c r="N1520" s="11">
        <v>50041</v>
      </c>
      <c r="O1520" s="11">
        <v>3386</v>
      </c>
      <c r="P1520" s="11">
        <v>0</v>
      </c>
      <c r="Q1520" s="11" t="s">
        <v>7791</v>
      </c>
      <c r="R1520" s="14" t="s">
        <v>7792</v>
      </c>
      <c r="S1520" s="11">
        <v>116</v>
      </c>
      <c r="T1520" s="11" t="s">
        <v>39</v>
      </c>
      <c r="U1520" s="11" t="s">
        <v>40</v>
      </c>
      <c r="V1520" s="11" t="s">
        <v>41</v>
      </c>
      <c r="W1520" s="11">
        <v>34000000</v>
      </c>
      <c r="X1520" s="11">
        <v>2015</v>
      </c>
      <c r="Y1520" s="11">
        <v>970</v>
      </c>
      <c r="Z1520" s="11">
        <v>7.1</v>
      </c>
      <c r="AA1520" s="11">
        <v>2.35</v>
      </c>
      <c r="AB1520" s="11">
        <v>23000</v>
      </c>
      <c r="AC1520" s="11"/>
      <c r="AD1520" s="11" t="str">
        <f>IFERROR(__xludf.DUMMYFUNCTION("""COMPUTED_VALUE"""),"Alden Ehrenreich")</f>
        <v>Alden Ehrenreich</v>
      </c>
      <c r="AE1520" s="11"/>
    </row>
    <row r="1521" customHeight="1" spans="1:31">
      <c r="A1521" s="12" t="s">
        <v>30</v>
      </c>
      <c r="B1521" s="12" t="s">
        <v>7793</v>
      </c>
      <c r="C1521" s="12">
        <v>107</v>
      </c>
      <c r="D1521" s="12">
        <v>109</v>
      </c>
      <c r="E1521" s="12">
        <v>7</v>
      </c>
      <c r="F1521" s="12">
        <v>1000</v>
      </c>
      <c r="G1521" s="12">
        <v>40000</v>
      </c>
      <c r="H1521" s="12">
        <v>10654581</v>
      </c>
      <c r="I1521" s="12" t="s">
        <v>2684</v>
      </c>
      <c r="J1521" s="12" t="s">
        <v>44</v>
      </c>
      <c r="K1521" s="12" t="s">
        <v>778</v>
      </c>
      <c r="L1521" s="12" t="s">
        <v>6005</v>
      </c>
      <c r="M1521" s="12" t="s">
        <v>7794</v>
      </c>
      <c r="N1521" s="12">
        <v>45497</v>
      </c>
      <c r="O1521" s="12">
        <v>52621</v>
      </c>
      <c r="P1521" s="12">
        <v>0</v>
      </c>
      <c r="Q1521" s="12" t="s">
        <v>7795</v>
      </c>
      <c r="R1521" s="15" t="s">
        <v>7796</v>
      </c>
      <c r="S1521" s="12">
        <v>260</v>
      </c>
      <c r="T1521" s="12" t="s">
        <v>39</v>
      </c>
      <c r="U1521" s="12" t="s">
        <v>40</v>
      </c>
      <c r="V1521" s="12" t="s">
        <v>586</v>
      </c>
      <c r="W1521" s="12">
        <v>34000000</v>
      </c>
      <c r="X1521" s="12">
        <v>1999</v>
      </c>
      <c r="Y1521" s="12">
        <v>9000</v>
      </c>
      <c r="Z1521" s="12">
        <v>5.3</v>
      </c>
      <c r="AA1521" s="12">
        <v>1.85</v>
      </c>
      <c r="AB1521" s="12">
        <v>1000</v>
      </c>
      <c r="AC1521" s="12"/>
      <c r="AD1521" s="12" t="str">
        <f>IFERROR(__xludf.DUMMYFUNCTION("""COMPUTED_VALUE"""),"Zoey Deutch")</f>
        <v>Zoey Deutch</v>
      </c>
      <c r="AE1521" s="12"/>
    </row>
    <row r="1522" customHeight="1" spans="1:31">
      <c r="A1522" s="11" t="s">
        <v>30</v>
      </c>
      <c r="B1522" s="11" t="s">
        <v>7797</v>
      </c>
      <c r="C1522" s="11">
        <v>52</v>
      </c>
      <c r="D1522" s="11">
        <v>114</v>
      </c>
      <c r="E1522" s="11">
        <v>46</v>
      </c>
      <c r="F1522" s="11">
        <v>292</v>
      </c>
      <c r="G1522" s="11">
        <v>818</v>
      </c>
      <c r="H1522" s="11">
        <v>6543194</v>
      </c>
      <c r="I1522" s="11" t="s">
        <v>2308</v>
      </c>
      <c r="J1522" s="11" t="s">
        <v>2621</v>
      </c>
      <c r="K1522" s="11" t="s">
        <v>7798</v>
      </c>
      <c r="L1522" s="11" t="s">
        <v>7799</v>
      </c>
      <c r="M1522" s="11" t="s">
        <v>7800</v>
      </c>
      <c r="N1522" s="11">
        <v>3740</v>
      </c>
      <c r="O1522" s="11">
        <v>1778</v>
      </c>
      <c r="P1522" s="11">
        <v>1</v>
      </c>
      <c r="Q1522" s="11" t="s">
        <v>7801</v>
      </c>
      <c r="R1522" s="14" t="s">
        <v>7802</v>
      </c>
      <c r="S1522" s="11">
        <v>61</v>
      </c>
      <c r="T1522" s="11" t="s">
        <v>39</v>
      </c>
      <c r="U1522" s="11" t="s">
        <v>40</v>
      </c>
      <c r="V1522" s="11" t="s">
        <v>41</v>
      </c>
      <c r="W1522" s="11">
        <v>34000000</v>
      </c>
      <c r="X1522" s="11">
        <v>2000</v>
      </c>
      <c r="Y1522" s="11">
        <v>649</v>
      </c>
      <c r="Z1522" s="11">
        <v>5.6</v>
      </c>
      <c r="AA1522" s="11">
        <v>2.35</v>
      </c>
      <c r="AB1522" s="11">
        <v>314</v>
      </c>
      <c r="AC1522" s="11"/>
      <c r="AD1522" s="11" t="str">
        <f>IFERROR(__xludf.DUMMYFUNCTION("""COMPUTED_VALUE"""),"Pruitt Taylor Vince")</f>
        <v>Pruitt Taylor Vince</v>
      </c>
      <c r="AE1522" s="11"/>
    </row>
    <row r="1523" customHeight="1" spans="1:31">
      <c r="A1523" s="12" t="s">
        <v>30</v>
      </c>
      <c r="B1523" s="12" t="s">
        <v>4629</v>
      </c>
      <c r="C1523" s="12">
        <v>135</v>
      </c>
      <c r="D1523" s="12">
        <v>105</v>
      </c>
      <c r="E1523" s="12">
        <v>125</v>
      </c>
      <c r="F1523" s="12">
        <v>2000</v>
      </c>
      <c r="G1523" s="12">
        <v>18000</v>
      </c>
      <c r="H1523" s="12">
        <v>13101142</v>
      </c>
      <c r="I1523" s="12" t="s">
        <v>3898</v>
      </c>
      <c r="J1523" s="12" t="s">
        <v>641</v>
      </c>
      <c r="K1523" s="12" t="s">
        <v>537</v>
      </c>
      <c r="L1523" s="12" t="s">
        <v>236</v>
      </c>
      <c r="M1523" s="12" t="s">
        <v>7803</v>
      </c>
      <c r="N1523" s="12">
        <v>23916</v>
      </c>
      <c r="O1523" s="12">
        <v>23122</v>
      </c>
      <c r="P1523" s="12">
        <v>5</v>
      </c>
      <c r="Q1523" s="12" t="s">
        <v>7804</v>
      </c>
      <c r="R1523" s="15" t="s">
        <v>7805</v>
      </c>
      <c r="S1523" s="12">
        <v>50</v>
      </c>
      <c r="T1523" s="12" t="s">
        <v>39</v>
      </c>
      <c r="U1523" s="12" t="s">
        <v>40</v>
      </c>
      <c r="V1523" s="12" t="s">
        <v>41</v>
      </c>
      <c r="W1523" s="12">
        <v>35000000</v>
      </c>
      <c r="X1523" s="12">
        <v>2012</v>
      </c>
      <c r="Y1523" s="12">
        <v>2000</v>
      </c>
      <c r="Z1523" s="12">
        <v>5.7</v>
      </c>
      <c r="AA1523" s="12">
        <v>2.35</v>
      </c>
      <c r="AB1523" s="12">
        <v>0</v>
      </c>
      <c r="AC1523" s="12"/>
      <c r="AD1523" s="12" t="str">
        <f>IFERROR(__xludf.DUMMYFUNCTION("""COMPUTED_VALUE"""),"Andrew Wilson")</f>
        <v>Andrew Wilson</v>
      </c>
      <c r="AE1523" s="12"/>
    </row>
    <row r="1524" customHeight="1" spans="1:31">
      <c r="A1524" s="11" t="s">
        <v>30</v>
      </c>
      <c r="B1524" s="11" t="s">
        <v>6668</v>
      </c>
      <c r="C1524" s="11">
        <v>211</v>
      </c>
      <c r="D1524" s="11">
        <v>141</v>
      </c>
      <c r="E1524" s="11">
        <v>56</v>
      </c>
      <c r="F1524" s="11">
        <v>38</v>
      </c>
      <c r="G1524" s="11">
        <v>113</v>
      </c>
      <c r="H1524" s="11">
        <v>8324748</v>
      </c>
      <c r="I1524" s="11" t="s">
        <v>5941</v>
      </c>
      <c r="J1524" s="11" t="s">
        <v>7806</v>
      </c>
      <c r="K1524" s="11" t="s">
        <v>7807</v>
      </c>
      <c r="L1524" s="11" t="s">
        <v>7808</v>
      </c>
      <c r="M1524" s="11" t="s">
        <v>7809</v>
      </c>
      <c r="N1524" s="11">
        <v>21223</v>
      </c>
      <c r="O1524" s="11">
        <v>301</v>
      </c>
      <c r="P1524" s="11">
        <v>1</v>
      </c>
      <c r="Q1524" s="11" t="s">
        <v>7810</v>
      </c>
      <c r="R1524" s="14" t="s">
        <v>7811</v>
      </c>
      <c r="S1524" s="11">
        <v>108</v>
      </c>
      <c r="T1524" s="11" t="s">
        <v>39</v>
      </c>
      <c r="U1524" s="11" t="s">
        <v>58</v>
      </c>
      <c r="V1524" s="11" t="s">
        <v>41</v>
      </c>
      <c r="W1524" s="11">
        <v>35000000</v>
      </c>
      <c r="X1524" s="11">
        <v>2013</v>
      </c>
      <c r="Y1524" s="11">
        <v>98</v>
      </c>
      <c r="Z1524" s="11">
        <v>7.1</v>
      </c>
      <c r="AA1524" s="11">
        <v>2.35</v>
      </c>
      <c r="AB1524" s="11">
        <v>13000</v>
      </c>
      <c r="AC1524" s="11"/>
      <c r="AD1524" s="11" t="str">
        <f>IFERROR(__xludf.DUMMYFUNCTION("""COMPUTED_VALUE"""),"Willie Nelson")</f>
        <v>Willie Nelson</v>
      </c>
      <c r="AE1524" s="11"/>
    </row>
    <row r="1525" customHeight="1" spans="1:31">
      <c r="A1525" s="12" t="s">
        <v>30</v>
      </c>
      <c r="B1525" s="12" t="s">
        <v>1683</v>
      </c>
      <c r="C1525" s="12">
        <v>57</v>
      </c>
      <c r="D1525" s="12">
        <v>195</v>
      </c>
      <c r="E1525" s="12">
        <v>631</v>
      </c>
      <c r="F1525" s="12">
        <v>521</v>
      </c>
      <c r="G1525" s="12">
        <v>635</v>
      </c>
      <c r="H1525" s="16"/>
      <c r="I1525" s="12" t="s">
        <v>6113</v>
      </c>
      <c r="J1525" s="12" t="s">
        <v>7659</v>
      </c>
      <c r="K1525" s="12" t="s">
        <v>1683</v>
      </c>
      <c r="L1525" s="12" t="s">
        <v>5379</v>
      </c>
      <c r="M1525" s="12" t="s">
        <v>7812</v>
      </c>
      <c r="N1525" s="12">
        <v>16255</v>
      </c>
      <c r="O1525" s="12">
        <v>2291</v>
      </c>
      <c r="P1525" s="12">
        <v>0</v>
      </c>
      <c r="Q1525" s="12" t="s">
        <v>7813</v>
      </c>
      <c r="R1525" s="15" t="s">
        <v>7814</v>
      </c>
      <c r="S1525" s="12">
        <v>127</v>
      </c>
      <c r="T1525" s="12" t="s">
        <v>39</v>
      </c>
      <c r="U1525" s="12" t="s">
        <v>40</v>
      </c>
      <c r="V1525" s="12" t="s">
        <v>96</v>
      </c>
      <c r="W1525" s="12">
        <v>35000000</v>
      </c>
      <c r="X1525" s="12">
        <v>1981</v>
      </c>
      <c r="Y1525" s="12">
        <v>631</v>
      </c>
      <c r="Z1525" s="12">
        <v>7.5</v>
      </c>
      <c r="AA1525" s="12">
        <v>1.85</v>
      </c>
      <c r="AB1525" s="12">
        <v>0</v>
      </c>
      <c r="AC1525" s="12"/>
      <c r="AD1525" s="12" t="str">
        <f>IFERROR(__xludf.DUMMYFUNCTION("""COMPUTED_VALUE"""),"Robin Shou")</f>
        <v>Robin Shou</v>
      </c>
      <c r="AE1525" s="12"/>
    </row>
    <row r="1526" customHeight="1" spans="1:31">
      <c r="A1526" s="11" t="s">
        <v>30</v>
      </c>
      <c r="B1526" s="11" t="s">
        <v>3892</v>
      </c>
      <c r="C1526" s="11">
        <v>81</v>
      </c>
      <c r="D1526" s="11">
        <v>138</v>
      </c>
      <c r="E1526" s="11">
        <v>0</v>
      </c>
      <c r="F1526" s="11">
        <v>574</v>
      </c>
      <c r="G1526" s="11">
        <v>10000</v>
      </c>
      <c r="H1526" s="11">
        <v>141340178</v>
      </c>
      <c r="I1526" s="11" t="s">
        <v>4075</v>
      </c>
      <c r="J1526" s="11" t="s">
        <v>523</v>
      </c>
      <c r="K1526" s="11" t="s">
        <v>1376</v>
      </c>
      <c r="L1526" s="11" t="s">
        <v>3236</v>
      </c>
      <c r="M1526" s="11" t="s">
        <v>7815</v>
      </c>
      <c r="N1526" s="11">
        <v>181879</v>
      </c>
      <c r="O1526" s="11">
        <v>14619</v>
      </c>
      <c r="P1526" s="11">
        <v>0</v>
      </c>
      <c r="Q1526" s="11" t="s">
        <v>7816</v>
      </c>
      <c r="R1526" s="14" t="s">
        <v>7817</v>
      </c>
      <c r="S1526" s="11">
        <v>319</v>
      </c>
      <c r="T1526" s="11" t="s">
        <v>39</v>
      </c>
      <c r="U1526" s="11" t="s">
        <v>40</v>
      </c>
      <c r="V1526" s="11" t="s">
        <v>586</v>
      </c>
      <c r="W1526" s="11">
        <v>40000000</v>
      </c>
      <c r="X1526" s="11">
        <v>1992</v>
      </c>
      <c r="Y1526" s="11">
        <v>2000</v>
      </c>
      <c r="Z1526" s="11">
        <v>7.6</v>
      </c>
      <c r="AA1526" s="11">
        <v>2.35</v>
      </c>
      <c r="AB1526" s="11">
        <v>0</v>
      </c>
      <c r="AC1526" s="11"/>
      <c r="AD1526" s="11" t="str">
        <f>IFERROR(__xludf.DUMMYFUNCTION("""COMPUTED_VALUE"""),"Josie Ho")</f>
        <v>Josie Ho</v>
      </c>
      <c r="AE1526" s="11"/>
    </row>
    <row r="1527" customHeight="1" spans="1:31">
      <c r="A1527" s="12" t="s">
        <v>30</v>
      </c>
      <c r="B1527" s="12" t="s">
        <v>3445</v>
      </c>
      <c r="C1527" s="12">
        <v>107</v>
      </c>
      <c r="D1527" s="12">
        <v>101</v>
      </c>
      <c r="E1527" s="12">
        <v>43</v>
      </c>
      <c r="F1527" s="12">
        <v>655</v>
      </c>
      <c r="G1527" s="12">
        <v>2000</v>
      </c>
      <c r="H1527" s="12">
        <v>51758599</v>
      </c>
      <c r="I1527" s="12" t="s">
        <v>3554</v>
      </c>
      <c r="J1527" s="12" t="s">
        <v>6434</v>
      </c>
      <c r="K1527" s="12" t="s">
        <v>5083</v>
      </c>
      <c r="L1527" s="12" t="s">
        <v>2285</v>
      </c>
      <c r="M1527" s="12" t="s">
        <v>7818</v>
      </c>
      <c r="N1527" s="12">
        <v>27580</v>
      </c>
      <c r="O1527" s="12">
        <v>5942</v>
      </c>
      <c r="P1527" s="12">
        <v>0</v>
      </c>
      <c r="Q1527" s="12" t="s">
        <v>7819</v>
      </c>
      <c r="R1527" s="15" t="s">
        <v>7820</v>
      </c>
      <c r="S1527" s="12">
        <v>232</v>
      </c>
      <c r="T1527" s="12" t="s">
        <v>39</v>
      </c>
      <c r="U1527" s="12" t="s">
        <v>40</v>
      </c>
      <c r="V1527" s="12" t="s">
        <v>586</v>
      </c>
      <c r="W1527" s="12">
        <v>33000000</v>
      </c>
      <c r="X1527" s="12">
        <v>2001</v>
      </c>
      <c r="Y1527" s="12">
        <v>1000</v>
      </c>
      <c r="Z1527" s="12">
        <v>5.5</v>
      </c>
      <c r="AA1527" s="12">
        <v>2.35</v>
      </c>
      <c r="AB1527" s="12">
        <v>742</v>
      </c>
      <c r="AC1527" s="12"/>
      <c r="AD1527" s="12" t="str">
        <f>IFERROR(__xludf.DUMMYFUNCTION("""COMPUTED_VALUE"""),"Gilbert Gottfried")</f>
        <v>Gilbert Gottfried</v>
      </c>
      <c r="AE1527" s="12"/>
    </row>
    <row r="1528" customHeight="1" spans="1:31">
      <c r="A1528" s="11" t="s">
        <v>30</v>
      </c>
      <c r="B1528" s="11" t="s">
        <v>1576</v>
      </c>
      <c r="C1528" s="11">
        <v>100</v>
      </c>
      <c r="D1528" s="11">
        <v>99</v>
      </c>
      <c r="E1528" s="11">
        <v>67</v>
      </c>
      <c r="F1528" s="11">
        <v>330</v>
      </c>
      <c r="G1528" s="11">
        <v>826</v>
      </c>
      <c r="H1528" s="11">
        <v>117559438</v>
      </c>
      <c r="I1528" s="11" t="s">
        <v>1753</v>
      </c>
      <c r="J1528" s="11" t="s">
        <v>6383</v>
      </c>
      <c r="K1528" s="11" t="s">
        <v>806</v>
      </c>
      <c r="L1528" s="11" t="s">
        <v>3944</v>
      </c>
      <c r="M1528" s="11" t="s">
        <v>7821</v>
      </c>
      <c r="N1528" s="11">
        <v>66941</v>
      </c>
      <c r="O1528" s="11">
        <v>1790</v>
      </c>
      <c r="P1528" s="11">
        <v>1</v>
      </c>
      <c r="Q1528" s="11" t="s">
        <v>7822</v>
      </c>
      <c r="R1528" s="14" t="s">
        <v>7823</v>
      </c>
      <c r="S1528" s="11">
        <v>148</v>
      </c>
      <c r="T1528" s="11" t="s">
        <v>39</v>
      </c>
      <c r="U1528" s="11" t="s">
        <v>40</v>
      </c>
      <c r="V1528" s="11" t="s">
        <v>41</v>
      </c>
      <c r="W1528" s="11">
        <v>30000000</v>
      </c>
      <c r="X1528" s="11">
        <v>2000</v>
      </c>
      <c r="Y1528" s="11">
        <v>436</v>
      </c>
      <c r="Z1528" s="11">
        <v>5.1</v>
      </c>
      <c r="AA1528" s="11">
        <v>1.85</v>
      </c>
      <c r="AB1528" s="11">
        <v>1000</v>
      </c>
      <c r="AC1528" s="11"/>
      <c r="AD1528" s="11" t="str">
        <f>IFERROR(__xludf.DUMMYFUNCTION("""COMPUTED_VALUE"""),"David Patrick Kelly")</f>
        <v>David Patrick Kelly</v>
      </c>
      <c r="AE1528" s="11"/>
    </row>
    <row r="1529" customHeight="1" spans="1:31">
      <c r="A1529" s="12" t="s">
        <v>30</v>
      </c>
      <c r="B1529" s="12" t="s">
        <v>7824</v>
      </c>
      <c r="C1529" s="12">
        <v>60</v>
      </c>
      <c r="D1529" s="12">
        <v>85</v>
      </c>
      <c r="E1529" s="12">
        <v>0</v>
      </c>
      <c r="F1529" s="12">
        <v>11</v>
      </c>
      <c r="G1529" s="12">
        <v>324</v>
      </c>
      <c r="H1529" s="12">
        <v>4091</v>
      </c>
      <c r="I1529" s="12" t="s">
        <v>271</v>
      </c>
      <c r="J1529" s="12" t="s">
        <v>7825</v>
      </c>
      <c r="K1529" s="12" t="s">
        <v>7826</v>
      </c>
      <c r="L1529" s="12" t="s">
        <v>7827</v>
      </c>
      <c r="M1529" s="12" t="s">
        <v>7828</v>
      </c>
      <c r="N1529" s="12">
        <v>4265</v>
      </c>
      <c r="O1529" s="12">
        <v>369</v>
      </c>
      <c r="P1529" s="12">
        <v>0</v>
      </c>
      <c r="Q1529" s="16"/>
      <c r="R1529" s="15" t="s">
        <v>7829</v>
      </c>
      <c r="S1529" s="12">
        <v>16</v>
      </c>
      <c r="T1529" s="12" t="s">
        <v>39</v>
      </c>
      <c r="U1529" s="12" t="s">
        <v>585</v>
      </c>
      <c r="V1529" s="16"/>
      <c r="W1529" s="12">
        <v>34000000</v>
      </c>
      <c r="X1529" s="12">
        <v>2013</v>
      </c>
      <c r="Y1529" s="12">
        <v>15</v>
      </c>
      <c r="Z1529" s="12">
        <v>6.3</v>
      </c>
      <c r="AA1529" s="12">
        <v>2.35</v>
      </c>
      <c r="AB1529" s="12">
        <v>0</v>
      </c>
      <c r="AC1529" s="12"/>
      <c r="AD1529" s="12" t="str">
        <f>IFERROR(__xludf.DUMMYFUNCTION("""COMPUTED_VALUE"""),"Tom Sturridge")</f>
        <v>Tom Sturridge</v>
      </c>
      <c r="AE1529" s="12"/>
    </row>
    <row r="1530" customHeight="1" spans="1:31">
      <c r="A1530" s="11" t="s">
        <v>30</v>
      </c>
      <c r="B1530" s="11" t="s">
        <v>7830</v>
      </c>
      <c r="C1530" s="11">
        <v>195</v>
      </c>
      <c r="D1530" s="11">
        <v>89</v>
      </c>
      <c r="E1530" s="11">
        <v>21</v>
      </c>
      <c r="F1530" s="11">
        <v>48</v>
      </c>
      <c r="G1530" s="11">
        <v>614</v>
      </c>
      <c r="H1530" s="11">
        <v>21426805</v>
      </c>
      <c r="I1530" s="11" t="s">
        <v>341</v>
      </c>
      <c r="J1530" s="11" t="s">
        <v>3566</v>
      </c>
      <c r="K1530" s="11" t="s">
        <v>7831</v>
      </c>
      <c r="L1530" s="11" t="s">
        <v>7832</v>
      </c>
      <c r="M1530" s="11" t="s">
        <v>7833</v>
      </c>
      <c r="N1530" s="11">
        <v>49312</v>
      </c>
      <c r="O1530" s="11">
        <v>843</v>
      </c>
      <c r="P1530" s="11">
        <v>0</v>
      </c>
      <c r="Q1530" s="11" t="s">
        <v>7834</v>
      </c>
      <c r="R1530" s="14" t="s">
        <v>7835</v>
      </c>
      <c r="S1530" s="11">
        <v>211</v>
      </c>
      <c r="T1530" s="11" t="s">
        <v>39</v>
      </c>
      <c r="U1530" s="11" t="s">
        <v>40</v>
      </c>
      <c r="V1530" s="11" t="s">
        <v>41</v>
      </c>
      <c r="W1530" s="11">
        <v>30000000</v>
      </c>
      <c r="X1530" s="11">
        <v>2011</v>
      </c>
      <c r="Y1530" s="11">
        <v>150</v>
      </c>
      <c r="Z1530" s="11">
        <v>4.9</v>
      </c>
      <c r="AA1530" s="11">
        <v>2.35</v>
      </c>
      <c r="AB1530" s="11">
        <v>0</v>
      </c>
      <c r="AC1530" s="11"/>
      <c r="AD1530" s="11" t="str">
        <f>IFERROR(__xludf.DUMMYFUNCTION("""COMPUTED_VALUE"""),"Jacob Vargas")</f>
        <v>Jacob Vargas</v>
      </c>
      <c r="AE1530" s="11"/>
    </row>
    <row r="1531" customHeight="1" spans="1:31">
      <c r="A1531" s="12" t="s">
        <v>30</v>
      </c>
      <c r="B1531" s="12" t="s">
        <v>7836</v>
      </c>
      <c r="C1531" s="12">
        <v>121</v>
      </c>
      <c r="D1531" s="12">
        <v>99</v>
      </c>
      <c r="E1531" s="12">
        <v>35</v>
      </c>
      <c r="F1531" s="12">
        <v>433</v>
      </c>
      <c r="G1531" s="12">
        <v>3000</v>
      </c>
      <c r="H1531" s="12">
        <v>35057332</v>
      </c>
      <c r="I1531" s="12" t="s">
        <v>7837</v>
      </c>
      <c r="J1531" s="12" t="s">
        <v>7838</v>
      </c>
      <c r="K1531" s="12" t="s">
        <v>7839</v>
      </c>
      <c r="L1531" s="12" t="s">
        <v>4069</v>
      </c>
      <c r="M1531" s="12" t="s">
        <v>7840</v>
      </c>
      <c r="N1531" s="12">
        <v>45394</v>
      </c>
      <c r="O1531" s="12">
        <v>4863</v>
      </c>
      <c r="P1531" s="12">
        <v>0</v>
      </c>
      <c r="Q1531" s="12" t="s">
        <v>7841</v>
      </c>
      <c r="R1531" s="15" t="s">
        <v>7842</v>
      </c>
      <c r="S1531" s="12">
        <v>72</v>
      </c>
      <c r="T1531" s="12" t="s">
        <v>39</v>
      </c>
      <c r="U1531" s="12" t="s">
        <v>40</v>
      </c>
      <c r="V1531" s="12" t="s">
        <v>41</v>
      </c>
      <c r="W1531" s="12">
        <v>33000000</v>
      </c>
      <c r="X1531" s="12">
        <v>2012</v>
      </c>
      <c r="Y1531" s="12">
        <v>594</v>
      </c>
      <c r="Z1531" s="12">
        <v>6.5</v>
      </c>
      <c r="AA1531" s="12">
        <v>2.35</v>
      </c>
      <c r="AB1531" s="12">
        <v>19000</v>
      </c>
      <c r="AC1531" s="12"/>
      <c r="AD1531" s="12" t="str">
        <f>IFERROR(__xludf.DUMMYFUNCTION("""COMPUTED_VALUE"""),"James Lew")</f>
        <v>James Lew</v>
      </c>
      <c r="AE1531" s="12"/>
    </row>
    <row r="1532" customHeight="1" spans="1:31">
      <c r="A1532" s="11" t="s">
        <v>30</v>
      </c>
      <c r="B1532" s="11" t="s">
        <v>5862</v>
      </c>
      <c r="C1532" s="11">
        <v>285</v>
      </c>
      <c r="D1532" s="11">
        <v>105</v>
      </c>
      <c r="E1532" s="11">
        <v>160</v>
      </c>
      <c r="F1532" s="11">
        <v>491</v>
      </c>
      <c r="G1532" s="11">
        <v>852</v>
      </c>
      <c r="H1532" s="11">
        <v>34014398</v>
      </c>
      <c r="I1532" s="11" t="s">
        <v>7843</v>
      </c>
      <c r="J1532" s="11" t="s">
        <v>7330</v>
      </c>
      <c r="K1532" s="11" t="s">
        <v>7223</v>
      </c>
      <c r="L1532" s="11" t="s">
        <v>7844</v>
      </c>
      <c r="M1532" s="11" t="s">
        <v>7845</v>
      </c>
      <c r="N1532" s="11">
        <v>115649</v>
      </c>
      <c r="O1532" s="11">
        <v>2604</v>
      </c>
      <c r="P1532" s="11">
        <v>0</v>
      </c>
      <c r="Q1532" s="11" t="s">
        <v>7846</v>
      </c>
      <c r="R1532" s="14" t="s">
        <v>7847</v>
      </c>
      <c r="S1532" s="11">
        <v>1033</v>
      </c>
      <c r="T1532" s="11" t="s">
        <v>39</v>
      </c>
      <c r="U1532" s="11" t="s">
        <v>768</v>
      </c>
      <c r="V1532" s="11" t="s">
        <v>586</v>
      </c>
      <c r="W1532" s="11">
        <v>33000000</v>
      </c>
      <c r="X1532" s="11">
        <v>2006</v>
      </c>
      <c r="Y1532" s="11">
        <v>521</v>
      </c>
      <c r="Z1532" s="11">
        <v>5.6</v>
      </c>
      <c r="AA1532" s="11">
        <v>2.35</v>
      </c>
      <c r="AB1532" s="11">
        <v>4000</v>
      </c>
      <c r="AC1532" s="11"/>
      <c r="AD1532" s="11" t="str">
        <f>IFERROR(__xludf.DUMMYFUNCTION("""COMPUTED_VALUE"""),"Alison Doody")</f>
        <v>Alison Doody</v>
      </c>
      <c r="AE1532" s="11"/>
    </row>
    <row r="1533" customHeight="1" spans="1:31">
      <c r="A1533" s="12" t="s">
        <v>30</v>
      </c>
      <c r="B1533" s="12" t="s">
        <v>7848</v>
      </c>
      <c r="C1533" s="12">
        <v>103</v>
      </c>
      <c r="D1533" s="12">
        <v>97</v>
      </c>
      <c r="E1533" s="12">
        <v>10</v>
      </c>
      <c r="F1533" s="12">
        <v>178</v>
      </c>
      <c r="G1533" s="12">
        <v>18000</v>
      </c>
      <c r="H1533" s="12">
        <v>28927720</v>
      </c>
      <c r="I1533" s="12" t="s">
        <v>4833</v>
      </c>
      <c r="J1533" s="12" t="s">
        <v>588</v>
      </c>
      <c r="K1533" s="12" t="s">
        <v>2595</v>
      </c>
      <c r="L1533" s="12" t="s">
        <v>7849</v>
      </c>
      <c r="M1533" s="12" t="s">
        <v>7850</v>
      </c>
      <c r="N1533" s="12">
        <v>22220</v>
      </c>
      <c r="O1533" s="12">
        <v>18688</v>
      </c>
      <c r="P1533" s="12">
        <v>0</v>
      </c>
      <c r="Q1533" s="12" t="s">
        <v>7851</v>
      </c>
      <c r="R1533" s="15" t="s">
        <v>7852</v>
      </c>
      <c r="S1533" s="12">
        <v>181</v>
      </c>
      <c r="T1533" s="12" t="s">
        <v>39</v>
      </c>
      <c r="U1533" s="12" t="s">
        <v>40</v>
      </c>
      <c r="V1533" s="12" t="s">
        <v>586</v>
      </c>
      <c r="W1533" s="12">
        <v>33000000</v>
      </c>
      <c r="X1533" s="12">
        <v>2000</v>
      </c>
      <c r="Y1533" s="12">
        <v>223</v>
      </c>
      <c r="Z1533" s="12">
        <v>5.3</v>
      </c>
      <c r="AA1533" s="12">
        <v>1.85</v>
      </c>
      <c r="AB1533" s="12">
        <v>463</v>
      </c>
      <c r="AC1533" s="12"/>
      <c r="AD1533" s="12" t="str">
        <f>IFERROR(__xludf.DUMMYFUNCTION("""COMPUTED_VALUE"""),"Guro Nagelhus Schia")</f>
        <v>Guro Nagelhus Schia</v>
      </c>
      <c r="AE1533" s="12"/>
    </row>
    <row r="1534" customHeight="1" spans="1:31">
      <c r="A1534" s="11" t="s">
        <v>30</v>
      </c>
      <c r="B1534" s="11" t="s">
        <v>7853</v>
      </c>
      <c r="C1534" s="11">
        <v>192</v>
      </c>
      <c r="D1534" s="11">
        <v>140</v>
      </c>
      <c r="E1534" s="11">
        <v>36</v>
      </c>
      <c r="F1534" s="11">
        <v>336</v>
      </c>
      <c r="G1534" s="11">
        <v>669</v>
      </c>
      <c r="H1534" s="11">
        <v>33682273</v>
      </c>
      <c r="I1534" s="11" t="s">
        <v>464</v>
      </c>
      <c r="J1534" s="11" t="s">
        <v>7152</v>
      </c>
      <c r="K1534" s="11" t="s">
        <v>7854</v>
      </c>
      <c r="L1534" s="11" t="s">
        <v>7855</v>
      </c>
      <c r="M1534" s="11" t="s">
        <v>7856</v>
      </c>
      <c r="N1534" s="11">
        <v>124242</v>
      </c>
      <c r="O1534" s="11">
        <v>2114</v>
      </c>
      <c r="P1534" s="11">
        <v>1</v>
      </c>
      <c r="Q1534" s="11" t="s">
        <v>7857</v>
      </c>
      <c r="R1534" s="14" t="s">
        <v>7858</v>
      </c>
      <c r="S1534" s="11">
        <v>622</v>
      </c>
      <c r="T1534" s="11" t="s">
        <v>39</v>
      </c>
      <c r="U1534" s="11" t="s">
        <v>40</v>
      </c>
      <c r="V1534" s="11" t="s">
        <v>586</v>
      </c>
      <c r="W1534" s="11">
        <v>33000000</v>
      </c>
      <c r="X1534" s="11">
        <v>2004</v>
      </c>
      <c r="Y1534" s="11">
        <v>403</v>
      </c>
      <c r="Z1534" s="11">
        <v>6.5</v>
      </c>
      <c r="AA1534" s="11">
        <v>2.35</v>
      </c>
      <c r="AB1534" s="11">
        <v>4000</v>
      </c>
      <c r="AC1534" s="11"/>
      <c r="AD1534" s="11" t="str">
        <f>IFERROR(__xludf.DUMMYFUNCTION("""COMPUTED_VALUE"""),"Matthew Macfadyen")</f>
        <v>Matthew Macfadyen</v>
      </c>
      <c r="AE1534" s="11"/>
    </row>
    <row r="1535" customHeight="1" spans="1:31">
      <c r="A1535" s="12" t="s">
        <v>30</v>
      </c>
      <c r="B1535" s="12" t="s">
        <v>7859</v>
      </c>
      <c r="C1535" s="12">
        <v>90</v>
      </c>
      <c r="D1535" s="12">
        <v>118</v>
      </c>
      <c r="E1535" s="12">
        <v>41</v>
      </c>
      <c r="F1535" s="12">
        <v>577</v>
      </c>
      <c r="G1535" s="12">
        <v>722</v>
      </c>
      <c r="H1535" s="12">
        <v>4280577</v>
      </c>
      <c r="I1535" s="12" t="s">
        <v>4916</v>
      </c>
      <c r="J1535" s="12" t="s">
        <v>3166</v>
      </c>
      <c r="K1535" s="12" t="s">
        <v>6887</v>
      </c>
      <c r="L1535" s="12" t="s">
        <v>2242</v>
      </c>
      <c r="M1535" s="12" t="s">
        <v>7860</v>
      </c>
      <c r="N1535" s="12">
        <v>50919</v>
      </c>
      <c r="O1535" s="12">
        <v>2859</v>
      </c>
      <c r="P1535" s="12">
        <v>0</v>
      </c>
      <c r="Q1535" s="12" t="s">
        <v>7861</v>
      </c>
      <c r="R1535" s="15" t="s">
        <v>7862</v>
      </c>
      <c r="S1535" s="12">
        <v>114</v>
      </c>
      <c r="T1535" s="12" t="s">
        <v>39</v>
      </c>
      <c r="U1535" s="12" t="s">
        <v>40</v>
      </c>
      <c r="V1535" s="12" t="s">
        <v>41</v>
      </c>
      <c r="W1535" s="12">
        <v>10000000</v>
      </c>
      <c r="X1535" s="12">
        <v>2005</v>
      </c>
      <c r="Y1535" s="12">
        <v>580</v>
      </c>
      <c r="Z1535" s="12">
        <v>6.8</v>
      </c>
      <c r="AA1535" s="12">
        <v>2.35</v>
      </c>
      <c r="AB1535" s="12">
        <v>0</v>
      </c>
      <c r="AC1535" s="12"/>
      <c r="AD1535" s="12" t="str">
        <f>IFERROR(__xludf.DUMMYFUNCTION("""COMPUTED_VALUE"""),"Leland Orser")</f>
        <v>Leland Orser</v>
      </c>
      <c r="AE1535" s="12"/>
    </row>
    <row r="1536" customHeight="1" spans="1:31">
      <c r="A1536" s="11" t="s">
        <v>30</v>
      </c>
      <c r="B1536" s="11" t="s">
        <v>7863</v>
      </c>
      <c r="C1536" s="11">
        <v>258</v>
      </c>
      <c r="D1536" s="11">
        <v>94</v>
      </c>
      <c r="E1536" s="11">
        <v>132</v>
      </c>
      <c r="F1536" s="11">
        <v>317</v>
      </c>
      <c r="G1536" s="11">
        <v>26000</v>
      </c>
      <c r="H1536" s="11">
        <v>17120019</v>
      </c>
      <c r="I1536" s="11" t="s">
        <v>334</v>
      </c>
      <c r="J1536" s="11" t="s">
        <v>335</v>
      </c>
      <c r="K1536" s="11" t="s">
        <v>6119</v>
      </c>
      <c r="L1536" s="11" t="s">
        <v>7864</v>
      </c>
      <c r="M1536" s="11" t="s">
        <v>7865</v>
      </c>
      <c r="N1536" s="11">
        <v>83097</v>
      </c>
      <c r="O1536" s="11">
        <v>27759</v>
      </c>
      <c r="P1536" s="11">
        <v>2</v>
      </c>
      <c r="Q1536" s="11" t="s">
        <v>7866</v>
      </c>
      <c r="R1536" s="14" t="s">
        <v>7867</v>
      </c>
      <c r="S1536" s="11">
        <v>134</v>
      </c>
      <c r="T1536" s="11" t="s">
        <v>39</v>
      </c>
      <c r="U1536" s="11" t="s">
        <v>40</v>
      </c>
      <c r="V1536" s="11" t="s">
        <v>586</v>
      </c>
      <c r="W1536" s="11">
        <v>30000000</v>
      </c>
      <c r="X1536" s="11">
        <v>2012</v>
      </c>
      <c r="Y1536" s="11">
        <v>828</v>
      </c>
      <c r="Z1536" s="11">
        <v>6.5</v>
      </c>
      <c r="AA1536" s="11">
        <v>2.35</v>
      </c>
      <c r="AB1536" s="11">
        <v>12000</v>
      </c>
      <c r="AC1536" s="11"/>
      <c r="AD1536" s="11" t="str">
        <f>IFERROR(__xludf.DUMMYFUNCTION("""COMPUTED_VALUE"""),"Dwight Yoakam")</f>
        <v>Dwight Yoakam</v>
      </c>
      <c r="AE1536" s="11"/>
    </row>
    <row r="1537" customHeight="1" spans="1:31">
      <c r="A1537" s="12" t="s">
        <v>30</v>
      </c>
      <c r="B1537" s="12" t="s">
        <v>372</v>
      </c>
      <c r="C1537" s="12">
        <v>56</v>
      </c>
      <c r="D1537" s="12">
        <v>124</v>
      </c>
      <c r="E1537" s="12">
        <v>179</v>
      </c>
      <c r="F1537" s="12">
        <v>551</v>
      </c>
      <c r="G1537" s="12">
        <v>11000</v>
      </c>
      <c r="H1537" s="12">
        <v>8406264</v>
      </c>
      <c r="I1537" s="12" t="s">
        <v>1415</v>
      </c>
      <c r="J1537" s="12" t="s">
        <v>565</v>
      </c>
      <c r="K1537" s="12" t="s">
        <v>4630</v>
      </c>
      <c r="L1537" s="12" t="s">
        <v>924</v>
      </c>
      <c r="M1537" s="12" t="s">
        <v>7868</v>
      </c>
      <c r="N1537" s="12">
        <v>24826</v>
      </c>
      <c r="O1537" s="12">
        <v>13093</v>
      </c>
      <c r="P1537" s="12">
        <v>3</v>
      </c>
      <c r="Q1537" s="12" t="s">
        <v>7869</v>
      </c>
      <c r="R1537" s="15" t="s">
        <v>7870</v>
      </c>
      <c r="S1537" s="12">
        <v>175</v>
      </c>
      <c r="T1537" s="12" t="s">
        <v>39</v>
      </c>
      <c r="U1537" s="12" t="s">
        <v>40</v>
      </c>
      <c r="V1537" s="12" t="s">
        <v>586</v>
      </c>
      <c r="W1537" s="12">
        <v>38000000</v>
      </c>
      <c r="X1537" s="12">
        <v>1999</v>
      </c>
      <c r="Y1537" s="12">
        <v>617</v>
      </c>
      <c r="Z1537" s="12">
        <v>6</v>
      </c>
      <c r="AA1537" s="12">
        <v>2.35</v>
      </c>
      <c r="AB1537" s="12">
        <v>783</v>
      </c>
      <c r="AC1537" s="12"/>
      <c r="AD1537" s="12" t="str">
        <f>IFERROR(__xludf.DUMMYFUNCTION("""COMPUTED_VALUE"""),"Mel Rodriguez")</f>
        <v>Mel Rodriguez</v>
      </c>
      <c r="AE1537" s="12"/>
    </row>
    <row r="1538" customHeight="1" spans="1:31">
      <c r="A1538" s="11" t="s">
        <v>30</v>
      </c>
      <c r="B1538" s="11" t="s">
        <v>7871</v>
      </c>
      <c r="C1538" s="11">
        <v>197</v>
      </c>
      <c r="D1538" s="11">
        <v>134</v>
      </c>
      <c r="E1538" s="11">
        <v>37</v>
      </c>
      <c r="F1538" s="11">
        <v>504</v>
      </c>
      <c r="G1538" s="11">
        <v>11000</v>
      </c>
      <c r="H1538" s="11">
        <v>309125409</v>
      </c>
      <c r="I1538" s="11" t="s">
        <v>32</v>
      </c>
      <c r="J1538" s="11" t="s">
        <v>391</v>
      </c>
      <c r="K1538" s="11" t="s">
        <v>1450</v>
      </c>
      <c r="L1538" s="11" t="s">
        <v>7872</v>
      </c>
      <c r="M1538" s="11" t="s">
        <v>7873</v>
      </c>
      <c r="N1538" s="11">
        <v>681857</v>
      </c>
      <c r="O1538" s="11">
        <v>13649</v>
      </c>
      <c r="P1538" s="11">
        <v>0</v>
      </c>
      <c r="Q1538" s="11" t="s">
        <v>7874</v>
      </c>
      <c r="R1538" s="14" t="s">
        <v>7875</v>
      </c>
      <c r="S1538" s="11">
        <v>647</v>
      </c>
      <c r="T1538" s="11" t="s">
        <v>39</v>
      </c>
      <c r="U1538" s="11" t="s">
        <v>40</v>
      </c>
      <c r="V1538" s="11" t="s">
        <v>96</v>
      </c>
      <c r="W1538" s="11">
        <v>32500000</v>
      </c>
      <c r="X1538" s="11">
        <v>1983</v>
      </c>
      <c r="Y1538" s="11">
        <v>1000</v>
      </c>
      <c r="Z1538" s="11">
        <v>8.4</v>
      </c>
      <c r="AA1538" s="11">
        <v>2.35</v>
      </c>
      <c r="AB1538" s="11">
        <v>14000</v>
      </c>
      <c r="AC1538" s="11"/>
      <c r="AD1538" s="11" t="str">
        <f>IFERROR(__xludf.DUMMYFUNCTION("""COMPUTED_VALUE"""),"P.J. Soles")</f>
        <v>P.J. Soles</v>
      </c>
      <c r="AE1538" s="11"/>
    </row>
    <row r="1539" customHeight="1" spans="1:31">
      <c r="A1539" s="12" t="s">
        <v>30</v>
      </c>
      <c r="B1539" s="12" t="s">
        <v>7876</v>
      </c>
      <c r="C1539" s="12">
        <v>254</v>
      </c>
      <c r="D1539" s="12">
        <v>113</v>
      </c>
      <c r="E1539" s="12">
        <v>197</v>
      </c>
      <c r="F1539" s="12">
        <v>43</v>
      </c>
      <c r="G1539" s="12">
        <v>165</v>
      </c>
      <c r="H1539" s="12">
        <v>10955425</v>
      </c>
      <c r="I1539" s="12" t="s">
        <v>2813</v>
      </c>
      <c r="J1539" s="12" t="s">
        <v>7877</v>
      </c>
      <c r="K1539" s="12" t="s">
        <v>2485</v>
      </c>
      <c r="L1539" s="12" t="s">
        <v>6162</v>
      </c>
      <c r="M1539" s="12" t="s">
        <v>7878</v>
      </c>
      <c r="N1539" s="12">
        <v>62770</v>
      </c>
      <c r="O1539" s="12">
        <v>391</v>
      </c>
      <c r="P1539" s="12">
        <v>1</v>
      </c>
      <c r="Q1539" s="12" t="s">
        <v>7879</v>
      </c>
      <c r="R1539" s="15" t="s">
        <v>7880</v>
      </c>
      <c r="S1539" s="12">
        <v>396</v>
      </c>
      <c r="T1539" s="12" t="s">
        <v>39</v>
      </c>
      <c r="U1539" s="12" t="s">
        <v>58</v>
      </c>
      <c r="V1539" s="12" t="s">
        <v>586</v>
      </c>
      <c r="W1539" s="12">
        <v>30000000</v>
      </c>
      <c r="X1539" s="12">
        <v>2008</v>
      </c>
      <c r="Y1539" s="12">
        <v>107</v>
      </c>
      <c r="Z1539" s="12">
        <v>6</v>
      </c>
      <c r="AA1539" s="12">
        <v>2.35</v>
      </c>
      <c r="AB1539" s="12">
        <v>0</v>
      </c>
      <c r="AC1539" s="12"/>
      <c r="AD1539" s="12" t="str">
        <f>IFERROR(__xludf.DUMMYFUNCTION("""COMPUTED_VALUE"""),"Lochlyn Munro")</f>
        <v>Lochlyn Munro</v>
      </c>
      <c r="AE1539" s="12"/>
    </row>
    <row r="1540" customHeight="1" spans="1:31">
      <c r="A1540" s="11" t="s">
        <v>30</v>
      </c>
      <c r="B1540" s="11" t="s">
        <v>6621</v>
      </c>
      <c r="C1540" s="11">
        <v>299</v>
      </c>
      <c r="D1540" s="11">
        <v>124</v>
      </c>
      <c r="E1540" s="11">
        <v>335</v>
      </c>
      <c r="F1540" s="11">
        <v>50</v>
      </c>
      <c r="G1540" s="11">
        <v>14000</v>
      </c>
      <c r="H1540" s="11">
        <v>34180954</v>
      </c>
      <c r="I1540" s="11" t="s">
        <v>214</v>
      </c>
      <c r="J1540" s="11" t="s">
        <v>216</v>
      </c>
      <c r="K1540" s="11" t="s">
        <v>7881</v>
      </c>
      <c r="L1540" s="11" t="s">
        <v>7882</v>
      </c>
      <c r="M1540" s="11" t="s">
        <v>7883</v>
      </c>
      <c r="N1540" s="11">
        <v>189812</v>
      </c>
      <c r="O1540" s="11">
        <v>14504</v>
      </c>
      <c r="P1540" s="11">
        <v>0</v>
      </c>
      <c r="Q1540" s="11" t="s">
        <v>7884</v>
      </c>
      <c r="R1540" s="14" t="s">
        <v>7885</v>
      </c>
      <c r="S1540" s="11">
        <v>370</v>
      </c>
      <c r="T1540" s="11" t="s">
        <v>39</v>
      </c>
      <c r="U1540" s="11" t="s">
        <v>40</v>
      </c>
      <c r="V1540" s="11" t="s">
        <v>586</v>
      </c>
      <c r="W1540" s="11">
        <v>32000000</v>
      </c>
      <c r="X1540" s="11">
        <v>2008</v>
      </c>
      <c r="Y1540" s="11">
        <v>388</v>
      </c>
      <c r="Z1540" s="11">
        <v>7.6</v>
      </c>
      <c r="AA1540" s="11">
        <v>1.85</v>
      </c>
      <c r="AB1540" s="11">
        <v>15000</v>
      </c>
      <c r="AC1540" s="11"/>
      <c r="AD1540" s="11" t="str">
        <f>IFERROR(__xludf.DUMMYFUNCTION("""COMPUTED_VALUE"""),"Steve Bacic")</f>
        <v>Steve Bacic</v>
      </c>
      <c r="AE1540" s="11"/>
    </row>
    <row r="1541" customHeight="1" spans="1:31">
      <c r="A1541" s="12" t="s">
        <v>30</v>
      </c>
      <c r="B1541" s="12" t="s">
        <v>7886</v>
      </c>
      <c r="C1541" s="12">
        <v>163</v>
      </c>
      <c r="D1541" s="12">
        <v>98</v>
      </c>
      <c r="E1541" s="12">
        <v>136</v>
      </c>
      <c r="F1541" s="12">
        <v>833</v>
      </c>
      <c r="G1541" s="12">
        <v>1000</v>
      </c>
      <c r="H1541" s="12">
        <v>17225675</v>
      </c>
      <c r="I1541" s="12" t="s">
        <v>1672</v>
      </c>
      <c r="J1541" s="12" t="s">
        <v>1377</v>
      </c>
      <c r="K1541" s="12" t="s">
        <v>7320</v>
      </c>
      <c r="L1541" s="12" t="s">
        <v>624</v>
      </c>
      <c r="M1541" s="12" t="s">
        <v>7887</v>
      </c>
      <c r="N1541" s="12">
        <v>62198</v>
      </c>
      <c r="O1541" s="12">
        <v>4151</v>
      </c>
      <c r="P1541" s="12">
        <v>2</v>
      </c>
      <c r="Q1541" s="12" t="s">
        <v>7888</v>
      </c>
      <c r="R1541" s="15" t="s">
        <v>7889</v>
      </c>
      <c r="S1541" s="12">
        <v>139</v>
      </c>
      <c r="T1541" s="12" t="s">
        <v>39</v>
      </c>
      <c r="U1541" s="12" t="s">
        <v>40</v>
      </c>
      <c r="V1541" s="12" t="s">
        <v>586</v>
      </c>
      <c r="W1541" s="16"/>
      <c r="X1541" s="12">
        <v>2012</v>
      </c>
      <c r="Y1541" s="12">
        <v>945</v>
      </c>
      <c r="Z1541" s="12">
        <v>5.6</v>
      </c>
      <c r="AA1541" s="12">
        <v>1.85</v>
      </c>
      <c r="AB1541" s="12">
        <v>0</v>
      </c>
      <c r="AC1541" s="12"/>
      <c r="AD1541" s="12" t="str">
        <f>IFERROR(__xludf.DUMMYFUNCTION("""COMPUTED_VALUE"""),"Mykelti Williamson")</f>
        <v>Mykelti Williamson</v>
      </c>
      <c r="AE1541" s="12"/>
    </row>
    <row r="1542" customHeight="1" spans="1:31">
      <c r="A1542" s="11" t="s">
        <v>30</v>
      </c>
      <c r="B1542" s="11" t="s">
        <v>251</v>
      </c>
      <c r="C1542" s="11">
        <v>152</v>
      </c>
      <c r="D1542" s="11">
        <v>97</v>
      </c>
      <c r="E1542" s="11">
        <v>4000</v>
      </c>
      <c r="F1542" s="11">
        <v>8000</v>
      </c>
      <c r="G1542" s="11">
        <v>22000</v>
      </c>
      <c r="H1542" s="11">
        <v>173381405</v>
      </c>
      <c r="I1542" s="11" t="s">
        <v>2614</v>
      </c>
      <c r="J1542" s="11" t="s">
        <v>149</v>
      </c>
      <c r="K1542" s="11" t="s">
        <v>1950</v>
      </c>
      <c r="L1542" s="11" t="s">
        <v>1249</v>
      </c>
      <c r="M1542" s="11" t="s">
        <v>7890</v>
      </c>
      <c r="N1542" s="11">
        <v>147597</v>
      </c>
      <c r="O1542" s="11">
        <v>43354</v>
      </c>
      <c r="P1542" s="11">
        <v>1</v>
      </c>
      <c r="Q1542" s="11" t="s">
        <v>7891</v>
      </c>
      <c r="R1542" s="14" t="s">
        <v>7892</v>
      </c>
      <c r="S1542" s="11">
        <v>395</v>
      </c>
      <c r="T1542" s="11" t="s">
        <v>39</v>
      </c>
      <c r="U1542" s="11" t="s">
        <v>40</v>
      </c>
      <c r="V1542" s="11" t="s">
        <v>96</v>
      </c>
      <c r="W1542" s="11">
        <v>33000000</v>
      </c>
      <c r="X1542" s="11">
        <v>2003</v>
      </c>
      <c r="Y1542" s="11">
        <v>11000</v>
      </c>
      <c r="Z1542" s="11">
        <v>6.9</v>
      </c>
      <c r="AA1542" s="11">
        <v>1.85</v>
      </c>
      <c r="AB1542" s="11">
        <v>21000</v>
      </c>
      <c r="AC1542" s="11"/>
      <c r="AD1542" s="11" t="str">
        <f>IFERROR(__xludf.DUMMYFUNCTION("""COMPUTED_VALUE"""),"Fares Fares")</f>
        <v>Fares Fares</v>
      </c>
      <c r="AE1542" s="11"/>
    </row>
    <row r="1543" customHeight="1" spans="1:31">
      <c r="A1543" s="12" t="s">
        <v>30</v>
      </c>
      <c r="B1543" s="12" t="s">
        <v>704</v>
      </c>
      <c r="C1543" s="12">
        <v>53</v>
      </c>
      <c r="D1543" s="12">
        <v>123</v>
      </c>
      <c r="E1543" s="12">
        <v>226</v>
      </c>
      <c r="F1543" s="12">
        <v>796</v>
      </c>
      <c r="G1543" s="12">
        <v>3000</v>
      </c>
      <c r="H1543" s="12">
        <v>104632573</v>
      </c>
      <c r="I1543" s="12" t="s">
        <v>6919</v>
      </c>
      <c r="J1543" s="12" t="s">
        <v>1689</v>
      </c>
      <c r="K1543" s="12" t="s">
        <v>7893</v>
      </c>
      <c r="L1543" s="12" t="s">
        <v>7894</v>
      </c>
      <c r="M1543" s="12" t="s">
        <v>7895</v>
      </c>
      <c r="N1543" s="12">
        <v>63839</v>
      </c>
      <c r="O1543" s="12">
        <v>5975</v>
      </c>
      <c r="P1543" s="12">
        <v>1</v>
      </c>
      <c r="Q1543" s="12" t="s">
        <v>7896</v>
      </c>
      <c r="R1543" s="15" t="s">
        <v>7897</v>
      </c>
      <c r="S1543" s="12">
        <v>118</v>
      </c>
      <c r="T1543" s="12" t="s">
        <v>39</v>
      </c>
      <c r="U1543" s="12" t="s">
        <v>40</v>
      </c>
      <c r="V1543" s="12" t="s">
        <v>96</v>
      </c>
      <c r="W1543" s="12">
        <v>32000000</v>
      </c>
      <c r="X1543" s="12">
        <v>1996</v>
      </c>
      <c r="Y1543" s="12">
        <v>941</v>
      </c>
      <c r="Z1543" s="12">
        <v>6.4</v>
      </c>
      <c r="AA1543" s="12">
        <v>2.35</v>
      </c>
      <c r="AB1543" s="12">
        <v>0</v>
      </c>
      <c r="AC1543" s="12"/>
      <c r="AD1543" s="12" t="str">
        <f>IFERROR(__xludf.DUMMYFUNCTION("""COMPUTED_VALUE"""),"Michael Nardone")</f>
        <v>Michael Nardone</v>
      </c>
      <c r="AE1543" s="12"/>
    </row>
    <row r="1544" customHeight="1" spans="1:31">
      <c r="A1544" s="11" t="s">
        <v>30</v>
      </c>
      <c r="B1544" s="11" t="s">
        <v>4108</v>
      </c>
      <c r="C1544" s="11">
        <v>67</v>
      </c>
      <c r="D1544" s="11">
        <v>99</v>
      </c>
      <c r="E1544" s="11">
        <v>32</v>
      </c>
      <c r="F1544" s="11">
        <v>521</v>
      </c>
      <c r="G1544" s="11">
        <v>773</v>
      </c>
      <c r="H1544" s="11">
        <v>81150692</v>
      </c>
      <c r="I1544" s="11" t="s">
        <v>7898</v>
      </c>
      <c r="J1544" s="11" t="s">
        <v>1441</v>
      </c>
      <c r="K1544" s="11" t="s">
        <v>7283</v>
      </c>
      <c r="L1544" s="11" t="s">
        <v>5379</v>
      </c>
      <c r="M1544" s="11" t="s">
        <v>7899</v>
      </c>
      <c r="N1544" s="11">
        <v>20219</v>
      </c>
      <c r="O1544" s="11">
        <v>2916</v>
      </c>
      <c r="P1544" s="11">
        <v>1</v>
      </c>
      <c r="Q1544" s="11" t="s">
        <v>7900</v>
      </c>
      <c r="R1544" s="14" t="s">
        <v>7901</v>
      </c>
      <c r="S1544" s="11">
        <v>100</v>
      </c>
      <c r="T1544" s="11" t="s">
        <v>39</v>
      </c>
      <c r="U1544" s="11" t="s">
        <v>269</v>
      </c>
      <c r="V1544" s="11" t="s">
        <v>96</v>
      </c>
      <c r="W1544" s="11">
        <v>35000000</v>
      </c>
      <c r="X1544" s="11">
        <v>2002</v>
      </c>
      <c r="Y1544" s="11">
        <v>664</v>
      </c>
      <c r="Z1544" s="11">
        <v>5.1</v>
      </c>
      <c r="AA1544" s="11">
        <v>1.85</v>
      </c>
      <c r="AB1544" s="11">
        <v>0</v>
      </c>
      <c r="AC1544" s="11"/>
      <c r="AD1544" s="11" t="str">
        <f>IFERROR(__xludf.DUMMYFUNCTION("""COMPUTED_VALUE"""),"Corinna Harney")</f>
        <v>Corinna Harney</v>
      </c>
      <c r="AE1544" s="11"/>
    </row>
    <row r="1545" customHeight="1" spans="1:31">
      <c r="A1545" s="12" t="s">
        <v>30</v>
      </c>
      <c r="B1545" s="12" t="s">
        <v>1059</v>
      </c>
      <c r="C1545" s="12">
        <v>88</v>
      </c>
      <c r="D1545" s="12">
        <v>101</v>
      </c>
      <c r="E1545" s="12">
        <v>503</v>
      </c>
      <c r="F1545" s="12">
        <v>1000</v>
      </c>
      <c r="G1545" s="12">
        <v>13000</v>
      </c>
      <c r="H1545" s="12">
        <v>60328558</v>
      </c>
      <c r="I1545" s="12" t="s">
        <v>7902</v>
      </c>
      <c r="J1545" s="12" t="s">
        <v>549</v>
      </c>
      <c r="K1545" s="12" t="s">
        <v>1232</v>
      </c>
      <c r="L1545" s="12" t="s">
        <v>7291</v>
      </c>
      <c r="M1545" s="12" t="s">
        <v>7903</v>
      </c>
      <c r="N1545" s="12">
        <v>61396</v>
      </c>
      <c r="O1545" s="12">
        <v>18734</v>
      </c>
      <c r="P1545" s="12">
        <v>1</v>
      </c>
      <c r="Q1545" s="12" t="s">
        <v>7904</v>
      </c>
      <c r="R1545" s="15" t="s">
        <v>7905</v>
      </c>
      <c r="S1545" s="12">
        <v>159</v>
      </c>
      <c r="T1545" s="12" t="s">
        <v>39</v>
      </c>
      <c r="U1545" s="12" t="s">
        <v>40</v>
      </c>
      <c r="V1545" s="12" t="s">
        <v>41</v>
      </c>
      <c r="W1545" s="12">
        <v>32000000</v>
      </c>
      <c r="X1545" s="12">
        <v>1988</v>
      </c>
      <c r="Y1545" s="12">
        <v>1000</v>
      </c>
      <c r="Z1545" s="12">
        <v>7</v>
      </c>
      <c r="AA1545" s="12">
        <v>1.85</v>
      </c>
      <c r="AB1545" s="12">
        <v>11000</v>
      </c>
      <c r="AC1545" s="12"/>
      <c r="AD1545" s="12" t="str">
        <f>IFERROR(__xludf.DUMMYFUNCTION("""COMPUTED_VALUE"""),"Douglas Haase")</f>
        <v>Douglas Haase</v>
      </c>
      <c r="AE1545" s="12"/>
    </row>
    <row r="1546" customHeight="1" spans="1:31">
      <c r="A1546" s="11" t="s">
        <v>30</v>
      </c>
      <c r="B1546" s="11" t="s">
        <v>7906</v>
      </c>
      <c r="C1546" s="11">
        <v>163</v>
      </c>
      <c r="D1546" s="11">
        <v>92</v>
      </c>
      <c r="E1546" s="11">
        <v>100</v>
      </c>
      <c r="F1546" s="11">
        <v>327</v>
      </c>
      <c r="G1546" s="11">
        <v>678</v>
      </c>
      <c r="H1546" s="11">
        <v>80197993</v>
      </c>
      <c r="I1546" s="11" t="s">
        <v>7907</v>
      </c>
      <c r="J1546" s="11" t="s">
        <v>5201</v>
      </c>
      <c r="K1546" s="11" t="s">
        <v>1613</v>
      </c>
      <c r="L1546" s="11" t="s">
        <v>7908</v>
      </c>
      <c r="M1546" s="11" t="s">
        <v>7909</v>
      </c>
      <c r="N1546" s="11">
        <v>65551</v>
      </c>
      <c r="O1546" s="11">
        <v>1729</v>
      </c>
      <c r="P1546" s="11">
        <v>1</v>
      </c>
      <c r="Q1546" s="11" t="s">
        <v>7910</v>
      </c>
      <c r="R1546" s="14" t="s">
        <v>7911</v>
      </c>
      <c r="S1546" s="11">
        <v>441</v>
      </c>
      <c r="T1546" s="11" t="s">
        <v>39</v>
      </c>
      <c r="U1546" s="11" t="s">
        <v>768</v>
      </c>
      <c r="V1546" s="11" t="s">
        <v>96</v>
      </c>
      <c r="W1546" s="11">
        <v>32000000</v>
      </c>
      <c r="X1546" s="11">
        <v>2006</v>
      </c>
      <c r="Y1546" s="11">
        <v>635</v>
      </c>
      <c r="Z1546" s="11">
        <v>5.7</v>
      </c>
      <c r="AA1546" s="11">
        <v>1.85</v>
      </c>
      <c r="AB1546" s="11">
        <v>0</v>
      </c>
      <c r="AC1546" s="11"/>
      <c r="AD1546" s="11" t="str">
        <f>IFERROR(__xludf.DUMMYFUNCTION("""COMPUTED_VALUE"""),"Vince Vieluf")</f>
        <v>Vince Vieluf</v>
      </c>
      <c r="AE1546" s="11"/>
    </row>
    <row r="1547" customHeight="1" spans="1:31">
      <c r="A1547" s="12" t="s">
        <v>30</v>
      </c>
      <c r="B1547" s="12" t="s">
        <v>970</v>
      </c>
      <c r="C1547" s="12">
        <v>371</v>
      </c>
      <c r="D1547" s="12">
        <v>131</v>
      </c>
      <c r="E1547" s="12">
        <v>176</v>
      </c>
      <c r="F1547" s="12">
        <v>460</v>
      </c>
      <c r="G1547" s="12">
        <v>722</v>
      </c>
      <c r="H1547" s="12">
        <v>169076745</v>
      </c>
      <c r="I1547" s="12" t="s">
        <v>1681</v>
      </c>
      <c r="J1547" s="12" t="s">
        <v>4724</v>
      </c>
      <c r="K1547" s="12" t="s">
        <v>7912</v>
      </c>
      <c r="L1547" s="12" t="s">
        <v>7913</v>
      </c>
      <c r="M1547" s="12" t="s">
        <v>7914</v>
      </c>
      <c r="N1547" s="12">
        <v>218711</v>
      </c>
      <c r="O1547" s="12">
        <v>3229</v>
      </c>
      <c r="P1547" s="12">
        <v>6</v>
      </c>
      <c r="Q1547" s="12" t="s">
        <v>7915</v>
      </c>
      <c r="R1547" s="15" t="s">
        <v>7916</v>
      </c>
      <c r="S1547" s="12">
        <v>485</v>
      </c>
      <c r="T1547" s="12" t="s">
        <v>39</v>
      </c>
      <c r="U1547" s="12" t="s">
        <v>40</v>
      </c>
      <c r="V1547" s="12" t="s">
        <v>586</v>
      </c>
      <c r="W1547" s="12">
        <v>32500000</v>
      </c>
      <c r="X1547" s="12">
        <v>2011</v>
      </c>
      <c r="Y1547" s="12">
        <v>655</v>
      </c>
      <c r="Z1547" s="12">
        <v>6.8</v>
      </c>
      <c r="AA1547" s="12">
        <v>2.35</v>
      </c>
      <c r="AB1547" s="12">
        <v>27000</v>
      </c>
      <c r="AC1547" s="12"/>
      <c r="AD1547" s="12" t="str">
        <f>IFERROR(__xludf.DUMMYFUNCTION("""COMPUTED_VALUE"""),"Bradley Whitford")</f>
        <v>Bradley Whitford</v>
      </c>
      <c r="AE1547" s="12"/>
    </row>
    <row r="1548" customHeight="1" spans="1:31">
      <c r="A1548" s="11" t="s">
        <v>30</v>
      </c>
      <c r="B1548" s="11" t="s">
        <v>6177</v>
      </c>
      <c r="C1548" s="11">
        <v>418</v>
      </c>
      <c r="D1548" s="11">
        <v>107</v>
      </c>
      <c r="E1548" s="11">
        <v>133</v>
      </c>
      <c r="F1548" s="11">
        <v>9000</v>
      </c>
      <c r="G1548" s="11">
        <v>17000</v>
      </c>
      <c r="H1548" s="11">
        <v>101470202</v>
      </c>
      <c r="I1548" s="11" t="s">
        <v>2787</v>
      </c>
      <c r="J1548" s="11" t="s">
        <v>445</v>
      </c>
      <c r="K1548" s="11" t="s">
        <v>83</v>
      </c>
      <c r="L1548" s="11" t="s">
        <v>1206</v>
      </c>
      <c r="M1548" s="11" t="s">
        <v>7917</v>
      </c>
      <c r="N1548" s="11">
        <v>310540</v>
      </c>
      <c r="O1548" s="11">
        <v>38751</v>
      </c>
      <c r="P1548" s="11">
        <v>6</v>
      </c>
      <c r="Q1548" s="11" t="s">
        <v>7918</v>
      </c>
      <c r="R1548" s="14" t="s">
        <v>7919</v>
      </c>
      <c r="S1548" s="11">
        <v>669</v>
      </c>
      <c r="T1548" s="11" t="s">
        <v>39</v>
      </c>
      <c r="U1548" s="11" t="s">
        <v>40</v>
      </c>
      <c r="V1548" s="11" t="s">
        <v>586</v>
      </c>
      <c r="W1548" s="11">
        <v>32000000</v>
      </c>
      <c r="X1548" s="11">
        <v>2013</v>
      </c>
      <c r="Y1548" s="11">
        <v>11000</v>
      </c>
      <c r="Z1548" s="11">
        <v>6.7</v>
      </c>
      <c r="AA1548" s="11">
        <v>2.35</v>
      </c>
      <c r="AB1548" s="11">
        <v>97000</v>
      </c>
      <c r="AC1548" s="11"/>
      <c r="AD1548" s="11" t="str">
        <f>IFERROR(__xludf.DUMMYFUNCTION("""COMPUTED_VALUE"""),"Brian Doyle-Murray")</f>
        <v>Brian Doyle-Murray</v>
      </c>
      <c r="AE1548" s="11"/>
    </row>
    <row r="1549" customHeight="1" spans="1:31">
      <c r="A1549" s="12" t="s">
        <v>30</v>
      </c>
      <c r="B1549" s="12" t="s">
        <v>7920</v>
      </c>
      <c r="C1549" s="12">
        <v>131</v>
      </c>
      <c r="D1549" s="12">
        <v>103</v>
      </c>
      <c r="E1549" s="12">
        <v>9</v>
      </c>
      <c r="F1549" s="12">
        <v>573</v>
      </c>
      <c r="G1549" s="12">
        <v>826</v>
      </c>
      <c r="H1549" s="12">
        <v>50041732</v>
      </c>
      <c r="I1549" s="12" t="s">
        <v>6403</v>
      </c>
      <c r="J1549" s="12" t="s">
        <v>6383</v>
      </c>
      <c r="K1549" s="12" t="s">
        <v>5751</v>
      </c>
      <c r="L1549" s="12" t="s">
        <v>7581</v>
      </c>
      <c r="M1549" s="12" t="s">
        <v>7921</v>
      </c>
      <c r="N1549" s="12">
        <v>54390</v>
      </c>
      <c r="O1549" s="12">
        <v>3004</v>
      </c>
      <c r="P1549" s="12">
        <v>0</v>
      </c>
      <c r="Q1549" s="12" t="s">
        <v>7922</v>
      </c>
      <c r="R1549" s="15" t="s">
        <v>7923</v>
      </c>
      <c r="S1549" s="12">
        <v>398</v>
      </c>
      <c r="T1549" s="12" t="s">
        <v>39</v>
      </c>
      <c r="U1549" s="12" t="s">
        <v>40</v>
      </c>
      <c r="V1549" s="12" t="s">
        <v>586</v>
      </c>
      <c r="W1549" s="12">
        <v>29000000</v>
      </c>
      <c r="X1549" s="12">
        <v>1999</v>
      </c>
      <c r="Y1549" s="12">
        <v>724</v>
      </c>
      <c r="Z1549" s="12">
        <v>6.2</v>
      </c>
      <c r="AA1549" s="12">
        <v>2.35</v>
      </c>
      <c r="AB1549" s="12">
        <v>0</v>
      </c>
      <c r="AC1549" s="12"/>
      <c r="AD1549" s="12" t="str">
        <f>IFERROR(__xludf.DUMMYFUNCTION("""COMPUTED_VALUE"""),"Fred Gwynne")</f>
        <v>Fred Gwynne</v>
      </c>
      <c r="AE1549" s="12"/>
    </row>
    <row r="1550" customHeight="1" spans="1:31">
      <c r="A1550" s="11" t="s">
        <v>30</v>
      </c>
      <c r="B1550" s="11" t="s">
        <v>7786</v>
      </c>
      <c r="C1550" s="11">
        <v>98</v>
      </c>
      <c r="D1550" s="11">
        <v>129</v>
      </c>
      <c r="E1550" s="11">
        <v>88</v>
      </c>
      <c r="F1550" s="11">
        <v>975</v>
      </c>
      <c r="G1550" s="11">
        <v>22000</v>
      </c>
      <c r="H1550" s="11">
        <v>48814909</v>
      </c>
      <c r="I1550" s="11" t="s">
        <v>1544</v>
      </c>
      <c r="J1550" s="11" t="s">
        <v>1746</v>
      </c>
      <c r="K1550" s="11" t="s">
        <v>778</v>
      </c>
      <c r="L1550" s="11" t="s">
        <v>2524</v>
      </c>
      <c r="M1550" s="11" t="s">
        <v>7924</v>
      </c>
      <c r="N1550" s="11">
        <v>89424</v>
      </c>
      <c r="O1550" s="11">
        <v>36069</v>
      </c>
      <c r="P1550" s="11">
        <v>0</v>
      </c>
      <c r="Q1550" s="11" t="s">
        <v>7925</v>
      </c>
      <c r="R1550" s="14" t="s">
        <v>7926</v>
      </c>
      <c r="S1550" s="11">
        <v>224</v>
      </c>
      <c r="T1550" s="11" t="s">
        <v>39</v>
      </c>
      <c r="U1550" s="11" t="s">
        <v>40</v>
      </c>
      <c r="V1550" s="11" t="s">
        <v>586</v>
      </c>
      <c r="W1550" s="11">
        <v>32000000</v>
      </c>
      <c r="X1550" s="11">
        <v>2000</v>
      </c>
      <c r="Y1550" s="11">
        <v>9000</v>
      </c>
      <c r="Z1550" s="11">
        <v>7.2</v>
      </c>
      <c r="AA1550" s="11">
        <v>2.35</v>
      </c>
      <c r="AB1550" s="11">
        <v>0</v>
      </c>
      <c r="AC1550" s="11"/>
      <c r="AD1550" s="11" t="str">
        <f>IFERROR(__xludf.DUMMYFUNCTION("""COMPUTED_VALUE"""),"Gretchen Mol")</f>
        <v>Gretchen Mol</v>
      </c>
      <c r="AE1550" s="11"/>
    </row>
    <row r="1551" customHeight="1" spans="1:31">
      <c r="A1551" s="12" t="s">
        <v>30</v>
      </c>
      <c r="B1551" s="12" t="s">
        <v>7927</v>
      </c>
      <c r="C1551" s="12">
        <v>119</v>
      </c>
      <c r="D1551" s="12">
        <v>107</v>
      </c>
      <c r="E1551" s="12">
        <v>34</v>
      </c>
      <c r="F1551" s="12">
        <v>1000</v>
      </c>
      <c r="G1551" s="12">
        <v>23000</v>
      </c>
      <c r="H1551" s="12">
        <v>57744720</v>
      </c>
      <c r="I1551" s="12" t="s">
        <v>334</v>
      </c>
      <c r="J1551" s="12" t="s">
        <v>336</v>
      </c>
      <c r="K1551" s="12" t="s">
        <v>1434</v>
      </c>
      <c r="L1551" s="12" t="s">
        <v>3715</v>
      </c>
      <c r="M1551" s="12" t="s">
        <v>7928</v>
      </c>
      <c r="N1551" s="12">
        <v>46961</v>
      </c>
      <c r="O1551" s="12">
        <v>31529</v>
      </c>
      <c r="P1551" s="12">
        <v>5</v>
      </c>
      <c r="Q1551" s="12" t="s">
        <v>7929</v>
      </c>
      <c r="R1551" s="15" t="s">
        <v>7930</v>
      </c>
      <c r="S1551" s="12">
        <v>132</v>
      </c>
      <c r="T1551" s="12" t="s">
        <v>39</v>
      </c>
      <c r="U1551" s="12" t="s">
        <v>40</v>
      </c>
      <c r="V1551" s="12" t="s">
        <v>41</v>
      </c>
      <c r="W1551" s="12">
        <v>20000000</v>
      </c>
      <c r="X1551" s="12">
        <v>2010</v>
      </c>
      <c r="Y1551" s="12">
        <v>4000</v>
      </c>
      <c r="Z1551" s="12">
        <v>6.2</v>
      </c>
      <c r="AA1551" s="12">
        <v>2.35</v>
      </c>
      <c r="AB1551" s="12">
        <v>0</v>
      </c>
      <c r="AC1551" s="12"/>
      <c r="AD1551" s="12" t="str">
        <f>IFERROR(__xludf.DUMMYFUNCTION("""COMPUTED_VALUE"""),"Jon Gries")</f>
        <v>Jon Gries</v>
      </c>
      <c r="AE1551" s="12"/>
    </row>
    <row r="1552" customHeight="1" spans="1:31">
      <c r="A1552" s="11" t="s">
        <v>30</v>
      </c>
      <c r="B1552" s="11" t="s">
        <v>7931</v>
      </c>
      <c r="C1552" s="11">
        <v>133</v>
      </c>
      <c r="D1552" s="11">
        <v>89</v>
      </c>
      <c r="E1552" s="11">
        <v>16</v>
      </c>
      <c r="F1552" s="11">
        <v>2000</v>
      </c>
      <c r="G1552" s="11">
        <v>49000</v>
      </c>
      <c r="H1552" s="11">
        <v>21784432</v>
      </c>
      <c r="I1552" s="11" t="s">
        <v>1672</v>
      </c>
      <c r="J1552" s="11" t="s">
        <v>811</v>
      </c>
      <c r="K1552" s="11" t="s">
        <v>1746</v>
      </c>
      <c r="L1552" s="11" t="s">
        <v>6474</v>
      </c>
      <c r="M1552" s="11" t="s">
        <v>7932</v>
      </c>
      <c r="N1552" s="11">
        <v>37493</v>
      </c>
      <c r="O1552" s="11">
        <v>74181</v>
      </c>
      <c r="P1552" s="11">
        <v>8</v>
      </c>
      <c r="Q1552" s="11" t="s">
        <v>7933</v>
      </c>
      <c r="R1552" s="14" t="s">
        <v>7934</v>
      </c>
      <c r="S1552" s="11">
        <v>108</v>
      </c>
      <c r="T1552" s="11" t="s">
        <v>39</v>
      </c>
      <c r="U1552" s="11" t="s">
        <v>40</v>
      </c>
      <c r="V1552" s="11" t="s">
        <v>586</v>
      </c>
      <c r="W1552" s="11">
        <v>35000000</v>
      </c>
      <c r="X1552" s="11">
        <v>2013</v>
      </c>
      <c r="Y1552" s="11">
        <v>22000</v>
      </c>
      <c r="Z1552" s="11">
        <v>5.6</v>
      </c>
      <c r="AA1552" s="11">
        <v>2.35</v>
      </c>
      <c r="AB1552" s="11">
        <v>0</v>
      </c>
      <c r="AC1552" s="11"/>
      <c r="AD1552" s="11" t="str">
        <f>IFERROR(__xludf.DUMMYFUNCTION("""COMPUTED_VALUE"""),"Keith Hudson")</f>
        <v>Keith Hudson</v>
      </c>
      <c r="AE1552" s="11"/>
    </row>
    <row r="1553" customHeight="1" spans="1:31">
      <c r="A1553" s="12" t="s">
        <v>30</v>
      </c>
      <c r="B1553" s="12" t="s">
        <v>4988</v>
      </c>
      <c r="C1553" s="12">
        <v>88</v>
      </c>
      <c r="D1553" s="12">
        <v>113</v>
      </c>
      <c r="E1553" s="12">
        <v>14</v>
      </c>
      <c r="F1553" s="12">
        <v>534</v>
      </c>
      <c r="G1553" s="12">
        <v>918</v>
      </c>
      <c r="H1553" s="12">
        <v>37911876</v>
      </c>
      <c r="I1553" s="12" t="s">
        <v>1753</v>
      </c>
      <c r="J1553" s="12" t="s">
        <v>2138</v>
      </c>
      <c r="K1553" s="12" t="s">
        <v>1214</v>
      </c>
      <c r="L1553" s="12" t="s">
        <v>7935</v>
      </c>
      <c r="M1553" s="12" t="s">
        <v>7936</v>
      </c>
      <c r="N1553" s="12">
        <v>19671</v>
      </c>
      <c r="O1553" s="12">
        <v>3500</v>
      </c>
      <c r="P1553" s="12">
        <v>2</v>
      </c>
      <c r="Q1553" s="12" t="s">
        <v>7937</v>
      </c>
      <c r="R1553" s="15" t="s">
        <v>7938</v>
      </c>
      <c r="S1553" s="12">
        <v>47</v>
      </c>
      <c r="T1553" s="12" t="s">
        <v>39</v>
      </c>
      <c r="U1553" s="12" t="s">
        <v>40</v>
      </c>
      <c r="V1553" s="12" t="s">
        <v>41</v>
      </c>
      <c r="W1553" s="12">
        <v>32000000</v>
      </c>
      <c r="X1553" s="12">
        <v>2011</v>
      </c>
      <c r="Y1553" s="12">
        <v>845</v>
      </c>
      <c r="Z1553" s="12">
        <v>4.4</v>
      </c>
      <c r="AA1553" s="12">
        <v>2.35</v>
      </c>
      <c r="AB1553" s="12">
        <v>0</v>
      </c>
      <c r="AC1553" s="12"/>
      <c r="AD1553" s="12" t="str">
        <f>IFERROR(__xludf.DUMMYFUNCTION("""COMPUTED_VALUE"""),"Andy Dick")</f>
        <v>Andy Dick</v>
      </c>
      <c r="AE1553" s="12"/>
    </row>
    <row r="1554" customHeight="1" spans="1:31">
      <c r="A1554" s="11" t="s">
        <v>30</v>
      </c>
      <c r="B1554" s="11" t="s">
        <v>729</v>
      </c>
      <c r="C1554" s="11">
        <v>522</v>
      </c>
      <c r="D1554" s="11">
        <v>93</v>
      </c>
      <c r="E1554" s="11">
        <v>0</v>
      </c>
      <c r="F1554" s="11">
        <v>355</v>
      </c>
      <c r="G1554" s="11">
        <v>15000</v>
      </c>
      <c r="H1554" s="11">
        <v>54696902</v>
      </c>
      <c r="I1554" s="11" t="s">
        <v>5033</v>
      </c>
      <c r="J1554" s="11" t="s">
        <v>373</v>
      </c>
      <c r="K1554" s="11" t="s">
        <v>7939</v>
      </c>
      <c r="L1554" s="11" t="s">
        <v>7940</v>
      </c>
      <c r="M1554" s="11" t="s">
        <v>7941</v>
      </c>
      <c r="N1554" s="11">
        <v>379462</v>
      </c>
      <c r="O1554" s="11">
        <v>16034</v>
      </c>
      <c r="P1554" s="11">
        <v>3</v>
      </c>
      <c r="Q1554" s="11" t="s">
        <v>7942</v>
      </c>
      <c r="R1554" s="14" t="s">
        <v>7943</v>
      </c>
      <c r="S1554" s="11">
        <v>571</v>
      </c>
      <c r="T1554" s="11" t="s">
        <v>39</v>
      </c>
      <c r="U1554" s="11" t="s">
        <v>40</v>
      </c>
      <c r="V1554" s="11" t="s">
        <v>41</v>
      </c>
      <c r="W1554" s="11">
        <v>32000000</v>
      </c>
      <c r="X1554" s="11">
        <v>2011</v>
      </c>
      <c r="Y1554" s="11">
        <v>491</v>
      </c>
      <c r="Z1554" s="11">
        <v>7.5</v>
      </c>
      <c r="AA1554" s="11">
        <v>1.85</v>
      </c>
      <c r="AB1554" s="11">
        <v>56000</v>
      </c>
      <c r="AC1554" s="11"/>
      <c r="AD1554" s="11" t="str">
        <f>IFERROR(__xludf.DUMMYFUNCTION("""COMPUTED_VALUE"""),"Nandita Das")</f>
        <v>Nandita Das</v>
      </c>
      <c r="AE1554" s="11"/>
    </row>
    <row r="1555" customHeight="1" spans="1:31">
      <c r="A1555" s="12" t="s">
        <v>30</v>
      </c>
      <c r="B1555" s="12" t="s">
        <v>5088</v>
      </c>
      <c r="C1555" s="12">
        <v>43</v>
      </c>
      <c r="D1555" s="12">
        <v>120</v>
      </c>
      <c r="E1555" s="12">
        <v>155</v>
      </c>
      <c r="F1555" s="12">
        <v>240</v>
      </c>
      <c r="G1555" s="12">
        <v>344</v>
      </c>
      <c r="H1555" s="12">
        <v>36733909</v>
      </c>
      <c r="I1555" s="12" t="s">
        <v>7682</v>
      </c>
      <c r="J1555" s="12" t="s">
        <v>7944</v>
      </c>
      <c r="K1555" s="12" t="s">
        <v>7945</v>
      </c>
      <c r="L1555" s="12" t="s">
        <v>7946</v>
      </c>
      <c r="M1555" s="12" t="s">
        <v>7947</v>
      </c>
      <c r="N1555" s="12">
        <v>38949</v>
      </c>
      <c r="O1555" s="12">
        <v>2054</v>
      </c>
      <c r="P1555" s="12">
        <v>3</v>
      </c>
      <c r="Q1555" s="12" t="s">
        <v>7948</v>
      </c>
      <c r="R1555" s="15" t="s">
        <v>7949</v>
      </c>
      <c r="S1555" s="12">
        <v>112</v>
      </c>
      <c r="T1555" s="12" t="s">
        <v>39</v>
      </c>
      <c r="U1555" s="12" t="s">
        <v>40</v>
      </c>
      <c r="V1555" s="12" t="s">
        <v>586</v>
      </c>
      <c r="W1555" s="12">
        <v>32000000</v>
      </c>
      <c r="X1555" s="12">
        <v>1993</v>
      </c>
      <c r="Y1555" s="12">
        <v>242</v>
      </c>
      <c r="Z1555" s="12">
        <v>7.1</v>
      </c>
      <c r="AA1555" s="12">
        <v>1.85</v>
      </c>
      <c r="AB1555" s="12">
        <v>0</v>
      </c>
      <c r="AC1555" s="12"/>
      <c r="AD1555" s="12" t="str">
        <f>IFERROR(__xludf.DUMMYFUNCTION("""COMPUTED_VALUE"""),"Gulshan Grover")</f>
        <v>Gulshan Grover</v>
      </c>
      <c r="AE1555" s="12"/>
    </row>
    <row r="1556" customHeight="1" spans="1:31">
      <c r="A1556" s="11" t="s">
        <v>30</v>
      </c>
      <c r="B1556" s="11" t="s">
        <v>1325</v>
      </c>
      <c r="C1556" s="11">
        <v>224</v>
      </c>
      <c r="D1556" s="11">
        <v>98</v>
      </c>
      <c r="E1556" s="11">
        <v>541</v>
      </c>
      <c r="F1556" s="11">
        <v>897</v>
      </c>
      <c r="G1556" s="11">
        <v>8000</v>
      </c>
      <c r="H1556" s="11">
        <v>35063732</v>
      </c>
      <c r="I1556" s="11" t="s">
        <v>852</v>
      </c>
      <c r="J1556" s="11" t="s">
        <v>1207</v>
      </c>
      <c r="K1556" s="11" t="s">
        <v>2666</v>
      </c>
      <c r="L1556" s="11" t="s">
        <v>4269</v>
      </c>
      <c r="M1556" s="11" t="s">
        <v>7950</v>
      </c>
      <c r="N1556" s="11">
        <v>164608</v>
      </c>
      <c r="O1556" s="11">
        <v>10938</v>
      </c>
      <c r="P1556" s="11">
        <v>1</v>
      </c>
      <c r="Q1556" s="11" t="s">
        <v>7951</v>
      </c>
      <c r="R1556" s="14" t="s">
        <v>7952</v>
      </c>
      <c r="S1556" s="11">
        <v>383</v>
      </c>
      <c r="T1556" s="11" t="s">
        <v>39</v>
      </c>
      <c r="U1556" s="11" t="s">
        <v>40</v>
      </c>
      <c r="V1556" s="11" t="s">
        <v>586</v>
      </c>
      <c r="W1556" s="11">
        <v>32000000</v>
      </c>
      <c r="X1556" s="11">
        <v>2007</v>
      </c>
      <c r="Y1556" s="11">
        <v>912</v>
      </c>
      <c r="Z1556" s="11">
        <v>6.4</v>
      </c>
      <c r="AA1556" s="11">
        <v>2.35</v>
      </c>
      <c r="AB1556" s="11">
        <v>10000</v>
      </c>
      <c r="AC1556" s="11"/>
      <c r="AD1556" s="11" t="str">
        <f>IFERROR(__xludf.DUMMYFUNCTION("""COMPUTED_VALUE"""),"Eric Peterson")</f>
        <v>Eric Peterson</v>
      </c>
      <c r="AE1556" s="11"/>
    </row>
    <row r="1557" customHeight="1" spans="1:31">
      <c r="A1557" s="12" t="s">
        <v>30</v>
      </c>
      <c r="B1557" s="12" t="s">
        <v>4177</v>
      </c>
      <c r="C1557" s="12">
        <v>122</v>
      </c>
      <c r="D1557" s="12">
        <v>105</v>
      </c>
      <c r="E1557" s="12">
        <v>0</v>
      </c>
      <c r="F1557" s="12">
        <v>223</v>
      </c>
      <c r="G1557" s="12">
        <v>716</v>
      </c>
      <c r="H1557" s="12">
        <v>99462</v>
      </c>
      <c r="I1557" s="12" t="s">
        <v>7953</v>
      </c>
      <c r="J1557" s="12" t="s">
        <v>731</v>
      </c>
      <c r="K1557" s="12" t="s">
        <v>7954</v>
      </c>
      <c r="L1557" s="12" t="s">
        <v>7955</v>
      </c>
      <c r="M1557" s="12" t="s">
        <v>7956</v>
      </c>
      <c r="N1557" s="12">
        <v>11347</v>
      </c>
      <c r="O1557" s="12">
        <v>1843</v>
      </c>
      <c r="P1557" s="12">
        <v>1</v>
      </c>
      <c r="Q1557" s="12" t="s">
        <v>7957</v>
      </c>
      <c r="R1557" s="15" t="s">
        <v>7958</v>
      </c>
      <c r="S1557" s="12">
        <v>28</v>
      </c>
      <c r="T1557" s="12" t="s">
        <v>39</v>
      </c>
      <c r="U1557" s="12" t="s">
        <v>1466</v>
      </c>
      <c r="V1557" s="12" t="s">
        <v>96</v>
      </c>
      <c r="W1557" s="12">
        <v>33000000</v>
      </c>
      <c r="X1557" s="12">
        <v>2013</v>
      </c>
      <c r="Y1557" s="12">
        <v>648</v>
      </c>
      <c r="Z1557" s="12">
        <v>7.1</v>
      </c>
      <c r="AA1557" s="12">
        <v>2.35</v>
      </c>
      <c r="AB1557" s="12">
        <v>5000</v>
      </c>
      <c r="AC1557" s="12"/>
      <c r="AD1557" s="12" t="str">
        <f>IFERROR(__xludf.DUMMYFUNCTION("""COMPUTED_VALUE"""),"Charlie Korsmo")</f>
        <v>Charlie Korsmo</v>
      </c>
      <c r="AE1557" s="12"/>
    </row>
    <row r="1558" customHeight="1" spans="1:31">
      <c r="A1558" s="11" t="s">
        <v>30</v>
      </c>
      <c r="B1558" s="11" t="s">
        <v>390</v>
      </c>
      <c r="C1558" s="11">
        <v>56</v>
      </c>
      <c r="D1558" s="11">
        <v>142</v>
      </c>
      <c r="E1558" s="11">
        <v>14000</v>
      </c>
      <c r="F1558" s="11">
        <v>642</v>
      </c>
      <c r="G1558" s="11">
        <v>16000</v>
      </c>
      <c r="H1558" s="13"/>
      <c r="I1558" s="11" t="s">
        <v>7959</v>
      </c>
      <c r="J1558" s="11" t="s">
        <v>201</v>
      </c>
      <c r="K1558" s="11" t="s">
        <v>7960</v>
      </c>
      <c r="L1558" s="11" t="s">
        <v>4206</v>
      </c>
      <c r="M1558" s="11" t="s">
        <v>7961</v>
      </c>
      <c r="N1558" s="11">
        <v>25193</v>
      </c>
      <c r="O1558" s="11">
        <v>20201</v>
      </c>
      <c r="P1558" s="11">
        <v>5</v>
      </c>
      <c r="Q1558" s="11" t="s">
        <v>7962</v>
      </c>
      <c r="R1558" s="14" t="s">
        <v>7963</v>
      </c>
      <c r="S1558" s="11">
        <v>217</v>
      </c>
      <c r="T1558" s="11" t="s">
        <v>39</v>
      </c>
      <c r="U1558" s="11" t="s">
        <v>40</v>
      </c>
      <c r="V1558" s="11" t="s">
        <v>96</v>
      </c>
      <c r="W1558" s="11">
        <v>35000000</v>
      </c>
      <c r="X1558" s="11">
        <v>1979</v>
      </c>
      <c r="Y1558" s="11">
        <v>1000</v>
      </c>
      <c r="Z1558" s="11">
        <v>5.9</v>
      </c>
      <c r="AA1558" s="11">
        <v>2.35</v>
      </c>
      <c r="AB1558" s="11">
        <v>2000</v>
      </c>
      <c r="AC1558" s="11"/>
      <c r="AD1558" s="11" t="str">
        <f>IFERROR(__xludf.DUMMYFUNCTION("""COMPUTED_VALUE"""),"Faye Dunaway")</f>
        <v>Faye Dunaway</v>
      </c>
      <c r="AE1558" s="11"/>
    </row>
    <row r="1559" customHeight="1" spans="1:31">
      <c r="A1559" s="12" t="s">
        <v>30</v>
      </c>
      <c r="B1559" s="12" t="s">
        <v>6839</v>
      </c>
      <c r="C1559" s="12">
        <v>75</v>
      </c>
      <c r="D1559" s="12">
        <v>98</v>
      </c>
      <c r="E1559" s="12">
        <v>61</v>
      </c>
      <c r="F1559" s="12">
        <v>83</v>
      </c>
      <c r="G1559" s="12">
        <v>649</v>
      </c>
      <c r="H1559" s="12">
        <v>32701088</v>
      </c>
      <c r="I1559" s="12" t="s">
        <v>7964</v>
      </c>
      <c r="J1559" s="12" t="s">
        <v>7965</v>
      </c>
      <c r="K1559" s="12" t="s">
        <v>3354</v>
      </c>
      <c r="L1559" s="12" t="s">
        <v>7966</v>
      </c>
      <c r="M1559" s="12" t="s">
        <v>7967</v>
      </c>
      <c r="N1559" s="12">
        <v>10018</v>
      </c>
      <c r="O1559" s="12">
        <v>1400</v>
      </c>
      <c r="P1559" s="12">
        <v>1</v>
      </c>
      <c r="Q1559" s="12" t="s">
        <v>7968</v>
      </c>
      <c r="R1559" s="15" t="s">
        <v>7969</v>
      </c>
      <c r="S1559" s="12">
        <v>108</v>
      </c>
      <c r="T1559" s="12" t="s">
        <v>39</v>
      </c>
      <c r="U1559" s="12" t="s">
        <v>40</v>
      </c>
      <c r="V1559" s="12" t="s">
        <v>96</v>
      </c>
      <c r="W1559" s="12">
        <v>32000000</v>
      </c>
      <c r="X1559" s="12">
        <v>2005</v>
      </c>
      <c r="Y1559" s="12">
        <v>579</v>
      </c>
      <c r="Z1559" s="12">
        <v>6.9</v>
      </c>
      <c r="AA1559" s="12">
        <v>2.35</v>
      </c>
      <c r="AB1559" s="12">
        <v>0</v>
      </c>
      <c r="AC1559" s="12"/>
      <c r="AD1559" s="12" t="str">
        <f>IFERROR(__xludf.DUMMYFUNCTION("""COMPUTED_VALUE"""),"Adam Garcia")</f>
        <v>Adam Garcia</v>
      </c>
      <c r="AE1559" s="12"/>
    </row>
    <row r="1560" customHeight="1" spans="1:31">
      <c r="A1560" s="11" t="s">
        <v>30</v>
      </c>
      <c r="B1560" s="11" t="s">
        <v>5404</v>
      </c>
      <c r="C1560" s="11">
        <v>441</v>
      </c>
      <c r="D1560" s="11">
        <v>96</v>
      </c>
      <c r="E1560" s="11">
        <v>0</v>
      </c>
      <c r="F1560" s="11">
        <v>882</v>
      </c>
      <c r="G1560" s="11">
        <v>10000</v>
      </c>
      <c r="H1560" s="11">
        <v>31493782</v>
      </c>
      <c r="I1560" s="11" t="s">
        <v>2126</v>
      </c>
      <c r="J1560" s="11" t="s">
        <v>2825</v>
      </c>
      <c r="K1560" s="11" t="s">
        <v>7970</v>
      </c>
      <c r="L1560" s="11" t="s">
        <v>191</v>
      </c>
      <c r="M1560" s="11" t="s">
        <v>7971</v>
      </c>
      <c r="N1560" s="11">
        <v>186606</v>
      </c>
      <c r="O1560" s="11">
        <v>12754</v>
      </c>
      <c r="P1560" s="11">
        <v>1</v>
      </c>
      <c r="Q1560" s="11" t="s">
        <v>7972</v>
      </c>
      <c r="R1560" s="14" t="s">
        <v>7973</v>
      </c>
      <c r="S1560" s="11">
        <v>1125</v>
      </c>
      <c r="T1560" s="11" t="s">
        <v>39</v>
      </c>
      <c r="U1560" s="11" t="s">
        <v>40</v>
      </c>
      <c r="V1560" s="11" t="s">
        <v>586</v>
      </c>
      <c r="W1560" s="11">
        <v>32000000</v>
      </c>
      <c r="X1560" s="11">
        <v>2005</v>
      </c>
      <c r="Y1560" s="11">
        <v>917</v>
      </c>
      <c r="Z1560" s="11">
        <v>7.5</v>
      </c>
      <c r="AA1560" s="11">
        <v>1.85</v>
      </c>
      <c r="AB1560" s="11">
        <v>0</v>
      </c>
      <c r="AC1560" s="11"/>
      <c r="AD1560" s="11" t="str">
        <f>IFERROR(__xludf.DUMMYFUNCTION("""COMPUTED_VALUE"""),"Alissa Dean")</f>
        <v>Alissa Dean</v>
      </c>
      <c r="AE1560" s="11"/>
    </row>
    <row r="1561" customHeight="1" spans="1:31">
      <c r="A1561" s="12" t="s">
        <v>30</v>
      </c>
      <c r="B1561" s="12" t="s">
        <v>1115</v>
      </c>
      <c r="C1561" s="12">
        <v>163</v>
      </c>
      <c r="D1561" s="12">
        <v>87</v>
      </c>
      <c r="E1561" s="12">
        <v>255</v>
      </c>
      <c r="F1561" s="12">
        <v>810</v>
      </c>
      <c r="G1561" s="12">
        <v>26000</v>
      </c>
      <c r="H1561" s="12">
        <v>43095600</v>
      </c>
      <c r="I1561" s="12" t="s">
        <v>334</v>
      </c>
      <c r="J1561" s="12" t="s">
        <v>335</v>
      </c>
      <c r="K1561" s="12" t="s">
        <v>688</v>
      </c>
      <c r="L1561" s="12" t="s">
        <v>2069</v>
      </c>
      <c r="M1561" s="12" t="s">
        <v>7974</v>
      </c>
      <c r="N1561" s="12">
        <v>156267</v>
      </c>
      <c r="O1561" s="12">
        <v>29050</v>
      </c>
      <c r="P1561" s="12">
        <v>1</v>
      </c>
      <c r="Q1561" s="12" t="s">
        <v>7975</v>
      </c>
      <c r="R1561" s="15" t="s">
        <v>7976</v>
      </c>
      <c r="S1561" s="12">
        <v>340</v>
      </c>
      <c r="T1561" s="12" t="s">
        <v>39</v>
      </c>
      <c r="U1561" s="12" t="s">
        <v>1466</v>
      </c>
      <c r="V1561" s="12" t="s">
        <v>41</v>
      </c>
      <c r="W1561" s="12">
        <v>32000000</v>
      </c>
      <c r="X1561" s="12">
        <v>2005</v>
      </c>
      <c r="Y1561" s="12">
        <v>1000</v>
      </c>
      <c r="Z1561" s="12">
        <v>6.3</v>
      </c>
      <c r="AA1561" s="12">
        <v>2.35</v>
      </c>
      <c r="AB1561" s="12">
        <v>0</v>
      </c>
      <c r="AC1561" s="12"/>
      <c r="AD1561" s="12" t="str">
        <f>IFERROR(__xludf.DUMMYFUNCTION("""COMPUTED_VALUE"""),"Donatas Banionis")</f>
        <v>Donatas Banionis</v>
      </c>
      <c r="AE1561" s="12"/>
    </row>
    <row r="1562" customHeight="1" spans="1:31">
      <c r="A1562" s="11" t="s">
        <v>748</v>
      </c>
      <c r="B1562" s="11" t="s">
        <v>80</v>
      </c>
      <c r="C1562" s="11">
        <v>63</v>
      </c>
      <c r="D1562" s="11">
        <v>107</v>
      </c>
      <c r="E1562" s="11">
        <v>0</v>
      </c>
      <c r="F1562" s="11">
        <v>159</v>
      </c>
      <c r="G1562" s="11">
        <v>29000</v>
      </c>
      <c r="H1562" s="11">
        <v>18636537</v>
      </c>
      <c r="I1562" s="11" t="s">
        <v>7977</v>
      </c>
      <c r="J1562" s="11" t="s">
        <v>215</v>
      </c>
      <c r="K1562" s="11" t="s">
        <v>7978</v>
      </c>
      <c r="L1562" s="11" t="s">
        <v>7979</v>
      </c>
      <c r="M1562" s="11" t="s">
        <v>7980</v>
      </c>
      <c r="N1562" s="11">
        <v>69197</v>
      </c>
      <c r="O1562" s="11">
        <v>29743</v>
      </c>
      <c r="P1562" s="11">
        <v>0</v>
      </c>
      <c r="Q1562" s="11" t="s">
        <v>7981</v>
      </c>
      <c r="R1562" s="14" t="s">
        <v>7982</v>
      </c>
      <c r="S1562" s="11">
        <v>216</v>
      </c>
      <c r="T1562" s="11" t="s">
        <v>39</v>
      </c>
      <c r="U1562" s="11" t="s">
        <v>678</v>
      </c>
      <c r="V1562" s="11" t="s">
        <v>586</v>
      </c>
      <c r="W1562" s="11">
        <v>32000000</v>
      </c>
      <c r="X1562" s="11">
        <v>1995</v>
      </c>
      <c r="Y1562" s="11">
        <v>165</v>
      </c>
      <c r="Z1562" s="11">
        <v>6.4</v>
      </c>
      <c r="AA1562" s="11">
        <v>1.85</v>
      </c>
      <c r="AB1562" s="11">
        <v>0</v>
      </c>
      <c r="AC1562" s="11"/>
      <c r="AD1562" s="11" t="str">
        <f>IFERROR(__xludf.DUMMYFUNCTION("""COMPUTED_VALUE"""),"Anatoliy Solonitsyn")</f>
        <v>Anatoliy Solonitsyn</v>
      </c>
      <c r="AE1562" s="11"/>
    </row>
    <row r="1563" customHeight="1" spans="1:31">
      <c r="A1563" s="12" t="s">
        <v>30</v>
      </c>
      <c r="B1563" s="12" t="s">
        <v>5868</v>
      </c>
      <c r="C1563" s="12">
        <v>90</v>
      </c>
      <c r="D1563" s="12">
        <v>90</v>
      </c>
      <c r="E1563" s="12">
        <v>29</v>
      </c>
      <c r="F1563" s="12">
        <v>142</v>
      </c>
      <c r="G1563" s="12">
        <v>638</v>
      </c>
      <c r="H1563" s="12">
        <v>17848322</v>
      </c>
      <c r="I1563" s="12" t="s">
        <v>1681</v>
      </c>
      <c r="J1563" s="12" t="s">
        <v>3224</v>
      </c>
      <c r="K1563" s="12" t="s">
        <v>7983</v>
      </c>
      <c r="L1563" s="12" t="s">
        <v>7984</v>
      </c>
      <c r="M1563" s="12" t="s">
        <v>7985</v>
      </c>
      <c r="N1563" s="12">
        <v>18771</v>
      </c>
      <c r="O1563" s="12">
        <v>961</v>
      </c>
      <c r="P1563" s="12">
        <v>1</v>
      </c>
      <c r="Q1563" s="12" t="s">
        <v>7986</v>
      </c>
      <c r="R1563" s="15" t="s">
        <v>7987</v>
      </c>
      <c r="S1563" s="12">
        <v>102</v>
      </c>
      <c r="T1563" s="12" t="s">
        <v>39</v>
      </c>
      <c r="U1563" s="12" t="s">
        <v>7988</v>
      </c>
      <c r="V1563" s="12" t="s">
        <v>41</v>
      </c>
      <c r="W1563" s="12">
        <v>28000000</v>
      </c>
      <c r="X1563" s="12">
        <v>2004</v>
      </c>
      <c r="Y1563" s="12">
        <v>160</v>
      </c>
      <c r="Z1563" s="12">
        <v>5.9</v>
      </c>
      <c r="AA1563" s="12">
        <v>2.35</v>
      </c>
      <c r="AB1563" s="12">
        <v>702</v>
      </c>
      <c r="AC1563" s="12"/>
      <c r="AD1563" s="12" t="str">
        <f>IFERROR(__xludf.DUMMYFUNCTION("""COMPUTED_VALUE"""),"Natalya Bondarchuk")</f>
        <v>Natalya Bondarchuk</v>
      </c>
      <c r="AE1563" s="12"/>
    </row>
    <row r="1564" customHeight="1" spans="1:31">
      <c r="A1564" s="11" t="s">
        <v>30</v>
      </c>
      <c r="B1564" s="11" t="s">
        <v>488</v>
      </c>
      <c r="C1564" s="11">
        <v>163</v>
      </c>
      <c r="D1564" s="11">
        <v>121</v>
      </c>
      <c r="E1564" s="11">
        <v>17000</v>
      </c>
      <c r="F1564" s="11">
        <v>245</v>
      </c>
      <c r="G1564" s="11">
        <v>12000</v>
      </c>
      <c r="H1564" s="11">
        <v>16640210</v>
      </c>
      <c r="I1564" s="11" t="s">
        <v>4075</v>
      </c>
      <c r="J1564" s="11" t="s">
        <v>705</v>
      </c>
      <c r="K1564" s="11" t="s">
        <v>7989</v>
      </c>
      <c r="L1564" s="11" t="s">
        <v>7990</v>
      </c>
      <c r="M1564" s="11" t="s">
        <v>7991</v>
      </c>
      <c r="N1564" s="11">
        <v>53028</v>
      </c>
      <c r="O1564" s="11">
        <v>13040</v>
      </c>
      <c r="P1564" s="11">
        <v>0</v>
      </c>
      <c r="Q1564" s="11" t="s">
        <v>7992</v>
      </c>
      <c r="R1564" s="14" t="s">
        <v>7993</v>
      </c>
      <c r="S1564" s="11">
        <v>382</v>
      </c>
      <c r="T1564" s="11" t="s">
        <v>39</v>
      </c>
      <c r="U1564" s="11" t="s">
        <v>40</v>
      </c>
      <c r="V1564" s="11" t="s">
        <v>586</v>
      </c>
      <c r="W1564" s="11">
        <v>55000000</v>
      </c>
      <c r="X1564" s="11">
        <v>1999</v>
      </c>
      <c r="Y1564" s="11">
        <v>368</v>
      </c>
      <c r="Z1564" s="11">
        <v>6.8</v>
      </c>
      <c r="AA1564" s="11">
        <v>2.35</v>
      </c>
      <c r="AB1564" s="11">
        <v>0</v>
      </c>
      <c r="AC1564" s="11"/>
      <c r="AD1564" s="11" t="str">
        <f>IFERROR(__xludf.DUMMYFUNCTION("""COMPUTED_VALUE"""),"Bronagh Gallagher")</f>
        <v>Bronagh Gallagher</v>
      </c>
      <c r="AE1564" s="11"/>
    </row>
    <row r="1565" customHeight="1" spans="1:31">
      <c r="A1565" s="12" t="s">
        <v>30</v>
      </c>
      <c r="B1565" s="12" t="s">
        <v>7994</v>
      </c>
      <c r="C1565" s="12">
        <v>197</v>
      </c>
      <c r="D1565" s="12">
        <v>119</v>
      </c>
      <c r="E1565" s="12">
        <v>238</v>
      </c>
      <c r="F1565" s="12">
        <v>447</v>
      </c>
      <c r="G1565" s="12">
        <v>1000</v>
      </c>
      <c r="H1565" s="12">
        <v>13763130</v>
      </c>
      <c r="I1565" s="12" t="s">
        <v>1401</v>
      </c>
      <c r="J1565" s="12" t="s">
        <v>783</v>
      </c>
      <c r="K1565" s="12" t="s">
        <v>1729</v>
      </c>
      <c r="L1565" s="12" t="s">
        <v>3059</v>
      </c>
      <c r="M1565" s="12" t="s">
        <v>7995</v>
      </c>
      <c r="N1565" s="12">
        <v>87768</v>
      </c>
      <c r="O1565" s="12">
        <v>2925</v>
      </c>
      <c r="P1565" s="12">
        <v>0</v>
      </c>
      <c r="Q1565" s="12" t="s">
        <v>7996</v>
      </c>
      <c r="R1565" s="15" t="s">
        <v>7997</v>
      </c>
      <c r="S1565" s="12">
        <v>187</v>
      </c>
      <c r="T1565" s="12" t="s">
        <v>39</v>
      </c>
      <c r="U1565" s="12" t="s">
        <v>40</v>
      </c>
      <c r="V1565" s="12" t="s">
        <v>586</v>
      </c>
      <c r="W1565" s="12">
        <v>32000000</v>
      </c>
      <c r="X1565" s="12">
        <v>2010</v>
      </c>
      <c r="Y1565" s="12">
        <v>561</v>
      </c>
      <c r="Z1565" s="12">
        <v>6.3</v>
      </c>
      <c r="AA1565" s="12">
        <v>2.35</v>
      </c>
      <c r="AB1565" s="12">
        <v>12000</v>
      </c>
      <c r="AC1565" s="12"/>
      <c r="AD1565" s="12" t="str">
        <f>IFERROR(__xludf.DUMMYFUNCTION("""COMPUTED_VALUE"""),"George Cole")</f>
        <v>George Cole</v>
      </c>
      <c r="AE1565" s="12"/>
    </row>
    <row r="1566" customHeight="1" spans="1:31">
      <c r="A1566" s="11" t="s">
        <v>30</v>
      </c>
      <c r="B1566" s="11" t="s">
        <v>7998</v>
      </c>
      <c r="C1566" s="11">
        <v>93</v>
      </c>
      <c r="D1566" s="11">
        <v>107</v>
      </c>
      <c r="E1566" s="11">
        <v>26</v>
      </c>
      <c r="F1566" s="11">
        <v>535</v>
      </c>
      <c r="G1566" s="11">
        <v>889</v>
      </c>
      <c r="H1566" s="11">
        <v>10956379</v>
      </c>
      <c r="I1566" s="11" t="s">
        <v>7999</v>
      </c>
      <c r="J1566" s="11" t="s">
        <v>4358</v>
      </c>
      <c r="K1566" s="11" t="s">
        <v>7264</v>
      </c>
      <c r="L1566" s="11" t="s">
        <v>4604</v>
      </c>
      <c r="M1566" s="11" t="s">
        <v>8000</v>
      </c>
      <c r="N1566" s="11">
        <v>21506</v>
      </c>
      <c r="O1566" s="11">
        <v>3274</v>
      </c>
      <c r="P1566" s="11">
        <v>0</v>
      </c>
      <c r="Q1566" s="11" t="s">
        <v>8001</v>
      </c>
      <c r="R1566" s="14" t="s">
        <v>8002</v>
      </c>
      <c r="S1566" s="11">
        <v>364</v>
      </c>
      <c r="T1566" s="11" t="s">
        <v>39</v>
      </c>
      <c r="U1566" s="11" t="s">
        <v>5695</v>
      </c>
      <c r="V1566" s="11" t="s">
        <v>41</v>
      </c>
      <c r="W1566" s="11">
        <v>35000000</v>
      </c>
      <c r="X1566" s="11">
        <v>2007</v>
      </c>
      <c r="Y1566" s="11">
        <v>618</v>
      </c>
      <c r="Z1566" s="11">
        <v>3.6</v>
      </c>
      <c r="AA1566" s="11">
        <v>2.35</v>
      </c>
      <c r="AB1566" s="11">
        <v>0</v>
      </c>
      <c r="AC1566" s="11"/>
      <c r="AD1566" s="11" t="str">
        <f>IFERROR(__xludf.DUMMYFUNCTION("""COMPUTED_VALUE"""),"Crystal Lowe")</f>
        <v>Crystal Lowe</v>
      </c>
      <c r="AE1566" s="11"/>
    </row>
    <row r="1567" customHeight="1" spans="1:31">
      <c r="A1567" s="12" t="s">
        <v>30</v>
      </c>
      <c r="B1567" s="12" t="s">
        <v>6998</v>
      </c>
      <c r="C1567" s="12">
        <v>15</v>
      </c>
      <c r="D1567" s="12">
        <v>110</v>
      </c>
      <c r="E1567" s="12">
        <v>278</v>
      </c>
      <c r="F1567" s="12">
        <v>179</v>
      </c>
      <c r="G1567" s="12">
        <v>3000</v>
      </c>
      <c r="H1567" s="12">
        <v>4357000</v>
      </c>
      <c r="I1567" s="12" t="s">
        <v>516</v>
      </c>
      <c r="J1567" s="12" t="s">
        <v>2190</v>
      </c>
      <c r="K1567" s="12" t="s">
        <v>3610</v>
      </c>
      <c r="L1567" s="12" t="s">
        <v>8003</v>
      </c>
      <c r="M1567" s="12" t="s">
        <v>8004</v>
      </c>
      <c r="N1567" s="12">
        <v>5176</v>
      </c>
      <c r="O1567" s="12">
        <v>3864</v>
      </c>
      <c r="P1567" s="12">
        <v>3</v>
      </c>
      <c r="Q1567" s="12" t="s">
        <v>8005</v>
      </c>
      <c r="R1567" s="15" t="s">
        <v>8006</v>
      </c>
      <c r="S1567" s="12">
        <v>30</v>
      </c>
      <c r="T1567" s="12" t="s">
        <v>39</v>
      </c>
      <c r="U1567" s="12" t="s">
        <v>40</v>
      </c>
      <c r="V1567" s="12" t="s">
        <v>96</v>
      </c>
      <c r="W1567" s="12">
        <v>30000000</v>
      </c>
      <c r="X1567" s="12">
        <v>1996</v>
      </c>
      <c r="Y1567" s="12">
        <v>359</v>
      </c>
      <c r="Z1567" s="12">
        <v>5.3</v>
      </c>
      <c r="AA1567" s="12">
        <v>1.85</v>
      </c>
      <c r="AB1567" s="12">
        <v>350</v>
      </c>
      <c r="AC1567" s="12"/>
      <c r="AD1567" s="12" t="str">
        <f>IFERROR(__xludf.DUMMYFUNCTION("""COMPUTED_VALUE"""),"Billy Blair")</f>
        <v>Billy Blair</v>
      </c>
      <c r="AE1567" s="12"/>
    </row>
    <row r="1568" customHeight="1" spans="1:31">
      <c r="A1568" s="11" t="s">
        <v>30</v>
      </c>
      <c r="B1568" s="11" t="s">
        <v>8007</v>
      </c>
      <c r="C1568" s="11">
        <v>260</v>
      </c>
      <c r="D1568" s="11">
        <v>100</v>
      </c>
      <c r="E1568" s="11">
        <v>35</v>
      </c>
      <c r="F1568" s="11">
        <v>7000</v>
      </c>
      <c r="G1568" s="11">
        <v>12000</v>
      </c>
      <c r="H1568" s="11">
        <v>22525921</v>
      </c>
      <c r="I1568" s="11" t="s">
        <v>1672</v>
      </c>
      <c r="J1568" s="11" t="s">
        <v>272</v>
      </c>
      <c r="K1568" s="11" t="s">
        <v>302</v>
      </c>
      <c r="L1568" s="11" t="s">
        <v>518</v>
      </c>
      <c r="M1568" s="11" t="s">
        <v>8008</v>
      </c>
      <c r="N1568" s="11">
        <v>60596</v>
      </c>
      <c r="O1568" s="11">
        <v>32094</v>
      </c>
      <c r="P1568" s="11">
        <v>4</v>
      </c>
      <c r="Q1568" s="11" t="s">
        <v>8009</v>
      </c>
      <c r="R1568" s="14" t="s">
        <v>8010</v>
      </c>
      <c r="S1568" s="11">
        <v>158</v>
      </c>
      <c r="T1568" s="11" t="s">
        <v>39</v>
      </c>
      <c r="U1568" s="11" t="s">
        <v>40</v>
      </c>
      <c r="V1568" s="11" t="s">
        <v>41</v>
      </c>
      <c r="W1568" s="11">
        <v>30000000</v>
      </c>
      <c r="X1568" s="11">
        <v>2013</v>
      </c>
      <c r="Y1568" s="11">
        <v>10000</v>
      </c>
      <c r="Z1568" s="11">
        <v>5.9</v>
      </c>
      <c r="AA1568" s="11">
        <v>2.35</v>
      </c>
      <c r="AB1568" s="11">
        <v>13000</v>
      </c>
      <c r="AC1568" s="11"/>
      <c r="AD1568" s="11" t="str">
        <f>IFERROR(__xludf.DUMMYFUNCTION("""COMPUTED_VALUE"""),"Julia Jones")</f>
        <v>Julia Jones</v>
      </c>
      <c r="AE1568" s="11"/>
    </row>
    <row r="1569" customHeight="1" spans="1:31">
      <c r="A1569" s="12" t="s">
        <v>30</v>
      </c>
      <c r="B1569" s="12" t="s">
        <v>1777</v>
      </c>
      <c r="C1569" s="12">
        <v>18</v>
      </c>
      <c r="D1569" s="12">
        <v>75</v>
      </c>
      <c r="E1569" s="12">
        <v>10</v>
      </c>
      <c r="F1569" s="12">
        <v>826</v>
      </c>
      <c r="G1569" s="12">
        <v>3000</v>
      </c>
      <c r="H1569" s="12">
        <v>3562749</v>
      </c>
      <c r="I1569" s="12" t="s">
        <v>8011</v>
      </c>
      <c r="J1569" s="12" t="s">
        <v>8012</v>
      </c>
      <c r="K1569" s="12" t="s">
        <v>1986</v>
      </c>
      <c r="L1569" s="12" t="s">
        <v>2498</v>
      </c>
      <c r="M1569" s="12" t="s">
        <v>8013</v>
      </c>
      <c r="N1569" s="12">
        <v>5600</v>
      </c>
      <c r="O1569" s="12">
        <v>7394</v>
      </c>
      <c r="P1569" s="12">
        <v>0</v>
      </c>
      <c r="Q1569" s="12" t="s">
        <v>8014</v>
      </c>
      <c r="R1569" s="15" t="s">
        <v>8015</v>
      </c>
      <c r="S1569" s="12">
        <v>49</v>
      </c>
      <c r="T1569" s="12" t="s">
        <v>39</v>
      </c>
      <c r="U1569" s="12" t="s">
        <v>40</v>
      </c>
      <c r="V1569" s="12" t="s">
        <v>278</v>
      </c>
      <c r="W1569" s="12">
        <v>32000000</v>
      </c>
      <c r="X1569" s="12">
        <v>1997</v>
      </c>
      <c r="Y1569" s="12">
        <v>2000</v>
      </c>
      <c r="Z1569" s="12">
        <v>6.9</v>
      </c>
      <c r="AA1569" s="12">
        <v>1.33</v>
      </c>
      <c r="AB1569" s="12">
        <v>643</v>
      </c>
      <c r="AC1569" s="12"/>
      <c r="AD1569" s="12" t="str">
        <f>IFERROR(__xludf.DUMMYFUNCTION("""COMPUTED_VALUE"""),"Swoosie Kurtz")</f>
        <v>Swoosie Kurtz</v>
      </c>
      <c r="AE1569" s="12"/>
    </row>
    <row r="1570" customHeight="1" spans="1:31">
      <c r="A1570" s="11" t="s">
        <v>30</v>
      </c>
      <c r="B1570" s="11" t="s">
        <v>8016</v>
      </c>
      <c r="C1570" s="11">
        <v>70</v>
      </c>
      <c r="D1570" s="11">
        <v>132</v>
      </c>
      <c r="E1570" s="11">
        <v>0</v>
      </c>
      <c r="F1570" s="11">
        <v>876</v>
      </c>
      <c r="G1570" s="11">
        <v>13000</v>
      </c>
      <c r="H1570" s="11">
        <v>2899970</v>
      </c>
      <c r="I1570" s="11" t="s">
        <v>3410</v>
      </c>
      <c r="J1570" s="11" t="s">
        <v>549</v>
      </c>
      <c r="K1570" s="11" t="s">
        <v>2535</v>
      </c>
      <c r="L1570" s="11" t="s">
        <v>2933</v>
      </c>
      <c r="M1570" s="11" t="s">
        <v>8017</v>
      </c>
      <c r="N1570" s="11">
        <v>8039</v>
      </c>
      <c r="O1570" s="11">
        <v>16878</v>
      </c>
      <c r="P1570" s="11">
        <v>2</v>
      </c>
      <c r="Q1570" s="11" t="s">
        <v>8018</v>
      </c>
      <c r="R1570" s="14" t="s">
        <v>8019</v>
      </c>
      <c r="S1570" s="11">
        <v>161</v>
      </c>
      <c r="T1570" s="11" t="s">
        <v>39</v>
      </c>
      <c r="U1570" s="11" t="s">
        <v>40</v>
      </c>
      <c r="V1570" s="11" t="s">
        <v>586</v>
      </c>
      <c r="W1570" s="11">
        <v>32000000</v>
      </c>
      <c r="X1570" s="11">
        <v>1999</v>
      </c>
      <c r="Y1570" s="11">
        <v>898</v>
      </c>
      <c r="Z1570" s="11">
        <v>6.9</v>
      </c>
      <c r="AA1570" s="11">
        <v>2.35</v>
      </c>
      <c r="AB1570" s="11">
        <v>625</v>
      </c>
      <c r="AC1570" s="11"/>
      <c r="AD1570" s="11" t="str">
        <f>IFERROR(__xludf.DUMMYFUNCTION("""COMPUTED_VALUE"""),"Randall 'Tex' Cobb")</f>
        <v>Randall 'Tex' Cobb</v>
      </c>
      <c r="AE1570" s="11"/>
    </row>
    <row r="1571" customHeight="1" spans="1:31">
      <c r="A1571" s="12" t="s">
        <v>748</v>
      </c>
      <c r="B1571" s="12" t="s">
        <v>1527</v>
      </c>
      <c r="C1571" s="12">
        <v>183</v>
      </c>
      <c r="D1571" s="12">
        <v>105</v>
      </c>
      <c r="E1571" s="12">
        <v>0</v>
      </c>
      <c r="F1571" s="12">
        <v>308</v>
      </c>
      <c r="G1571" s="12">
        <v>845</v>
      </c>
      <c r="H1571" s="12">
        <v>1304837</v>
      </c>
      <c r="I1571" s="12" t="s">
        <v>1924</v>
      </c>
      <c r="J1571" s="12" t="s">
        <v>1214</v>
      </c>
      <c r="K1571" s="12" t="s">
        <v>7415</v>
      </c>
      <c r="L1571" s="12" t="s">
        <v>5534</v>
      </c>
      <c r="M1571" s="12" t="s">
        <v>8020</v>
      </c>
      <c r="N1571" s="12">
        <v>21481</v>
      </c>
      <c r="O1571" s="12">
        <v>2355</v>
      </c>
      <c r="P1571" s="12">
        <v>2</v>
      </c>
      <c r="Q1571" s="12" t="s">
        <v>8021</v>
      </c>
      <c r="R1571" s="15" t="s">
        <v>8022</v>
      </c>
      <c r="S1571" s="12">
        <v>175</v>
      </c>
      <c r="T1571" s="12" t="s">
        <v>39</v>
      </c>
      <c r="U1571" s="12" t="s">
        <v>40</v>
      </c>
      <c r="V1571" s="12" t="s">
        <v>586</v>
      </c>
      <c r="W1571" s="12">
        <v>32000000</v>
      </c>
      <c r="X1571" s="12">
        <v>2006</v>
      </c>
      <c r="Y1571" s="12">
        <v>552</v>
      </c>
      <c r="Z1571" s="12">
        <v>6.1</v>
      </c>
      <c r="AA1571" s="12">
        <v>1.66</v>
      </c>
      <c r="AB1571" s="12">
        <v>559</v>
      </c>
      <c r="AC1571" s="12"/>
      <c r="AD1571" s="12" t="str">
        <f>IFERROR(__xludf.DUMMYFUNCTION("""COMPUTED_VALUE"""),"Amy Ryan")</f>
        <v>Amy Ryan</v>
      </c>
      <c r="AE1571" s="12"/>
    </row>
    <row r="1572" customHeight="1" spans="1:31">
      <c r="A1572" s="11" t="s">
        <v>30</v>
      </c>
      <c r="B1572" s="11" t="s">
        <v>8023</v>
      </c>
      <c r="C1572" s="11">
        <v>12</v>
      </c>
      <c r="D1572" s="11">
        <v>93</v>
      </c>
      <c r="E1572" s="11">
        <v>0</v>
      </c>
      <c r="F1572" s="11">
        <v>239</v>
      </c>
      <c r="G1572" s="11">
        <v>330</v>
      </c>
      <c r="H1572" s="13"/>
      <c r="I1572" s="11" t="s">
        <v>8024</v>
      </c>
      <c r="J1572" s="11" t="s">
        <v>2045</v>
      </c>
      <c r="K1572" s="11" t="s">
        <v>8025</v>
      </c>
      <c r="L1572" s="11" t="s">
        <v>8026</v>
      </c>
      <c r="M1572" s="11" t="s">
        <v>8027</v>
      </c>
      <c r="N1572" s="11">
        <v>3088</v>
      </c>
      <c r="O1572" s="11">
        <v>1073</v>
      </c>
      <c r="P1572" s="11">
        <v>4</v>
      </c>
      <c r="Q1572" s="11" t="s">
        <v>8028</v>
      </c>
      <c r="R1572" s="14" t="s">
        <v>8029</v>
      </c>
      <c r="S1572" s="11">
        <v>31</v>
      </c>
      <c r="T1572" s="11" t="s">
        <v>39</v>
      </c>
      <c r="U1572" s="11" t="s">
        <v>40</v>
      </c>
      <c r="V1572" s="11" t="s">
        <v>96</v>
      </c>
      <c r="W1572" s="11">
        <v>32000000</v>
      </c>
      <c r="X1572" s="11">
        <v>2004</v>
      </c>
      <c r="Y1572" s="11">
        <v>239</v>
      </c>
      <c r="Z1572" s="11">
        <v>5.7</v>
      </c>
      <c r="AA1572" s="11">
        <v>2.35</v>
      </c>
      <c r="AB1572" s="11">
        <v>290</v>
      </c>
      <c r="AC1572" s="11"/>
      <c r="AD1572" s="11" t="str">
        <f>IFERROR(__xludf.DUMMYFUNCTION("""COMPUTED_VALUE"""),"Olympia Dukakis")</f>
        <v>Olympia Dukakis</v>
      </c>
      <c r="AE1572" s="11"/>
    </row>
    <row r="1573" customHeight="1" spans="1:31">
      <c r="A1573" s="12" t="s">
        <v>30</v>
      </c>
      <c r="B1573" s="12" t="s">
        <v>4851</v>
      </c>
      <c r="C1573" s="12">
        <v>261</v>
      </c>
      <c r="D1573" s="12">
        <v>289</v>
      </c>
      <c r="E1573" s="12">
        <v>0</v>
      </c>
      <c r="F1573" s="12">
        <v>3000</v>
      </c>
      <c r="G1573" s="12">
        <v>11000</v>
      </c>
      <c r="H1573" s="12">
        <v>78800000</v>
      </c>
      <c r="I1573" s="12" t="s">
        <v>3397</v>
      </c>
      <c r="J1573" s="12" t="s">
        <v>391</v>
      </c>
      <c r="K1573" s="12" t="s">
        <v>121</v>
      </c>
      <c r="L1573" s="12" t="s">
        <v>1689</v>
      </c>
      <c r="M1573" s="12" t="s">
        <v>8030</v>
      </c>
      <c r="N1573" s="12">
        <v>450676</v>
      </c>
      <c r="O1573" s="12">
        <v>25313</v>
      </c>
      <c r="P1573" s="12">
        <v>1</v>
      </c>
      <c r="Q1573" s="12" t="s">
        <v>8031</v>
      </c>
      <c r="R1573" s="15" t="s">
        <v>8032</v>
      </c>
      <c r="S1573" s="12">
        <v>983</v>
      </c>
      <c r="T1573" s="12" t="s">
        <v>39</v>
      </c>
      <c r="U1573" s="12" t="s">
        <v>40</v>
      </c>
      <c r="V1573" s="12" t="s">
        <v>586</v>
      </c>
      <c r="W1573" s="12">
        <v>31500000</v>
      </c>
      <c r="X1573" s="12">
        <v>1979</v>
      </c>
      <c r="Y1573" s="12">
        <v>10000</v>
      </c>
      <c r="Z1573" s="12">
        <v>8.5</v>
      </c>
      <c r="AA1573" s="12">
        <v>2.35</v>
      </c>
      <c r="AB1573" s="12">
        <v>19000</v>
      </c>
      <c r="AC1573" s="12"/>
      <c r="AD1573" s="12" t="str">
        <f>IFERROR(__xludf.DUMMYFUNCTION("""COMPUTED_VALUE"""),"Jacqueline Bisset")</f>
        <v>Jacqueline Bisset</v>
      </c>
      <c r="AE1573" s="12"/>
    </row>
    <row r="1574" customHeight="1" spans="1:31">
      <c r="A1574" s="11" t="s">
        <v>30</v>
      </c>
      <c r="B1574" s="11" t="s">
        <v>8033</v>
      </c>
      <c r="C1574" s="11">
        <v>167</v>
      </c>
      <c r="D1574" s="11">
        <v>102</v>
      </c>
      <c r="E1574" s="11">
        <v>8</v>
      </c>
      <c r="F1574" s="11">
        <v>472</v>
      </c>
      <c r="G1574" s="11">
        <v>839</v>
      </c>
      <c r="H1574" s="11">
        <v>17797316</v>
      </c>
      <c r="I1574" s="11" t="s">
        <v>1681</v>
      </c>
      <c r="J1574" s="11" t="s">
        <v>4496</v>
      </c>
      <c r="K1574" s="11" t="s">
        <v>871</v>
      </c>
      <c r="L1574" s="11" t="s">
        <v>7588</v>
      </c>
      <c r="M1574" s="11" t="s">
        <v>8034</v>
      </c>
      <c r="N1574" s="11">
        <v>50523</v>
      </c>
      <c r="O1574" s="11">
        <v>2961</v>
      </c>
      <c r="P1574" s="11">
        <v>0</v>
      </c>
      <c r="Q1574" s="11" t="s">
        <v>8035</v>
      </c>
      <c r="R1574" s="14" t="s">
        <v>8036</v>
      </c>
      <c r="S1574" s="11">
        <v>113</v>
      </c>
      <c r="T1574" s="11" t="s">
        <v>39</v>
      </c>
      <c r="U1574" s="11" t="s">
        <v>40</v>
      </c>
      <c r="V1574" s="11" t="s">
        <v>586</v>
      </c>
      <c r="W1574" s="11">
        <v>32000000</v>
      </c>
      <c r="X1574" s="11">
        <v>2010</v>
      </c>
      <c r="Y1574" s="11">
        <v>730</v>
      </c>
      <c r="Z1574" s="11">
        <v>6.3</v>
      </c>
      <c r="AA1574" s="11">
        <v>2.35</v>
      </c>
      <c r="AB1574" s="11">
        <v>0</v>
      </c>
      <c r="AC1574" s="11"/>
      <c r="AD1574" s="11" t="str">
        <f>IFERROR(__xludf.DUMMYFUNCTION("""COMPUTED_VALUE"""),"Luke Grimes")</f>
        <v>Luke Grimes</v>
      </c>
      <c r="AE1574" s="11"/>
    </row>
    <row r="1575" customHeight="1" spans="1:31">
      <c r="A1575" s="12" t="s">
        <v>30</v>
      </c>
      <c r="B1575" s="12" t="s">
        <v>4438</v>
      </c>
      <c r="C1575" s="12">
        <v>42</v>
      </c>
      <c r="D1575" s="12">
        <v>143</v>
      </c>
      <c r="E1575" s="12">
        <v>65</v>
      </c>
      <c r="F1575" s="12">
        <v>320</v>
      </c>
      <c r="G1575" s="12">
        <v>975</v>
      </c>
      <c r="H1575" s="12">
        <v>82528097</v>
      </c>
      <c r="I1575" s="12" t="s">
        <v>6200</v>
      </c>
      <c r="J1575" s="12" t="s">
        <v>4000</v>
      </c>
      <c r="K1575" s="12" t="s">
        <v>5687</v>
      </c>
      <c r="L1575" s="12" t="s">
        <v>8037</v>
      </c>
      <c r="M1575" s="12" t="s">
        <v>8038</v>
      </c>
      <c r="N1575" s="12">
        <v>30230</v>
      </c>
      <c r="O1575" s="12">
        <v>2223</v>
      </c>
      <c r="P1575" s="12">
        <v>1</v>
      </c>
      <c r="Q1575" s="12" t="s">
        <v>8039</v>
      </c>
      <c r="R1575" s="15" t="s">
        <v>8040</v>
      </c>
      <c r="S1575" s="12">
        <v>154</v>
      </c>
      <c r="T1575" s="12" t="s">
        <v>39</v>
      </c>
      <c r="U1575" s="12" t="s">
        <v>40</v>
      </c>
      <c r="V1575" s="12" t="s">
        <v>96</v>
      </c>
      <c r="W1575" s="12">
        <v>6500000</v>
      </c>
      <c r="X1575" s="12">
        <v>1995</v>
      </c>
      <c r="Y1575" s="12">
        <v>345</v>
      </c>
      <c r="Z1575" s="12">
        <v>7.3</v>
      </c>
      <c r="AA1575" s="12">
        <v>2.35</v>
      </c>
      <c r="AB1575" s="12">
        <v>0</v>
      </c>
      <c r="AC1575" s="12"/>
      <c r="AD1575" s="12" t="str">
        <f>IFERROR(__xludf.DUMMYFUNCTION("""COMPUTED_VALUE"""),"Regina Hall")</f>
        <v>Regina Hall</v>
      </c>
      <c r="AE1575" s="12"/>
    </row>
    <row r="1576" customHeight="1" spans="1:31">
      <c r="A1576" s="11" t="s">
        <v>30</v>
      </c>
      <c r="B1576" s="11" t="s">
        <v>8041</v>
      </c>
      <c r="C1576" s="11">
        <v>130</v>
      </c>
      <c r="D1576" s="11">
        <v>113</v>
      </c>
      <c r="E1576" s="11">
        <v>34</v>
      </c>
      <c r="F1576" s="11">
        <v>24</v>
      </c>
      <c r="G1576" s="11">
        <v>10000</v>
      </c>
      <c r="H1576" s="11">
        <v>14268533</v>
      </c>
      <c r="I1576" s="11" t="s">
        <v>8042</v>
      </c>
      <c r="J1576" s="11" t="s">
        <v>440</v>
      </c>
      <c r="K1576" s="11" t="s">
        <v>1190</v>
      </c>
      <c r="L1576" s="11" t="s">
        <v>8043</v>
      </c>
      <c r="M1576" s="11" t="s">
        <v>8044</v>
      </c>
      <c r="N1576" s="11">
        <v>17319</v>
      </c>
      <c r="O1576" s="11">
        <v>10910</v>
      </c>
      <c r="P1576" s="11">
        <v>2</v>
      </c>
      <c r="Q1576" s="11" t="s">
        <v>8045</v>
      </c>
      <c r="R1576" s="14" t="s">
        <v>8046</v>
      </c>
      <c r="S1576" s="11">
        <v>100</v>
      </c>
      <c r="T1576" s="11" t="s">
        <v>39</v>
      </c>
      <c r="U1576" s="11" t="s">
        <v>58</v>
      </c>
      <c r="V1576" s="11" t="s">
        <v>586</v>
      </c>
      <c r="W1576" s="11">
        <v>31500000</v>
      </c>
      <c r="X1576" s="11">
        <v>2016</v>
      </c>
      <c r="Y1576" s="11">
        <v>877</v>
      </c>
      <c r="Z1576" s="11">
        <v>6.3</v>
      </c>
      <c r="AA1576" s="11">
        <v>2.35</v>
      </c>
      <c r="AB1576" s="11">
        <v>0</v>
      </c>
      <c r="AC1576" s="11"/>
      <c r="AD1576" s="11" t="str">
        <f>IFERROR(__xludf.DUMMYFUNCTION("""COMPUTED_VALUE"""),"Pamela Anderson")</f>
        <v>Pamela Anderson</v>
      </c>
      <c r="AE1576" s="11"/>
    </row>
    <row r="1577" customHeight="1" spans="1:31">
      <c r="A1577" s="12" t="s">
        <v>30</v>
      </c>
      <c r="B1577" s="12" t="s">
        <v>2214</v>
      </c>
      <c r="C1577" s="12">
        <v>66</v>
      </c>
      <c r="D1577" s="12">
        <v>161</v>
      </c>
      <c r="E1577" s="12">
        <v>521</v>
      </c>
      <c r="F1577" s="12">
        <v>184</v>
      </c>
      <c r="G1577" s="12">
        <v>11000</v>
      </c>
      <c r="H1577" s="12">
        <v>87100000</v>
      </c>
      <c r="I1577" s="12" t="s">
        <v>6327</v>
      </c>
      <c r="J1577" s="12" t="s">
        <v>2377</v>
      </c>
      <c r="K1577" s="12" t="s">
        <v>1327</v>
      </c>
      <c r="L1577" s="12" t="s">
        <v>3781</v>
      </c>
      <c r="M1577" s="12" t="s">
        <v>8047</v>
      </c>
      <c r="N1577" s="12">
        <v>52339</v>
      </c>
      <c r="O1577" s="12">
        <v>12518</v>
      </c>
      <c r="P1577" s="12">
        <v>0</v>
      </c>
      <c r="Q1577" s="12" t="s">
        <v>8048</v>
      </c>
      <c r="R1577" s="15" t="s">
        <v>8049</v>
      </c>
      <c r="S1577" s="12">
        <v>200</v>
      </c>
      <c r="T1577" s="12" t="s">
        <v>39</v>
      </c>
      <c r="U1577" s="12" t="s">
        <v>40</v>
      </c>
      <c r="V1577" s="12" t="s">
        <v>96</v>
      </c>
      <c r="W1577" s="12">
        <v>31000000</v>
      </c>
      <c r="X1577" s="12">
        <v>1985</v>
      </c>
      <c r="Y1577" s="12">
        <v>920</v>
      </c>
      <c r="Z1577" s="12">
        <v>7.2</v>
      </c>
      <c r="AA1577" s="12">
        <v>1.85</v>
      </c>
      <c r="AB1577" s="12">
        <v>0</v>
      </c>
      <c r="AC1577" s="12"/>
      <c r="AD1577" s="12" t="str">
        <f>IFERROR(__xludf.DUMMYFUNCTION("""COMPUTED_VALUE"""),"Jenny McCarthy")</f>
        <v>Jenny McCarthy</v>
      </c>
      <c r="AE1577" s="12"/>
    </row>
    <row r="1578" customHeight="1" spans="1:31">
      <c r="A1578" s="11" t="s">
        <v>30</v>
      </c>
      <c r="B1578" s="11" t="s">
        <v>436</v>
      </c>
      <c r="C1578" s="11">
        <v>449</v>
      </c>
      <c r="D1578" s="11">
        <v>138</v>
      </c>
      <c r="E1578" s="11">
        <v>0</v>
      </c>
      <c r="F1578" s="11">
        <v>874</v>
      </c>
      <c r="G1578" s="11">
        <v>18000</v>
      </c>
      <c r="H1578" s="11">
        <v>93749203</v>
      </c>
      <c r="I1578" s="11" t="s">
        <v>4075</v>
      </c>
      <c r="J1578" s="11" t="s">
        <v>1727</v>
      </c>
      <c r="K1578" s="11" t="s">
        <v>354</v>
      </c>
      <c r="L1578" s="11" t="s">
        <v>6347</v>
      </c>
      <c r="M1578" s="11" t="s">
        <v>8050</v>
      </c>
      <c r="N1578" s="11">
        <v>264047</v>
      </c>
      <c r="O1578" s="11">
        <v>20952</v>
      </c>
      <c r="P1578" s="11">
        <v>0</v>
      </c>
      <c r="Q1578" s="11" t="s">
        <v>8051</v>
      </c>
      <c r="R1578" s="14" t="s">
        <v>8052</v>
      </c>
      <c r="S1578" s="11">
        <v>491</v>
      </c>
      <c r="T1578" s="11" t="s">
        <v>39</v>
      </c>
      <c r="U1578" s="11" t="s">
        <v>40</v>
      </c>
      <c r="V1578" s="11" t="s">
        <v>586</v>
      </c>
      <c r="W1578" s="11">
        <v>31000000</v>
      </c>
      <c r="X1578" s="11">
        <v>2012</v>
      </c>
      <c r="Y1578" s="11">
        <v>984</v>
      </c>
      <c r="Z1578" s="11">
        <v>7.3</v>
      </c>
      <c r="AA1578" s="11">
        <v>2.35</v>
      </c>
      <c r="AB1578" s="11">
        <v>64000</v>
      </c>
      <c r="AC1578" s="11"/>
      <c r="AD1578" s="11" t="str">
        <f>IFERROR(__xludf.DUMMYFUNCTION("""COMPUTED_VALUE"""),"Candice Bergen")</f>
        <v>Candice Bergen</v>
      </c>
      <c r="AE1578" s="11"/>
    </row>
    <row r="1579" customHeight="1" spans="1:31">
      <c r="A1579" s="12" t="s">
        <v>30</v>
      </c>
      <c r="B1579" s="12" t="s">
        <v>8053</v>
      </c>
      <c r="C1579" s="12">
        <v>121</v>
      </c>
      <c r="D1579" s="12">
        <v>126</v>
      </c>
      <c r="E1579" s="12">
        <v>43</v>
      </c>
      <c r="F1579" s="12">
        <v>177</v>
      </c>
      <c r="G1579" s="12">
        <v>244</v>
      </c>
      <c r="H1579" s="12">
        <v>62700000</v>
      </c>
      <c r="I1579" s="12" t="s">
        <v>227</v>
      </c>
      <c r="J1579" s="12" t="s">
        <v>1093</v>
      </c>
      <c r="K1579" s="12" t="s">
        <v>1609</v>
      </c>
      <c r="L1579" s="12" t="s">
        <v>4827</v>
      </c>
      <c r="M1579" s="12" t="s">
        <v>8054</v>
      </c>
      <c r="N1579" s="12">
        <v>69534</v>
      </c>
      <c r="O1579" s="12">
        <v>1008</v>
      </c>
      <c r="P1579" s="12">
        <v>2</v>
      </c>
      <c r="Q1579" s="12" t="s">
        <v>8055</v>
      </c>
      <c r="R1579" s="15" t="s">
        <v>8056</v>
      </c>
      <c r="S1579" s="12">
        <v>294</v>
      </c>
      <c r="T1579" s="12" t="s">
        <v>39</v>
      </c>
      <c r="U1579" s="12" t="s">
        <v>58</v>
      </c>
      <c r="V1579" s="12" t="s">
        <v>96</v>
      </c>
      <c r="W1579" s="12">
        <v>34000000</v>
      </c>
      <c r="X1579" s="12">
        <v>1979</v>
      </c>
      <c r="Y1579" s="12">
        <v>202</v>
      </c>
      <c r="Z1579" s="12">
        <v>6.3</v>
      </c>
      <c r="AA1579" s="12">
        <v>2.35</v>
      </c>
      <c r="AB1579" s="12">
        <v>0</v>
      </c>
      <c r="AC1579" s="12"/>
      <c r="AD1579" s="12" t="str">
        <f>IFERROR(__xludf.DUMMYFUNCTION("""COMPUTED_VALUE"""),"Wendy Raquel Robinson")</f>
        <v>Wendy Raquel Robinson</v>
      </c>
      <c r="AE1579" s="12"/>
    </row>
    <row r="1580" customHeight="1" spans="1:31">
      <c r="A1580" s="11" t="s">
        <v>30</v>
      </c>
      <c r="B1580" s="11" t="s">
        <v>5383</v>
      </c>
      <c r="C1580" s="11">
        <v>536</v>
      </c>
      <c r="D1580" s="11">
        <v>99</v>
      </c>
      <c r="E1580" s="11">
        <v>0</v>
      </c>
      <c r="F1580" s="11">
        <v>670</v>
      </c>
      <c r="G1580" s="11">
        <v>13000</v>
      </c>
      <c r="H1580" s="11">
        <v>59073773</v>
      </c>
      <c r="I1580" s="11" t="s">
        <v>8057</v>
      </c>
      <c r="J1580" s="11" t="s">
        <v>549</v>
      </c>
      <c r="K1580" s="11" t="s">
        <v>138</v>
      </c>
      <c r="L1580" s="11" t="s">
        <v>2408</v>
      </c>
      <c r="M1580" s="11" t="s">
        <v>8058</v>
      </c>
      <c r="N1580" s="11">
        <v>475518</v>
      </c>
      <c r="O1580" s="11">
        <v>15082</v>
      </c>
      <c r="P1580" s="11">
        <v>0</v>
      </c>
      <c r="Q1580" s="11" t="s">
        <v>8059</v>
      </c>
      <c r="R1580" s="14" t="s">
        <v>8060</v>
      </c>
      <c r="S1580" s="11">
        <v>644</v>
      </c>
      <c r="T1580" s="11" t="s">
        <v>39</v>
      </c>
      <c r="U1580" s="11" t="s">
        <v>40</v>
      </c>
      <c r="V1580" s="11" t="s">
        <v>586</v>
      </c>
      <c r="W1580" s="11">
        <v>25000000</v>
      </c>
      <c r="X1580" s="11">
        <v>2014</v>
      </c>
      <c r="Y1580" s="11">
        <v>1000</v>
      </c>
      <c r="Z1580" s="11">
        <v>8.1</v>
      </c>
      <c r="AA1580" s="11">
        <v>1.37</v>
      </c>
      <c r="AB1580" s="11">
        <v>149000</v>
      </c>
      <c r="AC1580" s="11"/>
      <c r="AD1580" s="11" t="str">
        <f>IFERROR(__xludf.DUMMYFUNCTION("""COMPUTED_VALUE"""),"Heather Burns")</f>
        <v>Heather Burns</v>
      </c>
      <c r="AE1580" s="11"/>
    </row>
    <row r="1581" customHeight="1" spans="1:31">
      <c r="A1581" s="12" t="s">
        <v>30</v>
      </c>
      <c r="B1581" s="12" t="s">
        <v>7205</v>
      </c>
      <c r="C1581" s="12">
        <v>135</v>
      </c>
      <c r="D1581" s="12">
        <v>101</v>
      </c>
      <c r="E1581" s="12">
        <v>96</v>
      </c>
      <c r="F1581" s="12">
        <v>442</v>
      </c>
      <c r="G1581" s="12">
        <v>12000</v>
      </c>
      <c r="H1581" s="12">
        <v>24185781</v>
      </c>
      <c r="I1581" s="12" t="s">
        <v>8061</v>
      </c>
      <c r="J1581" s="12" t="s">
        <v>763</v>
      </c>
      <c r="K1581" s="12" t="s">
        <v>2765</v>
      </c>
      <c r="L1581" s="12" t="s">
        <v>8062</v>
      </c>
      <c r="M1581" s="12" t="s">
        <v>8063</v>
      </c>
      <c r="N1581" s="12">
        <v>30339</v>
      </c>
      <c r="O1581" s="12">
        <v>13811</v>
      </c>
      <c r="P1581" s="12">
        <v>1</v>
      </c>
      <c r="Q1581" s="12" t="s">
        <v>8064</v>
      </c>
      <c r="R1581" s="15" t="s">
        <v>8065</v>
      </c>
      <c r="S1581" s="12">
        <v>268</v>
      </c>
      <c r="T1581" s="12" t="s">
        <v>39</v>
      </c>
      <c r="U1581" s="12" t="s">
        <v>40</v>
      </c>
      <c r="V1581" s="12" t="s">
        <v>41</v>
      </c>
      <c r="W1581" s="12">
        <v>31000000</v>
      </c>
      <c r="X1581" s="12">
        <v>2001</v>
      </c>
      <c r="Y1581" s="12">
        <v>495</v>
      </c>
      <c r="Z1581" s="12">
        <v>6.9</v>
      </c>
      <c r="AA1581" s="12">
        <v>2.35</v>
      </c>
      <c r="AB1581" s="12">
        <v>0</v>
      </c>
      <c r="AC1581" s="12"/>
      <c r="AD1581" s="12" t="str">
        <f>IFERROR(__xludf.DUMMYFUNCTION("""COMPUTED_VALUE"""),"Anita Briem")</f>
        <v>Anita Briem</v>
      </c>
      <c r="AE1581" s="12"/>
    </row>
    <row r="1582" customHeight="1" spans="1:31">
      <c r="A1582" s="11" t="s">
        <v>30</v>
      </c>
      <c r="B1582" s="11" t="s">
        <v>5088</v>
      </c>
      <c r="C1582" s="11">
        <v>74</v>
      </c>
      <c r="D1582" s="11">
        <v>103</v>
      </c>
      <c r="E1582" s="11">
        <v>155</v>
      </c>
      <c r="F1582" s="11">
        <v>125</v>
      </c>
      <c r="G1582" s="11">
        <v>687</v>
      </c>
      <c r="H1582" s="11">
        <v>53133888</v>
      </c>
      <c r="I1582" s="11" t="s">
        <v>8066</v>
      </c>
      <c r="J1582" s="11" t="s">
        <v>6216</v>
      </c>
      <c r="K1582" s="11" t="s">
        <v>8067</v>
      </c>
      <c r="L1582" s="11" t="s">
        <v>8068</v>
      </c>
      <c r="M1582" s="11" t="s">
        <v>8069</v>
      </c>
      <c r="N1582" s="11">
        <v>50389</v>
      </c>
      <c r="O1582" s="11">
        <v>1440</v>
      </c>
      <c r="P1582" s="11">
        <v>0</v>
      </c>
      <c r="Q1582" s="11" t="s">
        <v>8070</v>
      </c>
      <c r="R1582" s="14" t="s">
        <v>8071</v>
      </c>
      <c r="S1582" s="11">
        <v>136</v>
      </c>
      <c r="T1582" s="11" t="s">
        <v>39</v>
      </c>
      <c r="U1582" s="11" t="s">
        <v>40</v>
      </c>
      <c r="V1582" s="11" t="s">
        <v>41</v>
      </c>
      <c r="W1582" s="11">
        <v>31000000</v>
      </c>
      <c r="X1582" s="11">
        <v>1990</v>
      </c>
      <c r="Y1582" s="11">
        <v>151</v>
      </c>
      <c r="Z1582" s="11">
        <v>6.3</v>
      </c>
      <c r="AA1582" s="11">
        <v>1.85</v>
      </c>
      <c r="AB1582" s="11">
        <v>0</v>
      </c>
      <c r="AC1582" s="11"/>
      <c r="AD1582" s="11" t="str">
        <f>IFERROR(__xludf.DUMMYFUNCTION("""COMPUTED_VALUE"""),"Brad Renfro")</f>
        <v>Brad Renfro</v>
      </c>
      <c r="AE1582" s="11"/>
    </row>
    <row r="1583" customHeight="1" spans="1:31">
      <c r="A1583" s="12" t="s">
        <v>30</v>
      </c>
      <c r="B1583" s="12" t="s">
        <v>3471</v>
      </c>
      <c r="C1583" s="12">
        <v>168</v>
      </c>
      <c r="D1583" s="12">
        <v>118</v>
      </c>
      <c r="E1583" s="12">
        <v>40</v>
      </c>
      <c r="F1583" s="12">
        <v>617</v>
      </c>
      <c r="G1583" s="12">
        <v>2000</v>
      </c>
      <c r="H1583" s="12">
        <v>44983704</v>
      </c>
      <c r="I1583" s="12" t="s">
        <v>8072</v>
      </c>
      <c r="J1583" s="12" t="s">
        <v>537</v>
      </c>
      <c r="K1583" s="12" t="s">
        <v>714</v>
      </c>
      <c r="L1583" s="12" t="s">
        <v>1469</v>
      </c>
      <c r="M1583" s="12" t="s">
        <v>8073</v>
      </c>
      <c r="N1583" s="12">
        <v>81866</v>
      </c>
      <c r="O1583" s="12">
        <v>4045</v>
      </c>
      <c r="P1583" s="12">
        <v>0</v>
      </c>
      <c r="Q1583" s="12" t="s">
        <v>8074</v>
      </c>
      <c r="R1583" s="15" t="s">
        <v>8075</v>
      </c>
      <c r="S1583" s="12">
        <v>510</v>
      </c>
      <c r="T1583" s="12" t="s">
        <v>39</v>
      </c>
      <c r="U1583" s="12" t="s">
        <v>40</v>
      </c>
      <c r="V1583" s="12" t="s">
        <v>41</v>
      </c>
      <c r="W1583" s="12">
        <v>31000000</v>
      </c>
      <c r="X1583" s="12">
        <v>2000</v>
      </c>
      <c r="Y1583" s="12">
        <v>702</v>
      </c>
      <c r="Z1583" s="12">
        <v>7.3</v>
      </c>
      <c r="AA1583" s="12">
        <v>2.35</v>
      </c>
      <c r="AB1583" s="12">
        <v>0</v>
      </c>
      <c r="AC1583" s="12"/>
      <c r="AD1583" s="12" t="str">
        <f>IFERROR(__xludf.DUMMYFUNCTION("""COMPUTED_VALUE"""),"Noel Gugliemi")</f>
        <v>Noel Gugliemi</v>
      </c>
      <c r="AE1583" s="12"/>
    </row>
    <row r="1584" customHeight="1" spans="1:31">
      <c r="A1584" s="11" t="s">
        <v>30</v>
      </c>
      <c r="B1584" s="11" t="s">
        <v>970</v>
      </c>
      <c r="C1584" s="11">
        <v>464</v>
      </c>
      <c r="D1584" s="11">
        <v>116</v>
      </c>
      <c r="E1584" s="11">
        <v>176</v>
      </c>
      <c r="F1584" s="11">
        <v>322</v>
      </c>
      <c r="G1584" s="11">
        <v>783</v>
      </c>
      <c r="H1584" s="11">
        <v>118099659</v>
      </c>
      <c r="I1584" s="11" t="s">
        <v>971</v>
      </c>
      <c r="J1584" s="11" t="s">
        <v>972</v>
      </c>
      <c r="K1584" s="11" t="s">
        <v>973</v>
      </c>
      <c r="L1584" s="11" t="s">
        <v>974</v>
      </c>
      <c r="M1584" s="11" t="s">
        <v>975</v>
      </c>
      <c r="N1584" s="11">
        <v>69790</v>
      </c>
      <c r="O1584" s="11">
        <v>2097</v>
      </c>
      <c r="P1584" s="11">
        <v>4</v>
      </c>
      <c r="Q1584" s="11" t="s">
        <v>976</v>
      </c>
      <c r="R1584" s="14" t="s">
        <v>977</v>
      </c>
      <c r="S1584" s="11">
        <v>1211</v>
      </c>
      <c r="T1584" s="11" t="s">
        <v>39</v>
      </c>
      <c r="U1584" s="11" t="s">
        <v>40</v>
      </c>
      <c r="V1584" s="11" t="s">
        <v>41</v>
      </c>
      <c r="W1584" s="11">
        <v>144000000</v>
      </c>
      <c r="X1584" s="11">
        <v>2016</v>
      </c>
      <c r="Y1584" s="11">
        <v>370</v>
      </c>
      <c r="Z1584" s="11">
        <v>5.5</v>
      </c>
      <c r="AA1584" s="11">
        <v>2.35</v>
      </c>
      <c r="AB1584" s="11">
        <v>62000</v>
      </c>
      <c r="AC1584" s="11"/>
      <c r="AD1584" s="11" t="str">
        <f>IFERROR(__xludf.DUMMYFUNCTION("""COMPUTED_VALUE"""),"Patrick Bergin")</f>
        <v>Patrick Bergin</v>
      </c>
      <c r="AE1584" s="11"/>
    </row>
    <row r="1585" customHeight="1" spans="1:31">
      <c r="A1585" s="12" t="s">
        <v>30</v>
      </c>
      <c r="B1585" s="12" t="s">
        <v>8076</v>
      </c>
      <c r="C1585" s="12">
        <v>204</v>
      </c>
      <c r="D1585" s="12">
        <v>99</v>
      </c>
      <c r="E1585" s="12">
        <v>0</v>
      </c>
      <c r="F1585" s="12">
        <v>816</v>
      </c>
      <c r="G1585" s="12">
        <v>26000</v>
      </c>
      <c r="H1585" s="12">
        <v>58879132</v>
      </c>
      <c r="I1585" s="12" t="s">
        <v>4220</v>
      </c>
      <c r="J1585" s="12" t="s">
        <v>98</v>
      </c>
      <c r="K1585" s="12" t="s">
        <v>4838</v>
      </c>
      <c r="L1585" s="12" t="s">
        <v>7746</v>
      </c>
      <c r="M1585" s="12" t="s">
        <v>8077</v>
      </c>
      <c r="N1585" s="12">
        <v>66123</v>
      </c>
      <c r="O1585" s="12">
        <v>40312</v>
      </c>
      <c r="P1585" s="12">
        <v>4</v>
      </c>
      <c r="Q1585" s="12" t="s">
        <v>8078</v>
      </c>
      <c r="R1585" s="15" t="s">
        <v>8079</v>
      </c>
      <c r="S1585" s="12">
        <v>219</v>
      </c>
      <c r="T1585" s="12" t="s">
        <v>39</v>
      </c>
      <c r="U1585" s="12" t="s">
        <v>40</v>
      </c>
      <c r="V1585" s="12" t="s">
        <v>586</v>
      </c>
      <c r="W1585" s="12">
        <v>31000000</v>
      </c>
      <c r="X1585" s="12">
        <v>2015</v>
      </c>
      <c r="Y1585" s="12">
        <v>12000</v>
      </c>
      <c r="Z1585" s="12">
        <v>6.1</v>
      </c>
      <c r="AA1585" s="12">
        <v>2.35</v>
      </c>
      <c r="AB1585" s="12">
        <v>28000</v>
      </c>
      <c r="AC1585" s="12"/>
      <c r="AD1585" s="12" t="str">
        <f>IFERROR(__xludf.DUMMYFUNCTION("""COMPUTED_VALUE"""),"Jane Fonda")</f>
        <v>Jane Fonda</v>
      </c>
      <c r="AE1585" s="12"/>
    </row>
    <row r="1586" customHeight="1" spans="1:31">
      <c r="A1586" s="11" t="s">
        <v>30</v>
      </c>
      <c r="B1586" s="11" t="s">
        <v>164</v>
      </c>
      <c r="C1586" s="11">
        <v>96</v>
      </c>
      <c r="D1586" s="11">
        <v>105</v>
      </c>
      <c r="E1586" s="11">
        <v>188</v>
      </c>
      <c r="F1586" s="11">
        <v>482</v>
      </c>
      <c r="G1586" s="11">
        <v>848</v>
      </c>
      <c r="H1586" s="11">
        <v>72077000</v>
      </c>
      <c r="I1586" s="11" t="s">
        <v>5968</v>
      </c>
      <c r="J1586" s="11" t="s">
        <v>472</v>
      </c>
      <c r="K1586" s="11" t="s">
        <v>1060</v>
      </c>
      <c r="L1586" s="11" t="s">
        <v>5591</v>
      </c>
      <c r="M1586" s="11" t="s">
        <v>8080</v>
      </c>
      <c r="N1586" s="11">
        <v>62986</v>
      </c>
      <c r="O1586" s="11">
        <v>3439</v>
      </c>
      <c r="P1586" s="11">
        <v>4</v>
      </c>
      <c r="Q1586" s="11" t="s">
        <v>8081</v>
      </c>
      <c r="R1586" s="14" t="s">
        <v>8082</v>
      </c>
      <c r="S1586" s="11">
        <v>150</v>
      </c>
      <c r="T1586" s="11" t="s">
        <v>39</v>
      </c>
      <c r="U1586" s="11" t="s">
        <v>40</v>
      </c>
      <c r="V1586" s="11" t="s">
        <v>586</v>
      </c>
      <c r="W1586" s="11">
        <v>30250000</v>
      </c>
      <c r="X1586" s="11">
        <v>1995</v>
      </c>
      <c r="Y1586" s="11">
        <v>808</v>
      </c>
      <c r="Z1586" s="11">
        <v>6.9</v>
      </c>
      <c r="AA1586" s="11">
        <v>1.85</v>
      </c>
      <c r="AB1586" s="11">
        <v>0</v>
      </c>
      <c r="AC1586" s="11"/>
      <c r="AD1586" s="11" t="str">
        <f>IFERROR(__xludf.DUMMYFUNCTION("""COMPUTED_VALUE"""),"Enrico Colantoni")</f>
        <v>Enrico Colantoni</v>
      </c>
      <c r="AE1586" s="11"/>
    </row>
    <row r="1587" customHeight="1" spans="1:31">
      <c r="A1587" s="12" t="s">
        <v>748</v>
      </c>
      <c r="B1587" s="12" t="s">
        <v>158</v>
      </c>
      <c r="C1587" s="12">
        <v>223</v>
      </c>
      <c r="D1587" s="12">
        <v>113</v>
      </c>
      <c r="E1587" s="12">
        <v>252</v>
      </c>
      <c r="F1587" s="12">
        <v>90</v>
      </c>
      <c r="G1587" s="12">
        <v>539</v>
      </c>
      <c r="H1587" s="12">
        <v>170684505</v>
      </c>
      <c r="I1587" s="12" t="s">
        <v>8083</v>
      </c>
      <c r="J1587" s="12" t="s">
        <v>4162</v>
      </c>
      <c r="K1587" s="12" t="s">
        <v>8084</v>
      </c>
      <c r="L1587" s="12" t="s">
        <v>8085</v>
      </c>
      <c r="M1587" s="12" t="s">
        <v>8086</v>
      </c>
      <c r="N1587" s="12">
        <v>172080</v>
      </c>
      <c r="O1587" s="12">
        <v>813</v>
      </c>
      <c r="P1587" s="12">
        <v>0</v>
      </c>
      <c r="Q1587" s="12" t="s">
        <v>8087</v>
      </c>
      <c r="R1587" s="15" t="s">
        <v>8088</v>
      </c>
      <c r="S1587" s="12">
        <v>1017</v>
      </c>
      <c r="T1587" s="12" t="s">
        <v>39</v>
      </c>
      <c r="U1587" s="12" t="s">
        <v>40</v>
      </c>
      <c r="V1587" s="12" t="s">
        <v>41</v>
      </c>
      <c r="W1587" s="12">
        <v>45000000</v>
      </c>
      <c r="X1587" s="12">
        <v>2002</v>
      </c>
      <c r="Y1587" s="12">
        <v>151</v>
      </c>
      <c r="Z1587" s="12">
        <v>7.2</v>
      </c>
      <c r="AA1587" s="12">
        <v>1.85</v>
      </c>
      <c r="AB1587" s="12">
        <v>0</v>
      </c>
      <c r="AC1587" s="12"/>
      <c r="AD1587" s="12" t="str">
        <f>IFERROR(__xludf.DUMMYFUNCTION("""COMPUTED_VALUE"""),"Robin Sachs")</f>
        <v>Robin Sachs</v>
      </c>
      <c r="AE1587" s="12"/>
    </row>
    <row r="1588" customHeight="1" spans="1:31">
      <c r="A1588" s="11" t="s">
        <v>30</v>
      </c>
      <c r="B1588" s="11" t="s">
        <v>2179</v>
      </c>
      <c r="C1588" s="11">
        <v>112</v>
      </c>
      <c r="D1588" s="11">
        <v>93</v>
      </c>
      <c r="E1588" s="11">
        <v>221</v>
      </c>
      <c r="F1588" s="11">
        <v>781</v>
      </c>
      <c r="G1588" s="11">
        <v>12000</v>
      </c>
      <c r="H1588" s="11">
        <v>163479795</v>
      </c>
      <c r="I1588" s="11" t="s">
        <v>2528</v>
      </c>
      <c r="J1588" s="11" t="s">
        <v>272</v>
      </c>
      <c r="K1588" s="11" t="s">
        <v>2180</v>
      </c>
      <c r="L1588" s="11" t="s">
        <v>8089</v>
      </c>
      <c r="M1588" s="11" t="s">
        <v>8090</v>
      </c>
      <c r="N1588" s="11">
        <v>161858</v>
      </c>
      <c r="O1588" s="11">
        <v>26760</v>
      </c>
      <c r="P1588" s="11">
        <v>0</v>
      </c>
      <c r="Q1588" s="11" t="s">
        <v>8091</v>
      </c>
      <c r="R1588" s="14" t="s">
        <v>8092</v>
      </c>
      <c r="S1588" s="11">
        <v>289</v>
      </c>
      <c r="T1588" s="11" t="s">
        <v>39</v>
      </c>
      <c r="U1588" s="11" t="s">
        <v>40</v>
      </c>
      <c r="V1588" s="11" t="s">
        <v>41</v>
      </c>
      <c r="W1588" s="11">
        <v>34200000</v>
      </c>
      <c r="X1588" s="11">
        <v>1999</v>
      </c>
      <c r="Y1588" s="11">
        <v>11000</v>
      </c>
      <c r="Z1588" s="11">
        <v>6.4</v>
      </c>
      <c r="AA1588" s="11">
        <v>1.85</v>
      </c>
      <c r="AB1588" s="11">
        <v>0</v>
      </c>
      <c r="AC1588" s="11"/>
      <c r="AD1588" s="11" t="str">
        <f>IFERROR(__xludf.DUMMYFUNCTION("""COMPUTED_VALUE"""),"Eric Jacobson")</f>
        <v>Eric Jacobson</v>
      </c>
      <c r="AE1588" s="11"/>
    </row>
    <row r="1589" customHeight="1" spans="1:31">
      <c r="A1589" s="12" t="s">
        <v>30</v>
      </c>
      <c r="B1589" s="12" t="s">
        <v>8093</v>
      </c>
      <c r="C1589" s="12">
        <v>142</v>
      </c>
      <c r="D1589" s="12">
        <v>108</v>
      </c>
      <c r="E1589" s="12">
        <v>6</v>
      </c>
      <c r="F1589" s="12">
        <v>1000</v>
      </c>
      <c r="G1589" s="12">
        <v>3000</v>
      </c>
      <c r="H1589" s="12">
        <v>145096820</v>
      </c>
      <c r="I1589" s="12" t="s">
        <v>1672</v>
      </c>
      <c r="J1589" s="12" t="s">
        <v>4599</v>
      </c>
      <c r="K1589" s="12" t="s">
        <v>7580</v>
      </c>
      <c r="L1589" s="12" t="s">
        <v>3752</v>
      </c>
      <c r="M1589" s="12" t="s">
        <v>8094</v>
      </c>
      <c r="N1589" s="12">
        <v>200260</v>
      </c>
      <c r="O1589" s="12">
        <v>7872</v>
      </c>
      <c r="P1589" s="12">
        <v>0</v>
      </c>
      <c r="Q1589" s="12" t="s">
        <v>8095</v>
      </c>
      <c r="R1589" s="15" t="s">
        <v>8096</v>
      </c>
      <c r="S1589" s="12">
        <v>431</v>
      </c>
      <c r="T1589" s="12" t="s">
        <v>39</v>
      </c>
      <c r="U1589" s="12" t="s">
        <v>40</v>
      </c>
      <c r="V1589" s="12" t="s">
        <v>586</v>
      </c>
      <c r="W1589" s="12">
        <v>30000000</v>
      </c>
      <c r="X1589" s="12">
        <v>2001</v>
      </c>
      <c r="Y1589" s="12">
        <v>1000</v>
      </c>
      <c r="Z1589" s="12">
        <v>6.4</v>
      </c>
      <c r="AA1589" s="12">
        <v>1.85</v>
      </c>
      <c r="AB1589" s="12">
        <v>0</v>
      </c>
      <c r="AC1589" s="12"/>
      <c r="AD1589" s="12" t="str">
        <f>IFERROR(__xludf.DUMMYFUNCTION("""COMPUTED_VALUE"""),"Steve Whitmire")</f>
        <v>Steve Whitmire</v>
      </c>
      <c r="AE1589" s="12"/>
    </row>
    <row r="1590" customHeight="1" spans="1:31">
      <c r="A1590" s="11" t="s">
        <v>30</v>
      </c>
      <c r="B1590" s="11" t="s">
        <v>307</v>
      </c>
      <c r="C1590" s="11">
        <v>166</v>
      </c>
      <c r="D1590" s="11">
        <v>74</v>
      </c>
      <c r="E1590" s="11">
        <v>487</v>
      </c>
      <c r="F1590" s="11">
        <v>802</v>
      </c>
      <c r="G1590" s="11">
        <v>15000</v>
      </c>
      <c r="H1590" s="11">
        <v>191796233</v>
      </c>
      <c r="I1590" s="11" t="s">
        <v>271</v>
      </c>
      <c r="J1590" s="11" t="s">
        <v>322</v>
      </c>
      <c r="K1590" s="11" t="s">
        <v>323</v>
      </c>
      <c r="L1590" s="11" t="s">
        <v>2162</v>
      </c>
      <c r="M1590" s="11" t="s">
        <v>8097</v>
      </c>
      <c r="N1590" s="11">
        <v>623757</v>
      </c>
      <c r="O1590" s="11">
        <v>19046</v>
      </c>
      <c r="P1590" s="11">
        <v>1</v>
      </c>
      <c r="Q1590" s="11" t="s">
        <v>8098</v>
      </c>
      <c r="R1590" s="14" t="s">
        <v>8099</v>
      </c>
      <c r="S1590" s="11">
        <v>391</v>
      </c>
      <c r="T1590" s="11" t="s">
        <v>39</v>
      </c>
      <c r="U1590" s="11" t="s">
        <v>40</v>
      </c>
      <c r="V1590" s="11" t="s">
        <v>278</v>
      </c>
      <c r="W1590" s="11">
        <v>30000000</v>
      </c>
      <c r="X1590" s="11">
        <v>1995</v>
      </c>
      <c r="Y1590" s="11">
        <v>1000</v>
      </c>
      <c r="Z1590" s="11">
        <v>8.3</v>
      </c>
      <c r="AA1590" s="11">
        <v>1.85</v>
      </c>
      <c r="AB1590" s="11">
        <v>0</v>
      </c>
      <c r="AC1590" s="11"/>
      <c r="AD1590" s="11" t="str">
        <f>IFERROR(__xludf.DUMMYFUNCTION("""COMPUTED_VALUE"""),"Traci Lords")</f>
        <v>Traci Lords</v>
      </c>
      <c r="AE1590" s="11"/>
    </row>
    <row r="1591" customHeight="1" spans="1:31">
      <c r="A1591" s="12" t="s">
        <v>30</v>
      </c>
      <c r="B1591" s="12" t="s">
        <v>1606</v>
      </c>
      <c r="C1591" s="12">
        <v>114</v>
      </c>
      <c r="D1591" s="12">
        <v>116</v>
      </c>
      <c r="E1591" s="12">
        <v>101</v>
      </c>
      <c r="F1591" s="12">
        <v>780</v>
      </c>
      <c r="G1591" s="12">
        <v>18000</v>
      </c>
      <c r="H1591" s="12">
        <v>121248145</v>
      </c>
      <c r="I1591" s="12" t="s">
        <v>3336</v>
      </c>
      <c r="J1591" s="12" t="s">
        <v>588</v>
      </c>
      <c r="K1591" s="12" t="s">
        <v>2303</v>
      </c>
      <c r="L1591" s="12" t="s">
        <v>1047</v>
      </c>
      <c r="M1591" s="12" t="s">
        <v>8100</v>
      </c>
      <c r="N1591" s="12">
        <v>260981</v>
      </c>
      <c r="O1591" s="12">
        <v>20966</v>
      </c>
      <c r="P1591" s="12">
        <v>0</v>
      </c>
      <c r="Q1591" s="12" t="s">
        <v>8101</v>
      </c>
      <c r="R1591" s="15" t="s">
        <v>8102</v>
      </c>
      <c r="S1591" s="12">
        <v>373</v>
      </c>
      <c r="T1591" s="12" t="s">
        <v>39</v>
      </c>
      <c r="U1591" s="12" t="s">
        <v>40</v>
      </c>
      <c r="V1591" s="12" t="s">
        <v>586</v>
      </c>
      <c r="W1591" s="12">
        <v>25000000</v>
      </c>
      <c r="X1591" s="12">
        <v>1994</v>
      </c>
      <c r="Y1591" s="12">
        <v>946</v>
      </c>
      <c r="Z1591" s="12">
        <v>7.2</v>
      </c>
      <c r="AA1591" s="12">
        <v>2.35</v>
      </c>
      <c r="AB1591" s="12">
        <v>0</v>
      </c>
      <c r="AC1591" s="12"/>
      <c r="AD1591" s="12" t="str">
        <f>IFERROR(__xludf.DUMMYFUNCTION("""COMPUTED_VALUE"""),"Robert Ri'chard")</f>
        <v>Robert Ri'chard</v>
      </c>
      <c r="AE1591" s="12"/>
    </row>
    <row r="1592" customHeight="1" spans="1:31">
      <c r="A1592" s="11" t="s">
        <v>30</v>
      </c>
      <c r="B1592" s="11" t="s">
        <v>8103</v>
      </c>
      <c r="C1592" s="11">
        <v>214</v>
      </c>
      <c r="D1592" s="11">
        <v>104</v>
      </c>
      <c r="E1592" s="11">
        <v>23</v>
      </c>
      <c r="F1592" s="11">
        <v>281</v>
      </c>
      <c r="G1592" s="11">
        <v>17000</v>
      </c>
      <c r="H1592" s="11">
        <v>125014030</v>
      </c>
      <c r="I1592" s="11" t="s">
        <v>214</v>
      </c>
      <c r="J1592" s="11" t="s">
        <v>445</v>
      </c>
      <c r="K1592" s="11" t="s">
        <v>8104</v>
      </c>
      <c r="L1592" s="11" t="s">
        <v>8105</v>
      </c>
      <c r="M1592" s="11" t="s">
        <v>8106</v>
      </c>
      <c r="N1592" s="11">
        <v>145852</v>
      </c>
      <c r="O1592" s="11">
        <v>18322</v>
      </c>
      <c r="P1592" s="11">
        <v>0</v>
      </c>
      <c r="Q1592" s="11" t="s">
        <v>8107</v>
      </c>
      <c r="R1592" s="14" t="s">
        <v>8108</v>
      </c>
      <c r="S1592" s="11">
        <v>164</v>
      </c>
      <c r="T1592" s="11" t="s">
        <v>39</v>
      </c>
      <c r="U1592" s="11" t="s">
        <v>40</v>
      </c>
      <c r="V1592" s="11" t="s">
        <v>41</v>
      </c>
      <c r="W1592" s="11">
        <v>30000000</v>
      </c>
      <c r="X1592" s="11">
        <v>2012</v>
      </c>
      <c r="Y1592" s="11">
        <v>359</v>
      </c>
      <c r="Z1592" s="11">
        <v>6.8</v>
      </c>
      <c r="AA1592" s="11">
        <v>2.35</v>
      </c>
      <c r="AB1592" s="11">
        <v>32000</v>
      </c>
      <c r="AC1592" s="11"/>
      <c r="AD1592" s="11" t="str">
        <f>IFERROR(__xludf.DUMMYFUNCTION("""COMPUTED_VALUE"""),"Matt Malloy")</f>
        <v>Matt Malloy</v>
      </c>
      <c r="AE1592" s="11"/>
    </row>
    <row r="1593" customHeight="1" spans="1:31">
      <c r="A1593" s="12" t="s">
        <v>30</v>
      </c>
      <c r="B1593" s="12" t="s">
        <v>8109</v>
      </c>
      <c r="C1593" s="12">
        <v>126</v>
      </c>
      <c r="D1593" s="12">
        <v>106</v>
      </c>
      <c r="E1593" s="12">
        <v>12</v>
      </c>
      <c r="F1593" s="12">
        <v>946</v>
      </c>
      <c r="G1593" s="12">
        <v>11000</v>
      </c>
      <c r="H1593" s="12">
        <v>11854694</v>
      </c>
      <c r="I1593" s="12" t="s">
        <v>3410</v>
      </c>
      <c r="J1593" s="12" t="s">
        <v>391</v>
      </c>
      <c r="K1593" s="12" t="s">
        <v>503</v>
      </c>
      <c r="L1593" s="12" t="s">
        <v>2303</v>
      </c>
      <c r="M1593" s="12" t="s">
        <v>8110</v>
      </c>
      <c r="N1593" s="12">
        <v>14281</v>
      </c>
      <c r="O1593" s="12">
        <v>17560</v>
      </c>
      <c r="P1593" s="12">
        <v>2</v>
      </c>
      <c r="Q1593" s="12" t="s">
        <v>8111</v>
      </c>
      <c r="R1593" s="15" t="s">
        <v>8112</v>
      </c>
      <c r="S1593" s="12">
        <v>64</v>
      </c>
      <c r="T1593" s="12" t="s">
        <v>39</v>
      </c>
      <c r="U1593" s="12" t="s">
        <v>40</v>
      </c>
      <c r="V1593" s="12" t="s">
        <v>96</v>
      </c>
      <c r="W1593" s="12">
        <v>31000000</v>
      </c>
      <c r="X1593" s="12">
        <v>2010</v>
      </c>
      <c r="Y1593" s="12">
        <v>3000</v>
      </c>
      <c r="Z1593" s="12">
        <v>6.5</v>
      </c>
      <c r="AA1593" s="12">
        <v>1.85</v>
      </c>
      <c r="AB1593" s="12">
        <v>0</v>
      </c>
      <c r="AC1593" s="12"/>
      <c r="AD1593" s="12" t="str">
        <f>IFERROR(__xludf.DUMMYFUNCTION("""COMPUTED_VALUE"""),"Bruce Altman")</f>
        <v>Bruce Altman</v>
      </c>
      <c r="AE1593" s="12"/>
    </row>
    <row r="1594" customHeight="1" spans="1:31">
      <c r="A1594" s="11" t="s">
        <v>30</v>
      </c>
      <c r="B1594" s="11" t="s">
        <v>7863</v>
      </c>
      <c r="C1594" s="11">
        <v>157</v>
      </c>
      <c r="D1594" s="11">
        <v>120</v>
      </c>
      <c r="E1594" s="11">
        <v>132</v>
      </c>
      <c r="F1594" s="11">
        <v>1000</v>
      </c>
      <c r="G1594" s="11">
        <v>33000</v>
      </c>
      <c r="H1594" s="11">
        <v>115648585</v>
      </c>
      <c r="I1594" s="11" t="s">
        <v>1635</v>
      </c>
      <c r="J1594" s="11" t="s">
        <v>4214</v>
      </c>
      <c r="K1594" s="11" t="s">
        <v>1727</v>
      </c>
      <c r="L1594" s="11" t="s">
        <v>2084</v>
      </c>
      <c r="M1594" s="11" t="s">
        <v>8113</v>
      </c>
      <c r="N1594" s="11">
        <v>160776</v>
      </c>
      <c r="O1594" s="11">
        <v>54877</v>
      </c>
      <c r="P1594" s="11">
        <v>1</v>
      </c>
      <c r="Q1594" s="11" t="s">
        <v>8114</v>
      </c>
      <c r="R1594" s="14" t="s">
        <v>8115</v>
      </c>
      <c r="S1594" s="11">
        <v>402</v>
      </c>
      <c r="T1594" s="11" t="s">
        <v>39</v>
      </c>
      <c r="U1594" s="11" t="s">
        <v>40</v>
      </c>
      <c r="V1594" s="11" t="s">
        <v>96</v>
      </c>
      <c r="W1594" s="11">
        <v>30000000</v>
      </c>
      <c r="X1594" s="11">
        <v>2000</v>
      </c>
      <c r="Y1594" s="11">
        <v>18000</v>
      </c>
      <c r="Z1594" s="11">
        <v>7.8</v>
      </c>
      <c r="AA1594" s="11">
        <v>2.35</v>
      </c>
      <c r="AB1594" s="11">
        <v>0</v>
      </c>
      <c r="AC1594" s="11"/>
      <c r="AD1594" s="11" t="str">
        <f>IFERROR(__xludf.DUMMYFUNCTION("""COMPUTED_VALUE"""),"Eric Stoltz")</f>
        <v>Eric Stoltz</v>
      </c>
      <c r="AE1594" s="11"/>
    </row>
    <row r="1595" customHeight="1" spans="1:31">
      <c r="A1595" s="12" t="s">
        <v>30</v>
      </c>
      <c r="B1595" s="12" t="s">
        <v>1312</v>
      </c>
      <c r="C1595" s="12">
        <v>104</v>
      </c>
      <c r="D1595" s="12">
        <v>135</v>
      </c>
      <c r="E1595" s="12">
        <v>323</v>
      </c>
      <c r="F1595" s="12">
        <v>495</v>
      </c>
      <c r="G1595" s="12">
        <v>826</v>
      </c>
      <c r="H1595" s="12">
        <v>122012643</v>
      </c>
      <c r="I1595" s="12" t="s">
        <v>51</v>
      </c>
      <c r="J1595" s="12" t="s">
        <v>1320</v>
      </c>
      <c r="K1595" s="12" t="s">
        <v>1655</v>
      </c>
      <c r="L1595" s="12" t="s">
        <v>3696</v>
      </c>
      <c r="M1595" s="12" t="s">
        <v>8116</v>
      </c>
      <c r="N1595" s="12">
        <v>143696</v>
      </c>
      <c r="O1595" s="12">
        <v>2575</v>
      </c>
      <c r="P1595" s="12">
        <v>1</v>
      </c>
      <c r="Q1595" s="12" t="s">
        <v>8117</v>
      </c>
      <c r="R1595" s="15" t="s">
        <v>8118</v>
      </c>
      <c r="S1595" s="12">
        <v>241</v>
      </c>
      <c r="T1595" s="12" t="s">
        <v>39</v>
      </c>
      <c r="U1595" s="12" t="s">
        <v>40</v>
      </c>
      <c r="V1595" s="12" t="s">
        <v>96</v>
      </c>
      <c r="W1595" s="12">
        <v>30000000</v>
      </c>
      <c r="X1595" s="12">
        <v>1990</v>
      </c>
      <c r="Y1595" s="12">
        <v>692</v>
      </c>
      <c r="Z1595" s="12">
        <v>7.6</v>
      </c>
      <c r="AA1595" s="12">
        <v>2.35</v>
      </c>
      <c r="AB1595" s="12">
        <v>0</v>
      </c>
      <c r="AC1595" s="12"/>
      <c r="AD1595" s="12" t="str">
        <f>IFERROR(__xludf.DUMMYFUNCTION("""COMPUTED_VALUE"""),"Kari Wuhrer")</f>
        <v>Kari Wuhrer</v>
      </c>
      <c r="AE1595" s="12"/>
    </row>
    <row r="1596" customHeight="1" spans="1:31">
      <c r="A1596" s="11" t="s">
        <v>30</v>
      </c>
      <c r="B1596" s="11" t="s">
        <v>7038</v>
      </c>
      <c r="C1596" s="11">
        <v>304</v>
      </c>
      <c r="D1596" s="11">
        <v>132</v>
      </c>
      <c r="E1596" s="11">
        <v>304</v>
      </c>
      <c r="F1596" s="11">
        <v>898</v>
      </c>
      <c r="G1596" s="11">
        <v>15000</v>
      </c>
      <c r="H1596" s="11">
        <v>116631310</v>
      </c>
      <c r="I1596" s="11" t="s">
        <v>1544</v>
      </c>
      <c r="J1596" s="11" t="s">
        <v>5183</v>
      </c>
      <c r="K1596" s="11" t="s">
        <v>2039</v>
      </c>
      <c r="L1596" s="11" t="s">
        <v>2535</v>
      </c>
      <c r="M1596" s="11" t="s">
        <v>8119</v>
      </c>
      <c r="N1596" s="11">
        <v>87665</v>
      </c>
      <c r="O1596" s="11">
        <v>20035</v>
      </c>
      <c r="P1596" s="11">
        <v>0</v>
      </c>
      <c r="Q1596" s="11" t="s">
        <v>8120</v>
      </c>
      <c r="R1596" s="14" t="s">
        <v>8121</v>
      </c>
      <c r="S1596" s="11">
        <v>323</v>
      </c>
      <c r="T1596" s="11" t="s">
        <v>39</v>
      </c>
      <c r="U1596" s="11" t="s">
        <v>40</v>
      </c>
      <c r="V1596" s="11" t="s">
        <v>41</v>
      </c>
      <c r="W1596" s="11">
        <v>30000000</v>
      </c>
      <c r="X1596" s="11">
        <v>2013</v>
      </c>
      <c r="Y1596" s="11">
        <v>1000</v>
      </c>
      <c r="Z1596" s="11">
        <v>7.2</v>
      </c>
      <c r="AA1596" s="11">
        <v>1.85</v>
      </c>
      <c r="AB1596" s="11">
        <v>41000</v>
      </c>
      <c r="AC1596" s="11"/>
      <c r="AD1596" s="11" t="str">
        <f>IFERROR(__xludf.DUMMYFUNCTION("""COMPUTED_VALUE"""),"Tyra Banks")</f>
        <v>Tyra Banks</v>
      </c>
      <c r="AE1596" s="11"/>
    </row>
    <row r="1597" customHeight="1" spans="1:31">
      <c r="A1597" s="12" t="s">
        <v>748</v>
      </c>
      <c r="B1597" s="12" t="s">
        <v>5060</v>
      </c>
      <c r="C1597" s="12">
        <v>191</v>
      </c>
      <c r="D1597" s="12">
        <v>92</v>
      </c>
      <c r="E1597" s="12">
        <v>43</v>
      </c>
      <c r="F1597" s="12">
        <v>936</v>
      </c>
      <c r="G1597" s="12">
        <v>989</v>
      </c>
      <c r="H1597" s="12">
        <v>114324072</v>
      </c>
      <c r="I1597" s="12" t="s">
        <v>3914</v>
      </c>
      <c r="J1597" s="12" t="s">
        <v>3230</v>
      </c>
      <c r="K1597" s="12" t="s">
        <v>1147</v>
      </c>
      <c r="L1597" s="12" t="s">
        <v>34</v>
      </c>
      <c r="M1597" s="12" t="s">
        <v>8122</v>
      </c>
      <c r="N1597" s="12">
        <v>185338</v>
      </c>
      <c r="O1597" s="12">
        <v>4730</v>
      </c>
      <c r="P1597" s="12">
        <v>0</v>
      </c>
      <c r="Q1597" s="12" t="s">
        <v>8123</v>
      </c>
      <c r="R1597" s="15" t="s">
        <v>8124</v>
      </c>
      <c r="S1597" s="12">
        <v>392</v>
      </c>
      <c r="T1597" s="12" t="s">
        <v>39</v>
      </c>
      <c r="U1597" s="12" t="s">
        <v>40</v>
      </c>
      <c r="V1597" s="12" t="s">
        <v>41</v>
      </c>
      <c r="W1597" s="12">
        <v>20000000</v>
      </c>
      <c r="X1597" s="12">
        <v>2004</v>
      </c>
      <c r="Y1597" s="12">
        <v>939</v>
      </c>
      <c r="Z1597" s="12">
        <v>6.7</v>
      </c>
      <c r="AA1597" s="12">
        <v>2.35</v>
      </c>
      <c r="AB1597" s="12">
        <v>0</v>
      </c>
      <c r="AC1597" s="12"/>
      <c r="AD1597" s="12" t="str">
        <f>IFERROR(__xludf.DUMMYFUNCTION("""COMPUTED_VALUE"""),"Izabella Miko")</f>
        <v>Izabella Miko</v>
      </c>
      <c r="AE1597" s="12"/>
    </row>
    <row r="1598" customHeight="1" spans="1:31">
      <c r="A1598" s="11" t="s">
        <v>30</v>
      </c>
      <c r="B1598" s="11" t="s">
        <v>164</v>
      </c>
      <c r="C1598" s="11">
        <v>55</v>
      </c>
      <c r="D1598" s="11">
        <v>99</v>
      </c>
      <c r="E1598" s="11">
        <v>188</v>
      </c>
      <c r="F1598" s="11">
        <v>436</v>
      </c>
      <c r="G1598" s="11">
        <v>1000</v>
      </c>
      <c r="H1598" s="11">
        <v>113502246</v>
      </c>
      <c r="I1598" s="11" t="s">
        <v>2787</v>
      </c>
      <c r="J1598" s="11" t="s">
        <v>3981</v>
      </c>
      <c r="K1598" s="11" t="s">
        <v>7453</v>
      </c>
      <c r="L1598" s="11" t="s">
        <v>8125</v>
      </c>
      <c r="M1598" s="11" t="s">
        <v>8126</v>
      </c>
      <c r="N1598" s="11">
        <v>96607</v>
      </c>
      <c r="O1598" s="11">
        <v>3696</v>
      </c>
      <c r="P1598" s="11">
        <v>0</v>
      </c>
      <c r="Q1598" s="11" t="s">
        <v>8127</v>
      </c>
      <c r="R1598" s="14" t="s">
        <v>8128</v>
      </c>
      <c r="S1598" s="11">
        <v>125</v>
      </c>
      <c r="T1598" s="11" t="s">
        <v>39</v>
      </c>
      <c r="U1598" s="11" t="s">
        <v>40</v>
      </c>
      <c r="V1598" s="11" t="s">
        <v>41</v>
      </c>
      <c r="W1598" s="11">
        <v>38000000</v>
      </c>
      <c r="X1598" s="11">
        <v>1991</v>
      </c>
      <c r="Y1598" s="11">
        <v>1000</v>
      </c>
      <c r="Z1598" s="11">
        <v>6.8</v>
      </c>
      <c r="AA1598" s="11">
        <v>1.85</v>
      </c>
      <c r="AB1598" s="11">
        <v>5000</v>
      </c>
      <c r="AC1598" s="11"/>
      <c r="AD1598" s="11" t="str">
        <f>IFERROR(__xludf.DUMMYFUNCTION("""COMPUTED_VALUE"""),"Kris Marshall")</f>
        <v>Kris Marshall</v>
      </c>
      <c r="AE1598" s="11"/>
    </row>
    <row r="1599" customHeight="1" spans="1:31">
      <c r="A1599" s="12" t="s">
        <v>30</v>
      </c>
      <c r="B1599" s="12" t="s">
        <v>4983</v>
      </c>
      <c r="C1599" s="12">
        <v>59</v>
      </c>
      <c r="D1599" s="12">
        <v>90</v>
      </c>
      <c r="E1599" s="12">
        <v>176</v>
      </c>
      <c r="F1599" s="12">
        <v>460</v>
      </c>
      <c r="G1599" s="12">
        <v>531</v>
      </c>
      <c r="H1599" s="12">
        <v>108360000</v>
      </c>
      <c r="I1599" s="12" t="s">
        <v>4220</v>
      </c>
      <c r="J1599" s="12" t="s">
        <v>743</v>
      </c>
      <c r="K1599" s="12" t="s">
        <v>1348</v>
      </c>
      <c r="L1599" s="12" t="s">
        <v>4128</v>
      </c>
      <c r="M1599" s="12" t="s">
        <v>8129</v>
      </c>
      <c r="N1599" s="12">
        <v>160321</v>
      </c>
      <c r="O1599" s="12">
        <v>2203</v>
      </c>
      <c r="P1599" s="12">
        <v>0</v>
      </c>
      <c r="Q1599" s="12" t="s">
        <v>8130</v>
      </c>
      <c r="R1599" s="15" t="s">
        <v>8131</v>
      </c>
      <c r="S1599" s="12">
        <v>178</v>
      </c>
      <c r="T1599" s="12" t="s">
        <v>39</v>
      </c>
      <c r="U1599" s="12" t="s">
        <v>40</v>
      </c>
      <c r="V1599" s="12" t="s">
        <v>41</v>
      </c>
      <c r="W1599" s="12">
        <v>30000000</v>
      </c>
      <c r="X1599" s="12">
        <v>1995</v>
      </c>
      <c r="Y1599" s="12">
        <v>461</v>
      </c>
      <c r="Z1599" s="12">
        <v>6.3</v>
      </c>
      <c r="AA1599" s="12">
        <v>2.35</v>
      </c>
      <c r="AB1599" s="12">
        <v>0</v>
      </c>
      <c r="AC1599" s="12"/>
      <c r="AD1599" s="12" t="str">
        <f>IFERROR(__xludf.DUMMYFUNCTION("""COMPUTED_VALUE"""),"Madeline Kahn")</f>
        <v>Madeline Kahn</v>
      </c>
      <c r="AE1599" s="12"/>
    </row>
    <row r="1600" customHeight="1" spans="1:31">
      <c r="A1600" s="11" t="s">
        <v>30</v>
      </c>
      <c r="B1600" s="11" t="s">
        <v>3304</v>
      </c>
      <c r="C1600" s="11">
        <v>108</v>
      </c>
      <c r="D1600" s="11">
        <v>111</v>
      </c>
      <c r="E1600" s="11">
        <v>0</v>
      </c>
      <c r="F1600" s="11">
        <v>529</v>
      </c>
      <c r="G1600" s="11">
        <v>11000</v>
      </c>
      <c r="H1600" s="11">
        <v>108244774</v>
      </c>
      <c r="I1600" s="11" t="s">
        <v>2717</v>
      </c>
      <c r="J1600" s="11" t="s">
        <v>257</v>
      </c>
      <c r="K1600" s="11" t="s">
        <v>3305</v>
      </c>
      <c r="L1600" s="11" t="s">
        <v>8132</v>
      </c>
      <c r="M1600" s="11" t="s">
        <v>8133</v>
      </c>
      <c r="N1600" s="11">
        <v>94049</v>
      </c>
      <c r="O1600" s="11">
        <v>13645</v>
      </c>
      <c r="P1600" s="11">
        <v>2</v>
      </c>
      <c r="Q1600" s="11" t="s">
        <v>8134</v>
      </c>
      <c r="R1600" s="14" t="s">
        <v>8135</v>
      </c>
      <c r="S1600" s="11">
        <v>301</v>
      </c>
      <c r="T1600" s="11" t="s">
        <v>39</v>
      </c>
      <c r="U1600" s="11" t="s">
        <v>40</v>
      </c>
      <c r="V1600" s="11" t="s">
        <v>278</v>
      </c>
      <c r="W1600" s="11">
        <v>37000000</v>
      </c>
      <c r="X1600" s="11">
        <v>2001</v>
      </c>
      <c r="Y1600" s="11">
        <v>995</v>
      </c>
      <c r="Z1600" s="11">
        <v>6.2</v>
      </c>
      <c r="AA1600" s="11">
        <v>1.85</v>
      </c>
      <c r="AB1600" s="11">
        <v>0</v>
      </c>
      <c r="AC1600" s="11"/>
      <c r="AD1600" s="11" t="str">
        <f>IFERROR(__xludf.DUMMYFUNCTION("""COMPUTED_VALUE"""),"Ian Richardson")</f>
        <v>Ian Richardson</v>
      </c>
      <c r="AE1600" s="11"/>
    </row>
    <row r="1601" customHeight="1" spans="1:31">
      <c r="A1601" s="12" t="s">
        <v>30</v>
      </c>
      <c r="B1601" s="12" t="s">
        <v>7499</v>
      </c>
      <c r="C1601" s="12">
        <v>50</v>
      </c>
      <c r="D1601" s="12">
        <v>103</v>
      </c>
      <c r="E1601" s="12">
        <v>37</v>
      </c>
      <c r="F1601" s="12">
        <v>452</v>
      </c>
      <c r="G1601" s="12">
        <v>944</v>
      </c>
      <c r="H1601" s="12">
        <v>105444419</v>
      </c>
      <c r="I1601" s="12" t="s">
        <v>1672</v>
      </c>
      <c r="J1601" s="12" t="s">
        <v>4136</v>
      </c>
      <c r="K1601" s="12" t="s">
        <v>6720</v>
      </c>
      <c r="L1601" s="12" t="s">
        <v>1828</v>
      </c>
      <c r="M1601" s="12" t="s">
        <v>8136</v>
      </c>
      <c r="N1601" s="12">
        <v>31817</v>
      </c>
      <c r="O1601" s="12">
        <v>3143</v>
      </c>
      <c r="P1601" s="12">
        <v>3</v>
      </c>
      <c r="Q1601" s="12" t="s">
        <v>8137</v>
      </c>
      <c r="R1601" s="15" t="s">
        <v>8138</v>
      </c>
      <c r="S1601" s="12">
        <v>117</v>
      </c>
      <c r="T1601" s="12" t="s">
        <v>39</v>
      </c>
      <c r="U1601" s="12" t="s">
        <v>40</v>
      </c>
      <c r="V1601" s="12" t="s">
        <v>96</v>
      </c>
      <c r="W1601" s="12">
        <v>26000000</v>
      </c>
      <c r="X1601" s="12">
        <v>1996</v>
      </c>
      <c r="Y1601" s="12">
        <v>893</v>
      </c>
      <c r="Z1601" s="12">
        <v>6.2</v>
      </c>
      <c r="AA1601" s="12">
        <v>1.85</v>
      </c>
      <c r="AB1601" s="12">
        <v>0</v>
      </c>
      <c r="AC1601" s="12"/>
      <c r="AD1601" s="12" t="str">
        <f>IFERROR(__xludf.DUMMYFUNCTION("""COMPUTED_VALUE"""),"Rod Steiger")</f>
        <v>Rod Steiger</v>
      </c>
      <c r="AE1601" s="12"/>
    </row>
    <row r="1602" customHeight="1" spans="1:31">
      <c r="A1602" s="11" t="s">
        <v>30</v>
      </c>
      <c r="B1602" s="11" t="s">
        <v>686</v>
      </c>
      <c r="C1602" s="11">
        <v>216</v>
      </c>
      <c r="D1602" s="11">
        <v>127</v>
      </c>
      <c r="E1602" s="11">
        <v>21000</v>
      </c>
      <c r="F1602" s="11">
        <v>360</v>
      </c>
      <c r="G1602" s="11">
        <v>11000</v>
      </c>
      <c r="H1602" s="11">
        <v>100125340</v>
      </c>
      <c r="I1602" s="11" t="s">
        <v>2142</v>
      </c>
      <c r="J1602" s="11" t="s">
        <v>466</v>
      </c>
      <c r="K1602" s="11" t="s">
        <v>343</v>
      </c>
      <c r="L1602" s="11" t="s">
        <v>1503</v>
      </c>
      <c r="M1602" s="11" t="s">
        <v>8139</v>
      </c>
      <c r="N1602" s="11">
        <v>1023511</v>
      </c>
      <c r="O1602" s="11">
        <v>22678</v>
      </c>
      <c r="P1602" s="11">
        <v>0</v>
      </c>
      <c r="Q1602" s="11" t="s">
        <v>8140</v>
      </c>
      <c r="R1602" s="14" t="s">
        <v>8141</v>
      </c>
      <c r="S1602" s="11">
        <v>1080</v>
      </c>
      <c r="T1602" s="11" t="s">
        <v>39</v>
      </c>
      <c r="U1602" s="11" t="s">
        <v>40</v>
      </c>
      <c r="V1602" s="11" t="s">
        <v>586</v>
      </c>
      <c r="W1602" s="11">
        <v>33000000</v>
      </c>
      <c r="X1602" s="11">
        <v>1995</v>
      </c>
      <c r="Y1602" s="11">
        <v>11000</v>
      </c>
      <c r="Z1602" s="11">
        <v>8.6</v>
      </c>
      <c r="AA1602" s="11">
        <v>2.35</v>
      </c>
      <c r="AB1602" s="11">
        <v>39000</v>
      </c>
      <c r="AC1602" s="11"/>
      <c r="AD1602" s="11" t="str">
        <f>IFERROR(__xludf.DUMMYFUNCTION("""COMPUTED_VALUE"""),"Emilio Estefan Jr.")</f>
        <v>Emilio Estefan Jr.</v>
      </c>
      <c r="AE1602" s="11"/>
    </row>
    <row r="1603" customHeight="1" spans="1:31">
      <c r="A1603" s="12" t="s">
        <v>30</v>
      </c>
      <c r="B1603" s="12" t="s">
        <v>1390</v>
      </c>
      <c r="C1603" s="12">
        <v>472</v>
      </c>
      <c r="D1603" s="12">
        <v>112</v>
      </c>
      <c r="E1603" s="12">
        <v>662</v>
      </c>
      <c r="F1603" s="12">
        <v>107</v>
      </c>
      <c r="G1603" s="12">
        <v>2000</v>
      </c>
      <c r="H1603" s="12">
        <v>115646235</v>
      </c>
      <c r="I1603" s="12" t="s">
        <v>2813</v>
      </c>
      <c r="J1603" s="12" t="s">
        <v>566</v>
      </c>
      <c r="K1603" s="12" t="s">
        <v>6186</v>
      </c>
      <c r="L1603" s="12" t="s">
        <v>2485</v>
      </c>
      <c r="M1603" s="12" t="s">
        <v>8142</v>
      </c>
      <c r="N1603" s="12">
        <v>531737</v>
      </c>
      <c r="O1603" s="12">
        <v>2639</v>
      </c>
      <c r="P1603" s="12">
        <v>0</v>
      </c>
      <c r="Q1603" s="12" t="s">
        <v>8143</v>
      </c>
      <c r="R1603" s="15" t="s">
        <v>8144</v>
      </c>
      <c r="S1603" s="12">
        <v>1262</v>
      </c>
      <c r="T1603" s="12" t="s">
        <v>39</v>
      </c>
      <c r="U1603" s="12" t="s">
        <v>8145</v>
      </c>
      <c r="V1603" s="12" t="s">
        <v>586</v>
      </c>
      <c r="W1603" s="12">
        <v>30000000</v>
      </c>
      <c r="X1603" s="12">
        <v>2009</v>
      </c>
      <c r="Y1603" s="12">
        <v>433</v>
      </c>
      <c r="Z1603" s="12">
        <v>8</v>
      </c>
      <c r="AA1603" s="12">
        <v>1.85</v>
      </c>
      <c r="AB1603" s="12">
        <v>22000</v>
      </c>
      <c r="AC1603" s="12"/>
      <c r="AD1603" s="12" t="str">
        <f>IFERROR(__xludf.DUMMYFUNCTION("""COMPUTED_VALUE"""),"Lucille Ball")</f>
        <v>Lucille Ball</v>
      </c>
      <c r="AE1603" s="12"/>
    </row>
    <row r="1604" customHeight="1" spans="1:31">
      <c r="A1604" s="11" t="s">
        <v>30</v>
      </c>
      <c r="B1604" s="11" t="s">
        <v>8146</v>
      </c>
      <c r="C1604" s="11">
        <v>89</v>
      </c>
      <c r="D1604" s="11">
        <v>87</v>
      </c>
      <c r="E1604" s="11">
        <v>47</v>
      </c>
      <c r="F1604" s="11">
        <v>217</v>
      </c>
      <c r="G1604" s="11">
        <v>19000</v>
      </c>
      <c r="H1604" s="11">
        <v>85416609</v>
      </c>
      <c r="I1604" s="11" t="s">
        <v>271</v>
      </c>
      <c r="J1604" s="11" t="s">
        <v>100</v>
      </c>
      <c r="K1604" s="11" t="s">
        <v>1773</v>
      </c>
      <c r="L1604" s="11" t="s">
        <v>8147</v>
      </c>
      <c r="M1604" s="11" t="s">
        <v>8148</v>
      </c>
      <c r="N1604" s="11">
        <v>58906</v>
      </c>
      <c r="O1604" s="11">
        <v>20097</v>
      </c>
      <c r="P1604" s="11">
        <v>0</v>
      </c>
      <c r="Q1604" s="11" t="s">
        <v>8149</v>
      </c>
      <c r="R1604" s="14" t="s">
        <v>8150</v>
      </c>
      <c r="S1604" s="11">
        <v>186</v>
      </c>
      <c r="T1604" s="11" t="s">
        <v>39</v>
      </c>
      <c r="U1604" s="11" t="s">
        <v>40</v>
      </c>
      <c r="V1604" s="11" t="s">
        <v>96</v>
      </c>
      <c r="W1604" s="11">
        <v>30000000</v>
      </c>
      <c r="X1604" s="11">
        <v>2004</v>
      </c>
      <c r="Y1604" s="11">
        <v>542</v>
      </c>
      <c r="Z1604" s="11">
        <v>7</v>
      </c>
      <c r="AA1604" s="11">
        <v>1.85</v>
      </c>
      <c r="AB1604" s="11">
        <v>0</v>
      </c>
      <c r="AC1604" s="11"/>
      <c r="AD1604" s="11" t="str">
        <f>IFERROR(__xludf.DUMMYFUNCTION("""COMPUTED_VALUE"""),"Tom Bosley")</f>
        <v>Tom Bosley</v>
      </c>
      <c r="AE1604" s="11"/>
    </row>
    <row r="1605" customHeight="1" spans="1:31">
      <c r="A1605" s="12" t="s">
        <v>30</v>
      </c>
      <c r="B1605" s="12" t="s">
        <v>3695</v>
      </c>
      <c r="C1605" s="12">
        <v>229</v>
      </c>
      <c r="D1605" s="12">
        <v>138</v>
      </c>
      <c r="E1605" s="12">
        <v>16000</v>
      </c>
      <c r="F1605" s="12">
        <v>262</v>
      </c>
      <c r="G1605" s="12">
        <v>616</v>
      </c>
      <c r="H1605" s="12">
        <v>90135191</v>
      </c>
      <c r="I1605" s="12" t="s">
        <v>2142</v>
      </c>
      <c r="J1605" s="12" t="s">
        <v>6701</v>
      </c>
      <c r="K1605" s="12" t="s">
        <v>8151</v>
      </c>
      <c r="L1605" s="12" t="s">
        <v>8152</v>
      </c>
      <c r="M1605" s="12" t="s">
        <v>8153</v>
      </c>
      <c r="N1605" s="12">
        <v>338415</v>
      </c>
      <c r="O1605" s="12">
        <v>1942</v>
      </c>
      <c r="P1605" s="12">
        <v>0</v>
      </c>
      <c r="Q1605" s="12" t="s">
        <v>8154</v>
      </c>
      <c r="R1605" s="15" t="s">
        <v>8155</v>
      </c>
      <c r="S1605" s="12">
        <v>935</v>
      </c>
      <c r="T1605" s="12" t="s">
        <v>39</v>
      </c>
      <c r="U1605" s="12" t="s">
        <v>40</v>
      </c>
      <c r="V1605" s="12" t="s">
        <v>586</v>
      </c>
      <c r="W1605" s="12">
        <v>25000000</v>
      </c>
      <c r="X1605" s="12">
        <v>2003</v>
      </c>
      <c r="Y1605" s="12">
        <v>541</v>
      </c>
      <c r="Z1605" s="12">
        <v>8</v>
      </c>
      <c r="AA1605" s="12">
        <v>2.35</v>
      </c>
      <c r="AB1605" s="12">
        <v>12000</v>
      </c>
      <c r="AC1605" s="12"/>
      <c r="AD1605" s="12" t="str">
        <f>IFERROR(__xludf.DUMMYFUNCTION("""COMPUTED_VALUE"""),"Nick Zano")</f>
        <v>Nick Zano</v>
      </c>
      <c r="AE1605" s="12"/>
    </row>
    <row r="1606" customHeight="1" spans="1:31">
      <c r="A1606" s="11" t="s">
        <v>30</v>
      </c>
      <c r="B1606" s="11" t="s">
        <v>3695</v>
      </c>
      <c r="C1606" s="11">
        <v>268</v>
      </c>
      <c r="D1606" s="11">
        <v>132</v>
      </c>
      <c r="E1606" s="11">
        <v>16000</v>
      </c>
      <c r="F1606" s="11">
        <v>567</v>
      </c>
      <c r="G1606" s="11">
        <v>16000</v>
      </c>
      <c r="H1606" s="11">
        <v>100422786</v>
      </c>
      <c r="I1606" s="11" t="s">
        <v>3794</v>
      </c>
      <c r="J1606" s="11" t="s">
        <v>3695</v>
      </c>
      <c r="K1606" s="11" t="s">
        <v>466</v>
      </c>
      <c r="L1606" s="11" t="s">
        <v>8156</v>
      </c>
      <c r="M1606" s="11" t="s">
        <v>8157</v>
      </c>
      <c r="N1606" s="11">
        <v>482064</v>
      </c>
      <c r="O1606" s="11">
        <v>28830</v>
      </c>
      <c r="P1606" s="11">
        <v>1</v>
      </c>
      <c r="Q1606" s="11" t="s">
        <v>8158</v>
      </c>
      <c r="R1606" s="14" t="s">
        <v>8159</v>
      </c>
      <c r="S1606" s="11">
        <v>1106</v>
      </c>
      <c r="T1606" s="11" t="s">
        <v>39</v>
      </c>
      <c r="U1606" s="11" t="s">
        <v>40</v>
      </c>
      <c r="V1606" s="11" t="s">
        <v>41</v>
      </c>
      <c r="W1606" s="11">
        <v>30000000</v>
      </c>
      <c r="X1606" s="11">
        <v>2004</v>
      </c>
      <c r="Y1606" s="11">
        <v>11000</v>
      </c>
      <c r="Z1606" s="11">
        <v>8.1</v>
      </c>
      <c r="AA1606" s="11">
        <v>2.35</v>
      </c>
      <c r="AB1606" s="11">
        <v>14000</v>
      </c>
      <c r="AC1606" s="11"/>
      <c r="AD1606" s="11" t="str">
        <f>IFERROR(__xludf.DUMMYFUNCTION("""COMPUTED_VALUE"""),"James Tumminia")</f>
        <v>James Tumminia</v>
      </c>
      <c r="AE1606" s="11"/>
    </row>
    <row r="1607" customHeight="1" spans="1:31">
      <c r="A1607" s="12" t="s">
        <v>30</v>
      </c>
      <c r="B1607" s="12" t="s">
        <v>4219</v>
      </c>
      <c r="C1607" s="12">
        <v>145</v>
      </c>
      <c r="D1607" s="12">
        <v>103</v>
      </c>
      <c r="E1607" s="12">
        <v>11000</v>
      </c>
      <c r="F1607" s="12">
        <v>636</v>
      </c>
      <c r="G1607" s="12">
        <v>22000</v>
      </c>
      <c r="H1607" s="12">
        <v>106694016</v>
      </c>
      <c r="I1607" s="12" t="s">
        <v>1009</v>
      </c>
      <c r="J1607" s="12" t="s">
        <v>1746</v>
      </c>
      <c r="K1607" s="12" t="s">
        <v>1654</v>
      </c>
      <c r="L1607" s="12" t="s">
        <v>1334</v>
      </c>
      <c r="M1607" s="12" t="s">
        <v>8160</v>
      </c>
      <c r="N1607" s="12">
        <v>123940</v>
      </c>
      <c r="O1607" s="12">
        <v>24333</v>
      </c>
      <c r="P1607" s="12">
        <v>2</v>
      </c>
      <c r="Q1607" s="12" t="s">
        <v>8161</v>
      </c>
      <c r="R1607" s="15" t="s">
        <v>8162</v>
      </c>
      <c r="S1607" s="12">
        <v>337</v>
      </c>
      <c r="T1607" s="12" t="s">
        <v>39</v>
      </c>
      <c r="U1607" s="12" t="s">
        <v>40</v>
      </c>
      <c r="V1607" s="12" t="s">
        <v>586</v>
      </c>
      <c r="W1607" s="12">
        <v>30000000</v>
      </c>
      <c r="X1607" s="12">
        <v>1999</v>
      </c>
      <c r="Y1607" s="12">
        <v>979</v>
      </c>
      <c r="Z1607" s="12">
        <v>6.7</v>
      </c>
      <c r="AA1607" s="12">
        <v>1.85</v>
      </c>
      <c r="AB1607" s="12">
        <v>0</v>
      </c>
      <c r="AC1607" s="12"/>
      <c r="AD1607" s="12" t="str">
        <f>IFERROR(__xludf.DUMMYFUNCTION("""COMPUTED_VALUE"""),"Joel McHale")</f>
        <v>Joel McHale</v>
      </c>
      <c r="AE1607" s="12"/>
    </row>
    <row r="1608" customHeight="1" spans="1:31">
      <c r="A1608" s="11" t="s">
        <v>30</v>
      </c>
      <c r="B1608" s="11" t="s">
        <v>6397</v>
      </c>
      <c r="C1608" s="11">
        <v>177</v>
      </c>
      <c r="D1608" s="11">
        <v>123</v>
      </c>
      <c r="E1608" s="11">
        <v>415</v>
      </c>
      <c r="F1608" s="11">
        <v>545</v>
      </c>
      <c r="G1608" s="11">
        <v>33000</v>
      </c>
      <c r="H1608" s="11">
        <v>64286</v>
      </c>
      <c r="I1608" s="11" t="s">
        <v>214</v>
      </c>
      <c r="J1608" s="11" t="s">
        <v>4214</v>
      </c>
      <c r="K1608" s="11" t="s">
        <v>7345</v>
      </c>
      <c r="L1608" s="11" t="s">
        <v>6491</v>
      </c>
      <c r="M1608" s="11" t="s">
        <v>8163</v>
      </c>
      <c r="N1608" s="11">
        <v>396396</v>
      </c>
      <c r="O1608" s="11">
        <v>34495</v>
      </c>
      <c r="P1608" s="11">
        <v>0</v>
      </c>
      <c r="Q1608" s="11" t="s">
        <v>8164</v>
      </c>
      <c r="R1608" s="14" t="s">
        <v>8165</v>
      </c>
      <c r="S1608" s="11">
        <v>1111</v>
      </c>
      <c r="T1608" s="11" t="s">
        <v>39</v>
      </c>
      <c r="U1608" s="11" t="s">
        <v>40</v>
      </c>
      <c r="V1608" s="11" t="s">
        <v>41</v>
      </c>
      <c r="W1608" s="11">
        <v>29000000</v>
      </c>
      <c r="X1608" s="11">
        <v>2004</v>
      </c>
      <c r="Y1608" s="11">
        <v>638</v>
      </c>
      <c r="Z1608" s="11">
        <v>7.9</v>
      </c>
      <c r="AA1608" s="11">
        <v>2.35</v>
      </c>
      <c r="AB1608" s="11">
        <v>57000</v>
      </c>
      <c r="AC1608" s="11"/>
      <c r="AD1608" s="11" t="str">
        <f>IFERROR(__xludf.DUMMYFUNCTION("""COMPUTED_VALUE"""),"William Lucking")</f>
        <v>William Lucking</v>
      </c>
      <c r="AE1608" s="11"/>
    </row>
    <row r="1609" customHeight="1" spans="1:31">
      <c r="A1609" s="12" t="s">
        <v>30</v>
      </c>
      <c r="B1609" s="12" t="s">
        <v>6245</v>
      </c>
      <c r="C1609" s="12">
        <v>175</v>
      </c>
      <c r="D1609" s="12">
        <v>111</v>
      </c>
      <c r="E1609" s="12">
        <v>98</v>
      </c>
      <c r="F1609" s="12">
        <v>71</v>
      </c>
      <c r="G1609" s="12">
        <v>2000</v>
      </c>
      <c r="H1609" s="12">
        <v>76806312</v>
      </c>
      <c r="I1609" s="12" t="s">
        <v>1681</v>
      </c>
      <c r="J1609" s="12" t="s">
        <v>236</v>
      </c>
      <c r="K1609" s="12" t="s">
        <v>8166</v>
      </c>
      <c r="L1609" s="12" t="s">
        <v>8167</v>
      </c>
      <c r="M1609" s="12" t="s">
        <v>8168</v>
      </c>
      <c r="N1609" s="12">
        <v>124501</v>
      </c>
      <c r="O1609" s="12">
        <v>2978</v>
      </c>
      <c r="P1609" s="12">
        <v>1</v>
      </c>
      <c r="Q1609" s="12" t="s">
        <v>8169</v>
      </c>
      <c r="R1609" s="15" t="s">
        <v>8170</v>
      </c>
      <c r="S1609" s="12">
        <v>154</v>
      </c>
      <c r="T1609" s="12" t="s">
        <v>39</v>
      </c>
      <c r="U1609" s="12" t="s">
        <v>40</v>
      </c>
      <c r="V1609" s="12" t="s">
        <v>41</v>
      </c>
      <c r="W1609" s="12">
        <v>30000000</v>
      </c>
      <c r="X1609" s="12">
        <v>2008</v>
      </c>
      <c r="Y1609" s="12">
        <v>805</v>
      </c>
      <c r="Z1609" s="12">
        <v>6.1</v>
      </c>
      <c r="AA1609" s="12">
        <v>2.35</v>
      </c>
      <c r="AB1609" s="12">
        <v>0</v>
      </c>
      <c r="AC1609" s="12"/>
      <c r="AD1609" s="12" t="str">
        <f>IFERROR(__xludf.DUMMYFUNCTION("""COMPUTED_VALUE"""),"Vincent Kartheiser")</f>
        <v>Vincent Kartheiser</v>
      </c>
      <c r="AE1609" s="12"/>
    </row>
    <row r="1610" customHeight="1" spans="1:31">
      <c r="A1610" s="11" t="s">
        <v>30</v>
      </c>
      <c r="B1610" s="11" t="s">
        <v>1680</v>
      </c>
      <c r="C1610" s="11">
        <v>131</v>
      </c>
      <c r="D1610" s="11">
        <v>102</v>
      </c>
      <c r="E1610" s="11">
        <v>23</v>
      </c>
      <c r="F1610" s="11">
        <v>635</v>
      </c>
      <c r="G1610" s="11">
        <v>1000</v>
      </c>
      <c r="H1610" s="11">
        <v>79566871</v>
      </c>
      <c r="I1610" s="11" t="s">
        <v>8171</v>
      </c>
      <c r="J1610" s="11" t="s">
        <v>6970</v>
      </c>
      <c r="K1610" s="11" t="s">
        <v>1760</v>
      </c>
      <c r="L1610" s="11" t="s">
        <v>1613</v>
      </c>
      <c r="M1610" s="11" t="s">
        <v>8172</v>
      </c>
      <c r="N1610" s="11">
        <v>31760</v>
      </c>
      <c r="O1610" s="11">
        <v>4516</v>
      </c>
      <c r="P1610" s="11">
        <v>2</v>
      </c>
      <c r="Q1610" s="11" t="s">
        <v>8173</v>
      </c>
      <c r="R1610" s="14" t="s">
        <v>8174</v>
      </c>
      <c r="S1610" s="11">
        <v>140</v>
      </c>
      <c r="T1610" s="11" t="s">
        <v>39</v>
      </c>
      <c r="U1610" s="11" t="s">
        <v>40</v>
      </c>
      <c r="V1610" s="11" t="s">
        <v>278</v>
      </c>
      <c r="W1610" s="11">
        <v>30000000</v>
      </c>
      <c r="X1610" s="11">
        <v>2009</v>
      </c>
      <c r="Y1610" s="11">
        <v>1000</v>
      </c>
      <c r="Z1610" s="11">
        <v>4.2</v>
      </c>
      <c r="AA1610" s="11">
        <v>1.85</v>
      </c>
      <c r="AB1610" s="11">
        <v>0</v>
      </c>
      <c r="AC1610" s="11"/>
      <c r="AD1610" s="11" t="str">
        <f>IFERROR(__xludf.DUMMYFUNCTION("""COMPUTED_VALUE"""),"Demián Bichir")</f>
        <v>Demián Bichir</v>
      </c>
      <c r="AE1610" s="11"/>
    </row>
    <row r="1611" customHeight="1" spans="1:31">
      <c r="A1611" s="12" t="s">
        <v>30</v>
      </c>
      <c r="B1611" s="12" t="s">
        <v>8175</v>
      </c>
      <c r="C1611" s="12">
        <v>41</v>
      </c>
      <c r="D1611" s="12">
        <v>78</v>
      </c>
      <c r="E1611" s="12">
        <v>0</v>
      </c>
      <c r="F1611" s="12">
        <v>786</v>
      </c>
      <c r="G1611" s="12">
        <v>971</v>
      </c>
      <c r="H1611" s="12">
        <v>76501438</v>
      </c>
      <c r="I1611" s="12" t="s">
        <v>1985</v>
      </c>
      <c r="J1611" s="12" t="s">
        <v>2315</v>
      </c>
      <c r="K1611" s="12" t="s">
        <v>8176</v>
      </c>
      <c r="L1611" s="12" t="s">
        <v>6173</v>
      </c>
      <c r="M1611" s="12" t="s">
        <v>8177</v>
      </c>
      <c r="N1611" s="12">
        <v>8146</v>
      </c>
      <c r="O1611" s="12">
        <v>4527</v>
      </c>
      <c r="P1611" s="12">
        <v>0</v>
      </c>
      <c r="Q1611" s="12" t="s">
        <v>8178</v>
      </c>
      <c r="R1611" s="15" t="s">
        <v>8179</v>
      </c>
      <c r="S1611" s="12">
        <v>49</v>
      </c>
      <c r="T1611" s="12" t="s">
        <v>39</v>
      </c>
      <c r="U1611" s="12" t="s">
        <v>768</v>
      </c>
      <c r="V1611" s="12" t="s">
        <v>278</v>
      </c>
      <c r="W1611" s="12">
        <v>30000000</v>
      </c>
      <c r="X1611" s="12">
        <v>2000</v>
      </c>
      <c r="Y1611" s="12">
        <v>844</v>
      </c>
      <c r="Z1611" s="12">
        <v>6.1</v>
      </c>
      <c r="AA1611" s="12">
        <v>1.85</v>
      </c>
      <c r="AB1611" s="12">
        <v>181</v>
      </c>
      <c r="AC1611" s="12"/>
      <c r="AD1611" s="12" t="str">
        <f>IFERROR(__xludf.DUMMYFUNCTION("""COMPUTED_VALUE"""),"Shea Whigham")</f>
        <v>Shea Whigham</v>
      </c>
      <c r="AE1611" s="12"/>
    </row>
    <row r="1612" customHeight="1" spans="1:31">
      <c r="A1612" s="11" t="s">
        <v>30</v>
      </c>
      <c r="B1612" s="11" t="s">
        <v>6127</v>
      </c>
      <c r="C1612" s="11">
        <v>30</v>
      </c>
      <c r="D1612" s="11">
        <v>132</v>
      </c>
      <c r="E1612" s="11">
        <v>0</v>
      </c>
      <c r="F1612" s="11">
        <v>252</v>
      </c>
      <c r="G1612" s="11">
        <v>769</v>
      </c>
      <c r="H1612" s="11">
        <v>74787599</v>
      </c>
      <c r="I1612" s="11" t="s">
        <v>214</v>
      </c>
      <c r="J1612" s="11" t="s">
        <v>3300</v>
      </c>
      <c r="K1612" s="11" t="s">
        <v>1747</v>
      </c>
      <c r="L1612" s="11" t="s">
        <v>8180</v>
      </c>
      <c r="M1612" s="11" t="s">
        <v>8181</v>
      </c>
      <c r="N1612" s="11">
        <v>12549</v>
      </c>
      <c r="O1612" s="11">
        <v>1936</v>
      </c>
      <c r="P1612" s="11">
        <v>1</v>
      </c>
      <c r="Q1612" s="11" t="s">
        <v>8182</v>
      </c>
      <c r="R1612" s="14" t="s">
        <v>8183</v>
      </c>
      <c r="S1612" s="11">
        <v>109</v>
      </c>
      <c r="T1612" s="11" t="s">
        <v>39</v>
      </c>
      <c r="U1612" s="11" t="s">
        <v>40</v>
      </c>
      <c r="V1612" s="11" t="s">
        <v>586</v>
      </c>
      <c r="W1612" s="11">
        <v>30000000</v>
      </c>
      <c r="X1612" s="11">
        <v>1991</v>
      </c>
      <c r="Y1612" s="11">
        <v>713</v>
      </c>
      <c r="Z1612" s="11">
        <v>6.6</v>
      </c>
      <c r="AA1612" s="11">
        <v>1.85</v>
      </c>
      <c r="AB1612" s="11">
        <v>883</v>
      </c>
      <c r="AC1612" s="11"/>
      <c r="AD1612" s="11" t="str">
        <f>IFERROR(__xludf.DUMMYFUNCTION("""COMPUTED_VALUE"""),"Gary Stretch")</f>
        <v>Gary Stretch</v>
      </c>
      <c r="AE1612" s="11"/>
    </row>
    <row r="1613" customHeight="1" spans="1:31">
      <c r="A1613" s="12" t="s">
        <v>30</v>
      </c>
      <c r="B1613" s="12" t="s">
        <v>1016</v>
      </c>
      <c r="C1613" s="12">
        <v>57</v>
      </c>
      <c r="D1613" s="12">
        <v>133</v>
      </c>
      <c r="E1613" s="12">
        <v>380</v>
      </c>
      <c r="F1613" s="12">
        <v>918</v>
      </c>
      <c r="G1613" s="12">
        <v>12000</v>
      </c>
      <c r="H1613" s="12">
        <v>66528842</v>
      </c>
      <c r="I1613" s="12" t="s">
        <v>7727</v>
      </c>
      <c r="J1613" s="12" t="s">
        <v>763</v>
      </c>
      <c r="K1613" s="12" t="s">
        <v>343</v>
      </c>
      <c r="L1613" s="12" t="s">
        <v>689</v>
      </c>
      <c r="M1613" s="12" t="s">
        <v>8184</v>
      </c>
      <c r="N1613" s="12">
        <v>112175</v>
      </c>
      <c r="O1613" s="12">
        <v>26388</v>
      </c>
      <c r="P1613" s="12">
        <v>2</v>
      </c>
      <c r="Q1613" s="12" t="s">
        <v>8185</v>
      </c>
      <c r="R1613" s="15" t="s">
        <v>8186</v>
      </c>
      <c r="S1613" s="12">
        <v>329</v>
      </c>
      <c r="T1613" s="12" t="s">
        <v>39</v>
      </c>
      <c r="U1613" s="12" t="s">
        <v>40</v>
      </c>
      <c r="V1613" s="12" t="s">
        <v>586</v>
      </c>
      <c r="W1613" s="12">
        <v>30000000</v>
      </c>
      <c r="X1613" s="12">
        <v>1994</v>
      </c>
      <c r="Y1613" s="12">
        <v>11000</v>
      </c>
      <c r="Z1613" s="12">
        <v>7.5</v>
      </c>
      <c r="AA1613" s="12">
        <v>1.85</v>
      </c>
      <c r="AB1613" s="12">
        <v>11000</v>
      </c>
      <c r="AC1613" s="12"/>
      <c r="AD1613" s="12" t="str">
        <f>IFERROR(__xludf.DUMMYFUNCTION("""COMPUTED_VALUE"""),"Valerie Cruz")</f>
        <v>Valerie Cruz</v>
      </c>
      <c r="AE1613" s="12"/>
    </row>
    <row r="1614" customHeight="1" spans="1:31">
      <c r="A1614" s="11" t="s">
        <v>30</v>
      </c>
      <c r="B1614" s="11" t="s">
        <v>8187</v>
      </c>
      <c r="C1614" s="11">
        <v>391</v>
      </c>
      <c r="D1614" s="11">
        <v>108</v>
      </c>
      <c r="E1614" s="11">
        <v>655</v>
      </c>
      <c r="F1614" s="11">
        <v>940</v>
      </c>
      <c r="G1614" s="11">
        <v>24000</v>
      </c>
      <c r="H1614" s="11">
        <v>83813460</v>
      </c>
      <c r="I1614" s="11" t="s">
        <v>214</v>
      </c>
      <c r="J1614" s="11" t="s">
        <v>82</v>
      </c>
      <c r="K1614" s="11" t="s">
        <v>2456</v>
      </c>
      <c r="L1614" s="11" t="s">
        <v>8188</v>
      </c>
      <c r="M1614" s="11" t="s">
        <v>8189</v>
      </c>
      <c r="N1614" s="11">
        <v>270238</v>
      </c>
      <c r="O1614" s="11">
        <v>35209</v>
      </c>
      <c r="P1614" s="11">
        <v>0</v>
      </c>
      <c r="Q1614" s="11" t="s">
        <v>8190</v>
      </c>
      <c r="R1614" s="14" t="s">
        <v>8191</v>
      </c>
      <c r="S1614" s="11">
        <v>452</v>
      </c>
      <c r="T1614" s="11" t="s">
        <v>39</v>
      </c>
      <c r="U1614" s="11" t="s">
        <v>40</v>
      </c>
      <c r="V1614" s="11" t="s">
        <v>586</v>
      </c>
      <c r="W1614" s="11">
        <v>25000000</v>
      </c>
      <c r="X1614" s="11">
        <v>2009</v>
      </c>
      <c r="Y1614" s="11">
        <v>10000</v>
      </c>
      <c r="Z1614" s="11">
        <v>7.4</v>
      </c>
      <c r="AA1614" s="11">
        <v>1.85</v>
      </c>
      <c r="AB1614" s="11">
        <v>19000</v>
      </c>
      <c r="AC1614" s="11"/>
      <c r="AD1614" s="11" t="str">
        <f>IFERROR(__xludf.DUMMYFUNCTION("""COMPUTED_VALUE"""),"Will Beinbrink")</f>
        <v>Will Beinbrink</v>
      </c>
      <c r="AE1614" s="11"/>
    </row>
    <row r="1615" customHeight="1" spans="1:31">
      <c r="A1615" s="12" t="s">
        <v>30</v>
      </c>
      <c r="B1615" s="12" t="s">
        <v>8192</v>
      </c>
      <c r="C1615" s="12">
        <v>217</v>
      </c>
      <c r="D1615" s="12">
        <v>125</v>
      </c>
      <c r="E1615" s="12">
        <v>729</v>
      </c>
      <c r="F1615" s="12">
        <v>322</v>
      </c>
      <c r="G1615" s="12">
        <v>442</v>
      </c>
      <c r="H1615" s="12">
        <v>65010106</v>
      </c>
      <c r="I1615" s="12" t="s">
        <v>2528</v>
      </c>
      <c r="J1615" s="12" t="s">
        <v>8062</v>
      </c>
      <c r="K1615" s="12" t="s">
        <v>8193</v>
      </c>
      <c r="L1615" s="12" t="s">
        <v>8194</v>
      </c>
      <c r="M1615" s="12" t="s">
        <v>8195</v>
      </c>
      <c r="N1615" s="12">
        <v>107557</v>
      </c>
      <c r="O1615" s="12">
        <v>1556</v>
      </c>
      <c r="P1615" s="12">
        <v>1</v>
      </c>
      <c r="Q1615" s="12" t="s">
        <v>8196</v>
      </c>
      <c r="R1615" s="15" t="s">
        <v>8197</v>
      </c>
      <c r="S1615" s="12">
        <v>612</v>
      </c>
      <c r="T1615" s="12" t="s">
        <v>39</v>
      </c>
      <c r="U1615" s="12" t="s">
        <v>40</v>
      </c>
      <c r="V1615" s="12" t="s">
        <v>586</v>
      </c>
      <c r="W1615" s="12">
        <v>30000000</v>
      </c>
      <c r="X1615" s="12">
        <v>2002</v>
      </c>
      <c r="Y1615" s="12">
        <v>344</v>
      </c>
      <c r="Z1615" s="12">
        <v>7.2</v>
      </c>
      <c r="AA1615" s="12">
        <v>1.85</v>
      </c>
      <c r="AB1615" s="12">
        <v>0</v>
      </c>
      <c r="AC1615" s="12"/>
      <c r="AD1615" s="12" t="str">
        <f>IFERROR(__xludf.DUMMYFUNCTION("""COMPUTED_VALUE"""),"Natalie Imbruglia")</f>
        <v>Natalie Imbruglia</v>
      </c>
      <c r="AE1615" s="12"/>
    </row>
    <row r="1616" customHeight="1" spans="1:31">
      <c r="A1616" s="11" t="s">
        <v>30</v>
      </c>
      <c r="B1616" s="11" t="s">
        <v>8198</v>
      </c>
      <c r="C1616" s="11">
        <v>452</v>
      </c>
      <c r="D1616" s="11">
        <v>98</v>
      </c>
      <c r="E1616" s="11">
        <v>129</v>
      </c>
      <c r="F1616" s="11">
        <v>7</v>
      </c>
      <c r="G1616" s="11">
        <v>303</v>
      </c>
      <c r="H1616" s="11">
        <v>66359959</v>
      </c>
      <c r="I1616" s="11" t="s">
        <v>8199</v>
      </c>
      <c r="J1616" s="11" t="s">
        <v>8200</v>
      </c>
      <c r="K1616" s="11" t="s">
        <v>8201</v>
      </c>
      <c r="L1616" s="11" t="s">
        <v>8202</v>
      </c>
      <c r="M1616" s="11" t="s">
        <v>8203</v>
      </c>
      <c r="N1616" s="11">
        <v>184641</v>
      </c>
      <c r="O1616" s="11">
        <v>337</v>
      </c>
      <c r="P1616" s="11">
        <v>0</v>
      </c>
      <c r="Q1616" s="11" t="s">
        <v>8204</v>
      </c>
      <c r="R1616" s="14" t="s">
        <v>8205</v>
      </c>
      <c r="S1616" s="11">
        <v>326</v>
      </c>
      <c r="T1616" s="11" t="s">
        <v>39</v>
      </c>
      <c r="U1616" s="11" t="s">
        <v>40</v>
      </c>
      <c r="V1616" s="11" t="s">
        <v>41</v>
      </c>
      <c r="W1616" s="11">
        <v>35000000</v>
      </c>
      <c r="X1616" s="11">
        <v>2013</v>
      </c>
      <c r="Y1616" s="11">
        <v>18</v>
      </c>
      <c r="Z1616" s="11">
        <v>6.9</v>
      </c>
      <c r="AA1616" s="11">
        <v>2.35</v>
      </c>
      <c r="AB1616" s="11">
        <v>81000</v>
      </c>
      <c r="AC1616" s="11"/>
      <c r="AD1616" s="11" t="str">
        <f>IFERROR(__xludf.DUMMYFUNCTION("""COMPUTED_VALUE"""),"Ben Miller")</f>
        <v>Ben Miller</v>
      </c>
      <c r="AE1616" s="11"/>
    </row>
    <row r="1617" customHeight="1" spans="1:31">
      <c r="A1617" s="12" t="s">
        <v>30</v>
      </c>
      <c r="B1617" s="12" t="s">
        <v>8206</v>
      </c>
      <c r="C1617" s="12">
        <v>589</v>
      </c>
      <c r="D1617" s="12">
        <v>119</v>
      </c>
      <c r="E1617" s="12">
        <v>0</v>
      </c>
      <c r="F1617" s="12">
        <v>502</v>
      </c>
      <c r="G1617" s="12">
        <v>23000</v>
      </c>
      <c r="H1617" s="12">
        <v>66468315</v>
      </c>
      <c r="I1617" s="12" t="s">
        <v>5530</v>
      </c>
      <c r="J1617" s="12" t="s">
        <v>63</v>
      </c>
      <c r="K1617" s="12" t="s">
        <v>978</v>
      </c>
      <c r="L1617" s="12" t="s">
        <v>8207</v>
      </c>
      <c r="M1617" s="12" t="s">
        <v>8208</v>
      </c>
      <c r="N1617" s="12">
        <v>428916</v>
      </c>
      <c r="O1617" s="12">
        <v>37387</v>
      </c>
      <c r="P1617" s="12">
        <v>0</v>
      </c>
      <c r="Q1617" s="12" t="s">
        <v>8209</v>
      </c>
      <c r="R1617" s="15" t="s">
        <v>8210</v>
      </c>
      <c r="S1617" s="12">
        <v>667</v>
      </c>
      <c r="T1617" s="12" t="s">
        <v>39</v>
      </c>
      <c r="U1617" s="12" t="s">
        <v>40</v>
      </c>
      <c r="V1617" s="12" t="s">
        <v>586</v>
      </c>
      <c r="W1617" s="12">
        <v>30000000</v>
      </c>
      <c r="X1617" s="12">
        <v>2012</v>
      </c>
      <c r="Y1617" s="12">
        <v>13000</v>
      </c>
      <c r="Z1617" s="12">
        <v>7.4</v>
      </c>
      <c r="AA1617" s="12">
        <v>2.35</v>
      </c>
      <c r="AB1617" s="12">
        <v>75000</v>
      </c>
      <c r="AC1617" s="12"/>
      <c r="AD1617" s="12" t="str">
        <f>IFERROR(__xludf.DUMMYFUNCTION("""COMPUTED_VALUE"""),"José Ferrer")</f>
        <v>José Ferrer</v>
      </c>
      <c r="AE1617" s="12"/>
    </row>
    <row r="1618" customHeight="1" spans="1:31">
      <c r="A1618" s="11" t="s">
        <v>30</v>
      </c>
      <c r="B1618" s="11" t="s">
        <v>199</v>
      </c>
      <c r="C1618" s="11">
        <v>61</v>
      </c>
      <c r="D1618" s="11">
        <v>87</v>
      </c>
      <c r="E1618" s="11">
        <v>129</v>
      </c>
      <c r="F1618" s="11">
        <v>560</v>
      </c>
      <c r="G1618" s="11">
        <v>979</v>
      </c>
      <c r="H1618" s="11">
        <v>64172251</v>
      </c>
      <c r="I1618" s="11" t="s">
        <v>2787</v>
      </c>
      <c r="J1618" s="11" t="s">
        <v>1654</v>
      </c>
      <c r="K1618" s="11" t="s">
        <v>190</v>
      </c>
      <c r="L1618" s="11" t="s">
        <v>2252</v>
      </c>
      <c r="M1618" s="11" t="s">
        <v>8211</v>
      </c>
      <c r="N1618" s="11">
        <v>19079</v>
      </c>
      <c r="O1618" s="11">
        <v>2911</v>
      </c>
      <c r="P1618" s="11">
        <v>1</v>
      </c>
      <c r="Q1618" s="11" t="s">
        <v>8212</v>
      </c>
      <c r="R1618" s="14" t="s">
        <v>8213</v>
      </c>
      <c r="S1618" s="11">
        <v>122</v>
      </c>
      <c r="T1618" s="11" t="s">
        <v>39</v>
      </c>
      <c r="U1618" s="11" t="s">
        <v>40</v>
      </c>
      <c r="V1618" s="11" t="s">
        <v>41</v>
      </c>
      <c r="W1618" s="11">
        <v>30000000</v>
      </c>
      <c r="X1618" s="11">
        <v>2001</v>
      </c>
      <c r="Y1618" s="11">
        <v>891</v>
      </c>
      <c r="Z1618" s="11">
        <v>5.4</v>
      </c>
      <c r="AA1618" s="11">
        <v>1.85</v>
      </c>
      <c r="AB1618" s="11">
        <v>602</v>
      </c>
      <c r="AC1618" s="11"/>
      <c r="AD1618" s="11" t="str">
        <f>IFERROR(__xludf.DUMMYFUNCTION("""COMPUTED_VALUE"""),"T.V. Carpio")</f>
        <v>T.V. Carpio</v>
      </c>
      <c r="AE1618" s="11"/>
    </row>
    <row r="1619" customHeight="1" spans="1:31">
      <c r="A1619" s="12" t="s">
        <v>30</v>
      </c>
      <c r="B1619" s="12" t="s">
        <v>8214</v>
      </c>
      <c r="C1619" s="12">
        <v>79</v>
      </c>
      <c r="D1619" s="12">
        <v>91</v>
      </c>
      <c r="E1619" s="12">
        <v>108</v>
      </c>
      <c r="F1619" s="12">
        <v>204</v>
      </c>
      <c r="G1619" s="12">
        <v>405</v>
      </c>
      <c r="H1619" s="12">
        <v>66600000</v>
      </c>
      <c r="I1619" s="12" t="s">
        <v>3932</v>
      </c>
      <c r="J1619" s="12" t="s">
        <v>3991</v>
      </c>
      <c r="K1619" s="12" t="s">
        <v>8215</v>
      </c>
      <c r="L1619" s="12" t="s">
        <v>6479</v>
      </c>
      <c r="M1619" s="12" t="s">
        <v>8216</v>
      </c>
      <c r="N1619" s="12">
        <v>94435</v>
      </c>
      <c r="O1619" s="12">
        <v>1185</v>
      </c>
      <c r="P1619" s="12">
        <v>0</v>
      </c>
      <c r="Q1619" s="12" t="s">
        <v>8217</v>
      </c>
      <c r="R1619" s="15" t="s">
        <v>8218</v>
      </c>
      <c r="S1619" s="12">
        <v>182</v>
      </c>
      <c r="T1619" s="12" t="s">
        <v>39</v>
      </c>
      <c r="U1619" s="12" t="s">
        <v>371</v>
      </c>
      <c r="V1619" s="12" t="s">
        <v>278</v>
      </c>
      <c r="W1619" s="12">
        <v>30000000</v>
      </c>
      <c r="X1619" s="12">
        <v>1995</v>
      </c>
      <c r="Y1619" s="12">
        <v>368</v>
      </c>
      <c r="Z1619" s="12">
        <v>6.8</v>
      </c>
      <c r="AA1619" s="12">
        <v>1.85</v>
      </c>
      <c r="AB1619" s="12">
        <v>5000</v>
      </c>
      <c r="AC1619" s="12"/>
      <c r="AD1619" s="12" t="str">
        <f>IFERROR(__xludf.DUMMYFUNCTION("""COMPUTED_VALUE"""),"Robert Clohessy")</f>
        <v>Robert Clohessy</v>
      </c>
      <c r="AE1619" s="12"/>
    </row>
    <row r="1620" customHeight="1" spans="1:31">
      <c r="A1620" s="11" t="s">
        <v>30</v>
      </c>
      <c r="B1620" s="11" t="s">
        <v>3931</v>
      </c>
      <c r="C1620" s="11">
        <v>234</v>
      </c>
      <c r="D1620" s="11">
        <v>100</v>
      </c>
      <c r="E1620" s="11">
        <v>64</v>
      </c>
      <c r="F1620" s="11">
        <v>329</v>
      </c>
      <c r="G1620" s="11">
        <v>11000</v>
      </c>
      <c r="H1620" s="11">
        <v>63536011</v>
      </c>
      <c r="I1620" s="11" t="s">
        <v>1415</v>
      </c>
      <c r="J1620" s="11" t="s">
        <v>2377</v>
      </c>
      <c r="K1620" s="11" t="s">
        <v>518</v>
      </c>
      <c r="L1620" s="11" t="s">
        <v>8219</v>
      </c>
      <c r="M1620" s="11" t="s">
        <v>8220</v>
      </c>
      <c r="N1620" s="11">
        <v>34258</v>
      </c>
      <c r="O1620" s="11">
        <v>19420</v>
      </c>
      <c r="P1620" s="11">
        <v>2</v>
      </c>
      <c r="Q1620" s="11" t="s">
        <v>8221</v>
      </c>
      <c r="R1620" s="14" t="s">
        <v>8222</v>
      </c>
      <c r="S1620" s="11">
        <v>178</v>
      </c>
      <c r="T1620" s="11" t="s">
        <v>39</v>
      </c>
      <c r="U1620" s="11" t="s">
        <v>40</v>
      </c>
      <c r="V1620" s="11" t="s">
        <v>41</v>
      </c>
      <c r="W1620" s="11">
        <v>30000000</v>
      </c>
      <c r="X1620" s="11">
        <v>2012</v>
      </c>
      <c r="Y1620" s="11">
        <v>7000</v>
      </c>
      <c r="Z1620" s="11">
        <v>6.3</v>
      </c>
      <c r="AA1620" s="11">
        <v>2.35</v>
      </c>
      <c r="AB1620" s="11">
        <v>0</v>
      </c>
      <c r="AC1620" s="11"/>
      <c r="AD1620" s="11" t="str">
        <f>IFERROR(__xludf.DUMMYFUNCTION("""COMPUTED_VALUE"""),"Joe Komara")</f>
        <v>Joe Komara</v>
      </c>
      <c r="AE1620" s="11"/>
    </row>
    <row r="1621" customHeight="1" spans="1:31">
      <c r="A1621" s="12" t="s">
        <v>30</v>
      </c>
      <c r="B1621" s="12" t="s">
        <v>6418</v>
      </c>
      <c r="C1621" s="12">
        <v>253</v>
      </c>
      <c r="D1621" s="12">
        <v>118</v>
      </c>
      <c r="E1621" s="12">
        <v>89</v>
      </c>
      <c r="F1621" s="12">
        <v>344</v>
      </c>
      <c r="G1621" s="12">
        <v>15000</v>
      </c>
      <c r="H1621" s="12">
        <v>62877175</v>
      </c>
      <c r="I1621" s="12" t="s">
        <v>1415</v>
      </c>
      <c r="J1621" s="12" t="s">
        <v>292</v>
      </c>
      <c r="K1621" s="12" t="s">
        <v>622</v>
      </c>
      <c r="L1621" s="12" t="s">
        <v>8223</v>
      </c>
      <c r="M1621" s="12" t="s">
        <v>8224</v>
      </c>
      <c r="N1621" s="12">
        <v>217507</v>
      </c>
      <c r="O1621" s="12">
        <v>16758</v>
      </c>
      <c r="P1621" s="12">
        <v>1</v>
      </c>
      <c r="Q1621" s="12" t="s">
        <v>8225</v>
      </c>
      <c r="R1621" s="15" t="s">
        <v>8226</v>
      </c>
      <c r="S1621" s="12">
        <v>325</v>
      </c>
      <c r="T1621" s="12" t="s">
        <v>39</v>
      </c>
      <c r="U1621" s="12" t="s">
        <v>40</v>
      </c>
      <c r="V1621" s="12" t="s">
        <v>586</v>
      </c>
      <c r="W1621" s="12">
        <v>30000000</v>
      </c>
      <c r="X1621" s="12">
        <v>2008</v>
      </c>
      <c r="Y1621" s="12">
        <v>975</v>
      </c>
      <c r="Z1621" s="12">
        <v>7.2</v>
      </c>
      <c r="AA1621" s="12">
        <v>1.85</v>
      </c>
      <c r="AB1621" s="12">
        <v>0</v>
      </c>
      <c r="AC1621" s="12"/>
      <c r="AD1621" s="12" t="str">
        <f>IFERROR(__xludf.DUMMYFUNCTION("""COMPUTED_VALUE"""),"David Belle")</f>
        <v>David Belle</v>
      </c>
      <c r="AE1621" s="12"/>
    </row>
    <row r="1622" customHeight="1" spans="1:31">
      <c r="A1622" s="11" t="s">
        <v>30</v>
      </c>
      <c r="B1622" s="13"/>
      <c r="C1622" s="11">
        <v>51</v>
      </c>
      <c r="D1622" s="11">
        <v>44</v>
      </c>
      <c r="E1622" s="13"/>
      <c r="F1622" s="11">
        <v>690</v>
      </c>
      <c r="G1622" s="11">
        <v>971</v>
      </c>
      <c r="H1622" s="13"/>
      <c r="I1622" s="11" t="s">
        <v>3794</v>
      </c>
      <c r="J1622" s="11" t="s">
        <v>8227</v>
      </c>
      <c r="K1622" s="11" t="s">
        <v>6562</v>
      </c>
      <c r="L1622" s="11" t="s">
        <v>1408</v>
      </c>
      <c r="M1622" s="11" t="s">
        <v>8228</v>
      </c>
      <c r="N1622" s="11">
        <v>42746</v>
      </c>
      <c r="O1622" s="11">
        <v>3418</v>
      </c>
      <c r="P1622" s="11">
        <v>1</v>
      </c>
      <c r="Q1622" s="11" t="s">
        <v>8229</v>
      </c>
      <c r="R1622" s="14" t="s">
        <v>8230</v>
      </c>
      <c r="S1622" s="11">
        <v>257</v>
      </c>
      <c r="T1622" s="11" t="s">
        <v>39</v>
      </c>
      <c r="U1622" s="11" t="s">
        <v>40</v>
      </c>
      <c r="V1622" s="11" t="s">
        <v>1127</v>
      </c>
      <c r="W1622" s="13"/>
      <c r="X1622" s="13"/>
      <c r="Y1622" s="11">
        <v>741</v>
      </c>
      <c r="Z1622" s="11">
        <v>8.7</v>
      </c>
      <c r="AA1622" s="11">
        <v>1.78</v>
      </c>
      <c r="AB1622" s="11">
        <v>0</v>
      </c>
      <c r="AC1622" s="11"/>
      <c r="AD1622" s="11" t="str">
        <f>IFERROR(__xludf.DUMMYFUNCTION("""COMPUTED_VALUE"""),"Alexa PenaVega")</f>
        <v>Alexa PenaVega</v>
      </c>
      <c r="AE1622" s="11"/>
    </row>
    <row r="1623" customHeight="1" spans="1:31">
      <c r="A1623" s="12" t="s">
        <v>30</v>
      </c>
      <c r="B1623" s="12" t="s">
        <v>2944</v>
      </c>
      <c r="C1623" s="12">
        <v>123</v>
      </c>
      <c r="D1623" s="12">
        <v>109</v>
      </c>
      <c r="E1623" s="12">
        <v>309</v>
      </c>
      <c r="F1623" s="12">
        <v>482</v>
      </c>
      <c r="G1623" s="12">
        <v>1000</v>
      </c>
      <c r="H1623" s="12">
        <v>74484168</v>
      </c>
      <c r="I1623" s="12" t="s">
        <v>1120</v>
      </c>
      <c r="J1623" s="12" t="s">
        <v>3337</v>
      </c>
      <c r="K1623" s="12" t="s">
        <v>8231</v>
      </c>
      <c r="L1623" s="12" t="s">
        <v>8232</v>
      </c>
      <c r="M1623" s="12" t="s">
        <v>8233</v>
      </c>
      <c r="N1623" s="12">
        <v>109894</v>
      </c>
      <c r="O1623" s="12">
        <v>2740</v>
      </c>
      <c r="P1623" s="12">
        <v>3</v>
      </c>
      <c r="Q1623" s="12" t="s">
        <v>8234</v>
      </c>
      <c r="R1623" s="15" t="s">
        <v>8235</v>
      </c>
      <c r="S1623" s="12">
        <v>340</v>
      </c>
      <c r="T1623" s="12" t="s">
        <v>39</v>
      </c>
      <c r="U1623" s="12" t="s">
        <v>40</v>
      </c>
      <c r="V1623" s="12" t="s">
        <v>586</v>
      </c>
      <c r="W1623" s="12">
        <v>45000000</v>
      </c>
      <c r="X1623" s="12">
        <v>2005</v>
      </c>
      <c r="Y1623" s="12">
        <v>654</v>
      </c>
      <c r="Z1623" s="12">
        <v>6.9</v>
      </c>
      <c r="AA1623" s="12">
        <v>2.35</v>
      </c>
      <c r="AB1623" s="12">
        <v>0</v>
      </c>
      <c r="AC1623" s="12"/>
      <c r="AD1623" s="12" t="str">
        <f>IFERROR(__xludf.DUMMYFUNCTION("""COMPUTED_VALUE"""),"Keenen Ivory Wayans")</f>
        <v>Keenen Ivory Wayans</v>
      </c>
      <c r="AE1623" s="12"/>
    </row>
    <row r="1624" customHeight="1" spans="1:31">
      <c r="A1624" s="11" t="s">
        <v>30</v>
      </c>
      <c r="B1624" s="11" t="s">
        <v>8236</v>
      </c>
      <c r="C1624" s="11">
        <v>145</v>
      </c>
      <c r="D1624" s="11">
        <v>99</v>
      </c>
      <c r="E1624" s="11">
        <v>5</v>
      </c>
      <c r="F1624" s="11">
        <v>966</v>
      </c>
      <c r="G1624" s="11">
        <v>2000</v>
      </c>
      <c r="H1624" s="11">
        <v>60269340</v>
      </c>
      <c r="I1624" s="11" t="s">
        <v>1681</v>
      </c>
      <c r="J1624" s="11" t="s">
        <v>4801</v>
      </c>
      <c r="K1624" s="11" t="s">
        <v>479</v>
      </c>
      <c r="L1624" s="11" t="s">
        <v>3899</v>
      </c>
      <c r="M1624" s="11" t="s">
        <v>8237</v>
      </c>
      <c r="N1624" s="11">
        <v>34079</v>
      </c>
      <c r="O1624" s="11">
        <v>6930</v>
      </c>
      <c r="P1624" s="11">
        <v>2</v>
      </c>
      <c r="Q1624" s="11" t="s">
        <v>8238</v>
      </c>
      <c r="R1624" s="14" t="s">
        <v>8239</v>
      </c>
      <c r="S1624" s="11">
        <v>97</v>
      </c>
      <c r="T1624" s="11" t="s">
        <v>39</v>
      </c>
      <c r="U1624" s="11" t="s">
        <v>40</v>
      </c>
      <c r="V1624" s="11" t="s">
        <v>41</v>
      </c>
      <c r="W1624" s="11">
        <v>30000000</v>
      </c>
      <c r="X1624" s="11">
        <v>2008</v>
      </c>
      <c r="Y1624" s="11">
        <v>1000</v>
      </c>
      <c r="Z1624" s="11">
        <v>6</v>
      </c>
      <c r="AA1624" s="11">
        <v>1.85</v>
      </c>
      <c r="AB1624" s="11">
        <v>0</v>
      </c>
      <c r="AC1624" s="11"/>
      <c r="AD1624" s="11" t="str">
        <f>IFERROR(__xludf.DUMMYFUNCTION("""COMPUTED_VALUE"""),"John de Lancie")</f>
        <v>John de Lancie</v>
      </c>
      <c r="AE1624" s="11"/>
    </row>
    <row r="1625" customHeight="1" spans="1:31">
      <c r="A1625" s="12" t="s">
        <v>30</v>
      </c>
      <c r="B1625" s="12" t="s">
        <v>8240</v>
      </c>
      <c r="C1625" s="12">
        <v>65</v>
      </c>
      <c r="D1625" s="12">
        <v>114</v>
      </c>
      <c r="E1625" s="12">
        <v>0</v>
      </c>
      <c r="F1625" s="12">
        <v>545</v>
      </c>
      <c r="G1625" s="12">
        <v>970</v>
      </c>
      <c r="H1625" s="12">
        <v>60033780</v>
      </c>
      <c r="I1625" s="12" t="s">
        <v>214</v>
      </c>
      <c r="J1625" s="12" t="s">
        <v>3833</v>
      </c>
      <c r="K1625" s="12" t="s">
        <v>5356</v>
      </c>
      <c r="L1625" s="12" t="s">
        <v>6491</v>
      </c>
      <c r="M1625" s="12" t="s">
        <v>8241</v>
      </c>
      <c r="N1625" s="12">
        <v>18973</v>
      </c>
      <c r="O1625" s="12">
        <v>2860</v>
      </c>
      <c r="P1625" s="12">
        <v>1</v>
      </c>
      <c r="Q1625" s="12" t="s">
        <v>8242</v>
      </c>
      <c r="R1625" s="15" t="s">
        <v>8243</v>
      </c>
      <c r="S1625" s="12">
        <v>162</v>
      </c>
      <c r="T1625" s="12" t="s">
        <v>39</v>
      </c>
      <c r="U1625" s="12" t="s">
        <v>40</v>
      </c>
      <c r="V1625" s="12" t="s">
        <v>41</v>
      </c>
      <c r="W1625" s="12">
        <v>30000000</v>
      </c>
      <c r="X1625" s="12">
        <v>1998</v>
      </c>
      <c r="Y1625" s="12">
        <v>631</v>
      </c>
      <c r="Z1625" s="12">
        <v>5.9</v>
      </c>
      <c r="AA1625" s="12">
        <v>1.85</v>
      </c>
      <c r="AB1625" s="12">
        <v>0</v>
      </c>
      <c r="AC1625" s="12"/>
      <c r="AD1625" s="12" t="str">
        <f>IFERROR(__xludf.DUMMYFUNCTION("""COMPUTED_VALUE"""),"Obba Babatundé")</f>
        <v>Obba Babatundé</v>
      </c>
      <c r="AE1625" s="12"/>
    </row>
    <row r="1626" customHeight="1" spans="1:31">
      <c r="A1626" s="11" t="s">
        <v>30</v>
      </c>
      <c r="B1626" s="11" t="s">
        <v>2562</v>
      </c>
      <c r="C1626" s="11">
        <v>152</v>
      </c>
      <c r="D1626" s="11">
        <v>89</v>
      </c>
      <c r="E1626" s="11">
        <v>56</v>
      </c>
      <c r="F1626" s="11">
        <v>545</v>
      </c>
      <c r="G1626" s="11">
        <v>11000</v>
      </c>
      <c r="H1626" s="11">
        <v>58715510</v>
      </c>
      <c r="I1626" s="11" t="s">
        <v>1681</v>
      </c>
      <c r="J1626" s="11" t="s">
        <v>257</v>
      </c>
      <c r="K1626" s="11" t="s">
        <v>7430</v>
      </c>
      <c r="L1626" s="11" t="s">
        <v>5711</v>
      </c>
      <c r="M1626" s="11" t="s">
        <v>8244</v>
      </c>
      <c r="N1626" s="11">
        <v>79094</v>
      </c>
      <c r="O1626" s="11">
        <v>13794</v>
      </c>
      <c r="P1626" s="11">
        <v>2</v>
      </c>
      <c r="Q1626" s="11" t="s">
        <v>8245</v>
      </c>
      <c r="R1626" s="14" t="s">
        <v>8246</v>
      </c>
      <c r="S1626" s="11">
        <v>129</v>
      </c>
      <c r="T1626" s="11" t="s">
        <v>39</v>
      </c>
      <c r="U1626" s="11" t="s">
        <v>40</v>
      </c>
      <c r="V1626" s="11" t="s">
        <v>96</v>
      </c>
      <c r="W1626" s="11">
        <v>30000000</v>
      </c>
      <c r="X1626" s="11">
        <v>2009</v>
      </c>
      <c r="Y1626" s="11">
        <v>826</v>
      </c>
      <c r="Z1626" s="11">
        <v>5.4</v>
      </c>
      <c r="AA1626" s="11">
        <v>1.85</v>
      </c>
      <c r="AB1626" s="11">
        <v>0</v>
      </c>
      <c r="AC1626" s="11"/>
      <c r="AD1626" s="11" t="str">
        <f>IFERROR(__xludf.DUMMYFUNCTION("""COMPUTED_VALUE"""),"Malese Jow")</f>
        <v>Malese Jow</v>
      </c>
      <c r="AE1626" s="11"/>
    </row>
    <row r="1627" customHeight="1" spans="1:31">
      <c r="A1627" s="12" t="s">
        <v>30</v>
      </c>
      <c r="B1627" s="12" t="s">
        <v>2786</v>
      </c>
      <c r="C1627" s="12">
        <v>94</v>
      </c>
      <c r="D1627" s="12">
        <v>95</v>
      </c>
      <c r="E1627" s="12">
        <v>65</v>
      </c>
      <c r="F1627" s="12">
        <v>246</v>
      </c>
      <c r="G1627" s="12">
        <v>506</v>
      </c>
      <c r="H1627" s="12">
        <v>58156435</v>
      </c>
      <c r="I1627" s="12" t="s">
        <v>2476</v>
      </c>
      <c r="J1627" s="12" t="s">
        <v>8247</v>
      </c>
      <c r="K1627" s="12" t="s">
        <v>8248</v>
      </c>
      <c r="L1627" s="12" t="s">
        <v>8249</v>
      </c>
      <c r="M1627" s="12" t="s">
        <v>8250</v>
      </c>
      <c r="N1627" s="12">
        <v>37479</v>
      </c>
      <c r="O1627" s="12">
        <v>1266</v>
      </c>
      <c r="P1627" s="12">
        <v>3</v>
      </c>
      <c r="Q1627" s="12" t="s">
        <v>8251</v>
      </c>
      <c r="R1627" s="15" t="s">
        <v>8252</v>
      </c>
      <c r="S1627" s="12">
        <v>152</v>
      </c>
      <c r="T1627" s="12" t="s">
        <v>39</v>
      </c>
      <c r="U1627" s="12" t="s">
        <v>40</v>
      </c>
      <c r="V1627" s="12" t="s">
        <v>41</v>
      </c>
      <c r="W1627" s="12">
        <v>19000000</v>
      </c>
      <c r="X1627" s="12">
        <v>2004</v>
      </c>
      <c r="Y1627" s="12">
        <v>316</v>
      </c>
      <c r="Z1627" s="12">
        <v>5.9</v>
      </c>
      <c r="AA1627" s="12">
        <v>2.35</v>
      </c>
      <c r="AB1627" s="12">
        <v>0</v>
      </c>
      <c r="AC1627" s="12"/>
      <c r="AD1627" s="12" t="str">
        <f>IFERROR(__xludf.DUMMYFUNCTION("""COMPUTED_VALUE"""),"Carter Jenkins")</f>
        <v>Carter Jenkins</v>
      </c>
      <c r="AE1627" s="12"/>
    </row>
    <row r="1628" customHeight="1" spans="1:31">
      <c r="A1628" s="11" t="s">
        <v>30</v>
      </c>
      <c r="B1628" s="11" t="s">
        <v>2562</v>
      </c>
      <c r="C1628" s="11">
        <v>119</v>
      </c>
      <c r="D1628" s="11">
        <v>98</v>
      </c>
      <c r="E1628" s="11">
        <v>56</v>
      </c>
      <c r="F1628" s="11">
        <v>533</v>
      </c>
      <c r="G1628" s="11">
        <v>3000</v>
      </c>
      <c r="H1628" s="11">
        <v>56044241</v>
      </c>
      <c r="I1628" s="11" t="s">
        <v>3632</v>
      </c>
      <c r="J1628" s="11" t="s">
        <v>750</v>
      </c>
      <c r="K1628" s="11" t="s">
        <v>236</v>
      </c>
      <c r="L1628" s="11" t="s">
        <v>8253</v>
      </c>
      <c r="M1628" s="11" t="s">
        <v>8254</v>
      </c>
      <c r="N1628" s="11">
        <v>122187</v>
      </c>
      <c r="O1628" s="11">
        <v>6742</v>
      </c>
      <c r="P1628" s="11">
        <v>1</v>
      </c>
      <c r="Q1628" s="11" t="s">
        <v>8255</v>
      </c>
      <c r="R1628" s="14" t="s">
        <v>8256</v>
      </c>
      <c r="S1628" s="11">
        <v>339</v>
      </c>
      <c r="T1628" s="11" t="s">
        <v>39</v>
      </c>
      <c r="U1628" s="11" t="s">
        <v>40</v>
      </c>
      <c r="V1628" s="11" t="s">
        <v>41</v>
      </c>
      <c r="W1628" s="11">
        <v>37000000</v>
      </c>
      <c r="X1628" s="11">
        <v>2004</v>
      </c>
      <c r="Y1628" s="11">
        <v>2000</v>
      </c>
      <c r="Z1628" s="11">
        <v>6.1</v>
      </c>
      <c r="AA1628" s="11">
        <v>1.85</v>
      </c>
      <c r="AB1628" s="11">
        <v>0</v>
      </c>
      <c r="AC1628" s="11"/>
      <c r="AD1628" s="11" t="str">
        <f>IFERROR(__xludf.DUMMYFUNCTION("""COMPUTED_VALUE"""),"Costas Mandylor")</f>
        <v>Costas Mandylor</v>
      </c>
      <c r="AE1628" s="11"/>
    </row>
    <row r="1629" customHeight="1" spans="1:31">
      <c r="A1629" s="12" t="s">
        <v>30</v>
      </c>
      <c r="B1629" s="12" t="s">
        <v>4004</v>
      </c>
      <c r="C1629" s="12">
        <v>487</v>
      </c>
      <c r="D1629" s="12">
        <v>94</v>
      </c>
      <c r="E1629" s="12">
        <v>11000</v>
      </c>
      <c r="F1629" s="12">
        <v>183</v>
      </c>
      <c r="G1629" s="12">
        <v>617</v>
      </c>
      <c r="H1629" s="12">
        <v>56816662</v>
      </c>
      <c r="I1629" s="12" t="s">
        <v>3632</v>
      </c>
      <c r="J1629" s="12" t="s">
        <v>4630</v>
      </c>
      <c r="K1629" s="12" t="s">
        <v>8257</v>
      </c>
      <c r="L1629" s="12" t="s">
        <v>8258</v>
      </c>
      <c r="M1629" s="12" t="s">
        <v>8259</v>
      </c>
      <c r="N1629" s="12">
        <v>301149</v>
      </c>
      <c r="O1629" s="12">
        <v>1289</v>
      </c>
      <c r="P1629" s="12">
        <v>1</v>
      </c>
      <c r="Q1629" s="12" t="s">
        <v>8260</v>
      </c>
      <c r="R1629" s="15" t="s">
        <v>8261</v>
      </c>
      <c r="S1629" s="12">
        <v>509</v>
      </c>
      <c r="T1629" s="12" t="s">
        <v>39</v>
      </c>
      <c r="U1629" s="12" t="s">
        <v>3572</v>
      </c>
      <c r="V1629" s="12" t="s">
        <v>41</v>
      </c>
      <c r="W1629" s="12">
        <v>17000000</v>
      </c>
      <c r="X1629" s="12">
        <v>2011</v>
      </c>
      <c r="Y1629" s="12">
        <v>204</v>
      </c>
      <c r="Z1629" s="12">
        <v>7.7</v>
      </c>
      <c r="AA1629" s="12">
        <v>1.85</v>
      </c>
      <c r="AB1629" s="12">
        <v>78000</v>
      </c>
      <c r="AC1629" s="12"/>
      <c r="AD1629" s="12" t="str">
        <f>IFERROR(__xludf.DUMMYFUNCTION("""COMPUTED_VALUE"""),"Adrien Dorval")</f>
        <v>Adrien Dorval</v>
      </c>
      <c r="AE1629" s="12"/>
    </row>
    <row r="1630" customHeight="1" spans="1:31">
      <c r="A1630" s="11" t="s">
        <v>30</v>
      </c>
      <c r="B1630" s="11" t="s">
        <v>8262</v>
      </c>
      <c r="C1630" s="11">
        <v>121</v>
      </c>
      <c r="D1630" s="11">
        <v>85</v>
      </c>
      <c r="E1630" s="11">
        <v>7</v>
      </c>
      <c r="F1630" s="11">
        <v>691</v>
      </c>
      <c r="G1630" s="11">
        <v>14000</v>
      </c>
      <c r="H1630" s="11">
        <v>64238770</v>
      </c>
      <c r="I1630" s="11" t="s">
        <v>471</v>
      </c>
      <c r="J1630" s="11" t="s">
        <v>228</v>
      </c>
      <c r="K1630" s="11" t="s">
        <v>503</v>
      </c>
      <c r="L1630" s="11" t="s">
        <v>3417</v>
      </c>
      <c r="M1630" s="11" t="s">
        <v>8263</v>
      </c>
      <c r="N1630" s="11">
        <v>19547</v>
      </c>
      <c r="O1630" s="11">
        <v>18795</v>
      </c>
      <c r="P1630" s="11">
        <v>0</v>
      </c>
      <c r="Q1630" s="11" t="s">
        <v>8264</v>
      </c>
      <c r="R1630" s="14" t="s">
        <v>8265</v>
      </c>
      <c r="S1630" s="11">
        <v>64</v>
      </c>
      <c r="T1630" s="11" t="s">
        <v>39</v>
      </c>
      <c r="U1630" s="11" t="s">
        <v>269</v>
      </c>
      <c r="V1630" s="11" t="s">
        <v>96</v>
      </c>
      <c r="W1630" s="11">
        <v>42000000</v>
      </c>
      <c r="X1630" s="11">
        <v>2014</v>
      </c>
      <c r="Y1630" s="11">
        <v>3000</v>
      </c>
      <c r="Z1630" s="11">
        <v>5.8</v>
      </c>
      <c r="AA1630" s="11">
        <v>1.85</v>
      </c>
      <c r="AB1630" s="11">
        <v>0</v>
      </c>
      <c r="AC1630" s="11"/>
      <c r="AD1630" s="11" t="str">
        <f>IFERROR(__xludf.DUMMYFUNCTION("""COMPUTED_VALUE"""),"Nels Lennarson")</f>
        <v>Nels Lennarson</v>
      </c>
      <c r="AE1630" s="11"/>
    </row>
    <row r="1631" customHeight="1" spans="1:31">
      <c r="A1631" s="12" t="s">
        <v>30</v>
      </c>
      <c r="B1631" s="12" t="s">
        <v>8266</v>
      </c>
      <c r="C1631" s="12">
        <v>147</v>
      </c>
      <c r="D1631" s="12">
        <v>124</v>
      </c>
      <c r="E1631" s="12">
        <v>47</v>
      </c>
      <c r="F1631" s="12">
        <v>877</v>
      </c>
      <c r="G1631" s="12">
        <v>40000</v>
      </c>
      <c r="H1631" s="12">
        <v>52937130</v>
      </c>
      <c r="I1631" s="12" t="s">
        <v>1726</v>
      </c>
      <c r="J1631" s="12" t="s">
        <v>44</v>
      </c>
      <c r="K1631" s="12" t="s">
        <v>2084</v>
      </c>
      <c r="L1631" s="12" t="s">
        <v>1190</v>
      </c>
      <c r="M1631" s="12" t="s">
        <v>8267</v>
      </c>
      <c r="N1631" s="12">
        <v>198066</v>
      </c>
      <c r="O1631" s="12">
        <v>43453</v>
      </c>
      <c r="P1631" s="12">
        <v>1</v>
      </c>
      <c r="Q1631" s="12" t="s">
        <v>8268</v>
      </c>
      <c r="R1631" s="15" t="s">
        <v>8269</v>
      </c>
      <c r="S1631" s="12">
        <v>426</v>
      </c>
      <c r="T1631" s="12" t="s">
        <v>39</v>
      </c>
      <c r="U1631" s="12" t="s">
        <v>40</v>
      </c>
      <c r="V1631" s="12" t="s">
        <v>586</v>
      </c>
      <c r="W1631" s="12">
        <v>30000000</v>
      </c>
      <c r="X1631" s="12">
        <v>2001</v>
      </c>
      <c r="Y1631" s="12">
        <v>1000</v>
      </c>
      <c r="Z1631" s="12">
        <v>7.6</v>
      </c>
      <c r="AA1631" s="12">
        <v>2.35</v>
      </c>
      <c r="AB1631" s="12">
        <v>13000</v>
      </c>
      <c r="AC1631" s="12"/>
      <c r="AD1631" s="12" t="str">
        <f>IFERROR(__xludf.DUMMYFUNCTION("""COMPUTED_VALUE"""),"Kristy Swanson")</f>
        <v>Kristy Swanson</v>
      </c>
      <c r="AE1631" s="12"/>
    </row>
    <row r="1632" customHeight="1" spans="1:31">
      <c r="A1632" s="11" t="s">
        <v>30</v>
      </c>
      <c r="B1632" s="11" t="s">
        <v>7016</v>
      </c>
      <c r="C1632" s="11">
        <v>85</v>
      </c>
      <c r="D1632" s="11">
        <v>131</v>
      </c>
      <c r="E1632" s="11">
        <v>43</v>
      </c>
      <c r="F1632" s="11">
        <v>362</v>
      </c>
      <c r="G1632" s="11">
        <v>18000</v>
      </c>
      <c r="H1632" s="11">
        <v>52799004</v>
      </c>
      <c r="I1632" s="11" t="s">
        <v>214</v>
      </c>
      <c r="J1632" s="11" t="s">
        <v>438</v>
      </c>
      <c r="K1632" s="11" t="s">
        <v>8270</v>
      </c>
      <c r="L1632" s="11" t="s">
        <v>8271</v>
      </c>
      <c r="M1632" s="11" t="s">
        <v>8272</v>
      </c>
      <c r="N1632" s="11">
        <v>28942</v>
      </c>
      <c r="O1632" s="11">
        <v>19815</v>
      </c>
      <c r="P1632" s="11">
        <v>0</v>
      </c>
      <c r="Q1632" s="11" t="s">
        <v>8273</v>
      </c>
      <c r="R1632" s="14" t="s">
        <v>8274</v>
      </c>
      <c r="S1632" s="11">
        <v>223</v>
      </c>
      <c r="T1632" s="11" t="s">
        <v>39</v>
      </c>
      <c r="U1632" s="11" t="s">
        <v>40</v>
      </c>
      <c r="V1632" s="11" t="s">
        <v>41</v>
      </c>
      <c r="W1632" s="11">
        <v>55000000</v>
      </c>
      <c r="X1632" s="11">
        <v>1999</v>
      </c>
      <c r="Y1632" s="11">
        <v>652</v>
      </c>
      <c r="Z1632" s="11">
        <v>6.1</v>
      </c>
      <c r="AA1632" s="11">
        <v>2.35</v>
      </c>
      <c r="AB1632" s="11">
        <v>0</v>
      </c>
      <c r="AC1632" s="11"/>
      <c r="AD1632" s="11" t="str">
        <f>IFERROR(__xludf.DUMMYFUNCTION("""COMPUTED_VALUE"""),"Henry Thomas")</f>
        <v>Henry Thomas</v>
      </c>
      <c r="AE1632" s="11"/>
    </row>
    <row r="1633" customHeight="1" spans="1:31">
      <c r="A1633" s="12" t="s">
        <v>30</v>
      </c>
      <c r="B1633" s="12" t="s">
        <v>8275</v>
      </c>
      <c r="C1633" s="12">
        <v>98</v>
      </c>
      <c r="D1633" s="12">
        <v>107</v>
      </c>
      <c r="E1633" s="12">
        <v>0</v>
      </c>
      <c r="F1633" s="12">
        <v>643</v>
      </c>
      <c r="G1633" s="12">
        <v>12000</v>
      </c>
      <c r="H1633" s="12">
        <v>55210049</v>
      </c>
      <c r="I1633" s="12" t="s">
        <v>227</v>
      </c>
      <c r="J1633" s="12" t="s">
        <v>1029</v>
      </c>
      <c r="K1633" s="12" t="s">
        <v>7283</v>
      </c>
      <c r="L1633" s="12" t="s">
        <v>7284</v>
      </c>
      <c r="M1633" s="12" t="s">
        <v>8276</v>
      </c>
      <c r="N1633" s="12">
        <v>43743</v>
      </c>
      <c r="O1633" s="12">
        <v>14710</v>
      </c>
      <c r="P1633" s="12">
        <v>1</v>
      </c>
      <c r="Q1633" s="12" t="s">
        <v>8277</v>
      </c>
      <c r="R1633" s="15" t="s">
        <v>8278</v>
      </c>
      <c r="S1633" s="12">
        <v>293</v>
      </c>
      <c r="T1633" s="12" t="s">
        <v>39</v>
      </c>
      <c r="U1633" s="12" t="s">
        <v>40</v>
      </c>
      <c r="V1633" s="12" t="s">
        <v>96</v>
      </c>
      <c r="W1633" s="12">
        <v>27800000</v>
      </c>
      <c r="X1633" s="12">
        <v>1989</v>
      </c>
      <c r="Y1633" s="12">
        <v>664</v>
      </c>
      <c r="Z1633" s="12">
        <v>5.4</v>
      </c>
      <c r="AA1633" s="12">
        <v>2.35</v>
      </c>
      <c r="AB1633" s="12">
        <v>0</v>
      </c>
      <c r="AC1633" s="12"/>
      <c r="AD1633" s="12" t="str">
        <f>IFERROR(__xludf.DUMMYFUNCTION("""COMPUTED_VALUE"""),"Omari Hardwick")</f>
        <v>Omari Hardwick</v>
      </c>
      <c r="AE1633" s="12"/>
    </row>
    <row r="1634" customHeight="1" spans="1:31">
      <c r="A1634" s="11" t="s">
        <v>30</v>
      </c>
      <c r="B1634" s="11" t="s">
        <v>5912</v>
      </c>
      <c r="C1634" s="11">
        <v>39</v>
      </c>
      <c r="D1634" s="11">
        <v>99</v>
      </c>
      <c r="E1634" s="11">
        <v>13</v>
      </c>
      <c r="F1634" s="11">
        <v>837</v>
      </c>
      <c r="G1634" s="11">
        <v>1000</v>
      </c>
      <c r="H1634" s="11">
        <v>51432423</v>
      </c>
      <c r="I1634" s="11" t="s">
        <v>8279</v>
      </c>
      <c r="J1634" s="11" t="s">
        <v>8280</v>
      </c>
      <c r="K1634" s="11" t="s">
        <v>4358</v>
      </c>
      <c r="L1634" s="11" t="s">
        <v>8281</v>
      </c>
      <c r="M1634" s="11" t="s">
        <v>8282</v>
      </c>
      <c r="N1634" s="11">
        <v>15074</v>
      </c>
      <c r="O1634" s="11">
        <v>3679</v>
      </c>
      <c r="P1634" s="11">
        <v>7</v>
      </c>
      <c r="Q1634" s="11" t="s">
        <v>8283</v>
      </c>
      <c r="R1634" s="14" t="s">
        <v>8284</v>
      </c>
      <c r="S1634" s="11">
        <v>72</v>
      </c>
      <c r="T1634" s="11" t="s">
        <v>39</v>
      </c>
      <c r="U1634" s="11" t="s">
        <v>40</v>
      </c>
      <c r="V1634" s="11" t="s">
        <v>96</v>
      </c>
      <c r="W1634" s="11">
        <v>30000000</v>
      </c>
      <c r="X1634" s="11">
        <v>2002</v>
      </c>
      <c r="Y1634" s="11">
        <v>889</v>
      </c>
      <c r="Z1634" s="11">
        <v>5.1</v>
      </c>
      <c r="AA1634" s="11">
        <v>1.85</v>
      </c>
      <c r="AB1634" s="11">
        <v>1000</v>
      </c>
      <c r="AC1634" s="11"/>
      <c r="AD1634" s="11" t="str">
        <f>IFERROR(__xludf.DUMMYFUNCTION("""COMPUTED_VALUE"""),"Laz Alonso")</f>
        <v>Laz Alonso</v>
      </c>
      <c r="AE1634" s="11"/>
    </row>
    <row r="1635" customHeight="1" spans="1:31">
      <c r="A1635" s="12" t="s">
        <v>30</v>
      </c>
      <c r="B1635" s="12" t="s">
        <v>2468</v>
      </c>
      <c r="C1635" s="12">
        <v>43</v>
      </c>
      <c r="D1635" s="12">
        <v>83</v>
      </c>
      <c r="E1635" s="12">
        <v>88</v>
      </c>
      <c r="F1635" s="12">
        <v>348</v>
      </c>
      <c r="G1635" s="12">
        <v>3000</v>
      </c>
      <c r="H1635" s="12">
        <v>51109400</v>
      </c>
      <c r="I1635" s="12" t="s">
        <v>1009</v>
      </c>
      <c r="J1635" s="12" t="s">
        <v>8012</v>
      </c>
      <c r="K1635" s="12" t="s">
        <v>3986</v>
      </c>
      <c r="L1635" s="12" t="s">
        <v>8285</v>
      </c>
      <c r="M1635" s="12" t="s">
        <v>8286</v>
      </c>
      <c r="N1635" s="12">
        <v>76850</v>
      </c>
      <c r="O1635" s="12">
        <v>4767</v>
      </c>
      <c r="P1635" s="12">
        <v>5</v>
      </c>
      <c r="Q1635" s="12" t="s">
        <v>8287</v>
      </c>
      <c r="R1635" s="15" t="s">
        <v>8288</v>
      </c>
      <c r="S1635" s="12">
        <v>85</v>
      </c>
      <c r="T1635" s="12" t="s">
        <v>39</v>
      </c>
      <c r="U1635" s="12" t="s">
        <v>40</v>
      </c>
      <c r="V1635" s="12" t="s">
        <v>41</v>
      </c>
      <c r="W1635" s="12">
        <v>30000000</v>
      </c>
      <c r="X1635" s="12">
        <v>1994</v>
      </c>
      <c r="Y1635" s="12">
        <v>459</v>
      </c>
      <c r="Z1635" s="12">
        <v>6.4</v>
      </c>
      <c r="AA1635" s="12">
        <v>1.85</v>
      </c>
      <c r="AB1635" s="12">
        <v>1000</v>
      </c>
      <c r="AC1635" s="12"/>
      <c r="AD1635" s="12" t="str">
        <f>IFERROR(__xludf.DUMMYFUNCTION("""COMPUTED_VALUE"""),"Ye Liu")</f>
        <v>Ye Liu</v>
      </c>
      <c r="AE1635" s="12"/>
    </row>
    <row r="1636" customHeight="1" spans="1:31">
      <c r="A1636" s="11" t="s">
        <v>30</v>
      </c>
      <c r="B1636" s="11" t="s">
        <v>6143</v>
      </c>
      <c r="C1636" s="11">
        <v>108</v>
      </c>
      <c r="D1636" s="11">
        <v>131</v>
      </c>
      <c r="E1636" s="11">
        <v>46</v>
      </c>
      <c r="F1636" s="11">
        <v>433</v>
      </c>
      <c r="G1636" s="11">
        <v>1000</v>
      </c>
      <c r="H1636" s="11">
        <v>50300000</v>
      </c>
      <c r="I1636" s="11" t="s">
        <v>51</v>
      </c>
      <c r="J1636" s="11" t="s">
        <v>8289</v>
      </c>
      <c r="K1636" s="11" t="s">
        <v>5521</v>
      </c>
      <c r="L1636" s="11" t="s">
        <v>8290</v>
      </c>
      <c r="M1636" s="11" t="s">
        <v>8291</v>
      </c>
      <c r="N1636" s="11">
        <v>68565</v>
      </c>
      <c r="O1636" s="11">
        <v>2943</v>
      </c>
      <c r="P1636" s="11">
        <v>2</v>
      </c>
      <c r="Q1636" s="11" t="s">
        <v>8292</v>
      </c>
      <c r="R1636" s="14" t="s">
        <v>8293</v>
      </c>
      <c r="S1636" s="11">
        <v>300</v>
      </c>
      <c r="T1636" s="11" t="s">
        <v>39</v>
      </c>
      <c r="U1636" s="11" t="s">
        <v>58</v>
      </c>
      <c r="V1636" s="11" t="s">
        <v>96</v>
      </c>
      <c r="W1636" s="11">
        <v>30000000</v>
      </c>
      <c r="X1636" s="11">
        <v>1985</v>
      </c>
      <c r="Y1636" s="11">
        <v>439</v>
      </c>
      <c r="Z1636" s="11">
        <v>6.3</v>
      </c>
      <c r="AA1636" s="11">
        <v>2.35</v>
      </c>
      <c r="AB1636" s="11">
        <v>0</v>
      </c>
      <c r="AC1636" s="11"/>
      <c r="AD1636" s="11" t="str">
        <f>IFERROR(__xludf.DUMMYFUNCTION("""COMPUTED_VALUE"""),"Man Li")</f>
        <v>Man Li</v>
      </c>
      <c r="AE1636" s="11"/>
    </row>
    <row r="1637" customHeight="1" spans="1:31">
      <c r="A1637" s="12" t="s">
        <v>30</v>
      </c>
      <c r="B1637" s="12" t="s">
        <v>8294</v>
      </c>
      <c r="C1637" s="12">
        <v>209</v>
      </c>
      <c r="D1637" s="12">
        <v>85</v>
      </c>
      <c r="E1637" s="12">
        <v>9</v>
      </c>
      <c r="F1637" s="12">
        <v>100</v>
      </c>
      <c r="G1637" s="12">
        <v>567</v>
      </c>
      <c r="H1637" s="12">
        <v>56068547</v>
      </c>
      <c r="I1637" s="12" t="s">
        <v>8295</v>
      </c>
      <c r="J1637" s="12" t="s">
        <v>8296</v>
      </c>
      <c r="K1637" s="12" t="s">
        <v>8297</v>
      </c>
      <c r="L1637" s="12" t="s">
        <v>8298</v>
      </c>
      <c r="M1637" s="12" t="s">
        <v>8299</v>
      </c>
      <c r="N1637" s="12">
        <v>98160</v>
      </c>
      <c r="O1637" s="12">
        <v>1145</v>
      </c>
      <c r="P1637" s="12">
        <v>0</v>
      </c>
      <c r="Q1637" s="12" t="s">
        <v>8300</v>
      </c>
      <c r="R1637" s="15" t="s">
        <v>8301</v>
      </c>
      <c r="S1637" s="12">
        <v>307</v>
      </c>
      <c r="T1637" s="12" t="s">
        <v>39</v>
      </c>
      <c r="U1637" s="12" t="s">
        <v>58</v>
      </c>
      <c r="V1637" s="12" t="s">
        <v>278</v>
      </c>
      <c r="W1637" s="12">
        <v>30000000</v>
      </c>
      <c r="X1637" s="12">
        <v>2005</v>
      </c>
      <c r="Y1637" s="12">
        <v>269</v>
      </c>
      <c r="Z1637" s="12">
        <v>7.5</v>
      </c>
      <c r="AA1637" s="12">
        <v>1.85</v>
      </c>
      <c r="AB1637" s="12">
        <v>0</v>
      </c>
      <c r="AC1637" s="12"/>
      <c r="AD1637" s="12" t="str">
        <f>IFERROR(__xludf.DUMMYFUNCTION("""COMPUTED_VALUE"""),"Charlie Yeung")</f>
        <v>Charlie Yeung</v>
      </c>
      <c r="AE1637" s="12"/>
    </row>
    <row r="1638" customHeight="1" spans="1:31">
      <c r="A1638" s="11" t="s">
        <v>30</v>
      </c>
      <c r="B1638" s="11" t="s">
        <v>5463</v>
      </c>
      <c r="C1638" s="11">
        <v>131</v>
      </c>
      <c r="D1638" s="11">
        <v>126</v>
      </c>
      <c r="E1638" s="11">
        <v>98</v>
      </c>
      <c r="F1638" s="11">
        <v>37</v>
      </c>
      <c r="G1638" s="11">
        <v>18000</v>
      </c>
      <c r="H1638" s="11">
        <v>53680848</v>
      </c>
      <c r="I1638" s="11" t="s">
        <v>214</v>
      </c>
      <c r="J1638" s="11" t="s">
        <v>641</v>
      </c>
      <c r="K1638" s="11" t="s">
        <v>5356</v>
      </c>
      <c r="L1638" s="11" t="s">
        <v>8302</v>
      </c>
      <c r="M1638" s="11" t="s">
        <v>8303</v>
      </c>
      <c r="N1638" s="11">
        <v>167967</v>
      </c>
      <c r="O1638" s="11">
        <v>18726</v>
      </c>
      <c r="P1638" s="11">
        <v>1</v>
      </c>
      <c r="Q1638" s="11" t="s">
        <v>8304</v>
      </c>
      <c r="R1638" s="14" t="s">
        <v>8305</v>
      </c>
      <c r="S1638" s="11">
        <v>243</v>
      </c>
      <c r="T1638" s="11" t="s">
        <v>39</v>
      </c>
      <c r="U1638" s="11" t="s">
        <v>40</v>
      </c>
      <c r="V1638" s="11" t="s">
        <v>41</v>
      </c>
      <c r="W1638" s="11">
        <v>30000000</v>
      </c>
      <c r="X1638" s="11">
        <v>2007</v>
      </c>
      <c r="Y1638" s="11">
        <v>631</v>
      </c>
      <c r="Z1638" s="11">
        <v>7.1</v>
      </c>
      <c r="AA1638" s="11">
        <v>1.85</v>
      </c>
      <c r="AB1638" s="11">
        <v>20000</v>
      </c>
      <c r="AC1638" s="11"/>
      <c r="AD1638" s="11" t="str">
        <f>IFERROR(__xludf.DUMMYFUNCTION("""COMPUTED_VALUE"""),"James With")</f>
        <v>James With</v>
      </c>
      <c r="AE1638" s="11"/>
    </row>
    <row r="1639" customHeight="1" spans="1:31">
      <c r="A1639" s="12" t="s">
        <v>30</v>
      </c>
      <c r="B1639" s="12" t="s">
        <v>6695</v>
      </c>
      <c r="C1639" s="12">
        <v>73</v>
      </c>
      <c r="D1639" s="12">
        <v>102</v>
      </c>
      <c r="E1639" s="12">
        <v>7</v>
      </c>
      <c r="F1639" s="12">
        <v>521</v>
      </c>
      <c r="G1639" s="12">
        <v>984</v>
      </c>
      <c r="H1639" s="12">
        <v>49186871</v>
      </c>
      <c r="I1639" s="12" t="s">
        <v>8306</v>
      </c>
      <c r="J1639" s="12" t="s">
        <v>354</v>
      </c>
      <c r="K1639" s="12" t="s">
        <v>8307</v>
      </c>
      <c r="L1639" s="12" t="s">
        <v>5379</v>
      </c>
      <c r="M1639" s="12" t="s">
        <v>8308</v>
      </c>
      <c r="N1639" s="12">
        <v>12570</v>
      </c>
      <c r="O1639" s="12">
        <v>2910</v>
      </c>
      <c r="P1639" s="12">
        <v>0</v>
      </c>
      <c r="Q1639" s="12" t="s">
        <v>8309</v>
      </c>
      <c r="R1639" s="15" t="s">
        <v>8310</v>
      </c>
      <c r="S1639" s="12">
        <v>86</v>
      </c>
      <c r="T1639" s="12" t="s">
        <v>39</v>
      </c>
      <c r="U1639" s="12" t="s">
        <v>40</v>
      </c>
      <c r="V1639" s="12" t="s">
        <v>96</v>
      </c>
      <c r="W1639" s="16"/>
      <c r="X1639" s="12">
        <v>2005</v>
      </c>
      <c r="Y1639" s="12">
        <v>934</v>
      </c>
      <c r="Z1639" s="12">
        <v>5.2</v>
      </c>
      <c r="AA1639" s="12">
        <v>1.85</v>
      </c>
      <c r="AB1639" s="12">
        <v>771</v>
      </c>
      <c r="AC1639" s="12"/>
      <c r="AD1639" s="12" t="str">
        <f>IFERROR(__xludf.DUMMYFUNCTION("""COMPUTED_VALUE"""),"Omar Epps")</f>
        <v>Omar Epps</v>
      </c>
      <c r="AE1639" s="12"/>
    </row>
    <row r="1640" customHeight="1" spans="1:31">
      <c r="A1640" s="11" t="s">
        <v>30</v>
      </c>
      <c r="B1640" s="11" t="s">
        <v>941</v>
      </c>
      <c r="C1640" s="11">
        <v>316</v>
      </c>
      <c r="D1640" s="11">
        <v>123</v>
      </c>
      <c r="E1640" s="11">
        <v>456</v>
      </c>
      <c r="F1640" s="11">
        <v>286</v>
      </c>
      <c r="G1640" s="11">
        <v>19000</v>
      </c>
      <c r="H1640" s="11">
        <v>50921738</v>
      </c>
      <c r="I1640" s="11" t="s">
        <v>4817</v>
      </c>
      <c r="J1640" s="11" t="s">
        <v>353</v>
      </c>
      <c r="K1640" s="11" t="s">
        <v>8311</v>
      </c>
      <c r="L1640" s="11" t="s">
        <v>8312</v>
      </c>
      <c r="M1640" s="11" t="s">
        <v>8313</v>
      </c>
      <c r="N1640" s="11">
        <v>192930</v>
      </c>
      <c r="O1640" s="11">
        <v>20499</v>
      </c>
      <c r="P1640" s="11">
        <v>1</v>
      </c>
      <c r="Q1640" s="11" t="s">
        <v>8314</v>
      </c>
      <c r="R1640" s="14" t="s">
        <v>8315</v>
      </c>
      <c r="S1640" s="11">
        <v>581</v>
      </c>
      <c r="T1640" s="11" t="s">
        <v>39</v>
      </c>
      <c r="U1640" s="11" t="s">
        <v>58</v>
      </c>
      <c r="V1640" s="11" t="s">
        <v>586</v>
      </c>
      <c r="W1640" s="11">
        <v>30000000</v>
      </c>
      <c r="X1640" s="11">
        <v>2007</v>
      </c>
      <c r="Y1640" s="11">
        <v>1000</v>
      </c>
      <c r="Z1640" s="11">
        <v>7.8</v>
      </c>
      <c r="AA1640" s="11">
        <v>1.85</v>
      </c>
      <c r="AB1640" s="11">
        <v>12000</v>
      </c>
      <c r="AC1640" s="11"/>
      <c r="AD1640" s="11" t="str">
        <f>IFERROR(__xludf.DUMMYFUNCTION("""COMPUTED_VALUE"""),"Marcela Mar")</f>
        <v>Marcela Mar</v>
      </c>
      <c r="AE1640" s="11"/>
    </row>
    <row r="1641" customHeight="1" spans="1:31">
      <c r="A1641" s="12" t="s">
        <v>30</v>
      </c>
      <c r="B1641" s="12" t="s">
        <v>2562</v>
      </c>
      <c r="C1641" s="12">
        <v>159</v>
      </c>
      <c r="D1641" s="12">
        <v>105</v>
      </c>
      <c r="E1641" s="12">
        <v>56</v>
      </c>
      <c r="F1641" s="12">
        <v>22</v>
      </c>
      <c r="G1641" s="12">
        <v>898</v>
      </c>
      <c r="H1641" s="12">
        <v>53021560</v>
      </c>
      <c r="I1641" s="12" t="s">
        <v>1415</v>
      </c>
      <c r="J1641" s="12" t="s">
        <v>2535</v>
      </c>
      <c r="K1641" s="12" t="s">
        <v>8316</v>
      </c>
      <c r="L1641" s="12" t="s">
        <v>8317</v>
      </c>
      <c r="M1641" s="12" t="s">
        <v>8318</v>
      </c>
      <c r="N1641" s="12">
        <v>74630</v>
      </c>
      <c r="O1641" s="12">
        <v>1026</v>
      </c>
      <c r="P1641" s="12">
        <v>1</v>
      </c>
      <c r="Q1641" s="12" t="s">
        <v>8319</v>
      </c>
      <c r="R1641" s="15" t="s">
        <v>8320</v>
      </c>
      <c r="S1641" s="12">
        <v>156</v>
      </c>
      <c r="T1641" s="12" t="s">
        <v>39</v>
      </c>
      <c r="U1641" s="12" t="s">
        <v>40</v>
      </c>
      <c r="V1641" s="12" t="s">
        <v>96</v>
      </c>
      <c r="W1641" s="12">
        <v>30000000</v>
      </c>
      <c r="X1641" s="12">
        <v>2010</v>
      </c>
      <c r="Y1641" s="12">
        <v>60</v>
      </c>
      <c r="Z1641" s="12">
        <v>6.5</v>
      </c>
      <c r="AA1641" s="12">
        <v>2.35</v>
      </c>
      <c r="AB1641" s="12">
        <v>13000</v>
      </c>
      <c r="AC1641" s="12"/>
      <c r="AD1641" s="12" t="str">
        <f>IFERROR(__xludf.DUMMYFUNCTION("""COMPUTED_VALUE"""),"Giovanna Mezzogiorno")</f>
        <v>Giovanna Mezzogiorno</v>
      </c>
      <c r="AE1641" s="12"/>
    </row>
    <row r="1642" customHeight="1" spans="1:31">
      <c r="A1642" s="11" t="s">
        <v>30</v>
      </c>
      <c r="B1642" s="11" t="s">
        <v>188</v>
      </c>
      <c r="C1642" s="11">
        <v>63</v>
      </c>
      <c r="D1642" s="11">
        <v>125</v>
      </c>
      <c r="E1642" s="11">
        <v>0</v>
      </c>
      <c r="F1642" s="11">
        <v>237</v>
      </c>
      <c r="G1642" s="11">
        <v>939</v>
      </c>
      <c r="H1642" s="11">
        <v>45645204</v>
      </c>
      <c r="I1642" s="11" t="s">
        <v>334</v>
      </c>
      <c r="J1642" s="11" t="s">
        <v>1147</v>
      </c>
      <c r="K1642" s="11" t="s">
        <v>8321</v>
      </c>
      <c r="L1642" s="11" t="s">
        <v>8322</v>
      </c>
      <c r="M1642" s="11" t="s">
        <v>8323</v>
      </c>
      <c r="N1642" s="11">
        <v>39306</v>
      </c>
      <c r="O1642" s="11">
        <v>1748</v>
      </c>
      <c r="P1642" s="11">
        <v>2</v>
      </c>
      <c r="Q1642" s="11" t="s">
        <v>8324</v>
      </c>
      <c r="R1642" s="14" t="s">
        <v>8325</v>
      </c>
      <c r="S1642" s="11">
        <v>119</v>
      </c>
      <c r="T1642" s="11" t="s">
        <v>39</v>
      </c>
      <c r="U1642" s="11" t="s">
        <v>40</v>
      </c>
      <c r="V1642" s="11" t="s">
        <v>586</v>
      </c>
      <c r="W1642" s="11">
        <v>30000000</v>
      </c>
      <c r="X1642" s="11">
        <v>1989</v>
      </c>
      <c r="Y1642" s="11">
        <v>255</v>
      </c>
      <c r="Z1642" s="11">
        <v>6.6</v>
      </c>
      <c r="AA1642" s="11">
        <v>2.35</v>
      </c>
      <c r="AB1642" s="11">
        <v>0</v>
      </c>
      <c r="AC1642" s="11"/>
      <c r="AD1642" s="11" t="str">
        <f>IFERROR(__xludf.DUMMYFUNCTION("""COMPUTED_VALUE"""),"Unax Ugalde")</f>
        <v>Unax Ugalde</v>
      </c>
      <c r="AE1642" s="11"/>
    </row>
    <row r="1643" customHeight="1" spans="1:31">
      <c r="A1643" s="12" t="s">
        <v>30</v>
      </c>
      <c r="B1643" s="12" t="s">
        <v>3495</v>
      </c>
      <c r="C1643" s="12">
        <v>162</v>
      </c>
      <c r="D1643" s="12">
        <v>92</v>
      </c>
      <c r="E1643" s="12">
        <v>101</v>
      </c>
      <c r="F1643" s="12">
        <v>760</v>
      </c>
      <c r="G1643" s="12">
        <v>971</v>
      </c>
      <c r="H1643" s="12">
        <v>44328238</v>
      </c>
      <c r="I1643" s="12" t="s">
        <v>1672</v>
      </c>
      <c r="J1643" s="12" t="s">
        <v>6398</v>
      </c>
      <c r="K1643" s="12" t="s">
        <v>8326</v>
      </c>
      <c r="L1643" s="12" t="s">
        <v>274</v>
      </c>
      <c r="M1643" s="12" t="s">
        <v>8327</v>
      </c>
      <c r="N1643" s="12">
        <v>25484</v>
      </c>
      <c r="O1643" s="12">
        <v>6137</v>
      </c>
      <c r="P1643" s="12">
        <v>0</v>
      </c>
      <c r="Q1643" s="12" t="s">
        <v>8328</v>
      </c>
      <c r="R1643" s="15" t="s">
        <v>8329</v>
      </c>
      <c r="S1643" s="12">
        <v>189</v>
      </c>
      <c r="T1643" s="12" t="s">
        <v>39</v>
      </c>
      <c r="U1643" s="12" t="s">
        <v>40</v>
      </c>
      <c r="V1643" s="12" t="s">
        <v>96</v>
      </c>
      <c r="W1643" s="16"/>
      <c r="X1643" s="12">
        <v>2012</v>
      </c>
      <c r="Y1643" s="12">
        <v>860</v>
      </c>
      <c r="Z1643" s="12">
        <v>5.1</v>
      </c>
      <c r="AA1643" s="12">
        <v>1.85</v>
      </c>
      <c r="AB1643" s="12">
        <v>13000</v>
      </c>
      <c r="AC1643" s="12"/>
      <c r="AD1643" s="12" t="str">
        <f>IFERROR(__xludf.DUMMYFUNCTION("""COMPUTED_VALUE"""),"Pierre Perrier")</f>
        <v>Pierre Perrier</v>
      </c>
      <c r="AE1643" s="12"/>
    </row>
    <row r="1644" customHeight="1" spans="1:31">
      <c r="A1644" s="11" t="s">
        <v>30</v>
      </c>
      <c r="B1644" s="11" t="s">
        <v>256</v>
      </c>
      <c r="C1644" s="11">
        <v>267</v>
      </c>
      <c r="D1644" s="11">
        <v>77</v>
      </c>
      <c r="E1644" s="11">
        <v>13000</v>
      </c>
      <c r="F1644" s="11">
        <v>973</v>
      </c>
      <c r="G1644" s="11">
        <v>40000</v>
      </c>
      <c r="H1644" s="11">
        <v>53337608</v>
      </c>
      <c r="I1644" s="11" t="s">
        <v>8330</v>
      </c>
      <c r="J1644" s="11" t="s">
        <v>44</v>
      </c>
      <c r="K1644" s="11" t="s">
        <v>201</v>
      </c>
      <c r="L1644" s="11" t="s">
        <v>7542</v>
      </c>
      <c r="M1644" s="11" t="s">
        <v>8331</v>
      </c>
      <c r="N1644" s="11">
        <v>188785</v>
      </c>
      <c r="O1644" s="11">
        <v>60683</v>
      </c>
      <c r="P1644" s="11">
        <v>1</v>
      </c>
      <c r="Q1644" s="11" t="s">
        <v>8332</v>
      </c>
      <c r="R1644" s="14" t="s">
        <v>8333</v>
      </c>
      <c r="S1644" s="11">
        <v>467</v>
      </c>
      <c r="T1644" s="11" t="s">
        <v>39</v>
      </c>
      <c r="U1644" s="11" t="s">
        <v>40</v>
      </c>
      <c r="V1644" s="11" t="s">
        <v>96</v>
      </c>
      <c r="W1644" s="11">
        <v>40000000</v>
      </c>
      <c r="X1644" s="11">
        <v>2005</v>
      </c>
      <c r="Y1644" s="11">
        <v>16000</v>
      </c>
      <c r="Z1644" s="11">
        <v>7.4</v>
      </c>
      <c r="AA1644" s="11">
        <v>1.85</v>
      </c>
      <c r="AB1644" s="11">
        <v>0</v>
      </c>
      <c r="AC1644" s="11"/>
      <c r="AD1644" s="11" t="str">
        <f>IFERROR(__xludf.DUMMYFUNCTION("""COMPUTED_VALUE"""),"Clotilde Hesme")</f>
        <v>Clotilde Hesme</v>
      </c>
      <c r="AE1644" s="11"/>
    </row>
    <row r="1645" customHeight="1" spans="1:31">
      <c r="A1645" s="12" t="s">
        <v>30</v>
      </c>
      <c r="B1645" s="12" t="s">
        <v>8334</v>
      </c>
      <c r="C1645" s="12">
        <v>95</v>
      </c>
      <c r="D1645" s="12">
        <v>118</v>
      </c>
      <c r="E1645" s="12">
        <v>0</v>
      </c>
      <c r="F1645" s="12">
        <v>543</v>
      </c>
      <c r="G1645" s="12">
        <v>696</v>
      </c>
      <c r="H1645" s="12">
        <v>42643187</v>
      </c>
      <c r="I1645" s="12" t="s">
        <v>1635</v>
      </c>
      <c r="J1645" s="12" t="s">
        <v>8335</v>
      </c>
      <c r="K1645" s="12" t="s">
        <v>7603</v>
      </c>
      <c r="L1645" s="12" t="s">
        <v>8336</v>
      </c>
      <c r="M1645" s="12" t="s">
        <v>8337</v>
      </c>
      <c r="N1645" s="12">
        <v>34910</v>
      </c>
      <c r="O1645" s="12">
        <v>2577</v>
      </c>
      <c r="P1645" s="12">
        <v>1</v>
      </c>
      <c r="Q1645" s="12" t="s">
        <v>8338</v>
      </c>
      <c r="R1645" s="15" t="s">
        <v>8339</v>
      </c>
      <c r="S1645" s="12">
        <v>145</v>
      </c>
      <c r="T1645" s="12" t="s">
        <v>39</v>
      </c>
      <c r="U1645" s="12" t="s">
        <v>40</v>
      </c>
      <c r="V1645" s="12" t="s">
        <v>96</v>
      </c>
      <c r="W1645" s="16"/>
      <c r="X1645" s="12">
        <v>2006</v>
      </c>
      <c r="Y1645" s="12">
        <v>663</v>
      </c>
      <c r="Z1645" s="12">
        <v>7.2</v>
      </c>
      <c r="AA1645" s="12">
        <v>2.35</v>
      </c>
      <c r="AB1645" s="12">
        <v>0</v>
      </c>
      <c r="AC1645" s="12"/>
      <c r="AD1645" s="12" t="str">
        <f>IFERROR(__xludf.DUMMYFUNCTION("""COMPUTED_VALUE"""),"Céline Sallette")</f>
        <v>Céline Sallette</v>
      </c>
      <c r="AE1645" s="12"/>
    </row>
    <row r="1646" customHeight="1" spans="1:31">
      <c r="A1646" s="11" t="s">
        <v>30</v>
      </c>
      <c r="B1646" s="11" t="s">
        <v>5744</v>
      </c>
      <c r="C1646" s="11">
        <v>478</v>
      </c>
      <c r="D1646" s="11">
        <v>121</v>
      </c>
      <c r="E1646" s="11">
        <v>777</v>
      </c>
      <c r="F1646" s="11">
        <v>219</v>
      </c>
      <c r="G1646" s="11">
        <v>455</v>
      </c>
      <c r="H1646" s="11">
        <v>46875468</v>
      </c>
      <c r="I1646" s="11" t="s">
        <v>1120</v>
      </c>
      <c r="J1646" s="11" t="s">
        <v>8340</v>
      </c>
      <c r="K1646" s="11" t="s">
        <v>8341</v>
      </c>
      <c r="L1646" s="11" t="s">
        <v>5992</v>
      </c>
      <c r="M1646" s="11" t="s">
        <v>8342</v>
      </c>
      <c r="N1646" s="11">
        <v>196217</v>
      </c>
      <c r="O1646" s="11">
        <v>1467</v>
      </c>
      <c r="P1646" s="11">
        <v>2</v>
      </c>
      <c r="Q1646" s="11" t="s">
        <v>8343</v>
      </c>
      <c r="R1646" s="14" t="s">
        <v>8344</v>
      </c>
      <c r="S1646" s="11">
        <v>461</v>
      </c>
      <c r="T1646" s="11" t="s">
        <v>39</v>
      </c>
      <c r="U1646" s="11" t="s">
        <v>40</v>
      </c>
      <c r="V1646" s="11" t="s">
        <v>586</v>
      </c>
      <c r="W1646" s="11">
        <v>30000000</v>
      </c>
      <c r="X1646" s="11">
        <v>2015</v>
      </c>
      <c r="Y1646" s="11">
        <v>221</v>
      </c>
      <c r="Z1646" s="11">
        <v>7.6</v>
      </c>
      <c r="AA1646" s="11">
        <v>2.39</v>
      </c>
      <c r="AB1646" s="11">
        <v>59000</v>
      </c>
      <c r="AC1646" s="11"/>
      <c r="AD1646" s="11" t="str">
        <f>IFERROR(__xludf.DUMMYFUNCTION("""COMPUTED_VALUE"""),"Sam Waterston")</f>
        <v>Sam Waterston</v>
      </c>
      <c r="AE1646" s="11"/>
    </row>
    <row r="1647" customHeight="1" spans="1:31">
      <c r="A1647" s="12" t="s">
        <v>30</v>
      </c>
      <c r="B1647" s="12" t="s">
        <v>3099</v>
      </c>
      <c r="C1647" s="12">
        <v>305</v>
      </c>
      <c r="D1647" s="12">
        <v>124</v>
      </c>
      <c r="E1647" s="12">
        <v>845</v>
      </c>
      <c r="F1647" s="12">
        <v>424</v>
      </c>
      <c r="G1647" s="12">
        <v>15000</v>
      </c>
      <c r="H1647" s="12">
        <v>52418902</v>
      </c>
      <c r="I1647" s="12" t="s">
        <v>3794</v>
      </c>
      <c r="J1647" s="12" t="s">
        <v>373</v>
      </c>
      <c r="K1647" s="12" t="s">
        <v>3526</v>
      </c>
      <c r="L1647" s="12" t="s">
        <v>8345</v>
      </c>
      <c r="M1647" s="12" t="s">
        <v>8346</v>
      </c>
      <c r="N1647" s="12">
        <v>147128</v>
      </c>
      <c r="O1647" s="12">
        <v>16881</v>
      </c>
      <c r="P1647" s="12">
        <v>0</v>
      </c>
      <c r="Q1647" s="12" t="s">
        <v>8347</v>
      </c>
      <c r="R1647" s="15" t="s">
        <v>8348</v>
      </c>
      <c r="S1647" s="12">
        <v>277</v>
      </c>
      <c r="T1647" s="12" t="s">
        <v>39</v>
      </c>
      <c r="U1647" s="12" t="s">
        <v>40</v>
      </c>
      <c r="V1647" s="12" t="s">
        <v>586</v>
      </c>
      <c r="W1647" s="12">
        <v>30000000</v>
      </c>
      <c r="X1647" s="12">
        <v>2015</v>
      </c>
      <c r="Y1647" s="12">
        <v>1000</v>
      </c>
      <c r="Z1647" s="12">
        <v>7.5</v>
      </c>
      <c r="AA1647" s="12">
        <v>2.35</v>
      </c>
      <c r="AB1647" s="12">
        <v>44000</v>
      </c>
      <c r="AC1647" s="12"/>
      <c r="AD1647" s="12" t="str">
        <f>IFERROR(__xludf.DUMMYFUNCTION("""COMPUTED_VALUE"""),"Daniel Kaluuya")</f>
        <v>Daniel Kaluuya</v>
      </c>
      <c r="AE1647" s="12"/>
    </row>
    <row r="1648" customHeight="1" spans="1:31">
      <c r="A1648" s="11" t="s">
        <v>30</v>
      </c>
      <c r="B1648" s="11" t="s">
        <v>80</v>
      </c>
      <c r="C1648" s="11">
        <v>397</v>
      </c>
      <c r="D1648" s="11">
        <v>99</v>
      </c>
      <c r="E1648" s="11">
        <v>0</v>
      </c>
      <c r="F1648" s="11">
        <v>828</v>
      </c>
      <c r="G1648" s="11">
        <v>2000</v>
      </c>
      <c r="H1648" s="11">
        <v>42057340</v>
      </c>
      <c r="I1648" s="11" t="s">
        <v>5544</v>
      </c>
      <c r="J1648" s="11" t="s">
        <v>4273</v>
      </c>
      <c r="K1648" s="11" t="s">
        <v>3386</v>
      </c>
      <c r="L1648" s="11" t="s">
        <v>6119</v>
      </c>
      <c r="M1648" s="11" t="s">
        <v>8349</v>
      </c>
      <c r="N1648" s="11">
        <v>158354</v>
      </c>
      <c r="O1648" s="11">
        <v>5642</v>
      </c>
      <c r="P1648" s="11">
        <v>0</v>
      </c>
      <c r="Q1648" s="11" t="s">
        <v>8350</v>
      </c>
      <c r="R1648" s="14" t="s">
        <v>8351</v>
      </c>
      <c r="S1648" s="11">
        <v>691</v>
      </c>
      <c r="T1648" s="11" t="s">
        <v>39</v>
      </c>
      <c r="U1648" s="11" t="s">
        <v>40</v>
      </c>
      <c r="V1648" s="11" t="s">
        <v>41</v>
      </c>
      <c r="W1648" s="11">
        <v>30000000</v>
      </c>
      <c r="X1648" s="11">
        <v>2009</v>
      </c>
      <c r="Y1648" s="11">
        <v>1000</v>
      </c>
      <c r="Z1648" s="11">
        <v>6.6</v>
      </c>
      <c r="AA1648" s="11">
        <v>2.35</v>
      </c>
      <c r="AB1648" s="11">
        <v>11000</v>
      </c>
      <c r="AC1648" s="11"/>
      <c r="AD1648" s="11" t="str">
        <f>IFERROR(__xludf.DUMMYFUNCTION("""COMPUTED_VALUE"""),"Tim McInnerny")</f>
        <v>Tim McInnerny</v>
      </c>
      <c r="AE1648" s="11"/>
    </row>
    <row r="1649" customHeight="1" spans="1:31">
      <c r="A1649" s="12" t="s">
        <v>30</v>
      </c>
      <c r="B1649" s="12" t="s">
        <v>8352</v>
      </c>
      <c r="C1649" s="12">
        <v>214</v>
      </c>
      <c r="D1649" s="12">
        <v>112</v>
      </c>
      <c r="E1649" s="12">
        <v>43</v>
      </c>
      <c r="F1649" s="12">
        <v>1000</v>
      </c>
      <c r="G1649" s="12">
        <v>11000</v>
      </c>
      <c r="H1649" s="12">
        <v>42478175</v>
      </c>
      <c r="I1649" s="12" t="s">
        <v>687</v>
      </c>
      <c r="J1649" s="12" t="s">
        <v>391</v>
      </c>
      <c r="K1649" s="12" t="s">
        <v>7646</v>
      </c>
      <c r="L1649" s="12" t="s">
        <v>7764</v>
      </c>
      <c r="M1649" s="12" t="s">
        <v>8353</v>
      </c>
      <c r="N1649" s="12">
        <v>93767</v>
      </c>
      <c r="O1649" s="12">
        <v>15327</v>
      </c>
      <c r="P1649" s="12">
        <v>1</v>
      </c>
      <c r="Q1649" s="12" t="s">
        <v>8354</v>
      </c>
      <c r="R1649" s="15" t="s">
        <v>8355</v>
      </c>
      <c r="S1649" s="12">
        <v>209</v>
      </c>
      <c r="T1649" s="12" t="s">
        <v>39</v>
      </c>
      <c r="U1649" s="12" t="s">
        <v>40</v>
      </c>
      <c r="V1649" s="12" t="s">
        <v>41</v>
      </c>
      <c r="W1649" s="12">
        <v>25000000</v>
      </c>
      <c r="X1649" s="12">
        <v>2015</v>
      </c>
      <c r="Y1649" s="12">
        <v>2000</v>
      </c>
      <c r="Z1649" s="12">
        <v>7.2</v>
      </c>
      <c r="AA1649" s="12">
        <v>2.35</v>
      </c>
      <c r="AB1649" s="12">
        <v>34000</v>
      </c>
      <c r="AC1649" s="12"/>
      <c r="AD1649" s="12" t="str">
        <f>IFERROR(__xludf.DUMMYFUNCTION("""COMPUTED_VALUE"""),"Togo Igawa")</f>
        <v>Togo Igawa</v>
      </c>
      <c r="AE1649" s="12"/>
    </row>
    <row r="1650" customHeight="1" spans="1:31">
      <c r="A1650" s="11" t="s">
        <v>30</v>
      </c>
      <c r="B1650" s="11" t="s">
        <v>8356</v>
      </c>
      <c r="C1650" s="11">
        <v>82</v>
      </c>
      <c r="D1650" s="11">
        <v>111</v>
      </c>
      <c r="E1650" s="11">
        <v>23</v>
      </c>
      <c r="F1650" s="11">
        <v>1000</v>
      </c>
      <c r="G1650" s="11">
        <v>3000</v>
      </c>
      <c r="H1650" s="11">
        <v>41407470</v>
      </c>
      <c r="I1650" s="11" t="s">
        <v>3932</v>
      </c>
      <c r="J1650" s="11" t="s">
        <v>2190</v>
      </c>
      <c r="K1650" s="11" t="s">
        <v>1689</v>
      </c>
      <c r="L1650" s="11" t="s">
        <v>8357</v>
      </c>
      <c r="M1650" s="11" t="s">
        <v>8358</v>
      </c>
      <c r="N1650" s="11">
        <v>43378</v>
      </c>
      <c r="O1650" s="11">
        <v>9638</v>
      </c>
      <c r="P1650" s="11">
        <v>1</v>
      </c>
      <c r="Q1650" s="11" t="s">
        <v>8359</v>
      </c>
      <c r="R1650" s="14" t="s">
        <v>8360</v>
      </c>
      <c r="S1650" s="11">
        <v>292</v>
      </c>
      <c r="T1650" s="11" t="s">
        <v>39</v>
      </c>
      <c r="U1650" s="11" t="s">
        <v>40</v>
      </c>
      <c r="V1650" s="11" t="s">
        <v>96</v>
      </c>
      <c r="W1650" s="11">
        <v>30000000</v>
      </c>
      <c r="X1650" s="11">
        <v>2003</v>
      </c>
      <c r="Y1650" s="11">
        <v>3000</v>
      </c>
      <c r="Z1650" s="11">
        <v>7.6</v>
      </c>
      <c r="AA1650" s="11">
        <v>1.85</v>
      </c>
      <c r="AB1650" s="11">
        <v>0</v>
      </c>
      <c r="AC1650" s="11"/>
      <c r="AD1650" s="11" t="str">
        <f>IFERROR(__xludf.DUMMYFUNCTION("""COMPUTED_VALUE"""),"Clea DuVall")</f>
        <v>Clea DuVall</v>
      </c>
      <c r="AE1650" s="11"/>
    </row>
    <row r="1651" customHeight="1" spans="1:31">
      <c r="A1651" s="12" t="s">
        <v>30</v>
      </c>
      <c r="B1651" s="12" t="s">
        <v>1072</v>
      </c>
      <c r="C1651" s="12">
        <v>138</v>
      </c>
      <c r="D1651" s="12">
        <v>107</v>
      </c>
      <c r="E1651" s="12">
        <v>209</v>
      </c>
      <c r="F1651" s="12">
        <v>357</v>
      </c>
      <c r="G1651" s="12">
        <v>2000</v>
      </c>
      <c r="H1651" s="12">
        <v>42385520</v>
      </c>
      <c r="I1651" s="12" t="s">
        <v>7837</v>
      </c>
      <c r="J1651" s="12" t="s">
        <v>4018</v>
      </c>
      <c r="K1651" s="12" t="s">
        <v>7839</v>
      </c>
      <c r="L1651" s="12" t="s">
        <v>8361</v>
      </c>
      <c r="M1651" s="12" t="s">
        <v>8362</v>
      </c>
      <c r="N1651" s="12">
        <v>47297</v>
      </c>
      <c r="O1651" s="12">
        <v>4059</v>
      </c>
      <c r="P1651" s="12">
        <v>0</v>
      </c>
      <c r="Q1651" s="12" t="s">
        <v>8363</v>
      </c>
      <c r="R1651" s="15" t="s">
        <v>8364</v>
      </c>
      <c r="S1651" s="12">
        <v>86</v>
      </c>
      <c r="T1651" s="12" t="s">
        <v>39</v>
      </c>
      <c r="U1651" s="12" t="s">
        <v>40</v>
      </c>
      <c r="V1651" s="12" t="s">
        <v>41</v>
      </c>
      <c r="W1651" s="12">
        <v>30000000</v>
      </c>
      <c r="X1651" s="12">
        <v>2010</v>
      </c>
      <c r="Y1651" s="12">
        <v>594</v>
      </c>
      <c r="Z1651" s="12">
        <v>6.2</v>
      </c>
      <c r="AA1651" s="12">
        <v>1.85</v>
      </c>
      <c r="AB1651" s="12">
        <v>16000</v>
      </c>
      <c r="AC1651" s="12"/>
      <c r="AD1651" s="12" t="str">
        <f>IFERROR(__xludf.DUMMYFUNCTION("""COMPUTED_VALUE"""),"Daniel Roebuck")</f>
        <v>Daniel Roebuck</v>
      </c>
      <c r="AE1651" s="12"/>
    </row>
    <row r="1652" customHeight="1" spans="1:31">
      <c r="A1652" s="11" t="s">
        <v>30</v>
      </c>
      <c r="B1652" s="11" t="s">
        <v>5409</v>
      </c>
      <c r="C1652" s="11">
        <v>69</v>
      </c>
      <c r="D1652" s="11">
        <v>104</v>
      </c>
      <c r="E1652" s="11">
        <v>134</v>
      </c>
      <c r="F1652" s="11">
        <v>64</v>
      </c>
      <c r="G1652" s="11">
        <v>585</v>
      </c>
      <c r="H1652" s="11">
        <v>40118420</v>
      </c>
      <c r="I1652" s="11" t="s">
        <v>4916</v>
      </c>
      <c r="J1652" s="11" t="s">
        <v>5227</v>
      </c>
      <c r="K1652" s="11" t="s">
        <v>2765</v>
      </c>
      <c r="L1652" s="11" t="s">
        <v>8365</v>
      </c>
      <c r="M1652" s="11" t="s">
        <v>8366</v>
      </c>
      <c r="N1652" s="11">
        <v>26066</v>
      </c>
      <c r="O1652" s="11">
        <v>1165</v>
      </c>
      <c r="P1652" s="11">
        <v>3</v>
      </c>
      <c r="Q1652" s="11" t="s">
        <v>8367</v>
      </c>
      <c r="R1652" s="14" t="s">
        <v>8368</v>
      </c>
      <c r="S1652" s="11">
        <v>216</v>
      </c>
      <c r="T1652" s="11" t="s">
        <v>39</v>
      </c>
      <c r="U1652" s="11" t="s">
        <v>40</v>
      </c>
      <c r="V1652" s="11" t="s">
        <v>41</v>
      </c>
      <c r="W1652" s="11">
        <v>30000000</v>
      </c>
      <c r="X1652" s="11">
        <v>2002</v>
      </c>
      <c r="Y1652" s="11">
        <v>495</v>
      </c>
      <c r="Z1652" s="11">
        <v>5.6</v>
      </c>
      <c r="AA1652" s="11">
        <v>1.85</v>
      </c>
      <c r="AB1652" s="11">
        <v>0</v>
      </c>
      <c r="AC1652" s="11"/>
      <c r="AD1652" s="11" t="str">
        <f>IFERROR(__xludf.DUMMYFUNCTION("""COMPUTED_VALUE"""),"Julia Nickson")</f>
        <v>Julia Nickson</v>
      </c>
      <c r="AE1652" s="11"/>
    </row>
    <row r="1653" customHeight="1" spans="1:31">
      <c r="A1653" s="12" t="s">
        <v>30</v>
      </c>
      <c r="B1653" s="12" t="s">
        <v>126</v>
      </c>
      <c r="C1653" s="12">
        <v>253</v>
      </c>
      <c r="D1653" s="12">
        <v>113</v>
      </c>
      <c r="E1653" s="12">
        <v>395</v>
      </c>
      <c r="F1653" s="12">
        <v>77</v>
      </c>
      <c r="G1653" s="12">
        <v>8000</v>
      </c>
      <c r="H1653" s="12">
        <v>40137776</v>
      </c>
      <c r="I1653" s="12" t="s">
        <v>2490</v>
      </c>
      <c r="J1653" s="12" t="s">
        <v>1249</v>
      </c>
      <c r="K1653" s="12" t="s">
        <v>8369</v>
      </c>
      <c r="L1653" s="12" t="s">
        <v>8370</v>
      </c>
      <c r="M1653" s="12" t="s">
        <v>8371</v>
      </c>
      <c r="N1653" s="12">
        <v>186977</v>
      </c>
      <c r="O1653" s="12">
        <v>8362</v>
      </c>
      <c r="P1653" s="12">
        <v>1</v>
      </c>
      <c r="Q1653" s="12" t="s">
        <v>8372</v>
      </c>
      <c r="R1653" s="15" t="s">
        <v>8373</v>
      </c>
      <c r="S1653" s="12">
        <v>529</v>
      </c>
      <c r="T1653" s="12" t="s">
        <v>39</v>
      </c>
      <c r="U1653" s="12" t="s">
        <v>40</v>
      </c>
      <c r="V1653" s="12" t="s">
        <v>41</v>
      </c>
      <c r="W1653" s="12">
        <v>38000000</v>
      </c>
      <c r="X1653" s="12">
        <v>2006</v>
      </c>
      <c r="Y1653" s="12">
        <v>189</v>
      </c>
      <c r="Z1653" s="12">
        <v>7.6</v>
      </c>
      <c r="AA1653" s="12">
        <v>1.85</v>
      </c>
      <c r="AB1653" s="12">
        <v>13000</v>
      </c>
      <c r="AC1653" s="12"/>
      <c r="AD1653" s="12" t="str">
        <f>IFERROR(__xludf.DUMMYFUNCTION("""COMPUTED_VALUE"""),"Martin Kove")</f>
        <v>Martin Kove</v>
      </c>
      <c r="AE1653" s="12"/>
    </row>
    <row r="1654" customHeight="1" spans="1:31">
      <c r="A1654" s="11" t="s">
        <v>30</v>
      </c>
      <c r="B1654" s="11" t="s">
        <v>3542</v>
      </c>
      <c r="C1654" s="11">
        <v>304</v>
      </c>
      <c r="D1654" s="11">
        <v>113</v>
      </c>
      <c r="E1654" s="11">
        <v>171</v>
      </c>
      <c r="F1654" s="11">
        <v>63</v>
      </c>
      <c r="G1654" s="11">
        <v>430</v>
      </c>
      <c r="H1654" s="11">
        <v>39568996</v>
      </c>
      <c r="I1654" s="11" t="s">
        <v>6403</v>
      </c>
      <c r="J1654" s="11" t="s">
        <v>2995</v>
      </c>
      <c r="K1654" s="11" t="s">
        <v>8374</v>
      </c>
      <c r="L1654" s="11" t="s">
        <v>8375</v>
      </c>
      <c r="M1654" s="11" t="s">
        <v>8376</v>
      </c>
      <c r="N1654" s="11">
        <v>138435</v>
      </c>
      <c r="O1654" s="11">
        <v>814</v>
      </c>
      <c r="P1654" s="11">
        <v>0</v>
      </c>
      <c r="Q1654" s="11" t="s">
        <v>8377</v>
      </c>
      <c r="R1654" s="14" t="s">
        <v>8378</v>
      </c>
      <c r="S1654" s="11">
        <v>527</v>
      </c>
      <c r="T1654" s="11" t="s">
        <v>39</v>
      </c>
      <c r="U1654" s="11" t="s">
        <v>40</v>
      </c>
      <c r="V1654" s="11" t="s">
        <v>586</v>
      </c>
      <c r="W1654" s="11">
        <v>32000000</v>
      </c>
      <c r="X1654" s="11">
        <v>2007</v>
      </c>
      <c r="Y1654" s="11">
        <v>72</v>
      </c>
      <c r="Z1654" s="11">
        <v>6.6</v>
      </c>
      <c r="AA1654" s="11">
        <v>2.35</v>
      </c>
      <c r="AB1654" s="11">
        <v>0</v>
      </c>
      <c r="AC1654" s="11"/>
      <c r="AD1654" s="11" t="str">
        <f>IFERROR(__xludf.DUMMYFUNCTION("""COMPUTED_VALUE"""),"Mel Blanc")</f>
        <v>Mel Blanc</v>
      </c>
      <c r="AE1654" s="11"/>
    </row>
    <row r="1655" customHeight="1" spans="1:31">
      <c r="A1655" s="12" t="s">
        <v>30</v>
      </c>
      <c r="B1655" s="12" t="s">
        <v>8379</v>
      </c>
      <c r="C1655" s="12">
        <v>634</v>
      </c>
      <c r="D1655" s="12">
        <v>95</v>
      </c>
      <c r="E1655" s="12">
        <v>246</v>
      </c>
      <c r="F1655" s="12">
        <v>751</v>
      </c>
      <c r="G1655" s="12">
        <v>26000</v>
      </c>
      <c r="H1655" s="12">
        <v>42043633</v>
      </c>
      <c r="I1655" s="12" t="s">
        <v>2664</v>
      </c>
      <c r="J1655" s="12" t="s">
        <v>98</v>
      </c>
      <c r="K1655" s="12" t="s">
        <v>5572</v>
      </c>
      <c r="L1655" s="12" t="s">
        <v>4093</v>
      </c>
      <c r="M1655" s="12" t="s">
        <v>8380</v>
      </c>
      <c r="N1655" s="12">
        <v>277172</v>
      </c>
      <c r="O1655" s="12">
        <v>29551</v>
      </c>
      <c r="P1655" s="12">
        <v>0</v>
      </c>
      <c r="Q1655" s="12" t="s">
        <v>8381</v>
      </c>
      <c r="R1655" s="15" t="s">
        <v>8382</v>
      </c>
      <c r="S1655" s="12">
        <v>986</v>
      </c>
      <c r="T1655" s="12" t="s">
        <v>39</v>
      </c>
      <c r="U1655" s="12" t="s">
        <v>40</v>
      </c>
      <c r="V1655" s="12" t="s">
        <v>586</v>
      </c>
      <c r="W1655" s="12">
        <v>30000000</v>
      </c>
      <c r="X1655" s="12">
        <v>2012</v>
      </c>
      <c r="Y1655" s="12">
        <v>821</v>
      </c>
      <c r="Z1655" s="12">
        <v>7</v>
      </c>
      <c r="AA1655" s="12">
        <v>2.35</v>
      </c>
      <c r="AB1655" s="12">
        <v>66000</v>
      </c>
      <c r="AC1655" s="12"/>
      <c r="AD1655" s="12" t="str">
        <f>IFERROR(__xludf.DUMMYFUNCTION("""COMPUTED_VALUE"""),"Dickie Jones")</f>
        <v>Dickie Jones</v>
      </c>
      <c r="AE1655" s="12"/>
    </row>
    <row r="1656" customHeight="1" spans="1:31">
      <c r="A1656" s="11" t="s">
        <v>30</v>
      </c>
      <c r="B1656" s="11" t="s">
        <v>8383</v>
      </c>
      <c r="C1656" s="11">
        <v>111</v>
      </c>
      <c r="D1656" s="11">
        <v>86</v>
      </c>
      <c r="E1656" s="11">
        <v>82</v>
      </c>
      <c r="F1656" s="11">
        <v>362</v>
      </c>
      <c r="G1656" s="11">
        <v>869</v>
      </c>
      <c r="H1656" s="11">
        <v>38232624</v>
      </c>
      <c r="I1656" s="11" t="s">
        <v>1672</v>
      </c>
      <c r="J1656" s="11" t="s">
        <v>2615</v>
      </c>
      <c r="K1656" s="11" t="s">
        <v>864</v>
      </c>
      <c r="L1656" s="11" t="s">
        <v>8384</v>
      </c>
      <c r="M1656" s="11" t="s">
        <v>8385</v>
      </c>
      <c r="N1656" s="11">
        <v>88518</v>
      </c>
      <c r="O1656" s="11">
        <v>3854</v>
      </c>
      <c r="P1656" s="11">
        <v>0</v>
      </c>
      <c r="Q1656" s="11" t="s">
        <v>8386</v>
      </c>
      <c r="R1656" s="14" t="s">
        <v>8387</v>
      </c>
      <c r="S1656" s="11">
        <v>409</v>
      </c>
      <c r="T1656" s="11" t="s">
        <v>39</v>
      </c>
      <c r="U1656" s="11" t="s">
        <v>40</v>
      </c>
      <c r="V1656" s="11" t="s">
        <v>41</v>
      </c>
      <c r="W1656" s="11">
        <v>30000000</v>
      </c>
      <c r="X1656" s="11">
        <v>2008</v>
      </c>
      <c r="Y1656" s="11">
        <v>759</v>
      </c>
      <c r="Z1656" s="11">
        <v>2.7</v>
      </c>
      <c r="AA1656" s="11">
        <v>1.85</v>
      </c>
      <c r="AB1656" s="11">
        <v>0</v>
      </c>
      <c r="AC1656" s="11"/>
      <c r="AD1656" s="11" t="str">
        <f>IFERROR(__xludf.DUMMYFUNCTION("""COMPUTED_VALUE"""),"Cliff Edwards")</f>
        <v>Cliff Edwards</v>
      </c>
      <c r="AE1656" s="11"/>
    </row>
    <row r="1657" customHeight="1" spans="1:31">
      <c r="A1657" s="12" t="s">
        <v>30</v>
      </c>
      <c r="B1657" s="12" t="s">
        <v>2430</v>
      </c>
      <c r="C1657" s="12">
        <v>77</v>
      </c>
      <c r="D1657" s="12">
        <v>126</v>
      </c>
      <c r="E1657" s="12">
        <v>102</v>
      </c>
      <c r="F1657" s="12">
        <v>497</v>
      </c>
      <c r="G1657" s="12">
        <v>22000</v>
      </c>
      <c r="H1657" s="12">
        <v>38413606</v>
      </c>
      <c r="I1657" s="12" t="s">
        <v>422</v>
      </c>
      <c r="J1657" s="12" t="s">
        <v>1746</v>
      </c>
      <c r="K1657" s="12" t="s">
        <v>8388</v>
      </c>
      <c r="L1657" s="12" t="s">
        <v>3538</v>
      </c>
      <c r="M1657" s="12" t="s">
        <v>8389</v>
      </c>
      <c r="N1657" s="12">
        <v>54042</v>
      </c>
      <c r="O1657" s="12">
        <v>23866</v>
      </c>
      <c r="P1657" s="12">
        <v>1</v>
      </c>
      <c r="Q1657" s="12" t="s">
        <v>8390</v>
      </c>
      <c r="R1657" s="15" t="s">
        <v>8391</v>
      </c>
      <c r="S1657" s="12">
        <v>215</v>
      </c>
      <c r="T1657" s="12" t="s">
        <v>39</v>
      </c>
      <c r="U1657" s="12" t="s">
        <v>40</v>
      </c>
      <c r="V1657" s="12" t="s">
        <v>586</v>
      </c>
      <c r="W1657" s="12">
        <v>30000000</v>
      </c>
      <c r="X1657" s="12">
        <v>1988</v>
      </c>
      <c r="Y1657" s="12">
        <v>581</v>
      </c>
      <c r="Z1657" s="12">
        <v>7.6</v>
      </c>
      <c r="AA1657" s="12">
        <v>1.85</v>
      </c>
      <c r="AB1657" s="12">
        <v>0</v>
      </c>
      <c r="AC1657" s="12"/>
      <c r="AD1657" s="12" t="str">
        <f>IFERROR(__xludf.DUMMYFUNCTION("""COMPUTED_VALUE"""),"Isabelle Huppert")</f>
        <v>Isabelle Huppert</v>
      </c>
      <c r="AE1657" s="12"/>
    </row>
    <row r="1658" customHeight="1" spans="1:31">
      <c r="A1658" s="11" t="s">
        <v>30</v>
      </c>
      <c r="B1658" s="11" t="s">
        <v>2591</v>
      </c>
      <c r="C1658" s="11">
        <v>120</v>
      </c>
      <c r="D1658" s="11">
        <v>101</v>
      </c>
      <c r="E1658" s="11">
        <v>343</v>
      </c>
      <c r="F1658" s="11">
        <v>384</v>
      </c>
      <c r="G1658" s="11">
        <v>581</v>
      </c>
      <c r="H1658" s="11">
        <v>38122105</v>
      </c>
      <c r="I1658" s="11" t="s">
        <v>1401</v>
      </c>
      <c r="J1658" s="11" t="s">
        <v>8388</v>
      </c>
      <c r="K1658" s="11" t="s">
        <v>8392</v>
      </c>
      <c r="L1658" s="11" t="s">
        <v>8393</v>
      </c>
      <c r="M1658" s="11" t="s">
        <v>8394</v>
      </c>
      <c r="N1658" s="11">
        <v>112669</v>
      </c>
      <c r="O1658" s="11">
        <v>2373</v>
      </c>
      <c r="P1658" s="11">
        <v>1</v>
      </c>
      <c r="Q1658" s="11" t="s">
        <v>8395</v>
      </c>
      <c r="R1658" s="14" t="s">
        <v>8396</v>
      </c>
      <c r="S1658" s="11">
        <v>226</v>
      </c>
      <c r="T1658" s="11" t="s">
        <v>39</v>
      </c>
      <c r="U1658" s="11" t="s">
        <v>40</v>
      </c>
      <c r="V1658" s="11" t="s">
        <v>586</v>
      </c>
      <c r="W1658" s="11">
        <v>27000000</v>
      </c>
      <c r="X1658" s="11">
        <v>1987</v>
      </c>
      <c r="Y1658" s="11">
        <v>571</v>
      </c>
      <c r="Z1658" s="11">
        <v>6.6</v>
      </c>
      <c r="AA1658" s="11">
        <v>1.37</v>
      </c>
      <c r="AB1658" s="11">
        <v>0</v>
      </c>
      <c r="AC1658" s="11"/>
      <c r="AD1658" s="11" t="str">
        <f>IFERROR(__xludf.DUMMYFUNCTION("""COMPUTED_VALUE"""),"Daniel Mays")</f>
        <v>Daniel Mays</v>
      </c>
      <c r="AE1658" s="11"/>
    </row>
    <row r="1659" customHeight="1" spans="1:31">
      <c r="A1659" s="12" t="s">
        <v>30</v>
      </c>
      <c r="B1659" s="12" t="s">
        <v>1955</v>
      </c>
      <c r="C1659" s="12">
        <v>63</v>
      </c>
      <c r="D1659" s="12">
        <v>102</v>
      </c>
      <c r="E1659" s="12">
        <v>0</v>
      </c>
      <c r="F1659" s="12">
        <v>413</v>
      </c>
      <c r="G1659" s="12">
        <v>13000</v>
      </c>
      <c r="H1659" s="12">
        <v>38747385</v>
      </c>
      <c r="I1659" s="12" t="s">
        <v>8397</v>
      </c>
      <c r="J1659" s="12" t="s">
        <v>549</v>
      </c>
      <c r="K1659" s="12" t="s">
        <v>3503</v>
      </c>
      <c r="L1659" s="12" t="s">
        <v>8398</v>
      </c>
      <c r="M1659" s="12" t="s">
        <v>8399</v>
      </c>
      <c r="N1659" s="12">
        <v>49349</v>
      </c>
      <c r="O1659" s="12">
        <v>15308</v>
      </c>
      <c r="P1659" s="12">
        <v>2</v>
      </c>
      <c r="Q1659" s="12" t="s">
        <v>8400</v>
      </c>
      <c r="R1659" s="15" t="s">
        <v>8401</v>
      </c>
      <c r="S1659" s="12">
        <v>165</v>
      </c>
      <c r="T1659" s="12" t="s">
        <v>39</v>
      </c>
      <c r="U1659" s="12" t="s">
        <v>40</v>
      </c>
      <c r="V1659" s="12" t="s">
        <v>41</v>
      </c>
      <c r="W1659" s="12">
        <v>25000000</v>
      </c>
      <c r="X1659" s="12">
        <v>1986</v>
      </c>
      <c r="Y1659" s="12">
        <v>854</v>
      </c>
      <c r="Z1659" s="12">
        <v>6.9</v>
      </c>
      <c r="AA1659" s="12">
        <v>1.85</v>
      </c>
      <c r="AB1659" s="12">
        <v>0</v>
      </c>
      <c r="AC1659" s="12"/>
      <c r="AD1659" s="12" t="str">
        <f>IFERROR(__xludf.DUMMYFUNCTION("""COMPUTED_VALUE"""),"Rob Brown")</f>
        <v>Rob Brown</v>
      </c>
      <c r="AE1659" s="12"/>
    </row>
    <row r="1660" customHeight="1" spans="1:31">
      <c r="A1660" s="11" t="s">
        <v>30</v>
      </c>
      <c r="B1660" s="11" t="s">
        <v>941</v>
      </c>
      <c r="C1660" s="11">
        <v>417</v>
      </c>
      <c r="D1660" s="11">
        <v>111</v>
      </c>
      <c r="E1660" s="11">
        <v>456</v>
      </c>
      <c r="F1660" s="11">
        <v>21</v>
      </c>
      <c r="G1660" s="11">
        <v>157</v>
      </c>
      <c r="H1660" s="11">
        <v>40247512</v>
      </c>
      <c r="I1660" s="11" t="s">
        <v>923</v>
      </c>
      <c r="J1660" s="11" t="s">
        <v>8402</v>
      </c>
      <c r="K1660" s="11" t="s">
        <v>8403</v>
      </c>
      <c r="L1660" s="11" t="s">
        <v>8404</v>
      </c>
      <c r="M1660" s="11" t="s">
        <v>8405</v>
      </c>
      <c r="N1660" s="11">
        <v>159198</v>
      </c>
      <c r="O1660" s="11">
        <v>257</v>
      </c>
      <c r="P1660" s="11">
        <v>0</v>
      </c>
      <c r="Q1660" s="11" t="s">
        <v>8406</v>
      </c>
      <c r="R1660" s="14" t="s">
        <v>8407</v>
      </c>
      <c r="S1660" s="11">
        <v>438</v>
      </c>
      <c r="T1660" s="11" t="s">
        <v>39</v>
      </c>
      <c r="U1660" s="11" t="s">
        <v>40</v>
      </c>
      <c r="V1660" s="11" t="s">
        <v>41</v>
      </c>
      <c r="W1660" s="11">
        <v>30000000</v>
      </c>
      <c r="X1660" s="11">
        <v>2011</v>
      </c>
      <c r="Y1660" s="11">
        <v>33</v>
      </c>
      <c r="Z1660" s="11">
        <v>6.8</v>
      </c>
      <c r="AA1660" s="11">
        <v>2.35</v>
      </c>
      <c r="AB1660" s="11">
        <v>38000</v>
      </c>
      <c r="AC1660" s="11"/>
      <c r="AD1660" s="11" t="str">
        <f>IFERROR(__xludf.DUMMYFUNCTION("""COMPUTED_VALUE"""),"Michael Nouri")</f>
        <v>Michael Nouri</v>
      </c>
      <c r="AE1660" s="11"/>
    </row>
    <row r="1661" customHeight="1" spans="1:31">
      <c r="A1661" s="12" t="s">
        <v>30</v>
      </c>
      <c r="B1661" s="16"/>
      <c r="C1661" s="12">
        <v>9</v>
      </c>
      <c r="D1661" s="12">
        <v>60</v>
      </c>
      <c r="E1661" s="16"/>
      <c r="F1661" s="12">
        <v>468</v>
      </c>
      <c r="G1661" s="12">
        <v>971</v>
      </c>
      <c r="H1661" s="16"/>
      <c r="I1661" s="12" t="s">
        <v>8061</v>
      </c>
      <c r="J1661" s="12" t="s">
        <v>8227</v>
      </c>
      <c r="K1661" s="12" t="s">
        <v>2319</v>
      </c>
      <c r="L1661" s="12" t="s">
        <v>431</v>
      </c>
      <c r="M1661" s="12" t="s">
        <v>8408</v>
      </c>
      <c r="N1661" s="12">
        <v>3322</v>
      </c>
      <c r="O1661" s="12">
        <v>3295</v>
      </c>
      <c r="P1661" s="12">
        <v>4</v>
      </c>
      <c r="Q1661" s="12" t="s">
        <v>8409</v>
      </c>
      <c r="R1661" s="15" t="s">
        <v>8410</v>
      </c>
      <c r="S1661" s="12">
        <v>30</v>
      </c>
      <c r="T1661" s="12" t="s">
        <v>39</v>
      </c>
      <c r="U1661" s="12" t="s">
        <v>40</v>
      </c>
      <c r="V1661" s="12" t="s">
        <v>1569</v>
      </c>
      <c r="W1661" s="16"/>
      <c r="X1661" s="16"/>
      <c r="Y1661" s="12">
        <v>805</v>
      </c>
      <c r="Z1661" s="12">
        <v>7.5</v>
      </c>
      <c r="AA1661" s="12">
        <v>16</v>
      </c>
      <c r="AB1661" s="12">
        <v>0</v>
      </c>
      <c r="AC1661" s="12"/>
      <c r="AD1661" s="12" t="str">
        <f>IFERROR(__xludf.DUMMYFUNCTION("""COMPUTED_VALUE"""),"Judith Chapman")</f>
        <v>Judith Chapman</v>
      </c>
      <c r="AE1661" s="12"/>
    </row>
    <row r="1662" customHeight="1" spans="1:31">
      <c r="A1662" s="11" t="s">
        <v>30</v>
      </c>
      <c r="B1662" s="11" t="s">
        <v>8411</v>
      </c>
      <c r="C1662" s="11">
        <v>59</v>
      </c>
      <c r="D1662" s="11">
        <v>95</v>
      </c>
      <c r="E1662" s="11">
        <v>40</v>
      </c>
      <c r="F1662" s="11">
        <v>342</v>
      </c>
      <c r="G1662" s="11">
        <v>663</v>
      </c>
      <c r="H1662" s="11">
        <v>35927406</v>
      </c>
      <c r="I1662" s="11" t="s">
        <v>262</v>
      </c>
      <c r="J1662" s="11" t="s">
        <v>4522</v>
      </c>
      <c r="K1662" s="11" t="s">
        <v>3485</v>
      </c>
      <c r="L1662" s="11" t="s">
        <v>5491</v>
      </c>
      <c r="M1662" s="11" t="s">
        <v>8412</v>
      </c>
      <c r="N1662" s="11">
        <v>36363</v>
      </c>
      <c r="O1662" s="11">
        <v>2266</v>
      </c>
      <c r="P1662" s="11">
        <v>0</v>
      </c>
      <c r="Q1662" s="11" t="s">
        <v>8413</v>
      </c>
      <c r="R1662" s="14" t="s">
        <v>8414</v>
      </c>
      <c r="S1662" s="11">
        <v>256</v>
      </c>
      <c r="T1662" s="11" t="s">
        <v>39</v>
      </c>
      <c r="U1662" s="11" t="s">
        <v>40</v>
      </c>
      <c r="V1662" s="11" t="s">
        <v>41</v>
      </c>
      <c r="W1662" s="11">
        <v>30000000</v>
      </c>
      <c r="X1662" s="11">
        <v>1997</v>
      </c>
      <c r="Y1662" s="11">
        <v>349</v>
      </c>
      <c r="Z1662" s="11">
        <v>3.7</v>
      </c>
      <c r="AA1662" s="11">
        <v>1.85</v>
      </c>
      <c r="AB1662" s="11">
        <v>1000</v>
      </c>
      <c r="AC1662" s="11"/>
      <c r="AD1662" s="11" t="str">
        <f>IFERROR(__xludf.DUMMYFUNCTION("""COMPUTED_VALUE"""),"Lillian Adams")</f>
        <v>Lillian Adams</v>
      </c>
      <c r="AE1662" s="11"/>
    </row>
    <row r="1663" customHeight="1" spans="1:31">
      <c r="A1663" s="12" t="s">
        <v>30</v>
      </c>
      <c r="B1663" s="12" t="s">
        <v>322</v>
      </c>
      <c r="C1663" s="12">
        <v>218</v>
      </c>
      <c r="D1663" s="12">
        <v>98</v>
      </c>
      <c r="E1663" s="12">
        <v>15000</v>
      </c>
      <c r="F1663" s="12">
        <v>392</v>
      </c>
      <c r="G1663" s="12">
        <v>15000</v>
      </c>
      <c r="H1663" s="12">
        <v>35565975</v>
      </c>
      <c r="I1663" s="12" t="s">
        <v>1415</v>
      </c>
      <c r="J1663" s="12" t="s">
        <v>322</v>
      </c>
      <c r="K1663" s="12" t="s">
        <v>4496</v>
      </c>
      <c r="L1663" s="12" t="s">
        <v>6178</v>
      </c>
      <c r="M1663" s="12" t="s">
        <v>8415</v>
      </c>
      <c r="N1663" s="12">
        <v>49205</v>
      </c>
      <c r="O1663" s="12">
        <v>16827</v>
      </c>
      <c r="P1663" s="12">
        <v>0</v>
      </c>
      <c r="Q1663" s="12" t="s">
        <v>8416</v>
      </c>
      <c r="R1663" s="15" t="s">
        <v>8417</v>
      </c>
      <c r="S1663" s="12">
        <v>184</v>
      </c>
      <c r="T1663" s="12" t="s">
        <v>39</v>
      </c>
      <c r="U1663" s="12" t="s">
        <v>40</v>
      </c>
      <c r="V1663" s="12" t="s">
        <v>41</v>
      </c>
      <c r="W1663" s="12">
        <v>30000000</v>
      </c>
      <c r="X1663" s="12">
        <v>2011</v>
      </c>
      <c r="Y1663" s="12">
        <v>839</v>
      </c>
      <c r="Z1663" s="12">
        <v>6.1</v>
      </c>
      <c r="AA1663" s="12">
        <v>2.35</v>
      </c>
      <c r="AB1663" s="12">
        <v>0</v>
      </c>
      <c r="AC1663" s="12"/>
      <c r="AD1663" s="12" t="str">
        <f>IFERROR(__xludf.DUMMYFUNCTION("""COMPUTED_VALUE"""),"Chelsea Bond")</f>
        <v>Chelsea Bond</v>
      </c>
      <c r="AE1663" s="12"/>
    </row>
    <row r="1664" customHeight="1" spans="1:31">
      <c r="A1664" s="11" t="s">
        <v>30</v>
      </c>
      <c r="B1664" s="11" t="s">
        <v>8418</v>
      </c>
      <c r="C1664" s="11">
        <v>359</v>
      </c>
      <c r="D1664" s="11">
        <v>100</v>
      </c>
      <c r="E1664" s="11">
        <v>108</v>
      </c>
      <c r="F1664" s="11">
        <v>534</v>
      </c>
      <c r="G1664" s="11">
        <v>17000</v>
      </c>
      <c r="H1664" s="11">
        <v>35266619</v>
      </c>
      <c r="I1664" s="11" t="s">
        <v>5052</v>
      </c>
      <c r="J1664" s="11" t="s">
        <v>490</v>
      </c>
      <c r="K1664" s="11" t="s">
        <v>236</v>
      </c>
      <c r="L1664" s="11" t="s">
        <v>7935</v>
      </c>
      <c r="M1664" s="11" t="s">
        <v>8419</v>
      </c>
      <c r="N1664" s="11">
        <v>108242</v>
      </c>
      <c r="O1664" s="11">
        <v>20051</v>
      </c>
      <c r="P1664" s="11">
        <v>1</v>
      </c>
      <c r="Q1664" s="11" t="s">
        <v>8420</v>
      </c>
      <c r="R1664" s="14" t="s">
        <v>8421</v>
      </c>
      <c r="S1664" s="11">
        <v>371</v>
      </c>
      <c r="T1664" s="11" t="s">
        <v>39</v>
      </c>
      <c r="U1664" s="11" t="s">
        <v>40</v>
      </c>
      <c r="V1664" s="11" t="s">
        <v>586</v>
      </c>
      <c r="W1664" s="11">
        <v>30000000</v>
      </c>
      <c r="X1664" s="11">
        <v>2013</v>
      </c>
      <c r="Y1664" s="11">
        <v>2000</v>
      </c>
      <c r="Z1664" s="11">
        <v>5.9</v>
      </c>
      <c r="AA1664" s="11">
        <v>2.35</v>
      </c>
      <c r="AB1664" s="11">
        <v>39000</v>
      </c>
      <c r="AC1664" s="11"/>
      <c r="AD1664" s="11" t="str">
        <f>IFERROR(__xludf.DUMMYFUNCTION("""COMPUTED_VALUE"""),"Wilford Brimley")</f>
        <v>Wilford Brimley</v>
      </c>
      <c r="AE1664" s="11"/>
    </row>
    <row r="1665" customHeight="1" spans="1:31">
      <c r="A1665" s="12" t="s">
        <v>30</v>
      </c>
      <c r="B1665" s="12" t="s">
        <v>8422</v>
      </c>
      <c r="C1665" s="12">
        <v>101</v>
      </c>
      <c r="D1665" s="12">
        <v>118</v>
      </c>
      <c r="E1665" s="12">
        <v>3</v>
      </c>
      <c r="F1665" s="12">
        <v>439</v>
      </c>
      <c r="G1665" s="12">
        <v>1000</v>
      </c>
      <c r="H1665" s="12">
        <v>34703228</v>
      </c>
      <c r="I1665" s="12" t="s">
        <v>6200</v>
      </c>
      <c r="J1665" s="12" t="s">
        <v>1232</v>
      </c>
      <c r="K1665" s="12" t="s">
        <v>8423</v>
      </c>
      <c r="L1665" s="12" t="s">
        <v>8424</v>
      </c>
      <c r="M1665" s="12" t="s">
        <v>8425</v>
      </c>
      <c r="N1665" s="12">
        <v>21767</v>
      </c>
      <c r="O1665" s="12">
        <v>3797</v>
      </c>
      <c r="P1665" s="12">
        <v>0</v>
      </c>
      <c r="Q1665" s="12" t="s">
        <v>8426</v>
      </c>
      <c r="R1665" s="15" t="s">
        <v>8427</v>
      </c>
      <c r="S1665" s="12">
        <v>127</v>
      </c>
      <c r="T1665" s="12" t="s">
        <v>39</v>
      </c>
      <c r="U1665" s="12" t="s">
        <v>40</v>
      </c>
      <c r="V1665" s="12" t="s">
        <v>41</v>
      </c>
      <c r="W1665" s="12">
        <v>30000000</v>
      </c>
      <c r="X1665" s="12">
        <v>2006</v>
      </c>
      <c r="Y1665" s="12">
        <v>712</v>
      </c>
      <c r="Z1665" s="12">
        <v>6.7</v>
      </c>
      <c r="AA1665" s="12">
        <v>1.85</v>
      </c>
      <c r="AB1665" s="12">
        <v>0</v>
      </c>
      <c r="AC1665" s="12"/>
      <c r="AD1665" s="12" t="str">
        <f>IFERROR(__xludf.DUMMYFUNCTION("""COMPUTED_VALUE"""),"Augustus Prew")</f>
        <v>Augustus Prew</v>
      </c>
      <c r="AE1665" s="12"/>
    </row>
    <row r="1666" customHeight="1" spans="1:31">
      <c r="A1666" s="11" t="s">
        <v>30</v>
      </c>
      <c r="B1666" s="13"/>
      <c r="C1666" s="11">
        <v>52</v>
      </c>
      <c r="D1666" s="11">
        <v>28</v>
      </c>
      <c r="E1666" s="13"/>
      <c r="F1666" s="11">
        <v>576</v>
      </c>
      <c r="G1666" s="11">
        <v>680</v>
      </c>
      <c r="H1666" s="13"/>
      <c r="I1666" s="11" t="s">
        <v>2528</v>
      </c>
      <c r="J1666" s="11" t="s">
        <v>1837</v>
      </c>
      <c r="K1666" s="11" t="s">
        <v>7345</v>
      </c>
      <c r="L1666" s="11" t="s">
        <v>3058</v>
      </c>
      <c r="M1666" s="11" t="s">
        <v>8428</v>
      </c>
      <c r="N1666" s="11">
        <v>135643</v>
      </c>
      <c r="O1666" s="11">
        <v>2867</v>
      </c>
      <c r="P1666" s="11">
        <v>2</v>
      </c>
      <c r="Q1666" s="11" t="s">
        <v>8429</v>
      </c>
      <c r="R1666" s="14" t="s">
        <v>8430</v>
      </c>
      <c r="S1666" s="11">
        <v>145</v>
      </c>
      <c r="T1666" s="11" t="s">
        <v>39</v>
      </c>
      <c r="U1666" s="11" t="s">
        <v>40</v>
      </c>
      <c r="V1666" s="11" t="s">
        <v>2636</v>
      </c>
      <c r="W1666" s="13"/>
      <c r="X1666" s="13"/>
      <c r="Y1666" s="11">
        <v>638</v>
      </c>
      <c r="Z1666" s="11">
        <v>8.5</v>
      </c>
      <c r="AA1666" s="11">
        <v>1.78</v>
      </c>
      <c r="AB1666" s="11">
        <v>0</v>
      </c>
      <c r="AC1666" s="11"/>
      <c r="AD1666" s="11" t="str">
        <f>IFERROR(__xludf.DUMMYFUNCTION("""COMPUTED_VALUE"""),"Charlie Tahan")</f>
        <v>Charlie Tahan</v>
      </c>
      <c r="AE1666" s="11"/>
    </row>
    <row r="1667" customHeight="1" spans="1:31">
      <c r="A1667" s="12" t="s">
        <v>30</v>
      </c>
      <c r="B1667" s="12" t="s">
        <v>8431</v>
      </c>
      <c r="C1667" s="12">
        <v>85</v>
      </c>
      <c r="D1667" s="12">
        <v>125</v>
      </c>
      <c r="E1667" s="12">
        <v>21</v>
      </c>
      <c r="F1667" s="12">
        <v>581</v>
      </c>
      <c r="G1667" s="12">
        <v>12000</v>
      </c>
      <c r="H1667" s="12">
        <v>38432823</v>
      </c>
      <c r="I1667" s="12" t="s">
        <v>8432</v>
      </c>
      <c r="J1667" s="12" t="s">
        <v>1073</v>
      </c>
      <c r="K1667" s="12" t="s">
        <v>8433</v>
      </c>
      <c r="L1667" s="12" t="s">
        <v>281</v>
      </c>
      <c r="M1667" s="12" t="s">
        <v>8434</v>
      </c>
      <c r="N1667" s="12">
        <v>33067</v>
      </c>
      <c r="O1667" s="12">
        <v>15811</v>
      </c>
      <c r="P1667" s="12">
        <v>1</v>
      </c>
      <c r="Q1667" s="12" t="s">
        <v>8435</v>
      </c>
      <c r="R1667" s="15" t="s">
        <v>8436</v>
      </c>
      <c r="S1667" s="12">
        <v>134</v>
      </c>
      <c r="T1667" s="12" t="s">
        <v>39</v>
      </c>
      <c r="U1667" s="12" t="s">
        <v>40</v>
      </c>
      <c r="V1667" s="12" t="s">
        <v>41</v>
      </c>
      <c r="W1667" s="12">
        <v>30000000</v>
      </c>
      <c r="X1667" s="12">
        <v>2006</v>
      </c>
      <c r="Y1667" s="12">
        <v>2000</v>
      </c>
      <c r="Z1667" s="12">
        <v>6.9</v>
      </c>
      <c r="AA1667" s="12">
        <v>2.35</v>
      </c>
      <c r="AB1667" s="12">
        <v>0</v>
      </c>
      <c r="AC1667" s="12"/>
      <c r="AD1667" s="12" t="str">
        <f>IFERROR(__xludf.DUMMYFUNCTION("""COMPUTED_VALUE"""),"Valerie Tian")</f>
        <v>Valerie Tian</v>
      </c>
      <c r="AE1667" s="12"/>
    </row>
    <row r="1668" customHeight="1" spans="1:31">
      <c r="A1668" s="11" t="s">
        <v>30</v>
      </c>
      <c r="B1668" s="11" t="s">
        <v>4592</v>
      </c>
      <c r="C1668" s="11">
        <v>64</v>
      </c>
      <c r="D1668" s="11">
        <v>94</v>
      </c>
      <c r="E1668" s="11">
        <v>39</v>
      </c>
      <c r="F1668" s="11">
        <v>506</v>
      </c>
      <c r="G1668" s="11">
        <v>1000</v>
      </c>
      <c r="H1668" s="11">
        <v>32095318</v>
      </c>
      <c r="I1668" s="11" t="s">
        <v>1009</v>
      </c>
      <c r="J1668" s="11" t="s">
        <v>804</v>
      </c>
      <c r="K1668" s="11" t="s">
        <v>2470</v>
      </c>
      <c r="L1668" s="11" t="s">
        <v>2987</v>
      </c>
      <c r="M1668" s="11" t="s">
        <v>8437</v>
      </c>
      <c r="N1668" s="11">
        <v>12466</v>
      </c>
      <c r="O1668" s="11">
        <v>3664</v>
      </c>
      <c r="P1668" s="11">
        <v>0</v>
      </c>
      <c r="Q1668" s="11" t="s">
        <v>8438</v>
      </c>
      <c r="R1668" s="14" t="s">
        <v>8439</v>
      </c>
      <c r="S1668" s="11">
        <v>84</v>
      </c>
      <c r="T1668" s="11" t="s">
        <v>39</v>
      </c>
      <c r="U1668" s="11" t="s">
        <v>40</v>
      </c>
      <c r="V1668" s="11" t="s">
        <v>41</v>
      </c>
      <c r="W1668" s="11">
        <v>45000000</v>
      </c>
      <c r="X1668" s="11">
        <v>2001</v>
      </c>
      <c r="Y1668" s="11">
        <v>611</v>
      </c>
      <c r="Z1668" s="11">
        <v>5.5</v>
      </c>
      <c r="AA1668" s="11">
        <v>1.85</v>
      </c>
      <c r="AB1668" s="11">
        <v>304</v>
      </c>
      <c r="AC1668" s="11"/>
      <c r="AD1668" s="11" t="str">
        <f>IFERROR(__xludf.DUMMYFUNCTION("""COMPUTED_VALUE"""),"Dax Flame")</f>
        <v>Dax Flame</v>
      </c>
      <c r="AE1668" s="11"/>
    </row>
    <row r="1669" customHeight="1" spans="1:31">
      <c r="A1669" s="12" t="s">
        <v>30</v>
      </c>
      <c r="B1669" s="12" t="s">
        <v>8440</v>
      </c>
      <c r="C1669" s="12">
        <v>263</v>
      </c>
      <c r="D1669" s="12">
        <v>79</v>
      </c>
      <c r="E1669" s="12">
        <v>30</v>
      </c>
      <c r="F1669" s="12">
        <v>265</v>
      </c>
      <c r="G1669" s="12">
        <v>940</v>
      </c>
      <c r="H1669" s="12">
        <v>31743332</v>
      </c>
      <c r="I1669" s="12" t="s">
        <v>8441</v>
      </c>
      <c r="J1669" s="12" t="s">
        <v>3261</v>
      </c>
      <c r="K1669" s="12" t="s">
        <v>8442</v>
      </c>
      <c r="L1669" s="12" t="s">
        <v>8443</v>
      </c>
      <c r="M1669" s="12" t="s">
        <v>8444</v>
      </c>
      <c r="N1669" s="12">
        <v>111117</v>
      </c>
      <c r="O1669" s="12">
        <v>1594</v>
      </c>
      <c r="P1669" s="12">
        <v>0</v>
      </c>
      <c r="Q1669" s="12" t="s">
        <v>8445</v>
      </c>
      <c r="R1669" s="15" t="s">
        <v>8446</v>
      </c>
      <c r="S1669" s="12">
        <v>245</v>
      </c>
      <c r="T1669" s="12" t="s">
        <v>39</v>
      </c>
      <c r="U1669" s="12" t="s">
        <v>40</v>
      </c>
      <c r="V1669" s="12" t="s">
        <v>41</v>
      </c>
      <c r="W1669" s="12">
        <v>30000000</v>
      </c>
      <c r="X1669" s="12">
        <v>2009</v>
      </c>
      <c r="Y1669" s="12">
        <v>271</v>
      </c>
      <c r="Z1669" s="12">
        <v>7.1</v>
      </c>
      <c r="AA1669" s="12">
        <v>1.85</v>
      </c>
      <c r="AB1669" s="12">
        <v>13000</v>
      </c>
      <c r="AC1669" s="12"/>
      <c r="AD1669" s="12" t="str">
        <f>IFERROR(__xludf.DUMMYFUNCTION("""COMPUTED_VALUE"""),"Clarke Peters")</f>
        <v>Clarke Peters</v>
      </c>
      <c r="AE1669" s="12"/>
    </row>
    <row r="1670" customHeight="1" spans="1:31">
      <c r="A1670" s="11" t="s">
        <v>30</v>
      </c>
      <c r="B1670" s="11" t="s">
        <v>1527</v>
      </c>
      <c r="C1670" s="11">
        <v>450</v>
      </c>
      <c r="D1670" s="11">
        <v>106</v>
      </c>
      <c r="E1670" s="11">
        <v>0</v>
      </c>
      <c r="F1670" s="11">
        <v>273</v>
      </c>
      <c r="G1670" s="11">
        <v>17000</v>
      </c>
      <c r="H1670" s="11">
        <v>32154410</v>
      </c>
      <c r="I1670" s="11" t="s">
        <v>2126</v>
      </c>
      <c r="J1670" s="11" t="s">
        <v>445</v>
      </c>
      <c r="K1670" s="11" t="s">
        <v>5196</v>
      </c>
      <c r="L1670" s="11" t="s">
        <v>8447</v>
      </c>
      <c r="M1670" s="11" t="s">
        <v>8448</v>
      </c>
      <c r="N1670" s="11">
        <v>148327</v>
      </c>
      <c r="O1670" s="11">
        <v>18469</v>
      </c>
      <c r="P1670" s="11">
        <v>0</v>
      </c>
      <c r="Q1670" s="11" t="s">
        <v>8449</v>
      </c>
      <c r="R1670" s="14" t="s">
        <v>8450</v>
      </c>
      <c r="S1670" s="11">
        <v>274</v>
      </c>
      <c r="T1670" s="11" t="s">
        <v>39</v>
      </c>
      <c r="U1670" s="11" t="s">
        <v>40</v>
      </c>
      <c r="V1670" s="11" t="s">
        <v>586</v>
      </c>
      <c r="W1670" s="11">
        <v>30000000</v>
      </c>
      <c r="X1670" s="11">
        <v>2013</v>
      </c>
      <c r="Y1670" s="11">
        <v>681</v>
      </c>
      <c r="Z1670" s="11">
        <v>7.1</v>
      </c>
      <c r="AA1670" s="11">
        <v>1.85</v>
      </c>
      <c r="AB1670" s="11">
        <v>29000</v>
      </c>
      <c r="AC1670" s="11"/>
      <c r="AD1670" s="11" t="str">
        <f>IFERROR(__xludf.DUMMYFUNCTION("""COMPUTED_VALUE"""),"Dylan Moran")</f>
        <v>Dylan Moran</v>
      </c>
      <c r="AE1670" s="11"/>
    </row>
    <row r="1671" customHeight="1" spans="1:31">
      <c r="A1671" s="12" t="s">
        <v>30</v>
      </c>
      <c r="B1671" s="12" t="s">
        <v>8451</v>
      </c>
      <c r="C1671" s="12">
        <v>85</v>
      </c>
      <c r="D1671" s="12">
        <v>111</v>
      </c>
      <c r="E1671" s="12">
        <v>57</v>
      </c>
      <c r="F1671" s="12">
        <v>438</v>
      </c>
      <c r="G1671" s="12">
        <v>1000</v>
      </c>
      <c r="H1671" s="12">
        <v>28165882</v>
      </c>
      <c r="I1671" s="12" t="s">
        <v>2717</v>
      </c>
      <c r="J1671" s="12" t="s">
        <v>2814</v>
      </c>
      <c r="K1671" s="12" t="s">
        <v>4770</v>
      </c>
      <c r="L1671" s="12" t="s">
        <v>8452</v>
      </c>
      <c r="M1671" s="12" t="s">
        <v>8453</v>
      </c>
      <c r="N1671" s="12">
        <v>31984</v>
      </c>
      <c r="O1671" s="12">
        <v>3239</v>
      </c>
      <c r="P1671" s="12">
        <v>1</v>
      </c>
      <c r="Q1671" s="12" t="s">
        <v>8454</v>
      </c>
      <c r="R1671" s="15" t="s">
        <v>8455</v>
      </c>
      <c r="S1671" s="12">
        <v>154</v>
      </c>
      <c r="T1671" s="12" t="s">
        <v>39</v>
      </c>
      <c r="U1671" s="12" t="s">
        <v>40</v>
      </c>
      <c r="V1671" s="12" t="s">
        <v>96</v>
      </c>
      <c r="W1671" s="16"/>
      <c r="X1671" s="12">
        <v>2004</v>
      </c>
      <c r="Y1671" s="12">
        <v>530</v>
      </c>
      <c r="Z1671" s="12">
        <v>5.9</v>
      </c>
      <c r="AA1671" s="12">
        <v>1.85</v>
      </c>
      <c r="AB1671" s="12">
        <v>0</v>
      </c>
      <c r="AC1671" s="12"/>
      <c r="AD1671" s="12" t="str">
        <f>IFERROR(__xludf.DUMMYFUNCTION("""COMPUTED_VALUE"""),"Julia Sawalha")</f>
        <v>Julia Sawalha</v>
      </c>
      <c r="AE1671" s="12"/>
    </row>
    <row r="1672" customHeight="1" spans="1:31">
      <c r="A1672" s="11" t="s">
        <v>30</v>
      </c>
      <c r="B1672" s="11" t="s">
        <v>8456</v>
      </c>
      <c r="C1672" s="11">
        <v>162</v>
      </c>
      <c r="D1672" s="11">
        <v>63</v>
      </c>
      <c r="E1672" s="11">
        <v>15</v>
      </c>
      <c r="F1672" s="11">
        <v>69</v>
      </c>
      <c r="G1672" s="11">
        <v>759</v>
      </c>
      <c r="H1672" s="11">
        <v>26687172</v>
      </c>
      <c r="I1672" s="11" t="s">
        <v>1280</v>
      </c>
      <c r="J1672" s="11" t="s">
        <v>643</v>
      </c>
      <c r="K1672" s="11" t="s">
        <v>8457</v>
      </c>
      <c r="L1672" s="11" t="s">
        <v>8458</v>
      </c>
      <c r="M1672" s="11" t="s">
        <v>8459</v>
      </c>
      <c r="N1672" s="11">
        <v>15600</v>
      </c>
      <c r="O1672" s="11">
        <v>1002</v>
      </c>
      <c r="P1672" s="11">
        <v>0</v>
      </c>
      <c r="Q1672" s="11" t="s">
        <v>8460</v>
      </c>
      <c r="R1672" s="14" t="s">
        <v>8461</v>
      </c>
      <c r="S1672" s="11">
        <v>55</v>
      </c>
      <c r="T1672" s="11" t="s">
        <v>39</v>
      </c>
      <c r="U1672" s="11" t="s">
        <v>40</v>
      </c>
      <c r="V1672" s="11" t="s">
        <v>278</v>
      </c>
      <c r="W1672" s="11">
        <v>30000000</v>
      </c>
      <c r="X1672" s="11">
        <v>2011</v>
      </c>
      <c r="Y1672" s="11">
        <v>73</v>
      </c>
      <c r="Z1672" s="11">
        <v>7.3</v>
      </c>
      <c r="AA1672" s="11">
        <v>1.85</v>
      </c>
      <c r="AB1672" s="11">
        <v>0</v>
      </c>
      <c r="AC1672" s="11"/>
      <c r="AD1672" s="11" t="str">
        <f>IFERROR(__xludf.DUMMYFUNCTION("""COMPUTED_VALUE"""),"Masi Oka")</f>
        <v>Masi Oka</v>
      </c>
      <c r="AE1672" s="11"/>
    </row>
    <row r="1673" customHeight="1" spans="1:31">
      <c r="A1673" s="12" t="s">
        <v>30</v>
      </c>
      <c r="B1673" s="12" t="s">
        <v>8462</v>
      </c>
      <c r="C1673" s="12">
        <v>85</v>
      </c>
      <c r="D1673" s="12">
        <v>85</v>
      </c>
      <c r="E1673" s="12">
        <v>14</v>
      </c>
      <c r="F1673" s="12">
        <v>244</v>
      </c>
      <c r="G1673" s="12">
        <v>577</v>
      </c>
      <c r="H1673" s="12">
        <v>26096584</v>
      </c>
      <c r="I1673" s="12" t="s">
        <v>1672</v>
      </c>
      <c r="J1673" s="12" t="s">
        <v>2630</v>
      </c>
      <c r="K1673" s="12" t="s">
        <v>6128</v>
      </c>
      <c r="L1673" s="12" t="s">
        <v>8463</v>
      </c>
      <c r="M1673" s="12" t="s">
        <v>8464</v>
      </c>
      <c r="N1673" s="12">
        <v>30651</v>
      </c>
      <c r="O1673" s="12">
        <v>1653</v>
      </c>
      <c r="P1673" s="12">
        <v>0</v>
      </c>
      <c r="Q1673" s="12" t="s">
        <v>8465</v>
      </c>
      <c r="R1673" s="15" t="s">
        <v>8466</v>
      </c>
      <c r="S1673" s="12">
        <v>267</v>
      </c>
      <c r="T1673" s="12" t="s">
        <v>39</v>
      </c>
      <c r="U1673" s="12" t="s">
        <v>40</v>
      </c>
      <c r="V1673" s="12" t="s">
        <v>41</v>
      </c>
      <c r="W1673" s="12">
        <v>19000000</v>
      </c>
      <c r="X1673" s="12">
        <v>2003</v>
      </c>
      <c r="Y1673" s="12">
        <v>291</v>
      </c>
      <c r="Z1673" s="12">
        <v>3.4</v>
      </c>
      <c r="AA1673" s="12">
        <v>1.37</v>
      </c>
      <c r="AB1673" s="12">
        <v>1000</v>
      </c>
      <c r="AC1673" s="12"/>
      <c r="AD1673" s="12" t="str">
        <f>IFERROR(__xludf.DUMMYFUNCTION("""COMPUTED_VALUE"""),"Geoffrey Holder")</f>
        <v>Geoffrey Holder</v>
      </c>
      <c r="AE1673" s="12"/>
    </row>
    <row r="1674" customHeight="1" spans="1:31">
      <c r="A1674" s="11" t="s">
        <v>30</v>
      </c>
      <c r="B1674" s="11" t="s">
        <v>1683</v>
      </c>
      <c r="C1674" s="11">
        <v>110</v>
      </c>
      <c r="D1674" s="11">
        <v>108</v>
      </c>
      <c r="E1674" s="11">
        <v>631</v>
      </c>
      <c r="F1674" s="11">
        <v>95</v>
      </c>
      <c r="G1674" s="11">
        <v>631</v>
      </c>
      <c r="H1674" s="11">
        <v>26525834</v>
      </c>
      <c r="I1674" s="11" t="s">
        <v>1415</v>
      </c>
      <c r="J1674" s="11" t="s">
        <v>1683</v>
      </c>
      <c r="K1674" s="11" t="s">
        <v>8467</v>
      </c>
      <c r="L1674" s="11" t="s">
        <v>8468</v>
      </c>
      <c r="M1674" s="11" t="s">
        <v>8469</v>
      </c>
      <c r="N1674" s="11">
        <v>21998</v>
      </c>
      <c r="O1674" s="11">
        <v>1023</v>
      </c>
      <c r="P1674" s="11">
        <v>1</v>
      </c>
      <c r="Q1674" s="11" t="s">
        <v>8470</v>
      </c>
      <c r="R1674" s="14" t="s">
        <v>8471</v>
      </c>
      <c r="S1674" s="11">
        <v>227</v>
      </c>
      <c r="T1674" s="11" t="s">
        <v>39</v>
      </c>
      <c r="U1674" s="11" t="s">
        <v>40</v>
      </c>
      <c r="V1674" s="11" t="s">
        <v>586</v>
      </c>
      <c r="W1674" s="11">
        <v>30000000</v>
      </c>
      <c r="X1674" s="11">
        <v>1998</v>
      </c>
      <c r="Y1674" s="11">
        <v>199</v>
      </c>
      <c r="Z1674" s="11">
        <v>6.8</v>
      </c>
      <c r="AA1674" s="11">
        <v>1.85</v>
      </c>
      <c r="AB1674" s="11">
        <v>0</v>
      </c>
      <c r="AC1674" s="11"/>
      <c r="AD1674" s="11" t="str">
        <f>IFERROR(__xludf.DUMMYFUNCTION("""COMPUTED_VALUE"""),"William Xifaras")</f>
        <v>William Xifaras</v>
      </c>
      <c r="AE1674" s="11"/>
    </row>
    <row r="1675" customHeight="1" spans="1:31">
      <c r="A1675" s="12" t="s">
        <v>30</v>
      </c>
      <c r="B1675" s="12" t="s">
        <v>3453</v>
      </c>
      <c r="C1675" s="12">
        <v>165</v>
      </c>
      <c r="D1675" s="12">
        <v>139</v>
      </c>
      <c r="E1675" s="12">
        <v>150</v>
      </c>
      <c r="F1675" s="12">
        <v>400</v>
      </c>
      <c r="G1675" s="12">
        <v>521</v>
      </c>
      <c r="H1675" s="12">
        <v>30513940</v>
      </c>
      <c r="I1675" s="12" t="s">
        <v>4297</v>
      </c>
      <c r="J1675" s="12" t="s">
        <v>8472</v>
      </c>
      <c r="K1675" s="12" t="s">
        <v>8473</v>
      </c>
      <c r="L1675" s="12" t="s">
        <v>8474</v>
      </c>
      <c r="M1675" s="12" t="s">
        <v>8475</v>
      </c>
      <c r="N1675" s="12">
        <v>15843</v>
      </c>
      <c r="O1675" s="12">
        <v>2060</v>
      </c>
      <c r="P1675" s="12">
        <v>0</v>
      </c>
      <c r="Q1675" s="12" t="s">
        <v>8476</v>
      </c>
      <c r="R1675" s="15" t="s">
        <v>8477</v>
      </c>
      <c r="S1675" s="12">
        <v>104</v>
      </c>
      <c r="T1675" s="12" t="s">
        <v>39</v>
      </c>
      <c r="U1675" s="12" t="s">
        <v>40</v>
      </c>
      <c r="V1675" s="12" t="s">
        <v>41</v>
      </c>
      <c r="W1675" s="12">
        <v>30000000</v>
      </c>
      <c r="X1675" s="12">
        <v>2014</v>
      </c>
      <c r="Y1675" s="12">
        <v>491</v>
      </c>
      <c r="Z1675" s="12">
        <v>6.9</v>
      </c>
      <c r="AA1675" s="12">
        <v>1.85</v>
      </c>
      <c r="AB1675" s="12">
        <v>11000</v>
      </c>
      <c r="AC1675" s="12"/>
      <c r="AD1675" s="12" t="str">
        <f>IFERROR(__xludf.DUMMYFUNCTION("""COMPUTED_VALUE"""),"Richard Burton")</f>
        <v>Richard Burton</v>
      </c>
      <c r="AE1675" s="12"/>
    </row>
    <row r="1676" customHeight="1" spans="1:31">
      <c r="A1676" s="11" t="s">
        <v>30</v>
      </c>
      <c r="B1676" s="11" t="s">
        <v>5274</v>
      </c>
      <c r="C1676" s="11">
        <v>64</v>
      </c>
      <c r="D1676" s="11">
        <v>127</v>
      </c>
      <c r="E1676" s="11">
        <v>73</v>
      </c>
      <c r="F1676" s="11">
        <v>433</v>
      </c>
      <c r="G1676" s="11">
        <v>11000</v>
      </c>
      <c r="H1676" s="11">
        <v>23209440</v>
      </c>
      <c r="I1676" s="11" t="s">
        <v>3410</v>
      </c>
      <c r="J1676" s="11" t="s">
        <v>2377</v>
      </c>
      <c r="K1676" s="11" t="s">
        <v>191</v>
      </c>
      <c r="L1676" s="11" t="s">
        <v>932</v>
      </c>
      <c r="M1676" s="11" t="s">
        <v>8478</v>
      </c>
      <c r="N1676" s="11">
        <v>9283</v>
      </c>
      <c r="O1676" s="11">
        <v>12785</v>
      </c>
      <c r="P1676" s="11">
        <v>3</v>
      </c>
      <c r="Q1676" s="11" t="s">
        <v>8479</v>
      </c>
      <c r="R1676" s="14" t="s">
        <v>8480</v>
      </c>
      <c r="S1676" s="11">
        <v>112</v>
      </c>
      <c r="T1676" s="11" t="s">
        <v>39</v>
      </c>
      <c r="U1676" s="11" t="s">
        <v>40</v>
      </c>
      <c r="V1676" s="11" t="s">
        <v>586</v>
      </c>
      <c r="W1676" s="11">
        <v>30000000</v>
      </c>
      <c r="X1676" s="11">
        <v>1998</v>
      </c>
      <c r="Y1676" s="11">
        <v>882</v>
      </c>
      <c r="Z1676" s="11">
        <v>7</v>
      </c>
      <c r="AA1676" s="11">
        <v>1.85</v>
      </c>
      <c r="AB1676" s="11">
        <v>592</v>
      </c>
      <c r="AC1676" s="11"/>
      <c r="AD1676" s="11" t="str">
        <f>IFERROR(__xludf.DUMMYFUNCTION("""COMPUTED_VALUE"""),"Roddy McDowall")</f>
        <v>Roddy McDowall</v>
      </c>
      <c r="AE1676" s="11"/>
    </row>
    <row r="1677" customHeight="1" spans="1:31">
      <c r="A1677" s="12" t="s">
        <v>30</v>
      </c>
      <c r="B1677" s="12" t="s">
        <v>8481</v>
      </c>
      <c r="C1677" s="12">
        <v>44</v>
      </c>
      <c r="D1677" s="12">
        <v>106</v>
      </c>
      <c r="E1677" s="12">
        <v>32</v>
      </c>
      <c r="F1677" s="12">
        <v>650</v>
      </c>
      <c r="G1677" s="12">
        <v>18000</v>
      </c>
      <c r="H1677" s="12">
        <v>24048000</v>
      </c>
      <c r="I1677" s="12" t="s">
        <v>1401</v>
      </c>
      <c r="J1677" s="12" t="s">
        <v>1727</v>
      </c>
      <c r="K1677" s="12" t="s">
        <v>5920</v>
      </c>
      <c r="L1677" s="12" t="s">
        <v>5766</v>
      </c>
      <c r="M1677" s="12" t="s">
        <v>8482</v>
      </c>
      <c r="N1677" s="12">
        <v>23579</v>
      </c>
      <c r="O1677" s="12">
        <v>20772</v>
      </c>
      <c r="P1677" s="12">
        <v>1</v>
      </c>
      <c r="Q1677" s="12" t="s">
        <v>8483</v>
      </c>
      <c r="R1677" s="15" t="s">
        <v>8484</v>
      </c>
      <c r="S1677" s="12">
        <v>88</v>
      </c>
      <c r="T1677" s="12" t="s">
        <v>39</v>
      </c>
      <c r="U1677" s="12" t="s">
        <v>40</v>
      </c>
      <c r="V1677" s="12" t="s">
        <v>586</v>
      </c>
      <c r="W1677" s="12">
        <v>30000000</v>
      </c>
      <c r="X1677" s="12">
        <v>1995</v>
      </c>
      <c r="Y1677" s="12">
        <v>723</v>
      </c>
      <c r="Z1677" s="12">
        <v>5.5</v>
      </c>
      <c r="AA1677" s="12">
        <v>2.35</v>
      </c>
      <c r="AB1677" s="12">
        <v>0</v>
      </c>
      <c r="AC1677" s="12"/>
      <c r="AD1677" s="12" t="str">
        <f>IFERROR(__xludf.DUMMYFUNCTION("""COMPUTED_VALUE"""),"Reggie Lee")</f>
        <v>Reggie Lee</v>
      </c>
      <c r="AE1677" s="12"/>
    </row>
    <row r="1678" customHeight="1" spans="1:31">
      <c r="A1678" s="11" t="s">
        <v>30</v>
      </c>
      <c r="B1678" s="11" t="s">
        <v>2699</v>
      </c>
      <c r="C1678" s="11">
        <v>147</v>
      </c>
      <c r="D1678" s="11">
        <v>95</v>
      </c>
      <c r="E1678" s="11">
        <v>425</v>
      </c>
      <c r="F1678" s="11">
        <v>560</v>
      </c>
      <c r="G1678" s="11">
        <v>973</v>
      </c>
      <c r="H1678" s="11">
        <v>22526144</v>
      </c>
      <c r="I1678" s="11" t="s">
        <v>2469</v>
      </c>
      <c r="J1678" s="11" t="s">
        <v>480</v>
      </c>
      <c r="K1678" s="11" t="s">
        <v>310</v>
      </c>
      <c r="L1678" s="11" t="s">
        <v>2252</v>
      </c>
      <c r="M1678" s="11" t="s">
        <v>8485</v>
      </c>
      <c r="N1678" s="11">
        <v>53884</v>
      </c>
      <c r="O1678" s="11">
        <v>2737</v>
      </c>
      <c r="P1678" s="11">
        <v>1</v>
      </c>
      <c r="Q1678" s="11" t="s">
        <v>8486</v>
      </c>
      <c r="R1678" s="14" t="s">
        <v>8487</v>
      </c>
      <c r="S1678" s="11">
        <v>203</v>
      </c>
      <c r="T1678" s="11" t="s">
        <v>39</v>
      </c>
      <c r="U1678" s="11" t="s">
        <v>40</v>
      </c>
      <c r="V1678" s="11" t="s">
        <v>41</v>
      </c>
      <c r="W1678" s="11">
        <v>30000000</v>
      </c>
      <c r="X1678" s="11">
        <v>2006</v>
      </c>
      <c r="Y1678" s="11">
        <v>776</v>
      </c>
      <c r="Z1678" s="11">
        <v>5.1</v>
      </c>
      <c r="AA1678" s="11">
        <v>2.35</v>
      </c>
      <c r="AB1678" s="11">
        <v>1000</v>
      </c>
      <c r="AC1678" s="11"/>
      <c r="AD1678" s="11" t="str">
        <f>IFERROR(__xludf.DUMMYFUNCTION("""COMPUTED_VALUE"""),"Charice")</f>
        <v>Charice</v>
      </c>
      <c r="AE1678" s="11"/>
    </row>
    <row r="1679" customHeight="1" spans="1:31">
      <c r="A1679" s="12" t="s">
        <v>30</v>
      </c>
      <c r="B1679" s="12" t="s">
        <v>2683</v>
      </c>
      <c r="C1679" s="12">
        <v>242</v>
      </c>
      <c r="D1679" s="12">
        <v>118</v>
      </c>
      <c r="E1679" s="12">
        <v>301</v>
      </c>
      <c r="F1679" s="12">
        <v>897</v>
      </c>
      <c r="G1679" s="12">
        <v>2000</v>
      </c>
      <c r="H1679" s="12">
        <v>30523568</v>
      </c>
      <c r="I1679" s="12" t="s">
        <v>3030</v>
      </c>
      <c r="J1679" s="12" t="s">
        <v>4404</v>
      </c>
      <c r="K1679" s="12" t="s">
        <v>2730</v>
      </c>
      <c r="L1679" s="12" t="s">
        <v>878</v>
      </c>
      <c r="M1679" s="12" t="s">
        <v>8488</v>
      </c>
      <c r="N1679" s="12">
        <v>54447</v>
      </c>
      <c r="O1679" s="12">
        <v>5697</v>
      </c>
      <c r="P1679" s="12">
        <v>0</v>
      </c>
      <c r="Q1679" s="12" t="s">
        <v>8489</v>
      </c>
      <c r="R1679" s="15" t="s">
        <v>8490</v>
      </c>
      <c r="S1679" s="12">
        <v>201</v>
      </c>
      <c r="T1679" s="12" t="s">
        <v>39</v>
      </c>
      <c r="U1679" s="12" t="s">
        <v>40</v>
      </c>
      <c r="V1679" s="12" t="s">
        <v>586</v>
      </c>
      <c r="W1679" s="12">
        <v>30000000</v>
      </c>
      <c r="X1679" s="12">
        <v>2014</v>
      </c>
      <c r="Y1679" s="12">
        <v>1000</v>
      </c>
      <c r="Z1679" s="12">
        <v>6.2</v>
      </c>
      <c r="AA1679" s="12">
        <v>2.35</v>
      </c>
      <c r="AB1679" s="12">
        <v>18000</v>
      </c>
      <c r="AC1679" s="12"/>
      <c r="AD1679" s="12" t="str">
        <f>IFERROR(__xludf.DUMMYFUNCTION("""COMPUTED_VALUE"""),"Mimi Rogers")</f>
        <v>Mimi Rogers</v>
      </c>
      <c r="AE1679" s="12"/>
    </row>
    <row r="1680" customHeight="1" spans="1:31">
      <c r="A1680" s="11" t="s">
        <v>30</v>
      </c>
      <c r="B1680" s="11" t="s">
        <v>8491</v>
      </c>
      <c r="C1680" s="11">
        <v>244</v>
      </c>
      <c r="D1680" s="11">
        <v>108</v>
      </c>
      <c r="E1680" s="11">
        <v>24</v>
      </c>
      <c r="F1680" s="11">
        <v>653</v>
      </c>
      <c r="G1680" s="11">
        <v>2000</v>
      </c>
      <c r="H1680" s="11">
        <v>23070045</v>
      </c>
      <c r="I1680" s="11" t="s">
        <v>1827</v>
      </c>
      <c r="J1680" s="11" t="s">
        <v>1353</v>
      </c>
      <c r="K1680" s="11" t="s">
        <v>8492</v>
      </c>
      <c r="L1680" s="11" t="s">
        <v>1048</v>
      </c>
      <c r="M1680" s="11" t="s">
        <v>8493</v>
      </c>
      <c r="N1680" s="11">
        <v>47003</v>
      </c>
      <c r="O1680" s="11">
        <v>3892</v>
      </c>
      <c r="P1680" s="11">
        <v>0</v>
      </c>
      <c r="Q1680" s="11" t="s">
        <v>8494</v>
      </c>
      <c r="R1680" s="14" t="s">
        <v>8495</v>
      </c>
      <c r="S1680" s="11">
        <v>215</v>
      </c>
      <c r="T1680" s="11" t="s">
        <v>39</v>
      </c>
      <c r="U1680" s="11" t="s">
        <v>40</v>
      </c>
      <c r="V1680" s="11" t="s">
        <v>586</v>
      </c>
      <c r="W1680" s="11">
        <v>30000000</v>
      </c>
      <c r="X1680" s="11">
        <v>2011</v>
      </c>
      <c r="Y1680" s="11">
        <v>942</v>
      </c>
      <c r="Z1680" s="11">
        <v>5.9</v>
      </c>
      <c r="AA1680" s="11">
        <v>1.85</v>
      </c>
      <c r="AB1680" s="11">
        <v>11000</v>
      </c>
      <c r="AC1680" s="11"/>
      <c r="AD1680" s="11" t="str">
        <f>IFERROR(__xludf.DUMMYFUNCTION("""COMPUTED_VALUE"""),"David Eigenberg")</f>
        <v>David Eigenberg</v>
      </c>
      <c r="AE1680" s="11"/>
    </row>
    <row r="1681" customHeight="1" spans="1:31">
      <c r="A1681" s="12" t="s">
        <v>30</v>
      </c>
      <c r="B1681" s="12" t="s">
        <v>8496</v>
      </c>
      <c r="C1681" s="12">
        <v>73</v>
      </c>
      <c r="D1681" s="12">
        <v>105</v>
      </c>
      <c r="E1681" s="12">
        <v>34</v>
      </c>
      <c r="F1681" s="12">
        <v>642</v>
      </c>
      <c r="G1681" s="12">
        <v>1000</v>
      </c>
      <c r="H1681" s="12">
        <v>20422207</v>
      </c>
      <c r="I1681" s="12" t="s">
        <v>1415</v>
      </c>
      <c r="J1681" s="12" t="s">
        <v>2061</v>
      </c>
      <c r="K1681" s="12" t="s">
        <v>2191</v>
      </c>
      <c r="L1681" s="12" t="s">
        <v>8497</v>
      </c>
      <c r="M1681" s="12" t="s">
        <v>8498</v>
      </c>
      <c r="N1681" s="12">
        <v>15052</v>
      </c>
      <c r="O1681" s="12">
        <v>4369</v>
      </c>
      <c r="P1681" s="12">
        <v>1</v>
      </c>
      <c r="Q1681" s="12" t="s">
        <v>8499</v>
      </c>
      <c r="R1681" s="15" t="s">
        <v>8500</v>
      </c>
      <c r="S1681" s="12">
        <v>116</v>
      </c>
      <c r="T1681" s="12" t="s">
        <v>39</v>
      </c>
      <c r="U1681" s="12" t="s">
        <v>40</v>
      </c>
      <c r="V1681" s="12" t="s">
        <v>41</v>
      </c>
      <c r="W1681" s="12">
        <v>35000000</v>
      </c>
      <c r="X1681" s="12">
        <v>2004</v>
      </c>
      <c r="Y1681" s="12">
        <v>681</v>
      </c>
      <c r="Z1681" s="12">
        <v>5.2</v>
      </c>
      <c r="AA1681" s="12">
        <v>2.35</v>
      </c>
      <c r="AB1681" s="12">
        <v>484</v>
      </c>
      <c r="AC1681" s="12"/>
      <c r="AD1681" s="12" t="str">
        <f>IFERROR(__xludf.DUMMYFUNCTION("""COMPUTED_VALUE"""),"Bono")</f>
        <v>Bono</v>
      </c>
      <c r="AE1681" s="12"/>
    </row>
    <row r="1682" customHeight="1" spans="1:31">
      <c r="A1682" s="11" t="s">
        <v>30</v>
      </c>
      <c r="B1682" s="11" t="s">
        <v>6418</v>
      </c>
      <c r="C1682" s="11">
        <v>232</v>
      </c>
      <c r="D1682" s="11">
        <v>131</v>
      </c>
      <c r="E1682" s="11">
        <v>89</v>
      </c>
      <c r="F1682" s="11">
        <v>372</v>
      </c>
      <c r="G1682" s="11">
        <v>2000</v>
      </c>
      <c r="H1682" s="11">
        <v>28644770</v>
      </c>
      <c r="I1682" s="11" t="s">
        <v>1681</v>
      </c>
      <c r="J1682" s="11" t="s">
        <v>4200</v>
      </c>
      <c r="K1682" s="11" t="s">
        <v>8501</v>
      </c>
      <c r="L1682" s="11" t="s">
        <v>2766</v>
      </c>
      <c r="M1682" s="11" t="s">
        <v>8502</v>
      </c>
      <c r="N1682" s="11">
        <v>78974</v>
      </c>
      <c r="O1682" s="11">
        <v>3479</v>
      </c>
      <c r="P1682" s="11">
        <v>2</v>
      </c>
      <c r="Q1682" s="11" t="s">
        <v>8503</v>
      </c>
      <c r="R1682" s="14" t="s">
        <v>8504</v>
      </c>
      <c r="S1682" s="11">
        <v>141</v>
      </c>
      <c r="T1682" s="11" t="s">
        <v>39</v>
      </c>
      <c r="U1682" s="11" t="s">
        <v>40</v>
      </c>
      <c r="V1682" s="11" t="s">
        <v>586</v>
      </c>
      <c r="W1682" s="11">
        <v>30000000</v>
      </c>
      <c r="X1682" s="11">
        <v>2012</v>
      </c>
      <c r="Y1682" s="11">
        <v>401</v>
      </c>
      <c r="Z1682" s="11">
        <v>6.2</v>
      </c>
      <c r="AA1682" s="11">
        <v>1.85</v>
      </c>
      <c r="AB1682" s="11">
        <v>11000</v>
      </c>
      <c r="AC1682" s="11"/>
      <c r="AD1682" s="11" t="str">
        <f>IFERROR(__xludf.DUMMYFUNCTION("""COMPUTED_VALUE"""),"Slash")</f>
        <v>Slash</v>
      </c>
      <c r="AE1682" s="11"/>
    </row>
    <row r="1683" customHeight="1" spans="1:31">
      <c r="A1683" s="12" t="s">
        <v>30</v>
      </c>
      <c r="B1683" s="12" t="s">
        <v>8505</v>
      </c>
      <c r="C1683" s="12">
        <v>63</v>
      </c>
      <c r="D1683" s="12">
        <v>104</v>
      </c>
      <c r="E1683" s="12">
        <v>30</v>
      </c>
      <c r="F1683" s="12">
        <v>635</v>
      </c>
      <c r="G1683" s="12">
        <v>1000</v>
      </c>
      <c r="H1683" s="12">
        <v>21800302</v>
      </c>
      <c r="I1683" s="12" t="s">
        <v>4479</v>
      </c>
      <c r="J1683" s="12" t="s">
        <v>804</v>
      </c>
      <c r="K1683" s="12" t="s">
        <v>1978</v>
      </c>
      <c r="L1683" s="12" t="s">
        <v>7659</v>
      </c>
      <c r="M1683" s="12" t="s">
        <v>8506</v>
      </c>
      <c r="N1683" s="12">
        <v>12164</v>
      </c>
      <c r="O1683" s="12">
        <v>4462</v>
      </c>
      <c r="P1683" s="12">
        <v>1</v>
      </c>
      <c r="Q1683" s="12" t="s">
        <v>8507</v>
      </c>
      <c r="R1683" s="15" t="s">
        <v>8508</v>
      </c>
      <c r="S1683" s="12">
        <v>63</v>
      </c>
      <c r="T1683" s="12" t="s">
        <v>39</v>
      </c>
      <c r="U1683" s="12" t="s">
        <v>40</v>
      </c>
      <c r="V1683" s="12" t="s">
        <v>41</v>
      </c>
      <c r="W1683" s="12">
        <v>30000000</v>
      </c>
      <c r="X1683" s="12">
        <v>2004</v>
      </c>
      <c r="Y1683" s="12">
        <v>962</v>
      </c>
      <c r="Z1683" s="12">
        <v>5.5</v>
      </c>
      <c r="AA1683" s="12">
        <v>1.85</v>
      </c>
      <c r="AB1683" s="12">
        <v>491</v>
      </c>
      <c r="AC1683" s="12"/>
      <c r="AD1683" s="12" t="str">
        <f>IFERROR(__xludf.DUMMYFUNCTION("""COMPUTED_VALUE"""),"Robert Davi")</f>
        <v>Robert Davi</v>
      </c>
      <c r="AE1683" s="12"/>
    </row>
    <row r="1684" customHeight="1" spans="1:31">
      <c r="A1684" s="11" t="s">
        <v>30</v>
      </c>
      <c r="B1684" s="11" t="s">
        <v>8509</v>
      </c>
      <c r="C1684" s="11">
        <v>239</v>
      </c>
      <c r="D1684" s="11">
        <v>133</v>
      </c>
      <c r="E1684" s="11">
        <v>549</v>
      </c>
      <c r="F1684" s="11">
        <v>343</v>
      </c>
      <c r="G1684" s="11">
        <v>10000</v>
      </c>
      <c r="H1684" s="11">
        <v>21129348</v>
      </c>
      <c r="I1684" s="11" t="s">
        <v>5275</v>
      </c>
      <c r="J1684" s="11" t="s">
        <v>302</v>
      </c>
      <c r="K1684" s="11" t="s">
        <v>8510</v>
      </c>
      <c r="L1684" s="11" t="s">
        <v>8511</v>
      </c>
      <c r="M1684" s="11" t="s">
        <v>8512</v>
      </c>
      <c r="N1684" s="11">
        <v>146364</v>
      </c>
      <c r="O1684" s="11">
        <v>11799</v>
      </c>
      <c r="P1684" s="11">
        <v>0</v>
      </c>
      <c r="Q1684" s="11" t="s">
        <v>8513</v>
      </c>
      <c r="R1684" s="14" t="s">
        <v>8514</v>
      </c>
      <c r="S1684" s="11">
        <v>237</v>
      </c>
      <c r="T1684" s="11" t="s">
        <v>39</v>
      </c>
      <c r="U1684" s="11" t="s">
        <v>40</v>
      </c>
      <c r="V1684" s="11" t="s">
        <v>41</v>
      </c>
      <c r="W1684" s="11">
        <v>35000000</v>
      </c>
      <c r="X1684" s="11">
        <v>2010</v>
      </c>
      <c r="Y1684" s="11">
        <v>796</v>
      </c>
      <c r="Z1684" s="11">
        <v>7.4</v>
      </c>
      <c r="AA1684" s="11">
        <v>2.35</v>
      </c>
      <c r="AB1684" s="11">
        <v>27000</v>
      </c>
      <c r="AC1684" s="11"/>
      <c r="AD1684" s="11" t="str">
        <f>IFERROR(__xludf.DUMMYFUNCTION("""COMPUTED_VALUE"""),"Anthony Zerbe")</f>
        <v>Anthony Zerbe</v>
      </c>
      <c r="AE1684" s="11"/>
    </row>
    <row r="1685" customHeight="1" spans="1:31">
      <c r="A1685" s="12" t="s">
        <v>30</v>
      </c>
      <c r="B1685" s="12" t="s">
        <v>8515</v>
      </c>
      <c r="C1685" s="12">
        <v>158</v>
      </c>
      <c r="D1685" s="12">
        <v>94</v>
      </c>
      <c r="E1685" s="12">
        <v>110</v>
      </c>
      <c r="F1685" s="12">
        <v>277</v>
      </c>
      <c r="G1685" s="12">
        <v>14000</v>
      </c>
      <c r="H1685" s="12">
        <v>18500966</v>
      </c>
      <c r="I1685" s="12" t="s">
        <v>2208</v>
      </c>
      <c r="J1685" s="12" t="s">
        <v>1973</v>
      </c>
      <c r="K1685" s="12" t="s">
        <v>8516</v>
      </c>
      <c r="L1685" s="12" t="s">
        <v>2774</v>
      </c>
      <c r="M1685" s="12" t="s">
        <v>8517</v>
      </c>
      <c r="N1685" s="12">
        <v>70341</v>
      </c>
      <c r="O1685" s="12">
        <v>15271</v>
      </c>
      <c r="P1685" s="12">
        <v>1</v>
      </c>
      <c r="Q1685" s="12" t="s">
        <v>8518</v>
      </c>
      <c r="R1685" s="15" t="s">
        <v>8519</v>
      </c>
      <c r="S1685" s="12">
        <v>830</v>
      </c>
      <c r="T1685" s="12" t="s">
        <v>39</v>
      </c>
      <c r="U1685" s="12" t="s">
        <v>40</v>
      </c>
      <c r="V1685" s="12" t="s">
        <v>41</v>
      </c>
      <c r="W1685" s="12">
        <v>30000000</v>
      </c>
      <c r="X1685" s="12">
        <v>2006</v>
      </c>
      <c r="Y1685" s="12">
        <v>829</v>
      </c>
      <c r="Z1685" s="12">
        <v>4.4</v>
      </c>
      <c r="AA1685" s="12">
        <v>1.85</v>
      </c>
      <c r="AB1685" s="12">
        <v>0</v>
      </c>
      <c r="AC1685" s="12"/>
      <c r="AD1685" s="12" t="str">
        <f>IFERROR(__xludf.DUMMYFUNCTION("""COMPUTED_VALUE"""),"Fisher Stevens")</f>
        <v>Fisher Stevens</v>
      </c>
      <c r="AE1685" s="12"/>
    </row>
    <row r="1686" customHeight="1" spans="1:31">
      <c r="A1686" s="11" t="s">
        <v>30</v>
      </c>
      <c r="B1686" s="11" t="s">
        <v>8520</v>
      </c>
      <c r="C1686" s="11">
        <v>152</v>
      </c>
      <c r="D1686" s="11">
        <v>109</v>
      </c>
      <c r="E1686" s="11">
        <v>25</v>
      </c>
      <c r="F1686" s="11">
        <v>431</v>
      </c>
      <c r="G1686" s="11">
        <v>954</v>
      </c>
      <c r="H1686" s="11">
        <v>19976073</v>
      </c>
      <c r="I1686" s="11" t="s">
        <v>464</v>
      </c>
      <c r="J1686" s="11" t="s">
        <v>795</v>
      </c>
      <c r="K1686" s="11" t="s">
        <v>8521</v>
      </c>
      <c r="L1686" s="11" t="s">
        <v>8522</v>
      </c>
      <c r="M1686" s="11" t="s">
        <v>8523</v>
      </c>
      <c r="N1686" s="11">
        <v>65979</v>
      </c>
      <c r="O1686" s="11">
        <v>3148</v>
      </c>
      <c r="P1686" s="11">
        <v>1</v>
      </c>
      <c r="Q1686" s="11" t="s">
        <v>8524</v>
      </c>
      <c r="R1686" s="14" t="s">
        <v>8525</v>
      </c>
      <c r="S1686" s="11">
        <v>220</v>
      </c>
      <c r="T1686" s="11" t="s">
        <v>39</v>
      </c>
      <c r="U1686" s="11" t="s">
        <v>40</v>
      </c>
      <c r="V1686" s="11" t="s">
        <v>586</v>
      </c>
      <c r="W1686" s="11">
        <v>20000000</v>
      </c>
      <c r="X1686" s="11">
        <v>2005</v>
      </c>
      <c r="Y1686" s="11">
        <v>739</v>
      </c>
      <c r="Z1686" s="11">
        <v>6.3</v>
      </c>
      <c r="AA1686" s="11">
        <v>2.35</v>
      </c>
      <c r="AB1686" s="11">
        <v>999</v>
      </c>
      <c r="AC1686" s="11"/>
      <c r="AD1686" s="11" t="str">
        <f>IFERROR(__xludf.DUMMYFUNCTION("""COMPUTED_VALUE"""),"Jeremy Crutchley")</f>
        <v>Jeremy Crutchley</v>
      </c>
      <c r="AE1686" s="11"/>
    </row>
    <row r="1687" customHeight="1" spans="1:31">
      <c r="A1687" s="12" t="s">
        <v>30</v>
      </c>
      <c r="B1687" s="12" t="s">
        <v>3099</v>
      </c>
      <c r="C1687" s="12">
        <v>105</v>
      </c>
      <c r="D1687" s="12">
        <v>96</v>
      </c>
      <c r="E1687" s="12">
        <v>845</v>
      </c>
      <c r="F1687" s="12">
        <v>488</v>
      </c>
      <c r="G1687" s="12">
        <v>978</v>
      </c>
      <c r="H1687" s="12">
        <v>18967571</v>
      </c>
      <c r="I1687" s="12" t="s">
        <v>334</v>
      </c>
      <c r="J1687" s="12" t="s">
        <v>6706</v>
      </c>
      <c r="K1687" s="12" t="s">
        <v>381</v>
      </c>
      <c r="L1687" s="12" t="s">
        <v>4158</v>
      </c>
      <c r="M1687" s="12" t="s">
        <v>8526</v>
      </c>
      <c r="N1687" s="12">
        <v>23345</v>
      </c>
      <c r="O1687" s="12">
        <v>3072</v>
      </c>
      <c r="P1687" s="12">
        <v>2</v>
      </c>
      <c r="Q1687" s="12" t="s">
        <v>8527</v>
      </c>
      <c r="R1687" s="15" t="s">
        <v>8528</v>
      </c>
      <c r="S1687" s="12">
        <v>167</v>
      </c>
      <c r="T1687" s="12" t="s">
        <v>39</v>
      </c>
      <c r="U1687" s="12" t="s">
        <v>40</v>
      </c>
      <c r="V1687" s="12" t="s">
        <v>586</v>
      </c>
      <c r="W1687" s="12">
        <v>30000000</v>
      </c>
      <c r="X1687" s="12">
        <v>1998</v>
      </c>
      <c r="Y1687" s="12">
        <v>968</v>
      </c>
      <c r="Z1687" s="12">
        <v>6.1</v>
      </c>
      <c r="AA1687" s="12">
        <v>2.35</v>
      </c>
      <c r="AB1687" s="12">
        <v>629</v>
      </c>
      <c r="AC1687" s="12"/>
      <c r="AD1687" s="12" t="str">
        <f>IFERROR(__xludf.DUMMYFUNCTION("""COMPUTED_VALUE"""),"Jared Burke")</f>
        <v>Jared Burke</v>
      </c>
      <c r="AE1687" s="12"/>
    </row>
    <row r="1688" customHeight="1" spans="1:31">
      <c r="A1688" s="11" t="s">
        <v>30</v>
      </c>
      <c r="B1688" s="11" t="s">
        <v>8529</v>
      </c>
      <c r="C1688" s="11">
        <v>36</v>
      </c>
      <c r="D1688" s="11">
        <v>105</v>
      </c>
      <c r="E1688" s="11">
        <v>114</v>
      </c>
      <c r="F1688" s="11">
        <v>537</v>
      </c>
      <c r="G1688" s="11">
        <v>4000</v>
      </c>
      <c r="H1688" s="11">
        <v>17100000</v>
      </c>
      <c r="I1688" s="11" t="s">
        <v>8530</v>
      </c>
      <c r="J1688" s="11" t="s">
        <v>495</v>
      </c>
      <c r="K1688" s="11" t="s">
        <v>8531</v>
      </c>
      <c r="L1688" s="11" t="s">
        <v>979</v>
      </c>
      <c r="M1688" s="11" t="s">
        <v>8532</v>
      </c>
      <c r="N1688" s="11">
        <v>7073</v>
      </c>
      <c r="O1688" s="11">
        <v>6152</v>
      </c>
      <c r="P1688" s="11">
        <v>1</v>
      </c>
      <c r="Q1688" s="11" t="s">
        <v>8533</v>
      </c>
      <c r="R1688" s="14" t="s">
        <v>8534</v>
      </c>
      <c r="S1688" s="11">
        <v>29</v>
      </c>
      <c r="T1688" s="11" t="s">
        <v>39</v>
      </c>
      <c r="U1688" s="11" t="s">
        <v>40</v>
      </c>
      <c r="V1688" s="11" t="s">
        <v>586</v>
      </c>
      <c r="W1688" s="11">
        <v>25000000</v>
      </c>
      <c r="X1688" s="11">
        <v>1996</v>
      </c>
      <c r="Y1688" s="11">
        <v>561</v>
      </c>
      <c r="Z1688" s="11">
        <v>5.3</v>
      </c>
      <c r="AA1688" s="11">
        <v>1.85</v>
      </c>
      <c r="AB1688" s="11">
        <v>204</v>
      </c>
      <c r="AC1688" s="11"/>
      <c r="AD1688" s="11" t="str">
        <f>IFERROR(__xludf.DUMMYFUNCTION("""COMPUTED_VALUE"""),"Tony Chiu Wai Leung")</f>
        <v>Tony Chiu Wai Leung</v>
      </c>
      <c r="AE1688" s="11"/>
    </row>
    <row r="1689" customHeight="1" spans="1:31">
      <c r="A1689" s="12" t="s">
        <v>30</v>
      </c>
      <c r="B1689" s="12" t="s">
        <v>8535</v>
      </c>
      <c r="C1689" s="12">
        <v>181</v>
      </c>
      <c r="D1689" s="12">
        <v>99</v>
      </c>
      <c r="E1689" s="12">
        <v>11</v>
      </c>
      <c r="F1689" s="12">
        <v>762</v>
      </c>
      <c r="G1689" s="12">
        <v>19000</v>
      </c>
      <c r="H1689" s="12">
        <v>17266505</v>
      </c>
      <c r="I1689" s="12" t="s">
        <v>8536</v>
      </c>
      <c r="J1689" s="12" t="s">
        <v>100</v>
      </c>
      <c r="K1689" s="12" t="s">
        <v>8537</v>
      </c>
      <c r="L1689" s="12" t="s">
        <v>6772</v>
      </c>
      <c r="M1689" s="12" t="s">
        <v>8538</v>
      </c>
      <c r="N1689" s="12">
        <v>43764</v>
      </c>
      <c r="O1689" s="12">
        <v>22554</v>
      </c>
      <c r="P1689" s="12">
        <v>1</v>
      </c>
      <c r="Q1689" s="12" t="s">
        <v>8539</v>
      </c>
      <c r="R1689" s="15" t="s">
        <v>8540</v>
      </c>
      <c r="S1689" s="12">
        <v>291</v>
      </c>
      <c r="T1689" s="12" t="s">
        <v>39</v>
      </c>
      <c r="U1689" s="12" t="s">
        <v>40</v>
      </c>
      <c r="V1689" s="12" t="s">
        <v>41</v>
      </c>
      <c r="W1689" s="12">
        <v>30000000</v>
      </c>
      <c r="X1689" s="12">
        <v>2002</v>
      </c>
      <c r="Y1689" s="12">
        <v>953</v>
      </c>
      <c r="Z1689" s="12">
        <v>5.4</v>
      </c>
      <c r="AA1689" s="12">
        <v>2.35</v>
      </c>
      <c r="AB1689" s="12">
        <v>0</v>
      </c>
      <c r="AC1689" s="12"/>
      <c r="AD1689" s="12" t="str">
        <f>IFERROR(__xludf.DUMMYFUNCTION("""COMPUTED_VALUE"""),"Maggie Cheung")</f>
        <v>Maggie Cheung</v>
      </c>
      <c r="AE1689" s="12"/>
    </row>
    <row r="1690" customHeight="1" spans="1:31">
      <c r="A1690" s="11" t="s">
        <v>30</v>
      </c>
      <c r="B1690" s="11" t="s">
        <v>1016</v>
      </c>
      <c r="C1690" s="11">
        <v>219</v>
      </c>
      <c r="D1690" s="11">
        <v>112</v>
      </c>
      <c r="E1690" s="11">
        <v>380</v>
      </c>
      <c r="F1690" s="11">
        <v>2000</v>
      </c>
      <c r="G1690" s="11">
        <v>15000</v>
      </c>
      <c r="H1690" s="11">
        <v>32357532</v>
      </c>
      <c r="I1690" s="11" t="s">
        <v>1415</v>
      </c>
      <c r="J1690" s="11" t="s">
        <v>373</v>
      </c>
      <c r="K1690" s="11" t="s">
        <v>257</v>
      </c>
      <c r="L1690" s="11" t="s">
        <v>236</v>
      </c>
      <c r="M1690" s="11" t="s">
        <v>8541</v>
      </c>
      <c r="N1690" s="11">
        <v>143368</v>
      </c>
      <c r="O1690" s="11">
        <v>31278</v>
      </c>
      <c r="P1690" s="11">
        <v>0</v>
      </c>
      <c r="Q1690" s="11" t="s">
        <v>8542</v>
      </c>
      <c r="R1690" s="14" t="s">
        <v>8543</v>
      </c>
      <c r="S1690" s="11">
        <v>215</v>
      </c>
      <c r="T1690" s="11" t="s">
        <v>39</v>
      </c>
      <c r="U1690" s="11" t="s">
        <v>40</v>
      </c>
      <c r="V1690" s="11" t="s">
        <v>586</v>
      </c>
      <c r="W1690" s="11">
        <v>30000000</v>
      </c>
      <c r="X1690" s="11">
        <v>2010</v>
      </c>
      <c r="Y1690" s="11">
        <v>11000</v>
      </c>
      <c r="Z1690" s="11">
        <v>6.7</v>
      </c>
      <c r="AA1690" s="11">
        <v>1.85</v>
      </c>
      <c r="AB1690" s="11">
        <v>24000</v>
      </c>
      <c r="AC1690" s="11"/>
      <c r="AD1690" s="11" t="str">
        <f>IFERROR(__xludf.DUMMYFUNCTION("""COMPUTED_VALUE"""),"Debbie Reynolds")</f>
        <v>Debbie Reynolds</v>
      </c>
      <c r="AE1690" s="11"/>
    </row>
    <row r="1691" customHeight="1" spans="1:31">
      <c r="A1691" s="12" t="s">
        <v>30</v>
      </c>
      <c r="B1691" s="12" t="s">
        <v>4135</v>
      </c>
      <c r="C1691" s="12">
        <v>158</v>
      </c>
      <c r="D1691" s="12">
        <v>108</v>
      </c>
      <c r="E1691" s="12">
        <v>50</v>
      </c>
      <c r="F1691" s="12">
        <v>494</v>
      </c>
      <c r="G1691" s="12">
        <v>14000</v>
      </c>
      <c r="H1691" s="12">
        <v>16930884</v>
      </c>
      <c r="I1691" s="12" t="s">
        <v>2142</v>
      </c>
      <c r="J1691" s="12" t="s">
        <v>2383</v>
      </c>
      <c r="K1691" s="12" t="s">
        <v>4000</v>
      </c>
      <c r="L1691" s="12" t="s">
        <v>5084</v>
      </c>
      <c r="M1691" s="12" t="s">
        <v>8544</v>
      </c>
      <c r="N1691" s="12">
        <v>65628</v>
      </c>
      <c r="O1691" s="12">
        <v>16722</v>
      </c>
      <c r="P1691" s="12">
        <v>1</v>
      </c>
      <c r="Q1691" s="12" t="s">
        <v>8545</v>
      </c>
      <c r="R1691" s="15" t="s">
        <v>8546</v>
      </c>
      <c r="S1691" s="12">
        <v>262</v>
      </c>
      <c r="T1691" s="12" t="s">
        <v>39</v>
      </c>
      <c r="U1691" s="12" t="s">
        <v>40</v>
      </c>
      <c r="V1691" s="12" t="s">
        <v>586</v>
      </c>
      <c r="W1691" s="12">
        <v>30000000</v>
      </c>
      <c r="X1691" s="12">
        <v>2007</v>
      </c>
      <c r="Y1691" s="12">
        <v>975</v>
      </c>
      <c r="Z1691" s="12">
        <v>5.9</v>
      </c>
      <c r="AA1691" s="12">
        <v>2.35</v>
      </c>
      <c r="AB1691" s="12">
        <v>0</v>
      </c>
      <c r="AC1691" s="12"/>
      <c r="AD1691" s="12" t="str">
        <f>IFERROR(__xludf.DUMMYFUNCTION("""COMPUTED_VALUE"""),"Randall Park")</f>
        <v>Randall Park</v>
      </c>
      <c r="AE1691" s="12"/>
    </row>
    <row r="1692" customHeight="1" spans="1:31">
      <c r="A1692" s="11" t="s">
        <v>30</v>
      </c>
      <c r="B1692" s="11" t="s">
        <v>8547</v>
      </c>
      <c r="C1692" s="11">
        <v>155</v>
      </c>
      <c r="D1692" s="11">
        <v>126</v>
      </c>
      <c r="E1692" s="11">
        <v>51</v>
      </c>
      <c r="F1692" s="11">
        <v>874</v>
      </c>
      <c r="G1692" s="11">
        <v>10000</v>
      </c>
      <c r="H1692" s="11">
        <v>18324242</v>
      </c>
      <c r="I1692" s="11" t="s">
        <v>3410</v>
      </c>
      <c r="J1692" s="11" t="s">
        <v>888</v>
      </c>
      <c r="K1692" s="11" t="s">
        <v>778</v>
      </c>
      <c r="L1692" s="11" t="s">
        <v>5105</v>
      </c>
      <c r="M1692" s="11" t="s">
        <v>8548</v>
      </c>
      <c r="N1692" s="11">
        <v>32815</v>
      </c>
      <c r="O1692" s="11">
        <v>20563</v>
      </c>
      <c r="P1692" s="11">
        <v>4</v>
      </c>
      <c r="Q1692" s="11" t="s">
        <v>8549</v>
      </c>
      <c r="R1692" s="14" t="s">
        <v>8550</v>
      </c>
      <c r="S1692" s="11">
        <v>214</v>
      </c>
      <c r="T1692" s="11" t="s">
        <v>39</v>
      </c>
      <c r="U1692" s="11" t="s">
        <v>40</v>
      </c>
      <c r="V1692" s="11" t="s">
        <v>586</v>
      </c>
      <c r="W1692" s="11">
        <v>35000000</v>
      </c>
      <c r="X1692" s="11">
        <v>2005</v>
      </c>
      <c r="Y1692" s="11">
        <v>9000</v>
      </c>
      <c r="Z1692" s="11">
        <v>7.3</v>
      </c>
      <c r="AA1692" s="11">
        <v>2.35</v>
      </c>
      <c r="AB1692" s="11">
        <v>0</v>
      </c>
      <c r="AC1692" s="11"/>
      <c r="AD1692" s="11" t="str">
        <f>IFERROR(__xludf.DUMMYFUNCTION("""COMPUTED_VALUE"""),"Anders Holm")</f>
        <v>Anders Holm</v>
      </c>
      <c r="AE1692" s="11"/>
    </row>
    <row r="1693" customHeight="1" spans="1:31">
      <c r="A1693" s="12" t="s">
        <v>30</v>
      </c>
      <c r="B1693" s="12" t="s">
        <v>5226</v>
      </c>
      <c r="C1693" s="12">
        <v>74</v>
      </c>
      <c r="D1693" s="12">
        <v>98</v>
      </c>
      <c r="E1693" s="12">
        <v>41</v>
      </c>
      <c r="F1693" s="12">
        <v>900</v>
      </c>
      <c r="G1693" s="12">
        <v>13000</v>
      </c>
      <c r="H1693" s="12">
        <v>16323969</v>
      </c>
      <c r="I1693" s="12" t="s">
        <v>5968</v>
      </c>
      <c r="J1693" s="12" t="s">
        <v>978</v>
      </c>
      <c r="K1693" s="12" t="s">
        <v>6393</v>
      </c>
      <c r="L1693" s="12" t="s">
        <v>7324</v>
      </c>
      <c r="M1693" s="12" t="s">
        <v>8551</v>
      </c>
      <c r="N1693" s="12">
        <v>45775</v>
      </c>
      <c r="O1693" s="12">
        <v>18085</v>
      </c>
      <c r="P1693" s="12">
        <v>5</v>
      </c>
      <c r="Q1693" s="12" t="s">
        <v>8552</v>
      </c>
      <c r="R1693" s="15" t="s">
        <v>8553</v>
      </c>
      <c r="S1693" s="12">
        <v>112</v>
      </c>
      <c r="T1693" s="12" t="s">
        <v>39</v>
      </c>
      <c r="U1693" s="12" t="s">
        <v>40</v>
      </c>
      <c r="V1693" s="12" t="s">
        <v>41</v>
      </c>
      <c r="W1693" s="12">
        <v>40000000</v>
      </c>
      <c r="X1693" s="12">
        <v>2004</v>
      </c>
      <c r="Y1693" s="12">
        <v>2000</v>
      </c>
      <c r="Z1693" s="12">
        <v>5.5</v>
      </c>
      <c r="AA1693" s="12">
        <v>1.85</v>
      </c>
      <c r="AB1693" s="12">
        <v>462</v>
      </c>
      <c r="AC1693" s="12"/>
      <c r="AD1693" s="12" t="str">
        <f>IFERROR(__xludf.DUMMYFUNCTION("""COMPUTED_VALUE"""),"Dong-gun Jang")</f>
        <v>Dong-gun Jang</v>
      </c>
      <c r="AE1693" s="12"/>
    </row>
    <row r="1694" customHeight="1" spans="1:31">
      <c r="A1694" s="11" t="s">
        <v>30</v>
      </c>
      <c r="B1694" s="11" t="s">
        <v>8554</v>
      </c>
      <c r="C1694" s="11">
        <v>368</v>
      </c>
      <c r="D1694" s="11">
        <v>104</v>
      </c>
      <c r="E1694" s="11">
        <v>165</v>
      </c>
      <c r="F1694" s="11">
        <v>559</v>
      </c>
      <c r="G1694" s="11">
        <v>900</v>
      </c>
      <c r="H1694" s="11">
        <v>16999046</v>
      </c>
      <c r="I1694" s="11" t="s">
        <v>782</v>
      </c>
      <c r="J1694" s="11" t="s">
        <v>8555</v>
      </c>
      <c r="K1694" s="11" t="s">
        <v>8556</v>
      </c>
      <c r="L1694" s="11" t="s">
        <v>8557</v>
      </c>
      <c r="M1694" s="11" t="s">
        <v>8558</v>
      </c>
      <c r="N1694" s="11">
        <v>79517</v>
      </c>
      <c r="O1694" s="11">
        <v>2222</v>
      </c>
      <c r="P1694" s="11">
        <v>0</v>
      </c>
      <c r="Q1694" s="11" t="s">
        <v>8559</v>
      </c>
      <c r="R1694" s="14" t="s">
        <v>8560</v>
      </c>
      <c r="S1694" s="11">
        <v>354</v>
      </c>
      <c r="T1694" s="11" t="s">
        <v>39</v>
      </c>
      <c r="U1694" s="11" t="s">
        <v>269</v>
      </c>
      <c r="V1694" s="11" t="s">
        <v>586</v>
      </c>
      <c r="W1694" s="11">
        <v>26000000</v>
      </c>
      <c r="X1694" s="11">
        <v>2009</v>
      </c>
      <c r="Y1694" s="11">
        <v>686</v>
      </c>
      <c r="Z1694" s="11">
        <v>5.8</v>
      </c>
      <c r="AA1694" s="11">
        <v>1.85</v>
      </c>
      <c r="AB1694" s="11">
        <v>12000</v>
      </c>
      <c r="AC1694" s="11"/>
      <c r="AD1694" s="11" t="str">
        <f>IFERROR(__xludf.DUMMYFUNCTION("""COMPUTED_VALUE"""),"Jed Brophy")</f>
        <v>Jed Brophy</v>
      </c>
      <c r="AE1694" s="11"/>
    </row>
    <row r="1695" customHeight="1" spans="1:31">
      <c r="A1695" s="12" t="s">
        <v>30</v>
      </c>
      <c r="B1695" s="12" t="s">
        <v>8561</v>
      </c>
      <c r="C1695" s="12">
        <v>81</v>
      </c>
      <c r="D1695" s="12">
        <v>110</v>
      </c>
      <c r="E1695" s="12">
        <v>8</v>
      </c>
      <c r="F1695" s="12">
        <v>322</v>
      </c>
      <c r="G1695" s="12">
        <v>1000</v>
      </c>
      <c r="H1695" s="12">
        <v>16295774</v>
      </c>
      <c r="I1695" s="12" t="s">
        <v>4432</v>
      </c>
      <c r="J1695" s="12" t="s">
        <v>3756</v>
      </c>
      <c r="K1695" s="12" t="s">
        <v>1655</v>
      </c>
      <c r="L1695" s="12" t="s">
        <v>8562</v>
      </c>
      <c r="M1695" s="12" t="s">
        <v>8563</v>
      </c>
      <c r="N1695" s="12">
        <v>33669</v>
      </c>
      <c r="O1695" s="12">
        <v>3000</v>
      </c>
      <c r="P1695" s="12">
        <v>1</v>
      </c>
      <c r="Q1695" s="12" t="s">
        <v>8564</v>
      </c>
      <c r="R1695" s="15" t="s">
        <v>8565</v>
      </c>
      <c r="S1695" s="12">
        <v>269</v>
      </c>
      <c r="T1695" s="12" t="s">
        <v>39</v>
      </c>
      <c r="U1695" s="12" t="s">
        <v>40</v>
      </c>
      <c r="V1695" s="12" t="s">
        <v>96</v>
      </c>
      <c r="W1695" s="12">
        <v>35000000</v>
      </c>
      <c r="X1695" s="12">
        <v>1986</v>
      </c>
      <c r="Y1695" s="12">
        <v>692</v>
      </c>
      <c r="Z1695" s="12">
        <v>4.6</v>
      </c>
      <c r="AA1695" s="12">
        <v>1.85</v>
      </c>
      <c r="AB1695" s="12">
        <v>0</v>
      </c>
      <c r="AC1695" s="12"/>
      <c r="AD1695" s="12" t="str">
        <f>IFERROR(__xludf.DUMMYFUNCTION("""COMPUTED_VALUE"""),"Gavin MacLeod")</f>
        <v>Gavin MacLeod</v>
      </c>
      <c r="AE1695" s="12"/>
    </row>
    <row r="1696" customHeight="1" spans="1:31">
      <c r="A1696" s="11" t="s">
        <v>30</v>
      </c>
      <c r="B1696" s="11" t="s">
        <v>8566</v>
      </c>
      <c r="C1696" s="11">
        <v>154</v>
      </c>
      <c r="D1696" s="11">
        <v>130</v>
      </c>
      <c r="E1696" s="11">
        <v>149</v>
      </c>
      <c r="F1696" s="11">
        <v>798</v>
      </c>
      <c r="G1696" s="11">
        <v>1000</v>
      </c>
      <c r="H1696" s="11">
        <v>15709385</v>
      </c>
      <c r="I1696" s="11" t="s">
        <v>2126</v>
      </c>
      <c r="J1696" s="11" t="s">
        <v>1403</v>
      </c>
      <c r="K1696" s="11" t="s">
        <v>1185</v>
      </c>
      <c r="L1696" s="11" t="s">
        <v>1699</v>
      </c>
      <c r="M1696" s="11" t="s">
        <v>8567</v>
      </c>
      <c r="N1696" s="11">
        <v>53053</v>
      </c>
      <c r="O1696" s="11">
        <v>5101</v>
      </c>
      <c r="P1696" s="11">
        <v>0</v>
      </c>
      <c r="Q1696" s="11" t="s">
        <v>8568</v>
      </c>
      <c r="R1696" s="14" t="s">
        <v>8569</v>
      </c>
      <c r="S1696" s="11">
        <v>132</v>
      </c>
      <c r="T1696" s="11" t="s">
        <v>39</v>
      </c>
      <c r="U1696" s="11" t="s">
        <v>40</v>
      </c>
      <c r="V1696" s="11" t="s">
        <v>586</v>
      </c>
      <c r="W1696" s="11">
        <v>30000000</v>
      </c>
      <c r="X1696" s="11">
        <v>2008</v>
      </c>
      <c r="Y1696" s="11">
        <v>807</v>
      </c>
      <c r="Z1696" s="11">
        <v>6.7</v>
      </c>
      <c r="AA1696" s="11">
        <v>1.85</v>
      </c>
      <c r="AB1696" s="11">
        <v>0</v>
      </c>
      <c r="AC1696" s="11"/>
      <c r="AD1696" s="11" t="str">
        <f>IFERROR(__xludf.DUMMYFUNCTION("""COMPUTED_VALUE"""),"Bob Hastings")</f>
        <v>Bob Hastings</v>
      </c>
      <c r="AE1696" s="11"/>
    </row>
    <row r="1697" customHeight="1" spans="1:31">
      <c r="A1697" s="12" t="s">
        <v>30</v>
      </c>
      <c r="B1697" s="12" t="s">
        <v>8570</v>
      </c>
      <c r="C1697" s="12">
        <v>140</v>
      </c>
      <c r="D1697" s="12">
        <v>93</v>
      </c>
      <c r="E1697" s="12">
        <v>2</v>
      </c>
      <c r="F1697" s="12">
        <v>258</v>
      </c>
      <c r="G1697" s="12">
        <v>849</v>
      </c>
      <c r="H1697" s="12">
        <v>14888028</v>
      </c>
      <c r="I1697" s="12" t="s">
        <v>8571</v>
      </c>
      <c r="J1697" s="12" t="s">
        <v>8572</v>
      </c>
      <c r="K1697" s="12" t="s">
        <v>2050</v>
      </c>
      <c r="L1697" s="12" t="s">
        <v>5260</v>
      </c>
      <c r="M1697" s="12" t="s">
        <v>8573</v>
      </c>
      <c r="N1697" s="12">
        <v>28606</v>
      </c>
      <c r="O1697" s="12">
        <v>2178</v>
      </c>
      <c r="P1697" s="12">
        <v>0</v>
      </c>
      <c r="Q1697" s="12" t="s">
        <v>8574</v>
      </c>
      <c r="R1697" s="15" t="s">
        <v>8575</v>
      </c>
      <c r="S1697" s="12">
        <v>262</v>
      </c>
      <c r="T1697" s="12" t="s">
        <v>39</v>
      </c>
      <c r="U1697" s="12" t="s">
        <v>40</v>
      </c>
      <c r="V1697" s="12" t="s">
        <v>41</v>
      </c>
      <c r="W1697" s="12">
        <v>30000000</v>
      </c>
      <c r="X1697" s="12">
        <v>2005</v>
      </c>
      <c r="Y1697" s="12">
        <v>787</v>
      </c>
      <c r="Z1697" s="12">
        <v>5.1</v>
      </c>
      <c r="AA1697" s="12">
        <v>2.35</v>
      </c>
      <c r="AB1697" s="12">
        <v>0</v>
      </c>
      <c r="AC1697" s="12"/>
      <c r="AD1697" s="12" t="str">
        <f>IFERROR(__xludf.DUMMYFUNCTION("""COMPUTED_VALUE"""),"Dany Boon")</f>
        <v>Dany Boon</v>
      </c>
      <c r="AE1697" s="12"/>
    </row>
    <row r="1698" customHeight="1" spans="1:31">
      <c r="A1698" s="11" t="s">
        <v>30</v>
      </c>
      <c r="B1698" s="11" t="s">
        <v>3892</v>
      </c>
      <c r="C1698" s="11">
        <v>73</v>
      </c>
      <c r="D1698" s="11">
        <v>96</v>
      </c>
      <c r="E1698" s="11">
        <v>0</v>
      </c>
      <c r="F1698" s="11">
        <v>130</v>
      </c>
      <c r="G1698" s="11">
        <v>372</v>
      </c>
      <c r="H1698" s="11">
        <v>14208384</v>
      </c>
      <c r="I1698" s="11" t="s">
        <v>1681</v>
      </c>
      <c r="J1698" s="11" t="s">
        <v>2766</v>
      </c>
      <c r="K1698" s="11" t="s">
        <v>8576</v>
      </c>
      <c r="L1698" s="11" t="s">
        <v>8577</v>
      </c>
      <c r="M1698" s="11" t="s">
        <v>8578</v>
      </c>
      <c r="N1698" s="11">
        <v>11520</v>
      </c>
      <c r="O1698" s="11">
        <v>977</v>
      </c>
      <c r="P1698" s="11">
        <v>2</v>
      </c>
      <c r="Q1698" s="11" t="s">
        <v>8579</v>
      </c>
      <c r="R1698" s="14" t="s">
        <v>8580</v>
      </c>
      <c r="S1698" s="11">
        <v>105</v>
      </c>
      <c r="T1698" s="11" t="s">
        <v>39</v>
      </c>
      <c r="U1698" s="11" t="s">
        <v>40</v>
      </c>
      <c r="V1698" s="11" t="s">
        <v>41</v>
      </c>
      <c r="W1698" s="11">
        <v>30000000</v>
      </c>
      <c r="X1698" s="11">
        <v>2003</v>
      </c>
      <c r="Y1698" s="11">
        <v>206</v>
      </c>
      <c r="Z1698" s="11">
        <v>5.6</v>
      </c>
      <c r="AA1698" s="11">
        <v>1.85</v>
      </c>
      <c r="AB1698" s="11">
        <v>625</v>
      </c>
      <c r="AC1698" s="11"/>
      <c r="AD1698" s="11" t="str">
        <f>IFERROR(__xludf.DUMMYFUNCTION("""COMPUTED_VALUE"""),"Evan Jones")</f>
        <v>Evan Jones</v>
      </c>
      <c r="AE1698" s="11"/>
    </row>
    <row r="1699" customHeight="1" spans="1:31">
      <c r="A1699" s="12" t="s">
        <v>30</v>
      </c>
      <c r="B1699" s="12" t="s">
        <v>6047</v>
      </c>
      <c r="C1699" s="12">
        <v>98</v>
      </c>
      <c r="D1699" s="12">
        <v>114</v>
      </c>
      <c r="E1699" s="12">
        <v>118</v>
      </c>
      <c r="F1699" s="12">
        <v>40</v>
      </c>
      <c r="G1699" s="12">
        <v>489</v>
      </c>
      <c r="H1699" s="12">
        <v>12831121</v>
      </c>
      <c r="I1699" s="12" t="s">
        <v>3278</v>
      </c>
      <c r="J1699" s="12" t="s">
        <v>8581</v>
      </c>
      <c r="K1699" s="12" t="s">
        <v>8582</v>
      </c>
      <c r="L1699" s="12" t="s">
        <v>8583</v>
      </c>
      <c r="M1699" s="12" t="s">
        <v>8584</v>
      </c>
      <c r="N1699" s="12">
        <v>44979</v>
      </c>
      <c r="O1699" s="12">
        <v>679</v>
      </c>
      <c r="P1699" s="12">
        <v>0</v>
      </c>
      <c r="Q1699" s="12" t="s">
        <v>8585</v>
      </c>
      <c r="R1699" s="15" t="s">
        <v>8586</v>
      </c>
      <c r="S1699" s="12">
        <v>298</v>
      </c>
      <c r="T1699" s="12" t="s">
        <v>39</v>
      </c>
      <c r="U1699" s="12" t="s">
        <v>40</v>
      </c>
      <c r="V1699" s="12" t="s">
        <v>41</v>
      </c>
      <c r="W1699" s="12">
        <v>30000000</v>
      </c>
      <c r="X1699" s="12">
        <v>2004</v>
      </c>
      <c r="Y1699" s="12">
        <v>93</v>
      </c>
      <c r="Z1699" s="12">
        <v>7</v>
      </c>
      <c r="AA1699" s="12">
        <v>2.35</v>
      </c>
      <c r="AB1699" s="12">
        <v>0</v>
      </c>
      <c r="AC1699" s="12"/>
      <c r="AD1699" s="12" t="str">
        <f>IFERROR(__xludf.DUMMYFUNCTION("""COMPUTED_VALUE"""),"Jamel Debbouze")</f>
        <v>Jamel Debbouze</v>
      </c>
      <c r="AE1699" s="12"/>
    </row>
    <row r="1700" customHeight="1" spans="1:31">
      <c r="A1700" s="11" t="s">
        <v>30</v>
      </c>
      <c r="B1700" s="11" t="s">
        <v>3586</v>
      </c>
      <c r="C1700" s="11">
        <v>358</v>
      </c>
      <c r="D1700" s="11">
        <v>106</v>
      </c>
      <c r="E1700" s="11">
        <v>44</v>
      </c>
      <c r="F1700" s="11">
        <v>133</v>
      </c>
      <c r="G1700" s="11">
        <v>596</v>
      </c>
      <c r="H1700" s="11">
        <v>18298649</v>
      </c>
      <c r="I1700" s="11" t="s">
        <v>7579</v>
      </c>
      <c r="J1700" s="11" t="s">
        <v>8587</v>
      </c>
      <c r="K1700" s="11" t="s">
        <v>8588</v>
      </c>
      <c r="L1700" s="11" t="s">
        <v>8589</v>
      </c>
      <c r="M1700" s="11" t="s">
        <v>8590</v>
      </c>
      <c r="N1700" s="11">
        <v>85024</v>
      </c>
      <c r="O1700" s="11">
        <v>1393</v>
      </c>
      <c r="P1700" s="11">
        <v>1</v>
      </c>
      <c r="Q1700" s="11" t="s">
        <v>8591</v>
      </c>
      <c r="R1700" s="14" t="s">
        <v>8592</v>
      </c>
      <c r="S1700" s="11">
        <v>242</v>
      </c>
      <c r="T1700" s="11" t="s">
        <v>39</v>
      </c>
      <c r="U1700" s="11" t="s">
        <v>40</v>
      </c>
      <c r="V1700" s="11" t="s">
        <v>586</v>
      </c>
      <c r="W1700" s="11">
        <v>30000000</v>
      </c>
      <c r="X1700" s="11">
        <v>2011</v>
      </c>
      <c r="Y1700" s="11">
        <v>343</v>
      </c>
      <c r="Z1700" s="11">
        <v>6.4</v>
      </c>
      <c r="AA1700" s="11">
        <v>1.85</v>
      </c>
      <c r="AB1700" s="11">
        <v>23000</v>
      </c>
      <c r="AC1700" s="11"/>
      <c r="AD1700" s="11" t="str">
        <f>IFERROR(__xludf.DUMMYFUNCTION("""COMPUTED_VALUE"""),"Youssef Hajdi")</f>
        <v>Youssef Hajdi</v>
      </c>
      <c r="AE1700" s="11"/>
    </row>
    <row r="1701" customHeight="1" spans="1:31">
      <c r="A1701" s="12" t="s">
        <v>30</v>
      </c>
      <c r="B1701" s="12" t="s">
        <v>4946</v>
      </c>
      <c r="C1701" s="12">
        <v>222</v>
      </c>
      <c r="D1701" s="12">
        <v>150</v>
      </c>
      <c r="E1701" s="12">
        <v>0</v>
      </c>
      <c r="F1701" s="12">
        <v>855</v>
      </c>
      <c r="G1701" s="12">
        <v>23000</v>
      </c>
      <c r="H1701" s="12">
        <v>12712093</v>
      </c>
      <c r="I1701" s="12" t="s">
        <v>6113</v>
      </c>
      <c r="J1701" s="12" t="s">
        <v>62</v>
      </c>
      <c r="K1701" s="12" t="s">
        <v>8593</v>
      </c>
      <c r="L1701" s="12" t="s">
        <v>35</v>
      </c>
      <c r="M1701" s="12" t="s">
        <v>8594</v>
      </c>
      <c r="N1701" s="12">
        <v>70771</v>
      </c>
      <c r="O1701" s="12">
        <v>27829</v>
      </c>
      <c r="P1701" s="12">
        <v>0</v>
      </c>
      <c r="Q1701" s="12" t="s">
        <v>8595</v>
      </c>
      <c r="R1701" s="15" t="s">
        <v>8596</v>
      </c>
      <c r="S1701" s="12">
        <v>671</v>
      </c>
      <c r="T1701" s="12" t="s">
        <v>39</v>
      </c>
      <c r="U1701" s="12" t="s">
        <v>40</v>
      </c>
      <c r="V1701" s="12" t="s">
        <v>41</v>
      </c>
      <c r="W1701" s="12">
        <v>30000000</v>
      </c>
      <c r="X1701" s="12">
        <v>2005</v>
      </c>
      <c r="Y1701" s="12">
        <v>909</v>
      </c>
      <c r="Z1701" s="12">
        <v>6.7</v>
      </c>
      <c r="AA1701" s="12">
        <v>2.35</v>
      </c>
      <c r="AB1701" s="12">
        <v>0</v>
      </c>
      <c r="AC1701" s="12"/>
      <c r="AD1701" s="12" t="str">
        <f>IFERROR(__xludf.DUMMYFUNCTION("""COMPUTED_VALUE"""),"Mélissa Theuriau")</f>
        <v>Mélissa Theuriau</v>
      </c>
      <c r="AE1701" s="12"/>
    </row>
    <row r="1702" customHeight="1" spans="1:31">
      <c r="A1702" s="11" t="s">
        <v>30</v>
      </c>
      <c r="B1702" s="11" t="s">
        <v>8597</v>
      </c>
      <c r="C1702" s="11">
        <v>85</v>
      </c>
      <c r="D1702" s="11">
        <v>100</v>
      </c>
      <c r="E1702" s="11">
        <v>38</v>
      </c>
      <c r="F1702" s="11">
        <v>362</v>
      </c>
      <c r="G1702" s="11">
        <v>811</v>
      </c>
      <c r="H1702" s="11">
        <v>11576087</v>
      </c>
      <c r="I1702" s="11" t="s">
        <v>73</v>
      </c>
      <c r="J1702" s="11" t="s">
        <v>4063</v>
      </c>
      <c r="K1702" s="11" t="s">
        <v>937</v>
      </c>
      <c r="L1702" s="11" t="s">
        <v>1275</v>
      </c>
      <c r="M1702" s="11" t="s">
        <v>8598</v>
      </c>
      <c r="N1702" s="11">
        <v>14747</v>
      </c>
      <c r="O1702" s="11">
        <v>2497</v>
      </c>
      <c r="P1702" s="11">
        <v>3</v>
      </c>
      <c r="Q1702" s="11" t="s">
        <v>8599</v>
      </c>
      <c r="R1702" s="14" t="s">
        <v>8600</v>
      </c>
      <c r="S1702" s="11">
        <v>338</v>
      </c>
      <c r="T1702" s="11" t="s">
        <v>39</v>
      </c>
      <c r="U1702" s="11" t="s">
        <v>40</v>
      </c>
      <c r="V1702" s="11" t="s">
        <v>41</v>
      </c>
      <c r="W1702" s="11">
        <v>30000000</v>
      </c>
      <c r="X1702" s="11">
        <v>1999</v>
      </c>
      <c r="Y1702" s="11">
        <v>586</v>
      </c>
      <c r="Z1702" s="11">
        <v>4.1</v>
      </c>
      <c r="AA1702" s="11">
        <v>2.35</v>
      </c>
      <c r="AB1702" s="11">
        <v>858</v>
      </c>
      <c r="AC1702" s="11"/>
      <c r="AD1702" s="11" t="str">
        <f>IFERROR(__xludf.DUMMYFUNCTION("""COMPUTED_VALUE"""),"Bérénice Bejo")</f>
        <v>Bérénice Bejo</v>
      </c>
      <c r="AE1702" s="11"/>
    </row>
    <row r="1703" customHeight="1" spans="1:31">
      <c r="A1703" s="12" t="s">
        <v>30</v>
      </c>
      <c r="B1703" s="12" t="s">
        <v>5051</v>
      </c>
      <c r="C1703" s="12">
        <v>62</v>
      </c>
      <c r="D1703" s="12">
        <v>100</v>
      </c>
      <c r="E1703" s="12">
        <v>277</v>
      </c>
      <c r="F1703" s="12">
        <v>210</v>
      </c>
      <c r="G1703" s="12">
        <v>21000</v>
      </c>
      <c r="H1703" s="12">
        <v>11900000</v>
      </c>
      <c r="I1703" s="12" t="s">
        <v>2001</v>
      </c>
      <c r="J1703" s="12" t="s">
        <v>99</v>
      </c>
      <c r="K1703" s="12" t="s">
        <v>6446</v>
      </c>
      <c r="L1703" s="12" t="s">
        <v>3763</v>
      </c>
      <c r="M1703" s="12" t="s">
        <v>8601</v>
      </c>
      <c r="N1703" s="12">
        <v>11003</v>
      </c>
      <c r="O1703" s="12">
        <v>22006</v>
      </c>
      <c r="P1703" s="12">
        <v>0</v>
      </c>
      <c r="Q1703" s="12" t="s">
        <v>8602</v>
      </c>
      <c r="R1703" s="15" t="s">
        <v>8603</v>
      </c>
      <c r="S1703" s="12">
        <v>148</v>
      </c>
      <c r="T1703" s="12" t="s">
        <v>39</v>
      </c>
      <c r="U1703" s="12" t="s">
        <v>40</v>
      </c>
      <c r="V1703" s="12" t="s">
        <v>586</v>
      </c>
      <c r="W1703" s="12">
        <v>30000000</v>
      </c>
      <c r="X1703" s="12">
        <v>1999</v>
      </c>
      <c r="Y1703" s="12">
        <v>767</v>
      </c>
      <c r="Z1703" s="12">
        <v>5.5</v>
      </c>
      <c r="AA1703" s="12">
        <v>1.85</v>
      </c>
      <c r="AB1703" s="12">
        <v>654</v>
      </c>
      <c r="AC1703" s="12"/>
      <c r="AD1703" s="12" t="str">
        <f>IFERROR(__xludf.DUMMYFUNCTION("""COMPUTED_VALUE"""),"Julian Sands")</f>
        <v>Julian Sands</v>
      </c>
      <c r="AE1703" s="12"/>
    </row>
    <row r="1704" customHeight="1" spans="1:31">
      <c r="A1704" s="11" t="s">
        <v>30</v>
      </c>
      <c r="B1704" s="11" t="s">
        <v>5496</v>
      </c>
      <c r="C1704" s="11">
        <v>130</v>
      </c>
      <c r="D1704" s="11">
        <v>100</v>
      </c>
      <c r="E1704" s="11">
        <v>70</v>
      </c>
      <c r="F1704" s="11">
        <v>99</v>
      </c>
      <c r="G1704" s="11">
        <v>473</v>
      </c>
      <c r="H1704" s="11">
        <v>9353573</v>
      </c>
      <c r="I1704" s="11" t="s">
        <v>262</v>
      </c>
      <c r="J1704" s="11" t="s">
        <v>6533</v>
      </c>
      <c r="K1704" s="11" t="s">
        <v>8604</v>
      </c>
      <c r="L1704" s="11" t="s">
        <v>3140</v>
      </c>
      <c r="M1704" s="11" t="s">
        <v>8605</v>
      </c>
      <c r="N1704" s="11">
        <v>56451</v>
      </c>
      <c r="O1704" s="11">
        <v>1100</v>
      </c>
      <c r="P1704" s="11">
        <v>0</v>
      </c>
      <c r="Q1704" s="11" t="s">
        <v>8606</v>
      </c>
      <c r="R1704" s="14" t="s">
        <v>8607</v>
      </c>
      <c r="S1704" s="11">
        <v>524</v>
      </c>
      <c r="T1704" s="11" t="s">
        <v>39</v>
      </c>
      <c r="U1704" s="11" t="s">
        <v>40</v>
      </c>
      <c r="V1704" s="11" t="s">
        <v>96</v>
      </c>
      <c r="W1704" s="11">
        <v>45000000</v>
      </c>
      <c r="X1704" s="11">
        <v>2009</v>
      </c>
      <c r="Y1704" s="11">
        <v>315</v>
      </c>
      <c r="Z1704" s="11">
        <v>2.7</v>
      </c>
      <c r="AA1704" s="11">
        <v>2.35</v>
      </c>
      <c r="AB1704" s="11">
        <v>0</v>
      </c>
      <c r="AC1704" s="11"/>
      <c r="AD1704" s="11" t="str">
        <f>IFERROR(__xludf.DUMMYFUNCTION("""COMPUTED_VALUE"""),"Lee Evans")</f>
        <v>Lee Evans</v>
      </c>
      <c r="AE1704" s="11"/>
    </row>
    <row r="1705" customHeight="1" spans="1:31">
      <c r="A1705" s="12" t="s">
        <v>30</v>
      </c>
      <c r="B1705" s="12" t="s">
        <v>8608</v>
      </c>
      <c r="C1705" s="12">
        <v>376</v>
      </c>
      <c r="D1705" s="12">
        <v>107</v>
      </c>
      <c r="E1705" s="12">
        <v>419</v>
      </c>
      <c r="F1705" s="12">
        <v>165</v>
      </c>
      <c r="G1705" s="12">
        <v>971</v>
      </c>
      <c r="H1705" s="12">
        <v>12026670</v>
      </c>
      <c r="I1705" s="12" t="s">
        <v>334</v>
      </c>
      <c r="J1705" s="12" t="s">
        <v>8227</v>
      </c>
      <c r="K1705" s="12" t="s">
        <v>8609</v>
      </c>
      <c r="L1705" s="12" t="s">
        <v>8610</v>
      </c>
      <c r="M1705" s="12" t="s">
        <v>8611</v>
      </c>
      <c r="N1705" s="12">
        <v>114241</v>
      </c>
      <c r="O1705" s="12">
        <v>1643</v>
      </c>
      <c r="P1705" s="12">
        <v>2</v>
      </c>
      <c r="Q1705" s="12" t="s">
        <v>8612</v>
      </c>
      <c r="R1705" s="15" t="s">
        <v>8613</v>
      </c>
      <c r="S1705" s="12">
        <v>258</v>
      </c>
      <c r="T1705" s="12" t="s">
        <v>39</v>
      </c>
      <c r="U1705" s="12" t="s">
        <v>40</v>
      </c>
      <c r="V1705" s="12" t="s">
        <v>586</v>
      </c>
      <c r="W1705" s="12">
        <v>45000000</v>
      </c>
      <c r="X1705" s="12">
        <v>2013</v>
      </c>
      <c r="Y1705" s="12">
        <v>236</v>
      </c>
      <c r="Z1705" s="12">
        <v>6.4</v>
      </c>
      <c r="AA1705" s="12">
        <v>2.35</v>
      </c>
      <c r="AB1705" s="12">
        <v>24000</v>
      </c>
      <c r="AC1705" s="12"/>
      <c r="AD1705" s="12" t="str">
        <f>IFERROR(__xludf.DUMMYFUNCTION("""COMPUTED_VALUE"""),"Anthony Chau-Sang Wong")</f>
        <v>Anthony Chau-Sang Wong</v>
      </c>
      <c r="AE1705" s="12"/>
    </row>
    <row r="1706" customHeight="1" spans="1:31">
      <c r="A1706" s="11" t="s">
        <v>30</v>
      </c>
      <c r="B1706" s="11" t="s">
        <v>8614</v>
      </c>
      <c r="C1706" s="11">
        <v>130</v>
      </c>
      <c r="D1706" s="11">
        <v>102</v>
      </c>
      <c r="E1706" s="11">
        <v>6</v>
      </c>
      <c r="F1706" s="11">
        <v>353</v>
      </c>
      <c r="G1706" s="11">
        <v>22000</v>
      </c>
      <c r="H1706" s="11">
        <v>14334645</v>
      </c>
      <c r="I1706" s="11" t="s">
        <v>3171</v>
      </c>
      <c r="J1706" s="11" t="s">
        <v>1746</v>
      </c>
      <c r="K1706" s="11" t="s">
        <v>8516</v>
      </c>
      <c r="L1706" s="11" t="s">
        <v>8615</v>
      </c>
      <c r="M1706" s="11" t="s">
        <v>8616</v>
      </c>
      <c r="N1706" s="11">
        <v>22449</v>
      </c>
      <c r="O1706" s="11">
        <v>23352</v>
      </c>
      <c r="P1706" s="11">
        <v>1</v>
      </c>
      <c r="Q1706" s="11" t="s">
        <v>8617</v>
      </c>
      <c r="R1706" s="14" t="s">
        <v>8618</v>
      </c>
      <c r="S1706" s="11">
        <v>191</v>
      </c>
      <c r="T1706" s="11" t="s">
        <v>39</v>
      </c>
      <c r="U1706" s="11" t="s">
        <v>40</v>
      </c>
      <c r="V1706" s="11" t="s">
        <v>41</v>
      </c>
      <c r="W1706" s="11">
        <v>25000000</v>
      </c>
      <c r="X1706" s="11">
        <v>2004</v>
      </c>
      <c r="Y1706" s="11">
        <v>829</v>
      </c>
      <c r="Z1706" s="11">
        <v>4.8</v>
      </c>
      <c r="AA1706" s="11">
        <v>2.35</v>
      </c>
      <c r="AB1706" s="11">
        <v>387</v>
      </c>
      <c r="AC1706" s="11"/>
      <c r="AD1706" s="11" t="str">
        <f>IFERROR(__xludf.DUMMYFUNCTION("""COMPUTED_VALUE"""),"Mandy Gonzalez")</f>
        <v>Mandy Gonzalez</v>
      </c>
      <c r="AE1706" s="11"/>
    </row>
    <row r="1707" customHeight="1" spans="1:31">
      <c r="A1707" s="12" t="s">
        <v>30</v>
      </c>
      <c r="B1707" s="12" t="s">
        <v>8619</v>
      </c>
      <c r="C1707" s="12">
        <v>65</v>
      </c>
      <c r="D1707" s="12">
        <v>101</v>
      </c>
      <c r="E1707" s="12">
        <v>3</v>
      </c>
      <c r="F1707" s="12">
        <v>120</v>
      </c>
      <c r="G1707" s="12">
        <v>448</v>
      </c>
      <c r="H1707" s="12">
        <v>12189514</v>
      </c>
      <c r="I1707" s="12" t="s">
        <v>1681</v>
      </c>
      <c r="J1707" s="12" t="s">
        <v>2781</v>
      </c>
      <c r="K1707" s="12" t="s">
        <v>8620</v>
      </c>
      <c r="L1707" s="12" t="s">
        <v>8621</v>
      </c>
      <c r="M1707" s="12" t="s">
        <v>8622</v>
      </c>
      <c r="N1707" s="12">
        <v>30092</v>
      </c>
      <c r="O1707" s="12">
        <v>842</v>
      </c>
      <c r="P1707" s="12">
        <v>0</v>
      </c>
      <c r="Q1707" s="12" t="s">
        <v>8623</v>
      </c>
      <c r="R1707" s="15" t="s">
        <v>8624</v>
      </c>
      <c r="S1707" s="12">
        <v>129</v>
      </c>
      <c r="T1707" s="12" t="s">
        <v>39</v>
      </c>
      <c r="U1707" s="12" t="s">
        <v>40</v>
      </c>
      <c r="V1707" s="12" t="s">
        <v>41</v>
      </c>
      <c r="W1707" s="12">
        <v>23000000</v>
      </c>
      <c r="X1707" s="12">
        <v>2004</v>
      </c>
      <c r="Y1707" s="12">
        <v>143</v>
      </c>
      <c r="Z1707" s="12">
        <v>6.1</v>
      </c>
      <c r="AA1707" s="12">
        <v>2.35</v>
      </c>
      <c r="AB1707" s="12">
        <v>0</v>
      </c>
      <c r="AC1707" s="12"/>
      <c r="AD1707" s="12" t="str">
        <f>IFERROR(__xludf.DUMMYFUNCTION("""COMPUTED_VALUE"""),"J. Smith-Cameron")</f>
        <v>J. Smith-Cameron</v>
      </c>
      <c r="AE1707" s="12"/>
    </row>
    <row r="1708" customHeight="1" spans="1:31">
      <c r="A1708" s="11" t="s">
        <v>30</v>
      </c>
      <c r="B1708" s="11" t="s">
        <v>8625</v>
      </c>
      <c r="C1708" s="11">
        <v>77</v>
      </c>
      <c r="D1708" s="11">
        <v>86</v>
      </c>
      <c r="E1708" s="11">
        <v>6</v>
      </c>
      <c r="F1708" s="11">
        <v>843</v>
      </c>
      <c r="G1708" s="11">
        <v>1000</v>
      </c>
      <c r="H1708" s="11">
        <v>10134754</v>
      </c>
      <c r="I1708" s="11" t="s">
        <v>2966</v>
      </c>
      <c r="J1708" s="11" t="s">
        <v>479</v>
      </c>
      <c r="K1708" s="11" t="s">
        <v>8626</v>
      </c>
      <c r="L1708" s="11" t="s">
        <v>3299</v>
      </c>
      <c r="M1708" s="11" t="s">
        <v>8627</v>
      </c>
      <c r="N1708" s="11">
        <v>9682</v>
      </c>
      <c r="O1708" s="11">
        <v>5393</v>
      </c>
      <c r="P1708" s="11">
        <v>0</v>
      </c>
      <c r="Q1708" s="11" t="s">
        <v>8628</v>
      </c>
      <c r="R1708" s="14" t="s">
        <v>8629</v>
      </c>
      <c r="S1708" s="11">
        <v>38</v>
      </c>
      <c r="T1708" s="11" t="s">
        <v>39</v>
      </c>
      <c r="U1708" s="11" t="s">
        <v>40</v>
      </c>
      <c r="V1708" s="11" t="s">
        <v>96</v>
      </c>
      <c r="W1708" s="11">
        <v>30000000</v>
      </c>
      <c r="X1708" s="11">
        <v>2011</v>
      </c>
      <c r="Y1708" s="11">
        <v>857</v>
      </c>
      <c r="Z1708" s="11">
        <v>4.8</v>
      </c>
      <c r="AA1708" s="11">
        <v>1.85</v>
      </c>
      <c r="AB1708" s="11">
        <v>0</v>
      </c>
      <c r="AC1708" s="11"/>
      <c r="AD1708" s="11" t="str">
        <f>IFERROR(__xludf.DUMMYFUNCTION("""COMPUTED_VALUE"""),"JoBeth Williams")</f>
        <v>JoBeth Williams</v>
      </c>
      <c r="AE1708" s="11"/>
    </row>
    <row r="1709" customHeight="1" spans="1:31">
      <c r="A1709" s="12" t="s">
        <v>30</v>
      </c>
      <c r="B1709" s="12" t="s">
        <v>7636</v>
      </c>
      <c r="C1709" s="12">
        <v>107</v>
      </c>
      <c r="D1709" s="12">
        <v>108</v>
      </c>
      <c r="E1709" s="12">
        <v>529</v>
      </c>
      <c r="F1709" s="12">
        <v>83</v>
      </c>
      <c r="G1709" s="12">
        <v>11000</v>
      </c>
      <c r="H1709" s="12">
        <v>8535575</v>
      </c>
      <c r="I1709" s="12" t="s">
        <v>3410</v>
      </c>
      <c r="J1709" s="12" t="s">
        <v>466</v>
      </c>
      <c r="K1709" s="12" t="s">
        <v>4385</v>
      </c>
      <c r="L1709" s="12" t="s">
        <v>8630</v>
      </c>
      <c r="M1709" s="12" t="s">
        <v>8631</v>
      </c>
      <c r="N1709" s="12">
        <v>24033</v>
      </c>
      <c r="O1709" s="12">
        <v>11519</v>
      </c>
      <c r="P1709" s="12">
        <v>3</v>
      </c>
      <c r="Q1709" s="12" t="s">
        <v>8632</v>
      </c>
      <c r="R1709" s="15" t="s">
        <v>8633</v>
      </c>
      <c r="S1709" s="12">
        <v>152</v>
      </c>
      <c r="T1709" s="12" t="s">
        <v>39</v>
      </c>
      <c r="U1709" s="12" t="s">
        <v>40</v>
      </c>
      <c r="V1709" s="12" t="s">
        <v>41</v>
      </c>
      <c r="W1709" s="12">
        <v>30000000</v>
      </c>
      <c r="X1709" s="12">
        <v>2005</v>
      </c>
      <c r="Y1709" s="12">
        <v>329</v>
      </c>
      <c r="Z1709" s="12">
        <v>7</v>
      </c>
      <c r="AA1709" s="12">
        <v>2.35</v>
      </c>
      <c r="AB1709" s="12">
        <v>0</v>
      </c>
      <c r="AC1709" s="12"/>
      <c r="AD1709" s="12" t="str">
        <f>IFERROR(__xludf.DUMMYFUNCTION("""COMPUTED_VALUE"""),"William Zabka")</f>
        <v>William Zabka</v>
      </c>
      <c r="AE1709" s="12"/>
    </row>
    <row r="1710" customHeight="1" spans="1:31">
      <c r="A1710" s="11" t="s">
        <v>30</v>
      </c>
      <c r="B1710" s="11" t="s">
        <v>2792</v>
      </c>
      <c r="C1710" s="11">
        <v>292</v>
      </c>
      <c r="D1710" s="11">
        <v>123</v>
      </c>
      <c r="E1710" s="11">
        <v>0</v>
      </c>
      <c r="F1710" s="11">
        <v>645</v>
      </c>
      <c r="G1710" s="11">
        <v>10000</v>
      </c>
      <c r="H1710" s="11">
        <v>7689458</v>
      </c>
      <c r="I1710" s="11" t="s">
        <v>8634</v>
      </c>
      <c r="J1710" s="11" t="s">
        <v>183</v>
      </c>
      <c r="K1710" s="11" t="s">
        <v>7251</v>
      </c>
      <c r="L1710" s="11" t="s">
        <v>1254</v>
      </c>
      <c r="M1710" s="11" t="s">
        <v>8635</v>
      </c>
      <c r="N1710" s="11">
        <v>126307</v>
      </c>
      <c r="O1710" s="11">
        <v>11769</v>
      </c>
      <c r="P1710" s="11">
        <v>1</v>
      </c>
      <c r="Q1710" s="11" t="s">
        <v>8636</v>
      </c>
      <c r="R1710" s="14" t="s">
        <v>8637</v>
      </c>
      <c r="S1710" s="11">
        <v>210</v>
      </c>
      <c r="T1710" s="11" t="s">
        <v>39</v>
      </c>
      <c r="U1710" s="11" t="s">
        <v>58</v>
      </c>
      <c r="V1710" s="11" t="s">
        <v>41</v>
      </c>
      <c r="W1710" s="11">
        <v>40000000</v>
      </c>
      <c r="X1710" s="11">
        <v>2009</v>
      </c>
      <c r="Y1710" s="11">
        <v>785</v>
      </c>
      <c r="Z1710" s="11">
        <v>6.8</v>
      </c>
      <c r="AA1710" s="11">
        <v>1.85</v>
      </c>
      <c r="AB1710" s="11">
        <v>19000</v>
      </c>
      <c r="AC1710" s="11"/>
      <c r="AD1710" s="11" t="str">
        <f>IFERROR(__xludf.DUMMYFUNCTION("""COMPUTED_VALUE"""),"William Bassett")</f>
        <v>William Bassett</v>
      </c>
      <c r="AE1710" s="11"/>
    </row>
    <row r="1711" customHeight="1" spans="1:31">
      <c r="A1711" s="12" t="s">
        <v>30</v>
      </c>
      <c r="B1711" s="12" t="s">
        <v>8638</v>
      </c>
      <c r="C1711" s="12">
        <v>193</v>
      </c>
      <c r="D1711" s="12">
        <v>134</v>
      </c>
      <c r="E1711" s="12">
        <v>12</v>
      </c>
      <c r="F1711" s="12">
        <v>329</v>
      </c>
      <c r="G1711" s="12">
        <v>891</v>
      </c>
      <c r="H1711" s="12">
        <v>7501404</v>
      </c>
      <c r="I1711" s="12" t="s">
        <v>2528</v>
      </c>
      <c r="J1711" s="12" t="s">
        <v>190</v>
      </c>
      <c r="K1711" s="12" t="s">
        <v>8639</v>
      </c>
      <c r="L1711" s="12" t="s">
        <v>8640</v>
      </c>
      <c r="M1711" s="12" t="s">
        <v>8641</v>
      </c>
      <c r="N1711" s="12">
        <v>21086</v>
      </c>
      <c r="O1711" s="12">
        <v>1873</v>
      </c>
      <c r="P1711" s="12">
        <v>2</v>
      </c>
      <c r="Q1711" s="12" t="s">
        <v>8642</v>
      </c>
      <c r="R1711" s="15" t="s">
        <v>8643</v>
      </c>
      <c r="S1711" s="12">
        <v>87</v>
      </c>
      <c r="T1711" s="12" t="s">
        <v>39</v>
      </c>
      <c r="U1711" s="12" t="s">
        <v>269</v>
      </c>
      <c r="V1711" s="12" t="s">
        <v>586</v>
      </c>
      <c r="W1711" s="16"/>
      <c r="X1711" s="12">
        <v>2010</v>
      </c>
      <c r="Y1711" s="12">
        <v>460</v>
      </c>
      <c r="Z1711" s="12">
        <v>7.3</v>
      </c>
      <c r="AA1711" s="12">
        <v>2.35</v>
      </c>
      <c r="AB1711" s="12">
        <v>0</v>
      </c>
      <c r="AC1711" s="12"/>
      <c r="AD1711" s="12" t="str">
        <f>IFERROR(__xludf.DUMMYFUNCTION("""COMPUTED_VALUE"""),"Annabeth Gish")</f>
        <v>Annabeth Gish</v>
      </c>
      <c r="AE1711" s="12"/>
    </row>
    <row r="1712" customHeight="1" spans="1:31">
      <c r="A1712" s="11" t="s">
        <v>30</v>
      </c>
      <c r="B1712" s="13"/>
      <c r="C1712" s="11">
        <v>16</v>
      </c>
      <c r="D1712" s="11">
        <v>511</v>
      </c>
      <c r="E1712" s="13"/>
      <c r="F1712" s="11">
        <v>51</v>
      </c>
      <c r="G1712" s="11">
        <v>147</v>
      </c>
      <c r="H1712" s="13"/>
      <c r="I1712" s="11" t="s">
        <v>2126</v>
      </c>
      <c r="J1712" s="11" t="s">
        <v>8644</v>
      </c>
      <c r="K1712" s="11" t="s">
        <v>8645</v>
      </c>
      <c r="L1712" s="11" t="s">
        <v>8646</v>
      </c>
      <c r="M1712" s="11" t="s">
        <v>8647</v>
      </c>
      <c r="N1712" s="11">
        <v>2308</v>
      </c>
      <c r="O1712" s="11">
        <v>307</v>
      </c>
      <c r="P1712" s="11">
        <v>0</v>
      </c>
      <c r="Q1712" s="11" t="s">
        <v>8648</v>
      </c>
      <c r="R1712" s="14" t="s">
        <v>8649</v>
      </c>
      <c r="S1712" s="11">
        <v>19</v>
      </c>
      <c r="T1712" s="11" t="s">
        <v>8650</v>
      </c>
      <c r="U1712" s="11" t="s">
        <v>8651</v>
      </c>
      <c r="V1712" s="13"/>
      <c r="W1712" s="13"/>
      <c r="X1712" s="13"/>
      <c r="Y1712" s="11">
        <v>63</v>
      </c>
      <c r="Z1712" s="11">
        <v>8.2</v>
      </c>
      <c r="AA1712" s="11">
        <v>16</v>
      </c>
      <c r="AB1712" s="11">
        <v>0</v>
      </c>
      <c r="AC1712" s="11"/>
      <c r="AD1712" s="11" t="str">
        <f>IFERROR(__xludf.DUMMYFUNCTION("""COMPUTED_VALUE"""),"Bruce Campbell")</f>
        <v>Bruce Campbell</v>
      </c>
      <c r="AE1712" s="11"/>
    </row>
    <row r="1713" customHeight="1" spans="1:31">
      <c r="A1713" s="12" t="s">
        <v>30</v>
      </c>
      <c r="B1713" s="12" t="s">
        <v>5684</v>
      </c>
      <c r="C1713" s="12">
        <v>184</v>
      </c>
      <c r="D1713" s="12">
        <v>88</v>
      </c>
      <c r="E1713" s="12">
        <v>65</v>
      </c>
      <c r="F1713" s="12">
        <v>681</v>
      </c>
      <c r="G1713" s="12">
        <v>3000</v>
      </c>
      <c r="H1713" s="12">
        <v>19316646</v>
      </c>
      <c r="I1713" s="12" t="s">
        <v>1528</v>
      </c>
      <c r="J1713" s="12" t="s">
        <v>723</v>
      </c>
      <c r="K1713" s="12" t="s">
        <v>3198</v>
      </c>
      <c r="L1713" s="12" t="s">
        <v>5196</v>
      </c>
      <c r="M1713" s="12" t="s">
        <v>8652</v>
      </c>
      <c r="N1713" s="12">
        <v>52069</v>
      </c>
      <c r="O1713" s="12">
        <v>5706</v>
      </c>
      <c r="P1713" s="12">
        <v>3</v>
      </c>
      <c r="Q1713" s="12" t="s">
        <v>8653</v>
      </c>
      <c r="R1713" s="15" t="s">
        <v>8654</v>
      </c>
      <c r="S1713" s="12">
        <v>95</v>
      </c>
      <c r="T1713" s="12" t="s">
        <v>39</v>
      </c>
      <c r="U1713" s="12" t="s">
        <v>40</v>
      </c>
      <c r="V1713" s="12" t="s">
        <v>586</v>
      </c>
      <c r="W1713" s="12">
        <v>30000000</v>
      </c>
      <c r="X1713" s="12">
        <v>2013</v>
      </c>
      <c r="Y1713" s="12">
        <v>697</v>
      </c>
      <c r="Z1713" s="12">
        <v>5.6</v>
      </c>
      <c r="AA1713" s="12">
        <v>2.35</v>
      </c>
      <c r="AB1713" s="12">
        <v>0</v>
      </c>
      <c r="AC1713" s="12"/>
      <c r="AD1713" s="12" t="str">
        <f>IFERROR(__xludf.DUMMYFUNCTION("""COMPUTED_VALUE"""),"Jeffrey Weissman")</f>
        <v>Jeffrey Weissman</v>
      </c>
      <c r="AE1713" s="12"/>
    </row>
    <row r="1714" customHeight="1" spans="1:31">
      <c r="A1714" s="11" t="s">
        <v>30</v>
      </c>
      <c r="B1714" s="11" t="s">
        <v>5868</v>
      </c>
      <c r="C1714" s="11">
        <v>123</v>
      </c>
      <c r="D1714" s="11">
        <v>109</v>
      </c>
      <c r="E1714" s="11">
        <v>29</v>
      </c>
      <c r="F1714" s="11">
        <v>91</v>
      </c>
      <c r="G1714" s="11">
        <v>779</v>
      </c>
      <c r="H1714" s="11">
        <v>10965209</v>
      </c>
      <c r="I1714" s="11" t="s">
        <v>464</v>
      </c>
      <c r="J1714" s="11" t="s">
        <v>273</v>
      </c>
      <c r="K1714" s="11" t="s">
        <v>8655</v>
      </c>
      <c r="L1714" s="11" t="s">
        <v>8656</v>
      </c>
      <c r="M1714" s="11" t="s">
        <v>8657</v>
      </c>
      <c r="N1714" s="11">
        <v>25558</v>
      </c>
      <c r="O1714" s="11">
        <v>1297</v>
      </c>
      <c r="P1714" s="11">
        <v>2</v>
      </c>
      <c r="Q1714" s="11" t="s">
        <v>8658</v>
      </c>
      <c r="R1714" s="14" t="s">
        <v>8659</v>
      </c>
      <c r="S1714" s="11">
        <v>221</v>
      </c>
      <c r="T1714" s="11" t="s">
        <v>39</v>
      </c>
      <c r="U1714" s="11" t="s">
        <v>40</v>
      </c>
      <c r="V1714" s="11" t="s">
        <v>41</v>
      </c>
      <c r="W1714" s="11">
        <v>30000000</v>
      </c>
      <c r="X1714" s="11">
        <v>2001</v>
      </c>
      <c r="Y1714" s="11">
        <v>240</v>
      </c>
      <c r="Z1714" s="11">
        <v>6.1</v>
      </c>
      <c r="AA1714" s="11">
        <v>2.35</v>
      </c>
      <c r="AB1714" s="11">
        <v>0</v>
      </c>
      <c r="AC1714" s="11"/>
      <c r="AD1714" s="11" t="str">
        <f>IFERROR(__xludf.DUMMYFUNCTION("""COMPUTED_VALUE"""),"Thomas F. Wilson")</f>
        <v>Thomas F. Wilson</v>
      </c>
      <c r="AE1714" s="11"/>
    </row>
    <row r="1715" customHeight="1" spans="1:31">
      <c r="A1715" s="12" t="s">
        <v>30</v>
      </c>
      <c r="B1715" s="12" t="s">
        <v>1016</v>
      </c>
      <c r="C1715" s="12">
        <v>60</v>
      </c>
      <c r="D1715" s="12">
        <v>122</v>
      </c>
      <c r="E1715" s="12">
        <v>380</v>
      </c>
      <c r="F1715" s="12">
        <v>2000</v>
      </c>
      <c r="G1715" s="12">
        <v>18000</v>
      </c>
      <c r="H1715" s="12">
        <v>26830000</v>
      </c>
      <c r="I1715" s="12" t="s">
        <v>1962</v>
      </c>
      <c r="J1715" s="12" t="s">
        <v>1727</v>
      </c>
      <c r="K1715" s="12" t="s">
        <v>466</v>
      </c>
      <c r="L1715" s="12" t="s">
        <v>902</v>
      </c>
      <c r="M1715" s="12" t="s">
        <v>8660</v>
      </c>
      <c r="N1715" s="12">
        <v>101888</v>
      </c>
      <c r="O1715" s="12">
        <v>32930</v>
      </c>
      <c r="P1715" s="12">
        <v>3</v>
      </c>
      <c r="Q1715" s="12" t="s">
        <v>8661</v>
      </c>
      <c r="R1715" s="15" t="s">
        <v>8662</v>
      </c>
      <c r="S1715" s="12">
        <v>365</v>
      </c>
      <c r="T1715" s="12" t="s">
        <v>39</v>
      </c>
      <c r="U1715" s="12" t="s">
        <v>40</v>
      </c>
      <c r="V1715" s="12" t="s">
        <v>586</v>
      </c>
      <c r="W1715" s="12">
        <v>18000000</v>
      </c>
      <c r="X1715" s="12">
        <v>1989</v>
      </c>
      <c r="Y1715" s="12">
        <v>11000</v>
      </c>
      <c r="Z1715" s="12">
        <v>7.9</v>
      </c>
      <c r="AA1715" s="12">
        <v>1.85</v>
      </c>
      <c r="AB1715" s="12">
        <v>0</v>
      </c>
      <c r="AC1715" s="12"/>
      <c r="AD1715" s="12" t="str">
        <f>IFERROR(__xludf.DUMMYFUNCTION("""COMPUTED_VALUE"""),"Jerry Ferrara")</f>
        <v>Jerry Ferrara</v>
      </c>
      <c r="AE1715" s="12"/>
    </row>
    <row r="1716" customHeight="1" spans="1:31">
      <c r="A1716" s="11" t="s">
        <v>30</v>
      </c>
      <c r="B1716" s="11" t="s">
        <v>8663</v>
      </c>
      <c r="C1716" s="11">
        <v>111</v>
      </c>
      <c r="D1716" s="11">
        <v>251</v>
      </c>
      <c r="E1716" s="11">
        <v>0</v>
      </c>
      <c r="F1716" s="11">
        <v>642</v>
      </c>
      <c r="G1716" s="11">
        <v>22000</v>
      </c>
      <c r="H1716" s="11">
        <v>5300000</v>
      </c>
      <c r="I1716" s="11" t="s">
        <v>1936</v>
      </c>
      <c r="J1716" s="11" t="s">
        <v>1746</v>
      </c>
      <c r="K1716" s="11" t="s">
        <v>1906</v>
      </c>
      <c r="L1716" s="11" t="s">
        <v>4206</v>
      </c>
      <c r="M1716" s="11" t="s">
        <v>8664</v>
      </c>
      <c r="N1716" s="11">
        <v>221000</v>
      </c>
      <c r="O1716" s="11">
        <v>24719</v>
      </c>
      <c r="P1716" s="11">
        <v>8</v>
      </c>
      <c r="Q1716" s="11" t="s">
        <v>8665</v>
      </c>
      <c r="R1716" s="14" t="s">
        <v>8666</v>
      </c>
      <c r="S1716" s="11">
        <v>495</v>
      </c>
      <c r="T1716" s="11" t="s">
        <v>39</v>
      </c>
      <c r="U1716" s="11" t="s">
        <v>7091</v>
      </c>
      <c r="V1716" s="11" t="s">
        <v>586</v>
      </c>
      <c r="W1716" s="11">
        <v>30000000</v>
      </c>
      <c r="X1716" s="11">
        <v>1984</v>
      </c>
      <c r="Y1716" s="11">
        <v>683</v>
      </c>
      <c r="Z1716" s="11">
        <v>8.4</v>
      </c>
      <c r="AA1716" s="11">
        <v>1.85</v>
      </c>
      <c r="AB1716" s="11">
        <v>12000</v>
      </c>
      <c r="AC1716" s="11"/>
      <c r="AD1716" s="11" t="str">
        <f>IFERROR(__xludf.DUMMYFUNCTION("""COMPUTED_VALUE"""),"Scott Elrod")</f>
        <v>Scott Elrod</v>
      </c>
      <c r="AE1716" s="11"/>
    </row>
    <row r="1717" customHeight="1" spans="1:31">
      <c r="A1717" s="12" t="s">
        <v>30</v>
      </c>
      <c r="B1717" s="12" t="s">
        <v>8667</v>
      </c>
      <c r="C1717" s="12">
        <v>217</v>
      </c>
      <c r="D1717" s="12">
        <v>118</v>
      </c>
      <c r="E1717" s="12">
        <v>76</v>
      </c>
      <c r="F1717" s="12">
        <v>174</v>
      </c>
      <c r="G1717" s="12">
        <v>3000</v>
      </c>
      <c r="H1717" s="12">
        <v>10880926</v>
      </c>
      <c r="I1717" s="12" t="s">
        <v>464</v>
      </c>
      <c r="J1717" s="12" t="s">
        <v>730</v>
      </c>
      <c r="K1717" s="12" t="s">
        <v>6040</v>
      </c>
      <c r="L1717" s="12" t="s">
        <v>8668</v>
      </c>
      <c r="M1717" s="12" t="s">
        <v>8669</v>
      </c>
      <c r="N1717" s="12">
        <v>54147</v>
      </c>
      <c r="O1717" s="12">
        <v>4253</v>
      </c>
      <c r="P1717" s="12">
        <v>2</v>
      </c>
      <c r="Q1717" s="12" t="s">
        <v>8670</v>
      </c>
      <c r="R1717" s="15" t="s">
        <v>8671</v>
      </c>
      <c r="S1717" s="12">
        <v>127</v>
      </c>
      <c r="T1717" s="12" t="s">
        <v>39</v>
      </c>
      <c r="U1717" s="12" t="s">
        <v>40</v>
      </c>
      <c r="V1717" s="12" t="s">
        <v>586</v>
      </c>
      <c r="W1717" s="12">
        <v>30000000</v>
      </c>
      <c r="X1717" s="12">
        <v>2013</v>
      </c>
      <c r="Y1717" s="12">
        <v>678</v>
      </c>
      <c r="Z1717" s="12">
        <v>6.5</v>
      </c>
      <c r="AA1717" s="12">
        <v>2.35</v>
      </c>
      <c r="AB1717" s="12">
        <v>0</v>
      </c>
      <c r="AC1717" s="12"/>
      <c r="AD1717" s="12" t="str">
        <f>IFERROR(__xludf.DUMMYFUNCTION("""COMPUTED_VALUE"""),"Dan Bilzerian")</f>
        <v>Dan Bilzerian</v>
      </c>
      <c r="AE1717" s="12"/>
    </row>
    <row r="1718" customHeight="1" spans="1:31">
      <c r="A1718" s="11" t="s">
        <v>30</v>
      </c>
      <c r="B1718" s="11" t="s">
        <v>8672</v>
      </c>
      <c r="C1718" s="11">
        <v>117</v>
      </c>
      <c r="D1718" s="11">
        <v>131</v>
      </c>
      <c r="E1718" s="11">
        <v>53</v>
      </c>
      <c r="F1718" s="11">
        <v>548</v>
      </c>
      <c r="G1718" s="11">
        <v>14000</v>
      </c>
      <c r="H1718" s="11">
        <v>3752725</v>
      </c>
      <c r="I1718" s="11" t="s">
        <v>214</v>
      </c>
      <c r="J1718" s="11" t="s">
        <v>2383</v>
      </c>
      <c r="K1718" s="11" t="s">
        <v>1213</v>
      </c>
      <c r="L1718" s="11" t="s">
        <v>5794</v>
      </c>
      <c r="M1718" s="11" t="s">
        <v>8673</v>
      </c>
      <c r="N1718" s="11">
        <v>29715</v>
      </c>
      <c r="O1718" s="11">
        <v>16252</v>
      </c>
      <c r="P1718" s="11">
        <v>3</v>
      </c>
      <c r="Q1718" s="11" t="s">
        <v>8674</v>
      </c>
      <c r="R1718" s="14" t="s">
        <v>8675</v>
      </c>
      <c r="S1718" s="11">
        <v>161</v>
      </c>
      <c r="T1718" s="11" t="s">
        <v>39</v>
      </c>
      <c r="U1718" s="11" t="s">
        <v>40</v>
      </c>
      <c r="V1718" s="11" t="s">
        <v>586</v>
      </c>
      <c r="W1718" s="11">
        <v>18000000</v>
      </c>
      <c r="X1718" s="11">
        <v>2004</v>
      </c>
      <c r="Y1718" s="11">
        <v>871</v>
      </c>
      <c r="Z1718" s="11">
        <v>7.1</v>
      </c>
      <c r="AA1718" s="11">
        <v>2.35</v>
      </c>
      <c r="AB1718" s="11">
        <v>0</v>
      </c>
      <c r="AC1718" s="11"/>
      <c r="AD1718" s="11" t="str">
        <f>IFERROR(__xludf.DUMMYFUNCTION("""COMPUTED_VALUE"""),"Lori Petty")</f>
        <v>Lori Petty</v>
      </c>
      <c r="AE1718" s="11"/>
    </row>
    <row r="1719" customHeight="1" spans="1:31">
      <c r="A1719" s="12" t="s">
        <v>30</v>
      </c>
      <c r="B1719" s="12" t="s">
        <v>5051</v>
      </c>
      <c r="C1719" s="12">
        <v>105</v>
      </c>
      <c r="D1719" s="12">
        <v>109</v>
      </c>
      <c r="E1719" s="12">
        <v>277</v>
      </c>
      <c r="F1719" s="12">
        <v>345</v>
      </c>
      <c r="G1719" s="12">
        <v>2000</v>
      </c>
      <c r="H1719" s="12">
        <v>3517797</v>
      </c>
      <c r="I1719" s="12" t="s">
        <v>5806</v>
      </c>
      <c r="J1719" s="12" t="s">
        <v>8676</v>
      </c>
      <c r="K1719" s="12" t="s">
        <v>8677</v>
      </c>
      <c r="L1719" s="12" t="s">
        <v>2463</v>
      </c>
      <c r="M1719" s="12" t="s">
        <v>8678</v>
      </c>
      <c r="N1719" s="12">
        <v>9004</v>
      </c>
      <c r="O1719" s="12">
        <v>2759</v>
      </c>
      <c r="P1719" s="12">
        <v>0</v>
      </c>
      <c r="Q1719" s="12" t="s">
        <v>8679</v>
      </c>
      <c r="R1719" s="15" t="s">
        <v>8680</v>
      </c>
      <c r="S1719" s="12">
        <v>103</v>
      </c>
      <c r="T1719" s="12" t="s">
        <v>39</v>
      </c>
      <c r="U1719" s="12" t="s">
        <v>1466</v>
      </c>
      <c r="V1719" s="12" t="s">
        <v>586</v>
      </c>
      <c r="W1719" s="12">
        <v>25000000</v>
      </c>
      <c r="X1719" s="12">
        <v>2002</v>
      </c>
      <c r="Y1719" s="12">
        <v>378</v>
      </c>
      <c r="Z1719" s="12">
        <v>6.6</v>
      </c>
      <c r="AA1719" s="12">
        <v>1.85</v>
      </c>
      <c r="AB1719" s="12">
        <v>287</v>
      </c>
      <c r="AC1719" s="12"/>
      <c r="AD1719" s="12" t="str">
        <f>IFERROR(__xludf.DUMMYFUNCTION("""COMPUTED_VALUE"""),"Rosie O'Donnell")</f>
        <v>Rosie O'Donnell</v>
      </c>
      <c r="AE1719" s="12"/>
    </row>
    <row r="1720" customHeight="1" spans="1:31">
      <c r="A1720" s="11" t="s">
        <v>30</v>
      </c>
      <c r="B1720" s="11" t="s">
        <v>8681</v>
      </c>
      <c r="C1720" s="11">
        <v>41</v>
      </c>
      <c r="D1720" s="11">
        <v>80</v>
      </c>
      <c r="E1720" s="11">
        <v>9</v>
      </c>
      <c r="F1720" s="11">
        <v>826</v>
      </c>
      <c r="G1720" s="11">
        <v>17000</v>
      </c>
      <c r="H1720" s="11">
        <v>3101301</v>
      </c>
      <c r="I1720" s="11" t="s">
        <v>8682</v>
      </c>
      <c r="J1720" s="11" t="s">
        <v>445</v>
      </c>
      <c r="K1720" s="11" t="s">
        <v>713</v>
      </c>
      <c r="L1720" s="11" t="s">
        <v>7430</v>
      </c>
      <c r="M1720" s="11" t="s">
        <v>8683</v>
      </c>
      <c r="N1720" s="11">
        <v>3926</v>
      </c>
      <c r="O1720" s="11">
        <v>21519</v>
      </c>
      <c r="P1720" s="11">
        <v>1</v>
      </c>
      <c r="Q1720" s="11" t="s">
        <v>8684</v>
      </c>
      <c r="R1720" s="14" t="s">
        <v>8685</v>
      </c>
      <c r="S1720" s="11">
        <v>38</v>
      </c>
      <c r="T1720" s="11" t="s">
        <v>39</v>
      </c>
      <c r="U1720" s="11" t="s">
        <v>40</v>
      </c>
      <c r="V1720" s="11" t="s">
        <v>41</v>
      </c>
      <c r="W1720" s="13"/>
      <c r="X1720" s="11">
        <v>2005</v>
      </c>
      <c r="Y1720" s="11">
        <v>2000</v>
      </c>
      <c r="Z1720" s="11">
        <v>4</v>
      </c>
      <c r="AA1720" s="11">
        <v>1.85</v>
      </c>
      <c r="AB1720" s="11">
        <v>353</v>
      </c>
      <c r="AC1720" s="11"/>
      <c r="AD1720" s="11" t="str">
        <f>IFERROR(__xludf.DUMMYFUNCTION("""COMPUTED_VALUE"""),"Javier Botet")</f>
        <v>Javier Botet</v>
      </c>
      <c r="AE1720" s="11"/>
    </row>
    <row r="1721" customHeight="1" spans="1:31">
      <c r="A1721" s="12" t="s">
        <v>30</v>
      </c>
      <c r="B1721" s="12" t="s">
        <v>8214</v>
      </c>
      <c r="C1721" s="12">
        <v>124</v>
      </c>
      <c r="D1721" s="12">
        <v>88</v>
      </c>
      <c r="E1721" s="12">
        <v>108</v>
      </c>
      <c r="F1721" s="12">
        <v>135</v>
      </c>
      <c r="G1721" s="12">
        <v>876</v>
      </c>
      <c r="H1721" s="12">
        <v>2975649</v>
      </c>
      <c r="I1721" s="12" t="s">
        <v>6327</v>
      </c>
      <c r="J1721" s="12" t="s">
        <v>2933</v>
      </c>
      <c r="K1721" s="12" t="s">
        <v>8686</v>
      </c>
      <c r="L1721" s="12" t="s">
        <v>8687</v>
      </c>
      <c r="M1721" s="12" t="s">
        <v>8688</v>
      </c>
      <c r="N1721" s="12">
        <v>23864</v>
      </c>
      <c r="O1721" s="12">
        <v>1518</v>
      </c>
      <c r="P1721" s="12">
        <v>1</v>
      </c>
      <c r="Q1721" s="12" t="s">
        <v>8689</v>
      </c>
      <c r="R1721" s="15" t="s">
        <v>8690</v>
      </c>
      <c r="S1721" s="12">
        <v>142</v>
      </c>
      <c r="T1721" s="12" t="s">
        <v>39</v>
      </c>
      <c r="U1721" s="12" t="s">
        <v>58</v>
      </c>
      <c r="V1721" s="12" t="s">
        <v>96</v>
      </c>
      <c r="W1721" s="12">
        <v>30000000</v>
      </c>
      <c r="X1721" s="12">
        <v>2006</v>
      </c>
      <c r="Y1721" s="12">
        <v>142</v>
      </c>
      <c r="Z1721" s="12">
        <v>7</v>
      </c>
      <c r="AA1721" s="12">
        <v>2.35</v>
      </c>
      <c r="AB1721" s="12">
        <v>0</v>
      </c>
      <c r="AC1721" s="12"/>
      <c r="AD1721" s="12" t="str">
        <f>IFERROR(__xludf.DUMMYFUNCTION("""COMPUTED_VALUE"""),"Dustin Fitzsimons")</f>
        <v>Dustin Fitzsimons</v>
      </c>
      <c r="AE1721" s="12"/>
    </row>
    <row r="1722" customHeight="1" spans="1:31">
      <c r="A1722" s="11" t="s">
        <v>30</v>
      </c>
      <c r="B1722" s="11" t="s">
        <v>8691</v>
      </c>
      <c r="C1722" s="11">
        <v>90</v>
      </c>
      <c r="D1722" s="11">
        <v>103</v>
      </c>
      <c r="E1722" s="11">
        <v>45</v>
      </c>
      <c r="F1722" s="11">
        <v>107</v>
      </c>
      <c r="G1722" s="11">
        <v>489</v>
      </c>
      <c r="H1722" s="11">
        <v>668171</v>
      </c>
      <c r="I1722" s="11" t="s">
        <v>6906</v>
      </c>
      <c r="J1722" s="11" t="s">
        <v>6185</v>
      </c>
      <c r="K1722" s="11" t="s">
        <v>8692</v>
      </c>
      <c r="L1722" s="11" t="s">
        <v>8693</v>
      </c>
      <c r="M1722" s="11" t="s">
        <v>8694</v>
      </c>
      <c r="N1722" s="11">
        <v>8215</v>
      </c>
      <c r="O1722" s="11">
        <v>949</v>
      </c>
      <c r="P1722" s="11">
        <v>0</v>
      </c>
      <c r="Q1722" s="11" t="s">
        <v>8695</v>
      </c>
      <c r="R1722" s="14" t="s">
        <v>8696</v>
      </c>
      <c r="S1722" s="11">
        <v>132</v>
      </c>
      <c r="T1722" s="11" t="s">
        <v>1947</v>
      </c>
      <c r="U1722" s="11" t="s">
        <v>893</v>
      </c>
      <c r="V1722" s="11" t="s">
        <v>41</v>
      </c>
      <c r="W1722" s="11">
        <v>60000000</v>
      </c>
      <c r="X1722" s="11">
        <v>2005</v>
      </c>
      <c r="Y1722" s="11">
        <v>181</v>
      </c>
      <c r="Z1722" s="11">
        <v>5.6</v>
      </c>
      <c r="AA1722" s="11">
        <v>2.35</v>
      </c>
      <c r="AB1722" s="11">
        <v>445</v>
      </c>
      <c r="AC1722" s="11"/>
      <c r="AD1722" s="11" t="str">
        <f>IFERROR(__xludf.DUMMYFUNCTION("""COMPUTED_VALUE"""),"Marcella Lentz-Pope")</f>
        <v>Marcella Lentz-Pope</v>
      </c>
      <c r="AE1722" s="11"/>
    </row>
    <row r="1723" customHeight="1" spans="1:31">
      <c r="A1723" s="12" t="s">
        <v>30</v>
      </c>
      <c r="B1723" s="12" t="s">
        <v>8697</v>
      </c>
      <c r="C1723" s="12">
        <v>110</v>
      </c>
      <c r="D1723" s="12">
        <v>87</v>
      </c>
      <c r="E1723" s="12">
        <v>23</v>
      </c>
      <c r="F1723" s="12">
        <v>748</v>
      </c>
      <c r="G1723" s="12">
        <v>826</v>
      </c>
      <c r="H1723" s="12">
        <v>480314</v>
      </c>
      <c r="I1723" s="12" t="s">
        <v>127</v>
      </c>
      <c r="J1723" s="12" t="s">
        <v>7430</v>
      </c>
      <c r="K1723" s="12" t="s">
        <v>8698</v>
      </c>
      <c r="L1723" s="12" t="s">
        <v>8699</v>
      </c>
      <c r="M1723" s="12" t="s">
        <v>8700</v>
      </c>
      <c r="N1723" s="12">
        <v>38503</v>
      </c>
      <c r="O1723" s="12">
        <v>4473</v>
      </c>
      <c r="P1723" s="12">
        <v>4</v>
      </c>
      <c r="Q1723" s="12" t="s">
        <v>8701</v>
      </c>
      <c r="R1723" s="15" t="s">
        <v>8702</v>
      </c>
      <c r="S1723" s="12">
        <v>180</v>
      </c>
      <c r="T1723" s="12" t="s">
        <v>39</v>
      </c>
      <c r="U1723" s="12" t="s">
        <v>40</v>
      </c>
      <c r="V1723" s="12" t="s">
        <v>41</v>
      </c>
      <c r="W1723" s="12">
        <v>21000000</v>
      </c>
      <c r="X1723" s="12">
        <v>2006</v>
      </c>
      <c r="Y1723" s="12">
        <v>816</v>
      </c>
      <c r="Z1723" s="12">
        <v>4.8</v>
      </c>
      <c r="AA1723" s="12">
        <v>2.35</v>
      </c>
      <c r="AB1723" s="12">
        <v>0</v>
      </c>
      <c r="AC1723" s="12"/>
      <c r="AD1723" s="12" t="str">
        <f>IFERROR(__xludf.DUMMYFUNCTION("""COMPUTED_VALUE"""),"Carmen Perez")</f>
        <v>Carmen Perez</v>
      </c>
      <c r="AE1723" s="12"/>
    </row>
    <row r="1724" customHeight="1" spans="1:31">
      <c r="A1724" s="11" t="s">
        <v>30</v>
      </c>
      <c r="B1724" s="11" t="s">
        <v>8703</v>
      </c>
      <c r="C1724" s="11">
        <v>273</v>
      </c>
      <c r="D1724" s="11">
        <v>160</v>
      </c>
      <c r="E1724" s="11">
        <v>181</v>
      </c>
      <c r="F1724" s="11">
        <v>820</v>
      </c>
      <c r="G1724" s="11">
        <v>11000</v>
      </c>
      <c r="H1724" s="11">
        <v>3904982</v>
      </c>
      <c r="I1724" s="11" t="s">
        <v>8704</v>
      </c>
      <c r="J1724" s="11" t="s">
        <v>343</v>
      </c>
      <c r="K1724" s="11" t="s">
        <v>888</v>
      </c>
      <c r="L1724" s="11" t="s">
        <v>1046</v>
      </c>
      <c r="M1724" s="11" t="s">
        <v>8705</v>
      </c>
      <c r="N1724" s="11">
        <v>136104</v>
      </c>
      <c r="O1724" s="11">
        <v>22516</v>
      </c>
      <c r="P1724" s="11">
        <v>0</v>
      </c>
      <c r="Q1724" s="11" t="s">
        <v>8706</v>
      </c>
      <c r="R1724" s="14" t="s">
        <v>8707</v>
      </c>
      <c r="S1724" s="11">
        <v>415</v>
      </c>
      <c r="T1724" s="11" t="s">
        <v>39</v>
      </c>
      <c r="U1724" s="11" t="s">
        <v>40</v>
      </c>
      <c r="V1724" s="11" t="s">
        <v>586</v>
      </c>
      <c r="W1724" s="11">
        <v>30000000</v>
      </c>
      <c r="X1724" s="11">
        <v>2007</v>
      </c>
      <c r="Y1724" s="11">
        <v>10000</v>
      </c>
      <c r="Z1724" s="11">
        <v>7.5</v>
      </c>
      <c r="AA1724" s="11">
        <v>2.35</v>
      </c>
      <c r="AB1724" s="11">
        <v>0</v>
      </c>
      <c r="AC1724" s="11"/>
      <c r="AD1724" s="11" t="str">
        <f>IFERROR(__xludf.DUMMYFUNCTION("""COMPUTED_VALUE"""),"Sabrina Revelle")</f>
        <v>Sabrina Revelle</v>
      </c>
      <c r="AE1724" s="11"/>
    </row>
    <row r="1725" customHeight="1" spans="1:31">
      <c r="A1725" s="12" t="s">
        <v>30</v>
      </c>
      <c r="B1725" s="12" t="s">
        <v>8708</v>
      </c>
      <c r="C1725" s="12">
        <v>63</v>
      </c>
      <c r="D1725" s="12">
        <v>121</v>
      </c>
      <c r="E1725" s="12">
        <v>0</v>
      </c>
      <c r="F1725" s="12">
        <v>187</v>
      </c>
      <c r="G1725" s="12">
        <v>974</v>
      </c>
      <c r="H1725" s="12">
        <v>127437</v>
      </c>
      <c r="I1725" s="12" t="s">
        <v>1098</v>
      </c>
      <c r="J1725" s="12" t="s">
        <v>286</v>
      </c>
      <c r="K1725" s="12" t="s">
        <v>5281</v>
      </c>
      <c r="L1725" s="12" t="s">
        <v>8709</v>
      </c>
      <c r="M1725" s="12" t="s">
        <v>8710</v>
      </c>
      <c r="N1725" s="12">
        <v>4670</v>
      </c>
      <c r="O1725" s="12">
        <v>1887</v>
      </c>
      <c r="P1725" s="12">
        <v>0</v>
      </c>
      <c r="Q1725" s="12" t="s">
        <v>8711</v>
      </c>
      <c r="R1725" s="15" t="s">
        <v>8712</v>
      </c>
      <c r="S1725" s="12">
        <v>27</v>
      </c>
      <c r="T1725" s="12" t="s">
        <v>1947</v>
      </c>
      <c r="U1725" s="12" t="s">
        <v>893</v>
      </c>
      <c r="V1725" s="12" t="s">
        <v>586</v>
      </c>
      <c r="W1725" s="12">
        <v>18000000</v>
      </c>
      <c r="X1725" s="12">
        <v>2011</v>
      </c>
      <c r="Y1725" s="12">
        <v>643</v>
      </c>
      <c r="Z1725" s="12">
        <v>6</v>
      </c>
      <c r="AA1725" s="12">
        <v>2.35</v>
      </c>
      <c r="AB1725" s="12">
        <v>0</v>
      </c>
      <c r="AC1725" s="12"/>
      <c r="AD1725" s="12" t="str">
        <f>IFERROR(__xludf.DUMMYFUNCTION("""COMPUTED_VALUE"""),"Sachiko Ishida")</f>
        <v>Sachiko Ishida</v>
      </c>
      <c r="AE1725" s="12"/>
    </row>
    <row r="1726" customHeight="1" spans="1:31">
      <c r="A1726" s="11" t="s">
        <v>30</v>
      </c>
      <c r="B1726" s="11" t="s">
        <v>8713</v>
      </c>
      <c r="C1726" s="11">
        <v>56</v>
      </c>
      <c r="D1726" s="11">
        <v>91</v>
      </c>
      <c r="E1726" s="11">
        <v>2</v>
      </c>
      <c r="F1726" s="11">
        <v>55</v>
      </c>
      <c r="G1726" s="11">
        <v>295</v>
      </c>
      <c r="H1726" s="13"/>
      <c r="I1726" s="11" t="s">
        <v>3057</v>
      </c>
      <c r="J1726" s="11" t="s">
        <v>8714</v>
      </c>
      <c r="K1726" s="11" t="s">
        <v>8715</v>
      </c>
      <c r="L1726" s="11" t="s">
        <v>8716</v>
      </c>
      <c r="M1726" s="11" t="s">
        <v>8717</v>
      </c>
      <c r="N1726" s="11">
        <v>9214</v>
      </c>
      <c r="O1726" s="11">
        <v>545</v>
      </c>
      <c r="P1726" s="11">
        <v>7</v>
      </c>
      <c r="Q1726" s="11" t="s">
        <v>8718</v>
      </c>
      <c r="R1726" s="14" t="s">
        <v>8719</v>
      </c>
      <c r="S1726" s="11">
        <v>17</v>
      </c>
      <c r="T1726" s="11" t="s">
        <v>1465</v>
      </c>
      <c r="U1726" s="11" t="s">
        <v>1466</v>
      </c>
      <c r="V1726" s="13"/>
      <c r="W1726" s="13"/>
      <c r="X1726" s="11">
        <v>2009</v>
      </c>
      <c r="Y1726" s="11">
        <v>71</v>
      </c>
      <c r="Z1726" s="11">
        <v>7.2</v>
      </c>
      <c r="AA1726" s="11">
        <v>1.85</v>
      </c>
      <c r="AB1726" s="11">
        <v>0</v>
      </c>
      <c r="AC1726" s="11"/>
      <c r="AD1726" s="11" t="str">
        <f>IFERROR(__xludf.DUMMYFUNCTION("""COMPUTED_VALUE"""),"Beau Mirchoff")</f>
        <v>Beau Mirchoff</v>
      </c>
      <c r="AE1726" s="11"/>
    </row>
    <row r="1727" customHeight="1" spans="1:31">
      <c r="A1727" s="12" t="s">
        <v>30</v>
      </c>
      <c r="B1727" s="12" t="s">
        <v>1784</v>
      </c>
      <c r="C1727" s="12">
        <v>130</v>
      </c>
      <c r="D1727" s="12">
        <v>92</v>
      </c>
      <c r="E1727" s="12">
        <v>165</v>
      </c>
      <c r="F1727" s="12">
        <v>700</v>
      </c>
      <c r="G1727" s="12">
        <v>26000</v>
      </c>
      <c r="H1727" s="16"/>
      <c r="I1727" s="12" t="s">
        <v>464</v>
      </c>
      <c r="J1727" s="12" t="s">
        <v>335</v>
      </c>
      <c r="K1727" s="12" t="s">
        <v>2299</v>
      </c>
      <c r="L1727" s="12" t="s">
        <v>1772</v>
      </c>
      <c r="M1727" s="12" t="s">
        <v>8720</v>
      </c>
      <c r="N1727" s="12">
        <v>36487</v>
      </c>
      <c r="O1727" s="12">
        <v>29773</v>
      </c>
      <c r="P1727" s="12">
        <v>0</v>
      </c>
      <c r="Q1727" s="12" t="s">
        <v>8721</v>
      </c>
      <c r="R1727" s="15" t="s">
        <v>8722</v>
      </c>
      <c r="S1727" s="12">
        <v>114</v>
      </c>
      <c r="T1727" s="12" t="s">
        <v>39</v>
      </c>
      <c r="U1727" s="12" t="s">
        <v>40</v>
      </c>
      <c r="V1727" s="12" t="s">
        <v>586</v>
      </c>
      <c r="W1727" s="12">
        <v>30000000</v>
      </c>
      <c r="X1727" s="12">
        <v>2015</v>
      </c>
      <c r="Y1727" s="12">
        <v>947</v>
      </c>
      <c r="Z1727" s="12">
        <v>5.6</v>
      </c>
      <c r="AA1727" s="12">
        <v>2.35</v>
      </c>
      <c r="AB1727" s="12">
        <v>0</v>
      </c>
      <c r="AC1727" s="12"/>
      <c r="AD1727" s="12" t="str">
        <f>IFERROR(__xludf.DUMMYFUNCTION("""COMPUTED_VALUE"""),"Kelly Rutherford")</f>
        <v>Kelly Rutherford</v>
      </c>
      <c r="AE1727" s="12"/>
    </row>
    <row r="1728" customHeight="1" spans="1:31">
      <c r="A1728" s="11" t="s">
        <v>30</v>
      </c>
      <c r="B1728" s="11" t="s">
        <v>126</v>
      </c>
      <c r="C1728" s="11">
        <v>134</v>
      </c>
      <c r="D1728" s="11">
        <v>129</v>
      </c>
      <c r="E1728" s="11">
        <v>395</v>
      </c>
      <c r="F1728" s="11">
        <v>313</v>
      </c>
      <c r="G1728" s="11">
        <v>18000</v>
      </c>
      <c r="H1728" s="11">
        <v>537580</v>
      </c>
      <c r="I1728" s="11" t="s">
        <v>8723</v>
      </c>
      <c r="J1728" s="11" t="s">
        <v>641</v>
      </c>
      <c r="K1728" s="11" t="s">
        <v>4685</v>
      </c>
      <c r="L1728" s="11" t="s">
        <v>8724</v>
      </c>
      <c r="M1728" s="11" t="s">
        <v>8725</v>
      </c>
      <c r="N1728" s="11">
        <v>52972</v>
      </c>
      <c r="O1728" s="11">
        <v>19620</v>
      </c>
      <c r="P1728" s="11">
        <v>1</v>
      </c>
      <c r="Q1728" s="11" t="s">
        <v>8726</v>
      </c>
      <c r="R1728" s="14" t="s">
        <v>8727</v>
      </c>
      <c r="S1728" s="11">
        <v>124</v>
      </c>
      <c r="T1728" s="11" t="s">
        <v>39</v>
      </c>
      <c r="U1728" s="11" t="s">
        <v>40</v>
      </c>
      <c r="V1728" s="11" t="s">
        <v>586</v>
      </c>
      <c r="W1728" s="11">
        <v>30000000</v>
      </c>
      <c r="X1728" s="11">
        <v>2011</v>
      </c>
      <c r="Y1728" s="11">
        <v>1000</v>
      </c>
      <c r="Z1728" s="11">
        <v>6.8</v>
      </c>
      <c r="AA1728" s="11">
        <v>2.35</v>
      </c>
      <c r="AB1728" s="11">
        <v>21000</v>
      </c>
      <c r="AC1728" s="11"/>
      <c r="AD1728" s="11" t="str">
        <f>IFERROR(__xludf.DUMMYFUNCTION("""COMPUTED_VALUE"""),"Roger Jackson")</f>
        <v>Roger Jackson</v>
      </c>
      <c r="AE1728" s="11"/>
    </row>
    <row r="1729" customHeight="1" spans="1:31">
      <c r="A1729" s="12" t="s">
        <v>30</v>
      </c>
      <c r="B1729" s="12" t="s">
        <v>8728</v>
      </c>
      <c r="C1729" s="12">
        <v>36</v>
      </c>
      <c r="D1729" s="12">
        <v>93</v>
      </c>
      <c r="E1729" s="12">
        <v>7</v>
      </c>
      <c r="F1729" s="12">
        <v>480</v>
      </c>
      <c r="G1729" s="12">
        <v>1000</v>
      </c>
      <c r="H1729" s="16"/>
      <c r="I1729" s="12" t="s">
        <v>2966</v>
      </c>
      <c r="J1729" s="12" t="s">
        <v>393</v>
      </c>
      <c r="K1729" s="12" t="s">
        <v>2535</v>
      </c>
      <c r="L1729" s="12" t="s">
        <v>1550</v>
      </c>
      <c r="M1729" s="12" t="s">
        <v>8729</v>
      </c>
      <c r="N1729" s="12">
        <v>4599</v>
      </c>
      <c r="O1729" s="12">
        <v>3095</v>
      </c>
      <c r="P1729" s="12">
        <v>0</v>
      </c>
      <c r="Q1729" s="12" t="s">
        <v>8730</v>
      </c>
      <c r="R1729" s="15" t="s">
        <v>8731</v>
      </c>
      <c r="S1729" s="12">
        <v>44</v>
      </c>
      <c r="T1729" s="12" t="s">
        <v>8732</v>
      </c>
      <c r="U1729" s="12" t="s">
        <v>768</v>
      </c>
      <c r="V1729" s="12" t="s">
        <v>96</v>
      </c>
      <c r="W1729" s="16"/>
      <c r="X1729" s="12">
        <v>2010</v>
      </c>
      <c r="Y1729" s="12">
        <v>898</v>
      </c>
      <c r="Z1729" s="12">
        <v>4.9</v>
      </c>
      <c r="AA1729" s="12">
        <v>2.39</v>
      </c>
      <c r="AB1729" s="12">
        <v>885</v>
      </c>
      <c r="AC1729" s="12"/>
      <c r="AD1729" s="12" t="str">
        <f>IFERROR(__xludf.DUMMYFUNCTION("""COMPUTED_VALUE"""),"Wendy Crewson")</f>
        <v>Wendy Crewson</v>
      </c>
      <c r="AE1729" s="12"/>
    </row>
    <row r="1730" customHeight="1" spans="1:31">
      <c r="A1730" s="11" t="s">
        <v>30</v>
      </c>
      <c r="B1730" s="11" t="s">
        <v>7708</v>
      </c>
      <c r="C1730" s="11">
        <v>46</v>
      </c>
      <c r="D1730" s="11">
        <v>118</v>
      </c>
      <c r="E1730" s="11">
        <v>55</v>
      </c>
      <c r="F1730" s="11">
        <v>11</v>
      </c>
      <c r="G1730" s="11">
        <v>113</v>
      </c>
      <c r="H1730" s="13"/>
      <c r="I1730" s="11" t="s">
        <v>5941</v>
      </c>
      <c r="J1730" s="11" t="s">
        <v>7806</v>
      </c>
      <c r="K1730" s="11" t="s">
        <v>8733</v>
      </c>
      <c r="L1730" s="11" t="s">
        <v>8734</v>
      </c>
      <c r="M1730" s="11" t="s">
        <v>8735</v>
      </c>
      <c r="N1730" s="11">
        <v>10175</v>
      </c>
      <c r="O1730" s="11">
        <v>143</v>
      </c>
      <c r="P1730" s="11">
        <v>1</v>
      </c>
      <c r="Q1730" s="11" t="s">
        <v>8736</v>
      </c>
      <c r="R1730" s="14" t="s">
        <v>8737</v>
      </c>
      <c r="S1730" s="11">
        <v>23</v>
      </c>
      <c r="T1730" s="11" t="s">
        <v>39</v>
      </c>
      <c r="U1730" s="11" t="s">
        <v>768</v>
      </c>
      <c r="V1730" s="11" t="s">
        <v>586</v>
      </c>
      <c r="W1730" s="11">
        <v>30000000</v>
      </c>
      <c r="X1730" s="11">
        <v>2007</v>
      </c>
      <c r="Y1730" s="11">
        <v>11</v>
      </c>
      <c r="Z1730" s="11">
        <v>7.1</v>
      </c>
      <c r="AA1730" s="11">
        <v>2.35</v>
      </c>
      <c r="AB1730" s="11">
        <v>0</v>
      </c>
      <c r="AC1730" s="11"/>
      <c r="AD1730" s="11" t="str">
        <f>IFERROR(__xludf.DUMMYFUNCTION("""COMPUTED_VALUE"""),"Nadine Velazquez")</f>
        <v>Nadine Velazquez</v>
      </c>
      <c r="AE1730" s="11"/>
    </row>
    <row r="1731" customHeight="1" spans="1:31">
      <c r="A1731" s="12" t="s">
        <v>30</v>
      </c>
      <c r="B1731" s="12" t="s">
        <v>8738</v>
      </c>
      <c r="C1731" s="12">
        <v>7</v>
      </c>
      <c r="D1731" s="12">
        <v>110</v>
      </c>
      <c r="E1731" s="12">
        <v>18</v>
      </c>
      <c r="F1731" s="12">
        <v>432</v>
      </c>
      <c r="G1731" s="12">
        <v>922</v>
      </c>
      <c r="H1731" s="16"/>
      <c r="I1731" s="12" t="s">
        <v>2298</v>
      </c>
      <c r="J1731" s="12" t="s">
        <v>6158</v>
      </c>
      <c r="K1731" s="12" t="s">
        <v>209</v>
      </c>
      <c r="L1731" s="12" t="s">
        <v>8739</v>
      </c>
      <c r="M1731" s="12" t="s">
        <v>8740</v>
      </c>
      <c r="N1731" s="12">
        <v>3279</v>
      </c>
      <c r="O1731" s="12">
        <v>2725</v>
      </c>
      <c r="P1731" s="12">
        <v>4</v>
      </c>
      <c r="Q1731" s="12" t="s">
        <v>8741</v>
      </c>
      <c r="R1731" s="15" t="s">
        <v>8742</v>
      </c>
      <c r="S1731" s="12">
        <v>22</v>
      </c>
      <c r="T1731" s="12" t="s">
        <v>39</v>
      </c>
      <c r="U1731" s="12" t="s">
        <v>1466</v>
      </c>
      <c r="V1731" s="12" t="s">
        <v>4831</v>
      </c>
      <c r="W1731" s="12">
        <v>24000000</v>
      </c>
      <c r="X1731" s="12">
        <v>2014</v>
      </c>
      <c r="Y1731" s="12">
        <v>919</v>
      </c>
      <c r="Z1731" s="12">
        <v>2</v>
      </c>
      <c r="AA1731" s="12">
        <v>2.35</v>
      </c>
      <c r="AB1731" s="12">
        <v>0</v>
      </c>
      <c r="AC1731" s="12"/>
      <c r="AD1731" s="12" t="str">
        <f>IFERROR(__xludf.DUMMYFUNCTION("""COMPUTED_VALUE"""),"Terry Kinney")</f>
        <v>Terry Kinney</v>
      </c>
      <c r="AE1731" s="12"/>
    </row>
    <row r="1732" customHeight="1" spans="1:31">
      <c r="A1732" s="11" t="s">
        <v>30</v>
      </c>
      <c r="B1732" s="11" t="s">
        <v>8743</v>
      </c>
      <c r="C1732" s="11">
        <v>132</v>
      </c>
      <c r="D1732" s="11">
        <v>103</v>
      </c>
      <c r="E1732" s="11">
        <v>61</v>
      </c>
      <c r="F1732" s="11">
        <v>520</v>
      </c>
      <c r="G1732" s="11">
        <v>963</v>
      </c>
      <c r="H1732" s="13"/>
      <c r="I1732" s="11" t="s">
        <v>6327</v>
      </c>
      <c r="J1732" s="11" t="s">
        <v>3113</v>
      </c>
      <c r="K1732" s="11" t="s">
        <v>122</v>
      </c>
      <c r="L1732" s="11" t="s">
        <v>1997</v>
      </c>
      <c r="M1732" s="11" t="s">
        <v>8744</v>
      </c>
      <c r="N1732" s="11">
        <v>12410</v>
      </c>
      <c r="O1732" s="11">
        <v>2806</v>
      </c>
      <c r="P1732" s="11">
        <v>3</v>
      </c>
      <c r="Q1732" s="11" t="s">
        <v>8745</v>
      </c>
      <c r="R1732" s="14" t="s">
        <v>8746</v>
      </c>
      <c r="S1732" s="11">
        <v>62</v>
      </c>
      <c r="T1732" s="11" t="s">
        <v>39</v>
      </c>
      <c r="U1732" s="11" t="s">
        <v>8747</v>
      </c>
      <c r="V1732" s="13"/>
      <c r="W1732" s="11">
        <v>30000000</v>
      </c>
      <c r="X1732" s="11">
        <v>2014</v>
      </c>
      <c r="Y1732" s="11">
        <v>903</v>
      </c>
      <c r="Z1732" s="11">
        <v>5.7</v>
      </c>
      <c r="AA1732" s="11">
        <v>2.35</v>
      </c>
      <c r="AB1732" s="11">
        <v>6000</v>
      </c>
      <c r="AC1732" s="11"/>
      <c r="AD1732" s="11" t="str">
        <f>IFERROR(__xludf.DUMMYFUNCTION("""COMPUTED_VALUE"""),"Eric Schweig")</f>
        <v>Eric Schweig</v>
      </c>
      <c r="AE1732" s="11"/>
    </row>
    <row r="1733" customHeight="1" spans="1:31">
      <c r="A1733" s="12" t="s">
        <v>30</v>
      </c>
      <c r="B1733" s="12" t="s">
        <v>8748</v>
      </c>
      <c r="C1733" s="12">
        <v>5</v>
      </c>
      <c r="D1733" s="12">
        <v>85</v>
      </c>
      <c r="E1733" s="12">
        <v>0</v>
      </c>
      <c r="F1733" s="12">
        <v>21</v>
      </c>
      <c r="G1733" s="12">
        <v>114</v>
      </c>
      <c r="H1733" s="16"/>
      <c r="I1733" s="12" t="s">
        <v>8749</v>
      </c>
      <c r="J1733" s="12" t="s">
        <v>8750</v>
      </c>
      <c r="K1733" s="12" t="s">
        <v>7165</v>
      </c>
      <c r="L1733" s="12" t="s">
        <v>8751</v>
      </c>
      <c r="M1733" s="12" t="s">
        <v>8752</v>
      </c>
      <c r="N1733" s="12">
        <v>393</v>
      </c>
      <c r="O1733" s="12">
        <v>229</v>
      </c>
      <c r="P1733" s="12">
        <v>1</v>
      </c>
      <c r="Q1733" s="12" t="s">
        <v>8753</v>
      </c>
      <c r="R1733" s="15" t="s">
        <v>8754</v>
      </c>
      <c r="S1733" s="12">
        <v>7</v>
      </c>
      <c r="T1733" s="12" t="s">
        <v>5642</v>
      </c>
      <c r="U1733" s="12" t="s">
        <v>7171</v>
      </c>
      <c r="V1733" s="16"/>
      <c r="W1733" s="12">
        <v>30000000</v>
      </c>
      <c r="X1733" s="12">
        <v>2015</v>
      </c>
      <c r="Y1733" s="12">
        <v>35</v>
      </c>
      <c r="Z1733" s="12">
        <v>4.1</v>
      </c>
      <c r="AA1733" s="16"/>
      <c r="AB1733" s="12">
        <v>161</v>
      </c>
      <c r="AC1733" s="12"/>
      <c r="AD1733" s="12" t="str">
        <f>IFERROR(__xludf.DUMMYFUNCTION("""COMPUTED_VALUE"""),"Curtis Armstrong")</f>
        <v>Curtis Armstrong</v>
      </c>
      <c r="AE1733" s="12"/>
    </row>
    <row r="1734" customHeight="1" spans="1:31">
      <c r="A1734" s="11" t="s">
        <v>30</v>
      </c>
      <c r="B1734" s="11" t="s">
        <v>8755</v>
      </c>
      <c r="C1734" s="11">
        <v>56</v>
      </c>
      <c r="D1734" s="11">
        <v>110</v>
      </c>
      <c r="E1734" s="11">
        <v>59</v>
      </c>
      <c r="F1734" s="11">
        <v>24</v>
      </c>
      <c r="G1734" s="11">
        <v>1000</v>
      </c>
      <c r="H1734" s="13"/>
      <c r="I1734" s="11" t="s">
        <v>2142</v>
      </c>
      <c r="J1734" s="11" t="s">
        <v>392</v>
      </c>
      <c r="K1734" s="11" t="s">
        <v>1342</v>
      </c>
      <c r="L1734" s="11" t="s">
        <v>8756</v>
      </c>
      <c r="M1734" s="11" t="s">
        <v>8757</v>
      </c>
      <c r="N1734" s="11">
        <v>14618</v>
      </c>
      <c r="O1734" s="11">
        <v>1831</v>
      </c>
      <c r="P1734" s="11">
        <v>0</v>
      </c>
      <c r="Q1734" s="11" t="s">
        <v>8758</v>
      </c>
      <c r="R1734" s="14" t="s">
        <v>8759</v>
      </c>
      <c r="S1734" s="11">
        <v>108</v>
      </c>
      <c r="T1734" s="11" t="s">
        <v>39</v>
      </c>
      <c r="U1734" s="11" t="s">
        <v>7091</v>
      </c>
      <c r="V1734" s="11" t="s">
        <v>586</v>
      </c>
      <c r="W1734" s="11">
        <v>30000000</v>
      </c>
      <c r="X1734" s="11">
        <v>2002</v>
      </c>
      <c r="Y1734" s="11">
        <v>794</v>
      </c>
      <c r="Z1734" s="11">
        <v>6.7</v>
      </c>
      <c r="AA1734" s="11">
        <v>1.85</v>
      </c>
      <c r="AB1734" s="11">
        <v>447</v>
      </c>
      <c r="AC1734" s="11"/>
      <c r="AD1734" s="11" t="str">
        <f>IFERROR(__xludf.DUMMYFUNCTION("""COMPUTED_VALUE"""),"Powers Boothe")</f>
        <v>Powers Boothe</v>
      </c>
      <c r="AE1734" s="11"/>
    </row>
    <row r="1735" customHeight="1" spans="1:31">
      <c r="A1735" s="12" t="s">
        <v>30</v>
      </c>
      <c r="B1735" s="12" t="s">
        <v>8760</v>
      </c>
      <c r="C1735" s="12">
        <v>65</v>
      </c>
      <c r="D1735" s="12">
        <v>89</v>
      </c>
      <c r="E1735" s="12">
        <v>5</v>
      </c>
      <c r="F1735" s="12">
        <v>365</v>
      </c>
      <c r="G1735" s="12">
        <v>11000</v>
      </c>
      <c r="H1735" s="16"/>
      <c r="I1735" s="12" t="s">
        <v>8761</v>
      </c>
      <c r="J1735" s="12" t="s">
        <v>83</v>
      </c>
      <c r="K1735" s="12" t="s">
        <v>495</v>
      </c>
      <c r="L1735" s="12" t="s">
        <v>6179</v>
      </c>
      <c r="M1735" s="12" t="s">
        <v>8762</v>
      </c>
      <c r="N1735" s="12">
        <v>3302</v>
      </c>
      <c r="O1735" s="12">
        <v>15795</v>
      </c>
      <c r="P1735" s="12">
        <v>0</v>
      </c>
      <c r="Q1735" s="12" t="s">
        <v>8763</v>
      </c>
      <c r="R1735" s="15" t="s">
        <v>8764</v>
      </c>
      <c r="S1735" s="12">
        <v>14</v>
      </c>
      <c r="T1735" s="12" t="s">
        <v>39</v>
      </c>
      <c r="U1735" s="12" t="s">
        <v>40</v>
      </c>
      <c r="V1735" s="12" t="s">
        <v>586</v>
      </c>
      <c r="W1735" s="12">
        <v>19000000</v>
      </c>
      <c r="X1735" s="12">
        <v>2016</v>
      </c>
      <c r="Y1735" s="12">
        <v>4000</v>
      </c>
      <c r="Z1735" s="12">
        <v>7.5</v>
      </c>
      <c r="AA1735" s="12">
        <v>1.85</v>
      </c>
      <c r="AB1735" s="12">
        <v>13000</v>
      </c>
      <c r="AC1735" s="12"/>
      <c r="AD1735" s="12" t="str">
        <f>IFERROR(__xludf.DUMMYFUNCTION("""COMPUTED_VALUE"""),"Jason Douglas")</f>
        <v>Jason Douglas</v>
      </c>
      <c r="AE1735" s="12"/>
    </row>
    <row r="1736" customHeight="1" spans="1:31">
      <c r="A1736" s="11" t="s">
        <v>30</v>
      </c>
      <c r="B1736" s="11" t="s">
        <v>8765</v>
      </c>
      <c r="C1736" s="11">
        <v>221</v>
      </c>
      <c r="D1736" s="11">
        <v>115</v>
      </c>
      <c r="E1736" s="11">
        <v>0</v>
      </c>
      <c r="F1736" s="11">
        <v>751</v>
      </c>
      <c r="G1736" s="11">
        <v>10000</v>
      </c>
      <c r="H1736" s="11">
        <v>183436380</v>
      </c>
      <c r="I1736" s="11" t="s">
        <v>6419</v>
      </c>
      <c r="J1736" s="11" t="s">
        <v>2456</v>
      </c>
      <c r="K1736" s="11" t="s">
        <v>8766</v>
      </c>
      <c r="L1736" s="11" t="s">
        <v>8767</v>
      </c>
      <c r="M1736" s="11" t="s">
        <v>8768</v>
      </c>
      <c r="N1736" s="11">
        <v>97697</v>
      </c>
      <c r="O1736" s="11">
        <v>13159</v>
      </c>
      <c r="P1736" s="11">
        <v>8</v>
      </c>
      <c r="Q1736" s="11" t="s">
        <v>8769</v>
      </c>
      <c r="R1736" s="14" t="s">
        <v>8770</v>
      </c>
      <c r="S1736" s="11">
        <v>185</v>
      </c>
      <c r="T1736" s="11" t="s">
        <v>39</v>
      </c>
      <c r="U1736" s="11" t="s">
        <v>40</v>
      </c>
      <c r="V1736" s="11" t="s">
        <v>41</v>
      </c>
      <c r="W1736" s="11">
        <v>29000000</v>
      </c>
      <c r="X1736" s="11">
        <v>2015</v>
      </c>
      <c r="Y1736" s="11">
        <v>1000</v>
      </c>
      <c r="Z1736" s="11">
        <v>6.5</v>
      </c>
      <c r="AA1736" s="11">
        <v>1.85</v>
      </c>
      <c r="AB1736" s="11">
        <v>40000</v>
      </c>
      <c r="AC1736" s="11"/>
      <c r="AD1736" s="11" t="str">
        <f>IFERROR(__xludf.DUMMYFUNCTION("""COMPUTED_VALUE"""),"Jane Curtin")</f>
        <v>Jane Curtin</v>
      </c>
      <c r="AE1736" s="11"/>
    </row>
    <row r="1737" customHeight="1" spans="1:31">
      <c r="A1737" s="12" t="s">
        <v>30</v>
      </c>
      <c r="B1737" s="12" t="s">
        <v>1422</v>
      </c>
      <c r="C1737" s="12">
        <v>291</v>
      </c>
      <c r="D1737" s="12">
        <v>153</v>
      </c>
      <c r="E1737" s="12">
        <v>446</v>
      </c>
      <c r="F1737" s="12">
        <v>154</v>
      </c>
      <c r="G1737" s="12">
        <v>523</v>
      </c>
      <c r="H1737" s="12">
        <v>119518352</v>
      </c>
      <c r="I1737" s="12" t="s">
        <v>8771</v>
      </c>
      <c r="J1737" s="12" t="s">
        <v>1172</v>
      </c>
      <c r="K1737" s="12" t="s">
        <v>8772</v>
      </c>
      <c r="L1737" s="12" t="s">
        <v>8773</v>
      </c>
      <c r="M1737" s="12" t="s">
        <v>8774</v>
      </c>
      <c r="N1737" s="12">
        <v>188637</v>
      </c>
      <c r="O1737" s="12">
        <v>1383</v>
      </c>
      <c r="P1737" s="12">
        <v>0</v>
      </c>
      <c r="Q1737" s="12" t="s">
        <v>8775</v>
      </c>
      <c r="R1737" s="15" t="s">
        <v>8776</v>
      </c>
      <c r="S1737" s="12">
        <v>815</v>
      </c>
      <c r="T1737" s="12" t="s">
        <v>39</v>
      </c>
      <c r="U1737" s="12" t="s">
        <v>40</v>
      </c>
      <c r="V1737" s="12" t="s">
        <v>41</v>
      </c>
      <c r="W1737" s="12">
        <v>28000000</v>
      </c>
      <c r="X1737" s="12">
        <v>2005</v>
      </c>
      <c r="Y1737" s="12">
        <v>405</v>
      </c>
      <c r="Z1737" s="12">
        <v>7.9</v>
      </c>
      <c r="AA1737" s="12">
        <v>2.39</v>
      </c>
      <c r="AB1737" s="12">
        <v>11000</v>
      </c>
      <c r="AC1737" s="12"/>
      <c r="AD1737" s="12" t="str">
        <f>IFERROR(__xludf.DUMMYFUNCTION("""COMPUTED_VALUE"""),"Susan Ward")</f>
        <v>Susan Ward</v>
      </c>
      <c r="AE1737" s="12"/>
    </row>
    <row r="1738" customHeight="1" spans="1:31">
      <c r="A1738" s="11" t="s">
        <v>30</v>
      </c>
      <c r="B1738" s="13"/>
      <c r="C1738" s="11">
        <v>13</v>
      </c>
      <c r="D1738" s="11">
        <v>42</v>
      </c>
      <c r="E1738" s="13"/>
      <c r="F1738" s="11">
        <v>442</v>
      </c>
      <c r="G1738" s="11">
        <v>757</v>
      </c>
      <c r="H1738" s="13"/>
      <c r="I1738" s="11" t="s">
        <v>8777</v>
      </c>
      <c r="J1738" s="11" t="s">
        <v>8778</v>
      </c>
      <c r="K1738" s="11" t="s">
        <v>8779</v>
      </c>
      <c r="L1738" s="11" t="s">
        <v>2409</v>
      </c>
      <c r="M1738" s="11" t="s">
        <v>8780</v>
      </c>
      <c r="N1738" s="11">
        <v>20839</v>
      </c>
      <c r="O1738" s="11">
        <v>3309</v>
      </c>
      <c r="P1738" s="11">
        <v>0</v>
      </c>
      <c r="Q1738" s="11" t="s">
        <v>8781</v>
      </c>
      <c r="R1738" s="14" t="s">
        <v>8782</v>
      </c>
      <c r="S1738" s="11">
        <v>56</v>
      </c>
      <c r="T1738" s="11" t="s">
        <v>39</v>
      </c>
      <c r="U1738" s="11" t="s">
        <v>40</v>
      </c>
      <c r="V1738" s="11" t="s">
        <v>1127</v>
      </c>
      <c r="W1738" s="13"/>
      <c r="X1738" s="13"/>
      <c r="Y1738" s="11">
        <v>641</v>
      </c>
      <c r="Z1738" s="11">
        <v>7.6</v>
      </c>
      <c r="AA1738" s="11">
        <v>16</v>
      </c>
      <c r="AB1738" s="11">
        <v>12000</v>
      </c>
      <c r="AC1738" s="11"/>
      <c r="AD1738" s="11" t="str">
        <f>IFERROR(__xludf.DUMMYFUNCTION("""COMPUTED_VALUE"""),"Sally Kirkland")</f>
        <v>Sally Kirkland</v>
      </c>
      <c r="AE1738" s="11"/>
    </row>
    <row r="1739" customHeight="1" spans="1:31">
      <c r="A1739" s="12" t="s">
        <v>30</v>
      </c>
      <c r="B1739" s="12" t="s">
        <v>8783</v>
      </c>
      <c r="C1739" s="12">
        <v>148</v>
      </c>
      <c r="D1739" s="12">
        <v>128</v>
      </c>
      <c r="E1739" s="12">
        <v>0</v>
      </c>
      <c r="F1739" s="12">
        <v>754</v>
      </c>
      <c r="G1739" s="12">
        <v>955</v>
      </c>
      <c r="H1739" s="12">
        <v>37036404</v>
      </c>
      <c r="I1739" s="12" t="s">
        <v>1415</v>
      </c>
      <c r="J1739" s="12" t="s">
        <v>3633</v>
      </c>
      <c r="K1739" s="12" t="s">
        <v>4956</v>
      </c>
      <c r="L1739" s="12" t="s">
        <v>4005</v>
      </c>
      <c r="M1739" s="12" t="s">
        <v>8784</v>
      </c>
      <c r="N1739" s="12">
        <v>44816</v>
      </c>
      <c r="O1739" s="12">
        <v>5404</v>
      </c>
      <c r="P1739" s="12">
        <v>3</v>
      </c>
      <c r="Q1739" s="12" t="s">
        <v>8785</v>
      </c>
      <c r="R1739" s="15" t="s">
        <v>8786</v>
      </c>
      <c r="S1739" s="12">
        <v>259</v>
      </c>
      <c r="T1739" s="12" t="s">
        <v>39</v>
      </c>
      <c r="U1739" s="12" t="s">
        <v>40</v>
      </c>
      <c r="V1739" s="12" t="s">
        <v>41</v>
      </c>
      <c r="W1739" s="12">
        <v>30000000</v>
      </c>
      <c r="X1739" s="12">
        <v>2000</v>
      </c>
      <c r="Y1739" s="12">
        <v>869</v>
      </c>
      <c r="Z1739" s="12">
        <v>6.4</v>
      </c>
      <c r="AA1739" s="12">
        <v>1.85</v>
      </c>
      <c r="AB1739" s="12">
        <v>0</v>
      </c>
      <c r="AC1739" s="12"/>
      <c r="AD1739" s="12" t="str">
        <f>IFERROR(__xludf.DUMMYFUNCTION("""COMPUTED_VALUE"""),"Jay O. Sanders")</f>
        <v>Jay O. Sanders</v>
      </c>
      <c r="AE1739" s="12"/>
    </row>
    <row r="1740" customHeight="1" spans="1:31">
      <c r="A1740" s="11" t="s">
        <v>30</v>
      </c>
      <c r="B1740" s="11" t="s">
        <v>5112</v>
      </c>
      <c r="C1740" s="11">
        <v>42</v>
      </c>
      <c r="D1740" s="11">
        <v>89</v>
      </c>
      <c r="E1740" s="11">
        <v>12</v>
      </c>
      <c r="F1740" s="11">
        <v>373</v>
      </c>
      <c r="G1740" s="11">
        <v>1000</v>
      </c>
      <c r="H1740" s="11">
        <v>22359293</v>
      </c>
      <c r="I1740" s="11" t="s">
        <v>788</v>
      </c>
      <c r="J1740" s="11" t="s">
        <v>393</v>
      </c>
      <c r="K1740" s="11" t="s">
        <v>8787</v>
      </c>
      <c r="L1740" s="11" t="s">
        <v>8788</v>
      </c>
      <c r="M1740" s="11" t="s">
        <v>8789</v>
      </c>
      <c r="N1740" s="11">
        <v>16222</v>
      </c>
      <c r="O1740" s="11">
        <v>2056</v>
      </c>
      <c r="P1740" s="11">
        <v>0</v>
      </c>
      <c r="Q1740" s="11" t="s">
        <v>8790</v>
      </c>
      <c r="R1740" s="14" t="s">
        <v>8791</v>
      </c>
      <c r="S1740" s="11">
        <v>39</v>
      </c>
      <c r="T1740" s="11" t="s">
        <v>39</v>
      </c>
      <c r="U1740" s="11" t="s">
        <v>58</v>
      </c>
      <c r="V1740" s="11" t="s">
        <v>96</v>
      </c>
      <c r="W1740" s="11">
        <v>29000000</v>
      </c>
      <c r="X1740" s="11">
        <v>1997</v>
      </c>
      <c r="Y1740" s="11">
        <v>409</v>
      </c>
      <c r="Z1740" s="11">
        <v>5.8</v>
      </c>
      <c r="AA1740" s="11">
        <v>1.85</v>
      </c>
      <c r="AB1740" s="11">
        <v>0</v>
      </c>
      <c r="AC1740" s="11"/>
      <c r="AD1740" s="11" t="str">
        <f>IFERROR(__xludf.DUMMYFUNCTION("""COMPUTED_VALUE"""),"Cheryl Penland")</f>
        <v>Cheryl Penland</v>
      </c>
      <c r="AE1740" s="11"/>
    </row>
    <row r="1741" customHeight="1" spans="1:31">
      <c r="A1741" s="12" t="s">
        <v>30</v>
      </c>
      <c r="B1741" s="12" t="s">
        <v>851</v>
      </c>
      <c r="C1741" s="12">
        <v>302</v>
      </c>
      <c r="D1741" s="12">
        <v>122</v>
      </c>
      <c r="E1741" s="12">
        <v>2000</v>
      </c>
      <c r="F1741" s="12">
        <v>1000</v>
      </c>
      <c r="G1741" s="12">
        <v>2000</v>
      </c>
      <c r="H1741" s="12">
        <v>18593156</v>
      </c>
      <c r="I1741" s="12" t="s">
        <v>3410</v>
      </c>
      <c r="J1741" s="12" t="s">
        <v>1212</v>
      </c>
      <c r="K1741" s="12" t="s">
        <v>1332</v>
      </c>
      <c r="L1741" s="12" t="s">
        <v>430</v>
      </c>
      <c r="M1741" s="12" t="s">
        <v>8792</v>
      </c>
      <c r="N1741" s="12">
        <v>88682</v>
      </c>
      <c r="O1741" s="12">
        <v>6161</v>
      </c>
      <c r="P1741" s="12">
        <v>1</v>
      </c>
      <c r="Q1741" s="12" t="s">
        <v>8793</v>
      </c>
      <c r="R1741" s="15" t="s">
        <v>8794</v>
      </c>
      <c r="S1741" s="12">
        <v>241</v>
      </c>
      <c r="T1741" s="12" t="s">
        <v>39</v>
      </c>
      <c r="U1741" s="12" t="s">
        <v>40</v>
      </c>
      <c r="V1741" s="12" t="s">
        <v>586</v>
      </c>
      <c r="W1741" s="12">
        <v>35000000</v>
      </c>
      <c r="X1741" s="12">
        <v>2008</v>
      </c>
      <c r="Y1741" s="12">
        <v>1000</v>
      </c>
      <c r="Z1741" s="12">
        <v>7.7</v>
      </c>
      <c r="AA1741" s="12">
        <v>2.35</v>
      </c>
      <c r="AB1741" s="12">
        <v>0</v>
      </c>
      <c r="AC1741" s="12"/>
      <c r="AD1741" s="12" t="str">
        <f>IFERROR(__xludf.DUMMYFUNCTION("""COMPUTED_VALUE"""),"Nia Long")</f>
        <v>Nia Long</v>
      </c>
      <c r="AE1741" s="12"/>
    </row>
    <row r="1742" customHeight="1" spans="1:31">
      <c r="A1742" s="11" t="s">
        <v>30</v>
      </c>
      <c r="B1742" s="11" t="s">
        <v>3402</v>
      </c>
      <c r="C1742" s="11">
        <v>181</v>
      </c>
      <c r="D1742" s="11">
        <v>113</v>
      </c>
      <c r="E1742" s="11">
        <v>0</v>
      </c>
      <c r="F1742" s="11">
        <v>89</v>
      </c>
      <c r="G1742" s="11">
        <v>504</v>
      </c>
      <c r="H1742" s="13"/>
      <c r="I1742" s="11" t="s">
        <v>8795</v>
      </c>
      <c r="J1742" s="11" t="s">
        <v>8796</v>
      </c>
      <c r="K1742" s="11" t="s">
        <v>8797</v>
      </c>
      <c r="L1742" s="11" t="s">
        <v>8798</v>
      </c>
      <c r="M1742" s="11" t="s">
        <v>8799</v>
      </c>
      <c r="N1742" s="11">
        <v>71596</v>
      </c>
      <c r="O1742" s="11">
        <v>810</v>
      </c>
      <c r="P1742" s="11">
        <v>0</v>
      </c>
      <c r="Q1742" s="11" t="s">
        <v>8800</v>
      </c>
      <c r="R1742" s="14" t="s">
        <v>8801</v>
      </c>
      <c r="S1742" s="11">
        <v>276</v>
      </c>
      <c r="T1742" s="11" t="s">
        <v>39</v>
      </c>
      <c r="U1742" s="11" t="s">
        <v>40</v>
      </c>
      <c r="V1742" s="11" t="s">
        <v>586</v>
      </c>
      <c r="W1742" s="11">
        <v>29000000</v>
      </c>
      <c r="X1742" s="11">
        <v>2002</v>
      </c>
      <c r="Y1742" s="11">
        <v>147</v>
      </c>
      <c r="Z1742" s="11">
        <v>7.1</v>
      </c>
      <c r="AA1742" s="11">
        <v>2.35</v>
      </c>
      <c r="AB1742" s="11">
        <v>3000</v>
      </c>
      <c r="AC1742" s="11"/>
      <c r="AD1742" s="11" t="str">
        <f>IFERROR(__xludf.DUMMYFUNCTION("""COMPUTED_VALUE"""),"Marisol Nichols")</f>
        <v>Marisol Nichols</v>
      </c>
      <c r="AE1742" s="11"/>
    </row>
    <row r="1743" customHeight="1" spans="1:31">
      <c r="A1743" s="12" t="s">
        <v>30</v>
      </c>
      <c r="B1743" s="12" t="s">
        <v>6103</v>
      </c>
      <c r="C1743" s="12">
        <v>64</v>
      </c>
      <c r="D1743" s="12">
        <v>99</v>
      </c>
      <c r="E1743" s="12">
        <v>71</v>
      </c>
      <c r="F1743" s="12">
        <v>584</v>
      </c>
      <c r="G1743" s="12">
        <v>2000</v>
      </c>
      <c r="H1743" s="12">
        <v>16930185</v>
      </c>
      <c r="I1743" s="12" t="s">
        <v>1681</v>
      </c>
      <c r="J1743" s="12" t="s">
        <v>6393</v>
      </c>
      <c r="K1743" s="12" t="s">
        <v>3024</v>
      </c>
      <c r="L1743" s="12" t="s">
        <v>3555</v>
      </c>
      <c r="M1743" s="12" t="s">
        <v>8802</v>
      </c>
      <c r="N1743" s="12">
        <v>14315</v>
      </c>
      <c r="O1743" s="12">
        <v>4169</v>
      </c>
      <c r="P1743" s="12">
        <v>2</v>
      </c>
      <c r="Q1743" s="12" t="s">
        <v>8803</v>
      </c>
      <c r="R1743" s="15" t="s">
        <v>8804</v>
      </c>
      <c r="S1743" s="12">
        <v>101</v>
      </c>
      <c r="T1743" s="12" t="s">
        <v>39</v>
      </c>
      <c r="U1743" s="12" t="s">
        <v>768</v>
      </c>
      <c r="V1743" s="12" t="s">
        <v>41</v>
      </c>
      <c r="W1743" s="12">
        <v>29000000</v>
      </c>
      <c r="X1743" s="12">
        <v>2002</v>
      </c>
      <c r="Y1743" s="12">
        <v>719</v>
      </c>
      <c r="Z1743" s="12">
        <v>5.3</v>
      </c>
      <c r="AA1743" s="12">
        <v>1.85</v>
      </c>
      <c r="AB1743" s="12">
        <v>201</v>
      </c>
      <c r="AC1743" s="12"/>
      <c r="AD1743" s="12" t="str">
        <f>IFERROR(__xludf.DUMMYFUNCTION("""COMPUTED_VALUE"""),"Matthew Perry")</f>
        <v>Matthew Perry</v>
      </c>
      <c r="AE1743" s="12"/>
    </row>
    <row r="1744" customHeight="1" spans="1:31">
      <c r="A1744" s="11" t="s">
        <v>30</v>
      </c>
      <c r="B1744" s="11" t="s">
        <v>4309</v>
      </c>
      <c r="C1744" s="11">
        <v>154</v>
      </c>
      <c r="D1744" s="11">
        <v>99</v>
      </c>
      <c r="E1744" s="11">
        <v>265</v>
      </c>
      <c r="F1744" s="11">
        <v>265</v>
      </c>
      <c r="G1744" s="11">
        <v>22000</v>
      </c>
      <c r="H1744" s="11">
        <v>63034755</v>
      </c>
      <c r="I1744" s="11" t="s">
        <v>1672</v>
      </c>
      <c r="J1744" s="11" t="s">
        <v>149</v>
      </c>
      <c r="K1744" s="11" t="s">
        <v>273</v>
      </c>
      <c r="L1744" s="11" t="s">
        <v>4309</v>
      </c>
      <c r="M1744" s="11" t="s">
        <v>8805</v>
      </c>
      <c r="N1744" s="11">
        <v>16984</v>
      </c>
      <c r="O1744" s="11">
        <v>23562</v>
      </c>
      <c r="P1744" s="11">
        <v>1</v>
      </c>
      <c r="Q1744" s="11" t="s">
        <v>8806</v>
      </c>
      <c r="R1744" s="14" t="s">
        <v>8807</v>
      </c>
      <c r="S1744" s="11">
        <v>96</v>
      </c>
      <c r="T1744" s="11" t="s">
        <v>39</v>
      </c>
      <c r="U1744" s="11" t="s">
        <v>40</v>
      </c>
      <c r="V1744" s="11" t="s">
        <v>586</v>
      </c>
      <c r="W1744" s="11">
        <v>29000000</v>
      </c>
      <c r="X1744" s="11">
        <v>2016</v>
      </c>
      <c r="Y1744" s="11">
        <v>779</v>
      </c>
      <c r="Z1744" s="11">
        <v>5.3</v>
      </c>
      <c r="AA1744" s="11">
        <v>1.85</v>
      </c>
      <c r="AB1744" s="11">
        <v>0</v>
      </c>
      <c r="AC1744" s="11"/>
      <c r="AD1744" s="11" t="str">
        <f>IFERROR(__xludf.DUMMYFUNCTION("""COMPUTED_VALUE"""),"Kate Upton")</f>
        <v>Kate Upton</v>
      </c>
      <c r="AE1744" s="11"/>
    </row>
    <row r="1745" customHeight="1" spans="1:31">
      <c r="A1745" s="12" t="s">
        <v>30</v>
      </c>
      <c r="B1745" s="12" t="s">
        <v>8808</v>
      </c>
      <c r="C1745" s="12">
        <v>17</v>
      </c>
      <c r="D1745" s="12">
        <v>147</v>
      </c>
      <c r="E1745" s="12">
        <v>0</v>
      </c>
      <c r="F1745" s="12">
        <v>400</v>
      </c>
      <c r="G1745" s="12">
        <v>18000</v>
      </c>
      <c r="H1745" s="12">
        <v>5899797</v>
      </c>
      <c r="I1745" s="12" t="s">
        <v>5941</v>
      </c>
      <c r="J1745" s="12" t="s">
        <v>1727</v>
      </c>
      <c r="K1745" s="12" t="s">
        <v>3604</v>
      </c>
      <c r="L1745" s="12" t="s">
        <v>1129</v>
      </c>
      <c r="M1745" s="12" t="s">
        <v>8809</v>
      </c>
      <c r="N1745" s="12">
        <v>9913</v>
      </c>
      <c r="O1745" s="12">
        <v>18855</v>
      </c>
      <c r="P1745" s="12">
        <v>0</v>
      </c>
      <c r="Q1745" s="12" t="s">
        <v>8810</v>
      </c>
      <c r="R1745" s="15" t="s">
        <v>8811</v>
      </c>
      <c r="S1745" s="12">
        <v>51</v>
      </c>
      <c r="T1745" s="12" t="s">
        <v>39</v>
      </c>
      <c r="U1745" s="12" t="s">
        <v>58</v>
      </c>
      <c r="V1745" s="12" t="s">
        <v>96</v>
      </c>
      <c r="W1745" s="12">
        <v>29000000</v>
      </c>
      <c r="X1745" s="12">
        <v>1987</v>
      </c>
      <c r="Y1745" s="12">
        <v>427</v>
      </c>
      <c r="Z1745" s="12">
        <v>7.5</v>
      </c>
      <c r="AA1745" s="12">
        <v>2.35</v>
      </c>
      <c r="AB1745" s="12">
        <v>0</v>
      </c>
      <c r="AC1745" s="12"/>
      <c r="AD1745" s="12" t="str">
        <f>IFERROR(__xludf.DUMMYFUNCTION("""COMPUTED_VALUE"""),"David Thornton")</f>
        <v>David Thornton</v>
      </c>
      <c r="AE1745" s="12"/>
    </row>
    <row r="1746" customHeight="1" spans="1:31">
      <c r="A1746" s="11" t="s">
        <v>748</v>
      </c>
      <c r="B1746" s="11" t="s">
        <v>3640</v>
      </c>
      <c r="C1746" s="11">
        <v>65</v>
      </c>
      <c r="D1746" s="11">
        <v>112</v>
      </c>
      <c r="E1746" s="11">
        <v>759</v>
      </c>
      <c r="F1746" s="11">
        <v>933</v>
      </c>
      <c r="G1746" s="11">
        <v>11000</v>
      </c>
      <c r="H1746" s="11">
        <v>4554569</v>
      </c>
      <c r="I1746" s="11" t="s">
        <v>2528</v>
      </c>
      <c r="J1746" s="11" t="s">
        <v>1950</v>
      </c>
      <c r="K1746" s="11" t="s">
        <v>1232</v>
      </c>
      <c r="L1746" s="11" t="s">
        <v>2982</v>
      </c>
      <c r="M1746" s="11" t="s">
        <v>8812</v>
      </c>
      <c r="N1746" s="11">
        <v>8134</v>
      </c>
      <c r="O1746" s="11">
        <v>17873</v>
      </c>
      <c r="P1746" s="11">
        <v>4</v>
      </c>
      <c r="Q1746" s="11" t="s">
        <v>8813</v>
      </c>
      <c r="R1746" s="14" t="s">
        <v>8814</v>
      </c>
      <c r="S1746" s="11">
        <v>123</v>
      </c>
      <c r="T1746" s="11" t="s">
        <v>39</v>
      </c>
      <c r="U1746" s="11" t="s">
        <v>40</v>
      </c>
      <c r="V1746" s="11" t="s">
        <v>586</v>
      </c>
      <c r="W1746" s="11">
        <v>28000000</v>
      </c>
      <c r="X1746" s="11">
        <v>1999</v>
      </c>
      <c r="Y1746" s="11">
        <v>1000</v>
      </c>
      <c r="Z1746" s="11">
        <v>6.9</v>
      </c>
      <c r="AA1746" s="11">
        <v>2.35</v>
      </c>
      <c r="AB1746" s="11">
        <v>209</v>
      </c>
      <c r="AC1746" s="11"/>
      <c r="AD1746" s="11" t="str">
        <f>IFERROR(__xludf.DUMMYFUNCTION("""COMPUTED_VALUE"""),"Krista Allen")</f>
        <v>Krista Allen</v>
      </c>
      <c r="AE1746" s="11"/>
    </row>
    <row r="1747" customHeight="1" spans="1:31">
      <c r="A1747" s="12" t="s">
        <v>30</v>
      </c>
      <c r="B1747" s="12" t="s">
        <v>8815</v>
      </c>
      <c r="C1747" s="12">
        <v>148</v>
      </c>
      <c r="D1747" s="12">
        <v>88</v>
      </c>
      <c r="E1747" s="12">
        <v>64</v>
      </c>
      <c r="F1747" s="12">
        <v>363</v>
      </c>
      <c r="G1747" s="12">
        <v>1000</v>
      </c>
      <c r="H1747" s="12">
        <v>17016190</v>
      </c>
      <c r="I1747" s="12" t="s">
        <v>8066</v>
      </c>
      <c r="J1747" s="12" t="s">
        <v>688</v>
      </c>
      <c r="K1747" s="12" t="s">
        <v>1624</v>
      </c>
      <c r="L1747" s="12" t="s">
        <v>8816</v>
      </c>
      <c r="M1747" s="12" t="s">
        <v>8817</v>
      </c>
      <c r="N1747" s="12">
        <v>28632</v>
      </c>
      <c r="O1747" s="12">
        <v>2567</v>
      </c>
      <c r="P1747" s="12">
        <v>0</v>
      </c>
      <c r="Q1747" s="12" t="s">
        <v>8818</v>
      </c>
      <c r="R1747" s="15" t="s">
        <v>8819</v>
      </c>
      <c r="S1747" s="12">
        <v>214</v>
      </c>
      <c r="T1747" s="12" t="s">
        <v>39</v>
      </c>
      <c r="U1747" s="12" t="s">
        <v>8820</v>
      </c>
      <c r="V1747" s="12" t="s">
        <v>586</v>
      </c>
      <c r="W1747" s="12">
        <v>12000000</v>
      </c>
      <c r="X1747" s="12">
        <v>2004</v>
      </c>
      <c r="Y1747" s="12">
        <v>857</v>
      </c>
      <c r="Z1747" s="12">
        <v>4.9</v>
      </c>
      <c r="AA1747" s="12">
        <v>1.85</v>
      </c>
      <c r="AB1747" s="12">
        <v>0</v>
      </c>
      <c r="AC1747" s="12"/>
      <c r="AD1747" s="12" t="str">
        <f>IFERROR(__xludf.DUMMYFUNCTION("""COMPUTED_VALUE"""),"Andrew Fiscella")</f>
        <v>Andrew Fiscella</v>
      </c>
      <c r="AE1747" s="12"/>
    </row>
    <row r="1748" customHeight="1" spans="1:31">
      <c r="A1748" s="11" t="s">
        <v>30</v>
      </c>
      <c r="B1748" s="11" t="s">
        <v>8821</v>
      </c>
      <c r="C1748" s="11">
        <v>161</v>
      </c>
      <c r="D1748" s="11">
        <v>94</v>
      </c>
      <c r="E1748" s="11">
        <v>11</v>
      </c>
      <c r="F1748" s="11">
        <v>566</v>
      </c>
      <c r="G1748" s="11">
        <v>1000</v>
      </c>
      <c r="H1748" s="11">
        <v>6301131</v>
      </c>
      <c r="I1748" s="11" t="s">
        <v>2202</v>
      </c>
      <c r="J1748" s="11" t="s">
        <v>2620</v>
      </c>
      <c r="K1748" s="11" t="s">
        <v>8822</v>
      </c>
      <c r="L1748" s="11" t="s">
        <v>8823</v>
      </c>
      <c r="M1748" s="11" t="s">
        <v>8824</v>
      </c>
      <c r="N1748" s="11">
        <v>92850</v>
      </c>
      <c r="O1748" s="11">
        <v>5085</v>
      </c>
      <c r="P1748" s="11">
        <v>0</v>
      </c>
      <c r="Q1748" s="11" t="s">
        <v>8825</v>
      </c>
      <c r="R1748" s="14" t="s">
        <v>8826</v>
      </c>
      <c r="S1748" s="11">
        <v>263</v>
      </c>
      <c r="T1748" s="11" t="s">
        <v>39</v>
      </c>
      <c r="U1748" s="11" t="s">
        <v>40</v>
      </c>
      <c r="V1748" s="11" t="s">
        <v>586</v>
      </c>
      <c r="W1748" s="11">
        <v>29000000</v>
      </c>
      <c r="X1748" s="11">
        <v>2005</v>
      </c>
      <c r="Y1748" s="11">
        <v>948</v>
      </c>
      <c r="Z1748" s="11">
        <v>7.1</v>
      </c>
      <c r="AA1748" s="11">
        <v>2.35</v>
      </c>
      <c r="AB1748" s="11">
        <v>0</v>
      </c>
      <c r="AC1748" s="11"/>
      <c r="AD1748" s="11" t="str">
        <f>IFERROR(__xludf.DUMMYFUNCTION("""COMPUTED_VALUE"""),"Shantel VanSanten")</f>
        <v>Shantel VanSanten</v>
      </c>
      <c r="AE1748" s="11"/>
    </row>
    <row r="1749" customHeight="1" spans="1:31">
      <c r="A1749" s="12" t="s">
        <v>30</v>
      </c>
      <c r="B1749" s="12" t="s">
        <v>1659</v>
      </c>
      <c r="C1749" s="12">
        <v>124</v>
      </c>
      <c r="D1749" s="12">
        <v>90</v>
      </c>
      <c r="E1749" s="12">
        <v>63</v>
      </c>
      <c r="F1749" s="12">
        <v>631</v>
      </c>
      <c r="G1749" s="12">
        <v>49000</v>
      </c>
      <c r="H1749" s="12">
        <v>217350219</v>
      </c>
      <c r="I1749" s="12" t="s">
        <v>89</v>
      </c>
      <c r="J1749" s="12" t="s">
        <v>811</v>
      </c>
      <c r="K1749" s="12" t="s">
        <v>1986</v>
      </c>
      <c r="L1749" s="12" t="s">
        <v>8827</v>
      </c>
      <c r="M1749" s="12" t="s">
        <v>8828</v>
      </c>
      <c r="N1749" s="12">
        <v>260939</v>
      </c>
      <c r="O1749" s="12">
        <v>52970</v>
      </c>
      <c r="P1749" s="12">
        <v>0</v>
      </c>
      <c r="Q1749" s="12" t="s">
        <v>8829</v>
      </c>
      <c r="R1749" s="15" t="s">
        <v>8830</v>
      </c>
      <c r="S1749" s="12">
        <v>244</v>
      </c>
      <c r="T1749" s="12" t="s">
        <v>39</v>
      </c>
      <c r="U1749" s="12" t="s">
        <v>40</v>
      </c>
      <c r="V1749" s="12" t="s">
        <v>278</v>
      </c>
      <c r="W1749" s="12">
        <v>28000000</v>
      </c>
      <c r="X1749" s="12">
        <v>1992</v>
      </c>
      <c r="Y1749" s="12">
        <v>2000</v>
      </c>
      <c r="Z1749" s="12">
        <v>8</v>
      </c>
      <c r="AA1749" s="12">
        <v>1.33</v>
      </c>
      <c r="AB1749" s="12">
        <v>0</v>
      </c>
      <c r="AC1749" s="12"/>
      <c r="AD1749" s="12" t="str">
        <f>IFERROR(__xludf.DUMMYFUNCTION("""COMPUTED_VALUE"""),"Joaquim de Almeida")</f>
        <v>Joaquim de Almeida</v>
      </c>
      <c r="AE1749" s="12"/>
    </row>
    <row r="1750" customHeight="1" spans="1:31">
      <c r="A1750" s="11" t="s">
        <v>30</v>
      </c>
      <c r="B1750" s="11" t="s">
        <v>3089</v>
      </c>
      <c r="C1750" s="11">
        <v>349</v>
      </c>
      <c r="D1750" s="11">
        <v>167</v>
      </c>
      <c r="E1750" s="11">
        <v>473</v>
      </c>
      <c r="F1750" s="11">
        <v>303</v>
      </c>
      <c r="G1750" s="11">
        <v>559</v>
      </c>
      <c r="H1750" s="11">
        <v>161029270</v>
      </c>
      <c r="I1750" s="11" t="s">
        <v>8831</v>
      </c>
      <c r="J1750" s="11" t="s">
        <v>2148</v>
      </c>
      <c r="K1750" s="11" t="s">
        <v>8832</v>
      </c>
      <c r="L1750" s="11" t="s">
        <v>8833</v>
      </c>
      <c r="M1750" s="11" t="s">
        <v>8834</v>
      </c>
      <c r="N1750" s="11">
        <v>119928</v>
      </c>
      <c r="O1750" s="11">
        <v>2702</v>
      </c>
      <c r="P1750" s="11">
        <v>0</v>
      </c>
      <c r="Q1750" s="11" t="s">
        <v>8835</v>
      </c>
      <c r="R1750" s="14" t="s">
        <v>8836</v>
      </c>
      <c r="S1750" s="11">
        <v>331</v>
      </c>
      <c r="T1750" s="11" t="s">
        <v>39</v>
      </c>
      <c r="U1750" s="11" t="s">
        <v>40</v>
      </c>
      <c r="V1750" s="11" t="s">
        <v>586</v>
      </c>
      <c r="W1750" s="11">
        <v>28000000</v>
      </c>
      <c r="X1750" s="11">
        <v>2015</v>
      </c>
      <c r="Y1750" s="11">
        <v>427</v>
      </c>
      <c r="Z1750" s="11">
        <v>7.9</v>
      </c>
      <c r="AA1750" s="11">
        <v>2.35</v>
      </c>
      <c r="AB1750" s="11">
        <v>76000</v>
      </c>
      <c r="AC1750" s="11"/>
      <c r="AD1750" s="11" t="str">
        <f>IFERROR(__xludf.DUMMYFUNCTION("""COMPUTED_VALUE"""),"Sam Jaeger")</f>
        <v>Sam Jaeger</v>
      </c>
      <c r="AE1750" s="11"/>
    </row>
    <row r="1751" customHeight="1" spans="1:31">
      <c r="A1751" s="12" t="s">
        <v>30</v>
      </c>
      <c r="B1751" s="12" t="s">
        <v>390</v>
      </c>
      <c r="C1751" s="12">
        <v>148</v>
      </c>
      <c r="D1751" s="12">
        <v>118</v>
      </c>
      <c r="E1751" s="12">
        <v>14000</v>
      </c>
      <c r="F1751" s="12">
        <v>237</v>
      </c>
      <c r="G1751" s="12">
        <v>11000</v>
      </c>
      <c r="H1751" s="12">
        <v>179870271</v>
      </c>
      <c r="I1751" s="12" t="s">
        <v>127</v>
      </c>
      <c r="J1751" s="12" t="s">
        <v>391</v>
      </c>
      <c r="K1751" s="12" t="s">
        <v>8837</v>
      </c>
      <c r="L1751" s="12" t="s">
        <v>8322</v>
      </c>
      <c r="M1751" s="12" t="s">
        <v>8838</v>
      </c>
      <c r="N1751" s="12">
        <v>329969</v>
      </c>
      <c r="O1751" s="12">
        <v>11898</v>
      </c>
      <c r="P1751" s="12">
        <v>2</v>
      </c>
      <c r="Q1751" s="12" t="s">
        <v>8839</v>
      </c>
      <c r="R1751" s="15" t="s">
        <v>8840</v>
      </c>
      <c r="S1751" s="12">
        <v>524</v>
      </c>
      <c r="T1751" s="12" t="s">
        <v>39</v>
      </c>
      <c r="U1751" s="12" t="s">
        <v>40</v>
      </c>
      <c r="V1751" s="12" t="s">
        <v>96</v>
      </c>
      <c r="W1751" s="12">
        <v>28000000</v>
      </c>
      <c r="X1751" s="12">
        <v>1984</v>
      </c>
      <c r="Y1751" s="12">
        <v>429</v>
      </c>
      <c r="Z1751" s="12">
        <v>7.6</v>
      </c>
      <c r="AA1751" s="12">
        <v>2.35</v>
      </c>
      <c r="AB1751" s="12">
        <v>0</v>
      </c>
      <c r="AC1751" s="12"/>
      <c r="AD1751" s="12" t="str">
        <f>IFERROR(__xludf.DUMMYFUNCTION("""COMPUTED_VALUE"""),"Pink")</f>
        <v>Pink</v>
      </c>
      <c r="AE1751" s="12"/>
    </row>
    <row r="1752" customHeight="1" spans="1:31">
      <c r="A1752" s="11" t="s">
        <v>30</v>
      </c>
      <c r="B1752" s="11" t="s">
        <v>8841</v>
      </c>
      <c r="C1752" s="11">
        <v>45</v>
      </c>
      <c r="D1752" s="11">
        <v>83</v>
      </c>
      <c r="E1752" s="11">
        <v>5</v>
      </c>
      <c r="F1752" s="11">
        <v>368</v>
      </c>
      <c r="G1752" s="11">
        <v>971</v>
      </c>
      <c r="H1752" s="11">
        <v>100491683</v>
      </c>
      <c r="I1752" s="11" t="s">
        <v>8842</v>
      </c>
      <c r="J1752" s="11" t="s">
        <v>2315</v>
      </c>
      <c r="K1752" s="11" t="s">
        <v>2163</v>
      </c>
      <c r="L1752" s="11" t="s">
        <v>8215</v>
      </c>
      <c r="M1752" s="11" t="s">
        <v>8843</v>
      </c>
      <c r="N1752" s="11">
        <v>14005</v>
      </c>
      <c r="O1752" s="11">
        <v>3438</v>
      </c>
      <c r="P1752" s="11">
        <v>0</v>
      </c>
      <c r="Q1752" s="11" t="s">
        <v>8844</v>
      </c>
      <c r="R1752" s="14" t="s">
        <v>8845</v>
      </c>
      <c r="S1752" s="11">
        <v>67</v>
      </c>
      <c r="T1752" s="11" t="s">
        <v>39</v>
      </c>
      <c r="U1752" s="11" t="s">
        <v>40</v>
      </c>
      <c r="V1752" s="11" t="s">
        <v>278</v>
      </c>
      <c r="W1752" s="11">
        <v>24000000</v>
      </c>
      <c r="X1752" s="11">
        <v>1998</v>
      </c>
      <c r="Y1752" s="11">
        <v>503</v>
      </c>
      <c r="Z1752" s="11">
        <v>5.9</v>
      </c>
      <c r="AA1752" s="11">
        <v>1.85</v>
      </c>
      <c r="AB1752" s="11">
        <v>418</v>
      </c>
      <c r="AC1752" s="11"/>
      <c r="AD1752" s="11" t="str">
        <f>IFERROR(__xludf.DUMMYFUNCTION("""COMPUTED_VALUE"""),"Mario Lopez")</f>
        <v>Mario Lopez</v>
      </c>
      <c r="AE1752" s="11"/>
    </row>
    <row r="1753" customHeight="1" spans="1:31">
      <c r="A1753" s="12" t="s">
        <v>30</v>
      </c>
      <c r="B1753" s="12" t="s">
        <v>963</v>
      </c>
      <c r="C1753" s="12">
        <v>133</v>
      </c>
      <c r="D1753" s="12">
        <v>104</v>
      </c>
      <c r="E1753" s="12">
        <v>93</v>
      </c>
      <c r="F1753" s="12">
        <v>878</v>
      </c>
      <c r="G1753" s="12">
        <v>11000</v>
      </c>
      <c r="H1753" s="12">
        <v>74058698</v>
      </c>
      <c r="I1753" s="12" t="s">
        <v>2126</v>
      </c>
      <c r="J1753" s="12" t="s">
        <v>466</v>
      </c>
      <c r="K1753" s="12" t="s">
        <v>4055</v>
      </c>
      <c r="L1753" s="12" t="s">
        <v>2637</v>
      </c>
      <c r="M1753" s="12" t="s">
        <v>8846</v>
      </c>
      <c r="N1753" s="12">
        <v>59232</v>
      </c>
      <c r="O1753" s="12">
        <v>17109</v>
      </c>
      <c r="P1753" s="12">
        <v>0</v>
      </c>
      <c r="Q1753" s="12" t="s">
        <v>8847</v>
      </c>
      <c r="R1753" s="15" t="s">
        <v>8848</v>
      </c>
      <c r="S1753" s="12">
        <v>317</v>
      </c>
      <c r="T1753" s="12" t="s">
        <v>39</v>
      </c>
      <c r="U1753" s="12" t="s">
        <v>40</v>
      </c>
      <c r="V1753" s="12" t="s">
        <v>586</v>
      </c>
      <c r="W1753" s="12">
        <v>60000000</v>
      </c>
      <c r="X1753" s="12">
        <v>2001</v>
      </c>
      <c r="Y1753" s="12">
        <v>2000</v>
      </c>
      <c r="Z1753" s="12">
        <v>6.3</v>
      </c>
      <c r="AA1753" s="12">
        <v>2.35</v>
      </c>
      <c r="AB1753" s="12">
        <v>0</v>
      </c>
      <c r="AC1753" s="12"/>
      <c r="AD1753" s="12" t="str">
        <f>IFERROR(__xludf.DUMMYFUNCTION("""COMPUTED_VALUE"""),"Lino Facioli")</f>
        <v>Lino Facioli</v>
      </c>
      <c r="AE1753" s="12"/>
    </row>
    <row r="1754" customHeight="1" spans="1:31">
      <c r="A1754" s="11" t="s">
        <v>30</v>
      </c>
      <c r="B1754" s="11" t="s">
        <v>5648</v>
      </c>
      <c r="C1754" s="11">
        <v>87</v>
      </c>
      <c r="D1754" s="11">
        <v>110</v>
      </c>
      <c r="E1754" s="11">
        <v>350</v>
      </c>
      <c r="F1754" s="11">
        <v>83</v>
      </c>
      <c r="G1754" s="11">
        <v>11000</v>
      </c>
      <c r="H1754" s="13"/>
      <c r="I1754" s="11" t="s">
        <v>8849</v>
      </c>
      <c r="J1754" s="11" t="s">
        <v>2377</v>
      </c>
      <c r="K1754" s="11" t="s">
        <v>8258</v>
      </c>
      <c r="L1754" s="11" t="s">
        <v>8850</v>
      </c>
      <c r="M1754" s="11" t="s">
        <v>8851</v>
      </c>
      <c r="N1754" s="11">
        <v>2167</v>
      </c>
      <c r="O1754" s="11">
        <v>11534</v>
      </c>
      <c r="P1754" s="11">
        <v>3</v>
      </c>
      <c r="Q1754" s="11" t="s">
        <v>8852</v>
      </c>
      <c r="R1754" s="14" t="s">
        <v>8853</v>
      </c>
      <c r="S1754" s="11">
        <v>32</v>
      </c>
      <c r="T1754" s="11" t="s">
        <v>39</v>
      </c>
      <c r="U1754" s="11" t="s">
        <v>58</v>
      </c>
      <c r="V1754" s="11" t="s">
        <v>41</v>
      </c>
      <c r="W1754" s="11">
        <v>29000000</v>
      </c>
      <c r="X1754" s="11">
        <v>2016</v>
      </c>
      <c r="Y1754" s="11">
        <v>183</v>
      </c>
      <c r="Z1754" s="11">
        <v>7.1</v>
      </c>
      <c r="AA1754" s="11">
        <v>2.35</v>
      </c>
      <c r="AB1754" s="11">
        <v>0</v>
      </c>
      <c r="AC1754" s="11"/>
      <c r="AD1754" s="11" t="str">
        <f>IFERROR(__xludf.DUMMYFUNCTION("""COMPUTED_VALUE"""),"Nick Cannon")</f>
        <v>Nick Cannon</v>
      </c>
      <c r="AE1754" s="11"/>
    </row>
    <row r="1755" customHeight="1" spans="1:31">
      <c r="A1755" s="12" t="s">
        <v>30</v>
      </c>
      <c r="B1755" s="12" t="s">
        <v>4904</v>
      </c>
      <c r="C1755" s="12">
        <v>178</v>
      </c>
      <c r="D1755" s="12">
        <v>102</v>
      </c>
      <c r="E1755" s="12">
        <v>0</v>
      </c>
      <c r="F1755" s="12">
        <v>876</v>
      </c>
      <c r="G1755" s="12">
        <v>40000</v>
      </c>
      <c r="H1755" s="12">
        <v>55845943</v>
      </c>
      <c r="I1755" s="12" t="s">
        <v>334</v>
      </c>
      <c r="J1755" s="12" t="s">
        <v>44</v>
      </c>
      <c r="K1755" s="12" t="s">
        <v>495</v>
      </c>
      <c r="L1755" s="12" t="s">
        <v>8854</v>
      </c>
      <c r="M1755" s="12" t="s">
        <v>8855</v>
      </c>
      <c r="N1755" s="12">
        <v>130094</v>
      </c>
      <c r="O1755" s="12">
        <v>46186</v>
      </c>
      <c r="P1755" s="12">
        <v>1</v>
      </c>
      <c r="Q1755" s="12" t="s">
        <v>8856</v>
      </c>
      <c r="R1755" s="15" t="s">
        <v>8857</v>
      </c>
      <c r="S1755" s="12">
        <v>471</v>
      </c>
      <c r="T1755" s="12" t="s">
        <v>39</v>
      </c>
      <c r="U1755" s="12" t="s">
        <v>40</v>
      </c>
      <c r="V1755" s="12" t="s">
        <v>586</v>
      </c>
      <c r="W1755" s="12">
        <v>29000000</v>
      </c>
      <c r="X1755" s="12">
        <v>2003</v>
      </c>
      <c r="Y1755" s="12">
        <v>4000</v>
      </c>
      <c r="Z1755" s="12">
        <v>6.4</v>
      </c>
      <c r="AA1755" s="12">
        <v>1.78</v>
      </c>
      <c r="AB1755" s="12">
        <v>0</v>
      </c>
      <c r="AC1755" s="12"/>
      <c r="AD1755" s="12" t="str">
        <f>IFERROR(__xludf.DUMMYFUNCTION("""COMPUTED_VALUE"""),"Michael Jai White")</f>
        <v>Michael Jai White</v>
      </c>
      <c r="AE1755" s="12"/>
    </row>
    <row r="1756" customHeight="1" spans="1:31">
      <c r="A1756" s="11" t="s">
        <v>30</v>
      </c>
      <c r="B1756" s="11" t="s">
        <v>1312</v>
      </c>
      <c r="C1756" s="11">
        <v>233</v>
      </c>
      <c r="D1756" s="11">
        <v>131</v>
      </c>
      <c r="E1756" s="11">
        <v>323</v>
      </c>
      <c r="F1756" s="11">
        <v>541</v>
      </c>
      <c r="G1756" s="11">
        <v>25000</v>
      </c>
      <c r="H1756" s="11">
        <v>81350242</v>
      </c>
      <c r="I1756" s="11" t="s">
        <v>60</v>
      </c>
      <c r="J1756" s="11" t="s">
        <v>106</v>
      </c>
      <c r="K1756" s="11" t="s">
        <v>978</v>
      </c>
      <c r="L1756" s="11" t="s">
        <v>8858</v>
      </c>
      <c r="M1756" s="11" t="s">
        <v>8859</v>
      </c>
      <c r="N1756" s="11">
        <v>592582</v>
      </c>
      <c r="O1756" s="11">
        <v>40585</v>
      </c>
      <c r="P1756" s="11">
        <v>0</v>
      </c>
      <c r="Q1756" s="11" t="s">
        <v>8860</v>
      </c>
      <c r="R1756" s="14" t="s">
        <v>8861</v>
      </c>
      <c r="S1756" s="11">
        <v>722</v>
      </c>
      <c r="T1756" s="11" t="s">
        <v>39</v>
      </c>
      <c r="U1756" s="11" t="s">
        <v>40</v>
      </c>
      <c r="V1756" s="11" t="s">
        <v>586</v>
      </c>
      <c r="W1756" s="11">
        <v>28000000</v>
      </c>
      <c r="X1756" s="11">
        <v>1988</v>
      </c>
      <c r="Y1756" s="11">
        <v>13000</v>
      </c>
      <c r="Z1756" s="11">
        <v>8.2</v>
      </c>
      <c r="AA1756" s="11">
        <v>2.35</v>
      </c>
      <c r="AB1756" s="11">
        <v>25000</v>
      </c>
      <c r="AC1756" s="11"/>
      <c r="AD1756" s="11" t="str">
        <f>IFERROR(__xludf.DUMMYFUNCTION("""COMPUTED_VALUE"""),"Margarita Levieva")</f>
        <v>Margarita Levieva</v>
      </c>
      <c r="AE1756" s="11"/>
    </row>
    <row r="1757" customHeight="1" spans="1:31">
      <c r="A1757" s="12" t="s">
        <v>30</v>
      </c>
      <c r="B1757" s="12" t="s">
        <v>7886</v>
      </c>
      <c r="C1757" s="12">
        <v>173</v>
      </c>
      <c r="D1757" s="12">
        <v>101</v>
      </c>
      <c r="E1757" s="12">
        <v>136</v>
      </c>
      <c r="F1757" s="12">
        <v>526</v>
      </c>
      <c r="G1757" s="12">
        <v>833</v>
      </c>
      <c r="H1757" s="12">
        <v>67266300</v>
      </c>
      <c r="I1757" s="12" t="s">
        <v>1672</v>
      </c>
      <c r="J1757" s="12" t="s">
        <v>624</v>
      </c>
      <c r="K1757" s="12" t="s">
        <v>4453</v>
      </c>
      <c r="L1757" s="12" t="s">
        <v>1877</v>
      </c>
      <c r="M1757" s="12" t="s">
        <v>8862</v>
      </c>
      <c r="N1757" s="12">
        <v>195255</v>
      </c>
      <c r="O1757" s="12">
        <v>3400</v>
      </c>
      <c r="P1757" s="12">
        <v>1</v>
      </c>
      <c r="Q1757" s="12" t="s">
        <v>8863</v>
      </c>
      <c r="R1757" s="15" t="s">
        <v>8864</v>
      </c>
      <c r="S1757" s="12">
        <v>170</v>
      </c>
      <c r="T1757" s="12" t="s">
        <v>39</v>
      </c>
      <c r="U1757" s="12" t="s">
        <v>768</v>
      </c>
      <c r="V1757" s="12" t="s">
        <v>586</v>
      </c>
      <c r="W1757" s="12">
        <v>28000000</v>
      </c>
      <c r="X1757" s="12">
        <v>2008</v>
      </c>
      <c r="Y1757" s="12">
        <v>543</v>
      </c>
      <c r="Z1757" s="12">
        <v>6.9</v>
      </c>
      <c r="AA1757" s="12">
        <v>1.85</v>
      </c>
      <c r="AB1757" s="12">
        <v>0</v>
      </c>
      <c r="AC1757" s="12"/>
      <c r="AD1757" s="12" t="str">
        <f>IFERROR(__xludf.DUMMYFUNCTION("""COMPUTED_VALUE"""),"Aidan Quinn")</f>
        <v>Aidan Quinn</v>
      </c>
      <c r="AE1757" s="12"/>
    </row>
    <row r="1758" customHeight="1" spans="1:31">
      <c r="A1758" s="11" t="s">
        <v>30</v>
      </c>
      <c r="B1758" s="11" t="s">
        <v>1752</v>
      </c>
      <c r="C1758" s="11">
        <v>426</v>
      </c>
      <c r="D1758" s="11">
        <v>130</v>
      </c>
      <c r="E1758" s="11">
        <v>285</v>
      </c>
      <c r="F1758" s="11">
        <v>767</v>
      </c>
      <c r="G1758" s="11">
        <v>33000</v>
      </c>
      <c r="H1758" s="11">
        <v>70235322</v>
      </c>
      <c r="I1758" s="11" t="s">
        <v>3068</v>
      </c>
      <c r="J1758" s="11" t="s">
        <v>4214</v>
      </c>
      <c r="K1758" s="11" t="s">
        <v>62</v>
      </c>
      <c r="L1758" s="11" t="s">
        <v>8865</v>
      </c>
      <c r="M1758" s="11" t="s">
        <v>8866</v>
      </c>
      <c r="N1758" s="11">
        <v>182983</v>
      </c>
      <c r="O1758" s="11">
        <v>57308</v>
      </c>
      <c r="P1758" s="11">
        <v>4</v>
      </c>
      <c r="Q1758" s="11" t="s">
        <v>8867</v>
      </c>
      <c r="R1758" s="14" t="s">
        <v>8868</v>
      </c>
      <c r="S1758" s="11">
        <v>374</v>
      </c>
      <c r="T1758" s="11" t="s">
        <v>39</v>
      </c>
      <c r="U1758" s="11" t="s">
        <v>40</v>
      </c>
      <c r="V1758" s="11" t="s">
        <v>586</v>
      </c>
      <c r="W1758" s="11">
        <v>28000000</v>
      </c>
      <c r="X1758" s="11">
        <v>2015</v>
      </c>
      <c r="Y1758" s="11">
        <v>23000</v>
      </c>
      <c r="Z1758" s="11">
        <v>7.8</v>
      </c>
      <c r="AA1758" s="11">
        <v>2.35</v>
      </c>
      <c r="AB1758" s="11">
        <v>99000</v>
      </c>
      <c r="AC1758" s="11"/>
      <c r="AD1758" s="11" t="str">
        <f>IFERROR(__xludf.DUMMYFUNCTION("""COMPUTED_VALUE"""),"Lindsay Sloane")</f>
        <v>Lindsay Sloane</v>
      </c>
      <c r="AE1758" s="11"/>
    </row>
    <row r="1759" customHeight="1" spans="1:31">
      <c r="A1759" s="12" t="s">
        <v>30</v>
      </c>
      <c r="B1759" s="12" t="s">
        <v>1065</v>
      </c>
      <c r="C1759" s="12">
        <v>210</v>
      </c>
      <c r="D1759" s="12">
        <v>120</v>
      </c>
      <c r="E1759" s="12">
        <v>0</v>
      </c>
      <c r="F1759" s="12">
        <v>210</v>
      </c>
      <c r="G1759" s="12">
        <v>579</v>
      </c>
      <c r="H1759" s="12">
        <v>7443007</v>
      </c>
      <c r="I1759" s="12" t="s">
        <v>5511</v>
      </c>
      <c r="J1759" s="12" t="s">
        <v>2425</v>
      </c>
      <c r="K1759" s="12" t="s">
        <v>2149</v>
      </c>
      <c r="L1759" s="12" t="s">
        <v>8869</v>
      </c>
      <c r="M1759" s="12" t="s">
        <v>8870</v>
      </c>
      <c r="N1759" s="12">
        <v>24663</v>
      </c>
      <c r="O1759" s="12">
        <v>1500</v>
      </c>
      <c r="P1759" s="12">
        <v>12</v>
      </c>
      <c r="Q1759" s="12" t="s">
        <v>8871</v>
      </c>
      <c r="R1759" s="15" t="s">
        <v>8872</v>
      </c>
      <c r="S1759" s="12">
        <v>71</v>
      </c>
      <c r="T1759" s="12" t="s">
        <v>39</v>
      </c>
      <c r="U1759" s="12" t="s">
        <v>40</v>
      </c>
      <c r="V1759" s="12" t="s">
        <v>586</v>
      </c>
      <c r="W1759" s="12">
        <v>30000000</v>
      </c>
      <c r="X1759" s="12">
        <v>2009</v>
      </c>
      <c r="Y1759" s="12">
        <v>489</v>
      </c>
      <c r="Z1759" s="12">
        <v>6.7</v>
      </c>
      <c r="AA1759" s="12">
        <v>1.85</v>
      </c>
      <c r="AB1759" s="12">
        <v>0</v>
      </c>
      <c r="AC1759" s="12"/>
      <c r="AD1759" s="12" t="str">
        <f>IFERROR(__xludf.DUMMYFUNCTION("""COMPUTED_VALUE"""),"Paul Scheer")</f>
        <v>Paul Scheer</v>
      </c>
      <c r="AE1759" s="12"/>
    </row>
    <row r="1760" customHeight="1" spans="1:31">
      <c r="A1760" s="11" t="s">
        <v>30</v>
      </c>
      <c r="B1760" s="11" t="s">
        <v>8566</v>
      </c>
      <c r="C1760" s="11">
        <v>129</v>
      </c>
      <c r="D1760" s="11">
        <v>135</v>
      </c>
      <c r="E1760" s="11">
        <v>149</v>
      </c>
      <c r="F1760" s="11">
        <v>250</v>
      </c>
      <c r="G1760" s="11">
        <v>639</v>
      </c>
      <c r="H1760" s="11">
        <v>64371181</v>
      </c>
      <c r="I1760" s="11" t="s">
        <v>4225</v>
      </c>
      <c r="J1760" s="11" t="s">
        <v>8873</v>
      </c>
      <c r="K1760" s="11" t="s">
        <v>1469</v>
      </c>
      <c r="L1760" s="11" t="s">
        <v>8874</v>
      </c>
      <c r="M1760" s="11" t="s">
        <v>8875</v>
      </c>
      <c r="N1760" s="11">
        <v>36636</v>
      </c>
      <c r="O1760" s="11">
        <v>1845</v>
      </c>
      <c r="P1760" s="11">
        <v>0</v>
      </c>
      <c r="Q1760" s="11" t="s">
        <v>8876</v>
      </c>
      <c r="R1760" s="14" t="s">
        <v>8877</v>
      </c>
      <c r="S1760" s="11">
        <v>289</v>
      </c>
      <c r="T1760" s="11" t="s">
        <v>39</v>
      </c>
      <c r="U1760" s="11" t="s">
        <v>40</v>
      </c>
      <c r="V1760" s="11" t="s">
        <v>96</v>
      </c>
      <c r="W1760" s="11">
        <v>28000000</v>
      </c>
      <c r="X1760" s="11">
        <v>2004</v>
      </c>
      <c r="Y1760" s="11">
        <v>617</v>
      </c>
      <c r="Z1760" s="11">
        <v>7.5</v>
      </c>
      <c r="AA1760" s="11">
        <v>2.4</v>
      </c>
      <c r="AB1760" s="11">
        <v>0</v>
      </c>
      <c r="AC1760" s="11"/>
      <c r="AD1760" s="11" t="str">
        <f>IFERROR(__xludf.DUMMYFUNCTION("""COMPUTED_VALUE"""),"Jonathan Morgan Heit")</f>
        <v>Jonathan Morgan Heit</v>
      </c>
      <c r="AE1760" s="11"/>
    </row>
    <row r="1761" customHeight="1" spans="1:31">
      <c r="A1761" s="12" t="s">
        <v>30</v>
      </c>
      <c r="B1761" s="12" t="s">
        <v>112</v>
      </c>
      <c r="C1761" s="12">
        <v>287</v>
      </c>
      <c r="D1761" s="12">
        <v>110</v>
      </c>
      <c r="E1761" s="12">
        <v>0</v>
      </c>
      <c r="F1761" s="12">
        <v>1000</v>
      </c>
      <c r="G1761" s="12">
        <v>3000</v>
      </c>
      <c r="H1761" s="12">
        <v>58885635</v>
      </c>
      <c r="I1761" s="12" t="s">
        <v>4905</v>
      </c>
      <c r="J1761" s="12" t="s">
        <v>948</v>
      </c>
      <c r="K1761" s="12" t="s">
        <v>4373</v>
      </c>
      <c r="L1761" s="12" t="s">
        <v>1540</v>
      </c>
      <c r="M1761" s="12" t="s">
        <v>8878</v>
      </c>
      <c r="N1761" s="12">
        <v>194422</v>
      </c>
      <c r="O1761" s="12">
        <v>10438</v>
      </c>
      <c r="P1761" s="12">
        <v>0</v>
      </c>
      <c r="Q1761" s="12" t="s">
        <v>8879</v>
      </c>
      <c r="R1761" s="15" t="s">
        <v>8880</v>
      </c>
      <c r="S1761" s="12">
        <v>1057</v>
      </c>
      <c r="T1761" s="12" t="s">
        <v>39</v>
      </c>
      <c r="U1761" s="12" t="s">
        <v>40</v>
      </c>
      <c r="V1761" s="12" t="s">
        <v>586</v>
      </c>
      <c r="W1761" s="12">
        <v>26000000</v>
      </c>
      <c r="X1761" s="12">
        <v>2004</v>
      </c>
      <c r="Y1761" s="12">
        <v>2000</v>
      </c>
      <c r="Z1761" s="12">
        <v>7.4</v>
      </c>
      <c r="AA1761" s="12">
        <v>2.35</v>
      </c>
      <c r="AB1761" s="12">
        <v>7000</v>
      </c>
      <c r="AC1761" s="12"/>
      <c r="AD1761" s="12" t="str">
        <f>IFERROR(__xludf.DUMMYFUNCTION("""COMPUTED_VALUE"""),"Rudy Youngblood")</f>
        <v>Rudy Youngblood</v>
      </c>
      <c r="AE1761" s="12"/>
    </row>
    <row r="1762" customHeight="1" spans="1:31">
      <c r="A1762" s="11" t="s">
        <v>30</v>
      </c>
      <c r="B1762" s="11" t="s">
        <v>2613</v>
      </c>
      <c r="C1762" s="11">
        <v>108</v>
      </c>
      <c r="D1762" s="11">
        <v>103</v>
      </c>
      <c r="E1762" s="11">
        <v>163</v>
      </c>
      <c r="F1762" s="11">
        <v>968</v>
      </c>
      <c r="G1762" s="11">
        <v>11000</v>
      </c>
      <c r="H1762" s="11">
        <v>60400856</v>
      </c>
      <c r="I1762" s="11" t="s">
        <v>1681</v>
      </c>
      <c r="J1762" s="11" t="s">
        <v>661</v>
      </c>
      <c r="K1762" s="11" t="s">
        <v>236</v>
      </c>
      <c r="L1762" s="11" t="s">
        <v>8881</v>
      </c>
      <c r="M1762" s="11" t="s">
        <v>8882</v>
      </c>
      <c r="N1762" s="11">
        <v>61317</v>
      </c>
      <c r="O1762" s="11">
        <v>17533</v>
      </c>
      <c r="P1762" s="11">
        <v>2</v>
      </c>
      <c r="Q1762" s="11" t="s">
        <v>8883</v>
      </c>
      <c r="R1762" s="14" t="s">
        <v>8884</v>
      </c>
      <c r="S1762" s="11">
        <v>229</v>
      </c>
      <c r="T1762" s="11" t="s">
        <v>39</v>
      </c>
      <c r="U1762" s="11" t="s">
        <v>768</v>
      </c>
      <c r="V1762" s="11" t="s">
        <v>41</v>
      </c>
      <c r="W1762" s="11">
        <v>35000000</v>
      </c>
      <c r="X1762" s="11">
        <v>2001</v>
      </c>
      <c r="Y1762" s="11">
        <v>2000</v>
      </c>
      <c r="Z1762" s="11">
        <v>5.2</v>
      </c>
      <c r="AA1762" s="11">
        <v>2.35</v>
      </c>
      <c r="AB1762" s="11">
        <v>0</v>
      </c>
      <c r="AC1762" s="11"/>
      <c r="AD1762" s="11" t="str">
        <f>IFERROR(__xludf.DUMMYFUNCTION("""COMPUTED_VALUE"""),"Dalia Hernández")</f>
        <v>Dalia Hernández</v>
      </c>
      <c r="AE1762" s="11"/>
    </row>
    <row r="1763" customHeight="1" spans="1:31">
      <c r="A1763" s="12" t="s">
        <v>30</v>
      </c>
      <c r="B1763" s="12" t="s">
        <v>8885</v>
      </c>
      <c r="C1763" s="12">
        <v>62</v>
      </c>
      <c r="D1763" s="12">
        <v>115</v>
      </c>
      <c r="E1763" s="12">
        <v>21</v>
      </c>
      <c r="F1763" s="12">
        <v>47</v>
      </c>
      <c r="G1763" s="12">
        <v>173</v>
      </c>
      <c r="H1763" s="16"/>
      <c r="I1763" s="12" t="s">
        <v>8886</v>
      </c>
      <c r="J1763" s="12" t="s">
        <v>8887</v>
      </c>
      <c r="K1763" s="12" t="s">
        <v>8888</v>
      </c>
      <c r="L1763" s="12" t="s">
        <v>8889</v>
      </c>
      <c r="M1763" s="12" t="s">
        <v>8890</v>
      </c>
      <c r="N1763" s="12">
        <v>8227</v>
      </c>
      <c r="O1763" s="12">
        <v>386</v>
      </c>
      <c r="P1763" s="12">
        <v>0</v>
      </c>
      <c r="Q1763" s="12" t="s">
        <v>8891</v>
      </c>
      <c r="R1763" s="15" t="s">
        <v>8892</v>
      </c>
      <c r="S1763" s="12">
        <v>28</v>
      </c>
      <c r="T1763" s="12" t="s">
        <v>677</v>
      </c>
      <c r="U1763" s="12" t="s">
        <v>678</v>
      </c>
      <c r="V1763" s="12" t="s">
        <v>4831</v>
      </c>
      <c r="W1763" s="12">
        <v>30000000</v>
      </c>
      <c r="X1763" s="12">
        <v>2013</v>
      </c>
      <c r="Y1763" s="12">
        <v>59</v>
      </c>
      <c r="Z1763" s="12">
        <v>6.5</v>
      </c>
      <c r="AA1763" s="12">
        <v>2.35</v>
      </c>
      <c r="AB1763" s="12">
        <v>0</v>
      </c>
      <c r="AC1763" s="12"/>
      <c r="AD1763" s="12" t="str">
        <f>IFERROR(__xludf.DUMMYFUNCTION("""COMPUTED_VALUE"""),"Jonathan Brewer")</f>
        <v>Jonathan Brewer</v>
      </c>
      <c r="AE1763" s="12"/>
    </row>
    <row r="1764" customHeight="1" spans="1:31">
      <c r="A1764" s="11" t="s">
        <v>30</v>
      </c>
      <c r="B1764" s="11" t="s">
        <v>5383</v>
      </c>
      <c r="C1764" s="11">
        <v>220</v>
      </c>
      <c r="D1764" s="11">
        <v>110</v>
      </c>
      <c r="E1764" s="11">
        <v>0</v>
      </c>
      <c r="F1764" s="11">
        <v>327</v>
      </c>
      <c r="G1764" s="11">
        <v>13000</v>
      </c>
      <c r="H1764" s="11">
        <v>52353636</v>
      </c>
      <c r="I1764" s="11" t="s">
        <v>2528</v>
      </c>
      <c r="J1764" s="11" t="s">
        <v>549</v>
      </c>
      <c r="K1764" s="11" t="s">
        <v>3981</v>
      </c>
      <c r="L1764" s="11" t="s">
        <v>4745</v>
      </c>
      <c r="M1764" s="11" t="s">
        <v>8893</v>
      </c>
      <c r="N1764" s="11">
        <v>209133</v>
      </c>
      <c r="O1764" s="11">
        <v>14609</v>
      </c>
      <c r="P1764" s="11">
        <v>1</v>
      </c>
      <c r="Q1764" s="11" t="s">
        <v>8894</v>
      </c>
      <c r="R1764" s="14" t="s">
        <v>8895</v>
      </c>
      <c r="S1764" s="11">
        <v>962</v>
      </c>
      <c r="T1764" s="11" t="s">
        <v>39</v>
      </c>
      <c r="U1764" s="11" t="s">
        <v>40</v>
      </c>
      <c r="V1764" s="11" t="s">
        <v>586</v>
      </c>
      <c r="W1764" s="11">
        <v>21000000</v>
      </c>
      <c r="X1764" s="11">
        <v>2001</v>
      </c>
      <c r="Y1764" s="11">
        <v>1000</v>
      </c>
      <c r="Z1764" s="11">
        <v>7.6</v>
      </c>
      <c r="AA1764" s="11">
        <v>2.35</v>
      </c>
      <c r="AB1764" s="11">
        <v>0</v>
      </c>
      <c r="AC1764" s="11"/>
      <c r="AD1764" s="11" t="str">
        <f>IFERROR(__xludf.DUMMYFUNCTION("""COMPUTED_VALUE"""),"Topher Grace")</f>
        <v>Topher Grace</v>
      </c>
      <c r="AE1764" s="11"/>
    </row>
    <row r="1765" customHeight="1" spans="1:31">
      <c r="A1765" s="12" t="s">
        <v>30</v>
      </c>
      <c r="B1765" s="12" t="s">
        <v>1422</v>
      </c>
      <c r="C1765" s="12">
        <v>136</v>
      </c>
      <c r="D1765" s="12">
        <v>91</v>
      </c>
      <c r="E1765" s="12">
        <v>446</v>
      </c>
      <c r="F1765" s="12">
        <v>660</v>
      </c>
      <c r="G1765" s="12">
        <v>1000</v>
      </c>
      <c r="H1765" s="12">
        <v>51475962</v>
      </c>
      <c r="I1765" s="12" t="s">
        <v>852</v>
      </c>
      <c r="J1765" s="12" t="s">
        <v>6005</v>
      </c>
      <c r="K1765" s="12" t="s">
        <v>8896</v>
      </c>
      <c r="L1765" s="12" t="s">
        <v>1842</v>
      </c>
      <c r="M1765" s="12" t="s">
        <v>8897</v>
      </c>
      <c r="N1765" s="12">
        <v>177828</v>
      </c>
      <c r="O1765" s="12">
        <v>3969</v>
      </c>
      <c r="P1765" s="12">
        <v>0</v>
      </c>
      <c r="Q1765" s="12" t="s">
        <v>8898</v>
      </c>
      <c r="R1765" s="15" t="s">
        <v>8899</v>
      </c>
      <c r="S1765" s="12">
        <v>714</v>
      </c>
      <c r="T1765" s="12" t="s">
        <v>39</v>
      </c>
      <c r="U1765" s="12" t="s">
        <v>40</v>
      </c>
      <c r="V1765" s="12" t="s">
        <v>586</v>
      </c>
      <c r="W1765" s="12">
        <v>30000000</v>
      </c>
      <c r="X1765" s="12">
        <v>2003</v>
      </c>
      <c r="Y1765" s="12">
        <v>872</v>
      </c>
      <c r="Z1765" s="12">
        <v>7.3</v>
      </c>
      <c r="AA1765" s="12">
        <v>2.35</v>
      </c>
      <c r="AB1765" s="12">
        <v>11000</v>
      </c>
      <c r="AC1765" s="12"/>
      <c r="AD1765" s="12" t="str">
        <f>IFERROR(__xludf.DUMMYFUNCTION("""COMPUTED_VALUE"""),"Debra Winger")</f>
        <v>Debra Winger</v>
      </c>
      <c r="AE1765" s="12"/>
    </row>
    <row r="1766" customHeight="1" spans="1:31">
      <c r="A1766" s="11" t="s">
        <v>30</v>
      </c>
      <c r="B1766" s="11" t="s">
        <v>704</v>
      </c>
      <c r="C1766" s="11">
        <v>222</v>
      </c>
      <c r="D1766" s="11">
        <v>105</v>
      </c>
      <c r="E1766" s="11">
        <v>226</v>
      </c>
      <c r="F1766" s="11">
        <v>966</v>
      </c>
      <c r="G1766" s="11">
        <v>22000</v>
      </c>
      <c r="H1766" s="11">
        <v>63910583</v>
      </c>
      <c r="I1766" s="11" t="s">
        <v>1681</v>
      </c>
      <c r="J1766" s="11" t="s">
        <v>1746</v>
      </c>
      <c r="K1766" s="11" t="s">
        <v>466</v>
      </c>
      <c r="L1766" s="11" t="s">
        <v>3899</v>
      </c>
      <c r="M1766" s="11" t="s">
        <v>8900</v>
      </c>
      <c r="N1766" s="11">
        <v>106755</v>
      </c>
      <c r="O1766" s="11">
        <v>35694</v>
      </c>
      <c r="P1766" s="11">
        <v>2</v>
      </c>
      <c r="Q1766" s="11" t="s">
        <v>8901</v>
      </c>
      <c r="R1766" s="14" t="s">
        <v>8902</v>
      </c>
      <c r="S1766" s="11">
        <v>173</v>
      </c>
      <c r="T1766" s="11" t="s">
        <v>39</v>
      </c>
      <c r="U1766" s="11" t="s">
        <v>40</v>
      </c>
      <c r="V1766" s="11" t="s">
        <v>41</v>
      </c>
      <c r="W1766" s="11">
        <v>28000000</v>
      </c>
      <c r="X1766" s="11">
        <v>2013</v>
      </c>
      <c r="Y1766" s="11">
        <v>11000</v>
      </c>
      <c r="Z1766" s="11">
        <v>6.6</v>
      </c>
      <c r="AA1766" s="11">
        <v>2.35</v>
      </c>
      <c r="AB1766" s="11">
        <v>27000</v>
      </c>
      <c r="AC1766" s="11"/>
      <c r="AD1766" s="11" t="str">
        <f>IFERROR(__xludf.DUMMYFUNCTION("""COMPUTED_VALUE"""),"Roscoe Lee Browne")</f>
        <v>Roscoe Lee Browne</v>
      </c>
      <c r="AE1766" s="11"/>
    </row>
    <row r="1767" customHeight="1" spans="1:31">
      <c r="A1767" s="12" t="s">
        <v>30</v>
      </c>
      <c r="B1767" s="12" t="s">
        <v>6143</v>
      </c>
      <c r="C1767" s="12">
        <v>112</v>
      </c>
      <c r="D1767" s="12">
        <v>127</v>
      </c>
      <c r="E1767" s="12">
        <v>46</v>
      </c>
      <c r="F1767" s="12">
        <v>244</v>
      </c>
      <c r="G1767" s="12">
        <v>844</v>
      </c>
      <c r="H1767" s="12">
        <v>62300000</v>
      </c>
      <c r="I1767" s="12" t="s">
        <v>51</v>
      </c>
      <c r="J1767" s="12" t="s">
        <v>955</v>
      </c>
      <c r="K1767" s="12" t="s">
        <v>8903</v>
      </c>
      <c r="L1767" s="12" t="s">
        <v>1093</v>
      </c>
      <c r="M1767" s="12" t="s">
        <v>8904</v>
      </c>
      <c r="N1767" s="12">
        <v>72085</v>
      </c>
      <c r="O1767" s="12">
        <v>2118</v>
      </c>
      <c r="P1767" s="12">
        <v>1</v>
      </c>
      <c r="Q1767" s="12" t="s">
        <v>8905</v>
      </c>
      <c r="R1767" s="15" t="s">
        <v>8906</v>
      </c>
      <c r="S1767" s="12">
        <v>263</v>
      </c>
      <c r="T1767" s="12" t="s">
        <v>39</v>
      </c>
      <c r="U1767" s="12" t="s">
        <v>58</v>
      </c>
      <c r="V1767" s="12" t="s">
        <v>96</v>
      </c>
      <c r="W1767" s="12">
        <v>28000000</v>
      </c>
      <c r="X1767" s="12">
        <v>1981</v>
      </c>
      <c r="Y1767" s="12">
        <v>402</v>
      </c>
      <c r="Z1767" s="12">
        <v>6.8</v>
      </c>
      <c r="AA1767" s="12">
        <v>2.35</v>
      </c>
      <c r="AB1767" s="12">
        <v>2000</v>
      </c>
      <c r="AC1767" s="12"/>
      <c r="AD1767" s="12" t="str">
        <f>IFERROR(__xludf.DUMMYFUNCTION("""COMPUTED_VALUE"""),"Ebon Moss-Bachrach")</f>
        <v>Ebon Moss-Bachrach</v>
      </c>
      <c r="AE1767" s="12"/>
    </row>
    <row r="1768" customHeight="1" spans="1:31">
      <c r="A1768" s="11" t="s">
        <v>30</v>
      </c>
      <c r="B1768" s="11" t="s">
        <v>1680</v>
      </c>
      <c r="C1768" s="11">
        <v>122</v>
      </c>
      <c r="D1768" s="11">
        <v>82</v>
      </c>
      <c r="E1768" s="11">
        <v>23</v>
      </c>
      <c r="F1768" s="11">
        <v>6</v>
      </c>
      <c r="G1768" s="11">
        <v>11</v>
      </c>
      <c r="H1768" s="11">
        <v>49968653</v>
      </c>
      <c r="I1768" s="11" t="s">
        <v>1681</v>
      </c>
      <c r="J1768" s="11" t="s">
        <v>8907</v>
      </c>
      <c r="K1768" s="11" t="s">
        <v>8908</v>
      </c>
      <c r="L1768" s="11" t="s">
        <v>8909</v>
      </c>
      <c r="M1768" s="11" t="s">
        <v>8910</v>
      </c>
      <c r="N1768" s="11">
        <v>85423</v>
      </c>
      <c r="O1768" s="11">
        <v>37</v>
      </c>
      <c r="P1768" s="11">
        <v>0</v>
      </c>
      <c r="Q1768" s="11" t="s">
        <v>8911</v>
      </c>
      <c r="R1768" s="14" t="s">
        <v>8912</v>
      </c>
      <c r="S1768" s="11">
        <v>374</v>
      </c>
      <c r="T1768" s="11" t="s">
        <v>39</v>
      </c>
      <c r="U1768" s="11" t="s">
        <v>40</v>
      </c>
      <c r="V1768" s="11" t="s">
        <v>41</v>
      </c>
      <c r="W1768" s="11">
        <v>28000000</v>
      </c>
      <c r="X1768" s="11">
        <v>2001</v>
      </c>
      <c r="Y1768" s="11">
        <v>9</v>
      </c>
      <c r="Z1768" s="11">
        <v>6.9</v>
      </c>
      <c r="AA1768" s="11">
        <v>1.85</v>
      </c>
      <c r="AB1768" s="11">
        <v>12000</v>
      </c>
      <c r="AC1768" s="11"/>
      <c r="AD1768" s="11" t="str">
        <f>IFERROR(__xludf.DUMMYFUNCTION("""COMPUTED_VALUE"""),"Gena Rowlands")</f>
        <v>Gena Rowlands</v>
      </c>
      <c r="AE1768" s="11"/>
    </row>
    <row r="1769" customHeight="1" spans="1:31">
      <c r="A1769" s="12" t="s">
        <v>30</v>
      </c>
      <c r="B1769" s="12" t="s">
        <v>1820</v>
      </c>
      <c r="C1769" s="12">
        <v>62</v>
      </c>
      <c r="D1769" s="12">
        <v>99</v>
      </c>
      <c r="E1769" s="12">
        <v>0</v>
      </c>
      <c r="F1769" s="12">
        <v>186</v>
      </c>
      <c r="G1769" s="12">
        <v>664</v>
      </c>
      <c r="H1769" s="12">
        <v>44450000</v>
      </c>
      <c r="I1769" s="12" t="s">
        <v>1401</v>
      </c>
      <c r="J1769" s="12" t="s">
        <v>8913</v>
      </c>
      <c r="K1769" s="12" t="s">
        <v>2285</v>
      </c>
      <c r="L1769" s="12" t="s">
        <v>8914</v>
      </c>
      <c r="M1769" s="12" t="s">
        <v>8915</v>
      </c>
      <c r="N1769" s="12">
        <v>44394</v>
      </c>
      <c r="O1769" s="12">
        <v>2010</v>
      </c>
      <c r="P1769" s="12">
        <v>1</v>
      </c>
      <c r="Q1769" s="12" t="s">
        <v>8916</v>
      </c>
      <c r="R1769" s="15" t="s">
        <v>8917</v>
      </c>
      <c r="S1769" s="12">
        <v>115</v>
      </c>
      <c r="T1769" s="12" t="s">
        <v>39</v>
      </c>
      <c r="U1769" s="12" t="s">
        <v>269</v>
      </c>
      <c r="V1769" s="12" t="s">
        <v>586</v>
      </c>
      <c r="W1769" s="12">
        <v>27000000</v>
      </c>
      <c r="X1769" s="12">
        <v>1994</v>
      </c>
      <c r="Y1769" s="12">
        <v>655</v>
      </c>
      <c r="Z1769" s="12">
        <v>5.8</v>
      </c>
      <c r="AA1769" s="12">
        <v>2.35</v>
      </c>
      <c r="AB1769" s="12">
        <v>0</v>
      </c>
      <c r="AC1769" s="12"/>
      <c r="AD1769" s="12" t="str">
        <f>IFERROR(__xludf.DUMMYFUNCTION("""COMPUTED_VALUE"""),"Deneen Tyler")</f>
        <v>Deneen Tyler</v>
      </c>
      <c r="AE1769" s="12"/>
    </row>
    <row r="1770" customHeight="1" spans="1:31">
      <c r="A1770" s="11" t="s">
        <v>30</v>
      </c>
      <c r="B1770" s="11" t="s">
        <v>2113</v>
      </c>
      <c r="C1770" s="11">
        <v>135</v>
      </c>
      <c r="D1770" s="11">
        <v>90</v>
      </c>
      <c r="E1770" s="11">
        <v>0</v>
      </c>
      <c r="F1770" s="11">
        <v>8000</v>
      </c>
      <c r="G1770" s="11">
        <v>14000</v>
      </c>
      <c r="H1770" s="11">
        <v>45162741</v>
      </c>
      <c r="I1770" s="11" t="s">
        <v>1672</v>
      </c>
      <c r="J1770" s="11" t="s">
        <v>1973</v>
      </c>
      <c r="K1770" s="11" t="s">
        <v>229</v>
      </c>
      <c r="L1770" s="11" t="s">
        <v>1249</v>
      </c>
      <c r="M1770" s="11" t="s">
        <v>8918</v>
      </c>
      <c r="N1770" s="11">
        <v>201084</v>
      </c>
      <c r="O1770" s="11">
        <v>34565</v>
      </c>
      <c r="P1770" s="11">
        <v>0</v>
      </c>
      <c r="Q1770" s="11" t="s">
        <v>8919</v>
      </c>
      <c r="R1770" s="14" t="s">
        <v>8920</v>
      </c>
      <c r="S1770" s="11">
        <v>523</v>
      </c>
      <c r="T1770" s="11" t="s">
        <v>39</v>
      </c>
      <c r="U1770" s="11" t="s">
        <v>768</v>
      </c>
      <c r="V1770" s="11" t="s">
        <v>41</v>
      </c>
      <c r="W1770" s="11">
        <v>28000000</v>
      </c>
      <c r="X1770" s="11">
        <v>2001</v>
      </c>
      <c r="Y1770" s="11">
        <v>10000</v>
      </c>
      <c r="Z1770" s="11">
        <v>6.6</v>
      </c>
      <c r="AA1770" s="11">
        <v>2.35</v>
      </c>
      <c r="AB1770" s="11">
        <v>0</v>
      </c>
      <c r="AC1770" s="11"/>
      <c r="AD1770" s="11" t="str">
        <f>IFERROR(__xludf.DUMMYFUNCTION("""COMPUTED_VALUE"""),"Joy Bryant")</f>
        <v>Joy Bryant</v>
      </c>
      <c r="AE1770" s="11"/>
    </row>
    <row r="1771" customHeight="1" spans="1:31">
      <c r="A1771" s="12" t="s">
        <v>30</v>
      </c>
      <c r="B1771" s="12" t="s">
        <v>7636</v>
      </c>
      <c r="C1771" s="12">
        <v>184</v>
      </c>
      <c r="D1771" s="12">
        <v>115</v>
      </c>
      <c r="E1771" s="12">
        <v>529</v>
      </c>
      <c r="F1771" s="12">
        <v>325</v>
      </c>
      <c r="G1771" s="12">
        <v>576</v>
      </c>
      <c r="H1771" s="12">
        <v>71346930</v>
      </c>
      <c r="I1771" s="12" t="s">
        <v>8921</v>
      </c>
      <c r="J1771" s="12" t="s">
        <v>8922</v>
      </c>
      <c r="K1771" s="12" t="s">
        <v>8923</v>
      </c>
      <c r="L1771" s="12" t="s">
        <v>8924</v>
      </c>
      <c r="M1771" s="12" t="s">
        <v>8925</v>
      </c>
      <c r="N1771" s="12">
        <v>78008</v>
      </c>
      <c r="O1771" s="12">
        <v>1554</v>
      </c>
      <c r="P1771" s="12">
        <v>0</v>
      </c>
      <c r="Q1771" s="12" t="s">
        <v>8926</v>
      </c>
      <c r="R1771" s="15" t="s">
        <v>8927</v>
      </c>
      <c r="S1771" s="12">
        <v>160</v>
      </c>
      <c r="T1771" s="12" t="s">
        <v>39</v>
      </c>
      <c r="U1771" s="12" t="s">
        <v>40</v>
      </c>
      <c r="V1771" s="12" t="s">
        <v>41</v>
      </c>
      <c r="W1771" s="12">
        <v>28000000</v>
      </c>
      <c r="X1771" s="12">
        <v>2013</v>
      </c>
      <c r="Y1771" s="12">
        <v>447</v>
      </c>
      <c r="Z1771" s="12">
        <v>6.7</v>
      </c>
      <c r="AA1771" s="12">
        <v>2.35</v>
      </c>
      <c r="AB1771" s="12">
        <v>23000</v>
      </c>
      <c r="AC1771" s="12"/>
      <c r="AD1771" s="12" t="str">
        <f>IFERROR(__xludf.DUMMYFUNCTION("""COMPUTED_VALUE"""),"Busy Philipps")</f>
        <v>Busy Philipps</v>
      </c>
      <c r="AE1771" s="12"/>
    </row>
    <row r="1772" customHeight="1" spans="1:31">
      <c r="A1772" s="11" t="s">
        <v>30</v>
      </c>
      <c r="B1772" s="11" t="s">
        <v>4067</v>
      </c>
      <c r="C1772" s="11">
        <v>36</v>
      </c>
      <c r="D1772" s="11">
        <v>96</v>
      </c>
      <c r="E1772" s="11">
        <v>197</v>
      </c>
      <c r="F1772" s="11">
        <v>115</v>
      </c>
      <c r="G1772" s="11">
        <v>580</v>
      </c>
      <c r="H1772" s="11">
        <v>39514713</v>
      </c>
      <c r="I1772" s="11" t="s">
        <v>516</v>
      </c>
      <c r="J1772" s="11" t="s">
        <v>3729</v>
      </c>
      <c r="K1772" s="11" t="s">
        <v>8928</v>
      </c>
      <c r="L1772" s="11" t="s">
        <v>8929</v>
      </c>
      <c r="M1772" s="11" t="s">
        <v>8930</v>
      </c>
      <c r="N1772" s="11">
        <v>60494</v>
      </c>
      <c r="O1772" s="11">
        <v>1275</v>
      </c>
      <c r="P1772" s="11">
        <v>0</v>
      </c>
      <c r="Q1772" s="11" t="s">
        <v>8931</v>
      </c>
      <c r="R1772" s="14" t="s">
        <v>8932</v>
      </c>
      <c r="S1772" s="11">
        <v>132</v>
      </c>
      <c r="T1772" s="11" t="s">
        <v>39</v>
      </c>
      <c r="U1772" s="11" t="s">
        <v>40</v>
      </c>
      <c r="V1772" s="11" t="s">
        <v>96</v>
      </c>
      <c r="W1772" s="11">
        <v>28000000</v>
      </c>
      <c r="X1772" s="11">
        <v>1993</v>
      </c>
      <c r="Y1772" s="11">
        <v>336</v>
      </c>
      <c r="Z1772" s="11">
        <v>6.7</v>
      </c>
      <c r="AA1772" s="11">
        <v>1.85</v>
      </c>
      <c r="AB1772" s="11">
        <v>16000</v>
      </c>
      <c r="AC1772" s="11"/>
      <c r="AD1772" s="11" t="str">
        <f>IFERROR(__xludf.DUMMYFUNCTION("""COMPUTED_VALUE"""),"Beau Garrett")</f>
        <v>Beau Garrett</v>
      </c>
      <c r="AE1772" s="11"/>
    </row>
    <row r="1773" customHeight="1" spans="1:31">
      <c r="A1773" s="12" t="s">
        <v>30</v>
      </c>
      <c r="B1773" s="12" t="s">
        <v>7205</v>
      </c>
      <c r="C1773" s="12">
        <v>171</v>
      </c>
      <c r="D1773" s="12">
        <v>104</v>
      </c>
      <c r="E1773" s="12">
        <v>96</v>
      </c>
      <c r="F1773" s="12">
        <v>559</v>
      </c>
      <c r="G1773" s="12">
        <v>943</v>
      </c>
      <c r="H1773" s="12">
        <v>43097652</v>
      </c>
      <c r="I1773" s="12" t="s">
        <v>1415</v>
      </c>
      <c r="J1773" s="12" t="s">
        <v>847</v>
      </c>
      <c r="K1773" s="12" t="s">
        <v>8933</v>
      </c>
      <c r="L1773" s="12" t="s">
        <v>3355</v>
      </c>
      <c r="M1773" s="12" t="s">
        <v>8934</v>
      </c>
      <c r="N1773" s="12">
        <v>59068</v>
      </c>
      <c r="O1773" s="12">
        <v>3497</v>
      </c>
      <c r="P1773" s="12">
        <v>2</v>
      </c>
      <c r="Q1773" s="12" t="s">
        <v>8935</v>
      </c>
      <c r="R1773" s="15" t="s">
        <v>8936</v>
      </c>
      <c r="S1773" s="12">
        <v>128</v>
      </c>
      <c r="T1773" s="12" t="s">
        <v>39</v>
      </c>
      <c r="U1773" s="12" t="s">
        <v>40</v>
      </c>
      <c r="V1773" s="12" t="s">
        <v>96</v>
      </c>
      <c r="W1773" s="12">
        <v>28000000</v>
      </c>
      <c r="X1773" s="12">
        <v>2007</v>
      </c>
      <c r="Y1773" s="12">
        <v>763</v>
      </c>
      <c r="Z1773" s="12">
        <v>6.3</v>
      </c>
      <c r="AA1773" s="12">
        <v>2.35</v>
      </c>
      <c r="AB1773" s="12">
        <v>0</v>
      </c>
      <c r="AC1773" s="12"/>
      <c r="AD1773" s="12" t="str">
        <f>IFERROR(__xludf.DUMMYFUNCTION("""COMPUTED_VALUE"""),"Johnny Cannizzaro")</f>
        <v>Johnny Cannizzaro</v>
      </c>
      <c r="AE1773" s="12"/>
    </row>
    <row r="1774" customHeight="1" spans="1:31">
      <c r="A1774" s="11" t="s">
        <v>30</v>
      </c>
      <c r="B1774" s="11" t="s">
        <v>693</v>
      </c>
      <c r="C1774" s="11">
        <v>447</v>
      </c>
      <c r="D1774" s="11">
        <v>117</v>
      </c>
      <c r="E1774" s="11">
        <v>905</v>
      </c>
      <c r="F1774" s="11">
        <v>385</v>
      </c>
      <c r="G1774" s="11">
        <v>553</v>
      </c>
      <c r="H1774" s="11">
        <v>48043505</v>
      </c>
      <c r="I1774" s="11" t="s">
        <v>2137</v>
      </c>
      <c r="J1774" s="11" t="s">
        <v>8937</v>
      </c>
      <c r="K1774" s="11" t="s">
        <v>8938</v>
      </c>
      <c r="L1774" s="11" t="s">
        <v>1741</v>
      </c>
      <c r="M1774" s="11" t="s">
        <v>8939</v>
      </c>
      <c r="N1774" s="11">
        <v>435864</v>
      </c>
      <c r="O1774" s="11">
        <v>2357</v>
      </c>
      <c r="P1774" s="11">
        <v>1</v>
      </c>
      <c r="Q1774" s="11" t="s">
        <v>8940</v>
      </c>
      <c r="R1774" s="14" t="s">
        <v>8941</v>
      </c>
      <c r="S1774" s="11">
        <v>801</v>
      </c>
      <c r="T1774" s="11" t="s">
        <v>39</v>
      </c>
      <c r="U1774" s="11" t="s">
        <v>58</v>
      </c>
      <c r="V1774" s="11" t="s">
        <v>586</v>
      </c>
      <c r="W1774" s="11">
        <v>30000000</v>
      </c>
      <c r="X1774" s="11">
        <v>2010</v>
      </c>
      <c r="Y1774" s="11">
        <v>488</v>
      </c>
      <c r="Z1774" s="11">
        <v>7.7</v>
      </c>
      <c r="AA1774" s="11">
        <v>2.35</v>
      </c>
      <c r="AB1774" s="11">
        <v>36000</v>
      </c>
      <c r="AC1774" s="11"/>
      <c r="AD1774" s="11" t="str">
        <f>IFERROR(__xludf.DUMMYFUNCTION("""COMPUTED_VALUE"""),"Steve Schirripa")</f>
        <v>Steve Schirripa</v>
      </c>
      <c r="AE1774" s="11"/>
    </row>
    <row r="1775" customHeight="1" spans="1:31">
      <c r="A1775" s="12" t="s">
        <v>30</v>
      </c>
      <c r="B1775" s="12" t="s">
        <v>4213</v>
      </c>
      <c r="C1775" s="12">
        <v>220</v>
      </c>
      <c r="D1775" s="12">
        <v>83</v>
      </c>
      <c r="E1775" s="12">
        <v>181</v>
      </c>
      <c r="F1775" s="12">
        <v>459</v>
      </c>
      <c r="G1775" s="12">
        <v>731</v>
      </c>
      <c r="H1775" s="12">
        <v>37053924</v>
      </c>
      <c r="I1775" s="12" t="s">
        <v>1753</v>
      </c>
      <c r="J1775" s="12" t="s">
        <v>4144</v>
      </c>
      <c r="K1775" s="12" t="s">
        <v>8942</v>
      </c>
      <c r="L1775" s="12" t="s">
        <v>3986</v>
      </c>
      <c r="M1775" s="12" t="s">
        <v>8943</v>
      </c>
      <c r="N1775" s="12">
        <v>77935</v>
      </c>
      <c r="O1775" s="12">
        <v>1987</v>
      </c>
      <c r="P1775" s="12">
        <v>3</v>
      </c>
      <c r="Q1775" s="12" t="s">
        <v>8944</v>
      </c>
      <c r="R1775" s="15" t="s">
        <v>8945</v>
      </c>
      <c r="S1775" s="12">
        <v>122</v>
      </c>
      <c r="T1775" s="12" t="s">
        <v>39</v>
      </c>
      <c r="U1775" s="12" t="s">
        <v>768</v>
      </c>
      <c r="V1775" s="12" t="s">
        <v>586</v>
      </c>
      <c r="W1775" s="12">
        <v>28000000</v>
      </c>
      <c r="X1775" s="12">
        <v>2011</v>
      </c>
      <c r="Y1775" s="12">
        <v>579</v>
      </c>
      <c r="Z1775" s="12">
        <v>6.1</v>
      </c>
      <c r="AA1775" s="12">
        <v>2.35</v>
      </c>
      <c r="AB1775" s="12">
        <v>0</v>
      </c>
      <c r="AC1775" s="12"/>
      <c r="AD1775" s="12" t="str">
        <f>IFERROR(__xludf.DUMMYFUNCTION("""COMPUTED_VALUE"""),"Scott Vance")</f>
        <v>Scott Vance</v>
      </c>
      <c r="AE1775" s="12"/>
    </row>
    <row r="1776" customHeight="1" spans="1:31">
      <c r="A1776" s="11" t="s">
        <v>30</v>
      </c>
      <c r="B1776" s="11" t="s">
        <v>5487</v>
      </c>
      <c r="C1776" s="11">
        <v>122</v>
      </c>
      <c r="D1776" s="11">
        <v>99</v>
      </c>
      <c r="E1776" s="11">
        <v>71</v>
      </c>
      <c r="F1776" s="11">
        <v>1000</v>
      </c>
      <c r="G1776" s="11">
        <v>18000</v>
      </c>
      <c r="H1776" s="11">
        <v>33000377</v>
      </c>
      <c r="I1776" s="11" t="s">
        <v>8946</v>
      </c>
      <c r="J1776" s="11" t="s">
        <v>641</v>
      </c>
      <c r="K1776" s="11" t="s">
        <v>5056</v>
      </c>
      <c r="L1776" s="11" t="s">
        <v>8947</v>
      </c>
      <c r="M1776" s="11" t="s">
        <v>8948</v>
      </c>
      <c r="N1776" s="11">
        <v>27378</v>
      </c>
      <c r="O1776" s="11">
        <v>23344</v>
      </c>
      <c r="P1776" s="11">
        <v>0</v>
      </c>
      <c r="Q1776" s="11" t="s">
        <v>8949</v>
      </c>
      <c r="R1776" s="14" t="s">
        <v>8950</v>
      </c>
      <c r="S1776" s="11">
        <v>365</v>
      </c>
      <c r="T1776" s="11" t="s">
        <v>39</v>
      </c>
      <c r="U1776" s="11" t="s">
        <v>40</v>
      </c>
      <c r="V1776" s="11" t="s">
        <v>586</v>
      </c>
      <c r="W1776" s="11">
        <v>28000000</v>
      </c>
      <c r="X1776" s="11">
        <v>2000</v>
      </c>
      <c r="Y1776" s="11">
        <v>1000</v>
      </c>
      <c r="Z1776" s="11">
        <v>4.9</v>
      </c>
      <c r="AA1776" s="11">
        <v>2.35</v>
      </c>
      <c r="AB1776" s="11">
        <v>0</v>
      </c>
      <c r="AC1776" s="11"/>
      <c r="AD1776" s="11" t="str">
        <f>IFERROR(__xludf.DUMMYFUNCTION("""COMPUTED_VALUE"""),"Lorraine Bracco")</f>
        <v>Lorraine Bracco</v>
      </c>
      <c r="AE1776" s="11"/>
    </row>
    <row r="1777" customHeight="1" spans="1:31">
      <c r="A1777" s="12" t="s">
        <v>30</v>
      </c>
      <c r="B1777" s="12" t="s">
        <v>8951</v>
      </c>
      <c r="C1777" s="12">
        <v>119</v>
      </c>
      <c r="D1777" s="12">
        <v>81</v>
      </c>
      <c r="E1777" s="12">
        <v>44</v>
      </c>
      <c r="F1777" s="12">
        <v>3000</v>
      </c>
      <c r="G1777" s="12">
        <v>35000</v>
      </c>
      <c r="H1777" s="12">
        <v>66950483</v>
      </c>
      <c r="I1777" s="12" t="s">
        <v>3057</v>
      </c>
      <c r="J1777" s="12" t="s">
        <v>2169</v>
      </c>
      <c r="K1777" s="12" t="s">
        <v>518</v>
      </c>
      <c r="L1777" s="12" t="s">
        <v>750</v>
      </c>
      <c r="M1777" s="12" t="s">
        <v>8952</v>
      </c>
      <c r="N1777" s="12">
        <v>29738</v>
      </c>
      <c r="O1777" s="12">
        <v>47677</v>
      </c>
      <c r="P1777" s="12">
        <v>6</v>
      </c>
      <c r="Q1777" s="12" t="s">
        <v>8953</v>
      </c>
      <c r="R1777" s="15" t="s">
        <v>8954</v>
      </c>
      <c r="S1777" s="12">
        <v>85</v>
      </c>
      <c r="T1777" s="12" t="s">
        <v>39</v>
      </c>
      <c r="U1777" s="12" t="s">
        <v>40</v>
      </c>
      <c r="V1777" s="12" t="s">
        <v>96</v>
      </c>
      <c r="W1777" s="12">
        <v>28000000</v>
      </c>
      <c r="X1777" s="12">
        <v>2014</v>
      </c>
      <c r="Y1777" s="12">
        <v>7000</v>
      </c>
      <c r="Z1777" s="12">
        <v>6.2</v>
      </c>
      <c r="AA1777" s="12">
        <v>2.39</v>
      </c>
      <c r="AB1777" s="12">
        <v>12000</v>
      </c>
      <c r="AC1777" s="12"/>
      <c r="AD1777" s="12" t="str">
        <f>IFERROR(__xludf.DUMMYFUNCTION("""COMPUTED_VALUE"""),"José Wilker")</f>
        <v>José Wilker</v>
      </c>
      <c r="AE1777" s="12"/>
    </row>
    <row r="1778" customHeight="1" spans="1:31">
      <c r="A1778" s="11" t="s">
        <v>30</v>
      </c>
      <c r="B1778" s="11" t="s">
        <v>941</v>
      </c>
      <c r="C1778" s="11">
        <v>177</v>
      </c>
      <c r="D1778" s="11">
        <v>135</v>
      </c>
      <c r="E1778" s="11">
        <v>456</v>
      </c>
      <c r="F1778" s="11">
        <v>241</v>
      </c>
      <c r="G1778" s="11">
        <v>422</v>
      </c>
      <c r="H1778" s="11">
        <v>38372662</v>
      </c>
      <c r="I1778" s="11" t="s">
        <v>214</v>
      </c>
      <c r="J1778" s="11" t="s">
        <v>8955</v>
      </c>
      <c r="K1778" s="11" t="s">
        <v>8312</v>
      </c>
      <c r="L1778" s="11" t="s">
        <v>8956</v>
      </c>
      <c r="M1778" s="11" t="s">
        <v>8957</v>
      </c>
      <c r="N1778" s="11">
        <v>193455</v>
      </c>
      <c r="O1778" s="11">
        <v>1083</v>
      </c>
      <c r="P1778" s="11">
        <v>2</v>
      </c>
      <c r="Q1778" s="11" t="s">
        <v>8958</v>
      </c>
      <c r="R1778" s="14" t="s">
        <v>8959</v>
      </c>
      <c r="S1778" s="11">
        <v>1058</v>
      </c>
      <c r="T1778" s="11" t="s">
        <v>39</v>
      </c>
      <c r="U1778" s="11" t="s">
        <v>1466</v>
      </c>
      <c r="V1778" s="11" t="s">
        <v>96</v>
      </c>
      <c r="W1778" s="11">
        <v>28000000</v>
      </c>
      <c r="X1778" s="11">
        <v>2005</v>
      </c>
      <c r="Y1778" s="11">
        <v>286</v>
      </c>
      <c r="Z1778" s="11">
        <v>7.8</v>
      </c>
      <c r="AA1778" s="11">
        <v>2.35</v>
      </c>
      <c r="AB1778" s="11">
        <v>17000</v>
      </c>
      <c r="AC1778" s="11"/>
      <c r="AD1778" s="11" t="str">
        <f>IFERROR(__xludf.DUMMYFUNCTION("""COMPUTED_VALUE"""),"Sean Connery")</f>
        <v>Sean Connery</v>
      </c>
      <c r="AE1778" s="11"/>
    </row>
    <row r="1779" customHeight="1" spans="1:31">
      <c r="A1779" s="12" t="s">
        <v>30</v>
      </c>
      <c r="B1779" s="12" t="s">
        <v>188</v>
      </c>
      <c r="C1779" s="12">
        <v>302</v>
      </c>
      <c r="D1779" s="12">
        <v>117</v>
      </c>
      <c r="E1779" s="12">
        <v>0</v>
      </c>
      <c r="F1779" s="12">
        <v>521</v>
      </c>
      <c r="G1779" s="12">
        <v>11000</v>
      </c>
      <c r="H1779" s="12">
        <v>27000000</v>
      </c>
      <c r="I1779" s="12" t="s">
        <v>2954</v>
      </c>
      <c r="J1779" s="12" t="s">
        <v>391</v>
      </c>
      <c r="K1779" s="12" t="s">
        <v>8960</v>
      </c>
      <c r="L1779" s="12" t="s">
        <v>5379</v>
      </c>
      <c r="M1779" s="12" t="s">
        <v>8961</v>
      </c>
      <c r="N1779" s="12">
        <v>461609</v>
      </c>
      <c r="O1779" s="12">
        <v>13877</v>
      </c>
      <c r="P1779" s="12">
        <v>2</v>
      </c>
      <c r="Q1779" s="12" t="s">
        <v>8962</v>
      </c>
      <c r="R1779" s="15" t="s">
        <v>8963</v>
      </c>
      <c r="S1779" s="12">
        <v>1168</v>
      </c>
      <c r="T1779" s="12" t="s">
        <v>39</v>
      </c>
      <c r="U1779" s="12" t="s">
        <v>40</v>
      </c>
      <c r="V1779" s="12" t="s">
        <v>586</v>
      </c>
      <c r="W1779" s="12">
        <v>28000000</v>
      </c>
      <c r="X1779" s="12">
        <v>1982</v>
      </c>
      <c r="Y1779" s="12">
        <v>759</v>
      </c>
      <c r="Z1779" s="12">
        <v>8.2</v>
      </c>
      <c r="AA1779" s="12">
        <v>2.35</v>
      </c>
      <c r="AB1779" s="12">
        <v>34000</v>
      </c>
      <c r="AC1779" s="12"/>
      <c r="AD1779" s="12" t="str">
        <f>IFERROR(__xludf.DUMMYFUNCTION("""COMPUTED_VALUE"""),"Sam Trammell")</f>
        <v>Sam Trammell</v>
      </c>
      <c r="AE1779" s="12"/>
    </row>
    <row r="1780" customHeight="1" spans="1:31">
      <c r="A1780" s="11" t="s">
        <v>30</v>
      </c>
      <c r="B1780" s="11" t="s">
        <v>3517</v>
      </c>
      <c r="C1780" s="11">
        <v>44</v>
      </c>
      <c r="D1780" s="11">
        <v>139</v>
      </c>
      <c r="E1780" s="11">
        <v>105</v>
      </c>
      <c r="F1780" s="11">
        <v>902</v>
      </c>
      <c r="G1780" s="11">
        <v>14000</v>
      </c>
      <c r="H1780" s="11">
        <v>31600000</v>
      </c>
      <c r="I1780" s="11" t="s">
        <v>8964</v>
      </c>
      <c r="J1780" s="11" t="s">
        <v>228</v>
      </c>
      <c r="K1780" s="11" t="s">
        <v>688</v>
      </c>
      <c r="L1780" s="11" t="s">
        <v>5783</v>
      </c>
      <c r="M1780" s="11" t="s">
        <v>8965</v>
      </c>
      <c r="N1780" s="11">
        <v>34427</v>
      </c>
      <c r="O1780" s="11">
        <v>16125</v>
      </c>
      <c r="P1780" s="11">
        <v>1</v>
      </c>
      <c r="Q1780" s="11" t="s">
        <v>8966</v>
      </c>
      <c r="R1780" s="14" t="s">
        <v>8967</v>
      </c>
      <c r="S1780" s="11">
        <v>126</v>
      </c>
      <c r="T1780" s="11" t="s">
        <v>39</v>
      </c>
      <c r="U1780" s="11" t="s">
        <v>40</v>
      </c>
      <c r="V1780" s="11" t="s">
        <v>586</v>
      </c>
      <c r="W1780" s="11">
        <v>28000000</v>
      </c>
      <c r="X1780" s="11">
        <v>1995</v>
      </c>
      <c r="Y1780" s="11">
        <v>1000</v>
      </c>
      <c r="Z1780" s="11">
        <v>6.9</v>
      </c>
      <c r="AA1780" s="11">
        <v>2.35</v>
      </c>
      <c r="AB1780" s="11">
        <v>0</v>
      </c>
      <c r="AC1780" s="11"/>
      <c r="AD1780" s="11" t="str">
        <f>IFERROR(__xludf.DUMMYFUNCTION("""COMPUTED_VALUE"""),"Johnny Lewis")</f>
        <v>Johnny Lewis</v>
      </c>
      <c r="AE1780" s="11"/>
    </row>
    <row r="1781" customHeight="1" spans="1:31">
      <c r="A1781" s="12" t="s">
        <v>30</v>
      </c>
      <c r="B1781" s="12" t="s">
        <v>328</v>
      </c>
      <c r="C1781" s="12">
        <v>211</v>
      </c>
      <c r="D1781" s="12">
        <v>123</v>
      </c>
      <c r="E1781" s="12">
        <v>368</v>
      </c>
      <c r="F1781" s="12">
        <v>114</v>
      </c>
      <c r="G1781" s="12">
        <v>933</v>
      </c>
      <c r="H1781" s="12">
        <v>30688364</v>
      </c>
      <c r="I1781" s="12" t="s">
        <v>923</v>
      </c>
      <c r="J1781" s="12" t="s">
        <v>1694</v>
      </c>
      <c r="K1781" s="12" t="s">
        <v>8968</v>
      </c>
      <c r="L1781" s="12" t="s">
        <v>8969</v>
      </c>
      <c r="M1781" s="12" t="s">
        <v>8970</v>
      </c>
      <c r="N1781" s="12">
        <v>69355</v>
      </c>
      <c r="O1781" s="12">
        <v>1286</v>
      </c>
      <c r="P1781" s="12">
        <v>0</v>
      </c>
      <c r="Q1781" s="12" t="s">
        <v>8971</v>
      </c>
      <c r="R1781" s="15" t="s">
        <v>8972</v>
      </c>
      <c r="S1781" s="12">
        <v>211</v>
      </c>
      <c r="T1781" s="12" t="s">
        <v>39</v>
      </c>
      <c r="U1781" s="12" t="s">
        <v>40</v>
      </c>
      <c r="V1781" s="12" t="s">
        <v>41</v>
      </c>
      <c r="W1781" s="12">
        <v>28000000</v>
      </c>
      <c r="X1781" s="12">
        <v>2014</v>
      </c>
      <c r="Y1781" s="12">
        <v>194</v>
      </c>
      <c r="Z1781" s="12">
        <v>6.2</v>
      </c>
      <c r="AA1781" s="12">
        <v>2.35</v>
      </c>
      <c r="AB1781" s="12">
        <v>10000</v>
      </c>
      <c r="AC1781" s="12"/>
      <c r="AD1781" s="12" t="str">
        <f>IFERROR(__xludf.DUMMYFUNCTION("""COMPUTED_VALUE"""),"Ian Whyte")</f>
        <v>Ian Whyte</v>
      </c>
      <c r="AE1781" s="12"/>
    </row>
    <row r="1782" customHeight="1" spans="1:31">
      <c r="A1782" s="11" t="s">
        <v>30</v>
      </c>
      <c r="B1782" s="11" t="s">
        <v>8973</v>
      </c>
      <c r="C1782" s="11">
        <v>222</v>
      </c>
      <c r="D1782" s="11">
        <v>117</v>
      </c>
      <c r="E1782" s="11">
        <v>115</v>
      </c>
      <c r="F1782" s="11">
        <v>97</v>
      </c>
      <c r="G1782" s="11">
        <v>3000</v>
      </c>
      <c r="H1782" s="11">
        <v>28563179</v>
      </c>
      <c r="I1782" s="11" t="s">
        <v>2126</v>
      </c>
      <c r="J1782" s="11" t="s">
        <v>1689</v>
      </c>
      <c r="K1782" s="11" t="s">
        <v>8974</v>
      </c>
      <c r="L1782" s="11" t="s">
        <v>8975</v>
      </c>
      <c r="M1782" s="11" t="s">
        <v>8976</v>
      </c>
      <c r="N1782" s="11">
        <v>72693</v>
      </c>
      <c r="O1782" s="11">
        <v>3681</v>
      </c>
      <c r="P1782" s="11">
        <v>4</v>
      </c>
      <c r="Q1782" s="11" t="s">
        <v>8977</v>
      </c>
      <c r="R1782" s="14" t="s">
        <v>8978</v>
      </c>
      <c r="S1782" s="11">
        <v>199</v>
      </c>
      <c r="T1782" s="11" t="s">
        <v>39</v>
      </c>
      <c r="U1782" s="11" t="s">
        <v>40</v>
      </c>
      <c r="V1782" s="11" t="s">
        <v>586</v>
      </c>
      <c r="W1782" s="11">
        <v>21000000</v>
      </c>
      <c r="X1782" s="11">
        <v>2007</v>
      </c>
      <c r="Y1782" s="11">
        <v>327</v>
      </c>
      <c r="Z1782" s="11">
        <v>6.9</v>
      </c>
      <c r="AA1782" s="11">
        <v>1.85</v>
      </c>
      <c r="AB1782" s="11">
        <v>0</v>
      </c>
      <c r="AC1782" s="11"/>
      <c r="AD1782" s="11" t="str">
        <f>IFERROR(__xludf.DUMMYFUNCTION("""COMPUTED_VALUE"""),"Macaulay Culkin")</f>
        <v>Macaulay Culkin</v>
      </c>
      <c r="AE1782" s="11"/>
    </row>
    <row r="1783" customHeight="1" spans="1:31">
      <c r="A1783" s="12" t="s">
        <v>30</v>
      </c>
      <c r="B1783" s="12" t="s">
        <v>8979</v>
      </c>
      <c r="C1783" s="12">
        <v>100</v>
      </c>
      <c r="D1783" s="12">
        <v>97</v>
      </c>
      <c r="E1783" s="12">
        <v>710</v>
      </c>
      <c r="F1783" s="12">
        <v>258</v>
      </c>
      <c r="G1783" s="12">
        <v>497</v>
      </c>
      <c r="H1783" s="12">
        <v>16779636</v>
      </c>
      <c r="I1783" s="12" t="s">
        <v>4384</v>
      </c>
      <c r="J1783" s="12" t="s">
        <v>3538</v>
      </c>
      <c r="K1783" s="12" t="s">
        <v>8980</v>
      </c>
      <c r="L1783" s="12" t="s">
        <v>8981</v>
      </c>
      <c r="M1783" s="12" t="s">
        <v>8982</v>
      </c>
      <c r="N1783" s="12">
        <v>9338</v>
      </c>
      <c r="O1783" s="12">
        <v>1805</v>
      </c>
      <c r="P1783" s="12">
        <v>2</v>
      </c>
      <c r="Q1783" s="12" t="s">
        <v>8983</v>
      </c>
      <c r="R1783" s="15" t="s">
        <v>8984</v>
      </c>
      <c r="S1783" s="12">
        <v>167</v>
      </c>
      <c r="T1783" s="12" t="s">
        <v>39</v>
      </c>
      <c r="U1783" s="12" t="s">
        <v>40</v>
      </c>
      <c r="V1783" s="12" t="s">
        <v>586</v>
      </c>
      <c r="W1783" s="12">
        <v>28000000</v>
      </c>
      <c r="X1783" s="12">
        <v>2000</v>
      </c>
      <c r="Y1783" s="12">
        <v>347</v>
      </c>
      <c r="Z1783" s="12">
        <v>4.8</v>
      </c>
      <c r="AA1783" s="12">
        <v>2.35</v>
      </c>
      <c r="AB1783" s="12">
        <v>209</v>
      </c>
      <c r="AC1783" s="12"/>
      <c r="AD1783" s="12" t="str">
        <f>IFERROR(__xludf.DUMMYFUNCTION("""COMPUTED_VALUE"""),"John Larroquette")</f>
        <v>John Larroquette</v>
      </c>
      <c r="AE1783" s="12"/>
    </row>
    <row r="1784" customHeight="1" spans="1:31">
      <c r="A1784" s="11" t="s">
        <v>30</v>
      </c>
      <c r="B1784" s="11" t="s">
        <v>2889</v>
      </c>
      <c r="C1784" s="11">
        <v>100</v>
      </c>
      <c r="D1784" s="11">
        <v>81</v>
      </c>
      <c r="E1784" s="11">
        <v>63</v>
      </c>
      <c r="F1784" s="13"/>
      <c r="G1784" s="11">
        <v>63</v>
      </c>
      <c r="H1784" s="11">
        <v>10762178</v>
      </c>
      <c r="I1784" s="11" t="s">
        <v>68</v>
      </c>
      <c r="J1784" s="11" t="s">
        <v>2889</v>
      </c>
      <c r="K1784" s="11" t="s">
        <v>8985</v>
      </c>
      <c r="L1784" s="13"/>
      <c r="M1784" s="11" t="s">
        <v>8986</v>
      </c>
      <c r="N1784" s="11">
        <v>10369</v>
      </c>
      <c r="O1784" s="11">
        <v>66</v>
      </c>
      <c r="P1784" s="11">
        <v>0</v>
      </c>
      <c r="Q1784" s="11" t="s">
        <v>8987</v>
      </c>
      <c r="R1784" s="14" t="s">
        <v>8988</v>
      </c>
      <c r="S1784" s="11">
        <v>153</v>
      </c>
      <c r="T1784" s="11" t="s">
        <v>39</v>
      </c>
      <c r="U1784" s="11" t="s">
        <v>1466</v>
      </c>
      <c r="V1784" s="11" t="s">
        <v>278</v>
      </c>
      <c r="W1784" s="11">
        <v>160000000</v>
      </c>
      <c r="X1784" s="11">
        <v>2001</v>
      </c>
      <c r="Y1784" s="11">
        <v>3</v>
      </c>
      <c r="Z1784" s="11">
        <v>8</v>
      </c>
      <c r="AA1784" s="11">
        <v>1.85</v>
      </c>
      <c r="AB1784" s="11">
        <v>1000</v>
      </c>
      <c r="AC1784" s="11"/>
      <c r="AD1784" s="11" t="str">
        <f>IFERROR(__xludf.DUMMYFUNCTION("""COMPUTED_VALUE"""),"Jonathan Hyde")</f>
        <v>Jonathan Hyde</v>
      </c>
      <c r="AE1784" s="11"/>
    </row>
    <row r="1785" customHeight="1" spans="1:31">
      <c r="A1785" s="12" t="s">
        <v>30</v>
      </c>
      <c r="B1785" s="12" t="s">
        <v>4240</v>
      </c>
      <c r="C1785" s="12">
        <v>98</v>
      </c>
      <c r="D1785" s="12">
        <v>103</v>
      </c>
      <c r="E1785" s="12">
        <v>80</v>
      </c>
      <c r="F1785" s="12">
        <v>585</v>
      </c>
      <c r="G1785" s="12">
        <v>806</v>
      </c>
      <c r="H1785" s="12">
        <v>17324744</v>
      </c>
      <c r="I1785" s="12" t="s">
        <v>3632</v>
      </c>
      <c r="J1785" s="12" t="s">
        <v>8989</v>
      </c>
      <c r="K1785" s="12" t="s">
        <v>4695</v>
      </c>
      <c r="L1785" s="12" t="s">
        <v>5227</v>
      </c>
      <c r="M1785" s="12" t="s">
        <v>8990</v>
      </c>
      <c r="N1785" s="12">
        <v>44103</v>
      </c>
      <c r="O1785" s="12">
        <v>3211</v>
      </c>
      <c r="P1785" s="12">
        <v>3</v>
      </c>
      <c r="Q1785" s="12" t="s">
        <v>8991</v>
      </c>
      <c r="R1785" s="15" t="s">
        <v>8992</v>
      </c>
      <c r="S1785" s="12">
        <v>149</v>
      </c>
      <c r="T1785" s="12" t="s">
        <v>39</v>
      </c>
      <c r="U1785" s="12" t="s">
        <v>40</v>
      </c>
      <c r="V1785" s="12" t="s">
        <v>41</v>
      </c>
      <c r="W1785" s="12">
        <v>28000000</v>
      </c>
      <c r="X1785" s="12">
        <v>2006</v>
      </c>
      <c r="Y1785" s="12">
        <v>591</v>
      </c>
      <c r="Z1785" s="12">
        <v>5.3</v>
      </c>
      <c r="AA1785" s="12">
        <v>1.85</v>
      </c>
      <c r="AB1785" s="12">
        <v>0</v>
      </c>
      <c r="AC1785" s="12"/>
      <c r="AD1785" s="12" t="str">
        <f>IFERROR(__xludf.DUMMYFUNCTION("""COMPUTED_VALUE"""),"Bobby Lee")</f>
        <v>Bobby Lee</v>
      </c>
      <c r="AE1785" s="12"/>
    </row>
    <row r="1786" customHeight="1" spans="1:31">
      <c r="A1786" s="11" t="s">
        <v>30</v>
      </c>
      <c r="B1786" s="11" t="s">
        <v>1966</v>
      </c>
      <c r="C1786" s="11">
        <v>74</v>
      </c>
      <c r="D1786" s="11">
        <v>119</v>
      </c>
      <c r="E1786" s="11">
        <v>116</v>
      </c>
      <c r="F1786" s="11">
        <v>385</v>
      </c>
      <c r="G1786" s="11">
        <v>738</v>
      </c>
      <c r="H1786" s="11">
        <v>8888143</v>
      </c>
      <c r="I1786" s="11" t="s">
        <v>6283</v>
      </c>
      <c r="J1786" s="11" t="s">
        <v>192</v>
      </c>
      <c r="K1786" s="11" t="s">
        <v>8993</v>
      </c>
      <c r="L1786" s="11" t="s">
        <v>8994</v>
      </c>
      <c r="M1786" s="11" t="s">
        <v>8995</v>
      </c>
      <c r="N1786" s="11">
        <v>22250</v>
      </c>
      <c r="O1786" s="11">
        <v>2171</v>
      </c>
      <c r="P1786" s="11">
        <v>0</v>
      </c>
      <c r="Q1786" s="11" t="s">
        <v>8996</v>
      </c>
      <c r="R1786" s="14" t="s">
        <v>8997</v>
      </c>
      <c r="S1786" s="11">
        <v>123</v>
      </c>
      <c r="T1786" s="11" t="s">
        <v>39</v>
      </c>
      <c r="U1786" s="11" t="s">
        <v>269</v>
      </c>
      <c r="V1786" s="11" t="s">
        <v>586</v>
      </c>
      <c r="W1786" s="11">
        <v>28000000</v>
      </c>
      <c r="X1786" s="11">
        <v>1999</v>
      </c>
      <c r="Y1786" s="11">
        <v>428</v>
      </c>
      <c r="Z1786" s="11">
        <v>6.7</v>
      </c>
      <c r="AA1786" s="11">
        <v>2.35</v>
      </c>
      <c r="AB1786" s="11">
        <v>913</v>
      </c>
      <c r="AC1786" s="11"/>
      <c r="AD1786" s="11" t="str">
        <f>IFERROR(__xludf.DUMMYFUNCTION("""COMPUTED_VALUE"""),"Nelson Ascencio")</f>
        <v>Nelson Ascencio</v>
      </c>
      <c r="AE1786" s="11"/>
    </row>
    <row r="1787" customHeight="1" spans="1:31">
      <c r="A1787" s="12" t="s">
        <v>30</v>
      </c>
      <c r="B1787" s="12" t="s">
        <v>4108</v>
      </c>
      <c r="C1787" s="12">
        <v>97</v>
      </c>
      <c r="D1787" s="12">
        <v>94</v>
      </c>
      <c r="E1787" s="12">
        <v>32</v>
      </c>
      <c r="F1787" s="12">
        <v>453</v>
      </c>
      <c r="G1787" s="12">
        <v>1000</v>
      </c>
      <c r="H1787" s="12">
        <v>24268828</v>
      </c>
      <c r="I1787" s="12" t="s">
        <v>8998</v>
      </c>
      <c r="J1787" s="12" t="s">
        <v>4685</v>
      </c>
      <c r="K1787" s="12" t="s">
        <v>2095</v>
      </c>
      <c r="L1787" s="12" t="s">
        <v>8999</v>
      </c>
      <c r="M1787" s="12" t="s">
        <v>9000</v>
      </c>
      <c r="N1787" s="12">
        <v>29971</v>
      </c>
      <c r="O1787" s="12">
        <v>3436</v>
      </c>
      <c r="P1787" s="12">
        <v>4</v>
      </c>
      <c r="Q1787" s="12" t="s">
        <v>9001</v>
      </c>
      <c r="R1787" s="15" t="s">
        <v>9002</v>
      </c>
      <c r="S1787" s="12">
        <v>71</v>
      </c>
      <c r="T1787" s="12" t="s">
        <v>39</v>
      </c>
      <c r="U1787" s="12" t="s">
        <v>40</v>
      </c>
      <c r="V1787" s="12" t="s">
        <v>96</v>
      </c>
      <c r="W1787" s="12">
        <v>28000000</v>
      </c>
      <c r="X1787" s="12">
        <v>2010</v>
      </c>
      <c r="Y1787" s="12">
        <v>626</v>
      </c>
      <c r="Z1787" s="12">
        <v>5.4</v>
      </c>
      <c r="AA1787" s="12">
        <v>1.85</v>
      </c>
      <c r="AB1787" s="12">
        <v>0</v>
      </c>
      <c r="AC1787" s="12"/>
      <c r="AD1787" s="12" t="str">
        <f>IFERROR(__xludf.DUMMYFUNCTION("""COMPUTED_VALUE"""),"Jeremy Owen")</f>
        <v>Jeremy Owen</v>
      </c>
      <c r="AE1787" s="12"/>
    </row>
    <row r="1788" customHeight="1" spans="1:31">
      <c r="A1788" s="11" t="s">
        <v>30</v>
      </c>
      <c r="B1788" s="11" t="s">
        <v>7444</v>
      </c>
      <c r="C1788" s="11">
        <v>21</v>
      </c>
      <c r="D1788" s="11">
        <v>89</v>
      </c>
      <c r="E1788" s="11">
        <v>23</v>
      </c>
      <c r="F1788" s="11">
        <v>899</v>
      </c>
      <c r="G1788" s="11">
        <v>1000</v>
      </c>
      <c r="H1788" s="11">
        <v>8119205</v>
      </c>
      <c r="I1788" s="11" t="s">
        <v>516</v>
      </c>
      <c r="J1788" s="11" t="s">
        <v>9003</v>
      </c>
      <c r="K1788" s="11" t="s">
        <v>9004</v>
      </c>
      <c r="L1788" s="11" t="s">
        <v>3934</v>
      </c>
      <c r="M1788" s="11" t="s">
        <v>9005</v>
      </c>
      <c r="N1788" s="11">
        <v>4288</v>
      </c>
      <c r="O1788" s="11">
        <v>5535</v>
      </c>
      <c r="P1788" s="11">
        <v>3</v>
      </c>
      <c r="Q1788" s="11" t="s">
        <v>9006</v>
      </c>
      <c r="R1788" s="14" t="s">
        <v>9007</v>
      </c>
      <c r="S1788" s="11">
        <v>21</v>
      </c>
      <c r="T1788" s="11" t="s">
        <v>39</v>
      </c>
      <c r="U1788" s="11" t="s">
        <v>40</v>
      </c>
      <c r="V1788" s="11" t="s">
        <v>96</v>
      </c>
      <c r="W1788" s="11">
        <v>28000000</v>
      </c>
      <c r="X1788" s="11">
        <v>1997</v>
      </c>
      <c r="Y1788" s="11">
        <v>937</v>
      </c>
      <c r="Z1788" s="11">
        <v>5.4</v>
      </c>
      <c r="AA1788" s="11">
        <v>1.85</v>
      </c>
      <c r="AB1788" s="11">
        <v>517</v>
      </c>
      <c r="AC1788" s="11"/>
      <c r="AD1788" s="11" t="str">
        <f>IFERROR(__xludf.DUMMYFUNCTION("""COMPUTED_VALUE"""),"Tom Virtue")</f>
        <v>Tom Virtue</v>
      </c>
      <c r="AE1788" s="11"/>
    </row>
    <row r="1789" customHeight="1" spans="1:31">
      <c r="A1789" s="12" t="s">
        <v>30</v>
      </c>
      <c r="B1789" s="12" t="s">
        <v>5368</v>
      </c>
      <c r="C1789" s="12">
        <v>156</v>
      </c>
      <c r="D1789" s="12">
        <v>98</v>
      </c>
      <c r="E1789" s="12">
        <v>0</v>
      </c>
      <c r="F1789" s="12">
        <v>900</v>
      </c>
      <c r="G1789" s="12">
        <v>26000</v>
      </c>
      <c r="H1789" s="12">
        <v>8434601</v>
      </c>
      <c r="I1789" s="12" t="s">
        <v>4178</v>
      </c>
      <c r="J1789" s="12" t="s">
        <v>335</v>
      </c>
      <c r="K1789" s="12" t="s">
        <v>6005</v>
      </c>
      <c r="L1789" s="12" t="s">
        <v>7324</v>
      </c>
      <c r="M1789" s="12" t="s">
        <v>9008</v>
      </c>
      <c r="N1789" s="12">
        <v>43006</v>
      </c>
      <c r="O1789" s="12">
        <v>28867</v>
      </c>
      <c r="P1789" s="12">
        <v>5</v>
      </c>
      <c r="Q1789" s="12" t="s">
        <v>9009</v>
      </c>
      <c r="R1789" s="15" t="s">
        <v>9010</v>
      </c>
      <c r="S1789" s="12">
        <v>460</v>
      </c>
      <c r="T1789" s="12" t="s">
        <v>39</v>
      </c>
      <c r="U1789" s="12" t="s">
        <v>40</v>
      </c>
      <c r="V1789" s="12" t="s">
        <v>586</v>
      </c>
      <c r="W1789" s="12">
        <v>28000000</v>
      </c>
      <c r="X1789" s="12">
        <v>2001</v>
      </c>
      <c r="Y1789" s="12">
        <v>1000</v>
      </c>
      <c r="Z1789" s="12">
        <v>4.9</v>
      </c>
      <c r="AA1789" s="12">
        <v>2.35</v>
      </c>
      <c r="AB1789" s="12">
        <v>0</v>
      </c>
      <c r="AC1789" s="12"/>
      <c r="AD1789" s="12" t="str">
        <f>IFERROR(__xludf.DUMMYFUNCTION("""COMPUTED_VALUE"""),"Julene Renee")</f>
        <v>Julene Renee</v>
      </c>
      <c r="AE1789" s="12"/>
    </row>
    <row r="1790" customHeight="1" spans="1:31">
      <c r="A1790" s="11" t="s">
        <v>30</v>
      </c>
      <c r="B1790" s="11" t="s">
        <v>5419</v>
      </c>
      <c r="C1790" s="11">
        <v>125</v>
      </c>
      <c r="D1790" s="11">
        <v>107</v>
      </c>
      <c r="E1790" s="11">
        <v>234</v>
      </c>
      <c r="F1790" s="11">
        <v>660</v>
      </c>
      <c r="G1790" s="11">
        <v>1000</v>
      </c>
      <c r="H1790" s="11">
        <v>6998324</v>
      </c>
      <c r="I1790" s="11" t="s">
        <v>2528</v>
      </c>
      <c r="J1790" s="11" t="s">
        <v>9011</v>
      </c>
      <c r="K1790" s="11" t="s">
        <v>2379</v>
      </c>
      <c r="L1790" s="11" t="s">
        <v>5130</v>
      </c>
      <c r="M1790" s="11" t="s">
        <v>9012</v>
      </c>
      <c r="N1790" s="11">
        <v>11476</v>
      </c>
      <c r="O1790" s="11">
        <v>3944</v>
      </c>
      <c r="P1790" s="11">
        <v>2</v>
      </c>
      <c r="Q1790" s="11" t="s">
        <v>9013</v>
      </c>
      <c r="R1790" s="14" t="s">
        <v>9014</v>
      </c>
      <c r="S1790" s="11">
        <v>50</v>
      </c>
      <c r="T1790" s="11" t="s">
        <v>39</v>
      </c>
      <c r="U1790" s="11" t="s">
        <v>40</v>
      </c>
      <c r="V1790" s="11" t="s">
        <v>586</v>
      </c>
      <c r="W1790" s="11">
        <v>28000000</v>
      </c>
      <c r="X1790" s="11">
        <v>2015</v>
      </c>
      <c r="Y1790" s="11">
        <v>962</v>
      </c>
      <c r="Z1790" s="11">
        <v>6.1</v>
      </c>
      <c r="AA1790" s="11">
        <v>1.85</v>
      </c>
      <c r="AB1790" s="11">
        <v>0</v>
      </c>
      <c r="AC1790" s="11"/>
      <c r="AD1790" s="11" t="str">
        <f>IFERROR(__xludf.DUMMYFUNCTION("""COMPUTED_VALUE"""),"Aimee Teegarden")</f>
        <v>Aimee Teegarden</v>
      </c>
      <c r="AE1790" s="11"/>
    </row>
    <row r="1791" customHeight="1" spans="1:31">
      <c r="A1791" s="12" t="s">
        <v>30</v>
      </c>
      <c r="B1791" s="12" t="s">
        <v>6075</v>
      </c>
      <c r="C1791" s="12">
        <v>225</v>
      </c>
      <c r="D1791" s="12">
        <v>108</v>
      </c>
      <c r="E1791" s="12">
        <v>23</v>
      </c>
      <c r="F1791" s="12">
        <v>845</v>
      </c>
      <c r="G1791" s="12">
        <v>2000</v>
      </c>
      <c r="H1791" s="12">
        <v>10907291</v>
      </c>
      <c r="I1791" s="12" t="s">
        <v>9015</v>
      </c>
      <c r="J1791" s="12" t="s">
        <v>738</v>
      </c>
      <c r="K1791" s="12" t="s">
        <v>9016</v>
      </c>
      <c r="L1791" s="12" t="s">
        <v>567</v>
      </c>
      <c r="M1791" s="12" t="s">
        <v>9017</v>
      </c>
      <c r="N1791" s="12">
        <v>23775</v>
      </c>
      <c r="O1791" s="12">
        <v>4710</v>
      </c>
      <c r="P1791" s="12">
        <v>0</v>
      </c>
      <c r="Q1791" s="12" t="s">
        <v>9018</v>
      </c>
      <c r="R1791" s="15" t="s">
        <v>9019</v>
      </c>
      <c r="S1791" s="12">
        <v>134</v>
      </c>
      <c r="T1791" s="12" t="s">
        <v>39</v>
      </c>
      <c r="U1791" s="12" t="s">
        <v>40</v>
      </c>
      <c r="V1791" s="12" t="s">
        <v>41</v>
      </c>
      <c r="W1791" s="12">
        <v>28000000</v>
      </c>
      <c r="X1791" s="12">
        <v>2016</v>
      </c>
      <c r="Y1791" s="12">
        <v>860</v>
      </c>
      <c r="Z1791" s="12">
        <v>5.8</v>
      </c>
      <c r="AA1791" s="12">
        <v>2.35</v>
      </c>
      <c r="AB1791" s="12">
        <v>73000</v>
      </c>
      <c r="AC1791" s="12"/>
      <c r="AD1791" s="12" t="str">
        <f>IFERROR(__xludf.DUMMYFUNCTION("""COMPUTED_VALUE"""),"Shenae Grimes-Beech")</f>
        <v>Shenae Grimes-Beech</v>
      </c>
      <c r="AE1791" s="12"/>
    </row>
    <row r="1792" customHeight="1" spans="1:31">
      <c r="A1792" s="11" t="s">
        <v>30</v>
      </c>
      <c r="B1792" s="11" t="s">
        <v>488</v>
      </c>
      <c r="C1792" s="11">
        <v>85</v>
      </c>
      <c r="D1792" s="11">
        <v>134</v>
      </c>
      <c r="E1792" s="11">
        <v>17000</v>
      </c>
      <c r="F1792" s="11">
        <v>0</v>
      </c>
      <c r="G1792" s="11">
        <v>2</v>
      </c>
      <c r="H1792" s="11">
        <v>5532301</v>
      </c>
      <c r="I1792" s="11" t="s">
        <v>3241</v>
      </c>
      <c r="J1792" s="11" t="s">
        <v>9020</v>
      </c>
      <c r="K1792" s="11" t="s">
        <v>9021</v>
      </c>
      <c r="L1792" s="11" t="s">
        <v>9022</v>
      </c>
      <c r="M1792" s="11" t="s">
        <v>9023</v>
      </c>
      <c r="N1792" s="11">
        <v>21606</v>
      </c>
      <c r="O1792" s="11">
        <v>4</v>
      </c>
      <c r="P1792" s="11">
        <v>0</v>
      </c>
      <c r="Q1792" s="11" t="s">
        <v>9024</v>
      </c>
      <c r="R1792" s="14" t="s">
        <v>9025</v>
      </c>
      <c r="S1792" s="11">
        <v>117</v>
      </c>
      <c r="T1792" s="11" t="s">
        <v>39</v>
      </c>
      <c r="U1792" s="11" t="s">
        <v>40</v>
      </c>
      <c r="V1792" s="11" t="s">
        <v>41</v>
      </c>
      <c r="W1792" s="11">
        <v>28000000</v>
      </c>
      <c r="X1792" s="11">
        <v>1997</v>
      </c>
      <c r="Y1792" s="11">
        <v>2</v>
      </c>
      <c r="Z1792" s="11">
        <v>7</v>
      </c>
      <c r="AA1792" s="11">
        <v>2.35</v>
      </c>
      <c r="AB1792" s="11">
        <v>0</v>
      </c>
      <c r="AC1792" s="11"/>
      <c r="AD1792" s="11" t="str">
        <f>IFERROR(__xludf.DUMMYFUNCTION("""COMPUTED_VALUE"""),"Anthony Heald")</f>
        <v>Anthony Heald</v>
      </c>
      <c r="AE1792" s="11"/>
    </row>
    <row r="1793" customHeight="1" spans="1:31">
      <c r="A1793" s="12" t="s">
        <v>30</v>
      </c>
      <c r="B1793" s="12" t="s">
        <v>9026</v>
      </c>
      <c r="C1793" s="12">
        <v>135</v>
      </c>
      <c r="D1793" s="12">
        <v>110</v>
      </c>
      <c r="E1793" s="12">
        <v>53</v>
      </c>
      <c r="F1793" s="12">
        <v>87</v>
      </c>
      <c r="G1793" s="12">
        <v>480</v>
      </c>
      <c r="H1793" s="12">
        <v>2775593</v>
      </c>
      <c r="I1793" s="12" t="s">
        <v>1415</v>
      </c>
      <c r="J1793" s="12" t="s">
        <v>1550</v>
      </c>
      <c r="K1793" s="12" t="s">
        <v>9027</v>
      </c>
      <c r="L1793" s="12" t="s">
        <v>9028</v>
      </c>
      <c r="M1793" s="12" t="s">
        <v>9029</v>
      </c>
      <c r="N1793" s="12">
        <v>61269</v>
      </c>
      <c r="O1793" s="12">
        <v>858</v>
      </c>
      <c r="P1793" s="12">
        <v>4</v>
      </c>
      <c r="Q1793" s="12" t="s">
        <v>9030</v>
      </c>
      <c r="R1793" s="15" t="s">
        <v>9031</v>
      </c>
      <c r="S1793" s="12">
        <v>98</v>
      </c>
      <c r="T1793" s="12" t="s">
        <v>39</v>
      </c>
      <c r="U1793" s="12" t="s">
        <v>58</v>
      </c>
      <c r="V1793" s="12" t="s">
        <v>586</v>
      </c>
      <c r="W1793" s="12">
        <v>27000000</v>
      </c>
      <c r="X1793" s="12">
        <v>2008</v>
      </c>
      <c r="Y1793" s="12">
        <v>261</v>
      </c>
      <c r="Z1793" s="12">
        <v>6.5</v>
      </c>
      <c r="AA1793" s="12">
        <v>1.85</v>
      </c>
      <c r="AB1793" s="12">
        <v>0</v>
      </c>
      <c r="AC1793" s="12"/>
      <c r="AD1793" s="12" t="str">
        <f>IFERROR(__xludf.DUMMYFUNCTION("""COMPUTED_VALUE"""),"Nat Faxon")</f>
        <v>Nat Faxon</v>
      </c>
      <c r="AE1793" s="12"/>
    </row>
    <row r="1794" customHeight="1" spans="1:31">
      <c r="A1794" s="11" t="s">
        <v>30</v>
      </c>
      <c r="B1794" s="11" t="s">
        <v>9032</v>
      </c>
      <c r="C1794" s="11">
        <v>350</v>
      </c>
      <c r="D1794" s="11">
        <v>103</v>
      </c>
      <c r="E1794" s="11">
        <v>65</v>
      </c>
      <c r="F1794" s="11">
        <v>405</v>
      </c>
      <c r="G1794" s="11">
        <v>17000</v>
      </c>
      <c r="H1794" s="11">
        <v>28751715</v>
      </c>
      <c r="I1794" s="11" t="s">
        <v>1753</v>
      </c>
      <c r="J1794" s="11" t="s">
        <v>490</v>
      </c>
      <c r="K1794" s="11" t="s">
        <v>9033</v>
      </c>
      <c r="L1794" s="11" t="s">
        <v>6076</v>
      </c>
      <c r="M1794" s="11" t="s">
        <v>9034</v>
      </c>
      <c r="N1794" s="11">
        <v>202967</v>
      </c>
      <c r="O1794" s="11">
        <v>19168</v>
      </c>
      <c r="P1794" s="11">
        <v>0</v>
      </c>
      <c r="Q1794" s="11" t="s">
        <v>9035</v>
      </c>
      <c r="R1794" s="14" t="s">
        <v>9036</v>
      </c>
      <c r="S1794" s="11">
        <v>378</v>
      </c>
      <c r="T1794" s="11" t="s">
        <v>39</v>
      </c>
      <c r="U1794" s="11" t="s">
        <v>40</v>
      </c>
      <c r="V1794" s="11" t="s">
        <v>586</v>
      </c>
      <c r="W1794" s="11">
        <v>28000000</v>
      </c>
      <c r="X1794" s="11">
        <v>2013</v>
      </c>
      <c r="Y1794" s="11">
        <v>927</v>
      </c>
      <c r="Z1794" s="11">
        <v>6.6</v>
      </c>
      <c r="AA1794" s="11">
        <v>2.35</v>
      </c>
      <c r="AB1794" s="11">
        <v>36000</v>
      </c>
      <c r="AC1794" s="11"/>
      <c r="AD1794" s="11" t="str">
        <f>IFERROR(__xludf.DUMMYFUNCTION("""COMPUTED_VALUE"""),"Jesse James")</f>
        <v>Jesse James</v>
      </c>
      <c r="AE1794" s="11"/>
    </row>
    <row r="1795" customHeight="1" spans="1:31">
      <c r="A1795" s="12" t="s">
        <v>30</v>
      </c>
      <c r="B1795" s="12" t="s">
        <v>9037</v>
      </c>
      <c r="C1795" s="12">
        <v>31</v>
      </c>
      <c r="D1795" s="12">
        <v>145</v>
      </c>
      <c r="E1795" s="12">
        <v>13</v>
      </c>
      <c r="F1795" s="12">
        <v>278</v>
      </c>
      <c r="G1795" s="12">
        <v>10000</v>
      </c>
      <c r="H1795" s="16"/>
      <c r="I1795" s="12" t="s">
        <v>9038</v>
      </c>
      <c r="J1795" s="12" t="s">
        <v>2825</v>
      </c>
      <c r="K1795" s="12" t="s">
        <v>9039</v>
      </c>
      <c r="L1795" s="12" t="s">
        <v>9040</v>
      </c>
      <c r="M1795" s="12" t="s">
        <v>9041</v>
      </c>
      <c r="N1795" s="12">
        <v>10266</v>
      </c>
      <c r="O1795" s="12">
        <v>11669</v>
      </c>
      <c r="P1795" s="12">
        <v>1</v>
      </c>
      <c r="Q1795" s="12" t="s">
        <v>9042</v>
      </c>
      <c r="R1795" s="15" t="s">
        <v>9043</v>
      </c>
      <c r="S1795" s="12">
        <v>84</v>
      </c>
      <c r="T1795" s="12" t="s">
        <v>2779</v>
      </c>
      <c r="U1795" s="12" t="s">
        <v>3572</v>
      </c>
      <c r="V1795" s="16"/>
      <c r="W1795" s="12">
        <v>24000000</v>
      </c>
      <c r="X1795" s="12">
        <v>2006</v>
      </c>
      <c r="Y1795" s="12">
        <v>1000</v>
      </c>
      <c r="Z1795" s="12">
        <v>6.1</v>
      </c>
      <c r="AA1795" s="12">
        <v>1.85</v>
      </c>
      <c r="AB1795" s="12">
        <v>0</v>
      </c>
      <c r="AC1795" s="12"/>
      <c r="AD1795" s="12" t="str">
        <f>IFERROR(__xludf.DUMMYFUNCTION("""COMPUTED_VALUE"""),"Emma Bell")</f>
        <v>Emma Bell</v>
      </c>
      <c r="AE1795" s="12"/>
    </row>
    <row r="1796" customHeight="1" spans="1:31">
      <c r="A1796" s="11" t="s">
        <v>30</v>
      </c>
      <c r="B1796" s="11" t="s">
        <v>9044</v>
      </c>
      <c r="C1796" s="11">
        <v>177</v>
      </c>
      <c r="D1796" s="11">
        <v>100</v>
      </c>
      <c r="E1796" s="11">
        <v>11</v>
      </c>
      <c r="F1796" s="11">
        <v>561</v>
      </c>
      <c r="G1796" s="11">
        <v>23000</v>
      </c>
      <c r="H1796" s="11">
        <v>20285518</v>
      </c>
      <c r="I1796" s="11" t="s">
        <v>464</v>
      </c>
      <c r="J1796" s="11" t="s">
        <v>336</v>
      </c>
      <c r="K1796" s="11" t="s">
        <v>2153</v>
      </c>
      <c r="L1796" s="11" t="s">
        <v>1729</v>
      </c>
      <c r="M1796" s="11" t="s">
        <v>9045</v>
      </c>
      <c r="N1796" s="11">
        <v>32103</v>
      </c>
      <c r="O1796" s="11">
        <v>25387</v>
      </c>
      <c r="P1796" s="11">
        <v>2</v>
      </c>
      <c r="Q1796" s="11" t="s">
        <v>9046</v>
      </c>
      <c r="R1796" s="14" t="s">
        <v>9047</v>
      </c>
      <c r="S1796" s="11">
        <v>112</v>
      </c>
      <c r="T1796" s="11" t="s">
        <v>39</v>
      </c>
      <c r="U1796" s="11" t="s">
        <v>1466</v>
      </c>
      <c r="V1796" s="11" t="s">
        <v>41</v>
      </c>
      <c r="W1796" s="11">
        <v>28000000</v>
      </c>
      <c r="X1796" s="11">
        <v>2014</v>
      </c>
      <c r="Y1796" s="11">
        <v>727</v>
      </c>
      <c r="Z1796" s="11">
        <v>5.7</v>
      </c>
      <c r="AA1796" s="11">
        <v>2.35</v>
      </c>
      <c r="AB1796" s="11">
        <v>0</v>
      </c>
      <c r="AC1796" s="11"/>
      <c r="AD1796" s="11" t="str">
        <f>IFERROR(__xludf.DUMMYFUNCTION("""COMPUTED_VALUE"""),"Jacqueline MacInnes Wood")</f>
        <v>Jacqueline MacInnes Wood</v>
      </c>
      <c r="AE1796" s="11"/>
    </row>
    <row r="1797" customHeight="1" spans="1:31">
      <c r="A1797" s="12" t="s">
        <v>30</v>
      </c>
      <c r="B1797" s="12" t="s">
        <v>6143</v>
      </c>
      <c r="C1797" s="12">
        <v>106</v>
      </c>
      <c r="D1797" s="12">
        <v>131</v>
      </c>
      <c r="E1797" s="12">
        <v>46</v>
      </c>
      <c r="F1797" s="12">
        <v>293</v>
      </c>
      <c r="G1797" s="12">
        <v>594</v>
      </c>
      <c r="H1797" s="12">
        <v>67900000</v>
      </c>
      <c r="I1797" s="12" t="s">
        <v>51</v>
      </c>
      <c r="J1797" s="12" t="s">
        <v>9048</v>
      </c>
      <c r="K1797" s="12" t="s">
        <v>9049</v>
      </c>
      <c r="L1797" s="12" t="s">
        <v>9050</v>
      </c>
      <c r="M1797" s="12" t="s">
        <v>9051</v>
      </c>
      <c r="N1797" s="12">
        <v>74374</v>
      </c>
      <c r="O1797" s="12">
        <v>1898</v>
      </c>
      <c r="P1797" s="12">
        <v>0</v>
      </c>
      <c r="Q1797" s="12" t="s">
        <v>9052</v>
      </c>
      <c r="R1797" s="15" t="s">
        <v>9053</v>
      </c>
      <c r="S1797" s="12">
        <v>225</v>
      </c>
      <c r="T1797" s="12" t="s">
        <v>39</v>
      </c>
      <c r="U1797" s="12" t="s">
        <v>58</v>
      </c>
      <c r="V1797" s="12" t="s">
        <v>96</v>
      </c>
      <c r="W1797" s="12">
        <v>27500000</v>
      </c>
      <c r="X1797" s="12">
        <v>1983</v>
      </c>
      <c r="Y1797" s="12">
        <v>303</v>
      </c>
      <c r="Z1797" s="12">
        <v>6.6</v>
      </c>
      <c r="AA1797" s="12">
        <v>2.35</v>
      </c>
      <c r="AB1797" s="12">
        <v>0</v>
      </c>
      <c r="AC1797" s="12"/>
      <c r="AD1797" s="12" t="str">
        <f>IFERROR(__xludf.DUMMYFUNCTION("""COMPUTED_VALUE"""),"Angie Dickinson")</f>
        <v>Angie Dickinson</v>
      </c>
      <c r="AE1797" s="12"/>
    </row>
    <row r="1798" customHeight="1" spans="1:31">
      <c r="A1798" s="11" t="s">
        <v>30</v>
      </c>
      <c r="B1798" s="11" t="s">
        <v>3219</v>
      </c>
      <c r="C1798" s="11">
        <v>251</v>
      </c>
      <c r="D1798" s="11">
        <v>133</v>
      </c>
      <c r="E1798" s="11">
        <v>0</v>
      </c>
      <c r="F1798" s="11">
        <v>529</v>
      </c>
      <c r="G1798" s="11">
        <v>11000</v>
      </c>
      <c r="H1798" s="11">
        <v>148734225</v>
      </c>
      <c r="I1798" s="11" t="s">
        <v>1681</v>
      </c>
      <c r="J1798" s="11" t="s">
        <v>4219</v>
      </c>
      <c r="K1798" s="11" t="s">
        <v>9054</v>
      </c>
      <c r="L1798" s="11" t="s">
        <v>7372</v>
      </c>
      <c r="M1798" s="11" t="s">
        <v>9055</v>
      </c>
      <c r="N1798" s="11">
        <v>298590</v>
      </c>
      <c r="O1798" s="11">
        <v>12874</v>
      </c>
      <c r="P1798" s="11">
        <v>2</v>
      </c>
      <c r="Q1798" s="11" t="s">
        <v>9056</v>
      </c>
      <c r="R1798" s="14" t="s">
        <v>9057</v>
      </c>
      <c r="S1798" s="11">
        <v>559</v>
      </c>
      <c r="T1798" s="11" t="s">
        <v>39</v>
      </c>
      <c r="U1798" s="11" t="s">
        <v>40</v>
      </c>
      <c r="V1798" s="11" t="s">
        <v>586</v>
      </c>
      <c r="W1798" s="11">
        <v>30000000</v>
      </c>
      <c r="X1798" s="11">
        <v>2007</v>
      </c>
      <c r="Y1798" s="11">
        <v>985</v>
      </c>
      <c r="Z1798" s="11">
        <v>7</v>
      </c>
      <c r="AA1798" s="11">
        <v>1.85</v>
      </c>
      <c r="AB1798" s="11">
        <v>0</v>
      </c>
      <c r="AC1798" s="11"/>
      <c r="AD1798" s="11" t="str">
        <f>IFERROR(__xludf.DUMMYFUNCTION("""COMPUTED_VALUE"""),"Jimmy Fallon")</f>
        <v>Jimmy Fallon</v>
      </c>
      <c r="AE1798" s="11"/>
    </row>
    <row r="1799" customHeight="1" spans="1:31">
      <c r="A1799" s="12" t="s">
        <v>30</v>
      </c>
      <c r="B1799" s="12" t="s">
        <v>6397</v>
      </c>
      <c r="C1799" s="12">
        <v>148</v>
      </c>
      <c r="D1799" s="12">
        <v>109</v>
      </c>
      <c r="E1799" s="12">
        <v>415</v>
      </c>
      <c r="F1799" s="12">
        <v>228</v>
      </c>
      <c r="G1799" s="12">
        <v>673</v>
      </c>
      <c r="H1799" s="12">
        <v>49185998</v>
      </c>
      <c r="I1799" s="12" t="s">
        <v>3410</v>
      </c>
      <c r="J1799" s="12" t="s">
        <v>1608</v>
      </c>
      <c r="K1799" s="12" t="s">
        <v>9058</v>
      </c>
      <c r="L1799" s="12" t="s">
        <v>9059</v>
      </c>
      <c r="M1799" s="12" t="s">
        <v>9060</v>
      </c>
      <c r="N1799" s="12">
        <v>74476</v>
      </c>
      <c r="O1799" s="12">
        <v>1775</v>
      </c>
      <c r="P1799" s="12">
        <v>2</v>
      </c>
      <c r="Q1799" s="12" t="s">
        <v>9061</v>
      </c>
      <c r="R1799" s="15" t="s">
        <v>9062</v>
      </c>
      <c r="S1799" s="12">
        <v>184</v>
      </c>
      <c r="T1799" s="12" t="s">
        <v>39</v>
      </c>
      <c r="U1799" s="12" t="s">
        <v>40</v>
      </c>
      <c r="V1799" s="12" t="s">
        <v>41</v>
      </c>
      <c r="W1799" s="12">
        <v>30000000</v>
      </c>
      <c r="X1799" s="12">
        <v>2009</v>
      </c>
      <c r="Y1799" s="12">
        <v>489</v>
      </c>
      <c r="Z1799" s="12">
        <v>7.4</v>
      </c>
      <c r="AA1799" s="12">
        <v>2.35</v>
      </c>
      <c r="AB1799" s="12">
        <v>15000</v>
      </c>
      <c r="AC1799" s="12"/>
      <c r="AD1799" s="12" t="str">
        <f>IFERROR(__xludf.DUMMYFUNCTION("""COMPUTED_VALUE"""),"KaDee Strickland")</f>
        <v>KaDee Strickland</v>
      </c>
      <c r="AE1799" s="12"/>
    </row>
    <row r="1800" customHeight="1" spans="1:31">
      <c r="A1800" s="11" t="s">
        <v>30</v>
      </c>
      <c r="B1800" s="11" t="s">
        <v>6801</v>
      </c>
      <c r="C1800" s="11">
        <v>76</v>
      </c>
      <c r="D1800" s="11">
        <v>114</v>
      </c>
      <c r="E1800" s="11">
        <v>92</v>
      </c>
      <c r="F1800" s="11">
        <v>436</v>
      </c>
      <c r="G1800" s="11">
        <v>940</v>
      </c>
      <c r="H1800" s="11">
        <v>42168445</v>
      </c>
      <c r="I1800" s="11" t="s">
        <v>1415</v>
      </c>
      <c r="J1800" s="11" t="s">
        <v>5453</v>
      </c>
      <c r="K1800" s="11" t="s">
        <v>5265</v>
      </c>
      <c r="L1800" s="11" t="s">
        <v>806</v>
      </c>
      <c r="M1800" s="11" t="s">
        <v>9063</v>
      </c>
      <c r="N1800" s="11">
        <v>10791</v>
      </c>
      <c r="O1800" s="11">
        <v>3565</v>
      </c>
      <c r="P1800" s="11">
        <v>3</v>
      </c>
      <c r="Q1800" s="11" t="s">
        <v>9064</v>
      </c>
      <c r="R1800" s="14" t="s">
        <v>9065</v>
      </c>
      <c r="S1800" s="11">
        <v>39</v>
      </c>
      <c r="T1800" s="11" t="s">
        <v>39</v>
      </c>
      <c r="U1800" s="11" t="s">
        <v>40</v>
      </c>
      <c r="V1800" s="11" t="s">
        <v>41</v>
      </c>
      <c r="W1800" s="11">
        <v>35000000</v>
      </c>
      <c r="X1800" s="11">
        <v>2008</v>
      </c>
      <c r="Y1800" s="11">
        <v>706</v>
      </c>
      <c r="Z1800" s="11">
        <v>5.3</v>
      </c>
      <c r="AA1800" s="11">
        <v>1.85</v>
      </c>
      <c r="AB1800" s="11">
        <v>464</v>
      </c>
      <c r="AC1800" s="11"/>
      <c r="AD1800" s="11" t="str">
        <f>IFERROR(__xludf.DUMMYFUNCTION("""COMPUTED_VALUE"""),"Ione Skye")</f>
        <v>Ione Skye</v>
      </c>
      <c r="AE1800" s="11"/>
    </row>
    <row r="1801" customHeight="1" spans="1:31">
      <c r="A1801" s="12" t="s">
        <v>30</v>
      </c>
      <c r="B1801" s="12" t="s">
        <v>9066</v>
      </c>
      <c r="C1801" s="12">
        <v>52</v>
      </c>
      <c r="D1801" s="12">
        <v>164</v>
      </c>
      <c r="E1801" s="12">
        <v>767</v>
      </c>
      <c r="F1801" s="12">
        <v>162</v>
      </c>
      <c r="G1801" s="12">
        <v>358</v>
      </c>
      <c r="H1801" s="12">
        <v>26400000</v>
      </c>
      <c r="I1801" s="12" t="s">
        <v>2158</v>
      </c>
      <c r="J1801" s="12" t="s">
        <v>9067</v>
      </c>
      <c r="K1801" s="12" t="s">
        <v>7955</v>
      </c>
      <c r="L1801" s="12" t="s">
        <v>897</v>
      </c>
      <c r="M1801" s="12" t="s">
        <v>9068</v>
      </c>
      <c r="N1801" s="12">
        <v>12980</v>
      </c>
      <c r="O1801" s="12">
        <v>1334</v>
      </c>
      <c r="P1801" s="12">
        <v>0</v>
      </c>
      <c r="Q1801" s="12" t="s">
        <v>9069</v>
      </c>
      <c r="R1801" s="15" t="s">
        <v>9070</v>
      </c>
      <c r="S1801" s="12">
        <v>89</v>
      </c>
      <c r="T1801" s="12" t="s">
        <v>39</v>
      </c>
      <c r="U1801" s="12" t="s">
        <v>58</v>
      </c>
      <c r="V1801" s="12" t="s">
        <v>96</v>
      </c>
      <c r="W1801" s="12">
        <v>16000000</v>
      </c>
      <c r="X1801" s="12">
        <v>1984</v>
      </c>
      <c r="Y1801" s="12">
        <v>223</v>
      </c>
      <c r="Z1801" s="12">
        <v>7.4</v>
      </c>
      <c r="AA1801" s="12">
        <v>1.85</v>
      </c>
      <c r="AB1801" s="12">
        <v>845</v>
      </c>
      <c r="AC1801" s="12"/>
      <c r="AD1801" s="12" t="str">
        <f>IFERROR(__xludf.DUMMYFUNCTION("""COMPUTED_VALUE"""),"Bruce Dinsmore")</f>
        <v>Bruce Dinsmore</v>
      </c>
      <c r="AE1801" s="12"/>
    </row>
    <row r="1802" customHeight="1" spans="1:31">
      <c r="A1802" s="11" t="s">
        <v>30</v>
      </c>
      <c r="B1802" s="11" t="s">
        <v>9071</v>
      </c>
      <c r="C1802" s="11">
        <v>220</v>
      </c>
      <c r="D1802" s="11">
        <v>92</v>
      </c>
      <c r="E1802" s="11">
        <v>14</v>
      </c>
      <c r="F1802" s="11">
        <v>78</v>
      </c>
      <c r="G1802" s="11">
        <v>386</v>
      </c>
      <c r="H1802" s="11">
        <v>17508670</v>
      </c>
      <c r="I1802" s="11" t="s">
        <v>5275</v>
      </c>
      <c r="J1802" s="11" t="s">
        <v>9072</v>
      </c>
      <c r="K1802" s="11" t="s">
        <v>9073</v>
      </c>
      <c r="L1802" s="11" t="s">
        <v>9074</v>
      </c>
      <c r="M1802" s="11" t="s">
        <v>9075</v>
      </c>
      <c r="N1802" s="11">
        <v>64625</v>
      </c>
      <c r="O1802" s="11">
        <v>646</v>
      </c>
      <c r="P1802" s="11">
        <v>0</v>
      </c>
      <c r="Q1802" s="11" t="s">
        <v>9076</v>
      </c>
      <c r="R1802" s="14" t="s">
        <v>9077</v>
      </c>
      <c r="S1802" s="11">
        <v>281</v>
      </c>
      <c r="T1802" s="11" t="s">
        <v>39</v>
      </c>
      <c r="U1802" s="11" t="s">
        <v>58</v>
      </c>
      <c r="V1802" s="11" t="s">
        <v>586</v>
      </c>
      <c r="W1802" s="11">
        <v>15000000</v>
      </c>
      <c r="X1802" s="11">
        <v>2006</v>
      </c>
      <c r="Y1802" s="11">
        <v>99</v>
      </c>
      <c r="Z1802" s="11">
        <v>7.4</v>
      </c>
      <c r="AA1802" s="11">
        <v>1.85</v>
      </c>
      <c r="AB1802" s="11">
        <v>0</v>
      </c>
      <c r="AC1802" s="11"/>
      <c r="AD1802" s="11" t="str">
        <f>IFERROR(__xludf.DUMMYFUNCTION("""COMPUTED_VALUE"""),"Melissa Altro")</f>
        <v>Melissa Altro</v>
      </c>
      <c r="AE1802" s="11"/>
    </row>
    <row r="1803" customHeight="1" spans="1:31">
      <c r="A1803" s="12" t="s">
        <v>30</v>
      </c>
      <c r="B1803" s="12" t="s">
        <v>817</v>
      </c>
      <c r="C1803" s="12">
        <v>131</v>
      </c>
      <c r="D1803" s="12">
        <v>122</v>
      </c>
      <c r="E1803" s="12">
        <v>151</v>
      </c>
      <c r="F1803" s="12">
        <v>11000</v>
      </c>
      <c r="G1803" s="12">
        <v>24000</v>
      </c>
      <c r="H1803" s="12">
        <v>9664316</v>
      </c>
      <c r="I1803" s="12" t="s">
        <v>4075</v>
      </c>
      <c r="J1803" s="12" t="s">
        <v>82</v>
      </c>
      <c r="K1803" s="12" t="s">
        <v>373</v>
      </c>
      <c r="L1803" s="12" t="s">
        <v>2377</v>
      </c>
      <c r="M1803" s="12" t="s">
        <v>9078</v>
      </c>
      <c r="N1803" s="12">
        <v>47203</v>
      </c>
      <c r="O1803" s="12">
        <v>50950</v>
      </c>
      <c r="P1803" s="12">
        <v>2</v>
      </c>
      <c r="Q1803" s="12" t="s">
        <v>9079</v>
      </c>
      <c r="R1803" s="15" t="s">
        <v>9080</v>
      </c>
      <c r="S1803" s="12">
        <v>197</v>
      </c>
      <c r="T1803" s="12" t="s">
        <v>39</v>
      </c>
      <c r="U1803" s="12" t="s">
        <v>40</v>
      </c>
      <c r="V1803" s="12" t="s">
        <v>586</v>
      </c>
      <c r="W1803" s="12">
        <v>27500000</v>
      </c>
      <c r="X1803" s="12">
        <v>2007</v>
      </c>
      <c r="Y1803" s="12">
        <v>15000</v>
      </c>
      <c r="Z1803" s="12">
        <v>6.8</v>
      </c>
      <c r="AA1803" s="12">
        <v>2.35</v>
      </c>
      <c r="AB1803" s="12">
        <v>0</v>
      </c>
      <c r="AC1803" s="12"/>
      <c r="AD1803" s="12" t="str">
        <f>IFERROR(__xludf.DUMMYFUNCTION("""COMPUTED_VALUE"""),"Daniel Brochu")</f>
        <v>Daniel Brochu</v>
      </c>
      <c r="AE1803" s="12"/>
    </row>
    <row r="1804" customHeight="1" spans="1:31">
      <c r="A1804" s="11" t="s">
        <v>30</v>
      </c>
      <c r="B1804" s="13"/>
      <c r="C1804" s="11">
        <v>7</v>
      </c>
      <c r="D1804" s="11">
        <v>42</v>
      </c>
      <c r="E1804" s="13"/>
      <c r="F1804" s="11">
        <v>535</v>
      </c>
      <c r="G1804" s="11">
        <v>766</v>
      </c>
      <c r="H1804" s="13"/>
      <c r="I1804" s="11" t="s">
        <v>9081</v>
      </c>
      <c r="J1804" s="11" t="s">
        <v>965</v>
      </c>
      <c r="K1804" s="11" t="s">
        <v>1347</v>
      </c>
      <c r="L1804" s="11" t="s">
        <v>9082</v>
      </c>
      <c r="M1804" s="11" t="s">
        <v>9083</v>
      </c>
      <c r="N1804" s="11">
        <v>38177</v>
      </c>
      <c r="O1804" s="11">
        <v>2707</v>
      </c>
      <c r="P1804" s="11">
        <v>2</v>
      </c>
      <c r="Q1804" s="11" t="s">
        <v>9084</v>
      </c>
      <c r="R1804" s="14" t="s">
        <v>9085</v>
      </c>
      <c r="S1804" s="11">
        <v>131</v>
      </c>
      <c r="T1804" s="11" t="s">
        <v>39</v>
      </c>
      <c r="U1804" s="11" t="s">
        <v>40</v>
      </c>
      <c r="V1804" s="11" t="s">
        <v>1127</v>
      </c>
      <c r="W1804" s="13"/>
      <c r="X1804" s="13"/>
      <c r="Y1804" s="11">
        <v>638</v>
      </c>
      <c r="Z1804" s="11">
        <v>7.9</v>
      </c>
      <c r="AA1804" s="11">
        <v>16</v>
      </c>
      <c r="AB1804" s="11">
        <v>11000</v>
      </c>
      <c r="AC1804" s="11"/>
      <c r="AD1804" s="11" t="str">
        <f>IFERROR(__xludf.DUMMYFUNCTION("""COMPUTED_VALUE"""),"Shaun Weiss")</f>
        <v>Shaun Weiss</v>
      </c>
      <c r="AE1804" s="11"/>
    </row>
    <row r="1805" customHeight="1" spans="1:31">
      <c r="A1805" s="12" t="s">
        <v>30</v>
      </c>
      <c r="B1805" s="12" t="s">
        <v>9086</v>
      </c>
      <c r="C1805" s="12">
        <v>112</v>
      </c>
      <c r="D1805" s="12">
        <v>110</v>
      </c>
      <c r="E1805" s="12">
        <v>120</v>
      </c>
      <c r="F1805" s="12">
        <v>664</v>
      </c>
      <c r="G1805" s="12">
        <v>12000</v>
      </c>
      <c r="H1805" s="12">
        <v>74888996</v>
      </c>
      <c r="I1805" s="12" t="s">
        <v>227</v>
      </c>
      <c r="J1805" s="12" t="s">
        <v>1029</v>
      </c>
      <c r="K1805" s="12" t="s">
        <v>4474</v>
      </c>
      <c r="L1805" s="12" t="s">
        <v>7283</v>
      </c>
      <c r="M1805" s="12" t="s">
        <v>9087</v>
      </c>
      <c r="N1805" s="12">
        <v>55513</v>
      </c>
      <c r="O1805" s="12">
        <v>16230</v>
      </c>
      <c r="P1805" s="12">
        <v>0</v>
      </c>
      <c r="Q1805" s="12" t="s">
        <v>9088</v>
      </c>
      <c r="R1805" s="15" t="s">
        <v>9089</v>
      </c>
      <c r="S1805" s="12">
        <v>188</v>
      </c>
      <c r="T1805" s="12" t="s">
        <v>39</v>
      </c>
      <c r="U1805" s="12" t="s">
        <v>40</v>
      </c>
      <c r="V1805" s="12" t="s">
        <v>96</v>
      </c>
      <c r="W1805" s="12">
        <v>30000000</v>
      </c>
      <c r="X1805" s="12">
        <v>1991</v>
      </c>
      <c r="Y1805" s="12">
        <v>1000</v>
      </c>
      <c r="Z1805" s="12">
        <v>7.2</v>
      </c>
      <c r="AA1805" s="12">
        <v>2.35</v>
      </c>
      <c r="AB1805" s="12">
        <v>0</v>
      </c>
      <c r="AC1805" s="12"/>
      <c r="AD1805" s="12" t="str">
        <f>IFERROR(__xludf.DUMMYFUNCTION("""COMPUTED_VALUE"""),"Thomas Horn")</f>
        <v>Thomas Horn</v>
      </c>
      <c r="AE1805" s="12"/>
    </row>
    <row r="1806" customHeight="1" spans="1:31">
      <c r="A1806" s="11" t="s">
        <v>30</v>
      </c>
      <c r="B1806" s="11" t="s">
        <v>9090</v>
      </c>
      <c r="C1806" s="11">
        <v>93</v>
      </c>
      <c r="D1806" s="11">
        <v>116</v>
      </c>
      <c r="E1806" s="11">
        <v>144</v>
      </c>
      <c r="F1806" s="11">
        <v>477</v>
      </c>
      <c r="G1806" s="11">
        <v>1000</v>
      </c>
      <c r="H1806" s="11">
        <v>69586544</v>
      </c>
      <c r="I1806" s="11" t="s">
        <v>3410</v>
      </c>
      <c r="J1806" s="11" t="s">
        <v>7764</v>
      </c>
      <c r="K1806" s="11" t="s">
        <v>8232</v>
      </c>
      <c r="L1806" s="11" t="s">
        <v>9091</v>
      </c>
      <c r="M1806" s="11" t="s">
        <v>9092</v>
      </c>
      <c r="N1806" s="11">
        <v>15352</v>
      </c>
      <c r="O1806" s="11">
        <v>3845</v>
      </c>
      <c r="P1806" s="11">
        <v>4</v>
      </c>
      <c r="Q1806" s="11" t="s">
        <v>9093</v>
      </c>
      <c r="R1806" s="14" t="s">
        <v>9094</v>
      </c>
      <c r="S1806" s="11">
        <v>199</v>
      </c>
      <c r="T1806" s="11" t="s">
        <v>39</v>
      </c>
      <c r="U1806" s="11" t="s">
        <v>40</v>
      </c>
      <c r="V1806" s="11" t="s">
        <v>41</v>
      </c>
      <c r="W1806" s="11">
        <v>27000000</v>
      </c>
      <c r="X1806" s="11">
        <v>2002</v>
      </c>
      <c r="Y1806" s="11">
        <v>482</v>
      </c>
      <c r="Z1806" s="11">
        <v>6</v>
      </c>
      <c r="AA1806" s="11">
        <v>2.35</v>
      </c>
      <c r="AB1806" s="11">
        <v>0</v>
      </c>
      <c r="AC1806" s="11"/>
      <c r="AD1806" s="11" t="str">
        <f>IFERROR(__xludf.DUMMYFUNCTION("""COMPUTED_VALUE"""),"Stephen Henderson")</f>
        <v>Stephen Henderson</v>
      </c>
      <c r="AE1806" s="11"/>
    </row>
    <row r="1807" customHeight="1" spans="1:31">
      <c r="A1807" s="12" t="s">
        <v>30</v>
      </c>
      <c r="B1807" s="12" t="s">
        <v>251</v>
      </c>
      <c r="C1807" s="12">
        <v>370</v>
      </c>
      <c r="D1807" s="12">
        <v>106</v>
      </c>
      <c r="E1807" s="12">
        <v>4000</v>
      </c>
      <c r="F1807" s="12">
        <v>591</v>
      </c>
      <c r="G1807" s="12">
        <v>19000</v>
      </c>
      <c r="H1807" s="12">
        <v>362645141</v>
      </c>
      <c r="I1807" s="12" t="s">
        <v>548</v>
      </c>
      <c r="J1807" s="12" t="s">
        <v>100</v>
      </c>
      <c r="K1807" s="12" t="s">
        <v>549</v>
      </c>
      <c r="L1807" s="12" t="s">
        <v>550</v>
      </c>
      <c r="M1807" s="12" t="s">
        <v>551</v>
      </c>
      <c r="N1807" s="12">
        <v>106221</v>
      </c>
      <c r="O1807" s="12">
        <v>32921</v>
      </c>
      <c r="P1807" s="12">
        <v>0</v>
      </c>
      <c r="Q1807" s="12" t="s">
        <v>552</v>
      </c>
      <c r="R1807" s="15" t="s">
        <v>553</v>
      </c>
      <c r="S1807" s="12">
        <v>398</v>
      </c>
      <c r="T1807" s="12" t="s">
        <v>39</v>
      </c>
      <c r="U1807" s="12" t="s">
        <v>58</v>
      </c>
      <c r="V1807" s="12" t="s">
        <v>96</v>
      </c>
      <c r="W1807" s="12">
        <v>175000000</v>
      </c>
      <c r="X1807" s="12">
        <v>2016</v>
      </c>
      <c r="Y1807" s="12">
        <v>13000</v>
      </c>
      <c r="Z1807" s="12">
        <v>7.8</v>
      </c>
      <c r="AA1807" s="12">
        <v>1.85</v>
      </c>
      <c r="AB1807" s="12">
        <v>65000</v>
      </c>
      <c r="AC1807" s="12"/>
      <c r="AD1807" s="12" t="str">
        <f>IFERROR(__xludf.DUMMYFUNCTION("""COMPUTED_VALUE"""),"Noah Bean")</f>
        <v>Noah Bean</v>
      </c>
      <c r="AE1807" s="12"/>
    </row>
    <row r="1808" customHeight="1" spans="1:31">
      <c r="A1808" s="11" t="s">
        <v>30</v>
      </c>
      <c r="B1808" s="11" t="s">
        <v>5165</v>
      </c>
      <c r="C1808" s="11">
        <v>83</v>
      </c>
      <c r="D1808" s="11">
        <v>115</v>
      </c>
      <c r="E1808" s="11">
        <v>39</v>
      </c>
      <c r="F1808" s="11">
        <v>685</v>
      </c>
      <c r="G1808" s="11">
        <v>11000</v>
      </c>
      <c r="H1808" s="11">
        <v>60491560</v>
      </c>
      <c r="I1808" s="11" t="s">
        <v>2142</v>
      </c>
      <c r="J1808" s="11" t="s">
        <v>466</v>
      </c>
      <c r="K1808" s="11" t="s">
        <v>1018</v>
      </c>
      <c r="L1808" s="11" t="s">
        <v>9095</v>
      </c>
      <c r="M1808" s="11" t="s">
        <v>9096</v>
      </c>
      <c r="N1808" s="11">
        <v>50653</v>
      </c>
      <c r="O1808" s="11">
        <v>14322</v>
      </c>
      <c r="P1808" s="11">
        <v>1</v>
      </c>
      <c r="Q1808" s="11" t="s">
        <v>9097</v>
      </c>
      <c r="R1808" s="14" t="s">
        <v>9098</v>
      </c>
      <c r="S1808" s="11">
        <v>143</v>
      </c>
      <c r="T1808" s="11" t="s">
        <v>39</v>
      </c>
      <c r="U1808" s="11" t="s">
        <v>40</v>
      </c>
      <c r="V1808" s="11" t="s">
        <v>586</v>
      </c>
      <c r="W1808" s="11">
        <v>27000000</v>
      </c>
      <c r="X1808" s="11">
        <v>1997</v>
      </c>
      <c r="Y1808" s="11">
        <v>956</v>
      </c>
      <c r="Z1808" s="11">
        <v>6.6</v>
      </c>
      <c r="AA1808" s="11">
        <v>2.35</v>
      </c>
      <c r="AB1808" s="11">
        <v>0</v>
      </c>
      <c r="AC1808" s="11"/>
      <c r="AD1808" s="11" t="str">
        <f>IFERROR(__xludf.DUMMYFUNCTION("""COMPUTED_VALUE"""),"Patti D'Arbanville")</f>
        <v>Patti D'Arbanville</v>
      </c>
      <c r="AE1808" s="11"/>
    </row>
    <row r="1809" customHeight="1" spans="1:31">
      <c r="A1809" s="12" t="s">
        <v>30</v>
      </c>
      <c r="B1809" s="12" t="s">
        <v>5246</v>
      </c>
      <c r="C1809" s="12">
        <v>125</v>
      </c>
      <c r="D1809" s="12">
        <v>148</v>
      </c>
      <c r="E1809" s="12">
        <v>644</v>
      </c>
      <c r="F1809" s="12">
        <v>326</v>
      </c>
      <c r="G1809" s="12">
        <v>1000</v>
      </c>
      <c r="H1809" s="12">
        <v>54200000</v>
      </c>
      <c r="I1809" s="12" t="s">
        <v>9099</v>
      </c>
      <c r="J1809" s="12" t="s">
        <v>7960</v>
      </c>
      <c r="K1809" s="12" t="s">
        <v>9100</v>
      </c>
      <c r="L1809" s="12" t="s">
        <v>9101</v>
      </c>
      <c r="M1809" s="12" t="s">
        <v>9102</v>
      </c>
      <c r="N1809" s="12">
        <v>142448</v>
      </c>
      <c r="O1809" s="12">
        <v>2566</v>
      </c>
      <c r="P1809" s="12">
        <v>1</v>
      </c>
      <c r="Q1809" s="12" t="s">
        <v>9103</v>
      </c>
      <c r="R1809" s="15" t="s">
        <v>9104</v>
      </c>
      <c r="S1809" s="12">
        <v>319</v>
      </c>
      <c r="T1809" s="12" t="s">
        <v>39</v>
      </c>
      <c r="U1809" s="12" t="s">
        <v>40</v>
      </c>
      <c r="V1809" s="12" t="s">
        <v>586</v>
      </c>
      <c r="W1809" s="12">
        <v>27000000</v>
      </c>
      <c r="X1809" s="12">
        <v>1980</v>
      </c>
      <c r="Y1809" s="12">
        <v>809</v>
      </c>
      <c r="Z1809" s="12">
        <v>7.9</v>
      </c>
      <c r="AA1809" s="12">
        <v>1.85</v>
      </c>
      <c r="AB1809" s="12">
        <v>14000</v>
      </c>
      <c r="AC1809" s="12"/>
      <c r="AD1809" s="12" t="str">
        <f>IFERROR(__xludf.DUMMYFUNCTION("""COMPUTED_VALUE"""),"Vanessa Aspillaga")</f>
        <v>Vanessa Aspillaga</v>
      </c>
      <c r="AE1809" s="12"/>
    </row>
    <row r="1810" customHeight="1" spans="1:31">
      <c r="A1810" s="11" t="s">
        <v>30</v>
      </c>
      <c r="B1810" s="11" t="s">
        <v>9105</v>
      </c>
      <c r="C1810" s="11">
        <v>73</v>
      </c>
      <c r="D1810" s="11">
        <v>119</v>
      </c>
      <c r="E1810" s="11">
        <v>43</v>
      </c>
      <c r="F1810" s="11">
        <v>523</v>
      </c>
      <c r="G1810" s="11">
        <v>953</v>
      </c>
      <c r="H1810" s="11">
        <v>44087387</v>
      </c>
      <c r="I1810" s="11" t="s">
        <v>9106</v>
      </c>
      <c r="J1810" s="11" t="s">
        <v>642</v>
      </c>
      <c r="K1810" s="11" t="s">
        <v>1747</v>
      </c>
      <c r="L1810" s="11" t="s">
        <v>9107</v>
      </c>
      <c r="M1810" s="11" t="s">
        <v>9108</v>
      </c>
      <c r="N1810" s="11">
        <v>22304</v>
      </c>
      <c r="O1810" s="11">
        <v>3525</v>
      </c>
      <c r="P1810" s="11">
        <v>4</v>
      </c>
      <c r="Q1810" s="11" t="s">
        <v>9109</v>
      </c>
      <c r="R1810" s="14" t="s">
        <v>9110</v>
      </c>
      <c r="S1810" s="11">
        <v>33</v>
      </c>
      <c r="T1810" s="11" t="s">
        <v>39</v>
      </c>
      <c r="U1810" s="11" t="s">
        <v>40</v>
      </c>
      <c r="V1810" s="11" t="s">
        <v>41</v>
      </c>
      <c r="W1810" s="13"/>
      <c r="X1810" s="11">
        <v>2008</v>
      </c>
      <c r="Y1810" s="11">
        <v>713</v>
      </c>
      <c r="Z1810" s="11">
        <v>6.2</v>
      </c>
      <c r="AA1810" s="11">
        <v>1.85</v>
      </c>
      <c r="AB1810" s="11">
        <v>894</v>
      </c>
      <c r="AC1810" s="11"/>
      <c r="AD1810" s="11" t="str">
        <f>IFERROR(__xludf.DUMMYFUNCTION("""COMPUTED_VALUE"""),"Anne Archer")</f>
        <v>Anne Archer</v>
      </c>
      <c r="AE1810" s="11"/>
    </row>
    <row r="1811" customHeight="1" spans="1:31">
      <c r="A1811" s="12" t="s">
        <v>30</v>
      </c>
      <c r="B1811" s="12" t="s">
        <v>3406</v>
      </c>
      <c r="C1811" s="12">
        <v>98</v>
      </c>
      <c r="D1811" s="12">
        <v>118</v>
      </c>
      <c r="E1811" s="12">
        <v>650</v>
      </c>
      <c r="F1811" s="12">
        <v>715</v>
      </c>
      <c r="G1811" s="12">
        <v>1000</v>
      </c>
      <c r="H1811" s="12">
        <v>30920167</v>
      </c>
      <c r="I1811" s="12" t="s">
        <v>6419</v>
      </c>
      <c r="J1811" s="12" t="s">
        <v>9111</v>
      </c>
      <c r="K1811" s="12" t="s">
        <v>9112</v>
      </c>
      <c r="L1811" s="12" t="s">
        <v>6644</v>
      </c>
      <c r="M1811" s="12" t="s">
        <v>9113</v>
      </c>
      <c r="N1811" s="12">
        <v>6476</v>
      </c>
      <c r="O1811" s="12">
        <v>3389</v>
      </c>
      <c r="P1811" s="12">
        <v>4</v>
      </c>
      <c r="Q1811" s="12" t="s">
        <v>9114</v>
      </c>
      <c r="R1811" s="15" t="s">
        <v>9115</v>
      </c>
      <c r="S1811" s="12">
        <v>71</v>
      </c>
      <c r="T1811" s="12" t="s">
        <v>39</v>
      </c>
      <c r="U1811" s="12" t="s">
        <v>40</v>
      </c>
      <c r="V1811" s="12" t="s">
        <v>41</v>
      </c>
      <c r="W1811" s="12">
        <v>25000000</v>
      </c>
      <c r="X1811" s="12">
        <v>2012</v>
      </c>
      <c r="Y1811" s="12">
        <v>773</v>
      </c>
      <c r="Z1811" s="12">
        <v>5.7</v>
      </c>
      <c r="AA1811" s="12">
        <v>2.35</v>
      </c>
      <c r="AB1811" s="12">
        <v>0</v>
      </c>
      <c r="AC1811" s="12"/>
      <c r="AD1811" s="12" t="str">
        <f>IFERROR(__xludf.DUMMYFUNCTION("""COMPUTED_VALUE"""),"David Fine")</f>
        <v>David Fine</v>
      </c>
      <c r="AE1811" s="12"/>
    </row>
    <row r="1812" customHeight="1" spans="1:31">
      <c r="A1812" s="11" t="s">
        <v>30</v>
      </c>
      <c r="B1812" s="11" t="s">
        <v>199</v>
      </c>
      <c r="C1812" s="11">
        <v>158</v>
      </c>
      <c r="D1812" s="11">
        <v>101</v>
      </c>
      <c r="E1812" s="11">
        <v>129</v>
      </c>
      <c r="F1812" s="11">
        <v>3</v>
      </c>
      <c r="G1812" s="11">
        <v>66</v>
      </c>
      <c r="H1812" s="11">
        <v>40566655</v>
      </c>
      <c r="I1812" s="11" t="s">
        <v>1415</v>
      </c>
      <c r="J1812" s="11" t="s">
        <v>9116</v>
      </c>
      <c r="K1812" s="11" t="s">
        <v>9117</v>
      </c>
      <c r="L1812" s="11" t="s">
        <v>9118</v>
      </c>
      <c r="M1812" s="11" t="s">
        <v>9119</v>
      </c>
      <c r="N1812" s="11">
        <v>144021</v>
      </c>
      <c r="O1812" s="11">
        <v>74</v>
      </c>
      <c r="P1812" s="11">
        <v>0</v>
      </c>
      <c r="Q1812" s="11" t="s">
        <v>9120</v>
      </c>
      <c r="R1812" s="14" t="s">
        <v>9121</v>
      </c>
      <c r="S1812" s="11">
        <v>391</v>
      </c>
      <c r="T1812" s="11" t="s">
        <v>39</v>
      </c>
      <c r="U1812" s="11" t="s">
        <v>58</v>
      </c>
      <c r="V1812" s="11" t="s">
        <v>41</v>
      </c>
      <c r="W1812" s="11">
        <v>30000000</v>
      </c>
      <c r="X1812" s="11">
        <v>2002</v>
      </c>
      <c r="Y1812" s="11">
        <v>5</v>
      </c>
      <c r="Z1812" s="11">
        <v>7.1</v>
      </c>
      <c r="AA1812" s="11">
        <v>2.35</v>
      </c>
      <c r="AB1812" s="11">
        <v>0</v>
      </c>
      <c r="AC1812" s="11"/>
      <c r="AD1812" s="11" t="str">
        <f>IFERROR(__xludf.DUMMYFUNCTION("""COMPUTED_VALUE"""),"Jesse L. Martin")</f>
        <v>Jesse L. Martin</v>
      </c>
      <c r="AE1812" s="11"/>
    </row>
    <row r="1813" customHeight="1" spans="1:31">
      <c r="A1813" s="12" t="s">
        <v>30</v>
      </c>
      <c r="B1813" s="12" t="s">
        <v>7065</v>
      </c>
      <c r="C1813" s="12">
        <v>152</v>
      </c>
      <c r="D1813" s="12">
        <v>82</v>
      </c>
      <c r="E1813" s="12">
        <v>49</v>
      </c>
      <c r="F1813" s="12">
        <v>429</v>
      </c>
      <c r="G1813" s="12">
        <v>1000</v>
      </c>
      <c r="H1813" s="12">
        <v>31768374</v>
      </c>
      <c r="I1813" s="12" t="s">
        <v>8536</v>
      </c>
      <c r="J1813" s="12" t="s">
        <v>430</v>
      </c>
      <c r="K1813" s="12" t="s">
        <v>3179</v>
      </c>
      <c r="L1813" s="12" t="s">
        <v>9122</v>
      </c>
      <c r="M1813" s="12" t="s">
        <v>9123</v>
      </c>
      <c r="N1813" s="12">
        <v>42761</v>
      </c>
      <c r="O1813" s="12">
        <v>3313</v>
      </c>
      <c r="P1813" s="12">
        <v>0</v>
      </c>
      <c r="Q1813" s="12" t="s">
        <v>9124</v>
      </c>
      <c r="R1813" s="15" t="s">
        <v>9125</v>
      </c>
      <c r="S1813" s="12">
        <v>366</v>
      </c>
      <c r="T1813" s="12" t="s">
        <v>39</v>
      </c>
      <c r="U1813" s="12" t="s">
        <v>40</v>
      </c>
      <c r="V1813" s="12" t="s">
        <v>586</v>
      </c>
      <c r="W1813" s="12">
        <v>27000000</v>
      </c>
      <c r="X1813" s="12">
        <v>1999</v>
      </c>
      <c r="Y1813" s="12">
        <v>888</v>
      </c>
      <c r="Z1813" s="12">
        <v>5.6</v>
      </c>
      <c r="AA1813" s="12">
        <v>2.35</v>
      </c>
      <c r="AB1813" s="12">
        <v>2000</v>
      </c>
      <c r="AC1813" s="12"/>
      <c r="AD1813" s="12" t="str">
        <f>IFERROR(__xludf.DUMMYFUNCTION("""COMPUTED_VALUE"""),"Jimmy Smits")</f>
        <v>Jimmy Smits</v>
      </c>
      <c r="AE1813" s="12"/>
    </row>
    <row r="1814" customHeight="1" spans="1:31">
      <c r="A1814" s="11" t="s">
        <v>30</v>
      </c>
      <c r="B1814" s="11" t="s">
        <v>6047</v>
      </c>
      <c r="C1814" s="11">
        <v>202</v>
      </c>
      <c r="D1814" s="11">
        <v>110</v>
      </c>
      <c r="E1814" s="11">
        <v>118</v>
      </c>
      <c r="F1814" s="11">
        <v>1000</v>
      </c>
      <c r="G1814" s="11">
        <v>13000</v>
      </c>
      <c r="H1814" s="11">
        <v>22494487</v>
      </c>
      <c r="I1814" s="11" t="s">
        <v>2142</v>
      </c>
      <c r="J1814" s="11" t="s">
        <v>978</v>
      </c>
      <c r="K1814" s="11" t="s">
        <v>466</v>
      </c>
      <c r="L1814" s="11" t="s">
        <v>2730</v>
      </c>
      <c r="M1814" s="11" t="s">
        <v>9126</v>
      </c>
      <c r="N1814" s="11">
        <v>262153</v>
      </c>
      <c r="O1814" s="11">
        <v>26451</v>
      </c>
      <c r="P1814" s="11">
        <v>3</v>
      </c>
      <c r="Q1814" s="11" t="s">
        <v>9127</v>
      </c>
      <c r="R1814" s="14" t="s">
        <v>9128</v>
      </c>
      <c r="S1814" s="11">
        <v>507</v>
      </c>
      <c r="T1814" s="11" t="s">
        <v>39</v>
      </c>
      <c r="U1814" s="11" t="s">
        <v>768</v>
      </c>
      <c r="V1814" s="11" t="s">
        <v>586</v>
      </c>
      <c r="W1814" s="11">
        <v>27000000</v>
      </c>
      <c r="X1814" s="11">
        <v>2006</v>
      </c>
      <c r="Y1814" s="11">
        <v>11000</v>
      </c>
      <c r="Z1814" s="11">
        <v>7.8</v>
      </c>
      <c r="AA1814" s="11">
        <v>2.35</v>
      </c>
      <c r="AB1814" s="11">
        <v>10000</v>
      </c>
      <c r="AC1814" s="11"/>
      <c r="AD1814" s="11" t="str">
        <f>IFERROR(__xludf.DUMMYFUNCTION("""COMPUTED_VALUE"""),"Angela Bettis")</f>
        <v>Angela Bettis</v>
      </c>
      <c r="AE1814" s="11"/>
    </row>
    <row r="1815" customHeight="1" spans="1:31">
      <c r="A1815" s="12" t="s">
        <v>30</v>
      </c>
      <c r="B1815" s="12" t="s">
        <v>9129</v>
      </c>
      <c r="C1815" s="12">
        <v>80</v>
      </c>
      <c r="D1815" s="12">
        <v>193</v>
      </c>
      <c r="E1815" s="12">
        <v>133</v>
      </c>
      <c r="F1815" s="12">
        <v>820</v>
      </c>
      <c r="G1815" s="12">
        <v>2000</v>
      </c>
      <c r="H1815" s="12">
        <v>21500000</v>
      </c>
      <c r="I1815" s="12" t="s">
        <v>2158</v>
      </c>
      <c r="J1815" s="12" t="s">
        <v>537</v>
      </c>
      <c r="K1815" s="12" t="s">
        <v>1320</v>
      </c>
      <c r="L1815" s="12" t="s">
        <v>1046</v>
      </c>
      <c r="M1815" s="12" t="s">
        <v>9130</v>
      </c>
      <c r="N1815" s="12">
        <v>45271</v>
      </c>
      <c r="O1815" s="12">
        <v>6341</v>
      </c>
      <c r="P1815" s="12">
        <v>0</v>
      </c>
      <c r="Q1815" s="12" t="s">
        <v>9131</v>
      </c>
      <c r="R1815" s="15" t="s">
        <v>9132</v>
      </c>
      <c r="S1815" s="12">
        <v>170</v>
      </c>
      <c r="T1815" s="12" t="s">
        <v>39</v>
      </c>
      <c r="U1815" s="12" t="s">
        <v>40</v>
      </c>
      <c r="V1815" s="12" t="s">
        <v>96</v>
      </c>
      <c r="W1815" s="12">
        <v>27000000</v>
      </c>
      <c r="X1815" s="12">
        <v>1983</v>
      </c>
      <c r="Y1815" s="12">
        <v>826</v>
      </c>
      <c r="Z1815" s="12">
        <v>7.9</v>
      </c>
      <c r="AA1815" s="12">
        <v>1.85</v>
      </c>
      <c r="AB1815" s="12">
        <v>0</v>
      </c>
      <c r="AC1815" s="12"/>
      <c r="AD1815" s="12" t="str">
        <f>IFERROR(__xludf.DUMMYFUNCTION("""COMPUTED_VALUE"""),"Valerie Perri")</f>
        <v>Valerie Perri</v>
      </c>
      <c r="AE1815" s="12"/>
    </row>
    <row r="1816" customHeight="1" spans="1:31">
      <c r="A1816" s="11" t="s">
        <v>30</v>
      </c>
      <c r="B1816" s="11" t="s">
        <v>429</v>
      </c>
      <c r="C1816" s="11">
        <v>288</v>
      </c>
      <c r="D1816" s="11">
        <v>130</v>
      </c>
      <c r="E1816" s="11">
        <v>776</v>
      </c>
      <c r="F1816" s="11">
        <v>358</v>
      </c>
      <c r="G1816" s="11">
        <v>898</v>
      </c>
      <c r="H1816" s="11">
        <v>4463292</v>
      </c>
      <c r="I1816" s="11" t="s">
        <v>2819</v>
      </c>
      <c r="J1816" s="11" t="s">
        <v>2535</v>
      </c>
      <c r="K1816" s="11" t="s">
        <v>2144</v>
      </c>
      <c r="L1816" s="11" t="s">
        <v>1130</v>
      </c>
      <c r="M1816" s="11" t="s">
        <v>9133</v>
      </c>
      <c r="N1816" s="11">
        <v>34488</v>
      </c>
      <c r="O1816" s="11">
        <v>2452</v>
      </c>
      <c r="P1816" s="11">
        <v>3</v>
      </c>
      <c r="Q1816" s="11" t="s">
        <v>9134</v>
      </c>
      <c r="R1816" s="14" t="s">
        <v>9135</v>
      </c>
      <c r="S1816" s="11">
        <v>136</v>
      </c>
      <c r="T1816" s="11" t="s">
        <v>39</v>
      </c>
      <c r="U1816" s="11" t="s">
        <v>58</v>
      </c>
      <c r="V1816" s="11" t="s">
        <v>41</v>
      </c>
      <c r="W1816" s="11">
        <v>30000000</v>
      </c>
      <c r="X1816" s="11">
        <v>2011</v>
      </c>
      <c r="Y1816" s="11">
        <v>584</v>
      </c>
      <c r="Z1816" s="11">
        <v>6.9</v>
      </c>
      <c r="AA1816" s="11">
        <v>2.35</v>
      </c>
      <c r="AB1816" s="11">
        <v>15000</v>
      </c>
      <c r="AC1816" s="11"/>
      <c r="AD1816" s="11" t="str">
        <f>IFERROR(__xludf.DUMMYFUNCTION("""COMPUTED_VALUE"""),"Carlease Burke")</f>
        <v>Carlease Burke</v>
      </c>
      <c r="AE1816" s="11"/>
    </row>
    <row r="1817" customHeight="1" spans="1:31">
      <c r="A1817" s="12" t="s">
        <v>30</v>
      </c>
      <c r="B1817" s="12" t="s">
        <v>711</v>
      </c>
      <c r="C1817" s="12">
        <v>99</v>
      </c>
      <c r="D1817" s="12">
        <v>94</v>
      </c>
      <c r="E1817" s="12">
        <v>249</v>
      </c>
      <c r="F1817" s="12">
        <v>271</v>
      </c>
      <c r="G1817" s="12">
        <v>523</v>
      </c>
      <c r="H1817" s="16"/>
      <c r="I1817" s="12" t="s">
        <v>548</v>
      </c>
      <c r="J1817" s="12" t="s">
        <v>3741</v>
      </c>
      <c r="K1817" s="12" t="s">
        <v>9136</v>
      </c>
      <c r="L1817" s="12" t="s">
        <v>8442</v>
      </c>
      <c r="M1817" s="12" t="s">
        <v>9137</v>
      </c>
      <c r="N1817" s="12">
        <v>99557</v>
      </c>
      <c r="O1817" s="12">
        <v>1560</v>
      </c>
      <c r="P1817" s="12">
        <v>1</v>
      </c>
      <c r="Q1817" s="12" t="s">
        <v>9138</v>
      </c>
      <c r="R1817" s="15" t="s">
        <v>9139</v>
      </c>
      <c r="S1817" s="12">
        <v>284</v>
      </c>
      <c r="T1817" s="12" t="s">
        <v>39</v>
      </c>
      <c r="U1817" s="12" t="s">
        <v>9140</v>
      </c>
      <c r="V1817" s="12" t="s">
        <v>96</v>
      </c>
      <c r="W1817" s="12">
        <v>27000000</v>
      </c>
      <c r="X1817" s="12">
        <v>1984</v>
      </c>
      <c r="Y1817" s="12">
        <v>312</v>
      </c>
      <c r="Z1817" s="12">
        <v>7.4</v>
      </c>
      <c r="AA1817" s="12">
        <v>2.35</v>
      </c>
      <c r="AB1817" s="12">
        <v>21000</v>
      </c>
      <c r="AC1817" s="12"/>
      <c r="AD1817" s="12" t="str">
        <f>IFERROR(__xludf.DUMMYFUNCTION("""COMPUTED_VALUE"""),"Marco Hofschneider")</f>
        <v>Marco Hofschneider</v>
      </c>
      <c r="AE1817" s="12"/>
    </row>
    <row r="1818" customHeight="1" spans="1:31">
      <c r="A1818" s="11" t="s">
        <v>30</v>
      </c>
      <c r="B1818" s="11" t="s">
        <v>1040</v>
      </c>
      <c r="C1818" s="11">
        <v>222</v>
      </c>
      <c r="D1818" s="11">
        <v>111</v>
      </c>
      <c r="E1818" s="11">
        <v>295</v>
      </c>
      <c r="F1818" s="11">
        <v>531</v>
      </c>
      <c r="G1818" s="11">
        <v>3000</v>
      </c>
      <c r="H1818" s="11">
        <v>14337579</v>
      </c>
      <c r="I1818" s="11" t="s">
        <v>9141</v>
      </c>
      <c r="J1818" s="11" t="s">
        <v>1816</v>
      </c>
      <c r="K1818" s="11" t="s">
        <v>191</v>
      </c>
      <c r="L1818" s="11" t="s">
        <v>743</v>
      </c>
      <c r="M1818" s="11" t="s">
        <v>9142</v>
      </c>
      <c r="N1818" s="11">
        <v>156929</v>
      </c>
      <c r="O1818" s="11">
        <v>4696</v>
      </c>
      <c r="P1818" s="11">
        <v>1</v>
      </c>
      <c r="Q1818" s="11" t="s">
        <v>9143</v>
      </c>
      <c r="R1818" s="14" t="s">
        <v>9144</v>
      </c>
      <c r="S1818" s="11">
        <v>624</v>
      </c>
      <c r="T1818" s="11" t="s">
        <v>39</v>
      </c>
      <c r="U1818" s="11" t="s">
        <v>371</v>
      </c>
      <c r="V1818" s="11" t="s">
        <v>586</v>
      </c>
      <c r="W1818" s="11">
        <v>27000000</v>
      </c>
      <c r="X1818" s="11">
        <v>1998</v>
      </c>
      <c r="Y1818" s="11">
        <v>882</v>
      </c>
      <c r="Z1818" s="11">
        <v>7.7</v>
      </c>
      <c r="AA1818" s="11">
        <v>2.35</v>
      </c>
      <c r="AB1818" s="11">
        <v>14000</v>
      </c>
      <c r="AC1818" s="11"/>
      <c r="AD1818" s="11" t="str">
        <f>IFERROR(__xludf.DUMMYFUNCTION("""COMPUTED_VALUE"""),"Catherine Deneuve")</f>
        <v>Catherine Deneuve</v>
      </c>
      <c r="AE1818" s="11"/>
    </row>
    <row r="1819" customHeight="1" spans="1:31">
      <c r="A1819" s="12" t="s">
        <v>30</v>
      </c>
      <c r="B1819" s="12" t="s">
        <v>9145</v>
      </c>
      <c r="C1819" s="12">
        <v>194</v>
      </c>
      <c r="D1819" s="12">
        <v>110</v>
      </c>
      <c r="E1819" s="12">
        <v>10</v>
      </c>
      <c r="F1819" s="12">
        <v>844</v>
      </c>
      <c r="G1819" s="12">
        <v>3000</v>
      </c>
      <c r="H1819" s="12">
        <v>13823741</v>
      </c>
      <c r="I1819" s="12" t="s">
        <v>6113</v>
      </c>
      <c r="J1819" s="12" t="s">
        <v>730</v>
      </c>
      <c r="K1819" s="12" t="s">
        <v>594</v>
      </c>
      <c r="L1819" s="12" t="s">
        <v>3518</v>
      </c>
      <c r="M1819" s="12" t="s">
        <v>9146</v>
      </c>
      <c r="N1819" s="12">
        <v>61777</v>
      </c>
      <c r="O1819" s="12">
        <v>6420</v>
      </c>
      <c r="P1819" s="12">
        <v>3</v>
      </c>
      <c r="Q1819" s="12" t="s">
        <v>9147</v>
      </c>
      <c r="R1819" s="15" t="s">
        <v>9148</v>
      </c>
      <c r="S1819" s="12">
        <v>140</v>
      </c>
      <c r="T1819" s="12" t="s">
        <v>39</v>
      </c>
      <c r="U1819" s="12" t="s">
        <v>58</v>
      </c>
      <c r="V1819" s="12" t="s">
        <v>41</v>
      </c>
      <c r="W1819" s="12">
        <v>13500000</v>
      </c>
      <c r="X1819" s="12">
        <v>2008</v>
      </c>
      <c r="Y1819" s="12">
        <v>2000</v>
      </c>
      <c r="Z1819" s="12">
        <v>6.9</v>
      </c>
      <c r="AA1819" s="12">
        <v>2.35</v>
      </c>
      <c r="AB1819" s="12">
        <v>0</v>
      </c>
      <c r="AC1819" s="12"/>
      <c r="AD1819" s="12" t="str">
        <f>IFERROR(__xludf.DUMMYFUNCTION("""COMPUTED_VALUE"""),"Justin Chambers")</f>
        <v>Justin Chambers</v>
      </c>
      <c r="AE1819" s="12"/>
    </row>
    <row r="1820" customHeight="1" spans="1:31">
      <c r="A1820" s="11" t="s">
        <v>748</v>
      </c>
      <c r="B1820" s="13"/>
      <c r="C1820" s="11">
        <v>15</v>
      </c>
      <c r="D1820" s="11">
        <v>30</v>
      </c>
      <c r="E1820" s="13"/>
      <c r="F1820" s="11">
        <v>94</v>
      </c>
      <c r="G1820" s="11">
        <v>491</v>
      </c>
      <c r="H1820" s="13"/>
      <c r="I1820" s="11" t="s">
        <v>3057</v>
      </c>
      <c r="J1820" s="11" t="s">
        <v>9149</v>
      </c>
      <c r="K1820" s="11" t="s">
        <v>9150</v>
      </c>
      <c r="L1820" s="11" t="s">
        <v>9151</v>
      </c>
      <c r="M1820" s="11" t="s">
        <v>9152</v>
      </c>
      <c r="N1820" s="11">
        <v>3446</v>
      </c>
      <c r="O1820" s="11">
        <v>812</v>
      </c>
      <c r="P1820" s="11">
        <v>4</v>
      </c>
      <c r="Q1820" s="11" t="s">
        <v>9153</v>
      </c>
      <c r="R1820" s="14" t="s">
        <v>9154</v>
      </c>
      <c r="S1820" s="11">
        <v>31</v>
      </c>
      <c r="T1820" s="11" t="s">
        <v>39</v>
      </c>
      <c r="U1820" s="11" t="s">
        <v>40</v>
      </c>
      <c r="V1820" s="13"/>
      <c r="W1820" s="13"/>
      <c r="X1820" s="13"/>
      <c r="Y1820" s="11">
        <v>154</v>
      </c>
      <c r="Z1820" s="11">
        <v>8.7</v>
      </c>
      <c r="AA1820" s="11">
        <v>1.33</v>
      </c>
      <c r="AB1820" s="11">
        <v>459</v>
      </c>
      <c r="AC1820" s="11"/>
      <c r="AD1820" s="11" t="str">
        <f>IFERROR(__xludf.DUMMYFUNCTION("""COMPUTED_VALUE"""),"Andrea Frankle")</f>
        <v>Andrea Frankle</v>
      </c>
      <c r="AE1820" s="11"/>
    </row>
    <row r="1821" customHeight="1" spans="1:31">
      <c r="A1821" s="12" t="s">
        <v>30</v>
      </c>
      <c r="B1821" s="12" t="s">
        <v>9155</v>
      </c>
      <c r="C1821" s="12">
        <v>56</v>
      </c>
      <c r="D1821" s="12">
        <v>109</v>
      </c>
      <c r="E1821" s="12">
        <v>181</v>
      </c>
      <c r="F1821" s="12">
        <v>137</v>
      </c>
      <c r="G1821" s="12">
        <v>303</v>
      </c>
      <c r="H1821" s="16"/>
      <c r="I1821" s="12" t="s">
        <v>9156</v>
      </c>
      <c r="J1821" s="12" t="s">
        <v>9157</v>
      </c>
      <c r="K1821" s="12" t="s">
        <v>9158</v>
      </c>
      <c r="L1821" s="12" t="s">
        <v>9159</v>
      </c>
      <c r="M1821" s="12" t="s">
        <v>9160</v>
      </c>
      <c r="N1821" s="12">
        <v>19568</v>
      </c>
      <c r="O1821" s="12">
        <v>960</v>
      </c>
      <c r="P1821" s="12">
        <v>0</v>
      </c>
      <c r="Q1821" s="12" t="s">
        <v>9161</v>
      </c>
      <c r="R1821" s="15" t="s">
        <v>9162</v>
      </c>
      <c r="S1821" s="12">
        <v>208</v>
      </c>
      <c r="T1821" s="12" t="s">
        <v>39</v>
      </c>
      <c r="U1821" s="12" t="s">
        <v>58</v>
      </c>
      <c r="V1821" s="12" t="s">
        <v>96</v>
      </c>
      <c r="W1821" s="12">
        <v>25000000</v>
      </c>
      <c r="X1821" s="12">
        <v>1985</v>
      </c>
      <c r="Y1821" s="12">
        <v>146</v>
      </c>
      <c r="Z1821" s="12">
        <v>6.7</v>
      </c>
      <c r="AA1821" s="12">
        <v>1.85</v>
      </c>
      <c r="AB1821" s="12">
        <v>0</v>
      </c>
      <c r="AC1821" s="12"/>
      <c r="AD1821" s="12" t="str">
        <f>IFERROR(__xludf.DUMMYFUNCTION("""COMPUTED_VALUE"""),"William Ragsdale")</f>
        <v>William Ragsdale</v>
      </c>
      <c r="AE1821" s="12"/>
    </row>
    <row r="1822" customHeight="1" spans="1:31">
      <c r="A1822" s="11" t="s">
        <v>30</v>
      </c>
      <c r="B1822" s="11" t="s">
        <v>9163</v>
      </c>
      <c r="C1822" s="11">
        <v>63</v>
      </c>
      <c r="D1822" s="11">
        <v>123</v>
      </c>
      <c r="E1822" s="11">
        <v>0</v>
      </c>
      <c r="F1822" s="11">
        <v>324</v>
      </c>
      <c r="G1822" s="11">
        <v>11000</v>
      </c>
      <c r="H1822" s="11">
        <v>10297897</v>
      </c>
      <c r="I1822" s="11" t="s">
        <v>9164</v>
      </c>
      <c r="J1822" s="11" t="s">
        <v>661</v>
      </c>
      <c r="K1822" s="11" t="s">
        <v>9165</v>
      </c>
      <c r="L1822" s="11" t="s">
        <v>5538</v>
      </c>
      <c r="M1822" s="11" t="s">
        <v>9166</v>
      </c>
      <c r="N1822" s="11">
        <v>8309</v>
      </c>
      <c r="O1822" s="11">
        <v>11969</v>
      </c>
      <c r="P1822" s="11">
        <v>4</v>
      </c>
      <c r="Q1822" s="11" t="s">
        <v>9167</v>
      </c>
      <c r="R1822" s="14" t="s">
        <v>9168</v>
      </c>
      <c r="S1822" s="11">
        <v>39</v>
      </c>
      <c r="T1822" s="11" t="s">
        <v>39</v>
      </c>
      <c r="U1822" s="11" t="s">
        <v>40</v>
      </c>
      <c r="V1822" s="11" t="s">
        <v>41</v>
      </c>
      <c r="W1822" s="11">
        <v>27000000</v>
      </c>
      <c r="X1822" s="11">
        <v>1998</v>
      </c>
      <c r="Y1822" s="11">
        <v>597</v>
      </c>
      <c r="Z1822" s="11">
        <v>6</v>
      </c>
      <c r="AA1822" s="11">
        <v>2.35</v>
      </c>
      <c r="AB1822" s="11">
        <v>315</v>
      </c>
      <c r="AC1822" s="11"/>
      <c r="AD1822" s="11" t="str">
        <f>IFERROR(__xludf.DUMMYFUNCTION("""COMPUTED_VALUE"""),"David Proval")</f>
        <v>David Proval</v>
      </c>
      <c r="AE1822" s="11"/>
    </row>
    <row r="1823" customHeight="1" spans="1:31">
      <c r="A1823" s="12" t="s">
        <v>30</v>
      </c>
      <c r="B1823" s="12" t="s">
        <v>6814</v>
      </c>
      <c r="C1823" s="12">
        <v>167</v>
      </c>
      <c r="D1823" s="12">
        <v>109</v>
      </c>
      <c r="E1823" s="12">
        <v>22</v>
      </c>
      <c r="F1823" s="12">
        <v>355</v>
      </c>
      <c r="G1823" s="12">
        <v>14000</v>
      </c>
      <c r="H1823" s="12">
        <v>13248477</v>
      </c>
      <c r="I1823" s="12" t="s">
        <v>3030</v>
      </c>
      <c r="J1823" s="12" t="s">
        <v>655</v>
      </c>
      <c r="K1823" s="12" t="s">
        <v>731</v>
      </c>
      <c r="L1823" s="12" t="s">
        <v>9169</v>
      </c>
      <c r="M1823" s="12" t="s">
        <v>9170</v>
      </c>
      <c r="N1823" s="12">
        <v>60555</v>
      </c>
      <c r="O1823" s="12">
        <v>15790</v>
      </c>
      <c r="P1823" s="12">
        <v>1</v>
      </c>
      <c r="Q1823" s="12" t="s">
        <v>9171</v>
      </c>
      <c r="R1823" s="15" t="s">
        <v>9172</v>
      </c>
      <c r="S1823" s="12">
        <v>174</v>
      </c>
      <c r="T1823" s="12" t="s">
        <v>39</v>
      </c>
      <c r="U1823" s="12" t="s">
        <v>40</v>
      </c>
      <c r="V1823" s="12" t="s">
        <v>586</v>
      </c>
      <c r="W1823" s="12">
        <v>27000000</v>
      </c>
      <c r="X1823" s="12">
        <v>2009</v>
      </c>
      <c r="Y1823" s="12">
        <v>716</v>
      </c>
      <c r="Z1823" s="12">
        <v>6.2</v>
      </c>
      <c r="AA1823" s="12">
        <v>2.35</v>
      </c>
      <c r="AB1823" s="12">
        <v>0</v>
      </c>
      <c r="AC1823" s="12"/>
      <c r="AD1823" s="12" t="str">
        <f>IFERROR(__xludf.DUMMYFUNCTION("""COMPUTED_VALUE"""),"Cliff Robertson")</f>
        <v>Cliff Robertson</v>
      </c>
      <c r="AE1823" s="12"/>
    </row>
    <row r="1824" customHeight="1" spans="1:31">
      <c r="A1824" s="11" t="s">
        <v>30</v>
      </c>
      <c r="B1824" s="11" t="s">
        <v>9173</v>
      </c>
      <c r="C1824" s="11">
        <v>101</v>
      </c>
      <c r="D1824" s="11">
        <v>99</v>
      </c>
      <c r="E1824" s="11">
        <v>54</v>
      </c>
      <c r="F1824" s="11">
        <v>398</v>
      </c>
      <c r="G1824" s="11">
        <v>748</v>
      </c>
      <c r="H1824" s="11">
        <v>8712564</v>
      </c>
      <c r="I1824" s="11" t="s">
        <v>2142</v>
      </c>
      <c r="J1824" s="11" t="s">
        <v>143</v>
      </c>
      <c r="K1824" s="11" t="s">
        <v>2149</v>
      </c>
      <c r="L1824" s="11" t="s">
        <v>9174</v>
      </c>
      <c r="M1824" s="11" t="s">
        <v>9175</v>
      </c>
      <c r="N1824" s="11">
        <v>16555</v>
      </c>
      <c r="O1824" s="11">
        <v>1721</v>
      </c>
      <c r="P1824" s="11">
        <v>0</v>
      </c>
      <c r="Q1824" s="11" t="s">
        <v>9176</v>
      </c>
      <c r="R1824" s="14" t="s">
        <v>9177</v>
      </c>
      <c r="S1824" s="11">
        <v>139</v>
      </c>
      <c r="T1824" s="11" t="s">
        <v>39</v>
      </c>
      <c r="U1824" s="11" t="s">
        <v>40</v>
      </c>
      <c r="V1824" s="11" t="s">
        <v>586</v>
      </c>
      <c r="W1824" s="11">
        <v>27000000</v>
      </c>
      <c r="X1824" s="11">
        <v>2004</v>
      </c>
      <c r="Y1824" s="11">
        <v>489</v>
      </c>
      <c r="Z1824" s="11">
        <v>5.9</v>
      </c>
      <c r="AA1824" s="11">
        <v>1.33</v>
      </c>
      <c r="AB1824" s="11">
        <v>817</v>
      </c>
      <c r="AC1824" s="11"/>
      <c r="AD1824" s="11" t="str">
        <f>IFERROR(__xludf.DUMMYFUNCTION("""COMPUTED_VALUE"""),"Lillo Brancato")</f>
        <v>Lillo Brancato</v>
      </c>
      <c r="AE1824" s="11"/>
    </row>
    <row r="1825" customHeight="1" spans="1:31">
      <c r="A1825" s="12" t="s">
        <v>30</v>
      </c>
      <c r="B1825" s="12" t="s">
        <v>9178</v>
      </c>
      <c r="C1825" s="12">
        <v>118</v>
      </c>
      <c r="D1825" s="12">
        <v>106</v>
      </c>
      <c r="E1825" s="12">
        <v>43</v>
      </c>
      <c r="F1825" s="12">
        <v>460</v>
      </c>
      <c r="G1825" s="12">
        <v>1000</v>
      </c>
      <c r="H1825" s="12">
        <v>7486906</v>
      </c>
      <c r="I1825" s="12" t="s">
        <v>3932</v>
      </c>
      <c r="J1825" s="12" t="s">
        <v>430</v>
      </c>
      <c r="K1825" s="12" t="s">
        <v>2987</v>
      </c>
      <c r="L1825" s="12" t="s">
        <v>4128</v>
      </c>
      <c r="M1825" s="12" t="s">
        <v>9179</v>
      </c>
      <c r="N1825" s="12">
        <v>17436</v>
      </c>
      <c r="O1825" s="12">
        <v>2495</v>
      </c>
      <c r="P1825" s="12">
        <v>0</v>
      </c>
      <c r="Q1825" s="12" t="s">
        <v>9180</v>
      </c>
      <c r="R1825" s="15" t="s">
        <v>9181</v>
      </c>
      <c r="S1825" s="12">
        <v>71</v>
      </c>
      <c r="T1825" s="12" t="s">
        <v>39</v>
      </c>
      <c r="U1825" s="12" t="s">
        <v>40</v>
      </c>
      <c r="V1825" s="12" t="s">
        <v>96</v>
      </c>
      <c r="W1825" s="12">
        <v>27000000</v>
      </c>
      <c r="X1825" s="12">
        <v>2007</v>
      </c>
      <c r="Y1825" s="12">
        <v>506</v>
      </c>
      <c r="Z1825" s="12">
        <v>6.8</v>
      </c>
      <c r="AA1825" s="12">
        <v>1.85</v>
      </c>
      <c r="AB1825" s="12">
        <v>0</v>
      </c>
      <c r="AC1825" s="12"/>
      <c r="AD1825" s="12" t="str">
        <f>IFERROR(__xludf.DUMMYFUNCTION("""COMPUTED_VALUE"""),"Callum Blue")</f>
        <v>Callum Blue</v>
      </c>
      <c r="AE1825" s="12"/>
    </row>
    <row r="1826" customHeight="1" spans="1:31">
      <c r="A1826" s="11" t="s">
        <v>30</v>
      </c>
      <c r="B1826" s="11" t="s">
        <v>4904</v>
      </c>
      <c r="C1826" s="11">
        <v>76</v>
      </c>
      <c r="D1826" s="11">
        <v>89</v>
      </c>
      <c r="E1826" s="11">
        <v>0</v>
      </c>
      <c r="F1826" s="11">
        <v>640</v>
      </c>
      <c r="G1826" s="11">
        <v>2000</v>
      </c>
      <c r="H1826" s="11">
        <v>38536376</v>
      </c>
      <c r="I1826" s="11" t="s">
        <v>3037</v>
      </c>
      <c r="J1826" s="11" t="s">
        <v>5903</v>
      </c>
      <c r="K1826" s="11" t="s">
        <v>5840</v>
      </c>
      <c r="L1826" s="11" t="s">
        <v>74</v>
      </c>
      <c r="M1826" s="11" t="s">
        <v>9182</v>
      </c>
      <c r="N1826" s="11">
        <v>15866</v>
      </c>
      <c r="O1826" s="11">
        <v>4311</v>
      </c>
      <c r="P1826" s="11">
        <v>5</v>
      </c>
      <c r="Q1826" s="11" t="s">
        <v>9183</v>
      </c>
      <c r="R1826" s="14" t="s">
        <v>9184</v>
      </c>
      <c r="S1826" s="11">
        <v>83</v>
      </c>
      <c r="T1826" s="11" t="s">
        <v>39</v>
      </c>
      <c r="U1826" s="11" t="s">
        <v>40</v>
      </c>
      <c r="V1826" s="11" t="s">
        <v>96</v>
      </c>
      <c r="W1826" s="11">
        <v>27000000</v>
      </c>
      <c r="X1826" s="11">
        <v>2011</v>
      </c>
      <c r="Y1826" s="11">
        <v>734</v>
      </c>
      <c r="Z1826" s="11">
        <v>3.6</v>
      </c>
      <c r="AA1826" s="11">
        <v>1.85</v>
      </c>
      <c r="AB1826" s="11">
        <v>0</v>
      </c>
      <c r="AC1826" s="11"/>
      <c r="AD1826" s="11" t="str">
        <f>IFERROR(__xludf.DUMMYFUNCTION("""COMPUTED_VALUE"""),"Jesse Borrego")</f>
        <v>Jesse Borrego</v>
      </c>
      <c r="AE1826" s="11"/>
    </row>
    <row r="1827" customHeight="1" spans="1:31">
      <c r="A1827" s="12" t="s">
        <v>30</v>
      </c>
      <c r="B1827" s="12" t="s">
        <v>9185</v>
      </c>
      <c r="C1827" s="12">
        <v>268</v>
      </c>
      <c r="D1827" s="12">
        <v>98</v>
      </c>
      <c r="E1827" s="12">
        <v>0</v>
      </c>
      <c r="F1827" s="12">
        <v>638</v>
      </c>
      <c r="G1827" s="12">
        <v>8000</v>
      </c>
      <c r="H1827" s="12">
        <v>41008532</v>
      </c>
      <c r="I1827" s="12" t="s">
        <v>2126</v>
      </c>
      <c r="J1827" s="12" t="s">
        <v>1529</v>
      </c>
      <c r="K1827" s="12" t="s">
        <v>3690</v>
      </c>
      <c r="L1827" s="12" t="s">
        <v>607</v>
      </c>
      <c r="M1827" s="12" t="s">
        <v>9186</v>
      </c>
      <c r="N1827" s="12">
        <v>19611</v>
      </c>
      <c r="O1827" s="12">
        <v>10894</v>
      </c>
      <c r="P1827" s="12">
        <v>1</v>
      </c>
      <c r="Q1827" s="12" t="s">
        <v>9187</v>
      </c>
      <c r="R1827" s="15" t="s">
        <v>9188</v>
      </c>
      <c r="S1827" s="12">
        <v>103</v>
      </c>
      <c r="T1827" s="12" t="s">
        <v>39</v>
      </c>
      <c r="U1827" s="12" t="s">
        <v>40</v>
      </c>
      <c r="V1827" s="12" t="s">
        <v>586</v>
      </c>
      <c r="W1827" s="12">
        <v>27000000</v>
      </c>
      <c r="X1827" s="12">
        <v>2016</v>
      </c>
      <c r="Y1827" s="12">
        <v>698</v>
      </c>
      <c r="Z1827" s="12">
        <v>6.7</v>
      </c>
      <c r="AA1827" s="12">
        <v>2.35</v>
      </c>
      <c r="AB1827" s="12">
        <v>0</v>
      </c>
      <c r="AC1827" s="12"/>
      <c r="AD1827" s="12" t="str">
        <f>IFERROR(__xludf.DUMMYFUNCTION("""COMPUTED_VALUE"""),"Jaleel White")</f>
        <v>Jaleel White</v>
      </c>
      <c r="AE1827" s="12"/>
    </row>
    <row r="1828" customHeight="1" spans="1:31">
      <c r="A1828" s="11" t="s">
        <v>30</v>
      </c>
      <c r="B1828" s="11" t="s">
        <v>7688</v>
      </c>
      <c r="C1828" s="11">
        <v>95</v>
      </c>
      <c r="D1828" s="11">
        <v>93</v>
      </c>
      <c r="E1828" s="11">
        <v>31</v>
      </c>
      <c r="F1828" s="11">
        <v>57</v>
      </c>
      <c r="G1828" s="11">
        <v>783</v>
      </c>
      <c r="H1828" s="11">
        <v>5204007</v>
      </c>
      <c r="I1828" s="11" t="s">
        <v>422</v>
      </c>
      <c r="J1828" s="11" t="s">
        <v>3789</v>
      </c>
      <c r="K1828" s="11" t="s">
        <v>9189</v>
      </c>
      <c r="L1828" s="11" t="s">
        <v>9190</v>
      </c>
      <c r="M1828" s="11" t="s">
        <v>9191</v>
      </c>
      <c r="N1828" s="11">
        <v>42876</v>
      </c>
      <c r="O1828" s="11">
        <v>1044</v>
      </c>
      <c r="P1828" s="11">
        <v>2</v>
      </c>
      <c r="Q1828" s="11" t="s">
        <v>9192</v>
      </c>
      <c r="R1828" s="14" t="s">
        <v>9193</v>
      </c>
      <c r="S1828" s="11">
        <v>167</v>
      </c>
      <c r="T1828" s="11" t="s">
        <v>39</v>
      </c>
      <c r="U1828" s="11" t="s">
        <v>58</v>
      </c>
      <c r="V1828" s="11" t="s">
        <v>586</v>
      </c>
      <c r="W1828" s="11">
        <v>28000000</v>
      </c>
      <c r="X1828" s="11">
        <v>2001</v>
      </c>
      <c r="Y1828" s="11">
        <v>132</v>
      </c>
      <c r="Z1828" s="11">
        <v>6.3</v>
      </c>
      <c r="AA1828" s="11">
        <v>2.35</v>
      </c>
      <c r="AB1828" s="11">
        <v>0</v>
      </c>
      <c r="AC1828" s="11"/>
      <c r="AD1828" s="11" t="str">
        <f>IFERROR(__xludf.DUMMYFUNCTION("""COMPUTED_VALUE"""),"John Doman")</f>
        <v>John Doman</v>
      </c>
      <c r="AE1828" s="11"/>
    </row>
    <row r="1829" customHeight="1" spans="1:31">
      <c r="A1829" s="12" t="s">
        <v>30</v>
      </c>
      <c r="B1829" s="12" t="s">
        <v>1325</v>
      </c>
      <c r="C1829" s="12">
        <v>78</v>
      </c>
      <c r="D1829" s="12">
        <v>112</v>
      </c>
      <c r="E1829" s="12">
        <v>541</v>
      </c>
      <c r="F1829" s="12">
        <v>638</v>
      </c>
      <c r="G1829" s="12">
        <v>22000</v>
      </c>
      <c r="H1829" s="12">
        <v>4485485</v>
      </c>
      <c r="I1829" s="12" t="s">
        <v>9194</v>
      </c>
      <c r="J1829" s="12" t="s">
        <v>1746</v>
      </c>
      <c r="K1829" s="12" t="s">
        <v>699</v>
      </c>
      <c r="L1829" s="12" t="s">
        <v>607</v>
      </c>
      <c r="M1829" s="12" t="s">
        <v>9195</v>
      </c>
      <c r="N1829" s="12">
        <v>14612</v>
      </c>
      <c r="O1829" s="12">
        <v>46022</v>
      </c>
      <c r="P1829" s="12">
        <v>1</v>
      </c>
      <c r="Q1829" s="12" t="s">
        <v>9196</v>
      </c>
      <c r="R1829" s="15" t="s">
        <v>9197</v>
      </c>
      <c r="S1829" s="12">
        <v>105</v>
      </c>
      <c r="T1829" s="12" t="s">
        <v>39</v>
      </c>
      <c r="U1829" s="12" t="s">
        <v>40</v>
      </c>
      <c r="V1829" s="12" t="s">
        <v>586</v>
      </c>
      <c r="W1829" s="12">
        <v>15000000</v>
      </c>
      <c r="X1829" s="12">
        <v>1999</v>
      </c>
      <c r="Y1829" s="12">
        <v>22000</v>
      </c>
      <c r="Z1829" s="12">
        <v>6.4</v>
      </c>
      <c r="AA1829" s="12">
        <v>1.85</v>
      </c>
      <c r="AB1829" s="12">
        <v>0</v>
      </c>
      <c r="AC1829" s="12"/>
      <c r="AD1829" s="12" t="str">
        <f>IFERROR(__xludf.DUMMYFUNCTION("""COMPUTED_VALUE"""),"Mira Sorvino")</f>
        <v>Mira Sorvino</v>
      </c>
      <c r="AE1829" s="12"/>
    </row>
    <row r="1830" customHeight="1" spans="1:31">
      <c r="A1830" s="11" t="s">
        <v>30</v>
      </c>
      <c r="B1830" s="11" t="s">
        <v>2067</v>
      </c>
      <c r="C1830" s="11">
        <v>127</v>
      </c>
      <c r="D1830" s="11">
        <v>101</v>
      </c>
      <c r="E1830" s="11">
        <v>212</v>
      </c>
      <c r="F1830" s="11">
        <v>749</v>
      </c>
      <c r="G1830" s="11">
        <v>1000</v>
      </c>
      <c r="H1830" s="11">
        <v>4476235</v>
      </c>
      <c r="I1830" s="11" t="s">
        <v>4833</v>
      </c>
      <c r="J1830" s="11" t="s">
        <v>2121</v>
      </c>
      <c r="K1830" s="11" t="s">
        <v>381</v>
      </c>
      <c r="L1830" s="11" t="s">
        <v>9198</v>
      </c>
      <c r="M1830" s="11" t="s">
        <v>9199</v>
      </c>
      <c r="N1830" s="11">
        <v>49405</v>
      </c>
      <c r="O1830" s="11">
        <v>4186</v>
      </c>
      <c r="P1830" s="11">
        <v>0</v>
      </c>
      <c r="Q1830" s="11" t="s">
        <v>9200</v>
      </c>
      <c r="R1830" s="14" t="s">
        <v>9201</v>
      </c>
      <c r="S1830" s="11">
        <v>226</v>
      </c>
      <c r="T1830" s="11" t="s">
        <v>39</v>
      </c>
      <c r="U1830" s="11" t="s">
        <v>40</v>
      </c>
      <c r="V1830" s="11" t="s">
        <v>586</v>
      </c>
      <c r="W1830" s="11">
        <v>27000000</v>
      </c>
      <c r="X1830" s="11">
        <v>2004</v>
      </c>
      <c r="Y1830" s="11">
        <v>968</v>
      </c>
      <c r="Z1830" s="11">
        <v>6.4</v>
      </c>
      <c r="AA1830" s="11">
        <v>2.35</v>
      </c>
      <c r="AB1830" s="11">
        <v>2000</v>
      </c>
      <c r="AC1830" s="11"/>
      <c r="AD1830" s="11" t="str">
        <f>IFERROR(__xludf.DUMMYFUNCTION("""COMPUTED_VALUE"""),"Steven Weber")</f>
        <v>Steven Weber</v>
      </c>
      <c r="AE1830" s="11"/>
    </row>
    <row r="1831" customHeight="1" spans="1:31">
      <c r="A1831" s="12" t="s">
        <v>30</v>
      </c>
      <c r="B1831" s="12" t="s">
        <v>3123</v>
      </c>
      <c r="C1831" s="12">
        <v>137</v>
      </c>
      <c r="D1831" s="12">
        <v>104</v>
      </c>
      <c r="E1831" s="12">
        <v>272</v>
      </c>
      <c r="F1831" s="12">
        <v>17000</v>
      </c>
      <c r="G1831" s="12">
        <v>22000</v>
      </c>
      <c r="H1831" s="12">
        <v>1089365</v>
      </c>
      <c r="I1831" s="12" t="s">
        <v>2528</v>
      </c>
      <c r="J1831" s="12" t="s">
        <v>1746</v>
      </c>
      <c r="K1831" s="12" t="s">
        <v>438</v>
      </c>
      <c r="L1831" s="12" t="s">
        <v>559</v>
      </c>
      <c r="M1831" s="12" t="s">
        <v>9202</v>
      </c>
      <c r="N1831" s="12">
        <v>23767</v>
      </c>
      <c r="O1831" s="12">
        <v>71973</v>
      </c>
      <c r="P1831" s="12">
        <v>1</v>
      </c>
      <c r="Q1831" s="12" t="s">
        <v>9203</v>
      </c>
      <c r="R1831" s="15" t="s">
        <v>9204</v>
      </c>
      <c r="S1831" s="12">
        <v>111</v>
      </c>
      <c r="T1831" s="12" t="s">
        <v>39</v>
      </c>
      <c r="U1831" s="12" t="s">
        <v>40</v>
      </c>
      <c r="V1831" s="12" t="s">
        <v>586</v>
      </c>
      <c r="W1831" s="12">
        <v>25000000</v>
      </c>
      <c r="X1831" s="12">
        <v>2008</v>
      </c>
      <c r="Y1831" s="12">
        <v>18000</v>
      </c>
      <c r="Z1831" s="12">
        <v>5.7</v>
      </c>
      <c r="AA1831" s="12">
        <v>2.35</v>
      </c>
      <c r="AB1831" s="12">
        <v>845</v>
      </c>
      <c r="AC1831" s="12"/>
      <c r="AD1831" s="12" t="str">
        <f>IFERROR(__xludf.DUMMYFUNCTION("""COMPUTED_VALUE"""),"Dane Cook")</f>
        <v>Dane Cook</v>
      </c>
      <c r="AE1831" s="12"/>
    </row>
    <row r="1832" customHeight="1" spans="1:31">
      <c r="A1832" s="11" t="s">
        <v>748</v>
      </c>
      <c r="B1832" s="11" t="s">
        <v>6998</v>
      </c>
      <c r="C1832" s="11">
        <v>54</v>
      </c>
      <c r="D1832" s="11">
        <v>120</v>
      </c>
      <c r="E1832" s="11">
        <v>278</v>
      </c>
      <c r="F1832" s="11">
        <v>387</v>
      </c>
      <c r="G1832" s="11">
        <v>844</v>
      </c>
      <c r="H1832" s="11">
        <v>763044</v>
      </c>
      <c r="I1832" s="11" t="s">
        <v>4075</v>
      </c>
      <c r="J1832" s="11" t="s">
        <v>3518</v>
      </c>
      <c r="K1832" s="11" t="s">
        <v>965</v>
      </c>
      <c r="L1832" s="11" t="s">
        <v>9205</v>
      </c>
      <c r="M1832" s="11" t="s">
        <v>9206</v>
      </c>
      <c r="N1832" s="11">
        <v>4257</v>
      </c>
      <c r="O1832" s="11">
        <v>3286</v>
      </c>
      <c r="P1832" s="11">
        <v>4</v>
      </c>
      <c r="Q1832" s="11" t="s">
        <v>9207</v>
      </c>
      <c r="R1832" s="14" t="s">
        <v>9208</v>
      </c>
      <c r="S1832" s="11">
        <v>52</v>
      </c>
      <c r="T1832" s="11" t="s">
        <v>39</v>
      </c>
      <c r="U1832" s="11" t="s">
        <v>269</v>
      </c>
      <c r="V1832" s="11" t="s">
        <v>586</v>
      </c>
      <c r="W1832" s="11">
        <v>23000000</v>
      </c>
      <c r="X1832" s="11">
        <v>2003</v>
      </c>
      <c r="Y1832" s="11">
        <v>766</v>
      </c>
      <c r="Z1832" s="11">
        <v>6.2</v>
      </c>
      <c r="AA1832" s="11">
        <v>1.85</v>
      </c>
      <c r="AB1832" s="11">
        <v>188</v>
      </c>
      <c r="AC1832" s="11"/>
      <c r="AD1832" s="11" t="str">
        <f>IFERROR(__xludf.DUMMYFUNCTION("""COMPUTED_VALUE"""),"Bobbie Phillips")</f>
        <v>Bobbie Phillips</v>
      </c>
      <c r="AE1832" s="11"/>
    </row>
    <row r="1833" customHeight="1" spans="1:31">
      <c r="A1833" s="12" t="s">
        <v>30</v>
      </c>
      <c r="B1833" s="12" t="s">
        <v>858</v>
      </c>
      <c r="C1833" s="12">
        <v>38</v>
      </c>
      <c r="D1833" s="12">
        <v>135</v>
      </c>
      <c r="E1833" s="12">
        <v>0</v>
      </c>
      <c r="F1833" s="12">
        <v>3</v>
      </c>
      <c r="G1833" s="12">
        <v>5</v>
      </c>
      <c r="H1833" s="16"/>
      <c r="I1833" s="12" t="s">
        <v>2850</v>
      </c>
      <c r="J1833" s="12" t="s">
        <v>9209</v>
      </c>
      <c r="K1833" s="12" t="s">
        <v>9210</v>
      </c>
      <c r="L1833" s="12" t="s">
        <v>9211</v>
      </c>
      <c r="M1833" s="12" t="s">
        <v>9212</v>
      </c>
      <c r="N1833" s="12">
        <v>926</v>
      </c>
      <c r="O1833" s="12">
        <v>24</v>
      </c>
      <c r="P1833" s="12">
        <v>1</v>
      </c>
      <c r="Q1833" s="12" t="s">
        <v>9213</v>
      </c>
      <c r="R1833" s="15" t="s">
        <v>9214</v>
      </c>
      <c r="S1833" s="12">
        <v>19</v>
      </c>
      <c r="T1833" s="12" t="s">
        <v>39</v>
      </c>
      <c r="U1833" s="12" t="s">
        <v>1466</v>
      </c>
      <c r="V1833" s="16"/>
      <c r="W1833" s="12">
        <v>27000000</v>
      </c>
      <c r="X1833" s="12">
        <v>2006</v>
      </c>
      <c r="Y1833" s="12">
        <v>4</v>
      </c>
      <c r="Z1833" s="12">
        <v>6.6</v>
      </c>
      <c r="AA1833" s="12">
        <v>2.35</v>
      </c>
      <c r="AB1833" s="12">
        <v>359</v>
      </c>
      <c r="AC1833" s="12"/>
      <c r="AD1833" s="12" t="str">
        <f>IFERROR(__xludf.DUMMYFUNCTION("""COMPUTED_VALUE"""),"Elizabeth Berkley")</f>
        <v>Elizabeth Berkley</v>
      </c>
      <c r="AE1833" s="12"/>
    </row>
    <row r="1834" customHeight="1" spans="1:31">
      <c r="A1834" s="11" t="s">
        <v>30</v>
      </c>
      <c r="B1834" s="11" t="s">
        <v>3234</v>
      </c>
      <c r="C1834" s="11">
        <v>167</v>
      </c>
      <c r="D1834" s="11">
        <v>91</v>
      </c>
      <c r="E1834" s="11">
        <v>41</v>
      </c>
      <c r="F1834" s="11">
        <v>328</v>
      </c>
      <c r="G1834" s="11">
        <v>567</v>
      </c>
      <c r="H1834" s="11">
        <v>20819129</v>
      </c>
      <c r="I1834" s="11" t="s">
        <v>1753</v>
      </c>
      <c r="J1834" s="11" t="s">
        <v>1713</v>
      </c>
      <c r="K1834" s="11" t="s">
        <v>4146</v>
      </c>
      <c r="L1834" s="11" t="s">
        <v>3019</v>
      </c>
      <c r="M1834" s="11" t="s">
        <v>9215</v>
      </c>
      <c r="N1834" s="11">
        <v>84209</v>
      </c>
      <c r="O1834" s="11">
        <v>2954</v>
      </c>
      <c r="P1834" s="11">
        <v>1</v>
      </c>
      <c r="Q1834" s="11" t="s">
        <v>9216</v>
      </c>
      <c r="R1834" s="14" t="s">
        <v>9217</v>
      </c>
      <c r="S1834" s="11">
        <v>201</v>
      </c>
      <c r="T1834" s="11" t="s">
        <v>39</v>
      </c>
      <c r="U1834" s="11" t="s">
        <v>40</v>
      </c>
      <c r="V1834" s="11" t="s">
        <v>96</v>
      </c>
      <c r="W1834" s="11">
        <v>26000000</v>
      </c>
      <c r="X1834" s="11">
        <v>2009</v>
      </c>
      <c r="Y1834" s="11">
        <v>402</v>
      </c>
      <c r="Z1834" s="11">
        <v>5.2</v>
      </c>
      <c r="AA1834" s="11">
        <v>1.85</v>
      </c>
      <c r="AB1834" s="11">
        <v>0</v>
      </c>
      <c r="AC1834" s="11"/>
      <c r="AD1834" s="11" t="str">
        <f>IFERROR(__xludf.DUMMYFUNCTION("""COMPUTED_VALUE"""),"Lauren Lee Smith")</f>
        <v>Lauren Lee Smith</v>
      </c>
      <c r="AE1834" s="11"/>
    </row>
    <row r="1835" customHeight="1" spans="1:31">
      <c r="A1835" s="12" t="s">
        <v>30</v>
      </c>
      <c r="B1835" s="12" t="s">
        <v>2043</v>
      </c>
      <c r="C1835" s="12">
        <v>129</v>
      </c>
      <c r="D1835" s="12">
        <v>97</v>
      </c>
      <c r="E1835" s="12">
        <v>70</v>
      </c>
      <c r="F1835" s="12">
        <v>512</v>
      </c>
      <c r="G1835" s="12">
        <v>2000</v>
      </c>
      <c r="H1835" s="12">
        <v>110222438</v>
      </c>
      <c r="I1835" s="12" t="s">
        <v>9218</v>
      </c>
      <c r="J1835" s="12" t="s">
        <v>1734</v>
      </c>
      <c r="K1835" s="12" t="s">
        <v>9219</v>
      </c>
      <c r="L1835" s="12" t="s">
        <v>4463</v>
      </c>
      <c r="M1835" s="12" t="s">
        <v>9220</v>
      </c>
      <c r="N1835" s="12">
        <v>96693</v>
      </c>
      <c r="O1835" s="12">
        <v>3984</v>
      </c>
      <c r="P1835" s="12">
        <v>2</v>
      </c>
      <c r="Q1835" s="12" t="s">
        <v>9221</v>
      </c>
      <c r="R1835" s="15" t="s">
        <v>9222</v>
      </c>
      <c r="S1835" s="12">
        <v>271</v>
      </c>
      <c r="T1835" s="12" t="s">
        <v>39</v>
      </c>
      <c r="U1835" s="12" t="s">
        <v>40</v>
      </c>
      <c r="V1835" s="12" t="s">
        <v>96</v>
      </c>
      <c r="W1835" s="12">
        <v>26000000</v>
      </c>
      <c r="X1835" s="12">
        <v>2003</v>
      </c>
      <c r="Y1835" s="12">
        <v>528</v>
      </c>
      <c r="Z1835" s="12">
        <v>6.1</v>
      </c>
      <c r="AA1835" s="12">
        <v>1.85</v>
      </c>
      <c r="AB1835" s="12">
        <v>0</v>
      </c>
      <c r="AC1835" s="12"/>
      <c r="AD1835" s="12" t="str">
        <f>IFERROR(__xludf.DUMMYFUNCTION("""COMPUTED_VALUE"""),"Geraldine Chaplin")</f>
        <v>Geraldine Chaplin</v>
      </c>
      <c r="AE1835" s="12"/>
    </row>
    <row r="1836" customHeight="1" spans="1:31">
      <c r="A1836" s="11" t="s">
        <v>30</v>
      </c>
      <c r="B1836" s="11" t="s">
        <v>3219</v>
      </c>
      <c r="C1836" s="11">
        <v>217</v>
      </c>
      <c r="D1836" s="11">
        <v>133</v>
      </c>
      <c r="E1836" s="11">
        <v>0</v>
      </c>
      <c r="F1836" s="11">
        <v>218</v>
      </c>
      <c r="G1836" s="11">
        <v>7000</v>
      </c>
      <c r="H1836" s="11">
        <v>109243478</v>
      </c>
      <c r="I1836" s="11" t="s">
        <v>1681</v>
      </c>
      <c r="J1836" s="11" t="s">
        <v>518</v>
      </c>
      <c r="K1836" s="11" t="s">
        <v>3899</v>
      </c>
      <c r="L1836" s="11" t="s">
        <v>9223</v>
      </c>
      <c r="M1836" s="11" t="s">
        <v>9224</v>
      </c>
      <c r="N1836" s="11">
        <v>313797</v>
      </c>
      <c r="O1836" s="11">
        <v>8341</v>
      </c>
      <c r="P1836" s="11">
        <v>1</v>
      </c>
      <c r="Q1836" s="11" t="s">
        <v>9225</v>
      </c>
      <c r="R1836" s="14" t="s">
        <v>9226</v>
      </c>
      <c r="S1836" s="11">
        <v>546</v>
      </c>
      <c r="T1836" s="11" t="s">
        <v>39</v>
      </c>
      <c r="U1836" s="11" t="s">
        <v>40</v>
      </c>
      <c r="V1836" s="11" t="s">
        <v>586</v>
      </c>
      <c r="W1836" s="11">
        <v>26000000</v>
      </c>
      <c r="X1836" s="11">
        <v>2005</v>
      </c>
      <c r="Y1836" s="11">
        <v>966</v>
      </c>
      <c r="Z1836" s="11">
        <v>7.1</v>
      </c>
      <c r="AA1836" s="11">
        <v>1.85</v>
      </c>
      <c r="AB1836" s="11">
        <v>0</v>
      </c>
      <c r="AC1836" s="11"/>
      <c r="AD1836" s="11" t="str">
        <f>IFERROR(__xludf.DUMMYFUNCTION("""COMPUTED_VALUE"""),"Oaklee Pendergast")</f>
        <v>Oaklee Pendergast</v>
      </c>
      <c r="AE1836" s="11"/>
    </row>
    <row r="1837" customHeight="1" spans="1:31">
      <c r="A1837" s="12" t="s">
        <v>30</v>
      </c>
      <c r="B1837" s="12" t="s">
        <v>4538</v>
      </c>
      <c r="C1837" s="12">
        <v>134</v>
      </c>
      <c r="D1837" s="12">
        <v>123</v>
      </c>
      <c r="E1837" s="12">
        <v>108</v>
      </c>
      <c r="F1837" s="12">
        <v>239</v>
      </c>
      <c r="G1837" s="12">
        <v>1000</v>
      </c>
      <c r="H1837" s="12">
        <v>100241322</v>
      </c>
      <c r="I1837" s="12" t="s">
        <v>1415</v>
      </c>
      <c r="J1837" s="12" t="s">
        <v>138</v>
      </c>
      <c r="K1837" s="12" t="s">
        <v>9227</v>
      </c>
      <c r="L1837" s="12" t="s">
        <v>8026</v>
      </c>
      <c r="M1837" s="12" t="s">
        <v>9228</v>
      </c>
      <c r="N1837" s="12">
        <v>175524</v>
      </c>
      <c r="O1837" s="12">
        <v>1690</v>
      </c>
      <c r="P1837" s="12">
        <v>0</v>
      </c>
      <c r="Q1837" s="12" t="s">
        <v>9229</v>
      </c>
      <c r="R1837" s="15" t="s">
        <v>9230</v>
      </c>
      <c r="S1837" s="12">
        <v>752</v>
      </c>
      <c r="T1837" s="12" t="s">
        <v>39</v>
      </c>
      <c r="U1837" s="12" t="s">
        <v>40</v>
      </c>
      <c r="V1837" s="12" t="s">
        <v>586</v>
      </c>
      <c r="W1837" s="12">
        <v>25000000</v>
      </c>
      <c r="X1837" s="12">
        <v>1998</v>
      </c>
      <c r="Y1837" s="12">
        <v>264</v>
      </c>
      <c r="Z1837" s="12">
        <v>7.2</v>
      </c>
      <c r="AA1837" s="12">
        <v>2.35</v>
      </c>
      <c r="AB1837" s="12">
        <v>0</v>
      </c>
      <c r="AC1837" s="12"/>
      <c r="AD1837" s="12" t="str">
        <f>IFERROR(__xludf.DUMMYFUNCTION("""COMPUTED_VALUE"""),"Carol Kane")</f>
        <v>Carol Kane</v>
      </c>
      <c r="AE1837" s="12"/>
    </row>
    <row r="1838" customHeight="1" spans="1:31">
      <c r="A1838" s="11" t="s">
        <v>30</v>
      </c>
      <c r="B1838" s="11" t="s">
        <v>9231</v>
      </c>
      <c r="C1838" s="11">
        <v>253</v>
      </c>
      <c r="D1838" s="11">
        <v>114</v>
      </c>
      <c r="E1838" s="11">
        <v>71</v>
      </c>
      <c r="F1838" s="11">
        <v>313</v>
      </c>
      <c r="G1838" s="11">
        <v>14000</v>
      </c>
      <c r="H1838" s="11">
        <v>25977365</v>
      </c>
      <c r="I1838" s="11" t="s">
        <v>2142</v>
      </c>
      <c r="J1838" s="11" t="s">
        <v>228</v>
      </c>
      <c r="K1838" s="11" t="s">
        <v>9232</v>
      </c>
      <c r="L1838" s="11" t="s">
        <v>9233</v>
      </c>
      <c r="M1838" s="11" t="s">
        <v>9234</v>
      </c>
      <c r="N1838" s="11">
        <v>87950</v>
      </c>
      <c r="O1838" s="11">
        <v>15428</v>
      </c>
      <c r="P1838" s="11">
        <v>0</v>
      </c>
      <c r="Q1838" s="11" t="s">
        <v>9235</v>
      </c>
      <c r="R1838" s="14" t="s">
        <v>9236</v>
      </c>
      <c r="S1838" s="11">
        <v>207</v>
      </c>
      <c r="T1838" s="11" t="s">
        <v>39</v>
      </c>
      <c r="U1838" s="11" t="s">
        <v>40</v>
      </c>
      <c r="V1838" s="11" t="s">
        <v>586</v>
      </c>
      <c r="W1838" s="11">
        <v>28000000</v>
      </c>
      <c r="X1838" s="11">
        <v>2014</v>
      </c>
      <c r="Y1838" s="11">
        <v>439</v>
      </c>
      <c r="Z1838" s="11">
        <v>6.5</v>
      </c>
      <c r="AA1838" s="11">
        <v>2.35</v>
      </c>
      <c r="AB1838" s="11">
        <v>15000</v>
      </c>
      <c r="AC1838" s="11"/>
      <c r="AD1838" s="11" t="str">
        <f>IFERROR(__xludf.DUMMYFUNCTION("""COMPUTED_VALUE"""),"Isabelle Adjani")</f>
        <v>Isabelle Adjani</v>
      </c>
      <c r="AE1838" s="11"/>
    </row>
    <row r="1839" customHeight="1" spans="1:31">
      <c r="A1839" s="12" t="s">
        <v>30</v>
      </c>
      <c r="B1839" s="12" t="s">
        <v>2699</v>
      </c>
      <c r="C1839" s="12">
        <v>46</v>
      </c>
      <c r="D1839" s="12">
        <v>111</v>
      </c>
      <c r="E1839" s="12">
        <v>425</v>
      </c>
      <c r="F1839" s="12">
        <v>344</v>
      </c>
      <c r="G1839" s="12">
        <v>743</v>
      </c>
      <c r="H1839" s="12">
        <v>91457688</v>
      </c>
      <c r="I1839" s="12" t="s">
        <v>1753</v>
      </c>
      <c r="J1839" s="12" t="s">
        <v>2839</v>
      </c>
      <c r="K1839" s="12" t="s">
        <v>4284</v>
      </c>
      <c r="L1839" s="12" t="s">
        <v>4279</v>
      </c>
      <c r="M1839" s="12" t="s">
        <v>9237</v>
      </c>
      <c r="N1839" s="12">
        <v>107801</v>
      </c>
      <c r="O1839" s="12">
        <v>2403</v>
      </c>
      <c r="P1839" s="12">
        <v>4</v>
      </c>
      <c r="Q1839" s="12" t="s">
        <v>9238</v>
      </c>
      <c r="R1839" s="15" t="s">
        <v>9239</v>
      </c>
      <c r="S1839" s="12">
        <v>109</v>
      </c>
      <c r="T1839" s="12" t="s">
        <v>39</v>
      </c>
      <c r="U1839" s="12" t="s">
        <v>40</v>
      </c>
      <c r="V1839" s="12" t="s">
        <v>41</v>
      </c>
      <c r="W1839" s="12">
        <v>26000000</v>
      </c>
      <c r="X1839" s="12">
        <v>1990</v>
      </c>
      <c r="Y1839" s="12">
        <v>394</v>
      </c>
      <c r="Z1839" s="12">
        <v>6</v>
      </c>
      <c r="AA1839" s="12">
        <v>1.85</v>
      </c>
      <c r="AB1839" s="12">
        <v>0</v>
      </c>
      <c r="AC1839" s="12"/>
      <c r="AD1839" s="12" t="str">
        <f>IFERROR(__xludf.DUMMYFUNCTION("""COMPUTED_VALUE"""),"James Gammon")</f>
        <v>James Gammon</v>
      </c>
      <c r="AE1839" s="12"/>
    </row>
    <row r="1840" customHeight="1" spans="1:31">
      <c r="A1840" s="11" t="s">
        <v>30</v>
      </c>
      <c r="B1840" s="11" t="s">
        <v>5419</v>
      </c>
      <c r="C1840" s="11">
        <v>232</v>
      </c>
      <c r="D1840" s="11">
        <v>117</v>
      </c>
      <c r="E1840" s="11">
        <v>234</v>
      </c>
      <c r="F1840" s="11">
        <v>919</v>
      </c>
      <c r="G1840" s="11">
        <v>11000</v>
      </c>
      <c r="H1840" s="11">
        <v>87341380</v>
      </c>
      <c r="I1840" s="11" t="s">
        <v>1753</v>
      </c>
      <c r="J1840" s="11" t="s">
        <v>83</v>
      </c>
      <c r="K1840" s="11" t="s">
        <v>3230</v>
      </c>
      <c r="L1840" s="11" t="s">
        <v>1987</v>
      </c>
      <c r="M1840" s="11" t="s">
        <v>9240</v>
      </c>
      <c r="N1840" s="11">
        <v>255257</v>
      </c>
      <c r="O1840" s="11">
        <v>15590</v>
      </c>
      <c r="P1840" s="11">
        <v>3</v>
      </c>
      <c r="Q1840" s="11" t="s">
        <v>9241</v>
      </c>
      <c r="R1840" s="14" t="s">
        <v>9242</v>
      </c>
      <c r="S1840" s="11">
        <v>374</v>
      </c>
      <c r="T1840" s="11" t="s">
        <v>39</v>
      </c>
      <c r="U1840" s="11" t="s">
        <v>40</v>
      </c>
      <c r="V1840" s="11" t="s">
        <v>586</v>
      </c>
      <c r="W1840" s="11">
        <v>27000000</v>
      </c>
      <c r="X1840" s="11">
        <v>2008</v>
      </c>
      <c r="Y1840" s="11">
        <v>989</v>
      </c>
      <c r="Z1840" s="11">
        <v>7</v>
      </c>
      <c r="AA1840" s="11">
        <v>2.35</v>
      </c>
      <c r="AB1840" s="11">
        <v>0</v>
      </c>
      <c r="AC1840" s="11"/>
      <c r="AD1840" s="11" t="str">
        <f>IFERROR(__xludf.DUMMYFUNCTION("""COMPUTED_VALUE"""),"Richard Epcar")</f>
        <v>Richard Epcar</v>
      </c>
      <c r="AE1840" s="11"/>
    </row>
    <row r="1841" customHeight="1" spans="1:31">
      <c r="A1841" s="12" t="s">
        <v>30</v>
      </c>
      <c r="B1841" s="12" t="s">
        <v>3137</v>
      </c>
      <c r="C1841" s="12">
        <v>92</v>
      </c>
      <c r="D1841" s="12">
        <v>121</v>
      </c>
      <c r="E1841" s="12">
        <v>72</v>
      </c>
      <c r="F1841" s="12">
        <v>343</v>
      </c>
      <c r="G1841" s="12">
        <v>1000</v>
      </c>
      <c r="H1841" s="12">
        <v>65703412</v>
      </c>
      <c r="I1841" s="12" t="s">
        <v>1415</v>
      </c>
      <c r="J1841" s="12" t="s">
        <v>3981</v>
      </c>
      <c r="K1841" s="12" t="s">
        <v>1342</v>
      </c>
      <c r="L1841" s="12" t="s">
        <v>9243</v>
      </c>
      <c r="M1841" s="12" t="s">
        <v>9244</v>
      </c>
      <c r="N1841" s="12">
        <v>57958</v>
      </c>
      <c r="O1841" s="12">
        <v>2747</v>
      </c>
      <c r="P1841" s="12">
        <v>1</v>
      </c>
      <c r="Q1841" s="12" t="s">
        <v>9245</v>
      </c>
      <c r="R1841" s="15" t="s">
        <v>9246</v>
      </c>
      <c r="S1841" s="12">
        <v>345</v>
      </c>
      <c r="T1841" s="12" t="s">
        <v>39</v>
      </c>
      <c r="U1841" s="12" t="s">
        <v>40</v>
      </c>
      <c r="V1841" s="12" t="s">
        <v>41</v>
      </c>
      <c r="W1841" s="12">
        <v>26000000</v>
      </c>
      <c r="X1841" s="12">
        <v>1998</v>
      </c>
      <c r="Y1841" s="12">
        <v>794</v>
      </c>
      <c r="Z1841" s="12">
        <v>7</v>
      </c>
      <c r="AA1841" s="12">
        <v>2.35</v>
      </c>
      <c r="AB1841" s="12">
        <v>0</v>
      </c>
      <c r="AC1841" s="12"/>
      <c r="AD1841" s="12" t="str">
        <f>IFERROR(__xludf.DUMMYFUNCTION("""COMPUTED_VALUE"""),"Patricia Heaton")</f>
        <v>Patricia Heaton</v>
      </c>
      <c r="AE1841" s="12"/>
    </row>
    <row r="1842" customHeight="1" spans="1:31">
      <c r="A1842" s="11" t="s">
        <v>30</v>
      </c>
      <c r="B1842" s="11" t="s">
        <v>2860</v>
      </c>
      <c r="C1842" s="11">
        <v>153</v>
      </c>
      <c r="D1842" s="11">
        <v>139</v>
      </c>
      <c r="E1842" s="11">
        <v>0</v>
      </c>
      <c r="F1842" s="11">
        <v>648</v>
      </c>
      <c r="G1842" s="11">
        <v>3000</v>
      </c>
      <c r="H1842" s="11">
        <v>58328680</v>
      </c>
      <c r="I1842" s="11" t="s">
        <v>4043</v>
      </c>
      <c r="J1842" s="11" t="s">
        <v>1689</v>
      </c>
      <c r="K1842" s="11" t="s">
        <v>2032</v>
      </c>
      <c r="L1842" s="11" t="s">
        <v>7954</v>
      </c>
      <c r="M1842" s="11" t="s">
        <v>9247</v>
      </c>
      <c r="N1842" s="11">
        <v>54096</v>
      </c>
      <c r="O1842" s="11">
        <v>5458</v>
      </c>
      <c r="P1842" s="11">
        <v>0</v>
      </c>
      <c r="Q1842" s="11" t="s">
        <v>9248</v>
      </c>
      <c r="R1842" s="14" t="s">
        <v>9249</v>
      </c>
      <c r="S1842" s="11">
        <v>494</v>
      </c>
      <c r="T1842" s="11" t="s">
        <v>39</v>
      </c>
      <c r="U1842" s="11" t="s">
        <v>40</v>
      </c>
      <c r="V1842" s="11" t="s">
        <v>586</v>
      </c>
      <c r="W1842" s="11">
        <v>22000000</v>
      </c>
      <c r="X1842" s="11">
        <v>2003</v>
      </c>
      <c r="Y1842" s="11">
        <v>693</v>
      </c>
      <c r="Z1842" s="11">
        <v>7.5</v>
      </c>
      <c r="AA1842" s="11">
        <v>2.35</v>
      </c>
      <c r="AB1842" s="11">
        <v>0</v>
      </c>
      <c r="AC1842" s="11"/>
      <c r="AD1842" s="11" t="str">
        <f>IFERROR(__xludf.DUMMYFUNCTION("""COMPUTED_VALUE"""),"Mathieu Kassovitz")</f>
        <v>Mathieu Kassovitz</v>
      </c>
      <c r="AE1842" s="11"/>
    </row>
    <row r="1843" customHeight="1" spans="1:31">
      <c r="A1843" s="12" t="s">
        <v>30</v>
      </c>
      <c r="B1843" s="12" t="s">
        <v>1325</v>
      </c>
      <c r="C1843" s="12">
        <v>49</v>
      </c>
      <c r="D1843" s="12">
        <v>115</v>
      </c>
      <c r="E1843" s="12">
        <v>541</v>
      </c>
      <c r="F1843" s="12">
        <v>442</v>
      </c>
      <c r="G1843" s="12">
        <v>8000</v>
      </c>
      <c r="H1843" s="12">
        <v>61490000</v>
      </c>
      <c r="I1843" s="12" t="s">
        <v>3171</v>
      </c>
      <c r="J1843" s="12" t="s">
        <v>1529</v>
      </c>
      <c r="K1843" s="12" t="s">
        <v>430</v>
      </c>
      <c r="L1843" s="12" t="s">
        <v>8062</v>
      </c>
      <c r="M1843" s="12" t="s">
        <v>9250</v>
      </c>
      <c r="N1843" s="12">
        <v>62037</v>
      </c>
      <c r="O1843" s="12">
        <v>10493</v>
      </c>
      <c r="P1843" s="12">
        <v>5</v>
      </c>
      <c r="Q1843" s="12" t="s">
        <v>9251</v>
      </c>
      <c r="R1843" s="15" t="s">
        <v>9252</v>
      </c>
      <c r="S1843" s="12">
        <v>148</v>
      </c>
      <c r="T1843" s="12" t="s">
        <v>39</v>
      </c>
      <c r="U1843" s="12" t="s">
        <v>40</v>
      </c>
      <c r="V1843" s="12" t="s">
        <v>586</v>
      </c>
      <c r="W1843" s="12">
        <v>26000000</v>
      </c>
      <c r="X1843" s="12">
        <v>1990</v>
      </c>
      <c r="Y1843" s="12">
        <v>1000</v>
      </c>
      <c r="Z1843" s="12">
        <v>6.6</v>
      </c>
      <c r="AA1843" s="12">
        <v>2.35</v>
      </c>
      <c r="AB1843" s="12">
        <v>0</v>
      </c>
      <c r="AC1843" s="12"/>
      <c r="AD1843" s="12" t="str">
        <f>IFERROR(__xludf.DUMMYFUNCTION("""COMPUTED_VALUE"""),"Isabelle Nanty")</f>
        <v>Isabelle Nanty</v>
      </c>
      <c r="AE1843" s="12"/>
    </row>
    <row r="1844" customHeight="1" spans="1:31">
      <c r="A1844" s="11" t="s">
        <v>30</v>
      </c>
      <c r="B1844" s="13"/>
      <c r="C1844" s="11">
        <v>79</v>
      </c>
      <c r="D1844" s="11">
        <v>22</v>
      </c>
      <c r="E1844" s="13"/>
      <c r="F1844" s="11">
        <v>424</v>
      </c>
      <c r="G1844" s="11">
        <v>813</v>
      </c>
      <c r="H1844" s="13"/>
      <c r="I1844" s="11" t="s">
        <v>1672</v>
      </c>
      <c r="J1844" s="11" t="s">
        <v>9253</v>
      </c>
      <c r="K1844" s="11" t="s">
        <v>9254</v>
      </c>
      <c r="L1844" s="11" t="s">
        <v>9255</v>
      </c>
      <c r="M1844" s="11" t="s">
        <v>9256</v>
      </c>
      <c r="N1844" s="11">
        <v>133415</v>
      </c>
      <c r="O1844" s="11">
        <v>1784</v>
      </c>
      <c r="P1844" s="11">
        <v>5</v>
      </c>
      <c r="Q1844" s="11" t="s">
        <v>9257</v>
      </c>
      <c r="R1844" s="14" t="s">
        <v>9258</v>
      </c>
      <c r="S1844" s="11">
        <v>151</v>
      </c>
      <c r="T1844" s="11" t="s">
        <v>39</v>
      </c>
      <c r="U1844" s="11" t="s">
        <v>40</v>
      </c>
      <c r="V1844" s="11" t="s">
        <v>2636</v>
      </c>
      <c r="W1844" s="13"/>
      <c r="X1844" s="13"/>
      <c r="Y1844" s="11">
        <v>547</v>
      </c>
      <c r="Z1844" s="11">
        <v>8.8</v>
      </c>
      <c r="AA1844" s="11">
        <v>1.33</v>
      </c>
      <c r="AB1844" s="11">
        <v>0</v>
      </c>
      <c r="AC1844" s="11"/>
      <c r="AD1844" s="11" t="str">
        <f>IFERROR(__xludf.DUMMYFUNCTION("""COMPUTED_VALUE"""),"Mary-Kate Olsen")</f>
        <v>Mary-Kate Olsen</v>
      </c>
      <c r="AE1844" s="11"/>
    </row>
    <row r="1845" customHeight="1" spans="1:31">
      <c r="A1845" s="12" t="s">
        <v>748</v>
      </c>
      <c r="B1845" s="12" t="s">
        <v>8808</v>
      </c>
      <c r="C1845" s="12">
        <v>56</v>
      </c>
      <c r="D1845" s="12">
        <v>175</v>
      </c>
      <c r="E1845" s="12">
        <v>0</v>
      </c>
      <c r="F1845" s="12">
        <v>14</v>
      </c>
      <c r="G1845" s="12">
        <v>385</v>
      </c>
      <c r="H1845" s="12">
        <v>50800000</v>
      </c>
      <c r="I1845" s="12" t="s">
        <v>1962</v>
      </c>
      <c r="J1845" s="12" t="s">
        <v>9259</v>
      </c>
      <c r="K1845" s="12" t="s">
        <v>9260</v>
      </c>
      <c r="L1845" s="12" t="s">
        <v>9261</v>
      </c>
      <c r="M1845" s="12" t="s">
        <v>9262</v>
      </c>
      <c r="N1845" s="12">
        <v>40277</v>
      </c>
      <c r="O1845" s="12">
        <v>669</v>
      </c>
      <c r="P1845" s="12">
        <v>14</v>
      </c>
      <c r="Q1845" s="12" t="s">
        <v>9263</v>
      </c>
      <c r="R1845" s="15" t="s">
        <v>9264</v>
      </c>
      <c r="S1845" s="12">
        <v>210</v>
      </c>
      <c r="T1845" s="12" t="s">
        <v>39</v>
      </c>
      <c r="U1845" s="12" t="s">
        <v>40</v>
      </c>
      <c r="V1845" s="12" t="s">
        <v>96</v>
      </c>
      <c r="W1845" s="12">
        <v>26000000</v>
      </c>
      <c r="X1845" s="12">
        <v>1977</v>
      </c>
      <c r="Y1845" s="12">
        <v>232</v>
      </c>
      <c r="Z1845" s="12">
        <v>7.4</v>
      </c>
      <c r="AA1845" s="12">
        <v>2.35</v>
      </c>
      <c r="AB1845" s="12">
        <v>0</v>
      </c>
      <c r="AC1845" s="12"/>
      <c r="AD1845" s="12" t="str">
        <f>IFERROR(__xludf.DUMMYFUNCTION("""COMPUTED_VALUE"""),"Bob Saget")</f>
        <v>Bob Saget</v>
      </c>
      <c r="AE1845" s="12"/>
    </row>
    <row r="1846" customHeight="1" spans="1:31">
      <c r="A1846" s="11" t="s">
        <v>30</v>
      </c>
      <c r="B1846" s="11" t="s">
        <v>6309</v>
      </c>
      <c r="C1846" s="11">
        <v>224</v>
      </c>
      <c r="D1846" s="11">
        <v>85</v>
      </c>
      <c r="E1846" s="11">
        <v>0</v>
      </c>
      <c r="F1846" s="11">
        <v>178</v>
      </c>
      <c r="G1846" s="11">
        <v>332</v>
      </c>
      <c r="H1846" s="11">
        <v>57859105</v>
      </c>
      <c r="I1846" s="11" t="s">
        <v>852</v>
      </c>
      <c r="J1846" s="11" t="s">
        <v>9265</v>
      </c>
      <c r="K1846" s="11" t="s">
        <v>9266</v>
      </c>
      <c r="L1846" s="11" t="s">
        <v>9267</v>
      </c>
      <c r="M1846" s="11" t="s">
        <v>9268</v>
      </c>
      <c r="N1846" s="11">
        <v>94108</v>
      </c>
      <c r="O1846" s="11">
        <v>1090</v>
      </c>
      <c r="P1846" s="11">
        <v>0</v>
      </c>
      <c r="Q1846" s="11" t="s">
        <v>9269</v>
      </c>
      <c r="R1846" s="14" t="s">
        <v>9270</v>
      </c>
      <c r="S1846" s="11">
        <v>673</v>
      </c>
      <c r="T1846" s="11" t="s">
        <v>39</v>
      </c>
      <c r="U1846" s="11" t="s">
        <v>40</v>
      </c>
      <c r="V1846" s="11" t="s">
        <v>41</v>
      </c>
      <c r="W1846" s="11">
        <v>26000000</v>
      </c>
      <c r="X1846" s="11">
        <v>2005</v>
      </c>
      <c r="Y1846" s="11">
        <v>285</v>
      </c>
      <c r="Z1846" s="11">
        <v>6.5</v>
      </c>
      <c r="AA1846" s="11">
        <v>2.35</v>
      </c>
      <c r="AB1846" s="11">
        <v>0</v>
      </c>
      <c r="AC1846" s="11"/>
      <c r="AD1846" s="11" t="str">
        <f>IFERROR(__xludf.DUMMYFUNCTION("""COMPUTED_VALUE"""),"Riley Smith")</f>
        <v>Riley Smith</v>
      </c>
      <c r="AE1846" s="11"/>
    </row>
    <row r="1847" customHeight="1" spans="1:31">
      <c r="A1847" s="12" t="s">
        <v>30</v>
      </c>
      <c r="B1847" s="12" t="s">
        <v>5862</v>
      </c>
      <c r="C1847" s="12">
        <v>175</v>
      </c>
      <c r="D1847" s="12">
        <v>90</v>
      </c>
      <c r="E1847" s="12">
        <v>160</v>
      </c>
      <c r="F1847" s="12">
        <v>392</v>
      </c>
      <c r="G1847" s="12">
        <v>748</v>
      </c>
      <c r="H1847" s="12">
        <v>46455802</v>
      </c>
      <c r="I1847" s="12" t="s">
        <v>5544</v>
      </c>
      <c r="J1847" s="12" t="s">
        <v>8699</v>
      </c>
      <c r="K1847" s="12" t="s">
        <v>9271</v>
      </c>
      <c r="L1847" s="12" t="s">
        <v>9272</v>
      </c>
      <c r="M1847" s="12" t="s">
        <v>9273</v>
      </c>
      <c r="N1847" s="12">
        <v>120786</v>
      </c>
      <c r="O1847" s="12">
        <v>3172</v>
      </c>
      <c r="P1847" s="12">
        <v>0</v>
      </c>
      <c r="Q1847" s="12" t="s">
        <v>9274</v>
      </c>
      <c r="R1847" s="15" t="s">
        <v>9275</v>
      </c>
      <c r="S1847" s="12">
        <v>472</v>
      </c>
      <c r="T1847" s="12" t="s">
        <v>39</v>
      </c>
      <c r="U1847" s="12" t="s">
        <v>40</v>
      </c>
      <c r="V1847" s="12" t="s">
        <v>586</v>
      </c>
      <c r="W1847" s="12">
        <v>26000000</v>
      </c>
      <c r="X1847" s="12">
        <v>2003</v>
      </c>
      <c r="Y1847" s="12">
        <v>439</v>
      </c>
      <c r="Z1847" s="12">
        <v>6.2</v>
      </c>
      <c r="AA1847" s="12">
        <v>1.85</v>
      </c>
      <c r="AB1847" s="12">
        <v>0</v>
      </c>
      <c r="AC1847" s="12"/>
      <c r="AD1847" s="12" t="str">
        <f>IFERROR(__xludf.DUMMYFUNCTION("""COMPUTED_VALUE"""),"Andrew Daly")</f>
        <v>Andrew Daly</v>
      </c>
      <c r="AE1847" s="12"/>
    </row>
    <row r="1848" customHeight="1" spans="1:31">
      <c r="A1848" s="11" t="s">
        <v>30</v>
      </c>
      <c r="B1848" s="11" t="s">
        <v>4261</v>
      </c>
      <c r="C1848" s="11">
        <v>197</v>
      </c>
      <c r="D1848" s="11">
        <v>107</v>
      </c>
      <c r="E1848" s="11">
        <v>0</v>
      </c>
      <c r="F1848" s="11">
        <v>577</v>
      </c>
      <c r="G1848" s="11">
        <v>1000</v>
      </c>
      <c r="H1848" s="11">
        <v>45506619</v>
      </c>
      <c r="I1848" s="11" t="s">
        <v>9276</v>
      </c>
      <c r="J1848" s="11" t="s">
        <v>2061</v>
      </c>
      <c r="K1848" s="11" t="s">
        <v>1502</v>
      </c>
      <c r="L1848" s="11" t="s">
        <v>3711</v>
      </c>
      <c r="M1848" s="11" t="s">
        <v>9277</v>
      </c>
      <c r="N1848" s="11">
        <v>225102</v>
      </c>
      <c r="O1848" s="11">
        <v>3066</v>
      </c>
      <c r="P1848" s="11">
        <v>3</v>
      </c>
      <c r="Q1848" s="11" t="s">
        <v>9278</v>
      </c>
      <c r="R1848" s="14" t="s">
        <v>9279</v>
      </c>
      <c r="S1848" s="11">
        <v>862</v>
      </c>
      <c r="T1848" s="11" t="s">
        <v>39</v>
      </c>
      <c r="U1848" s="11" t="s">
        <v>58</v>
      </c>
      <c r="V1848" s="11" t="s">
        <v>41</v>
      </c>
      <c r="W1848" s="11">
        <v>26000000</v>
      </c>
      <c r="X1848" s="11">
        <v>2000</v>
      </c>
      <c r="Y1848" s="11">
        <v>596</v>
      </c>
      <c r="Z1848" s="11">
        <v>7.8</v>
      </c>
      <c r="AA1848" s="11">
        <v>2.35</v>
      </c>
      <c r="AB1848" s="11">
        <v>16000</v>
      </c>
      <c r="AC1848" s="11"/>
      <c r="AD1848" s="11" t="str">
        <f>IFERROR(__xludf.DUMMYFUNCTION("""COMPUTED_VALUE"""),"Jonathan Jackson")</f>
        <v>Jonathan Jackson</v>
      </c>
      <c r="AE1848" s="11"/>
    </row>
    <row r="1849" customHeight="1" spans="1:31">
      <c r="A1849" s="12" t="s">
        <v>30</v>
      </c>
      <c r="B1849" s="12" t="s">
        <v>4318</v>
      </c>
      <c r="C1849" s="12">
        <v>226</v>
      </c>
      <c r="D1849" s="12">
        <v>100</v>
      </c>
      <c r="E1849" s="12">
        <v>124</v>
      </c>
      <c r="F1849" s="12">
        <v>534</v>
      </c>
      <c r="G1849" s="12">
        <v>2000</v>
      </c>
      <c r="H1849" s="12">
        <v>40168080</v>
      </c>
      <c r="I1849" s="12" t="s">
        <v>3458</v>
      </c>
      <c r="J1849" s="12" t="s">
        <v>537</v>
      </c>
      <c r="K1849" s="12" t="s">
        <v>9280</v>
      </c>
      <c r="L1849" s="12" t="s">
        <v>4699</v>
      </c>
      <c r="M1849" s="12" t="s">
        <v>9281</v>
      </c>
      <c r="N1849" s="12">
        <v>80870</v>
      </c>
      <c r="O1849" s="12">
        <v>3889</v>
      </c>
      <c r="P1849" s="12">
        <v>0</v>
      </c>
      <c r="Q1849" s="12" t="s">
        <v>9282</v>
      </c>
      <c r="R1849" s="15" t="s">
        <v>9283</v>
      </c>
      <c r="S1849" s="12">
        <v>315</v>
      </c>
      <c r="T1849" s="12" t="s">
        <v>39</v>
      </c>
      <c r="U1849" s="12" t="s">
        <v>40</v>
      </c>
      <c r="V1849" s="12" t="s">
        <v>586</v>
      </c>
      <c r="W1849" s="12">
        <v>26000000</v>
      </c>
      <c r="X1849" s="12">
        <v>2010</v>
      </c>
      <c r="Y1849" s="12">
        <v>850</v>
      </c>
      <c r="Z1849" s="12">
        <v>5.2</v>
      </c>
      <c r="AA1849" s="12">
        <v>2.35</v>
      </c>
      <c r="AB1849" s="12">
        <v>0</v>
      </c>
      <c r="AC1849" s="12"/>
      <c r="AD1849" s="12" t="str">
        <f>IFERROR(__xludf.DUMMYFUNCTION("""COMPUTED_VALUE"""),"Jeffrey Combs")</f>
        <v>Jeffrey Combs</v>
      </c>
      <c r="AE1849" s="12"/>
    </row>
    <row r="1850" customHeight="1" spans="1:31">
      <c r="A1850" s="11" t="s">
        <v>30</v>
      </c>
      <c r="B1850" s="11" t="s">
        <v>279</v>
      </c>
      <c r="C1850" s="11">
        <v>335</v>
      </c>
      <c r="D1850" s="11">
        <v>129</v>
      </c>
      <c r="E1850" s="11">
        <v>0</v>
      </c>
      <c r="F1850" s="11">
        <v>385</v>
      </c>
      <c r="G1850" s="11">
        <v>12000</v>
      </c>
      <c r="H1850" s="11">
        <v>49874933</v>
      </c>
      <c r="I1850" s="11" t="s">
        <v>9194</v>
      </c>
      <c r="J1850" s="11" t="s">
        <v>1073</v>
      </c>
      <c r="K1850" s="11" t="s">
        <v>9284</v>
      </c>
      <c r="L1850" s="11" t="s">
        <v>1741</v>
      </c>
      <c r="M1850" s="11" t="s">
        <v>9285</v>
      </c>
      <c r="N1850" s="11">
        <v>161168</v>
      </c>
      <c r="O1850" s="11">
        <v>13573</v>
      </c>
      <c r="P1850" s="11">
        <v>4</v>
      </c>
      <c r="Q1850" s="11" t="s">
        <v>9286</v>
      </c>
      <c r="R1850" s="14" t="s">
        <v>9287</v>
      </c>
      <c r="S1850" s="11">
        <v>287</v>
      </c>
      <c r="T1850" s="11" t="s">
        <v>39</v>
      </c>
      <c r="U1850" s="11" t="s">
        <v>40</v>
      </c>
      <c r="V1850" s="11" t="s">
        <v>586</v>
      </c>
      <c r="W1850" s="11">
        <v>26000000</v>
      </c>
      <c r="X1850" s="11">
        <v>2013</v>
      </c>
      <c r="Y1850" s="11">
        <v>412</v>
      </c>
      <c r="Z1850" s="11">
        <v>6.5</v>
      </c>
      <c r="AA1850" s="11">
        <v>2.35</v>
      </c>
      <c r="AB1850" s="11">
        <v>43000</v>
      </c>
      <c r="AC1850" s="11"/>
      <c r="AD1850" s="11" t="str">
        <f>IFERROR(__xludf.DUMMYFUNCTION("""COMPUTED_VALUE"""),"Jason Robards")</f>
        <v>Jason Robards</v>
      </c>
      <c r="AE1850" s="11"/>
    </row>
    <row r="1851" customHeight="1" spans="1:31">
      <c r="A1851" s="12" t="s">
        <v>30</v>
      </c>
      <c r="B1851" s="12" t="s">
        <v>1745</v>
      </c>
      <c r="C1851" s="12">
        <v>157</v>
      </c>
      <c r="D1851" s="12">
        <v>109</v>
      </c>
      <c r="E1851" s="12">
        <v>80</v>
      </c>
      <c r="F1851" s="12">
        <v>2000</v>
      </c>
      <c r="G1851" s="12">
        <v>19000</v>
      </c>
      <c r="H1851" s="12">
        <v>45489752</v>
      </c>
      <c r="I1851" s="12" t="s">
        <v>1415</v>
      </c>
      <c r="J1851" s="12" t="s">
        <v>100</v>
      </c>
      <c r="K1851" s="12" t="s">
        <v>948</v>
      </c>
      <c r="L1851" s="12" t="s">
        <v>537</v>
      </c>
      <c r="M1851" s="12" t="s">
        <v>9288</v>
      </c>
      <c r="N1851" s="12">
        <v>48973</v>
      </c>
      <c r="O1851" s="12">
        <v>28493</v>
      </c>
      <c r="P1851" s="12">
        <v>2</v>
      </c>
      <c r="Q1851" s="12" t="s">
        <v>9289</v>
      </c>
      <c r="R1851" s="15" t="s">
        <v>9290</v>
      </c>
      <c r="S1851" s="12">
        <v>214</v>
      </c>
      <c r="T1851" s="12" t="s">
        <v>39</v>
      </c>
      <c r="U1851" s="12" t="s">
        <v>40</v>
      </c>
      <c r="V1851" s="12" t="s">
        <v>41</v>
      </c>
      <c r="W1851" s="12">
        <v>26000000</v>
      </c>
      <c r="X1851" s="12">
        <v>2004</v>
      </c>
      <c r="Y1851" s="12">
        <v>3000</v>
      </c>
      <c r="Z1851" s="12">
        <v>6.5</v>
      </c>
      <c r="AA1851" s="12">
        <v>1.85</v>
      </c>
      <c r="AB1851" s="12">
        <v>736</v>
      </c>
      <c r="AC1851" s="12"/>
      <c r="AD1851" s="12" t="str">
        <f>IFERROR(__xludf.DUMMYFUNCTION("""COMPUTED_VALUE"""),"Eddie Rouse")</f>
        <v>Eddie Rouse</v>
      </c>
      <c r="AE1851" s="12"/>
    </row>
    <row r="1852" customHeight="1" spans="1:31">
      <c r="A1852" s="11" t="s">
        <v>30</v>
      </c>
      <c r="B1852" s="11" t="s">
        <v>3377</v>
      </c>
      <c r="C1852" s="11">
        <v>69</v>
      </c>
      <c r="D1852" s="11">
        <v>94</v>
      </c>
      <c r="E1852" s="11">
        <v>906</v>
      </c>
      <c r="F1852" s="11">
        <v>528</v>
      </c>
      <c r="G1852" s="11">
        <v>2000</v>
      </c>
      <c r="H1852" s="11">
        <v>36985501</v>
      </c>
      <c r="I1852" s="11" t="s">
        <v>9291</v>
      </c>
      <c r="J1852" s="11" t="s">
        <v>3008</v>
      </c>
      <c r="K1852" s="11" t="s">
        <v>9292</v>
      </c>
      <c r="L1852" s="11" t="s">
        <v>9293</v>
      </c>
      <c r="M1852" s="11" t="s">
        <v>9294</v>
      </c>
      <c r="N1852" s="11">
        <v>11212</v>
      </c>
      <c r="O1852" s="11">
        <v>3917</v>
      </c>
      <c r="P1852" s="11">
        <v>0</v>
      </c>
      <c r="Q1852" s="11" t="s">
        <v>9295</v>
      </c>
      <c r="R1852" s="14" t="s">
        <v>9296</v>
      </c>
      <c r="S1852" s="11">
        <v>94</v>
      </c>
      <c r="T1852" s="11" t="s">
        <v>39</v>
      </c>
      <c r="U1852" s="11" t="s">
        <v>40</v>
      </c>
      <c r="V1852" s="11" t="s">
        <v>96</v>
      </c>
      <c r="W1852" s="11">
        <v>26000000</v>
      </c>
      <c r="X1852" s="11">
        <v>2002</v>
      </c>
      <c r="Y1852" s="11">
        <v>587</v>
      </c>
      <c r="Z1852" s="11">
        <v>5.2</v>
      </c>
      <c r="AA1852" s="11">
        <v>1.85</v>
      </c>
      <c r="AB1852" s="11">
        <v>874</v>
      </c>
      <c r="AC1852" s="11"/>
      <c r="AD1852" s="11" t="str">
        <f>IFERROR(__xludf.DUMMYFUNCTION("""COMPUTED_VALUE"""),"Tim Guinee")</f>
        <v>Tim Guinee</v>
      </c>
      <c r="AE1852" s="11"/>
    </row>
    <row r="1853" customHeight="1" spans="1:31">
      <c r="A1853" s="12" t="s">
        <v>30</v>
      </c>
      <c r="B1853" s="12" t="s">
        <v>3640</v>
      </c>
      <c r="C1853" s="12">
        <v>46</v>
      </c>
      <c r="D1853" s="12">
        <v>133</v>
      </c>
      <c r="E1853" s="12">
        <v>759</v>
      </c>
      <c r="F1853" s="12">
        <v>67</v>
      </c>
      <c r="G1853" s="12">
        <v>826</v>
      </c>
      <c r="H1853" s="12">
        <v>33200000</v>
      </c>
      <c r="I1853" s="12" t="s">
        <v>9297</v>
      </c>
      <c r="J1853" s="12" t="s">
        <v>1320</v>
      </c>
      <c r="K1853" s="12" t="s">
        <v>9298</v>
      </c>
      <c r="L1853" s="12" t="s">
        <v>9299</v>
      </c>
      <c r="M1853" s="12" t="s">
        <v>9300</v>
      </c>
      <c r="N1853" s="12">
        <v>28247</v>
      </c>
      <c r="O1853" s="12">
        <v>1154</v>
      </c>
      <c r="P1853" s="12">
        <v>4</v>
      </c>
      <c r="Q1853" s="12" t="s">
        <v>9301</v>
      </c>
      <c r="R1853" s="15" t="s">
        <v>9302</v>
      </c>
      <c r="S1853" s="12">
        <v>149</v>
      </c>
      <c r="T1853" s="12" t="s">
        <v>39</v>
      </c>
      <c r="U1853" s="12" t="s">
        <v>40</v>
      </c>
      <c r="V1853" s="12" t="s">
        <v>41</v>
      </c>
      <c r="W1853" s="12">
        <v>26000000</v>
      </c>
      <c r="X1853" s="12">
        <v>1985</v>
      </c>
      <c r="Y1853" s="12">
        <v>130</v>
      </c>
      <c r="Z1853" s="12">
        <v>7.2</v>
      </c>
      <c r="AA1853" s="12">
        <v>2.35</v>
      </c>
      <c r="AB1853" s="12">
        <v>0</v>
      </c>
      <c r="AC1853" s="12"/>
      <c r="AD1853" s="12" t="str">
        <f>IFERROR(__xludf.DUMMYFUNCTION("""COMPUTED_VALUE"""),"Bridgette Wilson-Sampras")</f>
        <v>Bridgette Wilson-Sampras</v>
      </c>
      <c r="AE1853" s="12"/>
    </row>
    <row r="1854" customHeight="1" spans="1:31">
      <c r="A1854" s="11" t="s">
        <v>30</v>
      </c>
      <c r="B1854" s="11" t="s">
        <v>5424</v>
      </c>
      <c r="C1854" s="11">
        <v>217</v>
      </c>
      <c r="D1854" s="11">
        <v>105</v>
      </c>
      <c r="E1854" s="11">
        <v>260</v>
      </c>
      <c r="F1854" s="11">
        <v>3000</v>
      </c>
      <c r="G1854" s="11">
        <v>20000</v>
      </c>
      <c r="H1854" s="11">
        <v>28501651</v>
      </c>
      <c r="I1854" s="11" t="s">
        <v>4075</v>
      </c>
      <c r="J1854" s="11" t="s">
        <v>842</v>
      </c>
      <c r="K1854" s="11" t="s">
        <v>373</v>
      </c>
      <c r="L1854" s="11" t="s">
        <v>2625</v>
      </c>
      <c r="M1854" s="11" t="s">
        <v>9303</v>
      </c>
      <c r="N1854" s="11">
        <v>88035</v>
      </c>
      <c r="O1854" s="11">
        <v>42473</v>
      </c>
      <c r="P1854" s="11">
        <v>0</v>
      </c>
      <c r="Q1854" s="11" t="s">
        <v>9304</v>
      </c>
      <c r="R1854" s="14" t="s">
        <v>9305</v>
      </c>
      <c r="S1854" s="11">
        <v>201</v>
      </c>
      <c r="T1854" s="11" t="s">
        <v>39</v>
      </c>
      <c r="U1854" s="11" t="s">
        <v>40</v>
      </c>
      <c r="V1854" s="11" t="s">
        <v>586</v>
      </c>
      <c r="W1854" s="11">
        <v>26000000</v>
      </c>
      <c r="X1854" s="11">
        <v>2009</v>
      </c>
      <c r="Y1854" s="11">
        <v>15000</v>
      </c>
      <c r="Z1854" s="11">
        <v>7.1</v>
      </c>
      <c r="AA1854" s="11">
        <v>2.35</v>
      </c>
      <c r="AB1854" s="11">
        <v>10000</v>
      </c>
      <c r="AC1854" s="11"/>
      <c r="AD1854" s="11" t="str">
        <f>IFERROR(__xludf.DUMMYFUNCTION("""COMPUTED_VALUE"""),"Matt Ross")</f>
        <v>Matt Ross</v>
      </c>
      <c r="AE1854" s="11"/>
    </row>
    <row r="1855" customHeight="1" spans="1:31">
      <c r="A1855" s="12" t="s">
        <v>30</v>
      </c>
      <c r="B1855" s="12" t="s">
        <v>9306</v>
      </c>
      <c r="C1855" s="12">
        <v>55</v>
      </c>
      <c r="D1855" s="12">
        <v>100</v>
      </c>
      <c r="E1855" s="12">
        <v>8</v>
      </c>
      <c r="F1855" s="12">
        <v>588</v>
      </c>
      <c r="G1855" s="12">
        <v>1000</v>
      </c>
      <c r="H1855" s="12">
        <v>23222861</v>
      </c>
      <c r="I1855" s="12" t="s">
        <v>9307</v>
      </c>
      <c r="J1855" s="12" t="s">
        <v>6010</v>
      </c>
      <c r="K1855" s="12" t="s">
        <v>8307</v>
      </c>
      <c r="L1855" s="12" t="s">
        <v>789</v>
      </c>
      <c r="M1855" s="12" t="s">
        <v>9308</v>
      </c>
      <c r="N1855" s="12">
        <v>11092</v>
      </c>
      <c r="O1855" s="12">
        <v>3742</v>
      </c>
      <c r="P1855" s="12">
        <v>4</v>
      </c>
      <c r="Q1855" s="12" t="s">
        <v>9309</v>
      </c>
      <c r="R1855" s="15" t="s">
        <v>9310</v>
      </c>
      <c r="S1855" s="12">
        <v>44</v>
      </c>
      <c r="T1855" s="12" t="s">
        <v>39</v>
      </c>
      <c r="U1855" s="12" t="s">
        <v>40</v>
      </c>
      <c r="V1855" s="12" t="s">
        <v>96</v>
      </c>
      <c r="W1855" s="12">
        <v>26000000</v>
      </c>
      <c r="X1855" s="12">
        <v>2004</v>
      </c>
      <c r="Y1855" s="12">
        <v>934</v>
      </c>
      <c r="Z1855" s="12">
        <v>4.5</v>
      </c>
      <c r="AA1855" s="12">
        <v>2.35</v>
      </c>
      <c r="AB1855" s="12">
        <v>167</v>
      </c>
      <c r="AC1855" s="12"/>
      <c r="AD1855" s="12" t="str">
        <f>IFERROR(__xludf.DUMMYFUNCTION("""COMPUTED_VALUE"""),"John Aylward")</f>
        <v>John Aylward</v>
      </c>
      <c r="AE1855" s="12"/>
    </row>
    <row r="1856" customHeight="1" spans="1:31">
      <c r="A1856" s="11" t="s">
        <v>30</v>
      </c>
      <c r="B1856" s="11" t="s">
        <v>3304</v>
      </c>
      <c r="C1856" s="11">
        <v>200</v>
      </c>
      <c r="D1856" s="11">
        <v>113</v>
      </c>
      <c r="E1856" s="11">
        <v>0</v>
      </c>
      <c r="F1856" s="11">
        <v>307</v>
      </c>
      <c r="G1856" s="11">
        <v>22000</v>
      </c>
      <c r="H1856" s="11">
        <v>54540525</v>
      </c>
      <c r="I1856" s="11" t="s">
        <v>1681</v>
      </c>
      <c r="J1856" s="11" t="s">
        <v>1746</v>
      </c>
      <c r="K1856" s="11" t="s">
        <v>329</v>
      </c>
      <c r="L1856" s="11" t="s">
        <v>9311</v>
      </c>
      <c r="M1856" s="11" t="s">
        <v>9312</v>
      </c>
      <c r="N1856" s="11">
        <v>66579</v>
      </c>
      <c r="O1856" s="11">
        <v>23456</v>
      </c>
      <c r="P1856" s="11">
        <v>15</v>
      </c>
      <c r="Q1856" s="11" t="s">
        <v>9313</v>
      </c>
      <c r="R1856" s="14" t="s">
        <v>9314</v>
      </c>
      <c r="S1856" s="11">
        <v>134</v>
      </c>
      <c r="T1856" s="11" t="s">
        <v>39</v>
      </c>
      <c r="U1856" s="11" t="s">
        <v>40</v>
      </c>
      <c r="V1856" s="11" t="s">
        <v>41</v>
      </c>
      <c r="W1856" s="11">
        <v>56000000</v>
      </c>
      <c r="X1856" s="11">
        <v>2011</v>
      </c>
      <c r="Y1856" s="11">
        <v>988</v>
      </c>
      <c r="Z1856" s="11">
        <v>5.7</v>
      </c>
      <c r="AA1856" s="11">
        <v>1.85</v>
      </c>
      <c r="AB1856" s="11">
        <v>20000</v>
      </c>
      <c r="AC1856" s="11"/>
      <c r="AD1856" s="11" t="str">
        <f>IFERROR(__xludf.DUMMYFUNCTION("""COMPUTED_VALUE"""),"Troy Garity")</f>
        <v>Troy Garity</v>
      </c>
      <c r="AE1856" s="11"/>
    </row>
    <row r="1857" customHeight="1" spans="1:31">
      <c r="A1857" s="12" t="s">
        <v>30</v>
      </c>
      <c r="B1857" s="12" t="s">
        <v>9315</v>
      </c>
      <c r="C1857" s="12">
        <v>93</v>
      </c>
      <c r="D1857" s="12">
        <v>118</v>
      </c>
      <c r="E1857" s="12">
        <v>49</v>
      </c>
      <c r="F1857" s="12">
        <v>155</v>
      </c>
      <c r="G1857" s="12">
        <v>11000</v>
      </c>
      <c r="H1857" s="12">
        <v>16252765</v>
      </c>
      <c r="I1857" s="12" t="s">
        <v>3278</v>
      </c>
      <c r="J1857" s="12" t="s">
        <v>565</v>
      </c>
      <c r="K1857" s="12" t="s">
        <v>9316</v>
      </c>
      <c r="L1857" s="12" t="s">
        <v>9317</v>
      </c>
      <c r="M1857" s="12" t="s">
        <v>9318</v>
      </c>
      <c r="N1857" s="12">
        <v>44913</v>
      </c>
      <c r="O1857" s="12">
        <v>11662</v>
      </c>
      <c r="P1857" s="12">
        <v>1</v>
      </c>
      <c r="Q1857" s="12" t="s">
        <v>9319</v>
      </c>
      <c r="R1857" s="15" t="s">
        <v>9320</v>
      </c>
      <c r="S1857" s="12">
        <v>181</v>
      </c>
      <c r="T1857" s="12" t="s">
        <v>39</v>
      </c>
      <c r="U1857" s="12" t="s">
        <v>1466</v>
      </c>
      <c r="V1857" s="12" t="s">
        <v>586</v>
      </c>
      <c r="W1857" s="12">
        <v>42000000</v>
      </c>
      <c r="X1857" s="12">
        <v>2001</v>
      </c>
      <c r="Y1857" s="12">
        <v>216</v>
      </c>
      <c r="Z1857" s="12">
        <v>6</v>
      </c>
      <c r="AA1857" s="12">
        <v>2.35</v>
      </c>
      <c r="AB1857" s="12">
        <v>3000</v>
      </c>
      <c r="AC1857" s="12"/>
      <c r="AD1857" s="12" t="str">
        <f>IFERROR(__xludf.DUMMYFUNCTION("""COMPUTED_VALUE"""),"John Gatins")</f>
        <v>John Gatins</v>
      </c>
      <c r="AE1857" s="12"/>
    </row>
    <row r="1858" customHeight="1" spans="1:31">
      <c r="A1858" s="11" t="s">
        <v>30</v>
      </c>
      <c r="B1858" s="11" t="s">
        <v>5140</v>
      </c>
      <c r="C1858" s="11">
        <v>265</v>
      </c>
      <c r="D1858" s="11">
        <v>110</v>
      </c>
      <c r="E1858" s="11">
        <v>160</v>
      </c>
      <c r="F1858" s="11">
        <v>427</v>
      </c>
      <c r="G1858" s="11">
        <v>771</v>
      </c>
      <c r="H1858" s="11">
        <v>16005978</v>
      </c>
      <c r="I1858" s="11" t="s">
        <v>2215</v>
      </c>
      <c r="J1858" s="11" t="s">
        <v>9321</v>
      </c>
      <c r="K1858" s="11" t="s">
        <v>1240</v>
      </c>
      <c r="L1858" s="11" t="s">
        <v>3604</v>
      </c>
      <c r="M1858" s="11" t="s">
        <v>9322</v>
      </c>
      <c r="N1858" s="11">
        <v>72886</v>
      </c>
      <c r="O1858" s="11">
        <v>2356</v>
      </c>
      <c r="P1858" s="11">
        <v>1</v>
      </c>
      <c r="Q1858" s="11" t="s">
        <v>9323</v>
      </c>
      <c r="R1858" s="14" t="s">
        <v>9324</v>
      </c>
      <c r="S1858" s="11">
        <v>190</v>
      </c>
      <c r="T1858" s="11" t="s">
        <v>39</v>
      </c>
      <c r="U1858" s="11" t="s">
        <v>40</v>
      </c>
      <c r="V1858" s="11" t="s">
        <v>586</v>
      </c>
      <c r="W1858" s="11">
        <v>26000000</v>
      </c>
      <c r="X1858" s="11">
        <v>2012</v>
      </c>
      <c r="Y1858" s="11">
        <v>570</v>
      </c>
      <c r="Z1858" s="11">
        <v>6.4</v>
      </c>
      <c r="AA1858" s="11">
        <v>2.35</v>
      </c>
      <c r="AB1858" s="11">
        <v>35000</v>
      </c>
      <c r="AC1858" s="11"/>
      <c r="AD1858" s="11" t="str">
        <f>IFERROR(__xludf.DUMMYFUNCTION("""COMPUTED_VALUE"""),"Lou Saliba")</f>
        <v>Lou Saliba</v>
      </c>
      <c r="AE1858" s="11"/>
    </row>
    <row r="1859" customHeight="1" spans="1:31">
      <c r="A1859" s="12" t="s">
        <v>30</v>
      </c>
      <c r="B1859" s="12" t="s">
        <v>4240</v>
      </c>
      <c r="C1859" s="12">
        <v>82</v>
      </c>
      <c r="D1859" s="12">
        <v>110</v>
      </c>
      <c r="E1859" s="12">
        <v>80</v>
      </c>
      <c r="F1859" s="12">
        <v>509</v>
      </c>
      <c r="G1859" s="12">
        <v>826</v>
      </c>
      <c r="H1859" s="12">
        <v>14469428</v>
      </c>
      <c r="I1859" s="12" t="s">
        <v>1681</v>
      </c>
      <c r="J1859" s="12" t="s">
        <v>904</v>
      </c>
      <c r="K1859" s="12" t="s">
        <v>3013</v>
      </c>
      <c r="L1859" s="12" t="s">
        <v>3761</v>
      </c>
      <c r="M1859" s="12" t="s">
        <v>9325</v>
      </c>
      <c r="N1859" s="12">
        <v>10667</v>
      </c>
      <c r="O1859" s="12">
        <v>2466</v>
      </c>
      <c r="P1859" s="12">
        <v>2</v>
      </c>
      <c r="Q1859" s="12" t="s">
        <v>9326</v>
      </c>
      <c r="R1859" s="15" t="s">
        <v>9327</v>
      </c>
      <c r="S1859" s="12">
        <v>95</v>
      </c>
      <c r="T1859" s="12" t="s">
        <v>39</v>
      </c>
      <c r="U1859" s="12" t="s">
        <v>40</v>
      </c>
      <c r="V1859" s="12" t="s">
        <v>41</v>
      </c>
      <c r="W1859" s="12">
        <v>26000000</v>
      </c>
      <c r="X1859" s="12">
        <v>2004</v>
      </c>
      <c r="Y1859" s="12">
        <v>590</v>
      </c>
      <c r="Z1859" s="12">
        <v>5.2</v>
      </c>
      <c r="AA1859" s="12">
        <v>1.85</v>
      </c>
      <c r="AB1859" s="12">
        <v>260</v>
      </c>
      <c r="AC1859" s="12"/>
      <c r="AD1859" s="12" t="str">
        <f>IFERROR(__xludf.DUMMYFUNCTION("""COMPUTED_VALUE"""),"Greg Collins")</f>
        <v>Greg Collins</v>
      </c>
      <c r="AE1859" s="12"/>
    </row>
    <row r="1860" customHeight="1" spans="1:31">
      <c r="A1860" s="11" t="s">
        <v>30</v>
      </c>
      <c r="B1860" s="11" t="s">
        <v>9328</v>
      </c>
      <c r="C1860" s="11">
        <v>32</v>
      </c>
      <c r="D1860" s="11">
        <v>99</v>
      </c>
      <c r="E1860" s="11">
        <v>5</v>
      </c>
      <c r="F1860" s="11">
        <v>535</v>
      </c>
      <c r="G1860" s="11">
        <v>1000</v>
      </c>
      <c r="H1860" s="11">
        <v>13829734</v>
      </c>
      <c r="I1860" s="11" t="s">
        <v>9329</v>
      </c>
      <c r="J1860" s="11" t="s">
        <v>4534</v>
      </c>
      <c r="K1860" s="11" t="s">
        <v>752</v>
      </c>
      <c r="L1860" s="11" t="s">
        <v>9330</v>
      </c>
      <c r="M1860" s="11" t="s">
        <v>9331</v>
      </c>
      <c r="N1860" s="11">
        <v>16194</v>
      </c>
      <c r="O1860" s="11">
        <v>2960</v>
      </c>
      <c r="P1860" s="11">
        <v>0</v>
      </c>
      <c r="Q1860" s="11" t="s">
        <v>9332</v>
      </c>
      <c r="R1860" s="14" t="s">
        <v>9333</v>
      </c>
      <c r="S1860" s="11">
        <v>79</v>
      </c>
      <c r="T1860" s="11" t="s">
        <v>39</v>
      </c>
      <c r="U1860" s="11" t="s">
        <v>269</v>
      </c>
      <c r="V1860" s="11" t="s">
        <v>41</v>
      </c>
      <c r="W1860" s="11">
        <v>26000000</v>
      </c>
      <c r="X1860" s="11">
        <v>1994</v>
      </c>
      <c r="Y1860" s="11">
        <v>691</v>
      </c>
      <c r="Z1860" s="11">
        <v>4.3</v>
      </c>
      <c r="AA1860" s="11">
        <v>2.35</v>
      </c>
      <c r="AB1860" s="11">
        <v>319</v>
      </c>
      <c r="AC1860" s="11"/>
      <c r="AD1860" s="11" t="str">
        <f>IFERROR(__xludf.DUMMYFUNCTION("""COMPUTED_VALUE"""),"Kelly Ripa")</f>
        <v>Kelly Ripa</v>
      </c>
      <c r="AE1860" s="11"/>
    </row>
    <row r="1861" customHeight="1" spans="1:31">
      <c r="A1861" s="12" t="s">
        <v>30</v>
      </c>
      <c r="B1861" s="12" t="s">
        <v>9334</v>
      </c>
      <c r="C1861" s="12">
        <v>42</v>
      </c>
      <c r="D1861" s="12">
        <v>101</v>
      </c>
      <c r="E1861" s="12">
        <v>30</v>
      </c>
      <c r="F1861" s="12">
        <v>223</v>
      </c>
      <c r="G1861" s="12">
        <v>1000</v>
      </c>
      <c r="H1861" s="12">
        <v>1075288</v>
      </c>
      <c r="I1861" s="12" t="s">
        <v>2126</v>
      </c>
      <c r="J1861" s="12" t="s">
        <v>2808</v>
      </c>
      <c r="K1861" s="12" t="s">
        <v>3197</v>
      </c>
      <c r="L1861" s="12" t="s">
        <v>7955</v>
      </c>
      <c r="M1861" s="12" t="s">
        <v>9335</v>
      </c>
      <c r="N1861" s="12">
        <v>7772</v>
      </c>
      <c r="O1861" s="12">
        <v>2228</v>
      </c>
      <c r="P1861" s="12">
        <v>3</v>
      </c>
      <c r="Q1861" s="12" t="s">
        <v>9336</v>
      </c>
      <c r="R1861" s="15" t="s">
        <v>9337</v>
      </c>
      <c r="S1861" s="12">
        <v>55</v>
      </c>
      <c r="T1861" s="12" t="s">
        <v>39</v>
      </c>
      <c r="U1861" s="12" t="s">
        <v>40</v>
      </c>
      <c r="V1861" s="12" t="s">
        <v>586</v>
      </c>
      <c r="W1861" s="12">
        <v>22000000</v>
      </c>
      <c r="X1861" s="12">
        <v>1996</v>
      </c>
      <c r="Y1861" s="12">
        <v>854</v>
      </c>
      <c r="Z1861" s="12">
        <v>6.1</v>
      </c>
      <c r="AA1861" s="12">
        <v>1.85</v>
      </c>
      <c r="AB1861" s="12">
        <v>145</v>
      </c>
      <c r="AC1861" s="12"/>
      <c r="AD1861" s="12" t="str">
        <f>IFERROR(__xludf.DUMMYFUNCTION("""COMPUTED_VALUE"""),"Jasmine Trinca")</f>
        <v>Jasmine Trinca</v>
      </c>
      <c r="AE1861" s="12"/>
    </row>
    <row r="1862" customHeight="1" spans="1:31">
      <c r="A1862" s="11" t="s">
        <v>30</v>
      </c>
      <c r="B1862" s="11" t="s">
        <v>9338</v>
      </c>
      <c r="C1862" s="11">
        <v>22</v>
      </c>
      <c r="D1862" s="11">
        <v>100</v>
      </c>
      <c r="E1862" s="11">
        <v>2</v>
      </c>
      <c r="F1862" s="11">
        <v>512</v>
      </c>
      <c r="G1862" s="11">
        <v>642</v>
      </c>
      <c r="H1862" s="13"/>
      <c r="I1862" s="11" t="s">
        <v>7406</v>
      </c>
      <c r="J1862" s="11" t="s">
        <v>9339</v>
      </c>
      <c r="K1862" s="11" t="s">
        <v>607</v>
      </c>
      <c r="L1862" s="11" t="s">
        <v>9340</v>
      </c>
      <c r="M1862" s="11" t="s">
        <v>9341</v>
      </c>
      <c r="N1862" s="11">
        <v>8118</v>
      </c>
      <c r="O1862" s="11">
        <v>2170</v>
      </c>
      <c r="P1862" s="11">
        <v>2</v>
      </c>
      <c r="Q1862" s="11" t="s">
        <v>9342</v>
      </c>
      <c r="R1862" s="14" t="s">
        <v>9343</v>
      </c>
      <c r="S1862" s="11">
        <v>69</v>
      </c>
      <c r="T1862" s="11" t="s">
        <v>39</v>
      </c>
      <c r="U1862" s="11" t="s">
        <v>40</v>
      </c>
      <c r="V1862" s="11" t="s">
        <v>586</v>
      </c>
      <c r="W1862" s="11">
        <v>26000000</v>
      </c>
      <c r="X1862" s="11">
        <v>1997</v>
      </c>
      <c r="Y1862" s="11">
        <v>638</v>
      </c>
      <c r="Z1862" s="11">
        <v>6.3</v>
      </c>
      <c r="AA1862" s="11">
        <v>1.85</v>
      </c>
      <c r="AB1862" s="11">
        <v>0</v>
      </c>
      <c r="AC1862" s="11"/>
      <c r="AD1862" s="11" t="str">
        <f>IFERROR(__xludf.DUMMYFUNCTION("""COMPUTED_VALUE"""),"Ashley Walters")</f>
        <v>Ashley Walters</v>
      </c>
      <c r="AE1862" s="11"/>
    </row>
    <row r="1863" customHeight="1" spans="1:31">
      <c r="A1863" s="12" t="s">
        <v>30</v>
      </c>
      <c r="B1863" s="12" t="s">
        <v>4004</v>
      </c>
      <c r="C1863" s="12">
        <v>116</v>
      </c>
      <c r="D1863" s="12">
        <v>103</v>
      </c>
      <c r="E1863" s="12">
        <v>11000</v>
      </c>
      <c r="F1863" s="12">
        <v>277</v>
      </c>
      <c r="G1863" s="12">
        <v>11000</v>
      </c>
      <c r="H1863" s="12">
        <v>7496522</v>
      </c>
      <c r="I1863" s="12" t="s">
        <v>9344</v>
      </c>
      <c r="J1863" s="12" t="s">
        <v>4004</v>
      </c>
      <c r="K1863" s="12" t="s">
        <v>6720</v>
      </c>
      <c r="L1863" s="12" t="s">
        <v>3392</v>
      </c>
      <c r="M1863" s="12" t="s">
        <v>9345</v>
      </c>
      <c r="N1863" s="12">
        <v>31798</v>
      </c>
      <c r="O1863" s="12">
        <v>12534</v>
      </c>
      <c r="P1863" s="12">
        <v>0</v>
      </c>
      <c r="Q1863" s="12" t="s">
        <v>9346</v>
      </c>
      <c r="R1863" s="15" t="s">
        <v>9347</v>
      </c>
      <c r="S1863" s="12">
        <v>178</v>
      </c>
      <c r="T1863" s="12" t="s">
        <v>39</v>
      </c>
      <c r="U1863" s="12" t="s">
        <v>40</v>
      </c>
      <c r="V1863" s="12" t="s">
        <v>41</v>
      </c>
      <c r="W1863" s="12">
        <v>26000000</v>
      </c>
      <c r="X1863" s="12">
        <v>2001</v>
      </c>
      <c r="Y1863" s="12">
        <v>893</v>
      </c>
      <c r="Z1863" s="12">
        <v>6.8</v>
      </c>
      <c r="AA1863" s="12">
        <v>1.37</v>
      </c>
      <c r="AB1863" s="12">
        <v>826</v>
      </c>
      <c r="AC1863" s="12"/>
      <c r="AD1863" s="12" t="str">
        <f>IFERROR(__xludf.DUMMYFUNCTION("""COMPUTED_VALUE"""),"Sarah Roemer")</f>
        <v>Sarah Roemer</v>
      </c>
      <c r="AE1863" s="12"/>
    </row>
    <row r="1864" customHeight="1" spans="1:31">
      <c r="A1864" s="11" t="s">
        <v>30</v>
      </c>
      <c r="B1864" s="11" t="s">
        <v>4167</v>
      </c>
      <c r="C1864" s="11">
        <v>56</v>
      </c>
      <c r="D1864" s="11">
        <v>100</v>
      </c>
      <c r="E1864" s="11">
        <v>737</v>
      </c>
      <c r="F1864" s="11">
        <v>816</v>
      </c>
      <c r="G1864" s="11">
        <v>15000</v>
      </c>
      <c r="H1864" s="13"/>
      <c r="I1864" s="11" t="s">
        <v>1681</v>
      </c>
      <c r="J1864" s="11" t="s">
        <v>373</v>
      </c>
      <c r="K1864" s="11" t="s">
        <v>9348</v>
      </c>
      <c r="L1864" s="11" t="s">
        <v>7746</v>
      </c>
      <c r="M1864" s="11" t="s">
        <v>9349</v>
      </c>
      <c r="N1864" s="11">
        <v>5006</v>
      </c>
      <c r="O1864" s="11">
        <v>19068</v>
      </c>
      <c r="P1864" s="11">
        <v>5</v>
      </c>
      <c r="Q1864" s="11" t="s">
        <v>9350</v>
      </c>
      <c r="R1864" s="14" t="s">
        <v>9351</v>
      </c>
      <c r="S1864" s="11">
        <v>28</v>
      </c>
      <c r="T1864" s="11" t="s">
        <v>39</v>
      </c>
      <c r="U1864" s="11" t="s">
        <v>40</v>
      </c>
      <c r="V1864" s="11" t="s">
        <v>41</v>
      </c>
      <c r="W1864" s="11">
        <v>26000000</v>
      </c>
      <c r="X1864" s="11">
        <v>2015</v>
      </c>
      <c r="Y1864" s="11">
        <v>980</v>
      </c>
      <c r="Z1864" s="11">
        <v>4</v>
      </c>
      <c r="AA1864" s="11">
        <v>1.85</v>
      </c>
      <c r="AB1864" s="11">
        <v>0</v>
      </c>
      <c r="AC1864" s="11"/>
      <c r="AD1864" s="11" t="str">
        <f>IFERROR(__xludf.DUMMYFUNCTION("""COMPUTED_VALUE"""),"Aaron Yoo")</f>
        <v>Aaron Yoo</v>
      </c>
      <c r="AE1864" s="11"/>
    </row>
    <row r="1865" customHeight="1" spans="1:31">
      <c r="A1865" s="12" t="s">
        <v>30</v>
      </c>
      <c r="B1865" s="12" t="s">
        <v>9352</v>
      </c>
      <c r="C1865" s="12">
        <v>23</v>
      </c>
      <c r="D1865" s="12">
        <v>95</v>
      </c>
      <c r="E1865" s="12">
        <v>0</v>
      </c>
      <c r="F1865" s="12">
        <v>26</v>
      </c>
      <c r="G1865" s="12">
        <v>442</v>
      </c>
      <c r="H1865" s="12">
        <v>20047715</v>
      </c>
      <c r="I1865" s="12" t="s">
        <v>9353</v>
      </c>
      <c r="J1865" s="12" t="s">
        <v>9354</v>
      </c>
      <c r="K1865" s="12" t="s">
        <v>9355</v>
      </c>
      <c r="L1865" s="12" t="s">
        <v>9356</v>
      </c>
      <c r="M1865" s="12" t="s">
        <v>9357</v>
      </c>
      <c r="N1865" s="12">
        <v>8008</v>
      </c>
      <c r="O1865" s="12">
        <v>616</v>
      </c>
      <c r="P1865" s="12">
        <v>1</v>
      </c>
      <c r="Q1865" s="12" t="s">
        <v>9358</v>
      </c>
      <c r="R1865" s="15" t="s">
        <v>9359</v>
      </c>
      <c r="S1865" s="12">
        <v>26</v>
      </c>
      <c r="T1865" s="12" t="s">
        <v>39</v>
      </c>
      <c r="U1865" s="12" t="s">
        <v>40</v>
      </c>
      <c r="V1865" s="12" t="s">
        <v>96</v>
      </c>
      <c r="W1865" s="12">
        <v>25530000</v>
      </c>
      <c r="X1865" s="12">
        <v>1996</v>
      </c>
      <c r="Y1865" s="12">
        <v>95</v>
      </c>
      <c r="Z1865" s="12">
        <v>5.2</v>
      </c>
      <c r="AA1865" s="12">
        <v>2.35</v>
      </c>
      <c r="AB1865" s="12">
        <v>504</v>
      </c>
      <c r="AC1865" s="12"/>
      <c r="AD1865" s="12" t="str">
        <f>IFERROR(__xludf.DUMMYFUNCTION("""COMPUTED_VALUE"""),"James Brolin")</f>
        <v>James Brolin</v>
      </c>
      <c r="AE1865" s="12"/>
    </row>
    <row r="1866" customHeight="1" spans="1:31">
      <c r="A1866" s="11" t="s">
        <v>30</v>
      </c>
      <c r="B1866" s="11" t="s">
        <v>2449</v>
      </c>
      <c r="C1866" s="11">
        <v>178</v>
      </c>
      <c r="D1866" s="11">
        <v>117</v>
      </c>
      <c r="E1866" s="11">
        <v>763</v>
      </c>
      <c r="F1866" s="11">
        <v>523</v>
      </c>
      <c r="G1866" s="11">
        <v>16000</v>
      </c>
      <c r="H1866" s="11">
        <v>12276810</v>
      </c>
      <c r="I1866" s="11" t="s">
        <v>1645</v>
      </c>
      <c r="J1866" s="11" t="s">
        <v>315</v>
      </c>
      <c r="K1866" s="11" t="s">
        <v>8336</v>
      </c>
      <c r="L1866" s="11" t="s">
        <v>1172</v>
      </c>
      <c r="M1866" s="11" t="s">
        <v>9360</v>
      </c>
      <c r="N1866" s="11">
        <v>57674</v>
      </c>
      <c r="O1866" s="11">
        <v>17847</v>
      </c>
      <c r="P1866" s="11">
        <v>0</v>
      </c>
      <c r="Q1866" s="11" t="s">
        <v>9361</v>
      </c>
      <c r="R1866" s="14" t="s">
        <v>9362</v>
      </c>
      <c r="S1866" s="11">
        <v>126</v>
      </c>
      <c r="T1866" s="11" t="s">
        <v>39</v>
      </c>
      <c r="U1866" s="11" t="s">
        <v>40</v>
      </c>
      <c r="V1866" s="11" t="s">
        <v>41</v>
      </c>
      <c r="W1866" s="11">
        <v>26000000</v>
      </c>
      <c r="X1866" s="11">
        <v>2015</v>
      </c>
      <c r="Y1866" s="11">
        <v>543</v>
      </c>
      <c r="Z1866" s="11">
        <v>6.5</v>
      </c>
      <c r="AA1866" s="11">
        <v>2.35</v>
      </c>
      <c r="AB1866" s="11">
        <v>11000</v>
      </c>
      <c r="AC1866" s="11"/>
      <c r="AD1866" s="11" t="str">
        <f>IFERROR(__xludf.DUMMYFUNCTION("""COMPUTED_VALUE"""),"Zan Marolt")</f>
        <v>Zan Marolt</v>
      </c>
      <c r="AE1866" s="11"/>
    </row>
    <row r="1867" customHeight="1" spans="1:31">
      <c r="A1867" s="12" t="s">
        <v>30</v>
      </c>
      <c r="B1867" s="12" t="s">
        <v>9363</v>
      </c>
      <c r="C1867" s="12">
        <v>226</v>
      </c>
      <c r="D1867" s="12">
        <v>129</v>
      </c>
      <c r="E1867" s="12">
        <v>353</v>
      </c>
      <c r="F1867" s="12">
        <v>151</v>
      </c>
      <c r="G1867" s="12">
        <v>883</v>
      </c>
      <c r="H1867" s="12">
        <v>33565375</v>
      </c>
      <c r="I1867" s="12" t="s">
        <v>3278</v>
      </c>
      <c r="J1867" s="12" t="s">
        <v>1513</v>
      </c>
      <c r="K1867" s="12" t="s">
        <v>2995</v>
      </c>
      <c r="L1867" s="12" t="s">
        <v>9364</v>
      </c>
      <c r="M1867" s="12" t="s">
        <v>9365</v>
      </c>
      <c r="N1867" s="12">
        <v>111351</v>
      </c>
      <c r="O1867" s="12">
        <v>1565</v>
      </c>
      <c r="P1867" s="12">
        <v>0</v>
      </c>
      <c r="Q1867" s="12" t="s">
        <v>9366</v>
      </c>
      <c r="R1867" s="15" t="s">
        <v>9367</v>
      </c>
      <c r="S1867" s="12">
        <v>568</v>
      </c>
      <c r="T1867" s="12" t="s">
        <v>39</v>
      </c>
      <c r="U1867" s="12" t="s">
        <v>58</v>
      </c>
      <c r="V1867" s="12" t="s">
        <v>586</v>
      </c>
      <c r="W1867" s="12">
        <v>15000000</v>
      </c>
      <c r="X1867" s="12">
        <v>2005</v>
      </c>
      <c r="Y1867" s="12">
        <v>430</v>
      </c>
      <c r="Z1867" s="12">
        <v>7.5</v>
      </c>
      <c r="AA1867" s="12">
        <v>1.85</v>
      </c>
      <c r="AB1867" s="12">
        <v>0</v>
      </c>
      <c r="AC1867" s="12"/>
      <c r="AD1867" s="12" t="str">
        <f>IFERROR(__xludf.DUMMYFUNCTION("""COMPUTED_VALUE"""),"Ljubomir Kerekes")</f>
        <v>Ljubomir Kerekes</v>
      </c>
      <c r="AE1867" s="12"/>
    </row>
    <row r="1868" customHeight="1" spans="1:31">
      <c r="A1868" s="11" t="s">
        <v>30</v>
      </c>
      <c r="B1868" s="11" t="s">
        <v>3240</v>
      </c>
      <c r="C1868" s="11">
        <v>406</v>
      </c>
      <c r="D1868" s="11">
        <v>120</v>
      </c>
      <c r="E1868" s="11">
        <v>0</v>
      </c>
      <c r="F1868" s="11">
        <v>113</v>
      </c>
      <c r="G1868" s="11">
        <v>260</v>
      </c>
      <c r="H1868" s="11">
        <v>499263</v>
      </c>
      <c r="I1868" s="11" t="s">
        <v>3410</v>
      </c>
      <c r="J1868" s="11" t="s">
        <v>9368</v>
      </c>
      <c r="K1868" s="11" t="s">
        <v>9369</v>
      </c>
      <c r="L1868" s="11" t="s">
        <v>9370</v>
      </c>
      <c r="M1868" s="11" t="s">
        <v>9371</v>
      </c>
      <c r="N1868" s="11">
        <v>179235</v>
      </c>
      <c r="O1868" s="11">
        <v>705</v>
      </c>
      <c r="P1868" s="11">
        <v>0</v>
      </c>
      <c r="Q1868" s="11" t="s">
        <v>9372</v>
      </c>
      <c r="R1868" s="14" t="s">
        <v>9373</v>
      </c>
      <c r="S1868" s="11">
        <v>2814</v>
      </c>
      <c r="T1868" s="11" t="s">
        <v>9374</v>
      </c>
      <c r="U1868" s="11" t="s">
        <v>40</v>
      </c>
      <c r="V1868" s="11" t="s">
        <v>586</v>
      </c>
      <c r="W1868" s="11">
        <v>30000000</v>
      </c>
      <c r="X1868" s="11">
        <v>2004</v>
      </c>
      <c r="Y1868" s="11">
        <v>252</v>
      </c>
      <c r="Z1868" s="11">
        <v>7.1</v>
      </c>
      <c r="AA1868" s="11">
        <v>2.35</v>
      </c>
      <c r="AB1868" s="11">
        <v>13000</v>
      </c>
      <c r="AC1868" s="11"/>
      <c r="AD1868" s="11" t="str">
        <f>IFERROR(__xludf.DUMMYFUNCTION("""COMPUTED_VALUE"""),"John Mahoney")</f>
        <v>John Mahoney</v>
      </c>
      <c r="AE1868" s="11"/>
    </row>
    <row r="1869" customHeight="1" spans="1:31">
      <c r="A1869" s="12" t="s">
        <v>30</v>
      </c>
      <c r="B1869" s="12" t="s">
        <v>1253</v>
      </c>
      <c r="C1869" s="12">
        <v>57</v>
      </c>
      <c r="D1869" s="12">
        <v>125</v>
      </c>
      <c r="E1869" s="12">
        <v>0</v>
      </c>
      <c r="F1869" s="12">
        <v>711</v>
      </c>
      <c r="G1869" s="12">
        <v>49000</v>
      </c>
      <c r="H1869" s="12">
        <v>219200000</v>
      </c>
      <c r="I1869" s="12" t="s">
        <v>9106</v>
      </c>
      <c r="J1869" s="12" t="s">
        <v>811</v>
      </c>
      <c r="K1869" s="12" t="s">
        <v>9003</v>
      </c>
      <c r="L1869" s="12" t="s">
        <v>9375</v>
      </c>
      <c r="M1869" s="12" t="s">
        <v>9376</v>
      </c>
      <c r="N1869" s="12">
        <v>181380</v>
      </c>
      <c r="O1869" s="12">
        <v>52201</v>
      </c>
      <c r="P1869" s="12">
        <v>5</v>
      </c>
      <c r="Q1869" s="12" t="s">
        <v>9377</v>
      </c>
      <c r="R1869" s="15" t="s">
        <v>9378</v>
      </c>
      <c r="S1869" s="12">
        <v>223</v>
      </c>
      <c r="T1869" s="12" t="s">
        <v>39</v>
      </c>
      <c r="U1869" s="12" t="s">
        <v>40</v>
      </c>
      <c r="V1869" s="12" t="s">
        <v>41</v>
      </c>
      <c r="W1869" s="12">
        <v>25000000</v>
      </c>
      <c r="X1869" s="12">
        <v>1993</v>
      </c>
      <c r="Y1869" s="12">
        <v>1000</v>
      </c>
      <c r="Z1869" s="12">
        <v>6.9</v>
      </c>
      <c r="AA1869" s="12">
        <v>2.35</v>
      </c>
      <c r="AB1869" s="12">
        <v>0</v>
      </c>
      <c r="AC1869" s="12"/>
      <c r="AD1869" s="12" t="str">
        <f>IFERROR(__xludf.DUMMYFUNCTION("""COMPUTED_VALUE"""),"Takeshi Kaneshiro")</f>
        <v>Takeshi Kaneshiro</v>
      </c>
      <c r="AE1869" s="12"/>
    </row>
    <row r="1870" customHeight="1" spans="1:31">
      <c r="A1870" s="11" t="s">
        <v>30</v>
      </c>
      <c r="B1870" s="11" t="s">
        <v>3123</v>
      </c>
      <c r="C1870" s="11">
        <v>100</v>
      </c>
      <c r="D1870" s="11">
        <v>133</v>
      </c>
      <c r="E1870" s="11">
        <v>272</v>
      </c>
      <c r="F1870" s="11">
        <v>628</v>
      </c>
      <c r="G1870" s="11">
        <v>10000</v>
      </c>
      <c r="H1870" s="11">
        <v>172825435</v>
      </c>
      <c r="I1870" s="11" t="s">
        <v>3410</v>
      </c>
      <c r="J1870" s="11" t="s">
        <v>523</v>
      </c>
      <c r="K1870" s="11" t="s">
        <v>5369</v>
      </c>
      <c r="L1870" s="11" t="s">
        <v>7032</v>
      </c>
      <c r="M1870" s="11" t="s">
        <v>9379</v>
      </c>
      <c r="N1870" s="11">
        <v>383784</v>
      </c>
      <c r="O1870" s="11">
        <v>12285</v>
      </c>
      <c r="P1870" s="11">
        <v>3</v>
      </c>
      <c r="Q1870" s="11" t="s">
        <v>9380</v>
      </c>
      <c r="R1870" s="14" t="s">
        <v>9381</v>
      </c>
      <c r="S1870" s="11">
        <v>331</v>
      </c>
      <c r="T1870" s="11" t="s">
        <v>39</v>
      </c>
      <c r="U1870" s="11" t="s">
        <v>40</v>
      </c>
      <c r="V1870" s="11" t="s">
        <v>586</v>
      </c>
      <c r="W1870" s="11">
        <v>25000000</v>
      </c>
      <c r="X1870" s="11">
        <v>1988</v>
      </c>
      <c r="Y1870" s="11">
        <v>898</v>
      </c>
      <c r="Z1870" s="11">
        <v>8</v>
      </c>
      <c r="AA1870" s="11">
        <v>1.85</v>
      </c>
      <c r="AB1870" s="11">
        <v>12000</v>
      </c>
      <c r="AC1870" s="11"/>
      <c r="AD1870" s="11" t="str">
        <f>IFERROR(__xludf.DUMMYFUNCTION("""COMPUTED_VALUE"""),"Andy Lau")</f>
        <v>Andy Lau</v>
      </c>
      <c r="AE1870" s="11"/>
    </row>
    <row r="1871" customHeight="1" spans="1:31">
      <c r="A1871" s="12" t="s">
        <v>30</v>
      </c>
      <c r="B1871" s="12" t="s">
        <v>3695</v>
      </c>
      <c r="C1871" s="12">
        <v>366</v>
      </c>
      <c r="D1871" s="12">
        <v>116</v>
      </c>
      <c r="E1871" s="12">
        <v>16000</v>
      </c>
      <c r="F1871" s="12">
        <v>198</v>
      </c>
      <c r="G1871" s="12">
        <v>16000</v>
      </c>
      <c r="H1871" s="12">
        <v>148085755</v>
      </c>
      <c r="I1871" s="12" t="s">
        <v>3410</v>
      </c>
      <c r="J1871" s="12" t="s">
        <v>3695</v>
      </c>
      <c r="K1871" s="12" t="s">
        <v>9382</v>
      </c>
      <c r="L1871" s="12" t="s">
        <v>9383</v>
      </c>
      <c r="M1871" s="12" t="s">
        <v>9384</v>
      </c>
      <c r="N1871" s="12">
        <v>561773</v>
      </c>
      <c r="O1871" s="12">
        <v>17347</v>
      </c>
      <c r="P1871" s="12">
        <v>0</v>
      </c>
      <c r="Q1871" s="12" t="s">
        <v>9385</v>
      </c>
      <c r="R1871" s="15" t="s">
        <v>9386</v>
      </c>
      <c r="S1871" s="12">
        <v>871</v>
      </c>
      <c r="T1871" s="12" t="s">
        <v>39</v>
      </c>
      <c r="U1871" s="12" t="s">
        <v>40</v>
      </c>
      <c r="V1871" s="12" t="s">
        <v>586</v>
      </c>
      <c r="W1871" s="12">
        <v>33000000</v>
      </c>
      <c r="X1871" s="12">
        <v>2008</v>
      </c>
      <c r="Y1871" s="12">
        <v>601</v>
      </c>
      <c r="Z1871" s="12">
        <v>8.2</v>
      </c>
      <c r="AA1871" s="12">
        <v>2.35</v>
      </c>
      <c r="AB1871" s="12">
        <v>28000</v>
      </c>
      <c r="AC1871" s="12"/>
      <c r="AD1871" s="12" t="str">
        <f>IFERROR(__xludf.DUMMYFUNCTION("""COMPUTED_VALUE"""),"Kuno Becker")</f>
        <v>Kuno Becker</v>
      </c>
      <c r="AE1871" s="12"/>
    </row>
    <row r="1872" customHeight="1" spans="1:31">
      <c r="A1872" s="11" t="s">
        <v>30</v>
      </c>
      <c r="B1872" s="11" t="s">
        <v>761</v>
      </c>
      <c r="C1872" s="11">
        <v>242</v>
      </c>
      <c r="D1872" s="11">
        <v>129</v>
      </c>
      <c r="E1872" s="11">
        <v>0</v>
      </c>
      <c r="F1872" s="11">
        <v>655</v>
      </c>
      <c r="G1872" s="11">
        <v>2000</v>
      </c>
      <c r="H1872" s="11">
        <v>25517500</v>
      </c>
      <c r="I1872" s="11" t="s">
        <v>5941</v>
      </c>
      <c r="J1872" s="11" t="s">
        <v>1212</v>
      </c>
      <c r="K1872" s="11" t="s">
        <v>1320</v>
      </c>
      <c r="L1872" s="11" t="s">
        <v>2285</v>
      </c>
      <c r="M1872" s="11" t="s">
        <v>9387</v>
      </c>
      <c r="N1872" s="11">
        <v>40941</v>
      </c>
      <c r="O1872" s="11">
        <v>4264</v>
      </c>
      <c r="P1872" s="11">
        <v>1</v>
      </c>
      <c r="Q1872" s="11" t="s">
        <v>9388</v>
      </c>
      <c r="R1872" s="14" t="s">
        <v>9389</v>
      </c>
      <c r="S1872" s="11">
        <v>320</v>
      </c>
      <c r="T1872" s="11" t="s">
        <v>39</v>
      </c>
      <c r="U1872" s="11" t="s">
        <v>40</v>
      </c>
      <c r="V1872" s="11" t="s">
        <v>41</v>
      </c>
      <c r="W1872" s="11">
        <v>25100000</v>
      </c>
      <c r="X1872" s="11">
        <v>2008</v>
      </c>
      <c r="Y1872" s="11">
        <v>826</v>
      </c>
      <c r="Z1872" s="11">
        <v>6.4</v>
      </c>
      <c r="AA1872" s="11">
        <v>2.35</v>
      </c>
      <c r="AB1872" s="11">
        <v>0</v>
      </c>
      <c r="AC1872" s="11"/>
      <c r="AD1872" s="11" t="str">
        <f>IFERROR(__xludf.DUMMYFUNCTION("""COMPUTED_VALUE"""),"Kang-ho Song")</f>
        <v>Kang-ho Song</v>
      </c>
      <c r="AE1872" s="11"/>
    </row>
    <row r="1873" customHeight="1" spans="1:31">
      <c r="A1873" s="12" t="s">
        <v>30</v>
      </c>
      <c r="B1873" s="12" t="s">
        <v>4966</v>
      </c>
      <c r="C1873" s="12">
        <v>309</v>
      </c>
      <c r="D1873" s="12">
        <v>93</v>
      </c>
      <c r="E1873" s="12">
        <v>180</v>
      </c>
      <c r="F1873" s="12">
        <v>485</v>
      </c>
      <c r="G1873" s="12">
        <v>14000</v>
      </c>
      <c r="H1873" s="12">
        <v>145000989</v>
      </c>
      <c r="I1873" s="12" t="s">
        <v>60</v>
      </c>
      <c r="J1873" s="12" t="s">
        <v>228</v>
      </c>
      <c r="K1873" s="12" t="s">
        <v>8698</v>
      </c>
      <c r="L1873" s="12" t="s">
        <v>4221</v>
      </c>
      <c r="M1873" s="12" t="s">
        <v>9390</v>
      </c>
      <c r="N1873" s="12">
        <v>483756</v>
      </c>
      <c r="O1873" s="12">
        <v>16461</v>
      </c>
      <c r="P1873" s="12">
        <v>0</v>
      </c>
      <c r="Q1873" s="12" t="s">
        <v>9391</v>
      </c>
      <c r="R1873" s="15" t="s">
        <v>9392</v>
      </c>
      <c r="S1873" s="12">
        <v>974</v>
      </c>
      <c r="T1873" s="12" t="s">
        <v>39</v>
      </c>
      <c r="U1873" s="12" t="s">
        <v>1466</v>
      </c>
      <c r="V1873" s="12" t="s">
        <v>41</v>
      </c>
      <c r="W1873" s="12">
        <v>25000000</v>
      </c>
      <c r="X1873" s="12">
        <v>2008</v>
      </c>
      <c r="Y1873" s="12">
        <v>816</v>
      </c>
      <c r="Z1873" s="12">
        <v>7.9</v>
      </c>
      <c r="AA1873" s="12">
        <v>2.35</v>
      </c>
      <c r="AB1873" s="12">
        <v>29000</v>
      </c>
      <c r="AC1873" s="12"/>
      <c r="AD1873" s="12" t="str">
        <f>IFERROR(__xludf.DUMMYFUNCTION("""COMPUTED_VALUE"""),"François Cluzet")</f>
        <v>François Cluzet</v>
      </c>
      <c r="AE1873" s="12"/>
    </row>
    <row r="1874" customHeight="1" spans="1:31">
      <c r="A1874" s="11" t="s">
        <v>30</v>
      </c>
      <c r="B1874" s="11" t="s">
        <v>9393</v>
      </c>
      <c r="C1874" s="11">
        <v>85</v>
      </c>
      <c r="D1874" s="11">
        <v>118</v>
      </c>
      <c r="E1874" s="11">
        <v>97</v>
      </c>
      <c r="F1874" s="11">
        <v>437</v>
      </c>
      <c r="G1874" s="11">
        <v>775</v>
      </c>
      <c r="H1874" s="11">
        <v>26761283</v>
      </c>
      <c r="I1874" s="11" t="s">
        <v>214</v>
      </c>
      <c r="J1874" s="11" t="s">
        <v>9394</v>
      </c>
      <c r="K1874" s="11" t="s">
        <v>3741</v>
      </c>
      <c r="L1874" s="11" t="s">
        <v>6089</v>
      </c>
      <c r="M1874" s="11" t="s">
        <v>9395</v>
      </c>
      <c r="N1874" s="11">
        <v>43084</v>
      </c>
      <c r="O1874" s="11">
        <v>3197</v>
      </c>
      <c r="P1874" s="11">
        <v>0</v>
      </c>
      <c r="Q1874" s="11" t="s">
        <v>9396</v>
      </c>
      <c r="R1874" s="14" t="s">
        <v>9397</v>
      </c>
      <c r="S1874" s="11">
        <v>99</v>
      </c>
      <c r="T1874" s="11" t="s">
        <v>39</v>
      </c>
      <c r="U1874" s="11" t="s">
        <v>40</v>
      </c>
      <c r="V1874" s="11" t="s">
        <v>41</v>
      </c>
      <c r="W1874" s="11">
        <v>26000000</v>
      </c>
      <c r="X1874" s="11">
        <v>2014</v>
      </c>
      <c r="Y1874" s="11">
        <v>523</v>
      </c>
      <c r="Z1874" s="11">
        <v>6.7</v>
      </c>
      <c r="AA1874" s="11">
        <v>2.35</v>
      </c>
      <c r="AB1874" s="11">
        <v>19000</v>
      </c>
      <c r="AC1874" s="11"/>
      <c r="AD1874" s="11" t="str">
        <f>IFERROR(__xludf.DUMMYFUNCTION("""COMPUTED_VALUE"""),"Tamannaah Bhatia")</f>
        <v>Tamannaah Bhatia</v>
      </c>
      <c r="AE1874" s="11"/>
    </row>
    <row r="1875" customHeight="1" spans="1:31">
      <c r="A1875" s="12" t="s">
        <v>30</v>
      </c>
      <c r="B1875" s="12" t="s">
        <v>2261</v>
      </c>
      <c r="C1875" s="12">
        <v>48</v>
      </c>
      <c r="D1875" s="12">
        <v>129</v>
      </c>
      <c r="E1875" s="12">
        <v>81</v>
      </c>
      <c r="F1875" s="12">
        <v>164</v>
      </c>
      <c r="G1875" s="12">
        <v>970</v>
      </c>
      <c r="H1875" s="12">
        <v>121945720</v>
      </c>
      <c r="I1875" s="12" t="s">
        <v>9398</v>
      </c>
      <c r="J1875" s="12" t="s">
        <v>3833</v>
      </c>
      <c r="K1875" s="12" t="s">
        <v>3197</v>
      </c>
      <c r="L1875" s="12" t="s">
        <v>9399</v>
      </c>
      <c r="M1875" s="12" t="s">
        <v>9400</v>
      </c>
      <c r="N1875" s="12">
        <v>89972</v>
      </c>
      <c r="O1875" s="12">
        <v>2551</v>
      </c>
      <c r="P1875" s="12">
        <v>0</v>
      </c>
      <c r="Q1875" s="12" t="s">
        <v>9401</v>
      </c>
      <c r="R1875" s="15" t="s">
        <v>9402</v>
      </c>
      <c r="S1875" s="12">
        <v>126</v>
      </c>
      <c r="T1875" s="12" t="s">
        <v>39</v>
      </c>
      <c r="U1875" s="12" t="s">
        <v>40</v>
      </c>
      <c r="V1875" s="12" t="s">
        <v>586</v>
      </c>
      <c r="W1875" s="12">
        <v>25000000</v>
      </c>
      <c r="X1875" s="12">
        <v>1992</v>
      </c>
      <c r="Y1875" s="12">
        <v>854</v>
      </c>
      <c r="Z1875" s="12">
        <v>6.1</v>
      </c>
      <c r="AA1875" s="12">
        <v>1.85</v>
      </c>
      <c r="AB1875" s="12">
        <v>0</v>
      </c>
      <c r="AC1875" s="12"/>
      <c r="AD1875" s="12" t="str">
        <f>IFERROR(__xludf.DUMMYFUNCTION("""COMPUTED_VALUE"""),"Anushka Shetty")</f>
        <v>Anushka Shetty</v>
      </c>
      <c r="AE1875" s="12"/>
    </row>
    <row r="1876" customHeight="1" spans="1:31">
      <c r="A1876" s="11" t="s">
        <v>748</v>
      </c>
      <c r="B1876" s="11" t="s">
        <v>390</v>
      </c>
      <c r="C1876" s="11">
        <v>174</v>
      </c>
      <c r="D1876" s="11">
        <v>185</v>
      </c>
      <c r="E1876" s="11">
        <v>14000</v>
      </c>
      <c r="F1876" s="11">
        <v>212</v>
      </c>
      <c r="G1876" s="11">
        <v>14000</v>
      </c>
      <c r="H1876" s="11">
        <v>96067179</v>
      </c>
      <c r="I1876" s="11" t="s">
        <v>5941</v>
      </c>
      <c r="J1876" s="11" t="s">
        <v>228</v>
      </c>
      <c r="K1876" s="11" t="s">
        <v>9403</v>
      </c>
      <c r="L1876" s="11" t="s">
        <v>9404</v>
      </c>
      <c r="M1876" s="11" t="s">
        <v>9405</v>
      </c>
      <c r="N1876" s="11">
        <v>865020</v>
      </c>
      <c r="O1876" s="11">
        <v>15233</v>
      </c>
      <c r="P1876" s="11">
        <v>0</v>
      </c>
      <c r="Q1876" s="11" t="s">
        <v>9406</v>
      </c>
      <c r="R1876" s="14" t="s">
        <v>9407</v>
      </c>
      <c r="S1876" s="11">
        <v>1273</v>
      </c>
      <c r="T1876" s="11" t="s">
        <v>39</v>
      </c>
      <c r="U1876" s="11" t="s">
        <v>40</v>
      </c>
      <c r="V1876" s="11" t="s">
        <v>586</v>
      </c>
      <c r="W1876" s="11">
        <v>22000000</v>
      </c>
      <c r="X1876" s="11">
        <v>1993</v>
      </c>
      <c r="Y1876" s="11">
        <v>795</v>
      </c>
      <c r="Z1876" s="11">
        <v>8.9</v>
      </c>
      <c r="AA1876" s="11">
        <v>1.85</v>
      </c>
      <c r="AB1876" s="11">
        <v>41000</v>
      </c>
      <c r="AC1876" s="11"/>
      <c r="AD1876" s="11" t="str">
        <f>IFERROR(__xludf.DUMMYFUNCTION("""COMPUTED_VALUE"""),"Prabhas")</f>
        <v>Prabhas</v>
      </c>
      <c r="AE1876" s="11"/>
    </row>
    <row r="1877" customHeight="1" spans="1:31">
      <c r="A1877" s="12" t="s">
        <v>30</v>
      </c>
      <c r="B1877" s="12" t="s">
        <v>3453</v>
      </c>
      <c r="C1877" s="12">
        <v>373</v>
      </c>
      <c r="D1877" s="12">
        <v>146</v>
      </c>
      <c r="E1877" s="12">
        <v>150</v>
      </c>
      <c r="F1877" s="12">
        <v>2000</v>
      </c>
      <c r="G1877" s="12">
        <v>15000</v>
      </c>
      <c r="H1877" s="12">
        <v>169705587</v>
      </c>
      <c r="I1877" s="12" t="s">
        <v>3410</v>
      </c>
      <c r="J1877" s="12" t="s">
        <v>182</v>
      </c>
      <c r="K1877" s="12" t="s">
        <v>235</v>
      </c>
      <c r="L1877" s="12" t="s">
        <v>713</v>
      </c>
      <c r="M1877" s="12" t="s">
        <v>9408</v>
      </c>
      <c r="N1877" s="12">
        <v>318955</v>
      </c>
      <c r="O1877" s="12">
        <v>23227</v>
      </c>
      <c r="P1877" s="12">
        <v>2</v>
      </c>
      <c r="Q1877" s="12" t="s">
        <v>9409</v>
      </c>
      <c r="R1877" s="15" t="s">
        <v>9410</v>
      </c>
      <c r="S1877" s="12">
        <v>460</v>
      </c>
      <c r="T1877" s="12" t="s">
        <v>39</v>
      </c>
      <c r="U1877" s="12" t="s">
        <v>40</v>
      </c>
      <c r="V1877" s="12" t="s">
        <v>41</v>
      </c>
      <c r="W1877" s="12">
        <v>25000000</v>
      </c>
      <c r="X1877" s="12">
        <v>2011</v>
      </c>
      <c r="Y1877" s="12">
        <v>3000</v>
      </c>
      <c r="Z1877" s="12">
        <v>8.1</v>
      </c>
      <c r="AA1877" s="12">
        <v>1.85</v>
      </c>
      <c r="AB1877" s="12">
        <v>75000</v>
      </c>
      <c r="AC1877" s="12"/>
      <c r="AD1877" s="12" t="str">
        <f>IFERROR(__xludf.DUMMYFUNCTION("""COMPUTED_VALUE"""),"Arliss Howard")</f>
        <v>Arliss Howard</v>
      </c>
      <c r="AE1877" s="12"/>
    </row>
    <row r="1878" customHeight="1" spans="1:31">
      <c r="A1878" s="11" t="s">
        <v>30</v>
      </c>
      <c r="B1878" s="11" t="s">
        <v>1105</v>
      </c>
      <c r="C1878" s="11">
        <v>224</v>
      </c>
      <c r="D1878" s="11">
        <v>128</v>
      </c>
      <c r="E1878" s="11">
        <v>386</v>
      </c>
      <c r="F1878" s="11">
        <v>203</v>
      </c>
      <c r="G1878" s="11">
        <v>19000</v>
      </c>
      <c r="H1878" s="11">
        <v>3254172</v>
      </c>
      <c r="I1878" s="11" t="s">
        <v>3582</v>
      </c>
      <c r="J1878" s="11" t="s">
        <v>353</v>
      </c>
      <c r="K1878" s="11" t="s">
        <v>342</v>
      </c>
      <c r="L1878" s="11" t="s">
        <v>9411</v>
      </c>
      <c r="M1878" s="11" t="s">
        <v>9412</v>
      </c>
      <c r="N1878" s="11">
        <v>29282</v>
      </c>
      <c r="O1878" s="11">
        <v>36337</v>
      </c>
      <c r="P1878" s="11">
        <v>1</v>
      </c>
      <c r="Q1878" s="11" t="s">
        <v>9413</v>
      </c>
      <c r="R1878" s="14" t="s">
        <v>9414</v>
      </c>
      <c r="S1878" s="11">
        <v>105</v>
      </c>
      <c r="T1878" s="11" t="s">
        <v>39</v>
      </c>
      <c r="U1878" s="11" t="s">
        <v>40</v>
      </c>
      <c r="V1878" s="11" t="s">
        <v>586</v>
      </c>
      <c r="W1878" s="11">
        <v>28000000</v>
      </c>
      <c r="X1878" s="11">
        <v>2013</v>
      </c>
      <c r="Y1878" s="11">
        <v>17000</v>
      </c>
      <c r="Z1878" s="11">
        <v>6.2</v>
      </c>
      <c r="AA1878" s="11">
        <v>2.35</v>
      </c>
      <c r="AB1878" s="11">
        <v>11000</v>
      </c>
      <c r="AC1878" s="11"/>
      <c r="AD1878" s="11" t="str">
        <f>IFERROR(__xludf.DUMMYFUNCTION("""COMPUTED_VALUE"""),"Brooklynn Proulx")</f>
        <v>Brooklynn Proulx</v>
      </c>
      <c r="AE1878" s="11"/>
    </row>
    <row r="1879" customHeight="1" spans="1:31">
      <c r="A1879" s="12" t="s">
        <v>30</v>
      </c>
      <c r="B1879" s="12" t="s">
        <v>1576</v>
      </c>
      <c r="C1879" s="12">
        <v>94</v>
      </c>
      <c r="D1879" s="12">
        <v>93</v>
      </c>
      <c r="E1879" s="12">
        <v>67</v>
      </c>
      <c r="F1879" s="12">
        <v>596</v>
      </c>
      <c r="G1879" s="12">
        <v>4000</v>
      </c>
      <c r="H1879" s="12">
        <v>84185387</v>
      </c>
      <c r="I1879" s="12" t="s">
        <v>9415</v>
      </c>
      <c r="J1879" s="12" t="s">
        <v>2477</v>
      </c>
      <c r="K1879" s="12" t="s">
        <v>2478</v>
      </c>
      <c r="L1879" s="12" t="s">
        <v>1502</v>
      </c>
      <c r="M1879" s="12" t="s">
        <v>9416</v>
      </c>
      <c r="N1879" s="12">
        <v>33180</v>
      </c>
      <c r="O1879" s="12">
        <v>7800</v>
      </c>
      <c r="P1879" s="12">
        <v>0</v>
      </c>
      <c r="Q1879" s="12" t="s">
        <v>9417</v>
      </c>
      <c r="R1879" s="15" t="s">
        <v>9418</v>
      </c>
      <c r="S1879" s="12">
        <v>149</v>
      </c>
      <c r="T1879" s="12" t="s">
        <v>39</v>
      </c>
      <c r="U1879" s="12" t="s">
        <v>40</v>
      </c>
      <c r="V1879" s="12" t="s">
        <v>96</v>
      </c>
      <c r="W1879" s="12">
        <v>80000000</v>
      </c>
      <c r="X1879" s="12">
        <v>2004</v>
      </c>
      <c r="Y1879" s="12">
        <v>2000</v>
      </c>
      <c r="Z1879" s="12">
        <v>4.9</v>
      </c>
      <c r="AA1879" s="12">
        <v>1.85</v>
      </c>
      <c r="AB1879" s="12">
        <v>567</v>
      </c>
      <c r="AC1879" s="12"/>
      <c r="AD1879" s="12" t="str">
        <f>IFERROR(__xludf.DUMMYFUNCTION("""COMPUTED_VALUE"""),"Michelle Nolden")</f>
        <v>Michelle Nolden</v>
      </c>
      <c r="AE1879" s="12"/>
    </row>
    <row r="1880" customHeight="1" spans="1:31">
      <c r="A1880" s="11" t="s">
        <v>30</v>
      </c>
      <c r="B1880" s="11" t="s">
        <v>9419</v>
      </c>
      <c r="C1880" s="11">
        <v>25</v>
      </c>
      <c r="D1880" s="11">
        <v>107</v>
      </c>
      <c r="E1880" s="11">
        <v>0</v>
      </c>
      <c r="F1880" s="11">
        <v>48</v>
      </c>
      <c r="G1880" s="11">
        <v>1000</v>
      </c>
      <c r="H1880" s="13"/>
      <c r="I1880" s="11" t="s">
        <v>9420</v>
      </c>
      <c r="J1880" s="11" t="s">
        <v>688</v>
      </c>
      <c r="K1880" s="11" t="s">
        <v>9421</v>
      </c>
      <c r="L1880" s="11" t="s">
        <v>9422</v>
      </c>
      <c r="M1880" s="11" t="s">
        <v>9423</v>
      </c>
      <c r="N1880" s="11">
        <v>3170</v>
      </c>
      <c r="O1880" s="11">
        <v>1166</v>
      </c>
      <c r="P1880" s="11">
        <v>1</v>
      </c>
      <c r="Q1880" s="11" t="s">
        <v>9424</v>
      </c>
      <c r="R1880" s="14" t="s">
        <v>9425</v>
      </c>
      <c r="S1880" s="11">
        <v>18</v>
      </c>
      <c r="T1880" s="11" t="s">
        <v>5642</v>
      </c>
      <c r="U1880" s="11" t="s">
        <v>7171</v>
      </c>
      <c r="V1880" s="13"/>
      <c r="W1880" s="11">
        <v>26000000</v>
      </c>
      <c r="X1880" s="11">
        <v>2014</v>
      </c>
      <c r="Y1880" s="11">
        <v>65</v>
      </c>
      <c r="Z1880" s="11">
        <v>5.4</v>
      </c>
      <c r="AA1880" s="11">
        <v>1.85</v>
      </c>
      <c r="AB1880" s="11">
        <v>0</v>
      </c>
      <c r="AC1880" s="11"/>
      <c r="AD1880" s="11" t="str">
        <f>IFERROR(__xludf.DUMMYFUNCTION("""COMPUTED_VALUE"""),"Colin Ferguson")</f>
        <v>Colin Ferguson</v>
      </c>
      <c r="AE1880" s="11"/>
    </row>
    <row r="1881" customHeight="1" spans="1:31">
      <c r="A1881" s="12" t="s">
        <v>30</v>
      </c>
      <c r="B1881" s="12" t="s">
        <v>7688</v>
      </c>
      <c r="C1881" s="12">
        <v>273</v>
      </c>
      <c r="D1881" s="12">
        <v>97</v>
      </c>
      <c r="E1881" s="12">
        <v>31</v>
      </c>
      <c r="F1881" s="12">
        <v>662</v>
      </c>
      <c r="G1881" s="12">
        <v>918</v>
      </c>
      <c r="H1881" s="12">
        <v>82163317</v>
      </c>
      <c r="I1881" s="12" t="s">
        <v>4905</v>
      </c>
      <c r="J1881" s="12" t="s">
        <v>9426</v>
      </c>
      <c r="K1881" s="12" t="s">
        <v>9427</v>
      </c>
      <c r="L1881" s="12" t="s">
        <v>756</v>
      </c>
      <c r="M1881" s="12" t="s">
        <v>9428</v>
      </c>
      <c r="N1881" s="12">
        <v>89101</v>
      </c>
      <c r="O1881" s="12">
        <v>4692</v>
      </c>
      <c r="P1881" s="12">
        <v>0</v>
      </c>
      <c r="Q1881" s="12" t="s">
        <v>9429</v>
      </c>
      <c r="R1881" s="15" t="s">
        <v>9430</v>
      </c>
      <c r="S1881" s="12">
        <v>885</v>
      </c>
      <c r="T1881" s="12" t="s">
        <v>39</v>
      </c>
      <c r="U1881" s="12" t="s">
        <v>40</v>
      </c>
      <c r="V1881" s="12" t="s">
        <v>586</v>
      </c>
      <c r="W1881" s="12">
        <v>30000000</v>
      </c>
      <c r="X1881" s="12">
        <v>2003</v>
      </c>
      <c r="Y1881" s="12">
        <v>782</v>
      </c>
      <c r="Z1881" s="12">
        <v>5.8</v>
      </c>
      <c r="AA1881" s="12">
        <v>2.35</v>
      </c>
      <c r="AB1881" s="12">
        <v>3000</v>
      </c>
      <c r="AC1881" s="12"/>
      <c r="AD1881" s="12" t="str">
        <f>IFERROR(__xludf.DUMMYFUNCTION("""COMPUTED_VALUE"""),"Atticus Shaffer")</f>
        <v>Atticus Shaffer</v>
      </c>
      <c r="AE1881" s="12"/>
    </row>
    <row r="1882" customHeight="1" spans="1:31">
      <c r="A1882" s="11" t="s">
        <v>30</v>
      </c>
      <c r="B1882" s="11" t="s">
        <v>9431</v>
      </c>
      <c r="C1882" s="11">
        <v>78</v>
      </c>
      <c r="D1882" s="11">
        <v>101</v>
      </c>
      <c r="E1882" s="11">
        <v>187</v>
      </c>
      <c r="F1882" s="11">
        <v>127</v>
      </c>
      <c r="G1882" s="11">
        <v>554</v>
      </c>
      <c r="H1882" s="13"/>
      <c r="I1882" s="11" t="s">
        <v>3410</v>
      </c>
      <c r="J1882" s="11" t="s">
        <v>942</v>
      </c>
      <c r="K1882" s="11" t="s">
        <v>9432</v>
      </c>
      <c r="L1882" s="11" t="s">
        <v>9433</v>
      </c>
      <c r="M1882" s="11" t="s">
        <v>9434</v>
      </c>
      <c r="N1882" s="11">
        <v>2863</v>
      </c>
      <c r="O1882" s="11">
        <v>1041</v>
      </c>
      <c r="P1882" s="11">
        <v>2</v>
      </c>
      <c r="Q1882" s="13"/>
      <c r="R1882" s="14" t="s">
        <v>9435</v>
      </c>
      <c r="S1882" s="11">
        <v>25</v>
      </c>
      <c r="T1882" s="11" t="s">
        <v>39</v>
      </c>
      <c r="U1882" s="11" t="s">
        <v>58</v>
      </c>
      <c r="V1882" s="11" t="s">
        <v>4831</v>
      </c>
      <c r="W1882" s="13"/>
      <c r="X1882" s="11">
        <v>2014</v>
      </c>
      <c r="Y1882" s="11">
        <v>213</v>
      </c>
      <c r="Z1882" s="11">
        <v>4.7</v>
      </c>
      <c r="AA1882" s="11">
        <v>2.35</v>
      </c>
      <c r="AB1882" s="11">
        <v>488</v>
      </c>
      <c r="AC1882" s="11"/>
      <c r="AD1882" s="11" t="str">
        <f>IFERROR(__xludf.DUMMYFUNCTION("""COMPUTED_VALUE"""),"Sean Maher")</f>
        <v>Sean Maher</v>
      </c>
      <c r="AE1882" s="11"/>
    </row>
    <row r="1883" customHeight="1" spans="1:31">
      <c r="A1883" s="12" t="s">
        <v>30</v>
      </c>
      <c r="B1883" s="12" t="s">
        <v>5874</v>
      </c>
      <c r="C1883" s="12">
        <v>66</v>
      </c>
      <c r="D1883" s="12">
        <v>82</v>
      </c>
      <c r="E1883" s="12">
        <v>8</v>
      </c>
      <c r="F1883" s="12">
        <v>179</v>
      </c>
      <c r="G1883" s="12">
        <v>770</v>
      </c>
      <c r="H1883" s="12">
        <v>80920948</v>
      </c>
      <c r="I1883" s="12" t="s">
        <v>478</v>
      </c>
      <c r="J1883" s="12" t="s">
        <v>959</v>
      </c>
      <c r="K1883" s="12" t="s">
        <v>4984</v>
      </c>
      <c r="L1883" s="12" t="s">
        <v>8003</v>
      </c>
      <c r="M1883" s="12" t="s">
        <v>9436</v>
      </c>
      <c r="N1883" s="12">
        <v>23943</v>
      </c>
      <c r="O1883" s="12">
        <v>2251</v>
      </c>
      <c r="P1883" s="12">
        <v>0</v>
      </c>
      <c r="Q1883" s="12" t="s">
        <v>9437</v>
      </c>
      <c r="R1883" s="15" t="s">
        <v>9438</v>
      </c>
      <c r="S1883" s="12">
        <v>118</v>
      </c>
      <c r="T1883" s="12" t="s">
        <v>39</v>
      </c>
      <c r="U1883" s="12" t="s">
        <v>40</v>
      </c>
      <c r="V1883" s="12" t="s">
        <v>278</v>
      </c>
      <c r="W1883" s="12">
        <v>30000000</v>
      </c>
      <c r="X1883" s="12">
        <v>2001</v>
      </c>
      <c r="Y1883" s="12">
        <v>677</v>
      </c>
      <c r="Z1883" s="12">
        <v>6</v>
      </c>
      <c r="AA1883" s="12">
        <v>1.85</v>
      </c>
      <c r="AB1883" s="12">
        <v>425</v>
      </c>
      <c r="AC1883" s="12"/>
      <c r="AD1883" s="12" t="str">
        <f>IFERROR(__xludf.DUMMYFUNCTION("""COMPUTED_VALUE"""),"Michael Hitchcock")</f>
        <v>Michael Hitchcock</v>
      </c>
      <c r="AE1883" s="12"/>
    </row>
    <row r="1884" customHeight="1" spans="1:31">
      <c r="A1884" s="11" t="s">
        <v>30</v>
      </c>
      <c r="B1884" s="11" t="s">
        <v>571</v>
      </c>
      <c r="C1884" s="11">
        <v>459</v>
      </c>
      <c r="D1884" s="11">
        <v>85</v>
      </c>
      <c r="E1884" s="11">
        <v>198</v>
      </c>
      <c r="F1884" s="11">
        <v>387</v>
      </c>
      <c r="G1884" s="11">
        <v>2000</v>
      </c>
      <c r="H1884" s="11">
        <v>80034302</v>
      </c>
      <c r="I1884" s="11" t="s">
        <v>3446</v>
      </c>
      <c r="J1884" s="11" t="s">
        <v>713</v>
      </c>
      <c r="K1884" s="11" t="s">
        <v>9439</v>
      </c>
      <c r="L1884" s="11" t="s">
        <v>9440</v>
      </c>
      <c r="M1884" s="11" t="s">
        <v>9441</v>
      </c>
      <c r="N1884" s="11">
        <v>296787</v>
      </c>
      <c r="O1884" s="11">
        <v>3958</v>
      </c>
      <c r="P1884" s="11">
        <v>0</v>
      </c>
      <c r="Q1884" s="11" t="s">
        <v>9442</v>
      </c>
      <c r="R1884" s="14" t="s">
        <v>9443</v>
      </c>
      <c r="S1884" s="11">
        <v>2192</v>
      </c>
      <c r="T1884" s="11" t="s">
        <v>39</v>
      </c>
      <c r="U1884" s="11" t="s">
        <v>40</v>
      </c>
      <c r="V1884" s="11" t="s">
        <v>41</v>
      </c>
      <c r="W1884" s="11">
        <v>25000000</v>
      </c>
      <c r="X1884" s="11">
        <v>2008</v>
      </c>
      <c r="Y1884" s="11">
        <v>1000</v>
      </c>
      <c r="Z1884" s="11">
        <v>7</v>
      </c>
      <c r="AA1884" s="11">
        <v>1.85</v>
      </c>
      <c r="AB1884" s="11">
        <v>0</v>
      </c>
      <c r="AC1884" s="11"/>
      <c r="AD1884" s="11" t="str">
        <f>IFERROR(__xludf.DUMMYFUNCTION("""COMPUTED_VALUE"""),"Robert Vaughn")</f>
        <v>Robert Vaughn</v>
      </c>
      <c r="AE1884" s="11"/>
    </row>
    <row r="1885" customHeight="1" spans="1:31">
      <c r="A1885" s="12" t="s">
        <v>30</v>
      </c>
      <c r="B1885" s="12" t="s">
        <v>9444</v>
      </c>
      <c r="C1885" s="12">
        <v>68</v>
      </c>
      <c r="D1885" s="12">
        <v>88</v>
      </c>
      <c r="E1885" s="12">
        <v>34</v>
      </c>
      <c r="F1885" s="12">
        <v>445</v>
      </c>
      <c r="G1885" s="12">
        <v>642</v>
      </c>
      <c r="H1885" s="12">
        <v>78656813</v>
      </c>
      <c r="I1885" s="12" t="s">
        <v>3037</v>
      </c>
      <c r="J1885" s="12" t="s">
        <v>9445</v>
      </c>
      <c r="K1885" s="12" t="s">
        <v>9446</v>
      </c>
      <c r="L1885" s="12" t="s">
        <v>9447</v>
      </c>
      <c r="M1885" s="12" t="s">
        <v>9448</v>
      </c>
      <c r="N1885" s="12">
        <v>42765</v>
      </c>
      <c r="O1885" s="12">
        <v>2501</v>
      </c>
      <c r="P1885" s="12">
        <v>0</v>
      </c>
      <c r="Q1885" s="12" t="s">
        <v>9449</v>
      </c>
      <c r="R1885" s="15" t="s">
        <v>9450</v>
      </c>
      <c r="S1885" s="12">
        <v>93</v>
      </c>
      <c r="T1885" s="12" t="s">
        <v>39</v>
      </c>
      <c r="U1885" s="12" t="s">
        <v>40</v>
      </c>
      <c r="V1885" s="12" t="s">
        <v>96</v>
      </c>
      <c r="W1885" s="12">
        <v>25000000</v>
      </c>
      <c r="X1885" s="12">
        <v>1991</v>
      </c>
      <c r="Y1885" s="12">
        <v>533</v>
      </c>
      <c r="Z1885" s="12">
        <v>6</v>
      </c>
      <c r="AA1885" s="12">
        <v>1.85</v>
      </c>
      <c r="AB1885" s="12">
        <v>0</v>
      </c>
      <c r="AC1885" s="12"/>
      <c r="AD1885" s="12" t="str">
        <f>IFERROR(__xludf.DUMMYFUNCTION("""COMPUTED_VALUE"""),"Oscar Gale")</f>
        <v>Oscar Gale</v>
      </c>
      <c r="AE1885" s="12"/>
    </row>
    <row r="1886" customHeight="1" spans="1:31">
      <c r="A1886" s="11" t="s">
        <v>30</v>
      </c>
      <c r="B1886" s="11" t="s">
        <v>2247</v>
      </c>
      <c r="C1886" s="11">
        <v>123</v>
      </c>
      <c r="D1886" s="11">
        <v>119</v>
      </c>
      <c r="E1886" s="11">
        <v>0</v>
      </c>
      <c r="F1886" s="11">
        <v>188</v>
      </c>
      <c r="G1886" s="11">
        <v>22000</v>
      </c>
      <c r="H1886" s="11">
        <v>76270454</v>
      </c>
      <c r="I1886" s="11" t="s">
        <v>2126</v>
      </c>
      <c r="J1886" s="11" t="s">
        <v>1746</v>
      </c>
      <c r="K1886" s="11" t="s">
        <v>9451</v>
      </c>
      <c r="L1886" s="11" t="s">
        <v>7143</v>
      </c>
      <c r="M1886" s="11" t="s">
        <v>9452</v>
      </c>
      <c r="N1886" s="11">
        <v>219008</v>
      </c>
      <c r="O1886" s="11">
        <v>22767</v>
      </c>
      <c r="P1886" s="11">
        <v>1</v>
      </c>
      <c r="Q1886" s="11" t="s">
        <v>9453</v>
      </c>
      <c r="R1886" s="14" t="s">
        <v>9454</v>
      </c>
      <c r="S1886" s="11">
        <v>418</v>
      </c>
      <c r="T1886" s="11" t="s">
        <v>39</v>
      </c>
      <c r="U1886" s="11" t="s">
        <v>40</v>
      </c>
      <c r="V1886" s="11" t="s">
        <v>586</v>
      </c>
      <c r="W1886" s="11">
        <v>25000000</v>
      </c>
      <c r="X1886" s="11">
        <v>1987</v>
      </c>
      <c r="Y1886" s="11">
        <v>371</v>
      </c>
      <c r="Z1886" s="11">
        <v>7.9</v>
      </c>
      <c r="AA1886" s="11">
        <v>2.35</v>
      </c>
      <c r="AB1886" s="11">
        <v>0</v>
      </c>
      <c r="AC1886" s="11"/>
      <c r="AD1886" s="11" t="str">
        <f>IFERROR(__xludf.DUMMYFUNCTION("""COMPUTED_VALUE"""),"Wei Zhao")</f>
        <v>Wei Zhao</v>
      </c>
      <c r="AE1886" s="11"/>
    </row>
    <row r="1887" customHeight="1" spans="1:31">
      <c r="A1887" s="12" t="s">
        <v>30</v>
      </c>
      <c r="B1887" s="12" t="s">
        <v>7114</v>
      </c>
      <c r="C1887" s="12">
        <v>488</v>
      </c>
      <c r="D1887" s="12">
        <v>122</v>
      </c>
      <c r="E1887" s="12">
        <v>1000</v>
      </c>
      <c r="F1887" s="12">
        <v>883</v>
      </c>
      <c r="G1887" s="12">
        <v>2000</v>
      </c>
      <c r="H1887" s="12">
        <v>74273505</v>
      </c>
      <c r="I1887" s="12" t="s">
        <v>2126</v>
      </c>
      <c r="J1887" s="12" t="s">
        <v>404</v>
      </c>
      <c r="K1887" s="12" t="s">
        <v>1147</v>
      </c>
      <c r="L1887" s="12" t="s">
        <v>4545</v>
      </c>
      <c r="M1887" s="12" t="s">
        <v>9455</v>
      </c>
      <c r="N1887" s="12">
        <v>612060</v>
      </c>
      <c r="O1887" s="12">
        <v>4738</v>
      </c>
      <c r="P1887" s="12">
        <v>0</v>
      </c>
      <c r="Q1887" s="12" t="s">
        <v>9456</v>
      </c>
      <c r="R1887" s="15" t="s">
        <v>9457</v>
      </c>
      <c r="S1887" s="12">
        <v>1518</v>
      </c>
      <c r="T1887" s="12" t="s">
        <v>39</v>
      </c>
      <c r="U1887" s="12" t="s">
        <v>40</v>
      </c>
      <c r="V1887" s="12" t="s">
        <v>586</v>
      </c>
      <c r="W1887" s="12">
        <v>25000000</v>
      </c>
      <c r="X1887" s="12">
        <v>2007</v>
      </c>
      <c r="Y1887" s="12">
        <v>939</v>
      </c>
      <c r="Z1887" s="12">
        <v>8.1</v>
      </c>
      <c r="AA1887" s="12">
        <v>2.35</v>
      </c>
      <c r="AB1887" s="12">
        <v>21000</v>
      </c>
      <c r="AC1887" s="12"/>
      <c r="AD1887" s="12" t="str">
        <f>IFERROR(__xludf.DUMMYFUNCTION("""COMPUTED_VALUE"""),"Courtney Gains")</f>
        <v>Courtney Gains</v>
      </c>
      <c r="AE1887" s="12"/>
    </row>
    <row r="1888" customHeight="1" spans="1:31">
      <c r="A1888" s="11" t="s">
        <v>30</v>
      </c>
      <c r="B1888" s="11" t="s">
        <v>1352</v>
      </c>
      <c r="C1888" s="11">
        <v>146</v>
      </c>
      <c r="D1888" s="11">
        <v>99</v>
      </c>
      <c r="E1888" s="11">
        <v>167</v>
      </c>
      <c r="F1888" s="11">
        <v>460</v>
      </c>
      <c r="G1888" s="11">
        <v>655</v>
      </c>
      <c r="H1888" s="11">
        <v>134141530</v>
      </c>
      <c r="I1888" s="11" t="s">
        <v>5710</v>
      </c>
      <c r="J1888" s="11" t="s">
        <v>2285</v>
      </c>
      <c r="K1888" s="11" t="s">
        <v>8472</v>
      </c>
      <c r="L1888" s="11" t="s">
        <v>9458</v>
      </c>
      <c r="M1888" s="11" t="s">
        <v>9459</v>
      </c>
      <c r="N1888" s="11">
        <v>75903</v>
      </c>
      <c r="O1888" s="11">
        <v>2394</v>
      </c>
      <c r="P1888" s="11">
        <v>1</v>
      </c>
      <c r="Q1888" s="11" t="s">
        <v>9460</v>
      </c>
      <c r="R1888" s="14" t="s">
        <v>9461</v>
      </c>
      <c r="S1888" s="11">
        <v>109</v>
      </c>
      <c r="T1888" s="11" t="s">
        <v>39</v>
      </c>
      <c r="U1888" s="11" t="s">
        <v>40</v>
      </c>
      <c r="V1888" s="11" t="s">
        <v>41</v>
      </c>
      <c r="W1888" s="11">
        <v>25000000</v>
      </c>
      <c r="X1888" s="11">
        <v>2014</v>
      </c>
      <c r="Y1888" s="11">
        <v>521</v>
      </c>
      <c r="Z1888" s="11">
        <v>6.2</v>
      </c>
      <c r="AA1888" s="11">
        <v>2.35</v>
      </c>
      <c r="AB1888" s="11">
        <v>0</v>
      </c>
      <c r="AC1888" s="11"/>
      <c r="AD1888" s="11" t="str">
        <f>IFERROR(__xludf.DUMMYFUNCTION("""COMPUTED_VALUE"""),"Eric Winter")</f>
        <v>Eric Winter</v>
      </c>
      <c r="AE1888" s="11"/>
    </row>
    <row r="1889" customHeight="1" spans="1:31">
      <c r="A1889" s="12" t="s">
        <v>30</v>
      </c>
      <c r="B1889" s="12" t="s">
        <v>9462</v>
      </c>
      <c r="C1889" s="12">
        <v>168</v>
      </c>
      <c r="D1889" s="12">
        <v>97</v>
      </c>
      <c r="E1889" s="12">
        <v>11</v>
      </c>
      <c r="F1889" s="12">
        <v>887</v>
      </c>
      <c r="G1889" s="12">
        <v>14000</v>
      </c>
      <c r="H1889" s="12">
        <v>71500556</v>
      </c>
      <c r="I1889" s="12" t="s">
        <v>1415</v>
      </c>
      <c r="J1889" s="12" t="s">
        <v>439</v>
      </c>
      <c r="K1889" s="12" t="s">
        <v>393</v>
      </c>
      <c r="L1889" s="12" t="s">
        <v>2292</v>
      </c>
      <c r="M1889" s="12" t="s">
        <v>9463</v>
      </c>
      <c r="N1889" s="12">
        <v>171568</v>
      </c>
      <c r="O1889" s="12">
        <v>16999</v>
      </c>
      <c r="P1889" s="12">
        <v>3</v>
      </c>
      <c r="Q1889" s="12" t="s">
        <v>9464</v>
      </c>
      <c r="R1889" s="15" t="s">
        <v>9465</v>
      </c>
      <c r="S1889" s="12">
        <v>571</v>
      </c>
      <c r="T1889" s="12" t="s">
        <v>39</v>
      </c>
      <c r="U1889" s="12" t="s">
        <v>58</v>
      </c>
      <c r="V1889" s="12" t="s">
        <v>586</v>
      </c>
      <c r="W1889" s="12">
        <v>26000000</v>
      </c>
      <c r="X1889" s="12">
        <v>2001</v>
      </c>
      <c r="Y1889" s="12">
        <v>1000</v>
      </c>
      <c r="Z1889" s="12">
        <v>6.7</v>
      </c>
      <c r="AA1889" s="12">
        <v>2.35</v>
      </c>
      <c r="AB1889" s="12">
        <v>0</v>
      </c>
      <c r="AC1889" s="12"/>
      <c r="AD1889" s="12" t="str">
        <f>IFERROR(__xludf.DUMMYFUNCTION("""COMPUTED_VALUE"""),"Phil Hartman")</f>
        <v>Phil Hartman</v>
      </c>
      <c r="AE1889" s="12"/>
    </row>
    <row r="1890" customHeight="1" spans="1:31">
      <c r="A1890" s="11" t="s">
        <v>30</v>
      </c>
      <c r="B1890" s="11" t="s">
        <v>7636</v>
      </c>
      <c r="C1890" s="11">
        <v>152</v>
      </c>
      <c r="D1890" s="11">
        <v>121</v>
      </c>
      <c r="E1890" s="11">
        <v>529</v>
      </c>
      <c r="F1890" s="11">
        <v>163</v>
      </c>
      <c r="G1890" s="11">
        <v>541</v>
      </c>
      <c r="H1890" s="11">
        <v>71309760</v>
      </c>
      <c r="I1890" s="11" t="s">
        <v>214</v>
      </c>
      <c r="J1890" s="11" t="s">
        <v>3161</v>
      </c>
      <c r="K1890" s="11" t="s">
        <v>9466</v>
      </c>
      <c r="L1890" s="11" t="s">
        <v>9467</v>
      </c>
      <c r="M1890" s="11" t="s">
        <v>9468</v>
      </c>
      <c r="N1890" s="11">
        <v>150308</v>
      </c>
      <c r="O1890" s="11">
        <v>1323</v>
      </c>
      <c r="P1890" s="11">
        <v>1</v>
      </c>
      <c r="Q1890" s="11" t="s">
        <v>9469</v>
      </c>
      <c r="R1890" s="14" t="s">
        <v>9470</v>
      </c>
      <c r="S1890" s="11">
        <v>498</v>
      </c>
      <c r="T1890" s="11" t="s">
        <v>39</v>
      </c>
      <c r="U1890" s="11" t="s">
        <v>58</v>
      </c>
      <c r="V1890" s="11" t="s">
        <v>41</v>
      </c>
      <c r="W1890" s="11">
        <v>25000000</v>
      </c>
      <c r="X1890" s="11">
        <v>2000</v>
      </c>
      <c r="Y1890" s="11">
        <v>399</v>
      </c>
      <c r="Z1890" s="11">
        <v>7.3</v>
      </c>
      <c r="AA1890" s="11">
        <v>1.85</v>
      </c>
      <c r="AB1890" s="11">
        <v>18000</v>
      </c>
      <c r="AC1890" s="11"/>
      <c r="AD1890" s="11" t="str">
        <f>IFERROR(__xludf.DUMMYFUNCTION("""COMPUTED_VALUE"""),"Max Casella")</f>
        <v>Max Casella</v>
      </c>
      <c r="AE1890" s="11"/>
    </row>
    <row r="1891" customHeight="1" spans="1:31">
      <c r="A1891" s="12" t="s">
        <v>30</v>
      </c>
      <c r="B1891" s="12" t="s">
        <v>9471</v>
      </c>
      <c r="C1891" s="12">
        <v>133</v>
      </c>
      <c r="D1891" s="12">
        <v>95</v>
      </c>
      <c r="E1891" s="12">
        <v>0</v>
      </c>
      <c r="F1891" s="12">
        <v>643</v>
      </c>
      <c r="G1891" s="12">
        <v>934</v>
      </c>
      <c r="H1891" s="12">
        <v>89808372</v>
      </c>
      <c r="I1891" s="12" t="s">
        <v>1672</v>
      </c>
      <c r="J1891" s="12" t="s">
        <v>5206</v>
      </c>
      <c r="K1891" s="12" t="s">
        <v>2285</v>
      </c>
      <c r="L1891" s="12" t="s">
        <v>9472</v>
      </c>
      <c r="M1891" s="12" t="s">
        <v>9473</v>
      </c>
      <c r="N1891" s="12">
        <v>46417</v>
      </c>
      <c r="O1891" s="12">
        <v>3500</v>
      </c>
      <c r="P1891" s="12">
        <v>2</v>
      </c>
      <c r="Q1891" s="12" t="s">
        <v>9474</v>
      </c>
      <c r="R1891" s="15" t="s">
        <v>9475</v>
      </c>
      <c r="S1891" s="12">
        <v>297</v>
      </c>
      <c r="T1891" s="12" t="s">
        <v>39</v>
      </c>
      <c r="U1891" s="12" t="s">
        <v>40</v>
      </c>
      <c r="V1891" s="12" t="s">
        <v>41</v>
      </c>
      <c r="W1891" s="12">
        <v>45000000</v>
      </c>
      <c r="X1891" s="12">
        <v>2003</v>
      </c>
      <c r="Y1891" s="12">
        <v>655</v>
      </c>
      <c r="Z1891" s="12">
        <v>4.6</v>
      </c>
      <c r="AA1891" s="12">
        <v>1.85</v>
      </c>
      <c r="AB1891" s="12">
        <v>660</v>
      </c>
      <c r="AC1891" s="12"/>
      <c r="AD1891" s="12" t="str">
        <f>IFERROR(__xludf.DUMMYFUNCTION("""COMPUTED_VALUE"""),"Emily Osment")</f>
        <v>Emily Osment</v>
      </c>
      <c r="AE1891" s="12"/>
    </row>
    <row r="1892" customHeight="1" spans="1:31">
      <c r="A1892" s="11" t="s">
        <v>30</v>
      </c>
      <c r="B1892" s="11" t="s">
        <v>5134</v>
      </c>
      <c r="C1892" s="11">
        <v>139</v>
      </c>
      <c r="D1892" s="11">
        <v>105</v>
      </c>
      <c r="E1892" s="11">
        <v>99</v>
      </c>
      <c r="F1892" s="11">
        <v>433</v>
      </c>
      <c r="G1892" s="11">
        <v>3000</v>
      </c>
      <c r="H1892" s="11">
        <v>77264926</v>
      </c>
      <c r="I1892" s="11" t="s">
        <v>3057</v>
      </c>
      <c r="J1892" s="11" t="s">
        <v>2625</v>
      </c>
      <c r="K1892" s="11" t="s">
        <v>9476</v>
      </c>
      <c r="L1892" s="11" t="s">
        <v>932</v>
      </c>
      <c r="M1892" s="11" t="s">
        <v>9477</v>
      </c>
      <c r="N1892" s="11">
        <v>21176</v>
      </c>
      <c r="O1892" s="11">
        <v>5740</v>
      </c>
      <c r="P1892" s="11">
        <v>5</v>
      </c>
      <c r="Q1892" s="11" t="s">
        <v>9478</v>
      </c>
      <c r="R1892" s="14" t="s">
        <v>9479</v>
      </c>
      <c r="S1892" s="11">
        <v>107</v>
      </c>
      <c r="T1892" s="11" t="s">
        <v>39</v>
      </c>
      <c r="U1892" s="11" t="s">
        <v>40</v>
      </c>
      <c r="V1892" s="11" t="s">
        <v>96</v>
      </c>
      <c r="W1892" s="11">
        <v>25000000</v>
      </c>
      <c r="X1892" s="11">
        <v>2012</v>
      </c>
      <c r="Y1892" s="11">
        <v>448</v>
      </c>
      <c r="Z1892" s="11">
        <v>6.1</v>
      </c>
      <c r="AA1892" s="11">
        <v>1.85</v>
      </c>
      <c r="AB1892" s="11">
        <v>0</v>
      </c>
      <c r="AC1892" s="11"/>
      <c r="AD1892" s="11" t="str">
        <f>IFERROR(__xludf.DUMMYFUNCTION("""COMPUTED_VALUE"""),"Hye-kyo Song")</f>
        <v>Hye-kyo Song</v>
      </c>
      <c r="AE1892" s="11"/>
    </row>
    <row r="1893" customHeight="1" spans="1:31">
      <c r="A1893" s="12" t="s">
        <v>30</v>
      </c>
      <c r="B1893" s="12" t="s">
        <v>2699</v>
      </c>
      <c r="C1893" s="12">
        <v>245</v>
      </c>
      <c r="D1893" s="12">
        <v>108</v>
      </c>
      <c r="E1893" s="12">
        <v>425</v>
      </c>
      <c r="F1893" s="12">
        <v>766</v>
      </c>
      <c r="G1893" s="12">
        <v>20000</v>
      </c>
      <c r="H1893" s="12">
        <v>70625986</v>
      </c>
      <c r="I1893" s="12" t="s">
        <v>1681</v>
      </c>
      <c r="J1893" s="12" t="s">
        <v>842</v>
      </c>
      <c r="K1893" s="12" t="s">
        <v>9480</v>
      </c>
      <c r="L1893" s="12" t="s">
        <v>543</v>
      </c>
      <c r="M1893" s="12" t="s">
        <v>9481</v>
      </c>
      <c r="N1893" s="12">
        <v>168717</v>
      </c>
      <c r="O1893" s="12">
        <v>22739</v>
      </c>
      <c r="P1893" s="12">
        <v>1</v>
      </c>
      <c r="Q1893" s="12" t="s">
        <v>9482</v>
      </c>
      <c r="R1893" s="15" t="s">
        <v>9483</v>
      </c>
      <c r="S1893" s="12">
        <v>178</v>
      </c>
      <c r="T1893" s="12" t="s">
        <v>39</v>
      </c>
      <c r="U1893" s="12" t="s">
        <v>40</v>
      </c>
      <c r="V1893" s="12" t="s">
        <v>586</v>
      </c>
      <c r="W1893" s="12">
        <v>25000000</v>
      </c>
      <c r="X1893" s="12">
        <v>2011</v>
      </c>
      <c r="Y1893" s="12">
        <v>962</v>
      </c>
      <c r="Z1893" s="12">
        <v>6.2</v>
      </c>
      <c r="AA1893" s="12">
        <v>2.35</v>
      </c>
      <c r="AB1893" s="12">
        <v>24000</v>
      </c>
      <c r="AC1893" s="12"/>
      <c r="AD1893" s="12" t="str">
        <f>IFERROR(__xludf.DUMMYFUNCTION("""COMPUTED_VALUE"""),"Elvis Tsui")</f>
        <v>Elvis Tsui</v>
      </c>
      <c r="AE1893" s="12"/>
    </row>
    <row r="1894" customHeight="1" spans="1:31">
      <c r="A1894" s="11" t="s">
        <v>30</v>
      </c>
      <c r="B1894" s="11" t="s">
        <v>5986</v>
      </c>
      <c r="C1894" s="11">
        <v>84</v>
      </c>
      <c r="D1894" s="11">
        <v>134</v>
      </c>
      <c r="E1894" s="11">
        <v>170</v>
      </c>
      <c r="F1894" s="11">
        <v>472</v>
      </c>
      <c r="G1894" s="11">
        <v>2000</v>
      </c>
      <c r="H1894" s="11">
        <v>56505065</v>
      </c>
      <c r="I1894" s="11" t="s">
        <v>9484</v>
      </c>
      <c r="J1894" s="11" t="s">
        <v>3008</v>
      </c>
      <c r="K1894" s="11" t="s">
        <v>9485</v>
      </c>
      <c r="L1894" s="11" t="s">
        <v>6361</v>
      </c>
      <c r="M1894" s="11" t="s">
        <v>9486</v>
      </c>
      <c r="N1894" s="11">
        <v>95241</v>
      </c>
      <c r="O1894" s="11">
        <v>4453</v>
      </c>
      <c r="P1894" s="11">
        <v>0</v>
      </c>
      <c r="Q1894" s="11" t="s">
        <v>9487</v>
      </c>
      <c r="R1894" s="14" t="s">
        <v>9488</v>
      </c>
      <c r="S1894" s="11">
        <v>439</v>
      </c>
      <c r="T1894" s="11" t="s">
        <v>39</v>
      </c>
      <c r="U1894" s="11" t="s">
        <v>40</v>
      </c>
      <c r="V1894" s="11" t="s">
        <v>586</v>
      </c>
      <c r="W1894" s="11">
        <v>25000000</v>
      </c>
      <c r="X1894" s="11">
        <v>1993</v>
      </c>
      <c r="Y1894" s="11">
        <v>722</v>
      </c>
      <c r="Z1894" s="11">
        <v>7.8</v>
      </c>
      <c r="AA1894" s="11">
        <v>2.35</v>
      </c>
      <c r="AB1894" s="11">
        <v>11000</v>
      </c>
      <c r="AC1894" s="11"/>
      <c r="AD1894" s="11" t="str">
        <f>IFERROR(__xludf.DUMMYFUNCTION("""COMPUTED_VALUE"""),"Kristen Johnston")</f>
        <v>Kristen Johnston</v>
      </c>
      <c r="AE1894" s="11"/>
    </row>
    <row r="1895" customHeight="1" spans="1:31">
      <c r="A1895" s="12" t="s">
        <v>30</v>
      </c>
      <c r="B1895" s="12" t="s">
        <v>3445</v>
      </c>
      <c r="C1895" s="12">
        <v>70</v>
      </c>
      <c r="D1895" s="12">
        <v>115</v>
      </c>
      <c r="E1895" s="12">
        <v>43</v>
      </c>
      <c r="F1895" s="12">
        <v>775</v>
      </c>
      <c r="G1895" s="12">
        <v>5000</v>
      </c>
      <c r="H1895" s="12">
        <v>55973336</v>
      </c>
      <c r="I1895" s="12" t="s">
        <v>334</v>
      </c>
      <c r="J1895" s="12" t="s">
        <v>502</v>
      </c>
      <c r="K1895" s="12" t="s">
        <v>472</v>
      </c>
      <c r="L1895" s="12" t="s">
        <v>7486</v>
      </c>
      <c r="M1895" s="12" t="s">
        <v>9489</v>
      </c>
      <c r="N1895" s="12">
        <v>57040</v>
      </c>
      <c r="O1895" s="12">
        <v>9082</v>
      </c>
      <c r="P1895" s="12">
        <v>1</v>
      </c>
      <c r="Q1895" s="12" t="s">
        <v>9490</v>
      </c>
      <c r="R1895" s="15" t="s">
        <v>9491</v>
      </c>
      <c r="S1895" s="12">
        <v>365</v>
      </c>
      <c r="T1895" s="12" t="s">
        <v>39</v>
      </c>
      <c r="U1895" s="12" t="s">
        <v>40</v>
      </c>
      <c r="V1895" s="12" t="s">
        <v>586</v>
      </c>
      <c r="W1895" s="12">
        <v>25000000</v>
      </c>
      <c r="X1895" s="12">
        <v>2000</v>
      </c>
      <c r="Y1895" s="12">
        <v>848</v>
      </c>
      <c r="Z1895" s="12">
        <v>6.1</v>
      </c>
      <c r="AA1895" s="12">
        <v>2.35</v>
      </c>
      <c r="AB1895" s="12">
        <v>0</v>
      </c>
      <c r="AC1895" s="12"/>
      <c r="AD1895" s="12" t="str">
        <f>IFERROR(__xludf.DUMMYFUNCTION("""COMPUTED_VALUE"""),"Blythe Auffarth")</f>
        <v>Blythe Auffarth</v>
      </c>
      <c r="AE1895" s="12"/>
    </row>
    <row r="1896" customHeight="1" spans="1:31">
      <c r="A1896" s="11" t="s">
        <v>30</v>
      </c>
      <c r="B1896" s="11" t="s">
        <v>1059</v>
      </c>
      <c r="C1896" s="11">
        <v>154</v>
      </c>
      <c r="D1896" s="11">
        <v>107</v>
      </c>
      <c r="E1896" s="11">
        <v>503</v>
      </c>
      <c r="F1896" s="11">
        <v>108</v>
      </c>
      <c r="G1896" s="11">
        <v>264</v>
      </c>
      <c r="H1896" s="13"/>
      <c r="I1896" s="11" t="s">
        <v>9492</v>
      </c>
      <c r="J1896" s="11" t="s">
        <v>9493</v>
      </c>
      <c r="K1896" s="11" t="s">
        <v>9494</v>
      </c>
      <c r="L1896" s="11" t="s">
        <v>9495</v>
      </c>
      <c r="M1896" s="11" t="s">
        <v>9496</v>
      </c>
      <c r="N1896" s="11">
        <v>80958</v>
      </c>
      <c r="O1896" s="11">
        <v>673</v>
      </c>
      <c r="P1896" s="11">
        <v>2</v>
      </c>
      <c r="Q1896" s="11" t="s">
        <v>9497</v>
      </c>
      <c r="R1896" s="14" t="s">
        <v>9498</v>
      </c>
      <c r="S1896" s="11">
        <v>310</v>
      </c>
      <c r="T1896" s="11" t="s">
        <v>39</v>
      </c>
      <c r="U1896" s="11" t="s">
        <v>58</v>
      </c>
      <c r="V1896" s="11" t="s">
        <v>586</v>
      </c>
      <c r="W1896" s="11">
        <v>2800000</v>
      </c>
      <c r="X1896" s="11">
        <v>1976</v>
      </c>
      <c r="Y1896" s="11">
        <v>139</v>
      </c>
      <c r="Z1896" s="11">
        <v>7.6</v>
      </c>
      <c r="AA1896" s="11">
        <v>2.35</v>
      </c>
      <c r="AB1896" s="11">
        <v>7000</v>
      </c>
      <c r="AC1896" s="11"/>
      <c r="AD1896" s="11" t="str">
        <f>IFERROR(__xludf.DUMMYFUNCTION("""COMPUTED_VALUE"""),"Bianca Collins")</f>
        <v>Bianca Collins</v>
      </c>
      <c r="AE1896" s="11"/>
    </row>
    <row r="1897" customHeight="1" spans="1:31">
      <c r="A1897" s="12" t="s">
        <v>30</v>
      </c>
      <c r="B1897" s="12" t="s">
        <v>5496</v>
      </c>
      <c r="C1897" s="12">
        <v>216</v>
      </c>
      <c r="D1897" s="12">
        <v>86</v>
      </c>
      <c r="E1897" s="12">
        <v>70</v>
      </c>
      <c r="F1897" s="12">
        <v>318</v>
      </c>
      <c r="G1897" s="12">
        <v>440</v>
      </c>
      <c r="H1897" s="12">
        <v>54098051</v>
      </c>
      <c r="I1897" s="12" t="s">
        <v>6403</v>
      </c>
      <c r="J1897" s="12" t="s">
        <v>9499</v>
      </c>
      <c r="K1897" s="12" t="s">
        <v>9500</v>
      </c>
      <c r="L1897" s="12" t="s">
        <v>5661</v>
      </c>
      <c r="M1897" s="12" t="s">
        <v>9501</v>
      </c>
      <c r="N1897" s="12">
        <v>102861</v>
      </c>
      <c r="O1897" s="12">
        <v>2420</v>
      </c>
      <c r="P1897" s="12">
        <v>0</v>
      </c>
      <c r="Q1897" s="12" t="s">
        <v>9502</v>
      </c>
      <c r="R1897" s="15" t="s">
        <v>9503</v>
      </c>
      <c r="S1897" s="12">
        <v>571</v>
      </c>
      <c r="T1897" s="12" t="s">
        <v>39</v>
      </c>
      <c r="U1897" s="12" t="s">
        <v>768</v>
      </c>
      <c r="V1897" s="12" t="s">
        <v>586</v>
      </c>
      <c r="W1897" s="12">
        <v>25000000</v>
      </c>
      <c r="X1897" s="12">
        <v>2006</v>
      </c>
      <c r="Y1897" s="12">
        <v>346</v>
      </c>
      <c r="Z1897" s="12">
        <v>5.8</v>
      </c>
      <c r="AA1897" s="12">
        <v>2.35</v>
      </c>
      <c r="AB1897" s="12">
        <v>0</v>
      </c>
      <c r="AC1897" s="12"/>
      <c r="AD1897" s="12" t="str">
        <f>IFERROR(__xludf.DUMMYFUNCTION("""COMPUTED_VALUE"""),"Jiao Xu")</f>
        <v>Jiao Xu</v>
      </c>
      <c r="AE1897" s="12"/>
    </row>
    <row r="1898" customHeight="1" spans="1:31">
      <c r="A1898" s="11" t="s">
        <v>30</v>
      </c>
      <c r="B1898" s="11" t="s">
        <v>7205</v>
      </c>
      <c r="C1898" s="11">
        <v>170</v>
      </c>
      <c r="D1898" s="11">
        <v>101</v>
      </c>
      <c r="E1898" s="11">
        <v>96</v>
      </c>
      <c r="F1898" s="11">
        <v>204</v>
      </c>
      <c r="G1898" s="11">
        <v>713</v>
      </c>
      <c r="H1898" s="11">
        <v>60443237</v>
      </c>
      <c r="I1898" s="11" t="s">
        <v>214</v>
      </c>
      <c r="J1898" s="11" t="s">
        <v>1747</v>
      </c>
      <c r="K1898" s="11" t="s">
        <v>9504</v>
      </c>
      <c r="L1898" s="11" t="s">
        <v>9505</v>
      </c>
      <c r="M1898" s="11" t="s">
        <v>9506</v>
      </c>
      <c r="N1898" s="11">
        <v>76882</v>
      </c>
      <c r="O1898" s="11">
        <v>1852</v>
      </c>
      <c r="P1898" s="11">
        <v>0</v>
      </c>
      <c r="Q1898" s="11" t="s">
        <v>9507</v>
      </c>
      <c r="R1898" s="14" t="s">
        <v>9508</v>
      </c>
      <c r="S1898" s="11">
        <v>106</v>
      </c>
      <c r="T1898" s="11" t="s">
        <v>39</v>
      </c>
      <c r="U1898" s="11" t="s">
        <v>40</v>
      </c>
      <c r="V1898" s="11" t="s">
        <v>41</v>
      </c>
      <c r="W1898" s="11">
        <v>25000000</v>
      </c>
      <c r="X1898" s="11">
        <v>2012</v>
      </c>
      <c r="Y1898" s="11">
        <v>220</v>
      </c>
      <c r="Z1898" s="11">
        <v>6.5</v>
      </c>
      <c r="AA1898" s="11">
        <v>2.35</v>
      </c>
      <c r="AB1898" s="11">
        <v>29000</v>
      </c>
      <c r="AC1898" s="11"/>
      <c r="AD1898" s="11" t="str">
        <f>IFERROR(__xludf.DUMMYFUNCTION("""COMPUTED_VALUE"""),"Jeff Kober")</f>
        <v>Jeff Kober</v>
      </c>
      <c r="AE1898" s="11"/>
    </row>
    <row r="1899" customHeight="1" spans="1:31">
      <c r="A1899" s="12" t="s">
        <v>30</v>
      </c>
      <c r="B1899" s="12" t="s">
        <v>9509</v>
      </c>
      <c r="C1899" s="12">
        <v>181</v>
      </c>
      <c r="D1899" s="12">
        <v>96</v>
      </c>
      <c r="E1899" s="12">
        <v>47</v>
      </c>
      <c r="F1899" s="12">
        <v>3000</v>
      </c>
      <c r="G1899" s="12">
        <v>14000</v>
      </c>
      <c r="H1899" s="12">
        <v>82234139</v>
      </c>
      <c r="I1899" s="12" t="s">
        <v>548</v>
      </c>
      <c r="J1899" s="12" t="s">
        <v>700</v>
      </c>
      <c r="K1899" s="12" t="s">
        <v>1950</v>
      </c>
      <c r="L1899" s="12" t="s">
        <v>2625</v>
      </c>
      <c r="M1899" s="12" t="s">
        <v>9510</v>
      </c>
      <c r="N1899" s="12">
        <v>110390</v>
      </c>
      <c r="O1899" s="12">
        <v>28071</v>
      </c>
      <c r="P1899" s="12">
        <v>3</v>
      </c>
      <c r="Q1899" s="12" t="s">
        <v>9511</v>
      </c>
      <c r="R1899" s="15" t="s">
        <v>9512</v>
      </c>
      <c r="S1899" s="12">
        <v>522</v>
      </c>
      <c r="T1899" s="12" t="s">
        <v>39</v>
      </c>
      <c r="U1899" s="12" t="s">
        <v>40</v>
      </c>
      <c r="V1899" s="12" t="s">
        <v>96</v>
      </c>
      <c r="W1899" s="12">
        <v>17000000</v>
      </c>
      <c r="X1899" s="12">
        <v>2007</v>
      </c>
      <c r="Y1899" s="12">
        <v>11000</v>
      </c>
      <c r="Z1899" s="12">
        <v>7.2</v>
      </c>
      <c r="AA1899" s="12">
        <v>1.85</v>
      </c>
      <c r="AB1899" s="12">
        <v>6000</v>
      </c>
      <c r="AC1899" s="12"/>
      <c r="AD1899" s="12" t="str">
        <f>IFERROR(__xludf.DUMMYFUNCTION("""COMPUTED_VALUE"""),"D.B. Woodside")</f>
        <v>D.B. Woodside</v>
      </c>
      <c r="AE1899" s="12"/>
    </row>
    <row r="1900" customHeight="1" spans="1:31">
      <c r="A1900" s="11" t="s">
        <v>30</v>
      </c>
      <c r="B1900" s="11" t="s">
        <v>126</v>
      </c>
      <c r="C1900" s="11">
        <v>226</v>
      </c>
      <c r="D1900" s="11">
        <v>101</v>
      </c>
      <c r="E1900" s="11">
        <v>395</v>
      </c>
      <c r="F1900" s="11">
        <v>2000</v>
      </c>
      <c r="G1900" s="11">
        <v>40000</v>
      </c>
      <c r="H1900" s="11">
        <v>51676606</v>
      </c>
      <c r="I1900" s="11" t="s">
        <v>9513</v>
      </c>
      <c r="J1900" s="11" t="s">
        <v>44</v>
      </c>
      <c r="K1900" s="11" t="s">
        <v>216</v>
      </c>
      <c r="L1900" s="11" t="s">
        <v>404</v>
      </c>
      <c r="M1900" s="11" t="s">
        <v>9514</v>
      </c>
      <c r="N1900" s="11">
        <v>174591</v>
      </c>
      <c r="O1900" s="11">
        <v>58823</v>
      </c>
      <c r="P1900" s="11">
        <v>1</v>
      </c>
      <c r="Q1900" s="11" t="s">
        <v>9515</v>
      </c>
      <c r="R1900" s="14" t="s">
        <v>9516</v>
      </c>
      <c r="S1900" s="11">
        <v>632</v>
      </c>
      <c r="T1900" s="11" t="s">
        <v>39</v>
      </c>
      <c r="U1900" s="11" t="s">
        <v>40</v>
      </c>
      <c r="V1900" s="11" t="s">
        <v>96</v>
      </c>
      <c r="W1900" s="11">
        <v>25000000</v>
      </c>
      <c r="X1900" s="11">
        <v>2004</v>
      </c>
      <c r="Y1900" s="11">
        <v>14000</v>
      </c>
      <c r="Z1900" s="11">
        <v>7.8</v>
      </c>
      <c r="AA1900" s="11">
        <v>2.35</v>
      </c>
      <c r="AB1900" s="11">
        <v>0</v>
      </c>
      <c r="AC1900" s="11"/>
      <c r="AD1900" s="11" t="str">
        <f>IFERROR(__xludf.DUMMYFUNCTION("""COMPUTED_VALUE"""),"Daniella Alonso")</f>
        <v>Daniella Alonso</v>
      </c>
      <c r="AE1900" s="11"/>
    </row>
    <row r="1901" customHeight="1" spans="1:31">
      <c r="A1901" s="12" t="s">
        <v>30</v>
      </c>
      <c r="B1901" s="12" t="s">
        <v>9517</v>
      </c>
      <c r="C1901" s="12">
        <v>24</v>
      </c>
      <c r="D1901" s="12">
        <v>100</v>
      </c>
      <c r="E1901" s="12">
        <v>0</v>
      </c>
      <c r="F1901" s="12">
        <v>400</v>
      </c>
      <c r="G1901" s="12">
        <v>975</v>
      </c>
      <c r="H1901" s="12">
        <v>52528330</v>
      </c>
      <c r="I1901" s="12" t="s">
        <v>2528</v>
      </c>
      <c r="J1901" s="12" t="s">
        <v>4000</v>
      </c>
      <c r="K1901" s="12" t="s">
        <v>8472</v>
      </c>
      <c r="L1901" s="12" t="s">
        <v>9518</v>
      </c>
      <c r="M1901" s="12" t="s">
        <v>9519</v>
      </c>
      <c r="N1901" s="12">
        <v>4265</v>
      </c>
      <c r="O1901" s="12">
        <v>3202</v>
      </c>
      <c r="P1901" s="12">
        <v>0</v>
      </c>
      <c r="Q1901" s="12" t="s">
        <v>9520</v>
      </c>
      <c r="R1901" s="15" t="s">
        <v>9521</v>
      </c>
      <c r="S1901" s="12">
        <v>27</v>
      </c>
      <c r="T1901" s="12" t="s">
        <v>39</v>
      </c>
      <c r="U1901" s="12" t="s">
        <v>40</v>
      </c>
      <c r="V1901" s="12" t="s">
        <v>41</v>
      </c>
      <c r="W1901" s="12">
        <v>25000000</v>
      </c>
      <c r="X1901" s="12">
        <v>2013</v>
      </c>
      <c r="Y1901" s="12">
        <v>521</v>
      </c>
      <c r="Z1901" s="12">
        <v>4.7</v>
      </c>
      <c r="AA1901" s="12">
        <v>1.85</v>
      </c>
      <c r="AB1901" s="12">
        <v>0</v>
      </c>
      <c r="AC1901" s="12"/>
      <c r="AD1901" s="12" t="str">
        <f>IFERROR(__xludf.DUMMYFUNCTION("""COMPUTED_VALUE"""),"Eduardo Verástegui")</f>
        <v>Eduardo Verástegui</v>
      </c>
      <c r="AE1901" s="12"/>
    </row>
    <row r="1902" customHeight="1" spans="1:31">
      <c r="A1902" s="11" t="s">
        <v>30</v>
      </c>
      <c r="B1902" s="11" t="s">
        <v>9522</v>
      </c>
      <c r="C1902" s="11">
        <v>408</v>
      </c>
      <c r="D1902" s="11">
        <v>117</v>
      </c>
      <c r="E1902" s="11">
        <v>248</v>
      </c>
      <c r="F1902" s="11">
        <v>726</v>
      </c>
      <c r="G1902" s="11">
        <v>14000</v>
      </c>
      <c r="H1902" s="11">
        <v>51533608</v>
      </c>
      <c r="I1902" s="11" t="s">
        <v>712</v>
      </c>
      <c r="J1902" s="11" t="s">
        <v>228</v>
      </c>
      <c r="K1902" s="11" t="s">
        <v>1699</v>
      </c>
      <c r="L1902" s="11" t="s">
        <v>5195</v>
      </c>
      <c r="M1902" s="11" t="s">
        <v>9523</v>
      </c>
      <c r="N1902" s="11">
        <v>203111</v>
      </c>
      <c r="O1902" s="11">
        <v>16606</v>
      </c>
      <c r="P1902" s="11">
        <v>1</v>
      </c>
      <c r="Q1902" s="11" t="s">
        <v>9524</v>
      </c>
      <c r="R1902" s="14" t="s">
        <v>9525</v>
      </c>
      <c r="S1902" s="11">
        <v>755</v>
      </c>
      <c r="T1902" s="11" t="s">
        <v>39</v>
      </c>
      <c r="U1902" s="11" t="s">
        <v>40</v>
      </c>
      <c r="V1902" s="11" t="s">
        <v>586</v>
      </c>
      <c r="W1902" s="11">
        <v>25000000</v>
      </c>
      <c r="X1902" s="11">
        <v>2011</v>
      </c>
      <c r="Y1902" s="11">
        <v>798</v>
      </c>
      <c r="Z1902" s="11">
        <v>6.8</v>
      </c>
      <c r="AA1902" s="11">
        <v>2.35</v>
      </c>
      <c r="AB1902" s="11">
        <v>32000</v>
      </c>
      <c r="AC1902" s="11"/>
      <c r="AD1902" s="11" t="str">
        <f>IFERROR(__xludf.DUMMYFUNCTION("""COMPUTED_VALUE"""),"Sonia Braga")</f>
        <v>Sonia Braga</v>
      </c>
      <c r="AE1902" s="11"/>
    </row>
    <row r="1903" customHeight="1" spans="1:31">
      <c r="A1903" s="12" t="s">
        <v>30</v>
      </c>
      <c r="B1903" s="12" t="s">
        <v>9526</v>
      </c>
      <c r="C1903" s="12">
        <v>180</v>
      </c>
      <c r="D1903" s="12">
        <v>101</v>
      </c>
      <c r="E1903" s="12">
        <v>21</v>
      </c>
      <c r="F1903" s="12">
        <v>317</v>
      </c>
      <c r="G1903" s="12">
        <v>22000</v>
      </c>
      <c r="H1903" s="12">
        <v>51097664</v>
      </c>
      <c r="I1903" s="12" t="s">
        <v>6133</v>
      </c>
      <c r="J1903" s="12" t="s">
        <v>1746</v>
      </c>
      <c r="K1903" s="12" t="s">
        <v>4640</v>
      </c>
      <c r="L1903" s="12" t="s">
        <v>7864</v>
      </c>
      <c r="M1903" s="12" t="s">
        <v>9527</v>
      </c>
      <c r="N1903" s="12">
        <v>70205</v>
      </c>
      <c r="O1903" s="12">
        <v>23328</v>
      </c>
      <c r="P1903" s="12">
        <v>0</v>
      </c>
      <c r="Q1903" s="12" t="s">
        <v>9528</v>
      </c>
      <c r="R1903" s="15" t="s">
        <v>9529</v>
      </c>
      <c r="S1903" s="12">
        <v>450</v>
      </c>
      <c r="T1903" s="12" t="s">
        <v>39</v>
      </c>
      <c r="U1903" s="12" t="s">
        <v>40</v>
      </c>
      <c r="V1903" s="12" t="s">
        <v>586</v>
      </c>
      <c r="W1903" s="12">
        <v>30000000</v>
      </c>
      <c r="X1903" s="12">
        <v>2005</v>
      </c>
      <c r="Y1903" s="12">
        <v>812</v>
      </c>
      <c r="Z1903" s="12">
        <v>5.9</v>
      </c>
      <c r="AA1903" s="12">
        <v>2.35</v>
      </c>
      <c r="AB1903" s="12">
        <v>0</v>
      </c>
      <c r="AC1903" s="12"/>
      <c r="AD1903" s="12" t="str">
        <f>IFERROR(__xludf.DUMMYFUNCTION("""COMPUTED_VALUE"""),"Kari Matchett")</f>
        <v>Kari Matchett</v>
      </c>
      <c r="AE1903" s="12"/>
    </row>
    <row r="1904" customHeight="1" spans="1:31">
      <c r="A1904" s="11" t="s">
        <v>30</v>
      </c>
      <c r="B1904" s="11" t="s">
        <v>1752</v>
      </c>
      <c r="C1904" s="11">
        <v>181</v>
      </c>
      <c r="D1904" s="11">
        <v>98</v>
      </c>
      <c r="E1904" s="11">
        <v>285</v>
      </c>
      <c r="F1904" s="11">
        <v>7000</v>
      </c>
      <c r="G1904" s="11">
        <v>640000</v>
      </c>
      <c r="H1904" s="11">
        <v>84136909</v>
      </c>
      <c r="I1904" s="11" t="s">
        <v>1672</v>
      </c>
      <c r="J1904" s="11" t="s">
        <v>9530</v>
      </c>
      <c r="K1904" s="11" t="s">
        <v>1249</v>
      </c>
      <c r="L1904" s="11" t="s">
        <v>518</v>
      </c>
      <c r="M1904" s="11" t="s">
        <v>9531</v>
      </c>
      <c r="N1904" s="11">
        <v>267921</v>
      </c>
      <c r="O1904" s="11">
        <v>656730</v>
      </c>
      <c r="P1904" s="11">
        <v>5</v>
      </c>
      <c r="Q1904" s="11" t="s">
        <v>9532</v>
      </c>
      <c r="R1904" s="14" t="s">
        <v>9533</v>
      </c>
      <c r="S1904" s="11">
        <v>577</v>
      </c>
      <c r="T1904" s="11" t="s">
        <v>39</v>
      </c>
      <c r="U1904" s="11" t="s">
        <v>40</v>
      </c>
      <c r="V1904" s="11" t="s">
        <v>41</v>
      </c>
      <c r="W1904" s="11">
        <v>26000000</v>
      </c>
      <c r="X1904" s="11">
        <v>2004</v>
      </c>
      <c r="Y1904" s="11">
        <v>8000</v>
      </c>
      <c r="Z1904" s="11">
        <v>7.2</v>
      </c>
      <c r="AA1904" s="11">
        <v>1.85</v>
      </c>
      <c r="AB1904" s="11">
        <v>0</v>
      </c>
      <c r="AC1904" s="11"/>
      <c r="AD1904" s="11" t="str">
        <f>IFERROR(__xludf.DUMMYFUNCTION("""COMPUTED_VALUE"""),"Bill Nunn")</f>
        <v>Bill Nunn</v>
      </c>
      <c r="AE1904" s="11"/>
    </row>
    <row r="1905" customHeight="1" spans="1:31">
      <c r="A1905" s="12" t="s">
        <v>30</v>
      </c>
      <c r="B1905" s="12" t="s">
        <v>488</v>
      </c>
      <c r="C1905" s="12">
        <v>192</v>
      </c>
      <c r="D1905" s="12">
        <v>146</v>
      </c>
      <c r="E1905" s="12">
        <v>17000</v>
      </c>
      <c r="F1905" s="12">
        <v>635</v>
      </c>
      <c r="G1905" s="12">
        <v>22000</v>
      </c>
      <c r="H1905" s="12">
        <v>46836394</v>
      </c>
      <c r="I1905" s="12" t="s">
        <v>1726</v>
      </c>
      <c r="J1905" s="12" t="s">
        <v>1746</v>
      </c>
      <c r="K1905" s="12" t="s">
        <v>3197</v>
      </c>
      <c r="L1905" s="12" t="s">
        <v>7659</v>
      </c>
      <c r="M1905" s="12" t="s">
        <v>9534</v>
      </c>
      <c r="N1905" s="12">
        <v>728685</v>
      </c>
      <c r="O1905" s="12">
        <v>24783</v>
      </c>
      <c r="P1905" s="12">
        <v>3</v>
      </c>
      <c r="Q1905" s="12" t="s">
        <v>9535</v>
      </c>
      <c r="R1905" s="15" t="s">
        <v>9536</v>
      </c>
      <c r="S1905" s="12">
        <v>989</v>
      </c>
      <c r="T1905" s="12" t="s">
        <v>39</v>
      </c>
      <c r="U1905" s="12" t="s">
        <v>40</v>
      </c>
      <c r="V1905" s="12" t="s">
        <v>586</v>
      </c>
      <c r="W1905" s="12">
        <v>25000000</v>
      </c>
      <c r="X1905" s="12">
        <v>1990</v>
      </c>
      <c r="Y1905" s="12">
        <v>854</v>
      </c>
      <c r="Z1905" s="12">
        <v>8.7</v>
      </c>
      <c r="AA1905" s="12">
        <v>1.85</v>
      </c>
      <c r="AB1905" s="12">
        <v>25000</v>
      </c>
      <c r="AC1905" s="12"/>
      <c r="AD1905" s="12" t="str">
        <f>IFERROR(__xludf.DUMMYFUNCTION("""COMPUTED_VALUE"""),"Beth Grant")</f>
        <v>Beth Grant</v>
      </c>
      <c r="AE1905" s="12"/>
    </row>
    <row r="1906" customHeight="1" spans="1:31">
      <c r="A1906" s="11" t="s">
        <v>30</v>
      </c>
      <c r="B1906" s="11" t="s">
        <v>4371</v>
      </c>
      <c r="C1906" s="11">
        <v>79</v>
      </c>
      <c r="D1906" s="11">
        <v>102</v>
      </c>
      <c r="E1906" s="11">
        <v>91</v>
      </c>
      <c r="F1906" s="11">
        <v>434</v>
      </c>
      <c r="G1906" s="11">
        <v>1000</v>
      </c>
      <c r="H1906" s="11">
        <v>47285499</v>
      </c>
      <c r="I1906" s="11" t="s">
        <v>9537</v>
      </c>
      <c r="J1906" s="11" t="s">
        <v>6010</v>
      </c>
      <c r="K1906" s="11" t="s">
        <v>8307</v>
      </c>
      <c r="L1906" s="11" t="s">
        <v>9538</v>
      </c>
      <c r="M1906" s="11" t="s">
        <v>9539</v>
      </c>
      <c r="N1906" s="11">
        <v>26755</v>
      </c>
      <c r="O1906" s="11">
        <v>3037</v>
      </c>
      <c r="P1906" s="11">
        <v>3</v>
      </c>
      <c r="Q1906" s="11" t="s">
        <v>9540</v>
      </c>
      <c r="R1906" s="14" t="s">
        <v>9541</v>
      </c>
      <c r="S1906" s="11">
        <v>104</v>
      </c>
      <c r="T1906" s="11" t="s">
        <v>39</v>
      </c>
      <c r="U1906" s="11" t="s">
        <v>40</v>
      </c>
      <c r="V1906" s="11" t="s">
        <v>96</v>
      </c>
      <c r="W1906" s="11">
        <v>26000000</v>
      </c>
      <c r="X1906" s="11">
        <v>2003</v>
      </c>
      <c r="Y1906" s="11">
        <v>934</v>
      </c>
      <c r="Z1906" s="11">
        <v>5</v>
      </c>
      <c r="AA1906" s="11">
        <v>2.35</v>
      </c>
      <c r="AB1906" s="11">
        <v>542</v>
      </c>
      <c r="AC1906" s="11"/>
      <c r="AD1906" s="11" t="str">
        <f>IFERROR(__xludf.DUMMYFUNCTION("""COMPUTED_VALUE"""),"Dagmara Dominczyk")</f>
        <v>Dagmara Dominczyk</v>
      </c>
      <c r="AE1906" s="11"/>
    </row>
    <row r="1907" customHeight="1" spans="1:31">
      <c r="A1907" s="12" t="s">
        <v>30</v>
      </c>
      <c r="B1907" s="12" t="s">
        <v>7110</v>
      </c>
      <c r="C1907" s="12">
        <v>128</v>
      </c>
      <c r="D1907" s="12">
        <v>97</v>
      </c>
      <c r="E1907" s="12">
        <v>52</v>
      </c>
      <c r="F1907" s="12">
        <v>579</v>
      </c>
      <c r="G1907" s="12">
        <v>14000</v>
      </c>
      <c r="H1907" s="12">
        <v>47124400</v>
      </c>
      <c r="I1907" s="12" t="s">
        <v>516</v>
      </c>
      <c r="J1907" s="12" t="s">
        <v>439</v>
      </c>
      <c r="K1907" s="12" t="s">
        <v>404</v>
      </c>
      <c r="L1907" s="12" t="s">
        <v>2425</v>
      </c>
      <c r="M1907" s="12" t="s">
        <v>9542</v>
      </c>
      <c r="N1907" s="12">
        <v>49676</v>
      </c>
      <c r="O1907" s="12">
        <v>17278</v>
      </c>
      <c r="P1907" s="12">
        <v>0</v>
      </c>
      <c r="Q1907" s="12" t="s">
        <v>9543</v>
      </c>
      <c r="R1907" s="15" t="s">
        <v>9544</v>
      </c>
      <c r="S1907" s="12">
        <v>181</v>
      </c>
      <c r="T1907" s="12" t="s">
        <v>39</v>
      </c>
      <c r="U1907" s="12" t="s">
        <v>40</v>
      </c>
      <c r="V1907" s="12" t="s">
        <v>96</v>
      </c>
      <c r="W1907" s="12">
        <v>25000000</v>
      </c>
      <c r="X1907" s="12">
        <v>2005</v>
      </c>
      <c r="Y1907" s="12">
        <v>2000</v>
      </c>
      <c r="Z1907" s="12">
        <v>6.6</v>
      </c>
      <c r="AA1907" s="12">
        <v>2.35</v>
      </c>
      <c r="AB1907" s="12">
        <v>0</v>
      </c>
      <c r="AC1907" s="12"/>
      <c r="AD1907" s="12" t="str">
        <f>IFERROR(__xludf.DUMMYFUNCTION("""COMPUTED_VALUE"""),"Matthew Glave")</f>
        <v>Matthew Glave</v>
      </c>
      <c r="AE1907" s="12"/>
    </row>
    <row r="1908" customHeight="1" spans="1:31">
      <c r="A1908" s="11" t="s">
        <v>30</v>
      </c>
      <c r="B1908" s="11" t="s">
        <v>2247</v>
      </c>
      <c r="C1908" s="11">
        <v>147</v>
      </c>
      <c r="D1908" s="11">
        <v>142</v>
      </c>
      <c r="E1908" s="11">
        <v>0</v>
      </c>
      <c r="F1908" s="11">
        <v>638</v>
      </c>
      <c r="G1908" s="11">
        <v>14000</v>
      </c>
      <c r="H1908" s="11">
        <v>44700000</v>
      </c>
      <c r="I1908" s="11" t="s">
        <v>1936</v>
      </c>
      <c r="J1908" s="11" t="s">
        <v>2383</v>
      </c>
      <c r="K1908" s="11" t="s">
        <v>2408</v>
      </c>
      <c r="L1908" s="11" t="s">
        <v>1347</v>
      </c>
      <c r="M1908" s="11" t="s">
        <v>9545</v>
      </c>
      <c r="N1908" s="11">
        <v>537442</v>
      </c>
      <c r="O1908" s="11">
        <v>16464</v>
      </c>
      <c r="P1908" s="11">
        <v>0</v>
      </c>
      <c r="Q1908" s="11" t="s">
        <v>9546</v>
      </c>
      <c r="R1908" s="14" t="s">
        <v>9547</v>
      </c>
      <c r="S1908" s="11">
        <v>851</v>
      </c>
      <c r="T1908" s="11" t="s">
        <v>39</v>
      </c>
      <c r="U1908" s="11" t="s">
        <v>40</v>
      </c>
      <c r="V1908" s="11" t="s">
        <v>586</v>
      </c>
      <c r="W1908" s="11">
        <v>25000000</v>
      </c>
      <c r="X1908" s="11">
        <v>1983</v>
      </c>
      <c r="Y1908" s="11">
        <v>670</v>
      </c>
      <c r="Z1908" s="11">
        <v>8.3</v>
      </c>
      <c r="AA1908" s="11">
        <v>2.35</v>
      </c>
      <c r="AB1908" s="11">
        <v>19000</v>
      </c>
      <c r="AC1908" s="11"/>
      <c r="AD1908" s="11" t="str">
        <f>IFERROR(__xludf.DUMMYFUNCTION("""COMPUTED_VALUE"""),"Mariah Carey")</f>
        <v>Mariah Carey</v>
      </c>
      <c r="AE1908" s="11"/>
    </row>
    <row r="1909" customHeight="1" spans="1:31">
      <c r="A1909" s="12" t="s">
        <v>30</v>
      </c>
      <c r="B1909" s="12" t="s">
        <v>4983</v>
      </c>
      <c r="C1909" s="12">
        <v>49</v>
      </c>
      <c r="D1909" s="12">
        <v>98</v>
      </c>
      <c r="E1909" s="12">
        <v>176</v>
      </c>
      <c r="F1909" s="12">
        <v>468</v>
      </c>
      <c r="G1909" s="12">
        <v>742</v>
      </c>
      <c r="H1909" s="12">
        <v>44455658</v>
      </c>
      <c r="I1909" s="12" t="s">
        <v>1375</v>
      </c>
      <c r="J1909" s="12" t="s">
        <v>1640</v>
      </c>
      <c r="K1909" s="12" t="s">
        <v>2788</v>
      </c>
      <c r="L1909" s="12" t="s">
        <v>9548</v>
      </c>
      <c r="M1909" s="12" t="s">
        <v>9549</v>
      </c>
      <c r="N1909" s="12">
        <v>36253</v>
      </c>
      <c r="O1909" s="12">
        <v>2457</v>
      </c>
      <c r="P1909" s="12">
        <v>2</v>
      </c>
      <c r="Q1909" s="12" t="s">
        <v>9550</v>
      </c>
      <c r="R1909" s="15" t="s">
        <v>9551</v>
      </c>
      <c r="S1909" s="12">
        <v>92</v>
      </c>
      <c r="T1909" s="12" t="s">
        <v>39</v>
      </c>
      <c r="U1909" s="12" t="s">
        <v>40</v>
      </c>
      <c r="V1909" s="12" t="s">
        <v>586</v>
      </c>
      <c r="W1909" s="12">
        <v>25000000</v>
      </c>
      <c r="X1909" s="12">
        <v>1997</v>
      </c>
      <c r="Y1909" s="12">
        <v>658</v>
      </c>
      <c r="Z1909" s="12">
        <v>6.7</v>
      </c>
      <c r="AA1909" s="12">
        <v>1.85</v>
      </c>
      <c r="AB1909" s="12">
        <v>0</v>
      </c>
      <c r="AC1909" s="12"/>
      <c r="AD1909" s="12" t="str">
        <f>IFERROR(__xludf.DUMMYFUNCTION("""COMPUTED_VALUE"""),"Jason Marsden")</f>
        <v>Jason Marsden</v>
      </c>
      <c r="AE1909" s="12"/>
    </row>
    <row r="1910" customHeight="1" spans="1:31">
      <c r="A1910" s="11" t="s">
        <v>30</v>
      </c>
      <c r="B1910" s="11" t="s">
        <v>9552</v>
      </c>
      <c r="C1910" s="11">
        <v>75</v>
      </c>
      <c r="D1910" s="11">
        <v>219</v>
      </c>
      <c r="E1910" s="11">
        <v>973</v>
      </c>
      <c r="F1910" s="11">
        <v>400</v>
      </c>
      <c r="G1910" s="11">
        <v>1000</v>
      </c>
      <c r="H1910" s="11">
        <v>43984230</v>
      </c>
      <c r="I1910" s="11" t="s">
        <v>5941</v>
      </c>
      <c r="J1910" s="11" t="s">
        <v>589</v>
      </c>
      <c r="K1910" s="11" t="s">
        <v>5281</v>
      </c>
      <c r="L1910" s="11" t="s">
        <v>3432</v>
      </c>
      <c r="M1910" s="11" t="s">
        <v>9553</v>
      </c>
      <c r="N1910" s="11">
        <v>70274</v>
      </c>
      <c r="O1910" s="11">
        <v>2451</v>
      </c>
      <c r="P1910" s="11">
        <v>0</v>
      </c>
      <c r="Q1910" s="11" t="s">
        <v>9554</v>
      </c>
      <c r="R1910" s="14" t="s">
        <v>9555</v>
      </c>
      <c r="S1910" s="11">
        <v>133</v>
      </c>
      <c r="T1910" s="11" t="s">
        <v>39</v>
      </c>
      <c r="U1910" s="11" t="s">
        <v>893</v>
      </c>
      <c r="V1910" s="11" t="s">
        <v>41</v>
      </c>
      <c r="W1910" s="11">
        <v>23000000</v>
      </c>
      <c r="X1910" s="11">
        <v>1987</v>
      </c>
      <c r="Y1910" s="11">
        <v>643</v>
      </c>
      <c r="Z1910" s="11">
        <v>7.8</v>
      </c>
      <c r="AA1910" s="11">
        <v>2.35</v>
      </c>
      <c r="AB1910" s="11">
        <v>0</v>
      </c>
      <c r="AC1910" s="11"/>
      <c r="AD1910" s="11" t="str">
        <f>IFERROR(__xludf.DUMMYFUNCTION("""COMPUTED_VALUE"""),"Richard Masur")</f>
        <v>Richard Masur</v>
      </c>
      <c r="AE1910" s="11"/>
    </row>
    <row r="1911" customHeight="1" spans="1:31">
      <c r="A1911" s="12" t="s">
        <v>30</v>
      </c>
      <c r="B1911" s="12" t="s">
        <v>3837</v>
      </c>
      <c r="C1911" s="12">
        <v>270</v>
      </c>
      <c r="D1911" s="12">
        <v>109</v>
      </c>
      <c r="E1911" s="12">
        <v>175</v>
      </c>
      <c r="F1911" s="12">
        <v>733</v>
      </c>
      <c r="G1911" s="12">
        <v>24000</v>
      </c>
      <c r="H1911" s="12">
        <v>66489425</v>
      </c>
      <c r="I1911" s="12" t="s">
        <v>464</v>
      </c>
      <c r="J1911" s="12" t="s">
        <v>82</v>
      </c>
      <c r="K1911" s="12" t="s">
        <v>9556</v>
      </c>
      <c r="L1911" s="12" t="s">
        <v>1136</v>
      </c>
      <c r="M1911" s="12" t="s">
        <v>9557</v>
      </c>
      <c r="N1911" s="12">
        <v>101977</v>
      </c>
      <c r="O1911" s="12">
        <v>26625</v>
      </c>
      <c r="P1911" s="12">
        <v>3</v>
      </c>
      <c r="Q1911" s="12" t="s">
        <v>9558</v>
      </c>
      <c r="R1911" s="15" t="s">
        <v>9559</v>
      </c>
      <c r="S1911" s="12">
        <v>161</v>
      </c>
      <c r="T1911" s="12" t="s">
        <v>39</v>
      </c>
      <c r="U1911" s="12" t="s">
        <v>40</v>
      </c>
      <c r="V1911" s="12" t="s">
        <v>586</v>
      </c>
      <c r="W1911" s="12">
        <v>25000000</v>
      </c>
      <c r="X1911" s="12">
        <v>2012</v>
      </c>
      <c r="Y1911" s="12">
        <v>736</v>
      </c>
      <c r="Z1911" s="12">
        <v>6.5</v>
      </c>
      <c r="AA1911" s="12">
        <v>2.35</v>
      </c>
      <c r="AB1911" s="12">
        <v>0</v>
      </c>
      <c r="AC1911" s="12"/>
      <c r="AD1911" s="12" t="str">
        <f>IFERROR(__xludf.DUMMYFUNCTION("""COMPUTED_VALUE"""),"David Clennon")</f>
        <v>David Clennon</v>
      </c>
      <c r="AE1911" s="12"/>
    </row>
    <row r="1912" customHeight="1" spans="1:31">
      <c r="A1912" s="11" t="s">
        <v>30</v>
      </c>
      <c r="B1912" s="11" t="s">
        <v>261</v>
      </c>
      <c r="C1912" s="11">
        <v>29</v>
      </c>
      <c r="D1912" s="11">
        <v>97</v>
      </c>
      <c r="E1912" s="11">
        <v>420</v>
      </c>
      <c r="F1912" s="11">
        <v>585</v>
      </c>
      <c r="G1912" s="11">
        <v>695</v>
      </c>
      <c r="H1912" s="11">
        <v>41067398</v>
      </c>
      <c r="I1912" s="11" t="s">
        <v>422</v>
      </c>
      <c r="J1912" s="11" t="s">
        <v>2846</v>
      </c>
      <c r="K1912" s="11" t="s">
        <v>7659</v>
      </c>
      <c r="L1912" s="11" t="s">
        <v>5227</v>
      </c>
      <c r="M1912" s="11" t="s">
        <v>9560</v>
      </c>
      <c r="N1912" s="11">
        <v>22748</v>
      </c>
      <c r="O1912" s="11">
        <v>2530</v>
      </c>
      <c r="P1912" s="11">
        <v>2</v>
      </c>
      <c r="Q1912" s="11" t="s">
        <v>9561</v>
      </c>
      <c r="R1912" s="14" t="s">
        <v>9562</v>
      </c>
      <c r="S1912" s="11">
        <v>41</v>
      </c>
      <c r="T1912" s="11" t="s">
        <v>39</v>
      </c>
      <c r="U1912" s="11" t="s">
        <v>40</v>
      </c>
      <c r="V1912" s="11" t="s">
        <v>586</v>
      </c>
      <c r="W1912" s="11">
        <v>25000000</v>
      </c>
      <c r="X1912" s="11">
        <v>1997</v>
      </c>
      <c r="Y1912" s="11">
        <v>635</v>
      </c>
      <c r="Z1912" s="11">
        <v>6.1</v>
      </c>
      <c r="AA1912" s="11">
        <v>2.35</v>
      </c>
      <c r="AB1912" s="11">
        <v>666</v>
      </c>
      <c r="AC1912" s="11"/>
      <c r="AD1912" s="11" t="str">
        <f>IFERROR(__xludf.DUMMYFUNCTION("""COMPUTED_VALUE"""),"Nolan Gerard Funk")</f>
        <v>Nolan Gerard Funk</v>
      </c>
      <c r="AE1912" s="11"/>
    </row>
    <row r="1913" customHeight="1" spans="1:31">
      <c r="A1913" s="12" t="s">
        <v>30</v>
      </c>
      <c r="B1913" s="12" t="s">
        <v>7077</v>
      </c>
      <c r="C1913" s="12">
        <v>398</v>
      </c>
      <c r="D1913" s="12">
        <v>158</v>
      </c>
      <c r="E1913" s="12">
        <v>0</v>
      </c>
      <c r="F1913" s="12">
        <v>104</v>
      </c>
      <c r="G1913" s="12">
        <v>272</v>
      </c>
      <c r="H1913" s="12">
        <v>40218903</v>
      </c>
      <c r="I1913" s="12" t="s">
        <v>3410</v>
      </c>
      <c r="J1913" s="12" t="s">
        <v>7131</v>
      </c>
      <c r="K1913" s="12" t="s">
        <v>9563</v>
      </c>
      <c r="L1913" s="12" t="s">
        <v>9564</v>
      </c>
      <c r="M1913" s="12" t="s">
        <v>9565</v>
      </c>
      <c r="N1913" s="12">
        <v>372990</v>
      </c>
      <c r="O1913" s="12">
        <v>533</v>
      </c>
      <c r="P1913" s="12">
        <v>0</v>
      </c>
      <c r="Q1913" s="12" t="s">
        <v>9566</v>
      </c>
      <c r="R1913" s="15" t="s">
        <v>9567</v>
      </c>
      <c r="S1913" s="12">
        <v>1107</v>
      </c>
      <c r="T1913" s="12" t="s">
        <v>39</v>
      </c>
      <c r="U1913" s="12" t="s">
        <v>40</v>
      </c>
      <c r="V1913" s="12" t="s">
        <v>586</v>
      </c>
      <c r="W1913" s="12">
        <v>25000000</v>
      </c>
      <c r="X1913" s="12">
        <v>2007</v>
      </c>
      <c r="Y1913" s="12">
        <v>111</v>
      </c>
      <c r="Z1913" s="12">
        <v>8.1</v>
      </c>
      <c r="AA1913" s="12">
        <v>2.35</v>
      </c>
      <c r="AB1913" s="12">
        <v>16000</v>
      </c>
      <c r="AC1913" s="12"/>
      <c r="AD1913" s="12" t="str">
        <f>IFERROR(__xludf.DUMMYFUNCTION("""COMPUTED_VALUE"""),"Gregory Scott Cummins")</f>
        <v>Gregory Scott Cummins</v>
      </c>
      <c r="AE1913" s="12"/>
    </row>
    <row r="1914" customHeight="1" spans="1:31">
      <c r="A1914" s="11" t="s">
        <v>30</v>
      </c>
      <c r="B1914" s="11" t="s">
        <v>9568</v>
      </c>
      <c r="C1914" s="11">
        <v>38</v>
      </c>
      <c r="D1914" s="11">
        <v>85</v>
      </c>
      <c r="E1914" s="11">
        <v>0</v>
      </c>
      <c r="F1914" s="11">
        <v>503</v>
      </c>
      <c r="G1914" s="11">
        <v>1000</v>
      </c>
      <c r="H1914" s="11">
        <v>39880476</v>
      </c>
      <c r="I1914" s="11" t="s">
        <v>271</v>
      </c>
      <c r="J1914" s="11" t="s">
        <v>1232</v>
      </c>
      <c r="K1914" s="11" t="s">
        <v>9569</v>
      </c>
      <c r="L1914" s="11" t="s">
        <v>2163</v>
      </c>
      <c r="M1914" s="11" t="s">
        <v>9570</v>
      </c>
      <c r="N1914" s="11">
        <v>12218</v>
      </c>
      <c r="O1914" s="11">
        <v>2908</v>
      </c>
      <c r="P1914" s="11">
        <v>0</v>
      </c>
      <c r="Q1914" s="11" t="s">
        <v>9571</v>
      </c>
      <c r="R1914" s="14" t="s">
        <v>9572</v>
      </c>
      <c r="S1914" s="11">
        <v>33</v>
      </c>
      <c r="T1914" s="11" t="s">
        <v>39</v>
      </c>
      <c r="U1914" s="11" t="s">
        <v>40</v>
      </c>
      <c r="V1914" s="11" t="s">
        <v>96</v>
      </c>
      <c r="W1914" s="11">
        <v>25000000</v>
      </c>
      <c r="X1914" s="11">
        <v>2002</v>
      </c>
      <c r="Y1914" s="11">
        <v>535</v>
      </c>
      <c r="Z1914" s="11">
        <v>5.2</v>
      </c>
      <c r="AA1914" s="11">
        <v>2.35</v>
      </c>
      <c r="AB1914" s="11">
        <v>187</v>
      </c>
      <c r="AC1914" s="11"/>
      <c r="AD1914" s="11" t="str">
        <f>IFERROR(__xludf.DUMMYFUNCTION("""COMPUTED_VALUE"""),"Claudia Stedelin")</f>
        <v>Claudia Stedelin</v>
      </c>
      <c r="AE1914" s="11"/>
    </row>
    <row r="1915" customHeight="1" spans="1:31">
      <c r="A1915" s="12" t="s">
        <v>30</v>
      </c>
      <c r="B1915" s="12" t="s">
        <v>9573</v>
      </c>
      <c r="C1915" s="12">
        <v>45</v>
      </c>
      <c r="D1915" s="12">
        <v>80</v>
      </c>
      <c r="E1915" s="12">
        <v>0</v>
      </c>
      <c r="F1915" s="12">
        <v>362</v>
      </c>
      <c r="G1915" s="12">
        <v>971</v>
      </c>
      <c r="H1915" s="12">
        <v>39399750</v>
      </c>
      <c r="I1915" s="12" t="s">
        <v>829</v>
      </c>
      <c r="J1915" s="12" t="s">
        <v>2315</v>
      </c>
      <c r="K1915" s="12" t="s">
        <v>2163</v>
      </c>
      <c r="L1915" s="12" t="s">
        <v>9574</v>
      </c>
      <c r="M1915" s="12" t="s">
        <v>9575</v>
      </c>
      <c r="N1915" s="12">
        <v>5674</v>
      </c>
      <c r="O1915" s="12">
        <v>3017</v>
      </c>
      <c r="P1915" s="12">
        <v>0</v>
      </c>
      <c r="Q1915" s="12" t="s">
        <v>9576</v>
      </c>
      <c r="R1915" s="15" t="s">
        <v>9577</v>
      </c>
      <c r="S1915" s="12">
        <v>35</v>
      </c>
      <c r="T1915" s="12" t="s">
        <v>39</v>
      </c>
      <c r="U1915" s="12" t="s">
        <v>40</v>
      </c>
      <c r="V1915" s="12" t="s">
        <v>96</v>
      </c>
      <c r="W1915" s="12">
        <v>25000000</v>
      </c>
      <c r="X1915" s="12">
        <v>2003</v>
      </c>
      <c r="Y1915" s="12">
        <v>503</v>
      </c>
      <c r="Z1915" s="12">
        <v>5.6</v>
      </c>
      <c r="AA1915" s="12">
        <v>2.35</v>
      </c>
      <c r="AB1915" s="12">
        <v>329</v>
      </c>
      <c r="AC1915" s="12"/>
      <c r="AD1915" s="12" t="str">
        <f>IFERROR(__xludf.DUMMYFUNCTION("""COMPUTED_VALUE"""),"Ted Markland")</f>
        <v>Ted Markland</v>
      </c>
      <c r="AE1915" s="12"/>
    </row>
    <row r="1916" customHeight="1" spans="1:31">
      <c r="A1916" s="11" t="s">
        <v>30</v>
      </c>
      <c r="B1916" s="11" t="s">
        <v>6801</v>
      </c>
      <c r="C1916" s="11">
        <v>81</v>
      </c>
      <c r="D1916" s="11">
        <v>86</v>
      </c>
      <c r="E1916" s="11">
        <v>92</v>
      </c>
      <c r="F1916" s="11">
        <v>466</v>
      </c>
      <c r="G1916" s="11">
        <v>744</v>
      </c>
      <c r="H1916" s="11">
        <v>38230435</v>
      </c>
      <c r="I1916" s="11" t="s">
        <v>2137</v>
      </c>
      <c r="J1916" s="11" t="s">
        <v>2638</v>
      </c>
      <c r="K1916" s="11" t="s">
        <v>9578</v>
      </c>
      <c r="L1916" s="11" t="s">
        <v>1646</v>
      </c>
      <c r="M1916" s="11" t="s">
        <v>9579</v>
      </c>
      <c r="N1916" s="11">
        <v>29661</v>
      </c>
      <c r="O1916" s="11">
        <v>3001</v>
      </c>
      <c r="P1916" s="11">
        <v>3</v>
      </c>
      <c r="Q1916" s="11" t="s">
        <v>9580</v>
      </c>
      <c r="R1916" s="14" t="s">
        <v>9581</v>
      </c>
      <c r="S1916" s="11">
        <v>179</v>
      </c>
      <c r="T1916" s="11" t="s">
        <v>39</v>
      </c>
      <c r="U1916" s="11" t="s">
        <v>40</v>
      </c>
      <c r="V1916" s="11" t="s">
        <v>41</v>
      </c>
      <c r="W1916" s="11">
        <v>25000000</v>
      </c>
      <c r="X1916" s="11">
        <v>2002</v>
      </c>
      <c r="Y1916" s="11">
        <v>489</v>
      </c>
      <c r="Z1916" s="11">
        <v>5.8</v>
      </c>
      <c r="AA1916" s="11">
        <v>1.85</v>
      </c>
      <c r="AB1916" s="11">
        <v>0</v>
      </c>
      <c r="AC1916" s="11"/>
      <c r="AD1916" s="11" t="str">
        <f>IFERROR(__xludf.DUMMYFUNCTION("""COMPUTED_VALUE"""),"Usher Raymond")</f>
        <v>Usher Raymond</v>
      </c>
      <c r="AE1916" s="11"/>
    </row>
    <row r="1917" customHeight="1" spans="1:31">
      <c r="A1917" s="12" t="s">
        <v>30</v>
      </c>
      <c r="B1917" s="12" t="s">
        <v>6298</v>
      </c>
      <c r="C1917" s="12">
        <v>88</v>
      </c>
      <c r="D1917" s="12">
        <v>119</v>
      </c>
      <c r="E1917" s="12">
        <v>42</v>
      </c>
      <c r="F1917" s="12">
        <v>917</v>
      </c>
      <c r="G1917" s="12">
        <v>2000</v>
      </c>
      <c r="H1917" s="12">
        <v>39008741</v>
      </c>
      <c r="I1917" s="12" t="s">
        <v>9106</v>
      </c>
      <c r="J1917" s="12" t="s">
        <v>713</v>
      </c>
      <c r="K1917" s="12" t="s">
        <v>642</v>
      </c>
      <c r="L1917" s="12" t="s">
        <v>7970</v>
      </c>
      <c r="M1917" s="12" t="s">
        <v>9582</v>
      </c>
      <c r="N1917" s="12">
        <v>44838</v>
      </c>
      <c r="O1917" s="12">
        <v>6862</v>
      </c>
      <c r="P1917" s="12">
        <v>0</v>
      </c>
      <c r="Q1917" s="12" t="s">
        <v>9583</v>
      </c>
      <c r="R1917" s="15" t="s">
        <v>9584</v>
      </c>
      <c r="S1917" s="12">
        <v>223</v>
      </c>
      <c r="T1917" s="12" t="s">
        <v>39</v>
      </c>
      <c r="U1917" s="12" t="s">
        <v>40</v>
      </c>
      <c r="V1917" s="12" t="s">
        <v>96</v>
      </c>
      <c r="W1917" s="12">
        <v>25000000</v>
      </c>
      <c r="X1917" s="12">
        <v>2005</v>
      </c>
      <c r="Y1917" s="12">
        <v>953</v>
      </c>
      <c r="Z1917" s="12">
        <v>6.6</v>
      </c>
      <c r="AA1917" s="12">
        <v>2.35</v>
      </c>
      <c r="AB1917" s="12">
        <v>0</v>
      </c>
      <c r="AC1917" s="12"/>
      <c r="AD1917" s="12" t="str">
        <f>IFERROR(__xludf.DUMMYFUNCTION("""COMPUTED_VALUE"""),"Leonor Varela")</f>
        <v>Leonor Varela</v>
      </c>
      <c r="AE1917" s="12"/>
    </row>
    <row r="1918" customHeight="1" spans="1:31">
      <c r="A1918" s="11" t="s">
        <v>30</v>
      </c>
      <c r="B1918" s="11" t="s">
        <v>9585</v>
      </c>
      <c r="C1918" s="11">
        <v>116</v>
      </c>
      <c r="D1918" s="11">
        <v>98</v>
      </c>
      <c r="E1918" s="11">
        <v>20</v>
      </c>
      <c r="F1918" s="11">
        <v>872</v>
      </c>
      <c r="G1918" s="11">
        <v>5000</v>
      </c>
      <c r="H1918" s="11">
        <v>36833473</v>
      </c>
      <c r="I1918" s="11" t="s">
        <v>464</v>
      </c>
      <c r="J1918" s="11" t="s">
        <v>502</v>
      </c>
      <c r="K1918" s="11" t="s">
        <v>3179</v>
      </c>
      <c r="L1918" s="11" t="s">
        <v>2973</v>
      </c>
      <c r="M1918" s="11" t="s">
        <v>9586</v>
      </c>
      <c r="N1918" s="11">
        <v>53126</v>
      </c>
      <c r="O1918" s="11">
        <v>7945</v>
      </c>
      <c r="P1918" s="11">
        <v>1</v>
      </c>
      <c r="Q1918" s="11" t="s">
        <v>9587</v>
      </c>
      <c r="R1918" s="14" t="s">
        <v>9588</v>
      </c>
      <c r="S1918" s="11">
        <v>254</v>
      </c>
      <c r="T1918" s="11" t="s">
        <v>39</v>
      </c>
      <c r="U1918" s="11" t="s">
        <v>1466</v>
      </c>
      <c r="V1918" s="11" t="s">
        <v>586</v>
      </c>
      <c r="W1918" s="11">
        <v>25000000</v>
      </c>
      <c r="X1918" s="11">
        <v>2001</v>
      </c>
      <c r="Y1918" s="11">
        <v>888</v>
      </c>
      <c r="Z1918" s="11">
        <v>6.6</v>
      </c>
      <c r="AA1918" s="11">
        <v>2.35</v>
      </c>
      <c r="AB1918" s="11">
        <v>0</v>
      </c>
      <c r="AC1918" s="11"/>
      <c r="AD1918" s="11" t="str">
        <f>IFERROR(__xludf.DUMMYFUNCTION("""COMPUTED_VALUE"""),"Harry Treadaway")</f>
        <v>Harry Treadaway</v>
      </c>
      <c r="AE1918" s="11"/>
    </row>
    <row r="1919" customHeight="1" spans="1:31">
      <c r="A1919" s="12" t="s">
        <v>30</v>
      </c>
      <c r="B1919" s="12" t="s">
        <v>9589</v>
      </c>
      <c r="C1919" s="12">
        <v>129</v>
      </c>
      <c r="D1919" s="12">
        <v>97</v>
      </c>
      <c r="E1919" s="12">
        <v>29</v>
      </c>
      <c r="F1919" s="12">
        <v>816</v>
      </c>
      <c r="G1919" s="12">
        <v>15000</v>
      </c>
      <c r="H1919" s="12">
        <v>48237389</v>
      </c>
      <c r="I1919" s="12" t="s">
        <v>1681</v>
      </c>
      <c r="J1919" s="12" t="s">
        <v>182</v>
      </c>
      <c r="K1919" s="12" t="s">
        <v>9590</v>
      </c>
      <c r="L1919" s="12" t="s">
        <v>7746</v>
      </c>
      <c r="M1919" s="12" t="s">
        <v>9591</v>
      </c>
      <c r="N1919" s="12">
        <v>63969</v>
      </c>
      <c r="O1919" s="12">
        <v>18789</v>
      </c>
      <c r="P1919" s="12">
        <v>1</v>
      </c>
      <c r="Q1919" s="12" t="s">
        <v>9592</v>
      </c>
      <c r="R1919" s="15" t="s">
        <v>9593</v>
      </c>
      <c r="S1919" s="12">
        <v>126</v>
      </c>
      <c r="T1919" s="12" t="s">
        <v>39</v>
      </c>
      <c r="U1919" s="12" t="s">
        <v>40</v>
      </c>
      <c r="V1919" s="12" t="s">
        <v>41</v>
      </c>
      <c r="W1919" s="12">
        <v>25000000</v>
      </c>
      <c r="X1919" s="12">
        <v>2008</v>
      </c>
      <c r="Y1919" s="12">
        <v>852</v>
      </c>
      <c r="Z1919" s="12">
        <v>5.5</v>
      </c>
      <c r="AA1919" s="12">
        <v>2.35</v>
      </c>
      <c r="AB1919" s="12">
        <v>0</v>
      </c>
      <c r="AC1919" s="12"/>
      <c r="AD1919" s="12" t="str">
        <f>IFERROR(__xludf.DUMMYFUNCTION("""COMPUTED_VALUE"""),"Mike Howard")</f>
        <v>Mike Howard</v>
      </c>
      <c r="AE1919" s="12"/>
    </row>
    <row r="1920" customHeight="1" spans="1:31">
      <c r="A1920" s="11" t="s">
        <v>30</v>
      </c>
      <c r="B1920" s="11" t="s">
        <v>9594</v>
      </c>
      <c r="C1920" s="11">
        <v>72</v>
      </c>
      <c r="D1920" s="11">
        <v>105</v>
      </c>
      <c r="E1920" s="11">
        <v>23</v>
      </c>
      <c r="F1920" s="11">
        <v>485</v>
      </c>
      <c r="G1920" s="11">
        <v>1000</v>
      </c>
      <c r="H1920" s="11">
        <v>36310118</v>
      </c>
      <c r="I1920" s="11" t="s">
        <v>1672</v>
      </c>
      <c r="J1920" s="11" t="s">
        <v>1232</v>
      </c>
      <c r="K1920" s="11" t="s">
        <v>9595</v>
      </c>
      <c r="L1920" s="11" t="s">
        <v>9596</v>
      </c>
      <c r="M1920" s="11" t="s">
        <v>9597</v>
      </c>
      <c r="N1920" s="11">
        <v>13194</v>
      </c>
      <c r="O1920" s="11">
        <v>3535</v>
      </c>
      <c r="P1920" s="11">
        <v>1</v>
      </c>
      <c r="Q1920" s="11" t="s">
        <v>9598</v>
      </c>
      <c r="R1920" s="14" t="s">
        <v>9599</v>
      </c>
      <c r="S1920" s="11">
        <v>59</v>
      </c>
      <c r="T1920" s="11" t="s">
        <v>39</v>
      </c>
      <c r="U1920" s="11" t="s">
        <v>40</v>
      </c>
      <c r="V1920" s="11" t="s">
        <v>41</v>
      </c>
      <c r="W1920" s="13"/>
      <c r="X1920" s="11">
        <v>2005</v>
      </c>
      <c r="Y1920" s="11">
        <v>619</v>
      </c>
      <c r="Z1920" s="11">
        <v>5.5</v>
      </c>
      <c r="AA1920" s="11">
        <v>2.35</v>
      </c>
      <c r="AB1920" s="11">
        <v>671</v>
      </c>
      <c r="AC1920" s="11"/>
      <c r="AD1920" s="11" t="str">
        <f>IFERROR(__xludf.DUMMYFUNCTION("""COMPUTED_VALUE"""),"Jeffrey W. Jenkins")</f>
        <v>Jeffrey W. Jenkins</v>
      </c>
      <c r="AE1920" s="11"/>
    </row>
    <row r="1921" customHeight="1" spans="1:31">
      <c r="A1921" s="12" t="s">
        <v>30</v>
      </c>
      <c r="B1921" s="12" t="s">
        <v>3586</v>
      </c>
      <c r="C1921" s="12">
        <v>151</v>
      </c>
      <c r="D1921" s="12">
        <v>124</v>
      </c>
      <c r="E1921" s="12">
        <v>44</v>
      </c>
      <c r="F1921" s="12">
        <v>367</v>
      </c>
      <c r="G1921" s="12">
        <v>4000</v>
      </c>
      <c r="H1921" s="12">
        <v>36447959</v>
      </c>
      <c r="I1921" s="12" t="s">
        <v>1635</v>
      </c>
      <c r="J1921" s="12" t="s">
        <v>599</v>
      </c>
      <c r="K1921" s="12" t="s">
        <v>1358</v>
      </c>
      <c r="L1921" s="12" t="s">
        <v>9600</v>
      </c>
      <c r="M1921" s="12" t="s">
        <v>9601</v>
      </c>
      <c r="N1921" s="12">
        <v>35833</v>
      </c>
      <c r="O1921" s="12">
        <v>6393</v>
      </c>
      <c r="P1921" s="12">
        <v>0</v>
      </c>
      <c r="Q1921" s="12" t="s">
        <v>9602</v>
      </c>
      <c r="R1921" s="15" t="s">
        <v>9603</v>
      </c>
      <c r="S1921" s="12">
        <v>96</v>
      </c>
      <c r="T1921" s="12" t="s">
        <v>39</v>
      </c>
      <c r="U1921" s="12" t="s">
        <v>40</v>
      </c>
      <c r="V1921" s="12" t="s">
        <v>96</v>
      </c>
      <c r="W1921" s="12">
        <v>25000000</v>
      </c>
      <c r="X1921" s="12">
        <v>2014</v>
      </c>
      <c r="Y1921" s="12">
        <v>774</v>
      </c>
      <c r="Z1921" s="12">
        <v>7</v>
      </c>
      <c r="AA1921" s="12">
        <v>2.39</v>
      </c>
      <c r="AB1921" s="12">
        <v>10000</v>
      </c>
      <c r="AC1921" s="12"/>
      <c r="AD1921" s="12" t="str">
        <f>IFERROR(__xludf.DUMMYFUNCTION("""COMPUTED_VALUE"""),"Bruce Goodchild")</f>
        <v>Bruce Goodchild</v>
      </c>
      <c r="AE1921" s="12"/>
    </row>
    <row r="1922" customHeight="1" spans="1:31">
      <c r="A1922" s="11" t="s">
        <v>748</v>
      </c>
      <c r="B1922" s="11" t="s">
        <v>1199</v>
      </c>
      <c r="C1922" s="11">
        <v>198</v>
      </c>
      <c r="D1922" s="11">
        <v>97</v>
      </c>
      <c r="E1922" s="11">
        <v>176</v>
      </c>
      <c r="F1922" s="11">
        <v>10000</v>
      </c>
      <c r="G1922" s="11">
        <v>12000</v>
      </c>
      <c r="H1922" s="11">
        <v>45089048</v>
      </c>
      <c r="I1922" s="11" t="s">
        <v>5500</v>
      </c>
      <c r="J1922" s="11" t="s">
        <v>301</v>
      </c>
      <c r="K1922" s="11" t="s">
        <v>2377</v>
      </c>
      <c r="L1922" s="11" t="s">
        <v>229</v>
      </c>
      <c r="M1922" s="11" t="s">
        <v>9604</v>
      </c>
      <c r="N1922" s="11">
        <v>86251</v>
      </c>
      <c r="O1922" s="11">
        <v>36064</v>
      </c>
      <c r="P1922" s="11">
        <v>3</v>
      </c>
      <c r="Q1922" s="11" t="s">
        <v>9605</v>
      </c>
      <c r="R1922" s="14" t="s">
        <v>9606</v>
      </c>
      <c r="S1922" s="11">
        <v>260</v>
      </c>
      <c r="T1922" s="11" t="s">
        <v>39</v>
      </c>
      <c r="U1922" s="11" t="s">
        <v>8145</v>
      </c>
      <c r="V1922" s="11" t="s">
        <v>41</v>
      </c>
      <c r="W1922" s="11">
        <v>25000000</v>
      </c>
      <c r="X1922" s="11">
        <v>2014</v>
      </c>
      <c r="Y1922" s="11">
        <v>11000</v>
      </c>
      <c r="Z1922" s="11">
        <v>6.5</v>
      </c>
      <c r="AA1922" s="11">
        <v>2.35</v>
      </c>
      <c r="AB1922" s="11">
        <v>58000</v>
      </c>
      <c r="AC1922" s="11"/>
      <c r="AD1922" s="11" t="str">
        <f>IFERROR(__xludf.DUMMYFUNCTION("""COMPUTED_VALUE"""),"Ryan Cartwright")</f>
        <v>Ryan Cartwright</v>
      </c>
      <c r="AE1922" s="11"/>
    </row>
    <row r="1923" customHeight="1" spans="1:31">
      <c r="A1923" s="12" t="s">
        <v>30</v>
      </c>
      <c r="B1923" s="12" t="s">
        <v>6768</v>
      </c>
      <c r="C1923" s="12">
        <v>66</v>
      </c>
      <c r="D1923" s="12">
        <v>105</v>
      </c>
      <c r="E1923" s="12">
        <v>29</v>
      </c>
      <c r="F1923" s="12">
        <v>742</v>
      </c>
      <c r="G1923" s="12">
        <v>14000</v>
      </c>
      <c r="H1923" s="12">
        <v>35990505</v>
      </c>
      <c r="I1923" s="12" t="s">
        <v>9106</v>
      </c>
      <c r="J1923" s="12" t="s">
        <v>439</v>
      </c>
      <c r="K1923" s="12" t="s">
        <v>9607</v>
      </c>
      <c r="L1923" s="12" t="s">
        <v>1640</v>
      </c>
      <c r="M1923" s="12" t="s">
        <v>9608</v>
      </c>
      <c r="N1923" s="12">
        <v>48095</v>
      </c>
      <c r="O1923" s="12">
        <v>16400</v>
      </c>
      <c r="P1923" s="12">
        <v>1</v>
      </c>
      <c r="Q1923" s="12" t="s">
        <v>9609</v>
      </c>
      <c r="R1923" s="15" t="s">
        <v>9610</v>
      </c>
      <c r="S1923" s="12">
        <v>194</v>
      </c>
      <c r="T1923" s="12" t="s">
        <v>39</v>
      </c>
      <c r="U1923" s="12" t="s">
        <v>40</v>
      </c>
      <c r="V1923" s="12" t="s">
        <v>96</v>
      </c>
      <c r="W1923" s="12">
        <v>20000000</v>
      </c>
      <c r="X1923" s="12">
        <v>2003</v>
      </c>
      <c r="Y1923" s="12">
        <v>1000</v>
      </c>
      <c r="Z1923" s="12">
        <v>5.8</v>
      </c>
      <c r="AA1923" s="12">
        <v>2.35</v>
      </c>
      <c r="AB1923" s="12">
        <v>0</v>
      </c>
      <c r="AC1923" s="12"/>
      <c r="AD1923" s="12" t="str">
        <f>IFERROR(__xludf.DUMMYFUNCTION("""COMPUTED_VALUE"""),"David Walliams")</f>
        <v>David Walliams</v>
      </c>
      <c r="AE1923" s="12"/>
    </row>
    <row r="1924" customHeight="1" spans="1:31">
      <c r="A1924" s="11" t="s">
        <v>30</v>
      </c>
      <c r="B1924" s="11" t="s">
        <v>9611</v>
      </c>
      <c r="C1924" s="11">
        <v>167</v>
      </c>
      <c r="D1924" s="11">
        <v>104</v>
      </c>
      <c r="E1924" s="11">
        <v>108</v>
      </c>
      <c r="F1924" s="11">
        <v>177</v>
      </c>
      <c r="G1924" s="11">
        <v>296</v>
      </c>
      <c r="H1924" s="11">
        <v>35143332</v>
      </c>
      <c r="I1924" s="11" t="s">
        <v>6403</v>
      </c>
      <c r="J1924" s="11" t="s">
        <v>7537</v>
      </c>
      <c r="K1924" s="11" t="s">
        <v>9612</v>
      </c>
      <c r="L1924" s="11" t="s">
        <v>9613</v>
      </c>
      <c r="M1924" s="11" t="s">
        <v>9614</v>
      </c>
      <c r="N1924" s="11">
        <v>45102</v>
      </c>
      <c r="O1924" s="11">
        <v>1340</v>
      </c>
      <c r="P1924" s="11">
        <v>0</v>
      </c>
      <c r="Q1924" s="11" t="s">
        <v>9615</v>
      </c>
      <c r="R1924" s="14" t="s">
        <v>9616</v>
      </c>
      <c r="S1924" s="11">
        <v>316</v>
      </c>
      <c r="T1924" s="11" t="s">
        <v>39</v>
      </c>
      <c r="U1924" s="11" t="s">
        <v>40</v>
      </c>
      <c r="V1924" s="11" t="s">
        <v>586</v>
      </c>
      <c r="W1924" s="11">
        <v>17000000</v>
      </c>
      <c r="X1924" s="11">
        <v>2003</v>
      </c>
      <c r="Y1924" s="11">
        <v>270</v>
      </c>
      <c r="Z1924" s="11">
        <v>5.6</v>
      </c>
      <c r="AA1924" s="11">
        <v>2.35</v>
      </c>
      <c r="AB1924" s="11">
        <v>0</v>
      </c>
      <c r="AC1924" s="11"/>
      <c r="AD1924" s="11" t="str">
        <f>IFERROR(__xludf.DUMMYFUNCTION("""COMPUTED_VALUE"""),"Maggie Siff")</f>
        <v>Maggie Siff</v>
      </c>
      <c r="AE1924" s="11"/>
    </row>
    <row r="1925" customHeight="1" spans="1:31">
      <c r="A1925" s="12" t="s">
        <v>30</v>
      </c>
      <c r="B1925" s="12" t="s">
        <v>9617</v>
      </c>
      <c r="C1925" s="12">
        <v>127</v>
      </c>
      <c r="D1925" s="12">
        <v>101</v>
      </c>
      <c r="E1925" s="12">
        <v>7</v>
      </c>
      <c r="F1925" s="12">
        <v>440</v>
      </c>
      <c r="G1925" s="12">
        <v>1000</v>
      </c>
      <c r="H1925" s="12">
        <v>35000629</v>
      </c>
      <c r="I1925" s="12" t="s">
        <v>1681</v>
      </c>
      <c r="J1925" s="12" t="s">
        <v>6712</v>
      </c>
      <c r="K1925" s="12" t="s">
        <v>931</v>
      </c>
      <c r="L1925" s="12" t="s">
        <v>9499</v>
      </c>
      <c r="M1925" s="12" t="s">
        <v>9618</v>
      </c>
      <c r="N1925" s="12">
        <v>74622</v>
      </c>
      <c r="O1925" s="12">
        <v>2822</v>
      </c>
      <c r="P1925" s="12">
        <v>1</v>
      </c>
      <c r="Q1925" s="12" t="s">
        <v>9619</v>
      </c>
      <c r="R1925" s="15" t="s">
        <v>9620</v>
      </c>
      <c r="S1925" s="12">
        <v>150</v>
      </c>
      <c r="T1925" s="12" t="s">
        <v>39</v>
      </c>
      <c r="U1925" s="12" t="s">
        <v>40</v>
      </c>
      <c r="V1925" s="12" t="s">
        <v>586</v>
      </c>
      <c r="W1925" s="12">
        <v>25000000</v>
      </c>
      <c r="X1925" s="12">
        <v>2007</v>
      </c>
      <c r="Y1925" s="12">
        <v>562</v>
      </c>
      <c r="Z1925" s="12">
        <v>5.6</v>
      </c>
      <c r="AA1925" s="12">
        <v>1.85</v>
      </c>
      <c r="AB1925" s="12">
        <v>0</v>
      </c>
      <c r="AC1925" s="12"/>
      <c r="AD1925" s="12" t="str">
        <f>IFERROR(__xludf.DUMMYFUNCTION("""COMPUTED_VALUE"""),"Nick Robinson")</f>
        <v>Nick Robinson</v>
      </c>
      <c r="AE1925" s="12"/>
    </row>
    <row r="1926" customHeight="1" spans="1:31">
      <c r="A1926" s="11" t="s">
        <v>30</v>
      </c>
      <c r="B1926" s="11" t="s">
        <v>3445</v>
      </c>
      <c r="C1926" s="11">
        <v>109</v>
      </c>
      <c r="D1926" s="11">
        <v>101</v>
      </c>
      <c r="E1926" s="11">
        <v>43</v>
      </c>
      <c r="F1926" s="11">
        <v>432</v>
      </c>
      <c r="G1926" s="11">
        <v>5000</v>
      </c>
      <c r="H1926" s="11">
        <v>34604054</v>
      </c>
      <c r="I1926" s="11" t="s">
        <v>464</v>
      </c>
      <c r="J1926" s="11" t="s">
        <v>502</v>
      </c>
      <c r="K1926" s="11" t="s">
        <v>1736</v>
      </c>
      <c r="L1926" s="11" t="s">
        <v>9621</v>
      </c>
      <c r="M1926" s="11" t="s">
        <v>9622</v>
      </c>
      <c r="N1926" s="11">
        <v>34942</v>
      </c>
      <c r="O1926" s="11">
        <v>6867</v>
      </c>
      <c r="P1926" s="11">
        <v>2</v>
      </c>
      <c r="Q1926" s="11" t="s">
        <v>9623</v>
      </c>
      <c r="R1926" s="14" t="s">
        <v>9624</v>
      </c>
      <c r="S1926" s="11">
        <v>185</v>
      </c>
      <c r="T1926" s="11" t="s">
        <v>39</v>
      </c>
      <c r="U1926" s="11" t="s">
        <v>40</v>
      </c>
      <c r="V1926" s="11" t="s">
        <v>586</v>
      </c>
      <c r="W1926" s="11">
        <v>30000000</v>
      </c>
      <c r="X1926" s="11">
        <v>2003</v>
      </c>
      <c r="Y1926" s="11">
        <v>618</v>
      </c>
      <c r="Z1926" s="11">
        <v>5.8</v>
      </c>
      <c r="AA1926" s="11">
        <v>2.35</v>
      </c>
      <c r="AB1926" s="11">
        <v>1000</v>
      </c>
      <c r="AC1926" s="11"/>
      <c r="AD1926" s="11" t="str">
        <f>IFERROR(__xludf.DUMMYFUNCTION("""COMPUTED_VALUE"""),"Phylicia Rashad")</f>
        <v>Phylicia Rashad</v>
      </c>
      <c r="AE1926" s="11"/>
    </row>
    <row r="1927" customHeight="1" spans="1:31">
      <c r="A1927" s="12" t="s">
        <v>30</v>
      </c>
      <c r="B1927" s="12" t="s">
        <v>6621</v>
      </c>
      <c r="C1927" s="12">
        <v>174</v>
      </c>
      <c r="D1927" s="12">
        <v>114</v>
      </c>
      <c r="E1927" s="12">
        <v>335</v>
      </c>
      <c r="F1927" s="12">
        <v>530</v>
      </c>
      <c r="G1927" s="12">
        <v>11000</v>
      </c>
      <c r="H1927" s="12">
        <v>41597830</v>
      </c>
      <c r="I1927" s="12" t="s">
        <v>214</v>
      </c>
      <c r="J1927" s="12" t="s">
        <v>2377</v>
      </c>
      <c r="K1927" s="12" t="s">
        <v>2242</v>
      </c>
      <c r="L1927" s="12" t="s">
        <v>4770</v>
      </c>
      <c r="M1927" s="12" t="s">
        <v>9625</v>
      </c>
      <c r="N1927" s="12">
        <v>102123</v>
      </c>
      <c r="O1927" s="12">
        <v>12624</v>
      </c>
      <c r="P1927" s="12">
        <v>3</v>
      </c>
      <c r="Q1927" s="12" t="s">
        <v>9626</v>
      </c>
      <c r="R1927" s="15" t="s">
        <v>9627</v>
      </c>
      <c r="S1927" s="12">
        <v>660</v>
      </c>
      <c r="T1927" s="12" t="s">
        <v>39</v>
      </c>
      <c r="U1927" s="12" t="s">
        <v>40</v>
      </c>
      <c r="V1927" s="12" t="s">
        <v>41</v>
      </c>
      <c r="W1927" s="12">
        <v>25000000</v>
      </c>
      <c r="X1927" s="12">
        <v>2002</v>
      </c>
      <c r="Y1927" s="12">
        <v>577</v>
      </c>
      <c r="Z1927" s="12">
        <v>7.6</v>
      </c>
      <c r="AA1927" s="12">
        <v>1.85</v>
      </c>
      <c r="AB1927" s="12">
        <v>0</v>
      </c>
      <c r="AC1927" s="12"/>
      <c r="AD1927" s="12" t="str">
        <f>IFERROR(__xludf.DUMMYFUNCTION("""COMPUTED_VALUE"""),"Owen Burke")</f>
        <v>Owen Burke</v>
      </c>
      <c r="AE1927" s="12"/>
    </row>
    <row r="1928" customHeight="1" spans="1:31">
      <c r="A1928" s="11" t="s">
        <v>30</v>
      </c>
      <c r="B1928" s="11" t="s">
        <v>5134</v>
      </c>
      <c r="C1928" s="11">
        <v>91</v>
      </c>
      <c r="D1928" s="11">
        <v>105</v>
      </c>
      <c r="E1928" s="11">
        <v>99</v>
      </c>
      <c r="F1928" s="11">
        <v>960</v>
      </c>
      <c r="G1928" s="11">
        <v>17000</v>
      </c>
      <c r="H1928" s="11">
        <v>33687630</v>
      </c>
      <c r="I1928" s="11" t="s">
        <v>1681</v>
      </c>
      <c r="J1928" s="11" t="s">
        <v>445</v>
      </c>
      <c r="K1928" s="11" t="s">
        <v>9628</v>
      </c>
      <c r="L1928" s="11" t="s">
        <v>9629</v>
      </c>
      <c r="M1928" s="11" t="s">
        <v>9630</v>
      </c>
      <c r="N1928" s="11">
        <v>116762</v>
      </c>
      <c r="O1928" s="11">
        <v>20109</v>
      </c>
      <c r="P1928" s="11">
        <v>0</v>
      </c>
      <c r="Q1928" s="11" t="s">
        <v>9631</v>
      </c>
      <c r="R1928" s="14" t="s">
        <v>9632</v>
      </c>
      <c r="S1928" s="11">
        <v>261</v>
      </c>
      <c r="T1928" s="11" t="s">
        <v>39</v>
      </c>
      <c r="U1928" s="11" t="s">
        <v>40</v>
      </c>
      <c r="V1928" s="11" t="s">
        <v>41</v>
      </c>
      <c r="W1928" s="11">
        <v>20000000</v>
      </c>
      <c r="X1928" s="11">
        <v>2006</v>
      </c>
      <c r="Y1928" s="11">
        <v>1000</v>
      </c>
      <c r="Z1928" s="11">
        <v>6.4</v>
      </c>
      <c r="AA1928" s="11">
        <v>1.85</v>
      </c>
      <c r="AB1928" s="11">
        <v>0</v>
      </c>
      <c r="AC1928" s="11"/>
      <c r="AD1928" s="11" t="str">
        <f>IFERROR(__xludf.DUMMYFUNCTION("""COMPUTED_VALUE"""),"Anthony Simcoe")</f>
        <v>Anthony Simcoe</v>
      </c>
      <c r="AE1928" s="11"/>
    </row>
    <row r="1929" customHeight="1" spans="1:31">
      <c r="A1929" s="12" t="s">
        <v>30</v>
      </c>
      <c r="B1929" s="12" t="s">
        <v>9633</v>
      </c>
      <c r="C1929" s="12">
        <v>151</v>
      </c>
      <c r="D1929" s="12">
        <v>90</v>
      </c>
      <c r="E1929" s="12">
        <v>68</v>
      </c>
      <c r="F1929" s="12">
        <v>100</v>
      </c>
      <c r="G1929" s="12">
        <v>328</v>
      </c>
      <c r="H1929" s="12">
        <v>32553210</v>
      </c>
      <c r="I1929" s="12" t="s">
        <v>3057</v>
      </c>
      <c r="J1929" s="12" t="s">
        <v>9634</v>
      </c>
      <c r="K1929" s="12" t="s">
        <v>9635</v>
      </c>
      <c r="L1929" s="12" t="s">
        <v>9636</v>
      </c>
      <c r="M1929" s="12" t="s">
        <v>9637</v>
      </c>
      <c r="N1929" s="12">
        <v>88714</v>
      </c>
      <c r="O1929" s="12">
        <v>794</v>
      </c>
      <c r="P1929" s="12">
        <v>0</v>
      </c>
      <c r="Q1929" s="12" t="s">
        <v>9638</v>
      </c>
      <c r="R1929" s="15" t="s">
        <v>9639</v>
      </c>
      <c r="S1929" s="12">
        <v>235</v>
      </c>
      <c r="T1929" s="12" t="s">
        <v>39</v>
      </c>
      <c r="U1929" s="12" t="s">
        <v>58</v>
      </c>
      <c r="V1929" s="12" t="s">
        <v>96</v>
      </c>
      <c r="W1929" s="12">
        <v>25000000</v>
      </c>
      <c r="X1929" s="12">
        <v>2007</v>
      </c>
      <c r="Y1929" s="12">
        <v>132</v>
      </c>
      <c r="Z1929" s="12">
        <v>6.3</v>
      </c>
      <c r="AA1929" s="12">
        <v>1.85</v>
      </c>
      <c r="AB1929" s="12">
        <v>0</v>
      </c>
      <c r="AC1929" s="12"/>
      <c r="AD1929" s="12" t="str">
        <f>IFERROR(__xludf.DUMMYFUNCTION("""COMPUTED_VALUE"""),"Christopher James Baker")</f>
        <v>Christopher James Baker</v>
      </c>
      <c r="AE1929" s="12"/>
    </row>
    <row r="1930" customHeight="1" spans="1:31">
      <c r="A1930" s="11" t="s">
        <v>30</v>
      </c>
      <c r="B1930" s="11" t="s">
        <v>9640</v>
      </c>
      <c r="C1930" s="11">
        <v>94</v>
      </c>
      <c r="D1930" s="11">
        <v>97</v>
      </c>
      <c r="E1930" s="11">
        <v>27</v>
      </c>
      <c r="F1930" s="11">
        <v>522</v>
      </c>
      <c r="G1930" s="11">
        <v>601</v>
      </c>
      <c r="H1930" s="11">
        <v>31526393</v>
      </c>
      <c r="I1930" s="11" t="s">
        <v>5782</v>
      </c>
      <c r="J1930" s="11" t="s">
        <v>9641</v>
      </c>
      <c r="K1930" s="11" t="s">
        <v>9642</v>
      </c>
      <c r="L1930" s="11" t="s">
        <v>9643</v>
      </c>
      <c r="M1930" s="11" t="s">
        <v>9644</v>
      </c>
      <c r="N1930" s="11">
        <v>22243</v>
      </c>
      <c r="O1930" s="11">
        <v>2730</v>
      </c>
      <c r="P1930" s="11">
        <v>0</v>
      </c>
      <c r="Q1930" s="11" t="s">
        <v>9645</v>
      </c>
      <c r="R1930" s="14" t="s">
        <v>9646</v>
      </c>
      <c r="S1930" s="11">
        <v>144</v>
      </c>
      <c r="T1930" s="11" t="s">
        <v>39</v>
      </c>
      <c r="U1930" s="11" t="s">
        <v>40</v>
      </c>
      <c r="V1930" s="11" t="s">
        <v>41</v>
      </c>
      <c r="W1930" s="11">
        <v>25000000</v>
      </c>
      <c r="X1930" s="11">
        <v>2004</v>
      </c>
      <c r="Y1930" s="11">
        <v>543</v>
      </c>
      <c r="Z1930" s="11">
        <v>4.6</v>
      </c>
      <c r="AA1930" s="11">
        <v>2.35</v>
      </c>
      <c r="AB1930" s="11">
        <v>686</v>
      </c>
      <c r="AC1930" s="11"/>
      <c r="AD1930" s="11" t="str">
        <f>IFERROR(__xludf.DUMMYFUNCTION("""COMPUTED_VALUE"""),"Alexandra Maria Lara")</f>
        <v>Alexandra Maria Lara</v>
      </c>
      <c r="AE1930" s="11"/>
    </row>
    <row r="1931" customHeight="1" spans="1:31">
      <c r="A1931" s="12" t="s">
        <v>30</v>
      </c>
      <c r="B1931" s="12" t="s">
        <v>9647</v>
      </c>
      <c r="C1931" s="12">
        <v>91</v>
      </c>
      <c r="D1931" s="12">
        <v>144</v>
      </c>
      <c r="E1931" s="12">
        <v>0</v>
      </c>
      <c r="F1931" s="12">
        <v>745</v>
      </c>
      <c r="G1931" s="12">
        <v>15000</v>
      </c>
      <c r="H1931" s="12">
        <v>41229</v>
      </c>
      <c r="I1931" s="12" t="s">
        <v>2126</v>
      </c>
      <c r="J1931" s="12" t="s">
        <v>292</v>
      </c>
      <c r="K1931" s="12" t="s">
        <v>2665</v>
      </c>
      <c r="L1931" s="12" t="s">
        <v>1054</v>
      </c>
      <c r="M1931" s="12" t="s">
        <v>9648</v>
      </c>
      <c r="N1931" s="12">
        <v>14612</v>
      </c>
      <c r="O1931" s="12">
        <v>18442</v>
      </c>
      <c r="P1931" s="12">
        <v>6</v>
      </c>
      <c r="Q1931" s="12" t="s">
        <v>9649</v>
      </c>
      <c r="R1931" s="15" t="s">
        <v>9650</v>
      </c>
      <c r="S1931" s="12">
        <v>41</v>
      </c>
      <c r="T1931" s="12" t="s">
        <v>39</v>
      </c>
      <c r="U1931" s="12" t="s">
        <v>1466</v>
      </c>
      <c r="V1931" s="12" t="s">
        <v>586</v>
      </c>
      <c r="W1931" s="12">
        <v>25500000</v>
      </c>
      <c r="X1931" s="12">
        <v>2013</v>
      </c>
      <c r="Y1931" s="12">
        <v>960</v>
      </c>
      <c r="Z1931" s="12">
        <v>6.5</v>
      </c>
      <c r="AA1931" s="12">
        <v>2.35</v>
      </c>
      <c r="AB1931" s="12">
        <v>0</v>
      </c>
      <c r="AC1931" s="12"/>
      <c r="AD1931" s="12" t="str">
        <f>IFERROR(__xludf.DUMMYFUNCTION("""COMPUTED_VALUE"""),"Patton Oswalt")</f>
        <v>Patton Oswalt</v>
      </c>
      <c r="AE1931" s="12"/>
    </row>
    <row r="1932" customHeight="1" spans="1:31">
      <c r="A1932" s="11" t="s">
        <v>30</v>
      </c>
      <c r="B1932" s="11" t="s">
        <v>9651</v>
      </c>
      <c r="C1932" s="11">
        <v>148</v>
      </c>
      <c r="D1932" s="11">
        <v>114</v>
      </c>
      <c r="E1932" s="11">
        <v>59</v>
      </c>
      <c r="F1932" s="11">
        <v>403</v>
      </c>
      <c r="G1932" s="11">
        <v>49000</v>
      </c>
      <c r="H1932" s="11">
        <v>31655091</v>
      </c>
      <c r="I1932" s="11" t="s">
        <v>6200</v>
      </c>
      <c r="J1932" s="11" t="s">
        <v>811</v>
      </c>
      <c r="K1932" s="11" t="s">
        <v>9652</v>
      </c>
      <c r="L1932" s="11" t="s">
        <v>3719</v>
      </c>
      <c r="M1932" s="11" t="s">
        <v>9653</v>
      </c>
      <c r="N1932" s="11">
        <v>87331</v>
      </c>
      <c r="O1932" s="11">
        <v>50927</v>
      </c>
      <c r="P1932" s="11">
        <v>0</v>
      </c>
      <c r="Q1932" s="11" t="s">
        <v>9654</v>
      </c>
      <c r="R1932" s="14" t="s">
        <v>9655</v>
      </c>
      <c r="S1932" s="11">
        <v>364</v>
      </c>
      <c r="T1932" s="11" t="s">
        <v>39</v>
      </c>
      <c r="U1932" s="11" t="s">
        <v>40</v>
      </c>
      <c r="V1932" s="11" t="s">
        <v>96</v>
      </c>
      <c r="W1932" s="11">
        <v>30000000</v>
      </c>
      <c r="X1932" s="11">
        <v>2007</v>
      </c>
      <c r="Y1932" s="11">
        <v>702</v>
      </c>
      <c r="Z1932" s="11">
        <v>7.5</v>
      </c>
      <c r="AA1932" s="11">
        <v>2.35</v>
      </c>
      <c r="AB1932" s="11">
        <v>18000</v>
      </c>
      <c r="AC1932" s="11"/>
      <c r="AD1932" s="11" t="str">
        <f>IFERROR(__xludf.DUMMYFUNCTION("""COMPUTED_VALUE"""),"Neil Flynn")</f>
        <v>Neil Flynn</v>
      </c>
      <c r="AE1932" s="11"/>
    </row>
    <row r="1933" customHeight="1" spans="1:31">
      <c r="A1933" s="12" t="s">
        <v>30</v>
      </c>
      <c r="B1933" s="12" t="s">
        <v>4774</v>
      </c>
      <c r="C1933" s="12">
        <v>141</v>
      </c>
      <c r="D1933" s="12">
        <v>124</v>
      </c>
      <c r="E1933" s="12">
        <v>159</v>
      </c>
      <c r="F1933" s="12">
        <v>240</v>
      </c>
      <c r="G1933" s="12">
        <v>288</v>
      </c>
      <c r="H1933" s="12">
        <v>30012990</v>
      </c>
      <c r="I1933" s="12" t="s">
        <v>5941</v>
      </c>
      <c r="J1933" s="12" t="s">
        <v>9656</v>
      </c>
      <c r="K1933" s="12" t="s">
        <v>3133</v>
      </c>
      <c r="L1933" s="12" t="s">
        <v>9657</v>
      </c>
      <c r="M1933" s="12" t="s">
        <v>9658</v>
      </c>
      <c r="N1933" s="12">
        <v>75973</v>
      </c>
      <c r="O1933" s="12">
        <v>1006</v>
      </c>
      <c r="P1933" s="12">
        <v>1</v>
      </c>
      <c r="Q1933" s="12" t="s">
        <v>9659</v>
      </c>
      <c r="R1933" s="15" t="s">
        <v>9660</v>
      </c>
      <c r="S1933" s="12">
        <v>409</v>
      </c>
      <c r="T1933" s="12" t="s">
        <v>39</v>
      </c>
      <c r="U1933" s="12" t="s">
        <v>58</v>
      </c>
      <c r="V1933" s="12" t="s">
        <v>586</v>
      </c>
      <c r="W1933" s="12">
        <v>25000000</v>
      </c>
      <c r="X1933" s="12">
        <v>1998</v>
      </c>
      <c r="Y1933" s="12">
        <v>249</v>
      </c>
      <c r="Z1933" s="12">
        <v>7.5</v>
      </c>
      <c r="AA1933" s="12">
        <v>1.85</v>
      </c>
      <c r="AB1933" s="12">
        <v>0</v>
      </c>
      <c r="AC1933" s="12"/>
      <c r="AD1933" s="12" t="str">
        <f>IFERROR(__xludf.DUMMYFUNCTION("""COMPUTED_VALUE"""),"Jim Meskimen")</f>
        <v>Jim Meskimen</v>
      </c>
      <c r="AE1933" s="12"/>
    </row>
    <row r="1934" customHeight="1" spans="1:31">
      <c r="A1934" s="11" t="s">
        <v>30</v>
      </c>
      <c r="B1934" s="11" t="s">
        <v>7688</v>
      </c>
      <c r="C1934" s="11">
        <v>114</v>
      </c>
      <c r="D1934" s="11">
        <v>89</v>
      </c>
      <c r="E1934" s="11">
        <v>31</v>
      </c>
      <c r="F1934" s="11">
        <v>71</v>
      </c>
      <c r="G1934" s="11">
        <v>285</v>
      </c>
      <c r="H1934" s="11">
        <v>32368960</v>
      </c>
      <c r="I1934" s="11" t="s">
        <v>9661</v>
      </c>
      <c r="J1934" s="11" t="s">
        <v>9662</v>
      </c>
      <c r="K1934" s="11" t="s">
        <v>9663</v>
      </c>
      <c r="L1934" s="11" t="s">
        <v>9664</v>
      </c>
      <c r="M1934" s="11" t="s">
        <v>9665</v>
      </c>
      <c r="N1934" s="11">
        <v>39768</v>
      </c>
      <c r="O1934" s="11">
        <v>667</v>
      </c>
      <c r="P1934" s="11">
        <v>0</v>
      </c>
      <c r="Q1934" s="11" t="s">
        <v>9666</v>
      </c>
      <c r="R1934" s="14" t="s">
        <v>9667</v>
      </c>
      <c r="S1934" s="11">
        <v>292</v>
      </c>
      <c r="T1934" s="11" t="s">
        <v>39</v>
      </c>
      <c r="U1934" s="11" t="s">
        <v>269</v>
      </c>
      <c r="V1934" s="11" t="s">
        <v>586</v>
      </c>
      <c r="W1934" s="11">
        <v>25000000</v>
      </c>
      <c r="X1934" s="11">
        <v>1998</v>
      </c>
      <c r="Y1934" s="11">
        <v>81</v>
      </c>
      <c r="Z1934" s="11">
        <v>5.3</v>
      </c>
      <c r="AA1934" s="11">
        <v>1.85</v>
      </c>
      <c r="AB1934" s="11">
        <v>0</v>
      </c>
      <c r="AC1934" s="11"/>
      <c r="AD1934" s="11" t="str">
        <f>IFERROR(__xludf.DUMMYFUNCTION("""COMPUTED_VALUE"""),"Michael Roark")</f>
        <v>Michael Roark</v>
      </c>
      <c r="AE1934" s="11"/>
    </row>
    <row r="1935" customHeight="1" spans="1:31">
      <c r="A1935" s="12" t="s">
        <v>30</v>
      </c>
      <c r="B1935" s="12" t="s">
        <v>9668</v>
      </c>
      <c r="C1935" s="12">
        <v>79</v>
      </c>
      <c r="D1935" s="12">
        <v>160</v>
      </c>
      <c r="E1935" s="12">
        <v>130</v>
      </c>
      <c r="F1935" s="12">
        <v>288</v>
      </c>
      <c r="G1935" s="12">
        <v>469</v>
      </c>
      <c r="H1935" s="12">
        <v>14500000</v>
      </c>
      <c r="I1935" s="12" t="s">
        <v>1017</v>
      </c>
      <c r="J1935" s="12" t="s">
        <v>9669</v>
      </c>
      <c r="K1935" s="12" t="s">
        <v>9670</v>
      </c>
      <c r="L1935" s="12" t="s">
        <v>9671</v>
      </c>
      <c r="M1935" s="12" t="s">
        <v>9672</v>
      </c>
      <c r="N1935" s="12">
        <v>25019</v>
      </c>
      <c r="O1935" s="12">
        <v>1548</v>
      </c>
      <c r="P1935" s="12">
        <v>0</v>
      </c>
      <c r="Q1935" s="12" t="s">
        <v>9673</v>
      </c>
      <c r="R1935" s="15" t="s">
        <v>9674</v>
      </c>
      <c r="S1935" s="12">
        <v>159</v>
      </c>
      <c r="T1935" s="12" t="s">
        <v>39</v>
      </c>
      <c r="U1935" s="12" t="s">
        <v>678</v>
      </c>
      <c r="V1935" s="12" t="s">
        <v>278</v>
      </c>
      <c r="W1935" s="12">
        <v>25000000</v>
      </c>
      <c r="X1935" s="12">
        <v>1970</v>
      </c>
      <c r="Y1935" s="12">
        <v>377</v>
      </c>
      <c r="Z1935" s="12">
        <v>7.5</v>
      </c>
      <c r="AA1935" s="12">
        <v>2.35</v>
      </c>
      <c r="AB1935" s="12">
        <v>0</v>
      </c>
      <c r="AC1935" s="12"/>
      <c r="AD1935" s="12" t="str">
        <f>IFERROR(__xludf.DUMMYFUNCTION("""COMPUTED_VALUE"""),"Laura Harring")</f>
        <v>Laura Harring</v>
      </c>
      <c r="AE1935" s="12"/>
    </row>
    <row r="1936" customHeight="1" spans="1:31">
      <c r="A1936" s="11" t="s">
        <v>30</v>
      </c>
      <c r="B1936" s="11" t="s">
        <v>9675</v>
      </c>
      <c r="C1936" s="11">
        <v>33</v>
      </c>
      <c r="D1936" s="11">
        <v>93</v>
      </c>
      <c r="E1936" s="11">
        <v>14</v>
      </c>
      <c r="F1936" s="11">
        <v>199</v>
      </c>
      <c r="G1936" s="11">
        <v>1000</v>
      </c>
      <c r="H1936" s="11">
        <v>29247405</v>
      </c>
      <c r="I1936" s="11" t="s">
        <v>9676</v>
      </c>
      <c r="J1936" s="11" t="s">
        <v>688</v>
      </c>
      <c r="K1936" s="11" t="s">
        <v>9677</v>
      </c>
      <c r="L1936" s="11" t="s">
        <v>9678</v>
      </c>
      <c r="M1936" s="11" t="s">
        <v>9679</v>
      </c>
      <c r="N1936" s="11">
        <v>28377</v>
      </c>
      <c r="O1936" s="11">
        <v>2176</v>
      </c>
      <c r="P1936" s="11">
        <v>1</v>
      </c>
      <c r="Q1936" s="11" t="s">
        <v>9680</v>
      </c>
      <c r="R1936" s="14" t="s">
        <v>9681</v>
      </c>
      <c r="S1936" s="11">
        <v>261</v>
      </c>
      <c r="T1936" s="11" t="s">
        <v>39</v>
      </c>
      <c r="U1936" s="11" t="s">
        <v>58</v>
      </c>
      <c r="V1936" s="11" t="s">
        <v>96</v>
      </c>
      <c r="W1936" s="11">
        <v>25000000</v>
      </c>
      <c r="X1936" s="11">
        <v>1997</v>
      </c>
      <c r="Y1936" s="11">
        <v>401</v>
      </c>
      <c r="Z1936" s="11">
        <v>3.3</v>
      </c>
      <c r="AA1936" s="11">
        <v>1.85</v>
      </c>
      <c r="AB1936" s="11">
        <v>0</v>
      </c>
      <c r="AC1936" s="11"/>
      <c r="AD1936" s="11" t="str">
        <f>IFERROR(__xludf.DUMMYFUNCTION("""COMPUTED_VALUE"""),"Tamala Jones")</f>
        <v>Tamala Jones</v>
      </c>
      <c r="AE1936" s="11"/>
    </row>
    <row r="1937" customHeight="1" spans="1:31">
      <c r="A1937" s="12" t="s">
        <v>30</v>
      </c>
      <c r="B1937" s="12" t="s">
        <v>5419</v>
      </c>
      <c r="C1937" s="12">
        <v>146</v>
      </c>
      <c r="D1937" s="12">
        <v>87</v>
      </c>
      <c r="E1937" s="12">
        <v>234</v>
      </c>
      <c r="F1937" s="12">
        <v>370</v>
      </c>
      <c r="G1937" s="12">
        <v>904</v>
      </c>
      <c r="H1937" s="12">
        <v>30538669</v>
      </c>
      <c r="I1937" s="12" t="s">
        <v>1672</v>
      </c>
      <c r="J1937" s="12" t="s">
        <v>9682</v>
      </c>
      <c r="K1937" s="12" t="s">
        <v>9683</v>
      </c>
      <c r="L1937" s="12" t="s">
        <v>9684</v>
      </c>
      <c r="M1937" s="12" t="s">
        <v>9685</v>
      </c>
      <c r="N1937" s="12">
        <v>60202</v>
      </c>
      <c r="O1937" s="12">
        <v>3850</v>
      </c>
      <c r="P1937" s="12">
        <v>3</v>
      </c>
      <c r="Q1937" s="12" t="s">
        <v>9686</v>
      </c>
      <c r="R1937" s="15" t="s">
        <v>9687</v>
      </c>
      <c r="S1937" s="12">
        <v>114</v>
      </c>
      <c r="T1937" s="12" t="s">
        <v>39</v>
      </c>
      <c r="U1937" s="12" t="s">
        <v>40</v>
      </c>
      <c r="V1937" s="12" t="s">
        <v>586</v>
      </c>
      <c r="W1937" s="16"/>
      <c r="X1937" s="12">
        <v>2011</v>
      </c>
      <c r="Y1937" s="12">
        <v>555</v>
      </c>
      <c r="Z1937" s="12">
        <v>5.7</v>
      </c>
      <c r="AA1937" s="12">
        <v>1.85</v>
      </c>
      <c r="AB1937" s="12">
        <v>0</v>
      </c>
      <c r="AC1937" s="12"/>
      <c r="AD1937" s="12" t="str">
        <f>IFERROR(__xludf.DUMMYFUNCTION("""COMPUTED_VALUE"""),"Laura-Leigh")</f>
        <v>Laura-Leigh</v>
      </c>
      <c r="AE1937" s="12"/>
    </row>
    <row r="1938" customHeight="1" spans="1:31">
      <c r="A1938" s="11" t="s">
        <v>30</v>
      </c>
      <c r="B1938" s="11" t="s">
        <v>9688</v>
      </c>
      <c r="C1938" s="11">
        <v>83</v>
      </c>
      <c r="D1938" s="11">
        <v>88</v>
      </c>
      <c r="E1938" s="11">
        <v>82</v>
      </c>
      <c r="F1938" s="11">
        <v>571</v>
      </c>
      <c r="G1938" s="11">
        <v>756</v>
      </c>
      <c r="H1938" s="11">
        <v>25615792</v>
      </c>
      <c r="I1938" s="11" t="s">
        <v>9689</v>
      </c>
      <c r="J1938" s="11" t="s">
        <v>614</v>
      </c>
      <c r="K1938" s="11" t="s">
        <v>9690</v>
      </c>
      <c r="L1938" s="11" t="s">
        <v>2472</v>
      </c>
      <c r="M1938" s="11" t="s">
        <v>9691</v>
      </c>
      <c r="N1938" s="11">
        <v>10161</v>
      </c>
      <c r="O1938" s="11">
        <v>4378</v>
      </c>
      <c r="P1938" s="11">
        <v>0</v>
      </c>
      <c r="Q1938" s="11" t="s">
        <v>9692</v>
      </c>
      <c r="R1938" s="14" t="s">
        <v>9693</v>
      </c>
      <c r="S1938" s="11">
        <v>50</v>
      </c>
      <c r="T1938" s="11" t="s">
        <v>39</v>
      </c>
      <c r="U1938" s="11" t="s">
        <v>40</v>
      </c>
      <c r="V1938" s="11" t="s">
        <v>41</v>
      </c>
      <c r="W1938" s="11">
        <v>25000000</v>
      </c>
      <c r="X1938" s="11">
        <v>2009</v>
      </c>
      <c r="Y1938" s="11">
        <v>713</v>
      </c>
      <c r="Z1938" s="11">
        <v>3.5</v>
      </c>
      <c r="AA1938" s="11">
        <v>1.85</v>
      </c>
      <c r="AB1938" s="11">
        <v>657</v>
      </c>
      <c r="AC1938" s="11"/>
      <c r="AD1938" s="11" t="str">
        <f>IFERROR(__xludf.DUMMYFUNCTION("""COMPUTED_VALUE"""),"Molly C. Quinn")</f>
        <v>Molly C. Quinn</v>
      </c>
      <c r="AE1938" s="11"/>
    </row>
    <row r="1939" customHeight="1" spans="1:31">
      <c r="A1939" s="12" t="s">
        <v>30</v>
      </c>
      <c r="B1939" s="12" t="s">
        <v>3260</v>
      </c>
      <c r="C1939" s="12">
        <v>199</v>
      </c>
      <c r="D1939" s="12">
        <v>142</v>
      </c>
      <c r="E1939" s="12">
        <v>0</v>
      </c>
      <c r="F1939" s="12">
        <v>461</v>
      </c>
      <c r="G1939" s="12">
        <v>11000</v>
      </c>
      <c r="H1939" s="12">
        <v>28341469</v>
      </c>
      <c r="I1939" s="12" t="s">
        <v>1936</v>
      </c>
      <c r="J1939" s="12" t="s">
        <v>466</v>
      </c>
      <c r="K1939" s="12" t="s">
        <v>3262</v>
      </c>
      <c r="L1939" s="12" t="s">
        <v>1348</v>
      </c>
      <c r="M1939" s="12" t="s">
        <v>9694</v>
      </c>
      <c r="N1939" s="12">
        <v>1689764</v>
      </c>
      <c r="O1939" s="12">
        <v>13495</v>
      </c>
      <c r="P1939" s="12">
        <v>0</v>
      </c>
      <c r="Q1939" s="12" t="s">
        <v>9695</v>
      </c>
      <c r="R1939" s="15" t="s">
        <v>9696</v>
      </c>
      <c r="S1939" s="12">
        <v>4144</v>
      </c>
      <c r="T1939" s="12" t="s">
        <v>39</v>
      </c>
      <c r="U1939" s="12" t="s">
        <v>40</v>
      </c>
      <c r="V1939" s="12" t="s">
        <v>586</v>
      </c>
      <c r="W1939" s="12">
        <v>25000000</v>
      </c>
      <c r="X1939" s="12">
        <v>1994</v>
      </c>
      <c r="Y1939" s="12">
        <v>745</v>
      </c>
      <c r="Z1939" s="12">
        <v>9.3</v>
      </c>
      <c r="AA1939" s="12">
        <v>1.85</v>
      </c>
      <c r="AB1939" s="12">
        <v>108000</v>
      </c>
      <c r="AC1939" s="12"/>
      <c r="AD1939" s="12" t="str">
        <f>IFERROR(__xludf.DUMMYFUNCTION("""COMPUTED_VALUE"""),"Yuliya Snigir")</f>
        <v>Yuliya Snigir</v>
      </c>
      <c r="AE1939" s="12"/>
    </row>
    <row r="1940" customHeight="1" spans="1:31">
      <c r="A1940" s="11" t="s">
        <v>30</v>
      </c>
      <c r="B1940" s="11" t="s">
        <v>5931</v>
      </c>
      <c r="C1940" s="11">
        <v>71</v>
      </c>
      <c r="D1940" s="11">
        <v>92</v>
      </c>
      <c r="E1940" s="11">
        <v>23</v>
      </c>
      <c r="F1940" s="11">
        <v>162</v>
      </c>
      <c r="G1940" s="11">
        <v>460</v>
      </c>
      <c r="H1940" s="11">
        <v>25590119</v>
      </c>
      <c r="I1940" s="11" t="s">
        <v>9697</v>
      </c>
      <c r="J1940" s="11" t="s">
        <v>9698</v>
      </c>
      <c r="K1940" s="11" t="s">
        <v>9354</v>
      </c>
      <c r="L1940" s="11" t="s">
        <v>9699</v>
      </c>
      <c r="M1940" s="11" t="s">
        <v>9700</v>
      </c>
      <c r="N1940" s="11">
        <v>19699</v>
      </c>
      <c r="O1940" s="11">
        <v>1315</v>
      </c>
      <c r="P1940" s="11">
        <v>0</v>
      </c>
      <c r="Q1940" s="11" t="s">
        <v>9701</v>
      </c>
      <c r="R1940" s="14" t="s">
        <v>9702</v>
      </c>
      <c r="S1940" s="11">
        <v>119</v>
      </c>
      <c r="T1940" s="11" t="s">
        <v>39</v>
      </c>
      <c r="U1940" s="11" t="s">
        <v>371</v>
      </c>
      <c r="V1940" s="11" t="s">
        <v>96</v>
      </c>
      <c r="W1940" s="11">
        <v>21150000</v>
      </c>
      <c r="X1940" s="11">
        <v>2001</v>
      </c>
      <c r="Y1940" s="11">
        <v>442</v>
      </c>
      <c r="Z1940" s="11">
        <v>4.8</v>
      </c>
      <c r="AA1940" s="11">
        <v>1.85</v>
      </c>
      <c r="AB1940" s="11">
        <v>387</v>
      </c>
      <c r="AC1940" s="11"/>
      <c r="AD1940" s="11" t="str">
        <f>IFERROR(__xludf.DUMMYFUNCTION("""COMPUTED_VALUE"""),"Fedor Bondarchuk")</f>
        <v>Fedor Bondarchuk</v>
      </c>
      <c r="AE1940" s="11"/>
    </row>
    <row r="1941" customHeight="1" spans="1:31">
      <c r="A1941" s="12" t="s">
        <v>30</v>
      </c>
      <c r="B1941" s="12" t="s">
        <v>3495</v>
      </c>
      <c r="C1941" s="12">
        <v>62</v>
      </c>
      <c r="D1941" s="12">
        <v>117</v>
      </c>
      <c r="E1941" s="12">
        <v>101</v>
      </c>
      <c r="F1941" s="12">
        <v>743</v>
      </c>
      <c r="G1941" s="12">
        <v>13000</v>
      </c>
      <c r="H1941" s="12">
        <v>24944213</v>
      </c>
      <c r="I1941" s="12" t="s">
        <v>3914</v>
      </c>
      <c r="J1941" s="12" t="s">
        <v>549</v>
      </c>
      <c r="K1941" s="12" t="s">
        <v>7330</v>
      </c>
      <c r="L1941" s="12" t="s">
        <v>2839</v>
      </c>
      <c r="M1941" s="12" t="s">
        <v>9703</v>
      </c>
      <c r="N1941" s="12">
        <v>63459</v>
      </c>
      <c r="O1941" s="12">
        <v>16937</v>
      </c>
      <c r="P1941" s="12">
        <v>2</v>
      </c>
      <c r="Q1941" s="12" t="s">
        <v>9704</v>
      </c>
      <c r="R1941" s="15" t="s">
        <v>9705</v>
      </c>
      <c r="S1941" s="12">
        <v>185</v>
      </c>
      <c r="T1941" s="12" t="s">
        <v>39</v>
      </c>
      <c r="U1941" s="12" t="s">
        <v>40</v>
      </c>
      <c r="V1941" s="12" t="s">
        <v>41</v>
      </c>
      <c r="W1941" s="12">
        <v>27000000</v>
      </c>
      <c r="X1941" s="12">
        <v>1996</v>
      </c>
      <c r="Y1941" s="12">
        <v>852</v>
      </c>
      <c r="Z1941" s="12">
        <v>6.9</v>
      </c>
      <c r="AA1941" s="12">
        <v>2.35</v>
      </c>
      <c r="AB1941" s="12">
        <v>3000</v>
      </c>
      <c r="AC1941" s="12"/>
      <c r="AD1941" s="12" t="str">
        <f>IFERROR(__xludf.DUMMYFUNCTION("""COMPUTED_VALUE"""),"Aleksey Serebryakov")</f>
        <v>Aleksey Serebryakov</v>
      </c>
      <c r="AE1941" s="12"/>
    </row>
    <row r="1942" customHeight="1" spans="1:31">
      <c r="A1942" s="11" t="s">
        <v>30</v>
      </c>
      <c r="B1942" s="11" t="s">
        <v>2038</v>
      </c>
      <c r="C1942" s="11">
        <v>175</v>
      </c>
      <c r="D1942" s="11">
        <v>111</v>
      </c>
      <c r="E1942" s="11">
        <v>81</v>
      </c>
      <c r="F1942" s="11">
        <v>81</v>
      </c>
      <c r="G1942" s="11">
        <v>3000</v>
      </c>
      <c r="H1942" s="11">
        <v>33631221</v>
      </c>
      <c r="I1942" s="11" t="s">
        <v>2126</v>
      </c>
      <c r="J1942" s="11" t="s">
        <v>8012</v>
      </c>
      <c r="K1942" s="11" t="s">
        <v>9706</v>
      </c>
      <c r="L1942" s="11" t="s">
        <v>9707</v>
      </c>
      <c r="M1942" s="11" t="s">
        <v>9708</v>
      </c>
      <c r="N1942" s="11">
        <v>48559</v>
      </c>
      <c r="O1942" s="11">
        <v>3784</v>
      </c>
      <c r="P1942" s="11">
        <v>1</v>
      </c>
      <c r="Q1942" s="11" t="s">
        <v>9709</v>
      </c>
      <c r="R1942" s="14" t="s">
        <v>9710</v>
      </c>
      <c r="S1942" s="11">
        <v>145</v>
      </c>
      <c r="T1942" s="11" t="s">
        <v>39</v>
      </c>
      <c r="U1942" s="11" t="s">
        <v>40</v>
      </c>
      <c r="V1942" s="11" t="s">
        <v>586</v>
      </c>
      <c r="W1942" s="11">
        <v>25000000</v>
      </c>
      <c r="X1942" s="11">
        <v>2014</v>
      </c>
      <c r="Y1942" s="11">
        <v>571</v>
      </c>
      <c r="Z1942" s="11">
        <v>6</v>
      </c>
      <c r="AA1942" s="11">
        <v>2.35</v>
      </c>
      <c r="AB1942" s="11">
        <v>0</v>
      </c>
      <c r="AC1942" s="11"/>
      <c r="AD1942" s="11" t="str">
        <f>IFERROR(__xludf.DUMMYFUNCTION("""COMPUTED_VALUE"""),"Bernie Casey")</f>
        <v>Bernie Casey</v>
      </c>
      <c r="AE1942" s="11"/>
    </row>
    <row r="1943" customHeight="1" spans="1:31">
      <c r="A1943" s="12" t="s">
        <v>30</v>
      </c>
      <c r="B1943" s="12" t="s">
        <v>9711</v>
      </c>
      <c r="C1943" s="12">
        <v>322</v>
      </c>
      <c r="D1943" s="12">
        <v>121</v>
      </c>
      <c r="E1943" s="12">
        <v>53</v>
      </c>
      <c r="F1943" s="12">
        <v>8000</v>
      </c>
      <c r="G1943" s="12">
        <v>19000</v>
      </c>
      <c r="H1943" s="12">
        <v>37738400</v>
      </c>
      <c r="I1943" s="12" t="s">
        <v>3410</v>
      </c>
      <c r="J1943" s="12" t="s">
        <v>353</v>
      </c>
      <c r="K1943" s="12" t="s">
        <v>2377</v>
      </c>
      <c r="L1943" s="12" t="s">
        <v>1529</v>
      </c>
      <c r="M1943" s="12" t="s">
        <v>9712</v>
      </c>
      <c r="N1943" s="12">
        <v>67797</v>
      </c>
      <c r="O1943" s="12">
        <v>39690</v>
      </c>
      <c r="P1943" s="12">
        <v>3</v>
      </c>
      <c r="Q1943" s="12" t="s">
        <v>9713</v>
      </c>
      <c r="R1943" s="15" t="s">
        <v>9714</v>
      </c>
      <c r="S1943" s="12">
        <v>285</v>
      </c>
      <c r="T1943" s="12" t="s">
        <v>39</v>
      </c>
      <c r="U1943" s="12" t="s">
        <v>40</v>
      </c>
      <c r="V1943" s="12" t="s">
        <v>586</v>
      </c>
      <c r="W1943" s="12">
        <v>25000000</v>
      </c>
      <c r="X1943" s="12">
        <v>2013</v>
      </c>
      <c r="Y1943" s="12">
        <v>11000</v>
      </c>
      <c r="Z1943" s="12">
        <v>7.3</v>
      </c>
      <c r="AA1943" s="12">
        <v>2.35</v>
      </c>
      <c r="AB1943" s="12">
        <v>30000</v>
      </c>
      <c r="AC1943" s="12"/>
      <c r="AD1943" s="12" t="str">
        <f>IFERROR(__xludf.DUMMYFUNCTION("""COMPUTED_VALUE"""),"Klaus Maria Brandauer")</f>
        <v>Klaus Maria Brandauer</v>
      </c>
      <c r="AE1943" s="12"/>
    </row>
    <row r="1944" customHeight="1" spans="1:31">
      <c r="A1944" s="11" t="s">
        <v>30</v>
      </c>
      <c r="B1944" s="11" t="s">
        <v>9715</v>
      </c>
      <c r="C1944" s="11">
        <v>67</v>
      </c>
      <c r="D1944" s="11">
        <v>98</v>
      </c>
      <c r="E1944" s="11">
        <v>3</v>
      </c>
      <c r="F1944" s="11">
        <v>28</v>
      </c>
      <c r="G1944" s="11">
        <v>90</v>
      </c>
      <c r="H1944" s="11">
        <v>24381334</v>
      </c>
      <c r="I1944" s="11" t="s">
        <v>7445</v>
      </c>
      <c r="J1944" s="11" t="s">
        <v>9716</v>
      </c>
      <c r="K1944" s="11" t="s">
        <v>9717</v>
      </c>
      <c r="L1944" s="11" t="s">
        <v>9718</v>
      </c>
      <c r="M1944" s="11" t="s">
        <v>9719</v>
      </c>
      <c r="N1944" s="11">
        <v>19737</v>
      </c>
      <c r="O1944" s="11">
        <v>235</v>
      </c>
      <c r="P1944" s="11">
        <v>2</v>
      </c>
      <c r="Q1944" s="11" t="s">
        <v>9720</v>
      </c>
      <c r="R1944" s="14" t="s">
        <v>9721</v>
      </c>
      <c r="S1944" s="11">
        <v>81</v>
      </c>
      <c r="T1944" s="11" t="s">
        <v>39</v>
      </c>
      <c r="U1944" s="11" t="s">
        <v>40</v>
      </c>
      <c r="V1944" s="11" t="s">
        <v>278</v>
      </c>
      <c r="W1944" s="13"/>
      <c r="X1944" s="11">
        <v>2005</v>
      </c>
      <c r="Y1944" s="11">
        <v>89</v>
      </c>
      <c r="Z1944" s="11">
        <v>6</v>
      </c>
      <c r="AA1944" s="11">
        <v>1.85</v>
      </c>
      <c r="AB1944" s="11">
        <v>901</v>
      </c>
      <c r="AC1944" s="11"/>
      <c r="AD1944" s="11" t="str">
        <f>IFERROR(__xludf.DUMMYFUNCTION("""COMPUTED_VALUE"""),"Barbara Carrera")</f>
        <v>Barbara Carrera</v>
      </c>
      <c r="AE1944" s="11"/>
    </row>
    <row r="1945" customHeight="1" spans="1:31">
      <c r="A1945" s="12" t="s">
        <v>30</v>
      </c>
      <c r="B1945" s="12" t="s">
        <v>9722</v>
      </c>
      <c r="C1945" s="12">
        <v>112</v>
      </c>
      <c r="D1945" s="12">
        <v>107</v>
      </c>
      <c r="E1945" s="12">
        <v>13</v>
      </c>
      <c r="F1945" s="12">
        <v>165</v>
      </c>
      <c r="G1945" s="12">
        <v>618</v>
      </c>
      <c r="H1945" s="12">
        <v>21835784</v>
      </c>
      <c r="I1945" s="12" t="s">
        <v>1415</v>
      </c>
      <c r="J1945" s="12" t="s">
        <v>7264</v>
      </c>
      <c r="K1945" s="12" t="s">
        <v>9723</v>
      </c>
      <c r="L1945" s="12" t="s">
        <v>9724</v>
      </c>
      <c r="M1945" s="12" t="s">
        <v>9725</v>
      </c>
      <c r="N1945" s="12">
        <v>58297</v>
      </c>
      <c r="O1945" s="12">
        <v>1095</v>
      </c>
      <c r="P1945" s="12">
        <v>3</v>
      </c>
      <c r="Q1945" s="12" t="s">
        <v>9726</v>
      </c>
      <c r="R1945" s="15" t="s">
        <v>9727</v>
      </c>
      <c r="S1945" s="12">
        <v>161</v>
      </c>
      <c r="T1945" s="12" t="s">
        <v>39</v>
      </c>
      <c r="U1945" s="12" t="s">
        <v>40</v>
      </c>
      <c r="V1945" s="12" t="s">
        <v>41</v>
      </c>
      <c r="W1945" s="12">
        <v>30000000</v>
      </c>
      <c r="X1945" s="12">
        <v>2005</v>
      </c>
      <c r="Y1945" s="12">
        <v>172</v>
      </c>
      <c r="Z1945" s="12">
        <v>6.6</v>
      </c>
      <c r="AA1945" s="12">
        <v>1.85</v>
      </c>
      <c r="AB1945" s="12">
        <v>0</v>
      </c>
      <c r="AC1945" s="12"/>
      <c r="AD1945" s="12" t="str">
        <f>IFERROR(__xludf.DUMMYFUNCTION("""COMPUTED_VALUE"""),"Charlie McDermott")</f>
        <v>Charlie McDermott</v>
      </c>
      <c r="AE1945" s="12"/>
    </row>
    <row r="1946" customHeight="1" spans="1:31">
      <c r="A1946" s="11" t="s">
        <v>30</v>
      </c>
      <c r="B1946" s="11" t="s">
        <v>3448</v>
      </c>
      <c r="C1946" s="11">
        <v>216</v>
      </c>
      <c r="D1946" s="11">
        <v>106</v>
      </c>
      <c r="E1946" s="11">
        <v>452</v>
      </c>
      <c r="F1946" s="11">
        <v>141</v>
      </c>
      <c r="G1946" s="11">
        <v>20000</v>
      </c>
      <c r="H1946" s="11">
        <v>15785632</v>
      </c>
      <c r="I1946" s="11" t="s">
        <v>9728</v>
      </c>
      <c r="J1946" s="11" t="s">
        <v>263</v>
      </c>
      <c r="K1946" s="11" t="s">
        <v>9729</v>
      </c>
      <c r="L1946" s="11" t="s">
        <v>5993</v>
      </c>
      <c r="M1946" s="11" t="s">
        <v>9730</v>
      </c>
      <c r="N1946" s="11">
        <v>32507</v>
      </c>
      <c r="O1946" s="11">
        <v>21195</v>
      </c>
      <c r="P1946" s="11">
        <v>3</v>
      </c>
      <c r="Q1946" s="11" t="s">
        <v>9731</v>
      </c>
      <c r="R1946" s="14" t="s">
        <v>9732</v>
      </c>
      <c r="S1946" s="11">
        <v>119</v>
      </c>
      <c r="T1946" s="11" t="s">
        <v>39</v>
      </c>
      <c r="U1946" s="11" t="s">
        <v>58</v>
      </c>
      <c r="V1946" s="11" t="s">
        <v>41</v>
      </c>
      <c r="W1946" s="11">
        <v>23000000</v>
      </c>
      <c r="X1946" s="11">
        <v>2016</v>
      </c>
      <c r="Y1946" s="11">
        <v>732</v>
      </c>
      <c r="Z1946" s="11">
        <v>7.5</v>
      </c>
      <c r="AA1946" s="11">
        <v>2.35</v>
      </c>
      <c r="AB1946" s="11">
        <v>15000</v>
      </c>
      <c r="AC1946" s="11"/>
      <c r="AD1946" s="11" t="str">
        <f>IFERROR(__xludf.DUMMYFUNCTION("""COMPUTED_VALUE"""),"Collette Wolfe")</f>
        <v>Collette Wolfe</v>
      </c>
      <c r="AE1946" s="11"/>
    </row>
    <row r="1947" customHeight="1" spans="1:31">
      <c r="A1947" s="12" t="s">
        <v>30</v>
      </c>
      <c r="B1947" s="12" t="s">
        <v>5077</v>
      </c>
      <c r="C1947" s="12">
        <v>48</v>
      </c>
      <c r="D1947" s="12">
        <v>136</v>
      </c>
      <c r="E1947" s="12">
        <v>0</v>
      </c>
      <c r="F1947" s="12">
        <v>3000</v>
      </c>
      <c r="G1947" s="12">
        <v>18000</v>
      </c>
      <c r="H1947" s="12">
        <v>21554585</v>
      </c>
      <c r="I1947" s="12" t="s">
        <v>3794</v>
      </c>
      <c r="J1947" s="12" t="s">
        <v>1727</v>
      </c>
      <c r="K1947" s="12" t="s">
        <v>1973</v>
      </c>
      <c r="L1947" s="12" t="s">
        <v>984</v>
      </c>
      <c r="M1947" s="12" t="s">
        <v>9733</v>
      </c>
      <c r="N1947" s="12">
        <v>36108</v>
      </c>
      <c r="O1947" s="12">
        <v>37315</v>
      </c>
      <c r="P1947" s="12">
        <v>0</v>
      </c>
      <c r="Q1947" s="12" t="s">
        <v>9734</v>
      </c>
      <c r="R1947" s="15" t="s">
        <v>9735</v>
      </c>
      <c r="S1947" s="12">
        <v>109</v>
      </c>
      <c r="T1947" s="12" t="s">
        <v>39</v>
      </c>
      <c r="U1947" s="12" t="s">
        <v>40</v>
      </c>
      <c r="V1947" s="12" t="s">
        <v>586</v>
      </c>
      <c r="W1947" s="12">
        <v>25000000</v>
      </c>
      <c r="X1947" s="12">
        <v>1998</v>
      </c>
      <c r="Y1947" s="12">
        <v>14000</v>
      </c>
      <c r="Z1947" s="12">
        <v>6.9</v>
      </c>
      <c r="AA1947" s="12">
        <v>1.85</v>
      </c>
      <c r="AB1947" s="12">
        <v>0</v>
      </c>
      <c r="AC1947" s="12"/>
      <c r="AD1947" s="12" t="str">
        <f>IFERROR(__xludf.DUMMYFUNCTION("""COMPUTED_VALUE"""),"Taylor Blackwell")</f>
        <v>Taylor Blackwell</v>
      </c>
      <c r="AE1947" s="12"/>
    </row>
    <row r="1948" customHeight="1" spans="1:31">
      <c r="A1948" s="11" t="s">
        <v>30</v>
      </c>
      <c r="B1948" s="11" t="s">
        <v>9736</v>
      </c>
      <c r="C1948" s="11">
        <v>44</v>
      </c>
      <c r="D1948" s="11">
        <v>97</v>
      </c>
      <c r="E1948" s="11">
        <v>19</v>
      </c>
      <c r="F1948" s="11">
        <v>977</v>
      </c>
      <c r="G1948" s="11">
        <v>40000</v>
      </c>
      <c r="H1948" s="11">
        <v>22200000</v>
      </c>
      <c r="I1948" s="11" t="s">
        <v>1415</v>
      </c>
      <c r="J1948" s="11" t="s">
        <v>44</v>
      </c>
      <c r="K1948" s="11" t="s">
        <v>121</v>
      </c>
      <c r="L1948" s="11" t="s">
        <v>5621</v>
      </c>
      <c r="M1948" s="11" t="s">
        <v>9737</v>
      </c>
      <c r="N1948" s="11">
        <v>41310</v>
      </c>
      <c r="O1948" s="11">
        <v>52122</v>
      </c>
      <c r="P1948" s="11">
        <v>3</v>
      </c>
      <c r="Q1948" s="11" t="s">
        <v>9738</v>
      </c>
      <c r="R1948" s="14" t="s">
        <v>9739</v>
      </c>
      <c r="S1948" s="11">
        <v>117</v>
      </c>
      <c r="T1948" s="11" t="s">
        <v>39</v>
      </c>
      <c r="U1948" s="11" t="s">
        <v>40</v>
      </c>
      <c r="V1948" s="11" t="s">
        <v>41</v>
      </c>
      <c r="W1948" s="11">
        <v>25000000</v>
      </c>
      <c r="X1948" s="11">
        <v>1994</v>
      </c>
      <c r="Y1948" s="11">
        <v>10000</v>
      </c>
      <c r="Z1948" s="11">
        <v>6.8</v>
      </c>
      <c r="AA1948" s="11">
        <v>1.85</v>
      </c>
      <c r="AB1948" s="11">
        <v>0</v>
      </c>
      <c r="AC1948" s="11"/>
      <c r="AD1948" s="11" t="str">
        <f>IFERROR(__xludf.DUMMYFUNCTION("""COMPUTED_VALUE"""),"Reeve Carney")</f>
        <v>Reeve Carney</v>
      </c>
      <c r="AE1948" s="11"/>
    </row>
    <row r="1949" customHeight="1" spans="1:31">
      <c r="A1949" s="12" t="s">
        <v>30</v>
      </c>
      <c r="B1949" s="16"/>
      <c r="C1949" s="12">
        <v>12</v>
      </c>
      <c r="D1949" s="12">
        <v>7</v>
      </c>
      <c r="E1949" s="16"/>
      <c r="F1949" s="12">
        <v>3</v>
      </c>
      <c r="G1949" s="12">
        <v>45</v>
      </c>
      <c r="H1949" s="16"/>
      <c r="I1949" s="12" t="s">
        <v>2966</v>
      </c>
      <c r="J1949" s="12" t="s">
        <v>9740</v>
      </c>
      <c r="K1949" s="12" t="s">
        <v>9741</v>
      </c>
      <c r="L1949" s="12" t="s">
        <v>9742</v>
      </c>
      <c r="M1949" s="12" t="s">
        <v>9743</v>
      </c>
      <c r="N1949" s="12">
        <v>7968</v>
      </c>
      <c r="O1949" s="12">
        <v>55</v>
      </c>
      <c r="P1949" s="12">
        <v>0</v>
      </c>
      <c r="Q1949" s="12" t="s">
        <v>9744</v>
      </c>
      <c r="R1949" s="15" t="s">
        <v>9745</v>
      </c>
      <c r="S1949" s="12">
        <v>12</v>
      </c>
      <c r="T1949" s="12" t="s">
        <v>39</v>
      </c>
      <c r="U1949" s="12" t="s">
        <v>58</v>
      </c>
      <c r="V1949" s="12" t="s">
        <v>2750</v>
      </c>
      <c r="W1949" s="16"/>
      <c r="X1949" s="16"/>
      <c r="Y1949" s="12">
        <v>7</v>
      </c>
      <c r="Z1949" s="12">
        <v>8.3</v>
      </c>
      <c r="AA1949" s="16"/>
      <c r="AB1949" s="12">
        <v>834</v>
      </c>
      <c r="AC1949" s="12"/>
      <c r="AD1949" s="12" t="str">
        <f>IFERROR(__xludf.DUMMYFUNCTION("""COMPUTED_VALUE"""),"Colin O'Donoghue")</f>
        <v>Colin O'Donoghue</v>
      </c>
      <c r="AE1949" s="12"/>
    </row>
    <row r="1950" customHeight="1" spans="1:31">
      <c r="A1950" s="13"/>
      <c r="B1950" s="11" t="s">
        <v>7636</v>
      </c>
      <c r="C1950" s="11">
        <v>162</v>
      </c>
      <c r="D1950" s="11">
        <v>108</v>
      </c>
      <c r="E1950" s="11">
        <v>529</v>
      </c>
      <c r="F1950" s="11">
        <v>690</v>
      </c>
      <c r="G1950" s="11">
        <v>17000</v>
      </c>
      <c r="H1950" s="11">
        <v>80014842</v>
      </c>
      <c r="I1950" s="11" t="s">
        <v>5605</v>
      </c>
      <c r="J1950" s="11" t="s">
        <v>445</v>
      </c>
      <c r="K1950" s="11" t="s">
        <v>5937</v>
      </c>
      <c r="L1950" s="11" t="s">
        <v>1408</v>
      </c>
      <c r="M1950" s="11" t="s">
        <v>9746</v>
      </c>
      <c r="N1950" s="11">
        <v>104356</v>
      </c>
      <c r="O1950" s="11">
        <v>19945</v>
      </c>
      <c r="P1950" s="13"/>
      <c r="Q1950" s="11" t="s">
        <v>9747</v>
      </c>
      <c r="R1950" s="14" t="s">
        <v>9748</v>
      </c>
      <c r="S1950" s="11">
        <v>186</v>
      </c>
      <c r="T1950" s="11" t="s">
        <v>39</v>
      </c>
      <c r="U1950" s="11" t="s">
        <v>40</v>
      </c>
      <c r="V1950" s="11" t="s">
        <v>41</v>
      </c>
      <c r="W1950" s="11">
        <v>25000000</v>
      </c>
      <c r="X1950" s="11">
        <v>2010</v>
      </c>
      <c r="Y1950" s="11">
        <v>861</v>
      </c>
      <c r="Z1950" s="11">
        <v>6.3</v>
      </c>
      <c r="AA1950" s="11">
        <v>2.35</v>
      </c>
      <c r="AB1950" s="11">
        <v>14000</v>
      </c>
      <c r="AC1950" s="11"/>
      <c r="AD1950" s="11" t="str">
        <f>IFERROR(__xludf.DUMMYFUNCTION("""COMPUTED_VALUE"""),"Blair Underwood")</f>
        <v>Blair Underwood</v>
      </c>
      <c r="AE1950" s="11"/>
    </row>
    <row r="1951" customHeight="1" spans="1:31">
      <c r="A1951" s="12" t="s">
        <v>30</v>
      </c>
      <c r="B1951" s="12" t="s">
        <v>9749</v>
      </c>
      <c r="C1951" s="12">
        <v>213</v>
      </c>
      <c r="D1951" s="12">
        <v>97</v>
      </c>
      <c r="E1951" s="12">
        <v>41</v>
      </c>
      <c r="F1951" s="12">
        <v>619</v>
      </c>
      <c r="G1951" s="12">
        <v>11000</v>
      </c>
      <c r="H1951" s="12">
        <v>23527955</v>
      </c>
      <c r="I1951" s="12" t="s">
        <v>1120</v>
      </c>
      <c r="J1951" s="12" t="s">
        <v>222</v>
      </c>
      <c r="K1951" s="12" t="s">
        <v>1608</v>
      </c>
      <c r="L1951" s="12" t="s">
        <v>9750</v>
      </c>
      <c r="M1951" s="12" t="s">
        <v>9751</v>
      </c>
      <c r="N1951" s="12">
        <v>74691</v>
      </c>
      <c r="O1951" s="12">
        <v>12841</v>
      </c>
      <c r="P1951" s="12">
        <v>1</v>
      </c>
      <c r="Q1951" s="12" t="s">
        <v>9752</v>
      </c>
      <c r="R1951" s="15" t="s">
        <v>9753</v>
      </c>
      <c r="S1951" s="12">
        <v>165</v>
      </c>
      <c r="T1951" s="12" t="s">
        <v>39</v>
      </c>
      <c r="U1951" s="12" t="s">
        <v>40</v>
      </c>
      <c r="V1951" s="12" t="s">
        <v>41</v>
      </c>
      <c r="W1951" s="12">
        <v>25000000</v>
      </c>
      <c r="X1951" s="12">
        <v>2010</v>
      </c>
      <c r="Y1951" s="12">
        <v>673</v>
      </c>
      <c r="Z1951" s="12">
        <v>6.4</v>
      </c>
      <c r="AA1951" s="12">
        <v>2.35</v>
      </c>
      <c r="AB1951" s="12">
        <v>0</v>
      </c>
      <c r="AC1951" s="12"/>
      <c r="AD1951" s="12" t="str">
        <f>IFERROR(__xludf.DUMMYFUNCTION("""COMPUTED_VALUE"""),"Mason Gamble")</f>
        <v>Mason Gamble</v>
      </c>
      <c r="AE1951" s="12"/>
    </row>
    <row r="1952" customHeight="1" spans="1:31">
      <c r="A1952" s="11" t="s">
        <v>30</v>
      </c>
      <c r="B1952" s="11" t="s">
        <v>9754</v>
      </c>
      <c r="C1952" s="11">
        <v>298</v>
      </c>
      <c r="D1952" s="11">
        <v>99</v>
      </c>
      <c r="E1952" s="11">
        <v>24</v>
      </c>
      <c r="F1952" s="11">
        <v>155</v>
      </c>
      <c r="G1952" s="11">
        <v>3000</v>
      </c>
      <c r="H1952" s="11">
        <v>24042490</v>
      </c>
      <c r="I1952" s="11" t="s">
        <v>9755</v>
      </c>
      <c r="J1952" s="11" t="s">
        <v>2625</v>
      </c>
      <c r="K1952" s="11" t="s">
        <v>4321</v>
      </c>
      <c r="L1952" s="11" t="s">
        <v>9317</v>
      </c>
      <c r="M1952" s="11" t="s">
        <v>9756</v>
      </c>
      <c r="N1952" s="11">
        <v>40776</v>
      </c>
      <c r="O1952" s="11">
        <v>3744</v>
      </c>
      <c r="P1952" s="11">
        <v>1</v>
      </c>
      <c r="Q1952" s="11" t="s">
        <v>9757</v>
      </c>
      <c r="R1952" s="14" t="s">
        <v>9758</v>
      </c>
      <c r="S1952" s="11">
        <v>250</v>
      </c>
      <c r="T1952" s="11" t="s">
        <v>39</v>
      </c>
      <c r="U1952" s="11" t="s">
        <v>40</v>
      </c>
      <c r="V1952" s="11" t="s">
        <v>586</v>
      </c>
      <c r="W1952" s="11">
        <v>25000000</v>
      </c>
      <c r="X1952" s="11">
        <v>2010</v>
      </c>
      <c r="Y1952" s="11">
        <v>441</v>
      </c>
      <c r="Z1952" s="11">
        <v>5.6</v>
      </c>
      <c r="AA1952" s="11">
        <v>1.85</v>
      </c>
      <c r="AB1952" s="11">
        <v>10000</v>
      </c>
      <c r="AC1952" s="11"/>
      <c r="AD1952" s="11" t="str">
        <f>IFERROR(__xludf.DUMMYFUNCTION("""COMPUTED_VALUE"""),"Kenan Thompson")</f>
        <v>Kenan Thompson</v>
      </c>
      <c r="AE1952" s="11"/>
    </row>
    <row r="1953" customHeight="1" spans="1:31">
      <c r="A1953" s="12" t="s">
        <v>30</v>
      </c>
      <c r="B1953" s="12" t="s">
        <v>9759</v>
      </c>
      <c r="C1953" s="12">
        <v>119</v>
      </c>
      <c r="D1953" s="12">
        <v>103</v>
      </c>
      <c r="E1953" s="12">
        <v>5</v>
      </c>
      <c r="F1953" s="12">
        <v>874</v>
      </c>
      <c r="G1953" s="12">
        <v>26000</v>
      </c>
      <c r="H1953" s="12">
        <v>22466994</v>
      </c>
      <c r="I1953" s="12" t="s">
        <v>334</v>
      </c>
      <c r="J1953" s="12" t="s">
        <v>335</v>
      </c>
      <c r="K1953" s="12" t="s">
        <v>502</v>
      </c>
      <c r="L1953" s="12" t="s">
        <v>6347</v>
      </c>
      <c r="M1953" s="12" t="s">
        <v>9760</v>
      </c>
      <c r="N1953" s="12">
        <v>72673</v>
      </c>
      <c r="O1953" s="12">
        <v>33565</v>
      </c>
      <c r="P1953" s="12">
        <v>0</v>
      </c>
      <c r="Q1953" s="12" t="s">
        <v>9761</v>
      </c>
      <c r="R1953" s="15" t="s">
        <v>9762</v>
      </c>
      <c r="S1953" s="12">
        <v>166</v>
      </c>
      <c r="T1953" s="12" t="s">
        <v>39</v>
      </c>
      <c r="U1953" s="12" t="s">
        <v>40</v>
      </c>
      <c r="V1953" s="12" t="s">
        <v>586</v>
      </c>
      <c r="W1953" s="12">
        <v>25000000</v>
      </c>
      <c r="X1953" s="12">
        <v>2007</v>
      </c>
      <c r="Y1953" s="12">
        <v>5000</v>
      </c>
      <c r="Z1953" s="12">
        <v>6.3</v>
      </c>
      <c r="AA1953" s="12">
        <v>2.35</v>
      </c>
      <c r="AB1953" s="12">
        <v>0</v>
      </c>
      <c r="AC1953" s="12"/>
      <c r="AD1953" s="12" t="str">
        <f>IFERROR(__xludf.DUMMYFUNCTION("""COMPUTED_VALUE"""),"Omid Abtahi")</f>
        <v>Omid Abtahi</v>
      </c>
      <c r="AE1953" s="12"/>
    </row>
    <row r="1954" customHeight="1" spans="1:31">
      <c r="A1954" s="11" t="s">
        <v>30</v>
      </c>
      <c r="B1954" s="11" t="s">
        <v>7077</v>
      </c>
      <c r="C1954" s="11">
        <v>251</v>
      </c>
      <c r="D1954" s="11">
        <v>95</v>
      </c>
      <c r="E1954" s="11">
        <v>0</v>
      </c>
      <c r="F1954" s="11">
        <v>98</v>
      </c>
      <c r="G1954" s="11">
        <v>11000</v>
      </c>
      <c r="H1954" s="11">
        <v>17791031</v>
      </c>
      <c r="I1954" s="11" t="s">
        <v>9763</v>
      </c>
      <c r="J1954" s="11" t="s">
        <v>2180</v>
      </c>
      <c r="K1954" s="11" t="s">
        <v>2933</v>
      </c>
      <c r="L1954" s="11" t="s">
        <v>9764</v>
      </c>
      <c r="M1954" s="11" t="s">
        <v>9765</v>
      </c>
      <c r="N1954" s="11">
        <v>109855</v>
      </c>
      <c r="O1954" s="11">
        <v>11994</v>
      </c>
      <c r="P1954" s="11">
        <v>0</v>
      </c>
      <c r="Q1954" s="11" t="s">
        <v>9766</v>
      </c>
      <c r="R1954" s="14" t="s">
        <v>9767</v>
      </c>
      <c r="S1954" s="11">
        <v>888</v>
      </c>
      <c r="T1954" s="11" t="s">
        <v>39</v>
      </c>
      <c r="U1954" s="11" t="s">
        <v>40</v>
      </c>
      <c r="V1954" s="11" t="s">
        <v>586</v>
      </c>
      <c r="W1954" s="11">
        <v>25000000</v>
      </c>
      <c r="X1954" s="11">
        <v>2002</v>
      </c>
      <c r="Y1954" s="11">
        <v>876</v>
      </c>
      <c r="Z1954" s="11">
        <v>7.3</v>
      </c>
      <c r="AA1954" s="11">
        <v>2.35</v>
      </c>
      <c r="AB1954" s="11">
        <v>0</v>
      </c>
      <c r="AC1954" s="11"/>
      <c r="AD1954" s="11" t="str">
        <f>IFERROR(__xludf.DUMMYFUNCTION("""COMPUTED_VALUE"""),"Lynn Hung")</f>
        <v>Lynn Hung</v>
      </c>
      <c r="AE1954" s="11"/>
    </row>
    <row r="1955" customHeight="1" spans="1:31">
      <c r="A1955" s="12" t="s">
        <v>30</v>
      </c>
      <c r="B1955" s="12" t="s">
        <v>9768</v>
      </c>
      <c r="C1955" s="12">
        <v>92</v>
      </c>
      <c r="D1955" s="12">
        <v>93</v>
      </c>
      <c r="E1955" s="12">
        <v>17</v>
      </c>
      <c r="F1955" s="12">
        <v>360</v>
      </c>
      <c r="G1955" s="12">
        <v>13000</v>
      </c>
      <c r="H1955" s="12">
        <v>17718223</v>
      </c>
      <c r="I1955" s="12" t="s">
        <v>1672</v>
      </c>
      <c r="J1955" s="12" t="s">
        <v>1158</v>
      </c>
      <c r="K1955" s="12" t="s">
        <v>9769</v>
      </c>
      <c r="L1955" s="12" t="s">
        <v>9770</v>
      </c>
      <c r="M1955" s="12" t="s">
        <v>9771</v>
      </c>
      <c r="N1955" s="12">
        <v>162067</v>
      </c>
      <c r="O1955" s="12">
        <v>14180</v>
      </c>
      <c r="P1955" s="12">
        <v>5</v>
      </c>
      <c r="Q1955" s="12" t="s">
        <v>9772</v>
      </c>
      <c r="R1955" s="15" t="s">
        <v>9773</v>
      </c>
      <c r="S1955" s="12">
        <v>316</v>
      </c>
      <c r="T1955" s="12" t="s">
        <v>39</v>
      </c>
      <c r="U1955" s="12" t="s">
        <v>40</v>
      </c>
      <c r="V1955" s="12" t="s">
        <v>586</v>
      </c>
      <c r="W1955" s="12">
        <v>25000000</v>
      </c>
      <c r="X1955" s="12">
        <v>2004</v>
      </c>
      <c r="Y1955" s="12">
        <v>634</v>
      </c>
      <c r="Z1955" s="12">
        <v>6.6</v>
      </c>
      <c r="AA1955" s="12">
        <v>1.85</v>
      </c>
      <c r="AB1955" s="12">
        <v>0</v>
      </c>
      <c r="AC1955" s="12"/>
      <c r="AD1955" s="12" t="str">
        <f>IFERROR(__xludf.DUMMYFUNCTION("""COMPUTED_VALUE"""),"Kwok-Kwan Chan")</f>
        <v>Kwok-Kwan Chan</v>
      </c>
      <c r="AE1955" s="12"/>
    </row>
    <row r="1956" customHeight="1" spans="1:31">
      <c r="A1956" s="11" t="s">
        <v>30</v>
      </c>
      <c r="B1956" s="11" t="s">
        <v>9774</v>
      </c>
      <c r="C1956" s="11">
        <v>58</v>
      </c>
      <c r="D1956" s="11">
        <v>98</v>
      </c>
      <c r="E1956" s="11">
        <v>70</v>
      </c>
      <c r="F1956" s="11">
        <v>223</v>
      </c>
      <c r="G1956" s="11">
        <v>462</v>
      </c>
      <c r="H1956" s="11">
        <v>15361537</v>
      </c>
      <c r="I1956" s="11" t="s">
        <v>334</v>
      </c>
      <c r="J1956" s="11" t="s">
        <v>9775</v>
      </c>
      <c r="K1956" s="11" t="s">
        <v>9776</v>
      </c>
      <c r="L1956" s="11" t="s">
        <v>9777</v>
      </c>
      <c r="M1956" s="11" t="s">
        <v>9778</v>
      </c>
      <c r="N1956" s="11">
        <v>12263</v>
      </c>
      <c r="O1956" s="11">
        <v>1855</v>
      </c>
      <c r="P1956" s="11">
        <v>0</v>
      </c>
      <c r="Q1956" s="11" t="s">
        <v>9779</v>
      </c>
      <c r="R1956" s="14" t="s">
        <v>9780</v>
      </c>
      <c r="S1956" s="11">
        <v>132</v>
      </c>
      <c r="T1956" s="11" t="s">
        <v>39</v>
      </c>
      <c r="U1956" s="11" t="s">
        <v>768</v>
      </c>
      <c r="V1956" s="11" t="s">
        <v>41</v>
      </c>
      <c r="W1956" s="11">
        <v>13000000</v>
      </c>
      <c r="X1956" s="11">
        <v>2002</v>
      </c>
      <c r="Y1956" s="11">
        <v>444</v>
      </c>
      <c r="Z1956" s="11">
        <v>4.6</v>
      </c>
      <c r="AA1956" s="11">
        <v>1.85</v>
      </c>
      <c r="AB1956" s="11">
        <v>564</v>
      </c>
      <c r="AC1956" s="11"/>
      <c r="AD1956" s="11" t="str">
        <f>IFERROR(__xludf.DUMMYFUNCTION("""COMPUTED_VALUE"""),"William Hootkins")</f>
        <v>William Hootkins</v>
      </c>
      <c r="AE1956" s="11"/>
    </row>
    <row r="1957" customHeight="1" spans="1:31">
      <c r="A1957" s="12" t="s">
        <v>30</v>
      </c>
      <c r="B1957" s="12" t="s">
        <v>970</v>
      </c>
      <c r="C1957" s="12">
        <v>73</v>
      </c>
      <c r="D1957" s="12">
        <v>90</v>
      </c>
      <c r="E1957" s="12">
        <v>176</v>
      </c>
      <c r="F1957" s="12">
        <v>825</v>
      </c>
      <c r="G1957" s="12">
        <v>931</v>
      </c>
      <c r="H1957" s="12">
        <v>16647384</v>
      </c>
      <c r="I1957" s="12" t="s">
        <v>9781</v>
      </c>
      <c r="J1957" s="12" t="s">
        <v>9782</v>
      </c>
      <c r="K1957" s="12" t="s">
        <v>4496</v>
      </c>
      <c r="L1957" s="12" t="s">
        <v>296</v>
      </c>
      <c r="M1957" s="12" t="s">
        <v>9783</v>
      </c>
      <c r="N1957" s="12">
        <v>8398</v>
      </c>
      <c r="O1957" s="12">
        <v>4431</v>
      </c>
      <c r="P1957" s="12">
        <v>1</v>
      </c>
      <c r="Q1957" s="12" t="s">
        <v>9784</v>
      </c>
      <c r="R1957" s="15" t="s">
        <v>9785</v>
      </c>
      <c r="S1957" s="12">
        <v>56</v>
      </c>
      <c r="T1957" s="12" t="s">
        <v>39</v>
      </c>
      <c r="U1957" s="12" t="s">
        <v>40</v>
      </c>
      <c r="V1957" s="12" t="s">
        <v>96</v>
      </c>
      <c r="W1957" s="12">
        <v>26000000</v>
      </c>
      <c r="X1957" s="12">
        <v>2006</v>
      </c>
      <c r="Y1957" s="12">
        <v>839</v>
      </c>
      <c r="Z1957" s="12">
        <v>5.1</v>
      </c>
      <c r="AA1957" s="12">
        <v>2.35</v>
      </c>
      <c r="AB1957" s="12">
        <v>498</v>
      </c>
      <c r="AC1957" s="12"/>
      <c r="AD1957" s="12" t="str">
        <f>IFERROR(__xludf.DUMMYFUNCTION("""COMPUTED_VALUE"""),"Lily Cole")</f>
        <v>Lily Cole</v>
      </c>
      <c r="AE1957" s="12"/>
    </row>
    <row r="1958" customHeight="1" spans="1:31">
      <c r="A1958" s="11" t="s">
        <v>30</v>
      </c>
      <c r="B1958" s="11" t="s">
        <v>9786</v>
      </c>
      <c r="C1958" s="11">
        <v>28</v>
      </c>
      <c r="D1958" s="11">
        <v>107</v>
      </c>
      <c r="E1958" s="11">
        <v>21</v>
      </c>
      <c r="F1958" s="11">
        <v>418</v>
      </c>
      <c r="G1958" s="11">
        <v>967</v>
      </c>
      <c r="H1958" s="11">
        <v>16118077</v>
      </c>
      <c r="I1958" s="11" t="s">
        <v>3410</v>
      </c>
      <c r="J1958" s="11" t="s">
        <v>4196</v>
      </c>
      <c r="K1958" s="11" t="s">
        <v>5253</v>
      </c>
      <c r="L1958" s="11" t="s">
        <v>5679</v>
      </c>
      <c r="M1958" s="11" t="s">
        <v>9787</v>
      </c>
      <c r="N1958" s="11">
        <v>5817</v>
      </c>
      <c r="O1958" s="11">
        <v>3067</v>
      </c>
      <c r="P1958" s="11">
        <v>0</v>
      </c>
      <c r="Q1958" s="11" t="s">
        <v>9788</v>
      </c>
      <c r="R1958" s="14" t="s">
        <v>9789</v>
      </c>
      <c r="S1958" s="11">
        <v>37</v>
      </c>
      <c r="T1958" s="11" t="s">
        <v>39</v>
      </c>
      <c r="U1958" s="11" t="s">
        <v>40</v>
      </c>
      <c r="V1958" s="11" t="s">
        <v>586</v>
      </c>
      <c r="W1958" s="11">
        <v>25000000</v>
      </c>
      <c r="X1958" s="11">
        <v>1988</v>
      </c>
      <c r="Y1958" s="11">
        <v>767</v>
      </c>
      <c r="Z1958" s="11">
        <v>5.6</v>
      </c>
      <c r="AA1958" s="11">
        <v>1.85</v>
      </c>
      <c r="AB1958" s="11">
        <v>377</v>
      </c>
      <c r="AC1958" s="11"/>
      <c r="AD1958" s="11" t="str">
        <f>IFERROR(__xludf.DUMMYFUNCTION("""COMPUTED_VALUE"""),"Catherine Dyer")</f>
        <v>Catherine Dyer</v>
      </c>
      <c r="AE1958" s="11"/>
    </row>
    <row r="1959" customHeight="1" spans="1:31">
      <c r="A1959" s="12" t="s">
        <v>30</v>
      </c>
      <c r="B1959" s="12" t="s">
        <v>9790</v>
      </c>
      <c r="C1959" s="12">
        <v>19</v>
      </c>
      <c r="D1959" s="12">
        <v>90</v>
      </c>
      <c r="E1959" s="12">
        <v>48</v>
      </c>
      <c r="F1959" s="12">
        <v>376</v>
      </c>
      <c r="G1959" s="12">
        <v>940</v>
      </c>
      <c r="H1959" s="12">
        <v>15091542</v>
      </c>
      <c r="I1959" s="12" t="s">
        <v>9791</v>
      </c>
      <c r="J1959" s="12" t="s">
        <v>3261</v>
      </c>
      <c r="K1959" s="12" t="s">
        <v>1823</v>
      </c>
      <c r="L1959" s="12" t="s">
        <v>9792</v>
      </c>
      <c r="M1959" s="12" t="s">
        <v>9793</v>
      </c>
      <c r="N1959" s="12">
        <v>4086</v>
      </c>
      <c r="O1959" s="12">
        <v>2465</v>
      </c>
      <c r="P1959" s="12">
        <v>2</v>
      </c>
      <c r="Q1959" s="12" t="s">
        <v>9794</v>
      </c>
      <c r="R1959" s="15" t="s">
        <v>9795</v>
      </c>
      <c r="S1959" s="12">
        <v>22</v>
      </c>
      <c r="T1959" s="12" t="s">
        <v>9796</v>
      </c>
      <c r="U1959" s="12" t="s">
        <v>58</v>
      </c>
      <c r="V1959" s="12" t="s">
        <v>278</v>
      </c>
      <c r="W1959" s="12">
        <v>25000000</v>
      </c>
      <c r="X1959" s="12">
        <v>1996</v>
      </c>
      <c r="Y1959" s="12">
        <v>595</v>
      </c>
      <c r="Z1959" s="12">
        <v>5.3</v>
      </c>
      <c r="AA1959" s="12">
        <v>2.35</v>
      </c>
      <c r="AB1959" s="12">
        <v>246</v>
      </c>
      <c r="AC1959" s="12"/>
      <c r="AD1959" s="12" t="str">
        <f>IFERROR(__xludf.DUMMYFUNCTION("""COMPUTED_VALUE"""),"Quinton Aaron")</f>
        <v>Quinton Aaron</v>
      </c>
      <c r="AE1959" s="12"/>
    </row>
    <row r="1960" customHeight="1" spans="1:31">
      <c r="A1960" s="11" t="s">
        <v>30</v>
      </c>
      <c r="B1960" s="11" t="s">
        <v>9797</v>
      </c>
      <c r="C1960" s="11">
        <v>86</v>
      </c>
      <c r="D1960" s="11">
        <v>120</v>
      </c>
      <c r="E1960" s="11">
        <v>0</v>
      </c>
      <c r="F1960" s="11">
        <v>58</v>
      </c>
      <c r="G1960" s="11">
        <v>577</v>
      </c>
      <c r="H1960" s="11">
        <v>15331289</v>
      </c>
      <c r="I1960" s="11" t="s">
        <v>2298</v>
      </c>
      <c r="J1960" s="11" t="s">
        <v>2242</v>
      </c>
      <c r="K1960" s="11" t="s">
        <v>9798</v>
      </c>
      <c r="L1960" s="11" t="s">
        <v>9799</v>
      </c>
      <c r="M1960" s="11" t="s">
        <v>9800</v>
      </c>
      <c r="N1960" s="11">
        <v>22289</v>
      </c>
      <c r="O1960" s="11">
        <v>1217</v>
      </c>
      <c r="P1960" s="11">
        <v>1</v>
      </c>
      <c r="Q1960" s="11" t="s">
        <v>9801</v>
      </c>
      <c r="R1960" s="14" t="s">
        <v>9802</v>
      </c>
      <c r="S1960" s="11">
        <v>106</v>
      </c>
      <c r="T1960" s="11" t="s">
        <v>39</v>
      </c>
      <c r="U1960" s="11" t="s">
        <v>40</v>
      </c>
      <c r="V1960" s="11" t="s">
        <v>96</v>
      </c>
      <c r="W1960" s="13"/>
      <c r="X1960" s="11">
        <v>2005</v>
      </c>
      <c r="Y1960" s="11">
        <v>464</v>
      </c>
      <c r="Z1960" s="11">
        <v>7.5</v>
      </c>
      <c r="AA1960" s="11">
        <v>1.85</v>
      </c>
      <c r="AB1960" s="11">
        <v>0</v>
      </c>
      <c r="AC1960" s="11"/>
      <c r="AD1960" s="11" t="str">
        <f>IFERROR(__xludf.DUMMYFUNCTION("""COMPUTED_VALUE"""),"Jon Foo")</f>
        <v>Jon Foo</v>
      </c>
      <c r="AE1960" s="11"/>
    </row>
    <row r="1961" customHeight="1" spans="1:31">
      <c r="A1961" s="12" t="s">
        <v>30</v>
      </c>
      <c r="B1961" s="12" t="s">
        <v>9803</v>
      </c>
      <c r="C1961" s="12">
        <v>287</v>
      </c>
      <c r="D1961" s="12">
        <v>115</v>
      </c>
      <c r="E1961" s="12">
        <v>219</v>
      </c>
      <c r="F1961" s="12">
        <v>258</v>
      </c>
      <c r="G1961" s="12">
        <v>902</v>
      </c>
      <c r="H1961" s="12">
        <v>15045676</v>
      </c>
      <c r="I1961" s="12" t="s">
        <v>3353</v>
      </c>
      <c r="J1961" s="12" t="s">
        <v>122</v>
      </c>
      <c r="K1961" s="12" t="s">
        <v>9804</v>
      </c>
      <c r="L1961" s="12" t="s">
        <v>1068</v>
      </c>
      <c r="M1961" s="12" t="s">
        <v>9805</v>
      </c>
      <c r="N1961" s="12">
        <v>76303</v>
      </c>
      <c r="O1961" s="12">
        <v>2466</v>
      </c>
      <c r="P1961" s="12">
        <v>1</v>
      </c>
      <c r="Q1961" s="12" t="s">
        <v>9806</v>
      </c>
      <c r="R1961" s="15" t="s">
        <v>9807</v>
      </c>
      <c r="S1961" s="12">
        <v>376</v>
      </c>
      <c r="T1961" s="12" t="s">
        <v>39</v>
      </c>
      <c r="U1961" s="12" t="s">
        <v>40</v>
      </c>
      <c r="V1961" s="12" t="s">
        <v>41</v>
      </c>
      <c r="W1961" s="12">
        <v>16000000</v>
      </c>
      <c r="X1961" s="12">
        <v>2009</v>
      </c>
      <c r="Y1961" s="12">
        <v>837</v>
      </c>
      <c r="Z1961" s="12">
        <v>5.6</v>
      </c>
      <c r="AA1961" s="12">
        <v>2.35</v>
      </c>
      <c r="AB1961" s="12">
        <v>0</v>
      </c>
      <c r="AC1961" s="12"/>
      <c r="AD1961" s="12" t="str">
        <f>IFERROR(__xludf.DUMMYFUNCTION("""COMPUTED_VALUE"""),"Aimee Garcia")</f>
        <v>Aimee Garcia</v>
      </c>
      <c r="AE1961" s="12"/>
    </row>
    <row r="1962" customHeight="1" spans="1:31">
      <c r="A1962" s="11" t="s">
        <v>30</v>
      </c>
      <c r="B1962" s="11" t="s">
        <v>9808</v>
      </c>
      <c r="C1962" s="11">
        <v>233</v>
      </c>
      <c r="D1962" s="11">
        <v>93</v>
      </c>
      <c r="E1962" s="11">
        <v>27</v>
      </c>
      <c r="F1962" s="11">
        <v>49</v>
      </c>
      <c r="G1962" s="11">
        <v>960</v>
      </c>
      <c r="H1962" s="11">
        <v>17427926</v>
      </c>
      <c r="I1962" s="11" t="s">
        <v>6403</v>
      </c>
      <c r="J1962" s="11" t="s">
        <v>9629</v>
      </c>
      <c r="K1962" s="11" t="s">
        <v>9809</v>
      </c>
      <c r="L1962" s="11" t="s">
        <v>9810</v>
      </c>
      <c r="M1962" s="11" t="s">
        <v>9811</v>
      </c>
      <c r="N1962" s="11">
        <v>60062</v>
      </c>
      <c r="O1962" s="11">
        <v>1749</v>
      </c>
      <c r="P1962" s="11">
        <v>0</v>
      </c>
      <c r="Q1962" s="11" t="s">
        <v>9812</v>
      </c>
      <c r="R1962" s="14" t="s">
        <v>9813</v>
      </c>
      <c r="S1962" s="11">
        <v>351</v>
      </c>
      <c r="T1962" s="11" t="s">
        <v>39</v>
      </c>
      <c r="U1962" s="11" t="s">
        <v>40</v>
      </c>
      <c r="V1962" s="11" t="s">
        <v>586</v>
      </c>
      <c r="W1962" s="11">
        <v>8000000</v>
      </c>
      <c r="X1962" s="11">
        <v>2008</v>
      </c>
      <c r="Y1962" s="11">
        <v>664</v>
      </c>
      <c r="Z1962" s="11">
        <v>5.9</v>
      </c>
      <c r="AA1962" s="11">
        <v>2.35</v>
      </c>
      <c r="AB1962" s="11">
        <v>0</v>
      </c>
      <c r="AC1962" s="11"/>
      <c r="AD1962" s="11" t="str">
        <f>IFERROR(__xludf.DUMMYFUNCTION("""COMPUTED_VALUE"""),"Reginald Ballard")</f>
        <v>Reginald Ballard</v>
      </c>
      <c r="AE1962" s="11"/>
    </row>
    <row r="1963" customHeight="1" spans="1:31">
      <c r="A1963" s="12" t="s">
        <v>30</v>
      </c>
      <c r="B1963" s="12" t="s">
        <v>9814</v>
      </c>
      <c r="C1963" s="12">
        <v>86</v>
      </c>
      <c r="D1963" s="12">
        <v>99</v>
      </c>
      <c r="E1963" s="12">
        <v>154</v>
      </c>
      <c r="F1963" s="12">
        <v>347</v>
      </c>
      <c r="G1963" s="12">
        <v>774</v>
      </c>
      <c r="H1963" s="12">
        <v>14983572</v>
      </c>
      <c r="I1963" s="12" t="s">
        <v>1415</v>
      </c>
      <c r="J1963" s="12" t="s">
        <v>3422</v>
      </c>
      <c r="K1963" s="12" t="s">
        <v>725</v>
      </c>
      <c r="L1963" s="12" t="s">
        <v>7944</v>
      </c>
      <c r="M1963" s="12" t="s">
        <v>9815</v>
      </c>
      <c r="N1963" s="12">
        <v>9361</v>
      </c>
      <c r="O1963" s="12">
        <v>2498</v>
      </c>
      <c r="P1963" s="12">
        <v>1</v>
      </c>
      <c r="Q1963" s="12" t="s">
        <v>9816</v>
      </c>
      <c r="R1963" s="15" t="s">
        <v>9817</v>
      </c>
      <c r="S1963" s="12">
        <v>162</v>
      </c>
      <c r="T1963" s="12" t="s">
        <v>39</v>
      </c>
      <c r="U1963" s="12" t="s">
        <v>40</v>
      </c>
      <c r="V1963" s="12" t="s">
        <v>41</v>
      </c>
      <c r="W1963" s="12">
        <v>25000000</v>
      </c>
      <c r="X1963" s="12">
        <v>2000</v>
      </c>
      <c r="Y1963" s="12">
        <v>692</v>
      </c>
      <c r="Z1963" s="12">
        <v>4.7</v>
      </c>
      <c r="AA1963" s="12">
        <v>1.85</v>
      </c>
      <c r="AB1963" s="12">
        <v>378</v>
      </c>
      <c r="AC1963" s="12"/>
      <c r="AD1963" s="12" t="str">
        <f>IFERROR(__xludf.DUMMYFUNCTION("""COMPUTED_VALUE"""),"Bruce Green")</f>
        <v>Bruce Green</v>
      </c>
      <c r="AE1963" s="12"/>
    </row>
    <row r="1964" customHeight="1" spans="1:31">
      <c r="A1964" s="11" t="s">
        <v>30</v>
      </c>
      <c r="B1964" s="11" t="s">
        <v>6309</v>
      </c>
      <c r="C1964" s="11">
        <v>160</v>
      </c>
      <c r="D1964" s="11">
        <v>107</v>
      </c>
      <c r="E1964" s="11">
        <v>0</v>
      </c>
      <c r="F1964" s="11">
        <v>255</v>
      </c>
      <c r="G1964" s="11">
        <v>798</v>
      </c>
      <c r="H1964" s="11">
        <v>14637490</v>
      </c>
      <c r="I1964" s="11" t="s">
        <v>3030</v>
      </c>
      <c r="J1964" s="11" t="s">
        <v>1699</v>
      </c>
      <c r="K1964" s="11" t="s">
        <v>9818</v>
      </c>
      <c r="L1964" s="11" t="s">
        <v>9819</v>
      </c>
      <c r="M1964" s="11" t="s">
        <v>9820</v>
      </c>
      <c r="N1964" s="11">
        <v>16411</v>
      </c>
      <c r="O1964" s="11">
        <v>2537</v>
      </c>
      <c r="P1964" s="11">
        <v>2</v>
      </c>
      <c r="Q1964" s="11" t="s">
        <v>9821</v>
      </c>
      <c r="R1964" s="14" t="s">
        <v>9822</v>
      </c>
      <c r="S1964" s="11">
        <v>136</v>
      </c>
      <c r="T1964" s="11" t="s">
        <v>39</v>
      </c>
      <c r="U1964" s="11" t="s">
        <v>40</v>
      </c>
      <c r="V1964" s="11" t="s">
        <v>586</v>
      </c>
      <c r="W1964" s="11">
        <v>25000000</v>
      </c>
      <c r="X1964" s="11">
        <v>2010</v>
      </c>
      <c r="Y1964" s="11">
        <v>374</v>
      </c>
      <c r="Z1964" s="11">
        <v>4.8</v>
      </c>
      <c r="AA1964" s="11">
        <v>2.35</v>
      </c>
      <c r="AB1964" s="11">
        <v>0</v>
      </c>
      <c r="AC1964" s="11"/>
      <c r="AD1964" s="11" t="str">
        <f>IFERROR(__xludf.DUMMYFUNCTION("""COMPUTED_VALUE"""),"Rebecca Mader")</f>
        <v>Rebecca Mader</v>
      </c>
      <c r="AE1964" s="11"/>
    </row>
    <row r="1965" customHeight="1" spans="1:31">
      <c r="A1965" s="12" t="s">
        <v>30</v>
      </c>
      <c r="B1965" s="12" t="s">
        <v>7428</v>
      </c>
      <c r="C1965" s="12">
        <v>126</v>
      </c>
      <c r="D1965" s="12">
        <v>110</v>
      </c>
      <c r="E1965" s="12">
        <v>42</v>
      </c>
      <c r="F1965" s="12">
        <v>111</v>
      </c>
      <c r="G1965" s="12">
        <v>355</v>
      </c>
      <c r="H1965" s="12">
        <v>14589444</v>
      </c>
      <c r="I1965" s="12" t="s">
        <v>1415</v>
      </c>
      <c r="J1965" s="12" t="s">
        <v>9823</v>
      </c>
      <c r="K1965" s="12" t="s">
        <v>9824</v>
      </c>
      <c r="L1965" s="12" t="s">
        <v>9825</v>
      </c>
      <c r="M1965" s="12" t="s">
        <v>9826</v>
      </c>
      <c r="N1965" s="12">
        <v>171151</v>
      </c>
      <c r="O1965" s="12">
        <v>911</v>
      </c>
      <c r="P1965" s="12">
        <v>2</v>
      </c>
      <c r="Q1965" s="12" t="s">
        <v>9827</v>
      </c>
      <c r="R1965" s="15" t="s">
        <v>9828</v>
      </c>
      <c r="S1965" s="12">
        <v>513</v>
      </c>
      <c r="T1965" s="12" t="s">
        <v>39</v>
      </c>
      <c r="U1965" s="12" t="s">
        <v>40</v>
      </c>
      <c r="V1965" s="12" t="s">
        <v>586</v>
      </c>
      <c r="W1965" s="12">
        <v>25000000</v>
      </c>
      <c r="X1965" s="12">
        <v>2004</v>
      </c>
      <c r="Y1965" s="12">
        <v>155</v>
      </c>
      <c r="Z1965" s="12">
        <v>6.8</v>
      </c>
      <c r="AA1965" s="12">
        <v>1.85</v>
      </c>
      <c r="AB1965" s="12">
        <v>0</v>
      </c>
      <c r="AC1965" s="12"/>
      <c r="AD1965" s="12" t="str">
        <f>IFERROR(__xludf.DUMMYFUNCTION("""COMPUTED_VALUE"""),"Nichelle Nichols")</f>
        <v>Nichelle Nichols</v>
      </c>
      <c r="AE1965" s="12"/>
    </row>
    <row r="1966" customHeight="1" spans="1:31">
      <c r="A1966" s="11" t="s">
        <v>30</v>
      </c>
      <c r="B1966" s="11" t="s">
        <v>9829</v>
      </c>
      <c r="C1966" s="11">
        <v>50</v>
      </c>
      <c r="D1966" s="11">
        <v>101</v>
      </c>
      <c r="E1966" s="11">
        <v>17</v>
      </c>
      <c r="F1966" s="11">
        <v>218</v>
      </c>
      <c r="G1966" s="11">
        <v>900</v>
      </c>
      <c r="H1966" s="11">
        <v>14095303</v>
      </c>
      <c r="I1966" s="11" t="s">
        <v>2689</v>
      </c>
      <c r="J1966" s="11" t="s">
        <v>7324</v>
      </c>
      <c r="K1966" s="11" t="s">
        <v>9830</v>
      </c>
      <c r="L1966" s="11" t="s">
        <v>9831</v>
      </c>
      <c r="M1966" s="11" t="s">
        <v>9832</v>
      </c>
      <c r="N1966" s="11">
        <v>15814</v>
      </c>
      <c r="O1966" s="11">
        <v>1634</v>
      </c>
      <c r="P1966" s="11">
        <v>1</v>
      </c>
      <c r="Q1966" s="11" t="s">
        <v>9833</v>
      </c>
      <c r="R1966" s="14" t="s">
        <v>9834</v>
      </c>
      <c r="S1966" s="11">
        <v>68</v>
      </c>
      <c r="T1966" s="11" t="s">
        <v>39</v>
      </c>
      <c r="U1966" s="11" t="s">
        <v>40</v>
      </c>
      <c r="V1966" s="11" t="s">
        <v>586</v>
      </c>
      <c r="W1966" s="11">
        <v>25000000</v>
      </c>
      <c r="X1966" s="11">
        <v>1996</v>
      </c>
      <c r="Y1966" s="11">
        <v>246</v>
      </c>
      <c r="Z1966" s="11">
        <v>5.4</v>
      </c>
      <c r="AA1966" s="11">
        <v>2.35</v>
      </c>
      <c r="AB1966" s="11">
        <v>503</v>
      </c>
      <c r="AC1966" s="11"/>
      <c r="AD1966" s="11" t="str">
        <f>IFERROR(__xludf.DUMMYFUNCTION("""COMPUTED_VALUE"""),"Walter Koenig")</f>
        <v>Walter Koenig</v>
      </c>
      <c r="AE1966" s="11"/>
    </row>
    <row r="1967" customHeight="1" spans="1:31">
      <c r="A1967" s="12" t="s">
        <v>30</v>
      </c>
      <c r="B1967" s="12" t="s">
        <v>9835</v>
      </c>
      <c r="C1967" s="12">
        <v>52</v>
      </c>
      <c r="D1967" s="12">
        <v>85</v>
      </c>
      <c r="E1967" s="12">
        <v>54</v>
      </c>
      <c r="F1967" s="12">
        <v>455</v>
      </c>
      <c r="G1967" s="12">
        <v>985</v>
      </c>
      <c r="H1967" s="12">
        <v>13973532</v>
      </c>
      <c r="I1967" s="12" t="s">
        <v>1009</v>
      </c>
      <c r="J1967" s="12" t="s">
        <v>9054</v>
      </c>
      <c r="K1967" s="12" t="s">
        <v>3180</v>
      </c>
      <c r="L1967" s="12" t="s">
        <v>4528</v>
      </c>
      <c r="M1967" s="12" t="s">
        <v>9836</v>
      </c>
      <c r="N1967" s="12">
        <v>11211</v>
      </c>
      <c r="O1967" s="12">
        <v>3065</v>
      </c>
      <c r="P1967" s="12">
        <v>1</v>
      </c>
      <c r="Q1967" s="12" t="s">
        <v>9837</v>
      </c>
      <c r="R1967" s="15" t="s">
        <v>9838</v>
      </c>
      <c r="S1967" s="12">
        <v>92</v>
      </c>
      <c r="T1967" s="12" t="s">
        <v>39</v>
      </c>
      <c r="U1967" s="12" t="s">
        <v>40</v>
      </c>
      <c r="V1967" s="12" t="s">
        <v>41</v>
      </c>
      <c r="W1967" s="12">
        <v>25000000</v>
      </c>
      <c r="X1967" s="12">
        <v>2002</v>
      </c>
      <c r="Y1967" s="12">
        <v>637</v>
      </c>
      <c r="Z1967" s="12">
        <v>5.1</v>
      </c>
      <c r="AA1967" s="12">
        <v>1.85</v>
      </c>
      <c r="AB1967" s="12">
        <v>215</v>
      </c>
      <c r="AC1967" s="12"/>
      <c r="AD1967" s="12" t="str">
        <f>IFERROR(__xludf.DUMMYFUNCTION("""COMPUTED_VALUE"""),"Robert Mitchum")</f>
        <v>Robert Mitchum</v>
      </c>
      <c r="AE1967" s="12"/>
    </row>
    <row r="1968" customHeight="1" spans="1:31">
      <c r="A1968" s="11" t="s">
        <v>30</v>
      </c>
      <c r="B1968" s="11" t="s">
        <v>5082</v>
      </c>
      <c r="C1968" s="11">
        <v>260</v>
      </c>
      <c r="D1968" s="11">
        <v>132</v>
      </c>
      <c r="E1968" s="11">
        <v>241</v>
      </c>
      <c r="F1968" s="11">
        <v>151</v>
      </c>
      <c r="G1968" s="11">
        <v>27000</v>
      </c>
      <c r="H1968" s="11">
        <v>1865774</v>
      </c>
      <c r="I1968" s="11" t="s">
        <v>9839</v>
      </c>
      <c r="J1968" s="11" t="s">
        <v>61</v>
      </c>
      <c r="K1968" s="11" t="s">
        <v>1297</v>
      </c>
      <c r="L1968" s="11" t="s">
        <v>9840</v>
      </c>
      <c r="M1968" s="11" t="s">
        <v>9841</v>
      </c>
      <c r="N1968" s="11">
        <v>87682</v>
      </c>
      <c r="O1968" s="11">
        <v>27659</v>
      </c>
      <c r="P1968" s="11">
        <v>2</v>
      </c>
      <c r="Q1968" s="11" t="s">
        <v>9842</v>
      </c>
      <c r="R1968" s="14" t="s">
        <v>9843</v>
      </c>
      <c r="S1968" s="11">
        <v>174</v>
      </c>
      <c r="T1968" s="11" t="s">
        <v>39</v>
      </c>
      <c r="U1968" s="11" t="s">
        <v>58</v>
      </c>
      <c r="V1968" s="11" t="s">
        <v>586</v>
      </c>
      <c r="W1968" s="11">
        <v>30000000</v>
      </c>
      <c r="X1968" s="11">
        <v>2015</v>
      </c>
      <c r="Y1968" s="11">
        <v>154</v>
      </c>
      <c r="Z1968" s="11">
        <v>7</v>
      </c>
      <c r="AA1968" s="11">
        <v>2.35</v>
      </c>
      <c r="AB1968" s="11">
        <v>43000</v>
      </c>
      <c r="AC1968" s="11"/>
      <c r="AD1968" s="11" t="str">
        <f>IFERROR(__xludf.DUMMYFUNCTION("""COMPUTED_VALUE"""),"Amy Schumer")</f>
        <v>Amy Schumer</v>
      </c>
      <c r="AE1968" s="11"/>
    </row>
    <row r="1969" customHeight="1" spans="1:31">
      <c r="A1969" s="12" t="s">
        <v>30</v>
      </c>
      <c r="B1969" s="12" t="s">
        <v>4729</v>
      </c>
      <c r="C1969" s="12">
        <v>111</v>
      </c>
      <c r="D1969" s="12">
        <v>88</v>
      </c>
      <c r="E1969" s="12">
        <v>82</v>
      </c>
      <c r="F1969" s="12">
        <v>432</v>
      </c>
      <c r="G1969" s="12">
        <v>874</v>
      </c>
      <c r="H1969" s="12">
        <v>13920741</v>
      </c>
      <c r="I1969" s="12" t="s">
        <v>1672</v>
      </c>
      <c r="J1969" s="12" t="s">
        <v>5105</v>
      </c>
      <c r="K1969" s="12" t="s">
        <v>9844</v>
      </c>
      <c r="L1969" s="12" t="s">
        <v>9845</v>
      </c>
      <c r="M1969" s="12" t="s">
        <v>9846</v>
      </c>
      <c r="N1969" s="12">
        <v>59900</v>
      </c>
      <c r="O1969" s="12">
        <v>2062</v>
      </c>
      <c r="P1969" s="12">
        <v>5</v>
      </c>
      <c r="Q1969" s="12" t="s">
        <v>9847</v>
      </c>
      <c r="R1969" s="15" t="s">
        <v>9848</v>
      </c>
      <c r="S1969" s="12">
        <v>149</v>
      </c>
      <c r="T1969" s="12" t="s">
        <v>39</v>
      </c>
      <c r="U1969" s="12" t="s">
        <v>40</v>
      </c>
      <c r="V1969" s="12" t="s">
        <v>41</v>
      </c>
      <c r="W1969" s="16"/>
      <c r="X1969" s="12">
        <v>2007</v>
      </c>
      <c r="Y1969" s="12">
        <v>434</v>
      </c>
      <c r="Z1969" s="12">
        <v>6.7</v>
      </c>
      <c r="AA1969" s="12">
        <v>2.35</v>
      </c>
      <c r="AB1969" s="12">
        <v>0</v>
      </c>
      <c r="AC1969" s="12"/>
      <c r="AD1969" s="12" t="str">
        <f>IFERROR(__xludf.DUMMYFUNCTION("""COMPUTED_VALUE"""),"Josh Segarra")</f>
        <v>Josh Segarra</v>
      </c>
      <c r="AE1969" s="12"/>
    </row>
    <row r="1970" customHeight="1" spans="1:31">
      <c r="A1970" s="11" t="s">
        <v>30</v>
      </c>
      <c r="B1970" s="11" t="s">
        <v>5862</v>
      </c>
      <c r="C1970" s="11">
        <v>231</v>
      </c>
      <c r="D1970" s="11">
        <v>90</v>
      </c>
      <c r="E1970" s="11">
        <v>160</v>
      </c>
      <c r="F1970" s="11">
        <v>852</v>
      </c>
      <c r="G1970" s="11">
        <v>963</v>
      </c>
      <c r="H1970" s="11">
        <v>18860403</v>
      </c>
      <c r="I1970" s="11" t="s">
        <v>5544</v>
      </c>
      <c r="J1970" s="11" t="s">
        <v>184</v>
      </c>
      <c r="K1970" s="11" t="s">
        <v>34</v>
      </c>
      <c r="L1970" s="11" t="s">
        <v>9590</v>
      </c>
      <c r="M1970" s="11" t="s">
        <v>9849</v>
      </c>
      <c r="N1970" s="11">
        <v>20823</v>
      </c>
      <c r="O1970" s="11">
        <v>4952</v>
      </c>
      <c r="P1970" s="11">
        <v>0</v>
      </c>
      <c r="Q1970" s="11" t="s">
        <v>9850</v>
      </c>
      <c r="R1970" s="14" t="s">
        <v>9851</v>
      </c>
      <c r="S1970" s="11">
        <v>130</v>
      </c>
      <c r="T1970" s="11" t="s">
        <v>39</v>
      </c>
      <c r="U1970" s="11" t="s">
        <v>40</v>
      </c>
      <c r="V1970" s="11" t="s">
        <v>41</v>
      </c>
      <c r="W1970" s="11">
        <v>25000000</v>
      </c>
      <c r="X1970" s="11">
        <v>2011</v>
      </c>
      <c r="Y1970" s="11">
        <v>936</v>
      </c>
      <c r="Z1970" s="11">
        <v>4</v>
      </c>
      <c r="AA1970" s="11">
        <v>1.85</v>
      </c>
      <c r="AB1970" s="11">
        <v>0</v>
      </c>
      <c r="AC1970" s="11"/>
      <c r="AD1970" s="11" t="str">
        <f>IFERROR(__xludf.DUMMYFUNCTION("""COMPUTED_VALUE"""),"Nicole Sullivan")</f>
        <v>Nicole Sullivan</v>
      </c>
      <c r="AE1970" s="11"/>
    </row>
    <row r="1971" customHeight="1" spans="1:31">
      <c r="A1971" s="12" t="s">
        <v>30</v>
      </c>
      <c r="B1971" s="12" t="s">
        <v>4705</v>
      </c>
      <c r="C1971" s="12">
        <v>99</v>
      </c>
      <c r="D1971" s="12">
        <v>145</v>
      </c>
      <c r="E1971" s="12">
        <v>317</v>
      </c>
      <c r="F1971" s="12">
        <v>70</v>
      </c>
      <c r="G1971" s="12">
        <v>876</v>
      </c>
      <c r="H1971" s="12">
        <v>13038660</v>
      </c>
      <c r="I1971" s="12" t="s">
        <v>3410</v>
      </c>
      <c r="J1971" s="12" t="s">
        <v>2933</v>
      </c>
      <c r="K1971" s="12" t="s">
        <v>9852</v>
      </c>
      <c r="L1971" s="12" t="s">
        <v>9853</v>
      </c>
      <c r="M1971" s="12" t="s">
        <v>9854</v>
      </c>
      <c r="N1971" s="12">
        <v>16995</v>
      </c>
      <c r="O1971" s="12">
        <v>1282</v>
      </c>
      <c r="P1971" s="12">
        <v>1</v>
      </c>
      <c r="Q1971" s="12" t="s">
        <v>9855</v>
      </c>
      <c r="R1971" s="15" t="s">
        <v>9856</v>
      </c>
      <c r="S1971" s="12">
        <v>163</v>
      </c>
      <c r="T1971" s="12" t="s">
        <v>39</v>
      </c>
      <c r="U1971" s="12" t="s">
        <v>40</v>
      </c>
      <c r="V1971" s="12" t="s">
        <v>586</v>
      </c>
      <c r="W1971" s="12">
        <v>25000000</v>
      </c>
      <c r="X1971" s="12">
        <v>1999</v>
      </c>
      <c r="Y1971" s="12">
        <v>219</v>
      </c>
      <c r="Z1971" s="12">
        <v>7.3</v>
      </c>
      <c r="AA1971" s="12">
        <v>1.85</v>
      </c>
      <c r="AB1971" s="12">
        <v>0</v>
      </c>
      <c r="AC1971" s="12"/>
      <c r="AD1971" s="12" t="str">
        <f>IFERROR(__xludf.DUMMYFUNCTION("""COMPUTED_VALUE"""),"Sherri Shepherd")</f>
        <v>Sherri Shepherd</v>
      </c>
      <c r="AE1971" s="12"/>
    </row>
    <row r="1972" customHeight="1" spans="1:31">
      <c r="A1972" s="11" t="s">
        <v>30</v>
      </c>
      <c r="B1972" s="11" t="s">
        <v>2699</v>
      </c>
      <c r="C1972" s="11">
        <v>159</v>
      </c>
      <c r="D1972" s="11">
        <v>110</v>
      </c>
      <c r="E1972" s="11">
        <v>425</v>
      </c>
      <c r="F1972" s="11">
        <v>148</v>
      </c>
      <c r="G1972" s="11">
        <v>3000</v>
      </c>
      <c r="H1972" s="11">
        <v>28831145</v>
      </c>
      <c r="I1972" s="11" t="s">
        <v>3794</v>
      </c>
      <c r="J1972" s="11" t="s">
        <v>750</v>
      </c>
      <c r="K1972" s="11" t="s">
        <v>1646</v>
      </c>
      <c r="L1972" s="11" t="s">
        <v>9857</v>
      </c>
      <c r="M1972" s="11" t="s">
        <v>9858</v>
      </c>
      <c r="N1972" s="11">
        <v>39357</v>
      </c>
      <c r="O1972" s="11">
        <v>3757</v>
      </c>
      <c r="P1972" s="11">
        <v>1</v>
      </c>
      <c r="Q1972" s="11" t="s">
        <v>9859</v>
      </c>
      <c r="R1972" s="14" t="s">
        <v>9860</v>
      </c>
      <c r="S1972" s="11">
        <v>113</v>
      </c>
      <c r="T1972" s="11" t="s">
        <v>39</v>
      </c>
      <c r="U1972" s="11" t="s">
        <v>40</v>
      </c>
      <c r="V1972" s="11" t="s">
        <v>586</v>
      </c>
      <c r="W1972" s="11">
        <v>25000000</v>
      </c>
      <c r="X1972" s="11">
        <v>2014</v>
      </c>
      <c r="Y1972" s="11">
        <v>466</v>
      </c>
      <c r="Z1972" s="11">
        <v>6.8</v>
      </c>
      <c r="AA1972" s="11">
        <v>2.35</v>
      </c>
      <c r="AB1972" s="11">
        <v>14000</v>
      </c>
      <c r="AC1972" s="11"/>
      <c r="AD1972" s="11" t="str">
        <f>IFERROR(__xludf.DUMMYFUNCTION("""COMPUTED_VALUE"""),"Matt McCoy")</f>
        <v>Matt McCoy</v>
      </c>
      <c r="AE1972" s="11"/>
    </row>
    <row r="1973" customHeight="1" spans="1:31">
      <c r="A1973" s="12" t="s">
        <v>30</v>
      </c>
      <c r="B1973" s="12" t="s">
        <v>7405</v>
      </c>
      <c r="C1973" s="12">
        <v>159</v>
      </c>
      <c r="D1973" s="12">
        <v>101</v>
      </c>
      <c r="E1973" s="12">
        <v>365</v>
      </c>
      <c r="F1973" s="12">
        <v>141</v>
      </c>
      <c r="G1973" s="12">
        <v>338</v>
      </c>
      <c r="H1973" s="16"/>
      <c r="I1973" s="12" t="s">
        <v>2208</v>
      </c>
      <c r="J1973" s="12" t="s">
        <v>7458</v>
      </c>
      <c r="K1973" s="12" t="s">
        <v>9861</v>
      </c>
      <c r="L1973" s="12" t="s">
        <v>9862</v>
      </c>
      <c r="M1973" s="12" t="s">
        <v>9863</v>
      </c>
      <c r="N1973" s="12">
        <v>15531</v>
      </c>
      <c r="O1973" s="12">
        <v>1008</v>
      </c>
      <c r="P1973" s="12">
        <v>0</v>
      </c>
      <c r="Q1973" s="12" t="s">
        <v>9864</v>
      </c>
      <c r="R1973" s="15" t="s">
        <v>9865</v>
      </c>
      <c r="S1973" s="12">
        <v>189</v>
      </c>
      <c r="T1973" s="12" t="s">
        <v>39</v>
      </c>
      <c r="U1973" s="12" t="s">
        <v>58</v>
      </c>
      <c r="V1973" s="12" t="s">
        <v>586</v>
      </c>
      <c r="W1973" s="12">
        <v>25000000</v>
      </c>
      <c r="X1973" s="12">
        <v>1985</v>
      </c>
      <c r="Y1973" s="12">
        <v>246</v>
      </c>
      <c r="Z1973" s="12">
        <v>6.1</v>
      </c>
      <c r="AA1973" s="12">
        <v>2.35</v>
      </c>
      <c r="AB1973" s="12">
        <v>0</v>
      </c>
      <c r="AC1973" s="12"/>
      <c r="AD1973" s="12" t="str">
        <f>IFERROR(__xludf.DUMMYFUNCTION("""COMPUTED_VALUE"""),"Lauren Ambrose")</f>
        <v>Lauren Ambrose</v>
      </c>
      <c r="AE1973" s="12"/>
    </row>
    <row r="1974" customHeight="1" spans="1:31">
      <c r="A1974" s="11" t="s">
        <v>30</v>
      </c>
      <c r="B1974" s="13"/>
      <c r="C1974" s="11">
        <v>7</v>
      </c>
      <c r="D1974" s="11">
        <v>30</v>
      </c>
      <c r="E1974" s="13"/>
      <c r="F1974" s="11">
        <v>265</v>
      </c>
      <c r="G1974" s="11">
        <v>971</v>
      </c>
      <c r="H1974" s="13"/>
      <c r="I1974" s="11" t="s">
        <v>9866</v>
      </c>
      <c r="J1974" s="11" t="s">
        <v>2315</v>
      </c>
      <c r="K1974" s="11" t="s">
        <v>9867</v>
      </c>
      <c r="L1974" s="11" t="s">
        <v>8443</v>
      </c>
      <c r="M1974" s="11" t="s">
        <v>9868</v>
      </c>
      <c r="N1974" s="11">
        <v>23664</v>
      </c>
      <c r="O1974" s="11">
        <v>2346</v>
      </c>
      <c r="P1974" s="11">
        <v>0</v>
      </c>
      <c r="Q1974" s="11" t="s">
        <v>9869</v>
      </c>
      <c r="R1974" s="14" t="s">
        <v>9870</v>
      </c>
      <c r="S1974" s="11">
        <v>60</v>
      </c>
      <c r="T1974" s="11" t="s">
        <v>39</v>
      </c>
      <c r="U1974" s="11" t="s">
        <v>40</v>
      </c>
      <c r="V1974" s="11" t="s">
        <v>9871</v>
      </c>
      <c r="W1974" s="13"/>
      <c r="X1974" s="13"/>
      <c r="Y1974" s="11">
        <v>918</v>
      </c>
      <c r="Z1974" s="11">
        <v>7.2</v>
      </c>
      <c r="AA1974" s="11">
        <v>4</v>
      </c>
      <c r="AB1974" s="11">
        <v>581</v>
      </c>
      <c r="AC1974" s="11"/>
      <c r="AD1974" s="11" t="str">
        <f>IFERROR(__xludf.DUMMYFUNCTION("""COMPUTED_VALUE"""),"Natasha Henstridge")</f>
        <v>Natasha Henstridge</v>
      </c>
      <c r="AE1974" s="11"/>
    </row>
    <row r="1975" customHeight="1" spans="1:31">
      <c r="A1975" s="12" t="s">
        <v>30</v>
      </c>
      <c r="B1975" s="12" t="s">
        <v>4042</v>
      </c>
      <c r="C1975" s="12">
        <v>199</v>
      </c>
      <c r="D1975" s="12">
        <v>122</v>
      </c>
      <c r="E1975" s="12">
        <v>0</v>
      </c>
      <c r="F1975" s="12">
        <v>939</v>
      </c>
      <c r="G1975" s="12">
        <v>18000</v>
      </c>
      <c r="H1975" s="12">
        <v>11538204</v>
      </c>
      <c r="I1975" s="12" t="s">
        <v>9872</v>
      </c>
      <c r="J1975" s="12" t="s">
        <v>438</v>
      </c>
      <c r="K1975" s="12" t="s">
        <v>138</v>
      </c>
      <c r="L1975" s="12" t="s">
        <v>1147</v>
      </c>
      <c r="M1975" s="12" t="s">
        <v>9873</v>
      </c>
      <c r="N1975" s="12">
        <v>23696</v>
      </c>
      <c r="O1975" s="12">
        <v>21163</v>
      </c>
      <c r="P1975" s="12">
        <v>0</v>
      </c>
      <c r="Q1975" s="12" t="s">
        <v>9874</v>
      </c>
      <c r="R1975" s="15" t="s">
        <v>9875</v>
      </c>
      <c r="S1975" s="12">
        <v>135</v>
      </c>
      <c r="T1975" s="12" t="s">
        <v>39</v>
      </c>
      <c r="U1975" s="12" t="s">
        <v>40</v>
      </c>
      <c r="V1975" s="12" t="s">
        <v>41</v>
      </c>
      <c r="W1975" s="12">
        <v>25000000</v>
      </c>
      <c r="X1975" s="12">
        <v>2010</v>
      </c>
      <c r="Y1975" s="12">
        <v>1000</v>
      </c>
      <c r="Z1975" s="12">
        <v>7</v>
      </c>
      <c r="AA1975" s="12">
        <v>2.35</v>
      </c>
      <c r="AB1975" s="12">
        <v>0</v>
      </c>
      <c r="AC1975" s="12"/>
      <c r="AD1975" s="12" t="str">
        <f>IFERROR(__xludf.DUMMYFUNCTION("""COMPUTED_VALUE"""),"Marg Helgenberger")</f>
        <v>Marg Helgenberger</v>
      </c>
      <c r="AE1975" s="12"/>
    </row>
    <row r="1976" customHeight="1" spans="1:31">
      <c r="A1976" s="11" t="s">
        <v>30</v>
      </c>
      <c r="B1976" s="11" t="s">
        <v>6149</v>
      </c>
      <c r="C1976" s="11">
        <v>119</v>
      </c>
      <c r="D1976" s="11">
        <v>107</v>
      </c>
      <c r="E1976" s="11">
        <v>308</v>
      </c>
      <c r="F1976" s="11">
        <v>872</v>
      </c>
      <c r="G1976" s="11">
        <v>13000</v>
      </c>
      <c r="H1976" s="11">
        <v>11008432</v>
      </c>
      <c r="I1976" s="11" t="s">
        <v>1635</v>
      </c>
      <c r="J1976" s="11" t="s">
        <v>465</v>
      </c>
      <c r="K1976" s="11" t="s">
        <v>2299</v>
      </c>
      <c r="L1976" s="11" t="s">
        <v>8896</v>
      </c>
      <c r="M1976" s="11" t="s">
        <v>9876</v>
      </c>
      <c r="N1976" s="11">
        <v>43903</v>
      </c>
      <c r="O1976" s="11">
        <v>16651</v>
      </c>
      <c r="P1976" s="11">
        <v>0</v>
      </c>
      <c r="Q1976" s="11" t="s">
        <v>9877</v>
      </c>
      <c r="R1976" s="14" t="s">
        <v>9878</v>
      </c>
      <c r="S1976" s="11">
        <v>194</v>
      </c>
      <c r="T1976" s="11" t="s">
        <v>39</v>
      </c>
      <c r="U1976" s="11" t="s">
        <v>40</v>
      </c>
      <c r="V1976" s="11" t="s">
        <v>41</v>
      </c>
      <c r="W1976" s="11">
        <v>25000000</v>
      </c>
      <c r="X1976" s="11">
        <v>2005</v>
      </c>
      <c r="Y1976" s="11">
        <v>947</v>
      </c>
      <c r="Z1976" s="11">
        <v>7.1</v>
      </c>
      <c r="AA1976" s="11">
        <v>1.85</v>
      </c>
      <c r="AB1976" s="11">
        <v>5000</v>
      </c>
      <c r="AC1976" s="11"/>
      <c r="AD1976" s="11" t="str">
        <f>IFERROR(__xludf.DUMMYFUNCTION("""COMPUTED_VALUE"""),"Jordan Lund")</f>
        <v>Jordan Lund</v>
      </c>
      <c r="AE1976" s="11"/>
    </row>
    <row r="1977" customHeight="1" spans="1:31">
      <c r="A1977" s="12" t="s">
        <v>30</v>
      </c>
      <c r="B1977" s="12" t="s">
        <v>9879</v>
      </c>
      <c r="C1977" s="12">
        <v>120</v>
      </c>
      <c r="D1977" s="12">
        <v>127</v>
      </c>
      <c r="E1977" s="12">
        <v>36</v>
      </c>
      <c r="F1977" s="12">
        <v>399</v>
      </c>
      <c r="G1977" s="12">
        <v>562</v>
      </c>
      <c r="H1977" s="12">
        <v>12188642</v>
      </c>
      <c r="I1977" s="12" t="s">
        <v>5941</v>
      </c>
      <c r="J1977" s="12" t="s">
        <v>9880</v>
      </c>
      <c r="K1977" s="12" t="s">
        <v>6871</v>
      </c>
      <c r="L1977" s="12" t="s">
        <v>5516</v>
      </c>
      <c r="M1977" s="12" t="s">
        <v>9881</v>
      </c>
      <c r="N1977" s="12">
        <v>21098</v>
      </c>
      <c r="O1977" s="12">
        <v>2230</v>
      </c>
      <c r="P1977" s="12">
        <v>7</v>
      </c>
      <c r="Q1977" s="12" t="s">
        <v>9882</v>
      </c>
      <c r="R1977" s="15" t="s">
        <v>9883</v>
      </c>
      <c r="S1977" s="12">
        <v>56</v>
      </c>
      <c r="T1977" s="12" t="s">
        <v>39</v>
      </c>
      <c r="U1977" s="12" t="s">
        <v>9884</v>
      </c>
      <c r="V1977" s="12" t="s">
        <v>41</v>
      </c>
      <c r="W1977" s="12">
        <v>26000000</v>
      </c>
      <c r="X1977" s="12">
        <v>2015</v>
      </c>
      <c r="Y1977" s="12">
        <v>499</v>
      </c>
      <c r="Z1977" s="12">
        <v>6.9</v>
      </c>
      <c r="AA1977" s="12">
        <v>2.35</v>
      </c>
      <c r="AB1977" s="12">
        <v>0</v>
      </c>
      <c r="AC1977" s="12"/>
      <c r="AD1977" s="12" t="str">
        <f>IFERROR(__xludf.DUMMYFUNCTION("""COMPUTED_VALUE"""),"Lin Shaye")</f>
        <v>Lin Shaye</v>
      </c>
      <c r="AE1977" s="12"/>
    </row>
    <row r="1978" customHeight="1" spans="1:31">
      <c r="A1978" s="11" t="s">
        <v>30</v>
      </c>
      <c r="B1978" s="11" t="s">
        <v>5368</v>
      </c>
      <c r="C1978" s="11">
        <v>180</v>
      </c>
      <c r="D1978" s="11">
        <v>99</v>
      </c>
      <c r="E1978" s="11">
        <v>0</v>
      </c>
      <c r="F1978" s="11">
        <v>52</v>
      </c>
      <c r="G1978" s="11">
        <v>400</v>
      </c>
      <c r="H1978" s="11">
        <v>11100000</v>
      </c>
      <c r="I1978" s="11" t="s">
        <v>2407</v>
      </c>
      <c r="J1978" s="11" t="s">
        <v>3432</v>
      </c>
      <c r="K1978" s="11" t="s">
        <v>9885</v>
      </c>
      <c r="L1978" s="11" t="s">
        <v>9886</v>
      </c>
      <c r="M1978" s="11" t="s">
        <v>9887</v>
      </c>
      <c r="N1978" s="11">
        <v>92464</v>
      </c>
      <c r="O1978" s="11">
        <v>896</v>
      </c>
      <c r="P1978" s="11">
        <v>1</v>
      </c>
      <c r="Q1978" s="11" t="s">
        <v>9888</v>
      </c>
      <c r="R1978" s="14" t="s">
        <v>9889</v>
      </c>
      <c r="S1978" s="11">
        <v>331</v>
      </c>
      <c r="T1978" s="11" t="s">
        <v>39</v>
      </c>
      <c r="U1978" s="11" t="s">
        <v>40</v>
      </c>
      <c r="V1978" s="11" t="s">
        <v>41</v>
      </c>
      <c r="W1978" s="11">
        <v>25000000</v>
      </c>
      <c r="X1978" s="11">
        <v>1986</v>
      </c>
      <c r="Y1978" s="11">
        <v>223</v>
      </c>
      <c r="Z1978" s="11">
        <v>7.3</v>
      </c>
      <c r="AA1978" s="11">
        <v>2.35</v>
      </c>
      <c r="AB1978" s="11">
        <v>19000</v>
      </c>
      <c r="AC1978" s="11"/>
      <c r="AD1978" s="11" t="str">
        <f>IFERROR(__xludf.DUMMYFUNCTION("""COMPUTED_VALUE"""),"Amanda Wyss")</f>
        <v>Amanda Wyss</v>
      </c>
      <c r="AE1978" s="11"/>
    </row>
    <row r="1979" customHeight="1" spans="1:31">
      <c r="A1979" s="12" t="s">
        <v>30</v>
      </c>
      <c r="B1979" s="12" t="s">
        <v>9890</v>
      </c>
      <c r="C1979" s="12">
        <v>58</v>
      </c>
      <c r="D1979" s="12">
        <v>104</v>
      </c>
      <c r="E1979" s="12">
        <v>8</v>
      </c>
      <c r="F1979" s="12">
        <v>8</v>
      </c>
      <c r="G1979" s="12">
        <v>172</v>
      </c>
      <c r="H1979" s="16"/>
      <c r="I1979" s="12" t="s">
        <v>1681</v>
      </c>
      <c r="J1979" s="12" t="s">
        <v>6196</v>
      </c>
      <c r="K1979" s="12" t="s">
        <v>9891</v>
      </c>
      <c r="L1979" s="12" t="s">
        <v>9892</v>
      </c>
      <c r="M1979" s="12" t="s">
        <v>9893</v>
      </c>
      <c r="N1979" s="12">
        <v>5525</v>
      </c>
      <c r="O1979" s="12">
        <v>210</v>
      </c>
      <c r="P1979" s="12">
        <v>2</v>
      </c>
      <c r="Q1979" s="12" t="s">
        <v>9894</v>
      </c>
      <c r="R1979" s="15" t="s">
        <v>9895</v>
      </c>
      <c r="S1979" s="12">
        <v>11</v>
      </c>
      <c r="T1979" s="12" t="s">
        <v>1465</v>
      </c>
      <c r="U1979" s="12" t="s">
        <v>1466</v>
      </c>
      <c r="V1979" s="16"/>
      <c r="W1979" s="12">
        <v>17000000</v>
      </c>
      <c r="X1979" s="12">
        <v>2012</v>
      </c>
      <c r="Y1979" s="12">
        <v>20</v>
      </c>
      <c r="Z1979" s="12">
        <v>6.3</v>
      </c>
      <c r="AA1979" s="12">
        <v>2.35</v>
      </c>
      <c r="AB1979" s="12">
        <v>853</v>
      </c>
      <c r="AC1979" s="12"/>
      <c r="AD1979" s="12" t="str">
        <f>IFERROR(__xludf.DUMMYFUNCTION("""COMPUTED_VALUE"""),"Anne Parillaud")</f>
        <v>Anne Parillaud</v>
      </c>
      <c r="AE1979" s="12"/>
    </row>
    <row r="1980" customHeight="1" spans="1:31">
      <c r="A1980" s="11" t="s">
        <v>30</v>
      </c>
      <c r="B1980" s="11" t="s">
        <v>8566</v>
      </c>
      <c r="C1980" s="11">
        <v>317</v>
      </c>
      <c r="D1980" s="11">
        <v>140</v>
      </c>
      <c r="E1980" s="11">
        <v>149</v>
      </c>
      <c r="F1980" s="11">
        <v>581</v>
      </c>
      <c r="G1980" s="11">
        <v>27000</v>
      </c>
      <c r="H1980" s="11">
        <v>13651662</v>
      </c>
      <c r="I1980" s="11" t="s">
        <v>3794</v>
      </c>
      <c r="J1980" s="11" t="s">
        <v>61</v>
      </c>
      <c r="K1980" s="11" t="s">
        <v>1699</v>
      </c>
      <c r="L1980" s="11" t="s">
        <v>281</v>
      </c>
      <c r="M1980" s="11" t="s">
        <v>9896</v>
      </c>
      <c r="N1980" s="11">
        <v>332276</v>
      </c>
      <c r="O1980" s="11">
        <v>29692</v>
      </c>
      <c r="P1980" s="11">
        <v>1</v>
      </c>
      <c r="Q1980" s="11" t="s">
        <v>9897</v>
      </c>
      <c r="R1980" s="14" t="s">
        <v>9898</v>
      </c>
      <c r="S1980" s="11">
        <v>514</v>
      </c>
      <c r="T1980" s="11" t="s">
        <v>39</v>
      </c>
      <c r="U1980" s="11" t="s">
        <v>40</v>
      </c>
      <c r="V1980" s="11" t="s">
        <v>41</v>
      </c>
      <c r="W1980" s="11">
        <v>25000000</v>
      </c>
      <c r="X1980" s="11">
        <v>2011</v>
      </c>
      <c r="Y1980" s="11">
        <v>798</v>
      </c>
      <c r="Z1980" s="11">
        <v>8.2</v>
      </c>
      <c r="AA1980" s="11">
        <v>2.35</v>
      </c>
      <c r="AB1980" s="11">
        <v>77000</v>
      </c>
      <c r="AC1980" s="11"/>
      <c r="AD1980" s="11" t="str">
        <f>IFERROR(__xludf.DUMMYFUNCTION("""COMPUTED_VALUE"""),"Judith Godrèche")</f>
        <v>Judith Godrèche</v>
      </c>
      <c r="AE1980" s="11"/>
    </row>
    <row r="1981" customHeight="1" spans="1:31">
      <c r="A1981" s="12" t="s">
        <v>748</v>
      </c>
      <c r="B1981" s="12" t="s">
        <v>5051</v>
      </c>
      <c r="C1981" s="12">
        <v>44</v>
      </c>
      <c r="D1981" s="12">
        <v>133</v>
      </c>
      <c r="E1981" s="12">
        <v>277</v>
      </c>
      <c r="F1981" s="12">
        <v>8000</v>
      </c>
      <c r="G1981" s="12">
        <v>25000</v>
      </c>
      <c r="H1981" s="12">
        <v>11030963</v>
      </c>
      <c r="I1981" s="12" t="s">
        <v>9899</v>
      </c>
      <c r="J1981" s="12" t="s">
        <v>106</v>
      </c>
      <c r="K1981" s="12" t="s">
        <v>228</v>
      </c>
      <c r="L1981" s="12" t="s">
        <v>1529</v>
      </c>
      <c r="M1981" s="12" t="s">
        <v>9900</v>
      </c>
      <c r="N1981" s="12">
        <v>24145</v>
      </c>
      <c r="O1981" s="12">
        <v>48482</v>
      </c>
      <c r="P1981" s="12">
        <v>2</v>
      </c>
      <c r="Q1981" s="12" t="s">
        <v>9901</v>
      </c>
      <c r="R1981" s="15" t="s">
        <v>9902</v>
      </c>
      <c r="S1981" s="12">
        <v>93</v>
      </c>
      <c r="T1981" s="12" t="s">
        <v>39</v>
      </c>
      <c r="U1981" s="12" t="s">
        <v>58</v>
      </c>
      <c r="V1981" s="12" t="s">
        <v>586</v>
      </c>
      <c r="W1981" s="12">
        <v>28000000</v>
      </c>
      <c r="X1981" s="12">
        <v>1996</v>
      </c>
      <c r="Y1981" s="12">
        <v>14000</v>
      </c>
      <c r="Z1981" s="12">
        <v>7.1</v>
      </c>
      <c r="AA1981" s="12">
        <v>1.85</v>
      </c>
      <c r="AB1981" s="12">
        <v>0</v>
      </c>
      <c r="AC1981" s="12"/>
      <c r="AD1981" s="12" t="str">
        <f>IFERROR(__xludf.DUMMYFUNCTION("""COMPUTED_VALUE"""),"Kevin Connolly")</f>
        <v>Kevin Connolly</v>
      </c>
      <c r="AE1981" s="12"/>
    </row>
    <row r="1982" customHeight="1" spans="1:31">
      <c r="A1982" s="11" t="s">
        <v>30</v>
      </c>
      <c r="B1982" s="11" t="s">
        <v>4783</v>
      </c>
      <c r="C1982" s="11">
        <v>22</v>
      </c>
      <c r="D1982" s="11">
        <v>271</v>
      </c>
      <c r="E1982" s="11">
        <v>33</v>
      </c>
      <c r="F1982" s="11">
        <v>251</v>
      </c>
      <c r="G1982" s="11">
        <v>854</v>
      </c>
      <c r="H1982" s="11">
        <v>10769960</v>
      </c>
      <c r="I1982" s="11" t="s">
        <v>1962</v>
      </c>
      <c r="J1982" s="11" t="s">
        <v>4834</v>
      </c>
      <c r="K1982" s="11" t="s">
        <v>9903</v>
      </c>
      <c r="L1982" s="11" t="s">
        <v>9904</v>
      </c>
      <c r="M1982" s="11" t="s">
        <v>9905</v>
      </c>
      <c r="N1982" s="11">
        <v>21940</v>
      </c>
      <c r="O1982" s="11">
        <v>2107</v>
      </c>
      <c r="P1982" s="11">
        <v>0</v>
      </c>
      <c r="Q1982" s="11" t="s">
        <v>9906</v>
      </c>
      <c r="R1982" s="14" t="s">
        <v>9907</v>
      </c>
      <c r="S1982" s="11">
        <v>256</v>
      </c>
      <c r="T1982" s="11" t="s">
        <v>39</v>
      </c>
      <c r="U1982" s="11" t="s">
        <v>40</v>
      </c>
      <c r="V1982" s="11" t="s">
        <v>96</v>
      </c>
      <c r="W1982" s="11">
        <v>25000000</v>
      </c>
      <c r="X1982" s="11">
        <v>1993</v>
      </c>
      <c r="Y1982" s="11">
        <v>702</v>
      </c>
      <c r="Z1982" s="11">
        <v>7.7</v>
      </c>
      <c r="AA1982" s="11">
        <v>1.85</v>
      </c>
      <c r="AB1982" s="11">
        <v>0</v>
      </c>
      <c r="AC1982" s="11"/>
      <c r="AD1982" s="11" t="str">
        <f>IFERROR(__xludf.DUMMYFUNCTION("""COMPUTED_VALUE"""),"Kiersey Clemons")</f>
        <v>Kiersey Clemons</v>
      </c>
      <c r="AE1982" s="11"/>
    </row>
    <row r="1983" customHeight="1" spans="1:31">
      <c r="A1983" s="12" t="s">
        <v>30</v>
      </c>
      <c r="B1983" s="12" t="s">
        <v>8418</v>
      </c>
      <c r="C1983" s="12">
        <v>143</v>
      </c>
      <c r="D1983" s="12">
        <v>112</v>
      </c>
      <c r="E1983" s="12">
        <v>108</v>
      </c>
      <c r="F1983" s="12">
        <v>2000</v>
      </c>
      <c r="G1983" s="12">
        <v>23000</v>
      </c>
      <c r="H1983" s="12">
        <v>10911750</v>
      </c>
      <c r="I1983" s="12" t="s">
        <v>3397</v>
      </c>
      <c r="J1983" s="12" t="s">
        <v>63</v>
      </c>
      <c r="K1983" s="12" t="s">
        <v>445</v>
      </c>
      <c r="L1983" s="12" t="s">
        <v>1402</v>
      </c>
      <c r="M1983" s="12" t="s">
        <v>9908</v>
      </c>
      <c r="N1983" s="12">
        <v>17757</v>
      </c>
      <c r="O1983" s="12">
        <v>43560</v>
      </c>
      <c r="P1983" s="12">
        <v>2</v>
      </c>
      <c r="Q1983" s="12" t="s">
        <v>9909</v>
      </c>
      <c r="R1983" s="15" t="s">
        <v>9910</v>
      </c>
      <c r="S1983" s="12">
        <v>99</v>
      </c>
      <c r="T1983" s="12" t="s">
        <v>39</v>
      </c>
      <c r="U1983" s="12" t="s">
        <v>40</v>
      </c>
      <c r="V1983" s="12" t="s">
        <v>586</v>
      </c>
      <c r="W1983" s="12">
        <v>25000000</v>
      </c>
      <c r="X1983" s="12">
        <v>2008</v>
      </c>
      <c r="Y1983" s="12">
        <v>17000</v>
      </c>
      <c r="Z1983" s="12">
        <v>6.5</v>
      </c>
      <c r="AA1983" s="12">
        <v>1.85</v>
      </c>
      <c r="AB1983" s="12">
        <v>982</v>
      </c>
      <c r="AC1983" s="12"/>
      <c r="AD1983" s="12" t="str">
        <f>IFERROR(__xludf.DUMMYFUNCTION("""COMPUTED_VALUE"""),"Al Freeman Jr.")</f>
        <v>Al Freeman Jr.</v>
      </c>
      <c r="AE1983" s="12"/>
    </row>
    <row r="1984" customHeight="1" spans="1:31">
      <c r="A1984" s="11" t="s">
        <v>30</v>
      </c>
      <c r="B1984" s="11" t="s">
        <v>5189</v>
      </c>
      <c r="C1984" s="11">
        <v>72</v>
      </c>
      <c r="D1984" s="11">
        <v>99</v>
      </c>
      <c r="E1984" s="11">
        <v>79</v>
      </c>
      <c r="F1984" s="11">
        <v>956</v>
      </c>
      <c r="G1984" s="11">
        <v>16000</v>
      </c>
      <c r="H1984" s="11">
        <v>10719367</v>
      </c>
      <c r="I1984" s="11" t="s">
        <v>9911</v>
      </c>
      <c r="J1984" s="11" t="s">
        <v>380</v>
      </c>
      <c r="K1984" s="11" t="s">
        <v>1950</v>
      </c>
      <c r="L1984" s="11" t="s">
        <v>1018</v>
      </c>
      <c r="M1984" s="11" t="s">
        <v>9912</v>
      </c>
      <c r="N1984" s="11">
        <v>7909</v>
      </c>
      <c r="O1984" s="11">
        <v>28987</v>
      </c>
      <c r="P1984" s="11">
        <v>3</v>
      </c>
      <c r="Q1984" s="11" t="s">
        <v>9913</v>
      </c>
      <c r="R1984" s="14" t="s">
        <v>9914</v>
      </c>
      <c r="S1984" s="11">
        <v>157</v>
      </c>
      <c r="T1984" s="11" t="s">
        <v>39</v>
      </c>
      <c r="U1984" s="11" t="s">
        <v>40</v>
      </c>
      <c r="V1984" s="11" t="s">
        <v>41</v>
      </c>
      <c r="W1984" s="11">
        <v>25000000</v>
      </c>
      <c r="X1984" s="11">
        <v>2002</v>
      </c>
      <c r="Y1984" s="11">
        <v>11000</v>
      </c>
      <c r="Z1984" s="11">
        <v>4.9</v>
      </c>
      <c r="AA1984" s="11">
        <v>2.35</v>
      </c>
      <c r="AB1984" s="11">
        <v>261</v>
      </c>
      <c r="AC1984" s="11"/>
      <c r="AD1984" s="11" t="str">
        <f>IFERROR(__xludf.DUMMYFUNCTION("""COMPUTED_VALUE"""),"Charlyne Yi")</f>
        <v>Charlyne Yi</v>
      </c>
      <c r="AE1984" s="11"/>
    </row>
    <row r="1985" customHeight="1" spans="1:31">
      <c r="A1985" s="12" t="s">
        <v>30</v>
      </c>
      <c r="B1985" s="12" t="s">
        <v>9915</v>
      </c>
      <c r="C1985" s="12">
        <v>70</v>
      </c>
      <c r="D1985" s="12">
        <v>100</v>
      </c>
      <c r="E1985" s="12">
        <v>57</v>
      </c>
      <c r="F1985" s="12">
        <v>92</v>
      </c>
      <c r="G1985" s="12">
        <v>181</v>
      </c>
      <c r="H1985" s="12">
        <v>10114315</v>
      </c>
      <c r="I1985" s="12" t="s">
        <v>1924</v>
      </c>
      <c r="J1985" s="12" t="s">
        <v>9916</v>
      </c>
      <c r="K1985" s="12" t="s">
        <v>9917</v>
      </c>
      <c r="L1985" s="12" t="s">
        <v>9918</v>
      </c>
      <c r="M1985" s="12" t="s">
        <v>9919</v>
      </c>
      <c r="N1985" s="12">
        <v>18693</v>
      </c>
      <c r="O1985" s="12">
        <v>582</v>
      </c>
      <c r="P1985" s="12">
        <v>0</v>
      </c>
      <c r="Q1985" s="12" t="s">
        <v>9920</v>
      </c>
      <c r="R1985" s="15" t="s">
        <v>9921</v>
      </c>
      <c r="S1985" s="12">
        <v>187</v>
      </c>
      <c r="T1985" s="12" t="s">
        <v>39</v>
      </c>
      <c r="U1985" s="12" t="s">
        <v>40</v>
      </c>
      <c r="V1985" s="12" t="s">
        <v>41</v>
      </c>
      <c r="W1985" s="12">
        <v>25000000</v>
      </c>
      <c r="X1985" s="12">
        <v>1999</v>
      </c>
      <c r="Y1985" s="12">
        <v>151</v>
      </c>
      <c r="Z1985" s="12">
        <v>6.4</v>
      </c>
      <c r="AA1985" s="12">
        <v>2.35</v>
      </c>
      <c r="AB1985" s="12">
        <v>0</v>
      </c>
      <c r="AC1985" s="12"/>
      <c r="AD1985" s="12" t="str">
        <f>IFERROR(__xludf.DUMMYFUNCTION("""COMPUTED_VALUE"""),"Mackenzie Aladjem")</f>
        <v>Mackenzie Aladjem</v>
      </c>
      <c r="AE1985" s="12"/>
    </row>
    <row r="1986" customHeight="1" spans="1:31">
      <c r="A1986" s="11" t="s">
        <v>30</v>
      </c>
      <c r="B1986" s="11" t="s">
        <v>9922</v>
      </c>
      <c r="C1986" s="11">
        <v>264</v>
      </c>
      <c r="D1986" s="11">
        <v>92</v>
      </c>
      <c r="E1986" s="11">
        <v>30</v>
      </c>
      <c r="F1986" s="11">
        <v>309</v>
      </c>
      <c r="G1986" s="11">
        <v>941</v>
      </c>
      <c r="H1986" s="11">
        <v>49122319</v>
      </c>
      <c r="I1986" s="11" t="s">
        <v>5544</v>
      </c>
      <c r="J1986" s="11" t="s">
        <v>7893</v>
      </c>
      <c r="K1986" s="11" t="s">
        <v>9923</v>
      </c>
      <c r="L1986" s="11" t="s">
        <v>9924</v>
      </c>
      <c r="M1986" s="11" t="s">
        <v>9925</v>
      </c>
      <c r="N1986" s="11">
        <v>47169</v>
      </c>
      <c r="O1986" s="11">
        <v>2348</v>
      </c>
      <c r="P1986" s="11">
        <v>0</v>
      </c>
      <c r="Q1986" s="11" t="s">
        <v>9926</v>
      </c>
      <c r="R1986" s="14" t="s">
        <v>9927</v>
      </c>
      <c r="S1986" s="11">
        <v>162</v>
      </c>
      <c r="T1986" s="11" t="s">
        <v>39</v>
      </c>
      <c r="U1986" s="11" t="s">
        <v>40</v>
      </c>
      <c r="V1986" s="11" t="s">
        <v>41</v>
      </c>
      <c r="W1986" s="11">
        <v>14000000</v>
      </c>
      <c r="X1986" s="11">
        <v>2012</v>
      </c>
      <c r="Y1986" s="11">
        <v>459</v>
      </c>
      <c r="Z1986" s="11">
        <v>5.9</v>
      </c>
      <c r="AA1986" s="11">
        <v>2.35</v>
      </c>
      <c r="AB1986" s="11">
        <v>17000</v>
      </c>
      <c r="AC1986" s="11"/>
      <c r="AD1986" s="11" t="str">
        <f>IFERROR(__xludf.DUMMYFUNCTION("""COMPUTED_VALUE"""),"Craig Parker")</f>
        <v>Craig Parker</v>
      </c>
      <c r="AE1986" s="11"/>
    </row>
    <row r="1987" customHeight="1" spans="1:31">
      <c r="A1987" s="12" t="s">
        <v>30</v>
      </c>
      <c r="B1987" s="12" t="s">
        <v>9928</v>
      </c>
      <c r="C1987" s="12">
        <v>20</v>
      </c>
      <c r="D1987" s="12">
        <v>105</v>
      </c>
      <c r="E1987" s="12">
        <v>121</v>
      </c>
      <c r="F1987" s="12">
        <v>354</v>
      </c>
      <c r="G1987" s="12">
        <v>3000</v>
      </c>
      <c r="H1987" s="12">
        <v>10070000</v>
      </c>
      <c r="I1987" s="12" t="s">
        <v>1415</v>
      </c>
      <c r="J1987" s="12" t="s">
        <v>503</v>
      </c>
      <c r="K1987" s="12" t="s">
        <v>2389</v>
      </c>
      <c r="L1987" s="12" t="s">
        <v>9929</v>
      </c>
      <c r="M1987" s="12" t="s">
        <v>9930</v>
      </c>
      <c r="N1987" s="12">
        <v>5668</v>
      </c>
      <c r="O1987" s="12">
        <v>5023</v>
      </c>
      <c r="P1987" s="12">
        <v>3</v>
      </c>
      <c r="Q1987" s="12" t="s">
        <v>9931</v>
      </c>
      <c r="R1987" s="15" t="s">
        <v>9932</v>
      </c>
      <c r="S1987" s="12">
        <v>50</v>
      </c>
      <c r="T1987" s="12" t="s">
        <v>39</v>
      </c>
      <c r="U1987" s="12" t="s">
        <v>40</v>
      </c>
      <c r="V1987" s="12" t="s">
        <v>41</v>
      </c>
      <c r="W1987" s="12">
        <v>25000000</v>
      </c>
      <c r="X1987" s="12">
        <v>1996</v>
      </c>
      <c r="Y1987" s="12">
        <v>624</v>
      </c>
      <c r="Z1987" s="12">
        <v>6.2</v>
      </c>
      <c r="AA1987" s="12">
        <v>1.85</v>
      </c>
      <c r="AB1987" s="12">
        <v>491</v>
      </c>
      <c r="AC1987" s="12"/>
      <c r="AD1987" s="12" t="str">
        <f>IFERROR(__xludf.DUMMYFUNCTION("""COMPUTED_VALUE"""),"Steven Mackintosh")</f>
        <v>Steven Mackintosh</v>
      </c>
      <c r="AE1987" s="12"/>
    </row>
    <row r="1988" customHeight="1" spans="1:31">
      <c r="A1988" s="11" t="s">
        <v>30</v>
      </c>
      <c r="B1988" s="11" t="s">
        <v>4352</v>
      </c>
      <c r="C1988" s="11">
        <v>190</v>
      </c>
      <c r="D1988" s="11">
        <v>110</v>
      </c>
      <c r="E1988" s="11">
        <v>37</v>
      </c>
      <c r="F1988" s="11">
        <v>268</v>
      </c>
      <c r="G1988" s="11">
        <v>10000</v>
      </c>
      <c r="H1988" s="11">
        <v>10324441</v>
      </c>
      <c r="I1988" s="11" t="s">
        <v>923</v>
      </c>
      <c r="J1988" s="11" t="s">
        <v>229</v>
      </c>
      <c r="K1988" s="11" t="s">
        <v>5953</v>
      </c>
      <c r="L1988" s="11" t="s">
        <v>9933</v>
      </c>
      <c r="M1988" s="11" t="s">
        <v>9934</v>
      </c>
      <c r="N1988" s="11">
        <v>27117</v>
      </c>
      <c r="O1988" s="11">
        <v>11431</v>
      </c>
      <c r="P1988" s="11">
        <v>1</v>
      </c>
      <c r="Q1988" s="11" t="s">
        <v>9935</v>
      </c>
      <c r="R1988" s="14" t="s">
        <v>9936</v>
      </c>
      <c r="S1988" s="11">
        <v>140</v>
      </c>
      <c r="T1988" s="11" t="s">
        <v>39</v>
      </c>
      <c r="U1988" s="11" t="s">
        <v>40</v>
      </c>
      <c r="V1988" s="11" t="s">
        <v>586</v>
      </c>
      <c r="W1988" s="11">
        <v>25000000</v>
      </c>
      <c r="X1988" s="11">
        <v>2011</v>
      </c>
      <c r="Y1988" s="11">
        <v>826</v>
      </c>
      <c r="Z1988" s="11">
        <v>5.8</v>
      </c>
      <c r="AA1988" s="11">
        <v>2.35</v>
      </c>
      <c r="AB1988" s="11">
        <v>7000</v>
      </c>
      <c r="AC1988" s="11"/>
      <c r="AD1988" s="11" t="str">
        <f>IFERROR(__xludf.DUMMYFUNCTION("""COMPUTED_VALUE"""),"Christine Taylor")</f>
        <v>Christine Taylor</v>
      </c>
      <c r="AE1988" s="11"/>
    </row>
    <row r="1989" customHeight="1" spans="1:31">
      <c r="A1989" s="12" t="s">
        <v>30</v>
      </c>
      <c r="B1989" s="12" t="s">
        <v>7636</v>
      </c>
      <c r="C1989" s="12">
        <v>142</v>
      </c>
      <c r="D1989" s="12">
        <v>116</v>
      </c>
      <c r="E1989" s="12">
        <v>529</v>
      </c>
      <c r="F1989" s="12">
        <v>174</v>
      </c>
      <c r="G1989" s="12">
        <v>442</v>
      </c>
      <c r="H1989" s="12">
        <v>7156933</v>
      </c>
      <c r="I1989" s="12" t="s">
        <v>2528</v>
      </c>
      <c r="J1989" s="12" t="s">
        <v>8062</v>
      </c>
      <c r="K1989" s="12" t="s">
        <v>9937</v>
      </c>
      <c r="L1989" s="12" t="s">
        <v>8668</v>
      </c>
      <c r="M1989" s="12" t="s">
        <v>9938</v>
      </c>
      <c r="N1989" s="12">
        <v>14581</v>
      </c>
      <c r="O1989" s="12">
        <v>1134</v>
      </c>
      <c r="P1989" s="12">
        <v>0</v>
      </c>
      <c r="Q1989" s="12" t="s">
        <v>9939</v>
      </c>
      <c r="R1989" s="15" t="s">
        <v>9940</v>
      </c>
      <c r="S1989" s="12">
        <v>74</v>
      </c>
      <c r="T1989" s="12" t="s">
        <v>39</v>
      </c>
      <c r="U1989" s="12" t="s">
        <v>40</v>
      </c>
      <c r="V1989" s="12" t="s">
        <v>586</v>
      </c>
      <c r="W1989" s="12">
        <v>25000000</v>
      </c>
      <c r="X1989" s="12">
        <v>2006</v>
      </c>
      <c r="Y1989" s="12">
        <v>252</v>
      </c>
      <c r="Z1989" s="12">
        <v>6.7</v>
      </c>
      <c r="AA1989" s="12">
        <v>1.85</v>
      </c>
      <c r="AB1989" s="12">
        <v>348</v>
      </c>
      <c r="AC1989" s="12"/>
      <c r="AD1989" s="12" t="str">
        <f>IFERROR(__xludf.DUMMYFUNCTION("""COMPUTED_VALUE"""),"Victor Webster")</f>
        <v>Victor Webster</v>
      </c>
      <c r="AE1989" s="12"/>
    </row>
    <row r="1990" customHeight="1" spans="1:31">
      <c r="A1990" s="11" t="s">
        <v>30</v>
      </c>
      <c r="B1990" s="11" t="s">
        <v>9941</v>
      </c>
      <c r="C1990" s="11">
        <v>27</v>
      </c>
      <c r="D1990" s="11">
        <v>88</v>
      </c>
      <c r="E1990" s="11">
        <v>22</v>
      </c>
      <c r="F1990" s="11">
        <v>120</v>
      </c>
      <c r="G1990" s="11">
        <v>174</v>
      </c>
      <c r="H1990" s="11">
        <v>9286314</v>
      </c>
      <c r="I1990" s="11" t="s">
        <v>464</v>
      </c>
      <c r="J1990" s="11" t="s">
        <v>9942</v>
      </c>
      <c r="K1990" s="11" t="s">
        <v>9943</v>
      </c>
      <c r="L1990" s="11" t="s">
        <v>9944</v>
      </c>
      <c r="M1990" s="11" t="s">
        <v>9945</v>
      </c>
      <c r="N1990" s="11">
        <v>4972</v>
      </c>
      <c r="O1990" s="11">
        <v>583</v>
      </c>
      <c r="P1990" s="11">
        <v>1</v>
      </c>
      <c r="Q1990" s="11" t="s">
        <v>9946</v>
      </c>
      <c r="R1990" s="14" t="s">
        <v>9947</v>
      </c>
      <c r="S1990" s="11">
        <v>62</v>
      </c>
      <c r="T1990" s="11" t="s">
        <v>39</v>
      </c>
      <c r="U1990" s="11" t="s">
        <v>40</v>
      </c>
      <c r="V1990" s="11" t="s">
        <v>586</v>
      </c>
      <c r="W1990" s="11">
        <v>17000000</v>
      </c>
      <c r="X1990" s="11">
        <v>1991</v>
      </c>
      <c r="Y1990" s="11">
        <v>132</v>
      </c>
      <c r="Z1990" s="11">
        <v>5.9</v>
      </c>
      <c r="AA1990" s="11">
        <v>1.85</v>
      </c>
      <c r="AB1990" s="11">
        <v>0</v>
      </c>
      <c r="AC1990" s="11"/>
      <c r="AD1990" s="11" t="str">
        <f>IFERROR(__xludf.DUMMYFUNCTION("""COMPUTED_VALUE"""),"Jaymes Butler")</f>
        <v>Jaymes Butler</v>
      </c>
      <c r="AE1990" s="11"/>
    </row>
    <row r="1991" customHeight="1" spans="1:31">
      <c r="A1991" s="12" t="s">
        <v>30</v>
      </c>
      <c r="B1991" s="12" t="s">
        <v>9948</v>
      </c>
      <c r="C1991" s="12">
        <v>355</v>
      </c>
      <c r="D1991" s="12">
        <v>111</v>
      </c>
      <c r="E1991" s="12">
        <v>214</v>
      </c>
      <c r="F1991" s="12">
        <v>3000</v>
      </c>
      <c r="G1991" s="12">
        <v>10000</v>
      </c>
      <c r="H1991" s="12">
        <v>56692</v>
      </c>
      <c r="I1991" s="12" t="s">
        <v>7043</v>
      </c>
      <c r="J1991" s="12" t="s">
        <v>2825</v>
      </c>
      <c r="K1991" s="12" t="s">
        <v>778</v>
      </c>
      <c r="L1991" s="12" t="s">
        <v>1689</v>
      </c>
      <c r="M1991" s="12" t="s">
        <v>9949</v>
      </c>
      <c r="N1991" s="12">
        <v>177401</v>
      </c>
      <c r="O1991" s="12">
        <v>23566</v>
      </c>
      <c r="P1991" s="12">
        <v>2</v>
      </c>
      <c r="Q1991" s="12" t="s">
        <v>9950</v>
      </c>
      <c r="R1991" s="15" t="s">
        <v>9951</v>
      </c>
      <c r="S1991" s="12">
        <v>504</v>
      </c>
      <c r="T1991" s="12" t="s">
        <v>39</v>
      </c>
      <c r="U1991" s="12" t="s">
        <v>40</v>
      </c>
      <c r="V1991" s="12" t="s">
        <v>586</v>
      </c>
      <c r="W1991" s="12">
        <v>25000000</v>
      </c>
      <c r="X1991" s="12">
        <v>2009</v>
      </c>
      <c r="Y1991" s="12">
        <v>9000</v>
      </c>
      <c r="Z1991" s="12">
        <v>7.3</v>
      </c>
      <c r="AA1991" s="12">
        <v>2.35</v>
      </c>
      <c r="AB1991" s="12">
        <v>32000</v>
      </c>
      <c r="AC1991" s="12"/>
      <c r="AD1991" s="12" t="str">
        <f>IFERROR(__xludf.DUMMYFUNCTION("""COMPUTED_VALUE"""),"Heather O'Rourke")</f>
        <v>Heather O'Rourke</v>
      </c>
      <c r="AE1991" s="12"/>
    </row>
    <row r="1992" customHeight="1" spans="1:31">
      <c r="A1992" s="11" t="s">
        <v>30</v>
      </c>
      <c r="B1992" s="11" t="s">
        <v>9952</v>
      </c>
      <c r="C1992" s="11">
        <v>21</v>
      </c>
      <c r="D1992" s="11">
        <v>117</v>
      </c>
      <c r="E1992" s="11">
        <v>71</v>
      </c>
      <c r="F1992" s="11">
        <v>42</v>
      </c>
      <c r="G1992" s="11">
        <v>433</v>
      </c>
      <c r="H1992" s="13"/>
      <c r="I1992" s="11" t="s">
        <v>173</v>
      </c>
      <c r="J1992" s="11" t="s">
        <v>8290</v>
      </c>
      <c r="K1992" s="11" t="s">
        <v>9953</v>
      </c>
      <c r="L1992" s="11" t="s">
        <v>9954</v>
      </c>
      <c r="M1992" s="11" t="s">
        <v>9955</v>
      </c>
      <c r="N1992" s="11">
        <v>3334</v>
      </c>
      <c r="O1992" s="11">
        <v>611</v>
      </c>
      <c r="P1992" s="11">
        <v>1</v>
      </c>
      <c r="Q1992" s="11" t="s">
        <v>9956</v>
      </c>
      <c r="R1992" s="14" t="s">
        <v>9957</v>
      </c>
      <c r="S1992" s="11">
        <v>52</v>
      </c>
      <c r="T1992" s="11" t="s">
        <v>39</v>
      </c>
      <c r="U1992" s="11" t="s">
        <v>58</v>
      </c>
      <c r="V1992" s="11" t="s">
        <v>96</v>
      </c>
      <c r="W1992" s="11">
        <v>25000000</v>
      </c>
      <c r="X1992" s="11">
        <v>1984</v>
      </c>
      <c r="Y1992" s="11">
        <v>54</v>
      </c>
      <c r="Z1992" s="11">
        <v>4.8</v>
      </c>
      <c r="AA1992" s="11">
        <v>2.35</v>
      </c>
      <c r="AB1992" s="11">
        <v>739</v>
      </c>
      <c r="AC1992" s="11"/>
      <c r="AD1992" s="11" t="str">
        <f>IFERROR(__xludf.DUMMYFUNCTION("""COMPUTED_VALUE"""),"Zelda Rubinstein")</f>
        <v>Zelda Rubinstein</v>
      </c>
      <c r="AE1992" s="11"/>
    </row>
    <row r="1993" customHeight="1" spans="1:31">
      <c r="A1993" s="12" t="s">
        <v>30</v>
      </c>
      <c r="B1993" s="12" t="s">
        <v>9958</v>
      </c>
      <c r="C1993" s="12">
        <v>31</v>
      </c>
      <c r="D1993" s="12">
        <v>95</v>
      </c>
      <c r="E1993" s="12">
        <v>32</v>
      </c>
      <c r="F1993" s="12">
        <v>324</v>
      </c>
      <c r="G1993" s="12">
        <v>843</v>
      </c>
      <c r="H1993" s="12">
        <v>5654777</v>
      </c>
      <c r="I1993" s="12" t="s">
        <v>3554</v>
      </c>
      <c r="J1993" s="12" t="s">
        <v>3299</v>
      </c>
      <c r="K1993" s="12" t="s">
        <v>6426</v>
      </c>
      <c r="L1993" s="12" t="s">
        <v>9959</v>
      </c>
      <c r="M1993" s="12" t="s">
        <v>9960</v>
      </c>
      <c r="N1993" s="12">
        <v>4875</v>
      </c>
      <c r="O1993" s="12">
        <v>2165</v>
      </c>
      <c r="P1993" s="12">
        <v>3</v>
      </c>
      <c r="Q1993" s="12" t="s">
        <v>9961</v>
      </c>
      <c r="R1993" s="15" t="s">
        <v>9962</v>
      </c>
      <c r="S1993" s="12">
        <v>26</v>
      </c>
      <c r="T1993" s="12" t="s">
        <v>39</v>
      </c>
      <c r="U1993" s="12" t="s">
        <v>40</v>
      </c>
      <c r="V1993" s="12" t="s">
        <v>41</v>
      </c>
      <c r="W1993" s="12">
        <v>25000000</v>
      </c>
      <c r="X1993" s="12">
        <v>2005</v>
      </c>
      <c r="Y1993" s="12">
        <v>593</v>
      </c>
      <c r="Z1993" s="12">
        <v>4.1</v>
      </c>
      <c r="AA1993" s="12">
        <v>2.35</v>
      </c>
      <c r="AB1993" s="12">
        <v>206</v>
      </c>
      <c r="AC1993" s="12"/>
      <c r="AD1993" s="12" t="str">
        <f>IFERROR(__xludf.DUMMYFUNCTION("""COMPUTED_VALUE"""),"Beau Bridges")</f>
        <v>Beau Bridges</v>
      </c>
      <c r="AE1993" s="12"/>
    </row>
    <row r="1994" customHeight="1" spans="1:31">
      <c r="A1994" s="11" t="s">
        <v>30</v>
      </c>
      <c r="B1994" s="11" t="s">
        <v>8093</v>
      </c>
      <c r="C1994" s="11">
        <v>87</v>
      </c>
      <c r="D1994" s="11">
        <v>95</v>
      </c>
      <c r="E1994" s="11">
        <v>6</v>
      </c>
      <c r="F1994" s="11">
        <v>248</v>
      </c>
      <c r="G1994" s="11">
        <v>849</v>
      </c>
      <c r="H1994" s="11">
        <v>5516708</v>
      </c>
      <c r="I1994" s="11" t="s">
        <v>1681</v>
      </c>
      <c r="J1994" s="11" t="s">
        <v>8572</v>
      </c>
      <c r="K1994" s="11" t="s">
        <v>3369</v>
      </c>
      <c r="L1994" s="11" t="s">
        <v>9963</v>
      </c>
      <c r="M1994" s="11" t="s">
        <v>9964</v>
      </c>
      <c r="N1994" s="11">
        <v>11375</v>
      </c>
      <c r="O1994" s="11">
        <v>2413</v>
      </c>
      <c r="P1994" s="11">
        <v>2</v>
      </c>
      <c r="Q1994" s="11" t="s">
        <v>9965</v>
      </c>
      <c r="R1994" s="14" t="s">
        <v>9966</v>
      </c>
      <c r="S1994" s="11">
        <v>91</v>
      </c>
      <c r="T1994" s="11" t="s">
        <v>39</v>
      </c>
      <c r="U1994" s="11" t="s">
        <v>40</v>
      </c>
      <c r="V1994" s="11" t="s">
        <v>586</v>
      </c>
      <c r="W1994" s="11">
        <v>25000000</v>
      </c>
      <c r="X1994" s="11">
        <v>2001</v>
      </c>
      <c r="Y1994" s="11">
        <v>841</v>
      </c>
      <c r="Z1994" s="11">
        <v>4.9</v>
      </c>
      <c r="AA1994" s="11">
        <v>1.85</v>
      </c>
      <c r="AB1994" s="11">
        <v>295</v>
      </c>
      <c r="AC1994" s="11"/>
      <c r="AD1994" s="11" t="str">
        <f>IFERROR(__xludf.DUMMYFUNCTION("""COMPUTED_VALUE"""),"Jamie Hector")</f>
        <v>Jamie Hector</v>
      </c>
      <c r="AE1994" s="11"/>
    </row>
    <row r="1995" customHeight="1" spans="1:31">
      <c r="A1995" s="12" t="s">
        <v>30</v>
      </c>
      <c r="B1995" s="12" t="s">
        <v>1490</v>
      </c>
      <c r="C1995" s="12">
        <v>126</v>
      </c>
      <c r="D1995" s="12">
        <v>127</v>
      </c>
      <c r="E1995" s="12">
        <v>79</v>
      </c>
      <c r="F1995" s="12">
        <v>50</v>
      </c>
      <c r="G1995" s="12">
        <v>12000</v>
      </c>
      <c r="H1995" s="12">
        <v>5128124</v>
      </c>
      <c r="I1995" s="12" t="s">
        <v>1635</v>
      </c>
      <c r="J1995" s="12" t="s">
        <v>763</v>
      </c>
      <c r="K1995" s="12" t="s">
        <v>8247</v>
      </c>
      <c r="L1995" s="12" t="s">
        <v>9967</v>
      </c>
      <c r="M1995" s="12" t="s">
        <v>9968</v>
      </c>
      <c r="N1995" s="12">
        <v>44198</v>
      </c>
      <c r="O1995" s="12">
        <v>12574</v>
      </c>
      <c r="P1995" s="12">
        <v>1</v>
      </c>
      <c r="Q1995" s="12" t="s">
        <v>9969</v>
      </c>
      <c r="R1995" s="15" t="s">
        <v>9970</v>
      </c>
      <c r="S1995" s="12">
        <v>251</v>
      </c>
      <c r="T1995" s="12" t="s">
        <v>39</v>
      </c>
      <c r="U1995" s="12" t="s">
        <v>180</v>
      </c>
      <c r="V1995" s="12" t="s">
        <v>41</v>
      </c>
      <c r="W1995" s="12">
        <v>25000000</v>
      </c>
      <c r="X1995" s="12">
        <v>2005</v>
      </c>
      <c r="Y1995" s="12">
        <v>506</v>
      </c>
      <c r="Z1995" s="12">
        <v>7.9</v>
      </c>
      <c r="AA1995" s="12">
        <v>2.35</v>
      </c>
      <c r="AB1995" s="12">
        <v>11000</v>
      </c>
      <c r="AC1995" s="12"/>
      <c r="AD1995" s="12" t="str">
        <f>IFERROR(__xludf.DUMMYFUNCTION("""COMPUTED_VALUE"""),"Danneel Ackles")</f>
        <v>Danneel Ackles</v>
      </c>
      <c r="AE1995" s="12"/>
    </row>
    <row r="1996" customHeight="1" spans="1:31">
      <c r="A1996" s="11" t="s">
        <v>30</v>
      </c>
      <c r="B1996" s="11" t="s">
        <v>5862</v>
      </c>
      <c r="C1996" s="11">
        <v>285</v>
      </c>
      <c r="D1996" s="11">
        <v>105</v>
      </c>
      <c r="E1996" s="11">
        <v>160</v>
      </c>
      <c r="F1996" s="11">
        <v>490</v>
      </c>
      <c r="G1996" s="11">
        <v>852</v>
      </c>
      <c r="H1996" s="11">
        <v>34014398</v>
      </c>
      <c r="I1996" s="11" t="s">
        <v>7843</v>
      </c>
      <c r="J1996" s="11" t="s">
        <v>7330</v>
      </c>
      <c r="K1996" s="11" t="s">
        <v>7223</v>
      </c>
      <c r="L1996" s="11" t="s">
        <v>7844</v>
      </c>
      <c r="M1996" s="11" t="s">
        <v>7845</v>
      </c>
      <c r="N1996" s="11">
        <v>115650</v>
      </c>
      <c r="O1996" s="11">
        <v>2603</v>
      </c>
      <c r="P1996" s="11">
        <v>0</v>
      </c>
      <c r="Q1996" s="11" t="s">
        <v>7846</v>
      </c>
      <c r="R1996" s="14" t="s">
        <v>7847</v>
      </c>
      <c r="S1996" s="11">
        <v>1033</v>
      </c>
      <c r="T1996" s="11" t="s">
        <v>39</v>
      </c>
      <c r="U1996" s="11" t="s">
        <v>768</v>
      </c>
      <c r="V1996" s="11" t="s">
        <v>586</v>
      </c>
      <c r="W1996" s="11">
        <v>33000000</v>
      </c>
      <c r="X1996" s="11">
        <v>2006</v>
      </c>
      <c r="Y1996" s="11">
        <v>521</v>
      </c>
      <c r="Z1996" s="11">
        <v>5.6</v>
      </c>
      <c r="AA1996" s="11">
        <v>2.35</v>
      </c>
      <c r="AB1996" s="11">
        <v>4000</v>
      </c>
      <c r="AC1996" s="11"/>
      <c r="AD1996" s="11" t="str">
        <f>IFERROR(__xludf.DUMMYFUNCTION("""COMPUTED_VALUE"""),"Ashley Williams")</f>
        <v>Ashley Williams</v>
      </c>
      <c r="AE1996" s="11"/>
    </row>
    <row r="1997" customHeight="1" spans="1:31">
      <c r="A1997" s="12" t="s">
        <v>30</v>
      </c>
      <c r="B1997" s="12" t="s">
        <v>9971</v>
      </c>
      <c r="C1997" s="12">
        <v>60</v>
      </c>
      <c r="D1997" s="12">
        <v>104</v>
      </c>
      <c r="E1997" s="12">
        <v>54</v>
      </c>
      <c r="F1997" s="12">
        <v>919</v>
      </c>
      <c r="G1997" s="12">
        <v>6000</v>
      </c>
      <c r="H1997" s="12">
        <v>4064333</v>
      </c>
      <c r="I1997" s="12" t="s">
        <v>1904</v>
      </c>
      <c r="J1997" s="12" t="s">
        <v>208</v>
      </c>
      <c r="K1997" s="12" t="s">
        <v>6284</v>
      </c>
      <c r="L1997" s="12" t="s">
        <v>7002</v>
      </c>
      <c r="M1997" s="12" t="s">
        <v>9972</v>
      </c>
      <c r="N1997" s="12">
        <v>24790</v>
      </c>
      <c r="O1997" s="12">
        <v>9662</v>
      </c>
      <c r="P1997" s="12">
        <v>0</v>
      </c>
      <c r="Q1997" s="12" t="s">
        <v>9973</v>
      </c>
      <c r="R1997" s="15" t="s">
        <v>9974</v>
      </c>
      <c r="S1997" s="12">
        <v>173</v>
      </c>
      <c r="T1997" s="12" t="s">
        <v>39</v>
      </c>
      <c r="U1997" s="12" t="s">
        <v>40</v>
      </c>
      <c r="V1997" s="12" t="s">
        <v>586</v>
      </c>
      <c r="W1997" s="12">
        <v>25000000</v>
      </c>
      <c r="X1997" s="12">
        <v>1995</v>
      </c>
      <c r="Y1997" s="12">
        <v>923</v>
      </c>
      <c r="Z1997" s="12">
        <v>5.2</v>
      </c>
      <c r="AA1997" s="12">
        <v>2.35</v>
      </c>
      <c r="AB1997" s="12">
        <v>0</v>
      </c>
      <c r="AC1997" s="12"/>
      <c r="AD1997" s="12" t="str">
        <f>IFERROR(__xludf.DUMMYFUNCTION("""COMPUTED_VALUE"""),"Steve Howey")</f>
        <v>Steve Howey</v>
      </c>
      <c r="AE1997" s="12"/>
    </row>
    <row r="1998" customHeight="1" spans="1:31">
      <c r="A1998" s="11" t="s">
        <v>30</v>
      </c>
      <c r="B1998" s="11" t="s">
        <v>9975</v>
      </c>
      <c r="C1998" s="11">
        <v>23</v>
      </c>
      <c r="D1998" s="11">
        <v>95</v>
      </c>
      <c r="E1998" s="11">
        <v>2</v>
      </c>
      <c r="F1998" s="11">
        <v>807</v>
      </c>
      <c r="G1998" s="11">
        <v>927</v>
      </c>
      <c r="H1998" s="11">
        <v>4006906</v>
      </c>
      <c r="I1998" s="11" t="s">
        <v>1009</v>
      </c>
      <c r="J1998" s="11" t="s">
        <v>9033</v>
      </c>
      <c r="K1998" s="11" t="s">
        <v>3077</v>
      </c>
      <c r="L1998" s="11" t="s">
        <v>5704</v>
      </c>
      <c r="M1998" s="11" t="s">
        <v>9976</v>
      </c>
      <c r="N1998" s="11">
        <v>3229</v>
      </c>
      <c r="O1998" s="11">
        <v>4990</v>
      </c>
      <c r="P1998" s="11">
        <v>7</v>
      </c>
      <c r="Q1998" s="11" t="s">
        <v>9977</v>
      </c>
      <c r="R1998" s="14" t="s">
        <v>9978</v>
      </c>
      <c r="S1998" s="11">
        <v>20</v>
      </c>
      <c r="T1998" s="11" t="s">
        <v>39</v>
      </c>
      <c r="U1998" s="11" t="s">
        <v>40</v>
      </c>
      <c r="V1998" s="11" t="s">
        <v>41</v>
      </c>
      <c r="W1998" s="11">
        <v>15000000</v>
      </c>
      <c r="X1998" s="11">
        <v>2005</v>
      </c>
      <c r="Y1998" s="11">
        <v>912</v>
      </c>
      <c r="Z1998" s="11">
        <v>4.1</v>
      </c>
      <c r="AA1998" s="11">
        <v>1.85</v>
      </c>
      <c r="AB1998" s="11">
        <v>83</v>
      </c>
      <c r="AC1998" s="11"/>
      <c r="AD1998" s="11" t="str">
        <f>IFERROR(__xludf.DUMMYFUNCTION("""COMPUTED_VALUE"""),"Kirsten Day")</f>
        <v>Kirsten Day</v>
      </c>
      <c r="AE1998" s="11"/>
    </row>
    <row r="1999" customHeight="1" spans="1:31">
      <c r="A1999" s="12" t="s">
        <v>30</v>
      </c>
      <c r="B1999" s="12" t="s">
        <v>9363</v>
      </c>
      <c r="C1999" s="12">
        <v>229</v>
      </c>
      <c r="D1999" s="12">
        <v>121</v>
      </c>
      <c r="E1999" s="12">
        <v>353</v>
      </c>
      <c r="F1999" s="12">
        <v>18</v>
      </c>
      <c r="G1999" s="12">
        <v>45</v>
      </c>
      <c r="H1999" s="12">
        <v>3073392</v>
      </c>
      <c r="I1999" s="12" t="s">
        <v>2202</v>
      </c>
      <c r="J1999" s="12" t="s">
        <v>9979</v>
      </c>
      <c r="K1999" s="12" t="s">
        <v>9980</v>
      </c>
      <c r="L1999" s="12" t="s">
        <v>9981</v>
      </c>
      <c r="M1999" s="12" t="s">
        <v>9982</v>
      </c>
      <c r="N1999" s="12">
        <v>59462</v>
      </c>
      <c r="O1999" s="12">
        <v>142</v>
      </c>
      <c r="P1999" s="12">
        <v>0</v>
      </c>
      <c r="Q1999" s="12" t="s">
        <v>9983</v>
      </c>
      <c r="R1999" s="15" t="s">
        <v>9984</v>
      </c>
      <c r="S1999" s="12">
        <v>300</v>
      </c>
      <c r="T1999" s="12" t="s">
        <v>39</v>
      </c>
      <c r="U1999" s="12" t="s">
        <v>269</v>
      </c>
      <c r="V1999" s="12" t="s">
        <v>586</v>
      </c>
      <c r="W1999" s="12">
        <v>25000000</v>
      </c>
      <c r="X1999" s="12">
        <v>2008</v>
      </c>
      <c r="Y1999" s="12">
        <v>30</v>
      </c>
      <c r="Z1999" s="12">
        <v>6.6</v>
      </c>
      <c r="AA1999" s="12">
        <v>1.85</v>
      </c>
      <c r="AB1999" s="12">
        <v>0</v>
      </c>
      <c r="AC1999" s="12"/>
      <c r="AD1999" s="12" t="str">
        <f>IFERROR(__xludf.DUMMYFUNCTION("""COMPUTED_VALUE"""),"Jodi Lyn O'Keefe")</f>
        <v>Jodi Lyn O'Keefe</v>
      </c>
      <c r="AE1999" s="12"/>
    </row>
    <row r="2000" customHeight="1" spans="1:31">
      <c r="A2000" s="11" t="s">
        <v>30</v>
      </c>
      <c r="B2000" s="11" t="s">
        <v>4409</v>
      </c>
      <c r="C2000" s="11">
        <v>143</v>
      </c>
      <c r="D2000" s="11">
        <v>92</v>
      </c>
      <c r="E2000" s="11">
        <v>892</v>
      </c>
      <c r="F2000" s="11">
        <v>492</v>
      </c>
      <c r="G2000" s="11">
        <v>783</v>
      </c>
      <c r="H2000" s="11">
        <v>1550000</v>
      </c>
      <c r="I2000" s="11" t="s">
        <v>9985</v>
      </c>
      <c r="J2000" s="11" t="s">
        <v>3789</v>
      </c>
      <c r="K2000" s="11" t="s">
        <v>1823</v>
      </c>
      <c r="L2000" s="11" t="s">
        <v>9986</v>
      </c>
      <c r="M2000" s="11" t="s">
        <v>9987</v>
      </c>
      <c r="N2000" s="11">
        <v>30628</v>
      </c>
      <c r="O2000" s="11">
        <v>2930</v>
      </c>
      <c r="P2000" s="11">
        <v>2</v>
      </c>
      <c r="Q2000" s="11" t="s">
        <v>9988</v>
      </c>
      <c r="R2000" s="14" t="s">
        <v>9989</v>
      </c>
      <c r="S2000" s="11">
        <v>471</v>
      </c>
      <c r="T2000" s="11" t="s">
        <v>39</v>
      </c>
      <c r="U2000" s="11" t="s">
        <v>40</v>
      </c>
      <c r="V2000" s="11" t="s">
        <v>586</v>
      </c>
      <c r="W2000" s="11">
        <v>25000000</v>
      </c>
      <c r="X2000" s="11">
        <v>2005</v>
      </c>
      <c r="Y2000" s="11">
        <v>595</v>
      </c>
      <c r="Z2000" s="11">
        <v>2.9</v>
      </c>
      <c r="AA2000" s="11">
        <v>2.35</v>
      </c>
      <c r="AB2000" s="11">
        <v>937</v>
      </c>
      <c r="AC2000" s="11"/>
      <c r="AD2000" s="11" t="str">
        <f>IFERROR(__xludf.DUMMYFUNCTION("""COMPUTED_VALUE"""),"Logan Browning")</f>
        <v>Logan Browning</v>
      </c>
      <c r="AE2000" s="11"/>
    </row>
    <row r="2001" customHeight="1" spans="1:31">
      <c r="A2001" s="12" t="s">
        <v>30</v>
      </c>
      <c r="B2001" s="12" t="s">
        <v>3818</v>
      </c>
      <c r="C2001" s="12">
        <v>376</v>
      </c>
      <c r="D2001" s="12">
        <v>80</v>
      </c>
      <c r="E2001" s="12">
        <v>2000</v>
      </c>
      <c r="F2001" s="12">
        <v>132</v>
      </c>
      <c r="G2001" s="12">
        <v>14000</v>
      </c>
      <c r="H2001" s="16"/>
      <c r="I2001" s="12" t="s">
        <v>2528</v>
      </c>
      <c r="J2001" s="12" t="s">
        <v>216</v>
      </c>
      <c r="K2001" s="12" t="s">
        <v>52</v>
      </c>
      <c r="L2001" s="12" t="s">
        <v>9990</v>
      </c>
      <c r="M2001" s="12" t="s">
        <v>9991</v>
      </c>
      <c r="N2001" s="12">
        <v>96480</v>
      </c>
      <c r="O2001" s="12">
        <v>25143</v>
      </c>
      <c r="P2001" s="12">
        <v>3</v>
      </c>
      <c r="Q2001" s="12" t="s">
        <v>9992</v>
      </c>
      <c r="R2001" s="15" t="s">
        <v>9993</v>
      </c>
      <c r="S2001" s="12">
        <v>181</v>
      </c>
      <c r="T2001" s="12" t="s">
        <v>39</v>
      </c>
      <c r="U2001" s="12" t="s">
        <v>1466</v>
      </c>
      <c r="V2001" s="12" t="s">
        <v>586</v>
      </c>
      <c r="W2001" s="12">
        <v>25000000</v>
      </c>
      <c r="X2001" s="12">
        <v>2011</v>
      </c>
      <c r="Y2001" s="12">
        <v>11000</v>
      </c>
      <c r="Z2001" s="12">
        <v>7.2</v>
      </c>
      <c r="AA2001" s="12">
        <v>2.35</v>
      </c>
      <c r="AB2001" s="12">
        <v>21000</v>
      </c>
      <c r="AC2001" s="12"/>
      <c r="AD2001" s="12" t="str">
        <f>IFERROR(__xludf.DUMMYFUNCTION("""COMPUTED_VALUE"""),"Tatum O'Neal")</f>
        <v>Tatum O'Neal</v>
      </c>
      <c r="AE2001" s="12"/>
    </row>
    <row r="2002" customHeight="1" spans="1:31">
      <c r="A2002" s="11" t="s">
        <v>30</v>
      </c>
      <c r="B2002" s="11" t="s">
        <v>8639</v>
      </c>
      <c r="C2002" s="11">
        <v>97</v>
      </c>
      <c r="D2002" s="11">
        <v>107</v>
      </c>
      <c r="E2002" s="11">
        <v>460</v>
      </c>
      <c r="F2002" s="11">
        <v>490</v>
      </c>
      <c r="G2002" s="11">
        <v>14000</v>
      </c>
      <c r="H2002" s="11">
        <v>871527</v>
      </c>
      <c r="I2002" s="11" t="s">
        <v>2142</v>
      </c>
      <c r="J2002" s="11" t="s">
        <v>439</v>
      </c>
      <c r="K2002" s="11" t="s">
        <v>3386</v>
      </c>
      <c r="L2002" s="11" t="s">
        <v>7844</v>
      </c>
      <c r="M2002" s="11" t="s">
        <v>9994</v>
      </c>
      <c r="N2002" s="11">
        <v>14982</v>
      </c>
      <c r="O2002" s="11">
        <v>16090</v>
      </c>
      <c r="P2002" s="11">
        <v>2</v>
      </c>
      <c r="Q2002" s="11" t="s">
        <v>9995</v>
      </c>
      <c r="R2002" s="14" t="s">
        <v>9996</v>
      </c>
      <c r="S2002" s="11">
        <v>128</v>
      </c>
      <c r="T2002" s="11" t="s">
        <v>39</v>
      </c>
      <c r="U2002" s="11" t="s">
        <v>269</v>
      </c>
      <c r="V2002" s="11" t="s">
        <v>586</v>
      </c>
      <c r="W2002" s="11">
        <v>25000000</v>
      </c>
      <c r="X2002" s="11">
        <v>2005</v>
      </c>
      <c r="Y2002" s="11">
        <v>1000</v>
      </c>
      <c r="Z2002" s="11">
        <v>6.5</v>
      </c>
      <c r="AA2002" s="11">
        <v>2.35</v>
      </c>
      <c r="AB2002" s="11">
        <v>507</v>
      </c>
      <c r="AC2002" s="11"/>
      <c r="AD2002" s="11" t="str">
        <f>IFERROR(__xludf.DUMMYFUNCTION("""COMPUTED_VALUE"""),"Vic Morrow")</f>
        <v>Vic Morrow</v>
      </c>
      <c r="AE2002" s="11"/>
    </row>
    <row r="2003" customHeight="1" spans="1:31">
      <c r="A2003" s="12" t="s">
        <v>30</v>
      </c>
      <c r="B2003" s="12" t="s">
        <v>147</v>
      </c>
      <c r="C2003" s="12">
        <v>73</v>
      </c>
      <c r="D2003" s="12">
        <v>91</v>
      </c>
      <c r="E2003" s="12">
        <v>80</v>
      </c>
      <c r="F2003" s="12">
        <v>31</v>
      </c>
      <c r="G2003" s="12">
        <v>473</v>
      </c>
      <c r="H2003" s="12">
        <v>12495865</v>
      </c>
      <c r="I2003" s="12" t="s">
        <v>1267</v>
      </c>
      <c r="J2003" s="12" t="s">
        <v>9997</v>
      </c>
      <c r="K2003" s="12" t="s">
        <v>9998</v>
      </c>
      <c r="L2003" s="12" t="s">
        <v>9999</v>
      </c>
      <c r="M2003" s="12" t="s">
        <v>10000</v>
      </c>
      <c r="N2003" s="12">
        <v>7100</v>
      </c>
      <c r="O2003" s="12">
        <v>539</v>
      </c>
      <c r="P2003" s="12">
        <v>0</v>
      </c>
      <c r="Q2003" s="12" t="s">
        <v>10001</v>
      </c>
      <c r="R2003" s="15" t="s">
        <v>10002</v>
      </c>
      <c r="S2003" s="12">
        <v>35</v>
      </c>
      <c r="T2003" s="12" t="s">
        <v>39</v>
      </c>
      <c r="U2003" s="12" t="s">
        <v>40</v>
      </c>
      <c r="V2003" s="12" t="s">
        <v>96</v>
      </c>
      <c r="W2003" s="16"/>
      <c r="X2003" s="12">
        <v>2012</v>
      </c>
      <c r="Y2003" s="12">
        <v>31</v>
      </c>
      <c r="Z2003" s="12">
        <v>6.8</v>
      </c>
      <c r="AA2003" s="16"/>
      <c r="AB2003" s="12">
        <v>0</v>
      </c>
      <c r="AC2003" s="12"/>
      <c r="AD2003" s="12" t="str">
        <f>IFERROR(__xludf.DUMMYFUNCTION("""COMPUTED_VALUE"""),"Joyce Van Patten")</f>
        <v>Joyce Van Patten</v>
      </c>
      <c r="AE2003" s="12"/>
    </row>
    <row r="2004" customHeight="1" spans="1:31">
      <c r="A2004" s="11" t="s">
        <v>30</v>
      </c>
      <c r="B2004" s="11" t="s">
        <v>10003</v>
      </c>
      <c r="C2004" s="11">
        <v>28</v>
      </c>
      <c r="D2004" s="11">
        <v>117</v>
      </c>
      <c r="E2004" s="11">
        <v>162</v>
      </c>
      <c r="F2004" s="11">
        <v>745</v>
      </c>
      <c r="G2004" s="11">
        <v>2000</v>
      </c>
      <c r="H2004" s="11">
        <v>777423</v>
      </c>
      <c r="I2004" s="11" t="s">
        <v>1635</v>
      </c>
      <c r="J2004" s="11" t="s">
        <v>4055</v>
      </c>
      <c r="K2004" s="11" t="s">
        <v>2637</v>
      </c>
      <c r="L2004" s="11" t="s">
        <v>1054</v>
      </c>
      <c r="M2004" s="11" t="s">
        <v>10004</v>
      </c>
      <c r="N2004" s="11">
        <v>5841</v>
      </c>
      <c r="O2004" s="11">
        <v>4351</v>
      </c>
      <c r="P2004" s="11">
        <v>0</v>
      </c>
      <c r="Q2004" s="11" t="s">
        <v>10005</v>
      </c>
      <c r="R2004" s="14" t="s">
        <v>10006</v>
      </c>
      <c r="S2004" s="11">
        <v>57</v>
      </c>
      <c r="T2004" s="11" t="s">
        <v>39</v>
      </c>
      <c r="U2004" s="11" t="s">
        <v>40</v>
      </c>
      <c r="V2004" s="11" t="s">
        <v>41</v>
      </c>
      <c r="W2004" s="11">
        <v>25000000</v>
      </c>
      <c r="X2004" s="11">
        <v>1998</v>
      </c>
      <c r="Y2004" s="11">
        <v>878</v>
      </c>
      <c r="Z2004" s="11">
        <v>7.2</v>
      </c>
      <c r="AA2004" s="11">
        <v>2.35</v>
      </c>
      <c r="AB2004" s="11">
        <v>942</v>
      </c>
      <c r="AC2004" s="11"/>
      <c r="AD2004" s="11" t="str">
        <f>IFERROR(__xludf.DUMMYFUNCTION("""COMPUTED_VALUE"""),"Raul Julia")</f>
        <v>Raul Julia</v>
      </c>
      <c r="AE2004" s="11"/>
    </row>
    <row r="2005" customHeight="1" spans="1:31">
      <c r="A2005" s="12" t="s">
        <v>30</v>
      </c>
      <c r="B2005" s="12" t="s">
        <v>9163</v>
      </c>
      <c r="C2005" s="12">
        <v>160</v>
      </c>
      <c r="D2005" s="12">
        <v>107</v>
      </c>
      <c r="E2005" s="12">
        <v>0</v>
      </c>
      <c r="F2005" s="12">
        <v>240</v>
      </c>
      <c r="G2005" s="12">
        <v>962</v>
      </c>
      <c r="H2005" s="12">
        <v>1186957</v>
      </c>
      <c r="I2005" s="12" t="s">
        <v>3410</v>
      </c>
      <c r="J2005" s="12" t="s">
        <v>2379</v>
      </c>
      <c r="K2005" s="12" t="s">
        <v>10007</v>
      </c>
      <c r="L2005" s="12" t="s">
        <v>10008</v>
      </c>
      <c r="M2005" s="12" t="s">
        <v>10009</v>
      </c>
      <c r="N2005" s="12">
        <v>9264</v>
      </c>
      <c r="O2005" s="12">
        <v>1591</v>
      </c>
      <c r="P2005" s="12">
        <v>3</v>
      </c>
      <c r="Q2005" s="12" t="s">
        <v>10010</v>
      </c>
      <c r="R2005" s="15" t="s">
        <v>10011</v>
      </c>
      <c r="S2005" s="12">
        <v>69</v>
      </c>
      <c r="T2005" s="12" t="s">
        <v>39</v>
      </c>
      <c r="U2005" s="12" t="s">
        <v>58</v>
      </c>
      <c r="V2005" s="12" t="s">
        <v>41</v>
      </c>
      <c r="W2005" s="12">
        <v>25000000</v>
      </c>
      <c r="X2005" s="12">
        <v>2008</v>
      </c>
      <c r="Y2005" s="12">
        <v>266</v>
      </c>
      <c r="Z2005" s="12">
        <v>6.8</v>
      </c>
      <c r="AA2005" s="12">
        <v>2.35</v>
      </c>
      <c r="AB2005" s="12">
        <v>0</v>
      </c>
      <c r="AC2005" s="12"/>
      <c r="AD2005" s="12" t="str">
        <f>IFERROR(__xludf.DUMMYFUNCTION("""COMPUTED_VALUE"""),"Emilia Fox")</f>
        <v>Emilia Fox</v>
      </c>
      <c r="AE2005" s="12"/>
    </row>
    <row r="2006" customHeight="1" spans="1:31">
      <c r="A2006" s="11" t="s">
        <v>30</v>
      </c>
      <c r="B2006" s="11" t="s">
        <v>10012</v>
      </c>
      <c r="C2006" s="11">
        <v>124</v>
      </c>
      <c r="D2006" s="11">
        <v>131</v>
      </c>
      <c r="E2006" s="11">
        <v>911</v>
      </c>
      <c r="F2006" s="11">
        <v>232</v>
      </c>
      <c r="G2006" s="11">
        <v>5000</v>
      </c>
      <c r="H2006" s="11">
        <v>85433</v>
      </c>
      <c r="I2006" s="11" t="s">
        <v>10013</v>
      </c>
      <c r="J2006" s="11" t="s">
        <v>1850</v>
      </c>
      <c r="K2006" s="11" t="s">
        <v>10014</v>
      </c>
      <c r="L2006" s="11" t="s">
        <v>10015</v>
      </c>
      <c r="M2006" s="11" t="s">
        <v>10016</v>
      </c>
      <c r="N2006" s="11">
        <v>69676</v>
      </c>
      <c r="O2006" s="11">
        <v>5954</v>
      </c>
      <c r="P2006" s="11">
        <v>2</v>
      </c>
      <c r="Q2006" s="11" t="s">
        <v>10017</v>
      </c>
      <c r="R2006" s="14" t="s">
        <v>10018</v>
      </c>
      <c r="S2006" s="11">
        <v>131</v>
      </c>
      <c r="T2006" s="11" t="s">
        <v>39</v>
      </c>
      <c r="U2006" s="11" t="s">
        <v>7091</v>
      </c>
      <c r="V2006" s="11" t="s">
        <v>586</v>
      </c>
      <c r="W2006" s="11">
        <v>13500000</v>
      </c>
      <c r="X2006" s="11">
        <v>2013</v>
      </c>
      <c r="Y2006" s="11">
        <v>234</v>
      </c>
      <c r="Z2006" s="11">
        <v>7.8</v>
      </c>
      <c r="AA2006" s="11">
        <v>2.35</v>
      </c>
      <c r="AB2006" s="11">
        <v>31000</v>
      </c>
      <c r="AC2006" s="11"/>
      <c r="AD2006" s="11" t="str">
        <f>IFERROR(__xludf.DUMMYFUNCTION("""COMPUTED_VALUE"""),"Frank Finlay")</f>
        <v>Frank Finlay</v>
      </c>
      <c r="AE2006" s="11"/>
    </row>
    <row r="2007" customHeight="1" spans="1:31">
      <c r="A2007" s="12" t="s">
        <v>30</v>
      </c>
      <c r="B2007" s="12" t="s">
        <v>10019</v>
      </c>
      <c r="C2007" s="12">
        <v>280</v>
      </c>
      <c r="D2007" s="12">
        <v>122</v>
      </c>
      <c r="E2007" s="12">
        <v>0</v>
      </c>
      <c r="F2007" s="12">
        <v>407</v>
      </c>
      <c r="G2007" s="12">
        <v>12000</v>
      </c>
      <c r="H2007" s="12">
        <v>1697956</v>
      </c>
      <c r="I2007" s="12" t="s">
        <v>1936</v>
      </c>
      <c r="J2007" s="12" t="s">
        <v>705</v>
      </c>
      <c r="K2007" s="12" t="s">
        <v>5857</v>
      </c>
      <c r="L2007" s="12" t="s">
        <v>10020</v>
      </c>
      <c r="M2007" s="12" t="s">
        <v>10021</v>
      </c>
      <c r="N2007" s="12">
        <v>64944</v>
      </c>
      <c r="O2007" s="12">
        <v>13809</v>
      </c>
      <c r="P2007" s="12">
        <v>2</v>
      </c>
      <c r="Q2007" s="12" t="s">
        <v>10022</v>
      </c>
      <c r="R2007" s="15" t="s">
        <v>10023</v>
      </c>
      <c r="S2007" s="12">
        <v>212</v>
      </c>
      <c r="T2007" s="12" t="s">
        <v>39</v>
      </c>
      <c r="U2007" s="12" t="s">
        <v>40</v>
      </c>
      <c r="V2007" s="12" t="s">
        <v>586</v>
      </c>
      <c r="W2007" s="12">
        <v>20000000</v>
      </c>
      <c r="X2007" s="12">
        <v>2009</v>
      </c>
      <c r="Y2007" s="12">
        <v>463</v>
      </c>
      <c r="Z2007" s="12">
        <v>6.7</v>
      </c>
      <c r="AA2007" s="12">
        <v>1.85</v>
      </c>
      <c r="AB2007" s="12">
        <v>6000</v>
      </c>
      <c r="AC2007" s="12"/>
      <c r="AD2007" s="12" t="str">
        <f>IFERROR(__xludf.DUMMYFUNCTION("""COMPUTED_VALUE"""),"Ed Stoppard")</f>
        <v>Ed Stoppard</v>
      </c>
      <c r="AE2007" s="12"/>
    </row>
    <row r="2008" customHeight="1" spans="1:31">
      <c r="A2008" s="11" t="s">
        <v>30</v>
      </c>
      <c r="B2008" s="11" t="s">
        <v>10024</v>
      </c>
      <c r="C2008" s="11">
        <v>56</v>
      </c>
      <c r="D2008" s="11">
        <v>88</v>
      </c>
      <c r="E2008" s="11">
        <v>4</v>
      </c>
      <c r="F2008" s="11">
        <v>602</v>
      </c>
      <c r="G2008" s="11">
        <v>783</v>
      </c>
      <c r="H2008" s="13"/>
      <c r="I2008" s="11" t="s">
        <v>2831</v>
      </c>
      <c r="J2008" s="11" t="s">
        <v>972</v>
      </c>
      <c r="K2008" s="11" t="s">
        <v>5706</v>
      </c>
      <c r="L2008" s="11" t="s">
        <v>1321</v>
      </c>
      <c r="M2008" s="11" t="s">
        <v>10025</v>
      </c>
      <c r="N2008" s="11">
        <v>5385</v>
      </c>
      <c r="O2008" s="11">
        <v>3874</v>
      </c>
      <c r="P2008" s="11">
        <v>2</v>
      </c>
      <c r="Q2008" s="11" t="s">
        <v>10026</v>
      </c>
      <c r="R2008" s="14" t="s">
        <v>10027</v>
      </c>
      <c r="S2008" s="11">
        <v>22</v>
      </c>
      <c r="T2008" s="11" t="s">
        <v>39</v>
      </c>
      <c r="U2008" s="11" t="s">
        <v>1466</v>
      </c>
      <c r="V2008" s="11" t="s">
        <v>96</v>
      </c>
      <c r="W2008" s="13"/>
      <c r="X2008" s="11">
        <v>2010</v>
      </c>
      <c r="Y2008" s="11">
        <v>749</v>
      </c>
      <c r="Z2008" s="11">
        <v>6.1</v>
      </c>
      <c r="AA2008" s="11">
        <v>2.35</v>
      </c>
      <c r="AB2008" s="11">
        <v>0</v>
      </c>
      <c r="AC2008" s="11"/>
      <c r="AD2008" s="11" t="str">
        <f>IFERROR(__xludf.DUMMYFUNCTION("""COMPUTED_VALUE"""),"Keisha Castle-Hughes")</f>
        <v>Keisha Castle-Hughes</v>
      </c>
      <c r="AE2008" s="11"/>
    </row>
    <row r="2009" customHeight="1" spans="1:31">
      <c r="A2009" s="12" t="s">
        <v>30</v>
      </c>
      <c r="B2009" s="12" t="s">
        <v>9647</v>
      </c>
      <c r="C2009" s="12">
        <v>118</v>
      </c>
      <c r="D2009" s="12">
        <v>134</v>
      </c>
      <c r="E2009" s="12">
        <v>0</v>
      </c>
      <c r="F2009" s="12">
        <v>92</v>
      </c>
      <c r="G2009" s="12">
        <v>541</v>
      </c>
      <c r="H2009" s="12">
        <v>183662</v>
      </c>
      <c r="I2009" s="12" t="s">
        <v>2528</v>
      </c>
      <c r="J2009" s="12" t="s">
        <v>6898</v>
      </c>
      <c r="K2009" s="12" t="s">
        <v>10028</v>
      </c>
      <c r="L2009" s="12" t="s">
        <v>10029</v>
      </c>
      <c r="M2009" s="12" t="s">
        <v>10030</v>
      </c>
      <c r="N2009" s="12">
        <v>18395</v>
      </c>
      <c r="O2009" s="12">
        <v>890</v>
      </c>
      <c r="P2009" s="12">
        <v>6</v>
      </c>
      <c r="Q2009" s="12" t="s">
        <v>10031</v>
      </c>
      <c r="R2009" s="15" t="s">
        <v>10032</v>
      </c>
      <c r="S2009" s="12">
        <v>48</v>
      </c>
      <c r="T2009" s="12" t="s">
        <v>1465</v>
      </c>
      <c r="U2009" s="12" t="s">
        <v>1466</v>
      </c>
      <c r="V2009" s="12" t="s">
        <v>4831</v>
      </c>
      <c r="W2009" s="12">
        <v>25000000</v>
      </c>
      <c r="X2009" s="12">
        <v>2010</v>
      </c>
      <c r="Y2009" s="12">
        <v>173</v>
      </c>
      <c r="Z2009" s="12">
        <v>7.1</v>
      </c>
      <c r="AA2009" s="12">
        <v>2.35</v>
      </c>
      <c r="AB2009" s="12">
        <v>0</v>
      </c>
      <c r="AC2009" s="12"/>
      <c r="AD2009" s="12" t="str">
        <f>IFERROR(__xludf.DUMMYFUNCTION("""COMPUTED_VALUE"""),"Hiam Abbass")</f>
        <v>Hiam Abbass</v>
      </c>
      <c r="AE2009" s="12"/>
    </row>
    <row r="2010" customHeight="1" spans="1:31">
      <c r="A2010" s="11" t="s">
        <v>30</v>
      </c>
      <c r="B2010" s="11" t="s">
        <v>3779</v>
      </c>
      <c r="C2010" s="11">
        <v>49</v>
      </c>
      <c r="D2010" s="11">
        <v>117</v>
      </c>
      <c r="E2010" s="11">
        <v>138</v>
      </c>
      <c r="F2010" s="11">
        <v>416</v>
      </c>
      <c r="G2010" s="11">
        <v>908</v>
      </c>
      <c r="H2010" s="11">
        <v>134904</v>
      </c>
      <c r="I2010" s="11" t="s">
        <v>4479</v>
      </c>
      <c r="J2010" s="11" t="s">
        <v>10033</v>
      </c>
      <c r="K2010" s="11" t="s">
        <v>496</v>
      </c>
      <c r="L2010" s="11" t="s">
        <v>10034</v>
      </c>
      <c r="M2010" s="11" t="s">
        <v>10035</v>
      </c>
      <c r="N2010" s="11">
        <v>2395</v>
      </c>
      <c r="O2010" s="11">
        <v>3204</v>
      </c>
      <c r="P2010" s="11">
        <v>9</v>
      </c>
      <c r="Q2010" s="11" t="s">
        <v>10036</v>
      </c>
      <c r="R2010" s="14" t="s">
        <v>10037</v>
      </c>
      <c r="S2010" s="11">
        <v>17</v>
      </c>
      <c r="T2010" s="11" t="s">
        <v>39</v>
      </c>
      <c r="U2010" s="11" t="s">
        <v>40</v>
      </c>
      <c r="V2010" s="11" t="s">
        <v>586</v>
      </c>
      <c r="W2010" s="11">
        <v>25000000</v>
      </c>
      <c r="X2010" s="11">
        <v>2010</v>
      </c>
      <c r="Y2010" s="11">
        <v>581</v>
      </c>
      <c r="Z2010" s="11">
        <v>5.7</v>
      </c>
      <c r="AA2010" s="11">
        <v>1.78</v>
      </c>
      <c r="AB2010" s="11">
        <v>636</v>
      </c>
      <c r="AC2010" s="11"/>
      <c r="AD2010" s="11" t="str">
        <f>IFERROR(__xludf.DUMMYFUNCTION("""COMPUTED_VALUE"""),"Shaun Toub")</f>
        <v>Shaun Toub</v>
      </c>
      <c r="AE2010" s="11"/>
    </row>
    <row r="2011" customHeight="1" spans="1:31">
      <c r="A2011" s="12" t="s">
        <v>30</v>
      </c>
      <c r="B2011" s="12" t="s">
        <v>10038</v>
      </c>
      <c r="C2011" s="12">
        <v>4</v>
      </c>
      <c r="D2011" s="12">
        <v>80</v>
      </c>
      <c r="E2011" s="12">
        <v>0</v>
      </c>
      <c r="F2011" s="12">
        <v>0</v>
      </c>
      <c r="G2011" s="12">
        <v>44</v>
      </c>
      <c r="H2011" s="16"/>
      <c r="I2011" s="12" t="s">
        <v>3254</v>
      </c>
      <c r="J2011" s="12" t="s">
        <v>10039</v>
      </c>
      <c r="K2011" s="12" t="s">
        <v>10040</v>
      </c>
      <c r="L2011" s="12" t="s">
        <v>10038</v>
      </c>
      <c r="M2011" s="12" t="s">
        <v>10041</v>
      </c>
      <c r="N2011" s="12">
        <v>753</v>
      </c>
      <c r="O2011" s="12">
        <v>53</v>
      </c>
      <c r="P2011" s="12">
        <v>0</v>
      </c>
      <c r="Q2011" s="12" t="s">
        <v>10042</v>
      </c>
      <c r="R2011" s="15" t="s">
        <v>10043</v>
      </c>
      <c r="S2011" s="12">
        <v>24</v>
      </c>
      <c r="T2011" s="12" t="s">
        <v>39</v>
      </c>
      <c r="U2011" s="12" t="s">
        <v>1466</v>
      </c>
      <c r="V2011" s="12" t="s">
        <v>278</v>
      </c>
      <c r="W2011" s="12">
        <v>25000000</v>
      </c>
      <c r="X2011" s="12">
        <v>2009</v>
      </c>
      <c r="Y2011" s="12">
        <v>9</v>
      </c>
      <c r="Z2011" s="12">
        <v>2.9</v>
      </c>
      <c r="AA2011" s="16"/>
      <c r="AB2011" s="12">
        <v>90</v>
      </c>
      <c r="AC2011" s="12"/>
      <c r="AD2011" s="12" t="str">
        <f>IFERROR(__xludf.DUMMYFUNCTION("""COMPUTED_VALUE"""),"Paris Hilton")</f>
        <v>Paris Hilton</v>
      </c>
      <c r="AE2011" s="12"/>
    </row>
    <row r="2012" customHeight="1" spans="1:31">
      <c r="A2012" s="11" t="s">
        <v>30</v>
      </c>
      <c r="B2012" s="11" t="s">
        <v>10044</v>
      </c>
      <c r="C2012" s="11">
        <v>16</v>
      </c>
      <c r="D2012" s="11">
        <v>85</v>
      </c>
      <c r="E2012" s="11">
        <v>0</v>
      </c>
      <c r="F2012" s="11">
        <v>7</v>
      </c>
      <c r="G2012" s="11">
        <v>21</v>
      </c>
      <c r="H2012" s="13"/>
      <c r="I2012" s="11" t="s">
        <v>471</v>
      </c>
      <c r="J2012" s="11" t="s">
        <v>8751</v>
      </c>
      <c r="K2012" s="11" t="s">
        <v>10045</v>
      </c>
      <c r="L2012" s="11" t="s">
        <v>10046</v>
      </c>
      <c r="M2012" s="11" t="s">
        <v>10047</v>
      </c>
      <c r="N2012" s="11">
        <v>891</v>
      </c>
      <c r="O2012" s="11">
        <v>48</v>
      </c>
      <c r="P2012" s="11">
        <v>0</v>
      </c>
      <c r="Q2012" s="11" t="s">
        <v>10048</v>
      </c>
      <c r="R2012" s="14" t="s">
        <v>10049</v>
      </c>
      <c r="S2012" s="11">
        <v>8</v>
      </c>
      <c r="T2012" s="11" t="s">
        <v>5642</v>
      </c>
      <c r="U2012" s="11" t="s">
        <v>7171</v>
      </c>
      <c r="V2012" s="11" t="s">
        <v>278</v>
      </c>
      <c r="W2012" s="11">
        <v>25000000</v>
      </c>
      <c r="X2012" s="11">
        <v>2010</v>
      </c>
      <c r="Y2012" s="11">
        <v>15</v>
      </c>
      <c r="Z2012" s="11">
        <v>5.2</v>
      </c>
      <c r="AA2012" s="13"/>
      <c r="AB2012" s="11">
        <v>200</v>
      </c>
      <c r="AC2012" s="11"/>
      <c r="AD2012" s="11" t="str">
        <f>IFERROR(__xludf.DUMMYFUNCTION("""COMPUTED_VALUE"""),"Brian Van Holt")</f>
        <v>Brian Van Holt</v>
      </c>
      <c r="AE2012" s="11"/>
    </row>
    <row r="2013" customHeight="1" spans="1:31">
      <c r="A2013" s="12" t="s">
        <v>30</v>
      </c>
      <c r="B2013" s="12" t="s">
        <v>188</v>
      </c>
      <c r="C2013" s="12">
        <v>336</v>
      </c>
      <c r="D2013" s="12">
        <v>138</v>
      </c>
      <c r="E2013" s="12">
        <v>0</v>
      </c>
      <c r="F2013" s="12">
        <v>1000</v>
      </c>
      <c r="G2013" s="12">
        <v>13000</v>
      </c>
      <c r="H2013" s="12">
        <v>16969390</v>
      </c>
      <c r="I2013" s="12" t="s">
        <v>2126</v>
      </c>
      <c r="J2013" s="12" t="s">
        <v>459</v>
      </c>
      <c r="K2013" s="12" t="s">
        <v>343</v>
      </c>
      <c r="L2013" s="12" t="s">
        <v>2143</v>
      </c>
      <c r="M2013" s="12" t="s">
        <v>10050</v>
      </c>
      <c r="N2013" s="12">
        <v>80861</v>
      </c>
      <c r="O2013" s="12">
        <v>27797</v>
      </c>
      <c r="P2013" s="12">
        <v>4</v>
      </c>
      <c r="Q2013" s="12" t="s">
        <v>10051</v>
      </c>
      <c r="R2013" s="15" t="s">
        <v>10052</v>
      </c>
      <c r="S2013" s="12">
        <v>431</v>
      </c>
      <c r="T2013" s="12" t="s">
        <v>39</v>
      </c>
      <c r="U2013" s="12" t="s">
        <v>40</v>
      </c>
      <c r="V2013" s="12" t="s">
        <v>586</v>
      </c>
      <c r="W2013" s="12">
        <v>25000000</v>
      </c>
      <c r="X2013" s="12">
        <v>2013</v>
      </c>
      <c r="Y2013" s="12">
        <v>11000</v>
      </c>
      <c r="Z2013" s="12">
        <v>5.3</v>
      </c>
      <c r="AA2013" s="12">
        <v>2.35</v>
      </c>
      <c r="AB2013" s="12">
        <v>24000</v>
      </c>
      <c r="AC2013" s="12"/>
      <c r="AD2013" s="12" t="str">
        <f>IFERROR(__xludf.DUMMYFUNCTION("""COMPUTED_VALUE"""),"Colin Stinton")</f>
        <v>Colin Stinton</v>
      </c>
      <c r="AE2013" s="12"/>
    </row>
    <row r="2014" customHeight="1" spans="1:31">
      <c r="A2014" s="11" t="s">
        <v>30</v>
      </c>
      <c r="B2014" s="11" t="s">
        <v>10053</v>
      </c>
      <c r="C2014" s="11">
        <v>91</v>
      </c>
      <c r="D2014" s="11">
        <v>121</v>
      </c>
      <c r="E2014" s="11">
        <v>9</v>
      </c>
      <c r="F2014" s="11">
        <v>520</v>
      </c>
      <c r="G2014" s="11">
        <v>1000</v>
      </c>
      <c r="H2014" s="13"/>
      <c r="I2014" s="11" t="s">
        <v>10054</v>
      </c>
      <c r="J2014" s="11" t="s">
        <v>688</v>
      </c>
      <c r="K2014" s="11" t="s">
        <v>1213</v>
      </c>
      <c r="L2014" s="11" t="s">
        <v>1997</v>
      </c>
      <c r="M2014" s="11" t="s">
        <v>10055</v>
      </c>
      <c r="N2014" s="11">
        <v>34338</v>
      </c>
      <c r="O2014" s="11">
        <v>3287</v>
      </c>
      <c r="P2014" s="11">
        <v>2</v>
      </c>
      <c r="Q2014" s="11" t="s">
        <v>10056</v>
      </c>
      <c r="R2014" s="14" t="s">
        <v>10057</v>
      </c>
      <c r="S2014" s="11">
        <v>103</v>
      </c>
      <c r="T2014" s="11" t="s">
        <v>39</v>
      </c>
      <c r="U2014" s="11" t="s">
        <v>58</v>
      </c>
      <c r="V2014" s="11" t="s">
        <v>586</v>
      </c>
      <c r="W2014" s="11">
        <v>25000000</v>
      </c>
      <c r="X2014" s="11">
        <v>2011</v>
      </c>
      <c r="Y2014" s="11">
        <v>870</v>
      </c>
      <c r="Z2014" s="11">
        <v>6.2</v>
      </c>
      <c r="AA2014" s="11">
        <v>2.35</v>
      </c>
      <c r="AB2014" s="11">
        <v>0</v>
      </c>
      <c r="AC2014" s="11"/>
      <c r="AD2014" s="11" t="str">
        <f>IFERROR(__xludf.DUMMYFUNCTION("""COMPUTED_VALUE"""),"Aaliyah")</f>
        <v>Aaliyah</v>
      </c>
      <c r="AE2014" s="11"/>
    </row>
    <row r="2015" customHeight="1" spans="1:31">
      <c r="A2015" s="12" t="s">
        <v>30</v>
      </c>
      <c r="B2015" s="12" t="s">
        <v>10058</v>
      </c>
      <c r="C2015" s="12">
        <v>16</v>
      </c>
      <c r="D2015" s="12">
        <v>134</v>
      </c>
      <c r="E2015" s="12">
        <v>27</v>
      </c>
      <c r="F2015" s="12">
        <v>87</v>
      </c>
      <c r="G2015" s="12">
        <v>279</v>
      </c>
      <c r="H2015" s="16"/>
      <c r="I2015" s="12" t="s">
        <v>1017</v>
      </c>
      <c r="J2015" s="12" t="s">
        <v>5807</v>
      </c>
      <c r="K2015" s="12" t="s">
        <v>10059</v>
      </c>
      <c r="L2015" s="12" t="s">
        <v>10060</v>
      </c>
      <c r="M2015" s="12" t="s">
        <v>10061</v>
      </c>
      <c r="N2015" s="12">
        <v>5911</v>
      </c>
      <c r="O2015" s="12">
        <v>705</v>
      </c>
      <c r="P2015" s="12">
        <v>2</v>
      </c>
      <c r="Q2015" s="12" t="s">
        <v>10062</v>
      </c>
      <c r="R2015" s="15" t="s">
        <v>10063</v>
      </c>
      <c r="S2015" s="12">
        <v>76</v>
      </c>
      <c r="T2015" s="12" t="s">
        <v>39</v>
      </c>
      <c r="U2015" s="12" t="s">
        <v>7091</v>
      </c>
      <c r="V2015" s="12" t="s">
        <v>278</v>
      </c>
      <c r="W2015" s="12">
        <v>25000000</v>
      </c>
      <c r="X2015" s="12">
        <v>1970</v>
      </c>
      <c r="Y2015" s="12">
        <v>128</v>
      </c>
      <c r="Z2015" s="12">
        <v>7.3</v>
      </c>
      <c r="AA2015" s="12">
        <v>2.35</v>
      </c>
      <c r="AB2015" s="12">
        <v>690</v>
      </c>
      <c r="AC2015" s="12"/>
      <c r="AD2015" s="12" t="str">
        <f>IFERROR(__xludf.DUMMYFUNCTION("""COMPUTED_VALUE"""),"Kevin Peter Hall")</f>
        <v>Kevin Peter Hall</v>
      </c>
      <c r="AE2015" s="12"/>
    </row>
    <row r="2016" customHeight="1" spans="1:31">
      <c r="A2016" s="11" t="s">
        <v>30</v>
      </c>
      <c r="B2016" s="11" t="s">
        <v>10064</v>
      </c>
      <c r="C2016" s="11">
        <v>65</v>
      </c>
      <c r="D2016" s="11">
        <v>100</v>
      </c>
      <c r="E2016" s="11">
        <v>3</v>
      </c>
      <c r="F2016" s="11">
        <v>55</v>
      </c>
      <c r="G2016" s="11">
        <v>79</v>
      </c>
      <c r="H2016" s="11">
        <v>129115</v>
      </c>
      <c r="I2016" s="11" t="s">
        <v>777</v>
      </c>
      <c r="J2016" s="11" t="s">
        <v>10065</v>
      </c>
      <c r="K2016" s="11" t="s">
        <v>5963</v>
      </c>
      <c r="L2016" s="11" t="s">
        <v>10066</v>
      </c>
      <c r="M2016" s="11" t="s">
        <v>10067</v>
      </c>
      <c r="N2016" s="11">
        <v>5900</v>
      </c>
      <c r="O2016" s="11">
        <v>285</v>
      </c>
      <c r="P2016" s="11">
        <v>2</v>
      </c>
      <c r="Q2016" s="11" t="s">
        <v>10068</v>
      </c>
      <c r="R2016" s="14" t="s">
        <v>10069</v>
      </c>
      <c r="S2016" s="11">
        <v>26</v>
      </c>
      <c r="T2016" s="11" t="s">
        <v>7242</v>
      </c>
      <c r="U2016" s="11" t="s">
        <v>893</v>
      </c>
      <c r="V2016" s="13"/>
      <c r="W2016" s="11">
        <v>25000000</v>
      </c>
      <c r="X2016" s="11">
        <v>2014</v>
      </c>
      <c r="Y2016" s="11">
        <v>68</v>
      </c>
      <c r="Z2016" s="11">
        <v>6.5</v>
      </c>
      <c r="AA2016" s="11">
        <v>2.35</v>
      </c>
      <c r="AB2016" s="11">
        <v>0</v>
      </c>
      <c r="AC2016" s="11"/>
      <c r="AD2016" s="11" t="str">
        <f>IFERROR(__xludf.DUMMYFUNCTION("""COMPUTED_VALUE"""),"Jesse Tyler Ferguson")</f>
        <v>Jesse Tyler Ferguson</v>
      </c>
      <c r="AE2016" s="11"/>
    </row>
    <row r="2017" customHeight="1" spans="1:31">
      <c r="A2017" s="16"/>
      <c r="B2017" s="12" t="s">
        <v>9330</v>
      </c>
      <c r="C2017" s="12">
        <v>7</v>
      </c>
      <c r="D2017" s="12">
        <v>100</v>
      </c>
      <c r="E2017" s="12">
        <v>535</v>
      </c>
      <c r="F2017" s="12">
        <v>399</v>
      </c>
      <c r="G2017" s="12">
        <v>668</v>
      </c>
      <c r="H2017" s="16"/>
      <c r="I2017" s="12" t="s">
        <v>60</v>
      </c>
      <c r="J2017" s="12" t="s">
        <v>6021</v>
      </c>
      <c r="K2017" s="12" t="s">
        <v>9330</v>
      </c>
      <c r="L2017" s="12" t="s">
        <v>5516</v>
      </c>
      <c r="M2017" s="12" t="s">
        <v>10070</v>
      </c>
      <c r="N2017" s="12">
        <v>1084</v>
      </c>
      <c r="O2017" s="12">
        <v>2204</v>
      </c>
      <c r="P2017" s="12">
        <v>0</v>
      </c>
      <c r="Q2017" s="12" t="s">
        <v>10071</v>
      </c>
      <c r="R2017" s="15" t="s">
        <v>10072</v>
      </c>
      <c r="S2017" s="12">
        <v>11</v>
      </c>
      <c r="T2017" s="12" t="s">
        <v>39</v>
      </c>
      <c r="U2017" s="12" t="s">
        <v>40</v>
      </c>
      <c r="V2017" s="12" t="s">
        <v>41</v>
      </c>
      <c r="W2017" s="12">
        <v>25000000</v>
      </c>
      <c r="X2017" s="12">
        <v>2014</v>
      </c>
      <c r="Y2017" s="12">
        <v>535</v>
      </c>
      <c r="Z2017" s="12">
        <v>4.1</v>
      </c>
      <c r="AA2017" s="16"/>
      <c r="AB2017" s="12">
        <v>437</v>
      </c>
      <c r="AC2017" s="12"/>
      <c r="AD2017" s="12" t="str">
        <f>IFERROR(__xludf.DUMMYFUNCTION("""COMPUTED_VALUE"""),"Joseph Cross")</f>
        <v>Joseph Cross</v>
      </c>
      <c r="AE2017" s="12"/>
    </row>
    <row r="2018" customHeight="1" spans="1:31">
      <c r="A2018" s="11" t="s">
        <v>30</v>
      </c>
      <c r="B2018" s="11" t="s">
        <v>5648</v>
      </c>
      <c r="C2018" s="11">
        <v>51</v>
      </c>
      <c r="D2018" s="11">
        <v>119</v>
      </c>
      <c r="E2018" s="11">
        <v>350</v>
      </c>
      <c r="F2018" s="11">
        <v>418</v>
      </c>
      <c r="G2018" s="11">
        <v>18000</v>
      </c>
      <c r="H2018" s="11">
        <v>34700000</v>
      </c>
      <c r="I2018" s="11" t="s">
        <v>214</v>
      </c>
      <c r="J2018" s="11" t="s">
        <v>588</v>
      </c>
      <c r="K2018" s="11" t="s">
        <v>342</v>
      </c>
      <c r="L2018" s="11" t="s">
        <v>5679</v>
      </c>
      <c r="M2018" s="11" t="s">
        <v>10073</v>
      </c>
      <c r="N2018" s="11">
        <v>52846</v>
      </c>
      <c r="O2018" s="11">
        <v>35501</v>
      </c>
      <c r="P2018" s="11">
        <v>2</v>
      </c>
      <c r="Q2018" s="11" t="s">
        <v>10074</v>
      </c>
      <c r="R2018" s="14" t="s">
        <v>10075</v>
      </c>
      <c r="S2018" s="11">
        <v>143</v>
      </c>
      <c r="T2018" s="11" t="s">
        <v>39</v>
      </c>
      <c r="U2018" s="11" t="s">
        <v>40</v>
      </c>
      <c r="V2018" s="11" t="s">
        <v>586</v>
      </c>
      <c r="W2018" s="11">
        <v>14000000</v>
      </c>
      <c r="X2018" s="11">
        <v>1988</v>
      </c>
      <c r="Y2018" s="11">
        <v>17000</v>
      </c>
      <c r="Z2018" s="11">
        <v>7.7</v>
      </c>
      <c r="AA2018" s="11">
        <v>1.85</v>
      </c>
      <c r="AB2018" s="11">
        <v>0</v>
      </c>
      <c r="AC2018" s="11"/>
      <c r="AD2018" s="11" t="str">
        <f>IFERROR(__xludf.DUMMYFUNCTION("""COMPUTED_VALUE"""),"Douglas Smith")</f>
        <v>Douglas Smith</v>
      </c>
      <c r="AE2018" s="11"/>
    </row>
    <row r="2019" customHeight="1" spans="1:31">
      <c r="A2019" s="12" t="s">
        <v>30</v>
      </c>
      <c r="B2019" s="12" t="s">
        <v>4383</v>
      </c>
      <c r="C2019" s="12">
        <v>252</v>
      </c>
      <c r="D2019" s="12">
        <v>137</v>
      </c>
      <c r="E2019" s="12">
        <v>179</v>
      </c>
      <c r="F2019" s="12">
        <v>4000</v>
      </c>
      <c r="G2019" s="12">
        <v>17000</v>
      </c>
      <c r="H2019" s="12">
        <v>717753</v>
      </c>
      <c r="I2019" s="12" t="s">
        <v>7043</v>
      </c>
      <c r="J2019" s="12" t="s">
        <v>559</v>
      </c>
      <c r="K2019" s="12" t="s">
        <v>2825</v>
      </c>
      <c r="L2019" s="12" t="s">
        <v>84</v>
      </c>
      <c r="M2019" s="12" t="s">
        <v>10076</v>
      </c>
      <c r="N2019" s="12">
        <v>33107</v>
      </c>
      <c r="O2019" s="12">
        <v>33747</v>
      </c>
      <c r="P2019" s="12">
        <v>4</v>
      </c>
      <c r="Q2019" s="12" t="s">
        <v>10077</v>
      </c>
      <c r="R2019" s="15" t="s">
        <v>10078</v>
      </c>
      <c r="S2019" s="12">
        <v>128</v>
      </c>
      <c r="T2019" s="12" t="s">
        <v>39</v>
      </c>
      <c r="U2019" s="12" t="s">
        <v>1466</v>
      </c>
      <c r="V2019" s="12" t="s">
        <v>586</v>
      </c>
      <c r="W2019" s="12">
        <v>25000000</v>
      </c>
      <c r="X2019" s="12">
        <v>2012</v>
      </c>
      <c r="Y2019" s="12">
        <v>10000</v>
      </c>
      <c r="Z2019" s="12">
        <v>6.1</v>
      </c>
      <c r="AA2019" s="12">
        <v>2.35</v>
      </c>
      <c r="AB2019" s="12">
        <v>27000</v>
      </c>
      <c r="AC2019" s="12"/>
      <c r="AD2019" s="12" t="str">
        <f>IFERROR(__xludf.DUMMYFUNCTION("""COMPUTED_VALUE"""),"Sam J. Jones")</f>
        <v>Sam J. Jones</v>
      </c>
      <c r="AE2019" s="12"/>
    </row>
    <row r="2020" customHeight="1" spans="1:31">
      <c r="A2020" s="11" t="s">
        <v>30</v>
      </c>
      <c r="B2020" s="11" t="s">
        <v>1029</v>
      </c>
      <c r="C2020" s="11">
        <v>106</v>
      </c>
      <c r="D2020" s="11">
        <v>119</v>
      </c>
      <c r="E2020" s="11">
        <v>12000</v>
      </c>
      <c r="F2020" s="11">
        <v>643</v>
      </c>
      <c r="G2020" s="11">
        <v>12000</v>
      </c>
      <c r="H2020" s="11">
        <v>109713132</v>
      </c>
      <c r="I2020" s="11" t="s">
        <v>1875</v>
      </c>
      <c r="J2020" s="11" t="s">
        <v>1029</v>
      </c>
      <c r="K2020" s="11" t="s">
        <v>7283</v>
      </c>
      <c r="L2020" s="11" t="s">
        <v>7284</v>
      </c>
      <c r="M2020" s="11" t="s">
        <v>10079</v>
      </c>
      <c r="N2020" s="11">
        <v>61621</v>
      </c>
      <c r="O2020" s="11">
        <v>15449</v>
      </c>
      <c r="P2020" s="11">
        <v>5</v>
      </c>
      <c r="Q2020" s="11" t="s">
        <v>10080</v>
      </c>
      <c r="R2020" s="14" t="s">
        <v>10081</v>
      </c>
      <c r="S2020" s="11">
        <v>219</v>
      </c>
      <c r="T2020" s="11" t="s">
        <v>39</v>
      </c>
      <c r="U2020" s="11" t="s">
        <v>40</v>
      </c>
      <c r="V2020" s="11" t="s">
        <v>96</v>
      </c>
      <c r="W2020" s="11">
        <v>25000000</v>
      </c>
      <c r="X2020" s="11">
        <v>1986</v>
      </c>
      <c r="Y2020" s="11">
        <v>664</v>
      </c>
      <c r="Z2020" s="11">
        <v>7.3</v>
      </c>
      <c r="AA2020" s="11">
        <v>2.35</v>
      </c>
      <c r="AB2020" s="11">
        <v>0</v>
      </c>
      <c r="AC2020" s="11"/>
      <c r="AD2020" s="11" t="str">
        <f>IFERROR(__xludf.DUMMYFUNCTION("""COMPUTED_VALUE"""),"Cicely Tyson")</f>
        <v>Cicely Tyson</v>
      </c>
      <c r="AE2020" s="11"/>
    </row>
    <row r="2021" customHeight="1" spans="1:31">
      <c r="A2021" s="12" t="s">
        <v>30</v>
      </c>
      <c r="B2021" s="12" t="s">
        <v>1785</v>
      </c>
      <c r="C2021" s="12">
        <v>285</v>
      </c>
      <c r="D2021" s="12">
        <v>139</v>
      </c>
      <c r="E2021" s="12">
        <v>13000</v>
      </c>
      <c r="F2021" s="12">
        <v>461</v>
      </c>
      <c r="G2021" s="12">
        <v>13000</v>
      </c>
      <c r="H2021" s="12">
        <v>70269171</v>
      </c>
      <c r="I2021" s="12" t="s">
        <v>3794</v>
      </c>
      <c r="J2021" s="12" t="s">
        <v>1785</v>
      </c>
      <c r="K2021" s="12" t="s">
        <v>1906</v>
      </c>
      <c r="L2021" s="12" t="s">
        <v>2545</v>
      </c>
      <c r="M2021" s="12" t="s">
        <v>10082</v>
      </c>
      <c r="N2021" s="12">
        <v>162130</v>
      </c>
      <c r="O2021" s="12">
        <v>15111</v>
      </c>
      <c r="P2021" s="12">
        <v>0</v>
      </c>
      <c r="Q2021" s="12" t="s">
        <v>10083</v>
      </c>
      <c r="R2021" s="15" t="s">
        <v>10084</v>
      </c>
      <c r="S2021" s="12">
        <v>962</v>
      </c>
      <c r="T2021" s="12" t="s">
        <v>39</v>
      </c>
      <c r="U2021" s="12" t="s">
        <v>40</v>
      </c>
      <c r="V2021" s="12" t="s">
        <v>96</v>
      </c>
      <c r="W2021" s="12">
        <v>24000000</v>
      </c>
      <c r="X2021" s="12">
        <v>2006</v>
      </c>
      <c r="Y2021" s="12">
        <v>683</v>
      </c>
      <c r="Z2021" s="12">
        <v>7.2</v>
      </c>
      <c r="AA2021" s="12">
        <v>1.85</v>
      </c>
      <c r="AB2021" s="12">
        <v>0</v>
      </c>
      <c r="AC2021" s="12"/>
      <c r="AD2021" s="12" t="str">
        <f>IFERROR(__xludf.DUMMYFUNCTION("""COMPUTED_VALUE"""),"Carmen Ejogo")</f>
        <v>Carmen Ejogo</v>
      </c>
      <c r="AE2021" s="12"/>
    </row>
    <row r="2022" customHeight="1" spans="1:31">
      <c r="A2022" s="11" t="s">
        <v>30</v>
      </c>
      <c r="B2022" s="11" t="s">
        <v>1885</v>
      </c>
      <c r="C2022" s="11">
        <v>163</v>
      </c>
      <c r="D2022" s="11">
        <v>114</v>
      </c>
      <c r="E2022" s="11">
        <v>19</v>
      </c>
      <c r="F2022" s="11">
        <v>848</v>
      </c>
      <c r="G2022" s="11">
        <v>1000</v>
      </c>
      <c r="H2022" s="11">
        <v>28772222</v>
      </c>
      <c r="I2022" s="11" t="s">
        <v>1886</v>
      </c>
      <c r="J2022" s="11" t="s">
        <v>392</v>
      </c>
      <c r="K2022" s="11" t="s">
        <v>878</v>
      </c>
      <c r="L2022" s="11" t="s">
        <v>472</v>
      </c>
      <c r="M2022" s="11" t="s">
        <v>1887</v>
      </c>
      <c r="N2022" s="11">
        <v>33958</v>
      </c>
      <c r="O2022" s="11">
        <v>3962</v>
      </c>
      <c r="P2022" s="11">
        <v>1</v>
      </c>
      <c r="Q2022" s="11" t="s">
        <v>1888</v>
      </c>
      <c r="R2022" s="14" t="s">
        <v>1889</v>
      </c>
      <c r="S2022" s="11">
        <v>163</v>
      </c>
      <c r="T2022" s="11" t="s">
        <v>39</v>
      </c>
      <c r="U2022" s="11" t="s">
        <v>40</v>
      </c>
      <c r="V2022" s="11" t="s">
        <v>41</v>
      </c>
      <c r="W2022" s="11">
        <v>105000000</v>
      </c>
      <c r="X2022" s="11">
        <v>2015</v>
      </c>
      <c r="Y2022" s="11">
        <v>897</v>
      </c>
      <c r="Z2022" s="11">
        <v>5.3</v>
      </c>
      <c r="AA2022" s="11">
        <v>2.35</v>
      </c>
      <c r="AB2022" s="11">
        <v>37000</v>
      </c>
      <c r="AC2022" s="11"/>
      <c r="AD2022" s="11" t="str">
        <f>IFERROR(__xludf.DUMMYFUNCTION("""COMPUTED_VALUE"""),"Leon Rippy")</f>
        <v>Leon Rippy</v>
      </c>
      <c r="AE2022" s="11"/>
    </row>
    <row r="2023" customHeight="1" spans="1:31">
      <c r="A2023" s="12" t="s">
        <v>30</v>
      </c>
      <c r="B2023" s="12" t="s">
        <v>6309</v>
      </c>
      <c r="C2023" s="12">
        <v>195</v>
      </c>
      <c r="D2023" s="12">
        <v>120</v>
      </c>
      <c r="E2023" s="12">
        <v>0</v>
      </c>
      <c r="F2023" s="12">
        <v>221</v>
      </c>
      <c r="G2023" s="12">
        <v>865</v>
      </c>
      <c r="H2023" s="12">
        <v>101334374</v>
      </c>
      <c r="I2023" s="12" t="s">
        <v>5104</v>
      </c>
      <c r="J2023" s="12" t="s">
        <v>5969</v>
      </c>
      <c r="K2023" s="12" t="s">
        <v>805</v>
      </c>
      <c r="L2023" s="12" t="s">
        <v>10085</v>
      </c>
      <c r="M2023" s="12" t="s">
        <v>10086</v>
      </c>
      <c r="N2023" s="12">
        <v>124941</v>
      </c>
      <c r="O2023" s="12">
        <v>2321</v>
      </c>
      <c r="P2023" s="12">
        <v>5</v>
      </c>
      <c r="Q2023" s="12" t="s">
        <v>10087</v>
      </c>
      <c r="R2023" s="15" t="s">
        <v>10088</v>
      </c>
      <c r="S2023" s="12">
        <v>488</v>
      </c>
      <c r="T2023" s="12" t="s">
        <v>39</v>
      </c>
      <c r="U2023" s="12" t="s">
        <v>40</v>
      </c>
      <c r="V2023" s="12" t="s">
        <v>586</v>
      </c>
      <c r="W2023" s="12">
        <v>24000000</v>
      </c>
      <c r="X2023" s="12">
        <v>1997</v>
      </c>
      <c r="Y2023" s="12">
        <v>851</v>
      </c>
      <c r="Z2023" s="12">
        <v>6.1</v>
      </c>
      <c r="AA2023" s="12">
        <v>2.35</v>
      </c>
      <c r="AB2023" s="12">
        <v>0</v>
      </c>
      <c r="AC2023" s="12"/>
      <c r="AD2023" s="12" t="str">
        <f>IFERROR(__xludf.DUMMYFUNCTION("""COMPUTED_VALUE"""),"Bill Bailey")</f>
        <v>Bill Bailey</v>
      </c>
      <c r="AE2023" s="12"/>
    </row>
    <row r="2024" customHeight="1" spans="1:31">
      <c r="A2024" s="11" t="s">
        <v>30</v>
      </c>
      <c r="B2024" s="11" t="s">
        <v>8566</v>
      </c>
      <c r="C2024" s="11">
        <v>123</v>
      </c>
      <c r="D2024" s="11">
        <v>98</v>
      </c>
      <c r="E2024" s="11">
        <v>149</v>
      </c>
      <c r="F2024" s="11">
        <v>439</v>
      </c>
      <c r="G2024" s="11">
        <v>20000</v>
      </c>
      <c r="H2024" s="11">
        <v>1512815</v>
      </c>
      <c r="I2024" s="11" t="s">
        <v>10089</v>
      </c>
      <c r="J2024" s="11" t="s">
        <v>842</v>
      </c>
      <c r="K2024" s="11" t="s">
        <v>1469</v>
      </c>
      <c r="L2024" s="11" t="s">
        <v>9232</v>
      </c>
      <c r="M2024" s="11" t="s">
        <v>10090</v>
      </c>
      <c r="N2024" s="11">
        <v>8885</v>
      </c>
      <c r="O2024" s="11">
        <v>21414</v>
      </c>
      <c r="P2024" s="11">
        <v>0</v>
      </c>
      <c r="Q2024" s="11" t="s">
        <v>10091</v>
      </c>
      <c r="R2024" s="14" t="s">
        <v>10092</v>
      </c>
      <c r="S2024" s="11">
        <v>56</v>
      </c>
      <c r="T2024" s="11" t="s">
        <v>39</v>
      </c>
      <c r="U2024" s="11" t="s">
        <v>40</v>
      </c>
      <c r="V2024" s="11" t="s">
        <v>586</v>
      </c>
      <c r="W2024" s="11">
        <v>25000000</v>
      </c>
      <c r="X2024" s="11">
        <v>2016</v>
      </c>
      <c r="Y2024" s="11">
        <v>617</v>
      </c>
      <c r="Z2024" s="11">
        <v>5.8</v>
      </c>
      <c r="AA2024" s="11">
        <v>2.35</v>
      </c>
      <c r="AB2024" s="11">
        <v>0</v>
      </c>
      <c r="AC2024" s="11"/>
      <c r="AD2024" s="11" t="str">
        <f>IFERROR(__xludf.DUMMYFUNCTION("""COMPUTED_VALUE"""),"Eros Vlahos")</f>
        <v>Eros Vlahos</v>
      </c>
      <c r="AE2024" s="11"/>
    </row>
    <row r="2025" customHeight="1" spans="1:31">
      <c r="A2025" s="12" t="s">
        <v>30</v>
      </c>
      <c r="B2025" s="12" t="s">
        <v>1352</v>
      </c>
      <c r="C2025" s="12">
        <v>52</v>
      </c>
      <c r="D2025" s="12">
        <v>106</v>
      </c>
      <c r="E2025" s="12">
        <v>167</v>
      </c>
      <c r="F2025" s="12">
        <v>676</v>
      </c>
      <c r="G2025" s="12">
        <v>966</v>
      </c>
      <c r="H2025" s="12">
        <v>65182182</v>
      </c>
      <c r="I2025" s="12" t="s">
        <v>1681</v>
      </c>
      <c r="J2025" s="12" t="s">
        <v>3899</v>
      </c>
      <c r="K2025" s="12" t="s">
        <v>5704</v>
      </c>
      <c r="L2025" s="12" t="s">
        <v>4813</v>
      </c>
      <c r="M2025" s="12" t="s">
        <v>10093</v>
      </c>
      <c r="N2025" s="12">
        <v>15310</v>
      </c>
      <c r="O2025" s="12">
        <v>4830</v>
      </c>
      <c r="P2025" s="12">
        <v>8</v>
      </c>
      <c r="Q2025" s="12" t="s">
        <v>10094</v>
      </c>
      <c r="R2025" s="15" t="s">
        <v>10095</v>
      </c>
      <c r="S2025" s="12">
        <v>38</v>
      </c>
      <c r="T2025" s="12" t="s">
        <v>39</v>
      </c>
      <c r="U2025" s="12" t="s">
        <v>40</v>
      </c>
      <c r="V2025" s="12" t="s">
        <v>41</v>
      </c>
      <c r="W2025" s="12">
        <v>24000000</v>
      </c>
      <c r="X2025" s="12">
        <v>2014</v>
      </c>
      <c r="Y2025" s="12">
        <v>807</v>
      </c>
      <c r="Z2025" s="12">
        <v>5.7</v>
      </c>
      <c r="AA2025" s="12">
        <v>2.35</v>
      </c>
      <c r="AB2025" s="12">
        <v>3000</v>
      </c>
      <c r="AC2025" s="12"/>
      <c r="AD2025" s="12" t="str">
        <f>IFERROR(__xludf.DUMMYFUNCTION("""COMPUTED_VALUE"""),"Frank Whaley")</f>
        <v>Frank Whaley</v>
      </c>
      <c r="AE2025" s="12"/>
    </row>
    <row r="2026" customHeight="1" spans="1:31">
      <c r="A2026" s="11" t="s">
        <v>30</v>
      </c>
      <c r="B2026" s="11" t="s">
        <v>6964</v>
      </c>
      <c r="C2026" s="11">
        <v>129</v>
      </c>
      <c r="D2026" s="11">
        <v>98</v>
      </c>
      <c r="E2026" s="11">
        <v>36</v>
      </c>
      <c r="F2026" s="11">
        <v>900</v>
      </c>
      <c r="G2026" s="11">
        <v>13000</v>
      </c>
      <c r="H2026" s="11">
        <v>57262492</v>
      </c>
      <c r="I2026" s="11" t="s">
        <v>1009</v>
      </c>
      <c r="J2026" s="11" t="s">
        <v>978</v>
      </c>
      <c r="K2026" s="11" t="s">
        <v>6393</v>
      </c>
      <c r="L2026" s="11" t="s">
        <v>7324</v>
      </c>
      <c r="M2026" s="11" t="s">
        <v>10096</v>
      </c>
      <c r="N2026" s="11">
        <v>90374</v>
      </c>
      <c r="O2026" s="11">
        <v>17582</v>
      </c>
      <c r="P2026" s="11">
        <v>4</v>
      </c>
      <c r="Q2026" s="11" t="s">
        <v>10097</v>
      </c>
      <c r="R2026" s="14" t="s">
        <v>10098</v>
      </c>
      <c r="S2026" s="11">
        <v>318</v>
      </c>
      <c r="T2026" s="11" t="s">
        <v>39</v>
      </c>
      <c r="U2026" s="11" t="s">
        <v>40</v>
      </c>
      <c r="V2026" s="11" t="s">
        <v>586</v>
      </c>
      <c r="W2026" s="11">
        <v>24000000</v>
      </c>
      <c r="X2026" s="11">
        <v>2000</v>
      </c>
      <c r="Y2026" s="11">
        <v>2000</v>
      </c>
      <c r="Z2026" s="11">
        <v>6.7</v>
      </c>
      <c r="AA2026" s="11">
        <v>1.85</v>
      </c>
      <c r="AB2026" s="11">
        <v>0</v>
      </c>
      <c r="AC2026" s="11"/>
      <c r="AD2026" s="11" t="str">
        <f>IFERROR(__xludf.DUMMYFUNCTION("""COMPUTED_VALUE"""),"Nicki Aycox")</f>
        <v>Nicki Aycox</v>
      </c>
      <c r="AE2026" s="11"/>
    </row>
    <row r="2027" customHeight="1" spans="1:31">
      <c r="A2027" s="12" t="s">
        <v>30</v>
      </c>
      <c r="B2027" s="12" t="s">
        <v>10099</v>
      </c>
      <c r="C2027" s="12">
        <v>60</v>
      </c>
      <c r="D2027" s="12">
        <v>107</v>
      </c>
      <c r="E2027" s="12">
        <v>71</v>
      </c>
      <c r="F2027" s="12">
        <v>304</v>
      </c>
      <c r="G2027" s="12">
        <v>967</v>
      </c>
      <c r="H2027" s="12">
        <v>80000000</v>
      </c>
      <c r="I2027" s="12" t="s">
        <v>7837</v>
      </c>
      <c r="J2027" s="12" t="s">
        <v>4196</v>
      </c>
      <c r="K2027" s="12" t="s">
        <v>4528</v>
      </c>
      <c r="L2027" s="12" t="s">
        <v>10100</v>
      </c>
      <c r="M2027" s="12" t="s">
        <v>10101</v>
      </c>
      <c r="N2027" s="12">
        <v>51459</v>
      </c>
      <c r="O2027" s="12">
        <v>1962</v>
      </c>
      <c r="P2027" s="12">
        <v>0</v>
      </c>
      <c r="Q2027" s="12" t="s">
        <v>10102</v>
      </c>
      <c r="R2027" s="15" t="s">
        <v>10103</v>
      </c>
      <c r="S2027" s="12">
        <v>113</v>
      </c>
      <c r="T2027" s="12" t="s">
        <v>39</v>
      </c>
      <c r="U2027" s="12" t="s">
        <v>40</v>
      </c>
      <c r="V2027" s="12" t="s">
        <v>96</v>
      </c>
      <c r="W2027" s="12">
        <v>8200000</v>
      </c>
      <c r="X2027" s="12">
        <v>1984</v>
      </c>
      <c r="Y2027" s="12">
        <v>455</v>
      </c>
      <c r="Z2027" s="12">
        <v>6.5</v>
      </c>
      <c r="AA2027" s="12">
        <v>1.85</v>
      </c>
      <c r="AB2027" s="12">
        <v>0</v>
      </c>
      <c r="AC2027" s="12"/>
      <c r="AD2027" s="12" t="str">
        <f>IFERROR(__xludf.DUMMYFUNCTION("""COMPUTED_VALUE"""),"Joanna Lumley")</f>
        <v>Joanna Lumley</v>
      </c>
      <c r="AE2027" s="12"/>
    </row>
    <row r="2028" customHeight="1" spans="1:31">
      <c r="A2028" s="11" t="s">
        <v>30</v>
      </c>
      <c r="B2028" s="11" t="s">
        <v>2543</v>
      </c>
      <c r="C2028" s="11">
        <v>123</v>
      </c>
      <c r="D2028" s="11">
        <v>88</v>
      </c>
      <c r="E2028" s="11">
        <v>480</v>
      </c>
      <c r="F2028" s="11">
        <v>497</v>
      </c>
      <c r="G2028" s="11">
        <v>8000</v>
      </c>
      <c r="H2028" s="11">
        <v>74608545</v>
      </c>
      <c r="I2028" s="11" t="s">
        <v>1672</v>
      </c>
      <c r="J2028" s="11" t="s">
        <v>1249</v>
      </c>
      <c r="K2028" s="11" t="s">
        <v>10104</v>
      </c>
      <c r="L2028" s="11" t="s">
        <v>3985</v>
      </c>
      <c r="M2028" s="11" t="s">
        <v>10105</v>
      </c>
      <c r="N2028" s="11">
        <v>185258</v>
      </c>
      <c r="O2028" s="11">
        <v>10325</v>
      </c>
      <c r="P2028" s="11">
        <v>4</v>
      </c>
      <c r="Q2028" s="11" t="s">
        <v>10106</v>
      </c>
      <c r="R2028" s="14" t="s">
        <v>10107</v>
      </c>
      <c r="S2028" s="11">
        <v>404</v>
      </c>
      <c r="T2028" s="11" t="s">
        <v>39</v>
      </c>
      <c r="U2028" s="11" t="s">
        <v>40</v>
      </c>
      <c r="V2028" s="11" t="s">
        <v>586</v>
      </c>
      <c r="W2028" s="11">
        <v>24000000</v>
      </c>
      <c r="X2028" s="11">
        <v>2003</v>
      </c>
      <c r="Y2028" s="11">
        <v>909</v>
      </c>
      <c r="Z2028" s="11">
        <v>7.2</v>
      </c>
      <c r="AA2028" s="11">
        <v>2.35</v>
      </c>
      <c r="AB2028" s="11">
        <v>0</v>
      </c>
      <c r="AC2028" s="11"/>
      <c r="AD2028" s="11" t="str">
        <f>IFERROR(__xludf.DUMMYFUNCTION("""COMPUTED_VALUE"""),"Ken Arnold")</f>
        <v>Ken Arnold</v>
      </c>
      <c r="AE2028" s="11"/>
    </row>
    <row r="2029" customHeight="1" spans="1:31">
      <c r="A2029" s="12" t="s">
        <v>30</v>
      </c>
      <c r="B2029" s="12" t="s">
        <v>2792</v>
      </c>
      <c r="C2029" s="12">
        <v>84</v>
      </c>
      <c r="D2029" s="12">
        <v>137</v>
      </c>
      <c r="E2029" s="12">
        <v>0</v>
      </c>
      <c r="F2029" s="12">
        <v>161</v>
      </c>
      <c r="G2029" s="12">
        <v>12000</v>
      </c>
      <c r="H2029" s="12">
        <v>41895491</v>
      </c>
      <c r="I2029" s="12" t="s">
        <v>7902</v>
      </c>
      <c r="J2029" s="12" t="s">
        <v>301</v>
      </c>
      <c r="K2029" s="12" t="s">
        <v>3391</v>
      </c>
      <c r="L2029" s="12" t="s">
        <v>10108</v>
      </c>
      <c r="M2029" s="12" t="s">
        <v>10109</v>
      </c>
      <c r="N2029" s="12">
        <v>63274</v>
      </c>
      <c r="O2029" s="12">
        <v>12947</v>
      </c>
      <c r="P2029" s="12">
        <v>1</v>
      </c>
      <c r="Q2029" s="12" t="s">
        <v>10110</v>
      </c>
      <c r="R2029" s="15" t="s">
        <v>10111</v>
      </c>
      <c r="S2029" s="12">
        <v>170</v>
      </c>
      <c r="T2029" s="12" t="s">
        <v>39</v>
      </c>
      <c r="U2029" s="12" t="s">
        <v>40</v>
      </c>
      <c r="V2029" s="12" t="s">
        <v>586</v>
      </c>
      <c r="W2029" s="12">
        <v>24000000</v>
      </c>
      <c r="X2029" s="12">
        <v>1991</v>
      </c>
      <c r="Y2029" s="12">
        <v>443</v>
      </c>
      <c r="Z2029" s="12">
        <v>7.6</v>
      </c>
      <c r="AA2029" s="12">
        <v>1.85</v>
      </c>
      <c r="AB2029" s="12">
        <v>12000</v>
      </c>
      <c r="AC2029" s="12"/>
      <c r="AD2029" s="12" t="str">
        <f>IFERROR(__xludf.DUMMYFUNCTION("""COMPUTED_VALUE"""),"Benjamin J. Cain Jr.")</f>
        <v>Benjamin J. Cain Jr.</v>
      </c>
      <c r="AE2029" s="12"/>
    </row>
    <row r="2030" customHeight="1" spans="1:31">
      <c r="A2030" s="11" t="s">
        <v>30</v>
      </c>
      <c r="B2030" s="11" t="s">
        <v>7859</v>
      </c>
      <c r="C2030" s="11">
        <v>125</v>
      </c>
      <c r="D2030" s="11">
        <v>100</v>
      </c>
      <c r="E2030" s="11">
        <v>41</v>
      </c>
      <c r="F2030" s="11">
        <v>970</v>
      </c>
      <c r="G2030" s="11">
        <v>45000</v>
      </c>
      <c r="H2030" s="11">
        <v>39989008</v>
      </c>
      <c r="I2030" s="11" t="s">
        <v>5104</v>
      </c>
      <c r="J2030" s="11" t="s">
        <v>5334</v>
      </c>
      <c r="K2030" s="11" t="s">
        <v>1540</v>
      </c>
      <c r="L2030" s="11" t="s">
        <v>3833</v>
      </c>
      <c r="M2030" s="11" t="s">
        <v>10112</v>
      </c>
      <c r="N2030" s="11">
        <v>55398</v>
      </c>
      <c r="O2030" s="11">
        <v>49847</v>
      </c>
      <c r="P2030" s="11">
        <v>2</v>
      </c>
      <c r="Q2030" s="11" t="s">
        <v>10113</v>
      </c>
      <c r="R2030" s="14" t="s">
        <v>10114</v>
      </c>
      <c r="S2030" s="11">
        <v>418</v>
      </c>
      <c r="T2030" s="11" t="s">
        <v>39</v>
      </c>
      <c r="U2030" s="11" t="s">
        <v>40</v>
      </c>
      <c r="V2030" s="11" t="s">
        <v>586</v>
      </c>
      <c r="W2030" s="11">
        <v>24000000</v>
      </c>
      <c r="X2030" s="11">
        <v>1998</v>
      </c>
      <c r="Y2030" s="11">
        <v>1000</v>
      </c>
      <c r="Z2030" s="11">
        <v>4.6</v>
      </c>
      <c r="AA2030" s="11">
        <v>2.35</v>
      </c>
      <c r="AB2030" s="11">
        <v>891</v>
      </c>
      <c r="AC2030" s="11"/>
      <c r="AD2030" s="11" t="str">
        <f>IFERROR(__xludf.DUMMYFUNCTION("""COMPUTED_VALUE"""),"Richard Cetrone")</f>
        <v>Richard Cetrone</v>
      </c>
      <c r="AE2030" s="11"/>
    </row>
    <row r="2031" customHeight="1" spans="1:31">
      <c r="A2031" s="12" t="s">
        <v>30</v>
      </c>
      <c r="B2031" s="12" t="s">
        <v>5011</v>
      </c>
      <c r="C2031" s="12">
        <v>106</v>
      </c>
      <c r="D2031" s="12">
        <v>115</v>
      </c>
      <c r="E2031" s="12">
        <v>597</v>
      </c>
      <c r="F2031" s="12">
        <v>597</v>
      </c>
      <c r="G2031" s="12">
        <v>893</v>
      </c>
      <c r="H2031" s="12">
        <v>32662299</v>
      </c>
      <c r="I2031" s="12" t="s">
        <v>1415</v>
      </c>
      <c r="J2031" s="12" t="s">
        <v>3491</v>
      </c>
      <c r="K2031" s="12" t="s">
        <v>3503</v>
      </c>
      <c r="L2031" s="12" t="s">
        <v>5011</v>
      </c>
      <c r="M2031" s="12" t="s">
        <v>10115</v>
      </c>
      <c r="N2031" s="12">
        <v>16469</v>
      </c>
      <c r="O2031" s="12">
        <v>3946</v>
      </c>
      <c r="P2031" s="12">
        <v>1</v>
      </c>
      <c r="Q2031" s="12" t="s">
        <v>10116</v>
      </c>
      <c r="R2031" s="15" t="s">
        <v>10117</v>
      </c>
      <c r="S2031" s="12">
        <v>275</v>
      </c>
      <c r="T2031" s="12" t="s">
        <v>39</v>
      </c>
      <c r="U2031" s="12" t="s">
        <v>40</v>
      </c>
      <c r="V2031" s="12" t="s">
        <v>96</v>
      </c>
      <c r="W2031" s="12">
        <v>24000000</v>
      </c>
      <c r="X2031" s="12">
        <v>2000</v>
      </c>
      <c r="Y2031" s="12">
        <v>854</v>
      </c>
      <c r="Z2031" s="12">
        <v>6.9</v>
      </c>
      <c r="AA2031" s="12">
        <v>1.85</v>
      </c>
      <c r="AB2031" s="12">
        <v>0</v>
      </c>
      <c r="AC2031" s="12"/>
      <c r="AD2031" s="12" t="str">
        <f>IFERROR(__xludf.DUMMYFUNCTION("""COMPUTED_VALUE"""),"Pip Torrens")</f>
        <v>Pip Torrens</v>
      </c>
      <c r="AE2031" s="12"/>
    </row>
    <row r="2032" customHeight="1" spans="1:31">
      <c r="A2032" s="11" t="s">
        <v>30</v>
      </c>
      <c r="B2032" s="11" t="s">
        <v>7135</v>
      </c>
      <c r="C2032" s="11">
        <v>247</v>
      </c>
      <c r="D2032" s="11">
        <v>101</v>
      </c>
      <c r="E2032" s="11">
        <v>0</v>
      </c>
      <c r="F2032" s="11">
        <v>92</v>
      </c>
      <c r="G2032" s="11">
        <v>218</v>
      </c>
      <c r="H2032" s="11">
        <v>31452765</v>
      </c>
      <c r="I2032" s="11" t="s">
        <v>1681</v>
      </c>
      <c r="J2032" s="11" t="s">
        <v>9223</v>
      </c>
      <c r="K2032" s="11" t="s">
        <v>10118</v>
      </c>
      <c r="L2032" s="11" t="s">
        <v>10119</v>
      </c>
      <c r="M2032" s="11" t="s">
        <v>10120</v>
      </c>
      <c r="N2032" s="11">
        <v>149835</v>
      </c>
      <c r="O2032" s="11">
        <v>638</v>
      </c>
      <c r="P2032" s="11">
        <v>7</v>
      </c>
      <c r="Q2032" s="11" t="s">
        <v>10121</v>
      </c>
      <c r="R2032" s="14" t="s">
        <v>10122</v>
      </c>
      <c r="S2032" s="11">
        <v>243</v>
      </c>
      <c r="T2032" s="11" t="s">
        <v>39</v>
      </c>
      <c r="U2032" s="11" t="s">
        <v>40</v>
      </c>
      <c r="V2032" s="11" t="s">
        <v>586</v>
      </c>
      <c r="W2032" s="11">
        <v>24000000</v>
      </c>
      <c r="X2032" s="11">
        <v>2008</v>
      </c>
      <c r="Y2032" s="11">
        <v>216</v>
      </c>
      <c r="Z2032" s="11">
        <v>6.6</v>
      </c>
      <c r="AA2032" s="11">
        <v>1.85</v>
      </c>
      <c r="AB2032" s="11">
        <v>0</v>
      </c>
      <c r="AC2032" s="11"/>
      <c r="AD2032" s="11" t="str">
        <f>IFERROR(__xludf.DUMMYFUNCTION("""COMPUTED_VALUE"""),"Richard Thomas")</f>
        <v>Richard Thomas</v>
      </c>
      <c r="AE2032" s="11"/>
    </row>
    <row r="2033" customHeight="1" spans="1:31">
      <c r="A2033" s="12" t="s">
        <v>30</v>
      </c>
      <c r="B2033" s="12" t="s">
        <v>10123</v>
      </c>
      <c r="C2033" s="12">
        <v>156</v>
      </c>
      <c r="D2033" s="12">
        <v>110</v>
      </c>
      <c r="E2033" s="12">
        <v>119</v>
      </c>
      <c r="F2033" s="12">
        <v>265</v>
      </c>
      <c r="G2033" s="12">
        <v>11000</v>
      </c>
      <c r="H2033" s="12">
        <v>25167270</v>
      </c>
      <c r="I2033" s="12" t="s">
        <v>9194</v>
      </c>
      <c r="J2033" s="12" t="s">
        <v>466</v>
      </c>
      <c r="K2033" s="12" t="s">
        <v>5466</v>
      </c>
      <c r="L2033" s="12" t="s">
        <v>10124</v>
      </c>
      <c r="M2033" s="12" t="s">
        <v>10125</v>
      </c>
      <c r="N2033" s="12">
        <v>30119</v>
      </c>
      <c r="O2033" s="12">
        <v>12254</v>
      </c>
      <c r="P2033" s="12">
        <v>4</v>
      </c>
      <c r="Q2033" s="12" t="s">
        <v>10126</v>
      </c>
      <c r="R2033" s="15" t="s">
        <v>10127</v>
      </c>
      <c r="S2033" s="12">
        <v>263</v>
      </c>
      <c r="T2033" s="12" t="s">
        <v>39</v>
      </c>
      <c r="U2033" s="12" t="s">
        <v>768</v>
      </c>
      <c r="V2033" s="12" t="s">
        <v>586</v>
      </c>
      <c r="W2033" s="12">
        <v>24000000</v>
      </c>
      <c r="X2033" s="12">
        <v>2000</v>
      </c>
      <c r="Y2033" s="12">
        <v>592</v>
      </c>
      <c r="Z2033" s="12">
        <v>6.3</v>
      </c>
      <c r="AA2033" s="12">
        <v>2.35</v>
      </c>
      <c r="AB2033" s="12">
        <v>455</v>
      </c>
      <c r="AC2033" s="12"/>
      <c r="AD2033" s="12" t="str">
        <f>IFERROR(__xludf.DUMMYFUNCTION("""COMPUTED_VALUE"""),"Drake Bell")</f>
        <v>Drake Bell</v>
      </c>
      <c r="AE2033" s="12"/>
    </row>
    <row r="2034" customHeight="1" spans="1:31">
      <c r="A2034" s="11" t="s">
        <v>30</v>
      </c>
      <c r="B2034" s="11" t="s">
        <v>1492</v>
      </c>
      <c r="C2034" s="11">
        <v>271</v>
      </c>
      <c r="D2034" s="11">
        <v>94</v>
      </c>
      <c r="E2034" s="11">
        <v>293</v>
      </c>
      <c r="F2034" s="11">
        <v>939</v>
      </c>
      <c r="G2034" s="11">
        <v>18000</v>
      </c>
      <c r="H2034" s="11">
        <v>32416109</v>
      </c>
      <c r="I2034" s="11" t="s">
        <v>6190</v>
      </c>
      <c r="J2034" s="11" t="s">
        <v>120</v>
      </c>
      <c r="K2034" s="11" t="s">
        <v>301</v>
      </c>
      <c r="L2034" s="11" t="s">
        <v>1147</v>
      </c>
      <c r="M2034" s="11" t="s">
        <v>10128</v>
      </c>
      <c r="N2034" s="11">
        <v>109620</v>
      </c>
      <c r="O2034" s="11">
        <v>32474</v>
      </c>
      <c r="P2034" s="11">
        <v>0</v>
      </c>
      <c r="Q2034" s="11" t="s">
        <v>10129</v>
      </c>
      <c r="R2034" s="14" t="s">
        <v>10130</v>
      </c>
      <c r="S2034" s="11">
        <v>268</v>
      </c>
      <c r="T2034" s="11" t="s">
        <v>39</v>
      </c>
      <c r="U2034" s="11" t="s">
        <v>40</v>
      </c>
      <c r="V2034" s="11" t="s">
        <v>586</v>
      </c>
      <c r="W2034" s="11">
        <v>25000000</v>
      </c>
      <c r="X2034" s="11">
        <v>2009</v>
      </c>
      <c r="Y2034" s="11">
        <v>12000</v>
      </c>
      <c r="Z2034" s="11">
        <v>6.2</v>
      </c>
      <c r="AA2034" s="11">
        <v>2.35</v>
      </c>
      <c r="AB2034" s="11">
        <v>15000</v>
      </c>
      <c r="AC2034" s="11"/>
      <c r="AD2034" s="11" t="str">
        <f>IFERROR(__xludf.DUMMYFUNCTION("""COMPUTED_VALUE"""),"Marion Ross")</f>
        <v>Marion Ross</v>
      </c>
      <c r="AE2034" s="11"/>
    </row>
    <row r="2035" customHeight="1" spans="1:31">
      <c r="A2035" s="12" t="s">
        <v>30</v>
      </c>
      <c r="B2035" s="12" t="s">
        <v>10131</v>
      </c>
      <c r="C2035" s="12">
        <v>45</v>
      </c>
      <c r="D2035" s="12">
        <v>88</v>
      </c>
      <c r="E2035" s="12">
        <v>269</v>
      </c>
      <c r="F2035" s="12">
        <v>384</v>
      </c>
      <c r="G2035" s="12">
        <v>1000</v>
      </c>
      <c r="H2035" s="12">
        <v>20218</v>
      </c>
      <c r="I2035" s="12" t="s">
        <v>422</v>
      </c>
      <c r="J2035" s="12" t="s">
        <v>6010</v>
      </c>
      <c r="K2035" s="12" t="s">
        <v>9578</v>
      </c>
      <c r="L2035" s="12" t="s">
        <v>3441</v>
      </c>
      <c r="M2035" s="12" t="s">
        <v>10132</v>
      </c>
      <c r="N2035" s="12">
        <v>5431</v>
      </c>
      <c r="O2035" s="12">
        <v>2557</v>
      </c>
      <c r="P2035" s="12">
        <v>2</v>
      </c>
      <c r="Q2035" s="12" t="s">
        <v>10133</v>
      </c>
      <c r="R2035" s="15" t="s">
        <v>10134</v>
      </c>
      <c r="S2035" s="12">
        <v>50</v>
      </c>
      <c r="T2035" s="12" t="s">
        <v>39</v>
      </c>
      <c r="U2035" s="12" t="s">
        <v>40</v>
      </c>
      <c r="V2035" s="12" t="s">
        <v>41</v>
      </c>
      <c r="W2035" s="12">
        <v>24000000</v>
      </c>
      <c r="X2035" s="12">
        <v>2001</v>
      </c>
      <c r="Y2035" s="12">
        <v>489</v>
      </c>
      <c r="Z2035" s="12">
        <v>5.3</v>
      </c>
      <c r="AA2035" s="12">
        <v>2.35</v>
      </c>
      <c r="AB2035" s="12">
        <v>204</v>
      </c>
      <c r="AC2035" s="12"/>
      <c r="AD2035" s="12" t="str">
        <f>IFERROR(__xludf.DUMMYFUNCTION("""COMPUTED_VALUE"""),"Alona Tal")</f>
        <v>Alona Tal</v>
      </c>
      <c r="AE2035" s="12"/>
    </row>
    <row r="2036" customHeight="1" spans="1:31">
      <c r="A2036" s="11" t="s">
        <v>30</v>
      </c>
      <c r="B2036" s="11" t="s">
        <v>1422</v>
      </c>
      <c r="C2036" s="11">
        <v>133</v>
      </c>
      <c r="D2036" s="11">
        <v>127</v>
      </c>
      <c r="E2036" s="11">
        <v>446</v>
      </c>
      <c r="F2036" s="11">
        <v>898</v>
      </c>
      <c r="G2036" s="11">
        <v>11000</v>
      </c>
      <c r="H2036" s="11">
        <v>28871190</v>
      </c>
      <c r="I2036" s="11" t="s">
        <v>1544</v>
      </c>
      <c r="J2036" s="11" t="s">
        <v>565</v>
      </c>
      <c r="K2036" s="11" t="s">
        <v>6005</v>
      </c>
      <c r="L2036" s="11" t="s">
        <v>2535</v>
      </c>
      <c r="M2036" s="11" t="s">
        <v>10135</v>
      </c>
      <c r="N2036" s="11">
        <v>125421</v>
      </c>
      <c r="O2036" s="11">
        <v>13433</v>
      </c>
      <c r="P2036" s="11">
        <v>0</v>
      </c>
      <c r="Q2036" s="11" t="s">
        <v>10136</v>
      </c>
      <c r="R2036" s="14" t="s">
        <v>10137</v>
      </c>
      <c r="S2036" s="11">
        <v>385</v>
      </c>
      <c r="T2036" s="11" t="s">
        <v>39</v>
      </c>
      <c r="U2036" s="11" t="s">
        <v>40</v>
      </c>
      <c r="V2036" s="11" t="s">
        <v>586</v>
      </c>
      <c r="W2036" s="11">
        <v>24000000</v>
      </c>
      <c r="X2036" s="11">
        <v>1999</v>
      </c>
      <c r="Y2036" s="11">
        <v>1000</v>
      </c>
      <c r="Z2036" s="11">
        <v>7.3</v>
      </c>
      <c r="AA2036" s="11">
        <v>1.85</v>
      </c>
      <c r="AB2036" s="11">
        <v>0</v>
      </c>
      <c r="AC2036" s="11"/>
      <c r="AD2036" s="11" t="str">
        <f>IFERROR(__xludf.DUMMYFUNCTION("""COMPUTED_VALUE"""),"Michael Beach")</f>
        <v>Michael Beach</v>
      </c>
      <c r="AE2036" s="11"/>
    </row>
    <row r="2037" customHeight="1" spans="1:31">
      <c r="A2037" s="12" t="s">
        <v>30</v>
      </c>
      <c r="B2037" s="12" t="s">
        <v>3103</v>
      </c>
      <c r="C2037" s="12">
        <v>84</v>
      </c>
      <c r="D2037" s="12">
        <v>95</v>
      </c>
      <c r="E2037" s="12">
        <v>126</v>
      </c>
      <c r="F2037" s="12">
        <v>886</v>
      </c>
      <c r="G2037" s="12">
        <v>2000</v>
      </c>
      <c r="H2037" s="12">
        <v>16964743</v>
      </c>
      <c r="I2037" s="12" t="s">
        <v>1681</v>
      </c>
      <c r="J2037" s="12" t="s">
        <v>6474</v>
      </c>
      <c r="K2037" s="12" t="s">
        <v>3230</v>
      </c>
      <c r="L2037" s="12" t="s">
        <v>1385</v>
      </c>
      <c r="M2037" s="12" t="s">
        <v>10138</v>
      </c>
      <c r="N2037" s="12">
        <v>22844</v>
      </c>
      <c r="O2037" s="12">
        <v>4681</v>
      </c>
      <c r="P2037" s="12">
        <v>1</v>
      </c>
      <c r="Q2037" s="12" t="s">
        <v>10139</v>
      </c>
      <c r="R2037" s="15" t="s">
        <v>10140</v>
      </c>
      <c r="S2037" s="12">
        <v>140</v>
      </c>
      <c r="T2037" s="12" t="s">
        <v>39</v>
      </c>
      <c r="U2037" s="12" t="s">
        <v>40</v>
      </c>
      <c r="V2037" s="12" t="s">
        <v>41</v>
      </c>
      <c r="W2037" s="12">
        <v>24000000</v>
      </c>
      <c r="X2037" s="12">
        <v>2004</v>
      </c>
      <c r="Y2037" s="12">
        <v>989</v>
      </c>
      <c r="Z2037" s="12">
        <v>5.6</v>
      </c>
      <c r="AA2037" s="12">
        <v>2.35</v>
      </c>
      <c r="AB2037" s="12">
        <v>876</v>
      </c>
      <c r="AC2037" s="12"/>
      <c r="AD2037" s="12" t="str">
        <f>IFERROR(__xludf.DUMMYFUNCTION("""COMPUTED_VALUE"""),"Shannon Elizabeth")</f>
        <v>Shannon Elizabeth</v>
      </c>
      <c r="AE2037" s="12"/>
    </row>
    <row r="2038" customHeight="1" spans="1:31">
      <c r="A2038" s="11" t="s">
        <v>30</v>
      </c>
      <c r="B2038" s="11" t="s">
        <v>3918</v>
      </c>
      <c r="C2038" s="11">
        <v>70</v>
      </c>
      <c r="D2038" s="11">
        <v>87</v>
      </c>
      <c r="E2038" s="11">
        <v>25</v>
      </c>
      <c r="F2038" s="11">
        <v>611</v>
      </c>
      <c r="G2038" s="11">
        <v>1000</v>
      </c>
      <c r="H2038" s="11">
        <v>16290976</v>
      </c>
      <c r="I2038" s="11" t="s">
        <v>10141</v>
      </c>
      <c r="J2038" s="11" t="s">
        <v>3337</v>
      </c>
      <c r="K2038" s="11" t="s">
        <v>2408</v>
      </c>
      <c r="L2038" s="11" t="s">
        <v>10142</v>
      </c>
      <c r="M2038" s="11" t="s">
        <v>10143</v>
      </c>
      <c r="N2038" s="11">
        <v>14637</v>
      </c>
      <c r="O2038" s="11">
        <v>3243</v>
      </c>
      <c r="P2038" s="11">
        <v>0</v>
      </c>
      <c r="Q2038" s="11" t="s">
        <v>10144</v>
      </c>
      <c r="R2038" s="14" t="s">
        <v>10145</v>
      </c>
      <c r="S2038" s="11">
        <v>100</v>
      </c>
      <c r="T2038" s="11" t="s">
        <v>39</v>
      </c>
      <c r="U2038" s="11" t="s">
        <v>40</v>
      </c>
      <c r="V2038" s="11" t="s">
        <v>278</v>
      </c>
      <c r="W2038" s="11">
        <v>24000000</v>
      </c>
      <c r="X2038" s="11">
        <v>1999</v>
      </c>
      <c r="Y2038" s="11">
        <v>670</v>
      </c>
      <c r="Z2038" s="11">
        <v>6.2</v>
      </c>
      <c r="AA2038" s="11">
        <v>1.85</v>
      </c>
      <c r="AB2038" s="11">
        <v>619</v>
      </c>
      <c r="AC2038" s="11"/>
      <c r="AD2038" s="11" t="str">
        <f>IFERROR(__xludf.DUMMYFUNCTION("""COMPUTED_VALUE"""),"Portia de Rossi")</f>
        <v>Portia de Rossi</v>
      </c>
      <c r="AE2038" s="11"/>
    </row>
    <row r="2039" customHeight="1" spans="1:31">
      <c r="A2039" s="12" t="s">
        <v>30</v>
      </c>
      <c r="B2039" s="12" t="s">
        <v>10146</v>
      </c>
      <c r="C2039" s="12">
        <v>32</v>
      </c>
      <c r="D2039" s="12">
        <v>118</v>
      </c>
      <c r="E2039" s="12">
        <v>0</v>
      </c>
      <c r="F2039" s="12">
        <v>227</v>
      </c>
      <c r="G2039" s="12">
        <v>738</v>
      </c>
      <c r="H2039" s="12">
        <v>13000000</v>
      </c>
      <c r="I2039" s="12" t="s">
        <v>10147</v>
      </c>
      <c r="J2039" s="12" t="s">
        <v>10148</v>
      </c>
      <c r="K2039" s="12" t="s">
        <v>10149</v>
      </c>
      <c r="L2039" s="12" t="s">
        <v>10150</v>
      </c>
      <c r="M2039" s="12" t="s">
        <v>10151</v>
      </c>
      <c r="N2039" s="12">
        <v>10895</v>
      </c>
      <c r="O2039" s="12">
        <v>1458</v>
      </c>
      <c r="P2039" s="12">
        <v>0</v>
      </c>
      <c r="Q2039" s="12" t="s">
        <v>10152</v>
      </c>
      <c r="R2039" s="15" t="s">
        <v>10153</v>
      </c>
      <c r="S2039" s="12">
        <v>150</v>
      </c>
      <c r="T2039" s="12" t="s">
        <v>39</v>
      </c>
      <c r="U2039" s="12" t="s">
        <v>40</v>
      </c>
      <c r="V2039" s="12" t="s">
        <v>278</v>
      </c>
      <c r="W2039" s="12">
        <v>24000000</v>
      </c>
      <c r="X2039" s="12">
        <v>1978</v>
      </c>
      <c r="Y2039" s="12">
        <v>295</v>
      </c>
      <c r="Z2039" s="12">
        <v>5.2</v>
      </c>
      <c r="AA2039" s="12">
        <v>1.85</v>
      </c>
      <c r="AB2039" s="12">
        <v>0</v>
      </c>
      <c r="AC2039" s="12"/>
      <c r="AD2039" s="12" t="str">
        <f>IFERROR(__xludf.DUMMYFUNCTION("""COMPUTED_VALUE"""),"Jim Gaffigan")</f>
        <v>Jim Gaffigan</v>
      </c>
      <c r="AE2039" s="12"/>
    </row>
    <row r="2040" customHeight="1" spans="1:31">
      <c r="A2040" s="11" t="s">
        <v>30</v>
      </c>
      <c r="B2040" s="11" t="s">
        <v>4100</v>
      </c>
      <c r="C2040" s="11">
        <v>51</v>
      </c>
      <c r="D2040" s="11">
        <v>107</v>
      </c>
      <c r="E2040" s="11">
        <v>48</v>
      </c>
      <c r="F2040" s="11">
        <v>940</v>
      </c>
      <c r="G2040" s="11">
        <v>1000</v>
      </c>
      <c r="H2040" s="11">
        <v>12372410</v>
      </c>
      <c r="I2040" s="11" t="s">
        <v>3914</v>
      </c>
      <c r="J2040" s="11" t="s">
        <v>430</v>
      </c>
      <c r="K2040" s="11" t="s">
        <v>10154</v>
      </c>
      <c r="L2040" s="11" t="s">
        <v>3261</v>
      </c>
      <c r="M2040" s="11" t="s">
        <v>10155</v>
      </c>
      <c r="N2040" s="11">
        <v>11709</v>
      </c>
      <c r="O2040" s="11">
        <v>4971</v>
      </c>
      <c r="P2040" s="11">
        <v>1</v>
      </c>
      <c r="Q2040" s="11" t="s">
        <v>10156</v>
      </c>
      <c r="R2040" s="14" t="s">
        <v>10157</v>
      </c>
      <c r="S2040" s="11">
        <v>101</v>
      </c>
      <c r="T2040" s="11" t="s">
        <v>39</v>
      </c>
      <c r="U2040" s="11" t="s">
        <v>40</v>
      </c>
      <c r="V2040" s="11" t="s">
        <v>41</v>
      </c>
      <c r="W2040" s="11">
        <v>24000000</v>
      </c>
      <c r="X2040" s="11">
        <v>2000</v>
      </c>
      <c r="Y2040" s="11">
        <v>957</v>
      </c>
      <c r="Z2040" s="11">
        <v>5.3</v>
      </c>
      <c r="AA2040" s="11">
        <v>1.85</v>
      </c>
      <c r="AB2040" s="11">
        <v>650</v>
      </c>
      <c r="AC2040" s="11"/>
      <c r="AD2040" s="11" t="str">
        <f>IFERROR(__xludf.DUMMYFUNCTION("""COMPUTED_VALUE"""),"Richard T. Jones")</f>
        <v>Richard T. Jones</v>
      </c>
      <c r="AE2040" s="11"/>
    </row>
    <row r="2041" customHeight="1" spans="1:31">
      <c r="A2041" s="12" t="s">
        <v>30</v>
      </c>
      <c r="B2041" s="12" t="s">
        <v>3160</v>
      </c>
      <c r="C2041" s="12">
        <v>73</v>
      </c>
      <c r="D2041" s="12">
        <v>124</v>
      </c>
      <c r="E2041" s="12">
        <v>41</v>
      </c>
      <c r="F2041" s="12">
        <v>197</v>
      </c>
      <c r="G2041" s="12">
        <v>512</v>
      </c>
      <c r="H2041" s="12">
        <v>8427204</v>
      </c>
      <c r="I2041" s="12" t="s">
        <v>6283</v>
      </c>
      <c r="J2041" s="12" t="s">
        <v>4463</v>
      </c>
      <c r="K2041" s="12" t="s">
        <v>3852</v>
      </c>
      <c r="L2041" s="12" t="s">
        <v>10158</v>
      </c>
      <c r="M2041" s="12" t="s">
        <v>10159</v>
      </c>
      <c r="N2041" s="12">
        <v>10100</v>
      </c>
      <c r="O2041" s="12">
        <v>1523</v>
      </c>
      <c r="P2041" s="12">
        <v>0</v>
      </c>
      <c r="Q2041" s="12" t="s">
        <v>10160</v>
      </c>
      <c r="R2041" s="15" t="s">
        <v>10161</v>
      </c>
      <c r="S2041" s="12">
        <v>59</v>
      </c>
      <c r="T2041" s="12" t="s">
        <v>39</v>
      </c>
      <c r="U2041" s="12" t="s">
        <v>40</v>
      </c>
      <c r="V2041" s="12" t="s">
        <v>586</v>
      </c>
      <c r="W2041" s="12">
        <v>24000000</v>
      </c>
      <c r="X2041" s="12">
        <v>1999</v>
      </c>
      <c r="Y2041" s="12">
        <v>481</v>
      </c>
      <c r="Z2041" s="12">
        <v>5.4</v>
      </c>
      <c r="AA2041" s="12">
        <v>2.35</v>
      </c>
      <c r="AB2041" s="12">
        <v>153</v>
      </c>
      <c r="AC2041" s="12"/>
      <c r="AD2041" s="12" t="str">
        <f>IFERROR(__xludf.DUMMYFUNCTION("""COMPUTED_VALUE"""),"Michael Mosley")</f>
        <v>Michael Mosley</v>
      </c>
      <c r="AE2041" s="12"/>
    </row>
    <row r="2042" customHeight="1" spans="1:31">
      <c r="A2042" s="11" t="s">
        <v>30</v>
      </c>
      <c r="B2042" s="11" t="s">
        <v>10162</v>
      </c>
      <c r="C2042" s="11">
        <v>169</v>
      </c>
      <c r="D2042" s="11">
        <v>89</v>
      </c>
      <c r="E2042" s="11">
        <v>41</v>
      </c>
      <c r="F2042" s="11">
        <v>847</v>
      </c>
      <c r="G2042" s="11">
        <v>2000</v>
      </c>
      <c r="H2042" s="11">
        <v>9639242</v>
      </c>
      <c r="I2042" s="11" t="s">
        <v>1681</v>
      </c>
      <c r="J2042" s="11" t="s">
        <v>4404</v>
      </c>
      <c r="K2042" s="11" t="s">
        <v>6502</v>
      </c>
      <c r="L2042" s="11" t="s">
        <v>4495</v>
      </c>
      <c r="M2042" s="11" t="s">
        <v>10163</v>
      </c>
      <c r="N2042" s="11">
        <v>16437</v>
      </c>
      <c r="O2042" s="11">
        <v>5470</v>
      </c>
      <c r="P2042" s="11">
        <v>0</v>
      </c>
      <c r="Q2042" s="11" t="s">
        <v>10164</v>
      </c>
      <c r="R2042" s="14" t="s">
        <v>10165</v>
      </c>
      <c r="S2042" s="11">
        <v>68</v>
      </c>
      <c r="T2042" s="11" t="s">
        <v>39</v>
      </c>
      <c r="U2042" s="11" t="s">
        <v>40</v>
      </c>
      <c r="V2042" s="11" t="s">
        <v>41</v>
      </c>
      <c r="W2042" s="11">
        <v>24000000</v>
      </c>
      <c r="X2042" s="11">
        <v>2011</v>
      </c>
      <c r="Y2042" s="11">
        <v>1000</v>
      </c>
      <c r="Z2042" s="11">
        <v>4.9</v>
      </c>
      <c r="AA2042" s="11">
        <v>1.85</v>
      </c>
      <c r="AB2042" s="11">
        <v>0</v>
      </c>
      <c r="AC2042" s="11"/>
      <c r="AD2042" s="11" t="str">
        <f>IFERROR(__xludf.DUMMYFUNCTION("""COMPUTED_VALUE"""),"Lucy Gordon")</f>
        <v>Lucy Gordon</v>
      </c>
      <c r="AE2042" s="11"/>
    </row>
    <row r="2043" customHeight="1" spans="1:31">
      <c r="A2043" s="12" t="s">
        <v>30</v>
      </c>
      <c r="B2043" s="12" t="s">
        <v>7481</v>
      </c>
      <c r="C2043" s="12">
        <v>365</v>
      </c>
      <c r="D2043" s="12">
        <v>88</v>
      </c>
      <c r="E2043" s="12">
        <v>192</v>
      </c>
      <c r="F2043" s="12">
        <v>847</v>
      </c>
      <c r="G2043" s="12">
        <v>3000</v>
      </c>
      <c r="H2043" s="12">
        <v>25003072</v>
      </c>
      <c r="I2043" s="12" t="s">
        <v>7579</v>
      </c>
      <c r="J2043" s="12" t="s">
        <v>1545</v>
      </c>
      <c r="K2043" s="12" t="s">
        <v>10166</v>
      </c>
      <c r="L2043" s="12" t="s">
        <v>4495</v>
      </c>
      <c r="M2043" s="12" t="s">
        <v>10167</v>
      </c>
      <c r="N2043" s="12">
        <v>72552</v>
      </c>
      <c r="O2043" s="12">
        <v>5737</v>
      </c>
      <c r="P2043" s="12">
        <v>0</v>
      </c>
      <c r="Q2043" s="12" t="s">
        <v>10168</v>
      </c>
      <c r="R2043" s="15" t="s">
        <v>10169</v>
      </c>
      <c r="S2043" s="12">
        <v>374</v>
      </c>
      <c r="T2043" s="12" t="s">
        <v>39</v>
      </c>
      <c r="U2043" s="12" t="s">
        <v>40</v>
      </c>
      <c r="V2043" s="12" t="s">
        <v>586</v>
      </c>
      <c r="W2043" s="12">
        <v>24000000</v>
      </c>
      <c r="X2043" s="12">
        <v>2010</v>
      </c>
      <c r="Y2043" s="12">
        <v>859</v>
      </c>
      <c r="Z2043" s="12">
        <v>5.5</v>
      </c>
      <c r="AA2043" s="12">
        <v>2.35</v>
      </c>
      <c r="AB2043" s="12">
        <v>13000</v>
      </c>
      <c r="AC2043" s="12"/>
      <c r="AD2043" s="12" t="str">
        <f>IFERROR(__xludf.DUMMYFUNCTION("""COMPUTED_VALUE"""),"Alex Jennings")</f>
        <v>Alex Jennings</v>
      </c>
      <c r="AE2043" s="12"/>
    </row>
    <row r="2044" customHeight="1" spans="1:31">
      <c r="A2044" s="11" t="s">
        <v>748</v>
      </c>
      <c r="B2044" s="11" t="s">
        <v>120</v>
      </c>
      <c r="C2044" s="11">
        <v>113</v>
      </c>
      <c r="D2044" s="11">
        <v>118</v>
      </c>
      <c r="E2044" s="11">
        <v>18000</v>
      </c>
      <c r="F2044" s="11">
        <v>286</v>
      </c>
      <c r="G2044" s="11">
        <v>18000</v>
      </c>
      <c r="H2044" s="11">
        <v>6144806</v>
      </c>
      <c r="I2044" s="11" t="s">
        <v>6507</v>
      </c>
      <c r="J2044" s="11" t="s">
        <v>120</v>
      </c>
      <c r="K2044" s="11" t="s">
        <v>2398</v>
      </c>
      <c r="L2044" s="11" t="s">
        <v>8312</v>
      </c>
      <c r="M2044" s="11" t="s">
        <v>10170</v>
      </c>
      <c r="N2044" s="11">
        <v>12821</v>
      </c>
      <c r="O2044" s="11">
        <v>23689</v>
      </c>
      <c r="P2044" s="11">
        <v>1</v>
      </c>
      <c r="Q2044" s="11" t="s">
        <v>10171</v>
      </c>
      <c r="R2044" s="14" t="s">
        <v>10172</v>
      </c>
      <c r="S2044" s="11">
        <v>248</v>
      </c>
      <c r="T2044" s="11" t="s">
        <v>39</v>
      </c>
      <c r="U2044" s="11" t="s">
        <v>40</v>
      </c>
      <c r="V2044" s="11" t="s">
        <v>41</v>
      </c>
      <c r="W2044" s="11">
        <v>23000000</v>
      </c>
      <c r="X2044" s="11">
        <v>2004</v>
      </c>
      <c r="Y2044" s="11">
        <v>5000</v>
      </c>
      <c r="Z2044" s="11">
        <v>6.7</v>
      </c>
      <c r="AA2044" s="11">
        <v>2.35</v>
      </c>
      <c r="AB2044" s="11">
        <v>0</v>
      </c>
      <c r="AC2044" s="11"/>
      <c r="AD2044" s="11" t="str">
        <f>IFERROR(__xludf.DUMMYFUNCTION("""COMPUTED_VALUE"""),"Wendell Pierce")</f>
        <v>Wendell Pierce</v>
      </c>
      <c r="AE2044" s="11"/>
    </row>
    <row r="2045" customHeight="1" spans="1:31">
      <c r="A2045" s="12" t="s">
        <v>30</v>
      </c>
      <c r="B2045" s="12" t="s">
        <v>8681</v>
      </c>
      <c r="C2045" s="12">
        <v>18</v>
      </c>
      <c r="D2045" s="12">
        <v>93</v>
      </c>
      <c r="E2045" s="12">
        <v>9</v>
      </c>
      <c r="F2045" s="12">
        <v>254</v>
      </c>
      <c r="G2045" s="12">
        <v>23000</v>
      </c>
      <c r="H2045" s="12">
        <v>4308981</v>
      </c>
      <c r="I2045" s="12" t="s">
        <v>3057</v>
      </c>
      <c r="J2045" s="12" t="s">
        <v>336</v>
      </c>
      <c r="K2045" s="12" t="s">
        <v>92</v>
      </c>
      <c r="L2045" s="12" t="s">
        <v>10173</v>
      </c>
      <c r="M2045" s="12" t="s">
        <v>10174</v>
      </c>
      <c r="N2045" s="12">
        <v>2265</v>
      </c>
      <c r="O2045" s="12">
        <v>24436</v>
      </c>
      <c r="P2045" s="12">
        <v>2</v>
      </c>
      <c r="Q2045" s="12" t="s">
        <v>10175</v>
      </c>
      <c r="R2045" s="15" t="s">
        <v>10176</v>
      </c>
      <c r="S2045" s="12">
        <v>37</v>
      </c>
      <c r="T2045" s="12" t="s">
        <v>39</v>
      </c>
      <c r="U2045" s="12" t="s">
        <v>40</v>
      </c>
      <c r="V2045" s="12" t="s">
        <v>96</v>
      </c>
      <c r="W2045" s="12">
        <v>24000000</v>
      </c>
      <c r="X2045" s="12">
        <v>1998</v>
      </c>
      <c r="Y2045" s="12">
        <v>284</v>
      </c>
      <c r="Z2045" s="12">
        <v>3.9</v>
      </c>
      <c r="AA2045" s="16"/>
      <c r="AB2045" s="12">
        <v>839</v>
      </c>
      <c r="AC2045" s="12"/>
      <c r="AD2045" s="12" t="str">
        <f>IFERROR(__xludf.DUMMYFUNCTION("""COMPUTED_VALUE"""),"Austin Nichols")</f>
        <v>Austin Nichols</v>
      </c>
      <c r="AE2045" s="12"/>
    </row>
    <row r="2046" customHeight="1" spans="1:31">
      <c r="A2046" s="11" t="s">
        <v>30</v>
      </c>
      <c r="B2046" s="11" t="s">
        <v>10177</v>
      </c>
      <c r="C2046" s="11">
        <v>10</v>
      </c>
      <c r="D2046" s="11">
        <v>80</v>
      </c>
      <c r="E2046" s="11">
        <v>18</v>
      </c>
      <c r="F2046" s="11">
        <v>73</v>
      </c>
      <c r="G2046" s="11">
        <v>742</v>
      </c>
      <c r="H2046" s="11">
        <v>669276</v>
      </c>
      <c r="I2046" s="11" t="s">
        <v>10178</v>
      </c>
      <c r="J2046" s="11" t="s">
        <v>10179</v>
      </c>
      <c r="K2046" s="11" t="s">
        <v>10180</v>
      </c>
      <c r="L2046" s="11" t="s">
        <v>10181</v>
      </c>
      <c r="M2046" s="11" t="s">
        <v>10182</v>
      </c>
      <c r="N2046" s="11">
        <v>2541</v>
      </c>
      <c r="O2046" s="11">
        <v>1088</v>
      </c>
      <c r="P2046" s="11">
        <v>0</v>
      </c>
      <c r="Q2046" s="11" t="s">
        <v>10183</v>
      </c>
      <c r="R2046" s="14" t="s">
        <v>10184</v>
      </c>
      <c r="S2046" s="11">
        <v>47</v>
      </c>
      <c r="T2046" s="11" t="s">
        <v>39</v>
      </c>
      <c r="U2046" s="11" t="s">
        <v>58</v>
      </c>
      <c r="V2046" s="11" t="s">
        <v>278</v>
      </c>
      <c r="W2046" s="11">
        <v>28000000</v>
      </c>
      <c r="X2046" s="11">
        <v>1993</v>
      </c>
      <c r="Y2046" s="11">
        <v>83</v>
      </c>
      <c r="Z2046" s="11">
        <v>7.2</v>
      </c>
      <c r="AA2046" s="11">
        <v>2.35</v>
      </c>
      <c r="AB2046" s="11">
        <v>408</v>
      </c>
      <c r="AC2046" s="11"/>
      <c r="AD2046" s="11" t="str">
        <f>IFERROR(__xludf.DUMMYFUNCTION("""COMPUTED_VALUE"""),"Brooke Shields")</f>
        <v>Brooke Shields</v>
      </c>
      <c r="AE2046" s="11"/>
    </row>
    <row r="2047" customHeight="1" spans="1:31">
      <c r="A2047" s="12" t="s">
        <v>30</v>
      </c>
      <c r="B2047" s="12" t="s">
        <v>10185</v>
      </c>
      <c r="C2047" s="12">
        <v>16</v>
      </c>
      <c r="D2047" s="12">
        <v>120</v>
      </c>
      <c r="E2047" s="12">
        <v>6</v>
      </c>
      <c r="F2047" s="12">
        <v>382</v>
      </c>
      <c r="G2047" s="12">
        <v>22000</v>
      </c>
      <c r="H2047" s="12">
        <v>42880</v>
      </c>
      <c r="I2047" s="12" t="s">
        <v>214</v>
      </c>
      <c r="J2047" s="12" t="s">
        <v>1746</v>
      </c>
      <c r="K2047" s="12" t="s">
        <v>2408</v>
      </c>
      <c r="L2047" s="12" t="s">
        <v>6738</v>
      </c>
      <c r="M2047" s="12" t="s">
        <v>10186</v>
      </c>
      <c r="N2047" s="12">
        <v>2919</v>
      </c>
      <c r="O2047" s="12">
        <v>23769</v>
      </c>
      <c r="P2047" s="12">
        <v>3</v>
      </c>
      <c r="Q2047" s="12" t="s">
        <v>10187</v>
      </c>
      <c r="R2047" s="15" t="s">
        <v>10188</v>
      </c>
      <c r="S2047" s="12">
        <v>50</v>
      </c>
      <c r="T2047" s="12" t="s">
        <v>39</v>
      </c>
      <c r="U2047" s="12" t="s">
        <v>58</v>
      </c>
      <c r="V2047" s="12" t="s">
        <v>96</v>
      </c>
      <c r="W2047" s="12">
        <v>24000000</v>
      </c>
      <c r="X2047" s="12">
        <v>2004</v>
      </c>
      <c r="Y2047" s="12">
        <v>670</v>
      </c>
      <c r="Z2047" s="12">
        <v>5.1</v>
      </c>
      <c r="AA2047" s="12">
        <v>1.85</v>
      </c>
      <c r="AB2047" s="12">
        <v>181</v>
      </c>
      <c r="AC2047" s="12"/>
      <c r="AD2047" s="12" t="str">
        <f>IFERROR(__xludf.DUMMYFUNCTION("""COMPUTED_VALUE"""),"Matt Prokop")</f>
        <v>Matt Prokop</v>
      </c>
      <c r="AE2047" s="12"/>
    </row>
    <row r="2048" customHeight="1" spans="1:31">
      <c r="A2048" s="11" t="s">
        <v>30</v>
      </c>
      <c r="B2048" s="11" t="s">
        <v>7786</v>
      </c>
      <c r="C2048" s="11">
        <v>196</v>
      </c>
      <c r="D2048" s="11">
        <v>98</v>
      </c>
      <c r="E2048" s="11">
        <v>88</v>
      </c>
      <c r="F2048" s="11">
        <v>706</v>
      </c>
      <c r="G2048" s="11">
        <v>12000</v>
      </c>
      <c r="H2048" s="11">
        <v>23225911</v>
      </c>
      <c r="I2048" s="11" t="s">
        <v>464</v>
      </c>
      <c r="J2048" s="11" t="s">
        <v>1073</v>
      </c>
      <c r="K2048" s="11" t="s">
        <v>4834</v>
      </c>
      <c r="L2048" s="11" t="s">
        <v>5265</v>
      </c>
      <c r="M2048" s="11" t="s">
        <v>10189</v>
      </c>
      <c r="N2048" s="11">
        <v>80574</v>
      </c>
      <c r="O2048" s="11">
        <v>14699</v>
      </c>
      <c r="P2048" s="11">
        <v>1</v>
      </c>
      <c r="Q2048" s="11" t="s">
        <v>10190</v>
      </c>
      <c r="R2048" s="14" t="s">
        <v>10191</v>
      </c>
      <c r="S2048" s="11">
        <v>157</v>
      </c>
      <c r="T2048" s="11" t="s">
        <v>39</v>
      </c>
      <c r="U2048" s="11" t="s">
        <v>40</v>
      </c>
      <c r="V2048" s="11" t="s">
        <v>586</v>
      </c>
      <c r="W2048" s="11">
        <v>24000000</v>
      </c>
      <c r="X2048" s="11">
        <v>2010</v>
      </c>
      <c r="Y2048" s="11">
        <v>854</v>
      </c>
      <c r="Z2048" s="11">
        <v>6.5</v>
      </c>
      <c r="AA2048" s="11">
        <v>2.35</v>
      </c>
      <c r="AB2048" s="11">
        <v>12000</v>
      </c>
      <c r="AC2048" s="11"/>
      <c r="AD2048" s="11" t="str">
        <f>IFERROR(__xludf.DUMMYFUNCTION("""COMPUTED_VALUE"""),"Cariba Heine")</f>
        <v>Cariba Heine</v>
      </c>
      <c r="AE2048" s="11"/>
    </row>
    <row r="2049" customHeight="1" spans="1:31">
      <c r="A2049" s="12" t="s">
        <v>30</v>
      </c>
      <c r="B2049" s="12" t="s">
        <v>7779</v>
      </c>
      <c r="C2049" s="12">
        <v>212</v>
      </c>
      <c r="D2049" s="12">
        <v>119</v>
      </c>
      <c r="E2049" s="12">
        <v>6000</v>
      </c>
      <c r="F2049" s="12">
        <v>422</v>
      </c>
      <c r="G2049" s="12">
        <v>23000</v>
      </c>
      <c r="H2049" s="12">
        <v>4710455</v>
      </c>
      <c r="I2049" s="12" t="s">
        <v>628</v>
      </c>
      <c r="J2049" s="12" t="s">
        <v>62</v>
      </c>
      <c r="K2049" s="12" t="s">
        <v>1747</v>
      </c>
      <c r="L2049" s="12" t="s">
        <v>1085</v>
      </c>
      <c r="M2049" s="12" t="s">
        <v>10192</v>
      </c>
      <c r="N2049" s="12">
        <v>214091</v>
      </c>
      <c r="O2049" s="12">
        <v>24263</v>
      </c>
      <c r="P2049" s="12">
        <v>0</v>
      </c>
      <c r="Q2049" s="12" t="s">
        <v>10193</v>
      </c>
      <c r="R2049" s="15" t="s">
        <v>10194</v>
      </c>
      <c r="S2049" s="12">
        <v>330</v>
      </c>
      <c r="T2049" s="12" t="s">
        <v>677</v>
      </c>
      <c r="U2049" s="12" t="s">
        <v>678</v>
      </c>
      <c r="V2049" s="12" t="s">
        <v>96</v>
      </c>
      <c r="W2049" s="12">
        <v>24000000</v>
      </c>
      <c r="X2049" s="12">
        <v>2004</v>
      </c>
      <c r="Y2049" s="12">
        <v>713</v>
      </c>
      <c r="Z2049" s="12">
        <v>8.2</v>
      </c>
      <c r="AA2049" s="12">
        <v>1.85</v>
      </c>
      <c r="AB2049" s="12">
        <v>13000</v>
      </c>
      <c r="AC2049" s="12"/>
      <c r="AD2049" s="12" t="str">
        <f>IFERROR(__xludf.DUMMYFUNCTION("""COMPUTED_VALUE"""),"Richard Brancatisano")</f>
        <v>Richard Brancatisano</v>
      </c>
      <c r="AE2049" s="12"/>
    </row>
    <row r="2050" customHeight="1" spans="1:31">
      <c r="A2050" s="11" t="s">
        <v>30</v>
      </c>
      <c r="B2050" s="11" t="s">
        <v>4213</v>
      </c>
      <c r="C2050" s="11">
        <v>445</v>
      </c>
      <c r="D2050" s="11">
        <v>88</v>
      </c>
      <c r="E2050" s="11">
        <v>181</v>
      </c>
      <c r="F2050" s="11">
        <v>11</v>
      </c>
      <c r="G2050" s="11">
        <v>15000</v>
      </c>
      <c r="H2050" s="11">
        <v>75590286</v>
      </c>
      <c r="I2050" s="11" t="s">
        <v>10195</v>
      </c>
      <c r="J2050" s="11" t="s">
        <v>182</v>
      </c>
      <c r="K2050" s="11" t="s">
        <v>549</v>
      </c>
      <c r="L2050" s="11" t="s">
        <v>10196</v>
      </c>
      <c r="M2050" s="11" t="s">
        <v>10197</v>
      </c>
      <c r="N2050" s="11">
        <v>386217</v>
      </c>
      <c r="O2050" s="11">
        <v>28011</v>
      </c>
      <c r="P2050" s="11">
        <v>4</v>
      </c>
      <c r="Q2050" s="11" t="s">
        <v>10198</v>
      </c>
      <c r="R2050" s="14" t="s">
        <v>10199</v>
      </c>
      <c r="S2050" s="11">
        <v>553</v>
      </c>
      <c r="T2050" s="11" t="s">
        <v>39</v>
      </c>
      <c r="U2050" s="11" t="s">
        <v>40</v>
      </c>
      <c r="V2050" s="11" t="s">
        <v>586</v>
      </c>
      <c r="W2050" s="11">
        <v>23600000</v>
      </c>
      <c r="X2050" s="11">
        <v>2009</v>
      </c>
      <c r="Y2050" s="11">
        <v>13000</v>
      </c>
      <c r="Z2050" s="11">
        <v>7.7</v>
      </c>
      <c r="AA2050" s="11">
        <v>2.35</v>
      </c>
      <c r="AB2050" s="11">
        <v>26000</v>
      </c>
      <c r="AC2050" s="11"/>
      <c r="AD2050" s="11" t="str">
        <f>IFERROR(__xludf.DUMMYFUNCTION("""COMPUTED_VALUE"""),"Lysette Anthony")</f>
        <v>Lysette Anthony</v>
      </c>
      <c r="AE2050" s="11"/>
    </row>
    <row r="2051" customHeight="1" spans="1:31">
      <c r="A2051" s="12" t="s">
        <v>30</v>
      </c>
      <c r="B2051" s="12" t="s">
        <v>172</v>
      </c>
      <c r="C2051" s="12">
        <v>446</v>
      </c>
      <c r="D2051" s="12">
        <v>201</v>
      </c>
      <c r="E2051" s="12">
        <v>0</v>
      </c>
      <c r="F2051" s="12">
        <v>84</v>
      </c>
      <c r="G2051" s="12">
        <v>6000</v>
      </c>
      <c r="H2051" s="12">
        <v>218051260</v>
      </c>
      <c r="I2051" s="12" t="s">
        <v>207</v>
      </c>
      <c r="J2051" s="12" t="s">
        <v>208</v>
      </c>
      <c r="K2051" s="12" t="s">
        <v>209</v>
      </c>
      <c r="L2051" s="12" t="s">
        <v>210</v>
      </c>
      <c r="M2051" s="12" t="s">
        <v>211</v>
      </c>
      <c r="N2051" s="12">
        <v>316020</v>
      </c>
      <c r="O2051" s="12">
        <v>7122</v>
      </c>
      <c r="P2051" s="12">
        <v>0</v>
      </c>
      <c r="Q2051" s="12" t="s">
        <v>212</v>
      </c>
      <c r="R2051" s="15" t="s">
        <v>213</v>
      </c>
      <c r="S2051" s="12">
        <v>2618</v>
      </c>
      <c r="T2051" s="12" t="s">
        <v>39</v>
      </c>
      <c r="U2051" s="12" t="s">
        <v>180</v>
      </c>
      <c r="V2051" s="12" t="s">
        <v>41</v>
      </c>
      <c r="W2051" s="12">
        <v>207000000</v>
      </c>
      <c r="X2051" s="12">
        <v>2005</v>
      </c>
      <c r="Y2051" s="12">
        <v>918</v>
      </c>
      <c r="Z2051" s="12">
        <v>7.2</v>
      </c>
      <c r="AA2051" s="12">
        <v>2.35</v>
      </c>
      <c r="AB2051" s="12">
        <v>0</v>
      </c>
      <c r="AC2051" s="12"/>
      <c r="AD2051" s="12" t="str">
        <f>IFERROR(__xludf.DUMMYFUNCTION("""COMPUTED_VALUE"""),"Rosanna Arquette")</f>
        <v>Rosanna Arquette</v>
      </c>
      <c r="AE2051" s="12"/>
    </row>
    <row r="2052" customHeight="1" spans="1:31">
      <c r="A2052" s="11" t="s">
        <v>748</v>
      </c>
      <c r="B2052" s="11" t="s">
        <v>1628</v>
      </c>
      <c r="C2052" s="11">
        <v>108</v>
      </c>
      <c r="D2052" s="11">
        <v>90</v>
      </c>
      <c r="E2052" s="11">
        <v>153</v>
      </c>
      <c r="F2052" s="11">
        <v>427</v>
      </c>
      <c r="G2052" s="11">
        <v>11000</v>
      </c>
      <c r="H2052" s="11">
        <v>161487252</v>
      </c>
      <c r="I2052" s="11" t="s">
        <v>3914</v>
      </c>
      <c r="J2052" s="11" t="s">
        <v>2180</v>
      </c>
      <c r="K2052" s="11" t="s">
        <v>1332</v>
      </c>
      <c r="L2052" s="11" t="s">
        <v>3018</v>
      </c>
      <c r="M2052" s="11" t="s">
        <v>10200</v>
      </c>
      <c r="N2052" s="11">
        <v>119450</v>
      </c>
      <c r="O2052" s="11">
        <v>13823</v>
      </c>
      <c r="P2052" s="11">
        <v>0</v>
      </c>
      <c r="Q2052" s="11" t="s">
        <v>10201</v>
      </c>
      <c r="R2052" s="14" t="s">
        <v>10202</v>
      </c>
      <c r="S2052" s="11">
        <v>300</v>
      </c>
      <c r="T2052" s="11" t="s">
        <v>39</v>
      </c>
      <c r="U2052" s="11" t="s">
        <v>40</v>
      </c>
      <c r="V2052" s="11" t="s">
        <v>41</v>
      </c>
      <c r="W2052" s="11">
        <v>20000000</v>
      </c>
      <c r="X2052" s="11">
        <v>1998</v>
      </c>
      <c r="Y2052" s="11">
        <v>1000</v>
      </c>
      <c r="Z2052" s="11">
        <v>6.1</v>
      </c>
      <c r="AA2052" s="11">
        <v>1.85</v>
      </c>
      <c r="AB2052" s="11">
        <v>0</v>
      </c>
      <c r="AC2052" s="11"/>
      <c r="AD2052" s="11" t="str">
        <f>IFERROR(__xludf.DUMMYFUNCTION("""COMPUTED_VALUE"""),"Dann Florek")</f>
        <v>Dann Florek</v>
      </c>
      <c r="AE2052" s="11"/>
    </row>
    <row r="2053" customHeight="1" spans="1:31">
      <c r="A2053" s="12" t="s">
        <v>30</v>
      </c>
      <c r="B2053" s="12" t="s">
        <v>7175</v>
      </c>
      <c r="C2053" s="12">
        <v>223</v>
      </c>
      <c r="D2053" s="12">
        <v>127</v>
      </c>
      <c r="E2053" s="12">
        <v>883</v>
      </c>
      <c r="F2053" s="12">
        <v>441</v>
      </c>
      <c r="G2053" s="12">
        <v>11000</v>
      </c>
      <c r="H2053" s="12">
        <v>290158751</v>
      </c>
      <c r="I2053" s="12" t="s">
        <v>32</v>
      </c>
      <c r="J2053" s="12" t="s">
        <v>391</v>
      </c>
      <c r="K2053" s="12" t="s">
        <v>7872</v>
      </c>
      <c r="L2053" s="12" t="s">
        <v>10203</v>
      </c>
      <c r="M2053" s="12" t="s">
        <v>10204</v>
      </c>
      <c r="N2053" s="12">
        <v>837759</v>
      </c>
      <c r="O2053" s="12">
        <v>12643</v>
      </c>
      <c r="P2053" s="12">
        <v>0</v>
      </c>
      <c r="Q2053" s="12" t="s">
        <v>10205</v>
      </c>
      <c r="R2053" s="15" t="s">
        <v>10206</v>
      </c>
      <c r="S2053" s="12">
        <v>900</v>
      </c>
      <c r="T2053" s="12" t="s">
        <v>39</v>
      </c>
      <c r="U2053" s="12" t="s">
        <v>40</v>
      </c>
      <c r="V2053" s="12" t="s">
        <v>96</v>
      </c>
      <c r="W2053" s="12">
        <v>18000000</v>
      </c>
      <c r="X2053" s="12">
        <v>1980</v>
      </c>
      <c r="Y2053" s="12">
        <v>504</v>
      </c>
      <c r="Z2053" s="12">
        <v>8.8</v>
      </c>
      <c r="AA2053" s="12">
        <v>2.35</v>
      </c>
      <c r="AB2053" s="12">
        <v>17000</v>
      </c>
      <c r="AC2053" s="12"/>
      <c r="AD2053" s="12" t="str">
        <f>IFERROR(__xludf.DUMMYFUNCTION("""COMPUTED_VALUE"""),"Christopher Rich")</f>
        <v>Christopher Rich</v>
      </c>
      <c r="AE2053" s="12"/>
    </row>
    <row r="2054" customHeight="1" spans="1:31">
      <c r="A2054" s="11" t="s">
        <v>30</v>
      </c>
      <c r="B2054" s="11" t="s">
        <v>279</v>
      </c>
      <c r="C2054" s="11">
        <v>63</v>
      </c>
      <c r="D2054" s="11">
        <v>119</v>
      </c>
      <c r="E2054" s="11">
        <v>0</v>
      </c>
      <c r="F2054" s="11">
        <v>244</v>
      </c>
      <c r="G2054" s="11">
        <v>10000</v>
      </c>
      <c r="H2054" s="11">
        <v>65807024</v>
      </c>
      <c r="I2054" s="11" t="s">
        <v>3554</v>
      </c>
      <c r="J2054" s="11" t="s">
        <v>166</v>
      </c>
      <c r="K2054" s="11" t="s">
        <v>2463</v>
      </c>
      <c r="L2054" s="11" t="s">
        <v>10207</v>
      </c>
      <c r="M2054" s="11" t="s">
        <v>10208</v>
      </c>
      <c r="N2054" s="11">
        <v>172405</v>
      </c>
      <c r="O2054" s="11">
        <v>11013</v>
      </c>
      <c r="P2054" s="11">
        <v>0</v>
      </c>
      <c r="Q2054" s="11" t="s">
        <v>10209</v>
      </c>
      <c r="R2054" s="14" t="s">
        <v>10210</v>
      </c>
      <c r="S2054" s="11">
        <v>203</v>
      </c>
      <c r="T2054" s="11" t="s">
        <v>39</v>
      </c>
      <c r="U2054" s="11" t="s">
        <v>40</v>
      </c>
      <c r="V2054" s="11" t="s">
        <v>586</v>
      </c>
      <c r="W2054" s="11">
        <v>19000000</v>
      </c>
      <c r="X2054" s="11">
        <v>1995</v>
      </c>
      <c r="Y2054" s="11">
        <v>345</v>
      </c>
      <c r="Z2054" s="11">
        <v>6.8</v>
      </c>
      <c r="AA2054" s="11">
        <v>1.85</v>
      </c>
      <c r="AB2054" s="11">
        <v>0</v>
      </c>
      <c r="AC2054" s="11"/>
      <c r="AD2054" s="11" t="str">
        <f>IFERROR(__xludf.DUMMYFUNCTION("""COMPUTED_VALUE"""),"Jason Behr")</f>
        <v>Jason Behr</v>
      </c>
      <c r="AE2054" s="11"/>
    </row>
    <row r="2055" customHeight="1" spans="1:31">
      <c r="A2055" s="12" t="s">
        <v>30</v>
      </c>
      <c r="B2055" s="12" t="s">
        <v>5703</v>
      </c>
      <c r="C2055" s="12">
        <v>43</v>
      </c>
      <c r="D2055" s="12">
        <v>85</v>
      </c>
      <c r="E2055" s="12">
        <v>119</v>
      </c>
      <c r="F2055" s="12">
        <v>144</v>
      </c>
      <c r="G2055" s="12">
        <v>3000</v>
      </c>
      <c r="H2055" s="12">
        <v>86930411</v>
      </c>
      <c r="I2055" s="12" t="s">
        <v>1009</v>
      </c>
      <c r="J2055" s="12" t="s">
        <v>8012</v>
      </c>
      <c r="K2055" s="12" t="s">
        <v>8285</v>
      </c>
      <c r="L2055" s="12" t="s">
        <v>10211</v>
      </c>
      <c r="M2055" s="12" t="s">
        <v>10212</v>
      </c>
      <c r="N2055" s="12">
        <v>83269</v>
      </c>
      <c r="O2055" s="12">
        <v>3847</v>
      </c>
      <c r="P2055" s="12">
        <v>6</v>
      </c>
      <c r="Q2055" s="12" t="s">
        <v>10213</v>
      </c>
      <c r="R2055" s="15" t="s">
        <v>10214</v>
      </c>
      <c r="S2055" s="12">
        <v>87</v>
      </c>
      <c r="T2055" s="12" t="s">
        <v>39</v>
      </c>
      <c r="U2055" s="12" t="s">
        <v>40</v>
      </c>
      <c r="V2055" s="12" t="s">
        <v>41</v>
      </c>
      <c r="W2055" s="12">
        <v>23000000</v>
      </c>
      <c r="X2055" s="12">
        <v>1991</v>
      </c>
      <c r="Y2055" s="12">
        <v>348</v>
      </c>
      <c r="Z2055" s="12">
        <v>6.8</v>
      </c>
      <c r="AA2055" s="12">
        <v>1.85</v>
      </c>
      <c r="AB2055" s="12">
        <v>0</v>
      </c>
      <c r="AC2055" s="12"/>
      <c r="AD2055" s="12" t="str">
        <f>IFERROR(__xludf.DUMMYFUNCTION("""COMPUTED_VALUE"""),"Michiel Huisman")</f>
        <v>Michiel Huisman</v>
      </c>
      <c r="AE2055" s="12"/>
    </row>
    <row r="2056" customHeight="1" spans="1:31">
      <c r="A2056" s="11" t="s">
        <v>30</v>
      </c>
      <c r="B2056" s="11" t="s">
        <v>5496</v>
      </c>
      <c r="C2056" s="11">
        <v>211</v>
      </c>
      <c r="D2056" s="11">
        <v>98</v>
      </c>
      <c r="E2056" s="11">
        <v>70</v>
      </c>
      <c r="F2056" s="11">
        <v>591</v>
      </c>
      <c r="G2056" s="11">
        <v>1000</v>
      </c>
      <c r="H2056" s="11">
        <v>53302314</v>
      </c>
      <c r="I2056" s="11" t="s">
        <v>5544</v>
      </c>
      <c r="J2056" s="11" t="s">
        <v>6010</v>
      </c>
      <c r="K2056" s="11" t="s">
        <v>10215</v>
      </c>
      <c r="L2056" s="11" t="s">
        <v>10216</v>
      </c>
      <c r="M2056" s="11" t="s">
        <v>10217</v>
      </c>
      <c r="N2056" s="11">
        <v>181058</v>
      </c>
      <c r="O2056" s="11">
        <v>3345</v>
      </c>
      <c r="P2056" s="11">
        <v>1</v>
      </c>
      <c r="Q2056" s="11" t="s">
        <v>10218</v>
      </c>
      <c r="R2056" s="14" t="s">
        <v>10219</v>
      </c>
      <c r="S2056" s="11">
        <v>674</v>
      </c>
      <c r="T2056" s="11" t="s">
        <v>39</v>
      </c>
      <c r="U2056" s="11" t="s">
        <v>40</v>
      </c>
      <c r="V2056" s="11" t="s">
        <v>586</v>
      </c>
      <c r="W2056" s="11">
        <v>23000000</v>
      </c>
      <c r="X2056" s="11">
        <v>2000</v>
      </c>
      <c r="Y2056" s="11">
        <v>847</v>
      </c>
      <c r="Z2056" s="11">
        <v>6.7</v>
      </c>
      <c r="AA2056" s="11">
        <v>1.85</v>
      </c>
      <c r="AB2056" s="11">
        <v>0</v>
      </c>
      <c r="AC2056" s="11"/>
      <c r="AD2056" s="11" t="str">
        <f>IFERROR(__xludf.DUMMYFUNCTION("""COMPUTED_VALUE"""),"Bashar Rahal")</f>
        <v>Bashar Rahal</v>
      </c>
      <c r="AE2056" s="11"/>
    </row>
    <row r="2057" customHeight="1" spans="1:31">
      <c r="A2057" s="12" t="s">
        <v>30</v>
      </c>
      <c r="B2057" s="12" t="s">
        <v>3402</v>
      </c>
      <c r="C2057" s="12">
        <v>421</v>
      </c>
      <c r="D2057" s="12">
        <v>101</v>
      </c>
      <c r="E2057" s="12">
        <v>0</v>
      </c>
      <c r="F2057" s="12">
        <v>1000</v>
      </c>
      <c r="G2057" s="12">
        <v>33000</v>
      </c>
      <c r="H2057" s="12">
        <v>40962534</v>
      </c>
      <c r="I2057" s="12" t="s">
        <v>3410</v>
      </c>
      <c r="J2057" s="12" t="s">
        <v>4214</v>
      </c>
      <c r="K2057" s="12" t="s">
        <v>699</v>
      </c>
      <c r="L2057" s="12" t="s">
        <v>1403</v>
      </c>
      <c r="M2057" s="12" t="s">
        <v>10220</v>
      </c>
      <c r="N2057" s="12">
        <v>188652</v>
      </c>
      <c r="O2057" s="12">
        <v>57077</v>
      </c>
      <c r="P2057" s="12">
        <v>1</v>
      </c>
      <c r="Q2057" s="12" t="s">
        <v>10221</v>
      </c>
      <c r="R2057" s="15" t="s">
        <v>10222</v>
      </c>
      <c r="S2057" s="12">
        <v>288</v>
      </c>
      <c r="T2057" s="12" t="s">
        <v>39</v>
      </c>
      <c r="U2057" s="12" t="s">
        <v>40</v>
      </c>
      <c r="V2057" s="12" t="s">
        <v>586</v>
      </c>
      <c r="W2057" s="12">
        <v>12500000</v>
      </c>
      <c r="X2057" s="12">
        <v>2011</v>
      </c>
      <c r="Y2057" s="12">
        <v>22000</v>
      </c>
      <c r="Z2057" s="12">
        <v>7.1</v>
      </c>
      <c r="AA2057" s="12">
        <v>2.35</v>
      </c>
      <c r="AB2057" s="12">
        <v>22000</v>
      </c>
      <c r="AC2057" s="12"/>
      <c r="AD2057" s="12" t="str">
        <f>IFERROR(__xludf.DUMMYFUNCTION("""COMPUTED_VALUE"""),"Shawn Doyle")</f>
        <v>Shawn Doyle</v>
      </c>
      <c r="AE2057" s="12"/>
    </row>
    <row r="2058" customHeight="1" spans="1:31">
      <c r="A2058" s="11" t="s">
        <v>30</v>
      </c>
      <c r="B2058" s="11" t="s">
        <v>1395</v>
      </c>
      <c r="C2058" s="11">
        <v>214</v>
      </c>
      <c r="D2058" s="11">
        <v>112</v>
      </c>
      <c r="E2058" s="11">
        <v>123</v>
      </c>
      <c r="F2058" s="11">
        <v>787</v>
      </c>
      <c r="G2058" s="11">
        <v>14000</v>
      </c>
      <c r="H2058" s="11">
        <v>39235088</v>
      </c>
      <c r="I2058" s="11" t="s">
        <v>10223</v>
      </c>
      <c r="J2058" s="11" t="s">
        <v>337</v>
      </c>
      <c r="K2058" s="11" t="s">
        <v>3373</v>
      </c>
      <c r="L2058" s="11" t="s">
        <v>2050</v>
      </c>
      <c r="M2058" s="11" t="s">
        <v>10224</v>
      </c>
      <c r="N2058" s="11">
        <v>193962</v>
      </c>
      <c r="O2058" s="11">
        <v>16196</v>
      </c>
      <c r="P2058" s="11">
        <v>0</v>
      </c>
      <c r="Q2058" s="11" t="s">
        <v>10225</v>
      </c>
      <c r="R2058" s="14" t="s">
        <v>10226</v>
      </c>
      <c r="S2058" s="11">
        <v>805</v>
      </c>
      <c r="T2058" s="11" t="s">
        <v>39</v>
      </c>
      <c r="U2058" s="11" t="s">
        <v>40</v>
      </c>
      <c r="V2058" s="11" t="s">
        <v>586</v>
      </c>
      <c r="W2058" s="11">
        <v>23000000</v>
      </c>
      <c r="X2058" s="11">
        <v>2000</v>
      </c>
      <c r="Y2058" s="11">
        <v>991</v>
      </c>
      <c r="Z2058" s="11">
        <v>7.1</v>
      </c>
      <c r="AA2058" s="11">
        <v>2.35</v>
      </c>
      <c r="AB2058" s="11">
        <v>5000</v>
      </c>
      <c r="AC2058" s="11"/>
      <c r="AD2058" s="11" t="str">
        <f>IFERROR(__xludf.DUMMYFUNCTION("""COMPUTED_VALUE"""),"Paul Sorvino")</f>
        <v>Paul Sorvino</v>
      </c>
      <c r="AE2058" s="11"/>
    </row>
    <row r="2059" customHeight="1" spans="1:31">
      <c r="A2059" s="12" t="s">
        <v>30</v>
      </c>
      <c r="B2059" s="12" t="s">
        <v>1018</v>
      </c>
      <c r="C2059" s="12">
        <v>92</v>
      </c>
      <c r="D2059" s="12">
        <v>97</v>
      </c>
      <c r="E2059" s="12">
        <v>956</v>
      </c>
      <c r="F2059" s="12">
        <v>99</v>
      </c>
      <c r="G2059" s="12">
        <v>20000</v>
      </c>
      <c r="H2059" s="12">
        <v>27338033</v>
      </c>
      <c r="I2059" s="12" t="s">
        <v>1681</v>
      </c>
      <c r="J2059" s="12" t="s">
        <v>263</v>
      </c>
      <c r="K2059" s="12" t="s">
        <v>4765</v>
      </c>
      <c r="L2059" s="12" t="s">
        <v>10227</v>
      </c>
      <c r="M2059" s="12" t="s">
        <v>10228</v>
      </c>
      <c r="N2059" s="12">
        <v>19709</v>
      </c>
      <c r="O2059" s="12">
        <v>20798</v>
      </c>
      <c r="P2059" s="12">
        <v>3</v>
      </c>
      <c r="Q2059" s="12" t="s">
        <v>10229</v>
      </c>
      <c r="R2059" s="15" t="s">
        <v>10230</v>
      </c>
      <c r="S2059" s="12">
        <v>167</v>
      </c>
      <c r="T2059" s="12" t="s">
        <v>39</v>
      </c>
      <c r="U2059" s="12" t="s">
        <v>40</v>
      </c>
      <c r="V2059" s="12" t="s">
        <v>41</v>
      </c>
      <c r="W2059" s="12">
        <v>23000000</v>
      </c>
      <c r="X2059" s="12">
        <v>2001</v>
      </c>
      <c r="Y2059" s="12">
        <v>551</v>
      </c>
      <c r="Z2059" s="12">
        <v>6.1</v>
      </c>
      <c r="AA2059" s="12">
        <v>1.85</v>
      </c>
      <c r="AB2059" s="12">
        <v>0</v>
      </c>
      <c r="AC2059" s="12"/>
      <c r="AD2059" s="12" t="str">
        <f>IFERROR(__xludf.DUMMYFUNCTION("""COMPUTED_VALUE"""),"Lela Rochon")</f>
        <v>Lela Rochon</v>
      </c>
      <c r="AE2059" s="12"/>
    </row>
    <row r="2060" customHeight="1" spans="1:31">
      <c r="A2060" s="11" t="s">
        <v>30</v>
      </c>
      <c r="B2060" s="11" t="s">
        <v>1801</v>
      </c>
      <c r="C2060" s="11">
        <v>574</v>
      </c>
      <c r="D2060" s="11">
        <v>126</v>
      </c>
      <c r="E2060" s="11">
        <v>0</v>
      </c>
      <c r="F2060" s="11">
        <v>105</v>
      </c>
      <c r="G2060" s="11">
        <v>19000</v>
      </c>
      <c r="H2060" s="11">
        <v>25556065</v>
      </c>
      <c r="I2060" s="11" t="s">
        <v>5500</v>
      </c>
      <c r="J2060" s="11" t="s">
        <v>100</v>
      </c>
      <c r="K2060" s="11" t="s">
        <v>10231</v>
      </c>
      <c r="L2060" s="11" t="s">
        <v>10232</v>
      </c>
      <c r="M2060" s="11" t="s">
        <v>10233</v>
      </c>
      <c r="N2060" s="11">
        <v>355126</v>
      </c>
      <c r="O2060" s="11">
        <v>19359</v>
      </c>
      <c r="P2060" s="11">
        <v>1</v>
      </c>
      <c r="Q2060" s="11" t="s">
        <v>10234</v>
      </c>
      <c r="R2060" s="14" t="s">
        <v>10235</v>
      </c>
      <c r="S2060" s="11">
        <v>748</v>
      </c>
      <c r="T2060" s="11" t="s">
        <v>39</v>
      </c>
      <c r="U2060" s="11" t="s">
        <v>40</v>
      </c>
      <c r="V2060" s="11" t="s">
        <v>586</v>
      </c>
      <c r="W2060" s="11">
        <v>23000000</v>
      </c>
      <c r="X2060" s="11">
        <v>2013</v>
      </c>
      <c r="Y2060" s="11">
        <v>128</v>
      </c>
      <c r="Z2060" s="11">
        <v>8</v>
      </c>
      <c r="AA2060" s="11">
        <v>1.85</v>
      </c>
      <c r="AB2060" s="11">
        <v>148000</v>
      </c>
      <c r="AC2060" s="11"/>
      <c r="AD2060" s="11" t="str">
        <f>IFERROR(__xludf.DUMMYFUNCTION("""COMPUTED_VALUE"""),"Ray Nicholas")</f>
        <v>Ray Nicholas</v>
      </c>
      <c r="AE2060" s="11"/>
    </row>
    <row r="2061" customHeight="1" spans="1:31">
      <c r="A2061" s="12" t="s">
        <v>30</v>
      </c>
      <c r="B2061" s="12" t="s">
        <v>3448</v>
      </c>
      <c r="C2061" s="12">
        <v>216</v>
      </c>
      <c r="D2061" s="12">
        <v>106</v>
      </c>
      <c r="E2061" s="12">
        <v>452</v>
      </c>
      <c r="F2061" s="12">
        <v>141</v>
      </c>
      <c r="G2061" s="12">
        <v>20000</v>
      </c>
      <c r="H2061" s="12">
        <v>15785632</v>
      </c>
      <c r="I2061" s="12" t="s">
        <v>9728</v>
      </c>
      <c r="J2061" s="12" t="s">
        <v>263</v>
      </c>
      <c r="K2061" s="12" t="s">
        <v>9729</v>
      </c>
      <c r="L2061" s="12" t="s">
        <v>5993</v>
      </c>
      <c r="M2061" s="12" t="s">
        <v>9730</v>
      </c>
      <c r="N2061" s="12">
        <v>32513</v>
      </c>
      <c r="O2061" s="12">
        <v>21195</v>
      </c>
      <c r="P2061" s="12">
        <v>3</v>
      </c>
      <c r="Q2061" s="12" t="s">
        <v>9731</v>
      </c>
      <c r="R2061" s="15" t="s">
        <v>9732</v>
      </c>
      <c r="S2061" s="12">
        <v>119</v>
      </c>
      <c r="T2061" s="12" t="s">
        <v>39</v>
      </c>
      <c r="U2061" s="12" t="s">
        <v>58</v>
      </c>
      <c r="V2061" s="12" t="s">
        <v>41</v>
      </c>
      <c r="W2061" s="12">
        <v>23000000</v>
      </c>
      <c r="X2061" s="12">
        <v>2016</v>
      </c>
      <c r="Y2061" s="12">
        <v>732</v>
      </c>
      <c r="Z2061" s="12">
        <v>7.5</v>
      </c>
      <c r="AA2061" s="12">
        <v>2.35</v>
      </c>
      <c r="AB2061" s="12">
        <v>15000</v>
      </c>
      <c r="AC2061" s="12"/>
      <c r="AD2061" s="12" t="str">
        <f>IFERROR(__xludf.DUMMYFUNCTION("""COMPUTED_VALUE"""),"Maurice Compte")</f>
        <v>Maurice Compte</v>
      </c>
      <c r="AE2061" s="12"/>
    </row>
    <row r="2062" customHeight="1" spans="1:31">
      <c r="A2062" s="11" t="s">
        <v>30</v>
      </c>
      <c r="B2062" s="11" t="s">
        <v>4424</v>
      </c>
      <c r="C2062" s="11">
        <v>140</v>
      </c>
      <c r="D2062" s="11">
        <v>97</v>
      </c>
      <c r="E2062" s="11">
        <v>131</v>
      </c>
      <c r="F2062" s="11">
        <v>62</v>
      </c>
      <c r="G2062" s="11">
        <v>23000</v>
      </c>
      <c r="H2062" s="11">
        <v>21973182</v>
      </c>
      <c r="I2062" s="11" t="s">
        <v>852</v>
      </c>
      <c r="J2062" s="11" t="s">
        <v>336</v>
      </c>
      <c r="K2062" s="11" t="s">
        <v>10236</v>
      </c>
      <c r="L2062" s="11" t="s">
        <v>10237</v>
      </c>
      <c r="M2062" s="11" t="s">
        <v>10238</v>
      </c>
      <c r="N2062" s="11">
        <v>53415</v>
      </c>
      <c r="O2062" s="11">
        <v>23242</v>
      </c>
      <c r="P2062" s="11">
        <v>2</v>
      </c>
      <c r="Q2062" s="11" t="s">
        <v>10239</v>
      </c>
      <c r="R2062" s="14" t="s">
        <v>10240</v>
      </c>
      <c r="S2062" s="11">
        <v>339</v>
      </c>
      <c r="T2062" s="11" t="s">
        <v>39</v>
      </c>
      <c r="U2062" s="11" t="s">
        <v>40</v>
      </c>
      <c r="V2062" s="11" t="s">
        <v>586</v>
      </c>
      <c r="W2062" s="11">
        <v>23000000</v>
      </c>
      <c r="X2062" s="11">
        <v>2001</v>
      </c>
      <c r="Y2062" s="11">
        <v>81</v>
      </c>
      <c r="Z2062" s="11">
        <v>6.6</v>
      </c>
      <c r="AA2062" s="11">
        <v>2.35</v>
      </c>
      <c r="AB2062" s="11">
        <v>0</v>
      </c>
      <c r="AC2062" s="11"/>
      <c r="AD2062" s="11" t="str">
        <f>IFERROR(__xludf.DUMMYFUNCTION("""COMPUTED_VALUE"""),"Benno Fürmann")</f>
        <v>Benno Fürmann</v>
      </c>
      <c r="AE2062" s="11"/>
    </row>
    <row r="2063" customHeight="1" spans="1:31">
      <c r="A2063" s="12" t="s">
        <v>30</v>
      </c>
      <c r="B2063" s="12" t="s">
        <v>10241</v>
      </c>
      <c r="C2063" s="12">
        <v>28</v>
      </c>
      <c r="D2063" s="12">
        <v>100</v>
      </c>
      <c r="E2063" s="12">
        <v>3</v>
      </c>
      <c r="F2063" s="12">
        <v>88</v>
      </c>
      <c r="G2063" s="12">
        <v>2000</v>
      </c>
      <c r="H2063" s="12">
        <v>4756</v>
      </c>
      <c r="I2063" s="12" t="s">
        <v>200</v>
      </c>
      <c r="J2063" s="12" t="s">
        <v>1353</v>
      </c>
      <c r="K2063" s="12" t="s">
        <v>10242</v>
      </c>
      <c r="L2063" s="12" t="s">
        <v>10243</v>
      </c>
      <c r="M2063" s="12" t="s">
        <v>10244</v>
      </c>
      <c r="N2063" s="12">
        <v>4191</v>
      </c>
      <c r="O2063" s="12">
        <v>2450</v>
      </c>
      <c r="P2063" s="12">
        <v>4</v>
      </c>
      <c r="Q2063" s="12" t="s">
        <v>10245</v>
      </c>
      <c r="R2063" s="15" t="s">
        <v>10246</v>
      </c>
      <c r="S2063" s="12">
        <v>32</v>
      </c>
      <c r="T2063" s="12" t="s">
        <v>39</v>
      </c>
      <c r="U2063" s="12" t="s">
        <v>58</v>
      </c>
      <c r="V2063" s="12" t="s">
        <v>96</v>
      </c>
      <c r="W2063" s="12">
        <v>25000000</v>
      </c>
      <c r="X2063" s="12">
        <v>2013</v>
      </c>
      <c r="Y2063" s="12">
        <v>228</v>
      </c>
      <c r="Z2063" s="12">
        <v>5.4</v>
      </c>
      <c r="AA2063" s="12">
        <v>2.35</v>
      </c>
      <c r="AB2063" s="12">
        <v>0</v>
      </c>
      <c r="AC2063" s="12"/>
      <c r="AD2063" s="12" t="str">
        <f>IFERROR(__xludf.DUMMYFUNCTION("""COMPUTED_VALUE"""),"Soleyman Pierini")</f>
        <v>Soleyman Pierini</v>
      </c>
      <c r="AE2063" s="12"/>
    </row>
    <row r="2064" customHeight="1" spans="1:31">
      <c r="A2064" s="11" t="s">
        <v>30</v>
      </c>
      <c r="B2064" s="11" t="s">
        <v>4620</v>
      </c>
      <c r="C2064" s="11">
        <v>36</v>
      </c>
      <c r="D2064" s="11">
        <v>114</v>
      </c>
      <c r="E2064" s="11">
        <v>61</v>
      </c>
      <c r="F2064" s="11">
        <v>407</v>
      </c>
      <c r="G2064" s="11">
        <v>20000</v>
      </c>
      <c r="H2064" s="11">
        <v>18653615</v>
      </c>
      <c r="I2064" s="11" t="s">
        <v>2528</v>
      </c>
      <c r="J2064" s="11" t="s">
        <v>842</v>
      </c>
      <c r="K2064" s="11" t="s">
        <v>10247</v>
      </c>
      <c r="L2064" s="11" t="s">
        <v>10020</v>
      </c>
      <c r="M2064" s="11" t="s">
        <v>10248</v>
      </c>
      <c r="N2064" s="11">
        <v>14786</v>
      </c>
      <c r="O2064" s="11">
        <v>22040</v>
      </c>
      <c r="P2064" s="11">
        <v>2</v>
      </c>
      <c r="Q2064" s="11" t="s">
        <v>10249</v>
      </c>
      <c r="R2064" s="14" t="s">
        <v>10250</v>
      </c>
      <c r="S2064" s="11">
        <v>103</v>
      </c>
      <c r="T2064" s="11" t="s">
        <v>39</v>
      </c>
      <c r="U2064" s="11" t="s">
        <v>40</v>
      </c>
      <c r="V2064" s="11" t="s">
        <v>41</v>
      </c>
      <c r="W2064" s="11">
        <v>23000000</v>
      </c>
      <c r="X2064" s="11">
        <v>1999</v>
      </c>
      <c r="Y2064" s="11">
        <v>797</v>
      </c>
      <c r="Z2064" s="11">
        <v>6.1</v>
      </c>
      <c r="AA2064" s="11">
        <v>2.35</v>
      </c>
      <c r="AB2064" s="11">
        <v>638</v>
      </c>
      <c r="AC2064" s="11"/>
      <c r="AD2064" s="11" t="str">
        <f>IFERROR(__xludf.DUMMYFUNCTION("""COMPUTED_VALUE"""),"Jade Kindar-Martin")</f>
        <v>Jade Kindar-Martin</v>
      </c>
      <c r="AE2064" s="11"/>
    </row>
    <row r="2065" customHeight="1" spans="1:31">
      <c r="A2065" s="12" t="s">
        <v>30</v>
      </c>
      <c r="B2065" s="12" t="s">
        <v>8619</v>
      </c>
      <c r="C2065" s="12">
        <v>65</v>
      </c>
      <c r="D2065" s="12">
        <v>101</v>
      </c>
      <c r="E2065" s="12">
        <v>3</v>
      </c>
      <c r="F2065" s="12">
        <v>120</v>
      </c>
      <c r="G2065" s="12">
        <v>448</v>
      </c>
      <c r="H2065" s="12">
        <v>12189514</v>
      </c>
      <c r="I2065" s="12" t="s">
        <v>1681</v>
      </c>
      <c r="J2065" s="12" t="s">
        <v>2781</v>
      </c>
      <c r="K2065" s="12" t="s">
        <v>8620</v>
      </c>
      <c r="L2065" s="12" t="s">
        <v>8621</v>
      </c>
      <c r="M2065" s="12" t="s">
        <v>8622</v>
      </c>
      <c r="N2065" s="12">
        <v>30092</v>
      </c>
      <c r="O2065" s="12">
        <v>829</v>
      </c>
      <c r="P2065" s="12">
        <v>0</v>
      </c>
      <c r="Q2065" s="12" t="s">
        <v>8623</v>
      </c>
      <c r="R2065" s="15" t="s">
        <v>8624</v>
      </c>
      <c r="S2065" s="12">
        <v>129</v>
      </c>
      <c r="T2065" s="12" t="s">
        <v>39</v>
      </c>
      <c r="U2065" s="12" t="s">
        <v>40</v>
      </c>
      <c r="V2065" s="12" t="s">
        <v>41</v>
      </c>
      <c r="W2065" s="12">
        <v>23000000</v>
      </c>
      <c r="X2065" s="12">
        <v>2004</v>
      </c>
      <c r="Y2065" s="12">
        <v>143</v>
      </c>
      <c r="Z2065" s="12">
        <v>6.1</v>
      </c>
      <c r="AA2065" s="12">
        <v>2.35</v>
      </c>
      <c r="AB2065" s="12">
        <v>0</v>
      </c>
      <c r="AC2065" s="12"/>
      <c r="AD2065" s="12" t="str">
        <f>IFERROR(__xludf.DUMMYFUNCTION("""COMPUTED_VALUE"""),"Marley Shelton")</f>
        <v>Marley Shelton</v>
      </c>
      <c r="AE2065" s="12"/>
    </row>
    <row r="2066" customHeight="1" spans="1:31">
      <c r="A2066" s="11" t="s">
        <v>30</v>
      </c>
      <c r="B2066" s="11" t="s">
        <v>10251</v>
      </c>
      <c r="C2066" s="11">
        <v>53</v>
      </c>
      <c r="D2066" s="11">
        <v>88</v>
      </c>
      <c r="E2066" s="11">
        <v>12</v>
      </c>
      <c r="F2066" s="11">
        <v>249</v>
      </c>
      <c r="G2066" s="11">
        <v>327</v>
      </c>
      <c r="H2066" s="11">
        <v>13019253</v>
      </c>
      <c r="I2066" s="11" t="s">
        <v>1009</v>
      </c>
      <c r="J2066" s="11" t="s">
        <v>4745</v>
      </c>
      <c r="K2066" s="11" t="s">
        <v>10252</v>
      </c>
      <c r="L2066" s="11" t="s">
        <v>10253</v>
      </c>
      <c r="M2066" s="11" t="s">
        <v>10254</v>
      </c>
      <c r="N2066" s="11">
        <v>3914</v>
      </c>
      <c r="O2066" s="11">
        <v>1509</v>
      </c>
      <c r="P2066" s="11">
        <v>4</v>
      </c>
      <c r="Q2066" s="11" t="s">
        <v>10255</v>
      </c>
      <c r="R2066" s="14" t="s">
        <v>10256</v>
      </c>
      <c r="S2066" s="11">
        <v>47</v>
      </c>
      <c r="T2066" s="11" t="s">
        <v>39</v>
      </c>
      <c r="U2066" s="11" t="s">
        <v>40</v>
      </c>
      <c r="V2066" s="11" t="s">
        <v>41</v>
      </c>
      <c r="W2066" s="11">
        <v>23000000</v>
      </c>
      <c r="X2066" s="11">
        <v>2000</v>
      </c>
      <c r="Y2066" s="11">
        <v>281</v>
      </c>
      <c r="Z2066" s="11">
        <v>5.6</v>
      </c>
      <c r="AA2066" s="11">
        <v>1.85</v>
      </c>
      <c r="AB2066" s="11">
        <v>153</v>
      </c>
      <c r="AC2066" s="11"/>
      <c r="AD2066" s="11" t="str">
        <f>IFERROR(__xludf.DUMMYFUNCTION("""COMPUTED_VALUE"""),"Lee Arenberg")</f>
        <v>Lee Arenberg</v>
      </c>
      <c r="AE2066" s="11"/>
    </row>
    <row r="2067" customHeight="1" spans="1:31">
      <c r="A2067" s="12" t="s">
        <v>30</v>
      </c>
      <c r="B2067" s="12" t="s">
        <v>1527</v>
      </c>
      <c r="C2067" s="12">
        <v>394</v>
      </c>
      <c r="D2067" s="12">
        <v>93</v>
      </c>
      <c r="E2067" s="12">
        <v>0</v>
      </c>
      <c r="F2067" s="12">
        <v>947</v>
      </c>
      <c r="G2067" s="12">
        <v>17000</v>
      </c>
      <c r="H2067" s="12">
        <v>18934858</v>
      </c>
      <c r="I2067" s="12" t="s">
        <v>60</v>
      </c>
      <c r="J2067" s="12" t="s">
        <v>445</v>
      </c>
      <c r="K2067" s="12" t="s">
        <v>459</v>
      </c>
      <c r="L2067" s="12" t="s">
        <v>2299</v>
      </c>
      <c r="M2067" s="12" t="s">
        <v>10257</v>
      </c>
      <c r="N2067" s="12">
        <v>72646</v>
      </c>
      <c r="O2067" s="12">
        <v>31187</v>
      </c>
      <c r="P2067" s="12">
        <v>5</v>
      </c>
      <c r="Q2067" s="12" t="s">
        <v>10258</v>
      </c>
      <c r="R2067" s="15" t="s">
        <v>10259</v>
      </c>
      <c r="S2067" s="12">
        <v>397</v>
      </c>
      <c r="T2067" s="12" t="s">
        <v>39</v>
      </c>
      <c r="U2067" s="12" t="s">
        <v>7988</v>
      </c>
      <c r="V2067" s="12" t="s">
        <v>586</v>
      </c>
      <c r="W2067" s="12">
        <v>23000000</v>
      </c>
      <c r="X2067" s="12">
        <v>2011</v>
      </c>
      <c r="Y2067" s="12">
        <v>13000</v>
      </c>
      <c r="Z2067" s="12">
        <v>5.8</v>
      </c>
      <c r="AA2067" s="12">
        <v>2.35</v>
      </c>
      <c r="AB2067" s="12">
        <v>0</v>
      </c>
      <c r="AC2067" s="12"/>
      <c r="AD2067" s="12" t="str">
        <f>IFERROR(__xludf.DUMMYFUNCTION("""COMPUTED_VALUE"""),"Angus Macfadyen")</f>
        <v>Angus Macfadyen</v>
      </c>
      <c r="AE2067" s="12"/>
    </row>
    <row r="2068" customHeight="1" spans="1:31">
      <c r="A2068" s="11" t="s">
        <v>30</v>
      </c>
      <c r="B2068" s="11" t="s">
        <v>10260</v>
      </c>
      <c r="C2068" s="11">
        <v>80</v>
      </c>
      <c r="D2068" s="11">
        <v>92</v>
      </c>
      <c r="E2068" s="11">
        <v>114</v>
      </c>
      <c r="F2068" s="11">
        <v>434</v>
      </c>
      <c r="G2068" s="11">
        <v>912</v>
      </c>
      <c r="H2068" s="11">
        <v>20763013</v>
      </c>
      <c r="I2068" s="11" t="s">
        <v>8571</v>
      </c>
      <c r="J2068" s="11" t="s">
        <v>10261</v>
      </c>
      <c r="K2068" s="11" t="s">
        <v>9330</v>
      </c>
      <c r="L2068" s="11" t="s">
        <v>10262</v>
      </c>
      <c r="M2068" s="11" t="s">
        <v>10263</v>
      </c>
      <c r="N2068" s="11">
        <v>30840</v>
      </c>
      <c r="O2068" s="11">
        <v>2355</v>
      </c>
      <c r="P2068" s="11">
        <v>0</v>
      </c>
      <c r="Q2068" s="11" t="s">
        <v>10264</v>
      </c>
      <c r="R2068" s="14" t="s">
        <v>10265</v>
      </c>
      <c r="S2068" s="11">
        <v>383</v>
      </c>
      <c r="T2068" s="11" t="s">
        <v>39</v>
      </c>
      <c r="U2068" s="11" t="s">
        <v>40</v>
      </c>
      <c r="V2068" s="11" t="s">
        <v>41</v>
      </c>
      <c r="W2068" s="11">
        <v>23000000</v>
      </c>
      <c r="X2068" s="11">
        <v>1987</v>
      </c>
      <c r="Y2068" s="11">
        <v>535</v>
      </c>
      <c r="Z2068" s="11">
        <v>2.8</v>
      </c>
      <c r="AA2068" s="11">
        <v>2.35</v>
      </c>
      <c r="AB2068" s="11">
        <v>0</v>
      </c>
      <c r="AC2068" s="11"/>
      <c r="AD2068" s="11" t="str">
        <f>IFERROR(__xludf.DUMMYFUNCTION("""COMPUTED_VALUE"""),"Warren Brown")</f>
        <v>Warren Brown</v>
      </c>
      <c r="AE2068" s="11"/>
    </row>
    <row r="2069" customHeight="1" spans="1:31">
      <c r="A2069" s="12" t="s">
        <v>30</v>
      </c>
      <c r="B2069" s="12" t="s">
        <v>10266</v>
      </c>
      <c r="C2069" s="12">
        <v>45</v>
      </c>
      <c r="D2069" s="12">
        <v>98</v>
      </c>
      <c r="E2069" s="12">
        <v>4</v>
      </c>
      <c r="F2069" s="12">
        <v>11000</v>
      </c>
      <c r="G2069" s="12">
        <v>29000</v>
      </c>
      <c r="H2069" s="12">
        <v>12782508</v>
      </c>
      <c r="I2069" s="12" t="s">
        <v>3410</v>
      </c>
      <c r="J2069" s="12" t="s">
        <v>215</v>
      </c>
      <c r="K2069" s="12" t="s">
        <v>1746</v>
      </c>
      <c r="L2069" s="12" t="s">
        <v>2377</v>
      </c>
      <c r="M2069" s="12" t="s">
        <v>10267</v>
      </c>
      <c r="N2069" s="12">
        <v>20163</v>
      </c>
      <c r="O2069" s="12">
        <v>63194</v>
      </c>
      <c r="P2069" s="12">
        <v>2</v>
      </c>
      <c r="Q2069" s="12" t="s">
        <v>10268</v>
      </c>
      <c r="R2069" s="15" t="s">
        <v>10269</v>
      </c>
      <c r="S2069" s="12">
        <v>71</v>
      </c>
      <c r="T2069" s="12" t="s">
        <v>39</v>
      </c>
      <c r="U2069" s="12" t="s">
        <v>40</v>
      </c>
      <c r="V2069" s="12" t="s">
        <v>41</v>
      </c>
      <c r="W2069" s="12">
        <v>23000000</v>
      </c>
      <c r="X2069" s="12">
        <v>1996</v>
      </c>
      <c r="Y2069" s="12">
        <v>22000</v>
      </c>
      <c r="Z2069" s="12">
        <v>6.7</v>
      </c>
      <c r="AA2069" s="12">
        <v>1.85</v>
      </c>
      <c r="AB2069" s="12">
        <v>1000</v>
      </c>
      <c r="AC2069" s="12"/>
      <c r="AD2069" s="12" t="str">
        <f>IFERROR(__xludf.DUMMYFUNCTION("""COMPUTED_VALUE"""),"Rie Rasmussen")</f>
        <v>Rie Rasmussen</v>
      </c>
      <c r="AE2069" s="12"/>
    </row>
    <row r="2070" customHeight="1" spans="1:31">
      <c r="A2070" s="11" t="s">
        <v>30</v>
      </c>
      <c r="B2070" s="11" t="s">
        <v>10270</v>
      </c>
      <c r="C2070" s="11">
        <v>47</v>
      </c>
      <c r="D2070" s="11">
        <v>94</v>
      </c>
      <c r="E2070" s="11">
        <v>258</v>
      </c>
      <c r="F2070" s="11">
        <v>424</v>
      </c>
      <c r="G2070" s="11">
        <v>721</v>
      </c>
      <c r="H2070" s="11">
        <v>11508423</v>
      </c>
      <c r="I2070" s="11" t="s">
        <v>10271</v>
      </c>
      <c r="J2070" s="11" t="s">
        <v>4010</v>
      </c>
      <c r="K2070" s="11" t="s">
        <v>4947</v>
      </c>
      <c r="L2070" s="11" t="s">
        <v>10272</v>
      </c>
      <c r="M2070" s="11" t="s">
        <v>10273</v>
      </c>
      <c r="N2070" s="11">
        <v>3174</v>
      </c>
      <c r="O2070" s="11">
        <v>2453</v>
      </c>
      <c r="P2070" s="11">
        <v>2</v>
      </c>
      <c r="Q2070" s="11" t="s">
        <v>10274</v>
      </c>
      <c r="R2070" s="14" t="s">
        <v>10275</v>
      </c>
      <c r="S2070" s="11">
        <v>19</v>
      </c>
      <c r="T2070" s="11" t="s">
        <v>39</v>
      </c>
      <c r="U2070" s="11" t="s">
        <v>40</v>
      </c>
      <c r="V2070" s="11" t="s">
        <v>96</v>
      </c>
      <c r="W2070" s="11">
        <v>23000000</v>
      </c>
      <c r="X2070" s="11">
        <v>2008</v>
      </c>
      <c r="Y2070" s="11">
        <v>463</v>
      </c>
      <c r="Z2070" s="11">
        <v>5.1</v>
      </c>
      <c r="AA2070" s="11">
        <v>2.35</v>
      </c>
      <c r="AB2070" s="11">
        <v>376</v>
      </c>
      <c r="AC2070" s="11"/>
      <c r="AD2070" s="11" t="str">
        <f>IFERROR(__xludf.DUMMYFUNCTION("""COMPUTED_VALUE"""),"Isabelle Carré")</f>
        <v>Isabelle Carré</v>
      </c>
      <c r="AE2070" s="11"/>
    </row>
    <row r="2071" customHeight="1" spans="1:31">
      <c r="A2071" s="12" t="s">
        <v>30</v>
      </c>
      <c r="B2071" s="12" t="s">
        <v>5051</v>
      </c>
      <c r="C2071" s="12">
        <v>90</v>
      </c>
      <c r="D2071" s="12">
        <v>102</v>
      </c>
      <c r="E2071" s="12">
        <v>277</v>
      </c>
      <c r="F2071" s="12">
        <v>57</v>
      </c>
      <c r="G2071" s="12">
        <v>327</v>
      </c>
      <c r="H2071" s="12">
        <v>10660147</v>
      </c>
      <c r="I2071" s="12" t="s">
        <v>214</v>
      </c>
      <c r="J2071" s="12" t="s">
        <v>3459</v>
      </c>
      <c r="K2071" s="12" t="s">
        <v>10276</v>
      </c>
      <c r="L2071" s="12" t="s">
        <v>10277</v>
      </c>
      <c r="M2071" s="12" t="s">
        <v>10278</v>
      </c>
      <c r="N2071" s="12">
        <v>17740</v>
      </c>
      <c r="O2071" s="12">
        <v>672</v>
      </c>
      <c r="P2071" s="12">
        <v>0</v>
      </c>
      <c r="Q2071" s="12" t="s">
        <v>10279</v>
      </c>
      <c r="R2071" s="15" t="s">
        <v>10280</v>
      </c>
      <c r="S2071" s="12">
        <v>165</v>
      </c>
      <c r="T2071" s="12" t="s">
        <v>39</v>
      </c>
      <c r="U2071" s="12" t="s">
        <v>58</v>
      </c>
      <c r="V2071" s="12" t="s">
        <v>586</v>
      </c>
      <c r="W2071" s="12">
        <v>23000000</v>
      </c>
      <c r="X2071" s="12">
        <v>1999</v>
      </c>
      <c r="Y2071" s="12">
        <v>261</v>
      </c>
      <c r="Z2071" s="12">
        <v>7.2</v>
      </c>
      <c r="AA2071" s="12">
        <v>1.85</v>
      </c>
      <c r="AB2071" s="12">
        <v>0</v>
      </c>
      <c r="AC2071" s="12"/>
      <c r="AD2071" s="12" t="str">
        <f>IFERROR(__xludf.DUMMYFUNCTION("""COMPUTED_VALUE"""),"Jeremy W. Auman")</f>
        <v>Jeremy W. Auman</v>
      </c>
      <c r="AE2071" s="12"/>
    </row>
    <row r="2072" customHeight="1" spans="1:31">
      <c r="A2072" s="11" t="s">
        <v>30</v>
      </c>
      <c r="B2072" s="11" t="s">
        <v>5931</v>
      </c>
      <c r="C2072" s="11">
        <v>30</v>
      </c>
      <c r="D2072" s="11">
        <v>98</v>
      </c>
      <c r="E2072" s="11">
        <v>23</v>
      </c>
      <c r="F2072" s="11">
        <v>982</v>
      </c>
      <c r="G2072" s="11">
        <v>1000</v>
      </c>
      <c r="H2072" s="11">
        <v>7434726</v>
      </c>
      <c r="I2072" s="11" t="s">
        <v>10281</v>
      </c>
      <c r="J2072" s="11" t="s">
        <v>1760</v>
      </c>
      <c r="K2072" s="11" t="s">
        <v>1735</v>
      </c>
      <c r="L2072" s="11" t="s">
        <v>1121</v>
      </c>
      <c r="M2072" s="11" t="s">
        <v>10282</v>
      </c>
      <c r="N2072" s="11">
        <v>14473</v>
      </c>
      <c r="O2072" s="11">
        <v>3671</v>
      </c>
      <c r="P2072" s="11">
        <v>2</v>
      </c>
      <c r="Q2072" s="11" t="s">
        <v>10283</v>
      </c>
      <c r="R2072" s="14" t="s">
        <v>10284</v>
      </c>
      <c r="S2072" s="11">
        <v>81</v>
      </c>
      <c r="T2072" s="11" t="s">
        <v>39</v>
      </c>
      <c r="U2072" s="11" t="s">
        <v>40</v>
      </c>
      <c r="V2072" s="11" t="s">
        <v>586</v>
      </c>
      <c r="W2072" s="11">
        <v>23000000</v>
      </c>
      <c r="X2072" s="11">
        <v>1991</v>
      </c>
      <c r="Y2072" s="11">
        <v>1000</v>
      </c>
      <c r="Z2072" s="11">
        <v>6</v>
      </c>
      <c r="AA2072" s="11">
        <v>1.85</v>
      </c>
      <c r="AB2072" s="11">
        <v>0</v>
      </c>
      <c r="AC2072" s="11"/>
      <c r="AD2072" s="11" t="str">
        <f>IFERROR(__xludf.DUMMYFUNCTION("""COMPUTED_VALUE"""),"Jeffrey Dover")</f>
        <v>Jeffrey Dover</v>
      </c>
      <c r="AE2072" s="11"/>
    </row>
    <row r="2073" customHeight="1" spans="1:31">
      <c r="A2073" s="12" t="s">
        <v>30</v>
      </c>
      <c r="B2073" s="12" t="s">
        <v>8509</v>
      </c>
      <c r="C2073" s="12">
        <v>232</v>
      </c>
      <c r="D2073" s="12">
        <v>121</v>
      </c>
      <c r="E2073" s="12">
        <v>549</v>
      </c>
      <c r="F2073" s="12">
        <v>883</v>
      </c>
      <c r="G2073" s="12">
        <v>11000</v>
      </c>
      <c r="H2073" s="12">
        <v>6777589</v>
      </c>
      <c r="I2073" s="12" t="s">
        <v>2142</v>
      </c>
      <c r="J2073" s="12" t="s">
        <v>83</v>
      </c>
      <c r="K2073" s="12" t="s">
        <v>778</v>
      </c>
      <c r="L2073" s="12" t="s">
        <v>4545</v>
      </c>
      <c r="M2073" s="12" t="s">
        <v>10285</v>
      </c>
      <c r="N2073" s="12">
        <v>60115</v>
      </c>
      <c r="O2073" s="12">
        <v>24248</v>
      </c>
      <c r="P2073" s="12">
        <v>2</v>
      </c>
      <c r="Q2073" s="12" t="s">
        <v>10286</v>
      </c>
      <c r="R2073" s="15" t="s">
        <v>10287</v>
      </c>
      <c r="S2073" s="12">
        <v>224</v>
      </c>
      <c r="T2073" s="12" t="s">
        <v>39</v>
      </c>
      <c r="U2073" s="12" t="s">
        <v>40</v>
      </c>
      <c r="V2073" s="12" t="s">
        <v>586</v>
      </c>
      <c r="W2073" s="16"/>
      <c r="X2073" s="12">
        <v>2007</v>
      </c>
      <c r="Y2073" s="12">
        <v>9000</v>
      </c>
      <c r="Z2073" s="12">
        <v>7.2</v>
      </c>
      <c r="AA2073" s="12">
        <v>2.35</v>
      </c>
      <c r="AB2073" s="12">
        <v>0</v>
      </c>
      <c r="AC2073" s="12"/>
      <c r="AD2073" s="12" t="str">
        <f>IFERROR(__xludf.DUMMYFUNCTION("""COMPUTED_VALUE"""),"Tobey Maguire")</f>
        <v>Tobey Maguire</v>
      </c>
      <c r="AE2073" s="12"/>
    </row>
    <row r="2074" customHeight="1" spans="1:31">
      <c r="A2074" s="11" t="s">
        <v>30</v>
      </c>
      <c r="B2074" s="11" t="s">
        <v>10288</v>
      </c>
      <c r="C2074" s="11">
        <v>165</v>
      </c>
      <c r="D2074" s="11">
        <v>111</v>
      </c>
      <c r="E2074" s="11">
        <v>105</v>
      </c>
      <c r="F2074" s="11">
        <v>64</v>
      </c>
      <c r="G2074" s="11">
        <v>527</v>
      </c>
      <c r="H2074" s="11">
        <v>6109075</v>
      </c>
      <c r="I2074" s="11" t="s">
        <v>1544</v>
      </c>
      <c r="J2074" s="11" t="s">
        <v>2034</v>
      </c>
      <c r="K2074" s="11" t="s">
        <v>10289</v>
      </c>
      <c r="L2074" s="11" t="s">
        <v>10290</v>
      </c>
      <c r="M2074" s="11" t="s">
        <v>10291</v>
      </c>
      <c r="N2074" s="11">
        <v>32003</v>
      </c>
      <c r="O2074" s="11">
        <v>735</v>
      </c>
      <c r="P2074" s="11">
        <v>1</v>
      </c>
      <c r="Q2074" s="11" t="s">
        <v>10292</v>
      </c>
      <c r="R2074" s="14" t="s">
        <v>10293</v>
      </c>
      <c r="S2074" s="11">
        <v>65</v>
      </c>
      <c r="T2074" s="11" t="s">
        <v>1465</v>
      </c>
      <c r="U2074" s="11" t="s">
        <v>1466</v>
      </c>
      <c r="V2074" s="11" t="s">
        <v>41</v>
      </c>
      <c r="W2074" s="11">
        <v>19430000</v>
      </c>
      <c r="X2074" s="11">
        <v>2009</v>
      </c>
      <c r="Y2074" s="11">
        <v>86</v>
      </c>
      <c r="Z2074" s="11">
        <v>6.7</v>
      </c>
      <c r="AA2074" s="11">
        <v>2.35</v>
      </c>
      <c r="AB2074" s="11">
        <v>0</v>
      </c>
      <c r="AC2074" s="11"/>
      <c r="AD2074" s="11" t="str">
        <f>IFERROR(__xludf.DUMMYFUNCTION("""COMPUTED_VALUE"""),"Maricel Álvarez")</f>
        <v>Maricel Álvarez</v>
      </c>
      <c r="AE2074" s="11"/>
    </row>
    <row r="2075" customHeight="1" spans="1:31">
      <c r="A2075" s="12" t="s">
        <v>30</v>
      </c>
      <c r="B2075" s="12" t="s">
        <v>10294</v>
      </c>
      <c r="C2075" s="12">
        <v>45</v>
      </c>
      <c r="D2075" s="12">
        <v>90</v>
      </c>
      <c r="E2075" s="12">
        <v>78</v>
      </c>
      <c r="F2075" s="12">
        <v>720</v>
      </c>
      <c r="G2075" s="12">
        <v>2000</v>
      </c>
      <c r="H2075" s="16"/>
      <c r="I2075" s="12" t="s">
        <v>1766</v>
      </c>
      <c r="J2075" s="12" t="s">
        <v>1376</v>
      </c>
      <c r="K2075" s="12" t="s">
        <v>10295</v>
      </c>
      <c r="L2075" s="12" t="s">
        <v>1870</v>
      </c>
      <c r="M2075" s="12" t="s">
        <v>10296</v>
      </c>
      <c r="N2075" s="12">
        <v>4693</v>
      </c>
      <c r="O2075" s="12">
        <v>4142</v>
      </c>
      <c r="P2075" s="12">
        <v>1</v>
      </c>
      <c r="Q2075" s="16"/>
      <c r="R2075" s="15" t="s">
        <v>10297</v>
      </c>
      <c r="S2075" s="12">
        <v>49</v>
      </c>
      <c r="T2075" s="12" t="s">
        <v>39</v>
      </c>
      <c r="U2075" s="12" t="s">
        <v>269</v>
      </c>
      <c r="V2075" s="12" t="s">
        <v>586</v>
      </c>
      <c r="W2075" s="12">
        <v>11000000</v>
      </c>
      <c r="X2075" s="12">
        <v>2015</v>
      </c>
      <c r="Y2075" s="12">
        <v>1000</v>
      </c>
      <c r="Z2075" s="12">
        <v>6.3</v>
      </c>
      <c r="AA2075" s="12">
        <v>2.35</v>
      </c>
      <c r="AB2075" s="12">
        <v>0</v>
      </c>
      <c r="AC2075" s="12"/>
      <c r="AD2075" s="12" t="str">
        <f>IFERROR(__xludf.DUMMYFUNCTION("""COMPUTED_VALUE"""),"Hanaa Bouchaib")</f>
        <v>Hanaa Bouchaib</v>
      </c>
      <c r="AE2075" s="12"/>
    </row>
    <row r="2076" customHeight="1" spans="1:31">
      <c r="A2076" s="11" t="s">
        <v>30</v>
      </c>
      <c r="B2076" s="11" t="s">
        <v>5648</v>
      </c>
      <c r="C2076" s="11">
        <v>155</v>
      </c>
      <c r="D2076" s="11">
        <v>100</v>
      </c>
      <c r="E2076" s="11">
        <v>350</v>
      </c>
      <c r="F2076" s="11">
        <v>30</v>
      </c>
      <c r="G2076" s="11">
        <v>201</v>
      </c>
      <c r="H2076" s="11">
        <v>2708188</v>
      </c>
      <c r="I2076" s="11" t="s">
        <v>1415</v>
      </c>
      <c r="J2076" s="11" t="s">
        <v>10298</v>
      </c>
      <c r="K2076" s="11" t="s">
        <v>10299</v>
      </c>
      <c r="L2076" s="11" t="s">
        <v>10300</v>
      </c>
      <c r="M2076" s="11" t="s">
        <v>10301</v>
      </c>
      <c r="N2076" s="11">
        <v>8924</v>
      </c>
      <c r="O2076" s="11">
        <v>365</v>
      </c>
      <c r="P2076" s="11">
        <v>1</v>
      </c>
      <c r="Q2076" s="11" t="s">
        <v>10302</v>
      </c>
      <c r="R2076" s="14" t="s">
        <v>10303</v>
      </c>
      <c r="S2076" s="11">
        <v>43</v>
      </c>
      <c r="T2076" s="11" t="s">
        <v>39</v>
      </c>
      <c r="U2076" s="11" t="s">
        <v>58</v>
      </c>
      <c r="V2076" s="11" t="s">
        <v>586</v>
      </c>
      <c r="W2076" s="11">
        <v>23000000</v>
      </c>
      <c r="X2076" s="11">
        <v>2009</v>
      </c>
      <c r="Y2076" s="11">
        <v>123</v>
      </c>
      <c r="Z2076" s="11">
        <v>6.2</v>
      </c>
      <c r="AA2076" s="11">
        <v>2.35</v>
      </c>
      <c r="AB2076" s="11">
        <v>0</v>
      </c>
      <c r="AC2076" s="11"/>
      <c r="AD2076" s="11" t="str">
        <f>IFERROR(__xludf.DUMMYFUNCTION("""COMPUTED_VALUE"""),"Eduard Fernández")</f>
        <v>Eduard Fernández</v>
      </c>
      <c r="AE2076" s="11"/>
    </row>
    <row r="2077" customHeight="1" spans="1:31">
      <c r="A2077" s="12" t="s">
        <v>30</v>
      </c>
      <c r="B2077" s="16"/>
      <c r="C2077" s="12">
        <v>6</v>
      </c>
      <c r="D2077" s="12">
        <v>50</v>
      </c>
      <c r="E2077" s="16"/>
      <c r="F2077" s="12">
        <v>543</v>
      </c>
      <c r="G2077" s="12">
        <v>787</v>
      </c>
      <c r="H2077" s="16"/>
      <c r="I2077" s="12" t="s">
        <v>464</v>
      </c>
      <c r="J2077" s="12" t="s">
        <v>2050</v>
      </c>
      <c r="K2077" s="12" t="s">
        <v>8699</v>
      </c>
      <c r="L2077" s="12" t="s">
        <v>8336</v>
      </c>
      <c r="M2077" s="12" t="s">
        <v>10304</v>
      </c>
      <c r="N2077" s="12">
        <v>1781</v>
      </c>
      <c r="O2077" s="12">
        <v>3276</v>
      </c>
      <c r="P2077" s="12">
        <v>0</v>
      </c>
      <c r="Q2077" s="12" t="s">
        <v>10305</v>
      </c>
      <c r="R2077" s="15" t="s">
        <v>10306</v>
      </c>
      <c r="S2077" s="12">
        <v>23</v>
      </c>
      <c r="T2077" s="12" t="s">
        <v>39</v>
      </c>
      <c r="U2077" s="12" t="s">
        <v>40</v>
      </c>
      <c r="V2077" s="16"/>
      <c r="W2077" s="16"/>
      <c r="X2077" s="16"/>
      <c r="Y2077" s="12">
        <v>748</v>
      </c>
      <c r="Z2077" s="12">
        <v>6.8</v>
      </c>
      <c r="AA2077" s="16"/>
      <c r="AB2077" s="12">
        <v>532</v>
      </c>
      <c r="AC2077" s="12"/>
      <c r="AD2077" s="12" t="str">
        <f>IFERROR(__xludf.DUMMYFUNCTION("""COMPUTED_VALUE"""),"Beverly D'Angelo")</f>
        <v>Beverly D'Angelo</v>
      </c>
      <c r="AE2077" s="12"/>
    </row>
    <row r="2078" customHeight="1" spans="1:31">
      <c r="A2078" s="11" t="s">
        <v>30</v>
      </c>
      <c r="B2078" s="11" t="s">
        <v>10307</v>
      </c>
      <c r="C2078" s="11">
        <v>118</v>
      </c>
      <c r="D2078" s="11">
        <v>141</v>
      </c>
      <c r="E2078" s="11">
        <v>300</v>
      </c>
      <c r="F2078" s="11">
        <v>73</v>
      </c>
      <c r="G2078" s="11">
        <v>805</v>
      </c>
      <c r="H2078" s="11">
        <v>16123851</v>
      </c>
      <c r="I2078" s="11" t="s">
        <v>3410</v>
      </c>
      <c r="J2078" s="11" t="s">
        <v>10308</v>
      </c>
      <c r="K2078" s="11" t="s">
        <v>10309</v>
      </c>
      <c r="L2078" s="11" t="s">
        <v>10310</v>
      </c>
      <c r="M2078" s="11" t="s">
        <v>10311</v>
      </c>
      <c r="N2078" s="11">
        <v>17373</v>
      </c>
      <c r="O2078" s="11">
        <v>1618</v>
      </c>
      <c r="P2078" s="11">
        <v>2</v>
      </c>
      <c r="Q2078" s="11" t="s">
        <v>10312</v>
      </c>
      <c r="R2078" s="14" t="s">
        <v>10313</v>
      </c>
      <c r="S2078" s="11">
        <v>148</v>
      </c>
      <c r="T2078" s="11" t="s">
        <v>39</v>
      </c>
      <c r="U2078" s="11" t="s">
        <v>40</v>
      </c>
      <c r="V2078" s="11" t="s">
        <v>41</v>
      </c>
      <c r="W2078" s="11">
        <v>23000000</v>
      </c>
      <c r="X2078" s="11">
        <v>2004</v>
      </c>
      <c r="Y2078" s="11">
        <v>539</v>
      </c>
      <c r="Z2078" s="11">
        <v>6.2</v>
      </c>
      <c r="AA2078" s="11">
        <v>2.35</v>
      </c>
      <c r="AB2078" s="11">
        <v>767</v>
      </c>
      <c r="AC2078" s="11"/>
      <c r="AD2078" s="11" t="str">
        <f>IFERROR(__xludf.DUMMYFUNCTION("""COMPUTED_VALUE"""),"Aml Ameen")</f>
        <v>Aml Ameen</v>
      </c>
      <c r="AE2078" s="11"/>
    </row>
    <row r="2079" customHeight="1" spans="1:31">
      <c r="A2079" s="12" t="s">
        <v>30</v>
      </c>
      <c r="B2079" s="12" t="s">
        <v>10064</v>
      </c>
      <c r="C2079" s="12">
        <v>55</v>
      </c>
      <c r="D2079" s="12">
        <v>139</v>
      </c>
      <c r="E2079" s="12">
        <v>3</v>
      </c>
      <c r="F2079" s="12">
        <v>107</v>
      </c>
      <c r="G2079" s="12">
        <v>556</v>
      </c>
      <c r="H2079" s="16"/>
      <c r="I2079" s="12" t="s">
        <v>10314</v>
      </c>
      <c r="J2079" s="12" t="s">
        <v>10315</v>
      </c>
      <c r="K2079" s="12" t="s">
        <v>10316</v>
      </c>
      <c r="L2079" s="12" t="s">
        <v>8693</v>
      </c>
      <c r="M2079" s="12" t="s">
        <v>10317</v>
      </c>
      <c r="N2079" s="12">
        <v>6263</v>
      </c>
      <c r="O2079" s="12">
        <v>1059</v>
      </c>
      <c r="P2079" s="12">
        <v>0</v>
      </c>
      <c r="Q2079" s="12" t="s">
        <v>10318</v>
      </c>
      <c r="R2079" s="15" t="s">
        <v>10319</v>
      </c>
      <c r="S2079" s="12">
        <v>33</v>
      </c>
      <c r="T2079" s="12" t="s">
        <v>1947</v>
      </c>
      <c r="U2079" s="12" t="s">
        <v>893</v>
      </c>
      <c r="V2079" s="16"/>
      <c r="W2079" s="12">
        <v>23000000</v>
      </c>
      <c r="X2079" s="12">
        <v>2009</v>
      </c>
      <c r="Y2079" s="12">
        <v>155</v>
      </c>
      <c r="Z2079" s="12">
        <v>6.9</v>
      </c>
      <c r="AA2079" s="12">
        <v>2.35</v>
      </c>
      <c r="AB2079" s="12">
        <v>765</v>
      </c>
      <c r="AC2079" s="12"/>
      <c r="AD2079" s="12" t="str">
        <f>IFERROR(__xludf.DUMMYFUNCTION("""COMPUTED_VALUE"""),"Jacob Latimore")</f>
        <v>Jacob Latimore</v>
      </c>
      <c r="AE2079" s="12"/>
    </row>
    <row r="2080" customHeight="1" spans="1:31">
      <c r="A2080" s="11" t="s">
        <v>30</v>
      </c>
      <c r="B2080" s="11" t="s">
        <v>3524</v>
      </c>
      <c r="C2080" s="11">
        <v>314</v>
      </c>
      <c r="D2080" s="11">
        <v>114</v>
      </c>
      <c r="E2080" s="11">
        <v>101</v>
      </c>
      <c r="F2080" s="11">
        <v>23</v>
      </c>
      <c r="G2080" s="11">
        <v>129</v>
      </c>
      <c r="H2080" s="11">
        <v>71975611</v>
      </c>
      <c r="I2080" s="11" t="s">
        <v>7406</v>
      </c>
      <c r="J2080" s="11" t="s">
        <v>10320</v>
      </c>
      <c r="K2080" s="11" t="s">
        <v>10321</v>
      </c>
      <c r="L2080" s="11" t="s">
        <v>10322</v>
      </c>
      <c r="M2080" s="11" t="s">
        <v>10323</v>
      </c>
      <c r="N2080" s="11">
        <v>209396</v>
      </c>
      <c r="O2080" s="11">
        <v>214</v>
      </c>
      <c r="P2080" s="11">
        <v>0</v>
      </c>
      <c r="Q2080" s="11" t="s">
        <v>10324</v>
      </c>
      <c r="R2080" s="14" t="s">
        <v>10325</v>
      </c>
      <c r="S2080" s="11">
        <v>580</v>
      </c>
      <c r="T2080" s="11" t="s">
        <v>39</v>
      </c>
      <c r="U2080" s="11" t="s">
        <v>40</v>
      </c>
      <c r="V2080" s="11" t="s">
        <v>41</v>
      </c>
      <c r="W2080" s="11">
        <v>25000000</v>
      </c>
      <c r="X2080" s="11">
        <v>2007</v>
      </c>
      <c r="Y2080" s="11">
        <v>25</v>
      </c>
      <c r="Z2080" s="11">
        <v>6.8</v>
      </c>
      <c r="AA2080" s="11">
        <v>2.35</v>
      </c>
      <c r="AB2080" s="11">
        <v>11000</v>
      </c>
      <c r="AC2080" s="11"/>
      <c r="AD2080" s="11" t="str">
        <f>IFERROR(__xludf.DUMMYFUNCTION("""COMPUTED_VALUE"""),"June Diane Raphael")</f>
        <v>June Diane Raphael</v>
      </c>
      <c r="AE2080" s="11"/>
    </row>
    <row r="2081" customHeight="1" spans="1:31">
      <c r="A2081" s="12" t="s">
        <v>30</v>
      </c>
      <c r="B2081" s="12" t="s">
        <v>10326</v>
      </c>
      <c r="C2081" s="12">
        <v>103</v>
      </c>
      <c r="D2081" s="12">
        <v>96</v>
      </c>
      <c r="E2081" s="12">
        <v>0</v>
      </c>
      <c r="F2081" s="12">
        <v>542</v>
      </c>
      <c r="G2081" s="12">
        <v>1000</v>
      </c>
      <c r="H2081" s="12">
        <v>38119483</v>
      </c>
      <c r="I2081" s="12" t="s">
        <v>1875</v>
      </c>
      <c r="J2081" s="12" t="s">
        <v>10327</v>
      </c>
      <c r="K2081" s="12" t="s">
        <v>10328</v>
      </c>
      <c r="L2081" s="12" t="s">
        <v>10329</v>
      </c>
      <c r="M2081" s="12" t="s">
        <v>10330</v>
      </c>
      <c r="N2081" s="12">
        <v>136667</v>
      </c>
      <c r="O2081" s="12">
        <v>2936</v>
      </c>
      <c r="P2081" s="12">
        <v>2</v>
      </c>
      <c r="Q2081" s="12" t="s">
        <v>10331</v>
      </c>
      <c r="R2081" s="15" t="s">
        <v>10332</v>
      </c>
      <c r="S2081" s="12">
        <v>273</v>
      </c>
      <c r="T2081" s="12" t="s">
        <v>39</v>
      </c>
      <c r="U2081" s="12" t="s">
        <v>40</v>
      </c>
      <c r="V2081" s="12" t="s">
        <v>96</v>
      </c>
      <c r="W2081" s="12">
        <v>22700000</v>
      </c>
      <c r="X2081" s="12">
        <v>1987</v>
      </c>
      <c r="Y2081" s="12">
        <v>605</v>
      </c>
      <c r="Z2081" s="12">
        <v>7.1</v>
      </c>
      <c r="AA2081" s="12">
        <v>1.85</v>
      </c>
      <c r="AB2081" s="12">
        <v>13000</v>
      </c>
      <c r="AC2081" s="12"/>
      <c r="AD2081" s="12" t="str">
        <f>IFERROR(__xludf.DUMMYFUNCTION("""COMPUTED_VALUE"""),"Melissa McMeekin")</f>
        <v>Melissa McMeekin</v>
      </c>
      <c r="AE2081" s="12"/>
    </row>
    <row r="2082" customHeight="1" spans="1:31">
      <c r="A2082" s="11" t="s">
        <v>30</v>
      </c>
      <c r="B2082" s="11" t="s">
        <v>10333</v>
      </c>
      <c r="C2082" s="11">
        <v>183</v>
      </c>
      <c r="D2082" s="11">
        <v>111</v>
      </c>
      <c r="E2082" s="11">
        <v>0</v>
      </c>
      <c r="F2082" s="11">
        <v>234</v>
      </c>
      <c r="G2082" s="11">
        <v>523</v>
      </c>
      <c r="H2082" s="11">
        <v>4190530</v>
      </c>
      <c r="I2082" s="11" t="s">
        <v>3397</v>
      </c>
      <c r="J2082" s="11" t="s">
        <v>10334</v>
      </c>
      <c r="K2082" s="11" t="s">
        <v>1803</v>
      </c>
      <c r="L2082" s="11" t="s">
        <v>836</v>
      </c>
      <c r="M2082" s="11" t="s">
        <v>10335</v>
      </c>
      <c r="N2082" s="11">
        <v>53341</v>
      </c>
      <c r="O2082" s="11">
        <v>1795</v>
      </c>
      <c r="P2082" s="11">
        <v>0</v>
      </c>
      <c r="Q2082" s="11" t="s">
        <v>10336</v>
      </c>
      <c r="R2082" s="14" t="s">
        <v>10337</v>
      </c>
      <c r="S2082" s="11">
        <v>185</v>
      </c>
      <c r="T2082" s="11" t="s">
        <v>39</v>
      </c>
      <c r="U2082" s="11" t="s">
        <v>371</v>
      </c>
      <c r="V2082" s="11" t="s">
        <v>586</v>
      </c>
      <c r="W2082" s="11">
        <v>22500000</v>
      </c>
      <c r="X2082" s="11">
        <v>2014</v>
      </c>
      <c r="Y2082" s="11">
        <v>468</v>
      </c>
      <c r="Z2082" s="11">
        <v>7.1</v>
      </c>
      <c r="AA2082" s="11">
        <v>2.35</v>
      </c>
      <c r="AB2082" s="11">
        <v>18000</v>
      </c>
      <c r="AC2082" s="11"/>
      <c r="AD2082" s="11" t="str">
        <f>IFERROR(__xludf.DUMMYFUNCTION("""COMPUTED_VALUE"""),"Ellen Burstyn")</f>
        <v>Ellen Burstyn</v>
      </c>
      <c r="AE2082" s="11"/>
    </row>
    <row r="2083" customHeight="1" spans="1:31">
      <c r="A2083" s="12" t="s">
        <v>30</v>
      </c>
      <c r="B2083" s="12" t="s">
        <v>3130</v>
      </c>
      <c r="C2083" s="12">
        <v>77</v>
      </c>
      <c r="D2083" s="12">
        <v>127</v>
      </c>
      <c r="E2083" s="12">
        <v>109</v>
      </c>
      <c r="F2083" s="12">
        <v>71</v>
      </c>
      <c r="G2083" s="12">
        <v>2000</v>
      </c>
      <c r="H2083" s="12">
        <v>217631306</v>
      </c>
      <c r="I2083" s="12" t="s">
        <v>10338</v>
      </c>
      <c r="J2083" s="12" t="s">
        <v>1376</v>
      </c>
      <c r="K2083" s="12" t="s">
        <v>1018</v>
      </c>
      <c r="L2083" s="12" t="s">
        <v>10339</v>
      </c>
      <c r="M2083" s="12" t="s">
        <v>10340</v>
      </c>
      <c r="N2083" s="12">
        <v>154199</v>
      </c>
      <c r="O2083" s="12">
        <v>3100</v>
      </c>
      <c r="P2083" s="12">
        <v>0</v>
      </c>
      <c r="Q2083" s="12" t="s">
        <v>10341</v>
      </c>
      <c r="R2083" s="15" t="s">
        <v>10342</v>
      </c>
      <c r="S2083" s="12">
        <v>252</v>
      </c>
      <c r="T2083" s="12" t="s">
        <v>39</v>
      </c>
      <c r="U2083" s="12" t="s">
        <v>40</v>
      </c>
      <c r="V2083" s="12" t="s">
        <v>41</v>
      </c>
      <c r="W2083" s="12">
        <v>22000000</v>
      </c>
      <c r="X2083" s="12">
        <v>1990</v>
      </c>
      <c r="Y2083" s="12">
        <v>956</v>
      </c>
      <c r="Z2083" s="12">
        <v>7</v>
      </c>
      <c r="AA2083" s="12">
        <v>1.85</v>
      </c>
      <c r="AB2083" s="12">
        <v>0</v>
      </c>
      <c r="AC2083" s="12"/>
      <c r="AD2083" s="12" t="str">
        <f>IFERROR(__xludf.DUMMYFUNCTION("""COMPUTED_VALUE"""),"Kevin J. O'Connor")</f>
        <v>Kevin J. O'Connor</v>
      </c>
      <c r="AE2083" s="12"/>
    </row>
    <row r="2084" customHeight="1" spans="1:31">
      <c r="A2084" s="11" t="s">
        <v>30</v>
      </c>
      <c r="B2084" s="11" t="s">
        <v>3495</v>
      </c>
      <c r="C2084" s="11">
        <v>171</v>
      </c>
      <c r="D2084" s="11">
        <v>107</v>
      </c>
      <c r="E2084" s="11">
        <v>101</v>
      </c>
      <c r="F2084" s="11">
        <v>743</v>
      </c>
      <c r="G2084" s="11">
        <v>931</v>
      </c>
      <c r="H2084" s="11">
        <v>176483808</v>
      </c>
      <c r="I2084" s="11" t="s">
        <v>1681</v>
      </c>
      <c r="J2084" s="11" t="s">
        <v>623</v>
      </c>
      <c r="K2084" s="11" t="s">
        <v>7330</v>
      </c>
      <c r="L2084" s="11" t="s">
        <v>2839</v>
      </c>
      <c r="M2084" s="11" t="s">
        <v>10343</v>
      </c>
      <c r="N2084" s="11">
        <v>247289</v>
      </c>
      <c r="O2084" s="11">
        <v>4664</v>
      </c>
      <c r="P2084" s="11">
        <v>1</v>
      </c>
      <c r="Q2084" s="11" t="s">
        <v>10344</v>
      </c>
      <c r="R2084" s="14" t="s">
        <v>10345</v>
      </c>
      <c r="S2084" s="11">
        <v>611</v>
      </c>
      <c r="T2084" s="11" t="s">
        <v>39</v>
      </c>
      <c r="U2084" s="11" t="s">
        <v>40</v>
      </c>
      <c r="V2084" s="11" t="s">
        <v>586</v>
      </c>
      <c r="W2084" s="11">
        <v>23000000</v>
      </c>
      <c r="X2084" s="11">
        <v>1998</v>
      </c>
      <c r="Y2084" s="11">
        <v>852</v>
      </c>
      <c r="Z2084" s="11">
        <v>7.1</v>
      </c>
      <c r="AA2084" s="11">
        <v>1.85</v>
      </c>
      <c r="AB2084" s="11">
        <v>0</v>
      </c>
      <c r="AC2084" s="11"/>
      <c r="AD2084" s="11" t="str">
        <f>IFERROR(__xludf.DUMMYFUNCTION("""COMPUTED_VALUE"""),"Hudson Leick")</f>
        <v>Hudson Leick</v>
      </c>
      <c r="AE2084" s="11"/>
    </row>
    <row r="2085" customHeight="1" spans="1:31">
      <c r="A2085" s="12" t="s">
        <v>30</v>
      </c>
      <c r="B2085" s="12" t="s">
        <v>4204</v>
      </c>
      <c r="C2085" s="12">
        <v>64</v>
      </c>
      <c r="D2085" s="12">
        <v>97</v>
      </c>
      <c r="E2085" s="12">
        <v>11</v>
      </c>
      <c r="F2085" s="12">
        <v>595</v>
      </c>
      <c r="G2085" s="12">
        <v>901</v>
      </c>
      <c r="H2085" s="12">
        <v>144833357</v>
      </c>
      <c r="I2085" s="12" t="s">
        <v>4796</v>
      </c>
      <c r="J2085" s="12" t="s">
        <v>3659</v>
      </c>
      <c r="K2085" s="12" t="s">
        <v>3661</v>
      </c>
      <c r="L2085" s="12" t="s">
        <v>3283</v>
      </c>
      <c r="M2085" s="12" t="s">
        <v>10346</v>
      </c>
      <c r="N2085" s="12">
        <v>64742</v>
      </c>
      <c r="O2085" s="12">
        <v>2790</v>
      </c>
      <c r="P2085" s="12">
        <v>0</v>
      </c>
      <c r="Q2085" s="12" t="s">
        <v>10347</v>
      </c>
      <c r="R2085" s="15" t="s">
        <v>10348</v>
      </c>
      <c r="S2085" s="12">
        <v>111</v>
      </c>
      <c r="T2085" s="12" t="s">
        <v>39</v>
      </c>
      <c r="U2085" s="12" t="s">
        <v>40</v>
      </c>
      <c r="V2085" s="12" t="s">
        <v>96</v>
      </c>
      <c r="W2085" s="12">
        <v>22000000</v>
      </c>
      <c r="X2085" s="12">
        <v>1994</v>
      </c>
      <c r="Y2085" s="12">
        <v>775</v>
      </c>
      <c r="Z2085" s="12">
        <v>6.4</v>
      </c>
      <c r="AA2085" s="12">
        <v>1.85</v>
      </c>
      <c r="AB2085" s="12">
        <v>0</v>
      </c>
      <c r="AC2085" s="12"/>
      <c r="AD2085" s="12" t="str">
        <f>IFERROR(__xludf.DUMMYFUNCTION("""COMPUTED_VALUE"""),"Sami Gayle")</f>
        <v>Sami Gayle</v>
      </c>
      <c r="AE2085" s="12"/>
    </row>
    <row r="2086" customHeight="1" spans="1:31">
      <c r="A2086" s="11" t="s">
        <v>30</v>
      </c>
      <c r="B2086" s="11" t="s">
        <v>2055</v>
      </c>
      <c r="C2086" s="11">
        <v>92</v>
      </c>
      <c r="D2086" s="11">
        <v>127</v>
      </c>
      <c r="E2086" s="11">
        <v>102</v>
      </c>
      <c r="F2086" s="11">
        <v>1000</v>
      </c>
      <c r="G2086" s="11">
        <v>2000</v>
      </c>
      <c r="H2086" s="11">
        <v>75597042</v>
      </c>
      <c r="I2086" s="11" t="s">
        <v>7964</v>
      </c>
      <c r="J2086" s="11" t="s">
        <v>537</v>
      </c>
      <c r="K2086" s="11" t="s">
        <v>3715</v>
      </c>
      <c r="L2086" s="11" t="s">
        <v>10349</v>
      </c>
      <c r="M2086" s="11" t="s">
        <v>10350</v>
      </c>
      <c r="N2086" s="11">
        <v>26434</v>
      </c>
      <c r="O2086" s="11">
        <v>6657</v>
      </c>
      <c r="P2086" s="11">
        <v>0</v>
      </c>
      <c r="Q2086" s="11" t="s">
        <v>10351</v>
      </c>
      <c r="R2086" s="14" t="s">
        <v>10352</v>
      </c>
      <c r="S2086" s="11">
        <v>174</v>
      </c>
      <c r="T2086" s="11" t="s">
        <v>39</v>
      </c>
      <c r="U2086" s="11" t="s">
        <v>40</v>
      </c>
      <c r="V2086" s="11" t="s">
        <v>278</v>
      </c>
      <c r="W2086" s="11">
        <v>20000000</v>
      </c>
      <c r="X2086" s="11">
        <v>2002</v>
      </c>
      <c r="Y2086" s="11">
        <v>1000</v>
      </c>
      <c r="Z2086" s="11">
        <v>7</v>
      </c>
      <c r="AA2086" s="11">
        <v>2.35</v>
      </c>
      <c r="AB2086" s="11">
        <v>0</v>
      </c>
      <c r="AC2086" s="11"/>
      <c r="AD2086" s="11" t="str">
        <f>IFERROR(__xludf.DUMMYFUNCTION("""COMPUTED_VALUE"""),"Rumi Hiiragi")</f>
        <v>Rumi Hiiragi</v>
      </c>
      <c r="AE2086" s="11"/>
    </row>
    <row r="2087" customHeight="1" spans="1:31">
      <c r="A2087" s="12" t="s">
        <v>30</v>
      </c>
      <c r="B2087" s="12" t="s">
        <v>5134</v>
      </c>
      <c r="C2087" s="12">
        <v>112</v>
      </c>
      <c r="D2087" s="12">
        <v>110</v>
      </c>
      <c r="E2087" s="12">
        <v>99</v>
      </c>
      <c r="F2087" s="12">
        <v>835</v>
      </c>
      <c r="G2087" s="12">
        <v>12000</v>
      </c>
      <c r="H2087" s="12">
        <v>90636983</v>
      </c>
      <c r="I2087" s="12" t="s">
        <v>7907</v>
      </c>
      <c r="J2087" s="12" t="s">
        <v>1073</v>
      </c>
      <c r="K2087" s="12" t="s">
        <v>7893</v>
      </c>
      <c r="L2087" s="12" t="s">
        <v>4842</v>
      </c>
      <c r="M2087" s="12" t="s">
        <v>10353</v>
      </c>
      <c r="N2087" s="12">
        <v>44021</v>
      </c>
      <c r="O2087" s="12">
        <v>15170</v>
      </c>
      <c r="P2087" s="12">
        <v>0</v>
      </c>
      <c r="Q2087" s="12" t="s">
        <v>10354</v>
      </c>
      <c r="R2087" s="15" t="s">
        <v>10355</v>
      </c>
      <c r="S2087" s="12">
        <v>83</v>
      </c>
      <c r="T2087" s="12" t="s">
        <v>39</v>
      </c>
      <c r="U2087" s="12" t="s">
        <v>40</v>
      </c>
      <c r="V2087" s="12" t="s">
        <v>96</v>
      </c>
      <c r="W2087" s="12">
        <v>22000000</v>
      </c>
      <c r="X2087" s="12">
        <v>2007</v>
      </c>
      <c r="Y2087" s="12">
        <v>941</v>
      </c>
      <c r="Z2087" s="12">
        <v>6.2</v>
      </c>
      <c r="AA2087" s="12">
        <v>2.35</v>
      </c>
      <c r="AB2087" s="12">
        <v>0</v>
      </c>
      <c r="AC2087" s="12"/>
      <c r="AD2087" s="12" t="str">
        <f>IFERROR(__xludf.DUMMYFUNCTION("""COMPUTED_VALUE"""),"Yûki Amami")</f>
        <v>Yûki Amami</v>
      </c>
      <c r="AE2087" s="12"/>
    </row>
    <row r="2088" customHeight="1" spans="1:31">
      <c r="A2088" s="11" t="s">
        <v>30</v>
      </c>
      <c r="B2088" s="11" t="s">
        <v>3695</v>
      </c>
      <c r="C2088" s="11">
        <v>69</v>
      </c>
      <c r="D2088" s="11">
        <v>135</v>
      </c>
      <c r="E2088" s="11">
        <v>16000</v>
      </c>
      <c r="F2088" s="11">
        <v>86</v>
      </c>
      <c r="G2088" s="11">
        <v>16000</v>
      </c>
      <c r="H2088" s="11">
        <v>70960517</v>
      </c>
      <c r="I2088" s="11" t="s">
        <v>214</v>
      </c>
      <c r="J2088" s="11" t="s">
        <v>3695</v>
      </c>
      <c r="K2088" s="11" t="s">
        <v>2377</v>
      </c>
      <c r="L2088" s="11" t="s">
        <v>10356</v>
      </c>
      <c r="M2088" s="11" t="s">
        <v>10357</v>
      </c>
      <c r="N2088" s="11">
        <v>54631</v>
      </c>
      <c r="O2088" s="11">
        <v>27237</v>
      </c>
      <c r="P2088" s="11">
        <v>0</v>
      </c>
      <c r="Q2088" s="11" t="s">
        <v>10358</v>
      </c>
      <c r="R2088" s="14" t="s">
        <v>10359</v>
      </c>
      <c r="S2088" s="11">
        <v>192</v>
      </c>
      <c r="T2088" s="11" t="s">
        <v>39</v>
      </c>
      <c r="U2088" s="11" t="s">
        <v>40</v>
      </c>
      <c r="V2088" s="11" t="s">
        <v>41</v>
      </c>
      <c r="W2088" s="11">
        <v>35000000</v>
      </c>
      <c r="X2088" s="11">
        <v>1995</v>
      </c>
      <c r="Y2088" s="11">
        <v>11000</v>
      </c>
      <c r="Z2088" s="11">
        <v>7.5</v>
      </c>
      <c r="AA2088" s="11">
        <v>1.85</v>
      </c>
      <c r="AB2088" s="11">
        <v>0</v>
      </c>
      <c r="AC2088" s="11"/>
      <c r="AD2088" s="11" t="str">
        <f>IFERROR(__xludf.DUMMYFUNCTION("""COMPUTED_VALUE"""),"Yuria Nara")</f>
        <v>Yuria Nara</v>
      </c>
      <c r="AE2088" s="11"/>
    </row>
    <row r="2089" customHeight="1" spans="1:31">
      <c r="A2089" s="12" t="s">
        <v>30</v>
      </c>
      <c r="B2089" s="12" t="s">
        <v>7428</v>
      </c>
      <c r="C2089" s="12">
        <v>75</v>
      </c>
      <c r="D2089" s="12">
        <v>84</v>
      </c>
      <c r="E2089" s="12">
        <v>42</v>
      </c>
      <c r="F2089" s="12">
        <v>182</v>
      </c>
      <c r="G2089" s="12">
        <v>436</v>
      </c>
      <c r="H2089" s="12">
        <v>55762229</v>
      </c>
      <c r="I2089" s="12" t="s">
        <v>5483</v>
      </c>
      <c r="J2089" s="12" t="s">
        <v>4398</v>
      </c>
      <c r="K2089" s="12" t="s">
        <v>10360</v>
      </c>
      <c r="L2089" s="12" t="s">
        <v>10361</v>
      </c>
      <c r="M2089" s="12" t="s">
        <v>10362</v>
      </c>
      <c r="N2089" s="12">
        <v>47383</v>
      </c>
      <c r="O2089" s="12">
        <v>1203</v>
      </c>
      <c r="P2089" s="12">
        <v>1</v>
      </c>
      <c r="Q2089" s="12" t="s">
        <v>10363</v>
      </c>
      <c r="R2089" s="15" t="s">
        <v>10364</v>
      </c>
      <c r="S2089" s="12">
        <v>132</v>
      </c>
      <c r="T2089" s="12" t="s">
        <v>39</v>
      </c>
      <c r="U2089" s="12" t="s">
        <v>40</v>
      </c>
      <c r="V2089" s="12" t="s">
        <v>41</v>
      </c>
      <c r="W2089" s="12">
        <v>22000000</v>
      </c>
      <c r="X2089" s="12">
        <v>2001</v>
      </c>
      <c r="Y2089" s="12">
        <v>241</v>
      </c>
      <c r="Z2089" s="12">
        <v>4.8</v>
      </c>
      <c r="AA2089" s="12">
        <v>1.85</v>
      </c>
      <c r="AB2089" s="12">
        <v>1000</v>
      </c>
      <c r="AC2089" s="12"/>
      <c r="AD2089" s="12" t="str">
        <f>IFERROR(__xludf.DUMMYFUNCTION("""COMPUTED_VALUE"""),"Tiago Riani")</f>
        <v>Tiago Riani</v>
      </c>
      <c r="AE2089" s="12"/>
    </row>
    <row r="2090" customHeight="1" spans="1:31">
      <c r="A2090" s="11" t="s">
        <v>748</v>
      </c>
      <c r="B2090" s="11" t="s">
        <v>8808</v>
      </c>
      <c r="C2090" s="11">
        <v>95</v>
      </c>
      <c r="D2090" s="11">
        <v>240</v>
      </c>
      <c r="E2090" s="11">
        <v>0</v>
      </c>
      <c r="F2090" s="11">
        <v>249</v>
      </c>
      <c r="G2090" s="11">
        <v>545</v>
      </c>
      <c r="H2090" s="13"/>
      <c r="I2090" s="11" t="s">
        <v>5941</v>
      </c>
      <c r="J2090" s="11" t="s">
        <v>5711</v>
      </c>
      <c r="K2090" s="11" t="s">
        <v>8837</v>
      </c>
      <c r="L2090" s="11" t="s">
        <v>3133</v>
      </c>
      <c r="M2090" s="11" t="s">
        <v>10365</v>
      </c>
      <c r="N2090" s="11">
        <v>171726</v>
      </c>
      <c r="O2090" s="11">
        <v>1943</v>
      </c>
      <c r="P2090" s="11">
        <v>0</v>
      </c>
      <c r="Q2090" s="11" t="s">
        <v>10366</v>
      </c>
      <c r="R2090" s="14" t="s">
        <v>10367</v>
      </c>
      <c r="S2090" s="11">
        <v>256</v>
      </c>
      <c r="T2090" s="11" t="s">
        <v>39</v>
      </c>
      <c r="U2090" s="11" t="s">
        <v>58</v>
      </c>
      <c r="V2090" s="11" t="s">
        <v>96</v>
      </c>
      <c r="W2090" s="11">
        <v>22000000</v>
      </c>
      <c r="X2090" s="11">
        <v>1982</v>
      </c>
      <c r="Y2090" s="11">
        <v>429</v>
      </c>
      <c r="Z2090" s="11">
        <v>8.1</v>
      </c>
      <c r="AA2090" s="11">
        <v>2.35</v>
      </c>
      <c r="AB2090" s="11">
        <v>12000</v>
      </c>
      <c r="AC2090" s="11"/>
      <c r="AD2090" s="11" t="str">
        <f>IFERROR(__xludf.DUMMYFUNCTION("""COMPUTED_VALUE"""),"Melissa Benoist")</f>
        <v>Melissa Benoist</v>
      </c>
      <c r="AE2090" s="11"/>
    </row>
    <row r="2091" customHeight="1" spans="1:31">
      <c r="A2091" s="12" t="s">
        <v>30</v>
      </c>
      <c r="B2091" s="12" t="s">
        <v>7636</v>
      </c>
      <c r="C2091" s="12">
        <v>180</v>
      </c>
      <c r="D2091" s="12">
        <v>122</v>
      </c>
      <c r="E2091" s="12">
        <v>529</v>
      </c>
      <c r="F2091" s="12">
        <v>171</v>
      </c>
      <c r="G2091" s="12">
        <v>820</v>
      </c>
      <c r="H2091" s="12">
        <v>54235441</v>
      </c>
      <c r="I2091" s="12" t="s">
        <v>2528</v>
      </c>
      <c r="J2091" s="12" t="s">
        <v>10368</v>
      </c>
      <c r="K2091" s="12" t="s">
        <v>10369</v>
      </c>
      <c r="L2091" s="12" t="s">
        <v>10370</v>
      </c>
      <c r="M2091" s="12" t="s">
        <v>10371</v>
      </c>
      <c r="N2091" s="12">
        <v>52894</v>
      </c>
      <c r="O2091" s="12">
        <v>1484</v>
      </c>
      <c r="P2091" s="12">
        <v>3</v>
      </c>
      <c r="Q2091" s="12" t="s">
        <v>10372</v>
      </c>
      <c r="R2091" s="15" t="s">
        <v>10373</v>
      </c>
      <c r="S2091" s="12">
        <v>185</v>
      </c>
      <c r="T2091" s="12" t="s">
        <v>39</v>
      </c>
      <c r="U2091" s="12" t="s">
        <v>40</v>
      </c>
      <c r="V2091" s="12" t="s">
        <v>96</v>
      </c>
      <c r="W2091" s="12">
        <v>22000000</v>
      </c>
      <c r="X2091" s="12">
        <v>2014</v>
      </c>
      <c r="Y2091" s="12">
        <v>201</v>
      </c>
      <c r="Z2091" s="12">
        <v>7.3</v>
      </c>
      <c r="AA2091" s="12">
        <v>2.35</v>
      </c>
      <c r="AB2091" s="12">
        <v>55000</v>
      </c>
      <c r="AC2091" s="12"/>
      <c r="AD2091" s="12" t="str">
        <f>IFERROR(__xludf.DUMMYFUNCTION("""COMPUTED_VALUE"""),"Hayley Lovitt")</f>
        <v>Hayley Lovitt</v>
      </c>
      <c r="AE2091" s="12"/>
    </row>
    <row r="2092" customHeight="1" spans="1:31">
      <c r="A2092" s="11" t="s">
        <v>30</v>
      </c>
      <c r="B2092" s="11" t="s">
        <v>6705</v>
      </c>
      <c r="C2092" s="11">
        <v>53</v>
      </c>
      <c r="D2092" s="11">
        <v>114</v>
      </c>
      <c r="E2092" s="11">
        <v>34</v>
      </c>
      <c r="F2092" s="11">
        <v>287</v>
      </c>
      <c r="G2092" s="11">
        <v>649</v>
      </c>
      <c r="H2092" s="11">
        <v>50728000</v>
      </c>
      <c r="I2092" s="11" t="s">
        <v>1120</v>
      </c>
      <c r="J2092" s="11" t="s">
        <v>7965</v>
      </c>
      <c r="K2092" s="11" t="s">
        <v>2956</v>
      </c>
      <c r="L2092" s="11" t="s">
        <v>10374</v>
      </c>
      <c r="M2092" s="11" t="s">
        <v>10375</v>
      </c>
      <c r="N2092" s="11">
        <v>48909</v>
      </c>
      <c r="O2092" s="11">
        <v>1725</v>
      </c>
      <c r="P2092" s="11">
        <v>0</v>
      </c>
      <c r="Q2092" s="11" t="s">
        <v>10376</v>
      </c>
      <c r="R2092" s="14" t="s">
        <v>10377</v>
      </c>
      <c r="S2092" s="11">
        <v>166</v>
      </c>
      <c r="T2092" s="11" t="s">
        <v>39</v>
      </c>
      <c r="U2092" s="11" t="s">
        <v>40</v>
      </c>
      <c r="V2092" s="11" t="s">
        <v>41</v>
      </c>
      <c r="W2092" s="11">
        <v>22000000</v>
      </c>
      <c r="X2092" s="11">
        <v>1995</v>
      </c>
      <c r="Y2092" s="11">
        <v>327</v>
      </c>
      <c r="Z2092" s="11">
        <v>5.8</v>
      </c>
      <c r="AA2092" s="11">
        <v>1.85</v>
      </c>
      <c r="AB2092" s="11">
        <v>0</v>
      </c>
      <c r="AC2092" s="11"/>
      <c r="AD2092" s="11" t="str">
        <f>IFERROR(__xludf.DUMMYFUNCTION("""COMPUTED_VALUE"""),"Eva Marie Saint")</f>
        <v>Eva Marie Saint</v>
      </c>
      <c r="AE2092" s="11"/>
    </row>
    <row r="2093" customHeight="1" spans="1:31">
      <c r="A2093" s="12" t="s">
        <v>30</v>
      </c>
      <c r="B2093" s="12" t="s">
        <v>10378</v>
      </c>
      <c r="C2093" s="12">
        <v>129</v>
      </c>
      <c r="D2093" s="12">
        <v>132</v>
      </c>
      <c r="E2093" s="12">
        <v>24</v>
      </c>
      <c r="F2093" s="12">
        <v>506</v>
      </c>
      <c r="G2093" s="12">
        <v>967</v>
      </c>
      <c r="H2093" s="12">
        <v>40270895</v>
      </c>
      <c r="I2093" s="12" t="s">
        <v>3410</v>
      </c>
      <c r="J2093" s="12" t="s">
        <v>4196</v>
      </c>
      <c r="K2093" s="12" t="s">
        <v>3077</v>
      </c>
      <c r="L2093" s="12" t="s">
        <v>2987</v>
      </c>
      <c r="M2093" s="12" t="s">
        <v>10379</v>
      </c>
      <c r="N2093" s="12">
        <v>121937</v>
      </c>
      <c r="O2093" s="12">
        <v>3152</v>
      </c>
      <c r="P2093" s="12">
        <v>0</v>
      </c>
      <c r="Q2093" s="12" t="s">
        <v>10380</v>
      </c>
      <c r="R2093" s="15" t="s">
        <v>10381</v>
      </c>
      <c r="S2093" s="12">
        <v>431</v>
      </c>
      <c r="T2093" s="12" t="s">
        <v>39</v>
      </c>
      <c r="U2093" s="12" t="s">
        <v>40</v>
      </c>
      <c r="V2093" s="12" t="s">
        <v>41</v>
      </c>
      <c r="W2093" s="12">
        <v>22000000</v>
      </c>
      <c r="X2093" s="12">
        <v>2001</v>
      </c>
      <c r="Y2093" s="12">
        <v>912</v>
      </c>
      <c r="Z2093" s="12">
        <v>7.6</v>
      </c>
      <c r="AA2093" s="12">
        <v>1.85</v>
      </c>
      <c r="AB2093" s="12">
        <v>15000</v>
      </c>
      <c r="AC2093" s="12"/>
      <c r="AD2093" s="12" t="str">
        <f>IFERROR(__xludf.DUMMYFUNCTION("""COMPUTED_VALUE"""),"Vincent Perez")</f>
        <v>Vincent Perez</v>
      </c>
      <c r="AE2093" s="12"/>
    </row>
    <row r="2094" customHeight="1" spans="1:31">
      <c r="A2094" s="11" t="s">
        <v>30</v>
      </c>
      <c r="B2094" s="11" t="s">
        <v>10382</v>
      </c>
      <c r="C2094" s="11">
        <v>61</v>
      </c>
      <c r="D2094" s="11">
        <v>170</v>
      </c>
      <c r="E2094" s="11">
        <v>25</v>
      </c>
      <c r="F2094" s="11">
        <v>55</v>
      </c>
      <c r="G2094" s="11">
        <v>329</v>
      </c>
      <c r="H2094" s="11">
        <v>59696176</v>
      </c>
      <c r="I2094" s="11" t="s">
        <v>5941</v>
      </c>
      <c r="J2094" s="11" t="s">
        <v>10383</v>
      </c>
      <c r="K2094" s="11" t="s">
        <v>4968</v>
      </c>
      <c r="L2094" s="11" t="s">
        <v>10384</v>
      </c>
      <c r="M2094" s="11" t="s">
        <v>10385</v>
      </c>
      <c r="N2094" s="11">
        <v>15448</v>
      </c>
      <c r="O2094" s="11">
        <v>775</v>
      </c>
      <c r="P2094" s="11">
        <v>1</v>
      </c>
      <c r="Q2094" s="11" t="s">
        <v>10386</v>
      </c>
      <c r="R2094" s="14" t="s">
        <v>10387</v>
      </c>
      <c r="S2094" s="11">
        <v>174</v>
      </c>
      <c r="T2094" s="11" t="s">
        <v>39</v>
      </c>
      <c r="U2094" s="11" t="s">
        <v>40</v>
      </c>
      <c r="V2094" s="11" t="s">
        <v>41</v>
      </c>
      <c r="W2094" s="11">
        <v>22000000</v>
      </c>
      <c r="X2094" s="11">
        <v>2014</v>
      </c>
      <c r="Y2094" s="11">
        <v>134</v>
      </c>
      <c r="Z2094" s="11">
        <v>5.6</v>
      </c>
      <c r="AA2094" s="11">
        <v>2.35</v>
      </c>
      <c r="AB2094" s="11">
        <v>15000</v>
      </c>
      <c r="AC2094" s="11"/>
      <c r="AD2094" s="11" t="str">
        <f>IFERROR(__xludf.DUMMYFUNCTION("""COMPUTED_VALUE"""),"Terry Pheto")</f>
        <v>Terry Pheto</v>
      </c>
      <c r="AE2094" s="11"/>
    </row>
    <row r="2095" customHeight="1" spans="1:31">
      <c r="A2095" s="12" t="s">
        <v>30</v>
      </c>
      <c r="B2095" s="12" t="s">
        <v>1618</v>
      </c>
      <c r="C2095" s="12">
        <v>226</v>
      </c>
      <c r="D2095" s="12">
        <v>133</v>
      </c>
      <c r="E2095" s="12">
        <v>235</v>
      </c>
      <c r="F2095" s="12">
        <v>105</v>
      </c>
      <c r="G2095" s="12">
        <v>955</v>
      </c>
      <c r="H2095" s="12">
        <v>51483949</v>
      </c>
      <c r="I2095" s="12" t="s">
        <v>1364</v>
      </c>
      <c r="J2095" s="12" t="s">
        <v>287</v>
      </c>
      <c r="K2095" s="12" t="s">
        <v>3814</v>
      </c>
      <c r="L2095" s="12" t="s">
        <v>10388</v>
      </c>
      <c r="M2095" s="12" t="s">
        <v>10389</v>
      </c>
      <c r="N2095" s="12">
        <v>208092</v>
      </c>
      <c r="O2095" s="12">
        <v>1777</v>
      </c>
      <c r="P2095" s="12">
        <v>0</v>
      </c>
      <c r="Q2095" s="12" t="s">
        <v>10390</v>
      </c>
      <c r="R2095" s="15" t="s">
        <v>10391</v>
      </c>
      <c r="S2095" s="12">
        <v>806</v>
      </c>
      <c r="T2095" s="12" t="s">
        <v>39</v>
      </c>
      <c r="U2095" s="12" t="s">
        <v>58</v>
      </c>
      <c r="V2095" s="12" t="s">
        <v>586</v>
      </c>
      <c r="W2095" s="12">
        <v>22000000</v>
      </c>
      <c r="X2095" s="12">
        <v>2003</v>
      </c>
      <c r="Y2095" s="12">
        <v>593</v>
      </c>
      <c r="Z2095" s="12">
        <v>7</v>
      </c>
      <c r="AA2095" s="12">
        <v>2.35</v>
      </c>
      <c r="AB2095" s="12">
        <v>0</v>
      </c>
      <c r="AC2095" s="12"/>
      <c r="AD2095" s="12" t="str">
        <f>IFERROR(__xludf.DUMMYFUNCTION("""COMPUTED_VALUE"""),"Fana Mokoena")</f>
        <v>Fana Mokoena</v>
      </c>
      <c r="AE2095" s="12"/>
    </row>
    <row r="2096" customHeight="1" spans="1:31">
      <c r="A2096" s="11" t="s">
        <v>30</v>
      </c>
      <c r="B2096" s="11" t="s">
        <v>3524</v>
      </c>
      <c r="C2096" s="11">
        <v>116</v>
      </c>
      <c r="D2096" s="11">
        <v>112</v>
      </c>
      <c r="E2096" s="11">
        <v>101</v>
      </c>
      <c r="F2096" s="11">
        <v>218</v>
      </c>
      <c r="G2096" s="11">
        <v>896</v>
      </c>
      <c r="H2096" s="11">
        <v>36020063</v>
      </c>
      <c r="I2096" s="11" t="s">
        <v>4075</v>
      </c>
      <c r="J2096" s="11" t="s">
        <v>4236</v>
      </c>
      <c r="K2096" s="11" t="s">
        <v>1729</v>
      </c>
      <c r="L2096" s="11" t="s">
        <v>4314</v>
      </c>
      <c r="M2096" s="11" t="s">
        <v>10392</v>
      </c>
      <c r="N2096" s="11">
        <v>62584</v>
      </c>
      <c r="O2096" s="11">
        <v>2019</v>
      </c>
      <c r="P2096" s="11">
        <v>2</v>
      </c>
      <c r="Q2096" s="11" t="s">
        <v>10393</v>
      </c>
      <c r="R2096" s="14" t="s">
        <v>10394</v>
      </c>
      <c r="S2096" s="11">
        <v>375</v>
      </c>
      <c r="T2096" s="11" t="s">
        <v>39</v>
      </c>
      <c r="U2096" s="11" t="s">
        <v>40</v>
      </c>
      <c r="V2096" s="11" t="s">
        <v>586</v>
      </c>
      <c r="W2096" s="11">
        <v>22000000</v>
      </c>
      <c r="X2096" s="11">
        <v>2005</v>
      </c>
      <c r="Y2096" s="11">
        <v>561</v>
      </c>
      <c r="Z2096" s="11">
        <v>6.6</v>
      </c>
      <c r="AA2096" s="11">
        <v>2.35</v>
      </c>
      <c r="AB2096" s="11">
        <v>0</v>
      </c>
      <c r="AC2096" s="11"/>
      <c r="AD2096" s="11" t="str">
        <f>IFERROR(__xludf.DUMMYFUNCTION("""COMPUTED_VALUE"""),"Tony Kgoroge")</f>
        <v>Tony Kgoroge</v>
      </c>
      <c r="AE2096" s="11"/>
    </row>
    <row r="2097" customHeight="1" spans="1:31">
      <c r="A2097" s="12" t="s">
        <v>30</v>
      </c>
      <c r="B2097" s="12" t="s">
        <v>1527</v>
      </c>
      <c r="C2097" s="12">
        <v>248</v>
      </c>
      <c r="D2097" s="12">
        <v>108</v>
      </c>
      <c r="E2097" s="12">
        <v>0</v>
      </c>
      <c r="F2097" s="12">
        <v>690</v>
      </c>
      <c r="G2097" s="12">
        <v>13000</v>
      </c>
      <c r="H2097" s="12">
        <v>33313582</v>
      </c>
      <c r="I2097" s="12" t="s">
        <v>5316</v>
      </c>
      <c r="J2097" s="12" t="s">
        <v>1158</v>
      </c>
      <c r="K2097" s="12" t="s">
        <v>5840</v>
      </c>
      <c r="L2097" s="12" t="s">
        <v>6256</v>
      </c>
      <c r="M2097" s="12" t="s">
        <v>10395</v>
      </c>
      <c r="N2097" s="12">
        <v>52888</v>
      </c>
      <c r="O2097" s="12">
        <v>16031</v>
      </c>
      <c r="P2097" s="12">
        <v>1</v>
      </c>
      <c r="Q2097" s="12" t="s">
        <v>10396</v>
      </c>
      <c r="R2097" s="15" t="s">
        <v>10397</v>
      </c>
      <c r="S2097" s="12">
        <v>175</v>
      </c>
      <c r="T2097" s="12" t="s">
        <v>39</v>
      </c>
      <c r="U2097" s="12" t="s">
        <v>40</v>
      </c>
      <c r="V2097" s="12" t="s">
        <v>586</v>
      </c>
      <c r="W2097" s="12">
        <v>21000000</v>
      </c>
      <c r="X2097" s="12">
        <v>2009</v>
      </c>
      <c r="Y2097" s="12">
        <v>734</v>
      </c>
      <c r="Z2097" s="12">
        <v>6.5</v>
      </c>
      <c r="AA2097" s="12">
        <v>1.85</v>
      </c>
      <c r="AB2097" s="12">
        <v>0</v>
      </c>
      <c r="AC2097" s="12"/>
      <c r="AD2097" s="12" t="str">
        <f>IFERROR(__xludf.DUMMYFUNCTION("""COMPUTED_VALUE"""),"Kyle Hebert")</f>
        <v>Kyle Hebert</v>
      </c>
      <c r="AE2097" s="12"/>
    </row>
    <row r="2098" customHeight="1" spans="1:31">
      <c r="A2098" s="11" t="s">
        <v>30</v>
      </c>
      <c r="B2098" s="11" t="s">
        <v>8808</v>
      </c>
      <c r="C2098" s="11">
        <v>23</v>
      </c>
      <c r="D2098" s="11">
        <v>115</v>
      </c>
      <c r="E2098" s="11">
        <v>0</v>
      </c>
      <c r="F2098" s="11">
        <v>266</v>
      </c>
      <c r="G2098" s="11">
        <v>12000</v>
      </c>
      <c r="H2098" s="11">
        <v>25842000</v>
      </c>
      <c r="I2098" s="11" t="s">
        <v>6327</v>
      </c>
      <c r="J2098" s="11" t="s">
        <v>763</v>
      </c>
      <c r="K2098" s="11" t="s">
        <v>303</v>
      </c>
      <c r="L2098" s="11" t="s">
        <v>10398</v>
      </c>
      <c r="M2098" s="11" t="s">
        <v>10399</v>
      </c>
      <c r="N2098" s="11">
        <v>13455</v>
      </c>
      <c r="O2098" s="11">
        <v>13619</v>
      </c>
      <c r="P2098" s="11">
        <v>0</v>
      </c>
      <c r="Q2098" s="11" t="s">
        <v>10400</v>
      </c>
      <c r="R2098" s="14" t="s">
        <v>10401</v>
      </c>
      <c r="S2098" s="11">
        <v>87</v>
      </c>
      <c r="T2098" s="11" t="s">
        <v>39</v>
      </c>
      <c r="U2098" s="11" t="s">
        <v>58</v>
      </c>
      <c r="V2098" s="11" t="s">
        <v>96</v>
      </c>
      <c r="W2098" s="11">
        <v>22000000</v>
      </c>
      <c r="X2098" s="11">
        <v>1993</v>
      </c>
      <c r="Y2098" s="11">
        <v>1000</v>
      </c>
      <c r="Z2098" s="11">
        <v>7.4</v>
      </c>
      <c r="AA2098" s="11">
        <v>2.35</v>
      </c>
      <c r="AB2098" s="11">
        <v>2000</v>
      </c>
      <c r="AC2098" s="11"/>
      <c r="AD2098" s="11" t="str">
        <f>IFERROR(__xludf.DUMMYFUNCTION("""COMPUTED_VALUE"""),"Brianne Brozey")</f>
        <v>Brianne Brozey</v>
      </c>
      <c r="AE2098" s="11"/>
    </row>
    <row r="2099" customHeight="1" spans="1:31">
      <c r="A2099" s="12" t="s">
        <v>30</v>
      </c>
      <c r="B2099" s="12" t="s">
        <v>10402</v>
      </c>
      <c r="C2099" s="12">
        <v>98</v>
      </c>
      <c r="D2099" s="12">
        <v>83</v>
      </c>
      <c r="E2099" s="12">
        <v>2</v>
      </c>
      <c r="F2099" s="12">
        <v>137</v>
      </c>
      <c r="G2099" s="12">
        <v>591</v>
      </c>
      <c r="H2099" s="12">
        <v>22264487</v>
      </c>
      <c r="I2099" s="12" t="s">
        <v>1672</v>
      </c>
      <c r="J2099" s="12" t="s">
        <v>4695</v>
      </c>
      <c r="K2099" s="12" t="s">
        <v>9578</v>
      </c>
      <c r="L2099" s="12" t="s">
        <v>10403</v>
      </c>
      <c r="M2099" s="12" t="s">
        <v>10404</v>
      </c>
      <c r="N2099" s="12">
        <v>41239</v>
      </c>
      <c r="O2099" s="12">
        <v>1729</v>
      </c>
      <c r="P2099" s="12">
        <v>0</v>
      </c>
      <c r="Q2099" s="12" t="s">
        <v>10405</v>
      </c>
      <c r="R2099" s="15" t="s">
        <v>10406</v>
      </c>
      <c r="S2099" s="12">
        <v>166</v>
      </c>
      <c r="T2099" s="12" t="s">
        <v>39</v>
      </c>
      <c r="U2099" s="12" t="s">
        <v>40</v>
      </c>
      <c r="V2099" s="12" t="s">
        <v>586</v>
      </c>
      <c r="W2099" s="12">
        <v>22000000</v>
      </c>
      <c r="X2099" s="12">
        <v>2005</v>
      </c>
      <c r="Y2099" s="12">
        <v>489</v>
      </c>
      <c r="Z2099" s="12">
        <v>4.6</v>
      </c>
      <c r="AA2099" s="12">
        <v>1.85</v>
      </c>
      <c r="AB2099" s="12">
        <v>887</v>
      </c>
      <c r="AC2099" s="12"/>
      <c r="AD2099" s="12" t="str">
        <f>IFERROR(__xludf.DUMMYFUNCTION("""COMPUTED_VALUE"""),"Joe Ochman")</f>
        <v>Joe Ochman</v>
      </c>
      <c r="AE2099" s="12"/>
    </row>
    <row r="2100" customHeight="1" spans="1:31">
      <c r="A2100" s="11" t="s">
        <v>30</v>
      </c>
      <c r="B2100" s="11" t="s">
        <v>7755</v>
      </c>
      <c r="C2100" s="11">
        <v>168</v>
      </c>
      <c r="D2100" s="11">
        <v>105</v>
      </c>
      <c r="E2100" s="11">
        <v>31</v>
      </c>
      <c r="F2100" s="11">
        <v>110</v>
      </c>
      <c r="G2100" s="11">
        <v>390</v>
      </c>
      <c r="H2100" s="11">
        <v>30659817</v>
      </c>
      <c r="I2100" s="11" t="s">
        <v>2528</v>
      </c>
      <c r="J2100" s="11" t="s">
        <v>10407</v>
      </c>
      <c r="K2100" s="11" t="s">
        <v>10408</v>
      </c>
      <c r="L2100" s="11" t="s">
        <v>10409</v>
      </c>
      <c r="M2100" s="11" t="s">
        <v>10410</v>
      </c>
      <c r="N2100" s="11">
        <v>59805</v>
      </c>
      <c r="O2100" s="11">
        <v>1006</v>
      </c>
      <c r="P2100" s="11">
        <v>10</v>
      </c>
      <c r="Q2100" s="11" t="s">
        <v>10411</v>
      </c>
      <c r="R2100" s="14" t="s">
        <v>10412</v>
      </c>
      <c r="S2100" s="11">
        <v>95</v>
      </c>
      <c r="T2100" s="11" t="s">
        <v>39</v>
      </c>
      <c r="U2100" s="11" t="s">
        <v>40</v>
      </c>
      <c r="V2100" s="11" t="s">
        <v>41</v>
      </c>
      <c r="W2100" s="11">
        <v>26000000</v>
      </c>
      <c r="X2100" s="11">
        <v>2013</v>
      </c>
      <c r="Y2100" s="11">
        <v>311</v>
      </c>
      <c r="Z2100" s="11">
        <v>6.4</v>
      </c>
      <c r="AA2100" s="11">
        <v>2.35</v>
      </c>
      <c r="AB2100" s="11">
        <v>0</v>
      </c>
      <c r="AC2100" s="11"/>
      <c r="AD2100" s="11" t="str">
        <f>IFERROR(__xludf.DUMMYFUNCTION("""COMPUTED_VALUE"""),"Veronika Vernadskaya")</f>
        <v>Veronika Vernadskaya</v>
      </c>
      <c r="AE2100" s="11"/>
    </row>
    <row r="2101" customHeight="1" spans="1:31">
      <c r="A2101" s="12" t="s">
        <v>30</v>
      </c>
      <c r="B2101" s="12" t="s">
        <v>6047</v>
      </c>
      <c r="C2101" s="12">
        <v>159</v>
      </c>
      <c r="D2101" s="12">
        <v>110</v>
      </c>
      <c r="E2101" s="12">
        <v>118</v>
      </c>
      <c r="F2101" s="12">
        <v>287</v>
      </c>
      <c r="G2101" s="12">
        <v>11000</v>
      </c>
      <c r="H2101" s="12">
        <v>5773519</v>
      </c>
      <c r="I2101" s="12" t="s">
        <v>3171</v>
      </c>
      <c r="J2101" s="12" t="s">
        <v>107</v>
      </c>
      <c r="K2101" s="12" t="s">
        <v>4533</v>
      </c>
      <c r="L2101" s="12" t="s">
        <v>6048</v>
      </c>
      <c r="M2101" s="12" t="s">
        <v>6049</v>
      </c>
      <c r="N2101" s="12">
        <v>28621</v>
      </c>
      <c r="O2101" s="12">
        <v>12876</v>
      </c>
      <c r="P2101" s="12">
        <v>2</v>
      </c>
      <c r="Q2101" s="12" t="s">
        <v>6050</v>
      </c>
      <c r="R2101" s="15" t="s">
        <v>6051</v>
      </c>
      <c r="S2101" s="12">
        <v>91</v>
      </c>
      <c r="T2101" s="12" t="s">
        <v>39</v>
      </c>
      <c r="U2101" s="12" t="s">
        <v>40</v>
      </c>
      <c r="V2101" s="12" t="s">
        <v>41</v>
      </c>
      <c r="W2101" s="12">
        <v>40000000</v>
      </c>
      <c r="X2101" s="12">
        <v>2015</v>
      </c>
      <c r="Y2101" s="12">
        <v>1000</v>
      </c>
      <c r="Z2101" s="12">
        <v>6</v>
      </c>
      <c r="AA2101" s="12">
        <v>2.35</v>
      </c>
      <c r="AB2101" s="12">
        <v>11000</v>
      </c>
      <c r="AC2101" s="12"/>
      <c r="AD2101" s="12" t="str">
        <f>IFERROR(__xludf.DUMMYFUNCTION("""COMPUTED_VALUE"""),"Dato Bakhtadze")</f>
        <v>Dato Bakhtadze</v>
      </c>
      <c r="AE2101" s="12"/>
    </row>
    <row r="2102" customHeight="1" spans="1:31">
      <c r="A2102" s="11" t="s">
        <v>30</v>
      </c>
      <c r="B2102" s="11" t="s">
        <v>7526</v>
      </c>
      <c r="C2102" s="11">
        <v>134</v>
      </c>
      <c r="D2102" s="11">
        <v>108</v>
      </c>
      <c r="E2102" s="11">
        <v>24</v>
      </c>
      <c r="F2102" s="11">
        <v>100</v>
      </c>
      <c r="G2102" s="11">
        <v>150</v>
      </c>
      <c r="H2102" s="11">
        <v>3108216</v>
      </c>
      <c r="I2102" s="11" t="s">
        <v>10413</v>
      </c>
      <c r="J2102" s="11" t="s">
        <v>10414</v>
      </c>
      <c r="K2102" s="11" t="s">
        <v>10415</v>
      </c>
      <c r="L2102" s="11" t="s">
        <v>10416</v>
      </c>
      <c r="M2102" s="11" t="s">
        <v>10417</v>
      </c>
      <c r="N2102" s="11">
        <v>2587</v>
      </c>
      <c r="O2102" s="11">
        <v>540</v>
      </c>
      <c r="P2102" s="11">
        <v>2</v>
      </c>
      <c r="Q2102" s="11" t="s">
        <v>10418</v>
      </c>
      <c r="R2102" s="14" t="s">
        <v>10419</v>
      </c>
      <c r="S2102" s="11">
        <v>21</v>
      </c>
      <c r="T2102" s="11" t="s">
        <v>39</v>
      </c>
      <c r="U2102" s="11" t="s">
        <v>58</v>
      </c>
      <c r="V2102" s="11" t="s">
        <v>586</v>
      </c>
      <c r="W2102" s="13"/>
      <c r="X2102" s="11">
        <v>2016</v>
      </c>
      <c r="Y2102" s="11">
        <v>104</v>
      </c>
      <c r="Z2102" s="11">
        <v>6.4</v>
      </c>
      <c r="AA2102" s="11">
        <v>2.35</v>
      </c>
      <c r="AB2102" s="11">
        <v>0</v>
      </c>
      <c r="AC2102" s="11"/>
      <c r="AD2102" s="11" t="str">
        <f>IFERROR(__xludf.DUMMYFUNCTION("""COMPUTED_VALUE"""),"Ryan Guzman")</f>
        <v>Ryan Guzman</v>
      </c>
      <c r="AE2102" s="11"/>
    </row>
    <row r="2103" customHeight="1" spans="1:31">
      <c r="A2103" s="12" t="s">
        <v>30</v>
      </c>
      <c r="B2103" s="12" t="s">
        <v>2179</v>
      </c>
      <c r="C2103" s="12">
        <v>97</v>
      </c>
      <c r="D2103" s="12">
        <v>96</v>
      </c>
      <c r="E2103" s="12">
        <v>221</v>
      </c>
      <c r="F2103" s="12">
        <v>110</v>
      </c>
      <c r="G2103" s="12">
        <v>240</v>
      </c>
      <c r="H2103" s="12">
        <v>19351569</v>
      </c>
      <c r="I2103" s="12" t="s">
        <v>4262</v>
      </c>
      <c r="J2103" s="12" t="s">
        <v>4860</v>
      </c>
      <c r="K2103" s="12" t="s">
        <v>10420</v>
      </c>
      <c r="L2103" s="12" t="s">
        <v>10421</v>
      </c>
      <c r="M2103" s="12" t="s">
        <v>10422</v>
      </c>
      <c r="N2103" s="12">
        <v>33287</v>
      </c>
      <c r="O2103" s="12">
        <v>664</v>
      </c>
      <c r="P2103" s="12">
        <v>1</v>
      </c>
      <c r="Q2103" s="12" t="s">
        <v>10423</v>
      </c>
      <c r="R2103" s="15" t="s">
        <v>10424</v>
      </c>
      <c r="S2103" s="12">
        <v>201</v>
      </c>
      <c r="T2103" s="12" t="s">
        <v>39</v>
      </c>
      <c r="U2103" s="12" t="s">
        <v>40</v>
      </c>
      <c r="V2103" s="12" t="s">
        <v>41</v>
      </c>
      <c r="W2103" s="12">
        <v>22000000</v>
      </c>
      <c r="X2103" s="12">
        <v>2001</v>
      </c>
      <c r="Y2103" s="12">
        <v>226</v>
      </c>
      <c r="Z2103" s="12">
        <v>5.9</v>
      </c>
      <c r="AA2103" s="12">
        <v>1.85</v>
      </c>
      <c r="AB2103" s="12">
        <v>739</v>
      </c>
      <c r="AC2103" s="12"/>
      <c r="AD2103" s="12" t="str">
        <f>IFERROR(__xludf.DUMMYFUNCTION("""COMPUTED_VALUE"""),"Stephen Boss")</f>
        <v>Stephen Boss</v>
      </c>
      <c r="AE2103" s="12"/>
    </row>
    <row r="2104" customHeight="1" spans="1:31">
      <c r="A2104" s="11" t="s">
        <v>30</v>
      </c>
      <c r="B2104" s="11" t="s">
        <v>936</v>
      </c>
      <c r="C2104" s="11">
        <v>88</v>
      </c>
      <c r="D2104" s="11">
        <v>94</v>
      </c>
      <c r="E2104" s="11">
        <v>42</v>
      </c>
      <c r="F2104" s="11">
        <v>517</v>
      </c>
      <c r="G2104" s="11">
        <v>975</v>
      </c>
      <c r="H2104" s="11">
        <v>49002815</v>
      </c>
      <c r="I2104" s="11" t="s">
        <v>3057</v>
      </c>
      <c r="J2104" s="11" t="s">
        <v>10425</v>
      </c>
      <c r="K2104" s="11" t="s">
        <v>2197</v>
      </c>
      <c r="L2104" s="11" t="s">
        <v>950</v>
      </c>
      <c r="M2104" s="11" t="s">
        <v>10426</v>
      </c>
      <c r="N2104" s="11">
        <v>15665</v>
      </c>
      <c r="O2104" s="11">
        <v>3153</v>
      </c>
      <c r="P2104" s="11">
        <v>2</v>
      </c>
      <c r="Q2104" s="11" t="s">
        <v>10427</v>
      </c>
      <c r="R2104" s="14" t="s">
        <v>10428</v>
      </c>
      <c r="S2104" s="11">
        <v>35</v>
      </c>
      <c r="T2104" s="11" t="s">
        <v>39</v>
      </c>
      <c r="U2104" s="11" t="s">
        <v>40</v>
      </c>
      <c r="V2104" s="11" t="s">
        <v>96</v>
      </c>
      <c r="W2104" s="11">
        <v>22000000</v>
      </c>
      <c r="X2104" s="11">
        <v>2012</v>
      </c>
      <c r="Y2104" s="11">
        <v>569</v>
      </c>
      <c r="Z2104" s="11">
        <v>6.4</v>
      </c>
      <c r="AA2104" s="11">
        <v>2.35</v>
      </c>
      <c r="AB2104" s="11">
        <v>0</v>
      </c>
      <c r="AC2104" s="11"/>
      <c r="AD2104" s="11" t="str">
        <f>IFERROR(__xludf.DUMMYFUNCTION("""COMPUTED_VALUE"""),"Rachel Blanchard")</f>
        <v>Rachel Blanchard</v>
      </c>
      <c r="AE2104" s="11"/>
    </row>
    <row r="2105" customHeight="1" spans="1:31">
      <c r="A2105" s="12" t="s">
        <v>30</v>
      </c>
      <c r="B2105" s="12" t="s">
        <v>5077</v>
      </c>
      <c r="C2105" s="12">
        <v>85</v>
      </c>
      <c r="D2105" s="12">
        <v>142</v>
      </c>
      <c r="E2105" s="12">
        <v>0</v>
      </c>
      <c r="F2105" s="12">
        <v>854</v>
      </c>
      <c r="G2105" s="12">
        <v>978</v>
      </c>
      <c r="H2105" s="12">
        <v>19283782</v>
      </c>
      <c r="I2105" s="12" t="s">
        <v>5275</v>
      </c>
      <c r="J2105" s="12" t="s">
        <v>6706</v>
      </c>
      <c r="K2105" s="12" t="s">
        <v>5166</v>
      </c>
      <c r="L2105" s="12" t="s">
        <v>3197</v>
      </c>
      <c r="M2105" s="12" t="s">
        <v>10429</v>
      </c>
      <c r="N2105" s="12">
        <v>31227</v>
      </c>
      <c r="O2105" s="12">
        <v>5386</v>
      </c>
      <c r="P2105" s="12">
        <v>0</v>
      </c>
      <c r="Q2105" s="12" t="s">
        <v>10430</v>
      </c>
      <c r="R2105" s="15" t="s">
        <v>10431</v>
      </c>
      <c r="S2105" s="12">
        <v>354</v>
      </c>
      <c r="T2105" s="12" t="s">
        <v>39</v>
      </c>
      <c r="U2105" s="12" t="s">
        <v>40</v>
      </c>
      <c r="V2105" s="12" t="s">
        <v>586</v>
      </c>
      <c r="W2105" s="12">
        <v>22000000</v>
      </c>
      <c r="X2105" s="12">
        <v>1999</v>
      </c>
      <c r="Y2105" s="12">
        <v>911</v>
      </c>
      <c r="Z2105" s="12">
        <v>6.6</v>
      </c>
      <c r="AA2105" s="12">
        <v>1.85</v>
      </c>
      <c r="AB2105" s="12">
        <v>0</v>
      </c>
      <c r="AC2105" s="12"/>
      <c r="AD2105" s="12" t="str">
        <f>IFERROR(__xludf.DUMMYFUNCTION("""COMPUTED_VALUE"""),"Chris Ellis")</f>
        <v>Chris Ellis</v>
      </c>
      <c r="AE2105" s="12"/>
    </row>
    <row r="2106" customHeight="1" spans="1:31">
      <c r="A2106" s="11" t="s">
        <v>30</v>
      </c>
      <c r="B2106" s="11" t="s">
        <v>7135</v>
      </c>
      <c r="C2106" s="11">
        <v>181</v>
      </c>
      <c r="D2106" s="11">
        <v>104</v>
      </c>
      <c r="E2106" s="11">
        <v>0</v>
      </c>
      <c r="F2106" s="11">
        <v>898</v>
      </c>
      <c r="G2106" s="11">
        <v>8000</v>
      </c>
      <c r="H2106" s="11">
        <v>30059386</v>
      </c>
      <c r="I2106" s="11" t="s">
        <v>1672</v>
      </c>
      <c r="J2106" s="11" t="s">
        <v>1249</v>
      </c>
      <c r="K2106" s="11" t="s">
        <v>7580</v>
      </c>
      <c r="L2106" s="11" t="s">
        <v>10432</v>
      </c>
      <c r="M2106" s="11" t="s">
        <v>10433</v>
      </c>
      <c r="N2106" s="11">
        <v>128593</v>
      </c>
      <c r="O2106" s="11">
        <v>11632</v>
      </c>
      <c r="P2106" s="11">
        <v>5</v>
      </c>
      <c r="Q2106" s="11" t="s">
        <v>10434</v>
      </c>
      <c r="R2106" s="14" t="s">
        <v>10435</v>
      </c>
      <c r="S2106" s="11">
        <v>867</v>
      </c>
      <c r="T2106" s="11" t="s">
        <v>39</v>
      </c>
      <c r="U2106" s="11" t="s">
        <v>40</v>
      </c>
      <c r="V2106" s="11" t="s">
        <v>586</v>
      </c>
      <c r="W2106" s="11">
        <v>22000000</v>
      </c>
      <c r="X2106" s="11">
        <v>2001</v>
      </c>
      <c r="Y2106" s="11">
        <v>1000</v>
      </c>
      <c r="Z2106" s="11">
        <v>6.9</v>
      </c>
      <c r="AA2106" s="11">
        <v>2.35</v>
      </c>
      <c r="AB2106" s="11">
        <v>0</v>
      </c>
      <c r="AC2106" s="11"/>
      <c r="AD2106" s="11" t="str">
        <f>IFERROR(__xludf.DUMMYFUNCTION("""COMPUTED_VALUE"""),"Marco St. John")</f>
        <v>Marco St. John</v>
      </c>
      <c r="AE2106" s="11"/>
    </row>
    <row r="2107" customHeight="1" spans="1:31">
      <c r="A2107" s="12" t="s">
        <v>30</v>
      </c>
      <c r="B2107" s="12" t="s">
        <v>279</v>
      </c>
      <c r="C2107" s="12">
        <v>257</v>
      </c>
      <c r="D2107" s="12">
        <v>136</v>
      </c>
      <c r="E2107" s="12">
        <v>0</v>
      </c>
      <c r="F2107" s="12">
        <v>3000</v>
      </c>
      <c r="G2107" s="12">
        <v>19000</v>
      </c>
      <c r="H2107" s="12">
        <v>35799026</v>
      </c>
      <c r="I2107" s="12" t="s">
        <v>1676</v>
      </c>
      <c r="J2107" s="12" t="s">
        <v>100</v>
      </c>
      <c r="K2107" s="12" t="s">
        <v>272</v>
      </c>
      <c r="L2107" s="12" t="s">
        <v>656</v>
      </c>
      <c r="M2107" s="12" t="s">
        <v>1677</v>
      </c>
      <c r="N2107" s="12">
        <v>263336</v>
      </c>
      <c r="O2107" s="12">
        <v>34838</v>
      </c>
      <c r="P2107" s="12">
        <v>1</v>
      </c>
      <c r="Q2107" s="12" t="s">
        <v>1678</v>
      </c>
      <c r="R2107" s="15" t="s">
        <v>1679</v>
      </c>
      <c r="S2107" s="12">
        <v>899</v>
      </c>
      <c r="T2107" s="12" t="s">
        <v>39</v>
      </c>
      <c r="U2107" s="12" t="s">
        <v>40</v>
      </c>
      <c r="V2107" s="12" t="s">
        <v>41</v>
      </c>
      <c r="W2107" s="12">
        <v>126000000</v>
      </c>
      <c r="X2107" s="12">
        <v>2005</v>
      </c>
      <c r="Y2107" s="12">
        <v>12000</v>
      </c>
      <c r="Z2107" s="12">
        <v>6.9</v>
      </c>
      <c r="AA2107" s="12">
        <v>2.35</v>
      </c>
      <c r="AB2107" s="12">
        <v>0</v>
      </c>
      <c r="AC2107" s="12"/>
      <c r="AD2107" s="12" t="str">
        <f>IFERROR(__xludf.DUMMYFUNCTION("""COMPUTED_VALUE"""),"Eddie Jemison")</f>
        <v>Eddie Jemison</v>
      </c>
      <c r="AE2107" s="12"/>
    </row>
    <row r="2108" customHeight="1" spans="1:31">
      <c r="A2108" s="11" t="s">
        <v>30</v>
      </c>
      <c r="B2108" s="11" t="s">
        <v>10436</v>
      </c>
      <c r="C2108" s="11">
        <v>95</v>
      </c>
      <c r="D2108" s="11">
        <v>106</v>
      </c>
      <c r="E2108" s="11">
        <v>12</v>
      </c>
      <c r="F2108" s="11">
        <v>595</v>
      </c>
      <c r="G2108" s="11">
        <v>962</v>
      </c>
      <c r="H2108" s="11">
        <v>17951431</v>
      </c>
      <c r="I2108" s="11" t="s">
        <v>2142</v>
      </c>
      <c r="J2108" s="11" t="s">
        <v>1978</v>
      </c>
      <c r="K2108" s="11" t="s">
        <v>10437</v>
      </c>
      <c r="L2108" s="11" t="s">
        <v>2033</v>
      </c>
      <c r="M2108" s="11" t="s">
        <v>10438</v>
      </c>
      <c r="N2108" s="11">
        <v>25462</v>
      </c>
      <c r="O2108" s="11">
        <v>4239</v>
      </c>
      <c r="P2108" s="11">
        <v>1</v>
      </c>
      <c r="Q2108" s="11" t="s">
        <v>10439</v>
      </c>
      <c r="R2108" s="14" t="s">
        <v>10440</v>
      </c>
      <c r="S2108" s="11">
        <v>200</v>
      </c>
      <c r="T2108" s="11" t="s">
        <v>39</v>
      </c>
      <c r="U2108" s="11" t="s">
        <v>40</v>
      </c>
      <c r="V2108" s="11" t="s">
        <v>41</v>
      </c>
      <c r="W2108" s="11">
        <v>30000000</v>
      </c>
      <c r="X2108" s="11">
        <v>2001</v>
      </c>
      <c r="Y2108" s="11">
        <v>844</v>
      </c>
      <c r="Z2108" s="11">
        <v>5.8</v>
      </c>
      <c r="AA2108" s="11">
        <v>2.35</v>
      </c>
      <c r="AB2108" s="11">
        <v>804</v>
      </c>
      <c r="AC2108" s="11"/>
      <c r="AD2108" s="11" t="str">
        <f>IFERROR(__xludf.DUMMYFUNCTION("""COMPUTED_VALUE"""),"Robert John Burke")</f>
        <v>Robert John Burke</v>
      </c>
      <c r="AE2108" s="11"/>
    </row>
    <row r="2109" customHeight="1" spans="1:31">
      <c r="A2109" s="12" t="s">
        <v>30</v>
      </c>
      <c r="B2109" s="12" t="s">
        <v>7114</v>
      </c>
      <c r="C2109" s="12">
        <v>423</v>
      </c>
      <c r="D2109" s="12">
        <v>106</v>
      </c>
      <c r="E2109" s="12">
        <v>1000</v>
      </c>
      <c r="F2109" s="12">
        <v>1000</v>
      </c>
      <c r="G2109" s="12">
        <v>19000</v>
      </c>
      <c r="H2109" s="12">
        <v>29997095</v>
      </c>
      <c r="I2109" s="12" t="s">
        <v>10441</v>
      </c>
      <c r="J2109" s="12" t="s">
        <v>100</v>
      </c>
      <c r="K2109" s="12" t="s">
        <v>445</v>
      </c>
      <c r="L2109" s="12" t="s">
        <v>5464</v>
      </c>
      <c r="M2109" s="12" t="s">
        <v>10442</v>
      </c>
      <c r="N2109" s="12">
        <v>60926</v>
      </c>
      <c r="O2109" s="12">
        <v>38494</v>
      </c>
      <c r="P2109" s="12">
        <v>5</v>
      </c>
      <c r="Q2109" s="12" t="s">
        <v>10443</v>
      </c>
      <c r="R2109" s="15" t="s">
        <v>10444</v>
      </c>
      <c r="S2109" s="12">
        <v>302</v>
      </c>
      <c r="T2109" s="12" t="s">
        <v>39</v>
      </c>
      <c r="U2109" s="12" t="s">
        <v>58</v>
      </c>
      <c r="V2109" s="12" t="s">
        <v>41</v>
      </c>
      <c r="W2109" s="12">
        <v>22000000</v>
      </c>
      <c r="X2109" s="12">
        <v>2016</v>
      </c>
      <c r="Y2109" s="12">
        <v>17000</v>
      </c>
      <c r="Z2109" s="12">
        <v>6.4</v>
      </c>
      <c r="AA2109" s="12">
        <v>1.85</v>
      </c>
      <c r="AB2109" s="12">
        <v>23000</v>
      </c>
      <c r="AC2109" s="12"/>
      <c r="AD2109" s="12" t="str">
        <f>IFERROR(__xludf.DUMMYFUNCTION("""COMPUTED_VALUE"""),"Kenny Baker")</f>
        <v>Kenny Baker</v>
      </c>
      <c r="AE2109" s="12"/>
    </row>
    <row r="2110" customHeight="1" spans="1:31">
      <c r="A2110" s="11" t="s">
        <v>30</v>
      </c>
      <c r="B2110" s="11" t="s">
        <v>10445</v>
      </c>
      <c r="C2110" s="11">
        <v>93</v>
      </c>
      <c r="D2110" s="11">
        <v>98</v>
      </c>
      <c r="E2110" s="11">
        <v>4</v>
      </c>
      <c r="F2110" s="11">
        <v>83</v>
      </c>
      <c r="G2110" s="11">
        <v>3000</v>
      </c>
      <c r="H2110" s="11">
        <v>14252830</v>
      </c>
      <c r="I2110" s="11" t="s">
        <v>6419</v>
      </c>
      <c r="J2110" s="11" t="s">
        <v>984</v>
      </c>
      <c r="K2110" s="11" t="s">
        <v>10446</v>
      </c>
      <c r="L2110" s="11" t="s">
        <v>10447</v>
      </c>
      <c r="M2110" s="11" t="s">
        <v>10448</v>
      </c>
      <c r="N2110" s="11">
        <v>18900</v>
      </c>
      <c r="O2110" s="11">
        <v>3769</v>
      </c>
      <c r="P2110" s="11">
        <v>0</v>
      </c>
      <c r="Q2110" s="11" t="s">
        <v>10449</v>
      </c>
      <c r="R2110" s="14" t="s">
        <v>10450</v>
      </c>
      <c r="S2110" s="11">
        <v>242</v>
      </c>
      <c r="T2110" s="11" t="s">
        <v>39</v>
      </c>
      <c r="U2110" s="11" t="s">
        <v>269</v>
      </c>
      <c r="V2110" s="11" t="s">
        <v>41</v>
      </c>
      <c r="W2110" s="11">
        <v>22000000</v>
      </c>
      <c r="X2110" s="11">
        <v>2001</v>
      </c>
      <c r="Y2110" s="11">
        <v>486</v>
      </c>
      <c r="Z2110" s="11">
        <v>5.3</v>
      </c>
      <c r="AA2110" s="11">
        <v>1.85</v>
      </c>
      <c r="AB2110" s="11">
        <v>0</v>
      </c>
      <c r="AC2110" s="11"/>
      <c r="AD2110" s="11" t="str">
        <f>IFERROR(__xludf.DUMMYFUNCTION("""COMPUTED_VALUE"""),"Ryan Kruger")</f>
        <v>Ryan Kruger</v>
      </c>
      <c r="AE2110" s="11"/>
    </row>
    <row r="2111" customHeight="1" spans="1:31">
      <c r="A2111" s="12" t="s">
        <v>30</v>
      </c>
      <c r="B2111" s="12" t="s">
        <v>5165</v>
      </c>
      <c r="C2111" s="12">
        <v>203</v>
      </c>
      <c r="D2111" s="12">
        <v>100</v>
      </c>
      <c r="E2111" s="12">
        <v>39</v>
      </c>
      <c r="F2111" s="12">
        <v>798</v>
      </c>
      <c r="G2111" s="12">
        <v>26000</v>
      </c>
      <c r="H2111" s="12">
        <v>19783777</v>
      </c>
      <c r="I2111" s="12" t="s">
        <v>464</v>
      </c>
      <c r="J2111" s="12" t="s">
        <v>335</v>
      </c>
      <c r="K2111" s="12" t="s">
        <v>83</v>
      </c>
      <c r="L2111" s="12" t="s">
        <v>1699</v>
      </c>
      <c r="M2111" s="12" t="s">
        <v>10451</v>
      </c>
      <c r="N2111" s="12">
        <v>82804</v>
      </c>
      <c r="O2111" s="12">
        <v>39989</v>
      </c>
      <c r="P2111" s="12">
        <v>1</v>
      </c>
      <c r="Q2111" s="12" t="s">
        <v>10452</v>
      </c>
      <c r="R2111" s="15" t="s">
        <v>10453</v>
      </c>
      <c r="S2111" s="12">
        <v>154</v>
      </c>
      <c r="T2111" s="12" t="s">
        <v>39</v>
      </c>
      <c r="U2111" s="12" t="s">
        <v>40</v>
      </c>
      <c r="V2111" s="12" t="s">
        <v>586</v>
      </c>
      <c r="W2111" s="12">
        <v>22000000</v>
      </c>
      <c r="X2111" s="12">
        <v>2013</v>
      </c>
      <c r="Y2111" s="12">
        <v>11000</v>
      </c>
      <c r="Z2111" s="12">
        <v>6.5</v>
      </c>
      <c r="AA2111" s="12">
        <v>2.35</v>
      </c>
      <c r="AB2111" s="12">
        <v>15000</v>
      </c>
      <c r="AC2111" s="12"/>
      <c r="AD2111" s="12" t="str">
        <f>IFERROR(__xludf.DUMMYFUNCTION("""COMPUTED_VALUE"""),"David Kross")</f>
        <v>David Kross</v>
      </c>
      <c r="AE2111" s="12"/>
    </row>
    <row r="2112" customHeight="1" spans="1:31">
      <c r="A2112" s="11" t="s">
        <v>30</v>
      </c>
      <c r="B2112" s="11" t="s">
        <v>10454</v>
      </c>
      <c r="C2112" s="11">
        <v>38</v>
      </c>
      <c r="D2112" s="11">
        <v>95</v>
      </c>
      <c r="E2112" s="11">
        <v>34</v>
      </c>
      <c r="F2112" s="11">
        <v>368</v>
      </c>
      <c r="G2112" s="11">
        <v>554</v>
      </c>
      <c r="H2112" s="11">
        <v>13555988</v>
      </c>
      <c r="I2112" s="11" t="s">
        <v>788</v>
      </c>
      <c r="J2112" s="11" t="s">
        <v>2293</v>
      </c>
      <c r="K2112" s="11" t="s">
        <v>2360</v>
      </c>
      <c r="L2112" s="11" t="s">
        <v>5222</v>
      </c>
      <c r="M2112" s="11" t="s">
        <v>10455</v>
      </c>
      <c r="N2112" s="11">
        <v>7242</v>
      </c>
      <c r="O2112" s="11">
        <v>2216</v>
      </c>
      <c r="P2112" s="11">
        <v>1</v>
      </c>
      <c r="Q2112" s="11" t="s">
        <v>10456</v>
      </c>
      <c r="R2112" s="14" t="s">
        <v>10457</v>
      </c>
      <c r="S2112" s="11">
        <v>38</v>
      </c>
      <c r="T2112" s="11" t="s">
        <v>39</v>
      </c>
      <c r="U2112" s="11" t="s">
        <v>768</v>
      </c>
      <c r="V2112" s="11" t="s">
        <v>96</v>
      </c>
      <c r="W2112" s="11">
        <v>22000000</v>
      </c>
      <c r="X2112" s="11">
        <v>2000</v>
      </c>
      <c r="Y2112" s="11">
        <v>439</v>
      </c>
      <c r="Z2112" s="11">
        <v>5.7</v>
      </c>
      <c r="AA2112" s="11">
        <v>1.85</v>
      </c>
      <c r="AB2112" s="11">
        <v>0</v>
      </c>
      <c r="AC2112" s="11"/>
      <c r="AD2112" s="11" t="str">
        <f>IFERROR(__xludf.DUMMYFUNCTION("""COMPUTED_VALUE"""),"Susanne Lothar")</f>
        <v>Susanne Lothar</v>
      </c>
      <c r="AE2112" s="11"/>
    </row>
    <row r="2113" customHeight="1" spans="1:31">
      <c r="A2113" s="12" t="s">
        <v>30</v>
      </c>
      <c r="B2113" s="12" t="s">
        <v>4167</v>
      </c>
      <c r="C2113" s="12">
        <v>183</v>
      </c>
      <c r="D2113" s="12">
        <v>107</v>
      </c>
      <c r="E2113" s="12">
        <v>737</v>
      </c>
      <c r="F2113" s="12">
        <v>678</v>
      </c>
      <c r="G2113" s="12">
        <v>6000</v>
      </c>
      <c r="H2113" s="12">
        <v>12784713</v>
      </c>
      <c r="I2113" s="12" t="s">
        <v>1672</v>
      </c>
      <c r="J2113" s="12" t="s">
        <v>208</v>
      </c>
      <c r="K2113" s="12" t="s">
        <v>3710</v>
      </c>
      <c r="L2113" s="12" t="s">
        <v>6040</v>
      </c>
      <c r="M2113" s="12" t="s">
        <v>10458</v>
      </c>
      <c r="N2113" s="12">
        <v>56813</v>
      </c>
      <c r="O2113" s="12">
        <v>8094</v>
      </c>
      <c r="P2113" s="12">
        <v>11</v>
      </c>
      <c r="Q2113" s="12" t="s">
        <v>10459</v>
      </c>
      <c r="R2113" s="15" t="s">
        <v>10460</v>
      </c>
      <c r="S2113" s="12">
        <v>381</v>
      </c>
      <c r="T2113" s="12" t="s">
        <v>39</v>
      </c>
      <c r="U2113" s="12" t="s">
        <v>40</v>
      </c>
      <c r="V2113" s="12" t="s">
        <v>586</v>
      </c>
      <c r="W2113" s="12">
        <v>22000000</v>
      </c>
      <c r="X2113" s="12">
        <v>2004</v>
      </c>
      <c r="Y2113" s="12">
        <v>718</v>
      </c>
      <c r="Z2113" s="12">
        <v>6.7</v>
      </c>
      <c r="AA2113" s="12">
        <v>2.35</v>
      </c>
      <c r="AB2113" s="12">
        <v>0</v>
      </c>
      <c r="AC2113" s="12"/>
      <c r="AD2113" s="12" t="str">
        <f>IFERROR(__xludf.DUMMYFUNCTION("""COMPUTED_VALUE"""),"Kyra Sedgwick")</f>
        <v>Kyra Sedgwick</v>
      </c>
      <c r="AE2113" s="12"/>
    </row>
    <row r="2114" customHeight="1" spans="1:31">
      <c r="A2114" s="11" t="s">
        <v>30</v>
      </c>
      <c r="B2114" s="11" t="s">
        <v>10461</v>
      </c>
      <c r="C2114" s="11">
        <v>75</v>
      </c>
      <c r="D2114" s="11">
        <v>104</v>
      </c>
      <c r="E2114" s="11">
        <v>87</v>
      </c>
      <c r="F2114" s="11">
        <v>691</v>
      </c>
      <c r="G2114" s="11">
        <v>1000</v>
      </c>
      <c r="H2114" s="11">
        <v>10696210</v>
      </c>
      <c r="I2114" s="11" t="s">
        <v>1401</v>
      </c>
      <c r="J2114" s="11" t="s">
        <v>33</v>
      </c>
      <c r="K2114" s="11" t="s">
        <v>904</v>
      </c>
      <c r="L2114" s="11" t="s">
        <v>752</v>
      </c>
      <c r="M2114" s="11" t="s">
        <v>10462</v>
      </c>
      <c r="N2114" s="11">
        <v>35018</v>
      </c>
      <c r="O2114" s="11">
        <v>3148</v>
      </c>
      <c r="P2114" s="11">
        <v>0</v>
      </c>
      <c r="Q2114" s="11" t="s">
        <v>10463</v>
      </c>
      <c r="R2114" s="14" t="s">
        <v>10464</v>
      </c>
      <c r="S2114" s="11">
        <v>180</v>
      </c>
      <c r="T2114" s="11" t="s">
        <v>39</v>
      </c>
      <c r="U2114" s="11" t="s">
        <v>40</v>
      </c>
      <c r="V2114" s="11" t="s">
        <v>41</v>
      </c>
      <c r="W2114" s="11">
        <v>23500000</v>
      </c>
      <c r="X2114" s="11">
        <v>1993</v>
      </c>
      <c r="Y2114" s="11">
        <v>826</v>
      </c>
      <c r="Z2114" s="11">
        <v>3.9</v>
      </c>
      <c r="AA2114" s="11">
        <v>1.85</v>
      </c>
      <c r="AB2114" s="11">
        <v>716</v>
      </c>
      <c r="AC2114" s="11"/>
      <c r="AD2114" s="11" t="str">
        <f>IFERROR(__xludf.DUMMYFUNCTION("""COMPUTED_VALUE"""),"David Gallagher")</f>
        <v>David Gallagher</v>
      </c>
      <c r="AE2114" s="11"/>
    </row>
    <row r="2115" customHeight="1" spans="1:31">
      <c r="A2115" s="12" t="s">
        <v>30</v>
      </c>
      <c r="B2115" s="12" t="s">
        <v>10465</v>
      </c>
      <c r="C2115" s="12">
        <v>18</v>
      </c>
      <c r="D2115" s="12">
        <v>104</v>
      </c>
      <c r="E2115" s="12">
        <v>53</v>
      </c>
      <c r="F2115" s="12">
        <v>576</v>
      </c>
      <c r="G2115" s="12">
        <v>2000</v>
      </c>
      <c r="H2115" s="12">
        <v>5974653</v>
      </c>
      <c r="I2115" s="12" t="s">
        <v>262</v>
      </c>
      <c r="J2115" s="12" t="s">
        <v>3008</v>
      </c>
      <c r="K2115" s="12" t="s">
        <v>1823</v>
      </c>
      <c r="L2115" s="12" t="s">
        <v>3331</v>
      </c>
      <c r="M2115" s="12" t="s">
        <v>10466</v>
      </c>
      <c r="N2115" s="12">
        <v>2253</v>
      </c>
      <c r="O2115" s="12">
        <v>4221</v>
      </c>
      <c r="P2115" s="12">
        <v>0</v>
      </c>
      <c r="Q2115" s="12" t="s">
        <v>10467</v>
      </c>
      <c r="R2115" s="15" t="s">
        <v>10468</v>
      </c>
      <c r="S2115" s="12">
        <v>111</v>
      </c>
      <c r="T2115" s="12" t="s">
        <v>39</v>
      </c>
      <c r="U2115" s="12" t="s">
        <v>40</v>
      </c>
      <c r="V2115" s="12" t="s">
        <v>41</v>
      </c>
      <c r="W2115" s="12">
        <v>22000000</v>
      </c>
      <c r="X2115" s="12">
        <v>2001</v>
      </c>
      <c r="Y2115" s="12">
        <v>595</v>
      </c>
      <c r="Z2115" s="12">
        <v>4.1</v>
      </c>
      <c r="AA2115" s="12">
        <v>1.85</v>
      </c>
      <c r="AB2115" s="12">
        <v>158</v>
      </c>
      <c r="AC2115" s="12"/>
      <c r="AD2115" s="12" t="str">
        <f>IFERROR(__xludf.DUMMYFUNCTION("""COMPUTED_VALUE"""),"Héctor Jiménez")</f>
        <v>Héctor Jiménez</v>
      </c>
      <c r="AE2115" s="12"/>
    </row>
    <row r="2116" customHeight="1" spans="1:31">
      <c r="A2116" s="11" t="s">
        <v>30</v>
      </c>
      <c r="B2116" s="11" t="s">
        <v>10469</v>
      </c>
      <c r="C2116" s="11">
        <v>22</v>
      </c>
      <c r="D2116" s="11">
        <v>143</v>
      </c>
      <c r="E2116" s="11">
        <v>688</v>
      </c>
      <c r="F2116" s="11">
        <v>42</v>
      </c>
      <c r="G2116" s="11">
        <v>638</v>
      </c>
      <c r="H2116" s="11">
        <v>5000000</v>
      </c>
      <c r="I2116" s="11" t="s">
        <v>10470</v>
      </c>
      <c r="J2116" s="11" t="s">
        <v>10471</v>
      </c>
      <c r="K2116" s="11" t="s">
        <v>10472</v>
      </c>
      <c r="L2116" s="11" t="s">
        <v>10473</v>
      </c>
      <c r="M2116" s="11" t="s">
        <v>10474</v>
      </c>
      <c r="N2116" s="11">
        <v>1547</v>
      </c>
      <c r="O2116" s="11">
        <v>788</v>
      </c>
      <c r="P2116" s="11">
        <v>2</v>
      </c>
      <c r="Q2116" s="11" t="s">
        <v>10475</v>
      </c>
      <c r="R2116" s="14" t="s">
        <v>10476</v>
      </c>
      <c r="S2116" s="11">
        <v>50</v>
      </c>
      <c r="T2116" s="11" t="s">
        <v>39</v>
      </c>
      <c r="U2116" s="11" t="s">
        <v>40</v>
      </c>
      <c r="V2116" s="11" t="s">
        <v>278</v>
      </c>
      <c r="W2116" s="11">
        <v>25000000</v>
      </c>
      <c r="X2116" s="11">
        <v>1970</v>
      </c>
      <c r="Y2116" s="11">
        <v>50</v>
      </c>
      <c r="Z2116" s="11">
        <v>6.2</v>
      </c>
      <c r="AA2116" s="11">
        <v>2.35</v>
      </c>
      <c r="AB2116" s="11">
        <v>104</v>
      </c>
      <c r="AC2116" s="11"/>
      <c r="AD2116" s="11" t="str">
        <f>IFERROR(__xludf.DUMMYFUNCTION("""COMPUTED_VALUE"""),"Wendi McLendon-Covey")</f>
        <v>Wendi McLendon-Covey</v>
      </c>
      <c r="AE2116" s="11"/>
    </row>
    <row r="2117" customHeight="1" spans="1:31">
      <c r="A2117" s="12" t="s">
        <v>30</v>
      </c>
      <c r="B2117" s="12" t="s">
        <v>7499</v>
      </c>
      <c r="C2117" s="12">
        <v>41</v>
      </c>
      <c r="D2117" s="12">
        <v>77</v>
      </c>
      <c r="E2117" s="12">
        <v>37</v>
      </c>
      <c r="F2117" s="12">
        <v>795</v>
      </c>
      <c r="G2117" s="12">
        <v>3000</v>
      </c>
      <c r="H2117" s="12">
        <v>9694105</v>
      </c>
      <c r="I2117" s="12" t="s">
        <v>2717</v>
      </c>
      <c r="J2117" s="12" t="s">
        <v>503</v>
      </c>
      <c r="K2117" s="12" t="s">
        <v>8881</v>
      </c>
      <c r="L2117" s="12" t="s">
        <v>724</v>
      </c>
      <c r="M2117" s="12" t="s">
        <v>10477</v>
      </c>
      <c r="N2117" s="12">
        <v>8176</v>
      </c>
      <c r="O2117" s="12">
        <v>5568</v>
      </c>
      <c r="P2117" s="12">
        <v>0</v>
      </c>
      <c r="Q2117" s="12" t="s">
        <v>10478</v>
      </c>
      <c r="R2117" s="15" t="s">
        <v>10479</v>
      </c>
      <c r="S2117" s="12">
        <v>77</v>
      </c>
      <c r="T2117" s="12" t="s">
        <v>39</v>
      </c>
      <c r="U2117" s="12" t="s">
        <v>40</v>
      </c>
      <c r="V2117" s="12" t="s">
        <v>96</v>
      </c>
      <c r="W2117" s="12">
        <v>22000000</v>
      </c>
      <c r="X2117" s="12">
        <v>1999</v>
      </c>
      <c r="Y2117" s="12">
        <v>968</v>
      </c>
      <c r="Z2117" s="12">
        <v>3.8</v>
      </c>
      <c r="AA2117" s="12">
        <v>2.35</v>
      </c>
      <c r="AB2117" s="12">
        <v>272</v>
      </c>
      <c r="AC2117" s="12"/>
      <c r="AD2117" s="12" t="str">
        <f>IFERROR(__xludf.DUMMYFUNCTION("""COMPUTED_VALUE"""),"Steve Bannos")</f>
        <v>Steve Bannos</v>
      </c>
      <c r="AE2117" s="12"/>
    </row>
    <row r="2118" customHeight="1" spans="1:31">
      <c r="A2118" s="11" t="s">
        <v>30</v>
      </c>
      <c r="B2118" s="11" t="s">
        <v>9044</v>
      </c>
      <c r="C2118" s="11">
        <v>148</v>
      </c>
      <c r="D2118" s="11">
        <v>96</v>
      </c>
      <c r="E2118" s="11">
        <v>11</v>
      </c>
      <c r="F2118" s="11">
        <v>150</v>
      </c>
      <c r="G2118" s="11">
        <v>805</v>
      </c>
      <c r="H2118" s="11">
        <v>16027866</v>
      </c>
      <c r="I2118" s="11" t="s">
        <v>334</v>
      </c>
      <c r="J2118" s="11" t="s">
        <v>4433</v>
      </c>
      <c r="K2118" s="11" t="s">
        <v>425</v>
      </c>
      <c r="L2118" s="11" t="s">
        <v>10414</v>
      </c>
      <c r="M2118" s="11" t="s">
        <v>10480</v>
      </c>
      <c r="N2118" s="11">
        <v>26767</v>
      </c>
      <c r="O2118" s="11">
        <v>1411</v>
      </c>
      <c r="P2118" s="11">
        <v>0</v>
      </c>
      <c r="Q2118" s="11" t="s">
        <v>10481</v>
      </c>
      <c r="R2118" s="14" t="s">
        <v>10482</v>
      </c>
      <c r="S2118" s="11">
        <v>121</v>
      </c>
      <c r="T2118" s="11" t="s">
        <v>39</v>
      </c>
      <c r="U2118" s="11" t="s">
        <v>1466</v>
      </c>
      <c r="V2118" s="11" t="s">
        <v>41</v>
      </c>
      <c r="W2118" s="11">
        <v>25000000</v>
      </c>
      <c r="X2118" s="11">
        <v>2015</v>
      </c>
      <c r="Y2118" s="11">
        <v>173</v>
      </c>
      <c r="Z2118" s="11">
        <v>5.1</v>
      </c>
      <c r="AA2118" s="11">
        <v>2.35</v>
      </c>
      <c r="AB2118" s="11">
        <v>0</v>
      </c>
      <c r="AC2118" s="11"/>
      <c r="AD2118" s="11" t="str">
        <f>IFERROR(__xludf.DUMMYFUNCTION("""COMPUTED_VALUE"""),"Portia Doubleday")</f>
        <v>Portia Doubleday</v>
      </c>
      <c r="AE2118" s="11"/>
    </row>
    <row r="2119" customHeight="1" spans="1:31">
      <c r="A2119" s="12" t="s">
        <v>30</v>
      </c>
      <c r="B2119" s="12" t="s">
        <v>10483</v>
      </c>
      <c r="C2119" s="12">
        <v>111</v>
      </c>
      <c r="D2119" s="12">
        <v>114</v>
      </c>
      <c r="E2119" s="12">
        <v>2</v>
      </c>
      <c r="F2119" s="12">
        <v>567</v>
      </c>
      <c r="G2119" s="12">
        <v>40000</v>
      </c>
      <c r="H2119" s="12">
        <v>4829497</v>
      </c>
      <c r="I2119" s="12" t="s">
        <v>214</v>
      </c>
      <c r="J2119" s="12" t="s">
        <v>44</v>
      </c>
      <c r="K2119" s="12" t="s">
        <v>46</v>
      </c>
      <c r="L2119" s="12" t="s">
        <v>374</v>
      </c>
      <c r="M2119" s="12" t="s">
        <v>10484</v>
      </c>
      <c r="N2119" s="12">
        <v>31433</v>
      </c>
      <c r="O2119" s="12">
        <v>42484</v>
      </c>
      <c r="P2119" s="12">
        <v>1</v>
      </c>
      <c r="Q2119" s="12" t="s">
        <v>10485</v>
      </c>
      <c r="R2119" s="15" t="s">
        <v>10486</v>
      </c>
      <c r="S2119" s="12">
        <v>260</v>
      </c>
      <c r="T2119" s="12" t="s">
        <v>39</v>
      </c>
      <c r="U2119" s="12" t="s">
        <v>58</v>
      </c>
      <c r="V2119" s="12" t="s">
        <v>586</v>
      </c>
      <c r="W2119" s="16"/>
      <c r="X2119" s="12">
        <v>2004</v>
      </c>
      <c r="Y2119" s="12">
        <v>1000</v>
      </c>
      <c r="Z2119" s="12">
        <v>6.4</v>
      </c>
      <c r="AA2119" s="12">
        <v>2.35</v>
      </c>
      <c r="AB2119" s="12">
        <v>0</v>
      </c>
      <c r="AC2119" s="12"/>
      <c r="AD2119" s="12" t="str">
        <f>IFERROR(__xludf.DUMMYFUNCTION("""COMPUTED_VALUE"""),"Cas Anvar")</f>
        <v>Cas Anvar</v>
      </c>
      <c r="AE2119" s="12"/>
    </row>
    <row r="2120" customHeight="1" spans="1:31">
      <c r="A2120" s="11" t="s">
        <v>30</v>
      </c>
      <c r="B2120" s="11" t="s">
        <v>1305</v>
      </c>
      <c r="C2120" s="11">
        <v>231</v>
      </c>
      <c r="D2120" s="11">
        <v>145</v>
      </c>
      <c r="E2120" s="11">
        <v>719</v>
      </c>
      <c r="F2120" s="11">
        <v>104</v>
      </c>
      <c r="G2120" s="11">
        <v>2000</v>
      </c>
      <c r="H2120" s="11">
        <v>4398392</v>
      </c>
      <c r="I2120" s="11" t="s">
        <v>7623</v>
      </c>
      <c r="J2120" s="11" t="s">
        <v>7646</v>
      </c>
      <c r="K2120" s="11" t="s">
        <v>10487</v>
      </c>
      <c r="L2120" s="11" t="s">
        <v>3109</v>
      </c>
      <c r="M2120" s="11" t="s">
        <v>10488</v>
      </c>
      <c r="N2120" s="11">
        <v>59507</v>
      </c>
      <c r="O2120" s="11">
        <v>2590</v>
      </c>
      <c r="P2120" s="11">
        <v>1</v>
      </c>
      <c r="Q2120" s="11" t="s">
        <v>10489</v>
      </c>
      <c r="R2120" s="14" t="s">
        <v>10490</v>
      </c>
      <c r="S2120" s="11">
        <v>232</v>
      </c>
      <c r="T2120" s="11" t="s">
        <v>10491</v>
      </c>
      <c r="U2120" s="11" t="s">
        <v>10492</v>
      </c>
      <c r="V2120" s="11" t="s">
        <v>586</v>
      </c>
      <c r="W2120" s="11">
        <v>21000000</v>
      </c>
      <c r="X2120" s="11">
        <v>2006</v>
      </c>
      <c r="Y2120" s="11">
        <v>380</v>
      </c>
      <c r="Z2120" s="11">
        <v>7.8</v>
      </c>
      <c r="AA2120" s="11">
        <v>2.35</v>
      </c>
      <c r="AB2120" s="11">
        <v>0</v>
      </c>
      <c r="AC2120" s="11"/>
      <c r="AD2120" s="11" t="str">
        <f>IFERROR(__xludf.DUMMYFUNCTION("""COMPUTED_VALUE"""),"Russell Peters")</f>
        <v>Russell Peters</v>
      </c>
      <c r="AE2120" s="11"/>
    </row>
    <row r="2121" customHeight="1" spans="1:31">
      <c r="A2121" s="12" t="s">
        <v>30</v>
      </c>
      <c r="B2121" s="12" t="s">
        <v>10493</v>
      </c>
      <c r="C2121" s="12">
        <v>115</v>
      </c>
      <c r="D2121" s="12">
        <v>116</v>
      </c>
      <c r="E2121" s="12">
        <v>13</v>
      </c>
      <c r="F2121" s="12">
        <v>140</v>
      </c>
      <c r="G2121" s="12">
        <v>203</v>
      </c>
      <c r="H2121" s="12">
        <v>1050445</v>
      </c>
      <c r="I2121" s="12" t="s">
        <v>10494</v>
      </c>
      <c r="J2121" s="12" t="s">
        <v>1797</v>
      </c>
      <c r="K2121" s="12" t="s">
        <v>6196</v>
      </c>
      <c r="L2121" s="12" t="s">
        <v>5802</v>
      </c>
      <c r="M2121" s="12" t="s">
        <v>10495</v>
      </c>
      <c r="N2121" s="12">
        <v>21394</v>
      </c>
      <c r="O2121" s="12">
        <v>773</v>
      </c>
      <c r="P2121" s="12">
        <v>0</v>
      </c>
      <c r="Q2121" s="12" t="s">
        <v>10496</v>
      </c>
      <c r="R2121" s="15" t="s">
        <v>10497</v>
      </c>
      <c r="S2121" s="12">
        <v>147</v>
      </c>
      <c r="T2121" s="12" t="s">
        <v>1465</v>
      </c>
      <c r="U2121" s="12" t="s">
        <v>1466</v>
      </c>
      <c r="V2121" s="12" t="s">
        <v>41</v>
      </c>
      <c r="W2121" s="12">
        <v>22000000</v>
      </c>
      <c r="X2121" s="12">
        <v>2005</v>
      </c>
      <c r="Y2121" s="12">
        <v>172</v>
      </c>
      <c r="Z2121" s="12">
        <v>7.8</v>
      </c>
      <c r="AA2121" s="12">
        <v>2.35</v>
      </c>
      <c r="AB2121" s="12">
        <v>11000</v>
      </c>
      <c r="AC2121" s="12"/>
      <c r="AD2121" s="12" t="str">
        <f>IFERROR(__xludf.DUMMYFUNCTION("""COMPUTED_VALUE"""),"Illeana Douglas")</f>
        <v>Illeana Douglas</v>
      </c>
      <c r="AE2121" s="12"/>
    </row>
    <row r="2122" customHeight="1" spans="1:31">
      <c r="A2122" s="11" t="s">
        <v>30</v>
      </c>
      <c r="B2122" s="11" t="s">
        <v>10498</v>
      </c>
      <c r="C2122" s="11">
        <v>176</v>
      </c>
      <c r="D2122" s="11">
        <v>100</v>
      </c>
      <c r="E2122" s="11">
        <v>21</v>
      </c>
      <c r="F2122" s="11">
        <v>552</v>
      </c>
      <c r="G2122" s="11">
        <v>14000</v>
      </c>
      <c r="H2122" s="11">
        <v>13746550</v>
      </c>
      <c r="I2122" s="11" t="s">
        <v>1423</v>
      </c>
      <c r="J2122" s="11" t="s">
        <v>655</v>
      </c>
      <c r="K2122" s="11" t="s">
        <v>1736</v>
      </c>
      <c r="L2122" s="11" t="s">
        <v>7415</v>
      </c>
      <c r="M2122" s="11" t="s">
        <v>10499</v>
      </c>
      <c r="N2122" s="11">
        <v>29322</v>
      </c>
      <c r="O2122" s="11">
        <v>15922</v>
      </c>
      <c r="P2122" s="11">
        <v>5</v>
      </c>
      <c r="Q2122" s="11" t="s">
        <v>10500</v>
      </c>
      <c r="R2122" s="14" t="s">
        <v>10501</v>
      </c>
      <c r="S2122" s="11">
        <v>104</v>
      </c>
      <c r="T2122" s="11" t="s">
        <v>39</v>
      </c>
      <c r="U2122" s="11" t="s">
        <v>40</v>
      </c>
      <c r="V2122" s="11" t="s">
        <v>586</v>
      </c>
      <c r="W2122" s="11">
        <v>2000000</v>
      </c>
      <c r="X2122" s="11">
        <v>2012</v>
      </c>
      <c r="Y2122" s="11">
        <v>618</v>
      </c>
      <c r="Z2122" s="11">
        <v>6.1</v>
      </c>
      <c r="AA2122" s="11">
        <v>2.35</v>
      </c>
      <c r="AB2122" s="11">
        <v>0</v>
      </c>
      <c r="AC2122" s="11"/>
      <c r="AD2122" s="11" t="str">
        <f>IFERROR(__xludf.DUMMYFUNCTION("""COMPUTED_VALUE"""),"Danny Nucci")</f>
        <v>Danny Nucci</v>
      </c>
      <c r="AE2122" s="11"/>
    </row>
    <row r="2123" customHeight="1" spans="1:31">
      <c r="A2123" s="12" t="s">
        <v>30</v>
      </c>
      <c r="B2123" s="12" t="s">
        <v>9090</v>
      </c>
      <c r="C2123" s="12">
        <v>98</v>
      </c>
      <c r="D2123" s="12">
        <v>104</v>
      </c>
      <c r="E2123" s="12">
        <v>144</v>
      </c>
      <c r="F2123" s="12">
        <v>290</v>
      </c>
      <c r="G2123" s="12">
        <v>939</v>
      </c>
      <c r="H2123" s="12">
        <v>20668843</v>
      </c>
      <c r="I2123" s="12" t="s">
        <v>5968</v>
      </c>
      <c r="J2123" s="12" t="s">
        <v>1147</v>
      </c>
      <c r="K2123" s="12" t="s">
        <v>2497</v>
      </c>
      <c r="L2123" s="12" t="s">
        <v>10502</v>
      </c>
      <c r="M2123" s="12" t="s">
        <v>10503</v>
      </c>
      <c r="N2123" s="12">
        <v>16831</v>
      </c>
      <c r="O2123" s="12">
        <v>2453</v>
      </c>
      <c r="P2123" s="12">
        <v>3</v>
      </c>
      <c r="Q2123" s="12" t="s">
        <v>10504</v>
      </c>
      <c r="R2123" s="15" t="s">
        <v>10505</v>
      </c>
      <c r="S2123" s="12">
        <v>54</v>
      </c>
      <c r="T2123" s="12" t="s">
        <v>39</v>
      </c>
      <c r="U2123" s="12" t="s">
        <v>40</v>
      </c>
      <c r="V2123" s="12" t="s">
        <v>41</v>
      </c>
      <c r="W2123" s="12">
        <v>22000000</v>
      </c>
      <c r="X2123" s="12">
        <v>2008</v>
      </c>
      <c r="Y2123" s="12">
        <v>875</v>
      </c>
      <c r="Z2123" s="12">
        <v>5.8</v>
      </c>
      <c r="AA2123" s="12">
        <v>2.35</v>
      </c>
      <c r="AB2123" s="12">
        <v>687</v>
      </c>
      <c r="AC2123" s="12"/>
      <c r="AD2123" s="12" t="str">
        <f>IFERROR(__xludf.DUMMYFUNCTION("""COMPUTED_VALUE"""),"Michael DeLorenzo")</f>
        <v>Michael DeLorenzo</v>
      </c>
      <c r="AE2123" s="12"/>
    </row>
    <row r="2124" customHeight="1" spans="1:31">
      <c r="A2124" s="11" t="s">
        <v>30</v>
      </c>
      <c r="B2124" s="11" t="s">
        <v>10506</v>
      </c>
      <c r="C2124" s="11">
        <v>149</v>
      </c>
      <c r="D2124" s="11">
        <v>92</v>
      </c>
      <c r="E2124" s="11">
        <v>17</v>
      </c>
      <c r="F2124" s="11">
        <v>231</v>
      </c>
      <c r="G2124" s="11">
        <v>14000</v>
      </c>
      <c r="H2124" s="11">
        <v>2963012</v>
      </c>
      <c r="I2124" s="11" t="s">
        <v>1924</v>
      </c>
      <c r="J2124" s="11" t="s">
        <v>439</v>
      </c>
      <c r="K2124" s="11" t="s">
        <v>10507</v>
      </c>
      <c r="L2124" s="11" t="s">
        <v>10508</v>
      </c>
      <c r="M2124" s="11" t="s">
        <v>10509</v>
      </c>
      <c r="N2124" s="11">
        <v>48873</v>
      </c>
      <c r="O2124" s="11">
        <v>14617</v>
      </c>
      <c r="P2124" s="11">
        <v>1</v>
      </c>
      <c r="Q2124" s="11" t="s">
        <v>10510</v>
      </c>
      <c r="R2124" s="14" t="s">
        <v>10511</v>
      </c>
      <c r="S2124" s="11">
        <v>105</v>
      </c>
      <c r="T2124" s="11" t="s">
        <v>39</v>
      </c>
      <c r="U2124" s="11" t="s">
        <v>58</v>
      </c>
      <c r="V2124" s="11" t="s">
        <v>586</v>
      </c>
      <c r="W2124" s="11">
        <v>22000000</v>
      </c>
      <c r="X2124" s="11">
        <v>2014</v>
      </c>
      <c r="Y2124" s="11">
        <v>257</v>
      </c>
      <c r="Z2124" s="11">
        <v>6.3</v>
      </c>
      <c r="AA2124" s="11">
        <v>2.35</v>
      </c>
      <c r="AB2124" s="11">
        <v>11000</v>
      </c>
      <c r="AC2124" s="11"/>
      <c r="AD2124" s="11" t="str">
        <f>IFERROR(__xludf.DUMMYFUNCTION("""COMPUTED_VALUE"""),"Julian Richings")</f>
        <v>Julian Richings</v>
      </c>
      <c r="AE2124" s="11"/>
    </row>
    <row r="2125" customHeight="1" spans="1:31">
      <c r="A2125" s="12" t="s">
        <v>30</v>
      </c>
      <c r="B2125" s="12" t="s">
        <v>4734</v>
      </c>
      <c r="C2125" s="12">
        <v>84</v>
      </c>
      <c r="D2125" s="12">
        <v>92</v>
      </c>
      <c r="E2125" s="12">
        <v>607</v>
      </c>
      <c r="F2125" s="12">
        <v>35</v>
      </c>
      <c r="G2125" s="12">
        <v>813</v>
      </c>
      <c r="H2125" s="16"/>
      <c r="I2125" s="12" t="s">
        <v>1827</v>
      </c>
      <c r="J2125" s="12" t="s">
        <v>2443</v>
      </c>
      <c r="K2125" s="12" t="s">
        <v>10512</v>
      </c>
      <c r="L2125" s="12" t="s">
        <v>10513</v>
      </c>
      <c r="M2125" s="12" t="s">
        <v>10514</v>
      </c>
      <c r="N2125" s="12">
        <v>9513</v>
      </c>
      <c r="O2125" s="12">
        <v>1011</v>
      </c>
      <c r="P2125" s="12">
        <v>0</v>
      </c>
      <c r="Q2125" s="12" t="s">
        <v>10515</v>
      </c>
      <c r="R2125" s="15" t="s">
        <v>10516</v>
      </c>
      <c r="S2125" s="12">
        <v>116</v>
      </c>
      <c r="T2125" s="12" t="s">
        <v>39</v>
      </c>
      <c r="U2125" s="12" t="s">
        <v>40</v>
      </c>
      <c r="V2125" s="12" t="s">
        <v>96</v>
      </c>
      <c r="W2125" s="12">
        <v>12000000</v>
      </c>
      <c r="X2125" s="12">
        <v>1977</v>
      </c>
      <c r="Y2125" s="12">
        <v>85</v>
      </c>
      <c r="Z2125" s="12">
        <v>7.7</v>
      </c>
      <c r="AA2125" s="12">
        <v>1.85</v>
      </c>
      <c r="AB2125" s="12">
        <v>0</v>
      </c>
      <c r="AC2125" s="12"/>
      <c r="AD2125" s="12" t="str">
        <f>IFERROR(__xludf.DUMMYFUNCTION("""COMPUTED_VALUE"""),"Judy Davis")</f>
        <v>Judy Davis</v>
      </c>
      <c r="AE2125" s="12"/>
    </row>
    <row r="2126" customHeight="1" spans="1:31">
      <c r="A2126" s="11" t="s">
        <v>30</v>
      </c>
      <c r="B2126" s="11" t="s">
        <v>10517</v>
      </c>
      <c r="C2126" s="11">
        <v>138</v>
      </c>
      <c r="D2126" s="11">
        <v>105</v>
      </c>
      <c r="E2126" s="11">
        <v>43</v>
      </c>
      <c r="F2126" s="11">
        <v>827</v>
      </c>
      <c r="G2126" s="11">
        <v>22000</v>
      </c>
      <c r="H2126" s="11">
        <v>1796024</v>
      </c>
      <c r="I2126" s="11" t="s">
        <v>4075</v>
      </c>
      <c r="J2126" s="11" t="s">
        <v>1746</v>
      </c>
      <c r="K2126" s="11" t="s">
        <v>1973</v>
      </c>
      <c r="L2126" s="11" t="s">
        <v>1546</v>
      </c>
      <c r="M2126" s="11" t="s">
        <v>10518</v>
      </c>
      <c r="N2126" s="11">
        <v>34985</v>
      </c>
      <c r="O2126" s="11">
        <v>37766</v>
      </c>
      <c r="P2126" s="11">
        <v>1</v>
      </c>
      <c r="Q2126" s="11" t="s">
        <v>10519</v>
      </c>
      <c r="R2126" s="14" t="s">
        <v>10520</v>
      </c>
      <c r="S2126" s="11">
        <v>135</v>
      </c>
      <c r="T2126" s="11" t="s">
        <v>39</v>
      </c>
      <c r="U2126" s="11" t="s">
        <v>40</v>
      </c>
      <c r="V2126" s="11" t="s">
        <v>586</v>
      </c>
      <c r="W2126" s="11">
        <v>22000000</v>
      </c>
      <c r="X2126" s="11">
        <v>2010</v>
      </c>
      <c r="Y2126" s="11">
        <v>14000</v>
      </c>
      <c r="Z2126" s="11">
        <v>5.4</v>
      </c>
      <c r="AA2126" s="11">
        <v>2.35</v>
      </c>
      <c r="AB2126" s="11">
        <v>0</v>
      </c>
      <c r="AC2126" s="11"/>
      <c r="AD2126" s="11" t="str">
        <f>IFERROR(__xludf.DUMMYFUNCTION("""COMPUTED_VALUE"""),"John Belushi")</f>
        <v>John Belushi</v>
      </c>
      <c r="AE2126" s="11"/>
    </row>
    <row r="2127" customHeight="1" spans="1:31">
      <c r="A2127" s="12" t="s">
        <v>30</v>
      </c>
      <c r="B2127" s="12" t="s">
        <v>8713</v>
      </c>
      <c r="C2127" s="12">
        <v>78</v>
      </c>
      <c r="D2127" s="12">
        <v>120</v>
      </c>
      <c r="E2127" s="12">
        <v>2</v>
      </c>
      <c r="F2127" s="12">
        <v>80</v>
      </c>
      <c r="G2127" s="12">
        <v>809</v>
      </c>
      <c r="H2127" s="12">
        <v>634277</v>
      </c>
      <c r="I2127" s="12" t="s">
        <v>10521</v>
      </c>
      <c r="J2127" s="12" t="s">
        <v>10522</v>
      </c>
      <c r="K2127" s="12" t="s">
        <v>10523</v>
      </c>
      <c r="L2127" s="12" t="s">
        <v>10524</v>
      </c>
      <c r="M2127" s="12" t="s">
        <v>10525</v>
      </c>
      <c r="N2127" s="12">
        <v>5166</v>
      </c>
      <c r="O2127" s="12">
        <v>1651</v>
      </c>
      <c r="P2127" s="12">
        <v>1</v>
      </c>
      <c r="Q2127" s="12" t="s">
        <v>10526</v>
      </c>
      <c r="R2127" s="15" t="s">
        <v>10527</v>
      </c>
      <c r="S2127" s="12">
        <v>27</v>
      </c>
      <c r="T2127" s="12" t="s">
        <v>1465</v>
      </c>
      <c r="U2127" s="12" t="s">
        <v>1466</v>
      </c>
      <c r="V2127" s="12" t="s">
        <v>41</v>
      </c>
      <c r="W2127" s="12">
        <v>16000000</v>
      </c>
      <c r="X2127" s="12">
        <v>2007</v>
      </c>
      <c r="Y2127" s="12">
        <v>521</v>
      </c>
      <c r="Z2127" s="12">
        <v>7.3</v>
      </c>
      <c r="AA2127" s="12">
        <v>2.35</v>
      </c>
      <c r="AB2127" s="12">
        <v>815</v>
      </c>
      <c r="AC2127" s="12"/>
      <c r="AD2127" s="12" t="str">
        <f>IFERROR(__xludf.DUMMYFUNCTION("""COMPUTED_VALUE"""),"Ken Howard")</f>
        <v>Ken Howard</v>
      </c>
      <c r="AE2127" s="12"/>
    </row>
    <row r="2128" customHeight="1" spans="1:31">
      <c r="A2128" s="11" t="s">
        <v>30</v>
      </c>
      <c r="B2128" s="11" t="s">
        <v>4894</v>
      </c>
      <c r="C2128" s="11">
        <v>288</v>
      </c>
      <c r="D2128" s="11">
        <v>116</v>
      </c>
      <c r="E2128" s="11">
        <v>108</v>
      </c>
      <c r="F2128" s="11">
        <v>120</v>
      </c>
      <c r="G2128" s="11">
        <v>23000</v>
      </c>
      <c r="H2128" s="11">
        <v>11326836</v>
      </c>
      <c r="I2128" s="11" t="s">
        <v>2126</v>
      </c>
      <c r="J2128" s="11" t="s">
        <v>62</v>
      </c>
      <c r="K2128" s="11" t="s">
        <v>1046</v>
      </c>
      <c r="L2128" s="11" t="s">
        <v>10528</v>
      </c>
      <c r="M2128" s="11" t="s">
        <v>10529</v>
      </c>
      <c r="N2128" s="11">
        <v>83171</v>
      </c>
      <c r="O2128" s="11">
        <v>24134</v>
      </c>
      <c r="P2128" s="11">
        <v>0</v>
      </c>
      <c r="Q2128" s="11" t="s">
        <v>10530</v>
      </c>
      <c r="R2128" s="14" t="s">
        <v>10531</v>
      </c>
      <c r="S2128" s="11">
        <v>231</v>
      </c>
      <c r="T2128" s="11" t="s">
        <v>39</v>
      </c>
      <c r="U2128" s="11" t="s">
        <v>40</v>
      </c>
      <c r="V2128" s="11" t="s">
        <v>586</v>
      </c>
      <c r="W2128" s="11">
        <v>22000000</v>
      </c>
      <c r="X2128" s="11">
        <v>2013</v>
      </c>
      <c r="Y2128" s="11">
        <v>820</v>
      </c>
      <c r="Z2128" s="11">
        <v>6.8</v>
      </c>
      <c r="AA2128" s="11">
        <v>2.35</v>
      </c>
      <c r="AB2128" s="11">
        <v>17000</v>
      </c>
      <c r="AC2128" s="11"/>
      <c r="AD2128" s="11" t="str">
        <f>IFERROR(__xludf.DUMMYFUNCTION("""COMPUTED_VALUE"""),"Holmes Osborne")</f>
        <v>Holmes Osborne</v>
      </c>
      <c r="AE2128" s="11"/>
    </row>
    <row r="2129" customHeight="1" spans="1:31">
      <c r="A2129" s="12" t="s">
        <v>30</v>
      </c>
      <c r="B2129" s="12" t="s">
        <v>1319</v>
      </c>
      <c r="C2129" s="12">
        <v>299</v>
      </c>
      <c r="D2129" s="12">
        <v>119</v>
      </c>
      <c r="E2129" s="12">
        <v>209</v>
      </c>
      <c r="F2129" s="12">
        <v>521</v>
      </c>
      <c r="G2129" s="12">
        <v>1000</v>
      </c>
      <c r="H2129" s="12">
        <v>49024969</v>
      </c>
      <c r="I2129" s="12" t="s">
        <v>2142</v>
      </c>
      <c r="J2129" s="12" t="s">
        <v>138</v>
      </c>
      <c r="K2129" s="12" t="s">
        <v>4236</v>
      </c>
      <c r="L2129" s="12" t="s">
        <v>2214</v>
      </c>
      <c r="M2129" s="12" t="s">
        <v>10532</v>
      </c>
      <c r="N2129" s="12">
        <v>133367</v>
      </c>
      <c r="O2129" s="12">
        <v>3284</v>
      </c>
      <c r="P2129" s="12">
        <v>0</v>
      </c>
      <c r="Q2129" s="12" t="s">
        <v>10533</v>
      </c>
      <c r="R2129" s="15" t="s">
        <v>10534</v>
      </c>
      <c r="S2129" s="12">
        <v>363</v>
      </c>
      <c r="T2129" s="12" t="s">
        <v>39</v>
      </c>
      <c r="U2129" s="12" t="s">
        <v>40</v>
      </c>
      <c r="V2129" s="12" t="s">
        <v>586</v>
      </c>
      <c r="W2129" s="12">
        <v>25000000</v>
      </c>
      <c r="X2129" s="12">
        <v>2007</v>
      </c>
      <c r="Y2129" s="12">
        <v>896</v>
      </c>
      <c r="Z2129" s="12">
        <v>7.3</v>
      </c>
      <c r="AA2129" s="12">
        <v>2.35</v>
      </c>
      <c r="AB2129" s="12">
        <v>0</v>
      </c>
      <c r="AC2129" s="12"/>
      <c r="AD2129" s="12" t="str">
        <f>IFERROR(__xludf.DUMMYFUNCTION("""COMPUTED_VALUE"""),"Kyle Schmid")</f>
        <v>Kyle Schmid</v>
      </c>
      <c r="AE2129" s="12"/>
    </row>
    <row r="2130" customHeight="1" spans="1:31">
      <c r="A2130" s="11" t="s">
        <v>30</v>
      </c>
      <c r="B2130" s="11" t="s">
        <v>2468</v>
      </c>
      <c r="C2130" s="11">
        <v>27</v>
      </c>
      <c r="D2130" s="11">
        <v>101</v>
      </c>
      <c r="E2130" s="11">
        <v>88</v>
      </c>
      <c r="F2130" s="11">
        <v>812</v>
      </c>
      <c r="G2130" s="11">
        <v>957</v>
      </c>
      <c r="H2130" s="11">
        <v>22294341</v>
      </c>
      <c r="I2130" s="11" t="s">
        <v>4220</v>
      </c>
      <c r="J2130" s="11" t="s">
        <v>6071</v>
      </c>
      <c r="K2130" s="11" t="s">
        <v>5572</v>
      </c>
      <c r="L2130" s="11" t="s">
        <v>635</v>
      </c>
      <c r="M2130" s="11" t="s">
        <v>10535</v>
      </c>
      <c r="N2130" s="11">
        <v>12278</v>
      </c>
      <c r="O2130" s="11">
        <v>4629</v>
      </c>
      <c r="P2130" s="11">
        <v>3</v>
      </c>
      <c r="Q2130" s="11" t="s">
        <v>10536</v>
      </c>
      <c r="R2130" s="14" t="s">
        <v>10537</v>
      </c>
      <c r="S2130" s="11">
        <v>71</v>
      </c>
      <c r="T2130" s="11" t="s">
        <v>39</v>
      </c>
      <c r="U2130" s="11" t="s">
        <v>40</v>
      </c>
      <c r="V2130" s="11" t="s">
        <v>41</v>
      </c>
      <c r="W2130" s="11">
        <v>21500000</v>
      </c>
      <c r="X2130" s="11">
        <v>1996</v>
      </c>
      <c r="Y2130" s="11">
        <v>821</v>
      </c>
      <c r="Z2130" s="11">
        <v>6.5</v>
      </c>
      <c r="AA2130" s="11">
        <v>1.85</v>
      </c>
      <c r="AB2130" s="11">
        <v>758</v>
      </c>
      <c r="AC2130" s="11"/>
      <c r="AD2130" s="11" t="str">
        <f>IFERROR(__xludf.DUMMYFUNCTION("""COMPUTED_VALUE"""),"Pat Hingle")</f>
        <v>Pat Hingle</v>
      </c>
      <c r="AE2130" s="11"/>
    </row>
    <row r="2131" customHeight="1" spans="1:31">
      <c r="A2131" s="12" t="s">
        <v>30</v>
      </c>
      <c r="B2131" s="12" t="s">
        <v>6132</v>
      </c>
      <c r="C2131" s="12">
        <v>155</v>
      </c>
      <c r="D2131" s="12">
        <v>117</v>
      </c>
      <c r="E2131" s="12">
        <v>89</v>
      </c>
      <c r="F2131" s="12">
        <v>442</v>
      </c>
      <c r="G2131" s="12">
        <v>12000</v>
      </c>
      <c r="H2131" s="12">
        <v>24362501</v>
      </c>
      <c r="I2131" s="12" t="s">
        <v>2126</v>
      </c>
      <c r="J2131" s="12" t="s">
        <v>301</v>
      </c>
      <c r="K2131" s="12" t="s">
        <v>8151</v>
      </c>
      <c r="L2131" s="12" t="s">
        <v>8062</v>
      </c>
      <c r="M2131" s="12" t="s">
        <v>10538</v>
      </c>
      <c r="N2131" s="12">
        <v>69980</v>
      </c>
      <c r="O2131" s="12">
        <v>13576</v>
      </c>
      <c r="P2131" s="12">
        <v>1</v>
      </c>
      <c r="Q2131" s="12" t="s">
        <v>10539</v>
      </c>
      <c r="R2131" s="15" t="s">
        <v>10540</v>
      </c>
      <c r="S2131" s="12">
        <v>591</v>
      </c>
      <c r="T2131" s="12" t="s">
        <v>39</v>
      </c>
      <c r="U2131" s="12" t="s">
        <v>40</v>
      </c>
      <c r="V2131" s="12" t="s">
        <v>586</v>
      </c>
      <c r="W2131" s="12">
        <v>21500000</v>
      </c>
      <c r="X2131" s="12">
        <v>1999</v>
      </c>
      <c r="Y2131" s="12">
        <v>541</v>
      </c>
      <c r="Z2131" s="12">
        <v>7.2</v>
      </c>
      <c r="AA2131" s="12">
        <v>2.35</v>
      </c>
      <c r="AB2131" s="12">
        <v>0</v>
      </c>
      <c r="AC2131" s="12"/>
      <c r="AD2131" s="12" t="str">
        <f>IFERROR(__xludf.DUMMYFUNCTION("""COMPUTED_VALUE"""),"Roberts Blossom")</f>
        <v>Roberts Blossom</v>
      </c>
      <c r="AE2131" s="12"/>
    </row>
    <row r="2132" customHeight="1" spans="1:31">
      <c r="A2132" s="11" t="s">
        <v>30</v>
      </c>
      <c r="B2132" s="11" t="s">
        <v>10541</v>
      </c>
      <c r="C2132" s="11">
        <v>82</v>
      </c>
      <c r="D2132" s="11">
        <v>106</v>
      </c>
      <c r="E2132" s="11">
        <v>195</v>
      </c>
      <c r="F2132" s="11">
        <v>0</v>
      </c>
      <c r="G2132" s="11">
        <v>20</v>
      </c>
      <c r="H2132" s="13"/>
      <c r="I2132" s="11" t="s">
        <v>10542</v>
      </c>
      <c r="J2132" s="11" t="s">
        <v>10543</v>
      </c>
      <c r="K2132" s="11" t="s">
        <v>10544</v>
      </c>
      <c r="L2132" s="11" t="s">
        <v>10545</v>
      </c>
      <c r="M2132" s="11" t="s">
        <v>10546</v>
      </c>
      <c r="N2132" s="11">
        <v>6920</v>
      </c>
      <c r="O2132" s="11">
        <v>30</v>
      </c>
      <c r="P2132" s="11">
        <v>4</v>
      </c>
      <c r="Q2132" s="11" t="s">
        <v>10547</v>
      </c>
      <c r="R2132" s="14" t="s">
        <v>10548</v>
      </c>
      <c r="S2132" s="11">
        <v>22</v>
      </c>
      <c r="T2132" s="11" t="s">
        <v>2779</v>
      </c>
      <c r="U2132" s="11" t="s">
        <v>3572</v>
      </c>
      <c r="V2132" s="11" t="s">
        <v>96</v>
      </c>
      <c r="W2132" s="11">
        <v>22000000</v>
      </c>
      <c r="X2132" s="11">
        <v>2013</v>
      </c>
      <c r="Y2132" s="11">
        <v>10</v>
      </c>
      <c r="Z2132" s="11">
        <v>6.7</v>
      </c>
      <c r="AA2132" s="11">
        <v>2.35</v>
      </c>
      <c r="AB2132" s="11">
        <v>0</v>
      </c>
      <c r="AC2132" s="11"/>
      <c r="AD2132" s="11" t="str">
        <f>IFERROR(__xludf.DUMMYFUNCTION("""COMPUTED_VALUE"""),"Mike Doyle")</f>
        <v>Mike Doyle</v>
      </c>
      <c r="AE2132" s="11"/>
    </row>
    <row r="2133" customHeight="1" spans="1:31">
      <c r="A2133" s="12" t="s">
        <v>30</v>
      </c>
      <c r="B2133" s="12" t="s">
        <v>4004</v>
      </c>
      <c r="C2133" s="12">
        <v>275</v>
      </c>
      <c r="D2133" s="12">
        <v>112</v>
      </c>
      <c r="E2133" s="12">
        <v>11000</v>
      </c>
      <c r="F2133" s="12">
        <v>159</v>
      </c>
      <c r="G2133" s="12">
        <v>385</v>
      </c>
      <c r="H2133" s="12">
        <v>16684352</v>
      </c>
      <c r="I2133" s="12" t="s">
        <v>1681</v>
      </c>
      <c r="J2133" s="12" t="s">
        <v>10549</v>
      </c>
      <c r="K2133" s="12" t="s">
        <v>7955</v>
      </c>
      <c r="L2133" s="12" t="s">
        <v>10550</v>
      </c>
      <c r="M2133" s="12" t="s">
        <v>10551</v>
      </c>
      <c r="N2133" s="12">
        <v>67893</v>
      </c>
      <c r="O2133" s="12">
        <v>1205</v>
      </c>
      <c r="P2133" s="12">
        <v>0</v>
      </c>
      <c r="Q2133" s="12" t="s">
        <v>10552</v>
      </c>
      <c r="R2133" s="15" t="s">
        <v>10553</v>
      </c>
      <c r="S2133" s="12">
        <v>163</v>
      </c>
      <c r="T2133" s="12" t="s">
        <v>39</v>
      </c>
      <c r="U2133" s="12" t="s">
        <v>40</v>
      </c>
      <c r="V2133" s="12" t="s">
        <v>586</v>
      </c>
      <c r="W2133" s="12">
        <v>17000000</v>
      </c>
      <c r="X2133" s="12">
        <v>2012</v>
      </c>
      <c r="Y2133" s="12">
        <v>223</v>
      </c>
      <c r="Z2133" s="12">
        <v>6.3</v>
      </c>
      <c r="AA2133" s="12">
        <v>1.85</v>
      </c>
      <c r="AB2133" s="12">
        <v>18000</v>
      </c>
      <c r="AC2133" s="12"/>
      <c r="AD2133" s="12" t="str">
        <f>IFERROR(__xludf.DUMMYFUNCTION("""COMPUTED_VALUE"""),"Nora Dunn")</f>
        <v>Nora Dunn</v>
      </c>
      <c r="AE2133" s="12"/>
    </row>
    <row r="2134" customHeight="1" spans="1:31">
      <c r="A2134" s="11" t="s">
        <v>30</v>
      </c>
      <c r="B2134" s="11" t="s">
        <v>3695</v>
      </c>
      <c r="C2134" s="11">
        <v>43</v>
      </c>
      <c r="D2134" s="11">
        <v>136</v>
      </c>
      <c r="E2134" s="11">
        <v>16000</v>
      </c>
      <c r="F2134" s="11">
        <v>216</v>
      </c>
      <c r="G2134" s="11">
        <v>16000</v>
      </c>
      <c r="H2134" s="11">
        <v>46700000</v>
      </c>
      <c r="I2134" s="11" t="s">
        <v>51</v>
      </c>
      <c r="J2134" s="11" t="s">
        <v>3695</v>
      </c>
      <c r="K2134" s="11" t="s">
        <v>10554</v>
      </c>
      <c r="L2134" s="11" t="s">
        <v>10555</v>
      </c>
      <c r="M2134" s="11" t="s">
        <v>10556</v>
      </c>
      <c r="N2134" s="11">
        <v>19832</v>
      </c>
      <c r="O2134" s="11">
        <v>16805</v>
      </c>
      <c r="P2134" s="11">
        <v>1</v>
      </c>
      <c r="Q2134" s="11" t="s">
        <v>10557</v>
      </c>
      <c r="R2134" s="14" t="s">
        <v>10558</v>
      </c>
      <c r="S2134" s="11">
        <v>98</v>
      </c>
      <c r="T2134" s="11" t="s">
        <v>39</v>
      </c>
      <c r="U2134" s="11" t="s">
        <v>40</v>
      </c>
      <c r="V2134" s="11" t="s">
        <v>96</v>
      </c>
      <c r="W2134" s="11">
        <v>21000000</v>
      </c>
      <c r="X2134" s="11">
        <v>1982</v>
      </c>
      <c r="Y2134" s="11">
        <v>281</v>
      </c>
      <c r="Z2134" s="11">
        <v>5.9</v>
      </c>
      <c r="AA2134" s="11">
        <v>2.35</v>
      </c>
      <c r="AB2134" s="11">
        <v>0</v>
      </c>
      <c r="AC2134" s="11"/>
      <c r="AD2134" s="11" t="str">
        <f>IFERROR(__xludf.DUMMYFUNCTION("""COMPUTED_VALUE"""),"Marc Anthony")</f>
        <v>Marc Anthony</v>
      </c>
      <c r="AE2134" s="11"/>
    </row>
    <row r="2135" customHeight="1" spans="1:31">
      <c r="A2135" s="12" t="s">
        <v>30</v>
      </c>
      <c r="B2135" s="12" t="s">
        <v>10559</v>
      </c>
      <c r="C2135" s="12">
        <v>163</v>
      </c>
      <c r="D2135" s="12">
        <v>81</v>
      </c>
      <c r="E2135" s="12">
        <v>406</v>
      </c>
      <c r="F2135" s="12">
        <v>406</v>
      </c>
      <c r="G2135" s="12">
        <v>893</v>
      </c>
      <c r="H2135" s="12">
        <v>52008288</v>
      </c>
      <c r="I2135" s="12" t="s">
        <v>10560</v>
      </c>
      <c r="J2135" s="12" t="s">
        <v>3491</v>
      </c>
      <c r="K2135" s="12" t="s">
        <v>724</v>
      </c>
      <c r="L2135" s="12" t="s">
        <v>10559</v>
      </c>
      <c r="M2135" s="12" t="s">
        <v>10561</v>
      </c>
      <c r="N2135" s="12">
        <v>162037</v>
      </c>
      <c r="O2135" s="12">
        <v>3003</v>
      </c>
      <c r="P2135" s="12">
        <v>1</v>
      </c>
      <c r="Q2135" s="12" t="s">
        <v>10562</v>
      </c>
      <c r="R2135" s="15" t="s">
        <v>10563</v>
      </c>
      <c r="S2135" s="12">
        <v>928</v>
      </c>
      <c r="T2135" s="12" t="s">
        <v>39</v>
      </c>
      <c r="U2135" s="12" t="s">
        <v>40</v>
      </c>
      <c r="V2135" s="12" t="s">
        <v>586</v>
      </c>
      <c r="W2135" s="12">
        <v>21000000</v>
      </c>
      <c r="X2135" s="12">
        <v>1999</v>
      </c>
      <c r="Y2135" s="12">
        <v>795</v>
      </c>
      <c r="Z2135" s="12">
        <v>7.8</v>
      </c>
      <c r="AA2135" s="12">
        <v>1.85</v>
      </c>
      <c r="AB2135" s="12">
        <v>0</v>
      </c>
      <c r="AC2135" s="12"/>
      <c r="AD2135" s="12" t="str">
        <f>IFERROR(__xludf.DUMMYFUNCTION("""COMPUTED_VALUE"""),"Sonja Sohn")</f>
        <v>Sonja Sohn</v>
      </c>
      <c r="AE2135" s="12"/>
    </row>
    <row r="2136" customHeight="1" spans="1:31">
      <c r="A2136" s="11" t="s">
        <v>30</v>
      </c>
      <c r="B2136" s="11" t="s">
        <v>1955</v>
      </c>
      <c r="C2136" s="11">
        <v>168</v>
      </c>
      <c r="D2136" s="11">
        <v>87</v>
      </c>
      <c r="E2136" s="11">
        <v>0</v>
      </c>
      <c r="F2136" s="11">
        <v>548</v>
      </c>
      <c r="G2136" s="11">
        <v>22000</v>
      </c>
      <c r="H2136" s="11">
        <v>8579684</v>
      </c>
      <c r="I2136" s="11" t="s">
        <v>1672</v>
      </c>
      <c r="J2136" s="11" t="s">
        <v>149</v>
      </c>
      <c r="K2136" s="11" t="s">
        <v>360</v>
      </c>
      <c r="L2136" s="11" t="s">
        <v>5794</v>
      </c>
      <c r="M2136" s="11" t="s">
        <v>10564</v>
      </c>
      <c r="N2136" s="11">
        <v>89547</v>
      </c>
      <c r="O2136" s="11">
        <v>24324</v>
      </c>
      <c r="P2136" s="11">
        <v>0</v>
      </c>
      <c r="Q2136" s="11" t="s">
        <v>10565</v>
      </c>
      <c r="R2136" s="14" t="s">
        <v>10566</v>
      </c>
      <c r="S2136" s="11">
        <v>199</v>
      </c>
      <c r="T2136" s="11" t="s">
        <v>39</v>
      </c>
      <c r="U2136" s="11" t="s">
        <v>40</v>
      </c>
      <c r="V2136" s="11" t="s">
        <v>586</v>
      </c>
      <c r="W2136" s="11">
        <v>9000000</v>
      </c>
      <c r="X2136" s="11">
        <v>2007</v>
      </c>
      <c r="Y2136" s="11">
        <v>557</v>
      </c>
      <c r="Z2136" s="11">
        <v>7.4</v>
      </c>
      <c r="AA2136" s="11">
        <v>1.85</v>
      </c>
      <c r="AB2136" s="11">
        <v>0</v>
      </c>
      <c r="AC2136" s="11"/>
      <c r="AD2136" s="11" t="str">
        <f>IFERROR(__xludf.DUMMYFUNCTION("""COMPUTED_VALUE"""),"Andrea Martin")</f>
        <v>Andrea Martin</v>
      </c>
      <c r="AE2136" s="11"/>
    </row>
    <row r="2137" customHeight="1" spans="1:31">
      <c r="A2137" s="12" t="s">
        <v>30</v>
      </c>
      <c r="B2137" s="12" t="s">
        <v>10567</v>
      </c>
      <c r="C2137" s="12">
        <v>60</v>
      </c>
      <c r="D2137" s="12">
        <v>96</v>
      </c>
      <c r="E2137" s="12">
        <v>8</v>
      </c>
      <c r="F2137" s="12">
        <v>199</v>
      </c>
      <c r="G2137" s="12">
        <v>533</v>
      </c>
      <c r="H2137" s="12">
        <v>42660000</v>
      </c>
      <c r="I2137" s="12" t="s">
        <v>165</v>
      </c>
      <c r="J2137" s="12" t="s">
        <v>9446</v>
      </c>
      <c r="K2137" s="12" t="s">
        <v>6831</v>
      </c>
      <c r="L2137" s="12" t="s">
        <v>10568</v>
      </c>
      <c r="M2137" s="12" t="s">
        <v>10569</v>
      </c>
      <c r="N2137" s="12">
        <v>25086</v>
      </c>
      <c r="O2137" s="12">
        <v>1254</v>
      </c>
      <c r="P2137" s="12">
        <v>0</v>
      </c>
      <c r="Q2137" s="12" t="s">
        <v>10570</v>
      </c>
      <c r="R2137" s="15" t="s">
        <v>10571</v>
      </c>
      <c r="S2137" s="12">
        <v>87</v>
      </c>
      <c r="T2137" s="12" t="s">
        <v>39</v>
      </c>
      <c r="U2137" s="12" t="s">
        <v>40</v>
      </c>
      <c r="V2137" s="12" t="s">
        <v>96</v>
      </c>
      <c r="W2137" s="12">
        <v>17000000</v>
      </c>
      <c r="X2137" s="12">
        <v>1993</v>
      </c>
      <c r="Y2137" s="12">
        <v>219</v>
      </c>
      <c r="Z2137" s="12">
        <v>4.8</v>
      </c>
      <c r="AA2137" s="12">
        <v>1.85</v>
      </c>
      <c r="AB2137" s="12">
        <v>1000</v>
      </c>
      <c r="AC2137" s="12"/>
      <c r="AD2137" s="12" t="str">
        <f>IFERROR(__xludf.DUMMYFUNCTION("""COMPUTED_VALUE"""),"George Kennedy")</f>
        <v>George Kennedy</v>
      </c>
      <c r="AE2137" s="12"/>
    </row>
    <row r="2138" customHeight="1" spans="1:31">
      <c r="A2138" s="11" t="s">
        <v>30</v>
      </c>
      <c r="B2138" s="11" t="s">
        <v>4100</v>
      </c>
      <c r="C2138" s="11">
        <v>85</v>
      </c>
      <c r="D2138" s="11">
        <v>106</v>
      </c>
      <c r="E2138" s="11">
        <v>48</v>
      </c>
      <c r="F2138" s="11">
        <v>39</v>
      </c>
      <c r="G2138" s="11">
        <v>18000</v>
      </c>
      <c r="H2138" s="11">
        <v>40219708</v>
      </c>
      <c r="I2138" s="11" t="s">
        <v>3794</v>
      </c>
      <c r="J2138" s="11" t="s">
        <v>588</v>
      </c>
      <c r="K2138" s="11" t="s">
        <v>1233</v>
      </c>
      <c r="L2138" s="11" t="s">
        <v>10572</v>
      </c>
      <c r="M2138" s="11" t="s">
        <v>10573</v>
      </c>
      <c r="N2138" s="11">
        <v>22649</v>
      </c>
      <c r="O2138" s="11">
        <v>18630</v>
      </c>
      <c r="P2138" s="11">
        <v>3</v>
      </c>
      <c r="Q2138" s="11" t="s">
        <v>10574</v>
      </c>
      <c r="R2138" s="14" t="s">
        <v>10575</v>
      </c>
      <c r="S2138" s="11">
        <v>131</v>
      </c>
      <c r="T2138" s="11" t="s">
        <v>39</v>
      </c>
      <c r="U2138" s="11" t="s">
        <v>40</v>
      </c>
      <c r="V2138" s="11" t="s">
        <v>41</v>
      </c>
      <c r="W2138" s="11">
        <v>21000000</v>
      </c>
      <c r="X2138" s="11">
        <v>2001</v>
      </c>
      <c r="Y2138" s="11">
        <v>558</v>
      </c>
      <c r="Z2138" s="11">
        <v>6.3</v>
      </c>
      <c r="AA2138" s="11">
        <v>1.85</v>
      </c>
      <c r="AB2138" s="11">
        <v>0</v>
      </c>
      <c r="AC2138" s="11"/>
      <c r="AD2138" s="11" t="str">
        <f>IFERROR(__xludf.DUMMYFUNCTION("""COMPUTED_VALUE"""),"Rollo Weeks")</f>
        <v>Rollo Weeks</v>
      </c>
      <c r="AE2138" s="11"/>
    </row>
    <row r="2139" customHeight="1" spans="1:31">
      <c r="A2139" s="12" t="s">
        <v>30</v>
      </c>
      <c r="B2139" s="12" t="s">
        <v>4167</v>
      </c>
      <c r="C2139" s="12">
        <v>539</v>
      </c>
      <c r="D2139" s="12">
        <v>122</v>
      </c>
      <c r="E2139" s="12">
        <v>737</v>
      </c>
      <c r="F2139" s="12">
        <v>14000</v>
      </c>
      <c r="G2139" s="12">
        <v>34000</v>
      </c>
      <c r="H2139" s="12">
        <v>132088910</v>
      </c>
      <c r="I2139" s="12" t="s">
        <v>1415</v>
      </c>
      <c r="J2139" s="12" t="s">
        <v>348</v>
      </c>
      <c r="K2139" s="12" t="s">
        <v>1746</v>
      </c>
      <c r="L2139" s="12" t="s">
        <v>655</v>
      </c>
      <c r="M2139" s="12" t="s">
        <v>10576</v>
      </c>
      <c r="N2139" s="12">
        <v>533607</v>
      </c>
      <c r="O2139" s="12">
        <v>72115</v>
      </c>
      <c r="P2139" s="12">
        <v>0</v>
      </c>
      <c r="Q2139" s="12" t="s">
        <v>10577</v>
      </c>
      <c r="R2139" s="15" t="s">
        <v>10578</v>
      </c>
      <c r="S2139" s="12">
        <v>692</v>
      </c>
      <c r="T2139" s="12" t="s">
        <v>39</v>
      </c>
      <c r="U2139" s="12" t="s">
        <v>40</v>
      </c>
      <c r="V2139" s="12" t="s">
        <v>586</v>
      </c>
      <c r="W2139" s="12">
        <v>21000000</v>
      </c>
      <c r="X2139" s="12">
        <v>2012</v>
      </c>
      <c r="Y2139" s="12">
        <v>22000</v>
      </c>
      <c r="Z2139" s="12">
        <v>7.8</v>
      </c>
      <c r="AA2139" s="12">
        <v>2.35</v>
      </c>
      <c r="AB2139" s="12">
        <v>117000</v>
      </c>
      <c r="AC2139" s="12"/>
      <c r="AD2139" s="12" t="str">
        <f>IFERROR(__xludf.DUMMYFUNCTION("""COMPUTED_VALUE"""),"Simon Callow")</f>
        <v>Simon Callow</v>
      </c>
      <c r="AE2139" s="12"/>
    </row>
    <row r="2140" customHeight="1" spans="1:31">
      <c r="A2140" s="11" t="s">
        <v>30</v>
      </c>
      <c r="B2140" s="11" t="s">
        <v>5463</v>
      </c>
      <c r="C2140" s="11">
        <v>84</v>
      </c>
      <c r="D2140" s="11">
        <v>123</v>
      </c>
      <c r="E2140" s="11">
        <v>98</v>
      </c>
      <c r="F2140" s="11">
        <v>579</v>
      </c>
      <c r="G2140" s="11">
        <v>2000</v>
      </c>
      <c r="H2140" s="11">
        <v>36581633</v>
      </c>
      <c r="I2140" s="11" t="s">
        <v>1726</v>
      </c>
      <c r="J2140" s="11" t="s">
        <v>2378</v>
      </c>
      <c r="K2140" s="11" t="s">
        <v>1320</v>
      </c>
      <c r="L2140" s="11" t="s">
        <v>2425</v>
      </c>
      <c r="M2140" s="11" t="s">
        <v>10579</v>
      </c>
      <c r="N2140" s="11">
        <v>52533</v>
      </c>
      <c r="O2140" s="11">
        <v>3994</v>
      </c>
      <c r="P2140" s="11">
        <v>1</v>
      </c>
      <c r="Q2140" s="11" t="s">
        <v>10580</v>
      </c>
      <c r="R2140" s="14" t="s">
        <v>10581</v>
      </c>
      <c r="S2140" s="11">
        <v>235</v>
      </c>
      <c r="T2140" s="11" t="s">
        <v>39</v>
      </c>
      <c r="U2140" s="11" t="s">
        <v>768</v>
      </c>
      <c r="V2140" s="11" t="s">
        <v>41</v>
      </c>
      <c r="W2140" s="11">
        <v>21000000</v>
      </c>
      <c r="X2140" s="11">
        <v>2007</v>
      </c>
      <c r="Y2140" s="11">
        <v>826</v>
      </c>
      <c r="Z2140" s="11">
        <v>7.5</v>
      </c>
      <c r="AA2140" s="11">
        <v>1.85</v>
      </c>
      <c r="AB2140" s="11">
        <v>10000</v>
      </c>
      <c r="AC2140" s="11"/>
      <c r="AD2140" s="11" t="str">
        <f>IFERROR(__xludf.DUMMYFUNCTION("""COMPUTED_VALUE"""),"Jean Louisa Kelly")</f>
        <v>Jean Louisa Kelly</v>
      </c>
      <c r="AE2140" s="11"/>
    </row>
    <row r="2141" customHeight="1" spans="1:31">
      <c r="A2141" s="12" t="s">
        <v>30</v>
      </c>
      <c r="B2141" s="12" t="s">
        <v>9517</v>
      </c>
      <c r="C2141" s="12">
        <v>75</v>
      </c>
      <c r="D2141" s="12">
        <v>133</v>
      </c>
      <c r="E2141" s="12">
        <v>0</v>
      </c>
      <c r="F2141" s="12">
        <v>637</v>
      </c>
      <c r="G2141" s="12">
        <v>1000</v>
      </c>
      <c r="H2141" s="12">
        <v>37721949</v>
      </c>
      <c r="I2141" s="12" t="s">
        <v>3410</v>
      </c>
      <c r="J2141" s="12" t="s">
        <v>5952</v>
      </c>
      <c r="K2141" s="12" t="s">
        <v>3077</v>
      </c>
      <c r="L2141" s="12" t="s">
        <v>4910</v>
      </c>
      <c r="M2141" s="12" t="s">
        <v>10582</v>
      </c>
      <c r="N2141" s="12">
        <v>6067</v>
      </c>
      <c r="O2141" s="12">
        <v>6035</v>
      </c>
      <c r="P2141" s="12">
        <v>0</v>
      </c>
      <c r="Q2141" s="12" t="s">
        <v>10583</v>
      </c>
      <c r="R2141" s="15" t="s">
        <v>10584</v>
      </c>
      <c r="S2141" s="12">
        <v>73</v>
      </c>
      <c r="T2141" s="12" t="s">
        <v>39</v>
      </c>
      <c r="U2141" s="12" t="s">
        <v>40</v>
      </c>
      <c r="V2141" s="12" t="s">
        <v>586</v>
      </c>
      <c r="W2141" s="16"/>
      <c r="X2141" s="12">
        <v>2010</v>
      </c>
      <c r="Y2141" s="12">
        <v>912</v>
      </c>
      <c r="Z2141" s="12">
        <v>6</v>
      </c>
      <c r="AA2141" s="12">
        <v>1.85</v>
      </c>
      <c r="AB2141" s="12">
        <v>0</v>
      </c>
      <c r="AC2141" s="12"/>
      <c r="AD2141" s="12" t="str">
        <f>IFERROR(__xludf.DUMMYFUNCTION("""COMPUTED_VALUE"""),"Doug Cockle")</f>
        <v>Doug Cockle</v>
      </c>
      <c r="AE2141" s="12"/>
    </row>
    <row r="2142" customHeight="1" spans="1:31">
      <c r="A2142" s="11" t="s">
        <v>30</v>
      </c>
      <c r="B2142" s="11" t="s">
        <v>1115</v>
      </c>
      <c r="C2142" s="11">
        <v>171</v>
      </c>
      <c r="D2142" s="11">
        <v>92</v>
      </c>
      <c r="E2142" s="11">
        <v>255</v>
      </c>
      <c r="F2142" s="11">
        <v>447</v>
      </c>
      <c r="G2142" s="11">
        <v>26000</v>
      </c>
      <c r="H2142" s="11">
        <v>25296447</v>
      </c>
      <c r="I2142" s="11" t="s">
        <v>334</v>
      </c>
      <c r="J2142" s="11" t="s">
        <v>335</v>
      </c>
      <c r="K2142" s="11" t="s">
        <v>10585</v>
      </c>
      <c r="L2142" s="11" t="s">
        <v>10586</v>
      </c>
      <c r="M2142" s="11" t="s">
        <v>10587</v>
      </c>
      <c r="N2142" s="11">
        <v>237248</v>
      </c>
      <c r="O2142" s="11">
        <v>27572</v>
      </c>
      <c r="P2142" s="11">
        <v>0</v>
      </c>
      <c r="Q2142" s="11" t="s">
        <v>10588</v>
      </c>
      <c r="R2142" s="14" t="s">
        <v>10589</v>
      </c>
      <c r="S2142" s="11">
        <v>460</v>
      </c>
      <c r="T2142" s="11" t="s">
        <v>39</v>
      </c>
      <c r="U2142" s="11" t="s">
        <v>1466</v>
      </c>
      <c r="V2142" s="11" t="s">
        <v>41</v>
      </c>
      <c r="W2142" s="11">
        <v>21000000</v>
      </c>
      <c r="X2142" s="11">
        <v>2002</v>
      </c>
      <c r="Y2142" s="11">
        <v>1000</v>
      </c>
      <c r="Z2142" s="11">
        <v>6.8</v>
      </c>
      <c r="AA2142" s="11">
        <v>2.35</v>
      </c>
      <c r="AB2142" s="11">
        <v>0</v>
      </c>
      <c r="AC2142" s="11"/>
      <c r="AD2142" s="11" t="str">
        <f>IFERROR(__xludf.DUMMYFUNCTION("""COMPUTED_VALUE"""),"Hope Davis")</f>
        <v>Hope Davis</v>
      </c>
      <c r="AE2142" s="11"/>
    </row>
    <row r="2143" customHeight="1" spans="1:31">
      <c r="A2143" s="12" t="s">
        <v>30</v>
      </c>
      <c r="B2143" s="12" t="s">
        <v>9032</v>
      </c>
      <c r="C2143" s="12">
        <v>140</v>
      </c>
      <c r="D2143" s="12">
        <v>110</v>
      </c>
      <c r="E2143" s="12">
        <v>65</v>
      </c>
      <c r="F2143" s="12">
        <v>149</v>
      </c>
      <c r="G2143" s="12">
        <v>3000</v>
      </c>
      <c r="H2143" s="12">
        <v>24848292</v>
      </c>
      <c r="I2143" s="12" t="s">
        <v>3266</v>
      </c>
      <c r="J2143" s="12" t="s">
        <v>656</v>
      </c>
      <c r="K2143" s="12" t="s">
        <v>8832</v>
      </c>
      <c r="L2143" s="12" t="s">
        <v>10590</v>
      </c>
      <c r="M2143" s="12" t="s">
        <v>10591</v>
      </c>
      <c r="N2143" s="12">
        <v>80556</v>
      </c>
      <c r="O2143" s="12">
        <v>4089</v>
      </c>
      <c r="P2143" s="12">
        <v>1</v>
      </c>
      <c r="Q2143" s="12" t="s">
        <v>10592</v>
      </c>
      <c r="R2143" s="15" t="s">
        <v>10593</v>
      </c>
      <c r="S2143" s="12">
        <v>184</v>
      </c>
      <c r="T2143" s="12" t="s">
        <v>39</v>
      </c>
      <c r="U2143" s="12" t="s">
        <v>40</v>
      </c>
      <c r="V2143" s="12" t="s">
        <v>41</v>
      </c>
      <c r="W2143" s="12">
        <v>20000000</v>
      </c>
      <c r="X2143" s="12">
        <v>2008</v>
      </c>
      <c r="Y2143" s="12">
        <v>427</v>
      </c>
      <c r="Z2143" s="12">
        <v>6.6</v>
      </c>
      <c r="AA2143" s="12">
        <v>2.35</v>
      </c>
      <c r="AB2143" s="12">
        <v>0</v>
      </c>
      <c r="AC2143" s="12"/>
      <c r="AD2143" s="12" t="str">
        <f>IFERROR(__xludf.DUMMYFUNCTION("""COMPUTED_VALUE"""),"Peter Jason")</f>
        <v>Peter Jason</v>
      </c>
      <c r="AE2143" s="12"/>
    </row>
    <row r="2144" customHeight="1" spans="1:31">
      <c r="A2144" s="11" t="s">
        <v>748</v>
      </c>
      <c r="B2144" s="11" t="s">
        <v>10594</v>
      </c>
      <c r="C2144" s="11">
        <v>85</v>
      </c>
      <c r="D2144" s="11">
        <v>104</v>
      </c>
      <c r="E2144" s="11">
        <v>52</v>
      </c>
      <c r="F2144" s="11">
        <v>484</v>
      </c>
      <c r="G2144" s="11">
        <v>711</v>
      </c>
      <c r="H2144" s="11">
        <v>17757087</v>
      </c>
      <c r="I2144" s="11" t="s">
        <v>4333</v>
      </c>
      <c r="J2144" s="11" t="s">
        <v>10595</v>
      </c>
      <c r="K2144" s="11" t="s">
        <v>7844</v>
      </c>
      <c r="L2144" s="11" t="s">
        <v>10596</v>
      </c>
      <c r="M2144" s="11" t="s">
        <v>10597</v>
      </c>
      <c r="N2144" s="11">
        <v>13065</v>
      </c>
      <c r="O2144" s="11">
        <v>3162</v>
      </c>
      <c r="P2144" s="11">
        <v>1</v>
      </c>
      <c r="Q2144" s="11" t="s">
        <v>10598</v>
      </c>
      <c r="R2144" s="14" t="s">
        <v>10599</v>
      </c>
      <c r="S2144" s="11">
        <v>253</v>
      </c>
      <c r="T2144" s="11" t="s">
        <v>39</v>
      </c>
      <c r="U2144" s="11" t="s">
        <v>40</v>
      </c>
      <c r="V2144" s="11" t="s">
        <v>586</v>
      </c>
      <c r="W2144" s="11">
        <v>21000000</v>
      </c>
      <c r="X2144" s="11">
        <v>1999</v>
      </c>
      <c r="Y2144" s="11">
        <v>490</v>
      </c>
      <c r="Z2144" s="11">
        <v>4.6</v>
      </c>
      <c r="AA2144" s="11">
        <v>1.85</v>
      </c>
      <c r="AB2144" s="11">
        <v>897</v>
      </c>
      <c r="AC2144" s="11"/>
      <c r="AD2144" s="11" t="str">
        <f>IFERROR(__xludf.DUMMYFUNCTION("""COMPUTED_VALUE"""),"Brian McNamara")</f>
        <v>Brian McNamara</v>
      </c>
      <c r="AE2144" s="11"/>
    </row>
    <row r="2145" customHeight="1" spans="1:31">
      <c r="A2145" s="12" t="s">
        <v>30</v>
      </c>
      <c r="B2145" s="16"/>
      <c r="C2145" s="12">
        <v>5</v>
      </c>
      <c r="D2145" s="12">
        <v>60</v>
      </c>
      <c r="E2145" s="16"/>
      <c r="F2145" s="16"/>
      <c r="G2145" s="12">
        <v>98</v>
      </c>
      <c r="H2145" s="16"/>
      <c r="I2145" s="12" t="s">
        <v>10600</v>
      </c>
      <c r="J2145" s="12" t="s">
        <v>10601</v>
      </c>
      <c r="K2145" s="16"/>
      <c r="L2145" s="16"/>
      <c r="M2145" s="12" t="s">
        <v>10602</v>
      </c>
      <c r="N2145" s="12">
        <v>4398</v>
      </c>
      <c r="O2145" s="12">
        <v>98</v>
      </c>
      <c r="P2145" s="12">
        <v>0</v>
      </c>
      <c r="Q2145" s="12" t="s">
        <v>10603</v>
      </c>
      <c r="R2145" s="15" t="s">
        <v>10604</v>
      </c>
      <c r="S2145" s="12">
        <v>33</v>
      </c>
      <c r="T2145" s="12" t="s">
        <v>39</v>
      </c>
      <c r="U2145" s="12" t="s">
        <v>40</v>
      </c>
      <c r="V2145" s="16"/>
      <c r="W2145" s="12">
        <v>3000000</v>
      </c>
      <c r="X2145" s="16"/>
      <c r="Y2145" s="16"/>
      <c r="Z2145" s="12">
        <v>2.9</v>
      </c>
      <c r="AA2145" s="16"/>
      <c r="AB2145" s="12">
        <v>141</v>
      </c>
      <c r="AC2145" s="12"/>
      <c r="AD2145" s="12" t="str">
        <f>IFERROR(__xludf.DUMMYFUNCTION("""COMPUTED_VALUE"""),"Chita Rivera")</f>
        <v>Chita Rivera</v>
      </c>
      <c r="AE2145" s="12"/>
    </row>
    <row r="2146" customHeight="1" spans="1:31">
      <c r="A2146" s="11" t="s">
        <v>30</v>
      </c>
      <c r="B2146" s="11" t="s">
        <v>50</v>
      </c>
      <c r="C2146" s="11">
        <v>217</v>
      </c>
      <c r="D2146" s="11">
        <v>98</v>
      </c>
      <c r="E2146" s="11">
        <v>0</v>
      </c>
      <c r="F2146" s="11">
        <v>374</v>
      </c>
      <c r="G2146" s="11">
        <v>925</v>
      </c>
      <c r="H2146" s="11">
        <v>9430988</v>
      </c>
      <c r="I2146" s="11" t="s">
        <v>1415</v>
      </c>
      <c r="J2146" s="11" t="s">
        <v>1802</v>
      </c>
      <c r="K2146" s="11" t="s">
        <v>7588</v>
      </c>
      <c r="L2146" s="11" t="s">
        <v>7514</v>
      </c>
      <c r="M2146" s="11" t="s">
        <v>10605</v>
      </c>
      <c r="N2146" s="11">
        <v>45992</v>
      </c>
      <c r="O2146" s="11">
        <v>1997</v>
      </c>
      <c r="P2146" s="11">
        <v>2</v>
      </c>
      <c r="Q2146" s="11" t="s">
        <v>10606</v>
      </c>
      <c r="R2146" s="14" t="s">
        <v>10607</v>
      </c>
      <c r="S2146" s="11">
        <v>115</v>
      </c>
      <c r="T2146" s="11" t="s">
        <v>39</v>
      </c>
      <c r="U2146" s="11" t="s">
        <v>40</v>
      </c>
      <c r="V2146" s="11" t="s">
        <v>586</v>
      </c>
      <c r="W2146" s="11">
        <v>17000000</v>
      </c>
      <c r="X2146" s="11">
        <v>2009</v>
      </c>
      <c r="Y2146" s="11">
        <v>472</v>
      </c>
      <c r="Z2146" s="11">
        <v>7.1</v>
      </c>
      <c r="AA2146" s="11">
        <v>2.35</v>
      </c>
      <c r="AB2146" s="11">
        <v>7000</v>
      </c>
      <c r="AC2146" s="11"/>
      <c r="AD2146" s="11" t="str">
        <f>IFERROR(__xludf.DUMMYFUNCTION("""COMPUTED_VALUE"""),"Jayne Eastwood")</f>
        <v>Jayne Eastwood</v>
      </c>
      <c r="AE2146" s="11"/>
    </row>
    <row r="2147" customHeight="1" spans="1:31">
      <c r="A2147" s="12" t="s">
        <v>30</v>
      </c>
      <c r="B2147" s="12" t="s">
        <v>10608</v>
      </c>
      <c r="C2147" s="12">
        <v>131</v>
      </c>
      <c r="D2147" s="12">
        <v>120</v>
      </c>
      <c r="E2147" s="12">
        <v>0</v>
      </c>
      <c r="F2147" s="12">
        <v>886</v>
      </c>
      <c r="G2147" s="12">
        <v>1000</v>
      </c>
      <c r="H2147" s="12">
        <v>16284360</v>
      </c>
      <c r="I2147" s="12" t="s">
        <v>2528</v>
      </c>
      <c r="J2147" s="12" t="s">
        <v>4685</v>
      </c>
      <c r="K2147" s="12" t="s">
        <v>3659</v>
      </c>
      <c r="L2147" s="12" t="s">
        <v>1385</v>
      </c>
      <c r="M2147" s="12" t="s">
        <v>10609</v>
      </c>
      <c r="N2147" s="12">
        <v>15079</v>
      </c>
      <c r="O2147" s="12">
        <v>6212</v>
      </c>
      <c r="P2147" s="12">
        <v>1</v>
      </c>
      <c r="Q2147" s="12" t="s">
        <v>10610</v>
      </c>
      <c r="R2147" s="15" t="s">
        <v>10611</v>
      </c>
      <c r="S2147" s="12">
        <v>79</v>
      </c>
      <c r="T2147" s="12" t="s">
        <v>39</v>
      </c>
      <c r="U2147" s="12" t="s">
        <v>40</v>
      </c>
      <c r="V2147" s="12" t="s">
        <v>41</v>
      </c>
      <c r="W2147" s="12">
        <v>21000000</v>
      </c>
      <c r="X2147" s="12">
        <v>2008</v>
      </c>
      <c r="Y2147" s="12">
        <v>901</v>
      </c>
      <c r="Z2147" s="12">
        <v>6.1</v>
      </c>
      <c r="AA2147" s="12">
        <v>2.35</v>
      </c>
      <c r="AB2147" s="12">
        <v>1000</v>
      </c>
      <c r="AC2147" s="12"/>
      <c r="AD2147" s="12" t="str">
        <f>IFERROR(__xludf.DUMMYFUNCTION("""COMPUTED_VALUE"""),"Joey Lauren Adams")</f>
        <v>Joey Lauren Adams</v>
      </c>
      <c r="AE2147" s="12"/>
    </row>
    <row r="2148" customHeight="1" spans="1:31">
      <c r="A2148" s="11" t="s">
        <v>30</v>
      </c>
      <c r="B2148" s="11" t="s">
        <v>1874</v>
      </c>
      <c r="C2148" s="11">
        <v>111</v>
      </c>
      <c r="D2148" s="11">
        <v>112</v>
      </c>
      <c r="E2148" s="11">
        <v>52</v>
      </c>
      <c r="F2148" s="11">
        <v>347</v>
      </c>
      <c r="G2148" s="11">
        <v>15000</v>
      </c>
      <c r="H2148" s="11">
        <v>6830957</v>
      </c>
      <c r="I2148" s="11" t="s">
        <v>214</v>
      </c>
      <c r="J2148" s="11" t="s">
        <v>373</v>
      </c>
      <c r="K2148" s="11" t="s">
        <v>2061</v>
      </c>
      <c r="L2148" s="11" t="s">
        <v>8980</v>
      </c>
      <c r="M2148" s="11" t="s">
        <v>10612</v>
      </c>
      <c r="N2148" s="11">
        <v>11983</v>
      </c>
      <c r="O2148" s="11">
        <v>16692</v>
      </c>
      <c r="P2148" s="11">
        <v>3</v>
      </c>
      <c r="Q2148" s="11" t="s">
        <v>10613</v>
      </c>
      <c r="R2148" s="14" t="s">
        <v>10614</v>
      </c>
      <c r="S2148" s="11">
        <v>147</v>
      </c>
      <c r="T2148" s="11" t="s">
        <v>39</v>
      </c>
      <c r="U2148" s="11" t="s">
        <v>40</v>
      </c>
      <c r="V2148" s="11" t="s">
        <v>41</v>
      </c>
      <c r="W2148" s="11">
        <v>21000000</v>
      </c>
      <c r="X2148" s="11">
        <v>2002</v>
      </c>
      <c r="Y2148" s="11">
        <v>1000</v>
      </c>
      <c r="Z2148" s="11">
        <v>6.7</v>
      </c>
      <c r="AA2148" s="11">
        <v>2.35</v>
      </c>
      <c r="AB2148" s="11">
        <v>365</v>
      </c>
      <c r="AC2148" s="11"/>
      <c r="AD2148" s="11" t="str">
        <f>IFERROR(__xludf.DUMMYFUNCTION("""COMPUTED_VALUE"""),"Lucas Bryant")</f>
        <v>Lucas Bryant</v>
      </c>
      <c r="AE2148" s="11"/>
    </row>
    <row r="2149" customHeight="1" spans="1:31">
      <c r="A2149" s="12" t="s">
        <v>30</v>
      </c>
      <c r="B2149" s="12" t="s">
        <v>10615</v>
      </c>
      <c r="C2149" s="12">
        <v>466</v>
      </c>
      <c r="D2149" s="12">
        <v>127</v>
      </c>
      <c r="E2149" s="12">
        <v>140</v>
      </c>
      <c r="F2149" s="12">
        <v>10000</v>
      </c>
      <c r="G2149" s="12">
        <v>19000</v>
      </c>
      <c r="H2149" s="12">
        <v>24104113</v>
      </c>
      <c r="I2149" s="12" t="s">
        <v>1924</v>
      </c>
      <c r="J2149" s="12" t="s">
        <v>353</v>
      </c>
      <c r="K2149" s="12" t="s">
        <v>439</v>
      </c>
      <c r="L2149" s="12" t="s">
        <v>440</v>
      </c>
      <c r="M2149" s="12" t="s">
        <v>10616</v>
      </c>
      <c r="N2149" s="12">
        <v>149066</v>
      </c>
      <c r="O2149" s="12">
        <v>46241</v>
      </c>
      <c r="P2149" s="12">
        <v>1</v>
      </c>
      <c r="Q2149" s="12" t="s">
        <v>10617</v>
      </c>
      <c r="R2149" s="15" t="s">
        <v>10618</v>
      </c>
      <c r="S2149" s="12">
        <v>517</v>
      </c>
      <c r="T2149" s="12" t="s">
        <v>39</v>
      </c>
      <c r="U2149" s="12" t="s">
        <v>1466</v>
      </c>
      <c r="V2149" s="12" t="s">
        <v>586</v>
      </c>
      <c r="W2149" s="12">
        <v>20000000</v>
      </c>
      <c r="X2149" s="12">
        <v>2011</v>
      </c>
      <c r="Y2149" s="12">
        <v>14000</v>
      </c>
      <c r="Z2149" s="12">
        <v>7.1</v>
      </c>
      <c r="AA2149" s="12">
        <v>2.35</v>
      </c>
      <c r="AB2149" s="12">
        <v>24000</v>
      </c>
      <c r="AC2149" s="12"/>
      <c r="AD2149" s="12" t="str">
        <f>IFERROR(__xludf.DUMMYFUNCTION("""COMPUTED_VALUE"""),"Dillon Casey")</f>
        <v>Dillon Casey</v>
      </c>
      <c r="AE2149" s="12"/>
    </row>
    <row r="2150" customHeight="1" spans="1:31">
      <c r="A2150" s="11" t="s">
        <v>30</v>
      </c>
      <c r="B2150" s="11" t="s">
        <v>10619</v>
      </c>
      <c r="C2150" s="11">
        <v>16</v>
      </c>
      <c r="D2150" s="11">
        <v>102</v>
      </c>
      <c r="E2150" s="11">
        <v>18</v>
      </c>
      <c r="F2150" s="11">
        <v>186</v>
      </c>
      <c r="G2150" s="11">
        <v>670</v>
      </c>
      <c r="H2150" s="11">
        <v>15593</v>
      </c>
      <c r="I2150" s="11" t="s">
        <v>1415</v>
      </c>
      <c r="J2150" s="11" t="s">
        <v>10620</v>
      </c>
      <c r="K2150" s="11" t="s">
        <v>3943</v>
      </c>
      <c r="L2150" s="11" t="s">
        <v>10621</v>
      </c>
      <c r="M2150" s="11" t="s">
        <v>10622</v>
      </c>
      <c r="N2150" s="11">
        <v>2295</v>
      </c>
      <c r="O2150" s="11">
        <v>1562</v>
      </c>
      <c r="P2150" s="11">
        <v>1</v>
      </c>
      <c r="Q2150" s="11" t="s">
        <v>10623</v>
      </c>
      <c r="R2150" s="14" t="s">
        <v>10624</v>
      </c>
      <c r="S2150" s="11">
        <v>40</v>
      </c>
      <c r="T2150" s="11" t="s">
        <v>39</v>
      </c>
      <c r="U2150" s="11" t="s">
        <v>40</v>
      </c>
      <c r="V2150" s="11" t="s">
        <v>41</v>
      </c>
      <c r="W2150" s="11">
        <v>21000000</v>
      </c>
      <c r="X2150" s="11">
        <v>1999</v>
      </c>
      <c r="Y2150" s="11">
        <v>419</v>
      </c>
      <c r="Z2150" s="11">
        <v>5.8</v>
      </c>
      <c r="AA2150" s="11">
        <v>1.85</v>
      </c>
      <c r="AB2150" s="11">
        <v>284</v>
      </c>
      <c r="AC2150" s="11"/>
      <c r="AD2150" s="11" t="str">
        <f>IFERROR(__xludf.DUMMYFUNCTION("""COMPUTED_VALUE"""),"Carel Struycken")</f>
        <v>Carel Struycken</v>
      </c>
      <c r="AE2150" s="11"/>
    </row>
    <row r="2151" customHeight="1" spans="1:31">
      <c r="A2151" s="12" t="s">
        <v>30</v>
      </c>
      <c r="B2151" s="12" t="s">
        <v>9185</v>
      </c>
      <c r="C2151" s="12">
        <v>276</v>
      </c>
      <c r="D2151" s="12">
        <v>91</v>
      </c>
      <c r="E2151" s="12">
        <v>0</v>
      </c>
      <c r="F2151" s="12">
        <v>220</v>
      </c>
      <c r="G2151" s="12">
        <v>34000</v>
      </c>
      <c r="H2151" s="12">
        <v>958319</v>
      </c>
      <c r="I2151" s="12" t="s">
        <v>3410</v>
      </c>
      <c r="J2151" s="12" t="s">
        <v>348</v>
      </c>
      <c r="K2151" s="12" t="s">
        <v>3289</v>
      </c>
      <c r="L2151" s="12" t="s">
        <v>9504</v>
      </c>
      <c r="M2151" s="12" t="s">
        <v>10625</v>
      </c>
      <c r="N2151" s="12">
        <v>39764</v>
      </c>
      <c r="O2151" s="12">
        <v>34705</v>
      </c>
      <c r="P2151" s="12">
        <v>0</v>
      </c>
      <c r="Q2151" s="12" t="s">
        <v>10626</v>
      </c>
      <c r="R2151" s="15" t="s">
        <v>10627</v>
      </c>
      <c r="S2151" s="12">
        <v>148</v>
      </c>
      <c r="T2151" s="12" t="s">
        <v>39</v>
      </c>
      <c r="U2151" s="12" t="s">
        <v>40</v>
      </c>
      <c r="V2151" s="12" t="s">
        <v>41</v>
      </c>
      <c r="W2151" s="12">
        <v>21000000</v>
      </c>
      <c r="X2151" s="12">
        <v>2011</v>
      </c>
      <c r="Y2151" s="12">
        <v>242</v>
      </c>
      <c r="Z2151" s="12">
        <v>6.7</v>
      </c>
      <c r="AA2151" s="12">
        <v>2.35</v>
      </c>
      <c r="AB2151" s="12">
        <v>17000</v>
      </c>
      <c r="AC2151" s="12"/>
      <c r="AD2151" s="12" t="str">
        <f>IFERROR(__xludf.DUMMYFUNCTION("""COMPUTED_VALUE"""),"Heather Matarazzo")</f>
        <v>Heather Matarazzo</v>
      </c>
      <c r="AE2151" s="12"/>
    </row>
    <row r="2152" customHeight="1" spans="1:31">
      <c r="A2152" s="11" t="s">
        <v>30</v>
      </c>
      <c r="B2152" s="11" t="s">
        <v>10628</v>
      </c>
      <c r="C2152" s="11">
        <v>11</v>
      </c>
      <c r="D2152" s="11">
        <v>114</v>
      </c>
      <c r="E2152" s="11">
        <v>19</v>
      </c>
      <c r="F2152" s="11">
        <v>842</v>
      </c>
      <c r="G2152" s="11">
        <v>1000</v>
      </c>
      <c r="H2152" s="11">
        <v>69700000</v>
      </c>
      <c r="I2152" s="11" t="s">
        <v>5927</v>
      </c>
      <c r="J2152" s="11" t="s">
        <v>9111</v>
      </c>
      <c r="K2152" s="11" t="s">
        <v>4545</v>
      </c>
      <c r="L2152" s="11" t="s">
        <v>10629</v>
      </c>
      <c r="M2152" s="11" t="s">
        <v>10630</v>
      </c>
      <c r="N2152" s="11">
        <v>7748</v>
      </c>
      <c r="O2152" s="11">
        <v>3688</v>
      </c>
      <c r="P2152" s="11">
        <v>2</v>
      </c>
      <c r="Q2152" s="11" t="s">
        <v>10631</v>
      </c>
      <c r="R2152" s="14" t="s">
        <v>10632</v>
      </c>
      <c r="S2152" s="11">
        <v>48</v>
      </c>
      <c r="T2152" s="11" t="s">
        <v>39</v>
      </c>
      <c r="U2152" s="11" t="s">
        <v>40</v>
      </c>
      <c r="V2152" s="11" t="s">
        <v>586</v>
      </c>
      <c r="W2152" s="11">
        <v>35000000</v>
      </c>
      <c r="X2152" s="11">
        <v>1982</v>
      </c>
      <c r="Y2152" s="11">
        <v>883</v>
      </c>
      <c r="Z2152" s="11">
        <v>5.8</v>
      </c>
      <c r="AA2152" s="11">
        <v>2.35</v>
      </c>
      <c r="AB2152" s="11">
        <v>0</v>
      </c>
      <c r="AC2152" s="11"/>
      <c r="AD2152" s="11" t="str">
        <f>IFERROR(__xludf.DUMMYFUNCTION("""COMPUTED_VALUE"""),"Rodger Bumpass")</f>
        <v>Rodger Bumpass</v>
      </c>
      <c r="AE2152" s="11"/>
    </row>
    <row r="2153" customHeight="1" spans="1:31">
      <c r="A2153" s="12" t="s">
        <v>30</v>
      </c>
      <c r="B2153" s="12" t="s">
        <v>5404</v>
      </c>
      <c r="C2153" s="12">
        <v>196</v>
      </c>
      <c r="D2153" s="12">
        <v>115</v>
      </c>
      <c r="E2153" s="12">
        <v>0</v>
      </c>
      <c r="F2153" s="12">
        <v>716</v>
      </c>
      <c r="G2153" s="12">
        <v>1000</v>
      </c>
      <c r="H2153" s="12">
        <v>2840417</v>
      </c>
      <c r="I2153" s="12" t="s">
        <v>4333</v>
      </c>
      <c r="J2153" s="12" t="s">
        <v>2620</v>
      </c>
      <c r="K2153" s="12" t="s">
        <v>8555</v>
      </c>
      <c r="L2153" s="12" t="s">
        <v>731</v>
      </c>
      <c r="M2153" s="12" t="s">
        <v>10633</v>
      </c>
      <c r="N2153" s="12">
        <v>77493</v>
      </c>
      <c r="O2153" s="12">
        <v>2990</v>
      </c>
      <c r="P2153" s="12">
        <v>0</v>
      </c>
      <c r="Q2153" s="12" t="s">
        <v>10634</v>
      </c>
      <c r="R2153" s="15" t="s">
        <v>10635</v>
      </c>
      <c r="S2153" s="12">
        <v>527</v>
      </c>
      <c r="T2153" s="12" t="s">
        <v>39</v>
      </c>
      <c r="U2153" s="12" t="s">
        <v>269</v>
      </c>
      <c r="V2153" s="12" t="s">
        <v>586</v>
      </c>
      <c r="W2153" s="12">
        <v>31000000</v>
      </c>
      <c r="X2153" s="12">
        <v>1999</v>
      </c>
      <c r="Y2153" s="12">
        <v>900</v>
      </c>
      <c r="Z2153" s="12">
        <v>6.8</v>
      </c>
      <c r="AA2153" s="12">
        <v>1.85</v>
      </c>
      <c r="AB2153" s="12">
        <v>6000</v>
      </c>
      <c r="AC2153" s="12"/>
      <c r="AD2153" s="12" t="str">
        <f>IFERROR(__xludf.DUMMYFUNCTION("""COMPUTED_VALUE"""),"Spencer Treat Clark")</f>
        <v>Spencer Treat Clark</v>
      </c>
      <c r="AE2153" s="12"/>
    </row>
    <row r="2154" customHeight="1" spans="1:31">
      <c r="A2154" s="11" t="s">
        <v>30</v>
      </c>
      <c r="B2154" s="11" t="s">
        <v>390</v>
      </c>
      <c r="C2154" s="11">
        <v>234</v>
      </c>
      <c r="D2154" s="11">
        <v>115</v>
      </c>
      <c r="E2154" s="11">
        <v>14000</v>
      </c>
      <c r="F2154" s="11">
        <v>488</v>
      </c>
      <c r="G2154" s="11">
        <v>11000</v>
      </c>
      <c r="H2154" s="11">
        <v>242374454</v>
      </c>
      <c r="I2154" s="11" t="s">
        <v>127</v>
      </c>
      <c r="J2154" s="11" t="s">
        <v>391</v>
      </c>
      <c r="K2154" s="11" t="s">
        <v>1346</v>
      </c>
      <c r="L2154" s="11" t="s">
        <v>7246</v>
      </c>
      <c r="M2154" s="11" t="s">
        <v>10636</v>
      </c>
      <c r="N2154" s="11">
        <v>661017</v>
      </c>
      <c r="O2154" s="11">
        <v>12906</v>
      </c>
      <c r="P2154" s="11">
        <v>1</v>
      </c>
      <c r="Q2154" s="11" t="s">
        <v>10637</v>
      </c>
      <c r="R2154" s="14" t="s">
        <v>10638</v>
      </c>
      <c r="S2154" s="11">
        <v>771</v>
      </c>
      <c r="T2154" s="11" t="s">
        <v>39</v>
      </c>
      <c r="U2154" s="11" t="s">
        <v>40</v>
      </c>
      <c r="V2154" s="11" t="s">
        <v>96</v>
      </c>
      <c r="W2154" s="11">
        <v>18000000</v>
      </c>
      <c r="X2154" s="11">
        <v>1981</v>
      </c>
      <c r="Y2154" s="11">
        <v>783</v>
      </c>
      <c r="Z2154" s="11">
        <v>8.5</v>
      </c>
      <c r="AA2154" s="11">
        <v>2.35</v>
      </c>
      <c r="AB2154" s="11">
        <v>16000</v>
      </c>
      <c r="AC2154" s="11"/>
      <c r="AD2154" s="11" t="str">
        <f>IFERROR(__xludf.DUMMYFUNCTION("""COMPUTED_VALUE"""),"Tom Guiry")</f>
        <v>Tom Guiry</v>
      </c>
      <c r="AE2154" s="11"/>
    </row>
    <row r="2155" customHeight="1" spans="1:31">
      <c r="A2155" s="12" t="s">
        <v>30</v>
      </c>
      <c r="B2155" s="12" t="s">
        <v>1253</v>
      </c>
      <c r="C2155" s="12">
        <v>37</v>
      </c>
      <c r="D2155" s="12">
        <v>120</v>
      </c>
      <c r="E2155" s="12">
        <v>0</v>
      </c>
      <c r="F2155" s="12">
        <v>1000</v>
      </c>
      <c r="G2155" s="12">
        <v>3000</v>
      </c>
      <c r="H2155" s="12">
        <v>173585516</v>
      </c>
      <c r="I2155" s="12" t="s">
        <v>2359</v>
      </c>
      <c r="J2155" s="12" t="s">
        <v>6537</v>
      </c>
      <c r="K2155" s="12" t="s">
        <v>2457</v>
      </c>
      <c r="L2155" s="12" t="s">
        <v>2814</v>
      </c>
      <c r="M2155" s="12" t="s">
        <v>10639</v>
      </c>
      <c r="N2155" s="12">
        <v>200077</v>
      </c>
      <c r="O2155" s="12">
        <v>7860</v>
      </c>
      <c r="P2155" s="12">
        <v>2</v>
      </c>
      <c r="Q2155" s="12" t="s">
        <v>10640</v>
      </c>
      <c r="R2155" s="15" t="s">
        <v>10641</v>
      </c>
      <c r="S2155" s="12">
        <v>189</v>
      </c>
      <c r="T2155" s="12" t="s">
        <v>39</v>
      </c>
      <c r="U2155" s="12" t="s">
        <v>40</v>
      </c>
      <c r="V2155" s="12" t="s">
        <v>96</v>
      </c>
      <c r="W2155" s="12">
        <v>18000000</v>
      </c>
      <c r="X2155" s="12">
        <v>1992</v>
      </c>
      <c r="Y2155" s="12">
        <v>1000</v>
      </c>
      <c r="Z2155" s="12">
        <v>6.6</v>
      </c>
      <c r="AA2155" s="12">
        <v>1.85</v>
      </c>
      <c r="AB2155" s="12">
        <v>0</v>
      </c>
      <c r="AC2155" s="12"/>
      <c r="AD2155" s="12" t="str">
        <f>IFERROR(__xludf.DUMMYFUNCTION("""COMPUTED_VALUE"""),"Mike Colter")</f>
        <v>Mike Colter</v>
      </c>
      <c r="AE2155" s="12"/>
    </row>
    <row r="2156" customHeight="1" spans="1:31">
      <c r="A2156" s="11" t="s">
        <v>30</v>
      </c>
      <c r="B2156" s="11" t="s">
        <v>390</v>
      </c>
      <c r="C2156" s="11">
        <v>171</v>
      </c>
      <c r="D2156" s="11">
        <v>135</v>
      </c>
      <c r="E2156" s="11">
        <v>14000</v>
      </c>
      <c r="F2156" s="11">
        <v>252</v>
      </c>
      <c r="G2156" s="11">
        <v>559</v>
      </c>
      <c r="H2156" s="11">
        <v>128300000</v>
      </c>
      <c r="I2156" s="11" t="s">
        <v>1849</v>
      </c>
      <c r="J2156" s="11" t="s">
        <v>3355</v>
      </c>
      <c r="K2156" s="11" t="s">
        <v>10642</v>
      </c>
      <c r="L2156" s="11" t="s">
        <v>8180</v>
      </c>
      <c r="M2156" s="11" t="s">
        <v>10643</v>
      </c>
      <c r="N2156" s="11">
        <v>139288</v>
      </c>
      <c r="O2156" s="11">
        <v>1591</v>
      </c>
      <c r="P2156" s="11">
        <v>0</v>
      </c>
      <c r="Q2156" s="11" t="s">
        <v>10644</v>
      </c>
      <c r="R2156" s="14" t="s">
        <v>10645</v>
      </c>
      <c r="S2156" s="11">
        <v>339</v>
      </c>
      <c r="T2156" s="11" t="s">
        <v>39</v>
      </c>
      <c r="U2156" s="11" t="s">
        <v>40</v>
      </c>
      <c r="V2156" s="11" t="s">
        <v>96</v>
      </c>
      <c r="W2156" s="11">
        <v>19400870</v>
      </c>
      <c r="X2156" s="11">
        <v>1977</v>
      </c>
      <c r="Y2156" s="11">
        <v>481</v>
      </c>
      <c r="Z2156" s="11">
        <v>7.7</v>
      </c>
      <c r="AA2156" s="11">
        <v>2.35</v>
      </c>
      <c r="AB2156" s="11">
        <v>0</v>
      </c>
      <c r="AC2156" s="11"/>
      <c r="AD2156" s="11" t="str">
        <f>IFERROR(__xludf.DUMMYFUNCTION("""COMPUTED_VALUE"""),"Bern Cohen")</f>
        <v>Bern Cohen</v>
      </c>
      <c r="AE2156" s="11"/>
    </row>
    <row r="2157" customHeight="1" spans="1:31">
      <c r="A2157" s="12" t="s">
        <v>30</v>
      </c>
      <c r="B2157" s="12" t="s">
        <v>10646</v>
      </c>
      <c r="C2157" s="12">
        <v>148</v>
      </c>
      <c r="D2157" s="12">
        <v>90</v>
      </c>
      <c r="E2157" s="12">
        <v>2</v>
      </c>
      <c r="F2157" s="12">
        <v>807</v>
      </c>
      <c r="G2157" s="12">
        <v>16000</v>
      </c>
      <c r="H2157" s="12">
        <v>20259297</v>
      </c>
      <c r="I2157" s="12" t="s">
        <v>3171</v>
      </c>
      <c r="J2157" s="12" t="s">
        <v>10647</v>
      </c>
      <c r="K2157" s="12" t="s">
        <v>3091</v>
      </c>
      <c r="L2157" s="12" t="s">
        <v>1185</v>
      </c>
      <c r="M2157" s="12" t="s">
        <v>10648</v>
      </c>
      <c r="N2157" s="12">
        <v>24969</v>
      </c>
      <c r="O2157" s="12">
        <v>19952</v>
      </c>
      <c r="P2157" s="12">
        <v>0</v>
      </c>
      <c r="Q2157" s="12" t="s">
        <v>10649</v>
      </c>
      <c r="R2157" s="15" t="s">
        <v>10650</v>
      </c>
      <c r="S2157" s="12">
        <v>258</v>
      </c>
      <c r="T2157" s="12" t="s">
        <v>39</v>
      </c>
      <c r="U2157" s="12" t="s">
        <v>40</v>
      </c>
      <c r="V2157" s="12" t="s">
        <v>41</v>
      </c>
      <c r="W2157" s="12">
        <v>20000000</v>
      </c>
      <c r="X2157" s="12">
        <v>2006</v>
      </c>
      <c r="Y2157" s="12">
        <v>1000</v>
      </c>
      <c r="Z2157" s="12">
        <v>4.7</v>
      </c>
      <c r="AA2157" s="12">
        <v>2.35</v>
      </c>
      <c r="AB2157" s="12">
        <v>0</v>
      </c>
      <c r="AC2157" s="12"/>
      <c r="AD2157" s="12" t="str">
        <f>IFERROR(__xludf.DUMMYFUNCTION("""COMPUTED_VALUE"""),"Yetta Gottesman")</f>
        <v>Yetta Gottesman</v>
      </c>
      <c r="AE2157" s="12"/>
    </row>
    <row r="2158" customHeight="1" spans="1:31">
      <c r="A2158" s="11" t="s">
        <v>30</v>
      </c>
      <c r="B2158" s="11" t="s">
        <v>1740</v>
      </c>
      <c r="C2158" s="11">
        <v>50</v>
      </c>
      <c r="D2158" s="11">
        <v>100</v>
      </c>
      <c r="E2158" s="11">
        <v>12000</v>
      </c>
      <c r="F2158" s="11">
        <v>605</v>
      </c>
      <c r="G2158" s="11">
        <v>936</v>
      </c>
      <c r="H2158" s="11">
        <v>153665036</v>
      </c>
      <c r="I2158" s="11" t="s">
        <v>422</v>
      </c>
      <c r="J2158" s="11" t="s">
        <v>2324</v>
      </c>
      <c r="K2158" s="11" t="s">
        <v>3659</v>
      </c>
      <c r="L2158" s="11" t="s">
        <v>1306</v>
      </c>
      <c r="M2158" s="11" t="s">
        <v>10651</v>
      </c>
      <c r="N2158" s="11">
        <v>84824</v>
      </c>
      <c r="O2158" s="11">
        <v>4121</v>
      </c>
      <c r="P2158" s="11">
        <v>1</v>
      </c>
      <c r="Q2158" s="11" t="s">
        <v>10652</v>
      </c>
      <c r="R2158" s="14" t="s">
        <v>10653</v>
      </c>
      <c r="S2158" s="11">
        <v>95</v>
      </c>
      <c r="T2158" s="11" t="s">
        <v>39</v>
      </c>
      <c r="U2158" s="11" t="s">
        <v>40</v>
      </c>
      <c r="V2158" s="11" t="s">
        <v>586</v>
      </c>
      <c r="W2158" s="11">
        <v>28000000</v>
      </c>
      <c r="X2158" s="11">
        <v>1987</v>
      </c>
      <c r="Y2158" s="11">
        <v>901</v>
      </c>
      <c r="Z2158" s="11">
        <v>6.4</v>
      </c>
      <c r="AA2158" s="11">
        <v>2.35</v>
      </c>
      <c r="AB2158" s="11">
        <v>0</v>
      </c>
      <c r="AC2158" s="11"/>
      <c r="AD2158" s="11" t="str">
        <f>IFERROR(__xludf.DUMMYFUNCTION("""COMPUTED_VALUE"""),"Casey Kasem")</f>
        <v>Casey Kasem</v>
      </c>
      <c r="AE2158" s="11"/>
    </row>
    <row r="2159" customHeight="1" spans="1:31">
      <c r="A2159" s="12" t="s">
        <v>30</v>
      </c>
      <c r="B2159" s="12" t="s">
        <v>2613</v>
      </c>
      <c r="C2159" s="12">
        <v>121</v>
      </c>
      <c r="D2159" s="12">
        <v>105</v>
      </c>
      <c r="E2159" s="12">
        <v>163</v>
      </c>
      <c r="F2159" s="12">
        <v>338</v>
      </c>
      <c r="G2159" s="12">
        <v>1000</v>
      </c>
      <c r="H2159" s="12">
        <v>132541238</v>
      </c>
      <c r="I2159" s="12" t="s">
        <v>1672</v>
      </c>
      <c r="J2159" s="12" t="s">
        <v>10349</v>
      </c>
      <c r="K2159" s="12" t="s">
        <v>10654</v>
      </c>
      <c r="L2159" s="12" t="s">
        <v>10655</v>
      </c>
      <c r="M2159" s="12" t="s">
        <v>10656</v>
      </c>
      <c r="N2159" s="12">
        <v>30058</v>
      </c>
      <c r="O2159" s="12">
        <v>2505</v>
      </c>
      <c r="P2159" s="12">
        <v>2</v>
      </c>
      <c r="Q2159" s="12" t="s">
        <v>10657</v>
      </c>
      <c r="R2159" s="15" t="s">
        <v>10658</v>
      </c>
      <c r="S2159" s="12">
        <v>236</v>
      </c>
      <c r="T2159" s="12" t="s">
        <v>39</v>
      </c>
      <c r="U2159" s="12" t="s">
        <v>40</v>
      </c>
      <c r="V2159" s="12" t="s">
        <v>41</v>
      </c>
      <c r="W2159" s="12">
        <v>33000000</v>
      </c>
      <c r="X2159" s="12">
        <v>2003</v>
      </c>
      <c r="Y2159" s="12">
        <v>409</v>
      </c>
      <c r="Z2159" s="12">
        <v>5.5</v>
      </c>
      <c r="AA2159" s="12">
        <v>2.35</v>
      </c>
      <c r="AB2159" s="12">
        <v>800</v>
      </c>
      <c r="AC2159" s="12"/>
      <c r="AD2159" s="12" t="str">
        <f>IFERROR(__xludf.DUMMYFUNCTION("""COMPUTED_VALUE"""),"Melinda Dillon")</f>
        <v>Melinda Dillon</v>
      </c>
      <c r="AE2159" s="12"/>
    </row>
    <row r="2160" customHeight="1" spans="1:31">
      <c r="A2160" s="11" t="s">
        <v>30</v>
      </c>
      <c r="B2160" s="11" t="s">
        <v>2729</v>
      </c>
      <c r="C2160" s="11">
        <v>185</v>
      </c>
      <c r="D2160" s="11">
        <v>138</v>
      </c>
      <c r="E2160" s="11">
        <v>438</v>
      </c>
      <c r="F2160" s="11">
        <v>173</v>
      </c>
      <c r="G2160" s="11">
        <v>12000</v>
      </c>
      <c r="H2160" s="11">
        <v>130727000</v>
      </c>
      <c r="I2160" s="11" t="s">
        <v>6648</v>
      </c>
      <c r="J2160" s="11" t="s">
        <v>763</v>
      </c>
      <c r="K2160" s="11" t="s">
        <v>1320</v>
      </c>
      <c r="L2160" s="11" t="s">
        <v>6567</v>
      </c>
      <c r="M2160" s="11" t="s">
        <v>10659</v>
      </c>
      <c r="N2160" s="11">
        <v>887467</v>
      </c>
      <c r="O2160" s="11">
        <v>13184</v>
      </c>
      <c r="P2160" s="11">
        <v>0</v>
      </c>
      <c r="Q2160" s="11" t="s">
        <v>10660</v>
      </c>
      <c r="R2160" s="14" t="s">
        <v>10661</v>
      </c>
      <c r="S2160" s="11">
        <v>916</v>
      </c>
      <c r="T2160" s="11" t="s">
        <v>39</v>
      </c>
      <c r="U2160" s="11" t="s">
        <v>40</v>
      </c>
      <c r="V2160" s="11" t="s">
        <v>586</v>
      </c>
      <c r="W2160" s="11">
        <v>19000000</v>
      </c>
      <c r="X2160" s="11">
        <v>1991</v>
      </c>
      <c r="Y2160" s="11">
        <v>826</v>
      </c>
      <c r="Z2160" s="11">
        <v>8.6</v>
      </c>
      <c r="AA2160" s="11">
        <v>1.85</v>
      </c>
      <c r="AB2160" s="11">
        <v>40000</v>
      </c>
      <c r="AC2160" s="11"/>
      <c r="AD2160" s="11" t="str">
        <f>IFERROR(__xludf.DUMMYFUNCTION("""COMPUTED_VALUE"""),"Chris Lowell")</f>
        <v>Chris Lowell</v>
      </c>
      <c r="AE2160" s="11"/>
    </row>
    <row r="2161" customHeight="1" spans="1:31">
      <c r="A2161" s="12" t="s">
        <v>30</v>
      </c>
      <c r="B2161" s="12" t="s">
        <v>10662</v>
      </c>
      <c r="C2161" s="12">
        <v>61</v>
      </c>
      <c r="D2161" s="12">
        <v>94</v>
      </c>
      <c r="E2161" s="12">
        <v>122</v>
      </c>
      <c r="F2161" s="12">
        <v>617</v>
      </c>
      <c r="G2161" s="12">
        <v>1000</v>
      </c>
      <c r="H2161" s="12">
        <v>121697350</v>
      </c>
      <c r="I2161" s="12" t="s">
        <v>6419</v>
      </c>
      <c r="J2161" s="12" t="s">
        <v>1735</v>
      </c>
      <c r="K2161" s="12" t="s">
        <v>5436</v>
      </c>
      <c r="L2161" s="12" t="s">
        <v>4630</v>
      </c>
      <c r="M2161" s="12" t="s">
        <v>10663</v>
      </c>
      <c r="N2161" s="12">
        <v>114610</v>
      </c>
      <c r="O2161" s="12">
        <v>4263</v>
      </c>
      <c r="P2161" s="12">
        <v>2</v>
      </c>
      <c r="Q2161" s="12" t="s">
        <v>10664</v>
      </c>
      <c r="R2161" s="15" t="s">
        <v>10665</v>
      </c>
      <c r="S2161" s="12">
        <v>176</v>
      </c>
      <c r="T2161" s="12" t="s">
        <v>39</v>
      </c>
      <c r="U2161" s="12" t="s">
        <v>40</v>
      </c>
      <c r="V2161" s="12" t="s">
        <v>41</v>
      </c>
      <c r="W2161" s="12">
        <v>20000000</v>
      </c>
      <c r="X2161" s="12">
        <v>1992</v>
      </c>
      <c r="Y2161" s="12">
        <v>619</v>
      </c>
      <c r="Z2161" s="12">
        <v>7</v>
      </c>
      <c r="AA2161" s="12">
        <v>1.85</v>
      </c>
      <c r="AB2161" s="12">
        <v>0</v>
      </c>
      <c r="AC2161" s="12"/>
      <c r="AD2161" s="12" t="str">
        <f>IFERROR(__xludf.DUMMYFUNCTION("""COMPUTED_VALUE"""),"June Squibb")</f>
        <v>June Squibb</v>
      </c>
      <c r="AE2161" s="12"/>
    </row>
    <row r="2162" customHeight="1" spans="1:31">
      <c r="A2162" s="11" t="s">
        <v>30</v>
      </c>
      <c r="B2162" s="11" t="s">
        <v>10666</v>
      </c>
      <c r="C2162" s="11">
        <v>156</v>
      </c>
      <c r="D2162" s="11">
        <v>101</v>
      </c>
      <c r="E2162" s="11">
        <v>79</v>
      </c>
      <c r="F2162" s="11">
        <v>218</v>
      </c>
      <c r="G2162" s="11">
        <v>608</v>
      </c>
      <c r="H2162" s="11">
        <v>117224271</v>
      </c>
      <c r="I2162" s="11" t="s">
        <v>10667</v>
      </c>
      <c r="J2162" s="11" t="s">
        <v>10668</v>
      </c>
      <c r="K2162" s="11" t="s">
        <v>10669</v>
      </c>
      <c r="L2162" s="11" t="s">
        <v>10670</v>
      </c>
      <c r="M2162" s="11" t="s">
        <v>10671</v>
      </c>
      <c r="N2162" s="11">
        <v>47794</v>
      </c>
      <c r="O2162" s="11">
        <v>1787</v>
      </c>
      <c r="P2162" s="11">
        <v>1</v>
      </c>
      <c r="Q2162" s="11" t="s">
        <v>10672</v>
      </c>
      <c r="R2162" s="14" t="s">
        <v>10673</v>
      </c>
      <c r="S2162" s="11">
        <v>81</v>
      </c>
      <c r="T2162" s="11" t="s">
        <v>39</v>
      </c>
      <c r="U2162" s="11" t="s">
        <v>40</v>
      </c>
      <c r="V2162" s="11" t="s">
        <v>586</v>
      </c>
      <c r="W2162" s="11">
        <v>20000000</v>
      </c>
      <c r="X2162" s="11">
        <v>2010</v>
      </c>
      <c r="Y2162" s="11">
        <v>362</v>
      </c>
      <c r="Z2162" s="11">
        <v>7.1</v>
      </c>
      <c r="AA2162" s="11">
        <v>1.78</v>
      </c>
      <c r="AB2162" s="11">
        <v>0</v>
      </c>
      <c r="AC2162" s="11"/>
      <c r="AD2162" s="11" t="str">
        <f>IFERROR(__xludf.DUMMYFUNCTION("""COMPUTED_VALUE"""),"Howard Hesseman")</f>
        <v>Howard Hesseman</v>
      </c>
      <c r="AE2162" s="11"/>
    </row>
    <row r="2163" customHeight="1" spans="1:31">
      <c r="A2163" s="12" t="s">
        <v>30</v>
      </c>
      <c r="B2163" s="12" t="s">
        <v>10674</v>
      </c>
      <c r="C2163" s="12">
        <v>75</v>
      </c>
      <c r="D2163" s="12">
        <v>131</v>
      </c>
      <c r="E2163" s="12">
        <v>82</v>
      </c>
      <c r="F2163" s="12">
        <v>85</v>
      </c>
      <c r="G2163" s="12">
        <v>813</v>
      </c>
      <c r="H2163" s="12">
        <v>102922376</v>
      </c>
      <c r="I2163" s="12" t="s">
        <v>8571</v>
      </c>
      <c r="J2163" s="12" t="s">
        <v>2443</v>
      </c>
      <c r="K2163" s="12" t="s">
        <v>10675</v>
      </c>
      <c r="L2163" s="12" t="s">
        <v>10676</v>
      </c>
      <c r="M2163" s="12" t="s">
        <v>10677</v>
      </c>
      <c r="N2163" s="12">
        <v>51314</v>
      </c>
      <c r="O2163" s="12">
        <v>1520</v>
      </c>
      <c r="P2163" s="12">
        <v>0</v>
      </c>
      <c r="Q2163" s="12" t="s">
        <v>10678</v>
      </c>
      <c r="R2163" s="15" t="s">
        <v>10679</v>
      </c>
      <c r="S2163" s="12">
        <v>265</v>
      </c>
      <c r="T2163" s="12" t="s">
        <v>39</v>
      </c>
      <c r="U2163" s="12" t="s">
        <v>40</v>
      </c>
      <c r="V2163" s="12" t="s">
        <v>96</v>
      </c>
      <c r="W2163" s="12">
        <v>20000000</v>
      </c>
      <c r="X2163" s="12">
        <v>1978</v>
      </c>
      <c r="Y2163" s="12">
        <v>366</v>
      </c>
      <c r="Z2163" s="12">
        <v>5.7</v>
      </c>
      <c r="AA2163" s="12">
        <v>2.35</v>
      </c>
      <c r="AB2163" s="12">
        <v>0</v>
      </c>
      <c r="AC2163" s="12"/>
      <c r="AD2163" s="12" t="str">
        <f>IFERROR(__xludf.DUMMYFUNCTION("""COMPUTED_VALUE"""),"Cory Hardrict")</f>
        <v>Cory Hardrict</v>
      </c>
      <c r="AE2163" s="12"/>
    </row>
    <row r="2164" customHeight="1" spans="1:31">
      <c r="A2164" s="11" t="s">
        <v>30</v>
      </c>
      <c r="B2164" s="11" t="s">
        <v>1576</v>
      </c>
      <c r="C2164" s="11">
        <v>100</v>
      </c>
      <c r="D2164" s="11">
        <v>91</v>
      </c>
      <c r="E2164" s="11">
        <v>67</v>
      </c>
      <c r="F2164" s="11">
        <v>597</v>
      </c>
      <c r="G2164" s="11">
        <v>2000</v>
      </c>
      <c r="H2164" s="11">
        <v>94497271</v>
      </c>
      <c r="I2164" s="11" t="s">
        <v>10680</v>
      </c>
      <c r="J2164" s="11" t="s">
        <v>1734</v>
      </c>
      <c r="K2164" s="11" t="s">
        <v>5831</v>
      </c>
      <c r="L2164" s="11" t="s">
        <v>10681</v>
      </c>
      <c r="M2164" s="11" t="s">
        <v>10682</v>
      </c>
      <c r="N2164" s="11">
        <v>17829</v>
      </c>
      <c r="O2164" s="11">
        <v>4729</v>
      </c>
      <c r="P2164" s="11">
        <v>1</v>
      </c>
      <c r="Q2164" s="11" t="s">
        <v>10683</v>
      </c>
      <c r="R2164" s="14" t="s">
        <v>10684</v>
      </c>
      <c r="S2164" s="11">
        <v>99</v>
      </c>
      <c r="T2164" s="11" t="s">
        <v>39</v>
      </c>
      <c r="U2164" s="11" t="s">
        <v>40</v>
      </c>
      <c r="V2164" s="11" t="s">
        <v>96</v>
      </c>
      <c r="W2164" s="11">
        <v>20000000</v>
      </c>
      <c r="X2164" s="11">
        <v>2008</v>
      </c>
      <c r="Y2164" s="11">
        <v>641</v>
      </c>
      <c r="Z2164" s="11">
        <v>3.7</v>
      </c>
      <c r="AA2164" s="11">
        <v>2.35</v>
      </c>
      <c r="AB2164" s="11">
        <v>0</v>
      </c>
      <c r="AC2164" s="11"/>
      <c r="AD2164" s="11" t="str">
        <f>IFERROR(__xludf.DUMMYFUNCTION("""COMPUTED_VALUE"""),"Vincent Leclerc")</f>
        <v>Vincent Leclerc</v>
      </c>
      <c r="AE2164" s="11"/>
    </row>
    <row r="2165" customHeight="1" spans="1:31">
      <c r="A2165" s="12" t="s">
        <v>30</v>
      </c>
      <c r="B2165" s="12" t="s">
        <v>333</v>
      </c>
      <c r="C2165" s="12">
        <v>511</v>
      </c>
      <c r="D2165" s="12">
        <v>112</v>
      </c>
      <c r="E2165" s="12">
        <v>0</v>
      </c>
      <c r="F2165" s="12">
        <v>697</v>
      </c>
      <c r="G2165" s="12">
        <v>6000</v>
      </c>
      <c r="H2165" s="12">
        <v>137387272</v>
      </c>
      <c r="I2165" s="12" t="s">
        <v>3030</v>
      </c>
      <c r="J2165" s="12" t="s">
        <v>662</v>
      </c>
      <c r="K2165" s="12" t="s">
        <v>2665</v>
      </c>
      <c r="L2165" s="12" t="s">
        <v>10685</v>
      </c>
      <c r="M2165" s="12" t="s">
        <v>10686</v>
      </c>
      <c r="N2165" s="12">
        <v>300110</v>
      </c>
      <c r="O2165" s="12">
        <v>9049</v>
      </c>
      <c r="P2165" s="12">
        <v>0</v>
      </c>
      <c r="Q2165" s="12" t="s">
        <v>10687</v>
      </c>
      <c r="R2165" s="15" t="s">
        <v>10688</v>
      </c>
      <c r="S2165" s="12">
        <v>807</v>
      </c>
      <c r="T2165" s="12" t="s">
        <v>39</v>
      </c>
      <c r="U2165" s="12" t="s">
        <v>40</v>
      </c>
      <c r="V2165" s="12" t="s">
        <v>586</v>
      </c>
      <c r="W2165" s="12">
        <v>20000000</v>
      </c>
      <c r="X2165" s="12">
        <v>2013</v>
      </c>
      <c r="Y2165" s="12">
        <v>960</v>
      </c>
      <c r="Z2165" s="12">
        <v>7.5</v>
      </c>
      <c r="AA2165" s="12">
        <v>2.35</v>
      </c>
      <c r="AB2165" s="12">
        <v>131000</v>
      </c>
      <c r="AC2165" s="12"/>
      <c r="AD2165" s="12" t="str">
        <f>IFERROR(__xludf.DUMMYFUNCTION("""COMPUTED_VALUE"""),"Daniel Rindress-Kay")</f>
        <v>Daniel Rindress-Kay</v>
      </c>
      <c r="AE2165" s="12"/>
    </row>
    <row r="2166" customHeight="1" spans="1:31">
      <c r="A2166" s="11" t="s">
        <v>30</v>
      </c>
      <c r="B2166" s="11" t="s">
        <v>4108</v>
      </c>
      <c r="C2166" s="11">
        <v>75</v>
      </c>
      <c r="D2166" s="11">
        <v>95</v>
      </c>
      <c r="E2166" s="11">
        <v>32</v>
      </c>
      <c r="F2166" s="11">
        <v>563</v>
      </c>
      <c r="G2166" s="11">
        <v>826</v>
      </c>
      <c r="H2166" s="11">
        <v>82301521</v>
      </c>
      <c r="I2166" s="11" t="s">
        <v>9781</v>
      </c>
      <c r="J2166" s="11" t="s">
        <v>6383</v>
      </c>
      <c r="K2166" s="11" t="s">
        <v>4191</v>
      </c>
      <c r="L2166" s="11" t="s">
        <v>5325</v>
      </c>
      <c r="M2166" s="11" t="s">
        <v>10689</v>
      </c>
      <c r="N2166" s="11">
        <v>22679</v>
      </c>
      <c r="O2166" s="11">
        <v>3558</v>
      </c>
      <c r="P2166" s="11">
        <v>2</v>
      </c>
      <c r="Q2166" s="11" t="s">
        <v>10690</v>
      </c>
      <c r="R2166" s="14" t="s">
        <v>10691</v>
      </c>
      <c r="S2166" s="11">
        <v>149</v>
      </c>
      <c r="T2166" s="11" t="s">
        <v>39</v>
      </c>
      <c r="U2166" s="11" t="s">
        <v>40</v>
      </c>
      <c r="V2166" s="11" t="s">
        <v>96</v>
      </c>
      <c r="W2166" s="11">
        <v>32000000</v>
      </c>
      <c r="X2166" s="11">
        <v>2005</v>
      </c>
      <c r="Y2166" s="11">
        <v>642</v>
      </c>
      <c r="Z2166" s="11">
        <v>4.6</v>
      </c>
      <c r="AA2166" s="11">
        <v>1.85</v>
      </c>
      <c r="AB2166" s="11">
        <v>773</v>
      </c>
      <c r="AC2166" s="11"/>
      <c r="AD2166" s="11" t="str">
        <f>IFERROR(__xludf.DUMMYFUNCTION("""COMPUTED_VALUE"""),"Tracie Thoms")</f>
        <v>Tracie Thoms</v>
      </c>
      <c r="AE2166" s="11"/>
    </row>
    <row r="2167" customHeight="1" spans="1:31">
      <c r="A2167" s="12" t="s">
        <v>30</v>
      </c>
      <c r="B2167" s="12" t="s">
        <v>4309</v>
      </c>
      <c r="C2167" s="12">
        <v>148</v>
      </c>
      <c r="D2167" s="12">
        <v>100</v>
      </c>
      <c r="E2167" s="12">
        <v>265</v>
      </c>
      <c r="F2167" s="12">
        <v>265</v>
      </c>
      <c r="G2167" s="12">
        <v>989</v>
      </c>
      <c r="H2167" s="12">
        <v>84518155</v>
      </c>
      <c r="I2167" s="12" t="s">
        <v>1672</v>
      </c>
      <c r="J2167" s="12" t="s">
        <v>3230</v>
      </c>
      <c r="K2167" s="12" t="s">
        <v>10692</v>
      </c>
      <c r="L2167" s="12" t="s">
        <v>4309</v>
      </c>
      <c r="M2167" s="12" t="s">
        <v>10693</v>
      </c>
      <c r="N2167" s="12">
        <v>35965</v>
      </c>
      <c r="O2167" s="12">
        <v>2654</v>
      </c>
      <c r="P2167" s="12">
        <v>0</v>
      </c>
      <c r="Q2167" s="12" t="s">
        <v>10694</v>
      </c>
      <c r="R2167" s="15" t="s">
        <v>10695</v>
      </c>
      <c r="S2167" s="12">
        <v>144</v>
      </c>
      <c r="T2167" s="12" t="s">
        <v>39</v>
      </c>
      <c r="U2167" s="12" t="s">
        <v>40</v>
      </c>
      <c r="V2167" s="12" t="s">
        <v>586</v>
      </c>
      <c r="W2167" s="12">
        <v>20000000</v>
      </c>
      <c r="X2167" s="12">
        <v>2014</v>
      </c>
      <c r="Y2167" s="12">
        <v>830</v>
      </c>
      <c r="Z2167" s="12">
        <v>4.9</v>
      </c>
      <c r="AA2167" s="12">
        <v>1.85</v>
      </c>
      <c r="AB2167" s="12">
        <v>11000</v>
      </c>
      <c r="AC2167" s="12"/>
      <c r="AD2167" s="12" t="str">
        <f>IFERROR(__xludf.DUMMYFUNCTION("""COMPUTED_VALUE"""),"Christine Cavanaugh")</f>
        <v>Christine Cavanaugh</v>
      </c>
      <c r="AE2167" s="12"/>
    </row>
    <row r="2168" customHeight="1" spans="1:31">
      <c r="A2168" s="11" t="s">
        <v>30</v>
      </c>
      <c r="B2168" s="11" t="s">
        <v>2642</v>
      </c>
      <c r="C2168" s="11">
        <v>253</v>
      </c>
      <c r="D2168" s="11">
        <v>105</v>
      </c>
      <c r="E2168" s="11">
        <v>154</v>
      </c>
      <c r="F2168" s="11">
        <v>501</v>
      </c>
      <c r="G2168" s="11">
        <v>884</v>
      </c>
      <c r="H2168" s="11">
        <v>80050171</v>
      </c>
      <c r="I2168" s="11" t="s">
        <v>1924</v>
      </c>
      <c r="J2168" s="11" t="s">
        <v>6861</v>
      </c>
      <c r="K2168" s="11" t="s">
        <v>6862</v>
      </c>
      <c r="L2168" s="11" t="s">
        <v>2731</v>
      </c>
      <c r="M2168" s="11" t="s">
        <v>6863</v>
      </c>
      <c r="N2168" s="11">
        <v>186984</v>
      </c>
      <c r="O2168" s="11">
        <v>2287</v>
      </c>
      <c r="P2168" s="11">
        <v>0</v>
      </c>
      <c r="Q2168" s="11" t="s">
        <v>6864</v>
      </c>
      <c r="R2168" s="14" t="s">
        <v>6865</v>
      </c>
      <c r="S2168" s="11">
        <v>491</v>
      </c>
      <c r="T2168" s="11" t="s">
        <v>39</v>
      </c>
      <c r="U2168" s="11" t="s">
        <v>40</v>
      </c>
      <c r="V2168" s="11" t="s">
        <v>41</v>
      </c>
      <c r="W2168" s="11">
        <v>20000000</v>
      </c>
      <c r="X2168" s="11">
        <v>2007</v>
      </c>
      <c r="Y2168" s="11">
        <v>617</v>
      </c>
      <c r="Z2168" s="11">
        <v>6.9</v>
      </c>
      <c r="AA2168" s="11">
        <v>1.85</v>
      </c>
      <c r="AB2168" s="11">
        <v>0</v>
      </c>
      <c r="AC2168" s="11"/>
      <c r="AD2168" s="11" t="str">
        <f>IFERROR(__xludf.DUMMYFUNCTION("""COMPUTED_VALUE"""),"Jean Smart")</f>
        <v>Jean Smart</v>
      </c>
      <c r="AE2168" s="11"/>
    </row>
    <row r="2169" customHeight="1" spans="1:31">
      <c r="A2169" s="12" t="s">
        <v>30</v>
      </c>
      <c r="B2169" s="12" t="s">
        <v>9163</v>
      </c>
      <c r="C2169" s="12">
        <v>204</v>
      </c>
      <c r="D2169" s="12">
        <v>108</v>
      </c>
      <c r="E2169" s="12">
        <v>0</v>
      </c>
      <c r="F2169" s="12">
        <v>487</v>
      </c>
      <c r="G2169" s="12">
        <v>2000</v>
      </c>
      <c r="H2169" s="12">
        <v>81257845</v>
      </c>
      <c r="I2169" s="12" t="s">
        <v>6419</v>
      </c>
      <c r="J2169" s="12" t="s">
        <v>2978</v>
      </c>
      <c r="K2169" s="12" t="s">
        <v>623</v>
      </c>
      <c r="L2169" s="12" t="s">
        <v>10696</v>
      </c>
      <c r="M2169" s="12" t="s">
        <v>10697</v>
      </c>
      <c r="N2169" s="12">
        <v>210680</v>
      </c>
      <c r="O2169" s="12">
        <v>4403</v>
      </c>
      <c r="P2169" s="12">
        <v>1</v>
      </c>
      <c r="Q2169" s="12" t="s">
        <v>10698</v>
      </c>
      <c r="R2169" s="15" t="s">
        <v>10699</v>
      </c>
      <c r="S2169" s="12">
        <v>479</v>
      </c>
      <c r="T2169" s="12" t="s">
        <v>39</v>
      </c>
      <c r="U2169" s="12" t="s">
        <v>40</v>
      </c>
      <c r="V2169" s="12" t="s">
        <v>41</v>
      </c>
      <c r="W2169" s="12">
        <v>35000000</v>
      </c>
      <c r="X2169" s="12">
        <v>2003</v>
      </c>
      <c r="Y2169" s="12">
        <v>931</v>
      </c>
      <c r="Z2169" s="12">
        <v>7.1</v>
      </c>
      <c r="AA2169" s="12">
        <v>1.85</v>
      </c>
      <c r="AB2169" s="12">
        <v>0</v>
      </c>
      <c r="AC2169" s="12"/>
      <c r="AD2169" s="12" t="str">
        <f>IFERROR(__xludf.DUMMYFUNCTION("""COMPUTED_VALUE"""),"Maria Thayer")</f>
        <v>Maria Thayer</v>
      </c>
      <c r="AE2169" s="12"/>
    </row>
    <row r="2170" customHeight="1" spans="1:31">
      <c r="A2170" s="11" t="s">
        <v>30</v>
      </c>
      <c r="B2170" s="11" t="s">
        <v>2332</v>
      </c>
      <c r="C2170" s="11">
        <v>72</v>
      </c>
      <c r="D2170" s="11">
        <v>101</v>
      </c>
      <c r="E2170" s="11">
        <v>545</v>
      </c>
      <c r="F2170" s="11">
        <v>545</v>
      </c>
      <c r="G2170" s="11">
        <v>1000</v>
      </c>
      <c r="H2170" s="11">
        <v>70360285</v>
      </c>
      <c r="I2170" s="11" t="s">
        <v>262</v>
      </c>
      <c r="J2170" s="11" t="s">
        <v>4534</v>
      </c>
      <c r="K2170" s="11" t="s">
        <v>589</v>
      </c>
      <c r="L2170" s="11" t="s">
        <v>6824</v>
      </c>
      <c r="M2170" s="11" t="s">
        <v>10700</v>
      </c>
      <c r="N2170" s="11">
        <v>81783</v>
      </c>
      <c r="O2170" s="11">
        <v>3816</v>
      </c>
      <c r="P2170" s="11">
        <v>0</v>
      </c>
      <c r="Q2170" s="11" t="s">
        <v>10701</v>
      </c>
      <c r="R2170" s="14" t="s">
        <v>10702</v>
      </c>
      <c r="S2170" s="11">
        <v>283</v>
      </c>
      <c r="T2170" s="11" t="s">
        <v>39</v>
      </c>
      <c r="U2170" s="11" t="s">
        <v>40</v>
      </c>
      <c r="V2170" s="11" t="s">
        <v>41</v>
      </c>
      <c r="W2170" s="11">
        <v>18000000</v>
      </c>
      <c r="X2170" s="11">
        <v>1995</v>
      </c>
      <c r="Y2170" s="11">
        <v>1000</v>
      </c>
      <c r="Z2170" s="11">
        <v>5.8</v>
      </c>
      <c r="AA2170" s="11">
        <v>1.85</v>
      </c>
      <c r="AB2170" s="11">
        <v>0</v>
      </c>
      <c r="AC2170" s="11"/>
      <c r="AD2170" s="11" t="str">
        <f>IFERROR(__xludf.DUMMYFUNCTION("""COMPUTED_VALUE"""),"Zach Gilford")</f>
        <v>Zach Gilford</v>
      </c>
      <c r="AE2170" s="11"/>
    </row>
    <row r="2171" customHeight="1" spans="1:31">
      <c r="A2171" s="12" t="s">
        <v>30</v>
      </c>
      <c r="B2171" s="12" t="s">
        <v>6047</v>
      </c>
      <c r="C2171" s="12">
        <v>98</v>
      </c>
      <c r="D2171" s="12">
        <v>114</v>
      </c>
      <c r="E2171" s="12">
        <v>118</v>
      </c>
      <c r="F2171" s="12">
        <v>40</v>
      </c>
      <c r="G2171" s="12">
        <v>489</v>
      </c>
      <c r="H2171" s="12">
        <v>12831121</v>
      </c>
      <c r="I2171" s="12" t="s">
        <v>3278</v>
      </c>
      <c r="J2171" s="12" t="s">
        <v>8581</v>
      </c>
      <c r="K2171" s="12" t="s">
        <v>8582</v>
      </c>
      <c r="L2171" s="12" t="s">
        <v>8583</v>
      </c>
      <c r="M2171" s="12" t="s">
        <v>8584</v>
      </c>
      <c r="N2171" s="12">
        <v>44979</v>
      </c>
      <c r="O2171" s="12">
        <v>679</v>
      </c>
      <c r="P2171" s="12">
        <v>0</v>
      </c>
      <c r="Q2171" s="12" t="s">
        <v>8585</v>
      </c>
      <c r="R2171" s="15" t="s">
        <v>8586</v>
      </c>
      <c r="S2171" s="12">
        <v>298</v>
      </c>
      <c r="T2171" s="12" t="s">
        <v>39</v>
      </c>
      <c r="U2171" s="12" t="s">
        <v>40</v>
      </c>
      <c r="V2171" s="12" t="s">
        <v>41</v>
      </c>
      <c r="W2171" s="12">
        <v>30000000</v>
      </c>
      <c r="X2171" s="12">
        <v>2004</v>
      </c>
      <c r="Y2171" s="12">
        <v>93</v>
      </c>
      <c r="Z2171" s="12">
        <v>7</v>
      </c>
      <c r="AA2171" s="12">
        <v>2.35</v>
      </c>
      <c r="AB2171" s="12">
        <v>0</v>
      </c>
      <c r="AC2171" s="12"/>
      <c r="AD2171" s="12" t="str">
        <f>IFERROR(__xludf.DUMMYFUNCTION("""COMPUTED_VALUE"""),"Tony Nappo")</f>
        <v>Tony Nappo</v>
      </c>
      <c r="AE2171" s="12"/>
    </row>
    <row r="2172" customHeight="1" spans="1:31">
      <c r="A2172" s="11" t="s">
        <v>30</v>
      </c>
      <c r="B2172" s="11" t="s">
        <v>3881</v>
      </c>
      <c r="C2172" s="11">
        <v>62</v>
      </c>
      <c r="D2172" s="11">
        <v>109</v>
      </c>
      <c r="E2172" s="11">
        <v>322</v>
      </c>
      <c r="F2172" s="11">
        <v>861</v>
      </c>
      <c r="G2172" s="11">
        <v>1000</v>
      </c>
      <c r="H2172" s="11">
        <v>69148997</v>
      </c>
      <c r="I2172" s="11" t="s">
        <v>1009</v>
      </c>
      <c r="J2172" s="11" t="s">
        <v>6502</v>
      </c>
      <c r="K2172" s="11" t="s">
        <v>751</v>
      </c>
      <c r="L2172" s="11" t="s">
        <v>3882</v>
      </c>
      <c r="M2172" s="11" t="s">
        <v>10703</v>
      </c>
      <c r="N2172" s="11">
        <v>98794</v>
      </c>
      <c r="O2172" s="11">
        <v>6313</v>
      </c>
      <c r="P2172" s="11">
        <v>4</v>
      </c>
      <c r="Q2172" s="11" t="s">
        <v>10704</v>
      </c>
      <c r="R2172" s="14" t="s">
        <v>10705</v>
      </c>
      <c r="S2172" s="11">
        <v>251</v>
      </c>
      <c r="T2172" s="11" t="s">
        <v>39</v>
      </c>
      <c r="U2172" s="11" t="s">
        <v>40</v>
      </c>
      <c r="V2172" s="11" t="s">
        <v>41</v>
      </c>
      <c r="W2172" s="11">
        <v>37000000</v>
      </c>
      <c r="X2172" s="11">
        <v>2004</v>
      </c>
      <c r="Y2172" s="11">
        <v>960</v>
      </c>
      <c r="Z2172" s="11">
        <v>5.4</v>
      </c>
      <c r="AA2172" s="11">
        <v>1.85</v>
      </c>
      <c r="AB2172" s="11">
        <v>0</v>
      </c>
      <c r="AC2172" s="11"/>
      <c r="AD2172" s="11" t="str">
        <f>IFERROR(__xludf.DUMMYFUNCTION("""COMPUTED_VALUE"""),"Fionnula Flanagan")</f>
        <v>Fionnula Flanagan</v>
      </c>
      <c r="AE2172" s="11"/>
    </row>
    <row r="2173" customHeight="1" spans="1:31">
      <c r="A2173" s="12" t="s">
        <v>30</v>
      </c>
      <c r="B2173" s="12" t="s">
        <v>8192</v>
      </c>
      <c r="C2173" s="12">
        <v>549</v>
      </c>
      <c r="D2173" s="12">
        <v>115</v>
      </c>
      <c r="E2173" s="12">
        <v>729</v>
      </c>
      <c r="F2173" s="12">
        <v>552</v>
      </c>
      <c r="G2173" s="12">
        <v>8000</v>
      </c>
      <c r="H2173" s="12">
        <v>82624961</v>
      </c>
      <c r="I2173" s="12" t="s">
        <v>2528</v>
      </c>
      <c r="J2173" s="12" t="s">
        <v>10706</v>
      </c>
      <c r="K2173" s="12" t="s">
        <v>10707</v>
      </c>
      <c r="L2173" s="12" t="s">
        <v>7415</v>
      </c>
      <c r="M2173" s="12" t="s">
        <v>10708</v>
      </c>
      <c r="N2173" s="12">
        <v>205284</v>
      </c>
      <c r="O2173" s="12">
        <v>9578</v>
      </c>
      <c r="P2173" s="12">
        <v>0</v>
      </c>
      <c r="Q2173" s="12" t="s">
        <v>10709</v>
      </c>
      <c r="R2173" s="15" t="s">
        <v>10710</v>
      </c>
      <c r="S2173" s="12">
        <v>439</v>
      </c>
      <c r="T2173" s="12" t="s">
        <v>39</v>
      </c>
      <c r="U2173" s="12" t="s">
        <v>40</v>
      </c>
      <c r="V2173" s="12" t="s">
        <v>586</v>
      </c>
      <c r="W2173" s="12">
        <v>20000000</v>
      </c>
      <c r="X2173" s="12">
        <v>2011</v>
      </c>
      <c r="Y2173" s="12">
        <v>727</v>
      </c>
      <c r="Z2173" s="12">
        <v>7.3</v>
      </c>
      <c r="AA2173" s="12">
        <v>2.35</v>
      </c>
      <c r="AB2173" s="12">
        <v>22000</v>
      </c>
      <c r="AC2173" s="12"/>
      <c r="AD2173" s="12" t="str">
        <f>IFERROR(__xludf.DUMMYFUNCTION("""COMPUTED_VALUE"""),"Antony Starr")</f>
        <v>Antony Starr</v>
      </c>
      <c r="AE2173" s="12"/>
    </row>
    <row r="2174" customHeight="1" spans="1:31">
      <c r="A2174" s="11" t="s">
        <v>748</v>
      </c>
      <c r="B2174" s="11" t="s">
        <v>2434</v>
      </c>
      <c r="C2174" s="11">
        <v>106</v>
      </c>
      <c r="D2174" s="11">
        <v>117</v>
      </c>
      <c r="E2174" s="11">
        <v>99</v>
      </c>
      <c r="F2174" s="11">
        <v>165</v>
      </c>
      <c r="G2174" s="11">
        <v>596</v>
      </c>
      <c r="H2174" s="11">
        <v>67325559</v>
      </c>
      <c r="I2174" s="11" t="s">
        <v>10711</v>
      </c>
      <c r="J2174" s="11" t="s">
        <v>1502</v>
      </c>
      <c r="K2174" s="11" t="s">
        <v>10712</v>
      </c>
      <c r="L2174" s="11" t="s">
        <v>10713</v>
      </c>
      <c r="M2174" s="11" t="s">
        <v>10714</v>
      </c>
      <c r="N2174" s="11">
        <v>58222</v>
      </c>
      <c r="O2174" s="11">
        <v>1293</v>
      </c>
      <c r="P2174" s="11">
        <v>0</v>
      </c>
      <c r="Q2174" s="11" t="s">
        <v>10715</v>
      </c>
      <c r="R2174" s="14" t="s">
        <v>10716</v>
      </c>
      <c r="S2174" s="11">
        <v>331</v>
      </c>
      <c r="T2174" s="11" t="s">
        <v>39</v>
      </c>
      <c r="U2174" s="11" t="s">
        <v>40</v>
      </c>
      <c r="V2174" s="11" t="s">
        <v>96</v>
      </c>
      <c r="W2174" s="11">
        <v>20000000</v>
      </c>
      <c r="X2174" s="11">
        <v>2003</v>
      </c>
      <c r="Y2174" s="11">
        <v>265</v>
      </c>
      <c r="Z2174" s="11">
        <v>7.1</v>
      </c>
      <c r="AA2174" s="11">
        <v>1.85</v>
      </c>
      <c r="AB2174" s="11">
        <v>0</v>
      </c>
      <c r="AC2174" s="11"/>
      <c r="AD2174" s="11" t="str">
        <f>IFERROR(__xludf.DUMMYFUNCTION("""COMPUTED_VALUE"""),"Scott Adsit")</f>
        <v>Scott Adsit</v>
      </c>
      <c r="AE2174" s="11"/>
    </row>
    <row r="2175" customHeight="1" spans="1:31">
      <c r="A2175" s="12" t="s">
        <v>30</v>
      </c>
      <c r="B2175" s="12" t="s">
        <v>6172</v>
      </c>
      <c r="C2175" s="12">
        <v>123</v>
      </c>
      <c r="D2175" s="12">
        <v>107</v>
      </c>
      <c r="E2175" s="12">
        <v>30</v>
      </c>
      <c r="F2175" s="12">
        <v>318</v>
      </c>
      <c r="G2175" s="12">
        <v>742</v>
      </c>
      <c r="H2175" s="12">
        <v>62933793</v>
      </c>
      <c r="I2175" s="12" t="s">
        <v>10717</v>
      </c>
      <c r="J2175" s="12" t="s">
        <v>1640</v>
      </c>
      <c r="K2175" s="12" t="s">
        <v>10718</v>
      </c>
      <c r="L2175" s="12" t="s">
        <v>10719</v>
      </c>
      <c r="M2175" s="12" t="s">
        <v>10720</v>
      </c>
      <c r="N2175" s="12">
        <v>62421</v>
      </c>
      <c r="O2175" s="12">
        <v>2341</v>
      </c>
      <c r="P2175" s="12">
        <v>1</v>
      </c>
      <c r="Q2175" s="12" t="s">
        <v>10721</v>
      </c>
      <c r="R2175" s="15" t="s">
        <v>10722</v>
      </c>
      <c r="S2175" s="12">
        <v>185</v>
      </c>
      <c r="T2175" s="12" t="s">
        <v>39</v>
      </c>
      <c r="U2175" s="12" t="s">
        <v>40</v>
      </c>
      <c r="V2175" s="12" t="s">
        <v>96</v>
      </c>
      <c r="W2175" s="12">
        <v>20000000</v>
      </c>
      <c r="X2175" s="12">
        <v>2010</v>
      </c>
      <c r="Y2175" s="12">
        <v>360</v>
      </c>
      <c r="Z2175" s="12">
        <v>5.8</v>
      </c>
      <c r="AA2175" s="12">
        <v>2.35</v>
      </c>
      <c r="AB2175" s="12">
        <v>10000</v>
      </c>
      <c r="AC2175" s="12"/>
      <c r="AD2175" s="12" t="str">
        <f>IFERROR(__xludf.DUMMYFUNCTION("""COMPUTED_VALUE"""),"Bonnie Somerville")</f>
        <v>Bonnie Somerville</v>
      </c>
      <c r="AE2175" s="12"/>
    </row>
    <row r="2176" customHeight="1" spans="1:31">
      <c r="A2176" s="11" t="s">
        <v>30</v>
      </c>
      <c r="B2176" s="11" t="s">
        <v>10723</v>
      </c>
      <c r="C2176" s="11">
        <v>597</v>
      </c>
      <c r="D2176" s="11">
        <v>134</v>
      </c>
      <c r="E2176" s="11">
        <v>0</v>
      </c>
      <c r="F2176" s="11">
        <v>500</v>
      </c>
      <c r="G2176" s="11">
        <v>2000</v>
      </c>
      <c r="H2176" s="11">
        <v>56667870</v>
      </c>
      <c r="I2176" s="11" t="s">
        <v>5941</v>
      </c>
      <c r="J2176" s="11" t="s">
        <v>3735</v>
      </c>
      <c r="K2176" s="11" t="s">
        <v>5130</v>
      </c>
      <c r="L2176" s="11" t="s">
        <v>10724</v>
      </c>
      <c r="M2176" s="11" t="s">
        <v>10725</v>
      </c>
      <c r="N2176" s="11">
        <v>439176</v>
      </c>
      <c r="O2176" s="11">
        <v>4251</v>
      </c>
      <c r="P2176" s="11">
        <v>0</v>
      </c>
      <c r="Q2176" s="11" t="s">
        <v>10726</v>
      </c>
      <c r="R2176" s="14" t="s">
        <v>10727</v>
      </c>
      <c r="S2176" s="11">
        <v>695</v>
      </c>
      <c r="T2176" s="11" t="s">
        <v>39</v>
      </c>
      <c r="U2176" s="11" t="s">
        <v>40</v>
      </c>
      <c r="V2176" s="11" t="s">
        <v>586</v>
      </c>
      <c r="W2176" s="11">
        <v>20000000</v>
      </c>
      <c r="X2176" s="11">
        <v>2013</v>
      </c>
      <c r="Y2176" s="11">
        <v>660</v>
      </c>
      <c r="Z2176" s="11">
        <v>8.1</v>
      </c>
      <c r="AA2176" s="11">
        <v>2.35</v>
      </c>
      <c r="AB2176" s="11">
        <v>83000</v>
      </c>
      <c r="AC2176" s="11"/>
      <c r="AD2176" s="11" t="str">
        <f>IFERROR(__xludf.DUMMYFUNCTION("""COMPUTED_VALUE"""),"Christa B. Allen")</f>
        <v>Christa B. Allen</v>
      </c>
      <c r="AE2176" s="11"/>
    </row>
    <row r="2177" customHeight="1" spans="1:31">
      <c r="A2177" s="12" t="s">
        <v>30</v>
      </c>
      <c r="B2177" s="12" t="s">
        <v>8505</v>
      </c>
      <c r="C2177" s="12">
        <v>64</v>
      </c>
      <c r="D2177" s="12">
        <v>118</v>
      </c>
      <c r="E2177" s="12">
        <v>30</v>
      </c>
      <c r="F2177" s="12">
        <v>284</v>
      </c>
      <c r="G2177" s="12">
        <v>962</v>
      </c>
      <c r="H2177" s="12">
        <v>56398162</v>
      </c>
      <c r="I2177" s="12" t="s">
        <v>5788</v>
      </c>
      <c r="J2177" s="12" t="s">
        <v>4445</v>
      </c>
      <c r="K2177" s="12" t="s">
        <v>6426</v>
      </c>
      <c r="L2177" s="12" t="s">
        <v>10728</v>
      </c>
      <c r="M2177" s="12" t="s">
        <v>10729</v>
      </c>
      <c r="N2177" s="12">
        <v>28649</v>
      </c>
      <c r="O2177" s="12">
        <v>2390</v>
      </c>
      <c r="P2177" s="12">
        <v>0</v>
      </c>
      <c r="Q2177" s="12" t="s">
        <v>10730</v>
      </c>
      <c r="R2177" s="15" t="s">
        <v>10731</v>
      </c>
      <c r="S2177" s="12">
        <v>185</v>
      </c>
      <c r="T2177" s="12" t="s">
        <v>39</v>
      </c>
      <c r="U2177" s="12" t="s">
        <v>40</v>
      </c>
      <c r="V2177" s="12" t="s">
        <v>41</v>
      </c>
      <c r="W2177" s="12">
        <v>20000000</v>
      </c>
      <c r="X2177" s="12">
        <v>2002</v>
      </c>
      <c r="Y2177" s="12">
        <v>593</v>
      </c>
      <c r="Z2177" s="12">
        <v>5.7</v>
      </c>
      <c r="AA2177" s="12">
        <v>2.35</v>
      </c>
      <c r="AB2177" s="12">
        <v>2000</v>
      </c>
      <c r="AC2177" s="12"/>
      <c r="AD2177" s="12" t="str">
        <f>IFERROR(__xludf.DUMMYFUNCTION("""COMPUTED_VALUE"""),"Audrey Fleurot")</f>
        <v>Audrey Fleurot</v>
      </c>
      <c r="AE2177" s="12"/>
    </row>
    <row r="2178" customHeight="1" spans="1:31">
      <c r="A2178" s="11" t="s">
        <v>30</v>
      </c>
      <c r="B2178" s="11" t="s">
        <v>9517</v>
      </c>
      <c r="C2178" s="11">
        <v>40</v>
      </c>
      <c r="D2178" s="11">
        <v>121</v>
      </c>
      <c r="E2178" s="11">
        <v>0</v>
      </c>
      <c r="F2178" s="11">
        <v>721</v>
      </c>
      <c r="G2178" s="11">
        <v>2000</v>
      </c>
      <c r="H2178" s="11">
        <v>60072596</v>
      </c>
      <c r="I2178" s="11" t="s">
        <v>1415</v>
      </c>
      <c r="J2178" s="11" t="s">
        <v>6434</v>
      </c>
      <c r="K2178" s="11" t="s">
        <v>7513</v>
      </c>
      <c r="L2178" s="11" t="s">
        <v>4010</v>
      </c>
      <c r="M2178" s="11" t="s">
        <v>10732</v>
      </c>
      <c r="N2178" s="11">
        <v>7664</v>
      </c>
      <c r="O2178" s="11">
        <v>6657</v>
      </c>
      <c r="P2178" s="11">
        <v>8</v>
      </c>
      <c r="Q2178" s="11" t="s">
        <v>10733</v>
      </c>
      <c r="R2178" s="14" t="s">
        <v>10734</v>
      </c>
      <c r="S2178" s="11">
        <v>68</v>
      </c>
      <c r="T2178" s="11" t="s">
        <v>39</v>
      </c>
      <c r="U2178" s="11" t="s">
        <v>40</v>
      </c>
      <c r="V2178" s="11" t="s">
        <v>41</v>
      </c>
      <c r="W2178" s="11">
        <v>20000000</v>
      </c>
      <c r="X2178" s="11">
        <v>2010</v>
      </c>
      <c r="Y2178" s="11">
        <v>907</v>
      </c>
      <c r="Z2178" s="11">
        <v>4.4</v>
      </c>
      <c r="AA2178" s="11">
        <v>1.85</v>
      </c>
      <c r="AB2178" s="11">
        <v>0</v>
      </c>
      <c r="AC2178" s="11"/>
      <c r="AD2178" s="11" t="str">
        <f>IFERROR(__xludf.DUMMYFUNCTION("""COMPUTED_VALUE"""),"Nina Arianda")</f>
        <v>Nina Arianda</v>
      </c>
      <c r="AE2178" s="11"/>
    </row>
    <row r="2179" customHeight="1" spans="1:31">
      <c r="A2179" s="12" t="s">
        <v>30</v>
      </c>
      <c r="B2179" s="12" t="s">
        <v>256</v>
      </c>
      <c r="C2179" s="12">
        <v>111</v>
      </c>
      <c r="D2179" s="12">
        <v>105</v>
      </c>
      <c r="E2179" s="12">
        <v>13000</v>
      </c>
      <c r="F2179" s="12">
        <v>658</v>
      </c>
      <c r="G2179" s="12">
        <v>40000</v>
      </c>
      <c r="H2179" s="12">
        <v>56362352</v>
      </c>
      <c r="I2179" s="12" t="s">
        <v>10735</v>
      </c>
      <c r="J2179" s="12" t="s">
        <v>44</v>
      </c>
      <c r="K2179" s="12" t="s">
        <v>4196</v>
      </c>
      <c r="L2179" s="12" t="s">
        <v>5039</v>
      </c>
      <c r="M2179" s="12" t="s">
        <v>10736</v>
      </c>
      <c r="N2179" s="12">
        <v>357581</v>
      </c>
      <c r="O2179" s="12">
        <v>42330</v>
      </c>
      <c r="P2179" s="12">
        <v>0</v>
      </c>
      <c r="Q2179" s="12" t="s">
        <v>10737</v>
      </c>
      <c r="R2179" s="15" t="s">
        <v>10738</v>
      </c>
      <c r="S2179" s="12">
        <v>588</v>
      </c>
      <c r="T2179" s="12" t="s">
        <v>39</v>
      </c>
      <c r="U2179" s="12" t="s">
        <v>40</v>
      </c>
      <c r="V2179" s="12" t="s">
        <v>41</v>
      </c>
      <c r="W2179" s="12">
        <v>20000000</v>
      </c>
      <c r="X2179" s="12">
        <v>1990</v>
      </c>
      <c r="Y2179" s="12">
        <v>967</v>
      </c>
      <c r="Z2179" s="12">
        <v>7.9</v>
      </c>
      <c r="AA2179" s="12">
        <v>1.85</v>
      </c>
      <c r="AB2179" s="12">
        <v>16000</v>
      </c>
      <c r="AC2179" s="12"/>
      <c r="AD2179" s="12" t="str">
        <f>IFERROR(__xludf.DUMMYFUNCTION("""COMPUTED_VALUE"""),"John Savage")</f>
        <v>John Savage</v>
      </c>
      <c r="AE2179" s="12"/>
    </row>
    <row r="2180" customHeight="1" spans="1:31">
      <c r="A2180" s="11" t="s">
        <v>30</v>
      </c>
      <c r="B2180" s="11" t="s">
        <v>10739</v>
      </c>
      <c r="C2180" s="11">
        <v>151</v>
      </c>
      <c r="D2180" s="11">
        <v>110</v>
      </c>
      <c r="E2180" s="11">
        <v>17</v>
      </c>
      <c r="F2180" s="11">
        <v>418</v>
      </c>
      <c r="G2180" s="11">
        <v>11000</v>
      </c>
      <c r="H2180" s="11">
        <v>56154094</v>
      </c>
      <c r="I2180" s="11" t="s">
        <v>214</v>
      </c>
      <c r="J2180" s="11" t="s">
        <v>159</v>
      </c>
      <c r="K2180" s="11" t="s">
        <v>737</v>
      </c>
      <c r="L2180" s="11" t="s">
        <v>10740</v>
      </c>
      <c r="M2180" s="11" t="s">
        <v>10741</v>
      </c>
      <c r="N2180" s="11">
        <v>44723</v>
      </c>
      <c r="O2180" s="11">
        <v>21852</v>
      </c>
      <c r="P2180" s="11">
        <v>0</v>
      </c>
      <c r="Q2180" s="11" t="s">
        <v>10742</v>
      </c>
      <c r="R2180" s="14" t="s">
        <v>10743</v>
      </c>
      <c r="S2180" s="11">
        <v>130</v>
      </c>
      <c r="T2180" s="11" t="s">
        <v>39</v>
      </c>
      <c r="U2180" s="11" t="s">
        <v>58</v>
      </c>
      <c r="V2180" s="11" t="s">
        <v>41</v>
      </c>
      <c r="W2180" s="11">
        <v>20000000</v>
      </c>
      <c r="X2180" s="11">
        <v>2016</v>
      </c>
      <c r="Y2180" s="11">
        <v>10000</v>
      </c>
      <c r="Z2180" s="11">
        <v>7.6</v>
      </c>
      <c r="AA2180" s="11">
        <v>2.35</v>
      </c>
      <c r="AB2180" s="11">
        <v>51000</v>
      </c>
      <c r="AC2180" s="11"/>
      <c r="AD2180" s="11" t="str">
        <f>IFERROR(__xludf.DUMMYFUNCTION("""COMPUTED_VALUE"""),"Raphael Sbarge")</f>
        <v>Raphael Sbarge</v>
      </c>
      <c r="AE2180" s="11"/>
    </row>
    <row r="2181" customHeight="1" spans="1:31">
      <c r="A2181" s="12" t="s">
        <v>30</v>
      </c>
      <c r="B2181" s="12" t="s">
        <v>9517</v>
      </c>
      <c r="C2181" s="12">
        <v>31</v>
      </c>
      <c r="D2181" s="12">
        <v>114</v>
      </c>
      <c r="E2181" s="12">
        <v>0</v>
      </c>
      <c r="F2181" s="12">
        <v>582</v>
      </c>
      <c r="G2181" s="12">
        <v>982</v>
      </c>
      <c r="H2181" s="12">
        <v>65623128</v>
      </c>
      <c r="I2181" s="12" t="s">
        <v>9194</v>
      </c>
      <c r="J2181" s="12" t="s">
        <v>3330</v>
      </c>
      <c r="K2181" s="12" t="s">
        <v>1736</v>
      </c>
      <c r="L2181" s="12" t="s">
        <v>10744</v>
      </c>
      <c r="M2181" s="12" t="s">
        <v>10745</v>
      </c>
      <c r="N2181" s="12">
        <v>7354</v>
      </c>
      <c r="O2181" s="12">
        <v>2753</v>
      </c>
      <c r="P2181" s="12">
        <v>5</v>
      </c>
      <c r="Q2181" s="12" t="s">
        <v>10746</v>
      </c>
      <c r="R2181" s="15" t="s">
        <v>10747</v>
      </c>
      <c r="S2181" s="12">
        <v>50</v>
      </c>
      <c r="T2181" s="12" t="s">
        <v>39</v>
      </c>
      <c r="U2181" s="12" t="s">
        <v>40</v>
      </c>
      <c r="V2181" s="12" t="s">
        <v>41</v>
      </c>
      <c r="W2181" s="12">
        <v>20000000</v>
      </c>
      <c r="X2181" s="12">
        <v>2012</v>
      </c>
      <c r="Y2181" s="12">
        <v>618</v>
      </c>
      <c r="Z2181" s="12">
        <v>4.8</v>
      </c>
      <c r="AA2181" s="12">
        <v>1.85</v>
      </c>
      <c r="AB2181" s="12">
        <v>0</v>
      </c>
      <c r="AC2181" s="12"/>
      <c r="AD2181" s="12" t="str">
        <f>IFERROR(__xludf.DUMMYFUNCTION("""COMPUTED_VALUE"""),"Brenda Song")</f>
        <v>Brenda Song</v>
      </c>
      <c r="AE2181" s="12"/>
    </row>
    <row r="2182" customHeight="1" spans="1:31">
      <c r="A2182" s="11" t="s">
        <v>30</v>
      </c>
      <c r="B2182" s="11" t="s">
        <v>4734</v>
      </c>
      <c r="C2182" s="11">
        <v>138</v>
      </c>
      <c r="D2182" s="11">
        <v>104</v>
      </c>
      <c r="E2182" s="11">
        <v>607</v>
      </c>
      <c r="F2182" s="11">
        <v>109</v>
      </c>
      <c r="G2182" s="11">
        <v>813</v>
      </c>
      <c r="H2182" s="13"/>
      <c r="I2182" s="11" t="s">
        <v>464</v>
      </c>
      <c r="J2182" s="11" t="s">
        <v>2443</v>
      </c>
      <c r="K2182" s="11" t="s">
        <v>10748</v>
      </c>
      <c r="L2182" s="11" t="s">
        <v>10749</v>
      </c>
      <c r="M2182" s="11" t="s">
        <v>10750</v>
      </c>
      <c r="N2182" s="11">
        <v>82476</v>
      </c>
      <c r="O2182" s="11">
        <v>1196</v>
      </c>
      <c r="P2182" s="11">
        <v>0</v>
      </c>
      <c r="Q2182" s="11" t="s">
        <v>10751</v>
      </c>
      <c r="R2182" s="14" t="s">
        <v>10752</v>
      </c>
      <c r="S2182" s="11">
        <v>280</v>
      </c>
      <c r="T2182" s="11" t="s">
        <v>39</v>
      </c>
      <c r="U2182" s="11" t="s">
        <v>40</v>
      </c>
      <c r="V2182" s="11" t="s">
        <v>586</v>
      </c>
      <c r="W2182" s="11">
        <v>1800000</v>
      </c>
      <c r="X2182" s="11">
        <v>1971</v>
      </c>
      <c r="Y2182" s="11">
        <v>165</v>
      </c>
      <c r="Z2182" s="11">
        <v>7.8</v>
      </c>
      <c r="AA2182" s="11">
        <v>1.85</v>
      </c>
      <c r="AB2182" s="11">
        <v>0</v>
      </c>
      <c r="AC2182" s="11"/>
      <c r="AD2182" s="11" t="str">
        <f>IFERROR(__xludf.DUMMYFUNCTION("""COMPUTED_VALUE"""),"Anne Meara")</f>
        <v>Anne Meara</v>
      </c>
      <c r="AE2182" s="11"/>
    </row>
    <row r="2183" customHeight="1" spans="1:31">
      <c r="A2183" s="12" t="s">
        <v>30</v>
      </c>
      <c r="B2183" s="12" t="s">
        <v>10753</v>
      </c>
      <c r="C2183" s="12">
        <v>81</v>
      </c>
      <c r="D2183" s="12">
        <v>100</v>
      </c>
      <c r="E2183" s="12">
        <v>24</v>
      </c>
      <c r="F2183" s="12">
        <v>851</v>
      </c>
      <c r="G2183" s="12">
        <v>15000</v>
      </c>
      <c r="H2183" s="12">
        <v>55461307</v>
      </c>
      <c r="I2183" s="12" t="s">
        <v>1672</v>
      </c>
      <c r="J2183" s="12" t="s">
        <v>292</v>
      </c>
      <c r="K2183" s="12" t="s">
        <v>3715</v>
      </c>
      <c r="L2183" s="12" t="s">
        <v>805</v>
      </c>
      <c r="M2183" s="12" t="s">
        <v>10754</v>
      </c>
      <c r="N2183" s="12">
        <v>4654</v>
      </c>
      <c r="O2183" s="12">
        <v>18786</v>
      </c>
      <c r="P2183" s="12">
        <v>9</v>
      </c>
      <c r="Q2183" s="12" t="s">
        <v>10755</v>
      </c>
      <c r="R2183" s="15" t="s">
        <v>10756</v>
      </c>
      <c r="S2183" s="12">
        <v>46</v>
      </c>
      <c r="T2183" s="12" t="s">
        <v>39</v>
      </c>
      <c r="U2183" s="12" t="s">
        <v>40</v>
      </c>
      <c r="V2183" s="12" t="s">
        <v>586</v>
      </c>
      <c r="W2183" s="12">
        <v>20000000</v>
      </c>
      <c r="X2183" s="12">
        <v>2016</v>
      </c>
      <c r="Y2183" s="12">
        <v>1000</v>
      </c>
      <c r="Z2183" s="12">
        <v>6.7</v>
      </c>
      <c r="AA2183" s="16"/>
      <c r="AB2183" s="12">
        <v>18000</v>
      </c>
      <c r="AC2183" s="12"/>
      <c r="AD2183" s="12" t="str">
        <f>IFERROR(__xludf.DUMMYFUNCTION("""COMPUTED_VALUE"""),"Priscilla Presley")</f>
        <v>Priscilla Presley</v>
      </c>
      <c r="AE2183" s="12"/>
    </row>
    <row r="2184" customHeight="1" spans="1:31">
      <c r="A2184" s="11" t="s">
        <v>30</v>
      </c>
      <c r="B2184" s="11" t="s">
        <v>10757</v>
      </c>
      <c r="C2184" s="11">
        <v>99</v>
      </c>
      <c r="D2184" s="11">
        <v>85</v>
      </c>
      <c r="E2184" s="11">
        <v>64</v>
      </c>
      <c r="F2184" s="11">
        <v>729</v>
      </c>
      <c r="G2184" s="11">
        <v>3000</v>
      </c>
      <c r="H2184" s="11">
        <v>48546578</v>
      </c>
      <c r="I2184" s="11" t="s">
        <v>1681</v>
      </c>
      <c r="J2184" s="11" t="s">
        <v>4599</v>
      </c>
      <c r="K2184" s="11" t="s">
        <v>2615</v>
      </c>
      <c r="L2184" s="11" t="s">
        <v>417</v>
      </c>
      <c r="M2184" s="11" t="s">
        <v>10758</v>
      </c>
      <c r="N2184" s="11">
        <v>50415</v>
      </c>
      <c r="O2184" s="11">
        <v>6539</v>
      </c>
      <c r="P2184" s="11">
        <v>0</v>
      </c>
      <c r="Q2184" s="11" t="s">
        <v>10759</v>
      </c>
      <c r="R2184" s="14" t="s">
        <v>10760</v>
      </c>
      <c r="S2184" s="11">
        <v>613</v>
      </c>
      <c r="T2184" s="11" t="s">
        <v>39</v>
      </c>
      <c r="U2184" s="11" t="s">
        <v>40</v>
      </c>
      <c r="V2184" s="11" t="s">
        <v>41</v>
      </c>
      <c r="W2184" s="11">
        <v>20000000</v>
      </c>
      <c r="X2184" s="11">
        <v>2006</v>
      </c>
      <c r="Y2184" s="11">
        <v>869</v>
      </c>
      <c r="Z2184" s="11">
        <v>2.7</v>
      </c>
      <c r="AA2184" s="11">
        <v>1.85</v>
      </c>
      <c r="AB2184" s="11">
        <v>806</v>
      </c>
      <c r="AC2184" s="11"/>
      <c r="AD2184" s="11" t="str">
        <f>IFERROR(__xludf.DUMMYFUNCTION("""COMPUTED_VALUE"""),"Patrick Macnee")</f>
        <v>Patrick Macnee</v>
      </c>
      <c r="AE2184" s="11"/>
    </row>
    <row r="2185" customHeight="1" spans="1:31">
      <c r="A2185" s="12" t="s">
        <v>30</v>
      </c>
      <c r="B2185" s="12" t="s">
        <v>10761</v>
      </c>
      <c r="C2185" s="12">
        <v>80</v>
      </c>
      <c r="D2185" s="12">
        <v>72</v>
      </c>
      <c r="E2185" s="12">
        <v>2</v>
      </c>
      <c r="F2185" s="12">
        <v>434</v>
      </c>
      <c r="G2185" s="12">
        <v>1000</v>
      </c>
      <c r="H2185" s="12">
        <v>48423368</v>
      </c>
      <c r="I2185" s="12" t="s">
        <v>628</v>
      </c>
      <c r="J2185" s="12" t="s">
        <v>2677</v>
      </c>
      <c r="K2185" s="12" t="s">
        <v>4984</v>
      </c>
      <c r="L2185" s="12" t="s">
        <v>1641</v>
      </c>
      <c r="M2185" s="12" t="s">
        <v>10762</v>
      </c>
      <c r="N2185" s="12">
        <v>13324</v>
      </c>
      <c r="O2185" s="12">
        <v>3402</v>
      </c>
      <c r="P2185" s="12">
        <v>1</v>
      </c>
      <c r="Q2185" s="12" t="s">
        <v>10763</v>
      </c>
      <c r="R2185" s="15" t="s">
        <v>10764</v>
      </c>
      <c r="S2185" s="12">
        <v>79</v>
      </c>
      <c r="T2185" s="12" t="s">
        <v>39</v>
      </c>
      <c r="U2185" s="12" t="s">
        <v>40</v>
      </c>
      <c r="V2185" s="12" t="s">
        <v>278</v>
      </c>
      <c r="W2185" s="12">
        <v>20000000</v>
      </c>
      <c r="X2185" s="12">
        <v>2002</v>
      </c>
      <c r="Y2185" s="12">
        <v>677</v>
      </c>
      <c r="Z2185" s="12">
        <v>5.8</v>
      </c>
      <c r="AA2185" s="12">
        <v>1.66</v>
      </c>
      <c r="AB2185" s="12">
        <v>302</v>
      </c>
      <c r="AC2185" s="12"/>
      <c r="AD2185" s="12" t="str">
        <f>IFERROR(__xludf.DUMMYFUNCTION("""COMPUTED_VALUE"""),"Tanya Roberts")</f>
        <v>Tanya Roberts</v>
      </c>
      <c r="AE2185" s="12"/>
    </row>
    <row r="2186" customHeight="1" spans="1:31">
      <c r="A2186" s="11" t="s">
        <v>30</v>
      </c>
      <c r="B2186" s="11" t="s">
        <v>10765</v>
      </c>
      <c r="C2186" s="11">
        <v>364</v>
      </c>
      <c r="D2186" s="11">
        <v>128</v>
      </c>
      <c r="E2186" s="11">
        <v>151</v>
      </c>
      <c r="F2186" s="11">
        <v>852</v>
      </c>
      <c r="G2186" s="11">
        <v>1000</v>
      </c>
      <c r="H2186" s="11">
        <v>52066000</v>
      </c>
      <c r="I2186" s="11" t="s">
        <v>5941</v>
      </c>
      <c r="J2186" s="11" t="s">
        <v>2039</v>
      </c>
      <c r="K2186" s="11" t="s">
        <v>138</v>
      </c>
      <c r="L2186" s="11" t="s">
        <v>903</v>
      </c>
      <c r="M2186" s="11" t="s">
        <v>10766</v>
      </c>
      <c r="N2186" s="11">
        <v>61114</v>
      </c>
      <c r="O2186" s="11">
        <v>3869</v>
      </c>
      <c r="P2186" s="11">
        <v>0</v>
      </c>
      <c r="Q2186" s="11" t="s">
        <v>10767</v>
      </c>
      <c r="R2186" s="14" t="s">
        <v>10768</v>
      </c>
      <c r="S2186" s="11">
        <v>212</v>
      </c>
      <c r="T2186" s="11" t="s">
        <v>39</v>
      </c>
      <c r="U2186" s="11" t="s">
        <v>58</v>
      </c>
      <c r="V2186" s="11" t="s">
        <v>41</v>
      </c>
      <c r="W2186" s="11">
        <v>20000000</v>
      </c>
      <c r="X2186" s="11">
        <v>2014</v>
      </c>
      <c r="Y2186" s="11">
        <v>1000</v>
      </c>
      <c r="Z2186" s="11">
        <v>7.5</v>
      </c>
      <c r="AA2186" s="11">
        <v>2.35</v>
      </c>
      <c r="AB2186" s="11">
        <v>22000</v>
      </c>
      <c r="AC2186" s="11"/>
      <c r="AD2186" s="11" t="str">
        <f>IFERROR(__xludf.DUMMYFUNCTION("""COMPUTED_VALUE"""),"Mark Gatiss")</f>
        <v>Mark Gatiss</v>
      </c>
      <c r="AE2186" s="11"/>
    </row>
    <row r="2187" customHeight="1" spans="1:31">
      <c r="A2187" s="12" t="s">
        <v>30</v>
      </c>
      <c r="B2187" s="12" t="s">
        <v>10769</v>
      </c>
      <c r="C2187" s="12">
        <v>85</v>
      </c>
      <c r="D2187" s="12">
        <v>72</v>
      </c>
      <c r="E2187" s="12">
        <v>0</v>
      </c>
      <c r="F2187" s="12">
        <v>384</v>
      </c>
      <c r="G2187" s="12">
        <v>3000</v>
      </c>
      <c r="H2187" s="12">
        <v>47887943</v>
      </c>
      <c r="I2187" s="12" t="s">
        <v>10770</v>
      </c>
      <c r="J2187" s="12" t="s">
        <v>2190</v>
      </c>
      <c r="K2187" s="12" t="s">
        <v>10771</v>
      </c>
      <c r="L2187" s="12" t="s">
        <v>10772</v>
      </c>
      <c r="M2187" s="12" t="s">
        <v>10773</v>
      </c>
      <c r="N2187" s="12">
        <v>11634</v>
      </c>
      <c r="O2187" s="12">
        <v>4480</v>
      </c>
      <c r="P2187" s="12">
        <v>0</v>
      </c>
      <c r="Q2187" s="12" t="s">
        <v>10774</v>
      </c>
      <c r="R2187" s="15" t="s">
        <v>10775</v>
      </c>
      <c r="S2187" s="12">
        <v>58</v>
      </c>
      <c r="T2187" s="12" t="s">
        <v>39</v>
      </c>
      <c r="U2187" s="12" t="s">
        <v>40</v>
      </c>
      <c r="V2187" s="12" t="s">
        <v>278</v>
      </c>
      <c r="W2187" s="12">
        <v>20000000</v>
      </c>
      <c r="X2187" s="12">
        <v>2003</v>
      </c>
      <c r="Y2187" s="12">
        <v>455</v>
      </c>
      <c r="Z2187" s="12">
        <v>5.4</v>
      </c>
      <c r="AA2187" s="12">
        <v>1.85</v>
      </c>
      <c r="AB2187" s="12">
        <v>227</v>
      </c>
      <c r="AC2187" s="12"/>
      <c r="AD2187" s="12" t="str">
        <f>IFERROR(__xludf.DUMMYFUNCTION("""COMPUTED_VALUE"""),"Geraldine McEwan")</f>
        <v>Geraldine McEwan</v>
      </c>
      <c r="AE2187" s="12"/>
    </row>
    <row r="2188" customHeight="1" spans="1:31">
      <c r="A2188" s="11" t="s">
        <v>30</v>
      </c>
      <c r="B2188" s="11" t="s">
        <v>6732</v>
      </c>
      <c r="C2188" s="11">
        <v>140</v>
      </c>
      <c r="D2188" s="11">
        <v>89</v>
      </c>
      <c r="E2188" s="11">
        <v>19</v>
      </c>
      <c r="F2188" s="11">
        <v>349</v>
      </c>
      <c r="G2188" s="11">
        <v>526</v>
      </c>
      <c r="H2188" s="11">
        <v>46363118</v>
      </c>
      <c r="I2188" s="11" t="s">
        <v>6133</v>
      </c>
      <c r="J2188" s="11" t="s">
        <v>10776</v>
      </c>
      <c r="K2188" s="11" t="s">
        <v>10777</v>
      </c>
      <c r="L2188" s="11" t="s">
        <v>10778</v>
      </c>
      <c r="M2188" s="11" t="s">
        <v>10779</v>
      </c>
      <c r="N2188" s="11">
        <v>25960</v>
      </c>
      <c r="O2188" s="11">
        <v>1383</v>
      </c>
      <c r="P2188" s="11">
        <v>0</v>
      </c>
      <c r="Q2188" s="11" t="s">
        <v>10780</v>
      </c>
      <c r="R2188" s="14" t="s">
        <v>10781</v>
      </c>
      <c r="S2188" s="11">
        <v>389</v>
      </c>
      <c r="T2188" s="11" t="s">
        <v>39</v>
      </c>
      <c r="U2188" s="11" t="s">
        <v>40</v>
      </c>
      <c r="V2188" s="11" t="s">
        <v>41</v>
      </c>
      <c r="W2188" s="11">
        <v>20000000</v>
      </c>
      <c r="X2188" s="11">
        <v>2005</v>
      </c>
      <c r="Y2188" s="11">
        <v>392</v>
      </c>
      <c r="Z2188" s="11">
        <v>4.1</v>
      </c>
      <c r="AA2188" s="11">
        <v>1.85</v>
      </c>
      <c r="AB2188" s="11">
        <v>1000</v>
      </c>
      <c r="AC2188" s="11"/>
      <c r="AD2188" s="11" t="str">
        <f>IFERROR(__xludf.DUMMYFUNCTION("""COMPUTED_VALUE"""),"Peter Sallis")</f>
        <v>Peter Sallis</v>
      </c>
      <c r="AE2188" s="11"/>
    </row>
    <row r="2189" customHeight="1" spans="1:31">
      <c r="A2189" s="12" t="s">
        <v>30</v>
      </c>
      <c r="B2189" s="12" t="s">
        <v>10782</v>
      </c>
      <c r="C2189" s="12">
        <v>184</v>
      </c>
      <c r="D2189" s="12">
        <v>96</v>
      </c>
      <c r="E2189" s="12">
        <v>9</v>
      </c>
      <c r="F2189" s="12">
        <v>107</v>
      </c>
      <c r="G2189" s="12">
        <v>826</v>
      </c>
      <c r="H2189" s="12">
        <v>47852604</v>
      </c>
      <c r="I2189" s="12" t="s">
        <v>1924</v>
      </c>
      <c r="J2189" s="12" t="s">
        <v>6383</v>
      </c>
      <c r="K2189" s="12" t="s">
        <v>2095</v>
      </c>
      <c r="L2189" s="12" t="s">
        <v>10783</v>
      </c>
      <c r="M2189" s="12" t="s">
        <v>10784</v>
      </c>
      <c r="N2189" s="12">
        <v>62364</v>
      </c>
      <c r="O2189" s="12">
        <v>1825</v>
      </c>
      <c r="P2189" s="12">
        <v>0</v>
      </c>
      <c r="Q2189" s="12" t="s">
        <v>10785</v>
      </c>
      <c r="R2189" s="15" t="s">
        <v>10786</v>
      </c>
      <c r="S2189" s="12">
        <v>337</v>
      </c>
      <c r="T2189" s="12" t="s">
        <v>39</v>
      </c>
      <c r="U2189" s="12" t="s">
        <v>40</v>
      </c>
      <c r="V2189" s="12" t="s">
        <v>41</v>
      </c>
      <c r="W2189" s="12">
        <v>20000000</v>
      </c>
      <c r="X2189" s="12">
        <v>2007</v>
      </c>
      <c r="Y2189" s="12">
        <v>626</v>
      </c>
      <c r="Z2189" s="12">
        <v>5.9</v>
      </c>
      <c r="AA2189" s="12">
        <v>2.35</v>
      </c>
      <c r="AB2189" s="12">
        <v>0</v>
      </c>
      <c r="AC2189" s="12"/>
      <c r="AD2189" s="12" t="str">
        <f>IFERROR(__xludf.DUMMYFUNCTION("""COMPUTED_VALUE"""),"Nellie McKay")</f>
        <v>Nellie McKay</v>
      </c>
      <c r="AE2189" s="12"/>
    </row>
    <row r="2190" customHeight="1" spans="1:31">
      <c r="A2190" s="11" t="s">
        <v>30</v>
      </c>
      <c r="B2190" s="11" t="s">
        <v>10787</v>
      </c>
      <c r="C2190" s="11">
        <v>89</v>
      </c>
      <c r="D2190" s="11">
        <v>77</v>
      </c>
      <c r="E2190" s="11">
        <v>25</v>
      </c>
      <c r="F2190" s="11">
        <v>16</v>
      </c>
      <c r="G2190" s="11">
        <v>304</v>
      </c>
      <c r="H2190" s="11">
        <v>45542421</v>
      </c>
      <c r="I2190" s="11" t="s">
        <v>10788</v>
      </c>
      <c r="J2190" s="11" t="s">
        <v>10789</v>
      </c>
      <c r="K2190" s="11" t="s">
        <v>1780</v>
      </c>
      <c r="L2190" s="11" t="s">
        <v>10790</v>
      </c>
      <c r="M2190" s="11" t="s">
        <v>10791</v>
      </c>
      <c r="N2190" s="11">
        <v>13319</v>
      </c>
      <c r="O2190" s="11">
        <v>575</v>
      </c>
      <c r="P2190" s="11">
        <v>0</v>
      </c>
      <c r="Q2190" s="11" t="s">
        <v>10792</v>
      </c>
      <c r="R2190" s="14" t="s">
        <v>10793</v>
      </c>
      <c r="S2190" s="11">
        <v>53</v>
      </c>
      <c r="T2190" s="11" t="s">
        <v>39</v>
      </c>
      <c r="U2190" s="11" t="s">
        <v>40</v>
      </c>
      <c r="V2190" s="11" t="s">
        <v>278</v>
      </c>
      <c r="W2190" s="11">
        <v>30000000</v>
      </c>
      <c r="X2190" s="11">
        <v>2000</v>
      </c>
      <c r="Y2190" s="11">
        <v>253</v>
      </c>
      <c r="Z2190" s="11">
        <v>6.3</v>
      </c>
      <c r="AA2190" s="11">
        <v>1.78</v>
      </c>
      <c r="AB2190" s="11">
        <v>347</v>
      </c>
      <c r="AC2190" s="11"/>
      <c r="AD2190" s="11" t="str">
        <f>IFERROR(__xludf.DUMMYFUNCTION("""COMPUTED_VALUE"""),"Frankie Muniz")</f>
        <v>Frankie Muniz</v>
      </c>
      <c r="AE2190" s="11"/>
    </row>
    <row r="2191" customHeight="1" spans="1:31">
      <c r="A2191" s="12" t="s">
        <v>30</v>
      </c>
      <c r="B2191" s="12" t="s">
        <v>5129</v>
      </c>
      <c r="C2191" s="12">
        <v>265</v>
      </c>
      <c r="D2191" s="12">
        <v>123</v>
      </c>
      <c r="E2191" s="12">
        <v>174</v>
      </c>
      <c r="F2191" s="12">
        <v>602</v>
      </c>
      <c r="G2191" s="12">
        <v>87000</v>
      </c>
      <c r="H2191" s="12">
        <v>41573740</v>
      </c>
      <c r="I2191" s="12" t="s">
        <v>3030</v>
      </c>
      <c r="J2191" s="12" t="s">
        <v>517</v>
      </c>
      <c r="K2191" s="12" t="s">
        <v>33</v>
      </c>
      <c r="L2191" s="12" t="s">
        <v>10794</v>
      </c>
      <c r="M2191" s="12" t="s">
        <v>10795</v>
      </c>
      <c r="N2191" s="12">
        <v>141663</v>
      </c>
      <c r="O2191" s="12">
        <v>88953</v>
      </c>
      <c r="P2191" s="12">
        <v>1</v>
      </c>
      <c r="Q2191" s="12" t="s">
        <v>10796</v>
      </c>
      <c r="R2191" s="15" t="s">
        <v>10797</v>
      </c>
      <c r="S2191" s="12">
        <v>383</v>
      </c>
      <c r="T2191" s="12" t="s">
        <v>39</v>
      </c>
      <c r="U2191" s="12" t="s">
        <v>40</v>
      </c>
      <c r="V2191" s="12" t="s">
        <v>586</v>
      </c>
      <c r="W2191" s="16"/>
      <c r="X2191" s="12">
        <v>2009</v>
      </c>
      <c r="Y2191" s="12">
        <v>1000</v>
      </c>
      <c r="Z2191" s="12">
        <v>7</v>
      </c>
      <c r="AA2191" s="12">
        <v>1.85</v>
      </c>
      <c r="AB2191" s="12">
        <v>20000</v>
      </c>
      <c r="AC2191" s="12"/>
      <c r="AD2191" s="12" t="str">
        <f>IFERROR(__xludf.DUMMYFUNCTION("""COMPUTED_VALUE"""),"Alfie Allen")</f>
        <v>Alfie Allen</v>
      </c>
      <c r="AE2191" s="12"/>
    </row>
    <row r="2192" customHeight="1" spans="1:31">
      <c r="A2192" s="11" t="s">
        <v>30</v>
      </c>
      <c r="B2192" s="11" t="s">
        <v>7863</v>
      </c>
      <c r="C2192" s="11">
        <v>61</v>
      </c>
      <c r="D2192" s="11">
        <v>111</v>
      </c>
      <c r="E2192" s="11">
        <v>132</v>
      </c>
      <c r="F2192" s="11">
        <v>455</v>
      </c>
      <c r="G2192" s="11">
        <v>1000</v>
      </c>
      <c r="H2192" s="11">
        <v>42652003</v>
      </c>
      <c r="I2192" s="11" t="s">
        <v>9353</v>
      </c>
      <c r="J2192" s="11" t="s">
        <v>3715</v>
      </c>
      <c r="K2192" s="11" t="s">
        <v>10798</v>
      </c>
      <c r="L2192" s="11" t="s">
        <v>8340</v>
      </c>
      <c r="M2192" s="11" t="s">
        <v>10799</v>
      </c>
      <c r="N2192" s="11">
        <v>18915</v>
      </c>
      <c r="O2192" s="11">
        <v>2851</v>
      </c>
      <c r="P2192" s="11">
        <v>0</v>
      </c>
      <c r="Q2192" s="11" t="s">
        <v>10800</v>
      </c>
      <c r="R2192" s="14" t="s">
        <v>10801</v>
      </c>
      <c r="S2192" s="11">
        <v>87</v>
      </c>
      <c r="T2192" s="11" t="s">
        <v>39</v>
      </c>
      <c r="U2192" s="11" t="s">
        <v>40</v>
      </c>
      <c r="V2192" s="11" t="s">
        <v>96</v>
      </c>
      <c r="W2192" s="11">
        <v>20000000</v>
      </c>
      <c r="X2192" s="11">
        <v>2015</v>
      </c>
      <c r="Y2192" s="11">
        <v>465</v>
      </c>
      <c r="Z2192" s="11">
        <v>6.8</v>
      </c>
      <c r="AA2192" s="11">
        <v>2.35</v>
      </c>
      <c r="AB2192" s="11">
        <v>33000</v>
      </c>
      <c r="AC2192" s="11"/>
      <c r="AD2192" s="11" t="str">
        <f>IFERROR(__xludf.DUMMYFUNCTION("""COMPUTED_VALUE"""),"Brenda Blethyn")</f>
        <v>Brenda Blethyn</v>
      </c>
      <c r="AE2192" s="11"/>
    </row>
    <row r="2193" customHeight="1" spans="1:31">
      <c r="A2193" s="12" t="s">
        <v>30</v>
      </c>
      <c r="B2193" s="16"/>
      <c r="C2193" s="12">
        <v>3</v>
      </c>
      <c r="D2193" s="12">
        <v>30</v>
      </c>
      <c r="E2193" s="16"/>
      <c r="F2193" s="12">
        <v>295</v>
      </c>
      <c r="G2193" s="12">
        <v>607</v>
      </c>
      <c r="H2193" s="16"/>
      <c r="I2193" s="12" t="s">
        <v>1672</v>
      </c>
      <c r="J2193" s="12" t="s">
        <v>10802</v>
      </c>
      <c r="K2193" s="12" t="s">
        <v>10803</v>
      </c>
      <c r="L2193" s="12" t="s">
        <v>10804</v>
      </c>
      <c r="M2193" s="12" t="s">
        <v>10805</v>
      </c>
      <c r="N2193" s="12">
        <v>1922</v>
      </c>
      <c r="O2193" s="12">
        <v>1530</v>
      </c>
      <c r="P2193" s="12">
        <v>2</v>
      </c>
      <c r="Q2193" s="12" t="s">
        <v>10806</v>
      </c>
      <c r="R2193" s="15" t="s">
        <v>10807</v>
      </c>
      <c r="S2193" s="12">
        <v>20</v>
      </c>
      <c r="T2193" s="12" t="s">
        <v>39</v>
      </c>
      <c r="U2193" s="12" t="s">
        <v>40</v>
      </c>
      <c r="V2193" s="16"/>
      <c r="W2193" s="16"/>
      <c r="X2193" s="16"/>
      <c r="Y2193" s="12">
        <v>378</v>
      </c>
      <c r="Z2193" s="12">
        <v>3.5</v>
      </c>
      <c r="AA2193" s="12">
        <v>1.85</v>
      </c>
      <c r="AB2193" s="12">
        <v>211</v>
      </c>
      <c r="AC2193" s="12"/>
      <c r="AD2193" s="12" t="str">
        <f>IFERROR(__xludf.DUMMYFUNCTION("""COMPUTED_VALUE"""),"Marcia DeBonis")</f>
        <v>Marcia DeBonis</v>
      </c>
      <c r="AE2193" s="12"/>
    </row>
    <row r="2194" customHeight="1" spans="1:31">
      <c r="A2194" s="11" t="s">
        <v>30</v>
      </c>
      <c r="B2194" s="11" t="s">
        <v>8383</v>
      </c>
      <c r="C2194" s="11">
        <v>112</v>
      </c>
      <c r="D2194" s="11">
        <v>93</v>
      </c>
      <c r="E2194" s="11">
        <v>82</v>
      </c>
      <c r="F2194" s="11">
        <v>729</v>
      </c>
      <c r="G2194" s="11">
        <v>926</v>
      </c>
      <c r="H2194" s="11">
        <v>39737645</v>
      </c>
      <c r="I2194" s="11" t="s">
        <v>4220</v>
      </c>
      <c r="J2194" s="11" t="s">
        <v>4647</v>
      </c>
      <c r="K2194" s="11" t="s">
        <v>2615</v>
      </c>
      <c r="L2194" s="11" t="s">
        <v>417</v>
      </c>
      <c r="M2194" s="11" t="s">
        <v>10808</v>
      </c>
      <c r="N2194" s="11">
        <v>89687</v>
      </c>
      <c r="O2194" s="11">
        <v>4293</v>
      </c>
      <c r="P2194" s="11">
        <v>11</v>
      </c>
      <c r="Q2194" s="11" t="s">
        <v>10809</v>
      </c>
      <c r="R2194" s="14" t="s">
        <v>10810</v>
      </c>
      <c r="S2194" s="11">
        <v>666</v>
      </c>
      <c r="T2194" s="11" t="s">
        <v>39</v>
      </c>
      <c r="U2194" s="11" t="s">
        <v>40</v>
      </c>
      <c r="V2194" s="11" t="s">
        <v>41</v>
      </c>
      <c r="W2194" s="11">
        <v>20000000</v>
      </c>
      <c r="X2194" s="11">
        <v>2007</v>
      </c>
      <c r="Y2194" s="11">
        <v>869</v>
      </c>
      <c r="Z2194" s="11">
        <v>2.3</v>
      </c>
      <c r="AA2194" s="11">
        <v>1.85</v>
      </c>
      <c r="AB2194" s="11">
        <v>0</v>
      </c>
      <c r="AC2194" s="11"/>
      <c r="AD2194" s="11" t="str">
        <f>IFERROR(__xludf.DUMMYFUNCTION("""COMPUTED_VALUE"""),"Luisa Ranieri")</f>
        <v>Luisa Ranieri</v>
      </c>
      <c r="AE2194" s="11"/>
    </row>
    <row r="2195" customHeight="1" spans="1:31">
      <c r="A2195" s="12" t="s">
        <v>30</v>
      </c>
      <c r="B2195" s="12" t="s">
        <v>2278</v>
      </c>
      <c r="C2195" s="12">
        <v>166</v>
      </c>
      <c r="D2195" s="12">
        <v>129</v>
      </c>
      <c r="E2195" s="12">
        <v>468</v>
      </c>
      <c r="F2195" s="12">
        <v>183</v>
      </c>
      <c r="G2195" s="12">
        <v>919</v>
      </c>
      <c r="H2195" s="12">
        <v>37567440</v>
      </c>
      <c r="I2195" s="12" t="s">
        <v>173</v>
      </c>
      <c r="J2195" s="12" t="s">
        <v>2279</v>
      </c>
      <c r="K2195" s="12" t="s">
        <v>752</v>
      </c>
      <c r="L2195" s="12" t="s">
        <v>2280</v>
      </c>
      <c r="M2195" s="12" t="s">
        <v>2281</v>
      </c>
      <c r="N2195" s="12">
        <v>113068</v>
      </c>
      <c r="O2195" s="12">
        <v>2024</v>
      </c>
      <c r="P2195" s="12">
        <v>0</v>
      </c>
      <c r="Q2195" s="12" t="s">
        <v>2282</v>
      </c>
      <c r="R2195" s="15" t="s">
        <v>2283</v>
      </c>
      <c r="S2195" s="12">
        <v>337</v>
      </c>
      <c r="T2195" s="12" t="s">
        <v>39</v>
      </c>
      <c r="U2195" s="12" t="s">
        <v>40</v>
      </c>
      <c r="V2195" s="12" t="s">
        <v>586</v>
      </c>
      <c r="W2195" s="12">
        <v>20000000</v>
      </c>
      <c r="X2195" s="12">
        <v>1982</v>
      </c>
      <c r="Y2195" s="12">
        <v>691</v>
      </c>
      <c r="Z2195" s="12">
        <v>6.9</v>
      </c>
      <c r="AA2195" s="12">
        <v>2.35</v>
      </c>
      <c r="AB2195" s="12">
        <v>0</v>
      </c>
      <c r="AC2195" s="12"/>
      <c r="AD2195" s="12" t="str">
        <f>IFERROR(__xludf.DUMMYFUNCTION("""COMPUTED_VALUE"""),"Ken Takakura")</f>
        <v>Ken Takakura</v>
      </c>
      <c r="AE2195" s="12"/>
    </row>
    <row r="2196" customHeight="1" spans="1:31">
      <c r="A2196" s="11" t="s">
        <v>30</v>
      </c>
      <c r="B2196" s="11" t="s">
        <v>432</v>
      </c>
      <c r="C2196" s="11">
        <v>474</v>
      </c>
      <c r="D2196" s="11">
        <v>128</v>
      </c>
      <c r="E2196" s="11">
        <v>310</v>
      </c>
      <c r="F2196" s="11">
        <v>77</v>
      </c>
      <c r="G2196" s="11">
        <v>745</v>
      </c>
      <c r="H2196" s="11">
        <v>44988180</v>
      </c>
      <c r="I2196" s="11" t="s">
        <v>10811</v>
      </c>
      <c r="J2196" s="11" t="s">
        <v>1054</v>
      </c>
      <c r="K2196" s="11" t="s">
        <v>10812</v>
      </c>
      <c r="L2196" s="11" t="s">
        <v>10813</v>
      </c>
      <c r="M2196" s="11" t="s">
        <v>10814</v>
      </c>
      <c r="N2196" s="11">
        <v>195333</v>
      </c>
      <c r="O2196" s="11">
        <v>1058</v>
      </c>
      <c r="P2196" s="11">
        <v>2</v>
      </c>
      <c r="Q2196" s="11" t="s">
        <v>10815</v>
      </c>
      <c r="R2196" s="14" t="s">
        <v>10816</v>
      </c>
      <c r="S2196" s="11">
        <v>409</v>
      </c>
      <c r="T2196" s="11" t="s">
        <v>39</v>
      </c>
      <c r="U2196" s="11" t="s">
        <v>40</v>
      </c>
      <c r="V2196" s="11" t="s">
        <v>586</v>
      </c>
      <c r="W2196" s="11">
        <v>20000000</v>
      </c>
      <c r="X2196" s="11">
        <v>2015</v>
      </c>
      <c r="Y2196" s="11">
        <v>168</v>
      </c>
      <c r="Z2196" s="11">
        <v>8.1</v>
      </c>
      <c r="AA2196" s="11">
        <v>1.85</v>
      </c>
      <c r="AB2196" s="11">
        <v>80000</v>
      </c>
      <c r="AC2196" s="11"/>
      <c r="AD2196" s="11" t="str">
        <f>IFERROR(__xludf.DUMMYFUNCTION("""COMPUTED_VALUE"""),"Kate Capshaw")</f>
        <v>Kate Capshaw</v>
      </c>
      <c r="AE2196" s="11"/>
    </row>
    <row r="2197" customHeight="1" spans="1:31">
      <c r="A2197" s="12" t="s">
        <v>30</v>
      </c>
      <c r="B2197" s="12" t="s">
        <v>10123</v>
      </c>
      <c r="C2197" s="12">
        <v>165</v>
      </c>
      <c r="D2197" s="12">
        <v>110</v>
      </c>
      <c r="E2197" s="12">
        <v>119</v>
      </c>
      <c r="F2197" s="12">
        <v>332</v>
      </c>
      <c r="G2197" s="12">
        <v>1000</v>
      </c>
      <c r="H2197" s="12">
        <v>39263506</v>
      </c>
      <c r="I2197" s="12" t="s">
        <v>2126</v>
      </c>
      <c r="J2197" s="12" t="s">
        <v>3715</v>
      </c>
      <c r="K2197" s="12" t="s">
        <v>6664</v>
      </c>
      <c r="L2197" s="12" t="s">
        <v>9265</v>
      </c>
      <c r="M2197" s="12" t="s">
        <v>10817</v>
      </c>
      <c r="N2197" s="12">
        <v>40469</v>
      </c>
      <c r="O2197" s="12">
        <v>2382</v>
      </c>
      <c r="P2197" s="12">
        <v>1</v>
      </c>
      <c r="Q2197" s="12" t="s">
        <v>10818</v>
      </c>
      <c r="R2197" s="15" t="s">
        <v>10819</v>
      </c>
      <c r="S2197" s="12">
        <v>135</v>
      </c>
      <c r="T2197" s="12" t="s">
        <v>39</v>
      </c>
      <c r="U2197" s="12" t="s">
        <v>40</v>
      </c>
      <c r="V2197" s="12" t="s">
        <v>41</v>
      </c>
      <c r="W2197" s="12">
        <v>22000000</v>
      </c>
      <c r="X2197" s="12">
        <v>2008</v>
      </c>
      <c r="Y2197" s="12">
        <v>931</v>
      </c>
      <c r="Z2197" s="12">
        <v>6.1</v>
      </c>
      <c r="AA2197" s="12">
        <v>2.35</v>
      </c>
      <c r="AB2197" s="12">
        <v>0</v>
      </c>
      <c r="AC2197" s="12"/>
      <c r="AD2197" s="12" t="str">
        <f>IFERROR(__xludf.DUMMYFUNCTION("""COMPUTED_VALUE"""),"Larry David")</f>
        <v>Larry David</v>
      </c>
      <c r="AE2197" s="12"/>
    </row>
    <row r="2198" customHeight="1" spans="1:31">
      <c r="A2198" s="11" t="s">
        <v>30</v>
      </c>
      <c r="B2198" s="11" t="s">
        <v>10820</v>
      </c>
      <c r="C2198" s="11">
        <v>131</v>
      </c>
      <c r="D2198" s="11">
        <v>137</v>
      </c>
      <c r="E2198" s="11">
        <v>70</v>
      </c>
      <c r="F2198" s="11">
        <v>464</v>
      </c>
      <c r="G2198" s="11">
        <v>4000</v>
      </c>
      <c r="H2198" s="11">
        <v>39143839</v>
      </c>
      <c r="I2198" s="11" t="s">
        <v>5544</v>
      </c>
      <c r="J2198" s="11" t="s">
        <v>2477</v>
      </c>
      <c r="K2198" s="11" t="s">
        <v>6861</v>
      </c>
      <c r="L2198" s="11" t="s">
        <v>9798</v>
      </c>
      <c r="M2198" s="11" t="s">
        <v>10821</v>
      </c>
      <c r="N2198" s="11">
        <v>38658</v>
      </c>
      <c r="O2198" s="11">
        <v>5746</v>
      </c>
      <c r="P2198" s="11">
        <v>0</v>
      </c>
      <c r="Q2198" s="11" t="s">
        <v>10822</v>
      </c>
      <c r="R2198" s="14" t="s">
        <v>10823</v>
      </c>
      <c r="S2198" s="11">
        <v>284</v>
      </c>
      <c r="T2198" s="11" t="s">
        <v>39</v>
      </c>
      <c r="U2198" s="11" t="s">
        <v>40</v>
      </c>
      <c r="V2198" s="11" t="s">
        <v>41</v>
      </c>
      <c r="W2198" s="11">
        <v>20000000</v>
      </c>
      <c r="X2198" s="11">
        <v>2006</v>
      </c>
      <c r="Y2198" s="11">
        <v>884</v>
      </c>
      <c r="Z2198" s="11">
        <v>5</v>
      </c>
      <c r="AA2198" s="11">
        <v>1.85</v>
      </c>
      <c r="AB2198" s="11">
        <v>930</v>
      </c>
      <c r="AC2198" s="11"/>
      <c r="AD2198" s="11" t="str">
        <f>IFERROR(__xludf.DUMMYFUNCTION("""COMPUTED_VALUE"""),"Mehcad Brooks")</f>
        <v>Mehcad Brooks</v>
      </c>
      <c r="AE2198" s="11"/>
    </row>
    <row r="2199" customHeight="1" spans="1:31">
      <c r="A2199" s="12" t="s">
        <v>30</v>
      </c>
      <c r="B2199" s="12" t="s">
        <v>7303</v>
      </c>
      <c r="C2199" s="12">
        <v>29</v>
      </c>
      <c r="D2199" s="12">
        <v>124</v>
      </c>
      <c r="E2199" s="12">
        <v>8</v>
      </c>
      <c r="F2199" s="12">
        <v>232</v>
      </c>
      <c r="G2199" s="12">
        <v>508</v>
      </c>
      <c r="H2199" s="12">
        <v>37672350</v>
      </c>
      <c r="I2199" s="12" t="s">
        <v>1415</v>
      </c>
      <c r="J2199" s="12" t="s">
        <v>10824</v>
      </c>
      <c r="K2199" s="12" t="s">
        <v>3203</v>
      </c>
      <c r="L2199" s="12" t="s">
        <v>3048</v>
      </c>
      <c r="M2199" s="12" t="s">
        <v>10825</v>
      </c>
      <c r="N2199" s="12">
        <v>5427</v>
      </c>
      <c r="O2199" s="12">
        <v>1660</v>
      </c>
      <c r="P2199" s="12">
        <v>1</v>
      </c>
      <c r="Q2199" s="12" t="s">
        <v>10826</v>
      </c>
      <c r="R2199" s="15" t="s">
        <v>10827</v>
      </c>
      <c r="S2199" s="12">
        <v>51</v>
      </c>
      <c r="T2199" s="12" t="s">
        <v>39</v>
      </c>
      <c r="U2199" s="12" t="s">
        <v>40</v>
      </c>
      <c r="V2199" s="12" t="s">
        <v>586</v>
      </c>
      <c r="W2199" s="12">
        <v>20000000</v>
      </c>
      <c r="X2199" s="12">
        <v>1998</v>
      </c>
      <c r="Y2199" s="12">
        <v>270</v>
      </c>
      <c r="Z2199" s="12">
        <v>5.5</v>
      </c>
      <c r="AA2199" s="12">
        <v>1.85</v>
      </c>
      <c r="AB2199" s="12">
        <v>0</v>
      </c>
      <c r="AC2199" s="12"/>
      <c r="AD2199" s="12" t="str">
        <f>IFERROR(__xludf.DUMMYFUNCTION("""COMPUTED_VALUE"""),"Derek Luke")</f>
        <v>Derek Luke</v>
      </c>
      <c r="AE2199" s="12"/>
    </row>
    <row r="2200" customHeight="1" spans="1:31">
      <c r="A2200" s="11" t="s">
        <v>30</v>
      </c>
      <c r="B2200" s="11" t="s">
        <v>5112</v>
      </c>
      <c r="C2200" s="11">
        <v>43</v>
      </c>
      <c r="D2200" s="11">
        <v>93</v>
      </c>
      <c r="E2200" s="11">
        <v>12</v>
      </c>
      <c r="F2200" s="11">
        <v>636</v>
      </c>
      <c r="G2200" s="11">
        <v>18000</v>
      </c>
      <c r="H2200" s="11">
        <v>38037513</v>
      </c>
      <c r="I2200" s="11" t="s">
        <v>10828</v>
      </c>
      <c r="J2200" s="11" t="s">
        <v>588</v>
      </c>
      <c r="K2200" s="11" t="s">
        <v>3300</v>
      </c>
      <c r="L2200" s="11" t="s">
        <v>10829</v>
      </c>
      <c r="M2200" s="11" t="s">
        <v>10830</v>
      </c>
      <c r="N2200" s="11">
        <v>49680</v>
      </c>
      <c r="O2200" s="11">
        <v>20188</v>
      </c>
      <c r="P2200" s="11">
        <v>2</v>
      </c>
      <c r="Q2200" s="11" t="s">
        <v>10831</v>
      </c>
      <c r="R2200" s="14" t="s">
        <v>10832</v>
      </c>
      <c r="S2200" s="11">
        <v>117</v>
      </c>
      <c r="T2200" s="11" t="s">
        <v>39</v>
      </c>
      <c r="U2200" s="11" t="s">
        <v>40</v>
      </c>
      <c r="V2200" s="11" t="s">
        <v>96</v>
      </c>
      <c r="W2200" s="11">
        <v>20000000</v>
      </c>
      <c r="X2200" s="11">
        <v>1991</v>
      </c>
      <c r="Y2200" s="11">
        <v>769</v>
      </c>
      <c r="Z2200" s="11">
        <v>6.2</v>
      </c>
      <c r="AA2200" s="11">
        <v>1.85</v>
      </c>
      <c r="AB2200" s="11">
        <v>0</v>
      </c>
      <c r="AC2200" s="11"/>
      <c r="AD2200" s="11" t="str">
        <f>IFERROR(__xludf.DUMMYFUNCTION("""COMPUTED_VALUE"""),"Edgar Arreola")</f>
        <v>Edgar Arreola</v>
      </c>
      <c r="AE2200" s="11"/>
    </row>
    <row r="2201" customHeight="1" spans="1:31">
      <c r="A2201" s="12" t="s">
        <v>30</v>
      </c>
      <c r="B2201" s="12" t="s">
        <v>3123</v>
      </c>
      <c r="C2201" s="12">
        <v>111</v>
      </c>
      <c r="D2201" s="12">
        <v>115</v>
      </c>
      <c r="E2201" s="12">
        <v>272</v>
      </c>
      <c r="F2201" s="12">
        <v>1000</v>
      </c>
      <c r="G2201" s="12">
        <v>49000</v>
      </c>
      <c r="H2201" s="12">
        <v>37442180</v>
      </c>
      <c r="I2201" s="12" t="s">
        <v>9763</v>
      </c>
      <c r="J2201" s="12" t="s">
        <v>811</v>
      </c>
      <c r="K2201" s="12" t="s">
        <v>4801</v>
      </c>
      <c r="L2201" s="12" t="s">
        <v>479</v>
      </c>
      <c r="M2201" s="12" t="s">
        <v>10833</v>
      </c>
      <c r="N2201" s="12">
        <v>28005</v>
      </c>
      <c r="O2201" s="12">
        <v>52571</v>
      </c>
      <c r="P2201" s="12">
        <v>1</v>
      </c>
      <c r="Q2201" s="12" t="s">
        <v>10834</v>
      </c>
      <c r="R2201" s="15" t="s">
        <v>10835</v>
      </c>
      <c r="S2201" s="12">
        <v>236</v>
      </c>
      <c r="T2201" s="12" t="s">
        <v>39</v>
      </c>
      <c r="U2201" s="12" t="s">
        <v>40</v>
      </c>
      <c r="V2201" s="12" t="s">
        <v>41</v>
      </c>
      <c r="W2201" s="12">
        <v>20000000</v>
      </c>
      <c r="X2201" s="12">
        <v>2006</v>
      </c>
      <c r="Y2201" s="12">
        <v>2000</v>
      </c>
      <c r="Z2201" s="12">
        <v>6.2</v>
      </c>
      <c r="AA2201" s="12">
        <v>2.35</v>
      </c>
      <c r="AB2201" s="12">
        <v>0</v>
      </c>
      <c r="AC2201" s="12"/>
      <c r="AD2201" s="12" t="str">
        <f>IFERROR(__xludf.DUMMYFUNCTION("""COMPUTED_VALUE"""),"Bernardo Saracino")</f>
        <v>Bernardo Saracino</v>
      </c>
      <c r="AE2201" s="12"/>
    </row>
    <row r="2202" customHeight="1" spans="1:31">
      <c r="A2202" s="11" t="s">
        <v>30</v>
      </c>
      <c r="B2202" s="11" t="s">
        <v>10836</v>
      </c>
      <c r="C2202" s="11">
        <v>90</v>
      </c>
      <c r="D2202" s="11">
        <v>98</v>
      </c>
      <c r="E2202" s="11">
        <v>20</v>
      </c>
      <c r="F2202" s="11">
        <v>160</v>
      </c>
      <c r="G2202" s="11">
        <v>889</v>
      </c>
      <c r="H2202" s="13"/>
      <c r="I2202" s="11" t="s">
        <v>648</v>
      </c>
      <c r="J2202" s="11" t="s">
        <v>4358</v>
      </c>
      <c r="K2202" s="11" t="s">
        <v>10837</v>
      </c>
      <c r="L2202" s="11" t="s">
        <v>10838</v>
      </c>
      <c r="M2202" s="11" t="s">
        <v>10839</v>
      </c>
      <c r="N2202" s="11">
        <v>18481</v>
      </c>
      <c r="O2202" s="11">
        <v>2110</v>
      </c>
      <c r="P2202" s="11">
        <v>0</v>
      </c>
      <c r="Q2202" s="11" t="s">
        <v>10840</v>
      </c>
      <c r="R2202" s="14" t="s">
        <v>10841</v>
      </c>
      <c r="S2202" s="11">
        <v>230</v>
      </c>
      <c r="T2202" s="11" t="s">
        <v>39</v>
      </c>
      <c r="U2202" s="11" t="s">
        <v>40</v>
      </c>
      <c r="V2202" s="11" t="s">
        <v>96</v>
      </c>
      <c r="W2202" s="11">
        <v>20000000</v>
      </c>
      <c r="X2202" s="11">
        <v>1979</v>
      </c>
      <c r="Y2202" s="11">
        <v>877</v>
      </c>
      <c r="Z2202" s="11">
        <v>5.9</v>
      </c>
      <c r="AA2202" s="11">
        <v>2.35</v>
      </c>
      <c r="AB2202" s="11">
        <v>4000</v>
      </c>
      <c r="AC2202" s="11"/>
      <c r="AD2202" s="11" t="str">
        <f>IFERROR(__xludf.DUMMYFUNCTION("""COMPUTED_VALUE"""),"Oona Laurence")</f>
        <v>Oona Laurence</v>
      </c>
      <c r="AE2202" s="11"/>
    </row>
    <row r="2203" customHeight="1" spans="1:31">
      <c r="A2203" s="12" t="s">
        <v>30</v>
      </c>
      <c r="B2203" s="12" t="s">
        <v>10842</v>
      </c>
      <c r="C2203" s="12">
        <v>333</v>
      </c>
      <c r="D2203" s="12">
        <v>105</v>
      </c>
      <c r="E2203" s="12">
        <v>210</v>
      </c>
      <c r="F2203" s="12">
        <v>101</v>
      </c>
      <c r="G2203" s="12">
        <v>978</v>
      </c>
      <c r="H2203" s="12">
        <v>35596227</v>
      </c>
      <c r="I2203" s="12" t="s">
        <v>2126</v>
      </c>
      <c r="J2203" s="12" t="s">
        <v>10843</v>
      </c>
      <c r="K2203" s="12" t="s">
        <v>10844</v>
      </c>
      <c r="L2203" s="12" t="s">
        <v>10845</v>
      </c>
      <c r="M2203" s="12" t="s">
        <v>10846</v>
      </c>
      <c r="N2203" s="12">
        <v>79461</v>
      </c>
      <c r="O2203" s="12">
        <v>1454</v>
      </c>
      <c r="P2203" s="12">
        <v>1</v>
      </c>
      <c r="Q2203" s="12" t="s">
        <v>10847</v>
      </c>
      <c r="R2203" s="15" t="s">
        <v>10848</v>
      </c>
      <c r="S2203" s="12">
        <v>463</v>
      </c>
      <c r="T2203" s="12" t="s">
        <v>39</v>
      </c>
      <c r="U2203" s="12" t="s">
        <v>40</v>
      </c>
      <c r="V2203" s="12" t="s">
        <v>586</v>
      </c>
      <c r="W2203" s="12">
        <v>20000000</v>
      </c>
      <c r="X2203" s="12">
        <v>2010</v>
      </c>
      <c r="Y2203" s="12">
        <v>191</v>
      </c>
      <c r="Z2203" s="12">
        <v>6.3</v>
      </c>
      <c r="AA2203" s="12">
        <v>2.35</v>
      </c>
      <c r="AB2203" s="12">
        <v>10000</v>
      </c>
      <c r="AC2203" s="12"/>
      <c r="AD2203" s="12" t="str">
        <f>IFERROR(__xludf.DUMMYFUNCTION("""COMPUTED_VALUE"""),"Emmanuelle Vaugier")</f>
        <v>Emmanuelle Vaugier</v>
      </c>
      <c r="AE2203" s="12"/>
    </row>
    <row r="2204" customHeight="1" spans="1:31">
      <c r="A2204" s="11" t="s">
        <v>30</v>
      </c>
      <c r="B2204" s="11" t="s">
        <v>10849</v>
      </c>
      <c r="C2204" s="11">
        <v>37</v>
      </c>
      <c r="D2204" s="11">
        <v>127</v>
      </c>
      <c r="E2204" s="11">
        <v>16</v>
      </c>
      <c r="F2204" s="11">
        <v>399</v>
      </c>
      <c r="G2204" s="11">
        <v>565</v>
      </c>
      <c r="H2204" s="11">
        <v>35422828</v>
      </c>
      <c r="I2204" s="11" t="s">
        <v>4297</v>
      </c>
      <c r="J2204" s="11" t="s">
        <v>4847</v>
      </c>
      <c r="K2204" s="11" t="s">
        <v>1194</v>
      </c>
      <c r="L2204" s="11" t="s">
        <v>5516</v>
      </c>
      <c r="M2204" s="11" t="s">
        <v>10850</v>
      </c>
      <c r="N2204" s="11">
        <v>19126</v>
      </c>
      <c r="O2204" s="11">
        <v>1735</v>
      </c>
      <c r="P2204" s="11">
        <v>1</v>
      </c>
      <c r="Q2204" s="11" t="s">
        <v>10851</v>
      </c>
      <c r="R2204" s="14" t="s">
        <v>10852</v>
      </c>
      <c r="S2204" s="11">
        <v>155</v>
      </c>
      <c r="T2204" s="11" t="s">
        <v>39</v>
      </c>
      <c r="U2204" s="11" t="s">
        <v>40</v>
      </c>
      <c r="V2204" s="11" t="s">
        <v>96</v>
      </c>
      <c r="W2204" s="11">
        <v>20000000</v>
      </c>
      <c r="X2204" s="11">
        <v>1997</v>
      </c>
      <c r="Y2204" s="11">
        <v>441</v>
      </c>
      <c r="Z2204" s="11">
        <v>6.7</v>
      </c>
      <c r="AA2204" s="11">
        <v>2.35</v>
      </c>
      <c r="AB2204" s="11">
        <v>0</v>
      </c>
      <c r="AC2204" s="11"/>
      <c r="AD2204" s="11" t="str">
        <f>IFERROR(__xludf.DUMMYFUNCTION("""COMPUTED_VALUE"""),"Facundo Lombard")</f>
        <v>Facundo Lombard</v>
      </c>
      <c r="AE2204" s="11"/>
    </row>
    <row r="2205" customHeight="1" spans="1:31">
      <c r="A2205" s="12" t="s">
        <v>30</v>
      </c>
      <c r="B2205" s="12" t="s">
        <v>8383</v>
      </c>
      <c r="C2205" s="12">
        <v>122</v>
      </c>
      <c r="D2205" s="12">
        <v>82</v>
      </c>
      <c r="E2205" s="12">
        <v>82</v>
      </c>
      <c r="F2205" s="12">
        <v>354</v>
      </c>
      <c r="G2205" s="12">
        <v>759</v>
      </c>
      <c r="H2205" s="12">
        <v>36658108</v>
      </c>
      <c r="I2205" s="12" t="s">
        <v>1672</v>
      </c>
      <c r="J2205" s="12" t="s">
        <v>864</v>
      </c>
      <c r="K2205" s="12" t="s">
        <v>10853</v>
      </c>
      <c r="L2205" s="12" t="s">
        <v>10854</v>
      </c>
      <c r="M2205" s="12" t="s">
        <v>10855</v>
      </c>
      <c r="N2205" s="12">
        <v>39095</v>
      </c>
      <c r="O2205" s="12">
        <v>2898</v>
      </c>
      <c r="P2205" s="12">
        <v>7</v>
      </c>
      <c r="Q2205" s="12" t="s">
        <v>10856</v>
      </c>
      <c r="R2205" s="15" t="s">
        <v>10857</v>
      </c>
      <c r="S2205" s="12">
        <v>187</v>
      </c>
      <c r="T2205" s="12" t="s">
        <v>39</v>
      </c>
      <c r="U2205" s="12" t="s">
        <v>40</v>
      </c>
      <c r="V2205" s="12" t="s">
        <v>41</v>
      </c>
      <c r="W2205" s="12">
        <v>20000000</v>
      </c>
      <c r="X2205" s="12">
        <v>2010</v>
      </c>
      <c r="Y2205" s="12">
        <v>401</v>
      </c>
      <c r="Z2205" s="12">
        <v>3.5</v>
      </c>
      <c r="AA2205" s="12">
        <v>1.85</v>
      </c>
      <c r="AB2205" s="12">
        <v>16000</v>
      </c>
      <c r="AC2205" s="12"/>
      <c r="AD2205" s="12" t="str">
        <f>IFERROR(__xludf.DUMMYFUNCTION("""COMPUTED_VALUE"""),"Sanoe Lake")</f>
        <v>Sanoe Lake</v>
      </c>
      <c r="AE2205" s="12"/>
    </row>
    <row r="2206" customHeight="1" spans="1:31">
      <c r="A2206" s="11" t="s">
        <v>30</v>
      </c>
      <c r="B2206" s="11" t="s">
        <v>1134</v>
      </c>
      <c r="C2206" s="11">
        <v>285</v>
      </c>
      <c r="D2206" s="11">
        <v>143</v>
      </c>
      <c r="E2206" s="11">
        <v>0</v>
      </c>
      <c r="F2206" s="11">
        <v>51</v>
      </c>
      <c r="G2206" s="11">
        <v>11000</v>
      </c>
      <c r="H2206" s="11">
        <v>34300771</v>
      </c>
      <c r="I2206" s="11" t="s">
        <v>3410</v>
      </c>
      <c r="J2206" s="11" t="s">
        <v>343</v>
      </c>
      <c r="K2206" s="11" t="s">
        <v>10858</v>
      </c>
      <c r="L2206" s="11" t="s">
        <v>10859</v>
      </c>
      <c r="M2206" s="11" t="s">
        <v>10860</v>
      </c>
      <c r="N2206" s="11">
        <v>243799</v>
      </c>
      <c r="O2206" s="11">
        <v>11248</v>
      </c>
      <c r="P2206" s="11">
        <v>3</v>
      </c>
      <c r="Q2206" s="11" t="s">
        <v>10861</v>
      </c>
      <c r="R2206" s="14" t="s">
        <v>10862</v>
      </c>
      <c r="S2206" s="11">
        <v>908</v>
      </c>
      <c r="T2206" s="11" t="s">
        <v>39</v>
      </c>
      <c r="U2206" s="11" t="s">
        <v>1466</v>
      </c>
      <c r="V2206" s="11" t="s">
        <v>586</v>
      </c>
      <c r="W2206" s="11">
        <v>25000000</v>
      </c>
      <c r="X2206" s="11">
        <v>2006</v>
      </c>
      <c r="Y2206" s="11">
        <v>119</v>
      </c>
      <c r="Z2206" s="11">
        <v>7.5</v>
      </c>
      <c r="AA2206" s="11">
        <v>1.85</v>
      </c>
      <c r="AB2206" s="11">
        <v>0</v>
      </c>
      <c r="AC2206" s="11"/>
      <c r="AD2206" s="11" t="str">
        <f>IFERROR(__xludf.DUMMYFUNCTION("""COMPUTED_VALUE"""),"Christian Stolte")</f>
        <v>Christian Stolte</v>
      </c>
      <c r="AE2206" s="11"/>
    </row>
    <row r="2207" customHeight="1" spans="1:31">
      <c r="A2207" s="12" t="s">
        <v>30</v>
      </c>
      <c r="B2207" s="12" t="s">
        <v>810</v>
      </c>
      <c r="C2207" s="12">
        <v>156</v>
      </c>
      <c r="D2207" s="12">
        <v>103</v>
      </c>
      <c r="E2207" s="12">
        <v>189</v>
      </c>
      <c r="F2207" s="12">
        <v>949</v>
      </c>
      <c r="G2207" s="12">
        <v>2000</v>
      </c>
      <c r="H2207" s="12">
        <v>34290142</v>
      </c>
      <c r="I2207" s="12" t="s">
        <v>2528</v>
      </c>
      <c r="J2207" s="12" t="s">
        <v>4801</v>
      </c>
      <c r="K2207" s="12" t="s">
        <v>3745</v>
      </c>
      <c r="L2207" s="12" t="s">
        <v>5740</v>
      </c>
      <c r="M2207" s="12" t="s">
        <v>10863</v>
      </c>
      <c r="N2207" s="12">
        <v>54242</v>
      </c>
      <c r="O2207" s="12">
        <v>4662</v>
      </c>
      <c r="P2207" s="12">
        <v>8</v>
      </c>
      <c r="Q2207" s="12" t="s">
        <v>10864</v>
      </c>
      <c r="R2207" s="15" t="s">
        <v>10865</v>
      </c>
      <c r="S2207" s="12">
        <v>145</v>
      </c>
      <c r="T2207" s="12" t="s">
        <v>39</v>
      </c>
      <c r="U2207" s="12" t="s">
        <v>40</v>
      </c>
      <c r="V2207" s="12" t="s">
        <v>586</v>
      </c>
      <c r="W2207" s="12">
        <v>19800000</v>
      </c>
      <c r="X2207" s="12">
        <v>2014</v>
      </c>
      <c r="Y2207" s="12">
        <v>1000</v>
      </c>
      <c r="Z2207" s="12">
        <v>6.6</v>
      </c>
      <c r="AA2207" s="12">
        <v>2.35</v>
      </c>
      <c r="AB2207" s="12">
        <v>14000</v>
      </c>
      <c r="AC2207" s="12"/>
      <c r="AD2207" s="12" t="str">
        <f>IFERROR(__xludf.DUMMYFUNCTION("""COMPUTED_VALUE"""),"Danny Rhodes")</f>
        <v>Danny Rhodes</v>
      </c>
      <c r="AE2207" s="12"/>
    </row>
    <row r="2208" customHeight="1" spans="1:31">
      <c r="A2208" s="11" t="s">
        <v>30</v>
      </c>
      <c r="B2208" s="11" t="s">
        <v>10866</v>
      </c>
      <c r="C2208" s="11">
        <v>293</v>
      </c>
      <c r="D2208" s="11">
        <v>104</v>
      </c>
      <c r="E2208" s="11">
        <v>53</v>
      </c>
      <c r="F2208" s="11">
        <v>652</v>
      </c>
      <c r="G2208" s="11">
        <v>22000</v>
      </c>
      <c r="H2208" s="11">
        <v>33422556</v>
      </c>
      <c r="I2208" s="11" t="s">
        <v>8061</v>
      </c>
      <c r="J2208" s="11" t="s">
        <v>699</v>
      </c>
      <c r="K2208" s="11" t="s">
        <v>2377</v>
      </c>
      <c r="L2208" s="11" t="s">
        <v>4293</v>
      </c>
      <c r="M2208" s="11" t="s">
        <v>10867</v>
      </c>
      <c r="N2208" s="11">
        <v>99236</v>
      </c>
      <c r="O2208" s="11">
        <v>33903</v>
      </c>
      <c r="P2208" s="11">
        <v>0</v>
      </c>
      <c r="Q2208" s="11" t="s">
        <v>10868</v>
      </c>
      <c r="R2208" s="14" t="s">
        <v>10869</v>
      </c>
      <c r="S2208" s="11">
        <v>321</v>
      </c>
      <c r="T2208" s="11" t="s">
        <v>39</v>
      </c>
      <c r="U2208" s="11" t="s">
        <v>40</v>
      </c>
      <c r="V2208" s="11" t="s">
        <v>41</v>
      </c>
      <c r="W2208" s="11">
        <v>20000000</v>
      </c>
      <c r="X2208" s="11">
        <v>2008</v>
      </c>
      <c r="Y2208" s="11">
        <v>11000</v>
      </c>
      <c r="Z2208" s="11">
        <v>7.5</v>
      </c>
      <c r="AA2208" s="11">
        <v>1.85</v>
      </c>
      <c r="AB2208" s="11">
        <v>0</v>
      </c>
      <c r="AC2208" s="11"/>
      <c r="AD2208" s="11" t="str">
        <f>IFERROR(__xludf.DUMMYFUNCTION("""COMPUTED_VALUE"""),"Mark Rendall")</f>
        <v>Mark Rendall</v>
      </c>
      <c r="AE2208" s="11"/>
    </row>
    <row r="2209" customHeight="1" spans="1:31">
      <c r="A2209" s="12" t="s">
        <v>30</v>
      </c>
      <c r="B2209" s="12" t="s">
        <v>10559</v>
      </c>
      <c r="C2209" s="12">
        <v>233</v>
      </c>
      <c r="D2209" s="12">
        <v>98</v>
      </c>
      <c r="E2209" s="12">
        <v>406</v>
      </c>
      <c r="F2209" s="12">
        <v>406</v>
      </c>
      <c r="G2209" s="12">
        <v>860</v>
      </c>
      <c r="H2209" s="12">
        <v>32774834</v>
      </c>
      <c r="I2209" s="12" t="s">
        <v>2137</v>
      </c>
      <c r="J2209" s="12" t="s">
        <v>10870</v>
      </c>
      <c r="K2209" s="12" t="s">
        <v>831</v>
      </c>
      <c r="L2209" s="12" t="s">
        <v>10559</v>
      </c>
      <c r="M2209" s="12" t="s">
        <v>10871</v>
      </c>
      <c r="N2209" s="12">
        <v>136048</v>
      </c>
      <c r="O2209" s="12">
        <v>2609</v>
      </c>
      <c r="P2209" s="12">
        <v>5</v>
      </c>
      <c r="Q2209" s="12" t="s">
        <v>10872</v>
      </c>
      <c r="R2209" s="15" t="s">
        <v>10873</v>
      </c>
      <c r="S2209" s="12">
        <v>700</v>
      </c>
      <c r="T2209" s="12" t="s">
        <v>39</v>
      </c>
      <c r="U2209" s="12" t="s">
        <v>40</v>
      </c>
      <c r="V2209" s="12" t="s">
        <v>586</v>
      </c>
      <c r="W2209" s="12">
        <v>30000000</v>
      </c>
      <c r="X2209" s="12">
        <v>2004</v>
      </c>
      <c r="Y2209" s="12">
        <v>523</v>
      </c>
      <c r="Z2209" s="12">
        <v>7.2</v>
      </c>
      <c r="AA2209" s="12">
        <v>2.35</v>
      </c>
      <c r="AB2209" s="12">
        <v>0</v>
      </c>
      <c r="AC2209" s="12"/>
      <c r="AD2209" s="12" t="str">
        <f>IFERROR(__xludf.DUMMYFUNCTION("""COMPUTED_VALUE"""),"Megan Franich")</f>
        <v>Megan Franich</v>
      </c>
      <c r="AE2209" s="12"/>
    </row>
    <row r="2210" customHeight="1" spans="1:31">
      <c r="A2210" s="11" t="s">
        <v>30</v>
      </c>
      <c r="B2210" s="11" t="s">
        <v>7927</v>
      </c>
      <c r="C2210" s="11">
        <v>282</v>
      </c>
      <c r="D2210" s="11">
        <v>92</v>
      </c>
      <c r="E2210" s="11">
        <v>34</v>
      </c>
      <c r="F2210" s="11">
        <v>322</v>
      </c>
      <c r="G2210" s="11">
        <v>383</v>
      </c>
      <c r="H2210" s="11">
        <v>34334256</v>
      </c>
      <c r="I2210" s="11" t="s">
        <v>5544</v>
      </c>
      <c r="J2210" s="11" t="s">
        <v>10874</v>
      </c>
      <c r="K2210" s="11" t="s">
        <v>10875</v>
      </c>
      <c r="L2210" s="11" t="s">
        <v>10876</v>
      </c>
      <c r="M2210" s="11" t="s">
        <v>10877</v>
      </c>
      <c r="N2210" s="11">
        <v>35131</v>
      </c>
      <c r="O2210" s="11">
        <v>1945</v>
      </c>
      <c r="P2210" s="11">
        <v>0</v>
      </c>
      <c r="Q2210" s="11" t="s">
        <v>10878</v>
      </c>
      <c r="R2210" s="14" t="s">
        <v>10879</v>
      </c>
      <c r="S2210" s="11">
        <v>255</v>
      </c>
      <c r="T2210" s="11" t="s">
        <v>39</v>
      </c>
      <c r="U2210" s="11" t="s">
        <v>40</v>
      </c>
      <c r="V2210" s="11" t="s">
        <v>586</v>
      </c>
      <c r="W2210" s="11">
        <v>11000000</v>
      </c>
      <c r="X2210" s="11">
        <v>2013</v>
      </c>
      <c r="Y2210" s="11">
        <v>333</v>
      </c>
      <c r="Z2210" s="11">
        <v>4.8</v>
      </c>
      <c r="AA2210" s="11">
        <v>2.35</v>
      </c>
      <c r="AB2210" s="11">
        <v>16000</v>
      </c>
      <c r="AC2210" s="11"/>
      <c r="AD2210" s="11" t="str">
        <f>IFERROR(__xludf.DUMMYFUNCTION("""COMPUTED_VALUE"""),"Method Man")</f>
        <v>Method Man</v>
      </c>
      <c r="AE2210" s="11"/>
    </row>
    <row r="2211" customHeight="1" spans="1:31">
      <c r="A2211" s="12" t="s">
        <v>30</v>
      </c>
      <c r="B2211" s="12" t="s">
        <v>2462</v>
      </c>
      <c r="C2211" s="12">
        <v>57</v>
      </c>
      <c r="D2211" s="12">
        <v>123</v>
      </c>
      <c r="E2211" s="12">
        <v>36</v>
      </c>
      <c r="F2211" s="12">
        <v>631</v>
      </c>
      <c r="G2211" s="12">
        <v>10000</v>
      </c>
      <c r="H2211" s="12">
        <v>32051917</v>
      </c>
      <c r="I2211" s="12" t="s">
        <v>2142</v>
      </c>
      <c r="J2211" s="12" t="s">
        <v>10880</v>
      </c>
      <c r="K2211" s="12" t="s">
        <v>2061</v>
      </c>
      <c r="L2211" s="12" t="s">
        <v>5356</v>
      </c>
      <c r="M2211" s="12" t="s">
        <v>10881</v>
      </c>
      <c r="N2211" s="12">
        <v>42315</v>
      </c>
      <c r="O2211" s="12">
        <v>12338</v>
      </c>
      <c r="P2211" s="12">
        <v>0</v>
      </c>
      <c r="Q2211" s="12" t="s">
        <v>10882</v>
      </c>
      <c r="R2211" s="15" t="s">
        <v>10883</v>
      </c>
      <c r="S2211" s="12">
        <v>140</v>
      </c>
      <c r="T2211" s="12" t="s">
        <v>39</v>
      </c>
      <c r="U2211" s="12" t="s">
        <v>40</v>
      </c>
      <c r="V2211" s="12" t="s">
        <v>586</v>
      </c>
      <c r="W2211" s="12">
        <v>20000000</v>
      </c>
      <c r="X2211" s="12">
        <v>1995</v>
      </c>
      <c r="Y2211" s="12">
        <v>1000</v>
      </c>
      <c r="Z2211" s="12">
        <v>6.6</v>
      </c>
      <c r="AA2211" s="12">
        <v>2.35</v>
      </c>
      <c r="AB2211" s="12">
        <v>0</v>
      </c>
      <c r="AC2211" s="12"/>
      <c r="AD2211" s="12" t="str">
        <f>IFERROR(__xludf.DUMMYFUNCTION("""COMPUTED_VALUE"""),"Yaphet Kotto")</f>
        <v>Yaphet Kotto</v>
      </c>
      <c r="AE2211" s="12"/>
    </row>
    <row r="2212" customHeight="1" spans="1:31">
      <c r="A2212" s="11" t="s">
        <v>30</v>
      </c>
      <c r="B2212" s="11" t="s">
        <v>6801</v>
      </c>
      <c r="C2212" s="11">
        <v>153</v>
      </c>
      <c r="D2212" s="11">
        <v>88</v>
      </c>
      <c r="E2212" s="11">
        <v>92</v>
      </c>
      <c r="F2212" s="11">
        <v>636</v>
      </c>
      <c r="G2212" s="11">
        <v>31000</v>
      </c>
      <c r="H2212" s="11">
        <v>32014289</v>
      </c>
      <c r="I2212" s="11" t="s">
        <v>1672</v>
      </c>
      <c r="J2212" s="11" t="s">
        <v>10884</v>
      </c>
      <c r="K2212" s="11" t="s">
        <v>1141</v>
      </c>
      <c r="L2212" s="11" t="s">
        <v>1334</v>
      </c>
      <c r="M2212" s="11" t="s">
        <v>10885</v>
      </c>
      <c r="N2212" s="11">
        <v>50337</v>
      </c>
      <c r="O2212" s="11">
        <v>34319</v>
      </c>
      <c r="P2212" s="11">
        <v>8</v>
      </c>
      <c r="Q2212" s="11" t="s">
        <v>10886</v>
      </c>
      <c r="R2212" s="14" t="s">
        <v>10887</v>
      </c>
      <c r="S2212" s="11">
        <v>177</v>
      </c>
      <c r="T2212" s="11" t="s">
        <v>39</v>
      </c>
      <c r="U2212" s="11" t="s">
        <v>40</v>
      </c>
      <c r="V2212" s="11" t="s">
        <v>41</v>
      </c>
      <c r="W2212" s="11">
        <v>20000000</v>
      </c>
      <c r="X2212" s="11">
        <v>2013</v>
      </c>
      <c r="Y2212" s="11">
        <v>881</v>
      </c>
      <c r="Z2212" s="11">
        <v>3.5</v>
      </c>
      <c r="AA2212" s="11">
        <v>1.85</v>
      </c>
      <c r="AB2212" s="11">
        <v>13000</v>
      </c>
      <c r="AC2212" s="11"/>
      <c r="AD2212" s="11" t="str">
        <f>IFERROR(__xludf.DUMMYFUNCTION("""COMPUTED_VALUE"""),"Maria Conchita Alonso")</f>
        <v>Maria Conchita Alonso</v>
      </c>
      <c r="AE2212" s="11"/>
    </row>
    <row r="2213" customHeight="1" spans="1:31">
      <c r="A2213" s="12" t="s">
        <v>30</v>
      </c>
      <c r="B2213" s="12" t="s">
        <v>10888</v>
      </c>
      <c r="C2213" s="12">
        <v>20</v>
      </c>
      <c r="D2213" s="12">
        <v>158</v>
      </c>
      <c r="E2213" s="12">
        <v>32</v>
      </c>
      <c r="F2213" s="12">
        <v>417</v>
      </c>
      <c r="G2213" s="12">
        <v>16000</v>
      </c>
      <c r="H2213" s="16"/>
      <c r="I2213" s="12" t="s">
        <v>10889</v>
      </c>
      <c r="J2213" s="12" t="s">
        <v>3695</v>
      </c>
      <c r="K2213" s="12" t="s">
        <v>10890</v>
      </c>
      <c r="L2213" s="12" t="s">
        <v>4242</v>
      </c>
      <c r="M2213" s="12" t="s">
        <v>10891</v>
      </c>
      <c r="N2213" s="12">
        <v>9352</v>
      </c>
      <c r="O2213" s="12">
        <v>17775</v>
      </c>
      <c r="P2213" s="12">
        <v>3</v>
      </c>
      <c r="Q2213" s="12" t="s">
        <v>10892</v>
      </c>
      <c r="R2213" s="15" t="s">
        <v>10893</v>
      </c>
      <c r="S2213" s="12">
        <v>106</v>
      </c>
      <c r="T2213" s="12" t="s">
        <v>39</v>
      </c>
      <c r="U2213" s="12" t="s">
        <v>40</v>
      </c>
      <c r="V2213" s="12" t="s">
        <v>41</v>
      </c>
      <c r="W2213" s="12">
        <v>20000000</v>
      </c>
      <c r="X2213" s="12">
        <v>1969</v>
      </c>
      <c r="Y2213" s="12">
        <v>756</v>
      </c>
      <c r="Z2213" s="12">
        <v>6.7</v>
      </c>
      <c r="AA2213" s="12">
        <v>2.35</v>
      </c>
      <c r="AB2213" s="12">
        <v>0</v>
      </c>
      <c r="AC2213" s="12"/>
      <c r="AD2213" s="12" t="str">
        <f>IFERROR(__xludf.DUMMYFUNCTION("""COMPUTED_VALUE"""),"Richard Dawson")</f>
        <v>Richard Dawson</v>
      </c>
      <c r="AE2213" s="12"/>
    </row>
    <row r="2214" customHeight="1" spans="1:31">
      <c r="A2214" s="11" t="s">
        <v>30</v>
      </c>
      <c r="B2214" s="11" t="s">
        <v>6052</v>
      </c>
      <c r="C2214" s="11">
        <v>324</v>
      </c>
      <c r="D2214" s="11">
        <v>128</v>
      </c>
      <c r="E2214" s="11">
        <v>835</v>
      </c>
      <c r="F2214" s="11">
        <v>755</v>
      </c>
      <c r="G2214" s="11">
        <v>11000</v>
      </c>
      <c r="H2214" s="11">
        <v>31838002</v>
      </c>
      <c r="I2214" s="11" t="s">
        <v>5941</v>
      </c>
      <c r="J2214" s="11" t="s">
        <v>83</v>
      </c>
      <c r="K2214" s="11" t="s">
        <v>4236</v>
      </c>
      <c r="L2214" s="11" t="s">
        <v>10894</v>
      </c>
      <c r="M2214" s="11" t="s">
        <v>10895</v>
      </c>
      <c r="N2214" s="11">
        <v>136673</v>
      </c>
      <c r="O2214" s="11">
        <v>13189</v>
      </c>
      <c r="P2214" s="11">
        <v>1</v>
      </c>
      <c r="Q2214" s="11" t="s">
        <v>10896</v>
      </c>
      <c r="R2214" s="14" t="s">
        <v>10897</v>
      </c>
      <c r="S2214" s="11">
        <v>281</v>
      </c>
      <c r="T2214" s="11" t="s">
        <v>39</v>
      </c>
      <c r="U2214" s="11" t="s">
        <v>40</v>
      </c>
      <c r="V2214" s="11" t="s">
        <v>586</v>
      </c>
      <c r="W2214" s="11">
        <v>20000000</v>
      </c>
      <c r="X2214" s="11">
        <v>2008</v>
      </c>
      <c r="Y2214" s="11">
        <v>896</v>
      </c>
      <c r="Z2214" s="11">
        <v>7.6</v>
      </c>
      <c r="AA2214" s="11">
        <v>1.85</v>
      </c>
      <c r="AB2214" s="11">
        <v>10000</v>
      </c>
      <c r="AC2214" s="11"/>
      <c r="AD2214" s="11" t="str">
        <f>IFERROR(__xludf.DUMMYFUNCTION("""COMPUTED_VALUE"""),"Tisha Campbell-Martin")</f>
        <v>Tisha Campbell-Martin</v>
      </c>
      <c r="AE2214" s="11"/>
    </row>
    <row r="2215" customHeight="1" spans="1:31">
      <c r="A2215" s="12" t="s">
        <v>30</v>
      </c>
      <c r="B2215" s="12" t="s">
        <v>529</v>
      </c>
      <c r="C2215" s="12">
        <v>122</v>
      </c>
      <c r="D2215" s="12">
        <v>107</v>
      </c>
      <c r="E2215" s="12">
        <v>58</v>
      </c>
      <c r="F2215" s="12">
        <v>47</v>
      </c>
      <c r="G2215" s="12">
        <v>141</v>
      </c>
      <c r="H2215" s="12">
        <v>36874745</v>
      </c>
      <c r="I2215" s="12" t="s">
        <v>10898</v>
      </c>
      <c r="J2215" s="12" t="s">
        <v>9862</v>
      </c>
      <c r="K2215" s="12" t="s">
        <v>10899</v>
      </c>
      <c r="L2215" s="12" t="s">
        <v>10900</v>
      </c>
      <c r="M2215" s="12" t="s">
        <v>10901</v>
      </c>
      <c r="N2215" s="12">
        <v>12276</v>
      </c>
      <c r="O2215" s="12">
        <v>389</v>
      </c>
      <c r="P2215" s="12">
        <v>2</v>
      </c>
      <c r="Q2215" s="12" t="s">
        <v>10902</v>
      </c>
      <c r="R2215" s="15" t="s">
        <v>10903</v>
      </c>
      <c r="S2215" s="12">
        <v>117</v>
      </c>
      <c r="T2215" s="12" t="s">
        <v>39</v>
      </c>
      <c r="U2215" s="12" t="s">
        <v>40</v>
      </c>
      <c r="V2215" s="12" t="s">
        <v>41</v>
      </c>
      <c r="W2215" s="12">
        <v>20000000</v>
      </c>
      <c r="X2215" s="12">
        <v>2016</v>
      </c>
      <c r="Y2215" s="12">
        <v>76</v>
      </c>
      <c r="Z2215" s="12">
        <v>6.3</v>
      </c>
      <c r="AA2215" s="12">
        <v>2.35</v>
      </c>
      <c r="AB2215" s="12">
        <v>21000</v>
      </c>
      <c r="AC2215" s="12"/>
      <c r="AD2215" s="12" t="str">
        <f>IFERROR(__xludf.DUMMYFUNCTION("""COMPUTED_VALUE"""),"Jessica Barden")</f>
        <v>Jessica Barden</v>
      </c>
      <c r="AE2215" s="12"/>
    </row>
    <row r="2216" customHeight="1" spans="1:31">
      <c r="A2216" s="11" t="s">
        <v>30</v>
      </c>
      <c r="B2216" s="11" t="s">
        <v>10904</v>
      </c>
      <c r="C2216" s="11">
        <v>156</v>
      </c>
      <c r="D2216" s="11">
        <v>91</v>
      </c>
      <c r="E2216" s="11">
        <v>17</v>
      </c>
      <c r="F2216" s="11">
        <v>78</v>
      </c>
      <c r="G2216" s="11">
        <v>534</v>
      </c>
      <c r="H2216" s="11">
        <v>30079316</v>
      </c>
      <c r="I2216" s="11" t="s">
        <v>6403</v>
      </c>
      <c r="J2216" s="11" t="s">
        <v>10905</v>
      </c>
      <c r="K2216" s="11" t="s">
        <v>8994</v>
      </c>
      <c r="L2216" s="11" t="s">
        <v>10906</v>
      </c>
      <c r="M2216" s="11" t="s">
        <v>10907</v>
      </c>
      <c r="N2216" s="11">
        <v>75920</v>
      </c>
      <c r="O2216" s="11">
        <v>1083</v>
      </c>
      <c r="P2216" s="11">
        <v>0</v>
      </c>
      <c r="Q2216" s="11" t="s">
        <v>10908</v>
      </c>
      <c r="R2216" s="14" t="s">
        <v>10909</v>
      </c>
      <c r="S2216" s="11">
        <v>474</v>
      </c>
      <c r="T2216" s="11" t="s">
        <v>39</v>
      </c>
      <c r="U2216" s="11" t="s">
        <v>40</v>
      </c>
      <c r="V2216" s="11" t="s">
        <v>586</v>
      </c>
      <c r="W2216" s="11">
        <v>35000000</v>
      </c>
      <c r="X2216" s="11">
        <v>2002</v>
      </c>
      <c r="Y2216" s="11">
        <v>385</v>
      </c>
      <c r="Z2216" s="11">
        <v>5.5</v>
      </c>
      <c r="AA2216" s="11">
        <v>1.85</v>
      </c>
      <c r="AB2216" s="11">
        <v>0</v>
      </c>
      <c r="AC2216" s="11"/>
      <c r="AD2216" s="11" t="str">
        <f>IFERROR(__xludf.DUMMYFUNCTION("""COMPUTED_VALUE"""),"Vicky Krieps")</f>
        <v>Vicky Krieps</v>
      </c>
      <c r="AE2216" s="11"/>
    </row>
    <row r="2217" customHeight="1" spans="1:31">
      <c r="A2217" s="12" t="s">
        <v>30</v>
      </c>
      <c r="B2217" s="12" t="s">
        <v>10910</v>
      </c>
      <c r="C2217" s="12">
        <v>161</v>
      </c>
      <c r="D2217" s="12">
        <v>90</v>
      </c>
      <c r="E2217" s="12">
        <v>12</v>
      </c>
      <c r="F2217" s="12">
        <v>587</v>
      </c>
      <c r="G2217" s="12">
        <v>786</v>
      </c>
      <c r="H2217" s="12">
        <v>35033759</v>
      </c>
      <c r="I2217" s="12" t="s">
        <v>4220</v>
      </c>
      <c r="J2217" s="12" t="s">
        <v>7129</v>
      </c>
      <c r="K2217" s="12" t="s">
        <v>5043</v>
      </c>
      <c r="L2217" s="12" t="s">
        <v>9292</v>
      </c>
      <c r="M2217" s="12" t="s">
        <v>10911</v>
      </c>
      <c r="N2217" s="12">
        <v>55008</v>
      </c>
      <c r="O2217" s="12">
        <v>2462</v>
      </c>
      <c r="P2217" s="12">
        <v>4</v>
      </c>
      <c r="Q2217" s="12" t="s">
        <v>10912</v>
      </c>
      <c r="R2217" s="15" t="s">
        <v>10913</v>
      </c>
      <c r="S2217" s="12">
        <v>93</v>
      </c>
      <c r="T2217" s="12" t="s">
        <v>39</v>
      </c>
      <c r="U2217" s="12" t="s">
        <v>40</v>
      </c>
      <c r="V2217" s="12" t="s">
        <v>586</v>
      </c>
      <c r="W2217" s="12">
        <v>19000000</v>
      </c>
      <c r="X2217" s="12">
        <v>2011</v>
      </c>
      <c r="Y2217" s="12">
        <v>651</v>
      </c>
      <c r="Z2217" s="12">
        <v>6.3</v>
      </c>
      <c r="AA2217" s="12">
        <v>2.35</v>
      </c>
      <c r="AB2217" s="12">
        <v>21000</v>
      </c>
      <c r="AC2217" s="12"/>
      <c r="AD2217" s="12" t="str">
        <f>IFERROR(__xludf.DUMMYFUNCTION("""COMPUTED_VALUE"""),"John Macmillan")</f>
        <v>John Macmillan</v>
      </c>
      <c r="AE2217" s="12"/>
    </row>
    <row r="2218" customHeight="1" spans="1:31">
      <c r="A2218" s="11" t="s">
        <v>30</v>
      </c>
      <c r="B2218" s="11" t="s">
        <v>10914</v>
      </c>
      <c r="C2218" s="11">
        <v>69</v>
      </c>
      <c r="D2218" s="11">
        <v>115</v>
      </c>
      <c r="E2218" s="11">
        <v>39</v>
      </c>
      <c r="F2218" s="11">
        <v>254</v>
      </c>
      <c r="G2218" s="11">
        <v>13000</v>
      </c>
      <c r="H2218" s="11">
        <v>29753944</v>
      </c>
      <c r="I2218" s="11" t="s">
        <v>2142</v>
      </c>
      <c r="J2218" s="11" t="s">
        <v>549</v>
      </c>
      <c r="K2218" s="11" t="s">
        <v>3852</v>
      </c>
      <c r="L2218" s="11" t="s">
        <v>10915</v>
      </c>
      <c r="M2218" s="11" t="s">
        <v>10916</v>
      </c>
      <c r="N2218" s="11">
        <v>90677</v>
      </c>
      <c r="O2218" s="11">
        <v>14275</v>
      </c>
      <c r="P2218" s="11">
        <v>3</v>
      </c>
      <c r="Q2218" s="11" t="s">
        <v>10917</v>
      </c>
      <c r="R2218" s="14" t="s">
        <v>10918</v>
      </c>
      <c r="S2218" s="11">
        <v>389</v>
      </c>
      <c r="T2218" s="11" t="s">
        <v>39</v>
      </c>
      <c r="U2218" s="11" t="s">
        <v>40</v>
      </c>
      <c r="V2218" s="11" t="s">
        <v>586</v>
      </c>
      <c r="W2218" s="11">
        <v>20000000</v>
      </c>
      <c r="X2218" s="11">
        <v>1998</v>
      </c>
      <c r="Y2218" s="11">
        <v>481</v>
      </c>
      <c r="Z2218" s="11">
        <v>6.5</v>
      </c>
      <c r="AA2218" s="11">
        <v>2.35</v>
      </c>
      <c r="AB2218" s="11">
        <v>0</v>
      </c>
      <c r="AC2218" s="11"/>
      <c r="AD2218" s="11" t="str">
        <f>IFERROR(__xludf.DUMMYFUNCTION("""COMPUTED_VALUE"""),"Yaya DaCosta")</f>
        <v>Yaya DaCosta</v>
      </c>
      <c r="AE2218" s="11"/>
    </row>
    <row r="2219" customHeight="1" spans="1:31">
      <c r="A2219" s="12" t="s">
        <v>30</v>
      </c>
      <c r="B2219" s="12" t="s">
        <v>10919</v>
      </c>
      <c r="C2219" s="12">
        <v>121</v>
      </c>
      <c r="D2219" s="12">
        <v>101</v>
      </c>
      <c r="E2219" s="12">
        <v>29</v>
      </c>
      <c r="F2219" s="12">
        <v>429</v>
      </c>
      <c r="G2219" s="12">
        <v>812</v>
      </c>
      <c r="H2219" s="12">
        <v>29062561</v>
      </c>
      <c r="I2219" s="12" t="s">
        <v>1528</v>
      </c>
      <c r="J2219" s="12" t="s">
        <v>635</v>
      </c>
      <c r="K2219" s="12" t="s">
        <v>9446</v>
      </c>
      <c r="L2219" s="12" t="s">
        <v>10920</v>
      </c>
      <c r="M2219" s="12" t="s">
        <v>10921</v>
      </c>
      <c r="N2219" s="12">
        <v>23424</v>
      </c>
      <c r="O2219" s="12">
        <v>3292</v>
      </c>
      <c r="P2219" s="12">
        <v>0</v>
      </c>
      <c r="Q2219" s="12" t="s">
        <v>10922</v>
      </c>
      <c r="R2219" s="15" t="s">
        <v>10923</v>
      </c>
      <c r="S2219" s="12">
        <v>119</v>
      </c>
      <c r="T2219" s="12" t="s">
        <v>39</v>
      </c>
      <c r="U2219" s="12" t="s">
        <v>40</v>
      </c>
      <c r="V2219" s="12" t="s">
        <v>41</v>
      </c>
      <c r="W2219" s="16"/>
      <c r="X2219" s="12">
        <v>2009</v>
      </c>
      <c r="Y2219" s="12">
        <v>533</v>
      </c>
      <c r="Z2219" s="12">
        <v>5.6</v>
      </c>
      <c r="AA2219" s="12">
        <v>2.35</v>
      </c>
      <c r="AB2219" s="12">
        <v>0</v>
      </c>
      <c r="AC2219" s="12"/>
      <c r="AD2219" s="12" t="str">
        <f>IFERROR(__xludf.DUMMYFUNCTION("""COMPUTED_VALUE"""),"Jasika Nicole")</f>
        <v>Jasika Nicole</v>
      </c>
      <c r="AE2219" s="12"/>
    </row>
    <row r="2220" customHeight="1" spans="1:31">
      <c r="A2220" s="11" t="s">
        <v>30</v>
      </c>
      <c r="B2220" s="11" t="s">
        <v>4538</v>
      </c>
      <c r="C2220" s="11">
        <v>258</v>
      </c>
      <c r="D2220" s="11">
        <v>113</v>
      </c>
      <c r="E2220" s="11">
        <v>108</v>
      </c>
      <c r="F2220" s="11">
        <v>22</v>
      </c>
      <c r="G2220" s="11">
        <v>1000</v>
      </c>
      <c r="H2220" s="11">
        <v>31146570</v>
      </c>
      <c r="I2220" s="11" t="s">
        <v>4075</v>
      </c>
      <c r="J2220" s="11" t="s">
        <v>138</v>
      </c>
      <c r="K2220" s="11" t="s">
        <v>10924</v>
      </c>
      <c r="L2220" s="11" t="s">
        <v>10925</v>
      </c>
      <c r="M2220" s="11" t="s">
        <v>10926</v>
      </c>
      <c r="N2220" s="11">
        <v>55441</v>
      </c>
      <c r="O2220" s="11">
        <v>1136</v>
      </c>
      <c r="P2220" s="11">
        <v>3</v>
      </c>
      <c r="Q2220" s="11" t="s">
        <v>10927</v>
      </c>
      <c r="R2220" s="14" t="s">
        <v>10928</v>
      </c>
      <c r="S2220" s="11">
        <v>165</v>
      </c>
      <c r="T2220" s="11" t="s">
        <v>39</v>
      </c>
      <c r="U2220" s="11" t="s">
        <v>40</v>
      </c>
      <c r="V2220" s="11" t="s">
        <v>586</v>
      </c>
      <c r="W2220" s="11">
        <v>20000000</v>
      </c>
      <c r="X2220" s="11">
        <v>2010</v>
      </c>
      <c r="Y2220" s="11">
        <v>100</v>
      </c>
      <c r="Z2220" s="11">
        <v>6.9</v>
      </c>
      <c r="AA2220" s="11">
        <v>2.35</v>
      </c>
      <c r="AB2220" s="11">
        <v>0</v>
      </c>
      <c r="AC2220" s="11"/>
      <c r="AD2220" s="11" t="str">
        <f>IFERROR(__xludf.DUMMYFUNCTION("""COMPUTED_VALUE"""),"Jurnee Smollett-Bell")</f>
        <v>Jurnee Smollett-Bell</v>
      </c>
      <c r="AE2220" s="11"/>
    </row>
    <row r="2221" customHeight="1" spans="1:31">
      <c r="A2221" s="12" t="s">
        <v>30</v>
      </c>
      <c r="B2221" s="12" t="s">
        <v>5648</v>
      </c>
      <c r="C2221" s="12">
        <v>174</v>
      </c>
      <c r="D2221" s="12">
        <v>113</v>
      </c>
      <c r="E2221" s="12">
        <v>350</v>
      </c>
      <c r="F2221" s="12">
        <v>619</v>
      </c>
      <c r="G2221" s="12">
        <v>1000</v>
      </c>
      <c r="H2221" s="12">
        <v>27277055</v>
      </c>
      <c r="I2221" s="12" t="s">
        <v>5788</v>
      </c>
      <c r="J2221" s="12" t="s">
        <v>7568</v>
      </c>
      <c r="K2221" s="12" t="s">
        <v>2665</v>
      </c>
      <c r="L2221" s="12" t="s">
        <v>2373</v>
      </c>
      <c r="M2221" s="12" t="s">
        <v>10929</v>
      </c>
      <c r="N2221" s="12">
        <v>143137</v>
      </c>
      <c r="O2221" s="12">
        <v>3141</v>
      </c>
      <c r="P2221" s="12">
        <v>0</v>
      </c>
      <c r="Q2221" s="12" t="s">
        <v>10930</v>
      </c>
      <c r="R2221" s="15" t="s">
        <v>10931</v>
      </c>
      <c r="S2221" s="12">
        <v>602</v>
      </c>
      <c r="T2221" s="12" t="s">
        <v>39</v>
      </c>
      <c r="U2221" s="12" t="s">
        <v>58</v>
      </c>
      <c r="V2221" s="12" t="s">
        <v>586</v>
      </c>
      <c r="W2221" s="12">
        <v>20000000</v>
      </c>
      <c r="X2221" s="12">
        <v>2000</v>
      </c>
      <c r="Y2221" s="12">
        <v>960</v>
      </c>
      <c r="Z2221" s="12">
        <v>7.6</v>
      </c>
      <c r="AA2221" s="12">
        <v>1.85</v>
      </c>
      <c r="AB2221" s="12">
        <v>10000</v>
      </c>
      <c r="AC2221" s="12"/>
      <c r="AD2221" s="12" t="str">
        <f>IFERROR(__xludf.DUMMYFUNCTION("""COMPUTED_VALUE"""),"Alan Oppenheimer")</f>
        <v>Alan Oppenheimer</v>
      </c>
      <c r="AE2221" s="12"/>
    </row>
    <row r="2222" customHeight="1" spans="1:31">
      <c r="A2222" s="11" t="s">
        <v>30</v>
      </c>
      <c r="B2222" s="11" t="s">
        <v>10932</v>
      </c>
      <c r="C2222" s="11">
        <v>141</v>
      </c>
      <c r="D2222" s="11">
        <v>87</v>
      </c>
      <c r="E2222" s="11">
        <v>2</v>
      </c>
      <c r="F2222" s="11">
        <v>270</v>
      </c>
      <c r="G2222" s="11">
        <v>741</v>
      </c>
      <c r="H2222" s="11">
        <v>26876529</v>
      </c>
      <c r="I2222" s="11" t="s">
        <v>5104</v>
      </c>
      <c r="J2222" s="11" t="s">
        <v>6532</v>
      </c>
      <c r="K2222" s="11" t="s">
        <v>10933</v>
      </c>
      <c r="L2222" s="11" t="s">
        <v>10934</v>
      </c>
      <c r="M2222" s="11" t="s">
        <v>10935</v>
      </c>
      <c r="N2222" s="11">
        <v>26624</v>
      </c>
      <c r="O2222" s="11">
        <v>1834</v>
      </c>
      <c r="P2222" s="11">
        <v>1</v>
      </c>
      <c r="Q2222" s="11" t="s">
        <v>10936</v>
      </c>
      <c r="R2222" s="14" t="s">
        <v>10937</v>
      </c>
      <c r="S2222" s="11">
        <v>189</v>
      </c>
      <c r="T2222" s="11" t="s">
        <v>39</v>
      </c>
      <c r="U2222" s="11" t="s">
        <v>678</v>
      </c>
      <c r="V2222" s="11" t="s">
        <v>41</v>
      </c>
      <c r="W2222" s="11">
        <v>27000000</v>
      </c>
      <c r="X2222" s="11">
        <v>2008</v>
      </c>
      <c r="Y2222" s="11">
        <v>297</v>
      </c>
      <c r="Z2222" s="11">
        <v>3.9</v>
      </c>
      <c r="AA2222" s="11">
        <v>1.85</v>
      </c>
      <c r="AB2222" s="11">
        <v>0</v>
      </c>
      <c r="AC2222" s="11"/>
      <c r="AD2222" s="11" t="str">
        <f>IFERROR(__xludf.DUMMYFUNCTION("""COMPUTED_VALUE"""),"Tom Kane")</f>
        <v>Tom Kane</v>
      </c>
      <c r="AE2222" s="11"/>
    </row>
    <row r="2223" customHeight="1" spans="1:31">
      <c r="A2223" s="12" t="s">
        <v>30</v>
      </c>
      <c r="B2223" s="12" t="s">
        <v>9814</v>
      </c>
      <c r="C2223" s="12">
        <v>31</v>
      </c>
      <c r="D2223" s="12">
        <v>101</v>
      </c>
      <c r="E2223" s="12">
        <v>154</v>
      </c>
      <c r="F2223" s="12">
        <v>497</v>
      </c>
      <c r="G2223" s="12">
        <v>1000</v>
      </c>
      <c r="H2223" s="12">
        <v>53146000</v>
      </c>
      <c r="I2223" s="12" t="s">
        <v>2126</v>
      </c>
      <c r="J2223" s="12" t="s">
        <v>309</v>
      </c>
      <c r="K2223" s="12" t="s">
        <v>7746</v>
      </c>
      <c r="L2223" s="12" t="s">
        <v>3538</v>
      </c>
      <c r="M2223" s="12" t="s">
        <v>10938</v>
      </c>
      <c r="N2223" s="12">
        <v>9845</v>
      </c>
      <c r="O2223" s="12">
        <v>3174</v>
      </c>
      <c r="P2223" s="12">
        <v>1</v>
      </c>
      <c r="Q2223" s="12" t="s">
        <v>10939</v>
      </c>
      <c r="R2223" s="15" t="s">
        <v>10940</v>
      </c>
      <c r="S2223" s="12">
        <v>77</v>
      </c>
      <c r="T2223" s="12" t="s">
        <v>39</v>
      </c>
      <c r="U2223" s="12" t="s">
        <v>40</v>
      </c>
      <c r="V2223" s="12" t="s">
        <v>586</v>
      </c>
      <c r="W2223" s="12">
        <v>20000000</v>
      </c>
      <c r="X2223" s="12">
        <v>1996</v>
      </c>
      <c r="Y2223" s="12">
        <v>816</v>
      </c>
      <c r="Z2223" s="12">
        <v>6.1</v>
      </c>
      <c r="AA2223" s="12">
        <v>1.85</v>
      </c>
      <c r="AB2223" s="12">
        <v>613</v>
      </c>
      <c r="AC2223" s="12"/>
      <c r="AD2223" s="12" t="str">
        <f>IFERROR(__xludf.DUMMYFUNCTION("""COMPUTED_VALUE"""),"Katie Lowes")</f>
        <v>Katie Lowes</v>
      </c>
      <c r="AE2223" s="12"/>
    </row>
    <row r="2224" customHeight="1" spans="1:31">
      <c r="A2224" s="11" t="s">
        <v>30</v>
      </c>
      <c r="B2224" s="11" t="s">
        <v>1490</v>
      </c>
      <c r="C2224" s="11">
        <v>222</v>
      </c>
      <c r="D2224" s="11">
        <v>111</v>
      </c>
      <c r="E2224" s="11">
        <v>79</v>
      </c>
      <c r="F2224" s="11">
        <v>287</v>
      </c>
      <c r="G2224" s="11">
        <v>26000</v>
      </c>
      <c r="H2224" s="11">
        <v>30028592</v>
      </c>
      <c r="I2224" s="11" t="s">
        <v>5275</v>
      </c>
      <c r="J2224" s="11" t="s">
        <v>335</v>
      </c>
      <c r="K2224" s="11" t="s">
        <v>4063</v>
      </c>
      <c r="L2224" s="11" t="s">
        <v>6048</v>
      </c>
      <c r="M2224" s="11" t="s">
        <v>10941</v>
      </c>
      <c r="N2224" s="11">
        <v>152247</v>
      </c>
      <c r="O2224" s="11">
        <v>27755</v>
      </c>
      <c r="P2224" s="11">
        <v>0</v>
      </c>
      <c r="Q2224" s="11" t="s">
        <v>10942</v>
      </c>
      <c r="R2224" s="14" t="s">
        <v>10943</v>
      </c>
      <c r="S2224" s="11">
        <v>189</v>
      </c>
      <c r="T2224" s="11" t="s">
        <v>39</v>
      </c>
      <c r="U2224" s="11" t="s">
        <v>58</v>
      </c>
      <c r="V2224" s="11" t="s">
        <v>586</v>
      </c>
      <c r="W2224" s="11">
        <v>20000000</v>
      </c>
      <c r="X2224" s="11">
        <v>2008</v>
      </c>
      <c r="Y2224" s="11">
        <v>811</v>
      </c>
      <c r="Z2224" s="11">
        <v>7.3</v>
      </c>
      <c r="AA2224" s="11">
        <v>2.35</v>
      </c>
      <c r="AB2224" s="11">
        <v>0</v>
      </c>
      <c r="AC2224" s="11"/>
      <c r="AD2224" s="11" t="str">
        <f>IFERROR(__xludf.DUMMYFUNCTION("""COMPUTED_VALUE"""),"Luke Mably")</f>
        <v>Luke Mably</v>
      </c>
      <c r="AE2224" s="11"/>
    </row>
    <row r="2225" customHeight="1" spans="1:31">
      <c r="A2225" s="12" t="s">
        <v>30</v>
      </c>
      <c r="B2225" s="12" t="s">
        <v>1556</v>
      </c>
      <c r="C2225" s="12">
        <v>273</v>
      </c>
      <c r="D2225" s="12">
        <v>108</v>
      </c>
      <c r="E2225" s="12">
        <v>1000</v>
      </c>
      <c r="F2225" s="12">
        <v>1000</v>
      </c>
      <c r="G2225" s="12">
        <v>14000</v>
      </c>
      <c r="H2225" s="12">
        <v>34126138</v>
      </c>
      <c r="I2225" s="12" t="s">
        <v>6919</v>
      </c>
      <c r="J2225" s="12" t="s">
        <v>216</v>
      </c>
      <c r="K2225" s="12" t="s">
        <v>84</v>
      </c>
      <c r="L2225" s="12" t="s">
        <v>138</v>
      </c>
      <c r="M2225" s="12" t="s">
        <v>10944</v>
      </c>
      <c r="N2225" s="12">
        <v>666937</v>
      </c>
      <c r="O2225" s="12">
        <v>19364</v>
      </c>
      <c r="P2225" s="12">
        <v>1</v>
      </c>
      <c r="Q2225" s="12" t="s">
        <v>10945</v>
      </c>
      <c r="R2225" s="15" t="s">
        <v>10946</v>
      </c>
      <c r="S2225" s="12">
        <v>1514</v>
      </c>
      <c r="T2225" s="12" t="s">
        <v>39</v>
      </c>
      <c r="U2225" s="12" t="s">
        <v>40</v>
      </c>
      <c r="V2225" s="12" t="s">
        <v>586</v>
      </c>
      <c r="W2225" s="12">
        <v>20000000</v>
      </c>
      <c r="X2225" s="12">
        <v>2004</v>
      </c>
      <c r="Y2225" s="12">
        <v>4000</v>
      </c>
      <c r="Z2225" s="12">
        <v>8.3</v>
      </c>
      <c r="AA2225" s="12">
        <v>1.85</v>
      </c>
      <c r="AB2225" s="12">
        <v>52000</v>
      </c>
      <c r="AC2225" s="12"/>
      <c r="AD2225" s="12" t="str">
        <f>IFERROR(__xludf.DUMMYFUNCTION("""COMPUTED_VALUE"""),"Robert Lopez")</f>
        <v>Robert Lopez</v>
      </c>
      <c r="AE2225" s="12"/>
    </row>
    <row r="2226" customHeight="1" spans="1:31">
      <c r="A2226" s="11" t="s">
        <v>30</v>
      </c>
      <c r="B2226" s="11" t="s">
        <v>5134</v>
      </c>
      <c r="C2226" s="11">
        <v>91</v>
      </c>
      <c r="D2226" s="11">
        <v>105</v>
      </c>
      <c r="E2226" s="11">
        <v>99</v>
      </c>
      <c r="F2226" s="11">
        <v>518</v>
      </c>
      <c r="G2226" s="11">
        <v>2000</v>
      </c>
      <c r="H2226" s="11">
        <v>25677801</v>
      </c>
      <c r="I2226" s="11" t="s">
        <v>2717</v>
      </c>
      <c r="J2226" s="11" t="s">
        <v>1734</v>
      </c>
      <c r="K2226" s="11" t="s">
        <v>10947</v>
      </c>
      <c r="L2226" s="11" t="s">
        <v>10948</v>
      </c>
      <c r="M2226" s="11" t="s">
        <v>10949</v>
      </c>
      <c r="N2226" s="11">
        <v>41273</v>
      </c>
      <c r="O2226" s="11">
        <v>4813</v>
      </c>
      <c r="P2226" s="11">
        <v>6</v>
      </c>
      <c r="Q2226" s="11" t="s">
        <v>10950</v>
      </c>
      <c r="R2226" s="14" t="s">
        <v>10951</v>
      </c>
      <c r="S2226" s="11">
        <v>136</v>
      </c>
      <c r="T2226" s="11" t="s">
        <v>39</v>
      </c>
      <c r="U2226" s="11" t="s">
        <v>40</v>
      </c>
      <c r="V2226" s="11" t="s">
        <v>96</v>
      </c>
      <c r="W2226" s="11">
        <v>20000000</v>
      </c>
      <c r="X2226" s="11">
        <v>2010</v>
      </c>
      <c r="Y2226" s="11">
        <v>938</v>
      </c>
      <c r="Z2226" s="11">
        <v>5.8</v>
      </c>
      <c r="AA2226" s="11">
        <v>2.35</v>
      </c>
      <c r="AB2226" s="11">
        <v>0</v>
      </c>
      <c r="AC2226" s="11"/>
      <c r="AD2226" s="11" t="str">
        <f>IFERROR(__xludf.DUMMYFUNCTION("""COMPUTED_VALUE"""),"Huell Howser")</f>
        <v>Huell Howser</v>
      </c>
      <c r="AE2226" s="11"/>
    </row>
    <row r="2227" customHeight="1" spans="1:31">
      <c r="A2227" s="12" t="s">
        <v>30</v>
      </c>
      <c r="B2227" s="12" t="s">
        <v>508</v>
      </c>
      <c r="C2227" s="12">
        <v>190</v>
      </c>
      <c r="D2227" s="12">
        <v>109</v>
      </c>
      <c r="E2227" s="12">
        <v>453</v>
      </c>
      <c r="F2227" s="12">
        <v>2000</v>
      </c>
      <c r="G2227" s="12">
        <v>18000</v>
      </c>
      <c r="H2227" s="12">
        <v>26415649</v>
      </c>
      <c r="I2227" s="12" t="s">
        <v>464</v>
      </c>
      <c r="J2227" s="12" t="s">
        <v>588</v>
      </c>
      <c r="K2227" s="12" t="s">
        <v>222</v>
      </c>
      <c r="L2227" s="12" t="s">
        <v>5732</v>
      </c>
      <c r="M2227" s="12" t="s">
        <v>10952</v>
      </c>
      <c r="N2227" s="12">
        <v>94892</v>
      </c>
      <c r="O2227" s="12">
        <v>33878</v>
      </c>
      <c r="P2227" s="12">
        <v>4</v>
      </c>
      <c r="Q2227" s="12" t="s">
        <v>10953</v>
      </c>
      <c r="R2227" s="15" t="s">
        <v>10954</v>
      </c>
      <c r="S2227" s="12">
        <v>189</v>
      </c>
      <c r="T2227" s="12" t="s">
        <v>39</v>
      </c>
      <c r="U2227" s="12" t="s">
        <v>40</v>
      </c>
      <c r="V2227" s="12" t="s">
        <v>586</v>
      </c>
      <c r="W2227" s="12">
        <v>20000000</v>
      </c>
      <c r="X2227" s="12">
        <v>2008</v>
      </c>
      <c r="Y2227" s="12">
        <v>11000</v>
      </c>
      <c r="Z2227" s="12">
        <v>6.8</v>
      </c>
      <c r="AA2227" s="12">
        <v>2.35</v>
      </c>
      <c r="AB2227" s="12">
        <v>0</v>
      </c>
      <c r="AC2227" s="12"/>
      <c r="AD2227" s="12" t="str">
        <f>IFERROR(__xludf.DUMMYFUNCTION("""COMPUTED_VALUE"""),"Cheri Oteri")</f>
        <v>Cheri Oteri</v>
      </c>
      <c r="AE2227" s="12"/>
    </row>
    <row r="2228" customHeight="1" spans="1:31">
      <c r="A2228" s="11" t="s">
        <v>30</v>
      </c>
      <c r="B2228" s="11" t="s">
        <v>2454</v>
      </c>
      <c r="C2228" s="11">
        <v>427</v>
      </c>
      <c r="D2228" s="11">
        <v>109</v>
      </c>
      <c r="E2228" s="11">
        <v>1000</v>
      </c>
      <c r="F2228" s="11">
        <v>24</v>
      </c>
      <c r="G2228" s="11">
        <v>177</v>
      </c>
      <c r="H2228" s="11">
        <v>26003149</v>
      </c>
      <c r="I2228" s="11" t="s">
        <v>1904</v>
      </c>
      <c r="J2228" s="11" t="s">
        <v>3845</v>
      </c>
      <c r="K2228" s="11" t="s">
        <v>10955</v>
      </c>
      <c r="L2228" s="11" t="s">
        <v>10956</v>
      </c>
      <c r="M2228" s="11" t="s">
        <v>10957</v>
      </c>
      <c r="N2228" s="11">
        <v>185587</v>
      </c>
      <c r="O2228" s="11">
        <v>278</v>
      </c>
      <c r="P2228" s="11">
        <v>6</v>
      </c>
      <c r="Q2228" s="11" t="s">
        <v>10958</v>
      </c>
      <c r="R2228" s="14" t="s">
        <v>10959</v>
      </c>
      <c r="S2228" s="11">
        <v>401</v>
      </c>
      <c r="T2228" s="11" t="s">
        <v>39</v>
      </c>
      <c r="U2228" s="11" t="s">
        <v>58</v>
      </c>
      <c r="V2228" s="11" t="s">
        <v>586</v>
      </c>
      <c r="W2228" s="11">
        <v>20000000</v>
      </c>
      <c r="X2228" s="11">
        <v>2013</v>
      </c>
      <c r="Y2228" s="11">
        <v>55</v>
      </c>
      <c r="Z2228" s="11">
        <v>7</v>
      </c>
      <c r="AA2228" s="11">
        <v>2.35</v>
      </c>
      <c r="AB2228" s="11">
        <v>49000</v>
      </c>
      <c r="AC2228" s="11"/>
      <c r="AD2228" s="11" t="str">
        <f>IFERROR(__xludf.DUMMYFUNCTION("""COMPUTED_VALUE"""),"Kirk Baltz")</f>
        <v>Kirk Baltz</v>
      </c>
      <c r="AE2228" s="11"/>
    </row>
    <row r="2229" customHeight="1" spans="1:31">
      <c r="A2229" s="12" t="s">
        <v>30</v>
      </c>
      <c r="B2229" s="12" t="s">
        <v>10960</v>
      </c>
      <c r="C2229" s="12">
        <v>93</v>
      </c>
      <c r="D2229" s="12">
        <v>99</v>
      </c>
      <c r="E2229" s="12">
        <v>26</v>
      </c>
      <c r="F2229" s="12">
        <v>650</v>
      </c>
      <c r="G2229" s="12">
        <v>720</v>
      </c>
      <c r="H2229" s="12">
        <v>25584685</v>
      </c>
      <c r="I2229" s="12" t="s">
        <v>10961</v>
      </c>
      <c r="J2229" s="12" t="s">
        <v>10962</v>
      </c>
      <c r="K2229" s="12" t="s">
        <v>7152</v>
      </c>
      <c r="L2229" s="12" t="s">
        <v>4183</v>
      </c>
      <c r="M2229" s="12" t="s">
        <v>10963</v>
      </c>
      <c r="N2229" s="12">
        <v>15877</v>
      </c>
      <c r="O2229" s="12">
        <v>3327</v>
      </c>
      <c r="P2229" s="12">
        <v>5</v>
      </c>
      <c r="Q2229" s="12" t="s">
        <v>10964</v>
      </c>
      <c r="R2229" s="15" t="s">
        <v>10965</v>
      </c>
      <c r="S2229" s="12">
        <v>102</v>
      </c>
      <c r="T2229" s="12" t="s">
        <v>39</v>
      </c>
      <c r="U2229" s="12" t="s">
        <v>40</v>
      </c>
      <c r="V2229" s="12" t="s">
        <v>96</v>
      </c>
      <c r="W2229" s="12">
        <v>20000000</v>
      </c>
      <c r="X2229" s="12">
        <v>2007</v>
      </c>
      <c r="Y2229" s="12">
        <v>669</v>
      </c>
      <c r="Z2229" s="12">
        <v>5.9</v>
      </c>
      <c r="AA2229" s="12">
        <v>2.35</v>
      </c>
      <c r="AB2229" s="12">
        <v>590</v>
      </c>
      <c r="AC2229" s="12"/>
      <c r="AD2229" s="12" t="str">
        <f>IFERROR(__xludf.DUMMYFUNCTION("""COMPUTED_VALUE"""),"Graham Beckel")</f>
        <v>Graham Beckel</v>
      </c>
      <c r="AE2229" s="12"/>
    </row>
    <row r="2230" customHeight="1" spans="1:31">
      <c r="A2230" s="11" t="s">
        <v>30</v>
      </c>
      <c r="B2230" s="11" t="s">
        <v>10966</v>
      </c>
      <c r="C2230" s="11">
        <v>292</v>
      </c>
      <c r="D2230" s="11">
        <v>98</v>
      </c>
      <c r="E2230" s="11">
        <v>35</v>
      </c>
      <c r="F2230" s="11">
        <v>16</v>
      </c>
      <c r="G2230" s="11">
        <v>125</v>
      </c>
      <c r="H2230" s="11">
        <v>29975979</v>
      </c>
      <c r="I2230" s="11" t="s">
        <v>2208</v>
      </c>
      <c r="J2230" s="11" t="s">
        <v>10967</v>
      </c>
      <c r="K2230" s="11" t="s">
        <v>10968</v>
      </c>
      <c r="L2230" s="11" t="s">
        <v>10969</v>
      </c>
      <c r="M2230" s="11" t="s">
        <v>10970</v>
      </c>
      <c r="N2230" s="11">
        <v>105797</v>
      </c>
      <c r="O2230" s="11">
        <v>189</v>
      </c>
      <c r="P2230" s="11">
        <v>0</v>
      </c>
      <c r="Q2230" s="11" t="s">
        <v>10971</v>
      </c>
      <c r="R2230" s="14" t="s">
        <v>10972</v>
      </c>
      <c r="S2230" s="11">
        <v>281</v>
      </c>
      <c r="T2230" s="11" t="s">
        <v>39</v>
      </c>
      <c r="U2230" s="11" t="s">
        <v>371</v>
      </c>
      <c r="V2230" s="11" t="s">
        <v>586</v>
      </c>
      <c r="W2230" s="11">
        <v>20000000</v>
      </c>
      <c r="X2230" s="11">
        <v>2009</v>
      </c>
      <c r="Y2230" s="11">
        <v>37</v>
      </c>
      <c r="Z2230" s="11">
        <v>6.5</v>
      </c>
      <c r="AA2230" s="11">
        <v>2.35</v>
      </c>
      <c r="AB2230" s="11">
        <v>0</v>
      </c>
      <c r="AC2230" s="11"/>
      <c r="AD2230" s="11" t="str">
        <f>IFERROR(__xludf.DUMMYFUNCTION("""COMPUTED_VALUE"""),"Tika Sumpter")</f>
        <v>Tika Sumpter</v>
      </c>
      <c r="AE2230" s="11"/>
    </row>
    <row r="2231" customHeight="1" spans="1:31">
      <c r="A2231" s="12" t="s">
        <v>30</v>
      </c>
      <c r="B2231" s="12" t="s">
        <v>10973</v>
      </c>
      <c r="C2231" s="12">
        <v>180</v>
      </c>
      <c r="D2231" s="12">
        <v>104</v>
      </c>
      <c r="E2231" s="12">
        <v>14</v>
      </c>
      <c r="F2231" s="12">
        <v>756</v>
      </c>
      <c r="G2231" s="12">
        <v>2000</v>
      </c>
      <c r="H2231" s="12">
        <v>31584722</v>
      </c>
      <c r="I2231" s="12" t="s">
        <v>1681</v>
      </c>
      <c r="J2231" s="12" t="s">
        <v>713</v>
      </c>
      <c r="K2231" s="12" t="s">
        <v>4490</v>
      </c>
      <c r="L2231" s="12" t="s">
        <v>10974</v>
      </c>
      <c r="M2231" s="12" t="s">
        <v>10975</v>
      </c>
      <c r="N2231" s="12">
        <v>101730</v>
      </c>
      <c r="O2231" s="12">
        <v>5707</v>
      </c>
      <c r="P2231" s="12">
        <v>1</v>
      </c>
      <c r="Q2231" s="12" t="s">
        <v>10976</v>
      </c>
      <c r="R2231" s="15" t="s">
        <v>10977</v>
      </c>
      <c r="S2231" s="12">
        <v>131</v>
      </c>
      <c r="T2231" s="12" t="s">
        <v>39</v>
      </c>
      <c r="U2231" s="12" t="s">
        <v>40</v>
      </c>
      <c r="V2231" s="12" t="s">
        <v>586</v>
      </c>
      <c r="W2231" s="12">
        <v>20000000</v>
      </c>
      <c r="X2231" s="12">
        <v>2010</v>
      </c>
      <c r="Y2231" s="12">
        <v>934</v>
      </c>
      <c r="Z2231" s="12">
        <v>6.4</v>
      </c>
      <c r="AA2231" s="12">
        <v>2.35</v>
      </c>
      <c r="AB2231" s="12">
        <v>0</v>
      </c>
      <c r="AC2231" s="12"/>
      <c r="AD2231" s="12" t="str">
        <f>IFERROR(__xludf.DUMMYFUNCTION("""COMPUTED_VALUE"""),"Josh Hopkins")</f>
        <v>Josh Hopkins</v>
      </c>
      <c r="AE2231" s="12"/>
    </row>
    <row r="2232" customHeight="1" spans="1:31">
      <c r="A2232" s="11" t="s">
        <v>30</v>
      </c>
      <c r="B2232" s="11" t="s">
        <v>10978</v>
      </c>
      <c r="C2232" s="11">
        <v>94</v>
      </c>
      <c r="D2232" s="11">
        <v>109</v>
      </c>
      <c r="E2232" s="11">
        <v>15</v>
      </c>
      <c r="F2232" s="11">
        <v>350</v>
      </c>
      <c r="G2232" s="11">
        <v>3000</v>
      </c>
      <c r="H2232" s="11">
        <v>23179303</v>
      </c>
      <c r="I2232" s="11" t="s">
        <v>9781</v>
      </c>
      <c r="J2232" s="11" t="s">
        <v>4518</v>
      </c>
      <c r="K2232" s="11" t="s">
        <v>9394</v>
      </c>
      <c r="L2232" s="11" t="s">
        <v>10979</v>
      </c>
      <c r="M2232" s="11" t="s">
        <v>10980</v>
      </c>
      <c r="N2232" s="11">
        <v>32951</v>
      </c>
      <c r="O2232" s="11">
        <v>4257</v>
      </c>
      <c r="P2232" s="11">
        <v>3</v>
      </c>
      <c r="Q2232" s="11" t="s">
        <v>10981</v>
      </c>
      <c r="R2232" s="14" t="s">
        <v>10982</v>
      </c>
      <c r="S2232" s="11">
        <v>44</v>
      </c>
      <c r="T2232" s="11" t="s">
        <v>39</v>
      </c>
      <c r="U2232" s="11" t="s">
        <v>10983</v>
      </c>
      <c r="V2232" s="11" t="s">
        <v>96</v>
      </c>
      <c r="W2232" s="11">
        <v>20000000</v>
      </c>
      <c r="X2232" s="11">
        <v>2011</v>
      </c>
      <c r="Y2232" s="11">
        <v>775</v>
      </c>
      <c r="Z2232" s="11">
        <v>5.8</v>
      </c>
      <c r="AA2232" s="11">
        <v>1.85</v>
      </c>
      <c r="AB2232" s="11">
        <v>6000</v>
      </c>
      <c r="AC2232" s="11"/>
      <c r="AD2232" s="11" t="str">
        <f>IFERROR(__xludf.DUMMYFUNCTION("""COMPUTED_VALUE"""),"Aunjanue Ellis")</f>
        <v>Aunjanue Ellis</v>
      </c>
      <c r="AE2232" s="11"/>
    </row>
    <row r="2233" customHeight="1" spans="1:31">
      <c r="A2233" s="12" t="s">
        <v>30</v>
      </c>
      <c r="B2233" s="12" t="s">
        <v>10984</v>
      </c>
      <c r="C2233" s="12">
        <v>112</v>
      </c>
      <c r="D2233" s="12">
        <v>75</v>
      </c>
      <c r="E2233" s="12">
        <v>19</v>
      </c>
      <c r="F2233" s="12">
        <v>806</v>
      </c>
      <c r="G2233" s="12">
        <v>1000</v>
      </c>
      <c r="H2233" s="12">
        <v>23078294</v>
      </c>
      <c r="I2233" s="12" t="s">
        <v>5544</v>
      </c>
      <c r="J2233" s="12" t="s">
        <v>2866</v>
      </c>
      <c r="K2233" s="12" t="s">
        <v>8307</v>
      </c>
      <c r="L2233" s="12" t="s">
        <v>8989</v>
      </c>
      <c r="M2233" s="12" t="s">
        <v>10985</v>
      </c>
      <c r="N2233" s="12">
        <v>25870</v>
      </c>
      <c r="O2233" s="12">
        <v>3590</v>
      </c>
      <c r="P2233" s="12">
        <v>0</v>
      </c>
      <c r="Q2233" s="12" t="s">
        <v>10986</v>
      </c>
      <c r="R2233" s="15" t="s">
        <v>10987</v>
      </c>
      <c r="S2233" s="12">
        <v>281</v>
      </c>
      <c r="T2233" s="12" t="s">
        <v>39</v>
      </c>
      <c r="U2233" s="12" t="s">
        <v>40</v>
      </c>
      <c r="V2233" s="12" t="s">
        <v>41</v>
      </c>
      <c r="W2233" s="12">
        <v>9000000</v>
      </c>
      <c r="X2233" s="12">
        <v>2006</v>
      </c>
      <c r="Y2233" s="12">
        <v>934</v>
      </c>
      <c r="Z2233" s="12">
        <v>5.1</v>
      </c>
      <c r="AA2233" s="12">
        <v>2.35</v>
      </c>
      <c r="AB2233" s="12">
        <v>0</v>
      </c>
      <c r="AC2233" s="12"/>
      <c r="AD2233" s="12" t="str">
        <f>IFERROR(__xludf.DUMMYFUNCTION("""COMPUTED_VALUE"""),"Rhys Wakefield")</f>
        <v>Rhys Wakefield</v>
      </c>
      <c r="AE2233" s="12"/>
    </row>
    <row r="2234" customHeight="1" spans="1:31">
      <c r="A2234" s="11" t="s">
        <v>30</v>
      </c>
      <c r="B2234" s="11" t="s">
        <v>5931</v>
      </c>
      <c r="C2234" s="11">
        <v>20</v>
      </c>
      <c r="D2234" s="11">
        <v>119</v>
      </c>
      <c r="E2234" s="11">
        <v>23</v>
      </c>
      <c r="F2234" s="11">
        <v>748</v>
      </c>
      <c r="G2234" s="11">
        <v>25000</v>
      </c>
      <c r="H2234" s="11">
        <v>21413105</v>
      </c>
      <c r="I2234" s="11" t="s">
        <v>10988</v>
      </c>
      <c r="J2234" s="11" t="s">
        <v>106</v>
      </c>
      <c r="K2234" s="11" t="s">
        <v>3105</v>
      </c>
      <c r="L2234" s="11" t="s">
        <v>1025</v>
      </c>
      <c r="M2234" s="11" t="s">
        <v>10989</v>
      </c>
      <c r="N2234" s="11">
        <v>15230</v>
      </c>
      <c r="O2234" s="11">
        <v>45841</v>
      </c>
      <c r="P2234" s="11">
        <v>1</v>
      </c>
      <c r="Q2234" s="11" t="s">
        <v>10990</v>
      </c>
      <c r="R2234" s="14" t="s">
        <v>10991</v>
      </c>
      <c r="S2234" s="11">
        <v>97</v>
      </c>
      <c r="T2234" s="11" t="s">
        <v>39</v>
      </c>
      <c r="U2234" s="11" t="s">
        <v>371</v>
      </c>
      <c r="V2234" s="11" t="s">
        <v>41</v>
      </c>
      <c r="W2234" s="11">
        <v>20000000</v>
      </c>
      <c r="X2234" s="11">
        <v>1990</v>
      </c>
      <c r="Y2234" s="11">
        <v>19000</v>
      </c>
      <c r="Z2234" s="11">
        <v>6.8</v>
      </c>
      <c r="AA2234" s="11">
        <v>2.35</v>
      </c>
      <c r="AB2234" s="11">
        <v>0</v>
      </c>
      <c r="AC2234" s="11"/>
      <c r="AD2234" s="11" t="str">
        <f>IFERROR(__xludf.DUMMYFUNCTION("""COMPUTED_VALUE"""),"Dave Annable")</f>
        <v>Dave Annable</v>
      </c>
      <c r="AE2234" s="11"/>
    </row>
    <row r="2235" customHeight="1" spans="1:31">
      <c r="A2235" s="12" t="s">
        <v>30</v>
      </c>
      <c r="B2235" s="12" t="s">
        <v>10992</v>
      </c>
      <c r="C2235" s="12">
        <v>84</v>
      </c>
      <c r="D2235" s="12">
        <v>90</v>
      </c>
      <c r="E2235" s="12">
        <v>0</v>
      </c>
      <c r="F2235" s="12">
        <v>518</v>
      </c>
      <c r="G2235" s="12">
        <v>681</v>
      </c>
      <c r="H2235" s="12">
        <v>25077977</v>
      </c>
      <c r="I2235" s="12" t="s">
        <v>1985</v>
      </c>
      <c r="J2235" s="12" t="s">
        <v>2191</v>
      </c>
      <c r="K2235" s="12" t="s">
        <v>2470</v>
      </c>
      <c r="L2235" s="12" t="s">
        <v>10948</v>
      </c>
      <c r="M2235" s="12" t="s">
        <v>10993</v>
      </c>
      <c r="N2235" s="12">
        <v>10986</v>
      </c>
      <c r="O2235" s="12">
        <v>2486</v>
      </c>
      <c r="P2235" s="12">
        <v>0</v>
      </c>
      <c r="Q2235" s="12" t="s">
        <v>10994</v>
      </c>
      <c r="R2235" s="15" t="s">
        <v>10995</v>
      </c>
      <c r="S2235" s="12">
        <v>84</v>
      </c>
      <c r="T2235" s="12" t="s">
        <v>39</v>
      </c>
      <c r="U2235" s="12" t="s">
        <v>40</v>
      </c>
      <c r="V2235" s="12" t="s">
        <v>96</v>
      </c>
      <c r="W2235" s="12">
        <v>20000000</v>
      </c>
      <c r="X2235" s="12">
        <v>2010</v>
      </c>
      <c r="Y2235" s="12">
        <v>611</v>
      </c>
      <c r="Z2235" s="12">
        <v>5.3</v>
      </c>
      <c r="AA2235" s="12">
        <v>1.85</v>
      </c>
      <c r="AB2235" s="12">
        <v>0</v>
      </c>
      <c r="AC2235" s="12"/>
      <c r="AD2235" s="12" t="str">
        <f>IFERROR(__xludf.DUMMYFUNCTION("""COMPUTED_VALUE"""),"Jacki Weaver")</f>
        <v>Jacki Weaver</v>
      </c>
      <c r="AE2235" s="12"/>
    </row>
    <row r="2236" customHeight="1" spans="1:31">
      <c r="A2236" s="11" t="s">
        <v>30</v>
      </c>
      <c r="B2236" s="11" t="s">
        <v>2067</v>
      </c>
      <c r="C2236" s="11">
        <v>120</v>
      </c>
      <c r="D2236" s="11">
        <v>97</v>
      </c>
      <c r="E2236" s="11">
        <v>212</v>
      </c>
      <c r="F2236" s="11">
        <v>637</v>
      </c>
      <c r="G2236" s="11">
        <v>960</v>
      </c>
      <c r="H2236" s="11">
        <v>23292105</v>
      </c>
      <c r="I2236" s="11" t="s">
        <v>8946</v>
      </c>
      <c r="J2236" s="11" t="s">
        <v>9629</v>
      </c>
      <c r="K2236" s="11" t="s">
        <v>7970</v>
      </c>
      <c r="L2236" s="11" t="s">
        <v>10996</v>
      </c>
      <c r="M2236" s="11" t="s">
        <v>10997</v>
      </c>
      <c r="N2236" s="11">
        <v>39541</v>
      </c>
      <c r="O2236" s="11">
        <v>3261</v>
      </c>
      <c r="P2236" s="11">
        <v>0</v>
      </c>
      <c r="Q2236" s="11" t="s">
        <v>10998</v>
      </c>
      <c r="R2236" s="14" t="s">
        <v>10999</v>
      </c>
      <c r="S2236" s="11">
        <v>334</v>
      </c>
      <c r="T2236" s="11" t="s">
        <v>39</v>
      </c>
      <c r="U2236" s="11" t="s">
        <v>40</v>
      </c>
      <c r="V2236" s="11" t="s">
        <v>41</v>
      </c>
      <c r="W2236" s="11">
        <v>20000000</v>
      </c>
      <c r="X2236" s="11">
        <v>2006</v>
      </c>
      <c r="Y2236" s="11">
        <v>917</v>
      </c>
      <c r="Z2236" s="11">
        <v>5.3</v>
      </c>
      <c r="AA2236" s="11">
        <v>2.35</v>
      </c>
      <c r="AB2236" s="11">
        <v>3000</v>
      </c>
      <c r="AC2236" s="11"/>
      <c r="AD2236" s="11" t="str">
        <f>IFERROR(__xludf.DUMMYFUNCTION("""COMPUTED_VALUE"""),"Daniel Stern")</f>
        <v>Daniel Stern</v>
      </c>
      <c r="AE2236" s="11"/>
    </row>
    <row r="2237" customHeight="1" spans="1:31">
      <c r="A2237" s="12" t="s">
        <v>30</v>
      </c>
      <c r="B2237" s="12" t="s">
        <v>11000</v>
      </c>
      <c r="C2237" s="12">
        <v>90</v>
      </c>
      <c r="D2237" s="12">
        <v>103</v>
      </c>
      <c r="E2237" s="12">
        <v>31</v>
      </c>
      <c r="F2237" s="12">
        <v>733</v>
      </c>
      <c r="G2237" s="12">
        <v>12000</v>
      </c>
      <c r="H2237" s="12">
        <v>26870825</v>
      </c>
      <c r="I2237" s="12" t="s">
        <v>6283</v>
      </c>
      <c r="J2237" s="12" t="s">
        <v>301</v>
      </c>
      <c r="K2237" s="12" t="s">
        <v>11001</v>
      </c>
      <c r="L2237" s="12" t="s">
        <v>11002</v>
      </c>
      <c r="M2237" s="12" t="s">
        <v>11003</v>
      </c>
      <c r="N2237" s="12">
        <v>22604</v>
      </c>
      <c r="O2237" s="12">
        <v>14903</v>
      </c>
      <c r="P2237" s="12">
        <v>3</v>
      </c>
      <c r="Q2237" s="12" t="s">
        <v>11004</v>
      </c>
      <c r="R2237" s="15" t="s">
        <v>11005</v>
      </c>
      <c r="S2237" s="12">
        <v>124</v>
      </c>
      <c r="T2237" s="12" t="s">
        <v>39</v>
      </c>
      <c r="U2237" s="12" t="s">
        <v>768</v>
      </c>
      <c r="V2237" s="12" t="s">
        <v>41</v>
      </c>
      <c r="W2237" s="16"/>
      <c r="X2237" s="12">
        <v>2006</v>
      </c>
      <c r="Y2237" s="12">
        <v>804</v>
      </c>
      <c r="Z2237" s="12">
        <v>6.4</v>
      </c>
      <c r="AA2237" s="12">
        <v>1.85</v>
      </c>
      <c r="AB2237" s="12">
        <v>0</v>
      </c>
      <c r="AC2237" s="12"/>
      <c r="AD2237" s="12" t="str">
        <f>IFERROR(__xludf.DUMMYFUNCTION("""COMPUTED_VALUE"""),"Aisha Hinds")</f>
        <v>Aisha Hinds</v>
      </c>
      <c r="AE2237" s="12"/>
    </row>
    <row r="2238" customHeight="1" spans="1:31">
      <c r="A2238" s="11" t="s">
        <v>30</v>
      </c>
      <c r="B2238" s="11" t="s">
        <v>4904</v>
      </c>
      <c r="C2238" s="11">
        <v>103</v>
      </c>
      <c r="D2238" s="11">
        <v>89</v>
      </c>
      <c r="E2238" s="11">
        <v>0</v>
      </c>
      <c r="F2238" s="11">
        <v>470</v>
      </c>
      <c r="G2238" s="11">
        <v>87000</v>
      </c>
      <c r="H2238" s="11">
        <v>20916309</v>
      </c>
      <c r="I2238" s="11" t="s">
        <v>516</v>
      </c>
      <c r="J2238" s="11" t="s">
        <v>517</v>
      </c>
      <c r="K2238" s="11" t="s">
        <v>538</v>
      </c>
      <c r="L2238" s="11" t="s">
        <v>11006</v>
      </c>
      <c r="M2238" s="11" t="s">
        <v>11007</v>
      </c>
      <c r="N2238" s="11">
        <v>5332</v>
      </c>
      <c r="O2238" s="11">
        <v>88422</v>
      </c>
      <c r="P2238" s="11">
        <v>4</v>
      </c>
      <c r="Q2238" s="11" t="s">
        <v>11008</v>
      </c>
      <c r="R2238" s="14" t="s">
        <v>11009</v>
      </c>
      <c r="S2238" s="11">
        <v>37</v>
      </c>
      <c r="T2238" s="11" t="s">
        <v>39</v>
      </c>
      <c r="U2238" s="11" t="s">
        <v>40</v>
      </c>
      <c r="V2238" s="11" t="s">
        <v>96</v>
      </c>
      <c r="W2238" s="11">
        <v>40000000</v>
      </c>
      <c r="X2238" s="11">
        <v>2009</v>
      </c>
      <c r="Y2238" s="11">
        <v>570</v>
      </c>
      <c r="Z2238" s="11">
        <v>4.9</v>
      </c>
      <c r="AA2238" s="11">
        <v>1.85</v>
      </c>
      <c r="AB2238" s="11">
        <v>431</v>
      </c>
      <c r="AC2238" s="11"/>
      <c r="AD2238" s="11" t="str">
        <f>IFERROR(__xludf.DUMMYFUNCTION("""COMPUTED_VALUE"""),"Cameron Bright")</f>
        <v>Cameron Bright</v>
      </c>
      <c r="AE2238" s="11"/>
    </row>
    <row r="2239" customHeight="1" spans="1:31">
      <c r="A2239" s="12" t="s">
        <v>30</v>
      </c>
      <c r="B2239" s="12" t="s">
        <v>6052</v>
      </c>
      <c r="C2239" s="12">
        <v>59</v>
      </c>
      <c r="D2239" s="12">
        <v>106</v>
      </c>
      <c r="E2239" s="12">
        <v>835</v>
      </c>
      <c r="F2239" s="12">
        <v>458</v>
      </c>
      <c r="G2239" s="12">
        <v>1000</v>
      </c>
      <c r="H2239" s="12">
        <v>21200000</v>
      </c>
      <c r="I2239" s="12" t="s">
        <v>9194</v>
      </c>
      <c r="J2239" s="12" t="s">
        <v>4474</v>
      </c>
      <c r="K2239" s="12" t="s">
        <v>994</v>
      </c>
      <c r="L2239" s="12" t="s">
        <v>4594</v>
      </c>
      <c r="M2239" s="12" t="s">
        <v>11010</v>
      </c>
      <c r="N2239" s="12">
        <v>34774</v>
      </c>
      <c r="O2239" s="12">
        <v>3598</v>
      </c>
      <c r="P2239" s="12">
        <v>0</v>
      </c>
      <c r="Q2239" s="12" t="s">
        <v>11011</v>
      </c>
      <c r="R2239" s="15" t="s">
        <v>11012</v>
      </c>
      <c r="S2239" s="12">
        <v>162</v>
      </c>
      <c r="T2239" s="12" t="s">
        <v>39</v>
      </c>
      <c r="U2239" s="12" t="s">
        <v>40</v>
      </c>
      <c r="V2239" s="12" t="s">
        <v>586</v>
      </c>
      <c r="W2239" s="12">
        <v>20000000</v>
      </c>
      <c r="X2239" s="12">
        <v>1995</v>
      </c>
      <c r="Y2239" s="12">
        <v>967</v>
      </c>
      <c r="Z2239" s="12">
        <v>6.8</v>
      </c>
      <c r="AA2239" s="12">
        <v>1.85</v>
      </c>
      <c r="AB2239" s="12">
        <v>1000</v>
      </c>
      <c r="AC2239" s="12"/>
      <c r="AD2239" s="12" t="str">
        <f>IFERROR(__xludf.DUMMYFUNCTION("""COMPUTED_VALUE"""),"Drea de Matteo")</f>
        <v>Drea de Matteo</v>
      </c>
      <c r="AE2239" s="12"/>
    </row>
    <row r="2240" customHeight="1" spans="1:31">
      <c r="A2240" s="11" t="s">
        <v>30</v>
      </c>
      <c r="B2240" s="11" t="s">
        <v>11013</v>
      </c>
      <c r="C2240" s="11">
        <v>86</v>
      </c>
      <c r="D2240" s="11">
        <v>96</v>
      </c>
      <c r="E2240" s="11">
        <v>24</v>
      </c>
      <c r="F2240" s="11">
        <v>374</v>
      </c>
      <c r="G2240" s="11">
        <v>646</v>
      </c>
      <c r="H2240" s="11">
        <v>28876924</v>
      </c>
      <c r="I2240" s="11" t="s">
        <v>11014</v>
      </c>
      <c r="J2240" s="11" t="s">
        <v>11015</v>
      </c>
      <c r="K2240" s="11" t="s">
        <v>2198</v>
      </c>
      <c r="L2240" s="11" t="s">
        <v>9818</v>
      </c>
      <c r="M2240" s="11" t="s">
        <v>11016</v>
      </c>
      <c r="N2240" s="11">
        <v>4303</v>
      </c>
      <c r="O2240" s="11">
        <v>1780</v>
      </c>
      <c r="P2240" s="11">
        <v>0</v>
      </c>
      <c r="Q2240" s="11" t="s">
        <v>11017</v>
      </c>
      <c r="R2240" s="14" t="s">
        <v>11018</v>
      </c>
      <c r="S2240" s="11">
        <v>35</v>
      </c>
      <c r="T2240" s="11" t="s">
        <v>39</v>
      </c>
      <c r="U2240" s="11" t="s">
        <v>40</v>
      </c>
      <c r="V2240" s="11" t="s">
        <v>41</v>
      </c>
      <c r="W2240" s="11">
        <v>20000000</v>
      </c>
      <c r="X2240" s="11">
        <v>2016</v>
      </c>
      <c r="Y2240" s="11">
        <v>441</v>
      </c>
      <c r="Z2240" s="11">
        <v>7.1</v>
      </c>
      <c r="AA2240" s="13"/>
      <c r="AB2240" s="11">
        <v>0</v>
      </c>
      <c r="AC2240" s="11"/>
      <c r="AD2240" s="11" t="str">
        <f>IFERROR(__xludf.DUMMYFUNCTION("""COMPUTED_VALUE"""),"Hugh Dillon")</f>
        <v>Hugh Dillon</v>
      </c>
      <c r="AE2240" s="11"/>
    </row>
    <row r="2241" customHeight="1" spans="1:31">
      <c r="A2241" s="12" t="s">
        <v>30</v>
      </c>
      <c r="B2241" s="12" t="s">
        <v>11019</v>
      </c>
      <c r="C2241" s="12">
        <v>190</v>
      </c>
      <c r="D2241" s="12">
        <v>115</v>
      </c>
      <c r="E2241" s="12">
        <v>0</v>
      </c>
      <c r="F2241" s="12">
        <v>107</v>
      </c>
      <c r="G2241" s="12">
        <v>10000</v>
      </c>
      <c r="H2241" s="12">
        <v>20207003</v>
      </c>
      <c r="I2241" s="12" t="s">
        <v>11020</v>
      </c>
      <c r="J2241" s="12" t="s">
        <v>2825</v>
      </c>
      <c r="K2241" s="12" t="s">
        <v>6754</v>
      </c>
      <c r="L2241" s="12" t="s">
        <v>11021</v>
      </c>
      <c r="M2241" s="12" t="s">
        <v>11022</v>
      </c>
      <c r="N2241" s="12">
        <v>50198</v>
      </c>
      <c r="O2241" s="12">
        <v>10507</v>
      </c>
      <c r="P2241" s="12">
        <v>0</v>
      </c>
      <c r="Q2241" s="12" t="s">
        <v>11023</v>
      </c>
      <c r="R2241" s="15" t="s">
        <v>11024</v>
      </c>
      <c r="S2241" s="12">
        <v>202</v>
      </c>
      <c r="T2241" s="12" t="s">
        <v>39</v>
      </c>
      <c r="U2241" s="12" t="s">
        <v>40</v>
      </c>
      <c r="V2241" s="12" t="s">
        <v>586</v>
      </c>
      <c r="W2241" s="16"/>
      <c r="X2241" s="12">
        <v>2008</v>
      </c>
      <c r="Y2241" s="12">
        <v>311</v>
      </c>
      <c r="Z2241" s="12">
        <v>6.8</v>
      </c>
      <c r="AA2241" s="12">
        <v>2.35</v>
      </c>
      <c r="AB2241" s="12">
        <v>0</v>
      </c>
      <c r="AC2241" s="12"/>
      <c r="AD2241" s="12" t="str">
        <f>IFERROR(__xludf.DUMMYFUNCTION("""COMPUTED_VALUE"""),"Stephen Baldwin")</f>
        <v>Stephen Baldwin</v>
      </c>
      <c r="AE2241" s="12"/>
    </row>
    <row r="2242" customHeight="1" spans="1:31">
      <c r="A2242" s="11" t="s">
        <v>30</v>
      </c>
      <c r="B2242" s="11" t="s">
        <v>5368</v>
      </c>
      <c r="C2242" s="11">
        <v>114</v>
      </c>
      <c r="D2242" s="11">
        <v>104</v>
      </c>
      <c r="E2242" s="11">
        <v>0</v>
      </c>
      <c r="F2242" s="11">
        <v>877</v>
      </c>
      <c r="G2242" s="11">
        <v>2000</v>
      </c>
      <c r="H2242" s="11">
        <v>20241395</v>
      </c>
      <c r="I2242" s="11" t="s">
        <v>4905</v>
      </c>
      <c r="J2242" s="11" t="s">
        <v>11025</v>
      </c>
      <c r="K2242" s="11" t="s">
        <v>589</v>
      </c>
      <c r="L2242" s="11" t="s">
        <v>10837</v>
      </c>
      <c r="M2242" s="11" t="s">
        <v>11026</v>
      </c>
      <c r="N2242" s="11">
        <v>42664</v>
      </c>
      <c r="O2242" s="11">
        <v>5123</v>
      </c>
      <c r="P2242" s="11">
        <v>0</v>
      </c>
      <c r="Q2242" s="11" t="s">
        <v>11027</v>
      </c>
      <c r="R2242" s="14" t="s">
        <v>11028</v>
      </c>
      <c r="S2242" s="11">
        <v>403</v>
      </c>
      <c r="T2242" s="11" t="s">
        <v>39</v>
      </c>
      <c r="U2242" s="11" t="s">
        <v>40</v>
      </c>
      <c r="V2242" s="11" t="s">
        <v>586</v>
      </c>
      <c r="W2242" s="11">
        <v>20000000</v>
      </c>
      <c r="X2242" s="11">
        <v>1998</v>
      </c>
      <c r="Y2242" s="11">
        <v>1000</v>
      </c>
      <c r="Z2242" s="11">
        <v>6.1</v>
      </c>
      <c r="AA2242" s="11">
        <v>2.35</v>
      </c>
      <c r="AB2242" s="11">
        <v>0</v>
      </c>
      <c r="AC2242" s="11"/>
      <c r="AD2242" s="11" t="str">
        <f>IFERROR(__xludf.DUMMYFUNCTION("""COMPUTED_VALUE"""),"Doug E. Doug")</f>
        <v>Doug E. Doug</v>
      </c>
      <c r="AE2242" s="11"/>
    </row>
    <row r="2243" customHeight="1" spans="1:31">
      <c r="A2243" s="12" t="s">
        <v>30</v>
      </c>
      <c r="B2243" s="16"/>
      <c r="C2243" s="12">
        <v>6</v>
      </c>
      <c r="D2243" s="12">
        <v>24</v>
      </c>
      <c r="E2243" s="16"/>
      <c r="F2243" s="16"/>
      <c r="G2243" s="12">
        <v>0</v>
      </c>
      <c r="H2243" s="16"/>
      <c r="I2243" s="12" t="s">
        <v>1854</v>
      </c>
      <c r="J2243" s="12" t="s">
        <v>11029</v>
      </c>
      <c r="K2243" s="16"/>
      <c r="L2243" s="16"/>
      <c r="M2243" s="12" t="s">
        <v>11030</v>
      </c>
      <c r="N2243" s="12">
        <v>12417</v>
      </c>
      <c r="O2243" s="12">
        <v>0</v>
      </c>
      <c r="P2243" s="12">
        <v>0</v>
      </c>
      <c r="Q2243" s="12" t="s">
        <v>11031</v>
      </c>
      <c r="R2243" s="15" t="s">
        <v>11032</v>
      </c>
      <c r="S2243" s="12">
        <v>51</v>
      </c>
      <c r="T2243" s="12" t="s">
        <v>677</v>
      </c>
      <c r="U2243" s="12" t="s">
        <v>678</v>
      </c>
      <c r="V2243" s="16"/>
      <c r="W2243" s="16"/>
      <c r="X2243" s="16"/>
      <c r="Y2243" s="16"/>
      <c r="Z2243" s="12">
        <v>7</v>
      </c>
      <c r="AA2243" s="16"/>
      <c r="AB2243" s="12">
        <v>124</v>
      </c>
      <c r="AC2243" s="12"/>
      <c r="AD2243" s="12" t="str">
        <f>IFERROR(__xludf.DUMMYFUNCTION("""COMPUTED_VALUE"""),"Sarah Polley")</f>
        <v>Sarah Polley</v>
      </c>
      <c r="AE2243" s="12"/>
    </row>
    <row r="2244" customHeight="1" spans="1:31">
      <c r="A2244" s="11" t="s">
        <v>748</v>
      </c>
      <c r="B2244" s="11" t="s">
        <v>11033</v>
      </c>
      <c r="C2244" s="11">
        <v>290</v>
      </c>
      <c r="D2244" s="11">
        <v>108</v>
      </c>
      <c r="E2244" s="11">
        <v>13000</v>
      </c>
      <c r="F2244" s="11">
        <v>285</v>
      </c>
      <c r="G2244" s="11">
        <v>606</v>
      </c>
      <c r="H2244" s="11">
        <v>32000000</v>
      </c>
      <c r="I2244" s="11" t="s">
        <v>3030</v>
      </c>
      <c r="J2244" s="11" t="s">
        <v>11034</v>
      </c>
      <c r="K2244" s="11" t="s">
        <v>11035</v>
      </c>
      <c r="L2244" s="11" t="s">
        <v>11036</v>
      </c>
      <c r="M2244" s="11" t="s">
        <v>11037</v>
      </c>
      <c r="N2244" s="11">
        <v>422432</v>
      </c>
      <c r="O2244" s="11">
        <v>1885</v>
      </c>
      <c r="P2244" s="11">
        <v>2</v>
      </c>
      <c r="Q2244" s="11" t="s">
        <v>11038</v>
      </c>
      <c r="R2244" s="14" t="s">
        <v>11039</v>
      </c>
      <c r="S2244" s="11">
        <v>1040</v>
      </c>
      <c r="T2244" s="11" t="s">
        <v>39</v>
      </c>
      <c r="U2244" s="11" t="s">
        <v>40</v>
      </c>
      <c r="V2244" s="11" t="s">
        <v>586</v>
      </c>
      <c r="W2244" s="11">
        <v>806947</v>
      </c>
      <c r="X2244" s="11">
        <v>1960</v>
      </c>
      <c r="Y2244" s="11">
        <v>332</v>
      </c>
      <c r="Z2244" s="11">
        <v>8.5</v>
      </c>
      <c r="AA2244" s="11">
        <v>1.85</v>
      </c>
      <c r="AB2244" s="11">
        <v>18000</v>
      </c>
      <c r="AC2244" s="11"/>
      <c r="AD2244" s="11" t="str">
        <f>IFERROR(__xludf.DUMMYFUNCTION("""COMPUTED_VALUE"""),"David Hewlett")</f>
        <v>David Hewlett</v>
      </c>
      <c r="AE2244" s="11"/>
    </row>
    <row r="2245" customHeight="1" spans="1:31">
      <c r="A2245" s="12" t="s">
        <v>30</v>
      </c>
      <c r="B2245" s="12" t="s">
        <v>5226</v>
      </c>
      <c r="C2245" s="12">
        <v>80</v>
      </c>
      <c r="D2245" s="12">
        <v>112</v>
      </c>
      <c r="E2245" s="12">
        <v>41</v>
      </c>
      <c r="F2245" s="12">
        <v>490</v>
      </c>
      <c r="G2245" s="12">
        <v>1000</v>
      </c>
      <c r="H2245" s="12">
        <v>19151864</v>
      </c>
      <c r="I2245" s="12" t="s">
        <v>1681</v>
      </c>
      <c r="J2245" s="12" t="s">
        <v>6712</v>
      </c>
      <c r="K2245" s="12" t="s">
        <v>10724</v>
      </c>
      <c r="L2245" s="12" t="s">
        <v>11040</v>
      </c>
      <c r="M2245" s="12" t="s">
        <v>11041</v>
      </c>
      <c r="N2245" s="12">
        <v>36983</v>
      </c>
      <c r="O2245" s="12">
        <v>3301</v>
      </c>
      <c r="P2245" s="12">
        <v>3</v>
      </c>
      <c r="Q2245" s="12" t="s">
        <v>11042</v>
      </c>
      <c r="R2245" s="15" t="s">
        <v>11043</v>
      </c>
      <c r="S2245" s="12">
        <v>100</v>
      </c>
      <c r="T2245" s="12" t="s">
        <v>39</v>
      </c>
      <c r="U2245" s="12" t="s">
        <v>40</v>
      </c>
      <c r="V2245" s="12" t="s">
        <v>586</v>
      </c>
      <c r="W2245" s="12">
        <v>40000000</v>
      </c>
      <c r="X2245" s="12">
        <v>2008</v>
      </c>
      <c r="Y2245" s="12">
        <v>500</v>
      </c>
      <c r="Z2245" s="12">
        <v>5.9</v>
      </c>
      <c r="AA2245" s="12">
        <v>1.85</v>
      </c>
      <c r="AB2245" s="12">
        <v>0</v>
      </c>
      <c r="AC2245" s="12"/>
      <c r="AD2245" s="12" t="str">
        <f>IFERROR(__xludf.DUMMYFUNCTION("""COMPUTED_VALUE"""),"Delphine Chanéac")</f>
        <v>Delphine Chanéac</v>
      </c>
      <c r="AE2245" s="12"/>
    </row>
    <row r="2246" customHeight="1" spans="1:31">
      <c r="A2246" s="11" t="s">
        <v>30</v>
      </c>
      <c r="B2246" s="11" t="s">
        <v>11044</v>
      </c>
      <c r="C2246" s="11">
        <v>98</v>
      </c>
      <c r="D2246" s="11">
        <v>104</v>
      </c>
      <c r="E2246" s="11">
        <v>19</v>
      </c>
      <c r="F2246" s="11">
        <v>942</v>
      </c>
      <c r="G2246" s="11">
        <v>15000</v>
      </c>
      <c r="H2246" s="11">
        <v>23393765</v>
      </c>
      <c r="I2246" s="11" t="s">
        <v>214</v>
      </c>
      <c r="J2246" s="11" t="s">
        <v>5183</v>
      </c>
      <c r="K2246" s="11" t="s">
        <v>354</v>
      </c>
      <c r="L2246" s="11" t="s">
        <v>8492</v>
      </c>
      <c r="M2246" s="11" t="s">
        <v>11045</v>
      </c>
      <c r="N2246" s="11">
        <v>31323</v>
      </c>
      <c r="O2246" s="11">
        <v>18760</v>
      </c>
      <c r="P2246" s="11">
        <v>0</v>
      </c>
      <c r="Q2246" s="11" t="s">
        <v>11046</v>
      </c>
      <c r="R2246" s="14" t="s">
        <v>11047</v>
      </c>
      <c r="S2246" s="11">
        <v>76</v>
      </c>
      <c r="T2246" s="11" t="s">
        <v>39</v>
      </c>
      <c r="U2246" s="11" t="s">
        <v>40</v>
      </c>
      <c r="V2246" s="11" t="s">
        <v>41</v>
      </c>
      <c r="W2246" s="11">
        <v>20000000</v>
      </c>
      <c r="X2246" s="11">
        <v>2014</v>
      </c>
      <c r="Y2246" s="11">
        <v>989</v>
      </c>
      <c r="Z2246" s="11">
        <v>6.3</v>
      </c>
      <c r="AA2246" s="11">
        <v>2.35</v>
      </c>
      <c r="AB2246" s="11">
        <v>0</v>
      </c>
      <c r="AC2246" s="11"/>
      <c r="AD2246" s="11" t="str">
        <f>IFERROR(__xludf.DUMMYFUNCTION("""COMPUTED_VALUE"""),"Jordan Prentice")</f>
        <v>Jordan Prentice</v>
      </c>
      <c r="AE2246" s="11"/>
    </row>
    <row r="2247" customHeight="1" spans="1:31">
      <c r="A2247" s="12" t="s">
        <v>30</v>
      </c>
      <c r="B2247" s="12" t="s">
        <v>3304</v>
      </c>
      <c r="C2247" s="12">
        <v>88</v>
      </c>
      <c r="D2247" s="12">
        <v>113</v>
      </c>
      <c r="E2247" s="12">
        <v>0</v>
      </c>
      <c r="F2247" s="12">
        <v>949</v>
      </c>
      <c r="G2247" s="12">
        <v>995</v>
      </c>
      <c r="H2247" s="12">
        <v>18882880</v>
      </c>
      <c r="I2247" s="12" t="s">
        <v>2528</v>
      </c>
      <c r="J2247" s="12" t="s">
        <v>3305</v>
      </c>
      <c r="K2247" s="12" t="s">
        <v>10425</v>
      </c>
      <c r="L2247" s="12" t="s">
        <v>5740</v>
      </c>
      <c r="M2247" s="12" t="s">
        <v>11048</v>
      </c>
      <c r="N2247" s="12">
        <v>20539</v>
      </c>
      <c r="O2247" s="12">
        <v>4039</v>
      </c>
      <c r="P2247" s="12">
        <v>3</v>
      </c>
      <c r="Q2247" s="12" t="s">
        <v>11049</v>
      </c>
      <c r="R2247" s="15" t="s">
        <v>11050</v>
      </c>
      <c r="S2247" s="12">
        <v>125</v>
      </c>
      <c r="T2247" s="12" t="s">
        <v>39</v>
      </c>
      <c r="U2247" s="12" t="s">
        <v>40</v>
      </c>
      <c r="V2247" s="12" t="s">
        <v>586</v>
      </c>
      <c r="W2247" s="12">
        <v>20000000</v>
      </c>
      <c r="X2247" s="12">
        <v>2007</v>
      </c>
      <c r="Y2247" s="12">
        <v>975</v>
      </c>
      <c r="Z2247" s="12">
        <v>5.9</v>
      </c>
      <c r="AA2247" s="12">
        <v>2.35</v>
      </c>
      <c r="AB2247" s="12">
        <v>681</v>
      </c>
      <c r="AC2247" s="12"/>
      <c r="AD2247" s="12" t="str">
        <f>IFERROR(__xludf.DUMMYFUNCTION("""COMPUTED_VALUE"""),"Eddie Cibrian")</f>
        <v>Eddie Cibrian</v>
      </c>
      <c r="AE2247" s="12"/>
    </row>
    <row r="2248" customHeight="1" spans="1:31">
      <c r="A2248" s="11" t="s">
        <v>30</v>
      </c>
      <c r="B2248" s="11" t="s">
        <v>11051</v>
      </c>
      <c r="C2248" s="11">
        <v>13</v>
      </c>
      <c r="D2248" s="11">
        <v>98</v>
      </c>
      <c r="E2248" s="11">
        <v>15</v>
      </c>
      <c r="F2248" s="11">
        <v>281</v>
      </c>
      <c r="G2248" s="11">
        <v>691</v>
      </c>
      <c r="H2248" s="11">
        <v>8500000</v>
      </c>
      <c r="I2248" s="11" t="s">
        <v>1672</v>
      </c>
      <c r="J2248" s="11" t="s">
        <v>752</v>
      </c>
      <c r="K2248" s="11" t="s">
        <v>3083</v>
      </c>
      <c r="L2248" s="11" t="s">
        <v>11052</v>
      </c>
      <c r="M2248" s="11" t="s">
        <v>11053</v>
      </c>
      <c r="N2248" s="11">
        <v>2061</v>
      </c>
      <c r="O2248" s="11">
        <v>1761</v>
      </c>
      <c r="P2248" s="11">
        <v>0</v>
      </c>
      <c r="Q2248" s="11" t="s">
        <v>11054</v>
      </c>
      <c r="R2248" s="14" t="s">
        <v>11055</v>
      </c>
      <c r="S2248" s="11">
        <v>34</v>
      </c>
      <c r="T2248" s="11" t="s">
        <v>39</v>
      </c>
      <c r="U2248" s="11" t="s">
        <v>40</v>
      </c>
      <c r="V2248" s="11" t="s">
        <v>96</v>
      </c>
      <c r="W2248" s="11">
        <v>20000000</v>
      </c>
      <c r="X2248" s="11">
        <v>1981</v>
      </c>
      <c r="Y2248" s="11">
        <v>374</v>
      </c>
      <c r="Z2248" s="11">
        <v>5.4</v>
      </c>
      <c r="AA2248" s="11">
        <v>1.78</v>
      </c>
      <c r="AB2248" s="11">
        <v>501</v>
      </c>
      <c r="AC2248" s="11"/>
      <c r="AD2248" s="11" t="str">
        <f>IFERROR(__xludf.DUMMYFUNCTION("""COMPUTED_VALUE"""),"Lobo Sebastian")</f>
        <v>Lobo Sebastian</v>
      </c>
      <c r="AE2248" s="11"/>
    </row>
    <row r="2249" customHeight="1" spans="1:31">
      <c r="A2249" s="12" t="s">
        <v>30</v>
      </c>
      <c r="B2249" s="12" t="s">
        <v>1059</v>
      </c>
      <c r="C2249" s="12">
        <v>52</v>
      </c>
      <c r="D2249" s="12">
        <v>121</v>
      </c>
      <c r="E2249" s="12">
        <v>503</v>
      </c>
      <c r="F2249" s="12">
        <v>83</v>
      </c>
      <c r="G2249" s="12">
        <v>2000</v>
      </c>
      <c r="H2249" s="16"/>
      <c r="I2249" s="12" t="s">
        <v>11056</v>
      </c>
      <c r="J2249" s="12" t="s">
        <v>902</v>
      </c>
      <c r="K2249" s="12" t="s">
        <v>11057</v>
      </c>
      <c r="L2249" s="12" t="s">
        <v>11058</v>
      </c>
      <c r="M2249" s="12" t="s">
        <v>11059</v>
      </c>
      <c r="N2249" s="12">
        <v>33597</v>
      </c>
      <c r="O2249" s="12">
        <v>2251</v>
      </c>
      <c r="P2249" s="12">
        <v>2</v>
      </c>
      <c r="Q2249" s="12" t="s">
        <v>11060</v>
      </c>
      <c r="R2249" s="15" t="s">
        <v>11061</v>
      </c>
      <c r="S2249" s="12">
        <v>185</v>
      </c>
      <c r="T2249" s="12" t="s">
        <v>39</v>
      </c>
      <c r="U2249" s="12" t="s">
        <v>40</v>
      </c>
      <c r="V2249" s="12" t="s">
        <v>41</v>
      </c>
      <c r="W2249" s="12">
        <v>20000000</v>
      </c>
      <c r="X2249" s="12">
        <v>1985</v>
      </c>
      <c r="Y2249" s="12">
        <v>92</v>
      </c>
      <c r="Z2249" s="12">
        <v>7</v>
      </c>
      <c r="AA2249" s="12">
        <v>2.35</v>
      </c>
      <c r="AB2249" s="12">
        <v>0</v>
      </c>
      <c r="AC2249" s="12"/>
      <c r="AD2249" s="12" t="str">
        <f>IFERROR(__xludf.DUMMYFUNCTION("""COMPUTED_VALUE"""),"Robert Costanzo")</f>
        <v>Robert Costanzo</v>
      </c>
      <c r="AE2249" s="12"/>
    </row>
    <row r="2250" customHeight="1" spans="1:31">
      <c r="A2250" s="11" t="s">
        <v>30</v>
      </c>
      <c r="B2250" s="11" t="s">
        <v>1363</v>
      </c>
      <c r="C2250" s="11">
        <v>60</v>
      </c>
      <c r="D2250" s="11">
        <v>114</v>
      </c>
      <c r="E2250" s="11">
        <v>160</v>
      </c>
      <c r="F2250" s="11">
        <v>271</v>
      </c>
      <c r="G2250" s="11">
        <v>1000</v>
      </c>
      <c r="H2250" s="11">
        <v>18252684</v>
      </c>
      <c r="I2250" s="11" t="s">
        <v>3932</v>
      </c>
      <c r="J2250" s="11" t="s">
        <v>430</v>
      </c>
      <c r="K2250" s="11" t="s">
        <v>11062</v>
      </c>
      <c r="L2250" s="11" t="s">
        <v>424</v>
      </c>
      <c r="M2250" s="11" t="s">
        <v>11063</v>
      </c>
      <c r="N2250" s="11">
        <v>18366</v>
      </c>
      <c r="O2250" s="11">
        <v>1816</v>
      </c>
      <c r="P2250" s="11">
        <v>2</v>
      </c>
      <c r="Q2250" s="11" t="s">
        <v>11064</v>
      </c>
      <c r="R2250" s="14" t="s">
        <v>11065</v>
      </c>
      <c r="S2250" s="11">
        <v>219</v>
      </c>
      <c r="T2250" s="11" t="s">
        <v>39</v>
      </c>
      <c r="U2250" s="11" t="s">
        <v>40</v>
      </c>
      <c r="V2250" s="11" t="s">
        <v>96</v>
      </c>
      <c r="W2250" s="11">
        <v>30000000</v>
      </c>
      <c r="X2250" s="11">
        <v>1998</v>
      </c>
      <c r="Y2250" s="11">
        <v>367</v>
      </c>
      <c r="Z2250" s="11">
        <v>6.9</v>
      </c>
      <c r="AA2250" s="11">
        <v>1.85</v>
      </c>
      <c r="AB2250" s="11">
        <v>0</v>
      </c>
      <c r="AC2250" s="11"/>
      <c r="AD2250" s="11" t="str">
        <f>IFERROR(__xludf.DUMMYFUNCTION("""COMPUTED_VALUE"""),"Jessica Paré")</f>
        <v>Jessica Paré</v>
      </c>
      <c r="AE2250" s="11"/>
    </row>
    <row r="2251" customHeight="1" spans="1:31">
      <c r="A2251" s="12" t="s">
        <v>30</v>
      </c>
      <c r="B2251" s="12" t="s">
        <v>11066</v>
      </c>
      <c r="C2251" s="12">
        <v>154</v>
      </c>
      <c r="D2251" s="12">
        <v>124</v>
      </c>
      <c r="E2251" s="12">
        <v>57</v>
      </c>
      <c r="F2251" s="12">
        <v>905</v>
      </c>
      <c r="G2251" s="12">
        <v>11000</v>
      </c>
      <c r="H2251" s="12">
        <v>19661987</v>
      </c>
      <c r="I2251" s="12" t="s">
        <v>3410</v>
      </c>
      <c r="J2251" s="12" t="s">
        <v>2180</v>
      </c>
      <c r="K2251" s="12" t="s">
        <v>252</v>
      </c>
      <c r="L2251" s="12" t="s">
        <v>5907</v>
      </c>
      <c r="M2251" s="12" t="s">
        <v>11067</v>
      </c>
      <c r="N2251" s="12">
        <v>83786</v>
      </c>
      <c r="O2251" s="12">
        <v>17050</v>
      </c>
      <c r="P2251" s="12">
        <v>2</v>
      </c>
      <c r="Q2251" s="12" t="s">
        <v>11068</v>
      </c>
      <c r="R2251" s="15" t="s">
        <v>11069</v>
      </c>
      <c r="S2251" s="12">
        <v>231</v>
      </c>
      <c r="T2251" s="12" t="s">
        <v>39</v>
      </c>
      <c r="U2251" s="12" t="s">
        <v>40</v>
      </c>
      <c r="V2251" s="12" t="s">
        <v>586</v>
      </c>
      <c r="W2251" s="12">
        <v>20000000</v>
      </c>
      <c r="X2251" s="12">
        <v>2007</v>
      </c>
      <c r="Y2251" s="12">
        <v>3000</v>
      </c>
      <c r="Z2251" s="12">
        <v>7.5</v>
      </c>
      <c r="AA2251" s="12">
        <v>2.35</v>
      </c>
      <c r="AB2251" s="12">
        <v>0</v>
      </c>
      <c r="AC2251" s="12"/>
      <c r="AD2251" s="12" t="str">
        <f>IFERROR(__xludf.DUMMYFUNCTION("""COMPUTED_VALUE"""),"Christopher Cousins")</f>
        <v>Christopher Cousins</v>
      </c>
      <c r="AE2251" s="12"/>
    </row>
    <row r="2252" customHeight="1" spans="1:31">
      <c r="A2252" s="11" t="s">
        <v>30</v>
      </c>
      <c r="B2252" s="11" t="s">
        <v>5919</v>
      </c>
      <c r="C2252" s="11">
        <v>274</v>
      </c>
      <c r="D2252" s="11">
        <v>148</v>
      </c>
      <c r="E2252" s="11">
        <v>0</v>
      </c>
      <c r="F2252" s="11">
        <v>826</v>
      </c>
      <c r="G2252" s="11">
        <v>17000</v>
      </c>
      <c r="H2252" s="11">
        <v>18352454</v>
      </c>
      <c r="I2252" s="11" t="s">
        <v>11070</v>
      </c>
      <c r="J2252" s="11" t="s">
        <v>559</v>
      </c>
      <c r="K2252" s="11" t="s">
        <v>191</v>
      </c>
      <c r="L2252" s="11" t="s">
        <v>2498</v>
      </c>
      <c r="M2252" s="11" t="s">
        <v>11071</v>
      </c>
      <c r="N2252" s="11">
        <v>426359</v>
      </c>
      <c r="O2252" s="11">
        <v>18752</v>
      </c>
      <c r="P2252" s="11">
        <v>0</v>
      </c>
      <c r="Q2252" s="11" t="s">
        <v>11072</v>
      </c>
      <c r="R2252" s="14" t="s">
        <v>11073</v>
      </c>
      <c r="S2252" s="11">
        <v>760</v>
      </c>
      <c r="T2252" s="11" t="s">
        <v>39</v>
      </c>
      <c r="U2252" s="11" t="s">
        <v>40</v>
      </c>
      <c r="V2252" s="11" t="s">
        <v>586</v>
      </c>
      <c r="W2252" s="11">
        <v>15000000</v>
      </c>
      <c r="X2252" s="11">
        <v>2007</v>
      </c>
      <c r="Y2252" s="11">
        <v>882</v>
      </c>
      <c r="Z2252" s="11">
        <v>8.2</v>
      </c>
      <c r="AA2252" s="11">
        <v>2.35</v>
      </c>
      <c r="AB2252" s="11">
        <v>76000</v>
      </c>
      <c r="AC2252" s="11"/>
      <c r="AD2252" s="11" t="str">
        <f>IFERROR(__xludf.DUMMYFUNCTION("""COMPUTED_VALUE"""),"Mark Camacho")</f>
        <v>Mark Camacho</v>
      </c>
      <c r="AE2252" s="11"/>
    </row>
    <row r="2253" customHeight="1" spans="1:31">
      <c r="A2253" s="12" t="s">
        <v>30</v>
      </c>
      <c r="B2253" s="12" t="s">
        <v>2543</v>
      </c>
      <c r="C2253" s="12">
        <v>110</v>
      </c>
      <c r="D2253" s="12">
        <v>108</v>
      </c>
      <c r="E2253" s="12">
        <v>480</v>
      </c>
      <c r="F2253" s="12">
        <v>579</v>
      </c>
      <c r="G2253" s="12">
        <v>970</v>
      </c>
      <c r="H2253" s="12">
        <v>17803796</v>
      </c>
      <c r="I2253" s="12" t="s">
        <v>1672</v>
      </c>
      <c r="J2253" s="12" t="s">
        <v>1951</v>
      </c>
      <c r="K2253" s="12" t="s">
        <v>623</v>
      </c>
      <c r="L2253" s="12" t="s">
        <v>4056</v>
      </c>
      <c r="M2253" s="12" t="s">
        <v>11074</v>
      </c>
      <c r="N2253" s="12">
        <v>26100</v>
      </c>
      <c r="O2253" s="12">
        <v>4374</v>
      </c>
      <c r="P2253" s="12">
        <v>1</v>
      </c>
      <c r="Q2253" s="12" t="s">
        <v>11075</v>
      </c>
      <c r="R2253" s="15" t="s">
        <v>11076</v>
      </c>
      <c r="S2253" s="12">
        <v>97</v>
      </c>
      <c r="T2253" s="12" t="s">
        <v>39</v>
      </c>
      <c r="U2253" s="12" t="s">
        <v>40</v>
      </c>
      <c r="V2253" s="12" t="s">
        <v>41</v>
      </c>
      <c r="W2253" s="12">
        <v>20000000</v>
      </c>
      <c r="X2253" s="12">
        <v>2006</v>
      </c>
      <c r="Y2253" s="12">
        <v>931</v>
      </c>
      <c r="Z2253" s="12">
        <v>5.9</v>
      </c>
      <c r="AA2253" s="12">
        <v>2.35</v>
      </c>
      <c r="AB2253" s="12">
        <v>484</v>
      </c>
      <c r="AC2253" s="12"/>
      <c r="AD2253" s="12" t="str">
        <f>IFERROR(__xludf.DUMMYFUNCTION("""COMPUTED_VALUE"""),"Grace Phipps")</f>
        <v>Grace Phipps</v>
      </c>
      <c r="AE2253" s="12"/>
    </row>
    <row r="2254" customHeight="1" spans="1:31">
      <c r="A2254" s="11" t="s">
        <v>30</v>
      </c>
      <c r="B2254" s="11" t="s">
        <v>11077</v>
      </c>
      <c r="C2254" s="11">
        <v>173</v>
      </c>
      <c r="D2254" s="11">
        <v>95</v>
      </c>
      <c r="E2254" s="11">
        <v>83</v>
      </c>
      <c r="F2254" s="11">
        <v>206</v>
      </c>
      <c r="G2254" s="11">
        <v>991</v>
      </c>
      <c r="H2254" s="11">
        <v>17529157</v>
      </c>
      <c r="I2254" s="11" t="s">
        <v>11078</v>
      </c>
      <c r="J2254" s="11" t="s">
        <v>3373</v>
      </c>
      <c r="K2254" s="11" t="s">
        <v>5084</v>
      </c>
      <c r="L2254" s="11" t="s">
        <v>4249</v>
      </c>
      <c r="M2254" s="11" t="s">
        <v>11079</v>
      </c>
      <c r="N2254" s="11">
        <v>49888</v>
      </c>
      <c r="O2254" s="11">
        <v>2173</v>
      </c>
      <c r="P2254" s="11">
        <v>0</v>
      </c>
      <c r="Q2254" s="11" t="s">
        <v>11080</v>
      </c>
      <c r="R2254" s="14" t="s">
        <v>11081</v>
      </c>
      <c r="S2254" s="11">
        <v>220</v>
      </c>
      <c r="T2254" s="11" t="s">
        <v>39</v>
      </c>
      <c r="U2254" s="11" t="s">
        <v>1466</v>
      </c>
      <c r="V2254" s="11" t="s">
        <v>586</v>
      </c>
      <c r="W2254" s="11">
        <v>20000000</v>
      </c>
      <c r="X2254" s="11">
        <v>2012</v>
      </c>
      <c r="Y2254" s="11">
        <v>494</v>
      </c>
      <c r="Z2254" s="11">
        <v>5</v>
      </c>
      <c r="AA2254" s="11">
        <v>2.35</v>
      </c>
      <c r="AB2254" s="11">
        <v>25000</v>
      </c>
      <c r="AC2254" s="11"/>
      <c r="AD2254" s="11" t="str">
        <f>IFERROR(__xludf.DUMMYFUNCTION("""COMPUTED_VALUE"""),"Reid Ewing")</f>
        <v>Reid Ewing</v>
      </c>
      <c r="AE2254" s="11"/>
    </row>
    <row r="2255" customHeight="1" spans="1:31">
      <c r="A2255" s="12" t="s">
        <v>30</v>
      </c>
      <c r="B2255" s="12" t="s">
        <v>4904</v>
      </c>
      <c r="C2255" s="12">
        <v>165</v>
      </c>
      <c r="D2255" s="12">
        <v>108</v>
      </c>
      <c r="E2255" s="12">
        <v>0</v>
      </c>
      <c r="F2255" s="12">
        <v>844</v>
      </c>
      <c r="G2255" s="12">
        <v>16000</v>
      </c>
      <c r="H2255" s="12">
        <v>25753840</v>
      </c>
      <c r="I2255" s="12" t="s">
        <v>11082</v>
      </c>
      <c r="J2255" s="12" t="s">
        <v>1765</v>
      </c>
      <c r="K2255" s="12" t="s">
        <v>495</v>
      </c>
      <c r="L2255" s="12" t="s">
        <v>3299</v>
      </c>
      <c r="M2255" s="12" t="s">
        <v>11083</v>
      </c>
      <c r="N2255" s="12">
        <v>219091</v>
      </c>
      <c r="O2255" s="12">
        <v>23296</v>
      </c>
      <c r="P2255" s="12">
        <v>2</v>
      </c>
      <c r="Q2255" s="12" t="s">
        <v>11084</v>
      </c>
      <c r="R2255" s="15" t="s">
        <v>11085</v>
      </c>
      <c r="S2255" s="12">
        <v>592</v>
      </c>
      <c r="T2255" s="12" t="s">
        <v>39</v>
      </c>
      <c r="U2255" s="12" t="s">
        <v>40</v>
      </c>
      <c r="V2255" s="12" t="s">
        <v>586</v>
      </c>
      <c r="W2255" s="12">
        <v>19000000</v>
      </c>
      <c r="X2255" s="12">
        <v>1996</v>
      </c>
      <c r="Y2255" s="12">
        <v>4000</v>
      </c>
      <c r="Z2255" s="12">
        <v>7.3</v>
      </c>
      <c r="AA2255" s="12">
        <v>1.85</v>
      </c>
      <c r="AB2255" s="12">
        <v>12000</v>
      </c>
      <c r="AC2255" s="12"/>
      <c r="AD2255" s="12" t="str">
        <f>IFERROR(__xludf.DUMMYFUNCTION("""COMPUTED_VALUE"""),"Sandra Vergara")</f>
        <v>Sandra Vergara</v>
      </c>
      <c r="AE2255" s="12"/>
    </row>
    <row r="2256" customHeight="1" spans="1:31">
      <c r="A2256" s="11" t="s">
        <v>30</v>
      </c>
      <c r="B2256" s="11" t="s">
        <v>11086</v>
      </c>
      <c r="C2256" s="11">
        <v>45</v>
      </c>
      <c r="D2256" s="11">
        <v>68</v>
      </c>
      <c r="E2256" s="11">
        <v>0</v>
      </c>
      <c r="F2256" s="11">
        <v>253</v>
      </c>
      <c r="G2256" s="11">
        <v>304</v>
      </c>
      <c r="H2256" s="11">
        <v>18081626</v>
      </c>
      <c r="I2256" s="11" t="s">
        <v>11087</v>
      </c>
      <c r="J2256" s="11" t="s">
        <v>10789</v>
      </c>
      <c r="K2256" s="11" t="s">
        <v>8312</v>
      </c>
      <c r="L2256" s="11" t="s">
        <v>1780</v>
      </c>
      <c r="M2256" s="11" t="s">
        <v>11088</v>
      </c>
      <c r="N2256" s="11">
        <v>4180</v>
      </c>
      <c r="O2256" s="11">
        <v>861</v>
      </c>
      <c r="P2256" s="11">
        <v>0</v>
      </c>
      <c r="Q2256" s="11" t="s">
        <v>11089</v>
      </c>
      <c r="R2256" s="14" t="s">
        <v>11090</v>
      </c>
      <c r="S2256" s="11">
        <v>32</v>
      </c>
      <c r="T2256" s="11" t="s">
        <v>39</v>
      </c>
      <c r="U2256" s="11" t="s">
        <v>40</v>
      </c>
      <c r="V2256" s="11" t="s">
        <v>278</v>
      </c>
      <c r="W2256" s="11">
        <v>20000000</v>
      </c>
      <c r="X2256" s="11">
        <v>2005</v>
      </c>
      <c r="Y2256" s="11">
        <v>286</v>
      </c>
      <c r="Z2256" s="11">
        <v>6.4</v>
      </c>
      <c r="AA2256" s="11">
        <v>1.85</v>
      </c>
      <c r="AB2256" s="11">
        <v>264</v>
      </c>
      <c r="AC2256" s="11"/>
      <c r="AD2256" s="11" t="str">
        <f>IFERROR(__xludf.DUMMYFUNCTION("""COMPUTED_VALUE"""),"Michael Greyeyes")</f>
        <v>Michael Greyeyes</v>
      </c>
      <c r="AE2256" s="11"/>
    </row>
    <row r="2257" customHeight="1" spans="1:31">
      <c r="A2257" s="12" t="s">
        <v>30</v>
      </c>
      <c r="B2257" s="12" t="s">
        <v>9185</v>
      </c>
      <c r="C2257" s="12">
        <v>45</v>
      </c>
      <c r="D2257" s="12">
        <v>103</v>
      </c>
      <c r="E2257" s="12">
        <v>0</v>
      </c>
      <c r="F2257" s="12">
        <v>801</v>
      </c>
      <c r="G2257" s="12">
        <v>21000</v>
      </c>
      <c r="H2257" s="12">
        <v>17518220</v>
      </c>
      <c r="I2257" s="12" t="s">
        <v>1415</v>
      </c>
      <c r="J2257" s="12" t="s">
        <v>99</v>
      </c>
      <c r="K2257" s="12" t="s">
        <v>2061</v>
      </c>
      <c r="L2257" s="12" t="s">
        <v>11091</v>
      </c>
      <c r="M2257" s="12" t="s">
        <v>11092</v>
      </c>
      <c r="N2257" s="12">
        <v>9105</v>
      </c>
      <c r="O2257" s="12">
        <v>25263</v>
      </c>
      <c r="P2257" s="12">
        <v>1</v>
      </c>
      <c r="Q2257" s="12" t="s">
        <v>11093</v>
      </c>
      <c r="R2257" s="15" t="s">
        <v>11094</v>
      </c>
      <c r="S2257" s="12">
        <v>76</v>
      </c>
      <c r="T2257" s="12" t="s">
        <v>39</v>
      </c>
      <c r="U2257" s="12" t="s">
        <v>40</v>
      </c>
      <c r="V2257" s="12" t="s">
        <v>41</v>
      </c>
      <c r="W2257" s="12">
        <v>20000000</v>
      </c>
      <c r="X2257" s="12">
        <v>1995</v>
      </c>
      <c r="Y2257" s="12">
        <v>1000</v>
      </c>
      <c r="Z2257" s="12">
        <v>6.6</v>
      </c>
      <c r="AA2257" s="12">
        <v>1.85</v>
      </c>
      <c r="AB2257" s="12">
        <v>0</v>
      </c>
      <c r="AC2257" s="12"/>
      <c r="AD2257" s="12" t="str">
        <f>IFERROR(__xludf.DUMMYFUNCTION("""COMPUTED_VALUE"""),"Texas Battle")</f>
        <v>Texas Battle</v>
      </c>
      <c r="AE2257" s="12"/>
    </row>
    <row r="2258" customHeight="1" spans="1:31">
      <c r="A2258" s="11" t="s">
        <v>30</v>
      </c>
      <c r="B2258" s="11" t="s">
        <v>11095</v>
      </c>
      <c r="C2258" s="11">
        <v>377</v>
      </c>
      <c r="D2258" s="11">
        <v>99</v>
      </c>
      <c r="E2258" s="11">
        <v>0</v>
      </c>
      <c r="F2258" s="11">
        <v>59</v>
      </c>
      <c r="G2258" s="11">
        <v>264</v>
      </c>
      <c r="H2258" s="11">
        <v>17104669</v>
      </c>
      <c r="I2258" s="11" t="s">
        <v>11096</v>
      </c>
      <c r="J2258" s="11" t="s">
        <v>11097</v>
      </c>
      <c r="K2258" s="11" t="s">
        <v>11098</v>
      </c>
      <c r="L2258" s="11" t="s">
        <v>11099</v>
      </c>
      <c r="M2258" s="11" t="s">
        <v>11100</v>
      </c>
      <c r="N2258" s="11">
        <v>99353</v>
      </c>
      <c r="O2258" s="11">
        <v>537</v>
      </c>
      <c r="P2258" s="11">
        <v>1</v>
      </c>
      <c r="Q2258" s="11" t="s">
        <v>11101</v>
      </c>
      <c r="R2258" s="14" t="s">
        <v>11102</v>
      </c>
      <c r="S2258" s="11">
        <v>354</v>
      </c>
      <c r="T2258" s="11" t="s">
        <v>7242</v>
      </c>
      <c r="U2258" s="11" t="s">
        <v>3860</v>
      </c>
      <c r="V2258" s="11" t="s">
        <v>586</v>
      </c>
      <c r="W2258" s="11">
        <v>20000000</v>
      </c>
      <c r="X2258" s="11">
        <v>2004</v>
      </c>
      <c r="Y2258" s="11">
        <v>62</v>
      </c>
      <c r="Z2258" s="11">
        <v>7.8</v>
      </c>
      <c r="AA2258" s="11">
        <v>2.35</v>
      </c>
      <c r="AB2258" s="11">
        <v>0</v>
      </c>
      <c r="AC2258" s="11"/>
      <c r="AD2258" s="11" t="str">
        <f>IFERROR(__xludf.DUMMYFUNCTION("""COMPUTED_VALUE"""),"James Burnett")</f>
        <v>James Burnett</v>
      </c>
      <c r="AE2258" s="11"/>
    </row>
    <row r="2259" customHeight="1" spans="1:31">
      <c r="A2259" s="12" t="s">
        <v>30</v>
      </c>
      <c r="B2259" s="16"/>
      <c r="C2259" s="16"/>
      <c r="D2259" s="12">
        <v>30</v>
      </c>
      <c r="E2259" s="16"/>
      <c r="F2259" s="12">
        <v>215</v>
      </c>
      <c r="G2259" s="12">
        <v>909</v>
      </c>
      <c r="H2259" s="16"/>
      <c r="I2259" s="12" t="s">
        <v>1672</v>
      </c>
      <c r="J2259" s="12" t="s">
        <v>10104</v>
      </c>
      <c r="K2259" s="12" t="s">
        <v>11103</v>
      </c>
      <c r="L2259" s="12" t="s">
        <v>11104</v>
      </c>
      <c r="M2259" s="12" t="s">
        <v>11105</v>
      </c>
      <c r="N2259" s="12">
        <v>114</v>
      </c>
      <c r="O2259" s="12">
        <v>1557</v>
      </c>
      <c r="P2259" s="12">
        <v>2</v>
      </c>
      <c r="Q2259" s="12" t="s">
        <v>11106</v>
      </c>
      <c r="R2259" s="15" t="s">
        <v>11107</v>
      </c>
      <c r="S2259" s="12">
        <v>6</v>
      </c>
      <c r="T2259" s="12" t="s">
        <v>39</v>
      </c>
      <c r="U2259" s="12" t="s">
        <v>40</v>
      </c>
      <c r="V2259" s="16"/>
      <c r="W2259" s="16"/>
      <c r="X2259" s="16"/>
      <c r="Y2259" s="12">
        <v>417</v>
      </c>
      <c r="Z2259" s="12">
        <v>6.7</v>
      </c>
      <c r="AA2259" s="12">
        <v>1.33</v>
      </c>
      <c r="AB2259" s="12">
        <v>4</v>
      </c>
      <c r="AC2259" s="12"/>
      <c r="AD2259" s="12" t="str">
        <f>IFERROR(__xludf.DUMMYFUNCTION("""COMPUTED_VALUE"""),"Christiana Leucas")</f>
        <v>Christiana Leucas</v>
      </c>
      <c r="AE2259" s="12"/>
    </row>
    <row r="2260" customHeight="1" spans="1:31">
      <c r="A2260" s="11" t="s">
        <v>30</v>
      </c>
      <c r="B2260" s="11" t="s">
        <v>11108</v>
      </c>
      <c r="C2260" s="11">
        <v>43</v>
      </c>
      <c r="D2260" s="11">
        <v>88</v>
      </c>
      <c r="E2260" s="11">
        <v>0</v>
      </c>
      <c r="F2260" s="11">
        <v>939</v>
      </c>
      <c r="G2260" s="11">
        <v>3000</v>
      </c>
      <c r="H2260" s="11">
        <v>16988996</v>
      </c>
      <c r="I2260" s="11" t="s">
        <v>11109</v>
      </c>
      <c r="J2260" s="11" t="s">
        <v>2190</v>
      </c>
      <c r="K2260" s="11" t="s">
        <v>8881</v>
      </c>
      <c r="L2260" s="11" t="s">
        <v>1147</v>
      </c>
      <c r="M2260" s="11" t="s">
        <v>11110</v>
      </c>
      <c r="N2260" s="11">
        <v>3875</v>
      </c>
      <c r="O2260" s="11">
        <v>8189</v>
      </c>
      <c r="P2260" s="11">
        <v>1</v>
      </c>
      <c r="Q2260" s="11" t="s">
        <v>11111</v>
      </c>
      <c r="R2260" s="14" t="s">
        <v>11112</v>
      </c>
      <c r="S2260" s="11">
        <v>75</v>
      </c>
      <c r="T2260" s="11" t="s">
        <v>39</v>
      </c>
      <c r="U2260" s="11" t="s">
        <v>40</v>
      </c>
      <c r="V2260" s="11" t="s">
        <v>278</v>
      </c>
      <c r="W2260" s="11">
        <v>35000000</v>
      </c>
      <c r="X2260" s="11">
        <v>2002</v>
      </c>
      <c r="Y2260" s="11">
        <v>968</v>
      </c>
      <c r="Z2260" s="11">
        <v>4</v>
      </c>
      <c r="AA2260" s="11">
        <v>1.85</v>
      </c>
      <c r="AB2260" s="11">
        <v>422</v>
      </c>
      <c r="AC2260" s="11"/>
      <c r="AD2260" s="11" t="str">
        <f>IFERROR(__xludf.DUMMYFUNCTION("""COMPUTED_VALUE"""),"Munro Chambers")</f>
        <v>Munro Chambers</v>
      </c>
      <c r="AE2260" s="11"/>
    </row>
    <row r="2261" customHeight="1" spans="1:31">
      <c r="A2261" s="12" t="s">
        <v>30</v>
      </c>
      <c r="B2261" s="12" t="s">
        <v>126</v>
      </c>
      <c r="C2261" s="12">
        <v>201</v>
      </c>
      <c r="D2261" s="12">
        <v>128</v>
      </c>
      <c r="E2261" s="12">
        <v>395</v>
      </c>
      <c r="F2261" s="12">
        <v>161</v>
      </c>
      <c r="G2261" s="12">
        <v>283</v>
      </c>
      <c r="H2261" s="12">
        <v>15797907</v>
      </c>
      <c r="I2261" s="12" t="s">
        <v>3410</v>
      </c>
      <c r="J2261" s="12" t="s">
        <v>11113</v>
      </c>
      <c r="K2261" s="12" t="s">
        <v>7465</v>
      </c>
      <c r="L2261" s="12" t="s">
        <v>11114</v>
      </c>
      <c r="M2261" s="12" t="s">
        <v>11115</v>
      </c>
      <c r="N2261" s="12">
        <v>68119</v>
      </c>
      <c r="O2261" s="12">
        <v>904</v>
      </c>
      <c r="P2261" s="12">
        <v>0</v>
      </c>
      <c r="Q2261" s="12" t="s">
        <v>11116</v>
      </c>
      <c r="R2261" s="15" t="s">
        <v>11117</v>
      </c>
      <c r="S2261" s="12">
        <v>230</v>
      </c>
      <c r="T2261" s="12" t="s">
        <v>11118</v>
      </c>
      <c r="U2261" s="12" t="s">
        <v>40</v>
      </c>
      <c r="V2261" s="12" t="s">
        <v>41</v>
      </c>
      <c r="W2261" s="12">
        <v>20000000</v>
      </c>
      <c r="X2261" s="12">
        <v>2007</v>
      </c>
      <c r="Y2261" s="12">
        <v>206</v>
      </c>
      <c r="Z2261" s="12">
        <v>7.6</v>
      </c>
      <c r="AA2261" s="12">
        <v>2.35</v>
      </c>
      <c r="AB2261" s="12">
        <v>0</v>
      </c>
      <c r="AC2261" s="12"/>
      <c r="AD2261" s="12" t="str">
        <f>IFERROR(__xludf.DUMMYFUNCTION("""COMPUTED_VALUE"""),"Stark Sands")</f>
        <v>Stark Sands</v>
      </c>
      <c r="AE2261" s="12"/>
    </row>
    <row r="2262" customHeight="1" spans="1:31">
      <c r="A2262" s="11" t="s">
        <v>30</v>
      </c>
      <c r="B2262" s="11" t="s">
        <v>1134</v>
      </c>
      <c r="C2262" s="11">
        <v>192</v>
      </c>
      <c r="D2262" s="11">
        <v>124</v>
      </c>
      <c r="E2262" s="11">
        <v>0</v>
      </c>
      <c r="F2262" s="11">
        <v>430</v>
      </c>
      <c r="G2262" s="11">
        <v>6000</v>
      </c>
      <c r="H2262" s="11">
        <v>16248701</v>
      </c>
      <c r="I2262" s="11" t="s">
        <v>3410</v>
      </c>
      <c r="J2262" s="11" t="s">
        <v>208</v>
      </c>
      <c r="K2262" s="11" t="s">
        <v>359</v>
      </c>
      <c r="L2262" s="11" t="s">
        <v>2995</v>
      </c>
      <c r="M2262" s="11" t="s">
        <v>11119</v>
      </c>
      <c r="N2262" s="11">
        <v>189683</v>
      </c>
      <c r="O2262" s="11">
        <v>7567</v>
      </c>
      <c r="P2262" s="11">
        <v>0</v>
      </c>
      <c r="Q2262" s="11" t="s">
        <v>11120</v>
      </c>
      <c r="R2262" s="14" t="s">
        <v>11121</v>
      </c>
      <c r="S2262" s="11">
        <v>559</v>
      </c>
      <c r="T2262" s="11" t="s">
        <v>39</v>
      </c>
      <c r="U2262" s="11" t="s">
        <v>40</v>
      </c>
      <c r="V2262" s="11" t="s">
        <v>586</v>
      </c>
      <c r="W2262" s="11">
        <v>20000000</v>
      </c>
      <c r="X2262" s="11">
        <v>2003</v>
      </c>
      <c r="Y2262" s="11">
        <v>979</v>
      </c>
      <c r="Z2262" s="11">
        <v>7.7</v>
      </c>
      <c r="AA2262" s="11">
        <v>1.85</v>
      </c>
      <c r="AB2262" s="11">
        <v>0</v>
      </c>
      <c r="AC2262" s="11"/>
      <c r="AD2262" s="11" t="str">
        <f>IFERROR(__xludf.DUMMYFUNCTION("""COMPUTED_VALUE"""),"Terence Maynard")</f>
        <v>Terence Maynard</v>
      </c>
      <c r="AE2262" s="11"/>
    </row>
    <row r="2263" customHeight="1" spans="1:31">
      <c r="A2263" s="12" t="s">
        <v>30</v>
      </c>
      <c r="B2263" s="12" t="s">
        <v>11122</v>
      </c>
      <c r="C2263" s="12">
        <v>77</v>
      </c>
      <c r="D2263" s="12">
        <v>84</v>
      </c>
      <c r="E2263" s="12">
        <v>2</v>
      </c>
      <c r="F2263" s="12">
        <v>472</v>
      </c>
      <c r="G2263" s="12">
        <v>787</v>
      </c>
      <c r="H2263" s="12">
        <v>15712072</v>
      </c>
      <c r="I2263" s="12" t="s">
        <v>464</v>
      </c>
      <c r="J2263" s="12" t="s">
        <v>2050</v>
      </c>
      <c r="K2263" s="12" t="s">
        <v>11123</v>
      </c>
      <c r="L2263" s="12" t="s">
        <v>11124</v>
      </c>
      <c r="M2263" s="12" t="s">
        <v>11125</v>
      </c>
      <c r="N2263" s="12">
        <v>13210</v>
      </c>
      <c r="O2263" s="12">
        <v>2915</v>
      </c>
      <c r="P2263" s="12">
        <v>0</v>
      </c>
      <c r="Q2263" s="12" t="s">
        <v>11126</v>
      </c>
      <c r="R2263" s="15" t="s">
        <v>11127</v>
      </c>
      <c r="S2263" s="12">
        <v>138</v>
      </c>
      <c r="T2263" s="12" t="s">
        <v>39</v>
      </c>
      <c r="U2263" s="12" t="s">
        <v>40</v>
      </c>
      <c r="V2263" s="12" t="s">
        <v>41</v>
      </c>
      <c r="W2263" s="12">
        <v>20000000</v>
      </c>
      <c r="X2263" s="12">
        <v>2004</v>
      </c>
      <c r="Y2263" s="12">
        <v>555</v>
      </c>
      <c r="Z2263" s="12">
        <v>5.8</v>
      </c>
      <c r="AA2263" s="12">
        <v>2.35</v>
      </c>
      <c r="AB2263" s="12">
        <v>269</v>
      </c>
      <c r="AC2263" s="12"/>
      <c r="AD2263" s="12" t="str">
        <f>IFERROR(__xludf.DUMMYFUNCTION("""COMPUTED_VALUE"""),"Phil LaMarr")</f>
        <v>Phil LaMarr</v>
      </c>
      <c r="AE2263" s="12"/>
    </row>
    <row r="2264" customHeight="1" spans="1:31">
      <c r="A2264" s="11" t="s">
        <v>30</v>
      </c>
      <c r="B2264" s="11" t="s">
        <v>6149</v>
      </c>
      <c r="C2264" s="11">
        <v>350</v>
      </c>
      <c r="D2264" s="11">
        <v>122</v>
      </c>
      <c r="E2264" s="11">
        <v>308</v>
      </c>
      <c r="F2264" s="11">
        <v>10000</v>
      </c>
      <c r="G2264" s="11">
        <v>17000</v>
      </c>
      <c r="H2264" s="11">
        <v>191449475</v>
      </c>
      <c r="I2264" s="11" t="s">
        <v>687</v>
      </c>
      <c r="J2264" s="11" t="s">
        <v>559</v>
      </c>
      <c r="K2264" s="11" t="s">
        <v>1107</v>
      </c>
      <c r="L2264" s="11" t="s">
        <v>2456</v>
      </c>
      <c r="M2264" s="11" t="s">
        <v>7149</v>
      </c>
      <c r="N2264" s="11">
        <v>348010</v>
      </c>
      <c r="O2264" s="11">
        <v>44061</v>
      </c>
      <c r="P2264" s="11">
        <v>1</v>
      </c>
      <c r="Q2264" s="11" t="s">
        <v>7150</v>
      </c>
      <c r="R2264" s="14" t="s">
        <v>7151</v>
      </c>
      <c r="S2264" s="11">
        <v>1535</v>
      </c>
      <c r="T2264" s="11" t="s">
        <v>39</v>
      </c>
      <c r="U2264" s="11" t="s">
        <v>40</v>
      </c>
      <c r="V2264" s="11" t="s">
        <v>41</v>
      </c>
      <c r="W2264" s="11">
        <v>37000000</v>
      </c>
      <c r="X2264" s="11">
        <v>2008</v>
      </c>
      <c r="Y2264" s="11">
        <v>12000</v>
      </c>
      <c r="Z2264" s="11">
        <v>5.2</v>
      </c>
      <c r="AA2264" s="11">
        <v>2.35</v>
      </c>
      <c r="AB2264" s="11">
        <v>19000</v>
      </c>
      <c r="AC2264" s="11"/>
      <c r="AD2264" s="11" t="str">
        <f>IFERROR(__xludf.DUMMYFUNCTION("""COMPUTED_VALUE"""),"Lynda Boyd")</f>
        <v>Lynda Boyd</v>
      </c>
      <c r="AE2264" s="11"/>
    </row>
    <row r="2265" customHeight="1" spans="1:31">
      <c r="A2265" s="12" t="s">
        <v>30</v>
      </c>
      <c r="B2265" s="12" t="s">
        <v>11128</v>
      </c>
      <c r="C2265" s="12">
        <v>81</v>
      </c>
      <c r="D2265" s="12">
        <v>101</v>
      </c>
      <c r="E2265" s="12">
        <v>13</v>
      </c>
      <c r="F2265" s="12">
        <v>499</v>
      </c>
      <c r="G2265" s="12">
        <v>651</v>
      </c>
      <c r="H2265" s="12">
        <v>15408822</v>
      </c>
      <c r="I2265" s="12" t="s">
        <v>1681</v>
      </c>
      <c r="J2265" s="12" t="s">
        <v>5043</v>
      </c>
      <c r="K2265" s="12" t="s">
        <v>5546</v>
      </c>
      <c r="L2265" s="12" t="s">
        <v>6871</v>
      </c>
      <c r="M2265" s="12" t="s">
        <v>11129</v>
      </c>
      <c r="N2265" s="12">
        <v>14147</v>
      </c>
      <c r="O2265" s="12">
        <v>2698</v>
      </c>
      <c r="P2265" s="12">
        <v>3</v>
      </c>
      <c r="Q2265" s="12" t="s">
        <v>11130</v>
      </c>
      <c r="R2265" s="15" t="s">
        <v>11131</v>
      </c>
      <c r="S2265" s="12">
        <v>92</v>
      </c>
      <c r="T2265" s="12" t="s">
        <v>39</v>
      </c>
      <c r="U2265" s="12" t="s">
        <v>40</v>
      </c>
      <c r="V2265" s="12" t="s">
        <v>41</v>
      </c>
      <c r="W2265" s="12">
        <v>20000000</v>
      </c>
      <c r="X2265" s="12">
        <v>2003</v>
      </c>
      <c r="Y2265" s="12">
        <v>555</v>
      </c>
      <c r="Z2265" s="12">
        <v>5.6</v>
      </c>
      <c r="AA2265" s="12">
        <v>1.85</v>
      </c>
      <c r="AB2265" s="12">
        <v>401</v>
      </c>
      <c r="AC2265" s="12"/>
      <c r="AD2265" s="12" t="str">
        <f>IFERROR(__xludf.DUMMYFUNCTION("""COMPUTED_VALUE"""),"Atom Egoyan")</f>
        <v>Atom Egoyan</v>
      </c>
      <c r="AE2265" s="12"/>
    </row>
    <row r="2266" customHeight="1" spans="1:31">
      <c r="A2266" s="11" t="s">
        <v>30</v>
      </c>
      <c r="B2266" s="11" t="s">
        <v>11132</v>
      </c>
      <c r="C2266" s="11">
        <v>81</v>
      </c>
      <c r="D2266" s="11">
        <v>98</v>
      </c>
      <c r="E2266" s="11">
        <v>143</v>
      </c>
      <c r="F2266" s="11">
        <v>153</v>
      </c>
      <c r="G2266" s="11">
        <v>302</v>
      </c>
      <c r="H2266" s="11">
        <v>15464026</v>
      </c>
      <c r="I2266" s="11" t="s">
        <v>1681</v>
      </c>
      <c r="J2266" s="11" t="s">
        <v>5600</v>
      </c>
      <c r="K2266" s="11" t="s">
        <v>11133</v>
      </c>
      <c r="L2266" s="11" t="s">
        <v>11134</v>
      </c>
      <c r="M2266" s="11" t="s">
        <v>11135</v>
      </c>
      <c r="N2266" s="11">
        <v>23076</v>
      </c>
      <c r="O2266" s="11">
        <v>1189</v>
      </c>
      <c r="P2266" s="11">
        <v>2</v>
      </c>
      <c r="Q2266" s="11" t="s">
        <v>11136</v>
      </c>
      <c r="R2266" s="14" t="s">
        <v>11137</v>
      </c>
      <c r="S2266" s="11">
        <v>158</v>
      </c>
      <c r="T2266" s="11" t="s">
        <v>39</v>
      </c>
      <c r="U2266" s="11" t="s">
        <v>40</v>
      </c>
      <c r="V2266" s="11" t="s">
        <v>41</v>
      </c>
      <c r="W2266" s="11">
        <v>20000000</v>
      </c>
      <c r="X2266" s="11">
        <v>2000</v>
      </c>
      <c r="Y2266" s="11">
        <v>216</v>
      </c>
      <c r="Z2266" s="11">
        <v>5.3</v>
      </c>
      <c r="AA2266" s="11">
        <v>1.85</v>
      </c>
      <c r="AB2266" s="11">
        <v>1000</v>
      </c>
      <c r="AC2266" s="11"/>
      <c r="AD2266" s="11" t="str">
        <f>IFERROR(__xludf.DUMMYFUNCTION("""COMPUTED_VALUE"""),"Paul Gross")</f>
        <v>Paul Gross</v>
      </c>
      <c r="AE2266" s="11"/>
    </row>
    <row r="2267" customHeight="1" spans="1:31">
      <c r="A2267" s="12" t="s">
        <v>30</v>
      </c>
      <c r="B2267" s="12" t="s">
        <v>3807</v>
      </c>
      <c r="C2267" s="12">
        <v>222</v>
      </c>
      <c r="D2267" s="12">
        <v>105</v>
      </c>
      <c r="E2267" s="12">
        <v>909</v>
      </c>
      <c r="F2267" s="12">
        <v>173</v>
      </c>
      <c r="G2267" s="12">
        <v>1000</v>
      </c>
      <c r="H2267" s="12">
        <v>14359793</v>
      </c>
      <c r="I2267" s="12" t="s">
        <v>11138</v>
      </c>
      <c r="J2267" s="12" t="s">
        <v>11139</v>
      </c>
      <c r="K2267" s="12" t="s">
        <v>3807</v>
      </c>
      <c r="L2267" s="12" t="s">
        <v>11140</v>
      </c>
      <c r="M2267" s="12" t="s">
        <v>11141</v>
      </c>
      <c r="N2267" s="12">
        <v>35137</v>
      </c>
      <c r="O2267" s="12">
        <v>2327</v>
      </c>
      <c r="P2267" s="12">
        <v>0</v>
      </c>
      <c r="Q2267" s="12" t="s">
        <v>11142</v>
      </c>
      <c r="R2267" s="15" t="s">
        <v>11143</v>
      </c>
      <c r="S2267" s="12">
        <v>188</v>
      </c>
      <c r="T2267" s="12" t="s">
        <v>39</v>
      </c>
      <c r="U2267" s="12" t="s">
        <v>40</v>
      </c>
      <c r="V2267" s="12" t="s">
        <v>586</v>
      </c>
      <c r="W2267" s="16"/>
      <c r="X2267" s="12">
        <v>2009</v>
      </c>
      <c r="Y2267" s="12">
        <v>909</v>
      </c>
      <c r="Z2267" s="12">
        <v>7.4</v>
      </c>
      <c r="AA2267" s="12">
        <v>1.85</v>
      </c>
      <c r="AB2267" s="12">
        <v>10000</v>
      </c>
      <c r="AC2267" s="12"/>
      <c r="AD2267" s="12" t="str">
        <f>IFERROR(__xludf.DUMMYFUNCTION("""COMPUTED_VALUE"""),"Ólafur Darri Ólafsson")</f>
        <v>Ólafur Darri Ólafsson</v>
      </c>
      <c r="AE2267" s="12"/>
    </row>
    <row r="2268" customHeight="1" spans="1:31">
      <c r="A2268" s="11" t="s">
        <v>30</v>
      </c>
      <c r="B2268" s="11" t="s">
        <v>11144</v>
      </c>
      <c r="C2268" s="11">
        <v>27</v>
      </c>
      <c r="D2268" s="11">
        <v>225</v>
      </c>
      <c r="E2268" s="11">
        <v>126</v>
      </c>
      <c r="F2268" s="11">
        <v>202</v>
      </c>
      <c r="G2268" s="11">
        <v>940</v>
      </c>
      <c r="H2268" s="11">
        <v>8000000</v>
      </c>
      <c r="I2268" s="11" t="s">
        <v>5941</v>
      </c>
      <c r="J2268" s="11" t="s">
        <v>3261</v>
      </c>
      <c r="K2268" s="11" t="s">
        <v>11145</v>
      </c>
      <c r="L2268" s="11" t="s">
        <v>5879</v>
      </c>
      <c r="M2268" s="11" t="s">
        <v>11146</v>
      </c>
      <c r="N2268" s="11">
        <v>6484</v>
      </c>
      <c r="O2268" s="11">
        <v>1934</v>
      </c>
      <c r="P2268" s="11">
        <v>6</v>
      </c>
      <c r="Q2268" s="11" t="s">
        <v>11147</v>
      </c>
      <c r="R2268" s="14" t="s">
        <v>11148</v>
      </c>
      <c r="S2268" s="11">
        <v>100</v>
      </c>
      <c r="T2268" s="11" t="s">
        <v>39</v>
      </c>
      <c r="U2268" s="11" t="s">
        <v>40</v>
      </c>
      <c r="V2268" s="11" t="s">
        <v>278</v>
      </c>
      <c r="W2268" s="11">
        <v>20000000</v>
      </c>
      <c r="X2268" s="11">
        <v>1965</v>
      </c>
      <c r="Y2268" s="11">
        <v>208</v>
      </c>
      <c r="Z2268" s="11">
        <v>6.6</v>
      </c>
      <c r="AA2268" s="11">
        <v>2.76</v>
      </c>
      <c r="AB2268" s="11">
        <v>1000</v>
      </c>
      <c r="AC2268" s="11"/>
      <c r="AD2268" s="11" t="str">
        <f>IFERROR(__xludf.DUMMYFUNCTION("""COMPUTED_VALUE"""),"Ingvar Eggert Sigurðsson")</f>
        <v>Ingvar Eggert Sigurðsson</v>
      </c>
      <c r="AE2268" s="11"/>
    </row>
    <row r="2269" customHeight="1" spans="1:31">
      <c r="A2269" s="12" t="s">
        <v>30</v>
      </c>
      <c r="B2269" s="12" t="s">
        <v>11149</v>
      </c>
      <c r="C2269" s="12">
        <v>155</v>
      </c>
      <c r="D2269" s="12">
        <v>111</v>
      </c>
      <c r="E2269" s="12">
        <v>53</v>
      </c>
      <c r="F2269" s="12">
        <v>233</v>
      </c>
      <c r="G2269" s="12">
        <v>8000</v>
      </c>
      <c r="H2269" s="16"/>
      <c r="I2269" s="12" t="s">
        <v>2142</v>
      </c>
      <c r="J2269" s="12" t="s">
        <v>1529</v>
      </c>
      <c r="K2269" s="12" t="s">
        <v>3041</v>
      </c>
      <c r="L2269" s="12" t="s">
        <v>11150</v>
      </c>
      <c r="M2269" s="12" t="s">
        <v>11151</v>
      </c>
      <c r="N2269" s="12">
        <v>20186</v>
      </c>
      <c r="O2269" s="12">
        <v>9941</v>
      </c>
      <c r="P2269" s="12">
        <v>0</v>
      </c>
      <c r="Q2269" s="12" t="s">
        <v>11152</v>
      </c>
      <c r="R2269" s="15" t="s">
        <v>11153</v>
      </c>
      <c r="S2269" s="12">
        <v>81</v>
      </c>
      <c r="T2269" s="12" t="s">
        <v>39</v>
      </c>
      <c r="U2269" s="12" t="s">
        <v>40</v>
      </c>
      <c r="V2269" s="12" t="s">
        <v>41</v>
      </c>
      <c r="W2269" s="12">
        <v>19500000</v>
      </c>
      <c r="X2269" s="12">
        <v>2015</v>
      </c>
      <c r="Y2269" s="12">
        <v>963</v>
      </c>
      <c r="Z2269" s="12">
        <v>6.2</v>
      </c>
      <c r="AA2269" s="12">
        <v>2.35</v>
      </c>
      <c r="AB2269" s="12">
        <v>0</v>
      </c>
      <c r="AC2269" s="12"/>
      <c r="AD2269" s="12" t="str">
        <f>IFERROR(__xludf.DUMMYFUNCTION("""COMPUTED_VALUE"""),"Björn Hlynur Haraldsson")</f>
        <v>Björn Hlynur Haraldsson</v>
      </c>
      <c r="AE2269" s="12"/>
    </row>
    <row r="2270" customHeight="1" spans="1:31">
      <c r="A2270" s="11" t="s">
        <v>30</v>
      </c>
      <c r="B2270" s="11" t="s">
        <v>8383</v>
      </c>
      <c r="C2270" s="11">
        <v>111</v>
      </c>
      <c r="D2270" s="11">
        <v>88</v>
      </c>
      <c r="E2270" s="11">
        <v>82</v>
      </c>
      <c r="F2270" s="11">
        <v>329</v>
      </c>
      <c r="G2270" s="11">
        <v>869</v>
      </c>
      <c r="H2270" s="11">
        <v>14174654</v>
      </c>
      <c r="I2270" s="11" t="s">
        <v>1672</v>
      </c>
      <c r="J2270" s="11" t="s">
        <v>2615</v>
      </c>
      <c r="K2270" s="11" t="s">
        <v>4978</v>
      </c>
      <c r="L2270" s="11" t="s">
        <v>511</v>
      </c>
      <c r="M2270" s="11" t="s">
        <v>11154</v>
      </c>
      <c r="N2270" s="11">
        <v>74945</v>
      </c>
      <c r="O2270" s="11">
        <v>2857</v>
      </c>
      <c r="P2270" s="11">
        <v>0</v>
      </c>
      <c r="Q2270" s="11" t="s">
        <v>11155</v>
      </c>
      <c r="R2270" s="14" t="s">
        <v>11156</v>
      </c>
      <c r="S2270" s="11">
        <v>359</v>
      </c>
      <c r="T2270" s="11" t="s">
        <v>39</v>
      </c>
      <c r="U2270" s="11" t="s">
        <v>40</v>
      </c>
      <c r="V2270" s="11" t="s">
        <v>41</v>
      </c>
      <c r="W2270" s="11">
        <v>25000000</v>
      </c>
      <c r="X2270" s="11">
        <v>2008</v>
      </c>
      <c r="Y2270" s="11">
        <v>624</v>
      </c>
      <c r="Z2270" s="11">
        <v>1.9</v>
      </c>
      <c r="AA2270" s="11">
        <v>1.85</v>
      </c>
      <c r="AB2270" s="11">
        <v>0</v>
      </c>
      <c r="AC2270" s="11"/>
      <c r="AD2270" s="11" t="str">
        <f>IFERROR(__xludf.DUMMYFUNCTION("""COMPUTED_VALUE"""),"Richard Roundtree")</f>
        <v>Richard Roundtree</v>
      </c>
      <c r="AE2270" s="11"/>
    </row>
    <row r="2271" customHeight="1" spans="1:31">
      <c r="A2271" s="12" t="s">
        <v>30</v>
      </c>
      <c r="B2271" s="12" t="s">
        <v>6473</v>
      </c>
      <c r="C2271" s="12">
        <v>107</v>
      </c>
      <c r="D2271" s="12">
        <v>88</v>
      </c>
      <c r="E2271" s="12">
        <v>190</v>
      </c>
      <c r="F2271" s="12">
        <v>163</v>
      </c>
      <c r="G2271" s="12">
        <v>137000</v>
      </c>
      <c r="H2271" s="12">
        <v>15988876</v>
      </c>
      <c r="I2271" s="12" t="s">
        <v>334</v>
      </c>
      <c r="J2271" s="12" t="s">
        <v>6405</v>
      </c>
      <c r="K2271" s="12" t="s">
        <v>3986</v>
      </c>
      <c r="L2271" s="12" t="s">
        <v>11157</v>
      </c>
      <c r="M2271" s="12" t="s">
        <v>11158</v>
      </c>
      <c r="N2271" s="12">
        <v>26236</v>
      </c>
      <c r="O2271" s="12">
        <v>137712</v>
      </c>
      <c r="P2271" s="12">
        <v>6</v>
      </c>
      <c r="Q2271" s="12" t="s">
        <v>11159</v>
      </c>
      <c r="R2271" s="15" t="s">
        <v>11160</v>
      </c>
      <c r="S2271" s="12">
        <v>110</v>
      </c>
      <c r="T2271" s="12" t="s">
        <v>39</v>
      </c>
      <c r="U2271" s="12" t="s">
        <v>40</v>
      </c>
      <c r="V2271" s="12" t="s">
        <v>41</v>
      </c>
      <c r="W2271" s="12">
        <v>27000000</v>
      </c>
      <c r="X2271" s="12">
        <v>2009</v>
      </c>
      <c r="Y2271" s="12">
        <v>459</v>
      </c>
      <c r="Z2271" s="12">
        <v>5.7</v>
      </c>
      <c r="AA2271" s="12">
        <v>2.35</v>
      </c>
      <c r="AB2271" s="12">
        <v>0</v>
      </c>
      <c r="AC2271" s="12"/>
      <c r="AD2271" s="12" t="str">
        <f>IFERROR(__xludf.DUMMYFUNCTION("""COMPUTED_VALUE"""),"Ned Bellamy")</f>
        <v>Ned Bellamy</v>
      </c>
      <c r="AE2271" s="12"/>
    </row>
    <row r="2272" customHeight="1" spans="1:31">
      <c r="A2272" s="11" t="s">
        <v>30</v>
      </c>
      <c r="B2272" s="11" t="s">
        <v>2462</v>
      </c>
      <c r="C2272" s="11">
        <v>34</v>
      </c>
      <c r="D2272" s="11">
        <v>94</v>
      </c>
      <c r="E2272" s="11">
        <v>36</v>
      </c>
      <c r="F2272" s="11">
        <v>507</v>
      </c>
      <c r="G2272" s="11">
        <v>13000</v>
      </c>
      <c r="H2272" s="11">
        <v>13801755</v>
      </c>
      <c r="I2272" s="11" t="s">
        <v>422</v>
      </c>
      <c r="J2272" s="11" t="s">
        <v>549</v>
      </c>
      <c r="K2272" s="11" t="s">
        <v>4812</v>
      </c>
      <c r="L2272" s="11" t="s">
        <v>11161</v>
      </c>
      <c r="M2272" s="11" t="s">
        <v>11162</v>
      </c>
      <c r="N2272" s="11">
        <v>23928</v>
      </c>
      <c r="O2272" s="11">
        <v>15183</v>
      </c>
      <c r="P2272" s="11">
        <v>1</v>
      </c>
      <c r="Q2272" s="11" t="s">
        <v>11163</v>
      </c>
      <c r="R2272" s="14" t="s">
        <v>11164</v>
      </c>
      <c r="S2272" s="11">
        <v>100</v>
      </c>
      <c r="T2272" s="11" t="s">
        <v>39</v>
      </c>
      <c r="U2272" s="11" t="s">
        <v>40</v>
      </c>
      <c r="V2272" s="11" t="s">
        <v>96</v>
      </c>
      <c r="W2272" s="11">
        <v>20000000</v>
      </c>
      <c r="X2272" s="11">
        <v>1997</v>
      </c>
      <c r="Y2272" s="11">
        <v>828</v>
      </c>
      <c r="Z2272" s="11">
        <v>6.6</v>
      </c>
      <c r="AA2272" s="11">
        <v>1.85</v>
      </c>
      <c r="AB2272" s="11">
        <v>0</v>
      </c>
      <c r="AC2272" s="11"/>
      <c r="AD2272" s="11" t="str">
        <f>IFERROR(__xludf.DUMMYFUNCTION("""COMPUTED_VALUE"""),"James Biberi")</f>
        <v>James Biberi</v>
      </c>
      <c r="AE2272" s="11"/>
    </row>
    <row r="2273" customHeight="1" spans="1:31">
      <c r="A2273" s="12" t="s">
        <v>30</v>
      </c>
      <c r="B2273" s="12" t="s">
        <v>11165</v>
      </c>
      <c r="C2273" s="12">
        <v>151</v>
      </c>
      <c r="D2273" s="12">
        <v>117</v>
      </c>
      <c r="E2273" s="12">
        <v>20</v>
      </c>
      <c r="F2273" s="12">
        <v>783</v>
      </c>
      <c r="G2273" s="12">
        <v>11000</v>
      </c>
      <c r="H2273" s="12">
        <v>13987482</v>
      </c>
      <c r="I2273" s="12" t="s">
        <v>1681</v>
      </c>
      <c r="J2273" s="12" t="s">
        <v>222</v>
      </c>
      <c r="K2273" s="12" t="s">
        <v>9682</v>
      </c>
      <c r="L2273" s="12" t="s">
        <v>972</v>
      </c>
      <c r="M2273" s="12" t="s">
        <v>11166</v>
      </c>
      <c r="N2273" s="12">
        <v>58957</v>
      </c>
      <c r="O2273" s="12">
        <v>15713</v>
      </c>
      <c r="P2273" s="12">
        <v>1</v>
      </c>
      <c r="Q2273" s="12" t="s">
        <v>11167</v>
      </c>
      <c r="R2273" s="15" t="s">
        <v>11168</v>
      </c>
      <c r="S2273" s="12">
        <v>91</v>
      </c>
      <c r="T2273" s="12" t="s">
        <v>39</v>
      </c>
      <c r="U2273" s="12" t="s">
        <v>40</v>
      </c>
      <c r="V2273" s="12" t="s">
        <v>586</v>
      </c>
      <c r="W2273" s="12">
        <v>20000000</v>
      </c>
      <c r="X2273" s="12">
        <v>2011</v>
      </c>
      <c r="Y2273" s="12">
        <v>904</v>
      </c>
      <c r="Z2273" s="12">
        <v>6</v>
      </c>
      <c r="AA2273" s="12">
        <v>1.85</v>
      </c>
      <c r="AB2273" s="12">
        <v>0</v>
      </c>
      <c r="AC2273" s="12"/>
      <c r="AD2273" s="12" t="str">
        <f>IFERROR(__xludf.DUMMYFUNCTION("""COMPUTED_VALUE"""),"Emir Kusturica")</f>
        <v>Emir Kusturica</v>
      </c>
      <c r="AE2273" s="12"/>
    </row>
    <row r="2274" customHeight="1" spans="1:31">
      <c r="A2274" s="11" t="s">
        <v>30</v>
      </c>
      <c r="B2274" s="11" t="s">
        <v>11169</v>
      </c>
      <c r="C2274" s="11">
        <v>289</v>
      </c>
      <c r="D2274" s="11">
        <v>95</v>
      </c>
      <c r="E2274" s="11">
        <v>4</v>
      </c>
      <c r="F2274" s="11">
        <v>80</v>
      </c>
      <c r="G2274" s="11">
        <v>788</v>
      </c>
      <c r="H2274" s="11">
        <v>14291570</v>
      </c>
      <c r="I2274" s="11" t="s">
        <v>227</v>
      </c>
      <c r="J2274" s="11" t="s">
        <v>2871</v>
      </c>
      <c r="K2274" s="11" t="s">
        <v>3924</v>
      </c>
      <c r="L2274" s="11" t="s">
        <v>11170</v>
      </c>
      <c r="M2274" s="11" t="s">
        <v>11171</v>
      </c>
      <c r="N2274" s="11">
        <v>82082</v>
      </c>
      <c r="O2274" s="11">
        <v>1414</v>
      </c>
      <c r="P2274" s="11">
        <v>2</v>
      </c>
      <c r="Q2274" s="11" t="s">
        <v>11172</v>
      </c>
      <c r="R2274" s="14" t="s">
        <v>11173</v>
      </c>
      <c r="S2274" s="11">
        <v>236</v>
      </c>
      <c r="T2274" s="11" t="s">
        <v>39</v>
      </c>
      <c r="U2274" s="11" t="s">
        <v>1466</v>
      </c>
      <c r="V2274" s="11" t="s">
        <v>41</v>
      </c>
      <c r="W2274" s="11">
        <v>20000000</v>
      </c>
      <c r="X2274" s="11">
        <v>2012</v>
      </c>
      <c r="Y2274" s="11">
        <v>447</v>
      </c>
      <c r="Z2274" s="11">
        <v>6.1</v>
      </c>
      <c r="AA2274" s="11">
        <v>2.35</v>
      </c>
      <c r="AB2274" s="11">
        <v>10000</v>
      </c>
      <c r="AC2274" s="11"/>
      <c r="AD2274" s="11" t="str">
        <f>IFERROR(__xludf.DUMMYFUNCTION("""COMPUTED_VALUE"""),"Saïd Taghmaoui")</f>
        <v>Saïd Taghmaoui</v>
      </c>
      <c r="AE2274" s="11"/>
    </row>
    <row r="2275" customHeight="1" spans="1:31">
      <c r="A2275" s="12" t="s">
        <v>30</v>
      </c>
      <c r="B2275" s="12" t="s">
        <v>3123</v>
      </c>
      <c r="C2275" s="12">
        <v>76</v>
      </c>
      <c r="D2275" s="12">
        <v>99</v>
      </c>
      <c r="E2275" s="12">
        <v>272</v>
      </c>
      <c r="F2275" s="12">
        <v>62</v>
      </c>
      <c r="G2275" s="12">
        <v>1000</v>
      </c>
      <c r="H2275" s="12">
        <v>12181484</v>
      </c>
      <c r="I2275" s="12" t="s">
        <v>1672</v>
      </c>
      <c r="J2275" s="12" t="s">
        <v>479</v>
      </c>
      <c r="K2275" s="12" t="s">
        <v>4386</v>
      </c>
      <c r="L2275" s="12" t="s">
        <v>11174</v>
      </c>
      <c r="M2275" s="12" t="s">
        <v>11175</v>
      </c>
      <c r="N2275" s="12">
        <v>26390</v>
      </c>
      <c r="O2275" s="12">
        <v>1189</v>
      </c>
      <c r="P2275" s="12">
        <v>1</v>
      </c>
      <c r="Q2275" s="12" t="s">
        <v>11176</v>
      </c>
      <c r="R2275" s="15" t="s">
        <v>11177</v>
      </c>
      <c r="S2275" s="12">
        <v>176</v>
      </c>
      <c r="T2275" s="12" t="s">
        <v>39</v>
      </c>
      <c r="U2275" s="12" t="s">
        <v>40</v>
      </c>
      <c r="V2275" s="12" t="s">
        <v>41</v>
      </c>
      <c r="W2275" s="12">
        <v>40000000</v>
      </c>
      <c r="X2275" s="12">
        <v>2004</v>
      </c>
      <c r="Y2275" s="12">
        <v>87</v>
      </c>
      <c r="Z2275" s="12">
        <v>4.8</v>
      </c>
      <c r="AA2275" s="12">
        <v>1.85</v>
      </c>
      <c r="AB2275" s="12">
        <v>713</v>
      </c>
      <c r="AC2275" s="12"/>
      <c r="AD2275" s="12" t="str">
        <f>IFERROR(__xludf.DUMMYFUNCTION("""COMPUTED_VALUE"""),"Bill Paterson")</f>
        <v>Bill Paterson</v>
      </c>
      <c r="AE2275" s="12"/>
    </row>
    <row r="2276" customHeight="1" spans="1:31">
      <c r="A2276" s="11" t="s">
        <v>30</v>
      </c>
      <c r="B2276" s="11" t="s">
        <v>4532</v>
      </c>
      <c r="C2276" s="11">
        <v>150</v>
      </c>
      <c r="D2276" s="11">
        <v>96</v>
      </c>
      <c r="E2276" s="11">
        <v>83</v>
      </c>
      <c r="F2276" s="11">
        <v>926</v>
      </c>
      <c r="G2276" s="11">
        <v>26000</v>
      </c>
      <c r="H2276" s="11">
        <v>13630226</v>
      </c>
      <c r="I2276" s="11" t="s">
        <v>1401</v>
      </c>
      <c r="J2276" s="11" t="s">
        <v>335</v>
      </c>
      <c r="K2276" s="11" t="s">
        <v>381</v>
      </c>
      <c r="L2276" s="11" t="s">
        <v>4647</v>
      </c>
      <c r="M2276" s="11" t="s">
        <v>11178</v>
      </c>
      <c r="N2276" s="11">
        <v>112516</v>
      </c>
      <c r="O2276" s="11">
        <v>30541</v>
      </c>
      <c r="P2276" s="11">
        <v>0</v>
      </c>
      <c r="Q2276" s="11" t="s">
        <v>11179</v>
      </c>
      <c r="R2276" s="14" t="s">
        <v>11180</v>
      </c>
      <c r="S2276" s="11">
        <v>223</v>
      </c>
      <c r="T2276" s="11" t="s">
        <v>39</v>
      </c>
      <c r="U2276" s="11" t="s">
        <v>40</v>
      </c>
      <c r="V2276" s="11" t="s">
        <v>586</v>
      </c>
      <c r="W2276" s="11">
        <v>20000000</v>
      </c>
      <c r="X2276" s="11">
        <v>2009</v>
      </c>
      <c r="Y2276" s="11">
        <v>968</v>
      </c>
      <c r="Z2276" s="11">
        <v>6.2</v>
      </c>
      <c r="AA2276" s="11">
        <v>1.85</v>
      </c>
      <c r="AB2276" s="11">
        <v>0</v>
      </c>
      <c r="AC2276" s="11"/>
      <c r="AD2276" s="11" t="str">
        <f>IFERROR(__xludf.DUMMYFUNCTION("""COMPUTED_VALUE"""),"Lucy Boynton")</f>
        <v>Lucy Boynton</v>
      </c>
      <c r="AE2276" s="11"/>
    </row>
    <row r="2277" customHeight="1" spans="1:31">
      <c r="A2277" s="12" t="s">
        <v>30</v>
      </c>
      <c r="B2277" s="12" t="s">
        <v>4004</v>
      </c>
      <c r="C2277" s="12">
        <v>67</v>
      </c>
      <c r="D2277" s="12">
        <v>98</v>
      </c>
      <c r="E2277" s="12">
        <v>11000</v>
      </c>
      <c r="F2277" s="12">
        <v>967</v>
      </c>
      <c r="G2277" s="12">
        <v>1000</v>
      </c>
      <c r="H2277" s="12">
        <v>13383737</v>
      </c>
      <c r="I2277" s="12" t="s">
        <v>1009</v>
      </c>
      <c r="J2277" s="12" t="s">
        <v>393</v>
      </c>
      <c r="K2277" s="12" t="s">
        <v>1654</v>
      </c>
      <c r="L2277" s="12" t="s">
        <v>4196</v>
      </c>
      <c r="M2277" s="12" t="s">
        <v>11181</v>
      </c>
      <c r="N2277" s="12">
        <v>29385</v>
      </c>
      <c r="O2277" s="12">
        <v>4302</v>
      </c>
      <c r="P2277" s="12">
        <v>4</v>
      </c>
      <c r="Q2277" s="12" t="s">
        <v>11182</v>
      </c>
      <c r="R2277" s="15" t="s">
        <v>11183</v>
      </c>
      <c r="S2277" s="12">
        <v>86</v>
      </c>
      <c r="T2277" s="12" t="s">
        <v>39</v>
      </c>
      <c r="U2277" s="12" t="s">
        <v>40</v>
      </c>
      <c r="V2277" s="12" t="s">
        <v>586</v>
      </c>
      <c r="W2277" s="12">
        <v>20000000</v>
      </c>
      <c r="X2277" s="12">
        <v>1994</v>
      </c>
      <c r="Y2277" s="12">
        <v>979</v>
      </c>
      <c r="Z2277" s="12">
        <v>7.5</v>
      </c>
      <c r="AA2277" s="12">
        <v>1.85</v>
      </c>
      <c r="AB2277" s="12">
        <v>979</v>
      </c>
      <c r="AC2277" s="12"/>
      <c r="AD2277" s="12" t="str">
        <f>IFERROR(__xludf.DUMMYFUNCTION("""COMPUTED_VALUE"""),"Toby Leonard Moore")</f>
        <v>Toby Leonard Moore</v>
      </c>
      <c r="AE2277" s="12"/>
    </row>
    <row r="2278" customHeight="1" spans="1:31">
      <c r="A2278" s="11" t="s">
        <v>30</v>
      </c>
      <c r="B2278" s="11" t="s">
        <v>11184</v>
      </c>
      <c r="C2278" s="11">
        <v>36</v>
      </c>
      <c r="D2278" s="11">
        <v>123</v>
      </c>
      <c r="E2278" s="11">
        <v>6</v>
      </c>
      <c r="F2278" s="11">
        <v>85</v>
      </c>
      <c r="G2278" s="11">
        <v>541</v>
      </c>
      <c r="H2278" s="11">
        <v>13391174</v>
      </c>
      <c r="I2278" s="11" t="s">
        <v>5941</v>
      </c>
      <c r="J2278" s="11" t="s">
        <v>11185</v>
      </c>
      <c r="K2278" s="11" t="s">
        <v>11186</v>
      </c>
      <c r="L2278" s="11" t="s">
        <v>11187</v>
      </c>
      <c r="M2278" s="11" t="s">
        <v>11188</v>
      </c>
      <c r="N2278" s="11">
        <v>5796</v>
      </c>
      <c r="O2278" s="11">
        <v>908</v>
      </c>
      <c r="P2278" s="11">
        <v>0</v>
      </c>
      <c r="Q2278" s="11" t="s">
        <v>11189</v>
      </c>
      <c r="R2278" s="14" t="s">
        <v>11190</v>
      </c>
      <c r="S2278" s="11">
        <v>177</v>
      </c>
      <c r="T2278" s="11" t="s">
        <v>39</v>
      </c>
      <c r="U2278" s="11" t="s">
        <v>40</v>
      </c>
      <c r="V2278" s="11" t="s">
        <v>96</v>
      </c>
      <c r="W2278" s="11">
        <v>20000000</v>
      </c>
      <c r="X2278" s="11">
        <v>2006</v>
      </c>
      <c r="Y2278" s="11">
        <v>249</v>
      </c>
      <c r="Z2278" s="11">
        <v>6.3</v>
      </c>
      <c r="AA2278" s="11">
        <v>2.35</v>
      </c>
      <c r="AB2278" s="11">
        <v>0</v>
      </c>
      <c r="AC2278" s="11"/>
      <c r="AD2278" s="11" t="str">
        <f>IFERROR(__xludf.DUMMYFUNCTION("""COMPUTED_VALUE"""),"Nicholas Tse")</f>
        <v>Nicholas Tse</v>
      </c>
      <c r="AE2278" s="11"/>
    </row>
    <row r="2279" customHeight="1" spans="1:31">
      <c r="A2279" s="12" t="s">
        <v>30</v>
      </c>
      <c r="B2279" s="12" t="s">
        <v>1199</v>
      </c>
      <c r="C2279" s="12">
        <v>149</v>
      </c>
      <c r="D2279" s="12">
        <v>101</v>
      </c>
      <c r="E2279" s="12">
        <v>176</v>
      </c>
      <c r="F2279" s="12">
        <v>83</v>
      </c>
      <c r="G2279" s="12">
        <v>3000</v>
      </c>
      <c r="H2279" s="12">
        <v>12987647</v>
      </c>
      <c r="I2279" s="12" t="s">
        <v>11191</v>
      </c>
      <c r="J2279" s="12" t="s">
        <v>503</v>
      </c>
      <c r="K2279" s="12" t="s">
        <v>423</v>
      </c>
      <c r="L2279" s="12" t="s">
        <v>7966</v>
      </c>
      <c r="M2279" s="12" t="s">
        <v>11192</v>
      </c>
      <c r="N2279" s="12">
        <v>24019</v>
      </c>
      <c r="O2279" s="12">
        <v>3431</v>
      </c>
      <c r="P2279" s="12">
        <v>2</v>
      </c>
      <c r="Q2279" s="12" t="s">
        <v>11193</v>
      </c>
      <c r="R2279" s="15" t="s">
        <v>11194</v>
      </c>
      <c r="S2279" s="12">
        <v>199</v>
      </c>
      <c r="T2279" s="12" t="s">
        <v>39</v>
      </c>
      <c r="U2279" s="12" t="s">
        <v>58</v>
      </c>
      <c r="V2279" s="12" t="s">
        <v>586</v>
      </c>
      <c r="W2279" s="12">
        <v>30000000</v>
      </c>
      <c r="X2279" s="12">
        <v>2002</v>
      </c>
      <c r="Y2279" s="12">
        <v>268</v>
      </c>
      <c r="Z2279" s="12">
        <v>7.1</v>
      </c>
      <c r="AA2279" s="12">
        <v>2.35</v>
      </c>
      <c r="AB2279" s="12">
        <v>983</v>
      </c>
      <c r="AC2279" s="12"/>
      <c r="AD2279" s="12" t="str">
        <f>IFERROR(__xludf.DUMMYFUNCTION("""COMPUTED_VALUE"""),"Holly Valance")</f>
        <v>Holly Valance</v>
      </c>
      <c r="AE2279" s="12"/>
    </row>
    <row r="2280" customHeight="1" spans="1:31">
      <c r="A2280" s="11" t="s">
        <v>30</v>
      </c>
      <c r="B2280" s="11" t="s">
        <v>42</v>
      </c>
      <c r="C2280" s="11">
        <v>156</v>
      </c>
      <c r="D2280" s="11">
        <v>102</v>
      </c>
      <c r="E2280" s="11">
        <v>563</v>
      </c>
      <c r="F2280" s="11">
        <v>385</v>
      </c>
      <c r="G2280" s="11">
        <v>12000</v>
      </c>
      <c r="H2280" s="11">
        <v>12469811</v>
      </c>
      <c r="I2280" s="11" t="s">
        <v>2528</v>
      </c>
      <c r="J2280" s="11" t="s">
        <v>705</v>
      </c>
      <c r="K2280" s="11" t="s">
        <v>8062</v>
      </c>
      <c r="L2280" s="11" t="s">
        <v>1741</v>
      </c>
      <c r="M2280" s="11" t="s">
        <v>11195</v>
      </c>
      <c r="N2280" s="11">
        <v>69172</v>
      </c>
      <c r="O2280" s="11">
        <v>13156</v>
      </c>
      <c r="P2280" s="11">
        <v>1</v>
      </c>
      <c r="Q2280" s="11" t="s">
        <v>11196</v>
      </c>
      <c r="R2280" s="14" t="s">
        <v>11197</v>
      </c>
      <c r="S2280" s="11">
        <v>316</v>
      </c>
      <c r="T2280" s="11" t="s">
        <v>39</v>
      </c>
      <c r="U2280" s="11" t="s">
        <v>40</v>
      </c>
      <c r="V2280" s="11" t="s">
        <v>586</v>
      </c>
      <c r="W2280" s="11">
        <v>22000000</v>
      </c>
      <c r="X2280" s="11">
        <v>2005</v>
      </c>
      <c r="Y2280" s="11">
        <v>442</v>
      </c>
      <c r="Z2280" s="11">
        <v>6.6</v>
      </c>
      <c r="AA2280" s="11">
        <v>1.85</v>
      </c>
      <c r="AB2280" s="11">
        <v>0</v>
      </c>
      <c r="AC2280" s="11"/>
      <c r="AD2280" s="11" t="str">
        <f>IFERROR(__xludf.DUMMYFUNCTION("""COMPUTED_VALUE"""),"Sarah Carter")</f>
        <v>Sarah Carter</v>
      </c>
      <c r="AE2280" s="11"/>
    </row>
    <row r="2281" customHeight="1" spans="1:31">
      <c r="A2281" s="12" t="s">
        <v>748</v>
      </c>
      <c r="B2281" s="12" t="s">
        <v>4357</v>
      </c>
      <c r="C2281" s="12">
        <v>64</v>
      </c>
      <c r="D2281" s="12">
        <v>94</v>
      </c>
      <c r="E2281" s="12">
        <v>394</v>
      </c>
      <c r="F2281" s="12">
        <v>565</v>
      </c>
      <c r="G2281" s="12">
        <v>922</v>
      </c>
      <c r="H2281" s="12">
        <v>12398628</v>
      </c>
      <c r="I2281" s="12" t="s">
        <v>11198</v>
      </c>
      <c r="J2281" s="12" t="s">
        <v>6158</v>
      </c>
      <c r="K2281" s="12" t="s">
        <v>35</v>
      </c>
      <c r="L2281" s="12" t="s">
        <v>4847</v>
      </c>
      <c r="M2281" s="12" t="s">
        <v>11199</v>
      </c>
      <c r="N2281" s="12">
        <v>21542</v>
      </c>
      <c r="O2281" s="12">
        <v>2880</v>
      </c>
      <c r="P2281" s="12">
        <v>2</v>
      </c>
      <c r="Q2281" s="12" t="s">
        <v>11200</v>
      </c>
      <c r="R2281" s="15" t="s">
        <v>11201</v>
      </c>
      <c r="S2281" s="12">
        <v>88</v>
      </c>
      <c r="T2281" s="12" t="s">
        <v>39</v>
      </c>
      <c r="U2281" s="12" t="s">
        <v>40</v>
      </c>
      <c r="V2281" s="12" t="s">
        <v>586</v>
      </c>
      <c r="W2281" s="12">
        <v>20000000</v>
      </c>
      <c r="X2281" s="12">
        <v>2002</v>
      </c>
      <c r="Y2281" s="12">
        <v>855</v>
      </c>
      <c r="Z2281" s="12">
        <v>6.1</v>
      </c>
      <c r="AA2281" s="12">
        <v>2.35</v>
      </c>
      <c r="AB2281" s="12">
        <v>977</v>
      </c>
      <c r="AC2281" s="12"/>
      <c r="AD2281" s="12" t="str">
        <f>IFERROR(__xludf.DUMMYFUNCTION("""COMPUTED_VALUE"""),"Jaycee Chan")</f>
        <v>Jaycee Chan</v>
      </c>
      <c r="AE2281" s="12"/>
    </row>
    <row r="2282" customHeight="1" spans="1:31">
      <c r="A2282" s="11" t="s">
        <v>30</v>
      </c>
      <c r="B2282" s="11" t="s">
        <v>4402</v>
      </c>
      <c r="C2282" s="11">
        <v>210</v>
      </c>
      <c r="D2282" s="11">
        <v>102</v>
      </c>
      <c r="E2282" s="11">
        <v>192</v>
      </c>
      <c r="F2282" s="11">
        <v>31</v>
      </c>
      <c r="G2282" s="11">
        <v>346</v>
      </c>
      <c r="H2282" s="11">
        <v>13214030</v>
      </c>
      <c r="I2282" s="11" t="s">
        <v>2490</v>
      </c>
      <c r="J2282" s="11" t="s">
        <v>916</v>
      </c>
      <c r="K2282" s="11" t="s">
        <v>11202</v>
      </c>
      <c r="L2282" s="11" t="s">
        <v>11203</v>
      </c>
      <c r="M2282" s="11" t="s">
        <v>11204</v>
      </c>
      <c r="N2282" s="11">
        <v>60516</v>
      </c>
      <c r="O2282" s="11">
        <v>500</v>
      </c>
      <c r="P2282" s="11">
        <v>3</v>
      </c>
      <c r="Q2282" s="11" t="s">
        <v>11205</v>
      </c>
      <c r="R2282" s="14" t="s">
        <v>11206</v>
      </c>
      <c r="S2282" s="11">
        <v>147</v>
      </c>
      <c r="T2282" s="11" t="s">
        <v>39</v>
      </c>
      <c r="U2282" s="11" t="s">
        <v>40</v>
      </c>
      <c r="V2282" s="11" t="s">
        <v>41</v>
      </c>
      <c r="W2282" s="11">
        <v>20000000</v>
      </c>
      <c r="X2282" s="11">
        <v>2008</v>
      </c>
      <c r="Y2282" s="11">
        <v>41</v>
      </c>
      <c r="Z2282" s="11">
        <v>6.7</v>
      </c>
      <c r="AA2282" s="11">
        <v>1.85</v>
      </c>
      <c r="AB2282" s="11">
        <v>0</v>
      </c>
      <c r="AC2282" s="11"/>
      <c r="AD2282" s="11" t="str">
        <f>IFERROR(__xludf.DUMMYFUNCTION("""COMPUTED_VALUE"""),"Louise Bourgoin")</f>
        <v>Louise Bourgoin</v>
      </c>
      <c r="AE2282" s="11"/>
    </row>
    <row r="2283" customHeight="1" spans="1:31">
      <c r="A2283" s="12" t="s">
        <v>30</v>
      </c>
      <c r="B2283" s="12" t="s">
        <v>2067</v>
      </c>
      <c r="C2283" s="12">
        <v>113</v>
      </c>
      <c r="D2283" s="12">
        <v>108</v>
      </c>
      <c r="E2283" s="12">
        <v>212</v>
      </c>
      <c r="F2283" s="12">
        <v>347</v>
      </c>
      <c r="G2283" s="12">
        <v>969</v>
      </c>
      <c r="H2283" s="12">
        <v>12232937</v>
      </c>
      <c r="I2283" s="12" t="s">
        <v>334</v>
      </c>
      <c r="J2283" s="12" t="s">
        <v>11207</v>
      </c>
      <c r="K2283" s="12" t="s">
        <v>4557</v>
      </c>
      <c r="L2283" s="12" t="s">
        <v>11208</v>
      </c>
      <c r="M2283" s="12" t="s">
        <v>11209</v>
      </c>
      <c r="N2283" s="12">
        <v>22823</v>
      </c>
      <c r="O2283" s="12">
        <v>2799</v>
      </c>
      <c r="P2283" s="12">
        <v>1</v>
      </c>
      <c r="Q2283" s="12" t="s">
        <v>11210</v>
      </c>
      <c r="R2283" s="15" t="s">
        <v>11211</v>
      </c>
      <c r="S2283" s="12">
        <v>113</v>
      </c>
      <c r="T2283" s="12" t="s">
        <v>39</v>
      </c>
      <c r="U2283" s="12" t="s">
        <v>40</v>
      </c>
      <c r="V2283" s="12" t="s">
        <v>41</v>
      </c>
      <c r="W2283" s="12">
        <v>22000000</v>
      </c>
      <c r="X2283" s="12">
        <v>2009</v>
      </c>
      <c r="Y2283" s="12">
        <v>794</v>
      </c>
      <c r="Z2283" s="12">
        <v>5.6</v>
      </c>
      <c r="AA2283" s="12">
        <v>2.35</v>
      </c>
      <c r="AB2283" s="12">
        <v>0</v>
      </c>
      <c r="AC2283" s="12"/>
      <c r="AD2283" s="12" t="str">
        <f>IFERROR(__xludf.DUMMYFUNCTION("""COMPUTED_VALUE"""),"Sandrine Kiberlain")</f>
        <v>Sandrine Kiberlain</v>
      </c>
      <c r="AE2283" s="12"/>
    </row>
    <row r="2284" customHeight="1" spans="1:31">
      <c r="A2284" s="11" t="s">
        <v>30</v>
      </c>
      <c r="B2284" s="11" t="s">
        <v>571</v>
      </c>
      <c r="C2284" s="11">
        <v>390</v>
      </c>
      <c r="D2284" s="11">
        <v>116</v>
      </c>
      <c r="E2284" s="11">
        <v>198</v>
      </c>
      <c r="F2284" s="11">
        <v>884</v>
      </c>
      <c r="G2284" s="11">
        <v>17000</v>
      </c>
      <c r="H2284" s="11">
        <v>12134420</v>
      </c>
      <c r="I2284" s="11" t="s">
        <v>5979</v>
      </c>
      <c r="J2284" s="11" t="s">
        <v>490</v>
      </c>
      <c r="K2284" s="11" t="s">
        <v>4452</v>
      </c>
      <c r="L2284" s="11" t="s">
        <v>573</v>
      </c>
      <c r="M2284" s="11" t="s">
        <v>11212</v>
      </c>
      <c r="N2284" s="11">
        <v>92237</v>
      </c>
      <c r="O2284" s="11">
        <v>20258</v>
      </c>
      <c r="P2284" s="11">
        <v>0</v>
      </c>
      <c r="Q2284" s="11" t="s">
        <v>11213</v>
      </c>
      <c r="R2284" s="14" t="s">
        <v>11214</v>
      </c>
      <c r="S2284" s="11">
        <v>366</v>
      </c>
      <c r="T2284" s="11" t="s">
        <v>39</v>
      </c>
      <c r="U2284" s="11" t="s">
        <v>58</v>
      </c>
      <c r="V2284" s="11" t="s">
        <v>586</v>
      </c>
      <c r="W2284" s="11">
        <v>20000000</v>
      </c>
      <c r="X2284" s="11">
        <v>2010</v>
      </c>
      <c r="Y2284" s="11">
        <v>1000</v>
      </c>
      <c r="Z2284" s="11">
        <v>7.2</v>
      </c>
      <c r="AA2284" s="11">
        <v>2.35</v>
      </c>
      <c r="AB2284" s="11">
        <v>25000</v>
      </c>
      <c r="AC2284" s="11"/>
      <c r="AD2284" s="11" t="str">
        <f>IFERROR(__xludf.DUMMYFUNCTION("""COMPUTED_VALUE"""),"Kad Merad")</f>
        <v>Kad Merad</v>
      </c>
      <c r="AE2284" s="11"/>
    </row>
    <row r="2285" customHeight="1" spans="1:31">
      <c r="A2285" s="12" t="s">
        <v>30</v>
      </c>
      <c r="B2285" s="12" t="s">
        <v>11215</v>
      </c>
      <c r="C2285" s="12">
        <v>5</v>
      </c>
      <c r="D2285" s="12">
        <v>93</v>
      </c>
      <c r="E2285" s="12">
        <v>18</v>
      </c>
      <c r="F2285" s="12">
        <v>181</v>
      </c>
      <c r="G2285" s="12">
        <v>400</v>
      </c>
      <c r="H2285" s="12">
        <v>11784000</v>
      </c>
      <c r="I2285" s="12" t="s">
        <v>8998</v>
      </c>
      <c r="J2285" s="12" t="s">
        <v>3432</v>
      </c>
      <c r="K2285" s="12" t="s">
        <v>11216</v>
      </c>
      <c r="L2285" s="12" t="s">
        <v>11217</v>
      </c>
      <c r="M2285" s="12" t="s">
        <v>11218</v>
      </c>
      <c r="N2285" s="12">
        <v>6701</v>
      </c>
      <c r="O2285" s="12">
        <v>1151</v>
      </c>
      <c r="P2285" s="12">
        <v>0</v>
      </c>
      <c r="Q2285" s="12" t="s">
        <v>11219</v>
      </c>
      <c r="R2285" s="15" t="s">
        <v>11220</v>
      </c>
      <c r="S2285" s="12">
        <v>26</v>
      </c>
      <c r="T2285" s="12" t="s">
        <v>39</v>
      </c>
      <c r="U2285" s="12" t="s">
        <v>40</v>
      </c>
      <c r="V2285" s="12" t="s">
        <v>96</v>
      </c>
      <c r="W2285" s="12">
        <v>20000000</v>
      </c>
      <c r="X2285" s="12">
        <v>1994</v>
      </c>
      <c r="Y2285" s="12">
        <v>220</v>
      </c>
      <c r="Z2285" s="12">
        <v>4.3</v>
      </c>
      <c r="AA2285" s="12">
        <v>1.85</v>
      </c>
      <c r="AB2285" s="12">
        <v>444</v>
      </c>
      <c r="AC2285" s="12"/>
      <c r="AD2285" s="12" t="str">
        <f>IFERROR(__xludf.DUMMYFUNCTION("""COMPUTED_VALUE"""),"Kathy Baker")</f>
        <v>Kathy Baker</v>
      </c>
      <c r="AE2285" s="12"/>
    </row>
    <row r="2286" customHeight="1" spans="1:31">
      <c r="A2286" s="11" t="s">
        <v>30</v>
      </c>
      <c r="B2286" s="11" t="s">
        <v>1556</v>
      </c>
      <c r="C2286" s="11">
        <v>248</v>
      </c>
      <c r="D2286" s="11">
        <v>102</v>
      </c>
      <c r="E2286" s="11">
        <v>1000</v>
      </c>
      <c r="F2286" s="11">
        <v>270</v>
      </c>
      <c r="G2286" s="11">
        <v>734</v>
      </c>
      <c r="H2286" s="11">
        <v>11169531</v>
      </c>
      <c r="I2286" s="11" t="s">
        <v>1672</v>
      </c>
      <c r="J2286" s="11" t="s">
        <v>7259</v>
      </c>
      <c r="K2286" s="11" t="s">
        <v>2883</v>
      </c>
      <c r="L2286" s="11" t="s">
        <v>11221</v>
      </c>
      <c r="M2286" s="11" t="s">
        <v>11222</v>
      </c>
      <c r="N2286" s="11">
        <v>79855</v>
      </c>
      <c r="O2286" s="11">
        <v>1778</v>
      </c>
      <c r="P2286" s="11">
        <v>2</v>
      </c>
      <c r="Q2286" s="11" t="s">
        <v>11223</v>
      </c>
      <c r="R2286" s="14" t="s">
        <v>11224</v>
      </c>
      <c r="S2286" s="11">
        <v>235</v>
      </c>
      <c r="T2286" s="11" t="s">
        <v>39</v>
      </c>
      <c r="U2286" s="11" t="s">
        <v>58</v>
      </c>
      <c r="V2286" s="11" t="s">
        <v>41</v>
      </c>
      <c r="W2286" s="11">
        <v>20000000</v>
      </c>
      <c r="X2286" s="11">
        <v>2008</v>
      </c>
      <c r="Y2286" s="11">
        <v>563</v>
      </c>
      <c r="Z2286" s="11">
        <v>6.4</v>
      </c>
      <c r="AA2286" s="11">
        <v>2.35</v>
      </c>
      <c r="AB2286" s="11">
        <v>0</v>
      </c>
      <c r="AC2286" s="11"/>
      <c r="AD2286" s="11" t="str">
        <f>IFERROR(__xludf.DUMMYFUNCTION("""COMPUTED_VALUE"""),"Patrick Lyster")</f>
        <v>Patrick Lyster</v>
      </c>
      <c r="AE2286" s="11"/>
    </row>
    <row r="2287" customHeight="1" spans="1:31">
      <c r="A2287" s="12" t="s">
        <v>30</v>
      </c>
      <c r="B2287" s="12" t="s">
        <v>5648</v>
      </c>
      <c r="C2287" s="12">
        <v>137</v>
      </c>
      <c r="D2287" s="12">
        <v>103</v>
      </c>
      <c r="E2287" s="12">
        <v>350</v>
      </c>
      <c r="F2287" s="12">
        <v>99</v>
      </c>
      <c r="G2287" s="12">
        <v>5000</v>
      </c>
      <c r="H2287" s="12">
        <v>11034436</v>
      </c>
      <c r="I2287" s="12" t="s">
        <v>11225</v>
      </c>
      <c r="J2287" s="12" t="s">
        <v>2398</v>
      </c>
      <c r="K2287" s="12" t="s">
        <v>11226</v>
      </c>
      <c r="L2287" s="12" t="s">
        <v>11227</v>
      </c>
      <c r="M2287" s="12" t="s">
        <v>11228</v>
      </c>
      <c r="N2287" s="12">
        <v>13505</v>
      </c>
      <c r="O2287" s="12">
        <v>5637</v>
      </c>
      <c r="P2287" s="12">
        <v>1</v>
      </c>
      <c r="Q2287" s="12" t="s">
        <v>11229</v>
      </c>
      <c r="R2287" s="15" t="s">
        <v>11230</v>
      </c>
      <c r="S2287" s="12">
        <v>180</v>
      </c>
      <c r="T2287" s="12" t="s">
        <v>39</v>
      </c>
      <c r="U2287" s="12" t="s">
        <v>58</v>
      </c>
      <c r="V2287" s="12" t="s">
        <v>586</v>
      </c>
      <c r="W2287" s="12">
        <v>20000000</v>
      </c>
      <c r="X2287" s="12">
        <v>2005</v>
      </c>
      <c r="Y2287" s="12">
        <v>378</v>
      </c>
      <c r="Z2287" s="12">
        <v>7.1</v>
      </c>
      <c r="AA2287" s="12">
        <v>1.85</v>
      </c>
      <c r="AB2287" s="12">
        <v>0</v>
      </c>
      <c r="AC2287" s="12"/>
      <c r="AD2287" s="12" t="str">
        <f>IFERROR(__xludf.DUMMYFUNCTION("""COMPUTED_VALUE"""),"Tyrone Keogh")</f>
        <v>Tyrone Keogh</v>
      </c>
      <c r="AE2287" s="12"/>
    </row>
    <row r="2288" customHeight="1" spans="1:31">
      <c r="A2288" s="11" t="s">
        <v>30</v>
      </c>
      <c r="B2288" s="11" t="s">
        <v>9948</v>
      </c>
      <c r="C2288" s="11">
        <v>214</v>
      </c>
      <c r="D2288" s="11">
        <v>115</v>
      </c>
      <c r="E2288" s="11">
        <v>214</v>
      </c>
      <c r="F2288" s="11">
        <v>968</v>
      </c>
      <c r="G2288" s="11">
        <v>14000</v>
      </c>
      <c r="H2288" s="11">
        <v>12626905</v>
      </c>
      <c r="I2288" s="11" t="s">
        <v>464</v>
      </c>
      <c r="J2288" s="11" t="s">
        <v>216</v>
      </c>
      <c r="K2288" s="11" t="s">
        <v>4838</v>
      </c>
      <c r="L2288" s="11" t="s">
        <v>381</v>
      </c>
      <c r="M2288" s="11" t="s">
        <v>11231</v>
      </c>
      <c r="N2288" s="11">
        <v>32567</v>
      </c>
      <c r="O2288" s="11">
        <v>27214</v>
      </c>
      <c r="P2288" s="11">
        <v>3</v>
      </c>
      <c r="Q2288" s="11" t="s">
        <v>11232</v>
      </c>
      <c r="R2288" s="14" t="s">
        <v>11233</v>
      </c>
      <c r="S2288" s="11">
        <v>106</v>
      </c>
      <c r="T2288" s="11" t="s">
        <v>39</v>
      </c>
      <c r="U2288" s="11" t="s">
        <v>40</v>
      </c>
      <c r="V2288" s="11" t="s">
        <v>586</v>
      </c>
      <c r="W2288" s="11">
        <v>20000000</v>
      </c>
      <c r="X2288" s="11">
        <v>2016</v>
      </c>
      <c r="Y2288" s="11">
        <v>12000</v>
      </c>
      <c r="Z2288" s="11">
        <v>6.3</v>
      </c>
      <c r="AA2288" s="11">
        <v>2.35</v>
      </c>
      <c r="AB2288" s="11">
        <v>0</v>
      </c>
      <c r="AC2288" s="11"/>
      <c r="AD2288" s="11" t="str">
        <f>IFERROR(__xludf.DUMMYFUNCTION("""COMPUTED_VALUE"""),"Jemima West")</f>
        <v>Jemima West</v>
      </c>
      <c r="AE2288" s="11"/>
    </row>
    <row r="2289" customHeight="1" spans="1:31">
      <c r="A2289" s="12" t="s">
        <v>30</v>
      </c>
      <c r="B2289" s="12" t="s">
        <v>4004</v>
      </c>
      <c r="C2289" s="12">
        <v>104</v>
      </c>
      <c r="D2289" s="12">
        <v>96</v>
      </c>
      <c r="E2289" s="12">
        <v>11000</v>
      </c>
      <c r="F2289" s="12">
        <v>223</v>
      </c>
      <c r="G2289" s="12">
        <v>11000</v>
      </c>
      <c r="H2289" s="12">
        <v>10569071</v>
      </c>
      <c r="I2289" s="12" t="s">
        <v>1672</v>
      </c>
      <c r="J2289" s="12" t="s">
        <v>4004</v>
      </c>
      <c r="K2289" s="12" t="s">
        <v>11234</v>
      </c>
      <c r="L2289" s="12" t="s">
        <v>7955</v>
      </c>
      <c r="M2289" s="12" t="s">
        <v>11235</v>
      </c>
      <c r="N2289" s="12">
        <v>35586</v>
      </c>
      <c r="O2289" s="12">
        <v>11867</v>
      </c>
      <c r="P2289" s="12">
        <v>2</v>
      </c>
      <c r="Q2289" s="12" t="s">
        <v>11236</v>
      </c>
      <c r="R2289" s="15" t="s">
        <v>11237</v>
      </c>
      <c r="S2289" s="12">
        <v>131</v>
      </c>
      <c r="T2289" s="12" t="s">
        <v>39</v>
      </c>
      <c r="U2289" s="12" t="s">
        <v>40</v>
      </c>
      <c r="V2289" s="12" t="s">
        <v>586</v>
      </c>
      <c r="W2289" s="12">
        <v>20000000</v>
      </c>
      <c r="X2289" s="12">
        <v>1997</v>
      </c>
      <c r="Y2289" s="12">
        <v>474</v>
      </c>
      <c r="Z2289" s="12">
        <v>7.4</v>
      </c>
      <c r="AA2289" s="12">
        <v>1.85</v>
      </c>
      <c r="AB2289" s="12">
        <v>0</v>
      </c>
      <c r="AC2289" s="12"/>
      <c r="AD2289" s="12" t="str">
        <f>IFERROR(__xludf.DUMMYFUNCTION("""COMPUTED_VALUE"""),"Konstantin Khabenskiy")</f>
        <v>Konstantin Khabenskiy</v>
      </c>
      <c r="AE2289" s="12"/>
    </row>
    <row r="2290" customHeight="1" spans="1:31">
      <c r="A2290" s="11" t="s">
        <v>30</v>
      </c>
      <c r="B2290" s="11" t="s">
        <v>11238</v>
      </c>
      <c r="C2290" s="11">
        <v>81</v>
      </c>
      <c r="D2290" s="11">
        <v>98</v>
      </c>
      <c r="E2290" s="11">
        <v>4</v>
      </c>
      <c r="F2290" s="11">
        <v>677</v>
      </c>
      <c r="G2290" s="11">
        <v>2000</v>
      </c>
      <c r="H2290" s="11">
        <v>10544143</v>
      </c>
      <c r="I2290" s="11" t="s">
        <v>1681</v>
      </c>
      <c r="J2290" s="11" t="s">
        <v>6393</v>
      </c>
      <c r="K2290" s="11" t="s">
        <v>430</v>
      </c>
      <c r="L2290" s="11" t="s">
        <v>11239</v>
      </c>
      <c r="M2290" s="11" t="s">
        <v>11240</v>
      </c>
      <c r="N2290" s="11">
        <v>16372</v>
      </c>
      <c r="O2290" s="11">
        <v>4843</v>
      </c>
      <c r="P2290" s="11">
        <v>2</v>
      </c>
      <c r="Q2290" s="11" t="s">
        <v>11241</v>
      </c>
      <c r="R2290" s="14" t="s">
        <v>11242</v>
      </c>
      <c r="S2290" s="11">
        <v>121</v>
      </c>
      <c r="T2290" s="11" t="s">
        <v>39</v>
      </c>
      <c r="U2290" s="11" t="s">
        <v>371</v>
      </c>
      <c r="V2290" s="11" t="s">
        <v>41</v>
      </c>
      <c r="W2290" s="11">
        <v>20000000</v>
      </c>
      <c r="X2290" s="11">
        <v>1999</v>
      </c>
      <c r="Y2290" s="11">
        <v>1000</v>
      </c>
      <c r="Z2290" s="11">
        <v>6.1</v>
      </c>
      <c r="AA2290" s="11">
        <v>1.37</v>
      </c>
      <c r="AB2290" s="11">
        <v>311</v>
      </c>
      <c r="AC2290" s="11"/>
      <c r="AD2290" s="11" t="str">
        <f>IFERROR(__xludf.DUMMYFUNCTION("""COMPUTED_VALUE"""),"Sergey Garmash")</f>
        <v>Sergey Garmash</v>
      </c>
      <c r="AE2290" s="11"/>
    </row>
    <row r="2291" customHeight="1" spans="1:31">
      <c r="A2291" s="12" t="s">
        <v>30</v>
      </c>
      <c r="B2291" s="12" t="s">
        <v>9711</v>
      </c>
      <c r="C2291" s="12">
        <v>175</v>
      </c>
      <c r="D2291" s="12">
        <v>101</v>
      </c>
      <c r="E2291" s="12">
        <v>53</v>
      </c>
      <c r="F2291" s="12">
        <v>580</v>
      </c>
      <c r="G2291" s="12">
        <v>14000</v>
      </c>
      <c r="H2291" s="12">
        <v>13650738</v>
      </c>
      <c r="I2291" s="12" t="s">
        <v>2528</v>
      </c>
      <c r="J2291" s="12" t="s">
        <v>655</v>
      </c>
      <c r="K2291" s="12" t="s">
        <v>237</v>
      </c>
      <c r="L2291" s="12" t="s">
        <v>11243</v>
      </c>
      <c r="M2291" s="12" t="s">
        <v>11244</v>
      </c>
      <c r="N2291" s="12">
        <v>61360</v>
      </c>
      <c r="O2291" s="12">
        <v>16926</v>
      </c>
      <c r="P2291" s="12">
        <v>1</v>
      </c>
      <c r="Q2291" s="12" t="s">
        <v>11245</v>
      </c>
      <c r="R2291" s="15" t="s">
        <v>11246</v>
      </c>
      <c r="S2291" s="12">
        <v>129</v>
      </c>
      <c r="T2291" s="12" t="s">
        <v>39</v>
      </c>
      <c r="U2291" s="12" t="s">
        <v>40</v>
      </c>
      <c r="V2291" s="12" t="s">
        <v>586</v>
      </c>
      <c r="W2291" s="12">
        <v>20000000</v>
      </c>
      <c r="X2291" s="12">
        <v>2015</v>
      </c>
      <c r="Y2291" s="12">
        <v>1000</v>
      </c>
      <c r="Z2291" s="12">
        <v>6.6</v>
      </c>
      <c r="AA2291" s="12">
        <v>2.35</v>
      </c>
      <c r="AB2291" s="12">
        <v>25000</v>
      </c>
      <c r="AC2291" s="12"/>
      <c r="AD2291" s="12" t="str">
        <f>IFERROR(__xludf.DUMMYFUNCTION("""COMPUTED_VALUE"""),"Chiara Caselli")</f>
        <v>Chiara Caselli</v>
      </c>
      <c r="AE2291" s="12"/>
    </row>
    <row r="2292" customHeight="1" spans="1:31">
      <c r="A2292" s="11" t="s">
        <v>30</v>
      </c>
      <c r="B2292" s="11" t="s">
        <v>5051</v>
      </c>
      <c r="C2292" s="11">
        <v>20</v>
      </c>
      <c r="D2292" s="11">
        <v>106</v>
      </c>
      <c r="E2292" s="11">
        <v>277</v>
      </c>
      <c r="F2292" s="11">
        <v>383</v>
      </c>
      <c r="G2292" s="11">
        <v>22000</v>
      </c>
      <c r="H2292" s="11">
        <v>10555348</v>
      </c>
      <c r="I2292" s="11" t="s">
        <v>1009</v>
      </c>
      <c r="J2292" s="11" t="s">
        <v>1746</v>
      </c>
      <c r="K2292" s="11" t="s">
        <v>1376</v>
      </c>
      <c r="L2292" s="11" t="s">
        <v>11247</v>
      </c>
      <c r="M2292" s="11" t="s">
        <v>11248</v>
      </c>
      <c r="N2292" s="11">
        <v>17349</v>
      </c>
      <c r="O2292" s="11">
        <v>24887</v>
      </c>
      <c r="P2292" s="11">
        <v>0</v>
      </c>
      <c r="Q2292" s="11" t="s">
        <v>11249</v>
      </c>
      <c r="R2292" s="14" t="s">
        <v>11250</v>
      </c>
      <c r="S2292" s="11">
        <v>42</v>
      </c>
      <c r="T2292" s="11" t="s">
        <v>39</v>
      </c>
      <c r="U2292" s="11" t="s">
        <v>40</v>
      </c>
      <c r="V2292" s="11" t="s">
        <v>41</v>
      </c>
      <c r="W2292" s="11">
        <v>20000000</v>
      </c>
      <c r="X2292" s="11">
        <v>1989</v>
      </c>
      <c r="Y2292" s="11">
        <v>2000</v>
      </c>
      <c r="Z2292" s="11">
        <v>6</v>
      </c>
      <c r="AA2292" s="11">
        <v>2.35</v>
      </c>
      <c r="AB2292" s="11">
        <v>855</v>
      </c>
      <c r="AC2292" s="11"/>
      <c r="AD2292" s="11" t="str">
        <f>IFERROR(__xludf.DUMMYFUNCTION("""COMPUTED_VALUE"""),"Birgitte Hjort Sørensen")</f>
        <v>Birgitte Hjort Sørensen</v>
      </c>
      <c r="AE2292" s="11"/>
    </row>
    <row r="2293" customHeight="1" spans="1:31">
      <c r="A2293" s="12" t="s">
        <v>30</v>
      </c>
      <c r="B2293" s="12" t="s">
        <v>4004</v>
      </c>
      <c r="C2293" s="12">
        <v>69</v>
      </c>
      <c r="D2293" s="12">
        <v>101</v>
      </c>
      <c r="E2293" s="12">
        <v>11000</v>
      </c>
      <c r="F2293" s="12">
        <v>2</v>
      </c>
      <c r="G2293" s="12">
        <v>1000</v>
      </c>
      <c r="H2293" s="12">
        <v>9714482</v>
      </c>
      <c r="I2293" s="12" t="s">
        <v>11251</v>
      </c>
      <c r="J2293" s="12" t="s">
        <v>3752</v>
      </c>
      <c r="K2293" s="12" t="s">
        <v>2263</v>
      </c>
      <c r="L2293" s="12" t="s">
        <v>11252</v>
      </c>
      <c r="M2293" s="12" t="s">
        <v>11253</v>
      </c>
      <c r="N2293" s="12">
        <v>30083</v>
      </c>
      <c r="O2293" s="12">
        <v>1614</v>
      </c>
      <c r="P2293" s="12">
        <v>0</v>
      </c>
      <c r="Q2293" s="12" t="s">
        <v>11254</v>
      </c>
      <c r="R2293" s="15" t="s">
        <v>11255</v>
      </c>
      <c r="S2293" s="12">
        <v>140</v>
      </c>
      <c r="T2293" s="12" t="s">
        <v>39</v>
      </c>
      <c r="U2293" s="12" t="s">
        <v>40</v>
      </c>
      <c r="V2293" s="12" t="s">
        <v>586</v>
      </c>
      <c r="W2293" s="12">
        <v>20000000</v>
      </c>
      <c r="X2293" s="12">
        <v>1996</v>
      </c>
      <c r="Y2293" s="12">
        <v>612</v>
      </c>
      <c r="Z2293" s="12">
        <v>6.8</v>
      </c>
      <c r="AA2293" s="12">
        <v>1.85</v>
      </c>
      <c r="AB2293" s="12">
        <v>0</v>
      </c>
      <c r="AC2293" s="12"/>
      <c r="AD2293" s="12" t="str">
        <f>IFERROR(__xludf.DUMMYFUNCTION("""COMPUTED_VALUE"""),"Hana Mae Lee")</f>
        <v>Hana Mae Lee</v>
      </c>
      <c r="AE2293" s="12"/>
    </row>
    <row r="2294" customHeight="1" spans="1:31">
      <c r="A2294" s="11" t="s">
        <v>30</v>
      </c>
      <c r="B2294" s="11" t="s">
        <v>1955</v>
      </c>
      <c r="C2294" s="11">
        <v>168</v>
      </c>
      <c r="D2294" s="11">
        <v>87</v>
      </c>
      <c r="E2294" s="11">
        <v>0</v>
      </c>
      <c r="F2294" s="11">
        <v>548</v>
      </c>
      <c r="G2294" s="11">
        <v>22000</v>
      </c>
      <c r="H2294" s="11">
        <v>8579684</v>
      </c>
      <c r="I2294" s="11" t="s">
        <v>1672</v>
      </c>
      <c r="J2294" s="11" t="s">
        <v>149</v>
      </c>
      <c r="K2294" s="11" t="s">
        <v>360</v>
      </c>
      <c r="L2294" s="11" t="s">
        <v>5794</v>
      </c>
      <c r="M2294" s="11" t="s">
        <v>10564</v>
      </c>
      <c r="N2294" s="11">
        <v>89547</v>
      </c>
      <c r="O2294" s="11">
        <v>24324</v>
      </c>
      <c r="P2294" s="11">
        <v>0</v>
      </c>
      <c r="Q2294" s="11" t="s">
        <v>10565</v>
      </c>
      <c r="R2294" s="14" t="s">
        <v>10566</v>
      </c>
      <c r="S2294" s="11">
        <v>199</v>
      </c>
      <c r="T2294" s="11" t="s">
        <v>39</v>
      </c>
      <c r="U2294" s="11" t="s">
        <v>40</v>
      </c>
      <c r="V2294" s="11" t="s">
        <v>586</v>
      </c>
      <c r="W2294" s="11">
        <v>9000000</v>
      </c>
      <c r="X2294" s="11">
        <v>2007</v>
      </c>
      <c r="Y2294" s="11">
        <v>557</v>
      </c>
      <c r="Z2294" s="11">
        <v>7.4</v>
      </c>
      <c r="AA2294" s="11">
        <v>1.85</v>
      </c>
      <c r="AB2294" s="11">
        <v>0</v>
      </c>
      <c r="AC2294" s="11"/>
      <c r="AD2294" s="11" t="str">
        <f>IFERROR(__xludf.DUMMYFUNCTION("""COMPUTED_VALUE"""),"Dallas Roberts")</f>
        <v>Dallas Roberts</v>
      </c>
      <c r="AE2294" s="11"/>
    </row>
    <row r="2295" customHeight="1" spans="1:31">
      <c r="A2295" s="12" t="s">
        <v>30</v>
      </c>
      <c r="B2295" s="12" t="s">
        <v>333</v>
      </c>
      <c r="C2295" s="12">
        <v>166</v>
      </c>
      <c r="D2295" s="12">
        <v>111</v>
      </c>
      <c r="E2295" s="12">
        <v>0</v>
      </c>
      <c r="F2295" s="12">
        <v>725</v>
      </c>
      <c r="G2295" s="12">
        <v>856</v>
      </c>
      <c r="H2295" s="12">
        <v>9525276</v>
      </c>
      <c r="I2295" s="12" t="s">
        <v>334</v>
      </c>
      <c r="J2295" s="12" t="s">
        <v>3660</v>
      </c>
      <c r="K2295" s="12" t="s">
        <v>1640</v>
      </c>
      <c r="L2295" s="12" t="s">
        <v>11256</v>
      </c>
      <c r="M2295" s="12" t="s">
        <v>11257</v>
      </c>
      <c r="N2295" s="12">
        <v>60156</v>
      </c>
      <c r="O2295" s="12">
        <v>3309</v>
      </c>
      <c r="P2295" s="12">
        <v>0</v>
      </c>
      <c r="Q2295" s="12" t="s">
        <v>11258</v>
      </c>
      <c r="R2295" s="15" t="s">
        <v>11259</v>
      </c>
      <c r="S2295" s="12">
        <v>299</v>
      </c>
      <c r="T2295" s="12" t="s">
        <v>39</v>
      </c>
      <c r="U2295" s="12" t="s">
        <v>40</v>
      </c>
      <c r="V2295" s="12" t="s">
        <v>586</v>
      </c>
      <c r="W2295" s="12">
        <v>20000000</v>
      </c>
      <c r="X2295" s="12">
        <v>2007</v>
      </c>
      <c r="Y2295" s="12">
        <v>742</v>
      </c>
      <c r="Z2295" s="12">
        <v>6.8</v>
      </c>
      <c r="AA2295" s="12">
        <v>2.35</v>
      </c>
      <c r="AB2295" s="12">
        <v>0</v>
      </c>
      <c r="AC2295" s="12"/>
      <c r="AD2295" s="12" t="str">
        <f>IFERROR(__xludf.DUMMYFUNCTION("""COMPUTED_VALUE"""),"Tyler Hilton")</f>
        <v>Tyler Hilton</v>
      </c>
      <c r="AE2295" s="12"/>
    </row>
    <row r="2296" customHeight="1" spans="1:31">
      <c r="A2296" s="11" t="s">
        <v>30</v>
      </c>
      <c r="B2296" s="11" t="s">
        <v>7110</v>
      </c>
      <c r="C2296" s="11">
        <v>160</v>
      </c>
      <c r="D2296" s="11">
        <v>99</v>
      </c>
      <c r="E2296" s="11">
        <v>52</v>
      </c>
      <c r="F2296" s="11">
        <v>148</v>
      </c>
      <c r="G2296" s="11">
        <v>22000</v>
      </c>
      <c r="H2296" s="11">
        <v>8855646</v>
      </c>
      <c r="I2296" s="11" t="s">
        <v>7043</v>
      </c>
      <c r="J2296" s="11" t="s">
        <v>1746</v>
      </c>
      <c r="K2296" s="11" t="s">
        <v>303</v>
      </c>
      <c r="L2296" s="11" t="s">
        <v>11260</v>
      </c>
      <c r="M2296" s="11" t="s">
        <v>11261</v>
      </c>
      <c r="N2296" s="11">
        <v>49855</v>
      </c>
      <c r="O2296" s="11">
        <v>23409</v>
      </c>
      <c r="P2296" s="11">
        <v>1</v>
      </c>
      <c r="Q2296" s="11" t="s">
        <v>11262</v>
      </c>
      <c r="R2296" s="14" t="s">
        <v>11263</v>
      </c>
      <c r="S2296" s="11">
        <v>117</v>
      </c>
      <c r="T2296" s="11" t="s">
        <v>39</v>
      </c>
      <c r="U2296" s="11" t="s">
        <v>40</v>
      </c>
      <c r="V2296" s="11" t="s">
        <v>41</v>
      </c>
      <c r="W2296" s="11">
        <v>21000000</v>
      </c>
      <c r="X2296" s="11">
        <v>2009</v>
      </c>
      <c r="Y2296" s="11">
        <v>1000</v>
      </c>
      <c r="Z2296" s="11">
        <v>7.2</v>
      </c>
      <c r="AA2296" s="11">
        <v>2.35</v>
      </c>
      <c r="AB2296" s="11">
        <v>10000</v>
      </c>
      <c r="AC2296" s="11"/>
      <c r="AD2296" s="11" t="str">
        <f>IFERROR(__xludf.DUMMYFUNCTION("""COMPUTED_VALUE"""),"Amanda Schull")</f>
        <v>Amanda Schull</v>
      </c>
      <c r="AE2296" s="11"/>
    </row>
    <row r="2297" customHeight="1" spans="1:31">
      <c r="A2297" s="12" t="s">
        <v>30</v>
      </c>
      <c r="B2297" s="12" t="s">
        <v>11264</v>
      </c>
      <c r="C2297" s="12">
        <v>32</v>
      </c>
      <c r="D2297" s="12">
        <v>88</v>
      </c>
      <c r="E2297" s="12">
        <v>84</v>
      </c>
      <c r="F2297" s="12">
        <v>177</v>
      </c>
      <c r="G2297" s="12">
        <v>650</v>
      </c>
      <c r="H2297" s="12">
        <v>9109322</v>
      </c>
      <c r="I2297" s="12" t="s">
        <v>2658</v>
      </c>
      <c r="J2297" s="12" t="s">
        <v>11265</v>
      </c>
      <c r="K2297" s="12" t="s">
        <v>11266</v>
      </c>
      <c r="L2297" s="12" t="s">
        <v>11267</v>
      </c>
      <c r="M2297" s="12" t="s">
        <v>11268</v>
      </c>
      <c r="N2297" s="12">
        <v>25371</v>
      </c>
      <c r="O2297" s="12">
        <v>1343</v>
      </c>
      <c r="P2297" s="12">
        <v>3</v>
      </c>
      <c r="Q2297" s="12" t="s">
        <v>11269</v>
      </c>
      <c r="R2297" s="15" t="s">
        <v>11270</v>
      </c>
      <c r="S2297" s="12">
        <v>129</v>
      </c>
      <c r="T2297" s="12" t="s">
        <v>39</v>
      </c>
      <c r="U2297" s="12" t="s">
        <v>768</v>
      </c>
      <c r="V2297" s="12" t="s">
        <v>96</v>
      </c>
      <c r="W2297" s="12">
        <v>20000000</v>
      </c>
      <c r="X2297" s="12">
        <v>2004</v>
      </c>
      <c r="Y2297" s="12">
        <v>384</v>
      </c>
      <c r="Z2297" s="12">
        <v>1.9</v>
      </c>
      <c r="AA2297" s="12">
        <v>2.35</v>
      </c>
      <c r="AB2297" s="12">
        <v>0</v>
      </c>
      <c r="AC2297" s="12"/>
      <c r="AD2297" s="12" t="str">
        <f>IFERROR(__xludf.DUMMYFUNCTION("""COMPUTED_VALUE"""),"Kirk Acevedo")</f>
        <v>Kirk Acevedo</v>
      </c>
      <c r="AE2297" s="12"/>
    </row>
    <row r="2298" customHeight="1" spans="1:31">
      <c r="A2298" s="11" t="s">
        <v>30</v>
      </c>
      <c r="B2298" s="11" t="s">
        <v>2657</v>
      </c>
      <c r="C2298" s="11">
        <v>72</v>
      </c>
      <c r="D2298" s="11">
        <v>83</v>
      </c>
      <c r="E2298" s="11">
        <v>10</v>
      </c>
      <c r="F2298" s="11">
        <v>69</v>
      </c>
      <c r="G2298" s="11">
        <v>688</v>
      </c>
      <c r="H2298" s="11">
        <v>8326035</v>
      </c>
      <c r="I2298" s="11" t="s">
        <v>1753</v>
      </c>
      <c r="J2298" s="11" t="s">
        <v>1281</v>
      </c>
      <c r="K2298" s="11" t="s">
        <v>11271</v>
      </c>
      <c r="L2298" s="11" t="s">
        <v>11272</v>
      </c>
      <c r="M2298" s="11" t="s">
        <v>11273</v>
      </c>
      <c r="N2298" s="11">
        <v>21933</v>
      </c>
      <c r="O2298" s="11">
        <v>1019</v>
      </c>
      <c r="P2298" s="11">
        <v>2</v>
      </c>
      <c r="Q2298" s="11" t="s">
        <v>11274</v>
      </c>
      <c r="R2298" s="14" t="s">
        <v>11275</v>
      </c>
      <c r="S2298" s="11">
        <v>76</v>
      </c>
      <c r="T2298" s="11" t="s">
        <v>39</v>
      </c>
      <c r="U2298" s="11" t="s">
        <v>768</v>
      </c>
      <c r="V2298" s="11" t="s">
        <v>41</v>
      </c>
      <c r="W2298" s="11">
        <v>33000000</v>
      </c>
      <c r="X2298" s="11">
        <v>2005</v>
      </c>
      <c r="Y2298" s="11">
        <v>99</v>
      </c>
      <c r="Z2298" s="11">
        <v>5.5</v>
      </c>
      <c r="AA2298" s="11">
        <v>1.85</v>
      </c>
      <c r="AB2298" s="11">
        <v>676</v>
      </c>
      <c r="AC2298" s="11"/>
      <c r="AD2298" s="11" t="str">
        <f>IFERROR(__xludf.DUMMYFUNCTION("""COMPUTED_VALUE"""),"Milos Forman")</f>
        <v>Milos Forman</v>
      </c>
      <c r="AE2298" s="11"/>
    </row>
    <row r="2299" customHeight="1" spans="1:31">
      <c r="A2299" s="12" t="s">
        <v>30</v>
      </c>
      <c r="B2299" s="12" t="s">
        <v>2657</v>
      </c>
      <c r="C2299" s="12">
        <v>53</v>
      </c>
      <c r="D2299" s="12">
        <v>91</v>
      </c>
      <c r="E2299" s="12">
        <v>10</v>
      </c>
      <c r="F2299" s="12">
        <v>436</v>
      </c>
      <c r="G2299" s="12">
        <v>716</v>
      </c>
      <c r="H2299" s="12">
        <v>8104069</v>
      </c>
      <c r="I2299" s="12" t="s">
        <v>1753</v>
      </c>
      <c r="J2299" s="12" t="s">
        <v>731</v>
      </c>
      <c r="K2299" s="12" t="s">
        <v>979</v>
      </c>
      <c r="L2299" s="12" t="s">
        <v>806</v>
      </c>
      <c r="M2299" s="12" t="s">
        <v>11276</v>
      </c>
      <c r="N2299" s="12">
        <v>9785</v>
      </c>
      <c r="O2299" s="12">
        <v>2700</v>
      </c>
      <c r="P2299" s="12">
        <v>3</v>
      </c>
      <c r="Q2299" s="12" t="s">
        <v>11277</v>
      </c>
      <c r="R2299" s="15" t="s">
        <v>11278</v>
      </c>
      <c r="S2299" s="12">
        <v>26</v>
      </c>
      <c r="T2299" s="12" t="s">
        <v>39</v>
      </c>
      <c r="U2299" s="12" t="s">
        <v>40</v>
      </c>
      <c r="V2299" s="12" t="s">
        <v>41</v>
      </c>
      <c r="W2299" s="12">
        <v>20000000</v>
      </c>
      <c r="X2299" s="12">
        <v>2007</v>
      </c>
      <c r="Y2299" s="12">
        <v>537</v>
      </c>
      <c r="Z2299" s="12">
        <v>4.5</v>
      </c>
      <c r="AA2299" s="12">
        <v>1.85</v>
      </c>
      <c r="AB2299" s="12">
        <v>233</v>
      </c>
      <c r="AC2299" s="12"/>
      <c r="AD2299" s="12" t="str">
        <f>IFERROR(__xludf.DUMMYFUNCTION("""COMPUTED_VALUE"""),"Bradley Pierce")</f>
        <v>Bradley Pierce</v>
      </c>
      <c r="AE2299" s="12"/>
    </row>
    <row r="2300" customHeight="1" spans="1:31">
      <c r="A2300" s="11" t="s">
        <v>30</v>
      </c>
      <c r="B2300" s="11" t="s">
        <v>3658</v>
      </c>
      <c r="C2300" s="11">
        <v>76</v>
      </c>
      <c r="D2300" s="11">
        <v>108</v>
      </c>
      <c r="E2300" s="11">
        <v>54</v>
      </c>
      <c r="F2300" s="11">
        <v>463</v>
      </c>
      <c r="G2300" s="11">
        <v>786</v>
      </c>
      <c r="H2300" s="11">
        <v>8054280</v>
      </c>
      <c r="I2300" s="11" t="s">
        <v>3090</v>
      </c>
      <c r="J2300" s="11" t="s">
        <v>6173</v>
      </c>
      <c r="K2300" s="11" t="s">
        <v>11279</v>
      </c>
      <c r="L2300" s="11" t="s">
        <v>4947</v>
      </c>
      <c r="M2300" s="11" t="s">
        <v>11280</v>
      </c>
      <c r="N2300" s="11">
        <v>6838</v>
      </c>
      <c r="O2300" s="11">
        <v>2730</v>
      </c>
      <c r="P2300" s="11">
        <v>3</v>
      </c>
      <c r="Q2300" s="11" t="s">
        <v>11281</v>
      </c>
      <c r="R2300" s="14" t="s">
        <v>11282</v>
      </c>
      <c r="S2300" s="11">
        <v>117</v>
      </c>
      <c r="T2300" s="11" t="s">
        <v>39</v>
      </c>
      <c r="U2300" s="11" t="s">
        <v>40</v>
      </c>
      <c r="V2300" s="11" t="s">
        <v>41</v>
      </c>
      <c r="W2300" s="11">
        <v>20000000</v>
      </c>
      <c r="X2300" s="11">
        <v>2004</v>
      </c>
      <c r="Y2300" s="11">
        <v>567</v>
      </c>
      <c r="Z2300" s="11">
        <v>6.3</v>
      </c>
      <c r="AA2300" s="11">
        <v>1.85</v>
      </c>
      <c r="AB2300" s="11">
        <v>924</v>
      </c>
      <c r="AC2300" s="11"/>
      <c r="AD2300" s="11" t="str">
        <f>IFERROR(__xludf.DUMMYFUNCTION("""COMPUTED_VALUE"""),"Mark Williams")</f>
        <v>Mark Williams</v>
      </c>
      <c r="AE2300" s="11"/>
    </row>
    <row r="2301" customHeight="1" spans="1:31">
      <c r="A2301" s="12" t="s">
        <v>30</v>
      </c>
      <c r="B2301" s="12" t="s">
        <v>2441</v>
      </c>
      <c r="C2301" s="12">
        <v>15</v>
      </c>
      <c r="D2301" s="12">
        <v>154</v>
      </c>
      <c r="E2301" s="12">
        <v>189</v>
      </c>
      <c r="F2301" s="12">
        <v>388</v>
      </c>
      <c r="G2301" s="12">
        <v>683</v>
      </c>
      <c r="H2301" s="16"/>
      <c r="I2301" s="12" t="s">
        <v>11283</v>
      </c>
      <c r="J2301" s="12" t="s">
        <v>11284</v>
      </c>
      <c r="K2301" s="12" t="s">
        <v>11285</v>
      </c>
      <c r="L2301" s="12" t="s">
        <v>2444</v>
      </c>
      <c r="M2301" s="12" t="s">
        <v>11286</v>
      </c>
      <c r="N2301" s="12">
        <v>3454</v>
      </c>
      <c r="O2301" s="12">
        <v>2172</v>
      </c>
      <c r="P2301" s="12">
        <v>0</v>
      </c>
      <c r="Q2301" s="12" t="s">
        <v>11287</v>
      </c>
      <c r="R2301" s="15" t="s">
        <v>11288</v>
      </c>
      <c r="S2301" s="12">
        <v>64</v>
      </c>
      <c r="T2301" s="12" t="s">
        <v>39</v>
      </c>
      <c r="U2301" s="12" t="s">
        <v>40</v>
      </c>
      <c r="V2301" s="12" t="s">
        <v>278</v>
      </c>
      <c r="W2301" s="12">
        <v>20000000</v>
      </c>
      <c r="X2301" s="12">
        <v>1969</v>
      </c>
      <c r="Y2301" s="12">
        <v>641</v>
      </c>
      <c r="Z2301" s="12">
        <v>7</v>
      </c>
      <c r="AA2301" s="12">
        <v>2.35</v>
      </c>
      <c r="AB2301" s="12">
        <v>548</v>
      </c>
      <c r="AC2301" s="12"/>
      <c r="AD2301" s="12" t="str">
        <f>IFERROR(__xludf.DUMMYFUNCTION("""COMPUTED_VALUE"""),"Dick Clark")</f>
        <v>Dick Clark</v>
      </c>
      <c r="AE2301" s="12"/>
    </row>
    <row r="2302" customHeight="1" spans="1:31">
      <c r="A2302" s="11" t="s">
        <v>30</v>
      </c>
      <c r="B2302" s="11" t="s">
        <v>7077</v>
      </c>
      <c r="C2302" s="11">
        <v>401</v>
      </c>
      <c r="D2302" s="11">
        <v>148</v>
      </c>
      <c r="E2302" s="11">
        <v>0</v>
      </c>
      <c r="F2302" s="11">
        <v>175</v>
      </c>
      <c r="G2302" s="11">
        <v>204</v>
      </c>
      <c r="H2302" s="11">
        <v>8093318</v>
      </c>
      <c r="I2302" s="11" t="s">
        <v>11289</v>
      </c>
      <c r="J2302" s="11" t="s">
        <v>11290</v>
      </c>
      <c r="K2302" s="11" t="s">
        <v>11291</v>
      </c>
      <c r="L2302" s="11" t="s">
        <v>11292</v>
      </c>
      <c r="M2302" s="11" t="s">
        <v>11293</v>
      </c>
      <c r="N2302" s="11">
        <v>61935</v>
      </c>
      <c r="O2302" s="11">
        <v>707</v>
      </c>
      <c r="P2302" s="11">
        <v>0</v>
      </c>
      <c r="Q2302" s="11" t="s">
        <v>11294</v>
      </c>
      <c r="R2302" s="14" t="s">
        <v>11295</v>
      </c>
      <c r="S2302" s="11">
        <v>242</v>
      </c>
      <c r="T2302" s="11" t="s">
        <v>39</v>
      </c>
      <c r="U2302" s="11" t="s">
        <v>40</v>
      </c>
      <c r="V2302" s="11" t="s">
        <v>586</v>
      </c>
      <c r="W2302" s="11">
        <v>20000000</v>
      </c>
      <c r="X2302" s="11">
        <v>2014</v>
      </c>
      <c r="Y2302" s="11">
        <v>178</v>
      </c>
      <c r="Z2302" s="11">
        <v>6.7</v>
      </c>
      <c r="AA2302" s="11">
        <v>1.85</v>
      </c>
      <c r="AB2302" s="11">
        <v>18000</v>
      </c>
      <c r="AC2302" s="11"/>
      <c r="AD2302" s="11" t="str">
        <f>IFERROR(__xludf.DUMMYFUNCTION("""COMPUTED_VALUE"""),"David Julian Hirsh")</f>
        <v>David Julian Hirsh</v>
      </c>
      <c r="AE2302" s="11"/>
    </row>
    <row r="2303" customHeight="1" spans="1:31">
      <c r="A2303" s="12" t="s">
        <v>30</v>
      </c>
      <c r="B2303" s="12" t="s">
        <v>11296</v>
      </c>
      <c r="C2303" s="12">
        <v>31</v>
      </c>
      <c r="D2303" s="12">
        <v>77</v>
      </c>
      <c r="E2303" s="12">
        <v>3</v>
      </c>
      <c r="F2303" s="12">
        <v>593</v>
      </c>
      <c r="G2303" s="12">
        <v>787</v>
      </c>
      <c r="H2303" s="12">
        <v>7382993</v>
      </c>
      <c r="I2303" s="12" t="s">
        <v>271</v>
      </c>
      <c r="J2303" s="12" t="s">
        <v>6597</v>
      </c>
      <c r="K2303" s="12" t="s">
        <v>4886</v>
      </c>
      <c r="L2303" s="12" t="s">
        <v>5004</v>
      </c>
      <c r="M2303" s="12" t="s">
        <v>11297</v>
      </c>
      <c r="N2303" s="12">
        <v>3851</v>
      </c>
      <c r="O2303" s="12">
        <v>2185</v>
      </c>
      <c r="P2303" s="12">
        <v>0</v>
      </c>
      <c r="Q2303" s="12" t="s">
        <v>11298</v>
      </c>
      <c r="R2303" s="15" t="s">
        <v>11299</v>
      </c>
      <c r="S2303" s="12">
        <v>114</v>
      </c>
      <c r="T2303" s="12" t="s">
        <v>39</v>
      </c>
      <c r="U2303" s="12" t="s">
        <v>40</v>
      </c>
      <c r="V2303" s="12" t="s">
        <v>278</v>
      </c>
      <c r="W2303" s="12">
        <v>20000000</v>
      </c>
      <c r="X2303" s="12">
        <v>2006</v>
      </c>
      <c r="Y2303" s="12">
        <v>690</v>
      </c>
      <c r="Z2303" s="12">
        <v>2.8</v>
      </c>
      <c r="AA2303" s="12">
        <v>1.85</v>
      </c>
      <c r="AB2303" s="12">
        <v>346</v>
      </c>
      <c r="AC2303" s="12"/>
      <c r="AD2303" s="12" t="str">
        <f>IFERROR(__xludf.DUMMYFUNCTION("""COMPUTED_VALUE"""),"Jennifer Hall")</f>
        <v>Jennifer Hall</v>
      </c>
      <c r="AE2303" s="12"/>
    </row>
    <row r="2304" customHeight="1" spans="1:31">
      <c r="A2304" s="11" t="s">
        <v>30</v>
      </c>
      <c r="B2304" s="11" t="s">
        <v>11300</v>
      </c>
      <c r="C2304" s="11">
        <v>65</v>
      </c>
      <c r="D2304" s="11">
        <v>110</v>
      </c>
      <c r="E2304" s="11">
        <v>9</v>
      </c>
      <c r="F2304" s="11">
        <v>826</v>
      </c>
      <c r="G2304" s="11">
        <v>997</v>
      </c>
      <c r="H2304" s="11">
        <v>8888355</v>
      </c>
      <c r="I2304" s="11" t="s">
        <v>6200</v>
      </c>
      <c r="J2304" s="11" t="s">
        <v>11301</v>
      </c>
      <c r="K2304" s="11" t="s">
        <v>11302</v>
      </c>
      <c r="L2304" s="11" t="s">
        <v>5953</v>
      </c>
      <c r="M2304" s="11" t="s">
        <v>11303</v>
      </c>
      <c r="N2304" s="11">
        <v>7894</v>
      </c>
      <c r="O2304" s="11">
        <v>3177</v>
      </c>
      <c r="P2304" s="11">
        <v>19</v>
      </c>
      <c r="Q2304" s="11" t="s">
        <v>11304</v>
      </c>
      <c r="R2304" s="14" t="s">
        <v>11305</v>
      </c>
      <c r="S2304" s="11">
        <v>25</v>
      </c>
      <c r="T2304" s="11" t="s">
        <v>39</v>
      </c>
      <c r="U2304" s="11" t="s">
        <v>40</v>
      </c>
      <c r="V2304" s="11" t="s">
        <v>41</v>
      </c>
      <c r="W2304" s="11">
        <v>20000000</v>
      </c>
      <c r="X2304" s="11">
        <v>2013</v>
      </c>
      <c r="Y2304" s="11">
        <v>941</v>
      </c>
      <c r="Z2304" s="11">
        <v>5</v>
      </c>
      <c r="AA2304" s="11">
        <v>1.85</v>
      </c>
      <c r="AB2304" s="11">
        <v>0</v>
      </c>
      <c r="AC2304" s="11"/>
      <c r="AD2304" s="11" t="str">
        <f>IFERROR(__xludf.DUMMYFUNCTION("""COMPUTED_VALUE"""),"Hannah Spearritt")</f>
        <v>Hannah Spearritt</v>
      </c>
      <c r="AE2304" s="11"/>
    </row>
    <row r="2305" customHeight="1" spans="1:31">
      <c r="A2305" s="12" t="s">
        <v>30</v>
      </c>
      <c r="B2305" s="16"/>
      <c r="C2305" s="12">
        <v>26</v>
      </c>
      <c r="D2305" s="12">
        <v>42</v>
      </c>
      <c r="E2305" s="16"/>
      <c r="F2305" s="12">
        <v>376</v>
      </c>
      <c r="G2305" s="12">
        <v>1000</v>
      </c>
      <c r="H2305" s="16"/>
      <c r="I2305" s="12" t="s">
        <v>2142</v>
      </c>
      <c r="J2305" s="12" t="s">
        <v>3378</v>
      </c>
      <c r="K2305" s="12" t="s">
        <v>4440</v>
      </c>
      <c r="L2305" s="12" t="s">
        <v>11306</v>
      </c>
      <c r="M2305" s="12" t="s">
        <v>11307</v>
      </c>
      <c r="N2305" s="12">
        <v>15612</v>
      </c>
      <c r="O2305" s="12">
        <v>2240</v>
      </c>
      <c r="P2305" s="12">
        <v>1</v>
      </c>
      <c r="Q2305" s="16"/>
      <c r="R2305" s="15" t="s">
        <v>11308</v>
      </c>
      <c r="S2305" s="12">
        <v>29</v>
      </c>
      <c r="T2305" s="12" t="s">
        <v>39</v>
      </c>
      <c r="U2305" s="12" t="s">
        <v>40</v>
      </c>
      <c r="V2305" s="12" t="s">
        <v>1127</v>
      </c>
      <c r="W2305" s="16"/>
      <c r="X2305" s="16"/>
      <c r="Y2305" s="12">
        <v>440</v>
      </c>
      <c r="Z2305" s="12">
        <v>7.5</v>
      </c>
      <c r="AA2305" s="12">
        <v>16</v>
      </c>
      <c r="AB2305" s="12">
        <v>0</v>
      </c>
      <c r="AC2305" s="12"/>
      <c r="AD2305" s="12" t="str">
        <f>IFERROR(__xludf.DUMMYFUNCTION("""COMPUTED_VALUE"""),"Jason Lewis")</f>
        <v>Jason Lewis</v>
      </c>
      <c r="AE2305" s="12"/>
    </row>
    <row r="2306" customHeight="1" spans="1:31">
      <c r="A2306" s="11" t="s">
        <v>30</v>
      </c>
      <c r="B2306" s="11" t="s">
        <v>5703</v>
      </c>
      <c r="C2306" s="11">
        <v>45</v>
      </c>
      <c r="D2306" s="11">
        <v>83</v>
      </c>
      <c r="E2306" s="11">
        <v>119</v>
      </c>
      <c r="F2306" s="11">
        <v>633</v>
      </c>
      <c r="G2306" s="11">
        <v>885</v>
      </c>
      <c r="H2306" s="11">
        <v>7001720</v>
      </c>
      <c r="I2306" s="11" t="s">
        <v>2787</v>
      </c>
      <c r="J2306" s="11" t="s">
        <v>11309</v>
      </c>
      <c r="K2306" s="11" t="s">
        <v>11310</v>
      </c>
      <c r="L2306" s="11" t="s">
        <v>11311</v>
      </c>
      <c r="M2306" s="11" t="s">
        <v>11312</v>
      </c>
      <c r="N2306" s="11">
        <v>8560</v>
      </c>
      <c r="O2306" s="11">
        <v>2907</v>
      </c>
      <c r="P2306" s="11">
        <v>2</v>
      </c>
      <c r="Q2306" s="11" t="s">
        <v>11313</v>
      </c>
      <c r="R2306" s="14" t="s">
        <v>11314</v>
      </c>
      <c r="S2306" s="11">
        <v>205</v>
      </c>
      <c r="T2306" s="11" t="s">
        <v>39</v>
      </c>
      <c r="U2306" s="11" t="s">
        <v>40</v>
      </c>
      <c r="V2306" s="11" t="s">
        <v>41</v>
      </c>
      <c r="W2306" s="11">
        <v>12000000</v>
      </c>
      <c r="X2306" s="11">
        <v>2008</v>
      </c>
      <c r="Y2306" s="11">
        <v>816</v>
      </c>
      <c r="Z2306" s="11">
        <v>4.3</v>
      </c>
      <c r="AA2306" s="11">
        <v>2.35</v>
      </c>
      <c r="AB2306" s="11">
        <v>797</v>
      </c>
      <c r="AC2306" s="11"/>
      <c r="AD2306" s="11" t="str">
        <f>IFERROR(__xludf.DUMMYFUNCTION("""COMPUTED_VALUE"""),"Angel Coulby")</f>
        <v>Angel Coulby</v>
      </c>
      <c r="AE2306" s="11"/>
    </row>
    <row r="2307" customHeight="1" spans="1:31">
      <c r="A2307" s="12" t="s">
        <v>30</v>
      </c>
      <c r="B2307" s="12" t="s">
        <v>4904</v>
      </c>
      <c r="C2307" s="12">
        <v>260</v>
      </c>
      <c r="D2307" s="12">
        <v>107</v>
      </c>
      <c r="E2307" s="12">
        <v>0</v>
      </c>
      <c r="F2307" s="12">
        <v>99</v>
      </c>
      <c r="G2307" s="12">
        <v>2000</v>
      </c>
      <c r="H2307" s="12">
        <v>7268659</v>
      </c>
      <c r="I2307" s="12" t="s">
        <v>422</v>
      </c>
      <c r="J2307" s="12" t="s">
        <v>5903</v>
      </c>
      <c r="K2307" s="12" t="s">
        <v>5856</v>
      </c>
      <c r="L2307" s="12" t="s">
        <v>11315</v>
      </c>
      <c r="M2307" s="12" t="s">
        <v>11316</v>
      </c>
      <c r="N2307" s="12">
        <v>59248</v>
      </c>
      <c r="O2307" s="12">
        <v>2848</v>
      </c>
      <c r="P2307" s="12">
        <v>7</v>
      </c>
      <c r="Q2307" s="12" t="s">
        <v>11317</v>
      </c>
      <c r="R2307" s="15" t="s">
        <v>11318</v>
      </c>
      <c r="S2307" s="12">
        <v>164</v>
      </c>
      <c r="T2307" s="12" t="s">
        <v>39</v>
      </c>
      <c r="U2307" s="12" t="s">
        <v>7171</v>
      </c>
      <c r="V2307" s="12" t="s">
        <v>586</v>
      </c>
      <c r="W2307" s="12">
        <v>20000000</v>
      </c>
      <c r="X2307" s="12">
        <v>2013</v>
      </c>
      <c r="Y2307" s="12">
        <v>749</v>
      </c>
      <c r="Z2307" s="12">
        <v>5.6</v>
      </c>
      <c r="AA2307" s="12">
        <v>1.85</v>
      </c>
      <c r="AB2307" s="12">
        <v>48000</v>
      </c>
      <c r="AC2307" s="12"/>
      <c r="AD2307" s="12" t="str">
        <f>IFERROR(__xludf.DUMMYFUNCTION("""COMPUTED_VALUE"""),"Scott Weinger")</f>
        <v>Scott Weinger</v>
      </c>
      <c r="AE2307" s="12"/>
    </row>
    <row r="2308" customHeight="1" spans="1:31">
      <c r="A2308" s="11" t="s">
        <v>30</v>
      </c>
      <c r="B2308" s="11" t="s">
        <v>11319</v>
      </c>
      <c r="C2308" s="11">
        <v>129</v>
      </c>
      <c r="D2308" s="11">
        <v>100</v>
      </c>
      <c r="E2308" s="11">
        <v>17</v>
      </c>
      <c r="F2308" s="11">
        <v>86</v>
      </c>
      <c r="G2308" s="11">
        <v>669</v>
      </c>
      <c r="H2308" s="11">
        <v>6852144</v>
      </c>
      <c r="I2308" s="11" t="s">
        <v>3171</v>
      </c>
      <c r="J2308" s="11" t="s">
        <v>7152</v>
      </c>
      <c r="K2308" s="11" t="s">
        <v>9122</v>
      </c>
      <c r="L2308" s="11" t="s">
        <v>11320</v>
      </c>
      <c r="M2308" s="11" t="s">
        <v>11321</v>
      </c>
      <c r="N2308" s="11">
        <v>15169</v>
      </c>
      <c r="O2308" s="11">
        <v>1267</v>
      </c>
      <c r="P2308" s="11">
        <v>0</v>
      </c>
      <c r="Q2308" s="11" t="s">
        <v>11322</v>
      </c>
      <c r="R2308" s="14" t="s">
        <v>11323</v>
      </c>
      <c r="S2308" s="11">
        <v>213</v>
      </c>
      <c r="T2308" s="11" t="s">
        <v>39</v>
      </c>
      <c r="U2308" s="11" t="s">
        <v>269</v>
      </c>
      <c r="V2308" s="11" t="s">
        <v>41</v>
      </c>
      <c r="W2308" s="11">
        <v>22000000</v>
      </c>
      <c r="X2308" s="11">
        <v>2003</v>
      </c>
      <c r="Y2308" s="11">
        <v>429</v>
      </c>
      <c r="Z2308" s="11">
        <v>6.2</v>
      </c>
      <c r="AA2308" s="11">
        <v>2.35</v>
      </c>
      <c r="AB2308" s="11">
        <v>0</v>
      </c>
      <c r="AC2308" s="11"/>
      <c r="AD2308" s="11" t="str">
        <f>IFERROR(__xludf.DUMMYFUNCTION("""COMPUTED_VALUE"""),"Neil Brown Jr.")</f>
        <v>Neil Brown Jr.</v>
      </c>
      <c r="AE2308" s="11"/>
    </row>
    <row r="2309" customHeight="1" spans="1:31">
      <c r="A2309" s="12" t="s">
        <v>30</v>
      </c>
      <c r="B2309" s="12" t="s">
        <v>9589</v>
      </c>
      <c r="C2309" s="12">
        <v>58</v>
      </c>
      <c r="D2309" s="12">
        <v>87</v>
      </c>
      <c r="E2309" s="12">
        <v>29</v>
      </c>
      <c r="F2309" s="12">
        <v>522</v>
      </c>
      <c r="G2309" s="12">
        <v>1000</v>
      </c>
      <c r="H2309" s="12">
        <v>6563357</v>
      </c>
      <c r="I2309" s="12" t="s">
        <v>4220</v>
      </c>
      <c r="J2309" s="12" t="s">
        <v>11324</v>
      </c>
      <c r="K2309" s="12" t="s">
        <v>4557</v>
      </c>
      <c r="L2309" s="12" t="s">
        <v>418</v>
      </c>
      <c r="M2309" s="12" t="s">
        <v>11325</v>
      </c>
      <c r="N2309" s="12">
        <v>18571</v>
      </c>
      <c r="O2309" s="12">
        <v>4218</v>
      </c>
      <c r="P2309" s="12">
        <v>4</v>
      </c>
      <c r="Q2309" s="12" t="s">
        <v>11326</v>
      </c>
      <c r="R2309" s="15" t="s">
        <v>11327</v>
      </c>
      <c r="S2309" s="12">
        <v>120</v>
      </c>
      <c r="T2309" s="12" t="s">
        <v>39</v>
      </c>
      <c r="U2309" s="12" t="s">
        <v>40</v>
      </c>
      <c r="V2309" s="12" t="s">
        <v>586</v>
      </c>
      <c r="W2309" s="12">
        <v>20000000</v>
      </c>
      <c r="X2309" s="12">
        <v>2008</v>
      </c>
      <c r="Y2309" s="12">
        <v>794</v>
      </c>
      <c r="Z2309" s="12">
        <v>5.3</v>
      </c>
      <c r="AA2309" s="12">
        <v>2.35</v>
      </c>
      <c r="AB2309" s="12">
        <v>847</v>
      </c>
      <c r="AC2309" s="12"/>
      <c r="AD2309" s="12" t="str">
        <f>IFERROR(__xludf.DUMMYFUNCTION("""COMPUTED_VALUE"""),"R. Marcos Taylor")</f>
        <v>R. Marcos Taylor</v>
      </c>
      <c r="AE2309" s="12"/>
    </row>
    <row r="2310" customHeight="1" spans="1:31">
      <c r="A2310" s="11" t="s">
        <v>30</v>
      </c>
      <c r="B2310" s="11" t="s">
        <v>11328</v>
      </c>
      <c r="C2310" s="11">
        <v>103</v>
      </c>
      <c r="D2310" s="11">
        <v>154</v>
      </c>
      <c r="E2310" s="11">
        <v>608</v>
      </c>
      <c r="F2310" s="11">
        <v>149</v>
      </c>
      <c r="G2310" s="11">
        <v>1000</v>
      </c>
      <c r="H2310" s="11">
        <v>6201757</v>
      </c>
      <c r="I2310" s="11" t="s">
        <v>11329</v>
      </c>
      <c r="J2310" s="11" t="s">
        <v>393</v>
      </c>
      <c r="K2310" s="11" t="s">
        <v>3448</v>
      </c>
      <c r="L2310" s="11" t="s">
        <v>11330</v>
      </c>
      <c r="M2310" s="11" t="s">
        <v>11331</v>
      </c>
      <c r="N2310" s="11">
        <v>10037</v>
      </c>
      <c r="O2310" s="11">
        <v>1690</v>
      </c>
      <c r="P2310" s="11">
        <v>1</v>
      </c>
      <c r="Q2310" s="11" t="s">
        <v>11332</v>
      </c>
      <c r="R2310" s="14" t="s">
        <v>11333</v>
      </c>
      <c r="S2310" s="11">
        <v>202</v>
      </c>
      <c r="T2310" s="11" t="s">
        <v>39</v>
      </c>
      <c r="U2310" s="11" t="s">
        <v>58</v>
      </c>
      <c r="V2310" s="11" t="s">
        <v>586</v>
      </c>
      <c r="W2310" s="11">
        <v>10000000</v>
      </c>
      <c r="X2310" s="11">
        <v>1999</v>
      </c>
      <c r="Y2310" s="11">
        <v>452</v>
      </c>
      <c r="Z2310" s="11">
        <v>7.4</v>
      </c>
      <c r="AA2310" s="11">
        <v>1.66</v>
      </c>
      <c r="AB2310" s="11">
        <v>608</v>
      </c>
      <c r="AC2310" s="11"/>
      <c r="AD2310" s="11" t="str">
        <f>IFERROR(__xludf.DUMMYFUNCTION("""COMPUTED_VALUE"""),"Amrish Puri")</f>
        <v>Amrish Puri</v>
      </c>
      <c r="AE2310" s="11"/>
    </row>
    <row r="2311" customHeight="1" spans="1:31">
      <c r="A2311" s="12" t="s">
        <v>30</v>
      </c>
      <c r="B2311" s="12" t="s">
        <v>11334</v>
      </c>
      <c r="C2311" s="12">
        <v>45</v>
      </c>
      <c r="D2311" s="12">
        <v>106</v>
      </c>
      <c r="E2311" s="12">
        <v>38</v>
      </c>
      <c r="F2311" s="12">
        <v>975</v>
      </c>
      <c r="G2311" s="12">
        <v>1000</v>
      </c>
      <c r="H2311" s="12">
        <v>6420319</v>
      </c>
      <c r="I2311" s="12" t="s">
        <v>3397</v>
      </c>
      <c r="J2311" s="12" t="s">
        <v>138</v>
      </c>
      <c r="K2311" s="12" t="s">
        <v>589</v>
      </c>
      <c r="L2311" s="12" t="s">
        <v>2524</v>
      </c>
      <c r="M2311" s="12" t="s">
        <v>11335</v>
      </c>
      <c r="N2311" s="12">
        <v>15978</v>
      </c>
      <c r="O2311" s="12">
        <v>5705</v>
      </c>
      <c r="P2311" s="12">
        <v>0</v>
      </c>
      <c r="Q2311" s="16"/>
      <c r="R2311" s="15" t="s">
        <v>11336</v>
      </c>
      <c r="S2311" s="12">
        <v>122</v>
      </c>
      <c r="T2311" s="12" t="s">
        <v>39</v>
      </c>
      <c r="U2311" s="12" t="s">
        <v>2914</v>
      </c>
      <c r="V2311" s="12" t="s">
        <v>41</v>
      </c>
      <c r="W2311" s="12">
        <v>20000000</v>
      </c>
      <c r="X2311" s="12">
        <v>2015</v>
      </c>
      <c r="Y2311" s="12">
        <v>1000</v>
      </c>
      <c r="Z2311" s="12">
        <v>7.4</v>
      </c>
      <c r="AA2311" s="12">
        <v>2.35</v>
      </c>
      <c r="AB2311" s="12">
        <v>15000</v>
      </c>
      <c r="AC2311" s="12"/>
      <c r="AD2311" s="12" t="str">
        <f>IFERROR(__xludf.DUMMYFUNCTION("""COMPUTED_VALUE"""),"John Sessions")</f>
        <v>John Sessions</v>
      </c>
      <c r="AE2311" s="12"/>
    </row>
    <row r="2312" customHeight="1" spans="1:31">
      <c r="A2312" s="11" t="s">
        <v>30</v>
      </c>
      <c r="B2312" s="11" t="s">
        <v>5404</v>
      </c>
      <c r="C2312" s="11">
        <v>345</v>
      </c>
      <c r="D2312" s="11">
        <v>99</v>
      </c>
      <c r="E2312" s="11">
        <v>0</v>
      </c>
      <c r="F2312" s="11">
        <v>691</v>
      </c>
      <c r="G2312" s="11">
        <v>13000</v>
      </c>
      <c r="H2312" s="11">
        <v>5702083</v>
      </c>
      <c r="I2312" s="11" t="s">
        <v>3582</v>
      </c>
      <c r="J2312" s="11" t="s">
        <v>459</v>
      </c>
      <c r="K2312" s="11" t="s">
        <v>2825</v>
      </c>
      <c r="L2312" s="11" t="s">
        <v>3417</v>
      </c>
      <c r="M2312" s="11" t="s">
        <v>11337</v>
      </c>
      <c r="N2312" s="11">
        <v>80617</v>
      </c>
      <c r="O2312" s="11">
        <v>23755</v>
      </c>
      <c r="P2312" s="11">
        <v>3</v>
      </c>
      <c r="Q2312" s="11" t="s">
        <v>11338</v>
      </c>
      <c r="R2312" s="14" t="s">
        <v>11339</v>
      </c>
      <c r="S2312" s="11">
        <v>190</v>
      </c>
      <c r="T2312" s="11" t="s">
        <v>39</v>
      </c>
      <c r="U2312" s="11" t="s">
        <v>58</v>
      </c>
      <c r="V2312" s="11" t="s">
        <v>586</v>
      </c>
      <c r="W2312" s="11">
        <v>15000000</v>
      </c>
      <c r="X2312" s="11">
        <v>2011</v>
      </c>
      <c r="Y2312" s="11">
        <v>10000</v>
      </c>
      <c r="Z2312" s="11">
        <v>6.5</v>
      </c>
      <c r="AA2312" s="11">
        <v>1.85</v>
      </c>
      <c r="AB2312" s="11">
        <v>36000</v>
      </c>
      <c r="AC2312" s="11"/>
      <c r="AD2312" s="11" t="str">
        <f>IFERROR(__xludf.DUMMYFUNCTION("""COMPUTED_VALUE"""),"Enrique Iglesias")</f>
        <v>Enrique Iglesias</v>
      </c>
      <c r="AE2312" s="11"/>
    </row>
    <row r="2313" customHeight="1" spans="1:31">
      <c r="A2313" s="12" t="s">
        <v>30</v>
      </c>
      <c r="B2313" s="12" t="s">
        <v>9163</v>
      </c>
      <c r="C2313" s="12">
        <v>232</v>
      </c>
      <c r="D2313" s="12">
        <v>100</v>
      </c>
      <c r="E2313" s="12">
        <v>0</v>
      </c>
      <c r="F2313" s="12">
        <v>407</v>
      </c>
      <c r="G2313" s="12">
        <v>21000</v>
      </c>
      <c r="H2313" s="12">
        <v>5480996</v>
      </c>
      <c r="I2313" s="12" t="s">
        <v>11340</v>
      </c>
      <c r="J2313" s="12" t="s">
        <v>99</v>
      </c>
      <c r="K2313" s="12" t="s">
        <v>588</v>
      </c>
      <c r="L2313" s="12" t="s">
        <v>3472</v>
      </c>
      <c r="M2313" s="12" t="s">
        <v>11341</v>
      </c>
      <c r="N2313" s="12">
        <v>89383</v>
      </c>
      <c r="O2313" s="12">
        <v>39507</v>
      </c>
      <c r="P2313" s="12">
        <v>0</v>
      </c>
      <c r="Q2313" s="12" t="s">
        <v>11342</v>
      </c>
      <c r="R2313" s="15" t="s">
        <v>11343</v>
      </c>
      <c r="S2313" s="12">
        <v>293</v>
      </c>
      <c r="T2313" s="12" t="s">
        <v>39</v>
      </c>
      <c r="U2313" s="12" t="s">
        <v>40</v>
      </c>
      <c r="V2313" s="12" t="s">
        <v>586</v>
      </c>
      <c r="W2313" s="12">
        <v>8700000</v>
      </c>
      <c r="X2313" s="12">
        <v>2006</v>
      </c>
      <c r="Y2313" s="12">
        <v>18000</v>
      </c>
      <c r="Z2313" s="12">
        <v>7.1</v>
      </c>
      <c r="AA2313" s="12">
        <v>1.85</v>
      </c>
      <c r="AB2313" s="12">
        <v>0</v>
      </c>
      <c r="AC2313" s="12"/>
      <c r="AD2313" s="12" t="str">
        <f>IFERROR(__xludf.DUMMYFUNCTION("""COMPUTED_VALUE"""),"Reginald VelJohnson")</f>
        <v>Reginald VelJohnson</v>
      </c>
      <c r="AE2313" s="12"/>
    </row>
    <row r="2314" customHeight="1" spans="1:31">
      <c r="A2314" s="11" t="s">
        <v>30</v>
      </c>
      <c r="B2314" s="11" t="s">
        <v>742</v>
      </c>
      <c r="C2314" s="11">
        <v>116</v>
      </c>
      <c r="D2314" s="11">
        <v>116</v>
      </c>
      <c r="E2314" s="11">
        <v>150</v>
      </c>
      <c r="F2314" s="11">
        <v>956</v>
      </c>
      <c r="G2314" s="11">
        <v>18000</v>
      </c>
      <c r="H2314" s="11">
        <v>6002756</v>
      </c>
      <c r="I2314" s="11" t="s">
        <v>1635</v>
      </c>
      <c r="J2314" s="11" t="s">
        <v>641</v>
      </c>
      <c r="K2314" s="11" t="s">
        <v>3745</v>
      </c>
      <c r="L2314" s="11" t="s">
        <v>2224</v>
      </c>
      <c r="M2314" s="11" t="s">
        <v>11344</v>
      </c>
      <c r="N2314" s="11">
        <v>24997</v>
      </c>
      <c r="O2314" s="11">
        <v>21200</v>
      </c>
      <c r="P2314" s="11">
        <v>2</v>
      </c>
      <c r="Q2314" s="11" t="s">
        <v>11345</v>
      </c>
      <c r="R2314" s="14" t="s">
        <v>11346</v>
      </c>
      <c r="S2314" s="11">
        <v>75</v>
      </c>
      <c r="T2314" s="11" t="s">
        <v>39</v>
      </c>
      <c r="U2314" s="11" t="s">
        <v>40</v>
      </c>
      <c r="V2314" s="11" t="s">
        <v>96</v>
      </c>
      <c r="W2314" s="11">
        <v>20000000</v>
      </c>
      <c r="X2314" s="11">
        <v>2012</v>
      </c>
      <c r="Y2314" s="11">
        <v>1000</v>
      </c>
      <c r="Z2314" s="11">
        <v>7.2</v>
      </c>
      <c r="AA2314" s="11">
        <v>1.85</v>
      </c>
      <c r="AB2314" s="11">
        <v>13000</v>
      </c>
      <c r="AC2314" s="11"/>
      <c r="AD2314" s="11" t="str">
        <f>IFERROR(__xludf.DUMMYFUNCTION("""COMPUTED_VALUE"""),"Charlie Talbert")</f>
        <v>Charlie Talbert</v>
      </c>
      <c r="AE2314" s="11"/>
    </row>
    <row r="2315" customHeight="1" spans="1:31">
      <c r="A2315" s="12" t="s">
        <v>30</v>
      </c>
      <c r="B2315" s="12" t="s">
        <v>4409</v>
      </c>
      <c r="C2315" s="12">
        <v>148</v>
      </c>
      <c r="D2315" s="12">
        <v>94</v>
      </c>
      <c r="E2315" s="12">
        <v>892</v>
      </c>
      <c r="F2315" s="12">
        <v>81</v>
      </c>
      <c r="G2315" s="12">
        <v>310</v>
      </c>
      <c r="H2315" s="12">
        <v>5132655</v>
      </c>
      <c r="I2315" s="12" t="s">
        <v>10223</v>
      </c>
      <c r="J2315" s="12" t="s">
        <v>11347</v>
      </c>
      <c r="K2315" s="12" t="s">
        <v>11348</v>
      </c>
      <c r="L2315" s="12" t="s">
        <v>11349</v>
      </c>
      <c r="M2315" s="12" t="s">
        <v>11350</v>
      </c>
      <c r="N2315" s="12">
        <v>37626</v>
      </c>
      <c r="O2315" s="12">
        <v>838</v>
      </c>
      <c r="P2315" s="12">
        <v>0</v>
      </c>
      <c r="Q2315" s="12" t="s">
        <v>11351</v>
      </c>
      <c r="R2315" s="15" t="s">
        <v>11352</v>
      </c>
      <c r="S2315" s="12">
        <v>521</v>
      </c>
      <c r="T2315" s="12" t="s">
        <v>39</v>
      </c>
      <c r="U2315" s="12" t="s">
        <v>269</v>
      </c>
      <c r="V2315" s="12" t="s">
        <v>586</v>
      </c>
      <c r="W2315" s="12">
        <v>20000000</v>
      </c>
      <c r="X2315" s="12">
        <v>2005</v>
      </c>
      <c r="Y2315" s="12">
        <v>294</v>
      </c>
      <c r="Z2315" s="12">
        <v>2.3</v>
      </c>
      <c r="AA2315" s="12">
        <v>2.35</v>
      </c>
      <c r="AB2315" s="12">
        <v>1000</v>
      </c>
      <c r="AC2315" s="12"/>
      <c r="AD2315" s="12" t="str">
        <f>IFERROR(__xludf.DUMMYFUNCTION("""COMPUTED_VALUE"""),"Demetri Martin")</f>
        <v>Demetri Martin</v>
      </c>
      <c r="AE2315" s="12"/>
    </row>
    <row r="2316" customHeight="1" spans="1:31">
      <c r="A2316" s="11" t="s">
        <v>30</v>
      </c>
      <c r="B2316" s="11" t="s">
        <v>3406</v>
      </c>
      <c r="C2316" s="11">
        <v>79</v>
      </c>
      <c r="D2316" s="11">
        <v>111</v>
      </c>
      <c r="E2316" s="11">
        <v>650</v>
      </c>
      <c r="F2316" s="11">
        <v>181</v>
      </c>
      <c r="G2316" s="11">
        <v>690</v>
      </c>
      <c r="H2316" s="11">
        <v>5205343</v>
      </c>
      <c r="I2316" s="11" t="s">
        <v>8171</v>
      </c>
      <c r="J2316" s="11" t="s">
        <v>1408</v>
      </c>
      <c r="K2316" s="11" t="s">
        <v>11353</v>
      </c>
      <c r="L2316" s="11" t="s">
        <v>11354</v>
      </c>
      <c r="M2316" s="11" t="s">
        <v>11355</v>
      </c>
      <c r="N2316" s="11">
        <v>11958</v>
      </c>
      <c r="O2316" s="11">
        <v>1573</v>
      </c>
      <c r="P2316" s="11">
        <v>3</v>
      </c>
      <c r="Q2316" s="11" t="s">
        <v>11356</v>
      </c>
      <c r="R2316" s="14" t="s">
        <v>11357</v>
      </c>
      <c r="S2316" s="11">
        <v>39</v>
      </c>
      <c r="T2316" s="11" t="s">
        <v>39</v>
      </c>
      <c r="U2316" s="11" t="s">
        <v>40</v>
      </c>
      <c r="V2316" s="11" t="s">
        <v>96</v>
      </c>
      <c r="W2316" s="11">
        <v>20000000</v>
      </c>
      <c r="X2316" s="11">
        <v>2009</v>
      </c>
      <c r="Y2316" s="11">
        <v>224</v>
      </c>
      <c r="Z2316" s="11">
        <v>6.4</v>
      </c>
      <c r="AA2316" s="11">
        <v>2.35</v>
      </c>
      <c r="AB2316" s="11">
        <v>1000</v>
      </c>
      <c r="AC2316" s="11"/>
      <c r="AD2316" s="11" t="str">
        <f>IFERROR(__xludf.DUMMYFUNCTION("""COMPUTED_VALUE"""),"Eddie Cahill")</f>
        <v>Eddie Cahill</v>
      </c>
      <c r="AE2316" s="11"/>
    </row>
    <row r="2317" customHeight="1" spans="1:31">
      <c r="A2317" s="12" t="s">
        <v>30</v>
      </c>
      <c r="B2317" s="12" t="s">
        <v>11358</v>
      </c>
      <c r="C2317" s="12">
        <v>167</v>
      </c>
      <c r="D2317" s="12">
        <v>100</v>
      </c>
      <c r="E2317" s="12">
        <v>143</v>
      </c>
      <c r="F2317" s="12">
        <v>430</v>
      </c>
      <c r="G2317" s="12">
        <v>829</v>
      </c>
      <c r="H2317" s="12">
        <v>5005883</v>
      </c>
      <c r="I2317" s="12" t="s">
        <v>3278</v>
      </c>
      <c r="J2317" s="12" t="s">
        <v>8516</v>
      </c>
      <c r="K2317" s="12" t="s">
        <v>2262</v>
      </c>
      <c r="L2317" s="12" t="s">
        <v>2995</v>
      </c>
      <c r="M2317" s="12" t="s">
        <v>11359</v>
      </c>
      <c r="N2317" s="12">
        <v>29649</v>
      </c>
      <c r="O2317" s="12">
        <v>2295</v>
      </c>
      <c r="P2317" s="12">
        <v>1</v>
      </c>
      <c r="Q2317" s="12" t="s">
        <v>11360</v>
      </c>
      <c r="R2317" s="15" t="s">
        <v>11361</v>
      </c>
      <c r="S2317" s="12">
        <v>361</v>
      </c>
      <c r="T2317" s="12" t="s">
        <v>39</v>
      </c>
      <c r="U2317" s="12" t="s">
        <v>40</v>
      </c>
      <c r="V2317" s="12" t="s">
        <v>586</v>
      </c>
      <c r="W2317" s="12">
        <v>20000000</v>
      </c>
      <c r="X2317" s="12">
        <v>2004</v>
      </c>
      <c r="Y2317" s="12">
        <v>681</v>
      </c>
      <c r="Z2317" s="12">
        <v>6.1</v>
      </c>
      <c r="AA2317" s="12">
        <v>1.85</v>
      </c>
      <c r="AB2317" s="12">
        <v>0</v>
      </c>
      <c r="AC2317" s="12"/>
      <c r="AD2317" s="12" t="str">
        <f>IFERROR(__xludf.DUMMYFUNCTION("""COMPUTED_VALUE"""),"Kenneth Mitchell")</f>
        <v>Kenneth Mitchell</v>
      </c>
      <c r="AE2317" s="12"/>
    </row>
    <row r="2318" customHeight="1" spans="1:31">
      <c r="A2318" s="11" t="s">
        <v>30</v>
      </c>
      <c r="B2318" s="11" t="s">
        <v>11362</v>
      </c>
      <c r="C2318" s="11">
        <v>350</v>
      </c>
      <c r="D2318" s="11">
        <v>125</v>
      </c>
      <c r="E2318" s="11">
        <v>78</v>
      </c>
      <c r="F2318" s="11">
        <v>745</v>
      </c>
      <c r="G2318" s="11">
        <v>1000</v>
      </c>
      <c r="H2318" s="11">
        <v>5749134</v>
      </c>
      <c r="I2318" s="11" t="s">
        <v>464</v>
      </c>
      <c r="J2318" s="11" t="s">
        <v>2039</v>
      </c>
      <c r="K2318" s="11" t="s">
        <v>7429</v>
      </c>
      <c r="L2318" s="11" t="s">
        <v>2968</v>
      </c>
      <c r="M2318" s="11" t="s">
        <v>11363</v>
      </c>
      <c r="N2318" s="11">
        <v>45799</v>
      </c>
      <c r="O2318" s="11">
        <v>3979</v>
      </c>
      <c r="P2318" s="11">
        <v>0</v>
      </c>
      <c r="Q2318" s="11" t="s">
        <v>11364</v>
      </c>
      <c r="R2318" s="14" t="s">
        <v>11365</v>
      </c>
      <c r="S2318" s="11">
        <v>180</v>
      </c>
      <c r="T2318" s="11" t="s">
        <v>39</v>
      </c>
      <c r="U2318" s="11" t="s">
        <v>40</v>
      </c>
      <c r="V2318" s="11" t="s">
        <v>586</v>
      </c>
      <c r="W2318" s="11">
        <v>20000000</v>
      </c>
      <c r="X2318" s="11">
        <v>2014</v>
      </c>
      <c r="Y2318" s="11">
        <v>969</v>
      </c>
      <c r="Z2318" s="11">
        <v>7</v>
      </c>
      <c r="AA2318" s="11">
        <v>2.35</v>
      </c>
      <c r="AB2318" s="11">
        <v>0</v>
      </c>
      <c r="AC2318" s="11"/>
      <c r="AD2318" s="11" t="str">
        <f>IFERROR(__xludf.DUMMYFUNCTION("""COMPUTED_VALUE"""),"Alex Rocco")</f>
        <v>Alex Rocco</v>
      </c>
      <c r="AE2318" s="11"/>
    </row>
    <row r="2319" customHeight="1" spans="1:31">
      <c r="A2319" s="12" t="s">
        <v>30</v>
      </c>
      <c r="B2319" s="12" t="s">
        <v>8640</v>
      </c>
      <c r="C2319" s="12">
        <v>25</v>
      </c>
      <c r="D2319" s="12">
        <v>114</v>
      </c>
      <c r="E2319" s="12">
        <v>329</v>
      </c>
      <c r="F2319" s="12">
        <v>544</v>
      </c>
      <c r="G2319" s="12">
        <v>1000</v>
      </c>
      <c r="H2319" s="16"/>
      <c r="I2319" s="12" t="s">
        <v>1941</v>
      </c>
      <c r="J2319" s="12" t="s">
        <v>10295</v>
      </c>
      <c r="K2319" s="12" t="s">
        <v>8593</v>
      </c>
      <c r="L2319" s="12" t="s">
        <v>2349</v>
      </c>
      <c r="M2319" s="12" t="s">
        <v>11366</v>
      </c>
      <c r="N2319" s="12">
        <v>6904</v>
      </c>
      <c r="O2319" s="12">
        <v>3493</v>
      </c>
      <c r="P2319" s="12">
        <v>0</v>
      </c>
      <c r="Q2319" s="12" t="s">
        <v>11367</v>
      </c>
      <c r="R2319" s="15" t="s">
        <v>11368</v>
      </c>
      <c r="S2319" s="12">
        <v>102</v>
      </c>
      <c r="T2319" s="12" t="s">
        <v>39</v>
      </c>
      <c r="U2319" s="12" t="s">
        <v>269</v>
      </c>
      <c r="V2319" s="12" t="s">
        <v>586</v>
      </c>
      <c r="W2319" s="12">
        <v>20000000</v>
      </c>
      <c r="X2319" s="12">
        <v>2008</v>
      </c>
      <c r="Y2319" s="12">
        <v>912</v>
      </c>
      <c r="Z2319" s="12">
        <v>6.5</v>
      </c>
      <c r="AA2319" s="12">
        <v>2.35</v>
      </c>
      <c r="AB2319" s="12">
        <v>971</v>
      </c>
      <c r="AC2319" s="12"/>
      <c r="AD2319" s="12" t="str">
        <f>IFERROR(__xludf.DUMMYFUNCTION("""COMPUTED_VALUE"""),"Shun Oguri")</f>
        <v>Shun Oguri</v>
      </c>
      <c r="AE2319" s="12"/>
    </row>
    <row r="2320" customHeight="1" spans="1:31">
      <c r="A2320" s="11" t="s">
        <v>30</v>
      </c>
      <c r="B2320" s="11" t="s">
        <v>11369</v>
      </c>
      <c r="C2320" s="11">
        <v>99</v>
      </c>
      <c r="D2320" s="11">
        <v>119</v>
      </c>
      <c r="E2320" s="11">
        <v>18</v>
      </c>
      <c r="F2320" s="11">
        <v>9</v>
      </c>
      <c r="G2320" s="11">
        <v>20</v>
      </c>
      <c r="H2320" s="11">
        <v>4234040</v>
      </c>
      <c r="I2320" s="11" t="s">
        <v>1544</v>
      </c>
      <c r="J2320" s="11" t="s">
        <v>11370</v>
      </c>
      <c r="K2320" s="11" t="s">
        <v>11371</v>
      </c>
      <c r="L2320" s="11" t="s">
        <v>11372</v>
      </c>
      <c r="M2320" s="11" t="s">
        <v>11373</v>
      </c>
      <c r="N2320" s="11">
        <v>14301</v>
      </c>
      <c r="O2320" s="11">
        <v>64</v>
      </c>
      <c r="P2320" s="11">
        <v>0</v>
      </c>
      <c r="Q2320" s="11" t="s">
        <v>11374</v>
      </c>
      <c r="R2320" s="14" t="s">
        <v>11375</v>
      </c>
      <c r="S2320" s="11">
        <v>45</v>
      </c>
      <c r="T2320" s="11" t="s">
        <v>39</v>
      </c>
      <c r="U2320" s="11" t="s">
        <v>40</v>
      </c>
      <c r="V2320" s="11" t="s">
        <v>41</v>
      </c>
      <c r="W2320" s="11">
        <v>20000000</v>
      </c>
      <c r="X2320" s="11">
        <v>2008</v>
      </c>
      <c r="Y2320" s="11">
        <v>18</v>
      </c>
      <c r="Z2320" s="11">
        <v>7</v>
      </c>
      <c r="AA2320" s="11">
        <v>2.35</v>
      </c>
      <c r="AB2320" s="11">
        <v>0</v>
      </c>
      <c r="AC2320" s="11"/>
      <c r="AD2320" s="11" t="str">
        <f>IFERROR(__xludf.DUMMYFUNCTION("""COMPUTED_VALUE"""),"Yû Aoi")</f>
        <v>Yû Aoi</v>
      </c>
      <c r="AE2320" s="11"/>
    </row>
    <row r="2321" customHeight="1" spans="1:31">
      <c r="A2321" s="12" t="s">
        <v>748</v>
      </c>
      <c r="B2321" s="12" t="s">
        <v>11376</v>
      </c>
      <c r="C2321" s="12">
        <v>231</v>
      </c>
      <c r="D2321" s="12">
        <v>135</v>
      </c>
      <c r="E2321" s="12">
        <v>162</v>
      </c>
      <c r="F2321" s="12">
        <v>228</v>
      </c>
      <c r="G2321" s="12">
        <v>23000</v>
      </c>
      <c r="H2321" s="12">
        <v>4001121</v>
      </c>
      <c r="I2321" s="12" t="s">
        <v>4297</v>
      </c>
      <c r="J2321" s="12" t="s">
        <v>62</v>
      </c>
      <c r="K2321" s="12" t="s">
        <v>465</v>
      </c>
      <c r="L2321" s="12" t="s">
        <v>11377</v>
      </c>
      <c r="M2321" s="12" t="s">
        <v>11378</v>
      </c>
      <c r="N2321" s="12">
        <v>48346</v>
      </c>
      <c r="O2321" s="12">
        <v>36398</v>
      </c>
      <c r="P2321" s="12">
        <v>0</v>
      </c>
      <c r="Q2321" s="12" t="s">
        <v>11379</v>
      </c>
      <c r="R2321" s="15" t="s">
        <v>11380</v>
      </c>
      <c r="S2321" s="12">
        <v>230</v>
      </c>
      <c r="T2321" s="12" t="s">
        <v>39</v>
      </c>
      <c r="U2321" s="12" t="s">
        <v>40</v>
      </c>
      <c r="V2321" s="12" t="s">
        <v>586</v>
      </c>
      <c r="W2321" s="12">
        <v>20000000</v>
      </c>
      <c r="X2321" s="12">
        <v>2007</v>
      </c>
      <c r="Y2321" s="12">
        <v>13000</v>
      </c>
      <c r="Z2321" s="12">
        <v>7</v>
      </c>
      <c r="AA2321" s="12">
        <v>2.35</v>
      </c>
      <c r="AB2321" s="12">
        <v>0</v>
      </c>
      <c r="AC2321" s="12"/>
      <c r="AD2321" s="12" t="str">
        <f>IFERROR(__xludf.DUMMYFUNCTION("""COMPUTED_VALUE"""),"Haruma Miura")</f>
        <v>Haruma Miura</v>
      </c>
      <c r="AE2321" s="12"/>
    </row>
    <row r="2322" customHeight="1" spans="1:31">
      <c r="A2322" s="11" t="s">
        <v>30</v>
      </c>
      <c r="B2322" s="11" t="s">
        <v>11381</v>
      </c>
      <c r="C2322" s="11">
        <v>119</v>
      </c>
      <c r="D2322" s="11">
        <v>93</v>
      </c>
      <c r="E2322" s="11">
        <v>19</v>
      </c>
      <c r="F2322" s="11">
        <v>619</v>
      </c>
      <c r="G2322" s="11">
        <v>15000</v>
      </c>
      <c r="H2322" s="11">
        <v>3749061</v>
      </c>
      <c r="I2322" s="11" t="s">
        <v>60</v>
      </c>
      <c r="J2322" s="11" t="s">
        <v>113</v>
      </c>
      <c r="K2322" s="11" t="s">
        <v>978</v>
      </c>
      <c r="L2322" s="11" t="s">
        <v>9750</v>
      </c>
      <c r="M2322" s="11" t="s">
        <v>11382</v>
      </c>
      <c r="N2322" s="11">
        <v>28629</v>
      </c>
      <c r="O2322" s="11">
        <v>30134</v>
      </c>
      <c r="P2322" s="11">
        <v>3</v>
      </c>
      <c r="Q2322" s="11" t="s">
        <v>11383</v>
      </c>
      <c r="R2322" s="14" t="s">
        <v>11384</v>
      </c>
      <c r="S2322" s="11">
        <v>113</v>
      </c>
      <c r="T2322" s="11" t="s">
        <v>39</v>
      </c>
      <c r="U2322" s="11" t="s">
        <v>40</v>
      </c>
      <c r="V2322" s="11" t="s">
        <v>41</v>
      </c>
      <c r="W2322" s="11">
        <v>20000000</v>
      </c>
      <c r="X2322" s="11">
        <v>2012</v>
      </c>
      <c r="Y2322" s="11">
        <v>13000</v>
      </c>
      <c r="Z2322" s="11">
        <v>4.9</v>
      </c>
      <c r="AA2322" s="11">
        <v>2.35</v>
      </c>
      <c r="AB2322" s="11">
        <v>0</v>
      </c>
      <c r="AC2322" s="11"/>
      <c r="AD2322" s="11" t="str">
        <f>IFERROR(__xludf.DUMMYFUNCTION("""COMPUTED_VALUE"""),"Rebecca De Mornay")</f>
        <v>Rebecca De Mornay</v>
      </c>
      <c r="AE2322" s="11"/>
    </row>
    <row r="2323" customHeight="1" spans="1:31">
      <c r="A2323" s="12" t="s">
        <v>30</v>
      </c>
      <c r="B2323" s="12" t="s">
        <v>8206</v>
      </c>
      <c r="C2323" s="12">
        <v>182</v>
      </c>
      <c r="D2323" s="12">
        <v>114</v>
      </c>
      <c r="E2323" s="12">
        <v>0</v>
      </c>
      <c r="F2323" s="12">
        <v>446</v>
      </c>
      <c r="G2323" s="12">
        <v>975</v>
      </c>
      <c r="H2323" s="12">
        <v>3519627</v>
      </c>
      <c r="I2323" s="12" t="s">
        <v>11385</v>
      </c>
      <c r="J2323" s="12" t="s">
        <v>10425</v>
      </c>
      <c r="K2323" s="12" t="s">
        <v>10837</v>
      </c>
      <c r="L2323" s="12" t="s">
        <v>11386</v>
      </c>
      <c r="M2323" s="12" t="s">
        <v>11387</v>
      </c>
      <c r="N2323" s="12">
        <v>41737</v>
      </c>
      <c r="O2323" s="12">
        <v>3014</v>
      </c>
      <c r="P2323" s="12">
        <v>4</v>
      </c>
      <c r="Q2323" s="12" t="s">
        <v>11388</v>
      </c>
      <c r="R2323" s="15" t="s">
        <v>11389</v>
      </c>
      <c r="S2323" s="12">
        <v>105</v>
      </c>
      <c r="T2323" s="12" t="s">
        <v>39</v>
      </c>
      <c r="U2323" s="12" t="s">
        <v>40</v>
      </c>
      <c r="V2323" s="12" t="s">
        <v>41</v>
      </c>
      <c r="W2323" s="12">
        <v>20000000</v>
      </c>
      <c r="X2323" s="12">
        <v>2008</v>
      </c>
      <c r="Y2323" s="12">
        <v>877</v>
      </c>
      <c r="Z2323" s="12">
        <v>6.9</v>
      </c>
      <c r="AA2323" s="12">
        <v>2.35</v>
      </c>
      <c r="AB2323" s="12">
        <v>0</v>
      </c>
      <c r="AC2323" s="12"/>
      <c r="AD2323" s="12" t="str">
        <f>IFERROR(__xludf.DUMMYFUNCTION("""COMPUTED_VALUE"""),"Topol")</f>
        <v>Topol</v>
      </c>
      <c r="AE2323" s="12"/>
    </row>
    <row r="2324" customHeight="1" spans="1:31">
      <c r="A2324" s="11" t="s">
        <v>30</v>
      </c>
      <c r="B2324" s="11" t="s">
        <v>11390</v>
      </c>
      <c r="C2324" s="11">
        <v>245</v>
      </c>
      <c r="D2324" s="11">
        <v>124</v>
      </c>
      <c r="E2324" s="11">
        <v>0</v>
      </c>
      <c r="F2324" s="11">
        <v>631</v>
      </c>
      <c r="G2324" s="11">
        <v>22000</v>
      </c>
      <c r="H2324" s="11">
        <v>3081925</v>
      </c>
      <c r="I2324" s="11" t="s">
        <v>1415</v>
      </c>
      <c r="J2324" s="11" t="s">
        <v>699</v>
      </c>
      <c r="K2324" s="11" t="s">
        <v>2620</v>
      </c>
      <c r="L2324" s="11" t="s">
        <v>75</v>
      </c>
      <c r="M2324" s="11" t="s">
        <v>11391</v>
      </c>
      <c r="N2324" s="11">
        <v>55842</v>
      </c>
      <c r="O2324" s="11">
        <v>24732</v>
      </c>
      <c r="P2324" s="11">
        <v>0</v>
      </c>
      <c r="Q2324" s="11" t="s">
        <v>11392</v>
      </c>
      <c r="R2324" s="14" t="s">
        <v>11393</v>
      </c>
      <c r="S2324" s="11">
        <v>274</v>
      </c>
      <c r="T2324" s="11" t="s">
        <v>39</v>
      </c>
      <c r="U2324" s="11" t="s">
        <v>40</v>
      </c>
      <c r="V2324" s="11" t="s">
        <v>586</v>
      </c>
      <c r="W2324" s="11">
        <v>21000000</v>
      </c>
      <c r="X2324" s="11">
        <v>2008</v>
      </c>
      <c r="Y2324" s="11">
        <v>1000</v>
      </c>
      <c r="Z2324" s="11">
        <v>7.5</v>
      </c>
      <c r="AA2324" s="11">
        <v>2.35</v>
      </c>
      <c r="AB2324" s="11">
        <v>13000</v>
      </c>
      <c r="AC2324" s="11"/>
      <c r="AD2324" s="11" t="str">
        <f>IFERROR(__xludf.DUMMYFUNCTION("""COMPUTED_VALUE"""),"Lilli Lavine")</f>
        <v>Lilli Lavine</v>
      </c>
      <c r="AE2324" s="11"/>
    </row>
    <row r="2325" customHeight="1" spans="1:31">
      <c r="A2325" s="12" t="s">
        <v>30</v>
      </c>
      <c r="B2325" s="12" t="s">
        <v>7779</v>
      </c>
      <c r="C2325" s="12">
        <v>174</v>
      </c>
      <c r="D2325" s="12">
        <v>134</v>
      </c>
      <c r="E2325" s="12">
        <v>6000</v>
      </c>
      <c r="F2325" s="12">
        <v>745</v>
      </c>
      <c r="G2325" s="12">
        <v>893</v>
      </c>
      <c r="H2325" s="12">
        <v>2298191</v>
      </c>
      <c r="I2325" s="12" t="s">
        <v>8749</v>
      </c>
      <c r="J2325" s="12" t="s">
        <v>3491</v>
      </c>
      <c r="K2325" s="12" t="s">
        <v>805</v>
      </c>
      <c r="L2325" s="12" t="s">
        <v>1054</v>
      </c>
      <c r="M2325" s="12" t="s">
        <v>11394</v>
      </c>
      <c r="N2325" s="12">
        <v>221552</v>
      </c>
      <c r="O2325" s="12">
        <v>2710</v>
      </c>
      <c r="P2325" s="12">
        <v>0</v>
      </c>
      <c r="Q2325" s="12" t="s">
        <v>11395</v>
      </c>
      <c r="R2325" s="15" t="s">
        <v>11396</v>
      </c>
      <c r="S2325" s="12">
        <v>570</v>
      </c>
      <c r="T2325" s="12" t="s">
        <v>677</v>
      </c>
      <c r="U2325" s="12" t="s">
        <v>678</v>
      </c>
      <c r="V2325" s="12" t="s">
        <v>41</v>
      </c>
      <c r="W2325" s="12">
        <v>2400000000</v>
      </c>
      <c r="X2325" s="12">
        <v>1997</v>
      </c>
      <c r="Y2325" s="12">
        <v>851</v>
      </c>
      <c r="Z2325" s="12">
        <v>8.4</v>
      </c>
      <c r="AA2325" s="12">
        <v>1.85</v>
      </c>
      <c r="AB2325" s="12">
        <v>11000</v>
      </c>
      <c r="AC2325" s="12"/>
      <c r="AD2325" s="12" t="str">
        <f>IFERROR(__xludf.DUMMYFUNCTION("""COMPUTED_VALUE"""),"David Sparrow")</f>
        <v>David Sparrow</v>
      </c>
      <c r="AE2325" s="12"/>
    </row>
    <row r="2326" customHeight="1" spans="1:31">
      <c r="A2326" s="11" t="s">
        <v>748</v>
      </c>
      <c r="B2326" s="11" t="s">
        <v>7722</v>
      </c>
      <c r="C2326" s="11">
        <v>69</v>
      </c>
      <c r="D2326" s="11">
        <v>114</v>
      </c>
      <c r="E2326" s="11">
        <v>22</v>
      </c>
      <c r="F2326" s="11">
        <v>413</v>
      </c>
      <c r="G2326" s="11">
        <v>572</v>
      </c>
      <c r="H2326" s="11">
        <v>2353728</v>
      </c>
      <c r="I2326" s="11" t="s">
        <v>11397</v>
      </c>
      <c r="J2326" s="11" t="s">
        <v>6746</v>
      </c>
      <c r="K2326" s="11" t="s">
        <v>3202</v>
      </c>
      <c r="L2326" s="11" t="s">
        <v>5291</v>
      </c>
      <c r="M2326" s="11" t="s">
        <v>11398</v>
      </c>
      <c r="N2326" s="11">
        <v>4293</v>
      </c>
      <c r="O2326" s="11">
        <v>1776</v>
      </c>
      <c r="P2326" s="11">
        <v>5</v>
      </c>
      <c r="Q2326" s="11" t="s">
        <v>11399</v>
      </c>
      <c r="R2326" s="14" t="s">
        <v>11400</v>
      </c>
      <c r="S2326" s="11">
        <v>53</v>
      </c>
      <c r="T2326" s="11" t="s">
        <v>1465</v>
      </c>
      <c r="U2326" s="11" t="s">
        <v>1466</v>
      </c>
      <c r="V2326" s="11" t="s">
        <v>41</v>
      </c>
      <c r="W2326" s="11">
        <v>20000000</v>
      </c>
      <c r="X2326" s="11">
        <v>2003</v>
      </c>
      <c r="Y2326" s="11">
        <v>548</v>
      </c>
      <c r="Z2326" s="11">
        <v>6.9</v>
      </c>
      <c r="AA2326" s="11">
        <v>2.35</v>
      </c>
      <c r="AB2326" s="11">
        <v>235</v>
      </c>
      <c r="AC2326" s="11"/>
      <c r="AD2326" s="11" t="str">
        <f>IFERROR(__xludf.DUMMYFUNCTION("""COMPUTED_VALUE"""),"Ann Talman")</f>
        <v>Ann Talman</v>
      </c>
      <c r="AE2326" s="11"/>
    </row>
    <row r="2327" customHeight="1" spans="1:31">
      <c r="A2327" s="12" t="s">
        <v>30</v>
      </c>
      <c r="B2327" s="12" t="s">
        <v>11401</v>
      </c>
      <c r="C2327" s="12">
        <v>26</v>
      </c>
      <c r="D2327" s="12">
        <v>124</v>
      </c>
      <c r="E2327" s="12">
        <v>42</v>
      </c>
      <c r="F2327" s="12">
        <v>161</v>
      </c>
      <c r="G2327" s="12">
        <v>801</v>
      </c>
      <c r="H2327" s="12">
        <v>2000000</v>
      </c>
      <c r="I2327" s="12" t="s">
        <v>11402</v>
      </c>
      <c r="J2327" s="12" t="s">
        <v>11091</v>
      </c>
      <c r="K2327" s="12" t="s">
        <v>11403</v>
      </c>
      <c r="L2327" s="12" t="s">
        <v>11404</v>
      </c>
      <c r="M2327" s="12" t="s">
        <v>11405</v>
      </c>
      <c r="N2327" s="12">
        <v>2998</v>
      </c>
      <c r="O2327" s="12">
        <v>1462</v>
      </c>
      <c r="P2327" s="12">
        <v>0</v>
      </c>
      <c r="Q2327" s="12" t="s">
        <v>11406</v>
      </c>
      <c r="R2327" s="15" t="s">
        <v>11407</v>
      </c>
      <c r="S2327" s="12">
        <v>74</v>
      </c>
      <c r="T2327" s="12" t="s">
        <v>39</v>
      </c>
      <c r="U2327" s="12" t="s">
        <v>40</v>
      </c>
      <c r="V2327" s="12" t="s">
        <v>96</v>
      </c>
      <c r="W2327" s="12">
        <v>20000000</v>
      </c>
      <c r="X2327" s="12">
        <v>1980</v>
      </c>
      <c r="Y2327" s="12">
        <v>174</v>
      </c>
      <c r="Z2327" s="12">
        <v>4.5</v>
      </c>
      <c r="AA2327" s="12">
        <v>2.35</v>
      </c>
      <c r="AB2327" s="12">
        <v>1000</v>
      </c>
      <c r="AC2327" s="12"/>
      <c r="AD2327" s="12" t="str">
        <f>IFERROR(__xludf.DUMMYFUNCTION("""COMPUTED_VALUE"""),"Mia Sara")</f>
        <v>Mia Sara</v>
      </c>
      <c r="AE2327" s="12"/>
    </row>
    <row r="2328" customHeight="1" spans="1:31">
      <c r="A2328" s="11" t="s">
        <v>30</v>
      </c>
      <c r="B2328" s="11" t="s">
        <v>9948</v>
      </c>
      <c r="C2328" s="11">
        <v>168</v>
      </c>
      <c r="D2328" s="11">
        <v>104</v>
      </c>
      <c r="E2328" s="11">
        <v>214</v>
      </c>
      <c r="F2328" s="11">
        <v>430</v>
      </c>
      <c r="G2328" s="11">
        <v>1000</v>
      </c>
      <c r="H2328" s="11">
        <v>1900725</v>
      </c>
      <c r="I2328" s="11" t="s">
        <v>11020</v>
      </c>
      <c r="J2328" s="11" t="s">
        <v>392</v>
      </c>
      <c r="K2328" s="11" t="s">
        <v>525</v>
      </c>
      <c r="L2328" s="11" t="s">
        <v>2995</v>
      </c>
      <c r="M2328" s="11" t="s">
        <v>11408</v>
      </c>
      <c r="N2328" s="11">
        <v>43205</v>
      </c>
      <c r="O2328" s="11">
        <v>2129</v>
      </c>
      <c r="P2328" s="11">
        <v>1</v>
      </c>
      <c r="Q2328" s="11" t="s">
        <v>11409</v>
      </c>
      <c r="R2328" s="14" t="s">
        <v>11410</v>
      </c>
      <c r="S2328" s="11">
        <v>232</v>
      </c>
      <c r="T2328" s="11" t="s">
        <v>39</v>
      </c>
      <c r="U2328" s="11" t="s">
        <v>371</v>
      </c>
      <c r="V2328" s="11" t="s">
        <v>586</v>
      </c>
      <c r="W2328" s="11">
        <v>2000000</v>
      </c>
      <c r="X2328" s="11">
        <v>2005</v>
      </c>
      <c r="Y2328" s="11">
        <v>509</v>
      </c>
      <c r="Z2328" s="11">
        <v>7.4</v>
      </c>
      <c r="AA2328" s="11">
        <v>2.35</v>
      </c>
      <c r="AB2328" s="11">
        <v>0</v>
      </c>
      <c r="AC2328" s="11"/>
      <c r="AD2328" s="11" t="str">
        <f>IFERROR(__xludf.DUMMYFUNCTION("""COMPUTED_VALUE"""),"Gloria Reuben")</f>
        <v>Gloria Reuben</v>
      </c>
      <c r="AE2328" s="11"/>
    </row>
    <row r="2329" customHeight="1" spans="1:31">
      <c r="A2329" s="12" t="s">
        <v>30</v>
      </c>
      <c r="B2329" s="12" t="s">
        <v>11411</v>
      </c>
      <c r="C2329" s="12">
        <v>27</v>
      </c>
      <c r="D2329" s="12">
        <v>118</v>
      </c>
      <c r="E2329" s="12">
        <v>14</v>
      </c>
      <c r="F2329" s="12">
        <v>400</v>
      </c>
      <c r="G2329" s="12">
        <v>2000</v>
      </c>
      <c r="H2329" s="12">
        <v>2246000</v>
      </c>
      <c r="I2329" s="12" t="s">
        <v>1635</v>
      </c>
      <c r="J2329" s="12" t="s">
        <v>11412</v>
      </c>
      <c r="K2329" s="12" t="s">
        <v>3689</v>
      </c>
      <c r="L2329" s="12" t="s">
        <v>11413</v>
      </c>
      <c r="M2329" s="12" t="s">
        <v>11414</v>
      </c>
      <c r="N2329" s="12">
        <v>2302</v>
      </c>
      <c r="O2329" s="12">
        <v>3384</v>
      </c>
      <c r="P2329" s="12">
        <v>4</v>
      </c>
      <c r="Q2329" s="12" t="s">
        <v>11415</v>
      </c>
      <c r="R2329" s="15" t="s">
        <v>11416</v>
      </c>
      <c r="S2329" s="12">
        <v>20</v>
      </c>
      <c r="T2329" s="12" t="s">
        <v>39</v>
      </c>
      <c r="U2329" s="12" t="s">
        <v>40</v>
      </c>
      <c r="V2329" s="12" t="s">
        <v>96</v>
      </c>
      <c r="W2329" s="12">
        <v>20000000</v>
      </c>
      <c r="X2329" s="12">
        <v>2015</v>
      </c>
      <c r="Y2329" s="12">
        <v>769</v>
      </c>
      <c r="Z2329" s="12">
        <v>7</v>
      </c>
      <c r="AA2329" s="12">
        <v>2.35</v>
      </c>
      <c r="AB2329" s="12">
        <v>0</v>
      </c>
      <c r="AC2329" s="12"/>
      <c r="AD2329" s="12" t="str">
        <f>IFERROR(__xludf.DUMMYFUNCTION("""COMPUTED_VALUE"""),"David Lyons")</f>
        <v>David Lyons</v>
      </c>
      <c r="AE2329" s="12"/>
    </row>
    <row r="2330" customHeight="1" spans="1:31">
      <c r="A2330" s="11" t="s">
        <v>30</v>
      </c>
      <c r="B2330" s="11" t="s">
        <v>9928</v>
      </c>
      <c r="C2330" s="11">
        <v>28</v>
      </c>
      <c r="D2330" s="11">
        <v>80</v>
      </c>
      <c r="E2330" s="11">
        <v>121</v>
      </c>
      <c r="F2330" s="11">
        <v>587</v>
      </c>
      <c r="G2330" s="11">
        <v>836</v>
      </c>
      <c r="H2330" s="11">
        <v>1646664</v>
      </c>
      <c r="I2330" s="11" t="s">
        <v>6419</v>
      </c>
      <c r="J2330" s="11" t="s">
        <v>11417</v>
      </c>
      <c r="K2330" s="11" t="s">
        <v>2389</v>
      </c>
      <c r="L2330" s="11" t="s">
        <v>9292</v>
      </c>
      <c r="M2330" s="11" t="s">
        <v>11418</v>
      </c>
      <c r="N2330" s="11">
        <v>4518</v>
      </c>
      <c r="O2330" s="11">
        <v>2467</v>
      </c>
      <c r="P2330" s="11">
        <v>2</v>
      </c>
      <c r="Q2330" s="11" t="s">
        <v>11419</v>
      </c>
      <c r="R2330" s="14" t="s">
        <v>11420</v>
      </c>
      <c r="S2330" s="11">
        <v>66</v>
      </c>
      <c r="T2330" s="11" t="s">
        <v>39</v>
      </c>
      <c r="U2330" s="11" t="s">
        <v>40</v>
      </c>
      <c r="V2330" s="11" t="s">
        <v>586</v>
      </c>
      <c r="W2330" s="11">
        <v>20000000</v>
      </c>
      <c r="X2330" s="11">
        <v>2003</v>
      </c>
      <c r="Y2330" s="11">
        <v>624</v>
      </c>
      <c r="Z2330" s="11">
        <v>2.8</v>
      </c>
      <c r="AA2330" s="11">
        <v>1.85</v>
      </c>
      <c r="AB2330" s="11">
        <v>241</v>
      </c>
      <c r="AC2330" s="11"/>
      <c r="AD2330" s="11" t="str">
        <f>IFERROR(__xludf.DUMMYFUNCTION("""COMPUTED_VALUE"""),"Noah Lomax")</f>
        <v>Noah Lomax</v>
      </c>
      <c r="AE2330" s="11"/>
    </row>
    <row r="2331" customHeight="1" spans="1:31">
      <c r="A2331" s="12" t="s">
        <v>30</v>
      </c>
      <c r="B2331" s="12" t="s">
        <v>8515</v>
      </c>
      <c r="C2331" s="12">
        <v>146</v>
      </c>
      <c r="D2331" s="12">
        <v>107</v>
      </c>
      <c r="E2331" s="12">
        <v>110</v>
      </c>
      <c r="F2331" s="12">
        <v>722</v>
      </c>
      <c r="G2331" s="12">
        <v>23000</v>
      </c>
      <c r="H2331" s="12">
        <v>1190018</v>
      </c>
      <c r="I2331" s="12" t="s">
        <v>1391</v>
      </c>
      <c r="J2331" s="12" t="s">
        <v>62</v>
      </c>
      <c r="K2331" s="12" t="s">
        <v>2933</v>
      </c>
      <c r="L2331" s="12" t="s">
        <v>3166</v>
      </c>
      <c r="M2331" s="12" t="s">
        <v>11421</v>
      </c>
      <c r="N2331" s="12">
        <v>261317</v>
      </c>
      <c r="O2331" s="12">
        <v>25088</v>
      </c>
      <c r="P2331" s="12">
        <v>2</v>
      </c>
      <c r="Q2331" s="12" t="s">
        <v>11422</v>
      </c>
      <c r="R2331" s="15" t="s">
        <v>11423</v>
      </c>
      <c r="S2331" s="12">
        <v>1137</v>
      </c>
      <c r="T2331" s="12" t="s">
        <v>39</v>
      </c>
      <c r="U2331" s="12" t="s">
        <v>40</v>
      </c>
      <c r="V2331" s="12" t="s">
        <v>586</v>
      </c>
      <c r="W2331" s="12">
        <v>20000000</v>
      </c>
      <c r="X2331" s="12">
        <v>2002</v>
      </c>
      <c r="Y2331" s="12">
        <v>876</v>
      </c>
      <c r="Z2331" s="12">
        <v>7.5</v>
      </c>
      <c r="AA2331" s="12">
        <v>2.35</v>
      </c>
      <c r="AB2331" s="12">
        <v>20000</v>
      </c>
      <c r="AC2331" s="12"/>
      <c r="AD2331" s="12" t="str">
        <f>IFERROR(__xludf.DUMMYFUNCTION("""COMPUTED_VALUE"""),"Mimi Kirkland")</f>
        <v>Mimi Kirkland</v>
      </c>
      <c r="AE2331" s="12"/>
    </row>
    <row r="2332" customHeight="1" spans="1:31">
      <c r="A2332" s="11" t="s">
        <v>30</v>
      </c>
      <c r="B2332" s="11" t="s">
        <v>1517</v>
      </c>
      <c r="C2332" s="11">
        <v>67</v>
      </c>
      <c r="D2332" s="11">
        <v>125</v>
      </c>
      <c r="E2332" s="11">
        <v>55</v>
      </c>
      <c r="F2332" s="11">
        <v>2</v>
      </c>
      <c r="G2332" s="11">
        <v>991</v>
      </c>
      <c r="H2332" s="11">
        <v>1027749</v>
      </c>
      <c r="I2332" s="11" t="s">
        <v>3397</v>
      </c>
      <c r="J2332" s="11" t="s">
        <v>3373</v>
      </c>
      <c r="K2332" s="11" t="s">
        <v>11424</v>
      </c>
      <c r="L2332" s="11" t="s">
        <v>11425</v>
      </c>
      <c r="M2332" s="11" t="s">
        <v>11426</v>
      </c>
      <c r="N2332" s="11">
        <v>8087</v>
      </c>
      <c r="O2332" s="11">
        <v>1003</v>
      </c>
      <c r="P2332" s="11">
        <v>4</v>
      </c>
      <c r="Q2332" s="11" t="s">
        <v>11427</v>
      </c>
      <c r="R2332" s="14" t="s">
        <v>11428</v>
      </c>
      <c r="S2332" s="11">
        <v>33</v>
      </c>
      <c r="T2332" s="11" t="s">
        <v>39</v>
      </c>
      <c r="U2332" s="11" t="s">
        <v>371</v>
      </c>
      <c r="V2332" s="11" t="s">
        <v>586</v>
      </c>
      <c r="W2332" s="11">
        <v>40000000</v>
      </c>
      <c r="X2332" s="11">
        <v>2008</v>
      </c>
      <c r="Y2332" s="11">
        <v>10</v>
      </c>
      <c r="Z2332" s="11">
        <v>7.1</v>
      </c>
      <c r="AA2332" s="11">
        <v>2.35</v>
      </c>
      <c r="AB2332" s="11">
        <v>1000</v>
      </c>
      <c r="AC2332" s="11"/>
      <c r="AD2332" s="11" t="str">
        <f>IFERROR(__xludf.DUMMYFUNCTION("""COMPUTED_VALUE"""),"Omri Katz")</f>
        <v>Omri Katz</v>
      </c>
      <c r="AE2332" s="11"/>
    </row>
    <row r="2333" customHeight="1" spans="1:31">
      <c r="A2333" s="12" t="s">
        <v>30</v>
      </c>
      <c r="B2333" s="12" t="s">
        <v>8973</v>
      </c>
      <c r="C2333" s="12">
        <v>93</v>
      </c>
      <c r="D2333" s="12">
        <v>115</v>
      </c>
      <c r="E2333" s="12">
        <v>115</v>
      </c>
      <c r="F2333" s="12">
        <v>977</v>
      </c>
      <c r="G2333" s="12">
        <v>9000</v>
      </c>
      <c r="H2333" s="12">
        <v>882710</v>
      </c>
      <c r="I2333" s="12" t="s">
        <v>5275</v>
      </c>
      <c r="J2333" s="12" t="s">
        <v>778</v>
      </c>
      <c r="K2333" s="12" t="s">
        <v>7764</v>
      </c>
      <c r="L2333" s="12" t="s">
        <v>5621</v>
      </c>
      <c r="M2333" s="12" t="s">
        <v>11429</v>
      </c>
      <c r="N2333" s="12">
        <v>16215</v>
      </c>
      <c r="O2333" s="12">
        <v>11433</v>
      </c>
      <c r="P2333" s="12">
        <v>2</v>
      </c>
      <c r="Q2333" s="12" t="s">
        <v>11430</v>
      </c>
      <c r="R2333" s="15" t="s">
        <v>11431</v>
      </c>
      <c r="S2333" s="12">
        <v>138</v>
      </c>
      <c r="T2333" s="12" t="s">
        <v>39</v>
      </c>
      <c r="U2333" s="12" t="s">
        <v>40</v>
      </c>
      <c r="V2333" s="12" t="s">
        <v>586</v>
      </c>
      <c r="W2333" s="12">
        <v>24000000</v>
      </c>
      <c r="X2333" s="12">
        <v>2000</v>
      </c>
      <c r="Y2333" s="12">
        <v>1000</v>
      </c>
      <c r="Z2333" s="12">
        <v>6.4</v>
      </c>
      <c r="AA2333" s="12">
        <v>2.35</v>
      </c>
      <c r="AB2333" s="12">
        <v>401</v>
      </c>
      <c r="AC2333" s="12"/>
      <c r="AD2333" s="12" t="str">
        <f>IFERROR(__xludf.DUMMYFUNCTION("""COMPUTED_VALUE"""),"Larry Bagby")</f>
        <v>Larry Bagby</v>
      </c>
      <c r="AE2333" s="12"/>
    </row>
    <row r="2334" customHeight="1" spans="1:31">
      <c r="A2334" s="11" t="s">
        <v>30</v>
      </c>
      <c r="B2334" s="11" t="s">
        <v>11432</v>
      </c>
      <c r="C2334" s="11">
        <v>28</v>
      </c>
      <c r="D2334" s="11">
        <v>88</v>
      </c>
      <c r="E2334" s="11">
        <v>12</v>
      </c>
      <c r="F2334" s="11">
        <v>231</v>
      </c>
      <c r="G2334" s="11">
        <v>979</v>
      </c>
      <c r="H2334" s="11">
        <v>1064277</v>
      </c>
      <c r="I2334" s="11" t="s">
        <v>9791</v>
      </c>
      <c r="J2334" s="11" t="s">
        <v>1654</v>
      </c>
      <c r="K2334" s="11" t="s">
        <v>11433</v>
      </c>
      <c r="L2334" s="11" t="s">
        <v>11434</v>
      </c>
      <c r="M2334" s="11" t="s">
        <v>11435</v>
      </c>
      <c r="N2334" s="11">
        <v>14015</v>
      </c>
      <c r="O2334" s="11">
        <v>1978</v>
      </c>
      <c r="P2334" s="11">
        <v>0</v>
      </c>
      <c r="Q2334" s="11" t="s">
        <v>11436</v>
      </c>
      <c r="R2334" s="14" t="s">
        <v>11437</v>
      </c>
      <c r="S2334" s="11">
        <v>83</v>
      </c>
      <c r="T2334" s="11" t="s">
        <v>39</v>
      </c>
      <c r="U2334" s="11" t="s">
        <v>40</v>
      </c>
      <c r="V2334" s="11" t="s">
        <v>278</v>
      </c>
      <c r="W2334" s="11">
        <v>20000000</v>
      </c>
      <c r="X2334" s="11">
        <v>2012</v>
      </c>
      <c r="Y2334" s="11">
        <v>532</v>
      </c>
      <c r="Z2334" s="11">
        <v>6.7</v>
      </c>
      <c r="AA2334" s="13"/>
      <c r="AB2334" s="11">
        <v>831</v>
      </c>
      <c r="AC2334" s="11"/>
      <c r="AD2334" s="11" t="str">
        <f>IFERROR(__xludf.DUMMYFUNCTION("""COMPUTED_VALUE"""),"Lily Rabe")</f>
        <v>Lily Rabe</v>
      </c>
      <c r="AE2334" s="11"/>
    </row>
    <row r="2335" customHeight="1" spans="1:31">
      <c r="A2335" s="12" t="s">
        <v>30</v>
      </c>
      <c r="B2335" s="12" t="s">
        <v>565</v>
      </c>
      <c r="C2335" s="12">
        <v>131</v>
      </c>
      <c r="D2335" s="12">
        <v>122</v>
      </c>
      <c r="E2335" s="12">
        <v>11000</v>
      </c>
      <c r="F2335" s="12">
        <v>188</v>
      </c>
      <c r="G2335" s="12">
        <v>11000</v>
      </c>
      <c r="H2335" s="12">
        <v>531009</v>
      </c>
      <c r="I2335" s="12" t="s">
        <v>214</v>
      </c>
      <c r="J2335" s="12" t="s">
        <v>343</v>
      </c>
      <c r="K2335" s="12" t="s">
        <v>565</v>
      </c>
      <c r="L2335" s="12" t="s">
        <v>11438</v>
      </c>
      <c r="M2335" s="12" t="s">
        <v>11439</v>
      </c>
      <c r="N2335" s="12">
        <v>7976</v>
      </c>
      <c r="O2335" s="12">
        <v>22319</v>
      </c>
      <c r="P2335" s="12">
        <v>0</v>
      </c>
      <c r="Q2335" s="12" t="s">
        <v>11440</v>
      </c>
      <c r="R2335" s="15" t="s">
        <v>11441</v>
      </c>
      <c r="S2335" s="12">
        <v>61</v>
      </c>
      <c r="T2335" s="12" t="s">
        <v>39</v>
      </c>
      <c r="U2335" s="12" t="s">
        <v>40</v>
      </c>
      <c r="V2335" s="12" t="s">
        <v>586</v>
      </c>
      <c r="W2335" s="12">
        <v>10000000</v>
      </c>
      <c r="X2335" s="12">
        <v>2015</v>
      </c>
      <c r="Y2335" s="12">
        <v>11000</v>
      </c>
      <c r="Z2335" s="12">
        <v>5.3</v>
      </c>
      <c r="AA2335" s="12">
        <v>2.35</v>
      </c>
      <c r="AB2335" s="12">
        <v>0</v>
      </c>
      <c r="AC2335" s="12"/>
      <c r="AD2335" s="12" t="str">
        <f>IFERROR(__xludf.DUMMYFUNCTION("""COMPUTED_VALUE"""),"Elizabeth McGovern")</f>
        <v>Elizabeth McGovern</v>
      </c>
      <c r="AE2335" s="12"/>
    </row>
    <row r="2336" customHeight="1" spans="1:31">
      <c r="A2336" s="11" t="s">
        <v>30</v>
      </c>
      <c r="B2336" s="11" t="s">
        <v>11442</v>
      </c>
      <c r="C2336" s="11">
        <v>105</v>
      </c>
      <c r="D2336" s="11">
        <v>103</v>
      </c>
      <c r="E2336" s="11">
        <v>78</v>
      </c>
      <c r="F2336" s="11">
        <v>101</v>
      </c>
      <c r="G2336" s="11">
        <v>488</v>
      </c>
      <c r="H2336" s="11">
        <v>410388</v>
      </c>
      <c r="I2336" s="11" t="s">
        <v>11443</v>
      </c>
      <c r="J2336" s="11" t="s">
        <v>7246</v>
      </c>
      <c r="K2336" s="11" t="s">
        <v>510</v>
      </c>
      <c r="L2336" s="11" t="s">
        <v>11444</v>
      </c>
      <c r="M2336" s="11" t="s">
        <v>11445</v>
      </c>
      <c r="N2336" s="11">
        <v>13727</v>
      </c>
      <c r="O2336" s="11">
        <v>991</v>
      </c>
      <c r="P2336" s="11">
        <v>1</v>
      </c>
      <c r="Q2336" s="11" t="s">
        <v>11446</v>
      </c>
      <c r="R2336" s="14" t="s">
        <v>11447</v>
      </c>
      <c r="S2336" s="11">
        <v>79</v>
      </c>
      <c r="T2336" s="11" t="s">
        <v>677</v>
      </c>
      <c r="U2336" s="11" t="s">
        <v>678</v>
      </c>
      <c r="V2336" s="11" t="s">
        <v>41</v>
      </c>
      <c r="W2336" s="11">
        <v>2127519898</v>
      </c>
      <c r="X2336" s="11">
        <v>2004</v>
      </c>
      <c r="Y2336" s="11">
        <v>336</v>
      </c>
      <c r="Z2336" s="11">
        <v>6.9</v>
      </c>
      <c r="AA2336" s="11">
        <v>1.85</v>
      </c>
      <c r="AB2336" s="11">
        <v>973</v>
      </c>
      <c r="AC2336" s="11"/>
      <c r="AD2336" s="11" t="str">
        <f>IFERROR(__xludf.DUMMYFUNCTION("""COMPUTED_VALUE"""),"Deborah Twiss")</f>
        <v>Deborah Twiss</v>
      </c>
      <c r="AE2336" s="11"/>
    </row>
    <row r="2337" customHeight="1" spans="1:31">
      <c r="A2337" s="12" t="s">
        <v>30</v>
      </c>
      <c r="B2337" s="12" t="s">
        <v>11448</v>
      </c>
      <c r="C2337" s="12">
        <v>21</v>
      </c>
      <c r="D2337" s="12">
        <v>101</v>
      </c>
      <c r="E2337" s="12">
        <v>25</v>
      </c>
      <c r="F2337" s="12">
        <v>407</v>
      </c>
      <c r="G2337" s="12">
        <v>18000</v>
      </c>
      <c r="H2337" s="12">
        <v>375474</v>
      </c>
      <c r="I2337" s="12" t="s">
        <v>2298</v>
      </c>
      <c r="J2337" s="12" t="s">
        <v>641</v>
      </c>
      <c r="K2337" s="12" t="s">
        <v>5920</v>
      </c>
      <c r="L2337" s="12" t="s">
        <v>11449</v>
      </c>
      <c r="M2337" s="12" t="s">
        <v>11450</v>
      </c>
      <c r="N2337" s="12">
        <v>2613</v>
      </c>
      <c r="O2337" s="12">
        <v>20354</v>
      </c>
      <c r="P2337" s="12">
        <v>0</v>
      </c>
      <c r="Q2337" s="12" t="s">
        <v>11451</v>
      </c>
      <c r="R2337" s="15" t="s">
        <v>11452</v>
      </c>
      <c r="S2337" s="12">
        <v>46</v>
      </c>
      <c r="T2337" s="12" t="s">
        <v>39</v>
      </c>
      <c r="U2337" s="12" t="s">
        <v>40</v>
      </c>
      <c r="V2337" s="12" t="s">
        <v>96</v>
      </c>
      <c r="W2337" s="12">
        <v>20000000</v>
      </c>
      <c r="X2337" s="12">
        <v>2005</v>
      </c>
      <c r="Y2337" s="12">
        <v>723</v>
      </c>
      <c r="Z2337" s="12">
        <v>6.2</v>
      </c>
      <c r="AA2337" s="12">
        <v>2.35</v>
      </c>
      <c r="AB2337" s="12">
        <v>445</v>
      </c>
      <c r="AC2337" s="12"/>
      <c r="AD2337" s="12" t="str">
        <f>IFERROR(__xludf.DUMMYFUNCTION("""COMPUTED_VALUE"""),"Dilshad Vadsaria")</f>
        <v>Dilshad Vadsaria</v>
      </c>
      <c r="AE2337" s="12"/>
    </row>
    <row r="2338" customHeight="1" spans="1:31">
      <c r="A2338" s="11" t="s">
        <v>30</v>
      </c>
      <c r="B2338" s="11" t="s">
        <v>11453</v>
      </c>
      <c r="C2338" s="11">
        <v>140</v>
      </c>
      <c r="D2338" s="11">
        <v>101</v>
      </c>
      <c r="E2338" s="11">
        <v>46</v>
      </c>
      <c r="F2338" s="11">
        <v>902</v>
      </c>
      <c r="G2338" s="11">
        <v>33000</v>
      </c>
      <c r="H2338" s="11">
        <v>578382</v>
      </c>
      <c r="I2338" s="11" t="s">
        <v>11454</v>
      </c>
      <c r="J2338" s="11" t="s">
        <v>4214</v>
      </c>
      <c r="K2338" s="11" t="s">
        <v>84</v>
      </c>
      <c r="L2338" s="11" t="s">
        <v>122</v>
      </c>
      <c r="M2338" s="11" t="s">
        <v>11455</v>
      </c>
      <c r="N2338" s="11">
        <v>41249</v>
      </c>
      <c r="O2338" s="11">
        <v>39515</v>
      </c>
      <c r="P2338" s="11">
        <v>2</v>
      </c>
      <c r="Q2338" s="11" t="s">
        <v>11456</v>
      </c>
      <c r="R2338" s="14" t="s">
        <v>11457</v>
      </c>
      <c r="S2338" s="11">
        <v>67</v>
      </c>
      <c r="T2338" s="11" t="s">
        <v>39</v>
      </c>
      <c r="U2338" s="11" t="s">
        <v>40</v>
      </c>
      <c r="V2338" s="11" t="s">
        <v>586</v>
      </c>
      <c r="W2338" s="13"/>
      <c r="X2338" s="11">
        <v>2010</v>
      </c>
      <c r="Y2338" s="11">
        <v>4000</v>
      </c>
      <c r="Z2338" s="11">
        <v>6.3</v>
      </c>
      <c r="AA2338" s="11">
        <v>1.85</v>
      </c>
      <c r="AB2338" s="11">
        <v>0</v>
      </c>
      <c r="AC2338" s="11"/>
      <c r="AD2338" s="11" t="str">
        <f>IFERROR(__xludf.DUMMYFUNCTION("""COMPUTED_VALUE"""),"Jeri Ryan")</f>
        <v>Jeri Ryan</v>
      </c>
      <c r="AE2338" s="11"/>
    </row>
    <row r="2339" customHeight="1" spans="1:31">
      <c r="A2339" s="12" t="s">
        <v>30</v>
      </c>
      <c r="B2339" s="12" t="s">
        <v>529</v>
      </c>
      <c r="C2339" s="12">
        <v>9</v>
      </c>
      <c r="D2339" s="12">
        <v>107</v>
      </c>
      <c r="E2339" s="12">
        <v>58</v>
      </c>
      <c r="F2339" s="12">
        <v>324</v>
      </c>
      <c r="G2339" s="12">
        <v>699</v>
      </c>
      <c r="H2339" s="12">
        <v>305070</v>
      </c>
      <c r="I2339" s="12" t="s">
        <v>2900</v>
      </c>
      <c r="J2339" s="12" t="s">
        <v>11458</v>
      </c>
      <c r="K2339" s="12" t="s">
        <v>2557</v>
      </c>
      <c r="L2339" s="12" t="s">
        <v>3460</v>
      </c>
      <c r="M2339" s="12" t="s">
        <v>11459</v>
      </c>
      <c r="N2339" s="12">
        <v>3843</v>
      </c>
      <c r="O2339" s="12">
        <v>1592</v>
      </c>
      <c r="P2339" s="12">
        <v>1</v>
      </c>
      <c r="Q2339" s="12" t="s">
        <v>11460</v>
      </c>
      <c r="R2339" s="15" t="s">
        <v>11461</v>
      </c>
      <c r="S2339" s="12">
        <v>25</v>
      </c>
      <c r="T2339" s="12" t="s">
        <v>39</v>
      </c>
      <c r="U2339" s="12" t="s">
        <v>40</v>
      </c>
      <c r="V2339" s="12" t="s">
        <v>586</v>
      </c>
      <c r="W2339" s="12">
        <v>20000000</v>
      </c>
      <c r="X2339" s="12">
        <v>1994</v>
      </c>
      <c r="Y2339" s="12">
        <v>533</v>
      </c>
      <c r="Z2339" s="12">
        <v>6.4</v>
      </c>
      <c r="AA2339" s="12">
        <v>2.35</v>
      </c>
      <c r="AB2339" s="12">
        <v>399</v>
      </c>
      <c r="AC2339" s="12"/>
      <c r="AD2339" s="12" t="str">
        <f>IFERROR(__xludf.DUMMYFUNCTION("""COMPUTED_VALUE"""),"Talulah Riley")</f>
        <v>Talulah Riley</v>
      </c>
      <c r="AE2339" s="12"/>
    </row>
    <row r="2340" customHeight="1" spans="1:31">
      <c r="A2340" s="11" t="s">
        <v>30</v>
      </c>
      <c r="B2340" s="11" t="s">
        <v>11095</v>
      </c>
      <c r="C2340" s="11">
        <v>83</v>
      </c>
      <c r="D2340" s="11">
        <v>86</v>
      </c>
      <c r="E2340" s="11">
        <v>0</v>
      </c>
      <c r="F2340" s="11">
        <v>3</v>
      </c>
      <c r="G2340" s="11">
        <v>46</v>
      </c>
      <c r="H2340" s="11">
        <v>206678</v>
      </c>
      <c r="I2340" s="11" t="s">
        <v>2658</v>
      </c>
      <c r="J2340" s="11" t="s">
        <v>6995</v>
      </c>
      <c r="K2340" s="11" t="s">
        <v>11462</v>
      </c>
      <c r="L2340" s="11" t="s">
        <v>11463</v>
      </c>
      <c r="M2340" s="11" t="s">
        <v>11464</v>
      </c>
      <c r="N2340" s="11">
        <v>11391</v>
      </c>
      <c r="O2340" s="11">
        <v>82</v>
      </c>
      <c r="P2340" s="11">
        <v>1</v>
      </c>
      <c r="Q2340" s="11" t="s">
        <v>11465</v>
      </c>
      <c r="R2340" s="14" t="s">
        <v>11466</v>
      </c>
      <c r="S2340" s="11">
        <v>66</v>
      </c>
      <c r="T2340" s="11" t="s">
        <v>7242</v>
      </c>
      <c r="U2340" s="11" t="s">
        <v>3860</v>
      </c>
      <c r="V2340" s="11" t="s">
        <v>96</v>
      </c>
      <c r="W2340" s="13"/>
      <c r="X2340" s="11">
        <v>2008</v>
      </c>
      <c r="Y2340" s="11">
        <v>33</v>
      </c>
      <c r="Z2340" s="11">
        <v>6.5</v>
      </c>
      <c r="AA2340" s="11">
        <v>2.35</v>
      </c>
      <c r="AB2340" s="11">
        <v>1000</v>
      </c>
      <c r="AC2340" s="11"/>
      <c r="AD2340" s="11" t="str">
        <f>IFERROR(__xludf.DUMMYFUNCTION("""COMPUTED_VALUE"""),"Simon Woods")</f>
        <v>Simon Woods</v>
      </c>
      <c r="AE2340" s="11"/>
    </row>
    <row r="2341" customHeight="1" spans="1:31">
      <c r="A2341" s="12" t="s">
        <v>30</v>
      </c>
      <c r="B2341" s="12" t="s">
        <v>6828</v>
      </c>
      <c r="C2341" s="12">
        <v>8</v>
      </c>
      <c r="D2341" s="12">
        <v>118</v>
      </c>
      <c r="E2341" s="12">
        <v>8</v>
      </c>
      <c r="F2341" s="12">
        <v>11</v>
      </c>
      <c r="G2341" s="12">
        <v>106</v>
      </c>
      <c r="H2341" s="12">
        <v>146072</v>
      </c>
      <c r="I2341" s="12" t="s">
        <v>11467</v>
      </c>
      <c r="J2341" s="12" t="s">
        <v>11468</v>
      </c>
      <c r="K2341" s="12" t="s">
        <v>11469</v>
      </c>
      <c r="L2341" s="12" t="s">
        <v>11470</v>
      </c>
      <c r="M2341" s="12" t="s">
        <v>11471</v>
      </c>
      <c r="N2341" s="12">
        <v>7147</v>
      </c>
      <c r="O2341" s="12">
        <v>182</v>
      </c>
      <c r="P2341" s="12">
        <v>0</v>
      </c>
      <c r="Q2341" s="12" t="s">
        <v>11472</v>
      </c>
      <c r="R2341" s="15" t="s">
        <v>11473</v>
      </c>
      <c r="S2341" s="12">
        <v>16</v>
      </c>
      <c r="T2341" s="12" t="s">
        <v>1465</v>
      </c>
      <c r="U2341" s="12" t="s">
        <v>1466</v>
      </c>
      <c r="V2341" s="16"/>
      <c r="W2341" s="12">
        <v>140000000</v>
      </c>
      <c r="X2341" s="12">
        <v>1998</v>
      </c>
      <c r="Y2341" s="12">
        <v>56</v>
      </c>
      <c r="Z2341" s="12">
        <v>6</v>
      </c>
      <c r="AA2341" s="12">
        <v>2.35</v>
      </c>
      <c r="AB2341" s="12">
        <v>136</v>
      </c>
      <c r="AC2341" s="12"/>
      <c r="AD2341" s="12" t="str">
        <f>IFERROR(__xludf.DUMMYFUNCTION("""COMPUTED_VALUE"""),"Sean Young")</f>
        <v>Sean Young</v>
      </c>
      <c r="AE2341" s="12"/>
    </row>
    <row r="2342" customHeight="1" spans="1:31">
      <c r="A2342" s="11" t="s">
        <v>30</v>
      </c>
      <c r="B2342" s="11" t="s">
        <v>7349</v>
      </c>
      <c r="C2342" s="11">
        <v>138</v>
      </c>
      <c r="D2342" s="11">
        <v>107</v>
      </c>
      <c r="E2342" s="11">
        <v>14</v>
      </c>
      <c r="F2342" s="11">
        <v>311</v>
      </c>
      <c r="G2342" s="11">
        <v>403</v>
      </c>
      <c r="H2342" s="11">
        <v>1183354</v>
      </c>
      <c r="I2342" s="11" t="s">
        <v>11474</v>
      </c>
      <c r="J2342" s="11" t="s">
        <v>7854</v>
      </c>
      <c r="K2342" s="11" t="s">
        <v>11475</v>
      </c>
      <c r="L2342" s="11" t="s">
        <v>5718</v>
      </c>
      <c r="M2342" s="11" t="s">
        <v>11476</v>
      </c>
      <c r="N2342" s="11">
        <v>13026</v>
      </c>
      <c r="O2342" s="11">
        <v>1577</v>
      </c>
      <c r="P2342" s="11">
        <v>1</v>
      </c>
      <c r="Q2342" s="11" t="s">
        <v>11477</v>
      </c>
      <c r="R2342" s="14" t="s">
        <v>11478</v>
      </c>
      <c r="S2342" s="11">
        <v>75</v>
      </c>
      <c r="T2342" s="11" t="s">
        <v>39</v>
      </c>
      <c r="U2342" s="11" t="s">
        <v>40</v>
      </c>
      <c r="V2342" s="11" t="s">
        <v>41</v>
      </c>
      <c r="W2342" s="11">
        <v>20000000</v>
      </c>
      <c r="X2342" s="11">
        <v>2010</v>
      </c>
      <c r="Y2342" s="11">
        <v>368</v>
      </c>
      <c r="Z2342" s="11">
        <v>5.1</v>
      </c>
      <c r="AA2342" s="11">
        <v>2.35</v>
      </c>
      <c r="AB2342" s="11">
        <v>0</v>
      </c>
      <c r="AC2342" s="11"/>
      <c r="AD2342" s="11" t="str">
        <f>IFERROR(__xludf.DUMMYFUNCTION("""COMPUTED_VALUE"""),"Richard Sammel")</f>
        <v>Richard Sammel</v>
      </c>
      <c r="AE2342" s="11"/>
    </row>
    <row r="2343" customHeight="1" spans="1:31">
      <c r="A2343" s="12" t="s">
        <v>30</v>
      </c>
      <c r="B2343" s="12" t="s">
        <v>11479</v>
      </c>
      <c r="C2343" s="12">
        <v>42</v>
      </c>
      <c r="D2343" s="12">
        <v>100</v>
      </c>
      <c r="E2343" s="12">
        <v>3</v>
      </c>
      <c r="F2343" s="12">
        <v>442</v>
      </c>
      <c r="G2343" s="12">
        <v>14000</v>
      </c>
      <c r="H2343" s="12">
        <v>121972</v>
      </c>
      <c r="I2343" s="12" t="s">
        <v>3082</v>
      </c>
      <c r="J2343" s="12" t="s">
        <v>2383</v>
      </c>
      <c r="K2343" s="12" t="s">
        <v>2987</v>
      </c>
      <c r="L2343" s="12" t="s">
        <v>11480</v>
      </c>
      <c r="M2343" s="12" t="s">
        <v>11481</v>
      </c>
      <c r="N2343" s="12">
        <v>9868</v>
      </c>
      <c r="O2343" s="12">
        <v>15612</v>
      </c>
      <c r="P2343" s="12">
        <v>3</v>
      </c>
      <c r="Q2343" s="12" t="s">
        <v>11482</v>
      </c>
      <c r="R2343" s="15" t="s">
        <v>11483</v>
      </c>
      <c r="S2343" s="12">
        <v>81</v>
      </c>
      <c r="T2343" s="12" t="s">
        <v>39</v>
      </c>
      <c r="U2343" s="12" t="s">
        <v>40</v>
      </c>
      <c r="V2343" s="12" t="s">
        <v>586</v>
      </c>
      <c r="W2343" s="12">
        <v>22000000</v>
      </c>
      <c r="X2343" s="12">
        <v>2002</v>
      </c>
      <c r="Y2343" s="12">
        <v>506</v>
      </c>
      <c r="Z2343" s="12">
        <v>5.5</v>
      </c>
      <c r="AA2343" s="12">
        <v>1.85</v>
      </c>
      <c r="AB2343" s="12">
        <v>217</v>
      </c>
      <c r="AC2343" s="12"/>
      <c r="AD2343" s="12" t="str">
        <f>IFERROR(__xludf.DUMMYFUNCTION("""COMPUTED_VALUE"""),"Tómas Lemarquis")</f>
        <v>Tómas Lemarquis</v>
      </c>
      <c r="AE2343" s="12"/>
    </row>
    <row r="2344" customHeight="1" spans="1:31">
      <c r="A2344" s="11" t="s">
        <v>30</v>
      </c>
      <c r="B2344" s="13"/>
      <c r="C2344" s="13"/>
      <c r="D2344" s="11">
        <v>30</v>
      </c>
      <c r="E2344" s="13"/>
      <c r="F2344" s="11">
        <v>9</v>
      </c>
      <c r="G2344" s="11">
        <v>310</v>
      </c>
      <c r="H2344" s="13"/>
      <c r="I2344" s="11" t="s">
        <v>7144</v>
      </c>
      <c r="J2344" s="11" t="s">
        <v>11484</v>
      </c>
      <c r="K2344" s="11" t="s">
        <v>11485</v>
      </c>
      <c r="L2344" s="11" t="s">
        <v>11486</v>
      </c>
      <c r="M2344" s="11" t="s">
        <v>11487</v>
      </c>
      <c r="N2344" s="11">
        <v>18</v>
      </c>
      <c r="O2344" s="11">
        <v>344</v>
      </c>
      <c r="P2344" s="11">
        <v>4</v>
      </c>
      <c r="Q2344" s="13"/>
      <c r="R2344" s="14" t="s">
        <v>11488</v>
      </c>
      <c r="S2344" s="13"/>
      <c r="T2344" s="11" t="s">
        <v>39</v>
      </c>
      <c r="U2344" s="11" t="s">
        <v>58</v>
      </c>
      <c r="V2344" s="13"/>
      <c r="W2344" s="13"/>
      <c r="X2344" s="13"/>
      <c r="Y2344" s="11">
        <v>11</v>
      </c>
      <c r="Z2344" s="11">
        <v>7.2</v>
      </c>
      <c r="AA2344" s="13"/>
      <c r="AB2344" s="11">
        <v>0</v>
      </c>
      <c r="AC2344" s="11"/>
      <c r="AD2344" s="11" t="str">
        <f>IFERROR(__xludf.DUMMYFUNCTION("""COMPUTED_VALUE"""),"Oleg Taktarov")</f>
        <v>Oleg Taktarov</v>
      </c>
      <c r="AE2344" s="11"/>
    </row>
    <row r="2345" customHeight="1" spans="1:31">
      <c r="A2345" s="12" t="s">
        <v>30</v>
      </c>
      <c r="B2345" s="12" t="s">
        <v>5883</v>
      </c>
      <c r="C2345" s="12">
        <v>92</v>
      </c>
      <c r="D2345" s="12">
        <v>110</v>
      </c>
      <c r="E2345" s="12">
        <v>278</v>
      </c>
      <c r="F2345" s="12">
        <v>181</v>
      </c>
      <c r="G2345" s="12">
        <v>3000</v>
      </c>
      <c r="H2345" s="12">
        <v>263365</v>
      </c>
      <c r="I2345" s="12" t="s">
        <v>2490</v>
      </c>
      <c r="J2345" s="12" t="s">
        <v>656</v>
      </c>
      <c r="K2345" s="12" t="s">
        <v>7206</v>
      </c>
      <c r="L2345" s="12" t="s">
        <v>11489</v>
      </c>
      <c r="M2345" s="12" t="s">
        <v>11490</v>
      </c>
      <c r="N2345" s="12">
        <v>6147</v>
      </c>
      <c r="O2345" s="12">
        <v>3785</v>
      </c>
      <c r="P2345" s="12">
        <v>2</v>
      </c>
      <c r="Q2345" s="12" t="s">
        <v>11491</v>
      </c>
      <c r="R2345" s="15" t="s">
        <v>11492</v>
      </c>
      <c r="S2345" s="12">
        <v>36</v>
      </c>
      <c r="T2345" s="12" t="s">
        <v>39</v>
      </c>
      <c r="U2345" s="12" t="s">
        <v>40</v>
      </c>
      <c r="V2345" s="12" t="s">
        <v>41</v>
      </c>
      <c r="W2345" s="12">
        <v>20000000</v>
      </c>
      <c r="X2345" s="12">
        <v>2010</v>
      </c>
      <c r="Y2345" s="12">
        <v>602</v>
      </c>
      <c r="Z2345" s="12">
        <v>5.4</v>
      </c>
      <c r="AA2345" s="12">
        <v>2.35</v>
      </c>
      <c r="AB2345" s="12">
        <v>0</v>
      </c>
      <c r="AC2345" s="12"/>
      <c r="AD2345" s="12" t="str">
        <f>IFERROR(__xludf.DUMMYFUNCTION("""COMPUTED_VALUE"""),"Antoni Corone")</f>
        <v>Antoni Corone</v>
      </c>
      <c r="AE2345" s="12"/>
    </row>
    <row r="2346" customHeight="1" spans="1:31">
      <c r="A2346" s="11" t="s">
        <v>30</v>
      </c>
      <c r="B2346" s="11" t="s">
        <v>3564</v>
      </c>
      <c r="C2346" s="11">
        <v>140</v>
      </c>
      <c r="D2346" s="11">
        <v>106</v>
      </c>
      <c r="E2346" s="11">
        <v>448</v>
      </c>
      <c r="F2346" s="11">
        <v>648</v>
      </c>
      <c r="G2346" s="11">
        <v>9000</v>
      </c>
      <c r="H2346" s="11">
        <v>54734</v>
      </c>
      <c r="I2346" s="11" t="s">
        <v>2142</v>
      </c>
      <c r="J2346" s="11" t="s">
        <v>1206</v>
      </c>
      <c r="K2346" s="11" t="s">
        <v>11493</v>
      </c>
      <c r="L2346" s="11" t="s">
        <v>7954</v>
      </c>
      <c r="M2346" s="11" t="s">
        <v>11494</v>
      </c>
      <c r="N2346" s="11">
        <v>20821</v>
      </c>
      <c r="O2346" s="11">
        <v>10982</v>
      </c>
      <c r="P2346" s="11">
        <v>1</v>
      </c>
      <c r="Q2346" s="11" t="s">
        <v>11495</v>
      </c>
      <c r="R2346" s="14" t="s">
        <v>11496</v>
      </c>
      <c r="S2346" s="11">
        <v>62</v>
      </c>
      <c r="T2346" s="11" t="s">
        <v>39</v>
      </c>
      <c r="U2346" s="11" t="s">
        <v>3572</v>
      </c>
      <c r="V2346" s="11" t="s">
        <v>586</v>
      </c>
      <c r="W2346" s="13"/>
      <c r="X2346" s="11">
        <v>2015</v>
      </c>
      <c r="Y2346" s="11">
        <v>750</v>
      </c>
      <c r="Z2346" s="11">
        <v>5.7</v>
      </c>
      <c r="AA2346" s="11">
        <v>2.35</v>
      </c>
      <c r="AB2346" s="11">
        <v>0</v>
      </c>
      <c r="AC2346" s="11"/>
      <c r="AD2346" s="11" t="str">
        <f>IFERROR(__xludf.DUMMYFUNCTION("""COMPUTED_VALUE"""),"Bob Clendenin")</f>
        <v>Bob Clendenin</v>
      </c>
      <c r="AE2346" s="11"/>
    </row>
    <row r="2347" customHeight="1" spans="1:31">
      <c r="A2347" s="12" t="s">
        <v>30</v>
      </c>
      <c r="B2347" s="12" t="s">
        <v>11497</v>
      </c>
      <c r="C2347" s="16"/>
      <c r="D2347" s="12">
        <v>7</v>
      </c>
      <c r="E2347" s="12">
        <v>23</v>
      </c>
      <c r="F2347" s="12">
        <v>51</v>
      </c>
      <c r="G2347" s="12">
        <v>344</v>
      </c>
      <c r="H2347" s="16"/>
      <c r="I2347" s="12" t="s">
        <v>11498</v>
      </c>
      <c r="J2347" s="12" t="s">
        <v>11499</v>
      </c>
      <c r="K2347" s="12" t="s">
        <v>11500</v>
      </c>
      <c r="L2347" s="12" t="s">
        <v>11501</v>
      </c>
      <c r="M2347" s="12" t="s">
        <v>11502</v>
      </c>
      <c r="N2347" s="12">
        <v>118</v>
      </c>
      <c r="O2347" s="12">
        <v>726</v>
      </c>
      <c r="P2347" s="12">
        <v>0</v>
      </c>
      <c r="Q2347" s="12" t="s">
        <v>11503</v>
      </c>
      <c r="R2347" s="15" t="s">
        <v>11504</v>
      </c>
      <c r="S2347" s="16"/>
      <c r="T2347" s="12" t="s">
        <v>39</v>
      </c>
      <c r="U2347" s="12" t="s">
        <v>40</v>
      </c>
      <c r="V2347" s="16"/>
      <c r="W2347" s="12">
        <v>13000</v>
      </c>
      <c r="X2347" s="12">
        <v>2007</v>
      </c>
      <c r="Y2347" s="12">
        <v>281</v>
      </c>
      <c r="Z2347" s="12">
        <v>5.2</v>
      </c>
      <c r="AA2347" s="12">
        <v>1.85</v>
      </c>
      <c r="AB2347" s="12">
        <v>30</v>
      </c>
      <c r="AC2347" s="12"/>
      <c r="AD2347" s="12" t="str">
        <f>IFERROR(__xludf.DUMMYFUNCTION("""COMPUTED_VALUE"""),"Ben Chaplin")</f>
        <v>Ben Chaplin</v>
      </c>
      <c r="AE2347" s="12"/>
    </row>
    <row r="2348" customHeight="1" spans="1:31">
      <c r="A2348" s="11" t="s">
        <v>30</v>
      </c>
      <c r="B2348" s="11" t="s">
        <v>3874</v>
      </c>
      <c r="C2348" s="11">
        <v>29</v>
      </c>
      <c r="D2348" s="11">
        <v>102</v>
      </c>
      <c r="E2348" s="11">
        <v>10</v>
      </c>
      <c r="F2348" s="11">
        <v>60</v>
      </c>
      <c r="G2348" s="11">
        <v>483</v>
      </c>
      <c r="H2348" s="13"/>
      <c r="I2348" s="11" t="s">
        <v>1017</v>
      </c>
      <c r="J2348" s="11" t="s">
        <v>6883</v>
      </c>
      <c r="K2348" s="11" t="s">
        <v>11505</v>
      </c>
      <c r="L2348" s="11" t="s">
        <v>11506</v>
      </c>
      <c r="M2348" s="11" t="s">
        <v>11507</v>
      </c>
      <c r="N2348" s="11">
        <v>5154</v>
      </c>
      <c r="O2348" s="11">
        <v>1113</v>
      </c>
      <c r="P2348" s="11">
        <v>3</v>
      </c>
      <c r="Q2348" s="11" t="s">
        <v>11508</v>
      </c>
      <c r="R2348" s="14" t="s">
        <v>11509</v>
      </c>
      <c r="S2348" s="11">
        <v>29</v>
      </c>
      <c r="T2348" s="11" t="s">
        <v>1947</v>
      </c>
      <c r="U2348" s="11" t="s">
        <v>893</v>
      </c>
      <c r="V2348" s="11" t="s">
        <v>586</v>
      </c>
      <c r="W2348" s="11">
        <v>25000000</v>
      </c>
      <c r="X2348" s="11">
        <v>2008</v>
      </c>
      <c r="Y2348" s="11">
        <v>472</v>
      </c>
      <c r="Z2348" s="11">
        <v>6.2</v>
      </c>
      <c r="AA2348" s="11">
        <v>2.35</v>
      </c>
      <c r="AB2348" s="11">
        <v>314</v>
      </c>
      <c r="AC2348" s="11"/>
      <c r="AD2348" s="11" t="str">
        <f>IFERROR(__xludf.DUMMYFUNCTION("""COMPUTED_VALUE"""),"Philippe Labro")</f>
        <v>Philippe Labro</v>
      </c>
      <c r="AE2348" s="11"/>
    </row>
    <row r="2349" customHeight="1" spans="1:31">
      <c r="A2349" s="12" t="s">
        <v>30</v>
      </c>
      <c r="B2349" s="12" t="s">
        <v>11510</v>
      </c>
      <c r="C2349" s="12">
        <v>29</v>
      </c>
      <c r="D2349" s="12">
        <v>98</v>
      </c>
      <c r="E2349" s="12">
        <v>5</v>
      </c>
      <c r="F2349" s="12">
        <v>716</v>
      </c>
      <c r="G2349" s="12">
        <v>18000</v>
      </c>
      <c r="H2349" s="16"/>
      <c r="I2349" s="12" t="s">
        <v>2126</v>
      </c>
      <c r="J2349" s="12" t="s">
        <v>641</v>
      </c>
      <c r="K2349" s="12" t="s">
        <v>3063</v>
      </c>
      <c r="L2349" s="12" t="s">
        <v>731</v>
      </c>
      <c r="M2349" s="12" t="s">
        <v>11511</v>
      </c>
      <c r="N2349" s="12">
        <v>25450</v>
      </c>
      <c r="O2349" s="12">
        <v>20472</v>
      </c>
      <c r="P2349" s="12">
        <v>1</v>
      </c>
      <c r="Q2349" s="12" t="s">
        <v>11512</v>
      </c>
      <c r="R2349" s="15" t="s">
        <v>11513</v>
      </c>
      <c r="S2349" s="12">
        <v>118</v>
      </c>
      <c r="T2349" s="12" t="s">
        <v>39</v>
      </c>
      <c r="U2349" s="12" t="s">
        <v>58</v>
      </c>
      <c r="V2349" s="12" t="s">
        <v>586</v>
      </c>
      <c r="W2349" s="12">
        <v>20000000</v>
      </c>
      <c r="X2349" s="12">
        <v>2007</v>
      </c>
      <c r="Y2349" s="12">
        <v>867</v>
      </c>
      <c r="Z2349" s="12">
        <v>6.7</v>
      </c>
      <c r="AA2349" s="12">
        <v>2.35</v>
      </c>
      <c r="AB2349" s="12">
        <v>0</v>
      </c>
      <c r="AC2349" s="12"/>
      <c r="AD2349" s="12" t="str">
        <f>IFERROR(__xludf.DUMMYFUNCTION("""COMPUTED_VALUE"""),"Samaire Armstrong")</f>
        <v>Samaire Armstrong</v>
      </c>
      <c r="AE2349" s="12"/>
    </row>
    <row r="2350" customHeight="1" spans="1:31">
      <c r="A2350" s="11" t="s">
        <v>30</v>
      </c>
      <c r="B2350" s="11" t="s">
        <v>11514</v>
      </c>
      <c r="C2350" s="11">
        <v>39</v>
      </c>
      <c r="D2350" s="11">
        <v>83</v>
      </c>
      <c r="E2350" s="11">
        <v>0</v>
      </c>
      <c r="F2350" s="11">
        <v>700</v>
      </c>
      <c r="G2350" s="11">
        <v>12000</v>
      </c>
      <c r="H2350" s="13"/>
      <c r="I2350" s="11" t="s">
        <v>471</v>
      </c>
      <c r="J2350" s="11" t="s">
        <v>1029</v>
      </c>
      <c r="K2350" s="11" t="s">
        <v>8626</v>
      </c>
      <c r="L2350" s="11" t="s">
        <v>4546</v>
      </c>
      <c r="M2350" s="11" t="s">
        <v>11515</v>
      </c>
      <c r="N2350" s="11">
        <v>5203</v>
      </c>
      <c r="O2350" s="11">
        <v>15680</v>
      </c>
      <c r="P2350" s="11">
        <v>0</v>
      </c>
      <c r="Q2350" s="11" t="s">
        <v>11516</v>
      </c>
      <c r="R2350" s="14" t="s">
        <v>11517</v>
      </c>
      <c r="S2350" s="11">
        <v>11</v>
      </c>
      <c r="T2350" s="11" t="s">
        <v>39</v>
      </c>
      <c r="U2350" s="11" t="s">
        <v>8145</v>
      </c>
      <c r="V2350" s="11" t="s">
        <v>278</v>
      </c>
      <c r="W2350" s="11">
        <v>20000000</v>
      </c>
      <c r="X2350" s="11">
        <v>2012</v>
      </c>
      <c r="Y2350" s="11">
        <v>857</v>
      </c>
      <c r="Z2350" s="11">
        <v>5.8</v>
      </c>
      <c r="AA2350" s="11">
        <v>1.78</v>
      </c>
      <c r="AB2350" s="11">
        <v>1000</v>
      </c>
      <c r="AC2350" s="11"/>
      <c r="AD2350" s="11" t="str">
        <f>IFERROR(__xludf.DUMMYFUNCTION("""COMPUTED_VALUE"""),"Mary McCormack")</f>
        <v>Mary McCormack</v>
      </c>
      <c r="AE2350" s="11"/>
    </row>
    <row r="2351" customHeight="1" spans="1:31">
      <c r="A2351" s="12" t="s">
        <v>30</v>
      </c>
      <c r="B2351" s="12" t="s">
        <v>11518</v>
      </c>
      <c r="C2351" s="12">
        <v>2</v>
      </c>
      <c r="D2351" s="12">
        <v>153</v>
      </c>
      <c r="E2351" s="12">
        <v>0</v>
      </c>
      <c r="F2351" s="12">
        <v>7</v>
      </c>
      <c r="G2351" s="12">
        <v>109</v>
      </c>
      <c r="H2351" s="16"/>
      <c r="I2351" s="12" t="s">
        <v>5941</v>
      </c>
      <c r="J2351" s="12" t="s">
        <v>11519</v>
      </c>
      <c r="K2351" s="12" t="s">
        <v>11520</v>
      </c>
      <c r="L2351" s="12" t="s">
        <v>11521</v>
      </c>
      <c r="M2351" s="12" t="s">
        <v>11522</v>
      </c>
      <c r="N2351" s="12">
        <v>102</v>
      </c>
      <c r="O2351" s="12">
        <v>164</v>
      </c>
      <c r="P2351" s="12">
        <v>0</v>
      </c>
      <c r="Q2351" s="12" t="s">
        <v>11523</v>
      </c>
      <c r="R2351" s="15" t="s">
        <v>11524</v>
      </c>
      <c r="S2351" s="12">
        <v>1</v>
      </c>
      <c r="T2351" s="12" t="s">
        <v>39</v>
      </c>
      <c r="U2351" s="12" t="s">
        <v>5613</v>
      </c>
      <c r="V2351" s="16"/>
      <c r="W2351" s="16"/>
      <c r="X2351" s="12">
        <v>2014</v>
      </c>
      <c r="Y2351" s="12">
        <v>36</v>
      </c>
      <c r="Z2351" s="12">
        <v>7</v>
      </c>
      <c r="AA2351" s="12">
        <v>2.35</v>
      </c>
      <c r="AB2351" s="12">
        <v>58</v>
      </c>
      <c r="AC2351" s="12"/>
      <c r="AD2351" s="12" t="str">
        <f>IFERROR(__xludf.DUMMYFUNCTION("""COMPUTED_VALUE"""),"Ron Eldard")</f>
        <v>Ron Eldard</v>
      </c>
      <c r="AE2351" s="12"/>
    </row>
    <row r="2352" customHeight="1" spans="1:31">
      <c r="A2352" s="11" t="s">
        <v>30</v>
      </c>
      <c r="B2352" s="11" t="s">
        <v>11525</v>
      </c>
      <c r="C2352" s="11">
        <v>2</v>
      </c>
      <c r="D2352" s="11">
        <v>98</v>
      </c>
      <c r="E2352" s="11">
        <v>2</v>
      </c>
      <c r="F2352" s="11">
        <v>53</v>
      </c>
      <c r="G2352" s="11">
        <v>729</v>
      </c>
      <c r="H2352" s="13"/>
      <c r="I2352" s="11" t="s">
        <v>11526</v>
      </c>
      <c r="J2352" s="11" t="s">
        <v>11527</v>
      </c>
      <c r="K2352" s="11" t="s">
        <v>11528</v>
      </c>
      <c r="L2352" s="11" t="s">
        <v>11529</v>
      </c>
      <c r="M2352" s="11" t="s">
        <v>11530</v>
      </c>
      <c r="N2352" s="11">
        <v>50</v>
      </c>
      <c r="O2352" s="11">
        <v>1092</v>
      </c>
      <c r="P2352" s="11">
        <v>4</v>
      </c>
      <c r="Q2352" s="11" t="s">
        <v>11531</v>
      </c>
      <c r="R2352" s="14" t="s">
        <v>11532</v>
      </c>
      <c r="S2352" s="11">
        <v>3</v>
      </c>
      <c r="T2352" s="11" t="s">
        <v>39</v>
      </c>
      <c r="U2352" s="11" t="s">
        <v>40</v>
      </c>
      <c r="V2352" s="11" t="s">
        <v>96</v>
      </c>
      <c r="W2352" s="11">
        <v>20000000</v>
      </c>
      <c r="X2352" s="11">
        <v>2014</v>
      </c>
      <c r="Y2352" s="11">
        <v>282</v>
      </c>
      <c r="Z2352" s="11">
        <v>4.8</v>
      </c>
      <c r="AA2352" s="13"/>
      <c r="AB2352" s="11">
        <v>70</v>
      </c>
      <c r="AC2352" s="11"/>
      <c r="AD2352" s="11" t="str">
        <f>IFERROR(__xludf.DUMMYFUNCTION("""COMPUTED_VALUE"""),"George Lopez")</f>
        <v>George Lopez</v>
      </c>
      <c r="AE2352" s="11"/>
    </row>
    <row r="2353" customHeight="1" spans="1:31">
      <c r="A2353" s="12" t="s">
        <v>30</v>
      </c>
      <c r="B2353" s="12" t="s">
        <v>11533</v>
      </c>
      <c r="C2353" s="16"/>
      <c r="D2353" s="12">
        <v>105</v>
      </c>
      <c r="E2353" s="12">
        <v>23</v>
      </c>
      <c r="F2353" s="12">
        <v>897</v>
      </c>
      <c r="G2353" s="12">
        <v>22000</v>
      </c>
      <c r="H2353" s="16"/>
      <c r="I2353" s="12" t="s">
        <v>7124</v>
      </c>
      <c r="J2353" s="12" t="s">
        <v>1746</v>
      </c>
      <c r="K2353" s="12" t="s">
        <v>8433</v>
      </c>
      <c r="L2353" s="12" t="s">
        <v>878</v>
      </c>
      <c r="M2353" s="12" t="s">
        <v>11534</v>
      </c>
      <c r="N2353" s="12">
        <v>178</v>
      </c>
      <c r="O2353" s="12">
        <v>27425</v>
      </c>
      <c r="P2353" s="12">
        <v>0</v>
      </c>
      <c r="Q2353" s="12" t="s">
        <v>11535</v>
      </c>
      <c r="R2353" s="15" t="s">
        <v>11536</v>
      </c>
      <c r="S2353" s="12">
        <v>1</v>
      </c>
      <c r="T2353" s="12" t="s">
        <v>39</v>
      </c>
      <c r="U2353" s="12" t="s">
        <v>11537</v>
      </c>
      <c r="V2353" s="12" t="s">
        <v>586</v>
      </c>
      <c r="W2353" s="12">
        <v>20000000</v>
      </c>
      <c r="X2353" s="12">
        <v>2016</v>
      </c>
      <c r="Y2353" s="12">
        <v>2000</v>
      </c>
      <c r="Z2353" s="12">
        <v>7.2</v>
      </c>
      <c r="AA2353" s="16"/>
      <c r="AB2353" s="12">
        <v>0</v>
      </c>
      <c r="AC2353" s="12"/>
      <c r="AD2353" s="12" t="str">
        <f>IFERROR(__xludf.DUMMYFUNCTION("""COMPUTED_VALUE"""),"Mara Wilson")</f>
        <v>Mara Wilson</v>
      </c>
      <c r="AE2353" s="12"/>
    </row>
    <row r="2354" customHeight="1" spans="1:31">
      <c r="A2354" s="11" t="s">
        <v>30</v>
      </c>
      <c r="B2354" s="11" t="s">
        <v>5140</v>
      </c>
      <c r="C2354" s="11">
        <v>64</v>
      </c>
      <c r="D2354" s="11">
        <v>96</v>
      </c>
      <c r="E2354" s="11">
        <v>160</v>
      </c>
      <c r="F2354" s="11">
        <v>889</v>
      </c>
      <c r="G2354" s="11">
        <v>14000</v>
      </c>
      <c r="H2354" s="13"/>
      <c r="I2354" s="11" t="s">
        <v>334</v>
      </c>
      <c r="J2354" s="11" t="s">
        <v>1973</v>
      </c>
      <c r="K2354" s="11" t="s">
        <v>2677</v>
      </c>
      <c r="L2354" s="11" t="s">
        <v>4358</v>
      </c>
      <c r="M2354" s="11" t="s">
        <v>11538</v>
      </c>
      <c r="N2354" s="11">
        <v>21833</v>
      </c>
      <c r="O2354" s="11">
        <v>17957</v>
      </c>
      <c r="P2354" s="11">
        <v>2</v>
      </c>
      <c r="Q2354" s="11" t="s">
        <v>11539</v>
      </c>
      <c r="R2354" s="14" t="s">
        <v>11540</v>
      </c>
      <c r="S2354" s="11">
        <v>101</v>
      </c>
      <c r="T2354" s="11" t="s">
        <v>39</v>
      </c>
      <c r="U2354" s="11" t="s">
        <v>40</v>
      </c>
      <c r="V2354" s="11" t="s">
        <v>41</v>
      </c>
      <c r="W2354" s="11">
        <v>20000000</v>
      </c>
      <c r="X2354" s="11">
        <v>2015</v>
      </c>
      <c r="Y2354" s="11">
        <v>1000</v>
      </c>
      <c r="Z2354" s="11">
        <v>5.6</v>
      </c>
      <c r="AA2354" s="11">
        <v>2.35</v>
      </c>
      <c r="AB2354" s="11">
        <v>0</v>
      </c>
      <c r="AC2354" s="11"/>
      <c r="AD2354" s="11" t="str">
        <f>IFERROR(__xludf.DUMMYFUNCTION("""COMPUTED_VALUE"""),"Francis Capra")</f>
        <v>Francis Capra</v>
      </c>
      <c r="AE2354" s="11"/>
    </row>
    <row r="2355" customHeight="1" spans="1:31">
      <c r="A2355" s="12" t="s">
        <v>30</v>
      </c>
      <c r="B2355" s="12" t="s">
        <v>11541</v>
      </c>
      <c r="C2355" s="12">
        <v>120</v>
      </c>
      <c r="D2355" s="12">
        <v>105</v>
      </c>
      <c r="E2355" s="12">
        <v>17</v>
      </c>
      <c r="F2355" s="12">
        <v>897</v>
      </c>
      <c r="G2355" s="12">
        <v>12000</v>
      </c>
      <c r="H2355" s="16"/>
      <c r="I2355" s="12" t="s">
        <v>2142</v>
      </c>
      <c r="J2355" s="12" t="s">
        <v>705</v>
      </c>
      <c r="K2355" s="12" t="s">
        <v>3373</v>
      </c>
      <c r="L2355" s="12" t="s">
        <v>7435</v>
      </c>
      <c r="M2355" s="12" t="s">
        <v>11542</v>
      </c>
      <c r="N2355" s="12">
        <v>43879</v>
      </c>
      <c r="O2355" s="12">
        <v>16355</v>
      </c>
      <c r="P2355" s="12">
        <v>3</v>
      </c>
      <c r="Q2355" s="12" t="s">
        <v>11543</v>
      </c>
      <c r="R2355" s="15" t="s">
        <v>11544</v>
      </c>
      <c r="S2355" s="12">
        <v>133</v>
      </c>
      <c r="T2355" s="12" t="s">
        <v>39</v>
      </c>
      <c r="U2355" s="12" t="s">
        <v>40</v>
      </c>
      <c r="V2355" s="12" t="s">
        <v>586</v>
      </c>
      <c r="W2355" s="12">
        <v>27220000</v>
      </c>
      <c r="X2355" s="12">
        <v>2013</v>
      </c>
      <c r="Y2355" s="12">
        <v>991</v>
      </c>
      <c r="Z2355" s="12">
        <v>6.4</v>
      </c>
      <c r="AA2355" s="12">
        <v>2.35</v>
      </c>
      <c r="AB2355" s="12">
        <v>11000</v>
      </c>
      <c r="AC2355" s="12"/>
      <c r="AD2355" s="12" t="str">
        <f>IFERROR(__xludf.DUMMYFUNCTION("""COMPUTED_VALUE"""),"Dominic Flores")</f>
        <v>Dominic Flores</v>
      </c>
      <c r="AE2355" s="12"/>
    </row>
    <row r="2356" customHeight="1" spans="1:31">
      <c r="A2356" s="11" t="s">
        <v>30</v>
      </c>
      <c r="B2356" s="11" t="s">
        <v>10517</v>
      </c>
      <c r="C2356" s="11">
        <v>143</v>
      </c>
      <c r="D2356" s="11">
        <v>125</v>
      </c>
      <c r="E2356" s="11">
        <v>43</v>
      </c>
      <c r="F2356" s="11">
        <v>7</v>
      </c>
      <c r="G2356" s="11">
        <v>2000</v>
      </c>
      <c r="H2356" s="11">
        <v>8047690</v>
      </c>
      <c r="I2356" s="11" t="s">
        <v>214</v>
      </c>
      <c r="J2356" s="11" t="s">
        <v>1212</v>
      </c>
      <c r="K2356" s="11" t="s">
        <v>4725</v>
      </c>
      <c r="L2356" s="11" t="s">
        <v>11545</v>
      </c>
      <c r="M2356" s="11" t="s">
        <v>11546</v>
      </c>
      <c r="N2356" s="11">
        <v>77656</v>
      </c>
      <c r="O2356" s="11">
        <v>2608</v>
      </c>
      <c r="P2356" s="11">
        <v>0</v>
      </c>
      <c r="Q2356" s="11" t="s">
        <v>11547</v>
      </c>
      <c r="R2356" s="14" t="s">
        <v>11548</v>
      </c>
      <c r="S2356" s="11">
        <v>220</v>
      </c>
      <c r="T2356" s="11" t="s">
        <v>1947</v>
      </c>
      <c r="U2356" s="11" t="s">
        <v>893</v>
      </c>
      <c r="V2356" s="11" t="s">
        <v>41</v>
      </c>
      <c r="W2356" s="11">
        <v>19400000</v>
      </c>
      <c r="X2356" s="11">
        <v>2006</v>
      </c>
      <c r="Y2356" s="11">
        <v>594</v>
      </c>
      <c r="Z2356" s="11">
        <v>7.5</v>
      </c>
      <c r="AA2356" s="11">
        <v>2.35</v>
      </c>
      <c r="AB2356" s="11">
        <v>0</v>
      </c>
      <c r="AC2356" s="11"/>
      <c r="AD2356" s="11" t="str">
        <f>IFERROR(__xludf.DUMMYFUNCTION("""COMPUTED_VALUE"""),"Bella Heathcote")</f>
        <v>Bella Heathcote</v>
      </c>
      <c r="AE2356" s="11"/>
    </row>
    <row r="2357" customHeight="1" spans="1:31">
      <c r="A2357" s="12" t="s">
        <v>30</v>
      </c>
      <c r="B2357" s="12" t="s">
        <v>10454</v>
      </c>
      <c r="C2357" s="12">
        <v>160</v>
      </c>
      <c r="D2357" s="12">
        <v>184</v>
      </c>
      <c r="E2357" s="12">
        <v>34</v>
      </c>
      <c r="F2357" s="12">
        <v>155</v>
      </c>
      <c r="G2357" s="12">
        <v>486</v>
      </c>
      <c r="H2357" s="12">
        <v>476270</v>
      </c>
      <c r="I2357" s="12" t="s">
        <v>8723</v>
      </c>
      <c r="J2357" s="12" t="s">
        <v>3095</v>
      </c>
      <c r="K2357" s="12" t="s">
        <v>7125</v>
      </c>
      <c r="L2357" s="12" t="s">
        <v>11549</v>
      </c>
      <c r="M2357" s="12" t="s">
        <v>11550</v>
      </c>
      <c r="N2357" s="12">
        <v>29602</v>
      </c>
      <c r="O2357" s="12">
        <v>1601</v>
      </c>
      <c r="P2357" s="12">
        <v>2</v>
      </c>
      <c r="Q2357" s="12" t="s">
        <v>11551</v>
      </c>
      <c r="R2357" s="15" t="s">
        <v>11552</v>
      </c>
      <c r="S2357" s="12">
        <v>110</v>
      </c>
      <c r="T2357" s="12" t="s">
        <v>8732</v>
      </c>
      <c r="U2357" s="12" t="s">
        <v>768</v>
      </c>
      <c r="V2357" s="12" t="s">
        <v>586</v>
      </c>
      <c r="W2357" s="12">
        <v>20000000</v>
      </c>
      <c r="X2357" s="12">
        <v>2008</v>
      </c>
      <c r="Y2357" s="12">
        <v>471</v>
      </c>
      <c r="Z2357" s="12">
        <v>7.4</v>
      </c>
      <c r="AA2357" s="12">
        <v>1.85</v>
      </c>
      <c r="AB2357" s="12">
        <v>0</v>
      </c>
      <c r="AC2357" s="12"/>
      <c r="AD2357" s="12" t="str">
        <f>IFERROR(__xludf.DUMMYFUNCTION("""COMPUTED_VALUE"""),"Tenzin Thuthob Tsarong")</f>
        <v>Tenzin Thuthob Tsarong</v>
      </c>
      <c r="AE2357" s="12"/>
    </row>
    <row r="2358" customHeight="1" spans="1:31">
      <c r="A2358" s="11" t="s">
        <v>30</v>
      </c>
      <c r="B2358" s="11" t="s">
        <v>2860</v>
      </c>
      <c r="C2358" s="11">
        <v>92</v>
      </c>
      <c r="D2358" s="11">
        <v>236</v>
      </c>
      <c r="E2358" s="11">
        <v>0</v>
      </c>
      <c r="F2358" s="11">
        <v>232</v>
      </c>
      <c r="G2358" s="11">
        <v>933</v>
      </c>
      <c r="H2358" s="11">
        <v>184208848</v>
      </c>
      <c r="I2358" s="11" t="s">
        <v>6039</v>
      </c>
      <c r="J2358" s="11" t="s">
        <v>2982</v>
      </c>
      <c r="K2358" s="11" t="s">
        <v>11553</v>
      </c>
      <c r="L2358" s="11" t="s">
        <v>3605</v>
      </c>
      <c r="M2358" s="11" t="s">
        <v>11554</v>
      </c>
      <c r="N2358" s="11">
        <v>186485</v>
      </c>
      <c r="O2358" s="11">
        <v>2398</v>
      </c>
      <c r="P2358" s="11">
        <v>1</v>
      </c>
      <c r="Q2358" s="11" t="s">
        <v>11555</v>
      </c>
      <c r="R2358" s="14" t="s">
        <v>11556</v>
      </c>
      <c r="S2358" s="11">
        <v>382</v>
      </c>
      <c r="T2358" s="11" t="s">
        <v>39</v>
      </c>
      <c r="U2358" s="11" t="s">
        <v>40</v>
      </c>
      <c r="V2358" s="11" t="s">
        <v>41</v>
      </c>
      <c r="W2358" s="11">
        <v>22000000</v>
      </c>
      <c r="X2358" s="11">
        <v>1990</v>
      </c>
      <c r="Y2358" s="11">
        <v>839</v>
      </c>
      <c r="Z2358" s="11">
        <v>8</v>
      </c>
      <c r="AA2358" s="11">
        <v>2.35</v>
      </c>
      <c r="AB2358" s="11">
        <v>0</v>
      </c>
      <c r="AC2358" s="11"/>
      <c r="AD2358" s="11" t="str">
        <f>IFERROR(__xludf.DUMMYFUNCTION("""COMPUTED_VALUE"""),"Tulku Jamyang Kunga Tenzin")</f>
        <v>Tulku Jamyang Kunga Tenzin</v>
      </c>
      <c r="AE2358" s="11"/>
    </row>
    <row r="2359" customHeight="1" spans="1:31">
      <c r="A2359" s="12" t="s">
        <v>30</v>
      </c>
      <c r="B2359" s="12" t="s">
        <v>6574</v>
      </c>
      <c r="C2359" s="12">
        <v>286</v>
      </c>
      <c r="D2359" s="12">
        <v>97</v>
      </c>
      <c r="E2359" s="12">
        <v>52</v>
      </c>
      <c r="F2359" s="12">
        <v>384</v>
      </c>
      <c r="G2359" s="12">
        <v>3000</v>
      </c>
      <c r="H2359" s="12">
        <v>100292856</v>
      </c>
      <c r="I2359" s="12" t="s">
        <v>1672</v>
      </c>
      <c r="J2359" s="12" t="s">
        <v>723</v>
      </c>
      <c r="K2359" s="12" t="s">
        <v>1010</v>
      </c>
      <c r="L2359" s="12" t="s">
        <v>544</v>
      </c>
      <c r="M2359" s="12" t="s">
        <v>11557</v>
      </c>
      <c r="N2359" s="12">
        <v>160418</v>
      </c>
      <c r="O2359" s="12">
        <v>5547</v>
      </c>
      <c r="P2359" s="12">
        <v>0</v>
      </c>
      <c r="Q2359" s="12" t="s">
        <v>11558</v>
      </c>
      <c r="R2359" s="15" t="s">
        <v>11559</v>
      </c>
      <c r="S2359" s="12">
        <v>296</v>
      </c>
      <c r="T2359" s="12" t="s">
        <v>39</v>
      </c>
      <c r="U2359" s="12" t="s">
        <v>40</v>
      </c>
      <c r="V2359" s="12" t="s">
        <v>586</v>
      </c>
      <c r="W2359" s="12">
        <v>20000000</v>
      </c>
      <c r="X2359" s="12">
        <v>2011</v>
      </c>
      <c r="Y2359" s="12">
        <v>957</v>
      </c>
      <c r="Z2359" s="12">
        <v>5.7</v>
      </c>
      <c r="AA2359" s="12">
        <v>1.85</v>
      </c>
      <c r="AB2359" s="12">
        <v>16000</v>
      </c>
      <c r="AC2359" s="12"/>
      <c r="AD2359" s="12" t="str">
        <f>IFERROR(__xludf.DUMMYFUNCTION("""COMPUTED_VALUE"""),"Tencho Gyalpo")</f>
        <v>Tencho Gyalpo</v>
      </c>
      <c r="AE2359" s="12"/>
    </row>
    <row r="2360" customHeight="1" spans="1:31">
      <c r="A2360" s="11" t="s">
        <v>30</v>
      </c>
      <c r="B2360" s="11" t="s">
        <v>4292</v>
      </c>
      <c r="C2360" s="11">
        <v>43</v>
      </c>
      <c r="D2360" s="11">
        <v>113</v>
      </c>
      <c r="E2360" s="11">
        <v>17</v>
      </c>
      <c r="F2360" s="11">
        <v>551</v>
      </c>
      <c r="G2360" s="11">
        <v>14000</v>
      </c>
      <c r="H2360" s="11">
        <v>58571513</v>
      </c>
      <c r="I2360" s="11" t="s">
        <v>2142</v>
      </c>
      <c r="J2360" s="11" t="s">
        <v>2383</v>
      </c>
      <c r="K2360" s="11" t="s">
        <v>757</v>
      </c>
      <c r="L2360" s="11" t="s">
        <v>4765</v>
      </c>
      <c r="M2360" s="11" t="s">
        <v>11560</v>
      </c>
      <c r="N2360" s="11">
        <v>30213</v>
      </c>
      <c r="O2360" s="11">
        <v>15914</v>
      </c>
      <c r="P2360" s="11">
        <v>1</v>
      </c>
      <c r="Q2360" s="11" t="s">
        <v>11561</v>
      </c>
      <c r="R2360" s="14" t="s">
        <v>11562</v>
      </c>
      <c r="S2360" s="11">
        <v>112</v>
      </c>
      <c r="T2360" s="11" t="s">
        <v>39</v>
      </c>
      <c r="U2360" s="11" t="s">
        <v>40</v>
      </c>
      <c r="V2360" s="11" t="s">
        <v>586</v>
      </c>
      <c r="W2360" s="11">
        <v>19000000</v>
      </c>
      <c r="X2360" s="11">
        <v>1989</v>
      </c>
      <c r="Y2360" s="11">
        <v>599</v>
      </c>
      <c r="Z2360" s="11">
        <v>6.8</v>
      </c>
      <c r="AA2360" s="11">
        <v>1.85</v>
      </c>
      <c r="AB2360" s="11">
        <v>0</v>
      </c>
      <c r="AC2360" s="11"/>
      <c r="AD2360" s="11" t="str">
        <f>IFERROR(__xludf.DUMMYFUNCTION("""COMPUTED_VALUE"""),"Katherine Parkinson")</f>
        <v>Katherine Parkinson</v>
      </c>
      <c r="AE2360" s="11"/>
    </row>
    <row r="2361" customHeight="1" spans="1:31">
      <c r="A2361" s="12" t="s">
        <v>30</v>
      </c>
      <c r="B2361" s="12" t="s">
        <v>11563</v>
      </c>
      <c r="C2361" s="12">
        <v>69</v>
      </c>
      <c r="D2361" s="12">
        <v>95</v>
      </c>
      <c r="E2361" s="12">
        <v>15</v>
      </c>
      <c r="F2361" s="12">
        <v>528</v>
      </c>
      <c r="G2361" s="12">
        <v>1000</v>
      </c>
      <c r="H2361" s="12">
        <v>51431160</v>
      </c>
      <c r="I2361" s="12" t="s">
        <v>2717</v>
      </c>
      <c r="J2361" s="12" t="s">
        <v>11564</v>
      </c>
      <c r="K2361" s="12" t="s">
        <v>7330</v>
      </c>
      <c r="L2361" s="12" t="s">
        <v>9219</v>
      </c>
      <c r="M2361" s="12" t="s">
        <v>11565</v>
      </c>
      <c r="N2361" s="12">
        <v>62861</v>
      </c>
      <c r="O2361" s="12">
        <v>3092</v>
      </c>
      <c r="P2361" s="12">
        <v>2</v>
      </c>
      <c r="Q2361" s="12" t="s">
        <v>11566</v>
      </c>
      <c r="R2361" s="15" t="s">
        <v>11567</v>
      </c>
      <c r="S2361" s="12">
        <v>232</v>
      </c>
      <c r="T2361" s="12" t="s">
        <v>39</v>
      </c>
      <c r="U2361" s="12" t="s">
        <v>40</v>
      </c>
      <c r="V2361" s="12" t="s">
        <v>96</v>
      </c>
      <c r="W2361" s="12">
        <v>20000000</v>
      </c>
      <c r="X2361" s="12">
        <v>2004</v>
      </c>
      <c r="Y2361" s="12">
        <v>852</v>
      </c>
      <c r="Z2361" s="12">
        <v>5.9</v>
      </c>
      <c r="AA2361" s="12">
        <v>1.85</v>
      </c>
      <c r="AB2361" s="12">
        <v>0</v>
      </c>
      <c r="AC2361" s="12"/>
      <c r="AD2361" s="12" t="str">
        <f>IFERROR(__xludf.DUMMYFUNCTION("""COMPUTED_VALUE"""),"Fenella Woolgar")</f>
        <v>Fenella Woolgar</v>
      </c>
      <c r="AE2361" s="12"/>
    </row>
    <row r="2362" customHeight="1" spans="1:31">
      <c r="A2362" s="11" t="s">
        <v>30</v>
      </c>
      <c r="B2362" s="11" t="s">
        <v>6309</v>
      </c>
      <c r="C2362" s="11">
        <v>242</v>
      </c>
      <c r="D2362" s="11">
        <v>103</v>
      </c>
      <c r="E2362" s="11">
        <v>0</v>
      </c>
      <c r="F2362" s="11">
        <v>157</v>
      </c>
      <c r="G2362" s="11">
        <v>611</v>
      </c>
      <c r="H2362" s="11">
        <v>103001286</v>
      </c>
      <c r="I2362" s="11" t="s">
        <v>5104</v>
      </c>
      <c r="J2362" s="11" t="s">
        <v>10142</v>
      </c>
      <c r="K2362" s="11" t="s">
        <v>11568</v>
      </c>
      <c r="L2362" s="11" t="s">
        <v>6311</v>
      </c>
      <c r="M2362" s="11" t="s">
        <v>11569</v>
      </c>
      <c r="N2362" s="11">
        <v>222018</v>
      </c>
      <c r="O2362" s="11">
        <v>1212</v>
      </c>
      <c r="P2362" s="11">
        <v>0</v>
      </c>
      <c r="Q2362" s="11" t="s">
        <v>11570</v>
      </c>
      <c r="R2362" s="14" t="s">
        <v>11571</v>
      </c>
      <c r="S2362" s="11">
        <v>869</v>
      </c>
      <c r="T2362" s="11" t="s">
        <v>39</v>
      </c>
      <c r="U2362" s="11" t="s">
        <v>40</v>
      </c>
      <c r="V2362" s="11" t="s">
        <v>586</v>
      </c>
      <c r="W2362" s="11">
        <v>15000000</v>
      </c>
      <c r="X2362" s="11">
        <v>1996</v>
      </c>
      <c r="Y2362" s="11">
        <v>422</v>
      </c>
      <c r="Z2362" s="11">
        <v>7.2</v>
      </c>
      <c r="AA2362" s="11">
        <v>2.35</v>
      </c>
      <c r="AB2362" s="11">
        <v>11000</v>
      </c>
      <c r="AC2362" s="11"/>
      <c r="AD2362" s="11" t="str">
        <f>IFERROR(__xludf.DUMMYFUNCTION("""COMPUTED_VALUE"""),"Donald Faison")</f>
        <v>Donald Faison</v>
      </c>
      <c r="AE2362" s="11"/>
    </row>
    <row r="2363" customHeight="1" spans="1:31">
      <c r="A2363" s="12" t="s">
        <v>30</v>
      </c>
      <c r="B2363" s="12" t="s">
        <v>10904</v>
      </c>
      <c r="C2363" s="12">
        <v>149</v>
      </c>
      <c r="D2363" s="12">
        <v>91</v>
      </c>
      <c r="E2363" s="12">
        <v>17</v>
      </c>
      <c r="F2363" s="12">
        <v>670</v>
      </c>
      <c r="G2363" s="12">
        <v>1000</v>
      </c>
      <c r="H2363" s="12">
        <v>41867960</v>
      </c>
      <c r="I2363" s="12" t="s">
        <v>6403</v>
      </c>
      <c r="J2363" s="12" t="s">
        <v>7580</v>
      </c>
      <c r="K2363" s="12" t="s">
        <v>9403</v>
      </c>
      <c r="L2363" s="12" t="s">
        <v>2408</v>
      </c>
      <c r="M2363" s="12" t="s">
        <v>11572</v>
      </c>
      <c r="N2363" s="12">
        <v>65512</v>
      </c>
      <c r="O2363" s="12">
        <v>3023</v>
      </c>
      <c r="P2363" s="12">
        <v>0</v>
      </c>
      <c r="Q2363" s="12" t="s">
        <v>11573</v>
      </c>
      <c r="R2363" s="15" t="s">
        <v>11574</v>
      </c>
      <c r="S2363" s="12">
        <v>478</v>
      </c>
      <c r="T2363" s="12" t="s">
        <v>39</v>
      </c>
      <c r="U2363" s="12" t="s">
        <v>40</v>
      </c>
      <c r="V2363" s="12" t="s">
        <v>586</v>
      </c>
      <c r="W2363" s="12">
        <v>20000000</v>
      </c>
      <c r="X2363" s="12">
        <v>2001</v>
      </c>
      <c r="Y2363" s="12">
        <v>795</v>
      </c>
      <c r="Z2363" s="12">
        <v>5.5</v>
      </c>
      <c r="AA2363" s="12">
        <v>1.33</v>
      </c>
      <c r="AB2363" s="12">
        <v>0</v>
      </c>
      <c r="AC2363" s="12"/>
      <c r="AD2363" s="12" t="str">
        <f>IFERROR(__xludf.DUMMYFUNCTION("""COMPUTED_VALUE"""),"Elena Anaya")</f>
        <v>Elena Anaya</v>
      </c>
      <c r="AE2363" s="12"/>
    </row>
    <row r="2364" customHeight="1" spans="1:31">
      <c r="A2364" s="11" t="s">
        <v>30</v>
      </c>
      <c r="B2364" s="11" t="s">
        <v>3728</v>
      </c>
      <c r="C2364" s="11">
        <v>253</v>
      </c>
      <c r="D2364" s="11">
        <v>146</v>
      </c>
      <c r="E2364" s="11">
        <v>0</v>
      </c>
      <c r="F2364" s="11">
        <v>413</v>
      </c>
      <c r="G2364" s="11">
        <v>888</v>
      </c>
      <c r="H2364" s="13"/>
      <c r="I2364" s="11" t="s">
        <v>11575</v>
      </c>
      <c r="J2364" s="11" t="s">
        <v>11576</v>
      </c>
      <c r="K2364" s="11" t="s">
        <v>11577</v>
      </c>
      <c r="L2364" s="11" t="s">
        <v>11578</v>
      </c>
      <c r="M2364" s="11" t="s">
        <v>11579</v>
      </c>
      <c r="N2364" s="11">
        <v>610333</v>
      </c>
      <c r="O2364" s="11">
        <v>2560</v>
      </c>
      <c r="P2364" s="11">
        <v>0</v>
      </c>
      <c r="Q2364" s="11" t="s">
        <v>11580</v>
      </c>
      <c r="R2364" s="14" t="s">
        <v>11581</v>
      </c>
      <c r="S2364" s="11">
        <v>1320</v>
      </c>
      <c r="T2364" s="11" t="s">
        <v>39</v>
      </c>
      <c r="U2364" s="11" t="s">
        <v>40</v>
      </c>
      <c r="V2364" s="11" t="s">
        <v>586</v>
      </c>
      <c r="W2364" s="11">
        <v>19000000</v>
      </c>
      <c r="X2364" s="11">
        <v>1980</v>
      </c>
      <c r="Y2364" s="11">
        <v>629</v>
      </c>
      <c r="Z2364" s="11">
        <v>8.4</v>
      </c>
      <c r="AA2364" s="11">
        <v>1.37</v>
      </c>
      <c r="AB2364" s="11">
        <v>37000</v>
      </c>
      <c r="AC2364" s="11"/>
      <c r="AD2364" s="11" t="str">
        <f>IFERROR(__xludf.DUMMYFUNCTION("""COMPUTED_VALUE"""),"Eduardo Noriega")</f>
        <v>Eduardo Noriega</v>
      </c>
      <c r="AE2364" s="11"/>
    </row>
    <row r="2365" customHeight="1" spans="1:31">
      <c r="A2365" s="12" t="s">
        <v>30</v>
      </c>
      <c r="B2365" s="12" t="s">
        <v>436</v>
      </c>
      <c r="C2365" s="12">
        <v>198</v>
      </c>
      <c r="D2365" s="12">
        <v>116</v>
      </c>
      <c r="E2365" s="12">
        <v>0</v>
      </c>
      <c r="F2365" s="12">
        <v>459</v>
      </c>
      <c r="G2365" s="12">
        <v>1000</v>
      </c>
      <c r="H2365" s="12">
        <v>210609762</v>
      </c>
      <c r="I2365" s="12" t="s">
        <v>1875</v>
      </c>
      <c r="J2365" s="12" t="s">
        <v>3756</v>
      </c>
      <c r="K2365" s="12" t="s">
        <v>6256</v>
      </c>
      <c r="L2365" s="12" t="s">
        <v>11582</v>
      </c>
      <c r="M2365" s="12" t="s">
        <v>11583</v>
      </c>
      <c r="N2365" s="12">
        <v>732212</v>
      </c>
      <c r="O2365" s="12">
        <v>3230</v>
      </c>
      <c r="P2365" s="12">
        <v>0</v>
      </c>
      <c r="Q2365" s="12" t="s">
        <v>11584</v>
      </c>
      <c r="R2365" s="15" t="s">
        <v>11585</v>
      </c>
      <c r="S2365" s="12">
        <v>809</v>
      </c>
      <c r="T2365" s="12" t="s">
        <v>39</v>
      </c>
      <c r="U2365" s="12" t="s">
        <v>40</v>
      </c>
      <c r="V2365" s="12" t="s">
        <v>96</v>
      </c>
      <c r="W2365" s="12">
        <v>19000000</v>
      </c>
      <c r="X2365" s="12">
        <v>1985</v>
      </c>
      <c r="Y2365" s="12">
        <v>690</v>
      </c>
      <c r="Z2365" s="12">
        <v>8.5</v>
      </c>
      <c r="AA2365" s="12">
        <v>1.18</v>
      </c>
      <c r="AB2365" s="12">
        <v>39000</v>
      </c>
      <c r="AC2365" s="12"/>
      <c r="AD2365" s="12" t="str">
        <f>IFERROR(__xludf.DUMMYFUNCTION("""COMPUTED_VALUE"""),"Louis Jourdan")</f>
        <v>Louis Jourdan</v>
      </c>
      <c r="AE2365" s="12"/>
    </row>
    <row r="2366" customHeight="1" spans="1:31">
      <c r="A2366" s="11" t="s">
        <v>30</v>
      </c>
      <c r="B2366" s="11" t="s">
        <v>6789</v>
      </c>
      <c r="C2366" s="11">
        <v>147</v>
      </c>
      <c r="D2366" s="11">
        <v>93</v>
      </c>
      <c r="E2366" s="11">
        <v>37</v>
      </c>
      <c r="F2366" s="11">
        <v>545</v>
      </c>
      <c r="G2366" s="11">
        <v>885</v>
      </c>
      <c r="H2366" s="11">
        <v>40846082</v>
      </c>
      <c r="I2366" s="11" t="s">
        <v>3030</v>
      </c>
      <c r="J2366" s="11" t="s">
        <v>6791</v>
      </c>
      <c r="K2366" s="11" t="s">
        <v>4812</v>
      </c>
      <c r="L2366" s="11" t="s">
        <v>6824</v>
      </c>
      <c r="M2366" s="11" t="s">
        <v>11586</v>
      </c>
      <c r="N2366" s="11">
        <v>45317</v>
      </c>
      <c r="O2366" s="11">
        <v>2872</v>
      </c>
      <c r="P2366" s="11">
        <v>0</v>
      </c>
      <c r="Q2366" s="11" t="s">
        <v>11587</v>
      </c>
      <c r="R2366" s="14" t="s">
        <v>11588</v>
      </c>
      <c r="S2366" s="11">
        <v>536</v>
      </c>
      <c r="T2366" s="11" t="s">
        <v>39</v>
      </c>
      <c r="U2366" s="11" t="s">
        <v>40</v>
      </c>
      <c r="V2366" s="11" t="s">
        <v>586</v>
      </c>
      <c r="W2366" s="11">
        <v>19000000</v>
      </c>
      <c r="X2366" s="11">
        <v>1999</v>
      </c>
      <c r="Y2366" s="11">
        <v>828</v>
      </c>
      <c r="Z2366" s="11">
        <v>5.6</v>
      </c>
      <c r="AA2366" s="11">
        <v>1.37</v>
      </c>
      <c r="AB2366" s="11">
        <v>0</v>
      </c>
      <c r="AC2366" s="11"/>
      <c r="AD2366" s="11" t="str">
        <f>IFERROR(__xludf.DUMMYFUNCTION("""COMPUTED_VALUE"""),"Kabir Bedi")</f>
        <v>Kabir Bedi</v>
      </c>
      <c r="AE2366" s="11"/>
    </row>
    <row r="2367" customHeight="1" spans="1:31">
      <c r="A2367" s="12" t="s">
        <v>30</v>
      </c>
      <c r="B2367" s="12" t="s">
        <v>9517</v>
      </c>
      <c r="C2367" s="12">
        <v>36</v>
      </c>
      <c r="D2367" s="12">
        <v>113</v>
      </c>
      <c r="E2367" s="12">
        <v>0</v>
      </c>
      <c r="F2367" s="12">
        <v>256</v>
      </c>
      <c r="G2367" s="12">
        <v>607</v>
      </c>
      <c r="H2367" s="12">
        <v>51697449</v>
      </c>
      <c r="I2367" s="12" t="s">
        <v>2528</v>
      </c>
      <c r="J2367" s="12" t="s">
        <v>11589</v>
      </c>
      <c r="K2367" s="12" t="s">
        <v>11590</v>
      </c>
      <c r="L2367" s="12" t="s">
        <v>11591</v>
      </c>
      <c r="M2367" s="12" t="s">
        <v>11592</v>
      </c>
      <c r="N2367" s="12">
        <v>8346</v>
      </c>
      <c r="O2367" s="12">
        <v>1465</v>
      </c>
      <c r="P2367" s="12">
        <v>6</v>
      </c>
      <c r="Q2367" s="12" t="s">
        <v>11593</v>
      </c>
      <c r="R2367" s="15" t="s">
        <v>11594</v>
      </c>
      <c r="S2367" s="12">
        <v>59</v>
      </c>
      <c r="T2367" s="12" t="s">
        <v>39</v>
      </c>
      <c r="U2367" s="12" t="s">
        <v>40</v>
      </c>
      <c r="V2367" s="12" t="s">
        <v>41</v>
      </c>
      <c r="W2367" s="12">
        <v>13000000</v>
      </c>
      <c r="X2367" s="12">
        <v>2009</v>
      </c>
      <c r="Y2367" s="12">
        <v>269</v>
      </c>
      <c r="Z2367" s="12">
        <v>4.1</v>
      </c>
      <c r="AA2367" s="12">
        <v>1.85</v>
      </c>
      <c r="AB2367" s="12">
        <v>1000</v>
      </c>
      <c r="AC2367" s="12"/>
      <c r="AD2367" s="12" t="str">
        <f>IFERROR(__xludf.DUMMYFUNCTION("""COMPUTED_VALUE"""),"Steven Berkoff")</f>
        <v>Steven Berkoff</v>
      </c>
      <c r="AE2367" s="12"/>
    </row>
    <row r="2368" customHeight="1" spans="1:31">
      <c r="A2368" s="11" t="s">
        <v>30</v>
      </c>
      <c r="B2368" s="11" t="s">
        <v>11595</v>
      </c>
      <c r="C2368" s="11">
        <v>6</v>
      </c>
      <c r="D2368" s="11">
        <v>90</v>
      </c>
      <c r="E2368" s="11">
        <v>97</v>
      </c>
      <c r="F2368" s="11">
        <v>319</v>
      </c>
      <c r="G2368" s="11">
        <v>731</v>
      </c>
      <c r="H2368" s="13"/>
      <c r="I2368" s="11" t="s">
        <v>777</v>
      </c>
      <c r="J2368" s="11" t="s">
        <v>11596</v>
      </c>
      <c r="K2368" s="11" t="s">
        <v>11597</v>
      </c>
      <c r="L2368" s="11" t="s">
        <v>11598</v>
      </c>
      <c r="M2368" s="11" t="s">
        <v>11599</v>
      </c>
      <c r="N2368" s="11">
        <v>60</v>
      </c>
      <c r="O2368" s="11">
        <v>2374</v>
      </c>
      <c r="P2368" s="11">
        <v>4</v>
      </c>
      <c r="Q2368" s="13"/>
      <c r="R2368" s="14" t="s">
        <v>11600</v>
      </c>
      <c r="S2368" s="11">
        <v>6</v>
      </c>
      <c r="T2368" s="11" t="s">
        <v>39</v>
      </c>
      <c r="U2368" s="11" t="s">
        <v>40</v>
      </c>
      <c r="V2368" s="13"/>
      <c r="W2368" s="11">
        <v>27000000</v>
      </c>
      <c r="X2368" s="11">
        <v>2016</v>
      </c>
      <c r="Y2368" s="11">
        <v>634</v>
      </c>
      <c r="Z2368" s="11">
        <v>5</v>
      </c>
      <c r="AA2368" s="13"/>
      <c r="AB2368" s="11">
        <v>1000</v>
      </c>
      <c r="AC2368" s="11"/>
      <c r="AD2368" s="11" t="str">
        <f>IFERROR(__xludf.DUMMYFUNCTION("""COMPUTED_VALUE"""),"Harold Ramis")</f>
        <v>Harold Ramis</v>
      </c>
      <c r="AE2368" s="11"/>
    </row>
    <row r="2369" customHeight="1" spans="1:31">
      <c r="A2369" s="12" t="s">
        <v>30</v>
      </c>
      <c r="B2369" s="12" t="s">
        <v>3913</v>
      </c>
      <c r="C2369" s="12">
        <v>181</v>
      </c>
      <c r="D2369" s="12">
        <v>101</v>
      </c>
      <c r="E2369" s="12">
        <v>8</v>
      </c>
      <c r="F2369" s="12">
        <v>110</v>
      </c>
      <c r="G2369" s="12">
        <v>544</v>
      </c>
      <c r="H2369" s="12">
        <v>27758465</v>
      </c>
      <c r="I2369" s="12" t="s">
        <v>1415</v>
      </c>
      <c r="J2369" s="12" t="s">
        <v>2349</v>
      </c>
      <c r="K2369" s="12" t="s">
        <v>6278</v>
      </c>
      <c r="L2369" s="12" t="s">
        <v>11601</v>
      </c>
      <c r="M2369" s="12" t="s">
        <v>11602</v>
      </c>
      <c r="N2369" s="12">
        <v>77987</v>
      </c>
      <c r="O2369" s="12">
        <v>1292</v>
      </c>
      <c r="P2369" s="12">
        <v>2</v>
      </c>
      <c r="Q2369" s="12" t="s">
        <v>11603</v>
      </c>
      <c r="R2369" s="15" t="s">
        <v>11604</v>
      </c>
      <c r="S2369" s="12">
        <v>120</v>
      </c>
      <c r="T2369" s="12" t="s">
        <v>39</v>
      </c>
      <c r="U2369" s="12" t="s">
        <v>40</v>
      </c>
      <c r="V2369" s="12" t="s">
        <v>41</v>
      </c>
      <c r="W2369" s="12">
        <v>19000000</v>
      </c>
      <c r="X2369" s="12">
        <v>2010</v>
      </c>
      <c r="Y2369" s="12">
        <v>449</v>
      </c>
      <c r="Z2369" s="12">
        <v>6.1</v>
      </c>
      <c r="AA2369" s="12">
        <v>2.35</v>
      </c>
      <c r="AB2369" s="12">
        <v>0</v>
      </c>
      <c r="AC2369" s="12"/>
      <c r="AD2369" s="12" t="str">
        <f>IFERROR(__xludf.DUMMYFUNCTION("""COMPUTED_VALUE"""),"Martin Starr")</f>
        <v>Martin Starr</v>
      </c>
      <c r="AE2369" s="12"/>
    </row>
    <row r="2370" customHeight="1" spans="1:31">
      <c r="A2370" s="11" t="s">
        <v>30</v>
      </c>
      <c r="B2370" s="11" t="s">
        <v>810</v>
      </c>
      <c r="C2370" s="11">
        <v>97</v>
      </c>
      <c r="D2370" s="11">
        <v>95</v>
      </c>
      <c r="E2370" s="11">
        <v>189</v>
      </c>
      <c r="F2370" s="11">
        <v>306</v>
      </c>
      <c r="G2370" s="11">
        <v>500</v>
      </c>
      <c r="H2370" s="11">
        <v>56127162</v>
      </c>
      <c r="I2370" s="11" t="s">
        <v>1681</v>
      </c>
      <c r="J2370" s="11" t="s">
        <v>10724</v>
      </c>
      <c r="K2370" s="11" t="s">
        <v>11605</v>
      </c>
      <c r="L2370" s="11" t="s">
        <v>11606</v>
      </c>
      <c r="M2370" s="11" t="s">
        <v>11607</v>
      </c>
      <c r="N2370" s="11">
        <v>57479</v>
      </c>
      <c r="O2370" s="11">
        <v>2020</v>
      </c>
      <c r="P2370" s="11">
        <v>2</v>
      </c>
      <c r="Q2370" s="11" t="s">
        <v>11608</v>
      </c>
      <c r="R2370" s="14" t="s">
        <v>11609</v>
      </c>
      <c r="S2370" s="11">
        <v>205</v>
      </c>
      <c r="T2370" s="11" t="s">
        <v>39</v>
      </c>
      <c r="U2370" s="11" t="s">
        <v>40</v>
      </c>
      <c r="V2370" s="11" t="s">
        <v>41</v>
      </c>
      <c r="W2370" s="11">
        <v>18000000</v>
      </c>
      <c r="X2370" s="11">
        <v>2003</v>
      </c>
      <c r="Y2370" s="11">
        <v>308</v>
      </c>
      <c r="Z2370" s="11">
        <v>5.4</v>
      </c>
      <c r="AA2370" s="11">
        <v>1.85</v>
      </c>
      <c r="AB2370" s="11">
        <v>0</v>
      </c>
      <c r="AC2370" s="11"/>
      <c r="AD2370" s="11" t="str">
        <f>IFERROR(__xludf.DUMMYFUNCTION("""COMPUTED_VALUE"""),"Sofia Vassilieva")</f>
        <v>Sofia Vassilieva</v>
      </c>
      <c r="AE2370" s="11"/>
    </row>
    <row r="2371" customHeight="1" spans="1:31">
      <c r="A2371" s="12" t="s">
        <v>30</v>
      </c>
      <c r="B2371" s="12" t="s">
        <v>963</v>
      </c>
      <c r="C2371" s="12">
        <v>167</v>
      </c>
      <c r="D2371" s="12">
        <v>109</v>
      </c>
      <c r="E2371" s="12">
        <v>93</v>
      </c>
      <c r="F2371" s="12">
        <v>521</v>
      </c>
      <c r="G2371" s="12">
        <v>31000</v>
      </c>
      <c r="H2371" s="12">
        <v>1357042</v>
      </c>
      <c r="I2371" s="12" t="s">
        <v>3582</v>
      </c>
      <c r="J2371" s="12" t="s">
        <v>11610</v>
      </c>
      <c r="K2371" s="12" t="s">
        <v>730</v>
      </c>
      <c r="L2371" s="12" t="s">
        <v>10523</v>
      </c>
      <c r="M2371" s="12" t="s">
        <v>11611</v>
      </c>
      <c r="N2371" s="12">
        <v>53977</v>
      </c>
      <c r="O2371" s="12">
        <v>35561</v>
      </c>
      <c r="P2371" s="12">
        <v>1</v>
      </c>
      <c r="Q2371" s="12" t="s">
        <v>11612</v>
      </c>
      <c r="R2371" s="15" t="s">
        <v>11613</v>
      </c>
      <c r="S2371" s="12">
        <v>125</v>
      </c>
      <c r="T2371" s="12" t="s">
        <v>39</v>
      </c>
      <c r="U2371" s="12" t="s">
        <v>585</v>
      </c>
      <c r="V2371" s="12" t="s">
        <v>586</v>
      </c>
      <c r="W2371" s="12">
        <v>15000000</v>
      </c>
      <c r="X2371" s="12">
        <v>2011</v>
      </c>
      <c r="Y2371" s="12">
        <v>3000</v>
      </c>
      <c r="Z2371" s="12">
        <v>7.1</v>
      </c>
      <c r="AA2371" s="12">
        <v>2.35</v>
      </c>
      <c r="AB2371" s="12">
        <v>14000</v>
      </c>
      <c r="AC2371" s="12"/>
      <c r="AD2371" s="12" t="str">
        <f>IFERROR(__xludf.DUMMYFUNCTION("""COMPUTED_VALUE"""),"Jeffrey Markle")</f>
        <v>Jeffrey Markle</v>
      </c>
      <c r="AE2371" s="12"/>
    </row>
    <row r="2372" customHeight="1" spans="1:31">
      <c r="A2372" s="11" t="s">
        <v>30</v>
      </c>
      <c r="B2372" s="13"/>
      <c r="C2372" s="13"/>
      <c r="D2372" s="11">
        <v>43</v>
      </c>
      <c r="E2372" s="13"/>
      <c r="F2372" s="11">
        <v>211</v>
      </c>
      <c r="G2372" s="11">
        <v>341</v>
      </c>
      <c r="H2372" s="13"/>
      <c r="I2372" s="11" t="s">
        <v>11614</v>
      </c>
      <c r="J2372" s="11" t="s">
        <v>11615</v>
      </c>
      <c r="K2372" s="11" t="s">
        <v>11616</v>
      </c>
      <c r="L2372" s="11" t="s">
        <v>11617</v>
      </c>
      <c r="M2372" s="11" t="s">
        <v>11618</v>
      </c>
      <c r="N2372" s="11">
        <v>29</v>
      </c>
      <c r="O2372" s="11">
        <v>1462</v>
      </c>
      <c r="P2372" s="11">
        <v>1</v>
      </c>
      <c r="Q2372" s="11" t="s">
        <v>11619</v>
      </c>
      <c r="R2372" s="14" t="s">
        <v>11620</v>
      </c>
      <c r="S2372" s="13"/>
      <c r="T2372" s="11" t="s">
        <v>39</v>
      </c>
      <c r="U2372" s="13"/>
      <c r="V2372" s="11" t="s">
        <v>1127</v>
      </c>
      <c r="W2372" s="13"/>
      <c r="X2372" s="13"/>
      <c r="Y2372" s="11">
        <v>230</v>
      </c>
      <c r="Z2372" s="11">
        <v>6.6</v>
      </c>
      <c r="AA2372" s="11">
        <v>1.33</v>
      </c>
      <c r="AB2372" s="11">
        <v>0</v>
      </c>
      <c r="AC2372" s="11"/>
      <c r="AD2372" s="11" t="str">
        <f>IFERROR(__xludf.DUMMYFUNCTION("""COMPUTED_VALUE"""),"Richard Wilson")</f>
        <v>Richard Wilson</v>
      </c>
      <c r="AE2372" s="11"/>
    </row>
    <row r="2373" customHeight="1" spans="1:31">
      <c r="A2373" s="12" t="s">
        <v>30</v>
      </c>
      <c r="B2373" s="12" t="s">
        <v>11621</v>
      </c>
      <c r="C2373" s="12">
        <v>47</v>
      </c>
      <c r="D2373" s="12">
        <v>85</v>
      </c>
      <c r="E2373" s="12">
        <v>2</v>
      </c>
      <c r="F2373" s="12">
        <v>402</v>
      </c>
      <c r="G2373" s="12">
        <v>1000</v>
      </c>
      <c r="H2373" s="12">
        <v>15911333</v>
      </c>
      <c r="I2373" s="12" t="s">
        <v>2450</v>
      </c>
      <c r="J2373" s="12" t="s">
        <v>9003</v>
      </c>
      <c r="K2373" s="12" t="s">
        <v>4162</v>
      </c>
      <c r="L2373" s="12" t="s">
        <v>1366</v>
      </c>
      <c r="M2373" s="12" t="s">
        <v>11622</v>
      </c>
      <c r="N2373" s="12">
        <v>2855</v>
      </c>
      <c r="O2373" s="12">
        <v>2429</v>
      </c>
      <c r="P2373" s="12">
        <v>1</v>
      </c>
      <c r="Q2373" s="12" t="s">
        <v>11623</v>
      </c>
      <c r="R2373" s="15" t="s">
        <v>11624</v>
      </c>
      <c r="S2373" s="12">
        <v>119</v>
      </c>
      <c r="T2373" s="12" t="s">
        <v>39</v>
      </c>
      <c r="U2373" s="12" t="s">
        <v>58</v>
      </c>
      <c r="V2373" s="12" t="s">
        <v>278</v>
      </c>
      <c r="W2373" s="12">
        <v>19000000</v>
      </c>
      <c r="X2373" s="12">
        <v>2000</v>
      </c>
      <c r="Y2373" s="12">
        <v>539</v>
      </c>
      <c r="Z2373" s="12">
        <v>3.6</v>
      </c>
      <c r="AA2373" s="12">
        <v>1.85</v>
      </c>
      <c r="AB2373" s="12">
        <v>663</v>
      </c>
      <c r="AC2373" s="12"/>
      <c r="AD2373" s="12" t="str">
        <f>IFERROR(__xludf.DUMMYFUNCTION("""COMPUTED_VALUE"""),"Phil Davis")</f>
        <v>Phil Davis</v>
      </c>
      <c r="AE2373" s="12"/>
    </row>
    <row r="2374" customHeight="1" spans="1:31">
      <c r="A2374" s="11" t="s">
        <v>30</v>
      </c>
      <c r="B2374" s="11" t="s">
        <v>1077</v>
      </c>
      <c r="C2374" s="11">
        <v>308</v>
      </c>
      <c r="D2374" s="11">
        <v>101</v>
      </c>
      <c r="E2374" s="11">
        <v>42</v>
      </c>
      <c r="F2374" s="11">
        <v>219</v>
      </c>
      <c r="G2374" s="11">
        <v>991</v>
      </c>
      <c r="H2374" s="11">
        <v>39103378</v>
      </c>
      <c r="I2374" s="11" t="s">
        <v>5544</v>
      </c>
      <c r="J2374" s="11" t="s">
        <v>3373</v>
      </c>
      <c r="K2374" s="11" t="s">
        <v>280</v>
      </c>
      <c r="L2374" s="11" t="s">
        <v>6831</v>
      </c>
      <c r="M2374" s="11" t="s">
        <v>11625</v>
      </c>
      <c r="N2374" s="11">
        <v>93272</v>
      </c>
      <c r="O2374" s="11">
        <v>2609</v>
      </c>
      <c r="P2374" s="11">
        <v>0</v>
      </c>
      <c r="Q2374" s="11" t="s">
        <v>11626</v>
      </c>
      <c r="R2374" s="14" t="s">
        <v>11627</v>
      </c>
      <c r="S2374" s="11">
        <v>251</v>
      </c>
      <c r="T2374" s="11" t="s">
        <v>39</v>
      </c>
      <c r="U2374" s="11" t="s">
        <v>40</v>
      </c>
      <c r="V2374" s="11" t="s">
        <v>586</v>
      </c>
      <c r="W2374" s="11">
        <v>20000000</v>
      </c>
      <c r="X2374" s="11">
        <v>2010</v>
      </c>
      <c r="Y2374" s="11">
        <v>894</v>
      </c>
      <c r="Z2374" s="11">
        <v>6.5</v>
      </c>
      <c r="AA2374" s="11">
        <v>2.35</v>
      </c>
      <c r="AB2374" s="11">
        <v>0</v>
      </c>
      <c r="AC2374" s="11"/>
      <c r="AD2374" s="11" t="str">
        <f>IFERROR(__xludf.DUMMYFUNCTION("""COMPUTED_VALUE"""),"Andrew Simpson")</f>
        <v>Andrew Simpson</v>
      </c>
      <c r="AE2374" s="11"/>
    </row>
    <row r="2375" customHeight="1" spans="1:31">
      <c r="A2375" s="12" t="s">
        <v>30</v>
      </c>
      <c r="B2375" s="12" t="s">
        <v>7779</v>
      </c>
      <c r="C2375" s="12">
        <v>246</v>
      </c>
      <c r="D2375" s="12">
        <v>125</v>
      </c>
      <c r="E2375" s="12">
        <v>6000</v>
      </c>
      <c r="F2375" s="12">
        <v>7</v>
      </c>
      <c r="G2375" s="12">
        <v>17</v>
      </c>
      <c r="H2375" s="12">
        <v>10049886</v>
      </c>
      <c r="I2375" s="12" t="s">
        <v>628</v>
      </c>
      <c r="J2375" s="12" t="s">
        <v>11628</v>
      </c>
      <c r="K2375" s="12" t="s">
        <v>11629</v>
      </c>
      <c r="L2375" s="12" t="s">
        <v>11630</v>
      </c>
      <c r="M2375" s="12" t="s">
        <v>11631</v>
      </c>
      <c r="N2375" s="12">
        <v>417971</v>
      </c>
      <c r="O2375" s="12">
        <v>44</v>
      </c>
      <c r="P2375" s="12">
        <v>0</v>
      </c>
      <c r="Q2375" s="12" t="s">
        <v>11632</v>
      </c>
      <c r="R2375" s="15" t="s">
        <v>11633</v>
      </c>
      <c r="S2375" s="12">
        <v>902</v>
      </c>
      <c r="T2375" s="12" t="s">
        <v>677</v>
      </c>
      <c r="U2375" s="12" t="s">
        <v>678</v>
      </c>
      <c r="V2375" s="12" t="s">
        <v>96</v>
      </c>
      <c r="W2375" s="12">
        <v>19000000</v>
      </c>
      <c r="X2375" s="12">
        <v>2001</v>
      </c>
      <c r="Y2375" s="12">
        <v>10</v>
      </c>
      <c r="Z2375" s="12">
        <v>8.6</v>
      </c>
      <c r="AA2375" s="12">
        <v>1.85</v>
      </c>
      <c r="AB2375" s="12">
        <v>28000</v>
      </c>
      <c r="AC2375" s="12"/>
      <c r="AD2375" s="12" t="str">
        <f>IFERROR(__xludf.DUMMYFUNCTION("""COMPUTED_VALUE"""),"Shaun Parkes")</f>
        <v>Shaun Parkes</v>
      </c>
      <c r="AE2375" s="12"/>
    </row>
    <row r="2376" customHeight="1" spans="1:31">
      <c r="A2376" s="11" t="s">
        <v>30</v>
      </c>
      <c r="B2376" s="11" t="s">
        <v>11634</v>
      </c>
      <c r="C2376" s="11">
        <v>23</v>
      </c>
      <c r="D2376" s="11">
        <v>118</v>
      </c>
      <c r="E2376" s="11">
        <v>0</v>
      </c>
      <c r="F2376" s="11">
        <v>30</v>
      </c>
      <c r="G2376" s="11">
        <v>483</v>
      </c>
      <c r="H2376" s="13"/>
      <c r="I2376" s="11" t="s">
        <v>334</v>
      </c>
      <c r="J2376" s="11" t="s">
        <v>6883</v>
      </c>
      <c r="K2376" s="11" t="s">
        <v>11635</v>
      </c>
      <c r="L2376" s="11" t="s">
        <v>11636</v>
      </c>
      <c r="M2376" s="11" t="s">
        <v>11637</v>
      </c>
      <c r="N2376" s="11">
        <v>1904</v>
      </c>
      <c r="O2376" s="11">
        <v>635</v>
      </c>
      <c r="P2376" s="11">
        <v>1</v>
      </c>
      <c r="Q2376" s="11" t="s">
        <v>11638</v>
      </c>
      <c r="R2376" s="14" t="s">
        <v>11639</v>
      </c>
      <c r="S2376" s="11">
        <v>12</v>
      </c>
      <c r="T2376" s="11" t="s">
        <v>1947</v>
      </c>
      <c r="U2376" s="11" t="s">
        <v>893</v>
      </c>
      <c r="V2376" s="13"/>
      <c r="W2376" s="13"/>
      <c r="X2376" s="11">
        <v>2013</v>
      </c>
      <c r="Y2376" s="11">
        <v>91</v>
      </c>
      <c r="Z2376" s="11">
        <v>6.2</v>
      </c>
      <c r="AA2376" s="11">
        <v>2.35</v>
      </c>
      <c r="AB2376" s="11">
        <v>332</v>
      </c>
      <c r="AC2376" s="11"/>
      <c r="AD2376" s="11" t="str">
        <f>IFERROR(__xludf.DUMMYFUNCTION("""COMPUTED_VALUE"""),"Jake McDorman")</f>
        <v>Jake McDorman</v>
      </c>
      <c r="AE2376" s="11"/>
    </row>
    <row r="2377" customHeight="1" spans="1:31">
      <c r="A2377" s="12" t="s">
        <v>30</v>
      </c>
      <c r="B2377" s="12" t="s">
        <v>1490</v>
      </c>
      <c r="C2377" s="12">
        <v>29</v>
      </c>
      <c r="D2377" s="12">
        <v>132</v>
      </c>
      <c r="E2377" s="12">
        <v>79</v>
      </c>
      <c r="F2377" s="12">
        <v>1000</v>
      </c>
      <c r="G2377" s="12">
        <v>14000</v>
      </c>
      <c r="H2377" s="12">
        <v>8600000</v>
      </c>
      <c r="I2377" s="12" t="s">
        <v>2900</v>
      </c>
      <c r="J2377" s="12" t="s">
        <v>228</v>
      </c>
      <c r="K2377" s="12" t="s">
        <v>763</v>
      </c>
      <c r="L2377" s="12" t="s">
        <v>3513</v>
      </c>
      <c r="M2377" s="12" t="s">
        <v>11640</v>
      </c>
      <c r="N2377" s="12">
        <v>17982</v>
      </c>
      <c r="O2377" s="12">
        <v>28094</v>
      </c>
      <c r="P2377" s="12">
        <v>2</v>
      </c>
      <c r="Q2377" s="12" t="s">
        <v>11641</v>
      </c>
      <c r="R2377" s="15" t="s">
        <v>11642</v>
      </c>
      <c r="S2377" s="12">
        <v>95</v>
      </c>
      <c r="T2377" s="12" t="s">
        <v>39</v>
      </c>
      <c r="U2377" s="12" t="s">
        <v>58</v>
      </c>
      <c r="V2377" s="12" t="s">
        <v>96</v>
      </c>
      <c r="W2377" s="12">
        <v>25000000</v>
      </c>
      <c r="X2377" s="12">
        <v>1984</v>
      </c>
      <c r="Y2377" s="12">
        <v>12000</v>
      </c>
      <c r="Z2377" s="12">
        <v>7</v>
      </c>
      <c r="AA2377" s="12">
        <v>2.35</v>
      </c>
      <c r="AB2377" s="12">
        <v>1000</v>
      </c>
      <c r="AC2377" s="12"/>
      <c r="AD2377" s="12" t="str">
        <f>IFERROR(__xludf.DUMMYFUNCTION("""COMPUTED_VALUE"""),"Matthew Settle")</f>
        <v>Matthew Settle</v>
      </c>
      <c r="AE2377" s="12"/>
    </row>
    <row r="2378" customHeight="1" spans="1:31">
      <c r="A2378" s="11" t="s">
        <v>30</v>
      </c>
      <c r="B2378" s="11" t="s">
        <v>11643</v>
      </c>
      <c r="C2378" s="11">
        <v>252</v>
      </c>
      <c r="D2378" s="11">
        <v>131</v>
      </c>
      <c r="E2378" s="11">
        <v>33</v>
      </c>
      <c r="F2378" s="11">
        <v>326</v>
      </c>
      <c r="G2378" s="11">
        <v>876</v>
      </c>
      <c r="H2378" s="11">
        <v>21483154</v>
      </c>
      <c r="I2378" s="11" t="s">
        <v>3397</v>
      </c>
      <c r="J2378" s="11" t="s">
        <v>2933</v>
      </c>
      <c r="K2378" s="11" t="s">
        <v>11644</v>
      </c>
      <c r="L2378" s="11" t="s">
        <v>11645</v>
      </c>
      <c r="M2378" s="11" t="s">
        <v>11646</v>
      </c>
      <c r="N2378" s="11">
        <v>98741</v>
      </c>
      <c r="O2378" s="11">
        <v>1985</v>
      </c>
      <c r="P2378" s="11">
        <v>1</v>
      </c>
      <c r="Q2378" s="11" t="s">
        <v>11647</v>
      </c>
      <c r="R2378" s="14" t="s">
        <v>11648</v>
      </c>
      <c r="S2378" s="11">
        <v>236</v>
      </c>
      <c r="T2378" s="11" t="s">
        <v>39</v>
      </c>
      <c r="U2378" s="11" t="s">
        <v>40</v>
      </c>
      <c r="V2378" s="11" t="s">
        <v>41</v>
      </c>
      <c r="W2378" s="11">
        <v>19000000</v>
      </c>
      <c r="X2378" s="11">
        <v>2013</v>
      </c>
      <c r="Y2378" s="11">
        <v>526</v>
      </c>
      <c r="Z2378" s="11">
        <v>7.6</v>
      </c>
      <c r="AA2378" s="11">
        <v>2.35</v>
      </c>
      <c r="AB2378" s="11">
        <v>53000</v>
      </c>
      <c r="AC2378" s="11"/>
      <c r="AD2378" s="11" t="str">
        <f>IFERROR(__xludf.DUMMYFUNCTION("""COMPUTED_VALUE"""),"Tatyana Ali")</f>
        <v>Tatyana Ali</v>
      </c>
      <c r="AE2378" s="11"/>
    </row>
    <row r="2379" customHeight="1" spans="1:31">
      <c r="A2379" s="12" t="s">
        <v>30</v>
      </c>
      <c r="B2379" s="12" t="s">
        <v>4517</v>
      </c>
      <c r="C2379" s="12">
        <v>102</v>
      </c>
      <c r="D2379" s="12">
        <v>129</v>
      </c>
      <c r="E2379" s="12">
        <v>51</v>
      </c>
      <c r="F2379" s="12">
        <v>630</v>
      </c>
      <c r="G2379" s="12">
        <v>948</v>
      </c>
      <c r="H2379" s="12">
        <v>8396942</v>
      </c>
      <c r="I2379" s="12" t="s">
        <v>11649</v>
      </c>
      <c r="J2379" s="12" t="s">
        <v>11650</v>
      </c>
      <c r="K2379" s="12" t="s">
        <v>5236</v>
      </c>
      <c r="L2379" s="12" t="s">
        <v>4941</v>
      </c>
      <c r="M2379" s="12" t="s">
        <v>11651</v>
      </c>
      <c r="N2379" s="12">
        <v>72715</v>
      </c>
      <c r="O2379" s="12">
        <v>4324</v>
      </c>
      <c r="P2379" s="12">
        <v>1</v>
      </c>
      <c r="Q2379" s="12" t="s">
        <v>11652</v>
      </c>
      <c r="R2379" s="15" t="s">
        <v>11653</v>
      </c>
      <c r="S2379" s="12">
        <v>103</v>
      </c>
      <c r="T2379" s="12" t="s">
        <v>39</v>
      </c>
      <c r="U2379" s="12" t="s">
        <v>40</v>
      </c>
      <c r="V2379" s="12" t="s">
        <v>586</v>
      </c>
      <c r="W2379" s="12">
        <v>19000000</v>
      </c>
      <c r="X2379" s="12">
        <v>2008</v>
      </c>
      <c r="Y2379" s="12">
        <v>822</v>
      </c>
      <c r="Z2379" s="12">
        <v>6.5</v>
      </c>
      <c r="AA2379" s="12">
        <v>1.85</v>
      </c>
      <c r="AB2379" s="12">
        <v>0</v>
      </c>
      <c r="AC2379" s="12"/>
      <c r="AD2379" s="12" t="str">
        <f>IFERROR(__xludf.DUMMYFUNCTION("""COMPUTED_VALUE"""),"Aretha Franklin")</f>
        <v>Aretha Franklin</v>
      </c>
      <c r="AE2379" s="12"/>
    </row>
    <row r="2380" customHeight="1" spans="1:31">
      <c r="A2380" s="11" t="s">
        <v>30</v>
      </c>
      <c r="B2380" s="11" t="s">
        <v>11654</v>
      </c>
      <c r="C2380" s="11">
        <v>134</v>
      </c>
      <c r="D2380" s="11">
        <v>100</v>
      </c>
      <c r="E2380" s="11">
        <v>14</v>
      </c>
      <c r="F2380" s="11">
        <v>356</v>
      </c>
      <c r="G2380" s="11">
        <v>3000</v>
      </c>
      <c r="H2380" s="11">
        <v>12561</v>
      </c>
      <c r="I2380" s="11" t="s">
        <v>1681</v>
      </c>
      <c r="J2380" s="11" t="s">
        <v>1545</v>
      </c>
      <c r="K2380" s="11" t="s">
        <v>9254</v>
      </c>
      <c r="L2380" s="11" t="s">
        <v>11655</v>
      </c>
      <c r="M2380" s="11" t="s">
        <v>11656</v>
      </c>
      <c r="N2380" s="11">
        <v>71276</v>
      </c>
      <c r="O2380" s="11">
        <v>4094</v>
      </c>
      <c r="P2380" s="11">
        <v>2</v>
      </c>
      <c r="Q2380" s="11" t="s">
        <v>11657</v>
      </c>
      <c r="R2380" s="14" t="s">
        <v>11658</v>
      </c>
      <c r="S2380" s="11">
        <v>181</v>
      </c>
      <c r="T2380" s="11" t="s">
        <v>39</v>
      </c>
      <c r="U2380" s="11" t="s">
        <v>40</v>
      </c>
      <c r="V2380" s="11" t="s">
        <v>96</v>
      </c>
      <c r="W2380" s="11">
        <v>19000000</v>
      </c>
      <c r="X2380" s="11">
        <v>2010</v>
      </c>
      <c r="Y2380" s="11">
        <v>547</v>
      </c>
      <c r="Z2380" s="11">
        <v>6.4</v>
      </c>
      <c r="AA2380" s="11">
        <v>2.35</v>
      </c>
      <c r="AB2380" s="11">
        <v>13000</v>
      </c>
      <c r="AC2380" s="11"/>
      <c r="AD2380" s="11" t="str">
        <f>IFERROR(__xludf.DUMMYFUNCTION("""COMPUTED_VALUE"""),"Ray Charles")</f>
        <v>Ray Charles</v>
      </c>
      <c r="AE2380" s="11"/>
    </row>
    <row r="2381" customHeight="1" spans="1:31">
      <c r="A2381" s="12" t="s">
        <v>30</v>
      </c>
      <c r="B2381" s="12" t="s">
        <v>11659</v>
      </c>
      <c r="C2381" s="12">
        <v>30</v>
      </c>
      <c r="D2381" s="12">
        <v>172</v>
      </c>
      <c r="E2381" s="12">
        <v>75</v>
      </c>
      <c r="F2381" s="12">
        <v>102</v>
      </c>
      <c r="G2381" s="12">
        <v>617</v>
      </c>
      <c r="H2381" s="16"/>
      <c r="I2381" s="12" t="s">
        <v>1962</v>
      </c>
      <c r="J2381" s="12" t="s">
        <v>4825</v>
      </c>
      <c r="K2381" s="12" t="s">
        <v>11660</v>
      </c>
      <c r="L2381" s="12" t="s">
        <v>11661</v>
      </c>
      <c r="M2381" s="12" t="s">
        <v>11662</v>
      </c>
      <c r="N2381" s="12">
        <v>6156</v>
      </c>
      <c r="O2381" s="12">
        <v>1131</v>
      </c>
      <c r="P2381" s="12">
        <v>0</v>
      </c>
      <c r="Q2381" s="12" t="s">
        <v>11663</v>
      </c>
      <c r="R2381" s="15" t="s">
        <v>11664</v>
      </c>
      <c r="S2381" s="12">
        <v>91</v>
      </c>
      <c r="T2381" s="12" t="s">
        <v>39</v>
      </c>
      <c r="U2381" s="12" t="s">
        <v>40</v>
      </c>
      <c r="V2381" s="12" t="s">
        <v>6037</v>
      </c>
      <c r="W2381" s="12">
        <v>19000000</v>
      </c>
      <c r="X2381" s="12">
        <v>1964</v>
      </c>
      <c r="Y2381" s="12">
        <v>134</v>
      </c>
      <c r="Z2381" s="12">
        <v>6.7</v>
      </c>
      <c r="AA2381" s="12">
        <v>2.2</v>
      </c>
      <c r="AB2381" s="12">
        <v>560</v>
      </c>
      <c r="AC2381" s="12"/>
      <c r="AD2381" s="12" t="str">
        <f>IFERROR(__xludf.DUMMYFUNCTION("""COMPUTED_VALUE"""),"Michael Rady")</f>
        <v>Michael Rady</v>
      </c>
      <c r="AE2381" s="12"/>
    </row>
    <row r="2382" customHeight="1" spans="1:31">
      <c r="A2382" s="11" t="s">
        <v>30</v>
      </c>
      <c r="B2382" s="11" t="s">
        <v>11665</v>
      </c>
      <c r="C2382" s="11">
        <v>136</v>
      </c>
      <c r="D2382" s="11">
        <v>97</v>
      </c>
      <c r="E2382" s="11">
        <v>31</v>
      </c>
      <c r="F2382" s="11">
        <v>562</v>
      </c>
      <c r="G2382" s="11">
        <v>2000</v>
      </c>
      <c r="H2382" s="11">
        <v>6923891</v>
      </c>
      <c r="I2382" s="11" t="s">
        <v>1415</v>
      </c>
      <c r="J2382" s="11" t="s">
        <v>6474</v>
      </c>
      <c r="K2382" s="11" t="s">
        <v>3008</v>
      </c>
      <c r="L2382" s="11" t="s">
        <v>931</v>
      </c>
      <c r="M2382" s="11" t="s">
        <v>11666</v>
      </c>
      <c r="N2382" s="11">
        <v>43867</v>
      </c>
      <c r="O2382" s="11">
        <v>5519</v>
      </c>
      <c r="P2382" s="11">
        <v>4</v>
      </c>
      <c r="Q2382" s="11" t="s">
        <v>11667</v>
      </c>
      <c r="R2382" s="14" t="s">
        <v>11668</v>
      </c>
      <c r="S2382" s="11">
        <v>83</v>
      </c>
      <c r="T2382" s="11" t="s">
        <v>39</v>
      </c>
      <c r="U2382" s="11" t="s">
        <v>40</v>
      </c>
      <c r="V2382" s="11" t="s">
        <v>586</v>
      </c>
      <c r="W2382" s="11">
        <v>23000000</v>
      </c>
      <c r="X2382" s="11">
        <v>2011</v>
      </c>
      <c r="Y2382" s="11">
        <v>2000</v>
      </c>
      <c r="Z2382" s="11">
        <v>6.3</v>
      </c>
      <c r="AA2382" s="11">
        <v>2.35</v>
      </c>
      <c r="AB2382" s="11">
        <v>0</v>
      </c>
      <c r="AC2382" s="11"/>
      <c r="AD2382" s="11" t="str">
        <f>IFERROR(__xludf.DUMMYFUNCTION("""COMPUTED_VALUE"""),"Dolly Parton")</f>
        <v>Dolly Parton</v>
      </c>
      <c r="AE2382" s="11"/>
    </row>
    <row r="2383" customHeight="1" spans="1:31">
      <c r="A2383" s="12" t="s">
        <v>30</v>
      </c>
      <c r="B2383" s="12" t="s">
        <v>11669</v>
      </c>
      <c r="C2383" s="12">
        <v>102</v>
      </c>
      <c r="D2383" s="12">
        <v>121</v>
      </c>
      <c r="E2383" s="12">
        <v>33</v>
      </c>
      <c r="F2383" s="12">
        <v>505</v>
      </c>
      <c r="G2383" s="12">
        <v>1000</v>
      </c>
      <c r="H2383" s="12">
        <v>5308553</v>
      </c>
      <c r="I2383" s="12" t="s">
        <v>3410</v>
      </c>
      <c r="J2383" s="12" t="s">
        <v>2061</v>
      </c>
      <c r="K2383" s="12" t="s">
        <v>1987</v>
      </c>
      <c r="L2383" s="12" t="s">
        <v>11670</v>
      </c>
      <c r="M2383" s="12" t="s">
        <v>11671</v>
      </c>
      <c r="N2383" s="12">
        <v>5147</v>
      </c>
      <c r="O2383" s="12">
        <v>3260</v>
      </c>
      <c r="P2383" s="12">
        <v>2</v>
      </c>
      <c r="Q2383" s="12" t="s">
        <v>11672</v>
      </c>
      <c r="R2383" s="15" t="s">
        <v>11673</v>
      </c>
      <c r="S2383" s="12">
        <v>37</v>
      </c>
      <c r="T2383" s="12" t="s">
        <v>39</v>
      </c>
      <c r="U2383" s="12" t="s">
        <v>40</v>
      </c>
      <c r="V2383" s="12" t="s">
        <v>96</v>
      </c>
      <c r="W2383" s="16"/>
      <c r="X2383" s="12">
        <v>2012</v>
      </c>
      <c r="Y2383" s="12">
        <v>919</v>
      </c>
      <c r="Z2383" s="12">
        <v>6.4</v>
      </c>
      <c r="AA2383" s="12">
        <v>2.35</v>
      </c>
      <c r="AB2383" s="12">
        <v>0</v>
      </c>
      <c r="AC2383" s="12"/>
      <c r="AD2383" s="12" t="str">
        <f>IFERROR(__xludf.DUMMYFUNCTION("""COMPUTED_VALUE"""),"Jeremy Jordan")</f>
        <v>Jeremy Jordan</v>
      </c>
      <c r="AE2383" s="12"/>
    </row>
    <row r="2384" customHeight="1" spans="1:31">
      <c r="A2384" s="11" t="s">
        <v>30</v>
      </c>
      <c r="B2384" s="11" t="s">
        <v>11674</v>
      </c>
      <c r="C2384" s="11">
        <v>10</v>
      </c>
      <c r="D2384" s="11">
        <v>92</v>
      </c>
      <c r="E2384" s="11">
        <v>22</v>
      </c>
      <c r="F2384" s="11">
        <v>0</v>
      </c>
      <c r="G2384" s="11">
        <v>2</v>
      </c>
      <c r="H2384" s="11">
        <v>2119994</v>
      </c>
      <c r="I2384" s="11" t="s">
        <v>11675</v>
      </c>
      <c r="J2384" s="11" t="s">
        <v>11676</v>
      </c>
      <c r="K2384" s="11" t="s">
        <v>11677</v>
      </c>
      <c r="L2384" s="11" t="s">
        <v>11678</v>
      </c>
      <c r="M2384" s="11" t="s">
        <v>11679</v>
      </c>
      <c r="N2384" s="11">
        <v>1153</v>
      </c>
      <c r="O2384" s="11">
        <v>2</v>
      </c>
      <c r="P2384" s="11">
        <v>0</v>
      </c>
      <c r="Q2384" s="11" t="s">
        <v>11680</v>
      </c>
      <c r="R2384" s="14" t="s">
        <v>11681</v>
      </c>
      <c r="S2384" s="11">
        <v>15</v>
      </c>
      <c r="T2384" s="11" t="s">
        <v>39</v>
      </c>
      <c r="U2384" s="11" t="s">
        <v>40</v>
      </c>
      <c r="V2384" s="11" t="s">
        <v>278</v>
      </c>
      <c r="W2384" s="11">
        <v>19000000</v>
      </c>
      <c r="X2384" s="11">
        <v>1993</v>
      </c>
      <c r="Y2384" s="11">
        <v>0</v>
      </c>
      <c r="Z2384" s="11">
        <v>5.7</v>
      </c>
      <c r="AA2384" s="11">
        <v>1.85</v>
      </c>
      <c r="AB2384" s="11">
        <v>238</v>
      </c>
      <c r="AC2384" s="11"/>
      <c r="AD2384" s="11" t="str">
        <f>IFERROR(__xludf.DUMMYFUNCTION("""COMPUTED_VALUE"""),"Sharon Small")</f>
        <v>Sharon Small</v>
      </c>
      <c r="AE2384" s="11"/>
    </row>
    <row r="2385" customHeight="1" spans="1:31">
      <c r="A2385" s="12" t="s">
        <v>30</v>
      </c>
      <c r="B2385" s="12" t="s">
        <v>11682</v>
      </c>
      <c r="C2385" s="12">
        <v>31</v>
      </c>
      <c r="D2385" s="12">
        <v>116</v>
      </c>
      <c r="E2385" s="12">
        <v>500</v>
      </c>
      <c r="F2385" s="12">
        <v>530</v>
      </c>
      <c r="G2385" s="12">
        <v>12000</v>
      </c>
      <c r="H2385" s="12">
        <v>1292527</v>
      </c>
      <c r="I2385" s="12" t="s">
        <v>11683</v>
      </c>
      <c r="J2385" s="12" t="s">
        <v>272</v>
      </c>
      <c r="K2385" s="12" t="s">
        <v>2620</v>
      </c>
      <c r="L2385" s="12" t="s">
        <v>4770</v>
      </c>
      <c r="M2385" s="12" t="s">
        <v>11684</v>
      </c>
      <c r="N2385" s="12">
        <v>3536</v>
      </c>
      <c r="O2385" s="12">
        <v>14579</v>
      </c>
      <c r="P2385" s="12">
        <v>2</v>
      </c>
      <c r="Q2385" s="12" t="s">
        <v>11685</v>
      </c>
      <c r="R2385" s="15" t="s">
        <v>11686</v>
      </c>
      <c r="S2385" s="12">
        <v>44</v>
      </c>
      <c r="T2385" s="12" t="s">
        <v>39</v>
      </c>
      <c r="U2385" s="12" t="s">
        <v>1466</v>
      </c>
      <c r="V2385" s="12" t="s">
        <v>586</v>
      </c>
      <c r="W2385" s="12">
        <v>19000000</v>
      </c>
      <c r="X2385" s="12">
        <v>1996</v>
      </c>
      <c r="Y2385" s="12">
        <v>1000</v>
      </c>
      <c r="Z2385" s="12">
        <v>6.3</v>
      </c>
      <c r="AA2385" s="12">
        <v>1.85</v>
      </c>
      <c r="AB2385" s="12">
        <v>228</v>
      </c>
      <c r="AC2385" s="12"/>
      <c r="AD2385" s="12" t="str">
        <f>IFERROR(__xludf.DUMMYFUNCTION("""COMPUTED_VALUE"""),"Christopher Webster")</f>
        <v>Christopher Webster</v>
      </c>
      <c r="AE2385" s="12"/>
    </row>
    <row r="2386" customHeight="1" spans="1:31">
      <c r="A2386" s="11" t="s">
        <v>30</v>
      </c>
      <c r="B2386" s="11" t="s">
        <v>11687</v>
      </c>
      <c r="C2386" s="11">
        <v>63</v>
      </c>
      <c r="D2386" s="11">
        <v>110</v>
      </c>
      <c r="E2386" s="11">
        <v>44</v>
      </c>
      <c r="F2386" s="11">
        <v>85</v>
      </c>
      <c r="G2386" s="11">
        <v>8000</v>
      </c>
      <c r="H2386" s="11">
        <v>560512</v>
      </c>
      <c r="I2386" s="11" t="s">
        <v>3410</v>
      </c>
      <c r="J2386" s="11" t="s">
        <v>1207</v>
      </c>
      <c r="K2386" s="11" t="s">
        <v>3417</v>
      </c>
      <c r="L2386" s="11" t="s">
        <v>11688</v>
      </c>
      <c r="M2386" s="11" t="s">
        <v>11689</v>
      </c>
      <c r="N2386" s="11">
        <v>550</v>
      </c>
      <c r="O2386" s="11">
        <v>8972</v>
      </c>
      <c r="P2386" s="11">
        <v>0</v>
      </c>
      <c r="Q2386" s="11" t="s">
        <v>7748</v>
      </c>
      <c r="R2386" s="14" t="s">
        <v>11690</v>
      </c>
      <c r="S2386" s="11">
        <v>3</v>
      </c>
      <c r="T2386" s="11" t="s">
        <v>11691</v>
      </c>
      <c r="U2386" s="11" t="s">
        <v>40</v>
      </c>
      <c r="V2386" s="11" t="s">
        <v>586</v>
      </c>
      <c r="W2386" s="13"/>
      <c r="X2386" s="11">
        <v>2016</v>
      </c>
      <c r="Y2386" s="11">
        <v>691</v>
      </c>
      <c r="Z2386" s="11">
        <v>7.8</v>
      </c>
      <c r="AA2386" s="11">
        <v>2</v>
      </c>
      <c r="AB2386" s="11">
        <v>599</v>
      </c>
      <c r="AC2386" s="11"/>
      <c r="AD2386" s="11" t="str">
        <f>IFERROR(__xludf.DUMMYFUNCTION("""COMPUTED_VALUE"""),"Peter McNicholl")</f>
        <v>Peter McNicholl</v>
      </c>
      <c r="AE2386" s="11"/>
    </row>
    <row r="2387" customHeight="1" spans="1:31">
      <c r="A2387" s="12" t="s">
        <v>30</v>
      </c>
      <c r="B2387" s="12" t="s">
        <v>11692</v>
      </c>
      <c r="C2387" s="12">
        <v>220</v>
      </c>
      <c r="D2387" s="12">
        <v>90</v>
      </c>
      <c r="E2387" s="12">
        <v>15</v>
      </c>
      <c r="F2387" s="12">
        <v>16000</v>
      </c>
      <c r="G2387" s="12">
        <v>87000</v>
      </c>
      <c r="H2387" s="12">
        <v>64255243</v>
      </c>
      <c r="I2387" s="12" t="s">
        <v>6133</v>
      </c>
      <c r="J2387" s="12" t="s">
        <v>517</v>
      </c>
      <c r="K2387" s="12" t="s">
        <v>490</v>
      </c>
      <c r="L2387" s="12" t="s">
        <v>315</v>
      </c>
      <c r="M2387" s="12" t="s">
        <v>11693</v>
      </c>
      <c r="N2387" s="12">
        <v>80903</v>
      </c>
      <c r="O2387" s="12">
        <v>120797</v>
      </c>
      <c r="P2387" s="12">
        <v>0</v>
      </c>
      <c r="Q2387" s="12" t="s">
        <v>11694</v>
      </c>
      <c r="R2387" s="15" t="s">
        <v>11695</v>
      </c>
      <c r="S2387" s="12">
        <v>518</v>
      </c>
      <c r="T2387" s="12" t="s">
        <v>39</v>
      </c>
      <c r="U2387" s="12" t="s">
        <v>40</v>
      </c>
      <c r="V2387" s="12" t="s">
        <v>586</v>
      </c>
      <c r="W2387" s="12">
        <v>19000000</v>
      </c>
      <c r="X2387" s="12">
        <v>2005</v>
      </c>
      <c r="Y2387" s="12">
        <v>17000</v>
      </c>
      <c r="Z2387" s="12">
        <v>6</v>
      </c>
      <c r="AA2387" s="12">
        <v>2.35</v>
      </c>
      <c r="AB2387" s="12">
        <v>0</v>
      </c>
      <c r="AC2387" s="12"/>
      <c r="AD2387" s="12" t="str">
        <f>IFERROR(__xludf.DUMMYFUNCTION("""COMPUTED_VALUE"""),"Ty Olsson")</f>
        <v>Ty Olsson</v>
      </c>
      <c r="AE2387" s="12"/>
    </row>
    <row r="2388" customHeight="1" spans="1:31">
      <c r="A2388" s="11" t="s">
        <v>30</v>
      </c>
      <c r="B2388" s="11" t="s">
        <v>1801</v>
      </c>
      <c r="C2388" s="11">
        <v>241</v>
      </c>
      <c r="D2388" s="11">
        <v>81</v>
      </c>
      <c r="E2388" s="11">
        <v>0</v>
      </c>
      <c r="F2388" s="11">
        <v>836</v>
      </c>
      <c r="G2388" s="11">
        <v>12000</v>
      </c>
      <c r="H2388" s="11">
        <v>22245861</v>
      </c>
      <c r="I2388" s="11" t="s">
        <v>2528</v>
      </c>
      <c r="J2388" s="11" t="s">
        <v>705</v>
      </c>
      <c r="K2388" s="11" t="s">
        <v>2377</v>
      </c>
      <c r="L2388" s="11" t="s">
        <v>1468</v>
      </c>
      <c r="M2388" s="11" t="s">
        <v>11696</v>
      </c>
      <c r="N2388" s="11">
        <v>143251</v>
      </c>
      <c r="O2388" s="11">
        <v>25489</v>
      </c>
      <c r="P2388" s="11">
        <v>0</v>
      </c>
      <c r="Q2388" s="11" t="s">
        <v>11697</v>
      </c>
      <c r="R2388" s="14" t="s">
        <v>11698</v>
      </c>
      <c r="S2388" s="11">
        <v>710</v>
      </c>
      <c r="T2388" s="11" t="s">
        <v>39</v>
      </c>
      <c r="U2388" s="11" t="s">
        <v>40</v>
      </c>
      <c r="V2388" s="11" t="s">
        <v>586</v>
      </c>
      <c r="W2388" s="11">
        <v>19000000</v>
      </c>
      <c r="X2388" s="11">
        <v>2002</v>
      </c>
      <c r="Y2388" s="11">
        <v>11000</v>
      </c>
      <c r="Z2388" s="11">
        <v>7.7</v>
      </c>
      <c r="AA2388" s="11">
        <v>1.85</v>
      </c>
      <c r="AB2388" s="11">
        <v>0</v>
      </c>
      <c r="AC2388" s="11"/>
      <c r="AD2388" s="11" t="str">
        <f>IFERROR(__xludf.DUMMYFUNCTION("""COMPUTED_VALUE"""),"Barret Oliver")</f>
        <v>Barret Oliver</v>
      </c>
      <c r="AE2388" s="11"/>
    </row>
    <row r="2389" customHeight="1" spans="1:31">
      <c r="A2389" s="12" t="s">
        <v>748</v>
      </c>
      <c r="B2389" s="12" t="s">
        <v>2496</v>
      </c>
      <c r="C2389" s="12">
        <v>252</v>
      </c>
      <c r="D2389" s="12">
        <v>97</v>
      </c>
      <c r="E2389" s="12">
        <v>0</v>
      </c>
      <c r="F2389" s="12">
        <v>233</v>
      </c>
      <c r="G2389" s="12">
        <v>654</v>
      </c>
      <c r="H2389" s="12">
        <v>20433940</v>
      </c>
      <c r="I2389" s="12" t="s">
        <v>6403</v>
      </c>
      <c r="J2389" s="12" t="s">
        <v>8231</v>
      </c>
      <c r="K2389" s="12" t="s">
        <v>4500</v>
      </c>
      <c r="L2389" s="12" t="s">
        <v>11699</v>
      </c>
      <c r="M2389" s="12" t="s">
        <v>11700</v>
      </c>
      <c r="N2389" s="12">
        <v>78883</v>
      </c>
      <c r="O2389" s="12">
        <v>1876</v>
      </c>
      <c r="P2389" s="12">
        <v>8</v>
      </c>
      <c r="Q2389" s="12" t="s">
        <v>11701</v>
      </c>
      <c r="R2389" s="15" t="s">
        <v>11702</v>
      </c>
      <c r="S2389" s="12">
        <v>662</v>
      </c>
      <c r="T2389" s="12" t="s">
        <v>39</v>
      </c>
      <c r="U2389" s="12" t="s">
        <v>269</v>
      </c>
      <c r="V2389" s="12" t="s">
        <v>586</v>
      </c>
      <c r="W2389" s="12">
        <v>15000000</v>
      </c>
      <c r="X2389" s="12">
        <v>2005</v>
      </c>
      <c r="Y2389" s="12">
        <v>529</v>
      </c>
      <c r="Z2389" s="12">
        <v>6.2</v>
      </c>
      <c r="AA2389" s="12">
        <v>2.35</v>
      </c>
      <c r="AB2389" s="12">
        <v>0</v>
      </c>
      <c r="AC2389" s="12"/>
      <c r="AD2389" s="12" t="str">
        <f>IFERROR(__xludf.DUMMYFUNCTION("""COMPUTED_VALUE"""),"Jackie Gleason")</f>
        <v>Jackie Gleason</v>
      </c>
      <c r="AE2389" s="12"/>
    </row>
    <row r="2390" customHeight="1" spans="1:31">
      <c r="A2390" s="11" t="s">
        <v>30</v>
      </c>
      <c r="B2390" s="11" t="s">
        <v>5962</v>
      </c>
      <c r="C2390" s="11">
        <v>23</v>
      </c>
      <c r="D2390" s="11">
        <v>107</v>
      </c>
      <c r="E2390" s="11">
        <v>15</v>
      </c>
      <c r="F2390" s="11">
        <v>27</v>
      </c>
      <c r="G2390" s="11">
        <v>82</v>
      </c>
      <c r="H2390" s="13"/>
      <c r="I2390" s="11" t="s">
        <v>1326</v>
      </c>
      <c r="J2390" s="11" t="s">
        <v>11703</v>
      </c>
      <c r="K2390" s="11" t="s">
        <v>11704</v>
      </c>
      <c r="L2390" s="11" t="s">
        <v>11705</v>
      </c>
      <c r="M2390" s="11" t="s">
        <v>11706</v>
      </c>
      <c r="N2390" s="11">
        <v>625</v>
      </c>
      <c r="O2390" s="11">
        <v>151</v>
      </c>
      <c r="P2390" s="11">
        <v>2</v>
      </c>
      <c r="Q2390" s="13"/>
      <c r="R2390" s="14" t="s">
        <v>11707</v>
      </c>
      <c r="S2390" s="11">
        <v>4</v>
      </c>
      <c r="T2390" s="11" t="s">
        <v>11708</v>
      </c>
      <c r="U2390" s="11" t="s">
        <v>893</v>
      </c>
      <c r="V2390" s="11" t="s">
        <v>41</v>
      </c>
      <c r="W2390" s="13"/>
      <c r="X2390" s="11">
        <v>2013</v>
      </c>
      <c r="Y2390" s="11">
        <v>39</v>
      </c>
      <c r="Z2390" s="11">
        <v>5.7</v>
      </c>
      <c r="AA2390" s="11">
        <v>1.85</v>
      </c>
      <c r="AB2390" s="11">
        <v>124</v>
      </c>
      <c r="AC2390" s="11"/>
      <c r="AD2390" s="11" t="str">
        <f>IFERROR(__xludf.DUMMYFUNCTION("""COMPUTED_VALUE"""),"Art Carney")</f>
        <v>Art Carney</v>
      </c>
      <c r="AE2390" s="11"/>
    </row>
    <row r="2391" customHeight="1" spans="1:31">
      <c r="A2391" s="12" t="s">
        <v>30</v>
      </c>
      <c r="B2391" s="12" t="s">
        <v>2792</v>
      </c>
      <c r="C2391" s="12">
        <v>156</v>
      </c>
      <c r="D2391" s="12">
        <v>118</v>
      </c>
      <c r="E2391" s="12">
        <v>0</v>
      </c>
      <c r="F2391" s="12">
        <v>551</v>
      </c>
      <c r="G2391" s="12">
        <v>40000</v>
      </c>
      <c r="H2391" s="12">
        <v>10562387</v>
      </c>
      <c r="I2391" s="12" t="s">
        <v>5384</v>
      </c>
      <c r="J2391" s="12" t="s">
        <v>44</v>
      </c>
      <c r="K2391" s="12" t="s">
        <v>2032</v>
      </c>
      <c r="L2391" s="12" t="s">
        <v>4765</v>
      </c>
      <c r="M2391" s="12" t="s">
        <v>11709</v>
      </c>
      <c r="N2391" s="12">
        <v>213226</v>
      </c>
      <c r="O2391" s="12">
        <v>43105</v>
      </c>
      <c r="P2391" s="12">
        <v>0</v>
      </c>
      <c r="Q2391" s="12" t="s">
        <v>11710</v>
      </c>
      <c r="R2391" s="15" t="s">
        <v>11711</v>
      </c>
      <c r="S2391" s="12">
        <v>648</v>
      </c>
      <c r="T2391" s="12" t="s">
        <v>39</v>
      </c>
      <c r="U2391" s="12" t="s">
        <v>40</v>
      </c>
      <c r="V2391" s="12" t="s">
        <v>586</v>
      </c>
      <c r="W2391" s="12">
        <v>18500000</v>
      </c>
      <c r="X2391" s="12">
        <v>1998</v>
      </c>
      <c r="Y2391" s="12">
        <v>693</v>
      </c>
      <c r="Z2391" s="12">
        <v>7.7</v>
      </c>
      <c r="AA2391" s="12">
        <v>2.35</v>
      </c>
      <c r="AB2391" s="12">
        <v>15000</v>
      </c>
      <c r="AC2391" s="12"/>
      <c r="AD2391" s="12" t="str">
        <f>IFERROR(__xludf.DUMMYFUNCTION("""COMPUTED_VALUE"""),"Joyce Randolph")</f>
        <v>Joyce Randolph</v>
      </c>
      <c r="AE2391" s="12"/>
    </row>
    <row r="2392" customHeight="1" spans="1:31">
      <c r="A2392" s="11" t="s">
        <v>30</v>
      </c>
      <c r="B2392" s="11" t="s">
        <v>11712</v>
      </c>
      <c r="C2392" s="11">
        <v>192</v>
      </c>
      <c r="D2392" s="11">
        <v>100</v>
      </c>
      <c r="E2392" s="11">
        <v>0</v>
      </c>
      <c r="F2392" s="11">
        <v>985</v>
      </c>
      <c r="G2392" s="11">
        <v>3000</v>
      </c>
      <c r="H2392" s="11">
        <v>18439082</v>
      </c>
      <c r="I2392" s="11" t="s">
        <v>3632</v>
      </c>
      <c r="J2392" s="11" t="s">
        <v>750</v>
      </c>
      <c r="K2392" s="11" t="s">
        <v>4801</v>
      </c>
      <c r="L2392" s="11" t="s">
        <v>9054</v>
      </c>
      <c r="M2392" s="11" t="s">
        <v>11713</v>
      </c>
      <c r="N2392" s="11">
        <v>94292</v>
      </c>
      <c r="O2392" s="11">
        <v>7252</v>
      </c>
      <c r="P2392" s="11">
        <v>3</v>
      </c>
      <c r="Q2392" s="11" t="s">
        <v>11714</v>
      </c>
      <c r="R2392" s="14" t="s">
        <v>11715</v>
      </c>
      <c r="S2392" s="11">
        <v>287</v>
      </c>
      <c r="T2392" s="11" t="s">
        <v>39</v>
      </c>
      <c r="U2392" s="11" t="s">
        <v>40</v>
      </c>
      <c r="V2392" s="11" t="s">
        <v>41</v>
      </c>
      <c r="W2392" s="11">
        <v>18500000</v>
      </c>
      <c r="X2392" s="11">
        <v>2009</v>
      </c>
      <c r="Y2392" s="11">
        <v>2000</v>
      </c>
      <c r="Z2392" s="11">
        <v>6.4</v>
      </c>
      <c r="AA2392" s="11">
        <v>1.85</v>
      </c>
      <c r="AB2392" s="11">
        <v>13000</v>
      </c>
      <c r="AC2392" s="11"/>
      <c r="AD2392" s="11" t="str">
        <f>IFERROR(__xludf.DUMMYFUNCTION("""COMPUTED_VALUE"""),"Piper Laurie")</f>
        <v>Piper Laurie</v>
      </c>
      <c r="AE2392" s="11"/>
    </row>
    <row r="2393" customHeight="1" spans="1:31">
      <c r="A2393" s="12" t="s">
        <v>30</v>
      </c>
      <c r="B2393" s="12" t="s">
        <v>6418</v>
      </c>
      <c r="C2393" s="12">
        <v>351</v>
      </c>
      <c r="D2393" s="12">
        <v>97</v>
      </c>
      <c r="E2393" s="12">
        <v>89</v>
      </c>
      <c r="F2393" s="12">
        <v>329</v>
      </c>
      <c r="G2393" s="12">
        <v>920</v>
      </c>
      <c r="H2393" s="12">
        <v>150056505</v>
      </c>
      <c r="I2393" s="12" t="s">
        <v>1672</v>
      </c>
      <c r="J2393" s="12" t="s">
        <v>5047</v>
      </c>
      <c r="K2393" s="12" t="s">
        <v>11716</v>
      </c>
      <c r="L2393" s="12" t="s">
        <v>511</v>
      </c>
      <c r="M2393" s="12" t="s">
        <v>11717</v>
      </c>
      <c r="N2393" s="12">
        <v>216581</v>
      </c>
      <c r="O2393" s="12">
        <v>2771</v>
      </c>
      <c r="P2393" s="12">
        <v>3</v>
      </c>
      <c r="Q2393" s="12" t="s">
        <v>11718</v>
      </c>
      <c r="R2393" s="15" t="s">
        <v>11719</v>
      </c>
      <c r="S2393" s="12">
        <v>397</v>
      </c>
      <c r="T2393" s="12" t="s">
        <v>39</v>
      </c>
      <c r="U2393" s="12" t="s">
        <v>40</v>
      </c>
      <c r="V2393" s="12" t="s">
        <v>586</v>
      </c>
      <c r="W2393" s="12">
        <v>18000000</v>
      </c>
      <c r="X2393" s="12">
        <v>2014</v>
      </c>
      <c r="Y2393" s="12">
        <v>798</v>
      </c>
      <c r="Z2393" s="12">
        <v>6.4</v>
      </c>
      <c r="AA2393" s="12">
        <v>2.35</v>
      </c>
      <c r="AB2393" s="12">
        <v>21000</v>
      </c>
      <c r="AC2393" s="12"/>
      <c r="AD2393" s="12" t="str">
        <f>IFERROR(__xludf.DUMMYFUNCTION("""COMPUTED_VALUE"""),"Jean Marsh")</f>
        <v>Jean Marsh</v>
      </c>
      <c r="AE2393" s="12"/>
    </row>
    <row r="2394" customHeight="1" spans="1:31">
      <c r="A2394" s="11" t="s">
        <v>30</v>
      </c>
      <c r="B2394" s="11" t="s">
        <v>1758</v>
      </c>
      <c r="C2394" s="11">
        <v>57</v>
      </c>
      <c r="D2394" s="11">
        <v>114</v>
      </c>
      <c r="E2394" s="11">
        <v>55</v>
      </c>
      <c r="F2394" s="11">
        <v>360</v>
      </c>
      <c r="G2394" s="11">
        <v>789</v>
      </c>
      <c r="H2394" s="11">
        <v>119938730</v>
      </c>
      <c r="I2394" s="11" t="s">
        <v>11096</v>
      </c>
      <c r="J2394" s="11" t="s">
        <v>4156</v>
      </c>
      <c r="K2394" s="11" t="s">
        <v>11720</v>
      </c>
      <c r="L2394" s="11" t="s">
        <v>1503</v>
      </c>
      <c r="M2394" s="11" t="s">
        <v>11721</v>
      </c>
      <c r="N2394" s="11">
        <v>265818</v>
      </c>
      <c r="O2394" s="11">
        <v>2085</v>
      </c>
      <c r="P2394" s="11">
        <v>0</v>
      </c>
      <c r="Q2394" s="11" t="s">
        <v>11722</v>
      </c>
      <c r="R2394" s="14" t="s">
        <v>11723</v>
      </c>
      <c r="S2394" s="11">
        <v>213</v>
      </c>
      <c r="T2394" s="11" t="s">
        <v>39</v>
      </c>
      <c r="U2394" s="11" t="s">
        <v>40</v>
      </c>
      <c r="V2394" s="11" t="s">
        <v>41</v>
      </c>
      <c r="W2394" s="11">
        <v>18000000</v>
      </c>
      <c r="X2394" s="11">
        <v>1994</v>
      </c>
      <c r="Y2394" s="11">
        <v>424</v>
      </c>
      <c r="Z2394" s="11">
        <v>6.9</v>
      </c>
      <c r="AA2394" s="11">
        <v>1.85</v>
      </c>
      <c r="AB2394" s="11">
        <v>0</v>
      </c>
      <c r="AC2394" s="11"/>
      <c r="AD2394" s="11" t="str">
        <f>IFERROR(__xludf.DUMMYFUNCTION("""COMPUTED_VALUE"""),"Tim Rose")</f>
        <v>Tim Rose</v>
      </c>
      <c r="AE2394" s="11"/>
    </row>
    <row r="2395" customHeight="1" spans="1:31">
      <c r="A2395" s="12" t="s">
        <v>30</v>
      </c>
      <c r="B2395" s="12" t="s">
        <v>5625</v>
      </c>
      <c r="C2395" s="12">
        <v>99</v>
      </c>
      <c r="D2395" s="12">
        <v>130</v>
      </c>
      <c r="E2395" s="12">
        <v>545</v>
      </c>
      <c r="F2395" s="12">
        <v>697</v>
      </c>
      <c r="G2395" s="12">
        <v>15000</v>
      </c>
      <c r="H2395" s="12">
        <v>114968774</v>
      </c>
      <c r="I2395" s="12" t="s">
        <v>6392</v>
      </c>
      <c r="J2395" s="12" t="s">
        <v>322</v>
      </c>
      <c r="K2395" s="12" t="s">
        <v>1957</v>
      </c>
      <c r="L2395" s="12" t="s">
        <v>3198</v>
      </c>
      <c r="M2395" s="12" t="s">
        <v>11724</v>
      </c>
      <c r="N2395" s="12">
        <v>153468</v>
      </c>
      <c r="O2395" s="12">
        <v>28018</v>
      </c>
      <c r="P2395" s="12">
        <v>1</v>
      </c>
      <c r="Q2395" s="12" t="s">
        <v>11725</v>
      </c>
      <c r="R2395" s="15" t="s">
        <v>11726</v>
      </c>
      <c r="S2395" s="12">
        <v>204</v>
      </c>
      <c r="T2395" s="12" t="s">
        <v>39</v>
      </c>
      <c r="U2395" s="12" t="s">
        <v>40</v>
      </c>
      <c r="V2395" s="12" t="s">
        <v>96</v>
      </c>
      <c r="W2395" s="12">
        <v>18000000</v>
      </c>
      <c r="X2395" s="12">
        <v>1988</v>
      </c>
      <c r="Y2395" s="12">
        <v>11000</v>
      </c>
      <c r="Z2395" s="12">
        <v>7.3</v>
      </c>
      <c r="AA2395" s="12">
        <v>1.85</v>
      </c>
      <c r="AB2395" s="12">
        <v>0</v>
      </c>
      <c r="AC2395" s="12"/>
      <c r="AD2395" s="12" t="str">
        <f>IFERROR(__xludf.DUMMYFUNCTION("""COMPUTED_VALUE"""),"Lew Temple")</f>
        <v>Lew Temple</v>
      </c>
      <c r="AE2395" s="12"/>
    </row>
    <row r="2396" customHeight="1" spans="1:31">
      <c r="A2396" s="11" t="s">
        <v>30</v>
      </c>
      <c r="B2396" s="11" t="s">
        <v>3723</v>
      </c>
      <c r="C2396" s="11">
        <v>343</v>
      </c>
      <c r="D2396" s="11">
        <v>82</v>
      </c>
      <c r="E2396" s="11">
        <v>119</v>
      </c>
      <c r="F2396" s="11">
        <v>6</v>
      </c>
      <c r="G2396" s="11">
        <v>332</v>
      </c>
      <c r="H2396" s="11">
        <v>128505958</v>
      </c>
      <c r="I2396" s="11" t="s">
        <v>1672</v>
      </c>
      <c r="J2396" s="11" t="s">
        <v>11727</v>
      </c>
      <c r="K2396" s="11" t="s">
        <v>11728</v>
      </c>
      <c r="L2396" s="11" t="s">
        <v>11729</v>
      </c>
      <c r="M2396" s="11" t="s">
        <v>11730</v>
      </c>
      <c r="N2396" s="11">
        <v>297014</v>
      </c>
      <c r="O2396" s="11">
        <v>505</v>
      </c>
      <c r="P2396" s="11">
        <v>1</v>
      </c>
      <c r="Q2396" s="11" t="s">
        <v>11731</v>
      </c>
      <c r="R2396" s="14" t="s">
        <v>11732</v>
      </c>
      <c r="S2396" s="11">
        <v>1198</v>
      </c>
      <c r="T2396" s="11" t="s">
        <v>39</v>
      </c>
      <c r="U2396" s="11" t="s">
        <v>40</v>
      </c>
      <c r="V2396" s="11" t="s">
        <v>586</v>
      </c>
      <c r="W2396" s="11">
        <v>18000000</v>
      </c>
      <c r="X2396" s="11">
        <v>2006</v>
      </c>
      <c r="Y2396" s="11">
        <v>165</v>
      </c>
      <c r="Z2396" s="11">
        <v>7.3</v>
      </c>
      <c r="AA2396" s="11">
        <v>1.85</v>
      </c>
      <c r="AB2396" s="11">
        <v>0</v>
      </c>
      <c r="AC2396" s="11"/>
      <c r="AD2396" s="11" t="str">
        <f>IFERROR(__xludf.DUMMYFUNCTION("""COMPUTED_VALUE"""),"Vanesa Tomasino")</f>
        <v>Vanesa Tomasino</v>
      </c>
      <c r="AE2396" s="11"/>
    </row>
    <row r="2397" customHeight="1" spans="1:31">
      <c r="A2397" s="12" t="s">
        <v>30</v>
      </c>
      <c r="B2397" s="12" t="s">
        <v>3103</v>
      </c>
      <c r="C2397" s="12">
        <v>163</v>
      </c>
      <c r="D2397" s="12">
        <v>96</v>
      </c>
      <c r="E2397" s="12">
        <v>126</v>
      </c>
      <c r="F2397" s="12">
        <v>584</v>
      </c>
      <c r="G2397" s="12">
        <v>2000</v>
      </c>
      <c r="H2397" s="12">
        <v>95001351</v>
      </c>
      <c r="I2397" s="12" t="s">
        <v>1681</v>
      </c>
      <c r="J2397" s="12" t="s">
        <v>2478</v>
      </c>
      <c r="K2397" s="12" t="s">
        <v>11733</v>
      </c>
      <c r="L2397" s="12" t="s">
        <v>11734</v>
      </c>
      <c r="M2397" s="12" t="s">
        <v>11735</v>
      </c>
      <c r="N2397" s="12">
        <v>131801</v>
      </c>
      <c r="O2397" s="12">
        <v>4380</v>
      </c>
      <c r="P2397" s="12">
        <v>1</v>
      </c>
      <c r="Q2397" s="12" t="s">
        <v>11736</v>
      </c>
      <c r="R2397" s="15" t="s">
        <v>11737</v>
      </c>
      <c r="S2397" s="12">
        <v>548</v>
      </c>
      <c r="T2397" s="12" t="s">
        <v>39</v>
      </c>
      <c r="U2397" s="12" t="s">
        <v>40</v>
      </c>
      <c r="V2397" s="12" t="s">
        <v>41</v>
      </c>
      <c r="W2397" s="12">
        <v>18000000</v>
      </c>
      <c r="X2397" s="12">
        <v>2001</v>
      </c>
      <c r="Y2397" s="12">
        <v>788</v>
      </c>
      <c r="Z2397" s="12">
        <v>6.2</v>
      </c>
      <c r="AA2397" s="12">
        <v>2.35</v>
      </c>
      <c r="AB2397" s="12">
        <v>0</v>
      </c>
      <c r="AC2397" s="12"/>
      <c r="AD2397" s="12" t="str">
        <f>IFERROR(__xludf.DUMMYFUNCTION("""COMPUTED_VALUE"""),"William Mapother")</f>
        <v>William Mapother</v>
      </c>
      <c r="AE2397" s="12"/>
    </row>
    <row r="2398" customHeight="1" spans="1:31">
      <c r="A2398" s="11" t="s">
        <v>30</v>
      </c>
      <c r="B2398" s="11" t="s">
        <v>1029</v>
      </c>
      <c r="C2398" s="11">
        <v>110</v>
      </c>
      <c r="D2398" s="11">
        <v>105</v>
      </c>
      <c r="E2398" s="11">
        <v>12000</v>
      </c>
      <c r="F2398" s="11">
        <v>643</v>
      </c>
      <c r="G2398" s="11">
        <v>12000</v>
      </c>
      <c r="H2398" s="11">
        <v>76400000</v>
      </c>
      <c r="I2398" s="11" t="s">
        <v>73</v>
      </c>
      <c r="J2398" s="11" t="s">
        <v>1029</v>
      </c>
      <c r="K2398" s="11" t="s">
        <v>7283</v>
      </c>
      <c r="L2398" s="11" t="s">
        <v>7284</v>
      </c>
      <c r="M2398" s="11" t="s">
        <v>11738</v>
      </c>
      <c r="N2398" s="11">
        <v>58743</v>
      </c>
      <c r="O2398" s="11">
        <v>14762</v>
      </c>
      <c r="P2398" s="11">
        <v>1</v>
      </c>
      <c r="Q2398" s="11" t="s">
        <v>11739</v>
      </c>
      <c r="R2398" s="14" t="s">
        <v>11740</v>
      </c>
      <c r="S2398" s="11">
        <v>192</v>
      </c>
      <c r="T2398" s="11" t="s">
        <v>39</v>
      </c>
      <c r="U2398" s="11" t="s">
        <v>40</v>
      </c>
      <c r="V2398" s="11" t="s">
        <v>96</v>
      </c>
      <c r="W2398" s="11">
        <v>17000000</v>
      </c>
      <c r="X2398" s="11">
        <v>1984</v>
      </c>
      <c r="Y2398" s="11">
        <v>664</v>
      </c>
      <c r="Z2398" s="11">
        <v>6.6</v>
      </c>
      <c r="AA2398" s="11">
        <v>2.35</v>
      </c>
      <c r="AB2398" s="11">
        <v>0</v>
      </c>
      <c r="AC2398" s="11"/>
      <c r="AD2398" s="11" t="str">
        <f>IFERROR(__xludf.DUMMYFUNCTION("""COMPUTED_VALUE"""),"Junix Inocian")</f>
        <v>Junix Inocian</v>
      </c>
      <c r="AE2398" s="11"/>
    </row>
    <row r="2399" customHeight="1" spans="1:31">
      <c r="A2399" s="12" t="s">
        <v>30</v>
      </c>
      <c r="B2399" s="12" t="s">
        <v>2683</v>
      </c>
      <c r="C2399" s="12">
        <v>233</v>
      </c>
      <c r="D2399" s="12">
        <v>122</v>
      </c>
      <c r="E2399" s="12">
        <v>301</v>
      </c>
      <c r="F2399" s="12">
        <v>457</v>
      </c>
      <c r="G2399" s="12">
        <v>1000</v>
      </c>
      <c r="H2399" s="12">
        <v>75072454</v>
      </c>
      <c r="I2399" s="12" t="s">
        <v>4384</v>
      </c>
      <c r="J2399" s="12" t="s">
        <v>138</v>
      </c>
      <c r="K2399" s="12" t="s">
        <v>4162</v>
      </c>
      <c r="L2399" s="12" t="s">
        <v>11741</v>
      </c>
      <c r="M2399" s="12" t="s">
        <v>11742</v>
      </c>
      <c r="N2399" s="12">
        <v>96569</v>
      </c>
      <c r="O2399" s="12">
        <v>2759</v>
      </c>
      <c r="P2399" s="12">
        <v>0</v>
      </c>
      <c r="Q2399" s="12" t="s">
        <v>11743</v>
      </c>
      <c r="R2399" s="15" t="s">
        <v>11744</v>
      </c>
      <c r="S2399" s="12">
        <v>522</v>
      </c>
      <c r="T2399" s="12" t="s">
        <v>39</v>
      </c>
      <c r="U2399" s="12" t="s">
        <v>40</v>
      </c>
      <c r="V2399" s="12" t="s">
        <v>41</v>
      </c>
      <c r="W2399" s="12">
        <v>20000000</v>
      </c>
      <c r="X2399" s="12">
        <v>2005</v>
      </c>
      <c r="Y2399" s="12">
        <v>539</v>
      </c>
      <c r="Z2399" s="12">
        <v>6.7</v>
      </c>
      <c r="AA2399" s="12">
        <v>2.35</v>
      </c>
      <c r="AB2399" s="12">
        <v>0</v>
      </c>
      <c r="AC2399" s="12"/>
      <c r="AD2399" s="12" t="str">
        <f>IFERROR(__xludf.DUMMYFUNCTION("""COMPUTED_VALUE"""),"Paul Barber")</f>
        <v>Paul Barber</v>
      </c>
      <c r="AE2399" s="12"/>
    </row>
    <row r="2400" customHeight="1" spans="1:31">
      <c r="A2400" s="11" t="s">
        <v>30</v>
      </c>
      <c r="B2400" s="11" t="s">
        <v>598</v>
      </c>
      <c r="C2400" s="11">
        <v>91</v>
      </c>
      <c r="D2400" s="11">
        <v>88</v>
      </c>
      <c r="E2400" s="11">
        <v>31</v>
      </c>
      <c r="F2400" s="11">
        <v>489</v>
      </c>
      <c r="G2400" s="11">
        <v>1000</v>
      </c>
      <c r="H2400" s="11">
        <v>65535067</v>
      </c>
      <c r="I2400" s="11" t="s">
        <v>1681</v>
      </c>
      <c r="J2400" s="11" t="s">
        <v>479</v>
      </c>
      <c r="K2400" s="11" t="s">
        <v>9578</v>
      </c>
      <c r="L2400" s="11" t="s">
        <v>11745</v>
      </c>
      <c r="M2400" s="11" t="s">
        <v>11746</v>
      </c>
      <c r="N2400" s="11">
        <v>59380</v>
      </c>
      <c r="O2400" s="11">
        <v>2604</v>
      </c>
      <c r="P2400" s="11">
        <v>1</v>
      </c>
      <c r="Q2400" s="11" t="s">
        <v>11747</v>
      </c>
      <c r="R2400" s="14" t="s">
        <v>11748</v>
      </c>
      <c r="S2400" s="11">
        <v>202</v>
      </c>
      <c r="T2400" s="11" t="s">
        <v>39</v>
      </c>
      <c r="U2400" s="11" t="s">
        <v>40</v>
      </c>
      <c r="V2400" s="11" t="s">
        <v>586</v>
      </c>
      <c r="W2400" s="11">
        <v>17000000</v>
      </c>
      <c r="X2400" s="11">
        <v>1999</v>
      </c>
      <c r="Y2400" s="11">
        <v>489</v>
      </c>
      <c r="Z2400" s="11">
        <v>5.7</v>
      </c>
      <c r="AA2400" s="11">
        <v>1.85</v>
      </c>
      <c r="AB2400" s="11">
        <v>0</v>
      </c>
      <c r="AC2400" s="11"/>
      <c r="AD2400" s="11" t="str">
        <f>IFERROR(__xludf.DUMMYFUNCTION("""COMPUTED_VALUE"""),"Eion Bailey")</f>
        <v>Eion Bailey</v>
      </c>
      <c r="AE2400" s="11"/>
    </row>
    <row r="2401" customHeight="1" spans="1:31">
      <c r="A2401" s="12" t="s">
        <v>30</v>
      </c>
      <c r="B2401" s="12" t="s">
        <v>11749</v>
      </c>
      <c r="C2401" s="12">
        <v>169</v>
      </c>
      <c r="D2401" s="12">
        <v>110</v>
      </c>
      <c r="E2401" s="12">
        <v>179</v>
      </c>
      <c r="F2401" s="12">
        <v>734</v>
      </c>
      <c r="G2401" s="12">
        <v>12000</v>
      </c>
      <c r="H2401" s="12">
        <v>13998282</v>
      </c>
      <c r="I2401" s="12" t="s">
        <v>11750</v>
      </c>
      <c r="J2401" s="12" t="s">
        <v>705</v>
      </c>
      <c r="K2401" s="12" t="s">
        <v>3756</v>
      </c>
      <c r="L2401" s="12" t="s">
        <v>7259</v>
      </c>
      <c r="M2401" s="12" t="s">
        <v>11751</v>
      </c>
      <c r="N2401" s="12">
        <v>24854</v>
      </c>
      <c r="O2401" s="12">
        <v>15044</v>
      </c>
      <c r="P2401" s="12">
        <v>1</v>
      </c>
      <c r="Q2401" s="12" t="s">
        <v>11752</v>
      </c>
      <c r="R2401" s="15" t="s">
        <v>11753</v>
      </c>
      <c r="S2401" s="12">
        <v>374</v>
      </c>
      <c r="T2401" s="12" t="s">
        <v>39</v>
      </c>
      <c r="U2401" s="12" t="s">
        <v>40</v>
      </c>
      <c r="V2401" s="12" t="s">
        <v>41</v>
      </c>
      <c r="W2401" s="12">
        <v>16000000</v>
      </c>
      <c r="X2401" s="12">
        <v>2014</v>
      </c>
      <c r="Y2401" s="12">
        <v>1000</v>
      </c>
      <c r="Z2401" s="12">
        <v>3.1</v>
      </c>
      <c r="AA2401" s="12">
        <v>2.35</v>
      </c>
      <c r="AB2401" s="12">
        <v>31000</v>
      </c>
      <c r="AC2401" s="12"/>
      <c r="AD2401" s="12" t="str">
        <f>IFERROR(__xludf.DUMMYFUNCTION("""COMPUTED_VALUE"""),"John Neville")</f>
        <v>John Neville</v>
      </c>
      <c r="AE2401" s="12"/>
    </row>
    <row r="2402" customHeight="1" spans="1:31">
      <c r="A2402" s="11" t="s">
        <v>30</v>
      </c>
      <c r="B2402" s="11" t="s">
        <v>10978</v>
      </c>
      <c r="C2402" s="11">
        <v>142</v>
      </c>
      <c r="D2402" s="11">
        <v>103</v>
      </c>
      <c r="E2402" s="11">
        <v>15</v>
      </c>
      <c r="F2402" s="11">
        <v>172</v>
      </c>
      <c r="G2402" s="11">
        <v>723</v>
      </c>
      <c r="H2402" s="11">
        <v>6061759</v>
      </c>
      <c r="I2402" s="11" t="s">
        <v>1415</v>
      </c>
      <c r="J2402" s="11" t="s">
        <v>2062</v>
      </c>
      <c r="K2402" s="11" t="s">
        <v>11754</v>
      </c>
      <c r="L2402" s="11" t="s">
        <v>9723</v>
      </c>
      <c r="M2402" s="11" t="s">
        <v>11755</v>
      </c>
      <c r="N2402" s="11">
        <v>49077</v>
      </c>
      <c r="O2402" s="11">
        <v>1615</v>
      </c>
      <c r="P2402" s="11">
        <v>0</v>
      </c>
      <c r="Q2402" s="11" t="s">
        <v>11756</v>
      </c>
      <c r="R2402" s="14" t="s">
        <v>11757</v>
      </c>
      <c r="S2402" s="11">
        <v>475</v>
      </c>
      <c r="T2402" s="11" t="s">
        <v>39</v>
      </c>
      <c r="U2402" s="11" t="s">
        <v>40</v>
      </c>
      <c r="V2402" s="11" t="s">
        <v>41</v>
      </c>
      <c r="W2402" s="11">
        <v>17000000</v>
      </c>
      <c r="X2402" s="11">
        <v>2005</v>
      </c>
      <c r="Y2402" s="11">
        <v>552</v>
      </c>
      <c r="Z2402" s="11">
        <v>6.3</v>
      </c>
      <c r="AA2402" s="11">
        <v>1.85</v>
      </c>
      <c r="AB2402" s="11">
        <v>0</v>
      </c>
      <c r="AC2402" s="11"/>
      <c r="AD2402" s="11" t="str">
        <f>IFERROR(__xludf.DUMMYFUNCTION("""COMPUTED_VALUE"""),"Kim-Marie Woodhouse")</f>
        <v>Kim-Marie Woodhouse</v>
      </c>
      <c r="AE2402" s="11"/>
    </row>
    <row r="2403" customHeight="1" spans="1:31">
      <c r="A2403" s="12" t="s">
        <v>748</v>
      </c>
      <c r="B2403" s="12" t="s">
        <v>7303</v>
      </c>
      <c r="C2403" s="12">
        <v>50</v>
      </c>
      <c r="D2403" s="12">
        <v>106</v>
      </c>
      <c r="E2403" s="12">
        <v>8</v>
      </c>
      <c r="F2403" s="12">
        <v>521</v>
      </c>
      <c r="G2403" s="12">
        <v>748</v>
      </c>
      <c r="H2403" s="12">
        <v>64955956</v>
      </c>
      <c r="I2403" s="12" t="s">
        <v>2528</v>
      </c>
      <c r="J2403" s="12" t="s">
        <v>143</v>
      </c>
      <c r="K2403" s="12" t="s">
        <v>11758</v>
      </c>
      <c r="L2403" s="12" t="s">
        <v>7223</v>
      </c>
      <c r="M2403" s="12" t="s">
        <v>11759</v>
      </c>
      <c r="N2403" s="12">
        <v>10104</v>
      </c>
      <c r="O2403" s="12">
        <v>3956</v>
      </c>
      <c r="P2403" s="12">
        <v>4</v>
      </c>
      <c r="Q2403" s="12" t="s">
        <v>11760</v>
      </c>
      <c r="R2403" s="15" t="s">
        <v>11761</v>
      </c>
      <c r="S2403" s="12">
        <v>69</v>
      </c>
      <c r="T2403" s="12" t="s">
        <v>39</v>
      </c>
      <c r="U2403" s="12" t="s">
        <v>40</v>
      </c>
      <c r="V2403" s="12" t="s">
        <v>41</v>
      </c>
      <c r="W2403" s="12">
        <v>18000000</v>
      </c>
      <c r="X2403" s="12">
        <v>2004</v>
      </c>
      <c r="Y2403" s="12">
        <v>656</v>
      </c>
      <c r="Z2403" s="12">
        <v>5.7</v>
      </c>
      <c r="AA2403" s="12">
        <v>1.85</v>
      </c>
      <c r="AB2403" s="12">
        <v>265</v>
      </c>
      <c r="AC2403" s="12"/>
      <c r="AD2403" s="12" t="str">
        <f>IFERROR(__xludf.DUMMYFUNCTION("""COMPUTED_VALUE"""),"Amy Carson")</f>
        <v>Amy Carson</v>
      </c>
      <c r="AE2403" s="12"/>
    </row>
    <row r="2404" customHeight="1" spans="1:31">
      <c r="A2404" s="11" t="s">
        <v>30</v>
      </c>
      <c r="B2404" s="11" t="s">
        <v>11762</v>
      </c>
      <c r="C2404" s="11">
        <v>195</v>
      </c>
      <c r="D2404" s="11">
        <v>98</v>
      </c>
      <c r="E2404" s="11">
        <v>72</v>
      </c>
      <c r="F2404" s="11">
        <v>566</v>
      </c>
      <c r="G2404" s="11">
        <v>1000</v>
      </c>
      <c r="H2404" s="11">
        <v>60057639</v>
      </c>
      <c r="I2404" s="11" t="s">
        <v>9194</v>
      </c>
      <c r="J2404" s="11" t="s">
        <v>804</v>
      </c>
      <c r="K2404" s="11" t="s">
        <v>4978</v>
      </c>
      <c r="L2404" s="11" t="s">
        <v>1862</v>
      </c>
      <c r="M2404" s="11" t="s">
        <v>11763</v>
      </c>
      <c r="N2404" s="11">
        <v>107815</v>
      </c>
      <c r="O2404" s="11">
        <v>3151</v>
      </c>
      <c r="P2404" s="11">
        <v>2</v>
      </c>
      <c r="Q2404" s="11" t="s">
        <v>11764</v>
      </c>
      <c r="R2404" s="14" t="s">
        <v>11765</v>
      </c>
      <c r="S2404" s="11">
        <v>485</v>
      </c>
      <c r="T2404" s="11" t="s">
        <v>39</v>
      </c>
      <c r="U2404" s="11" t="s">
        <v>40</v>
      </c>
      <c r="V2404" s="11" t="s">
        <v>586</v>
      </c>
      <c r="W2404" s="11">
        <v>18000000</v>
      </c>
      <c r="X2404" s="11">
        <v>2003</v>
      </c>
      <c r="Y2404" s="11">
        <v>624</v>
      </c>
      <c r="Z2404" s="11">
        <v>7.1</v>
      </c>
      <c r="AA2404" s="11">
        <v>1.85</v>
      </c>
      <c r="AB2404" s="11">
        <v>10000</v>
      </c>
      <c r="AC2404" s="11"/>
      <c r="AD2404" s="11" t="str">
        <f>IFERROR(__xludf.DUMMYFUNCTION("""COMPUTED_VALUE"""),"Joseph Kaiser")</f>
        <v>Joseph Kaiser</v>
      </c>
      <c r="AE2404" s="11"/>
    </row>
    <row r="2405" customHeight="1" spans="1:31">
      <c r="A2405" s="12" t="s">
        <v>30</v>
      </c>
      <c r="B2405" s="12" t="s">
        <v>1966</v>
      </c>
      <c r="C2405" s="12">
        <v>129</v>
      </c>
      <c r="D2405" s="12">
        <v>68</v>
      </c>
      <c r="E2405" s="12">
        <v>116</v>
      </c>
      <c r="F2405" s="12">
        <v>481</v>
      </c>
      <c r="G2405" s="12">
        <v>8000</v>
      </c>
      <c r="H2405" s="12">
        <v>53868030</v>
      </c>
      <c r="I2405" s="12" t="s">
        <v>1009</v>
      </c>
      <c r="J2405" s="12" t="s">
        <v>1249</v>
      </c>
      <c r="K2405" s="12" t="s">
        <v>2712</v>
      </c>
      <c r="L2405" s="12" t="s">
        <v>3852</v>
      </c>
      <c r="M2405" s="12" t="s">
        <v>11766</v>
      </c>
      <c r="N2405" s="12">
        <v>183425</v>
      </c>
      <c r="O2405" s="12">
        <v>10557</v>
      </c>
      <c r="P2405" s="12">
        <v>2</v>
      </c>
      <c r="Q2405" s="12" t="s">
        <v>11767</v>
      </c>
      <c r="R2405" s="15" t="s">
        <v>11768</v>
      </c>
      <c r="S2405" s="12">
        <v>425</v>
      </c>
      <c r="T2405" s="12" t="s">
        <v>39</v>
      </c>
      <c r="U2405" s="12" t="s">
        <v>40</v>
      </c>
      <c r="V2405" s="12" t="s">
        <v>41</v>
      </c>
      <c r="W2405" s="12">
        <v>17000000</v>
      </c>
      <c r="X2405" s="12">
        <v>1997</v>
      </c>
      <c r="Y2405" s="12">
        <v>503</v>
      </c>
      <c r="Z2405" s="12">
        <v>7</v>
      </c>
      <c r="AA2405" s="12">
        <v>2.35</v>
      </c>
      <c r="AB2405" s="12">
        <v>0</v>
      </c>
      <c r="AC2405" s="12"/>
      <c r="AD2405" s="12" t="str">
        <f>IFERROR(__xludf.DUMMYFUNCTION("""COMPUTED_VALUE"""),"Julie Gonzalo")</f>
        <v>Julie Gonzalo</v>
      </c>
      <c r="AE2405" s="12"/>
    </row>
    <row r="2406" customHeight="1" spans="1:31">
      <c r="A2406" s="11" t="s">
        <v>30</v>
      </c>
      <c r="B2406" s="11" t="s">
        <v>7110</v>
      </c>
      <c r="C2406" s="11">
        <v>156</v>
      </c>
      <c r="D2406" s="11">
        <v>94</v>
      </c>
      <c r="E2406" s="11">
        <v>52</v>
      </c>
      <c r="F2406" s="11">
        <v>261</v>
      </c>
      <c r="G2406" s="11">
        <v>567</v>
      </c>
      <c r="H2406" s="11">
        <v>59573085</v>
      </c>
      <c r="I2406" s="11" t="s">
        <v>2717</v>
      </c>
      <c r="J2406" s="11" t="s">
        <v>11279</v>
      </c>
      <c r="K2406" s="11" t="s">
        <v>11769</v>
      </c>
      <c r="L2406" s="11" t="s">
        <v>11770</v>
      </c>
      <c r="M2406" s="11" t="s">
        <v>11771</v>
      </c>
      <c r="N2406" s="11">
        <v>13562</v>
      </c>
      <c r="O2406" s="11">
        <v>2259</v>
      </c>
      <c r="P2406" s="11">
        <v>10</v>
      </c>
      <c r="Q2406" s="11" t="s">
        <v>11772</v>
      </c>
      <c r="R2406" s="14" t="s">
        <v>11773</v>
      </c>
      <c r="S2406" s="11">
        <v>103</v>
      </c>
      <c r="T2406" s="11" t="s">
        <v>39</v>
      </c>
      <c r="U2406" s="11" t="s">
        <v>40</v>
      </c>
      <c r="V2406" s="11" t="s">
        <v>41</v>
      </c>
      <c r="W2406" s="11">
        <v>18000000</v>
      </c>
      <c r="X2406" s="11">
        <v>2016</v>
      </c>
      <c r="Y2406" s="11">
        <v>312</v>
      </c>
      <c r="Z2406" s="11">
        <v>6.1</v>
      </c>
      <c r="AA2406" s="11">
        <v>2.35</v>
      </c>
      <c r="AB2406" s="11">
        <v>19000</v>
      </c>
      <c r="AC2406" s="11"/>
      <c r="AD2406" s="11" t="str">
        <f>IFERROR(__xludf.DUMMYFUNCTION("""COMPUTED_VALUE"""),"Gerry Bednob")</f>
        <v>Gerry Bednob</v>
      </c>
      <c r="AE2406" s="11"/>
    </row>
    <row r="2407" customHeight="1" spans="1:31">
      <c r="A2407" s="12" t="s">
        <v>30</v>
      </c>
      <c r="B2407" s="12" t="s">
        <v>936</v>
      </c>
      <c r="C2407" s="12">
        <v>103</v>
      </c>
      <c r="D2407" s="12">
        <v>99</v>
      </c>
      <c r="E2407" s="12">
        <v>42</v>
      </c>
      <c r="F2407" s="12">
        <v>557</v>
      </c>
      <c r="G2407" s="12">
        <v>975</v>
      </c>
      <c r="H2407" s="12">
        <v>52691009</v>
      </c>
      <c r="I2407" s="12" t="s">
        <v>3057</v>
      </c>
      <c r="J2407" s="12" t="s">
        <v>10425</v>
      </c>
      <c r="K2407" s="12" t="s">
        <v>2197</v>
      </c>
      <c r="L2407" s="12" t="s">
        <v>11774</v>
      </c>
      <c r="M2407" s="12" t="s">
        <v>11775</v>
      </c>
      <c r="N2407" s="12">
        <v>18727</v>
      </c>
      <c r="O2407" s="12">
        <v>3567</v>
      </c>
      <c r="P2407" s="12">
        <v>2</v>
      </c>
      <c r="Q2407" s="12" t="s">
        <v>11776</v>
      </c>
      <c r="R2407" s="15" t="s">
        <v>11777</v>
      </c>
      <c r="S2407" s="12">
        <v>45</v>
      </c>
      <c r="T2407" s="12" t="s">
        <v>39</v>
      </c>
      <c r="U2407" s="12" t="s">
        <v>40</v>
      </c>
      <c r="V2407" s="12" t="s">
        <v>96</v>
      </c>
      <c r="W2407" s="12">
        <v>21000000</v>
      </c>
      <c r="X2407" s="12">
        <v>2011</v>
      </c>
      <c r="Y2407" s="12">
        <v>569</v>
      </c>
      <c r="Z2407" s="12">
        <v>6.6</v>
      </c>
      <c r="AA2407" s="12">
        <v>2.35</v>
      </c>
      <c r="AB2407" s="12">
        <v>0</v>
      </c>
      <c r="AC2407" s="12"/>
      <c r="AD2407" s="12" t="str">
        <f>IFERROR(__xludf.DUMMYFUNCTION("""COMPUTED_VALUE"""),"Martin Clunes")</f>
        <v>Martin Clunes</v>
      </c>
      <c r="AE2407" s="12"/>
    </row>
    <row r="2408" customHeight="1" spans="1:31">
      <c r="A2408" s="11" t="s">
        <v>30</v>
      </c>
      <c r="B2408" s="11" t="s">
        <v>1312</v>
      </c>
      <c r="C2408" s="11">
        <v>217</v>
      </c>
      <c r="D2408" s="11">
        <v>107</v>
      </c>
      <c r="E2408" s="11">
        <v>323</v>
      </c>
      <c r="F2408" s="11">
        <v>794</v>
      </c>
      <c r="G2408" s="11">
        <v>1000</v>
      </c>
      <c r="H2408" s="11">
        <v>59735548</v>
      </c>
      <c r="I2408" s="11" t="s">
        <v>4178</v>
      </c>
      <c r="J2408" s="11" t="s">
        <v>250</v>
      </c>
      <c r="K2408" s="11" t="s">
        <v>5083</v>
      </c>
      <c r="L2408" s="11" t="s">
        <v>11778</v>
      </c>
      <c r="M2408" s="11" t="s">
        <v>11779</v>
      </c>
      <c r="N2408" s="11">
        <v>290949</v>
      </c>
      <c r="O2408" s="11">
        <v>4223</v>
      </c>
      <c r="P2408" s="11">
        <v>1</v>
      </c>
      <c r="Q2408" s="11" t="s">
        <v>11780</v>
      </c>
      <c r="R2408" s="14" t="s">
        <v>11781</v>
      </c>
      <c r="S2408" s="11">
        <v>629</v>
      </c>
      <c r="T2408" s="11" t="s">
        <v>39</v>
      </c>
      <c r="U2408" s="11" t="s">
        <v>40</v>
      </c>
      <c r="V2408" s="11" t="s">
        <v>586</v>
      </c>
      <c r="W2408" s="11">
        <v>15000000</v>
      </c>
      <c r="X2408" s="11">
        <v>1987</v>
      </c>
      <c r="Y2408" s="11">
        <v>1000</v>
      </c>
      <c r="Z2408" s="11">
        <v>7.8</v>
      </c>
      <c r="AA2408" s="11">
        <v>1.85</v>
      </c>
      <c r="AB2408" s="11">
        <v>13000</v>
      </c>
      <c r="AC2408" s="11"/>
      <c r="AD2408" s="11" t="str">
        <f>IFERROR(__xludf.DUMMYFUNCTION("""COMPUTED_VALUE"""),"Boyd Holbrook")</f>
        <v>Boyd Holbrook</v>
      </c>
      <c r="AE2408" s="11"/>
    </row>
    <row r="2409" customHeight="1" spans="1:31">
      <c r="A2409" s="12" t="s">
        <v>30</v>
      </c>
      <c r="B2409" s="12" t="s">
        <v>4956</v>
      </c>
      <c r="C2409" s="12">
        <v>134</v>
      </c>
      <c r="D2409" s="12">
        <v>180</v>
      </c>
      <c r="E2409" s="12">
        <v>869</v>
      </c>
      <c r="F2409" s="12">
        <v>521</v>
      </c>
      <c r="G2409" s="12">
        <v>692</v>
      </c>
      <c r="H2409" s="12">
        <v>51600000</v>
      </c>
      <c r="I2409" s="12" t="s">
        <v>11782</v>
      </c>
      <c r="J2409" s="12" t="s">
        <v>1655</v>
      </c>
      <c r="K2409" s="12" t="s">
        <v>2408</v>
      </c>
      <c r="L2409" s="12" t="s">
        <v>2508</v>
      </c>
      <c r="M2409" s="12" t="s">
        <v>11783</v>
      </c>
      <c r="N2409" s="12">
        <v>270790</v>
      </c>
      <c r="O2409" s="12">
        <v>3076</v>
      </c>
      <c r="P2409" s="12">
        <v>0</v>
      </c>
      <c r="Q2409" s="12" t="s">
        <v>11784</v>
      </c>
      <c r="R2409" s="15" t="s">
        <v>11785</v>
      </c>
      <c r="S2409" s="12">
        <v>549</v>
      </c>
      <c r="T2409" s="12" t="s">
        <v>39</v>
      </c>
      <c r="U2409" s="12" t="s">
        <v>40</v>
      </c>
      <c r="V2409" s="12" t="s">
        <v>586</v>
      </c>
      <c r="W2409" s="12">
        <v>18000000</v>
      </c>
      <c r="X2409" s="12">
        <v>1984</v>
      </c>
      <c r="Y2409" s="12">
        <v>670</v>
      </c>
      <c r="Z2409" s="12">
        <v>8.3</v>
      </c>
      <c r="AA2409" s="12">
        <v>2.35</v>
      </c>
      <c r="AB2409" s="12">
        <v>16000</v>
      </c>
      <c r="AC2409" s="12"/>
      <c r="AD2409" s="12" t="str">
        <f>IFERROR(__xludf.DUMMYFUNCTION("""COMPUTED_VALUE"""),"David Harbour")</f>
        <v>David Harbour</v>
      </c>
      <c r="AE2409" s="12"/>
    </row>
    <row r="2410" customHeight="1" spans="1:31">
      <c r="A2410" s="11" t="s">
        <v>30</v>
      </c>
      <c r="B2410" s="11" t="s">
        <v>10919</v>
      </c>
      <c r="C2410" s="11">
        <v>146</v>
      </c>
      <c r="D2410" s="11">
        <v>89</v>
      </c>
      <c r="E2410" s="11">
        <v>29</v>
      </c>
      <c r="F2410" s="11">
        <v>458</v>
      </c>
      <c r="G2410" s="11">
        <v>2000</v>
      </c>
      <c r="H2410" s="11">
        <v>43818159</v>
      </c>
      <c r="I2410" s="11" t="s">
        <v>5104</v>
      </c>
      <c r="J2410" s="11" t="s">
        <v>1084</v>
      </c>
      <c r="K2410" s="11" t="s">
        <v>1408</v>
      </c>
      <c r="L2410" s="11" t="s">
        <v>11786</v>
      </c>
      <c r="M2410" s="11" t="s">
        <v>11787</v>
      </c>
      <c r="N2410" s="11">
        <v>27664</v>
      </c>
      <c r="O2410" s="11">
        <v>4867</v>
      </c>
      <c r="P2410" s="11">
        <v>0</v>
      </c>
      <c r="Q2410" s="11" t="s">
        <v>11788</v>
      </c>
      <c r="R2410" s="14" t="s">
        <v>11789</v>
      </c>
      <c r="S2410" s="11">
        <v>260</v>
      </c>
      <c r="T2410" s="11" t="s">
        <v>39</v>
      </c>
      <c r="U2410" s="11" t="s">
        <v>40</v>
      </c>
      <c r="V2410" s="11" t="s">
        <v>41</v>
      </c>
      <c r="W2410" s="11">
        <v>20000000</v>
      </c>
      <c r="X2410" s="11">
        <v>2008</v>
      </c>
      <c r="Y2410" s="11">
        <v>690</v>
      </c>
      <c r="Z2410" s="11">
        <v>3.9</v>
      </c>
      <c r="AA2410" s="11">
        <v>2.35</v>
      </c>
      <c r="AB2410" s="11">
        <v>1000</v>
      </c>
      <c r="AC2410" s="11"/>
      <c r="AD2410" s="11" t="str">
        <f>IFERROR(__xludf.DUMMYFUNCTION("""COMPUTED_VALUE"""),"Jeanne Moreau")</f>
        <v>Jeanne Moreau</v>
      </c>
      <c r="AE2410" s="11"/>
    </row>
    <row r="2411" customHeight="1" spans="1:31">
      <c r="A2411" s="12" t="s">
        <v>30</v>
      </c>
      <c r="B2411" s="12" t="s">
        <v>2043</v>
      </c>
      <c r="C2411" s="12">
        <v>159</v>
      </c>
      <c r="D2411" s="12">
        <v>97</v>
      </c>
      <c r="E2411" s="12">
        <v>70</v>
      </c>
      <c r="F2411" s="12">
        <v>625</v>
      </c>
      <c r="G2411" s="12">
        <v>2000</v>
      </c>
      <c r="H2411" s="12">
        <v>86049418</v>
      </c>
      <c r="I2411" s="12" t="s">
        <v>1672</v>
      </c>
      <c r="J2411" s="12" t="s">
        <v>4801</v>
      </c>
      <c r="K2411" s="12" t="s">
        <v>479</v>
      </c>
      <c r="L2411" s="12" t="s">
        <v>7130</v>
      </c>
      <c r="M2411" s="12" t="s">
        <v>11790</v>
      </c>
      <c r="N2411" s="12">
        <v>245989</v>
      </c>
      <c r="O2411" s="12">
        <v>5032</v>
      </c>
      <c r="P2411" s="12">
        <v>4</v>
      </c>
      <c r="Q2411" s="12" t="s">
        <v>11791</v>
      </c>
      <c r="R2411" s="15" t="s">
        <v>11792</v>
      </c>
      <c r="S2411" s="12">
        <v>554</v>
      </c>
      <c r="T2411" s="12" t="s">
        <v>39</v>
      </c>
      <c r="U2411" s="12" t="s">
        <v>40</v>
      </c>
      <c r="V2411" s="12" t="s">
        <v>41</v>
      </c>
      <c r="W2411" s="12">
        <v>17000000</v>
      </c>
      <c r="X2411" s="12">
        <v>2004</v>
      </c>
      <c r="Y2411" s="12">
        <v>1000</v>
      </c>
      <c r="Z2411" s="12">
        <v>7</v>
      </c>
      <c r="AA2411" s="12">
        <v>1.85</v>
      </c>
      <c r="AB2411" s="12">
        <v>0</v>
      </c>
      <c r="AC2411" s="12"/>
      <c r="AD2411" s="12" t="str">
        <f>IFERROR(__xludf.DUMMYFUNCTION("""COMPUTED_VALUE"""),"Rob McElhenney")</f>
        <v>Rob McElhenney</v>
      </c>
      <c r="AE2411" s="12"/>
    </row>
    <row r="2412" customHeight="1" spans="1:31">
      <c r="A2412" s="11" t="s">
        <v>30</v>
      </c>
      <c r="B2412" s="11" t="s">
        <v>11793</v>
      </c>
      <c r="C2412" s="11">
        <v>111</v>
      </c>
      <c r="D2412" s="11">
        <v>113</v>
      </c>
      <c r="E2412" s="11">
        <v>22</v>
      </c>
      <c r="F2412" s="11">
        <v>148</v>
      </c>
      <c r="G2412" s="11">
        <v>727</v>
      </c>
      <c r="H2412" s="11">
        <v>43601508</v>
      </c>
      <c r="I2412" s="11" t="s">
        <v>1415</v>
      </c>
      <c r="J2412" s="11" t="s">
        <v>3359</v>
      </c>
      <c r="K2412" s="11" t="s">
        <v>11794</v>
      </c>
      <c r="L2412" s="11" t="s">
        <v>11795</v>
      </c>
      <c r="M2412" s="11" t="s">
        <v>11796</v>
      </c>
      <c r="N2412" s="11">
        <v>35718</v>
      </c>
      <c r="O2412" s="11">
        <v>1310</v>
      </c>
      <c r="P2412" s="11">
        <v>1</v>
      </c>
      <c r="Q2412" s="11" t="s">
        <v>11797</v>
      </c>
      <c r="R2412" s="14" t="s">
        <v>11798</v>
      </c>
      <c r="S2412" s="11">
        <v>317</v>
      </c>
      <c r="T2412" s="11" t="s">
        <v>39</v>
      </c>
      <c r="U2412" s="11" t="s">
        <v>40</v>
      </c>
      <c r="V2412" s="11" t="s">
        <v>41</v>
      </c>
      <c r="W2412" s="11">
        <v>18000000</v>
      </c>
      <c r="X2412" s="11">
        <v>2003</v>
      </c>
      <c r="Y2412" s="11">
        <v>171</v>
      </c>
      <c r="Z2412" s="11">
        <v>6.7</v>
      </c>
      <c r="AA2412" s="11">
        <v>1.85</v>
      </c>
      <c r="AB2412" s="11">
        <v>0</v>
      </c>
      <c r="AC2412" s="11"/>
      <c r="AD2412" s="11" t="str">
        <f>IFERROR(__xludf.DUMMYFUNCTION("""COMPUTED_VALUE"""),"Kaitlin Olson")</f>
        <v>Kaitlin Olson</v>
      </c>
      <c r="AE2412" s="11"/>
    </row>
    <row r="2413" customHeight="1" spans="1:31">
      <c r="A2413" s="12" t="s">
        <v>30</v>
      </c>
      <c r="B2413" s="12" t="s">
        <v>11682</v>
      </c>
      <c r="C2413" s="12">
        <v>187</v>
      </c>
      <c r="D2413" s="12">
        <v>131</v>
      </c>
      <c r="E2413" s="12">
        <v>500</v>
      </c>
      <c r="F2413" s="12">
        <v>555</v>
      </c>
      <c r="G2413" s="12">
        <v>1000</v>
      </c>
      <c r="H2413" s="12">
        <v>41300105</v>
      </c>
      <c r="I2413" s="12" t="s">
        <v>8061</v>
      </c>
      <c r="J2413" s="12" t="s">
        <v>203</v>
      </c>
      <c r="K2413" s="12" t="s">
        <v>3355</v>
      </c>
      <c r="L2413" s="12" t="s">
        <v>11123</v>
      </c>
      <c r="M2413" s="12" t="s">
        <v>11799</v>
      </c>
      <c r="N2413" s="12">
        <v>65201</v>
      </c>
      <c r="O2413" s="12">
        <v>3261</v>
      </c>
      <c r="P2413" s="12">
        <v>0</v>
      </c>
      <c r="Q2413" s="12" t="s">
        <v>11800</v>
      </c>
      <c r="R2413" s="15" t="s">
        <v>11801</v>
      </c>
      <c r="S2413" s="12">
        <v>651</v>
      </c>
      <c r="T2413" s="12" t="s">
        <v>39</v>
      </c>
      <c r="U2413" s="12" t="s">
        <v>58</v>
      </c>
      <c r="V2413" s="12" t="s">
        <v>586</v>
      </c>
      <c r="W2413" s="12">
        <v>19800000</v>
      </c>
      <c r="X2413" s="12">
        <v>2001</v>
      </c>
      <c r="Y2413" s="12">
        <v>559</v>
      </c>
      <c r="Z2413" s="12">
        <v>7.3</v>
      </c>
      <c r="AA2413" s="12">
        <v>2.35</v>
      </c>
      <c r="AB2413" s="12">
        <v>0</v>
      </c>
      <c r="AC2413" s="12"/>
      <c r="AD2413" s="12" t="str">
        <f>IFERROR(__xludf.DUMMYFUNCTION("""COMPUTED_VALUE"""),"Glenn Howerton")</f>
        <v>Glenn Howerton</v>
      </c>
      <c r="AE2413" s="12"/>
    </row>
    <row r="2414" customHeight="1" spans="1:31">
      <c r="A2414" s="11" t="s">
        <v>30</v>
      </c>
      <c r="B2414" s="13"/>
      <c r="C2414" s="11">
        <v>20</v>
      </c>
      <c r="D2414" s="11">
        <v>44</v>
      </c>
      <c r="E2414" s="13"/>
      <c r="F2414" s="11">
        <v>650</v>
      </c>
      <c r="G2414" s="11">
        <v>828</v>
      </c>
      <c r="H2414" s="13"/>
      <c r="I2414" s="11" t="s">
        <v>1415</v>
      </c>
      <c r="J2414" s="11" t="s">
        <v>4812</v>
      </c>
      <c r="K2414" s="11" t="s">
        <v>11802</v>
      </c>
      <c r="L2414" s="11" t="s">
        <v>4183</v>
      </c>
      <c r="M2414" s="11" t="s">
        <v>11803</v>
      </c>
      <c r="N2414" s="11">
        <v>65785</v>
      </c>
      <c r="O2414" s="11">
        <v>2546</v>
      </c>
      <c r="P2414" s="11">
        <v>8</v>
      </c>
      <c r="Q2414" s="11" t="s">
        <v>11804</v>
      </c>
      <c r="R2414" s="14" t="s">
        <v>11805</v>
      </c>
      <c r="S2414" s="11">
        <v>281</v>
      </c>
      <c r="T2414" s="11" t="s">
        <v>39</v>
      </c>
      <c r="U2414" s="11" t="s">
        <v>40</v>
      </c>
      <c r="V2414" s="11" t="s">
        <v>1569</v>
      </c>
      <c r="W2414" s="13"/>
      <c r="X2414" s="13"/>
      <c r="Y2414" s="11">
        <v>787</v>
      </c>
      <c r="Z2414" s="11">
        <v>7.5</v>
      </c>
      <c r="AA2414" s="11">
        <v>1.78</v>
      </c>
      <c r="AB2414" s="11">
        <v>0</v>
      </c>
      <c r="AC2414" s="11"/>
      <c r="AD2414" s="11" t="str">
        <f>IFERROR(__xludf.DUMMYFUNCTION("""COMPUTED_VALUE"""),"Ryan O'Neal")</f>
        <v>Ryan O'Neal</v>
      </c>
      <c r="AE2414" s="11"/>
    </row>
    <row r="2415" customHeight="1" spans="1:31">
      <c r="A2415" s="12" t="s">
        <v>30</v>
      </c>
      <c r="B2415" s="12" t="s">
        <v>4851</v>
      </c>
      <c r="C2415" s="12">
        <v>44</v>
      </c>
      <c r="D2415" s="12">
        <v>103</v>
      </c>
      <c r="E2415" s="12">
        <v>0</v>
      </c>
      <c r="F2415" s="12">
        <v>805</v>
      </c>
      <c r="G2415" s="12">
        <v>12000</v>
      </c>
      <c r="H2415" s="12">
        <v>41382841</v>
      </c>
      <c r="I2415" s="12" t="s">
        <v>2490</v>
      </c>
      <c r="J2415" s="12" t="s">
        <v>705</v>
      </c>
      <c r="K2415" s="12" t="s">
        <v>3934</v>
      </c>
      <c r="L2415" s="12" t="s">
        <v>2319</v>
      </c>
      <c r="M2415" s="12" t="s">
        <v>11806</v>
      </c>
      <c r="N2415" s="12">
        <v>27149</v>
      </c>
      <c r="O2415" s="12">
        <v>14672</v>
      </c>
      <c r="P2415" s="12">
        <v>0</v>
      </c>
      <c r="Q2415" s="12" t="s">
        <v>11807</v>
      </c>
      <c r="R2415" s="15" t="s">
        <v>11808</v>
      </c>
      <c r="S2415" s="12">
        <v>96</v>
      </c>
      <c r="T2415" s="12" t="s">
        <v>39</v>
      </c>
      <c r="U2415" s="12" t="s">
        <v>40</v>
      </c>
      <c r="V2415" s="12" t="s">
        <v>41</v>
      </c>
      <c r="W2415" s="12">
        <v>18000000</v>
      </c>
      <c r="X2415" s="12">
        <v>1986</v>
      </c>
      <c r="Y2415" s="12">
        <v>899</v>
      </c>
      <c r="Z2415" s="12">
        <v>6.3</v>
      </c>
      <c r="AA2415" s="12">
        <v>1.85</v>
      </c>
      <c r="AB2415" s="12">
        <v>0</v>
      </c>
      <c r="AC2415" s="12"/>
      <c r="AD2415" s="12" t="str">
        <f>IFERROR(__xludf.DUMMYFUNCTION("""COMPUTED_VALUE"""),"Dirk Bogarde")</f>
        <v>Dirk Bogarde</v>
      </c>
      <c r="AE2415" s="12"/>
    </row>
    <row r="2416" customHeight="1" spans="1:31">
      <c r="A2416" s="11" t="s">
        <v>30</v>
      </c>
      <c r="B2416" s="11" t="s">
        <v>1134</v>
      </c>
      <c r="C2416" s="11">
        <v>588</v>
      </c>
      <c r="D2416" s="11">
        <v>119</v>
      </c>
      <c r="E2416" s="11">
        <v>0</v>
      </c>
      <c r="F2416" s="11">
        <v>529</v>
      </c>
      <c r="G2416" s="11">
        <v>15000</v>
      </c>
      <c r="H2416" s="11">
        <v>42335698</v>
      </c>
      <c r="I2416" s="11" t="s">
        <v>1415</v>
      </c>
      <c r="J2416" s="11" t="s">
        <v>182</v>
      </c>
      <c r="K2416" s="11" t="s">
        <v>208</v>
      </c>
      <c r="L2416" s="11" t="s">
        <v>3288</v>
      </c>
      <c r="M2416" s="11" t="s">
        <v>11809</v>
      </c>
      <c r="N2416" s="11">
        <v>395087</v>
      </c>
      <c r="O2416" s="11">
        <v>21668</v>
      </c>
      <c r="P2416" s="11">
        <v>8</v>
      </c>
      <c r="Q2416" s="11" t="s">
        <v>11810</v>
      </c>
      <c r="R2416" s="14" t="s">
        <v>11811</v>
      </c>
      <c r="S2416" s="11">
        <v>1101</v>
      </c>
      <c r="T2416" s="11" t="s">
        <v>39</v>
      </c>
      <c r="U2416" s="11" t="s">
        <v>40</v>
      </c>
      <c r="V2416" s="11" t="s">
        <v>586</v>
      </c>
      <c r="W2416" s="11">
        <v>18000000</v>
      </c>
      <c r="X2416" s="11">
        <v>2014</v>
      </c>
      <c r="Y2416" s="11">
        <v>6000</v>
      </c>
      <c r="Z2416" s="11">
        <v>7.8</v>
      </c>
      <c r="AA2416" s="11">
        <v>1.85</v>
      </c>
      <c r="AB2416" s="11">
        <v>114000</v>
      </c>
      <c r="AC2416" s="11"/>
      <c r="AD2416" s="11" t="str">
        <f>IFERROR(__xludf.DUMMYFUNCTION("""COMPUTED_VALUE"""),"Wolfgang Preiss")</f>
        <v>Wolfgang Preiss</v>
      </c>
      <c r="AE2416" s="11"/>
    </row>
    <row r="2417" customHeight="1" spans="1:31">
      <c r="A2417" s="12" t="s">
        <v>30</v>
      </c>
      <c r="B2417" s="12" t="s">
        <v>4004</v>
      </c>
      <c r="C2417" s="12">
        <v>415</v>
      </c>
      <c r="D2417" s="12">
        <v>98</v>
      </c>
      <c r="E2417" s="12">
        <v>11000</v>
      </c>
      <c r="F2417" s="12">
        <v>218</v>
      </c>
      <c r="G2417" s="12">
        <v>594</v>
      </c>
      <c r="H2417" s="12">
        <v>33404871</v>
      </c>
      <c r="I2417" s="12" t="s">
        <v>3410</v>
      </c>
      <c r="J2417" s="12" t="s">
        <v>4725</v>
      </c>
      <c r="K2417" s="12" t="s">
        <v>6077</v>
      </c>
      <c r="L2417" s="12" t="s">
        <v>11812</v>
      </c>
      <c r="M2417" s="12" t="s">
        <v>11813</v>
      </c>
      <c r="N2417" s="12">
        <v>150082</v>
      </c>
      <c r="O2417" s="12">
        <v>1353</v>
      </c>
      <c r="P2417" s="12">
        <v>1</v>
      </c>
      <c r="Q2417" s="12" t="s">
        <v>11814</v>
      </c>
      <c r="R2417" s="15" t="s">
        <v>11815</v>
      </c>
      <c r="S2417" s="12">
        <v>384</v>
      </c>
      <c r="T2417" s="12" t="s">
        <v>39</v>
      </c>
      <c r="U2417" s="12" t="s">
        <v>40</v>
      </c>
      <c r="V2417" s="12" t="s">
        <v>41</v>
      </c>
      <c r="W2417" s="12">
        <v>18000000</v>
      </c>
      <c r="X2417" s="12">
        <v>2013</v>
      </c>
      <c r="Y2417" s="12">
        <v>268</v>
      </c>
      <c r="Z2417" s="12">
        <v>7.3</v>
      </c>
      <c r="AA2417" s="12">
        <v>2.35</v>
      </c>
      <c r="AB2417" s="12">
        <v>36000</v>
      </c>
      <c r="AC2417" s="12"/>
      <c r="AD2417" s="12" t="str">
        <f>IFERROR(__xludf.DUMMYFUNCTION("""COMPUTED_VALUE"""),"Robert Pine")</f>
        <v>Robert Pine</v>
      </c>
      <c r="AE2417" s="12"/>
    </row>
    <row r="2418" customHeight="1" spans="1:31">
      <c r="A2418" s="11" t="s">
        <v>30</v>
      </c>
      <c r="B2418" s="11" t="s">
        <v>1156</v>
      </c>
      <c r="C2418" s="11">
        <v>279</v>
      </c>
      <c r="D2418" s="11">
        <v>111</v>
      </c>
      <c r="E2418" s="11">
        <v>521</v>
      </c>
      <c r="F2418" s="11">
        <v>64</v>
      </c>
      <c r="G2418" s="11">
        <v>97</v>
      </c>
      <c r="H2418" s="11">
        <v>31471430</v>
      </c>
      <c r="I2418" s="11" t="s">
        <v>2819</v>
      </c>
      <c r="J2418" s="11" t="s">
        <v>11816</v>
      </c>
      <c r="K2418" s="11" t="s">
        <v>11817</v>
      </c>
      <c r="L2418" s="11" t="s">
        <v>11818</v>
      </c>
      <c r="M2418" s="11" t="s">
        <v>11819</v>
      </c>
      <c r="N2418" s="11">
        <v>83374</v>
      </c>
      <c r="O2418" s="11">
        <v>313</v>
      </c>
      <c r="P2418" s="11">
        <v>0</v>
      </c>
      <c r="Q2418" s="11" t="s">
        <v>11820</v>
      </c>
      <c r="R2418" s="14" t="s">
        <v>11821</v>
      </c>
      <c r="S2418" s="11">
        <v>828</v>
      </c>
      <c r="T2418" s="11" t="s">
        <v>39</v>
      </c>
      <c r="U2418" s="11" t="s">
        <v>40</v>
      </c>
      <c r="V2418" s="11" t="s">
        <v>586</v>
      </c>
      <c r="W2418" s="11">
        <v>15000000</v>
      </c>
      <c r="X2418" s="11">
        <v>2006</v>
      </c>
      <c r="Y2418" s="11">
        <v>68</v>
      </c>
      <c r="Z2418" s="11">
        <v>7.6</v>
      </c>
      <c r="AA2418" s="11">
        <v>2.35</v>
      </c>
      <c r="AB2418" s="11">
        <v>0</v>
      </c>
      <c r="AC2418" s="11"/>
      <c r="AD2418" s="11" t="str">
        <f>IFERROR(__xludf.DUMMYFUNCTION("""COMPUTED_VALUE"""),"Carl Gilliard")</f>
        <v>Carl Gilliard</v>
      </c>
      <c r="AE2418" s="11"/>
    </row>
    <row r="2419" customHeight="1" spans="1:31">
      <c r="A2419" s="12" t="s">
        <v>30</v>
      </c>
      <c r="B2419" s="12" t="s">
        <v>9594</v>
      </c>
      <c r="C2419" s="12">
        <v>97</v>
      </c>
      <c r="D2419" s="12">
        <v>94</v>
      </c>
      <c r="E2419" s="12">
        <v>23</v>
      </c>
      <c r="F2419" s="12">
        <v>582</v>
      </c>
      <c r="G2419" s="12">
        <v>2000</v>
      </c>
      <c r="H2419" s="12">
        <v>30222640</v>
      </c>
      <c r="I2419" s="12" t="s">
        <v>7837</v>
      </c>
      <c r="J2419" s="12" t="s">
        <v>11822</v>
      </c>
      <c r="K2419" s="12" t="s">
        <v>1540</v>
      </c>
      <c r="L2419" s="12" t="s">
        <v>10744</v>
      </c>
      <c r="M2419" s="12" t="s">
        <v>11823</v>
      </c>
      <c r="N2419" s="12">
        <v>36666</v>
      </c>
      <c r="O2419" s="12">
        <v>4868</v>
      </c>
      <c r="P2419" s="12">
        <v>2</v>
      </c>
      <c r="Q2419" s="12" t="s">
        <v>11824</v>
      </c>
      <c r="R2419" s="15" t="s">
        <v>11825</v>
      </c>
      <c r="S2419" s="12">
        <v>144</v>
      </c>
      <c r="T2419" s="12" t="s">
        <v>39</v>
      </c>
      <c r="U2419" s="12" t="s">
        <v>40</v>
      </c>
      <c r="V2419" s="12" t="s">
        <v>41</v>
      </c>
      <c r="W2419" s="12">
        <v>25000000</v>
      </c>
      <c r="X2419" s="12">
        <v>2003</v>
      </c>
      <c r="Y2419" s="12">
        <v>1000</v>
      </c>
      <c r="Z2419" s="12">
        <v>5.3</v>
      </c>
      <c r="AA2419" s="12">
        <v>1.85</v>
      </c>
      <c r="AB2419" s="12">
        <v>0</v>
      </c>
      <c r="AC2419" s="12"/>
      <c r="AD2419" s="12" t="str">
        <f>IFERROR(__xludf.DUMMYFUNCTION("""COMPUTED_VALUE"""),"Suzie Plakson")</f>
        <v>Suzie Plakson</v>
      </c>
      <c r="AE2419" s="12"/>
    </row>
    <row r="2420" customHeight="1" spans="1:31">
      <c r="A2420" s="11" t="s">
        <v>30</v>
      </c>
      <c r="B2420" s="11" t="s">
        <v>1016</v>
      </c>
      <c r="C2420" s="11">
        <v>60</v>
      </c>
      <c r="D2420" s="11">
        <v>122</v>
      </c>
      <c r="E2420" s="11">
        <v>380</v>
      </c>
      <c r="F2420" s="11">
        <v>2000</v>
      </c>
      <c r="G2420" s="11">
        <v>18000</v>
      </c>
      <c r="H2420" s="11">
        <v>26830000</v>
      </c>
      <c r="I2420" s="11" t="s">
        <v>1962</v>
      </c>
      <c r="J2420" s="11" t="s">
        <v>1727</v>
      </c>
      <c r="K2420" s="11" t="s">
        <v>466</v>
      </c>
      <c r="L2420" s="11" t="s">
        <v>902</v>
      </c>
      <c r="M2420" s="11" t="s">
        <v>8660</v>
      </c>
      <c r="N2420" s="11">
        <v>101889</v>
      </c>
      <c r="O2420" s="11">
        <v>32930</v>
      </c>
      <c r="P2420" s="11">
        <v>3</v>
      </c>
      <c r="Q2420" s="11" t="s">
        <v>8661</v>
      </c>
      <c r="R2420" s="14" t="s">
        <v>8662</v>
      </c>
      <c r="S2420" s="11">
        <v>365</v>
      </c>
      <c r="T2420" s="11" t="s">
        <v>39</v>
      </c>
      <c r="U2420" s="11" t="s">
        <v>40</v>
      </c>
      <c r="V2420" s="11" t="s">
        <v>586</v>
      </c>
      <c r="W2420" s="11">
        <v>18000000</v>
      </c>
      <c r="X2420" s="11">
        <v>1989</v>
      </c>
      <c r="Y2420" s="11">
        <v>11000</v>
      </c>
      <c r="Z2420" s="11">
        <v>7.9</v>
      </c>
      <c r="AA2420" s="11">
        <v>1.85</v>
      </c>
      <c r="AB2420" s="11">
        <v>0</v>
      </c>
      <c r="AC2420" s="11"/>
      <c r="AD2420" s="11" t="str">
        <f>IFERROR(__xludf.DUMMYFUNCTION("""COMPUTED_VALUE"""),"Michael Landes")</f>
        <v>Michael Landes</v>
      </c>
      <c r="AE2420" s="11"/>
    </row>
    <row r="2421" customHeight="1" spans="1:31">
      <c r="A2421" s="12" t="s">
        <v>30</v>
      </c>
      <c r="B2421" s="12" t="s">
        <v>11826</v>
      </c>
      <c r="C2421" s="12">
        <v>27</v>
      </c>
      <c r="D2421" s="12">
        <v>81</v>
      </c>
      <c r="E2421" s="12">
        <v>8</v>
      </c>
      <c r="F2421" s="12">
        <v>341</v>
      </c>
      <c r="G2421" s="12">
        <v>844</v>
      </c>
      <c r="H2421" s="12">
        <v>26906039</v>
      </c>
      <c r="I2421" s="12" t="s">
        <v>2137</v>
      </c>
      <c r="J2421" s="12" t="s">
        <v>11827</v>
      </c>
      <c r="K2421" s="12" t="s">
        <v>11828</v>
      </c>
      <c r="L2421" s="12" t="s">
        <v>11829</v>
      </c>
      <c r="M2421" s="12" t="s">
        <v>11830</v>
      </c>
      <c r="N2421" s="12">
        <v>29621</v>
      </c>
      <c r="O2421" s="12">
        <v>2653</v>
      </c>
      <c r="P2421" s="12">
        <v>2</v>
      </c>
      <c r="Q2421" s="12" t="s">
        <v>11831</v>
      </c>
      <c r="R2421" s="15" t="s">
        <v>11832</v>
      </c>
      <c r="S2421" s="12">
        <v>76</v>
      </c>
      <c r="T2421" s="12" t="s">
        <v>39</v>
      </c>
      <c r="U2421" s="12" t="s">
        <v>40</v>
      </c>
      <c r="V2421" s="12" t="s">
        <v>41</v>
      </c>
      <c r="W2421" s="12">
        <v>18000000</v>
      </c>
      <c r="X2421" s="12">
        <v>1996</v>
      </c>
      <c r="Y2421" s="12">
        <v>456</v>
      </c>
      <c r="Z2421" s="12">
        <v>5.3</v>
      </c>
      <c r="AA2421" s="12">
        <v>1.85</v>
      </c>
      <c r="AB2421" s="12">
        <v>588</v>
      </c>
      <c r="AC2421" s="12"/>
      <c r="AD2421" s="12" t="str">
        <f>IFERROR(__xludf.DUMMYFUNCTION("""COMPUTED_VALUE"""),"Keegan Connor Tracy")</f>
        <v>Keegan Connor Tracy</v>
      </c>
      <c r="AE2421" s="12"/>
    </row>
    <row r="2422" customHeight="1" spans="1:31">
      <c r="A2422" s="11" t="s">
        <v>30</v>
      </c>
      <c r="B2422" s="11" t="s">
        <v>5368</v>
      </c>
      <c r="C2422" s="11">
        <v>212</v>
      </c>
      <c r="D2422" s="11">
        <v>89</v>
      </c>
      <c r="E2422" s="11">
        <v>0</v>
      </c>
      <c r="F2422" s="11">
        <v>606</v>
      </c>
      <c r="G2422" s="11">
        <v>2000</v>
      </c>
      <c r="H2422" s="11">
        <v>21378000</v>
      </c>
      <c r="I2422" s="11" t="s">
        <v>7406</v>
      </c>
      <c r="J2422" s="11" t="s">
        <v>1734</v>
      </c>
      <c r="K2422" s="11" t="s">
        <v>2498</v>
      </c>
      <c r="L2422" s="11" t="s">
        <v>11034</v>
      </c>
      <c r="M2422" s="11" t="s">
        <v>11833</v>
      </c>
      <c r="N2422" s="11">
        <v>46492</v>
      </c>
      <c r="O2422" s="11">
        <v>4877</v>
      </c>
      <c r="P2422" s="11">
        <v>0</v>
      </c>
      <c r="Q2422" s="11" t="s">
        <v>11834</v>
      </c>
      <c r="R2422" s="14" t="s">
        <v>11835</v>
      </c>
      <c r="S2422" s="11">
        <v>335</v>
      </c>
      <c r="T2422" s="11" t="s">
        <v>39</v>
      </c>
      <c r="U2422" s="11" t="s">
        <v>40</v>
      </c>
      <c r="V2422" s="11" t="s">
        <v>586</v>
      </c>
      <c r="W2422" s="11">
        <v>1000000</v>
      </c>
      <c r="X2422" s="11">
        <v>1980</v>
      </c>
      <c r="Y2422" s="11">
        <v>826</v>
      </c>
      <c r="Z2422" s="11">
        <v>6.8</v>
      </c>
      <c r="AA2422" s="11">
        <v>2.35</v>
      </c>
      <c r="AB2422" s="11">
        <v>7000</v>
      </c>
      <c r="AC2422" s="11"/>
      <c r="AD2422" s="11" t="str">
        <f>IFERROR(__xludf.DUMMYFUNCTION("""COMPUTED_VALUE"""),"Kate Walsh")</f>
        <v>Kate Walsh</v>
      </c>
      <c r="AE2422" s="11"/>
    </row>
    <row r="2423" customHeight="1" spans="1:31">
      <c r="A2423" s="12" t="s">
        <v>30</v>
      </c>
      <c r="B2423" s="12" t="s">
        <v>11836</v>
      </c>
      <c r="C2423" s="12">
        <v>110</v>
      </c>
      <c r="D2423" s="12">
        <v>106</v>
      </c>
      <c r="E2423" s="12">
        <v>80</v>
      </c>
      <c r="F2423" s="12">
        <v>723</v>
      </c>
      <c r="G2423" s="12">
        <v>2000</v>
      </c>
      <c r="H2423" s="12">
        <v>43853424</v>
      </c>
      <c r="I2423" s="12" t="s">
        <v>11837</v>
      </c>
      <c r="J2423" s="12" t="s">
        <v>537</v>
      </c>
      <c r="K2423" s="12" t="s">
        <v>11838</v>
      </c>
      <c r="L2423" s="12" t="s">
        <v>2062</v>
      </c>
      <c r="M2423" s="12" t="s">
        <v>11839</v>
      </c>
      <c r="N2423" s="12">
        <v>35514</v>
      </c>
      <c r="O2423" s="12">
        <v>5024</v>
      </c>
      <c r="P2423" s="12">
        <v>1</v>
      </c>
      <c r="Q2423" s="12" t="s">
        <v>11840</v>
      </c>
      <c r="R2423" s="15" t="s">
        <v>11841</v>
      </c>
      <c r="S2423" s="12">
        <v>114</v>
      </c>
      <c r="T2423" s="12" t="s">
        <v>39</v>
      </c>
      <c r="U2423" s="12" t="s">
        <v>40</v>
      </c>
      <c r="V2423" s="12" t="s">
        <v>96</v>
      </c>
      <c r="W2423" s="12">
        <v>18000000</v>
      </c>
      <c r="X2423" s="12">
        <v>2011</v>
      </c>
      <c r="Y2423" s="12">
        <v>795</v>
      </c>
      <c r="Z2423" s="12">
        <v>7.1</v>
      </c>
      <c r="AA2423" s="12">
        <v>2.35</v>
      </c>
      <c r="AB2423" s="12">
        <v>15000</v>
      </c>
      <c r="AC2423" s="12"/>
      <c r="AD2423" s="12" t="str">
        <f>IFERROR(__xludf.DUMMYFUNCTION("""COMPUTED_VALUE"""),"Larry Hankin")</f>
        <v>Larry Hankin</v>
      </c>
      <c r="AE2423" s="12"/>
    </row>
    <row r="2424" customHeight="1" spans="1:31">
      <c r="A2424" s="11" t="s">
        <v>30</v>
      </c>
      <c r="B2424" s="11" t="s">
        <v>3067</v>
      </c>
      <c r="C2424" s="11">
        <v>45</v>
      </c>
      <c r="D2424" s="11">
        <v>122</v>
      </c>
      <c r="E2424" s="11">
        <v>0</v>
      </c>
      <c r="F2424" s="11">
        <v>191</v>
      </c>
      <c r="G2424" s="11">
        <v>643</v>
      </c>
      <c r="H2424" s="13"/>
      <c r="I2424" s="11" t="s">
        <v>11842</v>
      </c>
      <c r="J2424" s="11" t="s">
        <v>9472</v>
      </c>
      <c r="K2424" s="11" t="s">
        <v>3355</v>
      </c>
      <c r="L2424" s="11" t="s">
        <v>11843</v>
      </c>
      <c r="M2424" s="11" t="s">
        <v>11844</v>
      </c>
      <c r="N2424" s="11">
        <v>17277</v>
      </c>
      <c r="O2424" s="11">
        <v>2032</v>
      </c>
      <c r="P2424" s="11">
        <v>0</v>
      </c>
      <c r="Q2424" s="11" t="s">
        <v>11845</v>
      </c>
      <c r="R2424" s="14" t="s">
        <v>11846</v>
      </c>
      <c r="S2424" s="11">
        <v>124</v>
      </c>
      <c r="T2424" s="11" t="s">
        <v>39</v>
      </c>
      <c r="U2424" s="11" t="s">
        <v>40</v>
      </c>
      <c r="V2424" s="11" t="s">
        <v>586</v>
      </c>
      <c r="W2424" s="11">
        <v>18000000</v>
      </c>
      <c r="X2424" s="11">
        <v>1970</v>
      </c>
      <c r="Y2424" s="11">
        <v>559</v>
      </c>
      <c r="Z2424" s="11">
        <v>7.2</v>
      </c>
      <c r="AA2424" s="11">
        <v>2.35</v>
      </c>
      <c r="AB2424" s="11">
        <v>0</v>
      </c>
      <c r="AC2424" s="11"/>
      <c r="AD2424" s="11" t="str">
        <f>IFERROR(__xludf.DUMMYFUNCTION("""COMPUTED_VALUE"""),"Paula Garcés")</f>
        <v>Paula Garcés</v>
      </c>
      <c r="AE2424" s="11"/>
    </row>
    <row r="2425" customHeight="1" spans="1:31">
      <c r="A2425" s="12" t="s">
        <v>30</v>
      </c>
      <c r="B2425" s="12" t="s">
        <v>11847</v>
      </c>
      <c r="C2425" s="12">
        <v>190</v>
      </c>
      <c r="D2425" s="12">
        <v>86</v>
      </c>
      <c r="E2425" s="12">
        <v>62</v>
      </c>
      <c r="F2425" s="12">
        <v>59</v>
      </c>
      <c r="G2425" s="12">
        <v>390</v>
      </c>
      <c r="H2425" s="12">
        <v>23993605</v>
      </c>
      <c r="I2425" s="12" t="s">
        <v>9194</v>
      </c>
      <c r="J2425" s="12" t="s">
        <v>7184</v>
      </c>
      <c r="K2425" s="12" t="s">
        <v>1068</v>
      </c>
      <c r="L2425" s="12" t="s">
        <v>11848</v>
      </c>
      <c r="M2425" s="12" t="s">
        <v>11849</v>
      </c>
      <c r="N2425" s="12">
        <v>52467</v>
      </c>
      <c r="O2425" s="12">
        <v>727</v>
      </c>
      <c r="P2425" s="12">
        <v>1</v>
      </c>
      <c r="Q2425" s="12" t="s">
        <v>11850</v>
      </c>
      <c r="R2425" s="15" t="s">
        <v>11851</v>
      </c>
      <c r="S2425" s="12">
        <v>248</v>
      </c>
      <c r="T2425" s="12" t="s">
        <v>39</v>
      </c>
      <c r="U2425" s="12" t="s">
        <v>40</v>
      </c>
      <c r="V2425" s="12" t="s">
        <v>586</v>
      </c>
      <c r="W2425" s="12">
        <v>18000000</v>
      </c>
      <c r="X2425" s="12">
        <v>2009</v>
      </c>
      <c r="Y2425" s="12">
        <v>258</v>
      </c>
      <c r="Z2425" s="12">
        <v>5.8</v>
      </c>
      <c r="AA2425" s="12">
        <v>2.35</v>
      </c>
      <c r="AB2425" s="12">
        <v>0</v>
      </c>
      <c r="AC2425" s="12"/>
      <c r="AD2425" s="12" t="str">
        <f>IFERROR(__xludf.DUMMYFUNCTION("""COMPUTED_VALUE"""),"Jason George")</f>
        <v>Jason George</v>
      </c>
      <c r="AE2425" s="12"/>
    </row>
    <row r="2426" customHeight="1" spans="1:31">
      <c r="A2426" s="11" t="s">
        <v>30</v>
      </c>
      <c r="B2426" s="11" t="s">
        <v>9668</v>
      </c>
      <c r="C2426" s="11">
        <v>77</v>
      </c>
      <c r="D2426" s="11">
        <v>103</v>
      </c>
      <c r="E2426" s="11">
        <v>130</v>
      </c>
      <c r="F2426" s="11">
        <v>406</v>
      </c>
      <c r="G2426" s="11">
        <v>691</v>
      </c>
      <c r="H2426" s="11">
        <v>26400000</v>
      </c>
      <c r="I2426" s="11" t="s">
        <v>43</v>
      </c>
      <c r="J2426" s="11" t="s">
        <v>752</v>
      </c>
      <c r="K2426" s="11" t="s">
        <v>11852</v>
      </c>
      <c r="L2426" s="11" t="s">
        <v>11853</v>
      </c>
      <c r="M2426" s="11" t="s">
        <v>11854</v>
      </c>
      <c r="N2426" s="11">
        <v>62009</v>
      </c>
      <c r="O2426" s="11">
        <v>2481</v>
      </c>
      <c r="P2426" s="11">
        <v>1</v>
      </c>
      <c r="Q2426" s="11" t="s">
        <v>11855</v>
      </c>
      <c r="R2426" s="14" t="s">
        <v>11856</v>
      </c>
      <c r="S2426" s="11">
        <v>109</v>
      </c>
      <c r="T2426" s="11" t="s">
        <v>39</v>
      </c>
      <c r="U2426" s="11" t="s">
        <v>40</v>
      </c>
      <c r="V2426" s="11" t="s">
        <v>96</v>
      </c>
      <c r="W2426" s="11">
        <v>18000000</v>
      </c>
      <c r="X2426" s="11">
        <v>1984</v>
      </c>
      <c r="Y2426" s="11">
        <v>476</v>
      </c>
      <c r="Z2426" s="11">
        <v>5.8</v>
      </c>
      <c r="AA2426" s="11">
        <v>2.35</v>
      </c>
      <c r="AB2426" s="11">
        <v>2000</v>
      </c>
      <c r="AC2426" s="11"/>
      <c r="AD2426" s="11" t="str">
        <f>IFERROR(__xludf.DUMMYFUNCTION("""COMPUTED_VALUE"""),"Todd Allen")</f>
        <v>Todd Allen</v>
      </c>
      <c r="AE2426" s="11"/>
    </row>
    <row r="2427" customHeight="1" spans="1:31">
      <c r="A2427" s="12" t="s">
        <v>748</v>
      </c>
      <c r="B2427" s="12" t="s">
        <v>488</v>
      </c>
      <c r="C2427" s="12">
        <v>151</v>
      </c>
      <c r="D2427" s="12">
        <v>121</v>
      </c>
      <c r="E2427" s="12">
        <v>17000</v>
      </c>
      <c r="F2427" s="12">
        <v>356</v>
      </c>
      <c r="G2427" s="12">
        <v>22000</v>
      </c>
      <c r="H2427" s="12">
        <v>45250</v>
      </c>
      <c r="I2427" s="12" t="s">
        <v>1635</v>
      </c>
      <c r="J2427" s="12" t="s">
        <v>1746</v>
      </c>
      <c r="K2427" s="12" t="s">
        <v>4284</v>
      </c>
      <c r="L2427" s="12" t="s">
        <v>11857</v>
      </c>
      <c r="M2427" s="12" t="s">
        <v>11858</v>
      </c>
      <c r="N2427" s="12">
        <v>235133</v>
      </c>
      <c r="O2427" s="12">
        <v>23008</v>
      </c>
      <c r="P2427" s="12">
        <v>1</v>
      </c>
      <c r="Q2427" s="12" t="s">
        <v>11859</v>
      </c>
      <c r="R2427" s="15" t="s">
        <v>11860</v>
      </c>
      <c r="S2427" s="12">
        <v>494</v>
      </c>
      <c r="T2427" s="12" t="s">
        <v>39</v>
      </c>
      <c r="U2427" s="12" t="s">
        <v>40</v>
      </c>
      <c r="V2427" s="12" t="s">
        <v>586</v>
      </c>
      <c r="W2427" s="12">
        <v>18000000</v>
      </c>
      <c r="X2427" s="12">
        <v>1980</v>
      </c>
      <c r="Y2427" s="12">
        <v>394</v>
      </c>
      <c r="Z2427" s="12">
        <v>8.3</v>
      </c>
      <c r="AA2427" s="12">
        <v>1.85</v>
      </c>
      <c r="AB2427" s="12">
        <v>0</v>
      </c>
      <c r="AC2427" s="12"/>
      <c r="AD2427" s="12" t="str">
        <f>IFERROR(__xludf.DUMMYFUNCTION("""COMPUTED_VALUE"""),"Brad Leland")</f>
        <v>Brad Leland</v>
      </c>
      <c r="AE2427" s="12"/>
    </row>
    <row r="2428" customHeight="1" spans="1:31">
      <c r="A2428" s="11" t="s">
        <v>30</v>
      </c>
      <c r="B2428" s="11" t="s">
        <v>11861</v>
      </c>
      <c r="C2428" s="11">
        <v>111</v>
      </c>
      <c r="D2428" s="11">
        <v>109</v>
      </c>
      <c r="E2428" s="11">
        <v>7</v>
      </c>
      <c r="F2428" s="11">
        <v>827</v>
      </c>
      <c r="G2428" s="11">
        <v>2000</v>
      </c>
      <c r="H2428" s="11">
        <v>22927390</v>
      </c>
      <c r="I2428" s="11" t="s">
        <v>214</v>
      </c>
      <c r="J2428" s="11" t="s">
        <v>236</v>
      </c>
      <c r="K2428" s="11" t="s">
        <v>11862</v>
      </c>
      <c r="L2428" s="11" t="s">
        <v>1546</v>
      </c>
      <c r="M2428" s="11" t="s">
        <v>11863</v>
      </c>
      <c r="N2428" s="11">
        <v>25344</v>
      </c>
      <c r="O2428" s="11">
        <v>4947</v>
      </c>
      <c r="P2428" s="11">
        <v>0</v>
      </c>
      <c r="Q2428" s="11" t="s">
        <v>11864</v>
      </c>
      <c r="R2428" s="14" t="s">
        <v>11865</v>
      </c>
      <c r="S2428" s="11">
        <v>77</v>
      </c>
      <c r="T2428" s="11" t="s">
        <v>39</v>
      </c>
      <c r="U2428" s="11" t="s">
        <v>40</v>
      </c>
      <c r="V2428" s="11" t="s">
        <v>41</v>
      </c>
      <c r="W2428" s="11">
        <v>18000000</v>
      </c>
      <c r="X2428" s="11">
        <v>2009</v>
      </c>
      <c r="Y2428" s="11">
        <v>980</v>
      </c>
      <c r="Z2428" s="11">
        <v>5.6</v>
      </c>
      <c r="AA2428" s="11">
        <v>1.85</v>
      </c>
      <c r="AB2428" s="11">
        <v>0</v>
      </c>
      <c r="AC2428" s="11"/>
      <c r="AD2428" s="11" t="str">
        <f>IFERROR(__xludf.DUMMYFUNCTION("""COMPUTED_VALUE"""),"Seth Meyers")</f>
        <v>Seth Meyers</v>
      </c>
      <c r="AE2428" s="11"/>
    </row>
    <row r="2429" customHeight="1" spans="1:31">
      <c r="A2429" s="12" t="s">
        <v>30</v>
      </c>
      <c r="B2429" s="12" t="s">
        <v>3123</v>
      </c>
      <c r="C2429" s="12">
        <v>64</v>
      </c>
      <c r="D2429" s="12">
        <v>109</v>
      </c>
      <c r="E2429" s="12">
        <v>272</v>
      </c>
      <c r="F2429" s="12">
        <v>124</v>
      </c>
      <c r="G2429" s="12">
        <v>155</v>
      </c>
      <c r="H2429" s="12">
        <v>4250320</v>
      </c>
      <c r="I2429" s="12" t="s">
        <v>9420</v>
      </c>
      <c r="J2429" s="12" t="s">
        <v>11866</v>
      </c>
      <c r="K2429" s="12" t="s">
        <v>11867</v>
      </c>
      <c r="L2429" s="12" t="s">
        <v>11868</v>
      </c>
      <c r="M2429" s="12" t="s">
        <v>11869</v>
      </c>
      <c r="N2429" s="12">
        <v>14870</v>
      </c>
      <c r="O2429" s="12">
        <v>605</v>
      </c>
      <c r="P2429" s="12">
        <v>1</v>
      </c>
      <c r="Q2429" s="12" t="s">
        <v>11870</v>
      </c>
      <c r="R2429" s="15" t="s">
        <v>11871</v>
      </c>
      <c r="S2429" s="12">
        <v>86</v>
      </c>
      <c r="T2429" s="12" t="s">
        <v>39</v>
      </c>
      <c r="U2429" s="12" t="s">
        <v>40</v>
      </c>
      <c r="V2429" s="12" t="s">
        <v>41</v>
      </c>
      <c r="W2429" s="12">
        <v>18000000</v>
      </c>
      <c r="X2429" s="12">
        <v>1985</v>
      </c>
      <c r="Y2429" s="12">
        <v>144</v>
      </c>
      <c r="Z2429" s="12">
        <v>6.8</v>
      </c>
      <c r="AA2429" s="12">
        <v>1.85</v>
      </c>
      <c r="AB2429" s="12">
        <v>0</v>
      </c>
      <c r="AC2429" s="12"/>
      <c r="AD2429" s="12" t="str">
        <f>IFERROR(__xludf.DUMMYFUNCTION("""COMPUTED_VALUE"""),"Gregory Itzin")</f>
        <v>Gregory Itzin</v>
      </c>
      <c r="AE2429" s="12"/>
    </row>
    <row r="2430" customHeight="1" spans="1:31">
      <c r="A2430" s="11" t="s">
        <v>30</v>
      </c>
      <c r="B2430" s="11" t="s">
        <v>11872</v>
      </c>
      <c r="C2430" s="11">
        <v>134</v>
      </c>
      <c r="D2430" s="11">
        <v>123</v>
      </c>
      <c r="E2430" s="11">
        <v>64</v>
      </c>
      <c r="F2430" s="11">
        <v>637</v>
      </c>
      <c r="G2430" s="11">
        <v>808</v>
      </c>
      <c r="H2430" s="11">
        <v>22452209</v>
      </c>
      <c r="I2430" s="11" t="s">
        <v>3464</v>
      </c>
      <c r="J2430" s="11" t="s">
        <v>264</v>
      </c>
      <c r="K2430" s="11" t="s">
        <v>10962</v>
      </c>
      <c r="L2430" s="11" t="s">
        <v>3180</v>
      </c>
      <c r="M2430" s="11" t="s">
        <v>11873</v>
      </c>
      <c r="N2430" s="11">
        <v>14062</v>
      </c>
      <c r="O2430" s="11">
        <v>5734</v>
      </c>
      <c r="P2430" s="11">
        <v>0</v>
      </c>
      <c r="Q2430" s="11" t="s">
        <v>11874</v>
      </c>
      <c r="R2430" s="14" t="s">
        <v>11875</v>
      </c>
      <c r="S2430" s="11">
        <v>82</v>
      </c>
      <c r="T2430" s="11" t="s">
        <v>39</v>
      </c>
      <c r="U2430" s="11" t="s">
        <v>40</v>
      </c>
      <c r="V2430" s="11" t="s">
        <v>96</v>
      </c>
      <c r="W2430" s="11">
        <v>18000000</v>
      </c>
      <c r="X2430" s="11">
        <v>2009</v>
      </c>
      <c r="Y2430" s="11">
        <v>720</v>
      </c>
      <c r="Z2430" s="11">
        <v>5</v>
      </c>
      <c r="AA2430" s="11">
        <v>2.35</v>
      </c>
      <c r="AB2430" s="11">
        <v>0</v>
      </c>
      <c r="AC2430" s="11"/>
      <c r="AD2430" s="11" t="str">
        <f>IFERROR(__xludf.DUMMYFUNCTION("""COMPUTED_VALUE"""),"Jack Thompson")</f>
        <v>Jack Thompson</v>
      </c>
      <c r="AE2430" s="11"/>
    </row>
    <row r="2431" customHeight="1" spans="1:31">
      <c r="A2431" s="12" t="s">
        <v>30</v>
      </c>
      <c r="B2431" s="12" t="s">
        <v>5290</v>
      </c>
      <c r="C2431" s="12">
        <v>450</v>
      </c>
      <c r="D2431" s="12">
        <v>94</v>
      </c>
      <c r="E2431" s="12">
        <v>0</v>
      </c>
      <c r="F2431" s="12">
        <v>223</v>
      </c>
      <c r="G2431" s="12">
        <v>11000</v>
      </c>
      <c r="H2431" s="12">
        <v>18329466</v>
      </c>
      <c r="I2431" s="12" t="s">
        <v>7682</v>
      </c>
      <c r="J2431" s="12" t="s">
        <v>83</v>
      </c>
      <c r="K2431" s="12" t="s">
        <v>4206</v>
      </c>
      <c r="L2431" s="12" t="s">
        <v>9885</v>
      </c>
      <c r="M2431" s="12" t="s">
        <v>11876</v>
      </c>
      <c r="N2431" s="12">
        <v>279179</v>
      </c>
      <c r="O2431" s="12">
        <v>11984</v>
      </c>
      <c r="P2431" s="12">
        <v>0</v>
      </c>
      <c r="Q2431" s="12" t="s">
        <v>11877</v>
      </c>
      <c r="R2431" s="15" t="s">
        <v>11878</v>
      </c>
      <c r="S2431" s="12">
        <v>440</v>
      </c>
      <c r="T2431" s="12" t="s">
        <v>39</v>
      </c>
      <c r="U2431" s="12" t="s">
        <v>40</v>
      </c>
      <c r="V2431" s="12" t="s">
        <v>586</v>
      </c>
      <c r="W2431" s="12">
        <v>18000000</v>
      </c>
      <c r="X2431" s="12">
        <v>2010</v>
      </c>
      <c r="Y2431" s="12">
        <v>642</v>
      </c>
      <c r="Z2431" s="12">
        <v>7.6</v>
      </c>
      <c r="AA2431" s="12">
        <v>1.85</v>
      </c>
      <c r="AB2431" s="12">
        <v>63000</v>
      </c>
      <c r="AC2431" s="12"/>
      <c r="AD2431" s="12" t="str">
        <f>IFERROR(__xludf.DUMMYFUNCTION("""COMPUTED_VALUE"""),"Pam Ferris")</f>
        <v>Pam Ferris</v>
      </c>
      <c r="AE2431" s="12"/>
    </row>
    <row r="2432" customHeight="1" spans="1:31">
      <c r="A2432" s="11" t="s">
        <v>30</v>
      </c>
      <c r="B2432" s="11" t="s">
        <v>4004</v>
      </c>
      <c r="C2432" s="11">
        <v>128</v>
      </c>
      <c r="D2432" s="11">
        <v>94</v>
      </c>
      <c r="E2432" s="11">
        <v>11000</v>
      </c>
      <c r="F2432" s="11">
        <v>975</v>
      </c>
      <c r="G2432" s="11">
        <v>11000</v>
      </c>
      <c r="H2432" s="11">
        <v>17071230</v>
      </c>
      <c r="I2432" s="11" t="s">
        <v>1009</v>
      </c>
      <c r="J2432" s="11" t="s">
        <v>4004</v>
      </c>
      <c r="K2432" s="11" t="s">
        <v>1957</v>
      </c>
      <c r="L2432" s="11" t="s">
        <v>2524</v>
      </c>
      <c r="M2432" s="11" t="s">
        <v>11879</v>
      </c>
      <c r="N2432" s="11">
        <v>31169</v>
      </c>
      <c r="O2432" s="11">
        <v>23283</v>
      </c>
      <c r="P2432" s="11">
        <v>0</v>
      </c>
      <c r="Q2432" s="11" t="s">
        <v>11880</v>
      </c>
      <c r="R2432" s="14" t="s">
        <v>11881</v>
      </c>
      <c r="S2432" s="11">
        <v>192</v>
      </c>
      <c r="T2432" s="11" t="s">
        <v>39</v>
      </c>
      <c r="U2432" s="11" t="s">
        <v>40</v>
      </c>
      <c r="V2432" s="11" t="s">
        <v>96</v>
      </c>
      <c r="W2432" s="11">
        <v>18000000</v>
      </c>
      <c r="X2432" s="11">
        <v>2000</v>
      </c>
      <c r="Y2432" s="11">
        <v>11000</v>
      </c>
      <c r="Z2432" s="11">
        <v>6.7</v>
      </c>
      <c r="AA2432" s="11">
        <v>1.85</v>
      </c>
      <c r="AB2432" s="11">
        <v>812</v>
      </c>
      <c r="AC2432" s="11"/>
      <c r="AD2432" s="11" t="str">
        <f>IFERROR(__xludf.DUMMYFUNCTION("""COMPUTED_VALUE"""),"Mario Van Peebles")</f>
        <v>Mario Van Peebles</v>
      </c>
      <c r="AE2432" s="11"/>
    </row>
    <row r="2433" customHeight="1" spans="1:31">
      <c r="A2433" s="12" t="s">
        <v>30</v>
      </c>
      <c r="B2433" s="12" t="s">
        <v>11882</v>
      </c>
      <c r="C2433" s="12">
        <v>68</v>
      </c>
      <c r="D2433" s="12">
        <v>115</v>
      </c>
      <c r="E2433" s="12">
        <v>13</v>
      </c>
      <c r="F2433" s="12">
        <v>111</v>
      </c>
      <c r="G2433" s="12">
        <v>757</v>
      </c>
      <c r="H2433" s="12">
        <v>17174870</v>
      </c>
      <c r="I2433" s="12" t="s">
        <v>7837</v>
      </c>
      <c r="J2433" s="12" t="s">
        <v>8778</v>
      </c>
      <c r="K2433" s="12" t="s">
        <v>11883</v>
      </c>
      <c r="L2433" s="12" t="s">
        <v>11884</v>
      </c>
      <c r="M2433" s="12" t="s">
        <v>11885</v>
      </c>
      <c r="N2433" s="12">
        <v>15817</v>
      </c>
      <c r="O2433" s="12">
        <v>1201</v>
      </c>
      <c r="P2433" s="12">
        <v>2</v>
      </c>
      <c r="Q2433" s="12" t="s">
        <v>11886</v>
      </c>
      <c r="R2433" s="15" t="s">
        <v>11887</v>
      </c>
      <c r="S2433" s="12">
        <v>210</v>
      </c>
      <c r="T2433" s="12" t="s">
        <v>39</v>
      </c>
      <c r="U2433" s="12" t="s">
        <v>40</v>
      </c>
      <c r="V2433" s="12" t="s">
        <v>41</v>
      </c>
      <c r="W2433" s="12">
        <v>18000000</v>
      </c>
      <c r="X2433" s="12">
        <v>2000</v>
      </c>
      <c r="Y2433" s="12">
        <v>220</v>
      </c>
      <c r="Z2433" s="12">
        <v>6.7</v>
      </c>
      <c r="AA2433" s="12">
        <v>2.35</v>
      </c>
      <c r="AB2433" s="12">
        <v>0</v>
      </c>
      <c r="AC2433" s="12"/>
      <c r="AD2433" s="12" t="str">
        <f>IFERROR(__xludf.DUMMYFUNCTION("""COMPUTED_VALUE"""),"David Conrad")</f>
        <v>David Conrad</v>
      </c>
      <c r="AE2433" s="12"/>
    </row>
    <row r="2434" customHeight="1" spans="1:31">
      <c r="A2434" s="11" t="s">
        <v>30</v>
      </c>
      <c r="B2434" s="11" t="s">
        <v>10378</v>
      </c>
      <c r="C2434" s="11">
        <v>97</v>
      </c>
      <c r="D2434" s="11">
        <v>107</v>
      </c>
      <c r="E2434" s="11">
        <v>24</v>
      </c>
      <c r="F2434" s="11">
        <v>85</v>
      </c>
      <c r="G2434" s="11">
        <v>10000</v>
      </c>
      <c r="H2434" s="11">
        <v>26284475</v>
      </c>
      <c r="I2434" s="11" t="s">
        <v>1672</v>
      </c>
      <c r="J2434" s="11" t="s">
        <v>302</v>
      </c>
      <c r="K2434" s="11" t="s">
        <v>1862</v>
      </c>
      <c r="L2434" s="11" t="s">
        <v>11888</v>
      </c>
      <c r="M2434" s="11" t="s">
        <v>11889</v>
      </c>
      <c r="N2434" s="11">
        <v>9051</v>
      </c>
      <c r="O2434" s="11">
        <v>10691</v>
      </c>
      <c r="P2434" s="11">
        <v>13</v>
      </c>
      <c r="Q2434" s="11" t="s">
        <v>11890</v>
      </c>
      <c r="R2434" s="14" t="s">
        <v>11891</v>
      </c>
      <c r="S2434" s="11">
        <v>68</v>
      </c>
      <c r="T2434" s="11" t="s">
        <v>39</v>
      </c>
      <c r="U2434" s="11" t="s">
        <v>40</v>
      </c>
      <c r="V2434" s="11" t="s">
        <v>41</v>
      </c>
      <c r="W2434" s="11">
        <v>17000000</v>
      </c>
      <c r="X2434" s="11">
        <v>2015</v>
      </c>
      <c r="Y2434" s="11">
        <v>566</v>
      </c>
      <c r="Z2434" s="11">
        <v>5.7</v>
      </c>
      <c r="AA2434" s="11">
        <v>2.35</v>
      </c>
      <c r="AB2434" s="11">
        <v>0</v>
      </c>
      <c r="AC2434" s="11"/>
      <c r="AD2434" s="11" t="str">
        <f>IFERROR(__xludf.DUMMYFUNCTION("""COMPUTED_VALUE"""),"Monica Keena")</f>
        <v>Monica Keena</v>
      </c>
      <c r="AE2434" s="11"/>
    </row>
    <row r="2435" customHeight="1" spans="1:31">
      <c r="A2435" s="12" t="s">
        <v>30</v>
      </c>
      <c r="B2435" s="12" t="s">
        <v>11892</v>
      </c>
      <c r="C2435" s="12">
        <v>54</v>
      </c>
      <c r="D2435" s="12">
        <v>91</v>
      </c>
      <c r="E2435" s="12">
        <v>38</v>
      </c>
      <c r="F2435" s="12">
        <v>362</v>
      </c>
      <c r="G2435" s="12">
        <v>17000</v>
      </c>
      <c r="H2435" s="12">
        <v>16702864</v>
      </c>
      <c r="I2435" s="12" t="s">
        <v>1009</v>
      </c>
      <c r="J2435" s="12" t="s">
        <v>559</v>
      </c>
      <c r="K2435" s="12" t="s">
        <v>11893</v>
      </c>
      <c r="L2435" s="12" t="s">
        <v>11894</v>
      </c>
      <c r="M2435" s="12" t="s">
        <v>11895</v>
      </c>
      <c r="N2435" s="12">
        <v>8023</v>
      </c>
      <c r="O2435" s="12">
        <v>18711</v>
      </c>
      <c r="P2435" s="12">
        <v>0</v>
      </c>
      <c r="Q2435" s="12" t="s">
        <v>11896</v>
      </c>
      <c r="R2435" s="15" t="s">
        <v>11897</v>
      </c>
      <c r="S2435" s="12">
        <v>49</v>
      </c>
      <c r="T2435" s="12" t="s">
        <v>39</v>
      </c>
      <c r="U2435" s="12" t="s">
        <v>40</v>
      </c>
      <c r="V2435" s="12" t="s">
        <v>96</v>
      </c>
      <c r="W2435" s="12">
        <v>18000000</v>
      </c>
      <c r="X2435" s="12">
        <v>2004</v>
      </c>
      <c r="Y2435" s="12">
        <v>632</v>
      </c>
      <c r="Z2435" s="12">
        <v>5.2</v>
      </c>
      <c r="AA2435" s="12">
        <v>1.85</v>
      </c>
      <c r="AB2435" s="12">
        <v>591</v>
      </c>
      <c r="AC2435" s="12"/>
      <c r="AD2435" s="12" t="str">
        <f>IFERROR(__xludf.DUMMYFUNCTION("""COMPUTED_VALUE"""),"Kirstie Alley")</f>
        <v>Kirstie Alley</v>
      </c>
      <c r="AE2435" s="12"/>
    </row>
    <row r="2436" customHeight="1" spans="1:31">
      <c r="A2436" s="11" t="s">
        <v>30</v>
      </c>
      <c r="B2436" s="11" t="s">
        <v>6705</v>
      </c>
      <c r="C2436" s="11">
        <v>99</v>
      </c>
      <c r="D2436" s="11">
        <v>125</v>
      </c>
      <c r="E2436" s="11">
        <v>34</v>
      </c>
      <c r="F2436" s="11">
        <v>1000</v>
      </c>
      <c r="G2436" s="11">
        <v>16000</v>
      </c>
      <c r="H2436" s="11">
        <v>15561627</v>
      </c>
      <c r="I2436" s="11" t="s">
        <v>3410</v>
      </c>
      <c r="J2436" s="11" t="s">
        <v>10647</v>
      </c>
      <c r="K2436" s="11" t="s">
        <v>1434</v>
      </c>
      <c r="L2436" s="11" t="s">
        <v>203</v>
      </c>
      <c r="M2436" s="11" t="s">
        <v>11898</v>
      </c>
      <c r="N2436" s="11">
        <v>39105</v>
      </c>
      <c r="O2436" s="11">
        <v>21622</v>
      </c>
      <c r="P2436" s="11">
        <v>0</v>
      </c>
      <c r="Q2436" s="11" t="s">
        <v>11899</v>
      </c>
      <c r="R2436" s="14" t="s">
        <v>11900</v>
      </c>
      <c r="S2436" s="11">
        <v>359</v>
      </c>
      <c r="T2436" s="11" t="s">
        <v>39</v>
      </c>
      <c r="U2436" s="11" t="s">
        <v>40</v>
      </c>
      <c r="V2436" s="11" t="s">
        <v>586</v>
      </c>
      <c r="W2436" s="11">
        <v>18000000</v>
      </c>
      <c r="X2436" s="11">
        <v>2001</v>
      </c>
      <c r="Y2436" s="11">
        <v>4000</v>
      </c>
      <c r="Z2436" s="11">
        <v>7.5</v>
      </c>
      <c r="AA2436" s="11">
        <v>2.35</v>
      </c>
      <c r="AB2436" s="11">
        <v>0</v>
      </c>
      <c r="AC2436" s="11"/>
      <c r="AD2436" s="11" t="str">
        <f>IFERROR(__xludf.DUMMYFUNCTION("""COMPUTED_VALUE"""),"Paul Hogan")</f>
        <v>Paul Hogan</v>
      </c>
      <c r="AE2436" s="11"/>
    </row>
    <row r="2437" customHeight="1" spans="1:31">
      <c r="A2437" s="12" t="s">
        <v>30</v>
      </c>
      <c r="B2437" s="12" t="s">
        <v>5290</v>
      </c>
      <c r="C2437" s="12">
        <v>412</v>
      </c>
      <c r="D2437" s="12">
        <v>122</v>
      </c>
      <c r="E2437" s="12">
        <v>0</v>
      </c>
      <c r="F2437" s="12">
        <v>816</v>
      </c>
      <c r="G2437" s="12">
        <v>14000</v>
      </c>
      <c r="H2437" s="12">
        <v>17750583</v>
      </c>
      <c r="I2437" s="12" t="s">
        <v>1544</v>
      </c>
      <c r="J2437" s="12" t="s">
        <v>216</v>
      </c>
      <c r="K2437" s="12" t="s">
        <v>459</v>
      </c>
      <c r="L2437" s="12" t="s">
        <v>167</v>
      </c>
      <c r="M2437" s="12" t="s">
        <v>11901</v>
      </c>
      <c r="N2437" s="12">
        <v>93548</v>
      </c>
      <c r="O2437" s="12">
        <v>28933</v>
      </c>
      <c r="P2437" s="12">
        <v>0</v>
      </c>
      <c r="Q2437" s="12" t="s">
        <v>11902</v>
      </c>
      <c r="R2437" s="15" t="s">
        <v>11903</v>
      </c>
      <c r="S2437" s="12">
        <v>307</v>
      </c>
      <c r="T2437" s="12" t="s">
        <v>39</v>
      </c>
      <c r="U2437" s="12" t="s">
        <v>58</v>
      </c>
      <c r="V2437" s="12" t="s">
        <v>586</v>
      </c>
      <c r="W2437" s="12">
        <v>30000000</v>
      </c>
      <c r="X2437" s="12">
        <v>2015</v>
      </c>
      <c r="Y2437" s="12">
        <v>13000</v>
      </c>
      <c r="Z2437" s="12">
        <v>7.2</v>
      </c>
      <c r="AA2437" s="12">
        <v>2.35</v>
      </c>
      <c r="AB2437" s="12">
        <v>23000</v>
      </c>
      <c r="AC2437" s="12"/>
      <c r="AD2437" s="12" t="str">
        <f>IFERROR(__xludf.DUMMYFUNCTION("""COMPUTED_VALUE"""),"Chelsea Field")</f>
        <v>Chelsea Field</v>
      </c>
      <c r="AE2437" s="12"/>
    </row>
    <row r="2438" customHeight="1" spans="1:31">
      <c r="A2438" s="11" t="s">
        <v>30</v>
      </c>
      <c r="B2438" s="11" t="s">
        <v>1253</v>
      </c>
      <c r="C2438" s="11">
        <v>107</v>
      </c>
      <c r="D2438" s="11">
        <v>102</v>
      </c>
      <c r="E2438" s="11">
        <v>0</v>
      </c>
      <c r="F2438" s="11">
        <v>529</v>
      </c>
      <c r="G2438" s="11">
        <v>946</v>
      </c>
      <c r="H2438" s="11">
        <v>14793904</v>
      </c>
      <c r="I2438" s="11" t="s">
        <v>1681</v>
      </c>
      <c r="J2438" s="11" t="s">
        <v>2303</v>
      </c>
      <c r="K2438" s="11" t="s">
        <v>11904</v>
      </c>
      <c r="L2438" s="11" t="s">
        <v>4500</v>
      </c>
      <c r="M2438" s="11" t="s">
        <v>11905</v>
      </c>
      <c r="N2438" s="11">
        <v>28209</v>
      </c>
      <c r="O2438" s="11">
        <v>4072</v>
      </c>
      <c r="P2438" s="11">
        <v>1</v>
      </c>
      <c r="Q2438" s="11" t="s">
        <v>11906</v>
      </c>
      <c r="R2438" s="14" t="s">
        <v>11907</v>
      </c>
      <c r="S2438" s="11">
        <v>80</v>
      </c>
      <c r="T2438" s="11" t="s">
        <v>39</v>
      </c>
      <c r="U2438" s="11" t="s">
        <v>269</v>
      </c>
      <c r="V2438" s="11" t="s">
        <v>41</v>
      </c>
      <c r="W2438" s="11">
        <v>18000000</v>
      </c>
      <c r="X2438" s="11">
        <v>2009</v>
      </c>
      <c r="Y2438" s="11">
        <v>800</v>
      </c>
      <c r="Z2438" s="11">
        <v>5.3</v>
      </c>
      <c r="AA2438" s="11">
        <v>1.85</v>
      </c>
      <c r="AB2438" s="11">
        <v>0</v>
      </c>
      <c r="AC2438" s="11"/>
      <c r="AD2438" s="11" t="str">
        <f>IFERROR(__xludf.DUMMYFUNCTION("""COMPUTED_VALUE"""),"Jessica Wesson")</f>
        <v>Jessica Wesson</v>
      </c>
      <c r="AE2438" s="11"/>
    </row>
    <row r="2439" customHeight="1" spans="1:31">
      <c r="A2439" s="12" t="s">
        <v>30</v>
      </c>
      <c r="B2439" s="12" t="s">
        <v>8951</v>
      </c>
      <c r="C2439" s="12">
        <v>192</v>
      </c>
      <c r="D2439" s="12">
        <v>90</v>
      </c>
      <c r="E2439" s="12">
        <v>44</v>
      </c>
      <c r="F2439" s="12">
        <v>729</v>
      </c>
      <c r="G2439" s="12">
        <v>12000</v>
      </c>
      <c r="H2439" s="12">
        <v>15281286</v>
      </c>
      <c r="I2439" s="12" t="s">
        <v>1415</v>
      </c>
      <c r="J2439" s="12" t="s">
        <v>272</v>
      </c>
      <c r="K2439" s="12" t="s">
        <v>9682</v>
      </c>
      <c r="L2439" s="12" t="s">
        <v>417</v>
      </c>
      <c r="M2439" s="12" t="s">
        <v>11908</v>
      </c>
      <c r="N2439" s="12">
        <v>64646</v>
      </c>
      <c r="O2439" s="12">
        <v>16004</v>
      </c>
      <c r="P2439" s="12">
        <v>2</v>
      </c>
      <c r="Q2439" s="12" t="s">
        <v>11909</v>
      </c>
      <c r="R2439" s="15" t="s">
        <v>11910</v>
      </c>
      <c r="S2439" s="12">
        <v>105</v>
      </c>
      <c r="T2439" s="12" t="s">
        <v>39</v>
      </c>
      <c r="U2439" s="12" t="s">
        <v>40</v>
      </c>
      <c r="V2439" s="12" t="s">
        <v>586</v>
      </c>
      <c r="W2439" s="12">
        <v>18000000</v>
      </c>
      <c r="X2439" s="12">
        <v>2009</v>
      </c>
      <c r="Y2439" s="12">
        <v>904</v>
      </c>
      <c r="Z2439" s="12">
        <v>6.5</v>
      </c>
      <c r="AA2439" s="12">
        <v>1.85</v>
      </c>
      <c r="AB2439" s="12">
        <v>0</v>
      </c>
      <c r="AC2439" s="12"/>
      <c r="AD2439" s="12" t="str">
        <f>IFERROR(__xludf.DUMMYFUNCTION("""COMPUTED_VALUE"""),"Donald Sumpter")</f>
        <v>Donald Sumpter</v>
      </c>
      <c r="AE2439" s="12"/>
    </row>
    <row r="2440" customHeight="1" spans="1:31">
      <c r="A2440" s="11" t="s">
        <v>30</v>
      </c>
      <c r="B2440" s="11" t="s">
        <v>11911</v>
      </c>
      <c r="C2440" s="11">
        <v>25</v>
      </c>
      <c r="D2440" s="11">
        <v>98</v>
      </c>
      <c r="E2440" s="11">
        <v>28</v>
      </c>
      <c r="F2440" s="11">
        <v>102</v>
      </c>
      <c r="G2440" s="11">
        <v>372</v>
      </c>
      <c r="H2440" s="11">
        <v>8000000</v>
      </c>
      <c r="I2440" s="11" t="s">
        <v>136</v>
      </c>
      <c r="J2440" s="11" t="s">
        <v>6806</v>
      </c>
      <c r="K2440" s="11" t="s">
        <v>11912</v>
      </c>
      <c r="L2440" s="11" t="s">
        <v>11913</v>
      </c>
      <c r="M2440" s="11" t="s">
        <v>11914</v>
      </c>
      <c r="N2440" s="11">
        <v>1400</v>
      </c>
      <c r="O2440" s="11">
        <v>927</v>
      </c>
      <c r="P2440" s="11">
        <v>0</v>
      </c>
      <c r="Q2440" s="11" t="s">
        <v>11915</v>
      </c>
      <c r="R2440" s="14" t="s">
        <v>11916</v>
      </c>
      <c r="S2440" s="11">
        <v>41</v>
      </c>
      <c r="T2440" s="11" t="s">
        <v>39</v>
      </c>
      <c r="U2440" s="11" t="s">
        <v>40</v>
      </c>
      <c r="V2440" s="11" t="s">
        <v>96</v>
      </c>
      <c r="W2440" s="11">
        <v>18000000</v>
      </c>
      <c r="X2440" s="11">
        <v>1981</v>
      </c>
      <c r="Y2440" s="11">
        <v>262</v>
      </c>
      <c r="Z2440" s="11">
        <v>5</v>
      </c>
      <c r="AA2440" s="11">
        <v>2.35</v>
      </c>
      <c r="AB2440" s="11">
        <v>346</v>
      </c>
      <c r="AC2440" s="11"/>
      <c r="AD2440" s="11" t="str">
        <f>IFERROR(__xludf.DUMMYFUNCTION("""COMPUTED_VALUE"""),"Christo Jivkov")</f>
        <v>Christo Jivkov</v>
      </c>
      <c r="AE2440" s="11"/>
    </row>
    <row r="2441" customHeight="1" spans="1:31">
      <c r="A2441" s="12" t="s">
        <v>30</v>
      </c>
      <c r="B2441" s="12" t="s">
        <v>11917</v>
      </c>
      <c r="C2441" s="12">
        <v>104</v>
      </c>
      <c r="D2441" s="12">
        <v>109</v>
      </c>
      <c r="E2441" s="12">
        <v>128</v>
      </c>
      <c r="F2441" s="12">
        <v>1000</v>
      </c>
      <c r="G2441" s="12">
        <v>11000</v>
      </c>
      <c r="H2441" s="12">
        <v>13491653</v>
      </c>
      <c r="I2441" s="12" t="s">
        <v>4075</v>
      </c>
      <c r="J2441" s="12" t="s">
        <v>107</v>
      </c>
      <c r="K2441" s="12" t="s">
        <v>1734</v>
      </c>
      <c r="L2441" s="12" t="s">
        <v>1822</v>
      </c>
      <c r="M2441" s="12" t="s">
        <v>11918</v>
      </c>
      <c r="N2441" s="12">
        <v>23728</v>
      </c>
      <c r="O2441" s="12">
        <v>14995</v>
      </c>
      <c r="P2441" s="12">
        <v>0</v>
      </c>
      <c r="Q2441" s="12" t="s">
        <v>11919</v>
      </c>
      <c r="R2441" s="15" t="s">
        <v>11920</v>
      </c>
      <c r="S2441" s="12">
        <v>213</v>
      </c>
      <c r="T2441" s="12" t="s">
        <v>39</v>
      </c>
      <c r="U2441" s="12" t="s">
        <v>40</v>
      </c>
      <c r="V2441" s="12" t="s">
        <v>586</v>
      </c>
      <c r="W2441" s="12">
        <v>18000000</v>
      </c>
      <c r="X2441" s="12">
        <v>2001</v>
      </c>
      <c r="Y2441" s="12">
        <v>2000</v>
      </c>
      <c r="Z2441" s="12">
        <v>6.1</v>
      </c>
      <c r="AA2441" s="12">
        <v>2.35</v>
      </c>
      <c r="AB2441" s="12">
        <v>813</v>
      </c>
      <c r="AC2441" s="12"/>
      <c r="AD2441" s="12" t="str">
        <f>IFERROR(__xludf.DUMMYFUNCTION("""COMPUTED_VALUE"""),"Maia Morgenstern")</f>
        <v>Maia Morgenstern</v>
      </c>
      <c r="AE2441" s="12"/>
    </row>
    <row r="2442" customHeight="1" spans="1:31">
      <c r="A2442" s="11" t="s">
        <v>30</v>
      </c>
      <c r="B2442" s="11" t="s">
        <v>2247</v>
      </c>
      <c r="C2442" s="11">
        <v>120</v>
      </c>
      <c r="D2442" s="11">
        <v>107</v>
      </c>
      <c r="E2442" s="11">
        <v>0</v>
      </c>
      <c r="F2442" s="11">
        <v>101</v>
      </c>
      <c r="G2442" s="11">
        <v>517</v>
      </c>
      <c r="H2442" s="13"/>
      <c r="I2442" s="11" t="s">
        <v>852</v>
      </c>
      <c r="J2442" s="11" t="s">
        <v>11921</v>
      </c>
      <c r="K2442" s="11" t="s">
        <v>11922</v>
      </c>
      <c r="L2442" s="11" t="s">
        <v>11923</v>
      </c>
      <c r="M2442" s="11" t="s">
        <v>11924</v>
      </c>
      <c r="N2442" s="11">
        <v>27629</v>
      </c>
      <c r="O2442" s="11">
        <v>1067</v>
      </c>
      <c r="P2442" s="11">
        <v>0</v>
      </c>
      <c r="Q2442" s="11" t="s">
        <v>11925</v>
      </c>
      <c r="R2442" s="14" t="s">
        <v>11926</v>
      </c>
      <c r="S2442" s="11">
        <v>149</v>
      </c>
      <c r="T2442" s="11" t="s">
        <v>39</v>
      </c>
      <c r="U2442" s="11" t="s">
        <v>40</v>
      </c>
      <c r="V2442" s="11" t="s">
        <v>586</v>
      </c>
      <c r="W2442" s="11">
        <v>18000000</v>
      </c>
      <c r="X2442" s="11">
        <v>1981</v>
      </c>
      <c r="Y2442" s="11">
        <v>376</v>
      </c>
      <c r="Z2442" s="11">
        <v>7.4</v>
      </c>
      <c r="AA2442" s="11">
        <v>2.35</v>
      </c>
      <c r="AB2442" s="11">
        <v>2000</v>
      </c>
      <c r="AC2442" s="11"/>
      <c r="AD2442" s="11" t="str">
        <f>IFERROR(__xludf.DUMMYFUNCTION("""COMPUTED_VALUE"""),"Hristo Shopov")</f>
        <v>Hristo Shopov</v>
      </c>
      <c r="AE2442" s="11"/>
    </row>
    <row r="2443" customHeight="1" spans="1:31">
      <c r="A2443" s="12" t="s">
        <v>30</v>
      </c>
      <c r="B2443" s="12" t="s">
        <v>11927</v>
      </c>
      <c r="C2443" s="12">
        <v>146</v>
      </c>
      <c r="D2443" s="12">
        <v>90</v>
      </c>
      <c r="E2443" s="12">
        <v>31</v>
      </c>
      <c r="F2443" s="12">
        <v>179</v>
      </c>
      <c r="G2443" s="12">
        <v>210</v>
      </c>
      <c r="H2443" s="12">
        <v>10494494</v>
      </c>
      <c r="I2443" s="12" t="s">
        <v>334</v>
      </c>
      <c r="J2443" s="12" t="s">
        <v>11928</v>
      </c>
      <c r="K2443" s="12" t="s">
        <v>11929</v>
      </c>
      <c r="L2443" s="12" t="s">
        <v>11930</v>
      </c>
      <c r="M2443" s="12" t="s">
        <v>11931</v>
      </c>
      <c r="N2443" s="12">
        <v>19586</v>
      </c>
      <c r="O2443" s="12">
        <v>676</v>
      </c>
      <c r="P2443" s="12">
        <v>1</v>
      </c>
      <c r="Q2443" s="12" t="s">
        <v>11932</v>
      </c>
      <c r="R2443" s="15" t="s">
        <v>11933</v>
      </c>
      <c r="S2443" s="12">
        <v>109</v>
      </c>
      <c r="T2443" s="12" t="s">
        <v>39</v>
      </c>
      <c r="U2443" s="12" t="s">
        <v>40</v>
      </c>
      <c r="V2443" s="12" t="s">
        <v>41</v>
      </c>
      <c r="W2443" s="12">
        <v>18000000</v>
      </c>
      <c r="X2443" s="12">
        <v>2013</v>
      </c>
      <c r="Y2443" s="12">
        <v>193</v>
      </c>
      <c r="Z2443" s="12">
        <v>4.4</v>
      </c>
      <c r="AA2443" s="12">
        <v>2.35</v>
      </c>
      <c r="AB2443" s="12">
        <v>4000</v>
      </c>
      <c r="AC2443" s="12"/>
      <c r="AD2443" s="12" t="str">
        <f>IFERROR(__xludf.DUMMYFUNCTION("""COMPUTED_VALUE"""),"Matthew Lawrence")</f>
        <v>Matthew Lawrence</v>
      </c>
      <c r="AE2443" s="12"/>
    </row>
    <row r="2444" customHeight="1" spans="1:31">
      <c r="A2444" s="11" t="s">
        <v>30</v>
      </c>
      <c r="B2444" s="11" t="s">
        <v>1065</v>
      </c>
      <c r="C2444" s="11">
        <v>124</v>
      </c>
      <c r="D2444" s="11">
        <v>112</v>
      </c>
      <c r="E2444" s="11">
        <v>0</v>
      </c>
      <c r="F2444" s="11">
        <v>177</v>
      </c>
      <c r="G2444" s="11">
        <v>805</v>
      </c>
      <c r="H2444" s="11">
        <v>7837632</v>
      </c>
      <c r="I2444" s="11" t="s">
        <v>3410</v>
      </c>
      <c r="J2444" s="11" t="s">
        <v>2319</v>
      </c>
      <c r="K2444" s="11" t="s">
        <v>9885</v>
      </c>
      <c r="L2444" s="11" t="s">
        <v>2678</v>
      </c>
      <c r="M2444" s="11" t="s">
        <v>11934</v>
      </c>
      <c r="N2444" s="11">
        <v>46396</v>
      </c>
      <c r="O2444" s="11">
        <v>1466</v>
      </c>
      <c r="P2444" s="11">
        <v>0</v>
      </c>
      <c r="Q2444" s="11" t="s">
        <v>11935</v>
      </c>
      <c r="R2444" s="14" t="s">
        <v>11936</v>
      </c>
      <c r="S2444" s="11">
        <v>287</v>
      </c>
      <c r="T2444" s="11" t="s">
        <v>39</v>
      </c>
      <c r="U2444" s="11" t="s">
        <v>40</v>
      </c>
      <c r="V2444" s="11" t="s">
        <v>586</v>
      </c>
      <c r="W2444" s="11">
        <v>18000000</v>
      </c>
      <c r="X2444" s="11">
        <v>1997</v>
      </c>
      <c r="Y2444" s="11">
        <v>223</v>
      </c>
      <c r="Z2444" s="11">
        <v>7.5</v>
      </c>
      <c r="AA2444" s="11">
        <v>1.85</v>
      </c>
      <c r="AB2444" s="11">
        <v>0</v>
      </c>
      <c r="AC2444" s="11"/>
      <c r="AD2444" s="11" t="str">
        <f>IFERROR(__xludf.DUMMYFUNCTION("""COMPUTED_VALUE"""),"Dreama Walker")</f>
        <v>Dreama Walker</v>
      </c>
      <c r="AE2444" s="11"/>
    </row>
    <row r="2445" customHeight="1" spans="1:31">
      <c r="A2445" s="12" t="s">
        <v>30</v>
      </c>
      <c r="B2445" s="12" t="s">
        <v>3892</v>
      </c>
      <c r="C2445" s="12">
        <v>107</v>
      </c>
      <c r="D2445" s="12">
        <v>94</v>
      </c>
      <c r="E2445" s="12">
        <v>0</v>
      </c>
      <c r="F2445" s="12">
        <v>197</v>
      </c>
      <c r="G2445" s="12">
        <v>712</v>
      </c>
      <c r="H2445" s="12">
        <v>15155772</v>
      </c>
      <c r="I2445" s="12" t="s">
        <v>1415</v>
      </c>
      <c r="J2445" s="12" t="s">
        <v>8423</v>
      </c>
      <c r="K2445" s="12" t="s">
        <v>1791</v>
      </c>
      <c r="L2445" s="12" t="s">
        <v>11937</v>
      </c>
      <c r="M2445" s="12" t="s">
        <v>11938</v>
      </c>
      <c r="N2445" s="12">
        <v>8895</v>
      </c>
      <c r="O2445" s="12">
        <v>1673</v>
      </c>
      <c r="P2445" s="12">
        <v>2</v>
      </c>
      <c r="Q2445" s="12" t="s">
        <v>11939</v>
      </c>
      <c r="R2445" s="15" t="s">
        <v>11940</v>
      </c>
      <c r="S2445" s="12">
        <v>48</v>
      </c>
      <c r="T2445" s="12" t="s">
        <v>39</v>
      </c>
      <c r="U2445" s="12" t="s">
        <v>40</v>
      </c>
      <c r="V2445" s="12" t="s">
        <v>41</v>
      </c>
      <c r="W2445" s="12">
        <v>18000000</v>
      </c>
      <c r="X2445" s="12">
        <v>2014</v>
      </c>
      <c r="Y2445" s="12">
        <v>341</v>
      </c>
      <c r="Z2445" s="12">
        <v>5.7</v>
      </c>
      <c r="AA2445" s="12">
        <v>2.35</v>
      </c>
      <c r="AB2445" s="12">
        <v>3000</v>
      </c>
      <c r="AC2445" s="12"/>
      <c r="AD2445" s="12" t="str">
        <f>IFERROR(__xludf.DUMMYFUNCTION("""COMPUTED_VALUE"""),"Ahney Her")</f>
        <v>Ahney Her</v>
      </c>
      <c r="AE2445" s="12"/>
    </row>
    <row r="2446" customHeight="1" spans="1:31">
      <c r="A2446" s="11" t="s">
        <v>30</v>
      </c>
      <c r="B2446" s="11" t="s">
        <v>11941</v>
      </c>
      <c r="C2446" s="11">
        <v>11</v>
      </c>
      <c r="D2446" s="11">
        <v>105</v>
      </c>
      <c r="E2446" s="11">
        <v>6</v>
      </c>
      <c r="F2446" s="11">
        <v>371</v>
      </c>
      <c r="G2446" s="11">
        <v>723</v>
      </c>
      <c r="H2446" s="11">
        <v>8508843</v>
      </c>
      <c r="I2446" s="11" t="s">
        <v>4220</v>
      </c>
      <c r="J2446" s="11" t="s">
        <v>2062</v>
      </c>
      <c r="K2446" s="11" t="s">
        <v>11942</v>
      </c>
      <c r="L2446" s="11" t="s">
        <v>11943</v>
      </c>
      <c r="M2446" s="11" t="s">
        <v>11944</v>
      </c>
      <c r="N2446" s="11">
        <v>7470</v>
      </c>
      <c r="O2446" s="11">
        <v>2368</v>
      </c>
      <c r="P2446" s="11">
        <v>1</v>
      </c>
      <c r="Q2446" s="11" t="s">
        <v>11945</v>
      </c>
      <c r="R2446" s="14" t="s">
        <v>11946</v>
      </c>
      <c r="S2446" s="11">
        <v>35</v>
      </c>
      <c r="T2446" s="11" t="s">
        <v>39</v>
      </c>
      <c r="U2446" s="11" t="s">
        <v>40</v>
      </c>
      <c r="V2446" s="11" t="s">
        <v>96</v>
      </c>
      <c r="W2446" s="11">
        <v>18000000</v>
      </c>
      <c r="X2446" s="11">
        <v>1989</v>
      </c>
      <c r="Y2446" s="11">
        <v>422</v>
      </c>
      <c r="Z2446" s="11">
        <v>5.5</v>
      </c>
      <c r="AA2446" s="11">
        <v>1.37</v>
      </c>
      <c r="AB2446" s="11">
        <v>0</v>
      </c>
      <c r="AC2446" s="11"/>
      <c r="AD2446" s="11" t="str">
        <f>IFERROR(__xludf.DUMMYFUNCTION("""COMPUTED_VALUE"""),"Luke Bracey")</f>
        <v>Luke Bracey</v>
      </c>
      <c r="AE2446" s="11"/>
    </row>
    <row r="2447" customHeight="1" spans="1:31">
      <c r="A2447" s="12" t="s">
        <v>30</v>
      </c>
      <c r="B2447" s="12" t="s">
        <v>11947</v>
      </c>
      <c r="C2447" s="12">
        <v>93</v>
      </c>
      <c r="D2447" s="12">
        <v>104</v>
      </c>
      <c r="E2447" s="12">
        <v>109</v>
      </c>
      <c r="F2447" s="12">
        <v>202</v>
      </c>
      <c r="G2447" s="12">
        <v>405</v>
      </c>
      <c r="H2447" s="12">
        <v>7739049</v>
      </c>
      <c r="I2447" s="12" t="s">
        <v>1415</v>
      </c>
      <c r="J2447" s="12" t="s">
        <v>3991</v>
      </c>
      <c r="K2447" s="12" t="s">
        <v>11948</v>
      </c>
      <c r="L2447" s="12" t="s">
        <v>11949</v>
      </c>
      <c r="M2447" s="12" t="s">
        <v>11950</v>
      </c>
      <c r="N2447" s="12">
        <v>10680</v>
      </c>
      <c r="O2447" s="12">
        <v>847</v>
      </c>
      <c r="P2447" s="12">
        <v>2</v>
      </c>
      <c r="Q2447" s="12" t="s">
        <v>11951</v>
      </c>
      <c r="R2447" s="15" t="s">
        <v>11952</v>
      </c>
      <c r="S2447" s="12">
        <v>112</v>
      </c>
      <c r="T2447" s="12" t="s">
        <v>39</v>
      </c>
      <c r="U2447" s="12" t="s">
        <v>269</v>
      </c>
      <c r="V2447" s="12" t="s">
        <v>586</v>
      </c>
      <c r="W2447" s="12">
        <v>18000000</v>
      </c>
      <c r="X2447" s="12">
        <v>2004</v>
      </c>
      <c r="Y2447" s="12">
        <v>204</v>
      </c>
      <c r="Z2447" s="12">
        <v>7.1</v>
      </c>
      <c r="AA2447" s="12">
        <v>1.85</v>
      </c>
      <c r="AB2447" s="12">
        <v>562</v>
      </c>
      <c r="AC2447" s="12"/>
      <c r="AD2447" s="12" t="str">
        <f>IFERROR(__xludf.DUMMYFUNCTION("""COMPUTED_VALUE"""),"DeVaughn Nixon")</f>
        <v>DeVaughn Nixon</v>
      </c>
      <c r="AE2447" s="12"/>
    </row>
    <row r="2448" customHeight="1" spans="1:31">
      <c r="A2448" s="11" t="s">
        <v>30</v>
      </c>
      <c r="B2448" s="11" t="s">
        <v>5176</v>
      </c>
      <c r="C2448" s="11">
        <v>38</v>
      </c>
      <c r="D2448" s="11">
        <v>112</v>
      </c>
      <c r="E2448" s="11">
        <v>213</v>
      </c>
      <c r="F2448" s="11">
        <v>45</v>
      </c>
      <c r="G2448" s="11">
        <v>567</v>
      </c>
      <c r="H2448" s="11">
        <v>6734844</v>
      </c>
      <c r="I2448" s="11" t="s">
        <v>214</v>
      </c>
      <c r="J2448" s="11" t="s">
        <v>11953</v>
      </c>
      <c r="K2448" s="11" t="s">
        <v>11954</v>
      </c>
      <c r="L2448" s="11" t="s">
        <v>11955</v>
      </c>
      <c r="M2448" s="11" t="s">
        <v>11956</v>
      </c>
      <c r="N2448" s="11">
        <v>29591</v>
      </c>
      <c r="O2448" s="11">
        <v>711</v>
      </c>
      <c r="P2448" s="11">
        <v>0</v>
      </c>
      <c r="Q2448" s="11" t="s">
        <v>11957</v>
      </c>
      <c r="R2448" s="14" t="s">
        <v>11958</v>
      </c>
      <c r="S2448" s="11">
        <v>118</v>
      </c>
      <c r="T2448" s="11" t="s">
        <v>39</v>
      </c>
      <c r="U2448" s="11" t="s">
        <v>40</v>
      </c>
      <c r="V2448" s="11" t="s">
        <v>586</v>
      </c>
      <c r="W2448" s="11">
        <v>17000000</v>
      </c>
      <c r="X2448" s="11">
        <v>1986</v>
      </c>
      <c r="Y2448" s="11">
        <v>67</v>
      </c>
      <c r="Z2448" s="11">
        <v>5.9</v>
      </c>
      <c r="AA2448" s="11">
        <v>1.85</v>
      </c>
      <c r="AB2448" s="11">
        <v>0</v>
      </c>
      <c r="AC2448" s="11"/>
      <c r="AD2448" s="11" t="str">
        <f>IFERROR(__xludf.DUMMYFUNCTION("""COMPUTED_VALUE"""),"Embeth Davidtz")</f>
        <v>Embeth Davidtz</v>
      </c>
      <c r="AE2448" s="11"/>
    </row>
    <row r="2449" customHeight="1" spans="1:31">
      <c r="A2449" s="12" t="s">
        <v>30</v>
      </c>
      <c r="B2449" s="12" t="s">
        <v>11959</v>
      </c>
      <c r="C2449" s="12">
        <v>60</v>
      </c>
      <c r="D2449" s="12">
        <v>108</v>
      </c>
      <c r="E2449" s="12">
        <v>25</v>
      </c>
      <c r="F2449" s="12">
        <v>94</v>
      </c>
      <c r="G2449" s="12">
        <v>1000</v>
      </c>
      <c r="H2449" s="12">
        <v>6000000</v>
      </c>
      <c r="I2449" s="12" t="s">
        <v>43</v>
      </c>
      <c r="J2449" s="12" t="s">
        <v>1450</v>
      </c>
      <c r="K2449" s="12" t="s">
        <v>11960</v>
      </c>
      <c r="L2449" s="12" t="s">
        <v>11961</v>
      </c>
      <c r="M2449" s="12" t="s">
        <v>11962</v>
      </c>
      <c r="N2449" s="12">
        <v>10832</v>
      </c>
      <c r="O2449" s="12">
        <v>1263</v>
      </c>
      <c r="P2449" s="12">
        <v>0</v>
      </c>
      <c r="Q2449" s="12" t="s">
        <v>11963</v>
      </c>
      <c r="R2449" s="15" t="s">
        <v>11964</v>
      </c>
      <c r="S2449" s="12">
        <v>102</v>
      </c>
      <c r="T2449" s="12" t="s">
        <v>39</v>
      </c>
      <c r="U2449" s="12" t="s">
        <v>40</v>
      </c>
      <c r="V2449" s="12" t="s">
        <v>96</v>
      </c>
      <c r="W2449" s="12">
        <v>18000000</v>
      </c>
      <c r="X2449" s="12">
        <v>1981</v>
      </c>
      <c r="Y2449" s="12">
        <v>115</v>
      </c>
      <c r="Z2449" s="12">
        <v>6.7</v>
      </c>
      <c r="AA2449" s="12">
        <v>2.35</v>
      </c>
      <c r="AB2449" s="12">
        <v>0</v>
      </c>
      <c r="AC2449" s="12"/>
      <c r="AD2449" s="12" t="str">
        <f>IFERROR(__xludf.DUMMYFUNCTION("""COMPUTED_VALUE"""),"Caroline Goodall")</f>
        <v>Caroline Goodall</v>
      </c>
      <c r="AE2449" s="12"/>
    </row>
    <row r="2450" customHeight="1" spans="1:31">
      <c r="A2450" s="11" t="s">
        <v>30</v>
      </c>
      <c r="B2450" s="11" t="s">
        <v>9393</v>
      </c>
      <c r="C2450" s="11">
        <v>184</v>
      </c>
      <c r="D2450" s="11">
        <v>112</v>
      </c>
      <c r="E2450" s="11">
        <v>97</v>
      </c>
      <c r="F2450" s="11">
        <v>231</v>
      </c>
      <c r="G2450" s="11">
        <v>577</v>
      </c>
      <c r="H2450" s="11">
        <v>6615578</v>
      </c>
      <c r="I2450" s="11" t="s">
        <v>6327</v>
      </c>
      <c r="J2450" s="11" t="s">
        <v>11965</v>
      </c>
      <c r="K2450" s="11" t="s">
        <v>11966</v>
      </c>
      <c r="L2450" s="11" t="s">
        <v>10508</v>
      </c>
      <c r="M2450" s="11" t="s">
        <v>11967</v>
      </c>
      <c r="N2450" s="11">
        <v>15352</v>
      </c>
      <c r="O2450" s="11">
        <v>1341</v>
      </c>
      <c r="P2450" s="11">
        <v>2</v>
      </c>
      <c r="Q2450" s="11" t="s">
        <v>11968</v>
      </c>
      <c r="R2450" s="14" t="s">
        <v>11969</v>
      </c>
      <c r="S2450" s="11">
        <v>82</v>
      </c>
      <c r="T2450" s="11" t="s">
        <v>39</v>
      </c>
      <c r="U2450" s="11" t="s">
        <v>768</v>
      </c>
      <c r="V2450" s="11" t="s">
        <v>586</v>
      </c>
      <c r="W2450" s="11">
        <v>13000000</v>
      </c>
      <c r="X2450" s="11">
        <v>2009</v>
      </c>
      <c r="Y2450" s="11">
        <v>416</v>
      </c>
      <c r="Z2450" s="11">
        <v>7</v>
      </c>
      <c r="AA2450" s="11">
        <v>2.35</v>
      </c>
      <c r="AB2450" s="11">
        <v>0</v>
      </c>
      <c r="AC2450" s="11"/>
      <c r="AD2450" s="11" t="str">
        <f>IFERROR(__xludf.DUMMYFUNCTION("""COMPUTED_VALUE"""),"Jamie Blackley")</f>
        <v>Jamie Blackley</v>
      </c>
      <c r="AE2450" s="11"/>
    </row>
    <row r="2451" customHeight="1" spans="1:31">
      <c r="A2451" s="12" t="s">
        <v>748</v>
      </c>
      <c r="B2451" s="12" t="s">
        <v>256</v>
      </c>
      <c r="C2451" s="12">
        <v>148</v>
      </c>
      <c r="D2451" s="12">
        <v>127</v>
      </c>
      <c r="E2451" s="12">
        <v>13000</v>
      </c>
      <c r="F2451" s="12">
        <v>940</v>
      </c>
      <c r="G2451" s="12">
        <v>40000</v>
      </c>
      <c r="H2451" s="12">
        <v>5887457</v>
      </c>
      <c r="I2451" s="12" t="s">
        <v>4168</v>
      </c>
      <c r="J2451" s="12" t="s">
        <v>44</v>
      </c>
      <c r="K2451" s="12" t="s">
        <v>549</v>
      </c>
      <c r="L2451" s="12" t="s">
        <v>3261</v>
      </c>
      <c r="M2451" s="12" t="s">
        <v>11970</v>
      </c>
      <c r="N2451" s="12">
        <v>142416</v>
      </c>
      <c r="O2451" s="12">
        <v>56585</v>
      </c>
      <c r="P2451" s="12">
        <v>1</v>
      </c>
      <c r="Q2451" s="12" t="s">
        <v>11971</v>
      </c>
      <c r="R2451" s="15" t="s">
        <v>11972</v>
      </c>
      <c r="S2451" s="12">
        <v>420</v>
      </c>
      <c r="T2451" s="12" t="s">
        <v>39</v>
      </c>
      <c r="U2451" s="12" t="s">
        <v>40</v>
      </c>
      <c r="V2451" s="12" t="s">
        <v>586</v>
      </c>
      <c r="W2451" s="12">
        <v>18000000</v>
      </c>
      <c r="X2451" s="12">
        <v>1994</v>
      </c>
      <c r="Y2451" s="12">
        <v>13000</v>
      </c>
      <c r="Z2451" s="12">
        <v>7.9</v>
      </c>
      <c r="AA2451" s="12">
        <v>1.85</v>
      </c>
      <c r="AB2451" s="12">
        <v>0</v>
      </c>
      <c r="AC2451" s="12"/>
      <c r="AD2451" s="12" t="str">
        <f>IFERROR(__xludf.DUMMYFUNCTION("""COMPUTED_VALUE"""),"Igor Jijikine")</f>
        <v>Igor Jijikine</v>
      </c>
      <c r="AE2451" s="12"/>
    </row>
    <row r="2452" customHeight="1" spans="1:31">
      <c r="A2452" s="11" t="s">
        <v>30</v>
      </c>
      <c r="B2452" s="11" t="s">
        <v>8187</v>
      </c>
      <c r="C2452" s="11">
        <v>217</v>
      </c>
      <c r="D2452" s="11">
        <v>111</v>
      </c>
      <c r="E2452" s="11">
        <v>655</v>
      </c>
      <c r="F2452" s="11">
        <v>405</v>
      </c>
      <c r="G2452" s="11">
        <v>24000</v>
      </c>
      <c r="H2452" s="11">
        <v>13362308</v>
      </c>
      <c r="I2452" s="11" t="s">
        <v>3410</v>
      </c>
      <c r="J2452" s="11" t="s">
        <v>82</v>
      </c>
      <c r="K2452" s="11" t="s">
        <v>216</v>
      </c>
      <c r="L2452" s="11" t="s">
        <v>3440</v>
      </c>
      <c r="M2452" s="11" t="s">
        <v>11973</v>
      </c>
      <c r="N2452" s="11">
        <v>31898</v>
      </c>
      <c r="O2452" s="11">
        <v>39307</v>
      </c>
      <c r="P2452" s="11">
        <v>1</v>
      </c>
      <c r="Q2452" s="11" t="s">
        <v>11974</v>
      </c>
      <c r="R2452" s="14" t="s">
        <v>11975</v>
      </c>
      <c r="S2452" s="11">
        <v>111</v>
      </c>
      <c r="T2452" s="11" t="s">
        <v>39</v>
      </c>
      <c r="U2452" s="11" t="s">
        <v>40</v>
      </c>
      <c r="V2452" s="11" t="s">
        <v>41</v>
      </c>
      <c r="W2452" s="11">
        <v>18000000</v>
      </c>
      <c r="X2452" s="11">
        <v>2013</v>
      </c>
      <c r="Y2452" s="11">
        <v>14000</v>
      </c>
      <c r="Z2452" s="11">
        <v>6.9</v>
      </c>
      <c r="AA2452" s="11">
        <v>2.35</v>
      </c>
      <c r="AB2452" s="11">
        <v>0</v>
      </c>
      <c r="AC2452" s="11"/>
      <c r="AD2452" s="11" t="str">
        <f>IFERROR(__xludf.DUMMYFUNCTION("""COMPUTED_VALUE"""),"Agnia Ditkovskite")</f>
        <v>Agnia Ditkovskite</v>
      </c>
      <c r="AE2452" s="11"/>
    </row>
    <row r="2453" customHeight="1" spans="1:31">
      <c r="A2453" s="12" t="s">
        <v>30</v>
      </c>
      <c r="B2453" s="12" t="s">
        <v>2018</v>
      </c>
      <c r="C2453" s="12">
        <v>160</v>
      </c>
      <c r="D2453" s="12">
        <v>126</v>
      </c>
      <c r="E2453" s="12">
        <v>44</v>
      </c>
      <c r="F2453" s="12">
        <v>9</v>
      </c>
      <c r="G2453" s="12">
        <v>627</v>
      </c>
      <c r="H2453" s="12">
        <v>5701643</v>
      </c>
      <c r="I2453" s="12" t="s">
        <v>3431</v>
      </c>
      <c r="J2453" s="12" t="s">
        <v>230</v>
      </c>
      <c r="K2453" s="12" t="s">
        <v>11976</v>
      </c>
      <c r="L2453" s="12" t="s">
        <v>11977</v>
      </c>
      <c r="M2453" s="12" t="s">
        <v>11978</v>
      </c>
      <c r="N2453" s="12">
        <v>37635</v>
      </c>
      <c r="O2453" s="12">
        <v>653</v>
      </c>
      <c r="P2453" s="12">
        <v>0</v>
      </c>
      <c r="Q2453" s="12" t="s">
        <v>11979</v>
      </c>
      <c r="R2453" s="15" t="s">
        <v>11980</v>
      </c>
      <c r="S2453" s="12">
        <v>165</v>
      </c>
      <c r="T2453" s="12" t="s">
        <v>11981</v>
      </c>
      <c r="U2453" s="12" t="s">
        <v>7171</v>
      </c>
      <c r="V2453" s="12" t="s">
        <v>586</v>
      </c>
      <c r="W2453" s="12">
        <v>20000000</v>
      </c>
      <c r="X2453" s="12">
        <v>2007</v>
      </c>
      <c r="Y2453" s="12">
        <v>12</v>
      </c>
      <c r="Z2453" s="12">
        <v>7.3</v>
      </c>
      <c r="AA2453" s="12">
        <v>2.35</v>
      </c>
      <c r="AB2453" s="12">
        <v>0</v>
      </c>
      <c r="AC2453" s="12"/>
      <c r="AD2453" s="12" t="str">
        <f>IFERROR(__xludf.DUMMYFUNCTION("""COMPUTED_VALUE"""),"Katharine Isabelle")</f>
        <v>Katharine Isabelle</v>
      </c>
      <c r="AE2453" s="12"/>
    </row>
    <row r="2454" customHeight="1" spans="1:31">
      <c r="A2454" s="11" t="s">
        <v>30</v>
      </c>
      <c r="B2454" s="11" t="s">
        <v>1295</v>
      </c>
      <c r="C2454" s="11">
        <v>209</v>
      </c>
      <c r="D2454" s="11">
        <v>114</v>
      </c>
      <c r="E2454" s="11">
        <v>0</v>
      </c>
      <c r="F2454" s="11">
        <v>1000</v>
      </c>
      <c r="G2454" s="11">
        <v>27000</v>
      </c>
      <c r="H2454" s="11">
        <v>5694401</v>
      </c>
      <c r="I2454" s="11" t="s">
        <v>334</v>
      </c>
      <c r="J2454" s="11" t="s">
        <v>61</v>
      </c>
      <c r="K2454" s="11" t="s">
        <v>641</v>
      </c>
      <c r="L2454" s="11" t="s">
        <v>138</v>
      </c>
      <c r="M2454" s="11" t="s">
        <v>11982</v>
      </c>
      <c r="N2454" s="11">
        <v>194489</v>
      </c>
      <c r="O2454" s="11">
        <v>46944</v>
      </c>
      <c r="P2454" s="11">
        <v>4</v>
      </c>
      <c r="Q2454" s="11" t="s">
        <v>11983</v>
      </c>
      <c r="R2454" s="14" t="s">
        <v>11984</v>
      </c>
      <c r="S2454" s="11">
        <v>192</v>
      </c>
      <c r="T2454" s="11" t="s">
        <v>39</v>
      </c>
      <c r="U2454" s="11" t="s">
        <v>58</v>
      </c>
      <c r="V2454" s="11" t="s">
        <v>586</v>
      </c>
      <c r="W2454" s="11">
        <v>18000000</v>
      </c>
      <c r="X2454" s="11">
        <v>2008</v>
      </c>
      <c r="Y2454" s="11">
        <v>18000</v>
      </c>
      <c r="Z2454" s="11">
        <v>7.3</v>
      </c>
      <c r="AA2454" s="11">
        <v>2.35</v>
      </c>
      <c r="AB2454" s="11">
        <v>12000</v>
      </c>
      <c r="AC2454" s="11"/>
      <c r="AD2454" s="11" t="str">
        <f>IFERROR(__xludf.DUMMYFUNCTION("""COMPUTED_VALUE"""),"Jason Ritter")</f>
        <v>Jason Ritter</v>
      </c>
      <c r="AE2454" s="11"/>
    </row>
    <row r="2455" customHeight="1" spans="1:31">
      <c r="A2455" s="12" t="s">
        <v>30</v>
      </c>
      <c r="B2455" s="12" t="s">
        <v>11985</v>
      </c>
      <c r="C2455" s="12">
        <v>40</v>
      </c>
      <c r="D2455" s="12">
        <v>99</v>
      </c>
      <c r="E2455" s="12">
        <v>379</v>
      </c>
      <c r="F2455" s="12">
        <v>251</v>
      </c>
      <c r="G2455" s="12">
        <v>456</v>
      </c>
      <c r="H2455" s="12">
        <v>5333658</v>
      </c>
      <c r="I2455" s="12" t="s">
        <v>648</v>
      </c>
      <c r="J2455" s="12" t="s">
        <v>11828</v>
      </c>
      <c r="K2455" s="12" t="s">
        <v>11986</v>
      </c>
      <c r="L2455" s="12" t="s">
        <v>11987</v>
      </c>
      <c r="M2455" s="12" t="s">
        <v>11988</v>
      </c>
      <c r="N2455" s="12">
        <v>2541</v>
      </c>
      <c r="O2455" s="12">
        <v>1356</v>
      </c>
      <c r="P2455" s="12">
        <v>2</v>
      </c>
      <c r="Q2455" s="12" t="s">
        <v>11989</v>
      </c>
      <c r="R2455" s="15" t="s">
        <v>11990</v>
      </c>
      <c r="S2455" s="12">
        <v>54</v>
      </c>
      <c r="T2455" s="12" t="s">
        <v>39</v>
      </c>
      <c r="U2455" s="12" t="s">
        <v>40</v>
      </c>
      <c r="V2455" s="12" t="s">
        <v>96</v>
      </c>
      <c r="W2455" s="12">
        <v>20000000</v>
      </c>
      <c r="X2455" s="12">
        <v>1982</v>
      </c>
      <c r="Y2455" s="12">
        <v>278</v>
      </c>
      <c r="Z2455" s="12">
        <v>3.5</v>
      </c>
      <c r="AA2455" s="12">
        <v>1.85</v>
      </c>
      <c r="AB2455" s="12">
        <v>0</v>
      </c>
      <c r="AC2455" s="12"/>
      <c r="AD2455" s="12" t="str">
        <f>IFERROR(__xludf.DUMMYFUNCTION("""COMPUTED_VALUE"""),"Ava Acres")</f>
        <v>Ava Acres</v>
      </c>
      <c r="AE2455" s="12"/>
    </row>
    <row r="2456" customHeight="1" spans="1:31">
      <c r="A2456" s="11" t="s">
        <v>30</v>
      </c>
      <c r="B2456" s="11" t="s">
        <v>858</v>
      </c>
      <c r="C2456" s="11">
        <v>85</v>
      </c>
      <c r="D2456" s="11">
        <v>150</v>
      </c>
      <c r="E2456" s="11">
        <v>0</v>
      </c>
      <c r="F2456" s="11">
        <v>401</v>
      </c>
      <c r="G2456" s="11">
        <v>597</v>
      </c>
      <c r="H2456" s="11">
        <v>4414535</v>
      </c>
      <c r="I2456" s="11" t="s">
        <v>3410</v>
      </c>
      <c r="J2456" s="11" t="s">
        <v>11991</v>
      </c>
      <c r="K2456" s="11" t="s">
        <v>764</v>
      </c>
      <c r="L2456" s="11" t="s">
        <v>9677</v>
      </c>
      <c r="M2456" s="11" t="s">
        <v>11992</v>
      </c>
      <c r="N2456" s="11">
        <v>30618</v>
      </c>
      <c r="O2456" s="11">
        <v>1645</v>
      </c>
      <c r="P2456" s="11">
        <v>0</v>
      </c>
      <c r="Q2456" s="11" t="s">
        <v>11993</v>
      </c>
      <c r="R2456" s="14" t="s">
        <v>11994</v>
      </c>
      <c r="S2456" s="11">
        <v>224</v>
      </c>
      <c r="T2456" s="11" t="s">
        <v>39</v>
      </c>
      <c r="U2456" s="11" t="s">
        <v>58</v>
      </c>
      <c r="V2456" s="11" t="s">
        <v>41</v>
      </c>
      <c r="W2456" s="11">
        <v>18000000</v>
      </c>
      <c r="X2456" s="11">
        <v>1996</v>
      </c>
      <c r="Y2456" s="11">
        <v>591</v>
      </c>
      <c r="Z2456" s="11">
        <v>7.8</v>
      </c>
      <c r="AA2456" s="11">
        <v>2.2</v>
      </c>
      <c r="AB2456" s="11">
        <v>0</v>
      </c>
      <c r="AC2456" s="11"/>
      <c r="AD2456" s="11" t="str">
        <f>IFERROR(__xludf.DUMMYFUNCTION("""COMPUTED_VALUE"""),"Sara Stewart")</f>
        <v>Sara Stewart</v>
      </c>
      <c r="AE2456" s="11"/>
    </row>
    <row r="2457" customHeight="1" spans="1:31">
      <c r="A2457" s="12" t="s">
        <v>30</v>
      </c>
      <c r="B2457" s="12" t="s">
        <v>6249</v>
      </c>
      <c r="C2457" s="12">
        <v>83</v>
      </c>
      <c r="D2457" s="12">
        <v>117</v>
      </c>
      <c r="E2457" s="12">
        <v>78</v>
      </c>
      <c r="F2457" s="12">
        <v>238</v>
      </c>
      <c r="G2457" s="12">
        <v>989</v>
      </c>
      <c r="H2457" s="12">
        <v>4806750</v>
      </c>
      <c r="I2457" s="12" t="s">
        <v>8771</v>
      </c>
      <c r="J2457" s="12" t="s">
        <v>354</v>
      </c>
      <c r="K2457" s="12" t="s">
        <v>11995</v>
      </c>
      <c r="L2457" s="12" t="s">
        <v>11996</v>
      </c>
      <c r="M2457" s="12" t="s">
        <v>11997</v>
      </c>
      <c r="N2457" s="12">
        <v>6091</v>
      </c>
      <c r="O2457" s="12">
        <v>1598</v>
      </c>
      <c r="P2457" s="12">
        <v>0</v>
      </c>
      <c r="Q2457" s="12" t="s">
        <v>11998</v>
      </c>
      <c r="R2457" s="15" t="s">
        <v>11999</v>
      </c>
      <c r="S2457" s="12">
        <v>53</v>
      </c>
      <c r="T2457" s="12" t="s">
        <v>39</v>
      </c>
      <c r="U2457" s="12" t="s">
        <v>371</v>
      </c>
      <c r="V2457" s="12" t="s">
        <v>96</v>
      </c>
      <c r="W2457" s="16"/>
      <c r="X2457" s="12">
        <v>2009</v>
      </c>
      <c r="Y2457" s="12">
        <v>258</v>
      </c>
      <c r="Z2457" s="12">
        <v>7.4</v>
      </c>
      <c r="AA2457" s="12">
        <v>1.85</v>
      </c>
      <c r="AB2457" s="12">
        <v>0</v>
      </c>
      <c r="AC2457" s="12"/>
      <c r="AD2457" s="12" t="str">
        <f>IFERROR(__xludf.DUMMYFUNCTION("""COMPUTED_VALUE"""),"Ben Feldman")</f>
        <v>Ben Feldman</v>
      </c>
      <c r="AE2457" s="12"/>
    </row>
    <row r="2458" customHeight="1" spans="1:31">
      <c r="A2458" s="11" t="s">
        <v>30</v>
      </c>
      <c r="B2458" s="11" t="s">
        <v>12000</v>
      </c>
      <c r="C2458" s="11">
        <v>263</v>
      </c>
      <c r="D2458" s="11">
        <v>112</v>
      </c>
      <c r="E2458" s="11">
        <v>337</v>
      </c>
      <c r="F2458" s="11">
        <v>201</v>
      </c>
      <c r="G2458" s="11">
        <v>4000</v>
      </c>
      <c r="H2458" s="11">
        <v>3707794</v>
      </c>
      <c r="I2458" s="11" t="s">
        <v>1483</v>
      </c>
      <c r="J2458" s="11" t="s">
        <v>84</v>
      </c>
      <c r="K2458" s="11" t="s">
        <v>1046</v>
      </c>
      <c r="L2458" s="11" t="s">
        <v>12001</v>
      </c>
      <c r="M2458" s="11" t="s">
        <v>12002</v>
      </c>
      <c r="N2458" s="11">
        <v>31359</v>
      </c>
      <c r="O2458" s="11">
        <v>5671</v>
      </c>
      <c r="P2458" s="11">
        <v>0</v>
      </c>
      <c r="Q2458" s="11" t="s">
        <v>12003</v>
      </c>
      <c r="R2458" s="14" t="s">
        <v>12004</v>
      </c>
      <c r="S2458" s="11">
        <v>156</v>
      </c>
      <c r="T2458" s="11" t="s">
        <v>39</v>
      </c>
      <c r="U2458" s="11" t="s">
        <v>12005</v>
      </c>
      <c r="V2458" s="11" t="s">
        <v>41</v>
      </c>
      <c r="W2458" s="11">
        <v>18000000</v>
      </c>
      <c r="X2458" s="11">
        <v>2016</v>
      </c>
      <c r="Y2458" s="11">
        <v>820</v>
      </c>
      <c r="Z2458" s="11">
        <v>6.7</v>
      </c>
      <c r="AA2458" s="11">
        <v>2.35</v>
      </c>
      <c r="AB2458" s="11">
        <v>0</v>
      </c>
      <c r="AC2458" s="11"/>
      <c r="AD2458" s="11" t="str">
        <f>IFERROR(__xludf.DUMMYFUNCTION("""COMPUTED_VALUE"""),"Liza Lapira")</f>
        <v>Liza Lapira</v>
      </c>
      <c r="AE2458" s="11"/>
    </row>
    <row r="2459" customHeight="1" spans="1:31">
      <c r="A2459" s="12" t="s">
        <v>30</v>
      </c>
      <c r="B2459" s="12" t="s">
        <v>4004</v>
      </c>
      <c r="C2459" s="12">
        <v>128</v>
      </c>
      <c r="D2459" s="12">
        <v>108</v>
      </c>
      <c r="E2459" s="12">
        <v>11000</v>
      </c>
      <c r="F2459" s="12">
        <v>922</v>
      </c>
      <c r="G2459" s="12">
        <v>11000</v>
      </c>
      <c r="H2459" s="12">
        <v>3203044</v>
      </c>
      <c r="I2459" s="12" t="s">
        <v>1681</v>
      </c>
      <c r="J2459" s="12" t="s">
        <v>4004</v>
      </c>
      <c r="K2459" s="12" t="s">
        <v>4136</v>
      </c>
      <c r="L2459" s="12" t="s">
        <v>6158</v>
      </c>
      <c r="M2459" s="12" t="s">
        <v>12006</v>
      </c>
      <c r="N2459" s="12">
        <v>25165</v>
      </c>
      <c r="O2459" s="12">
        <v>14843</v>
      </c>
      <c r="P2459" s="12">
        <v>2</v>
      </c>
      <c r="Q2459" s="12" t="s">
        <v>12007</v>
      </c>
      <c r="R2459" s="15" t="s">
        <v>12008</v>
      </c>
      <c r="S2459" s="12">
        <v>155</v>
      </c>
      <c r="T2459" s="12" t="s">
        <v>39</v>
      </c>
      <c r="U2459" s="12" t="s">
        <v>40</v>
      </c>
      <c r="V2459" s="12" t="s">
        <v>586</v>
      </c>
      <c r="W2459" s="12">
        <v>18000000</v>
      </c>
      <c r="X2459" s="12">
        <v>2003</v>
      </c>
      <c r="Y2459" s="12">
        <v>944</v>
      </c>
      <c r="Z2459" s="12">
        <v>6.4</v>
      </c>
      <c r="AA2459" s="12">
        <v>2.35</v>
      </c>
      <c r="AB2459" s="12">
        <v>827</v>
      </c>
      <c r="AC2459" s="12"/>
      <c r="AD2459" s="12" t="str">
        <f>IFERROR(__xludf.DUMMYFUNCTION("""COMPUTED_VALUE"""),"Kevin Nash")</f>
        <v>Kevin Nash</v>
      </c>
      <c r="AE2459" s="12"/>
    </row>
    <row r="2460" customHeight="1" spans="1:31">
      <c r="A2460" s="11" t="s">
        <v>30</v>
      </c>
      <c r="B2460" s="11" t="s">
        <v>12009</v>
      </c>
      <c r="C2460" s="11">
        <v>186</v>
      </c>
      <c r="D2460" s="11">
        <v>116</v>
      </c>
      <c r="E2460" s="11">
        <v>6</v>
      </c>
      <c r="F2460" s="11">
        <v>212</v>
      </c>
      <c r="G2460" s="11">
        <v>25000</v>
      </c>
      <c r="H2460" s="11">
        <v>4435083</v>
      </c>
      <c r="I2460" s="11" t="s">
        <v>12010</v>
      </c>
      <c r="J2460" s="11" t="s">
        <v>3398</v>
      </c>
      <c r="K2460" s="11" t="s">
        <v>439</v>
      </c>
      <c r="L2460" s="11" t="s">
        <v>12011</v>
      </c>
      <c r="M2460" s="11" t="s">
        <v>12012</v>
      </c>
      <c r="N2460" s="11">
        <v>27882</v>
      </c>
      <c r="O2460" s="11">
        <v>39463</v>
      </c>
      <c r="P2460" s="11">
        <v>2</v>
      </c>
      <c r="Q2460" s="11" t="s">
        <v>12013</v>
      </c>
      <c r="R2460" s="14" t="s">
        <v>12014</v>
      </c>
      <c r="S2460" s="11">
        <v>119</v>
      </c>
      <c r="T2460" s="11" t="s">
        <v>39</v>
      </c>
      <c r="U2460" s="11" t="s">
        <v>371</v>
      </c>
      <c r="V2460" s="11" t="s">
        <v>586</v>
      </c>
      <c r="W2460" s="11">
        <v>18000000</v>
      </c>
      <c r="X2460" s="11">
        <v>2013</v>
      </c>
      <c r="Y2460" s="11">
        <v>14000</v>
      </c>
      <c r="Z2460" s="11">
        <v>7.1</v>
      </c>
      <c r="AA2460" s="11">
        <v>2.35</v>
      </c>
      <c r="AB2460" s="11">
        <v>18000</v>
      </c>
      <c r="AC2460" s="11"/>
      <c r="AD2460" s="11" t="str">
        <f>IFERROR(__xludf.DUMMYFUNCTION("""COMPUTED_VALUE"""),"Paige Turco")</f>
        <v>Paige Turco</v>
      </c>
      <c r="AE2460" s="11"/>
    </row>
    <row r="2461" customHeight="1" spans="1:31">
      <c r="A2461" s="16"/>
      <c r="B2461" s="16"/>
      <c r="C2461" s="12">
        <v>14</v>
      </c>
      <c r="D2461" s="12">
        <v>60</v>
      </c>
      <c r="E2461" s="16"/>
      <c r="F2461" s="12">
        <v>405</v>
      </c>
      <c r="G2461" s="12">
        <v>654</v>
      </c>
      <c r="H2461" s="16"/>
      <c r="I2461" s="12" t="s">
        <v>8061</v>
      </c>
      <c r="J2461" s="12" t="s">
        <v>12015</v>
      </c>
      <c r="K2461" s="12" t="s">
        <v>5089</v>
      </c>
      <c r="L2461" s="12" t="s">
        <v>8772</v>
      </c>
      <c r="M2461" s="12" t="s">
        <v>12016</v>
      </c>
      <c r="N2461" s="12">
        <v>12854</v>
      </c>
      <c r="O2461" s="12">
        <v>1906</v>
      </c>
      <c r="P2461" s="12">
        <v>1</v>
      </c>
      <c r="Q2461" s="12" t="s">
        <v>12017</v>
      </c>
      <c r="R2461" s="15" t="s">
        <v>12018</v>
      </c>
      <c r="S2461" s="12">
        <v>44</v>
      </c>
      <c r="T2461" s="16"/>
      <c r="U2461" s="12" t="s">
        <v>40</v>
      </c>
      <c r="V2461" s="16"/>
      <c r="W2461" s="16"/>
      <c r="X2461" s="16"/>
      <c r="Y2461" s="12">
        <v>426</v>
      </c>
      <c r="Z2461" s="12">
        <v>6.7</v>
      </c>
      <c r="AA2461" s="16"/>
      <c r="AB2461" s="12">
        <v>0</v>
      </c>
      <c r="AC2461" s="12"/>
      <c r="AD2461" s="12" t="str">
        <f>IFERROR(__xludf.DUMMYFUNCTION("""COMPUTED_VALUE"""),"Ernie Reyes Jr.")</f>
        <v>Ernie Reyes Jr.</v>
      </c>
      <c r="AE2461" s="12"/>
    </row>
    <row r="2462" customHeight="1" spans="1:31">
      <c r="A2462" s="11" t="s">
        <v>748</v>
      </c>
      <c r="B2462" s="11" t="s">
        <v>12019</v>
      </c>
      <c r="C2462" s="11">
        <v>292</v>
      </c>
      <c r="D2462" s="11">
        <v>144</v>
      </c>
      <c r="E2462" s="11">
        <v>0</v>
      </c>
      <c r="F2462" s="11">
        <v>16</v>
      </c>
      <c r="G2462" s="11">
        <v>63</v>
      </c>
      <c r="H2462" s="11">
        <v>2222647</v>
      </c>
      <c r="I2462" s="11" t="s">
        <v>8061</v>
      </c>
      <c r="J2462" s="11" t="s">
        <v>12020</v>
      </c>
      <c r="K2462" s="11" t="s">
        <v>12021</v>
      </c>
      <c r="L2462" s="11" t="s">
        <v>12022</v>
      </c>
      <c r="M2462" s="11" t="s">
        <v>12023</v>
      </c>
      <c r="N2462" s="11">
        <v>52958</v>
      </c>
      <c r="O2462" s="11">
        <v>167</v>
      </c>
      <c r="P2462" s="11">
        <v>0</v>
      </c>
      <c r="Q2462" s="11" t="s">
        <v>12024</v>
      </c>
      <c r="R2462" s="14" t="s">
        <v>12025</v>
      </c>
      <c r="S2462" s="11">
        <v>193</v>
      </c>
      <c r="T2462" s="11" t="s">
        <v>8732</v>
      </c>
      <c r="U2462" s="11" t="s">
        <v>768</v>
      </c>
      <c r="V2462" s="11" t="s">
        <v>586</v>
      </c>
      <c r="W2462" s="11">
        <v>12000000</v>
      </c>
      <c r="X2462" s="11">
        <v>2009</v>
      </c>
      <c r="Y2462" s="11">
        <v>43</v>
      </c>
      <c r="Z2462" s="11">
        <v>7.8</v>
      </c>
      <c r="AA2462" s="11">
        <v>1.85</v>
      </c>
      <c r="AB2462" s="11">
        <v>0</v>
      </c>
      <c r="AC2462" s="11"/>
      <c r="AD2462" s="11" t="str">
        <f>IFERROR(__xludf.DUMMYFUNCTION("""COMPUTED_VALUE"""),"Billy Drago")</f>
        <v>Billy Drago</v>
      </c>
      <c r="AE2462" s="11"/>
    </row>
    <row r="2463" customHeight="1" spans="1:31">
      <c r="A2463" s="12" t="s">
        <v>30</v>
      </c>
      <c r="B2463" s="12" t="s">
        <v>756</v>
      </c>
      <c r="C2463" s="12">
        <v>15</v>
      </c>
      <c r="D2463" s="12">
        <v>92</v>
      </c>
      <c r="E2463" s="12">
        <v>662</v>
      </c>
      <c r="F2463" s="12">
        <v>161</v>
      </c>
      <c r="G2463" s="12">
        <v>662</v>
      </c>
      <c r="H2463" s="16"/>
      <c r="I2463" s="12" t="s">
        <v>6403</v>
      </c>
      <c r="J2463" s="12" t="s">
        <v>756</v>
      </c>
      <c r="K2463" s="12" t="s">
        <v>12026</v>
      </c>
      <c r="L2463" s="12" t="s">
        <v>12027</v>
      </c>
      <c r="M2463" s="12" t="s">
        <v>12028</v>
      </c>
      <c r="N2463" s="12">
        <v>436</v>
      </c>
      <c r="O2463" s="12">
        <v>1498</v>
      </c>
      <c r="P2463" s="12">
        <v>0</v>
      </c>
      <c r="Q2463" s="16"/>
      <c r="R2463" s="15" t="s">
        <v>12029</v>
      </c>
      <c r="S2463" s="12">
        <v>6</v>
      </c>
      <c r="T2463" s="12" t="s">
        <v>39</v>
      </c>
      <c r="U2463" s="12" t="s">
        <v>40</v>
      </c>
      <c r="V2463" s="16"/>
      <c r="W2463" s="16"/>
      <c r="X2463" s="12">
        <v>2016</v>
      </c>
      <c r="Y2463" s="12">
        <v>290</v>
      </c>
      <c r="Z2463" s="12">
        <v>4</v>
      </c>
      <c r="AA2463" s="16"/>
      <c r="AB2463" s="12">
        <v>378</v>
      </c>
      <c r="AC2463" s="12"/>
      <c r="AD2463" s="12" t="str">
        <f>IFERROR(__xludf.DUMMYFUNCTION("""COMPUTED_VALUE"""),"Charles Martin Smith")</f>
        <v>Charles Martin Smith</v>
      </c>
      <c r="AE2463" s="12"/>
    </row>
    <row r="2464" customHeight="1" spans="1:31">
      <c r="A2464" s="11" t="s">
        <v>30</v>
      </c>
      <c r="B2464" s="11" t="s">
        <v>12030</v>
      </c>
      <c r="C2464" s="11">
        <v>70</v>
      </c>
      <c r="D2464" s="11">
        <v>93</v>
      </c>
      <c r="E2464" s="11">
        <v>28</v>
      </c>
      <c r="F2464" s="11">
        <v>415</v>
      </c>
      <c r="G2464" s="11">
        <v>1000</v>
      </c>
      <c r="H2464" s="11">
        <v>3500000</v>
      </c>
      <c r="I2464" s="11" t="s">
        <v>12031</v>
      </c>
      <c r="J2464" s="11" t="s">
        <v>1332</v>
      </c>
      <c r="K2464" s="11" t="s">
        <v>1905</v>
      </c>
      <c r="L2464" s="11" t="s">
        <v>6397</v>
      </c>
      <c r="M2464" s="11" t="s">
        <v>12032</v>
      </c>
      <c r="N2464" s="11">
        <v>10082</v>
      </c>
      <c r="O2464" s="11">
        <v>2319</v>
      </c>
      <c r="P2464" s="11">
        <v>2</v>
      </c>
      <c r="Q2464" s="11" t="s">
        <v>12033</v>
      </c>
      <c r="R2464" s="14" t="s">
        <v>12034</v>
      </c>
      <c r="S2464" s="11">
        <v>100</v>
      </c>
      <c r="T2464" s="11" t="s">
        <v>39</v>
      </c>
      <c r="U2464" s="11" t="s">
        <v>40</v>
      </c>
      <c r="V2464" s="11" t="s">
        <v>586</v>
      </c>
      <c r="W2464" s="11">
        <v>2700000</v>
      </c>
      <c r="X2464" s="11">
        <v>1986</v>
      </c>
      <c r="Y2464" s="11">
        <v>695</v>
      </c>
      <c r="Z2464" s="11">
        <v>5.9</v>
      </c>
      <c r="AA2464" s="11">
        <v>1.85</v>
      </c>
      <c r="AB2464" s="11">
        <v>0</v>
      </c>
      <c r="AC2464" s="11"/>
      <c r="AD2464" s="11" t="str">
        <f>IFERROR(__xludf.DUMMYFUNCTION("""COMPUTED_VALUE"""),"Bryan Callen")</f>
        <v>Bryan Callen</v>
      </c>
      <c r="AE2464" s="11"/>
    </row>
    <row r="2465" customHeight="1" spans="1:31">
      <c r="A2465" s="12" t="s">
        <v>30</v>
      </c>
      <c r="B2465" s="12" t="s">
        <v>2642</v>
      </c>
      <c r="C2465" s="12">
        <v>79</v>
      </c>
      <c r="D2465" s="12">
        <v>103</v>
      </c>
      <c r="E2465" s="12">
        <v>154</v>
      </c>
      <c r="F2465" s="12">
        <v>576</v>
      </c>
      <c r="G2465" s="12">
        <v>1000</v>
      </c>
      <c r="H2465" s="12">
        <v>676698</v>
      </c>
      <c r="I2465" s="12" t="s">
        <v>2142</v>
      </c>
      <c r="J2465" s="12" t="s">
        <v>2866</v>
      </c>
      <c r="K2465" s="12" t="s">
        <v>3789</v>
      </c>
      <c r="L2465" s="12" t="s">
        <v>1855</v>
      </c>
      <c r="M2465" s="12" t="s">
        <v>12035</v>
      </c>
      <c r="N2465" s="12">
        <v>26730</v>
      </c>
      <c r="O2465" s="12">
        <v>4094</v>
      </c>
      <c r="P2465" s="12">
        <v>0</v>
      </c>
      <c r="Q2465" s="12" t="s">
        <v>12036</v>
      </c>
      <c r="R2465" s="15" t="s">
        <v>12037</v>
      </c>
      <c r="S2465" s="12">
        <v>180</v>
      </c>
      <c r="T2465" s="12" t="s">
        <v>39</v>
      </c>
      <c r="U2465" s="12" t="s">
        <v>40</v>
      </c>
      <c r="V2465" s="12" t="s">
        <v>586</v>
      </c>
      <c r="W2465" s="12">
        <v>18000000</v>
      </c>
      <c r="X2465" s="12">
        <v>2002</v>
      </c>
      <c r="Y2465" s="12">
        <v>783</v>
      </c>
      <c r="Z2465" s="12">
        <v>7.2</v>
      </c>
      <c r="AA2465" s="12">
        <v>1.85</v>
      </c>
      <c r="AB2465" s="12">
        <v>2000</v>
      </c>
      <c r="AC2465" s="12"/>
      <c r="AD2465" s="12" t="str">
        <f>IFERROR(__xludf.DUMMYFUNCTION("""COMPUTED_VALUE"""),"Leslie Caron")</f>
        <v>Leslie Caron</v>
      </c>
      <c r="AE2465" s="12"/>
    </row>
    <row r="2466" customHeight="1" spans="1:31">
      <c r="A2466" s="11" t="s">
        <v>30</v>
      </c>
      <c r="B2466" s="11" t="s">
        <v>6473</v>
      </c>
      <c r="C2466" s="11">
        <v>103</v>
      </c>
      <c r="D2466" s="11">
        <v>93</v>
      </c>
      <c r="E2466" s="11">
        <v>190</v>
      </c>
      <c r="F2466" s="11">
        <v>151</v>
      </c>
      <c r="G2466" s="11">
        <v>364</v>
      </c>
      <c r="H2466" s="11">
        <v>3419967</v>
      </c>
      <c r="I2466" s="11" t="s">
        <v>12038</v>
      </c>
      <c r="J2466" s="11" t="s">
        <v>12039</v>
      </c>
      <c r="K2466" s="11" t="s">
        <v>12040</v>
      </c>
      <c r="L2466" s="11" t="s">
        <v>12041</v>
      </c>
      <c r="M2466" s="11" t="s">
        <v>12042</v>
      </c>
      <c r="N2466" s="11">
        <v>13359</v>
      </c>
      <c r="O2466" s="11">
        <v>1083</v>
      </c>
      <c r="P2466" s="11">
        <v>0</v>
      </c>
      <c r="Q2466" s="11" t="s">
        <v>12043</v>
      </c>
      <c r="R2466" s="14" t="s">
        <v>12044</v>
      </c>
      <c r="S2466" s="11">
        <v>56</v>
      </c>
      <c r="T2466" s="11" t="s">
        <v>39</v>
      </c>
      <c r="U2466" s="11" t="s">
        <v>40</v>
      </c>
      <c r="V2466" s="11" t="s">
        <v>586</v>
      </c>
      <c r="W2466" s="13"/>
      <c r="X2466" s="11">
        <v>2013</v>
      </c>
      <c r="Y2466" s="11">
        <v>253</v>
      </c>
      <c r="Z2466" s="11">
        <v>7.2</v>
      </c>
      <c r="AA2466" s="11">
        <v>2.35</v>
      </c>
      <c r="AB2466" s="11">
        <v>19000</v>
      </c>
      <c r="AC2466" s="11"/>
      <c r="AD2466" s="11" t="str">
        <f>IFERROR(__xludf.DUMMYFUNCTION("""COMPUTED_VALUE"""),"Hugh O'Conor")</f>
        <v>Hugh O'Conor</v>
      </c>
      <c r="AE2466" s="11"/>
    </row>
    <row r="2467" customHeight="1" spans="1:31">
      <c r="A2467" s="12" t="s">
        <v>30</v>
      </c>
      <c r="B2467" s="12" t="s">
        <v>12045</v>
      </c>
      <c r="C2467" s="12">
        <v>97</v>
      </c>
      <c r="D2467" s="12">
        <v>98</v>
      </c>
      <c r="E2467" s="12">
        <v>34</v>
      </c>
      <c r="F2467" s="12">
        <v>394</v>
      </c>
      <c r="G2467" s="12">
        <v>663</v>
      </c>
      <c r="H2467" s="16"/>
      <c r="I2467" s="12" t="s">
        <v>2126</v>
      </c>
      <c r="J2467" s="12" t="s">
        <v>7603</v>
      </c>
      <c r="K2467" s="12" t="s">
        <v>5728</v>
      </c>
      <c r="L2467" s="12" t="s">
        <v>3173</v>
      </c>
      <c r="M2467" s="12" t="s">
        <v>12046</v>
      </c>
      <c r="N2467" s="12">
        <v>14324</v>
      </c>
      <c r="O2467" s="12">
        <v>2215</v>
      </c>
      <c r="P2467" s="12">
        <v>1</v>
      </c>
      <c r="Q2467" s="12" t="s">
        <v>12047</v>
      </c>
      <c r="R2467" s="15" t="s">
        <v>12048</v>
      </c>
      <c r="S2467" s="12">
        <v>93</v>
      </c>
      <c r="T2467" s="12" t="s">
        <v>39</v>
      </c>
      <c r="U2467" s="12" t="s">
        <v>768</v>
      </c>
      <c r="V2467" s="12" t="s">
        <v>586</v>
      </c>
      <c r="W2467" s="12">
        <v>18000000</v>
      </c>
      <c r="X2467" s="12">
        <v>2008</v>
      </c>
      <c r="Y2467" s="12">
        <v>551</v>
      </c>
      <c r="Z2467" s="12">
        <v>5.1</v>
      </c>
      <c r="AA2467" s="12">
        <v>2.35</v>
      </c>
      <c r="AB2467" s="12">
        <v>1000</v>
      </c>
      <c r="AC2467" s="12"/>
      <c r="AD2467" s="12" t="str">
        <f>IFERROR(__xludf.DUMMYFUNCTION("""COMPUTED_VALUE"""),"Bob Newhart")</f>
        <v>Bob Newhart</v>
      </c>
      <c r="AE2467" s="12"/>
    </row>
    <row r="2468" customHeight="1" spans="1:31">
      <c r="A2468" s="11" t="s">
        <v>30</v>
      </c>
      <c r="B2468" s="13"/>
      <c r="C2468" s="11">
        <v>108</v>
      </c>
      <c r="D2468" s="11">
        <v>334</v>
      </c>
      <c r="E2468" s="13"/>
      <c r="F2468" s="11">
        <v>30</v>
      </c>
      <c r="G2468" s="11">
        <v>897</v>
      </c>
      <c r="H2468" s="11">
        <v>145118</v>
      </c>
      <c r="I2468" s="11" t="s">
        <v>5685</v>
      </c>
      <c r="J2468" s="11" t="s">
        <v>878</v>
      </c>
      <c r="K2468" s="11" t="s">
        <v>12049</v>
      </c>
      <c r="L2468" s="11" t="s">
        <v>12050</v>
      </c>
      <c r="M2468" s="11" t="s">
        <v>12051</v>
      </c>
      <c r="N2468" s="11">
        <v>10111</v>
      </c>
      <c r="O2468" s="11">
        <v>1032</v>
      </c>
      <c r="P2468" s="11">
        <v>0</v>
      </c>
      <c r="Q2468" s="11" t="s">
        <v>12052</v>
      </c>
      <c r="R2468" s="14" t="s">
        <v>12053</v>
      </c>
      <c r="S2468" s="11">
        <v>36</v>
      </c>
      <c r="T2468" s="11" t="s">
        <v>39</v>
      </c>
      <c r="U2468" s="11" t="s">
        <v>1466</v>
      </c>
      <c r="V2468" s="11" t="s">
        <v>4831</v>
      </c>
      <c r="W2468" s="13"/>
      <c r="X2468" s="13"/>
      <c r="Y2468" s="11">
        <v>30</v>
      </c>
      <c r="Z2468" s="11">
        <v>7.7</v>
      </c>
      <c r="AA2468" s="11">
        <v>2.35</v>
      </c>
      <c r="AB2468" s="11">
        <v>0</v>
      </c>
      <c r="AC2468" s="11"/>
      <c r="AD2468" s="11" t="str">
        <f>IFERROR(__xludf.DUMMYFUNCTION("""COMPUTED_VALUE"""),"Gedde Watanabe")</f>
        <v>Gedde Watanabe</v>
      </c>
      <c r="AE2468" s="11"/>
    </row>
    <row r="2469" customHeight="1" spans="1:31">
      <c r="A2469" s="12" t="s">
        <v>30</v>
      </c>
      <c r="B2469" s="12" t="s">
        <v>12054</v>
      </c>
      <c r="C2469" s="12">
        <v>59</v>
      </c>
      <c r="D2469" s="12">
        <v>114</v>
      </c>
      <c r="E2469" s="12">
        <v>157</v>
      </c>
      <c r="F2469" s="12">
        <v>32</v>
      </c>
      <c r="G2469" s="12">
        <v>84</v>
      </c>
      <c r="H2469" s="16"/>
      <c r="I2469" s="12" t="s">
        <v>10413</v>
      </c>
      <c r="J2469" s="12" t="s">
        <v>12055</v>
      </c>
      <c r="K2469" s="12" t="s">
        <v>12056</v>
      </c>
      <c r="L2469" s="12" t="s">
        <v>12057</v>
      </c>
      <c r="M2469" s="12" t="s">
        <v>12058</v>
      </c>
      <c r="N2469" s="12">
        <v>2541</v>
      </c>
      <c r="O2469" s="12">
        <v>198</v>
      </c>
      <c r="P2469" s="12">
        <v>0</v>
      </c>
      <c r="Q2469" s="12" t="s">
        <v>12059</v>
      </c>
      <c r="R2469" s="15" t="s">
        <v>12060</v>
      </c>
      <c r="S2469" s="12">
        <v>20</v>
      </c>
      <c r="T2469" s="12" t="s">
        <v>39</v>
      </c>
      <c r="U2469" s="12" t="s">
        <v>1466</v>
      </c>
      <c r="V2469" s="12" t="s">
        <v>4831</v>
      </c>
      <c r="W2469" s="12">
        <v>18000000</v>
      </c>
      <c r="X2469" s="12">
        <v>2009</v>
      </c>
      <c r="Y2469" s="12">
        <v>35</v>
      </c>
      <c r="Z2469" s="12">
        <v>5.5</v>
      </c>
      <c r="AA2469" s="12">
        <v>2.35</v>
      </c>
      <c r="AB2469" s="12">
        <v>342</v>
      </c>
      <c r="AC2469" s="12"/>
      <c r="AD2469" s="12" t="str">
        <f>IFERROR(__xludf.DUMMYFUNCTION("""COMPUTED_VALUE"""),"Greta Gerwig")</f>
        <v>Greta Gerwig</v>
      </c>
      <c r="AE2469" s="12"/>
    </row>
    <row r="2470" customHeight="1" spans="1:31">
      <c r="A2470" s="11" t="s">
        <v>30</v>
      </c>
      <c r="B2470" s="11" t="s">
        <v>12061</v>
      </c>
      <c r="C2470" s="11">
        <v>10</v>
      </c>
      <c r="D2470" s="11">
        <v>121</v>
      </c>
      <c r="E2470" s="11">
        <v>0</v>
      </c>
      <c r="F2470" s="11">
        <v>353</v>
      </c>
      <c r="G2470" s="11">
        <v>854</v>
      </c>
      <c r="H2470" s="11">
        <v>229311</v>
      </c>
      <c r="I2470" s="11" t="s">
        <v>12062</v>
      </c>
      <c r="J2470" s="11" t="s">
        <v>4834</v>
      </c>
      <c r="K2470" s="11" t="s">
        <v>6413</v>
      </c>
      <c r="L2470" s="11" t="s">
        <v>12063</v>
      </c>
      <c r="M2470" s="11" t="s">
        <v>12064</v>
      </c>
      <c r="N2470" s="11">
        <v>899</v>
      </c>
      <c r="O2470" s="11">
        <v>2705</v>
      </c>
      <c r="P2470" s="11">
        <v>2</v>
      </c>
      <c r="Q2470" s="11" t="s">
        <v>12065</v>
      </c>
      <c r="R2470" s="14" t="s">
        <v>12066</v>
      </c>
      <c r="S2470" s="11">
        <v>42</v>
      </c>
      <c r="T2470" s="11" t="s">
        <v>39</v>
      </c>
      <c r="U2470" s="11" t="s">
        <v>3572</v>
      </c>
      <c r="V2470" s="11" t="s">
        <v>586</v>
      </c>
      <c r="W2470" s="11">
        <v>11350000</v>
      </c>
      <c r="X2470" s="11">
        <v>1999</v>
      </c>
      <c r="Y2470" s="11">
        <v>578</v>
      </c>
      <c r="Z2470" s="11">
        <v>6.2</v>
      </c>
      <c r="AA2470" s="11">
        <v>2.35</v>
      </c>
      <c r="AB2470" s="11">
        <v>271</v>
      </c>
      <c r="AC2470" s="11"/>
      <c r="AD2470" s="11" t="str">
        <f>IFERROR(__xludf.DUMMYFUNCTION("""COMPUTED_VALUE"""),"Dana Delany")</f>
        <v>Dana Delany</v>
      </c>
      <c r="AE2470" s="11"/>
    </row>
    <row r="2471" customHeight="1" spans="1:31">
      <c r="A2471" s="12" t="s">
        <v>30</v>
      </c>
      <c r="B2471" s="12" t="s">
        <v>2496</v>
      </c>
      <c r="C2471" s="12">
        <v>184</v>
      </c>
      <c r="D2471" s="12">
        <v>87</v>
      </c>
      <c r="E2471" s="12">
        <v>0</v>
      </c>
      <c r="F2471" s="12">
        <v>83</v>
      </c>
      <c r="G2471" s="12">
        <v>1000</v>
      </c>
      <c r="H2471" s="16"/>
      <c r="I2471" s="12" t="s">
        <v>6403</v>
      </c>
      <c r="J2471" s="12" t="s">
        <v>12067</v>
      </c>
      <c r="K2471" s="12" t="s">
        <v>12068</v>
      </c>
      <c r="L2471" s="12" t="s">
        <v>12069</v>
      </c>
      <c r="M2471" s="12" t="s">
        <v>12070</v>
      </c>
      <c r="N2471" s="12">
        <v>49669</v>
      </c>
      <c r="O2471" s="12">
        <v>1592</v>
      </c>
      <c r="P2471" s="12">
        <v>1</v>
      </c>
      <c r="Q2471" s="12" t="s">
        <v>12071</v>
      </c>
      <c r="R2471" s="15" t="s">
        <v>12072</v>
      </c>
      <c r="S2471" s="12">
        <v>419</v>
      </c>
      <c r="T2471" s="12" t="s">
        <v>39</v>
      </c>
      <c r="U2471" s="12" t="s">
        <v>40</v>
      </c>
      <c r="V2471" s="12" t="s">
        <v>5614</v>
      </c>
      <c r="W2471" s="12">
        <v>3500000</v>
      </c>
      <c r="X2471" s="12">
        <v>1985</v>
      </c>
      <c r="Y2471" s="12">
        <v>177</v>
      </c>
      <c r="Z2471" s="12">
        <v>7.2</v>
      </c>
      <c r="AA2471" s="12">
        <v>1.85</v>
      </c>
      <c r="AB2471" s="12">
        <v>3000</v>
      </c>
      <c r="AC2471" s="12"/>
      <c r="AD2471" s="12" t="str">
        <f>IFERROR(__xludf.DUMMYFUNCTION("""COMPUTED_VALUE"""),"Lee Remick")</f>
        <v>Lee Remick</v>
      </c>
      <c r="AE2471" s="12"/>
    </row>
    <row r="2472" customHeight="1" spans="1:31">
      <c r="A2472" s="11" t="s">
        <v>30</v>
      </c>
      <c r="B2472" s="11" t="s">
        <v>1758</v>
      </c>
      <c r="C2472" s="11">
        <v>23</v>
      </c>
      <c r="D2472" s="11">
        <v>92</v>
      </c>
      <c r="E2472" s="11">
        <v>55</v>
      </c>
      <c r="F2472" s="11">
        <v>757</v>
      </c>
      <c r="G2472" s="11">
        <v>1000</v>
      </c>
      <c r="H2472" s="13"/>
      <c r="I2472" s="11" t="s">
        <v>464</v>
      </c>
      <c r="J2472" s="11" t="s">
        <v>6531</v>
      </c>
      <c r="K2472" s="11" t="s">
        <v>8896</v>
      </c>
      <c r="L2472" s="11" t="s">
        <v>8778</v>
      </c>
      <c r="M2472" s="11" t="s">
        <v>12073</v>
      </c>
      <c r="N2472" s="11">
        <v>4510</v>
      </c>
      <c r="O2472" s="11">
        <v>3212</v>
      </c>
      <c r="P2472" s="11">
        <v>1</v>
      </c>
      <c r="Q2472" s="11" t="s">
        <v>12074</v>
      </c>
      <c r="R2472" s="14" t="s">
        <v>12075</v>
      </c>
      <c r="S2472" s="11">
        <v>50</v>
      </c>
      <c r="T2472" s="11" t="s">
        <v>39</v>
      </c>
      <c r="U2472" s="11" t="s">
        <v>40</v>
      </c>
      <c r="V2472" s="11" t="s">
        <v>586</v>
      </c>
      <c r="W2472" s="11">
        <v>18000000</v>
      </c>
      <c r="X2472" s="11">
        <v>2016</v>
      </c>
      <c r="Y2472" s="11">
        <v>872</v>
      </c>
      <c r="Z2472" s="11">
        <v>5.2</v>
      </c>
      <c r="AA2472" s="13"/>
      <c r="AB2472" s="11">
        <v>0</v>
      </c>
      <c r="AC2472" s="11"/>
      <c r="AD2472" s="11" t="str">
        <f>IFERROR(__xludf.DUMMYFUNCTION("""COMPUTED_VALUE"""),"Patrick Troughton")</f>
        <v>Patrick Troughton</v>
      </c>
      <c r="AE2472" s="11"/>
    </row>
    <row r="2473" customHeight="1" spans="1:31">
      <c r="A2473" s="12" t="s">
        <v>30</v>
      </c>
      <c r="B2473" s="12" t="s">
        <v>12076</v>
      </c>
      <c r="C2473" s="12">
        <v>112</v>
      </c>
      <c r="D2473" s="12">
        <v>105</v>
      </c>
      <c r="E2473" s="12">
        <v>2</v>
      </c>
      <c r="F2473" s="12">
        <v>69</v>
      </c>
      <c r="G2473" s="12">
        <v>805</v>
      </c>
      <c r="H2473" s="12">
        <v>63260</v>
      </c>
      <c r="I2473" s="12" t="s">
        <v>12077</v>
      </c>
      <c r="J2473" s="12" t="s">
        <v>10308</v>
      </c>
      <c r="K2473" s="12" t="s">
        <v>2243</v>
      </c>
      <c r="L2473" s="12" t="s">
        <v>12078</v>
      </c>
      <c r="M2473" s="12" t="s">
        <v>12079</v>
      </c>
      <c r="N2473" s="12">
        <v>14325</v>
      </c>
      <c r="O2473" s="12">
        <v>1185</v>
      </c>
      <c r="P2473" s="12">
        <v>0</v>
      </c>
      <c r="Q2473" s="12" t="s">
        <v>12080</v>
      </c>
      <c r="R2473" s="15" t="s">
        <v>12081</v>
      </c>
      <c r="S2473" s="12">
        <v>90</v>
      </c>
      <c r="T2473" s="12" t="s">
        <v>39</v>
      </c>
      <c r="U2473" s="12" t="s">
        <v>1466</v>
      </c>
      <c r="V2473" s="12" t="s">
        <v>586</v>
      </c>
      <c r="W2473" s="12">
        <v>14000000</v>
      </c>
      <c r="X2473" s="12">
        <v>2006</v>
      </c>
      <c r="Y2473" s="12">
        <v>306</v>
      </c>
      <c r="Z2473" s="12">
        <v>6.7</v>
      </c>
      <c r="AA2473" s="12">
        <v>2.35</v>
      </c>
      <c r="AB2473" s="12">
        <v>0</v>
      </c>
      <c r="AC2473" s="12"/>
      <c r="AD2473" s="12" t="str">
        <f>IFERROR(__xludf.DUMMYFUNCTION("""COMPUTED_VALUE"""),"Billie Whitelaw")</f>
        <v>Billie Whitelaw</v>
      </c>
      <c r="AE2473" s="12"/>
    </row>
    <row r="2474" customHeight="1" spans="1:31">
      <c r="A2474" s="11" t="s">
        <v>30</v>
      </c>
      <c r="B2474" s="11" t="s">
        <v>10294</v>
      </c>
      <c r="C2474" s="11">
        <v>45</v>
      </c>
      <c r="D2474" s="11">
        <v>90</v>
      </c>
      <c r="E2474" s="11">
        <v>78</v>
      </c>
      <c r="F2474" s="11">
        <v>720</v>
      </c>
      <c r="G2474" s="11">
        <v>2000</v>
      </c>
      <c r="H2474" s="13"/>
      <c r="I2474" s="11" t="s">
        <v>1766</v>
      </c>
      <c r="J2474" s="11" t="s">
        <v>1376</v>
      </c>
      <c r="K2474" s="11" t="s">
        <v>10295</v>
      </c>
      <c r="L2474" s="11" t="s">
        <v>1870</v>
      </c>
      <c r="M2474" s="11" t="s">
        <v>10296</v>
      </c>
      <c r="N2474" s="11">
        <v>4693</v>
      </c>
      <c r="O2474" s="11">
        <v>4142</v>
      </c>
      <c r="P2474" s="11">
        <v>1</v>
      </c>
      <c r="Q2474" s="13"/>
      <c r="R2474" s="14" t="s">
        <v>10297</v>
      </c>
      <c r="S2474" s="11">
        <v>49</v>
      </c>
      <c r="T2474" s="11" t="s">
        <v>39</v>
      </c>
      <c r="U2474" s="11" t="s">
        <v>269</v>
      </c>
      <c r="V2474" s="11" t="s">
        <v>586</v>
      </c>
      <c r="W2474" s="11">
        <v>11000000</v>
      </c>
      <c r="X2474" s="11">
        <v>2015</v>
      </c>
      <c r="Y2474" s="11">
        <v>1000</v>
      </c>
      <c r="Z2474" s="11">
        <v>6.3</v>
      </c>
      <c r="AA2474" s="11">
        <v>2.35</v>
      </c>
      <c r="AB2474" s="11">
        <v>0</v>
      </c>
      <c r="AC2474" s="11"/>
      <c r="AD2474" s="11" t="str">
        <f>IFERROR(__xludf.DUMMYFUNCTION("""COMPUTED_VALUE"""),"Chelan Simmons")</f>
        <v>Chelan Simmons</v>
      </c>
      <c r="AE2474" s="11"/>
    </row>
    <row r="2475" customHeight="1" spans="1:31">
      <c r="A2475" s="12" t="s">
        <v>30</v>
      </c>
      <c r="B2475" s="12" t="s">
        <v>9668</v>
      </c>
      <c r="C2475" s="12">
        <v>59</v>
      </c>
      <c r="D2475" s="12">
        <v>89</v>
      </c>
      <c r="E2475" s="12">
        <v>130</v>
      </c>
      <c r="F2475" s="12">
        <v>183</v>
      </c>
      <c r="G2475" s="12">
        <v>444</v>
      </c>
      <c r="H2475" s="16"/>
      <c r="I2475" s="12" t="s">
        <v>43</v>
      </c>
      <c r="J2475" s="12" t="s">
        <v>9447</v>
      </c>
      <c r="K2475" s="12" t="s">
        <v>12082</v>
      </c>
      <c r="L2475" s="12" t="s">
        <v>2280</v>
      </c>
      <c r="M2475" s="12" t="s">
        <v>12083</v>
      </c>
      <c r="N2475" s="12">
        <v>30215</v>
      </c>
      <c r="O2475" s="12">
        <v>1243</v>
      </c>
      <c r="P2475" s="12">
        <v>1</v>
      </c>
      <c r="Q2475" s="12" t="s">
        <v>12084</v>
      </c>
      <c r="R2475" s="15" t="s">
        <v>12085</v>
      </c>
      <c r="S2475" s="12">
        <v>95</v>
      </c>
      <c r="T2475" s="12" t="s">
        <v>39</v>
      </c>
      <c r="U2475" s="12" t="s">
        <v>10492</v>
      </c>
      <c r="V2475" s="12" t="s">
        <v>41</v>
      </c>
      <c r="W2475" s="12">
        <v>17900000</v>
      </c>
      <c r="X2475" s="12">
        <v>1985</v>
      </c>
      <c r="Y2475" s="12">
        <v>312</v>
      </c>
      <c r="Z2475" s="12">
        <v>5</v>
      </c>
      <c r="AA2475" s="12">
        <v>2.35</v>
      </c>
      <c r="AB2475" s="12">
        <v>0</v>
      </c>
      <c r="AC2475" s="12"/>
      <c r="AD2475" s="12" t="str">
        <f>IFERROR(__xludf.DUMMYFUNCTION("""COMPUTED_VALUE"""),"Gina Holden")</f>
        <v>Gina Holden</v>
      </c>
      <c r="AE2475" s="12"/>
    </row>
    <row r="2476" customHeight="1" spans="1:31">
      <c r="A2476" s="11" t="s">
        <v>30</v>
      </c>
      <c r="B2476" s="11" t="s">
        <v>12086</v>
      </c>
      <c r="C2476" s="11">
        <v>195</v>
      </c>
      <c r="D2476" s="11">
        <v>114</v>
      </c>
      <c r="E2476" s="11">
        <v>89</v>
      </c>
      <c r="F2476" s="11">
        <v>920</v>
      </c>
      <c r="G2476" s="11">
        <v>22000</v>
      </c>
      <c r="H2476" s="13"/>
      <c r="I2476" s="11" t="s">
        <v>6133</v>
      </c>
      <c r="J2476" s="11" t="s">
        <v>1746</v>
      </c>
      <c r="K2476" s="11" t="s">
        <v>1212</v>
      </c>
      <c r="L2476" s="11" t="s">
        <v>5047</v>
      </c>
      <c r="M2476" s="11" t="s">
        <v>12087</v>
      </c>
      <c r="N2476" s="11">
        <v>48162</v>
      </c>
      <c r="O2476" s="11">
        <v>25804</v>
      </c>
      <c r="P2476" s="11">
        <v>2</v>
      </c>
      <c r="Q2476" s="11" t="s">
        <v>12088</v>
      </c>
      <c r="R2476" s="14" t="s">
        <v>12089</v>
      </c>
      <c r="S2476" s="11">
        <v>140</v>
      </c>
      <c r="T2476" s="11" t="s">
        <v>39</v>
      </c>
      <c r="U2476" s="11" t="s">
        <v>3572</v>
      </c>
      <c r="V2476" s="11" t="s">
        <v>586</v>
      </c>
      <c r="W2476" s="11">
        <v>14000000</v>
      </c>
      <c r="X2476" s="11">
        <v>2012</v>
      </c>
      <c r="Y2476" s="11">
        <v>2000</v>
      </c>
      <c r="Z2476" s="11">
        <v>6.2</v>
      </c>
      <c r="AA2476" s="11">
        <v>2.35</v>
      </c>
      <c r="AB2476" s="11">
        <v>10000</v>
      </c>
      <c r="AC2476" s="11"/>
      <c r="AD2476" s="11" t="str">
        <f>IFERROR(__xludf.DUMMYFUNCTION("""COMPUTED_VALUE"""),"Riley Thomas Stewart")</f>
        <v>Riley Thomas Stewart</v>
      </c>
      <c r="AE2476" s="11"/>
    </row>
    <row r="2477" customHeight="1" spans="1:31">
      <c r="A2477" s="12" t="s">
        <v>30</v>
      </c>
      <c r="B2477" s="12" t="s">
        <v>6550</v>
      </c>
      <c r="C2477" s="12">
        <v>256</v>
      </c>
      <c r="D2477" s="12">
        <v>119</v>
      </c>
      <c r="E2477" s="12">
        <v>99</v>
      </c>
      <c r="F2477" s="12">
        <v>778</v>
      </c>
      <c r="G2477" s="12">
        <v>15000</v>
      </c>
      <c r="H2477" s="12">
        <v>121463226</v>
      </c>
      <c r="I2477" s="12" t="s">
        <v>1672</v>
      </c>
      <c r="J2477" s="12" t="s">
        <v>182</v>
      </c>
      <c r="K2477" s="12" t="s">
        <v>624</v>
      </c>
      <c r="L2477" s="12" t="s">
        <v>4367</v>
      </c>
      <c r="M2477" s="12" t="s">
        <v>12090</v>
      </c>
      <c r="N2477" s="12">
        <v>422606</v>
      </c>
      <c r="O2477" s="12">
        <v>17584</v>
      </c>
      <c r="P2477" s="12">
        <v>2</v>
      </c>
      <c r="Q2477" s="12" t="s">
        <v>12091</v>
      </c>
      <c r="R2477" s="15" t="s">
        <v>12092</v>
      </c>
      <c r="S2477" s="12">
        <v>555</v>
      </c>
      <c r="T2477" s="12" t="s">
        <v>39</v>
      </c>
      <c r="U2477" s="12" t="s">
        <v>40</v>
      </c>
      <c r="V2477" s="12" t="s">
        <v>586</v>
      </c>
      <c r="W2477" s="12">
        <v>20000000</v>
      </c>
      <c r="X2477" s="12">
        <v>2007</v>
      </c>
      <c r="Y2477" s="12">
        <v>833</v>
      </c>
      <c r="Z2477" s="12">
        <v>7.6</v>
      </c>
      <c r="AA2477" s="12">
        <v>1.85</v>
      </c>
      <c r="AB2477" s="12">
        <v>0</v>
      </c>
      <c r="AC2477" s="12"/>
      <c r="AD2477" s="12" t="str">
        <f>IFERROR(__xludf.DUMMYFUNCTION("""COMPUTED_VALUE"""),"Jay R. Ferguson")</f>
        <v>Jay R. Ferguson</v>
      </c>
      <c r="AE2477" s="12"/>
    </row>
    <row r="2478" customHeight="1" spans="1:31">
      <c r="A2478" s="11" t="s">
        <v>30</v>
      </c>
      <c r="B2478" s="11" t="s">
        <v>9517</v>
      </c>
      <c r="C2478" s="11">
        <v>44</v>
      </c>
      <c r="D2478" s="11">
        <v>103</v>
      </c>
      <c r="E2478" s="11">
        <v>0</v>
      </c>
      <c r="F2478" s="11">
        <v>543</v>
      </c>
      <c r="G2478" s="11">
        <v>923</v>
      </c>
      <c r="H2478" s="11">
        <v>90485233</v>
      </c>
      <c r="I2478" s="11" t="s">
        <v>9194</v>
      </c>
      <c r="J2478" s="11" t="s">
        <v>5397</v>
      </c>
      <c r="K2478" s="11" t="s">
        <v>9595</v>
      </c>
      <c r="L2478" s="11" t="s">
        <v>8336</v>
      </c>
      <c r="M2478" s="11" t="s">
        <v>12093</v>
      </c>
      <c r="N2478" s="11">
        <v>9544</v>
      </c>
      <c r="O2478" s="11">
        <v>3699</v>
      </c>
      <c r="P2478" s="11">
        <v>0</v>
      </c>
      <c r="Q2478" s="11" t="s">
        <v>12094</v>
      </c>
      <c r="R2478" s="14" t="s">
        <v>12095</v>
      </c>
      <c r="S2478" s="11">
        <v>45</v>
      </c>
      <c r="T2478" s="11" t="s">
        <v>39</v>
      </c>
      <c r="U2478" s="11" t="s">
        <v>40</v>
      </c>
      <c r="V2478" s="11" t="s">
        <v>41</v>
      </c>
      <c r="W2478" s="13"/>
      <c r="X2478" s="11">
        <v>2009</v>
      </c>
      <c r="Y2478" s="11">
        <v>619</v>
      </c>
      <c r="Z2478" s="11">
        <v>4.1</v>
      </c>
      <c r="AA2478" s="11">
        <v>1.85</v>
      </c>
      <c r="AB2478" s="11">
        <v>804</v>
      </c>
      <c r="AC2478" s="11"/>
      <c r="AD2478" s="11" t="str">
        <f>IFERROR(__xludf.DUMMYFUNCTION("""COMPUTED_VALUE"""),"Larry the Cable Guy")</f>
        <v>Larry the Cable Guy</v>
      </c>
      <c r="AE2478" s="11"/>
    </row>
    <row r="2479" customHeight="1" spans="1:31">
      <c r="A2479" s="12" t="s">
        <v>30</v>
      </c>
      <c r="B2479" s="12" t="s">
        <v>12096</v>
      </c>
      <c r="C2479" s="12">
        <v>59</v>
      </c>
      <c r="D2479" s="12">
        <v>91</v>
      </c>
      <c r="E2479" s="12">
        <v>512</v>
      </c>
      <c r="F2479" s="12">
        <v>413</v>
      </c>
      <c r="G2479" s="12">
        <v>11000</v>
      </c>
      <c r="H2479" s="16"/>
      <c r="I2479" s="12" t="s">
        <v>5765</v>
      </c>
      <c r="J2479" s="12" t="s">
        <v>4846</v>
      </c>
      <c r="K2479" s="12" t="s">
        <v>9867</v>
      </c>
      <c r="L2479" s="12" t="s">
        <v>1055</v>
      </c>
      <c r="M2479" s="12" t="s">
        <v>12097</v>
      </c>
      <c r="N2479" s="12">
        <v>5693</v>
      </c>
      <c r="O2479" s="12">
        <v>13545</v>
      </c>
      <c r="P2479" s="12">
        <v>2</v>
      </c>
      <c r="Q2479" s="12" t="s">
        <v>12098</v>
      </c>
      <c r="R2479" s="15" t="s">
        <v>12099</v>
      </c>
      <c r="S2479" s="12">
        <v>34</v>
      </c>
      <c r="T2479" s="12" t="s">
        <v>39</v>
      </c>
      <c r="U2479" s="12" t="s">
        <v>1466</v>
      </c>
      <c r="V2479" s="12" t="s">
        <v>586</v>
      </c>
      <c r="W2479" s="12">
        <v>18000000</v>
      </c>
      <c r="X2479" s="12">
        <v>2014</v>
      </c>
      <c r="Y2479" s="12">
        <v>918</v>
      </c>
      <c r="Z2479" s="12">
        <v>5.3</v>
      </c>
      <c r="AA2479" s="12">
        <v>2.35</v>
      </c>
      <c r="AB2479" s="12">
        <v>0</v>
      </c>
      <c r="AC2479" s="12"/>
      <c r="AD2479" s="12" t="str">
        <f>IFERROR(__xludf.DUMMYFUNCTION("""COMPUTED_VALUE"""),"Darcy Donavan")</f>
        <v>Darcy Donavan</v>
      </c>
      <c r="AE2479" s="12"/>
    </row>
    <row r="2480" customHeight="1" spans="1:31">
      <c r="A2480" s="11" t="s">
        <v>30</v>
      </c>
      <c r="B2480" s="11" t="s">
        <v>1072</v>
      </c>
      <c r="C2480" s="11">
        <v>97</v>
      </c>
      <c r="D2480" s="11">
        <v>98</v>
      </c>
      <c r="E2480" s="11">
        <v>209</v>
      </c>
      <c r="F2480" s="11">
        <v>129</v>
      </c>
      <c r="G2480" s="11">
        <v>158</v>
      </c>
      <c r="H2480" s="11">
        <v>58006147</v>
      </c>
      <c r="I2480" s="11" t="s">
        <v>4811</v>
      </c>
      <c r="J2480" s="11" t="s">
        <v>12100</v>
      </c>
      <c r="K2480" s="11" t="s">
        <v>12101</v>
      </c>
      <c r="L2480" s="11" t="s">
        <v>12102</v>
      </c>
      <c r="M2480" s="11" t="s">
        <v>12103</v>
      </c>
      <c r="N2480" s="11">
        <v>67653</v>
      </c>
      <c r="O2480" s="11">
        <v>816</v>
      </c>
      <c r="P2480" s="11">
        <v>2</v>
      </c>
      <c r="Q2480" s="11" t="s">
        <v>12104</v>
      </c>
      <c r="R2480" s="14" t="s">
        <v>12105</v>
      </c>
      <c r="S2480" s="11">
        <v>108</v>
      </c>
      <c r="T2480" s="11" t="s">
        <v>39</v>
      </c>
      <c r="U2480" s="11" t="s">
        <v>40</v>
      </c>
      <c r="V2480" s="11" t="s">
        <v>41</v>
      </c>
      <c r="W2480" s="11">
        <v>23000000</v>
      </c>
      <c r="X2480" s="11">
        <v>2008</v>
      </c>
      <c r="Y2480" s="11">
        <v>152</v>
      </c>
      <c r="Z2480" s="11">
        <v>6.2</v>
      </c>
      <c r="AA2480" s="11">
        <v>1.85</v>
      </c>
      <c r="AB2480" s="11">
        <v>0</v>
      </c>
      <c r="AC2480" s="11"/>
      <c r="AD2480" s="11" t="str">
        <f>IFERROR(__xludf.DUMMYFUNCTION("""COMPUTED_VALUE"""),"Chris Gauthier")</f>
        <v>Chris Gauthier</v>
      </c>
      <c r="AE2480" s="11"/>
    </row>
    <row r="2481" customHeight="1" spans="1:31">
      <c r="A2481" s="12" t="s">
        <v>30</v>
      </c>
      <c r="B2481" s="12" t="s">
        <v>12106</v>
      </c>
      <c r="C2481" s="12">
        <v>142</v>
      </c>
      <c r="D2481" s="12">
        <v>80</v>
      </c>
      <c r="E2481" s="12">
        <v>19</v>
      </c>
      <c r="F2481" s="12">
        <v>854</v>
      </c>
      <c r="G2481" s="12">
        <v>11000</v>
      </c>
      <c r="H2481" s="12">
        <v>51053787</v>
      </c>
      <c r="I2481" s="12" t="s">
        <v>12107</v>
      </c>
      <c r="J2481" s="12" t="s">
        <v>257</v>
      </c>
      <c r="K2481" s="12" t="s">
        <v>1654</v>
      </c>
      <c r="L2481" s="12" t="s">
        <v>3503</v>
      </c>
      <c r="M2481" s="12" t="s">
        <v>12108</v>
      </c>
      <c r="N2481" s="12">
        <v>45900</v>
      </c>
      <c r="O2481" s="12">
        <v>14385</v>
      </c>
      <c r="P2481" s="12">
        <v>1</v>
      </c>
      <c r="Q2481" s="12" t="s">
        <v>12109</v>
      </c>
      <c r="R2481" s="15" t="s">
        <v>12110</v>
      </c>
      <c r="S2481" s="12">
        <v>247</v>
      </c>
      <c r="T2481" s="12" t="s">
        <v>39</v>
      </c>
      <c r="U2481" s="12" t="s">
        <v>40</v>
      </c>
      <c r="V2481" s="12" t="s">
        <v>96</v>
      </c>
      <c r="W2481" s="12">
        <v>17500000</v>
      </c>
      <c r="X2481" s="12">
        <v>2005</v>
      </c>
      <c r="Y2481" s="12">
        <v>979</v>
      </c>
      <c r="Z2481" s="12">
        <v>6.5</v>
      </c>
      <c r="AA2481" s="12">
        <v>1.85</v>
      </c>
      <c r="AB2481" s="12">
        <v>0</v>
      </c>
      <c r="AC2481" s="12"/>
      <c r="AD2481" s="12" t="str">
        <f>IFERROR(__xludf.DUMMYFUNCTION("""COMPUTED_VALUE"""),"Rebecca Gayheart")</f>
        <v>Rebecca Gayheart</v>
      </c>
      <c r="AE2481" s="12"/>
    </row>
    <row r="2482" customHeight="1" spans="1:31">
      <c r="A2482" s="11" t="s">
        <v>30</v>
      </c>
      <c r="B2482" s="11" t="s">
        <v>12111</v>
      </c>
      <c r="C2482" s="11">
        <v>187</v>
      </c>
      <c r="D2482" s="11">
        <v>121</v>
      </c>
      <c r="E2482" s="11">
        <v>83</v>
      </c>
      <c r="F2482" s="11">
        <v>242</v>
      </c>
      <c r="G2482" s="11">
        <v>3000</v>
      </c>
      <c r="H2482" s="11">
        <v>23472900</v>
      </c>
      <c r="I2482" s="11" t="s">
        <v>1962</v>
      </c>
      <c r="J2482" s="11" t="s">
        <v>252</v>
      </c>
      <c r="K2482" s="11" t="s">
        <v>4128</v>
      </c>
      <c r="L2482" s="11" t="s">
        <v>12112</v>
      </c>
      <c r="M2482" s="11" t="s">
        <v>12113</v>
      </c>
      <c r="N2482" s="11">
        <v>264533</v>
      </c>
      <c r="O2482" s="11">
        <v>4142</v>
      </c>
      <c r="P2482" s="11">
        <v>1</v>
      </c>
      <c r="Q2482" s="11" t="s">
        <v>12114</v>
      </c>
      <c r="R2482" s="14" t="s">
        <v>12115</v>
      </c>
      <c r="S2482" s="11">
        <v>609</v>
      </c>
      <c r="T2482" s="11" t="s">
        <v>39</v>
      </c>
      <c r="U2482" s="11" t="s">
        <v>58</v>
      </c>
      <c r="V2482" s="11" t="s">
        <v>41</v>
      </c>
      <c r="W2482" s="11">
        <v>17500000</v>
      </c>
      <c r="X2482" s="11">
        <v>2004</v>
      </c>
      <c r="Y2482" s="11">
        <v>460</v>
      </c>
      <c r="Z2482" s="11">
        <v>8.1</v>
      </c>
      <c r="AA2482" s="11">
        <v>2.35</v>
      </c>
      <c r="AB2482" s="11">
        <v>12000</v>
      </c>
      <c r="AC2482" s="11"/>
      <c r="AD2482" s="11" t="str">
        <f>IFERROR(__xludf.DUMMYFUNCTION("""COMPUTED_VALUE"""),"David O'Hara")</f>
        <v>David O'Hara</v>
      </c>
      <c r="AE2482" s="11"/>
    </row>
    <row r="2483" customHeight="1" spans="1:31">
      <c r="A2483" s="12" t="s">
        <v>30</v>
      </c>
      <c r="B2483" s="12" t="s">
        <v>12116</v>
      </c>
      <c r="C2483" s="12">
        <v>193</v>
      </c>
      <c r="D2483" s="12">
        <v>94</v>
      </c>
      <c r="E2483" s="12">
        <v>87</v>
      </c>
      <c r="F2483" s="12">
        <v>280</v>
      </c>
      <c r="G2483" s="12">
        <v>866</v>
      </c>
      <c r="H2483" s="12">
        <v>39687528</v>
      </c>
      <c r="I2483" s="12" t="s">
        <v>464</v>
      </c>
      <c r="J2483" s="12" t="s">
        <v>12117</v>
      </c>
      <c r="K2483" s="12" t="s">
        <v>1342</v>
      </c>
      <c r="L2483" s="12" t="s">
        <v>4405</v>
      </c>
      <c r="M2483" s="12" t="s">
        <v>12118</v>
      </c>
      <c r="N2483" s="12">
        <v>140780</v>
      </c>
      <c r="O2483" s="12">
        <v>2124</v>
      </c>
      <c r="P2483" s="12">
        <v>1</v>
      </c>
      <c r="Q2483" s="12" t="s">
        <v>12119</v>
      </c>
      <c r="R2483" s="15" t="s">
        <v>12120</v>
      </c>
      <c r="S2483" s="12">
        <v>376</v>
      </c>
      <c r="T2483" s="12" t="s">
        <v>39</v>
      </c>
      <c r="U2483" s="12" t="s">
        <v>1466</v>
      </c>
      <c r="V2483" s="12" t="s">
        <v>586</v>
      </c>
      <c r="W2483" s="12">
        <v>24000000</v>
      </c>
      <c r="X2483" s="12">
        <v>2007</v>
      </c>
      <c r="Y2483" s="12">
        <v>794</v>
      </c>
      <c r="Z2483" s="12">
        <v>6.3</v>
      </c>
      <c r="AA2483" s="12">
        <v>2.35</v>
      </c>
      <c r="AB2483" s="12">
        <v>0</v>
      </c>
      <c r="AC2483" s="12"/>
      <c r="AD2483" s="12" t="str">
        <f>IFERROR(__xludf.DUMMYFUNCTION("""COMPUTED_VALUE"""),"Paul F. Tompkins")</f>
        <v>Paul F. Tompkins</v>
      </c>
      <c r="AE2483" s="12"/>
    </row>
    <row r="2484" customHeight="1" spans="1:31">
      <c r="A2484" s="11" t="s">
        <v>30</v>
      </c>
      <c r="B2484" s="11" t="s">
        <v>12121</v>
      </c>
      <c r="C2484" s="11">
        <v>40</v>
      </c>
      <c r="D2484" s="11">
        <v>93</v>
      </c>
      <c r="E2484" s="11">
        <v>148</v>
      </c>
      <c r="F2484" s="11">
        <v>170</v>
      </c>
      <c r="G2484" s="11">
        <v>549</v>
      </c>
      <c r="H2484" s="11">
        <v>7017178</v>
      </c>
      <c r="I2484" s="11" t="s">
        <v>12122</v>
      </c>
      <c r="J2484" s="11" t="s">
        <v>3078</v>
      </c>
      <c r="K2484" s="11" t="s">
        <v>11590</v>
      </c>
      <c r="L2484" s="11" t="s">
        <v>12123</v>
      </c>
      <c r="M2484" s="11" t="s">
        <v>12124</v>
      </c>
      <c r="N2484" s="11">
        <v>1633</v>
      </c>
      <c r="O2484" s="11">
        <v>1373</v>
      </c>
      <c r="P2484" s="11">
        <v>5</v>
      </c>
      <c r="Q2484" s="11" t="s">
        <v>12125</v>
      </c>
      <c r="R2484" s="14" t="s">
        <v>12126</v>
      </c>
      <c r="S2484" s="11">
        <v>17</v>
      </c>
      <c r="T2484" s="11" t="s">
        <v>39</v>
      </c>
      <c r="U2484" s="11" t="s">
        <v>40</v>
      </c>
      <c r="V2484" s="11" t="s">
        <v>96</v>
      </c>
      <c r="W2484" s="11">
        <v>17500000</v>
      </c>
      <c r="X2484" s="11">
        <v>2013</v>
      </c>
      <c r="Y2484" s="11">
        <v>269</v>
      </c>
      <c r="Z2484" s="11">
        <v>4.4</v>
      </c>
      <c r="AA2484" s="11">
        <v>2.35</v>
      </c>
      <c r="AB2484" s="11">
        <v>0</v>
      </c>
      <c r="AC2484" s="11"/>
      <c r="AD2484" s="11" t="str">
        <f>IFERROR(__xludf.DUMMYFUNCTION("""COMPUTED_VALUE"""),"Kevin Breznahan")</f>
        <v>Kevin Breznahan</v>
      </c>
      <c r="AE2484" s="11"/>
    </row>
    <row r="2485" customHeight="1" spans="1:31">
      <c r="A2485" s="12" t="s">
        <v>30</v>
      </c>
      <c r="B2485" s="12" t="s">
        <v>12127</v>
      </c>
      <c r="C2485" s="12">
        <v>46</v>
      </c>
      <c r="D2485" s="12">
        <v>93</v>
      </c>
      <c r="E2485" s="12">
        <v>32</v>
      </c>
      <c r="F2485" s="12">
        <v>1000</v>
      </c>
      <c r="G2485" s="12">
        <v>13000</v>
      </c>
      <c r="H2485" s="16"/>
      <c r="I2485" s="12" t="s">
        <v>60</v>
      </c>
      <c r="J2485" s="12" t="s">
        <v>978</v>
      </c>
      <c r="K2485" s="12" t="s">
        <v>3526</v>
      </c>
      <c r="L2485" s="12" t="s">
        <v>12128</v>
      </c>
      <c r="M2485" s="12" t="s">
        <v>12129</v>
      </c>
      <c r="N2485" s="12">
        <v>13133</v>
      </c>
      <c r="O2485" s="12">
        <v>16735</v>
      </c>
      <c r="P2485" s="12">
        <v>4</v>
      </c>
      <c r="Q2485" s="12" t="s">
        <v>12130</v>
      </c>
      <c r="R2485" s="15" t="s">
        <v>12131</v>
      </c>
      <c r="S2485" s="12">
        <v>101</v>
      </c>
      <c r="T2485" s="12" t="s">
        <v>39</v>
      </c>
      <c r="U2485" s="12" t="s">
        <v>40</v>
      </c>
      <c r="V2485" s="12" t="s">
        <v>586</v>
      </c>
      <c r="W2485" s="12">
        <v>18000000</v>
      </c>
      <c r="X2485" s="12">
        <v>2014</v>
      </c>
      <c r="Y2485" s="12">
        <v>1000</v>
      </c>
      <c r="Z2485" s="12">
        <v>4.6</v>
      </c>
      <c r="AA2485" s="12">
        <v>2.35</v>
      </c>
      <c r="AB2485" s="12">
        <v>0</v>
      </c>
      <c r="AC2485" s="12"/>
      <c r="AD2485" s="12" t="str">
        <f>IFERROR(__xludf.DUMMYFUNCTION("""COMPUTED_VALUE"""),"Flea")</f>
        <v>Flea</v>
      </c>
      <c r="AE2485" s="12"/>
    </row>
    <row r="2486" customHeight="1" spans="1:31">
      <c r="A2486" s="11" t="s">
        <v>30</v>
      </c>
      <c r="B2486" s="11" t="s">
        <v>12132</v>
      </c>
      <c r="C2486" s="11">
        <v>38</v>
      </c>
      <c r="D2486" s="11">
        <v>116</v>
      </c>
      <c r="E2486" s="11">
        <v>0</v>
      </c>
      <c r="F2486" s="11">
        <v>50</v>
      </c>
      <c r="G2486" s="11">
        <v>109</v>
      </c>
      <c r="H2486" s="11">
        <v>325491</v>
      </c>
      <c r="I2486" s="11" t="s">
        <v>2126</v>
      </c>
      <c r="J2486" s="11" t="s">
        <v>12133</v>
      </c>
      <c r="K2486" s="11" t="s">
        <v>12134</v>
      </c>
      <c r="L2486" s="11" t="s">
        <v>12135</v>
      </c>
      <c r="M2486" s="11" t="s">
        <v>12136</v>
      </c>
      <c r="N2486" s="11">
        <v>4387</v>
      </c>
      <c r="O2486" s="11">
        <v>245</v>
      </c>
      <c r="P2486" s="11">
        <v>0</v>
      </c>
      <c r="Q2486" s="11" t="s">
        <v>12137</v>
      </c>
      <c r="R2486" s="14" t="s">
        <v>12138</v>
      </c>
      <c r="S2486" s="11">
        <v>67</v>
      </c>
      <c r="T2486" s="11" t="s">
        <v>39</v>
      </c>
      <c r="U2486" s="11" t="s">
        <v>40</v>
      </c>
      <c r="V2486" s="11" t="s">
        <v>586</v>
      </c>
      <c r="W2486" s="11">
        <v>17500000</v>
      </c>
      <c r="X2486" s="11">
        <v>2002</v>
      </c>
      <c r="Y2486" s="11">
        <v>67</v>
      </c>
      <c r="Z2486" s="11">
        <v>6</v>
      </c>
      <c r="AA2486" s="11">
        <v>1.85</v>
      </c>
      <c r="AB2486" s="11">
        <v>204</v>
      </c>
      <c r="AC2486" s="11"/>
      <c r="AD2486" s="11" t="str">
        <f>IFERROR(__xludf.DUMMYFUNCTION("""COMPUTED_VALUE"""),"Nancy Cartwright")</f>
        <v>Nancy Cartwright</v>
      </c>
      <c r="AE2486" s="11"/>
    </row>
    <row r="2487" customHeight="1" spans="1:31">
      <c r="A2487" s="12" t="s">
        <v>30</v>
      </c>
      <c r="B2487" s="12" t="s">
        <v>3564</v>
      </c>
      <c r="C2487" s="12">
        <v>239</v>
      </c>
      <c r="D2487" s="12">
        <v>101</v>
      </c>
      <c r="E2487" s="12">
        <v>448</v>
      </c>
      <c r="F2487" s="12">
        <v>83</v>
      </c>
      <c r="G2487" s="12">
        <v>482</v>
      </c>
      <c r="H2487" s="12">
        <v>96471845</v>
      </c>
      <c r="I2487" s="12" t="s">
        <v>9755</v>
      </c>
      <c r="J2487" s="12" t="s">
        <v>8232</v>
      </c>
      <c r="K2487" s="12" t="s">
        <v>12139</v>
      </c>
      <c r="L2487" s="12" t="s">
        <v>12140</v>
      </c>
      <c r="M2487" s="12" t="s">
        <v>12141</v>
      </c>
      <c r="N2487" s="12">
        <v>268581</v>
      </c>
      <c r="O2487" s="12">
        <v>956</v>
      </c>
      <c r="P2487" s="12">
        <v>0</v>
      </c>
      <c r="Q2487" s="12" t="s">
        <v>12142</v>
      </c>
      <c r="R2487" s="15" t="s">
        <v>12143</v>
      </c>
      <c r="S2487" s="12">
        <v>1109</v>
      </c>
      <c r="T2487" s="12" t="s">
        <v>39</v>
      </c>
      <c r="U2487" s="12" t="s">
        <v>40</v>
      </c>
      <c r="V2487" s="12" t="s">
        <v>41</v>
      </c>
      <c r="W2487" s="12">
        <v>17000000</v>
      </c>
      <c r="X2487" s="12">
        <v>2001</v>
      </c>
      <c r="Y2487" s="12">
        <v>203</v>
      </c>
      <c r="Z2487" s="12">
        <v>7.6</v>
      </c>
      <c r="AA2487" s="12">
        <v>1.85</v>
      </c>
      <c r="AB2487" s="12">
        <v>20000</v>
      </c>
      <c r="AC2487" s="12"/>
      <c r="AD2487" s="12" t="str">
        <f>IFERROR(__xludf.DUMMYFUNCTION("""COMPUTED_VALUE"""),"Eddie Griffin")</f>
        <v>Eddie Griffin</v>
      </c>
      <c r="AE2487" s="12"/>
    </row>
    <row r="2488" customHeight="1" spans="1:31">
      <c r="A2488" s="11" t="s">
        <v>30</v>
      </c>
      <c r="B2488" s="11" t="s">
        <v>31</v>
      </c>
      <c r="C2488" s="11">
        <v>250</v>
      </c>
      <c r="D2488" s="11">
        <v>154</v>
      </c>
      <c r="E2488" s="11">
        <v>0</v>
      </c>
      <c r="F2488" s="11">
        <v>604</v>
      </c>
      <c r="G2488" s="11">
        <v>2000</v>
      </c>
      <c r="H2488" s="11">
        <v>85200000</v>
      </c>
      <c r="I2488" s="11" t="s">
        <v>73</v>
      </c>
      <c r="J2488" s="11" t="s">
        <v>3008</v>
      </c>
      <c r="K2488" s="11" t="s">
        <v>12144</v>
      </c>
      <c r="L2488" s="11" t="s">
        <v>1717</v>
      </c>
      <c r="M2488" s="11" t="s">
        <v>12145</v>
      </c>
      <c r="N2488" s="11">
        <v>488537</v>
      </c>
      <c r="O2488" s="11">
        <v>4228</v>
      </c>
      <c r="P2488" s="11">
        <v>1</v>
      </c>
      <c r="Q2488" s="11" t="s">
        <v>12146</v>
      </c>
      <c r="R2488" s="14" t="s">
        <v>12147</v>
      </c>
      <c r="S2488" s="11">
        <v>1076</v>
      </c>
      <c r="T2488" s="11" t="s">
        <v>39</v>
      </c>
      <c r="U2488" s="11" t="s">
        <v>40</v>
      </c>
      <c r="V2488" s="11" t="s">
        <v>586</v>
      </c>
      <c r="W2488" s="11">
        <v>18500000</v>
      </c>
      <c r="X2488" s="11">
        <v>1986</v>
      </c>
      <c r="Y2488" s="11">
        <v>626</v>
      </c>
      <c r="Z2488" s="11">
        <v>8.4</v>
      </c>
      <c r="AA2488" s="11">
        <v>1.85</v>
      </c>
      <c r="AB2488" s="11">
        <v>18000</v>
      </c>
      <c r="AC2488" s="11"/>
      <c r="AD2488" s="11" t="str">
        <f>IFERROR(__xludf.DUMMYFUNCTION("""COMPUTED_VALUE"""),"Katharine McPhee")</f>
        <v>Katharine McPhee</v>
      </c>
      <c r="AE2488" s="11"/>
    </row>
    <row r="2489" customHeight="1" spans="1:31">
      <c r="A2489" s="12" t="s">
        <v>30</v>
      </c>
      <c r="B2489" s="12" t="s">
        <v>12148</v>
      </c>
      <c r="C2489" s="12">
        <v>82</v>
      </c>
      <c r="D2489" s="12">
        <v>170</v>
      </c>
      <c r="E2489" s="12">
        <v>165</v>
      </c>
      <c r="F2489" s="12">
        <v>244</v>
      </c>
      <c r="G2489" s="12">
        <v>453</v>
      </c>
      <c r="H2489" s="12">
        <v>72000000</v>
      </c>
      <c r="I2489" s="12" t="s">
        <v>12149</v>
      </c>
      <c r="J2489" s="12" t="s">
        <v>12150</v>
      </c>
      <c r="K2489" s="12" t="s">
        <v>12151</v>
      </c>
      <c r="L2489" s="12" t="s">
        <v>12152</v>
      </c>
      <c r="M2489" s="12" t="s">
        <v>12153</v>
      </c>
      <c r="N2489" s="12">
        <v>66959</v>
      </c>
      <c r="O2489" s="12">
        <v>1164</v>
      </c>
      <c r="P2489" s="12">
        <v>1</v>
      </c>
      <c r="Q2489" s="12" t="s">
        <v>12154</v>
      </c>
      <c r="R2489" s="15" t="s">
        <v>12155</v>
      </c>
      <c r="S2489" s="12">
        <v>258</v>
      </c>
      <c r="T2489" s="12" t="s">
        <v>39</v>
      </c>
      <c r="U2489" s="12" t="s">
        <v>40</v>
      </c>
      <c r="V2489" s="12" t="s">
        <v>6037</v>
      </c>
      <c r="W2489" s="12">
        <v>17000000</v>
      </c>
      <c r="X2489" s="12">
        <v>1964</v>
      </c>
      <c r="Y2489" s="12">
        <v>272</v>
      </c>
      <c r="Z2489" s="12">
        <v>7.9</v>
      </c>
      <c r="AA2489" s="12">
        <v>2.2</v>
      </c>
      <c r="AB2489" s="12">
        <v>0</v>
      </c>
      <c r="AC2489" s="12"/>
      <c r="AD2489" s="12" t="str">
        <f>IFERROR(__xludf.DUMMYFUNCTION("""COMPUTED_VALUE"""),"Keshia Knight Pulliam")</f>
        <v>Keshia Knight Pulliam</v>
      </c>
      <c r="AE2489" s="12"/>
    </row>
    <row r="2490" customHeight="1" spans="1:31">
      <c r="A2490" s="11" t="s">
        <v>30</v>
      </c>
      <c r="B2490" s="11" t="s">
        <v>4832</v>
      </c>
      <c r="C2490" s="11">
        <v>140</v>
      </c>
      <c r="D2490" s="11">
        <v>99</v>
      </c>
      <c r="E2490" s="11">
        <v>13</v>
      </c>
      <c r="F2490" s="11">
        <v>681</v>
      </c>
      <c r="G2490" s="11">
        <v>45000</v>
      </c>
      <c r="H2490" s="11">
        <v>72219395</v>
      </c>
      <c r="I2490" s="11" t="s">
        <v>3030</v>
      </c>
      <c r="J2490" s="11" t="s">
        <v>5334</v>
      </c>
      <c r="K2490" s="11" t="s">
        <v>2477</v>
      </c>
      <c r="L2490" s="11" t="s">
        <v>2262</v>
      </c>
      <c r="M2490" s="11" t="s">
        <v>12156</v>
      </c>
      <c r="N2490" s="11">
        <v>105585</v>
      </c>
      <c r="O2490" s="11">
        <v>50284</v>
      </c>
      <c r="P2490" s="11">
        <v>1</v>
      </c>
      <c r="Q2490" s="11" t="s">
        <v>12157</v>
      </c>
      <c r="R2490" s="14" t="s">
        <v>12158</v>
      </c>
      <c r="S2490" s="11">
        <v>419</v>
      </c>
      <c r="T2490" s="11" t="s">
        <v>39</v>
      </c>
      <c r="U2490" s="11" t="s">
        <v>40</v>
      </c>
      <c r="V2490" s="11" t="s">
        <v>586</v>
      </c>
      <c r="W2490" s="11">
        <v>17000000</v>
      </c>
      <c r="X2490" s="11">
        <v>1997</v>
      </c>
      <c r="Y2490" s="11">
        <v>4000</v>
      </c>
      <c r="Z2490" s="11">
        <v>5.6</v>
      </c>
      <c r="AA2490" s="11">
        <v>2.35</v>
      </c>
      <c r="AB2490" s="11">
        <v>0</v>
      </c>
      <c r="AC2490" s="11"/>
      <c r="AD2490" s="11" t="str">
        <f>IFERROR(__xludf.DUMMYFUNCTION("""COMPUTED_VALUE"""),"LisaRaye McCoy")</f>
        <v>LisaRaye McCoy</v>
      </c>
      <c r="AE2490" s="11"/>
    </row>
    <row r="2491" customHeight="1" spans="1:31">
      <c r="A2491" s="12" t="s">
        <v>30</v>
      </c>
      <c r="B2491" s="12" t="s">
        <v>7428</v>
      </c>
      <c r="C2491" s="12">
        <v>129</v>
      </c>
      <c r="D2491" s="12">
        <v>104</v>
      </c>
      <c r="E2491" s="12">
        <v>42</v>
      </c>
      <c r="F2491" s="12">
        <v>613</v>
      </c>
      <c r="G2491" s="12">
        <v>839</v>
      </c>
      <c r="H2491" s="12">
        <v>82389560</v>
      </c>
      <c r="I2491" s="12" t="s">
        <v>1672</v>
      </c>
      <c r="J2491" s="12" t="s">
        <v>4496</v>
      </c>
      <c r="K2491" s="12" t="s">
        <v>614</v>
      </c>
      <c r="L2491" s="12" t="s">
        <v>1099</v>
      </c>
      <c r="M2491" s="12" t="s">
        <v>12159</v>
      </c>
      <c r="N2491" s="12">
        <v>106820</v>
      </c>
      <c r="O2491" s="12">
        <v>3627</v>
      </c>
      <c r="P2491" s="12">
        <v>1</v>
      </c>
      <c r="Q2491" s="12" t="s">
        <v>12160</v>
      </c>
      <c r="R2491" s="15" t="s">
        <v>12161</v>
      </c>
      <c r="S2491" s="12">
        <v>147</v>
      </c>
      <c r="T2491" s="12" t="s">
        <v>39</v>
      </c>
      <c r="U2491" s="12" t="s">
        <v>40</v>
      </c>
      <c r="V2491" s="12" t="s">
        <v>586</v>
      </c>
      <c r="W2491" s="12">
        <v>17000000</v>
      </c>
      <c r="X2491" s="12">
        <v>2014</v>
      </c>
      <c r="Y2491" s="12">
        <v>756</v>
      </c>
      <c r="Z2491" s="12">
        <v>6.5</v>
      </c>
      <c r="AA2491" s="12">
        <v>1.85</v>
      </c>
      <c r="AB2491" s="12">
        <v>14000</v>
      </c>
      <c r="AC2491" s="12"/>
      <c r="AD2491" s="12" t="str">
        <f>IFERROR(__xludf.DUMMYFUNCTION("""COMPUTED_VALUE"""),"Gregory Alan Williams")</f>
        <v>Gregory Alan Williams</v>
      </c>
      <c r="AE2491" s="12"/>
    </row>
    <row r="2492" customHeight="1" spans="1:31">
      <c r="A2492" s="11" t="s">
        <v>30</v>
      </c>
      <c r="B2492" s="11" t="s">
        <v>8192</v>
      </c>
      <c r="C2492" s="11">
        <v>285</v>
      </c>
      <c r="D2492" s="11">
        <v>126</v>
      </c>
      <c r="E2492" s="11">
        <v>729</v>
      </c>
      <c r="F2492" s="11">
        <v>284</v>
      </c>
      <c r="G2492" s="11">
        <v>912</v>
      </c>
      <c r="H2492" s="11">
        <v>71502303</v>
      </c>
      <c r="I2492" s="11" t="s">
        <v>11385</v>
      </c>
      <c r="J2492" s="11" t="s">
        <v>2666</v>
      </c>
      <c r="K2492" s="11" t="s">
        <v>12162</v>
      </c>
      <c r="L2492" s="11" t="s">
        <v>92</v>
      </c>
      <c r="M2492" s="11" t="s">
        <v>12163</v>
      </c>
      <c r="N2492" s="11">
        <v>149966</v>
      </c>
      <c r="O2492" s="11">
        <v>2170</v>
      </c>
      <c r="P2492" s="11">
        <v>0</v>
      </c>
      <c r="Q2492" s="11" t="s">
        <v>12164</v>
      </c>
      <c r="R2492" s="14" t="s">
        <v>12165</v>
      </c>
      <c r="S2492" s="11">
        <v>835</v>
      </c>
      <c r="T2492" s="11" t="s">
        <v>39</v>
      </c>
      <c r="U2492" s="11" t="s">
        <v>40</v>
      </c>
      <c r="V2492" s="11" t="s">
        <v>586</v>
      </c>
      <c r="W2492" s="11">
        <v>12000000</v>
      </c>
      <c r="X2492" s="11">
        <v>2004</v>
      </c>
      <c r="Y2492" s="11">
        <v>306</v>
      </c>
      <c r="Z2492" s="11">
        <v>7.5</v>
      </c>
      <c r="AA2492" s="11">
        <v>1.85</v>
      </c>
      <c r="AB2492" s="11">
        <v>0</v>
      </c>
      <c r="AC2492" s="11"/>
      <c r="AD2492" s="11" t="str">
        <f>IFERROR(__xludf.DUMMYFUNCTION("""COMPUTED_VALUE"""),"Oliver James")</f>
        <v>Oliver James</v>
      </c>
      <c r="AE2492" s="11"/>
    </row>
    <row r="2493" customHeight="1" spans="1:31">
      <c r="A2493" s="12" t="s">
        <v>30</v>
      </c>
      <c r="B2493" s="12" t="s">
        <v>4940</v>
      </c>
      <c r="C2493" s="12">
        <v>91</v>
      </c>
      <c r="D2493" s="12">
        <v>110</v>
      </c>
      <c r="E2493" s="12">
        <v>422</v>
      </c>
      <c r="F2493" s="12">
        <v>422</v>
      </c>
      <c r="G2493" s="12">
        <v>33000</v>
      </c>
      <c r="H2493" s="12">
        <v>19179969</v>
      </c>
      <c r="I2493" s="12" t="s">
        <v>1672</v>
      </c>
      <c r="J2493" s="12" t="s">
        <v>12166</v>
      </c>
      <c r="K2493" s="12" t="s">
        <v>12167</v>
      </c>
      <c r="L2493" s="12" t="s">
        <v>4940</v>
      </c>
      <c r="M2493" s="12" t="s">
        <v>12168</v>
      </c>
      <c r="N2493" s="12">
        <v>54710</v>
      </c>
      <c r="O2493" s="12">
        <v>35345</v>
      </c>
      <c r="P2493" s="12">
        <v>2</v>
      </c>
      <c r="Q2493" s="12" t="s">
        <v>12169</v>
      </c>
      <c r="R2493" s="15" t="s">
        <v>12170</v>
      </c>
      <c r="S2493" s="12">
        <v>177</v>
      </c>
      <c r="T2493" s="12" t="s">
        <v>39</v>
      </c>
      <c r="U2493" s="12" t="s">
        <v>40</v>
      </c>
      <c r="V2493" s="12" t="s">
        <v>586</v>
      </c>
      <c r="W2493" s="12">
        <v>17500000</v>
      </c>
      <c r="X2493" s="12">
        <v>2006</v>
      </c>
      <c r="Y2493" s="12">
        <v>459</v>
      </c>
      <c r="Z2493" s="12">
        <v>6.3</v>
      </c>
      <c r="AA2493" s="12">
        <v>2.35</v>
      </c>
      <c r="AB2493" s="12">
        <v>0</v>
      </c>
      <c r="AC2493" s="12"/>
      <c r="AD2493" s="12" t="str">
        <f>IFERROR(__xludf.DUMMYFUNCTION("""COMPUTED_VALUE"""),"Jonathan Breck")</f>
        <v>Jonathan Breck</v>
      </c>
      <c r="AE2493" s="12"/>
    </row>
    <row r="2494" customHeight="1" spans="1:31">
      <c r="A2494" s="11" t="s">
        <v>30</v>
      </c>
      <c r="B2494" s="11" t="s">
        <v>5368</v>
      </c>
      <c r="C2494" s="11">
        <v>318</v>
      </c>
      <c r="D2494" s="11">
        <v>101</v>
      </c>
      <c r="E2494" s="11">
        <v>0</v>
      </c>
      <c r="F2494" s="11">
        <v>598</v>
      </c>
      <c r="G2494" s="11">
        <v>2000</v>
      </c>
      <c r="H2494" s="11">
        <v>47000000</v>
      </c>
      <c r="I2494" s="11" t="s">
        <v>5544</v>
      </c>
      <c r="J2494" s="11" t="s">
        <v>1734</v>
      </c>
      <c r="K2494" s="11" t="s">
        <v>10179</v>
      </c>
      <c r="L2494" s="11" t="s">
        <v>5545</v>
      </c>
      <c r="M2494" s="11" t="s">
        <v>12171</v>
      </c>
      <c r="N2494" s="11">
        <v>157857</v>
      </c>
      <c r="O2494" s="11">
        <v>4400</v>
      </c>
      <c r="P2494" s="11">
        <v>0</v>
      </c>
      <c r="Q2494" s="11" t="s">
        <v>12172</v>
      </c>
      <c r="R2494" s="14" t="s">
        <v>12173</v>
      </c>
      <c r="S2494" s="11">
        <v>1191</v>
      </c>
      <c r="T2494" s="11" t="s">
        <v>39</v>
      </c>
      <c r="U2494" s="11" t="s">
        <v>40</v>
      </c>
      <c r="V2494" s="11" t="s">
        <v>586</v>
      </c>
      <c r="W2494" s="11">
        <v>300000</v>
      </c>
      <c r="X2494" s="11">
        <v>1978</v>
      </c>
      <c r="Y2494" s="11">
        <v>742</v>
      </c>
      <c r="Z2494" s="11">
        <v>7.9</v>
      </c>
      <c r="AA2494" s="11">
        <v>2.35</v>
      </c>
      <c r="AB2494" s="11">
        <v>12000</v>
      </c>
      <c r="AC2494" s="11"/>
      <c r="AD2494" s="11" t="str">
        <f>IFERROR(__xludf.DUMMYFUNCTION("""COMPUTED_VALUE"""),"Billy Aaron Brown")</f>
        <v>Billy Aaron Brown</v>
      </c>
      <c r="AE2494" s="11"/>
    </row>
    <row r="2495" customHeight="1" spans="1:31">
      <c r="A2495" s="12" t="s">
        <v>748</v>
      </c>
      <c r="B2495" s="12" t="s">
        <v>1940</v>
      </c>
      <c r="C2495" s="12">
        <v>283</v>
      </c>
      <c r="D2495" s="12">
        <v>80</v>
      </c>
      <c r="E2495" s="12">
        <v>611</v>
      </c>
      <c r="F2495" s="12">
        <v>576</v>
      </c>
      <c r="G2495" s="12">
        <v>5000</v>
      </c>
      <c r="H2495" s="12">
        <v>84961</v>
      </c>
      <c r="I2495" s="12" t="s">
        <v>1313</v>
      </c>
      <c r="J2495" s="12" t="s">
        <v>502</v>
      </c>
      <c r="K2495" s="12" t="s">
        <v>6167</v>
      </c>
      <c r="L2495" s="12" t="s">
        <v>6168</v>
      </c>
      <c r="M2495" s="12" t="s">
        <v>6169</v>
      </c>
      <c r="N2495" s="12">
        <v>149414</v>
      </c>
      <c r="O2495" s="12">
        <v>6229</v>
      </c>
      <c r="P2495" s="12">
        <v>4</v>
      </c>
      <c r="Q2495" s="12" t="s">
        <v>6170</v>
      </c>
      <c r="R2495" s="15" t="s">
        <v>6171</v>
      </c>
      <c r="S2495" s="12">
        <v>841</v>
      </c>
      <c r="T2495" s="12" t="s">
        <v>1947</v>
      </c>
      <c r="U2495" s="12" t="s">
        <v>893</v>
      </c>
      <c r="V2495" s="12" t="s">
        <v>41</v>
      </c>
      <c r="W2495" s="12">
        <v>31000000</v>
      </c>
      <c r="X2495" s="12">
        <v>2002</v>
      </c>
      <c r="Y2495" s="12">
        <v>643</v>
      </c>
      <c r="Z2495" s="12">
        <v>7.9</v>
      </c>
      <c r="AA2495" s="12">
        <v>2.35</v>
      </c>
      <c r="AB2495" s="12">
        <v>0</v>
      </c>
      <c r="AC2495" s="12"/>
      <c r="AD2495" s="12" t="str">
        <f>IFERROR(__xludf.DUMMYFUNCTION("""COMPUTED_VALUE"""),"DMX")</f>
        <v>DMX</v>
      </c>
      <c r="AE2495" s="12"/>
    </row>
    <row r="2496" customHeight="1" spans="1:31">
      <c r="A2496" s="11" t="s">
        <v>30</v>
      </c>
      <c r="B2496" s="11" t="s">
        <v>12174</v>
      </c>
      <c r="C2496" s="11">
        <v>52</v>
      </c>
      <c r="D2496" s="11">
        <v>87</v>
      </c>
      <c r="E2496" s="11">
        <v>9</v>
      </c>
      <c r="F2496" s="11">
        <v>503</v>
      </c>
      <c r="G2496" s="11">
        <v>818</v>
      </c>
      <c r="H2496" s="11">
        <v>37566230</v>
      </c>
      <c r="I2496" s="11" t="s">
        <v>12175</v>
      </c>
      <c r="J2496" s="11" t="s">
        <v>2621</v>
      </c>
      <c r="K2496" s="11" t="s">
        <v>1334</v>
      </c>
      <c r="L2496" s="11" t="s">
        <v>2182</v>
      </c>
      <c r="M2496" s="11" t="s">
        <v>12176</v>
      </c>
      <c r="N2496" s="11">
        <v>3407</v>
      </c>
      <c r="O2496" s="11">
        <v>2164</v>
      </c>
      <c r="P2496" s="11">
        <v>1</v>
      </c>
      <c r="Q2496" s="11" t="s">
        <v>12177</v>
      </c>
      <c r="R2496" s="14" t="s">
        <v>12178</v>
      </c>
      <c r="S2496" s="11">
        <v>48</v>
      </c>
      <c r="T2496" s="11" t="s">
        <v>39</v>
      </c>
      <c r="U2496" s="11" t="s">
        <v>40</v>
      </c>
      <c r="V2496" s="11" t="s">
        <v>96</v>
      </c>
      <c r="W2496" s="11">
        <v>17000000</v>
      </c>
      <c r="X2496" s="11">
        <v>2003</v>
      </c>
      <c r="Y2496" s="11">
        <v>636</v>
      </c>
      <c r="Z2496" s="11">
        <v>5.1</v>
      </c>
      <c r="AA2496" s="11">
        <v>1.85</v>
      </c>
      <c r="AB2496" s="11">
        <v>309</v>
      </c>
      <c r="AC2496" s="11"/>
      <c r="AD2496" s="11" t="str">
        <f>IFERROR(__xludf.DUMMYFUNCTION("""COMPUTED_VALUE"""),"Alexandra Breckenridge")</f>
        <v>Alexandra Breckenridge</v>
      </c>
      <c r="AE2496" s="11"/>
    </row>
    <row r="2497" customHeight="1" spans="1:31">
      <c r="A2497" s="12" t="s">
        <v>30</v>
      </c>
      <c r="B2497" s="12" t="s">
        <v>6801</v>
      </c>
      <c r="C2497" s="12">
        <v>56</v>
      </c>
      <c r="D2497" s="12">
        <v>123</v>
      </c>
      <c r="E2497" s="12">
        <v>92</v>
      </c>
      <c r="F2497" s="12">
        <v>849</v>
      </c>
      <c r="G2497" s="12">
        <v>1000</v>
      </c>
      <c r="H2497" s="12">
        <v>70492685</v>
      </c>
      <c r="I2497" s="12" t="s">
        <v>2528</v>
      </c>
      <c r="J2497" s="12" t="s">
        <v>2808</v>
      </c>
      <c r="K2497" s="12" t="s">
        <v>2232</v>
      </c>
      <c r="L2497" s="12" t="s">
        <v>8572</v>
      </c>
      <c r="M2497" s="12" t="s">
        <v>12179</v>
      </c>
      <c r="N2497" s="12">
        <v>11600</v>
      </c>
      <c r="O2497" s="12">
        <v>5306</v>
      </c>
      <c r="P2497" s="12">
        <v>5</v>
      </c>
      <c r="Q2497" s="12" t="s">
        <v>12180</v>
      </c>
      <c r="R2497" s="15" t="s">
        <v>12181</v>
      </c>
      <c r="S2497" s="12">
        <v>64</v>
      </c>
      <c r="T2497" s="12" t="s">
        <v>39</v>
      </c>
      <c r="U2497" s="12" t="s">
        <v>40</v>
      </c>
      <c r="V2497" s="12" t="s">
        <v>586</v>
      </c>
      <c r="W2497" s="12">
        <v>17000000</v>
      </c>
      <c r="X2497" s="12">
        <v>2013</v>
      </c>
      <c r="Y2497" s="12">
        <v>886</v>
      </c>
      <c r="Z2497" s="12">
        <v>6.7</v>
      </c>
      <c r="AA2497" s="12">
        <v>2.35</v>
      </c>
      <c r="AB2497" s="12">
        <v>7000</v>
      </c>
      <c r="AC2497" s="12"/>
      <c r="AD2497" s="12" t="str">
        <f>IFERROR(__xludf.DUMMYFUNCTION("""COMPUTED_VALUE"""),"Laura Ramsey")</f>
        <v>Laura Ramsey</v>
      </c>
      <c r="AE2497" s="12"/>
    </row>
    <row r="2498" customHeight="1" spans="1:31">
      <c r="A2498" s="11" t="s">
        <v>30</v>
      </c>
      <c r="B2498" s="11" t="s">
        <v>9522</v>
      </c>
      <c r="C2498" s="11">
        <v>186</v>
      </c>
      <c r="D2498" s="11">
        <v>109</v>
      </c>
      <c r="E2498" s="11">
        <v>248</v>
      </c>
      <c r="F2498" s="11">
        <v>968</v>
      </c>
      <c r="G2498" s="11">
        <v>16000</v>
      </c>
      <c r="H2498" s="11">
        <v>35635046</v>
      </c>
      <c r="I2498" s="11" t="s">
        <v>464</v>
      </c>
      <c r="J2498" s="11" t="s">
        <v>315</v>
      </c>
      <c r="K2498" s="11" t="s">
        <v>329</v>
      </c>
      <c r="L2498" s="11" t="s">
        <v>8881</v>
      </c>
      <c r="M2498" s="11" t="s">
        <v>12182</v>
      </c>
      <c r="N2498" s="11">
        <v>121058</v>
      </c>
      <c r="O2498" s="11">
        <v>19410</v>
      </c>
      <c r="P2498" s="11">
        <v>0</v>
      </c>
      <c r="Q2498" s="11" t="s">
        <v>12183</v>
      </c>
      <c r="R2498" s="14" t="s">
        <v>12184</v>
      </c>
      <c r="S2498" s="11">
        <v>482</v>
      </c>
      <c r="T2498" s="11" t="s">
        <v>39</v>
      </c>
      <c r="U2498" s="11" t="s">
        <v>58</v>
      </c>
      <c r="V2498" s="11" t="s">
        <v>586</v>
      </c>
      <c r="W2498" s="11">
        <v>17000000</v>
      </c>
      <c r="X2498" s="11">
        <v>2006</v>
      </c>
      <c r="Y2498" s="11">
        <v>988</v>
      </c>
      <c r="Z2498" s="11">
        <v>6.7</v>
      </c>
      <c r="AA2498" s="11">
        <v>2.35</v>
      </c>
      <c r="AB2498" s="11">
        <v>3000</v>
      </c>
      <c r="AC2498" s="11"/>
      <c r="AD2498" s="11" t="str">
        <f>IFERROR(__xludf.DUMMYFUNCTION("""COMPUTED_VALUE"""),"Lily Atkinson")</f>
        <v>Lily Atkinson</v>
      </c>
      <c r="AE2498" s="11"/>
    </row>
    <row r="2499" customHeight="1" spans="1:31">
      <c r="A2499" s="12" t="s">
        <v>30</v>
      </c>
      <c r="B2499" s="12" t="s">
        <v>12185</v>
      </c>
      <c r="C2499" s="12">
        <v>178</v>
      </c>
      <c r="D2499" s="12">
        <v>90</v>
      </c>
      <c r="E2499" s="12">
        <v>52</v>
      </c>
      <c r="F2499" s="12">
        <v>298</v>
      </c>
      <c r="G2499" s="12">
        <v>723</v>
      </c>
      <c r="H2499" s="12">
        <v>45670855</v>
      </c>
      <c r="I2499" s="12" t="s">
        <v>5104</v>
      </c>
      <c r="J2499" s="12" t="s">
        <v>5920</v>
      </c>
      <c r="K2499" s="12" t="s">
        <v>9500</v>
      </c>
      <c r="L2499" s="12" t="s">
        <v>12186</v>
      </c>
      <c r="M2499" s="12" t="s">
        <v>12187</v>
      </c>
      <c r="N2499" s="12">
        <v>67978</v>
      </c>
      <c r="O2499" s="12">
        <v>1978</v>
      </c>
      <c r="P2499" s="12">
        <v>0</v>
      </c>
      <c r="Q2499" s="12" t="s">
        <v>12188</v>
      </c>
      <c r="R2499" s="15" t="s">
        <v>12189</v>
      </c>
      <c r="S2499" s="12">
        <v>279</v>
      </c>
      <c r="T2499" s="12" t="s">
        <v>39</v>
      </c>
      <c r="U2499" s="12" t="s">
        <v>269</v>
      </c>
      <c r="V2499" s="12" t="s">
        <v>586</v>
      </c>
      <c r="W2499" s="12">
        <v>20000000</v>
      </c>
      <c r="X2499" s="12">
        <v>2010</v>
      </c>
      <c r="Y2499" s="12">
        <v>346</v>
      </c>
      <c r="Z2499" s="12">
        <v>5.6</v>
      </c>
      <c r="AA2499" s="12">
        <v>1.85</v>
      </c>
      <c r="AB2499" s="12">
        <v>12000</v>
      </c>
      <c r="AC2499" s="12"/>
      <c r="AD2499" s="12" t="str">
        <f>IFERROR(__xludf.DUMMYFUNCTION("""COMPUTED_VALUE"""),"Emma de Caunes")</f>
        <v>Emma de Caunes</v>
      </c>
      <c r="AE2499" s="12"/>
    </row>
    <row r="2500" customHeight="1" spans="1:31">
      <c r="A2500" s="11" t="s">
        <v>30</v>
      </c>
      <c r="B2500" s="11" t="s">
        <v>3803</v>
      </c>
      <c r="C2500" s="11">
        <v>140</v>
      </c>
      <c r="D2500" s="11">
        <v>96</v>
      </c>
      <c r="E2500" s="11">
        <v>36</v>
      </c>
      <c r="F2500" s="11">
        <v>486</v>
      </c>
      <c r="G2500" s="11">
        <v>1000</v>
      </c>
      <c r="H2500" s="11">
        <v>37939782</v>
      </c>
      <c r="I2500" s="11" t="s">
        <v>1681</v>
      </c>
      <c r="J2500" s="11" t="s">
        <v>8357</v>
      </c>
      <c r="K2500" s="11" t="s">
        <v>3729</v>
      </c>
      <c r="L2500" s="11" t="s">
        <v>10446</v>
      </c>
      <c r="M2500" s="11" t="s">
        <v>12190</v>
      </c>
      <c r="N2500" s="11">
        <v>62272</v>
      </c>
      <c r="O2500" s="11">
        <v>3294</v>
      </c>
      <c r="P2500" s="11">
        <v>0</v>
      </c>
      <c r="Q2500" s="11" t="s">
        <v>12191</v>
      </c>
      <c r="R2500" s="14" t="s">
        <v>12192</v>
      </c>
      <c r="S2500" s="11">
        <v>207</v>
      </c>
      <c r="T2500" s="11" t="s">
        <v>39</v>
      </c>
      <c r="U2500" s="11" t="s">
        <v>40</v>
      </c>
      <c r="V2500" s="11" t="s">
        <v>586</v>
      </c>
      <c r="W2500" s="11">
        <v>17000000</v>
      </c>
      <c r="X2500" s="11">
        <v>2002</v>
      </c>
      <c r="Y2500" s="11">
        <v>580</v>
      </c>
      <c r="Z2500" s="11">
        <v>5.6</v>
      </c>
      <c r="AA2500" s="11">
        <v>1.85</v>
      </c>
      <c r="AB2500" s="11">
        <v>2000</v>
      </c>
      <c r="AC2500" s="11"/>
      <c r="AD2500" s="11" t="str">
        <f>IFERROR(__xludf.DUMMYFUNCTION("""COMPUTED_VALUE"""),"Steve Pemberton")</f>
        <v>Steve Pemberton</v>
      </c>
      <c r="AE2500" s="11"/>
    </row>
    <row r="2501" customHeight="1" spans="1:31">
      <c r="A2501" s="12" t="s">
        <v>30</v>
      </c>
      <c r="B2501" s="12" t="s">
        <v>300</v>
      </c>
      <c r="C2501" s="12">
        <v>469</v>
      </c>
      <c r="D2501" s="12">
        <v>125</v>
      </c>
      <c r="E2501" s="12">
        <v>364</v>
      </c>
      <c r="F2501" s="12">
        <v>1000</v>
      </c>
      <c r="G2501" s="12">
        <v>12000</v>
      </c>
      <c r="H2501" s="12">
        <v>172051787</v>
      </c>
      <c r="I2501" s="12" t="s">
        <v>73</v>
      </c>
      <c r="J2501" s="12" t="s">
        <v>301</v>
      </c>
      <c r="K2501" s="12" t="s">
        <v>302</v>
      </c>
      <c r="L2501" s="12" t="s">
        <v>303</v>
      </c>
      <c r="M2501" s="12" t="s">
        <v>304</v>
      </c>
      <c r="N2501" s="12">
        <v>264186</v>
      </c>
      <c r="O2501" s="12">
        <v>25549</v>
      </c>
      <c r="P2501" s="12">
        <v>0</v>
      </c>
      <c r="Q2501" s="12" t="s">
        <v>305</v>
      </c>
      <c r="R2501" s="15" t="s">
        <v>306</v>
      </c>
      <c r="S2501" s="12">
        <v>665</v>
      </c>
      <c r="T2501" s="12" t="s">
        <v>39</v>
      </c>
      <c r="U2501" s="12" t="s">
        <v>40</v>
      </c>
      <c r="V2501" s="12" t="s">
        <v>96</v>
      </c>
      <c r="W2501" s="12">
        <v>170000000</v>
      </c>
      <c r="X2501" s="12">
        <v>2010</v>
      </c>
      <c r="Y2501" s="12">
        <v>10000</v>
      </c>
      <c r="Z2501" s="12">
        <v>6.8</v>
      </c>
      <c r="AA2501" s="12">
        <v>2.35</v>
      </c>
      <c r="AB2501" s="12">
        <v>30000</v>
      </c>
      <c r="AC2501" s="12"/>
      <c r="AD2501" s="12" t="str">
        <f>IFERROR(__xludf.DUMMYFUNCTION("""COMPUTED_VALUE"""),"Nicholas Gonzalez")</f>
        <v>Nicholas Gonzalez</v>
      </c>
      <c r="AE2501" s="12"/>
    </row>
    <row r="2502" customHeight="1" spans="1:31">
      <c r="A2502" s="11" t="s">
        <v>30</v>
      </c>
      <c r="B2502" s="11" t="s">
        <v>12193</v>
      </c>
      <c r="C2502" s="11">
        <v>63</v>
      </c>
      <c r="D2502" s="11">
        <v>82</v>
      </c>
      <c r="E2502" s="11">
        <v>12</v>
      </c>
      <c r="F2502" s="11">
        <v>281</v>
      </c>
      <c r="G2502" s="11">
        <v>8000</v>
      </c>
      <c r="H2502" s="11">
        <v>30324946</v>
      </c>
      <c r="I2502" s="11" t="s">
        <v>6546</v>
      </c>
      <c r="J2502" s="11" t="s">
        <v>1249</v>
      </c>
      <c r="K2502" s="11" t="s">
        <v>12194</v>
      </c>
      <c r="L2502" s="11" t="s">
        <v>10252</v>
      </c>
      <c r="M2502" s="11" t="s">
        <v>12195</v>
      </c>
      <c r="N2502" s="11">
        <v>48458</v>
      </c>
      <c r="O2502" s="11">
        <v>9271</v>
      </c>
      <c r="P2502" s="11">
        <v>2</v>
      </c>
      <c r="Q2502" s="11" t="s">
        <v>12196</v>
      </c>
      <c r="R2502" s="14" t="s">
        <v>12197</v>
      </c>
      <c r="S2502" s="11">
        <v>239</v>
      </c>
      <c r="T2502" s="11" t="s">
        <v>39</v>
      </c>
      <c r="U2502" s="11" t="s">
        <v>40</v>
      </c>
      <c r="V2502" s="11" t="s">
        <v>41</v>
      </c>
      <c r="W2502" s="11">
        <v>17000000</v>
      </c>
      <c r="X2502" s="11">
        <v>1998</v>
      </c>
      <c r="Y2502" s="11">
        <v>357</v>
      </c>
      <c r="Z2502" s="11">
        <v>6.2</v>
      </c>
      <c r="AA2502" s="11">
        <v>1.85</v>
      </c>
      <c r="AB2502" s="11">
        <v>0</v>
      </c>
      <c r="AC2502" s="11"/>
      <c r="AD2502" s="11" t="str">
        <f>IFERROR(__xludf.DUMMYFUNCTION("""COMPUTED_VALUE"""),"Salli Richardson-Whitfield")</f>
        <v>Salli Richardson-Whitfield</v>
      </c>
      <c r="AE2502" s="11"/>
    </row>
    <row r="2503" customHeight="1" spans="1:31">
      <c r="A2503" s="12" t="s">
        <v>30</v>
      </c>
      <c r="B2503" s="12" t="s">
        <v>11669</v>
      </c>
      <c r="C2503" s="12">
        <v>148</v>
      </c>
      <c r="D2503" s="12">
        <v>86</v>
      </c>
      <c r="E2503" s="12">
        <v>33</v>
      </c>
      <c r="F2503" s="12">
        <v>583</v>
      </c>
      <c r="G2503" s="12">
        <v>15000</v>
      </c>
      <c r="H2503" s="12">
        <v>27854896</v>
      </c>
      <c r="I2503" s="12" t="s">
        <v>687</v>
      </c>
      <c r="J2503" s="12" t="s">
        <v>5183</v>
      </c>
      <c r="K2503" s="12" t="s">
        <v>6770</v>
      </c>
      <c r="L2503" s="12" t="s">
        <v>12198</v>
      </c>
      <c r="M2503" s="12" t="s">
        <v>12199</v>
      </c>
      <c r="N2503" s="12">
        <v>64190</v>
      </c>
      <c r="O2503" s="12">
        <v>17396</v>
      </c>
      <c r="P2503" s="12">
        <v>1</v>
      </c>
      <c r="Q2503" s="12" t="s">
        <v>12200</v>
      </c>
      <c r="R2503" s="15" t="s">
        <v>12201</v>
      </c>
      <c r="S2503" s="12">
        <v>129</v>
      </c>
      <c r="T2503" s="12" t="s">
        <v>39</v>
      </c>
      <c r="U2503" s="12" t="s">
        <v>40</v>
      </c>
      <c r="V2503" s="12" t="s">
        <v>41</v>
      </c>
      <c r="W2503" s="12">
        <v>17000000</v>
      </c>
      <c r="X2503" s="12">
        <v>2011</v>
      </c>
      <c r="Y2503" s="12">
        <v>976</v>
      </c>
      <c r="Z2503" s="12">
        <v>5.6</v>
      </c>
      <c r="AA2503" s="12">
        <v>2.35</v>
      </c>
      <c r="AB2503" s="12">
        <v>16000</v>
      </c>
      <c r="AC2503" s="12"/>
      <c r="AD2503" s="12" t="str">
        <f>IFERROR(__xludf.DUMMYFUNCTION("""COMPUTED_VALUE"""),"Johnny Messner")</f>
        <v>Johnny Messner</v>
      </c>
      <c r="AE2503" s="12"/>
    </row>
    <row r="2504" customHeight="1" spans="1:31">
      <c r="A2504" s="11" t="s">
        <v>30</v>
      </c>
      <c r="B2504" s="11" t="s">
        <v>7481</v>
      </c>
      <c r="C2504" s="11">
        <v>265</v>
      </c>
      <c r="D2504" s="11">
        <v>108</v>
      </c>
      <c r="E2504" s="11">
        <v>192</v>
      </c>
      <c r="F2504" s="11">
        <v>580</v>
      </c>
      <c r="G2504" s="11">
        <v>1000</v>
      </c>
      <c r="H2504" s="11">
        <v>41777564</v>
      </c>
      <c r="I2504" s="11" t="s">
        <v>6403</v>
      </c>
      <c r="J2504" s="11" t="s">
        <v>11564</v>
      </c>
      <c r="K2504" s="11" t="s">
        <v>12067</v>
      </c>
      <c r="L2504" s="11" t="s">
        <v>3729</v>
      </c>
      <c r="M2504" s="11" t="s">
        <v>12202</v>
      </c>
      <c r="N2504" s="11">
        <v>129719</v>
      </c>
      <c r="O2504" s="11">
        <v>4500</v>
      </c>
      <c r="P2504" s="11">
        <v>0</v>
      </c>
      <c r="Q2504" s="11" t="s">
        <v>12203</v>
      </c>
      <c r="R2504" s="14" t="s">
        <v>12204</v>
      </c>
      <c r="S2504" s="11">
        <v>855</v>
      </c>
      <c r="T2504" s="11" t="s">
        <v>39</v>
      </c>
      <c r="U2504" s="11" t="s">
        <v>40</v>
      </c>
      <c r="V2504" s="11" t="s">
        <v>586</v>
      </c>
      <c r="W2504" s="11">
        <v>15000000</v>
      </c>
      <c r="X2504" s="11">
        <v>2006</v>
      </c>
      <c r="Y2504" s="11">
        <v>1000</v>
      </c>
      <c r="Z2504" s="11">
        <v>6.4</v>
      </c>
      <c r="AA2504" s="11">
        <v>2.35</v>
      </c>
      <c r="AB2504" s="11">
        <v>0</v>
      </c>
      <c r="AC2504" s="11"/>
      <c r="AD2504" s="11" t="str">
        <f>IFERROR(__xludf.DUMMYFUNCTION("""COMPUTED_VALUE"""),"Aaron Staton")</f>
        <v>Aaron Staton</v>
      </c>
      <c r="AE2504" s="11"/>
    </row>
    <row r="2505" customHeight="1" spans="1:31">
      <c r="A2505" s="12" t="s">
        <v>30</v>
      </c>
      <c r="B2505" s="12" t="s">
        <v>4592</v>
      </c>
      <c r="C2505" s="12">
        <v>75</v>
      </c>
      <c r="D2505" s="12">
        <v>98</v>
      </c>
      <c r="E2505" s="12">
        <v>39</v>
      </c>
      <c r="F2505" s="12">
        <v>428</v>
      </c>
      <c r="G2505" s="12">
        <v>593</v>
      </c>
      <c r="H2505" s="12">
        <v>22734486</v>
      </c>
      <c r="I2505" s="12" t="s">
        <v>1672</v>
      </c>
      <c r="J2505" s="12" t="s">
        <v>3814</v>
      </c>
      <c r="K2505" s="12" t="s">
        <v>4735</v>
      </c>
      <c r="L2505" s="12" t="s">
        <v>8993</v>
      </c>
      <c r="M2505" s="12" t="s">
        <v>12205</v>
      </c>
      <c r="N2505" s="12">
        <v>11815</v>
      </c>
      <c r="O2505" s="12">
        <v>2713</v>
      </c>
      <c r="P2505" s="12">
        <v>1</v>
      </c>
      <c r="Q2505" s="12" t="s">
        <v>12206</v>
      </c>
      <c r="R2505" s="15" t="s">
        <v>12207</v>
      </c>
      <c r="S2505" s="12">
        <v>117</v>
      </c>
      <c r="T2505" s="12" t="s">
        <v>39</v>
      </c>
      <c r="U2505" s="12" t="s">
        <v>40</v>
      </c>
      <c r="V2505" s="12" t="s">
        <v>41</v>
      </c>
      <c r="W2505" s="12">
        <v>17000000</v>
      </c>
      <c r="X2505" s="12">
        <v>2003</v>
      </c>
      <c r="Y2505" s="12">
        <v>517</v>
      </c>
      <c r="Z2505" s="12">
        <v>5.6</v>
      </c>
      <c r="AA2505" s="12">
        <v>2.35</v>
      </c>
      <c r="AB2505" s="12">
        <v>320</v>
      </c>
      <c r="AC2505" s="12"/>
      <c r="AD2505" s="12" t="str">
        <f>IFERROR(__xludf.DUMMYFUNCTION("""COMPUTED_VALUE"""),"Fanny Ardant")</f>
        <v>Fanny Ardant</v>
      </c>
      <c r="AE2505" s="12"/>
    </row>
    <row r="2506" customHeight="1" spans="1:31">
      <c r="A2506" s="11" t="s">
        <v>30</v>
      </c>
      <c r="B2506" s="11" t="s">
        <v>8547</v>
      </c>
      <c r="C2506" s="11">
        <v>113</v>
      </c>
      <c r="D2506" s="11">
        <v>129</v>
      </c>
      <c r="E2506" s="11">
        <v>51</v>
      </c>
      <c r="F2506" s="11">
        <v>89</v>
      </c>
      <c r="G2506" s="11">
        <v>427</v>
      </c>
      <c r="H2506" s="11">
        <v>44469602</v>
      </c>
      <c r="I2506" s="11" t="s">
        <v>1635</v>
      </c>
      <c r="J2506" s="11" t="s">
        <v>12208</v>
      </c>
      <c r="K2506" s="11" t="s">
        <v>12209</v>
      </c>
      <c r="L2506" s="11" t="s">
        <v>12210</v>
      </c>
      <c r="M2506" s="11" t="s">
        <v>12211</v>
      </c>
      <c r="N2506" s="11">
        <v>23480</v>
      </c>
      <c r="O2506" s="11">
        <v>952</v>
      </c>
      <c r="P2506" s="11">
        <v>0</v>
      </c>
      <c r="Q2506" s="11" t="s">
        <v>12212</v>
      </c>
      <c r="R2506" s="14" t="s">
        <v>12213</v>
      </c>
      <c r="S2506" s="11">
        <v>83</v>
      </c>
      <c r="T2506" s="11" t="s">
        <v>39</v>
      </c>
      <c r="U2506" s="11" t="s">
        <v>40</v>
      </c>
      <c r="V2506" s="11" t="s">
        <v>96</v>
      </c>
      <c r="W2506" s="11">
        <v>17000000</v>
      </c>
      <c r="X2506" s="11">
        <v>2015</v>
      </c>
      <c r="Y2506" s="11">
        <v>234</v>
      </c>
      <c r="Z2506" s="11">
        <v>7.4</v>
      </c>
      <c r="AA2506" s="11">
        <v>2.35</v>
      </c>
      <c r="AB2506" s="11">
        <v>21000</v>
      </c>
      <c r="AC2506" s="11"/>
      <c r="AD2506" s="11" t="str">
        <f>IFERROR(__xludf.DUMMYFUNCTION("""COMPUTED_VALUE"""),"Eric Cantona")</f>
        <v>Eric Cantona</v>
      </c>
      <c r="AE2506" s="11"/>
    </row>
    <row r="2507" customHeight="1" spans="1:31">
      <c r="A2507" s="12" t="s">
        <v>30</v>
      </c>
      <c r="B2507" s="12" t="s">
        <v>12214</v>
      </c>
      <c r="C2507" s="12">
        <v>62</v>
      </c>
      <c r="D2507" s="12">
        <v>99</v>
      </c>
      <c r="E2507" s="12">
        <v>17</v>
      </c>
      <c r="F2507" s="12">
        <v>826</v>
      </c>
      <c r="G2507" s="12">
        <v>918</v>
      </c>
      <c r="H2507" s="12">
        <v>24708699</v>
      </c>
      <c r="I2507" s="12" t="s">
        <v>1672</v>
      </c>
      <c r="J2507" s="12" t="s">
        <v>2138</v>
      </c>
      <c r="K2507" s="12" t="s">
        <v>3077</v>
      </c>
      <c r="L2507" s="12" t="s">
        <v>12215</v>
      </c>
      <c r="M2507" s="12" t="s">
        <v>12216</v>
      </c>
      <c r="N2507" s="12">
        <v>7991</v>
      </c>
      <c r="O2507" s="12">
        <v>4797</v>
      </c>
      <c r="P2507" s="12">
        <v>7</v>
      </c>
      <c r="Q2507" s="12" t="s">
        <v>12217</v>
      </c>
      <c r="R2507" s="15" t="s">
        <v>12218</v>
      </c>
      <c r="S2507" s="12">
        <v>30</v>
      </c>
      <c r="T2507" s="12" t="s">
        <v>39</v>
      </c>
      <c r="U2507" s="12" t="s">
        <v>40</v>
      </c>
      <c r="V2507" s="12" t="s">
        <v>41</v>
      </c>
      <c r="W2507" s="16"/>
      <c r="X2507" s="12">
        <v>2010</v>
      </c>
      <c r="Y2507" s="12">
        <v>912</v>
      </c>
      <c r="Z2507" s="12">
        <v>4.9</v>
      </c>
      <c r="AA2507" s="12">
        <v>2.35</v>
      </c>
      <c r="AB2507" s="12">
        <v>0</v>
      </c>
      <c r="AC2507" s="12"/>
      <c r="AD2507" s="12" t="str">
        <f>IFERROR(__xludf.DUMMYFUNCTION("""COMPUTED_VALUE"""),"Alexis Arquette")</f>
        <v>Alexis Arquette</v>
      </c>
      <c r="AE2507" s="12"/>
    </row>
    <row r="2508" customHeight="1" spans="1:31">
      <c r="A2508" s="11" t="s">
        <v>30</v>
      </c>
      <c r="B2508" s="11" t="s">
        <v>12219</v>
      </c>
      <c r="C2508" s="11">
        <v>54</v>
      </c>
      <c r="D2508" s="11">
        <v>105</v>
      </c>
      <c r="E2508" s="11">
        <v>49</v>
      </c>
      <c r="F2508" s="11">
        <v>104</v>
      </c>
      <c r="G2508" s="11">
        <v>680</v>
      </c>
      <c r="H2508" s="11">
        <v>21160089</v>
      </c>
      <c r="I2508" s="11" t="s">
        <v>12220</v>
      </c>
      <c r="J2508" s="11" t="s">
        <v>1167</v>
      </c>
      <c r="K2508" s="11" t="s">
        <v>12221</v>
      </c>
      <c r="L2508" s="11" t="s">
        <v>12222</v>
      </c>
      <c r="M2508" s="11" t="s">
        <v>12223</v>
      </c>
      <c r="N2508" s="11">
        <v>8522</v>
      </c>
      <c r="O2508" s="11">
        <v>1538</v>
      </c>
      <c r="P2508" s="11">
        <v>0</v>
      </c>
      <c r="Q2508" s="11" t="s">
        <v>12224</v>
      </c>
      <c r="R2508" s="14" t="s">
        <v>12225</v>
      </c>
      <c r="S2508" s="11">
        <v>92</v>
      </c>
      <c r="T2508" s="11" t="s">
        <v>39</v>
      </c>
      <c r="U2508" s="11" t="s">
        <v>40</v>
      </c>
      <c r="V2508" s="11" t="s">
        <v>41</v>
      </c>
      <c r="W2508" s="13"/>
      <c r="X2508" s="11">
        <v>2006</v>
      </c>
      <c r="Y2508" s="11">
        <v>503</v>
      </c>
      <c r="Z2508" s="11">
        <v>6</v>
      </c>
      <c r="AA2508" s="11">
        <v>2.35</v>
      </c>
      <c r="AB2508" s="11">
        <v>874</v>
      </c>
      <c r="AC2508" s="11"/>
      <c r="AD2508" s="11" t="str">
        <f>IFERROR(__xludf.DUMMYFUNCTION("""COMPUTED_VALUE"""),"Park Bench")</f>
        <v>Park Bench</v>
      </c>
      <c r="AE2508" s="11"/>
    </row>
    <row r="2509" customHeight="1" spans="1:31">
      <c r="A2509" s="12" t="s">
        <v>30</v>
      </c>
      <c r="B2509" s="12" t="s">
        <v>12226</v>
      </c>
      <c r="C2509" s="12">
        <v>223</v>
      </c>
      <c r="D2509" s="12">
        <v>112</v>
      </c>
      <c r="E2509" s="12">
        <v>36</v>
      </c>
      <c r="F2509" s="12">
        <v>746</v>
      </c>
      <c r="G2509" s="12">
        <v>10000</v>
      </c>
      <c r="H2509" s="12">
        <v>64998368</v>
      </c>
      <c r="I2509" s="12" t="s">
        <v>6546</v>
      </c>
      <c r="J2509" s="12" t="s">
        <v>2456</v>
      </c>
      <c r="K2509" s="12" t="s">
        <v>8767</v>
      </c>
      <c r="L2509" s="12" t="s">
        <v>12227</v>
      </c>
      <c r="M2509" s="12" t="s">
        <v>12228</v>
      </c>
      <c r="N2509" s="12">
        <v>213898</v>
      </c>
      <c r="O2509" s="12">
        <v>12676</v>
      </c>
      <c r="P2509" s="12">
        <v>4</v>
      </c>
      <c r="Q2509" s="12" t="s">
        <v>12229</v>
      </c>
      <c r="R2509" s="15" t="s">
        <v>12230</v>
      </c>
      <c r="S2509" s="12">
        <v>250</v>
      </c>
      <c r="T2509" s="12" t="s">
        <v>39</v>
      </c>
      <c r="U2509" s="12" t="s">
        <v>40</v>
      </c>
      <c r="V2509" s="12" t="s">
        <v>41</v>
      </c>
      <c r="W2509" s="12">
        <v>17000000</v>
      </c>
      <c r="X2509" s="12">
        <v>2012</v>
      </c>
      <c r="Y2509" s="12">
        <v>751</v>
      </c>
      <c r="Z2509" s="12">
        <v>7.2</v>
      </c>
      <c r="AA2509" s="12">
        <v>1.85</v>
      </c>
      <c r="AB2509" s="12">
        <v>36000</v>
      </c>
      <c r="AC2509" s="12"/>
      <c r="AD2509" s="12" t="str">
        <f>IFERROR(__xludf.DUMMYFUNCTION("""COMPUTED_VALUE"""),"Vince Corazza")</f>
        <v>Vince Corazza</v>
      </c>
      <c r="AE2509" s="12"/>
    </row>
    <row r="2510" customHeight="1" spans="1:31">
      <c r="A2510" s="11" t="s">
        <v>30</v>
      </c>
      <c r="B2510" s="11" t="s">
        <v>7353</v>
      </c>
      <c r="C2510" s="11">
        <v>50</v>
      </c>
      <c r="D2510" s="11">
        <v>108</v>
      </c>
      <c r="E2510" s="11">
        <v>19</v>
      </c>
      <c r="F2510" s="11">
        <v>505</v>
      </c>
      <c r="G2510" s="11">
        <v>973</v>
      </c>
      <c r="H2510" s="11">
        <v>19693891</v>
      </c>
      <c r="I2510" s="11" t="s">
        <v>4479</v>
      </c>
      <c r="J2510" s="11" t="s">
        <v>1424</v>
      </c>
      <c r="K2510" s="11" t="s">
        <v>795</v>
      </c>
      <c r="L2510" s="11" t="s">
        <v>1287</v>
      </c>
      <c r="M2510" s="11" t="s">
        <v>12231</v>
      </c>
      <c r="N2510" s="11">
        <v>12993</v>
      </c>
      <c r="O2510" s="11">
        <v>3344</v>
      </c>
      <c r="P2510" s="11">
        <v>2</v>
      </c>
      <c r="Q2510" s="11" t="s">
        <v>12232</v>
      </c>
      <c r="R2510" s="14" t="s">
        <v>12233</v>
      </c>
      <c r="S2510" s="11">
        <v>107</v>
      </c>
      <c r="T2510" s="11" t="s">
        <v>39</v>
      </c>
      <c r="U2510" s="11" t="s">
        <v>40</v>
      </c>
      <c r="V2510" s="11" t="s">
        <v>41</v>
      </c>
      <c r="W2510" s="11">
        <v>34000000</v>
      </c>
      <c r="X2510" s="11">
        <v>2001</v>
      </c>
      <c r="Y2510" s="11">
        <v>954</v>
      </c>
      <c r="Z2510" s="11">
        <v>4.9</v>
      </c>
      <c r="AA2510" s="11">
        <v>1.85</v>
      </c>
      <c r="AB2510" s="11">
        <v>476</v>
      </c>
      <c r="AC2510" s="11"/>
      <c r="AD2510" s="11" t="str">
        <f>IFERROR(__xludf.DUMMYFUNCTION("""COMPUTED_VALUE"""),"Joseph Cotten")</f>
        <v>Joseph Cotten</v>
      </c>
      <c r="AE2510" s="11"/>
    </row>
    <row r="2511" customHeight="1" spans="1:31">
      <c r="A2511" s="12" t="s">
        <v>30</v>
      </c>
      <c r="B2511" s="12" t="s">
        <v>80</v>
      </c>
      <c r="C2511" s="12">
        <v>125</v>
      </c>
      <c r="D2511" s="12">
        <v>121</v>
      </c>
      <c r="E2511" s="12">
        <v>0</v>
      </c>
      <c r="F2511" s="12">
        <v>244</v>
      </c>
      <c r="G2511" s="12">
        <v>989</v>
      </c>
      <c r="H2511" s="12">
        <v>16311763</v>
      </c>
      <c r="I2511" s="12" t="s">
        <v>2126</v>
      </c>
      <c r="J2511" s="12" t="s">
        <v>3230</v>
      </c>
      <c r="K2511" s="12" t="s">
        <v>3179</v>
      </c>
      <c r="L2511" s="12" t="s">
        <v>3436</v>
      </c>
      <c r="M2511" s="12" t="s">
        <v>12234</v>
      </c>
      <c r="N2511" s="12">
        <v>50656</v>
      </c>
      <c r="O2511" s="12">
        <v>2365</v>
      </c>
      <c r="P2511" s="12">
        <v>1</v>
      </c>
      <c r="Q2511" s="12" t="s">
        <v>12235</v>
      </c>
      <c r="R2511" s="15" t="s">
        <v>12236</v>
      </c>
      <c r="S2511" s="12">
        <v>416</v>
      </c>
      <c r="T2511" s="12" t="s">
        <v>39</v>
      </c>
      <c r="U2511" s="12" t="s">
        <v>58</v>
      </c>
      <c r="V2511" s="12" t="s">
        <v>586</v>
      </c>
      <c r="W2511" s="12">
        <v>17000000</v>
      </c>
      <c r="X2511" s="12">
        <v>1998</v>
      </c>
      <c r="Y2511" s="12">
        <v>888</v>
      </c>
      <c r="Z2511" s="12">
        <v>7.5</v>
      </c>
      <c r="AA2511" s="12">
        <v>1.85</v>
      </c>
      <c r="AB2511" s="12">
        <v>0</v>
      </c>
      <c r="AC2511" s="12"/>
      <c r="AD2511" s="12" t="str">
        <f>IFERROR(__xludf.DUMMYFUNCTION("""COMPUTED_VALUE"""),"Richard Anderson")</f>
        <v>Richard Anderson</v>
      </c>
      <c r="AE2511" s="12"/>
    </row>
    <row r="2512" customHeight="1" spans="1:31">
      <c r="A2512" s="11" t="s">
        <v>30</v>
      </c>
      <c r="B2512" s="11" t="s">
        <v>12237</v>
      </c>
      <c r="C2512" s="11">
        <v>81</v>
      </c>
      <c r="D2512" s="11">
        <v>89</v>
      </c>
      <c r="E2512" s="11">
        <v>11</v>
      </c>
      <c r="F2512" s="11">
        <v>973</v>
      </c>
      <c r="G2512" s="11">
        <v>1000</v>
      </c>
      <c r="H2512" s="11">
        <v>12693621</v>
      </c>
      <c r="I2512" s="11" t="s">
        <v>3030</v>
      </c>
      <c r="J2512" s="11" t="s">
        <v>2007</v>
      </c>
      <c r="K2512" s="11" t="s">
        <v>2643</v>
      </c>
      <c r="L2512" s="11" t="s">
        <v>1424</v>
      </c>
      <c r="M2512" s="11" t="s">
        <v>12238</v>
      </c>
      <c r="N2512" s="11">
        <v>10885</v>
      </c>
      <c r="O2512" s="11">
        <v>4060</v>
      </c>
      <c r="P2512" s="11">
        <v>0</v>
      </c>
      <c r="Q2512" s="11" t="s">
        <v>12239</v>
      </c>
      <c r="R2512" s="14" t="s">
        <v>12240</v>
      </c>
      <c r="S2512" s="11">
        <v>271</v>
      </c>
      <c r="T2512" s="11" t="s">
        <v>39</v>
      </c>
      <c r="U2512" s="11" t="s">
        <v>40</v>
      </c>
      <c r="V2512" s="11" t="s">
        <v>41</v>
      </c>
      <c r="W2512" s="11">
        <v>17000000</v>
      </c>
      <c r="X2512" s="11">
        <v>2002</v>
      </c>
      <c r="Y2512" s="11">
        <v>982</v>
      </c>
      <c r="Z2512" s="11">
        <v>4.8</v>
      </c>
      <c r="AA2512" s="11">
        <v>2.35</v>
      </c>
      <c r="AB2512" s="11">
        <v>814</v>
      </c>
      <c r="AC2512" s="11"/>
      <c r="AD2512" s="11" t="str">
        <f>IFERROR(__xludf.DUMMYFUNCTION("""COMPUTED_VALUE"""),"James Whitmore")</f>
        <v>James Whitmore</v>
      </c>
      <c r="AE2512" s="11"/>
    </row>
    <row r="2513" customHeight="1" spans="1:31">
      <c r="A2513" s="12" t="s">
        <v>30</v>
      </c>
      <c r="B2513" s="12" t="s">
        <v>12241</v>
      </c>
      <c r="C2513" s="12">
        <v>37</v>
      </c>
      <c r="D2513" s="12">
        <v>89</v>
      </c>
      <c r="E2513" s="12">
        <v>0</v>
      </c>
      <c r="F2513" s="12">
        <v>323</v>
      </c>
      <c r="G2513" s="12">
        <v>690</v>
      </c>
      <c r="H2513" s="12">
        <v>15655665</v>
      </c>
      <c r="I2513" s="12" t="s">
        <v>1681</v>
      </c>
      <c r="J2513" s="12" t="s">
        <v>6256</v>
      </c>
      <c r="K2513" s="12" t="s">
        <v>9518</v>
      </c>
      <c r="L2513" s="12" t="s">
        <v>12242</v>
      </c>
      <c r="M2513" s="12" t="s">
        <v>12243</v>
      </c>
      <c r="N2513" s="12">
        <v>9104</v>
      </c>
      <c r="O2513" s="12">
        <v>2135</v>
      </c>
      <c r="P2513" s="12">
        <v>2</v>
      </c>
      <c r="Q2513" s="12" t="s">
        <v>12244</v>
      </c>
      <c r="R2513" s="15" t="s">
        <v>12245</v>
      </c>
      <c r="S2513" s="12">
        <v>112</v>
      </c>
      <c r="T2513" s="12" t="s">
        <v>39</v>
      </c>
      <c r="U2513" s="12" t="s">
        <v>40</v>
      </c>
      <c r="V2513" s="12" t="s">
        <v>41</v>
      </c>
      <c r="W2513" s="12">
        <v>4000000</v>
      </c>
      <c r="X2513" s="12">
        <v>2006</v>
      </c>
      <c r="Y2513" s="12">
        <v>400</v>
      </c>
      <c r="Z2513" s="12">
        <v>3.1</v>
      </c>
      <c r="AA2513" s="12">
        <v>1.33</v>
      </c>
      <c r="AB2513" s="12">
        <v>110</v>
      </c>
      <c r="AC2513" s="12"/>
      <c r="AD2513" s="12" t="str">
        <f>IFERROR(__xludf.DUMMYFUNCTION("""COMPUTED_VALUE"""),"Richard Briers")</f>
        <v>Richard Briers</v>
      </c>
      <c r="AE2513" s="12"/>
    </row>
    <row r="2514" customHeight="1" spans="1:31">
      <c r="A2514" s="11" t="s">
        <v>30</v>
      </c>
      <c r="B2514" s="11" t="s">
        <v>12246</v>
      </c>
      <c r="C2514" s="11">
        <v>44</v>
      </c>
      <c r="D2514" s="11">
        <v>73</v>
      </c>
      <c r="E2514" s="11">
        <v>11</v>
      </c>
      <c r="F2514" s="11">
        <v>142</v>
      </c>
      <c r="G2514" s="11">
        <v>1000</v>
      </c>
      <c r="H2514" s="11">
        <v>11634458</v>
      </c>
      <c r="I2514" s="11" t="s">
        <v>12247</v>
      </c>
      <c r="J2514" s="11" t="s">
        <v>1760</v>
      </c>
      <c r="K2514" s="11" t="s">
        <v>12248</v>
      </c>
      <c r="L2514" s="11" t="s">
        <v>12249</v>
      </c>
      <c r="M2514" s="11" t="s">
        <v>12250</v>
      </c>
      <c r="N2514" s="11">
        <v>2045</v>
      </c>
      <c r="O2514" s="11">
        <v>2020</v>
      </c>
      <c r="P2514" s="11">
        <v>0</v>
      </c>
      <c r="Q2514" s="11" t="s">
        <v>12251</v>
      </c>
      <c r="R2514" s="14" t="s">
        <v>12252</v>
      </c>
      <c r="S2514" s="11">
        <v>37</v>
      </c>
      <c r="T2514" s="11" t="s">
        <v>39</v>
      </c>
      <c r="U2514" s="11" t="s">
        <v>40</v>
      </c>
      <c r="V2514" s="11" t="s">
        <v>278</v>
      </c>
      <c r="W2514" s="11">
        <v>17000000</v>
      </c>
      <c r="X2514" s="11">
        <v>1999</v>
      </c>
      <c r="Y2514" s="11">
        <v>436</v>
      </c>
      <c r="Z2514" s="11">
        <v>5.8</v>
      </c>
      <c r="AA2514" s="11">
        <v>1.85</v>
      </c>
      <c r="AB2514" s="11">
        <v>339</v>
      </c>
      <c r="AC2514" s="11"/>
      <c r="AD2514" s="11" t="str">
        <f>IFERROR(__xludf.DUMMYFUNCTION("""COMPUTED_VALUE"""),"Victoria Beckham")</f>
        <v>Victoria Beckham</v>
      </c>
      <c r="AE2514" s="11"/>
    </row>
    <row r="2515" customHeight="1" spans="1:31">
      <c r="A2515" s="12" t="s">
        <v>30</v>
      </c>
      <c r="B2515" s="12" t="s">
        <v>3099</v>
      </c>
      <c r="C2515" s="12">
        <v>197</v>
      </c>
      <c r="D2515" s="12">
        <v>132</v>
      </c>
      <c r="E2515" s="12">
        <v>847</v>
      </c>
      <c r="F2515" s="12">
        <v>625</v>
      </c>
      <c r="G2515" s="12">
        <v>3000</v>
      </c>
      <c r="H2515" s="12">
        <v>27154426</v>
      </c>
      <c r="I2515" s="12" t="s">
        <v>2126</v>
      </c>
      <c r="J2515" s="12" t="s">
        <v>252</v>
      </c>
      <c r="K2515" s="12" t="s">
        <v>2665</v>
      </c>
      <c r="L2515" s="12" t="s">
        <v>1790</v>
      </c>
      <c r="M2515" s="12" t="s">
        <v>12253</v>
      </c>
      <c r="N2515" s="12">
        <v>52852</v>
      </c>
      <c r="O2515" s="12">
        <v>6317</v>
      </c>
      <c r="P2515" s="12">
        <v>1</v>
      </c>
      <c r="Q2515" s="12" t="s">
        <v>12254</v>
      </c>
      <c r="R2515" s="15" t="s">
        <v>12255</v>
      </c>
      <c r="S2515" s="12">
        <v>138</v>
      </c>
      <c r="T2515" s="12" t="s">
        <v>39</v>
      </c>
      <c r="U2515" s="12" t="s">
        <v>40</v>
      </c>
      <c r="V2515" s="12" t="s">
        <v>586</v>
      </c>
      <c r="W2515" s="12">
        <v>17000000</v>
      </c>
      <c r="X2515" s="12">
        <v>2009</v>
      </c>
      <c r="Y2515" s="12">
        <v>960</v>
      </c>
      <c r="Z2515" s="12">
        <v>6.7</v>
      </c>
      <c r="AA2515" s="12">
        <v>2.35</v>
      </c>
      <c r="AB2515" s="12">
        <v>4000</v>
      </c>
      <c r="AC2515" s="12"/>
      <c r="AD2515" s="12" t="str">
        <f>IFERROR(__xludf.DUMMYFUNCTION("""COMPUTED_VALUE"""),"Ari Graynor")</f>
        <v>Ari Graynor</v>
      </c>
      <c r="AE2515" s="12"/>
    </row>
    <row r="2516" customHeight="1" spans="1:31">
      <c r="A2516" s="11" t="s">
        <v>30</v>
      </c>
      <c r="B2516" s="11" t="s">
        <v>12256</v>
      </c>
      <c r="C2516" s="11">
        <v>15</v>
      </c>
      <c r="D2516" s="11">
        <v>154</v>
      </c>
      <c r="E2516" s="11">
        <v>117</v>
      </c>
      <c r="F2516" s="11">
        <v>86</v>
      </c>
      <c r="G2516" s="11">
        <v>715</v>
      </c>
      <c r="H2516" s="13"/>
      <c r="I2516" s="11" t="s">
        <v>1098</v>
      </c>
      <c r="J2516" s="11" t="s">
        <v>12257</v>
      </c>
      <c r="K2516" s="11" t="s">
        <v>12258</v>
      </c>
      <c r="L2516" s="11" t="s">
        <v>12259</v>
      </c>
      <c r="M2516" s="11" t="s">
        <v>12260</v>
      </c>
      <c r="N2516" s="11">
        <v>4550</v>
      </c>
      <c r="O2516" s="11">
        <v>1567</v>
      </c>
      <c r="P2516" s="11">
        <v>3</v>
      </c>
      <c r="Q2516" s="11" t="s">
        <v>12261</v>
      </c>
      <c r="R2516" s="14" t="s">
        <v>12262</v>
      </c>
      <c r="S2516" s="11">
        <v>50</v>
      </c>
      <c r="T2516" s="11" t="s">
        <v>39</v>
      </c>
      <c r="U2516" s="11" t="s">
        <v>40</v>
      </c>
      <c r="V2516" s="11" t="s">
        <v>5614</v>
      </c>
      <c r="W2516" s="11">
        <v>9000000</v>
      </c>
      <c r="X2516" s="11">
        <v>1963</v>
      </c>
      <c r="Y2516" s="11">
        <v>490</v>
      </c>
      <c r="Z2516" s="11">
        <v>6.8</v>
      </c>
      <c r="AA2516" s="11">
        <v>2.2</v>
      </c>
      <c r="AB2516" s="11">
        <v>419</v>
      </c>
      <c r="AC2516" s="11"/>
      <c r="AD2516" s="11" t="str">
        <f>IFERROR(__xludf.DUMMYFUNCTION("""COMPUTED_VALUE"""),"J.B. Smoove")</f>
        <v>J.B. Smoove</v>
      </c>
      <c r="AE2516" s="11"/>
    </row>
    <row r="2517" customHeight="1" spans="1:31">
      <c r="A2517" s="12" t="s">
        <v>30</v>
      </c>
      <c r="B2517" s="12" t="s">
        <v>12263</v>
      </c>
      <c r="C2517" s="12">
        <v>543</v>
      </c>
      <c r="D2517" s="12">
        <v>96</v>
      </c>
      <c r="E2517" s="12">
        <v>201</v>
      </c>
      <c r="F2517" s="12">
        <v>58</v>
      </c>
      <c r="G2517" s="12">
        <v>394</v>
      </c>
      <c r="H2517" s="12">
        <v>54239856</v>
      </c>
      <c r="I2517" s="12" t="s">
        <v>6403</v>
      </c>
      <c r="J2517" s="12" t="s">
        <v>3173</v>
      </c>
      <c r="K2517" s="12" t="s">
        <v>12264</v>
      </c>
      <c r="L2517" s="12" t="s">
        <v>12265</v>
      </c>
      <c r="M2517" s="12" t="s">
        <v>12266</v>
      </c>
      <c r="N2517" s="12">
        <v>125016</v>
      </c>
      <c r="O2517" s="12">
        <v>673</v>
      </c>
      <c r="P2517" s="12">
        <v>0</v>
      </c>
      <c r="Q2517" s="12" t="s">
        <v>12267</v>
      </c>
      <c r="R2517" s="15" t="s">
        <v>12268</v>
      </c>
      <c r="S2517" s="12">
        <v>789</v>
      </c>
      <c r="T2517" s="12" t="s">
        <v>39</v>
      </c>
      <c r="U2517" s="12" t="s">
        <v>40</v>
      </c>
      <c r="V2517" s="12" t="s">
        <v>586</v>
      </c>
      <c r="W2517" s="12">
        <v>17000000</v>
      </c>
      <c r="X2517" s="12">
        <v>2013</v>
      </c>
      <c r="Y2517" s="12">
        <v>150</v>
      </c>
      <c r="Z2517" s="12">
        <v>6.5</v>
      </c>
      <c r="AA2517" s="12">
        <v>2.35</v>
      </c>
      <c r="AB2517" s="12">
        <v>70000</v>
      </c>
      <c r="AC2517" s="12"/>
      <c r="AD2517" s="12" t="str">
        <f>IFERROR(__xludf.DUMMYFUNCTION("""COMPUTED_VALUE"""),"Kylie Bunbury")</f>
        <v>Kylie Bunbury</v>
      </c>
      <c r="AE2517" s="12"/>
    </row>
    <row r="2518" customHeight="1" spans="1:31">
      <c r="A2518" s="11" t="s">
        <v>30</v>
      </c>
      <c r="B2518" s="11" t="s">
        <v>4240</v>
      </c>
      <c r="C2518" s="11">
        <v>112</v>
      </c>
      <c r="D2518" s="11">
        <v>98</v>
      </c>
      <c r="E2518" s="11">
        <v>80</v>
      </c>
      <c r="F2518" s="11">
        <v>399</v>
      </c>
      <c r="G2518" s="11">
        <v>567</v>
      </c>
      <c r="H2518" s="11">
        <v>8662318</v>
      </c>
      <c r="I2518" s="11" t="s">
        <v>1681</v>
      </c>
      <c r="J2518" s="11" t="s">
        <v>11279</v>
      </c>
      <c r="K2518" s="11" t="s">
        <v>12269</v>
      </c>
      <c r="L2518" s="11" t="s">
        <v>12270</v>
      </c>
      <c r="M2518" s="11" t="s">
        <v>12271</v>
      </c>
      <c r="N2518" s="11">
        <v>15033</v>
      </c>
      <c r="O2518" s="11">
        <v>2016</v>
      </c>
      <c r="P2518" s="11">
        <v>1</v>
      </c>
      <c r="Q2518" s="11" t="s">
        <v>12272</v>
      </c>
      <c r="R2518" s="14" t="s">
        <v>12273</v>
      </c>
      <c r="S2518" s="11">
        <v>75</v>
      </c>
      <c r="T2518" s="11" t="s">
        <v>39</v>
      </c>
      <c r="U2518" s="11" t="s">
        <v>40</v>
      </c>
      <c r="V2518" s="11" t="s">
        <v>41</v>
      </c>
      <c r="W2518" s="11">
        <v>17000000</v>
      </c>
      <c r="X2518" s="11">
        <v>2009</v>
      </c>
      <c r="Y2518" s="11">
        <v>503</v>
      </c>
      <c r="Z2518" s="11">
        <v>5.9</v>
      </c>
      <c r="AA2518" s="11">
        <v>1.85</v>
      </c>
      <c r="AB2518" s="11">
        <v>0</v>
      </c>
      <c r="AC2518" s="11"/>
      <c r="AD2518" s="11" t="str">
        <f>IFERROR(__xludf.DUMMYFUNCTION("""COMPUTED_VALUE"""),"Essence Atkins")</f>
        <v>Essence Atkins</v>
      </c>
      <c r="AE2518" s="11"/>
    </row>
    <row r="2519" customHeight="1" spans="1:31">
      <c r="A2519" s="12" t="s">
        <v>30</v>
      </c>
      <c r="B2519" s="12" t="s">
        <v>1745</v>
      </c>
      <c r="C2519" s="12">
        <v>153</v>
      </c>
      <c r="D2519" s="12">
        <v>107</v>
      </c>
      <c r="E2519" s="12">
        <v>80</v>
      </c>
      <c r="F2519" s="12">
        <v>841</v>
      </c>
      <c r="G2519" s="12">
        <v>2000</v>
      </c>
      <c r="H2519" s="12">
        <v>7156725</v>
      </c>
      <c r="I2519" s="12" t="s">
        <v>6419</v>
      </c>
      <c r="J2519" s="12" t="s">
        <v>236</v>
      </c>
      <c r="K2519" s="12" t="s">
        <v>537</v>
      </c>
      <c r="L2519" s="12" t="s">
        <v>3369</v>
      </c>
      <c r="M2519" s="12" t="s">
        <v>12274</v>
      </c>
      <c r="N2519" s="12">
        <v>22639</v>
      </c>
      <c r="O2519" s="12">
        <v>5992</v>
      </c>
      <c r="P2519" s="12">
        <v>6</v>
      </c>
      <c r="Q2519" s="12" t="s">
        <v>12275</v>
      </c>
      <c r="R2519" s="15" t="s">
        <v>12276</v>
      </c>
      <c r="S2519" s="12">
        <v>217</v>
      </c>
      <c r="T2519" s="12" t="s">
        <v>39</v>
      </c>
      <c r="U2519" s="12" t="s">
        <v>40</v>
      </c>
      <c r="V2519" s="12" t="s">
        <v>41</v>
      </c>
      <c r="W2519" s="12">
        <v>19000000</v>
      </c>
      <c r="X2519" s="12">
        <v>2006</v>
      </c>
      <c r="Y2519" s="12">
        <v>2000</v>
      </c>
      <c r="Z2519" s="12">
        <v>5.5</v>
      </c>
      <c r="AA2519" s="12">
        <v>1.85</v>
      </c>
      <c r="AB2519" s="12">
        <v>300</v>
      </c>
      <c r="AC2519" s="12"/>
      <c r="AD2519" s="12" t="str">
        <f>IFERROR(__xludf.DUMMYFUNCTION("""COMPUTED_VALUE"""),"Jere Burns")</f>
        <v>Jere Burns</v>
      </c>
      <c r="AE2519" s="12"/>
    </row>
    <row r="2520" customHeight="1" spans="1:31">
      <c r="A2520" s="11" t="s">
        <v>30</v>
      </c>
      <c r="B2520" s="11" t="s">
        <v>12277</v>
      </c>
      <c r="C2520" s="11">
        <v>94</v>
      </c>
      <c r="D2520" s="11">
        <v>134</v>
      </c>
      <c r="E2520" s="11">
        <v>22</v>
      </c>
      <c r="F2520" s="11">
        <v>488</v>
      </c>
      <c r="G2520" s="11">
        <v>1000</v>
      </c>
      <c r="H2520" s="11">
        <v>15681020</v>
      </c>
      <c r="I2520" s="11" t="s">
        <v>7678</v>
      </c>
      <c r="J2520" s="11" t="s">
        <v>393</v>
      </c>
      <c r="K2520" s="11" t="s">
        <v>4582</v>
      </c>
      <c r="L2520" s="11" t="s">
        <v>7246</v>
      </c>
      <c r="M2520" s="11" t="s">
        <v>12278</v>
      </c>
      <c r="N2520" s="11">
        <v>33570</v>
      </c>
      <c r="O2520" s="11">
        <v>3007</v>
      </c>
      <c r="P2520" s="11">
        <v>6</v>
      </c>
      <c r="Q2520" s="11" t="s">
        <v>12279</v>
      </c>
      <c r="R2520" s="14" t="s">
        <v>12280</v>
      </c>
      <c r="S2520" s="11">
        <v>259</v>
      </c>
      <c r="T2520" s="11" t="s">
        <v>39</v>
      </c>
      <c r="U2520" s="11" t="s">
        <v>58</v>
      </c>
      <c r="V2520" s="11" t="s">
        <v>96</v>
      </c>
      <c r="W2520" s="11">
        <v>17000000</v>
      </c>
      <c r="X2520" s="11">
        <v>1987</v>
      </c>
      <c r="Y2520" s="11">
        <v>593</v>
      </c>
      <c r="Z2520" s="11">
        <v>3.6</v>
      </c>
      <c r="AA2520" s="11">
        <v>2.35</v>
      </c>
      <c r="AB2520" s="11">
        <v>1000</v>
      </c>
      <c r="AC2520" s="11"/>
      <c r="AD2520" s="11" t="str">
        <f>IFERROR(__xludf.DUMMYFUNCTION("""COMPUTED_VALUE"""),"Linda Kozlowski")</f>
        <v>Linda Kozlowski</v>
      </c>
      <c r="AE2520" s="11"/>
    </row>
    <row r="2521" customHeight="1" spans="1:31">
      <c r="A2521" s="12" t="s">
        <v>30</v>
      </c>
      <c r="B2521" s="12" t="s">
        <v>12281</v>
      </c>
      <c r="C2521" s="12">
        <v>62</v>
      </c>
      <c r="D2521" s="12">
        <v>94</v>
      </c>
      <c r="E2521" s="12">
        <v>8</v>
      </c>
      <c r="F2521" s="12">
        <v>66</v>
      </c>
      <c r="G2521" s="12">
        <v>328</v>
      </c>
      <c r="H2521" s="12">
        <v>7070459</v>
      </c>
      <c r="I2521" s="12" t="s">
        <v>3410</v>
      </c>
      <c r="J2521" s="12" t="s">
        <v>12282</v>
      </c>
      <c r="K2521" s="12" t="s">
        <v>12283</v>
      </c>
      <c r="L2521" s="12" t="s">
        <v>12284</v>
      </c>
      <c r="M2521" s="12" t="s">
        <v>12285</v>
      </c>
      <c r="N2521" s="12">
        <v>4600</v>
      </c>
      <c r="O2521" s="12">
        <v>760</v>
      </c>
      <c r="P2521" s="12">
        <v>0</v>
      </c>
      <c r="Q2521" s="12" t="s">
        <v>12286</v>
      </c>
      <c r="R2521" s="15" t="s">
        <v>12287</v>
      </c>
      <c r="S2521" s="12">
        <v>18</v>
      </c>
      <c r="T2521" s="12" t="s">
        <v>39</v>
      </c>
      <c r="U2521" s="12" t="s">
        <v>269</v>
      </c>
      <c r="V2521" s="12" t="s">
        <v>41</v>
      </c>
      <c r="W2521" s="16"/>
      <c r="X2521" s="12">
        <v>2007</v>
      </c>
      <c r="Y2521" s="12">
        <v>122</v>
      </c>
      <c r="Z2521" s="12">
        <v>3.3</v>
      </c>
      <c r="AA2521" s="12">
        <v>1.85</v>
      </c>
      <c r="AB2521" s="12">
        <v>238</v>
      </c>
      <c r="AC2521" s="12"/>
      <c r="AD2521" s="12" t="str">
        <f>IFERROR(__xludf.DUMMYFUNCTION("""COMPUTED_VALUE"""),"Cjon Saulsberry")</f>
        <v>Cjon Saulsberry</v>
      </c>
      <c r="AE2521" s="12"/>
    </row>
    <row r="2522" customHeight="1" spans="1:31">
      <c r="A2522" s="11" t="s">
        <v>30</v>
      </c>
      <c r="B2522" s="11" t="s">
        <v>12288</v>
      </c>
      <c r="C2522" s="11">
        <v>157</v>
      </c>
      <c r="D2522" s="11">
        <v>122</v>
      </c>
      <c r="E2522" s="11">
        <v>47</v>
      </c>
      <c r="F2522" s="11">
        <v>834</v>
      </c>
      <c r="G2522" s="11">
        <v>23000</v>
      </c>
      <c r="H2522" s="11">
        <v>6855137</v>
      </c>
      <c r="I2522" s="11" t="s">
        <v>464</v>
      </c>
      <c r="J2522" s="11" t="s">
        <v>336</v>
      </c>
      <c r="K2522" s="11" t="s">
        <v>1654</v>
      </c>
      <c r="L2522" s="11" t="s">
        <v>1708</v>
      </c>
      <c r="M2522" s="11" t="s">
        <v>12289</v>
      </c>
      <c r="N2522" s="11">
        <v>88590</v>
      </c>
      <c r="O2522" s="11">
        <v>27381</v>
      </c>
      <c r="P2522" s="11">
        <v>2</v>
      </c>
      <c r="Q2522" s="11" t="s">
        <v>12290</v>
      </c>
      <c r="R2522" s="14" t="s">
        <v>12291</v>
      </c>
      <c r="S2522" s="11">
        <v>419</v>
      </c>
      <c r="T2522" s="11" t="s">
        <v>39</v>
      </c>
      <c r="U2522" s="11" t="s">
        <v>768</v>
      </c>
      <c r="V2522" s="11" t="s">
        <v>586</v>
      </c>
      <c r="W2522" s="11">
        <v>17000000</v>
      </c>
      <c r="X2522" s="11">
        <v>2006</v>
      </c>
      <c r="Y2522" s="11">
        <v>979</v>
      </c>
      <c r="Z2522" s="11">
        <v>7.4</v>
      </c>
      <c r="AA2522" s="11">
        <v>2.35</v>
      </c>
      <c r="AB2522" s="11">
        <v>0</v>
      </c>
      <c r="AC2522" s="11"/>
      <c r="AD2522" s="11" t="str">
        <f>IFERROR(__xludf.DUMMYFUNCTION("""COMPUTED_VALUE"""),"Griffin Cleveland")</f>
        <v>Griffin Cleveland</v>
      </c>
      <c r="AE2522" s="11"/>
    </row>
    <row r="2523" customHeight="1" spans="1:31">
      <c r="A2523" s="12" t="s">
        <v>30</v>
      </c>
      <c r="B2523" s="12" t="s">
        <v>12292</v>
      </c>
      <c r="C2523" s="12">
        <v>35</v>
      </c>
      <c r="D2523" s="12">
        <v>128</v>
      </c>
      <c r="E2523" s="12">
        <v>9</v>
      </c>
      <c r="F2523" s="12">
        <v>193</v>
      </c>
      <c r="G2523" s="12">
        <v>767</v>
      </c>
      <c r="H2523" s="12">
        <v>2694071</v>
      </c>
      <c r="I2523" s="12" t="s">
        <v>6940</v>
      </c>
      <c r="J2523" s="12" t="s">
        <v>6446</v>
      </c>
      <c r="K2523" s="12" t="s">
        <v>2956</v>
      </c>
      <c r="L2523" s="12" t="s">
        <v>11929</v>
      </c>
      <c r="M2523" s="12" t="s">
        <v>12293</v>
      </c>
      <c r="N2523" s="12">
        <v>3222</v>
      </c>
      <c r="O2523" s="12">
        <v>1727</v>
      </c>
      <c r="P2523" s="12">
        <v>3</v>
      </c>
      <c r="Q2523" s="12" t="s">
        <v>12294</v>
      </c>
      <c r="R2523" s="15" t="s">
        <v>12295</v>
      </c>
      <c r="S2523" s="12">
        <v>64</v>
      </c>
      <c r="T2523" s="12" t="s">
        <v>39</v>
      </c>
      <c r="U2523" s="12" t="s">
        <v>40</v>
      </c>
      <c r="V2523" s="12" t="s">
        <v>96</v>
      </c>
      <c r="W2523" s="16"/>
      <c r="X2523" s="12">
        <v>2004</v>
      </c>
      <c r="Y2523" s="12">
        <v>327</v>
      </c>
      <c r="Z2523" s="12">
        <v>6.7</v>
      </c>
      <c r="AA2523" s="12">
        <v>2.35</v>
      </c>
      <c r="AB2523" s="12">
        <v>352</v>
      </c>
      <c r="AC2523" s="12"/>
      <c r="AD2523" s="12" t="str">
        <f>IFERROR(__xludf.DUMMYFUNCTION("""COMPUTED_VALUE"""),"Connie Ray")</f>
        <v>Connie Ray</v>
      </c>
      <c r="AE2523" s="12"/>
    </row>
    <row r="2524" customHeight="1" spans="1:31">
      <c r="A2524" s="11" t="s">
        <v>30</v>
      </c>
      <c r="B2524" s="11" t="s">
        <v>12296</v>
      </c>
      <c r="C2524" s="11">
        <v>21</v>
      </c>
      <c r="D2524" s="11">
        <v>97</v>
      </c>
      <c r="E2524" s="11">
        <v>3</v>
      </c>
      <c r="F2524" s="11">
        <v>161</v>
      </c>
      <c r="G2524" s="11">
        <v>400</v>
      </c>
      <c r="H2524" s="11">
        <v>2315683</v>
      </c>
      <c r="I2524" s="11" t="s">
        <v>12297</v>
      </c>
      <c r="J2524" s="11" t="s">
        <v>3432</v>
      </c>
      <c r="K2524" s="11" t="s">
        <v>11929</v>
      </c>
      <c r="L2524" s="11" t="s">
        <v>12298</v>
      </c>
      <c r="M2524" s="11" t="s">
        <v>12299</v>
      </c>
      <c r="N2524" s="11">
        <v>4081</v>
      </c>
      <c r="O2524" s="11">
        <v>805</v>
      </c>
      <c r="P2524" s="11">
        <v>0</v>
      </c>
      <c r="Q2524" s="11" t="s">
        <v>12300</v>
      </c>
      <c r="R2524" s="14" t="s">
        <v>12301</v>
      </c>
      <c r="S2524" s="11">
        <v>28</v>
      </c>
      <c r="T2524" s="11" t="s">
        <v>39</v>
      </c>
      <c r="U2524" s="11" t="s">
        <v>58</v>
      </c>
      <c r="V2524" s="11" t="s">
        <v>41</v>
      </c>
      <c r="W2524" s="11">
        <v>17000000</v>
      </c>
      <c r="X2524" s="11">
        <v>1986</v>
      </c>
      <c r="Y2524" s="11">
        <v>193</v>
      </c>
      <c r="Z2524" s="11">
        <v>3</v>
      </c>
      <c r="AA2524" s="11">
        <v>1.85</v>
      </c>
      <c r="AB2524" s="11">
        <v>154</v>
      </c>
      <c r="AC2524" s="11"/>
      <c r="AD2524" s="11" t="str">
        <f>IFERROR(__xludf.DUMMYFUNCTION("""COMPUTED_VALUE"""),"Trevor Blumas")</f>
        <v>Trevor Blumas</v>
      </c>
      <c r="AE2524" s="11"/>
    </row>
    <row r="2525" customHeight="1" spans="1:31">
      <c r="A2525" s="12" t="s">
        <v>30</v>
      </c>
      <c r="B2525" s="12" t="s">
        <v>2393</v>
      </c>
      <c r="C2525" s="12">
        <v>236</v>
      </c>
      <c r="D2525" s="12">
        <v>110</v>
      </c>
      <c r="E2525" s="12">
        <v>168</v>
      </c>
      <c r="F2525" s="12">
        <v>96</v>
      </c>
      <c r="G2525" s="12">
        <v>3000</v>
      </c>
      <c r="H2525" s="12">
        <v>39825798</v>
      </c>
      <c r="I2525" s="12" t="s">
        <v>3278</v>
      </c>
      <c r="J2525" s="12" t="s">
        <v>1816</v>
      </c>
      <c r="K2525" s="12" t="s">
        <v>359</v>
      </c>
      <c r="L2525" s="12" t="s">
        <v>12302</v>
      </c>
      <c r="M2525" s="12" t="s">
        <v>12303</v>
      </c>
      <c r="N2525" s="12">
        <v>295375</v>
      </c>
      <c r="O2525" s="12">
        <v>4210</v>
      </c>
      <c r="P2525" s="12">
        <v>3</v>
      </c>
      <c r="Q2525" s="12" t="s">
        <v>12304</v>
      </c>
      <c r="R2525" s="15" t="s">
        <v>12305</v>
      </c>
      <c r="S2525" s="12">
        <v>645</v>
      </c>
      <c r="T2525" s="12" t="s">
        <v>39</v>
      </c>
      <c r="U2525" s="12" t="s">
        <v>40</v>
      </c>
      <c r="V2525" s="12" t="s">
        <v>41</v>
      </c>
      <c r="W2525" s="12">
        <v>16000000</v>
      </c>
      <c r="X2525" s="12">
        <v>2006</v>
      </c>
      <c r="Y2525" s="12">
        <v>979</v>
      </c>
      <c r="Z2525" s="12">
        <v>7.6</v>
      </c>
      <c r="AA2525" s="12">
        <v>1.85</v>
      </c>
      <c r="AB2525" s="12">
        <v>15000</v>
      </c>
      <c r="AC2525" s="12"/>
      <c r="AD2525" s="12" t="str">
        <f>IFERROR(__xludf.DUMMYFUNCTION("""COMPUTED_VALUE"""),"Amy Stewart")</f>
        <v>Amy Stewart</v>
      </c>
      <c r="AE2525" s="12"/>
    </row>
    <row r="2526" customHeight="1" spans="1:31">
      <c r="A2526" s="11" t="s">
        <v>30</v>
      </c>
      <c r="B2526" s="11" t="s">
        <v>12306</v>
      </c>
      <c r="C2526" s="11">
        <v>50</v>
      </c>
      <c r="D2526" s="11">
        <v>102</v>
      </c>
      <c r="E2526" s="11">
        <v>4</v>
      </c>
      <c r="F2526" s="11">
        <v>60</v>
      </c>
      <c r="G2526" s="11">
        <v>634</v>
      </c>
      <c r="H2526" s="11">
        <v>2000000</v>
      </c>
      <c r="I2526" s="11" t="s">
        <v>8571</v>
      </c>
      <c r="J2526" s="11" t="s">
        <v>12307</v>
      </c>
      <c r="K2526" s="11" t="s">
        <v>1386</v>
      </c>
      <c r="L2526" s="11" t="s">
        <v>532</v>
      </c>
      <c r="M2526" s="11" t="s">
        <v>12308</v>
      </c>
      <c r="N2526" s="11">
        <v>1275</v>
      </c>
      <c r="O2526" s="11">
        <v>1262</v>
      </c>
      <c r="P2526" s="11">
        <v>0</v>
      </c>
      <c r="Q2526" s="11" t="s">
        <v>12309</v>
      </c>
      <c r="R2526" s="14" t="s">
        <v>12310</v>
      </c>
      <c r="S2526" s="11">
        <v>27</v>
      </c>
      <c r="T2526" s="11" t="s">
        <v>39</v>
      </c>
      <c r="U2526" s="11" t="s">
        <v>40</v>
      </c>
      <c r="V2526" s="11" t="s">
        <v>96</v>
      </c>
      <c r="W2526" s="11">
        <v>17000000</v>
      </c>
      <c r="X2526" s="11">
        <v>1981</v>
      </c>
      <c r="Y2526" s="11">
        <v>537</v>
      </c>
      <c r="Z2526" s="11">
        <v>6.4</v>
      </c>
      <c r="AA2526" s="11">
        <v>2.35</v>
      </c>
      <c r="AB2526" s="11">
        <v>0</v>
      </c>
      <c r="AC2526" s="11"/>
      <c r="AD2526" s="11" t="str">
        <f>IFERROR(__xludf.DUMMYFUNCTION("""COMPUTED_VALUE"""),"Tyrone Giordano")</f>
        <v>Tyrone Giordano</v>
      </c>
      <c r="AE2526" s="11"/>
    </row>
    <row r="2527" customHeight="1" spans="1:31">
      <c r="A2527" s="12" t="s">
        <v>30</v>
      </c>
      <c r="B2527" s="12" t="s">
        <v>1325</v>
      </c>
      <c r="C2527" s="12">
        <v>106</v>
      </c>
      <c r="D2527" s="12">
        <v>98</v>
      </c>
      <c r="E2527" s="12">
        <v>541</v>
      </c>
      <c r="F2527" s="12">
        <v>71</v>
      </c>
      <c r="G2527" s="12">
        <v>214</v>
      </c>
      <c r="H2527" s="12">
        <v>1569918</v>
      </c>
      <c r="I2527" s="12" t="s">
        <v>5685</v>
      </c>
      <c r="J2527" s="12" t="s">
        <v>12311</v>
      </c>
      <c r="K2527" s="12" t="s">
        <v>12312</v>
      </c>
      <c r="L2527" s="12" t="s">
        <v>12313</v>
      </c>
      <c r="M2527" s="12" t="s">
        <v>12314</v>
      </c>
      <c r="N2527" s="12">
        <v>16234</v>
      </c>
      <c r="O2527" s="12">
        <v>409</v>
      </c>
      <c r="P2527" s="12">
        <v>1</v>
      </c>
      <c r="Q2527" s="12" t="s">
        <v>12315</v>
      </c>
      <c r="R2527" s="15" t="s">
        <v>12316</v>
      </c>
      <c r="S2527" s="12">
        <v>113</v>
      </c>
      <c r="T2527" s="12" t="s">
        <v>39</v>
      </c>
      <c r="U2527" s="12" t="s">
        <v>7988</v>
      </c>
      <c r="V2527" s="12" t="s">
        <v>586</v>
      </c>
      <c r="W2527" s="12">
        <v>17000000</v>
      </c>
      <c r="X2527" s="12">
        <v>2003</v>
      </c>
      <c r="Y2527" s="12">
        <v>96</v>
      </c>
      <c r="Z2527" s="12">
        <v>6.9</v>
      </c>
      <c r="AA2527" s="12">
        <v>2.35</v>
      </c>
      <c r="AB2527" s="12">
        <v>0</v>
      </c>
      <c r="AC2527" s="12"/>
      <c r="AD2527" s="12" t="str">
        <f>IFERROR(__xludf.DUMMYFUNCTION("""COMPUTED_VALUE"""),"James Read")</f>
        <v>James Read</v>
      </c>
      <c r="AE2527" s="12"/>
    </row>
    <row r="2528" customHeight="1" spans="1:31">
      <c r="A2528" s="11" t="s">
        <v>30</v>
      </c>
      <c r="B2528" s="11" t="s">
        <v>2853</v>
      </c>
      <c r="C2528" s="11">
        <v>106</v>
      </c>
      <c r="D2528" s="11">
        <v>120</v>
      </c>
      <c r="E2528" s="11">
        <v>30</v>
      </c>
      <c r="F2528" s="11">
        <v>55</v>
      </c>
      <c r="G2528" s="11">
        <v>14000</v>
      </c>
      <c r="H2528" s="11">
        <v>106869</v>
      </c>
      <c r="I2528" s="11" t="s">
        <v>5275</v>
      </c>
      <c r="J2528" s="11" t="s">
        <v>700</v>
      </c>
      <c r="K2528" s="11" t="s">
        <v>4806</v>
      </c>
      <c r="L2528" s="11" t="s">
        <v>12317</v>
      </c>
      <c r="M2528" s="11" t="s">
        <v>12318</v>
      </c>
      <c r="N2528" s="11">
        <v>13762</v>
      </c>
      <c r="O2528" s="11">
        <v>14492</v>
      </c>
      <c r="P2528" s="11">
        <v>1</v>
      </c>
      <c r="Q2528" s="11" t="s">
        <v>12319</v>
      </c>
      <c r="R2528" s="14" t="s">
        <v>12320</v>
      </c>
      <c r="S2528" s="11">
        <v>39</v>
      </c>
      <c r="T2528" s="11" t="s">
        <v>39</v>
      </c>
      <c r="U2528" s="11" t="s">
        <v>1466</v>
      </c>
      <c r="V2528" s="11" t="s">
        <v>586</v>
      </c>
      <c r="W2528" s="11">
        <v>17000000</v>
      </c>
      <c r="X2528" s="11">
        <v>2014</v>
      </c>
      <c r="Y2528" s="11">
        <v>287</v>
      </c>
      <c r="Z2528" s="11">
        <v>6.6</v>
      </c>
      <c r="AA2528" s="13"/>
      <c r="AB2528" s="11">
        <v>0</v>
      </c>
      <c r="AC2528" s="11"/>
      <c r="AD2528" s="11" t="str">
        <f>IFERROR(__xludf.DUMMYFUNCTION("""COMPUTED_VALUE"""),"Taron Egerton")</f>
        <v>Taron Egerton</v>
      </c>
      <c r="AE2528" s="11"/>
    </row>
    <row r="2529" customHeight="1" spans="1:31">
      <c r="A2529" s="12" t="s">
        <v>30</v>
      </c>
      <c r="B2529" s="12" t="s">
        <v>9803</v>
      </c>
      <c r="C2529" s="12">
        <v>173</v>
      </c>
      <c r="D2529" s="12">
        <v>160</v>
      </c>
      <c r="E2529" s="12">
        <v>219</v>
      </c>
      <c r="F2529" s="12">
        <v>215</v>
      </c>
      <c r="G2529" s="12">
        <v>1000</v>
      </c>
      <c r="H2529" s="12">
        <v>273420</v>
      </c>
      <c r="I2529" s="12" t="s">
        <v>12321</v>
      </c>
      <c r="J2529" s="12" t="s">
        <v>794</v>
      </c>
      <c r="K2529" s="12" t="s">
        <v>6357</v>
      </c>
      <c r="L2529" s="12" t="s">
        <v>12322</v>
      </c>
      <c r="M2529" s="12" t="s">
        <v>12323</v>
      </c>
      <c r="N2529" s="12">
        <v>32671</v>
      </c>
      <c r="O2529" s="12">
        <v>2340</v>
      </c>
      <c r="P2529" s="12">
        <v>6</v>
      </c>
      <c r="Q2529" s="12" t="s">
        <v>12324</v>
      </c>
      <c r="R2529" s="15" t="s">
        <v>12325</v>
      </c>
      <c r="S2529" s="12">
        <v>238</v>
      </c>
      <c r="T2529" s="12" t="s">
        <v>39</v>
      </c>
      <c r="U2529" s="12" t="s">
        <v>1466</v>
      </c>
      <c r="V2529" s="12" t="s">
        <v>586</v>
      </c>
      <c r="W2529" s="12">
        <v>17000000</v>
      </c>
      <c r="X2529" s="12">
        <v>2006</v>
      </c>
      <c r="Y2529" s="12">
        <v>876</v>
      </c>
      <c r="Z2529" s="12">
        <v>5.5</v>
      </c>
      <c r="AA2529" s="12">
        <v>2.35</v>
      </c>
      <c r="AB2529" s="12">
        <v>0</v>
      </c>
      <c r="AC2529" s="12"/>
      <c r="AD2529" s="12" t="str">
        <f>IFERROR(__xludf.DUMMYFUNCTION("""COMPUTED_VALUE"""),"Justin Fletcher")</f>
        <v>Justin Fletcher</v>
      </c>
      <c r="AE2529" s="12"/>
    </row>
    <row r="2530" customHeight="1" spans="1:31">
      <c r="A2530" s="11" t="s">
        <v>30</v>
      </c>
      <c r="B2530" s="11" t="s">
        <v>12326</v>
      </c>
      <c r="C2530" s="11">
        <v>41</v>
      </c>
      <c r="D2530" s="11">
        <v>80</v>
      </c>
      <c r="E2530" s="11">
        <v>0</v>
      </c>
      <c r="F2530" s="11">
        <v>168</v>
      </c>
      <c r="G2530" s="11">
        <v>677</v>
      </c>
      <c r="H2530" s="13"/>
      <c r="I2530" s="11" t="s">
        <v>628</v>
      </c>
      <c r="J2530" s="11" t="s">
        <v>4984</v>
      </c>
      <c r="K2530" s="11" t="s">
        <v>473</v>
      </c>
      <c r="L2530" s="11" t="s">
        <v>12327</v>
      </c>
      <c r="M2530" s="11" t="s">
        <v>12328</v>
      </c>
      <c r="N2530" s="11">
        <v>10706</v>
      </c>
      <c r="O2530" s="11">
        <v>1364</v>
      </c>
      <c r="P2530" s="11">
        <v>0</v>
      </c>
      <c r="Q2530" s="11" t="s">
        <v>12329</v>
      </c>
      <c r="R2530" s="14" t="s">
        <v>12330</v>
      </c>
      <c r="S2530" s="11">
        <v>39</v>
      </c>
      <c r="T2530" s="11" t="s">
        <v>1465</v>
      </c>
      <c r="U2530" s="11" t="s">
        <v>1466</v>
      </c>
      <c r="V2530" s="11" t="s">
        <v>96</v>
      </c>
      <c r="W2530" s="11">
        <v>11000000</v>
      </c>
      <c r="X2530" s="11">
        <v>2008</v>
      </c>
      <c r="Y2530" s="11">
        <v>262</v>
      </c>
      <c r="Z2530" s="11">
        <v>6.6</v>
      </c>
      <c r="AA2530" s="13"/>
      <c r="AB2530" s="11">
        <v>0</v>
      </c>
      <c r="AC2530" s="11"/>
      <c r="AD2530" s="11" t="str">
        <f>IFERROR(__xludf.DUMMYFUNCTION("""COMPUTED_VALUE"""),"John Sparkes")</f>
        <v>John Sparkes</v>
      </c>
      <c r="AE2530" s="11"/>
    </row>
    <row r="2531" customHeight="1" spans="1:31">
      <c r="A2531" s="12" t="s">
        <v>30</v>
      </c>
      <c r="B2531" s="12" t="s">
        <v>12331</v>
      </c>
      <c r="C2531" s="12">
        <v>41</v>
      </c>
      <c r="D2531" s="12">
        <v>91</v>
      </c>
      <c r="E2531" s="12">
        <v>22</v>
      </c>
      <c r="F2531" s="12">
        <v>255</v>
      </c>
      <c r="G2531" s="12">
        <v>669</v>
      </c>
      <c r="H2531" s="16"/>
      <c r="I2531" s="12" t="s">
        <v>12332</v>
      </c>
      <c r="J2531" s="12" t="s">
        <v>1563</v>
      </c>
      <c r="K2531" s="12" t="s">
        <v>12333</v>
      </c>
      <c r="L2531" s="12" t="s">
        <v>12334</v>
      </c>
      <c r="M2531" s="12" t="s">
        <v>12335</v>
      </c>
      <c r="N2531" s="12">
        <v>3701</v>
      </c>
      <c r="O2531" s="12">
        <v>1769</v>
      </c>
      <c r="P2531" s="12">
        <v>0</v>
      </c>
      <c r="Q2531" s="12" t="s">
        <v>12336</v>
      </c>
      <c r="R2531" s="15" t="s">
        <v>12337</v>
      </c>
      <c r="S2531" s="12">
        <v>71</v>
      </c>
      <c r="T2531" s="12" t="s">
        <v>39</v>
      </c>
      <c r="U2531" s="12" t="s">
        <v>40</v>
      </c>
      <c r="V2531" s="12" t="s">
        <v>96</v>
      </c>
      <c r="W2531" s="12">
        <v>17000000</v>
      </c>
      <c r="X2531" s="12">
        <v>1977</v>
      </c>
      <c r="Y2531" s="12">
        <v>642</v>
      </c>
      <c r="Z2531" s="12">
        <v>5.2</v>
      </c>
      <c r="AA2531" s="12">
        <v>2.35</v>
      </c>
      <c r="AB2531" s="12">
        <v>903</v>
      </c>
      <c r="AC2531" s="12"/>
      <c r="AD2531" s="12" t="str">
        <f>IFERROR(__xludf.DUMMYFUNCTION("""COMPUTED_VALUE"""),"Kate Harbour")</f>
        <v>Kate Harbour</v>
      </c>
      <c r="AE2531" s="12"/>
    </row>
    <row r="2532" customHeight="1" spans="1:31">
      <c r="A2532" s="11" t="s">
        <v>30</v>
      </c>
      <c r="B2532" s="11" t="s">
        <v>12338</v>
      </c>
      <c r="C2532" s="11">
        <v>145</v>
      </c>
      <c r="D2532" s="11">
        <v>83</v>
      </c>
      <c r="E2532" s="11">
        <v>57</v>
      </c>
      <c r="F2532" s="11">
        <v>62</v>
      </c>
      <c r="G2532" s="11">
        <v>465</v>
      </c>
      <c r="H2532" s="11">
        <v>4930798</v>
      </c>
      <c r="I2532" s="11" t="s">
        <v>5544</v>
      </c>
      <c r="J2532" s="11" t="s">
        <v>12339</v>
      </c>
      <c r="K2532" s="11" t="s">
        <v>12340</v>
      </c>
      <c r="L2532" s="11" t="s">
        <v>12341</v>
      </c>
      <c r="M2532" s="11" t="s">
        <v>12342</v>
      </c>
      <c r="N2532" s="11">
        <v>16268</v>
      </c>
      <c r="O2532" s="11">
        <v>730</v>
      </c>
      <c r="P2532" s="11">
        <v>1</v>
      </c>
      <c r="Q2532" s="11" t="s">
        <v>12343</v>
      </c>
      <c r="R2532" s="14" t="s">
        <v>12344</v>
      </c>
      <c r="S2532" s="11">
        <v>108</v>
      </c>
      <c r="T2532" s="11" t="s">
        <v>39</v>
      </c>
      <c r="U2532" s="11" t="s">
        <v>40</v>
      </c>
      <c r="V2532" s="11" t="s">
        <v>41</v>
      </c>
      <c r="W2532" s="11">
        <v>17000000</v>
      </c>
      <c r="X2532" s="11">
        <v>2012</v>
      </c>
      <c r="Y2532" s="11">
        <v>152</v>
      </c>
      <c r="Z2532" s="11">
        <v>4.1</v>
      </c>
      <c r="AA2532" s="11">
        <v>2.35</v>
      </c>
      <c r="AB2532" s="11">
        <v>0</v>
      </c>
      <c r="AC2532" s="11"/>
      <c r="AD2532" s="11" t="str">
        <f>IFERROR(__xludf.DUMMYFUNCTION("""COMPUTED_VALUE"""),"Óscar Jaenada")</f>
        <v>Óscar Jaenada</v>
      </c>
      <c r="AE2532" s="11"/>
    </row>
    <row r="2533" customHeight="1" spans="1:31">
      <c r="A2533" s="12" t="s">
        <v>30</v>
      </c>
      <c r="B2533" s="12" t="s">
        <v>12345</v>
      </c>
      <c r="C2533" s="12">
        <v>31</v>
      </c>
      <c r="D2533" s="12">
        <v>102</v>
      </c>
      <c r="E2533" s="12">
        <v>6</v>
      </c>
      <c r="F2533" s="12">
        <v>165</v>
      </c>
      <c r="G2533" s="12">
        <v>3000</v>
      </c>
      <c r="H2533" s="12">
        <v>59847242</v>
      </c>
      <c r="I2533" s="12" t="s">
        <v>9106</v>
      </c>
      <c r="J2533" s="12" t="s">
        <v>6537</v>
      </c>
      <c r="K2533" s="12" t="s">
        <v>1734</v>
      </c>
      <c r="L2533" s="12" t="s">
        <v>4195</v>
      </c>
      <c r="M2533" s="12" t="s">
        <v>12346</v>
      </c>
      <c r="N2533" s="12">
        <v>55895</v>
      </c>
      <c r="O2533" s="12">
        <v>5433</v>
      </c>
      <c r="P2533" s="12">
        <v>1</v>
      </c>
      <c r="Q2533" s="12" t="s">
        <v>12347</v>
      </c>
      <c r="R2533" s="15" t="s">
        <v>12348</v>
      </c>
      <c r="S2533" s="12">
        <v>115</v>
      </c>
      <c r="T2533" s="12" t="s">
        <v>39</v>
      </c>
      <c r="U2533" s="12" t="s">
        <v>40</v>
      </c>
      <c r="V2533" s="12" t="s">
        <v>41</v>
      </c>
      <c r="W2533" s="12">
        <v>16500000</v>
      </c>
      <c r="X2533" s="12">
        <v>1991</v>
      </c>
      <c r="Y2533" s="12">
        <v>2000</v>
      </c>
      <c r="Z2533" s="12">
        <v>6.8</v>
      </c>
      <c r="AA2533" s="12">
        <v>1.85</v>
      </c>
      <c r="AB2533" s="12">
        <v>0</v>
      </c>
      <c r="AC2533" s="12"/>
      <c r="AD2533" s="12" t="str">
        <f>IFERROR(__xludf.DUMMYFUNCTION("""COMPUTED_VALUE"""),"Don McManus")</f>
        <v>Don McManus</v>
      </c>
      <c r="AE2533" s="12"/>
    </row>
    <row r="2534" customHeight="1" spans="1:31">
      <c r="A2534" s="11" t="s">
        <v>30</v>
      </c>
      <c r="B2534" s="11" t="s">
        <v>12349</v>
      </c>
      <c r="C2534" s="11">
        <v>105</v>
      </c>
      <c r="D2534" s="11">
        <v>122</v>
      </c>
      <c r="E2534" s="11">
        <v>30</v>
      </c>
      <c r="F2534" s="11">
        <v>260</v>
      </c>
      <c r="G2534" s="11">
        <v>21000</v>
      </c>
      <c r="H2534" s="11">
        <v>220914</v>
      </c>
      <c r="I2534" s="11" t="s">
        <v>6327</v>
      </c>
      <c r="J2534" s="11" t="s">
        <v>99</v>
      </c>
      <c r="K2534" s="11" t="s">
        <v>948</v>
      </c>
      <c r="L2534" s="11" t="s">
        <v>12350</v>
      </c>
      <c r="M2534" s="11" t="s">
        <v>12351</v>
      </c>
      <c r="N2534" s="11">
        <v>13239</v>
      </c>
      <c r="O2534" s="11">
        <v>25173</v>
      </c>
      <c r="P2534" s="11">
        <v>2</v>
      </c>
      <c r="Q2534" s="11" t="s">
        <v>12352</v>
      </c>
      <c r="R2534" s="14" t="s">
        <v>12353</v>
      </c>
      <c r="S2534" s="11">
        <v>97</v>
      </c>
      <c r="T2534" s="11" t="s">
        <v>39</v>
      </c>
      <c r="U2534" s="11" t="s">
        <v>40</v>
      </c>
      <c r="V2534" s="11" t="s">
        <v>586</v>
      </c>
      <c r="W2534" s="11">
        <v>16800000</v>
      </c>
      <c r="X2534" s="11">
        <v>2006</v>
      </c>
      <c r="Y2534" s="11">
        <v>3000</v>
      </c>
      <c r="Z2534" s="11">
        <v>6.5</v>
      </c>
      <c r="AA2534" s="11">
        <v>1.85</v>
      </c>
      <c r="AB2534" s="11">
        <v>0</v>
      </c>
      <c r="AC2534" s="11"/>
      <c r="AD2534" s="11" t="str">
        <f>IFERROR(__xludf.DUMMYFUNCTION("""COMPUTED_VALUE"""),"Scott Mechlowicz")</f>
        <v>Scott Mechlowicz</v>
      </c>
      <c r="AE2534" s="11"/>
    </row>
    <row r="2535" customHeight="1" spans="1:31">
      <c r="A2535" s="12" t="s">
        <v>30</v>
      </c>
      <c r="B2535" s="12" t="s">
        <v>2393</v>
      </c>
      <c r="C2535" s="12">
        <v>236</v>
      </c>
      <c r="D2535" s="12">
        <v>110</v>
      </c>
      <c r="E2535" s="12">
        <v>168</v>
      </c>
      <c r="F2535" s="12">
        <v>96</v>
      </c>
      <c r="G2535" s="12">
        <v>3000</v>
      </c>
      <c r="H2535" s="12">
        <v>39825798</v>
      </c>
      <c r="I2535" s="12" t="s">
        <v>3278</v>
      </c>
      <c r="J2535" s="12" t="s">
        <v>1816</v>
      </c>
      <c r="K2535" s="12" t="s">
        <v>359</v>
      </c>
      <c r="L2535" s="12" t="s">
        <v>12302</v>
      </c>
      <c r="M2535" s="12" t="s">
        <v>12303</v>
      </c>
      <c r="N2535" s="12">
        <v>295375</v>
      </c>
      <c r="O2535" s="12">
        <v>4210</v>
      </c>
      <c r="P2535" s="12">
        <v>3</v>
      </c>
      <c r="Q2535" s="12" t="s">
        <v>12304</v>
      </c>
      <c r="R2535" s="15" t="s">
        <v>12305</v>
      </c>
      <c r="S2535" s="12">
        <v>645</v>
      </c>
      <c r="T2535" s="12" t="s">
        <v>39</v>
      </c>
      <c r="U2535" s="12" t="s">
        <v>40</v>
      </c>
      <c r="V2535" s="12" t="s">
        <v>41</v>
      </c>
      <c r="W2535" s="12">
        <v>16000000</v>
      </c>
      <c r="X2535" s="12">
        <v>2006</v>
      </c>
      <c r="Y2535" s="12">
        <v>979</v>
      </c>
      <c r="Z2535" s="12">
        <v>7.6</v>
      </c>
      <c r="AA2535" s="12">
        <v>1.85</v>
      </c>
      <c r="AB2535" s="12">
        <v>15000</v>
      </c>
      <c r="AC2535" s="12"/>
      <c r="AD2535" s="12" t="str">
        <f>IFERROR(__xludf.DUMMYFUNCTION("""COMPUTED_VALUE"""),"Jacob Pitts")</f>
        <v>Jacob Pitts</v>
      </c>
      <c r="AE2535" s="12"/>
    </row>
    <row r="2536" customHeight="1" spans="1:31">
      <c r="A2536" s="11" t="s">
        <v>30</v>
      </c>
      <c r="B2536" s="11" t="s">
        <v>761</v>
      </c>
      <c r="C2536" s="11">
        <v>114</v>
      </c>
      <c r="D2536" s="11">
        <v>126</v>
      </c>
      <c r="E2536" s="11">
        <v>0</v>
      </c>
      <c r="F2536" s="11">
        <v>168</v>
      </c>
      <c r="G2536" s="11">
        <v>826</v>
      </c>
      <c r="H2536" s="11">
        <v>43848100</v>
      </c>
      <c r="I2536" s="11" t="s">
        <v>1936</v>
      </c>
      <c r="J2536" s="11" t="s">
        <v>2498</v>
      </c>
      <c r="K2536" s="11" t="s">
        <v>12354</v>
      </c>
      <c r="L2536" s="11" t="s">
        <v>4631</v>
      </c>
      <c r="M2536" s="11" t="s">
        <v>12355</v>
      </c>
      <c r="N2536" s="11">
        <v>119150</v>
      </c>
      <c r="O2536" s="11">
        <v>1607</v>
      </c>
      <c r="P2536" s="11">
        <v>2</v>
      </c>
      <c r="Q2536" s="11" t="s">
        <v>12356</v>
      </c>
      <c r="R2536" s="14" t="s">
        <v>12357</v>
      </c>
      <c r="S2536" s="11">
        <v>219</v>
      </c>
      <c r="T2536" s="11" t="s">
        <v>39</v>
      </c>
      <c r="U2536" s="11" t="s">
        <v>40</v>
      </c>
      <c r="V2536" s="11" t="s">
        <v>586</v>
      </c>
      <c r="W2536" s="11">
        <v>15000000</v>
      </c>
      <c r="X2536" s="11">
        <v>1987</v>
      </c>
      <c r="Y2536" s="11">
        <v>508</v>
      </c>
      <c r="Z2536" s="11">
        <v>7.4</v>
      </c>
      <c r="AA2536" s="11">
        <v>1.85</v>
      </c>
      <c r="AB2536" s="11">
        <v>0</v>
      </c>
      <c r="AC2536" s="11"/>
      <c r="AD2536" s="11" t="str">
        <f>IFERROR(__xludf.DUMMYFUNCTION("""COMPUTED_VALUE"""),"Claudia Christian")</f>
        <v>Claudia Christian</v>
      </c>
      <c r="AE2536" s="11"/>
    </row>
    <row r="2537" customHeight="1" spans="1:31">
      <c r="A2537" s="12" t="s">
        <v>30</v>
      </c>
      <c r="B2537" s="12" t="s">
        <v>1065</v>
      </c>
      <c r="C2537" s="12">
        <v>69</v>
      </c>
      <c r="D2537" s="12">
        <v>136</v>
      </c>
      <c r="E2537" s="12">
        <v>0</v>
      </c>
      <c r="F2537" s="12">
        <v>1000</v>
      </c>
      <c r="G2537" s="12">
        <v>25000</v>
      </c>
      <c r="H2537" s="12">
        <v>42700000</v>
      </c>
      <c r="I2537" s="12" t="s">
        <v>214</v>
      </c>
      <c r="J2537" s="12" t="s">
        <v>106</v>
      </c>
      <c r="K2537" s="12" t="s">
        <v>216</v>
      </c>
      <c r="L2537" s="12" t="s">
        <v>138</v>
      </c>
      <c r="M2537" s="12" t="s">
        <v>12358</v>
      </c>
      <c r="N2537" s="12">
        <v>78392</v>
      </c>
      <c r="O2537" s="12">
        <v>41059</v>
      </c>
      <c r="P2537" s="12">
        <v>2</v>
      </c>
      <c r="Q2537" s="12" t="s">
        <v>12359</v>
      </c>
      <c r="R2537" s="15" t="s">
        <v>12360</v>
      </c>
      <c r="S2537" s="12">
        <v>196</v>
      </c>
      <c r="T2537" s="12" t="s">
        <v>39</v>
      </c>
      <c r="U2537" s="12" t="s">
        <v>40</v>
      </c>
      <c r="V2537" s="12" t="s">
        <v>96</v>
      </c>
      <c r="W2537" s="12">
        <v>16500000</v>
      </c>
      <c r="X2537" s="12">
        <v>1995</v>
      </c>
      <c r="Y2537" s="12">
        <v>14000</v>
      </c>
      <c r="Z2537" s="12">
        <v>7.7</v>
      </c>
      <c r="AA2537" s="12">
        <v>1.85</v>
      </c>
      <c r="AB2537" s="12">
        <v>0</v>
      </c>
      <c r="AC2537" s="12"/>
      <c r="AD2537" s="12" t="str">
        <f>IFERROR(__xludf.DUMMYFUNCTION("""COMPUTED_VALUE"""),"Nia Peeples")</f>
        <v>Nia Peeples</v>
      </c>
      <c r="AE2537" s="12"/>
    </row>
    <row r="2538" customHeight="1" spans="1:31">
      <c r="A2538" s="11" t="s">
        <v>30</v>
      </c>
      <c r="B2538" s="11" t="s">
        <v>12361</v>
      </c>
      <c r="C2538" s="11">
        <v>150</v>
      </c>
      <c r="D2538" s="11">
        <v>120</v>
      </c>
      <c r="E2538" s="11">
        <v>11</v>
      </c>
      <c r="F2538" s="11">
        <v>281</v>
      </c>
      <c r="G2538" s="11">
        <v>11000</v>
      </c>
      <c r="H2538" s="11">
        <v>18663911</v>
      </c>
      <c r="I2538" s="11" t="s">
        <v>6327</v>
      </c>
      <c r="J2538" s="11" t="s">
        <v>257</v>
      </c>
      <c r="K2538" s="11" t="s">
        <v>405</v>
      </c>
      <c r="L2538" s="11" t="s">
        <v>12362</v>
      </c>
      <c r="M2538" s="11" t="s">
        <v>12363</v>
      </c>
      <c r="N2538" s="11">
        <v>46204</v>
      </c>
      <c r="O2538" s="11">
        <v>12554</v>
      </c>
      <c r="P2538" s="11">
        <v>1</v>
      </c>
      <c r="Q2538" s="11" t="s">
        <v>12364</v>
      </c>
      <c r="R2538" s="14" t="s">
        <v>12365</v>
      </c>
      <c r="S2538" s="11">
        <v>151</v>
      </c>
      <c r="T2538" s="11" t="s">
        <v>39</v>
      </c>
      <c r="U2538" s="11" t="s">
        <v>58</v>
      </c>
      <c r="V2538" s="11" t="s">
        <v>96</v>
      </c>
      <c r="W2538" s="11">
        <v>16500000</v>
      </c>
      <c r="X2538" s="11">
        <v>2007</v>
      </c>
      <c r="Y2538" s="11">
        <v>838</v>
      </c>
      <c r="Z2538" s="11">
        <v>7.1</v>
      </c>
      <c r="AA2538" s="11">
        <v>2.35</v>
      </c>
      <c r="AB2538" s="11">
        <v>0</v>
      </c>
      <c r="AC2538" s="11"/>
      <c r="AD2538" s="11" t="str">
        <f>IFERROR(__xludf.DUMMYFUNCTION("""COMPUTED_VALUE"""),"Tony Plana")</f>
        <v>Tony Plana</v>
      </c>
      <c r="AE2538" s="11"/>
    </row>
    <row r="2539" customHeight="1" spans="1:31">
      <c r="A2539" s="12" t="s">
        <v>30</v>
      </c>
      <c r="B2539" s="12" t="s">
        <v>12366</v>
      </c>
      <c r="C2539" s="12">
        <v>72</v>
      </c>
      <c r="D2539" s="12">
        <v>108</v>
      </c>
      <c r="E2539" s="12">
        <v>18</v>
      </c>
      <c r="F2539" s="12">
        <v>433</v>
      </c>
      <c r="G2539" s="12">
        <v>714</v>
      </c>
      <c r="H2539" s="12">
        <v>11702090</v>
      </c>
      <c r="I2539" s="12" t="s">
        <v>1681</v>
      </c>
      <c r="J2539" s="12" t="s">
        <v>12367</v>
      </c>
      <c r="K2539" s="12" t="s">
        <v>1365</v>
      </c>
      <c r="L2539" s="12" t="s">
        <v>12368</v>
      </c>
      <c r="M2539" s="12" t="s">
        <v>12369</v>
      </c>
      <c r="N2539" s="12">
        <v>37700</v>
      </c>
      <c r="O2539" s="12">
        <v>2785</v>
      </c>
      <c r="P2539" s="12">
        <v>2</v>
      </c>
      <c r="Q2539" s="12" t="s">
        <v>12370</v>
      </c>
      <c r="R2539" s="15" t="s">
        <v>12371</v>
      </c>
      <c r="S2539" s="12">
        <v>50</v>
      </c>
      <c r="T2539" s="12" t="s">
        <v>39</v>
      </c>
      <c r="U2539" s="12" t="s">
        <v>40</v>
      </c>
      <c r="V2539" s="12" t="s">
        <v>41</v>
      </c>
      <c r="W2539" s="12">
        <v>16500000</v>
      </c>
      <c r="X2539" s="12">
        <v>2007</v>
      </c>
      <c r="Y2539" s="12">
        <v>701</v>
      </c>
      <c r="Z2539" s="12">
        <v>6.3</v>
      </c>
      <c r="AA2539" s="12">
        <v>2.35</v>
      </c>
      <c r="AB2539" s="12">
        <v>0</v>
      </c>
      <c r="AC2539" s="12"/>
      <c r="AD2539" s="12" t="str">
        <f>IFERROR(__xludf.DUMMYFUNCTION("""COMPUTED_VALUE"""),"Tyler James Williams")</f>
        <v>Tyler James Williams</v>
      </c>
      <c r="AE2539" s="12"/>
    </row>
    <row r="2540" customHeight="1" spans="1:31">
      <c r="A2540" s="11" t="s">
        <v>30</v>
      </c>
      <c r="B2540" s="11" t="s">
        <v>12372</v>
      </c>
      <c r="C2540" s="11">
        <v>158</v>
      </c>
      <c r="D2540" s="11">
        <v>126</v>
      </c>
      <c r="E2540" s="11">
        <v>26</v>
      </c>
      <c r="F2540" s="11">
        <v>385</v>
      </c>
      <c r="G2540" s="11">
        <v>638</v>
      </c>
      <c r="H2540" s="11">
        <v>13005485</v>
      </c>
      <c r="I2540" s="11" t="s">
        <v>3410</v>
      </c>
      <c r="J2540" s="11" t="s">
        <v>3224</v>
      </c>
      <c r="K2540" s="11" t="s">
        <v>2210</v>
      </c>
      <c r="L2540" s="11" t="s">
        <v>8994</v>
      </c>
      <c r="M2540" s="11" t="s">
        <v>12373</v>
      </c>
      <c r="N2540" s="11">
        <v>56665</v>
      </c>
      <c r="O2540" s="11">
        <v>2282</v>
      </c>
      <c r="P2540" s="11">
        <v>0</v>
      </c>
      <c r="Q2540" s="11" t="s">
        <v>12374</v>
      </c>
      <c r="R2540" s="14" t="s">
        <v>12375</v>
      </c>
      <c r="S2540" s="11">
        <v>469</v>
      </c>
      <c r="T2540" s="11" t="s">
        <v>39</v>
      </c>
      <c r="U2540" s="11" t="s">
        <v>40</v>
      </c>
      <c r="V2540" s="11" t="s">
        <v>586</v>
      </c>
      <c r="W2540" s="11">
        <v>15000000</v>
      </c>
      <c r="X2540" s="11">
        <v>2003</v>
      </c>
      <c r="Y2540" s="11">
        <v>624</v>
      </c>
      <c r="Z2540" s="11">
        <v>7.6</v>
      </c>
      <c r="AA2540" s="11">
        <v>1.85</v>
      </c>
      <c r="AB2540" s="11">
        <v>0</v>
      </c>
      <c r="AC2540" s="11"/>
      <c r="AD2540" s="11" t="str">
        <f>IFERROR(__xludf.DUMMYFUNCTION("""COMPUTED_VALUE"""),"Bebe Neuwirth")</f>
        <v>Bebe Neuwirth</v>
      </c>
      <c r="AE2540" s="11"/>
    </row>
    <row r="2541" customHeight="1" spans="1:31">
      <c r="A2541" s="12" t="s">
        <v>30</v>
      </c>
      <c r="B2541" s="12" t="s">
        <v>1097</v>
      </c>
      <c r="C2541" s="12">
        <v>96</v>
      </c>
      <c r="D2541" s="12">
        <v>128</v>
      </c>
      <c r="E2541" s="12">
        <v>608</v>
      </c>
      <c r="F2541" s="12">
        <v>1000</v>
      </c>
      <c r="G2541" s="12">
        <v>49000</v>
      </c>
      <c r="H2541" s="12">
        <v>95860116</v>
      </c>
      <c r="I2541" s="12" t="s">
        <v>2528</v>
      </c>
      <c r="J2541" s="12" t="s">
        <v>811</v>
      </c>
      <c r="K2541" s="12" t="s">
        <v>3337</v>
      </c>
      <c r="L2541" s="12" t="s">
        <v>4474</v>
      </c>
      <c r="M2541" s="12" t="s">
        <v>12376</v>
      </c>
      <c r="N2541" s="12">
        <v>277451</v>
      </c>
      <c r="O2541" s="12">
        <v>51609</v>
      </c>
      <c r="P2541" s="12">
        <v>0</v>
      </c>
      <c r="Q2541" s="12" t="s">
        <v>12377</v>
      </c>
      <c r="R2541" s="15" t="s">
        <v>12378</v>
      </c>
      <c r="S2541" s="12">
        <v>491</v>
      </c>
      <c r="T2541" s="12" t="s">
        <v>39</v>
      </c>
      <c r="U2541" s="12" t="s">
        <v>40</v>
      </c>
      <c r="V2541" s="12" t="s">
        <v>96</v>
      </c>
      <c r="W2541" s="12">
        <v>16400000</v>
      </c>
      <c r="X2541" s="12">
        <v>1989</v>
      </c>
      <c r="Y2541" s="12">
        <v>1000</v>
      </c>
      <c r="Z2541" s="12">
        <v>8</v>
      </c>
      <c r="AA2541" s="12">
        <v>1.85</v>
      </c>
      <c r="AB2541" s="12">
        <v>23000</v>
      </c>
      <c r="AC2541" s="12"/>
      <c r="AD2541" s="12" t="str">
        <f>IFERROR(__xludf.DUMMYFUNCTION("""COMPUTED_VALUE"""),"Matthew Knight")</f>
        <v>Matthew Knight</v>
      </c>
      <c r="AE2541" s="12"/>
    </row>
    <row r="2542" customHeight="1" spans="1:31">
      <c r="A2542" s="11" t="s">
        <v>30</v>
      </c>
      <c r="B2542" s="11" t="s">
        <v>12379</v>
      </c>
      <c r="C2542" s="11">
        <v>84</v>
      </c>
      <c r="D2542" s="11">
        <v>113</v>
      </c>
      <c r="E2542" s="11">
        <v>137</v>
      </c>
      <c r="F2542" s="11">
        <v>481</v>
      </c>
      <c r="G2542" s="11">
        <v>879</v>
      </c>
      <c r="H2542" s="11">
        <v>127175354</v>
      </c>
      <c r="I2542" s="11" t="s">
        <v>1672</v>
      </c>
      <c r="J2542" s="11" t="s">
        <v>4791</v>
      </c>
      <c r="K2542" s="11" t="s">
        <v>3197</v>
      </c>
      <c r="L2542" s="11" t="s">
        <v>10642</v>
      </c>
      <c r="M2542" s="11" t="s">
        <v>12380</v>
      </c>
      <c r="N2542" s="11">
        <v>288451</v>
      </c>
      <c r="O2542" s="11">
        <v>2985</v>
      </c>
      <c r="P2542" s="11">
        <v>2</v>
      </c>
      <c r="Q2542" s="11" t="s">
        <v>12381</v>
      </c>
      <c r="R2542" s="14" t="s">
        <v>12382</v>
      </c>
      <c r="S2542" s="11">
        <v>438</v>
      </c>
      <c r="T2542" s="11" t="s">
        <v>39</v>
      </c>
      <c r="U2542" s="11" t="s">
        <v>40</v>
      </c>
      <c r="V2542" s="11" t="s">
        <v>41</v>
      </c>
      <c r="W2542" s="11">
        <v>16000000</v>
      </c>
      <c r="X2542" s="11">
        <v>1994</v>
      </c>
      <c r="Y2542" s="11">
        <v>854</v>
      </c>
      <c r="Z2542" s="11">
        <v>7.3</v>
      </c>
      <c r="AA2542" s="11">
        <v>1.85</v>
      </c>
      <c r="AB2542" s="11">
        <v>0</v>
      </c>
      <c r="AC2542" s="11"/>
      <c r="AD2542" s="11" t="str">
        <f>IFERROR(__xludf.DUMMYFUNCTION("""COMPUTED_VALUE"""),"Amanda Tilson")</f>
        <v>Amanda Tilson</v>
      </c>
      <c r="AE2542" s="11"/>
    </row>
    <row r="2543" customHeight="1" spans="1:31">
      <c r="A2543" s="12" t="s">
        <v>30</v>
      </c>
      <c r="B2543" s="12" t="s">
        <v>3892</v>
      </c>
      <c r="C2543" s="12">
        <v>114</v>
      </c>
      <c r="D2543" s="12">
        <v>89</v>
      </c>
      <c r="E2543" s="12">
        <v>0</v>
      </c>
      <c r="F2543" s="12">
        <v>62</v>
      </c>
      <c r="G2543" s="12">
        <v>227</v>
      </c>
      <c r="H2543" s="12">
        <v>92823600</v>
      </c>
      <c r="I2543" s="12" t="s">
        <v>1415</v>
      </c>
      <c r="J2543" s="12" t="s">
        <v>12383</v>
      </c>
      <c r="K2543" s="12" t="s">
        <v>12384</v>
      </c>
      <c r="L2543" s="12" t="s">
        <v>12385</v>
      </c>
      <c r="M2543" s="12" t="s">
        <v>12386</v>
      </c>
      <c r="N2543" s="12">
        <v>149108</v>
      </c>
      <c r="O2543" s="12">
        <v>485</v>
      </c>
      <c r="P2543" s="12">
        <v>0</v>
      </c>
      <c r="Q2543" s="12" t="s">
        <v>12387</v>
      </c>
      <c r="R2543" s="15" t="s">
        <v>12388</v>
      </c>
      <c r="S2543" s="12">
        <v>273</v>
      </c>
      <c r="T2543" s="12" t="s">
        <v>39</v>
      </c>
      <c r="U2543" s="12" t="s">
        <v>40</v>
      </c>
      <c r="V2543" s="12" t="s">
        <v>586</v>
      </c>
      <c r="W2543" s="12">
        <v>16000000</v>
      </c>
      <c r="X2543" s="12">
        <v>1989</v>
      </c>
      <c r="Y2543" s="12">
        <v>73</v>
      </c>
      <c r="Z2543" s="12">
        <v>7.6</v>
      </c>
      <c r="AA2543" s="12">
        <v>1.85</v>
      </c>
      <c r="AB2543" s="12">
        <v>0</v>
      </c>
      <c r="AC2543" s="12"/>
      <c r="AD2543" s="12" t="str">
        <f>IFERROR(__xludf.DUMMYFUNCTION("""COMPUTED_VALUE"""),"Gillian Jacobs")</f>
        <v>Gillian Jacobs</v>
      </c>
      <c r="AE2543" s="12"/>
    </row>
    <row r="2544" customHeight="1" spans="1:31">
      <c r="A2544" s="11" t="s">
        <v>30</v>
      </c>
      <c r="B2544" s="11" t="s">
        <v>10146</v>
      </c>
      <c r="C2544" s="11">
        <v>79</v>
      </c>
      <c r="D2544" s="11">
        <v>129</v>
      </c>
      <c r="E2544" s="11">
        <v>0</v>
      </c>
      <c r="F2544" s="11">
        <v>359</v>
      </c>
      <c r="G2544" s="11">
        <v>844</v>
      </c>
      <c r="H2544" s="11">
        <v>54000000</v>
      </c>
      <c r="I2544" s="11" t="s">
        <v>3410</v>
      </c>
      <c r="J2544" s="11" t="s">
        <v>3518</v>
      </c>
      <c r="K2544" s="11" t="s">
        <v>4825</v>
      </c>
      <c r="L2544" s="11" t="s">
        <v>12389</v>
      </c>
      <c r="M2544" s="11" t="s">
        <v>12390</v>
      </c>
      <c r="N2544" s="11">
        <v>26310</v>
      </c>
      <c r="O2544" s="11">
        <v>2330</v>
      </c>
      <c r="P2544" s="11">
        <v>0</v>
      </c>
      <c r="Q2544" s="11" t="s">
        <v>12391</v>
      </c>
      <c r="R2544" s="14" t="s">
        <v>12392</v>
      </c>
      <c r="S2544" s="11">
        <v>154</v>
      </c>
      <c r="T2544" s="11" t="s">
        <v>39</v>
      </c>
      <c r="U2544" s="11" t="s">
        <v>40</v>
      </c>
      <c r="V2544" s="11" t="s">
        <v>586</v>
      </c>
      <c r="W2544" s="11">
        <v>16000000</v>
      </c>
      <c r="X2544" s="11">
        <v>1982</v>
      </c>
      <c r="Y2544" s="11">
        <v>617</v>
      </c>
      <c r="Z2544" s="11">
        <v>7.8</v>
      </c>
      <c r="AA2544" s="11">
        <v>1.85</v>
      </c>
      <c r="AB2544" s="11">
        <v>0</v>
      </c>
      <c r="AC2544" s="11"/>
      <c r="AD2544" s="11" t="str">
        <f>IFERROR(__xludf.DUMMYFUNCTION("""COMPUTED_VALUE"""),"Jonathan Tucker")</f>
        <v>Jonathan Tucker</v>
      </c>
      <c r="AE2544" s="11"/>
    </row>
    <row r="2545" customHeight="1" spans="1:31">
      <c r="A2545" s="12" t="s">
        <v>30</v>
      </c>
      <c r="B2545" s="12" t="s">
        <v>2543</v>
      </c>
      <c r="C2545" s="12">
        <v>103</v>
      </c>
      <c r="D2545" s="12">
        <v>94</v>
      </c>
      <c r="E2545" s="12">
        <v>480</v>
      </c>
      <c r="F2545" s="12">
        <v>486</v>
      </c>
      <c r="G2545" s="12">
        <v>1000</v>
      </c>
      <c r="H2545" s="12">
        <v>68525609</v>
      </c>
      <c r="I2545" s="12" t="s">
        <v>1672</v>
      </c>
      <c r="J2545" s="12" t="s">
        <v>2084</v>
      </c>
      <c r="K2545" s="12" t="s">
        <v>7844</v>
      </c>
      <c r="L2545" s="12" t="s">
        <v>10446</v>
      </c>
      <c r="M2545" s="12" t="s">
        <v>12393</v>
      </c>
      <c r="N2545" s="12">
        <v>132963</v>
      </c>
      <c r="O2545" s="12">
        <v>3889</v>
      </c>
      <c r="P2545" s="12">
        <v>5</v>
      </c>
      <c r="Q2545" s="12" t="s">
        <v>12394</v>
      </c>
      <c r="R2545" s="15" t="s">
        <v>12395</v>
      </c>
      <c r="S2545" s="12">
        <v>302</v>
      </c>
      <c r="T2545" s="12" t="s">
        <v>39</v>
      </c>
      <c r="U2545" s="12" t="s">
        <v>40</v>
      </c>
      <c r="V2545" s="12" t="s">
        <v>586</v>
      </c>
      <c r="W2545" s="12">
        <v>15600000</v>
      </c>
      <c r="X2545" s="12">
        <v>2000</v>
      </c>
      <c r="Y2545" s="12">
        <v>490</v>
      </c>
      <c r="Z2545" s="12">
        <v>6.5</v>
      </c>
      <c r="AA2545" s="12">
        <v>1.85</v>
      </c>
      <c r="AB2545" s="12">
        <v>0</v>
      </c>
      <c r="AC2545" s="12"/>
      <c r="AD2545" s="12" t="str">
        <f>IFERROR(__xludf.DUMMYFUNCTION("""COMPUTED_VALUE"""),"Sergio Calderón")</f>
        <v>Sergio Calderón</v>
      </c>
      <c r="AE2545" s="12"/>
    </row>
    <row r="2546" customHeight="1" spans="1:31">
      <c r="A2546" s="11" t="s">
        <v>30</v>
      </c>
      <c r="B2546" s="11" t="s">
        <v>4100</v>
      </c>
      <c r="C2546" s="11">
        <v>67</v>
      </c>
      <c r="D2546" s="11">
        <v>106</v>
      </c>
      <c r="E2546" s="11">
        <v>48</v>
      </c>
      <c r="F2546" s="11">
        <v>35</v>
      </c>
      <c r="G2546" s="11">
        <v>23000</v>
      </c>
      <c r="H2546" s="11">
        <v>52885587</v>
      </c>
      <c r="I2546" s="11" t="s">
        <v>4479</v>
      </c>
      <c r="J2546" s="11" t="s">
        <v>336</v>
      </c>
      <c r="K2546" s="11" t="s">
        <v>12396</v>
      </c>
      <c r="L2546" s="11" t="s">
        <v>12397</v>
      </c>
      <c r="M2546" s="11" t="s">
        <v>12398</v>
      </c>
      <c r="N2546" s="11">
        <v>35312</v>
      </c>
      <c r="O2546" s="11">
        <v>23369</v>
      </c>
      <c r="P2546" s="11">
        <v>0</v>
      </c>
      <c r="Q2546" s="11" t="s">
        <v>12399</v>
      </c>
      <c r="R2546" s="14" t="s">
        <v>12400</v>
      </c>
      <c r="S2546" s="11">
        <v>267</v>
      </c>
      <c r="T2546" s="11" t="s">
        <v>39</v>
      </c>
      <c r="U2546" s="11" t="s">
        <v>40</v>
      </c>
      <c r="V2546" s="11" t="s">
        <v>586</v>
      </c>
      <c r="W2546" s="11">
        <v>16000000</v>
      </c>
      <c r="X2546" s="11">
        <v>1999</v>
      </c>
      <c r="Y2546" s="11">
        <v>255</v>
      </c>
      <c r="Z2546" s="11">
        <v>6.4</v>
      </c>
      <c r="AA2546" s="11">
        <v>1.85</v>
      </c>
      <c r="AB2546" s="11">
        <v>0</v>
      </c>
      <c r="AC2546" s="11"/>
      <c r="AD2546" s="11" t="str">
        <f>IFERROR(__xludf.DUMMYFUNCTION("""COMPUTED_VALUE"""),"Emily Meade")</f>
        <v>Emily Meade</v>
      </c>
      <c r="AE2546" s="11"/>
    </row>
    <row r="2547" customHeight="1" spans="1:31">
      <c r="A2547" s="12" t="s">
        <v>748</v>
      </c>
      <c r="B2547" s="12" t="s">
        <v>12401</v>
      </c>
      <c r="C2547" s="12">
        <v>576</v>
      </c>
      <c r="D2547" s="12">
        <v>100</v>
      </c>
      <c r="E2547" s="12">
        <v>405</v>
      </c>
      <c r="F2547" s="12">
        <v>628</v>
      </c>
      <c r="G2547" s="12">
        <v>996</v>
      </c>
      <c r="H2547" s="12">
        <v>44667095</v>
      </c>
      <c r="I2547" s="12" t="s">
        <v>1415</v>
      </c>
      <c r="J2547" s="12" t="s">
        <v>6211</v>
      </c>
      <c r="K2547" s="12" t="s">
        <v>4269</v>
      </c>
      <c r="L2547" s="12" t="s">
        <v>7032</v>
      </c>
      <c r="M2547" s="12" t="s">
        <v>12402</v>
      </c>
      <c r="N2547" s="12">
        <v>190030</v>
      </c>
      <c r="O2547" s="12">
        <v>4606</v>
      </c>
      <c r="P2547" s="12">
        <v>0</v>
      </c>
      <c r="Q2547" s="12" t="s">
        <v>12403</v>
      </c>
      <c r="R2547" s="15" t="s">
        <v>12404</v>
      </c>
      <c r="S2547" s="12">
        <v>583</v>
      </c>
      <c r="T2547" s="12" t="s">
        <v>39</v>
      </c>
      <c r="U2547" s="12" t="s">
        <v>1466</v>
      </c>
      <c r="V2547" s="12" t="s">
        <v>41</v>
      </c>
      <c r="W2547" s="12">
        <v>15000000</v>
      </c>
      <c r="X2547" s="12">
        <v>2011</v>
      </c>
      <c r="Y2547" s="12">
        <v>897</v>
      </c>
      <c r="Z2547" s="12">
        <v>8</v>
      </c>
      <c r="AA2547" s="12">
        <v>1.33</v>
      </c>
      <c r="AB2547" s="12">
        <v>30000</v>
      </c>
      <c r="AC2547" s="12"/>
      <c r="AD2547" s="12" t="str">
        <f>IFERROR(__xludf.DUMMYFUNCTION("""COMPUTED_VALUE"""),"Zena Grey")</f>
        <v>Zena Grey</v>
      </c>
      <c r="AE2547" s="12"/>
    </row>
    <row r="2548" customHeight="1" spans="1:31">
      <c r="A2548" s="11" t="s">
        <v>30</v>
      </c>
      <c r="B2548" s="11" t="s">
        <v>3750</v>
      </c>
      <c r="C2548" s="11">
        <v>178</v>
      </c>
      <c r="D2548" s="11">
        <v>89</v>
      </c>
      <c r="E2548" s="11">
        <v>687</v>
      </c>
      <c r="F2548" s="11">
        <v>389</v>
      </c>
      <c r="G2548" s="11">
        <v>10000</v>
      </c>
      <c r="H2548" s="11">
        <v>42638165</v>
      </c>
      <c r="I2548" s="11" t="s">
        <v>2094</v>
      </c>
      <c r="J2548" s="11" t="s">
        <v>440</v>
      </c>
      <c r="K2548" s="11" t="s">
        <v>6931</v>
      </c>
      <c r="L2548" s="11" t="s">
        <v>12405</v>
      </c>
      <c r="M2548" s="11" t="s">
        <v>12406</v>
      </c>
      <c r="N2548" s="11">
        <v>42182</v>
      </c>
      <c r="O2548" s="11">
        <v>12183</v>
      </c>
      <c r="P2548" s="11">
        <v>1</v>
      </c>
      <c r="Q2548" s="11" t="s">
        <v>12407</v>
      </c>
      <c r="R2548" s="14" t="s">
        <v>12408</v>
      </c>
      <c r="S2548" s="11">
        <v>230</v>
      </c>
      <c r="T2548" s="11" t="s">
        <v>39</v>
      </c>
      <c r="U2548" s="11" t="s">
        <v>40</v>
      </c>
      <c r="V2548" s="11" t="s">
        <v>41</v>
      </c>
      <c r="W2548" s="11">
        <v>16000000</v>
      </c>
      <c r="X2548" s="11">
        <v>2009</v>
      </c>
      <c r="Y2548" s="11">
        <v>787</v>
      </c>
      <c r="Z2548" s="11">
        <v>4.8</v>
      </c>
      <c r="AA2548" s="11">
        <v>2.35</v>
      </c>
      <c r="AB2548" s="11">
        <v>0</v>
      </c>
      <c r="AC2548" s="11"/>
      <c r="AD2548" s="11" t="str">
        <f>IFERROR(__xludf.DUMMYFUNCTION("""COMPUTED_VALUE"""),"Chris Marquette")</f>
        <v>Chris Marquette</v>
      </c>
      <c r="AE2548" s="11"/>
    </row>
    <row r="2549" customHeight="1" spans="1:31">
      <c r="A2549" s="12" t="s">
        <v>30</v>
      </c>
      <c r="B2549" s="12" t="s">
        <v>5383</v>
      </c>
      <c r="C2549" s="12">
        <v>487</v>
      </c>
      <c r="D2549" s="12">
        <v>94</v>
      </c>
      <c r="E2549" s="12">
        <v>0</v>
      </c>
      <c r="F2549" s="12">
        <v>559</v>
      </c>
      <c r="G2549" s="12">
        <v>13000</v>
      </c>
      <c r="H2549" s="12">
        <v>45507053</v>
      </c>
      <c r="I2549" s="12" t="s">
        <v>11385</v>
      </c>
      <c r="J2549" s="12" t="s">
        <v>978</v>
      </c>
      <c r="K2549" s="12" t="s">
        <v>549</v>
      </c>
      <c r="L2549" s="12" t="s">
        <v>3355</v>
      </c>
      <c r="M2549" s="12" t="s">
        <v>12409</v>
      </c>
      <c r="N2549" s="12">
        <v>237848</v>
      </c>
      <c r="O2549" s="12">
        <v>27911</v>
      </c>
      <c r="P2549" s="12">
        <v>2</v>
      </c>
      <c r="Q2549" s="12" t="s">
        <v>12410</v>
      </c>
      <c r="R2549" s="15" t="s">
        <v>12411</v>
      </c>
      <c r="S2549" s="12">
        <v>377</v>
      </c>
      <c r="T2549" s="12" t="s">
        <v>39</v>
      </c>
      <c r="U2549" s="12" t="s">
        <v>40</v>
      </c>
      <c r="V2549" s="12" t="s">
        <v>41</v>
      </c>
      <c r="W2549" s="12">
        <v>16000000</v>
      </c>
      <c r="X2549" s="12">
        <v>2012</v>
      </c>
      <c r="Y2549" s="12">
        <v>13000</v>
      </c>
      <c r="Z2549" s="12">
        <v>7.8</v>
      </c>
      <c r="AA2549" s="12">
        <v>1.85</v>
      </c>
      <c r="AB2549" s="12">
        <v>71000</v>
      </c>
      <c r="AC2549" s="12"/>
      <c r="AD2549" s="12" t="str">
        <f>IFERROR(__xludf.DUMMYFUNCTION("""COMPUTED_VALUE"""),"Timothy Bottoms")</f>
        <v>Timothy Bottoms</v>
      </c>
      <c r="AE2549" s="12"/>
    </row>
    <row r="2550" customHeight="1" spans="1:31">
      <c r="A2550" s="11" t="s">
        <v>30</v>
      </c>
      <c r="B2550" s="11" t="s">
        <v>877</v>
      </c>
      <c r="C2550" s="11">
        <v>196</v>
      </c>
      <c r="D2550" s="11">
        <v>83</v>
      </c>
      <c r="E2550" s="11">
        <v>473</v>
      </c>
      <c r="F2550" s="11">
        <v>597</v>
      </c>
      <c r="G2550" s="11">
        <v>20000</v>
      </c>
      <c r="H2550" s="11">
        <v>39511038</v>
      </c>
      <c r="I2550" s="11" t="s">
        <v>6403</v>
      </c>
      <c r="J2550" s="11" t="s">
        <v>4366</v>
      </c>
      <c r="K2550" s="11" t="s">
        <v>682</v>
      </c>
      <c r="L2550" s="11" t="s">
        <v>9165</v>
      </c>
      <c r="M2550" s="11" t="s">
        <v>12412</v>
      </c>
      <c r="N2550" s="11">
        <v>56269</v>
      </c>
      <c r="O2550" s="11">
        <v>26402</v>
      </c>
      <c r="P2550" s="11">
        <v>0</v>
      </c>
      <c r="Q2550" s="11" t="s">
        <v>12413</v>
      </c>
      <c r="R2550" s="14" t="s">
        <v>12414</v>
      </c>
      <c r="S2550" s="11">
        <v>366</v>
      </c>
      <c r="T2550" s="11" t="s">
        <v>39</v>
      </c>
      <c r="U2550" s="11" t="s">
        <v>40</v>
      </c>
      <c r="V2550" s="11" t="s">
        <v>586</v>
      </c>
      <c r="W2550" s="11">
        <v>16000000</v>
      </c>
      <c r="X2550" s="11">
        <v>2006</v>
      </c>
      <c r="Y2550" s="11">
        <v>4000</v>
      </c>
      <c r="Z2550" s="11">
        <v>5.9</v>
      </c>
      <c r="AA2550" s="11">
        <v>1.85</v>
      </c>
      <c r="AB2550" s="11">
        <v>0</v>
      </c>
      <c r="AC2550" s="11"/>
      <c r="AD2550" s="11" t="str">
        <f>IFERROR(__xludf.DUMMYFUNCTION("""COMPUTED_VALUE"""),"Jacob Young")</f>
        <v>Jacob Young</v>
      </c>
      <c r="AE2550" s="11"/>
    </row>
    <row r="2551" customHeight="1" spans="1:31">
      <c r="A2551" s="12" t="s">
        <v>30</v>
      </c>
      <c r="B2551" s="12" t="s">
        <v>12415</v>
      </c>
      <c r="C2551" s="12">
        <v>24</v>
      </c>
      <c r="D2551" s="12">
        <v>111</v>
      </c>
      <c r="E2551" s="12">
        <v>19</v>
      </c>
      <c r="F2551" s="12">
        <v>107</v>
      </c>
      <c r="G2551" s="12">
        <v>241</v>
      </c>
      <c r="H2551" s="12">
        <v>6462576</v>
      </c>
      <c r="I2551" s="12" t="s">
        <v>3410</v>
      </c>
      <c r="J2551" s="12" t="s">
        <v>1315</v>
      </c>
      <c r="K2551" s="12" t="s">
        <v>12416</v>
      </c>
      <c r="L2551" s="12" t="s">
        <v>12417</v>
      </c>
      <c r="M2551" s="12" t="s">
        <v>12418</v>
      </c>
      <c r="N2551" s="12">
        <v>1449</v>
      </c>
      <c r="O2551" s="12">
        <v>824</v>
      </c>
      <c r="P2551" s="12">
        <v>0</v>
      </c>
      <c r="Q2551" s="12" t="s">
        <v>7748</v>
      </c>
      <c r="R2551" s="15" t="s">
        <v>12419</v>
      </c>
      <c r="S2551" s="12">
        <v>30</v>
      </c>
      <c r="T2551" s="12" t="s">
        <v>39</v>
      </c>
      <c r="U2551" s="12" t="s">
        <v>40</v>
      </c>
      <c r="V2551" s="12" t="s">
        <v>41</v>
      </c>
      <c r="W2551" s="12">
        <v>18500000</v>
      </c>
      <c r="X2551" s="12">
        <v>2016</v>
      </c>
      <c r="Y2551" s="12">
        <v>118</v>
      </c>
      <c r="Z2551" s="12">
        <v>5.4</v>
      </c>
      <c r="AA2551" s="12">
        <v>2.35</v>
      </c>
      <c r="AB2551" s="12">
        <v>0</v>
      </c>
      <c r="AC2551" s="12"/>
      <c r="AD2551" s="12" t="str">
        <f>IFERROR(__xludf.DUMMYFUNCTION("""COMPUTED_VALUE"""),"Zach Grenier")</f>
        <v>Zach Grenier</v>
      </c>
      <c r="AE2551" s="12"/>
    </row>
    <row r="2552" customHeight="1" spans="1:31">
      <c r="A2552" s="11" t="s">
        <v>30</v>
      </c>
      <c r="B2552" s="11" t="s">
        <v>12420</v>
      </c>
      <c r="C2552" s="11">
        <v>56</v>
      </c>
      <c r="D2552" s="11">
        <v>80</v>
      </c>
      <c r="E2552" s="11">
        <v>11</v>
      </c>
      <c r="F2552" s="11">
        <v>499</v>
      </c>
      <c r="G2552" s="11">
        <v>911</v>
      </c>
      <c r="H2552" s="11">
        <v>40363530</v>
      </c>
      <c r="I2552" s="11" t="s">
        <v>3057</v>
      </c>
      <c r="J2552" s="11" t="s">
        <v>5166</v>
      </c>
      <c r="K2552" s="11" t="s">
        <v>7223</v>
      </c>
      <c r="L2552" s="11" t="s">
        <v>6871</v>
      </c>
      <c r="M2552" s="11" t="s">
        <v>12421</v>
      </c>
      <c r="N2552" s="11">
        <v>18254</v>
      </c>
      <c r="O2552" s="11">
        <v>3058</v>
      </c>
      <c r="P2552" s="11">
        <v>2</v>
      </c>
      <c r="Q2552" s="11" t="s">
        <v>12422</v>
      </c>
      <c r="R2552" s="14" t="s">
        <v>12423</v>
      </c>
      <c r="S2552" s="11">
        <v>307</v>
      </c>
      <c r="T2552" s="11" t="s">
        <v>39</v>
      </c>
      <c r="U2552" s="11" t="s">
        <v>40</v>
      </c>
      <c r="V2552" s="11" t="s">
        <v>96</v>
      </c>
      <c r="W2552" s="11">
        <v>16000000</v>
      </c>
      <c r="X2552" s="11">
        <v>2002</v>
      </c>
      <c r="Y2552" s="11">
        <v>521</v>
      </c>
      <c r="Z2552" s="11">
        <v>3.3</v>
      </c>
      <c r="AA2552" s="11">
        <v>1.85</v>
      </c>
      <c r="AB2552" s="11">
        <v>1000</v>
      </c>
      <c r="AC2552" s="11"/>
      <c r="AD2552" s="11" t="str">
        <f>IFERROR(__xludf.DUMMYFUNCTION("""COMPUTED_VALUE"""),"Paul Ben-Victor")</f>
        <v>Paul Ben-Victor</v>
      </c>
      <c r="AE2552" s="11"/>
    </row>
    <row r="2553" customHeight="1" spans="1:31">
      <c r="A2553" s="12" t="s">
        <v>30</v>
      </c>
      <c r="B2553" s="12" t="s">
        <v>379</v>
      </c>
      <c r="C2553" s="12">
        <v>406</v>
      </c>
      <c r="D2553" s="12">
        <v>112</v>
      </c>
      <c r="E2553" s="12">
        <v>0</v>
      </c>
      <c r="F2553" s="12">
        <v>250</v>
      </c>
      <c r="G2553" s="12">
        <v>634</v>
      </c>
      <c r="H2553" s="12">
        <v>37623143</v>
      </c>
      <c r="I2553" s="12" t="s">
        <v>12424</v>
      </c>
      <c r="J2553" s="12" t="s">
        <v>12425</v>
      </c>
      <c r="K2553" s="12" t="s">
        <v>12426</v>
      </c>
      <c r="L2553" s="12" t="s">
        <v>12427</v>
      </c>
      <c r="M2553" s="12" t="s">
        <v>12428</v>
      </c>
      <c r="N2553" s="12">
        <v>467234</v>
      </c>
      <c r="O2553" s="12">
        <v>1322</v>
      </c>
      <c r="P2553" s="12">
        <v>0</v>
      </c>
      <c r="Q2553" s="12" t="s">
        <v>12429</v>
      </c>
      <c r="R2553" s="15" t="s">
        <v>12430</v>
      </c>
      <c r="S2553" s="12">
        <v>1083</v>
      </c>
      <c r="T2553" s="12" t="s">
        <v>2779</v>
      </c>
      <c r="U2553" s="12" t="s">
        <v>3572</v>
      </c>
      <c r="V2553" s="12" t="s">
        <v>586</v>
      </c>
      <c r="W2553" s="12">
        <v>13500000</v>
      </c>
      <c r="X2553" s="12">
        <v>2006</v>
      </c>
      <c r="Y2553" s="12">
        <v>269</v>
      </c>
      <c r="Z2553" s="12">
        <v>8.2</v>
      </c>
      <c r="AA2553" s="12">
        <v>1.85</v>
      </c>
      <c r="AB2553" s="12">
        <v>27000</v>
      </c>
      <c r="AC2553" s="12"/>
      <c r="AD2553" s="12" t="str">
        <f>IFERROR(__xludf.DUMMYFUNCTION("""COMPUTED_VALUE"""),"Tara Fitzgerald")</f>
        <v>Tara Fitzgerald</v>
      </c>
      <c r="AE2553" s="12"/>
    </row>
    <row r="2554" customHeight="1" spans="1:31">
      <c r="A2554" s="11" t="s">
        <v>30</v>
      </c>
      <c r="B2554" s="13"/>
      <c r="C2554" s="11">
        <v>3</v>
      </c>
      <c r="D2554" s="11">
        <v>60</v>
      </c>
      <c r="E2554" s="13"/>
      <c r="F2554" s="11">
        <v>762</v>
      </c>
      <c r="G2554" s="11">
        <v>1000</v>
      </c>
      <c r="H2554" s="13"/>
      <c r="I2554" s="11" t="s">
        <v>3353</v>
      </c>
      <c r="J2554" s="11" t="s">
        <v>5034</v>
      </c>
      <c r="K2554" s="11" t="s">
        <v>12431</v>
      </c>
      <c r="L2554" s="11" t="s">
        <v>6772</v>
      </c>
      <c r="M2554" s="11" t="s">
        <v>12432</v>
      </c>
      <c r="N2554" s="11">
        <v>7210</v>
      </c>
      <c r="O2554" s="11">
        <v>4561</v>
      </c>
      <c r="P2554" s="11">
        <v>0</v>
      </c>
      <c r="Q2554" s="13"/>
      <c r="R2554" s="14" t="s">
        <v>12433</v>
      </c>
      <c r="S2554" s="11">
        <v>57</v>
      </c>
      <c r="T2554" s="11" t="s">
        <v>39</v>
      </c>
      <c r="U2554" s="11" t="s">
        <v>40</v>
      </c>
      <c r="V2554" s="13"/>
      <c r="W2554" s="13"/>
      <c r="X2554" s="13"/>
      <c r="Y2554" s="11">
        <v>921</v>
      </c>
      <c r="Z2554" s="11">
        <v>6.6</v>
      </c>
      <c r="AA2554" s="11">
        <v>16</v>
      </c>
      <c r="AB2554" s="11">
        <v>0</v>
      </c>
      <c r="AC2554" s="11"/>
      <c r="AD2554" s="11" t="str">
        <f>IFERROR(__xludf.DUMMYFUNCTION("""COMPUTED_VALUE"""),"Jorma Taccone")</f>
        <v>Jorma Taccone</v>
      </c>
      <c r="AE2554" s="11"/>
    </row>
    <row r="2555" customHeight="1" spans="1:31">
      <c r="A2555" s="12" t="s">
        <v>30</v>
      </c>
      <c r="B2555" s="12" t="s">
        <v>4988</v>
      </c>
      <c r="C2555" s="12">
        <v>51</v>
      </c>
      <c r="D2555" s="12">
        <v>94</v>
      </c>
      <c r="E2555" s="12">
        <v>14</v>
      </c>
      <c r="F2555" s="12">
        <v>635</v>
      </c>
      <c r="G2555" s="12">
        <v>1000</v>
      </c>
      <c r="H2555" s="12">
        <v>33357476</v>
      </c>
      <c r="I2555" s="12" t="s">
        <v>12434</v>
      </c>
      <c r="J2555" s="12" t="s">
        <v>2718</v>
      </c>
      <c r="K2555" s="12" t="s">
        <v>10349</v>
      </c>
      <c r="L2555" s="12" t="s">
        <v>7659</v>
      </c>
      <c r="M2555" s="12" t="s">
        <v>12435</v>
      </c>
      <c r="N2555" s="12">
        <v>7392</v>
      </c>
      <c r="O2555" s="12">
        <v>4194</v>
      </c>
      <c r="P2555" s="12">
        <v>0</v>
      </c>
      <c r="Q2555" s="12" t="s">
        <v>12436</v>
      </c>
      <c r="R2555" s="15" t="s">
        <v>12437</v>
      </c>
      <c r="S2555" s="12">
        <v>53</v>
      </c>
      <c r="T2555" s="12" t="s">
        <v>39</v>
      </c>
      <c r="U2555" s="12" t="s">
        <v>40</v>
      </c>
      <c r="V2555" s="12" t="s">
        <v>96</v>
      </c>
      <c r="W2555" s="12">
        <v>35000000</v>
      </c>
      <c r="X2555" s="12">
        <v>2001</v>
      </c>
      <c r="Y2555" s="12">
        <v>1000</v>
      </c>
      <c r="Z2555" s="12">
        <v>5.4</v>
      </c>
      <c r="AA2555" s="12">
        <v>1.85</v>
      </c>
      <c r="AB2555" s="12">
        <v>393</v>
      </c>
      <c r="AC2555" s="12"/>
      <c r="AD2555" s="12" t="str">
        <f>IFERROR(__xludf.DUMMYFUNCTION("""COMPUTED_VALUE"""),"Chris Parnell")</f>
        <v>Chris Parnell</v>
      </c>
      <c r="AE2555" s="12"/>
    </row>
    <row r="2556" customHeight="1" spans="1:31">
      <c r="A2556" s="11" t="s">
        <v>748</v>
      </c>
      <c r="B2556" s="11" t="s">
        <v>2944</v>
      </c>
      <c r="C2556" s="11">
        <v>41</v>
      </c>
      <c r="D2556" s="11">
        <v>130</v>
      </c>
      <c r="E2556" s="11">
        <v>309</v>
      </c>
      <c r="F2556" s="11">
        <v>522</v>
      </c>
      <c r="G2556" s="11">
        <v>939</v>
      </c>
      <c r="H2556" s="11">
        <v>28734552</v>
      </c>
      <c r="I2556" s="11" t="s">
        <v>5275</v>
      </c>
      <c r="J2556" s="11" t="s">
        <v>5453</v>
      </c>
      <c r="K2556" s="11" t="s">
        <v>1141</v>
      </c>
      <c r="L2556" s="11" t="s">
        <v>12438</v>
      </c>
      <c r="M2556" s="11" t="s">
        <v>12439</v>
      </c>
      <c r="N2556" s="11">
        <v>9566</v>
      </c>
      <c r="O2556" s="11">
        <v>3107</v>
      </c>
      <c r="P2556" s="11">
        <v>2</v>
      </c>
      <c r="Q2556" s="11" t="s">
        <v>12440</v>
      </c>
      <c r="R2556" s="14" t="s">
        <v>12441</v>
      </c>
      <c r="S2556" s="11">
        <v>81</v>
      </c>
      <c r="T2556" s="11" t="s">
        <v>39</v>
      </c>
      <c r="U2556" s="11" t="s">
        <v>40</v>
      </c>
      <c r="V2556" s="11" t="s">
        <v>586</v>
      </c>
      <c r="W2556" s="11">
        <v>16000000</v>
      </c>
      <c r="X2556" s="11">
        <v>2001</v>
      </c>
      <c r="Y2556" s="11">
        <v>881</v>
      </c>
      <c r="Z2556" s="11">
        <v>6.4</v>
      </c>
      <c r="AA2556" s="11">
        <v>1.85</v>
      </c>
      <c r="AB2556" s="11">
        <v>1000</v>
      </c>
      <c r="AC2556" s="11"/>
      <c r="AD2556" s="11" t="str">
        <f>IFERROR(__xludf.DUMMYFUNCTION("""COMPUTED_VALUE"""),"Devon Murray")</f>
        <v>Devon Murray</v>
      </c>
      <c r="AE2556" s="11"/>
    </row>
    <row r="2557" customHeight="1" spans="1:31">
      <c r="A2557" s="12" t="s">
        <v>30</v>
      </c>
      <c r="B2557" s="12" t="s">
        <v>12442</v>
      </c>
      <c r="C2557" s="12">
        <v>138</v>
      </c>
      <c r="D2557" s="12">
        <v>91</v>
      </c>
      <c r="E2557" s="12">
        <v>26</v>
      </c>
      <c r="F2557" s="12">
        <v>638</v>
      </c>
      <c r="G2557" s="12">
        <v>3000</v>
      </c>
      <c r="H2557" s="12">
        <v>37300107</v>
      </c>
      <c r="I2557" s="12" t="s">
        <v>4384</v>
      </c>
      <c r="J2557" s="12" t="s">
        <v>4518</v>
      </c>
      <c r="K2557" s="12" t="s">
        <v>7424</v>
      </c>
      <c r="L2557" s="12" t="s">
        <v>3224</v>
      </c>
      <c r="M2557" s="12" t="s">
        <v>12443</v>
      </c>
      <c r="N2557" s="12">
        <v>29147</v>
      </c>
      <c r="O2557" s="12">
        <v>5349</v>
      </c>
      <c r="P2557" s="12">
        <v>1</v>
      </c>
      <c r="Q2557" s="12" t="s">
        <v>12444</v>
      </c>
      <c r="R2557" s="15" t="s">
        <v>12445</v>
      </c>
      <c r="S2557" s="12">
        <v>115</v>
      </c>
      <c r="T2557" s="12" t="s">
        <v>39</v>
      </c>
      <c r="U2557" s="12" t="s">
        <v>40</v>
      </c>
      <c r="V2557" s="12" t="s">
        <v>41</v>
      </c>
      <c r="W2557" s="12">
        <v>16000000</v>
      </c>
      <c r="X2557" s="12">
        <v>2011</v>
      </c>
      <c r="Y2557" s="12">
        <v>1000</v>
      </c>
      <c r="Z2557" s="12">
        <v>4.8</v>
      </c>
      <c r="AA2557" s="12">
        <v>2.35</v>
      </c>
      <c r="AB2557" s="12">
        <v>0</v>
      </c>
      <c r="AC2557" s="12"/>
      <c r="AD2557" s="12" t="str">
        <f>IFERROR(__xludf.DUMMYFUNCTION("""COMPUTED_VALUE"""),"Pauline McLynn")</f>
        <v>Pauline McLynn</v>
      </c>
      <c r="AE2557" s="12"/>
    </row>
    <row r="2558" customHeight="1" spans="1:31">
      <c r="A2558" s="11" t="s">
        <v>30</v>
      </c>
      <c r="B2558" s="11" t="s">
        <v>6768</v>
      </c>
      <c r="C2558" s="11">
        <v>78</v>
      </c>
      <c r="D2558" s="11">
        <v>91</v>
      </c>
      <c r="E2558" s="11">
        <v>29</v>
      </c>
      <c r="F2558" s="11">
        <v>459</v>
      </c>
      <c r="G2558" s="11">
        <v>861</v>
      </c>
      <c r="H2558" s="11">
        <v>27087695</v>
      </c>
      <c r="I2558" s="11" t="s">
        <v>5384</v>
      </c>
      <c r="J2558" s="11" t="s">
        <v>3882</v>
      </c>
      <c r="K2558" s="11" t="s">
        <v>5178</v>
      </c>
      <c r="L2558" s="11" t="s">
        <v>3986</v>
      </c>
      <c r="M2558" s="11" t="s">
        <v>12446</v>
      </c>
      <c r="N2558" s="11">
        <v>41664</v>
      </c>
      <c r="O2558" s="11">
        <v>2543</v>
      </c>
      <c r="P2558" s="11">
        <v>0</v>
      </c>
      <c r="Q2558" s="11" t="s">
        <v>12447</v>
      </c>
      <c r="R2558" s="14" t="s">
        <v>12448</v>
      </c>
      <c r="S2558" s="11">
        <v>205</v>
      </c>
      <c r="T2558" s="11" t="s">
        <v>39</v>
      </c>
      <c r="U2558" s="11" t="s">
        <v>40</v>
      </c>
      <c r="V2558" s="11" t="s">
        <v>41</v>
      </c>
      <c r="W2558" s="11">
        <v>17700000</v>
      </c>
      <c r="X2558" s="11">
        <v>2001</v>
      </c>
      <c r="Y2558" s="11">
        <v>593</v>
      </c>
      <c r="Z2558" s="11">
        <v>5.9</v>
      </c>
      <c r="AA2558" s="11">
        <v>1.85</v>
      </c>
      <c r="AB2558" s="11">
        <v>0</v>
      </c>
      <c r="AC2558" s="11"/>
      <c r="AD2558" s="11" t="str">
        <f>IFERROR(__xludf.DUMMYFUNCTION("""COMPUTED_VALUE"""),"Patrick St. Esprit")</f>
        <v>Patrick St. Esprit</v>
      </c>
      <c r="AE2558" s="11"/>
    </row>
    <row r="2559" customHeight="1" spans="1:31">
      <c r="A2559" s="12" t="s">
        <v>30</v>
      </c>
      <c r="B2559" s="12" t="s">
        <v>12449</v>
      </c>
      <c r="C2559" s="12">
        <v>40</v>
      </c>
      <c r="D2559" s="12">
        <v>110</v>
      </c>
      <c r="E2559" s="12">
        <v>23</v>
      </c>
      <c r="F2559" s="12">
        <v>51</v>
      </c>
      <c r="G2559" s="12">
        <v>633</v>
      </c>
      <c r="H2559" s="12">
        <v>30102717</v>
      </c>
      <c r="I2559" s="12" t="s">
        <v>4556</v>
      </c>
      <c r="J2559" s="12" t="s">
        <v>12450</v>
      </c>
      <c r="K2559" s="12" t="s">
        <v>12451</v>
      </c>
      <c r="L2559" s="12" t="s">
        <v>12452</v>
      </c>
      <c r="M2559" s="12" t="s">
        <v>12453</v>
      </c>
      <c r="N2559" s="12">
        <v>28736</v>
      </c>
      <c r="O2559" s="12">
        <v>874</v>
      </c>
      <c r="P2559" s="12">
        <v>2</v>
      </c>
      <c r="Q2559" s="12" t="s">
        <v>12454</v>
      </c>
      <c r="R2559" s="15" t="s">
        <v>12455</v>
      </c>
      <c r="S2559" s="12">
        <v>72</v>
      </c>
      <c r="T2559" s="12" t="s">
        <v>39</v>
      </c>
      <c r="U2559" s="12" t="s">
        <v>40</v>
      </c>
      <c r="V2559" s="12" t="s">
        <v>586</v>
      </c>
      <c r="W2559" s="12">
        <v>15000000</v>
      </c>
      <c r="X2559" s="12">
        <v>1991</v>
      </c>
      <c r="Y2559" s="12">
        <v>67</v>
      </c>
      <c r="Z2559" s="12">
        <v>5.5</v>
      </c>
      <c r="AA2559" s="12">
        <v>1.85</v>
      </c>
      <c r="AB2559" s="12">
        <v>0</v>
      </c>
      <c r="AC2559" s="12"/>
      <c r="AD2559" s="12" t="str">
        <f>IFERROR(__xludf.DUMMYFUNCTION("""COMPUTED_VALUE"""),"Steve Railsback")</f>
        <v>Steve Railsback</v>
      </c>
      <c r="AE2559" s="12"/>
    </row>
    <row r="2560" customHeight="1" spans="1:31">
      <c r="A2560" s="11" t="s">
        <v>30</v>
      </c>
      <c r="B2560" s="11" t="s">
        <v>2454</v>
      </c>
      <c r="C2560" s="11">
        <v>285</v>
      </c>
      <c r="D2560" s="11">
        <v>121</v>
      </c>
      <c r="E2560" s="11">
        <v>1000</v>
      </c>
      <c r="F2560" s="11">
        <v>108</v>
      </c>
      <c r="G2560" s="11">
        <v>175</v>
      </c>
      <c r="H2560" s="11">
        <v>23618786</v>
      </c>
      <c r="I2560" s="11" t="s">
        <v>12456</v>
      </c>
      <c r="J2560" s="11" t="s">
        <v>7527</v>
      </c>
      <c r="K2560" s="11" t="s">
        <v>12457</v>
      </c>
      <c r="L2560" s="11" t="s">
        <v>9495</v>
      </c>
      <c r="M2560" s="11" t="s">
        <v>12458</v>
      </c>
      <c r="N2560" s="11">
        <v>352695</v>
      </c>
      <c r="O2560" s="11">
        <v>485</v>
      </c>
      <c r="P2560" s="11">
        <v>1</v>
      </c>
      <c r="Q2560" s="11" t="s">
        <v>12459</v>
      </c>
      <c r="R2560" s="14" t="s">
        <v>12460</v>
      </c>
      <c r="S2560" s="11">
        <v>687</v>
      </c>
      <c r="T2560" s="11" t="s">
        <v>39</v>
      </c>
      <c r="U2560" s="11" t="s">
        <v>58</v>
      </c>
      <c r="V2560" s="11" t="s">
        <v>586</v>
      </c>
      <c r="W2560" s="11">
        <v>8000000</v>
      </c>
      <c r="X2560" s="11">
        <v>2007</v>
      </c>
      <c r="Y2560" s="11">
        <v>115</v>
      </c>
      <c r="Z2560" s="11">
        <v>7.9</v>
      </c>
      <c r="AA2560" s="11">
        <v>2.35</v>
      </c>
      <c r="AB2560" s="11">
        <v>17000</v>
      </c>
      <c r="AC2560" s="11"/>
      <c r="AD2560" s="11" t="str">
        <f>IFERROR(__xludf.DUMMYFUNCTION("""COMPUTED_VALUE"""),"Peter Firth")</f>
        <v>Peter Firth</v>
      </c>
      <c r="AE2560" s="11"/>
    </row>
    <row r="2561" customHeight="1" spans="1:31">
      <c r="A2561" s="12" t="s">
        <v>30</v>
      </c>
      <c r="B2561" s="12" t="s">
        <v>12461</v>
      </c>
      <c r="C2561" s="12">
        <v>124</v>
      </c>
      <c r="D2561" s="12">
        <v>114</v>
      </c>
      <c r="E2561" s="12">
        <v>15</v>
      </c>
      <c r="F2561" s="12">
        <v>650</v>
      </c>
      <c r="G2561" s="12">
        <v>851</v>
      </c>
      <c r="H2561" s="12">
        <v>26896744</v>
      </c>
      <c r="I2561" s="12" t="s">
        <v>2528</v>
      </c>
      <c r="J2561" s="12" t="s">
        <v>805</v>
      </c>
      <c r="K2561" s="12" t="s">
        <v>1837</v>
      </c>
      <c r="L2561" s="12" t="s">
        <v>2388</v>
      </c>
      <c r="M2561" s="12" t="s">
        <v>12462</v>
      </c>
      <c r="N2561" s="12">
        <v>16582</v>
      </c>
      <c r="O2561" s="12">
        <v>3485</v>
      </c>
      <c r="P2561" s="12">
        <v>4</v>
      </c>
      <c r="Q2561" s="12" t="s">
        <v>12463</v>
      </c>
      <c r="R2561" s="15" t="s">
        <v>12464</v>
      </c>
      <c r="S2561" s="12">
        <v>125</v>
      </c>
      <c r="T2561" s="12" t="s">
        <v>39</v>
      </c>
      <c r="U2561" s="12" t="s">
        <v>40</v>
      </c>
      <c r="V2561" s="12" t="s">
        <v>41</v>
      </c>
      <c r="W2561" s="12">
        <v>16500000</v>
      </c>
      <c r="X2561" s="12">
        <v>2008</v>
      </c>
      <c r="Y2561" s="12">
        <v>680</v>
      </c>
      <c r="Z2561" s="12">
        <v>4.9</v>
      </c>
      <c r="AA2561" s="12">
        <v>1.85</v>
      </c>
      <c r="AB2561" s="12">
        <v>0</v>
      </c>
      <c r="AC2561" s="12"/>
      <c r="AD2561" s="12" t="str">
        <f>IFERROR(__xludf.DUMMYFUNCTION("""COMPUTED_VALUE"""),"Jennifer Hale")</f>
        <v>Jennifer Hale</v>
      </c>
      <c r="AE2561" s="12"/>
    </row>
    <row r="2562" customHeight="1" spans="1:31">
      <c r="A2562" s="11" t="s">
        <v>30</v>
      </c>
      <c r="B2562" s="11" t="s">
        <v>4004</v>
      </c>
      <c r="C2562" s="11">
        <v>275</v>
      </c>
      <c r="D2562" s="11">
        <v>96</v>
      </c>
      <c r="E2562" s="11">
        <v>11000</v>
      </c>
      <c r="F2562" s="11">
        <v>252</v>
      </c>
      <c r="G2562" s="11">
        <v>19000</v>
      </c>
      <c r="H2562" s="11">
        <v>23213577</v>
      </c>
      <c r="I2562" s="11" t="s">
        <v>214</v>
      </c>
      <c r="J2562" s="11" t="s">
        <v>100</v>
      </c>
      <c r="K2562" s="11" t="s">
        <v>281</v>
      </c>
      <c r="L2562" s="11" t="s">
        <v>9937</v>
      </c>
      <c r="M2562" s="11" t="s">
        <v>12465</v>
      </c>
      <c r="N2562" s="11">
        <v>198111</v>
      </c>
      <c r="O2562" s="11">
        <v>19894</v>
      </c>
      <c r="P2562" s="11">
        <v>0</v>
      </c>
      <c r="Q2562" s="11" t="s">
        <v>12466</v>
      </c>
      <c r="R2562" s="14" t="s">
        <v>12467</v>
      </c>
      <c r="S2562" s="11">
        <v>365</v>
      </c>
      <c r="T2562" s="11" t="s">
        <v>39</v>
      </c>
      <c r="U2562" s="11" t="s">
        <v>3572</v>
      </c>
      <c r="V2562" s="11" t="s">
        <v>41</v>
      </c>
      <c r="W2562" s="11">
        <v>15500000</v>
      </c>
      <c r="X2562" s="11">
        <v>2008</v>
      </c>
      <c r="Y2562" s="11">
        <v>581</v>
      </c>
      <c r="Z2562" s="11">
        <v>7.2</v>
      </c>
      <c r="AA2562" s="11">
        <v>1.85</v>
      </c>
      <c r="AB2562" s="11">
        <v>14000</v>
      </c>
      <c r="AC2562" s="11"/>
      <c r="AD2562" s="11" t="str">
        <f>IFERROR(__xludf.DUMMYFUNCTION("""COMPUTED_VALUE"""),"Marco Treviño")</f>
        <v>Marco Treviño</v>
      </c>
      <c r="AE2562" s="11"/>
    </row>
    <row r="2563" customHeight="1" spans="1:31">
      <c r="A2563" s="12" t="s">
        <v>30</v>
      </c>
      <c r="B2563" s="12" t="s">
        <v>12468</v>
      </c>
      <c r="C2563" s="12">
        <v>34</v>
      </c>
      <c r="D2563" s="12">
        <v>270</v>
      </c>
      <c r="E2563" s="12">
        <v>5</v>
      </c>
      <c r="F2563" s="12">
        <v>292</v>
      </c>
      <c r="G2563" s="12">
        <v>908</v>
      </c>
      <c r="H2563" s="16"/>
      <c r="I2563" s="12" t="s">
        <v>6351</v>
      </c>
      <c r="J2563" s="12" t="s">
        <v>12469</v>
      </c>
      <c r="K2563" s="12" t="s">
        <v>998</v>
      </c>
      <c r="L2563" s="12" t="s">
        <v>7799</v>
      </c>
      <c r="M2563" s="12" t="s">
        <v>12470</v>
      </c>
      <c r="N2563" s="12">
        <v>18041</v>
      </c>
      <c r="O2563" s="12">
        <v>2762</v>
      </c>
      <c r="P2563" s="12">
        <v>1</v>
      </c>
      <c r="Q2563" s="12" t="s">
        <v>12471</v>
      </c>
      <c r="R2563" s="15" t="s">
        <v>12472</v>
      </c>
      <c r="S2563" s="12">
        <v>54</v>
      </c>
      <c r="T2563" s="12" t="s">
        <v>12473</v>
      </c>
      <c r="U2563" s="12" t="s">
        <v>12474</v>
      </c>
      <c r="V2563" s="16"/>
      <c r="W2563" s="12">
        <v>25000000</v>
      </c>
      <c r="X2563" s="12">
        <v>2007</v>
      </c>
      <c r="Y2563" s="12">
        <v>690</v>
      </c>
      <c r="Z2563" s="12">
        <v>6.6</v>
      </c>
      <c r="AA2563" s="12">
        <v>2.35</v>
      </c>
      <c r="AB2563" s="12">
        <v>0</v>
      </c>
      <c r="AC2563" s="12"/>
      <c r="AD2563" s="12" t="str">
        <f>IFERROR(__xludf.DUMMYFUNCTION("""COMPUTED_VALUE"""),"Kate Burton")</f>
        <v>Kate Burton</v>
      </c>
      <c r="AE2563" s="12"/>
    </row>
    <row r="2564" customHeight="1" spans="1:31">
      <c r="A2564" s="11" t="s">
        <v>30</v>
      </c>
      <c r="B2564" s="11" t="s">
        <v>10753</v>
      </c>
      <c r="C2564" s="11">
        <v>81</v>
      </c>
      <c r="D2564" s="11">
        <v>100</v>
      </c>
      <c r="E2564" s="11">
        <v>24</v>
      </c>
      <c r="F2564" s="11">
        <v>851</v>
      </c>
      <c r="G2564" s="11">
        <v>15000</v>
      </c>
      <c r="H2564" s="11">
        <v>55461307</v>
      </c>
      <c r="I2564" s="11" t="s">
        <v>1672</v>
      </c>
      <c r="J2564" s="11" t="s">
        <v>292</v>
      </c>
      <c r="K2564" s="11" t="s">
        <v>3715</v>
      </c>
      <c r="L2564" s="11" t="s">
        <v>805</v>
      </c>
      <c r="M2564" s="11" t="s">
        <v>10754</v>
      </c>
      <c r="N2564" s="11">
        <v>4654</v>
      </c>
      <c r="O2564" s="11">
        <v>18786</v>
      </c>
      <c r="P2564" s="11">
        <v>9</v>
      </c>
      <c r="Q2564" s="11" t="s">
        <v>10755</v>
      </c>
      <c r="R2564" s="14" t="s">
        <v>10756</v>
      </c>
      <c r="S2564" s="11">
        <v>46</v>
      </c>
      <c r="T2564" s="11" t="s">
        <v>39</v>
      </c>
      <c r="U2564" s="11" t="s">
        <v>40</v>
      </c>
      <c r="V2564" s="11" t="s">
        <v>586</v>
      </c>
      <c r="W2564" s="11">
        <v>20000000</v>
      </c>
      <c r="X2564" s="11">
        <v>2016</v>
      </c>
      <c r="Y2564" s="11">
        <v>1000</v>
      </c>
      <c r="Z2564" s="11">
        <v>6.7</v>
      </c>
      <c r="AA2564" s="13"/>
      <c r="AB2564" s="11">
        <v>18000</v>
      </c>
      <c r="AC2564" s="11"/>
      <c r="AD2564" s="11" t="str">
        <f>IFERROR(__xludf.DUMMYFUNCTION("""COMPUTED_VALUE"""),"Peter Kwong")</f>
        <v>Peter Kwong</v>
      </c>
      <c r="AE2564" s="11"/>
    </row>
    <row r="2565" customHeight="1" spans="1:31">
      <c r="A2565" s="12" t="s">
        <v>30</v>
      </c>
      <c r="B2565" s="12" t="s">
        <v>12475</v>
      </c>
      <c r="C2565" s="12">
        <v>67</v>
      </c>
      <c r="D2565" s="12">
        <v>94</v>
      </c>
      <c r="E2565" s="12">
        <v>7</v>
      </c>
      <c r="F2565" s="12">
        <v>95</v>
      </c>
      <c r="G2565" s="12">
        <v>3000</v>
      </c>
      <c r="H2565" s="12">
        <v>20627372</v>
      </c>
      <c r="I2565" s="12" t="s">
        <v>1415</v>
      </c>
      <c r="J2565" s="12" t="s">
        <v>4599</v>
      </c>
      <c r="K2565" s="12" t="s">
        <v>4860</v>
      </c>
      <c r="L2565" s="12" t="s">
        <v>12476</v>
      </c>
      <c r="M2565" s="12" t="s">
        <v>12477</v>
      </c>
      <c r="N2565" s="12">
        <v>13661</v>
      </c>
      <c r="O2565" s="12">
        <v>3451</v>
      </c>
      <c r="P2565" s="12">
        <v>3</v>
      </c>
      <c r="Q2565" s="12" t="s">
        <v>12478</v>
      </c>
      <c r="R2565" s="15" t="s">
        <v>12479</v>
      </c>
      <c r="S2565" s="12">
        <v>134</v>
      </c>
      <c r="T2565" s="12" t="s">
        <v>39</v>
      </c>
      <c r="U2565" s="12" t="s">
        <v>40</v>
      </c>
      <c r="V2565" s="12" t="s">
        <v>41</v>
      </c>
      <c r="W2565" s="12">
        <v>16000000</v>
      </c>
      <c r="X2565" s="12">
        <v>2000</v>
      </c>
      <c r="Y2565" s="12">
        <v>240</v>
      </c>
      <c r="Z2565" s="12">
        <v>5.3</v>
      </c>
      <c r="AA2565" s="12">
        <v>1.85</v>
      </c>
      <c r="AB2565" s="12">
        <v>487</v>
      </c>
      <c r="AC2565" s="12"/>
      <c r="AD2565" s="12" t="str">
        <f>IFERROR(__xludf.DUMMYFUNCTION("""COMPUTED_VALUE"""),"Malonn Lévana")</f>
        <v>Malonn Lévana</v>
      </c>
      <c r="AE2565" s="12"/>
    </row>
    <row r="2566" customHeight="1" spans="1:31">
      <c r="A2566" s="11" t="s">
        <v>30</v>
      </c>
      <c r="B2566" s="11" t="s">
        <v>12480</v>
      </c>
      <c r="C2566" s="11">
        <v>103</v>
      </c>
      <c r="D2566" s="11">
        <v>109</v>
      </c>
      <c r="E2566" s="11">
        <v>7</v>
      </c>
      <c r="F2566" s="11">
        <v>450</v>
      </c>
      <c r="G2566" s="11">
        <v>835</v>
      </c>
      <c r="H2566" s="11">
        <v>16346122</v>
      </c>
      <c r="I2566" s="11" t="s">
        <v>3410</v>
      </c>
      <c r="J2566" s="11" t="s">
        <v>3952</v>
      </c>
      <c r="K2566" s="11" t="s">
        <v>2050</v>
      </c>
      <c r="L2566" s="11" t="s">
        <v>12481</v>
      </c>
      <c r="M2566" s="11" t="s">
        <v>12482</v>
      </c>
      <c r="N2566" s="11">
        <v>25549</v>
      </c>
      <c r="O2566" s="11">
        <v>2572</v>
      </c>
      <c r="P2566" s="11">
        <v>0</v>
      </c>
      <c r="Q2566" s="11" t="s">
        <v>12483</v>
      </c>
      <c r="R2566" s="14" t="s">
        <v>12484</v>
      </c>
      <c r="S2566" s="11">
        <v>171</v>
      </c>
      <c r="T2566" s="11" t="s">
        <v>39</v>
      </c>
      <c r="U2566" s="11" t="s">
        <v>40</v>
      </c>
      <c r="V2566" s="11" t="s">
        <v>41</v>
      </c>
      <c r="W2566" s="11">
        <v>16000000</v>
      </c>
      <c r="X2566" s="11">
        <v>2002</v>
      </c>
      <c r="Y2566" s="11">
        <v>787</v>
      </c>
      <c r="Z2566" s="11">
        <v>7.2</v>
      </c>
      <c r="AA2566" s="11">
        <v>1.85</v>
      </c>
      <c r="AB2566" s="11">
        <v>0</v>
      </c>
      <c r="AC2566" s="11"/>
      <c r="AD2566" s="11" t="str">
        <f>IFERROR(__xludf.DUMMYFUNCTION("""COMPUTED_VALUE"""),"Alice Pol")</f>
        <v>Alice Pol</v>
      </c>
      <c r="AE2566" s="11"/>
    </row>
    <row r="2567" customHeight="1" spans="1:31">
      <c r="A2567" s="12" t="s">
        <v>30</v>
      </c>
      <c r="B2567" s="12" t="s">
        <v>4778</v>
      </c>
      <c r="C2567" s="12">
        <v>300</v>
      </c>
      <c r="D2567" s="12">
        <v>107</v>
      </c>
      <c r="E2567" s="12">
        <v>45</v>
      </c>
      <c r="F2567" s="12">
        <v>271</v>
      </c>
      <c r="G2567" s="12">
        <v>24000</v>
      </c>
      <c r="H2567" s="12">
        <v>16204793</v>
      </c>
      <c r="I2567" s="12" t="s">
        <v>883</v>
      </c>
      <c r="J2567" s="12" t="s">
        <v>82</v>
      </c>
      <c r="K2567" s="12" t="s">
        <v>1195</v>
      </c>
      <c r="L2567" s="12" t="s">
        <v>12485</v>
      </c>
      <c r="M2567" s="12" t="s">
        <v>12486</v>
      </c>
      <c r="N2567" s="12">
        <v>92712</v>
      </c>
      <c r="O2567" s="12">
        <v>24805</v>
      </c>
      <c r="P2567" s="12">
        <v>1</v>
      </c>
      <c r="Q2567" s="12" t="s">
        <v>12487</v>
      </c>
      <c r="R2567" s="15" t="s">
        <v>12488</v>
      </c>
      <c r="S2567" s="12">
        <v>294</v>
      </c>
      <c r="T2567" s="12" t="s">
        <v>39</v>
      </c>
      <c r="U2567" s="12" t="s">
        <v>40</v>
      </c>
      <c r="V2567" s="12" t="s">
        <v>586</v>
      </c>
      <c r="W2567" s="12">
        <v>16000000</v>
      </c>
      <c r="X2567" s="12">
        <v>2009</v>
      </c>
      <c r="Y2567" s="12">
        <v>396</v>
      </c>
      <c r="Z2567" s="12">
        <v>5.1</v>
      </c>
      <c r="AA2567" s="12">
        <v>1.85</v>
      </c>
      <c r="AB2567" s="12">
        <v>6000</v>
      </c>
      <c r="AC2567" s="12"/>
      <c r="AD2567" s="12" t="str">
        <f>IFERROR(__xludf.DUMMYFUNCTION("""COMPUTED_VALUE"""),"William Morgan Sheppard")</f>
        <v>William Morgan Sheppard</v>
      </c>
      <c r="AE2567" s="12"/>
    </row>
    <row r="2568" customHeight="1" spans="1:31">
      <c r="A2568" s="11" t="s">
        <v>30</v>
      </c>
      <c r="B2568" s="11" t="s">
        <v>11208</v>
      </c>
      <c r="C2568" s="11">
        <v>84</v>
      </c>
      <c r="D2568" s="11">
        <v>96</v>
      </c>
      <c r="E2568" s="11">
        <v>22</v>
      </c>
      <c r="F2568" s="11">
        <v>324</v>
      </c>
      <c r="G2568" s="11">
        <v>8000</v>
      </c>
      <c r="H2568" s="11">
        <v>15427192</v>
      </c>
      <c r="I2568" s="11" t="s">
        <v>12489</v>
      </c>
      <c r="J2568" s="11" t="s">
        <v>1249</v>
      </c>
      <c r="K2568" s="11" t="s">
        <v>1734</v>
      </c>
      <c r="L2568" s="11" t="s">
        <v>12490</v>
      </c>
      <c r="M2568" s="11" t="s">
        <v>12491</v>
      </c>
      <c r="N2568" s="11">
        <v>11768</v>
      </c>
      <c r="O2568" s="11">
        <v>11078</v>
      </c>
      <c r="P2568" s="11">
        <v>0</v>
      </c>
      <c r="Q2568" s="11" t="s">
        <v>12492</v>
      </c>
      <c r="R2568" s="14" t="s">
        <v>12493</v>
      </c>
      <c r="S2568" s="11">
        <v>148</v>
      </c>
      <c r="T2568" s="11" t="s">
        <v>39</v>
      </c>
      <c r="U2568" s="11" t="s">
        <v>40</v>
      </c>
      <c r="V2568" s="11" t="s">
        <v>41</v>
      </c>
      <c r="W2568" s="11">
        <v>16000000</v>
      </c>
      <c r="X2568" s="11">
        <v>2000</v>
      </c>
      <c r="Y2568" s="11">
        <v>2000</v>
      </c>
      <c r="Z2568" s="11">
        <v>5.6</v>
      </c>
      <c r="AA2568" s="11">
        <v>1.85</v>
      </c>
      <c r="AB2568" s="11">
        <v>492</v>
      </c>
      <c r="AC2568" s="11"/>
      <c r="AD2568" s="11" t="str">
        <f>IFERROR(__xludf.DUMMYFUNCTION("""COMPUTED_VALUE"""),"James Patrick Stuart")</f>
        <v>James Patrick Stuart</v>
      </c>
      <c r="AE2568" s="11"/>
    </row>
    <row r="2569" customHeight="1" spans="1:31">
      <c r="A2569" s="12" t="s">
        <v>30</v>
      </c>
      <c r="B2569" s="12" t="s">
        <v>4004</v>
      </c>
      <c r="C2569" s="12">
        <v>64</v>
      </c>
      <c r="D2569" s="12">
        <v>88</v>
      </c>
      <c r="E2569" s="12">
        <v>11000</v>
      </c>
      <c r="F2569" s="12">
        <v>233</v>
      </c>
      <c r="G2569" s="12">
        <v>854</v>
      </c>
      <c r="H2569" s="12">
        <v>14792779</v>
      </c>
      <c r="I2569" s="12" t="s">
        <v>1672</v>
      </c>
      <c r="J2569" s="12" t="s">
        <v>3197</v>
      </c>
      <c r="K2569" s="12" t="s">
        <v>12494</v>
      </c>
      <c r="L2569" s="12" t="s">
        <v>2492</v>
      </c>
      <c r="M2569" s="12" t="s">
        <v>12495</v>
      </c>
      <c r="N2569" s="12">
        <v>24256</v>
      </c>
      <c r="O2569" s="12">
        <v>1653</v>
      </c>
      <c r="P2569" s="12">
        <v>0</v>
      </c>
      <c r="Q2569" s="12" t="s">
        <v>12496</v>
      </c>
      <c r="R2569" s="15" t="s">
        <v>12497</v>
      </c>
      <c r="S2569" s="12">
        <v>91</v>
      </c>
      <c r="T2569" s="12" t="s">
        <v>39</v>
      </c>
      <c r="U2569" s="12" t="s">
        <v>40</v>
      </c>
      <c r="V2569" s="12" t="s">
        <v>96</v>
      </c>
      <c r="W2569" s="12">
        <v>16000000</v>
      </c>
      <c r="X2569" s="12">
        <v>1987</v>
      </c>
      <c r="Y2569" s="12">
        <v>410</v>
      </c>
      <c r="Z2569" s="12">
        <v>7.6</v>
      </c>
      <c r="AA2569" s="12">
        <v>1.85</v>
      </c>
      <c r="AB2569" s="12">
        <v>0</v>
      </c>
      <c r="AC2569" s="12"/>
      <c r="AD2569" s="12" t="str">
        <f>IFERROR(__xludf.DUMMYFUNCTION("""COMPUTED_VALUE"""),"John Doe")</f>
        <v>John Doe</v>
      </c>
      <c r="AE2569" s="12"/>
    </row>
    <row r="2570" customHeight="1" spans="1:31">
      <c r="A2570" s="11" t="s">
        <v>30</v>
      </c>
      <c r="B2570" s="11" t="s">
        <v>11749</v>
      </c>
      <c r="C2570" s="11">
        <v>169</v>
      </c>
      <c r="D2570" s="11">
        <v>110</v>
      </c>
      <c r="E2570" s="11">
        <v>179</v>
      </c>
      <c r="F2570" s="11">
        <v>734</v>
      </c>
      <c r="G2570" s="11">
        <v>12000</v>
      </c>
      <c r="H2570" s="11">
        <v>13998282</v>
      </c>
      <c r="I2570" s="11" t="s">
        <v>11750</v>
      </c>
      <c r="J2570" s="11" t="s">
        <v>705</v>
      </c>
      <c r="K2570" s="11" t="s">
        <v>3756</v>
      </c>
      <c r="L2570" s="11" t="s">
        <v>7259</v>
      </c>
      <c r="M2570" s="11" t="s">
        <v>11751</v>
      </c>
      <c r="N2570" s="11">
        <v>24854</v>
      </c>
      <c r="O2570" s="11">
        <v>15044</v>
      </c>
      <c r="P2570" s="11">
        <v>1</v>
      </c>
      <c r="Q2570" s="11" t="s">
        <v>11752</v>
      </c>
      <c r="R2570" s="14" t="s">
        <v>11753</v>
      </c>
      <c r="S2570" s="11">
        <v>374</v>
      </c>
      <c r="T2570" s="11" t="s">
        <v>39</v>
      </c>
      <c r="U2570" s="11" t="s">
        <v>40</v>
      </c>
      <c r="V2570" s="11" t="s">
        <v>41</v>
      </c>
      <c r="W2570" s="11">
        <v>16000000</v>
      </c>
      <c r="X2570" s="11">
        <v>2014</v>
      </c>
      <c r="Y2570" s="11">
        <v>1000</v>
      </c>
      <c r="Z2570" s="11">
        <v>3.1</v>
      </c>
      <c r="AA2570" s="11">
        <v>2.35</v>
      </c>
      <c r="AB2570" s="11">
        <v>31000</v>
      </c>
      <c r="AC2570" s="11"/>
      <c r="AD2570" s="11" t="str">
        <f>IFERROR(__xludf.DUMMYFUNCTION("""COMPUTED_VALUE"""),"Tom Amandes")</f>
        <v>Tom Amandes</v>
      </c>
      <c r="AE2570" s="11"/>
    </row>
    <row r="2571" customHeight="1" spans="1:31">
      <c r="A2571" s="12" t="s">
        <v>30</v>
      </c>
      <c r="B2571" s="12" t="s">
        <v>12498</v>
      </c>
      <c r="C2571" s="12">
        <v>158</v>
      </c>
      <c r="D2571" s="12">
        <v>113</v>
      </c>
      <c r="E2571" s="12">
        <v>47</v>
      </c>
      <c r="F2571" s="12">
        <v>238</v>
      </c>
      <c r="G2571" s="12">
        <v>21000</v>
      </c>
      <c r="H2571" s="12">
        <v>19057024</v>
      </c>
      <c r="I2571" s="12" t="s">
        <v>214</v>
      </c>
      <c r="J2571" s="12" t="s">
        <v>769</v>
      </c>
      <c r="K2571" s="12" t="s">
        <v>3161</v>
      </c>
      <c r="L2571" s="12" t="s">
        <v>12499</v>
      </c>
      <c r="M2571" s="12" t="s">
        <v>12500</v>
      </c>
      <c r="N2571" s="12">
        <v>113963</v>
      </c>
      <c r="O2571" s="12">
        <v>22088</v>
      </c>
      <c r="P2571" s="12">
        <v>0</v>
      </c>
      <c r="Q2571" s="12" t="s">
        <v>12501</v>
      </c>
      <c r="R2571" s="15" t="s">
        <v>12502</v>
      </c>
      <c r="S2571" s="12">
        <v>361</v>
      </c>
      <c r="T2571" s="12" t="s">
        <v>39</v>
      </c>
      <c r="U2571" s="12" t="s">
        <v>40</v>
      </c>
      <c r="V2571" s="12" t="s">
        <v>41</v>
      </c>
      <c r="W2571" s="12">
        <v>16000000</v>
      </c>
      <c r="X2571" s="12">
        <v>2010</v>
      </c>
      <c r="Y2571" s="12">
        <v>541</v>
      </c>
      <c r="Z2571" s="12">
        <v>7.2</v>
      </c>
      <c r="AA2571" s="12">
        <v>1.85</v>
      </c>
      <c r="AB2571" s="12">
        <v>24000</v>
      </c>
      <c r="AC2571" s="12"/>
      <c r="AD2571" s="12" t="str">
        <f>IFERROR(__xludf.DUMMYFUNCTION("""COMPUTED_VALUE"""),"Daniel Lapaine")</f>
        <v>Daniel Lapaine</v>
      </c>
      <c r="AE2571" s="12"/>
    </row>
    <row r="2572" customHeight="1" spans="1:31">
      <c r="A2572" s="11" t="s">
        <v>30</v>
      </c>
      <c r="B2572" s="11" t="s">
        <v>12503</v>
      </c>
      <c r="C2572" s="11">
        <v>46</v>
      </c>
      <c r="D2572" s="11">
        <v>101</v>
      </c>
      <c r="E2572" s="11">
        <v>6</v>
      </c>
      <c r="F2572" s="11">
        <v>258</v>
      </c>
      <c r="G2572" s="11">
        <v>812</v>
      </c>
      <c r="H2572" s="11">
        <v>14108518</v>
      </c>
      <c r="I2572" s="11" t="s">
        <v>1415</v>
      </c>
      <c r="J2572" s="11" t="s">
        <v>4640</v>
      </c>
      <c r="K2572" s="11" t="s">
        <v>12504</v>
      </c>
      <c r="L2572" s="11" t="s">
        <v>12505</v>
      </c>
      <c r="M2572" s="11" t="s">
        <v>12506</v>
      </c>
      <c r="N2572" s="11">
        <v>8215</v>
      </c>
      <c r="O2572" s="11">
        <v>1882</v>
      </c>
      <c r="P2572" s="11">
        <v>1</v>
      </c>
      <c r="Q2572" s="11" t="s">
        <v>12507</v>
      </c>
      <c r="R2572" s="14" t="s">
        <v>12508</v>
      </c>
      <c r="S2572" s="11">
        <v>95</v>
      </c>
      <c r="T2572" s="11" t="s">
        <v>39</v>
      </c>
      <c r="U2572" s="11" t="s">
        <v>40</v>
      </c>
      <c r="V2572" s="11" t="s">
        <v>41</v>
      </c>
      <c r="W2572" s="11">
        <v>16000000</v>
      </c>
      <c r="X2572" s="11">
        <v>2003</v>
      </c>
      <c r="Y2572" s="11">
        <v>326</v>
      </c>
      <c r="Z2572" s="11">
        <v>5.7</v>
      </c>
      <c r="AA2572" s="11">
        <v>1.85</v>
      </c>
      <c r="AB2572" s="11">
        <v>371</v>
      </c>
      <c r="AC2572" s="11"/>
      <c r="AD2572" s="11" t="str">
        <f>IFERROR(__xludf.DUMMYFUNCTION("""COMPUTED_VALUE"""),"Madison Davenport")</f>
        <v>Madison Davenport</v>
      </c>
      <c r="AE2572" s="11"/>
    </row>
    <row r="2573" customHeight="1" spans="1:31">
      <c r="A2573" s="12" t="s">
        <v>30</v>
      </c>
      <c r="B2573" s="12" t="s">
        <v>9928</v>
      </c>
      <c r="C2573" s="12">
        <v>15</v>
      </c>
      <c r="D2573" s="12">
        <v>105</v>
      </c>
      <c r="E2573" s="12">
        <v>121</v>
      </c>
      <c r="F2573" s="12">
        <v>384</v>
      </c>
      <c r="G2573" s="12">
        <v>11000</v>
      </c>
      <c r="H2573" s="12">
        <v>13854000</v>
      </c>
      <c r="I2573" s="12" t="s">
        <v>2469</v>
      </c>
      <c r="J2573" s="12" t="s">
        <v>1957</v>
      </c>
      <c r="K2573" s="12" t="s">
        <v>4599</v>
      </c>
      <c r="L2573" s="12" t="s">
        <v>10772</v>
      </c>
      <c r="M2573" s="12" t="s">
        <v>12509</v>
      </c>
      <c r="N2573" s="12">
        <v>21079</v>
      </c>
      <c r="O2573" s="12">
        <v>14677</v>
      </c>
      <c r="P2573" s="12">
        <v>0</v>
      </c>
      <c r="Q2573" s="12" t="s">
        <v>12510</v>
      </c>
      <c r="R2573" s="15" t="s">
        <v>12511</v>
      </c>
      <c r="S2573" s="12">
        <v>55</v>
      </c>
      <c r="T2573" s="12" t="s">
        <v>39</v>
      </c>
      <c r="U2573" s="12" t="s">
        <v>40</v>
      </c>
      <c r="V2573" s="12" t="s">
        <v>41</v>
      </c>
      <c r="W2573" s="12">
        <v>20000000</v>
      </c>
      <c r="X2573" s="12">
        <v>1988</v>
      </c>
      <c r="Y2573" s="12">
        <v>3000</v>
      </c>
      <c r="Z2573" s="12">
        <v>5.2</v>
      </c>
      <c r="AA2573" s="12">
        <v>1.85</v>
      </c>
      <c r="AB2573" s="12">
        <v>818</v>
      </c>
      <c r="AC2573" s="12"/>
      <c r="AD2573" s="12" t="str">
        <f>IFERROR(__xludf.DUMMYFUNCTION("""COMPUTED_VALUE"""),"Natasha Calis")</f>
        <v>Natasha Calis</v>
      </c>
      <c r="AE2573" s="12"/>
    </row>
    <row r="2574" customHeight="1" spans="1:31">
      <c r="A2574" s="11" t="s">
        <v>30</v>
      </c>
      <c r="B2574" s="11" t="s">
        <v>2729</v>
      </c>
      <c r="C2574" s="11">
        <v>68</v>
      </c>
      <c r="D2574" s="11">
        <v>125</v>
      </c>
      <c r="E2574" s="11">
        <v>438</v>
      </c>
      <c r="F2574" s="11">
        <v>372</v>
      </c>
      <c r="G2574" s="11">
        <v>18000</v>
      </c>
      <c r="H2574" s="11">
        <v>77324422</v>
      </c>
      <c r="I2574" s="11" t="s">
        <v>3410</v>
      </c>
      <c r="J2574" s="11" t="s">
        <v>1727</v>
      </c>
      <c r="K2574" s="11" t="s">
        <v>322</v>
      </c>
      <c r="L2574" s="11" t="s">
        <v>6806</v>
      </c>
      <c r="M2574" s="11" t="s">
        <v>12512</v>
      </c>
      <c r="N2574" s="11">
        <v>178731</v>
      </c>
      <c r="O2574" s="11">
        <v>33865</v>
      </c>
      <c r="P2574" s="11">
        <v>2</v>
      </c>
      <c r="Q2574" s="11" t="s">
        <v>12513</v>
      </c>
      <c r="R2574" s="14" t="s">
        <v>12514</v>
      </c>
      <c r="S2574" s="11">
        <v>261</v>
      </c>
      <c r="T2574" s="11" t="s">
        <v>39</v>
      </c>
      <c r="U2574" s="11" t="s">
        <v>40</v>
      </c>
      <c r="V2574" s="11" t="s">
        <v>41</v>
      </c>
      <c r="W2574" s="11">
        <v>26000000</v>
      </c>
      <c r="X2574" s="11">
        <v>1993</v>
      </c>
      <c r="Y2574" s="11">
        <v>15000</v>
      </c>
      <c r="Z2574" s="11">
        <v>7.7</v>
      </c>
      <c r="AA2574" s="11">
        <v>1.85</v>
      </c>
      <c r="AB2574" s="11">
        <v>0</v>
      </c>
      <c r="AC2574" s="11"/>
      <c r="AD2574" s="11" t="str">
        <f>IFERROR(__xludf.DUMMYFUNCTION("""COMPUTED_VALUE"""),"Cathryn de Prume")</f>
        <v>Cathryn de Prume</v>
      </c>
      <c r="AE2574" s="11"/>
    </row>
    <row r="2575" customHeight="1" spans="1:31">
      <c r="A2575" s="12" t="s">
        <v>30</v>
      </c>
      <c r="B2575" s="12" t="s">
        <v>12515</v>
      </c>
      <c r="C2575" s="12">
        <v>111</v>
      </c>
      <c r="D2575" s="12">
        <v>100</v>
      </c>
      <c r="E2575" s="12">
        <v>9</v>
      </c>
      <c r="F2575" s="12">
        <v>363</v>
      </c>
      <c r="G2575" s="12">
        <v>599</v>
      </c>
      <c r="H2575" s="12">
        <v>15500000</v>
      </c>
      <c r="I2575" s="12" t="s">
        <v>5033</v>
      </c>
      <c r="J2575" s="12" t="s">
        <v>5586</v>
      </c>
      <c r="K2575" s="12" t="s">
        <v>3774</v>
      </c>
      <c r="L2575" s="12" t="s">
        <v>12516</v>
      </c>
      <c r="M2575" s="12" t="s">
        <v>12517</v>
      </c>
      <c r="N2575" s="12">
        <v>51996</v>
      </c>
      <c r="O2575" s="12">
        <v>2389</v>
      </c>
      <c r="P2575" s="12">
        <v>0</v>
      </c>
      <c r="Q2575" s="12" t="s">
        <v>12518</v>
      </c>
      <c r="R2575" s="15" t="s">
        <v>12519</v>
      </c>
      <c r="S2575" s="12">
        <v>302</v>
      </c>
      <c r="T2575" s="12" t="s">
        <v>39</v>
      </c>
      <c r="U2575" s="12" t="s">
        <v>768</v>
      </c>
      <c r="V2575" s="12" t="s">
        <v>586</v>
      </c>
      <c r="W2575" s="12">
        <v>16000000</v>
      </c>
      <c r="X2575" s="12">
        <v>1999</v>
      </c>
      <c r="Y2575" s="12">
        <v>380</v>
      </c>
      <c r="Z2575" s="12">
        <v>7</v>
      </c>
      <c r="AA2575" s="12">
        <v>2.35</v>
      </c>
      <c r="AB2575" s="12">
        <v>0</v>
      </c>
      <c r="AC2575" s="12"/>
      <c r="AD2575" s="12" t="str">
        <f>IFERROR(__xludf.DUMMYFUNCTION("""COMPUTED_VALUE"""),"Rhys Coiro")</f>
        <v>Rhys Coiro</v>
      </c>
      <c r="AE2575" s="12"/>
    </row>
    <row r="2576" customHeight="1" spans="1:31">
      <c r="A2576" s="11" t="s">
        <v>30</v>
      </c>
      <c r="B2576" s="11" t="s">
        <v>12520</v>
      </c>
      <c r="C2576" s="11">
        <v>21</v>
      </c>
      <c r="D2576" s="11">
        <v>97</v>
      </c>
      <c r="E2576" s="11">
        <v>3</v>
      </c>
      <c r="F2576" s="11">
        <v>578</v>
      </c>
      <c r="G2576" s="11">
        <v>1000</v>
      </c>
      <c r="H2576" s="11">
        <v>11540112</v>
      </c>
      <c r="I2576" s="11" t="s">
        <v>1672</v>
      </c>
      <c r="J2576" s="11" t="s">
        <v>12521</v>
      </c>
      <c r="K2576" s="11" t="s">
        <v>3555</v>
      </c>
      <c r="L2576" s="11" t="s">
        <v>1661</v>
      </c>
      <c r="M2576" s="11" t="s">
        <v>12522</v>
      </c>
      <c r="N2576" s="11">
        <v>2385</v>
      </c>
      <c r="O2576" s="11">
        <v>3835</v>
      </c>
      <c r="P2576" s="11">
        <v>1</v>
      </c>
      <c r="Q2576" s="11" t="s">
        <v>12523</v>
      </c>
      <c r="R2576" s="14" t="s">
        <v>12524</v>
      </c>
      <c r="S2576" s="11">
        <v>20</v>
      </c>
      <c r="T2576" s="11" t="s">
        <v>39</v>
      </c>
      <c r="U2576" s="11" t="s">
        <v>40</v>
      </c>
      <c r="V2576" s="11" t="s">
        <v>41</v>
      </c>
      <c r="W2576" s="13"/>
      <c r="X2576" s="11">
        <v>2004</v>
      </c>
      <c r="Y2576" s="11">
        <v>584</v>
      </c>
      <c r="Z2576" s="11">
        <v>3.6</v>
      </c>
      <c r="AA2576" s="11">
        <v>1.85</v>
      </c>
      <c r="AB2576" s="11">
        <v>177</v>
      </c>
      <c r="AC2576" s="11"/>
      <c r="AD2576" s="11" t="str">
        <f>IFERROR(__xludf.DUMMYFUNCTION("""COMPUTED_VALUE"""),"Christopher Evan Welch")</f>
        <v>Christopher Evan Welch</v>
      </c>
      <c r="AE2576" s="11"/>
    </row>
    <row r="2577" customHeight="1" spans="1:31">
      <c r="A2577" s="12" t="s">
        <v>30</v>
      </c>
      <c r="B2577" s="12" t="s">
        <v>12525</v>
      </c>
      <c r="C2577" s="12">
        <v>42</v>
      </c>
      <c r="D2577" s="12">
        <v>108</v>
      </c>
      <c r="E2577" s="12">
        <v>38</v>
      </c>
      <c r="F2577" s="12">
        <v>316</v>
      </c>
      <c r="G2577" s="12">
        <v>940</v>
      </c>
      <c r="H2577" s="16"/>
      <c r="I2577" s="12" t="s">
        <v>1391</v>
      </c>
      <c r="J2577" s="12" t="s">
        <v>3261</v>
      </c>
      <c r="K2577" s="12" t="s">
        <v>12526</v>
      </c>
      <c r="L2577" s="12" t="s">
        <v>12527</v>
      </c>
      <c r="M2577" s="12" t="s">
        <v>12528</v>
      </c>
      <c r="N2577" s="12">
        <v>5237</v>
      </c>
      <c r="O2577" s="12">
        <v>1945</v>
      </c>
      <c r="P2577" s="12">
        <v>7</v>
      </c>
      <c r="Q2577" s="12" t="s">
        <v>12529</v>
      </c>
      <c r="R2577" s="15" t="s">
        <v>12530</v>
      </c>
      <c r="S2577" s="12">
        <v>90</v>
      </c>
      <c r="T2577" s="12" t="s">
        <v>39</v>
      </c>
      <c r="U2577" s="12" t="s">
        <v>40</v>
      </c>
      <c r="V2577" s="12" t="s">
        <v>96</v>
      </c>
      <c r="W2577" s="12">
        <v>16000000</v>
      </c>
      <c r="X2577" s="12">
        <v>1979</v>
      </c>
      <c r="Y2577" s="12">
        <v>416</v>
      </c>
      <c r="Z2577" s="12">
        <v>4.9</v>
      </c>
      <c r="AA2577" s="12">
        <v>2.35</v>
      </c>
      <c r="AB2577" s="12">
        <v>392</v>
      </c>
      <c r="AC2577" s="12"/>
      <c r="AD2577" s="12" t="str">
        <f>IFERROR(__xludf.DUMMYFUNCTION("""COMPUTED_VALUE"""),"Brian Bosworth")</f>
        <v>Brian Bosworth</v>
      </c>
      <c r="AE2577" s="12"/>
    </row>
    <row r="2578" customHeight="1" spans="1:31">
      <c r="A2578" s="11" t="s">
        <v>30</v>
      </c>
      <c r="B2578" s="11" t="s">
        <v>12531</v>
      </c>
      <c r="C2578" s="11">
        <v>65</v>
      </c>
      <c r="D2578" s="11">
        <v>112</v>
      </c>
      <c r="E2578" s="11">
        <v>28</v>
      </c>
      <c r="F2578" s="11">
        <v>215</v>
      </c>
      <c r="G2578" s="11">
        <v>555</v>
      </c>
      <c r="H2578" s="11">
        <v>4734235</v>
      </c>
      <c r="I2578" s="11" t="s">
        <v>5511</v>
      </c>
      <c r="J2578" s="11" t="s">
        <v>5546</v>
      </c>
      <c r="K2578" s="11" t="s">
        <v>3719</v>
      </c>
      <c r="L2578" s="11" t="s">
        <v>3204</v>
      </c>
      <c r="M2578" s="11" t="s">
        <v>12532</v>
      </c>
      <c r="N2578" s="11">
        <v>8217</v>
      </c>
      <c r="O2578" s="11">
        <v>1227</v>
      </c>
      <c r="P2578" s="11">
        <v>0</v>
      </c>
      <c r="Q2578" s="11" t="s">
        <v>12533</v>
      </c>
      <c r="R2578" s="14" t="s">
        <v>12534</v>
      </c>
      <c r="S2578" s="11">
        <v>123</v>
      </c>
      <c r="T2578" s="11" t="s">
        <v>39</v>
      </c>
      <c r="U2578" s="11" t="s">
        <v>40</v>
      </c>
      <c r="V2578" s="11" t="s">
        <v>586</v>
      </c>
      <c r="W2578" s="11">
        <v>15000000</v>
      </c>
      <c r="X2578" s="11">
        <v>2000</v>
      </c>
      <c r="Y2578" s="11">
        <v>403</v>
      </c>
      <c r="Z2578" s="11">
        <v>6</v>
      </c>
      <c r="AA2578" s="11">
        <v>1.85</v>
      </c>
      <c r="AB2578" s="11">
        <v>573</v>
      </c>
      <c r="AC2578" s="11"/>
      <c r="AD2578" s="11" t="str">
        <f>IFERROR(__xludf.DUMMYFUNCTION("""COMPUTED_VALUE"""),"Sam McMurray")</f>
        <v>Sam McMurray</v>
      </c>
      <c r="AE2578" s="11"/>
    </row>
    <row r="2579" customHeight="1" spans="1:31">
      <c r="A2579" s="12" t="s">
        <v>30</v>
      </c>
      <c r="B2579" s="12" t="s">
        <v>4004</v>
      </c>
      <c r="C2579" s="12">
        <v>109</v>
      </c>
      <c r="D2579" s="12">
        <v>112</v>
      </c>
      <c r="E2579" s="12">
        <v>11000</v>
      </c>
      <c r="F2579" s="12">
        <v>642</v>
      </c>
      <c r="G2579" s="12">
        <v>11000</v>
      </c>
      <c r="H2579" s="12">
        <v>4839383</v>
      </c>
      <c r="I2579" s="12" t="s">
        <v>1681</v>
      </c>
      <c r="J2579" s="12" t="s">
        <v>4004</v>
      </c>
      <c r="K2579" s="12" t="s">
        <v>2388</v>
      </c>
      <c r="L2579" s="12" t="s">
        <v>4206</v>
      </c>
      <c r="M2579" s="12" t="s">
        <v>12535</v>
      </c>
      <c r="N2579" s="12">
        <v>21613</v>
      </c>
      <c r="O2579" s="12">
        <v>12766</v>
      </c>
      <c r="P2579" s="12">
        <v>0</v>
      </c>
      <c r="Q2579" s="12" t="s">
        <v>12536</v>
      </c>
      <c r="R2579" s="15" t="s">
        <v>12537</v>
      </c>
      <c r="S2579" s="12">
        <v>148</v>
      </c>
      <c r="T2579" s="12" t="s">
        <v>39</v>
      </c>
      <c r="U2579" s="12" t="s">
        <v>40</v>
      </c>
      <c r="V2579" s="12" t="s">
        <v>41</v>
      </c>
      <c r="W2579" s="12">
        <v>16000000</v>
      </c>
      <c r="X2579" s="12">
        <v>2002</v>
      </c>
      <c r="Y2579" s="12">
        <v>650</v>
      </c>
      <c r="Z2579" s="12">
        <v>6.6</v>
      </c>
      <c r="AA2579" s="12">
        <v>1.85</v>
      </c>
      <c r="AB2579" s="12">
        <v>762</v>
      </c>
      <c r="AC2579" s="12"/>
      <c r="AD2579" s="12" t="str">
        <f>IFERROR(__xludf.DUMMYFUNCTION("""COMPUTED_VALUE"""),"Richard Gant")</f>
        <v>Richard Gant</v>
      </c>
      <c r="AE2579" s="12"/>
    </row>
    <row r="2580" customHeight="1" spans="1:31">
      <c r="A2580" s="11" t="s">
        <v>30</v>
      </c>
      <c r="B2580" s="11" t="s">
        <v>12538</v>
      </c>
      <c r="C2580" s="11">
        <v>42</v>
      </c>
      <c r="D2580" s="11">
        <v>95</v>
      </c>
      <c r="E2580" s="11">
        <v>89</v>
      </c>
      <c r="F2580" s="11">
        <v>322</v>
      </c>
      <c r="G2580" s="11">
        <v>1000</v>
      </c>
      <c r="H2580" s="11">
        <v>4193025</v>
      </c>
      <c r="I2580" s="11" t="s">
        <v>6419</v>
      </c>
      <c r="J2580" s="11" t="s">
        <v>3752</v>
      </c>
      <c r="K2580" s="11" t="s">
        <v>7330</v>
      </c>
      <c r="L2580" s="11" t="s">
        <v>12539</v>
      </c>
      <c r="M2580" s="11" t="s">
        <v>12540</v>
      </c>
      <c r="N2580" s="11">
        <v>30682</v>
      </c>
      <c r="O2580" s="11">
        <v>2518</v>
      </c>
      <c r="P2580" s="11">
        <v>0</v>
      </c>
      <c r="Q2580" s="11" t="s">
        <v>12541</v>
      </c>
      <c r="R2580" s="14" t="s">
        <v>12542</v>
      </c>
      <c r="S2580" s="11">
        <v>194</v>
      </c>
      <c r="T2580" s="11" t="s">
        <v>39</v>
      </c>
      <c r="U2580" s="11" t="s">
        <v>40</v>
      </c>
      <c r="V2580" s="11" t="s">
        <v>586</v>
      </c>
      <c r="W2580" s="11">
        <v>15000000</v>
      </c>
      <c r="X2580" s="11">
        <v>1999</v>
      </c>
      <c r="Y2580" s="11">
        <v>852</v>
      </c>
      <c r="Z2580" s="11">
        <v>6.8</v>
      </c>
      <c r="AA2580" s="11">
        <v>2.35</v>
      </c>
      <c r="AB2580" s="11">
        <v>0</v>
      </c>
      <c r="AC2580" s="11"/>
      <c r="AD2580" s="11" t="str">
        <f>IFERROR(__xludf.DUMMYFUNCTION("""COMPUTED_VALUE"""),"Donovan Scott")</f>
        <v>Donovan Scott</v>
      </c>
      <c r="AE2580" s="11"/>
    </row>
    <row r="2581" customHeight="1" spans="1:31">
      <c r="A2581" s="12" t="s">
        <v>30</v>
      </c>
      <c r="B2581" s="12" t="s">
        <v>5835</v>
      </c>
      <c r="C2581" s="12">
        <v>112</v>
      </c>
      <c r="D2581" s="12">
        <v>110</v>
      </c>
      <c r="E2581" s="12">
        <v>85</v>
      </c>
      <c r="F2581" s="12">
        <v>186</v>
      </c>
      <c r="G2581" s="12">
        <v>1000</v>
      </c>
      <c r="H2581" s="12">
        <v>5900000</v>
      </c>
      <c r="I2581" s="12" t="s">
        <v>43</v>
      </c>
      <c r="J2581" s="12" t="s">
        <v>4534</v>
      </c>
      <c r="K2581" s="12" t="s">
        <v>12543</v>
      </c>
      <c r="L2581" s="12" t="s">
        <v>5270</v>
      </c>
      <c r="M2581" s="12" t="s">
        <v>12544</v>
      </c>
      <c r="N2581" s="12">
        <v>98629</v>
      </c>
      <c r="O2581" s="12">
        <v>1852</v>
      </c>
      <c r="P2581" s="12">
        <v>1</v>
      </c>
      <c r="Q2581" s="12" t="s">
        <v>12545</v>
      </c>
      <c r="R2581" s="15" t="s">
        <v>12546</v>
      </c>
      <c r="S2581" s="12">
        <v>316</v>
      </c>
      <c r="T2581" s="12" t="s">
        <v>39</v>
      </c>
      <c r="U2581" s="12" t="s">
        <v>58</v>
      </c>
      <c r="V2581" s="12" t="s">
        <v>586</v>
      </c>
      <c r="W2581" s="12">
        <v>16000000</v>
      </c>
      <c r="X2581" s="12">
        <v>1986</v>
      </c>
      <c r="Y2581" s="12">
        <v>309</v>
      </c>
      <c r="Z2581" s="12">
        <v>7.2</v>
      </c>
      <c r="AA2581" s="12">
        <v>1.85</v>
      </c>
      <c r="AB2581" s="12">
        <v>0</v>
      </c>
      <c r="AC2581" s="12"/>
      <c r="AD2581" s="12" t="str">
        <f>IFERROR(__xludf.DUMMYFUNCTION("""COMPUTED_VALUE"""),"Ted Wass")</f>
        <v>Ted Wass</v>
      </c>
      <c r="AE2581" s="12"/>
    </row>
    <row r="2582" customHeight="1" spans="1:31">
      <c r="A2582" s="11" t="s">
        <v>30</v>
      </c>
      <c r="B2582" s="11" t="s">
        <v>12547</v>
      </c>
      <c r="C2582" s="11">
        <v>146</v>
      </c>
      <c r="D2582" s="11">
        <v>118</v>
      </c>
      <c r="E2582" s="11">
        <v>369</v>
      </c>
      <c r="F2582" s="11">
        <v>295</v>
      </c>
      <c r="G2582" s="11">
        <v>1000</v>
      </c>
      <c r="H2582" s="11">
        <v>2849142</v>
      </c>
      <c r="I2582" s="11" t="s">
        <v>3410</v>
      </c>
      <c r="J2582" s="11" t="s">
        <v>3386</v>
      </c>
      <c r="K2582" s="11" t="s">
        <v>706</v>
      </c>
      <c r="L2582" s="11" t="s">
        <v>12548</v>
      </c>
      <c r="M2582" s="11" t="s">
        <v>12549</v>
      </c>
      <c r="N2582" s="11">
        <v>24104</v>
      </c>
      <c r="O2582" s="11">
        <v>1889</v>
      </c>
      <c r="P2582" s="11">
        <v>1</v>
      </c>
      <c r="Q2582" s="11" t="s">
        <v>12550</v>
      </c>
      <c r="R2582" s="14" t="s">
        <v>12551</v>
      </c>
      <c r="S2582" s="11">
        <v>88</v>
      </c>
      <c r="T2582" s="11" t="s">
        <v>39</v>
      </c>
      <c r="U2582" s="11" t="s">
        <v>40</v>
      </c>
      <c r="V2582" s="11" t="s">
        <v>586</v>
      </c>
      <c r="W2582" s="11">
        <v>16000000</v>
      </c>
      <c r="X2582" s="11">
        <v>2007</v>
      </c>
      <c r="Y2582" s="11">
        <v>418</v>
      </c>
      <c r="Z2582" s="11">
        <v>7.2</v>
      </c>
      <c r="AA2582" s="11">
        <v>2.35</v>
      </c>
      <c r="AB2582" s="11">
        <v>0</v>
      </c>
      <c r="AC2582" s="11"/>
      <c r="AD2582" s="11" t="str">
        <f>IFERROR(__xludf.DUMMYFUNCTION("""COMPUTED_VALUE"""),"Kaylee DeFer")</f>
        <v>Kaylee DeFer</v>
      </c>
      <c r="AE2582" s="11"/>
    </row>
    <row r="2583" customHeight="1" spans="1:31">
      <c r="A2583" s="12" t="s">
        <v>30</v>
      </c>
      <c r="B2583" s="12" t="s">
        <v>12552</v>
      </c>
      <c r="C2583" s="12">
        <v>36</v>
      </c>
      <c r="D2583" s="12">
        <v>97</v>
      </c>
      <c r="E2583" s="12">
        <v>34</v>
      </c>
      <c r="F2583" s="12">
        <v>465</v>
      </c>
      <c r="G2583" s="12">
        <v>503</v>
      </c>
      <c r="H2583" s="12">
        <v>1686429</v>
      </c>
      <c r="I2583" s="12" t="s">
        <v>12553</v>
      </c>
      <c r="J2583" s="12" t="s">
        <v>2712</v>
      </c>
      <c r="K2583" s="12" t="s">
        <v>6250</v>
      </c>
      <c r="L2583" s="12" t="s">
        <v>4911</v>
      </c>
      <c r="M2583" s="12" t="s">
        <v>12554</v>
      </c>
      <c r="N2583" s="12">
        <v>8687</v>
      </c>
      <c r="O2583" s="12">
        <v>3100</v>
      </c>
      <c r="P2583" s="12">
        <v>1</v>
      </c>
      <c r="Q2583" s="12" t="s">
        <v>12555</v>
      </c>
      <c r="R2583" s="15" t="s">
        <v>12556</v>
      </c>
      <c r="S2583" s="12">
        <v>62</v>
      </c>
      <c r="T2583" s="12" t="s">
        <v>39</v>
      </c>
      <c r="U2583" s="12" t="s">
        <v>40</v>
      </c>
      <c r="V2583" s="12" t="s">
        <v>41</v>
      </c>
      <c r="W2583" s="12">
        <v>16000000</v>
      </c>
      <c r="X2583" s="12">
        <v>1997</v>
      </c>
      <c r="Y2583" s="12">
        <v>489</v>
      </c>
      <c r="Z2583" s="12">
        <v>2.8</v>
      </c>
      <c r="AA2583" s="12">
        <v>1.85</v>
      </c>
      <c r="AB2583" s="12">
        <v>0</v>
      </c>
      <c r="AC2583" s="12"/>
      <c r="AD2583" s="12" t="str">
        <f>IFERROR(__xludf.DUMMYFUNCTION("""COMPUTED_VALUE"""),"Jack Plotnick")</f>
        <v>Jack Plotnick</v>
      </c>
      <c r="AE2583" s="12"/>
    </row>
    <row r="2584" customHeight="1" spans="1:31">
      <c r="A2584" s="11" t="s">
        <v>30</v>
      </c>
      <c r="B2584" s="11" t="s">
        <v>8973</v>
      </c>
      <c r="C2584" s="11">
        <v>230</v>
      </c>
      <c r="D2584" s="11">
        <v>120</v>
      </c>
      <c r="E2584" s="11">
        <v>115</v>
      </c>
      <c r="F2584" s="11">
        <v>310</v>
      </c>
      <c r="G2584" s="11">
        <v>10000</v>
      </c>
      <c r="H2584" s="11">
        <v>1984743</v>
      </c>
      <c r="I2584" s="11" t="s">
        <v>214</v>
      </c>
      <c r="J2584" s="11" t="s">
        <v>888</v>
      </c>
      <c r="K2584" s="11" t="s">
        <v>7033</v>
      </c>
      <c r="L2584" s="11" t="s">
        <v>12557</v>
      </c>
      <c r="M2584" s="11" t="s">
        <v>12558</v>
      </c>
      <c r="N2584" s="11">
        <v>20616</v>
      </c>
      <c r="O2584" s="11">
        <v>11019</v>
      </c>
      <c r="P2584" s="11">
        <v>3</v>
      </c>
      <c r="Q2584" s="11" t="s">
        <v>12559</v>
      </c>
      <c r="R2584" s="14" t="s">
        <v>12560</v>
      </c>
      <c r="S2584" s="11">
        <v>70</v>
      </c>
      <c r="T2584" s="11" t="s">
        <v>39</v>
      </c>
      <c r="U2584" s="11" t="s">
        <v>40</v>
      </c>
      <c r="V2584" s="11" t="s">
        <v>586</v>
      </c>
      <c r="W2584" s="11">
        <v>16000000</v>
      </c>
      <c r="X2584" s="11">
        <v>2013</v>
      </c>
      <c r="Y2584" s="11">
        <v>316</v>
      </c>
      <c r="Z2584" s="11">
        <v>6.6</v>
      </c>
      <c r="AA2584" s="11">
        <v>2.35</v>
      </c>
      <c r="AB2584" s="11">
        <v>0</v>
      </c>
      <c r="AC2584" s="11"/>
      <c r="AD2584" s="11" t="str">
        <f>IFERROR(__xludf.DUMMYFUNCTION("""COMPUTED_VALUE"""),"Craig Hall")</f>
        <v>Craig Hall</v>
      </c>
      <c r="AE2584" s="11"/>
    </row>
    <row r="2585" customHeight="1" spans="1:31">
      <c r="A2585" s="12" t="s">
        <v>30</v>
      </c>
      <c r="B2585" s="12" t="s">
        <v>12561</v>
      </c>
      <c r="C2585" s="12">
        <v>64</v>
      </c>
      <c r="D2585" s="12">
        <v>135</v>
      </c>
      <c r="E2585" s="12">
        <v>133</v>
      </c>
      <c r="F2585" s="12">
        <v>258</v>
      </c>
      <c r="G2585" s="12">
        <v>898</v>
      </c>
      <c r="H2585" s="12">
        <v>1666262</v>
      </c>
      <c r="I2585" s="12" t="s">
        <v>1941</v>
      </c>
      <c r="J2585" s="12" t="s">
        <v>2535</v>
      </c>
      <c r="K2585" s="12" t="s">
        <v>4621</v>
      </c>
      <c r="L2585" s="12" t="s">
        <v>12562</v>
      </c>
      <c r="M2585" s="12" t="s">
        <v>12563</v>
      </c>
      <c r="N2585" s="12">
        <v>5321</v>
      </c>
      <c r="O2585" s="12">
        <v>2096</v>
      </c>
      <c r="P2585" s="12">
        <v>0</v>
      </c>
      <c r="Q2585" s="12" t="s">
        <v>12564</v>
      </c>
      <c r="R2585" s="15" t="s">
        <v>12565</v>
      </c>
      <c r="S2585" s="12">
        <v>78</v>
      </c>
      <c r="T2585" s="12" t="s">
        <v>39</v>
      </c>
      <c r="U2585" s="12" t="s">
        <v>58</v>
      </c>
      <c r="V2585" s="12" t="s">
        <v>41</v>
      </c>
      <c r="W2585" s="12">
        <v>16000000</v>
      </c>
      <c r="X2585" s="12">
        <v>2005</v>
      </c>
      <c r="Y2585" s="12">
        <v>708</v>
      </c>
      <c r="Z2585" s="12">
        <v>6.7</v>
      </c>
      <c r="AA2585" s="12">
        <v>1.66</v>
      </c>
      <c r="AB2585" s="12">
        <v>356</v>
      </c>
      <c r="AC2585" s="12"/>
      <c r="AD2585" s="12" t="str">
        <f>IFERROR(__xludf.DUMMYFUNCTION("""COMPUTED_VALUE"""),"Don McKellar")</f>
        <v>Don McKellar</v>
      </c>
      <c r="AE2585" s="12"/>
    </row>
    <row r="2586" customHeight="1" spans="1:31">
      <c r="A2586" s="11" t="s">
        <v>30</v>
      </c>
      <c r="B2586" s="11" t="s">
        <v>5290</v>
      </c>
      <c r="C2586" s="11">
        <v>393</v>
      </c>
      <c r="D2586" s="11">
        <v>101</v>
      </c>
      <c r="E2586" s="11">
        <v>0</v>
      </c>
      <c r="F2586" s="11">
        <v>888</v>
      </c>
      <c r="G2586" s="11">
        <v>3000</v>
      </c>
      <c r="H2586" s="11">
        <v>2319187</v>
      </c>
      <c r="I2586" s="11" t="s">
        <v>2142</v>
      </c>
      <c r="J2586" s="11" t="s">
        <v>984</v>
      </c>
      <c r="K2586" s="11" t="s">
        <v>4533</v>
      </c>
      <c r="L2586" s="11" t="s">
        <v>12566</v>
      </c>
      <c r="M2586" s="11" t="s">
        <v>12567</v>
      </c>
      <c r="N2586" s="11">
        <v>92640</v>
      </c>
      <c r="O2586" s="11">
        <v>5056</v>
      </c>
      <c r="P2586" s="11">
        <v>0</v>
      </c>
      <c r="Q2586" s="11" t="s">
        <v>12568</v>
      </c>
      <c r="R2586" s="14" t="s">
        <v>12569</v>
      </c>
      <c r="S2586" s="11">
        <v>212</v>
      </c>
      <c r="T2586" s="11" t="s">
        <v>39</v>
      </c>
      <c r="U2586" s="11" t="s">
        <v>58</v>
      </c>
      <c r="V2586" s="11" t="s">
        <v>586</v>
      </c>
      <c r="W2586" s="11">
        <v>20000000</v>
      </c>
      <c r="X2586" s="11">
        <v>2013</v>
      </c>
      <c r="Y2586" s="11">
        <v>1000</v>
      </c>
      <c r="Z2586" s="11">
        <v>7</v>
      </c>
      <c r="AA2586" s="11">
        <v>2.35</v>
      </c>
      <c r="AB2586" s="11">
        <v>23000</v>
      </c>
      <c r="AC2586" s="11"/>
      <c r="AD2586" s="11" t="str">
        <f>IFERROR(__xludf.DUMMYFUNCTION("""COMPUTED_VALUE"""),"Joe Pingue")</f>
        <v>Joe Pingue</v>
      </c>
      <c r="AE2586" s="11"/>
    </row>
    <row r="2587" customHeight="1" spans="1:31">
      <c r="A2587" s="12" t="s">
        <v>30</v>
      </c>
      <c r="B2587" s="12" t="s">
        <v>12570</v>
      </c>
      <c r="C2587" s="12">
        <v>75</v>
      </c>
      <c r="D2587" s="12">
        <v>92</v>
      </c>
      <c r="E2587" s="12">
        <v>29</v>
      </c>
      <c r="F2587" s="12">
        <v>618</v>
      </c>
      <c r="G2587" s="12">
        <v>939</v>
      </c>
      <c r="H2587" s="12">
        <v>13922211</v>
      </c>
      <c r="I2587" s="12" t="s">
        <v>1672</v>
      </c>
      <c r="J2587" s="12" t="s">
        <v>5453</v>
      </c>
      <c r="K2587" s="12" t="s">
        <v>1141</v>
      </c>
      <c r="L2587" s="12" t="s">
        <v>1736</v>
      </c>
      <c r="M2587" s="12" t="s">
        <v>12571</v>
      </c>
      <c r="N2587" s="12">
        <v>18271</v>
      </c>
      <c r="O2587" s="12">
        <v>3935</v>
      </c>
      <c r="P2587" s="12">
        <v>9</v>
      </c>
      <c r="Q2587" s="12" t="s">
        <v>12572</v>
      </c>
      <c r="R2587" s="15" t="s">
        <v>12573</v>
      </c>
      <c r="S2587" s="12">
        <v>150</v>
      </c>
      <c r="T2587" s="12" t="s">
        <v>39</v>
      </c>
      <c r="U2587" s="12" t="s">
        <v>40</v>
      </c>
      <c r="V2587" s="12" t="s">
        <v>586</v>
      </c>
      <c r="W2587" s="12">
        <v>16000000</v>
      </c>
      <c r="X2587" s="12">
        <v>2004</v>
      </c>
      <c r="Y2587" s="12">
        <v>881</v>
      </c>
      <c r="Z2587" s="12">
        <v>4.4</v>
      </c>
      <c r="AA2587" s="12">
        <v>1.85</v>
      </c>
      <c r="AB2587" s="12">
        <v>0</v>
      </c>
      <c r="AC2587" s="12"/>
      <c r="AD2587" s="12" t="str">
        <f>IFERROR(__xludf.DUMMYFUNCTION("""COMPUTED_VALUE"""),"Yûsuke Iseya")</f>
        <v>Yûsuke Iseya</v>
      </c>
      <c r="AE2587" s="12"/>
    </row>
    <row r="2588" customHeight="1" spans="1:31">
      <c r="A2588" s="11" t="s">
        <v>30</v>
      </c>
      <c r="B2588" s="11" t="s">
        <v>6196</v>
      </c>
      <c r="C2588" s="11">
        <v>78</v>
      </c>
      <c r="D2588" s="11">
        <v>106</v>
      </c>
      <c r="E2588" s="11">
        <v>172</v>
      </c>
      <c r="F2588" s="11">
        <v>27</v>
      </c>
      <c r="G2588" s="11">
        <v>172</v>
      </c>
      <c r="H2588" s="13"/>
      <c r="I2588" s="11" t="s">
        <v>1681</v>
      </c>
      <c r="J2588" s="11" t="s">
        <v>6196</v>
      </c>
      <c r="K2588" s="11" t="s">
        <v>8716</v>
      </c>
      <c r="L2588" s="11" t="s">
        <v>12574</v>
      </c>
      <c r="M2588" s="11" t="s">
        <v>12575</v>
      </c>
      <c r="N2588" s="11">
        <v>30587</v>
      </c>
      <c r="O2588" s="11">
        <v>329</v>
      </c>
      <c r="P2588" s="11">
        <v>2</v>
      </c>
      <c r="Q2588" s="11" t="s">
        <v>12576</v>
      </c>
      <c r="R2588" s="14" t="s">
        <v>12577</v>
      </c>
      <c r="S2588" s="11">
        <v>49</v>
      </c>
      <c r="T2588" s="11" t="s">
        <v>1465</v>
      </c>
      <c r="U2588" s="11" t="s">
        <v>1466</v>
      </c>
      <c r="V2588" s="13"/>
      <c r="W2588" s="11">
        <v>11000000</v>
      </c>
      <c r="X2588" s="11">
        <v>2008</v>
      </c>
      <c r="Y2588" s="11">
        <v>55</v>
      </c>
      <c r="Z2588" s="11">
        <v>7.1</v>
      </c>
      <c r="AA2588" s="11">
        <v>2.35</v>
      </c>
      <c r="AB2588" s="11">
        <v>3000</v>
      </c>
      <c r="AC2588" s="11"/>
      <c r="AD2588" s="11" t="str">
        <f>IFERROR(__xludf.DUMMYFUNCTION("""COMPUTED_VALUE"""),"Michael Paré")</f>
        <v>Michael Paré</v>
      </c>
      <c r="AE2588" s="11"/>
    </row>
    <row r="2589" customHeight="1" spans="1:31">
      <c r="A2589" s="12" t="s">
        <v>30</v>
      </c>
      <c r="B2589" s="12" t="s">
        <v>12578</v>
      </c>
      <c r="C2589" s="12">
        <v>67</v>
      </c>
      <c r="D2589" s="12">
        <v>92</v>
      </c>
      <c r="E2589" s="12">
        <v>6</v>
      </c>
      <c r="F2589" s="12">
        <v>227</v>
      </c>
      <c r="G2589" s="12">
        <v>10000</v>
      </c>
      <c r="H2589" s="12">
        <v>23091</v>
      </c>
      <c r="I2589" s="12" t="s">
        <v>5605</v>
      </c>
      <c r="J2589" s="12" t="s">
        <v>2825</v>
      </c>
      <c r="K2589" s="12" t="s">
        <v>12579</v>
      </c>
      <c r="L2589" s="12" t="s">
        <v>7382</v>
      </c>
      <c r="M2589" s="12" t="s">
        <v>12580</v>
      </c>
      <c r="N2589" s="12">
        <v>5664</v>
      </c>
      <c r="O2589" s="12">
        <v>11091</v>
      </c>
      <c r="P2589" s="12">
        <v>1</v>
      </c>
      <c r="Q2589" s="12" t="s">
        <v>12581</v>
      </c>
      <c r="R2589" s="15" t="s">
        <v>12582</v>
      </c>
      <c r="S2589" s="12">
        <v>42</v>
      </c>
      <c r="T2589" s="12" t="s">
        <v>39</v>
      </c>
      <c r="U2589" s="12" t="s">
        <v>58</v>
      </c>
      <c r="V2589" s="12" t="s">
        <v>586</v>
      </c>
      <c r="W2589" s="12">
        <v>15000000</v>
      </c>
      <c r="X2589" s="12">
        <v>2008</v>
      </c>
      <c r="Y2589" s="12">
        <v>304</v>
      </c>
      <c r="Z2589" s="12">
        <v>6.2</v>
      </c>
      <c r="AA2589" s="12">
        <v>2.35</v>
      </c>
      <c r="AB2589" s="12">
        <v>921</v>
      </c>
      <c r="AC2589" s="12"/>
      <c r="AD2589" s="12" t="str">
        <f>IFERROR(__xludf.DUMMYFUNCTION("""COMPUTED_VALUE"""),"Julie Adams")</f>
        <v>Julie Adams</v>
      </c>
      <c r="AE2589" s="12"/>
    </row>
    <row r="2590" customHeight="1" spans="1:31">
      <c r="A2590" s="11" t="s">
        <v>30</v>
      </c>
      <c r="B2590" s="11" t="s">
        <v>12583</v>
      </c>
      <c r="C2590" s="11">
        <v>216</v>
      </c>
      <c r="D2590" s="11">
        <v>161</v>
      </c>
      <c r="E2590" s="11">
        <v>929</v>
      </c>
      <c r="F2590" s="11">
        <v>116</v>
      </c>
      <c r="G2590" s="11">
        <v>488</v>
      </c>
      <c r="H2590" s="11">
        <v>336467</v>
      </c>
      <c r="I2590" s="11" t="s">
        <v>5324</v>
      </c>
      <c r="J2590" s="11" t="s">
        <v>12584</v>
      </c>
      <c r="K2590" s="11" t="s">
        <v>12585</v>
      </c>
      <c r="L2590" s="11" t="s">
        <v>1552</v>
      </c>
      <c r="M2590" s="11" t="s">
        <v>12586</v>
      </c>
      <c r="N2590" s="11">
        <v>45449</v>
      </c>
      <c r="O2590" s="11">
        <v>943</v>
      </c>
      <c r="P2590" s="11">
        <v>0</v>
      </c>
      <c r="Q2590" s="11" t="s">
        <v>12587</v>
      </c>
      <c r="R2590" s="14" t="s">
        <v>12588</v>
      </c>
      <c r="S2590" s="11">
        <v>192</v>
      </c>
      <c r="T2590" s="11" t="s">
        <v>39</v>
      </c>
      <c r="U2590" s="11" t="s">
        <v>1466</v>
      </c>
      <c r="V2590" s="11" t="s">
        <v>4831</v>
      </c>
      <c r="W2590" s="11">
        <v>13000000</v>
      </c>
      <c r="X2590" s="11">
        <v>2009</v>
      </c>
      <c r="Y2590" s="11">
        <v>289</v>
      </c>
      <c r="Z2590" s="11">
        <v>7.3</v>
      </c>
      <c r="AA2590" s="11">
        <v>2.35</v>
      </c>
      <c r="AB2590" s="11">
        <v>23000</v>
      </c>
      <c r="AC2590" s="11"/>
      <c r="AD2590" s="11" t="str">
        <f>IFERROR(__xludf.DUMMYFUNCTION("""COMPUTED_VALUE"""),"Dallas Barnett")</f>
        <v>Dallas Barnett</v>
      </c>
      <c r="AE2590" s="11"/>
    </row>
    <row r="2591" customHeight="1" spans="1:31">
      <c r="A2591" s="12" t="s">
        <v>30</v>
      </c>
      <c r="B2591" s="12" t="s">
        <v>11132</v>
      </c>
      <c r="C2591" s="12">
        <v>54</v>
      </c>
      <c r="D2591" s="12">
        <v>92</v>
      </c>
      <c r="E2591" s="12">
        <v>143</v>
      </c>
      <c r="F2591" s="12">
        <v>613</v>
      </c>
      <c r="G2591" s="12">
        <v>1000</v>
      </c>
      <c r="H2591" s="12">
        <v>2964</v>
      </c>
      <c r="I2591" s="12" t="s">
        <v>8199</v>
      </c>
      <c r="J2591" s="12" t="s">
        <v>4468</v>
      </c>
      <c r="K2591" s="12" t="s">
        <v>12589</v>
      </c>
      <c r="L2591" s="12" t="s">
        <v>12590</v>
      </c>
      <c r="M2591" s="12" t="s">
        <v>12591</v>
      </c>
      <c r="N2591" s="12">
        <v>7444</v>
      </c>
      <c r="O2591" s="12">
        <v>3086</v>
      </c>
      <c r="P2591" s="12">
        <v>2</v>
      </c>
      <c r="Q2591" s="12" t="s">
        <v>12592</v>
      </c>
      <c r="R2591" s="15" t="s">
        <v>12593</v>
      </c>
      <c r="S2591" s="12">
        <v>42</v>
      </c>
      <c r="T2591" s="12" t="s">
        <v>39</v>
      </c>
      <c r="U2591" s="12" t="s">
        <v>40</v>
      </c>
      <c r="V2591" s="12" t="s">
        <v>41</v>
      </c>
      <c r="W2591" s="12">
        <v>16000000</v>
      </c>
      <c r="X2591" s="12">
        <v>2012</v>
      </c>
      <c r="Y2591" s="12">
        <v>945</v>
      </c>
      <c r="Z2591" s="12">
        <v>5.1</v>
      </c>
      <c r="AA2591" s="12">
        <v>1.78</v>
      </c>
      <c r="AB2591" s="12">
        <v>0</v>
      </c>
      <c r="AC2591" s="12"/>
      <c r="AD2591" s="12" t="str">
        <f>IFERROR(__xludf.DUMMYFUNCTION("""COMPUTED_VALUE"""),"Erica Linz")</f>
        <v>Erica Linz</v>
      </c>
      <c r="AE2591" s="12"/>
    </row>
    <row r="2592" customHeight="1" spans="1:31">
      <c r="A2592" s="11" t="s">
        <v>30</v>
      </c>
      <c r="B2592" s="11" t="s">
        <v>7636</v>
      </c>
      <c r="C2592" s="11">
        <v>84</v>
      </c>
      <c r="D2592" s="11">
        <v>93</v>
      </c>
      <c r="E2592" s="11">
        <v>529</v>
      </c>
      <c r="F2592" s="11">
        <v>805</v>
      </c>
      <c r="G2592" s="11">
        <v>1000</v>
      </c>
      <c r="H2592" s="13"/>
      <c r="I2592" s="11" t="s">
        <v>7144</v>
      </c>
      <c r="J2592" s="11" t="s">
        <v>589</v>
      </c>
      <c r="K2592" s="11" t="s">
        <v>6861</v>
      </c>
      <c r="L2592" s="11" t="s">
        <v>2319</v>
      </c>
      <c r="M2592" s="11" t="s">
        <v>12594</v>
      </c>
      <c r="N2592" s="11">
        <v>155249</v>
      </c>
      <c r="O2592" s="11">
        <v>4453</v>
      </c>
      <c r="P2592" s="11">
        <v>0</v>
      </c>
      <c r="Q2592" s="11" t="s">
        <v>12595</v>
      </c>
      <c r="R2592" s="14" t="s">
        <v>12596</v>
      </c>
      <c r="S2592" s="11">
        <v>304</v>
      </c>
      <c r="T2592" s="11" t="s">
        <v>39</v>
      </c>
      <c r="U2592" s="11" t="s">
        <v>40</v>
      </c>
      <c r="V2592" s="11" t="s">
        <v>278</v>
      </c>
      <c r="W2592" s="11">
        <v>16000000</v>
      </c>
      <c r="X2592" s="11">
        <v>2009</v>
      </c>
      <c r="Y2592" s="11">
        <v>884</v>
      </c>
      <c r="Z2592" s="11">
        <v>8.1</v>
      </c>
      <c r="AA2592" s="11">
        <v>1.85</v>
      </c>
      <c r="AB2592" s="11">
        <v>115000</v>
      </c>
      <c r="AC2592" s="11"/>
      <c r="AD2592" s="11" t="str">
        <f>IFERROR(__xludf.DUMMYFUNCTION("""COMPUTED_VALUE"""),"Igor Zaripov")</f>
        <v>Igor Zaripov</v>
      </c>
      <c r="AE2592" s="11"/>
    </row>
    <row r="2593" customHeight="1" spans="1:31">
      <c r="A2593" s="12" t="s">
        <v>30</v>
      </c>
      <c r="B2593" s="12" t="s">
        <v>12597</v>
      </c>
      <c r="C2593" s="12">
        <v>69</v>
      </c>
      <c r="D2593" s="12">
        <v>110</v>
      </c>
      <c r="E2593" s="12">
        <v>22</v>
      </c>
      <c r="F2593" s="12">
        <v>44</v>
      </c>
      <c r="G2593" s="12">
        <v>5000</v>
      </c>
      <c r="H2593" s="16"/>
      <c r="I2593" s="12" t="s">
        <v>2126</v>
      </c>
      <c r="J2593" s="12" t="s">
        <v>45</v>
      </c>
      <c r="K2593" s="12" t="s">
        <v>12598</v>
      </c>
      <c r="L2593" s="12" t="s">
        <v>12599</v>
      </c>
      <c r="M2593" s="12" t="s">
        <v>12600</v>
      </c>
      <c r="N2593" s="12">
        <v>12817</v>
      </c>
      <c r="O2593" s="12">
        <v>5273</v>
      </c>
      <c r="P2593" s="12">
        <v>0</v>
      </c>
      <c r="Q2593" s="12" t="s">
        <v>12601</v>
      </c>
      <c r="R2593" s="15" t="s">
        <v>12602</v>
      </c>
      <c r="S2593" s="12">
        <v>43</v>
      </c>
      <c r="T2593" s="12" t="s">
        <v>39</v>
      </c>
      <c r="U2593" s="12" t="s">
        <v>1466</v>
      </c>
      <c r="V2593" s="12" t="s">
        <v>586</v>
      </c>
      <c r="W2593" s="12">
        <v>16000000</v>
      </c>
      <c r="X2593" s="12">
        <v>2013</v>
      </c>
      <c r="Y2593" s="12">
        <v>170</v>
      </c>
      <c r="Z2593" s="12">
        <v>6.7</v>
      </c>
      <c r="AA2593" s="12">
        <v>2.35</v>
      </c>
      <c r="AB2593" s="12">
        <v>0</v>
      </c>
      <c r="AC2593" s="12"/>
      <c r="AD2593" s="12" t="str">
        <f>IFERROR(__xludf.DUMMYFUNCTION("""COMPUTED_VALUE"""),"Aidan McArdle")</f>
        <v>Aidan McArdle</v>
      </c>
      <c r="AE2593" s="12"/>
    </row>
    <row r="2594" customHeight="1" spans="1:31">
      <c r="A2594" s="11" t="s">
        <v>30</v>
      </c>
      <c r="B2594" s="11" t="s">
        <v>12603</v>
      </c>
      <c r="C2594" s="11">
        <v>208</v>
      </c>
      <c r="D2594" s="11">
        <v>122</v>
      </c>
      <c r="E2594" s="11">
        <v>0</v>
      </c>
      <c r="F2594" s="11">
        <v>567</v>
      </c>
      <c r="G2594" s="11">
        <v>883</v>
      </c>
      <c r="H2594" s="11">
        <v>2428883</v>
      </c>
      <c r="I2594" s="11" t="s">
        <v>1766</v>
      </c>
      <c r="J2594" s="11" t="s">
        <v>4545</v>
      </c>
      <c r="K2594" s="11" t="s">
        <v>1502</v>
      </c>
      <c r="L2594" s="11" t="s">
        <v>2096</v>
      </c>
      <c r="M2594" s="11" t="s">
        <v>12604</v>
      </c>
      <c r="N2594" s="11">
        <v>21370</v>
      </c>
      <c r="O2594" s="11">
        <v>2896</v>
      </c>
      <c r="P2594" s="11">
        <v>1</v>
      </c>
      <c r="Q2594" s="11" t="s">
        <v>12605</v>
      </c>
      <c r="R2594" s="14" t="s">
        <v>12606</v>
      </c>
      <c r="S2594" s="11">
        <v>132</v>
      </c>
      <c r="T2594" s="11" t="s">
        <v>39</v>
      </c>
      <c r="U2594" s="11" t="s">
        <v>40</v>
      </c>
      <c r="V2594" s="11" t="s">
        <v>586</v>
      </c>
      <c r="W2594" s="11">
        <v>16000000</v>
      </c>
      <c r="X2594" s="11">
        <v>2014</v>
      </c>
      <c r="Y2594" s="11">
        <v>596</v>
      </c>
      <c r="Z2594" s="11">
        <v>6.6</v>
      </c>
      <c r="AA2594" s="11">
        <v>2.35</v>
      </c>
      <c r="AB2594" s="11">
        <v>0</v>
      </c>
      <c r="AC2594" s="11"/>
      <c r="AD2594" s="11" t="str">
        <f>IFERROR(__xludf.DUMMYFUNCTION("""COMPUTED_VALUE"""),"James Tupper")</f>
        <v>James Tupper</v>
      </c>
      <c r="AE2594" s="11"/>
    </row>
    <row r="2595" customHeight="1" spans="1:31">
      <c r="A2595" s="12" t="s">
        <v>30</v>
      </c>
      <c r="B2595" s="12" t="s">
        <v>12607</v>
      </c>
      <c r="C2595" s="12">
        <v>32</v>
      </c>
      <c r="D2595" s="12">
        <v>91</v>
      </c>
      <c r="E2595" s="12">
        <v>10</v>
      </c>
      <c r="F2595" s="12">
        <v>574</v>
      </c>
      <c r="G2595" s="12">
        <v>890</v>
      </c>
      <c r="H2595" s="12">
        <v>13571817</v>
      </c>
      <c r="I2595" s="12" t="s">
        <v>4479</v>
      </c>
      <c r="J2595" s="12" t="s">
        <v>634</v>
      </c>
      <c r="K2595" s="12" t="s">
        <v>1661</v>
      </c>
      <c r="L2595" s="12" t="s">
        <v>3236</v>
      </c>
      <c r="M2595" s="12" t="s">
        <v>12608</v>
      </c>
      <c r="N2595" s="12">
        <v>5312</v>
      </c>
      <c r="O2595" s="12">
        <v>3104</v>
      </c>
      <c r="P2595" s="12">
        <v>3</v>
      </c>
      <c r="Q2595" s="12" t="s">
        <v>12609</v>
      </c>
      <c r="R2595" s="15" t="s">
        <v>12610</v>
      </c>
      <c r="S2595" s="12">
        <v>40</v>
      </c>
      <c r="T2595" s="12" t="s">
        <v>39</v>
      </c>
      <c r="U2595" s="12" t="s">
        <v>40</v>
      </c>
      <c r="V2595" s="12" t="s">
        <v>41</v>
      </c>
      <c r="W2595" s="12">
        <v>15600000</v>
      </c>
      <c r="X2595" s="12">
        <v>2002</v>
      </c>
      <c r="Y2595" s="12">
        <v>578</v>
      </c>
      <c r="Z2595" s="12">
        <v>4.5</v>
      </c>
      <c r="AA2595" s="12">
        <v>1.85</v>
      </c>
      <c r="AB2595" s="12">
        <v>939</v>
      </c>
      <c r="AC2595" s="12"/>
      <c r="AD2595" s="12" t="str">
        <f>IFERROR(__xludf.DUMMYFUNCTION("""COMPUTED_VALUE"""),"Sean Buchanan")</f>
        <v>Sean Buchanan</v>
      </c>
      <c r="AE2595" s="12"/>
    </row>
    <row r="2596" customHeight="1" spans="1:31">
      <c r="A2596" s="11" t="s">
        <v>30</v>
      </c>
      <c r="B2596" s="13"/>
      <c r="C2596" s="11">
        <v>20</v>
      </c>
      <c r="D2596" s="11">
        <v>45</v>
      </c>
      <c r="E2596" s="13"/>
      <c r="F2596" s="11">
        <v>15</v>
      </c>
      <c r="G2596" s="11">
        <v>422</v>
      </c>
      <c r="H2596" s="13"/>
      <c r="I2596" s="11" t="s">
        <v>9194</v>
      </c>
      <c r="J2596" s="11" t="s">
        <v>12611</v>
      </c>
      <c r="K2596" s="11" t="s">
        <v>12612</v>
      </c>
      <c r="L2596" s="11" t="s">
        <v>12613</v>
      </c>
      <c r="M2596" s="11" t="s">
        <v>12614</v>
      </c>
      <c r="N2596" s="11">
        <v>19164</v>
      </c>
      <c r="O2596" s="11">
        <v>537</v>
      </c>
      <c r="P2596" s="11">
        <v>0</v>
      </c>
      <c r="Q2596" s="11" t="s">
        <v>12615</v>
      </c>
      <c r="R2596" s="14" t="s">
        <v>12616</v>
      </c>
      <c r="S2596" s="11">
        <v>79</v>
      </c>
      <c r="T2596" s="11" t="s">
        <v>39</v>
      </c>
      <c r="U2596" s="11" t="s">
        <v>12617</v>
      </c>
      <c r="V2596" s="11" t="s">
        <v>2636</v>
      </c>
      <c r="W2596" s="11">
        <v>34000000</v>
      </c>
      <c r="X2596" s="13"/>
      <c r="Y2596" s="11">
        <v>57</v>
      </c>
      <c r="Z2596" s="11">
        <v>8.1</v>
      </c>
      <c r="AA2596" s="11">
        <v>16</v>
      </c>
      <c r="AB2596" s="11">
        <v>16000</v>
      </c>
      <c r="AC2596" s="11"/>
      <c r="AD2596" s="11" t="str">
        <f>IFERROR(__xludf.DUMMYFUNCTION("""COMPUTED_VALUE"""),"Liya Kebede")</f>
        <v>Liya Kebede</v>
      </c>
      <c r="AE2596" s="11"/>
    </row>
    <row r="2597" customHeight="1" spans="1:31">
      <c r="A2597" s="12" t="s">
        <v>30</v>
      </c>
      <c r="B2597" s="12" t="s">
        <v>8639</v>
      </c>
      <c r="C2597" s="12">
        <v>78</v>
      </c>
      <c r="D2597" s="12">
        <v>115</v>
      </c>
      <c r="E2597" s="12">
        <v>460</v>
      </c>
      <c r="F2597" s="12">
        <v>125</v>
      </c>
      <c r="G2597" s="12">
        <v>232</v>
      </c>
      <c r="H2597" s="12">
        <v>1554566</v>
      </c>
      <c r="I2597" s="12" t="s">
        <v>3397</v>
      </c>
      <c r="J2597" s="12" t="s">
        <v>12618</v>
      </c>
      <c r="K2597" s="12" t="s">
        <v>12619</v>
      </c>
      <c r="L2597" s="12" t="s">
        <v>12620</v>
      </c>
      <c r="M2597" s="12" t="s">
        <v>12621</v>
      </c>
      <c r="N2597" s="12">
        <v>8624</v>
      </c>
      <c r="O2597" s="12">
        <v>699</v>
      </c>
      <c r="P2597" s="12">
        <v>1</v>
      </c>
      <c r="Q2597" s="12" t="s">
        <v>12622</v>
      </c>
      <c r="R2597" s="15" t="s">
        <v>12623</v>
      </c>
      <c r="S2597" s="12">
        <v>180</v>
      </c>
      <c r="T2597" s="12" t="s">
        <v>39</v>
      </c>
      <c r="U2597" s="12" t="s">
        <v>269</v>
      </c>
      <c r="V2597" s="12" t="s">
        <v>586</v>
      </c>
      <c r="W2597" s="16"/>
      <c r="X2597" s="12">
        <v>2002</v>
      </c>
      <c r="Y2597" s="12">
        <v>150</v>
      </c>
      <c r="Z2597" s="12">
        <v>6.6</v>
      </c>
      <c r="AA2597" s="12">
        <v>1.66</v>
      </c>
      <c r="AB2597" s="12">
        <v>824</v>
      </c>
      <c r="AC2597" s="12"/>
      <c r="AD2597" s="12" t="str">
        <f>IFERROR(__xludf.DUMMYFUNCTION("""COMPUTED_VALUE"""),"Shawn Hatosy")</f>
        <v>Shawn Hatosy</v>
      </c>
      <c r="AE2597" s="12"/>
    </row>
    <row r="2598" customHeight="1" spans="1:31">
      <c r="A2598" s="11" t="s">
        <v>30</v>
      </c>
      <c r="B2598" s="11" t="s">
        <v>12624</v>
      </c>
      <c r="C2598" s="11">
        <v>21</v>
      </c>
      <c r="D2598" s="11">
        <v>94</v>
      </c>
      <c r="E2598" s="11">
        <v>4</v>
      </c>
      <c r="F2598" s="11">
        <v>518</v>
      </c>
      <c r="G2598" s="11">
        <v>844</v>
      </c>
      <c r="H2598" s="11">
        <v>508867</v>
      </c>
      <c r="I2598" s="11" t="s">
        <v>3794</v>
      </c>
      <c r="J2598" s="11" t="s">
        <v>10437</v>
      </c>
      <c r="K2598" s="11" t="s">
        <v>4110</v>
      </c>
      <c r="L2598" s="11" t="s">
        <v>12625</v>
      </c>
      <c r="M2598" s="11" t="s">
        <v>12626</v>
      </c>
      <c r="N2598" s="11">
        <v>1033</v>
      </c>
      <c r="O2598" s="11">
        <v>3583</v>
      </c>
      <c r="P2598" s="11">
        <v>0</v>
      </c>
      <c r="Q2598" s="11" t="s">
        <v>12627</v>
      </c>
      <c r="R2598" s="14" t="s">
        <v>12628</v>
      </c>
      <c r="S2598" s="11">
        <v>26</v>
      </c>
      <c r="T2598" s="11" t="s">
        <v>39</v>
      </c>
      <c r="U2598" s="11" t="s">
        <v>40</v>
      </c>
      <c r="V2598" s="11" t="s">
        <v>96</v>
      </c>
      <c r="W2598" s="13"/>
      <c r="X2598" s="11">
        <v>2001</v>
      </c>
      <c r="Y2598" s="11">
        <v>626</v>
      </c>
      <c r="Z2598" s="11">
        <v>6.5</v>
      </c>
      <c r="AA2598" s="11">
        <v>2.35</v>
      </c>
      <c r="AB2598" s="11">
        <v>282</v>
      </c>
      <c r="AC2598" s="11"/>
      <c r="AD2598" s="11" t="str">
        <f>IFERROR(__xludf.DUMMYFUNCTION("""COMPUTED_VALUE"""),"Benoît Magimel")</f>
        <v>Benoît Magimel</v>
      </c>
      <c r="AE2598" s="11"/>
    </row>
    <row r="2599" customHeight="1" spans="1:31">
      <c r="A2599" s="12" t="s">
        <v>30</v>
      </c>
      <c r="B2599" s="12" t="s">
        <v>12629</v>
      </c>
      <c r="C2599" s="12">
        <v>40</v>
      </c>
      <c r="D2599" s="12">
        <v>93</v>
      </c>
      <c r="E2599" s="12">
        <v>7</v>
      </c>
      <c r="F2599" s="12">
        <v>922</v>
      </c>
      <c r="G2599" s="12">
        <v>1000</v>
      </c>
      <c r="H2599" s="12">
        <v>1181197</v>
      </c>
      <c r="I2599" s="12" t="s">
        <v>1924</v>
      </c>
      <c r="J2599" s="12" t="s">
        <v>1540</v>
      </c>
      <c r="K2599" s="12" t="s">
        <v>2121</v>
      </c>
      <c r="L2599" s="12" t="s">
        <v>6158</v>
      </c>
      <c r="M2599" s="12" t="s">
        <v>12630</v>
      </c>
      <c r="N2599" s="12">
        <v>3299</v>
      </c>
      <c r="O2599" s="12">
        <v>4329</v>
      </c>
      <c r="P2599" s="12">
        <v>0</v>
      </c>
      <c r="Q2599" s="12" t="s">
        <v>12631</v>
      </c>
      <c r="R2599" s="15" t="s">
        <v>12632</v>
      </c>
      <c r="S2599" s="12">
        <v>24</v>
      </c>
      <c r="T2599" s="12" t="s">
        <v>39</v>
      </c>
      <c r="U2599" s="12" t="s">
        <v>40</v>
      </c>
      <c r="V2599" s="12" t="s">
        <v>586</v>
      </c>
      <c r="W2599" s="12">
        <v>15500000</v>
      </c>
      <c r="X2599" s="12">
        <v>2005</v>
      </c>
      <c r="Y2599" s="12">
        <v>1000</v>
      </c>
      <c r="Z2599" s="12">
        <v>5.9</v>
      </c>
      <c r="AA2599" s="12">
        <v>1.85</v>
      </c>
      <c r="AB2599" s="12">
        <v>191</v>
      </c>
      <c r="AC2599" s="12"/>
      <c r="AD2599" s="12" t="str">
        <f>IFERROR(__xludf.DUMMYFUNCTION("""COMPUTED_VALUE"""),"Gilles Lellouche")</f>
        <v>Gilles Lellouche</v>
      </c>
      <c r="AE2599" s="12"/>
    </row>
    <row r="2600" customHeight="1" spans="1:31">
      <c r="A2600" s="11" t="s">
        <v>30</v>
      </c>
      <c r="B2600" s="11" t="s">
        <v>12633</v>
      </c>
      <c r="C2600" s="11">
        <v>40</v>
      </c>
      <c r="D2600" s="11">
        <v>94</v>
      </c>
      <c r="E2600" s="11">
        <v>7</v>
      </c>
      <c r="F2600" s="11">
        <v>17</v>
      </c>
      <c r="G2600" s="11">
        <v>235</v>
      </c>
      <c r="H2600" s="11">
        <v>81525</v>
      </c>
      <c r="I2600" s="11" t="s">
        <v>3554</v>
      </c>
      <c r="J2600" s="11" t="s">
        <v>12634</v>
      </c>
      <c r="K2600" s="11" t="s">
        <v>12635</v>
      </c>
      <c r="L2600" s="11" t="s">
        <v>12636</v>
      </c>
      <c r="M2600" s="11" t="s">
        <v>12637</v>
      </c>
      <c r="N2600" s="11">
        <v>29392</v>
      </c>
      <c r="O2600" s="11">
        <v>303</v>
      </c>
      <c r="P2600" s="11">
        <v>1</v>
      </c>
      <c r="Q2600" s="11" t="s">
        <v>12638</v>
      </c>
      <c r="R2600" s="14" t="s">
        <v>12639</v>
      </c>
      <c r="S2600" s="11">
        <v>91</v>
      </c>
      <c r="T2600" s="11" t="s">
        <v>1465</v>
      </c>
      <c r="U2600" s="11" t="s">
        <v>1466</v>
      </c>
      <c r="V2600" s="11" t="s">
        <v>586</v>
      </c>
      <c r="W2600" s="11">
        <v>15300000</v>
      </c>
      <c r="X2600" s="11">
        <v>2001</v>
      </c>
      <c r="Y2600" s="11">
        <v>46</v>
      </c>
      <c r="Z2600" s="11">
        <v>6.6</v>
      </c>
      <c r="AA2600" s="11">
        <v>2.35</v>
      </c>
      <c r="AB2600" s="11">
        <v>0</v>
      </c>
      <c r="AC2600" s="11"/>
      <c r="AD2600" s="11" t="str">
        <f>IFERROR(__xludf.DUMMYFUNCTION("""COMPUTED_VALUE"""),"Scout Taylor-Compton")</f>
        <v>Scout Taylor-Compton</v>
      </c>
      <c r="AE2600" s="11"/>
    </row>
    <row r="2601" customHeight="1" spans="1:31">
      <c r="A2601" s="12" t="s">
        <v>30</v>
      </c>
      <c r="B2601" s="12" t="s">
        <v>654</v>
      </c>
      <c r="C2601" s="12">
        <v>251</v>
      </c>
      <c r="D2601" s="12">
        <v>95</v>
      </c>
      <c r="E2601" s="12">
        <v>571</v>
      </c>
      <c r="F2601" s="12">
        <v>102</v>
      </c>
      <c r="G2601" s="12">
        <v>499</v>
      </c>
      <c r="H2601" s="12">
        <v>7774730</v>
      </c>
      <c r="I2601" s="12" t="s">
        <v>12640</v>
      </c>
      <c r="J2601" s="12" t="s">
        <v>12641</v>
      </c>
      <c r="K2601" s="12" t="s">
        <v>3486</v>
      </c>
      <c r="L2601" s="12" t="s">
        <v>4411</v>
      </c>
      <c r="M2601" s="12" t="s">
        <v>12642</v>
      </c>
      <c r="N2601" s="12">
        <v>61912</v>
      </c>
      <c r="O2601" s="12">
        <v>1120</v>
      </c>
      <c r="P2601" s="12">
        <v>0</v>
      </c>
      <c r="Q2601" s="12" t="s">
        <v>12643</v>
      </c>
      <c r="R2601" s="15" t="s">
        <v>12644</v>
      </c>
      <c r="S2601" s="12">
        <v>352</v>
      </c>
      <c r="T2601" s="12" t="s">
        <v>39</v>
      </c>
      <c r="U2601" s="12" t="s">
        <v>269</v>
      </c>
      <c r="V2601" s="12" t="s">
        <v>586</v>
      </c>
      <c r="W2601" s="12">
        <v>15500000</v>
      </c>
      <c r="X2601" s="12">
        <v>2006</v>
      </c>
      <c r="Y2601" s="12">
        <v>298</v>
      </c>
      <c r="Z2601" s="12">
        <v>6.5</v>
      </c>
      <c r="AA2601" s="12">
        <v>1.85</v>
      </c>
      <c r="AB2601" s="12">
        <v>0</v>
      </c>
      <c r="AC2601" s="12"/>
      <c r="AD2601" s="12" t="str">
        <f>IFERROR(__xludf.DUMMYFUNCTION("""COMPUTED_VALUE"""),"Gil Birmingham")</f>
        <v>Gil Birmingham</v>
      </c>
      <c r="AE2601" s="12"/>
    </row>
    <row r="2602" customHeight="1" spans="1:31">
      <c r="A2602" s="11" t="s">
        <v>30</v>
      </c>
      <c r="B2602" s="11" t="s">
        <v>2430</v>
      </c>
      <c r="C2602" s="11">
        <v>94</v>
      </c>
      <c r="D2602" s="11">
        <v>105</v>
      </c>
      <c r="E2602" s="11">
        <v>102</v>
      </c>
      <c r="F2602" s="11">
        <v>383</v>
      </c>
      <c r="G2602" s="11">
        <v>901</v>
      </c>
      <c r="H2602" s="11">
        <v>234760500</v>
      </c>
      <c r="I2602" s="11" t="s">
        <v>1753</v>
      </c>
      <c r="J2602" s="11" t="s">
        <v>3659</v>
      </c>
      <c r="K2602" s="11" t="s">
        <v>1306</v>
      </c>
      <c r="L2602" s="11" t="s">
        <v>11247</v>
      </c>
      <c r="M2602" s="11" t="s">
        <v>12645</v>
      </c>
      <c r="N2602" s="11">
        <v>126464</v>
      </c>
      <c r="O2602" s="11">
        <v>3464</v>
      </c>
      <c r="P2602" s="11">
        <v>1</v>
      </c>
      <c r="Q2602" s="11" t="s">
        <v>12646</v>
      </c>
      <c r="R2602" s="14" t="s">
        <v>12647</v>
      </c>
      <c r="S2602" s="11">
        <v>175</v>
      </c>
      <c r="T2602" s="11" t="s">
        <v>39</v>
      </c>
      <c r="U2602" s="11" t="s">
        <v>40</v>
      </c>
      <c r="V2602" s="11" t="s">
        <v>586</v>
      </c>
      <c r="W2602" s="11">
        <v>14000000</v>
      </c>
      <c r="X2602" s="11">
        <v>1984</v>
      </c>
      <c r="Y2602" s="11">
        <v>605</v>
      </c>
      <c r="Z2602" s="11">
        <v>7.3</v>
      </c>
      <c r="AA2602" s="11">
        <v>1.85</v>
      </c>
      <c r="AB2602" s="11">
        <v>0</v>
      </c>
      <c r="AC2602" s="11"/>
      <c r="AD2602" s="11" t="str">
        <f>IFERROR(__xludf.DUMMYFUNCTION("""COMPUTED_VALUE"""),"Yolande Moreau")</f>
        <v>Yolande Moreau</v>
      </c>
      <c r="AE2602" s="11"/>
    </row>
    <row r="2603" customHeight="1" spans="1:31">
      <c r="A2603" s="12" t="s">
        <v>30</v>
      </c>
      <c r="B2603" s="12" t="s">
        <v>1253</v>
      </c>
      <c r="C2603" s="12">
        <v>102</v>
      </c>
      <c r="D2603" s="12">
        <v>103</v>
      </c>
      <c r="E2603" s="12">
        <v>0</v>
      </c>
      <c r="F2603" s="12">
        <v>925</v>
      </c>
      <c r="G2603" s="12">
        <v>3000</v>
      </c>
      <c r="H2603" s="12">
        <v>285761243</v>
      </c>
      <c r="I2603" s="12" t="s">
        <v>3057</v>
      </c>
      <c r="J2603" s="12" t="s">
        <v>6537</v>
      </c>
      <c r="K2603" s="12" t="s">
        <v>2814</v>
      </c>
      <c r="L2603" s="12" t="s">
        <v>1802</v>
      </c>
      <c r="M2603" s="12" t="s">
        <v>12648</v>
      </c>
      <c r="N2603" s="12">
        <v>311075</v>
      </c>
      <c r="O2603" s="12">
        <v>7521</v>
      </c>
      <c r="P2603" s="12">
        <v>5</v>
      </c>
      <c r="Q2603" s="12" t="s">
        <v>12649</v>
      </c>
      <c r="R2603" s="15" t="s">
        <v>12650</v>
      </c>
      <c r="S2603" s="12">
        <v>305</v>
      </c>
      <c r="T2603" s="12" t="s">
        <v>39</v>
      </c>
      <c r="U2603" s="12" t="s">
        <v>40</v>
      </c>
      <c r="V2603" s="12" t="s">
        <v>96</v>
      </c>
      <c r="W2603" s="12">
        <v>18000000</v>
      </c>
      <c r="X2603" s="12">
        <v>1990</v>
      </c>
      <c r="Y2603" s="12">
        <v>1000</v>
      </c>
      <c r="Z2603" s="12">
        <v>7.5</v>
      </c>
      <c r="AA2603" s="12">
        <v>1.85</v>
      </c>
      <c r="AB2603" s="12">
        <v>20000</v>
      </c>
      <c r="AC2603" s="12"/>
      <c r="AD2603" s="12" t="str">
        <f>IFERROR(__xludf.DUMMYFUNCTION("""COMPUTED_VALUE"""),"André Wilms")</f>
        <v>André Wilms</v>
      </c>
      <c r="AE2603" s="12"/>
    </row>
    <row r="2604" customHeight="1" spans="1:31">
      <c r="A2604" s="11" t="s">
        <v>30</v>
      </c>
      <c r="B2604" s="11" t="s">
        <v>1029</v>
      </c>
      <c r="C2604" s="11">
        <v>21</v>
      </c>
      <c r="D2604" s="11">
        <v>102</v>
      </c>
      <c r="E2604" s="11">
        <v>12000</v>
      </c>
      <c r="F2604" s="11">
        <v>801</v>
      </c>
      <c r="G2604" s="11">
        <v>19000</v>
      </c>
      <c r="H2604" s="11">
        <v>167780960</v>
      </c>
      <c r="I2604" s="11" t="s">
        <v>3932</v>
      </c>
      <c r="J2604" s="11" t="s">
        <v>3105</v>
      </c>
      <c r="K2604" s="11" t="s">
        <v>2497</v>
      </c>
      <c r="L2604" s="11" t="s">
        <v>11091</v>
      </c>
      <c r="M2604" s="11" t="s">
        <v>12651</v>
      </c>
      <c r="N2604" s="11">
        <v>36918</v>
      </c>
      <c r="O2604" s="11">
        <v>21499</v>
      </c>
      <c r="P2604" s="11">
        <v>4</v>
      </c>
      <c r="Q2604" s="11" t="s">
        <v>12652</v>
      </c>
      <c r="R2604" s="14" t="s">
        <v>12653</v>
      </c>
      <c r="S2604" s="11">
        <v>42</v>
      </c>
      <c r="T2604" s="11" t="s">
        <v>39</v>
      </c>
      <c r="U2604" s="11" t="s">
        <v>40</v>
      </c>
      <c r="V2604" s="11" t="s">
        <v>96</v>
      </c>
      <c r="W2604" s="11">
        <v>11000000</v>
      </c>
      <c r="X2604" s="11">
        <v>1987</v>
      </c>
      <c r="Y2604" s="11">
        <v>875</v>
      </c>
      <c r="Z2604" s="11">
        <v>5.9</v>
      </c>
      <c r="AA2604" s="11">
        <v>1.85</v>
      </c>
      <c r="AB2604" s="11">
        <v>3000</v>
      </c>
      <c r="AC2604" s="11"/>
      <c r="AD2604" s="11" t="str">
        <f>IFERROR(__xludf.DUMMYFUNCTION("""COMPUTED_VALUE"""),"Jérôme Deschamps")</f>
        <v>Jérôme Deschamps</v>
      </c>
      <c r="AE2604" s="11"/>
    </row>
    <row r="2605" customHeight="1" spans="1:31">
      <c r="A2605" s="12" t="s">
        <v>30</v>
      </c>
      <c r="B2605" s="12" t="s">
        <v>2214</v>
      </c>
      <c r="C2605" s="12">
        <v>94</v>
      </c>
      <c r="D2605" s="12">
        <v>116</v>
      </c>
      <c r="E2605" s="12">
        <v>521</v>
      </c>
      <c r="F2605" s="12">
        <v>481</v>
      </c>
      <c r="G2605" s="12">
        <v>13000</v>
      </c>
      <c r="H2605" s="12">
        <v>177200000</v>
      </c>
      <c r="I2605" s="12" t="s">
        <v>1415</v>
      </c>
      <c r="J2605" s="12" t="s">
        <v>549</v>
      </c>
      <c r="K2605" s="12" t="s">
        <v>2214</v>
      </c>
      <c r="L2605" s="12" t="s">
        <v>10642</v>
      </c>
      <c r="M2605" s="12" t="s">
        <v>12654</v>
      </c>
      <c r="N2605" s="12">
        <v>77366</v>
      </c>
      <c r="O2605" s="12">
        <v>14701</v>
      </c>
      <c r="P2605" s="12">
        <v>1</v>
      </c>
      <c r="Q2605" s="12" t="s">
        <v>12655</v>
      </c>
      <c r="R2605" s="15" t="s">
        <v>12656</v>
      </c>
      <c r="S2605" s="12">
        <v>194</v>
      </c>
      <c r="T2605" s="12" t="s">
        <v>39</v>
      </c>
      <c r="U2605" s="12" t="s">
        <v>40</v>
      </c>
      <c r="V2605" s="12" t="s">
        <v>96</v>
      </c>
      <c r="W2605" s="12">
        <v>22000000</v>
      </c>
      <c r="X2605" s="12">
        <v>1982</v>
      </c>
      <c r="Y2605" s="12">
        <v>521</v>
      </c>
      <c r="Z2605" s="12">
        <v>7.4</v>
      </c>
      <c r="AA2605" s="12">
        <v>2.35</v>
      </c>
      <c r="AB2605" s="12">
        <v>0</v>
      </c>
      <c r="AC2605" s="12"/>
      <c r="AD2605" s="12" t="str">
        <f>IFERROR(__xludf.DUMMYFUNCTION("""COMPUTED_VALUE"""),"Evgeniy Mironov")</f>
        <v>Evgeniy Mironov</v>
      </c>
      <c r="AE2605" s="12"/>
    </row>
    <row r="2606" customHeight="1" spans="1:31">
      <c r="A2606" s="11" t="s">
        <v>30</v>
      </c>
      <c r="B2606" s="11" t="s">
        <v>1740</v>
      </c>
      <c r="C2606" s="11">
        <v>173</v>
      </c>
      <c r="D2606" s="11">
        <v>110</v>
      </c>
      <c r="E2606" s="11">
        <v>12000</v>
      </c>
      <c r="F2606" s="11">
        <v>555</v>
      </c>
      <c r="G2606" s="11">
        <v>10000</v>
      </c>
      <c r="H2606" s="11">
        <v>176781728</v>
      </c>
      <c r="I2606" s="11" t="s">
        <v>1693</v>
      </c>
      <c r="J2606" s="11" t="s">
        <v>523</v>
      </c>
      <c r="K2606" s="11" t="s">
        <v>2203</v>
      </c>
      <c r="L2606" s="11" t="s">
        <v>12657</v>
      </c>
      <c r="M2606" s="11" t="s">
        <v>12658</v>
      </c>
      <c r="N2606" s="11">
        <v>219171</v>
      </c>
      <c r="O2606" s="11">
        <v>13069</v>
      </c>
      <c r="P2606" s="11">
        <v>2</v>
      </c>
      <c r="Q2606" s="11" t="s">
        <v>12659</v>
      </c>
      <c r="R2606" s="14" t="s">
        <v>12660</v>
      </c>
      <c r="S2606" s="11">
        <v>388</v>
      </c>
      <c r="T2606" s="11" t="s">
        <v>39</v>
      </c>
      <c r="U2606" s="11" t="s">
        <v>40</v>
      </c>
      <c r="V2606" s="11" t="s">
        <v>96</v>
      </c>
      <c r="W2606" s="11">
        <v>15000000</v>
      </c>
      <c r="X2606" s="11">
        <v>1986</v>
      </c>
      <c r="Y2606" s="11">
        <v>1000</v>
      </c>
      <c r="Z2606" s="11">
        <v>6.9</v>
      </c>
      <c r="AA2606" s="11">
        <v>1.33</v>
      </c>
      <c r="AB2606" s="11">
        <v>19000</v>
      </c>
      <c r="AC2606" s="11"/>
      <c r="AD2606" s="11" t="str">
        <f>IFERROR(__xludf.DUMMYFUNCTION("""COMPUTED_VALUE"""),"Aleksandr Bashirov")</f>
        <v>Aleksandr Bashirov</v>
      </c>
      <c r="AE2606" s="11"/>
    </row>
    <row r="2607" customHeight="1" spans="1:31">
      <c r="A2607" s="12" t="s">
        <v>30</v>
      </c>
      <c r="B2607" s="12" t="s">
        <v>1065</v>
      </c>
      <c r="C2607" s="12">
        <v>287</v>
      </c>
      <c r="D2607" s="12">
        <v>120</v>
      </c>
      <c r="E2607" s="12">
        <v>0</v>
      </c>
      <c r="F2607" s="12">
        <v>5</v>
      </c>
      <c r="G2607" s="12">
        <v>103</v>
      </c>
      <c r="H2607" s="12">
        <v>128067808</v>
      </c>
      <c r="I2607" s="12" t="s">
        <v>1693</v>
      </c>
      <c r="J2607" s="12" t="s">
        <v>12661</v>
      </c>
      <c r="K2607" s="12" t="s">
        <v>12662</v>
      </c>
      <c r="L2607" s="12" t="s">
        <v>12663</v>
      </c>
      <c r="M2607" s="12" t="s">
        <v>12664</v>
      </c>
      <c r="N2607" s="12">
        <v>217740</v>
      </c>
      <c r="O2607" s="12">
        <v>129</v>
      </c>
      <c r="P2607" s="12">
        <v>3</v>
      </c>
      <c r="Q2607" s="12" t="s">
        <v>12665</v>
      </c>
      <c r="R2607" s="15" t="s">
        <v>12666</v>
      </c>
      <c r="S2607" s="12">
        <v>1641</v>
      </c>
      <c r="T2607" s="12" t="s">
        <v>1947</v>
      </c>
      <c r="U2607" s="12" t="s">
        <v>12667</v>
      </c>
      <c r="V2607" s="12" t="s">
        <v>41</v>
      </c>
      <c r="W2607" s="12">
        <v>15000000</v>
      </c>
      <c r="X2607" s="12">
        <v>2000</v>
      </c>
      <c r="Y2607" s="12">
        <v>21</v>
      </c>
      <c r="Z2607" s="12">
        <v>7.9</v>
      </c>
      <c r="AA2607" s="12">
        <v>2.35</v>
      </c>
      <c r="AB2607" s="12">
        <v>0</v>
      </c>
      <c r="AC2607" s="12"/>
      <c r="AD2607" s="12" t="str">
        <f>IFERROR(__xludf.DUMMYFUNCTION("""COMPUTED_VALUE"""),"Dan O'Herlihy")</f>
        <v>Dan O'Herlihy</v>
      </c>
      <c r="AE2607" s="12"/>
    </row>
    <row r="2608" customHeight="1" spans="1:31">
      <c r="A2608" s="11" t="s">
        <v>30</v>
      </c>
      <c r="B2608" s="11" t="s">
        <v>50</v>
      </c>
      <c r="C2608" s="11">
        <v>176</v>
      </c>
      <c r="D2608" s="11">
        <v>122</v>
      </c>
      <c r="E2608" s="11">
        <v>0</v>
      </c>
      <c r="F2608" s="11">
        <v>158</v>
      </c>
      <c r="G2608" s="11">
        <v>18000</v>
      </c>
      <c r="H2608" s="11">
        <v>130058047</v>
      </c>
      <c r="I2608" s="11" t="s">
        <v>3410</v>
      </c>
      <c r="J2608" s="11" t="s">
        <v>120</v>
      </c>
      <c r="K2608" s="11" t="s">
        <v>4812</v>
      </c>
      <c r="L2608" s="11" t="s">
        <v>12668</v>
      </c>
      <c r="M2608" s="11" t="s">
        <v>12669</v>
      </c>
      <c r="N2608" s="11">
        <v>822500</v>
      </c>
      <c r="O2608" s="11">
        <v>19078</v>
      </c>
      <c r="P2608" s="11">
        <v>0</v>
      </c>
      <c r="Q2608" s="11" t="s">
        <v>12670</v>
      </c>
      <c r="R2608" s="14" t="s">
        <v>12671</v>
      </c>
      <c r="S2608" s="11">
        <v>2715</v>
      </c>
      <c r="T2608" s="11" t="s">
        <v>39</v>
      </c>
      <c r="U2608" s="11" t="s">
        <v>40</v>
      </c>
      <c r="V2608" s="11" t="s">
        <v>586</v>
      </c>
      <c r="W2608" s="11">
        <v>15000000</v>
      </c>
      <c r="X2608" s="11">
        <v>1999</v>
      </c>
      <c r="Y2608" s="11">
        <v>828</v>
      </c>
      <c r="Z2608" s="11">
        <v>8.4</v>
      </c>
      <c r="AA2608" s="11">
        <v>2.35</v>
      </c>
      <c r="AB2608" s="11">
        <v>22000</v>
      </c>
      <c r="AC2608" s="11"/>
      <c r="AD2608" s="11" t="str">
        <f>IFERROR(__xludf.DUMMYFUNCTION("""COMPUTED_VALUE"""),"Jack Hawkins")</f>
        <v>Jack Hawkins</v>
      </c>
      <c r="AE2608" s="11"/>
    </row>
    <row r="2609" customHeight="1" spans="1:31">
      <c r="A2609" s="12" t="s">
        <v>30</v>
      </c>
      <c r="B2609" s="12" t="s">
        <v>3665</v>
      </c>
      <c r="C2609" s="12">
        <v>479</v>
      </c>
      <c r="D2609" s="12">
        <v>118</v>
      </c>
      <c r="E2609" s="12">
        <v>0</v>
      </c>
      <c r="F2609" s="12">
        <v>520</v>
      </c>
      <c r="G2609" s="12">
        <v>14000</v>
      </c>
      <c r="H2609" s="12">
        <v>138795342</v>
      </c>
      <c r="I2609" s="12" t="s">
        <v>6113</v>
      </c>
      <c r="J2609" s="12" t="s">
        <v>439</v>
      </c>
      <c r="K2609" s="12" t="s">
        <v>1403</v>
      </c>
      <c r="L2609" s="12" t="s">
        <v>1997</v>
      </c>
      <c r="M2609" s="12" t="s">
        <v>12672</v>
      </c>
      <c r="N2609" s="12">
        <v>503631</v>
      </c>
      <c r="O2609" s="12">
        <v>15732</v>
      </c>
      <c r="P2609" s="12">
        <v>0</v>
      </c>
      <c r="Q2609" s="12" t="s">
        <v>12673</v>
      </c>
      <c r="R2609" s="15" t="s">
        <v>12674</v>
      </c>
      <c r="S2609" s="12">
        <v>636</v>
      </c>
      <c r="T2609" s="12" t="s">
        <v>39</v>
      </c>
      <c r="U2609" s="12" t="s">
        <v>58</v>
      </c>
      <c r="V2609" s="12" t="s">
        <v>586</v>
      </c>
      <c r="W2609" s="12">
        <v>15000000</v>
      </c>
      <c r="X2609" s="12">
        <v>2010</v>
      </c>
      <c r="Y2609" s="12">
        <v>1000</v>
      </c>
      <c r="Z2609" s="12">
        <v>8</v>
      </c>
      <c r="AA2609" s="12">
        <v>1.85</v>
      </c>
      <c r="AB2609" s="12">
        <v>64000</v>
      </c>
      <c r="AC2609" s="12"/>
      <c r="AD2609" s="12" t="str">
        <f>IFERROR(__xludf.DUMMYFUNCTION("""COMPUTED_VALUE"""),"Siu-Wong Fan")</f>
        <v>Siu-Wong Fan</v>
      </c>
      <c r="AE2609" s="12"/>
    </row>
    <row r="2610" customHeight="1" spans="1:31">
      <c r="A2610" s="11" t="s">
        <v>30</v>
      </c>
      <c r="B2610" s="11" t="s">
        <v>2699</v>
      </c>
      <c r="C2610" s="11">
        <v>27</v>
      </c>
      <c r="D2610" s="11">
        <v>107</v>
      </c>
      <c r="E2610" s="11">
        <v>425</v>
      </c>
      <c r="F2610" s="11">
        <v>247</v>
      </c>
      <c r="G2610" s="11">
        <v>742</v>
      </c>
      <c r="H2610" s="11">
        <v>111936400</v>
      </c>
      <c r="I2610" s="11" t="s">
        <v>1009</v>
      </c>
      <c r="J2610" s="11" t="s">
        <v>1640</v>
      </c>
      <c r="K2610" s="11" t="s">
        <v>10772</v>
      </c>
      <c r="L2610" s="11" t="s">
        <v>12675</v>
      </c>
      <c r="M2610" s="11" t="s">
        <v>12676</v>
      </c>
      <c r="N2610" s="11">
        <v>87538</v>
      </c>
      <c r="O2610" s="11">
        <v>2151</v>
      </c>
      <c r="P2610" s="11">
        <v>1</v>
      </c>
      <c r="Q2610" s="11" t="s">
        <v>12677</v>
      </c>
      <c r="R2610" s="14" t="s">
        <v>12678</v>
      </c>
      <c r="S2610" s="11">
        <v>79</v>
      </c>
      <c r="T2610" s="11" t="s">
        <v>39</v>
      </c>
      <c r="U2610" s="11" t="s">
        <v>40</v>
      </c>
      <c r="V2610" s="11" t="s">
        <v>96</v>
      </c>
      <c r="W2610" s="11">
        <v>15000000</v>
      </c>
      <c r="X2610" s="11">
        <v>1988</v>
      </c>
      <c r="Y2610" s="11">
        <v>384</v>
      </c>
      <c r="Z2610" s="11">
        <v>6</v>
      </c>
      <c r="AA2610" s="11">
        <v>1.85</v>
      </c>
      <c r="AB2610" s="11">
        <v>0</v>
      </c>
      <c r="AC2610" s="11"/>
      <c r="AD2610" s="11" t="str">
        <f>IFERROR(__xludf.DUMMYFUNCTION("""COMPUTED_VALUE"""),"Wai-Keung Lau")</f>
        <v>Wai-Keung Lau</v>
      </c>
      <c r="AE2610" s="11"/>
    </row>
    <row r="2611" customHeight="1" spans="1:31">
      <c r="A2611" s="12" t="s">
        <v>30</v>
      </c>
      <c r="B2611" s="16"/>
      <c r="C2611" s="12">
        <v>20</v>
      </c>
      <c r="D2611" s="12">
        <v>45</v>
      </c>
      <c r="E2611" s="16"/>
      <c r="F2611" s="12">
        <v>260</v>
      </c>
      <c r="G2611" s="12">
        <v>460</v>
      </c>
      <c r="H2611" s="16"/>
      <c r="I2611" s="12" t="s">
        <v>2348</v>
      </c>
      <c r="J2611" s="12" t="s">
        <v>12679</v>
      </c>
      <c r="K2611" s="12" t="s">
        <v>12680</v>
      </c>
      <c r="L2611" s="12" t="s">
        <v>12681</v>
      </c>
      <c r="M2611" s="12" t="s">
        <v>12682</v>
      </c>
      <c r="N2611" s="12">
        <v>18058</v>
      </c>
      <c r="O2611" s="12">
        <v>2380</v>
      </c>
      <c r="P2611" s="12">
        <v>0</v>
      </c>
      <c r="Q2611" s="12" t="s">
        <v>12683</v>
      </c>
      <c r="R2611" s="15" t="s">
        <v>12684</v>
      </c>
      <c r="S2611" s="12">
        <v>68</v>
      </c>
      <c r="T2611" s="12" t="s">
        <v>39</v>
      </c>
      <c r="U2611" s="12" t="s">
        <v>40</v>
      </c>
      <c r="V2611" s="12" t="s">
        <v>1127</v>
      </c>
      <c r="W2611" s="16"/>
      <c r="X2611" s="16"/>
      <c r="Y2611" s="12">
        <v>292</v>
      </c>
      <c r="Z2611" s="12">
        <v>7.3</v>
      </c>
      <c r="AA2611" s="12">
        <v>16</v>
      </c>
      <c r="AB2611" s="12">
        <v>0</v>
      </c>
      <c r="AC2611" s="12"/>
      <c r="AD2611" s="12" t="str">
        <f>IFERROR(__xludf.DUMMYFUNCTION("""COMPUTED_VALUE"""),"Kevin Williamson")</f>
        <v>Kevin Williamson</v>
      </c>
      <c r="AE2611" s="12"/>
    </row>
    <row r="2612" customHeight="1" spans="1:31">
      <c r="A2612" s="11" t="s">
        <v>30</v>
      </c>
      <c r="B2612" s="11" t="s">
        <v>12685</v>
      </c>
      <c r="C2612" s="11">
        <v>60</v>
      </c>
      <c r="D2612" s="11">
        <v>102</v>
      </c>
      <c r="E2612" s="11">
        <v>4</v>
      </c>
      <c r="F2612" s="11">
        <v>882</v>
      </c>
      <c r="G2612" s="11">
        <v>17000</v>
      </c>
      <c r="H2612" s="11">
        <v>317040</v>
      </c>
      <c r="I2612" s="11" t="s">
        <v>214</v>
      </c>
      <c r="J2612" s="11" t="s">
        <v>559</v>
      </c>
      <c r="K2612" s="11" t="s">
        <v>446</v>
      </c>
      <c r="L2612" s="11" t="s">
        <v>191</v>
      </c>
      <c r="M2612" s="11" t="s">
        <v>12686</v>
      </c>
      <c r="N2612" s="11">
        <v>6723</v>
      </c>
      <c r="O2612" s="11">
        <v>30978</v>
      </c>
      <c r="P2612" s="11">
        <v>1</v>
      </c>
      <c r="Q2612" s="11" t="s">
        <v>12687</v>
      </c>
      <c r="R2612" s="14" t="s">
        <v>12688</v>
      </c>
      <c r="S2612" s="11">
        <v>36</v>
      </c>
      <c r="T2612" s="11" t="s">
        <v>39</v>
      </c>
      <c r="U2612" s="11" t="s">
        <v>40</v>
      </c>
      <c r="V2612" s="11" t="s">
        <v>41</v>
      </c>
      <c r="W2612" s="11">
        <v>15500000</v>
      </c>
      <c r="X2612" s="11">
        <v>2008</v>
      </c>
      <c r="Y2612" s="11">
        <v>13000</v>
      </c>
      <c r="Z2612" s="11">
        <v>6.8</v>
      </c>
      <c r="AA2612" s="11">
        <v>2.35</v>
      </c>
      <c r="AB2612" s="11">
        <v>1000</v>
      </c>
      <c r="AC2612" s="11"/>
      <c r="AD2612" s="11" t="str">
        <f>IFERROR(__xludf.DUMMYFUNCTION("""COMPUTED_VALUE"""),"Lori Singer")</f>
        <v>Lori Singer</v>
      </c>
      <c r="AE2612" s="11"/>
    </row>
    <row r="2613" customHeight="1" spans="1:31">
      <c r="A2613" s="12" t="s">
        <v>30</v>
      </c>
      <c r="B2613" s="12" t="s">
        <v>390</v>
      </c>
      <c r="C2613" s="12">
        <v>70</v>
      </c>
      <c r="D2613" s="12">
        <v>154</v>
      </c>
      <c r="E2613" s="12">
        <v>14000</v>
      </c>
      <c r="F2613" s="12">
        <v>271</v>
      </c>
      <c r="G2613" s="12">
        <v>852</v>
      </c>
      <c r="H2613" s="12">
        <v>94175854</v>
      </c>
      <c r="I2613" s="12" t="s">
        <v>3410</v>
      </c>
      <c r="J2613" s="12" t="s">
        <v>903</v>
      </c>
      <c r="K2613" s="12" t="s">
        <v>12689</v>
      </c>
      <c r="L2613" s="12" t="s">
        <v>424</v>
      </c>
      <c r="M2613" s="12" t="s">
        <v>12690</v>
      </c>
      <c r="N2613" s="12">
        <v>60988</v>
      </c>
      <c r="O2613" s="12">
        <v>2592</v>
      </c>
      <c r="P2613" s="12">
        <v>0</v>
      </c>
      <c r="Q2613" s="12" t="s">
        <v>12691</v>
      </c>
      <c r="R2613" s="15" t="s">
        <v>12692</v>
      </c>
      <c r="S2613" s="12">
        <v>199</v>
      </c>
      <c r="T2613" s="12" t="s">
        <v>39</v>
      </c>
      <c r="U2613" s="12" t="s">
        <v>40</v>
      </c>
      <c r="V2613" s="12" t="s">
        <v>41</v>
      </c>
      <c r="W2613" s="12">
        <v>15000000</v>
      </c>
      <c r="X2613" s="12">
        <v>1985</v>
      </c>
      <c r="Y2613" s="12">
        <v>581</v>
      </c>
      <c r="Z2613" s="12">
        <v>7.8</v>
      </c>
      <c r="AA2613" s="12">
        <v>1.85</v>
      </c>
      <c r="AB2613" s="12">
        <v>6000</v>
      </c>
      <c r="AC2613" s="12"/>
      <c r="AD2613" s="12" t="str">
        <f>IFERROR(__xludf.DUMMYFUNCTION("""COMPUTED_VALUE"""),"Leah Remini")</f>
        <v>Leah Remini</v>
      </c>
      <c r="AE2613" s="12"/>
    </row>
    <row r="2614" customHeight="1" spans="1:31">
      <c r="A2614" s="11" t="s">
        <v>30</v>
      </c>
      <c r="B2614" s="11" t="s">
        <v>12693</v>
      </c>
      <c r="C2614" s="11">
        <v>43</v>
      </c>
      <c r="D2614" s="11">
        <v>103</v>
      </c>
      <c r="E2614" s="11">
        <v>2</v>
      </c>
      <c r="F2614" s="11">
        <v>13</v>
      </c>
      <c r="G2614" s="11">
        <v>94</v>
      </c>
      <c r="H2614" s="13"/>
      <c r="I2614" s="11" t="s">
        <v>12694</v>
      </c>
      <c r="J2614" s="11" t="s">
        <v>12695</v>
      </c>
      <c r="K2614" s="11" t="s">
        <v>12696</v>
      </c>
      <c r="L2614" s="11" t="s">
        <v>12697</v>
      </c>
      <c r="M2614" s="11" t="s">
        <v>12698</v>
      </c>
      <c r="N2614" s="11">
        <v>2659</v>
      </c>
      <c r="O2614" s="11">
        <v>213</v>
      </c>
      <c r="P2614" s="11">
        <v>2</v>
      </c>
      <c r="Q2614" s="11" t="s">
        <v>12699</v>
      </c>
      <c r="R2614" s="14" t="s">
        <v>12700</v>
      </c>
      <c r="S2614" s="11">
        <v>25</v>
      </c>
      <c r="T2614" s="11" t="s">
        <v>12701</v>
      </c>
      <c r="U2614" s="11" t="s">
        <v>5695</v>
      </c>
      <c r="V2614" s="11" t="s">
        <v>586</v>
      </c>
      <c r="W2614" s="13"/>
      <c r="X2614" s="11">
        <v>2009</v>
      </c>
      <c r="Y2614" s="11">
        <v>80</v>
      </c>
      <c r="Z2614" s="11">
        <v>5.7</v>
      </c>
      <c r="AA2614" s="11">
        <v>2.35</v>
      </c>
      <c r="AB2614" s="11">
        <v>558</v>
      </c>
      <c r="AC2614" s="11"/>
      <c r="AD2614" s="11" t="str">
        <f>IFERROR(__xludf.DUMMYFUNCTION("""COMPUTED_VALUE"""),"Harry Shearer")</f>
        <v>Harry Shearer</v>
      </c>
      <c r="AE2614" s="11"/>
    </row>
    <row r="2615" customHeight="1" spans="1:31">
      <c r="A2615" s="12" t="s">
        <v>30</v>
      </c>
      <c r="B2615" s="12" t="s">
        <v>2157</v>
      </c>
      <c r="C2615" s="12">
        <v>1</v>
      </c>
      <c r="D2615" s="12">
        <v>141</v>
      </c>
      <c r="E2615" s="12">
        <v>335</v>
      </c>
      <c r="F2615" s="12">
        <v>635</v>
      </c>
      <c r="G2615" s="12">
        <v>11000</v>
      </c>
      <c r="H2615" s="16"/>
      <c r="I2615" s="12" t="s">
        <v>2158</v>
      </c>
      <c r="J2615" s="12" t="s">
        <v>466</v>
      </c>
      <c r="K2615" s="12" t="s">
        <v>853</v>
      </c>
      <c r="L2615" s="12" t="s">
        <v>1613</v>
      </c>
      <c r="M2615" s="12" t="s">
        <v>2159</v>
      </c>
      <c r="N2615" s="12">
        <v>62</v>
      </c>
      <c r="O2615" s="12">
        <v>13390</v>
      </c>
      <c r="P2615" s="12">
        <v>2</v>
      </c>
      <c r="Q2615" s="12" t="s">
        <v>12702</v>
      </c>
      <c r="R2615" s="15" t="s">
        <v>2160</v>
      </c>
      <c r="S2615" s="12">
        <v>1</v>
      </c>
      <c r="T2615" s="12" t="s">
        <v>39</v>
      </c>
      <c r="U2615" s="12" t="s">
        <v>40</v>
      </c>
      <c r="V2615" s="12" t="s">
        <v>41</v>
      </c>
      <c r="W2615" s="12">
        <v>100000000</v>
      </c>
      <c r="X2615" s="12">
        <v>2016</v>
      </c>
      <c r="Y2615" s="12">
        <v>744</v>
      </c>
      <c r="Z2615" s="12">
        <v>6.1</v>
      </c>
      <c r="AA2615" s="12">
        <v>2.35</v>
      </c>
      <c r="AB2615" s="12">
        <v>0</v>
      </c>
      <c r="AC2615" s="12"/>
      <c r="AD2615" s="12" t="str">
        <f>IFERROR(__xludf.DUMMYFUNCTION("""COMPUTED_VALUE"""),"Jeff Anderson")</f>
        <v>Jeff Anderson</v>
      </c>
      <c r="AE2615" s="12"/>
    </row>
    <row r="2616" customHeight="1" spans="1:31">
      <c r="A2616" s="11" t="s">
        <v>30</v>
      </c>
      <c r="B2616" s="11" t="s">
        <v>12703</v>
      </c>
      <c r="C2616" s="11">
        <v>454</v>
      </c>
      <c r="D2616" s="11">
        <v>114</v>
      </c>
      <c r="E2616" s="11">
        <v>77</v>
      </c>
      <c r="F2616" s="11">
        <v>305</v>
      </c>
      <c r="G2616" s="11">
        <v>19000</v>
      </c>
      <c r="H2616" s="11">
        <v>91121452</v>
      </c>
      <c r="I2616" s="11" t="s">
        <v>9899</v>
      </c>
      <c r="J2616" s="11" t="s">
        <v>353</v>
      </c>
      <c r="K2616" s="11" t="s">
        <v>53</v>
      </c>
      <c r="L2616" s="11" t="s">
        <v>12704</v>
      </c>
      <c r="M2616" s="11" t="s">
        <v>12705</v>
      </c>
      <c r="N2616" s="11">
        <v>467613</v>
      </c>
      <c r="O2616" s="11">
        <v>20295</v>
      </c>
      <c r="P2616" s="11">
        <v>1</v>
      </c>
      <c r="Q2616" s="11" t="s">
        <v>12706</v>
      </c>
      <c r="R2616" s="14" t="s">
        <v>12707</v>
      </c>
      <c r="S2616" s="11">
        <v>608</v>
      </c>
      <c r="T2616" s="11" t="s">
        <v>39</v>
      </c>
      <c r="U2616" s="11" t="s">
        <v>58</v>
      </c>
      <c r="V2616" s="11" t="s">
        <v>41</v>
      </c>
      <c r="W2616" s="11">
        <v>14000000</v>
      </c>
      <c r="X2616" s="11">
        <v>2014</v>
      </c>
      <c r="Y2616" s="11">
        <v>393</v>
      </c>
      <c r="Z2616" s="11">
        <v>8.1</v>
      </c>
      <c r="AA2616" s="11">
        <v>2.35</v>
      </c>
      <c r="AB2616" s="11">
        <v>165000</v>
      </c>
      <c r="AC2616" s="11"/>
      <c r="AD2616" s="11" t="str">
        <f>IFERROR(__xludf.DUMMYFUNCTION("""COMPUTED_VALUE"""),"Jennifer Schwalbach Smith")</f>
        <v>Jennifer Schwalbach Smith</v>
      </c>
      <c r="AE2616" s="11"/>
    </row>
    <row r="2617" customHeight="1" spans="1:31">
      <c r="A2617" s="12" t="s">
        <v>30</v>
      </c>
      <c r="B2617" s="12" t="s">
        <v>12345</v>
      </c>
      <c r="C2617" s="12">
        <v>25</v>
      </c>
      <c r="D2617" s="12">
        <v>109</v>
      </c>
      <c r="E2617" s="12">
        <v>6</v>
      </c>
      <c r="F2617" s="12">
        <v>271</v>
      </c>
      <c r="G2617" s="12">
        <v>1000</v>
      </c>
      <c r="H2617" s="12">
        <v>69800000</v>
      </c>
      <c r="I2617" s="12" t="s">
        <v>6190</v>
      </c>
      <c r="J2617" s="12" t="s">
        <v>4205</v>
      </c>
      <c r="K2617" s="12" t="s">
        <v>2968</v>
      </c>
      <c r="L2617" s="12" t="s">
        <v>8442</v>
      </c>
      <c r="M2617" s="12" t="s">
        <v>12708</v>
      </c>
      <c r="N2617" s="12">
        <v>18140</v>
      </c>
      <c r="O2617" s="12">
        <v>2419</v>
      </c>
      <c r="P2617" s="12">
        <v>1</v>
      </c>
      <c r="Q2617" s="12" t="s">
        <v>12709</v>
      </c>
      <c r="R2617" s="15" t="s">
        <v>12710</v>
      </c>
      <c r="S2617" s="12">
        <v>60</v>
      </c>
      <c r="T2617" s="12" t="s">
        <v>39</v>
      </c>
      <c r="U2617" s="12" t="s">
        <v>40</v>
      </c>
      <c r="V2617" s="12" t="s">
        <v>586</v>
      </c>
      <c r="W2617" s="12">
        <v>10000000</v>
      </c>
      <c r="X2617" s="12">
        <v>1980</v>
      </c>
      <c r="Y2617" s="12">
        <v>745</v>
      </c>
      <c r="Z2617" s="12">
        <v>6.1</v>
      </c>
      <c r="AA2617" s="12">
        <v>1.85</v>
      </c>
      <c r="AB2617" s="12">
        <v>855</v>
      </c>
      <c r="AC2617" s="12"/>
      <c r="AD2617" s="12" t="str">
        <f>IFERROR(__xludf.DUMMYFUNCTION("""COMPUTED_VALUE"""),"Kathleen Wilhoite")</f>
        <v>Kathleen Wilhoite</v>
      </c>
      <c r="AE2617" s="12"/>
    </row>
    <row r="2618" customHeight="1" spans="1:31">
      <c r="A2618" s="11" t="s">
        <v>30</v>
      </c>
      <c r="B2618" s="11" t="s">
        <v>742</v>
      </c>
      <c r="C2618" s="11">
        <v>46</v>
      </c>
      <c r="D2618" s="11">
        <v>124</v>
      </c>
      <c r="E2618" s="11">
        <v>150</v>
      </c>
      <c r="F2618" s="11">
        <v>572</v>
      </c>
      <c r="G2618" s="11">
        <v>874</v>
      </c>
      <c r="H2618" s="11">
        <v>79900000</v>
      </c>
      <c r="I2618" s="11" t="s">
        <v>6507</v>
      </c>
      <c r="J2618" s="11" t="s">
        <v>5105</v>
      </c>
      <c r="K2618" s="11" t="s">
        <v>7746</v>
      </c>
      <c r="L2618" s="11" t="s">
        <v>12711</v>
      </c>
      <c r="M2618" s="11" t="s">
        <v>12712</v>
      </c>
      <c r="N2618" s="11">
        <v>12974</v>
      </c>
      <c r="O2618" s="11">
        <v>2667</v>
      </c>
      <c r="P2618" s="11">
        <v>0</v>
      </c>
      <c r="Q2618" s="11" t="s">
        <v>12713</v>
      </c>
      <c r="R2618" s="14" t="s">
        <v>12714</v>
      </c>
      <c r="S2618" s="11">
        <v>84</v>
      </c>
      <c r="T2618" s="11" t="s">
        <v>39</v>
      </c>
      <c r="U2618" s="11" t="s">
        <v>40</v>
      </c>
      <c r="V2618" s="11" t="s">
        <v>96</v>
      </c>
      <c r="W2618" s="13"/>
      <c r="X2618" s="11">
        <v>1980</v>
      </c>
      <c r="Y2618" s="11">
        <v>816</v>
      </c>
      <c r="Z2618" s="11">
        <v>7.5</v>
      </c>
      <c r="AA2618" s="11">
        <v>1.85</v>
      </c>
      <c r="AB2618" s="11">
        <v>0</v>
      </c>
      <c r="AC2618" s="11"/>
      <c r="AD2618" s="11" t="str">
        <f>IFERROR(__xludf.DUMMYFUNCTION("""COMPUTED_VALUE"""),"David Arquette")</f>
        <v>David Arquette</v>
      </c>
      <c r="AE2618" s="11"/>
    </row>
    <row r="2619" customHeight="1" spans="1:31">
      <c r="A2619" s="12" t="s">
        <v>30</v>
      </c>
      <c r="B2619" s="12" t="s">
        <v>2223</v>
      </c>
      <c r="C2619" s="12">
        <v>111</v>
      </c>
      <c r="D2619" s="12">
        <v>94</v>
      </c>
      <c r="E2619" s="12">
        <v>87</v>
      </c>
      <c r="F2619" s="12">
        <v>569</v>
      </c>
      <c r="G2619" s="12">
        <v>17000</v>
      </c>
      <c r="H2619" s="12">
        <v>64001297</v>
      </c>
      <c r="I2619" s="12" t="s">
        <v>3057</v>
      </c>
      <c r="J2619" s="12" t="s">
        <v>490</v>
      </c>
      <c r="K2619" s="12" t="s">
        <v>10425</v>
      </c>
      <c r="L2619" s="12" t="s">
        <v>2197</v>
      </c>
      <c r="M2619" s="12" t="s">
        <v>12715</v>
      </c>
      <c r="N2619" s="12">
        <v>32002</v>
      </c>
      <c r="O2619" s="12">
        <v>20154</v>
      </c>
      <c r="P2619" s="12">
        <v>1</v>
      </c>
      <c r="Q2619" s="12" t="s">
        <v>12716</v>
      </c>
      <c r="R2619" s="15" t="s">
        <v>12717</v>
      </c>
      <c r="S2619" s="12">
        <v>103</v>
      </c>
      <c r="T2619" s="12" t="s">
        <v>39</v>
      </c>
      <c r="U2619" s="12" t="s">
        <v>40</v>
      </c>
      <c r="V2619" s="12" t="s">
        <v>96</v>
      </c>
      <c r="W2619" s="12">
        <v>15000000</v>
      </c>
      <c r="X2619" s="12">
        <v>2010</v>
      </c>
      <c r="Y2619" s="12">
        <v>975</v>
      </c>
      <c r="Z2619" s="12">
        <v>6.2</v>
      </c>
      <c r="AA2619" s="12">
        <v>1.85</v>
      </c>
      <c r="AB2619" s="12">
        <v>0</v>
      </c>
      <c r="AC2619" s="12"/>
      <c r="AD2619" s="12" t="str">
        <f>IFERROR(__xludf.DUMMYFUNCTION("""COMPUTED_VALUE"""),"Lena Horne")</f>
        <v>Lena Horne</v>
      </c>
      <c r="AE2619" s="12"/>
    </row>
    <row r="2620" customHeight="1" spans="1:31">
      <c r="A2620" s="11" t="s">
        <v>30</v>
      </c>
      <c r="B2620" s="11" t="s">
        <v>12718</v>
      </c>
      <c r="C2620" s="11">
        <v>393</v>
      </c>
      <c r="D2620" s="11">
        <v>100</v>
      </c>
      <c r="E2620" s="11">
        <v>127</v>
      </c>
      <c r="F2620" s="11">
        <v>250</v>
      </c>
      <c r="G2620" s="11">
        <v>1000</v>
      </c>
      <c r="H2620" s="11">
        <v>71588220</v>
      </c>
      <c r="I2620" s="11" t="s">
        <v>7406</v>
      </c>
      <c r="J2620" s="11" t="s">
        <v>6289</v>
      </c>
      <c r="K2620" s="11" t="s">
        <v>12719</v>
      </c>
      <c r="L2620" s="11" t="s">
        <v>12720</v>
      </c>
      <c r="M2620" s="11" t="s">
        <v>12721</v>
      </c>
      <c r="N2620" s="11">
        <v>134869</v>
      </c>
      <c r="O2620" s="11">
        <v>1949</v>
      </c>
      <c r="P2620" s="11">
        <v>1</v>
      </c>
      <c r="Q2620" s="11" t="s">
        <v>12722</v>
      </c>
      <c r="R2620" s="14" t="s">
        <v>12723</v>
      </c>
      <c r="S2620" s="11">
        <v>304</v>
      </c>
      <c r="T2620" s="11" t="s">
        <v>39</v>
      </c>
      <c r="U2620" s="11" t="s">
        <v>269</v>
      </c>
      <c r="V2620" s="11" t="s">
        <v>41</v>
      </c>
      <c r="W2620" s="11">
        <v>20000000</v>
      </c>
      <c r="X2620" s="11">
        <v>2013</v>
      </c>
      <c r="Y2620" s="11">
        <v>340</v>
      </c>
      <c r="Z2620" s="11">
        <v>6.2</v>
      </c>
      <c r="AA2620" s="11">
        <v>1.85</v>
      </c>
      <c r="AB2620" s="11">
        <v>57000</v>
      </c>
      <c r="AC2620" s="11"/>
      <c r="AD2620" s="11" t="str">
        <f>IFERROR(__xludf.DUMMYFUNCTION("""COMPUTED_VALUE"""),"Diana Ross")</f>
        <v>Diana Ross</v>
      </c>
      <c r="AE2620" s="11"/>
    </row>
    <row r="2621" customHeight="1" spans="1:31">
      <c r="A2621" s="12" t="s">
        <v>30</v>
      </c>
      <c r="B2621" s="12" t="s">
        <v>5368</v>
      </c>
      <c r="C2621" s="12">
        <v>318</v>
      </c>
      <c r="D2621" s="12">
        <v>101</v>
      </c>
      <c r="E2621" s="12">
        <v>0</v>
      </c>
      <c r="F2621" s="12">
        <v>598</v>
      </c>
      <c r="G2621" s="12">
        <v>2000</v>
      </c>
      <c r="H2621" s="12">
        <v>47000000</v>
      </c>
      <c r="I2621" s="12" t="s">
        <v>5544</v>
      </c>
      <c r="J2621" s="12" t="s">
        <v>1734</v>
      </c>
      <c r="K2621" s="12" t="s">
        <v>10179</v>
      </c>
      <c r="L2621" s="12" t="s">
        <v>5545</v>
      </c>
      <c r="M2621" s="12" t="s">
        <v>12171</v>
      </c>
      <c r="N2621" s="12">
        <v>157857</v>
      </c>
      <c r="O2621" s="12">
        <v>4400</v>
      </c>
      <c r="P2621" s="12">
        <v>0</v>
      </c>
      <c r="Q2621" s="12" t="s">
        <v>12172</v>
      </c>
      <c r="R2621" s="15" t="s">
        <v>12173</v>
      </c>
      <c r="S2621" s="12">
        <v>1191</v>
      </c>
      <c r="T2621" s="12" t="s">
        <v>39</v>
      </c>
      <c r="U2621" s="12" t="s">
        <v>40</v>
      </c>
      <c r="V2621" s="12" t="s">
        <v>586</v>
      </c>
      <c r="W2621" s="12">
        <v>300000</v>
      </c>
      <c r="X2621" s="12">
        <v>1978</v>
      </c>
      <c r="Y2621" s="12">
        <v>742</v>
      </c>
      <c r="Z2621" s="12">
        <v>7.9</v>
      </c>
      <c r="AA2621" s="12">
        <v>2.35</v>
      </c>
      <c r="AB2621" s="12">
        <v>12000</v>
      </c>
      <c r="AC2621" s="12"/>
      <c r="AD2621" s="12" t="str">
        <f>IFERROR(__xludf.DUMMYFUNCTION("""COMPUTED_VALUE"""),"Theresa Merritt")</f>
        <v>Theresa Merritt</v>
      </c>
      <c r="AE2621" s="12"/>
    </row>
    <row r="2622" customHeight="1" spans="1:31">
      <c r="A2622" s="11" t="s">
        <v>30</v>
      </c>
      <c r="B2622" s="11" t="s">
        <v>4219</v>
      </c>
      <c r="C2622" s="11">
        <v>55</v>
      </c>
      <c r="D2622" s="11">
        <v>98</v>
      </c>
      <c r="E2622" s="11">
        <v>11000</v>
      </c>
      <c r="F2622" s="11">
        <v>624</v>
      </c>
      <c r="G2622" s="11">
        <v>816</v>
      </c>
      <c r="H2622" s="11">
        <v>61400000</v>
      </c>
      <c r="I2622" s="11" t="s">
        <v>4220</v>
      </c>
      <c r="J2622" s="11" t="s">
        <v>7746</v>
      </c>
      <c r="K2622" s="11" t="s">
        <v>1905</v>
      </c>
      <c r="L2622" s="11" t="s">
        <v>2389</v>
      </c>
      <c r="M2622" s="11" t="s">
        <v>12724</v>
      </c>
      <c r="N2622" s="11">
        <v>71183</v>
      </c>
      <c r="O2622" s="11">
        <v>3617</v>
      </c>
      <c r="P2622" s="11">
        <v>1</v>
      </c>
      <c r="Q2622" s="11" t="s">
        <v>12725</v>
      </c>
      <c r="R2622" s="14" t="s">
        <v>12726</v>
      </c>
      <c r="S2622" s="11">
        <v>183</v>
      </c>
      <c r="T2622" s="11" t="s">
        <v>39</v>
      </c>
      <c r="U2622" s="11" t="s">
        <v>40</v>
      </c>
      <c r="V2622" s="11" t="s">
        <v>586</v>
      </c>
      <c r="W2622" s="11">
        <v>15000000</v>
      </c>
      <c r="X2622" s="11">
        <v>1983</v>
      </c>
      <c r="Y2622" s="11">
        <v>695</v>
      </c>
      <c r="Z2622" s="11">
        <v>7.4</v>
      </c>
      <c r="AA2622" s="11">
        <v>1.85</v>
      </c>
      <c r="AB2622" s="11">
        <v>0</v>
      </c>
      <c r="AC2622" s="11"/>
      <c r="AD2622" s="11" t="str">
        <f>IFERROR(__xludf.DUMMYFUNCTION("""COMPUTED_VALUE"""),"Ellen Albertini Dow")</f>
        <v>Ellen Albertini Dow</v>
      </c>
      <c r="AE2622" s="11"/>
    </row>
    <row r="2623" customHeight="1" spans="1:31">
      <c r="A2623" s="12" t="s">
        <v>30</v>
      </c>
      <c r="B2623" s="12" t="s">
        <v>10666</v>
      </c>
      <c r="C2623" s="12">
        <v>157</v>
      </c>
      <c r="D2623" s="12">
        <v>102</v>
      </c>
      <c r="E2623" s="12">
        <v>79</v>
      </c>
      <c r="F2623" s="12">
        <v>27</v>
      </c>
      <c r="G2623" s="12">
        <v>925</v>
      </c>
      <c r="H2623" s="12">
        <v>101978840</v>
      </c>
      <c r="I2623" s="12" t="s">
        <v>1672</v>
      </c>
      <c r="J2623" s="12" t="s">
        <v>12727</v>
      </c>
      <c r="K2623" s="12" t="s">
        <v>12728</v>
      </c>
      <c r="L2623" s="12" t="s">
        <v>12729</v>
      </c>
      <c r="M2623" s="12" t="s">
        <v>12730</v>
      </c>
      <c r="N2623" s="12">
        <v>77724</v>
      </c>
      <c r="O2623" s="12">
        <v>1018</v>
      </c>
      <c r="P2623" s="12">
        <v>0</v>
      </c>
      <c r="Q2623" s="12" t="s">
        <v>12731</v>
      </c>
      <c r="R2623" s="15" t="s">
        <v>12732</v>
      </c>
      <c r="S2623" s="12">
        <v>162</v>
      </c>
      <c r="T2623" s="12" t="s">
        <v>39</v>
      </c>
      <c r="U2623" s="12" t="s">
        <v>40</v>
      </c>
      <c r="V2623" s="12" t="s">
        <v>586</v>
      </c>
      <c r="W2623" s="12">
        <v>15000000</v>
      </c>
      <c r="X2623" s="12">
        <v>2013</v>
      </c>
      <c r="Y2623" s="12">
        <v>38</v>
      </c>
      <c r="Z2623" s="12">
        <v>6.6</v>
      </c>
      <c r="AA2623" s="12">
        <v>1.85</v>
      </c>
      <c r="AB2623" s="12">
        <v>26000</v>
      </c>
      <c r="AC2623" s="12"/>
      <c r="AD2623" s="12" t="str">
        <f>IFERROR(__xludf.DUMMYFUNCTION("""COMPUTED_VALUE"""),"Lolita Davidovich")</f>
        <v>Lolita Davidovich</v>
      </c>
      <c r="AE2623" s="12"/>
    </row>
    <row r="2624" customHeight="1" spans="1:31">
      <c r="A2624" s="11" t="s">
        <v>30</v>
      </c>
      <c r="B2624" s="11" t="s">
        <v>5648</v>
      </c>
      <c r="C2624" s="11">
        <v>280</v>
      </c>
      <c r="D2624" s="11">
        <v>94</v>
      </c>
      <c r="E2624" s="11">
        <v>350</v>
      </c>
      <c r="F2624" s="11">
        <v>39</v>
      </c>
      <c r="G2624" s="11">
        <v>326</v>
      </c>
      <c r="H2624" s="11">
        <v>56437947</v>
      </c>
      <c r="I2624" s="11" t="s">
        <v>1544</v>
      </c>
      <c r="J2624" s="11" t="s">
        <v>11645</v>
      </c>
      <c r="K2624" s="11" t="s">
        <v>12733</v>
      </c>
      <c r="L2624" s="11" t="s">
        <v>7595</v>
      </c>
      <c r="M2624" s="11" t="s">
        <v>12734</v>
      </c>
      <c r="N2624" s="11">
        <v>85333</v>
      </c>
      <c r="O2624" s="11">
        <v>486</v>
      </c>
      <c r="P2624" s="11">
        <v>0</v>
      </c>
      <c r="Q2624" s="11" t="s">
        <v>12735</v>
      </c>
      <c r="R2624" s="14" t="s">
        <v>12736</v>
      </c>
      <c r="S2624" s="11">
        <v>421</v>
      </c>
      <c r="T2624" s="11" t="s">
        <v>39</v>
      </c>
      <c r="U2624" s="11" t="s">
        <v>58</v>
      </c>
      <c r="V2624" s="11" t="s">
        <v>41</v>
      </c>
      <c r="W2624" s="11">
        <v>9800000</v>
      </c>
      <c r="X2624" s="11">
        <v>2006</v>
      </c>
      <c r="Y2624" s="11">
        <v>48</v>
      </c>
      <c r="Z2624" s="11">
        <v>7.3</v>
      </c>
      <c r="AA2624" s="11">
        <v>1.85</v>
      </c>
      <c r="AB2624" s="11">
        <v>0</v>
      </c>
      <c r="AC2624" s="11"/>
      <c r="AD2624" s="11" t="str">
        <f>IFERROR(__xludf.DUMMYFUNCTION("""COMPUTED_VALUE"""),"Kelly Brook")</f>
        <v>Kelly Brook</v>
      </c>
      <c r="AE2624" s="11"/>
    </row>
    <row r="2625" customHeight="1" spans="1:31">
      <c r="A2625" s="12" t="s">
        <v>30</v>
      </c>
      <c r="B2625" s="12" t="s">
        <v>256</v>
      </c>
      <c r="C2625" s="12">
        <v>109</v>
      </c>
      <c r="D2625" s="12">
        <v>92</v>
      </c>
      <c r="E2625" s="12">
        <v>13000</v>
      </c>
      <c r="F2625" s="12">
        <v>217</v>
      </c>
      <c r="G2625" s="12">
        <v>925</v>
      </c>
      <c r="H2625" s="12">
        <v>73326666</v>
      </c>
      <c r="I2625" s="12" t="s">
        <v>2787</v>
      </c>
      <c r="J2625" s="12" t="s">
        <v>1802</v>
      </c>
      <c r="K2625" s="12" t="s">
        <v>1655</v>
      </c>
      <c r="L2625" s="12" t="s">
        <v>12737</v>
      </c>
      <c r="M2625" s="12" t="s">
        <v>12738</v>
      </c>
      <c r="N2625" s="12">
        <v>189413</v>
      </c>
      <c r="O2625" s="12">
        <v>1953</v>
      </c>
      <c r="P2625" s="12">
        <v>3</v>
      </c>
      <c r="Q2625" s="12" t="s">
        <v>12739</v>
      </c>
      <c r="R2625" s="15" t="s">
        <v>12740</v>
      </c>
      <c r="S2625" s="12">
        <v>306</v>
      </c>
      <c r="T2625" s="12" t="s">
        <v>39</v>
      </c>
      <c r="U2625" s="12" t="s">
        <v>40</v>
      </c>
      <c r="V2625" s="12" t="s">
        <v>96</v>
      </c>
      <c r="W2625" s="12">
        <v>15000000</v>
      </c>
      <c r="X2625" s="12">
        <v>1988</v>
      </c>
      <c r="Y2625" s="12">
        <v>692</v>
      </c>
      <c r="Z2625" s="12">
        <v>7.5</v>
      </c>
      <c r="AA2625" s="12">
        <v>1.85</v>
      </c>
      <c r="AB2625" s="12">
        <v>15000</v>
      </c>
      <c r="AC2625" s="12"/>
      <c r="AD2625" s="12" t="str">
        <f>IFERROR(__xludf.DUMMYFUNCTION("""COMPUTED_VALUE"""),"A.J. Langer")</f>
        <v>A.J. Langer</v>
      </c>
      <c r="AE2625" s="12"/>
    </row>
    <row r="2626" customHeight="1" spans="1:31">
      <c r="A2626" s="11" t="s">
        <v>30</v>
      </c>
      <c r="B2626" s="11" t="s">
        <v>9517</v>
      </c>
      <c r="C2626" s="11">
        <v>41</v>
      </c>
      <c r="D2626" s="11">
        <v>113</v>
      </c>
      <c r="E2626" s="11">
        <v>0</v>
      </c>
      <c r="F2626" s="11">
        <v>607</v>
      </c>
      <c r="G2626" s="11">
        <v>2000</v>
      </c>
      <c r="H2626" s="11">
        <v>55184721</v>
      </c>
      <c r="I2626" s="11" t="s">
        <v>2528</v>
      </c>
      <c r="J2626" s="11" t="s">
        <v>6434</v>
      </c>
      <c r="K2626" s="11" t="s">
        <v>4010</v>
      </c>
      <c r="L2626" s="11" t="s">
        <v>10802</v>
      </c>
      <c r="M2626" s="11" t="s">
        <v>12741</v>
      </c>
      <c r="N2626" s="11">
        <v>9811</v>
      </c>
      <c r="O2626" s="11">
        <v>6510</v>
      </c>
      <c r="P2626" s="11">
        <v>8</v>
      </c>
      <c r="Q2626" s="11" t="s">
        <v>12742</v>
      </c>
      <c r="R2626" s="14" t="s">
        <v>12743</v>
      </c>
      <c r="S2626" s="11">
        <v>100</v>
      </c>
      <c r="T2626" s="11" t="s">
        <v>39</v>
      </c>
      <c r="U2626" s="11" t="s">
        <v>40</v>
      </c>
      <c r="V2626" s="11" t="s">
        <v>41</v>
      </c>
      <c r="W2626" s="11">
        <v>15000000</v>
      </c>
      <c r="X2626" s="11">
        <v>2007</v>
      </c>
      <c r="Y2626" s="11">
        <v>721</v>
      </c>
      <c r="Z2626" s="11">
        <v>5.6</v>
      </c>
      <c r="AA2626" s="11">
        <v>1.85</v>
      </c>
      <c r="AB2626" s="11">
        <v>1000</v>
      </c>
      <c r="AC2626" s="11"/>
      <c r="AD2626" s="11" t="str">
        <f>IFERROR(__xludf.DUMMYFUNCTION("""COMPUTED_VALUE"""),"Donald Pleasence")</f>
        <v>Donald Pleasence</v>
      </c>
      <c r="AE2626" s="11"/>
    </row>
    <row r="2627" customHeight="1" spans="1:31">
      <c r="A2627" s="12" t="s">
        <v>30</v>
      </c>
      <c r="B2627" s="12" t="s">
        <v>12744</v>
      </c>
      <c r="C2627" s="12">
        <v>27</v>
      </c>
      <c r="D2627" s="12">
        <v>115</v>
      </c>
      <c r="E2627" s="12">
        <v>44</v>
      </c>
      <c r="F2627" s="12">
        <v>902</v>
      </c>
      <c r="G2627" s="12">
        <v>23000</v>
      </c>
      <c r="H2627" s="12">
        <v>50003300</v>
      </c>
      <c r="I2627" s="12" t="s">
        <v>12745</v>
      </c>
      <c r="J2627" s="12" t="s">
        <v>62</v>
      </c>
      <c r="K2627" s="12" t="s">
        <v>84</v>
      </c>
      <c r="L2627" s="12" t="s">
        <v>5783</v>
      </c>
      <c r="M2627" s="12" t="s">
        <v>12746</v>
      </c>
      <c r="N2627" s="12">
        <v>36624</v>
      </c>
      <c r="O2627" s="12">
        <v>29370</v>
      </c>
      <c r="P2627" s="12">
        <v>4</v>
      </c>
      <c r="Q2627" s="12" t="s">
        <v>12747</v>
      </c>
      <c r="R2627" s="15" t="s">
        <v>12748</v>
      </c>
      <c r="S2627" s="12">
        <v>132</v>
      </c>
      <c r="T2627" s="12" t="s">
        <v>39</v>
      </c>
      <c r="U2627" s="12" t="s">
        <v>40</v>
      </c>
      <c r="V2627" s="12" t="s">
        <v>96</v>
      </c>
      <c r="W2627" s="12">
        <v>15000000</v>
      </c>
      <c r="X2627" s="12">
        <v>1994</v>
      </c>
      <c r="Y2627" s="12">
        <v>4000</v>
      </c>
      <c r="Z2627" s="12">
        <v>7.3</v>
      </c>
      <c r="AA2627" s="12">
        <v>1.85</v>
      </c>
      <c r="AB2627" s="12">
        <v>0</v>
      </c>
      <c r="AC2627" s="12"/>
      <c r="AD2627" s="12" t="str">
        <f>IFERROR(__xludf.DUMMYFUNCTION("""COMPUTED_VALUE"""),"Kenneth Williams")</f>
        <v>Kenneth Williams</v>
      </c>
      <c r="AE2627" s="12"/>
    </row>
    <row r="2628" customHeight="1" spans="1:31">
      <c r="A2628" s="11" t="s">
        <v>30</v>
      </c>
      <c r="B2628" s="11" t="s">
        <v>12749</v>
      </c>
      <c r="C2628" s="11">
        <v>462</v>
      </c>
      <c r="D2628" s="11">
        <v>95</v>
      </c>
      <c r="E2628" s="11">
        <v>43</v>
      </c>
      <c r="F2628" s="11">
        <v>259</v>
      </c>
      <c r="G2628" s="11">
        <v>11000</v>
      </c>
      <c r="H2628" s="11">
        <v>54322273</v>
      </c>
      <c r="I2628" s="11" t="s">
        <v>895</v>
      </c>
      <c r="J2628" s="11" t="s">
        <v>107</v>
      </c>
      <c r="K2628" s="11" t="s">
        <v>11645</v>
      </c>
      <c r="L2628" s="11" t="s">
        <v>12750</v>
      </c>
      <c r="M2628" s="11" t="s">
        <v>12751</v>
      </c>
      <c r="N2628" s="11">
        <v>139749</v>
      </c>
      <c r="O2628" s="11">
        <v>11946</v>
      </c>
      <c r="P2628" s="11">
        <v>0</v>
      </c>
      <c r="Q2628" s="11" t="s">
        <v>12752</v>
      </c>
      <c r="R2628" s="14" t="s">
        <v>12753</v>
      </c>
      <c r="S2628" s="11">
        <v>509</v>
      </c>
      <c r="T2628" s="11" t="s">
        <v>39</v>
      </c>
      <c r="U2628" s="11" t="s">
        <v>58</v>
      </c>
      <c r="V2628" s="11" t="s">
        <v>41</v>
      </c>
      <c r="W2628" s="11">
        <v>17000000</v>
      </c>
      <c r="X2628" s="11">
        <v>2012</v>
      </c>
      <c r="Y2628" s="11">
        <v>326</v>
      </c>
      <c r="Z2628" s="11">
        <v>6.4</v>
      </c>
      <c r="AA2628" s="11">
        <v>2.35</v>
      </c>
      <c r="AB2628" s="11">
        <v>29000</v>
      </c>
      <c r="AC2628" s="11"/>
      <c r="AD2628" s="11" t="str">
        <f>IFERROR(__xludf.DUMMYFUNCTION("""COMPUTED_VALUE"""),"Clive Revill")</f>
        <v>Clive Revill</v>
      </c>
      <c r="AE2628" s="11"/>
    </row>
    <row r="2629" customHeight="1" spans="1:31">
      <c r="A2629" s="12" t="s">
        <v>30</v>
      </c>
      <c r="B2629" s="12" t="s">
        <v>1784</v>
      </c>
      <c r="C2629" s="12">
        <v>152</v>
      </c>
      <c r="D2629" s="12">
        <v>87</v>
      </c>
      <c r="E2629" s="12">
        <v>165</v>
      </c>
      <c r="F2629" s="12">
        <v>383</v>
      </c>
      <c r="G2629" s="12">
        <v>1000</v>
      </c>
      <c r="H2629" s="12">
        <v>47860214</v>
      </c>
      <c r="I2629" s="12" t="s">
        <v>5544</v>
      </c>
      <c r="J2629" s="12" t="s">
        <v>4685</v>
      </c>
      <c r="K2629" s="12" t="s">
        <v>12754</v>
      </c>
      <c r="L2629" s="12" t="s">
        <v>3248</v>
      </c>
      <c r="M2629" s="12" t="s">
        <v>12755</v>
      </c>
      <c r="N2629" s="12">
        <v>34711</v>
      </c>
      <c r="O2629" s="12">
        <v>2452</v>
      </c>
      <c r="P2629" s="12">
        <v>0</v>
      </c>
      <c r="Q2629" s="12" t="s">
        <v>12756</v>
      </c>
      <c r="R2629" s="15" t="s">
        <v>12757</v>
      </c>
      <c r="S2629" s="12">
        <v>468</v>
      </c>
      <c r="T2629" s="12" t="s">
        <v>39</v>
      </c>
      <c r="U2629" s="12" t="s">
        <v>40</v>
      </c>
      <c r="V2629" s="12" t="s">
        <v>41</v>
      </c>
      <c r="W2629" s="12">
        <v>15000000</v>
      </c>
      <c r="X2629" s="12">
        <v>2006</v>
      </c>
      <c r="Y2629" s="12">
        <v>431</v>
      </c>
      <c r="Z2629" s="12">
        <v>5</v>
      </c>
      <c r="AA2629" s="12">
        <v>2.35</v>
      </c>
      <c r="AB2629" s="12">
        <v>0</v>
      </c>
      <c r="AC2629" s="12"/>
      <c r="AD2629" s="12" t="str">
        <f>IFERROR(__xludf.DUMMYFUNCTION("""COMPUTED_VALUE"""),"Derek Graf")</f>
        <v>Derek Graf</v>
      </c>
      <c r="AE2629" s="12"/>
    </row>
    <row r="2630" customHeight="1" spans="1:31">
      <c r="A2630" s="11" t="s">
        <v>30</v>
      </c>
      <c r="B2630" s="11" t="s">
        <v>810</v>
      </c>
      <c r="C2630" s="11">
        <v>69</v>
      </c>
      <c r="D2630" s="11">
        <v>88</v>
      </c>
      <c r="E2630" s="11">
        <v>189</v>
      </c>
      <c r="F2630" s="11">
        <v>799</v>
      </c>
      <c r="G2630" s="11">
        <v>934</v>
      </c>
      <c r="H2630" s="11">
        <v>47811275</v>
      </c>
      <c r="I2630" s="11" t="s">
        <v>2359</v>
      </c>
      <c r="J2630" s="11" t="s">
        <v>8307</v>
      </c>
      <c r="K2630" s="11" t="s">
        <v>9033</v>
      </c>
      <c r="L2630" s="11" t="s">
        <v>12758</v>
      </c>
      <c r="M2630" s="11" t="s">
        <v>12759</v>
      </c>
      <c r="N2630" s="11">
        <v>29008</v>
      </c>
      <c r="O2630" s="11">
        <v>3707</v>
      </c>
      <c r="P2630" s="11">
        <v>1</v>
      </c>
      <c r="Q2630" s="11" t="s">
        <v>12760</v>
      </c>
      <c r="R2630" s="14" t="s">
        <v>12761</v>
      </c>
      <c r="S2630" s="11">
        <v>99</v>
      </c>
      <c r="T2630" s="11" t="s">
        <v>39</v>
      </c>
      <c r="U2630" s="11" t="s">
        <v>40</v>
      </c>
      <c r="V2630" s="11" t="s">
        <v>96</v>
      </c>
      <c r="W2630" s="11">
        <v>15000000</v>
      </c>
      <c r="X2630" s="11">
        <v>2002</v>
      </c>
      <c r="Y2630" s="11">
        <v>927</v>
      </c>
      <c r="Z2630" s="11">
        <v>5.4</v>
      </c>
      <c r="AA2630" s="11">
        <v>1.85</v>
      </c>
      <c r="AB2630" s="11">
        <v>896</v>
      </c>
      <c r="AC2630" s="11"/>
      <c r="AD2630" s="11" t="str">
        <f>IFERROR(__xludf.DUMMYFUNCTION("""COMPUTED_VALUE"""),"Anthony Daniels")</f>
        <v>Anthony Daniels</v>
      </c>
      <c r="AE2630" s="11"/>
    </row>
    <row r="2631" customHeight="1" spans="1:31">
      <c r="A2631" s="12" t="s">
        <v>30</v>
      </c>
      <c r="B2631" s="12" t="s">
        <v>6038</v>
      </c>
      <c r="C2631" s="12">
        <v>140</v>
      </c>
      <c r="D2631" s="12">
        <v>183</v>
      </c>
      <c r="E2631" s="12">
        <v>517</v>
      </c>
      <c r="F2631" s="12">
        <v>652</v>
      </c>
      <c r="G2631" s="12">
        <v>22000</v>
      </c>
      <c r="H2631" s="16"/>
      <c r="I2631" s="12" t="s">
        <v>3397</v>
      </c>
      <c r="J2631" s="12" t="s">
        <v>1746</v>
      </c>
      <c r="K2631" s="12" t="s">
        <v>2377</v>
      </c>
      <c r="L2631" s="12" t="s">
        <v>8270</v>
      </c>
      <c r="M2631" s="12" t="s">
        <v>12762</v>
      </c>
      <c r="N2631" s="12">
        <v>232577</v>
      </c>
      <c r="O2631" s="12">
        <v>34025</v>
      </c>
      <c r="P2631" s="12">
        <v>2</v>
      </c>
      <c r="Q2631" s="12" t="s">
        <v>12763</v>
      </c>
      <c r="R2631" s="15" t="s">
        <v>12764</v>
      </c>
      <c r="S2631" s="12">
        <v>1026</v>
      </c>
      <c r="T2631" s="12" t="s">
        <v>39</v>
      </c>
      <c r="U2631" s="12" t="s">
        <v>58</v>
      </c>
      <c r="V2631" s="12" t="s">
        <v>586</v>
      </c>
      <c r="W2631" s="12">
        <v>15000000</v>
      </c>
      <c r="X2631" s="12">
        <v>1978</v>
      </c>
      <c r="Y2631" s="12">
        <v>11000</v>
      </c>
      <c r="Z2631" s="12">
        <v>8.2</v>
      </c>
      <c r="AA2631" s="12">
        <v>2.35</v>
      </c>
      <c r="AB2631" s="12">
        <v>11000</v>
      </c>
      <c r="AC2631" s="12"/>
      <c r="AD2631" s="12" t="str">
        <f>IFERROR(__xludf.DUMMYFUNCTION("""COMPUTED_VALUE"""),"Theresa Randle")</f>
        <v>Theresa Randle</v>
      </c>
      <c r="AE2631" s="12"/>
    </row>
    <row r="2632" customHeight="1" spans="1:31">
      <c r="A2632" s="11" t="s">
        <v>30</v>
      </c>
      <c r="B2632" s="11" t="s">
        <v>3123</v>
      </c>
      <c r="C2632" s="11">
        <v>130</v>
      </c>
      <c r="D2632" s="11">
        <v>97</v>
      </c>
      <c r="E2632" s="11">
        <v>272</v>
      </c>
      <c r="F2632" s="11">
        <v>957</v>
      </c>
      <c r="G2632" s="11">
        <v>22000</v>
      </c>
      <c r="H2632" s="11">
        <v>43022524</v>
      </c>
      <c r="I2632" s="11" t="s">
        <v>2528</v>
      </c>
      <c r="J2632" s="11" t="s">
        <v>1746</v>
      </c>
      <c r="K2632" s="11" t="s">
        <v>84</v>
      </c>
      <c r="L2632" s="11" t="s">
        <v>1010</v>
      </c>
      <c r="M2632" s="11" t="s">
        <v>12765</v>
      </c>
      <c r="N2632" s="11">
        <v>67604</v>
      </c>
      <c r="O2632" s="11">
        <v>29252</v>
      </c>
      <c r="P2632" s="11">
        <v>0</v>
      </c>
      <c r="Q2632" s="11" t="s">
        <v>12766</v>
      </c>
      <c r="R2632" s="14" t="s">
        <v>12767</v>
      </c>
      <c r="S2632" s="11">
        <v>218</v>
      </c>
      <c r="T2632" s="11" t="s">
        <v>39</v>
      </c>
      <c r="U2632" s="11" t="s">
        <v>40</v>
      </c>
      <c r="V2632" s="11" t="s">
        <v>586</v>
      </c>
      <c r="W2632" s="11">
        <v>15000000</v>
      </c>
      <c r="X2632" s="11">
        <v>1997</v>
      </c>
      <c r="Y2632" s="11">
        <v>4000</v>
      </c>
      <c r="Z2632" s="11">
        <v>7.1</v>
      </c>
      <c r="AA2632" s="11">
        <v>1.85</v>
      </c>
      <c r="AB2632" s="11">
        <v>12000</v>
      </c>
      <c r="AC2632" s="11"/>
      <c r="AD2632" s="11" t="str">
        <f>IFERROR(__xludf.DUMMYFUNCTION("""COMPUTED_VALUE"""),"O.J. Simpson")</f>
        <v>O.J. Simpson</v>
      </c>
      <c r="AE2632" s="11"/>
    </row>
    <row r="2633" customHeight="1" spans="1:31">
      <c r="A2633" s="12" t="s">
        <v>30</v>
      </c>
      <c r="B2633" s="12" t="s">
        <v>12768</v>
      </c>
      <c r="C2633" s="12">
        <v>66</v>
      </c>
      <c r="D2633" s="12">
        <v>94</v>
      </c>
      <c r="E2633" s="12">
        <v>13</v>
      </c>
      <c r="F2633" s="12">
        <v>566</v>
      </c>
      <c r="G2633" s="12">
        <v>925</v>
      </c>
      <c r="H2633" s="12">
        <v>42672630</v>
      </c>
      <c r="I2633" s="12" t="s">
        <v>12769</v>
      </c>
      <c r="J2633" s="12" t="s">
        <v>12770</v>
      </c>
      <c r="K2633" s="12" t="s">
        <v>12771</v>
      </c>
      <c r="L2633" s="12" t="s">
        <v>1862</v>
      </c>
      <c r="M2633" s="12" t="s">
        <v>12772</v>
      </c>
      <c r="N2633" s="12">
        <v>27580</v>
      </c>
      <c r="O2633" s="12">
        <v>3423</v>
      </c>
      <c r="P2633" s="12">
        <v>1</v>
      </c>
      <c r="Q2633" s="12" t="s">
        <v>12773</v>
      </c>
      <c r="R2633" s="15" t="s">
        <v>12774</v>
      </c>
      <c r="S2633" s="12">
        <v>172</v>
      </c>
      <c r="T2633" s="12" t="s">
        <v>39</v>
      </c>
      <c r="U2633" s="12" t="s">
        <v>40</v>
      </c>
      <c r="V2633" s="12" t="s">
        <v>96</v>
      </c>
      <c r="W2633" s="12">
        <v>17000000</v>
      </c>
      <c r="X2633" s="12">
        <v>2003</v>
      </c>
      <c r="Y2633" s="12">
        <v>738</v>
      </c>
      <c r="Z2633" s="12">
        <v>5.3</v>
      </c>
      <c r="AA2633" s="12">
        <v>2.35</v>
      </c>
      <c r="AB2633" s="12">
        <v>0</v>
      </c>
      <c r="AC2633" s="12"/>
      <c r="AD2633" s="12" t="str">
        <f>IFERROR(__xludf.DUMMYFUNCTION("""COMPUTED_VALUE"""),"Brendan Fehr")</f>
        <v>Brendan Fehr</v>
      </c>
      <c r="AE2633" s="12"/>
    </row>
    <row r="2634" customHeight="1" spans="1:31">
      <c r="A2634" s="11" t="s">
        <v>30</v>
      </c>
      <c r="B2634" s="11" t="s">
        <v>12775</v>
      </c>
      <c r="C2634" s="11">
        <v>238</v>
      </c>
      <c r="D2634" s="11">
        <v>112</v>
      </c>
      <c r="E2634" s="11">
        <v>29</v>
      </c>
      <c r="F2634" s="11">
        <v>874</v>
      </c>
      <c r="G2634" s="11">
        <v>12000</v>
      </c>
      <c r="H2634" s="11">
        <v>42919096</v>
      </c>
      <c r="I2634" s="11" t="s">
        <v>923</v>
      </c>
      <c r="J2634" s="11" t="s">
        <v>1073</v>
      </c>
      <c r="K2634" s="11" t="s">
        <v>2808</v>
      </c>
      <c r="L2634" s="11" t="s">
        <v>6347</v>
      </c>
      <c r="M2634" s="11" t="s">
        <v>12776</v>
      </c>
      <c r="N2634" s="11">
        <v>64747</v>
      </c>
      <c r="O2634" s="11">
        <v>15800</v>
      </c>
      <c r="P2634" s="11">
        <v>1</v>
      </c>
      <c r="Q2634" s="11" t="s">
        <v>12777</v>
      </c>
      <c r="R2634" s="14" t="s">
        <v>12778</v>
      </c>
      <c r="S2634" s="11">
        <v>122</v>
      </c>
      <c r="T2634" s="11" t="s">
        <v>39</v>
      </c>
      <c r="U2634" s="11" t="s">
        <v>40</v>
      </c>
      <c r="V2634" s="11" t="s">
        <v>41</v>
      </c>
      <c r="W2634" s="11">
        <v>15000000</v>
      </c>
      <c r="X2634" s="11">
        <v>2013</v>
      </c>
      <c r="Y2634" s="11">
        <v>1000</v>
      </c>
      <c r="Z2634" s="11">
        <v>6.5</v>
      </c>
      <c r="AA2634" s="11">
        <v>2.35</v>
      </c>
      <c r="AB2634" s="11">
        <v>12000</v>
      </c>
      <c r="AC2634" s="11"/>
      <c r="AD2634" s="11" t="str">
        <f>IFERROR(__xludf.DUMMYFUNCTION("""COMPUTED_VALUE"""),"Kerr Smith")</f>
        <v>Kerr Smith</v>
      </c>
      <c r="AE2634" s="11"/>
    </row>
    <row r="2635" customHeight="1" spans="1:31">
      <c r="A2635" s="12" t="s">
        <v>30</v>
      </c>
      <c r="B2635" s="12" t="s">
        <v>12779</v>
      </c>
      <c r="C2635" s="12">
        <v>198</v>
      </c>
      <c r="D2635" s="12">
        <v>98</v>
      </c>
      <c r="E2635" s="12">
        <v>66</v>
      </c>
      <c r="F2635" s="12">
        <v>562</v>
      </c>
      <c r="G2635" s="12">
        <v>3000</v>
      </c>
      <c r="H2635" s="12">
        <v>42592530</v>
      </c>
      <c r="I2635" s="12" t="s">
        <v>883</v>
      </c>
      <c r="J2635" s="12" t="s">
        <v>1545</v>
      </c>
      <c r="K2635" s="12" t="s">
        <v>5039</v>
      </c>
      <c r="L2635" s="12" t="s">
        <v>12780</v>
      </c>
      <c r="M2635" s="12" t="s">
        <v>12781</v>
      </c>
      <c r="N2635" s="12">
        <v>29867</v>
      </c>
      <c r="O2635" s="12">
        <v>4567</v>
      </c>
      <c r="P2635" s="12">
        <v>0</v>
      </c>
      <c r="Q2635" s="12" t="s">
        <v>12782</v>
      </c>
      <c r="R2635" s="15" t="s">
        <v>12783</v>
      </c>
      <c r="S2635" s="12">
        <v>181</v>
      </c>
      <c r="T2635" s="12" t="s">
        <v>39</v>
      </c>
      <c r="U2635" s="12" t="s">
        <v>40</v>
      </c>
      <c r="V2635" s="12" t="s">
        <v>41</v>
      </c>
      <c r="W2635" s="12">
        <v>15000000</v>
      </c>
      <c r="X2635" s="12">
        <v>2015</v>
      </c>
      <c r="Y2635" s="12">
        <v>658</v>
      </c>
      <c r="Z2635" s="12">
        <v>6.2</v>
      </c>
      <c r="AA2635" s="12">
        <v>2.35</v>
      </c>
      <c r="AB2635" s="12">
        <v>27000</v>
      </c>
      <c r="AC2635" s="12"/>
      <c r="AD2635" s="12" t="str">
        <f>IFERROR(__xludf.DUMMYFUNCTION("""COMPUTED_VALUE"""),"Catherine Dent")</f>
        <v>Catherine Dent</v>
      </c>
      <c r="AE2635" s="12"/>
    </row>
    <row r="2636" customHeight="1" spans="1:31">
      <c r="A2636" s="11" t="s">
        <v>30</v>
      </c>
      <c r="B2636" s="11" t="s">
        <v>4904</v>
      </c>
      <c r="C2636" s="11">
        <v>154</v>
      </c>
      <c r="D2636" s="11">
        <v>104</v>
      </c>
      <c r="E2636" s="11">
        <v>0</v>
      </c>
      <c r="F2636" s="11">
        <v>1000</v>
      </c>
      <c r="G2636" s="11">
        <v>4000</v>
      </c>
      <c r="H2636" s="11">
        <v>40064955</v>
      </c>
      <c r="I2636" s="11" t="s">
        <v>7048</v>
      </c>
      <c r="J2636" s="11" t="s">
        <v>682</v>
      </c>
      <c r="K2636" s="11" t="s">
        <v>495</v>
      </c>
      <c r="L2636" s="11" t="s">
        <v>6005</v>
      </c>
      <c r="M2636" s="11" t="s">
        <v>12784</v>
      </c>
      <c r="N2636" s="11">
        <v>92074</v>
      </c>
      <c r="O2636" s="11">
        <v>12170</v>
      </c>
      <c r="P2636" s="11">
        <v>1</v>
      </c>
      <c r="Q2636" s="11" t="s">
        <v>12785</v>
      </c>
      <c r="R2636" s="14" t="s">
        <v>12786</v>
      </c>
      <c r="S2636" s="11">
        <v>502</v>
      </c>
      <c r="T2636" s="11" t="s">
        <v>39</v>
      </c>
      <c r="U2636" s="11" t="s">
        <v>40</v>
      </c>
      <c r="V2636" s="11" t="s">
        <v>586</v>
      </c>
      <c r="W2636" s="11">
        <v>15000000</v>
      </c>
      <c r="X2636" s="11">
        <v>1998</v>
      </c>
      <c r="Y2636" s="11">
        <v>4000</v>
      </c>
      <c r="Z2636" s="11">
        <v>6.4</v>
      </c>
      <c r="AA2636" s="11">
        <v>1.85</v>
      </c>
      <c r="AB2636" s="11">
        <v>0</v>
      </c>
      <c r="AC2636" s="11"/>
      <c r="AD2636" s="11" t="str">
        <f>IFERROR(__xludf.DUMMYFUNCTION("""COMPUTED_VALUE"""),"Brian Johnson")</f>
        <v>Brian Johnson</v>
      </c>
      <c r="AE2636" s="11"/>
    </row>
    <row r="2637" customHeight="1" spans="1:31">
      <c r="A2637" s="12" t="s">
        <v>30</v>
      </c>
      <c r="B2637" s="12" t="s">
        <v>6025</v>
      </c>
      <c r="C2637" s="12">
        <v>19</v>
      </c>
      <c r="D2637" s="12">
        <v>118</v>
      </c>
      <c r="E2637" s="12">
        <v>13</v>
      </c>
      <c r="F2637" s="12">
        <v>2</v>
      </c>
      <c r="G2637" s="12">
        <v>90</v>
      </c>
      <c r="H2637" s="12">
        <v>39100956</v>
      </c>
      <c r="I2637" s="12" t="s">
        <v>4297</v>
      </c>
      <c r="J2637" s="12" t="s">
        <v>12787</v>
      </c>
      <c r="K2637" s="12" t="s">
        <v>12788</v>
      </c>
      <c r="L2637" s="12" t="s">
        <v>12789</v>
      </c>
      <c r="M2637" s="12" t="s">
        <v>12790</v>
      </c>
      <c r="N2637" s="12">
        <v>13442</v>
      </c>
      <c r="O2637" s="12">
        <v>114</v>
      </c>
      <c r="P2637" s="12">
        <v>0</v>
      </c>
      <c r="Q2637" s="12" t="s">
        <v>12791</v>
      </c>
      <c r="R2637" s="15" t="s">
        <v>12792</v>
      </c>
      <c r="S2637" s="12">
        <v>59</v>
      </c>
      <c r="T2637" s="12" t="s">
        <v>39</v>
      </c>
      <c r="U2637" s="12" t="s">
        <v>40</v>
      </c>
      <c r="V2637" s="12" t="s">
        <v>586</v>
      </c>
      <c r="W2637" s="16"/>
      <c r="X2637" s="12">
        <v>1993</v>
      </c>
      <c r="Y2637" s="12">
        <v>22</v>
      </c>
      <c r="Z2637" s="12">
        <v>7.2</v>
      </c>
      <c r="AA2637" s="12">
        <v>1.85</v>
      </c>
      <c r="AB2637" s="12">
        <v>0</v>
      </c>
      <c r="AC2637" s="12"/>
      <c r="AD2637" s="12" t="str">
        <f>IFERROR(__xludf.DUMMYFUNCTION("""COMPUTED_VALUE"""),"Matt Letscher")</f>
        <v>Matt Letscher</v>
      </c>
      <c r="AE2637" s="12"/>
    </row>
    <row r="2638" customHeight="1" spans="1:31">
      <c r="A2638" s="11" t="s">
        <v>30</v>
      </c>
      <c r="B2638" s="11" t="s">
        <v>1422</v>
      </c>
      <c r="C2638" s="11">
        <v>131</v>
      </c>
      <c r="D2638" s="11">
        <v>120</v>
      </c>
      <c r="E2638" s="11">
        <v>446</v>
      </c>
      <c r="F2638" s="11">
        <v>1000</v>
      </c>
      <c r="G2638" s="11">
        <v>22000</v>
      </c>
      <c r="H2638" s="11">
        <v>44886089</v>
      </c>
      <c r="I2638" s="11" t="s">
        <v>2126</v>
      </c>
      <c r="J2638" s="11" t="s">
        <v>1746</v>
      </c>
      <c r="K2638" s="11" t="s">
        <v>1785</v>
      </c>
      <c r="L2638" s="11" t="s">
        <v>794</v>
      </c>
      <c r="M2638" s="11" t="s">
        <v>12793</v>
      </c>
      <c r="N2638" s="11">
        <v>69576</v>
      </c>
      <c r="O2638" s="11">
        <v>40117</v>
      </c>
      <c r="P2638" s="11">
        <v>3</v>
      </c>
      <c r="Q2638" s="11" t="s">
        <v>12794</v>
      </c>
      <c r="R2638" s="14" t="s">
        <v>12795</v>
      </c>
      <c r="S2638" s="11">
        <v>207</v>
      </c>
      <c r="T2638" s="11" t="s">
        <v>39</v>
      </c>
      <c r="U2638" s="11" t="s">
        <v>40</v>
      </c>
      <c r="V2638" s="11" t="s">
        <v>586</v>
      </c>
      <c r="W2638" s="11">
        <v>10000000</v>
      </c>
      <c r="X2638" s="11">
        <v>1997</v>
      </c>
      <c r="Y2638" s="11">
        <v>13000</v>
      </c>
      <c r="Z2638" s="11">
        <v>6.9</v>
      </c>
      <c r="AA2638" s="11">
        <v>1.85</v>
      </c>
      <c r="AB2638" s="11">
        <v>2000</v>
      </c>
      <c r="AC2638" s="11"/>
      <c r="AD2638" s="11" t="str">
        <f>IFERROR(__xludf.DUMMYFUNCTION("""COMPUTED_VALUE"""),"Jessica Bowman")</f>
        <v>Jessica Bowman</v>
      </c>
      <c r="AE2638" s="11"/>
    </row>
    <row r="2639" customHeight="1" spans="1:31">
      <c r="A2639" s="12" t="s">
        <v>30</v>
      </c>
      <c r="B2639" s="12" t="s">
        <v>12796</v>
      </c>
      <c r="C2639" s="12">
        <v>97</v>
      </c>
      <c r="D2639" s="12">
        <v>99</v>
      </c>
      <c r="E2639" s="12">
        <v>11</v>
      </c>
      <c r="F2639" s="12">
        <v>971</v>
      </c>
      <c r="G2639" s="12">
        <v>11000</v>
      </c>
      <c r="H2639" s="12">
        <v>37882551</v>
      </c>
      <c r="I2639" s="12" t="s">
        <v>1672</v>
      </c>
      <c r="J2639" s="12" t="s">
        <v>222</v>
      </c>
      <c r="K2639" s="12" t="s">
        <v>12797</v>
      </c>
      <c r="L2639" s="12" t="s">
        <v>4342</v>
      </c>
      <c r="M2639" s="12" t="s">
        <v>12798</v>
      </c>
      <c r="N2639" s="12">
        <v>80305</v>
      </c>
      <c r="O2639" s="12">
        <v>15369</v>
      </c>
      <c r="P2639" s="12">
        <v>0</v>
      </c>
      <c r="Q2639" s="12" t="s">
        <v>12799</v>
      </c>
      <c r="R2639" s="15" t="s">
        <v>12800</v>
      </c>
      <c r="S2639" s="12">
        <v>393</v>
      </c>
      <c r="T2639" s="12" t="s">
        <v>39</v>
      </c>
      <c r="U2639" s="12" t="s">
        <v>40</v>
      </c>
      <c r="V2639" s="12" t="s">
        <v>586</v>
      </c>
      <c r="W2639" s="12">
        <v>16000000</v>
      </c>
      <c r="X2639" s="12">
        <v>2001</v>
      </c>
      <c r="Y2639" s="12">
        <v>983</v>
      </c>
      <c r="Z2639" s="12">
        <v>5.7</v>
      </c>
      <c r="AA2639" s="12">
        <v>1.85</v>
      </c>
      <c r="AB2639" s="12">
        <v>0</v>
      </c>
      <c r="AC2639" s="12"/>
      <c r="AD2639" s="12" t="str">
        <f>IFERROR(__xludf.DUMMYFUNCTION("""COMPUTED_VALUE"""),"Dell Yount")</f>
        <v>Dell Yount</v>
      </c>
      <c r="AE2639" s="12"/>
    </row>
    <row r="2640" customHeight="1" spans="1:31">
      <c r="A2640" s="11" t="s">
        <v>30</v>
      </c>
      <c r="B2640" s="11" t="s">
        <v>508</v>
      </c>
      <c r="C2640" s="11">
        <v>355</v>
      </c>
      <c r="D2640" s="11">
        <v>109</v>
      </c>
      <c r="E2640" s="11">
        <v>453</v>
      </c>
      <c r="F2640" s="11">
        <v>953</v>
      </c>
      <c r="G2640" s="11">
        <v>15000</v>
      </c>
      <c r="H2640" s="11">
        <v>40983001</v>
      </c>
      <c r="I2640" s="11" t="s">
        <v>2126</v>
      </c>
      <c r="J2640" s="11" t="s">
        <v>373</v>
      </c>
      <c r="K2640" s="11" t="s">
        <v>2456</v>
      </c>
      <c r="L2640" s="11" t="s">
        <v>642</v>
      </c>
      <c r="M2640" s="11" t="s">
        <v>12801</v>
      </c>
      <c r="N2640" s="11">
        <v>181025</v>
      </c>
      <c r="O2640" s="11">
        <v>27788</v>
      </c>
      <c r="P2640" s="11">
        <v>2</v>
      </c>
      <c r="Q2640" s="11" t="s">
        <v>12802</v>
      </c>
      <c r="R2640" s="14" t="s">
        <v>12803</v>
      </c>
      <c r="S2640" s="11">
        <v>336</v>
      </c>
      <c r="T2640" s="11" t="s">
        <v>39</v>
      </c>
      <c r="U2640" s="11" t="s">
        <v>40</v>
      </c>
      <c r="V2640" s="11" t="s">
        <v>586</v>
      </c>
      <c r="W2640" s="11">
        <v>7000000</v>
      </c>
      <c r="X2640" s="11">
        <v>2012</v>
      </c>
      <c r="Y2640" s="11">
        <v>10000</v>
      </c>
      <c r="Z2640" s="11">
        <v>7.7</v>
      </c>
      <c r="AA2640" s="11">
        <v>1.85</v>
      </c>
      <c r="AB2640" s="11">
        <v>38000</v>
      </c>
      <c r="AC2640" s="11"/>
      <c r="AD2640" s="11" t="str">
        <f>IFERROR(__xludf.DUMMYFUNCTION("""COMPUTED_VALUE"""),"Keeley Hawes")</f>
        <v>Keeley Hawes</v>
      </c>
      <c r="AE2640" s="11"/>
    </row>
    <row r="2641" customHeight="1" spans="1:31">
      <c r="A2641" s="12" t="s">
        <v>30</v>
      </c>
      <c r="B2641" s="12" t="s">
        <v>3348</v>
      </c>
      <c r="C2641" s="12">
        <v>138</v>
      </c>
      <c r="D2641" s="12">
        <v>105</v>
      </c>
      <c r="E2641" s="12">
        <v>488</v>
      </c>
      <c r="F2641" s="12">
        <v>13000</v>
      </c>
      <c r="G2641" s="12">
        <v>15000</v>
      </c>
      <c r="H2641" s="12">
        <v>20991497</v>
      </c>
      <c r="I2641" s="12" t="s">
        <v>1415</v>
      </c>
      <c r="J2641" s="12" t="s">
        <v>182</v>
      </c>
      <c r="K2641" s="12" t="s">
        <v>655</v>
      </c>
      <c r="L2641" s="12" t="s">
        <v>549</v>
      </c>
      <c r="M2641" s="12" t="s">
        <v>7199</v>
      </c>
      <c r="N2641" s="12">
        <v>39782</v>
      </c>
      <c r="O2641" s="12">
        <v>44037</v>
      </c>
      <c r="P2641" s="12">
        <v>1</v>
      </c>
      <c r="Q2641" s="12" t="s">
        <v>7200</v>
      </c>
      <c r="R2641" s="15" t="s">
        <v>7201</v>
      </c>
      <c r="S2641" s="12">
        <v>172</v>
      </c>
      <c r="T2641" s="12" t="s">
        <v>39</v>
      </c>
      <c r="U2641" s="12" t="s">
        <v>40</v>
      </c>
      <c r="V2641" s="12" t="s">
        <v>41</v>
      </c>
      <c r="W2641" s="12">
        <v>37000000</v>
      </c>
      <c r="X2641" s="12">
        <v>2015</v>
      </c>
      <c r="Y2641" s="12">
        <v>14000</v>
      </c>
      <c r="Z2641" s="12">
        <v>5.4</v>
      </c>
      <c r="AA2641" s="12">
        <v>1.85</v>
      </c>
      <c r="AB2641" s="12">
        <v>11000</v>
      </c>
      <c r="AC2641" s="12"/>
      <c r="AD2641" s="12" t="str">
        <f>IFERROR(__xludf.DUMMYFUNCTION("""COMPUTED_VALUE"""),"Oliver Stark")</f>
        <v>Oliver Stark</v>
      </c>
      <c r="AE2641" s="12"/>
    </row>
    <row r="2642" customHeight="1" spans="1:31">
      <c r="A2642" s="11" t="s">
        <v>30</v>
      </c>
      <c r="B2642" s="11" t="s">
        <v>500</v>
      </c>
      <c r="C2642" s="11">
        <v>102</v>
      </c>
      <c r="D2642" s="11">
        <v>106</v>
      </c>
      <c r="E2642" s="11">
        <v>357</v>
      </c>
      <c r="F2642" s="11">
        <v>883</v>
      </c>
      <c r="G2642" s="11">
        <v>23000</v>
      </c>
      <c r="H2642" s="11">
        <v>35007180</v>
      </c>
      <c r="I2642" s="11" t="s">
        <v>464</v>
      </c>
      <c r="J2642" s="11" t="s">
        <v>336</v>
      </c>
      <c r="K2642" s="11" t="s">
        <v>2718</v>
      </c>
      <c r="L2642" s="11" t="s">
        <v>12804</v>
      </c>
      <c r="M2642" s="11" t="s">
        <v>12805</v>
      </c>
      <c r="N2642" s="11">
        <v>26846</v>
      </c>
      <c r="O2642" s="11">
        <v>26652</v>
      </c>
      <c r="P2642" s="11">
        <v>0</v>
      </c>
      <c r="Q2642" s="11" t="s">
        <v>12806</v>
      </c>
      <c r="R2642" s="14" t="s">
        <v>12807</v>
      </c>
      <c r="S2642" s="11">
        <v>193</v>
      </c>
      <c r="T2642" s="11" t="s">
        <v>39</v>
      </c>
      <c r="U2642" s="11" t="s">
        <v>40</v>
      </c>
      <c r="V2642" s="11" t="s">
        <v>41</v>
      </c>
      <c r="W2642" s="11">
        <v>15000000</v>
      </c>
      <c r="X2642" s="11">
        <v>2000</v>
      </c>
      <c r="Y2642" s="11">
        <v>1000</v>
      </c>
      <c r="Z2642" s="11">
        <v>5.6</v>
      </c>
      <c r="AA2642" s="11">
        <v>1.85</v>
      </c>
      <c r="AB2642" s="11">
        <v>0</v>
      </c>
      <c r="AC2642" s="11"/>
      <c r="AD2642" s="11" t="str">
        <f>IFERROR(__xludf.DUMMYFUNCTION("""COMPUTED_VALUE"""),"Eva Amurri Martino")</f>
        <v>Eva Amurri Martino</v>
      </c>
      <c r="AE2642" s="11"/>
    </row>
    <row r="2643" customHeight="1" spans="1:31">
      <c r="A2643" s="12" t="s">
        <v>30</v>
      </c>
      <c r="B2643" s="12" t="s">
        <v>12808</v>
      </c>
      <c r="C2643" s="12">
        <v>419</v>
      </c>
      <c r="D2643" s="12">
        <v>123</v>
      </c>
      <c r="E2643" s="12">
        <v>120</v>
      </c>
      <c r="F2643" s="12">
        <v>149</v>
      </c>
      <c r="G2643" s="12">
        <v>13000</v>
      </c>
      <c r="H2643" s="12">
        <v>35887263</v>
      </c>
      <c r="I2643" s="12" t="s">
        <v>6327</v>
      </c>
      <c r="J2643" s="12" t="s">
        <v>446</v>
      </c>
      <c r="K2643" s="12" t="s">
        <v>2933</v>
      </c>
      <c r="L2643" s="12" t="s">
        <v>3593</v>
      </c>
      <c r="M2643" s="12" t="s">
        <v>12809</v>
      </c>
      <c r="N2643" s="12">
        <v>265507</v>
      </c>
      <c r="O2643" s="12">
        <v>14100</v>
      </c>
      <c r="P2643" s="12">
        <v>0</v>
      </c>
      <c r="Q2643" s="12" t="s">
        <v>12810</v>
      </c>
      <c r="R2643" s="15" t="s">
        <v>12811</v>
      </c>
      <c r="S2643" s="12">
        <v>388</v>
      </c>
      <c r="T2643" s="12" t="s">
        <v>39</v>
      </c>
      <c r="U2643" s="12" t="s">
        <v>58</v>
      </c>
      <c r="V2643" s="12" t="s">
        <v>41</v>
      </c>
      <c r="W2643" s="12">
        <v>15000000</v>
      </c>
      <c r="X2643" s="12">
        <v>2014</v>
      </c>
      <c r="Y2643" s="12">
        <v>876</v>
      </c>
      <c r="Z2643" s="12">
        <v>7.7</v>
      </c>
      <c r="AA2643" s="12">
        <v>2.35</v>
      </c>
      <c r="AB2643" s="12">
        <v>90000</v>
      </c>
      <c r="AC2643" s="12"/>
      <c r="AD2643" s="12" t="str">
        <f>IFERROR(__xludf.DUMMYFUNCTION("""COMPUTED_VALUE"""),"Dan Hedaya")</f>
        <v>Dan Hedaya</v>
      </c>
      <c r="AE2643" s="12"/>
    </row>
    <row r="2644" customHeight="1" spans="1:31">
      <c r="A2644" s="11" t="s">
        <v>30</v>
      </c>
      <c r="B2644" s="11" t="s">
        <v>4988</v>
      </c>
      <c r="C2644" s="11">
        <v>37</v>
      </c>
      <c r="D2644" s="11">
        <v>86</v>
      </c>
      <c r="E2644" s="11">
        <v>14</v>
      </c>
      <c r="F2644" s="11">
        <v>685</v>
      </c>
      <c r="G2644" s="11">
        <v>833</v>
      </c>
      <c r="H2644" s="11">
        <v>34308901</v>
      </c>
      <c r="I2644" s="11" t="s">
        <v>1009</v>
      </c>
      <c r="J2644" s="11" t="s">
        <v>2209</v>
      </c>
      <c r="K2644" s="11" t="s">
        <v>5704</v>
      </c>
      <c r="L2644" s="11" t="s">
        <v>7214</v>
      </c>
      <c r="M2644" s="11" t="s">
        <v>12812</v>
      </c>
      <c r="N2644" s="11">
        <v>15939</v>
      </c>
      <c r="O2644" s="11">
        <v>4435</v>
      </c>
      <c r="P2644" s="11">
        <v>3</v>
      </c>
      <c r="Q2644" s="11" t="s">
        <v>12813</v>
      </c>
      <c r="R2644" s="14" t="s">
        <v>12814</v>
      </c>
      <c r="S2644" s="11">
        <v>87</v>
      </c>
      <c r="T2644" s="11" t="s">
        <v>39</v>
      </c>
      <c r="U2644" s="11" t="s">
        <v>40</v>
      </c>
      <c r="V2644" s="11" t="s">
        <v>41</v>
      </c>
      <c r="W2644" s="11">
        <v>16000000</v>
      </c>
      <c r="X2644" s="11">
        <v>2003</v>
      </c>
      <c r="Y2644" s="11">
        <v>807</v>
      </c>
      <c r="Z2644" s="11">
        <v>5.1</v>
      </c>
      <c r="AA2644" s="11">
        <v>2.35</v>
      </c>
      <c r="AB2644" s="11">
        <v>0</v>
      </c>
      <c r="AC2644" s="11"/>
      <c r="AD2644" s="11" t="str">
        <f>IFERROR(__xludf.DUMMYFUNCTION("""COMPUTED_VALUE"""),"Lainie Kazan")</f>
        <v>Lainie Kazan</v>
      </c>
      <c r="AE2644" s="11"/>
    </row>
    <row r="2645" customHeight="1" spans="1:31">
      <c r="A2645" s="12" t="s">
        <v>30</v>
      </c>
      <c r="B2645" s="12" t="s">
        <v>12815</v>
      </c>
      <c r="C2645" s="12">
        <v>78</v>
      </c>
      <c r="D2645" s="12">
        <v>120</v>
      </c>
      <c r="E2645" s="12">
        <v>18</v>
      </c>
      <c r="F2645" s="12">
        <v>944</v>
      </c>
      <c r="G2645" s="12">
        <v>20000</v>
      </c>
      <c r="H2645" s="12">
        <v>33771174</v>
      </c>
      <c r="I2645" s="12" t="s">
        <v>1415</v>
      </c>
      <c r="J2645" s="12" t="s">
        <v>842</v>
      </c>
      <c r="K2645" s="12" t="s">
        <v>303</v>
      </c>
      <c r="L2645" s="12" t="s">
        <v>4136</v>
      </c>
      <c r="M2645" s="12" t="s">
        <v>12816</v>
      </c>
      <c r="N2645" s="12">
        <v>27044</v>
      </c>
      <c r="O2645" s="12">
        <v>22383</v>
      </c>
      <c r="P2645" s="12">
        <v>2</v>
      </c>
      <c r="Q2645" s="12" t="s">
        <v>12817</v>
      </c>
      <c r="R2645" s="15" t="s">
        <v>12818</v>
      </c>
      <c r="S2645" s="12">
        <v>240</v>
      </c>
      <c r="T2645" s="12" t="s">
        <v>39</v>
      </c>
      <c r="U2645" s="12" t="s">
        <v>40</v>
      </c>
      <c r="V2645" s="12" t="s">
        <v>41</v>
      </c>
      <c r="W2645" s="12">
        <v>15000000</v>
      </c>
      <c r="X2645" s="12">
        <v>2000</v>
      </c>
      <c r="Y2645" s="12">
        <v>1000</v>
      </c>
      <c r="Z2645" s="12">
        <v>6.8</v>
      </c>
      <c r="AA2645" s="12">
        <v>1.85</v>
      </c>
      <c r="AB2645" s="12">
        <v>0</v>
      </c>
      <c r="AC2645" s="12"/>
      <c r="AD2645" s="12" t="str">
        <f>IFERROR(__xludf.DUMMYFUNCTION("""COMPUTED_VALUE"""),"Judith Barsi")</f>
        <v>Judith Barsi</v>
      </c>
      <c r="AE2645" s="12"/>
    </row>
    <row r="2646" customHeight="1" spans="1:31">
      <c r="A2646" s="11" t="s">
        <v>30</v>
      </c>
      <c r="B2646" s="11" t="s">
        <v>9066</v>
      </c>
      <c r="C2646" s="11">
        <v>181</v>
      </c>
      <c r="D2646" s="11">
        <v>227</v>
      </c>
      <c r="E2646" s="11">
        <v>767</v>
      </c>
      <c r="F2646" s="11">
        <v>87</v>
      </c>
      <c r="G2646" s="11">
        <v>607</v>
      </c>
      <c r="H2646" s="11">
        <v>6000000</v>
      </c>
      <c r="I2646" s="11" t="s">
        <v>3431</v>
      </c>
      <c r="J2646" s="11" t="s">
        <v>12819</v>
      </c>
      <c r="K2646" s="11" t="s">
        <v>5879</v>
      </c>
      <c r="L2646" s="11" t="s">
        <v>10060</v>
      </c>
      <c r="M2646" s="11" t="s">
        <v>12820</v>
      </c>
      <c r="N2646" s="11">
        <v>192775</v>
      </c>
      <c r="O2646" s="11">
        <v>1076</v>
      </c>
      <c r="P2646" s="11">
        <v>8</v>
      </c>
      <c r="Q2646" s="11" t="s">
        <v>12821</v>
      </c>
      <c r="R2646" s="14" t="s">
        <v>12822</v>
      </c>
      <c r="S2646" s="11">
        <v>559</v>
      </c>
      <c r="T2646" s="11" t="s">
        <v>39</v>
      </c>
      <c r="U2646" s="11" t="s">
        <v>58</v>
      </c>
      <c r="V2646" s="11" t="s">
        <v>96</v>
      </c>
      <c r="W2646" s="11">
        <v>15000000</v>
      </c>
      <c r="X2646" s="11">
        <v>1962</v>
      </c>
      <c r="Y2646" s="11">
        <v>202</v>
      </c>
      <c r="Z2646" s="11">
        <v>8.4</v>
      </c>
      <c r="AA2646" s="11">
        <v>2.2</v>
      </c>
      <c r="AB2646" s="11">
        <v>11000</v>
      </c>
      <c r="AC2646" s="11"/>
      <c r="AD2646" s="11" t="str">
        <f>IFERROR(__xludf.DUMMYFUNCTION("""COMPUTED_VALUE"""),"Lynn Whitfield")</f>
        <v>Lynn Whitfield</v>
      </c>
      <c r="AE2646" s="11"/>
    </row>
    <row r="2647" customHeight="1" spans="1:31">
      <c r="A2647" s="12" t="s">
        <v>30</v>
      </c>
      <c r="B2647" s="12" t="s">
        <v>12823</v>
      </c>
      <c r="C2647" s="12">
        <v>220</v>
      </c>
      <c r="D2647" s="12">
        <v>119</v>
      </c>
      <c r="E2647" s="12">
        <v>0</v>
      </c>
      <c r="F2647" s="12">
        <v>593</v>
      </c>
      <c r="G2647" s="12">
        <v>908</v>
      </c>
      <c r="H2647" s="12">
        <v>33386128</v>
      </c>
      <c r="I2647" s="12" t="s">
        <v>6403</v>
      </c>
      <c r="J2647" s="12" t="s">
        <v>10033</v>
      </c>
      <c r="K2647" s="12" t="s">
        <v>3000</v>
      </c>
      <c r="L2647" s="12" t="s">
        <v>4582</v>
      </c>
      <c r="M2647" s="12" t="s">
        <v>12824</v>
      </c>
      <c r="N2647" s="12">
        <v>36372</v>
      </c>
      <c r="O2647" s="12">
        <v>3226</v>
      </c>
      <c r="P2647" s="12">
        <v>0</v>
      </c>
      <c r="Q2647" s="12" t="s">
        <v>12825</v>
      </c>
      <c r="R2647" s="15" t="s">
        <v>12826</v>
      </c>
      <c r="S2647" s="12">
        <v>491</v>
      </c>
      <c r="T2647" s="12" t="s">
        <v>39</v>
      </c>
      <c r="U2647" s="12" t="s">
        <v>40</v>
      </c>
      <c r="V2647" s="12" t="s">
        <v>586</v>
      </c>
      <c r="W2647" s="12">
        <v>15000000</v>
      </c>
      <c r="X2647" s="12">
        <v>2009</v>
      </c>
      <c r="Y2647" s="12">
        <v>764</v>
      </c>
      <c r="Z2647" s="12">
        <v>4.9</v>
      </c>
      <c r="AA2647" s="12">
        <v>1.85</v>
      </c>
      <c r="AB2647" s="12">
        <v>3000</v>
      </c>
      <c r="AC2647" s="12"/>
      <c r="AD2647" s="12" t="str">
        <f>IFERROR(__xludf.DUMMYFUNCTION("""COMPUTED_VALUE"""),"Garrett Morris")</f>
        <v>Garrett Morris</v>
      </c>
      <c r="AE2647" s="12"/>
    </row>
    <row r="2648" customHeight="1" spans="1:31">
      <c r="A2648" s="11" t="s">
        <v>30</v>
      </c>
      <c r="B2648" s="11" t="s">
        <v>7645</v>
      </c>
      <c r="C2648" s="11">
        <v>349</v>
      </c>
      <c r="D2648" s="11">
        <v>115</v>
      </c>
      <c r="E2648" s="11">
        <v>212</v>
      </c>
      <c r="F2648" s="11">
        <v>612</v>
      </c>
      <c r="G2648" s="11">
        <v>2000</v>
      </c>
      <c r="H2648" s="11">
        <v>37877959</v>
      </c>
      <c r="I2648" s="11" t="s">
        <v>11070</v>
      </c>
      <c r="J2648" s="11" t="s">
        <v>7646</v>
      </c>
      <c r="K2648" s="11" t="s">
        <v>1066</v>
      </c>
      <c r="L2648" s="11" t="s">
        <v>2263</v>
      </c>
      <c r="M2648" s="11" t="s">
        <v>12827</v>
      </c>
      <c r="N2648" s="11">
        <v>86664</v>
      </c>
      <c r="O2648" s="11">
        <v>4896</v>
      </c>
      <c r="P2648" s="11">
        <v>1</v>
      </c>
      <c r="Q2648" s="11" t="s">
        <v>12828</v>
      </c>
      <c r="R2648" s="14" t="s">
        <v>12829</v>
      </c>
      <c r="S2648" s="11">
        <v>252</v>
      </c>
      <c r="T2648" s="11" t="s">
        <v>39</v>
      </c>
      <c r="U2648" s="11" t="s">
        <v>40</v>
      </c>
      <c r="V2648" s="11" t="s">
        <v>586</v>
      </c>
      <c r="W2648" s="11">
        <v>15000000</v>
      </c>
      <c r="X2648" s="11">
        <v>2014</v>
      </c>
      <c r="Y2648" s="11">
        <v>820</v>
      </c>
      <c r="Z2648" s="11">
        <v>7.1</v>
      </c>
      <c r="AA2648" s="11">
        <v>2.35</v>
      </c>
      <c r="AB2648" s="11">
        <v>38000</v>
      </c>
      <c r="AC2648" s="11"/>
      <c r="AD2648" s="11" t="str">
        <f>IFERROR(__xludf.DUMMYFUNCTION("""COMPUTED_VALUE"""),"Ian Hart")</f>
        <v>Ian Hart</v>
      </c>
      <c r="AE2648" s="11"/>
    </row>
    <row r="2649" customHeight="1" spans="1:31">
      <c r="A2649" s="12" t="s">
        <v>30</v>
      </c>
      <c r="B2649" s="12" t="s">
        <v>12830</v>
      </c>
      <c r="C2649" s="12">
        <v>241</v>
      </c>
      <c r="D2649" s="12">
        <v>114</v>
      </c>
      <c r="E2649" s="12">
        <v>29</v>
      </c>
      <c r="F2649" s="12">
        <v>616</v>
      </c>
      <c r="G2649" s="12">
        <v>956</v>
      </c>
      <c r="H2649" s="12">
        <v>32721635</v>
      </c>
      <c r="I2649" s="12" t="s">
        <v>6790</v>
      </c>
      <c r="J2649" s="12" t="s">
        <v>1018</v>
      </c>
      <c r="K2649" s="12" t="s">
        <v>2637</v>
      </c>
      <c r="L2649" s="12" t="s">
        <v>12831</v>
      </c>
      <c r="M2649" s="12" t="s">
        <v>12832</v>
      </c>
      <c r="N2649" s="12">
        <v>67822</v>
      </c>
      <c r="O2649" s="12">
        <v>3861</v>
      </c>
      <c r="P2649" s="12">
        <v>0</v>
      </c>
      <c r="Q2649" s="12" t="s">
        <v>12833</v>
      </c>
      <c r="R2649" s="15" t="s">
        <v>12834</v>
      </c>
      <c r="S2649" s="12">
        <v>279</v>
      </c>
      <c r="T2649" s="12" t="s">
        <v>39</v>
      </c>
      <c r="U2649" s="12" t="s">
        <v>40</v>
      </c>
      <c r="V2649" s="12" t="s">
        <v>586</v>
      </c>
      <c r="W2649" s="12">
        <v>15000000</v>
      </c>
      <c r="X2649" s="12">
        <v>2009</v>
      </c>
      <c r="Y2649" s="12">
        <v>878</v>
      </c>
      <c r="Z2649" s="12">
        <v>6.6</v>
      </c>
      <c r="AA2649" s="12">
        <v>1.85</v>
      </c>
      <c r="AB2649" s="12">
        <v>0</v>
      </c>
      <c r="AC2649" s="12"/>
      <c r="AD2649" s="12" t="str">
        <f>IFERROR(__xludf.DUMMYFUNCTION("""COMPUTED_VALUE"""),"James Bolam")</f>
        <v>James Bolam</v>
      </c>
      <c r="AE2649" s="12"/>
    </row>
    <row r="2650" customHeight="1" spans="1:31">
      <c r="A2650" s="11" t="s">
        <v>30</v>
      </c>
      <c r="B2650" s="11" t="s">
        <v>12503</v>
      </c>
      <c r="C2650" s="11">
        <v>103</v>
      </c>
      <c r="D2650" s="11">
        <v>90</v>
      </c>
      <c r="E2650" s="11">
        <v>6</v>
      </c>
      <c r="F2650" s="11">
        <v>458</v>
      </c>
      <c r="G2650" s="11">
        <v>1000</v>
      </c>
      <c r="H2650" s="11">
        <v>31585300</v>
      </c>
      <c r="I2650" s="11" t="s">
        <v>1681</v>
      </c>
      <c r="J2650" s="11" t="s">
        <v>46</v>
      </c>
      <c r="K2650" s="11" t="s">
        <v>2388</v>
      </c>
      <c r="L2650" s="11" t="s">
        <v>4594</v>
      </c>
      <c r="M2650" s="11" t="s">
        <v>12835</v>
      </c>
      <c r="N2650" s="11">
        <v>38248</v>
      </c>
      <c r="O2650" s="11">
        <v>2666</v>
      </c>
      <c r="P2650" s="11">
        <v>0</v>
      </c>
      <c r="Q2650" s="11" t="s">
        <v>12836</v>
      </c>
      <c r="R2650" s="14" t="s">
        <v>12837</v>
      </c>
      <c r="S2650" s="11">
        <v>250</v>
      </c>
      <c r="T2650" s="11" t="s">
        <v>39</v>
      </c>
      <c r="U2650" s="11" t="s">
        <v>40</v>
      </c>
      <c r="V2650" s="11" t="s">
        <v>41</v>
      </c>
      <c r="W2650" s="11">
        <v>15000000</v>
      </c>
      <c r="X2650" s="11">
        <v>2005</v>
      </c>
      <c r="Y2650" s="11">
        <v>650</v>
      </c>
      <c r="Z2650" s="11">
        <v>6.1</v>
      </c>
      <c r="AA2650" s="11">
        <v>1.85</v>
      </c>
      <c r="AB2650" s="11">
        <v>0</v>
      </c>
      <c r="AC2650" s="11"/>
      <c r="AD2650" s="11" t="str">
        <f>IFERROR(__xludf.DUMMYFUNCTION("""COMPUTED_VALUE"""),"Benoît Poelvoorde")</f>
        <v>Benoît Poelvoorde</v>
      </c>
      <c r="AE2650" s="11"/>
    </row>
    <row r="2651" customHeight="1" spans="1:31">
      <c r="A2651" s="12" t="s">
        <v>30</v>
      </c>
      <c r="B2651" s="12" t="s">
        <v>12838</v>
      </c>
      <c r="C2651" s="12">
        <v>151</v>
      </c>
      <c r="D2651" s="12">
        <v>94</v>
      </c>
      <c r="E2651" s="12">
        <v>28</v>
      </c>
      <c r="F2651" s="12">
        <v>731</v>
      </c>
      <c r="G2651" s="12">
        <v>2000</v>
      </c>
      <c r="H2651" s="12">
        <v>30259652</v>
      </c>
      <c r="I2651" s="12" t="s">
        <v>12839</v>
      </c>
      <c r="J2651" s="12" t="s">
        <v>1734</v>
      </c>
      <c r="K2651" s="12" t="s">
        <v>4600</v>
      </c>
      <c r="L2651" s="12" t="s">
        <v>4144</v>
      </c>
      <c r="M2651" s="12" t="s">
        <v>12840</v>
      </c>
      <c r="N2651" s="12">
        <v>26905</v>
      </c>
      <c r="O2651" s="12">
        <v>5440</v>
      </c>
      <c r="P2651" s="12">
        <v>5</v>
      </c>
      <c r="Q2651" s="12" t="s">
        <v>12841</v>
      </c>
      <c r="R2651" s="15" t="s">
        <v>12842</v>
      </c>
      <c r="S2651" s="12">
        <v>614</v>
      </c>
      <c r="T2651" s="12" t="s">
        <v>39</v>
      </c>
      <c r="U2651" s="12" t="s">
        <v>40</v>
      </c>
      <c r="V2651" s="12" t="s">
        <v>586</v>
      </c>
      <c r="W2651" s="12">
        <v>15000000</v>
      </c>
      <c r="X2651" s="12">
        <v>2002</v>
      </c>
      <c r="Y2651" s="12">
        <v>864</v>
      </c>
      <c r="Z2651" s="12">
        <v>4.1</v>
      </c>
      <c r="AA2651" s="12">
        <v>2.35</v>
      </c>
      <c r="AB2651" s="12">
        <v>0</v>
      </c>
      <c r="AC2651" s="12"/>
      <c r="AD2651" s="12" t="str">
        <f>IFERROR(__xludf.DUMMYFUNCTION("""COMPUTED_VALUE"""),"Marie Gillain")</f>
        <v>Marie Gillain</v>
      </c>
      <c r="AE2651" s="12"/>
    </row>
    <row r="2652" customHeight="1" spans="1:31">
      <c r="A2652" s="11" t="s">
        <v>30</v>
      </c>
      <c r="B2652" s="11" t="s">
        <v>1115</v>
      </c>
      <c r="C2652" s="11">
        <v>344</v>
      </c>
      <c r="D2652" s="11">
        <v>106</v>
      </c>
      <c r="E2652" s="11">
        <v>255</v>
      </c>
      <c r="F2652" s="11">
        <v>850</v>
      </c>
      <c r="G2652" s="11">
        <v>14000</v>
      </c>
      <c r="H2652" s="11">
        <v>163192114</v>
      </c>
      <c r="I2652" s="11" t="s">
        <v>43</v>
      </c>
      <c r="J2652" s="11" t="s">
        <v>228</v>
      </c>
      <c r="K2652" s="11" t="s">
        <v>688</v>
      </c>
      <c r="L2652" s="11" t="s">
        <v>1301</v>
      </c>
      <c r="M2652" s="11" t="s">
        <v>1302</v>
      </c>
      <c r="N2652" s="11">
        <v>229687</v>
      </c>
      <c r="O2652" s="11">
        <v>18003</v>
      </c>
      <c r="P2652" s="11">
        <v>0</v>
      </c>
      <c r="Q2652" s="11" t="s">
        <v>1303</v>
      </c>
      <c r="R2652" s="14" t="s">
        <v>1304</v>
      </c>
      <c r="S2652" s="11">
        <v>637</v>
      </c>
      <c r="T2652" s="11" t="s">
        <v>39</v>
      </c>
      <c r="U2652" s="11" t="s">
        <v>40</v>
      </c>
      <c r="V2652" s="11" t="s">
        <v>41</v>
      </c>
      <c r="W2652" s="11">
        <v>125000000</v>
      </c>
      <c r="X2652" s="11">
        <v>2010</v>
      </c>
      <c r="Y2652" s="11">
        <v>1000</v>
      </c>
      <c r="Z2652" s="11">
        <v>5.8</v>
      </c>
      <c r="AA2652" s="11">
        <v>2.35</v>
      </c>
      <c r="AB2652" s="11">
        <v>15000</v>
      </c>
      <c r="AC2652" s="11"/>
      <c r="AD2652" s="11" t="str">
        <f>IFERROR(__xludf.DUMMYFUNCTION("""COMPUTED_VALUE"""),"Landon Liboiron")</f>
        <v>Landon Liboiron</v>
      </c>
      <c r="AE2652" s="11"/>
    </row>
    <row r="2653" customHeight="1" spans="1:31">
      <c r="A2653" s="12" t="s">
        <v>30</v>
      </c>
      <c r="B2653" s="12" t="s">
        <v>3892</v>
      </c>
      <c r="C2653" s="12">
        <v>185</v>
      </c>
      <c r="D2653" s="12">
        <v>98</v>
      </c>
      <c r="E2653" s="12">
        <v>0</v>
      </c>
      <c r="F2653" s="12">
        <v>594</v>
      </c>
      <c r="G2653" s="12">
        <v>18000</v>
      </c>
      <c r="H2653" s="12">
        <v>30857814</v>
      </c>
      <c r="I2653" s="12" t="s">
        <v>3426</v>
      </c>
      <c r="J2653" s="12" t="s">
        <v>438</v>
      </c>
      <c r="K2653" s="12" t="s">
        <v>6745</v>
      </c>
      <c r="L2653" s="12" t="s">
        <v>12843</v>
      </c>
      <c r="M2653" s="12" t="s">
        <v>12844</v>
      </c>
      <c r="N2653" s="12">
        <v>294163</v>
      </c>
      <c r="O2653" s="12">
        <v>20060</v>
      </c>
      <c r="P2653" s="12">
        <v>0</v>
      </c>
      <c r="Q2653" s="12" t="s">
        <v>12845</v>
      </c>
      <c r="R2653" s="15" t="s">
        <v>12846</v>
      </c>
      <c r="S2653" s="12">
        <v>718</v>
      </c>
      <c r="T2653" s="12" t="s">
        <v>39</v>
      </c>
      <c r="U2653" s="12" t="s">
        <v>40</v>
      </c>
      <c r="V2653" s="12" t="s">
        <v>96</v>
      </c>
      <c r="W2653" s="12">
        <v>16000000</v>
      </c>
      <c r="X2653" s="12">
        <v>1987</v>
      </c>
      <c r="Y2653" s="12">
        <v>636</v>
      </c>
      <c r="Z2653" s="12">
        <v>8.1</v>
      </c>
      <c r="AA2653" s="12">
        <v>1.85</v>
      </c>
      <c r="AB2653" s="12">
        <v>33000</v>
      </c>
      <c r="AC2653" s="12"/>
      <c r="AD2653" s="12" t="str">
        <f>IFERROR(__xludf.DUMMYFUNCTION("""COMPUTED_VALUE"""),"Tom Burke")</f>
        <v>Tom Burke</v>
      </c>
      <c r="AE2653" s="12"/>
    </row>
    <row r="2654" customHeight="1" spans="1:31">
      <c r="A2654" s="11" t="s">
        <v>30</v>
      </c>
      <c r="B2654" s="11" t="s">
        <v>1727</v>
      </c>
      <c r="C2654" s="11">
        <v>112</v>
      </c>
      <c r="D2654" s="11">
        <v>126</v>
      </c>
      <c r="E2654" s="11">
        <v>18000</v>
      </c>
      <c r="F2654" s="11">
        <v>697</v>
      </c>
      <c r="G2654" s="11">
        <v>18000</v>
      </c>
      <c r="H2654" s="11">
        <v>30226144</v>
      </c>
      <c r="I2654" s="11" t="s">
        <v>1544</v>
      </c>
      <c r="J2654" s="11" t="s">
        <v>1727</v>
      </c>
      <c r="K2654" s="11" t="s">
        <v>8433</v>
      </c>
      <c r="L2654" s="11" t="s">
        <v>3198</v>
      </c>
      <c r="M2654" s="11" t="s">
        <v>12847</v>
      </c>
      <c r="N2654" s="11">
        <v>47626</v>
      </c>
      <c r="O2654" s="11">
        <v>22745</v>
      </c>
      <c r="P2654" s="11">
        <v>1</v>
      </c>
      <c r="Q2654" s="11" t="s">
        <v>12848</v>
      </c>
      <c r="R2654" s="14" t="s">
        <v>12849</v>
      </c>
      <c r="S2654" s="11">
        <v>118</v>
      </c>
      <c r="T2654" s="11" t="s">
        <v>39</v>
      </c>
      <c r="U2654" s="11" t="s">
        <v>40</v>
      </c>
      <c r="V2654" s="11" t="s">
        <v>41</v>
      </c>
      <c r="W2654" s="11">
        <v>15000000</v>
      </c>
      <c r="X2654" s="11">
        <v>2007</v>
      </c>
      <c r="Y2654" s="11">
        <v>2000</v>
      </c>
      <c r="Z2654" s="11">
        <v>7.6</v>
      </c>
      <c r="AA2654" s="11">
        <v>2.35</v>
      </c>
      <c r="AB2654" s="11">
        <v>0</v>
      </c>
      <c r="AC2654" s="11"/>
      <c r="AD2654" s="11" t="str">
        <f>IFERROR(__xludf.DUMMYFUNCTION("""COMPUTED_VALUE"""),"Iben Hjejle")</f>
        <v>Iben Hjejle</v>
      </c>
      <c r="AE2654" s="11"/>
    </row>
    <row r="2655" customHeight="1" spans="1:31">
      <c r="A2655" s="12" t="s">
        <v>30</v>
      </c>
      <c r="B2655" s="12" t="s">
        <v>12850</v>
      </c>
      <c r="C2655" s="12">
        <v>676</v>
      </c>
      <c r="D2655" s="12">
        <v>100</v>
      </c>
      <c r="E2655" s="12">
        <v>0</v>
      </c>
      <c r="F2655" s="12">
        <v>228</v>
      </c>
      <c r="G2655" s="12">
        <v>33000</v>
      </c>
      <c r="H2655" s="12">
        <v>35054909</v>
      </c>
      <c r="I2655" s="12" t="s">
        <v>1936</v>
      </c>
      <c r="J2655" s="12" t="s">
        <v>4214</v>
      </c>
      <c r="K2655" s="12" t="s">
        <v>2968</v>
      </c>
      <c r="L2655" s="12" t="s">
        <v>12851</v>
      </c>
      <c r="M2655" s="12" t="s">
        <v>12852</v>
      </c>
      <c r="N2655" s="12">
        <v>431578</v>
      </c>
      <c r="O2655" s="12">
        <v>34337</v>
      </c>
      <c r="P2655" s="12">
        <v>0</v>
      </c>
      <c r="Q2655" s="12" t="s">
        <v>12853</v>
      </c>
      <c r="R2655" s="15" t="s">
        <v>12854</v>
      </c>
      <c r="S2655" s="12">
        <v>1264</v>
      </c>
      <c r="T2655" s="12" t="s">
        <v>39</v>
      </c>
      <c r="U2655" s="12" t="s">
        <v>40</v>
      </c>
      <c r="V2655" s="12" t="s">
        <v>586</v>
      </c>
      <c r="W2655" s="12">
        <v>15000000</v>
      </c>
      <c r="X2655" s="12">
        <v>2011</v>
      </c>
      <c r="Y2655" s="12">
        <v>745</v>
      </c>
      <c r="Z2655" s="12">
        <v>7.8</v>
      </c>
      <c r="AA2655" s="12">
        <v>2.35</v>
      </c>
      <c r="AB2655" s="12">
        <v>81000</v>
      </c>
      <c r="AC2655" s="12"/>
      <c r="AD2655" s="12" t="str">
        <f>IFERROR(__xludf.DUMMYFUNCTION("""COMPUTED_VALUE"""),"Gaye Brown")</f>
        <v>Gaye Brown</v>
      </c>
      <c r="AE2655" s="12"/>
    </row>
    <row r="2656" customHeight="1" spans="1:31">
      <c r="A2656" s="11" t="s">
        <v>30</v>
      </c>
      <c r="B2656" s="11" t="s">
        <v>12855</v>
      </c>
      <c r="C2656" s="11">
        <v>74</v>
      </c>
      <c r="D2656" s="11">
        <v>89</v>
      </c>
      <c r="E2656" s="11">
        <v>10</v>
      </c>
      <c r="F2656" s="11">
        <v>231</v>
      </c>
      <c r="G2656" s="11">
        <v>811</v>
      </c>
      <c r="H2656" s="11">
        <v>29302097</v>
      </c>
      <c r="I2656" s="11" t="s">
        <v>12856</v>
      </c>
      <c r="J2656" s="11" t="s">
        <v>5626</v>
      </c>
      <c r="K2656" s="11" t="s">
        <v>6745</v>
      </c>
      <c r="L2656" s="11" t="s">
        <v>2867</v>
      </c>
      <c r="M2656" s="11" t="s">
        <v>12857</v>
      </c>
      <c r="N2656" s="11">
        <v>23408</v>
      </c>
      <c r="O2656" s="11">
        <v>2167</v>
      </c>
      <c r="P2656" s="11">
        <v>8</v>
      </c>
      <c r="Q2656" s="11" t="s">
        <v>12858</v>
      </c>
      <c r="R2656" s="14" t="s">
        <v>12859</v>
      </c>
      <c r="S2656" s="11">
        <v>105</v>
      </c>
      <c r="T2656" s="11" t="s">
        <v>39</v>
      </c>
      <c r="U2656" s="11" t="s">
        <v>768</v>
      </c>
      <c r="V2656" s="11" t="s">
        <v>96</v>
      </c>
      <c r="W2656" s="11">
        <v>15000000</v>
      </c>
      <c r="X2656" s="11">
        <v>2004</v>
      </c>
      <c r="Y2656" s="11">
        <v>636</v>
      </c>
      <c r="Z2656" s="11">
        <v>4.6</v>
      </c>
      <c r="AA2656" s="11">
        <v>1.85</v>
      </c>
      <c r="AB2656" s="11">
        <v>810</v>
      </c>
      <c r="AC2656" s="11"/>
      <c r="AD2656" s="11" t="str">
        <f>IFERROR(__xludf.DUMMYFUNCTION("""COMPUTED_VALUE"""),"Romola Garai")</f>
        <v>Romola Garai</v>
      </c>
      <c r="AE2656" s="11"/>
    </row>
    <row r="2657" customHeight="1" spans="1:31">
      <c r="A2657" s="12" t="s">
        <v>30</v>
      </c>
      <c r="B2657" s="12" t="s">
        <v>11882</v>
      </c>
      <c r="C2657" s="12">
        <v>65</v>
      </c>
      <c r="D2657" s="12">
        <v>111</v>
      </c>
      <c r="E2657" s="12">
        <v>13</v>
      </c>
      <c r="F2657" s="12">
        <v>106</v>
      </c>
      <c r="G2657" s="12">
        <v>818</v>
      </c>
      <c r="H2657" s="12">
        <v>29106737</v>
      </c>
      <c r="I2657" s="12" t="s">
        <v>1415</v>
      </c>
      <c r="J2657" s="12" t="s">
        <v>2621</v>
      </c>
      <c r="K2657" s="12" t="s">
        <v>5357</v>
      </c>
      <c r="L2657" s="12" t="s">
        <v>12860</v>
      </c>
      <c r="M2657" s="12" t="s">
        <v>12861</v>
      </c>
      <c r="N2657" s="12">
        <v>15582</v>
      </c>
      <c r="O2657" s="12">
        <v>1450</v>
      </c>
      <c r="P2657" s="12">
        <v>0</v>
      </c>
      <c r="Q2657" s="12" t="s">
        <v>12862</v>
      </c>
      <c r="R2657" s="15" t="s">
        <v>12863</v>
      </c>
      <c r="S2657" s="12">
        <v>132</v>
      </c>
      <c r="T2657" s="12" t="s">
        <v>39</v>
      </c>
      <c r="U2657" s="12" t="s">
        <v>40</v>
      </c>
      <c r="V2657" s="12" t="s">
        <v>586</v>
      </c>
      <c r="W2657" s="12">
        <v>15000000</v>
      </c>
      <c r="X2657" s="12">
        <v>1998</v>
      </c>
      <c r="Y2657" s="12">
        <v>511</v>
      </c>
      <c r="Z2657" s="12">
        <v>6</v>
      </c>
      <c r="AA2657" s="12">
        <v>1.85</v>
      </c>
      <c r="AB2657" s="12">
        <v>849</v>
      </c>
      <c r="AC2657" s="12"/>
      <c r="AD2657" s="12" t="str">
        <f>IFERROR(__xludf.DUMMYFUNCTION("""COMPUTED_VALUE"""),"Roger Lloyd Pack")</f>
        <v>Roger Lloyd Pack</v>
      </c>
      <c r="AE2657" s="12"/>
    </row>
    <row r="2658" customHeight="1" spans="1:31">
      <c r="A2658" s="11" t="s">
        <v>30</v>
      </c>
      <c r="B2658" s="11" t="s">
        <v>12864</v>
      </c>
      <c r="C2658" s="11">
        <v>274</v>
      </c>
      <c r="D2658" s="11">
        <v>100</v>
      </c>
      <c r="E2658" s="11">
        <v>35</v>
      </c>
      <c r="F2658" s="11">
        <v>306</v>
      </c>
      <c r="G2658" s="11">
        <v>10000</v>
      </c>
      <c r="H2658" s="11">
        <v>28637507</v>
      </c>
      <c r="I2658" s="11" t="s">
        <v>782</v>
      </c>
      <c r="J2658" s="11" t="s">
        <v>888</v>
      </c>
      <c r="K2658" s="11" t="s">
        <v>2808</v>
      </c>
      <c r="L2658" s="11" t="s">
        <v>2243</v>
      </c>
      <c r="M2658" s="11" t="s">
        <v>12865</v>
      </c>
      <c r="N2658" s="11">
        <v>212167</v>
      </c>
      <c r="O2658" s="11">
        <v>11471</v>
      </c>
      <c r="P2658" s="11">
        <v>1</v>
      </c>
      <c r="Q2658" s="11" t="s">
        <v>12866</v>
      </c>
      <c r="R2658" s="14" t="s">
        <v>12867</v>
      </c>
      <c r="S2658" s="11">
        <v>713</v>
      </c>
      <c r="T2658" s="11" t="s">
        <v>39</v>
      </c>
      <c r="U2658" s="11" t="s">
        <v>58</v>
      </c>
      <c r="V2658" s="11" t="s">
        <v>586</v>
      </c>
      <c r="W2658" s="11">
        <v>15000000</v>
      </c>
      <c r="X2658" s="11">
        <v>2007</v>
      </c>
      <c r="Y2658" s="11">
        <v>1000</v>
      </c>
      <c r="Z2658" s="11">
        <v>7</v>
      </c>
      <c r="AA2658" s="11">
        <v>1.85</v>
      </c>
      <c r="AB2658" s="11">
        <v>0</v>
      </c>
      <c r="AC2658" s="11"/>
      <c r="AD2658" s="11" t="str">
        <f>IFERROR(__xludf.DUMMYFUNCTION("""COMPUTED_VALUE"""),"Lillete Dubey")</f>
        <v>Lillete Dubey</v>
      </c>
      <c r="AE2658" s="11"/>
    </row>
    <row r="2659" customHeight="1" spans="1:31">
      <c r="A2659" s="12" t="s">
        <v>30</v>
      </c>
      <c r="B2659" s="12" t="s">
        <v>5770</v>
      </c>
      <c r="C2659" s="12">
        <v>50</v>
      </c>
      <c r="D2659" s="12">
        <v>115</v>
      </c>
      <c r="E2659" s="12">
        <v>49</v>
      </c>
      <c r="F2659" s="12">
        <v>100</v>
      </c>
      <c r="G2659" s="12">
        <v>116</v>
      </c>
      <c r="H2659" s="12">
        <v>30127963</v>
      </c>
      <c r="I2659" s="12" t="s">
        <v>7964</v>
      </c>
      <c r="J2659" s="12" t="s">
        <v>12868</v>
      </c>
      <c r="K2659" s="12" t="s">
        <v>10409</v>
      </c>
      <c r="L2659" s="12" t="s">
        <v>12869</v>
      </c>
      <c r="M2659" s="12" t="s">
        <v>12870</v>
      </c>
      <c r="N2659" s="12">
        <v>12596</v>
      </c>
      <c r="O2659" s="12">
        <v>525</v>
      </c>
      <c r="P2659" s="12">
        <v>0</v>
      </c>
      <c r="Q2659" s="12" t="s">
        <v>12871</v>
      </c>
      <c r="R2659" s="15" t="s">
        <v>12872</v>
      </c>
      <c r="S2659" s="12">
        <v>64</v>
      </c>
      <c r="T2659" s="12" t="s">
        <v>39</v>
      </c>
      <c r="U2659" s="12" t="s">
        <v>40</v>
      </c>
      <c r="V2659" s="12" t="s">
        <v>96</v>
      </c>
      <c r="W2659" s="12">
        <v>15000000</v>
      </c>
      <c r="X2659" s="12">
        <v>2014</v>
      </c>
      <c r="Y2659" s="12">
        <v>110</v>
      </c>
      <c r="Z2659" s="12">
        <v>6.7</v>
      </c>
      <c r="AA2659" s="12">
        <v>1.85</v>
      </c>
      <c r="AB2659" s="12">
        <v>0</v>
      </c>
      <c r="AC2659" s="12"/>
      <c r="AD2659" s="12" t="str">
        <f>IFERROR(__xludf.DUMMYFUNCTION("""COMPUTED_VALUE"""),"Bingbing Fan")</f>
        <v>Bingbing Fan</v>
      </c>
      <c r="AE2659" s="12"/>
    </row>
    <row r="2660" customHeight="1" spans="1:31">
      <c r="A2660" s="11" t="s">
        <v>30</v>
      </c>
      <c r="B2660" s="11" t="s">
        <v>4620</v>
      </c>
      <c r="C2660" s="11">
        <v>96</v>
      </c>
      <c r="D2660" s="11">
        <v>106</v>
      </c>
      <c r="E2660" s="11">
        <v>61</v>
      </c>
      <c r="F2660" s="11">
        <v>649</v>
      </c>
      <c r="G2660" s="11">
        <v>907</v>
      </c>
      <c r="H2660" s="11">
        <v>32645546</v>
      </c>
      <c r="I2660" s="11" t="s">
        <v>3932</v>
      </c>
      <c r="J2660" s="11" t="s">
        <v>7513</v>
      </c>
      <c r="K2660" s="11" t="s">
        <v>12873</v>
      </c>
      <c r="L2660" s="11" t="s">
        <v>7798</v>
      </c>
      <c r="M2660" s="11" t="s">
        <v>12874</v>
      </c>
      <c r="N2660" s="11">
        <v>8427</v>
      </c>
      <c r="O2660" s="11">
        <v>3462</v>
      </c>
      <c r="P2660" s="11">
        <v>5</v>
      </c>
      <c r="Q2660" s="11" t="s">
        <v>12875</v>
      </c>
      <c r="R2660" s="14" t="s">
        <v>12876</v>
      </c>
      <c r="S2660" s="11">
        <v>88</v>
      </c>
      <c r="T2660" s="11" t="s">
        <v>39</v>
      </c>
      <c r="U2660" s="11" t="s">
        <v>40</v>
      </c>
      <c r="V2660" s="11" t="s">
        <v>96</v>
      </c>
      <c r="W2660" s="11">
        <v>14000000</v>
      </c>
      <c r="X2660" s="11">
        <v>2005</v>
      </c>
      <c r="Y2660" s="11">
        <v>807</v>
      </c>
      <c r="Z2660" s="11">
        <v>6.4</v>
      </c>
      <c r="AA2660" s="11">
        <v>1.85</v>
      </c>
      <c r="AB2660" s="11">
        <v>1000</v>
      </c>
      <c r="AC2660" s="11"/>
      <c r="AD2660" s="11" t="str">
        <f>IFERROR(__xludf.DUMMYFUNCTION("""COMPUTED_VALUE"""),"Simon Yam")</f>
        <v>Simon Yam</v>
      </c>
      <c r="AE2660" s="11"/>
    </row>
    <row r="2661" customHeight="1" spans="1:31">
      <c r="A2661" s="12" t="s">
        <v>30</v>
      </c>
      <c r="B2661" s="12" t="s">
        <v>12877</v>
      </c>
      <c r="C2661" s="12">
        <v>68</v>
      </c>
      <c r="D2661" s="12">
        <v>124</v>
      </c>
      <c r="E2661" s="12">
        <v>107</v>
      </c>
      <c r="F2661" s="12">
        <v>865</v>
      </c>
      <c r="G2661" s="12">
        <v>1000</v>
      </c>
      <c r="H2661" s="12">
        <v>27441122</v>
      </c>
      <c r="I2661" s="12" t="s">
        <v>4916</v>
      </c>
      <c r="J2661" s="12" t="s">
        <v>1232</v>
      </c>
      <c r="K2661" s="12" t="s">
        <v>2232</v>
      </c>
      <c r="L2661" s="12" t="s">
        <v>5969</v>
      </c>
      <c r="M2661" s="12" t="s">
        <v>12878</v>
      </c>
      <c r="N2661" s="12">
        <v>14322</v>
      </c>
      <c r="O2661" s="12">
        <v>5135</v>
      </c>
      <c r="P2661" s="12">
        <v>0</v>
      </c>
      <c r="Q2661" s="12" t="s">
        <v>12879</v>
      </c>
      <c r="R2661" s="15" t="s">
        <v>12880</v>
      </c>
      <c r="S2661" s="12">
        <v>116</v>
      </c>
      <c r="T2661" s="12" t="s">
        <v>39</v>
      </c>
      <c r="U2661" s="12" t="s">
        <v>40</v>
      </c>
      <c r="V2661" s="12" t="s">
        <v>41</v>
      </c>
      <c r="W2661" s="12">
        <v>15000000</v>
      </c>
      <c r="X2661" s="12">
        <v>2000</v>
      </c>
      <c r="Y2661" s="12">
        <v>886</v>
      </c>
      <c r="Z2661" s="12">
        <v>7.2</v>
      </c>
      <c r="AA2661" s="12">
        <v>1.85</v>
      </c>
      <c r="AB2661" s="12">
        <v>0</v>
      </c>
      <c r="AC2661" s="12"/>
      <c r="AD2661" s="12" t="str">
        <f>IFERROR(__xludf.DUMMYFUNCTION("""COMPUTED_VALUE"""),"Drew Powell")</f>
        <v>Drew Powell</v>
      </c>
      <c r="AE2661" s="12"/>
    </row>
    <row r="2662" customHeight="1" spans="1:31">
      <c r="A2662" s="11" t="s">
        <v>30</v>
      </c>
      <c r="B2662" s="11" t="s">
        <v>5477</v>
      </c>
      <c r="C2662" s="11">
        <v>111</v>
      </c>
      <c r="D2662" s="11">
        <v>107</v>
      </c>
      <c r="E2662" s="11">
        <v>5</v>
      </c>
      <c r="F2662" s="11">
        <v>141</v>
      </c>
      <c r="G2662" s="11">
        <v>893</v>
      </c>
      <c r="H2662" s="11">
        <v>28014536</v>
      </c>
      <c r="I2662" s="11" t="s">
        <v>1534</v>
      </c>
      <c r="J2662" s="11" t="s">
        <v>3491</v>
      </c>
      <c r="K2662" s="11" t="s">
        <v>5236</v>
      </c>
      <c r="L2662" s="11" t="s">
        <v>12881</v>
      </c>
      <c r="M2662" s="11" t="s">
        <v>12882</v>
      </c>
      <c r="N2662" s="11">
        <v>73347</v>
      </c>
      <c r="O2662" s="11">
        <v>2044</v>
      </c>
      <c r="P2662" s="11">
        <v>1</v>
      </c>
      <c r="Q2662" s="11" t="s">
        <v>12883</v>
      </c>
      <c r="R2662" s="14" t="s">
        <v>12884</v>
      </c>
      <c r="S2662" s="11">
        <v>296</v>
      </c>
      <c r="T2662" s="11" t="s">
        <v>39</v>
      </c>
      <c r="U2662" s="11" t="s">
        <v>40</v>
      </c>
      <c r="V2662" s="11" t="s">
        <v>586</v>
      </c>
      <c r="W2662" s="11">
        <v>15000000</v>
      </c>
      <c r="X2662" s="11">
        <v>1997</v>
      </c>
      <c r="Y2662" s="11">
        <v>822</v>
      </c>
      <c r="Z2662" s="11">
        <v>7.4</v>
      </c>
      <c r="AA2662" s="11">
        <v>1.85</v>
      </c>
      <c r="AB2662" s="11">
        <v>0</v>
      </c>
      <c r="AC2662" s="11"/>
      <c r="AD2662" s="11" t="str">
        <f>IFERROR(__xludf.DUMMYFUNCTION("""COMPUTED_VALUE"""),"Kim Thomson")</f>
        <v>Kim Thomson</v>
      </c>
      <c r="AE2662" s="11"/>
    </row>
    <row r="2663" customHeight="1" spans="1:31">
      <c r="A2663" s="12" t="s">
        <v>30</v>
      </c>
      <c r="B2663" s="12" t="s">
        <v>12885</v>
      </c>
      <c r="C2663" s="12">
        <v>128</v>
      </c>
      <c r="D2663" s="12">
        <v>99</v>
      </c>
      <c r="E2663" s="12">
        <v>3</v>
      </c>
      <c r="F2663" s="12">
        <v>628</v>
      </c>
      <c r="G2663" s="12">
        <v>14000</v>
      </c>
      <c r="H2663" s="12">
        <v>33860010</v>
      </c>
      <c r="I2663" s="12" t="s">
        <v>1681</v>
      </c>
      <c r="J2663" s="12" t="s">
        <v>655</v>
      </c>
      <c r="K2663" s="12" t="s">
        <v>2601</v>
      </c>
      <c r="L2663" s="12" t="s">
        <v>7032</v>
      </c>
      <c r="M2663" s="12" t="s">
        <v>12886</v>
      </c>
      <c r="N2663" s="12">
        <v>33088</v>
      </c>
      <c r="O2663" s="12">
        <v>16461</v>
      </c>
      <c r="P2663" s="12">
        <v>3</v>
      </c>
      <c r="Q2663" s="12" t="s">
        <v>12887</v>
      </c>
      <c r="R2663" s="15" t="s">
        <v>12888</v>
      </c>
      <c r="S2663" s="12">
        <v>143</v>
      </c>
      <c r="T2663" s="12" t="s">
        <v>39</v>
      </c>
      <c r="U2663" s="12" t="s">
        <v>40</v>
      </c>
      <c r="V2663" s="12" t="s">
        <v>41</v>
      </c>
      <c r="W2663" s="12">
        <v>15000000</v>
      </c>
      <c r="X2663" s="12">
        <v>2009</v>
      </c>
      <c r="Y2663" s="12">
        <v>982</v>
      </c>
      <c r="Z2663" s="12">
        <v>4.8</v>
      </c>
      <c r="AA2663" s="12">
        <v>1.85</v>
      </c>
      <c r="AB2663" s="12">
        <v>0</v>
      </c>
      <c r="AC2663" s="12"/>
      <c r="AD2663" s="12" t="str">
        <f>IFERROR(__xludf.DUMMYFUNCTION("""COMPUTED_VALUE"""),"Alexandra Silber")</f>
        <v>Alexandra Silber</v>
      </c>
      <c r="AE2663" s="12"/>
    </row>
    <row r="2664" customHeight="1" spans="1:31">
      <c r="A2664" s="11" t="s">
        <v>30</v>
      </c>
      <c r="B2664" s="11" t="s">
        <v>12889</v>
      </c>
      <c r="C2664" s="11">
        <v>160</v>
      </c>
      <c r="D2664" s="11">
        <v>90</v>
      </c>
      <c r="E2664" s="11">
        <v>31</v>
      </c>
      <c r="F2664" s="11">
        <v>162</v>
      </c>
      <c r="G2664" s="11">
        <v>193</v>
      </c>
      <c r="H2664" s="11">
        <v>26421314</v>
      </c>
      <c r="I2664" s="11" t="s">
        <v>12890</v>
      </c>
      <c r="J2664" s="11" t="s">
        <v>12891</v>
      </c>
      <c r="K2664" s="11" t="s">
        <v>12892</v>
      </c>
      <c r="L2664" s="11" t="s">
        <v>12893</v>
      </c>
      <c r="M2664" s="11" t="s">
        <v>12894</v>
      </c>
      <c r="N2664" s="11">
        <v>28964</v>
      </c>
      <c r="O2664" s="11">
        <v>608</v>
      </c>
      <c r="P2664" s="11">
        <v>0</v>
      </c>
      <c r="Q2664" s="11" t="s">
        <v>12895</v>
      </c>
      <c r="R2664" s="14" t="s">
        <v>12896</v>
      </c>
      <c r="S2664" s="11">
        <v>457</v>
      </c>
      <c r="T2664" s="11" t="s">
        <v>39</v>
      </c>
      <c r="U2664" s="11" t="s">
        <v>40</v>
      </c>
      <c r="V2664" s="11" t="s">
        <v>586</v>
      </c>
      <c r="W2664" s="11">
        <v>15000000</v>
      </c>
      <c r="X2664" s="11">
        <v>2000</v>
      </c>
      <c r="Y2664" s="11">
        <v>184</v>
      </c>
      <c r="Z2664" s="11">
        <v>4</v>
      </c>
      <c r="AA2664" s="11">
        <v>1.85</v>
      </c>
      <c r="AB2664" s="11">
        <v>949</v>
      </c>
      <c r="AC2664" s="11"/>
      <c r="AD2664" s="11" t="str">
        <f>IFERROR(__xludf.DUMMYFUNCTION("""COMPUTED_VALUE"""),"Joan Rivers")</f>
        <v>Joan Rivers</v>
      </c>
      <c r="AE2664" s="11"/>
    </row>
    <row r="2665" customHeight="1" spans="1:31">
      <c r="A2665" s="12" t="s">
        <v>30</v>
      </c>
      <c r="B2665" s="12" t="s">
        <v>10960</v>
      </c>
      <c r="C2665" s="12">
        <v>93</v>
      </c>
      <c r="D2665" s="12">
        <v>101</v>
      </c>
      <c r="E2665" s="12">
        <v>26</v>
      </c>
      <c r="F2665" s="12">
        <v>266</v>
      </c>
      <c r="G2665" s="12">
        <v>838</v>
      </c>
      <c r="H2665" s="12">
        <v>24881000</v>
      </c>
      <c r="I2665" s="12" t="s">
        <v>895</v>
      </c>
      <c r="J2665" s="12" t="s">
        <v>7386</v>
      </c>
      <c r="K2665" s="12" t="s">
        <v>12897</v>
      </c>
      <c r="L2665" s="12" t="s">
        <v>12898</v>
      </c>
      <c r="M2665" s="12" t="s">
        <v>12899</v>
      </c>
      <c r="N2665" s="12">
        <v>57140</v>
      </c>
      <c r="O2665" s="12">
        <v>1812</v>
      </c>
      <c r="P2665" s="12">
        <v>0</v>
      </c>
      <c r="Q2665" s="12" t="s">
        <v>12900</v>
      </c>
      <c r="R2665" s="15" t="s">
        <v>12901</v>
      </c>
      <c r="S2665" s="12">
        <v>195</v>
      </c>
      <c r="T2665" s="12" t="s">
        <v>39</v>
      </c>
      <c r="U2665" s="12" t="s">
        <v>40</v>
      </c>
      <c r="V2665" s="12" t="s">
        <v>586</v>
      </c>
      <c r="W2665" s="12">
        <v>15000000</v>
      </c>
      <c r="X2665" s="12">
        <v>1996</v>
      </c>
      <c r="Y2665" s="12">
        <v>328</v>
      </c>
      <c r="Z2665" s="12">
        <v>6.2</v>
      </c>
      <c r="AA2665" s="12">
        <v>1.85</v>
      </c>
      <c r="AB2665" s="12">
        <v>6000</v>
      </c>
      <c r="AC2665" s="12"/>
      <c r="AD2665" s="12" t="str">
        <f>IFERROR(__xludf.DUMMYFUNCTION("""COMPUTED_VALUE"""),"Dick Van Patten")</f>
        <v>Dick Van Patten</v>
      </c>
      <c r="AE2665" s="12"/>
    </row>
    <row r="2666" customHeight="1" spans="1:31">
      <c r="A2666" s="11" t="s">
        <v>30</v>
      </c>
      <c r="B2666" s="11" t="s">
        <v>4004</v>
      </c>
      <c r="C2666" s="11">
        <v>278</v>
      </c>
      <c r="D2666" s="11">
        <v>119</v>
      </c>
      <c r="E2666" s="11">
        <v>11000</v>
      </c>
      <c r="F2666" s="11">
        <v>400</v>
      </c>
      <c r="G2666" s="11">
        <v>19000</v>
      </c>
      <c r="H2666" s="11">
        <v>23089926</v>
      </c>
      <c r="I2666" s="11" t="s">
        <v>8921</v>
      </c>
      <c r="J2666" s="11" t="s">
        <v>100</v>
      </c>
      <c r="K2666" s="11" t="s">
        <v>8296</v>
      </c>
      <c r="L2666" s="11" t="s">
        <v>1129</v>
      </c>
      <c r="M2666" s="11" t="s">
        <v>12902</v>
      </c>
      <c r="N2666" s="11">
        <v>166269</v>
      </c>
      <c r="O2666" s="11">
        <v>20391</v>
      </c>
      <c r="P2666" s="11">
        <v>3</v>
      </c>
      <c r="Q2666" s="11" t="s">
        <v>12903</v>
      </c>
      <c r="R2666" s="14" t="s">
        <v>12904</v>
      </c>
      <c r="S2666" s="11">
        <v>735</v>
      </c>
      <c r="T2666" s="11" t="s">
        <v>39</v>
      </c>
      <c r="U2666" s="11" t="s">
        <v>58</v>
      </c>
      <c r="V2666" s="11" t="s">
        <v>586</v>
      </c>
      <c r="W2666" s="11">
        <v>15000000</v>
      </c>
      <c r="X2666" s="11">
        <v>2005</v>
      </c>
      <c r="Y2666" s="11">
        <v>567</v>
      </c>
      <c r="Z2666" s="11">
        <v>7.7</v>
      </c>
      <c r="AA2666" s="11">
        <v>1.85</v>
      </c>
      <c r="AB2666" s="11">
        <v>0</v>
      </c>
      <c r="AC2666" s="11"/>
      <c r="AD2666" s="11" t="str">
        <f>IFERROR(__xludf.DUMMYFUNCTION("""COMPUTED_VALUE"""),"Michael Winslow")</f>
        <v>Michael Winslow</v>
      </c>
      <c r="AE2666" s="11"/>
    </row>
    <row r="2667" customHeight="1" spans="1:31">
      <c r="A2667" s="12" t="s">
        <v>30</v>
      </c>
      <c r="B2667" s="12" t="s">
        <v>12905</v>
      </c>
      <c r="C2667" s="12">
        <v>81</v>
      </c>
      <c r="D2667" s="12">
        <v>103</v>
      </c>
      <c r="E2667" s="12">
        <v>20</v>
      </c>
      <c r="F2667" s="12">
        <v>125</v>
      </c>
      <c r="G2667" s="12">
        <v>512</v>
      </c>
      <c r="H2667" s="12">
        <v>26161406</v>
      </c>
      <c r="I2667" s="12" t="s">
        <v>788</v>
      </c>
      <c r="J2667" s="12" t="s">
        <v>12906</v>
      </c>
      <c r="K2667" s="12" t="s">
        <v>12907</v>
      </c>
      <c r="L2667" s="12" t="s">
        <v>12908</v>
      </c>
      <c r="M2667" s="12" t="s">
        <v>12909</v>
      </c>
      <c r="N2667" s="12">
        <v>13874</v>
      </c>
      <c r="O2667" s="12">
        <v>1002</v>
      </c>
      <c r="P2667" s="12">
        <v>2</v>
      </c>
      <c r="Q2667" s="12" t="s">
        <v>12910</v>
      </c>
      <c r="R2667" s="15" t="s">
        <v>12911</v>
      </c>
      <c r="S2667" s="12">
        <v>52</v>
      </c>
      <c r="T2667" s="12" t="s">
        <v>39</v>
      </c>
      <c r="U2667" s="12" t="s">
        <v>40</v>
      </c>
      <c r="V2667" s="12" t="s">
        <v>278</v>
      </c>
      <c r="W2667" s="12">
        <v>15000000</v>
      </c>
      <c r="X2667" s="12">
        <v>2010</v>
      </c>
      <c r="Y2667" s="12">
        <v>316</v>
      </c>
      <c r="Z2667" s="12">
        <v>6.7</v>
      </c>
      <c r="AA2667" s="12">
        <v>2.35</v>
      </c>
      <c r="AB2667" s="12">
        <v>0</v>
      </c>
      <c r="AC2667" s="12"/>
      <c r="AD2667" s="12" t="str">
        <f>IFERROR(__xludf.DUMMYFUNCTION("""COMPUTED_VALUE"""),"Cem Yilmaz")</f>
        <v>Cem Yilmaz</v>
      </c>
      <c r="AE2667" s="12"/>
    </row>
    <row r="2668" customHeight="1" spans="1:31">
      <c r="A2668" s="11" t="s">
        <v>30</v>
      </c>
      <c r="B2668" s="11" t="s">
        <v>12561</v>
      </c>
      <c r="C2668" s="11">
        <v>58</v>
      </c>
      <c r="D2668" s="11">
        <v>134</v>
      </c>
      <c r="E2668" s="11">
        <v>133</v>
      </c>
      <c r="F2668" s="11">
        <v>258</v>
      </c>
      <c r="G2668" s="11">
        <v>12000</v>
      </c>
      <c r="H2668" s="11">
        <v>22954968</v>
      </c>
      <c r="I2668" s="11" t="s">
        <v>214</v>
      </c>
      <c r="J2668" s="11" t="s">
        <v>763</v>
      </c>
      <c r="K2668" s="11" t="s">
        <v>11484</v>
      </c>
      <c r="L2668" s="11" t="s">
        <v>8981</v>
      </c>
      <c r="M2668" s="11" t="s">
        <v>12912</v>
      </c>
      <c r="N2668" s="11">
        <v>45703</v>
      </c>
      <c r="O2668" s="11">
        <v>12749</v>
      </c>
      <c r="P2668" s="11">
        <v>1</v>
      </c>
      <c r="Q2668" s="11" t="s">
        <v>12913</v>
      </c>
      <c r="R2668" s="14" t="s">
        <v>12914</v>
      </c>
      <c r="S2668" s="11">
        <v>156</v>
      </c>
      <c r="T2668" s="11" t="s">
        <v>39</v>
      </c>
      <c r="U2668" s="11" t="s">
        <v>58</v>
      </c>
      <c r="V2668" s="11" t="s">
        <v>96</v>
      </c>
      <c r="W2668" s="11">
        <v>11500000</v>
      </c>
      <c r="X2668" s="11">
        <v>1993</v>
      </c>
      <c r="Y2668" s="11">
        <v>310</v>
      </c>
      <c r="Z2668" s="11">
        <v>7.9</v>
      </c>
      <c r="AA2668" s="11">
        <v>2.35</v>
      </c>
      <c r="AB2668" s="11">
        <v>0</v>
      </c>
      <c r="AC2668" s="11"/>
      <c r="AD2668" s="11" t="str">
        <f>IFERROR(__xludf.DUMMYFUNCTION("""COMPUTED_VALUE"""),"Phil Leeds")</f>
        <v>Phil Leeds</v>
      </c>
      <c r="AE2668" s="11"/>
    </row>
    <row r="2669" customHeight="1" spans="1:31">
      <c r="A2669" s="12" t="s">
        <v>30</v>
      </c>
      <c r="B2669" s="12" t="s">
        <v>7077</v>
      </c>
      <c r="C2669" s="12">
        <v>153</v>
      </c>
      <c r="D2669" s="12">
        <v>155</v>
      </c>
      <c r="E2669" s="12">
        <v>0</v>
      </c>
      <c r="F2669" s="12">
        <v>170</v>
      </c>
      <c r="G2669" s="12">
        <v>3000</v>
      </c>
      <c r="H2669" s="12">
        <v>26384919</v>
      </c>
      <c r="I2669" s="12" t="s">
        <v>3410</v>
      </c>
      <c r="J2669" s="12" t="s">
        <v>252</v>
      </c>
      <c r="K2669" s="12" t="s">
        <v>12915</v>
      </c>
      <c r="L2669" s="12" t="s">
        <v>12916</v>
      </c>
      <c r="M2669" s="12" t="s">
        <v>12917</v>
      </c>
      <c r="N2669" s="12">
        <v>189032</v>
      </c>
      <c r="O2669" s="12">
        <v>3677</v>
      </c>
      <c r="P2669" s="12">
        <v>15</v>
      </c>
      <c r="Q2669" s="12" t="s">
        <v>12918</v>
      </c>
      <c r="R2669" s="15" t="s">
        <v>12919</v>
      </c>
      <c r="S2669" s="12">
        <v>560</v>
      </c>
      <c r="T2669" s="12" t="s">
        <v>39</v>
      </c>
      <c r="U2669" s="12" t="s">
        <v>40</v>
      </c>
      <c r="V2669" s="12" t="s">
        <v>586</v>
      </c>
      <c r="W2669" s="12">
        <v>15000000</v>
      </c>
      <c r="X2669" s="12">
        <v>1997</v>
      </c>
      <c r="Y2669" s="12">
        <v>360</v>
      </c>
      <c r="Z2669" s="12">
        <v>7.9</v>
      </c>
      <c r="AA2669" s="12">
        <v>2.35</v>
      </c>
      <c r="AB2669" s="12">
        <v>0</v>
      </c>
      <c r="AC2669" s="12"/>
      <c r="AD2669" s="12" t="str">
        <f>IFERROR(__xludf.DUMMYFUNCTION("""COMPUTED_VALUE"""),"Angus T. Jones")</f>
        <v>Angus T. Jones</v>
      </c>
      <c r="AE2669" s="12"/>
    </row>
    <row r="2670" customHeight="1" spans="1:31">
      <c r="A2670" s="11" t="s">
        <v>30</v>
      </c>
      <c r="B2670" s="11" t="s">
        <v>12237</v>
      </c>
      <c r="C2670" s="11">
        <v>25</v>
      </c>
      <c r="D2670" s="11">
        <v>94</v>
      </c>
      <c r="E2670" s="11">
        <v>11</v>
      </c>
      <c r="F2670" s="11">
        <v>232</v>
      </c>
      <c r="G2670" s="11">
        <v>1000</v>
      </c>
      <c r="H2670" s="11">
        <v>22189039</v>
      </c>
      <c r="I2670" s="11" t="s">
        <v>5806</v>
      </c>
      <c r="J2670" s="11" t="s">
        <v>2457</v>
      </c>
      <c r="K2670" s="11" t="s">
        <v>7627</v>
      </c>
      <c r="L2670" s="11" t="s">
        <v>12920</v>
      </c>
      <c r="M2670" s="11" t="s">
        <v>12921</v>
      </c>
      <c r="N2670" s="11">
        <v>17074</v>
      </c>
      <c r="O2670" s="11">
        <v>2210</v>
      </c>
      <c r="P2670" s="11">
        <v>0</v>
      </c>
      <c r="Q2670" s="11" t="s">
        <v>12922</v>
      </c>
      <c r="R2670" s="14" t="s">
        <v>12923</v>
      </c>
      <c r="S2670" s="11">
        <v>55</v>
      </c>
      <c r="T2670" s="11" t="s">
        <v>39</v>
      </c>
      <c r="U2670" s="11" t="s">
        <v>40</v>
      </c>
      <c r="V2670" s="11" t="s">
        <v>586</v>
      </c>
      <c r="W2670" s="11">
        <v>15000000</v>
      </c>
      <c r="X2670" s="11">
        <v>1993</v>
      </c>
      <c r="Y2670" s="11">
        <v>605</v>
      </c>
      <c r="Z2670" s="11">
        <v>5.5</v>
      </c>
      <c r="AA2670" s="11">
        <v>1.85</v>
      </c>
      <c r="AB2670" s="11">
        <v>466</v>
      </c>
      <c r="AC2670" s="11"/>
      <c r="AD2670" s="11" t="str">
        <f>IFERROR(__xludf.DUMMYFUNCTION("""COMPUTED_VALUE"""),"Debra Monk")</f>
        <v>Debra Monk</v>
      </c>
      <c r="AE2670" s="11"/>
    </row>
    <row r="2671" customHeight="1" spans="1:31">
      <c r="A2671" s="12" t="s">
        <v>30</v>
      </c>
      <c r="B2671" s="12" t="s">
        <v>12924</v>
      </c>
      <c r="C2671" s="12">
        <v>46</v>
      </c>
      <c r="D2671" s="12">
        <v>95</v>
      </c>
      <c r="E2671" s="12">
        <v>15</v>
      </c>
      <c r="F2671" s="12">
        <v>461</v>
      </c>
      <c r="G2671" s="12">
        <v>1000</v>
      </c>
      <c r="H2671" s="12">
        <v>20998709</v>
      </c>
      <c r="I2671" s="12" t="s">
        <v>3271</v>
      </c>
      <c r="J2671" s="12" t="s">
        <v>3386</v>
      </c>
      <c r="K2671" s="12" t="s">
        <v>12925</v>
      </c>
      <c r="L2671" s="12" t="s">
        <v>3225</v>
      </c>
      <c r="M2671" s="12" t="s">
        <v>12926</v>
      </c>
      <c r="N2671" s="12">
        <v>6095</v>
      </c>
      <c r="O2671" s="12">
        <v>3845</v>
      </c>
      <c r="P2671" s="12">
        <v>0</v>
      </c>
      <c r="Q2671" s="12" t="s">
        <v>12927</v>
      </c>
      <c r="R2671" s="15" t="s">
        <v>12928</v>
      </c>
      <c r="S2671" s="12">
        <v>76</v>
      </c>
      <c r="T2671" s="12" t="s">
        <v>39</v>
      </c>
      <c r="U2671" s="12" t="s">
        <v>40</v>
      </c>
      <c r="V2671" s="12" t="s">
        <v>96</v>
      </c>
      <c r="W2671" s="12">
        <v>15000000</v>
      </c>
      <c r="X2671" s="12">
        <v>2006</v>
      </c>
      <c r="Y2671" s="12">
        <v>786</v>
      </c>
      <c r="Z2671" s="12">
        <v>6.2</v>
      </c>
      <c r="AA2671" s="12">
        <v>2.35</v>
      </c>
      <c r="AB2671" s="12">
        <v>1000</v>
      </c>
      <c r="AC2671" s="12"/>
      <c r="AD2671" s="12" t="str">
        <f>IFERROR(__xludf.DUMMYFUNCTION("""COMPUTED_VALUE"""),"Michael Papajohn")</f>
        <v>Michael Papajohn</v>
      </c>
      <c r="AE2671" s="12"/>
    </row>
    <row r="2672" customHeight="1" spans="1:31">
      <c r="A2672" s="11" t="s">
        <v>30</v>
      </c>
      <c r="B2672" s="11" t="s">
        <v>12929</v>
      </c>
      <c r="C2672" s="11">
        <v>161</v>
      </c>
      <c r="D2672" s="11">
        <v>89</v>
      </c>
      <c r="E2672" s="11">
        <v>7</v>
      </c>
      <c r="F2672" s="11">
        <v>399</v>
      </c>
      <c r="G2672" s="11">
        <v>919</v>
      </c>
      <c r="H2672" s="11">
        <v>20801344</v>
      </c>
      <c r="I2672" s="11" t="s">
        <v>6403</v>
      </c>
      <c r="J2672" s="11" t="s">
        <v>7002</v>
      </c>
      <c r="K2672" s="11" t="s">
        <v>7011</v>
      </c>
      <c r="L2672" s="11" t="s">
        <v>5516</v>
      </c>
      <c r="M2672" s="11" t="s">
        <v>12930</v>
      </c>
      <c r="N2672" s="11">
        <v>49721</v>
      </c>
      <c r="O2672" s="11">
        <v>2559</v>
      </c>
      <c r="P2672" s="11">
        <v>0</v>
      </c>
      <c r="Q2672" s="11" t="s">
        <v>12931</v>
      </c>
      <c r="R2672" s="14" t="s">
        <v>12932</v>
      </c>
      <c r="S2672" s="11">
        <v>211</v>
      </c>
      <c r="T2672" s="11" t="s">
        <v>39</v>
      </c>
      <c r="U2672" s="11" t="s">
        <v>40</v>
      </c>
      <c r="V2672" s="11" t="s">
        <v>586</v>
      </c>
      <c r="W2672" s="11">
        <v>15000000</v>
      </c>
      <c r="X2672" s="11">
        <v>2007</v>
      </c>
      <c r="Y2672" s="11">
        <v>557</v>
      </c>
      <c r="Z2672" s="11">
        <v>5.1</v>
      </c>
      <c r="AA2672" s="11">
        <v>2.35</v>
      </c>
      <c r="AB2672" s="11">
        <v>0</v>
      </c>
      <c r="AC2672" s="11"/>
      <c r="AD2672" s="11" t="str">
        <f>IFERROR(__xludf.DUMMYFUNCTION("""COMPUTED_VALUE"""),"Colleen Haskell")</f>
        <v>Colleen Haskell</v>
      </c>
      <c r="AE2672" s="11"/>
    </row>
    <row r="2673" customHeight="1" spans="1:31">
      <c r="A2673" s="12" t="s">
        <v>30</v>
      </c>
      <c r="B2673" s="12" t="s">
        <v>12933</v>
      </c>
      <c r="C2673" s="12">
        <v>108</v>
      </c>
      <c r="D2673" s="12">
        <v>97</v>
      </c>
      <c r="E2673" s="12">
        <v>83</v>
      </c>
      <c r="F2673" s="12">
        <v>579</v>
      </c>
      <c r="G2673" s="12">
        <v>912</v>
      </c>
      <c r="H2673" s="12">
        <v>21468807</v>
      </c>
      <c r="I2673" s="12" t="s">
        <v>3030</v>
      </c>
      <c r="J2673" s="12" t="s">
        <v>3077</v>
      </c>
      <c r="K2673" s="12" t="s">
        <v>12934</v>
      </c>
      <c r="L2673" s="12" t="s">
        <v>4056</v>
      </c>
      <c r="M2673" s="12" t="s">
        <v>12935</v>
      </c>
      <c r="N2673" s="12">
        <v>13048</v>
      </c>
      <c r="O2673" s="12">
        <v>2682</v>
      </c>
      <c r="P2673" s="12">
        <v>2</v>
      </c>
      <c r="Q2673" s="12" t="s">
        <v>12936</v>
      </c>
      <c r="R2673" s="15" t="s">
        <v>12937</v>
      </c>
      <c r="S2673" s="12">
        <v>227</v>
      </c>
      <c r="T2673" s="12" t="s">
        <v>39</v>
      </c>
      <c r="U2673" s="12" t="s">
        <v>40</v>
      </c>
      <c r="V2673" s="12" t="s">
        <v>586</v>
      </c>
      <c r="W2673" s="12">
        <v>14000000</v>
      </c>
      <c r="X2673" s="12">
        <v>2000</v>
      </c>
      <c r="Y2673" s="12">
        <v>786</v>
      </c>
      <c r="Z2673" s="12">
        <v>4.1</v>
      </c>
      <c r="AA2673" s="12">
        <v>2.35</v>
      </c>
      <c r="AB2673" s="12">
        <v>243</v>
      </c>
      <c r="AC2673" s="12"/>
      <c r="AD2673" s="12" t="str">
        <f>IFERROR(__xludf.DUMMYFUNCTION("""COMPUTED_VALUE"""),"Manish Dayal")</f>
        <v>Manish Dayal</v>
      </c>
      <c r="AE2673" s="12"/>
    </row>
    <row r="2674" customHeight="1" spans="1:31">
      <c r="A2674" s="11" t="s">
        <v>30</v>
      </c>
      <c r="B2674" s="11" t="s">
        <v>4054</v>
      </c>
      <c r="C2674" s="11">
        <v>69</v>
      </c>
      <c r="D2674" s="11">
        <v>90</v>
      </c>
      <c r="E2674" s="11">
        <v>13</v>
      </c>
      <c r="F2674" s="11">
        <v>613</v>
      </c>
      <c r="G2674" s="11">
        <v>882</v>
      </c>
      <c r="H2674" s="11">
        <v>19158074</v>
      </c>
      <c r="I2674" s="11" t="s">
        <v>1996</v>
      </c>
      <c r="J2674" s="11" t="s">
        <v>191</v>
      </c>
      <c r="K2674" s="11" t="s">
        <v>5105</v>
      </c>
      <c r="L2674" s="11" t="s">
        <v>6785</v>
      </c>
      <c r="M2674" s="11" t="s">
        <v>12938</v>
      </c>
      <c r="N2674" s="11">
        <v>17983</v>
      </c>
      <c r="O2674" s="11">
        <v>2661</v>
      </c>
      <c r="P2674" s="11">
        <v>2</v>
      </c>
      <c r="Q2674" s="11" t="s">
        <v>12939</v>
      </c>
      <c r="R2674" s="14" t="s">
        <v>12940</v>
      </c>
      <c r="S2674" s="11">
        <v>127</v>
      </c>
      <c r="T2674" s="11" t="s">
        <v>39</v>
      </c>
      <c r="U2674" s="11" t="s">
        <v>40</v>
      </c>
      <c r="V2674" s="11" t="s">
        <v>96</v>
      </c>
      <c r="W2674" s="11">
        <v>15000000</v>
      </c>
      <c r="X2674" s="11">
        <v>2002</v>
      </c>
      <c r="Y2674" s="11">
        <v>874</v>
      </c>
      <c r="Z2674" s="11">
        <v>6.7</v>
      </c>
      <c r="AA2674" s="11">
        <v>2.35</v>
      </c>
      <c r="AB2674" s="11">
        <v>0</v>
      </c>
      <c r="AC2674" s="11"/>
      <c r="AD2674" s="11" t="str">
        <f>IFERROR(__xludf.DUMMYFUNCTION("""COMPUTED_VALUE"""),"Charlotte Le Bon")</f>
        <v>Charlotte Le Bon</v>
      </c>
      <c r="AE2674" s="11"/>
    </row>
    <row r="2675" customHeight="1" spans="1:31">
      <c r="A2675" s="12" t="s">
        <v>30</v>
      </c>
      <c r="B2675" s="12" t="s">
        <v>12941</v>
      </c>
      <c r="C2675" s="12">
        <v>78</v>
      </c>
      <c r="D2675" s="12">
        <v>92</v>
      </c>
      <c r="E2675" s="12">
        <v>8</v>
      </c>
      <c r="F2675" s="12">
        <v>129</v>
      </c>
      <c r="G2675" s="12">
        <v>472</v>
      </c>
      <c r="H2675" s="12">
        <v>18843314</v>
      </c>
      <c r="I2675" s="12" t="s">
        <v>923</v>
      </c>
      <c r="J2675" s="12" t="s">
        <v>11124</v>
      </c>
      <c r="K2675" s="12" t="s">
        <v>12942</v>
      </c>
      <c r="L2675" s="12" t="s">
        <v>10320</v>
      </c>
      <c r="M2675" s="12" t="s">
        <v>12943</v>
      </c>
      <c r="N2675" s="12">
        <v>27486</v>
      </c>
      <c r="O2675" s="12">
        <v>1045</v>
      </c>
      <c r="P2675" s="12">
        <v>1</v>
      </c>
      <c r="Q2675" s="12" t="s">
        <v>12944</v>
      </c>
      <c r="R2675" s="15" t="s">
        <v>12945</v>
      </c>
      <c r="S2675" s="12">
        <v>284</v>
      </c>
      <c r="T2675" s="12" t="s">
        <v>39</v>
      </c>
      <c r="U2675" s="12" t="s">
        <v>40</v>
      </c>
      <c r="V2675" s="12" t="s">
        <v>41</v>
      </c>
      <c r="W2675" s="12">
        <v>20000000</v>
      </c>
      <c r="X2675" s="12">
        <v>2006</v>
      </c>
      <c r="Y2675" s="12">
        <v>239</v>
      </c>
      <c r="Z2675" s="12">
        <v>4.7</v>
      </c>
      <c r="AA2675" s="12">
        <v>1.85</v>
      </c>
      <c r="AB2675" s="12">
        <v>0</v>
      </c>
      <c r="AC2675" s="12"/>
      <c r="AD2675" s="12" t="str">
        <f>IFERROR(__xludf.DUMMYFUNCTION("""COMPUTED_VALUE"""),"Juhi Chawla")</f>
        <v>Juhi Chawla</v>
      </c>
      <c r="AE2675" s="12"/>
    </row>
    <row r="2676" customHeight="1" spans="1:31">
      <c r="A2676" s="11" t="s">
        <v>30</v>
      </c>
      <c r="B2676" s="11" t="s">
        <v>12946</v>
      </c>
      <c r="C2676" s="11">
        <v>129</v>
      </c>
      <c r="D2676" s="11">
        <v>100</v>
      </c>
      <c r="E2676" s="11">
        <v>10</v>
      </c>
      <c r="F2676" s="11">
        <v>415</v>
      </c>
      <c r="G2676" s="11">
        <v>826</v>
      </c>
      <c r="H2676" s="11">
        <v>20566327</v>
      </c>
      <c r="I2676" s="11" t="s">
        <v>2137</v>
      </c>
      <c r="J2676" s="11" t="s">
        <v>6383</v>
      </c>
      <c r="K2676" s="11" t="s">
        <v>2102</v>
      </c>
      <c r="L2676" s="11" t="s">
        <v>3210</v>
      </c>
      <c r="M2676" s="11" t="s">
        <v>12947</v>
      </c>
      <c r="N2676" s="11">
        <v>15385</v>
      </c>
      <c r="O2676" s="11">
        <v>2958</v>
      </c>
      <c r="P2676" s="11">
        <v>2</v>
      </c>
      <c r="Q2676" s="11" t="s">
        <v>12948</v>
      </c>
      <c r="R2676" s="14" t="s">
        <v>12949</v>
      </c>
      <c r="S2676" s="11">
        <v>84</v>
      </c>
      <c r="T2676" s="11" t="s">
        <v>39</v>
      </c>
      <c r="U2676" s="11" t="s">
        <v>40</v>
      </c>
      <c r="V2676" s="11" t="s">
        <v>586</v>
      </c>
      <c r="W2676" s="11">
        <v>15000000</v>
      </c>
      <c r="X2676" s="11">
        <v>2016</v>
      </c>
      <c r="Y2676" s="11">
        <v>622</v>
      </c>
      <c r="Z2676" s="11">
        <v>6.4</v>
      </c>
      <c r="AA2676" s="11">
        <v>2.35</v>
      </c>
      <c r="AB2676" s="11">
        <v>0</v>
      </c>
      <c r="AC2676" s="11"/>
      <c r="AD2676" s="11" t="str">
        <f>IFERROR(__xludf.DUMMYFUNCTION("""COMPUTED_VALUE"""),"Ray McKinnon")</f>
        <v>Ray McKinnon</v>
      </c>
      <c r="AE2676" s="11"/>
    </row>
    <row r="2677" customHeight="1" spans="1:31">
      <c r="A2677" s="12" t="s">
        <v>30</v>
      </c>
      <c r="B2677" s="12" t="s">
        <v>11044</v>
      </c>
      <c r="C2677" s="12">
        <v>135</v>
      </c>
      <c r="D2677" s="12">
        <v>117</v>
      </c>
      <c r="E2677" s="12">
        <v>19</v>
      </c>
      <c r="F2677" s="12">
        <v>461</v>
      </c>
      <c r="G2677" s="12">
        <v>3000</v>
      </c>
      <c r="H2677" s="12">
        <v>20218921</v>
      </c>
      <c r="I2677" s="12" t="s">
        <v>6200</v>
      </c>
      <c r="J2677" s="12" t="s">
        <v>4518</v>
      </c>
      <c r="K2677" s="12" t="s">
        <v>12950</v>
      </c>
      <c r="L2677" s="12" t="s">
        <v>3225</v>
      </c>
      <c r="M2677" s="12" t="s">
        <v>12951</v>
      </c>
      <c r="N2677" s="12">
        <v>14814</v>
      </c>
      <c r="O2677" s="12">
        <v>4204</v>
      </c>
      <c r="P2677" s="12">
        <v>4</v>
      </c>
      <c r="Q2677" s="12" t="s">
        <v>12952</v>
      </c>
      <c r="R2677" s="15" t="s">
        <v>12953</v>
      </c>
      <c r="S2677" s="12">
        <v>114</v>
      </c>
      <c r="T2677" s="12" t="s">
        <v>39</v>
      </c>
      <c r="U2677" s="12" t="s">
        <v>12954</v>
      </c>
      <c r="V2677" s="12" t="s">
        <v>41</v>
      </c>
      <c r="W2677" s="12">
        <v>15000000</v>
      </c>
      <c r="X2677" s="12">
        <v>2010</v>
      </c>
      <c r="Y2677" s="12">
        <v>646</v>
      </c>
      <c r="Z2677" s="12">
        <v>6.3</v>
      </c>
      <c r="AA2677" s="12">
        <v>2.35</v>
      </c>
      <c r="AB2677" s="12">
        <v>0</v>
      </c>
      <c r="AC2677" s="12"/>
      <c r="AD2677" s="12" t="str">
        <f>IFERROR(__xludf.DUMMYFUNCTION("""COMPUTED_VALUE"""),"Roma Downey")</f>
        <v>Roma Downey</v>
      </c>
      <c r="AE2677" s="12"/>
    </row>
    <row r="2678" customHeight="1" spans="1:31">
      <c r="A2678" s="11" t="s">
        <v>30</v>
      </c>
      <c r="B2678" s="11" t="s">
        <v>12955</v>
      </c>
      <c r="C2678" s="11">
        <v>96</v>
      </c>
      <c r="D2678" s="11">
        <v>84</v>
      </c>
      <c r="E2678" s="11">
        <v>119</v>
      </c>
      <c r="F2678" s="11">
        <v>918</v>
      </c>
      <c r="G2678" s="11">
        <v>989</v>
      </c>
      <c r="H2678" s="11">
        <v>17411331</v>
      </c>
      <c r="I2678" s="11" t="s">
        <v>4277</v>
      </c>
      <c r="J2678" s="11" t="s">
        <v>354</v>
      </c>
      <c r="K2678" s="11" t="s">
        <v>2643</v>
      </c>
      <c r="L2678" s="11" t="s">
        <v>9426</v>
      </c>
      <c r="M2678" s="11" t="s">
        <v>12956</v>
      </c>
      <c r="N2678" s="11">
        <v>17328</v>
      </c>
      <c r="O2678" s="11">
        <v>4660</v>
      </c>
      <c r="P2678" s="11">
        <v>3</v>
      </c>
      <c r="Q2678" s="11" t="s">
        <v>12957</v>
      </c>
      <c r="R2678" s="14" t="s">
        <v>12958</v>
      </c>
      <c r="S2678" s="11">
        <v>237</v>
      </c>
      <c r="T2678" s="11" t="s">
        <v>39</v>
      </c>
      <c r="U2678" s="11" t="s">
        <v>371</v>
      </c>
      <c r="V2678" s="11" t="s">
        <v>586</v>
      </c>
      <c r="W2678" s="11">
        <v>15000000</v>
      </c>
      <c r="X2678" s="11">
        <v>1998</v>
      </c>
      <c r="Y2678" s="11">
        <v>982</v>
      </c>
      <c r="Z2678" s="11">
        <v>5.5</v>
      </c>
      <c r="AA2678" s="11">
        <v>1.85</v>
      </c>
      <c r="AB2678" s="11">
        <v>673</v>
      </c>
      <c r="AC2678" s="11"/>
      <c r="AD2678" s="11" t="str">
        <f>IFERROR(__xludf.DUMMYFUNCTION("""COMPUTED_VALUE"""),"Darwin Shaw")</f>
        <v>Darwin Shaw</v>
      </c>
      <c r="AE2678" s="11"/>
    </row>
    <row r="2679" customHeight="1" spans="1:31">
      <c r="A2679" s="12" t="s">
        <v>30</v>
      </c>
      <c r="B2679" s="12" t="s">
        <v>12959</v>
      </c>
      <c r="C2679" s="12">
        <v>417</v>
      </c>
      <c r="D2679" s="12">
        <v>140</v>
      </c>
      <c r="E2679" s="12">
        <v>310</v>
      </c>
      <c r="F2679" s="12">
        <v>619</v>
      </c>
      <c r="G2679" s="12">
        <v>33000</v>
      </c>
      <c r="H2679" s="12">
        <v>21383298</v>
      </c>
      <c r="I2679" s="12" t="s">
        <v>2126</v>
      </c>
      <c r="J2679" s="12" t="s">
        <v>4214</v>
      </c>
      <c r="K2679" s="12" t="s">
        <v>1025</v>
      </c>
      <c r="L2679" s="12" t="s">
        <v>12960</v>
      </c>
      <c r="M2679" s="12" t="s">
        <v>12961</v>
      </c>
      <c r="N2679" s="12">
        <v>187170</v>
      </c>
      <c r="O2679" s="12">
        <v>34413</v>
      </c>
      <c r="P2679" s="12">
        <v>3</v>
      </c>
      <c r="Q2679" s="12" t="s">
        <v>12962</v>
      </c>
      <c r="R2679" s="15" t="s">
        <v>12963</v>
      </c>
      <c r="S2679" s="12">
        <v>376</v>
      </c>
      <c r="T2679" s="12" t="s">
        <v>39</v>
      </c>
      <c r="U2679" s="12" t="s">
        <v>40</v>
      </c>
      <c r="V2679" s="12" t="s">
        <v>586</v>
      </c>
      <c r="W2679" s="12">
        <v>15000000</v>
      </c>
      <c r="X2679" s="12">
        <v>2012</v>
      </c>
      <c r="Y2679" s="12">
        <v>748</v>
      </c>
      <c r="Z2679" s="12">
        <v>7.3</v>
      </c>
      <c r="AA2679" s="12">
        <v>2.35</v>
      </c>
      <c r="AB2679" s="12">
        <v>47000</v>
      </c>
      <c r="AC2679" s="12"/>
      <c r="AD2679" s="12" t="str">
        <f>IFERROR(__xludf.DUMMYFUNCTION("""COMPUTED_VALUE"""),"Shane Brolly")</f>
        <v>Shane Brolly</v>
      </c>
      <c r="AE2679" s="12"/>
    </row>
    <row r="2680" customHeight="1" spans="1:31">
      <c r="A2680" s="11" t="s">
        <v>30</v>
      </c>
      <c r="B2680" s="11" t="s">
        <v>1490</v>
      </c>
      <c r="C2680" s="11">
        <v>172</v>
      </c>
      <c r="D2680" s="11">
        <v>108</v>
      </c>
      <c r="E2680" s="11">
        <v>79</v>
      </c>
      <c r="F2680" s="11">
        <v>537</v>
      </c>
      <c r="G2680" s="11">
        <v>775</v>
      </c>
      <c r="H2680" s="11">
        <v>24984868</v>
      </c>
      <c r="I2680" s="11" t="s">
        <v>334</v>
      </c>
      <c r="J2680" s="11" t="s">
        <v>9394</v>
      </c>
      <c r="K2680" s="11" t="s">
        <v>12964</v>
      </c>
      <c r="L2680" s="11" t="s">
        <v>979</v>
      </c>
      <c r="M2680" s="11" t="s">
        <v>12965</v>
      </c>
      <c r="N2680" s="11">
        <v>50056</v>
      </c>
      <c r="O2680" s="11">
        <v>3033</v>
      </c>
      <c r="P2680" s="11">
        <v>2</v>
      </c>
      <c r="Q2680" s="11" t="s">
        <v>12966</v>
      </c>
      <c r="R2680" s="14" t="s">
        <v>12967</v>
      </c>
      <c r="S2680" s="11">
        <v>152</v>
      </c>
      <c r="T2680" s="11" t="s">
        <v>39</v>
      </c>
      <c r="U2680" s="11" t="s">
        <v>40</v>
      </c>
      <c r="V2680" s="11" t="s">
        <v>586</v>
      </c>
      <c r="W2680" s="11">
        <v>15000000</v>
      </c>
      <c r="X2680" s="11">
        <v>2014</v>
      </c>
      <c r="Y2680" s="11">
        <v>614</v>
      </c>
      <c r="Z2680" s="11">
        <v>6.3</v>
      </c>
      <c r="AA2680" s="11">
        <v>2.35</v>
      </c>
      <c r="AB2680" s="11">
        <v>0</v>
      </c>
      <c r="AC2680" s="11"/>
      <c r="AD2680" s="11" t="str">
        <f>IFERROR(__xludf.DUMMYFUNCTION("""COMPUTED_VALUE"""),"Julian Fellowes")</f>
        <v>Julian Fellowes</v>
      </c>
      <c r="AE2680" s="11"/>
    </row>
    <row r="2681" customHeight="1" spans="1:31">
      <c r="A2681" s="12" t="s">
        <v>30</v>
      </c>
      <c r="B2681" s="12" t="s">
        <v>12968</v>
      </c>
      <c r="C2681" s="12">
        <v>88</v>
      </c>
      <c r="D2681" s="12">
        <v>109</v>
      </c>
      <c r="E2681" s="12">
        <v>11</v>
      </c>
      <c r="F2681" s="12">
        <v>159</v>
      </c>
      <c r="G2681" s="12">
        <v>471</v>
      </c>
      <c r="H2681" s="12">
        <v>16459004</v>
      </c>
      <c r="I2681" s="12" t="s">
        <v>1924</v>
      </c>
      <c r="J2681" s="12" t="s">
        <v>12969</v>
      </c>
      <c r="K2681" s="12" t="s">
        <v>5736</v>
      </c>
      <c r="L2681" s="12" t="s">
        <v>12970</v>
      </c>
      <c r="M2681" s="12" t="s">
        <v>12971</v>
      </c>
      <c r="N2681" s="12">
        <v>13320</v>
      </c>
      <c r="O2681" s="12">
        <v>1069</v>
      </c>
      <c r="P2681" s="12">
        <v>1</v>
      </c>
      <c r="Q2681" s="12" t="s">
        <v>12972</v>
      </c>
      <c r="R2681" s="15" t="s">
        <v>12973</v>
      </c>
      <c r="S2681" s="12">
        <v>415</v>
      </c>
      <c r="T2681" s="12" t="s">
        <v>39</v>
      </c>
      <c r="U2681" s="12" t="s">
        <v>269</v>
      </c>
      <c r="V2681" s="12" t="s">
        <v>586</v>
      </c>
      <c r="W2681" s="12">
        <v>15000000</v>
      </c>
      <c r="X2681" s="12">
        <v>1999</v>
      </c>
      <c r="Y2681" s="12">
        <v>308</v>
      </c>
      <c r="Z2681" s="12">
        <v>4.9</v>
      </c>
      <c r="AA2681" s="12">
        <v>2.35</v>
      </c>
      <c r="AB2681" s="12">
        <v>327</v>
      </c>
      <c r="AC2681" s="12"/>
      <c r="AD2681" s="12" t="str">
        <f>IFERROR(__xludf.DUMMYFUNCTION("""COMPUTED_VALUE"""),"Charles Keating")</f>
        <v>Charles Keating</v>
      </c>
      <c r="AE2681" s="12"/>
    </row>
    <row r="2682" customHeight="1" spans="1:31">
      <c r="A2682" s="11" t="s">
        <v>30</v>
      </c>
      <c r="B2682" s="11" t="s">
        <v>2272</v>
      </c>
      <c r="C2682" s="11">
        <v>388</v>
      </c>
      <c r="D2682" s="11">
        <v>131</v>
      </c>
      <c r="E2682" s="11">
        <v>0</v>
      </c>
      <c r="F2682" s="11">
        <v>383</v>
      </c>
      <c r="G2682" s="11">
        <v>10000</v>
      </c>
      <c r="H2682" s="11">
        <v>15700000</v>
      </c>
      <c r="I2682" s="11" t="s">
        <v>2175</v>
      </c>
      <c r="J2682" s="11" t="s">
        <v>888</v>
      </c>
      <c r="K2682" s="11" t="s">
        <v>2273</v>
      </c>
      <c r="L2682" s="11" t="s">
        <v>3248</v>
      </c>
      <c r="M2682" s="11" t="s">
        <v>12974</v>
      </c>
      <c r="N2682" s="11">
        <v>332065</v>
      </c>
      <c r="O2682" s="11">
        <v>11114</v>
      </c>
      <c r="P2682" s="11">
        <v>0</v>
      </c>
      <c r="Q2682" s="11" t="s">
        <v>12975</v>
      </c>
      <c r="R2682" s="14" t="s">
        <v>12976</v>
      </c>
      <c r="S2682" s="11">
        <v>876</v>
      </c>
      <c r="T2682" s="11" t="s">
        <v>39</v>
      </c>
      <c r="U2682" s="11" t="s">
        <v>40</v>
      </c>
      <c r="V2682" s="11" t="s">
        <v>586</v>
      </c>
      <c r="W2682" s="11">
        <v>15000000</v>
      </c>
      <c r="X2682" s="11">
        <v>2008</v>
      </c>
      <c r="Y2682" s="11">
        <v>602</v>
      </c>
      <c r="Z2682" s="11">
        <v>7.6</v>
      </c>
      <c r="AA2682" s="11">
        <v>1.85</v>
      </c>
      <c r="AB2682" s="11">
        <v>16000</v>
      </c>
      <c r="AC2682" s="11"/>
      <c r="AD2682" s="11" t="str">
        <f>IFERROR(__xludf.DUMMYFUNCTION("""COMPUTED_VALUE"""),"Jack Reynor")</f>
        <v>Jack Reynor</v>
      </c>
      <c r="AE2682" s="11"/>
    </row>
    <row r="2683" customHeight="1" spans="1:31">
      <c r="A2683" s="12" t="s">
        <v>30</v>
      </c>
      <c r="B2683" s="12" t="s">
        <v>12977</v>
      </c>
      <c r="C2683" s="12">
        <v>45</v>
      </c>
      <c r="D2683" s="12">
        <v>114</v>
      </c>
      <c r="E2683" s="12">
        <v>73</v>
      </c>
      <c r="F2683" s="12">
        <v>563</v>
      </c>
      <c r="G2683" s="12">
        <v>695</v>
      </c>
      <c r="H2683" s="12">
        <v>15100000</v>
      </c>
      <c r="I2683" s="12" t="s">
        <v>2208</v>
      </c>
      <c r="J2683" s="12" t="s">
        <v>2846</v>
      </c>
      <c r="K2683" s="12" t="s">
        <v>12978</v>
      </c>
      <c r="L2683" s="12" t="s">
        <v>3888</v>
      </c>
      <c r="M2683" s="12" t="s">
        <v>12979</v>
      </c>
      <c r="N2683" s="12">
        <v>22797</v>
      </c>
      <c r="O2683" s="12">
        <v>3444</v>
      </c>
      <c r="P2683" s="12">
        <v>1</v>
      </c>
      <c r="Q2683" s="12" t="s">
        <v>12980</v>
      </c>
      <c r="R2683" s="15" t="s">
        <v>12981</v>
      </c>
      <c r="S2683" s="12">
        <v>96</v>
      </c>
      <c r="T2683" s="12" t="s">
        <v>39</v>
      </c>
      <c r="U2683" s="12" t="s">
        <v>40</v>
      </c>
      <c r="V2683" s="12" t="s">
        <v>586</v>
      </c>
      <c r="W2683" s="12">
        <v>15000000</v>
      </c>
      <c r="X2683" s="12">
        <v>1984</v>
      </c>
      <c r="Y2683" s="12">
        <v>654</v>
      </c>
      <c r="Z2683" s="12">
        <v>6</v>
      </c>
      <c r="AA2683" s="12">
        <v>2.35</v>
      </c>
      <c r="AB2683" s="12">
        <v>0</v>
      </c>
      <c r="AC2683" s="12"/>
      <c r="AD2683" s="12" t="str">
        <f>IFERROR(__xludf.DUMMYFUNCTION("""COMPUTED_VALUE"""),"Bobby Moynihan")</f>
        <v>Bobby Moynihan</v>
      </c>
      <c r="AE2683" s="12"/>
    </row>
    <row r="2684" customHeight="1" spans="1:31">
      <c r="A2684" s="11" t="s">
        <v>30</v>
      </c>
      <c r="B2684" s="11" t="s">
        <v>8703</v>
      </c>
      <c r="C2684" s="11">
        <v>414</v>
      </c>
      <c r="D2684" s="11">
        <v>97</v>
      </c>
      <c r="E2684" s="11">
        <v>181</v>
      </c>
      <c r="F2684" s="11">
        <v>748</v>
      </c>
      <c r="G2684" s="11">
        <v>11000</v>
      </c>
      <c r="H2684" s="11">
        <v>14938570</v>
      </c>
      <c r="I2684" s="11" t="s">
        <v>1528</v>
      </c>
      <c r="J2684" s="11" t="s">
        <v>343</v>
      </c>
      <c r="K2684" s="11" t="s">
        <v>1046</v>
      </c>
      <c r="L2684" s="11" t="s">
        <v>1025</v>
      </c>
      <c r="M2684" s="11" t="s">
        <v>12982</v>
      </c>
      <c r="N2684" s="11">
        <v>111625</v>
      </c>
      <c r="O2684" s="11">
        <v>14025</v>
      </c>
      <c r="P2684" s="11">
        <v>1</v>
      </c>
      <c r="Q2684" s="11" t="s">
        <v>12983</v>
      </c>
      <c r="R2684" s="14" t="s">
        <v>12984</v>
      </c>
      <c r="S2684" s="11">
        <v>369</v>
      </c>
      <c r="T2684" s="11" t="s">
        <v>39</v>
      </c>
      <c r="U2684" s="11" t="s">
        <v>40</v>
      </c>
      <c r="V2684" s="11" t="s">
        <v>586</v>
      </c>
      <c r="W2684" s="11">
        <v>15000000</v>
      </c>
      <c r="X2684" s="11">
        <v>2012</v>
      </c>
      <c r="Y2684" s="11">
        <v>820</v>
      </c>
      <c r="Z2684" s="11">
        <v>6.2</v>
      </c>
      <c r="AA2684" s="11">
        <v>2.35</v>
      </c>
      <c r="AB2684" s="11">
        <v>20000</v>
      </c>
      <c r="AC2684" s="11"/>
      <c r="AD2684" s="11" t="str">
        <f>IFERROR(__xludf.DUMMYFUNCTION("""COMPUTED_VALUE"""),"Matthew Daddario")</f>
        <v>Matthew Daddario</v>
      </c>
      <c r="AE2684" s="11"/>
    </row>
    <row r="2685" customHeight="1" spans="1:31">
      <c r="A2685" s="12" t="s">
        <v>30</v>
      </c>
      <c r="B2685" s="12" t="s">
        <v>10842</v>
      </c>
      <c r="C2685" s="12">
        <v>291</v>
      </c>
      <c r="D2685" s="12">
        <v>122</v>
      </c>
      <c r="E2685" s="12">
        <v>210</v>
      </c>
      <c r="F2685" s="12">
        <v>123</v>
      </c>
      <c r="G2685" s="12">
        <v>22000</v>
      </c>
      <c r="H2685" s="12">
        <v>17237244</v>
      </c>
      <c r="I2685" s="12" t="s">
        <v>2126</v>
      </c>
      <c r="J2685" s="12" t="s">
        <v>699</v>
      </c>
      <c r="K2685" s="12" t="s">
        <v>12985</v>
      </c>
      <c r="L2685" s="12" t="s">
        <v>12986</v>
      </c>
      <c r="M2685" s="12" t="s">
        <v>12987</v>
      </c>
      <c r="N2685" s="12">
        <v>57210</v>
      </c>
      <c r="O2685" s="12">
        <v>22574</v>
      </c>
      <c r="P2685" s="12">
        <v>3</v>
      </c>
      <c r="Q2685" s="12" t="s">
        <v>12988</v>
      </c>
      <c r="R2685" s="15" t="s">
        <v>12989</v>
      </c>
      <c r="S2685" s="12">
        <v>158</v>
      </c>
      <c r="T2685" s="12" t="s">
        <v>39</v>
      </c>
      <c r="U2685" s="12" t="s">
        <v>58</v>
      </c>
      <c r="V2685" s="12" t="s">
        <v>586</v>
      </c>
      <c r="W2685" s="12">
        <v>15000000</v>
      </c>
      <c r="X2685" s="12">
        <v>2014</v>
      </c>
      <c r="Y2685" s="12">
        <v>164</v>
      </c>
      <c r="Z2685" s="12">
        <v>6.8</v>
      </c>
      <c r="AA2685" s="12">
        <v>2.35</v>
      </c>
      <c r="AB2685" s="12">
        <v>13000</v>
      </c>
      <c r="AC2685" s="12"/>
      <c r="AD2685" s="12" t="str">
        <f>IFERROR(__xludf.DUMMYFUNCTION("""COMPUTED_VALUE"""),"Radivoje Bukvic")</f>
        <v>Radivoje Bukvic</v>
      </c>
      <c r="AE2685" s="12"/>
    </row>
    <row r="2686" customHeight="1" spans="1:31">
      <c r="A2686" s="11" t="s">
        <v>30</v>
      </c>
      <c r="B2686" s="11" t="s">
        <v>12990</v>
      </c>
      <c r="C2686" s="11">
        <v>97</v>
      </c>
      <c r="D2686" s="11">
        <v>87</v>
      </c>
      <c r="E2686" s="11">
        <v>374</v>
      </c>
      <c r="F2686" s="11">
        <v>484</v>
      </c>
      <c r="G2686" s="11">
        <v>826</v>
      </c>
      <c r="H2686" s="11">
        <v>14249005</v>
      </c>
      <c r="I2686" s="11" t="s">
        <v>1672</v>
      </c>
      <c r="J2686" s="11" t="s">
        <v>904</v>
      </c>
      <c r="K2686" s="11" t="s">
        <v>12269</v>
      </c>
      <c r="L2686" s="11" t="s">
        <v>10596</v>
      </c>
      <c r="M2686" s="11" t="s">
        <v>12991</v>
      </c>
      <c r="N2686" s="11">
        <v>39788</v>
      </c>
      <c r="O2686" s="11">
        <v>2689</v>
      </c>
      <c r="P2686" s="11">
        <v>1</v>
      </c>
      <c r="Q2686" s="11" t="s">
        <v>12992</v>
      </c>
      <c r="R2686" s="14" t="s">
        <v>12993</v>
      </c>
      <c r="S2686" s="11">
        <v>619</v>
      </c>
      <c r="T2686" s="11" t="s">
        <v>39</v>
      </c>
      <c r="U2686" s="11" t="s">
        <v>40</v>
      </c>
      <c r="V2686" s="11" t="s">
        <v>586</v>
      </c>
      <c r="W2686" s="11">
        <v>15000000</v>
      </c>
      <c r="X2686" s="11">
        <v>2001</v>
      </c>
      <c r="Y2686" s="11">
        <v>503</v>
      </c>
      <c r="Z2686" s="11">
        <v>4.5</v>
      </c>
      <c r="AA2686" s="11">
        <v>1.85</v>
      </c>
      <c r="AB2686" s="11">
        <v>0</v>
      </c>
      <c r="AC2686" s="11"/>
      <c r="AD2686" s="11" t="str">
        <f>IFERROR(__xludf.DUMMYFUNCTION("""COMPUTED_VALUE"""),"Pawel Szajda")</f>
        <v>Pawel Szajda</v>
      </c>
      <c r="AE2686" s="11"/>
    </row>
    <row r="2687" customHeight="1" spans="1:31">
      <c r="A2687" s="12" t="s">
        <v>30</v>
      </c>
      <c r="B2687" s="12" t="s">
        <v>12994</v>
      </c>
      <c r="C2687" s="12">
        <v>37</v>
      </c>
      <c r="D2687" s="12">
        <v>85</v>
      </c>
      <c r="E2687" s="12">
        <v>12</v>
      </c>
      <c r="F2687" s="12">
        <v>23</v>
      </c>
      <c r="G2687" s="12">
        <v>354</v>
      </c>
      <c r="H2687" s="12">
        <v>12701880</v>
      </c>
      <c r="I2687" s="12" t="s">
        <v>471</v>
      </c>
      <c r="J2687" s="12" t="s">
        <v>12995</v>
      </c>
      <c r="K2687" s="12" t="s">
        <v>12996</v>
      </c>
      <c r="L2687" s="12" t="s">
        <v>12997</v>
      </c>
      <c r="M2687" s="12" t="s">
        <v>12998</v>
      </c>
      <c r="N2687" s="12">
        <v>2037</v>
      </c>
      <c r="O2687" s="12">
        <v>568</v>
      </c>
      <c r="P2687" s="12">
        <v>0</v>
      </c>
      <c r="Q2687" s="12" t="s">
        <v>12999</v>
      </c>
      <c r="R2687" s="15" t="s">
        <v>13000</v>
      </c>
      <c r="S2687" s="12">
        <v>22</v>
      </c>
      <c r="T2687" s="12" t="s">
        <v>39</v>
      </c>
      <c r="U2687" s="12" t="s">
        <v>40</v>
      </c>
      <c r="V2687" s="12" t="s">
        <v>278</v>
      </c>
      <c r="W2687" s="12">
        <v>15000000</v>
      </c>
      <c r="X2687" s="12">
        <v>2008</v>
      </c>
      <c r="Y2687" s="12">
        <v>173</v>
      </c>
      <c r="Z2687" s="12">
        <v>5.7</v>
      </c>
      <c r="AA2687" s="12">
        <v>1.85</v>
      </c>
      <c r="AB2687" s="12">
        <v>175</v>
      </c>
      <c r="AC2687" s="12"/>
      <c r="AD2687" s="12" t="str">
        <f>IFERROR(__xludf.DUMMYFUNCTION("""COMPUTED_VALUE"""),"Grigoriy Dobrygin")</f>
        <v>Grigoriy Dobrygin</v>
      </c>
      <c r="AE2687" s="12"/>
    </row>
    <row r="2688" customHeight="1" spans="1:31">
      <c r="A2688" s="11" t="s">
        <v>30</v>
      </c>
      <c r="B2688" s="11" t="s">
        <v>13001</v>
      </c>
      <c r="C2688" s="11">
        <v>68</v>
      </c>
      <c r="D2688" s="11">
        <v>85</v>
      </c>
      <c r="E2688" s="11">
        <v>0</v>
      </c>
      <c r="F2688" s="11">
        <v>44</v>
      </c>
      <c r="G2688" s="11">
        <v>468</v>
      </c>
      <c r="H2688" s="11">
        <v>10353690</v>
      </c>
      <c r="I2688" s="11" t="s">
        <v>4068</v>
      </c>
      <c r="J2688" s="11" t="s">
        <v>6138</v>
      </c>
      <c r="K2688" s="11" t="s">
        <v>13002</v>
      </c>
      <c r="L2688" s="11" t="s">
        <v>13003</v>
      </c>
      <c r="M2688" s="11" t="s">
        <v>13004</v>
      </c>
      <c r="N2688" s="11">
        <v>2673</v>
      </c>
      <c r="O2688" s="11">
        <v>646</v>
      </c>
      <c r="P2688" s="11">
        <v>0</v>
      </c>
      <c r="Q2688" s="11" t="s">
        <v>13005</v>
      </c>
      <c r="R2688" s="14" t="s">
        <v>13006</v>
      </c>
      <c r="S2688" s="11">
        <v>31</v>
      </c>
      <c r="T2688" s="11" t="s">
        <v>39</v>
      </c>
      <c r="U2688" s="11" t="s">
        <v>40</v>
      </c>
      <c r="V2688" s="11" t="s">
        <v>278</v>
      </c>
      <c r="W2688" s="13"/>
      <c r="X2688" s="11">
        <v>2007</v>
      </c>
      <c r="Y2688" s="11">
        <v>67</v>
      </c>
      <c r="Z2688" s="11">
        <v>8.4</v>
      </c>
      <c r="AA2688" s="11">
        <v>1.78</v>
      </c>
      <c r="AB2688" s="11">
        <v>116</v>
      </c>
      <c r="AC2688" s="11"/>
      <c r="AD2688" s="11" t="str">
        <f>IFERROR(__xludf.DUMMYFUNCTION("""COMPUTED_VALUE"""),"Neil Diamond")</f>
        <v>Neil Diamond</v>
      </c>
      <c r="AE2688" s="11"/>
    </row>
    <row r="2689" customHeight="1" spans="1:31">
      <c r="A2689" s="12" t="s">
        <v>30</v>
      </c>
      <c r="B2689" s="12" t="s">
        <v>13007</v>
      </c>
      <c r="C2689" s="12">
        <v>90</v>
      </c>
      <c r="D2689" s="12">
        <v>101</v>
      </c>
      <c r="E2689" s="12">
        <v>36</v>
      </c>
      <c r="F2689" s="12">
        <v>377</v>
      </c>
      <c r="G2689" s="12">
        <v>1000</v>
      </c>
      <c r="H2689" s="12">
        <v>12801190</v>
      </c>
      <c r="I2689" s="12" t="s">
        <v>32</v>
      </c>
      <c r="J2689" s="12" t="s">
        <v>4534</v>
      </c>
      <c r="K2689" s="12" t="s">
        <v>13008</v>
      </c>
      <c r="L2689" s="12" t="s">
        <v>13009</v>
      </c>
      <c r="M2689" s="12" t="s">
        <v>13010</v>
      </c>
      <c r="N2689" s="12">
        <v>16340</v>
      </c>
      <c r="O2689" s="12">
        <v>2764</v>
      </c>
      <c r="P2689" s="12">
        <v>1</v>
      </c>
      <c r="Q2689" s="12" t="s">
        <v>13011</v>
      </c>
      <c r="R2689" s="15" t="s">
        <v>13012</v>
      </c>
      <c r="S2689" s="12">
        <v>355</v>
      </c>
      <c r="T2689" s="12" t="s">
        <v>39</v>
      </c>
      <c r="U2689" s="12" t="s">
        <v>40</v>
      </c>
      <c r="V2689" s="12" t="s">
        <v>586</v>
      </c>
      <c r="W2689" s="12">
        <v>15000000</v>
      </c>
      <c r="X2689" s="12">
        <v>2000</v>
      </c>
      <c r="Y2689" s="12">
        <v>786</v>
      </c>
      <c r="Z2689" s="12">
        <v>4.6</v>
      </c>
      <c r="AA2689" s="12">
        <v>2.35</v>
      </c>
      <c r="AB2689" s="12">
        <v>356</v>
      </c>
      <c r="AC2689" s="12"/>
      <c r="AD2689" s="12" t="str">
        <f>IFERROR(__xludf.DUMMYFUNCTION("""COMPUTED_VALUE"""),"Kyle Gass")</f>
        <v>Kyle Gass</v>
      </c>
      <c r="AE2689" s="12"/>
    </row>
    <row r="2690" customHeight="1" spans="1:31">
      <c r="A2690" s="11" t="s">
        <v>30</v>
      </c>
      <c r="B2690" s="11" t="s">
        <v>13013</v>
      </c>
      <c r="C2690" s="11">
        <v>81</v>
      </c>
      <c r="D2690" s="11">
        <v>121</v>
      </c>
      <c r="E2690" s="11">
        <v>16</v>
      </c>
      <c r="F2690" s="11">
        <v>526</v>
      </c>
      <c r="G2690" s="11">
        <v>907</v>
      </c>
      <c r="H2690" s="11">
        <v>12549485</v>
      </c>
      <c r="I2690" s="11" t="s">
        <v>13014</v>
      </c>
      <c r="J2690" s="11" t="s">
        <v>7513</v>
      </c>
      <c r="K2690" s="11" t="s">
        <v>5227</v>
      </c>
      <c r="L2690" s="11" t="s">
        <v>1877</v>
      </c>
      <c r="M2690" s="11" t="s">
        <v>13015</v>
      </c>
      <c r="N2690" s="11">
        <v>4603</v>
      </c>
      <c r="O2690" s="11">
        <v>3633</v>
      </c>
      <c r="P2690" s="11">
        <v>4</v>
      </c>
      <c r="Q2690" s="11" t="s">
        <v>13016</v>
      </c>
      <c r="R2690" s="14" t="s">
        <v>13017</v>
      </c>
      <c r="S2690" s="11">
        <v>91</v>
      </c>
      <c r="T2690" s="11" t="s">
        <v>39</v>
      </c>
      <c r="U2690" s="11" t="s">
        <v>40</v>
      </c>
      <c r="V2690" s="11" t="s">
        <v>586</v>
      </c>
      <c r="W2690" s="11">
        <v>15000000</v>
      </c>
      <c r="X2690" s="11">
        <v>2006</v>
      </c>
      <c r="Y2690" s="11">
        <v>585</v>
      </c>
      <c r="Z2690" s="11">
        <v>6.2</v>
      </c>
      <c r="AA2690" s="11">
        <v>2.35</v>
      </c>
      <c r="AB2690" s="11">
        <v>489</v>
      </c>
      <c r="AC2690" s="11"/>
      <c r="AD2690" s="11" t="str">
        <f>IFERROR(__xludf.DUMMYFUNCTION("""COMPUTED_VALUE"""),"Zachary Gordon")</f>
        <v>Zachary Gordon</v>
      </c>
      <c r="AE2690" s="11"/>
    </row>
    <row r="2691" customHeight="1" spans="1:31">
      <c r="A2691" s="12" t="s">
        <v>30</v>
      </c>
      <c r="B2691" s="12" t="s">
        <v>13018</v>
      </c>
      <c r="C2691" s="12">
        <v>221</v>
      </c>
      <c r="D2691" s="12">
        <v>107</v>
      </c>
      <c r="E2691" s="12">
        <v>92</v>
      </c>
      <c r="F2691" s="12">
        <v>358</v>
      </c>
      <c r="G2691" s="12">
        <v>11000</v>
      </c>
      <c r="H2691" s="12">
        <v>13766014</v>
      </c>
      <c r="I2691" s="12" t="s">
        <v>214</v>
      </c>
      <c r="J2691" s="12" t="s">
        <v>257</v>
      </c>
      <c r="K2691" s="12" t="s">
        <v>1850</v>
      </c>
      <c r="L2691" s="12" t="s">
        <v>1130</v>
      </c>
      <c r="M2691" s="12" t="s">
        <v>13019</v>
      </c>
      <c r="N2691" s="12">
        <v>106111</v>
      </c>
      <c r="O2691" s="12">
        <v>17627</v>
      </c>
      <c r="P2691" s="12">
        <v>0</v>
      </c>
      <c r="Q2691" s="12" t="s">
        <v>13020</v>
      </c>
      <c r="R2691" s="15" t="s">
        <v>13021</v>
      </c>
      <c r="S2691" s="12">
        <v>181</v>
      </c>
      <c r="T2691" s="12" t="s">
        <v>39</v>
      </c>
      <c r="U2691" s="12" t="s">
        <v>40</v>
      </c>
      <c r="V2691" s="12" t="s">
        <v>41</v>
      </c>
      <c r="W2691" s="12">
        <v>15000000</v>
      </c>
      <c r="X2691" s="12">
        <v>2011</v>
      </c>
      <c r="Y2691" s="12">
        <v>5000</v>
      </c>
      <c r="Z2691" s="12">
        <v>7</v>
      </c>
      <c r="AA2691" s="12">
        <v>2.35</v>
      </c>
      <c r="AB2691" s="12">
        <v>49000</v>
      </c>
      <c r="AC2691" s="12"/>
      <c r="AD2691" s="12" t="str">
        <f>IFERROR(__xludf.DUMMYFUNCTION("""COMPUTED_VALUE"""),"Jason Mewes")</f>
        <v>Jason Mewes</v>
      </c>
      <c r="AE2691" s="12"/>
    </row>
    <row r="2692" customHeight="1" spans="1:31">
      <c r="A2692" s="11" t="s">
        <v>30</v>
      </c>
      <c r="B2692" s="11" t="s">
        <v>13022</v>
      </c>
      <c r="C2692" s="11">
        <v>230</v>
      </c>
      <c r="D2692" s="11">
        <v>111</v>
      </c>
      <c r="E2692" s="11">
        <v>0</v>
      </c>
      <c r="F2692" s="11">
        <v>727</v>
      </c>
      <c r="G2692" s="11">
        <v>796</v>
      </c>
      <c r="H2692" s="11">
        <v>13034417</v>
      </c>
      <c r="I2692" s="11" t="s">
        <v>3794</v>
      </c>
      <c r="J2692" s="11" t="s">
        <v>8510</v>
      </c>
      <c r="K2692" s="11" t="s">
        <v>6597</v>
      </c>
      <c r="L2692" s="11" t="s">
        <v>4990</v>
      </c>
      <c r="M2692" s="11" t="s">
        <v>13023</v>
      </c>
      <c r="N2692" s="11">
        <v>55665</v>
      </c>
      <c r="O2692" s="11">
        <v>2633</v>
      </c>
      <c r="P2692" s="11">
        <v>1</v>
      </c>
      <c r="Q2692" s="11" t="s">
        <v>13024</v>
      </c>
      <c r="R2692" s="14" t="s">
        <v>13025</v>
      </c>
      <c r="S2692" s="11">
        <v>118</v>
      </c>
      <c r="T2692" s="11" t="s">
        <v>39</v>
      </c>
      <c r="U2692" s="11" t="s">
        <v>40</v>
      </c>
      <c r="V2692" s="11" t="s">
        <v>41</v>
      </c>
      <c r="W2692" s="11">
        <v>15000000</v>
      </c>
      <c r="X2692" s="11">
        <v>2009</v>
      </c>
      <c r="Y2692" s="11">
        <v>787</v>
      </c>
      <c r="Z2692" s="11">
        <v>6.9</v>
      </c>
      <c r="AA2692" s="11">
        <v>2.35</v>
      </c>
      <c r="AB2692" s="11">
        <v>10000</v>
      </c>
      <c r="AC2692" s="11"/>
      <c r="AD2692" s="11" t="str">
        <f>IFERROR(__xludf.DUMMYFUNCTION("""COMPUTED_VALUE"""),"Bruce Dern")</f>
        <v>Bruce Dern</v>
      </c>
      <c r="AE2692" s="11"/>
    </row>
    <row r="2693" customHeight="1" spans="1:31">
      <c r="A2693" s="12" t="s">
        <v>30</v>
      </c>
      <c r="B2693" s="12" t="s">
        <v>13026</v>
      </c>
      <c r="C2693" s="12">
        <v>57</v>
      </c>
      <c r="D2693" s="12">
        <v>92</v>
      </c>
      <c r="E2693" s="12">
        <v>34</v>
      </c>
      <c r="F2693" s="12">
        <v>366</v>
      </c>
      <c r="G2693" s="12">
        <v>14000</v>
      </c>
      <c r="H2693" s="12">
        <v>11632420</v>
      </c>
      <c r="I2693" s="12" t="s">
        <v>2126</v>
      </c>
      <c r="J2693" s="12" t="s">
        <v>337</v>
      </c>
      <c r="K2693" s="12" t="s">
        <v>2409</v>
      </c>
      <c r="L2693" s="12" t="s">
        <v>13027</v>
      </c>
      <c r="M2693" s="12" t="s">
        <v>13028</v>
      </c>
      <c r="N2693" s="12">
        <v>19768</v>
      </c>
      <c r="O2693" s="12">
        <v>15644</v>
      </c>
      <c r="P2693" s="12">
        <v>1</v>
      </c>
      <c r="Q2693" s="12" t="s">
        <v>13029</v>
      </c>
      <c r="R2693" s="15" t="s">
        <v>13030</v>
      </c>
      <c r="S2693" s="12">
        <v>135</v>
      </c>
      <c r="T2693" s="12" t="s">
        <v>39</v>
      </c>
      <c r="U2693" s="12" t="s">
        <v>40</v>
      </c>
      <c r="V2693" s="12" t="s">
        <v>586</v>
      </c>
      <c r="W2693" s="16"/>
      <c r="X2693" s="12">
        <v>2001</v>
      </c>
      <c r="Y2693" s="12">
        <v>442</v>
      </c>
      <c r="Z2693" s="12">
        <v>6.1</v>
      </c>
      <c r="AA2693" s="12">
        <v>2.35</v>
      </c>
      <c r="AB2693" s="12">
        <v>566</v>
      </c>
      <c r="AC2693" s="12"/>
      <c r="AD2693" s="12" t="str">
        <f>IFERROR(__xludf.DUMMYFUNCTION("""COMPUTED_VALUE"""),"Paulo Costanzo")</f>
        <v>Paulo Costanzo</v>
      </c>
      <c r="AE2693" s="12"/>
    </row>
    <row r="2694" customHeight="1" spans="1:31">
      <c r="A2694" s="11" t="s">
        <v>30</v>
      </c>
      <c r="B2694" s="11" t="s">
        <v>13031</v>
      </c>
      <c r="C2694" s="11">
        <v>119</v>
      </c>
      <c r="D2694" s="11">
        <v>97</v>
      </c>
      <c r="E2694" s="11">
        <v>164</v>
      </c>
      <c r="F2694" s="11">
        <v>308</v>
      </c>
      <c r="G2694" s="11">
        <v>436</v>
      </c>
      <c r="H2694" s="11">
        <v>12212417</v>
      </c>
      <c r="I2694" s="11" t="s">
        <v>1528</v>
      </c>
      <c r="J2694" s="11" t="s">
        <v>4398</v>
      </c>
      <c r="K2694" s="11" t="s">
        <v>7470</v>
      </c>
      <c r="L2694" s="11" t="s">
        <v>5534</v>
      </c>
      <c r="M2694" s="11" t="s">
        <v>13032</v>
      </c>
      <c r="N2694" s="11">
        <v>30643</v>
      </c>
      <c r="O2694" s="11">
        <v>1172</v>
      </c>
      <c r="P2694" s="11">
        <v>3</v>
      </c>
      <c r="Q2694" s="11" t="s">
        <v>13033</v>
      </c>
      <c r="R2694" s="14" t="s">
        <v>13034</v>
      </c>
      <c r="S2694" s="11">
        <v>144</v>
      </c>
      <c r="T2694" s="11" t="s">
        <v>39</v>
      </c>
      <c r="U2694" s="11" t="s">
        <v>40</v>
      </c>
      <c r="V2694" s="11" t="s">
        <v>586</v>
      </c>
      <c r="W2694" s="11">
        <v>15000000</v>
      </c>
      <c r="X2694" s="11">
        <v>2003</v>
      </c>
      <c r="Y2694" s="11">
        <v>324</v>
      </c>
      <c r="Z2694" s="11">
        <v>6.7</v>
      </c>
      <c r="AA2694" s="11">
        <v>2.35</v>
      </c>
      <c r="AB2694" s="11">
        <v>622</v>
      </c>
      <c r="AC2694" s="11"/>
      <c r="AD2694" s="11" t="str">
        <f>IFERROR(__xludf.DUMMYFUNCTION("""COMPUTED_VALUE"""),"Aries Spears")</f>
        <v>Aries Spears</v>
      </c>
      <c r="AE2694" s="11"/>
    </row>
    <row r="2695" customHeight="1" spans="1:31">
      <c r="A2695" s="12" t="s">
        <v>30</v>
      </c>
      <c r="B2695" s="12" t="s">
        <v>2968</v>
      </c>
      <c r="C2695" s="12">
        <v>97</v>
      </c>
      <c r="D2695" s="12">
        <v>97</v>
      </c>
      <c r="E2695" s="12">
        <v>745</v>
      </c>
      <c r="F2695" s="12">
        <v>745</v>
      </c>
      <c r="G2695" s="12">
        <v>12000</v>
      </c>
      <c r="H2695" s="12">
        <v>11614236</v>
      </c>
      <c r="I2695" s="12" t="s">
        <v>1672</v>
      </c>
      <c r="J2695" s="12" t="s">
        <v>301</v>
      </c>
      <c r="K2695" s="12" t="s">
        <v>5572</v>
      </c>
      <c r="L2695" s="12" t="s">
        <v>2968</v>
      </c>
      <c r="M2695" s="12" t="s">
        <v>13035</v>
      </c>
      <c r="N2695" s="12">
        <v>9294</v>
      </c>
      <c r="O2695" s="12">
        <v>15209</v>
      </c>
      <c r="P2695" s="12">
        <v>2</v>
      </c>
      <c r="Q2695" s="12" t="s">
        <v>13036</v>
      </c>
      <c r="R2695" s="15" t="s">
        <v>13037</v>
      </c>
      <c r="S2695" s="12">
        <v>140</v>
      </c>
      <c r="T2695" s="12" t="s">
        <v>39</v>
      </c>
      <c r="U2695" s="12" t="s">
        <v>40</v>
      </c>
      <c r="V2695" s="12" t="s">
        <v>41</v>
      </c>
      <c r="W2695" s="12">
        <v>15000000</v>
      </c>
      <c r="X2695" s="12">
        <v>1999</v>
      </c>
      <c r="Y2695" s="12">
        <v>821</v>
      </c>
      <c r="Z2695" s="12">
        <v>5.6</v>
      </c>
      <c r="AA2695" s="12">
        <v>1.37</v>
      </c>
      <c r="AB2695" s="12">
        <v>251</v>
      </c>
      <c r="AC2695" s="12"/>
      <c r="AD2695" s="12" t="str">
        <f>IFERROR(__xludf.DUMMYFUNCTION("""COMPUTED_VALUE"""),"Rock Hudson")</f>
        <v>Rock Hudson</v>
      </c>
      <c r="AE2695" s="12"/>
    </row>
    <row r="2696" customHeight="1" spans="1:31">
      <c r="A2696" s="11" t="s">
        <v>748</v>
      </c>
      <c r="B2696" s="11" t="s">
        <v>6705</v>
      </c>
      <c r="C2696" s="11">
        <v>119</v>
      </c>
      <c r="D2696" s="11">
        <v>125</v>
      </c>
      <c r="E2696" s="11">
        <v>34</v>
      </c>
      <c r="F2696" s="11">
        <v>65</v>
      </c>
      <c r="G2696" s="11">
        <v>427</v>
      </c>
      <c r="H2696" s="11">
        <v>13337299</v>
      </c>
      <c r="I2696" s="11" t="s">
        <v>6507</v>
      </c>
      <c r="J2696" s="11" t="s">
        <v>3604</v>
      </c>
      <c r="K2696" s="11" t="s">
        <v>13038</v>
      </c>
      <c r="L2696" s="11" t="s">
        <v>13039</v>
      </c>
      <c r="M2696" s="11" t="s">
        <v>13040</v>
      </c>
      <c r="N2696" s="11">
        <v>9649</v>
      </c>
      <c r="O2696" s="11">
        <v>729</v>
      </c>
      <c r="P2696" s="11">
        <v>7</v>
      </c>
      <c r="Q2696" s="11" t="s">
        <v>13041</v>
      </c>
      <c r="R2696" s="14" t="s">
        <v>13042</v>
      </c>
      <c r="S2696" s="11">
        <v>226</v>
      </c>
      <c r="T2696" s="11" t="s">
        <v>39</v>
      </c>
      <c r="U2696" s="11" t="s">
        <v>40</v>
      </c>
      <c r="V2696" s="11" t="s">
        <v>41</v>
      </c>
      <c r="W2696" s="11">
        <v>20000000</v>
      </c>
      <c r="X2696" s="11">
        <v>2004</v>
      </c>
      <c r="Y2696" s="11">
        <v>66</v>
      </c>
      <c r="Z2696" s="11">
        <v>6.6</v>
      </c>
      <c r="AA2696" s="11">
        <v>2.35</v>
      </c>
      <c r="AB2696" s="11">
        <v>1000</v>
      </c>
      <c r="AC2696" s="11"/>
      <c r="AD2696" s="11" t="str">
        <f>IFERROR(__xludf.DUMMYFUNCTION("""COMPUTED_VALUE"""),"Vernon Dobtcheff")</f>
        <v>Vernon Dobtcheff</v>
      </c>
      <c r="AE2696" s="11"/>
    </row>
    <row r="2697" customHeight="1" spans="1:31">
      <c r="A2697" s="12" t="s">
        <v>30</v>
      </c>
      <c r="B2697" s="12" t="s">
        <v>4004</v>
      </c>
      <c r="C2697" s="12">
        <v>42</v>
      </c>
      <c r="D2697" s="12">
        <v>124</v>
      </c>
      <c r="E2697" s="12">
        <v>11000</v>
      </c>
      <c r="F2697" s="12">
        <v>563</v>
      </c>
      <c r="G2697" s="12">
        <v>11000</v>
      </c>
      <c r="H2697" s="12">
        <v>10763469</v>
      </c>
      <c r="I2697" s="12" t="s">
        <v>1415</v>
      </c>
      <c r="J2697" s="12" t="s">
        <v>4004</v>
      </c>
      <c r="K2697" s="12" t="s">
        <v>8326</v>
      </c>
      <c r="L2697" s="12" t="s">
        <v>2883</v>
      </c>
      <c r="M2697" s="12" t="s">
        <v>13043</v>
      </c>
      <c r="N2697" s="12">
        <v>13692</v>
      </c>
      <c r="O2697" s="12">
        <v>12685</v>
      </c>
      <c r="P2697" s="12">
        <v>0</v>
      </c>
      <c r="Q2697" s="12" t="s">
        <v>13044</v>
      </c>
      <c r="R2697" s="15" t="s">
        <v>13045</v>
      </c>
      <c r="S2697" s="12">
        <v>55</v>
      </c>
      <c r="T2697" s="12" t="s">
        <v>39</v>
      </c>
      <c r="U2697" s="12" t="s">
        <v>40</v>
      </c>
      <c r="V2697" s="12" t="s">
        <v>96</v>
      </c>
      <c r="W2697" s="12">
        <v>15000000</v>
      </c>
      <c r="X2697" s="12">
        <v>1989</v>
      </c>
      <c r="Y2697" s="12">
        <v>860</v>
      </c>
      <c r="Z2697" s="12">
        <v>6.4</v>
      </c>
      <c r="AA2697" s="12">
        <v>1.85</v>
      </c>
      <c r="AB2697" s="12">
        <v>877</v>
      </c>
      <c r="AC2697" s="12"/>
      <c r="AD2697" s="12" t="str">
        <f>IFERROR(__xludf.DUMMYFUNCTION("""COMPUTED_VALUE"""),"Jeremy Kemp")</f>
        <v>Jeremy Kemp</v>
      </c>
      <c r="AE2697" s="12"/>
    </row>
    <row r="2698" customHeight="1" spans="1:31">
      <c r="A2698" s="11" t="s">
        <v>30</v>
      </c>
      <c r="B2698" s="11" t="s">
        <v>13046</v>
      </c>
      <c r="C2698" s="11">
        <v>24</v>
      </c>
      <c r="D2698" s="11">
        <v>76</v>
      </c>
      <c r="E2698" s="11">
        <v>9</v>
      </c>
      <c r="F2698" s="11">
        <v>47</v>
      </c>
      <c r="G2698" s="11">
        <v>595</v>
      </c>
      <c r="H2698" s="11">
        <v>11144518</v>
      </c>
      <c r="I2698" s="11" t="s">
        <v>9353</v>
      </c>
      <c r="J2698" s="11" t="s">
        <v>2033</v>
      </c>
      <c r="K2698" s="11" t="s">
        <v>13047</v>
      </c>
      <c r="L2698" s="11" t="s">
        <v>13048</v>
      </c>
      <c r="M2698" s="11" t="s">
        <v>13049</v>
      </c>
      <c r="N2698" s="11">
        <v>2724</v>
      </c>
      <c r="O2698" s="11">
        <v>1139</v>
      </c>
      <c r="P2698" s="11">
        <v>0</v>
      </c>
      <c r="Q2698" s="11" t="s">
        <v>13050</v>
      </c>
      <c r="R2698" s="14" t="s">
        <v>13051</v>
      </c>
      <c r="S2698" s="11">
        <v>53</v>
      </c>
      <c r="T2698" s="11" t="s">
        <v>39</v>
      </c>
      <c r="U2698" s="11" t="s">
        <v>269</v>
      </c>
      <c r="V2698" s="11" t="s">
        <v>278</v>
      </c>
      <c r="W2698" s="11">
        <v>15000000</v>
      </c>
      <c r="X2698" s="11">
        <v>1998</v>
      </c>
      <c r="Y2698" s="11">
        <v>417</v>
      </c>
      <c r="Z2698" s="11">
        <v>2.8</v>
      </c>
      <c r="AA2698" s="11">
        <v>1.85</v>
      </c>
      <c r="AB2698" s="11">
        <v>436</v>
      </c>
      <c r="AC2698" s="11"/>
      <c r="AD2698" s="11" t="str">
        <f>IFERROR(__xludf.DUMMYFUNCTION("""COMPUTED_VALUE"""),"Sebastian Koch")</f>
        <v>Sebastian Koch</v>
      </c>
      <c r="AE2698" s="11"/>
    </row>
    <row r="2699" customHeight="1" spans="1:31">
      <c r="A2699" s="12" t="s">
        <v>30</v>
      </c>
      <c r="B2699" s="12" t="s">
        <v>1729</v>
      </c>
      <c r="C2699" s="12">
        <v>208</v>
      </c>
      <c r="D2699" s="12">
        <v>107</v>
      </c>
      <c r="E2699" s="12">
        <v>561</v>
      </c>
      <c r="F2699" s="12">
        <v>353</v>
      </c>
      <c r="G2699" s="12">
        <v>746</v>
      </c>
      <c r="H2699" s="12">
        <v>15608545</v>
      </c>
      <c r="I2699" s="12" t="s">
        <v>1326</v>
      </c>
      <c r="J2699" s="12" t="s">
        <v>966</v>
      </c>
      <c r="K2699" s="12" t="s">
        <v>1729</v>
      </c>
      <c r="L2699" s="12" t="s">
        <v>13052</v>
      </c>
      <c r="M2699" s="12" t="s">
        <v>13053</v>
      </c>
      <c r="N2699" s="12">
        <v>53471</v>
      </c>
      <c r="O2699" s="12">
        <v>2377</v>
      </c>
      <c r="P2699" s="12">
        <v>3</v>
      </c>
      <c r="Q2699" s="12" t="s">
        <v>13054</v>
      </c>
      <c r="R2699" s="15" t="s">
        <v>13055</v>
      </c>
      <c r="S2699" s="12">
        <v>224</v>
      </c>
      <c r="T2699" s="12" t="s">
        <v>39</v>
      </c>
      <c r="U2699" s="12" t="s">
        <v>40</v>
      </c>
      <c r="V2699" s="12" t="s">
        <v>586</v>
      </c>
      <c r="W2699" s="12">
        <v>15000000</v>
      </c>
      <c r="X2699" s="12">
        <v>2012</v>
      </c>
      <c r="Y2699" s="12">
        <v>561</v>
      </c>
      <c r="Z2699" s="12">
        <v>5.4</v>
      </c>
      <c r="AA2699" s="12">
        <v>2.35</v>
      </c>
      <c r="AB2699" s="12">
        <v>29000</v>
      </c>
      <c r="AC2699" s="12"/>
      <c r="AD2699" s="12" t="str">
        <f>IFERROR(__xludf.DUMMYFUNCTION("""COMPUTED_VALUE"""),"Roger Cross")</f>
        <v>Roger Cross</v>
      </c>
      <c r="AE2699" s="12"/>
    </row>
    <row r="2700" customHeight="1" spans="1:31">
      <c r="A2700" s="11" t="s">
        <v>30</v>
      </c>
      <c r="B2700" s="11" t="s">
        <v>1008</v>
      </c>
      <c r="C2700" s="11">
        <v>42</v>
      </c>
      <c r="D2700" s="11">
        <v>91</v>
      </c>
      <c r="E2700" s="11">
        <v>23</v>
      </c>
      <c r="F2700" s="11">
        <v>629</v>
      </c>
      <c r="G2700" s="11">
        <v>925</v>
      </c>
      <c r="H2700" s="11">
        <v>10443316</v>
      </c>
      <c r="I2700" s="11" t="s">
        <v>1415</v>
      </c>
      <c r="J2700" s="11" t="s">
        <v>1802</v>
      </c>
      <c r="K2700" s="11" t="s">
        <v>1842</v>
      </c>
      <c r="L2700" s="11" t="s">
        <v>11577</v>
      </c>
      <c r="M2700" s="11" t="s">
        <v>13056</v>
      </c>
      <c r="N2700" s="11">
        <v>7159</v>
      </c>
      <c r="O2700" s="11">
        <v>2913</v>
      </c>
      <c r="P2700" s="11">
        <v>2</v>
      </c>
      <c r="Q2700" s="11" t="s">
        <v>13057</v>
      </c>
      <c r="R2700" s="14" t="s">
        <v>13058</v>
      </c>
      <c r="S2700" s="11">
        <v>88</v>
      </c>
      <c r="T2700" s="11" t="s">
        <v>39</v>
      </c>
      <c r="U2700" s="11" t="s">
        <v>40</v>
      </c>
      <c r="V2700" s="11" t="s">
        <v>41</v>
      </c>
      <c r="W2700" s="11">
        <v>15000000</v>
      </c>
      <c r="X2700" s="11">
        <v>1998</v>
      </c>
      <c r="Y2700" s="11">
        <v>660</v>
      </c>
      <c r="Z2700" s="11">
        <v>5</v>
      </c>
      <c r="AA2700" s="11">
        <v>1.85</v>
      </c>
      <c r="AB2700" s="11">
        <v>247</v>
      </c>
      <c r="AC2700" s="11"/>
      <c r="AD2700" s="11" t="str">
        <f>IFERROR(__xludf.DUMMYFUNCTION("""COMPUTED_VALUE"""),"Ben Crompton")</f>
        <v>Ben Crompton</v>
      </c>
      <c r="AE2700" s="11"/>
    </row>
    <row r="2701" customHeight="1" spans="1:31">
      <c r="A2701" s="12" t="s">
        <v>30</v>
      </c>
      <c r="B2701" s="12" t="s">
        <v>13059</v>
      </c>
      <c r="C2701" s="12">
        <v>44</v>
      </c>
      <c r="D2701" s="12">
        <v>96</v>
      </c>
      <c r="E2701" s="12">
        <v>4</v>
      </c>
      <c r="F2701" s="12">
        <v>670</v>
      </c>
      <c r="G2701" s="12">
        <v>989</v>
      </c>
      <c r="H2701" s="12">
        <v>10494147</v>
      </c>
      <c r="I2701" s="12" t="s">
        <v>214</v>
      </c>
      <c r="J2701" s="12" t="s">
        <v>354</v>
      </c>
      <c r="K2701" s="12" t="s">
        <v>3369</v>
      </c>
      <c r="L2701" s="12" t="s">
        <v>10620</v>
      </c>
      <c r="M2701" s="12" t="s">
        <v>13060</v>
      </c>
      <c r="N2701" s="12">
        <v>7403</v>
      </c>
      <c r="O2701" s="12">
        <v>3142</v>
      </c>
      <c r="P2701" s="12">
        <v>1</v>
      </c>
      <c r="Q2701" s="12" t="s">
        <v>13061</v>
      </c>
      <c r="R2701" s="15" t="s">
        <v>13062</v>
      </c>
      <c r="S2701" s="12">
        <v>162</v>
      </c>
      <c r="T2701" s="12" t="s">
        <v>39</v>
      </c>
      <c r="U2701" s="12" t="s">
        <v>40</v>
      </c>
      <c r="V2701" s="12" t="s">
        <v>41</v>
      </c>
      <c r="W2701" s="12">
        <v>15000000</v>
      </c>
      <c r="X2701" s="12">
        <v>2000</v>
      </c>
      <c r="Y2701" s="12">
        <v>841</v>
      </c>
      <c r="Z2701" s="12">
        <v>5.1</v>
      </c>
      <c r="AA2701" s="12">
        <v>1.85</v>
      </c>
      <c r="AB2701" s="12">
        <v>648</v>
      </c>
      <c r="AC2701" s="12"/>
      <c r="AD2701" s="12" t="str">
        <f>IFERROR(__xludf.DUMMYFUNCTION("""COMPUTED_VALUE"""),"Anne-Marie Duff")</f>
        <v>Anne-Marie Duff</v>
      </c>
      <c r="AE2701" s="12"/>
    </row>
    <row r="2702" customHeight="1" spans="1:31">
      <c r="A2702" s="11" t="s">
        <v>30</v>
      </c>
      <c r="B2702" s="11" t="s">
        <v>2792</v>
      </c>
      <c r="C2702" s="11">
        <v>230</v>
      </c>
      <c r="D2702" s="11">
        <v>142</v>
      </c>
      <c r="E2702" s="11">
        <v>0</v>
      </c>
      <c r="F2702" s="11">
        <v>1000</v>
      </c>
      <c r="G2702" s="11">
        <v>22000</v>
      </c>
      <c r="H2702" s="11">
        <v>9929000</v>
      </c>
      <c r="I2702" s="11" t="s">
        <v>1849</v>
      </c>
      <c r="J2702" s="11" t="s">
        <v>1746</v>
      </c>
      <c r="K2702" s="11" t="s">
        <v>2398</v>
      </c>
      <c r="L2702" s="11" t="s">
        <v>393</v>
      </c>
      <c r="M2702" s="11" t="s">
        <v>13063</v>
      </c>
      <c r="N2702" s="11">
        <v>152306</v>
      </c>
      <c r="O2702" s="11">
        <v>29475</v>
      </c>
      <c r="P2702" s="11">
        <v>0</v>
      </c>
      <c r="Q2702" s="11" t="s">
        <v>13064</v>
      </c>
      <c r="R2702" s="14" t="s">
        <v>13065</v>
      </c>
      <c r="S2702" s="11">
        <v>513</v>
      </c>
      <c r="T2702" s="11" t="s">
        <v>39</v>
      </c>
      <c r="U2702" s="11" t="s">
        <v>58</v>
      </c>
      <c r="V2702" s="11" t="s">
        <v>586</v>
      </c>
      <c r="W2702" s="11">
        <v>15000000</v>
      </c>
      <c r="X2702" s="11">
        <v>1985</v>
      </c>
      <c r="Y2702" s="11">
        <v>5000</v>
      </c>
      <c r="Z2702" s="11">
        <v>8</v>
      </c>
      <c r="AA2702" s="11">
        <v>1.85</v>
      </c>
      <c r="AB2702" s="11">
        <v>16000</v>
      </c>
      <c r="AC2702" s="11"/>
      <c r="AD2702" s="11" t="str">
        <f>IFERROR(__xludf.DUMMYFUNCTION("""COMPUTED_VALUE"""),"Joe Spinell")</f>
        <v>Joe Spinell</v>
      </c>
      <c r="AE2702" s="11"/>
    </row>
    <row r="2703" customHeight="1" spans="1:31">
      <c r="A2703" s="12" t="s">
        <v>30</v>
      </c>
      <c r="B2703" s="12" t="s">
        <v>11836</v>
      </c>
      <c r="C2703" s="12">
        <v>46</v>
      </c>
      <c r="D2703" s="12">
        <v>103</v>
      </c>
      <c r="E2703" s="12">
        <v>80</v>
      </c>
      <c r="F2703" s="12">
        <v>782</v>
      </c>
      <c r="G2703" s="12">
        <v>1000</v>
      </c>
      <c r="H2703" s="12">
        <v>10411980</v>
      </c>
      <c r="I2703" s="12" t="s">
        <v>13066</v>
      </c>
      <c r="J2703" s="12" t="s">
        <v>9607</v>
      </c>
      <c r="K2703" s="12" t="s">
        <v>8896</v>
      </c>
      <c r="L2703" s="12" t="s">
        <v>9427</v>
      </c>
      <c r="M2703" s="12" t="s">
        <v>13067</v>
      </c>
      <c r="N2703" s="12">
        <v>22649</v>
      </c>
      <c r="O2703" s="12">
        <v>4676</v>
      </c>
      <c r="P2703" s="12">
        <v>0</v>
      </c>
      <c r="Q2703" s="12" t="s">
        <v>13068</v>
      </c>
      <c r="R2703" s="15" t="s">
        <v>13069</v>
      </c>
      <c r="S2703" s="12">
        <v>212</v>
      </c>
      <c r="T2703" s="12" t="s">
        <v>39</v>
      </c>
      <c r="U2703" s="12" t="s">
        <v>40</v>
      </c>
      <c r="V2703" s="12" t="s">
        <v>96</v>
      </c>
      <c r="W2703" s="12">
        <v>15000000</v>
      </c>
      <c r="X2703" s="12">
        <v>2004</v>
      </c>
      <c r="Y2703" s="12">
        <v>872</v>
      </c>
      <c r="Z2703" s="12">
        <v>5.9</v>
      </c>
      <c r="AA2703" s="12">
        <v>2.35</v>
      </c>
      <c r="AB2703" s="12">
        <v>1000</v>
      </c>
      <c r="AC2703" s="12"/>
      <c r="AD2703" s="12" t="str">
        <f>IFERROR(__xludf.DUMMYFUNCTION("""COMPUTED_VALUE"""),"Amidou")</f>
        <v>Amidou</v>
      </c>
      <c r="AE2703" s="12"/>
    </row>
    <row r="2704" customHeight="1" spans="1:31">
      <c r="A2704" s="11" t="s">
        <v>30</v>
      </c>
      <c r="B2704" s="13"/>
      <c r="C2704" s="11">
        <v>18</v>
      </c>
      <c r="D2704" s="11">
        <v>60</v>
      </c>
      <c r="E2704" s="13"/>
      <c r="F2704" s="11">
        <v>186</v>
      </c>
      <c r="G2704" s="11">
        <v>443</v>
      </c>
      <c r="H2704" s="13"/>
      <c r="I2704" s="11" t="s">
        <v>13070</v>
      </c>
      <c r="J2704" s="11" t="s">
        <v>2558</v>
      </c>
      <c r="K2704" s="11" t="s">
        <v>13071</v>
      </c>
      <c r="L2704" s="11" t="s">
        <v>13072</v>
      </c>
      <c r="M2704" s="11" t="s">
        <v>13073</v>
      </c>
      <c r="N2704" s="11">
        <v>7122</v>
      </c>
      <c r="O2704" s="11">
        <v>981</v>
      </c>
      <c r="P2704" s="11">
        <v>1</v>
      </c>
      <c r="Q2704" s="11" t="s">
        <v>13074</v>
      </c>
      <c r="R2704" s="14" t="s">
        <v>13075</v>
      </c>
      <c r="S2704" s="11">
        <v>77</v>
      </c>
      <c r="T2704" s="11" t="s">
        <v>39</v>
      </c>
      <c r="U2704" s="11" t="s">
        <v>269</v>
      </c>
      <c r="V2704" s="11" t="s">
        <v>1127</v>
      </c>
      <c r="W2704" s="13"/>
      <c r="X2704" s="13"/>
      <c r="Y2704" s="11">
        <v>319</v>
      </c>
      <c r="Z2704" s="11">
        <v>7.5</v>
      </c>
      <c r="AA2704" s="13"/>
      <c r="AB2704" s="11">
        <v>576</v>
      </c>
      <c r="AC2704" s="11"/>
      <c r="AD2704" s="11" t="str">
        <f>IFERROR(__xludf.DUMMYFUNCTION("""COMPUTED_VALUE"""),"Romain Duris")</f>
        <v>Romain Duris</v>
      </c>
      <c r="AE2704" s="11"/>
    </row>
    <row r="2705" customHeight="1" spans="1:31">
      <c r="A2705" s="12" t="s">
        <v>30</v>
      </c>
      <c r="B2705" s="12" t="s">
        <v>4261</v>
      </c>
      <c r="C2705" s="12">
        <v>249</v>
      </c>
      <c r="D2705" s="12">
        <v>117</v>
      </c>
      <c r="E2705" s="12">
        <v>0</v>
      </c>
      <c r="F2705" s="12">
        <v>12000</v>
      </c>
      <c r="G2705" s="12">
        <v>22000</v>
      </c>
      <c r="H2705" s="12">
        <v>17439163</v>
      </c>
      <c r="I2705" s="12" t="s">
        <v>1009</v>
      </c>
      <c r="J2705" s="12" t="s">
        <v>699</v>
      </c>
      <c r="K2705" s="12" t="s">
        <v>301</v>
      </c>
      <c r="L2705" s="12" t="s">
        <v>272</v>
      </c>
      <c r="M2705" s="12" t="s">
        <v>13076</v>
      </c>
      <c r="N2705" s="12">
        <v>537419</v>
      </c>
      <c r="O2705" s="12">
        <v>47728</v>
      </c>
      <c r="P2705" s="12">
        <v>1</v>
      </c>
      <c r="Q2705" s="12" t="s">
        <v>13077</v>
      </c>
      <c r="R2705" s="15" t="s">
        <v>13078</v>
      </c>
      <c r="S2705" s="12">
        <v>1028</v>
      </c>
      <c r="T2705" s="12" t="s">
        <v>39</v>
      </c>
      <c r="U2705" s="12" t="s">
        <v>40</v>
      </c>
      <c r="V2705" s="12" t="s">
        <v>586</v>
      </c>
      <c r="W2705" s="12">
        <v>15000000</v>
      </c>
      <c r="X2705" s="12">
        <v>1998</v>
      </c>
      <c r="Y2705" s="12">
        <v>12000</v>
      </c>
      <c r="Z2705" s="12">
        <v>8.2</v>
      </c>
      <c r="AA2705" s="12">
        <v>1.85</v>
      </c>
      <c r="AB2705" s="12">
        <v>35000</v>
      </c>
      <c r="AC2705" s="12"/>
      <c r="AD2705" s="12" t="str">
        <f>IFERROR(__xludf.DUMMYFUNCTION("""COMPUTED_VALUE"""),"Ludivine Sagnier")</f>
        <v>Ludivine Sagnier</v>
      </c>
      <c r="AE2705" s="12"/>
    </row>
    <row r="2706" customHeight="1" spans="1:31">
      <c r="A2706" s="11" t="s">
        <v>748</v>
      </c>
      <c r="B2706" s="11" t="s">
        <v>13079</v>
      </c>
      <c r="C2706" s="11">
        <v>197</v>
      </c>
      <c r="D2706" s="11">
        <v>116</v>
      </c>
      <c r="E2706" s="11">
        <v>153</v>
      </c>
      <c r="F2706" s="11">
        <v>539</v>
      </c>
      <c r="G2706" s="11">
        <v>3000</v>
      </c>
      <c r="H2706" s="11">
        <v>9396487</v>
      </c>
      <c r="I2706" s="11" t="s">
        <v>6200</v>
      </c>
      <c r="J2706" s="11" t="s">
        <v>723</v>
      </c>
      <c r="K2706" s="11" t="s">
        <v>3588</v>
      </c>
      <c r="L2706" s="11" t="s">
        <v>1718</v>
      </c>
      <c r="M2706" s="11" t="s">
        <v>13080</v>
      </c>
      <c r="N2706" s="11">
        <v>52421</v>
      </c>
      <c r="O2706" s="11">
        <v>5012</v>
      </c>
      <c r="P2706" s="11">
        <v>0</v>
      </c>
      <c r="Q2706" s="11" t="s">
        <v>13081</v>
      </c>
      <c r="R2706" s="14" t="s">
        <v>13082</v>
      </c>
      <c r="S2706" s="11">
        <v>200</v>
      </c>
      <c r="T2706" s="11" t="s">
        <v>39</v>
      </c>
      <c r="U2706" s="11" t="s">
        <v>40</v>
      </c>
      <c r="V2706" s="11" t="s">
        <v>586</v>
      </c>
      <c r="W2706" s="11">
        <v>15000000</v>
      </c>
      <c r="X2706" s="11">
        <v>2006</v>
      </c>
      <c r="Y2706" s="11">
        <v>788</v>
      </c>
      <c r="Z2706" s="11">
        <v>7</v>
      </c>
      <c r="AA2706" s="11">
        <v>2.35</v>
      </c>
      <c r="AB2706" s="11">
        <v>0</v>
      </c>
      <c r="AC2706" s="11"/>
      <c r="AD2706" s="11" t="str">
        <f>IFERROR(__xludf.DUMMYFUNCTION("""COMPUTED_VALUE"""),"Fabrice Luchini")</f>
        <v>Fabrice Luchini</v>
      </c>
      <c r="AE2706" s="11"/>
    </row>
    <row r="2707" customHeight="1" spans="1:31">
      <c r="A2707" s="12" t="s">
        <v>30</v>
      </c>
      <c r="B2707" s="12" t="s">
        <v>3160</v>
      </c>
      <c r="C2707" s="12">
        <v>71</v>
      </c>
      <c r="D2707" s="12">
        <v>118</v>
      </c>
      <c r="E2707" s="12">
        <v>41</v>
      </c>
      <c r="F2707" s="12">
        <v>274</v>
      </c>
      <c r="G2707" s="12">
        <v>556</v>
      </c>
      <c r="H2707" s="12">
        <v>9059588</v>
      </c>
      <c r="I2707" s="12" t="s">
        <v>5275</v>
      </c>
      <c r="J2707" s="12" t="s">
        <v>13083</v>
      </c>
      <c r="K2707" s="12" t="s">
        <v>4947</v>
      </c>
      <c r="L2707" s="12" t="s">
        <v>13084</v>
      </c>
      <c r="M2707" s="12" t="s">
        <v>13085</v>
      </c>
      <c r="N2707" s="12">
        <v>17261</v>
      </c>
      <c r="O2707" s="12">
        <v>1873</v>
      </c>
      <c r="P2707" s="12">
        <v>1</v>
      </c>
      <c r="Q2707" s="12" t="s">
        <v>13086</v>
      </c>
      <c r="R2707" s="15" t="s">
        <v>13087</v>
      </c>
      <c r="S2707" s="12">
        <v>125</v>
      </c>
      <c r="T2707" s="12" t="s">
        <v>39</v>
      </c>
      <c r="U2707" s="12" t="s">
        <v>40</v>
      </c>
      <c r="V2707" s="12" t="s">
        <v>586</v>
      </c>
      <c r="W2707" s="12">
        <v>15000000</v>
      </c>
      <c r="X2707" s="12">
        <v>2002</v>
      </c>
      <c r="Y2707" s="12">
        <v>463</v>
      </c>
      <c r="Z2707" s="12">
        <v>6.6</v>
      </c>
      <c r="AA2707" s="12">
        <v>2.35</v>
      </c>
      <c r="AB2707" s="12">
        <v>455</v>
      </c>
      <c r="AC2707" s="12"/>
      <c r="AD2707" s="12" t="str">
        <f>IFERROR(__xludf.DUMMYFUNCTION("""COMPUTED_VALUE"""),"Dendrie Taylor")</f>
        <v>Dendrie Taylor</v>
      </c>
      <c r="AE2707" s="12"/>
    </row>
    <row r="2708" customHeight="1" spans="1:31">
      <c r="A2708" s="11" t="s">
        <v>30</v>
      </c>
      <c r="B2708" s="11" t="s">
        <v>9431</v>
      </c>
      <c r="C2708" s="11">
        <v>190</v>
      </c>
      <c r="D2708" s="11">
        <v>108</v>
      </c>
      <c r="E2708" s="11">
        <v>187</v>
      </c>
      <c r="F2708" s="11">
        <v>254</v>
      </c>
      <c r="G2708" s="11">
        <v>11000</v>
      </c>
      <c r="H2708" s="11">
        <v>9172810</v>
      </c>
      <c r="I2708" s="11" t="s">
        <v>13088</v>
      </c>
      <c r="J2708" s="11" t="s">
        <v>565</v>
      </c>
      <c r="K2708" s="11" t="s">
        <v>1513</v>
      </c>
      <c r="L2708" s="11" t="s">
        <v>13089</v>
      </c>
      <c r="M2708" s="11" t="s">
        <v>13090</v>
      </c>
      <c r="N2708" s="11">
        <v>24150</v>
      </c>
      <c r="O2708" s="11">
        <v>12178</v>
      </c>
      <c r="P2708" s="11">
        <v>0</v>
      </c>
      <c r="Q2708" s="11" t="s">
        <v>13091</v>
      </c>
      <c r="R2708" s="14" t="s">
        <v>13092</v>
      </c>
      <c r="S2708" s="11">
        <v>118</v>
      </c>
      <c r="T2708" s="11" t="s">
        <v>39</v>
      </c>
      <c r="U2708" s="11" t="s">
        <v>40</v>
      </c>
      <c r="V2708" s="11" t="s">
        <v>586</v>
      </c>
      <c r="W2708" s="11">
        <v>16000000</v>
      </c>
      <c r="X2708" s="11">
        <v>2007</v>
      </c>
      <c r="Y2708" s="11">
        <v>883</v>
      </c>
      <c r="Z2708" s="11">
        <v>6.7</v>
      </c>
      <c r="AA2708" s="11">
        <v>2.35</v>
      </c>
      <c r="AB2708" s="11">
        <v>923</v>
      </c>
      <c r="AC2708" s="11"/>
      <c r="AD2708" s="11" t="str">
        <f>IFERROR(__xludf.DUMMYFUNCTION("""COMPUTED_VALUE"""),"Pablo Rago")</f>
        <v>Pablo Rago</v>
      </c>
      <c r="AE2708" s="11"/>
    </row>
    <row r="2709" customHeight="1" spans="1:31">
      <c r="A2709" s="12" t="s">
        <v>30</v>
      </c>
      <c r="B2709" s="12" t="s">
        <v>13093</v>
      </c>
      <c r="C2709" s="12">
        <v>50</v>
      </c>
      <c r="D2709" s="12">
        <v>94</v>
      </c>
      <c r="E2709" s="12">
        <v>9</v>
      </c>
      <c r="F2709" s="12">
        <v>612</v>
      </c>
      <c r="G2709" s="12">
        <v>11000</v>
      </c>
      <c r="H2709" s="12">
        <v>8735529</v>
      </c>
      <c r="I2709" s="12" t="s">
        <v>1415</v>
      </c>
      <c r="J2709" s="12" t="s">
        <v>83</v>
      </c>
      <c r="K2709" s="12" t="s">
        <v>7435</v>
      </c>
      <c r="L2709" s="12" t="s">
        <v>13094</v>
      </c>
      <c r="M2709" s="12" t="s">
        <v>13095</v>
      </c>
      <c r="N2709" s="12">
        <v>8055</v>
      </c>
      <c r="O2709" s="12">
        <v>13524</v>
      </c>
      <c r="P2709" s="12">
        <v>4</v>
      </c>
      <c r="Q2709" s="12" t="s">
        <v>13096</v>
      </c>
      <c r="R2709" s="15" t="s">
        <v>13097</v>
      </c>
      <c r="S2709" s="12">
        <v>89</v>
      </c>
      <c r="T2709" s="12" t="s">
        <v>39</v>
      </c>
      <c r="U2709" s="12" t="s">
        <v>40</v>
      </c>
      <c r="V2709" s="12" t="s">
        <v>41</v>
      </c>
      <c r="W2709" s="12">
        <v>15000000</v>
      </c>
      <c r="X2709" s="12">
        <v>2000</v>
      </c>
      <c r="Y2709" s="12">
        <v>897</v>
      </c>
      <c r="Z2709" s="12">
        <v>5.5</v>
      </c>
      <c r="AA2709" s="12">
        <v>1.85</v>
      </c>
      <c r="AB2709" s="12">
        <v>816</v>
      </c>
      <c r="AC2709" s="12"/>
      <c r="AD2709" s="12" t="str">
        <f>IFERROR(__xludf.DUMMYFUNCTION("""COMPUTED_VALUE"""),"Diego Ramos")</f>
        <v>Diego Ramos</v>
      </c>
      <c r="AE2709" s="12"/>
    </row>
    <row r="2710" customHeight="1" spans="1:31">
      <c r="A2710" s="11" t="s">
        <v>30</v>
      </c>
      <c r="B2710" s="11" t="s">
        <v>13098</v>
      </c>
      <c r="C2710" s="11">
        <v>63</v>
      </c>
      <c r="D2710" s="11">
        <v>97</v>
      </c>
      <c r="E2710" s="11">
        <v>2</v>
      </c>
      <c r="F2710" s="11">
        <v>461</v>
      </c>
      <c r="G2710" s="11">
        <v>890</v>
      </c>
      <c r="H2710" s="11">
        <v>8586376</v>
      </c>
      <c r="I2710" s="11" t="s">
        <v>1672</v>
      </c>
      <c r="J2710" s="11" t="s">
        <v>634</v>
      </c>
      <c r="K2710" s="11" t="s">
        <v>7330</v>
      </c>
      <c r="L2710" s="11" t="s">
        <v>1348</v>
      </c>
      <c r="M2710" s="11" t="s">
        <v>13099</v>
      </c>
      <c r="N2710" s="11">
        <v>26598</v>
      </c>
      <c r="O2710" s="11">
        <v>3161</v>
      </c>
      <c r="P2710" s="11">
        <v>4</v>
      </c>
      <c r="Q2710" s="11" t="s">
        <v>13100</v>
      </c>
      <c r="R2710" s="14" t="s">
        <v>13101</v>
      </c>
      <c r="S2710" s="11">
        <v>132</v>
      </c>
      <c r="T2710" s="11" t="s">
        <v>39</v>
      </c>
      <c r="U2710" s="11" t="s">
        <v>40</v>
      </c>
      <c r="V2710" s="11" t="s">
        <v>586</v>
      </c>
      <c r="W2710" s="11">
        <v>20000000</v>
      </c>
      <c r="X2710" s="11">
        <v>2002</v>
      </c>
      <c r="Y2710" s="11">
        <v>852</v>
      </c>
      <c r="Z2710" s="11">
        <v>4.9</v>
      </c>
      <c r="AA2710" s="11">
        <v>1.85</v>
      </c>
      <c r="AB2710" s="11">
        <v>1000</v>
      </c>
      <c r="AC2710" s="11"/>
      <c r="AD2710" s="11" t="str">
        <f>IFERROR(__xludf.DUMMYFUNCTION("""COMPUTED_VALUE"""),"Gabriel Almirón")</f>
        <v>Gabriel Almirón</v>
      </c>
      <c r="AE2710" s="11"/>
    </row>
    <row r="2711" customHeight="1" spans="1:31">
      <c r="A2711" s="12" t="s">
        <v>30</v>
      </c>
      <c r="B2711" s="12" t="s">
        <v>5991</v>
      </c>
      <c r="C2711" s="12">
        <v>104</v>
      </c>
      <c r="D2711" s="12">
        <v>97</v>
      </c>
      <c r="E2711" s="12">
        <v>32</v>
      </c>
      <c r="F2711" s="12">
        <v>692</v>
      </c>
      <c r="G2711" s="12">
        <v>14000</v>
      </c>
      <c r="H2711" s="12">
        <v>8378141</v>
      </c>
      <c r="I2711" s="12" t="s">
        <v>1415</v>
      </c>
      <c r="J2711" s="12" t="s">
        <v>439</v>
      </c>
      <c r="K2711" s="12" t="s">
        <v>138</v>
      </c>
      <c r="L2711" s="12" t="s">
        <v>725</v>
      </c>
      <c r="M2711" s="12" t="s">
        <v>13102</v>
      </c>
      <c r="N2711" s="12">
        <v>18966</v>
      </c>
      <c r="O2711" s="12">
        <v>16502</v>
      </c>
      <c r="P2711" s="12">
        <v>5</v>
      </c>
      <c r="Q2711" s="12" t="s">
        <v>13103</v>
      </c>
      <c r="R2711" s="15" t="s">
        <v>13104</v>
      </c>
      <c r="S2711" s="12">
        <v>141</v>
      </c>
      <c r="T2711" s="12" t="s">
        <v>39</v>
      </c>
      <c r="U2711" s="12" t="s">
        <v>58</v>
      </c>
      <c r="V2711" s="12" t="s">
        <v>96</v>
      </c>
      <c r="W2711" s="12">
        <v>15000000</v>
      </c>
      <c r="X2711" s="12">
        <v>2002</v>
      </c>
      <c r="Y2711" s="12">
        <v>1000</v>
      </c>
      <c r="Z2711" s="12">
        <v>6.9</v>
      </c>
      <c r="AA2711" s="12">
        <v>2.35</v>
      </c>
      <c r="AB2711" s="12">
        <v>0</v>
      </c>
      <c r="AC2711" s="12"/>
      <c r="AD2711" s="12" t="str">
        <f>IFERROR(__xludf.DUMMYFUNCTION("""COMPUTED_VALUE"""),"Ornella Muti")</f>
        <v>Ornella Muti</v>
      </c>
      <c r="AE2711" s="12"/>
    </row>
    <row r="2712" customHeight="1" spans="1:31">
      <c r="A2712" s="11" t="s">
        <v>30</v>
      </c>
      <c r="B2712" s="11" t="s">
        <v>13105</v>
      </c>
      <c r="C2712" s="13"/>
      <c r="D2712" s="11">
        <v>99</v>
      </c>
      <c r="E2712" s="11">
        <v>45</v>
      </c>
      <c r="F2712" s="11">
        <v>224</v>
      </c>
      <c r="G2712" s="11">
        <v>1000</v>
      </c>
      <c r="H2712" s="13"/>
      <c r="I2712" s="11" t="s">
        <v>10735</v>
      </c>
      <c r="J2712" s="11" t="s">
        <v>2620</v>
      </c>
      <c r="K2712" s="11" t="s">
        <v>1927</v>
      </c>
      <c r="L2712" s="11" t="s">
        <v>13106</v>
      </c>
      <c r="M2712" s="11" t="s">
        <v>13107</v>
      </c>
      <c r="N2712" s="11">
        <v>1465</v>
      </c>
      <c r="O2712" s="11">
        <v>2166</v>
      </c>
      <c r="P2712" s="11">
        <v>1</v>
      </c>
      <c r="Q2712" s="11" t="s">
        <v>13108</v>
      </c>
      <c r="R2712" s="14" t="s">
        <v>13109</v>
      </c>
      <c r="S2712" s="11">
        <v>56</v>
      </c>
      <c r="T2712" s="11" t="s">
        <v>39</v>
      </c>
      <c r="U2712" s="11" t="s">
        <v>40</v>
      </c>
      <c r="V2712" s="11" t="s">
        <v>5614</v>
      </c>
      <c r="W2712" s="13"/>
      <c r="X2712" s="11">
        <v>1998</v>
      </c>
      <c r="Y2712" s="11">
        <v>393</v>
      </c>
      <c r="Z2712" s="11">
        <v>7.4</v>
      </c>
      <c r="AA2712" s="11">
        <v>1.33</v>
      </c>
      <c r="AB2712" s="11">
        <v>515</v>
      </c>
      <c r="AC2712" s="11"/>
      <c r="AD2712" s="11" t="str">
        <f>IFERROR(__xludf.DUMMYFUNCTION("""COMPUTED_VALUE"""),"Alessandra Mastronardi")</f>
        <v>Alessandra Mastronardi</v>
      </c>
      <c r="AE2712" s="11"/>
    </row>
    <row r="2713" customHeight="1" spans="1:31">
      <c r="A2713" s="12" t="s">
        <v>30</v>
      </c>
      <c r="B2713" s="12" t="s">
        <v>13110</v>
      </c>
      <c r="C2713" s="12">
        <v>49</v>
      </c>
      <c r="D2713" s="12">
        <v>91</v>
      </c>
      <c r="E2713" s="12">
        <v>6</v>
      </c>
      <c r="F2713" s="12">
        <v>596</v>
      </c>
      <c r="G2713" s="12">
        <v>8000</v>
      </c>
      <c r="H2713" s="12">
        <v>8080116</v>
      </c>
      <c r="I2713" s="12" t="s">
        <v>2359</v>
      </c>
      <c r="J2713" s="12" t="s">
        <v>1207</v>
      </c>
      <c r="K2713" s="12" t="s">
        <v>7130</v>
      </c>
      <c r="L2713" s="12" t="s">
        <v>1502</v>
      </c>
      <c r="M2713" s="12" t="s">
        <v>13111</v>
      </c>
      <c r="N2713" s="12">
        <v>6562</v>
      </c>
      <c r="O2713" s="12">
        <v>10732</v>
      </c>
      <c r="P2713" s="12">
        <v>0</v>
      </c>
      <c r="Q2713" s="12" t="s">
        <v>13112</v>
      </c>
      <c r="R2713" s="15" t="s">
        <v>13113</v>
      </c>
      <c r="S2713" s="12">
        <v>66</v>
      </c>
      <c r="T2713" s="12" t="s">
        <v>39</v>
      </c>
      <c r="U2713" s="12" t="s">
        <v>40</v>
      </c>
      <c r="V2713" s="12" t="s">
        <v>96</v>
      </c>
      <c r="W2713" s="12">
        <v>15000000</v>
      </c>
      <c r="X2713" s="12">
        <v>2006</v>
      </c>
      <c r="Y2713" s="12">
        <v>625</v>
      </c>
      <c r="Z2713" s="12">
        <v>5.6</v>
      </c>
      <c r="AA2713" s="12">
        <v>1.85</v>
      </c>
      <c r="AB2713" s="12">
        <v>647</v>
      </c>
      <c r="AC2713" s="12"/>
      <c r="AD2713" s="12" t="str">
        <f>IFERROR(__xludf.DUMMYFUNCTION("""COMPUTED_VALUE"""),"Warren Clarke")</f>
        <v>Warren Clarke</v>
      </c>
      <c r="AE2713" s="12"/>
    </row>
    <row r="2714" customHeight="1" spans="1:31">
      <c r="A2714" s="11" t="s">
        <v>30</v>
      </c>
      <c r="B2714" s="11" t="s">
        <v>13114</v>
      </c>
      <c r="C2714" s="11">
        <v>300</v>
      </c>
      <c r="D2714" s="11">
        <v>107</v>
      </c>
      <c r="E2714" s="11">
        <v>454</v>
      </c>
      <c r="F2714" s="11">
        <v>39</v>
      </c>
      <c r="G2714" s="11">
        <v>65</v>
      </c>
      <c r="H2714" s="11">
        <v>7757130</v>
      </c>
      <c r="I2714" s="11" t="s">
        <v>9194</v>
      </c>
      <c r="J2714" s="11" t="s">
        <v>13115</v>
      </c>
      <c r="K2714" s="11" t="s">
        <v>13116</v>
      </c>
      <c r="L2714" s="11" t="s">
        <v>13117</v>
      </c>
      <c r="M2714" s="11" t="s">
        <v>13118</v>
      </c>
      <c r="N2714" s="11">
        <v>307639</v>
      </c>
      <c r="O2714" s="11">
        <v>173</v>
      </c>
      <c r="P2714" s="11">
        <v>1</v>
      </c>
      <c r="Q2714" s="11" t="s">
        <v>13119</v>
      </c>
      <c r="R2714" s="14" t="s">
        <v>13120</v>
      </c>
      <c r="S2714" s="11">
        <v>513</v>
      </c>
      <c r="T2714" s="11" t="s">
        <v>39</v>
      </c>
      <c r="U2714" s="11" t="s">
        <v>58</v>
      </c>
      <c r="V2714" s="11" t="s">
        <v>586</v>
      </c>
      <c r="W2714" s="11">
        <v>15000000</v>
      </c>
      <c r="X2714" s="11">
        <v>2008</v>
      </c>
      <c r="Y2714" s="11">
        <v>49</v>
      </c>
      <c r="Z2714" s="11">
        <v>8</v>
      </c>
      <c r="AA2714" s="11">
        <v>2.35</v>
      </c>
      <c r="AB2714" s="11">
        <v>32000</v>
      </c>
      <c r="AC2714" s="11"/>
      <c r="AD2714" s="11" t="str">
        <f>IFERROR(__xludf.DUMMYFUNCTION("""COMPUTED_VALUE"""),"Kenneth Colley")</f>
        <v>Kenneth Colley</v>
      </c>
      <c r="AE2714" s="11"/>
    </row>
    <row r="2715" customHeight="1" spans="1:31">
      <c r="A2715" s="12" t="s">
        <v>30</v>
      </c>
      <c r="B2715" s="12" t="s">
        <v>13121</v>
      </c>
      <c r="C2715" s="12">
        <v>43</v>
      </c>
      <c r="D2715" s="12">
        <v>95</v>
      </c>
      <c r="E2715" s="12">
        <v>24</v>
      </c>
      <c r="F2715" s="12">
        <v>426</v>
      </c>
      <c r="G2715" s="12">
        <v>931</v>
      </c>
      <c r="H2715" s="12">
        <v>9123834</v>
      </c>
      <c r="I2715" s="12" t="s">
        <v>1681</v>
      </c>
      <c r="J2715" s="12" t="s">
        <v>9782</v>
      </c>
      <c r="K2715" s="12" t="s">
        <v>1718</v>
      </c>
      <c r="L2715" s="12" t="s">
        <v>13122</v>
      </c>
      <c r="M2715" s="12" t="s">
        <v>13123</v>
      </c>
      <c r="N2715" s="12">
        <v>4065</v>
      </c>
      <c r="O2715" s="12">
        <v>3322</v>
      </c>
      <c r="P2715" s="12">
        <v>6</v>
      </c>
      <c r="Q2715" s="12" t="s">
        <v>13124</v>
      </c>
      <c r="R2715" s="15" t="s">
        <v>13125</v>
      </c>
      <c r="S2715" s="12">
        <v>33</v>
      </c>
      <c r="T2715" s="12" t="s">
        <v>39</v>
      </c>
      <c r="U2715" s="12" t="s">
        <v>40</v>
      </c>
      <c r="V2715" s="12" t="s">
        <v>41</v>
      </c>
      <c r="W2715" s="12">
        <v>15000000</v>
      </c>
      <c r="X2715" s="12">
        <v>2013</v>
      </c>
      <c r="Y2715" s="12">
        <v>539</v>
      </c>
      <c r="Z2715" s="12">
        <v>5.3</v>
      </c>
      <c r="AA2715" s="12">
        <v>2.35</v>
      </c>
      <c r="AB2715" s="12">
        <v>0</v>
      </c>
      <c r="AC2715" s="12"/>
      <c r="AD2715" s="12" t="str">
        <f>IFERROR(__xludf.DUMMYFUNCTION("""COMPUTED_VALUE"""),"Trey Parker")</f>
        <v>Trey Parker</v>
      </c>
      <c r="AE2715" s="12"/>
    </row>
    <row r="2716" customHeight="1" spans="1:31">
      <c r="A2716" s="11" t="s">
        <v>30</v>
      </c>
      <c r="B2716" s="11" t="s">
        <v>13126</v>
      </c>
      <c r="C2716" s="11">
        <v>132</v>
      </c>
      <c r="D2716" s="11">
        <v>102</v>
      </c>
      <c r="E2716" s="11">
        <v>11</v>
      </c>
      <c r="F2716" s="11">
        <v>1000</v>
      </c>
      <c r="G2716" s="11">
        <v>15000</v>
      </c>
      <c r="H2716" s="11">
        <v>6409206</v>
      </c>
      <c r="I2716" s="11" t="s">
        <v>6419</v>
      </c>
      <c r="J2716" s="11" t="s">
        <v>182</v>
      </c>
      <c r="K2716" s="11" t="s">
        <v>655</v>
      </c>
      <c r="L2716" s="11" t="s">
        <v>830</v>
      </c>
      <c r="M2716" s="11" t="s">
        <v>13127</v>
      </c>
      <c r="N2716" s="11">
        <v>32311</v>
      </c>
      <c r="O2716" s="11">
        <v>33153</v>
      </c>
      <c r="P2716" s="11">
        <v>4</v>
      </c>
      <c r="Q2716" s="11" t="s">
        <v>13128</v>
      </c>
      <c r="R2716" s="14" t="s">
        <v>13129</v>
      </c>
      <c r="S2716" s="11">
        <v>104</v>
      </c>
      <c r="T2716" s="11" t="s">
        <v>39</v>
      </c>
      <c r="U2716" s="11" t="s">
        <v>40</v>
      </c>
      <c r="V2716" s="11" t="s">
        <v>41</v>
      </c>
      <c r="W2716" s="11">
        <v>15000000</v>
      </c>
      <c r="X2716" s="11">
        <v>2008</v>
      </c>
      <c r="Y2716" s="11">
        <v>14000</v>
      </c>
      <c r="Z2716" s="11">
        <v>6.2</v>
      </c>
      <c r="AA2716" s="11">
        <v>1.85</v>
      </c>
      <c r="AB2716" s="11">
        <v>0</v>
      </c>
      <c r="AC2716" s="11"/>
      <c r="AD2716" s="11" t="str">
        <f>IFERROR(__xludf.DUMMYFUNCTION("""COMPUTED_VALUE"""),"Matt Hill")</f>
        <v>Matt Hill</v>
      </c>
      <c r="AE2716" s="11"/>
    </row>
    <row r="2717" customHeight="1" spans="1:31">
      <c r="A2717" s="12" t="s">
        <v>30</v>
      </c>
      <c r="B2717" s="12" t="s">
        <v>13130</v>
      </c>
      <c r="C2717" s="12">
        <v>97</v>
      </c>
      <c r="D2717" s="12">
        <v>88</v>
      </c>
      <c r="E2717" s="12">
        <v>96</v>
      </c>
      <c r="F2717" s="12">
        <v>360</v>
      </c>
      <c r="G2717" s="12">
        <v>24000</v>
      </c>
      <c r="H2717" s="12">
        <v>6373693</v>
      </c>
      <c r="I2717" s="12" t="s">
        <v>1681</v>
      </c>
      <c r="J2717" s="12" t="s">
        <v>82</v>
      </c>
      <c r="K2717" s="12" t="s">
        <v>8227</v>
      </c>
      <c r="L2717" s="12" t="s">
        <v>10718</v>
      </c>
      <c r="M2717" s="12" t="s">
        <v>13131</v>
      </c>
      <c r="N2717" s="12">
        <v>11498</v>
      </c>
      <c r="O2717" s="12">
        <v>25637</v>
      </c>
      <c r="P2717" s="12">
        <v>1</v>
      </c>
      <c r="Q2717" s="12" t="s">
        <v>13132</v>
      </c>
      <c r="R2717" s="15" t="s">
        <v>13133</v>
      </c>
      <c r="S2717" s="12">
        <v>53</v>
      </c>
      <c r="T2717" s="12" t="s">
        <v>39</v>
      </c>
      <c r="U2717" s="12" t="s">
        <v>40</v>
      </c>
      <c r="V2717" s="12" t="s">
        <v>41</v>
      </c>
      <c r="W2717" s="12">
        <v>15000000</v>
      </c>
      <c r="X2717" s="12">
        <v>2009</v>
      </c>
      <c r="Y2717" s="12">
        <v>971</v>
      </c>
      <c r="Z2717" s="12">
        <v>5.3</v>
      </c>
      <c r="AA2717" s="12">
        <v>1.85</v>
      </c>
      <c r="AB2717" s="12">
        <v>0</v>
      </c>
      <c r="AC2717" s="12"/>
      <c r="AD2717" s="12" t="str">
        <f>IFERROR(__xludf.DUMMYFUNCTION("""COMPUTED_VALUE"""),"DeWayne Warren")</f>
        <v>DeWayne Warren</v>
      </c>
      <c r="AE2717" s="12"/>
    </row>
    <row r="2718" customHeight="1" spans="1:31">
      <c r="A2718" s="11" t="s">
        <v>30</v>
      </c>
      <c r="B2718" s="11" t="s">
        <v>6052</v>
      </c>
      <c r="C2718" s="11">
        <v>242</v>
      </c>
      <c r="D2718" s="11">
        <v>106</v>
      </c>
      <c r="E2718" s="11">
        <v>835</v>
      </c>
      <c r="F2718" s="11">
        <v>363</v>
      </c>
      <c r="G2718" s="11">
        <v>13000</v>
      </c>
      <c r="H2718" s="11">
        <v>7556708</v>
      </c>
      <c r="I2718" s="11" t="s">
        <v>3410</v>
      </c>
      <c r="J2718" s="11" t="s">
        <v>1158</v>
      </c>
      <c r="K2718" s="11" t="s">
        <v>2498</v>
      </c>
      <c r="L2718" s="11" t="s">
        <v>6352</v>
      </c>
      <c r="M2718" s="11" t="s">
        <v>13134</v>
      </c>
      <c r="N2718" s="11">
        <v>30284</v>
      </c>
      <c r="O2718" s="11">
        <v>14544</v>
      </c>
      <c r="P2718" s="11">
        <v>1</v>
      </c>
      <c r="Q2718" s="11" t="s">
        <v>13135</v>
      </c>
      <c r="R2718" s="14" t="s">
        <v>13136</v>
      </c>
      <c r="S2718" s="11">
        <v>102</v>
      </c>
      <c r="T2718" s="11" t="s">
        <v>39</v>
      </c>
      <c r="U2718" s="11" t="s">
        <v>40</v>
      </c>
      <c r="V2718" s="11" t="s">
        <v>586</v>
      </c>
      <c r="W2718" s="11">
        <v>15000000</v>
      </c>
      <c r="X2718" s="11">
        <v>2012</v>
      </c>
      <c r="Y2718" s="11">
        <v>826</v>
      </c>
      <c r="Z2718" s="11">
        <v>6.6</v>
      </c>
      <c r="AA2718" s="11">
        <v>1.85</v>
      </c>
      <c r="AB2718" s="11">
        <v>10000</v>
      </c>
      <c r="AC2718" s="11"/>
      <c r="AD2718" s="11" t="str">
        <f>IFERROR(__xludf.DUMMYFUNCTION("""COMPUTED_VALUE"""),"Qi Shu")</f>
        <v>Qi Shu</v>
      </c>
      <c r="AE2718" s="11"/>
    </row>
    <row r="2719" customHeight="1" spans="1:31">
      <c r="A2719" s="12" t="s">
        <v>30</v>
      </c>
      <c r="B2719" s="12" t="s">
        <v>4004</v>
      </c>
      <c r="C2719" s="12">
        <v>218</v>
      </c>
      <c r="D2719" s="12">
        <v>92</v>
      </c>
      <c r="E2719" s="12">
        <v>11000</v>
      </c>
      <c r="F2719" s="12">
        <v>386</v>
      </c>
      <c r="G2719" s="12">
        <v>860</v>
      </c>
      <c r="H2719" s="12">
        <v>5306447</v>
      </c>
      <c r="I2719" s="12" t="s">
        <v>1681</v>
      </c>
      <c r="J2719" s="12" t="s">
        <v>8326</v>
      </c>
      <c r="K2719" s="12" t="s">
        <v>2788</v>
      </c>
      <c r="L2719" s="12" t="s">
        <v>13137</v>
      </c>
      <c r="M2719" s="12" t="s">
        <v>13138</v>
      </c>
      <c r="N2719" s="12">
        <v>58967</v>
      </c>
      <c r="O2719" s="12">
        <v>2717</v>
      </c>
      <c r="P2719" s="12">
        <v>1</v>
      </c>
      <c r="Q2719" s="12" t="s">
        <v>13139</v>
      </c>
      <c r="R2719" s="15" t="s">
        <v>13140</v>
      </c>
      <c r="S2719" s="12">
        <v>169</v>
      </c>
      <c r="T2719" s="12" t="s">
        <v>39</v>
      </c>
      <c r="U2719" s="12" t="s">
        <v>40</v>
      </c>
      <c r="V2719" s="12" t="s">
        <v>41</v>
      </c>
      <c r="W2719" s="12">
        <v>15000000</v>
      </c>
      <c r="X2719" s="12">
        <v>2009</v>
      </c>
      <c r="Y2719" s="12">
        <v>658</v>
      </c>
      <c r="Z2719" s="12">
        <v>7.2</v>
      </c>
      <c r="AA2719" s="12">
        <v>1.85</v>
      </c>
      <c r="AB2719" s="12">
        <v>10000</v>
      </c>
      <c r="AC2719" s="12"/>
      <c r="AD2719" s="12" t="str">
        <f>IFERROR(__xludf.DUMMYFUNCTION("""COMPUTED_VALUE"""),"Matt Schulze")</f>
        <v>Matt Schulze</v>
      </c>
      <c r="AE2719" s="12"/>
    </row>
    <row r="2720" customHeight="1" spans="1:31">
      <c r="A2720" s="11" t="s">
        <v>748</v>
      </c>
      <c r="B2720" s="11" t="s">
        <v>13141</v>
      </c>
      <c r="C2720" s="11">
        <v>49</v>
      </c>
      <c r="D2720" s="11">
        <v>105</v>
      </c>
      <c r="E2720" s="11">
        <v>52</v>
      </c>
      <c r="F2720" s="11">
        <v>275</v>
      </c>
      <c r="G2720" s="11">
        <v>477</v>
      </c>
      <c r="H2720" s="11">
        <v>5217498</v>
      </c>
      <c r="I2720" s="11" t="s">
        <v>1924</v>
      </c>
      <c r="J2720" s="11" t="s">
        <v>9091</v>
      </c>
      <c r="K2720" s="11" t="s">
        <v>6373</v>
      </c>
      <c r="L2720" s="11" t="s">
        <v>398</v>
      </c>
      <c r="M2720" s="11" t="s">
        <v>13142</v>
      </c>
      <c r="N2720" s="11">
        <v>3668</v>
      </c>
      <c r="O2720" s="11">
        <v>2312</v>
      </c>
      <c r="P2720" s="11">
        <v>4</v>
      </c>
      <c r="Q2720" s="11" t="s">
        <v>13143</v>
      </c>
      <c r="R2720" s="14" t="s">
        <v>13144</v>
      </c>
      <c r="S2720" s="11">
        <v>85</v>
      </c>
      <c r="T2720" s="11" t="s">
        <v>39</v>
      </c>
      <c r="U2720" s="11" t="s">
        <v>40</v>
      </c>
      <c r="V2720" s="11" t="s">
        <v>41</v>
      </c>
      <c r="W2720" s="11">
        <v>15000000</v>
      </c>
      <c r="X2720" s="11">
        <v>2000</v>
      </c>
      <c r="Y2720" s="11">
        <v>397</v>
      </c>
      <c r="Z2720" s="11">
        <v>4.6</v>
      </c>
      <c r="AA2720" s="11">
        <v>1.85</v>
      </c>
      <c r="AB2720" s="11">
        <v>157</v>
      </c>
      <c r="AC2720" s="11"/>
      <c r="AD2720" s="11" t="str">
        <f>IFERROR(__xludf.DUMMYFUNCTION("""COMPUTED_VALUE"""),"Leslie Hope")</f>
        <v>Leslie Hope</v>
      </c>
      <c r="AE2720" s="11"/>
    </row>
    <row r="2721" customHeight="1" spans="1:31">
      <c r="A2721" s="12" t="s">
        <v>30</v>
      </c>
      <c r="B2721" s="12" t="s">
        <v>12603</v>
      </c>
      <c r="C2721" s="12">
        <v>172</v>
      </c>
      <c r="D2721" s="12">
        <v>107</v>
      </c>
      <c r="E2721" s="12">
        <v>0</v>
      </c>
      <c r="F2721" s="12">
        <v>289</v>
      </c>
      <c r="G2721" s="12">
        <v>572</v>
      </c>
      <c r="H2721" s="12">
        <v>5023275</v>
      </c>
      <c r="I2721" s="12" t="s">
        <v>13145</v>
      </c>
      <c r="J2721" s="12" t="s">
        <v>12711</v>
      </c>
      <c r="K2721" s="12" t="s">
        <v>5538</v>
      </c>
      <c r="L2721" s="12" t="s">
        <v>13146</v>
      </c>
      <c r="M2721" s="12" t="s">
        <v>13147</v>
      </c>
      <c r="N2721" s="12">
        <v>34194</v>
      </c>
      <c r="O2721" s="12">
        <v>1627</v>
      </c>
      <c r="P2721" s="12">
        <v>2</v>
      </c>
      <c r="Q2721" s="12" t="s">
        <v>13148</v>
      </c>
      <c r="R2721" s="15" t="s">
        <v>13149</v>
      </c>
      <c r="S2721" s="12">
        <v>199</v>
      </c>
      <c r="T2721" s="12" t="s">
        <v>39</v>
      </c>
      <c r="U2721" s="12" t="s">
        <v>1466</v>
      </c>
      <c r="V2721" s="12" t="s">
        <v>586</v>
      </c>
      <c r="W2721" s="12">
        <v>15000000</v>
      </c>
      <c r="X2721" s="12">
        <v>2005</v>
      </c>
      <c r="Y2721" s="12">
        <v>324</v>
      </c>
      <c r="Z2721" s="12">
        <v>7.5</v>
      </c>
      <c r="AA2721" s="12">
        <v>2.35</v>
      </c>
      <c r="AB2721" s="12">
        <v>0</v>
      </c>
      <c r="AC2721" s="12"/>
      <c r="AD2721" s="12" t="str">
        <f>IFERROR(__xludf.DUMMYFUNCTION("""COMPUTED_VALUE"""),"Jason London")</f>
        <v>Jason London</v>
      </c>
      <c r="AE2721" s="12"/>
    </row>
    <row r="2722" customHeight="1" spans="1:31">
      <c r="A2722" s="11" t="s">
        <v>30</v>
      </c>
      <c r="B2722" s="11" t="s">
        <v>13150</v>
      </c>
      <c r="C2722" s="11">
        <v>68</v>
      </c>
      <c r="D2722" s="11">
        <v>120</v>
      </c>
      <c r="E2722" s="11">
        <v>0</v>
      </c>
      <c r="F2722" s="11">
        <v>693</v>
      </c>
      <c r="G2722" s="11">
        <v>49000</v>
      </c>
      <c r="H2722" s="11">
        <v>4956401</v>
      </c>
      <c r="I2722" s="11" t="s">
        <v>3397</v>
      </c>
      <c r="J2722" s="11" t="s">
        <v>811</v>
      </c>
      <c r="K2722" s="11" t="s">
        <v>1822</v>
      </c>
      <c r="L2722" s="11" t="s">
        <v>2032</v>
      </c>
      <c r="M2722" s="11" t="s">
        <v>13151</v>
      </c>
      <c r="N2722" s="11">
        <v>12601</v>
      </c>
      <c r="O2722" s="11">
        <v>51657</v>
      </c>
      <c r="P2722" s="11">
        <v>2</v>
      </c>
      <c r="Q2722" s="11" t="s">
        <v>13152</v>
      </c>
      <c r="R2722" s="14" t="s">
        <v>13153</v>
      </c>
      <c r="S2722" s="11">
        <v>89</v>
      </c>
      <c r="T2722" s="11" t="s">
        <v>39</v>
      </c>
      <c r="U2722" s="11" t="s">
        <v>1466</v>
      </c>
      <c r="V2722" s="11" t="s">
        <v>41</v>
      </c>
      <c r="W2722" s="11">
        <v>15000000</v>
      </c>
      <c r="X2722" s="11">
        <v>1999</v>
      </c>
      <c r="Y2722" s="11">
        <v>1000</v>
      </c>
      <c r="Z2722" s="11">
        <v>6.5</v>
      </c>
      <c r="AA2722" s="11">
        <v>1.85</v>
      </c>
      <c r="AB2722" s="11">
        <v>0</v>
      </c>
      <c r="AC2722" s="11"/>
      <c r="AD2722" s="11" t="str">
        <f>IFERROR(__xludf.DUMMYFUNCTION("""COMPUTED_VALUE"""),"Eddie Kaye Thomas")</f>
        <v>Eddie Kaye Thomas</v>
      </c>
      <c r="AE2722" s="11"/>
    </row>
    <row r="2723" customHeight="1" spans="1:31">
      <c r="A2723" s="12" t="s">
        <v>30</v>
      </c>
      <c r="B2723" s="12" t="s">
        <v>250</v>
      </c>
      <c r="C2723" s="12">
        <v>223</v>
      </c>
      <c r="D2723" s="12">
        <v>103</v>
      </c>
      <c r="E2723" s="12">
        <v>1000</v>
      </c>
      <c r="F2723" s="12">
        <v>611</v>
      </c>
      <c r="G2723" s="12">
        <v>21000</v>
      </c>
      <c r="H2723" s="12">
        <v>4235837</v>
      </c>
      <c r="I2723" s="12" t="s">
        <v>12489</v>
      </c>
      <c r="J2723" s="12" t="s">
        <v>99</v>
      </c>
      <c r="K2723" s="12" t="s">
        <v>13154</v>
      </c>
      <c r="L2723" s="12" t="s">
        <v>2470</v>
      </c>
      <c r="M2723" s="12" t="s">
        <v>13155</v>
      </c>
      <c r="N2723" s="12">
        <v>175962</v>
      </c>
      <c r="O2723" s="12">
        <v>23932</v>
      </c>
      <c r="P2723" s="12">
        <v>2</v>
      </c>
      <c r="Q2723" s="12" t="s">
        <v>13156</v>
      </c>
      <c r="R2723" s="15" t="s">
        <v>13157</v>
      </c>
      <c r="S2723" s="12">
        <v>336</v>
      </c>
      <c r="T2723" s="12" t="s">
        <v>39</v>
      </c>
      <c r="U2723" s="12" t="s">
        <v>40</v>
      </c>
      <c r="V2723" s="12" t="s">
        <v>586</v>
      </c>
      <c r="W2723" s="12">
        <v>15000000</v>
      </c>
      <c r="X2723" s="12">
        <v>2005</v>
      </c>
      <c r="Y2723" s="12">
        <v>1000</v>
      </c>
      <c r="Z2723" s="12">
        <v>7.6</v>
      </c>
      <c r="AA2723" s="12">
        <v>2.35</v>
      </c>
      <c r="AB2723" s="12">
        <v>0</v>
      </c>
      <c r="AC2723" s="12"/>
      <c r="AD2723" s="12" t="str">
        <f>IFERROR(__xludf.DUMMYFUNCTION("""COMPUTED_VALUE"""),"Chris Harrison")</f>
        <v>Chris Harrison</v>
      </c>
      <c r="AE2723" s="12"/>
    </row>
    <row r="2724" customHeight="1" spans="1:31">
      <c r="A2724" s="11" t="s">
        <v>30</v>
      </c>
      <c r="B2724" s="11" t="s">
        <v>13158</v>
      </c>
      <c r="C2724" s="11">
        <v>59</v>
      </c>
      <c r="D2724" s="11">
        <v>92</v>
      </c>
      <c r="E2724" s="11">
        <v>6</v>
      </c>
      <c r="F2724" s="11">
        <v>577</v>
      </c>
      <c r="G2724" s="11">
        <v>890</v>
      </c>
      <c r="H2724" s="11">
        <v>4002955</v>
      </c>
      <c r="I2724" s="11" t="s">
        <v>8066</v>
      </c>
      <c r="J2724" s="11" t="s">
        <v>634</v>
      </c>
      <c r="K2724" s="11" t="s">
        <v>417</v>
      </c>
      <c r="L2724" s="11" t="s">
        <v>2630</v>
      </c>
      <c r="M2724" s="11" t="s">
        <v>13159</v>
      </c>
      <c r="N2724" s="11">
        <v>33745</v>
      </c>
      <c r="O2724" s="11">
        <v>3654</v>
      </c>
      <c r="P2724" s="11">
        <v>0</v>
      </c>
      <c r="Q2724" s="11" t="s">
        <v>13160</v>
      </c>
      <c r="R2724" s="14" t="s">
        <v>13161</v>
      </c>
      <c r="S2724" s="11">
        <v>198</v>
      </c>
      <c r="T2724" s="11" t="s">
        <v>39</v>
      </c>
      <c r="U2724" s="11" t="s">
        <v>40</v>
      </c>
      <c r="V2724" s="11" t="s">
        <v>586</v>
      </c>
      <c r="W2724" s="11">
        <v>20000000</v>
      </c>
      <c r="X2724" s="11">
        <v>1999</v>
      </c>
      <c r="Y2724" s="11">
        <v>729</v>
      </c>
      <c r="Z2724" s="11">
        <v>6.2</v>
      </c>
      <c r="AA2724" s="11">
        <v>1.85</v>
      </c>
      <c r="AB2724" s="11">
        <v>0</v>
      </c>
      <c r="AC2724" s="11"/>
      <c r="AD2724" s="11" t="str">
        <f>IFERROR(__xludf.DUMMYFUNCTION("""COMPUTED_VALUE"""),"Elaine Hendrix")</f>
        <v>Elaine Hendrix</v>
      </c>
      <c r="AE2724" s="11"/>
    </row>
    <row r="2725" customHeight="1" spans="1:31">
      <c r="A2725" s="12" t="s">
        <v>30</v>
      </c>
      <c r="B2725" s="12" t="s">
        <v>5878</v>
      </c>
      <c r="C2725" s="12">
        <v>252</v>
      </c>
      <c r="D2725" s="12">
        <v>147</v>
      </c>
      <c r="E2725" s="12">
        <v>0</v>
      </c>
      <c r="F2725" s="12">
        <v>669</v>
      </c>
      <c r="G2725" s="12">
        <v>6000</v>
      </c>
      <c r="H2725" s="12">
        <v>7219578</v>
      </c>
      <c r="I2725" s="12" t="s">
        <v>1924</v>
      </c>
      <c r="J2725" s="12" t="s">
        <v>208</v>
      </c>
      <c r="K2725" s="12" t="s">
        <v>4358</v>
      </c>
      <c r="L2725" s="12" t="s">
        <v>7152</v>
      </c>
      <c r="M2725" s="12" t="s">
        <v>13162</v>
      </c>
      <c r="N2725" s="12">
        <v>235992</v>
      </c>
      <c r="O2725" s="12">
        <v>8484</v>
      </c>
      <c r="P2725" s="12">
        <v>1</v>
      </c>
      <c r="Q2725" s="12" t="s">
        <v>13163</v>
      </c>
      <c r="R2725" s="15" t="s">
        <v>13164</v>
      </c>
      <c r="S2725" s="12">
        <v>1768</v>
      </c>
      <c r="T2725" s="12" t="s">
        <v>39</v>
      </c>
      <c r="U2725" s="12" t="s">
        <v>1466</v>
      </c>
      <c r="V2725" s="12" t="s">
        <v>586</v>
      </c>
      <c r="W2725" s="12">
        <v>15000000</v>
      </c>
      <c r="X2725" s="12">
        <v>2001</v>
      </c>
      <c r="Y2725" s="12">
        <v>889</v>
      </c>
      <c r="Z2725" s="12">
        <v>8</v>
      </c>
      <c r="AA2725" s="12">
        <v>1.85</v>
      </c>
      <c r="AB2725" s="12">
        <v>16000</v>
      </c>
      <c r="AC2725" s="12"/>
      <c r="AD2725" s="12" t="str">
        <f>IFERROR(__xludf.DUMMYFUNCTION("""COMPUTED_VALUE"""),"Sarah Wynter")</f>
        <v>Sarah Wynter</v>
      </c>
      <c r="AE2725" s="12"/>
    </row>
    <row r="2726" customHeight="1" spans="1:31">
      <c r="A2726" s="11" t="s">
        <v>30</v>
      </c>
      <c r="B2726" s="11" t="s">
        <v>13165</v>
      </c>
      <c r="C2726" s="11">
        <v>106</v>
      </c>
      <c r="D2726" s="11">
        <v>98</v>
      </c>
      <c r="E2726" s="11">
        <v>18</v>
      </c>
      <c r="F2726" s="11">
        <v>220</v>
      </c>
      <c r="G2726" s="11">
        <v>837</v>
      </c>
      <c r="H2726" s="11">
        <v>3525161</v>
      </c>
      <c r="I2726" s="11" t="s">
        <v>13166</v>
      </c>
      <c r="J2726" s="11" t="s">
        <v>5177</v>
      </c>
      <c r="K2726" s="11" t="s">
        <v>5330</v>
      </c>
      <c r="L2726" s="11" t="s">
        <v>13167</v>
      </c>
      <c r="M2726" s="11" t="s">
        <v>13168</v>
      </c>
      <c r="N2726" s="11">
        <v>15388</v>
      </c>
      <c r="O2726" s="11">
        <v>1675</v>
      </c>
      <c r="P2726" s="11">
        <v>0</v>
      </c>
      <c r="Q2726" s="11" t="s">
        <v>13169</v>
      </c>
      <c r="R2726" s="14" t="s">
        <v>13170</v>
      </c>
      <c r="S2726" s="11">
        <v>190</v>
      </c>
      <c r="T2726" s="11" t="s">
        <v>39</v>
      </c>
      <c r="U2726" s="11" t="s">
        <v>40</v>
      </c>
      <c r="V2726" s="11" t="s">
        <v>41</v>
      </c>
      <c r="W2726" s="13"/>
      <c r="X2726" s="11">
        <v>2007</v>
      </c>
      <c r="Y2726" s="11">
        <v>400</v>
      </c>
      <c r="Z2726" s="11">
        <v>5.5</v>
      </c>
      <c r="AA2726" s="11">
        <v>2.35</v>
      </c>
      <c r="AB2726" s="11">
        <v>0</v>
      </c>
      <c r="AC2726" s="11"/>
      <c r="AD2726" s="11" t="str">
        <f>IFERROR(__xludf.DUMMYFUNCTION("""COMPUTED_VALUE"""),"Dom DeLuise")</f>
        <v>Dom DeLuise</v>
      </c>
      <c r="AE2726" s="11"/>
    </row>
    <row r="2727" customHeight="1" spans="1:31">
      <c r="A2727" s="12" t="s">
        <v>30</v>
      </c>
      <c r="B2727" s="12" t="s">
        <v>4004</v>
      </c>
      <c r="C2727" s="12">
        <v>223</v>
      </c>
      <c r="D2727" s="12">
        <v>98</v>
      </c>
      <c r="E2727" s="12">
        <v>11000</v>
      </c>
      <c r="F2727" s="12">
        <v>557</v>
      </c>
      <c r="G2727" s="12">
        <v>12000</v>
      </c>
      <c r="H2727" s="12">
        <v>3247816</v>
      </c>
      <c r="I2727" s="12" t="s">
        <v>1415</v>
      </c>
      <c r="J2727" s="12" t="s">
        <v>763</v>
      </c>
      <c r="K2727" s="12" t="s">
        <v>208</v>
      </c>
      <c r="L2727" s="12" t="s">
        <v>360</v>
      </c>
      <c r="M2727" s="12" t="s">
        <v>13171</v>
      </c>
      <c r="N2727" s="12">
        <v>36145</v>
      </c>
      <c r="O2727" s="12">
        <v>19310</v>
      </c>
      <c r="P2727" s="12">
        <v>0</v>
      </c>
      <c r="Q2727" s="12" t="s">
        <v>13172</v>
      </c>
      <c r="R2727" s="15" t="s">
        <v>13173</v>
      </c>
      <c r="S2727" s="12">
        <v>108</v>
      </c>
      <c r="T2727" s="12" t="s">
        <v>39</v>
      </c>
      <c r="U2727" s="12" t="s">
        <v>40</v>
      </c>
      <c r="V2727" s="12" t="s">
        <v>586</v>
      </c>
      <c r="W2727" s="12">
        <v>22000000</v>
      </c>
      <c r="X2727" s="12">
        <v>2010</v>
      </c>
      <c r="Y2727" s="12">
        <v>6000</v>
      </c>
      <c r="Z2727" s="12">
        <v>6.3</v>
      </c>
      <c r="AA2727" s="12">
        <v>1.85</v>
      </c>
      <c r="AB2727" s="12">
        <v>0</v>
      </c>
      <c r="AC2727" s="12"/>
      <c r="AD2727" s="12" t="str">
        <f>IFERROR(__xludf.DUMMYFUNCTION("""COMPUTED_VALUE"""),"Teri Garr")</f>
        <v>Teri Garr</v>
      </c>
      <c r="AE2727" s="12"/>
    </row>
    <row r="2728" customHeight="1" spans="1:31">
      <c r="A2728" s="11" t="s">
        <v>30</v>
      </c>
      <c r="B2728" s="11" t="s">
        <v>13174</v>
      </c>
      <c r="C2728" s="11">
        <v>328</v>
      </c>
      <c r="D2728" s="11">
        <v>103</v>
      </c>
      <c r="E2728" s="11">
        <v>132</v>
      </c>
      <c r="F2728" s="11">
        <v>844</v>
      </c>
      <c r="G2728" s="11">
        <v>10000</v>
      </c>
      <c r="H2728" s="11">
        <v>2412045</v>
      </c>
      <c r="I2728" s="11" t="s">
        <v>5500</v>
      </c>
      <c r="J2728" s="11" t="s">
        <v>183</v>
      </c>
      <c r="K2728" s="11" t="s">
        <v>2832</v>
      </c>
      <c r="L2728" s="11" t="s">
        <v>3518</v>
      </c>
      <c r="M2728" s="11" t="s">
        <v>13175</v>
      </c>
      <c r="N2728" s="11">
        <v>109873</v>
      </c>
      <c r="O2728" s="11">
        <v>12867</v>
      </c>
      <c r="P2728" s="11">
        <v>0</v>
      </c>
      <c r="Q2728" s="11" t="s">
        <v>13176</v>
      </c>
      <c r="R2728" s="14" t="s">
        <v>13177</v>
      </c>
      <c r="S2728" s="11">
        <v>320</v>
      </c>
      <c r="T2728" s="11" t="s">
        <v>39</v>
      </c>
      <c r="U2728" s="11" t="s">
        <v>58</v>
      </c>
      <c r="V2728" s="11" t="s">
        <v>586</v>
      </c>
      <c r="W2728" s="11">
        <v>15000000</v>
      </c>
      <c r="X2728" s="11">
        <v>2010</v>
      </c>
      <c r="Y2728" s="11">
        <v>882</v>
      </c>
      <c r="Z2728" s="11">
        <v>7.2</v>
      </c>
      <c r="AA2728" s="11">
        <v>2.35</v>
      </c>
      <c r="AB2728" s="11">
        <v>33000</v>
      </c>
      <c r="AC2728" s="11"/>
      <c r="AD2728" s="11" t="str">
        <f>IFERROR(__xludf.DUMMYFUNCTION("""COMPUTED_VALUE"""),"Ian Somerhalder")</f>
        <v>Ian Somerhalder</v>
      </c>
      <c r="AE2728" s="11"/>
    </row>
    <row r="2729" customHeight="1" spans="1:31">
      <c r="A2729" s="12" t="s">
        <v>30</v>
      </c>
      <c r="B2729" s="16"/>
      <c r="C2729" s="12">
        <v>9</v>
      </c>
      <c r="D2729" s="12">
        <v>286</v>
      </c>
      <c r="E2729" s="16"/>
      <c r="F2729" s="12">
        <v>527</v>
      </c>
      <c r="G2729" s="12">
        <v>857</v>
      </c>
      <c r="H2729" s="16"/>
      <c r="I2729" s="12" t="s">
        <v>2819</v>
      </c>
      <c r="J2729" s="12" t="s">
        <v>13178</v>
      </c>
      <c r="K2729" s="12" t="s">
        <v>11123</v>
      </c>
      <c r="L2729" s="12" t="s">
        <v>2034</v>
      </c>
      <c r="M2729" s="12" t="s">
        <v>13179</v>
      </c>
      <c r="N2729" s="12">
        <v>3828</v>
      </c>
      <c r="O2729" s="12">
        <v>3809</v>
      </c>
      <c r="P2729" s="12">
        <v>3</v>
      </c>
      <c r="Q2729" s="12" t="s">
        <v>13180</v>
      </c>
      <c r="R2729" s="15" t="s">
        <v>13181</v>
      </c>
      <c r="S2729" s="12">
        <v>39</v>
      </c>
      <c r="T2729" s="12" t="s">
        <v>39</v>
      </c>
      <c r="U2729" s="12" t="s">
        <v>40</v>
      </c>
      <c r="V2729" s="16"/>
      <c r="W2729" s="16"/>
      <c r="X2729" s="16"/>
      <c r="Y2729" s="12">
        <v>555</v>
      </c>
      <c r="Z2729" s="12">
        <v>7.9</v>
      </c>
      <c r="AA2729" s="12">
        <v>1.78</v>
      </c>
      <c r="AB2729" s="12">
        <v>733</v>
      </c>
      <c r="AC2729" s="12"/>
      <c r="AD2729" s="12" t="str">
        <f>IFERROR(__xludf.DUMMYFUNCTION("""COMPUTED_VALUE"""),"Kimberly J. Brown")</f>
        <v>Kimberly J. Brown</v>
      </c>
      <c r="AE2729" s="12"/>
    </row>
    <row r="2730" customHeight="1" spans="1:31">
      <c r="A2730" s="11" t="s">
        <v>30</v>
      </c>
      <c r="B2730" s="11" t="s">
        <v>13182</v>
      </c>
      <c r="C2730" s="11">
        <v>150</v>
      </c>
      <c r="D2730" s="11">
        <v>111</v>
      </c>
      <c r="E2730" s="11">
        <v>122</v>
      </c>
      <c r="F2730" s="11">
        <v>25</v>
      </c>
      <c r="G2730" s="11">
        <v>918</v>
      </c>
      <c r="H2730" s="11">
        <v>2203641</v>
      </c>
      <c r="I2730" s="11" t="s">
        <v>2142</v>
      </c>
      <c r="J2730" s="11" t="s">
        <v>209</v>
      </c>
      <c r="K2730" s="11" t="s">
        <v>9040</v>
      </c>
      <c r="L2730" s="11" t="s">
        <v>13183</v>
      </c>
      <c r="M2730" s="11" t="s">
        <v>13184</v>
      </c>
      <c r="N2730" s="11">
        <v>42792</v>
      </c>
      <c r="O2730" s="11">
        <v>1252</v>
      </c>
      <c r="P2730" s="11">
        <v>0</v>
      </c>
      <c r="Q2730" s="11" t="s">
        <v>13185</v>
      </c>
      <c r="R2730" s="14" t="s">
        <v>13186</v>
      </c>
      <c r="S2730" s="11">
        <v>162</v>
      </c>
      <c r="T2730" s="11" t="s">
        <v>39</v>
      </c>
      <c r="U2730" s="11" t="s">
        <v>3572</v>
      </c>
      <c r="V2730" s="11" t="s">
        <v>586</v>
      </c>
      <c r="W2730" s="11">
        <v>15000000</v>
      </c>
      <c r="X2730" s="11">
        <v>2008</v>
      </c>
      <c r="Y2730" s="11">
        <v>278</v>
      </c>
      <c r="Z2730" s="11">
        <v>6.7</v>
      </c>
      <c r="AA2730" s="11">
        <v>2.35</v>
      </c>
      <c r="AB2730" s="11">
        <v>0</v>
      </c>
      <c r="AC2730" s="11"/>
      <c r="AD2730" s="11" t="str">
        <f>IFERROR(__xludf.DUMMYFUNCTION("""COMPUTED_VALUE"""),"Steve Harris")</f>
        <v>Steve Harris</v>
      </c>
      <c r="AE2730" s="11"/>
    </row>
    <row r="2731" customHeight="1" spans="1:31">
      <c r="A2731" s="12" t="s">
        <v>30</v>
      </c>
      <c r="B2731" s="12" t="s">
        <v>13187</v>
      </c>
      <c r="C2731" s="12">
        <v>21</v>
      </c>
      <c r="D2731" s="12">
        <v>98</v>
      </c>
      <c r="E2731" s="12">
        <v>70</v>
      </c>
      <c r="F2731" s="12">
        <v>90</v>
      </c>
      <c r="G2731" s="12">
        <v>876</v>
      </c>
      <c r="H2731" s="12">
        <v>1953732</v>
      </c>
      <c r="I2731" s="12" t="s">
        <v>1357</v>
      </c>
      <c r="J2731" s="12" t="s">
        <v>6357</v>
      </c>
      <c r="K2731" s="12" t="s">
        <v>3780</v>
      </c>
      <c r="L2731" s="12" t="s">
        <v>13188</v>
      </c>
      <c r="M2731" s="12" t="s">
        <v>13189</v>
      </c>
      <c r="N2731" s="12">
        <v>4996</v>
      </c>
      <c r="O2731" s="12">
        <v>1351</v>
      </c>
      <c r="P2731" s="12">
        <v>0</v>
      </c>
      <c r="Q2731" s="12" t="s">
        <v>13190</v>
      </c>
      <c r="R2731" s="15" t="s">
        <v>13191</v>
      </c>
      <c r="S2731" s="12">
        <v>62</v>
      </c>
      <c r="T2731" s="12" t="s">
        <v>39</v>
      </c>
      <c r="U2731" s="12" t="s">
        <v>40</v>
      </c>
      <c r="V2731" s="12" t="s">
        <v>586</v>
      </c>
      <c r="W2731" s="12">
        <v>15000000</v>
      </c>
      <c r="X2731" s="12">
        <v>1986</v>
      </c>
      <c r="Y2731" s="12">
        <v>324</v>
      </c>
      <c r="Z2731" s="12">
        <v>5.3</v>
      </c>
      <c r="AA2731" s="12">
        <v>2.35</v>
      </c>
      <c r="AB2731" s="12">
        <v>843</v>
      </c>
      <c r="AC2731" s="12"/>
      <c r="AD2731" s="12" t="str">
        <f>IFERROR(__xludf.DUMMYFUNCTION("""COMPUTED_VALUE"""),"Bam Margera")</f>
        <v>Bam Margera</v>
      </c>
      <c r="AE2731" s="12"/>
    </row>
    <row r="2732" customHeight="1" spans="1:31">
      <c r="A2732" s="11" t="s">
        <v>30</v>
      </c>
      <c r="B2732" s="11" t="s">
        <v>13192</v>
      </c>
      <c r="C2732" s="11">
        <v>28</v>
      </c>
      <c r="D2732" s="11">
        <v>111</v>
      </c>
      <c r="E2732" s="11">
        <v>0</v>
      </c>
      <c r="F2732" s="11">
        <v>617</v>
      </c>
      <c r="G2732" s="11">
        <v>783</v>
      </c>
      <c r="H2732" s="11">
        <v>1954202</v>
      </c>
      <c r="I2732" s="11" t="s">
        <v>9194</v>
      </c>
      <c r="J2732" s="11" t="s">
        <v>3789</v>
      </c>
      <c r="K2732" s="11" t="s">
        <v>3919</v>
      </c>
      <c r="L2732" s="11" t="s">
        <v>1469</v>
      </c>
      <c r="M2732" s="11" t="s">
        <v>13193</v>
      </c>
      <c r="N2732" s="11">
        <v>5917</v>
      </c>
      <c r="O2732" s="11">
        <v>4834</v>
      </c>
      <c r="P2732" s="11">
        <v>0</v>
      </c>
      <c r="Q2732" s="11" t="s">
        <v>13194</v>
      </c>
      <c r="R2732" s="14" t="s">
        <v>13195</v>
      </c>
      <c r="S2732" s="11">
        <v>71</v>
      </c>
      <c r="T2732" s="11" t="s">
        <v>39</v>
      </c>
      <c r="U2732" s="11" t="s">
        <v>40</v>
      </c>
      <c r="V2732" s="11" t="s">
        <v>41</v>
      </c>
      <c r="W2732" s="11">
        <v>15000000</v>
      </c>
      <c r="X2732" s="11">
        <v>1999</v>
      </c>
      <c r="Y2732" s="11">
        <v>664</v>
      </c>
      <c r="Z2732" s="11">
        <v>6.3</v>
      </c>
      <c r="AA2732" s="11">
        <v>2.35</v>
      </c>
      <c r="AB2732" s="11">
        <v>391</v>
      </c>
      <c r="AC2732" s="11"/>
      <c r="AD2732" s="11" t="str">
        <f>IFERROR(__xludf.DUMMYFUNCTION("""COMPUTED_VALUE"""),"Steve-O")</f>
        <v>Steve-O</v>
      </c>
      <c r="AE2732" s="11"/>
    </row>
    <row r="2733" customHeight="1" spans="1:31">
      <c r="A2733" s="12" t="s">
        <v>30</v>
      </c>
      <c r="B2733" s="12" t="s">
        <v>12019</v>
      </c>
      <c r="C2733" s="12">
        <v>250</v>
      </c>
      <c r="D2733" s="12">
        <v>111</v>
      </c>
      <c r="E2733" s="12">
        <v>0</v>
      </c>
      <c r="F2733" s="12">
        <v>287</v>
      </c>
      <c r="G2733" s="12">
        <v>6000</v>
      </c>
      <c r="H2733" s="12">
        <v>1294640</v>
      </c>
      <c r="I2733" s="12" t="s">
        <v>6648</v>
      </c>
      <c r="J2733" s="12" t="s">
        <v>208</v>
      </c>
      <c r="K2733" s="12" t="s">
        <v>4562</v>
      </c>
      <c r="L2733" s="12" t="s">
        <v>4806</v>
      </c>
      <c r="M2733" s="12" t="s">
        <v>13196</v>
      </c>
      <c r="N2733" s="12">
        <v>69569</v>
      </c>
      <c r="O2733" s="12">
        <v>6748</v>
      </c>
      <c r="P2733" s="12">
        <v>0</v>
      </c>
      <c r="Q2733" s="12" t="s">
        <v>13197</v>
      </c>
      <c r="R2733" s="15" t="s">
        <v>13198</v>
      </c>
      <c r="S2733" s="12">
        <v>436</v>
      </c>
      <c r="T2733" s="12" t="s">
        <v>39</v>
      </c>
      <c r="U2733" s="12" t="s">
        <v>40</v>
      </c>
      <c r="V2733" s="12" t="s">
        <v>586</v>
      </c>
      <c r="W2733" s="12">
        <v>15000000</v>
      </c>
      <c r="X2733" s="12">
        <v>2007</v>
      </c>
      <c r="Y2733" s="12">
        <v>294</v>
      </c>
      <c r="Z2733" s="12">
        <v>6.5</v>
      </c>
      <c r="AA2733" s="12">
        <v>1.85</v>
      </c>
      <c r="AB2733" s="12">
        <v>0</v>
      </c>
      <c r="AC2733" s="12"/>
      <c r="AD2733" s="12" t="str">
        <f>IFERROR(__xludf.DUMMYFUNCTION("""COMPUTED_VALUE"""),"Chris Pontius")</f>
        <v>Chris Pontius</v>
      </c>
      <c r="AE2733" s="12"/>
    </row>
    <row r="2734" customHeight="1" spans="1:31">
      <c r="A2734" s="11" t="s">
        <v>30</v>
      </c>
      <c r="B2734" s="11" t="s">
        <v>13199</v>
      </c>
      <c r="C2734" s="11">
        <v>17</v>
      </c>
      <c r="D2734" s="11">
        <v>100</v>
      </c>
      <c r="E2734" s="11">
        <v>5</v>
      </c>
      <c r="F2734" s="11">
        <v>46</v>
      </c>
      <c r="G2734" s="11">
        <v>192</v>
      </c>
      <c r="H2734" s="13"/>
      <c r="I2734" s="11" t="s">
        <v>2684</v>
      </c>
      <c r="J2734" s="11" t="s">
        <v>13200</v>
      </c>
      <c r="K2734" s="11" t="s">
        <v>13201</v>
      </c>
      <c r="L2734" s="11" t="s">
        <v>13202</v>
      </c>
      <c r="M2734" s="11" t="s">
        <v>13203</v>
      </c>
      <c r="N2734" s="11">
        <v>1933</v>
      </c>
      <c r="O2734" s="11">
        <v>527</v>
      </c>
      <c r="P2734" s="11">
        <v>0</v>
      </c>
      <c r="Q2734" s="11" t="s">
        <v>13204</v>
      </c>
      <c r="R2734" s="14" t="s">
        <v>13205</v>
      </c>
      <c r="S2734" s="11">
        <v>13</v>
      </c>
      <c r="T2734" s="11" t="s">
        <v>39</v>
      </c>
      <c r="U2734" s="11" t="s">
        <v>13206</v>
      </c>
      <c r="V2734" s="13"/>
      <c r="W2734" s="13"/>
      <c r="X2734" s="11">
        <v>2014</v>
      </c>
      <c r="Y2734" s="11">
        <v>134</v>
      </c>
      <c r="Z2734" s="11">
        <v>5.6</v>
      </c>
      <c r="AA2734" s="11">
        <v>2.35</v>
      </c>
      <c r="AB2734" s="11">
        <v>708</v>
      </c>
      <c r="AC2734" s="11"/>
      <c r="AD2734" s="11" t="str">
        <f>IFERROR(__xludf.DUMMYFUNCTION("""COMPUTED_VALUE"""),"Murray Hamilton")</f>
        <v>Murray Hamilton</v>
      </c>
      <c r="AE2734" s="11"/>
    </row>
    <row r="2735" customHeight="1" spans="1:31">
      <c r="A2735" s="12" t="s">
        <v>30</v>
      </c>
      <c r="B2735" s="12" t="s">
        <v>8639</v>
      </c>
      <c r="C2735" s="12">
        <v>95</v>
      </c>
      <c r="D2735" s="12">
        <v>116</v>
      </c>
      <c r="E2735" s="12">
        <v>460</v>
      </c>
      <c r="F2735" s="12">
        <v>71</v>
      </c>
      <c r="G2735" s="12">
        <v>5000</v>
      </c>
      <c r="H2735" s="12">
        <v>819852</v>
      </c>
      <c r="I2735" s="12" t="s">
        <v>4075</v>
      </c>
      <c r="J2735" s="12" t="s">
        <v>2398</v>
      </c>
      <c r="K2735" s="12" t="s">
        <v>12139</v>
      </c>
      <c r="L2735" s="12" t="s">
        <v>12313</v>
      </c>
      <c r="M2735" s="12" t="s">
        <v>13207</v>
      </c>
      <c r="N2735" s="12">
        <v>6690</v>
      </c>
      <c r="O2735" s="12">
        <v>5426</v>
      </c>
      <c r="P2735" s="12">
        <v>0</v>
      </c>
      <c r="Q2735" s="12" t="s">
        <v>13208</v>
      </c>
      <c r="R2735" s="15" t="s">
        <v>13209</v>
      </c>
      <c r="S2735" s="12">
        <v>83</v>
      </c>
      <c r="T2735" s="12" t="s">
        <v>39</v>
      </c>
      <c r="U2735" s="12" t="s">
        <v>269</v>
      </c>
      <c r="V2735" s="12" t="s">
        <v>41</v>
      </c>
      <c r="W2735" s="16"/>
      <c r="X2735" s="12">
        <v>1999</v>
      </c>
      <c r="Y2735" s="12">
        <v>203</v>
      </c>
      <c r="Z2735" s="12">
        <v>7</v>
      </c>
      <c r="AA2735" s="12">
        <v>2.35</v>
      </c>
      <c r="AB2735" s="12">
        <v>284</v>
      </c>
      <c r="AC2735" s="12"/>
      <c r="AD2735" s="12" t="str">
        <f>IFERROR(__xludf.DUMMYFUNCTION("""COMPUTED_VALUE"""),"Joseph Mascolo")</f>
        <v>Joseph Mascolo</v>
      </c>
      <c r="AE2735" s="12"/>
    </row>
    <row r="2736" customHeight="1" spans="1:31">
      <c r="A2736" s="11" t="s">
        <v>748</v>
      </c>
      <c r="B2736" s="11" t="s">
        <v>13210</v>
      </c>
      <c r="C2736" s="11">
        <v>260</v>
      </c>
      <c r="D2736" s="11">
        <v>145</v>
      </c>
      <c r="E2736" s="11">
        <v>756</v>
      </c>
      <c r="F2736" s="11">
        <v>18</v>
      </c>
      <c r="G2736" s="11">
        <v>136</v>
      </c>
      <c r="H2736" s="11">
        <v>26435</v>
      </c>
      <c r="I2736" s="11" t="s">
        <v>1849</v>
      </c>
      <c r="J2736" s="11" t="s">
        <v>13211</v>
      </c>
      <c r="K2736" s="11" t="s">
        <v>13212</v>
      </c>
      <c r="L2736" s="11" t="s">
        <v>13213</v>
      </c>
      <c r="M2736" s="11" t="s">
        <v>13214</v>
      </c>
      <c r="N2736" s="11">
        <v>111841</v>
      </c>
      <c r="O2736" s="11">
        <v>203</v>
      </c>
      <c r="P2736" s="11">
        <v>1</v>
      </c>
      <c r="Q2736" s="11" t="s">
        <v>13215</v>
      </c>
      <c r="R2736" s="14" t="s">
        <v>13216</v>
      </c>
      <c r="S2736" s="11">
        <v>413</v>
      </c>
      <c r="T2736" s="11" t="s">
        <v>8732</v>
      </c>
      <c r="U2736" s="11" t="s">
        <v>768</v>
      </c>
      <c r="V2736" s="11" t="s">
        <v>4831</v>
      </c>
      <c r="W2736" s="11">
        <v>6000000</v>
      </c>
      <c r="X2736" s="11">
        <v>1927</v>
      </c>
      <c r="Y2736" s="11">
        <v>23</v>
      </c>
      <c r="Z2736" s="11">
        <v>8.3</v>
      </c>
      <c r="AA2736" s="11">
        <v>1.33</v>
      </c>
      <c r="AB2736" s="11">
        <v>12000</v>
      </c>
      <c r="AC2736" s="11"/>
      <c r="AD2736" s="11" t="str">
        <f>IFERROR(__xludf.DUMMYFUNCTION("""COMPUTED_VALUE"""),"Ali Hillis")</f>
        <v>Ali Hillis</v>
      </c>
      <c r="AE2736" s="11"/>
    </row>
    <row r="2737" customHeight="1" spans="1:31">
      <c r="A2737" s="12" t="s">
        <v>30</v>
      </c>
      <c r="B2737" s="12" t="s">
        <v>4966</v>
      </c>
      <c r="C2737" s="12">
        <v>141</v>
      </c>
      <c r="D2737" s="12">
        <v>84</v>
      </c>
      <c r="E2737" s="12">
        <v>180</v>
      </c>
      <c r="F2737" s="12">
        <v>58</v>
      </c>
      <c r="G2737" s="12">
        <v>510</v>
      </c>
      <c r="H2737" s="12">
        <v>1197786</v>
      </c>
      <c r="I2737" s="12" t="s">
        <v>334</v>
      </c>
      <c r="J2737" s="12" t="s">
        <v>5898</v>
      </c>
      <c r="K2737" s="12" t="s">
        <v>1620</v>
      </c>
      <c r="L2737" s="12" t="s">
        <v>13217</v>
      </c>
      <c r="M2737" s="12" t="s">
        <v>13218</v>
      </c>
      <c r="N2737" s="12">
        <v>55928</v>
      </c>
      <c r="O2737" s="12">
        <v>962</v>
      </c>
      <c r="P2737" s="12">
        <v>2</v>
      </c>
      <c r="Q2737" s="12" t="s">
        <v>13219</v>
      </c>
      <c r="R2737" s="15" t="s">
        <v>13220</v>
      </c>
      <c r="S2737" s="12">
        <v>157</v>
      </c>
      <c r="T2737" s="12" t="s">
        <v>1465</v>
      </c>
      <c r="U2737" s="12" t="s">
        <v>1466</v>
      </c>
      <c r="V2737" s="12" t="s">
        <v>586</v>
      </c>
      <c r="W2737" s="12">
        <v>12000000</v>
      </c>
      <c r="X2737" s="12">
        <v>2004</v>
      </c>
      <c r="Y2737" s="12">
        <v>297</v>
      </c>
      <c r="Z2737" s="12">
        <v>7.2</v>
      </c>
      <c r="AA2737" s="12">
        <v>2.35</v>
      </c>
      <c r="AB2737" s="12">
        <v>0</v>
      </c>
      <c r="AC2737" s="12"/>
      <c r="AD2737" s="12" t="str">
        <f>IFERROR(__xludf.DUMMYFUNCTION("""COMPUTED_VALUE"""),"Hayley McFarland")</f>
        <v>Hayley McFarland</v>
      </c>
      <c r="AE2737" s="12"/>
    </row>
    <row r="2738" customHeight="1" spans="1:31">
      <c r="A2738" s="11" t="s">
        <v>30</v>
      </c>
      <c r="B2738" s="11" t="s">
        <v>5165</v>
      </c>
      <c r="C2738" s="11">
        <v>52</v>
      </c>
      <c r="D2738" s="11">
        <v>115</v>
      </c>
      <c r="E2738" s="11">
        <v>39</v>
      </c>
      <c r="F2738" s="11">
        <v>642</v>
      </c>
      <c r="G2738" s="11">
        <v>12000</v>
      </c>
      <c r="H2738" s="11">
        <v>529766</v>
      </c>
      <c r="I2738" s="11" t="s">
        <v>1936</v>
      </c>
      <c r="J2738" s="11" t="s">
        <v>272</v>
      </c>
      <c r="K2738" s="11" t="s">
        <v>3833</v>
      </c>
      <c r="L2738" s="11" t="s">
        <v>4206</v>
      </c>
      <c r="M2738" s="11" t="s">
        <v>13221</v>
      </c>
      <c r="N2738" s="11">
        <v>22345</v>
      </c>
      <c r="O2738" s="11">
        <v>14889</v>
      </c>
      <c r="P2738" s="11">
        <v>2</v>
      </c>
      <c r="Q2738" s="11" t="s">
        <v>13222</v>
      </c>
      <c r="R2738" s="14" t="s">
        <v>13223</v>
      </c>
      <c r="S2738" s="11">
        <v>144</v>
      </c>
      <c r="T2738" s="11" t="s">
        <v>39</v>
      </c>
      <c r="U2738" s="11" t="s">
        <v>40</v>
      </c>
      <c r="V2738" s="11" t="s">
        <v>586</v>
      </c>
      <c r="W2738" s="11">
        <v>7000000</v>
      </c>
      <c r="X2738" s="11">
        <v>1995</v>
      </c>
      <c r="Y2738" s="11">
        <v>970</v>
      </c>
      <c r="Z2738" s="11">
        <v>6.8</v>
      </c>
      <c r="AA2738" s="11">
        <v>1.85</v>
      </c>
      <c r="AB2738" s="11">
        <v>0</v>
      </c>
      <c r="AC2738" s="11"/>
      <c r="AD2738" s="11" t="str">
        <f>IFERROR(__xludf.DUMMYFUNCTION("""COMPUTED_VALUE"""),"Mark Duplass")</f>
        <v>Mark Duplass</v>
      </c>
      <c r="AE2738" s="11"/>
    </row>
    <row r="2739" customHeight="1" spans="1:31">
      <c r="A2739" s="12" t="s">
        <v>30</v>
      </c>
      <c r="B2739" s="12" t="s">
        <v>13224</v>
      </c>
      <c r="C2739" s="12">
        <v>205</v>
      </c>
      <c r="D2739" s="12">
        <v>105</v>
      </c>
      <c r="E2739" s="12">
        <v>141</v>
      </c>
      <c r="F2739" s="12">
        <v>56</v>
      </c>
      <c r="G2739" s="12">
        <v>1000</v>
      </c>
      <c r="H2739" s="12">
        <v>613556</v>
      </c>
      <c r="I2739" s="12" t="s">
        <v>777</v>
      </c>
      <c r="J2739" s="12" t="s">
        <v>10585</v>
      </c>
      <c r="K2739" s="12" t="s">
        <v>12661</v>
      </c>
      <c r="L2739" s="12" t="s">
        <v>13225</v>
      </c>
      <c r="M2739" s="12" t="s">
        <v>13226</v>
      </c>
      <c r="N2739" s="12">
        <v>9427</v>
      </c>
      <c r="O2739" s="12">
        <v>1172</v>
      </c>
      <c r="P2739" s="12">
        <v>1</v>
      </c>
      <c r="Q2739" s="12" t="s">
        <v>13227</v>
      </c>
      <c r="R2739" s="15" t="s">
        <v>13228</v>
      </c>
      <c r="S2739" s="12">
        <v>87</v>
      </c>
      <c r="T2739" s="12" t="s">
        <v>1947</v>
      </c>
      <c r="U2739" s="12" t="s">
        <v>12667</v>
      </c>
      <c r="V2739" s="12" t="s">
        <v>4831</v>
      </c>
      <c r="W2739" s="12">
        <v>15000000</v>
      </c>
      <c r="X2739" s="12">
        <v>2015</v>
      </c>
      <c r="Y2739" s="12">
        <v>103</v>
      </c>
      <c r="Z2739" s="12">
        <v>6.4</v>
      </c>
      <c r="AA2739" s="12">
        <v>1.37</v>
      </c>
      <c r="AB2739" s="12">
        <v>0</v>
      </c>
      <c r="AC2739" s="12"/>
      <c r="AD2739" s="12" t="str">
        <f>IFERROR(__xludf.DUMMYFUNCTION("""COMPUTED_VALUE"""),"Mike White")</f>
        <v>Mike White</v>
      </c>
      <c r="AE2739" s="12"/>
    </row>
    <row r="2740" customHeight="1" spans="1:31">
      <c r="A2740" s="11" t="s">
        <v>30</v>
      </c>
      <c r="B2740" s="11" t="s">
        <v>12045</v>
      </c>
      <c r="C2740" s="11">
        <v>109</v>
      </c>
      <c r="D2740" s="11">
        <v>98</v>
      </c>
      <c r="E2740" s="11">
        <v>34</v>
      </c>
      <c r="F2740" s="11">
        <v>730</v>
      </c>
      <c r="G2740" s="11">
        <v>936</v>
      </c>
      <c r="H2740" s="11">
        <v>353743</v>
      </c>
      <c r="I2740" s="11" t="s">
        <v>13229</v>
      </c>
      <c r="J2740" s="11" t="s">
        <v>2324</v>
      </c>
      <c r="K2740" s="11" t="s">
        <v>1320</v>
      </c>
      <c r="L2740" s="11" t="s">
        <v>3701</v>
      </c>
      <c r="M2740" s="11" t="s">
        <v>13230</v>
      </c>
      <c r="N2740" s="11">
        <v>20730</v>
      </c>
      <c r="O2740" s="11">
        <v>3578</v>
      </c>
      <c r="P2740" s="11">
        <v>1</v>
      </c>
      <c r="Q2740" s="11" t="s">
        <v>13231</v>
      </c>
      <c r="R2740" s="14" t="s">
        <v>13232</v>
      </c>
      <c r="S2740" s="11">
        <v>111</v>
      </c>
      <c r="T2740" s="11" t="s">
        <v>39</v>
      </c>
      <c r="U2740" s="11" t="s">
        <v>58</v>
      </c>
      <c r="V2740" s="11" t="s">
        <v>586</v>
      </c>
      <c r="W2740" s="11">
        <v>15000000</v>
      </c>
      <c r="X2740" s="11">
        <v>2001</v>
      </c>
      <c r="Y2740" s="11">
        <v>826</v>
      </c>
      <c r="Z2740" s="11">
        <v>6.9</v>
      </c>
      <c r="AA2740" s="11">
        <v>2.35</v>
      </c>
      <c r="AB2740" s="11">
        <v>664</v>
      </c>
      <c r="AC2740" s="11"/>
      <c r="AD2740" s="11" t="str">
        <f>IFERROR(__xludf.DUMMYFUNCTION("""COMPUTED_VALUE"""),"Shailene Woodley")</f>
        <v>Shailene Woodley</v>
      </c>
      <c r="AE2740" s="11"/>
    </row>
    <row r="2741" customHeight="1" spans="1:31">
      <c r="A2741" s="12" t="s">
        <v>30</v>
      </c>
      <c r="B2741" s="12" t="s">
        <v>13233</v>
      </c>
      <c r="C2741" s="12">
        <v>103</v>
      </c>
      <c r="D2741" s="12">
        <v>99</v>
      </c>
      <c r="E2741" s="12">
        <v>445</v>
      </c>
      <c r="F2741" s="12">
        <v>9</v>
      </c>
      <c r="G2741" s="12">
        <v>20</v>
      </c>
      <c r="H2741" s="12">
        <v>502028</v>
      </c>
      <c r="I2741" s="12" t="s">
        <v>1924</v>
      </c>
      <c r="J2741" s="12" t="s">
        <v>13234</v>
      </c>
      <c r="K2741" s="12" t="s">
        <v>13235</v>
      </c>
      <c r="L2741" s="12" t="s">
        <v>13236</v>
      </c>
      <c r="M2741" s="12" t="s">
        <v>13237</v>
      </c>
      <c r="N2741" s="12">
        <v>31589</v>
      </c>
      <c r="O2741" s="12">
        <v>48</v>
      </c>
      <c r="P2741" s="12">
        <v>0</v>
      </c>
      <c r="Q2741" s="12" t="s">
        <v>13238</v>
      </c>
      <c r="R2741" s="15" t="s">
        <v>13239</v>
      </c>
      <c r="S2741" s="12">
        <v>172</v>
      </c>
      <c r="T2741" s="12" t="s">
        <v>5642</v>
      </c>
      <c r="U2741" s="12" t="s">
        <v>7171</v>
      </c>
      <c r="V2741" s="12" t="s">
        <v>5614</v>
      </c>
      <c r="W2741" s="16"/>
      <c r="X2741" s="12">
        <v>2003</v>
      </c>
      <c r="Y2741" s="12">
        <v>13</v>
      </c>
      <c r="Z2741" s="12">
        <v>8</v>
      </c>
      <c r="AA2741" s="12">
        <v>1.85</v>
      </c>
      <c r="AB2741" s="12">
        <v>0</v>
      </c>
      <c r="AC2741" s="12"/>
      <c r="AD2741" s="12" t="str">
        <f>IFERROR(__xludf.DUMMYFUNCTION("""COMPUTED_VALUE"""),"Nick Krause")</f>
        <v>Nick Krause</v>
      </c>
      <c r="AE2741" s="12"/>
    </row>
    <row r="2742" customHeight="1" spans="1:31">
      <c r="A2742" s="11" t="s">
        <v>30</v>
      </c>
      <c r="B2742" s="11" t="s">
        <v>13240</v>
      </c>
      <c r="C2742" s="11">
        <v>110</v>
      </c>
      <c r="D2742" s="11">
        <v>110</v>
      </c>
      <c r="E2742" s="11">
        <v>0</v>
      </c>
      <c r="F2742" s="11">
        <v>7</v>
      </c>
      <c r="G2742" s="11">
        <v>64</v>
      </c>
      <c r="H2742" s="11">
        <v>102055</v>
      </c>
      <c r="I2742" s="11" t="s">
        <v>1326</v>
      </c>
      <c r="J2742" s="11" t="s">
        <v>13241</v>
      </c>
      <c r="K2742" s="11" t="s">
        <v>13242</v>
      </c>
      <c r="L2742" s="11" t="s">
        <v>13243</v>
      </c>
      <c r="M2742" s="11" t="s">
        <v>13244</v>
      </c>
      <c r="N2742" s="11">
        <v>24570</v>
      </c>
      <c r="O2742" s="11">
        <v>134</v>
      </c>
      <c r="P2742" s="11">
        <v>0</v>
      </c>
      <c r="Q2742" s="11" t="s">
        <v>13245</v>
      </c>
      <c r="R2742" s="14" t="s">
        <v>13246</v>
      </c>
      <c r="S2742" s="11">
        <v>72</v>
      </c>
      <c r="T2742" s="11" t="s">
        <v>13247</v>
      </c>
      <c r="U2742" s="11" t="s">
        <v>13248</v>
      </c>
      <c r="V2742" s="11" t="s">
        <v>586</v>
      </c>
      <c r="W2742" s="11">
        <v>300000000</v>
      </c>
      <c r="X2742" s="11">
        <v>2008</v>
      </c>
      <c r="Y2742" s="11">
        <v>45</v>
      </c>
      <c r="Z2742" s="11">
        <v>6.2</v>
      </c>
      <c r="AA2742" s="11">
        <v>2.35</v>
      </c>
      <c r="AB2742" s="11">
        <v>0</v>
      </c>
      <c r="AC2742" s="11"/>
      <c r="AD2742" s="11" t="str">
        <f>IFERROR(__xludf.DUMMYFUNCTION("""COMPUTED_VALUE"""),"Zane Holtz")</f>
        <v>Zane Holtz</v>
      </c>
      <c r="AE2742" s="11"/>
    </row>
    <row r="2743" customHeight="1" spans="1:31">
      <c r="A2743" s="12" t="s">
        <v>30</v>
      </c>
      <c r="B2743" s="12" t="s">
        <v>7876</v>
      </c>
      <c r="C2743" s="12">
        <v>195</v>
      </c>
      <c r="D2743" s="12">
        <v>97</v>
      </c>
      <c r="E2743" s="12">
        <v>197</v>
      </c>
      <c r="F2743" s="12">
        <v>570</v>
      </c>
      <c r="G2743" s="12">
        <v>13000</v>
      </c>
      <c r="H2743" s="12">
        <v>122288</v>
      </c>
      <c r="I2743" s="12" t="s">
        <v>13249</v>
      </c>
      <c r="J2743" s="12" t="s">
        <v>459</v>
      </c>
      <c r="K2743" s="12" t="s">
        <v>13250</v>
      </c>
      <c r="L2743" s="12" t="s">
        <v>1240</v>
      </c>
      <c r="M2743" s="12" t="s">
        <v>13251</v>
      </c>
      <c r="N2743" s="12">
        <v>64777</v>
      </c>
      <c r="O2743" s="12">
        <v>15293</v>
      </c>
      <c r="P2743" s="12">
        <v>0</v>
      </c>
      <c r="Q2743" s="12" t="s">
        <v>13252</v>
      </c>
      <c r="R2743" s="15" t="s">
        <v>13253</v>
      </c>
      <c r="S2743" s="12">
        <v>201</v>
      </c>
      <c r="T2743" s="12" t="s">
        <v>39</v>
      </c>
      <c r="U2743" s="12" t="s">
        <v>58</v>
      </c>
      <c r="V2743" s="12" t="s">
        <v>586</v>
      </c>
      <c r="W2743" s="16"/>
      <c r="X2743" s="12">
        <v>2010</v>
      </c>
      <c r="Y2743" s="12">
        <v>794</v>
      </c>
      <c r="Z2743" s="12">
        <v>6.4</v>
      </c>
      <c r="AA2743" s="12">
        <v>2.35</v>
      </c>
      <c r="AB2743" s="12">
        <v>0</v>
      </c>
      <c r="AC2743" s="12"/>
      <c r="AD2743" s="12" t="str">
        <f>IFERROR(__xludf.DUMMYFUNCTION("""COMPUTED_VALUE"""),"Ski Carr")</f>
        <v>Ski Carr</v>
      </c>
      <c r="AE2743" s="12"/>
    </row>
    <row r="2744" customHeight="1" spans="1:31">
      <c r="A2744" s="11" t="s">
        <v>30</v>
      </c>
      <c r="B2744" s="11" t="s">
        <v>5835</v>
      </c>
      <c r="C2744" s="11">
        <v>14</v>
      </c>
      <c r="D2744" s="11">
        <v>88</v>
      </c>
      <c r="E2744" s="11">
        <v>85</v>
      </c>
      <c r="F2744" s="11">
        <v>40</v>
      </c>
      <c r="G2744" s="11">
        <v>825</v>
      </c>
      <c r="H2744" s="13"/>
      <c r="I2744" s="11" t="s">
        <v>923</v>
      </c>
      <c r="J2744" s="11" t="s">
        <v>1861</v>
      </c>
      <c r="K2744" s="11" t="s">
        <v>13254</v>
      </c>
      <c r="L2744" s="11" t="s">
        <v>13255</v>
      </c>
      <c r="M2744" s="11" t="s">
        <v>13256</v>
      </c>
      <c r="N2744" s="11">
        <v>2699</v>
      </c>
      <c r="O2744" s="11">
        <v>1432</v>
      </c>
      <c r="P2744" s="11">
        <v>0</v>
      </c>
      <c r="Q2744" s="11" t="s">
        <v>13257</v>
      </c>
      <c r="R2744" s="14" t="s">
        <v>13258</v>
      </c>
      <c r="S2744" s="11">
        <v>29</v>
      </c>
      <c r="T2744" s="11" t="s">
        <v>39</v>
      </c>
      <c r="U2744" s="11" t="s">
        <v>269</v>
      </c>
      <c r="V2744" s="11" t="s">
        <v>586</v>
      </c>
      <c r="W2744" s="11">
        <v>9000000</v>
      </c>
      <c r="X2744" s="11">
        <v>1996</v>
      </c>
      <c r="Y2744" s="11">
        <v>476</v>
      </c>
      <c r="Z2744" s="11">
        <v>5.6</v>
      </c>
      <c r="AA2744" s="11">
        <v>2.35</v>
      </c>
      <c r="AB2744" s="11">
        <v>154</v>
      </c>
      <c r="AC2744" s="11"/>
      <c r="AD2744" s="11" t="str">
        <f>IFERROR(__xludf.DUMMYFUNCTION("""COMPUTED_VALUE"""),"Bobby Coleman")</f>
        <v>Bobby Coleman</v>
      </c>
      <c r="AE2744" s="11"/>
    </row>
    <row r="2745" customHeight="1" spans="1:31">
      <c r="A2745" s="12" t="s">
        <v>30</v>
      </c>
      <c r="B2745" s="12" t="s">
        <v>13259</v>
      </c>
      <c r="C2745" s="12">
        <v>177</v>
      </c>
      <c r="D2745" s="12">
        <v>103</v>
      </c>
      <c r="E2745" s="12">
        <v>129</v>
      </c>
      <c r="F2745" s="12">
        <v>1000</v>
      </c>
      <c r="G2745" s="12">
        <v>14000</v>
      </c>
      <c r="H2745" s="12">
        <v>73548</v>
      </c>
      <c r="I2745" s="12" t="s">
        <v>9492</v>
      </c>
      <c r="J2745" s="12" t="s">
        <v>655</v>
      </c>
      <c r="K2745" s="12" t="s">
        <v>7607</v>
      </c>
      <c r="L2745" s="12" t="s">
        <v>2718</v>
      </c>
      <c r="M2745" s="12" t="s">
        <v>13260</v>
      </c>
      <c r="N2745" s="12">
        <v>47574</v>
      </c>
      <c r="O2745" s="12">
        <v>18639</v>
      </c>
      <c r="P2745" s="12">
        <v>0</v>
      </c>
      <c r="Q2745" s="12" t="s">
        <v>13261</v>
      </c>
      <c r="R2745" s="15" t="s">
        <v>13262</v>
      </c>
      <c r="S2745" s="12">
        <v>209</v>
      </c>
      <c r="T2745" s="12" t="s">
        <v>39</v>
      </c>
      <c r="U2745" s="12" t="s">
        <v>40</v>
      </c>
      <c r="V2745" s="12" t="s">
        <v>586</v>
      </c>
      <c r="W2745" s="12">
        <v>15000000</v>
      </c>
      <c r="X2745" s="12">
        <v>2008</v>
      </c>
      <c r="Y2745" s="12">
        <v>1000</v>
      </c>
      <c r="Z2745" s="12">
        <v>6.1</v>
      </c>
      <c r="AA2745" s="12">
        <v>2.35</v>
      </c>
      <c r="AB2745" s="12">
        <v>0</v>
      </c>
      <c r="AC2745" s="12"/>
      <c r="AD2745" s="12" t="str">
        <f>IFERROR(__xludf.DUMMYFUNCTION("""COMPUTED_VALUE"""),"Melissa Ordway")</f>
        <v>Melissa Ordway</v>
      </c>
      <c r="AE2745" s="12"/>
    </row>
    <row r="2746" customHeight="1" spans="1:31">
      <c r="A2746" s="11" t="s">
        <v>30</v>
      </c>
      <c r="B2746" s="11" t="s">
        <v>13263</v>
      </c>
      <c r="C2746" s="11">
        <v>17</v>
      </c>
      <c r="D2746" s="11">
        <v>104</v>
      </c>
      <c r="E2746" s="11">
        <v>36</v>
      </c>
      <c r="F2746" s="11">
        <v>2</v>
      </c>
      <c r="G2746" s="11">
        <v>549</v>
      </c>
      <c r="H2746" s="13"/>
      <c r="I2746" s="11" t="s">
        <v>5941</v>
      </c>
      <c r="J2746" s="11" t="s">
        <v>3078</v>
      </c>
      <c r="K2746" s="11" t="s">
        <v>6340</v>
      </c>
      <c r="L2746" s="11" t="s">
        <v>13264</v>
      </c>
      <c r="M2746" s="11" t="s">
        <v>13265</v>
      </c>
      <c r="N2746" s="11">
        <v>609</v>
      </c>
      <c r="O2746" s="11">
        <v>801</v>
      </c>
      <c r="P2746" s="11">
        <v>2</v>
      </c>
      <c r="Q2746" s="11" t="s">
        <v>13266</v>
      </c>
      <c r="R2746" s="14" t="s">
        <v>13267</v>
      </c>
      <c r="S2746" s="11">
        <v>15</v>
      </c>
      <c r="T2746" s="11" t="s">
        <v>39</v>
      </c>
      <c r="U2746" s="11" t="s">
        <v>8145</v>
      </c>
      <c r="V2746" s="11" t="s">
        <v>586</v>
      </c>
      <c r="W2746" s="11">
        <v>15000000</v>
      </c>
      <c r="X2746" s="11">
        <v>2011</v>
      </c>
      <c r="Y2746" s="11">
        <v>248</v>
      </c>
      <c r="Z2746" s="11">
        <v>6</v>
      </c>
      <c r="AA2746" s="13"/>
      <c r="AB2746" s="11">
        <v>705</v>
      </c>
      <c r="AC2746" s="11"/>
      <c r="AD2746" s="11" t="str">
        <f>IFERROR(__xludf.DUMMYFUNCTION("""COMPUTED_VALUE"""),"Taran Killam")</f>
        <v>Taran Killam</v>
      </c>
      <c r="AE2746" s="11"/>
    </row>
    <row r="2747" customHeight="1" spans="1:31">
      <c r="A2747" s="12" t="s">
        <v>30</v>
      </c>
      <c r="B2747" s="12" t="s">
        <v>13268</v>
      </c>
      <c r="C2747" s="12">
        <v>62</v>
      </c>
      <c r="D2747" s="12">
        <v>90</v>
      </c>
      <c r="E2747" s="12">
        <v>68</v>
      </c>
      <c r="F2747" s="12">
        <v>642</v>
      </c>
      <c r="G2747" s="12">
        <v>17000</v>
      </c>
      <c r="H2747" s="12">
        <v>28870</v>
      </c>
      <c r="I2747" s="12" t="s">
        <v>2126</v>
      </c>
      <c r="J2747" s="12" t="s">
        <v>445</v>
      </c>
      <c r="K2747" s="12" t="s">
        <v>2383</v>
      </c>
      <c r="L2747" s="12" t="s">
        <v>4191</v>
      </c>
      <c r="M2747" s="12" t="s">
        <v>13269</v>
      </c>
      <c r="N2747" s="12">
        <v>14280</v>
      </c>
      <c r="O2747" s="12">
        <v>32814</v>
      </c>
      <c r="P2747" s="12">
        <v>5</v>
      </c>
      <c r="Q2747" s="12" t="s">
        <v>13270</v>
      </c>
      <c r="R2747" s="15" t="s">
        <v>13271</v>
      </c>
      <c r="S2747" s="12">
        <v>41</v>
      </c>
      <c r="T2747" s="12" t="s">
        <v>39</v>
      </c>
      <c r="U2747" s="12" t="s">
        <v>40</v>
      </c>
      <c r="V2747" s="12" t="s">
        <v>586</v>
      </c>
      <c r="W2747" s="12">
        <v>15000000</v>
      </c>
      <c r="X2747" s="12">
        <v>2011</v>
      </c>
      <c r="Y2747" s="12">
        <v>14000</v>
      </c>
      <c r="Z2747" s="12">
        <v>5.1</v>
      </c>
      <c r="AA2747" s="12">
        <v>2.35</v>
      </c>
      <c r="AB2747" s="12">
        <v>0</v>
      </c>
      <c r="AC2747" s="12"/>
      <c r="AD2747" s="12" t="str">
        <f>IFERROR(__xludf.DUMMYFUNCTION("""COMPUTED_VALUE"""),"Jason Weaver")</f>
        <v>Jason Weaver</v>
      </c>
      <c r="AE2747" s="12"/>
    </row>
    <row r="2748" customHeight="1" spans="1:31">
      <c r="A2748" s="11" t="s">
        <v>30</v>
      </c>
      <c r="B2748" s="11" t="s">
        <v>13272</v>
      </c>
      <c r="C2748" s="11">
        <v>19</v>
      </c>
      <c r="D2748" s="11">
        <v>105</v>
      </c>
      <c r="E2748" s="11">
        <v>24</v>
      </c>
      <c r="F2748" s="11">
        <v>125</v>
      </c>
      <c r="G2748" s="11">
        <v>776</v>
      </c>
      <c r="H2748" s="11">
        <v>22723</v>
      </c>
      <c r="I2748" s="11" t="s">
        <v>13273</v>
      </c>
      <c r="J2748" s="11" t="s">
        <v>310</v>
      </c>
      <c r="K2748" s="11" t="s">
        <v>1823</v>
      </c>
      <c r="L2748" s="11" t="s">
        <v>13274</v>
      </c>
      <c r="M2748" s="11" t="s">
        <v>13275</v>
      </c>
      <c r="N2748" s="11">
        <v>2236</v>
      </c>
      <c r="O2748" s="11">
        <v>1732</v>
      </c>
      <c r="P2748" s="11">
        <v>1</v>
      </c>
      <c r="Q2748" s="11" t="s">
        <v>13276</v>
      </c>
      <c r="R2748" s="14" t="s">
        <v>13277</v>
      </c>
      <c r="S2748" s="11">
        <v>40</v>
      </c>
      <c r="T2748" s="11" t="s">
        <v>39</v>
      </c>
      <c r="U2748" s="11" t="s">
        <v>768</v>
      </c>
      <c r="V2748" s="11" t="s">
        <v>41</v>
      </c>
      <c r="W2748" s="11">
        <v>25000000</v>
      </c>
      <c r="X2748" s="11">
        <v>2001</v>
      </c>
      <c r="Y2748" s="11">
        <v>595</v>
      </c>
      <c r="Z2748" s="11">
        <v>4.5</v>
      </c>
      <c r="AA2748" s="11">
        <v>2.35</v>
      </c>
      <c r="AB2748" s="11">
        <v>193</v>
      </c>
      <c r="AC2748" s="11"/>
      <c r="AD2748" s="11" t="str">
        <f>IFERROR(__xludf.DUMMYFUNCTION("""COMPUTED_VALUE"""),"Brendan Coyle")</f>
        <v>Brendan Coyle</v>
      </c>
      <c r="AE2748" s="11"/>
    </row>
    <row r="2749" customHeight="1" spans="1:31">
      <c r="A2749" s="12" t="s">
        <v>30</v>
      </c>
      <c r="B2749" s="12" t="s">
        <v>13278</v>
      </c>
      <c r="C2749" s="12">
        <v>50</v>
      </c>
      <c r="D2749" s="12">
        <v>93</v>
      </c>
      <c r="E2749" s="12">
        <v>17</v>
      </c>
      <c r="F2749" s="12">
        <v>66</v>
      </c>
      <c r="G2749" s="12">
        <v>1000</v>
      </c>
      <c r="H2749" s="12">
        <v>20380</v>
      </c>
      <c r="I2749" s="12" t="s">
        <v>13279</v>
      </c>
      <c r="J2749" s="12" t="s">
        <v>160</v>
      </c>
      <c r="K2749" s="12" t="s">
        <v>13280</v>
      </c>
      <c r="L2749" s="12" t="s">
        <v>13038</v>
      </c>
      <c r="M2749" s="12" t="s">
        <v>13281</v>
      </c>
      <c r="N2749" s="12">
        <v>7519</v>
      </c>
      <c r="O2749" s="12">
        <v>1245</v>
      </c>
      <c r="P2749" s="12">
        <v>1</v>
      </c>
      <c r="Q2749" s="12" t="s">
        <v>13282</v>
      </c>
      <c r="R2749" s="15" t="s">
        <v>13283</v>
      </c>
      <c r="S2749" s="12">
        <v>39</v>
      </c>
      <c r="T2749" s="12" t="s">
        <v>39</v>
      </c>
      <c r="U2749" s="12" t="s">
        <v>40</v>
      </c>
      <c r="V2749" s="12" t="s">
        <v>586</v>
      </c>
      <c r="W2749" s="12">
        <v>15000000</v>
      </c>
      <c r="X2749" s="12">
        <v>2007</v>
      </c>
      <c r="Y2749" s="12">
        <v>165</v>
      </c>
      <c r="Z2749" s="12">
        <v>5.9</v>
      </c>
      <c r="AA2749" s="12">
        <v>1.85</v>
      </c>
      <c r="AB2749" s="12">
        <v>445</v>
      </c>
      <c r="AC2749" s="12"/>
      <c r="AD2749" s="12" t="str">
        <f>IFERROR(__xludf.DUMMYFUNCTION("""COMPUTED_VALUE"""),"Romeo Miller")</f>
        <v>Romeo Miller</v>
      </c>
      <c r="AE2749" s="12"/>
    </row>
    <row r="2750" customHeight="1" spans="1:31">
      <c r="A2750" s="11" t="s">
        <v>30</v>
      </c>
      <c r="B2750" s="11" t="s">
        <v>13284</v>
      </c>
      <c r="C2750" s="11">
        <v>25</v>
      </c>
      <c r="D2750" s="11">
        <v>141</v>
      </c>
      <c r="E2750" s="11">
        <v>15</v>
      </c>
      <c r="F2750" s="11">
        <v>576</v>
      </c>
      <c r="G2750" s="11">
        <v>735</v>
      </c>
      <c r="H2750" s="13"/>
      <c r="I2750" s="11" t="s">
        <v>13285</v>
      </c>
      <c r="J2750" s="11" t="s">
        <v>1876</v>
      </c>
      <c r="K2750" s="11" t="s">
        <v>13286</v>
      </c>
      <c r="L2750" s="11" t="s">
        <v>3331</v>
      </c>
      <c r="M2750" s="11" t="s">
        <v>13287</v>
      </c>
      <c r="N2750" s="11">
        <v>3425</v>
      </c>
      <c r="O2750" s="11">
        <v>2528</v>
      </c>
      <c r="P2750" s="11">
        <v>1</v>
      </c>
      <c r="Q2750" s="11" t="s">
        <v>13288</v>
      </c>
      <c r="R2750" s="14" t="s">
        <v>13289</v>
      </c>
      <c r="S2750" s="11">
        <v>32</v>
      </c>
      <c r="T2750" s="11" t="s">
        <v>39</v>
      </c>
      <c r="U2750" s="11" t="s">
        <v>13290</v>
      </c>
      <c r="V2750" s="11" t="s">
        <v>586</v>
      </c>
      <c r="W2750" s="13"/>
      <c r="X2750" s="11">
        <v>2008</v>
      </c>
      <c r="Y2750" s="11">
        <v>627</v>
      </c>
      <c r="Z2750" s="11">
        <v>6</v>
      </c>
      <c r="AA2750" s="11">
        <v>2.35</v>
      </c>
      <c r="AB2750" s="11">
        <v>0</v>
      </c>
      <c r="AC2750" s="11"/>
      <c r="AD2750" s="11" t="str">
        <f>IFERROR(__xludf.DUMMYFUNCTION("""COMPUTED_VALUE"""),"Fernando Rey")</f>
        <v>Fernando Rey</v>
      </c>
      <c r="AE2750" s="11"/>
    </row>
    <row r="2751" customHeight="1" spans="1:31">
      <c r="A2751" s="12" t="s">
        <v>30</v>
      </c>
      <c r="B2751" s="12" t="s">
        <v>13291</v>
      </c>
      <c r="C2751" s="12">
        <v>39</v>
      </c>
      <c r="D2751" s="12">
        <v>85</v>
      </c>
      <c r="E2751" s="12">
        <v>0</v>
      </c>
      <c r="F2751" s="12">
        <v>912</v>
      </c>
      <c r="G2751" s="12">
        <v>14000</v>
      </c>
      <c r="H2751" s="16"/>
      <c r="I2751" s="12" t="s">
        <v>2831</v>
      </c>
      <c r="J2751" s="12" t="s">
        <v>228</v>
      </c>
      <c r="K2751" s="12" t="s">
        <v>272</v>
      </c>
      <c r="L2751" s="12" t="s">
        <v>3077</v>
      </c>
      <c r="M2751" s="12" t="s">
        <v>13292</v>
      </c>
      <c r="N2751" s="12">
        <v>4006</v>
      </c>
      <c r="O2751" s="12">
        <v>29488</v>
      </c>
      <c r="P2751" s="12">
        <v>0</v>
      </c>
      <c r="Q2751" s="12" t="s">
        <v>13293</v>
      </c>
      <c r="R2751" s="15" t="s">
        <v>13294</v>
      </c>
      <c r="S2751" s="12">
        <v>12</v>
      </c>
      <c r="T2751" s="12" t="s">
        <v>39</v>
      </c>
      <c r="U2751" s="12" t="s">
        <v>8145</v>
      </c>
      <c r="V2751" s="12" t="s">
        <v>4831</v>
      </c>
      <c r="W2751" s="12">
        <v>20000000</v>
      </c>
      <c r="X2751" s="12">
        <v>2013</v>
      </c>
      <c r="Y2751" s="12">
        <v>12000</v>
      </c>
      <c r="Z2751" s="12">
        <v>5.8</v>
      </c>
      <c r="AA2751" s="16"/>
      <c r="AB2751" s="12">
        <v>0</v>
      </c>
      <c r="AC2751" s="12"/>
      <c r="AD2751" s="12" t="str">
        <f>IFERROR(__xludf.DUMMYFUNCTION("""COMPUTED_VALUE"""),"Tony Lo Bianco")</f>
        <v>Tony Lo Bianco</v>
      </c>
      <c r="AE2751" s="12"/>
    </row>
    <row r="2752" customHeight="1" spans="1:31">
      <c r="A2752" s="11" t="s">
        <v>30</v>
      </c>
      <c r="B2752" s="11" t="s">
        <v>13295</v>
      </c>
      <c r="C2752" s="11">
        <v>136</v>
      </c>
      <c r="D2752" s="11">
        <v>109</v>
      </c>
      <c r="E2752" s="11">
        <v>19</v>
      </c>
      <c r="F2752" s="11">
        <v>537</v>
      </c>
      <c r="G2752" s="11">
        <v>1000</v>
      </c>
      <c r="H2752" s="13"/>
      <c r="I2752" s="11" t="s">
        <v>2813</v>
      </c>
      <c r="J2752" s="11" t="s">
        <v>8766</v>
      </c>
      <c r="K2752" s="11" t="s">
        <v>4358</v>
      </c>
      <c r="L2752" s="11" t="s">
        <v>1386</v>
      </c>
      <c r="M2752" s="11" t="s">
        <v>13296</v>
      </c>
      <c r="N2752" s="11">
        <v>41638</v>
      </c>
      <c r="O2752" s="11">
        <v>2829</v>
      </c>
      <c r="P2752" s="11">
        <v>0</v>
      </c>
      <c r="Q2752" s="11" t="s">
        <v>13297</v>
      </c>
      <c r="R2752" s="14" t="s">
        <v>13298</v>
      </c>
      <c r="S2752" s="11">
        <v>134</v>
      </c>
      <c r="T2752" s="11" t="s">
        <v>39</v>
      </c>
      <c r="U2752" s="11" t="s">
        <v>13299</v>
      </c>
      <c r="V2752" s="11" t="s">
        <v>586</v>
      </c>
      <c r="W2752" s="11">
        <v>7000000</v>
      </c>
      <c r="X2752" s="11">
        <v>2014</v>
      </c>
      <c r="Y2752" s="11">
        <v>889</v>
      </c>
      <c r="Z2752" s="11">
        <v>6.1</v>
      </c>
      <c r="AA2752" s="11">
        <v>2.35</v>
      </c>
      <c r="AB2752" s="11">
        <v>13000</v>
      </c>
      <c r="AC2752" s="11"/>
      <c r="AD2752" s="11" t="str">
        <f>IFERROR(__xludf.DUMMYFUNCTION("""COMPUTED_VALUE"""),"Phil Collins")</f>
        <v>Phil Collins</v>
      </c>
      <c r="AE2752" s="11"/>
    </row>
    <row r="2753" customHeight="1" spans="1:31">
      <c r="A2753" s="12" t="s">
        <v>30</v>
      </c>
      <c r="B2753" s="12" t="s">
        <v>13300</v>
      </c>
      <c r="C2753" s="12">
        <v>26</v>
      </c>
      <c r="D2753" s="12">
        <v>105</v>
      </c>
      <c r="E2753" s="12">
        <v>93</v>
      </c>
      <c r="F2753" s="12">
        <v>51</v>
      </c>
      <c r="G2753" s="12">
        <v>179</v>
      </c>
      <c r="H2753" s="16"/>
      <c r="I2753" s="12" t="s">
        <v>43</v>
      </c>
      <c r="J2753" s="12" t="s">
        <v>11930</v>
      </c>
      <c r="K2753" s="12" t="s">
        <v>13301</v>
      </c>
      <c r="L2753" s="12" t="s">
        <v>13302</v>
      </c>
      <c r="M2753" s="12" t="s">
        <v>13303</v>
      </c>
      <c r="N2753" s="12">
        <v>5018</v>
      </c>
      <c r="O2753" s="12">
        <v>363</v>
      </c>
      <c r="P2753" s="12">
        <v>0</v>
      </c>
      <c r="Q2753" s="12" t="s">
        <v>13304</v>
      </c>
      <c r="R2753" s="15" t="s">
        <v>13305</v>
      </c>
      <c r="S2753" s="12">
        <v>108</v>
      </c>
      <c r="T2753" s="12" t="s">
        <v>39</v>
      </c>
      <c r="U2753" s="12" t="s">
        <v>768</v>
      </c>
      <c r="V2753" s="12" t="s">
        <v>4831</v>
      </c>
      <c r="W2753" s="12">
        <v>15000000</v>
      </c>
      <c r="X2753" s="12">
        <v>2005</v>
      </c>
      <c r="Y2753" s="12">
        <v>55</v>
      </c>
      <c r="Z2753" s="12">
        <v>4.9</v>
      </c>
      <c r="AA2753" s="12">
        <v>1.78</v>
      </c>
      <c r="AB2753" s="12">
        <v>473</v>
      </c>
      <c r="AC2753" s="12"/>
      <c r="AD2753" s="12" t="str">
        <f>IFERROR(__xludf.DUMMYFUNCTION("""COMPUTED_VALUE"""),"Tony Jay")</f>
        <v>Tony Jay</v>
      </c>
      <c r="AE2753" s="12"/>
    </row>
    <row r="2754" customHeight="1" spans="1:31">
      <c r="A2754" s="11" t="s">
        <v>30</v>
      </c>
      <c r="B2754" s="11" t="s">
        <v>13306</v>
      </c>
      <c r="C2754" s="11">
        <v>4</v>
      </c>
      <c r="D2754" s="11">
        <v>98</v>
      </c>
      <c r="E2754" s="11">
        <v>6</v>
      </c>
      <c r="F2754" s="11">
        <v>50</v>
      </c>
      <c r="G2754" s="11">
        <v>61</v>
      </c>
      <c r="H2754" s="13"/>
      <c r="I2754" s="11" t="s">
        <v>13307</v>
      </c>
      <c r="J2754" s="11" t="s">
        <v>13308</v>
      </c>
      <c r="K2754" s="11" t="s">
        <v>13309</v>
      </c>
      <c r="L2754" s="11" t="s">
        <v>13310</v>
      </c>
      <c r="M2754" s="11" t="s">
        <v>13311</v>
      </c>
      <c r="N2754" s="11">
        <v>80</v>
      </c>
      <c r="O2754" s="11">
        <v>192</v>
      </c>
      <c r="P2754" s="11">
        <v>0</v>
      </c>
      <c r="Q2754" s="13"/>
      <c r="R2754" s="14" t="s">
        <v>13312</v>
      </c>
      <c r="S2754" s="11">
        <v>4</v>
      </c>
      <c r="T2754" s="11" t="s">
        <v>2779</v>
      </c>
      <c r="U2754" s="11" t="s">
        <v>7091</v>
      </c>
      <c r="V2754" s="13"/>
      <c r="W2754" s="11">
        <v>15000000</v>
      </c>
      <c r="X2754" s="11">
        <v>2015</v>
      </c>
      <c r="Y2754" s="11">
        <v>57</v>
      </c>
      <c r="Z2754" s="11">
        <v>5.7</v>
      </c>
      <c r="AA2754" s="13"/>
      <c r="AB2754" s="11">
        <v>18</v>
      </c>
      <c r="AC2754" s="11"/>
      <c r="AD2754" s="11" t="str">
        <f>IFERROR(__xludf.DUMMYFUNCTION("""COMPUTED_VALUE"""),"Barry Watson")</f>
        <v>Barry Watson</v>
      </c>
      <c r="AE2754" s="11"/>
    </row>
    <row r="2755" customHeight="1" spans="1:31">
      <c r="A2755" s="16"/>
      <c r="B2755" s="12" t="s">
        <v>13313</v>
      </c>
      <c r="C2755" s="12">
        <v>53</v>
      </c>
      <c r="D2755" s="12">
        <v>119</v>
      </c>
      <c r="E2755" s="12">
        <v>3</v>
      </c>
      <c r="F2755" s="12">
        <v>19</v>
      </c>
      <c r="G2755" s="12">
        <v>556</v>
      </c>
      <c r="H2755" s="16"/>
      <c r="I2755" s="12" t="s">
        <v>464</v>
      </c>
      <c r="J2755" s="12" t="s">
        <v>10315</v>
      </c>
      <c r="K2755" s="12" t="s">
        <v>13052</v>
      </c>
      <c r="L2755" s="12" t="s">
        <v>13314</v>
      </c>
      <c r="M2755" s="12" t="s">
        <v>13315</v>
      </c>
      <c r="N2755" s="12">
        <v>9177</v>
      </c>
      <c r="O2755" s="12">
        <v>996</v>
      </c>
      <c r="P2755" s="12">
        <v>4</v>
      </c>
      <c r="Q2755" s="12" t="s">
        <v>13316</v>
      </c>
      <c r="R2755" s="15" t="s">
        <v>13317</v>
      </c>
      <c r="S2755" s="12">
        <v>53</v>
      </c>
      <c r="T2755" s="12" t="s">
        <v>1947</v>
      </c>
      <c r="U2755" s="12" t="s">
        <v>3860</v>
      </c>
      <c r="V2755" s="12" t="s">
        <v>586</v>
      </c>
      <c r="W2755" s="12">
        <v>15000000</v>
      </c>
      <c r="X2755" s="12">
        <v>2009</v>
      </c>
      <c r="Y2755" s="12">
        <v>353</v>
      </c>
      <c r="Z2755" s="12">
        <v>7.1</v>
      </c>
      <c r="AA2755" s="12">
        <v>2.35</v>
      </c>
      <c r="AB2755" s="12">
        <v>821</v>
      </c>
      <c r="AC2755" s="12"/>
      <c r="AD2755" s="12" t="str">
        <f>IFERROR(__xludf.DUMMYFUNCTION("""COMPUTED_VALUE"""),"Skye McCole Bartusiak")</f>
        <v>Skye McCole Bartusiak</v>
      </c>
      <c r="AE2755" s="12"/>
    </row>
    <row r="2756" customHeight="1" spans="1:31">
      <c r="A2756" s="11" t="s">
        <v>30</v>
      </c>
      <c r="B2756" s="11" t="s">
        <v>13318</v>
      </c>
      <c r="C2756" s="11">
        <v>22</v>
      </c>
      <c r="D2756" s="11">
        <v>124</v>
      </c>
      <c r="E2756" s="11">
        <v>67</v>
      </c>
      <c r="F2756" s="11">
        <v>303</v>
      </c>
      <c r="G2756" s="11">
        <v>631</v>
      </c>
      <c r="H2756" s="13"/>
      <c r="I2756" s="11" t="s">
        <v>1544</v>
      </c>
      <c r="J2756" s="11" t="s">
        <v>75</v>
      </c>
      <c r="K2756" s="11" t="s">
        <v>3448</v>
      </c>
      <c r="L2756" s="11" t="s">
        <v>13319</v>
      </c>
      <c r="M2756" s="11" t="s">
        <v>13320</v>
      </c>
      <c r="N2756" s="11">
        <v>695</v>
      </c>
      <c r="O2756" s="11">
        <v>1585</v>
      </c>
      <c r="P2756" s="11">
        <v>1</v>
      </c>
      <c r="Q2756" s="11" t="s">
        <v>13321</v>
      </c>
      <c r="R2756" s="14" t="s">
        <v>13322</v>
      </c>
      <c r="S2756" s="11">
        <v>32</v>
      </c>
      <c r="T2756" s="11" t="s">
        <v>39</v>
      </c>
      <c r="U2756" s="11" t="s">
        <v>58</v>
      </c>
      <c r="V2756" s="11" t="s">
        <v>41</v>
      </c>
      <c r="W2756" s="11">
        <v>15000000</v>
      </c>
      <c r="X2756" s="11">
        <v>2000</v>
      </c>
      <c r="Y2756" s="11">
        <v>452</v>
      </c>
      <c r="Z2756" s="11">
        <v>6.6</v>
      </c>
      <c r="AA2756" s="13"/>
      <c r="AB2756" s="11">
        <v>277</v>
      </c>
      <c r="AC2756" s="11"/>
      <c r="AD2756" s="11" t="str">
        <f>IFERROR(__xludf.DUMMYFUNCTION("""COMPUTED_VALUE"""),"Charles Mesure")</f>
        <v>Charles Mesure</v>
      </c>
      <c r="AE2756" s="11"/>
    </row>
    <row r="2757" customHeight="1" spans="1:31">
      <c r="A2757" s="12" t="s">
        <v>30</v>
      </c>
      <c r="B2757" s="12" t="s">
        <v>4219</v>
      </c>
      <c r="C2757" s="12">
        <v>147</v>
      </c>
      <c r="D2757" s="12">
        <v>101</v>
      </c>
      <c r="E2757" s="12">
        <v>11000</v>
      </c>
      <c r="F2757" s="12">
        <v>512</v>
      </c>
      <c r="G2757" s="12">
        <v>13000</v>
      </c>
      <c r="H2757" s="12">
        <v>70906973</v>
      </c>
      <c r="I2757" s="12" t="s">
        <v>3632</v>
      </c>
      <c r="J2757" s="12" t="s">
        <v>549</v>
      </c>
      <c r="K2757" s="12" t="s">
        <v>2472</v>
      </c>
      <c r="L2757" s="12" t="s">
        <v>4463</v>
      </c>
      <c r="M2757" s="12" t="s">
        <v>13323</v>
      </c>
      <c r="N2757" s="12">
        <v>437418</v>
      </c>
      <c r="O2757" s="12">
        <v>15500</v>
      </c>
      <c r="P2757" s="12">
        <v>1</v>
      </c>
      <c r="Q2757" s="12" t="s">
        <v>13324</v>
      </c>
      <c r="R2757" s="15" t="s">
        <v>13325</v>
      </c>
      <c r="S2757" s="12">
        <v>609</v>
      </c>
      <c r="T2757" s="12" t="s">
        <v>39</v>
      </c>
      <c r="U2757" s="12" t="s">
        <v>40</v>
      </c>
      <c r="V2757" s="12" t="s">
        <v>96</v>
      </c>
      <c r="W2757" s="12">
        <v>14600000</v>
      </c>
      <c r="X2757" s="12">
        <v>1993</v>
      </c>
      <c r="Y2757" s="12">
        <v>571</v>
      </c>
      <c r="Z2757" s="12">
        <v>8.1</v>
      </c>
      <c r="AA2757" s="12">
        <v>1.85</v>
      </c>
      <c r="AB2757" s="12">
        <v>38000</v>
      </c>
      <c r="AC2757" s="12"/>
      <c r="AD2757" s="12" t="str">
        <f>IFERROR(__xludf.DUMMYFUNCTION("""COMPUTED_VALUE"""),"Marc Macaulay")</f>
        <v>Marc Macaulay</v>
      </c>
      <c r="AE2757" s="12"/>
    </row>
    <row r="2758" customHeight="1" spans="1:31">
      <c r="A2758" s="11" t="s">
        <v>30</v>
      </c>
      <c r="B2758" s="11" t="s">
        <v>13326</v>
      </c>
      <c r="C2758" s="11">
        <v>222</v>
      </c>
      <c r="D2758" s="11">
        <v>115</v>
      </c>
      <c r="E2758" s="11">
        <v>13</v>
      </c>
      <c r="F2758" s="11">
        <v>642</v>
      </c>
      <c r="G2758" s="11">
        <v>20000</v>
      </c>
      <c r="H2758" s="11">
        <v>66009973</v>
      </c>
      <c r="I2758" s="11" t="s">
        <v>5511</v>
      </c>
      <c r="J2758" s="11" t="s">
        <v>4366</v>
      </c>
      <c r="K2758" s="11" t="s">
        <v>445</v>
      </c>
      <c r="L2758" s="11" t="s">
        <v>9445</v>
      </c>
      <c r="M2758" s="11" t="s">
        <v>13327</v>
      </c>
      <c r="N2758" s="11">
        <v>38202</v>
      </c>
      <c r="O2758" s="11">
        <v>38963</v>
      </c>
      <c r="P2758" s="11">
        <v>3</v>
      </c>
      <c r="Q2758" s="11" t="s">
        <v>13328</v>
      </c>
      <c r="R2758" s="14" t="s">
        <v>13329</v>
      </c>
      <c r="S2758" s="11">
        <v>135</v>
      </c>
      <c r="T2758" s="11" t="s">
        <v>39</v>
      </c>
      <c r="U2758" s="11" t="s">
        <v>40</v>
      </c>
      <c r="V2758" s="11" t="s">
        <v>586</v>
      </c>
      <c r="W2758" s="11">
        <v>14800000</v>
      </c>
      <c r="X2758" s="11">
        <v>2015</v>
      </c>
      <c r="Y2758" s="11">
        <v>17000</v>
      </c>
      <c r="Z2758" s="11">
        <v>5.7</v>
      </c>
      <c r="AA2758" s="11">
        <v>2.35</v>
      </c>
      <c r="AB2758" s="11">
        <v>41000</v>
      </c>
      <c r="AC2758" s="11"/>
      <c r="AD2758" s="11" t="str">
        <f>IFERROR(__xludf.DUMMYFUNCTION("""COMPUTED_VALUE"""),"Kath Soucie")</f>
        <v>Kath Soucie</v>
      </c>
      <c r="AE2758" s="11"/>
    </row>
    <row r="2759" customHeight="1" spans="1:31">
      <c r="A2759" s="12" t="s">
        <v>30</v>
      </c>
      <c r="B2759" s="12" t="s">
        <v>365</v>
      </c>
      <c r="C2759" s="12">
        <v>106</v>
      </c>
      <c r="D2759" s="12">
        <v>120</v>
      </c>
      <c r="E2759" s="12">
        <v>1000</v>
      </c>
      <c r="F2759" s="12">
        <v>954</v>
      </c>
      <c r="G2759" s="12">
        <v>29000</v>
      </c>
      <c r="H2759" s="12">
        <v>46338728</v>
      </c>
      <c r="I2759" s="12" t="s">
        <v>214</v>
      </c>
      <c r="J2759" s="12" t="s">
        <v>215</v>
      </c>
      <c r="K2759" s="12" t="s">
        <v>2808</v>
      </c>
      <c r="L2759" s="12" t="s">
        <v>795</v>
      </c>
      <c r="M2759" s="12" t="s">
        <v>13330</v>
      </c>
      <c r="N2759" s="12">
        <v>167750</v>
      </c>
      <c r="O2759" s="12">
        <v>33791</v>
      </c>
      <c r="P2759" s="12">
        <v>2</v>
      </c>
      <c r="Q2759" s="12" t="s">
        <v>13331</v>
      </c>
      <c r="R2759" s="15" t="s">
        <v>13332</v>
      </c>
      <c r="S2759" s="12">
        <v>506</v>
      </c>
      <c r="T2759" s="12" t="s">
        <v>39</v>
      </c>
      <c r="U2759" s="12" t="s">
        <v>40</v>
      </c>
      <c r="V2759" s="12" t="s">
        <v>41</v>
      </c>
      <c r="W2759" s="12">
        <v>14500000</v>
      </c>
      <c r="X2759" s="12">
        <v>1996</v>
      </c>
      <c r="Y2759" s="12">
        <v>1000</v>
      </c>
      <c r="Z2759" s="12">
        <v>6.8</v>
      </c>
      <c r="AA2759" s="12">
        <v>2.35</v>
      </c>
      <c r="AB2759" s="12">
        <v>10000</v>
      </c>
      <c r="AC2759" s="12"/>
      <c r="AD2759" s="12" t="str">
        <f>IFERROR(__xludf.DUMMYFUNCTION("""COMPUTED_VALUE"""),"Ken Sansom")</f>
        <v>Ken Sansom</v>
      </c>
      <c r="AE2759" s="12"/>
    </row>
    <row r="2760" customHeight="1" spans="1:31">
      <c r="A2760" s="11" t="s">
        <v>30</v>
      </c>
      <c r="B2760" s="11" t="s">
        <v>13333</v>
      </c>
      <c r="C2760" s="11">
        <v>136</v>
      </c>
      <c r="D2760" s="11">
        <v>111</v>
      </c>
      <c r="E2760" s="11">
        <v>15</v>
      </c>
      <c r="F2760" s="11">
        <v>121</v>
      </c>
      <c r="G2760" s="11">
        <v>1000</v>
      </c>
      <c r="H2760" s="11">
        <v>7691700</v>
      </c>
      <c r="I2760" s="11" t="s">
        <v>3397</v>
      </c>
      <c r="J2760" s="11" t="s">
        <v>203</v>
      </c>
      <c r="K2760" s="11" t="s">
        <v>6446</v>
      </c>
      <c r="L2760" s="11" t="s">
        <v>13334</v>
      </c>
      <c r="M2760" s="11" t="s">
        <v>13335</v>
      </c>
      <c r="N2760" s="11">
        <v>12937</v>
      </c>
      <c r="O2760" s="11">
        <v>2140</v>
      </c>
      <c r="P2760" s="11">
        <v>2</v>
      </c>
      <c r="Q2760" s="11" t="s">
        <v>13336</v>
      </c>
      <c r="R2760" s="14" t="s">
        <v>13337</v>
      </c>
      <c r="S2760" s="11">
        <v>73</v>
      </c>
      <c r="T2760" s="11" t="s">
        <v>1465</v>
      </c>
      <c r="U2760" s="11" t="s">
        <v>1466</v>
      </c>
      <c r="V2760" s="11" t="s">
        <v>41</v>
      </c>
      <c r="W2760" s="11">
        <v>10000000</v>
      </c>
      <c r="X2760" s="11">
        <v>2010</v>
      </c>
      <c r="Y2760" s="11">
        <v>767</v>
      </c>
      <c r="Z2760" s="11">
        <v>7.5</v>
      </c>
      <c r="AA2760" s="11">
        <v>2.35</v>
      </c>
      <c r="AB2760" s="11">
        <v>0</v>
      </c>
      <c r="AC2760" s="11"/>
      <c r="AD2760" s="11" t="str">
        <f>IFERROR(__xludf.DUMMYFUNCTION("""COMPUTED_VALUE"""),"Aryana Engineer")</f>
        <v>Aryana Engineer</v>
      </c>
      <c r="AE2760" s="11"/>
    </row>
    <row r="2761" customHeight="1" spans="1:31">
      <c r="A2761" s="12" t="s">
        <v>30</v>
      </c>
      <c r="B2761" s="12" t="s">
        <v>13338</v>
      </c>
      <c r="C2761" s="12">
        <v>5</v>
      </c>
      <c r="D2761" s="12">
        <v>94</v>
      </c>
      <c r="E2761" s="12">
        <v>5</v>
      </c>
      <c r="F2761" s="12">
        <v>124</v>
      </c>
      <c r="G2761" s="12">
        <v>467</v>
      </c>
      <c r="H2761" s="16"/>
      <c r="I2761" s="12" t="s">
        <v>13339</v>
      </c>
      <c r="J2761" s="12" t="s">
        <v>13340</v>
      </c>
      <c r="K2761" s="12" t="s">
        <v>4248</v>
      </c>
      <c r="L2761" s="12" t="s">
        <v>13341</v>
      </c>
      <c r="M2761" s="12" t="s">
        <v>13342</v>
      </c>
      <c r="N2761" s="12">
        <v>993</v>
      </c>
      <c r="O2761" s="12">
        <v>994</v>
      </c>
      <c r="P2761" s="12">
        <v>2</v>
      </c>
      <c r="Q2761" s="12" t="s">
        <v>13343</v>
      </c>
      <c r="R2761" s="15" t="s">
        <v>13344</v>
      </c>
      <c r="S2761" s="12">
        <v>13</v>
      </c>
      <c r="T2761" s="12" t="s">
        <v>39</v>
      </c>
      <c r="U2761" s="12" t="s">
        <v>40</v>
      </c>
      <c r="V2761" s="12" t="s">
        <v>586</v>
      </c>
      <c r="W2761" s="12">
        <v>14500000</v>
      </c>
      <c r="X2761" s="12">
        <v>2014</v>
      </c>
      <c r="Y2761" s="12">
        <v>220</v>
      </c>
      <c r="Z2761" s="12">
        <v>6.2</v>
      </c>
      <c r="AA2761" s="16"/>
      <c r="AB2761" s="12">
        <v>998</v>
      </c>
      <c r="AC2761" s="12"/>
      <c r="AD2761" s="12" t="str">
        <f>IFERROR(__xludf.DUMMYFUNCTION("""COMPUTED_VALUE"""),"Joseph Julian Soria")</f>
        <v>Joseph Julian Soria</v>
      </c>
      <c r="AE2761" s="12"/>
    </row>
    <row r="2762" customHeight="1" spans="1:31">
      <c r="A2762" s="11" t="s">
        <v>30</v>
      </c>
      <c r="B2762" s="11" t="s">
        <v>3695</v>
      </c>
      <c r="C2762" s="11">
        <v>131</v>
      </c>
      <c r="D2762" s="11">
        <v>131</v>
      </c>
      <c r="E2762" s="11">
        <v>16000</v>
      </c>
      <c r="F2762" s="11">
        <v>638</v>
      </c>
      <c r="G2762" s="11">
        <v>16000</v>
      </c>
      <c r="H2762" s="11">
        <v>101157447</v>
      </c>
      <c r="I2762" s="11" t="s">
        <v>1766</v>
      </c>
      <c r="J2762" s="11" t="s">
        <v>3695</v>
      </c>
      <c r="K2762" s="11" t="s">
        <v>466</v>
      </c>
      <c r="L2762" s="11" t="s">
        <v>3224</v>
      </c>
      <c r="M2762" s="11" t="s">
        <v>13345</v>
      </c>
      <c r="N2762" s="11">
        <v>277505</v>
      </c>
      <c r="O2762" s="11">
        <v>28544</v>
      </c>
      <c r="P2762" s="11">
        <v>1</v>
      </c>
      <c r="Q2762" s="11" t="s">
        <v>13346</v>
      </c>
      <c r="R2762" s="14" t="s">
        <v>13347</v>
      </c>
      <c r="S2762" s="11">
        <v>495</v>
      </c>
      <c r="T2762" s="11" t="s">
        <v>39</v>
      </c>
      <c r="U2762" s="11" t="s">
        <v>40</v>
      </c>
      <c r="V2762" s="11" t="s">
        <v>586</v>
      </c>
      <c r="W2762" s="11">
        <v>14400000</v>
      </c>
      <c r="X2762" s="11">
        <v>1992</v>
      </c>
      <c r="Y2762" s="11">
        <v>11000</v>
      </c>
      <c r="Z2762" s="11">
        <v>8.3</v>
      </c>
      <c r="AA2762" s="11">
        <v>2.35</v>
      </c>
      <c r="AB2762" s="11">
        <v>10000</v>
      </c>
      <c r="AC2762" s="11"/>
      <c r="AD2762" s="11" t="str">
        <f>IFERROR(__xludf.DUMMYFUNCTION("""COMPUTED_VALUE"""),"Lamman Rucker")</f>
        <v>Lamman Rucker</v>
      </c>
      <c r="AE2762" s="11"/>
    </row>
    <row r="2763" customHeight="1" spans="1:31">
      <c r="A2763" s="12" t="s">
        <v>30</v>
      </c>
      <c r="B2763" s="12" t="s">
        <v>13348</v>
      </c>
      <c r="C2763" s="12">
        <v>140</v>
      </c>
      <c r="D2763" s="12">
        <v>139</v>
      </c>
      <c r="E2763" s="12">
        <v>3000</v>
      </c>
      <c r="F2763" s="12">
        <v>236</v>
      </c>
      <c r="G2763" s="12">
        <v>3000</v>
      </c>
      <c r="H2763" s="12">
        <v>74205</v>
      </c>
      <c r="I2763" s="12" t="s">
        <v>3410</v>
      </c>
      <c r="J2763" s="12" t="s">
        <v>235</v>
      </c>
      <c r="K2763" s="12" t="s">
        <v>13349</v>
      </c>
      <c r="L2763" s="12" t="s">
        <v>13350</v>
      </c>
      <c r="M2763" s="12" t="s">
        <v>13351</v>
      </c>
      <c r="N2763" s="12">
        <v>18646</v>
      </c>
      <c r="O2763" s="12">
        <v>4211</v>
      </c>
      <c r="P2763" s="12">
        <v>1</v>
      </c>
      <c r="Q2763" s="12" t="s">
        <v>13352</v>
      </c>
      <c r="R2763" s="15" t="s">
        <v>13353</v>
      </c>
      <c r="S2763" s="12">
        <v>81</v>
      </c>
      <c r="T2763" s="12" t="s">
        <v>39</v>
      </c>
      <c r="U2763" s="12" t="s">
        <v>7712</v>
      </c>
      <c r="V2763" s="12" t="s">
        <v>4831</v>
      </c>
      <c r="W2763" s="12">
        <v>14200000</v>
      </c>
      <c r="X2763" s="12">
        <v>2005</v>
      </c>
      <c r="Y2763" s="12">
        <v>769</v>
      </c>
      <c r="Z2763" s="12">
        <v>7.4</v>
      </c>
      <c r="AA2763" s="12">
        <v>2.35</v>
      </c>
      <c r="AB2763" s="12">
        <v>1000</v>
      </c>
      <c r="AC2763" s="12"/>
      <c r="AD2763" s="12" t="str">
        <f>IFERROR(__xludf.DUMMYFUNCTION("""COMPUTED_VALUE"""),"David Mann")</f>
        <v>David Mann</v>
      </c>
      <c r="AE2763" s="12"/>
    </row>
    <row r="2764" customHeight="1" spans="1:31">
      <c r="A2764" s="11" t="s">
        <v>30</v>
      </c>
      <c r="B2764" s="11" t="s">
        <v>5290</v>
      </c>
      <c r="C2764" s="11">
        <v>418</v>
      </c>
      <c r="D2764" s="11">
        <v>120</v>
      </c>
      <c r="E2764" s="11">
        <v>0</v>
      </c>
      <c r="F2764" s="11">
        <v>40</v>
      </c>
      <c r="G2764" s="11">
        <v>668</v>
      </c>
      <c r="H2764" s="11">
        <v>141319195</v>
      </c>
      <c r="I2764" s="11" t="s">
        <v>214</v>
      </c>
      <c r="J2764" s="11" t="s">
        <v>13354</v>
      </c>
      <c r="K2764" s="11" t="s">
        <v>13355</v>
      </c>
      <c r="L2764" s="11" t="s">
        <v>13356</v>
      </c>
      <c r="M2764" s="11" t="s">
        <v>13357</v>
      </c>
      <c r="N2764" s="11">
        <v>641997</v>
      </c>
      <c r="O2764" s="11">
        <v>820</v>
      </c>
      <c r="P2764" s="11">
        <v>0</v>
      </c>
      <c r="Q2764" s="11" t="s">
        <v>13358</v>
      </c>
      <c r="R2764" s="14" t="s">
        <v>13359</v>
      </c>
      <c r="S2764" s="11">
        <v>1017</v>
      </c>
      <c r="T2764" s="11" t="s">
        <v>39</v>
      </c>
      <c r="U2764" s="11" t="s">
        <v>58</v>
      </c>
      <c r="V2764" s="11" t="s">
        <v>586</v>
      </c>
      <c r="W2764" s="11">
        <v>15000000</v>
      </c>
      <c r="X2764" s="11">
        <v>2008</v>
      </c>
      <c r="Y2764" s="11">
        <v>56</v>
      </c>
      <c r="Z2764" s="11">
        <v>8</v>
      </c>
      <c r="AA2764" s="11">
        <v>2.35</v>
      </c>
      <c r="AB2764" s="11">
        <v>13000</v>
      </c>
      <c r="AC2764" s="11"/>
      <c r="AD2764" s="11" t="str">
        <f>IFERROR(__xludf.DUMMYFUNCTION("""COMPUTED_VALUE"""),"Denise Boutte")</f>
        <v>Denise Boutte</v>
      </c>
      <c r="AE2764" s="11"/>
    </row>
    <row r="2765" customHeight="1" spans="1:31">
      <c r="A2765" s="12" t="s">
        <v>30</v>
      </c>
      <c r="B2765" s="12" t="s">
        <v>5176</v>
      </c>
      <c r="C2765" s="12">
        <v>94</v>
      </c>
      <c r="D2765" s="12">
        <v>119</v>
      </c>
      <c r="E2765" s="12">
        <v>213</v>
      </c>
      <c r="F2765" s="12">
        <v>249</v>
      </c>
      <c r="G2765" s="12">
        <v>886</v>
      </c>
      <c r="H2765" s="12">
        <v>156645693</v>
      </c>
      <c r="I2765" s="12" t="s">
        <v>8921</v>
      </c>
      <c r="J2765" s="12" t="s">
        <v>5581</v>
      </c>
      <c r="K2765" s="12" t="s">
        <v>13360</v>
      </c>
      <c r="L2765" s="12" t="s">
        <v>6639</v>
      </c>
      <c r="M2765" s="12" t="s">
        <v>13361</v>
      </c>
      <c r="N2765" s="12">
        <v>55101</v>
      </c>
      <c r="O2765" s="12">
        <v>1639</v>
      </c>
      <c r="P2765" s="12">
        <v>0</v>
      </c>
      <c r="Q2765" s="12" t="s">
        <v>13362</v>
      </c>
      <c r="R2765" s="15" t="s">
        <v>13363</v>
      </c>
      <c r="S2765" s="12">
        <v>201</v>
      </c>
      <c r="T2765" s="12" t="s">
        <v>39</v>
      </c>
      <c r="U2765" s="12" t="s">
        <v>40</v>
      </c>
      <c r="V2765" s="12" t="s">
        <v>586</v>
      </c>
      <c r="W2765" s="12">
        <v>14000000</v>
      </c>
      <c r="X2765" s="12">
        <v>1987</v>
      </c>
      <c r="Y2765" s="12">
        <v>276</v>
      </c>
      <c r="Z2765" s="12">
        <v>6.9</v>
      </c>
      <c r="AA2765" s="12">
        <v>1.85</v>
      </c>
      <c r="AB2765" s="12">
        <v>3000</v>
      </c>
      <c r="AC2765" s="12"/>
      <c r="AD2765" s="12" t="str">
        <f>IFERROR(__xludf.DUMMYFUNCTION("""COMPUTED_VALUE"""),"Jamey Sheridan")</f>
        <v>Jamey Sheridan</v>
      </c>
      <c r="AE2765" s="12"/>
    </row>
    <row r="2766" customHeight="1" spans="1:31">
      <c r="A2766" s="11" t="s">
        <v>30</v>
      </c>
      <c r="B2766" s="11" t="s">
        <v>3304</v>
      </c>
      <c r="C2766" s="11">
        <v>82</v>
      </c>
      <c r="D2766" s="11">
        <v>125</v>
      </c>
      <c r="E2766" s="11">
        <v>0</v>
      </c>
      <c r="F2766" s="11">
        <v>700</v>
      </c>
      <c r="G2766" s="11">
        <v>8000</v>
      </c>
      <c r="H2766" s="11">
        <v>178406268</v>
      </c>
      <c r="I2766" s="11" t="s">
        <v>1681</v>
      </c>
      <c r="J2766" s="11" t="s">
        <v>1529</v>
      </c>
      <c r="K2766" s="11" t="s">
        <v>3305</v>
      </c>
      <c r="L2766" s="11" t="s">
        <v>1772</v>
      </c>
      <c r="M2766" s="11" t="s">
        <v>13364</v>
      </c>
      <c r="N2766" s="11">
        <v>213476</v>
      </c>
      <c r="O2766" s="11">
        <v>11135</v>
      </c>
      <c r="P2766" s="11">
        <v>2</v>
      </c>
      <c r="Q2766" s="11" t="s">
        <v>13365</v>
      </c>
      <c r="R2766" s="14" t="s">
        <v>13366</v>
      </c>
      <c r="S2766" s="11">
        <v>271</v>
      </c>
      <c r="T2766" s="11" t="s">
        <v>39</v>
      </c>
      <c r="U2766" s="11" t="s">
        <v>40</v>
      </c>
      <c r="V2766" s="11" t="s">
        <v>586</v>
      </c>
      <c r="W2766" s="11">
        <v>14000000</v>
      </c>
      <c r="X2766" s="11">
        <v>1990</v>
      </c>
      <c r="Y2766" s="11">
        <v>995</v>
      </c>
      <c r="Z2766" s="11">
        <v>6.9</v>
      </c>
      <c r="AA2766" s="11">
        <v>1.85</v>
      </c>
      <c r="AB2766" s="11">
        <v>11000</v>
      </c>
      <c r="AC2766" s="11"/>
      <c r="AD2766" s="11" t="str">
        <f>IFERROR(__xludf.DUMMYFUNCTION("""COMPUTED_VALUE"""),"Brian d'Arcy James")</f>
        <v>Brian d'Arcy James</v>
      </c>
      <c r="AE2766" s="11"/>
    </row>
    <row r="2767" customHeight="1" spans="1:31">
      <c r="A2767" s="12" t="s">
        <v>30</v>
      </c>
      <c r="B2767" s="12" t="s">
        <v>13367</v>
      </c>
      <c r="C2767" s="16"/>
      <c r="D2767" s="12">
        <v>65</v>
      </c>
      <c r="E2767" s="12">
        <v>0</v>
      </c>
      <c r="F2767" s="12">
        <v>176</v>
      </c>
      <c r="G2767" s="12">
        <v>770</v>
      </c>
      <c r="H2767" s="16"/>
      <c r="I2767" s="12" t="s">
        <v>1672</v>
      </c>
      <c r="J2767" s="12" t="s">
        <v>959</v>
      </c>
      <c r="K2767" s="12" t="s">
        <v>8003</v>
      </c>
      <c r="L2767" s="12" t="s">
        <v>13368</v>
      </c>
      <c r="M2767" s="12" t="s">
        <v>13369</v>
      </c>
      <c r="N2767" s="12">
        <v>10</v>
      </c>
      <c r="O2767" s="12">
        <v>1125</v>
      </c>
      <c r="P2767" s="12">
        <v>2</v>
      </c>
      <c r="Q2767" s="16"/>
      <c r="R2767" s="15" t="s">
        <v>13370</v>
      </c>
      <c r="S2767" s="16"/>
      <c r="T2767" s="12" t="s">
        <v>39</v>
      </c>
      <c r="U2767" s="12" t="s">
        <v>269</v>
      </c>
      <c r="V2767" s="16"/>
      <c r="W2767" s="16"/>
      <c r="X2767" s="16"/>
      <c r="Y2767" s="12">
        <v>179</v>
      </c>
      <c r="Z2767" s="12">
        <v>9.5</v>
      </c>
      <c r="AA2767" s="12">
        <v>1.33</v>
      </c>
      <c r="AB2767" s="12">
        <v>0</v>
      </c>
      <c r="AC2767" s="12"/>
      <c r="AD2767" s="12" t="str">
        <f>IFERROR(__xludf.DUMMYFUNCTION("""COMPUTED_VALUE"""),"Richard Lawson")</f>
        <v>Richard Lawson</v>
      </c>
      <c r="AE2767" s="12"/>
    </row>
    <row r="2768" customHeight="1" spans="1:31">
      <c r="A2768" s="11" t="s">
        <v>30</v>
      </c>
      <c r="B2768" s="11" t="s">
        <v>13371</v>
      </c>
      <c r="C2768" s="11">
        <v>32</v>
      </c>
      <c r="D2768" s="11">
        <v>108</v>
      </c>
      <c r="E2768" s="11">
        <v>5</v>
      </c>
      <c r="F2768" s="11">
        <v>57</v>
      </c>
      <c r="G2768" s="11">
        <v>442</v>
      </c>
      <c r="H2768" s="11">
        <v>109306210</v>
      </c>
      <c r="I2768" s="11" t="s">
        <v>1629</v>
      </c>
      <c r="J2768" s="11" t="s">
        <v>9354</v>
      </c>
      <c r="K2768" s="11" t="s">
        <v>9699</v>
      </c>
      <c r="L2768" s="11" t="s">
        <v>13372</v>
      </c>
      <c r="M2768" s="11" t="s">
        <v>13373</v>
      </c>
      <c r="N2768" s="11">
        <v>44096</v>
      </c>
      <c r="O2768" s="11">
        <v>717</v>
      </c>
      <c r="P2768" s="11">
        <v>1</v>
      </c>
      <c r="Q2768" s="11" t="s">
        <v>13374</v>
      </c>
      <c r="R2768" s="14" t="s">
        <v>13375</v>
      </c>
      <c r="S2768" s="11">
        <v>62</v>
      </c>
      <c r="T2768" s="11" t="s">
        <v>39</v>
      </c>
      <c r="U2768" s="11" t="s">
        <v>371</v>
      </c>
      <c r="V2768" s="11" t="s">
        <v>96</v>
      </c>
      <c r="W2768" s="11">
        <v>15800000</v>
      </c>
      <c r="X2768" s="11">
        <v>1988</v>
      </c>
      <c r="Y2768" s="11">
        <v>162</v>
      </c>
      <c r="Z2768" s="11">
        <v>5.5</v>
      </c>
      <c r="AA2768" s="11">
        <v>2.35</v>
      </c>
      <c r="AB2768" s="11">
        <v>489</v>
      </c>
      <c r="AC2768" s="11"/>
      <c r="AD2768" s="11" t="str">
        <f>IFERROR(__xludf.DUMMYFUNCTION("""COMPUTED_VALUE"""),"Alex Winter")</f>
        <v>Alex Winter</v>
      </c>
      <c r="AE2768" s="11"/>
    </row>
    <row r="2769" customHeight="1" spans="1:31">
      <c r="A2769" s="12" t="s">
        <v>30</v>
      </c>
      <c r="B2769" s="12" t="s">
        <v>13376</v>
      </c>
      <c r="C2769" s="12">
        <v>22</v>
      </c>
      <c r="D2769" s="12">
        <v>101</v>
      </c>
      <c r="E2769" s="12">
        <v>34</v>
      </c>
      <c r="F2769" s="12">
        <v>277</v>
      </c>
      <c r="G2769" s="12">
        <v>892</v>
      </c>
      <c r="H2769" s="16"/>
      <c r="I2769" s="12" t="s">
        <v>1120</v>
      </c>
      <c r="J2769" s="12" t="s">
        <v>1024</v>
      </c>
      <c r="K2769" s="12" t="s">
        <v>9823</v>
      </c>
      <c r="L2769" s="12" t="s">
        <v>13377</v>
      </c>
      <c r="M2769" s="12" t="s">
        <v>13378</v>
      </c>
      <c r="N2769" s="12">
        <v>1554</v>
      </c>
      <c r="O2769" s="12">
        <v>2055</v>
      </c>
      <c r="P2769" s="12">
        <v>0</v>
      </c>
      <c r="Q2769" s="16"/>
      <c r="R2769" s="15" t="s">
        <v>13379</v>
      </c>
      <c r="S2769" s="12">
        <v>20</v>
      </c>
      <c r="T2769" s="12" t="s">
        <v>39</v>
      </c>
      <c r="U2769" s="12" t="s">
        <v>40</v>
      </c>
      <c r="V2769" s="12" t="s">
        <v>586</v>
      </c>
      <c r="W2769" s="12">
        <v>15000000</v>
      </c>
      <c r="X2769" s="12">
        <v>2015</v>
      </c>
      <c r="Y2769" s="12">
        <v>355</v>
      </c>
      <c r="Z2769" s="12">
        <v>5.7</v>
      </c>
      <c r="AA2769" s="12">
        <v>2.35</v>
      </c>
      <c r="AB2769" s="12">
        <v>0</v>
      </c>
      <c r="AC2769" s="12"/>
      <c r="AD2769" s="12" t="str">
        <f>IFERROR(__xludf.DUMMYFUNCTION("""COMPUTED_VALUE"""),"Maximilian Schell")</f>
        <v>Maximilian Schell</v>
      </c>
      <c r="AE2769" s="12"/>
    </row>
    <row r="2770" customHeight="1" spans="1:31">
      <c r="A2770" s="11" t="s">
        <v>30</v>
      </c>
      <c r="B2770" s="11" t="s">
        <v>761</v>
      </c>
      <c r="C2770" s="11">
        <v>72</v>
      </c>
      <c r="D2770" s="11">
        <v>145</v>
      </c>
      <c r="E2770" s="11">
        <v>0</v>
      </c>
      <c r="F2770" s="11">
        <v>560</v>
      </c>
      <c r="G2770" s="11">
        <v>10000</v>
      </c>
      <c r="H2770" s="11">
        <v>70001698</v>
      </c>
      <c r="I2770" s="11" t="s">
        <v>7250</v>
      </c>
      <c r="J2770" s="11" t="s">
        <v>523</v>
      </c>
      <c r="K2770" s="11" t="s">
        <v>4834</v>
      </c>
      <c r="L2770" s="11" t="s">
        <v>8531</v>
      </c>
      <c r="M2770" s="11" t="s">
        <v>13380</v>
      </c>
      <c r="N2770" s="11">
        <v>76842</v>
      </c>
      <c r="O2770" s="11">
        <v>12098</v>
      </c>
      <c r="P2770" s="11">
        <v>0</v>
      </c>
      <c r="Q2770" s="11" t="s">
        <v>13381</v>
      </c>
      <c r="R2770" s="14" t="s">
        <v>13382</v>
      </c>
      <c r="S2770" s="11">
        <v>173</v>
      </c>
      <c r="T2770" s="11" t="s">
        <v>39</v>
      </c>
      <c r="U2770" s="11" t="s">
        <v>40</v>
      </c>
      <c r="V2770" s="11" t="s">
        <v>586</v>
      </c>
      <c r="W2770" s="11">
        <v>14000000</v>
      </c>
      <c r="X2770" s="11">
        <v>1989</v>
      </c>
      <c r="Y2770" s="11">
        <v>854</v>
      </c>
      <c r="Z2770" s="11">
        <v>7.2</v>
      </c>
      <c r="AA2770" s="11">
        <v>2.35</v>
      </c>
      <c r="AB2770" s="11">
        <v>4000</v>
      </c>
      <c r="AC2770" s="11"/>
      <c r="AD2770" s="11" t="str">
        <f>IFERROR(__xludf.DUMMYFUNCTION("""COMPUTED_VALUE"""),"Yvette Mimieux")</f>
        <v>Yvette Mimieux</v>
      </c>
      <c r="AE2770" s="11"/>
    </row>
    <row r="2771" customHeight="1" spans="1:31">
      <c r="A2771" s="12" t="s">
        <v>748</v>
      </c>
      <c r="B2771" s="12" t="s">
        <v>704</v>
      </c>
      <c r="C2771" s="12">
        <v>39</v>
      </c>
      <c r="D2771" s="12">
        <v>98</v>
      </c>
      <c r="E2771" s="12">
        <v>226</v>
      </c>
      <c r="F2771" s="12">
        <v>496</v>
      </c>
      <c r="G2771" s="12">
        <v>953</v>
      </c>
      <c r="H2771" s="12">
        <v>68856263</v>
      </c>
      <c r="I2771" s="12" t="s">
        <v>7898</v>
      </c>
      <c r="J2771" s="12" t="s">
        <v>8537</v>
      </c>
      <c r="K2771" s="12" t="s">
        <v>3701</v>
      </c>
      <c r="L2771" s="12" t="s">
        <v>13383</v>
      </c>
      <c r="M2771" s="12" t="s">
        <v>13384</v>
      </c>
      <c r="N2771" s="12">
        <v>69733</v>
      </c>
      <c r="O2771" s="12">
        <v>2496</v>
      </c>
      <c r="P2771" s="12">
        <v>1</v>
      </c>
      <c r="Q2771" s="12" t="s">
        <v>13385</v>
      </c>
      <c r="R2771" s="15" t="s">
        <v>13386</v>
      </c>
      <c r="S2771" s="12">
        <v>97</v>
      </c>
      <c r="T2771" s="12" t="s">
        <v>39</v>
      </c>
      <c r="U2771" s="12" t="s">
        <v>40</v>
      </c>
      <c r="V2771" s="12" t="s">
        <v>96</v>
      </c>
      <c r="W2771" s="12">
        <v>15000000</v>
      </c>
      <c r="X2771" s="12">
        <v>1993</v>
      </c>
      <c r="Y2771" s="12">
        <v>730</v>
      </c>
      <c r="Z2771" s="12">
        <v>6.9</v>
      </c>
      <c r="AA2771" s="12">
        <v>1.85</v>
      </c>
      <c r="AB2771" s="12">
        <v>0</v>
      </c>
      <c r="AC2771" s="12"/>
      <c r="AD2771" s="12" t="str">
        <f>IFERROR(__xludf.DUMMYFUNCTION("""COMPUTED_VALUE"""),"Violante Placido")</f>
        <v>Violante Placido</v>
      </c>
      <c r="AE2771" s="12"/>
    </row>
    <row r="2772" customHeight="1" spans="1:31">
      <c r="A2772" s="11" t="s">
        <v>30</v>
      </c>
      <c r="B2772" s="11" t="s">
        <v>5487</v>
      </c>
      <c r="C2772" s="11">
        <v>264</v>
      </c>
      <c r="D2772" s="11">
        <v>101</v>
      </c>
      <c r="E2772" s="11">
        <v>71</v>
      </c>
      <c r="F2772" s="11">
        <v>725</v>
      </c>
      <c r="G2772" s="11">
        <v>10000</v>
      </c>
      <c r="H2772" s="11">
        <v>51527787</v>
      </c>
      <c r="I2772" s="11" t="s">
        <v>5544</v>
      </c>
      <c r="J2772" s="11" t="s">
        <v>13387</v>
      </c>
      <c r="K2772" s="11" t="s">
        <v>751</v>
      </c>
      <c r="L2772" s="11" t="s">
        <v>11256</v>
      </c>
      <c r="M2772" s="11" t="s">
        <v>13388</v>
      </c>
      <c r="N2772" s="11">
        <v>45603</v>
      </c>
      <c r="O2772" s="11">
        <v>14159</v>
      </c>
      <c r="P2772" s="11">
        <v>0</v>
      </c>
      <c r="Q2772" s="11" t="s">
        <v>13389</v>
      </c>
      <c r="R2772" s="14" t="s">
        <v>13390</v>
      </c>
      <c r="S2772" s="11">
        <v>268</v>
      </c>
      <c r="T2772" s="11" t="s">
        <v>39</v>
      </c>
      <c r="U2772" s="11" t="s">
        <v>40</v>
      </c>
      <c r="V2772" s="11" t="s">
        <v>586</v>
      </c>
      <c r="W2772" s="11">
        <v>15000000</v>
      </c>
      <c r="X2772" s="11">
        <v>2009</v>
      </c>
      <c r="Y2772" s="11">
        <v>960</v>
      </c>
      <c r="Z2772" s="11">
        <v>5.5</v>
      </c>
      <c r="AA2772" s="11">
        <v>1.85</v>
      </c>
      <c r="AB2772" s="11">
        <v>0</v>
      </c>
      <c r="AC2772" s="11"/>
      <c r="AD2772" s="11" t="str">
        <f>IFERROR(__xludf.DUMMYFUNCTION("""COMPUTED_VALUE"""),"Thekla Reuten")</f>
        <v>Thekla Reuten</v>
      </c>
      <c r="AE2772" s="11"/>
    </row>
    <row r="2773" customHeight="1" spans="1:31">
      <c r="A2773" s="12" t="s">
        <v>30</v>
      </c>
      <c r="B2773" s="12" t="s">
        <v>9922</v>
      </c>
      <c r="C2773" s="12">
        <v>264</v>
      </c>
      <c r="D2773" s="12">
        <v>92</v>
      </c>
      <c r="E2773" s="12">
        <v>30</v>
      </c>
      <c r="F2773" s="12">
        <v>309</v>
      </c>
      <c r="G2773" s="12">
        <v>941</v>
      </c>
      <c r="H2773" s="12">
        <v>49122319</v>
      </c>
      <c r="I2773" s="12" t="s">
        <v>5544</v>
      </c>
      <c r="J2773" s="12" t="s">
        <v>7893</v>
      </c>
      <c r="K2773" s="12" t="s">
        <v>9923</v>
      </c>
      <c r="L2773" s="12" t="s">
        <v>9924</v>
      </c>
      <c r="M2773" s="12" t="s">
        <v>9925</v>
      </c>
      <c r="N2773" s="12">
        <v>47169</v>
      </c>
      <c r="O2773" s="12">
        <v>2348</v>
      </c>
      <c r="P2773" s="12">
        <v>0</v>
      </c>
      <c r="Q2773" s="12" t="s">
        <v>9926</v>
      </c>
      <c r="R2773" s="15" t="s">
        <v>9927</v>
      </c>
      <c r="S2773" s="12">
        <v>162</v>
      </c>
      <c r="T2773" s="12" t="s">
        <v>39</v>
      </c>
      <c r="U2773" s="12" t="s">
        <v>40</v>
      </c>
      <c r="V2773" s="12" t="s">
        <v>41</v>
      </c>
      <c r="W2773" s="12">
        <v>14000000</v>
      </c>
      <c r="X2773" s="12">
        <v>2012</v>
      </c>
      <c r="Y2773" s="12">
        <v>459</v>
      </c>
      <c r="Z2773" s="12">
        <v>5.9</v>
      </c>
      <c r="AA2773" s="12">
        <v>2.35</v>
      </c>
      <c r="AB2773" s="12">
        <v>17000</v>
      </c>
      <c r="AC2773" s="12"/>
      <c r="AD2773" s="12" t="str">
        <f>IFERROR(__xludf.DUMMYFUNCTION("""COMPUTED_VALUE"""),"Filippo Timi")</f>
        <v>Filippo Timi</v>
      </c>
      <c r="AE2773" s="12"/>
    </row>
    <row r="2774" customHeight="1" spans="1:31">
      <c r="A2774" s="11" t="s">
        <v>30</v>
      </c>
      <c r="B2774" s="11" t="s">
        <v>5631</v>
      </c>
      <c r="C2774" s="11">
        <v>145</v>
      </c>
      <c r="D2774" s="11">
        <v>93</v>
      </c>
      <c r="E2774" s="11">
        <v>270</v>
      </c>
      <c r="F2774" s="11">
        <v>535</v>
      </c>
      <c r="G2774" s="11">
        <v>13000</v>
      </c>
      <c r="H2774" s="13"/>
      <c r="I2774" s="11" t="s">
        <v>1023</v>
      </c>
      <c r="J2774" s="11" t="s">
        <v>1785</v>
      </c>
      <c r="K2774" s="11" t="s">
        <v>795</v>
      </c>
      <c r="L2774" s="11" t="s">
        <v>4604</v>
      </c>
      <c r="M2774" s="11" t="s">
        <v>5632</v>
      </c>
      <c r="N2774" s="11">
        <v>172493</v>
      </c>
      <c r="O2774" s="11">
        <v>15192</v>
      </c>
      <c r="P2774" s="11">
        <v>1</v>
      </c>
      <c r="Q2774" s="11" t="s">
        <v>5633</v>
      </c>
      <c r="R2774" s="14" t="s">
        <v>5634</v>
      </c>
      <c r="S2774" s="11">
        <v>376</v>
      </c>
      <c r="T2774" s="11" t="s">
        <v>39</v>
      </c>
      <c r="U2774" s="11" t="s">
        <v>40</v>
      </c>
      <c r="V2774" s="11" t="s">
        <v>586</v>
      </c>
      <c r="W2774" s="11">
        <v>14000000</v>
      </c>
      <c r="X2774" s="11">
        <v>1982</v>
      </c>
      <c r="Y2774" s="11">
        <v>954</v>
      </c>
      <c r="Z2774" s="11">
        <v>7.7</v>
      </c>
      <c r="AA2774" s="11">
        <v>2.35</v>
      </c>
      <c r="AB2774" s="11">
        <v>0</v>
      </c>
      <c r="AC2774" s="11"/>
      <c r="AD2774" s="11" t="str">
        <f>IFERROR(__xludf.DUMMYFUNCTION("""COMPUTED_VALUE"""),"Dave Foley")</f>
        <v>Dave Foley</v>
      </c>
      <c r="AE2774" s="11"/>
    </row>
    <row r="2775" customHeight="1" spans="1:31">
      <c r="A2775" s="12" t="s">
        <v>30</v>
      </c>
      <c r="B2775" s="12" t="s">
        <v>9749</v>
      </c>
      <c r="C2775" s="12">
        <v>86</v>
      </c>
      <c r="D2775" s="12">
        <v>109</v>
      </c>
      <c r="E2775" s="12">
        <v>41</v>
      </c>
      <c r="F2775" s="12">
        <v>748</v>
      </c>
      <c r="G2775" s="12">
        <v>997</v>
      </c>
      <c r="H2775" s="12">
        <v>61356221</v>
      </c>
      <c r="I2775" s="12" t="s">
        <v>7837</v>
      </c>
      <c r="J2775" s="12" t="s">
        <v>11301</v>
      </c>
      <c r="K2775" s="12" t="s">
        <v>5953</v>
      </c>
      <c r="L2775" s="12" t="s">
        <v>143</v>
      </c>
      <c r="M2775" s="12" t="s">
        <v>13391</v>
      </c>
      <c r="N2775" s="12">
        <v>19505</v>
      </c>
      <c r="O2775" s="12">
        <v>3544</v>
      </c>
      <c r="P2775" s="12">
        <v>0</v>
      </c>
      <c r="Q2775" s="12" t="s">
        <v>13392</v>
      </c>
      <c r="R2775" s="15" t="s">
        <v>13393</v>
      </c>
      <c r="S2775" s="12">
        <v>162</v>
      </c>
      <c r="T2775" s="12" t="s">
        <v>39</v>
      </c>
      <c r="U2775" s="12" t="s">
        <v>40</v>
      </c>
      <c r="V2775" s="12" t="s">
        <v>41</v>
      </c>
      <c r="W2775" s="12">
        <v>14000000</v>
      </c>
      <c r="X2775" s="12">
        <v>2007</v>
      </c>
      <c r="Y2775" s="12">
        <v>826</v>
      </c>
      <c r="Z2775" s="12">
        <v>5.2</v>
      </c>
      <c r="AA2775" s="12">
        <v>2.35</v>
      </c>
      <c r="AB2775" s="12">
        <v>0</v>
      </c>
      <c r="AC2775" s="12"/>
      <c r="AD2775" s="12" t="str">
        <f>IFERROR(__xludf.DUMMYFUNCTION("""COMPUTED_VALUE"""),"Anneliese van der Pol")</f>
        <v>Anneliese van der Pol</v>
      </c>
      <c r="AE2775" s="12"/>
    </row>
    <row r="2776" customHeight="1" spans="1:31">
      <c r="A2776" s="11" t="s">
        <v>30</v>
      </c>
      <c r="B2776" s="11" t="s">
        <v>8053</v>
      </c>
      <c r="C2776" s="11">
        <v>112</v>
      </c>
      <c r="D2776" s="11">
        <v>123</v>
      </c>
      <c r="E2776" s="11">
        <v>43</v>
      </c>
      <c r="F2776" s="11">
        <v>238</v>
      </c>
      <c r="G2776" s="11">
        <v>456</v>
      </c>
      <c r="H2776" s="11">
        <v>46800000</v>
      </c>
      <c r="I2776" s="11" t="s">
        <v>227</v>
      </c>
      <c r="J2776" s="11" t="s">
        <v>13394</v>
      </c>
      <c r="K2776" s="11" t="s">
        <v>1093</v>
      </c>
      <c r="L2776" s="11" t="s">
        <v>13395</v>
      </c>
      <c r="M2776" s="11" t="s">
        <v>13396</v>
      </c>
      <c r="N2776" s="11">
        <v>76477</v>
      </c>
      <c r="O2776" s="11">
        <v>1326</v>
      </c>
      <c r="P2776" s="11">
        <v>2</v>
      </c>
      <c r="Q2776" s="11" t="s">
        <v>13397</v>
      </c>
      <c r="R2776" s="14" t="s">
        <v>13398</v>
      </c>
      <c r="S2776" s="11">
        <v>275</v>
      </c>
      <c r="T2776" s="11" t="s">
        <v>39</v>
      </c>
      <c r="U2776" s="11" t="s">
        <v>58</v>
      </c>
      <c r="V2776" s="11" t="s">
        <v>96</v>
      </c>
      <c r="W2776" s="11">
        <v>14000000</v>
      </c>
      <c r="X2776" s="11">
        <v>1977</v>
      </c>
      <c r="Y2776" s="11">
        <v>244</v>
      </c>
      <c r="Z2776" s="11">
        <v>7.1</v>
      </c>
      <c r="AA2776" s="11">
        <v>2.35</v>
      </c>
      <c r="AB2776" s="11">
        <v>0</v>
      </c>
      <c r="AC2776" s="11"/>
      <c r="AD2776" s="11" t="str">
        <f>IFERROR(__xludf.DUMMYFUNCTION("""COMPUTED_VALUE"""),"Harriet Walter")</f>
        <v>Harriet Walter</v>
      </c>
      <c r="AE2776" s="11"/>
    </row>
    <row r="2777" customHeight="1" spans="1:31">
      <c r="A2777" s="12" t="s">
        <v>30</v>
      </c>
      <c r="B2777" s="16"/>
      <c r="C2777" s="12">
        <v>17</v>
      </c>
      <c r="D2777" s="12">
        <v>60</v>
      </c>
      <c r="E2777" s="16"/>
      <c r="F2777" s="12">
        <v>84</v>
      </c>
      <c r="G2777" s="12">
        <v>155</v>
      </c>
      <c r="H2777" s="16"/>
      <c r="I2777" s="12" t="s">
        <v>68</v>
      </c>
      <c r="J2777" s="12" t="s">
        <v>13399</v>
      </c>
      <c r="K2777" s="12" t="s">
        <v>13400</v>
      </c>
      <c r="L2777" s="12" t="s">
        <v>13401</v>
      </c>
      <c r="M2777" s="12" t="s">
        <v>13402</v>
      </c>
      <c r="N2777" s="12">
        <v>5563</v>
      </c>
      <c r="O2777" s="12">
        <v>552</v>
      </c>
      <c r="P2777" s="12">
        <v>0</v>
      </c>
      <c r="Q2777" s="12" t="s">
        <v>13403</v>
      </c>
      <c r="R2777" s="15" t="s">
        <v>13404</v>
      </c>
      <c r="S2777" s="12">
        <v>57</v>
      </c>
      <c r="T2777" s="12" t="s">
        <v>39</v>
      </c>
      <c r="U2777" s="12" t="s">
        <v>40</v>
      </c>
      <c r="V2777" s="16"/>
      <c r="W2777" s="16"/>
      <c r="X2777" s="16"/>
      <c r="Y2777" s="12">
        <v>130</v>
      </c>
      <c r="Z2777" s="12">
        <v>6.6</v>
      </c>
      <c r="AA2777" s="16"/>
      <c r="AB2777" s="12">
        <v>373</v>
      </c>
      <c r="AC2777" s="12"/>
      <c r="AD2777" s="12" t="str">
        <f>IFERROR(__xludf.DUMMYFUNCTION("""COMPUTED_VALUE"""),"Dermot Crowley")</f>
        <v>Dermot Crowley</v>
      </c>
      <c r="AE2777" s="12"/>
    </row>
    <row r="2778" customHeight="1" spans="1:31">
      <c r="A2778" s="11" t="s">
        <v>30</v>
      </c>
      <c r="B2778" s="11" t="s">
        <v>13405</v>
      </c>
      <c r="C2778" s="11">
        <v>101</v>
      </c>
      <c r="D2778" s="11">
        <v>99</v>
      </c>
      <c r="E2778" s="11">
        <v>9</v>
      </c>
      <c r="F2778" s="11">
        <v>648</v>
      </c>
      <c r="G2778" s="11">
        <v>975</v>
      </c>
      <c r="H2778" s="11">
        <v>38048637</v>
      </c>
      <c r="I2778" s="11" t="s">
        <v>3030</v>
      </c>
      <c r="J2778" s="11" t="s">
        <v>4000</v>
      </c>
      <c r="K2778" s="11" t="s">
        <v>3077</v>
      </c>
      <c r="L2778" s="11" t="s">
        <v>7954</v>
      </c>
      <c r="M2778" s="11" t="s">
        <v>13406</v>
      </c>
      <c r="N2778" s="11">
        <v>47814</v>
      </c>
      <c r="O2778" s="11">
        <v>3500</v>
      </c>
      <c r="P2778" s="11">
        <v>4</v>
      </c>
      <c r="Q2778" s="11" t="s">
        <v>13407</v>
      </c>
      <c r="R2778" s="14" t="s">
        <v>13408</v>
      </c>
      <c r="S2778" s="11">
        <v>426</v>
      </c>
      <c r="T2778" s="11" t="s">
        <v>39</v>
      </c>
      <c r="U2778" s="11" t="s">
        <v>40</v>
      </c>
      <c r="V2778" s="11" t="s">
        <v>586</v>
      </c>
      <c r="W2778" s="11">
        <v>14000000</v>
      </c>
      <c r="X2778" s="11">
        <v>1998</v>
      </c>
      <c r="Y2778" s="11">
        <v>912</v>
      </c>
      <c r="Z2778" s="11">
        <v>5.5</v>
      </c>
      <c r="AA2778" s="11">
        <v>2.35</v>
      </c>
      <c r="AB2778" s="11">
        <v>0</v>
      </c>
      <c r="AC2778" s="11"/>
      <c r="AD2778" s="11" t="str">
        <f>IFERROR(__xludf.DUMMYFUNCTION("""COMPUTED_VALUE"""),"Jeremy Shada")</f>
        <v>Jeremy Shada</v>
      </c>
      <c r="AE2778" s="11"/>
    </row>
    <row r="2779" customHeight="1" spans="1:31">
      <c r="A2779" s="12" t="s">
        <v>30</v>
      </c>
      <c r="B2779" s="12" t="s">
        <v>5648</v>
      </c>
      <c r="C2779" s="12">
        <v>51</v>
      </c>
      <c r="D2779" s="12">
        <v>119</v>
      </c>
      <c r="E2779" s="12">
        <v>350</v>
      </c>
      <c r="F2779" s="12">
        <v>418</v>
      </c>
      <c r="G2779" s="12">
        <v>18000</v>
      </c>
      <c r="H2779" s="12">
        <v>34700000</v>
      </c>
      <c r="I2779" s="12" t="s">
        <v>214</v>
      </c>
      <c r="J2779" s="12" t="s">
        <v>588</v>
      </c>
      <c r="K2779" s="12" t="s">
        <v>342</v>
      </c>
      <c r="L2779" s="12" t="s">
        <v>5679</v>
      </c>
      <c r="M2779" s="12" t="s">
        <v>10073</v>
      </c>
      <c r="N2779" s="12">
        <v>52846</v>
      </c>
      <c r="O2779" s="12">
        <v>35501</v>
      </c>
      <c r="P2779" s="12">
        <v>2</v>
      </c>
      <c r="Q2779" s="12" t="s">
        <v>10074</v>
      </c>
      <c r="R2779" s="15" t="s">
        <v>10075</v>
      </c>
      <c r="S2779" s="12">
        <v>143</v>
      </c>
      <c r="T2779" s="12" t="s">
        <v>39</v>
      </c>
      <c r="U2779" s="12" t="s">
        <v>40</v>
      </c>
      <c r="V2779" s="12" t="s">
        <v>586</v>
      </c>
      <c r="W2779" s="12">
        <v>14000000</v>
      </c>
      <c r="X2779" s="12">
        <v>1988</v>
      </c>
      <c r="Y2779" s="12">
        <v>17000</v>
      </c>
      <c r="Z2779" s="12">
        <v>7.7</v>
      </c>
      <c r="AA2779" s="12">
        <v>1.85</v>
      </c>
      <c r="AB2779" s="12">
        <v>0</v>
      </c>
      <c r="AC2779" s="12"/>
      <c r="AD2779" s="12" t="str">
        <f>IFERROR(__xludf.DUMMYFUNCTION("""COMPUTED_VALUE"""),"Gunnar Hansen")</f>
        <v>Gunnar Hansen</v>
      </c>
      <c r="AE2779" s="12"/>
    </row>
    <row r="2780" customHeight="1" spans="1:31">
      <c r="A2780" s="11" t="s">
        <v>30</v>
      </c>
      <c r="B2780" s="11" t="s">
        <v>9517</v>
      </c>
      <c r="C2780" s="11">
        <v>42</v>
      </c>
      <c r="D2780" s="11">
        <v>110</v>
      </c>
      <c r="E2780" s="11">
        <v>0</v>
      </c>
      <c r="F2780" s="11">
        <v>490</v>
      </c>
      <c r="G2780" s="11">
        <v>849</v>
      </c>
      <c r="H2780" s="11">
        <v>35010192</v>
      </c>
      <c r="I2780" s="11" t="s">
        <v>1415</v>
      </c>
      <c r="J2780" s="11" t="s">
        <v>8572</v>
      </c>
      <c r="K2780" s="11" t="s">
        <v>7102</v>
      </c>
      <c r="L2780" s="11" t="s">
        <v>1891</v>
      </c>
      <c r="M2780" s="11" t="s">
        <v>13409</v>
      </c>
      <c r="N2780" s="11">
        <v>6352</v>
      </c>
      <c r="O2780" s="11">
        <v>2226</v>
      </c>
      <c r="P2780" s="11">
        <v>1</v>
      </c>
      <c r="Q2780" s="11" t="s">
        <v>13410</v>
      </c>
      <c r="R2780" s="14" t="s">
        <v>13411</v>
      </c>
      <c r="S2780" s="11">
        <v>43</v>
      </c>
      <c r="T2780" s="11" t="s">
        <v>39</v>
      </c>
      <c r="U2780" s="11" t="s">
        <v>40</v>
      </c>
      <c r="V2780" s="11" t="s">
        <v>41</v>
      </c>
      <c r="W2780" s="13"/>
      <c r="X2780" s="11">
        <v>2012</v>
      </c>
      <c r="Y2780" s="11">
        <v>597</v>
      </c>
      <c r="Z2780" s="11">
        <v>5.4</v>
      </c>
      <c r="AA2780" s="11">
        <v>2.35</v>
      </c>
      <c r="AB2780" s="11">
        <v>0</v>
      </c>
      <c r="AC2780" s="11"/>
      <c r="AD2780" s="11" t="str">
        <f>IFERROR(__xludf.DUMMYFUNCTION("""COMPUTED_VALUE"""),"Keram Malicki-Sánchez")</f>
        <v>Keram Malicki-Sánchez</v>
      </c>
      <c r="AE2780" s="11"/>
    </row>
    <row r="2781" customHeight="1" spans="1:31">
      <c r="A2781" s="12" t="s">
        <v>30</v>
      </c>
      <c r="B2781" s="12" t="s">
        <v>13412</v>
      </c>
      <c r="C2781" s="12">
        <v>10</v>
      </c>
      <c r="D2781" s="12">
        <v>107</v>
      </c>
      <c r="E2781" s="12">
        <v>116</v>
      </c>
      <c r="F2781" s="12">
        <v>25</v>
      </c>
      <c r="G2781" s="12">
        <v>327</v>
      </c>
      <c r="H2781" s="12">
        <v>34793160</v>
      </c>
      <c r="I2781" s="12" t="s">
        <v>7043</v>
      </c>
      <c r="J2781" s="12" t="s">
        <v>4745</v>
      </c>
      <c r="K2781" s="12" t="s">
        <v>7177</v>
      </c>
      <c r="L2781" s="12" t="s">
        <v>13413</v>
      </c>
      <c r="M2781" s="12" t="s">
        <v>13414</v>
      </c>
      <c r="N2781" s="12">
        <v>15730</v>
      </c>
      <c r="O2781" s="12">
        <v>552</v>
      </c>
      <c r="P2781" s="12">
        <v>1</v>
      </c>
      <c r="Q2781" s="12" t="s">
        <v>13415</v>
      </c>
      <c r="R2781" s="15" t="s">
        <v>13416</v>
      </c>
      <c r="S2781" s="12">
        <v>31</v>
      </c>
      <c r="T2781" s="12" t="s">
        <v>39</v>
      </c>
      <c r="U2781" s="12" t="s">
        <v>40</v>
      </c>
      <c r="V2781" s="12" t="s">
        <v>96</v>
      </c>
      <c r="W2781" s="12">
        <v>14000000</v>
      </c>
      <c r="X2781" s="12">
        <v>1991</v>
      </c>
      <c r="Y2781" s="12">
        <v>172</v>
      </c>
      <c r="Z2781" s="12">
        <v>6.7</v>
      </c>
      <c r="AA2781" s="12">
        <v>1.85</v>
      </c>
      <c r="AB2781" s="12">
        <v>0</v>
      </c>
      <c r="AC2781" s="12"/>
      <c r="AD2781" s="12" t="str">
        <f>IFERROR(__xludf.DUMMYFUNCTION("""COMPUTED_VALUE"""),"Shaun Sipos")</f>
        <v>Shaun Sipos</v>
      </c>
      <c r="AE2781" s="12"/>
    </row>
    <row r="2782" customHeight="1" spans="1:31">
      <c r="A2782" s="11" t="s">
        <v>30</v>
      </c>
      <c r="B2782" s="11" t="s">
        <v>9835</v>
      </c>
      <c r="C2782" s="11">
        <v>43</v>
      </c>
      <c r="D2782" s="11">
        <v>81</v>
      </c>
      <c r="E2782" s="11">
        <v>54</v>
      </c>
      <c r="F2782" s="11">
        <v>636</v>
      </c>
      <c r="G2782" s="11">
        <v>8000</v>
      </c>
      <c r="H2782" s="11">
        <v>30628981</v>
      </c>
      <c r="I2782" s="11" t="s">
        <v>1681</v>
      </c>
      <c r="J2782" s="11" t="s">
        <v>1249</v>
      </c>
      <c r="K2782" s="11" t="s">
        <v>10620</v>
      </c>
      <c r="L2782" s="11" t="s">
        <v>1334</v>
      </c>
      <c r="M2782" s="11" t="s">
        <v>13417</v>
      </c>
      <c r="N2782" s="11">
        <v>15047</v>
      </c>
      <c r="O2782" s="11">
        <v>10792</v>
      </c>
      <c r="P2782" s="11">
        <v>1</v>
      </c>
      <c r="Q2782" s="11" t="s">
        <v>13418</v>
      </c>
      <c r="R2782" s="14" t="s">
        <v>13419</v>
      </c>
      <c r="S2782" s="11">
        <v>160</v>
      </c>
      <c r="T2782" s="11" t="s">
        <v>39</v>
      </c>
      <c r="U2782" s="11" t="s">
        <v>40</v>
      </c>
      <c r="V2782" s="11" t="s">
        <v>41</v>
      </c>
      <c r="W2782" s="11">
        <v>14000000</v>
      </c>
      <c r="X2782" s="11">
        <v>1999</v>
      </c>
      <c r="Y2782" s="11">
        <v>670</v>
      </c>
      <c r="Z2782" s="11">
        <v>5</v>
      </c>
      <c r="AA2782" s="11">
        <v>1.85</v>
      </c>
      <c r="AB2782" s="11">
        <v>2000</v>
      </c>
      <c r="AC2782" s="11"/>
      <c r="AD2782" s="11" t="str">
        <f>IFERROR(__xludf.DUMMYFUNCTION("""COMPUTED_VALUE"""),"William McNamara")</f>
        <v>William McNamara</v>
      </c>
      <c r="AE2782" s="11"/>
    </row>
    <row r="2783" customHeight="1" spans="1:31">
      <c r="A2783" s="12" t="s">
        <v>30</v>
      </c>
      <c r="B2783" s="12" t="s">
        <v>4932</v>
      </c>
      <c r="C2783" s="12">
        <v>331</v>
      </c>
      <c r="D2783" s="12">
        <v>105</v>
      </c>
      <c r="E2783" s="12">
        <v>58</v>
      </c>
      <c r="F2783" s="12">
        <v>583</v>
      </c>
      <c r="G2783" s="12">
        <v>11000</v>
      </c>
      <c r="H2783" s="12">
        <v>29959436</v>
      </c>
      <c r="I2783" s="12" t="s">
        <v>5941</v>
      </c>
      <c r="J2783" s="12" t="s">
        <v>2377</v>
      </c>
      <c r="K2783" s="12" t="s">
        <v>393</v>
      </c>
      <c r="L2783" s="12" t="s">
        <v>13420</v>
      </c>
      <c r="M2783" s="12" t="s">
        <v>13421</v>
      </c>
      <c r="N2783" s="12">
        <v>82327</v>
      </c>
      <c r="O2783" s="12">
        <v>12894</v>
      </c>
      <c r="P2783" s="12">
        <v>1</v>
      </c>
      <c r="Q2783" s="12" t="s">
        <v>13422</v>
      </c>
      <c r="R2783" s="15" t="s">
        <v>13423</v>
      </c>
      <c r="S2783" s="12">
        <v>350</v>
      </c>
      <c r="T2783" s="12" t="s">
        <v>39</v>
      </c>
      <c r="U2783" s="12" t="s">
        <v>58</v>
      </c>
      <c r="V2783" s="12" t="s">
        <v>41</v>
      </c>
      <c r="W2783" s="12">
        <v>13000000</v>
      </c>
      <c r="X2783" s="12">
        <v>2011</v>
      </c>
      <c r="Y2783" s="12">
        <v>1000</v>
      </c>
      <c r="Z2783" s="12">
        <v>6.4</v>
      </c>
      <c r="AA2783" s="12">
        <v>2.35</v>
      </c>
      <c r="AB2783" s="12">
        <v>18000</v>
      </c>
      <c r="AC2783" s="12"/>
      <c r="AD2783" s="12" t="str">
        <f>IFERROR(__xludf.DUMMYFUNCTION("""COMPUTED_VALUE"""),"Marisa Saks")</f>
        <v>Marisa Saks</v>
      </c>
      <c r="AE2783" s="12"/>
    </row>
    <row r="2784" customHeight="1" spans="1:31">
      <c r="A2784" s="11" t="s">
        <v>30</v>
      </c>
      <c r="B2784" s="11" t="s">
        <v>12994</v>
      </c>
      <c r="C2784" s="11">
        <v>38</v>
      </c>
      <c r="D2784" s="11">
        <v>82</v>
      </c>
      <c r="E2784" s="11">
        <v>12</v>
      </c>
      <c r="F2784" s="11">
        <v>8</v>
      </c>
      <c r="G2784" s="11">
        <v>23</v>
      </c>
      <c r="H2784" s="11">
        <v>25571351</v>
      </c>
      <c r="I2784" s="11" t="s">
        <v>8842</v>
      </c>
      <c r="J2784" s="11" t="s">
        <v>12997</v>
      </c>
      <c r="K2784" s="11" t="s">
        <v>12994</v>
      </c>
      <c r="L2784" s="11" t="s">
        <v>13424</v>
      </c>
      <c r="M2784" s="11" t="s">
        <v>13425</v>
      </c>
      <c r="N2784" s="11">
        <v>3135</v>
      </c>
      <c r="O2784" s="11">
        <v>49</v>
      </c>
      <c r="P2784" s="11">
        <v>0</v>
      </c>
      <c r="Q2784" s="11" t="s">
        <v>13426</v>
      </c>
      <c r="R2784" s="14" t="s">
        <v>13427</v>
      </c>
      <c r="S2784" s="11">
        <v>78</v>
      </c>
      <c r="T2784" s="11" t="s">
        <v>39</v>
      </c>
      <c r="U2784" s="11" t="s">
        <v>40</v>
      </c>
      <c r="V2784" s="11" t="s">
        <v>278</v>
      </c>
      <c r="W2784" s="11">
        <v>14000000</v>
      </c>
      <c r="X2784" s="11">
        <v>2002</v>
      </c>
      <c r="Y2784" s="11">
        <v>12</v>
      </c>
      <c r="Z2784" s="11">
        <v>6.6</v>
      </c>
      <c r="AA2784" s="11">
        <v>1.85</v>
      </c>
      <c r="AB2784" s="11">
        <v>184</v>
      </c>
      <c r="AC2784" s="11"/>
      <c r="AD2784" s="11" t="str">
        <f>IFERROR(__xludf.DUMMYFUNCTION("""COMPUTED_VALUE"""),"Lee Marvin")</f>
        <v>Lee Marvin</v>
      </c>
      <c r="AE2784" s="11"/>
    </row>
    <row r="2785" customHeight="1" spans="1:31">
      <c r="A2785" s="12" t="s">
        <v>30</v>
      </c>
      <c r="B2785" s="12" t="s">
        <v>2944</v>
      </c>
      <c r="C2785" s="12">
        <v>12</v>
      </c>
      <c r="D2785" s="12">
        <v>109</v>
      </c>
      <c r="E2785" s="12">
        <v>309</v>
      </c>
      <c r="F2785" s="12">
        <v>279</v>
      </c>
      <c r="G2785" s="12">
        <v>592</v>
      </c>
      <c r="H2785" s="12">
        <v>27515786</v>
      </c>
      <c r="I2785" s="12" t="s">
        <v>214</v>
      </c>
      <c r="J2785" s="12" t="s">
        <v>2471</v>
      </c>
      <c r="K2785" s="12" t="s">
        <v>13083</v>
      </c>
      <c r="L2785" s="12" t="s">
        <v>13428</v>
      </c>
      <c r="M2785" s="12" t="s">
        <v>13429</v>
      </c>
      <c r="N2785" s="12">
        <v>8904</v>
      </c>
      <c r="O2785" s="12">
        <v>1620</v>
      </c>
      <c r="P2785" s="12">
        <v>0</v>
      </c>
      <c r="Q2785" s="12" t="s">
        <v>13430</v>
      </c>
      <c r="R2785" s="15" t="s">
        <v>13431</v>
      </c>
      <c r="S2785" s="12">
        <v>31</v>
      </c>
      <c r="T2785" s="12" t="s">
        <v>39</v>
      </c>
      <c r="U2785" s="12" t="s">
        <v>40</v>
      </c>
      <c r="V2785" s="12" t="s">
        <v>586</v>
      </c>
      <c r="W2785" s="12">
        <v>14000000</v>
      </c>
      <c r="X2785" s="12">
        <v>1993</v>
      </c>
      <c r="Y2785" s="12">
        <v>556</v>
      </c>
      <c r="Z2785" s="12">
        <v>5.9</v>
      </c>
      <c r="AA2785" s="12">
        <v>1.85</v>
      </c>
      <c r="AB2785" s="12">
        <v>0</v>
      </c>
      <c r="AC2785" s="12"/>
      <c r="AD2785" s="12" t="str">
        <f>IFERROR(__xludf.DUMMYFUNCTION("""COMPUTED_VALUE"""),"Lucas Grabeel")</f>
        <v>Lucas Grabeel</v>
      </c>
      <c r="AE2785" s="12"/>
    </row>
    <row r="2786" customHeight="1" spans="1:31">
      <c r="A2786" s="11" t="s">
        <v>30</v>
      </c>
      <c r="B2786" s="11" t="s">
        <v>4555</v>
      </c>
      <c r="C2786" s="11">
        <v>40</v>
      </c>
      <c r="D2786" s="11">
        <v>95</v>
      </c>
      <c r="E2786" s="11">
        <v>10</v>
      </c>
      <c r="F2786" s="11">
        <v>111</v>
      </c>
      <c r="G2786" s="11">
        <v>706</v>
      </c>
      <c r="H2786" s="11">
        <v>25482931</v>
      </c>
      <c r="I2786" s="11" t="s">
        <v>422</v>
      </c>
      <c r="J2786" s="11" t="s">
        <v>5265</v>
      </c>
      <c r="K2786" s="11" t="s">
        <v>13432</v>
      </c>
      <c r="L2786" s="11" t="s">
        <v>13433</v>
      </c>
      <c r="M2786" s="11" t="s">
        <v>13434</v>
      </c>
      <c r="N2786" s="11">
        <v>9693</v>
      </c>
      <c r="O2786" s="11">
        <v>1421</v>
      </c>
      <c r="P2786" s="11">
        <v>2</v>
      </c>
      <c r="Q2786" s="11" t="s">
        <v>13435</v>
      </c>
      <c r="R2786" s="14" t="s">
        <v>13436</v>
      </c>
      <c r="S2786" s="11">
        <v>33</v>
      </c>
      <c r="T2786" s="11" t="s">
        <v>39</v>
      </c>
      <c r="U2786" s="11" t="s">
        <v>40</v>
      </c>
      <c r="V2786" s="11" t="s">
        <v>586</v>
      </c>
      <c r="W2786" s="11">
        <v>14000000</v>
      </c>
      <c r="X2786" s="11">
        <v>2002</v>
      </c>
      <c r="Y2786" s="11">
        <v>266</v>
      </c>
      <c r="Z2786" s="11">
        <v>5.7</v>
      </c>
      <c r="AA2786" s="11">
        <v>2.35</v>
      </c>
      <c r="AB2786" s="11">
        <v>530</v>
      </c>
      <c r="AC2786" s="11"/>
      <c r="AD2786" s="11" t="str">
        <f>IFERROR(__xludf.DUMMYFUNCTION("""COMPUTED_VALUE"""),"Jan Cornet")</f>
        <v>Jan Cornet</v>
      </c>
      <c r="AE2786" s="11"/>
    </row>
    <row r="2787" customHeight="1" spans="1:31">
      <c r="A2787" s="12" t="s">
        <v>30</v>
      </c>
      <c r="B2787" s="12" t="s">
        <v>6309</v>
      </c>
      <c r="C2787" s="12">
        <v>34</v>
      </c>
      <c r="D2787" s="12">
        <v>100</v>
      </c>
      <c r="E2787" s="12">
        <v>0</v>
      </c>
      <c r="F2787" s="12">
        <v>364</v>
      </c>
      <c r="G2787" s="12">
        <v>723</v>
      </c>
      <c r="H2787" s="12">
        <v>19900000</v>
      </c>
      <c r="I2787" s="12" t="s">
        <v>9661</v>
      </c>
      <c r="J2787" s="12" t="s">
        <v>3883</v>
      </c>
      <c r="K2787" s="12" t="s">
        <v>11568</v>
      </c>
      <c r="L2787" s="12" t="s">
        <v>13437</v>
      </c>
      <c r="M2787" s="12" t="s">
        <v>13438</v>
      </c>
      <c r="N2787" s="12">
        <v>17262</v>
      </c>
      <c r="O2787" s="12">
        <v>2348</v>
      </c>
      <c r="P2787" s="12">
        <v>1</v>
      </c>
      <c r="Q2787" s="12" t="s">
        <v>13439</v>
      </c>
      <c r="R2787" s="15" t="s">
        <v>13440</v>
      </c>
      <c r="S2787" s="12">
        <v>53</v>
      </c>
      <c r="T2787" s="12" t="s">
        <v>39</v>
      </c>
      <c r="U2787" s="12" t="s">
        <v>40</v>
      </c>
      <c r="V2787" s="12" t="s">
        <v>586</v>
      </c>
      <c r="W2787" s="12">
        <v>20000000</v>
      </c>
      <c r="X2787" s="12">
        <v>1995</v>
      </c>
      <c r="Y2787" s="12">
        <v>422</v>
      </c>
      <c r="Z2787" s="12">
        <v>4.5</v>
      </c>
      <c r="AA2787" s="12">
        <v>1.85</v>
      </c>
      <c r="AB2787" s="12">
        <v>1000</v>
      </c>
      <c r="AC2787" s="12"/>
      <c r="AD2787" s="12" t="str">
        <f>IFERROR(__xludf.DUMMYFUNCTION("""COMPUTED_VALUE"""),"María Botto")</f>
        <v>María Botto</v>
      </c>
      <c r="AE2787" s="12"/>
    </row>
    <row r="2788" customHeight="1" spans="1:31">
      <c r="A2788" s="11" t="s">
        <v>30</v>
      </c>
      <c r="B2788" s="11" t="s">
        <v>11917</v>
      </c>
      <c r="C2788" s="11">
        <v>82</v>
      </c>
      <c r="D2788" s="11">
        <v>118</v>
      </c>
      <c r="E2788" s="11">
        <v>128</v>
      </c>
      <c r="F2788" s="11">
        <v>467</v>
      </c>
      <c r="G2788" s="11">
        <v>931</v>
      </c>
      <c r="H2788" s="13"/>
      <c r="I2788" s="11" t="s">
        <v>6403</v>
      </c>
      <c r="J2788" s="11" t="s">
        <v>13441</v>
      </c>
      <c r="K2788" s="11" t="s">
        <v>6114</v>
      </c>
      <c r="L2788" s="11" t="s">
        <v>4184</v>
      </c>
      <c r="M2788" s="11" t="s">
        <v>13442</v>
      </c>
      <c r="N2788" s="11">
        <v>16294</v>
      </c>
      <c r="O2788" s="11">
        <v>2704</v>
      </c>
      <c r="P2788" s="11">
        <v>7</v>
      </c>
      <c r="Q2788" s="11" t="s">
        <v>13443</v>
      </c>
      <c r="R2788" s="14" t="s">
        <v>13444</v>
      </c>
      <c r="S2788" s="11">
        <v>252</v>
      </c>
      <c r="T2788" s="11" t="s">
        <v>39</v>
      </c>
      <c r="U2788" s="11" t="s">
        <v>40</v>
      </c>
      <c r="V2788" s="11" t="s">
        <v>586</v>
      </c>
      <c r="W2788" s="11">
        <v>14000000</v>
      </c>
      <c r="X2788" s="11">
        <v>1977</v>
      </c>
      <c r="Y2788" s="11">
        <v>726</v>
      </c>
      <c r="Z2788" s="11">
        <v>3.7</v>
      </c>
      <c r="AA2788" s="11">
        <v>1.85</v>
      </c>
      <c r="AB2788" s="11">
        <v>889</v>
      </c>
      <c r="AC2788" s="11"/>
      <c r="AD2788" s="11" t="str">
        <f>IFERROR(__xludf.DUMMYFUNCTION("""COMPUTED_VALUE"""),"Isaiah Washington")</f>
        <v>Isaiah Washington</v>
      </c>
      <c r="AE2788" s="11"/>
    </row>
    <row r="2789" customHeight="1" spans="1:31">
      <c r="A2789" s="12" t="s">
        <v>30</v>
      </c>
      <c r="B2789" s="12" t="s">
        <v>11927</v>
      </c>
      <c r="C2789" s="12">
        <v>125</v>
      </c>
      <c r="D2789" s="12">
        <v>91</v>
      </c>
      <c r="E2789" s="12">
        <v>31</v>
      </c>
      <c r="F2789" s="12">
        <v>50</v>
      </c>
      <c r="G2789" s="12">
        <v>874</v>
      </c>
      <c r="H2789" s="12">
        <v>16298046</v>
      </c>
      <c r="I2789" s="12" t="s">
        <v>3030</v>
      </c>
      <c r="J2789" s="12" t="s">
        <v>5105</v>
      </c>
      <c r="K2789" s="12" t="s">
        <v>1099</v>
      </c>
      <c r="L2789" s="12" t="s">
        <v>10472</v>
      </c>
      <c r="M2789" s="12" t="s">
        <v>13445</v>
      </c>
      <c r="N2789" s="12">
        <v>22207</v>
      </c>
      <c r="O2789" s="12">
        <v>1608</v>
      </c>
      <c r="P2789" s="12">
        <v>0</v>
      </c>
      <c r="Q2789" s="12" t="s">
        <v>13446</v>
      </c>
      <c r="R2789" s="15" t="s">
        <v>13447</v>
      </c>
      <c r="S2789" s="12">
        <v>747</v>
      </c>
      <c r="T2789" s="12" t="s">
        <v>39</v>
      </c>
      <c r="U2789" s="12" t="s">
        <v>58</v>
      </c>
      <c r="V2789" s="12" t="s">
        <v>41</v>
      </c>
      <c r="W2789" s="12">
        <v>14000000</v>
      </c>
      <c r="X2789" s="12">
        <v>2005</v>
      </c>
      <c r="Y2789" s="12">
        <v>613</v>
      </c>
      <c r="Z2789" s="12">
        <v>5</v>
      </c>
      <c r="AA2789" s="12">
        <v>2.35</v>
      </c>
      <c r="AB2789" s="12">
        <v>0</v>
      </c>
      <c r="AC2789" s="12"/>
      <c r="AD2789" s="12" t="str">
        <f>IFERROR(__xludf.DUMMYFUNCTION("""COMPUTED_VALUE"""),"Francesca Rettondini")</f>
        <v>Francesca Rettondini</v>
      </c>
      <c r="AE2789" s="12"/>
    </row>
    <row r="2790" customHeight="1" spans="1:31">
      <c r="A2790" s="11" t="s">
        <v>30</v>
      </c>
      <c r="B2790" s="11" t="s">
        <v>5703</v>
      </c>
      <c r="C2790" s="11">
        <v>56</v>
      </c>
      <c r="D2790" s="11">
        <v>90</v>
      </c>
      <c r="E2790" s="11">
        <v>119</v>
      </c>
      <c r="F2790" s="11">
        <v>636</v>
      </c>
      <c r="G2790" s="11">
        <v>869</v>
      </c>
      <c r="H2790" s="11">
        <v>15549702</v>
      </c>
      <c r="I2790" s="11" t="s">
        <v>1681</v>
      </c>
      <c r="J2790" s="11" t="s">
        <v>2615</v>
      </c>
      <c r="K2790" s="11" t="s">
        <v>273</v>
      </c>
      <c r="L2790" s="11" t="s">
        <v>1334</v>
      </c>
      <c r="M2790" s="11" t="s">
        <v>13448</v>
      </c>
      <c r="N2790" s="11">
        <v>24038</v>
      </c>
      <c r="O2790" s="11">
        <v>3007</v>
      </c>
      <c r="P2790" s="11">
        <v>2</v>
      </c>
      <c r="Q2790" s="11" t="s">
        <v>13449</v>
      </c>
      <c r="R2790" s="14" t="s">
        <v>13450</v>
      </c>
      <c r="S2790" s="11">
        <v>123</v>
      </c>
      <c r="T2790" s="11" t="s">
        <v>39</v>
      </c>
      <c r="U2790" s="11" t="s">
        <v>40</v>
      </c>
      <c r="V2790" s="11" t="s">
        <v>41</v>
      </c>
      <c r="W2790" s="11">
        <v>14000000</v>
      </c>
      <c r="X2790" s="11">
        <v>2003</v>
      </c>
      <c r="Y2790" s="11">
        <v>779</v>
      </c>
      <c r="Z2790" s="11">
        <v>4.6</v>
      </c>
      <c r="AA2790" s="11">
        <v>1.85</v>
      </c>
      <c r="AB2790" s="11">
        <v>411</v>
      </c>
      <c r="AC2790" s="11"/>
      <c r="AD2790" s="11" t="str">
        <f>IFERROR(__xludf.DUMMYFUNCTION("""COMPUTED_VALUE"""),"Jeff Perry")</f>
        <v>Jeff Perry</v>
      </c>
      <c r="AE2790" s="11"/>
    </row>
    <row r="2791" customHeight="1" spans="1:31">
      <c r="A2791" s="12" t="s">
        <v>30</v>
      </c>
      <c r="B2791" s="12" t="s">
        <v>1395</v>
      </c>
      <c r="C2791" s="12">
        <v>160</v>
      </c>
      <c r="D2791" s="12">
        <v>108</v>
      </c>
      <c r="E2791" s="12">
        <v>123</v>
      </c>
      <c r="F2791" s="12">
        <v>690</v>
      </c>
      <c r="G2791" s="12">
        <v>26000</v>
      </c>
      <c r="H2791" s="12">
        <v>15483540</v>
      </c>
      <c r="I2791" s="12" t="s">
        <v>13451</v>
      </c>
      <c r="J2791" s="12" t="s">
        <v>98</v>
      </c>
      <c r="K2791" s="12" t="s">
        <v>1973</v>
      </c>
      <c r="L2791" s="12" t="s">
        <v>7689</v>
      </c>
      <c r="M2791" s="12" t="s">
        <v>13452</v>
      </c>
      <c r="N2791" s="12">
        <v>56338</v>
      </c>
      <c r="O2791" s="12">
        <v>41359</v>
      </c>
      <c r="P2791" s="12">
        <v>4</v>
      </c>
      <c r="Q2791" s="12" t="s">
        <v>13453</v>
      </c>
      <c r="R2791" s="15" t="s">
        <v>13454</v>
      </c>
      <c r="S2791" s="12">
        <v>215</v>
      </c>
      <c r="T2791" s="12" t="s">
        <v>39</v>
      </c>
      <c r="U2791" s="12" t="s">
        <v>40</v>
      </c>
      <c r="V2791" s="12" t="s">
        <v>586</v>
      </c>
      <c r="W2791" s="12">
        <v>14000000</v>
      </c>
      <c r="X2791" s="12">
        <v>2009</v>
      </c>
      <c r="Y2791" s="12">
        <v>14000</v>
      </c>
      <c r="Z2791" s="12">
        <v>6.5</v>
      </c>
      <c r="AA2791" s="12">
        <v>2.35</v>
      </c>
      <c r="AB2791" s="12">
        <v>4000</v>
      </c>
      <c r="AC2791" s="12"/>
      <c r="AD2791" s="12" t="str">
        <f>IFERROR(__xludf.DUMMYFUNCTION("""COMPUTED_VALUE"""),"Skyler Samuels")</f>
        <v>Skyler Samuels</v>
      </c>
      <c r="AE2791" s="12"/>
    </row>
    <row r="2792" customHeight="1" spans="1:31">
      <c r="A2792" s="11" t="s">
        <v>30</v>
      </c>
      <c r="B2792" s="11" t="s">
        <v>13455</v>
      </c>
      <c r="C2792" s="11">
        <v>71</v>
      </c>
      <c r="D2792" s="11">
        <v>103</v>
      </c>
      <c r="E2792" s="11">
        <v>44</v>
      </c>
      <c r="F2792" s="11">
        <v>625</v>
      </c>
      <c r="G2792" s="11">
        <v>953</v>
      </c>
      <c r="H2792" s="11">
        <v>20246959</v>
      </c>
      <c r="I2792" s="11" t="s">
        <v>1681</v>
      </c>
      <c r="J2792" s="11" t="s">
        <v>642</v>
      </c>
      <c r="K2792" s="11" t="s">
        <v>13456</v>
      </c>
      <c r="L2792" s="11" t="s">
        <v>5018</v>
      </c>
      <c r="M2792" s="11" t="s">
        <v>13457</v>
      </c>
      <c r="N2792" s="11">
        <v>5721</v>
      </c>
      <c r="O2792" s="11">
        <v>3299</v>
      </c>
      <c r="P2792" s="11">
        <v>2</v>
      </c>
      <c r="Q2792" s="11" t="s">
        <v>13458</v>
      </c>
      <c r="R2792" s="14" t="s">
        <v>13459</v>
      </c>
      <c r="S2792" s="11">
        <v>20</v>
      </c>
      <c r="T2792" s="11" t="s">
        <v>39</v>
      </c>
      <c r="U2792" s="11" t="s">
        <v>40</v>
      </c>
      <c r="V2792" s="11" t="s">
        <v>41</v>
      </c>
      <c r="W2792" s="11">
        <v>14000000</v>
      </c>
      <c r="X2792" s="11">
        <v>2010</v>
      </c>
      <c r="Y2792" s="11">
        <v>849</v>
      </c>
      <c r="Z2792" s="11">
        <v>4.9</v>
      </c>
      <c r="AA2792" s="11">
        <v>2.35</v>
      </c>
      <c r="AB2792" s="11">
        <v>1000</v>
      </c>
      <c r="AC2792" s="11"/>
      <c r="AD2792" s="11" t="str">
        <f>IFERROR(__xludf.DUMMYFUNCTION("""COMPUTED_VALUE"""),"Jesper Christensen")</f>
        <v>Jesper Christensen</v>
      </c>
      <c r="AE2792" s="11"/>
    </row>
    <row r="2793" customHeight="1" spans="1:31">
      <c r="A2793" s="12" t="s">
        <v>30</v>
      </c>
      <c r="B2793" s="12" t="s">
        <v>13460</v>
      </c>
      <c r="C2793" s="12">
        <v>37</v>
      </c>
      <c r="D2793" s="12">
        <v>96</v>
      </c>
      <c r="E2793" s="12">
        <v>0</v>
      </c>
      <c r="F2793" s="12">
        <v>654</v>
      </c>
      <c r="G2793" s="12">
        <v>3000</v>
      </c>
      <c r="H2793" s="12">
        <v>15062898</v>
      </c>
      <c r="I2793" s="12" t="s">
        <v>1672</v>
      </c>
      <c r="J2793" s="12" t="s">
        <v>4599</v>
      </c>
      <c r="K2793" s="12" t="s">
        <v>2478</v>
      </c>
      <c r="L2793" s="12" t="s">
        <v>12015</v>
      </c>
      <c r="M2793" s="12" t="s">
        <v>13461</v>
      </c>
      <c r="N2793" s="12">
        <v>11729</v>
      </c>
      <c r="O2793" s="12">
        <v>6861</v>
      </c>
      <c r="P2793" s="12">
        <v>0</v>
      </c>
      <c r="Q2793" s="12" t="s">
        <v>13462</v>
      </c>
      <c r="R2793" s="15" t="s">
        <v>13463</v>
      </c>
      <c r="S2793" s="12">
        <v>106</v>
      </c>
      <c r="T2793" s="12" t="s">
        <v>39</v>
      </c>
      <c r="U2793" s="12" t="s">
        <v>40</v>
      </c>
      <c r="V2793" s="12" t="s">
        <v>586</v>
      </c>
      <c r="W2793" s="12">
        <v>14000000</v>
      </c>
      <c r="X2793" s="12">
        <v>1998</v>
      </c>
      <c r="Y2793" s="12">
        <v>2000</v>
      </c>
      <c r="Z2793" s="12">
        <v>6</v>
      </c>
      <c r="AA2793" s="12">
        <v>1.85</v>
      </c>
      <c r="AB2793" s="12">
        <v>645</v>
      </c>
      <c r="AC2793" s="12"/>
      <c r="AD2793" s="12" t="str">
        <f>IFERROR(__xludf.DUMMYFUNCTION("""COMPUTED_VALUE"""),"Romi Aboulafia")</f>
        <v>Romi Aboulafia</v>
      </c>
      <c r="AE2793" s="12"/>
    </row>
    <row r="2794" customHeight="1" spans="1:31">
      <c r="A2794" s="11" t="s">
        <v>30</v>
      </c>
      <c r="B2794" s="11" t="s">
        <v>13464</v>
      </c>
      <c r="C2794" s="11">
        <v>62</v>
      </c>
      <c r="D2794" s="11">
        <v>117</v>
      </c>
      <c r="E2794" s="11">
        <v>160</v>
      </c>
      <c r="F2794" s="11">
        <v>55</v>
      </c>
      <c r="G2794" s="11">
        <v>718</v>
      </c>
      <c r="H2794" s="11">
        <v>14348123</v>
      </c>
      <c r="I2794" s="11" t="s">
        <v>11842</v>
      </c>
      <c r="J2794" s="11" t="s">
        <v>3710</v>
      </c>
      <c r="K2794" s="11" t="s">
        <v>2045</v>
      </c>
      <c r="L2794" s="11" t="s">
        <v>13465</v>
      </c>
      <c r="M2794" s="11" t="s">
        <v>13466</v>
      </c>
      <c r="N2794" s="11">
        <v>9323</v>
      </c>
      <c r="O2794" s="11">
        <v>1148</v>
      </c>
      <c r="P2794" s="11">
        <v>6</v>
      </c>
      <c r="Q2794" s="11" t="s">
        <v>13467</v>
      </c>
      <c r="R2794" s="14" t="s">
        <v>13468</v>
      </c>
      <c r="S2794" s="11">
        <v>157</v>
      </c>
      <c r="T2794" s="11" t="s">
        <v>39</v>
      </c>
      <c r="U2794" s="11" t="s">
        <v>7091</v>
      </c>
      <c r="V2794" s="11" t="s">
        <v>96</v>
      </c>
      <c r="W2794" s="11">
        <v>12000000</v>
      </c>
      <c r="X2794" s="11">
        <v>1999</v>
      </c>
      <c r="Y2794" s="11">
        <v>330</v>
      </c>
      <c r="Z2794" s="11">
        <v>6.9</v>
      </c>
      <c r="AA2794" s="11">
        <v>1.85</v>
      </c>
      <c r="AB2794" s="11">
        <v>970</v>
      </c>
      <c r="AC2794" s="11"/>
      <c r="AD2794" s="11" t="str">
        <f>IFERROR(__xludf.DUMMYFUNCTION("""COMPUTED_VALUE"""),"Jason Beghe")</f>
        <v>Jason Beghe</v>
      </c>
      <c r="AE2794" s="11"/>
    </row>
    <row r="2795" customHeight="1" spans="1:31">
      <c r="A2795" s="12" t="s">
        <v>30</v>
      </c>
      <c r="B2795" s="12" t="s">
        <v>13469</v>
      </c>
      <c r="C2795" s="12">
        <v>73</v>
      </c>
      <c r="D2795" s="12">
        <v>93</v>
      </c>
      <c r="E2795" s="12">
        <v>85</v>
      </c>
      <c r="F2795" s="12">
        <v>514</v>
      </c>
      <c r="G2795" s="12">
        <v>1000</v>
      </c>
      <c r="H2795" s="12">
        <v>15171475</v>
      </c>
      <c r="I2795" s="12" t="s">
        <v>7406</v>
      </c>
      <c r="J2795" s="12" t="s">
        <v>309</v>
      </c>
      <c r="K2795" s="12" t="s">
        <v>13470</v>
      </c>
      <c r="L2795" s="12" t="s">
        <v>5784</v>
      </c>
      <c r="M2795" s="12" t="s">
        <v>13471</v>
      </c>
      <c r="N2795" s="12">
        <v>19805</v>
      </c>
      <c r="O2795" s="12">
        <v>2777</v>
      </c>
      <c r="P2795" s="12">
        <v>0</v>
      </c>
      <c r="Q2795" s="12" t="s">
        <v>13472</v>
      </c>
      <c r="R2795" s="15" t="s">
        <v>13473</v>
      </c>
      <c r="S2795" s="12">
        <v>122</v>
      </c>
      <c r="T2795" s="12" t="s">
        <v>39</v>
      </c>
      <c r="U2795" s="12" t="s">
        <v>40</v>
      </c>
      <c r="V2795" s="12" t="s">
        <v>586</v>
      </c>
      <c r="W2795" s="12">
        <v>8500000</v>
      </c>
      <c r="X2795" s="12">
        <v>1996</v>
      </c>
      <c r="Y2795" s="12">
        <v>855</v>
      </c>
      <c r="Z2795" s="12">
        <v>5.7</v>
      </c>
      <c r="AA2795" s="12">
        <v>1.85</v>
      </c>
      <c r="AB2795" s="12">
        <v>0</v>
      </c>
      <c r="AC2795" s="12"/>
      <c r="AD2795" s="12" t="str">
        <f>IFERROR(__xludf.DUMMYFUNCTION("""COMPUTED_VALUE"""),"Margaret Cho")</f>
        <v>Margaret Cho</v>
      </c>
      <c r="AE2795" s="12"/>
    </row>
    <row r="2796" customHeight="1" spans="1:31">
      <c r="A2796" s="11" t="s">
        <v>30</v>
      </c>
      <c r="B2796" s="11" t="s">
        <v>488</v>
      </c>
      <c r="C2796" s="11">
        <v>59</v>
      </c>
      <c r="D2796" s="11">
        <v>136</v>
      </c>
      <c r="E2796" s="11">
        <v>17000</v>
      </c>
      <c r="F2796" s="11">
        <v>213</v>
      </c>
      <c r="G2796" s="11">
        <v>22000</v>
      </c>
      <c r="H2796" s="13"/>
      <c r="I2796" s="11" t="s">
        <v>4811</v>
      </c>
      <c r="J2796" s="11" t="s">
        <v>1746</v>
      </c>
      <c r="K2796" s="11" t="s">
        <v>1979</v>
      </c>
      <c r="L2796" s="11" t="s">
        <v>601</v>
      </c>
      <c r="M2796" s="11" t="s">
        <v>13474</v>
      </c>
      <c r="N2796" s="11">
        <v>13548</v>
      </c>
      <c r="O2796" s="11">
        <v>23378</v>
      </c>
      <c r="P2796" s="11">
        <v>0</v>
      </c>
      <c r="Q2796" s="11" t="s">
        <v>13475</v>
      </c>
      <c r="R2796" s="14" t="s">
        <v>13476</v>
      </c>
      <c r="S2796" s="11">
        <v>75</v>
      </c>
      <c r="T2796" s="11" t="s">
        <v>39</v>
      </c>
      <c r="U2796" s="11" t="s">
        <v>40</v>
      </c>
      <c r="V2796" s="11" t="s">
        <v>96</v>
      </c>
      <c r="W2796" s="11">
        <v>14000000</v>
      </c>
      <c r="X2796" s="11">
        <v>1977</v>
      </c>
      <c r="Y2796" s="11">
        <v>740</v>
      </c>
      <c r="Z2796" s="11">
        <v>6.7</v>
      </c>
      <c r="AA2796" s="11">
        <v>1.66</v>
      </c>
      <c r="AB2796" s="11">
        <v>932</v>
      </c>
      <c r="AC2796" s="11"/>
      <c r="AD2796" s="11" t="str">
        <f>IFERROR(__xludf.DUMMYFUNCTION("""COMPUTED_VALUE"""),"James Wolk")</f>
        <v>James Wolk</v>
      </c>
      <c r="AE2796" s="11"/>
    </row>
    <row r="2797" customHeight="1" spans="1:31">
      <c r="A2797" s="12" t="s">
        <v>30</v>
      </c>
      <c r="B2797" s="12" t="s">
        <v>5077</v>
      </c>
      <c r="C2797" s="12">
        <v>25</v>
      </c>
      <c r="D2797" s="12">
        <v>115</v>
      </c>
      <c r="E2797" s="12">
        <v>0</v>
      </c>
      <c r="F2797" s="12">
        <v>534</v>
      </c>
      <c r="G2797" s="12">
        <v>1000</v>
      </c>
      <c r="H2797" s="12">
        <v>13640000</v>
      </c>
      <c r="I2797" s="12" t="s">
        <v>2528</v>
      </c>
      <c r="J2797" s="12" t="s">
        <v>1232</v>
      </c>
      <c r="K2797" s="12" t="s">
        <v>472</v>
      </c>
      <c r="L2797" s="12" t="s">
        <v>10905</v>
      </c>
      <c r="M2797" s="12" t="s">
        <v>13477</v>
      </c>
      <c r="N2797" s="12">
        <v>6011</v>
      </c>
      <c r="O2797" s="12">
        <v>3267</v>
      </c>
      <c r="P2797" s="12">
        <v>0</v>
      </c>
      <c r="Q2797" s="12" t="s">
        <v>13478</v>
      </c>
      <c r="R2797" s="15" t="s">
        <v>13479</v>
      </c>
      <c r="S2797" s="12">
        <v>39</v>
      </c>
      <c r="T2797" s="12" t="s">
        <v>39</v>
      </c>
      <c r="U2797" s="12" t="s">
        <v>40</v>
      </c>
      <c r="V2797" s="12" t="s">
        <v>41</v>
      </c>
      <c r="W2797" s="12">
        <v>14000000</v>
      </c>
      <c r="X2797" s="12">
        <v>1994</v>
      </c>
      <c r="Y2797" s="12">
        <v>848</v>
      </c>
      <c r="Z2797" s="12">
        <v>6.9</v>
      </c>
      <c r="AA2797" s="12">
        <v>1.85</v>
      </c>
      <c r="AB2797" s="12">
        <v>905</v>
      </c>
      <c r="AC2797" s="12"/>
      <c r="AD2797" s="12" t="str">
        <f>IFERROR(__xludf.DUMMYFUNCTION("""COMPUTED_VALUE"""),"Christine Lakin")</f>
        <v>Christine Lakin</v>
      </c>
      <c r="AE2797" s="12"/>
    </row>
    <row r="2798" customHeight="1" spans="1:31">
      <c r="A2798" s="11" t="s">
        <v>30</v>
      </c>
      <c r="B2798" s="11" t="s">
        <v>7228</v>
      </c>
      <c r="C2798" s="11">
        <v>97</v>
      </c>
      <c r="D2798" s="11">
        <v>94</v>
      </c>
      <c r="E2798" s="11">
        <v>0</v>
      </c>
      <c r="F2798" s="11">
        <v>458</v>
      </c>
      <c r="G2798" s="11">
        <v>12000</v>
      </c>
      <c r="H2798" s="11">
        <v>12550242</v>
      </c>
      <c r="I2798" s="11" t="s">
        <v>1415</v>
      </c>
      <c r="J2798" s="11" t="s">
        <v>272</v>
      </c>
      <c r="K2798" s="11" t="s">
        <v>13480</v>
      </c>
      <c r="L2798" s="11" t="s">
        <v>7599</v>
      </c>
      <c r="M2798" s="11" t="s">
        <v>13481</v>
      </c>
      <c r="N2798" s="11">
        <v>13866</v>
      </c>
      <c r="O2798" s="11">
        <v>13446</v>
      </c>
      <c r="P2798" s="11">
        <v>3</v>
      </c>
      <c r="Q2798" s="11" t="s">
        <v>13482</v>
      </c>
      <c r="R2798" s="14" t="s">
        <v>13483</v>
      </c>
      <c r="S2798" s="11">
        <v>55</v>
      </c>
      <c r="T2798" s="11" t="s">
        <v>39</v>
      </c>
      <c r="U2798" s="11" t="s">
        <v>40</v>
      </c>
      <c r="V2798" s="11" t="s">
        <v>586</v>
      </c>
      <c r="W2798" s="13"/>
      <c r="X2798" s="11">
        <v>2007</v>
      </c>
      <c r="Y2798" s="11">
        <v>490</v>
      </c>
      <c r="Z2798" s="11">
        <v>5.5</v>
      </c>
      <c r="AA2798" s="11">
        <v>1.85</v>
      </c>
      <c r="AB2798" s="11">
        <v>488</v>
      </c>
      <c r="AC2798" s="11"/>
      <c r="AD2798" s="11" t="str">
        <f>IFERROR(__xludf.DUMMYFUNCTION("""COMPUTED_VALUE"""),"Thomas Law")</f>
        <v>Thomas Law</v>
      </c>
      <c r="AE2798" s="11"/>
    </row>
    <row r="2799" customHeight="1" spans="1:31">
      <c r="A2799" s="12" t="s">
        <v>30</v>
      </c>
      <c r="B2799" s="12" t="s">
        <v>13484</v>
      </c>
      <c r="C2799" s="12">
        <v>205</v>
      </c>
      <c r="D2799" s="12">
        <v>85</v>
      </c>
      <c r="E2799" s="12">
        <v>52</v>
      </c>
      <c r="F2799" s="12">
        <v>489</v>
      </c>
      <c r="G2799" s="12">
        <v>1000</v>
      </c>
      <c r="H2799" s="12">
        <v>12610731</v>
      </c>
      <c r="I2799" s="12" t="s">
        <v>2208</v>
      </c>
      <c r="J2799" s="12" t="s">
        <v>1116</v>
      </c>
      <c r="K2799" s="12" t="s">
        <v>13485</v>
      </c>
      <c r="L2799" s="12" t="s">
        <v>13486</v>
      </c>
      <c r="M2799" s="12" t="s">
        <v>13487</v>
      </c>
      <c r="N2799" s="12">
        <v>38985</v>
      </c>
      <c r="O2799" s="12">
        <v>3050</v>
      </c>
      <c r="P2799" s="12">
        <v>1</v>
      </c>
      <c r="Q2799" s="12" t="s">
        <v>13488</v>
      </c>
      <c r="R2799" s="15" t="s">
        <v>13489</v>
      </c>
      <c r="S2799" s="12">
        <v>673</v>
      </c>
      <c r="T2799" s="12" t="s">
        <v>39</v>
      </c>
      <c r="U2799" s="12" t="s">
        <v>40</v>
      </c>
      <c r="V2799" s="12" t="s">
        <v>586</v>
      </c>
      <c r="W2799" s="12">
        <v>11000000</v>
      </c>
      <c r="X2799" s="12">
        <v>2001</v>
      </c>
      <c r="Y2799" s="12">
        <v>935</v>
      </c>
      <c r="Z2799" s="12">
        <v>4.4</v>
      </c>
      <c r="AA2799" s="12">
        <v>1.85</v>
      </c>
      <c r="AB2799" s="12">
        <v>0</v>
      </c>
      <c r="AC2799" s="12"/>
      <c r="AD2799" s="12" t="str">
        <f>IFERROR(__xludf.DUMMYFUNCTION("""COMPUTED_VALUE"""),"Jasper Levine")</f>
        <v>Jasper Levine</v>
      </c>
      <c r="AE2799" s="12"/>
    </row>
    <row r="2800" customHeight="1" spans="1:31">
      <c r="A2800" s="11" t="s">
        <v>30</v>
      </c>
      <c r="B2800" s="11" t="s">
        <v>810</v>
      </c>
      <c r="C2800" s="11">
        <v>69</v>
      </c>
      <c r="D2800" s="11">
        <v>88</v>
      </c>
      <c r="E2800" s="11">
        <v>189</v>
      </c>
      <c r="F2800" s="11">
        <v>799</v>
      </c>
      <c r="G2800" s="11">
        <v>934</v>
      </c>
      <c r="H2800" s="11">
        <v>47811275</v>
      </c>
      <c r="I2800" s="11" t="s">
        <v>2359</v>
      </c>
      <c r="J2800" s="11" t="s">
        <v>8307</v>
      </c>
      <c r="K2800" s="11" t="s">
        <v>9033</v>
      </c>
      <c r="L2800" s="11" t="s">
        <v>12758</v>
      </c>
      <c r="M2800" s="11" t="s">
        <v>12759</v>
      </c>
      <c r="N2800" s="11">
        <v>29008</v>
      </c>
      <c r="O2800" s="11">
        <v>3707</v>
      </c>
      <c r="P2800" s="11">
        <v>1</v>
      </c>
      <c r="Q2800" s="11" t="s">
        <v>12760</v>
      </c>
      <c r="R2800" s="14" t="s">
        <v>12761</v>
      </c>
      <c r="S2800" s="11">
        <v>99</v>
      </c>
      <c r="T2800" s="11" t="s">
        <v>39</v>
      </c>
      <c r="U2800" s="11" t="s">
        <v>40</v>
      </c>
      <c r="V2800" s="11" t="s">
        <v>96</v>
      </c>
      <c r="W2800" s="11">
        <v>15000000</v>
      </c>
      <c r="X2800" s="11">
        <v>2002</v>
      </c>
      <c r="Y2800" s="11">
        <v>927</v>
      </c>
      <c r="Z2800" s="11">
        <v>5.4</v>
      </c>
      <c r="AA2800" s="11">
        <v>1.85</v>
      </c>
      <c r="AB2800" s="11">
        <v>896</v>
      </c>
      <c r="AC2800" s="11"/>
      <c r="AD2800" s="11" t="str">
        <f>IFERROR(__xludf.DUMMYFUNCTION("""COMPUTED_VALUE"""),"Kay Panabaker")</f>
        <v>Kay Panabaker</v>
      </c>
      <c r="AE2800" s="11"/>
    </row>
    <row r="2801" customHeight="1" spans="1:31">
      <c r="A2801" s="12" t="s">
        <v>30</v>
      </c>
      <c r="B2801" s="12" t="s">
        <v>13490</v>
      </c>
      <c r="C2801" s="12">
        <v>195</v>
      </c>
      <c r="D2801" s="12">
        <v>112</v>
      </c>
      <c r="E2801" s="12">
        <v>0</v>
      </c>
      <c r="F2801" s="12">
        <v>383</v>
      </c>
      <c r="G2801" s="12">
        <v>12000</v>
      </c>
      <c r="H2801" s="12">
        <v>11204499</v>
      </c>
      <c r="I2801" s="12" t="s">
        <v>6520</v>
      </c>
      <c r="J2801" s="12" t="s">
        <v>763</v>
      </c>
      <c r="K2801" s="12" t="s">
        <v>6426</v>
      </c>
      <c r="L2801" s="12" t="s">
        <v>3248</v>
      </c>
      <c r="M2801" s="12" t="s">
        <v>13491</v>
      </c>
      <c r="N2801" s="12">
        <v>38142</v>
      </c>
      <c r="O2801" s="12">
        <v>13528</v>
      </c>
      <c r="P2801" s="12">
        <v>0</v>
      </c>
      <c r="Q2801" s="12" t="s">
        <v>13492</v>
      </c>
      <c r="R2801" s="15" t="s">
        <v>13493</v>
      </c>
      <c r="S2801" s="12">
        <v>270</v>
      </c>
      <c r="T2801" s="12" t="s">
        <v>39</v>
      </c>
      <c r="U2801" s="12" t="s">
        <v>40</v>
      </c>
      <c r="V2801" s="12" t="s">
        <v>586</v>
      </c>
      <c r="W2801" s="12">
        <v>14000000</v>
      </c>
      <c r="X2801" s="12">
        <v>2006</v>
      </c>
      <c r="Y2801" s="12">
        <v>593</v>
      </c>
      <c r="Z2801" s="12">
        <v>7</v>
      </c>
      <c r="AA2801" s="12">
        <v>2.35</v>
      </c>
      <c r="AB2801" s="12">
        <v>0</v>
      </c>
      <c r="AC2801" s="12"/>
      <c r="AD2801" s="12" t="str">
        <f>IFERROR(__xludf.DUMMYFUNCTION("""COMPUTED_VALUE"""),"Jay Laga'aia")</f>
        <v>Jay Laga'aia</v>
      </c>
      <c r="AE2801" s="12"/>
    </row>
    <row r="2802" customHeight="1" spans="1:31">
      <c r="A2802" s="11" t="s">
        <v>30</v>
      </c>
      <c r="B2802" s="11" t="s">
        <v>2043</v>
      </c>
      <c r="C2802" s="11">
        <v>61</v>
      </c>
      <c r="D2802" s="11">
        <v>86</v>
      </c>
      <c r="E2802" s="11">
        <v>70</v>
      </c>
      <c r="F2802" s="11">
        <v>169</v>
      </c>
      <c r="G2802" s="11">
        <v>878</v>
      </c>
      <c r="H2802" s="11">
        <v>10397365</v>
      </c>
      <c r="I2802" s="11" t="s">
        <v>13494</v>
      </c>
      <c r="J2802" s="11" t="s">
        <v>2637</v>
      </c>
      <c r="K2802" s="11" t="s">
        <v>1708</v>
      </c>
      <c r="L2802" s="11" t="s">
        <v>13495</v>
      </c>
      <c r="M2802" s="11" t="s">
        <v>13496</v>
      </c>
      <c r="N2802" s="11">
        <v>11693</v>
      </c>
      <c r="O2802" s="11">
        <v>2165</v>
      </c>
      <c r="P2802" s="11">
        <v>5</v>
      </c>
      <c r="Q2802" s="11" t="s">
        <v>13497</v>
      </c>
      <c r="R2802" s="14" t="s">
        <v>13498</v>
      </c>
      <c r="S2802" s="11">
        <v>104</v>
      </c>
      <c r="T2802" s="11" t="s">
        <v>39</v>
      </c>
      <c r="U2802" s="11" t="s">
        <v>40</v>
      </c>
      <c r="V2802" s="11" t="s">
        <v>41</v>
      </c>
      <c r="W2802" s="11">
        <v>14000000</v>
      </c>
      <c r="X2802" s="11">
        <v>2001</v>
      </c>
      <c r="Y2802" s="11">
        <v>834</v>
      </c>
      <c r="Z2802" s="11">
        <v>5.4</v>
      </c>
      <c r="AA2802" s="11">
        <v>2.35</v>
      </c>
      <c r="AB2802" s="11">
        <v>613</v>
      </c>
      <c r="AC2802" s="11"/>
      <c r="AD2802" s="11" t="str">
        <f>IFERROR(__xludf.DUMMYFUNCTION("""COMPUTED_VALUE"""),"Damien Garvey")</f>
        <v>Damien Garvey</v>
      </c>
      <c r="AE2802" s="11"/>
    </row>
    <row r="2803" customHeight="1" spans="1:31">
      <c r="A2803" s="12" t="s">
        <v>30</v>
      </c>
      <c r="B2803" s="12" t="s">
        <v>13499</v>
      </c>
      <c r="C2803" s="12">
        <v>77</v>
      </c>
      <c r="D2803" s="12">
        <v>86</v>
      </c>
      <c r="E2803" s="12">
        <v>90</v>
      </c>
      <c r="F2803" s="12">
        <v>635</v>
      </c>
      <c r="G2803" s="12">
        <v>962</v>
      </c>
      <c r="H2803" s="12">
        <v>9402410</v>
      </c>
      <c r="I2803" s="12" t="s">
        <v>4220</v>
      </c>
      <c r="J2803" s="12" t="s">
        <v>4690</v>
      </c>
      <c r="K2803" s="12" t="s">
        <v>12727</v>
      </c>
      <c r="L2803" s="12" t="s">
        <v>13500</v>
      </c>
      <c r="M2803" s="12" t="s">
        <v>13501</v>
      </c>
      <c r="N2803" s="12">
        <v>11233</v>
      </c>
      <c r="O2803" s="12">
        <v>3715</v>
      </c>
      <c r="P2803" s="12">
        <v>1</v>
      </c>
      <c r="Q2803" s="12" t="s">
        <v>13502</v>
      </c>
      <c r="R2803" s="15" t="s">
        <v>13503</v>
      </c>
      <c r="S2803" s="12">
        <v>32</v>
      </c>
      <c r="T2803" s="12" t="s">
        <v>39</v>
      </c>
      <c r="U2803" s="12" t="s">
        <v>40</v>
      </c>
      <c r="V2803" s="12" t="s">
        <v>41</v>
      </c>
      <c r="W2803" s="12">
        <v>14000000</v>
      </c>
      <c r="X2803" s="12">
        <v>2012</v>
      </c>
      <c r="Y2803" s="12">
        <v>925</v>
      </c>
      <c r="Z2803" s="12">
        <v>5.4</v>
      </c>
      <c r="AA2803" s="12">
        <v>2.35</v>
      </c>
      <c r="AB2803" s="12">
        <v>0</v>
      </c>
      <c r="AC2803" s="12"/>
      <c r="AD2803" s="12" t="str">
        <f>IFERROR(__xludf.DUMMYFUNCTION("""COMPUTED_VALUE"""),"Tiffany Lamb")</f>
        <v>Tiffany Lamb</v>
      </c>
      <c r="AE2803" s="12"/>
    </row>
    <row r="2804" customHeight="1" spans="1:31">
      <c r="A2804" s="11" t="s">
        <v>30</v>
      </c>
      <c r="B2804" s="11" t="s">
        <v>13504</v>
      </c>
      <c r="C2804" s="11">
        <v>259</v>
      </c>
      <c r="D2804" s="11">
        <v>112</v>
      </c>
      <c r="E2804" s="11">
        <v>232</v>
      </c>
      <c r="F2804" s="11">
        <v>177</v>
      </c>
      <c r="G2804" s="11">
        <v>413</v>
      </c>
      <c r="H2804" s="11">
        <v>5990075</v>
      </c>
      <c r="I2804" s="11" t="s">
        <v>1544</v>
      </c>
      <c r="J2804" s="11" t="s">
        <v>13505</v>
      </c>
      <c r="K2804" s="11" t="s">
        <v>129</v>
      </c>
      <c r="L2804" s="11" t="s">
        <v>13506</v>
      </c>
      <c r="M2804" s="11" t="s">
        <v>13507</v>
      </c>
      <c r="N2804" s="11">
        <v>89906</v>
      </c>
      <c r="O2804" s="11">
        <v>1372</v>
      </c>
      <c r="P2804" s="11">
        <v>1</v>
      </c>
      <c r="Q2804" s="11" t="s">
        <v>13508</v>
      </c>
      <c r="R2804" s="14" t="s">
        <v>13509</v>
      </c>
      <c r="S2804" s="11">
        <v>175</v>
      </c>
      <c r="T2804" s="11" t="s">
        <v>1465</v>
      </c>
      <c r="U2804" s="11" t="s">
        <v>1466</v>
      </c>
      <c r="V2804" s="11" t="s">
        <v>41</v>
      </c>
      <c r="W2804" s="13"/>
      <c r="X2804" s="11">
        <v>2007</v>
      </c>
      <c r="Y2804" s="11">
        <v>412</v>
      </c>
      <c r="Z2804" s="11">
        <v>8</v>
      </c>
      <c r="AA2804" s="11">
        <v>1.85</v>
      </c>
      <c r="AB2804" s="11">
        <v>13000</v>
      </c>
      <c r="AC2804" s="11"/>
      <c r="AD2804" s="11" t="str">
        <f>IFERROR(__xludf.DUMMYFUNCTION("""COMPUTED_VALUE"""),"Geoff Stults")</f>
        <v>Geoff Stults</v>
      </c>
      <c r="AE2804" s="11"/>
    </row>
    <row r="2805" customHeight="1" spans="1:31">
      <c r="A2805" s="12" t="s">
        <v>30</v>
      </c>
      <c r="B2805" s="12" t="s">
        <v>13510</v>
      </c>
      <c r="C2805" s="12">
        <v>251</v>
      </c>
      <c r="D2805" s="12">
        <v>137</v>
      </c>
      <c r="E2805" s="12">
        <v>143</v>
      </c>
      <c r="F2805" s="12">
        <v>280</v>
      </c>
      <c r="G2805" s="12">
        <v>14000</v>
      </c>
      <c r="H2805" s="12">
        <v>5459824</v>
      </c>
      <c r="I2805" s="12" t="s">
        <v>214</v>
      </c>
      <c r="J2805" s="12" t="s">
        <v>216</v>
      </c>
      <c r="K2805" s="12" t="s">
        <v>1469</v>
      </c>
      <c r="L2805" s="12" t="s">
        <v>13511</v>
      </c>
      <c r="M2805" s="12" t="s">
        <v>13512</v>
      </c>
      <c r="N2805" s="12">
        <v>92781</v>
      </c>
      <c r="O2805" s="12">
        <v>15337</v>
      </c>
      <c r="P2805" s="12">
        <v>0</v>
      </c>
      <c r="Q2805" s="12" t="s">
        <v>13513</v>
      </c>
      <c r="R2805" s="15" t="s">
        <v>13514</v>
      </c>
      <c r="S2805" s="12">
        <v>320</v>
      </c>
      <c r="T2805" s="12" t="s">
        <v>39</v>
      </c>
      <c r="U2805" s="12" t="s">
        <v>40</v>
      </c>
      <c r="V2805" s="12" t="s">
        <v>586</v>
      </c>
      <c r="W2805" s="12">
        <v>26000000</v>
      </c>
      <c r="X2805" s="12">
        <v>2006</v>
      </c>
      <c r="Y2805" s="12">
        <v>617</v>
      </c>
      <c r="Z2805" s="12">
        <v>7.6</v>
      </c>
      <c r="AA2805" s="12">
        <v>2.35</v>
      </c>
      <c r="AB2805" s="12">
        <v>5000</v>
      </c>
      <c r="AC2805" s="12"/>
      <c r="AD2805" s="12" t="str">
        <f>IFERROR(__xludf.DUMMYFUNCTION("""COMPUTED_VALUE"""),"Brett Cullen")</f>
        <v>Brett Cullen</v>
      </c>
      <c r="AE2805" s="12"/>
    </row>
    <row r="2806" customHeight="1" spans="1:31">
      <c r="A2806" s="11" t="s">
        <v>30</v>
      </c>
      <c r="B2806" s="11" t="s">
        <v>13515</v>
      </c>
      <c r="C2806" s="11">
        <v>63</v>
      </c>
      <c r="D2806" s="11">
        <v>90</v>
      </c>
      <c r="E2806" s="11">
        <v>49</v>
      </c>
      <c r="F2806" s="11">
        <v>191</v>
      </c>
      <c r="G2806" s="11">
        <v>12000</v>
      </c>
      <c r="H2806" s="11">
        <v>5108820</v>
      </c>
      <c r="I2806" s="11" t="s">
        <v>1924</v>
      </c>
      <c r="J2806" s="11" t="s">
        <v>4838</v>
      </c>
      <c r="K2806" s="11" t="s">
        <v>11104</v>
      </c>
      <c r="L2806" s="11" t="s">
        <v>13516</v>
      </c>
      <c r="M2806" s="11" t="s">
        <v>13517</v>
      </c>
      <c r="N2806" s="11">
        <v>12519</v>
      </c>
      <c r="O2806" s="11">
        <v>12776</v>
      </c>
      <c r="P2806" s="11">
        <v>5</v>
      </c>
      <c r="Q2806" s="11" t="s">
        <v>13518</v>
      </c>
      <c r="R2806" s="14" t="s">
        <v>13519</v>
      </c>
      <c r="S2806" s="11">
        <v>112</v>
      </c>
      <c r="T2806" s="11" t="s">
        <v>39</v>
      </c>
      <c r="U2806" s="11" t="s">
        <v>40</v>
      </c>
      <c r="V2806" s="11" t="s">
        <v>586</v>
      </c>
      <c r="W2806" s="11">
        <v>24000000</v>
      </c>
      <c r="X2806" s="11">
        <v>2000</v>
      </c>
      <c r="Y2806" s="11">
        <v>215</v>
      </c>
      <c r="Z2806" s="11">
        <v>5.9</v>
      </c>
      <c r="AA2806" s="11">
        <v>2.35</v>
      </c>
      <c r="AB2806" s="11">
        <v>853</v>
      </c>
      <c r="AC2806" s="11"/>
      <c r="AD2806" s="11" t="str">
        <f>IFERROR(__xludf.DUMMYFUNCTION("""COMPUTED_VALUE"""),"Toby Hemingway")</f>
        <v>Toby Hemingway</v>
      </c>
      <c r="AE2806" s="11"/>
    </row>
    <row r="2807" customHeight="1" spans="1:31">
      <c r="A2807" s="12" t="s">
        <v>30</v>
      </c>
      <c r="B2807" s="12" t="s">
        <v>1018</v>
      </c>
      <c r="C2807" s="12">
        <v>47</v>
      </c>
      <c r="D2807" s="12">
        <v>107</v>
      </c>
      <c r="E2807" s="12">
        <v>956</v>
      </c>
      <c r="F2807" s="12">
        <v>113</v>
      </c>
      <c r="G2807" s="12">
        <v>10000</v>
      </c>
      <c r="H2807" s="12">
        <v>4741987</v>
      </c>
      <c r="I2807" s="12" t="s">
        <v>3410</v>
      </c>
      <c r="J2807" s="12" t="s">
        <v>2825</v>
      </c>
      <c r="K2807" s="12" t="s">
        <v>2492</v>
      </c>
      <c r="L2807" s="12" t="s">
        <v>13520</v>
      </c>
      <c r="M2807" s="12" t="s">
        <v>13521</v>
      </c>
      <c r="N2807" s="12">
        <v>6782</v>
      </c>
      <c r="O2807" s="12">
        <v>10368</v>
      </c>
      <c r="P2807" s="12">
        <v>1</v>
      </c>
      <c r="Q2807" s="12" t="s">
        <v>13522</v>
      </c>
      <c r="R2807" s="15" t="s">
        <v>13523</v>
      </c>
      <c r="S2807" s="12">
        <v>114</v>
      </c>
      <c r="T2807" s="12" t="s">
        <v>39</v>
      </c>
      <c r="U2807" s="12" t="s">
        <v>40</v>
      </c>
      <c r="V2807" s="12" t="s">
        <v>586</v>
      </c>
      <c r="W2807" s="12">
        <v>14000000</v>
      </c>
      <c r="X2807" s="12">
        <v>1999</v>
      </c>
      <c r="Y2807" s="12">
        <v>233</v>
      </c>
      <c r="Z2807" s="12">
        <v>6.6</v>
      </c>
      <c r="AA2807" s="12">
        <v>1.85</v>
      </c>
      <c r="AB2807" s="12">
        <v>860</v>
      </c>
      <c r="AC2807" s="12"/>
      <c r="AD2807" s="12" t="str">
        <f>IFERROR(__xludf.DUMMYFUNCTION("""COMPUTED_VALUE"""),"Vanessa Lengies")</f>
        <v>Vanessa Lengies</v>
      </c>
      <c r="AE2807" s="12"/>
    </row>
    <row r="2808" customHeight="1" spans="1:31">
      <c r="A2808" s="11" t="s">
        <v>30</v>
      </c>
      <c r="B2808" s="11" t="s">
        <v>1199</v>
      </c>
      <c r="C2808" s="11">
        <v>108</v>
      </c>
      <c r="D2808" s="11">
        <v>98</v>
      </c>
      <c r="E2808" s="11">
        <v>176</v>
      </c>
      <c r="F2808" s="11">
        <v>15</v>
      </c>
      <c r="G2808" s="11">
        <v>543</v>
      </c>
      <c r="H2808" s="11">
        <v>4291965</v>
      </c>
      <c r="I2808" s="11" t="s">
        <v>5941</v>
      </c>
      <c r="J2808" s="11" t="s">
        <v>8336</v>
      </c>
      <c r="K2808" s="11" t="s">
        <v>7806</v>
      </c>
      <c r="L2808" s="11" t="s">
        <v>13524</v>
      </c>
      <c r="M2808" s="11" t="s">
        <v>13525</v>
      </c>
      <c r="N2808" s="11">
        <v>9334</v>
      </c>
      <c r="O2808" s="11">
        <v>678</v>
      </c>
      <c r="P2808" s="11">
        <v>3</v>
      </c>
      <c r="Q2808" s="11" t="s">
        <v>13526</v>
      </c>
      <c r="R2808" s="14" t="s">
        <v>13527</v>
      </c>
      <c r="S2808" s="11">
        <v>59</v>
      </c>
      <c r="T2808" s="11" t="s">
        <v>39</v>
      </c>
      <c r="U2808" s="11" t="s">
        <v>1466</v>
      </c>
      <c r="V2808" s="11" t="s">
        <v>41</v>
      </c>
      <c r="W2808" s="11">
        <v>14000000</v>
      </c>
      <c r="X2808" s="11">
        <v>2006</v>
      </c>
      <c r="Y2808" s="11">
        <v>113</v>
      </c>
      <c r="Z2808" s="11">
        <v>6.7</v>
      </c>
      <c r="AA2808" s="11">
        <v>2.35</v>
      </c>
      <c r="AB2808" s="11">
        <v>447</v>
      </c>
      <c r="AC2808" s="11"/>
      <c r="AD2808" s="11" t="str">
        <f>IFERROR(__xludf.DUMMYFUNCTION("""COMPUTED_VALUE"""),"John Patrick Amedori")</f>
        <v>John Patrick Amedori</v>
      </c>
      <c r="AE2808" s="11"/>
    </row>
    <row r="2809" customHeight="1" spans="1:31">
      <c r="A2809" s="12" t="s">
        <v>30</v>
      </c>
      <c r="B2809" s="12" t="s">
        <v>13528</v>
      </c>
      <c r="C2809" s="12">
        <v>64</v>
      </c>
      <c r="D2809" s="12">
        <v>84</v>
      </c>
      <c r="E2809" s="12">
        <v>12</v>
      </c>
      <c r="F2809" s="12">
        <v>102</v>
      </c>
      <c r="G2809" s="12">
        <v>159</v>
      </c>
      <c r="H2809" s="12">
        <v>3100650</v>
      </c>
      <c r="I2809" s="12" t="s">
        <v>6133</v>
      </c>
      <c r="J2809" s="12" t="s">
        <v>13529</v>
      </c>
      <c r="K2809" s="12" t="s">
        <v>13530</v>
      </c>
      <c r="L2809" s="12" t="s">
        <v>13531</v>
      </c>
      <c r="M2809" s="12" t="s">
        <v>13532</v>
      </c>
      <c r="N2809" s="12">
        <v>7277</v>
      </c>
      <c r="O2809" s="12">
        <v>417</v>
      </c>
      <c r="P2809" s="12">
        <v>4</v>
      </c>
      <c r="Q2809" s="12" t="s">
        <v>13533</v>
      </c>
      <c r="R2809" s="15" t="s">
        <v>13534</v>
      </c>
      <c r="S2809" s="12">
        <v>181</v>
      </c>
      <c r="T2809" s="12" t="s">
        <v>39</v>
      </c>
      <c r="U2809" s="12" t="s">
        <v>40</v>
      </c>
      <c r="V2809" s="12" t="s">
        <v>41</v>
      </c>
      <c r="W2809" s="12">
        <v>14000000</v>
      </c>
      <c r="X2809" s="12">
        <v>2001</v>
      </c>
      <c r="Y2809" s="12">
        <v>102</v>
      </c>
      <c r="Z2809" s="12">
        <v>3.9</v>
      </c>
      <c r="AA2809" s="12">
        <v>1.85</v>
      </c>
      <c r="AB2809" s="12">
        <v>231</v>
      </c>
      <c r="AC2809" s="12"/>
      <c r="AD2809" s="12" t="str">
        <f>IFERROR(__xludf.DUMMYFUNCTION("""COMPUTED_VALUE"""),"Jake Short")</f>
        <v>Jake Short</v>
      </c>
      <c r="AE2809" s="12"/>
    </row>
    <row r="2810" customHeight="1" spans="1:31">
      <c r="A2810" s="11" t="s">
        <v>30</v>
      </c>
      <c r="B2810" s="11" t="s">
        <v>12561</v>
      </c>
      <c r="C2810" s="11">
        <v>20</v>
      </c>
      <c r="D2810" s="11">
        <v>139</v>
      </c>
      <c r="E2810" s="11">
        <v>133</v>
      </c>
      <c r="F2810" s="11">
        <v>5</v>
      </c>
      <c r="G2810" s="11">
        <v>423</v>
      </c>
      <c r="H2810" s="11">
        <v>2474000</v>
      </c>
      <c r="I2810" s="11" t="s">
        <v>6113</v>
      </c>
      <c r="J2810" s="11" t="s">
        <v>1844</v>
      </c>
      <c r="K2810" s="11" t="s">
        <v>13535</v>
      </c>
      <c r="L2810" s="11" t="s">
        <v>13536</v>
      </c>
      <c r="M2810" s="11" t="s">
        <v>13537</v>
      </c>
      <c r="N2810" s="11">
        <v>2427</v>
      </c>
      <c r="O2810" s="11">
        <v>446</v>
      </c>
      <c r="P2810" s="11">
        <v>1</v>
      </c>
      <c r="Q2810" s="11" t="s">
        <v>13538</v>
      </c>
      <c r="R2810" s="14" t="s">
        <v>13539</v>
      </c>
      <c r="S2810" s="11">
        <v>27</v>
      </c>
      <c r="T2810" s="11" t="s">
        <v>39</v>
      </c>
      <c r="U2810" s="11" t="s">
        <v>1466</v>
      </c>
      <c r="V2810" s="11" t="s">
        <v>41</v>
      </c>
      <c r="W2810" s="11">
        <v>14000000</v>
      </c>
      <c r="X2810" s="11">
        <v>1995</v>
      </c>
      <c r="Y2810" s="11">
        <v>15</v>
      </c>
      <c r="Z2810" s="11">
        <v>5.7</v>
      </c>
      <c r="AA2810" s="11">
        <v>1.85</v>
      </c>
      <c r="AB2810" s="11">
        <v>127</v>
      </c>
      <c r="AC2810" s="11"/>
      <c r="AD2810" s="11" t="str">
        <f>IFERROR(__xludf.DUMMYFUNCTION("""COMPUTED_VALUE"""),"Samira Wiley")</f>
        <v>Samira Wiley</v>
      </c>
      <c r="AE2810" s="11"/>
    </row>
    <row r="2811" customHeight="1" spans="1:31">
      <c r="A2811" s="12" t="s">
        <v>30</v>
      </c>
      <c r="B2811" s="12" t="s">
        <v>12968</v>
      </c>
      <c r="C2811" s="12">
        <v>135</v>
      </c>
      <c r="D2811" s="12">
        <v>97</v>
      </c>
      <c r="E2811" s="12">
        <v>11</v>
      </c>
      <c r="F2811" s="12">
        <v>548</v>
      </c>
      <c r="G2811" s="12">
        <v>14000</v>
      </c>
      <c r="H2811" s="12">
        <v>2656324</v>
      </c>
      <c r="I2811" s="12" t="s">
        <v>1681</v>
      </c>
      <c r="J2811" s="12" t="s">
        <v>439</v>
      </c>
      <c r="K2811" s="12" t="s">
        <v>203</v>
      </c>
      <c r="L2811" s="12" t="s">
        <v>5794</v>
      </c>
      <c r="M2811" s="12" t="s">
        <v>13540</v>
      </c>
      <c r="N2811" s="12">
        <v>16444</v>
      </c>
      <c r="O2811" s="12">
        <v>16431</v>
      </c>
      <c r="P2811" s="12">
        <v>4</v>
      </c>
      <c r="Q2811" s="12" t="s">
        <v>13541</v>
      </c>
      <c r="R2811" s="15" t="s">
        <v>13542</v>
      </c>
      <c r="S2811" s="12">
        <v>79</v>
      </c>
      <c r="T2811" s="12" t="s">
        <v>39</v>
      </c>
      <c r="U2811" s="12" t="s">
        <v>58</v>
      </c>
      <c r="V2811" s="12" t="s">
        <v>41</v>
      </c>
      <c r="W2811" s="16"/>
      <c r="X2811" s="12">
        <v>2008</v>
      </c>
      <c r="Y2811" s="12">
        <v>1000</v>
      </c>
      <c r="Z2811" s="12">
        <v>6.7</v>
      </c>
      <c r="AA2811" s="12">
        <v>2.35</v>
      </c>
      <c r="AB2811" s="12">
        <v>2000</v>
      </c>
      <c r="AC2811" s="12"/>
      <c r="AD2811" s="12" t="str">
        <f>IFERROR(__xludf.DUMMYFUNCTION("""COMPUTED_VALUE"""),"Tom Bower")</f>
        <v>Tom Bower</v>
      </c>
      <c r="AE2811" s="12"/>
    </row>
    <row r="2812" customHeight="1" spans="1:31">
      <c r="A2812" s="11" t="s">
        <v>30</v>
      </c>
      <c r="B2812" s="11" t="s">
        <v>13543</v>
      </c>
      <c r="C2812" s="11">
        <v>2</v>
      </c>
      <c r="D2812" s="11">
        <v>127</v>
      </c>
      <c r="E2812" s="11">
        <v>109</v>
      </c>
      <c r="F2812" s="11">
        <v>324</v>
      </c>
      <c r="G2812" s="11">
        <v>16000</v>
      </c>
      <c r="H2812" s="11">
        <v>1000000</v>
      </c>
      <c r="I2812" s="11" t="s">
        <v>1313</v>
      </c>
      <c r="J2812" s="11" t="s">
        <v>201</v>
      </c>
      <c r="K2812" s="11" t="s">
        <v>9669</v>
      </c>
      <c r="L2812" s="11" t="s">
        <v>13544</v>
      </c>
      <c r="M2812" s="11" t="s">
        <v>13545</v>
      </c>
      <c r="N2812" s="11">
        <v>524</v>
      </c>
      <c r="O2812" s="11">
        <v>17250</v>
      </c>
      <c r="P2812" s="11">
        <v>0</v>
      </c>
      <c r="Q2812" s="11" t="s">
        <v>13546</v>
      </c>
      <c r="R2812" s="14" t="s">
        <v>13547</v>
      </c>
      <c r="S2812" s="11">
        <v>8</v>
      </c>
      <c r="T2812" s="11" t="s">
        <v>39</v>
      </c>
      <c r="U2812" s="11" t="s">
        <v>13548</v>
      </c>
      <c r="V2812" s="11" t="s">
        <v>96</v>
      </c>
      <c r="W2812" s="11">
        <v>14000000</v>
      </c>
      <c r="X2812" s="11">
        <v>1978</v>
      </c>
      <c r="Y2812" s="11">
        <v>469</v>
      </c>
      <c r="Z2812" s="11">
        <v>6.5</v>
      </c>
      <c r="AA2812" s="11">
        <v>2.35</v>
      </c>
      <c r="AB2812" s="11">
        <v>76</v>
      </c>
      <c r="AC2812" s="11"/>
      <c r="AD2812" s="11" t="str">
        <f>IFERROR(__xludf.DUMMYFUNCTION("""COMPUTED_VALUE"""),"Sheryl Lee")</f>
        <v>Sheryl Lee</v>
      </c>
      <c r="AE2812" s="11"/>
    </row>
    <row r="2813" customHeight="1" spans="1:31">
      <c r="A2813" s="12" t="s">
        <v>30</v>
      </c>
      <c r="B2813" s="12" t="s">
        <v>11328</v>
      </c>
      <c r="C2813" s="12">
        <v>262</v>
      </c>
      <c r="D2813" s="12">
        <v>150</v>
      </c>
      <c r="E2813" s="12">
        <v>608</v>
      </c>
      <c r="F2813" s="12">
        <v>43</v>
      </c>
      <c r="G2813" s="12">
        <v>149</v>
      </c>
      <c r="H2813" s="12">
        <v>3958500</v>
      </c>
      <c r="I2813" s="12" t="s">
        <v>5941</v>
      </c>
      <c r="J2813" s="12" t="s">
        <v>11330</v>
      </c>
      <c r="K2813" s="12" t="s">
        <v>13549</v>
      </c>
      <c r="L2813" s="12" t="s">
        <v>13550</v>
      </c>
      <c r="M2813" s="12" t="s">
        <v>13551</v>
      </c>
      <c r="N2813" s="12">
        <v>17933</v>
      </c>
      <c r="O2813" s="12">
        <v>390</v>
      </c>
      <c r="P2813" s="12">
        <v>0</v>
      </c>
      <c r="Q2813" s="12" t="s">
        <v>13552</v>
      </c>
      <c r="R2813" s="15" t="s">
        <v>13553</v>
      </c>
      <c r="S2813" s="12">
        <v>165</v>
      </c>
      <c r="T2813" s="12" t="s">
        <v>39</v>
      </c>
      <c r="U2813" s="12" t="s">
        <v>58</v>
      </c>
      <c r="V2813" s="12" t="s">
        <v>586</v>
      </c>
      <c r="W2813" s="12">
        <v>8200000</v>
      </c>
      <c r="X2813" s="12">
        <v>2014</v>
      </c>
      <c r="Y2813" s="12">
        <v>44</v>
      </c>
      <c r="Z2813" s="12">
        <v>6.8</v>
      </c>
      <c r="AA2813" s="12">
        <v>2.35</v>
      </c>
      <c r="AB2813" s="12">
        <v>0</v>
      </c>
      <c r="AC2813" s="12"/>
      <c r="AD2813" s="12" t="str">
        <f>IFERROR(__xludf.DUMMYFUNCTION("""COMPUTED_VALUE"""),"Pablo Sevilla")</f>
        <v>Pablo Sevilla</v>
      </c>
      <c r="AE2813" s="12"/>
    </row>
    <row r="2814" customHeight="1" spans="1:31">
      <c r="A2814" s="11" t="s">
        <v>30</v>
      </c>
      <c r="B2814" s="11" t="s">
        <v>13554</v>
      </c>
      <c r="C2814" s="11">
        <v>129</v>
      </c>
      <c r="D2814" s="11">
        <v>104</v>
      </c>
      <c r="E2814" s="11">
        <v>752</v>
      </c>
      <c r="F2814" s="11">
        <v>59</v>
      </c>
      <c r="G2814" s="11">
        <v>412</v>
      </c>
      <c r="H2814" s="11">
        <v>403649</v>
      </c>
      <c r="I2814" s="11" t="s">
        <v>214</v>
      </c>
      <c r="J2814" s="11" t="s">
        <v>129</v>
      </c>
      <c r="K2814" s="11" t="s">
        <v>13555</v>
      </c>
      <c r="L2814" s="11" t="s">
        <v>13556</v>
      </c>
      <c r="M2814" s="11" t="s">
        <v>13557</v>
      </c>
      <c r="N2814" s="11">
        <v>3174</v>
      </c>
      <c r="O2814" s="11">
        <v>799</v>
      </c>
      <c r="P2814" s="11">
        <v>0</v>
      </c>
      <c r="Q2814" s="11" t="s">
        <v>13558</v>
      </c>
      <c r="R2814" s="14" t="s">
        <v>13559</v>
      </c>
      <c r="S2814" s="11">
        <v>31</v>
      </c>
      <c r="T2814" s="11" t="s">
        <v>1465</v>
      </c>
      <c r="U2814" s="11" t="s">
        <v>1466</v>
      </c>
      <c r="V2814" s="11" t="s">
        <v>96</v>
      </c>
      <c r="W2814" s="13"/>
      <c r="X2814" s="11">
        <v>2009</v>
      </c>
      <c r="Y2814" s="11">
        <v>74</v>
      </c>
      <c r="Z2814" s="11">
        <v>6.3</v>
      </c>
      <c r="AA2814" s="11">
        <v>2.35</v>
      </c>
      <c r="AB2814" s="11">
        <v>512</v>
      </c>
      <c r="AC2814" s="11"/>
      <c r="AD2814" s="11" t="str">
        <f>IFERROR(__xludf.DUMMYFUNCTION("""COMPUTED_VALUE"""),"Janet Leigh")</f>
        <v>Janet Leigh</v>
      </c>
      <c r="AE2814" s="11"/>
    </row>
    <row r="2815" customHeight="1" spans="1:31">
      <c r="A2815" s="12" t="s">
        <v>30</v>
      </c>
      <c r="B2815" s="12" t="s">
        <v>5429</v>
      </c>
      <c r="C2815" s="12">
        <v>69</v>
      </c>
      <c r="D2815" s="12">
        <v>132</v>
      </c>
      <c r="E2815" s="12">
        <v>333</v>
      </c>
      <c r="F2815" s="12">
        <v>284</v>
      </c>
      <c r="G2815" s="12">
        <v>380</v>
      </c>
      <c r="H2815" s="12">
        <v>274299</v>
      </c>
      <c r="I2815" s="12" t="s">
        <v>13560</v>
      </c>
      <c r="J2815" s="12" t="s">
        <v>10487</v>
      </c>
      <c r="K2815" s="12" t="s">
        <v>5897</v>
      </c>
      <c r="L2815" s="12" t="s">
        <v>13561</v>
      </c>
      <c r="M2815" s="12" t="s">
        <v>13562</v>
      </c>
      <c r="N2815" s="12">
        <v>11077</v>
      </c>
      <c r="O2815" s="12">
        <v>1429</v>
      </c>
      <c r="P2815" s="12">
        <v>2</v>
      </c>
      <c r="Q2815" s="12" t="s">
        <v>13563</v>
      </c>
      <c r="R2815" s="15" t="s">
        <v>13564</v>
      </c>
      <c r="S2815" s="12">
        <v>55</v>
      </c>
      <c r="T2815" s="12" t="s">
        <v>39</v>
      </c>
      <c r="U2815" s="12" t="s">
        <v>1466</v>
      </c>
      <c r="V2815" s="12" t="s">
        <v>5614</v>
      </c>
      <c r="W2815" s="12">
        <v>103000000</v>
      </c>
      <c r="X2815" s="12">
        <v>2002</v>
      </c>
      <c r="Y2815" s="12">
        <v>326</v>
      </c>
      <c r="Z2815" s="12">
        <v>7.3</v>
      </c>
      <c r="AA2815" s="12">
        <v>1.85</v>
      </c>
      <c r="AB2815" s="12">
        <v>0</v>
      </c>
      <c r="AC2815" s="12"/>
      <c r="AD2815" s="12" t="str">
        <f>IFERROR(__xludf.DUMMYFUNCTION("""COMPUTED_VALUE"""),"Vera Miles")</f>
        <v>Vera Miles</v>
      </c>
      <c r="AE2815" s="12"/>
    </row>
    <row r="2816" customHeight="1" spans="1:31">
      <c r="A2816" s="11" t="s">
        <v>30</v>
      </c>
      <c r="B2816" s="11" t="s">
        <v>13565</v>
      </c>
      <c r="C2816" s="11">
        <v>50</v>
      </c>
      <c r="D2816" s="11">
        <v>117</v>
      </c>
      <c r="E2816" s="11">
        <v>2</v>
      </c>
      <c r="F2816" s="11">
        <v>21</v>
      </c>
      <c r="G2816" s="11">
        <v>149</v>
      </c>
      <c r="H2816" s="13"/>
      <c r="I2816" s="11" t="s">
        <v>1326</v>
      </c>
      <c r="J2816" s="11" t="s">
        <v>13566</v>
      </c>
      <c r="K2816" s="11" t="s">
        <v>12057</v>
      </c>
      <c r="L2816" s="11" t="s">
        <v>13567</v>
      </c>
      <c r="M2816" s="11" t="s">
        <v>13568</v>
      </c>
      <c r="N2816" s="11">
        <v>6069</v>
      </c>
      <c r="O2816" s="11">
        <v>243</v>
      </c>
      <c r="P2816" s="11">
        <v>2</v>
      </c>
      <c r="Q2816" s="11" t="s">
        <v>13569</v>
      </c>
      <c r="R2816" s="14" t="s">
        <v>13570</v>
      </c>
      <c r="S2816" s="11">
        <v>34</v>
      </c>
      <c r="T2816" s="11" t="s">
        <v>1947</v>
      </c>
      <c r="U2816" s="11" t="s">
        <v>893</v>
      </c>
      <c r="V2816" s="11" t="s">
        <v>586</v>
      </c>
      <c r="W2816" s="11">
        <v>12000000</v>
      </c>
      <c r="X2816" s="11">
        <v>2010</v>
      </c>
      <c r="Y2816" s="11">
        <v>32</v>
      </c>
      <c r="Z2816" s="11">
        <v>6.9</v>
      </c>
      <c r="AA2816" s="11">
        <v>2.35</v>
      </c>
      <c r="AB2816" s="11">
        <v>1000</v>
      </c>
      <c r="AC2816" s="11"/>
      <c r="AD2816" s="11" t="str">
        <f>IFERROR(__xludf.DUMMYFUNCTION("""COMPUTED_VALUE"""),"John Gavin")</f>
        <v>John Gavin</v>
      </c>
      <c r="AE2816" s="11"/>
    </row>
    <row r="2817" customHeight="1" spans="1:31">
      <c r="A2817" s="12" t="s">
        <v>30</v>
      </c>
      <c r="B2817" s="12" t="s">
        <v>2393</v>
      </c>
      <c r="C2817" s="12">
        <v>57</v>
      </c>
      <c r="D2817" s="12">
        <v>115</v>
      </c>
      <c r="E2817" s="12">
        <v>168</v>
      </c>
      <c r="F2817" s="12">
        <v>322</v>
      </c>
      <c r="G2817" s="12">
        <v>697</v>
      </c>
      <c r="H2817" s="12">
        <v>183088</v>
      </c>
      <c r="I2817" s="12" t="s">
        <v>11842</v>
      </c>
      <c r="J2817" s="12" t="s">
        <v>3198</v>
      </c>
      <c r="K2817" s="12" t="s">
        <v>1968</v>
      </c>
      <c r="L2817" s="12" t="s">
        <v>5069</v>
      </c>
      <c r="M2817" s="12" t="s">
        <v>13571</v>
      </c>
      <c r="N2817" s="12">
        <v>11704</v>
      </c>
      <c r="O2817" s="12">
        <v>2243</v>
      </c>
      <c r="P2817" s="12">
        <v>0</v>
      </c>
      <c r="Q2817" s="12" t="s">
        <v>13572</v>
      </c>
      <c r="R2817" s="15" t="s">
        <v>13573</v>
      </c>
      <c r="S2817" s="12">
        <v>36</v>
      </c>
      <c r="T2817" s="12" t="s">
        <v>39</v>
      </c>
      <c r="U2817" s="12" t="s">
        <v>40</v>
      </c>
      <c r="V2817" s="12" t="s">
        <v>586</v>
      </c>
      <c r="W2817" s="12">
        <v>15000000</v>
      </c>
      <c r="X2817" s="12">
        <v>2008</v>
      </c>
      <c r="Y2817" s="12">
        <v>329</v>
      </c>
      <c r="Z2817" s="12">
        <v>7</v>
      </c>
      <c r="AA2817" s="12">
        <v>1.85</v>
      </c>
      <c r="AB2817" s="12">
        <v>702</v>
      </c>
      <c r="AC2817" s="12"/>
      <c r="AD2817" s="12" t="str">
        <f>IFERROR(__xludf.DUMMYFUNCTION("""COMPUTED_VALUE"""),"Riki Lindhome")</f>
        <v>Riki Lindhome</v>
      </c>
      <c r="AE2817" s="12"/>
    </row>
    <row r="2818" customHeight="1" spans="1:31">
      <c r="A2818" s="11" t="s">
        <v>30</v>
      </c>
      <c r="B2818" s="11" t="s">
        <v>13574</v>
      </c>
      <c r="C2818" s="11">
        <v>116</v>
      </c>
      <c r="D2818" s="11">
        <v>186</v>
      </c>
      <c r="E2818" s="11">
        <v>50</v>
      </c>
      <c r="F2818" s="11">
        <v>338</v>
      </c>
      <c r="G2818" s="11">
        <v>13000</v>
      </c>
      <c r="H2818" s="11">
        <v>46495</v>
      </c>
      <c r="I2818" s="11" t="s">
        <v>3410</v>
      </c>
      <c r="J2818" s="11" t="s">
        <v>1158</v>
      </c>
      <c r="K2818" s="11" t="s">
        <v>2457</v>
      </c>
      <c r="L2818" s="11" t="s">
        <v>13575</v>
      </c>
      <c r="M2818" s="11" t="s">
        <v>13576</v>
      </c>
      <c r="N2818" s="11">
        <v>12053</v>
      </c>
      <c r="O2818" s="11">
        <v>14638</v>
      </c>
      <c r="P2818" s="11">
        <v>1</v>
      </c>
      <c r="Q2818" s="11" t="s">
        <v>13577</v>
      </c>
      <c r="R2818" s="14" t="s">
        <v>13578</v>
      </c>
      <c r="S2818" s="11">
        <v>119</v>
      </c>
      <c r="T2818" s="11" t="s">
        <v>39</v>
      </c>
      <c r="U2818" s="11" t="s">
        <v>40</v>
      </c>
      <c r="V2818" s="11" t="s">
        <v>586</v>
      </c>
      <c r="W2818" s="11">
        <v>14000000</v>
      </c>
      <c r="X2818" s="11">
        <v>2011</v>
      </c>
      <c r="Y2818" s="11">
        <v>1000</v>
      </c>
      <c r="Z2818" s="11">
        <v>6.5</v>
      </c>
      <c r="AA2818" s="11">
        <v>1.85</v>
      </c>
      <c r="AB2818" s="11">
        <v>0</v>
      </c>
      <c r="AC2818" s="11"/>
      <c r="AD2818" s="11" t="str">
        <f>IFERROR(__xludf.DUMMYFUNCTION("""COMPUTED_VALUE"""),"Billy Barty")</f>
        <v>Billy Barty</v>
      </c>
      <c r="AE2818" s="11"/>
    </row>
    <row r="2819" customHeight="1" spans="1:31">
      <c r="A2819" s="12" t="s">
        <v>30</v>
      </c>
      <c r="B2819" s="12" t="s">
        <v>13579</v>
      </c>
      <c r="C2819" s="12">
        <v>45</v>
      </c>
      <c r="D2819" s="12">
        <v>90</v>
      </c>
      <c r="E2819" s="12">
        <v>10</v>
      </c>
      <c r="F2819" s="12">
        <v>378</v>
      </c>
      <c r="G2819" s="12">
        <v>826</v>
      </c>
      <c r="H2819" s="16"/>
      <c r="I2819" s="12" t="s">
        <v>7579</v>
      </c>
      <c r="J2819" s="12" t="s">
        <v>7430</v>
      </c>
      <c r="K2819" s="12" t="s">
        <v>7223</v>
      </c>
      <c r="L2819" s="12" t="s">
        <v>13580</v>
      </c>
      <c r="M2819" s="12" t="s">
        <v>13581</v>
      </c>
      <c r="N2819" s="12">
        <v>9928</v>
      </c>
      <c r="O2819" s="12">
        <v>2207</v>
      </c>
      <c r="P2819" s="12">
        <v>7</v>
      </c>
      <c r="Q2819" s="12" t="s">
        <v>13582</v>
      </c>
      <c r="R2819" s="15" t="s">
        <v>13583</v>
      </c>
      <c r="S2819" s="12">
        <v>66</v>
      </c>
      <c r="T2819" s="12" t="s">
        <v>39</v>
      </c>
      <c r="U2819" s="12" t="s">
        <v>269</v>
      </c>
      <c r="V2819" s="12" t="s">
        <v>586</v>
      </c>
      <c r="W2819" s="16"/>
      <c r="X2819" s="12">
        <v>2009</v>
      </c>
      <c r="Y2819" s="12">
        <v>521</v>
      </c>
      <c r="Z2819" s="12">
        <v>3.6</v>
      </c>
      <c r="AA2819" s="12">
        <v>1.85</v>
      </c>
      <c r="AB2819" s="12">
        <v>934</v>
      </c>
      <c r="AC2819" s="12"/>
      <c r="AD2819" s="12" t="str">
        <f>IFERROR(__xludf.DUMMYFUNCTION("""COMPUTED_VALUE"""),"John Wood")</f>
        <v>John Wood</v>
      </c>
      <c r="AE2819" s="12"/>
    </row>
    <row r="2820" customHeight="1" spans="1:31">
      <c r="A2820" s="11" t="s">
        <v>30</v>
      </c>
      <c r="B2820" s="11" t="s">
        <v>3892</v>
      </c>
      <c r="C2820" s="11">
        <v>87</v>
      </c>
      <c r="D2820" s="11">
        <v>90</v>
      </c>
      <c r="E2820" s="11">
        <v>0</v>
      </c>
      <c r="F2820" s="11">
        <v>767</v>
      </c>
      <c r="G2820" s="11">
        <v>1000</v>
      </c>
      <c r="H2820" s="11">
        <v>1752214</v>
      </c>
      <c r="I2820" s="11" t="s">
        <v>1415</v>
      </c>
      <c r="J2820" s="11" t="s">
        <v>4685</v>
      </c>
      <c r="K2820" s="11" t="s">
        <v>8896</v>
      </c>
      <c r="L2820" s="11" t="s">
        <v>6446</v>
      </c>
      <c r="M2820" s="11" t="s">
        <v>13584</v>
      </c>
      <c r="N2820" s="11">
        <v>60460</v>
      </c>
      <c r="O2820" s="11">
        <v>4377</v>
      </c>
      <c r="P2820" s="11">
        <v>0</v>
      </c>
      <c r="Q2820" s="11" t="s">
        <v>13585</v>
      </c>
      <c r="R2820" s="14" t="s">
        <v>13586</v>
      </c>
      <c r="S2820" s="11">
        <v>104</v>
      </c>
      <c r="T2820" s="11" t="s">
        <v>39</v>
      </c>
      <c r="U2820" s="11" t="s">
        <v>40</v>
      </c>
      <c r="V2820" s="11" t="s">
        <v>96</v>
      </c>
      <c r="W2820" s="11">
        <v>14000000</v>
      </c>
      <c r="X2820" s="11">
        <v>2010</v>
      </c>
      <c r="Y2820" s="11">
        <v>872</v>
      </c>
      <c r="Z2820" s="11">
        <v>7.7</v>
      </c>
      <c r="AA2820" s="11">
        <v>1.85</v>
      </c>
      <c r="AB2820" s="11">
        <v>14000</v>
      </c>
      <c r="AC2820" s="11"/>
      <c r="AD2820" s="11" t="str">
        <f>IFERROR(__xludf.DUMMYFUNCTION("""COMPUTED_VALUE"""),"Leo McKern")</f>
        <v>Leo McKern</v>
      </c>
      <c r="AE2820" s="11"/>
    </row>
    <row r="2821" customHeight="1" spans="1:31">
      <c r="A2821" s="12" t="s">
        <v>30</v>
      </c>
      <c r="B2821" s="12" t="s">
        <v>1065</v>
      </c>
      <c r="C2821" s="12">
        <v>357</v>
      </c>
      <c r="D2821" s="12">
        <v>134</v>
      </c>
      <c r="E2821" s="12">
        <v>0</v>
      </c>
      <c r="F2821" s="12">
        <v>11000</v>
      </c>
      <c r="G2821" s="12">
        <v>15000</v>
      </c>
      <c r="H2821" s="12">
        <v>83025853</v>
      </c>
      <c r="I2821" s="12" t="s">
        <v>214</v>
      </c>
      <c r="J2821" s="12" t="s">
        <v>373</v>
      </c>
      <c r="K2821" s="12" t="s">
        <v>465</v>
      </c>
      <c r="L2821" s="12" t="s">
        <v>257</v>
      </c>
      <c r="M2821" s="12" t="s">
        <v>13587</v>
      </c>
      <c r="N2821" s="12">
        <v>259837</v>
      </c>
      <c r="O2821" s="12">
        <v>39789</v>
      </c>
      <c r="P2821" s="12">
        <v>0</v>
      </c>
      <c r="Q2821" s="12" t="s">
        <v>13588</v>
      </c>
      <c r="R2821" s="15" t="s">
        <v>13589</v>
      </c>
      <c r="S2821" s="12">
        <v>2254</v>
      </c>
      <c r="T2821" s="12" t="s">
        <v>39</v>
      </c>
      <c r="U2821" s="12" t="s">
        <v>40</v>
      </c>
      <c r="V2821" s="12" t="s">
        <v>586</v>
      </c>
      <c r="W2821" s="12">
        <v>14000000</v>
      </c>
      <c r="X2821" s="12">
        <v>2005</v>
      </c>
      <c r="Y2821" s="12">
        <v>13000</v>
      </c>
      <c r="Z2821" s="12">
        <v>7.7</v>
      </c>
      <c r="AA2821" s="12">
        <v>1.85</v>
      </c>
      <c r="AB2821" s="12">
        <v>13000</v>
      </c>
      <c r="AC2821" s="12"/>
      <c r="AD2821" s="12" t="str">
        <f>IFERROR(__xludf.DUMMYFUNCTION("""COMPUTED_VALUE"""),"Jan Hooks")</f>
        <v>Jan Hooks</v>
      </c>
      <c r="AE2821" s="12"/>
    </row>
    <row r="2822" customHeight="1" spans="1:31">
      <c r="A2822" s="11" t="s">
        <v>30</v>
      </c>
      <c r="B2822" s="11" t="s">
        <v>877</v>
      </c>
      <c r="C2822" s="11">
        <v>348</v>
      </c>
      <c r="D2822" s="11">
        <v>101</v>
      </c>
      <c r="E2822" s="11">
        <v>473</v>
      </c>
      <c r="F2822" s="11">
        <v>429</v>
      </c>
      <c r="G2822" s="11">
        <v>833</v>
      </c>
      <c r="H2822" s="11">
        <v>190871240</v>
      </c>
      <c r="I2822" s="11" t="s">
        <v>509</v>
      </c>
      <c r="J2822" s="11" t="s">
        <v>1477</v>
      </c>
      <c r="K2822" s="11" t="s">
        <v>1478</v>
      </c>
      <c r="L2822" s="11" t="s">
        <v>1479</v>
      </c>
      <c r="M2822" s="11" t="s">
        <v>1480</v>
      </c>
      <c r="N2822" s="11">
        <v>167089</v>
      </c>
      <c r="O2822" s="11">
        <v>2690</v>
      </c>
      <c r="P2822" s="11">
        <v>0</v>
      </c>
      <c r="Q2822" s="11" t="s">
        <v>1481</v>
      </c>
      <c r="R2822" s="14" t="s">
        <v>1482</v>
      </c>
      <c r="S2822" s="11">
        <v>491</v>
      </c>
      <c r="T2822" s="11" t="s">
        <v>39</v>
      </c>
      <c r="U2822" s="11" t="s">
        <v>40</v>
      </c>
      <c r="V2822" s="11" t="s">
        <v>41</v>
      </c>
      <c r="W2822" s="11">
        <v>125000000</v>
      </c>
      <c r="X2822" s="11">
        <v>2014</v>
      </c>
      <c r="Y2822" s="11">
        <v>809</v>
      </c>
      <c r="Z2822" s="11">
        <v>5.9</v>
      </c>
      <c r="AA2822" s="11">
        <v>2.35</v>
      </c>
      <c r="AB2822" s="11">
        <v>62000</v>
      </c>
      <c r="AC2822" s="11"/>
      <c r="AD2822" s="11" t="str">
        <f>IFERROR(__xludf.DUMMYFUNCTION("""COMPUTED_VALUE"""),"Steve Guttenberg")</f>
        <v>Steve Guttenberg</v>
      </c>
      <c r="AE2822" s="11"/>
    </row>
    <row r="2823" customHeight="1" spans="1:31">
      <c r="A2823" s="12" t="s">
        <v>30</v>
      </c>
      <c r="B2823" s="12" t="s">
        <v>11132</v>
      </c>
      <c r="C2823" s="12">
        <v>88</v>
      </c>
      <c r="D2823" s="12">
        <v>97</v>
      </c>
      <c r="E2823" s="12">
        <v>143</v>
      </c>
      <c r="F2823" s="12">
        <v>201</v>
      </c>
      <c r="G2823" s="12">
        <v>927</v>
      </c>
      <c r="H2823" s="12">
        <v>56631572</v>
      </c>
      <c r="I2823" s="12" t="s">
        <v>1681</v>
      </c>
      <c r="J2823" s="12" t="s">
        <v>9033</v>
      </c>
      <c r="K2823" s="12" t="s">
        <v>10252</v>
      </c>
      <c r="L2823" s="12" t="s">
        <v>13590</v>
      </c>
      <c r="M2823" s="12" t="s">
        <v>13591</v>
      </c>
      <c r="N2823" s="12">
        <v>123390</v>
      </c>
      <c r="O2823" s="12">
        <v>1724</v>
      </c>
      <c r="P2823" s="12">
        <v>1</v>
      </c>
      <c r="Q2823" s="12" t="s">
        <v>13592</v>
      </c>
      <c r="R2823" s="15" t="s">
        <v>13593</v>
      </c>
      <c r="S2823" s="12">
        <v>248</v>
      </c>
      <c r="T2823" s="12" t="s">
        <v>39</v>
      </c>
      <c r="U2823" s="12" t="s">
        <v>40</v>
      </c>
      <c r="V2823" s="12" t="s">
        <v>41</v>
      </c>
      <c r="W2823" s="12">
        <v>12000000</v>
      </c>
      <c r="X2823" s="12">
        <v>1995</v>
      </c>
      <c r="Y2823" s="12">
        <v>281</v>
      </c>
      <c r="Z2823" s="12">
        <v>6.8</v>
      </c>
      <c r="AA2823" s="12">
        <v>1.85</v>
      </c>
      <c r="AB2823" s="12">
        <v>0</v>
      </c>
      <c r="AC2823" s="12"/>
      <c r="AD2823" s="12" t="str">
        <f>IFERROR(__xludf.DUMMYFUNCTION("""COMPUTED_VALUE"""),"Shengyi Huang")</f>
        <v>Shengyi Huang</v>
      </c>
      <c r="AE2823" s="12"/>
    </row>
    <row r="2824" customHeight="1" spans="1:31">
      <c r="A2824" s="11" t="s">
        <v>30</v>
      </c>
      <c r="B2824" s="11" t="s">
        <v>11376</v>
      </c>
      <c r="C2824" s="11">
        <v>181</v>
      </c>
      <c r="D2824" s="11">
        <v>107</v>
      </c>
      <c r="E2824" s="11">
        <v>162</v>
      </c>
      <c r="F2824" s="11">
        <v>135</v>
      </c>
      <c r="G2824" s="11">
        <v>2000</v>
      </c>
      <c r="H2824" s="11">
        <v>15854988</v>
      </c>
      <c r="I2824" s="11" t="s">
        <v>214</v>
      </c>
      <c r="J2824" s="11" t="s">
        <v>537</v>
      </c>
      <c r="K2824" s="11" t="s">
        <v>1068</v>
      </c>
      <c r="L2824" s="11" t="s">
        <v>3594</v>
      </c>
      <c r="M2824" s="11" t="s">
        <v>13594</v>
      </c>
      <c r="N2824" s="11">
        <v>36542</v>
      </c>
      <c r="O2824" s="11">
        <v>2447</v>
      </c>
      <c r="P2824" s="11">
        <v>2</v>
      </c>
      <c r="Q2824" s="11" t="s">
        <v>13595</v>
      </c>
      <c r="R2824" s="14" t="s">
        <v>13596</v>
      </c>
      <c r="S2824" s="11">
        <v>378</v>
      </c>
      <c r="T2824" s="11" t="s">
        <v>39</v>
      </c>
      <c r="U2824" s="11" t="s">
        <v>40</v>
      </c>
      <c r="V2824" s="11" t="s">
        <v>41</v>
      </c>
      <c r="W2824" s="11">
        <v>13500000</v>
      </c>
      <c r="X2824" s="11">
        <v>2002</v>
      </c>
      <c r="Y2824" s="11">
        <v>258</v>
      </c>
      <c r="Z2824" s="11">
        <v>7.4</v>
      </c>
      <c r="AA2824" s="11">
        <v>1.85</v>
      </c>
      <c r="AB2824" s="11">
        <v>0</v>
      </c>
      <c r="AC2824" s="11"/>
      <c r="AD2824" s="11" t="str">
        <f>IFERROR(__xludf.DUMMYFUNCTION("""COMPUTED_VALUE"""),"Chi Ling Chiu")</f>
        <v>Chi Ling Chiu</v>
      </c>
      <c r="AE2824" s="11"/>
    </row>
    <row r="2825" customHeight="1" spans="1:31">
      <c r="A2825" s="12" t="s">
        <v>30</v>
      </c>
      <c r="B2825" s="12" t="s">
        <v>7182</v>
      </c>
      <c r="C2825" s="12">
        <v>107</v>
      </c>
      <c r="D2825" s="12">
        <v>99</v>
      </c>
      <c r="E2825" s="12">
        <v>38</v>
      </c>
      <c r="F2825" s="12">
        <v>390</v>
      </c>
      <c r="G2825" s="12">
        <v>3000</v>
      </c>
      <c r="H2825" s="12">
        <v>12282677</v>
      </c>
      <c r="I2825" s="12" t="s">
        <v>5483</v>
      </c>
      <c r="J2825" s="12" t="s">
        <v>1545</v>
      </c>
      <c r="K2825" s="12" t="s">
        <v>9804</v>
      </c>
      <c r="L2825" s="12" t="s">
        <v>7184</v>
      </c>
      <c r="M2825" s="12" t="s">
        <v>13597</v>
      </c>
      <c r="N2825" s="12">
        <v>28159</v>
      </c>
      <c r="O2825" s="12">
        <v>4702</v>
      </c>
      <c r="P2825" s="12">
        <v>4</v>
      </c>
      <c r="Q2825" s="12" t="s">
        <v>13598</v>
      </c>
      <c r="R2825" s="15" t="s">
        <v>13599</v>
      </c>
      <c r="S2825" s="12">
        <v>96</v>
      </c>
      <c r="T2825" s="12" t="s">
        <v>39</v>
      </c>
      <c r="U2825" s="12" t="s">
        <v>40</v>
      </c>
      <c r="V2825" s="12" t="s">
        <v>586</v>
      </c>
      <c r="W2825" s="12">
        <v>14000000</v>
      </c>
      <c r="X2825" s="12">
        <v>2015</v>
      </c>
      <c r="Y2825" s="12">
        <v>837</v>
      </c>
      <c r="Z2825" s="12">
        <v>5.1</v>
      </c>
      <c r="AA2825" s="12">
        <v>1.85</v>
      </c>
      <c r="AB2825" s="12">
        <v>0</v>
      </c>
      <c r="AC2825" s="12"/>
      <c r="AD2825" s="12" t="str">
        <f>IFERROR(__xludf.DUMMYFUNCTION("""COMPUTED_VALUE"""),"Qiu Yuen")</f>
        <v>Qiu Yuen</v>
      </c>
      <c r="AE2825" s="12"/>
    </row>
    <row r="2826" customHeight="1" spans="1:31">
      <c r="A2826" s="11" t="s">
        <v>30</v>
      </c>
      <c r="B2826" s="13"/>
      <c r="C2826" s="11">
        <v>53</v>
      </c>
      <c r="D2826" s="11">
        <v>55</v>
      </c>
      <c r="E2826" s="13"/>
      <c r="F2826" s="11">
        <v>2</v>
      </c>
      <c r="G2826" s="11">
        <v>20</v>
      </c>
      <c r="H2826" s="11">
        <v>447093</v>
      </c>
      <c r="I2826" s="11" t="s">
        <v>3410</v>
      </c>
      <c r="J2826" s="11" t="s">
        <v>13600</v>
      </c>
      <c r="K2826" s="11" t="s">
        <v>13601</v>
      </c>
      <c r="L2826" s="11" t="s">
        <v>13602</v>
      </c>
      <c r="M2826" s="11" t="s">
        <v>13603</v>
      </c>
      <c r="N2826" s="11">
        <v>12590</v>
      </c>
      <c r="O2826" s="11">
        <v>25</v>
      </c>
      <c r="P2826" s="11">
        <v>0</v>
      </c>
      <c r="Q2826" s="11" t="s">
        <v>13604</v>
      </c>
      <c r="R2826" s="14" t="s">
        <v>13605</v>
      </c>
      <c r="S2826" s="11">
        <v>37</v>
      </c>
      <c r="T2826" s="11" t="s">
        <v>13606</v>
      </c>
      <c r="U2826" s="11" t="s">
        <v>13607</v>
      </c>
      <c r="V2826" s="11" t="s">
        <v>2636</v>
      </c>
      <c r="W2826" s="13"/>
      <c r="X2826" s="13"/>
      <c r="Y2826" s="11">
        <v>3</v>
      </c>
      <c r="Z2826" s="11">
        <v>9.1</v>
      </c>
      <c r="AA2826" s="11">
        <v>1.33</v>
      </c>
      <c r="AB2826" s="11">
        <v>0</v>
      </c>
      <c r="AC2826" s="11"/>
      <c r="AD2826" s="11" t="str">
        <f>IFERROR(__xludf.DUMMYFUNCTION("""COMPUTED_VALUE"""),"Mark Feuerstein")</f>
        <v>Mark Feuerstein</v>
      </c>
      <c r="AE2826" s="11"/>
    </row>
    <row r="2827" customHeight="1" spans="1:31">
      <c r="A2827" s="12" t="s">
        <v>30</v>
      </c>
      <c r="B2827" s="12" t="s">
        <v>9129</v>
      </c>
      <c r="C2827" s="12">
        <v>132</v>
      </c>
      <c r="D2827" s="12">
        <v>124</v>
      </c>
      <c r="E2827" s="12">
        <v>133</v>
      </c>
      <c r="F2827" s="12">
        <v>170</v>
      </c>
      <c r="G2827" s="12">
        <v>14000</v>
      </c>
      <c r="H2827" s="12">
        <v>7060876</v>
      </c>
      <c r="I2827" s="12" t="s">
        <v>1544</v>
      </c>
      <c r="J2827" s="12" t="s">
        <v>216</v>
      </c>
      <c r="K2827" s="12" t="s">
        <v>13608</v>
      </c>
      <c r="L2827" s="12" t="s">
        <v>13609</v>
      </c>
      <c r="M2827" s="12" t="s">
        <v>13610</v>
      </c>
      <c r="N2827" s="12">
        <v>44795</v>
      </c>
      <c r="O2827" s="12">
        <v>14726</v>
      </c>
      <c r="P2827" s="12">
        <v>1</v>
      </c>
      <c r="Q2827" s="12" t="s">
        <v>13611</v>
      </c>
      <c r="R2827" s="15" t="s">
        <v>13612</v>
      </c>
      <c r="S2827" s="12">
        <v>314</v>
      </c>
      <c r="T2827" s="12" t="s">
        <v>39</v>
      </c>
      <c r="U2827" s="12" t="s">
        <v>58</v>
      </c>
      <c r="V2827" s="12" t="s">
        <v>586</v>
      </c>
      <c r="W2827" s="12">
        <v>13500000</v>
      </c>
      <c r="X2827" s="12">
        <v>2000</v>
      </c>
      <c r="Y2827" s="12">
        <v>230</v>
      </c>
      <c r="Z2827" s="12">
        <v>7.4</v>
      </c>
      <c r="AA2827" s="12">
        <v>1.85</v>
      </c>
      <c r="AB2827" s="12">
        <v>0</v>
      </c>
      <c r="AC2827" s="12"/>
      <c r="AD2827" s="12" t="str">
        <f>IFERROR(__xludf.DUMMYFUNCTION("""COMPUTED_VALUE"""),"Sharon Lawrence")</f>
        <v>Sharon Lawrence</v>
      </c>
      <c r="AE2827" s="12"/>
    </row>
    <row r="2828" customHeight="1" spans="1:31">
      <c r="A2828" s="11" t="s">
        <v>30</v>
      </c>
      <c r="B2828" s="11" t="s">
        <v>13114</v>
      </c>
      <c r="C2828" s="11">
        <v>401</v>
      </c>
      <c r="D2828" s="11">
        <v>110</v>
      </c>
      <c r="E2828" s="11">
        <v>454</v>
      </c>
      <c r="F2828" s="11">
        <v>816</v>
      </c>
      <c r="G2828" s="11">
        <v>2000</v>
      </c>
      <c r="H2828" s="11">
        <v>14989761</v>
      </c>
      <c r="I2828" s="11" t="s">
        <v>1009</v>
      </c>
      <c r="J2828" s="11" t="s">
        <v>1402</v>
      </c>
      <c r="K2828" s="11" t="s">
        <v>2364</v>
      </c>
      <c r="L2828" s="11" t="s">
        <v>167</v>
      </c>
      <c r="M2828" s="11" t="s">
        <v>13613</v>
      </c>
      <c r="N2828" s="11">
        <v>185845</v>
      </c>
      <c r="O2828" s="11">
        <v>4757</v>
      </c>
      <c r="P2828" s="11">
        <v>7</v>
      </c>
      <c r="Q2828" s="11" t="s">
        <v>13614</v>
      </c>
      <c r="R2828" s="14" t="s">
        <v>13615</v>
      </c>
      <c r="S2828" s="11">
        <v>284</v>
      </c>
      <c r="T2828" s="11" t="s">
        <v>39</v>
      </c>
      <c r="U2828" s="11" t="s">
        <v>58</v>
      </c>
      <c r="V2828" s="11" t="s">
        <v>586</v>
      </c>
      <c r="W2828" s="11">
        <v>15000000</v>
      </c>
      <c r="X2828" s="11">
        <v>2012</v>
      </c>
      <c r="Y2828" s="11">
        <v>906</v>
      </c>
      <c r="Z2828" s="11">
        <v>7.2</v>
      </c>
      <c r="AA2828" s="11">
        <v>2.35</v>
      </c>
      <c r="AB2828" s="11">
        <v>52000</v>
      </c>
      <c r="AC2828" s="11"/>
      <c r="AD2828" s="11" t="str">
        <f>IFERROR(__xludf.DUMMYFUNCTION("""COMPUTED_VALUE"""),"Mustafa Haidari")</f>
        <v>Mustafa Haidari</v>
      </c>
      <c r="AE2828" s="11"/>
    </row>
    <row r="2829" customHeight="1" spans="1:31">
      <c r="A2829" s="12" t="s">
        <v>30</v>
      </c>
      <c r="B2829" s="12" t="s">
        <v>12121</v>
      </c>
      <c r="C2829" s="12">
        <v>58</v>
      </c>
      <c r="D2829" s="12">
        <v>105</v>
      </c>
      <c r="E2829" s="12">
        <v>148</v>
      </c>
      <c r="F2829" s="12">
        <v>400</v>
      </c>
      <c r="G2829" s="12">
        <v>539</v>
      </c>
      <c r="H2829" s="12">
        <v>687081</v>
      </c>
      <c r="I2829" s="12" t="s">
        <v>13616</v>
      </c>
      <c r="J2829" s="12" t="s">
        <v>4162</v>
      </c>
      <c r="K2829" s="12" t="s">
        <v>12354</v>
      </c>
      <c r="L2829" s="12" t="s">
        <v>8474</v>
      </c>
      <c r="M2829" s="12" t="s">
        <v>13617</v>
      </c>
      <c r="N2829" s="12">
        <v>5602</v>
      </c>
      <c r="O2829" s="12">
        <v>1767</v>
      </c>
      <c r="P2829" s="12">
        <v>0</v>
      </c>
      <c r="Q2829" s="12" t="s">
        <v>13618</v>
      </c>
      <c r="R2829" s="15" t="s">
        <v>13619</v>
      </c>
      <c r="S2829" s="12">
        <v>59</v>
      </c>
      <c r="T2829" s="12" t="s">
        <v>39</v>
      </c>
      <c r="U2829" s="12" t="s">
        <v>40</v>
      </c>
      <c r="V2829" s="12" t="s">
        <v>586</v>
      </c>
      <c r="W2829" s="16"/>
      <c r="X2829" s="12">
        <v>2001</v>
      </c>
      <c r="Y2829" s="12">
        <v>508</v>
      </c>
      <c r="Z2829" s="12">
        <v>6</v>
      </c>
      <c r="AA2829" s="12">
        <v>1.85</v>
      </c>
      <c r="AB2829" s="12">
        <v>329</v>
      </c>
      <c r="AC2829" s="12"/>
      <c r="AD2829" s="12" t="str">
        <f>IFERROR(__xludf.DUMMYFUNCTION("""COMPUTED_VALUE"""),"Khalid Abdalla")</f>
        <v>Khalid Abdalla</v>
      </c>
      <c r="AE2829" s="12"/>
    </row>
    <row r="2830" customHeight="1" spans="1:31">
      <c r="A2830" s="11" t="s">
        <v>30</v>
      </c>
      <c r="B2830" s="13"/>
      <c r="C2830" s="11">
        <v>1</v>
      </c>
      <c r="D2830" s="11">
        <v>41</v>
      </c>
      <c r="E2830" s="13"/>
      <c r="F2830" s="11">
        <v>2</v>
      </c>
      <c r="G2830" s="11">
        <v>70</v>
      </c>
      <c r="H2830" s="13"/>
      <c r="I2830" s="11" t="s">
        <v>464</v>
      </c>
      <c r="J2830" s="11" t="s">
        <v>13620</v>
      </c>
      <c r="K2830" s="11" t="s">
        <v>13621</v>
      </c>
      <c r="L2830" s="11" t="s">
        <v>13622</v>
      </c>
      <c r="M2830" s="11" t="s">
        <v>13623</v>
      </c>
      <c r="N2830" s="11">
        <v>271</v>
      </c>
      <c r="O2830" s="11">
        <v>74</v>
      </c>
      <c r="P2830" s="11">
        <v>4</v>
      </c>
      <c r="Q2830" s="13"/>
      <c r="R2830" s="14" t="s">
        <v>13624</v>
      </c>
      <c r="S2830" s="11">
        <v>2</v>
      </c>
      <c r="T2830" s="11" t="s">
        <v>13606</v>
      </c>
      <c r="U2830" s="11" t="s">
        <v>13607</v>
      </c>
      <c r="V2830" s="13"/>
      <c r="W2830" s="13"/>
      <c r="X2830" s="13"/>
      <c r="Y2830" s="11">
        <v>2</v>
      </c>
      <c r="Z2830" s="11">
        <v>7.4</v>
      </c>
      <c r="AA2830" s="13"/>
      <c r="AB2830" s="11">
        <v>64</v>
      </c>
      <c r="AC2830" s="11"/>
      <c r="AD2830" s="11" t="str">
        <f>IFERROR(__xludf.DUMMYFUNCTION("""COMPUTED_VALUE"""),"Tom Hollander")</f>
        <v>Tom Hollander</v>
      </c>
      <c r="AE2830" s="11"/>
    </row>
    <row r="2831" customHeight="1" spans="1:31">
      <c r="A2831" s="12" t="s">
        <v>30</v>
      </c>
      <c r="B2831" s="12" t="s">
        <v>2953</v>
      </c>
      <c r="C2831" s="12">
        <v>192</v>
      </c>
      <c r="D2831" s="12">
        <v>178</v>
      </c>
      <c r="E2831" s="12">
        <v>101</v>
      </c>
      <c r="F2831" s="12">
        <v>471</v>
      </c>
      <c r="G2831" s="12">
        <v>918</v>
      </c>
      <c r="H2831" s="12">
        <v>5501940</v>
      </c>
      <c r="I2831" s="12" t="s">
        <v>3241</v>
      </c>
      <c r="J2831" s="12" t="s">
        <v>209</v>
      </c>
      <c r="K2831" s="12" t="s">
        <v>13625</v>
      </c>
      <c r="L2831" s="12" t="s">
        <v>7125</v>
      </c>
      <c r="M2831" s="12" t="s">
        <v>13626</v>
      </c>
      <c r="N2831" s="12">
        <v>248354</v>
      </c>
      <c r="O2831" s="12">
        <v>2334</v>
      </c>
      <c r="P2831" s="12">
        <v>0</v>
      </c>
      <c r="Q2831" s="12" t="s">
        <v>13627</v>
      </c>
      <c r="R2831" s="15" t="s">
        <v>13628</v>
      </c>
      <c r="S2831" s="12">
        <v>564</v>
      </c>
      <c r="T2831" s="12" t="s">
        <v>8732</v>
      </c>
      <c r="U2831" s="12" t="s">
        <v>768</v>
      </c>
      <c r="V2831" s="12" t="s">
        <v>586</v>
      </c>
      <c r="W2831" s="12">
        <v>13500000</v>
      </c>
      <c r="X2831" s="12">
        <v>2004</v>
      </c>
      <c r="Y2831" s="12">
        <v>653</v>
      </c>
      <c r="Z2831" s="12">
        <v>8.3</v>
      </c>
      <c r="AA2831" s="12">
        <v>1.85</v>
      </c>
      <c r="AB2831" s="12">
        <v>14000</v>
      </c>
      <c r="AC2831" s="12"/>
      <c r="AD2831" s="12" t="str">
        <f>IFERROR(__xludf.DUMMYFUNCTION("""COMPUTED_VALUE"""),"Kelly Carlson")</f>
        <v>Kelly Carlson</v>
      </c>
      <c r="AE2831" s="12"/>
    </row>
    <row r="2832" customHeight="1" spans="1:31">
      <c r="A2832" s="11" t="s">
        <v>30</v>
      </c>
      <c r="B2832" s="11" t="s">
        <v>3564</v>
      </c>
      <c r="C2832" s="11">
        <v>157</v>
      </c>
      <c r="D2832" s="11">
        <v>125</v>
      </c>
      <c r="E2832" s="11">
        <v>448</v>
      </c>
      <c r="F2832" s="11">
        <v>93</v>
      </c>
      <c r="G2832" s="11">
        <v>273</v>
      </c>
      <c r="H2832" s="11">
        <v>2086345</v>
      </c>
      <c r="I2832" s="11" t="s">
        <v>6327</v>
      </c>
      <c r="J2832" s="11" t="s">
        <v>13629</v>
      </c>
      <c r="K2832" s="11" t="s">
        <v>13630</v>
      </c>
      <c r="L2832" s="11" t="s">
        <v>13631</v>
      </c>
      <c r="M2832" s="11" t="s">
        <v>13632</v>
      </c>
      <c r="N2832" s="11">
        <v>64556</v>
      </c>
      <c r="O2832" s="11">
        <v>529</v>
      </c>
      <c r="P2832" s="11">
        <v>1</v>
      </c>
      <c r="Q2832" s="11" t="s">
        <v>13633</v>
      </c>
      <c r="R2832" s="14" t="s">
        <v>13634</v>
      </c>
      <c r="S2832" s="11">
        <v>140</v>
      </c>
      <c r="T2832" s="11" t="s">
        <v>2779</v>
      </c>
      <c r="U2832" s="11" t="s">
        <v>3572</v>
      </c>
      <c r="V2832" s="11" t="s">
        <v>41</v>
      </c>
      <c r="W2832" s="11">
        <v>10000000</v>
      </c>
      <c r="X2832" s="11">
        <v>2004</v>
      </c>
      <c r="Y2832" s="11">
        <v>114</v>
      </c>
      <c r="Z2832" s="11">
        <v>8.1</v>
      </c>
      <c r="AA2832" s="11">
        <v>2.35</v>
      </c>
      <c r="AB2832" s="11">
        <v>0</v>
      </c>
      <c r="AC2832" s="11"/>
      <c r="AD2832" s="11" t="str">
        <f>IFERROR(__xludf.DUMMYFUNCTION("""COMPUTED_VALUE"""),"Robert Miano")</f>
        <v>Robert Miano</v>
      </c>
      <c r="AE2832" s="11"/>
    </row>
    <row r="2833" customHeight="1" spans="1:31">
      <c r="A2833" s="12" t="s">
        <v>30</v>
      </c>
      <c r="B2833" s="12" t="s">
        <v>11358</v>
      </c>
      <c r="C2833" s="12">
        <v>454</v>
      </c>
      <c r="D2833" s="12">
        <v>108</v>
      </c>
      <c r="E2833" s="12">
        <v>143</v>
      </c>
      <c r="F2833" s="12">
        <v>21</v>
      </c>
      <c r="G2833" s="12">
        <v>19000</v>
      </c>
      <c r="H2833" s="12">
        <v>2605039</v>
      </c>
      <c r="I2833" s="12" t="s">
        <v>3171</v>
      </c>
      <c r="J2833" s="12" t="s">
        <v>100</v>
      </c>
      <c r="K2833" s="12" t="s">
        <v>13635</v>
      </c>
      <c r="L2833" s="12" t="s">
        <v>13636</v>
      </c>
      <c r="M2833" s="12" t="s">
        <v>13637</v>
      </c>
      <c r="N2833" s="12">
        <v>85022</v>
      </c>
      <c r="O2833" s="12">
        <v>19086</v>
      </c>
      <c r="P2833" s="12">
        <v>0</v>
      </c>
      <c r="Q2833" s="12" t="s">
        <v>13638</v>
      </c>
      <c r="R2833" s="15" t="s">
        <v>13639</v>
      </c>
      <c r="S2833" s="12">
        <v>616</v>
      </c>
      <c r="T2833" s="12" t="s">
        <v>39</v>
      </c>
      <c r="U2833" s="12" t="s">
        <v>58</v>
      </c>
      <c r="V2833" s="12" t="s">
        <v>586</v>
      </c>
      <c r="W2833" s="16"/>
      <c r="X2833" s="12">
        <v>2013</v>
      </c>
      <c r="Y2833" s="12">
        <v>50</v>
      </c>
      <c r="Z2833" s="12">
        <v>6.3</v>
      </c>
      <c r="AA2833" s="12">
        <v>1.85</v>
      </c>
      <c r="AB2833" s="12">
        <v>29000</v>
      </c>
      <c r="AC2833" s="12"/>
      <c r="AD2833" s="12" t="str">
        <f>IFERROR(__xludf.DUMMYFUNCTION("""COMPUTED_VALUE"""),"Zak Orth")</f>
        <v>Zak Orth</v>
      </c>
      <c r="AE2833" s="12"/>
    </row>
    <row r="2834" customHeight="1" spans="1:31">
      <c r="A2834" s="11" t="s">
        <v>30</v>
      </c>
      <c r="B2834" s="11" t="s">
        <v>3123</v>
      </c>
      <c r="C2834" s="11">
        <v>62</v>
      </c>
      <c r="D2834" s="11">
        <v>121</v>
      </c>
      <c r="E2834" s="11">
        <v>272</v>
      </c>
      <c r="F2834" s="11">
        <v>227</v>
      </c>
      <c r="G2834" s="11">
        <v>49000</v>
      </c>
      <c r="H2834" s="11">
        <v>123922370</v>
      </c>
      <c r="I2834" s="11" t="s">
        <v>13640</v>
      </c>
      <c r="J2834" s="11" t="s">
        <v>811</v>
      </c>
      <c r="K2834" s="11" t="s">
        <v>4681</v>
      </c>
      <c r="L2834" s="11" t="s">
        <v>12383</v>
      </c>
      <c r="M2834" s="11" t="s">
        <v>13641</v>
      </c>
      <c r="N2834" s="11">
        <v>98348</v>
      </c>
      <c r="O2834" s="11">
        <v>50141</v>
      </c>
      <c r="P2834" s="11">
        <v>1</v>
      </c>
      <c r="Q2834" s="11" t="s">
        <v>13642</v>
      </c>
      <c r="R2834" s="14" t="s">
        <v>13643</v>
      </c>
      <c r="S2834" s="11">
        <v>131</v>
      </c>
      <c r="T2834" s="11" t="s">
        <v>39</v>
      </c>
      <c r="U2834" s="11" t="s">
        <v>40</v>
      </c>
      <c r="V2834" s="11" t="s">
        <v>586</v>
      </c>
      <c r="W2834" s="11">
        <v>13000000</v>
      </c>
      <c r="X2834" s="11">
        <v>1987</v>
      </c>
      <c r="Y2834" s="11">
        <v>263</v>
      </c>
      <c r="Z2834" s="11">
        <v>7.3</v>
      </c>
      <c r="AA2834" s="11">
        <v>1.85</v>
      </c>
      <c r="AB2834" s="11">
        <v>0</v>
      </c>
      <c r="AC2834" s="11"/>
      <c r="AD2834" s="11" t="str">
        <f>IFERROR(__xludf.DUMMYFUNCTION("""COMPUTED_VALUE"""),"Ronald Reagan")</f>
        <v>Ronald Reagan</v>
      </c>
      <c r="AE2834" s="11"/>
    </row>
    <row r="2835" customHeight="1" spans="1:31">
      <c r="A2835" s="12" t="s">
        <v>30</v>
      </c>
      <c r="B2835" s="12" t="s">
        <v>7998</v>
      </c>
      <c r="C2835" s="12">
        <v>4</v>
      </c>
      <c r="D2835" s="12">
        <v>100</v>
      </c>
      <c r="E2835" s="12">
        <v>26</v>
      </c>
      <c r="F2835" s="12">
        <v>385</v>
      </c>
      <c r="G2835" s="12">
        <v>898</v>
      </c>
      <c r="H2835" s="12">
        <v>163591</v>
      </c>
      <c r="I2835" s="12" t="s">
        <v>1672</v>
      </c>
      <c r="J2835" s="12" t="s">
        <v>10432</v>
      </c>
      <c r="K2835" s="12" t="s">
        <v>13644</v>
      </c>
      <c r="L2835" s="12" t="s">
        <v>1741</v>
      </c>
      <c r="M2835" s="12" t="s">
        <v>13645</v>
      </c>
      <c r="N2835" s="12">
        <v>912</v>
      </c>
      <c r="O2835" s="12">
        <v>2895</v>
      </c>
      <c r="P2835" s="12">
        <v>5</v>
      </c>
      <c r="Q2835" s="12" t="s">
        <v>13646</v>
      </c>
      <c r="R2835" s="15" t="s">
        <v>13647</v>
      </c>
      <c r="S2835" s="12">
        <v>17</v>
      </c>
      <c r="T2835" s="12" t="s">
        <v>39</v>
      </c>
      <c r="U2835" s="12" t="s">
        <v>5695</v>
      </c>
      <c r="V2835" s="12" t="s">
        <v>41</v>
      </c>
      <c r="W2835" s="12">
        <v>13400000</v>
      </c>
      <c r="X2835" s="12">
        <v>2010</v>
      </c>
      <c r="Y2835" s="12">
        <v>391</v>
      </c>
      <c r="Z2835" s="12">
        <v>3.6</v>
      </c>
      <c r="AA2835" s="12">
        <v>1.78</v>
      </c>
      <c r="AB2835" s="12">
        <v>502</v>
      </c>
      <c r="AC2835" s="12"/>
      <c r="AD2835" s="12" t="str">
        <f>IFERROR(__xludf.DUMMYFUNCTION("""COMPUTED_VALUE"""),"Bernie Sanders")</f>
        <v>Bernie Sanders</v>
      </c>
      <c r="AE2835" s="12"/>
    </row>
    <row r="2836" customHeight="1" spans="1:31">
      <c r="A2836" s="11" t="s">
        <v>30</v>
      </c>
      <c r="B2836" s="11" t="s">
        <v>1072</v>
      </c>
      <c r="C2836" s="11">
        <v>84</v>
      </c>
      <c r="D2836" s="11">
        <v>115</v>
      </c>
      <c r="E2836" s="11">
        <v>209</v>
      </c>
      <c r="F2836" s="11">
        <v>41</v>
      </c>
      <c r="G2836" s="11">
        <v>569</v>
      </c>
      <c r="H2836" s="11">
        <v>73000942</v>
      </c>
      <c r="I2836" s="11" t="s">
        <v>4068</v>
      </c>
      <c r="J2836" s="11" t="s">
        <v>7067</v>
      </c>
      <c r="K2836" s="11" t="s">
        <v>13648</v>
      </c>
      <c r="L2836" s="11" t="s">
        <v>13649</v>
      </c>
      <c r="M2836" s="11" t="s">
        <v>13650</v>
      </c>
      <c r="N2836" s="11">
        <v>74351</v>
      </c>
      <c r="O2836" s="11">
        <v>714</v>
      </c>
      <c r="P2836" s="11">
        <v>1</v>
      </c>
      <c r="Q2836" s="11" t="s">
        <v>13651</v>
      </c>
      <c r="R2836" s="14" t="s">
        <v>13652</v>
      </c>
      <c r="S2836" s="11">
        <v>233</v>
      </c>
      <c r="T2836" s="11" t="s">
        <v>39</v>
      </c>
      <c r="U2836" s="11" t="s">
        <v>40</v>
      </c>
      <c r="V2836" s="11" t="s">
        <v>278</v>
      </c>
      <c r="W2836" s="11">
        <v>13000000</v>
      </c>
      <c r="X2836" s="11">
        <v>2011</v>
      </c>
      <c r="Y2836" s="11">
        <v>69</v>
      </c>
      <c r="Z2836" s="11">
        <v>1.6</v>
      </c>
      <c r="AA2836" s="11">
        <v>1.85</v>
      </c>
      <c r="AB2836" s="11">
        <v>62000</v>
      </c>
      <c r="AC2836" s="11"/>
      <c r="AD2836" s="11" t="str">
        <f>IFERROR(__xludf.DUMMYFUNCTION("""COMPUTED_VALUE"""),"Carroll Baker")</f>
        <v>Carroll Baker</v>
      </c>
      <c r="AE2836" s="11"/>
    </row>
    <row r="2837" customHeight="1" spans="1:31">
      <c r="A2837" s="12" t="s">
        <v>30</v>
      </c>
      <c r="B2837" s="12" t="s">
        <v>1205</v>
      </c>
      <c r="C2837" s="12">
        <v>669</v>
      </c>
      <c r="D2837" s="12">
        <v>108</v>
      </c>
      <c r="E2837" s="12">
        <v>0</v>
      </c>
      <c r="F2837" s="12">
        <v>1000</v>
      </c>
      <c r="G2837" s="12">
        <v>20000</v>
      </c>
      <c r="H2837" s="12">
        <v>106952327</v>
      </c>
      <c r="I2837" s="12" t="s">
        <v>4075</v>
      </c>
      <c r="J2837" s="12" t="s">
        <v>842</v>
      </c>
      <c r="K2837" s="12" t="s">
        <v>292</v>
      </c>
      <c r="L2837" s="12" t="s">
        <v>1822</v>
      </c>
      <c r="M2837" s="12" t="s">
        <v>13653</v>
      </c>
      <c r="N2837" s="12">
        <v>551363</v>
      </c>
      <c r="O2837" s="12">
        <v>38072</v>
      </c>
      <c r="P2837" s="12">
        <v>1</v>
      </c>
      <c r="Q2837" s="12" t="s">
        <v>13654</v>
      </c>
      <c r="R2837" s="15" t="s">
        <v>13655</v>
      </c>
      <c r="S2837" s="12">
        <v>1140</v>
      </c>
      <c r="T2837" s="12" t="s">
        <v>39</v>
      </c>
      <c r="U2837" s="12" t="s">
        <v>40</v>
      </c>
      <c r="V2837" s="12" t="s">
        <v>586</v>
      </c>
      <c r="W2837" s="12">
        <v>13000000</v>
      </c>
      <c r="X2837" s="12">
        <v>2010</v>
      </c>
      <c r="Y2837" s="12">
        <v>15000</v>
      </c>
      <c r="Z2837" s="12">
        <v>8</v>
      </c>
      <c r="AA2837" s="12">
        <v>2.35</v>
      </c>
      <c r="AB2837" s="12">
        <v>106000</v>
      </c>
      <c r="AC2837" s="12"/>
      <c r="AD2837" s="12" t="str">
        <f>IFERROR(__xludf.DUMMYFUNCTION("""COMPUTED_VALUE"""),"Joe Cole")</f>
        <v>Joe Cole</v>
      </c>
      <c r="AE2837" s="12"/>
    </row>
    <row r="2838" customHeight="1" spans="1:31">
      <c r="A2838" s="11" t="s">
        <v>30</v>
      </c>
      <c r="B2838" s="11" t="s">
        <v>1400</v>
      </c>
      <c r="C2838" s="11">
        <v>492</v>
      </c>
      <c r="D2838" s="11">
        <v>117</v>
      </c>
      <c r="E2838" s="11">
        <v>294</v>
      </c>
      <c r="F2838" s="11">
        <v>1000</v>
      </c>
      <c r="G2838" s="11">
        <v>10000</v>
      </c>
      <c r="H2838" s="11">
        <v>58607007</v>
      </c>
      <c r="I2838" s="11" t="s">
        <v>1401</v>
      </c>
      <c r="J2838" s="11" t="s">
        <v>440</v>
      </c>
      <c r="K2838" s="11" t="s">
        <v>1402</v>
      </c>
      <c r="L2838" s="11" t="s">
        <v>1403</v>
      </c>
      <c r="M2838" s="11" t="s">
        <v>1404</v>
      </c>
      <c r="N2838" s="11">
        <v>182910</v>
      </c>
      <c r="O2838" s="11">
        <v>14160</v>
      </c>
      <c r="P2838" s="11">
        <v>0</v>
      </c>
      <c r="Q2838" s="11" t="s">
        <v>1405</v>
      </c>
      <c r="R2838" s="14" t="s">
        <v>1406</v>
      </c>
      <c r="S2838" s="11">
        <v>630</v>
      </c>
      <c r="T2838" s="11" t="s">
        <v>39</v>
      </c>
      <c r="U2838" s="11" t="s">
        <v>40</v>
      </c>
      <c r="V2838" s="11" t="s">
        <v>41</v>
      </c>
      <c r="W2838" s="11">
        <v>100000000</v>
      </c>
      <c r="X2838" s="11">
        <v>2014</v>
      </c>
      <c r="Y2838" s="11">
        <v>2000</v>
      </c>
      <c r="Z2838" s="11">
        <v>6.2</v>
      </c>
      <c r="AA2838" s="11">
        <v>2.35</v>
      </c>
      <c r="AB2838" s="11">
        <v>60000</v>
      </c>
      <c r="AC2838" s="11"/>
      <c r="AD2838" s="11" t="str">
        <f>IFERROR(__xludf.DUMMYFUNCTION("""COMPUTED_VALUE"""),"Lorna Raver")</f>
        <v>Lorna Raver</v>
      </c>
      <c r="AE2838" s="11"/>
    </row>
    <row r="2839" customHeight="1" spans="1:31">
      <c r="A2839" s="12" t="s">
        <v>30</v>
      </c>
      <c r="B2839" s="12" t="s">
        <v>4851</v>
      </c>
      <c r="C2839" s="12">
        <v>149</v>
      </c>
      <c r="D2839" s="12">
        <v>220</v>
      </c>
      <c r="E2839" s="12">
        <v>0</v>
      </c>
      <c r="F2839" s="12">
        <v>3000</v>
      </c>
      <c r="G2839" s="12">
        <v>22000</v>
      </c>
      <c r="H2839" s="12">
        <v>57300000</v>
      </c>
      <c r="I2839" s="12" t="s">
        <v>1936</v>
      </c>
      <c r="J2839" s="12" t="s">
        <v>1746</v>
      </c>
      <c r="K2839" s="12" t="s">
        <v>2383</v>
      </c>
      <c r="L2839" s="12" t="s">
        <v>1689</v>
      </c>
      <c r="M2839" s="12" t="s">
        <v>13656</v>
      </c>
      <c r="N2839" s="12">
        <v>790926</v>
      </c>
      <c r="O2839" s="12">
        <v>39960</v>
      </c>
      <c r="P2839" s="12">
        <v>1</v>
      </c>
      <c r="Q2839" s="12" t="s">
        <v>13657</v>
      </c>
      <c r="R2839" s="15" t="s">
        <v>13658</v>
      </c>
      <c r="S2839" s="12">
        <v>650</v>
      </c>
      <c r="T2839" s="12" t="s">
        <v>39</v>
      </c>
      <c r="U2839" s="12" t="s">
        <v>40</v>
      </c>
      <c r="V2839" s="12" t="s">
        <v>586</v>
      </c>
      <c r="W2839" s="12">
        <v>13000000</v>
      </c>
      <c r="X2839" s="12">
        <v>1974</v>
      </c>
      <c r="Y2839" s="12">
        <v>14000</v>
      </c>
      <c r="Z2839" s="12">
        <v>9</v>
      </c>
      <c r="AA2839" s="12">
        <v>1.85</v>
      </c>
      <c r="AB2839" s="12">
        <v>14000</v>
      </c>
      <c r="AC2839" s="12"/>
      <c r="AD2839" s="12" t="str">
        <f>IFERROR(__xludf.DUMMYFUNCTION("""COMPUTED_VALUE"""),"Joanne Whalley")</f>
        <v>Joanne Whalley</v>
      </c>
      <c r="AE2839" s="12"/>
    </row>
    <row r="2840" customHeight="1" spans="1:31">
      <c r="A2840" s="11" t="s">
        <v>30</v>
      </c>
      <c r="B2840" s="11" t="s">
        <v>5770</v>
      </c>
      <c r="C2840" s="11">
        <v>101</v>
      </c>
      <c r="D2840" s="11">
        <v>112</v>
      </c>
      <c r="E2840" s="11">
        <v>49</v>
      </c>
      <c r="F2840" s="11">
        <v>237</v>
      </c>
      <c r="G2840" s="11">
        <v>656</v>
      </c>
      <c r="H2840" s="11">
        <v>91038276</v>
      </c>
      <c r="I2840" s="11" t="s">
        <v>7837</v>
      </c>
      <c r="J2840" s="11" t="s">
        <v>11758</v>
      </c>
      <c r="K2840" s="11" t="s">
        <v>6352</v>
      </c>
      <c r="L2840" s="11" t="s">
        <v>13659</v>
      </c>
      <c r="M2840" s="11" t="s">
        <v>13660</v>
      </c>
      <c r="N2840" s="11">
        <v>47876</v>
      </c>
      <c r="O2840" s="11">
        <v>1307</v>
      </c>
      <c r="P2840" s="11">
        <v>0</v>
      </c>
      <c r="Q2840" s="11" t="s">
        <v>13661</v>
      </c>
      <c r="R2840" s="14" t="s">
        <v>13662</v>
      </c>
      <c r="S2840" s="11">
        <v>320</v>
      </c>
      <c r="T2840" s="11" t="s">
        <v>39</v>
      </c>
      <c r="U2840" s="11" t="s">
        <v>40</v>
      </c>
      <c r="V2840" s="11" t="s">
        <v>41</v>
      </c>
      <c r="W2840" s="11">
        <v>13000000</v>
      </c>
      <c r="X2840" s="11">
        <v>2001</v>
      </c>
      <c r="Y2840" s="11">
        <v>363</v>
      </c>
      <c r="Z2840" s="11">
        <v>6.1</v>
      </c>
      <c r="AA2840" s="11">
        <v>1.85</v>
      </c>
      <c r="AB2840" s="11">
        <v>0</v>
      </c>
      <c r="AC2840" s="11"/>
      <c r="AD2840" s="11" t="str">
        <f>IFERROR(__xludf.DUMMYFUNCTION("""COMPUTED_VALUE"""),"Jacky Ido")</f>
        <v>Jacky Ido</v>
      </c>
      <c r="AE2840" s="11"/>
    </row>
    <row r="2841" customHeight="1" spans="1:31">
      <c r="A2841" s="12" t="s">
        <v>30</v>
      </c>
      <c r="B2841" s="12" t="s">
        <v>2067</v>
      </c>
      <c r="C2841" s="12">
        <v>102</v>
      </c>
      <c r="D2841" s="12">
        <v>99</v>
      </c>
      <c r="E2841" s="12">
        <v>212</v>
      </c>
      <c r="F2841" s="12">
        <v>54</v>
      </c>
      <c r="G2841" s="12">
        <v>130</v>
      </c>
      <c r="H2841" s="12">
        <v>49369900</v>
      </c>
      <c r="I2841" s="12" t="s">
        <v>9755</v>
      </c>
      <c r="J2841" s="12" t="s">
        <v>13663</v>
      </c>
      <c r="K2841" s="12" t="s">
        <v>13664</v>
      </c>
      <c r="L2841" s="12" t="s">
        <v>13665</v>
      </c>
      <c r="M2841" s="12" t="s">
        <v>13666</v>
      </c>
      <c r="N2841" s="12">
        <v>36108</v>
      </c>
      <c r="O2841" s="12">
        <v>450</v>
      </c>
      <c r="P2841" s="12">
        <v>0</v>
      </c>
      <c r="Q2841" s="12" t="s">
        <v>13667</v>
      </c>
      <c r="R2841" s="15" t="s">
        <v>13668</v>
      </c>
      <c r="S2841" s="12">
        <v>260</v>
      </c>
      <c r="T2841" s="12" t="s">
        <v>39</v>
      </c>
      <c r="U2841" s="12" t="s">
        <v>40</v>
      </c>
      <c r="V2841" s="12" t="s">
        <v>586</v>
      </c>
      <c r="W2841" s="12">
        <v>7000000</v>
      </c>
      <c r="X2841" s="12">
        <v>1988</v>
      </c>
      <c r="Y2841" s="12">
        <v>125</v>
      </c>
      <c r="Z2841" s="12">
        <v>5.7</v>
      </c>
      <c r="AA2841" s="12">
        <v>1.85</v>
      </c>
      <c r="AB2841" s="12">
        <v>0</v>
      </c>
      <c r="AC2841" s="12"/>
      <c r="AD2841" s="12" t="str">
        <f>IFERROR(__xludf.DUMMYFUNCTION("""COMPUTED_VALUE"""),"Sam Lerner")</f>
        <v>Sam Lerner</v>
      </c>
      <c r="AE2841" s="12"/>
    </row>
    <row r="2842" customHeight="1" spans="1:31">
      <c r="A2842" s="11" t="s">
        <v>30</v>
      </c>
      <c r="B2842" s="11" t="s">
        <v>9879</v>
      </c>
      <c r="C2842" s="11">
        <v>63</v>
      </c>
      <c r="D2842" s="11">
        <v>109</v>
      </c>
      <c r="E2842" s="11">
        <v>36</v>
      </c>
      <c r="F2842" s="11">
        <v>579</v>
      </c>
      <c r="G2842" s="11">
        <v>3000</v>
      </c>
      <c r="H2842" s="11">
        <v>61693523</v>
      </c>
      <c r="I2842" s="11" t="s">
        <v>3410</v>
      </c>
      <c r="J2842" s="11" t="s">
        <v>750</v>
      </c>
      <c r="K2842" s="11" t="s">
        <v>13669</v>
      </c>
      <c r="L2842" s="11" t="s">
        <v>3839</v>
      </c>
      <c r="M2842" s="11" t="s">
        <v>13670</v>
      </c>
      <c r="N2842" s="11">
        <v>6276</v>
      </c>
      <c r="O2842" s="11">
        <v>7833</v>
      </c>
      <c r="P2842" s="11">
        <v>0</v>
      </c>
      <c r="Q2842" s="11" t="s">
        <v>13671</v>
      </c>
      <c r="R2842" s="14" t="s">
        <v>13672</v>
      </c>
      <c r="S2842" s="11">
        <v>55</v>
      </c>
      <c r="T2842" s="11" t="s">
        <v>39</v>
      </c>
      <c r="U2842" s="11" t="s">
        <v>40</v>
      </c>
      <c r="V2842" s="11" t="s">
        <v>96</v>
      </c>
      <c r="W2842" s="11">
        <v>13000000</v>
      </c>
      <c r="X2842" s="11">
        <v>2016</v>
      </c>
      <c r="Y2842" s="11">
        <v>3000</v>
      </c>
      <c r="Z2842" s="11">
        <v>6.8</v>
      </c>
      <c r="AA2842" s="11">
        <v>1.85</v>
      </c>
      <c r="AB2842" s="11">
        <v>16000</v>
      </c>
      <c r="AC2842" s="11"/>
      <c r="AD2842" s="11" t="str">
        <f>IFERROR(__xludf.DUMMYFUNCTION("""COMPUTED_VALUE"""),"James Callis")</f>
        <v>James Callis</v>
      </c>
      <c r="AE2842" s="11"/>
    </row>
    <row r="2843" customHeight="1" spans="1:31">
      <c r="A2843" s="12" t="s">
        <v>30</v>
      </c>
      <c r="B2843" s="12" t="s">
        <v>13673</v>
      </c>
      <c r="C2843" s="12">
        <v>106</v>
      </c>
      <c r="D2843" s="12">
        <v>83</v>
      </c>
      <c r="E2843" s="12">
        <v>8</v>
      </c>
      <c r="F2843" s="12">
        <v>612</v>
      </c>
      <c r="G2843" s="12">
        <v>3000</v>
      </c>
      <c r="H2843" s="12">
        <v>46729374</v>
      </c>
      <c r="I2843" s="12" t="s">
        <v>10441</v>
      </c>
      <c r="J2843" s="12" t="s">
        <v>750</v>
      </c>
      <c r="K2843" s="12" t="s">
        <v>5206</v>
      </c>
      <c r="L2843" s="12" t="s">
        <v>13094</v>
      </c>
      <c r="M2843" s="12" t="s">
        <v>13674</v>
      </c>
      <c r="N2843" s="12">
        <v>116625</v>
      </c>
      <c r="O2843" s="12">
        <v>6454</v>
      </c>
      <c r="P2843" s="12">
        <v>2</v>
      </c>
      <c r="Q2843" s="12" t="s">
        <v>13675</v>
      </c>
      <c r="R2843" s="15" t="s">
        <v>13676</v>
      </c>
      <c r="S2843" s="12">
        <v>469</v>
      </c>
      <c r="T2843" s="12" t="s">
        <v>39</v>
      </c>
      <c r="U2843" s="12" t="s">
        <v>40</v>
      </c>
      <c r="V2843" s="12" t="s">
        <v>41</v>
      </c>
      <c r="W2843" s="12">
        <v>13000000</v>
      </c>
      <c r="X2843" s="12">
        <v>2000</v>
      </c>
      <c r="Y2843" s="12">
        <v>934</v>
      </c>
      <c r="Z2843" s="12">
        <v>5.5</v>
      </c>
      <c r="AA2843" s="12">
        <v>1.37</v>
      </c>
      <c r="AB2843" s="12">
        <v>0</v>
      </c>
      <c r="AC2843" s="12"/>
      <c r="AD2843" s="12" t="str">
        <f>IFERROR(__xludf.DUMMYFUNCTION("""COMPUTED_VALUE"""),"Tiffany Dupont")</f>
        <v>Tiffany Dupont</v>
      </c>
      <c r="AE2843" s="12"/>
    </row>
    <row r="2844" customHeight="1" spans="1:31">
      <c r="A2844" s="11" t="s">
        <v>30</v>
      </c>
      <c r="B2844" s="11" t="s">
        <v>13677</v>
      </c>
      <c r="C2844" s="11">
        <v>50</v>
      </c>
      <c r="D2844" s="11">
        <v>107</v>
      </c>
      <c r="E2844" s="11">
        <v>58</v>
      </c>
      <c r="F2844" s="11">
        <v>316</v>
      </c>
      <c r="G2844" s="11">
        <v>549</v>
      </c>
      <c r="H2844" s="11">
        <v>44726644</v>
      </c>
      <c r="I2844" s="11" t="s">
        <v>10281</v>
      </c>
      <c r="J2844" s="11" t="s">
        <v>4666</v>
      </c>
      <c r="K2844" s="11" t="s">
        <v>13678</v>
      </c>
      <c r="L2844" s="11" t="s">
        <v>12527</v>
      </c>
      <c r="M2844" s="11" t="s">
        <v>13679</v>
      </c>
      <c r="N2844" s="11">
        <v>42614</v>
      </c>
      <c r="O2844" s="11">
        <v>1747</v>
      </c>
      <c r="P2844" s="11">
        <v>5</v>
      </c>
      <c r="Q2844" s="11" t="s">
        <v>13680</v>
      </c>
      <c r="R2844" s="14" t="s">
        <v>13681</v>
      </c>
      <c r="S2844" s="11">
        <v>120</v>
      </c>
      <c r="T2844" s="11" t="s">
        <v>39</v>
      </c>
      <c r="U2844" s="11" t="s">
        <v>40</v>
      </c>
      <c r="V2844" s="11" t="s">
        <v>586</v>
      </c>
      <c r="W2844" s="11">
        <v>13000000</v>
      </c>
      <c r="X2844" s="11">
        <v>1988</v>
      </c>
      <c r="Y2844" s="11">
        <v>439</v>
      </c>
      <c r="Z2844" s="11">
        <v>6.8</v>
      </c>
      <c r="AA2844" s="11">
        <v>1.85</v>
      </c>
      <c r="AB2844" s="11">
        <v>0</v>
      </c>
      <c r="AC2844" s="11"/>
      <c r="AD2844" s="11" t="str">
        <f>IFERROR(__xludf.DUMMYFUNCTION("""COMPUTED_VALUE"""),"Nimrat Kaur")</f>
        <v>Nimrat Kaur</v>
      </c>
      <c r="AE2844" s="11"/>
    </row>
    <row r="2845" customHeight="1" spans="1:31">
      <c r="A2845" s="12" t="s">
        <v>30</v>
      </c>
      <c r="B2845" s="12" t="s">
        <v>13682</v>
      </c>
      <c r="C2845" s="12">
        <v>275</v>
      </c>
      <c r="D2845" s="12">
        <v>102</v>
      </c>
      <c r="E2845" s="12">
        <v>51</v>
      </c>
      <c r="F2845" s="12">
        <v>360</v>
      </c>
      <c r="G2845" s="12">
        <v>13000</v>
      </c>
      <c r="H2845" s="12">
        <v>44134898</v>
      </c>
      <c r="I2845" s="12" t="s">
        <v>2528</v>
      </c>
      <c r="J2845" s="12" t="s">
        <v>549</v>
      </c>
      <c r="K2845" s="12" t="s">
        <v>208</v>
      </c>
      <c r="L2845" s="12" t="s">
        <v>1503</v>
      </c>
      <c r="M2845" s="12" t="s">
        <v>13683</v>
      </c>
      <c r="N2845" s="12">
        <v>72803</v>
      </c>
      <c r="O2845" s="12">
        <v>20330</v>
      </c>
      <c r="P2845" s="12">
        <v>3</v>
      </c>
      <c r="Q2845" s="12" t="s">
        <v>13684</v>
      </c>
      <c r="R2845" s="15" t="s">
        <v>13685</v>
      </c>
      <c r="S2845" s="12">
        <v>171</v>
      </c>
      <c r="T2845" s="12" t="s">
        <v>39</v>
      </c>
      <c r="U2845" s="12" t="s">
        <v>40</v>
      </c>
      <c r="V2845" s="12" t="s">
        <v>41</v>
      </c>
      <c r="W2845" s="12">
        <v>13000000</v>
      </c>
      <c r="X2845" s="12">
        <v>2014</v>
      </c>
      <c r="Y2845" s="12">
        <v>6000</v>
      </c>
      <c r="Z2845" s="12">
        <v>7.3</v>
      </c>
      <c r="AA2845" s="12">
        <v>1.85</v>
      </c>
      <c r="AB2845" s="12">
        <v>33000</v>
      </c>
      <c r="AC2845" s="12"/>
      <c r="AD2845" s="12" t="str">
        <f>IFERROR(__xludf.DUMMYFUNCTION("""COMPUTED_VALUE"""),"Dequina Moore")</f>
        <v>Dequina Moore</v>
      </c>
      <c r="AE2845" s="12"/>
    </row>
    <row r="2846" customHeight="1" spans="1:31">
      <c r="A2846" s="11" t="s">
        <v>30</v>
      </c>
      <c r="B2846" s="11" t="s">
        <v>7182</v>
      </c>
      <c r="C2846" s="11">
        <v>90</v>
      </c>
      <c r="D2846" s="11">
        <v>100</v>
      </c>
      <c r="E2846" s="11">
        <v>38</v>
      </c>
      <c r="F2846" s="11">
        <v>460</v>
      </c>
      <c r="G2846" s="11">
        <v>833</v>
      </c>
      <c r="H2846" s="11">
        <v>48637684</v>
      </c>
      <c r="I2846" s="11" t="s">
        <v>1681</v>
      </c>
      <c r="J2846" s="11" t="s">
        <v>624</v>
      </c>
      <c r="K2846" s="11" t="s">
        <v>5704</v>
      </c>
      <c r="L2846" s="11" t="s">
        <v>9458</v>
      </c>
      <c r="M2846" s="11" t="s">
        <v>13686</v>
      </c>
      <c r="N2846" s="11">
        <v>16979</v>
      </c>
      <c r="O2846" s="11">
        <v>2800</v>
      </c>
      <c r="P2846" s="11">
        <v>4</v>
      </c>
      <c r="Q2846" s="11" t="s">
        <v>13687</v>
      </c>
      <c r="R2846" s="14" t="s">
        <v>13688</v>
      </c>
      <c r="S2846" s="11">
        <v>42</v>
      </c>
      <c r="T2846" s="11" t="s">
        <v>39</v>
      </c>
      <c r="U2846" s="11" t="s">
        <v>40</v>
      </c>
      <c r="V2846" s="11" t="s">
        <v>586</v>
      </c>
      <c r="W2846" s="11">
        <v>12500000</v>
      </c>
      <c r="X2846" s="11">
        <v>2014</v>
      </c>
      <c r="Y2846" s="11">
        <v>807</v>
      </c>
      <c r="Z2846" s="11">
        <v>6.1</v>
      </c>
      <c r="AA2846" s="11">
        <v>2.35</v>
      </c>
      <c r="AB2846" s="11">
        <v>0</v>
      </c>
      <c r="AC2846" s="11"/>
      <c r="AD2846" s="11" t="str">
        <f>IFERROR(__xludf.DUMMYFUNCTION("""COMPUTED_VALUE"""),"Jordan Carlos")</f>
        <v>Jordan Carlos</v>
      </c>
      <c r="AE2846" s="11"/>
    </row>
    <row r="2847" customHeight="1" spans="1:31">
      <c r="A2847" s="12" t="s">
        <v>30</v>
      </c>
      <c r="B2847" s="12" t="s">
        <v>7440</v>
      </c>
      <c r="C2847" s="12">
        <v>133</v>
      </c>
      <c r="D2847" s="12">
        <v>97</v>
      </c>
      <c r="E2847" s="12">
        <v>19</v>
      </c>
      <c r="F2847" s="12">
        <v>835</v>
      </c>
      <c r="G2847" s="12">
        <v>23000</v>
      </c>
      <c r="H2847" s="12">
        <v>38176108</v>
      </c>
      <c r="I2847" s="12" t="s">
        <v>1415</v>
      </c>
      <c r="J2847" s="12" t="s">
        <v>63</v>
      </c>
      <c r="K2847" s="12" t="s">
        <v>465</v>
      </c>
      <c r="L2847" s="12" t="s">
        <v>13689</v>
      </c>
      <c r="M2847" s="12" t="s">
        <v>13690</v>
      </c>
      <c r="N2847" s="12">
        <v>222099</v>
      </c>
      <c r="O2847" s="12">
        <v>37907</v>
      </c>
      <c r="P2847" s="12">
        <v>6</v>
      </c>
      <c r="Q2847" s="12" t="s">
        <v>13691</v>
      </c>
      <c r="R2847" s="15" t="s">
        <v>13692</v>
      </c>
      <c r="S2847" s="12">
        <v>549</v>
      </c>
      <c r="T2847" s="12" t="s">
        <v>39</v>
      </c>
      <c r="U2847" s="12" t="s">
        <v>40</v>
      </c>
      <c r="V2847" s="12" t="s">
        <v>41</v>
      </c>
      <c r="W2847" s="12">
        <v>16000000</v>
      </c>
      <c r="X2847" s="12">
        <v>1999</v>
      </c>
      <c r="Y2847" s="12">
        <v>13000</v>
      </c>
      <c r="Z2847" s="12">
        <v>7.2</v>
      </c>
      <c r="AA2847" s="12">
        <v>1.85</v>
      </c>
      <c r="AB2847" s="12">
        <v>10000</v>
      </c>
      <c r="AC2847" s="12"/>
      <c r="AD2847" s="12" t="str">
        <f>IFERROR(__xludf.DUMMYFUNCTION("""COMPUTED_VALUE"""),"Taylor Cole")</f>
        <v>Taylor Cole</v>
      </c>
      <c r="AE2847" s="12"/>
    </row>
    <row r="2848" customHeight="1" spans="1:31">
      <c r="A2848" s="11" t="s">
        <v>30</v>
      </c>
      <c r="B2848" s="11" t="s">
        <v>13693</v>
      </c>
      <c r="C2848" s="11">
        <v>49</v>
      </c>
      <c r="D2848" s="11">
        <v>92</v>
      </c>
      <c r="E2848" s="11">
        <v>13</v>
      </c>
      <c r="F2848" s="11">
        <v>301</v>
      </c>
      <c r="G2848" s="11">
        <v>11000</v>
      </c>
      <c r="H2848" s="11">
        <v>28972187</v>
      </c>
      <c r="I2848" s="11" t="s">
        <v>1672</v>
      </c>
      <c r="J2848" s="11" t="s">
        <v>1950</v>
      </c>
      <c r="K2848" s="11" t="s">
        <v>9578</v>
      </c>
      <c r="L2848" s="11" t="s">
        <v>13694</v>
      </c>
      <c r="M2848" s="11" t="s">
        <v>13695</v>
      </c>
      <c r="N2848" s="11">
        <v>28805</v>
      </c>
      <c r="O2848" s="11">
        <v>12687</v>
      </c>
      <c r="P2848" s="11">
        <v>1</v>
      </c>
      <c r="Q2848" s="11" t="s">
        <v>13696</v>
      </c>
      <c r="R2848" s="14" t="s">
        <v>13697</v>
      </c>
      <c r="S2848" s="11">
        <v>159</v>
      </c>
      <c r="T2848" s="11" t="s">
        <v>39</v>
      </c>
      <c r="U2848" s="11" t="s">
        <v>40</v>
      </c>
      <c r="V2848" s="11" t="s">
        <v>41</v>
      </c>
      <c r="W2848" s="11">
        <v>13000000</v>
      </c>
      <c r="X2848" s="11">
        <v>2002</v>
      </c>
      <c r="Y2848" s="11">
        <v>489</v>
      </c>
      <c r="Z2848" s="11">
        <v>5.9</v>
      </c>
      <c r="AA2848" s="11">
        <v>1.85</v>
      </c>
      <c r="AB2848" s="11">
        <v>1000</v>
      </c>
      <c r="AC2848" s="11"/>
      <c r="AD2848" s="11" t="str">
        <f>IFERROR(__xludf.DUMMYFUNCTION("""COMPUTED_VALUE"""),"Nick Gomez")</f>
        <v>Nick Gomez</v>
      </c>
      <c r="AE2848" s="11"/>
    </row>
    <row r="2849" customHeight="1" spans="1:31">
      <c r="A2849" s="12" t="s">
        <v>30</v>
      </c>
      <c r="B2849" s="12" t="s">
        <v>13698</v>
      </c>
      <c r="C2849" s="12">
        <v>19</v>
      </c>
      <c r="D2849" s="12">
        <v>84</v>
      </c>
      <c r="E2849" s="12">
        <v>0</v>
      </c>
      <c r="F2849" s="12">
        <v>182</v>
      </c>
      <c r="G2849" s="12">
        <v>11000</v>
      </c>
      <c r="H2849" s="12">
        <v>27979400</v>
      </c>
      <c r="I2849" s="12" t="s">
        <v>1753</v>
      </c>
      <c r="J2849" s="12" t="s">
        <v>1957</v>
      </c>
      <c r="K2849" s="12" t="s">
        <v>7330</v>
      </c>
      <c r="L2849" s="12" t="s">
        <v>7028</v>
      </c>
      <c r="M2849" s="12" t="s">
        <v>13699</v>
      </c>
      <c r="N2849" s="12">
        <v>37611</v>
      </c>
      <c r="O2849" s="12">
        <v>12322</v>
      </c>
      <c r="P2849" s="12">
        <v>2</v>
      </c>
      <c r="Q2849" s="12" t="s">
        <v>13700</v>
      </c>
      <c r="R2849" s="15" t="s">
        <v>13701</v>
      </c>
      <c r="S2849" s="12">
        <v>72</v>
      </c>
      <c r="T2849" s="12" t="s">
        <v>39</v>
      </c>
      <c r="U2849" s="12" t="s">
        <v>40</v>
      </c>
      <c r="V2849" s="12" t="s">
        <v>41</v>
      </c>
      <c r="W2849" s="12">
        <v>8200000</v>
      </c>
      <c r="X2849" s="12">
        <v>1993</v>
      </c>
      <c r="Y2849" s="12">
        <v>852</v>
      </c>
      <c r="Z2849" s="12">
        <v>6.1</v>
      </c>
      <c r="AA2849" s="12">
        <v>1.85</v>
      </c>
      <c r="AB2849" s="12">
        <v>0</v>
      </c>
      <c r="AC2849" s="12"/>
      <c r="AD2849" s="12" t="str">
        <f>IFERROR(__xludf.DUMMYFUNCTION("""COMPUTED_VALUE"""),"Dustin Nguyen")</f>
        <v>Dustin Nguyen</v>
      </c>
      <c r="AE2849" s="12"/>
    </row>
    <row r="2850" customHeight="1" spans="1:31">
      <c r="A2850" s="11" t="s">
        <v>30</v>
      </c>
      <c r="B2850" s="11" t="s">
        <v>5129</v>
      </c>
      <c r="C2850" s="11">
        <v>186</v>
      </c>
      <c r="D2850" s="11">
        <v>86</v>
      </c>
      <c r="E2850" s="11">
        <v>174</v>
      </c>
      <c r="F2850" s="11">
        <v>2</v>
      </c>
      <c r="G2850" s="11">
        <v>619</v>
      </c>
      <c r="H2850" s="11">
        <v>54257433</v>
      </c>
      <c r="I2850" s="11" t="s">
        <v>4384</v>
      </c>
      <c r="J2850" s="11" t="s">
        <v>9750</v>
      </c>
      <c r="K2850" s="11" t="s">
        <v>10979</v>
      </c>
      <c r="L2850" s="11" t="s">
        <v>13702</v>
      </c>
      <c r="M2850" s="11" t="s">
        <v>13703</v>
      </c>
      <c r="N2850" s="11">
        <v>12983</v>
      </c>
      <c r="O2850" s="11">
        <v>971</v>
      </c>
      <c r="P2850" s="11">
        <v>0</v>
      </c>
      <c r="Q2850" s="11" t="s">
        <v>13704</v>
      </c>
      <c r="R2850" s="14" t="s">
        <v>13705</v>
      </c>
      <c r="S2850" s="11">
        <v>139</v>
      </c>
      <c r="T2850" s="11" t="s">
        <v>39</v>
      </c>
      <c r="U2850" s="11" t="s">
        <v>40</v>
      </c>
      <c r="V2850" s="11" t="s">
        <v>41</v>
      </c>
      <c r="W2850" s="11">
        <v>17000000</v>
      </c>
      <c r="X2850" s="11">
        <v>2016</v>
      </c>
      <c r="Y2850" s="11">
        <v>350</v>
      </c>
      <c r="Z2850" s="11">
        <v>6.8</v>
      </c>
      <c r="AA2850" s="11">
        <v>2.35</v>
      </c>
      <c r="AB2850" s="11">
        <v>0</v>
      </c>
      <c r="AC2850" s="11"/>
      <c r="AD2850" s="11" t="str">
        <f>IFERROR(__xludf.DUMMYFUNCTION("""COMPUTED_VALUE"""),"Don Stark")</f>
        <v>Don Stark</v>
      </c>
      <c r="AE2850" s="11"/>
    </row>
    <row r="2851" customHeight="1" spans="1:31">
      <c r="A2851" s="12" t="s">
        <v>30</v>
      </c>
      <c r="B2851" s="12" t="s">
        <v>13706</v>
      </c>
      <c r="C2851" s="12">
        <v>185</v>
      </c>
      <c r="D2851" s="12">
        <v>120</v>
      </c>
      <c r="E2851" s="12">
        <v>19</v>
      </c>
      <c r="F2851" s="12">
        <v>829</v>
      </c>
      <c r="G2851" s="12">
        <v>8000</v>
      </c>
      <c r="H2851" s="12">
        <v>23947</v>
      </c>
      <c r="I2851" s="12" t="s">
        <v>2954</v>
      </c>
      <c r="J2851" s="12" t="s">
        <v>1207</v>
      </c>
      <c r="K2851" s="12" t="s">
        <v>5783</v>
      </c>
      <c r="L2851" s="12" t="s">
        <v>8516</v>
      </c>
      <c r="M2851" s="12" t="s">
        <v>13707</v>
      </c>
      <c r="N2851" s="12">
        <v>357579</v>
      </c>
      <c r="O2851" s="12">
        <v>12755</v>
      </c>
      <c r="P2851" s="12">
        <v>0</v>
      </c>
      <c r="Q2851" s="12" t="s">
        <v>13708</v>
      </c>
      <c r="R2851" s="15" t="s">
        <v>13709</v>
      </c>
      <c r="S2851" s="12">
        <v>1100</v>
      </c>
      <c r="T2851" s="12" t="s">
        <v>39</v>
      </c>
      <c r="U2851" s="12" t="s">
        <v>40</v>
      </c>
      <c r="V2851" s="12" t="s">
        <v>586</v>
      </c>
      <c r="W2851" s="12">
        <v>13000000</v>
      </c>
      <c r="X2851" s="12">
        <v>2004</v>
      </c>
      <c r="Y2851" s="12">
        <v>902</v>
      </c>
      <c r="Z2851" s="12">
        <v>7.7</v>
      </c>
      <c r="AA2851" s="12">
        <v>1.85</v>
      </c>
      <c r="AB2851" s="12">
        <v>15000</v>
      </c>
      <c r="AC2851" s="12"/>
      <c r="AD2851" s="12" t="str">
        <f>IFERROR(__xludf.DUMMYFUNCTION("""COMPUTED_VALUE"""),"Melonie Diaz")</f>
        <v>Melonie Diaz</v>
      </c>
      <c r="AE2851" s="12"/>
    </row>
    <row r="2852" customHeight="1" spans="1:31">
      <c r="A2852" s="11" t="s">
        <v>30</v>
      </c>
      <c r="B2852" s="11" t="s">
        <v>11128</v>
      </c>
      <c r="C2852" s="11">
        <v>42</v>
      </c>
      <c r="D2852" s="11">
        <v>89</v>
      </c>
      <c r="E2852" s="11">
        <v>13</v>
      </c>
      <c r="F2852" s="11">
        <v>329</v>
      </c>
      <c r="G2852" s="11">
        <v>571</v>
      </c>
      <c r="H2852" s="11">
        <v>60008303</v>
      </c>
      <c r="I2852" s="11" t="s">
        <v>2359</v>
      </c>
      <c r="J2852" s="11" t="s">
        <v>2472</v>
      </c>
      <c r="K2852" s="11" t="s">
        <v>11480</v>
      </c>
      <c r="L2852" s="11" t="s">
        <v>8219</v>
      </c>
      <c r="M2852" s="11" t="s">
        <v>13710</v>
      </c>
      <c r="N2852" s="11">
        <v>9285</v>
      </c>
      <c r="O2852" s="11">
        <v>2241</v>
      </c>
      <c r="P2852" s="11">
        <v>1</v>
      </c>
      <c r="Q2852" s="11" t="s">
        <v>13711</v>
      </c>
      <c r="R2852" s="14" t="s">
        <v>13712</v>
      </c>
      <c r="S2852" s="11">
        <v>91</v>
      </c>
      <c r="T2852" s="11" t="s">
        <v>39</v>
      </c>
      <c r="U2852" s="11" t="s">
        <v>40</v>
      </c>
      <c r="V2852" s="11" t="s">
        <v>96</v>
      </c>
      <c r="W2852" s="11">
        <v>13000000</v>
      </c>
      <c r="X2852" s="11">
        <v>2000</v>
      </c>
      <c r="Y2852" s="11">
        <v>442</v>
      </c>
      <c r="Z2852" s="11">
        <v>4.9</v>
      </c>
      <c r="AA2852" s="11">
        <v>1.85</v>
      </c>
      <c r="AB2852" s="11">
        <v>0</v>
      </c>
      <c r="AC2852" s="11"/>
      <c r="AD2852" s="11" t="str">
        <f>IFERROR(__xludf.DUMMYFUNCTION("""COMPUTED_VALUE"""),"Christopher Guest")</f>
        <v>Christopher Guest</v>
      </c>
      <c r="AE2852" s="11"/>
    </row>
    <row r="2853" customHeight="1" spans="1:31">
      <c r="A2853" s="12" t="s">
        <v>30</v>
      </c>
      <c r="B2853" s="12" t="s">
        <v>13713</v>
      </c>
      <c r="C2853" s="12">
        <v>37</v>
      </c>
      <c r="D2853" s="12">
        <v>117</v>
      </c>
      <c r="E2853" s="12">
        <v>17</v>
      </c>
      <c r="F2853" s="12">
        <v>912</v>
      </c>
      <c r="G2853" s="12">
        <v>1000</v>
      </c>
      <c r="H2853" s="12">
        <v>49121934</v>
      </c>
      <c r="I2853" s="12" t="s">
        <v>1415</v>
      </c>
      <c r="J2853" s="12" t="s">
        <v>1540</v>
      </c>
      <c r="K2853" s="12" t="s">
        <v>11301</v>
      </c>
      <c r="L2853" s="12" t="s">
        <v>3077</v>
      </c>
      <c r="M2853" s="12" t="s">
        <v>13714</v>
      </c>
      <c r="N2853" s="12">
        <v>6528</v>
      </c>
      <c r="O2853" s="12">
        <v>6554</v>
      </c>
      <c r="P2853" s="12">
        <v>9</v>
      </c>
      <c r="Q2853" s="12" t="s">
        <v>13715</v>
      </c>
      <c r="R2853" s="15" t="s">
        <v>13716</v>
      </c>
      <c r="S2853" s="12">
        <v>32</v>
      </c>
      <c r="T2853" s="12" t="s">
        <v>39</v>
      </c>
      <c r="U2853" s="12" t="s">
        <v>40</v>
      </c>
      <c r="V2853" s="12" t="s">
        <v>41</v>
      </c>
      <c r="W2853" s="12">
        <v>13000000</v>
      </c>
      <c r="X2853" s="12">
        <v>2007</v>
      </c>
      <c r="Y2853" s="12">
        <v>997</v>
      </c>
      <c r="Z2853" s="12">
        <v>6.1</v>
      </c>
      <c r="AA2853" s="12">
        <v>2.35</v>
      </c>
      <c r="AB2853" s="12">
        <v>0</v>
      </c>
      <c r="AC2853" s="12"/>
      <c r="AD2853" s="12" t="str">
        <f>IFERROR(__xludf.DUMMYFUNCTION("""COMPUTED_VALUE"""),"Sarah Solemani")</f>
        <v>Sarah Solemani</v>
      </c>
      <c r="AE2853" s="12"/>
    </row>
    <row r="2854" customHeight="1" spans="1:31">
      <c r="A2854" s="11" t="s">
        <v>30</v>
      </c>
      <c r="B2854" s="11" t="s">
        <v>11264</v>
      </c>
      <c r="C2854" s="11">
        <v>45</v>
      </c>
      <c r="D2854" s="11">
        <v>97</v>
      </c>
      <c r="E2854" s="11">
        <v>84</v>
      </c>
      <c r="F2854" s="11">
        <v>782</v>
      </c>
      <c r="G2854" s="11">
        <v>899</v>
      </c>
      <c r="H2854" s="11">
        <v>27141959</v>
      </c>
      <c r="I2854" s="11" t="s">
        <v>13717</v>
      </c>
      <c r="J2854" s="11" t="s">
        <v>3934</v>
      </c>
      <c r="K2854" s="11" t="s">
        <v>10629</v>
      </c>
      <c r="L2854" s="11" t="s">
        <v>1728</v>
      </c>
      <c r="M2854" s="11" t="s">
        <v>13718</v>
      </c>
      <c r="N2854" s="11">
        <v>19547</v>
      </c>
      <c r="O2854" s="11">
        <v>2936</v>
      </c>
      <c r="P2854" s="11">
        <v>2</v>
      </c>
      <c r="Q2854" s="11" t="s">
        <v>13719</v>
      </c>
      <c r="R2854" s="14" t="s">
        <v>13720</v>
      </c>
      <c r="S2854" s="11">
        <v>168</v>
      </c>
      <c r="T2854" s="11" t="s">
        <v>39</v>
      </c>
      <c r="U2854" s="11" t="s">
        <v>40</v>
      </c>
      <c r="V2854" s="11" t="s">
        <v>96</v>
      </c>
      <c r="W2854" s="11">
        <v>18000000</v>
      </c>
      <c r="X2854" s="11">
        <v>1999</v>
      </c>
      <c r="Y2854" s="11">
        <v>842</v>
      </c>
      <c r="Z2854" s="11">
        <v>2.5</v>
      </c>
      <c r="AA2854" s="11">
        <v>1.85</v>
      </c>
      <c r="AB2854" s="11">
        <v>0</v>
      </c>
      <c r="AC2854" s="11"/>
      <c r="AD2854" s="11" t="str">
        <f>IFERROR(__xludf.DUMMYFUNCTION("""COMPUTED_VALUE"""),"Lynn Cohen")</f>
        <v>Lynn Cohen</v>
      </c>
      <c r="AE2854" s="11"/>
    </row>
    <row r="2855" customHeight="1" spans="1:31">
      <c r="A2855" s="12" t="s">
        <v>30</v>
      </c>
      <c r="B2855" s="12" t="s">
        <v>13721</v>
      </c>
      <c r="C2855" s="12">
        <v>57</v>
      </c>
      <c r="D2855" s="12">
        <v>91</v>
      </c>
      <c r="E2855" s="12">
        <v>6</v>
      </c>
      <c r="F2855" s="12">
        <v>459</v>
      </c>
      <c r="G2855" s="12">
        <v>904</v>
      </c>
      <c r="H2855" s="12">
        <v>27052167</v>
      </c>
      <c r="I2855" s="12" t="s">
        <v>422</v>
      </c>
      <c r="J2855" s="12" t="s">
        <v>3009</v>
      </c>
      <c r="K2855" s="12" t="s">
        <v>2328</v>
      </c>
      <c r="L2855" s="12" t="s">
        <v>13722</v>
      </c>
      <c r="M2855" s="12" t="s">
        <v>13723</v>
      </c>
      <c r="N2855" s="12">
        <v>24834</v>
      </c>
      <c r="O2855" s="12">
        <v>3353</v>
      </c>
      <c r="P2855" s="12">
        <v>5</v>
      </c>
      <c r="Q2855" s="12" t="s">
        <v>13724</v>
      </c>
      <c r="R2855" s="15" t="s">
        <v>13725</v>
      </c>
      <c r="S2855" s="12">
        <v>168</v>
      </c>
      <c r="T2855" s="12" t="s">
        <v>39</v>
      </c>
      <c r="U2855" s="12" t="s">
        <v>40</v>
      </c>
      <c r="V2855" s="12" t="s">
        <v>586</v>
      </c>
      <c r="W2855" s="12">
        <v>13000000</v>
      </c>
      <c r="X2855" s="12">
        <v>1998</v>
      </c>
      <c r="Y2855" s="12">
        <v>471</v>
      </c>
      <c r="Z2855" s="12">
        <v>6.1</v>
      </c>
      <c r="AA2855" s="12">
        <v>1.85</v>
      </c>
      <c r="AB2855" s="12">
        <v>934</v>
      </c>
      <c r="AC2855" s="12"/>
      <c r="AD2855" s="12" t="str">
        <f>IFERROR(__xludf.DUMMYFUNCTION("""COMPUTED_VALUE"""),"David Ramsey")</f>
        <v>David Ramsey</v>
      </c>
      <c r="AE2855" s="12"/>
    </row>
    <row r="2856" customHeight="1" spans="1:31">
      <c r="A2856" s="11" t="s">
        <v>30</v>
      </c>
      <c r="B2856" s="11" t="s">
        <v>13726</v>
      </c>
      <c r="C2856" s="11">
        <v>25</v>
      </c>
      <c r="D2856" s="11">
        <v>100</v>
      </c>
      <c r="E2856" s="11">
        <v>15</v>
      </c>
      <c r="F2856" s="11">
        <v>388</v>
      </c>
      <c r="G2856" s="11">
        <v>694</v>
      </c>
      <c r="H2856" s="11">
        <v>26539321</v>
      </c>
      <c r="I2856" s="11" t="s">
        <v>3932</v>
      </c>
      <c r="J2856" s="11" t="s">
        <v>5425</v>
      </c>
      <c r="K2856" s="11" t="s">
        <v>1778</v>
      </c>
      <c r="L2856" s="11" t="s">
        <v>13727</v>
      </c>
      <c r="M2856" s="11" t="s">
        <v>13728</v>
      </c>
      <c r="N2856" s="11">
        <v>7984</v>
      </c>
      <c r="O2856" s="11">
        <v>2486</v>
      </c>
      <c r="P2856" s="11">
        <v>1</v>
      </c>
      <c r="Q2856" s="11" t="s">
        <v>13729</v>
      </c>
      <c r="R2856" s="14" t="s">
        <v>13730</v>
      </c>
      <c r="S2856" s="11">
        <v>42</v>
      </c>
      <c r="T2856" s="11" t="s">
        <v>39</v>
      </c>
      <c r="U2856" s="11" t="s">
        <v>40</v>
      </c>
      <c r="V2856" s="11" t="s">
        <v>96</v>
      </c>
      <c r="W2856" s="11">
        <v>13000000</v>
      </c>
      <c r="X2856" s="11">
        <v>1996</v>
      </c>
      <c r="Y2856" s="11">
        <v>558</v>
      </c>
      <c r="Z2856" s="11">
        <v>5.9</v>
      </c>
      <c r="AA2856" s="11">
        <v>1.85</v>
      </c>
      <c r="AB2856" s="11">
        <v>833</v>
      </c>
      <c r="AC2856" s="11"/>
      <c r="AD2856" s="11" t="str">
        <f>IFERROR(__xludf.DUMMYFUNCTION("""COMPUTED_VALUE"""),"Riccardo Scamarcio")</f>
        <v>Riccardo Scamarcio</v>
      </c>
      <c r="AE2856" s="11"/>
    </row>
    <row r="2857" customHeight="1" spans="1:31">
      <c r="A2857" s="12" t="s">
        <v>30</v>
      </c>
      <c r="B2857" s="12" t="s">
        <v>13731</v>
      </c>
      <c r="C2857" s="12">
        <v>59</v>
      </c>
      <c r="D2857" s="12">
        <v>72</v>
      </c>
      <c r="E2857" s="12">
        <v>5</v>
      </c>
      <c r="F2857" s="12">
        <v>435</v>
      </c>
      <c r="G2857" s="12">
        <v>659</v>
      </c>
      <c r="H2857" s="12">
        <v>28501605</v>
      </c>
      <c r="I2857" s="12" t="s">
        <v>7406</v>
      </c>
      <c r="J2857" s="12" t="s">
        <v>13732</v>
      </c>
      <c r="K2857" s="12" t="s">
        <v>7032</v>
      </c>
      <c r="L2857" s="12" t="s">
        <v>13733</v>
      </c>
      <c r="M2857" s="12" t="s">
        <v>13734</v>
      </c>
      <c r="N2857" s="12">
        <v>31371</v>
      </c>
      <c r="O2857" s="12">
        <v>2646</v>
      </c>
      <c r="P2857" s="12">
        <v>0</v>
      </c>
      <c r="Q2857" s="12" t="s">
        <v>13735</v>
      </c>
      <c r="R2857" s="15" t="s">
        <v>13736</v>
      </c>
      <c r="S2857" s="12">
        <v>166</v>
      </c>
      <c r="T2857" s="12" t="s">
        <v>39</v>
      </c>
      <c r="U2857" s="12" t="s">
        <v>40</v>
      </c>
      <c r="V2857" s="12" t="s">
        <v>586</v>
      </c>
      <c r="W2857" s="12">
        <v>13000000</v>
      </c>
      <c r="X2857" s="12">
        <v>1990</v>
      </c>
      <c r="Y2857" s="12">
        <v>628</v>
      </c>
      <c r="Z2857" s="12">
        <v>5.7</v>
      </c>
      <c r="AA2857" s="12">
        <v>1.85</v>
      </c>
      <c r="AB2857" s="12">
        <v>0</v>
      </c>
      <c r="AC2857" s="12"/>
      <c r="AD2857" s="12" t="str">
        <f>IFERROR(__xludf.DUMMYFUNCTION("""COMPUTED_VALUE"""),"James Russo")</f>
        <v>James Russo</v>
      </c>
      <c r="AE2857" s="12"/>
    </row>
    <row r="2858" customHeight="1" spans="1:31">
      <c r="A2858" s="11" t="s">
        <v>30</v>
      </c>
      <c r="B2858" s="11" t="s">
        <v>13737</v>
      </c>
      <c r="C2858" s="11">
        <v>58</v>
      </c>
      <c r="D2858" s="11">
        <v>84</v>
      </c>
      <c r="E2858" s="11">
        <v>12</v>
      </c>
      <c r="F2858" s="11">
        <v>334</v>
      </c>
      <c r="G2858" s="11">
        <v>1000</v>
      </c>
      <c r="H2858" s="11">
        <v>52543632</v>
      </c>
      <c r="I2858" s="11" t="s">
        <v>1528</v>
      </c>
      <c r="J2858" s="11" t="s">
        <v>2718</v>
      </c>
      <c r="K2858" s="11" t="s">
        <v>13738</v>
      </c>
      <c r="L2858" s="11" t="s">
        <v>13739</v>
      </c>
      <c r="M2858" s="11" t="s">
        <v>13740</v>
      </c>
      <c r="N2858" s="11">
        <v>12676</v>
      </c>
      <c r="O2858" s="11">
        <v>2297</v>
      </c>
      <c r="P2858" s="11">
        <v>2</v>
      </c>
      <c r="Q2858" s="11" t="s">
        <v>13741</v>
      </c>
      <c r="R2858" s="14" t="s">
        <v>13742</v>
      </c>
      <c r="S2858" s="11">
        <v>84</v>
      </c>
      <c r="T2858" s="11" t="s">
        <v>39</v>
      </c>
      <c r="U2858" s="11" t="s">
        <v>40</v>
      </c>
      <c r="V2858" s="11" t="s">
        <v>41</v>
      </c>
      <c r="W2858" s="11">
        <v>13200000</v>
      </c>
      <c r="X2858" s="11">
        <v>2014</v>
      </c>
      <c r="Y2858" s="11">
        <v>345</v>
      </c>
      <c r="Z2858" s="11">
        <v>5.6</v>
      </c>
      <c r="AA2858" s="11">
        <v>2.35</v>
      </c>
      <c r="AB2858" s="11">
        <v>0</v>
      </c>
      <c r="AC2858" s="11"/>
      <c r="AD2858" s="11" t="str">
        <f>IFERROR(__xludf.DUMMYFUNCTION("""COMPUTED_VALUE"""),"Jeff DeRocker")</f>
        <v>Jeff DeRocker</v>
      </c>
      <c r="AE2858" s="11"/>
    </row>
    <row r="2859" customHeight="1" spans="1:31">
      <c r="A2859" s="12" t="s">
        <v>30</v>
      </c>
      <c r="B2859" s="12" t="s">
        <v>3260</v>
      </c>
      <c r="C2859" s="12">
        <v>330</v>
      </c>
      <c r="D2859" s="12">
        <v>126</v>
      </c>
      <c r="E2859" s="12">
        <v>0</v>
      </c>
      <c r="F2859" s="12">
        <v>745</v>
      </c>
      <c r="G2859" s="12">
        <v>2000</v>
      </c>
      <c r="H2859" s="12">
        <v>25592632</v>
      </c>
      <c r="I2859" s="12" t="s">
        <v>6403</v>
      </c>
      <c r="J2859" s="12" t="s">
        <v>1212</v>
      </c>
      <c r="K2859" s="12" t="s">
        <v>1301</v>
      </c>
      <c r="L2859" s="12" t="s">
        <v>3262</v>
      </c>
      <c r="M2859" s="12" t="s">
        <v>13743</v>
      </c>
      <c r="N2859" s="12">
        <v>220475</v>
      </c>
      <c r="O2859" s="12">
        <v>5371</v>
      </c>
      <c r="P2859" s="12">
        <v>0</v>
      </c>
      <c r="Q2859" s="12" t="s">
        <v>13744</v>
      </c>
      <c r="R2859" s="15" t="s">
        <v>13745</v>
      </c>
      <c r="S2859" s="12">
        <v>1066</v>
      </c>
      <c r="T2859" s="12" t="s">
        <v>39</v>
      </c>
      <c r="U2859" s="12" t="s">
        <v>40</v>
      </c>
      <c r="V2859" s="12" t="s">
        <v>586</v>
      </c>
      <c r="W2859" s="12">
        <v>18000000</v>
      </c>
      <c r="X2859" s="12">
        <v>2007</v>
      </c>
      <c r="Y2859" s="12">
        <v>850</v>
      </c>
      <c r="Z2859" s="12">
        <v>7.2</v>
      </c>
      <c r="AA2859" s="12">
        <v>1.85</v>
      </c>
      <c r="AB2859" s="12">
        <v>20000</v>
      </c>
      <c r="AC2859" s="12"/>
      <c r="AD2859" s="12" t="str">
        <f>IFERROR(__xludf.DUMMYFUNCTION("""COMPUTED_VALUE"""),"Edi Gathegi")</f>
        <v>Edi Gathegi</v>
      </c>
      <c r="AE2859" s="12"/>
    </row>
    <row r="2860" customHeight="1" spans="1:31">
      <c r="A2860" s="11" t="s">
        <v>748</v>
      </c>
      <c r="B2860" s="11" t="s">
        <v>13746</v>
      </c>
      <c r="C2860" s="11">
        <v>489</v>
      </c>
      <c r="D2860" s="11">
        <v>108</v>
      </c>
      <c r="E2860" s="11">
        <v>232</v>
      </c>
      <c r="F2860" s="11">
        <v>123</v>
      </c>
      <c r="G2860" s="11">
        <v>149</v>
      </c>
      <c r="H2860" s="11">
        <v>25440971</v>
      </c>
      <c r="I2860" s="11" t="s">
        <v>2202</v>
      </c>
      <c r="J2860" s="11" t="s">
        <v>13747</v>
      </c>
      <c r="K2860" s="11" t="s">
        <v>13748</v>
      </c>
      <c r="L2860" s="11" t="s">
        <v>13749</v>
      </c>
      <c r="M2860" s="11" t="s">
        <v>13750</v>
      </c>
      <c r="N2860" s="11">
        <v>289508</v>
      </c>
      <c r="O2860" s="11">
        <v>430</v>
      </c>
      <c r="P2860" s="11">
        <v>0</v>
      </c>
      <c r="Q2860" s="11" t="s">
        <v>13751</v>
      </c>
      <c r="R2860" s="14" t="s">
        <v>13752</v>
      </c>
      <c r="S2860" s="11">
        <v>611</v>
      </c>
      <c r="T2860" s="11" t="s">
        <v>39</v>
      </c>
      <c r="U2860" s="11" t="s">
        <v>58</v>
      </c>
      <c r="V2860" s="11" t="s">
        <v>586</v>
      </c>
      <c r="W2860" s="11">
        <v>15000000</v>
      </c>
      <c r="X2860" s="11">
        <v>2015</v>
      </c>
      <c r="Y2860" s="11">
        <v>145</v>
      </c>
      <c r="Z2860" s="11">
        <v>7.7</v>
      </c>
      <c r="AA2860" s="11">
        <v>2.35</v>
      </c>
      <c r="AB2860" s="11">
        <v>109000</v>
      </c>
      <c r="AC2860" s="11"/>
      <c r="AD2860" s="11" t="str">
        <f>IFERROR(__xludf.DUMMYFUNCTION("""COMPUTED_VALUE"""),"Brendan Sexton III")</f>
        <v>Brendan Sexton III</v>
      </c>
      <c r="AE2860" s="11"/>
    </row>
    <row r="2861" customHeight="1" spans="1:31">
      <c r="A2861" s="12" t="s">
        <v>30</v>
      </c>
      <c r="B2861" s="12" t="s">
        <v>1801</v>
      </c>
      <c r="C2861" s="12">
        <v>242</v>
      </c>
      <c r="D2861" s="12">
        <v>112</v>
      </c>
      <c r="E2861" s="12">
        <v>0</v>
      </c>
      <c r="F2861" s="12">
        <v>213</v>
      </c>
      <c r="G2861" s="12">
        <v>512</v>
      </c>
      <c r="H2861" s="12">
        <v>22858926</v>
      </c>
      <c r="I2861" s="12" t="s">
        <v>7902</v>
      </c>
      <c r="J2861" s="12" t="s">
        <v>4463</v>
      </c>
      <c r="K2861" s="12" t="s">
        <v>13753</v>
      </c>
      <c r="L2861" s="12" t="s">
        <v>601</v>
      </c>
      <c r="M2861" s="12" t="s">
        <v>13754</v>
      </c>
      <c r="N2861" s="12">
        <v>254404</v>
      </c>
      <c r="O2861" s="12">
        <v>1171</v>
      </c>
      <c r="P2861" s="12">
        <v>2</v>
      </c>
      <c r="Q2861" s="12" t="s">
        <v>13755</v>
      </c>
      <c r="R2861" s="15" t="s">
        <v>13756</v>
      </c>
      <c r="S2861" s="12">
        <v>840</v>
      </c>
      <c r="T2861" s="12" t="s">
        <v>39</v>
      </c>
      <c r="U2861" s="12" t="s">
        <v>40</v>
      </c>
      <c r="V2861" s="12" t="s">
        <v>586</v>
      </c>
      <c r="W2861" s="12">
        <v>13000000</v>
      </c>
      <c r="X2861" s="12">
        <v>1999</v>
      </c>
      <c r="Y2861" s="12">
        <v>216</v>
      </c>
      <c r="Z2861" s="12">
        <v>7.8</v>
      </c>
      <c r="AA2861" s="12">
        <v>1.85</v>
      </c>
      <c r="AB2861" s="12">
        <v>0</v>
      </c>
      <c r="AC2861" s="12"/>
      <c r="AD2861" s="12" t="str">
        <f>IFERROR(__xludf.DUMMYFUNCTION("""COMPUTED_VALUE"""),"Scott Baio")</f>
        <v>Scott Baio</v>
      </c>
      <c r="AE2861" s="12"/>
    </row>
    <row r="2862" customHeight="1" spans="1:31">
      <c r="A2862" s="11" t="s">
        <v>30</v>
      </c>
      <c r="B2862" s="11" t="s">
        <v>13757</v>
      </c>
      <c r="C2862" s="11">
        <v>40</v>
      </c>
      <c r="D2862" s="11">
        <v>90</v>
      </c>
      <c r="E2862" s="11">
        <v>7</v>
      </c>
      <c r="F2862" s="11">
        <v>405</v>
      </c>
      <c r="G2862" s="11">
        <v>939</v>
      </c>
      <c r="H2862" s="11">
        <v>22235901</v>
      </c>
      <c r="I2862" s="11" t="s">
        <v>1681</v>
      </c>
      <c r="J2862" s="11" t="s">
        <v>5453</v>
      </c>
      <c r="K2862" s="11" t="s">
        <v>634</v>
      </c>
      <c r="L2862" s="11" t="s">
        <v>7156</v>
      </c>
      <c r="M2862" s="11" t="s">
        <v>13758</v>
      </c>
      <c r="N2862" s="11">
        <v>4339</v>
      </c>
      <c r="O2862" s="11">
        <v>2815</v>
      </c>
      <c r="P2862" s="11">
        <v>2</v>
      </c>
      <c r="Q2862" s="11" t="s">
        <v>13759</v>
      </c>
      <c r="R2862" s="14" t="s">
        <v>13760</v>
      </c>
      <c r="S2862" s="11">
        <v>31</v>
      </c>
      <c r="T2862" s="11" t="s">
        <v>39</v>
      </c>
      <c r="U2862" s="11" t="s">
        <v>40</v>
      </c>
      <c r="V2862" s="11" t="s">
        <v>586</v>
      </c>
      <c r="W2862" s="11">
        <v>6000000</v>
      </c>
      <c r="X2862" s="11">
        <v>2001</v>
      </c>
      <c r="Y2862" s="11">
        <v>890</v>
      </c>
      <c r="Z2862" s="11">
        <v>6.1</v>
      </c>
      <c r="AA2862" s="11">
        <v>1.85</v>
      </c>
      <c r="AB2862" s="11">
        <v>593</v>
      </c>
      <c r="AC2862" s="11"/>
      <c r="AD2862" s="11" t="str">
        <f>IFERROR(__xludf.DUMMYFUNCTION("""COMPUTED_VALUE"""),"Vanessa Angel")</f>
        <v>Vanessa Angel</v>
      </c>
      <c r="AE2862" s="11"/>
    </row>
    <row r="2863" customHeight="1" spans="1:31">
      <c r="A2863" s="12" t="s">
        <v>30</v>
      </c>
      <c r="B2863" s="12" t="s">
        <v>1496</v>
      </c>
      <c r="C2863" s="12">
        <v>112</v>
      </c>
      <c r="D2863" s="12">
        <v>91</v>
      </c>
      <c r="E2863" s="12">
        <v>13</v>
      </c>
      <c r="F2863" s="12">
        <v>140</v>
      </c>
      <c r="G2863" s="12">
        <v>803</v>
      </c>
      <c r="H2863" s="12">
        <v>38916903</v>
      </c>
      <c r="I2863" s="12" t="s">
        <v>13761</v>
      </c>
      <c r="J2863" s="12" t="s">
        <v>13762</v>
      </c>
      <c r="K2863" s="12" t="s">
        <v>13763</v>
      </c>
      <c r="L2863" s="12" t="s">
        <v>13764</v>
      </c>
      <c r="M2863" s="12" t="s">
        <v>13765</v>
      </c>
      <c r="N2863" s="12">
        <v>15664</v>
      </c>
      <c r="O2863" s="12">
        <v>1921</v>
      </c>
      <c r="P2863" s="12">
        <v>0</v>
      </c>
      <c r="Q2863" s="12" t="s">
        <v>13766</v>
      </c>
      <c r="R2863" s="15" t="s">
        <v>13767</v>
      </c>
      <c r="S2863" s="12">
        <v>149</v>
      </c>
      <c r="T2863" s="12" t="s">
        <v>39</v>
      </c>
      <c r="U2863" s="12" t="s">
        <v>40</v>
      </c>
      <c r="V2863" s="12" t="s">
        <v>96</v>
      </c>
      <c r="W2863" s="12">
        <v>13000000</v>
      </c>
      <c r="X2863" s="12">
        <v>2014</v>
      </c>
      <c r="Y2863" s="12">
        <v>587</v>
      </c>
      <c r="Z2863" s="12">
        <v>5.8</v>
      </c>
      <c r="AA2863" s="12">
        <v>1.85</v>
      </c>
      <c r="AB2863" s="12">
        <v>0</v>
      </c>
      <c r="AC2863" s="12"/>
      <c r="AD2863" s="12" t="str">
        <f>IFERROR(__xludf.DUMMYFUNCTION("""COMPUTED_VALUE"""),"Peter Wingfield")</f>
        <v>Peter Wingfield</v>
      </c>
      <c r="AE2863" s="12"/>
    </row>
    <row r="2864" customHeight="1" spans="1:31">
      <c r="A2864" s="11" t="s">
        <v>30</v>
      </c>
      <c r="B2864" s="11" t="s">
        <v>5409</v>
      </c>
      <c r="C2864" s="11">
        <v>84</v>
      </c>
      <c r="D2864" s="11">
        <v>135</v>
      </c>
      <c r="E2864" s="11">
        <v>134</v>
      </c>
      <c r="F2864" s="11">
        <v>525</v>
      </c>
      <c r="G2864" s="11">
        <v>4000</v>
      </c>
      <c r="H2864" s="11">
        <v>16929123</v>
      </c>
      <c r="I2864" s="11" t="s">
        <v>214</v>
      </c>
      <c r="J2864" s="11" t="s">
        <v>84</v>
      </c>
      <c r="K2864" s="11" t="s">
        <v>3715</v>
      </c>
      <c r="L2864" s="11" t="s">
        <v>13768</v>
      </c>
      <c r="M2864" s="11" t="s">
        <v>13769</v>
      </c>
      <c r="N2864" s="11">
        <v>21406</v>
      </c>
      <c r="O2864" s="11">
        <v>6214</v>
      </c>
      <c r="P2864" s="11">
        <v>2</v>
      </c>
      <c r="Q2864" s="11" t="s">
        <v>13770</v>
      </c>
      <c r="R2864" s="14" t="s">
        <v>13771</v>
      </c>
      <c r="S2864" s="11">
        <v>169</v>
      </c>
      <c r="T2864" s="11" t="s">
        <v>39</v>
      </c>
      <c r="U2864" s="11" t="s">
        <v>40</v>
      </c>
      <c r="V2864" s="11" t="s">
        <v>41</v>
      </c>
      <c r="W2864" s="11">
        <v>14000000</v>
      </c>
      <c r="X2864" s="11">
        <v>2001</v>
      </c>
      <c r="Y2864" s="11">
        <v>1000</v>
      </c>
      <c r="Z2864" s="11">
        <v>6.5</v>
      </c>
      <c r="AA2864" s="11">
        <v>1.85</v>
      </c>
      <c r="AB2864" s="11">
        <v>0</v>
      </c>
      <c r="AC2864" s="11"/>
      <c r="AD2864" s="11" t="str">
        <f>IFERROR(__xludf.DUMMYFUNCTION("""COMPUTED_VALUE"""),"Susie Essman")</f>
        <v>Susie Essman</v>
      </c>
      <c r="AE2864" s="11"/>
    </row>
    <row r="2865" customHeight="1" spans="1:31">
      <c r="A2865" s="12" t="s">
        <v>30</v>
      </c>
      <c r="B2865" s="12" t="s">
        <v>3695</v>
      </c>
      <c r="C2865" s="12">
        <v>251</v>
      </c>
      <c r="D2865" s="12">
        <v>141</v>
      </c>
      <c r="E2865" s="12">
        <v>16000</v>
      </c>
      <c r="F2865" s="12">
        <v>78</v>
      </c>
      <c r="G2865" s="12">
        <v>378</v>
      </c>
      <c r="H2865" s="12">
        <v>13753931</v>
      </c>
      <c r="I2865" s="12" t="s">
        <v>1962</v>
      </c>
      <c r="J2865" s="12" t="s">
        <v>13772</v>
      </c>
      <c r="K2865" s="12" t="s">
        <v>13773</v>
      </c>
      <c r="L2865" s="12" t="s">
        <v>13774</v>
      </c>
      <c r="M2865" s="12" t="s">
        <v>13775</v>
      </c>
      <c r="N2865" s="12">
        <v>132149</v>
      </c>
      <c r="O2865" s="12">
        <v>751</v>
      </c>
      <c r="P2865" s="12">
        <v>0</v>
      </c>
      <c r="Q2865" s="12" t="s">
        <v>13776</v>
      </c>
      <c r="R2865" s="15" t="s">
        <v>13777</v>
      </c>
      <c r="S2865" s="12">
        <v>316</v>
      </c>
      <c r="T2865" s="12" t="s">
        <v>677</v>
      </c>
      <c r="U2865" s="12" t="s">
        <v>40</v>
      </c>
      <c r="V2865" s="12" t="s">
        <v>586</v>
      </c>
      <c r="W2865" s="12">
        <v>19000000</v>
      </c>
      <c r="X2865" s="12">
        <v>2006</v>
      </c>
      <c r="Y2865" s="12">
        <v>85</v>
      </c>
      <c r="Z2865" s="12">
        <v>7.9</v>
      </c>
      <c r="AA2865" s="12">
        <v>2.35</v>
      </c>
      <c r="AB2865" s="12">
        <v>5000</v>
      </c>
      <c r="AC2865" s="12"/>
      <c r="AD2865" s="12" t="str">
        <f>IFERROR(__xludf.DUMMYFUNCTION("""COMPUTED_VALUE"""),"Gigi Rice")</f>
        <v>Gigi Rice</v>
      </c>
      <c r="AE2865" s="12"/>
    </row>
    <row r="2866" customHeight="1" spans="1:31">
      <c r="A2866" s="11" t="s">
        <v>30</v>
      </c>
      <c r="B2866" s="11" t="s">
        <v>13778</v>
      </c>
      <c r="C2866" s="11">
        <v>113</v>
      </c>
      <c r="D2866" s="11">
        <v>104</v>
      </c>
      <c r="E2866" s="11">
        <v>35</v>
      </c>
      <c r="F2866" s="11">
        <v>844</v>
      </c>
      <c r="G2866" s="11">
        <v>24000</v>
      </c>
      <c r="H2866" s="11">
        <v>10996440</v>
      </c>
      <c r="I2866" s="11" t="s">
        <v>660</v>
      </c>
      <c r="J2866" s="11" t="s">
        <v>82</v>
      </c>
      <c r="K2866" s="11" t="s">
        <v>2666</v>
      </c>
      <c r="L2866" s="11" t="s">
        <v>10437</v>
      </c>
      <c r="M2866" s="11" t="s">
        <v>13779</v>
      </c>
      <c r="N2866" s="11">
        <v>19707</v>
      </c>
      <c r="O2866" s="11">
        <v>27806</v>
      </c>
      <c r="P2866" s="11">
        <v>0</v>
      </c>
      <c r="Q2866" s="11" t="s">
        <v>13780</v>
      </c>
      <c r="R2866" s="14" t="s">
        <v>13781</v>
      </c>
      <c r="S2866" s="11">
        <v>128</v>
      </c>
      <c r="T2866" s="11" t="s">
        <v>39</v>
      </c>
      <c r="U2866" s="11" t="s">
        <v>40</v>
      </c>
      <c r="V2866" s="11" t="s">
        <v>96</v>
      </c>
      <c r="W2866" s="11">
        <v>13000000</v>
      </c>
      <c r="X2866" s="11">
        <v>2006</v>
      </c>
      <c r="Y2866" s="11">
        <v>912</v>
      </c>
      <c r="Z2866" s="11">
        <v>6.3</v>
      </c>
      <c r="AA2866" s="11">
        <v>2.35</v>
      </c>
      <c r="AB2866" s="11">
        <v>862</v>
      </c>
      <c r="AC2866" s="11"/>
      <c r="AD2866" s="11" t="str">
        <f>IFERROR(__xludf.DUMMYFUNCTION("""COMPUTED_VALUE"""),"Nia Vardalos")</f>
        <v>Nia Vardalos</v>
      </c>
      <c r="AE2866" s="11"/>
    </row>
    <row r="2867" customHeight="1" spans="1:31">
      <c r="A2867" s="12" t="s">
        <v>30</v>
      </c>
      <c r="B2867" s="12" t="s">
        <v>13782</v>
      </c>
      <c r="C2867" s="12">
        <v>23</v>
      </c>
      <c r="D2867" s="12">
        <v>84</v>
      </c>
      <c r="E2867" s="12">
        <v>18</v>
      </c>
      <c r="F2867" s="12">
        <v>744</v>
      </c>
      <c r="G2867" s="12">
        <v>1000</v>
      </c>
      <c r="H2867" s="12">
        <v>8026971</v>
      </c>
      <c r="I2867" s="12" t="s">
        <v>1681</v>
      </c>
      <c r="J2867" s="12" t="s">
        <v>2121</v>
      </c>
      <c r="K2867" s="12" t="s">
        <v>805</v>
      </c>
      <c r="L2867" s="12" t="s">
        <v>2638</v>
      </c>
      <c r="M2867" s="12" t="s">
        <v>13783</v>
      </c>
      <c r="N2867" s="12">
        <v>1520</v>
      </c>
      <c r="O2867" s="12">
        <v>3352</v>
      </c>
      <c r="P2867" s="12">
        <v>0</v>
      </c>
      <c r="Q2867" s="12" t="s">
        <v>13784</v>
      </c>
      <c r="R2867" s="15" t="s">
        <v>13785</v>
      </c>
      <c r="S2867" s="12">
        <v>20</v>
      </c>
      <c r="T2867" s="12" t="s">
        <v>39</v>
      </c>
      <c r="U2867" s="12" t="s">
        <v>40</v>
      </c>
      <c r="V2867" s="12" t="s">
        <v>586</v>
      </c>
      <c r="W2867" s="12">
        <v>13000000</v>
      </c>
      <c r="X2867" s="12">
        <v>1998</v>
      </c>
      <c r="Y2867" s="12">
        <v>851</v>
      </c>
      <c r="Z2867" s="12">
        <v>3.8</v>
      </c>
      <c r="AA2867" s="16"/>
      <c r="AB2867" s="12">
        <v>204</v>
      </c>
      <c r="AC2867" s="12"/>
      <c r="AD2867" s="12" t="str">
        <f>IFERROR(__xludf.DUMMYFUNCTION("""COMPUTED_VALUE"""),"Sammy Davis Jr.")</f>
        <v>Sammy Davis Jr.</v>
      </c>
      <c r="AE2867" s="12"/>
    </row>
    <row r="2868" customHeight="1" spans="1:31">
      <c r="A2868" s="11" t="s">
        <v>30</v>
      </c>
      <c r="B2868" s="11" t="s">
        <v>13786</v>
      </c>
      <c r="C2868" s="11">
        <v>421</v>
      </c>
      <c r="D2868" s="11">
        <v>118</v>
      </c>
      <c r="E2868" s="11">
        <v>412</v>
      </c>
      <c r="F2868" s="11">
        <v>491</v>
      </c>
      <c r="G2868" s="11">
        <v>805</v>
      </c>
      <c r="H2868" s="11">
        <v>14677654</v>
      </c>
      <c r="I2868" s="11" t="s">
        <v>3410</v>
      </c>
      <c r="J2868" s="11" t="s">
        <v>2319</v>
      </c>
      <c r="K2868" s="11" t="s">
        <v>1600</v>
      </c>
      <c r="L2868" s="11" t="s">
        <v>7939</v>
      </c>
      <c r="M2868" s="11" t="s">
        <v>13787</v>
      </c>
      <c r="N2868" s="11">
        <v>161288</v>
      </c>
      <c r="O2868" s="11">
        <v>2499</v>
      </c>
      <c r="P2868" s="11">
        <v>0</v>
      </c>
      <c r="Q2868" s="11" t="s">
        <v>13788</v>
      </c>
      <c r="R2868" s="14" t="s">
        <v>13789</v>
      </c>
      <c r="S2868" s="11">
        <v>351</v>
      </c>
      <c r="T2868" s="11" t="s">
        <v>39</v>
      </c>
      <c r="U2868" s="11" t="s">
        <v>7988</v>
      </c>
      <c r="V2868" s="11" t="s">
        <v>586</v>
      </c>
      <c r="W2868" s="11">
        <v>13000000</v>
      </c>
      <c r="X2868" s="11">
        <v>2015</v>
      </c>
      <c r="Y2868" s="11">
        <v>681</v>
      </c>
      <c r="Z2868" s="11">
        <v>8.3</v>
      </c>
      <c r="AA2868" s="11">
        <v>2.35</v>
      </c>
      <c r="AB2868" s="11">
        <v>72000</v>
      </c>
      <c r="AC2868" s="11"/>
      <c r="AD2868" s="11" t="str">
        <f>IFERROR(__xludf.DUMMYFUNCTION("""COMPUTED_VALUE"""),"Ricardo Montalban")</f>
        <v>Ricardo Montalban</v>
      </c>
      <c r="AE2868" s="11"/>
    </row>
    <row r="2869" customHeight="1" spans="1:31">
      <c r="A2869" s="12" t="s">
        <v>30</v>
      </c>
      <c r="B2869" s="12" t="s">
        <v>6771</v>
      </c>
      <c r="C2869" s="12">
        <v>32</v>
      </c>
      <c r="D2869" s="12">
        <v>82</v>
      </c>
      <c r="E2869" s="12">
        <v>799</v>
      </c>
      <c r="F2869" s="12">
        <v>294</v>
      </c>
      <c r="G2869" s="12">
        <v>721</v>
      </c>
      <c r="H2869" s="12">
        <v>9975684</v>
      </c>
      <c r="I2869" s="12" t="s">
        <v>1672</v>
      </c>
      <c r="J2869" s="12" t="s">
        <v>324</v>
      </c>
      <c r="K2869" s="12" t="s">
        <v>12389</v>
      </c>
      <c r="L2869" s="12" t="s">
        <v>1892</v>
      </c>
      <c r="M2869" s="12" t="s">
        <v>13790</v>
      </c>
      <c r="N2869" s="12">
        <v>20033</v>
      </c>
      <c r="O2869" s="12">
        <v>1805</v>
      </c>
      <c r="P2869" s="12">
        <v>0</v>
      </c>
      <c r="Q2869" s="12" t="s">
        <v>13791</v>
      </c>
      <c r="R2869" s="15" t="s">
        <v>13792</v>
      </c>
      <c r="S2869" s="12">
        <v>117</v>
      </c>
      <c r="T2869" s="12" t="s">
        <v>39</v>
      </c>
      <c r="U2869" s="12" t="s">
        <v>269</v>
      </c>
      <c r="V2869" s="12" t="s">
        <v>41</v>
      </c>
      <c r="W2869" s="12">
        <v>13000000</v>
      </c>
      <c r="X2869" s="12">
        <v>1998</v>
      </c>
      <c r="Y2869" s="12">
        <v>359</v>
      </c>
      <c r="Z2869" s="12">
        <v>6.4</v>
      </c>
      <c r="AA2869" s="12">
        <v>1.85</v>
      </c>
      <c r="AB2869" s="12">
        <v>679</v>
      </c>
      <c r="AC2869" s="12"/>
      <c r="AD2869" s="12" t="str">
        <f>IFERROR(__xludf.DUMMYFUNCTION("""COMPUTED_VALUE"""),"Martin Dew")</f>
        <v>Martin Dew</v>
      </c>
      <c r="AE2869" s="12"/>
    </row>
    <row r="2870" customHeight="1" spans="1:31">
      <c r="A2870" s="11" t="s">
        <v>30</v>
      </c>
      <c r="B2870" s="11" t="s">
        <v>13793</v>
      </c>
      <c r="C2870" s="11">
        <v>52</v>
      </c>
      <c r="D2870" s="11">
        <v>95</v>
      </c>
      <c r="E2870" s="11">
        <v>0</v>
      </c>
      <c r="F2870" s="11">
        <v>650</v>
      </c>
      <c r="G2870" s="11">
        <v>899</v>
      </c>
      <c r="H2870" s="11">
        <v>7881335</v>
      </c>
      <c r="I2870" s="11" t="s">
        <v>5968</v>
      </c>
      <c r="J2870" s="11" t="s">
        <v>3934</v>
      </c>
      <c r="K2870" s="11" t="s">
        <v>5987</v>
      </c>
      <c r="L2870" s="11" t="s">
        <v>5766</v>
      </c>
      <c r="M2870" s="11" t="s">
        <v>13794</v>
      </c>
      <c r="N2870" s="11">
        <v>21212</v>
      </c>
      <c r="O2870" s="11">
        <v>3092</v>
      </c>
      <c r="P2870" s="11">
        <v>4</v>
      </c>
      <c r="Q2870" s="11" t="s">
        <v>13795</v>
      </c>
      <c r="R2870" s="14" t="s">
        <v>13796</v>
      </c>
      <c r="S2870" s="11">
        <v>107</v>
      </c>
      <c r="T2870" s="11" t="s">
        <v>39</v>
      </c>
      <c r="U2870" s="11" t="s">
        <v>40</v>
      </c>
      <c r="V2870" s="11" t="s">
        <v>586</v>
      </c>
      <c r="W2870" s="11">
        <v>13000000</v>
      </c>
      <c r="X2870" s="11">
        <v>1994</v>
      </c>
      <c r="Y2870" s="11">
        <v>849</v>
      </c>
      <c r="Z2870" s="11">
        <v>6.7</v>
      </c>
      <c r="AA2870" s="11">
        <v>1.66</v>
      </c>
      <c r="AB2870" s="11">
        <v>3000</v>
      </c>
      <c r="AC2870" s="11"/>
      <c r="AD2870" s="11" t="str">
        <f>IFERROR(__xludf.DUMMYFUNCTION("""COMPUTED_VALUE"""),"Katherine Waterston")</f>
        <v>Katherine Waterston</v>
      </c>
      <c r="AE2870" s="11"/>
    </row>
    <row r="2871" customHeight="1" spans="1:31">
      <c r="A2871" s="12" t="s">
        <v>30</v>
      </c>
      <c r="B2871" s="12" t="s">
        <v>10960</v>
      </c>
      <c r="C2871" s="12">
        <v>81</v>
      </c>
      <c r="D2871" s="12">
        <v>94</v>
      </c>
      <c r="E2871" s="12">
        <v>26</v>
      </c>
      <c r="F2871" s="12">
        <v>4000</v>
      </c>
      <c r="G2871" s="12">
        <v>16000</v>
      </c>
      <c r="H2871" s="12">
        <v>6241697</v>
      </c>
      <c r="I2871" s="12" t="s">
        <v>1672</v>
      </c>
      <c r="J2871" s="12" t="s">
        <v>315</v>
      </c>
      <c r="K2871" s="12" t="s">
        <v>1249</v>
      </c>
      <c r="L2871" s="12" t="s">
        <v>84</v>
      </c>
      <c r="M2871" s="12" t="s">
        <v>13797</v>
      </c>
      <c r="N2871" s="12">
        <v>16059</v>
      </c>
      <c r="O2871" s="12">
        <v>31005</v>
      </c>
      <c r="P2871" s="12">
        <v>2</v>
      </c>
      <c r="Q2871" s="12" t="s">
        <v>13798</v>
      </c>
      <c r="R2871" s="15" t="s">
        <v>13799</v>
      </c>
      <c r="S2871" s="12">
        <v>210</v>
      </c>
      <c r="T2871" s="12" t="s">
        <v>39</v>
      </c>
      <c r="U2871" s="12" t="s">
        <v>1466</v>
      </c>
      <c r="V2871" s="12" t="s">
        <v>41</v>
      </c>
      <c r="W2871" s="12">
        <v>13000000</v>
      </c>
      <c r="X2871" s="12">
        <v>1999</v>
      </c>
      <c r="Y2871" s="12">
        <v>8000</v>
      </c>
      <c r="Z2871" s="12">
        <v>6.1</v>
      </c>
      <c r="AA2871" s="12">
        <v>1.85</v>
      </c>
      <c r="AB2871" s="12">
        <v>0</v>
      </c>
      <c r="AC2871" s="12"/>
      <c r="AD2871" s="12" t="str">
        <f>IFERROR(__xludf.DUMMYFUNCTION("""COMPUTED_VALUE"""),"Serena Scott Thomas")</f>
        <v>Serena Scott Thomas</v>
      </c>
      <c r="AE2871" s="12"/>
    </row>
    <row r="2872" customHeight="1" spans="1:31">
      <c r="A2872" s="11" t="s">
        <v>30</v>
      </c>
      <c r="B2872" s="11" t="s">
        <v>8667</v>
      </c>
      <c r="C2872" s="13"/>
      <c r="D2872" s="11">
        <v>88</v>
      </c>
      <c r="E2872" s="11">
        <v>76</v>
      </c>
      <c r="F2872" s="11">
        <v>75</v>
      </c>
      <c r="G2872" s="11">
        <v>690</v>
      </c>
      <c r="H2872" s="13"/>
      <c r="I2872" s="11" t="s">
        <v>1200</v>
      </c>
      <c r="J2872" s="11" t="s">
        <v>998</v>
      </c>
      <c r="K2872" s="11" t="s">
        <v>13800</v>
      </c>
      <c r="L2872" s="11" t="s">
        <v>13801</v>
      </c>
      <c r="M2872" s="11" t="s">
        <v>13802</v>
      </c>
      <c r="N2872" s="11">
        <v>335</v>
      </c>
      <c r="O2872" s="11">
        <v>998</v>
      </c>
      <c r="P2872" s="11">
        <v>0</v>
      </c>
      <c r="Q2872" s="13"/>
      <c r="R2872" s="14" t="s">
        <v>13803</v>
      </c>
      <c r="S2872" s="13"/>
      <c r="T2872" s="11" t="s">
        <v>12473</v>
      </c>
      <c r="U2872" s="11" t="s">
        <v>12474</v>
      </c>
      <c r="V2872" s="13"/>
      <c r="W2872" s="13"/>
      <c r="X2872" s="13"/>
      <c r="Y2872" s="11">
        <v>94</v>
      </c>
      <c r="Z2872" s="11">
        <v>8.1</v>
      </c>
      <c r="AA2872" s="13"/>
      <c r="AB2872" s="11">
        <v>22</v>
      </c>
      <c r="AC2872" s="11"/>
      <c r="AD2872" s="11" t="str">
        <f>IFERROR(__xludf.DUMMYFUNCTION("""COMPUTED_VALUE"""),"Chris Brown")</f>
        <v>Chris Brown</v>
      </c>
      <c r="AE2872" s="11"/>
    </row>
    <row r="2873" customHeight="1" spans="1:31">
      <c r="A2873" s="12" t="s">
        <v>30</v>
      </c>
      <c r="B2873" s="12" t="s">
        <v>13804</v>
      </c>
      <c r="C2873" s="12">
        <v>39</v>
      </c>
      <c r="D2873" s="12">
        <v>99</v>
      </c>
      <c r="E2873" s="12">
        <v>7</v>
      </c>
      <c r="F2873" s="12">
        <v>730</v>
      </c>
      <c r="G2873" s="12">
        <v>3000</v>
      </c>
      <c r="H2873" s="12">
        <v>5871603</v>
      </c>
      <c r="I2873" s="12" t="s">
        <v>4075</v>
      </c>
      <c r="J2873" s="12" t="s">
        <v>984</v>
      </c>
      <c r="K2873" s="12" t="s">
        <v>1760</v>
      </c>
      <c r="L2873" s="12" t="s">
        <v>5771</v>
      </c>
      <c r="M2873" s="12" t="s">
        <v>13805</v>
      </c>
      <c r="N2873" s="12">
        <v>3116</v>
      </c>
      <c r="O2873" s="12">
        <v>6485</v>
      </c>
      <c r="P2873" s="12">
        <v>3</v>
      </c>
      <c r="Q2873" s="12" t="s">
        <v>13806</v>
      </c>
      <c r="R2873" s="15" t="s">
        <v>13807</v>
      </c>
      <c r="S2873" s="12">
        <v>39</v>
      </c>
      <c r="T2873" s="12" t="s">
        <v>39</v>
      </c>
      <c r="U2873" s="12" t="s">
        <v>40</v>
      </c>
      <c r="V2873" s="12" t="s">
        <v>586</v>
      </c>
      <c r="W2873" s="12">
        <v>13000000</v>
      </c>
      <c r="X2873" s="12">
        <v>1999</v>
      </c>
      <c r="Y2873" s="12">
        <v>1000</v>
      </c>
      <c r="Z2873" s="12">
        <v>6</v>
      </c>
      <c r="AA2873" s="12">
        <v>1.85</v>
      </c>
      <c r="AB2873" s="12">
        <v>251</v>
      </c>
      <c r="AC2873" s="12"/>
      <c r="AD2873" s="12" t="str">
        <f>IFERROR(__xludf.DUMMYFUNCTION("""COMPUTED_VALUE"""),"Caity Lotz")</f>
        <v>Caity Lotz</v>
      </c>
      <c r="AE2873" s="12"/>
    </row>
    <row r="2874" customHeight="1" spans="1:31">
      <c r="A2874" s="11" t="s">
        <v>30</v>
      </c>
      <c r="B2874" s="11" t="s">
        <v>13808</v>
      </c>
      <c r="C2874" s="11">
        <v>63</v>
      </c>
      <c r="D2874" s="11">
        <v>121</v>
      </c>
      <c r="E2874" s="11">
        <v>15</v>
      </c>
      <c r="F2874" s="11">
        <v>812</v>
      </c>
      <c r="G2874" s="11">
        <v>4000</v>
      </c>
      <c r="H2874" s="11">
        <v>16574731</v>
      </c>
      <c r="I2874" s="11" t="s">
        <v>6200</v>
      </c>
      <c r="J2874" s="11" t="s">
        <v>495</v>
      </c>
      <c r="K2874" s="11" t="s">
        <v>10154</v>
      </c>
      <c r="L2874" s="11" t="s">
        <v>635</v>
      </c>
      <c r="M2874" s="11" t="s">
        <v>13809</v>
      </c>
      <c r="N2874" s="11">
        <v>27675</v>
      </c>
      <c r="O2874" s="11">
        <v>6910</v>
      </c>
      <c r="P2874" s="11">
        <v>4</v>
      </c>
      <c r="Q2874" s="11" t="s">
        <v>13810</v>
      </c>
      <c r="R2874" s="14" t="s">
        <v>13811</v>
      </c>
      <c r="S2874" s="11">
        <v>181</v>
      </c>
      <c r="T2874" s="11" t="s">
        <v>39</v>
      </c>
      <c r="U2874" s="11" t="s">
        <v>40</v>
      </c>
      <c r="V2874" s="11" t="s">
        <v>586</v>
      </c>
      <c r="W2874" s="11">
        <v>13000000</v>
      </c>
      <c r="X2874" s="11">
        <v>1998</v>
      </c>
      <c r="Y2874" s="11">
        <v>957</v>
      </c>
      <c r="Z2874" s="11">
        <v>5.8</v>
      </c>
      <c r="AA2874" s="11">
        <v>1.85</v>
      </c>
      <c r="AB2874" s="11">
        <v>0</v>
      </c>
      <c r="AC2874" s="11"/>
      <c r="AD2874" s="11" t="str">
        <f>IFERROR(__xludf.DUMMYFUNCTION("""COMPUTED_VALUE"""),"Scott Wolf")</f>
        <v>Scott Wolf</v>
      </c>
      <c r="AE2874" s="11"/>
    </row>
    <row r="2875" customHeight="1" spans="1:31">
      <c r="A2875" s="12" t="s">
        <v>30</v>
      </c>
      <c r="B2875" s="12" t="s">
        <v>13812</v>
      </c>
      <c r="C2875" s="12">
        <v>47</v>
      </c>
      <c r="D2875" s="12">
        <v>84</v>
      </c>
      <c r="E2875" s="12">
        <v>2</v>
      </c>
      <c r="F2875" s="12">
        <v>690</v>
      </c>
      <c r="G2875" s="12">
        <v>15000</v>
      </c>
      <c r="H2875" s="12">
        <v>5002310</v>
      </c>
      <c r="I2875" s="12" t="s">
        <v>13813</v>
      </c>
      <c r="J2875" s="12" t="s">
        <v>373</v>
      </c>
      <c r="K2875" s="12" t="s">
        <v>11310</v>
      </c>
      <c r="L2875" s="12" t="s">
        <v>7689</v>
      </c>
      <c r="M2875" s="12" t="s">
        <v>13814</v>
      </c>
      <c r="N2875" s="12">
        <v>25541</v>
      </c>
      <c r="O2875" s="12">
        <v>18864</v>
      </c>
      <c r="P2875" s="12">
        <v>0</v>
      </c>
      <c r="Q2875" s="12" t="s">
        <v>13815</v>
      </c>
      <c r="R2875" s="15" t="s">
        <v>13816</v>
      </c>
      <c r="S2875" s="12">
        <v>181</v>
      </c>
      <c r="T2875" s="12" t="s">
        <v>39</v>
      </c>
      <c r="U2875" s="12" t="s">
        <v>40</v>
      </c>
      <c r="V2875" s="12" t="s">
        <v>41</v>
      </c>
      <c r="W2875" s="12">
        <v>13000000</v>
      </c>
      <c r="X2875" s="12">
        <v>2001</v>
      </c>
      <c r="Y2875" s="12">
        <v>816</v>
      </c>
      <c r="Z2875" s="12">
        <v>5.6</v>
      </c>
      <c r="AA2875" s="12">
        <v>2.35</v>
      </c>
      <c r="AB2875" s="12">
        <v>0</v>
      </c>
      <c r="AC2875" s="12"/>
      <c r="AD2875" s="12" t="str">
        <f>IFERROR(__xludf.DUMMYFUNCTION("""COMPUTED_VALUE"""),"Chriss Anglin")</f>
        <v>Chriss Anglin</v>
      </c>
      <c r="AE2875" s="12"/>
    </row>
    <row r="2876" customHeight="1" spans="1:31">
      <c r="A2876" s="11" t="s">
        <v>30</v>
      </c>
      <c r="B2876" s="11" t="s">
        <v>13817</v>
      </c>
      <c r="C2876" s="11">
        <v>111</v>
      </c>
      <c r="D2876" s="11">
        <v>93</v>
      </c>
      <c r="E2876" s="11">
        <v>16</v>
      </c>
      <c r="F2876" s="11">
        <v>258</v>
      </c>
      <c r="G2876" s="11">
        <v>567</v>
      </c>
      <c r="H2876" s="11">
        <v>4919896</v>
      </c>
      <c r="I2876" s="11" t="s">
        <v>5968</v>
      </c>
      <c r="J2876" s="11" t="s">
        <v>8296</v>
      </c>
      <c r="K2876" s="11" t="s">
        <v>5897</v>
      </c>
      <c r="L2876" s="11" t="s">
        <v>8981</v>
      </c>
      <c r="M2876" s="11" t="s">
        <v>13818</v>
      </c>
      <c r="N2876" s="11">
        <v>21530</v>
      </c>
      <c r="O2876" s="11">
        <v>1775</v>
      </c>
      <c r="P2876" s="11">
        <v>1</v>
      </c>
      <c r="Q2876" s="11" t="s">
        <v>13819</v>
      </c>
      <c r="R2876" s="14" t="s">
        <v>13820</v>
      </c>
      <c r="S2876" s="11">
        <v>159</v>
      </c>
      <c r="T2876" s="11" t="s">
        <v>39</v>
      </c>
      <c r="U2876" s="11" t="s">
        <v>58</v>
      </c>
      <c r="V2876" s="11" t="s">
        <v>586</v>
      </c>
      <c r="W2876" s="11">
        <v>13000000</v>
      </c>
      <c r="X2876" s="11">
        <v>2001</v>
      </c>
      <c r="Y2876" s="11">
        <v>326</v>
      </c>
      <c r="Z2876" s="11">
        <v>6.1</v>
      </c>
      <c r="AA2876" s="11">
        <v>2.35</v>
      </c>
      <c r="AB2876" s="11">
        <v>618</v>
      </c>
      <c r="AC2876" s="11"/>
      <c r="AD2876" s="11" t="str">
        <f>IFERROR(__xludf.DUMMYFUNCTION("""COMPUTED_VALUE"""),"Geoffrey Arend")</f>
        <v>Geoffrey Arend</v>
      </c>
      <c r="AE2876" s="11"/>
    </row>
    <row r="2877" customHeight="1" spans="1:31">
      <c r="A2877" s="12" t="s">
        <v>30</v>
      </c>
      <c r="B2877" s="12" t="s">
        <v>10753</v>
      </c>
      <c r="C2877" s="12">
        <v>168</v>
      </c>
      <c r="D2877" s="12">
        <v>93</v>
      </c>
      <c r="E2877" s="12">
        <v>24</v>
      </c>
      <c r="F2877" s="12">
        <v>499</v>
      </c>
      <c r="G2877" s="12">
        <v>552</v>
      </c>
      <c r="H2877" s="12">
        <v>25675765</v>
      </c>
      <c r="I2877" s="12" t="s">
        <v>1672</v>
      </c>
      <c r="J2877" s="12" t="s">
        <v>13821</v>
      </c>
      <c r="K2877" s="12" t="s">
        <v>13822</v>
      </c>
      <c r="L2877" s="12" t="s">
        <v>13823</v>
      </c>
      <c r="M2877" s="12" t="s">
        <v>13824</v>
      </c>
      <c r="N2877" s="12">
        <v>60407</v>
      </c>
      <c r="O2877" s="12">
        <v>2730</v>
      </c>
      <c r="P2877" s="12">
        <v>0</v>
      </c>
      <c r="Q2877" s="12" t="s">
        <v>13825</v>
      </c>
      <c r="R2877" s="15" t="s">
        <v>13826</v>
      </c>
      <c r="S2877" s="12">
        <v>84</v>
      </c>
      <c r="T2877" s="12" t="s">
        <v>39</v>
      </c>
      <c r="U2877" s="12" t="s">
        <v>40</v>
      </c>
      <c r="V2877" s="12" t="s">
        <v>586</v>
      </c>
      <c r="W2877" s="12">
        <v>13000000</v>
      </c>
      <c r="X2877" s="12">
        <v>2013</v>
      </c>
      <c r="Y2877" s="12">
        <v>528</v>
      </c>
      <c r="Z2877" s="12">
        <v>5.9</v>
      </c>
      <c r="AA2877" s="12">
        <v>2.35</v>
      </c>
      <c r="AB2877" s="12">
        <v>11000</v>
      </c>
      <c r="AC2877" s="12"/>
      <c r="AD2877" s="12" t="str">
        <f>IFERROR(__xludf.DUMMYFUNCTION("""COMPUTED_VALUE"""),"Gary Coleman")</f>
        <v>Gary Coleman</v>
      </c>
      <c r="AE2877" s="12"/>
    </row>
    <row r="2878" customHeight="1" spans="1:31">
      <c r="A2878" s="11" t="s">
        <v>30</v>
      </c>
      <c r="B2878" s="11" t="s">
        <v>13827</v>
      </c>
      <c r="C2878" s="11">
        <v>165</v>
      </c>
      <c r="D2878" s="11">
        <v>120</v>
      </c>
      <c r="E2878" s="11">
        <v>107</v>
      </c>
      <c r="F2878" s="11">
        <v>280</v>
      </c>
      <c r="G2878" s="11">
        <v>12000</v>
      </c>
      <c r="H2878" s="11">
        <v>4857376</v>
      </c>
      <c r="I2878" s="11" t="s">
        <v>1415</v>
      </c>
      <c r="J2878" s="11" t="s">
        <v>272</v>
      </c>
      <c r="K2878" s="11" t="s">
        <v>4770</v>
      </c>
      <c r="L2878" s="11" t="s">
        <v>13828</v>
      </c>
      <c r="M2878" s="11" t="s">
        <v>13829</v>
      </c>
      <c r="N2878" s="11">
        <v>63084</v>
      </c>
      <c r="O2878" s="11">
        <v>13208</v>
      </c>
      <c r="P2878" s="11">
        <v>0</v>
      </c>
      <c r="Q2878" s="11" t="s">
        <v>13830</v>
      </c>
      <c r="R2878" s="14" t="s">
        <v>13831</v>
      </c>
      <c r="S2878" s="11">
        <v>123</v>
      </c>
      <c r="T2878" s="11" t="s">
        <v>1465</v>
      </c>
      <c r="U2878" s="11" t="s">
        <v>1466</v>
      </c>
      <c r="V2878" s="11" t="s">
        <v>586</v>
      </c>
      <c r="W2878" s="11">
        <v>13000000</v>
      </c>
      <c r="X2878" s="11">
        <v>2006</v>
      </c>
      <c r="Y2878" s="11">
        <v>530</v>
      </c>
      <c r="Z2878" s="11">
        <v>7.3</v>
      </c>
      <c r="AA2878" s="11">
        <v>1.85</v>
      </c>
      <c r="AB2878" s="11">
        <v>0</v>
      </c>
      <c r="AC2878" s="11"/>
      <c r="AD2878" s="11" t="str">
        <f>IFERROR(__xludf.DUMMYFUNCTION("""COMPUTED_VALUE"""),"Marko Zaror")</f>
        <v>Marko Zaror</v>
      </c>
      <c r="AE2878" s="11"/>
    </row>
    <row r="2879" customHeight="1" spans="1:31">
      <c r="A2879" s="12" t="s">
        <v>30</v>
      </c>
      <c r="B2879" s="12" t="s">
        <v>4352</v>
      </c>
      <c r="C2879" s="12">
        <v>104</v>
      </c>
      <c r="D2879" s="12">
        <v>112</v>
      </c>
      <c r="E2879" s="12">
        <v>37</v>
      </c>
      <c r="F2879" s="12">
        <v>548</v>
      </c>
      <c r="G2879" s="12">
        <v>748</v>
      </c>
      <c r="H2879" s="12">
        <v>3169424</v>
      </c>
      <c r="I2879" s="12" t="s">
        <v>3794</v>
      </c>
      <c r="J2879" s="12" t="s">
        <v>143</v>
      </c>
      <c r="K2879" s="12" t="s">
        <v>13832</v>
      </c>
      <c r="L2879" s="12" t="s">
        <v>3202</v>
      </c>
      <c r="M2879" s="12" t="s">
        <v>13833</v>
      </c>
      <c r="N2879" s="12">
        <v>18442</v>
      </c>
      <c r="O2879" s="12">
        <v>2417</v>
      </c>
      <c r="P2879" s="12">
        <v>1</v>
      </c>
      <c r="Q2879" s="12" t="s">
        <v>13834</v>
      </c>
      <c r="R2879" s="15" t="s">
        <v>13835</v>
      </c>
      <c r="S2879" s="12">
        <v>59</v>
      </c>
      <c r="T2879" s="12" t="s">
        <v>39</v>
      </c>
      <c r="U2879" s="12" t="s">
        <v>40</v>
      </c>
      <c r="V2879" s="12" t="s">
        <v>41</v>
      </c>
      <c r="W2879" s="12">
        <v>13000000</v>
      </c>
      <c r="X2879" s="12">
        <v>2007</v>
      </c>
      <c r="Y2879" s="12">
        <v>573</v>
      </c>
      <c r="Z2879" s="12">
        <v>6.8</v>
      </c>
      <c r="AA2879" s="12">
        <v>2.35</v>
      </c>
      <c r="AB2879" s="12">
        <v>689</v>
      </c>
      <c r="AC2879" s="12"/>
      <c r="AD2879" s="12" t="str">
        <f>IFERROR(__xludf.DUMMYFUNCTION("""COMPUTED_VALUE"""),"Jackie Burroughs")</f>
        <v>Jackie Burroughs</v>
      </c>
      <c r="AE2879" s="12"/>
    </row>
    <row r="2880" customHeight="1" spans="1:31">
      <c r="A2880" s="11" t="s">
        <v>30</v>
      </c>
      <c r="B2880" s="11" t="s">
        <v>1745</v>
      </c>
      <c r="C2880" s="11">
        <v>150</v>
      </c>
      <c r="D2880" s="11">
        <v>107</v>
      </c>
      <c r="E2880" s="11">
        <v>80</v>
      </c>
      <c r="F2880" s="11">
        <v>252</v>
      </c>
      <c r="G2880" s="11">
        <v>2000</v>
      </c>
      <c r="H2880" s="11">
        <v>18004225</v>
      </c>
      <c r="I2880" s="11" t="s">
        <v>1415</v>
      </c>
      <c r="J2880" s="11" t="s">
        <v>4801</v>
      </c>
      <c r="K2880" s="11" t="s">
        <v>13836</v>
      </c>
      <c r="L2880" s="11" t="s">
        <v>9937</v>
      </c>
      <c r="M2880" s="11" t="s">
        <v>13837</v>
      </c>
      <c r="N2880" s="11">
        <v>28573</v>
      </c>
      <c r="O2880" s="11">
        <v>3004</v>
      </c>
      <c r="P2880" s="11">
        <v>2</v>
      </c>
      <c r="Q2880" s="11" t="s">
        <v>13838</v>
      </c>
      <c r="R2880" s="14" t="s">
        <v>13839</v>
      </c>
      <c r="S2880" s="11">
        <v>87</v>
      </c>
      <c r="T2880" s="11" t="s">
        <v>39</v>
      </c>
      <c r="U2880" s="11" t="s">
        <v>40</v>
      </c>
      <c r="V2880" s="11" t="s">
        <v>41</v>
      </c>
      <c r="W2880" s="11">
        <v>13000000</v>
      </c>
      <c r="X2880" s="11">
        <v>2013</v>
      </c>
      <c r="Y2880" s="11">
        <v>257</v>
      </c>
      <c r="Z2880" s="11">
        <v>5.7</v>
      </c>
      <c r="AA2880" s="11">
        <v>2.35</v>
      </c>
      <c r="AB2880" s="11">
        <v>5000</v>
      </c>
      <c r="AC2880" s="11"/>
      <c r="AD2880" s="11" t="str">
        <f>IFERROR(__xludf.DUMMYFUNCTION("""COMPUTED_VALUE"""),"Kevin Alejandro")</f>
        <v>Kevin Alejandro</v>
      </c>
      <c r="AE2880" s="11"/>
    </row>
    <row r="2881" customHeight="1" spans="1:31">
      <c r="A2881" s="12" t="s">
        <v>30</v>
      </c>
      <c r="B2881" s="12" t="s">
        <v>13840</v>
      </c>
      <c r="C2881" s="12">
        <v>61</v>
      </c>
      <c r="D2881" s="12">
        <v>112</v>
      </c>
      <c r="E2881" s="12">
        <v>83</v>
      </c>
      <c r="F2881" s="12">
        <v>8</v>
      </c>
      <c r="G2881" s="12">
        <v>2000</v>
      </c>
      <c r="H2881" s="12">
        <v>3058380</v>
      </c>
      <c r="I2881" s="12" t="s">
        <v>214</v>
      </c>
      <c r="J2881" s="12" t="s">
        <v>8676</v>
      </c>
      <c r="K2881" s="12" t="s">
        <v>13841</v>
      </c>
      <c r="L2881" s="12" t="s">
        <v>13842</v>
      </c>
      <c r="M2881" s="12" t="s">
        <v>13843</v>
      </c>
      <c r="N2881" s="12">
        <v>4767</v>
      </c>
      <c r="O2881" s="12">
        <v>2389</v>
      </c>
      <c r="P2881" s="12">
        <v>1</v>
      </c>
      <c r="Q2881" s="12" t="s">
        <v>13844</v>
      </c>
      <c r="R2881" s="15" t="s">
        <v>13845</v>
      </c>
      <c r="S2881" s="12">
        <v>69</v>
      </c>
      <c r="T2881" s="12" t="s">
        <v>1465</v>
      </c>
      <c r="U2881" s="12" t="s">
        <v>1466</v>
      </c>
      <c r="V2881" s="12" t="s">
        <v>586</v>
      </c>
      <c r="W2881" s="12">
        <v>100000000</v>
      </c>
      <c r="X2881" s="12">
        <v>2000</v>
      </c>
      <c r="Y2881" s="12">
        <v>370</v>
      </c>
      <c r="Z2881" s="12">
        <v>7.3</v>
      </c>
      <c r="AA2881" s="12">
        <v>2.35</v>
      </c>
      <c r="AB2881" s="12">
        <v>186</v>
      </c>
      <c r="AC2881" s="12"/>
      <c r="AD2881" s="12" t="str">
        <f>IFERROR(__xludf.DUMMYFUNCTION("""COMPUTED_VALUE"""),"Lesley Manville")</f>
        <v>Lesley Manville</v>
      </c>
      <c r="AE2881" s="12"/>
    </row>
    <row r="2882" customHeight="1" spans="1:31">
      <c r="A2882" s="11" t="s">
        <v>30</v>
      </c>
      <c r="B2882" s="11" t="s">
        <v>8639</v>
      </c>
      <c r="C2882" s="11">
        <v>226</v>
      </c>
      <c r="D2882" s="11">
        <v>96</v>
      </c>
      <c r="E2882" s="11">
        <v>460</v>
      </c>
      <c r="F2882" s="11">
        <v>73</v>
      </c>
      <c r="G2882" s="11">
        <v>14000</v>
      </c>
      <c r="H2882" s="11">
        <v>3074838</v>
      </c>
      <c r="I2882" s="11" t="s">
        <v>3278</v>
      </c>
      <c r="J2882" s="11" t="s">
        <v>228</v>
      </c>
      <c r="K2882" s="11" t="s">
        <v>13846</v>
      </c>
      <c r="L2882" s="11" t="s">
        <v>13847</v>
      </c>
      <c r="M2882" s="11" t="s">
        <v>13848</v>
      </c>
      <c r="N2882" s="11">
        <v>56264</v>
      </c>
      <c r="O2882" s="11">
        <v>14372</v>
      </c>
      <c r="P2882" s="11">
        <v>2</v>
      </c>
      <c r="Q2882" s="11" t="s">
        <v>13849</v>
      </c>
      <c r="R2882" s="14" t="s">
        <v>13850</v>
      </c>
      <c r="S2882" s="11">
        <v>166</v>
      </c>
      <c r="T2882" s="11" t="s">
        <v>39</v>
      </c>
      <c r="U2882" s="11" t="s">
        <v>40</v>
      </c>
      <c r="V2882" s="11" t="s">
        <v>586</v>
      </c>
      <c r="W2882" s="11">
        <v>11000000</v>
      </c>
      <c r="X2882" s="11">
        <v>2009</v>
      </c>
      <c r="Y2882" s="11">
        <v>153</v>
      </c>
      <c r="Z2882" s="11">
        <v>6.3</v>
      </c>
      <c r="AA2882" s="11">
        <v>1.85</v>
      </c>
      <c r="AB2882" s="11">
        <v>0</v>
      </c>
      <c r="AC2882" s="11"/>
      <c r="AD2882" s="11" t="str">
        <f>IFERROR(__xludf.DUMMYFUNCTION("""COMPUTED_VALUE"""),"Catherine Lough Haggquist")</f>
        <v>Catherine Lough Haggquist</v>
      </c>
      <c r="AE2882" s="11"/>
    </row>
    <row r="2883" customHeight="1" spans="1:31">
      <c r="A2883" s="12" t="s">
        <v>30</v>
      </c>
      <c r="B2883" s="12" t="s">
        <v>13851</v>
      </c>
      <c r="C2883" s="12">
        <v>21</v>
      </c>
      <c r="D2883" s="12">
        <v>91</v>
      </c>
      <c r="E2883" s="12">
        <v>150</v>
      </c>
      <c r="F2883" s="12">
        <v>150</v>
      </c>
      <c r="G2883" s="12">
        <v>979</v>
      </c>
      <c r="H2883" s="12">
        <v>2104000</v>
      </c>
      <c r="I2883" s="12" t="s">
        <v>9194</v>
      </c>
      <c r="J2883" s="12" t="s">
        <v>1654</v>
      </c>
      <c r="K2883" s="12" t="s">
        <v>9259</v>
      </c>
      <c r="L2883" s="12" t="s">
        <v>13851</v>
      </c>
      <c r="M2883" s="12" t="s">
        <v>13852</v>
      </c>
      <c r="N2883" s="12">
        <v>1595</v>
      </c>
      <c r="O2883" s="12">
        <v>1679</v>
      </c>
      <c r="P2883" s="12">
        <v>3</v>
      </c>
      <c r="Q2883" s="12" t="s">
        <v>13853</v>
      </c>
      <c r="R2883" s="15" t="s">
        <v>13854</v>
      </c>
      <c r="S2883" s="12">
        <v>19</v>
      </c>
      <c r="T2883" s="12" t="s">
        <v>39</v>
      </c>
      <c r="U2883" s="12" t="s">
        <v>40</v>
      </c>
      <c r="V2883" s="12" t="s">
        <v>586</v>
      </c>
      <c r="W2883" s="12">
        <v>13000000</v>
      </c>
      <c r="X2883" s="12">
        <v>1996</v>
      </c>
      <c r="Y2883" s="12">
        <v>385</v>
      </c>
      <c r="Z2883" s="12">
        <v>5.9</v>
      </c>
      <c r="AA2883" s="12">
        <v>1.85</v>
      </c>
      <c r="AB2883" s="12">
        <v>69</v>
      </c>
      <c r="AC2883" s="12"/>
      <c r="AD2883" s="12" t="str">
        <f>IFERROR(__xludf.DUMMYFUNCTION("""COMPUTED_VALUE"""),"Darren Shahlavi")</f>
        <v>Darren Shahlavi</v>
      </c>
      <c r="AE2883" s="12"/>
    </row>
    <row r="2884" customHeight="1" spans="1:31">
      <c r="A2884" s="11" t="s">
        <v>30</v>
      </c>
      <c r="B2884" s="11" t="s">
        <v>5424</v>
      </c>
      <c r="C2884" s="11">
        <v>217</v>
      </c>
      <c r="D2884" s="11">
        <v>105</v>
      </c>
      <c r="E2884" s="11">
        <v>260</v>
      </c>
      <c r="F2884" s="11">
        <v>1000</v>
      </c>
      <c r="G2884" s="11">
        <v>20000</v>
      </c>
      <c r="H2884" s="11">
        <v>28501651</v>
      </c>
      <c r="I2884" s="11" t="s">
        <v>4075</v>
      </c>
      <c r="J2884" s="11" t="s">
        <v>842</v>
      </c>
      <c r="K2884" s="11" t="s">
        <v>373</v>
      </c>
      <c r="L2884" s="11" t="s">
        <v>2084</v>
      </c>
      <c r="M2884" s="11" t="s">
        <v>9303</v>
      </c>
      <c r="N2884" s="11">
        <v>88037</v>
      </c>
      <c r="O2884" s="11">
        <v>39473</v>
      </c>
      <c r="P2884" s="11">
        <v>0</v>
      </c>
      <c r="Q2884" s="11" t="s">
        <v>9304</v>
      </c>
      <c r="R2884" s="14" t="s">
        <v>9305</v>
      </c>
      <c r="S2884" s="11">
        <v>201</v>
      </c>
      <c r="T2884" s="11" t="s">
        <v>39</v>
      </c>
      <c r="U2884" s="11" t="s">
        <v>40</v>
      </c>
      <c r="V2884" s="11" t="s">
        <v>586</v>
      </c>
      <c r="W2884" s="11">
        <v>26000000</v>
      </c>
      <c r="X2884" s="11">
        <v>2009</v>
      </c>
      <c r="Y2884" s="11">
        <v>15000</v>
      </c>
      <c r="Z2884" s="11">
        <v>7.1</v>
      </c>
      <c r="AA2884" s="11">
        <v>2.35</v>
      </c>
      <c r="AB2884" s="11">
        <v>10000</v>
      </c>
      <c r="AC2884" s="11"/>
      <c r="AD2884" s="11" t="str">
        <f>IFERROR(__xludf.DUMMYFUNCTION("""COMPUTED_VALUE"""),"Karin Konoval")</f>
        <v>Karin Konoval</v>
      </c>
      <c r="AE2884" s="11"/>
    </row>
    <row r="2885" customHeight="1" spans="1:31">
      <c r="A2885" s="12" t="s">
        <v>30</v>
      </c>
      <c r="B2885" s="12" t="s">
        <v>10146</v>
      </c>
      <c r="C2885" s="12">
        <v>94</v>
      </c>
      <c r="D2885" s="12">
        <v>125</v>
      </c>
      <c r="E2885" s="12">
        <v>0</v>
      </c>
      <c r="F2885" s="12">
        <v>968</v>
      </c>
      <c r="G2885" s="12">
        <v>22000</v>
      </c>
      <c r="H2885" s="12">
        <v>1172769</v>
      </c>
      <c r="I2885" s="12" t="s">
        <v>1832</v>
      </c>
      <c r="J2885" s="12" t="s">
        <v>149</v>
      </c>
      <c r="K2885" s="12" t="s">
        <v>337</v>
      </c>
      <c r="L2885" s="12" t="s">
        <v>8881</v>
      </c>
      <c r="M2885" s="12" t="s">
        <v>13855</v>
      </c>
      <c r="N2885" s="12">
        <v>28068</v>
      </c>
      <c r="O2885" s="12">
        <v>37606</v>
      </c>
      <c r="P2885" s="12">
        <v>2</v>
      </c>
      <c r="Q2885" s="12" t="s">
        <v>13856</v>
      </c>
      <c r="R2885" s="15" t="s">
        <v>13857</v>
      </c>
      <c r="S2885" s="12">
        <v>108</v>
      </c>
      <c r="T2885" s="12" t="s">
        <v>39</v>
      </c>
      <c r="U2885" s="12" t="s">
        <v>768</v>
      </c>
      <c r="V2885" s="12" t="s">
        <v>586</v>
      </c>
      <c r="W2885" s="12">
        <v>13000000</v>
      </c>
      <c r="X2885" s="12">
        <v>2006</v>
      </c>
      <c r="Y2885" s="12">
        <v>14000</v>
      </c>
      <c r="Z2885" s="12">
        <v>7.1</v>
      </c>
      <c r="AA2885" s="12">
        <v>1.85</v>
      </c>
      <c r="AB2885" s="12">
        <v>0</v>
      </c>
      <c r="AC2885" s="12"/>
      <c r="AD2885" s="12" t="str">
        <f>IFERROR(__xludf.DUMMYFUNCTION("""COMPUTED_VALUE"""),"Charlie Saxton")</f>
        <v>Charlie Saxton</v>
      </c>
      <c r="AE2885" s="12"/>
    </row>
    <row r="2886" customHeight="1" spans="1:31">
      <c r="A2886" s="11" t="s">
        <v>30</v>
      </c>
      <c r="B2886" s="11" t="s">
        <v>13858</v>
      </c>
      <c r="C2886" s="11">
        <v>364</v>
      </c>
      <c r="D2886" s="11">
        <v>102</v>
      </c>
      <c r="E2886" s="11">
        <v>139</v>
      </c>
      <c r="F2886" s="11">
        <v>850</v>
      </c>
      <c r="G2886" s="11">
        <v>8000</v>
      </c>
      <c r="H2886" s="11">
        <v>17738570</v>
      </c>
      <c r="I2886" s="11" t="s">
        <v>214</v>
      </c>
      <c r="J2886" s="11" t="s">
        <v>1207</v>
      </c>
      <c r="K2886" s="11" t="s">
        <v>13859</v>
      </c>
      <c r="L2886" s="11" t="s">
        <v>9280</v>
      </c>
      <c r="M2886" s="11" t="s">
        <v>13860</v>
      </c>
      <c r="N2886" s="11">
        <v>351274</v>
      </c>
      <c r="O2886" s="11">
        <v>13631</v>
      </c>
      <c r="P2886" s="11">
        <v>2</v>
      </c>
      <c r="Q2886" s="11" t="s">
        <v>13861</v>
      </c>
      <c r="R2886" s="14" t="s">
        <v>13862</v>
      </c>
      <c r="S2886" s="11">
        <v>457</v>
      </c>
      <c r="T2886" s="11" t="s">
        <v>39</v>
      </c>
      <c r="U2886" s="11" t="s">
        <v>40</v>
      </c>
      <c r="V2886" s="11" t="s">
        <v>41</v>
      </c>
      <c r="W2886" s="11">
        <v>13000000</v>
      </c>
      <c r="X2886" s="11">
        <v>2012</v>
      </c>
      <c r="Y2886" s="11">
        <v>3000</v>
      </c>
      <c r="Z2886" s="11">
        <v>8</v>
      </c>
      <c r="AA2886" s="11">
        <v>1.85</v>
      </c>
      <c r="AB2886" s="11">
        <v>131000</v>
      </c>
      <c r="AC2886" s="11"/>
      <c r="AD2886" s="11" t="str">
        <f>IFERROR(__xludf.DUMMYFUNCTION("""COMPUTED_VALUE"""),"Ryan Donowho")</f>
        <v>Ryan Donowho</v>
      </c>
      <c r="AE2886" s="11"/>
    </row>
    <row r="2887" customHeight="1" spans="1:31">
      <c r="A2887" s="12" t="s">
        <v>30</v>
      </c>
      <c r="B2887" s="12" t="s">
        <v>13863</v>
      </c>
      <c r="C2887" s="12">
        <v>19</v>
      </c>
      <c r="D2887" s="12">
        <v>87</v>
      </c>
      <c r="E2887" s="12">
        <v>29</v>
      </c>
      <c r="F2887" s="12">
        <v>147</v>
      </c>
      <c r="G2887" s="12">
        <v>683</v>
      </c>
      <c r="H2887" s="12">
        <v>1200000</v>
      </c>
      <c r="I2887" s="12" t="s">
        <v>1326</v>
      </c>
      <c r="J2887" s="12" t="s">
        <v>1906</v>
      </c>
      <c r="K2887" s="12" t="s">
        <v>13864</v>
      </c>
      <c r="L2887" s="12" t="s">
        <v>13865</v>
      </c>
      <c r="M2887" s="12" t="s">
        <v>13866</v>
      </c>
      <c r="N2887" s="12">
        <v>922</v>
      </c>
      <c r="O2887" s="12">
        <v>1139</v>
      </c>
      <c r="P2887" s="12">
        <v>1</v>
      </c>
      <c r="Q2887" s="12" t="s">
        <v>13867</v>
      </c>
      <c r="R2887" s="15" t="s">
        <v>13868</v>
      </c>
      <c r="S2887" s="12">
        <v>23</v>
      </c>
      <c r="T2887" s="12" t="s">
        <v>39</v>
      </c>
      <c r="U2887" s="12" t="s">
        <v>40</v>
      </c>
      <c r="V2887" s="12" t="s">
        <v>586</v>
      </c>
      <c r="W2887" s="12">
        <v>3000000</v>
      </c>
      <c r="X2887" s="12">
        <v>1993</v>
      </c>
      <c r="Y2887" s="12">
        <v>155</v>
      </c>
      <c r="Z2887" s="12">
        <v>5.1</v>
      </c>
      <c r="AA2887" s="12">
        <v>1.85</v>
      </c>
      <c r="AB2887" s="12">
        <v>107</v>
      </c>
      <c r="AC2887" s="12"/>
      <c r="AD2887" s="12" t="str">
        <f>IFERROR(__xludf.DUMMYFUNCTION("""COMPUTED_VALUE"""),"Dylan Authors")</f>
        <v>Dylan Authors</v>
      </c>
      <c r="AE2887" s="12"/>
    </row>
    <row r="2888" customHeight="1" spans="1:31">
      <c r="A2888" s="11" t="s">
        <v>30</v>
      </c>
      <c r="B2888" s="11" t="s">
        <v>10162</v>
      </c>
      <c r="C2888" s="11">
        <v>129</v>
      </c>
      <c r="D2888" s="11">
        <v>118</v>
      </c>
      <c r="E2888" s="11">
        <v>41</v>
      </c>
      <c r="F2888" s="11">
        <v>442</v>
      </c>
      <c r="G2888" s="11">
        <v>2000</v>
      </c>
      <c r="H2888" s="11">
        <v>1150403</v>
      </c>
      <c r="I2888" s="11" t="s">
        <v>1726</v>
      </c>
      <c r="J2888" s="11" t="s">
        <v>1212</v>
      </c>
      <c r="K2888" s="11" t="s">
        <v>3866</v>
      </c>
      <c r="L2888" s="11" t="s">
        <v>8062</v>
      </c>
      <c r="M2888" s="11" t="s">
        <v>13869</v>
      </c>
      <c r="N2888" s="11">
        <v>14143</v>
      </c>
      <c r="O2888" s="11">
        <v>3474</v>
      </c>
      <c r="P2888" s="11">
        <v>4</v>
      </c>
      <c r="Q2888" s="11" t="s">
        <v>13870</v>
      </c>
      <c r="R2888" s="14" t="s">
        <v>13871</v>
      </c>
      <c r="S2888" s="11">
        <v>102</v>
      </c>
      <c r="T2888" s="11" t="s">
        <v>39</v>
      </c>
      <c r="U2888" s="11" t="s">
        <v>40</v>
      </c>
      <c r="V2888" s="11" t="s">
        <v>586</v>
      </c>
      <c r="W2888" s="11">
        <v>13000000</v>
      </c>
      <c r="X2888" s="11">
        <v>2006</v>
      </c>
      <c r="Y2888" s="11">
        <v>812</v>
      </c>
      <c r="Z2888" s="11">
        <v>7.1</v>
      </c>
      <c r="AA2888" s="11">
        <v>1.85</v>
      </c>
      <c r="AB2888" s="11">
        <v>0</v>
      </c>
      <c r="AC2888" s="11"/>
      <c r="AD2888" s="11" t="str">
        <f>IFERROR(__xludf.DUMMYFUNCTION("""COMPUTED_VALUE"""),"Bill Lake")</f>
        <v>Bill Lake</v>
      </c>
      <c r="AE2888" s="11"/>
    </row>
    <row r="2889" customHeight="1" spans="1:31">
      <c r="A2889" s="12" t="s">
        <v>30</v>
      </c>
      <c r="B2889" s="12" t="s">
        <v>9431</v>
      </c>
      <c r="C2889" s="12">
        <v>71</v>
      </c>
      <c r="D2889" s="12">
        <v>115</v>
      </c>
      <c r="E2889" s="12">
        <v>187</v>
      </c>
      <c r="F2889" s="12">
        <v>887</v>
      </c>
      <c r="G2889" s="12">
        <v>14000</v>
      </c>
      <c r="H2889" s="12">
        <v>403932</v>
      </c>
      <c r="I2889" s="12" t="s">
        <v>4043</v>
      </c>
      <c r="J2889" s="12" t="s">
        <v>1973</v>
      </c>
      <c r="K2889" s="12" t="s">
        <v>8555</v>
      </c>
      <c r="L2889" s="12" t="s">
        <v>2292</v>
      </c>
      <c r="M2889" s="12" t="s">
        <v>13872</v>
      </c>
      <c r="N2889" s="12">
        <v>5254</v>
      </c>
      <c r="O2889" s="12">
        <v>17104</v>
      </c>
      <c r="P2889" s="12">
        <v>4</v>
      </c>
      <c r="Q2889" s="12" t="s">
        <v>13873</v>
      </c>
      <c r="R2889" s="15" t="s">
        <v>13874</v>
      </c>
      <c r="S2889" s="12">
        <v>92</v>
      </c>
      <c r="T2889" s="12" t="s">
        <v>39</v>
      </c>
      <c r="U2889" s="12" t="s">
        <v>58</v>
      </c>
      <c r="V2889" s="12" t="s">
        <v>586</v>
      </c>
      <c r="W2889" s="12">
        <v>20000000</v>
      </c>
      <c r="X2889" s="12">
        <v>2000</v>
      </c>
      <c r="Y2889" s="12">
        <v>900</v>
      </c>
      <c r="Z2889" s="12">
        <v>6.5</v>
      </c>
      <c r="AA2889" s="12">
        <v>2.35</v>
      </c>
      <c r="AB2889" s="12">
        <v>141</v>
      </c>
      <c r="AC2889" s="12"/>
      <c r="AD2889" s="12" t="str">
        <f>IFERROR(__xludf.DUMMYFUNCTION("""COMPUTED_VALUE"""),"Victoria Learn")</f>
        <v>Victoria Learn</v>
      </c>
      <c r="AE2889" s="12"/>
    </row>
    <row r="2890" customHeight="1" spans="1:31">
      <c r="A2890" s="11" t="s">
        <v>30</v>
      </c>
      <c r="B2890" s="11" t="s">
        <v>4532</v>
      </c>
      <c r="C2890" s="11">
        <v>93</v>
      </c>
      <c r="D2890" s="11">
        <v>91</v>
      </c>
      <c r="E2890" s="11">
        <v>83</v>
      </c>
      <c r="F2890" s="11">
        <v>794</v>
      </c>
      <c r="G2890" s="11">
        <v>3000</v>
      </c>
      <c r="H2890" s="11">
        <v>1712111</v>
      </c>
      <c r="I2890" s="11" t="s">
        <v>5544</v>
      </c>
      <c r="J2890" s="11" t="s">
        <v>656</v>
      </c>
      <c r="K2890" s="11" t="s">
        <v>3386</v>
      </c>
      <c r="L2890" s="11" t="s">
        <v>1342</v>
      </c>
      <c r="M2890" s="11" t="s">
        <v>13875</v>
      </c>
      <c r="N2890" s="11">
        <v>7199</v>
      </c>
      <c r="O2890" s="11">
        <v>7875</v>
      </c>
      <c r="P2890" s="11">
        <v>0</v>
      </c>
      <c r="Q2890" s="11" t="s">
        <v>13876</v>
      </c>
      <c r="R2890" s="14" t="s">
        <v>13877</v>
      </c>
      <c r="S2890" s="11">
        <v>53</v>
      </c>
      <c r="T2890" s="11" t="s">
        <v>39</v>
      </c>
      <c r="U2890" s="11" t="s">
        <v>40</v>
      </c>
      <c r="V2890" s="11" t="s">
        <v>41</v>
      </c>
      <c r="W2890" s="11">
        <v>8495000</v>
      </c>
      <c r="X2890" s="11">
        <v>2015</v>
      </c>
      <c r="Y2890" s="11">
        <v>1000</v>
      </c>
      <c r="Z2890" s="11">
        <v>4.5</v>
      </c>
      <c r="AA2890" s="11">
        <v>1.85</v>
      </c>
      <c r="AB2890" s="11">
        <v>0</v>
      </c>
      <c r="AC2890" s="11"/>
      <c r="AD2890" s="11" t="str">
        <f>IFERROR(__xludf.DUMMYFUNCTION("""COMPUTED_VALUE"""),"Tyrone Benskin")</f>
        <v>Tyrone Benskin</v>
      </c>
      <c r="AE2890" s="11"/>
    </row>
    <row r="2891" customHeight="1" spans="1:31">
      <c r="A2891" s="12" t="s">
        <v>30</v>
      </c>
      <c r="B2891" s="12" t="s">
        <v>12457</v>
      </c>
      <c r="C2891" s="12">
        <v>399</v>
      </c>
      <c r="D2891" s="12">
        <v>88</v>
      </c>
      <c r="E2891" s="12">
        <v>115</v>
      </c>
      <c r="F2891" s="12">
        <v>304</v>
      </c>
      <c r="G2891" s="12">
        <v>1000</v>
      </c>
      <c r="H2891" s="12">
        <v>1024175</v>
      </c>
      <c r="I2891" s="12" t="s">
        <v>7567</v>
      </c>
      <c r="J2891" s="12" t="s">
        <v>13878</v>
      </c>
      <c r="K2891" s="12" t="s">
        <v>13879</v>
      </c>
      <c r="L2891" s="12" t="s">
        <v>12579</v>
      </c>
      <c r="M2891" s="12" t="s">
        <v>13880</v>
      </c>
      <c r="N2891" s="12">
        <v>82331</v>
      </c>
      <c r="O2891" s="12">
        <v>2011</v>
      </c>
      <c r="P2891" s="12">
        <v>6</v>
      </c>
      <c r="Q2891" s="12" t="s">
        <v>13881</v>
      </c>
      <c r="R2891" s="15" t="s">
        <v>13882</v>
      </c>
      <c r="S2891" s="12">
        <v>297</v>
      </c>
      <c r="T2891" s="12" t="s">
        <v>39</v>
      </c>
      <c r="U2891" s="12" t="s">
        <v>58</v>
      </c>
      <c r="V2891" s="12" t="s">
        <v>586</v>
      </c>
      <c r="W2891" s="12">
        <v>13000000</v>
      </c>
      <c r="X2891" s="12">
        <v>2011</v>
      </c>
      <c r="Y2891" s="12">
        <v>305</v>
      </c>
      <c r="Z2891" s="12">
        <v>6.6</v>
      </c>
      <c r="AA2891" s="12">
        <v>2.35</v>
      </c>
      <c r="AB2891" s="12">
        <v>18000</v>
      </c>
      <c r="AC2891" s="12"/>
      <c r="AD2891" s="12" t="str">
        <f>IFERROR(__xludf.DUMMYFUNCTION("""COMPUTED_VALUE"""),"Nora Zehetner")</f>
        <v>Nora Zehetner</v>
      </c>
      <c r="AE2891" s="12"/>
    </row>
    <row r="2892" customHeight="1" spans="1:31">
      <c r="A2892" s="11" t="s">
        <v>30</v>
      </c>
      <c r="B2892" s="11" t="s">
        <v>565</v>
      </c>
      <c r="C2892" s="11">
        <v>110</v>
      </c>
      <c r="D2892" s="11">
        <v>127</v>
      </c>
      <c r="E2892" s="11">
        <v>11000</v>
      </c>
      <c r="F2892" s="11">
        <v>116</v>
      </c>
      <c r="G2892" s="11">
        <v>306</v>
      </c>
      <c r="H2892" s="11">
        <v>301305</v>
      </c>
      <c r="I2892" s="11" t="s">
        <v>5605</v>
      </c>
      <c r="J2892" s="11" t="s">
        <v>13883</v>
      </c>
      <c r="K2892" s="11" t="s">
        <v>13884</v>
      </c>
      <c r="L2892" s="11" t="s">
        <v>13885</v>
      </c>
      <c r="M2892" s="11" t="s">
        <v>13886</v>
      </c>
      <c r="N2892" s="11">
        <v>31414</v>
      </c>
      <c r="O2892" s="11">
        <v>796</v>
      </c>
      <c r="P2892" s="11">
        <v>0</v>
      </c>
      <c r="Q2892" s="11" t="s">
        <v>13887</v>
      </c>
      <c r="R2892" s="14" t="s">
        <v>13888</v>
      </c>
      <c r="S2892" s="11">
        <v>180</v>
      </c>
      <c r="T2892" s="11" t="s">
        <v>13889</v>
      </c>
      <c r="U2892" s="11" t="s">
        <v>40</v>
      </c>
      <c r="V2892" s="11" t="s">
        <v>586</v>
      </c>
      <c r="W2892" s="11">
        <v>13000000</v>
      </c>
      <c r="X2892" s="11">
        <v>2011</v>
      </c>
      <c r="Y2892" s="11">
        <v>164</v>
      </c>
      <c r="Z2892" s="11">
        <v>4.3</v>
      </c>
      <c r="AA2892" s="11">
        <v>2.35</v>
      </c>
      <c r="AB2892" s="11">
        <v>0</v>
      </c>
      <c r="AC2892" s="11"/>
      <c r="AD2892" s="11" t="str">
        <f>IFERROR(__xludf.DUMMYFUNCTION("""COMPUTED_VALUE"""),"Randy Jones")</f>
        <v>Randy Jones</v>
      </c>
      <c r="AE2892" s="11"/>
    </row>
    <row r="2893" customHeight="1" spans="1:31">
      <c r="A2893" s="12" t="s">
        <v>30</v>
      </c>
      <c r="B2893" s="12" t="s">
        <v>13182</v>
      </c>
      <c r="C2893" s="12">
        <v>285</v>
      </c>
      <c r="D2893" s="12">
        <v>94</v>
      </c>
      <c r="E2893" s="12">
        <v>122</v>
      </c>
      <c r="F2893" s="12">
        <v>383</v>
      </c>
      <c r="G2893" s="12">
        <v>873</v>
      </c>
      <c r="H2893" s="12">
        <v>51872378</v>
      </c>
      <c r="I2893" s="12" t="s">
        <v>1528</v>
      </c>
      <c r="J2893" s="12" t="s">
        <v>2002</v>
      </c>
      <c r="K2893" s="12" t="s">
        <v>13890</v>
      </c>
      <c r="L2893" s="12" t="s">
        <v>1761</v>
      </c>
      <c r="M2893" s="12" t="s">
        <v>13891</v>
      </c>
      <c r="N2893" s="12">
        <v>88241</v>
      </c>
      <c r="O2893" s="12">
        <v>2812</v>
      </c>
      <c r="P2893" s="12">
        <v>0</v>
      </c>
      <c r="Q2893" s="12" t="s">
        <v>13892</v>
      </c>
      <c r="R2893" s="15" t="s">
        <v>13893</v>
      </c>
      <c r="S2893" s="12">
        <v>266</v>
      </c>
      <c r="T2893" s="12" t="s">
        <v>39</v>
      </c>
      <c r="U2893" s="12" t="s">
        <v>40</v>
      </c>
      <c r="V2893" s="12" t="s">
        <v>586</v>
      </c>
      <c r="W2893" s="12">
        <v>13000000</v>
      </c>
      <c r="X2893" s="12">
        <v>2013</v>
      </c>
      <c r="Y2893" s="12">
        <v>461</v>
      </c>
      <c r="Z2893" s="12">
        <v>6.7</v>
      </c>
      <c r="AA2893" s="12">
        <v>1.85</v>
      </c>
      <c r="AB2893" s="12">
        <v>23000</v>
      </c>
      <c r="AC2893" s="12"/>
      <c r="AD2893" s="12" t="str">
        <f>IFERROR(__xludf.DUMMYFUNCTION("""COMPUTED_VALUE"""),"Caitlyn Jenner")</f>
        <v>Caitlyn Jenner</v>
      </c>
      <c r="AE2893" s="12"/>
    </row>
    <row r="2894" customHeight="1" spans="1:31">
      <c r="A2894" s="11" t="s">
        <v>30</v>
      </c>
      <c r="B2894" s="11" t="s">
        <v>13894</v>
      </c>
      <c r="C2894" s="11">
        <v>2</v>
      </c>
      <c r="D2894" s="11">
        <v>115</v>
      </c>
      <c r="E2894" s="11">
        <v>32</v>
      </c>
      <c r="F2894" s="11">
        <v>29</v>
      </c>
      <c r="G2894" s="11">
        <v>14000</v>
      </c>
      <c r="H2894" s="11">
        <v>31662</v>
      </c>
      <c r="I2894" s="11" t="s">
        <v>1017</v>
      </c>
      <c r="J2894" s="11" t="s">
        <v>228</v>
      </c>
      <c r="K2894" s="11" t="s">
        <v>13895</v>
      </c>
      <c r="L2894" s="11" t="s">
        <v>13896</v>
      </c>
      <c r="M2894" s="11" t="s">
        <v>13897</v>
      </c>
      <c r="N2894" s="11">
        <v>90</v>
      </c>
      <c r="O2894" s="11">
        <v>14133</v>
      </c>
      <c r="P2894" s="11">
        <v>1</v>
      </c>
      <c r="Q2894" s="13"/>
      <c r="R2894" s="14" t="s">
        <v>13898</v>
      </c>
      <c r="S2894" s="11">
        <v>1</v>
      </c>
      <c r="T2894" s="11" t="s">
        <v>39</v>
      </c>
      <c r="U2894" s="11" t="s">
        <v>5695</v>
      </c>
      <c r="V2894" s="13"/>
      <c r="W2894" s="11">
        <v>12620000</v>
      </c>
      <c r="X2894" s="11">
        <v>2016</v>
      </c>
      <c r="Y2894" s="11">
        <v>81</v>
      </c>
      <c r="Z2894" s="11">
        <v>6.8</v>
      </c>
      <c r="AA2894" s="13"/>
      <c r="AB2894" s="11">
        <v>139</v>
      </c>
      <c r="AC2894" s="11"/>
      <c r="AD2894" s="11" t="str">
        <f>IFERROR(__xludf.DUMMYFUNCTION("""COMPUTED_VALUE"""),"Donny Boaz")</f>
        <v>Donny Boaz</v>
      </c>
      <c r="AE2894" s="11"/>
    </row>
    <row r="2895" customHeight="1" spans="1:31">
      <c r="A2895" s="12" t="s">
        <v>30</v>
      </c>
      <c r="B2895" s="12" t="s">
        <v>13899</v>
      </c>
      <c r="C2895" s="12">
        <v>61</v>
      </c>
      <c r="D2895" s="12">
        <v>90</v>
      </c>
      <c r="E2895" s="12">
        <v>0</v>
      </c>
      <c r="F2895" s="12">
        <v>234</v>
      </c>
      <c r="G2895" s="12">
        <v>477</v>
      </c>
      <c r="H2895" s="12">
        <v>28399192</v>
      </c>
      <c r="I2895" s="12" t="s">
        <v>13900</v>
      </c>
      <c r="J2895" s="12" t="s">
        <v>13901</v>
      </c>
      <c r="K2895" s="12" t="s">
        <v>11996</v>
      </c>
      <c r="L2895" s="12" t="s">
        <v>836</v>
      </c>
      <c r="M2895" s="12" t="s">
        <v>13902</v>
      </c>
      <c r="N2895" s="12">
        <v>5663</v>
      </c>
      <c r="O2895" s="12">
        <v>1483</v>
      </c>
      <c r="P2895" s="12">
        <v>0</v>
      </c>
      <c r="Q2895" s="12" t="s">
        <v>13903</v>
      </c>
      <c r="R2895" s="15" t="s">
        <v>13904</v>
      </c>
      <c r="S2895" s="12">
        <v>106</v>
      </c>
      <c r="T2895" s="12" t="s">
        <v>39</v>
      </c>
      <c r="U2895" s="12" t="s">
        <v>371</v>
      </c>
      <c r="V2895" s="12" t="s">
        <v>96</v>
      </c>
      <c r="W2895" s="12">
        <v>13000000</v>
      </c>
      <c r="X2895" s="12">
        <v>2002</v>
      </c>
      <c r="Y2895" s="12">
        <v>238</v>
      </c>
      <c r="Z2895" s="12">
        <v>5.4</v>
      </c>
      <c r="AA2895" s="12">
        <v>2.35</v>
      </c>
      <c r="AB2895" s="12">
        <v>332</v>
      </c>
      <c r="AC2895" s="12"/>
      <c r="AD2895" s="12" t="str">
        <f>IFERROR(__xludf.DUMMYFUNCTION("""COMPUTED_VALUE"""),"Brent Anderson")</f>
        <v>Brent Anderson</v>
      </c>
      <c r="AE2895" s="12"/>
    </row>
    <row r="2896" customHeight="1" spans="1:31">
      <c r="A2896" s="11" t="s">
        <v>30</v>
      </c>
      <c r="B2896" s="11" t="s">
        <v>3740</v>
      </c>
      <c r="C2896" s="11">
        <v>242</v>
      </c>
      <c r="D2896" s="11">
        <v>102</v>
      </c>
      <c r="E2896" s="11">
        <v>43</v>
      </c>
      <c r="F2896" s="11">
        <v>113</v>
      </c>
      <c r="G2896" s="11">
        <v>170</v>
      </c>
      <c r="H2896" s="11">
        <v>2035566</v>
      </c>
      <c r="I2896" s="11" t="s">
        <v>13905</v>
      </c>
      <c r="J2896" s="11" t="s">
        <v>13906</v>
      </c>
      <c r="K2896" s="11" t="s">
        <v>13907</v>
      </c>
      <c r="L2896" s="11" t="s">
        <v>13908</v>
      </c>
      <c r="M2896" s="11" t="s">
        <v>13909</v>
      </c>
      <c r="N2896" s="11">
        <v>77305</v>
      </c>
      <c r="O2896" s="11">
        <v>931</v>
      </c>
      <c r="P2896" s="11">
        <v>0</v>
      </c>
      <c r="Q2896" s="11" t="s">
        <v>13910</v>
      </c>
      <c r="R2896" s="14" t="s">
        <v>13911</v>
      </c>
      <c r="S2896" s="11">
        <v>162</v>
      </c>
      <c r="T2896" s="11" t="s">
        <v>39</v>
      </c>
      <c r="U2896" s="11" t="s">
        <v>1466</v>
      </c>
      <c r="V2896" s="11" t="s">
        <v>586</v>
      </c>
      <c r="W2896" s="11">
        <v>13000000</v>
      </c>
      <c r="X2896" s="11">
        <v>2009</v>
      </c>
      <c r="Y2896" s="11">
        <v>157</v>
      </c>
      <c r="Z2896" s="11">
        <v>6.6</v>
      </c>
      <c r="AA2896" s="11">
        <v>1.85</v>
      </c>
      <c r="AB2896" s="11">
        <v>11000</v>
      </c>
      <c r="AC2896" s="11"/>
      <c r="AD2896" s="11" t="str">
        <f>IFERROR(__xludf.DUMMYFUNCTION("""COMPUTED_VALUE"""),"Damon Wayans")</f>
        <v>Damon Wayans</v>
      </c>
      <c r="AE2896" s="11"/>
    </row>
    <row r="2897" customHeight="1" spans="1:31">
      <c r="A2897" s="12" t="s">
        <v>30</v>
      </c>
      <c r="B2897" s="12" t="s">
        <v>2397</v>
      </c>
      <c r="C2897" s="12">
        <v>62</v>
      </c>
      <c r="D2897" s="12">
        <v>100</v>
      </c>
      <c r="E2897" s="12">
        <v>218</v>
      </c>
      <c r="F2897" s="12">
        <v>91</v>
      </c>
      <c r="G2897" s="12">
        <v>581</v>
      </c>
      <c r="H2897" s="16"/>
      <c r="I2897" s="12" t="s">
        <v>2158</v>
      </c>
      <c r="J2897" s="12" t="s">
        <v>12689</v>
      </c>
      <c r="K2897" s="12" t="s">
        <v>13912</v>
      </c>
      <c r="L2897" s="12" t="s">
        <v>13913</v>
      </c>
      <c r="M2897" s="12" t="s">
        <v>13914</v>
      </c>
      <c r="N2897" s="12">
        <v>16281</v>
      </c>
      <c r="O2897" s="12">
        <v>931</v>
      </c>
      <c r="P2897" s="12">
        <v>0</v>
      </c>
      <c r="Q2897" s="12" t="s">
        <v>13915</v>
      </c>
      <c r="R2897" s="15" t="s">
        <v>13916</v>
      </c>
      <c r="S2897" s="12">
        <v>96</v>
      </c>
      <c r="T2897" s="12" t="s">
        <v>13917</v>
      </c>
      <c r="U2897" s="12" t="s">
        <v>269</v>
      </c>
      <c r="V2897" s="12" t="s">
        <v>586</v>
      </c>
      <c r="W2897" s="12">
        <v>12500000</v>
      </c>
      <c r="X2897" s="12">
        <v>1981</v>
      </c>
      <c r="Y2897" s="12">
        <v>201</v>
      </c>
      <c r="Z2897" s="12">
        <v>7.4</v>
      </c>
      <c r="AA2897" s="12">
        <v>2.35</v>
      </c>
      <c r="AB2897" s="12">
        <v>0</v>
      </c>
      <c r="AC2897" s="12"/>
      <c r="AD2897" s="12" t="str">
        <f>IFERROR(__xludf.DUMMYFUNCTION("""COMPUTED_VALUE"""),"Guang Li")</f>
        <v>Guang Li</v>
      </c>
      <c r="AE2897" s="12"/>
    </row>
    <row r="2898" customHeight="1" spans="1:31">
      <c r="A2898" s="11" t="s">
        <v>30</v>
      </c>
      <c r="B2898" s="11" t="s">
        <v>1727</v>
      </c>
      <c r="C2898" s="11">
        <v>121</v>
      </c>
      <c r="D2898" s="11">
        <v>117</v>
      </c>
      <c r="E2898" s="11">
        <v>18000</v>
      </c>
      <c r="F2898" s="11">
        <v>543</v>
      </c>
      <c r="G2898" s="11">
        <v>18000</v>
      </c>
      <c r="H2898" s="11">
        <v>21078145</v>
      </c>
      <c r="I2898" s="11" t="s">
        <v>1544</v>
      </c>
      <c r="J2898" s="11" t="s">
        <v>1727</v>
      </c>
      <c r="K2898" s="11" t="s">
        <v>7345</v>
      </c>
      <c r="L2898" s="11" t="s">
        <v>8336</v>
      </c>
      <c r="M2898" s="11" t="s">
        <v>13918</v>
      </c>
      <c r="N2898" s="11">
        <v>26493</v>
      </c>
      <c r="O2898" s="11">
        <v>20456</v>
      </c>
      <c r="P2898" s="11">
        <v>0</v>
      </c>
      <c r="Q2898" s="11" t="s">
        <v>13919</v>
      </c>
      <c r="R2898" s="14" t="s">
        <v>13920</v>
      </c>
      <c r="S2898" s="11">
        <v>159</v>
      </c>
      <c r="T2898" s="11" t="s">
        <v>39</v>
      </c>
      <c r="U2898" s="11" t="s">
        <v>40</v>
      </c>
      <c r="V2898" s="11" t="s">
        <v>41</v>
      </c>
      <c r="W2898" s="11">
        <v>12500000</v>
      </c>
      <c r="X2898" s="11">
        <v>2002</v>
      </c>
      <c r="Y2898" s="11">
        <v>638</v>
      </c>
      <c r="Z2898" s="11">
        <v>7.3</v>
      </c>
      <c r="AA2898" s="11">
        <v>2.35</v>
      </c>
      <c r="AB2898" s="11">
        <v>0</v>
      </c>
      <c r="AC2898" s="11"/>
      <c r="AD2898" s="11" t="str">
        <f>IFERROR(__xludf.DUMMYFUNCTION("""COMPUTED_VALUE"""),"Matthew Walker")</f>
        <v>Matthew Walker</v>
      </c>
      <c r="AE2898" s="11"/>
    </row>
    <row r="2899" customHeight="1" spans="1:31">
      <c r="A2899" s="12" t="s">
        <v>30</v>
      </c>
      <c r="B2899" s="12" t="s">
        <v>9393</v>
      </c>
      <c r="C2899" s="12">
        <v>83</v>
      </c>
      <c r="D2899" s="12">
        <v>109</v>
      </c>
      <c r="E2899" s="12">
        <v>97</v>
      </c>
      <c r="F2899" s="12">
        <v>355</v>
      </c>
      <c r="G2899" s="12">
        <v>13000</v>
      </c>
      <c r="H2899" s="12">
        <v>14060950</v>
      </c>
      <c r="I2899" s="12" t="s">
        <v>3410</v>
      </c>
      <c r="J2899" s="12" t="s">
        <v>13921</v>
      </c>
      <c r="K2899" s="12" t="s">
        <v>9403</v>
      </c>
      <c r="L2899" s="12" t="s">
        <v>13922</v>
      </c>
      <c r="M2899" s="12" t="s">
        <v>13923</v>
      </c>
      <c r="N2899" s="12">
        <v>14354</v>
      </c>
      <c r="O2899" s="12">
        <v>14347</v>
      </c>
      <c r="P2899" s="12">
        <v>1</v>
      </c>
      <c r="Q2899" s="12" t="s">
        <v>13924</v>
      </c>
      <c r="R2899" s="15" t="s">
        <v>13925</v>
      </c>
      <c r="S2899" s="12">
        <v>139</v>
      </c>
      <c r="T2899" s="12" t="s">
        <v>39</v>
      </c>
      <c r="U2899" s="12" t="s">
        <v>40</v>
      </c>
      <c r="V2899" s="12" t="s">
        <v>41</v>
      </c>
      <c r="W2899" s="12">
        <v>12500000</v>
      </c>
      <c r="X2899" s="12">
        <v>2002</v>
      </c>
      <c r="Y2899" s="12">
        <v>795</v>
      </c>
      <c r="Z2899" s="12">
        <v>6.9</v>
      </c>
      <c r="AA2899" s="12">
        <v>1.85</v>
      </c>
      <c r="AB2899" s="12">
        <v>0</v>
      </c>
      <c r="AC2899" s="12"/>
      <c r="AD2899" s="12" t="str">
        <f>IFERROR(__xludf.DUMMYFUNCTION("""COMPUTED_VALUE"""),"Garrett Clayton")</f>
        <v>Garrett Clayton</v>
      </c>
      <c r="AE2899" s="12"/>
    </row>
    <row r="2900" customHeight="1" spans="1:31">
      <c r="A2900" s="11" t="s">
        <v>30</v>
      </c>
      <c r="B2900" s="11" t="s">
        <v>1740</v>
      </c>
      <c r="C2900" s="11">
        <v>122</v>
      </c>
      <c r="D2900" s="11">
        <v>121</v>
      </c>
      <c r="E2900" s="11">
        <v>12000</v>
      </c>
      <c r="F2900" s="11">
        <v>975</v>
      </c>
      <c r="G2900" s="11">
        <v>11000</v>
      </c>
      <c r="H2900" s="11">
        <v>12281500</v>
      </c>
      <c r="I2900" s="11" t="s">
        <v>5806</v>
      </c>
      <c r="J2900" s="11" t="s">
        <v>343</v>
      </c>
      <c r="K2900" s="11" t="s">
        <v>440</v>
      </c>
      <c r="L2900" s="11" t="s">
        <v>2524</v>
      </c>
      <c r="M2900" s="11" t="s">
        <v>13926</v>
      </c>
      <c r="N2900" s="11">
        <v>163492</v>
      </c>
      <c r="O2900" s="11">
        <v>23602</v>
      </c>
      <c r="P2900" s="11">
        <v>3</v>
      </c>
      <c r="Q2900" s="11" t="s">
        <v>13927</v>
      </c>
      <c r="R2900" s="14" t="s">
        <v>13928</v>
      </c>
      <c r="S2900" s="11">
        <v>460</v>
      </c>
      <c r="T2900" s="11" t="s">
        <v>39</v>
      </c>
      <c r="U2900" s="11" t="s">
        <v>40</v>
      </c>
      <c r="V2900" s="11" t="s">
        <v>586</v>
      </c>
      <c r="W2900" s="11">
        <v>13000000</v>
      </c>
      <c r="X2900" s="11">
        <v>1993</v>
      </c>
      <c r="Y2900" s="11">
        <v>10000</v>
      </c>
      <c r="Z2900" s="11">
        <v>8</v>
      </c>
      <c r="AA2900" s="11">
        <v>2.35</v>
      </c>
      <c r="AB2900" s="11">
        <v>15000</v>
      </c>
      <c r="AC2900" s="11"/>
      <c r="AD2900" s="11" t="str">
        <f>IFERROR(__xludf.DUMMYFUNCTION("""COMPUTED_VALUE"""),"Toni Braxton")</f>
        <v>Toni Braxton</v>
      </c>
      <c r="AE2900" s="11"/>
    </row>
    <row r="2901" customHeight="1" spans="1:31">
      <c r="A2901" s="12" t="s">
        <v>30</v>
      </c>
      <c r="B2901" s="12" t="s">
        <v>13929</v>
      </c>
      <c r="C2901" s="12">
        <v>88</v>
      </c>
      <c r="D2901" s="12">
        <v>111</v>
      </c>
      <c r="E2901" s="12">
        <v>28</v>
      </c>
      <c r="F2901" s="12">
        <v>1000</v>
      </c>
      <c r="G2901" s="12">
        <v>6000</v>
      </c>
      <c r="H2901" s="16"/>
      <c r="I2901" s="12" t="s">
        <v>5500</v>
      </c>
      <c r="J2901" s="12" t="s">
        <v>202</v>
      </c>
      <c r="K2901" s="12" t="s">
        <v>738</v>
      </c>
      <c r="L2901" s="12" t="s">
        <v>13930</v>
      </c>
      <c r="M2901" s="12" t="s">
        <v>13931</v>
      </c>
      <c r="N2901" s="12">
        <v>9957</v>
      </c>
      <c r="O2901" s="12">
        <v>9244</v>
      </c>
      <c r="P2901" s="12">
        <v>1</v>
      </c>
      <c r="Q2901" s="12" t="s">
        <v>13932</v>
      </c>
      <c r="R2901" s="15" t="s">
        <v>13933</v>
      </c>
      <c r="S2901" s="12">
        <v>35</v>
      </c>
      <c r="T2901" s="12" t="s">
        <v>39</v>
      </c>
      <c r="U2901" s="12" t="s">
        <v>768</v>
      </c>
      <c r="V2901" s="12" t="s">
        <v>5614</v>
      </c>
      <c r="W2901" s="12">
        <v>3660000</v>
      </c>
      <c r="X2901" s="12">
        <v>2010</v>
      </c>
      <c r="Y2901" s="12">
        <v>2000</v>
      </c>
      <c r="Z2901" s="12">
        <v>6.4</v>
      </c>
      <c r="AA2901" s="12">
        <v>2.35</v>
      </c>
      <c r="AB2901" s="12">
        <v>0</v>
      </c>
      <c r="AC2901" s="12"/>
      <c r="AD2901" s="12" t="str">
        <f>IFERROR(__xludf.DUMMYFUNCTION("""COMPUTED_VALUE"""),"Melvil Poupaud")</f>
        <v>Melvil Poupaud</v>
      </c>
      <c r="AE2901" s="12"/>
    </row>
    <row r="2902" customHeight="1" spans="1:31">
      <c r="A2902" s="11" t="s">
        <v>30</v>
      </c>
      <c r="B2902" s="11" t="s">
        <v>13031</v>
      </c>
      <c r="C2902" s="11">
        <v>120</v>
      </c>
      <c r="D2902" s="11">
        <v>100</v>
      </c>
      <c r="E2902" s="11">
        <v>164</v>
      </c>
      <c r="F2902" s="11">
        <v>99</v>
      </c>
      <c r="G2902" s="11">
        <v>18000</v>
      </c>
      <c r="H2902" s="11">
        <v>10725228</v>
      </c>
      <c r="I2902" s="11" t="s">
        <v>3082</v>
      </c>
      <c r="J2902" s="11" t="s">
        <v>120</v>
      </c>
      <c r="K2902" s="11" t="s">
        <v>2383</v>
      </c>
      <c r="L2902" s="11" t="s">
        <v>13934</v>
      </c>
      <c r="M2902" s="11" t="s">
        <v>13935</v>
      </c>
      <c r="N2902" s="11">
        <v>75675</v>
      </c>
      <c r="O2902" s="11">
        <v>32288</v>
      </c>
      <c r="P2902" s="11">
        <v>1</v>
      </c>
      <c r="Q2902" s="11" t="s">
        <v>13936</v>
      </c>
      <c r="R2902" s="14" t="s">
        <v>13937</v>
      </c>
      <c r="S2902" s="11">
        <v>365</v>
      </c>
      <c r="T2902" s="11" t="s">
        <v>39</v>
      </c>
      <c r="U2902" s="11" t="s">
        <v>40</v>
      </c>
      <c r="V2902" s="11" t="s">
        <v>586</v>
      </c>
      <c r="W2902" s="11">
        <v>12500000</v>
      </c>
      <c r="X2902" s="11">
        <v>1992</v>
      </c>
      <c r="Y2902" s="11">
        <v>14000</v>
      </c>
      <c r="Z2902" s="11">
        <v>7.8</v>
      </c>
      <c r="AA2902" s="11">
        <v>2.35</v>
      </c>
      <c r="AB2902" s="11">
        <v>0</v>
      </c>
      <c r="AC2902" s="11"/>
      <c r="AD2902" s="11" t="str">
        <f>IFERROR(__xludf.DUMMYFUNCTION("""COMPUTED_VALUE"""),"Rosalind Ayres")</f>
        <v>Rosalind Ayres</v>
      </c>
      <c r="AE2902" s="11"/>
    </row>
    <row r="2903" customHeight="1" spans="1:31">
      <c r="A2903" s="12" t="s">
        <v>30</v>
      </c>
      <c r="B2903" s="12" t="s">
        <v>9431</v>
      </c>
      <c r="C2903" s="12">
        <v>225</v>
      </c>
      <c r="D2903" s="12">
        <v>109</v>
      </c>
      <c r="E2903" s="12">
        <v>187</v>
      </c>
      <c r="F2903" s="12">
        <v>204</v>
      </c>
      <c r="G2903" s="12">
        <v>818</v>
      </c>
      <c r="H2903" s="12">
        <v>214966</v>
      </c>
      <c r="I2903" s="12" t="s">
        <v>2126</v>
      </c>
      <c r="J2903" s="12" t="s">
        <v>2621</v>
      </c>
      <c r="K2903" s="12" t="s">
        <v>4184</v>
      </c>
      <c r="L2903" s="12" t="s">
        <v>9505</v>
      </c>
      <c r="M2903" s="12" t="s">
        <v>13938</v>
      </c>
      <c r="N2903" s="12">
        <v>28483</v>
      </c>
      <c r="O2903" s="12">
        <v>1813</v>
      </c>
      <c r="P2903" s="12">
        <v>0</v>
      </c>
      <c r="Q2903" s="12" t="s">
        <v>13939</v>
      </c>
      <c r="R2903" s="15" t="s">
        <v>13940</v>
      </c>
      <c r="S2903" s="12">
        <v>176</v>
      </c>
      <c r="T2903" s="12" t="s">
        <v>39</v>
      </c>
      <c r="U2903" s="12" t="s">
        <v>40</v>
      </c>
      <c r="V2903" s="12" t="s">
        <v>586</v>
      </c>
      <c r="W2903" s="12">
        <v>13000000</v>
      </c>
      <c r="X2903" s="12">
        <v>2010</v>
      </c>
      <c r="Y2903" s="12">
        <v>467</v>
      </c>
      <c r="Z2903" s="12">
        <v>6.1</v>
      </c>
      <c r="AA2903" s="12">
        <v>2.35</v>
      </c>
      <c r="AB2903" s="12">
        <v>0</v>
      </c>
      <c r="AC2903" s="12"/>
      <c r="AD2903" s="12" t="str">
        <f>IFERROR(__xludf.DUMMYFUNCTION("""COMPUTED_VALUE"""),"Jimmy Jean-Louis")</f>
        <v>Jimmy Jean-Louis</v>
      </c>
      <c r="AE2903" s="12"/>
    </row>
    <row r="2904" customHeight="1" spans="1:31">
      <c r="A2904" s="11" t="s">
        <v>30</v>
      </c>
      <c r="B2904" s="11" t="s">
        <v>13941</v>
      </c>
      <c r="C2904" s="11">
        <v>130</v>
      </c>
      <c r="D2904" s="11">
        <v>93</v>
      </c>
      <c r="E2904" s="11">
        <v>261</v>
      </c>
      <c r="F2904" s="11">
        <v>697</v>
      </c>
      <c r="G2904" s="11">
        <v>783</v>
      </c>
      <c r="H2904" s="13"/>
      <c r="I2904" s="11" t="s">
        <v>9755</v>
      </c>
      <c r="J2904" s="11" t="s">
        <v>972</v>
      </c>
      <c r="K2904" s="11" t="s">
        <v>1728</v>
      </c>
      <c r="L2904" s="11" t="s">
        <v>3198</v>
      </c>
      <c r="M2904" s="11" t="s">
        <v>13942</v>
      </c>
      <c r="N2904" s="11">
        <v>14193</v>
      </c>
      <c r="O2904" s="11">
        <v>3700</v>
      </c>
      <c r="P2904" s="11">
        <v>1</v>
      </c>
      <c r="Q2904" s="11" t="s">
        <v>13943</v>
      </c>
      <c r="R2904" s="14" t="s">
        <v>13944</v>
      </c>
      <c r="S2904" s="11">
        <v>106</v>
      </c>
      <c r="T2904" s="11" t="s">
        <v>39</v>
      </c>
      <c r="U2904" s="11" t="s">
        <v>40</v>
      </c>
      <c r="V2904" s="11" t="s">
        <v>586</v>
      </c>
      <c r="W2904" s="11">
        <v>18000000</v>
      </c>
      <c r="X2904" s="11">
        <v>1982</v>
      </c>
      <c r="Y2904" s="11">
        <v>782</v>
      </c>
      <c r="Z2904" s="11">
        <v>6.1</v>
      </c>
      <c r="AA2904" s="11">
        <v>1.85</v>
      </c>
      <c r="AB2904" s="11">
        <v>0</v>
      </c>
      <c r="AC2904" s="11"/>
      <c r="AD2904" s="11" t="str">
        <f>IFERROR(__xludf.DUMMYFUNCTION("""COMPUTED_VALUE"""),"Esai Morales")</f>
        <v>Esai Morales</v>
      </c>
      <c r="AE2904" s="11"/>
    </row>
    <row r="2905" customHeight="1" spans="1:31">
      <c r="A2905" s="12" t="s">
        <v>30</v>
      </c>
      <c r="B2905" s="12" t="s">
        <v>13945</v>
      </c>
      <c r="C2905" s="12">
        <v>167</v>
      </c>
      <c r="D2905" s="12">
        <v>101</v>
      </c>
      <c r="E2905" s="12">
        <v>10</v>
      </c>
      <c r="F2905" s="12">
        <v>472</v>
      </c>
      <c r="G2905" s="12">
        <v>1000</v>
      </c>
      <c r="H2905" s="12">
        <v>11956207</v>
      </c>
      <c r="I2905" s="12" t="s">
        <v>5104</v>
      </c>
      <c r="J2905" s="12" t="s">
        <v>13946</v>
      </c>
      <c r="K2905" s="12" t="s">
        <v>13947</v>
      </c>
      <c r="L2905" s="12" t="s">
        <v>5317</v>
      </c>
      <c r="M2905" s="12" t="s">
        <v>13948</v>
      </c>
      <c r="N2905" s="12">
        <v>24012</v>
      </c>
      <c r="O2905" s="12">
        <v>3142</v>
      </c>
      <c r="P2905" s="12">
        <v>2</v>
      </c>
      <c r="Q2905" s="12" t="s">
        <v>13949</v>
      </c>
      <c r="R2905" s="15" t="s">
        <v>13950</v>
      </c>
      <c r="S2905" s="12">
        <v>126</v>
      </c>
      <c r="T2905" s="12" t="s">
        <v>39</v>
      </c>
      <c r="U2905" s="12" t="s">
        <v>40</v>
      </c>
      <c r="V2905" s="12" t="s">
        <v>586</v>
      </c>
      <c r="W2905" s="12">
        <v>16000000</v>
      </c>
      <c r="X2905" s="12">
        <v>2009</v>
      </c>
      <c r="Y2905" s="12">
        <v>668</v>
      </c>
      <c r="Z2905" s="12">
        <v>5.1</v>
      </c>
      <c r="AA2905" s="12">
        <v>2.35</v>
      </c>
      <c r="AB2905" s="12">
        <v>0</v>
      </c>
      <c r="AC2905" s="12"/>
      <c r="AD2905" s="12" t="str">
        <f>IFERROR(__xludf.DUMMYFUNCTION("""COMPUTED_VALUE"""),"Yuqi Zhang")</f>
        <v>Yuqi Zhang</v>
      </c>
      <c r="AE2905" s="12"/>
    </row>
    <row r="2906" customHeight="1" spans="1:31">
      <c r="A2906" s="11" t="s">
        <v>748</v>
      </c>
      <c r="B2906" s="11" t="s">
        <v>13951</v>
      </c>
      <c r="C2906" s="11">
        <v>7</v>
      </c>
      <c r="D2906" s="11">
        <v>101</v>
      </c>
      <c r="E2906" s="11">
        <v>19</v>
      </c>
      <c r="F2906" s="11">
        <v>135</v>
      </c>
      <c r="G2906" s="11">
        <v>490</v>
      </c>
      <c r="H2906" s="13"/>
      <c r="I2906" s="11" t="s">
        <v>2308</v>
      </c>
      <c r="J2906" s="11" t="s">
        <v>12258</v>
      </c>
      <c r="K2906" s="11" t="s">
        <v>13952</v>
      </c>
      <c r="L2906" s="11" t="s">
        <v>13953</v>
      </c>
      <c r="M2906" s="11" t="s">
        <v>13954</v>
      </c>
      <c r="N2906" s="11">
        <v>3256</v>
      </c>
      <c r="O2906" s="11">
        <v>1166</v>
      </c>
      <c r="P2906" s="11">
        <v>2</v>
      </c>
      <c r="Q2906" s="11" t="s">
        <v>13955</v>
      </c>
      <c r="R2906" s="14" t="s">
        <v>13956</v>
      </c>
      <c r="S2906" s="11">
        <v>44</v>
      </c>
      <c r="T2906" s="11" t="s">
        <v>39</v>
      </c>
      <c r="U2906" s="11" t="s">
        <v>40</v>
      </c>
      <c r="V2906" s="11" t="s">
        <v>6037</v>
      </c>
      <c r="W2906" s="13"/>
      <c r="X2906" s="11">
        <v>1937</v>
      </c>
      <c r="Y2906" s="11">
        <v>185</v>
      </c>
      <c r="Z2906" s="11">
        <v>7.8</v>
      </c>
      <c r="AA2906" s="11">
        <v>1.37</v>
      </c>
      <c r="AB2906" s="11">
        <v>337</v>
      </c>
      <c r="AC2906" s="11"/>
      <c r="AD2906" s="11" t="str">
        <f>IFERROR(__xludf.DUMMYFUNCTION("""COMPUTED_VALUE"""),"Chi Chung Lam")</f>
        <v>Chi Chung Lam</v>
      </c>
      <c r="AE2906" s="11"/>
    </row>
    <row r="2907" customHeight="1" spans="1:31">
      <c r="A2907" s="12" t="s">
        <v>30</v>
      </c>
      <c r="B2907" s="12" t="s">
        <v>3586</v>
      </c>
      <c r="C2907" s="12">
        <v>226</v>
      </c>
      <c r="D2907" s="12">
        <v>106</v>
      </c>
      <c r="E2907" s="12">
        <v>44</v>
      </c>
      <c r="F2907" s="12">
        <v>552</v>
      </c>
      <c r="G2907" s="12">
        <v>33000</v>
      </c>
      <c r="H2907" s="12">
        <v>5949693</v>
      </c>
      <c r="I2907" s="12" t="s">
        <v>1415</v>
      </c>
      <c r="J2907" s="12" t="s">
        <v>4214</v>
      </c>
      <c r="K2907" s="12" t="s">
        <v>871</v>
      </c>
      <c r="L2907" s="12" t="s">
        <v>11754</v>
      </c>
      <c r="M2907" s="12" t="s">
        <v>13957</v>
      </c>
      <c r="N2907" s="12">
        <v>114762</v>
      </c>
      <c r="O2907" s="12">
        <v>34351</v>
      </c>
      <c r="P2907" s="12">
        <v>1</v>
      </c>
      <c r="Q2907" s="12" t="s">
        <v>13958</v>
      </c>
      <c r="R2907" s="15" t="s">
        <v>13959</v>
      </c>
      <c r="S2907" s="12">
        <v>299</v>
      </c>
      <c r="T2907" s="12" t="s">
        <v>39</v>
      </c>
      <c r="U2907" s="12" t="s">
        <v>40</v>
      </c>
      <c r="V2907" s="12" t="s">
        <v>41</v>
      </c>
      <c r="W2907" s="12">
        <v>12000000</v>
      </c>
      <c r="X2907" s="12">
        <v>2007</v>
      </c>
      <c r="Y2907" s="12">
        <v>730</v>
      </c>
      <c r="Z2907" s="12">
        <v>7.4</v>
      </c>
      <c r="AA2907" s="12">
        <v>1.85</v>
      </c>
      <c r="AB2907" s="12">
        <v>19000</v>
      </c>
      <c r="AC2907" s="12"/>
      <c r="AD2907" s="12" t="str">
        <f>IFERROR(__xludf.DUMMYFUNCTION("""COMPUTED_VALUE"""),"Christian Clavier")</f>
        <v>Christian Clavier</v>
      </c>
      <c r="AE2907" s="12"/>
    </row>
    <row r="2908" customHeight="1" spans="1:31">
      <c r="A2908" s="11" t="s">
        <v>30</v>
      </c>
      <c r="B2908" s="11" t="s">
        <v>13960</v>
      </c>
      <c r="C2908" s="11">
        <v>185</v>
      </c>
      <c r="D2908" s="11">
        <v>94</v>
      </c>
      <c r="E2908" s="11">
        <v>39</v>
      </c>
      <c r="F2908" s="11">
        <v>18</v>
      </c>
      <c r="G2908" s="11">
        <v>77</v>
      </c>
      <c r="H2908" s="11">
        <v>9030581</v>
      </c>
      <c r="I2908" s="11" t="s">
        <v>3397</v>
      </c>
      <c r="J2908" s="11" t="s">
        <v>13961</v>
      </c>
      <c r="K2908" s="11" t="s">
        <v>13962</v>
      </c>
      <c r="L2908" s="11" t="s">
        <v>13963</v>
      </c>
      <c r="M2908" s="11" t="s">
        <v>13964</v>
      </c>
      <c r="N2908" s="11">
        <v>132386</v>
      </c>
      <c r="O2908" s="11">
        <v>156</v>
      </c>
      <c r="P2908" s="11">
        <v>0</v>
      </c>
      <c r="Q2908" s="11" t="s">
        <v>13965</v>
      </c>
      <c r="R2908" s="14" t="s">
        <v>13966</v>
      </c>
      <c r="S2908" s="11">
        <v>398</v>
      </c>
      <c r="T2908" s="11" t="s">
        <v>39</v>
      </c>
      <c r="U2908" s="11" t="s">
        <v>58</v>
      </c>
      <c r="V2908" s="11" t="s">
        <v>41</v>
      </c>
      <c r="W2908" s="11">
        <v>12500000</v>
      </c>
      <c r="X2908" s="11">
        <v>2008</v>
      </c>
      <c r="Y2908" s="11">
        <v>32</v>
      </c>
      <c r="Z2908" s="11">
        <v>7.8</v>
      </c>
      <c r="AA2908" s="11">
        <v>1.85</v>
      </c>
      <c r="AB2908" s="11">
        <v>38000</v>
      </c>
      <c r="AC2908" s="11"/>
      <c r="AD2908" s="11" t="str">
        <f>IFERROR(__xludf.DUMMYFUNCTION("""COMPUTED_VALUE"""),"Philippe Nahon")</f>
        <v>Philippe Nahon</v>
      </c>
      <c r="AE2908" s="11"/>
    </row>
    <row r="2909" customHeight="1" spans="1:31">
      <c r="A2909" s="12" t="s">
        <v>30</v>
      </c>
      <c r="B2909" s="12" t="s">
        <v>13348</v>
      </c>
      <c r="C2909" s="12">
        <v>177</v>
      </c>
      <c r="D2909" s="12">
        <v>140</v>
      </c>
      <c r="E2909" s="12">
        <v>3000</v>
      </c>
      <c r="F2909" s="12">
        <v>322</v>
      </c>
      <c r="G2909" s="12">
        <v>963</v>
      </c>
      <c r="H2909" s="12">
        <v>4157491</v>
      </c>
      <c r="I2909" s="12" t="s">
        <v>13967</v>
      </c>
      <c r="J2909" s="12" t="s">
        <v>6663</v>
      </c>
      <c r="K2909" s="12" t="s">
        <v>1823</v>
      </c>
      <c r="L2909" s="12" t="s">
        <v>13968</v>
      </c>
      <c r="M2909" s="12" t="s">
        <v>13969</v>
      </c>
      <c r="N2909" s="12">
        <v>79330</v>
      </c>
      <c r="O2909" s="12">
        <v>2894</v>
      </c>
      <c r="P2909" s="12">
        <v>0</v>
      </c>
      <c r="Q2909" s="12" t="s">
        <v>13970</v>
      </c>
      <c r="R2909" s="15" t="s">
        <v>13971</v>
      </c>
      <c r="S2909" s="12">
        <v>690</v>
      </c>
      <c r="T2909" s="12" t="s">
        <v>39</v>
      </c>
      <c r="U2909" s="12" t="s">
        <v>7712</v>
      </c>
      <c r="V2909" s="12" t="s">
        <v>586</v>
      </c>
      <c r="W2909" s="12">
        <v>12800000</v>
      </c>
      <c r="X2909" s="12">
        <v>2000</v>
      </c>
      <c r="Y2909" s="12">
        <v>595</v>
      </c>
      <c r="Z2909" s="12">
        <v>8</v>
      </c>
      <c r="AA2909" s="12">
        <v>2.35</v>
      </c>
      <c r="AB2909" s="12">
        <v>0</v>
      </c>
      <c r="AC2909" s="12"/>
      <c r="AD2909" s="12" t="str">
        <f>IFERROR(__xludf.DUMMYFUNCTION("""COMPUTED_VALUE"""),"Marie-Anne Chazel")</f>
        <v>Marie-Anne Chazel</v>
      </c>
      <c r="AE2909" s="12"/>
    </row>
    <row r="2910" customHeight="1" spans="1:31">
      <c r="A2910" s="11" t="s">
        <v>30</v>
      </c>
      <c r="B2910" s="11" t="s">
        <v>12744</v>
      </c>
      <c r="C2910" s="11">
        <v>28</v>
      </c>
      <c r="D2910" s="11">
        <v>132</v>
      </c>
      <c r="E2910" s="11">
        <v>44</v>
      </c>
      <c r="F2910" s="11">
        <v>241</v>
      </c>
      <c r="G2910" s="11">
        <v>1000</v>
      </c>
      <c r="H2910" s="11">
        <v>1508689</v>
      </c>
      <c r="I2910" s="11" t="s">
        <v>214</v>
      </c>
      <c r="J2910" s="11" t="s">
        <v>138</v>
      </c>
      <c r="K2910" s="11" t="s">
        <v>1048</v>
      </c>
      <c r="L2910" s="11" t="s">
        <v>1315</v>
      </c>
      <c r="M2910" s="11" t="s">
        <v>13972</v>
      </c>
      <c r="N2910" s="11">
        <v>5648</v>
      </c>
      <c r="O2910" s="11">
        <v>2004</v>
      </c>
      <c r="P2910" s="11">
        <v>2</v>
      </c>
      <c r="Q2910" s="11" t="s">
        <v>13973</v>
      </c>
      <c r="R2910" s="14" t="s">
        <v>13974</v>
      </c>
      <c r="S2910" s="11">
        <v>50</v>
      </c>
      <c r="T2910" s="11" t="s">
        <v>39</v>
      </c>
      <c r="U2910" s="11" t="s">
        <v>40</v>
      </c>
      <c r="V2910" s="11" t="s">
        <v>586</v>
      </c>
      <c r="W2910" s="11">
        <v>16000000</v>
      </c>
      <c r="X2910" s="11">
        <v>1997</v>
      </c>
      <c r="Y2910" s="11">
        <v>653</v>
      </c>
      <c r="Z2910" s="11">
        <v>6.7</v>
      </c>
      <c r="AA2910" s="11">
        <v>2.35</v>
      </c>
      <c r="AB2910" s="11">
        <v>329</v>
      </c>
      <c r="AC2910" s="11"/>
      <c r="AD2910" s="11" t="str">
        <f>IFERROR(__xludf.DUMMYFUNCTION("""COMPUTED_VALUE"""),"Laura Spencer")</f>
        <v>Laura Spencer</v>
      </c>
      <c r="AE2910" s="11"/>
    </row>
    <row r="2911" customHeight="1" spans="1:31">
      <c r="A2911" s="12" t="s">
        <v>30</v>
      </c>
      <c r="B2911" s="12" t="s">
        <v>13975</v>
      </c>
      <c r="C2911" s="12">
        <v>48</v>
      </c>
      <c r="D2911" s="12">
        <v>99</v>
      </c>
      <c r="E2911" s="12">
        <v>220</v>
      </c>
      <c r="F2911" s="12">
        <v>599</v>
      </c>
      <c r="G2911" s="12">
        <v>812</v>
      </c>
      <c r="H2911" s="12">
        <v>1227324</v>
      </c>
      <c r="I2911" s="12" t="s">
        <v>1936</v>
      </c>
      <c r="J2911" s="12" t="s">
        <v>3866</v>
      </c>
      <c r="K2911" s="12" t="s">
        <v>13976</v>
      </c>
      <c r="L2911" s="12" t="s">
        <v>5586</v>
      </c>
      <c r="M2911" s="12" t="s">
        <v>13977</v>
      </c>
      <c r="N2911" s="12">
        <v>6921</v>
      </c>
      <c r="O2911" s="12">
        <v>3337</v>
      </c>
      <c r="P2911" s="12">
        <v>3</v>
      </c>
      <c r="Q2911" s="12" t="s">
        <v>13978</v>
      </c>
      <c r="R2911" s="15" t="s">
        <v>13979</v>
      </c>
      <c r="S2911" s="12">
        <v>48</v>
      </c>
      <c r="T2911" s="12" t="s">
        <v>39</v>
      </c>
      <c r="U2911" s="12" t="s">
        <v>40</v>
      </c>
      <c r="V2911" s="12" t="s">
        <v>586</v>
      </c>
      <c r="W2911" s="12">
        <v>12500000</v>
      </c>
      <c r="X2911" s="12">
        <v>1996</v>
      </c>
      <c r="Y2911" s="12">
        <v>787</v>
      </c>
      <c r="Z2911" s="12">
        <v>6.6</v>
      </c>
      <c r="AA2911" s="12">
        <v>1.85</v>
      </c>
      <c r="AB2911" s="12">
        <v>344</v>
      </c>
      <c r="AC2911" s="12"/>
      <c r="AD2911" s="12" t="str">
        <f>IFERROR(__xludf.DUMMYFUNCTION("""COMPUTED_VALUE"""),"Mark Webber")</f>
        <v>Mark Webber</v>
      </c>
      <c r="AE2911" s="12"/>
    </row>
    <row r="2912" customHeight="1" spans="1:31">
      <c r="A2912" s="11" t="s">
        <v>30</v>
      </c>
      <c r="B2912" s="11" t="s">
        <v>13026</v>
      </c>
      <c r="C2912" s="11">
        <v>116</v>
      </c>
      <c r="D2912" s="11">
        <v>90</v>
      </c>
      <c r="E2912" s="11">
        <v>34</v>
      </c>
      <c r="F2912" s="11">
        <v>506</v>
      </c>
      <c r="G2912" s="11">
        <v>966</v>
      </c>
      <c r="H2912" s="11">
        <v>4360548</v>
      </c>
      <c r="I2912" s="11" t="s">
        <v>1415</v>
      </c>
      <c r="J2912" s="11" t="s">
        <v>3577</v>
      </c>
      <c r="K2912" s="11" t="s">
        <v>5196</v>
      </c>
      <c r="L2912" s="11" t="s">
        <v>2987</v>
      </c>
      <c r="M2912" s="11" t="s">
        <v>13980</v>
      </c>
      <c r="N2912" s="11">
        <v>13371</v>
      </c>
      <c r="O2912" s="11">
        <v>2661</v>
      </c>
      <c r="P2912" s="11">
        <v>7</v>
      </c>
      <c r="Q2912" s="11" t="s">
        <v>13981</v>
      </c>
      <c r="R2912" s="14" t="s">
        <v>13982</v>
      </c>
      <c r="S2912" s="11">
        <v>60</v>
      </c>
      <c r="T2912" s="11" t="s">
        <v>39</v>
      </c>
      <c r="U2912" s="11" t="s">
        <v>40</v>
      </c>
      <c r="V2912" s="11" t="s">
        <v>586</v>
      </c>
      <c r="W2912" s="11">
        <v>15000000</v>
      </c>
      <c r="X2912" s="11">
        <v>2009</v>
      </c>
      <c r="Y2912" s="11">
        <v>681</v>
      </c>
      <c r="Z2912" s="11">
        <v>6.4</v>
      </c>
      <c r="AA2912" s="11">
        <v>1.85</v>
      </c>
      <c r="AB2912" s="11">
        <v>0</v>
      </c>
      <c r="AC2912" s="11"/>
      <c r="AD2912" s="11" t="str">
        <f>IFERROR(__xludf.DUMMYFUNCTION("""COMPUTED_VALUE"""),"Peter Vaughan")</f>
        <v>Peter Vaughan</v>
      </c>
      <c r="AE2912" s="11"/>
    </row>
    <row r="2913" customHeight="1" spans="1:31">
      <c r="A2913" s="12" t="s">
        <v>30</v>
      </c>
      <c r="B2913" s="12" t="s">
        <v>13983</v>
      </c>
      <c r="C2913" s="12">
        <v>391</v>
      </c>
      <c r="D2913" s="12">
        <v>105</v>
      </c>
      <c r="E2913" s="12">
        <v>20</v>
      </c>
      <c r="F2913" s="12">
        <v>844</v>
      </c>
      <c r="G2913" s="12">
        <v>22000</v>
      </c>
      <c r="H2913" s="12">
        <v>26589953</v>
      </c>
      <c r="I2913" s="12" t="s">
        <v>334</v>
      </c>
      <c r="J2913" s="12" t="s">
        <v>1746</v>
      </c>
      <c r="K2913" s="12" t="s">
        <v>1121</v>
      </c>
      <c r="L2913" s="12" t="s">
        <v>3299</v>
      </c>
      <c r="M2913" s="12" t="s">
        <v>13984</v>
      </c>
      <c r="N2913" s="12">
        <v>165792</v>
      </c>
      <c r="O2913" s="12">
        <v>26233</v>
      </c>
      <c r="P2913" s="12">
        <v>1</v>
      </c>
      <c r="Q2913" s="12" t="s">
        <v>13985</v>
      </c>
      <c r="R2913" s="15" t="s">
        <v>13986</v>
      </c>
      <c r="S2913" s="12">
        <v>392</v>
      </c>
      <c r="T2913" s="12" t="s">
        <v>39</v>
      </c>
      <c r="U2913" s="12" t="s">
        <v>40</v>
      </c>
      <c r="V2913" s="12" t="s">
        <v>586</v>
      </c>
      <c r="W2913" s="12">
        <v>10500000</v>
      </c>
      <c r="X2913" s="12">
        <v>2010</v>
      </c>
      <c r="Y2913" s="12">
        <v>982</v>
      </c>
      <c r="Z2913" s="12">
        <v>6.7</v>
      </c>
      <c r="AA2913" s="12">
        <v>1.85</v>
      </c>
      <c r="AB2913" s="12">
        <v>44000</v>
      </c>
      <c r="AC2913" s="12"/>
      <c r="AD2913" s="12" t="str">
        <f>IFERROR(__xludf.DUMMYFUNCTION("""COMPUTED_VALUE"""),"George Coulouris")</f>
        <v>George Coulouris</v>
      </c>
      <c r="AE2913" s="12"/>
    </row>
    <row r="2914" customHeight="1" spans="1:31">
      <c r="A2914" s="11" t="s">
        <v>30</v>
      </c>
      <c r="B2914" s="11" t="s">
        <v>13987</v>
      </c>
      <c r="C2914" s="11">
        <v>117</v>
      </c>
      <c r="D2914" s="11">
        <v>108</v>
      </c>
      <c r="E2914" s="11">
        <v>60</v>
      </c>
      <c r="F2914" s="11">
        <v>168</v>
      </c>
      <c r="G2914" s="11">
        <v>18000</v>
      </c>
      <c r="H2914" s="11">
        <v>1039869</v>
      </c>
      <c r="I2914" s="11" t="s">
        <v>1832</v>
      </c>
      <c r="J2914" s="11" t="s">
        <v>120</v>
      </c>
      <c r="K2914" s="11" t="s">
        <v>6353</v>
      </c>
      <c r="L2914" s="11" t="s">
        <v>13988</v>
      </c>
      <c r="M2914" s="11" t="s">
        <v>13989</v>
      </c>
      <c r="N2914" s="11">
        <v>14757</v>
      </c>
      <c r="O2914" s="11">
        <v>18739</v>
      </c>
      <c r="P2914" s="11">
        <v>5</v>
      </c>
      <c r="Q2914" s="11" t="s">
        <v>13990</v>
      </c>
      <c r="R2914" s="14" t="s">
        <v>13991</v>
      </c>
      <c r="S2914" s="11">
        <v>51</v>
      </c>
      <c r="T2914" s="11" t="s">
        <v>39</v>
      </c>
      <c r="U2914" s="11" t="s">
        <v>269</v>
      </c>
      <c r="V2914" s="11" t="s">
        <v>586</v>
      </c>
      <c r="W2914" s="11">
        <v>15000000</v>
      </c>
      <c r="X2914" s="11">
        <v>2010</v>
      </c>
      <c r="Y2914" s="11">
        <v>322</v>
      </c>
      <c r="Z2914" s="11">
        <v>6.2</v>
      </c>
      <c r="AA2914" s="11">
        <v>2.35</v>
      </c>
      <c r="AB2914" s="11">
        <v>0</v>
      </c>
      <c r="AC2914" s="11"/>
      <c r="AD2914" s="11" t="str">
        <f>IFERROR(__xludf.DUMMYFUNCTION("""COMPUTED_VALUE"""),"Ewen Solon")</f>
        <v>Ewen Solon</v>
      </c>
      <c r="AE2914" s="11"/>
    </row>
    <row r="2915" customHeight="1" spans="1:31">
      <c r="A2915" s="12" t="s">
        <v>30</v>
      </c>
      <c r="B2915" s="12" t="s">
        <v>3155</v>
      </c>
      <c r="C2915" s="12">
        <v>24</v>
      </c>
      <c r="D2915" s="12">
        <v>69</v>
      </c>
      <c r="E2915" s="12">
        <v>383</v>
      </c>
      <c r="F2915" s="12">
        <v>191</v>
      </c>
      <c r="G2915" s="12">
        <v>912</v>
      </c>
      <c r="H2915" s="12">
        <v>48092846</v>
      </c>
      <c r="I2915" s="12" t="s">
        <v>2831</v>
      </c>
      <c r="J2915" s="12" t="s">
        <v>10261</v>
      </c>
      <c r="K2915" s="12" t="s">
        <v>13992</v>
      </c>
      <c r="L2915" s="12" t="s">
        <v>13993</v>
      </c>
      <c r="M2915" s="12" t="s">
        <v>13994</v>
      </c>
      <c r="N2915" s="12">
        <v>61753</v>
      </c>
      <c r="O2915" s="12">
        <v>1833</v>
      </c>
      <c r="P2915" s="12">
        <v>0</v>
      </c>
      <c r="Q2915" s="12" t="s">
        <v>13995</v>
      </c>
      <c r="R2915" s="15" t="s">
        <v>13996</v>
      </c>
      <c r="S2915" s="12">
        <v>133</v>
      </c>
      <c r="T2915" s="12" t="s">
        <v>39</v>
      </c>
      <c r="U2915" s="12" t="s">
        <v>40</v>
      </c>
      <c r="V2915" s="12" t="s">
        <v>278</v>
      </c>
      <c r="W2915" s="12">
        <v>12500000</v>
      </c>
      <c r="X2915" s="12">
        <v>1988</v>
      </c>
      <c r="Y2915" s="12">
        <v>320</v>
      </c>
      <c r="Z2915" s="12">
        <v>7.3</v>
      </c>
      <c r="AA2915" s="12">
        <v>1.33</v>
      </c>
      <c r="AB2915" s="12">
        <v>5000</v>
      </c>
      <c r="AC2915" s="12"/>
      <c r="AD2915" s="12" t="str">
        <f>IFERROR(__xludf.DUMMYFUNCTION("""COMPUTED_VALUE"""),"Tom Conti")</f>
        <v>Tom Conti</v>
      </c>
      <c r="AE2915" s="12"/>
    </row>
    <row r="2916" customHeight="1" spans="1:31">
      <c r="A2916" s="11" t="s">
        <v>30</v>
      </c>
      <c r="B2916" s="11" t="s">
        <v>13997</v>
      </c>
      <c r="C2916" s="11">
        <v>86</v>
      </c>
      <c r="D2916" s="11">
        <v>148</v>
      </c>
      <c r="E2916" s="11">
        <v>16</v>
      </c>
      <c r="F2916" s="11">
        <v>489</v>
      </c>
      <c r="G2916" s="11">
        <v>717</v>
      </c>
      <c r="H2916" s="11">
        <v>1110186</v>
      </c>
      <c r="I2916" s="11" t="s">
        <v>1467</v>
      </c>
      <c r="J2916" s="11" t="s">
        <v>13998</v>
      </c>
      <c r="K2916" s="11" t="s">
        <v>13999</v>
      </c>
      <c r="L2916" s="11" t="s">
        <v>6185</v>
      </c>
      <c r="M2916" s="11" t="s">
        <v>14000</v>
      </c>
      <c r="N2916" s="11">
        <v>31943</v>
      </c>
      <c r="O2916" s="11">
        <v>1730</v>
      </c>
      <c r="P2916" s="11">
        <v>2</v>
      </c>
      <c r="Q2916" s="11" t="s">
        <v>14001</v>
      </c>
      <c r="R2916" s="14" t="s">
        <v>14002</v>
      </c>
      <c r="S2916" s="11">
        <v>224</v>
      </c>
      <c r="T2916" s="11" t="s">
        <v>12701</v>
      </c>
      <c r="U2916" s="11" t="s">
        <v>5695</v>
      </c>
      <c r="V2916" s="11" t="s">
        <v>586</v>
      </c>
      <c r="W2916" s="11">
        <v>12800000</v>
      </c>
      <c r="X2916" s="11">
        <v>2004</v>
      </c>
      <c r="Y2916" s="11">
        <v>517</v>
      </c>
      <c r="Z2916" s="11">
        <v>8.1</v>
      </c>
      <c r="AA2916" s="11">
        <v>2.35</v>
      </c>
      <c r="AB2916" s="11">
        <v>0</v>
      </c>
      <c r="AC2916" s="11"/>
      <c r="AD2916" s="11" t="str">
        <f>IFERROR(__xludf.DUMMYFUNCTION("""COMPUTED_VALUE"""),"Aaron Ashmore")</f>
        <v>Aaron Ashmore</v>
      </c>
      <c r="AE2916" s="11"/>
    </row>
    <row r="2917" customHeight="1" spans="1:31">
      <c r="A2917" s="12" t="s">
        <v>748</v>
      </c>
      <c r="B2917" s="12" t="s">
        <v>14003</v>
      </c>
      <c r="C2917" s="12">
        <v>41</v>
      </c>
      <c r="D2917" s="12">
        <v>118</v>
      </c>
      <c r="E2917" s="12">
        <v>50</v>
      </c>
      <c r="F2917" s="12">
        <v>655</v>
      </c>
      <c r="G2917" s="12">
        <v>968</v>
      </c>
      <c r="H2917" s="12">
        <v>1089445</v>
      </c>
      <c r="I2917" s="12" t="s">
        <v>7445</v>
      </c>
      <c r="J2917" s="12" t="s">
        <v>381</v>
      </c>
      <c r="K2917" s="12" t="s">
        <v>3299</v>
      </c>
      <c r="L2917" s="12" t="s">
        <v>2285</v>
      </c>
      <c r="M2917" s="12" t="s">
        <v>14004</v>
      </c>
      <c r="N2917" s="12">
        <v>2676</v>
      </c>
      <c r="O2917" s="12">
        <v>4270</v>
      </c>
      <c r="P2917" s="12">
        <v>0</v>
      </c>
      <c r="Q2917" s="12" t="s">
        <v>14005</v>
      </c>
      <c r="R2917" s="15" t="s">
        <v>14006</v>
      </c>
      <c r="S2917" s="12">
        <v>33</v>
      </c>
      <c r="T2917" s="12" t="s">
        <v>39</v>
      </c>
      <c r="U2917" s="12" t="s">
        <v>269</v>
      </c>
      <c r="V2917" s="12" t="s">
        <v>96</v>
      </c>
      <c r="W2917" s="12">
        <v>12500000</v>
      </c>
      <c r="X2917" s="12">
        <v>2009</v>
      </c>
      <c r="Y2917" s="12">
        <v>844</v>
      </c>
      <c r="Z2917" s="12">
        <v>7</v>
      </c>
      <c r="AA2917" s="12">
        <v>2.35</v>
      </c>
      <c r="AB2917" s="12">
        <v>0</v>
      </c>
      <c r="AC2917" s="12"/>
      <c r="AD2917" s="12" t="str">
        <f>IFERROR(__xludf.DUMMYFUNCTION("""COMPUTED_VALUE"""),"Necar Zadegan")</f>
        <v>Necar Zadegan</v>
      </c>
      <c r="AE2917" s="12"/>
    </row>
    <row r="2918" customHeight="1" spans="1:31">
      <c r="A2918" s="11" t="s">
        <v>30</v>
      </c>
      <c r="B2918" s="11" t="s">
        <v>4734</v>
      </c>
      <c r="C2918" s="11">
        <v>304</v>
      </c>
      <c r="D2918" s="11">
        <v>132</v>
      </c>
      <c r="E2918" s="11">
        <v>607</v>
      </c>
      <c r="F2918" s="11">
        <v>259</v>
      </c>
      <c r="G2918" s="11">
        <v>1000</v>
      </c>
      <c r="H2918" s="11">
        <v>204565000</v>
      </c>
      <c r="I2918" s="11" t="s">
        <v>6403</v>
      </c>
      <c r="J2918" s="11" t="s">
        <v>7764</v>
      </c>
      <c r="K2918" s="11" t="s">
        <v>13441</v>
      </c>
      <c r="L2918" s="11" t="s">
        <v>14007</v>
      </c>
      <c r="M2918" s="11" t="s">
        <v>14008</v>
      </c>
      <c r="N2918" s="11">
        <v>284252</v>
      </c>
      <c r="O2918" s="11">
        <v>2466</v>
      </c>
      <c r="P2918" s="11">
        <v>0</v>
      </c>
      <c r="Q2918" s="11" t="s">
        <v>14009</v>
      </c>
      <c r="R2918" s="14" t="s">
        <v>14010</v>
      </c>
      <c r="S2918" s="11">
        <v>1058</v>
      </c>
      <c r="T2918" s="11" t="s">
        <v>39</v>
      </c>
      <c r="U2918" s="11" t="s">
        <v>40</v>
      </c>
      <c r="V2918" s="11" t="s">
        <v>586</v>
      </c>
      <c r="W2918" s="11">
        <v>8000000</v>
      </c>
      <c r="X2918" s="11">
        <v>1973</v>
      </c>
      <c r="Y2918" s="11">
        <v>931</v>
      </c>
      <c r="Z2918" s="11">
        <v>8</v>
      </c>
      <c r="AA2918" s="11">
        <v>1.37</v>
      </c>
      <c r="AB2918" s="11">
        <v>18000</v>
      </c>
      <c r="AC2918" s="11"/>
      <c r="AD2918" s="11" t="str">
        <f>IFERROR(__xludf.DUMMYFUNCTION("""COMPUTED_VALUE"""),"Traci Dinwiddie")</f>
        <v>Traci Dinwiddie</v>
      </c>
      <c r="AE2918" s="11"/>
    </row>
    <row r="2919" customHeight="1" spans="1:31">
      <c r="A2919" s="12" t="s">
        <v>30</v>
      </c>
      <c r="B2919" s="12" t="s">
        <v>390</v>
      </c>
      <c r="C2919" s="12">
        <v>385</v>
      </c>
      <c r="D2919" s="12">
        <v>130</v>
      </c>
      <c r="E2919" s="12">
        <v>14000</v>
      </c>
      <c r="F2919" s="12">
        <v>366</v>
      </c>
      <c r="G2919" s="12">
        <v>813</v>
      </c>
      <c r="H2919" s="12">
        <v>260000000</v>
      </c>
      <c r="I2919" s="12" t="s">
        <v>1827</v>
      </c>
      <c r="J2919" s="12" t="s">
        <v>2443</v>
      </c>
      <c r="K2919" s="12" t="s">
        <v>14011</v>
      </c>
      <c r="L2919" s="12" t="s">
        <v>10675</v>
      </c>
      <c r="M2919" s="12" t="s">
        <v>14012</v>
      </c>
      <c r="N2919" s="12">
        <v>412454</v>
      </c>
      <c r="O2919" s="12">
        <v>2047</v>
      </c>
      <c r="P2919" s="12">
        <v>0</v>
      </c>
      <c r="Q2919" s="12" t="s">
        <v>14013</v>
      </c>
      <c r="R2919" s="15" t="s">
        <v>14014</v>
      </c>
      <c r="S2919" s="12">
        <v>962</v>
      </c>
      <c r="T2919" s="12" t="s">
        <v>39</v>
      </c>
      <c r="U2919" s="12" t="s">
        <v>40</v>
      </c>
      <c r="V2919" s="12" t="s">
        <v>96</v>
      </c>
      <c r="W2919" s="12">
        <v>8000000</v>
      </c>
      <c r="X2919" s="12">
        <v>1975</v>
      </c>
      <c r="Y2919" s="12">
        <v>559</v>
      </c>
      <c r="Z2919" s="12">
        <v>8</v>
      </c>
      <c r="AA2919" s="12">
        <v>2.35</v>
      </c>
      <c r="AB2919" s="12">
        <v>21000</v>
      </c>
      <c r="AC2919" s="12"/>
      <c r="AD2919" s="12" t="str">
        <f>IFERROR(__xludf.DUMMYFUNCTION("""COMPUTED_VALUE"""),"Elea Oberon")</f>
        <v>Elea Oberon</v>
      </c>
      <c r="AE2919" s="12"/>
    </row>
    <row r="2920" customHeight="1" spans="1:31">
      <c r="A2920" s="11" t="s">
        <v>30</v>
      </c>
      <c r="B2920" s="11" t="s">
        <v>1745</v>
      </c>
      <c r="C2920" s="11">
        <v>145</v>
      </c>
      <c r="D2920" s="11">
        <v>95</v>
      </c>
      <c r="E2920" s="11">
        <v>80</v>
      </c>
      <c r="F2920" s="11">
        <v>1000</v>
      </c>
      <c r="G2920" s="11">
        <v>3000</v>
      </c>
      <c r="H2920" s="11">
        <v>101736215</v>
      </c>
      <c r="I2920" s="11" t="s">
        <v>1672</v>
      </c>
      <c r="J2920" s="11" t="s">
        <v>4599</v>
      </c>
      <c r="K2920" s="11" t="s">
        <v>7580</v>
      </c>
      <c r="L2920" s="11" t="s">
        <v>3752</v>
      </c>
      <c r="M2920" s="11" t="s">
        <v>14015</v>
      </c>
      <c r="N2920" s="11">
        <v>315549</v>
      </c>
      <c r="O2920" s="11">
        <v>8134</v>
      </c>
      <c r="P2920" s="11">
        <v>6</v>
      </c>
      <c r="Q2920" s="11" t="s">
        <v>14016</v>
      </c>
      <c r="R2920" s="14" t="s">
        <v>14017</v>
      </c>
      <c r="S2920" s="11">
        <v>789</v>
      </c>
      <c r="T2920" s="11" t="s">
        <v>39</v>
      </c>
      <c r="U2920" s="11" t="s">
        <v>40</v>
      </c>
      <c r="V2920" s="11" t="s">
        <v>586</v>
      </c>
      <c r="W2920" s="11">
        <v>11000000</v>
      </c>
      <c r="X2920" s="11">
        <v>1999</v>
      </c>
      <c r="Y2920" s="11">
        <v>1000</v>
      </c>
      <c r="Z2920" s="11">
        <v>7</v>
      </c>
      <c r="AA2920" s="11">
        <v>1.85</v>
      </c>
      <c r="AB2920" s="11">
        <v>0</v>
      </c>
      <c r="AC2920" s="11"/>
      <c r="AD2920" s="11" t="str">
        <f>IFERROR(__xludf.DUMMYFUNCTION("""COMPUTED_VALUE"""),"Sammo Kam-Bo Hung")</f>
        <v>Sammo Kam-Bo Hung</v>
      </c>
      <c r="AE2920" s="11"/>
    </row>
    <row r="2921" customHeight="1" spans="1:31">
      <c r="A2921" s="12" t="s">
        <v>30</v>
      </c>
      <c r="B2921" s="12" t="s">
        <v>14018</v>
      </c>
      <c r="C2921" s="12">
        <v>99</v>
      </c>
      <c r="D2921" s="12">
        <v>80</v>
      </c>
      <c r="E2921" s="12">
        <v>2</v>
      </c>
      <c r="F2921" s="12">
        <v>186</v>
      </c>
      <c r="G2921" s="12">
        <v>6000</v>
      </c>
      <c r="H2921" s="12">
        <v>71442</v>
      </c>
      <c r="I2921" s="12" t="s">
        <v>14019</v>
      </c>
      <c r="J2921" s="12" t="s">
        <v>662</v>
      </c>
      <c r="K2921" s="12" t="s">
        <v>3180</v>
      </c>
      <c r="L2921" s="12" t="s">
        <v>14020</v>
      </c>
      <c r="M2921" s="12" t="s">
        <v>14021</v>
      </c>
      <c r="N2921" s="12">
        <v>12029</v>
      </c>
      <c r="O2921" s="12">
        <v>6829</v>
      </c>
      <c r="P2921" s="12">
        <v>0</v>
      </c>
      <c r="Q2921" s="12" t="s">
        <v>14022</v>
      </c>
      <c r="R2921" s="15" t="s">
        <v>14023</v>
      </c>
      <c r="S2921" s="12">
        <v>32</v>
      </c>
      <c r="T2921" s="12" t="s">
        <v>1465</v>
      </c>
      <c r="U2921" s="12" t="s">
        <v>1466</v>
      </c>
      <c r="V2921" s="12" t="s">
        <v>96</v>
      </c>
      <c r="W2921" s="12">
        <v>9600000</v>
      </c>
      <c r="X2921" s="12">
        <v>2012</v>
      </c>
      <c r="Y2921" s="12">
        <v>637</v>
      </c>
      <c r="Z2921" s="12">
        <v>7.9</v>
      </c>
      <c r="AA2921" s="12">
        <v>1.85</v>
      </c>
      <c r="AB2921" s="12">
        <v>0</v>
      </c>
      <c r="AC2921" s="12"/>
      <c r="AD2921" s="12" t="str">
        <f>IFERROR(__xludf.DUMMYFUNCTION("""COMPUTED_VALUE"""),"Andy On")</f>
        <v>Andy On</v>
      </c>
      <c r="AE2921" s="12"/>
    </row>
    <row r="2922" customHeight="1" spans="1:31">
      <c r="A2922" s="11" t="s">
        <v>30</v>
      </c>
      <c r="B2922" s="11" t="s">
        <v>7444</v>
      </c>
      <c r="C2922" s="11">
        <v>29</v>
      </c>
      <c r="D2922" s="11">
        <v>94</v>
      </c>
      <c r="E2922" s="11">
        <v>23</v>
      </c>
      <c r="F2922" s="11">
        <v>148</v>
      </c>
      <c r="G2922" s="11">
        <v>400</v>
      </c>
      <c r="H2922" s="11">
        <v>79817937</v>
      </c>
      <c r="I2922" s="11" t="s">
        <v>14024</v>
      </c>
      <c r="J2922" s="11" t="s">
        <v>3432</v>
      </c>
      <c r="K2922" s="11" t="s">
        <v>5680</v>
      </c>
      <c r="L2922" s="11" t="s">
        <v>14025</v>
      </c>
      <c r="M2922" s="11" t="s">
        <v>14026</v>
      </c>
      <c r="N2922" s="11">
        <v>39798</v>
      </c>
      <c r="O2922" s="11">
        <v>1044</v>
      </c>
      <c r="P2922" s="11">
        <v>1</v>
      </c>
      <c r="Q2922" s="11" t="s">
        <v>14027</v>
      </c>
      <c r="R2922" s="14" t="s">
        <v>14028</v>
      </c>
      <c r="S2922" s="11">
        <v>69</v>
      </c>
      <c r="T2922" s="11" t="s">
        <v>39</v>
      </c>
      <c r="U2922" s="11" t="s">
        <v>40</v>
      </c>
      <c r="V2922" s="11" t="s">
        <v>41</v>
      </c>
      <c r="W2922" s="11">
        <v>25000000</v>
      </c>
      <c r="X2922" s="11">
        <v>1986</v>
      </c>
      <c r="Y2922" s="11">
        <v>255</v>
      </c>
      <c r="Z2922" s="11">
        <v>5.9</v>
      </c>
      <c r="AA2922" s="11">
        <v>1.85</v>
      </c>
      <c r="AB2922" s="11">
        <v>0</v>
      </c>
      <c r="AC2922" s="11"/>
      <c r="AD2922" s="11" t="str">
        <f>IFERROR(__xludf.DUMMYFUNCTION("""COMPUTED_VALUE"""),"Mani Bharathi")</f>
        <v>Mani Bharathi</v>
      </c>
      <c r="AE2922" s="11"/>
    </row>
    <row r="2923" customHeight="1" spans="1:31">
      <c r="A2923" s="12" t="s">
        <v>30</v>
      </c>
      <c r="B2923" s="12" t="s">
        <v>1352</v>
      </c>
      <c r="C2923" s="12">
        <v>77</v>
      </c>
      <c r="D2923" s="12">
        <v>122</v>
      </c>
      <c r="E2923" s="12">
        <v>167</v>
      </c>
      <c r="F2923" s="12">
        <v>807</v>
      </c>
      <c r="G2923" s="12">
        <v>997</v>
      </c>
      <c r="H2923" s="12">
        <v>91547205</v>
      </c>
      <c r="I2923" s="12" t="s">
        <v>1681</v>
      </c>
      <c r="J2923" s="12" t="s">
        <v>11301</v>
      </c>
      <c r="K2923" s="12" t="s">
        <v>3899</v>
      </c>
      <c r="L2923" s="12" t="s">
        <v>5704</v>
      </c>
      <c r="M2923" s="12" t="s">
        <v>14029</v>
      </c>
      <c r="N2923" s="12">
        <v>34579</v>
      </c>
      <c r="O2923" s="12">
        <v>5165</v>
      </c>
      <c r="P2923" s="12">
        <v>8</v>
      </c>
      <c r="Q2923" s="12" t="s">
        <v>14030</v>
      </c>
      <c r="R2923" s="15" t="s">
        <v>14031</v>
      </c>
      <c r="S2923" s="12">
        <v>62</v>
      </c>
      <c r="T2923" s="12" t="s">
        <v>39</v>
      </c>
      <c r="U2923" s="12" t="s">
        <v>40</v>
      </c>
      <c r="V2923" s="12" t="s">
        <v>41</v>
      </c>
      <c r="W2923" s="12">
        <v>12000000</v>
      </c>
      <c r="X2923" s="12">
        <v>2012</v>
      </c>
      <c r="Y2923" s="12">
        <v>966</v>
      </c>
      <c r="Z2923" s="12">
        <v>6.6</v>
      </c>
      <c r="AA2923" s="12">
        <v>2.35</v>
      </c>
      <c r="AB2923" s="12">
        <v>0</v>
      </c>
      <c r="AC2923" s="12"/>
      <c r="AD2923" s="12" t="str">
        <f>IFERROR(__xludf.DUMMYFUNCTION("""COMPUTED_VALUE"""),"Michael Lieber")</f>
        <v>Michael Lieber</v>
      </c>
      <c r="AE2923" s="12"/>
    </row>
    <row r="2924" customHeight="1" spans="1:31">
      <c r="A2924" s="11" t="s">
        <v>30</v>
      </c>
      <c r="B2924" s="11" t="s">
        <v>1352</v>
      </c>
      <c r="C2924" s="11">
        <v>91</v>
      </c>
      <c r="D2924" s="11">
        <v>102</v>
      </c>
      <c r="E2924" s="11">
        <v>167</v>
      </c>
      <c r="F2924" s="11">
        <v>436</v>
      </c>
      <c r="G2924" s="11">
        <v>656</v>
      </c>
      <c r="H2924" s="11">
        <v>75074950</v>
      </c>
      <c r="I2924" s="11" t="s">
        <v>2528</v>
      </c>
      <c r="J2924" s="11" t="s">
        <v>11758</v>
      </c>
      <c r="K2924" s="11" t="s">
        <v>9293</v>
      </c>
      <c r="L2924" s="11" t="s">
        <v>806</v>
      </c>
      <c r="M2924" s="11" t="s">
        <v>14032</v>
      </c>
      <c r="N2924" s="11">
        <v>22147</v>
      </c>
      <c r="O2924" s="11">
        <v>2754</v>
      </c>
      <c r="P2924" s="11">
        <v>0</v>
      </c>
      <c r="Q2924" s="11" t="s">
        <v>14033</v>
      </c>
      <c r="R2924" s="14" t="s">
        <v>14034</v>
      </c>
      <c r="S2924" s="11">
        <v>156</v>
      </c>
      <c r="T2924" s="11" t="s">
        <v>39</v>
      </c>
      <c r="U2924" s="11" t="s">
        <v>40</v>
      </c>
      <c r="V2924" s="11" t="s">
        <v>41</v>
      </c>
      <c r="W2924" s="11">
        <v>12000000</v>
      </c>
      <c r="X2924" s="11">
        <v>2002</v>
      </c>
      <c r="Y2924" s="11">
        <v>528</v>
      </c>
      <c r="Z2924" s="11">
        <v>6.3</v>
      </c>
      <c r="AA2924" s="11">
        <v>1.85</v>
      </c>
      <c r="AB2924" s="11">
        <v>770</v>
      </c>
      <c r="AC2924" s="11"/>
      <c r="AD2924" s="11" t="str">
        <f>IFERROR(__xludf.DUMMYFUNCTION("""COMPUTED_VALUE"""),"Kevin McGowan")</f>
        <v>Kevin McGowan</v>
      </c>
      <c r="AE2924" s="11"/>
    </row>
    <row r="2925" customHeight="1" spans="1:31">
      <c r="A2925" s="12" t="s">
        <v>30</v>
      </c>
      <c r="B2925" s="12" t="s">
        <v>9086</v>
      </c>
      <c r="C2925" s="12">
        <v>148</v>
      </c>
      <c r="D2925" s="12">
        <v>116</v>
      </c>
      <c r="E2925" s="12">
        <v>120</v>
      </c>
      <c r="F2925" s="12">
        <v>664</v>
      </c>
      <c r="G2925" s="12">
        <v>12000</v>
      </c>
      <c r="H2925" s="12">
        <v>78900000</v>
      </c>
      <c r="I2925" s="12" t="s">
        <v>73</v>
      </c>
      <c r="J2925" s="12" t="s">
        <v>1029</v>
      </c>
      <c r="K2925" s="12" t="s">
        <v>9348</v>
      </c>
      <c r="L2925" s="12" t="s">
        <v>7283</v>
      </c>
      <c r="M2925" s="12" t="s">
        <v>14035</v>
      </c>
      <c r="N2925" s="12">
        <v>91414</v>
      </c>
      <c r="O2925" s="12">
        <v>16539</v>
      </c>
      <c r="P2925" s="12">
        <v>2</v>
      </c>
      <c r="Q2925" s="12" t="s">
        <v>14036</v>
      </c>
      <c r="R2925" s="15" t="s">
        <v>14037</v>
      </c>
      <c r="S2925" s="12">
        <v>359</v>
      </c>
      <c r="T2925" s="12" t="s">
        <v>39</v>
      </c>
      <c r="U2925" s="12" t="s">
        <v>40</v>
      </c>
      <c r="V2925" s="12" t="s">
        <v>96</v>
      </c>
      <c r="W2925" s="12">
        <v>11000000</v>
      </c>
      <c r="X2925" s="12">
        <v>1982</v>
      </c>
      <c r="Y2925" s="12">
        <v>980</v>
      </c>
      <c r="Z2925" s="12">
        <v>7.7</v>
      </c>
      <c r="AA2925" s="12">
        <v>2.35</v>
      </c>
      <c r="AB2925" s="12">
        <v>0</v>
      </c>
      <c r="AC2925" s="12"/>
      <c r="AD2925" s="12" t="str">
        <f>IFERROR(__xludf.DUMMYFUNCTION("""COMPUTED_VALUE"""),"Joey D. Vieira")</f>
        <v>Joey D. Vieira</v>
      </c>
      <c r="AE2925" s="12"/>
    </row>
    <row r="2926" customHeight="1" spans="1:31">
      <c r="A2926" s="11" t="s">
        <v>30</v>
      </c>
      <c r="B2926" s="11" t="s">
        <v>515</v>
      </c>
      <c r="C2926" s="11">
        <v>61</v>
      </c>
      <c r="D2926" s="11">
        <v>78</v>
      </c>
      <c r="E2926" s="11">
        <v>293</v>
      </c>
      <c r="F2926" s="11">
        <v>567</v>
      </c>
      <c r="G2926" s="11">
        <v>759</v>
      </c>
      <c r="H2926" s="11">
        <v>72217000</v>
      </c>
      <c r="I2926" s="11" t="s">
        <v>1672</v>
      </c>
      <c r="J2926" s="11" t="s">
        <v>8960</v>
      </c>
      <c r="K2926" s="11" t="s">
        <v>1823</v>
      </c>
      <c r="L2926" s="11" t="s">
        <v>11953</v>
      </c>
      <c r="M2926" s="11" t="s">
        <v>14038</v>
      </c>
      <c r="N2926" s="11">
        <v>216486</v>
      </c>
      <c r="O2926" s="11">
        <v>2462</v>
      </c>
      <c r="P2926" s="11">
        <v>1</v>
      </c>
      <c r="Q2926" s="11" t="s">
        <v>14039</v>
      </c>
      <c r="R2926" s="14" t="s">
        <v>14040</v>
      </c>
      <c r="S2926" s="11">
        <v>242</v>
      </c>
      <c r="T2926" s="11" t="s">
        <v>39</v>
      </c>
      <c r="U2926" s="11" t="s">
        <v>40</v>
      </c>
      <c r="V2926" s="11" t="s">
        <v>41</v>
      </c>
      <c r="W2926" s="11">
        <v>12000000</v>
      </c>
      <c r="X2926" s="11">
        <v>1994</v>
      </c>
      <c r="Y2926" s="11">
        <v>595</v>
      </c>
      <c r="Z2926" s="11">
        <v>6.9</v>
      </c>
      <c r="AA2926" s="11">
        <v>1.85</v>
      </c>
      <c r="AB2926" s="11">
        <v>0</v>
      </c>
      <c r="AC2926" s="11"/>
      <c r="AD2926" s="11" t="str">
        <f>IFERROR(__xludf.DUMMYFUNCTION("""COMPUTED_VALUE"""),"Maggie Wheeler")</f>
        <v>Maggie Wheeler</v>
      </c>
      <c r="AE2926" s="11"/>
    </row>
    <row r="2927" customHeight="1" spans="1:31">
      <c r="A2927" s="12" t="s">
        <v>30</v>
      </c>
      <c r="B2927" s="12" t="s">
        <v>14041</v>
      </c>
      <c r="C2927" s="12">
        <v>84</v>
      </c>
      <c r="D2927" s="12">
        <v>114</v>
      </c>
      <c r="E2927" s="12">
        <v>139</v>
      </c>
      <c r="F2927" s="12">
        <v>793</v>
      </c>
      <c r="G2927" s="12">
        <v>2000</v>
      </c>
      <c r="H2927" s="12">
        <v>79568000</v>
      </c>
      <c r="I2927" s="12" t="s">
        <v>2954</v>
      </c>
      <c r="J2927" s="12" t="s">
        <v>902</v>
      </c>
      <c r="K2927" s="12" t="s">
        <v>4545</v>
      </c>
      <c r="L2927" s="12" t="s">
        <v>14042</v>
      </c>
      <c r="M2927" s="12" t="s">
        <v>14043</v>
      </c>
      <c r="N2927" s="12">
        <v>71842</v>
      </c>
      <c r="O2927" s="12">
        <v>4537</v>
      </c>
      <c r="P2927" s="12">
        <v>0</v>
      </c>
      <c r="Q2927" s="12" t="s">
        <v>14044</v>
      </c>
      <c r="R2927" s="15" t="s">
        <v>14045</v>
      </c>
      <c r="S2927" s="12">
        <v>152</v>
      </c>
      <c r="T2927" s="12" t="s">
        <v>39</v>
      </c>
      <c r="U2927" s="12" t="s">
        <v>40</v>
      </c>
      <c r="V2927" s="12" t="s">
        <v>96</v>
      </c>
      <c r="W2927" s="12">
        <v>12000000</v>
      </c>
      <c r="X2927" s="12">
        <v>1983</v>
      </c>
      <c r="Y2927" s="12">
        <v>883</v>
      </c>
      <c r="Z2927" s="12">
        <v>7.1</v>
      </c>
      <c r="AA2927" s="12">
        <v>1.85</v>
      </c>
      <c r="AB2927" s="12">
        <v>0</v>
      </c>
      <c r="AC2927" s="12"/>
      <c r="AD2927" s="12" t="str">
        <f>IFERROR(__xludf.DUMMYFUNCTION("""COMPUTED_VALUE"""),"Jacqueline Lovell")</f>
        <v>Jacqueline Lovell</v>
      </c>
      <c r="AE2927" s="12"/>
    </row>
    <row r="2928" customHeight="1" spans="1:31">
      <c r="A2928" s="11" t="s">
        <v>30</v>
      </c>
      <c r="B2928" s="11" t="s">
        <v>1097</v>
      </c>
      <c r="C2928" s="11">
        <v>83</v>
      </c>
      <c r="D2928" s="11">
        <v>112</v>
      </c>
      <c r="E2928" s="11">
        <v>608</v>
      </c>
      <c r="F2928" s="11">
        <v>733</v>
      </c>
      <c r="G2928" s="11">
        <v>11000</v>
      </c>
      <c r="H2928" s="11">
        <v>65500000</v>
      </c>
      <c r="I2928" s="11" t="s">
        <v>5275</v>
      </c>
      <c r="J2928" s="11" t="s">
        <v>391</v>
      </c>
      <c r="K2928" s="11" t="s">
        <v>2825</v>
      </c>
      <c r="L2928" s="11" t="s">
        <v>1136</v>
      </c>
      <c r="M2928" s="11" t="s">
        <v>14046</v>
      </c>
      <c r="N2928" s="11">
        <v>66966</v>
      </c>
      <c r="O2928" s="11">
        <v>22479</v>
      </c>
      <c r="P2928" s="11">
        <v>1</v>
      </c>
      <c r="Q2928" s="11" t="s">
        <v>14047</v>
      </c>
      <c r="R2928" s="14" t="s">
        <v>14048</v>
      </c>
      <c r="S2928" s="11">
        <v>175</v>
      </c>
      <c r="T2928" s="11" t="s">
        <v>39</v>
      </c>
      <c r="U2928" s="11" t="s">
        <v>40</v>
      </c>
      <c r="V2928" s="11" t="s">
        <v>586</v>
      </c>
      <c r="W2928" s="11">
        <v>12000000</v>
      </c>
      <c r="X2928" s="11">
        <v>1985</v>
      </c>
      <c r="Y2928" s="11">
        <v>10000</v>
      </c>
      <c r="Z2928" s="11">
        <v>7.4</v>
      </c>
      <c r="AA2928" s="11">
        <v>1.85</v>
      </c>
      <c r="AB2928" s="11">
        <v>0</v>
      </c>
      <c r="AC2928" s="11"/>
      <c r="AD2928" s="11" t="str">
        <f>IFERROR(__xludf.DUMMYFUNCTION("""COMPUTED_VALUE"""),"Alan David")</f>
        <v>Alan David</v>
      </c>
      <c r="AE2928" s="11"/>
    </row>
    <row r="2929" customHeight="1" spans="1:31">
      <c r="A2929" s="12" t="s">
        <v>30</v>
      </c>
      <c r="B2929" s="12" t="s">
        <v>14049</v>
      </c>
      <c r="C2929" s="12">
        <v>216</v>
      </c>
      <c r="D2929" s="12">
        <v>110</v>
      </c>
      <c r="E2929" s="12">
        <v>16</v>
      </c>
      <c r="F2929" s="12">
        <v>11</v>
      </c>
      <c r="G2929" s="12">
        <v>93</v>
      </c>
      <c r="H2929" s="12">
        <v>70011073</v>
      </c>
      <c r="I2929" s="12" t="s">
        <v>14050</v>
      </c>
      <c r="J2929" s="12" t="s">
        <v>14051</v>
      </c>
      <c r="K2929" s="12" t="s">
        <v>14052</v>
      </c>
      <c r="L2929" s="12" t="s">
        <v>14053</v>
      </c>
      <c r="M2929" s="12" t="s">
        <v>14054</v>
      </c>
      <c r="N2929" s="12">
        <v>57996</v>
      </c>
      <c r="O2929" s="12">
        <v>146</v>
      </c>
      <c r="P2929" s="12">
        <v>0</v>
      </c>
      <c r="Q2929" s="12" t="s">
        <v>14055</v>
      </c>
      <c r="R2929" s="15" t="s">
        <v>14056</v>
      </c>
      <c r="S2929" s="12">
        <v>349</v>
      </c>
      <c r="T2929" s="12" t="s">
        <v>39</v>
      </c>
      <c r="U2929" s="12" t="s">
        <v>40</v>
      </c>
      <c r="V2929" s="12" t="s">
        <v>586</v>
      </c>
      <c r="W2929" s="12">
        <v>12000000</v>
      </c>
      <c r="X2929" s="12">
        <v>2012</v>
      </c>
      <c r="Y2929" s="12">
        <v>17</v>
      </c>
      <c r="Z2929" s="12">
        <v>6.5</v>
      </c>
      <c r="AA2929" s="12">
        <v>2.35</v>
      </c>
      <c r="AB2929" s="12">
        <v>15000</v>
      </c>
      <c r="AC2929" s="12"/>
      <c r="AD2929" s="12" t="str">
        <f>IFERROR(__xludf.DUMMYFUNCTION("""COMPUTED_VALUE"""),"Martina Gedeck")</f>
        <v>Martina Gedeck</v>
      </c>
      <c r="AE2929" s="12"/>
    </row>
    <row r="2930" customHeight="1" spans="1:31">
      <c r="A2930" s="11" t="s">
        <v>30</v>
      </c>
      <c r="B2930" s="11" t="s">
        <v>6245</v>
      </c>
      <c r="C2930" s="11">
        <v>107</v>
      </c>
      <c r="D2930" s="11">
        <v>104</v>
      </c>
      <c r="E2930" s="11">
        <v>98</v>
      </c>
      <c r="F2930" s="11">
        <v>920</v>
      </c>
      <c r="G2930" s="11">
        <v>17000</v>
      </c>
      <c r="H2930" s="11">
        <v>65269010</v>
      </c>
      <c r="I2930" s="11" t="s">
        <v>14057</v>
      </c>
      <c r="J2930" s="11" t="s">
        <v>445</v>
      </c>
      <c r="K2930" s="11" t="s">
        <v>4018</v>
      </c>
      <c r="L2930" s="11" t="s">
        <v>14058</v>
      </c>
      <c r="M2930" s="11" t="s">
        <v>14059</v>
      </c>
      <c r="N2930" s="11">
        <v>90938</v>
      </c>
      <c r="O2930" s="11">
        <v>21380</v>
      </c>
      <c r="P2930" s="11">
        <v>0</v>
      </c>
      <c r="Q2930" s="11" t="s">
        <v>14060</v>
      </c>
      <c r="R2930" s="14" t="s">
        <v>14061</v>
      </c>
      <c r="S2930" s="11">
        <v>271</v>
      </c>
      <c r="T2930" s="11" t="s">
        <v>39</v>
      </c>
      <c r="U2930" s="11" t="s">
        <v>40</v>
      </c>
      <c r="V2930" s="11" t="s">
        <v>41</v>
      </c>
      <c r="W2930" s="11">
        <v>12000000</v>
      </c>
      <c r="X2930" s="11">
        <v>2006</v>
      </c>
      <c r="Y2930" s="11">
        <v>2000</v>
      </c>
      <c r="Z2930" s="11">
        <v>6.5</v>
      </c>
      <c r="AA2930" s="11">
        <v>2.35</v>
      </c>
      <c r="AB2930" s="11">
        <v>0</v>
      </c>
      <c r="AC2930" s="11"/>
      <c r="AD2930" s="11" t="str">
        <f>IFERROR(__xludf.DUMMYFUNCTION("""COMPUTED_VALUE"""),"Michael Spears")</f>
        <v>Michael Spears</v>
      </c>
      <c r="AE2930" s="11"/>
    </row>
    <row r="2931" customHeight="1" spans="1:31">
      <c r="A2931" s="12" t="s">
        <v>30</v>
      </c>
      <c r="B2931" s="12" t="s">
        <v>14062</v>
      </c>
      <c r="C2931" s="12">
        <v>63</v>
      </c>
      <c r="D2931" s="12">
        <v>81</v>
      </c>
      <c r="E2931" s="12">
        <v>406</v>
      </c>
      <c r="F2931" s="12">
        <v>616</v>
      </c>
      <c r="G2931" s="12">
        <v>13000</v>
      </c>
      <c r="H2931" s="12">
        <v>63071133</v>
      </c>
      <c r="I2931" s="12" t="s">
        <v>14063</v>
      </c>
      <c r="J2931" s="12" t="s">
        <v>978</v>
      </c>
      <c r="K2931" s="12" t="s">
        <v>1376</v>
      </c>
      <c r="L2931" s="12" t="s">
        <v>6701</v>
      </c>
      <c r="M2931" s="12" t="s">
        <v>14064</v>
      </c>
      <c r="N2931" s="12">
        <v>42892</v>
      </c>
      <c r="O2931" s="12">
        <v>17035</v>
      </c>
      <c r="P2931" s="12">
        <v>0</v>
      </c>
      <c r="Q2931" s="12" t="s">
        <v>14065</v>
      </c>
      <c r="R2931" s="15" t="s">
        <v>14066</v>
      </c>
      <c r="S2931" s="12">
        <v>154</v>
      </c>
      <c r="T2931" s="12" t="s">
        <v>39</v>
      </c>
      <c r="U2931" s="12" t="s">
        <v>40</v>
      </c>
      <c r="V2931" s="12" t="s">
        <v>41</v>
      </c>
      <c r="W2931" s="12">
        <v>12000000</v>
      </c>
      <c r="X2931" s="12">
        <v>1996</v>
      </c>
      <c r="Y2931" s="12">
        <v>2000</v>
      </c>
      <c r="Z2931" s="12">
        <v>6.8</v>
      </c>
      <c r="AA2931" s="12">
        <v>1.85</v>
      </c>
      <c r="AB2931" s="12">
        <v>0</v>
      </c>
      <c r="AC2931" s="12"/>
      <c r="AD2931" s="12" t="str">
        <f>IFERROR(__xludf.DUMMYFUNCTION("""COMPUTED_VALUE"""),"Dan Byrd")</f>
        <v>Dan Byrd</v>
      </c>
      <c r="AE2931" s="12"/>
    </row>
    <row r="2932" customHeight="1" spans="1:31">
      <c r="A2932" s="11" t="s">
        <v>30</v>
      </c>
      <c r="B2932" s="11" t="s">
        <v>1765</v>
      </c>
      <c r="C2932" s="11">
        <v>140</v>
      </c>
      <c r="D2932" s="11">
        <v>154</v>
      </c>
      <c r="E2932" s="11">
        <v>16000</v>
      </c>
      <c r="F2932" s="11">
        <v>889</v>
      </c>
      <c r="G2932" s="11">
        <v>22000</v>
      </c>
      <c r="H2932" s="11">
        <v>39647595</v>
      </c>
      <c r="I2932" s="11" t="s">
        <v>1528</v>
      </c>
      <c r="J2932" s="11" t="s">
        <v>1746</v>
      </c>
      <c r="K2932" s="11" t="s">
        <v>14067</v>
      </c>
      <c r="L2932" s="11" t="s">
        <v>4358</v>
      </c>
      <c r="M2932" s="11" t="s">
        <v>14068</v>
      </c>
      <c r="N2932" s="11">
        <v>239540</v>
      </c>
      <c r="O2932" s="11">
        <v>25522</v>
      </c>
      <c r="P2932" s="11">
        <v>5</v>
      </c>
      <c r="Q2932" s="11" t="s">
        <v>14069</v>
      </c>
      <c r="R2932" s="14" t="s">
        <v>14070</v>
      </c>
      <c r="S2932" s="11">
        <v>462</v>
      </c>
      <c r="T2932" s="11" t="s">
        <v>39</v>
      </c>
      <c r="U2932" s="11" t="s">
        <v>40</v>
      </c>
      <c r="V2932" s="11" t="s">
        <v>586</v>
      </c>
      <c r="W2932" s="11">
        <v>12000000</v>
      </c>
      <c r="X2932" s="11">
        <v>1997</v>
      </c>
      <c r="Y2932" s="11">
        <v>1000</v>
      </c>
      <c r="Z2932" s="11">
        <v>7.5</v>
      </c>
      <c r="AA2932" s="11">
        <v>1.85</v>
      </c>
      <c r="AB2932" s="11">
        <v>0</v>
      </c>
      <c r="AC2932" s="11"/>
      <c r="AD2932" s="11" t="str">
        <f>IFERROR(__xludf.DUMMYFUNCTION("""COMPUTED_VALUE"""),"W. Earl Brown")</f>
        <v>W. Earl Brown</v>
      </c>
      <c r="AE2932" s="11"/>
    </row>
    <row r="2933" customHeight="1" spans="1:31">
      <c r="A2933" s="12" t="s">
        <v>30</v>
      </c>
      <c r="B2933" s="12" t="s">
        <v>5231</v>
      </c>
      <c r="C2933" s="12">
        <v>153</v>
      </c>
      <c r="D2933" s="12">
        <v>102</v>
      </c>
      <c r="E2933" s="12">
        <v>22</v>
      </c>
      <c r="F2933" s="12">
        <v>816</v>
      </c>
      <c r="G2933" s="12">
        <v>1000</v>
      </c>
      <c r="H2933" s="12">
        <v>38087366</v>
      </c>
      <c r="I2933" s="12" t="s">
        <v>4220</v>
      </c>
      <c r="J2933" s="12" t="s">
        <v>7424</v>
      </c>
      <c r="K2933" s="12" t="s">
        <v>6960</v>
      </c>
      <c r="L2933" s="12" t="s">
        <v>7746</v>
      </c>
      <c r="M2933" s="12" t="s">
        <v>14071</v>
      </c>
      <c r="N2933" s="12">
        <v>113918</v>
      </c>
      <c r="O2933" s="12">
        <v>4065</v>
      </c>
      <c r="P2933" s="12">
        <v>2</v>
      </c>
      <c r="Q2933" s="12" t="s">
        <v>14072</v>
      </c>
      <c r="R2933" s="15" t="s">
        <v>14073</v>
      </c>
      <c r="S2933" s="12">
        <v>165</v>
      </c>
      <c r="T2933" s="12" t="s">
        <v>39</v>
      </c>
      <c r="U2933" s="12" t="s">
        <v>40</v>
      </c>
      <c r="V2933" s="12" t="s">
        <v>586</v>
      </c>
      <c r="W2933" s="12">
        <v>12000000</v>
      </c>
      <c r="X2933" s="12">
        <v>2008</v>
      </c>
      <c r="Y2933" s="12">
        <v>954</v>
      </c>
      <c r="Z2933" s="12">
        <v>6.6</v>
      </c>
      <c r="AA2933" s="12">
        <v>1.85</v>
      </c>
      <c r="AB2933" s="12">
        <v>0</v>
      </c>
      <c r="AC2933" s="12"/>
      <c r="AD2933" s="12" t="str">
        <f>IFERROR(__xludf.DUMMYFUNCTION("""COMPUTED_VALUE"""),"Scatman Crothers")</f>
        <v>Scatman Crothers</v>
      </c>
      <c r="AE2933" s="12"/>
    </row>
    <row r="2934" customHeight="1" spans="1:31">
      <c r="A2934" s="11" t="s">
        <v>30</v>
      </c>
      <c r="B2934" s="11" t="s">
        <v>1501</v>
      </c>
      <c r="C2934" s="11">
        <v>414</v>
      </c>
      <c r="D2934" s="11">
        <v>89</v>
      </c>
      <c r="E2934" s="11">
        <v>128</v>
      </c>
      <c r="F2934" s="11">
        <v>371</v>
      </c>
      <c r="G2934" s="11">
        <v>963</v>
      </c>
      <c r="H2934" s="11">
        <v>64572496</v>
      </c>
      <c r="I2934" s="11" t="s">
        <v>2684</v>
      </c>
      <c r="J2934" s="11" t="s">
        <v>3041</v>
      </c>
      <c r="K2934" s="11" t="s">
        <v>3691</v>
      </c>
      <c r="L2934" s="11" t="s">
        <v>14074</v>
      </c>
      <c r="M2934" s="11" t="s">
        <v>14075</v>
      </c>
      <c r="N2934" s="11">
        <v>204327</v>
      </c>
      <c r="O2934" s="11">
        <v>2054</v>
      </c>
      <c r="P2934" s="11">
        <v>0</v>
      </c>
      <c r="Q2934" s="11" t="s">
        <v>14076</v>
      </c>
      <c r="R2934" s="14" t="s">
        <v>14077</v>
      </c>
      <c r="S2934" s="11">
        <v>471</v>
      </c>
      <c r="T2934" s="11" t="s">
        <v>39</v>
      </c>
      <c r="U2934" s="11" t="s">
        <v>40</v>
      </c>
      <c r="V2934" s="11" t="s">
        <v>41</v>
      </c>
      <c r="W2934" s="11">
        <v>12000000</v>
      </c>
      <c r="X2934" s="11">
        <v>2012</v>
      </c>
      <c r="Y2934" s="11">
        <v>465</v>
      </c>
      <c r="Z2934" s="11">
        <v>7.1</v>
      </c>
      <c r="AA2934" s="11">
        <v>1.85</v>
      </c>
      <c r="AB2934" s="11">
        <v>32000</v>
      </c>
      <c r="AC2934" s="11"/>
      <c r="AD2934" s="11" t="str">
        <f>IFERROR(__xludf.DUMMYFUNCTION("""COMPUTED_VALUE"""),"Shelley Duvall")</f>
        <v>Shelley Duvall</v>
      </c>
      <c r="AE2934" s="11"/>
    </row>
    <row r="2935" customHeight="1" spans="1:31">
      <c r="A2935" s="12" t="s">
        <v>30</v>
      </c>
      <c r="B2935" s="12" t="s">
        <v>6127</v>
      </c>
      <c r="C2935" s="12">
        <v>16</v>
      </c>
      <c r="D2935" s="12">
        <v>132</v>
      </c>
      <c r="E2935" s="12">
        <v>0</v>
      </c>
      <c r="F2935" s="12">
        <v>122</v>
      </c>
      <c r="G2935" s="12">
        <v>405</v>
      </c>
      <c r="H2935" s="12">
        <v>30400000</v>
      </c>
      <c r="I2935" s="12" t="s">
        <v>2850</v>
      </c>
      <c r="J2935" s="12" t="s">
        <v>3991</v>
      </c>
      <c r="K2935" s="12" t="s">
        <v>14078</v>
      </c>
      <c r="L2935" s="12" t="s">
        <v>14079</v>
      </c>
      <c r="M2935" s="12" t="s">
        <v>14080</v>
      </c>
      <c r="N2935" s="12">
        <v>9503</v>
      </c>
      <c r="O2935" s="12">
        <v>914</v>
      </c>
      <c r="P2935" s="12">
        <v>1</v>
      </c>
      <c r="Q2935" s="12" t="s">
        <v>14081</v>
      </c>
      <c r="R2935" s="15" t="s">
        <v>14082</v>
      </c>
      <c r="S2935" s="12">
        <v>68</v>
      </c>
      <c r="T2935" s="12" t="s">
        <v>39</v>
      </c>
      <c r="U2935" s="12" t="s">
        <v>58</v>
      </c>
      <c r="V2935" s="12" t="s">
        <v>96</v>
      </c>
      <c r="W2935" s="12">
        <v>12000000</v>
      </c>
      <c r="X2935" s="12">
        <v>1983</v>
      </c>
      <c r="Y2935" s="12">
        <v>194</v>
      </c>
      <c r="Z2935" s="12">
        <v>6.6</v>
      </c>
      <c r="AA2935" s="12">
        <v>1.85</v>
      </c>
      <c r="AB2935" s="12">
        <v>0</v>
      </c>
      <c r="AC2935" s="12"/>
      <c r="AD2935" s="12" t="str">
        <f>IFERROR(__xludf.DUMMYFUNCTION("""COMPUTED_VALUE"""),"Joe Turkel")</f>
        <v>Joe Turkel</v>
      </c>
      <c r="AE2935" s="12"/>
    </row>
    <row r="2936" customHeight="1" spans="1:31">
      <c r="A2936" s="11" t="s">
        <v>30</v>
      </c>
      <c r="B2936" s="11" t="s">
        <v>2792</v>
      </c>
      <c r="C2936" s="11">
        <v>139</v>
      </c>
      <c r="D2936" s="11">
        <v>103</v>
      </c>
      <c r="E2936" s="11">
        <v>0</v>
      </c>
      <c r="F2936" s="11">
        <v>504</v>
      </c>
      <c r="G2936" s="11">
        <v>629</v>
      </c>
      <c r="H2936" s="11">
        <v>42365600</v>
      </c>
      <c r="I2936" s="11" t="s">
        <v>14083</v>
      </c>
      <c r="J2936" s="11" t="s">
        <v>11577</v>
      </c>
      <c r="K2936" s="11" t="s">
        <v>2426</v>
      </c>
      <c r="L2936" s="11" t="s">
        <v>7872</v>
      </c>
      <c r="M2936" s="11" t="s">
        <v>14084</v>
      </c>
      <c r="N2936" s="11">
        <v>45890</v>
      </c>
      <c r="O2936" s="11">
        <v>2730</v>
      </c>
      <c r="P2936" s="11">
        <v>0</v>
      </c>
      <c r="Q2936" s="11" t="s">
        <v>14085</v>
      </c>
      <c r="R2936" s="14" t="s">
        <v>14086</v>
      </c>
      <c r="S2936" s="11">
        <v>177</v>
      </c>
      <c r="T2936" s="11" t="s">
        <v>39</v>
      </c>
      <c r="U2936" s="11" t="s">
        <v>58</v>
      </c>
      <c r="V2936" s="11" t="s">
        <v>96</v>
      </c>
      <c r="W2936" s="11">
        <v>5000000</v>
      </c>
      <c r="X2936" s="11">
        <v>1981</v>
      </c>
      <c r="Y2936" s="11">
        <v>561</v>
      </c>
      <c r="Z2936" s="11">
        <v>7</v>
      </c>
      <c r="AA2936" s="11">
        <v>1.85</v>
      </c>
      <c r="AB2936" s="11">
        <v>0</v>
      </c>
      <c r="AC2936" s="11"/>
      <c r="AD2936" s="11" t="str">
        <f>IFERROR(__xludf.DUMMYFUNCTION("""COMPUTED_VALUE"""),"J.J. Cohen")</f>
        <v>J.J. Cohen</v>
      </c>
      <c r="AE2936" s="11"/>
    </row>
    <row r="2937" customHeight="1" spans="1:31">
      <c r="A2937" s="12" t="s">
        <v>30</v>
      </c>
      <c r="B2937" s="12" t="s">
        <v>14087</v>
      </c>
      <c r="C2937" s="12">
        <v>111</v>
      </c>
      <c r="D2937" s="12">
        <v>93</v>
      </c>
      <c r="E2937" s="12">
        <v>33</v>
      </c>
      <c r="F2937" s="12">
        <v>135</v>
      </c>
      <c r="G2937" s="12">
        <v>1000</v>
      </c>
      <c r="H2937" s="12">
        <v>37188667</v>
      </c>
      <c r="I2937" s="12" t="s">
        <v>2528</v>
      </c>
      <c r="J2937" s="12" t="s">
        <v>14088</v>
      </c>
      <c r="K2937" s="12" t="s">
        <v>14089</v>
      </c>
      <c r="L2937" s="12" t="s">
        <v>14090</v>
      </c>
      <c r="M2937" s="12" t="s">
        <v>14091</v>
      </c>
      <c r="N2937" s="12">
        <v>34219</v>
      </c>
      <c r="O2937" s="12">
        <v>1531</v>
      </c>
      <c r="P2937" s="12">
        <v>1</v>
      </c>
      <c r="Q2937" s="12" t="s">
        <v>14092</v>
      </c>
      <c r="R2937" s="15" t="s">
        <v>14093</v>
      </c>
      <c r="S2937" s="12">
        <v>578</v>
      </c>
      <c r="T2937" s="12" t="s">
        <v>39</v>
      </c>
      <c r="U2937" s="12" t="s">
        <v>40</v>
      </c>
      <c r="V2937" s="12" t="s">
        <v>41</v>
      </c>
      <c r="W2937" s="12">
        <v>12000000</v>
      </c>
      <c r="X2937" s="12">
        <v>2002</v>
      </c>
      <c r="Y2937" s="12">
        <v>188</v>
      </c>
      <c r="Z2937" s="12">
        <v>3.3</v>
      </c>
      <c r="AA2937" s="12">
        <v>1.85</v>
      </c>
      <c r="AB2937" s="12">
        <v>0</v>
      </c>
      <c r="AC2937" s="12"/>
      <c r="AD2937" s="12" t="str">
        <f>IFERROR(__xludf.DUMMYFUNCTION("""COMPUTED_VALUE"""),"Eric Mendenhall")</f>
        <v>Eric Mendenhall</v>
      </c>
      <c r="AE2937" s="12"/>
    </row>
    <row r="2938" customHeight="1" spans="1:31">
      <c r="A2938" s="11" t="s">
        <v>30</v>
      </c>
      <c r="B2938" s="11" t="s">
        <v>14094</v>
      </c>
      <c r="C2938" s="11">
        <v>229</v>
      </c>
      <c r="D2938" s="11">
        <v>93</v>
      </c>
      <c r="E2938" s="11">
        <v>166</v>
      </c>
      <c r="F2938" s="11">
        <v>281</v>
      </c>
      <c r="G2938" s="11">
        <v>971</v>
      </c>
      <c r="H2938" s="11">
        <v>54724272</v>
      </c>
      <c r="I2938" s="11" t="s">
        <v>1009</v>
      </c>
      <c r="J2938" s="11" t="s">
        <v>6085</v>
      </c>
      <c r="K2938" s="11" t="s">
        <v>14095</v>
      </c>
      <c r="L2938" s="11" t="s">
        <v>14096</v>
      </c>
      <c r="M2938" s="11" t="s">
        <v>14097</v>
      </c>
      <c r="N2938" s="11">
        <v>157051</v>
      </c>
      <c r="O2938" s="11">
        <v>2043</v>
      </c>
      <c r="P2938" s="11">
        <v>0</v>
      </c>
      <c r="Q2938" s="11" t="s">
        <v>14098</v>
      </c>
      <c r="R2938" s="14" t="s">
        <v>14099</v>
      </c>
      <c r="S2938" s="11">
        <v>261</v>
      </c>
      <c r="T2938" s="11" t="s">
        <v>39</v>
      </c>
      <c r="U2938" s="11" t="s">
        <v>40</v>
      </c>
      <c r="V2938" s="11" t="s">
        <v>586</v>
      </c>
      <c r="W2938" s="11">
        <v>12000000</v>
      </c>
      <c r="X2938" s="11">
        <v>2012</v>
      </c>
      <c r="Y2938" s="11">
        <v>329</v>
      </c>
      <c r="Z2938" s="11">
        <v>6.7</v>
      </c>
      <c r="AA2938" s="11">
        <v>1.85</v>
      </c>
      <c r="AB2938" s="11">
        <v>29000</v>
      </c>
      <c r="AC2938" s="11"/>
      <c r="AD2938" s="11" t="str">
        <f>IFERROR(__xludf.DUMMYFUNCTION("""COMPUTED_VALUE"""),"Mary J. Blige")</f>
        <v>Mary J. Blige</v>
      </c>
      <c r="AE2938" s="11"/>
    </row>
    <row r="2939" customHeight="1" spans="1:31">
      <c r="A2939" s="12" t="s">
        <v>30</v>
      </c>
      <c r="B2939" s="12" t="s">
        <v>14100</v>
      </c>
      <c r="C2939" s="12">
        <v>112</v>
      </c>
      <c r="D2939" s="12">
        <v>172</v>
      </c>
      <c r="E2939" s="12">
        <v>76</v>
      </c>
      <c r="F2939" s="12">
        <v>78</v>
      </c>
      <c r="G2939" s="12">
        <v>654</v>
      </c>
      <c r="H2939" s="16"/>
      <c r="I2939" s="12" t="s">
        <v>7250</v>
      </c>
      <c r="J2939" s="12" t="s">
        <v>12978</v>
      </c>
      <c r="K2939" s="12" t="s">
        <v>12526</v>
      </c>
      <c r="L2939" s="12" t="s">
        <v>14101</v>
      </c>
      <c r="M2939" s="12" t="s">
        <v>14102</v>
      </c>
      <c r="N2939" s="12">
        <v>76398</v>
      </c>
      <c r="O2939" s="12">
        <v>1306</v>
      </c>
      <c r="P2939" s="12">
        <v>0</v>
      </c>
      <c r="Q2939" s="12" t="s">
        <v>14103</v>
      </c>
      <c r="R2939" s="15" t="s">
        <v>14104</v>
      </c>
      <c r="S2939" s="12">
        <v>258</v>
      </c>
      <c r="T2939" s="12" t="s">
        <v>39</v>
      </c>
      <c r="U2939" s="12" t="s">
        <v>40</v>
      </c>
      <c r="V2939" s="12" t="s">
        <v>14105</v>
      </c>
      <c r="W2939" s="12">
        <v>12000000</v>
      </c>
      <c r="X2939" s="12">
        <v>1970</v>
      </c>
      <c r="Y2939" s="12">
        <v>416</v>
      </c>
      <c r="Z2939" s="12">
        <v>8</v>
      </c>
      <c r="AA2939" s="12">
        <v>2.2</v>
      </c>
      <c r="AB2939" s="12">
        <v>0</v>
      </c>
      <c r="AC2939" s="12"/>
      <c r="AD2939" s="12" t="str">
        <f>IFERROR(__xludf.DUMMYFUNCTION("""COMPUTED_VALUE"""),"Hope Olaide Wilson")</f>
        <v>Hope Olaide Wilson</v>
      </c>
      <c r="AE2939" s="12"/>
    </row>
    <row r="2940" customHeight="1" spans="1:31">
      <c r="A2940" s="11" t="s">
        <v>30</v>
      </c>
      <c r="B2940" s="11" t="s">
        <v>13174</v>
      </c>
      <c r="C2940" s="11">
        <v>207</v>
      </c>
      <c r="D2940" s="11">
        <v>96</v>
      </c>
      <c r="E2940" s="11">
        <v>132</v>
      </c>
      <c r="F2940" s="11">
        <v>933</v>
      </c>
      <c r="G2940" s="11">
        <v>49000</v>
      </c>
      <c r="H2940" s="11">
        <v>31597131</v>
      </c>
      <c r="I2940" s="11" t="s">
        <v>4075</v>
      </c>
      <c r="J2940" s="11" t="s">
        <v>811</v>
      </c>
      <c r="K2940" s="11" t="s">
        <v>3230</v>
      </c>
      <c r="L2940" s="11" t="s">
        <v>1694</v>
      </c>
      <c r="M2940" s="11" t="s">
        <v>14106</v>
      </c>
      <c r="N2940" s="11">
        <v>97938</v>
      </c>
      <c r="O2940" s="11">
        <v>52138</v>
      </c>
      <c r="P2940" s="11">
        <v>0</v>
      </c>
      <c r="Q2940" s="11" t="s">
        <v>14107</v>
      </c>
      <c r="R2940" s="14" t="s">
        <v>14108</v>
      </c>
      <c r="S2940" s="11">
        <v>605</v>
      </c>
      <c r="T2940" s="11" t="s">
        <v>39</v>
      </c>
      <c r="U2940" s="11" t="s">
        <v>40</v>
      </c>
      <c r="V2940" s="11" t="s">
        <v>586</v>
      </c>
      <c r="W2940" s="11">
        <v>12000000</v>
      </c>
      <c r="X2940" s="11">
        <v>2002</v>
      </c>
      <c r="Y2940" s="11">
        <v>989</v>
      </c>
      <c r="Z2940" s="11">
        <v>6.8</v>
      </c>
      <c r="AA2940" s="11">
        <v>1.85</v>
      </c>
      <c r="AB2940" s="11">
        <v>0</v>
      </c>
      <c r="AC2940" s="11"/>
      <c r="AD2940" s="11" t="str">
        <f>IFERROR(__xludf.DUMMYFUNCTION("""COMPUTED_VALUE"""),"Kari J. Kramer")</f>
        <v>Kari J. Kramer</v>
      </c>
      <c r="AE2940" s="11"/>
    </row>
    <row r="2941" customHeight="1" spans="1:31">
      <c r="A2941" s="12" t="s">
        <v>30</v>
      </c>
      <c r="B2941" s="12" t="s">
        <v>14109</v>
      </c>
      <c r="C2941" s="12">
        <v>198</v>
      </c>
      <c r="D2941" s="12">
        <v>89</v>
      </c>
      <c r="E2941" s="12">
        <v>66</v>
      </c>
      <c r="F2941" s="12">
        <v>1000</v>
      </c>
      <c r="G2941" s="12">
        <v>137000</v>
      </c>
      <c r="H2941" s="12">
        <v>31691811</v>
      </c>
      <c r="I2941" s="12" t="s">
        <v>4333</v>
      </c>
      <c r="J2941" s="12" t="s">
        <v>6405</v>
      </c>
      <c r="K2941" s="12" t="s">
        <v>3715</v>
      </c>
      <c r="L2941" s="12" t="s">
        <v>5232</v>
      </c>
      <c r="M2941" s="12" t="s">
        <v>14110</v>
      </c>
      <c r="N2941" s="12">
        <v>57446</v>
      </c>
      <c r="O2941" s="12">
        <v>140268</v>
      </c>
      <c r="P2941" s="12">
        <v>0</v>
      </c>
      <c r="Q2941" s="12" t="s">
        <v>14111</v>
      </c>
      <c r="R2941" s="15" t="s">
        <v>14112</v>
      </c>
      <c r="S2941" s="12">
        <v>369</v>
      </c>
      <c r="T2941" s="12" t="s">
        <v>39</v>
      </c>
      <c r="U2941" s="12" t="s">
        <v>40</v>
      </c>
      <c r="V2941" s="12" t="s">
        <v>586</v>
      </c>
      <c r="W2941" s="12">
        <v>12000000</v>
      </c>
      <c r="X2941" s="12">
        <v>2008</v>
      </c>
      <c r="Y2941" s="12">
        <v>1000</v>
      </c>
      <c r="Z2941" s="12">
        <v>6</v>
      </c>
      <c r="AA2941" s="12">
        <v>1.85</v>
      </c>
      <c r="AB2941" s="12">
        <v>0</v>
      </c>
      <c r="AC2941" s="12"/>
      <c r="AD2941" s="12" t="str">
        <f>IFERROR(__xludf.DUMMYFUNCTION("""COMPUTED_VALUE"""),"Erin O'Brien")</f>
        <v>Erin O'Brien</v>
      </c>
      <c r="AE2941" s="12"/>
    </row>
    <row r="2942" customHeight="1" spans="1:31">
      <c r="A2942" s="11" t="s">
        <v>30</v>
      </c>
      <c r="B2942" s="11" t="s">
        <v>14113</v>
      </c>
      <c r="C2942" s="11">
        <v>172</v>
      </c>
      <c r="D2942" s="11">
        <v>92</v>
      </c>
      <c r="E2942" s="11">
        <v>0</v>
      </c>
      <c r="F2942" s="11">
        <v>451</v>
      </c>
      <c r="G2942" s="11">
        <v>17000</v>
      </c>
      <c r="H2942" s="11">
        <v>31397498</v>
      </c>
      <c r="I2942" s="11" t="s">
        <v>5104</v>
      </c>
      <c r="J2942" s="11" t="s">
        <v>490</v>
      </c>
      <c r="K2942" s="11" t="s">
        <v>2034</v>
      </c>
      <c r="L2942" s="11" t="s">
        <v>5908</v>
      </c>
      <c r="M2942" s="11" t="s">
        <v>14114</v>
      </c>
      <c r="N2942" s="11">
        <v>44130</v>
      </c>
      <c r="O2942" s="11">
        <v>18765</v>
      </c>
      <c r="P2942" s="11">
        <v>1</v>
      </c>
      <c r="Q2942" s="11" t="s">
        <v>14115</v>
      </c>
      <c r="R2942" s="14" t="s">
        <v>14116</v>
      </c>
      <c r="S2942" s="11">
        <v>156</v>
      </c>
      <c r="T2942" s="11" t="s">
        <v>39</v>
      </c>
      <c r="U2942" s="11" t="s">
        <v>40</v>
      </c>
      <c r="V2942" s="11" t="s">
        <v>41</v>
      </c>
      <c r="W2942" s="11">
        <v>12000000</v>
      </c>
      <c r="X2942" s="11">
        <v>2008</v>
      </c>
      <c r="Y2942" s="11">
        <v>527</v>
      </c>
      <c r="Z2942" s="11">
        <v>5.4</v>
      </c>
      <c r="AA2942" s="11">
        <v>2.35</v>
      </c>
      <c r="AB2942" s="11">
        <v>0</v>
      </c>
      <c r="AC2942" s="11"/>
      <c r="AD2942" s="11" t="str">
        <f>IFERROR(__xludf.DUMMYFUNCTION("""COMPUTED_VALUE"""),"Cabrina Collesides")</f>
        <v>Cabrina Collesides</v>
      </c>
      <c r="AE2942" s="11"/>
    </row>
    <row r="2943" customHeight="1" spans="1:31">
      <c r="A2943" s="12" t="s">
        <v>30</v>
      </c>
      <c r="B2943" s="12" t="s">
        <v>14117</v>
      </c>
      <c r="C2943" s="12">
        <v>45</v>
      </c>
      <c r="D2943" s="12">
        <v>97</v>
      </c>
      <c r="E2943" s="12">
        <v>4</v>
      </c>
      <c r="F2943" s="12">
        <v>826</v>
      </c>
      <c r="G2943" s="12">
        <v>1000</v>
      </c>
      <c r="H2943" s="12">
        <v>31179516</v>
      </c>
      <c r="I2943" s="12" t="s">
        <v>1672</v>
      </c>
      <c r="J2943" s="12" t="s">
        <v>1760</v>
      </c>
      <c r="K2943" s="12" t="s">
        <v>7580</v>
      </c>
      <c r="L2943" s="12" t="s">
        <v>12215</v>
      </c>
      <c r="M2943" s="12" t="s">
        <v>14118</v>
      </c>
      <c r="N2943" s="12">
        <v>5928</v>
      </c>
      <c r="O2943" s="12">
        <v>5006</v>
      </c>
      <c r="P2943" s="12">
        <v>5</v>
      </c>
      <c r="Q2943" s="12" t="s">
        <v>14119</v>
      </c>
      <c r="R2943" s="15" t="s">
        <v>14120</v>
      </c>
      <c r="S2943" s="12">
        <v>49</v>
      </c>
      <c r="T2943" s="12" t="s">
        <v>39</v>
      </c>
      <c r="U2943" s="12" t="s">
        <v>40</v>
      </c>
      <c r="V2943" s="12" t="s">
        <v>41</v>
      </c>
      <c r="W2943" s="12">
        <v>12000000</v>
      </c>
      <c r="X2943" s="12">
        <v>2004</v>
      </c>
      <c r="Y2943" s="12">
        <v>1000</v>
      </c>
      <c r="Z2943" s="12">
        <v>4.3</v>
      </c>
      <c r="AA2943" s="12">
        <v>2.35</v>
      </c>
      <c r="AB2943" s="12">
        <v>243</v>
      </c>
      <c r="AC2943" s="12"/>
      <c r="AD2943" s="12" t="str">
        <f>IFERROR(__xludf.DUMMYFUNCTION("""COMPUTED_VALUE"""),"Kelli Barrett")</f>
        <v>Kelli Barrett</v>
      </c>
      <c r="AE2943" s="12"/>
    </row>
    <row r="2944" customHeight="1" spans="1:31">
      <c r="A2944" s="11" t="s">
        <v>30</v>
      </c>
      <c r="B2944" s="11" t="s">
        <v>4598</v>
      </c>
      <c r="C2944" s="11">
        <v>34</v>
      </c>
      <c r="D2944" s="11">
        <v>93</v>
      </c>
      <c r="E2944" s="11">
        <v>58</v>
      </c>
      <c r="F2944" s="11">
        <v>722</v>
      </c>
      <c r="G2944" s="11">
        <v>995</v>
      </c>
      <c r="H2944" s="11">
        <v>31155435</v>
      </c>
      <c r="I2944" s="11" t="s">
        <v>2787</v>
      </c>
      <c r="J2944" s="11" t="s">
        <v>3305</v>
      </c>
      <c r="K2944" s="11" t="s">
        <v>417</v>
      </c>
      <c r="L2944" s="11" t="s">
        <v>1333</v>
      </c>
      <c r="M2944" s="11" t="s">
        <v>14121</v>
      </c>
      <c r="N2944" s="11">
        <v>42644</v>
      </c>
      <c r="O2944" s="11">
        <v>6105</v>
      </c>
      <c r="P2944" s="11">
        <v>2</v>
      </c>
      <c r="Q2944" s="11" t="s">
        <v>14122</v>
      </c>
      <c r="R2944" s="14" t="s">
        <v>14123</v>
      </c>
      <c r="S2944" s="11">
        <v>102</v>
      </c>
      <c r="T2944" s="11" t="s">
        <v>39</v>
      </c>
      <c r="U2944" s="11" t="s">
        <v>40</v>
      </c>
      <c r="V2944" s="11" t="s">
        <v>586</v>
      </c>
      <c r="W2944" s="11">
        <v>12000000</v>
      </c>
      <c r="X2944" s="11">
        <v>2001</v>
      </c>
      <c r="Y2944" s="11">
        <v>729</v>
      </c>
      <c r="Z2944" s="11">
        <v>6.2</v>
      </c>
      <c r="AA2944" s="11">
        <v>1.85</v>
      </c>
      <c r="AB2944" s="11">
        <v>0</v>
      </c>
      <c r="AC2944" s="11"/>
      <c r="AD2944" s="11" t="str">
        <f>IFERROR(__xludf.DUMMYFUNCTION("""COMPUTED_VALUE"""),"David Agranov")</f>
        <v>David Agranov</v>
      </c>
      <c r="AE2944" s="11"/>
    </row>
    <row r="2945" customHeight="1" spans="1:31">
      <c r="A2945" s="12" t="s">
        <v>30</v>
      </c>
      <c r="B2945" s="12" t="s">
        <v>14124</v>
      </c>
      <c r="C2945" s="12">
        <v>75</v>
      </c>
      <c r="D2945" s="12">
        <v>89</v>
      </c>
      <c r="E2945" s="12">
        <v>53</v>
      </c>
      <c r="F2945" s="12">
        <v>84</v>
      </c>
      <c r="G2945" s="12">
        <v>227</v>
      </c>
      <c r="H2945" s="12">
        <v>27281507</v>
      </c>
      <c r="I2945" s="12" t="s">
        <v>14125</v>
      </c>
      <c r="J2945" s="12" t="s">
        <v>7382</v>
      </c>
      <c r="K2945" s="12" t="s">
        <v>14126</v>
      </c>
      <c r="L2945" s="12" t="s">
        <v>5761</v>
      </c>
      <c r="M2945" s="12" t="s">
        <v>14127</v>
      </c>
      <c r="N2945" s="12">
        <v>33850</v>
      </c>
      <c r="O2945" s="12">
        <v>534</v>
      </c>
      <c r="P2945" s="12">
        <v>0</v>
      </c>
      <c r="Q2945" s="12" t="s">
        <v>14128</v>
      </c>
      <c r="R2945" s="15" t="s">
        <v>14129</v>
      </c>
      <c r="S2945" s="12">
        <v>147</v>
      </c>
      <c r="T2945" s="12" t="s">
        <v>39</v>
      </c>
      <c r="U2945" s="12" t="s">
        <v>40</v>
      </c>
      <c r="V2945" s="12" t="s">
        <v>278</v>
      </c>
      <c r="W2945" s="12">
        <v>12000000</v>
      </c>
      <c r="X2945" s="12">
        <v>1992</v>
      </c>
      <c r="Y2945" s="12">
        <v>94</v>
      </c>
      <c r="Z2945" s="12">
        <v>7.7</v>
      </c>
      <c r="AA2945" s="12">
        <v>1.85</v>
      </c>
      <c r="AB2945" s="12">
        <v>0</v>
      </c>
      <c r="AC2945" s="12"/>
      <c r="AD2945" s="12" t="str">
        <f>IFERROR(__xludf.DUMMYFUNCTION("""COMPUTED_VALUE"""),"David Moscow")</f>
        <v>David Moscow</v>
      </c>
      <c r="AE2945" s="12"/>
    </row>
    <row r="2946" customHeight="1" spans="1:31">
      <c r="A2946" s="11" t="s">
        <v>748</v>
      </c>
      <c r="B2946" s="11" t="s">
        <v>314</v>
      </c>
      <c r="C2946" s="11">
        <v>400</v>
      </c>
      <c r="D2946" s="11">
        <v>144</v>
      </c>
      <c r="E2946" s="11">
        <v>258</v>
      </c>
      <c r="F2946" s="11">
        <v>834</v>
      </c>
      <c r="G2946" s="11">
        <v>6000</v>
      </c>
      <c r="H2946" s="11">
        <v>167007184</v>
      </c>
      <c r="I2946" s="11" t="s">
        <v>51</v>
      </c>
      <c r="J2946" s="11" t="s">
        <v>202</v>
      </c>
      <c r="K2946" s="11" t="s">
        <v>1707</v>
      </c>
      <c r="L2946" s="11" t="s">
        <v>1708</v>
      </c>
      <c r="M2946" s="11" t="s">
        <v>1709</v>
      </c>
      <c r="N2946" s="11">
        <v>470501</v>
      </c>
      <c r="O2946" s="11">
        <v>9125</v>
      </c>
      <c r="P2946" s="11">
        <v>1</v>
      </c>
      <c r="Q2946" s="11" t="s">
        <v>1710</v>
      </c>
      <c r="R2946" s="14" t="s">
        <v>1711</v>
      </c>
      <c r="S2946" s="11">
        <v>2301</v>
      </c>
      <c r="T2946" s="11" t="s">
        <v>39</v>
      </c>
      <c r="U2946" s="11" t="s">
        <v>58</v>
      </c>
      <c r="V2946" s="11" t="s">
        <v>41</v>
      </c>
      <c r="W2946" s="11">
        <v>150000000</v>
      </c>
      <c r="X2946" s="11">
        <v>2006</v>
      </c>
      <c r="Y2946" s="11">
        <v>1000</v>
      </c>
      <c r="Z2946" s="11">
        <v>8</v>
      </c>
      <c r="AA2946" s="11">
        <v>2.35</v>
      </c>
      <c r="AB2946" s="11">
        <v>0</v>
      </c>
      <c r="AC2946" s="11"/>
      <c r="AD2946" s="11" t="str">
        <f>IFERROR(__xludf.DUMMYFUNCTION("""COMPUTED_VALUE"""),"Mem Ferda")</f>
        <v>Mem Ferda</v>
      </c>
      <c r="AE2946" s="11"/>
    </row>
    <row r="2947" customHeight="1" spans="1:31">
      <c r="A2947" s="12" t="s">
        <v>748</v>
      </c>
      <c r="B2947" s="12" t="s">
        <v>5883</v>
      </c>
      <c r="C2947" s="12">
        <v>128</v>
      </c>
      <c r="D2947" s="12">
        <v>123</v>
      </c>
      <c r="E2947" s="12">
        <v>278</v>
      </c>
      <c r="F2947" s="12">
        <v>898</v>
      </c>
      <c r="G2947" s="12">
        <v>4000</v>
      </c>
      <c r="H2947" s="12">
        <v>25776062</v>
      </c>
      <c r="I2947" s="12" t="s">
        <v>6327</v>
      </c>
      <c r="J2947" s="12" t="s">
        <v>495</v>
      </c>
      <c r="K2947" s="12" t="s">
        <v>2677</v>
      </c>
      <c r="L2947" s="12" t="s">
        <v>5369</v>
      </c>
      <c r="M2947" s="12" t="s">
        <v>14130</v>
      </c>
      <c r="N2947" s="12">
        <v>61651</v>
      </c>
      <c r="O2947" s="12">
        <v>7072</v>
      </c>
      <c r="P2947" s="12">
        <v>0</v>
      </c>
      <c r="Q2947" s="12" t="s">
        <v>14131</v>
      </c>
      <c r="R2947" s="15" t="s">
        <v>14132</v>
      </c>
      <c r="S2947" s="12">
        <v>271</v>
      </c>
      <c r="T2947" s="12" t="s">
        <v>39</v>
      </c>
      <c r="U2947" s="12" t="s">
        <v>40</v>
      </c>
      <c r="V2947" s="12" t="s">
        <v>586</v>
      </c>
      <c r="W2947" s="12">
        <v>12000000</v>
      </c>
      <c r="X2947" s="12">
        <v>2002</v>
      </c>
      <c r="Y2947" s="12">
        <v>1000</v>
      </c>
      <c r="Z2947" s="12">
        <v>7.4</v>
      </c>
      <c r="AA2947" s="12">
        <v>1.85</v>
      </c>
      <c r="AB2947" s="12">
        <v>0</v>
      </c>
      <c r="AC2947" s="12"/>
      <c r="AD2947" s="12" t="str">
        <f>IFERROR(__xludf.DUMMYFUNCTION("""COMPUTED_VALUE"""),"Nicole 'Snooki' Polizzi")</f>
        <v>Nicole 'Snooki' Polizzi</v>
      </c>
      <c r="AE2947" s="12"/>
    </row>
    <row r="2948" customHeight="1" spans="1:31">
      <c r="A2948" s="11" t="s">
        <v>30</v>
      </c>
      <c r="B2948" s="11" t="s">
        <v>14133</v>
      </c>
      <c r="C2948" s="11">
        <v>68</v>
      </c>
      <c r="D2948" s="11">
        <v>93</v>
      </c>
      <c r="E2948" s="11">
        <v>4</v>
      </c>
      <c r="F2948" s="11">
        <v>8</v>
      </c>
      <c r="G2948" s="11">
        <v>28</v>
      </c>
      <c r="H2948" s="11">
        <v>25240988</v>
      </c>
      <c r="I2948" s="11" t="s">
        <v>4068</v>
      </c>
      <c r="J2948" s="11" t="s">
        <v>14134</v>
      </c>
      <c r="K2948" s="11" t="s">
        <v>14135</v>
      </c>
      <c r="L2948" s="11" t="s">
        <v>14136</v>
      </c>
      <c r="M2948" s="11" t="s">
        <v>14137</v>
      </c>
      <c r="N2948" s="11">
        <v>12383</v>
      </c>
      <c r="O2948" s="11">
        <v>52</v>
      </c>
      <c r="P2948" s="11">
        <v>0</v>
      </c>
      <c r="Q2948" s="11" t="s">
        <v>14138</v>
      </c>
      <c r="R2948" s="14" t="s">
        <v>14139</v>
      </c>
      <c r="S2948" s="11">
        <v>50</v>
      </c>
      <c r="T2948" s="11" t="s">
        <v>39</v>
      </c>
      <c r="U2948" s="11" t="s">
        <v>40</v>
      </c>
      <c r="V2948" s="11" t="s">
        <v>96</v>
      </c>
      <c r="W2948" s="11">
        <v>12000000</v>
      </c>
      <c r="X2948" s="11">
        <v>2012</v>
      </c>
      <c r="Y2948" s="11">
        <v>9</v>
      </c>
      <c r="Z2948" s="11">
        <v>5.9</v>
      </c>
      <c r="AA2948" s="11">
        <v>1.85</v>
      </c>
      <c r="AB2948" s="11">
        <v>0</v>
      </c>
      <c r="AC2948" s="11"/>
      <c r="AD2948" s="11" t="str">
        <f>IFERROR(__xludf.DUMMYFUNCTION("""COMPUTED_VALUE"""),"Jenni 'Jwoww' Farley")</f>
        <v>Jenni 'Jwoww' Farley</v>
      </c>
      <c r="AE2948" s="11"/>
    </row>
    <row r="2949" customHeight="1" spans="1:31">
      <c r="A2949" s="12" t="s">
        <v>30</v>
      </c>
      <c r="B2949" s="12" t="s">
        <v>14140</v>
      </c>
      <c r="C2949" s="12">
        <v>326</v>
      </c>
      <c r="D2949" s="12">
        <v>133</v>
      </c>
      <c r="E2949" s="12">
        <v>131</v>
      </c>
      <c r="F2949" s="12">
        <v>733</v>
      </c>
      <c r="G2949" s="12">
        <v>8000</v>
      </c>
      <c r="H2949" s="12">
        <v>124868837</v>
      </c>
      <c r="I2949" s="12" t="s">
        <v>214</v>
      </c>
      <c r="J2949" s="12" t="s">
        <v>10706</v>
      </c>
      <c r="K2949" s="12" t="s">
        <v>6531</v>
      </c>
      <c r="L2949" s="12" t="s">
        <v>14141</v>
      </c>
      <c r="M2949" s="12" t="s">
        <v>14142</v>
      </c>
      <c r="N2949" s="12">
        <v>249688</v>
      </c>
      <c r="O2949" s="12">
        <v>10565</v>
      </c>
      <c r="P2949" s="12">
        <v>0</v>
      </c>
      <c r="Q2949" s="12" t="s">
        <v>14143</v>
      </c>
      <c r="R2949" s="15" t="s">
        <v>14144</v>
      </c>
      <c r="S2949" s="12">
        <v>548</v>
      </c>
      <c r="T2949" s="12" t="s">
        <v>39</v>
      </c>
      <c r="U2949" s="12" t="s">
        <v>40</v>
      </c>
      <c r="V2949" s="12" t="s">
        <v>41</v>
      </c>
      <c r="W2949" s="12">
        <v>12000000</v>
      </c>
      <c r="X2949" s="12">
        <v>2014</v>
      </c>
      <c r="Y2949" s="12">
        <v>1000</v>
      </c>
      <c r="Z2949" s="12">
        <v>7.8</v>
      </c>
      <c r="AA2949" s="12">
        <v>1.85</v>
      </c>
      <c r="AB2949" s="12">
        <v>93000</v>
      </c>
      <c r="AC2949" s="12"/>
      <c r="AD2949" s="12" t="str">
        <f>IFERROR(__xludf.DUMMYFUNCTION("""COMPUTED_VALUE"""),"Paul 'Pauly D' DelVecchio")</f>
        <v>Paul 'Pauly D' DelVecchio</v>
      </c>
      <c r="AE2949" s="12"/>
    </row>
    <row r="2950" customHeight="1" spans="1:31">
      <c r="A2950" s="11" t="s">
        <v>30</v>
      </c>
      <c r="B2950" s="11" t="s">
        <v>4424</v>
      </c>
      <c r="C2950" s="11">
        <v>128</v>
      </c>
      <c r="D2950" s="11">
        <v>121</v>
      </c>
      <c r="E2950" s="11">
        <v>131</v>
      </c>
      <c r="F2950" s="11">
        <v>599</v>
      </c>
      <c r="G2950" s="11">
        <v>13000</v>
      </c>
      <c r="H2950" s="11">
        <v>22905674</v>
      </c>
      <c r="I2950" s="11" t="s">
        <v>1936</v>
      </c>
      <c r="J2950" s="11" t="s">
        <v>1158</v>
      </c>
      <c r="K2950" s="11" t="s">
        <v>3261</v>
      </c>
      <c r="L2950" s="11" t="s">
        <v>5586</v>
      </c>
      <c r="M2950" s="11" t="s">
        <v>14145</v>
      </c>
      <c r="N2950" s="11">
        <v>121676</v>
      </c>
      <c r="O2950" s="11">
        <v>14890</v>
      </c>
      <c r="P2950" s="11">
        <v>2</v>
      </c>
      <c r="Q2950" s="11" t="s">
        <v>14146</v>
      </c>
      <c r="R2950" s="14" t="s">
        <v>14147</v>
      </c>
      <c r="S2950" s="11">
        <v>290</v>
      </c>
      <c r="T2950" s="11" t="s">
        <v>39</v>
      </c>
      <c r="U2950" s="11" t="s">
        <v>40</v>
      </c>
      <c r="V2950" s="11" t="s">
        <v>586</v>
      </c>
      <c r="W2950" s="11">
        <v>12000000</v>
      </c>
      <c r="X2950" s="11">
        <v>1998</v>
      </c>
      <c r="Y2950" s="11">
        <v>940</v>
      </c>
      <c r="Z2950" s="11">
        <v>7.4</v>
      </c>
      <c r="AA2950" s="11">
        <v>2.35</v>
      </c>
      <c r="AB2950" s="11">
        <v>0</v>
      </c>
      <c r="AC2950" s="11"/>
      <c r="AD2950" s="11" t="str">
        <f>IFERROR(__xludf.DUMMYFUNCTION("""COMPUTED_VALUE"""),"Bunta Sugawara")</f>
        <v>Bunta Sugawara</v>
      </c>
      <c r="AE2950" s="11"/>
    </row>
    <row r="2951" customHeight="1" spans="1:31">
      <c r="A2951" s="12" t="s">
        <v>30</v>
      </c>
      <c r="B2951" s="12" t="s">
        <v>7228</v>
      </c>
      <c r="C2951" s="12">
        <v>161</v>
      </c>
      <c r="D2951" s="12">
        <v>102</v>
      </c>
      <c r="E2951" s="12">
        <v>0</v>
      </c>
      <c r="F2951" s="12">
        <v>555</v>
      </c>
      <c r="G2951" s="12">
        <v>3000</v>
      </c>
      <c r="H2951" s="12">
        <v>25277561</v>
      </c>
      <c r="I2951" s="12" t="s">
        <v>1681</v>
      </c>
      <c r="J2951" s="12" t="s">
        <v>984</v>
      </c>
      <c r="K2951" s="12" t="s">
        <v>3899</v>
      </c>
      <c r="L2951" s="12" t="s">
        <v>9683</v>
      </c>
      <c r="M2951" s="12" t="s">
        <v>14148</v>
      </c>
      <c r="N2951" s="12">
        <v>21672</v>
      </c>
      <c r="O2951" s="12">
        <v>5592</v>
      </c>
      <c r="P2951" s="12">
        <v>10</v>
      </c>
      <c r="Q2951" s="12" t="s">
        <v>14149</v>
      </c>
      <c r="R2951" s="15" t="s">
        <v>14150</v>
      </c>
      <c r="S2951" s="12">
        <v>93</v>
      </c>
      <c r="T2951" s="12" t="s">
        <v>39</v>
      </c>
      <c r="U2951" s="12" t="s">
        <v>40</v>
      </c>
      <c r="V2951" s="12" t="s">
        <v>586</v>
      </c>
      <c r="W2951" s="12">
        <v>12000000</v>
      </c>
      <c r="X2951" s="12">
        <v>2014</v>
      </c>
      <c r="Y2951" s="12">
        <v>966</v>
      </c>
      <c r="Z2951" s="12">
        <v>6.5</v>
      </c>
      <c r="AA2951" s="12">
        <v>2.35</v>
      </c>
      <c r="AB2951" s="12">
        <v>0</v>
      </c>
      <c r="AC2951" s="12"/>
      <c r="AD2951" s="12" t="str">
        <f>IFERROR(__xludf.DUMMYFUNCTION("""COMPUTED_VALUE"""),"Ryûnosuke Kamiki")</f>
        <v>Ryûnosuke Kamiki</v>
      </c>
      <c r="AE2951" s="12"/>
    </row>
    <row r="2952" customHeight="1" spans="1:31">
      <c r="A2952" s="11" t="s">
        <v>30</v>
      </c>
      <c r="B2952" s="11" t="s">
        <v>4713</v>
      </c>
      <c r="C2952" s="11">
        <v>70</v>
      </c>
      <c r="D2952" s="11">
        <v>102</v>
      </c>
      <c r="E2952" s="11">
        <v>287</v>
      </c>
      <c r="F2952" s="11">
        <v>79</v>
      </c>
      <c r="G2952" s="11">
        <v>452</v>
      </c>
      <c r="H2952" s="13"/>
      <c r="I2952" s="11" t="s">
        <v>10223</v>
      </c>
      <c r="J2952" s="11" t="s">
        <v>14151</v>
      </c>
      <c r="K2952" s="11" t="s">
        <v>14152</v>
      </c>
      <c r="L2952" s="11" t="s">
        <v>14153</v>
      </c>
      <c r="M2952" s="11" t="s">
        <v>14154</v>
      </c>
      <c r="N2952" s="11">
        <v>3000</v>
      </c>
      <c r="O2952" s="11">
        <v>729</v>
      </c>
      <c r="P2952" s="11">
        <v>1</v>
      </c>
      <c r="Q2952" s="11" t="s">
        <v>14155</v>
      </c>
      <c r="R2952" s="14" t="s">
        <v>14156</v>
      </c>
      <c r="S2952" s="11">
        <v>75</v>
      </c>
      <c r="T2952" s="11" t="s">
        <v>39</v>
      </c>
      <c r="U2952" s="11" t="s">
        <v>40</v>
      </c>
      <c r="V2952" s="11" t="s">
        <v>96</v>
      </c>
      <c r="W2952" s="11">
        <v>12000000</v>
      </c>
      <c r="X2952" s="11">
        <v>1979</v>
      </c>
      <c r="Y2952" s="11">
        <v>122</v>
      </c>
      <c r="Z2952" s="11">
        <v>5.4</v>
      </c>
      <c r="AA2952" s="11">
        <v>2.35</v>
      </c>
      <c r="AB2952" s="11">
        <v>902</v>
      </c>
      <c r="AC2952" s="11"/>
      <c r="AD2952" s="11" t="str">
        <f>IFERROR(__xludf.DUMMYFUNCTION("""COMPUTED_VALUE"""),"Miyu Irino")</f>
        <v>Miyu Irino</v>
      </c>
      <c r="AE2952" s="11"/>
    </row>
    <row r="2953" customHeight="1" spans="1:31">
      <c r="A2953" s="12" t="s">
        <v>30</v>
      </c>
      <c r="B2953" s="12" t="s">
        <v>4402</v>
      </c>
      <c r="C2953" s="12">
        <v>164</v>
      </c>
      <c r="D2953" s="12">
        <v>99</v>
      </c>
      <c r="E2953" s="12">
        <v>192</v>
      </c>
      <c r="F2953" s="12">
        <v>282</v>
      </c>
      <c r="G2953" s="12">
        <v>347</v>
      </c>
      <c r="H2953" s="12">
        <v>21133087</v>
      </c>
      <c r="I2953" s="12" t="s">
        <v>3030</v>
      </c>
      <c r="J2953" s="12" t="s">
        <v>7944</v>
      </c>
      <c r="K2953" s="12" t="s">
        <v>14157</v>
      </c>
      <c r="L2953" s="12" t="s">
        <v>14158</v>
      </c>
      <c r="M2953" s="12" t="s">
        <v>14159</v>
      </c>
      <c r="N2953" s="12">
        <v>62468</v>
      </c>
      <c r="O2953" s="12">
        <v>1254</v>
      </c>
      <c r="P2953" s="12">
        <v>0</v>
      </c>
      <c r="Q2953" s="12" t="s">
        <v>14160</v>
      </c>
      <c r="R2953" s="15" t="s">
        <v>14161</v>
      </c>
      <c r="S2953" s="12">
        <v>374</v>
      </c>
      <c r="T2953" s="12" t="s">
        <v>39</v>
      </c>
      <c r="U2953" s="12" t="s">
        <v>40</v>
      </c>
      <c r="V2953" s="12" t="s">
        <v>586</v>
      </c>
      <c r="W2953" s="12">
        <v>12000000</v>
      </c>
      <c r="X2953" s="12">
        <v>1999</v>
      </c>
      <c r="Y2953" s="12">
        <v>301</v>
      </c>
      <c r="Z2953" s="12">
        <v>7</v>
      </c>
      <c r="AA2953" s="12">
        <v>1.85</v>
      </c>
      <c r="AB2953" s="12">
        <v>0</v>
      </c>
      <c r="AC2953" s="12"/>
      <c r="AD2953" s="12" t="str">
        <f>IFERROR(__xludf.DUMMYFUNCTION("""COMPUTED_VALUE"""),"Michael Wong")</f>
        <v>Michael Wong</v>
      </c>
      <c r="AE2953" s="12"/>
    </row>
    <row r="2954" customHeight="1" spans="1:31">
      <c r="A2954" s="11" t="s">
        <v>30</v>
      </c>
      <c r="B2954" s="13"/>
      <c r="C2954" s="11">
        <v>68</v>
      </c>
      <c r="D2954" s="11">
        <v>55</v>
      </c>
      <c r="E2954" s="13"/>
      <c r="F2954" s="11">
        <v>898</v>
      </c>
      <c r="G2954" s="11">
        <v>1000</v>
      </c>
      <c r="H2954" s="13"/>
      <c r="I2954" s="11" t="s">
        <v>14162</v>
      </c>
      <c r="J2954" s="11" t="s">
        <v>1116</v>
      </c>
      <c r="K2954" s="11" t="s">
        <v>14163</v>
      </c>
      <c r="L2954" s="11" t="s">
        <v>14164</v>
      </c>
      <c r="M2954" s="11" t="s">
        <v>14165</v>
      </c>
      <c r="N2954" s="11">
        <v>173172</v>
      </c>
      <c r="O2954" s="11">
        <v>6091</v>
      </c>
      <c r="P2954" s="11">
        <v>2</v>
      </c>
      <c r="Q2954" s="11" t="s">
        <v>14166</v>
      </c>
      <c r="R2954" s="14" t="s">
        <v>14167</v>
      </c>
      <c r="S2954" s="11">
        <v>302</v>
      </c>
      <c r="T2954" s="11" t="s">
        <v>39</v>
      </c>
      <c r="U2954" s="11" t="s">
        <v>40</v>
      </c>
      <c r="V2954" s="11" t="s">
        <v>2636</v>
      </c>
      <c r="W2954" s="13"/>
      <c r="X2954" s="13"/>
      <c r="Y2954" s="11">
        <v>939</v>
      </c>
      <c r="Z2954" s="11">
        <v>8.6</v>
      </c>
      <c r="AA2954" s="11">
        <v>16</v>
      </c>
      <c r="AB2954" s="11">
        <v>31000</v>
      </c>
      <c r="AC2954" s="11"/>
      <c r="AD2954" s="11" t="str">
        <f>IFERROR(__xludf.DUMMYFUNCTION("""COMPUTED_VALUE"""),"Terence Yin")</f>
        <v>Terence Yin</v>
      </c>
      <c r="AE2954" s="11"/>
    </row>
    <row r="2955" customHeight="1" spans="1:31">
      <c r="A2955" s="12" t="s">
        <v>30</v>
      </c>
      <c r="B2955" s="12" t="s">
        <v>5648</v>
      </c>
      <c r="C2955" s="12">
        <v>354</v>
      </c>
      <c r="D2955" s="12">
        <v>98</v>
      </c>
      <c r="E2955" s="12">
        <v>350</v>
      </c>
      <c r="F2955" s="12">
        <v>322</v>
      </c>
      <c r="G2955" s="12">
        <v>1000</v>
      </c>
      <c r="H2955" s="12">
        <v>37707719</v>
      </c>
      <c r="I2955" s="12" t="s">
        <v>1544</v>
      </c>
      <c r="J2955" s="12" t="s">
        <v>813</v>
      </c>
      <c r="K2955" s="12" t="s">
        <v>14168</v>
      </c>
      <c r="L2955" s="12" t="s">
        <v>14169</v>
      </c>
      <c r="M2955" s="12" t="s">
        <v>14170</v>
      </c>
      <c r="N2955" s="12">
        <v>76094</v>
      </c>
      <c r="O2955" s="12">
        <v>2376</v>
      </c>
      <c r="P2955" s="12">
        <v>2</v>
      </c>
      <c r="Q2955" s="12" t="s">
        <v>14171</v>
      </c>
      <c r="R2955" s="15" t="s">
        <v>14172</v>
      </c>
      <c r="S2955" s="12">
        <v>233</v>
      </c>
      <c r="T2955" s="12" t="s">
        <v>39</v>
      </c>
      <c r="U2955" s="12" t="s">
        <v>58</v>
      </c>
      <c r="V2955" s="12" t="s">
        <v>41</v>
      </c>
      <c r="W2955" s="12">
        <v>12000000</v>
      </c>
      <c r="X2955" s="12">
        <v>2013</v>
      </c>
      <c r="Y2955" s="12">
        <v>482</v>
      </c>
      <c r="Z2955" s="12">
        <v>7.6</v>
      </c>
      <c r="AA2955" s="12">
        <v>1.85</v>
      </c>
      <c r="AB2955" s="12">
        <v>37000</v>
      </c>
      <c r="AC2955" s="12"/>
      <c r="AD2955" s="12" t="str">
        <f>IFERROR(__xludf.DUMMYFUNCTION("""COMPUTED_VALUE"""),"Sophie Nélisse")</f>
        <v>Sophie Nélisse</v>
      </c>
      <c r="AE2955" s="12"/>
    </row>
    <row r="2956" customHeight="1" spans="1:31">
      <c r="A2956" s="11" t="s">
        <v>30</v>
      </c>
      <c r="B2956" s="11" t="s">
        <v>11066</v>
      </c>
      <c r="C2956" s="11">
        <v>125</v>
      </c>
      <c r="D2956" s="11">
        <v>118</v>
      </c>
      <c r="E2956" s="11">
        <v>57</v>
      </c>
      <c r="F2956" s="11">
        <v>805</v>
      </c>
      <c r="G2956" s="11">
        <v>975</v>
      </c>
      <c r="H2956" s="11">
        <v>18761993</v>
      </c>
      <c r="I2956" s="11" t="s">
        <v>2528</v>
      </c>
      <c r="J2956" s="11" t="s">
        <v>4000</v>
      </c>
      <c r="K2956" s="11" t="s">
        <v>4635</v>
      </c>
      <c r="L2956" s="11" t="s">
        <v>2319</v>
      </c>
      <c r="M2956" s="11" t="s">
        <v>14173</v>
      </c>
      <c r="N2956" s="11">
        <v>19007</v>
      </c>
      <c r="O2956" s="11">
        <v>2944</v>
      </c>
      <c r="P2956" s="11">
        <v>1</v>
      </c>
      <c r="Q2956" s="11" t="s">
        <v>14174</v>
      </c>
      <c r="R2956" s="14" t="s">
        <v>14175</v>
      </c>
      <c r="S2956" s="11">
        <v>219</v>
      </c>
      <c r="T2956" s="11" t="s">
        <v>39</v>
      </c>
      <c r="U2956" s="11" t="s">
        <v>40</v>
      </c>
      <c r="V2956" s="11" t="s">
        <v>586</v>
      </c>
      <c r="W2956" s="11">
        <v>9000000</v>
      </c>
      <c r="X2956" s="11">
        <v>2005</v>
      </c>
      <c r="Y2956" s="11">
        <v>931</v>
      </c>
      <c r="Z2956" s="11">
        <v>6.9</v>
      </c>
      <c r="AA2956" s="11">
        <v>2.35</v>
      </c>
      <c r="AB2956" s="11">
        <v>549</v>
      </c>
      <c r="AC2956" s="11"/>
      <c r="AD2956" s="11" t="str">
        <f>IFERROR(__xludf.DUMMYFUNCTION("""COMPUTED_VALUE"""),"Roger Allam")</f>
        <v>Roger Allam</v>
      </c>
      <c r="AE2956" s="11"/>
    </row>
    <row r="2957" customHeight="1" spans="1:31">
      <c r="A2957" s="12" t="s">
        <v>30</v>
      </c>
      <c r="B2957" s="12" t="s">
        <v>14100</v>
      </c>
      <c r="C2957" s="12">
        <v>55</v>
      </c>
      <c r="D2957" s="12">
        <v>125</v>
      </c>
      <c r="E2957" s="12">
        <v>76</v>
      </c>
      <c r="F2957" s="12">
        <v>801</v>
      </c>
      <c r="G2957" s="12">
        <v>1000</v>
      </c>
      <c r="H2957" s="16"/>
      <c r="I2957" s="12" t="s">
        <v>4075</v>
      </c>
      <c r="J2957" s="12" t="s">
        <v>3513</v>
      </c>
      <c r="K2957" s="12" t="s">
        <v>8281</v>
      </c>
      <c r="L2957" s="12" t="s">
        <v>11091</v>
      </c>
      <c r="M2957" s="12" t="s">
        <v>14176</v>
      </c>
      <c r="N2957" s="12">
        <v>20660</v>
      </c>
      <c r="O2957" s="12">
        <v>4659</v>
      </c>
      <c r="P2957" s="12">
        <v>3</v>
      </c>
      <c r="Q2957" s="12" t="s">
        <v>14177</v>
      </c>
      <c r="R2957" s="15" t="s">
        <v>14178</v>
      </c>
      <c r="S2957" s="12">
        <v>123</v>
      </c>
      <c r="T2957" s="12" t="s">
        <v>39</v>
      </c>
      <c r="U2957" s="12" t="s">
        <v>58</v>
      </c>
      <c r="V2957" s="12" t="s">
        <v>586</v>
      </c>
      <c r="W2957" s="12">
        <v>12000000</v>
      </c>
      <c r="X2957" s="12">
        <v>1978</v>
      </c>
      <c r="Y2957" s="12">
        <v>837</v>
      </c>
      <c r="Z2957" s="12">
        <v>7</v>
      </c>
      <c r="AA2957" s="12">
        <v>1.85</v>
      </c>
      <c r="AB2957" s="12">
        <v>0</v>
      </c>
      <c r="AC2957" s="12"/>
      <c r="AD2957" s="12" t="str">
        <f>IFERROR(__xludf.DUMMYFUNCTION("""COMPUTED_VALUE"""),"Katrina Bowden")</f>
        <v>Katrina Bowden</v>
      </c>
      <c r="AE2957" s="12"/>
    </row>
    <row r="2958" customHeight="1" spans="1:31">
      <c r="A2958" s="11" t="s">
        <v>30</v>
      </c>
      <c r="B2958" s="11" t="s">
        <v>12905</v>
      </c>
      <c r="C2958" s="11">
        <v>66</v>
      </c>
      <c r="D2958" s="11">
        <v>104</v>
      </c>
      <c r="E2958" s="11">
        <v>20</v>
      </c>
      <c r="F2958" s="11">
        <v>717</v>
      </c>
      <c r="G2958" s="11">
        <v>836</v>
      </c>
      <c r="H2958" s="11">
        <v>18595716</v>
      </c>
      <c r="I2958" s="11" t="s">
        <v>2614</v>
      </c>
      <c r="J2958" s="11" t="s">
        <v>14179</v>
      </c>
      <c r="K2958" s="11" t="s">
        <v>14180</v>
      </c>
      <c r="L2958" s="11" t="s">
        <v>14181</v>
      </c>
      <c r="M2958" s="11" t="s">
        <v>14182</v>
      </c>
      <c r="N2958" s="11">
        <v>30462</v>
      </c>
      <c r="O2958" s="11">
        <v>3963</v>
      </c>
      <c r="P2958" s="11">
        <v>3</v>
      </c>
      <c r="Q2958" s="11" t="s">
        <v>14183</v>
      </c>
      <c r="R2958" s="14" t="s">
        <v>14184</v>
      </c>
      <c r="S2958" s="11">
        <v>150</v>
      </c>
      <c r="T2958" s="11" t="s">
        <v>39</v>
      </c>
      <c r="U2958" s="11" t="s">
        <v>40</v>
      </c>
      <c r="V2958" s="11" t="s">
        <v>96</v>
      </c>
      <c r="W2958" s="11">
        <v>12000000</v>
      </c>
      <c r="X2958" s="11">
        <v>2006</v>
      </c>
      <c r="Y2958" s="11">
        <v>826</v>
      </c>
      <c r="Z2958" s="11">
        <v>5.3</v>
      </c>
      <c r="AA2958" s="11">
        <v>1.85</v>
      </c>
      <c r="AB2958" s="11">
        <v>0</v>
      </c>
      <c r="AC2958" s="11"/>
      <c r="AD2958" s="11" t="str">
        <f>IFERROR(__xludf.DUMMYFUNCTION("""COMPUTED_VALUE"""),"Dominique McElligott")</f>
        <v>Dominique McElligott</v>
      </c>
      <c r="AE2958" s="11"/>
    </row>
    <row r="2959" customHeight="1" spans="1:31">
      <c r="A2959" s="12" t="s">
        <v>30</v>
      </c>
      <c r="B2959" s="12" t="s">
        <v>14185</v>
      </c>
      <c r="C2959" s="12">
        <v>191</v>
      </c>
      <c r="D2959" s="12">
        <v>109</v>
      </c>
      <c r="E2959" s="12">
        <v>14</v>
      </c>
      <c r="F2959" s="12">
        <v>376</v>
      </c>
      <c r="G2959" s="12">
        <v>733</v>
      </c>
      <c r="H2959" s="12">
        <v>31990064</v>
      </c>
      <c r="I2959" s="12" t="s">
        <v>3832</v>
      </c>
      <c r="J2959" s="12" t="s">
        <v>14141</v>
      </c>
      <c r="K2959" s="12" t="s">
        <v>942</v>
      </c>
      <c r="L2959" s="12" t="s">
        <v>14186</v>
      </c>
      <c r="M2959" s="12" t="s">
        <v>14187</v>
      </c>
      <c r="N2959" s="12">
        <v>63390</v>
      </c>
      <c r="O2959" s="12">
        <v>2753</v>
      </c>
      <c r="P2959" s="12">
        <v>2</v>
      </c>
      <c r="Q2959" s="12" t="s">
        <v>14188</v>
      </c>
      <c r="R2959" s="15" t="s">
        <v>14189</v>
      </c>
      <c r="S2959" s="12">
        <v>160</v>
      </c>
      <c r="T2959" s="12" t="s">
        <v>39</v>
      </c>
      <c r="U2959" s="12" t="s">
        <v>40</v>
      </c>
      <c r="V2959" s="12" t="s">
        <v>41</v>
      </c>
      <c r="W2959" s="12">
        <v>12000000</v>
      </c>
      <c r="X2959" s="12">
        <v>2015</v>
      </c>
      <c r="Y2959" s="12">
        <v>558</v>
      </c>
      <c r="Z2959" s="12">
        <v>6.4</v>
      </c>
      <c r="AA2959" s="12">
        <v>2.35</v>
      </c>
      <c r="AB2959" s="12">
        <v>0</v>
      </c>
      <c r="AC2959" s="12"/>
      <c r="AD2959" s="12" t="str">
        <f>IFERROR(__xludf.DUMMYFUNCTION("""COMPUTED_VALUE"""),"Mel Ferrer")</f>
        <v>Mel Ferrer</v>
      </c>
      <c r="AE2959" s="12"/>
    </row>
    <row r="2960" customHeight="1" spans="1:31">
      <c r="A2960" s="11" t="s">
        <v>30</v>
      </c>
      <c r="B2960" s="11" t="s">
        <v>14190</v>
      </c>
      <c r="C2960" s="11">
        <v>33</v>
      </c>
      <c r="D2960" s="11">
        <v>86</v>
      </c>
      <c r="E2960" s="11">
        <v>17</v>
      </c>
      <c r="F2960" s="11">
        <v>581</v>
      </c>
      <c r="G2960" s="11">
        <v>873</v>
      </c>
      <c r="H2960" s="11">
        <v>17321573</v>
      </c>
      <c r="I2960" s="11" t="s">
        <v>1672</v>
      </c>
      <c r="J2960" s="11" t="s">
        <v>2002</v>
      </c>
      <c r="K2960" s="11" t="s">
        <v>2196</v>
      </c>
      <c r="L2960" s="11" t="s">
        <v>496</v>
      </c>
      <c r="M2960" s="11" t="s">
        <v>14191</v>
      </c>
      <c r="N2960" s="11">
        <v>3119</v>
      </c>
      <c r="O2960" s="11">
        <v>3646</v>
      </c>
      <c r="P2960" s="11">
        <v>5</v>
      </c>
      <c r="Q2960" s="11" t="s">
        <v>14192</v>
      </c>
      <c r="R2960" s="14" t="s">
        <v>14193</v>
      </c>
      <c r="S2960" s="11">
        <v>18</v>
      </c>
      <c r="T2960" s="11" t="s">
        <v>39</v>
      </c>
      <c r="U2960" s="11" t="s">
        <v>40</v>
      </c>
      <c r="V2960" s="11" t="s">
        <v>41</v>
      </c>
      <c r="W2960" s="13"/>
      <c r="X2960" s="11">
        <v>2004</v>
      </c>
      <c r="Y2960" s="11">
        <v>691</v>
      </c>
      <c r="Z2960" s="11">
        <v>4.5</v>
      </c>
      <c r="AA2960" s="11">
        <v>1.85</v>
      </c>
      <c r="AB2960" s="11">
        <v>151</v>
      </c>
      <c r="AC2960" s="11"/>
      <c r="AD2960" s="11" t="str">
        <f>IFERROR(__xludf.DUMMYFUNCTION("""COMPUTED_VALUE"""),"Stephen Boyd")</f>
        <v>Stephen Boyd</v>
      </c>
      <c r="AE2960" s="11"/>
    </row>
    <row r="2961" customHeight="1" spans="1:31">
      <c r="A2961" s="12" t="s">
        <v>748</v>
      </c>
      <c r="B2961" s="12" t="s">
        <v>8192</v>
      </c>
      <c r="C2961" s="12">
        <v>433</v>
      </c>
      <c r="D2961" s="12">
        <v>115</v>
      </c>
      <c r="E2961" s="12">
        <v>729</v>
      </c>
      <c r="F2961" s="12">
        <v>622</v>
      </c>
      <c r="G2961" s="12">
        <v>1000</v>
      </c>
      <c r="H2961" s="12">
        <v>17613460</v>
      </c>
      <c r="I2961" s="12" t="s">
        <v>5384</v>
      </c>
      <c r="J2961" s="12" t="s">
        <v>2814</v>
      </c>
      <c r="K2961" s="12" t="s">
        <v>10437</v>
      </c>
      <c r="L2961" s="12" t="s">
        <v>2102</v>
      </c>
      <c r="M2961" s="12" t="s">
        <v>14194</v>
      </c>
      <c r="N2961" s="12">
        <v>91082</v>
      </c>
      <c r="O2961" s="12">
        <v>3798</v>
      </c>
      <c r="P2961" s="12">
        <v>0</v>
      </c>
      <c r="Q2961" s="12" t="s">
        <v>14195</v>
      </c>
      <c r="R2961" s="15" t="s">
        <v>14196</v>
      </c>
      <c r="S2961" s="12">
        <v>274</v>
      </c>
      <c r="T2961" s="12" t="s">
        <v>39</v>
      </c>
      <c r="U2961" s="12" t="s">
        <v>40</v>
      </c>
      <c r="V2961" s="12" t="s">
        <v>586</v>
      </c>
      <c r="W2961" s="12">
        <v>12000000</v>
      </c>
      <c r="X2961" s="12">
        <v>2013</v>
      </c>
      <c r="Y2961" s="12">
        <v>844</v>
      </c>
      <c r="Z2961" s="12">
        <v>7.8</v>
      </c>
      <c r="AA2961" s="12">
        <v>2.35</v>
      </c>
      <c r="AB2961" s="12">
        <v>28000</v>
      </c>
      <c r="AC2961" s="12"/>
      <c r="AD2961" s="12" t="str">
        <f>IFERROR(__xludf.DUMMYFUNCTION("""COMPUTED_VALUE"""),"Dante Brown")</f>
        <v>Dante Brown</v>
      </c>
      <c r="AE2961" s="12"/>
    </row>
    <row r="2962" customHeight="1" spans="1:31">
      <c r="A2962" s="11" t="s">
        <v>30</v>
      </c>
      <c r="B2962" s="11" t="s">
        <v>14197</v>
      </c>
      <c r="C2962" s="11">
        <v>66</v>
      </c>
      <c r="D2962" s="11">
        <v>92</v>
      </c>
      <c r="E2962" s="11">
        <v>226</v>
      </c>
      <c r="F2962" s="11">
        <v>580</v>
      </c>
      <c r="G2962" s="11">
        <v>1000</v>
      </c>
      <c r="H2962" s="11">
        <v>21088568</v>
      </c>
      <c r="I2962" s="11" t="s">
        <v>8946</v>
      </c>
      <c r="J2962" s="11" t="s">
        <v>33</v>
      </c>
      <c r="K2962" s="11" t="s">
        <v>805</v>
      </c>
      <c r="L2962" s="11" t="s">
        <v>3546</v>
      </c>
      <c r="M2962" s="11" t="s">
        <v>14198</v>
      </c>
      <c r="N2962" s="11">
        <v>16646</v>
      </c>
      <c r="O2962" s="11">
        <v>3931</v>
      </c>
      <c r="P2962" s="11">
        <v>1</v>
      </c>
      <c r="Q2962" s="11" t="s">
        <v>14199</v>
      </c>
      <c r="R2962" s="14" t="s">
        <v>14200</v>
      </c>
      <c r="S2962" s="11">
        <v>104</v>
      </c>
      <c r="T2962" s="11" t="s">
        <v>39</v>
      </c>
      <c r="U2962" s="11" t="s">
        <v>40</v>
      </c>
      <c r="V2962" s="11" t="s">
        <v>586</v>
      </c>
      <c r="W2962" s="11">
        <v>13000000</v>
      </c>
      <c r="X2962" s="11">
        <v>1995</v>
      </c>
      <c r="Y2962" s="11">
        <v>851</v>
      </c>
      <c r="Z2962" s="11">
        <v>6.7</v>
      </c>
      <c r="AA2962" s="11">
        <v>1.85</v>
      </c>
      <c r="AB2962" s="11">
        <v>0</v>
      </c>
      <c r="AC2962" s="11"/>
      <c r="AD2962" s="11" t="str">
        <f>IFERROR(__xludf.DUMMYFUNCTION("""COMPUTED_VALUE"""),"Darci Kistler")</f>
        <v>Darci Kistler</v>
      </c>
      <c r="AE2962" s="11"/>
    </row>
    <row r="2963" customHeight="1" spans="1:31">
      <c r="A2963" s="12" t="s">
        <v>30</v>
      </c>
      <c r="B2963" s="12" t="s">
        <v>3918</v>
      </c>
      <c r="C2963" s="12">
        <v>37</v>
      </c>
      <c r="D2963" s="12">
        <v>91</v>
      </c>
      <c r="E2963" s="12">
        <v>25</v>
      </c>
      <c r="F2963" s="12">
        <v>611</v>
      </c>
      <c r="G2963" s="12">
        <v>833</v>
      </c>
      <c r="H2963" s="12">
        <v>17292381</v>
      </c>
      <c r="I2963" s="12" t="s">
        <v>14201</v>
      </c>
      <c r="J2963" s="12" t="s">
        <v>1477</v>
      </c>
      <c r="K2963" s="12" t="s">
        <v>2095</v>
      </c>
      <c r="L2963" s="12" t="s">
        <v>2470</v>
      </c>
      <c r="M2963" s="12" t="s">
        <v>14202</v>
      </c>
      <c r="N2963" s="12">
        <v>5794</v>
      </c>
      <c r="O2963" s="12">
        <v>4551</v>
      </c>
      <c r="P2963" s="12">
        <v>0</v>
      </c>
      <c r="Q2963" s="12" t="s">
        <v>14203</v>
      </c>
      <c r="R2963" s="15" t="s">
        <v>14204</v>
      </c>
      <c r="S2963" s="12">
        <v>69</v>
      </c>
      <c r="T2963" s="12" t="s">
        <v>39</v>
      </c>
      <c r="U2963" s="12" t="s">
        <v>40</v>
      </c>
      <c r="V2963" s="12" t="s">
        <v>96</v>
      </c>
      <c r="W2963" s="12">
        <v>12000000</v>
      </c>
      <c r="X2963" s="12">
        <v>2001</v>
      </c>
      <c r="Y2963" s="12">
        <v>626</v>
      </c>
      <c r="Z2963" s="12">
        <v>5.3</v>
      </c>
      <c r="AA2963" s="12">
        <v>1.85</v>
      </c>
      <c r="AB2963" s="12">
        <v>371</v>
      </c>
      <c r="AC2963" s="12"/>
      <c r="AD2963" s="12" t="str">
        <f>IFERROR(__xludf.DUMMYFUNCTION("""COMPUTED_VALUE"""),"Kyra Nichols")</f>
        <v>Kyra Nichols</v>
      </c>
      <c r="AE2963" s="12"/>
    </row>
    <row r="2964" customHeight="1" spans="1:31">
      <c r="A2964" s="11" t="s">
        <v>30</v>
      </c>
      <c r="B2964" s="11" t="s">
        <v>8187</v>
      </c>
      <c r="C2964" s="11">
        <v>325</v>
      </c>
      <c r="D2964" s="11">
        <v>94</v>
      </c>
      <c r="E2964" s="11">
        <v>655</v>
      </c>
      <c r="F2964" s="11">
        <v>390</v>
      </c>
      <c r="G2964" s="11">
        <v>9000</v>
      </c>
      <c r="H2964" s="11">
        <v>16300302</v>
      </c>
      <c r="I2964" s="11" t="s">
        <v>2528</v>
      </c>
      <c r="J2964" s="11" t="s">
        <v>778</v>
      </c>
      <c r="K2964" s="11" t="s">
        <v>7129</v>
      </c>
      <c r="L2964" s="11" t="s">
        <v>7184</v>
      </c>
      <c r="M2964" s="11" t="s">
        <v>14205</v>
      </c>
      <c r="N2964" s="11">
        <v>64682</v>
      </c>
      <c r="O2964" s="11">
        <v>10575</v>
      </c>
      <c r="P2964" s="11">
        <v>1</v>
      </c>
      <c r="Q2964" s="11" t="s">
        <v>14206</v>
      </c>
      <c r="R2964" s="14" t="s">
        <v>14207</v>
      </c>
      <c r="S2964" s="11">
        <v>203</v>
      </c>
      <c r="T2964" s="11" t="s">
        <v>39</v>
      </c>
      <c r="U2964" s="11" t="s">
        <v>40</v>
      </c>
      <c r="V2964" s="11" t="s">
        <v>586</v>
      </c>
      <c r="W2964" s="11">
        <v>12000000</v>
      </c>
      <c r="X2964" s="11">
        <v>2011</v>
      </c>
      <c r="Y2964" s="11">
        <v>786</v>
      </c>
      <c r="Z2964" s="11">
        <v>6.3</v>
      </c>
      <c r="AA2964" s="11">
        <v>1.85</v>
      </c>
      <c r="AB2964" s="11">
        <v>0</v>
      </c>
      <c r="AC2964" s="11"/>
      <c r="AD2964" s="11" t="str">
        <f>IFERROR(__xludf.DUMMYFUNCTION("""COMPUTED_VALUE"""),"Margaret Tracey")</f>
        <v>Margaret Tracey</v>
      </c>
      <c r="AE2964" s="11"/>
    </row>
    <row r="2965" customHeight="1" spans="1:31">
      <c r="A2965" s="12" t="s">
        <v>30</v>
      </c>
      <c r="B2965" s="12" t="s">
        <v>4532</v>
      </c>
      <c r="C2965" s="12">
        <v>170</v>
      </c>
      <c r="D2965" s="12">
        <v>93</v>
      </c>
      <c r="E2965" s="12">
        <v>83</v>
      </c>
      <c r="F2965" s="12">
        <v>501</v>
      </c>
      <c r="G2965" s="12">
        <v>26000</v>
      </c>
      <c r="H2965" s="12">
        <v>27829874</v>
      </c>
      <c r="I2965" s="12" t="s">
        <v>334</v>
      </c>
      <c r="J2965" s="12" t="s">
        <v>335</v>
      </c>
      <c r="K2965" s="12" t="s">
        <v>11256</v>
      </c>
      <c r="L2965" s="12" t="s">
        <v>2731</v>
      </c>
      <c r="M2965" s="12" t="s">
        <v>14208</v>
      </c>
      <c r="N2965" s="12">
        <v>196422</v>
      </c>
      <c r="O2965" s="12">
        <v>28767</v>
      </c>
      <c r="P2965" s="12">
        <v>1</v>
      </c>
      <c r="Q2965" s="12" t="s">
        <v>14209</v>
      </c>
      <c r="R2965" s="15" t="s">
        <v>14210</v>
      </c>
      <c r="S2965" s="12">
        <v>444</v>
      </c>
      <c r="T2965" s="12" t="s">
        <v>39</v>
      </c>
      <c r="U2965" s="12" t="s">
        <v>40</v>
      </c>
      <c r="V2965" s="12" t="s">
        <v>586</v>
      </c>
      <c r="W2965" s="12">
        <v>12000000</v>
      </c>
      <c r="X2965" s="12">
        <v>2006</v>
      </c>
      <c r="Y2965" s="12">
        <v>725</v>
      </c>
      <c r="Z2965" s="12">
        <v>7</v>
      </c>
      <c r="AA2965" s="12">
        <v>1.78</v>
      </c>
      <c r="AB2965" s="12">
        <v>0</v>
      </c>
      <c r="AC2965" s="12"/>
      <c r="AD2965" s="12" t="str">
        <f>IFERROR(__xludf.DUMMYFUNCTION("""COMPUTED_VALUE"""),"Tracy Letts")</f>
        <v>Tracy Letts</v>
      </c>
      <c r="AE2965" s="12"/>
    </row>
    <row r="2966" customHeight="1" spans="1:31">
      <c r="A2966" s="11" t="s">
        <v>30</v>
      </c>
      <c r="B2966" s="11" t="s">
        <v>14211</v>
      </c>
      <c r="C2966" s="11">
        <v>11</v>
      </c>
      <c r="D2966" s="11">
        <v>93</v>
      </c>
      <c r="E2966" s="11">
        <v>3</v>
      </c>
      <c r="F2966" s="11">
        <v>324</v>
      </c>
      <c r="G2966" s="11">
        <v>1000</v>
      </c>
      <c r="H2966" s="11">
        <v>13960203</v>
      </c>
      <c r="I2966" s="11" t="s">
        <v>1672</v>
      </c>
      <c r="J2966" s="11" t="s">
        <v>804</v>
      </c>
      <c r="K2966" s="11" t="s">
        <v>5505</v>
      </c>
      <c r="L2966" s="11" t="s">
        <v>14212</v>
      </c>
      <c r="M2966" s="11" t="s">
        <v>14213</v>
      </c>
      <c r="N2966" s="11">
        <v>2301</v>
      </c>
      <c r="O2966" s="11">
        <v>2939</v>
      </c>
      <c r="P2966" s="11">
        <v>2</v>
      </c>
      <c r="Q2966" s="11" t="s">
        <v>14214</v>
      </c>
      <c r="R2966" s="14" t="s">
        <v>14215</v>
      </c>
      <c r="S2966" s="11">
        <v>15</v>
      </c>
      <c r="T2966" s="11" t="s">
        <v>39</v>
      </c>
      <c r="U2966" s="11" t="s">
        <v>40</v>
      </c>
      <c r="V2966" s="11" t="s">
        <v>586</v>
      </c>
      <c r="W2966" s="13"/>
      <c r="X2966" s="11">
        <v>1997</v>
      </c>
      <c r="Y2966" s="11">
        <v>560</v>
      </c>
      <c r="Z2966" s="11">
        <v>5.3</v>
      </c>
      <c r="AA2966" s="11">
        <v>1.85</v>
      </c>
      <c r="AB2966" s="11">
        <v>439</v>
      </c>
      <c r="AC2966" s="11"/>
      <c r="AD2966" s="11" t="str">
        <f>IFERROR(__xludf.DUMMYFUNCTION("""COMPUTED_VALUE"""),"Pedro Miguel Arce")</f>
        <v>Pedro Miguel Arce</v>
      </c>
      <c r="AE2966" s="11"/>
    </row>
    <row r="2967" customHeight="1" spans="1:31">
      <c r="A2967" s="12" t="s">
        <v>30</v>
      </c>
      <c r="B2967" s="12" t="s">
        <v>5463</v>
      </c>
      <c r="C2967" s="12">
        <v>24</v>
      </c>
      <c r="D2967" s="12">
        <v>100</v>
      </c>
      <c r="E2967" s="12">
        <v>98</v>
      </c>
      <c r="F2967" s="12">
        <v>604</v>
      </c>
      <c r="G2967" s="12">
        <v>1000</v>
      </c>
      <c r="H2967" s="12">
        <v>12902790</v>
      </c>
      <c r="I2967" s="12" t="s">
        <v>1415</v>
      </c>
      <c r="J2967" s="12" t="s">
        <v>2061</v>
      </c>
      <c r="K2967" s="12" t="s">
        <v>8572</v>
      </c>
      <c r="L2967" s="12" t="s">
        <v>1717</v>
      </c>
      <c r="M2967" s="12" t="s">
        <v>14216</v>
      </c>
      <c r="N2967" s="12">
        <v>4052</v>
      </c>
      <c r="O2967" s="12">
        <v>3250</v>
      </c>
      <c r="P2967" s="12">
        <v>1</v>
      </c>
      <c r="Q2967" s="12" t="s">
        <v>14217</v>
      </c>
      <c r="R2967" s="15" t="s">
        <v>14218</v>
      </c>
      <c r="S2967" s="12">
        <v>88</v>
      </c>
      <c r="T2967" s="12" t="s">
        <v>39</v>
      </c>
      <c r="U2967" s="12" t="s">
        <v>40</v>
      </c>
      <c r="V2967" s="12" t="s">
        <v>586</v>
      </c>
      <c r="W2967" s="12">
        <v>12000000</v>
      </c>
      <c r="X2967" s="12">
        <v>1998</v>
      </c>
      <c r="Y2967" s="12">
        <v>849</v>
      </c>
      <c r="Z2967" s="12">
        <v>6.6</v>
      </c>
      <c r="AA2967" s="12">
        <v>2.35</v>
      </c>
      <c r="AB2967" s="12">
        <v>242</v>
      </c>
      <c r="AC2967" s="12"/>
      <c r="AD2967" s="12" t="str">
        <f>IFERROR(__xludf.DUMMYFUNCTION("""COMPUTED_VALUE"""),"Louis Koo")</f>
        <v>Louis Koo</v>
      </c>
      <c r="AE2967" s="12"/>
    </row>
    <row r="2968" customHeight="1" spans="1:31">
      <c r="A2968" s="11" t="s">
        <v>30</v>
      </c>
      <c r="B2968" s="11" t="s">
        <v>9105</v>
      </c>
      <c r="C2968" s="11">
        <v>70</v>
      </c>
      <c r="D2968" s="11">
        <v>100</v>
      </c>
      <c r="E2968" s="11">
        <v>43</v>
      </c>
      <c r="F2968" s="11">
        <v>696</v>
      </c>
      <c r="G2968" s="11">
        <v>988</v>
      </c>
      <c r="H2968" s="11">
        <v>21520719</v>
      </c>
      <c r="I2968" s="11" t="s">
        <v>3898</v>
      </c>
      <c r="J2968" s="11" t="s">
        <v>329</v>
      </c>
      <c r="K2968" s="11" t="s">
        <v>5953</v>
      </c>
      <c r="L2968" s="11" t="s">
        <v>8335</v>
      </c>
      <c r="M2968" s="11" t="s">
        <v>14219</v>
      </c>
      <c r="N2968" s="11">
        <v>10103</v>
      </c>
      <c r="O2968" s="11">
        <v>3906</v>
      </c>
      <c r="P2968" s="11">
        <v>1</v>
      </c>
      <c r="Q2968" s="11" t="s">
        <v>14220</v>
      </c>
      <c r="R2968" s="14" t="s">
        <v>14221</v>
      </c>
      <c r="S2968" s="11">
        <v>36</v>
      </c>
      <c r="T2968" s="11" t="s">
        <v>39</v>
      </c>
      <c r="U2968" s="11" t="s">
        <v>40</v>
      </c>
      <c r="V2968" s="11" t="s">
        <v>96</v>
      </c>
      <c r="W2968" s="13"/>
      <c r="X2968" s="11">
        <v>2010</v>
      </c>
      <c r="Y2968" s="11">
        <v>826</v>
      </c>
      <c r="Z2968" s="11">
        <v>5.8</v>
      </c>
      <c r="AA2968" s="11">
        <v>2.35</v>
      </c>
      <c r="AB2968" s="11">
        <v>0</v>
      </c>
      <c r="AC2968" s="11"/>
      <c r="AD2968" s="11" t="str">
        <f>IFERROR(__xludf.DUMMYFUNCTION("""COMPUTED_VALUE"""),"Angelica Lee")</f>
        <v>Angelica Lee</v>
      </c>
      <c r="AE2968" s="11"/>
    </row>
    <row r="2969" customHeight="1" spans="1:31">
      <c r="A2969" s="12" t="s">
        <v>30</v>
      </c>
      <c r="B2969" s="12" t="s">
        <v>2729</v>
      </c>
      <c r="C2969" s="12">
        <v>232</v>
      </c>
      <c r="D2969" s="12">
        <v>113</v>
      </c>
      <c r="E2969" s="12">
        <v>438</v>
      </c>
      <c r="F2969" s="12">
        <v>471</v>
      </c>
      <c r="G2969" s="12">
        <v>11000</v>
      </c>
      <c r="H2969" s="12">
        <v>12796277</v>
      </c>
      <c r="I2969" s="12" t="s">
        <v>214</v>
      </c>
      <c r="J2969" s="12" t="s">
        <v>257</v>
      </c>
      <c r="K2969" s="12" t="s">
        <v>2286</v>
      </c>
      <c r="L2969" s="12" t="s">
        <v>14222</v>
      </c>
      <c r="M2969" s="12" t="s">
        <v>14223</v>
      </c>
      <c r="N2969" s="12">
        <v>41226</v>
      </c>
      <c r="O2969" s="12">
        <v>12274</v>
      </c>
      <c r="P2969" s="12">
        <v>1</v>
      </c>
      <c r="Q2969" s="12" t="s">
        <v>14224</v>
      </c>
      <c r="R2969" s="15" t="s">
        <v>14225</v>
      </c>
      <c r="S2969" s="12">
        <v>281</v>
      </c>
      <c r="T2969" s="12" t="s">
        <v>39</v>
      </c>
      <c r="U2969" s="12" t="s">
        <v>40</v>
      </c>
      <c r="V2969" s="12" t="s">
        <v>586</v>
      </c>
      <c r="W2969" s="16"/>
      <c r="X2969" s="12">
        <v>2008</v>
      </c>
      <c r="Y2969" s="12">
        <v>536</v>
      </c>
      <c r="Z2969" s="12">
        <v>6.7</v>
      </c>
      <c r="AA2969" s="12">
        <v>1.85</v>
      </c>
      <c r="AB2969" s="12">
        <v>0</v>
      </c>
      <c r="AC2969" s="12"/>
      <c r="AD2969" s="12" t="str">
        <f>IFERROR(__xludf.DUMMYFUNCTION("""COMPUTED_VALUE"""),"Ching Wan Lau")</f>
        <v>Ching Wan Lau</v>
      </c>
      <c r="AE2969" s="12"/>
    </row>
    <row r="2970" customHeight="1" spans="1:31">
      <c r="A2970" s="11" t="s">
        <v>30</v>
      </c>
      <c r="B2970" s="11" t="s">
        <v>9334</v>
      </c>
      <c r="C2970" s="11">
        <v>34</v>
      </c>
      <c r="D2970" s="11">
        <v>122</v>
      </c>
      <c r="E2970" s="11">
        <v>30</v>
      </c>
      <c r="F2970" s="11">
        <v>85</v>
      </c>
      <c r="G2970" s="11">
        <v>1000</v>
      </c>
      <c r="H2970" s="13"/>
      <c r="I2970" s="11" t="s">
        <v>5275</v>
      </c>
      <c r="J2970" s="11" t="s">
        <v>3981</v>
      </c>
      <c r="K2970" s="11" t="s">
        <v>4243</v>
      </c>
      <c r="L2970" s="11" t="s">
        <v>14226</v>
      </c>
      <c r="M2970" s="11" t="s">
        <v>14227</v>
      </c>
      <c r="N2970" s="11">
        <v>16764</v>
      </c>
      <c r="O2970" s="11">
        <v>1456</v>
      </c>
      <c r="P2970" s="11">
        <v>0</v>
      </c>
      <c r="Q2970" s="11" t="s">
        <v>14228</v>
      </c>
      <c r="R2970" s="14" t="s">
        <v>14229</v>
      </c>
      <c r="S2970" s="11">
        <v>48</v>
      </c>
      <c r="T2970" s="11" t="s">
        <v>39</v>
      </c>
      <c r="U2970" s="11" t="s">
        <v>40</v>
      </c>
      <c r="V2970" s="11" t="s">
        <v>586</v>
      </c>
      <c r="W2970" s="11">
        <v>12000000</v>
      </c>
      <c r="X2970" s="11">
        <v>1981</v>
      </c>
      <c r="Y2970" s="11">
        <v>230</v>
      </c>
      <c r="Z2970" s="11">
        <v>6.6</v>
      </c>
      <c r="AA2970" s="11">
        <v>1.85</v>
      </c>
      <c r="AB2970" s="11">
        <v>1000</v>
      </c>
      <c r="AC2970" s="11"/>
      <c r="AD2970" s="11" t="str">
        <f>IFERROR(__xludf.DUMMYFUNCTION("""COMPUTED_VALUE"""),"Carla Gallo")</f>
        <v>Carla Gallo</v>
      </c>
      <c r="AE2970" s="11"/>
    </row>
    <row r="2971" customHeight="1" spans="1:31">
      <c r="A2971" s="12" t="s">
        <v>30</v>
      </c>
      <c r="B2971" s="12" t="s">
        <v>5339</v>
      </c>
      <c r="C2971" s="12">
        <v>160</v>
      </c>
      <c r="D2971" s="12">
        <v>100</v>
      </c>
      <c r="E2971" s="12">
        <v>73</v>
      </c>
      <c r="F2971" s="12">
        <v>1000</v>
      </c>
      <c r="G2971" s="12">
        <v>19000</v>
      </c>
      <c r="H2971" s="12">
        <v>11634362</v>
      </c>
      <c r="I2971" s="12" t="s">
        <v>6327</v>
      </c>
      <c r="J2971" s="12" t="s">
        <v>100</v>
      </c>
      <c r="K2971" s="12" t="s">
        <v>439</v>
      </c>
      <c r="L2971" s="12" t="s">
        <v>138</v>
      </c>
      <c r="M2971" s="12" t="s">
        <v>14230</v>
      </c>
      <c r="N2971" s="12">
        <v>60171</v>
      </c>
      <c r="O2971" s="12">
        <v>34700</v>
      </c>
      <c r="P2971" s="12">
        <v>0</v>
      </c>
      <c r="Q2971" s="12" t="s">
        <v>14231</v>
      </c>
      <c r="R2971" s="15" t="s">
        <v>14232</v>
      </c>
      <c r="S2971" s="12">
        <v>296</v>
      </c>
      <c r="T2971" s="12" t="s">
        <v>39</v>
      </c>
      <c r="U2971" s="12" t="s">
        <v>58</v>
      </c>
      <c r="V2971" s="12" t="s">
        <v>41</v>
      </c>
      <c r="W2971" s="16"/>
      <c r="X2971" s="12">
        <v>2003</v>
      </c>
      <c r="Y2971" s="12">
        <v>14000</v>
      </c>
      <c r="Z2971" s="12">
        <v>7</v>
      </c>
      <c r="AA2971" s="12">
        <v>2.35</v>
      </c>
      <c r="AB2971" s="12">
        <v>0</v>
      </c>
      <c r="AC2971" s="12"/>
      <c r="AD2971" s="12" t="str">
        <f>IFERROR(__xludf.DUMMYFUNCTION("""COMPUTED_VALUE"""),"Amy Yasbeck")</f>
        <v>Amy Yasbeck</v>
      </c>
      <c r="AE2971" s="12"/>
    </row>
    <row r="2972" customHeight="1" spans="1:31">
      <c r="A2972" s="11" t="s">
        <v>30</v>
      </c>
      <c r="B2972" s="11" t="s">
        <v>711</v>
      </c>
      <c r="C2972" s="11">
        <v>96</v>
      </c>
      <c r="D2972" s="11">
        <v>293</v>
      </c>
      <c r="E2972" s="11">
        <v>249</v>
      </c>
      <c r="F2972" s="11">
        <v>18</v>
      </c>
      <c r="G2972" s="11">
        <v>362</v>
      </c>
      <c r="H2972" s="11">
        <v>11433134</v>
      </c>
      <c r="I2972" s="11" t="s">
        <v>14233</v>
      </c>
      <c r="J2972" s="11" t="s">
        <v>1275</v>
      </c>
      <c r="K2972" s="11" t="s">
        <v>14234</v>
      </c>
      <c r="L2972" s="11" t="s">
        <v>14235</v>
      </c>
      <c r="M2972" s="11" t="s">
        <v>14236</v>
      </c>
      <c r="N2972" s="11">
        <v>168203</v>
      </c>
      <c r="O2972" s="11">
        <v>469</v>
      </c>
      <c r="P2972" s="11">
        <v>0</v>
      </c>
      <c r="Q2972" s="11" t="s">
        <v>14237</v>
      </c>
      <c r="R2972" s="14" t="s">
        <v>14238</v>
      </c>
      <c r="S2972" s="11">
        <v>426</v>
      </c>
      <c r="T2972" s="11" t="s">
        <v>8732</v>
      </c>
      <c r="U2972" s="11" t="s">
        <v>9140</v>
      </c>
      <c r="V2972" s="11" t="s">
        <v>586</v>
      </c>
      <c r="W2972" s="11">
        <v>14000000</v>
      </c>
      <c r="X2972" s="11">
        <v>1981</v>
      </c>
      <c r="Y2972" s="11">
        <v>21</v>
      </c>
      <c r="Z2972" s="11">
        <v>8.4</v>
      </c>
      <c r="AA2972" s="11">
        <v>1.85</v>
      </c>
      <c r="AB2972" s="11">
        <v>11000</v>
      </c>
      <c r="AC2972" s="11"/>
      <c r="AD2972" s="11" t="str">
        <f>IFERROR(__xludf.DUMMYFUNCTION("""COMPUTED_VALUE"""),"Luenell")</f>
        <v>Luenell</v>
      </c>
      <c r="AE2972" s="11"/>
    </row>
    <row r="2973" customHeight="1" spans="1:31">
      <c r="A2973" s="12" t="s">
        <v>30</v>
      </c>
      <c r="B2973" s="12" t="s">
        <v>2055</v>
      </c>
      <c r="C2973" s="12">
        <v>106</v>
      </c>
      <c r="D2973" s="12">
        <v>137</v>
      </c>
      <c r="E2973" s="12">
        <v>102</v>
      </c>
      <c r="F2973" s="12">
        <v>877</v>
      </c>
      <c r="G2973" s="12">
        <v>2000</v>
      </c>
      <c r="H2973" s="12">
        <v>22406362</v>
      </c>
      <c r="I2973" s="12" t="s">
        <v>2056</v>
      </c>
      <c r="J2973" s="12" t="s">
        <v>537</v>
      </c>
      <c r="K2973" s="12" t="s">
        <v>1424</v>
      </c>
      <c r="L2973" s="12" t="s">
        <v>1190</v>
      </c>
      <c r="M2973" s="12" t="s">
        <v>2057</v>
      </c>
      <c r="N2973" s="12">
        <v>16832</v>
      </c>
      <c r="O2973" s="12">
        <v>5780</v>
      </c>
      <c r="P2973" s="12">
        <v>0</v>
      </c>
      <c r="Q2973" s="12" t="s">
        <v>2058</v>
      </c>
      <c r="R2973" s="15" t="s">
        <v>2059</v>
      </c>
      <c r="S2973" s="12">
        <v>267</v>
      </c>
      <c r="T2973" s="12" t="s">
        <v>39</v>
      </c>
      <c r="U2973" s="12" t="s">
        <v>40</v>
      </c>
      <c r="V2973" s="12" t="s">
        <v>41</v>
      </c>
      <c r="W2973" s="12">
        <v>107000000</v>
      </c>
      <c r="X2973" s="12">
        <v>2004</v>
      </c>
      <c r="Y2973" s="12">
        <v>973</v>
      </c>
      <c r="Z2973" s="12">
        <v>6</v>
      </c>
      <c r="AA2973" s="12">
        <v>2.35</v>
      </c>
      <c r="AB2973" s="12">
        <v>701</v>
      </c>
      <c r="AC2973" s="12"/>
      <c r="AD2973" s="12" t="str">
        <f>IFERROR(__xludf.DUMMYFUNCTION("""COMPUTED_VALUE"""),"Ken Davitian")</f>
        <v>Ken Davitian</v>
      </c>
      <c r="AE2973" s="12"/>
    </row>
    <row r="2974" customHeight="1" spans="1:31">
      <c r="A2974" s="11" t="s">
        <v>30</v>
      </c>
      <c r="B2974" s="11" t="s">
        <v>14239</v>
      </c>
      <c r="C2974" s="11">
        <v>53</v>
      </c>
      <c r="D2974" s="11">
        <v>93</v>
      </c>
      <c r="E2974" s="11">
        <v>32</v>
      </c>
      <c r="F2974" s="11">
        <v>503</v>
      </c>
      <c r="G2974" s="11">
        <v>529</v>
      </c>
      <c r="H2974" s="11">
        <v>10198766</v>
      </c>
      <c r="I2974" s="11" t="s">
        <v>1672</v>
      </c>
      <c r="J2974" s="11" t="s">
        <v>8132</v>
      </c>
      <c r="K2974" s="11" t="s">
        <v>10776</v>
      </c>
      <c r="L2974" s="11" t="s">
        <v>12269</v>
      </c>
      <c r="M2974" s="11" t="s">
        <v>14240</v>
      </c>
      <c r="N2974" s="11">
        <v>12007</v>
      </c>
      <c r="O2974" s="11">
        <v>2393</v>
      </c>
      <c r="P2974" s="11">
        <v>3</v>
      </c>
      <c r="Q2974" s="11" t="s">
        <v>14241</v>
      </c>
      <c r="R2974" s="14" t="s">
        <v>14242</v>
      </c>
      <c r="S2974" s="11">
        <v>105</v>
      </c>
      <c r="T2974" s="11" t="s">
        <v>39</v>
      </c>
      <c r="U2974" s="11" t="s">
        <v>40</v>
      </c>
      <c r="V2974" s="11" t="s">
        <v>586</v>
      </c>
      <c r="W2974" s="11">
        <v>12000000</v>
      </c>
      <c r="X2974" s="11">
        <v>2002</v>
      </c>
      <c r="Y2974" s="11">
        <v>526</v>
      </c>
      <c r="Z2974" s="11">
        <v>5.4</v>
      </c>
      <c r="AA2974" s="11">
        <v>1.85</v>
      </c>
      <c r="AB2974" s="11">
        <v>507</v>
      </c>
      <c r="AC2974" s="11"/>
      <c r="AD2974" s="11" t="str">
        <f>IFERROR(__xludf.DUMMYFUNCTION("""COMPUTED_VALUE"""),"Chester")</f>
        <v>Chester</v>
      </c>
      <c r="AE2974" s="11"/>
    </row>
    <row r="2975" customHeight="1" spans="1:31">
      <c r="A2975" s="12" t="s">
        <v>30</v>
      </c>
      <c r="B2975" s="12" t="s">
        <v>5510</v>
      </c>
      <c r="C2975" s="12">
        <v>274</v>
      </c>
      <c r="D2975" s="12">
        <v>123</v>
      </c>
      <c r="E2975" s="12">
        <v>628</v>
      </c>
      <c r="F2975" s="12">
        <v>171</v>
      </c>
      <c r="G2975" s="12">
        <v>565</v>
      </c>
      <c r="H2975" s="12">
        <v>15294553</v>
      </c>
      <c r="I2975" s="12" t="s">
        <v>687</v>
      </c>
      <c r="J2975" s="12" t="s">
        <v>14243</v>
      </c>
      <c r="K2975" s="12" t="s">
        <v>11123</v>
      </c>
      <c r="L2975" s="12" t="s">
        <v>11794</v>
      </c>
      <c r="M2975" s="12" t="s">
        <v>14244</v>
      </c>
      <c r="N2975" s="12">
        <v>202341</v>
      </c>
      <c r="O2975" s="12">
        <v>1595</v>
      </c>
      <c r="P2975" s="12">
        <v>1</v>
      </c>
      <c r="Q2975" s="12" t="s">
        <v>14245</v>
      </c>
      <c r="R2975" s="15" t="s">
        <v>14246</v>
      </c>
      <c r="S2975" s="12">
        <v>391</v>
      </c>
      <c r="T2975" s="12" t="s">
        <v>39</v>
      </c>
      <c r="U2975" s="12" t="s">
        <v>58</v>
      </c>
      <c r="V2975" s="12" t="s">
        <v>586</v>
      </c>
      <c r="W2975" s="12">
        <v>12000000</v>
      </c>
      <c r="X2975" s="12">
        <v>2013</v>
      </c>
      <c r="Y2975" s="12">
        <v>555</v>
      </c>
      <c r="Z2975" s="12">
        <v>7.8</v>
      </c>
      <c r="AA2975" s="12">
        <v>2.35</v>
      </c>
      <c r="AB2975" s="12">
        <v>105000</v>
      </c>
      <c r="AC2975" s="12"/>
      <c r="AD2975" s="12" t="str">
        <f>IFERROR(__xludf.DUMMYFUNCTION("""COMPUTED_VALUE"""),"Raquel Welch")</f>
        <v>Raquel Welch</v>
      </c>
      <c r="AE2975" s="12"/>
    </row>
    <row r="2976" customHeight="1" spans="1:31">
      <c r="A2976" s="11" t="s">
        <v>30</v>
      </c>
      <c r="B2976" s="11" t="s">
        <v>1940</v>
      </c>
      <c r="C2976" s="11">
        <v>248</v>
      </c>
      <c r="D2976" s="11">
        <v>119</v>
      </c>
      <c r="E2976" s="11">
        <v>611</v>
      </c>
      <c r="F2976" s="11">
        <v>4</v>
      </c>
      <c r="G2976" s="11">
        <v>755</v>
      </c>
      <c r="H2976" s="11">
        <v>11041228</v>
      </c>
      <c r="I2976" s="11" t="s">
        <v>207</v>
      </c>
      <c r="J2976" s="11" t="s">
        <v>6882</v>
      </c>
      <c r="K2976" s="11" t="s">
        <v>6883</v>
      </c>
      <c r="L2976" s="11" t="s">
        <v>14247</v>
      </c>
      <c r="M2976" s="11" t="s">
        <v>14248</v>
      </c>
      <c r="N2976" s="11">
        <v>92295</v>
      </c>
      <c r="O2976" s="11">
        <v>1244</v>
      </c>
      <c r="P2976" s="11">
        <v>3</v>
      </c>
      <c r="Q2976" s="11" t="s">
        <v>14249</v>
      </c>
      <c r="R2976" s="14" t="s">
        <v>14250</v>
      </c>
      <c r="S2976" s="11">
        <v>420</v>
      </c>
      <c r="T2976" s="11" t="s">
        <v>1947</v>
      </c>
      <c r="U2976" s="11" t="s">
        <v>893</v>
      </c>
      <c r="V2976" s="11" t="s">
        <v>41</v>
      </c>
      <c r="W2976" s="11">
        <v>100000000</v>
      </c>
      <c r="X2976" s="11">
        <v>2004</v>
      </c>
      <c r="Y2976" s="11">
        <v>483</v>
      </c>
      <c r="Z2976" s="11">
        <v>7.6</v>
      </c>
      <c r="AA2976" s="11">
        <v>2.35</v>
      </c>
      <c r="AB2976" s="11">
        <v>0</v>
      </c>
      <c r="AC2976" s="11"/>
      <c r="AD2976" s="11" t="str">
        <f>IFERROR(__xludf.DUMMYFUNCTION("""COMPUTED_VALUE"""),"Alanna Ubach")</f>
        <v>Alanna Ubach</v>
      </c>
      <c r="AE2976" s="11"/>
    </row>
    <row r="2977" customHeight="1" spans="1:31">
      <c r="A2977" s="12" t="s">
        <v>30</v>
      </c>
      <c r="B2977" s="12" t="s">
        <v>14251</v>
      </c>
      <c r="C2977" s="12">
        <v>288</v>
      </c>
      <c r="D2977" s="12">
        <v>107</v>
      </c>
      <c r="E2977" s="12">
        <v>27</v>
      </c>
      <c r="F2977" s="12">
        <v>360</v>
      </c>
      <c r="G2977" s="12">
        <v>664</v>
      </c>
      <c r="H2977" s="12">
        <v>7918283</v>
      </c>
      <c r="I2977" s="12" t="s">
        <v>4075</v>
      </c>
      <c r="J2977" s="12" t="s">
        <v>4505</v>
      </c>
      <c r="K2977" s="12" t="s">
        <v>2216</v>
      </c>
      <c r="L2977" s="12" t="s">
        <v>1503</v>
      </c>
      <c r="M2977" s="12" t="s">
        <v>14252</v>
      </c>
      <c r="N2977" s="12">
        <v>41574</v>
      </c>
      <c r="O2977" s="12">
        <v>2440</v>
      </c>
      <c r="P2977" s="12">
        <v>1</v>
      </c>
      <c r="Q2977" s="12" t="s">
        <v>14253</v>
      </c>
      <c r="R2977" s="15" t="s">
        <v>14254</v>
      </c>
      <c r="S2977" s="12">
        <v>145</v>
      </c>
      <c r="T2977" s="12" t="s">
        <v>39</v>
      </c>
      <c r="U2977" s="12" t="s">
        <v>40</v>
      </c>
      <c r="V2977" s="12" t="s">
        <v>586</v>
      </c>
      <c r="W2977" s="12">
        <v>12000000</v>
      </c>
      <c r="X2977" s="12">
        <v>2012</v>
      </c>
      <c r="Y2977" s="12">
        <v>591</v>
      </c>
      <c r="Z2977" s="12">
        <v>6.6</v>
      </c>
      <c r="AA2977" s="12">
        <v>1.85</v>
      </c>
      <c r="AB2977" s="12">
        <v>0</v>
      </c>
      <c r="AC2977" s="12"/>
      <c r="AD2977" s="12" t="str">
        <f>IFERROR(__xludf.DUMMYFUNCTION("""COMPUTED_VALUE"""),"JR Bourne")</f>
        <v>JR Bourne</v>
      </c>
      <c r="AE2977" s="12"/>
    </row>
    <row r="2978" customHeight="1" spans="1:31">
      <c r="A2978" s="11" t="s">
        <v>30</v>
      </c>
      <c r="B2978" s="11" t="s">
        <v>14255</v>
      </c>
      <c r="C2978" s="11">
        <v>177</v>
      </c>
      <c r="D2978" s="11">
        <v>106</v>
      </c>
      <c r="E2978" s="11">
        <v>16</v>
      </c>
      <c r="F2978" s="11">
        <v>265</v>
      </c>
      <c r="G2978" s="11">
        <v>452</v>
      </c>
      <c r="H2978" s="11">
        <v>22331028</v>
      </c>
      <c r="I2978" s="11" t="s">
        <v>2954</v>
      </c>
      <c r="J2978" s="11" t="s">
        <v>14256</v>
      </c>
      <c r="K2978" s="11" t="s">
        <v>14257</v>
      </c>
      <c r="L2978" s="11" t="s">
        <v>14258</v>
      </c>
      <c r="M2978" s="11" t="s">
        <v>14259</v>
      </c>
      <c r="N2978" s="11">
        <v>57349</v>
      </c>
      <c r="O2978" s="11">
        <v>1819</v>
      </c>
      <c r="P2978" s="11">
        <v>0</v>
      </c>
      <c r="Q2978" s="11" t="s">
        <v>14260</v>
      </c>
      <c r="R2978" s="14" t="s">
        <v>14261</v>
      </c>
      <c r="S2978" s="11">
        <v>177</v>
      </c>
      <c r="T2978" s="11" t="s">
        <v>39</v>
      </c>
      <c r="U2978" s="11" t="s">
        <v>40</v>
      </c>
      <c r="V2978" s="11" t="s">
        <v>41</v>
      </c>
      <c r="W2978" s="11">
        <v>12000000</v>
      </c>
      <c r="X2978" s="11">
        <v>2015</v>
      </c>
      <c r="Y2978" s="11">
        <v>328</v>
      </c>
      <c r="Z2978" s="11">
        <v>6.4</v>
      </c>
      <c r="AA2978" s="11">
        <v>2.35</v>
      </c>
      <c r="AB2978" s="11">
        <v>0</v>
      </c>
      <c r="AC2978" s="11"/>
      <c r="AD2978" s="11" t="str">
        <f>IFERROR(__xludf.DUMMYFUNCTION("""COMPUTED_VALUE"""),"Bree Turner")</f>
        <v>Bree Turner</v>
      </c>
      <c r="AE2978" s="11"/>
    </row>
    <row r="2979" customHeight="1" spans="1:31">
      <c r="A2979" s="12" t="s">
        <v>30</v>
      </c>
      <c r="B2979" s="12" t="s">
        <v>14262</v>
      </c>
      <c r="C2979" s="12">
        <v>81</v>
      </c>
      <c r="D2979" s="12">
        <v>109</v>
      </c>
      <c r="E2979" s="12">
        <v>67</v>
      </c>
      <c r="F2979" s="12">
        <v>192</v>
      </c>
      <c r="G2979" s="12">
        <v>436</v>
      </c>
      <c r="H2979" s="12">
        <v>8134217</v>
      </c>
      <c r="I2979" s="12" t="s">
        <v>4297</v>
      </c>
      <c r="J2979" s="12" t="s">
        <v>806</v>
      </c>
      <c r="K2979" s="12" t="s">
        <v>14263</v>
      </c>
      <c r="L2979" s="12" t="s">
        <v>14264</v>
      </c>
      <c r="M2979" s="12" t="s">
        <v>14265</v>
      </c>
      <c r="N2979" s="12">
        <v>15412</v>
      </c>
      <c r="O2979" s="12">
        <v>1141</v>
      </c>
      <c r="P2979" s="12">
        <v>3</v>
      </c>
      <c r="Q2979" s="12" t="s">
        <v>14266</v>
      </c>
      <c r="R2979" s="15" t="s">
        <v>14267</v>
      </c>
      <c r="S2979" s="12">
        <v>90</v>
      </c>
      <c r="T2979" s="12" t="s">
        <v>39</v>
      </c>
      <c r="U2979" s="12" t="s">
        <v>40</v>
      </c>
      <c r="V2979" s="12" t="s">
        <v>586</v>
      </c>
      <c r="W2979" s="12">
        <v>12000000</v>
      </c>
      <c r="X2979" s="12">
        <v>2008</v>
      </c>
      <c r="Y2979" s="12">
        <v>223</v>
      </c>
      <c r="Z2979" s="12">
        <v>7</v>
      </c>
      <c r="AA2979" s="12">
        <v>2.35</v>
      </c>
      <c r="AB2979" s="12">
        <v>0</v>
      </c>
      <c r="AC2979" s="12"/>
      <c r="AD2979" s="12" t="str">
        <f>IFERROR(__xludf.DUMMYFUNCTION("""COMPUTED_VALUE"""),"Paul Schneider")</f>
        <v>Paul Schneider</v>
      </c>
      <c r="AE2979" s="12"/>
    </row>
    <row r="2980" customHeight="1" spans="1:31">
      <c r="A2980" s="11" t="s">
        <v>30</v>
      </c>
      <c r="B2980" s="11" t="s">
        <v>14268</v>
      </c>
      <c r="C2980" s="11">
        <v>29</v>
      </c>
      <c r="D2980" s="11">
        <v>81</v>
      </c>
      <c r="E2980" s="11">
        <v>25</v>
      </c>
      <c r="F2980" s="11">
        <v>654</v>
      </c>
      <c r="G2980" s="11">
        <v>931</v>
      </c>
      <c r="H2980" s="11">
        <v>6982680</v>
      </c>
      <c r="I2980" s="11" t="s">
        <v>1009</v>
      </c>
      <c r="J2980" s="11" t="s">
        <v>623</v>
      </c>
      <c r="K2980" s="11" t="s">
        <v>2638</v>
      </c>
      <c r="L2980" s="11" t="s">
        <v>14269</v>
      </c>
      <c r="M2980" s="11" t="s">
        <v>14270</v>
      </c>
      <c r="N2980" s="11">
        <v>6965</v>
      </c>
      <c r="O2980" s="11">
        <v>3848</v>
      </c>
      <c r="P2980" s="11">
        <v>0</v>
      </c>
      <c r="Q2980" s="11" t="s">
        <v>14271</v>
      </c>
      <c r="R2980" s="14" t="s">
        <v>14272</v>
      </c>
      <c r="S2980" s="11">
        <v>69</v>
      </c>
      <c r="T2980" s="11" t="s">
        <v>39</v>
      </c>
      <c r="U2980" s="11" t="s">
        <v>40</v>
      </c>
      <c r="V2980" s="11" t="s">
        <v>41</v>
      </c>
      <c r="W2980" s="11">
        <v>10000000</v>
      </c>
      <c r="X2980" s="11">
        <v>2000</v>
      </c>
      <c r="Y2980" s="11">
        <v>744</v>
      </c>
      <c r="Z2980" s="11">
        <v>5.7</v>
      </c>
      <c r="AA2980" s="11">
        <v>1.85</v>
      </c>
      <c r="AB2980" s="11">
        <v>262</v>
      </c>
      <c r="AC2980" s="11"/>
      <c r="AD2980" s="11" t="str">
        <f>IFERROR(__xludf.DUMMYFUNCTION("""COMPUTED_VALUE"""),"Sean Patrick Thomas")</f>
        <v>Sean Patrick Thomas</v>
      </c>
      <c r="AE2980" s="11"/>
    </row>
    <row r="2981" customHeight="1" spans="1:31">
      <c r="A2981" s="12" t="s">
        <v>30</v>
      </c>
      <c r="B2981" s="12" t="s">
        <v>14273</v>
      </c>
      <c r="C2981" s="12">
        <v>58</v>
      </c>
      <c r="D2981" s="12">
        <v>95</v>
      </c>
      <c r="E2981" s="12">
        <v>216</v>
      </c>
      <c r="F2981" s="12">
        <v>968</v>
      </c>
      <c r="G2981" s="12">
        <v>1000</v>
      </c>
      <c r="H2981" s="12">
        <v>6739141</v>
      </c>
      <c r="I2981" s="12" t="s">
        <v>1401</v>
      </c>
      <c r="J2981" s="12" t="s">
        <v>4534</v>
      </c>
      <c r="K2981" s="12" t="s">
        <v>4474</v>
      </c>
      <c r="L2981" s="12" t="s">
        <v>381</v>
      </c>
      <c r="M2981" s="12" t="s">
        <v>14274</v>
      </c>
      <c r="N2981" s="12">
        <v>23383</v>
      </c>
      <c r="O2981" s="12">
        <v>4755</v>
      </c>
      <c r="P2981" s="12">
        <v>0</v>
      </c>
      <c r="Q2981" s="12" t="s">
        <v>14275</v>
      </c>
      <c r="R2981" s="15" t="s">
        <v>14276</v>
      </c>
      <c r="S2981" s="12">
        <v>68</v>
      </c>
      <c r="T2981" s="12" t="s">
        <v>39</v>
      </c>
      <c r="U2981" s="12" t="s">
        <v>371</v>
      </c>
      <c r="V2981" s="12" t="s">
        <v>586</v>
      </c>
      <c r="W2981" s="12">
        <v>8000000</v>
      </c>
      <c r="X2981" s="12">
        <v>1992</v>
      </c>
      <c r="Y2981" s="12">
        <v>1000</v>
      </c>
      <c r="Z2981" s="12">
        <v>5.9</v>
      </c>
      <c r="AA2981" s="12">
        <v>1.85</v>
      </c>
      <c r="AB2981" s="12">
        <v>1000</v>
      </c>
      <c r="AC2981" s="12"/>
      <c r="AD2981" s="12" t="str">
        <f>IFERROR(__xludf.DUMMYFUNCTION("""COMPUTED_VALUE"""),"Louis Mandylor")</f>
        <v>Louis Mandylor</v>
      </c>
      <c r="AE2981" s="12"/>
    </row>
    <row r="2982" customHeight="1" spans="1:31">
      <c r="A2982" s="11" t="s">
        <v>30</v>
      </c>
      <c r="B2982" s="11" t="s">
        <v>11226</v>
      </c>
      <c r="C2982" s="11">
        <v>144</v>
      </c>
      <c r="D2982" s="11">
        <v>86</v>
      </c>
      <c r="E2982" s="11">
        <v>378</v>
      </c>
      <c r="F2982" s="11">
        <v>783</v>
      </c>
      <c r="G2982" s="11">
        <v>957</v>
      </c>
      <c r="H2982" s="11">
        <v>5542025</v>
      </c>
      <c r="I2982" s="11" t="s">
        <v>1672</v>
      </c>
      <c r="J2982" s="11" t="s">
        <v>1010</v>
      </c>
      <c r="K2982" s="11" t="s">
        <v>1802</v>
      </c>
      <c r="L2982" s="11" t="s">
        <v>972</v>
      </c>
      <c r="M2982" s="11" t="s">
        <v>14277</v>
      </c>
      <c r="N2982" s="11">
        <v>12197</v>
      </c>
      <c r="O2982" s="11">
        <v>3535</v>
      </c>
      <c r="P2982" s="11">
        <v>0</v>
      </c>
      <c r="Q2982" s="11" t="s">
        <v>14278</v>
      </c>
      <c r="R2982" s="14" t="s">
        <v>14279</v>
      </c>
      <c r="S2982" s="11">
        <v>150</v>
      </c>
      <c r="T2982" s="11" t="s">
        <v>39</v>
      </c>
      <c r="U2982" s="11" t="s">
        <v>40</v>
      </c>
      <c r="V2982" s="11" t="s">
        <v>41</v>
      </c>
      <c r="W2982" s="11">
        <v>12000000</v>
      </c>
      <c r="X2982" s="11">
        <v>2006</v>
      </c>
      <c r="Y2982" s="11">
        <v>925</v>
      </c>
      <c r="Z2982" s="11">
        <v>6.3</v>
      </c>
      <c r="AA2982" s="11">
        <v>1.85</v>
      </c>
      <c r="AB2982" s="11">
        <v>650</v>
      </c>
      <c r="AC2982" s="11"/>
      <c r="AD2982" s="11" t="str">
        <f>IFERROR(__xludf.DUMMYFUNCTION("""COMPUTED_VALUE"""),"Joey Fatone")</f>
        <v>Joey Fatone</v>
      </c>
      <c r="AE2982" s="11"/>
    </row>
    <row r="2983" customHeight="1" spans="1:31">
      <c r="A2983" s="12" t="s">
        <v>748</v>
      </c>
      <c r="B2983" s="12" t="s">
        <v>4004</v>
      </c>
      <c r="C2983" s="12">
        <v>114</v>
      </c>
      <c r="D2983" s="12">
        <v>113</v>
      </c>
      <c r="E2983" s="12">
        <v>11000</v>
      </c>
      <c r="F2983" s="12">
        <v>99</v>
      </c>
      <c r="G2983" s="12">
        <v>537</v>
      </c>
      <c r="H2983" s="12">
        <v>5032496</v>
      </c>
      <c r="I2983" s="12" t="s">
        <v>2528</v>
      </c>
      <c r="J2983" s="12" t="s">
        <v>1386</v>
      </c>
      <c r="K2983" s="12" t="s">
        <v>14280</v>
      </c>
      <c r="L2983" s="12" t="s">
        <v>6550</v>
      </c>
      <c r="M2983" s="12" t="s">
        <v>14281</v>
      </c>
      <c r="N2983" s="12">
        <v>20576</v>
      </c>
      <c r="O2983" s="12">
        <v>943</v>
      </c>
      <c r="P2983" s="12">
        <v>0</v>
      </c>
      <c r="Q2983" s="12" t="s">
        <v>14282</v>
      </c>
      <c r="R2983" s="15" t="s">
        <v>14283</v>
      </c>
      <c r="S2983" s="12">
        <v>161</v>
      </c>
      <c r="T2983" s="12" t="s">
        <v>39</v>
      </c>
      <c r="U2983" s="12" t="s">
        <v>40</v>
      </c>
      <c r="V2983" s="12" t="s">
        <v>586</v>
      </c>
      <c r="W2983" s="12">
        <v>12000000</v>
      </c>
      <c r="X2983" s="12">
        <v>1998</v>
      </c>
      <c r="Y2983" s="12">
        <v>255</v>
      </c>
      <c r="Z2983" s="12">
        <v>6.3</v>
      </c>
      <c r="AA2983" s="12">
        <v>1.66</v>
      </c>
      <c r="AB2983" s="12">
        <v>652</v>
      </c>
      <c r="AC2983" s="12"/>
      <c r="AD2983" s="12" t="str">
        <f>IFERROR(__xludf.DUMMYFUNCTION("""COMPUTED_VALUE"""),"Fran Kranz")</f>
        <v>Fran Kranz</v>
      </c>
      <c r="AE2983" s="12"/>
    </row>
    <row r="2984" customHeight="1" spans="1:31">
      <c r="A2984" s="11" t="s">
        <v>30</v>
      </c>
      <c r="B2984" s="11" t="s">
        <v>4028</v>
      </c>
      <c r="C2984" s="11">
        <v>132</v>
      </c>
      <c r="D2984" s="11">
        <v>122</v>
      </c>
      <c r="E2984" s="11">
        <v>708</v>
      </c>
      <c r="F2984" s="11">
        <v>316</v>
      </c>
      <c r="G2984" s="11">
        <v>433</v>
      </c>
      <c r="H2984" s="11">
        <v>6754898</v>
      </c>
      <c r="I2984" s="11" t="s">
        <v>2528</v>
      </c>
      <c r="J2984" s="11" t="s">
        <v>14284</v>
      </c>
      <c r="K2984" s="11" t="s">
        <v>7495</v>
      </c>
      <c r="L2984" s="11" t="s">
        <v>7033</v>
      </c>
      <c r="M2984" s="11" t="s">
        <v>14285</v>
      </c>
      <c r="N2984" s="11">
        <v>20000</v>
      </c>
      <c r="O2984" s="11">
        <v>1291</v>
      </c>
      <c r="P2984" s="11">
        <v>0</v>
      </c>
      <c r="Q2984" s="11" t="s">
        <v>14286</v>
      </c>
      <c r="R2984" s="14" t="s">
        <v>14287</v>
      </c>
      <c r="S2984" s="11">
        <v>188</v>
      </c>
      <c r="T2984" s="11" t="s">
        <v>39</v>
      </c>
      <c r="U2984" s="11" t="s">
        <v>40</v>
      </c>
      <c r="V2984" s="11" t="s">
        <v>586</v>
      </c>
      <c r="W2984" s="11">
        <v>12000000</v>
      </c>
      <c r="X2984" s="11">
        <v>2006</v>
      </c>
      <c r="Y2984" s="11">
        <v>398</v>
      </c>
      <c r="Z2984" s="11">
        <v>6.2</v>
      </c>
      <c r="AA2984" s="11">
        <v>2.35</v>
      </c>
      <c r="AB2984" s="11">
        <v>0</v>
      </c>
      <c r="AC2984" s="11"/>
      <c r="AD2984" s="11" t="str">
        <f>IFERROR(__xludf.DUMMYFUNCTION("""COMPUTED_VALUE"""),"Shane Black")</f>
        <v>Shane Black</v>
      </c>
      <c r="AE2984" s="11"/>
    </row>
    <row r="2985" customHeight="1" spans="1:31">
      <c r="A2985" s="12" t="s">
        <v>30</v>
      </c>
      <c r="B2985" s="12" t="s">
        <v>12475</v>
      </c>
      <c r="C2985" s="12">
        <v>60</v>
      </c>
      <c r="D2985" s="12">
        <v>90</v>
      </c>
      <c r="E2985" s="12">
        <v>7</v>
      </c>
      <c r="F2985" s="12">
        <v>251</v>
      </c>
      <c r="G2985" s="12">
        <v>525</v>
      </c>
      <c r="H2985" s="12">
        <v>4922166</v>
      </c>
      <c r="I2985" s="12" t="s">
        <v>11251</v>
      </c>
      <c r="J2985" s="12" t="s">
        <v>1662</v>
      </c>
      <c r="K2985" s="12" t="s">
        <v>14288</v>
      </c>
      <c r="L2985" s="12" t="s">
        <v>14289</v>
      </c>
      <c r="M2985" s="12" t="s">
        <v>14290</v>
      </c>
      <c r="N2985" s="12">
        <v>23606</v>
      </c>
      <c r="O2985" s="12">
        <v>1445</v>
      </c>
      <c r="P2985" s="12">
        <v>2</v>
      </c>
      <c r="Q2985" s="12" t="s">
        <v>14291</v>
      </c>
      <c r="R2985" s="15" t="s">
        <v>14292</v>
      </c>
      <c r="S2985" s="12">
        <v>304</v>
      </c>
      <c r="T2985" s="12" t="s">
        <v>39</v>
      </c>
      <c r="U2985" s="12" t="s">
        <v>40</v>
      </c>
      <c r="V2985" s="12" t="s">
        <v>96</v>
      </c>
      <c r="W2985" s="12">
        <v>12000000</v>
      </c>
      <c r="X2985" s="12">
        <v>2003</v>
      </c>
      <c r="Y2985" s="12">
        <v>281</v>
      </c>
      <c r="Z2985" s="12">
        <v>2.1</v>
      </c>
      <c r="AA2985" s="12">
        <v>1.85</v>
      </c>
      <c r="AB2985" s="12">
        <v>0</v>
      </c>
      <c r="AC2985" s="12"/>
      <c r="AD2985" s="12" t="str">
        <f>IFERROR(__xludf.DUMMYFUNCTION("""COMPUTED_VALUE"""),"Carl Weathers")</f>
        <v>Carl Weathers</v>
      </c>
      <c r="AE2985" s="12"/>
    </row>
    <row r="2986" customHeight="1" spans="1:31">
      <c r="A2986" s="11" t="s">
        <v>30</v>
      </c>
      <c r="B2986" s="11" t="s">
        <v>5077</v>
      </c>
      <c r="C2986" s="11">
        <v>30</v>
      </c>
      <c r="D2986" s="11">
        <v>108</v>
      </c>
      <c r="E2986" s="11">
        <v>0</v>
      </c>
      <c r="F2986" s="11">
        <v>599</v>
      </c>
      <c r="G2986" s="11">
        <v>873</v>
      </c>
      <c r="H2986" s="11">
        <v>4903000</v>
      </c>
      <c r="I2986" s="11" t="s">
        <v>2528</v>
      </c>
      <c r="J2986" s="11" t="s">
        <v>2002</v>
      </c>
      <c r="K2986" s="11" t="s">
        <v>1837</v>
      </c>
      <c r="L2986" s="11" t="s">
        <v>5586</v>
      </c>
      <c r="M2986" s="11" t="s">
        <v>14293</v>
      </c>
      <c r="N2986" s="11">
        <v>4961</v>
      </c>
      <c r="O2986" s="11">
        <v>4497</v>
      </c>
      <c r="P2986" s="11">
        <v>3</v>
      </c>
      <c r="Q2986" s="11" t="s">
        <v>14294</v>
      </c>
      <c r="R2986" s="14" t="s">
        <v>14295</v>
      </c>
      <c r="S2986" s="11">
        <v>33</v>
      </c>
      <c r="T2986" s="11" t="s">
        <v>39</v>
      </c>
      <c r="U2986" s="11" t="s">
        <v>40</v>
      </c>
      <c r="V2986" s="11" t="s">
        <v>586</v>
      </c>
      <c r="W2986" s="11">
        <v>12000000</v>
      </c>
      <c r="X2986" s="11">
        <v>1996</v>
      </c>
      <c r="Y2986" s="11">
        <v>680</v>
      </c>
      <c r="Z2986" s="11">
        <v>5</v>
      </c>
      <c r="AA2986" s="11">
        <v>1.85</v>
      </c>
      <c r="AB2986" s="11">
        <v>251</v>
      </c>
      <c r="AC2986" s="11"/>
      <c r="AD2986" s="11" t="str">
        <f>IFERROR(__xludf.DUMMYFUNCTION("""COMPUTED_VALUE"""),"Collins Pennie")</f>
        <v>Collins Pennie</v>
      </c>
      <c r="AE2986" s="11"/>
    </row>
    <row r="2987" customHeight="1" spans="1:31">
      <c r="A2987" s="12" t="s">
        <v>30</v>
      </c>
      <c r="B2987" s="12" t="s">
        <v>14296</v>
      </c>
      <c r="C2987" s="12">
        <v>138</v>
      </c>
      <c r="D2987" s="12">
        <v>113</v>
      </c>
      <c r="E2987" s="12">
        <v>319</v>
      </c>
      <c r="F2987" s="12">
        <v>48</v>
      </c>
      <c r="G2987" s="12">
        <v>1000</v>
      </c>
      <c r="H2987" s="12">
        <v>4717455</v>
      </c>
      <c r="I2987" s="12" t="s">
        <v>852</v>
      </c>
      <c r="J2987" s="12" t="s">
        <v>2620</v>
      </c>
      <c r="K2987" s="12" t="s">
        <v>14297</v>
      </c>
      <c r="L2987" s="12" t="s">
        <v>14298</v>
      </c>
      <c r="M2987" s="12" t="s">
        <v>14299</v>
      </c>
      <c r="N2987" s="12">
        <v>18632</v>
      </c>
      <c r="O2987" s="12">
        <v>1171</v>
      </c>
      <c r="P2987" s="12">
        <v>0</v>
      </c>
      <c r="Q2987" s="12" t="s">
        <v>14300</v>
      </c>
      <c r="R2987" s="15" t="s">
        <v>14301</v>
      </c>
      <c r="S2987" s="12">
        <v>354</v>
      </c>
      <c r="T2987" s="12" t="s">
        <v>39</v>
      </c>
      <c r="U2987" s="12" t="s">
        <v>371</v>
      </c>
      <c r="V2987" s="12" t="s">
        <v>586</v>
      </c>
      <c r="W2987" s="12">
        <v>12000000</v>
      </c>
      <c r="X2987" s="12">
        <v>2003</v>
      </c>
      <c r="Y2987" s="12">
        <v>65</v>
      </c>
      <c r="Z2987" s="12">
        <v>5.3</v>
      </c>
      <c r="AA2987" s="12">
        <v>1.85</v>
      </c>
      <c r="AB2987" s="12">
        <v>656</v>
      </c>
      <c r="AC2987" s="12"/>
      <c r="AD2987" s="12" t="str">
        <f>IFERROR(__xludf.DUMMYFUNCTION("""COMPUTED_VALUE"""),"Lindsay Duncan")</f>
        <v>Lindsay Duncan</v>
      </c>
      <c r="AE2987" s="12"/>
    </row>
    <row r="2988" customHeight="1" spans="1:31">
      <c r="A2988" s="11" t="s">
        <v>30</v>
      </c>
      <c r="B2988" s="11" t="s">
        <v>8973</v>
      </c>
      <c r="C2988" s="11">
        <v>190</v>
      </c>
      <c r="D2988" s="11">
        <v>110</v>
      </c>
      <c r="E2988" s="11">
        <v>115</v>
      </c>
      <c r="F2988" s="11">
        <v>103</v>
      </c>
      <c r="G2988" s="11">
        <v>812</v>
      </c>
      <c r="H2988" s="11">
        <v>3148482</v>
      </c>
      <c r="I2988" s="11" t="s">
        <v>214</v>
      </c>
      <c r="J2988" s="11" t="s">
        <v>3866</v>
      </c>
      <c r="K2988" s="11" t="s">
        <v>3729</v>
      </c>
      <c r="L2988" s="11" t="s">
        <v>14302</v>
      </c>
      <c r="M2988" s="11" t="s">
        <v>14303</v>
      </c>
      <c r="N2988" s="11">
        <v>29613</v>
      </c>
      <c r="O2988" s="11">
        <v>1540</v>
      </c>
      <c r="P2988" s="11">
        <v>0</v>
      </c>
      <c r="Q2988" s="11" t="s">
        <v>14304</v>
      </c>
      <c r="R2988" s="14" t="s">
        <v>14305</v>
      </c>
      <c r="S2988" s="11">
        <v>98</v>
      </c>
      <c r="T2988" s="11" t="s">
        <v>39</v>
      </c>
      <c r="U2988" s="11" t="s">
        <v>40</v>
      </c>
      <c r="V2988" s="11" t="s">
        <v>586</v>
      </c>
      <c r="W2988" s="11">
        <v>12000000</v>
      </c>
      <c r="X2988" s="11">
        <v>2008</v>
      </c>
      <c r="Y2988" s="11">
        <v>580</v>
      </c>
      <c r="Z2988" s="11">
        <v>7.1</v>
      </c>
      <c r="AA2988" s="11">
        <v>2.35</v>
      </c>
      <c r="AB2988" s="11">
        <v>0</v>
      </c>
      <c r="AC2988" s="11"/>
      <c r="AD2988" s="11" t="str">
        <f>IFERROR(__xludf.DUMMYFUNCTION("""COMPUTED_VALUE"""),"Mario Monicelli")</f>
        <v>Mario Monicelli</v>
      </c>
      <c r="AE2988" s="11"/>
    </row>
    <row r="2989" customHeight="1" spans="1:31">
      <c r="A2989" s="12" t="s">
        <v>30</v>
      </c>
      <c r="B2989" s="12" t="s">
        <v>14306</v>
      </c>
      <c r="C2989" s="12">
        <v>61</v>
      </c>
      <c r="D2989" s="12">
        <v>109</v>
      </c>
      <c r="E2989" s="12">
        <v>40</v>
      </c>
      <c r="F2989" s="12">
        <v>794</v>
      </c>
      <c r="G2989" s="12">
        <v>5000</v>
      </c>
      <c r="H2989" s="12">
        <v>2326407</v>
      </c>
      <c r="I2989" s="12" t="s">
        <v>3410</v>
      </c>
      <c r="J2989" s="12" t="s">
        <v>2398</v>
      </c>
      <c r="K2989" s="12" t="s">
        <v>392</v>
      </c>
      <c r="L2989" s="12" t="s">
        <v>13250</v>
      </c>
      <c r="M2989" s="12" t="s">
        <v>14307</v>
      </c>
      <c r="N2989" s="12">
        <v>5016</v>
      </c>
      <c r="O2989" s="12">
        <v>7166</v>
      </c>
      <c r="P2989" s="12">
        <v>5</v>
      </c>
      <c r="Q2989" s="12" t="s">
        <v>14308</v>
      </c>
      <c r="R2989" s="15" t="s">
        <v>14309</v>
      </c>
      <c r="S2989" s="12">
        <v>99</v>
      </c>
      <c r="T2989" s="12" t="s">
        <v>39</v>
      </c>
      <c r="U2989" s="12" t="s">
        <v>58</v>
      </c>
      <c r="V2989" s="12" t="s">
        <v>586</v>
      </c>
      <c r="W2989" s="12">
        <v>12000000</v>
      </c>
      <c r="X2989" s="12">
        <v>2001</v>
      </c>
      <c r="Y2989" s="12">
        <v>1000</v>
      </c>
      <c r="Z2989" s="12">
        <v>7</v>
      </c>
      <c r="AA2989" s="12">
        <v>2.35</v>
      </c>
      <c r="AB2989" s="12">
        <v>305</v>
      </c>
      <c r="AC2989" s="12"/>
      <c r="AD2989" s="12" t="str">
        <f>IFERROR(__xludf.DUMMYFUNCTION("""COMPUTED_VALUE"""),"Melinda Clarke")</f>
        <v>Melinda Clarke</v>
      </c>
      <c r="AE2989" s="12"/>
    </row>
    <row r="2990" customHeight="1" spans="1:31">
      <c r="A2990" s="11" t="s">
        <v>30</v>
      </c>
      <c r="B2990" s="11" t="s">
        <v>6892</v>
      </c>
      <c r="C2990" s="11">
        <v>363</v>
      </c>
      <c r="D2990" s="11">
        <v>110</v>
      </c>
      <c r="E2990" s="11">
        <v>584</v>
      </c>
      <c r="F2990" s="11">
        <v>74</v>
      </c>
      <c r="G2990" s="11">
        <v>629</v>
      </c>
      <c r="H2990" s="11">
        <v>2201412</v>
      </c>
      <c r="I2990" s="11" t="s">
        <v>14310</v>
      </c>
      <c r="J2990" s="11" t="s">
        <v>14311</v>
      </c>
      <c r="K2990" s="11" t="s">
        <v>6893</v>
      </c>
      <c r="L2990" s="11" t="s">
        <v>14312</v>
      </c>
      <c r="M2990" s="11" t="s">
        <v>5353</v>
      </c>
      <c r="N2990" s="11">
        <v>68883</v>
      </c>
      <c r="O2990" s="11">
        <v>1173</v>
      </c>
      <c r="P2990" s="11">
        <v>0</v>
      </c>
      <c r="Q2990" s="11" t="s">
        <v>14313</v>
      </c>
      <c r="R2990" s="14" t="s">
        <v>14314</v>
      </c>
      <c r="S2990" s="11">
        <v>279</v>
      </c>
      <c r="T2990" s="11" t="s">
        <v>12701</v>
      </c>
      <c r="U2990" s="11" t="s">
        <v>5695</v>
      </c>
      <c r="V2990" s="11" t="s">
        <v>586</v>
      </c>
      <c r="W2990" s="11">
        <v>12215500000</v>
      </c>
      <c r="X2990" s="11">
        <v>2006</v>
      </c>
      <c r="Y2990" s="11">
        <v>398</v>
      </c>
      <c r="Z2990" s="11">
        <v>7</v>
      </c>
      <c r="AA2990" s="11">
        <v>1.85</v>
      </c>
      <c r="AB2990" s="11">
        <v>7000</v>
      </c>
      <c r="AC2990" s="11"/>
      <c r="AD2990" s="11" t="str">
        <f>IFERROR(__xludf.DUMMYFUNCTION("""COMPUTED_VALUE"""),"Andrew Dice Clay")</f>
        <v>Andrew Dice Clay</v>
      </c>
      <c r="AE2990" s="11"/>
    </row>
    <row r="2991" customHeight="1" spans="1:31">
      <c r="A2991" s="12" t="s">
        <v>30</v>
      </c>
      <c r="B2991" s="12" t="s">
        <v>1517</v>
      </c>
      <c r="C2991" s="12">
        <v>2</v>
      </c>
      <c r="D2991" s="12">
        <v>100</v>
      </c>
      <c r="E2991" s="12">
        <v>55</v>
      </c>
      <c r="F2991" s="12">
        <v>212</v>
      </c>
      <c r="G2991" s="12">
        <v>3000</v>
      </c>
      <c r="H2991" s="16"/>
      <c r="I2991" s="12" t="s">
        <v>14315</v>
      </c>
      <c r="J2991" s="12" t="s">
        <v>1689</v>
      </c>
      <c r="K2991" s="12" t="s">
        <v>4206</v>
      </c>
      <c r="L2991" s="12" t="s">
        <v>14316</v>
      </c>
      <c r="M2991" s="12" t="s">
        <v>14317</v>
      </c>
      <c r="N2991" s="12">
        <v>763</v>
      </c>
      <c r="O2991" s="12">
        <v>4277</v>
      </c>
      <c r="P2991" s="12">
        <v>0</v>
      </c>
      <c r="Q2991" s="12" t="s">
        <v>14318</v>
      </c>
      <c r="R2991" s="15" t="s">
        <v>14319</v>
      </c>
      <c r="S2991" s="12">
        <v>10</v>
      </c>
      <c r="T2991" s="12" t="s">
        <v>39</v>
      </c>
      <c r="U2991" s="12" t="s">
        <v>40</v>
      </c>
      <c r="V2991" s="12" t="s">
        <v>96</v>
      </c>
      <c r="W2991" s="12">
        <v>12000000</v>
      </c>
      <c r="X2991" s="12">
        <v>1981</v>
      </c>
      <c r="Y2991" s="12">
        <v>642</v>
      </c>
      <c r="Z2991" s="12">
        <v>5.7</v>
      </c>
      <c r="AA2991" s="12">
        <v>1.85</v>
      </c>
      <c r="AB2991" s="12">
        <v>135</v>
      </c>
      <c r="AC2991" s="12"/>
      <c r="AD2991" s="12" t="str">
        <f>IFERROR(__xludf.DUMMYFUNCTION("""COMPUTED_VALUE"""),"Christian Clemenson")</f>
        <v>Christian Clemenson</v>
      </c>
      <c r="AE2991" s="12"/>
    </row>
    <row r="2992" customHeight="1" spans="1:31">
      <c r="A2992" s="11" t="s">
        <v>30</v>
      </c>
      <c r="B2992" s="11" t="s">
        <v>14320</v>
      </c>
      <c r="C2992" s="11">
        <v>131</v>
      </c>
      <c r="D2992" s="11">
        <v>101</v>
      </c>
      <c r="E2992" s="11">
        <v>61</v>
      </c>
      <c r="F2992" s="11">
        <v>611</v>
      </c>
      <c r="G2992" s="11">
        <v>769</v>
      </c>
      <c r="H2992" s="11">
        <v>2060953</v>
      </c>
      <c r="I2992" s="11" t="s">
        <v>9755</v>
      </c>
      <c r="J2992" s="11" t="s">
        <v>13349</v>
      </c>
      <c r="K2992" s="11" t="s">
        <v>1655</v>
      </c>
      <c r="L2992" s="11" t="s">
        <v>10142</v>
      </c>
      <c r="M2992" s="11" t="s">
        <v>14321</v>
      </c>
      <c r="N2992" s="11">
        <v>29990</v>
      </c>
      <c r="O2992" s="11">
        <v>2543</v>
      </c>
      <c r="P2992" s="11">
        <v>0</v>
      </c>
      <c r="Q2992" s="11" t="s">
        <v>14322</v>
      </c>
      <c r="R2992" s="14" t="s">
        <v>14323</v>
      </c>
      <c r="S2992" s="11">
        <v>316</v>
      </c>
      <c r="T2992" s="11" t="s">
        <v>39</v>
      </c>
      <c r="U2992" s="11" t="s">
        <v>5561</v>
      </c>
      <c r="V2992" s="11" t="s">
        <v>586</v>
      </c>
      <c r="W2992" s="11">
        <v>12000000</v>
      </c>
      <c r="X2992" s="11">
        <v>1999</v>
      </c>
      <c r="Y2992" s="11">
        <v>692</v>
      </c>
      <c r="Z2992" s="11">
        <v>7.1</v>
      </c>
      <c r="AA2992" s="11">
        <v>2.35</v>
      </c>
      <c r="AB2992" s="11">
        <v>0</v>
      </c>
      <c r="AC2992" s="11"/>
      <c r="AD2992" s="11" t="str">
        <f>IFERROR(__xludf.DUMMYFUNCTION("""COMPUTED_VALUE"""),"David Alan Basche")</f>
        <v>David Alan Basche</v>
      </c>
      <c r="AE2992" s="11"/>
    </row>
    <row r="2993" customHeight="1" spans="1:31">
      <c r="A2993" s="12" t="s">
        <v>30</v>
      </c>
      <c r="B2993" s="12" t="s">
        <v>14324</v>
      </c>
      <c r="C2993" s="12">
        <v>146</v>
      </c>
      <c r="D2993" s="12">
        <v>97</v>
      </c>
      <c r="E2993" s="12">
        <v>20</v>
      </c>
      <c r="F2993" s="12">
        <v>442</v>
      </c>
      <c r="G2993" s="12">
        <v>21000</v>
      </c>
      <c r="H2993" s="12">
        <v>3950294</v>
      </c>
      <c r="I2993" s="12" t="s">
        <v>1415</v>
      </c>
      <c r="J2993" s="12" t="s">
        <v>99</v>
      </c>
      <c r="K2993" s="12" t="s">
        <v>5061</v>
      </c>
      <c r="L2993" s="12" t="s">
        <v>8062</v>
      </c>
      <c r="M2993" s="12" t="s">
        <v>14325</v>
      </c>
      <c r="N2993" s="12">
        <v>56654</v>
      </c>
      <c r="O2993" s="12">
        <v>22577</v>
      </c>
      <c r="P2993" s="12">
        <v>5</v>
      </c>
      <c r="Q2993" s="12" t="s">
        <v>14326</v>
      </c>
      <c r="R2993" s="15" t="s">
        <v>14327</v>
      </c>
      <c r="S2993" s="12">
        <v>124</v>
      </c>
      <c r="T2993" s="12" t="s">
        <v>39</v>
      </c>
      <c r="U2993" s="12" t="s">
        <v>40</v>
      </c>
      <c r="V2993" s="12" t="s">
        <v>586</v>
      </c>
      <c r="W2993" s="12">
        <v>12000000</v>
      </c>
      <c r="X2993" s="12">
        <v>2007</v>
      </c>
      <c r="Y2993" s="12">
        <v>569</v>
      </c>
      <c r="Z2993" s="12">
        <v>7</v>
      </c>
      <c r="AA2993" s="12">
        <v>1.85</v>
      </c>
      <c r="AB2993" s="12">
        <v>0</v>
      </c>
      <c r="AC2993" s="12"/>
      <c r="AD2993" s="12" t="str">
        <f>IFERROR(__xludf.DUMMYFUNCTION("""COMPUTED_VALUE"""),"Susan Blommaert")</f>
        <v>Susan Blommaert</v>
      </c>
      <c r="AE2993" s="12"/>
    </row>
    <row r="2994" customHeight="1" spans="1:31">
      <c r="A2994" s="11" t="s">
        <v>30</v>
      </c>
      <c r="B2994" s="11" t="s">
        <v>14328</v>
      </c>
      <c r="C2994" s="11">
        <v>280</v>
      </c>
      <c r="D2994" s="11">
        <v>172</v>
      </c>
      <c r="E2994" s="11">
        <v>667</v>
      </c>
      <c r="F2994" s="11">
        <v>70</v>
      </c>
      <c r="G2994" s="11">
        <v>211</v>
      </c>
      <c r="H2994" s="11">
        <v>2835886</v>
      </c>
      <c r="I2994" s="11" t="s">
        <v>3410</v>
      </c>
      <c r="J2994" s="11" t="s">
        <v>14329</v>
      </c>
      <c r="K2994" s="11" t="s">
        <v>14330</v>
      </c>
      <c r="L2994" s="11" t="s">
        <v>14331</v>
      </c>
      <c r="M2994" s="11" t="s">
        <v>14332</v>
      </c>
      <c r="N2994" s="11">
        <v>55516</v>
      </c>
      <c r="O2994" s="11">
        <v>456</v>
      </c>
      <c r="P2994" s="11">
        <v>2</v>
      </c>
      <c r="Q2994" s="11" t="s">
        <v>14333</v>
      </c>
      <c r="R2994" s="14" t="s">
        <v>14334</v>
      </c>
      <c r="S2994" s="11">
        <v>124</v>
      </c>
      <c r="T2994" s="11" t="s">
        <v>9796</v>
      </c>
      <c r="U2994" s="11" t="s">
        <v>7091</v>
      </c>
      <c r="V2994" s="11" t="s">
        <v>4831</v>
      </c>
      <c r="W2994" s="11">
        <v>9200000</v>
      </c>
      <c r="X2994" s="11">
        <v>2013</v>
      </c>
      <c r="Y2994" s="11">
        <v>98</v>
      </c>
      <c r="Z2994" s="11">
        <v>7.7</v>
      </c>
      <c r="AA2994" s="11">
        <v>2.35</v>
      </c>
      <c r="AB2994" s="11">
        <v>29000</v>
      </c>
      <c r="AC2994" s="11"/>
      <c r="AD2994" s="11" t="str">
        <f>IFERROR(__xludf.DUMMYFUNCTION("""COMPUTED_VALUE"""),"Christian Monzon")</f>
        <v>Christian Monzon</v>
      </c>
      <c r="AE2994" s="11"/>
    </row>
    <row r="2995" customHeight="1" spans="1:31">
      <c r="A2995" s="12" t="s">
        <v>30</v>
      </c>
      <c r="B2995" s="12" t="s">
        <v>14335</v>
      </c>
      <c r="C2995" s="12">
        <v>78</v>
      </c>
      <c r="D2995" s="12">
        <v>104</v>
      </c>
      <c r="E2995" s="12">
        <v>0</v>
      </c>
      <c r="F2995" s="12">
        <v>77</v>
      </c>
      <c r="G2995" s="12">
        <v>1000</v>
      </c>
      <c r="H2995" s="12">
        <v>1779284</v>
      </c>
      <c r="I2995" s="12" t="s">
        <v>2528</v>
      </c>
      <c r="J2995" s="12" t="s">
        <v>2457</v>
      </c>
      <c r="K2995" s="12" t="s">
        <v>14336</v>
      </c>
      <c r="L2995" s="12" t="s">
        <v>14337</v>
      </c>
      <c r="M2995" s="12" t="s">
        <v>14338</v>
      </c>
      <c r="N2995" s="12">
        <v>12047</v>
      </c>
      <c r="O2995" s="12">
        <v>1292</v>
      </c>
      <c r="P2995" s="12">
        <v>4</v>
      </c>
      <c r="Q2995" s="12" t="s">
        <v>14339</v>
      </c>
      <c r="R2995" s="15" t="s">
        <v>14340</v>
      </c>
      <c r="S2995" s="12">
        <v>122</v>
      </c>
      <c r="T2995" s="12" t="s">
        <v>39</v>
      </c>
      <c r="U2995" s="12" t="s">
        <v>40</v>
      </c>
      <c r="V2995" s="12" t="s">
        <v>586</v>
      </c>
      <c r="W2995" s="12">
        <v>12000000</v>
      </c>
      <c r="X2995" s="12">
        <v>2002</v>
      </c>
      <c r="Y2995" s="12">
        <v>165</v>
      </c>
      <c r="Z2995" s="12">
        <v>7.1</v>
      </c>
      <c r="AA2995" s="12">
        <v>1.85</v>
      </c>
      <c r="AB2995" s="12">
        <v>677</v>
      </c>
      <c r="AC2995" s="12"/>
      <c r="AD2995" s="12" t="str">
        <f>IFERROR(__xludf.DUMMYFUNCTION("""COMPUTED_VALUE"""),"Hulk Hogan")</f>
        <v>Hulk Hogan</v>
      </c>
      <c r="AE2995" s="12"/>
    </row>
    <row r="2996" customHeight="1" spans="1:31">
      <c r="A2996" s="11" t="s">
        <v>30</v>
      </c>
      <c r="B2996" s="11" t="s">
        <v>14341</v>
      </c>
      <c r="C2996" s="11">
        <v>469</v>
      </c>
      <c r="D2996" s="11">
        <v>99</v>
      </c>
      <c r="E2996" s="11">
        <v>0</v>
      </c>
      <c r="F2996" s="11">
        <v>520</v>
      </c>
      <c r="G2996" s="11">
        <v>3000</v>
      </c>
      <c r="H2996" s="11">
        <v>1702277</v>
      </c>
      <c r="I2996" s="11" t="s">
        <v>4075</v>
      </c>
      <c r="J2996" s="11" t="s">
        <v>14342</v>
      </c>
      <c r="K2996" s="11" t="s">
        <v>5464</v>
      </c>
      <c r="L2996" s="11" t="s">
        <v>14343</v>
      </c>
      <c r="M2996" s="11" t="s">
        <v>14344</v>
      </c>
      <c r="N2996" s="11">
        <v>84620</v>
      </c>
      <c r="O2996" s="11">
        <v>5074</v>
      </c>
      <c r="P2996" s="11">
        <v>4</v>
      </c>
      <c r="Q2996" s="11" t="s">
        <v>14345</v>
      </c>
      <c r="R2996" s="14" t="s">
        <v>14346</v>
      </c>
      <c r="S2996" s="11">
        <v>235</v>
      </c>
      <c r="T2996" s="11" t="s">
        <v>39</v>
      </c>
      <c r="U2996" s="11" t="s">
        <v>58</v>
      </c>
      <c r="V2996" s="11" t="s">
        <v>586</v>
      </c>
      <c r="W2996" s="11">
        <v>12000000</v>
      </c>
      <c r="X2996" s="11">
        <v>2013</v>
      </c>
      <c r="Y2996" s="11">
        <v>1000</v>
      </c>
      <c r="Z2996" s="11">
        <v>6.8</v>
      </c>
      <c r="AA2996" s="11">
        <v>2.35</v>
      </c>
      <c r="AB2996" s="11">
        <v>27000</v>
      </c>
      <c r="AC2996" s="11"/>
      <c r="AD2996" s="11" t="str">
        <f>IFERROR(__xludf.DUMMYFUNCTION("""COMPUTED_VALUE"""),"Barry Bostwick")</f>
        <v>Barry Bostwick</v>
      </c>
      <c r="AE2996" s="11"/>
    </row>
    <row r="2997" customHeight="1" spans="1:31">
      <c r="A2997" s="12" t="s">
        <v>748</v>
      </c>
      <c r="B2997" s="12" t="s">
        <v>6978</v>
      </c>
      <c r="C2997" s="12">
        <v>194</v>
      </c>
      <c r="D2997" s="12">
        <v>129</v>
      </c>
      <c r="E2997" s="12">
        <v>0</v>
      </c>
      <c r="F2997" s="12">
        <v>576</v>
      </c>
      <c r="G2997" s="12">
        <v>878</v>
      </c>
      <c r="H2997" s="12">
        <v>261481</v>
      </c>
      <c r="I2997" s="12" t="s">
        <v>5500</v>
      </c>
      <c r="J2997" s="12" t="s">
        <v>2413</v>
      </c>
      <c r="K2997" s="12" t="s">
        <v>6167</v>
      </c>
      <c r="L2997" s="12" t="s">
        <v>6168</v>
      </c>
      <c r="M2997" s="12" t="s">
        <v>14347</v>
      </c>
      <c r="N2997" s="12">
        <v>41496</v>
      </c>
      <c r="O2997" s="12">
        <v>2378</v>
      </c>
      <c r="P2997" s="12">
        <v>0</v>
      </c>
      <c r="Q2997" s="12" t="s">
        <v>14348</v>
      </c>
      <c r="R2997" s="15" t="s">
        <v>14349</v>
      </c>
      <c r="S2997" s="12">
        <v>210</v>
      </c>
      <c r="T2997" s="12" t="s">
        <v>7242</v>
      </c>
      <c r="U2997" s="12" t="s">
        <v>3860</v>
      </c>
      <c r="V2997" s="12" t="s">
        <v>586</v>
      </c>
      <c r="W2997" s="12">
        <v>12000000</v>
      </c>
      <c r="X2997" s="12">
        <v>2004</v>
      </c>
      <c r="Y2997" s="12">
        <v>643</v>
      </c>
      <c r="Z2997" s="12">
        <v>7.5</v>
      </c>
      <c r="AA2997" s="12">
        <v>2.35</v>
      </c>
      <c r="AB2997" s="12">
        <v>0</v>
      </c>
      <c r="AC2997" s="12"/>
      <c r="AD2997" s="12" t="str">
        <f>IFERROR(__xludf.DUMMYFUNCTION("""COMPUTED_VALUE"""),"Nicollette Sheridan")</f>
        <v>Nicollette Sheridan</v>
      </c>
      <c r="AE2997" s="12"/>
    </row>
    <row r="2998" customHeight="1" spans="1:31">
      <c r="A2998" s="11" t="s">
        <v>30</v>
      </c>
      <c r="B2998" s="11" t="s">
        <v>14350</v>
      </c>
      <c r="C2998" s="11">
        <v>121</v>
      </c>
      <c r="D2998" s="11">
        <v>91</v>
      </c>
      <c r="E2998" s="11">
        <v>60</v>
      </c>
      <c r="F2998" s="11">
        <v>18</v>
      </c>
      <c r="G2998" s="11">
        <v>60</v>
      </c>
      <c r="H2998" s="11">
        <v>1506998</v>
      </c>
      <c r="I2998" s="11" t="s">
        <v>4824</v>
      </c>
      <c r="J2998" s="11" t="s">
        <v>14351</v>
      </c>
      <c r="K2998" s="11" t="s">
        <v>14352</v>
      </c>
      <c r="L2998" s="11" t="s">
        <v>14353</v>
      </c>
      <c r="M2998" s="11" t="s">
        <v>14354</v>
      </c>
      <c r="N2998" s="11">
        <v>8014</v>
      </c>
      <c r="O2998" s="11">
        <v>141</v>
      </c>
      <c r="P2998" s="11">
        <v>4</v>
      </c>
      <c r="Q2998" s="11" t="s">
        <v>14355</v>
      </c>
      <c r="R2998" s="14" t="s">
        <v>14356</v>
      </c>
      <c r="S2998" s="11">
        <v>50</v>
      </c>
      <c r="T2998" s="11" t="s">
        <v>39</v>
      </c>
      <c r="U2998" s="11" t="s">
        <v>40</v>
      </c>
      <c r="V2998" s="11" t="s">
        <v>41</v>
      </c>
      <c r="W2998" s="11">
        <v>12000000</v>
      </c>
      <c r="X2998" s="11">
        <v>2007</v>
      </c>
      <c r="Y2998" s="11">
        <v>46</v>
      </c>
      <c r="Z2998" s="11">
        <v>6.3</v>
      </c>
      <c r="AA2998" s="11">
        <v>1.85</v>
      </c>
      <c r="AB2998" s="11">
        <v>314</v>
      </c>
      <c r="AC2998" s="11"/>
      <c r="AD2998" s="11" t="str">
        <f>IFERROR(__xludf.DUMMYFUNCTION("""COMPUTED_VALUE"""),"Chris Brochu")</f>
        <v>Chris Brochu</v>
      </c>
      <c r="AE2998" s="11"/>
    </row>
    <row r="2999" customHeight="1" spans="1:31">
      <c r="A2999" s="12" t="s">
        <v>30</v>
      </c>
      <c r="B2999" s="12" t="s">
        <v>14357</v>
      </c>
      <c r="C2999" s="12">
        <v>38</v>
      </c>
      <c r="D2999" s="12">
        <v>100</v>
      </c>
      <c r="E2999" s="12">
        <v>19</v>
      </c>
      <c r="F2999" s="12">
        <v>393</v>
      </c>
      <c r="G2999" s="12">
        <v>706</v>
      </c>
      <c r="H2999" s="12">
        <v>860002</v>
      </c>
      <c r="I2999" s="12" t="s">
        <v>3271</v>
      </c>
      <c r="J2999" s="12" t="s">
        <v>14358</v>
      </c>
      <c r="K2999" s="12" t="s">
        <v>8062</v>
      </c>
      <c r="L2999" s="12" t="s">
        <v>1927</v>
      </c>
      <c r="M2999" s="12" t="s">
        <v>14359</v>
      </c>
      <c r="N2999" s="12">
        <v>6454</v>
      </c>
      <c r="O2999" s="12">
        <v>1579</v>
      </c>
      <c r="P2999" s="12">
        <v>0</v>
      </c>
      <c r="Q2999" s="12" t="s">
        <v>14360</v>
      </c>
      <c r="R2999" s="15" t="s">
        <v>14361</v>
      </c>
      <c r="S2999" s="12">
        <v>43</v>
      </c>
      <c r="T2999" s="12" t="s">
        <v>39</v>
      </c>
      <c r="U2999" s="12" t="s">
        <v>40</v>
      </c>
      <c r="V2999" s="12" t="s">
        <v>96</v>
      </c>
      <c r="W2999" s="12">
        <v>12000000</v>
      </c>
      <c r="X2999" s="12">
        <v>2005</v>
      </c>
      <c r="Y2999" s="12">
        <v>442</v>
      </c>
      <c r="Z2999" s="12">
        <v>7.3</v>
      </c>
      <c r="AA2999" s="12">
        <v>1.85</v>
      </c>
      <c r="AB2999" s="12">
        <v>0</v>
      </c>
      <c r="AC2999" s="12"/>
      <c r="AD2999" s="12" t="str">
        <f>IFERROR(__xludf.DUMMYFUNCTION("""COMPUTED_VALUE"""),"Martin Balsam")</f>
        <v>Martin Balsam</v>
      </c>
      <c r="AE2999" s="12"/>
    </row>
    <row r="3000" customHeight="1" spans="1:31">
      <c r="A3000" s="11" t="s">
        <v>30</v>
      </c>
      <c r="B3000" s="11" t="s">
        <v>5051</v>
      </c>
      <c r="C3000" s="11">
        <v>123</v>
      </c>
      <c r="D3000" s="11">
        <v>111</v>
      </c>
      <c r="E3000" s="11">
        <v>277</v>
      </c>
      <c r="F3000" s="11">
        <v>289</v>
      </c>
      <c r="G3000" s="11">
        <v>845</v>
      </c>
      <c r="H3000" s="11">
        <v>548934</v>
      </c>
      <c r="I3000" s="11" t="s">
        <v>3832</v>
      </c>
      <c r="J3000" s="11" t="s">
        <v>1214</v>
      </c>
      <c r="K3000" s="11" t="s">
        <v>3459</v>
      </c>
      <c r="L3000" s="11" t="s">
        <v>14362</v>
      </c>
      <c r="M3000" s="11" t="s">
        <v>14363</v>
      </c>
      <c r="N3000" s="11">
        <v>16863</v>
      </c>
      <c r="O3000" s="11">
        <v>1554</v>
      </c>
      <c r="P3000" s="11">
        <v>2</v>
      </c>
      <c r="Q3000" s="11" t="s">
        <v>14364</v>
      </c>
      <c r="R3000" s="14" t="s">
        <v>14365</v>
      </c>
      <c r="S3000" s="11">
        <v>57</v>
      </c>
      <c r="T3000" s="11" t="s">
        <v>39</v>
      </c>
      <c r="U3000" s="11" t="s">
        <v>7988</v>
      </c>
      <c r="V3000" s="11" t="s">
        <v>41</v>
      </c>
      <c r="W3000" s="11">
        <v>12000000</v>
      </c>
      <c r="X3000" s="11">
        <v>2009</v>
      </c>
      <c r="Y3000" s="11">
        <v>327</v>
      </c>
      <c r="Z3000" s="11">
        <v>6.8</v>
      </c>
      <c r="AA3000" s="11">
        <v>1.85</v>
      </c>
      <c r="AB3000" s="11">
        <v>0</v>
      </c>
      <c r="AC3000" s="11"/>
      <c r="AD3000" s="11" t="str">
        <f>IFERROR(__xludf.DUMMYFUNCTION("""COMPUTED_VALUE"""),"Dan Bakkedahl")</f>
        <v>Dan Bakkedahl</v>
      </c>
      <c r="AE3000" s="11"/>
    </row>
    <row r="3001" customHeight="1" spans="1:31">
      <c r="A3001" s="12" t="s">
        <v>30</v>
      </c>
      <c r="B3001" s="12" t="s">
        <v>14366</v>
      </c>
      <c r="C3001" s="12">
        <v>81</v>
      </c>
      <c r="D3001" s="12">
        <v>114</v>
      </c>
      <c r="E3001" s="12">
        <v>0</v>
      </c>
      <c r="F3001" s="12">
        <v>403</v>
      </c>
      <c r="G3001" s="12">
        <v>865</v>
      </c>
      <c r="H3001" s="12">
        <v>447750</v>
      </c>
      <c r="I3001" s="12" t="s">
        <v>2126</v>
      </c>
      <c r="J3001" s="12" t="s">
        <v>5969</v>
      </c>
      <c r="K3001" s="12" t="s">
        <v>9095</v>
      </c>
      <c r="L3001" s="12" t="s">
        <v>14367</v>
      </c>
      <c r="M3001" s="12" t="s">
        <v>14368</v>
      </c>
      <c r="N3001" s="12">
        <v>18520</v>
      </c>
      <c r="O3001" s="12">
        <v>2126</v>
      </c>
      <c r="P3001" s="12">
        <v>0</v>
      </c>
      <c r="Q3001" s="12" t="s">
        <v>14369</v>
      </c>
      <c r="R3001" s="15" t="s">
        <v>14370</v>
      </c>
      <c r="S3001" s="12">
        <v>133</v>
      </c>
      <c r="T3001" s="12" t="s">
        <v>39</v>
      </c>
      <c r="U3001" s="12" t="s">
        <v>40</v>
      </c>
      <c r="V3001" s="12" t="s">
        <v>586</v>
      </c>
      <c r="W3001" s="12">
        <v>10000000</v>
      </c>
      <c r="X3001" s="12">
        <v>2000</v>
      </c>
      <c r="Y3001" s="12">
        <v>685</v>
      </c>
      <c r="Z3001" s="12">
        <v>7.2</v>
      </c>
      <c r="AA3001" s="12">
        <v>1.85</v>
      </c>
      <c r="AB3001" s="12">
        <v>0</v>
      </c>
      <c r="AC3001" s="12"/>
      <c r="AD3001" s="12" t="str">
        <f>IFERROR(__xludf.DUMMYFUNCTION("""COMPUTED_VALUE"""),"Olivia d'Abo")</f>
        <v>Olivia d'Abo</v>
      </c>
      <c r="AE3001" s="12"/>
    </row>
    <row r="3002" customHeight="1" spans="1:31">
      <c r="A3002" s="11" t="s">
        <v>30</v>
      </c>
      <c r="B3002" s="11" t="s">
        <v>221</v>
      </c>
      <c r="C3002" s="11">
        <v>72</v>
      </c>
      <c r="D3002" s="11">
        <v>86</v>
      </c>
      <c r="E3002" s="11">
        <v>94</v>
      </c>
      <c r="F3002" s="11">
        <v>146</v>
      </c>
      <c r="G3002" s="11">
        <v>693</v>
      </c>
      <c r="H3002" s="11">
        <v>333976</v>
      </c>
      <c r="I3002" s="11" t="s">
        <v>1009</v>
      </c>
      <c r="J3002" s="11" t="s">
        <v>2032</v>
      </c>
      <c r="K3002" s="11" t="s">
        <v>10905</v>
      </c>
      <c r="L3002" s="11" t="s">
        <v>14371</v>
      </c>
      <c r="M3002" s="11" t="s">
        <v>14372</v>
      </c>
      <c r="N3002" s="11">
        <v>12559</v>
      </c>
      <c r="O3002" s="11">
        <v>1373</v>
      </c>
      <c r="P3002" s="11">
        <v>0</v>
      </c>
      <c r="Q3002" s="11" t="s">
        <v>14373</v>
      </c>
      <c r="R3002" s="14" t="s">
        <v>14374</v>
      </c>
      <c r="S3002" s="11">
        <v>90</v>
      </c>
      <c r="T3002" s="11" t="s">
        <v>39</v>
      </c>
      <c r="U3002" s="11" t="s">
        <v>40</v>
      </c>
      <c r="V3002" s="11" t="s">
        <v>586</v>
      </c>
      <c r="W3002" s="11">
        <v>12000000</v>
      </c>
      <c r="X3002" s="11">
        <v>2002</v>
      </c>
      <c r="Y3002" s="11">
        <v>534</v>
      </c>
      <c r="Z3002" s="11">
        <v>6.4</v>
      </c>
      <c r="AA3002" s="11">
        <v>2.35</v>
      </c>
      <c r="AB3002" s="11">
        <v>423</v>
      </c>
      <c r="AC3002" s="11"/>
      <c r="AD3002" s="11" t="str">
        <f>IFERROR(__xludf.DUMMYFUNCTION("""COMPUTED_VALUE"""),"Grace Jones")</f>
        <v>Grace Jones</v>
      </c>
      <c r="AE3002" s="11"/>
    </row>
    <row r="3003" customHeight="1" spans="1:31">
      <c r="A3003" s="12" t="s">
        <v>30</v>
      </c>
      <c r="B3003" s="12" t="s">
        <v>10146</v>
      </c>
      <c r="C3003" s="12">
        <v>25</v>
      </c>
      <c r="D3003" s="12">
        <v>107</v>
      </c>
      <c r="E3003" s="12">
        <v>0</v>
      </c>
      <c r="F3003" s="12">
        <v>745</v>
      </c>
      <c r="G3003" s="12">
        <v>941</v>
      </c>
      <c r="H3003" s="12">
        <v>141853</v>
      </c>
      <c r="I3003" s="12" t="s">
        <v>2528</v>
      </c>
      <c r="J3003" s="12" t="s">
        <v>7893</v>
      </c>
      <c r="K3003" s="12" t="s">
        <v>4005</v>
      </c>
      <c r="L3003" s="12" t="s">
        <v>2968</v>
      </c>
      <c r="M3003" s="12" t="s">
        <v>14375</v>
      </c>
      <c r="N3003" s="12">
        <v>1427</v>
      </c>
      <c r="O3003" s="12">
        <v>3099</v>
      </c>
      <c r="P3003" s="12">
        <v>2</v>
      </c>
      <c r="Q3003" s="12" t="s">
        <v>14376</v>
      </c>
      <c r="R3003" s="15" t="s">
        <v>14377</v>
      </c>
      <c r="S3003" s="12">
        <v>12</v>
      </c>
      <c r="T3003" s="12" t="s">
        <v>39</v>
      </c>
      <c r="U3003" s="12" t="s">
        <v>371</v>
      </c>
      <c r="V3003" s="12" t="s">
        <v>586</v>
      </c>
      <c r="W3003" s="12">
        <v>12000000</v>
      </c>
      <c r="X3003" s="12">
        <v>1997</v>
      </c>
      <c r="Y3003" s="12">
        <v>754</v>
      </c>
      <c r="Z3003" s="12">
        <v>6</v>
      </c>
      <c r="AA3003" s="12">
        <v>1.85</v>
      </c>
      <c r="AB3003" s="12">
        <v>88</v>
      </c>
      <c r="AC3003" s="12"/>
      <c r="AD3003" s="12" t="str">
        <f>IFERROR(__xludf.DUMMYFUNCTION("""COMPUTED_VALUE"""),"Frank Vincent")</f>
        <v>Frank Vincent</v>
      </c>
      <c r="AE3003" s="12"/>
    </row>
    <row r="3004" customHeight="1" spans="1:31">
      <c r="A3004" s="11" t="s">
        <v>30</v>
      </c>
      <c r="B3004" s="11" t="s">
        <v>12372</v>
      </c>
      <c r="C3004" s="11">
        <v>78</v>
      </c>
      <c r="D3004" s="11">
        <v>90</v>
      </c>
      <c r="E3004" s="11">
        <v>26</v>
      </c>
      <c r="F3004" s="11">
        <v>350</v>
      </c>
      <c r="G3004" s="11">
        <v>797</v>
      </c>
      <c r="H3004" s="11">
        <v>303439</v>
      </c>
      <c r="I3004" s="11" t="s">
        <v>1924</v>
      </c>
      <c r="J3004" s="11" t="s">
        <v>10247</v>
      </c>
      <c r="K3004" s="11" t="s">
        <v>11234</v>
      </c>
      <c r="L3004" s="11" t="s">
        <v>10979</v>
      </c>
      <c r="M3004" s="11" t="s">
        <v>14378</v>
      </c>
      <c r="N3004" s="11">
        <v>12125</v>
      </c>
      <c r="O3004" s="11">
        <v>2073</v>
      </c>
      <c r="P3004" s="11">
        <v>2</v>
      </c>
      <c r="Q3004" s="11" t="s">
        <v>14379</v>
      </c>
      <c r="R3004" s="14" t="s">
        <v>14380</v>
      </c>
      <c r="S3004" s="11">
        <v>78</v>
      </c>
      <c r="T3004" s="11" t="s">
        <v>39</v>
      </c>
      <c r="U3004" s="11" t="s">
        <v>40</v>
      </c>
      <c r="V3004" s="11" t="s">
        <v>586</v>
      </c>
      <c r="W3004" s="11">
        <v>8000000</v>
      </c>
      <c r="X3004" s="11">
        <v>2007</v>
      </c>
      <c r="Y3004" s="11">
        <v>474</v>
      </c>
      <c r="Z3004" s="11">
        <v>6.4</v>
      </c>
      <c r="AA3004" s="11">
        <v>2.35</v>
      </c>
      <c r="AB3004" s="11">
        <v>1000</v>
      </c>
      <c r="AC3004" s="11"/>
      <c r="AD3004" s="11" t="str">
        <f>IFERROR(__xludf.DUMMYFUNCTION("""COMPUTED_VALUE"""),"Sasha Alexander")</f>
        <v>Sasha Alexander</v>
      </c>
      <c r="AE3004" s="11"/>
    </row>
    <row r="3005" customHeight="1" spans="1:31">
      <c r="A3005" s="12" t="s">
        <v>30</v>
      </c>
      <c r="B3005" s="12" t="s">
        <v>3640</v>
      </c>
      <c r="C3005" s="12">
        <v>57</v>
      </c>
      <c r="D3005" s="12">
        <v>103</v>
      </c>
      <c r="E3005" s="12">
        <v>759</v>
      </c>
      <c r="F3005" s="12">
        <v>820</v>
      </c>
      <c r="G3005" s="12">
        <v>967</v>
      </c>
      <c r="H3005" s="12">
        <v>793352</v>
      </c>
      <c r="I3005" s="12" t="s">
        <v>1415</v>
      </c>
      <c r="J3005" s="12" t="s">
        <v>4196</v>
      </c>
      <c r="K3005" s="12" t="s">
        <v>10692</v>
      </c>
      <c r="L3005" s="12" t="s">
        <v>1046</v>
      </c>
      <c r="M3005" s="12" t="s">
        <v>14381</v>
      </c>
      <c r="N3005" s="12">
        <v>2551</v>
      </c>
      <c r="O3005" s="12">
        <v>3878</v>
      </c>
      <c r="P3005" s="12">
        <v>1</v>
      </c>
      <c r="Q3005" s="12" t="s">
        <v>14382</v>
      </c>
      <c r="R3005" s="15" t="s">
        <v>14383</v>
      </c>
      <c r="S3005" s="12">
        <v>25</v>
      </c>
      <c r="T3005" s="12" t="s">
        <v>39</v>
      </c>
      <c r="U3005" s="12" t="s">
        <v>40</v>
      </c>
      <c r="V3005" s="12" t="s">
        <v>41</v>
      </c>
      <c r="W3005" s="16"/>
      <c r="X3005" s="12">
        <v>2012</v>
      </c>
      <c r="Y3005" s="12">
        <v>830</v>
      </c>
      <c r="Z3005" s="12">
        <v>5.1</v>
      </c>
      <c r="AA3005" s="12">
        <v>2.35</v>
      </c>
      <c r="AB3005" s="12">
        <v>0</v>
      </c>
      <c r="AC3005" s="12"/>
      <c r="AD3005" s="12" t="str">
        <f>IFERROR(__xludf.DUMMYFUNCTION("""COMPUTED_VALUE"""),"Nicholas Rowe")</f>
        <v>Nicholas Rowe</v>
      </c>
      <c r="AE3005" s="12"/>
    </row>
    <row r="3006" customHeight="1" spans="1:31">
      <c r="A3006" s="11" t="s">
        <v>30</v>
      </c>
      <c r="B3006" s="11" t="s">
        <v>14384</v>
      </c>
      <c r="C3006" s="11">
        <v>69</v>
      </c>
      <c r="D3006" s="11">
        <v>120</v>
      </c>
      <c r="E3006" s="11">
        <v>7</v>
      </c>
      <c r="F3006" s="11">
        <v>289</v>
      </c>
      <c r="G3006" s="11">
        <v>662</v>
      </c>
      <c r="H3006" s="11">
        <v>214202</v>
      </c>
      <c r="I3006" s="11" t="s">
        <v>2126</v>
      </c>
      <c r="J3006" s="11" t="s">
        <v>756</v>
      </c>
      <c r="K3006" s="11" t="s">
        <v>13738</v>
      </c>
      <c r="L3006" s="11" t="s">
        <v>14362</v>
      </c>
      <c r="M3006" s="11" t="s">
        <v>14385</v>
      </c>
      <c r="N3006" s="11">
        <v>14831</v>
      </c>
      <c r="O3006" s="11">
        <v>1952</v>
      </c>
      <c r="P3006" s="11">
        <v>0</v>
      </c>
      <c r="Q3006" s="11" t="s">
        <v>14386</v>
      </c>
      <c r="R3006" s="14" t="s">
        <v>14387</v>
      </c>
      <c r="S3006" s="11">
        <v>75</v>
      </c>
      <c r="T3006" s="11" t="s">
        <v>39</v>
      </c>
      <c r="U3006" s="11" t="s">
        <v>768</v>
      </c>
      <c r="V3006" s="11" t="s">
        <v>586</v>
      </c>
      <c r="W3006" s="11">
        <v>12000000</v>
      </c>
      <c r="X3006" s="11">
        <v>2007</v>
      </c>
      <c r="Y3006" s="11">
        <v>345</v>
      </c>
      <c r="Z3006" s="11">
        <v>7.5</v>
      </c>
      <c r="AA3006" s="11">
        <v>2.35</v>
      </c>
      <c r="AB3006" s="11">
        <v>0</v>
      </c>
      <c r="AC3006" s="11"/>
      <c r="AD3006" s="11" t="str">
        <f>IFERROR(__xludf.DUMMYFUNCTION("""COMPUTED_VALUE"""),"Roger Ashton-Griffiths")</f>
        <v>Roger Ashton-Griffiths</v>
      </c>
      <c r="AE3006" s="11"/>
    </row>
    <row r="3007" customHeight="1" spans="1:31">
      <c r="A3007" s="12" t="s">
        <v>30</v>
      </c>
      <c r="B3007" s="12" t="s">
        <v>14388</v>
      </c>
      <c r="C3007" s="12">
        <v>73</v>
      </c>
      <c r="D3007" s="12">
        <v>134</v>
      </c>
      <c r="E3007" s="12">
        <v>45</v>
      </c>
      <c r="F3007" s="12">
        <v>0</v>
      </c>
      <c r="G3007" s="12">
        <v>9</v>
      </c>
      <c r="H3007" s="12">
        <v>195888</v>
      </c>
      <c r="I3007" s="12" t="s">
        <v>5605</v>
      </c>
      <c r="J3007" s="12" t="s">
        <v>14389</v>
      </c>
      <c r="K3007" s="12" t="s">
        <v>14390</v>
      </c>
      <c r="L3007" s="12" t="s">
        <v>14391</v>
      </c>
      <c r="M3007" s="12" t="s">
        <v>14392</v>
      </c>
      <c r="N3007" s="12">
        <v>5603</v>
      </c>
      <c r="O3007" s="12">
        <v>11</v>
      </c>
      <c r="P3007" s="12">
        <v>0</v>
      </c>
      <c r="Q3007" s="12" t="s">
        <v>14393</v>
      </c>
      <c r="R3007" s="15" t="s">
        <v>14394</v>
      </c>
      <c r="S3007" s="12">
        <v>45</v>
      </c>
      <c r="T3007" s="12" t="s">
        <v>14395</v>
      </c>
      <c r="U3007" s="12" t="s">
        <v>10983</v>
      </c>
      <c r="V3007" s="12" t="s">
        <v>586</v>
      </c>
      <c r="W3007" s="12">
        <v>2500000000</v>
      </c>
      <c r="X3007" s="12">
        <v>2005</v>
      </c>
      <c r="Y3007" s="12">
        <v>2</v>
      </c>
      <c r="Z3007" s="12">
        <v>7.1</v>
      </c>
      <c r="AA3007" s="12">
        <v>2.35</v>
      </c>
      <c r="AB3007" s="12">
        <v>607</v>
      </c>
      <c r="AC3007" s="12"/>
      <c r="AD3007" s="12" t="str">
        <f>IFERROR(__xludf.DUMMYFUNCTION("""COMPUTED_VALUE"""),"Freddie Jones")</f>
        <v>Freddie Jones</v>
      </c>
      <c r="AE3007" s="12"/>
    </row>
    <row r="3008" customHeight="1" spans="1:31">
      <c r="A3008" s="11" t="s">
        <v>30</v>
      </c>
      <c r="B3008" s="11" t="s">
        <v>14396</v>
      </c>
      <c r="C3008" s="11">
        <v>42</v>
      </c>
      <c r="D3008" s="11">
        <v>110</v>
      </c>
      <c r="E3008" s="11">
        <v>18</v>
      </c>
      <c r="F3008" s="11">
        <v>865</v>
      </c>
      <c r="G3008" s="11">
        <v>13000</v>
      </c>
      <c r="H3008" s="11">
        <v>175370</v>
      </c>
      <c r="I3008" s="11" t="s">
        <v>1672</v>
      </c>
      <c r="J3008" s="11" t="s">
        <v>978</v>
      </c>
      <c r="K3008" s="11" t="s">
        <v>241</v>
      </c>
      <c r="L3008" s="11" t="s">
        <v>5969</v>
      </c>
      <c r="M3008" s="11" t="s">
        <v>14397</v>
      </c>
      <c r="N3008" s="11">
        <v>6884</v>
      </c>
      <c r="O3008" s="11">
        <v>17417</v>
      </c>
      <c r="P3008" s="11">
        <v>1</v>
      </c>
      <c r="Q3008" s="11" t="s">
        <v>14398</v>
      </c>
      <c r="R3008" s="14" t="s">
        <v>14399</v>
      </c>
      <c r="S3008" s="11">
        <v>133</v>
      </c>
      <c r="T3008" s="11" t="s">
        <v>39</v>
      </c>
      <c r="U3008" s="11" t="s">
        <v>40</v>
      </c>
      <c r="V3008" s="11" t="s">
        <v>586</v>
      </c>
      <c r="W3008" s="11">
        <v>12000000</v>
      </c>
      <c r="X3008" s="11">
        <v>1999</v>
      </c>
      <c r="Y3008" s="11">
        <v>883</v>
      </c>
      <c r="Z3008" s="11">
        <v>4.6</v>
      </c>
      <c r="AA3008" s="11">
        <v>1.85</v>
      </c>
      <c r="AB3008" s="11">
        <v>458</v>
      </c>
      <c r="AC3008" s="11"/>
      <c r="AD3008" s="11" t="str">
        <f>IFERROR(__xludf.DUMMYFUNCTION("""COMPUTED_VALUE"""),"Susan May Pratt")</f>
        <v>Susan May Pratt</v>
      </c>
      <c r="AE3008" s="11"/>
    </row>
    <row r="3009" customHeight="1" spans="1:31">
      <c r="A3009" s="12" t="s">
        <v>30</v>
      </c>
      <c r="B3009" s="12" t="s">
        <v>1940</v>
      </c>
      <c r="C3009" s="12">
        <v>101</v>
      </c>
      <c r="D3009" s="12">
        <v>95</v>
      </c>
      <c r="E3009" s="12">
        <v>611</v>
      </c>
      <c r="F3009" s="12">
        <v>3</v>
      </c>
      <c r="G3009" s="12">
        <v>9</v>
      </c>
      <c r="H3009" s="12">
        <v>190666</v>
      </c>
      <c r="I3009" s="12" t="s">
        <v>2528</v>
      </c>
      <c r="J3009" s="12" t="s">
        <v>11977</v>
      </c>
      <c r="K3009" s="12" t="s">
        <v>14400</v>
      </c>
      <c r="L3009" s="12" t="s">
        <v>14401</v>
      </c>
      <c r="M3009" s="12" t="s">
        <v>14402</v>
      </c>
      <c r="N3009" s="12">
        <v>2410</v>
      </c>
      <c r="O3009" s="12">
        <v>18</v>
      </c>
      <c r="P3009" s="12">
        <v>1</v>
      </c>
      <c r="Q3009" s="12" t="s">
        <v>14403</v>
      </c>
      <c r="R3009" s="15" t="s">
        <v>14404</v>
      </c>
      <c r="S3009" s="12">
        <v>20</v>
      </c>
      <c r="T3009" s="12" t="s">
        <v>1947</v>
      </c>
      <c r="U3009" s="12" t="s">
        <v>893</v>
      </c>
      <c r="V3009" s="12" t="s">
        <v>586</v>
      </c>
      <c r="W3009" s="16"/>
      <c r="X3009" s="12">
        <v>2009</v>
      </c>
      <c r="Y3009" s="12">
        <v>4</v>
      </c>
      <c r="Z3009" s="12">
        <v>5.7</v>
      </c>
      <c r="AA3009" s="12">
        <v>2.35</v>
      </c>
      <c r="AB3009" s="12">
        <v>784</v>
      </c>
      <c r="AC3009" s="12"/>
      <c r="AD3009" s="12" t="str">
        <f>IFERROR(__xludf.DUMMYFUNCTION("""COMPUTED_VALUE"""),"Ethan Stiefel")</f>
        <v>Ethan Stiefel</v>
      </c>
      <c r="AE3009" s="12"/>
    </row>
    <row r="3010" customHeight="1" spans="1:31">
      <c r="A3010" s="11" t="s">
        <v>30</v>
      </c>
      <c r="B3010" s="11" t="s">
        <v>8554</v>
      </c>
      <c r="C3010" s="11">
        <v>82</v>
      </c>
      <c r="D3010" s="11">
        <v>95</v>
      </c>
      <c r="E3010" s="11">
        <v>165</v>
      </c>
      <c r="F3010" s="11">
        <v>280</v>
      </c>
      <c r="G3010" s="11">
        <v>686</v>
      </c>
      <c r="H3010" s="13"/>
      <c r="I3010" s="11" t="s">
        <v>14405</v>
      </c>
      <c r="J3010" s="11" t="s">
        <v>8556</v>
      </c>
      <c r="K3010" s="11" t="s">
        <v>2956</v>
      </c>
      <c r="L3010" s="11" t="s">
        <v>7018</v>
      </c>
      <c r="M3010" s="11" t="s">
        <v>14406</v>
      </c>
      <c r="N3010" s="11">
        <v>27052</v>
      </c>
      <c r="O3010" s="11">
        <v>1501</v>
      </c>
      <c r="P3010" s="11">
        <v>2</v>
      </c>
      <c r="Q3010" s="11" t="s">
        <v>14407</v>
      </c>
      <c r="R3010" s="14" t="s">
        <v>14408</v>
      </c>
      <c r="S3010" s="11">
        <v>124</v>
      </c>
      <c r="T3010" s="11" t="s">
        <v>39</v>
      </c>
      <c r="U3010" s="11" t="s">
        <v>40</v>
      </c>
      <c r="V3010" s="11" t="s">
        <v>586</v>
      </c>
      <c r="W3010" s="11">
        <v>7500000</v>
      </c>
      <c r="X3010" s="11">
        <v>2002</v>
      </c>
      <c r="Y3010" s="11">
        <v>327</v>
      </c>
      <c r="Z3010" s="11">
        <v>6.8</v>
      </c>
      <c r="AA3010" s="11">
        <v>1.85</v>
      </c>
      <c r="AB3010" s="11">
        <v>0</v>
      </c>
      <c r="AC3010" s="11"/>
      <c r="AD3010" s="11" t="str">
        <f>IFERROR(__xludf.DUMMYFUNCTION("""COMPUTED_VALUE"""),"Timothée Chalamet")</f>
        <v>Timothée Chalamet</v>
      </c>
      <c r="AE3010" s="11"/>
    </row>
    <row r="3011" customHeight="1" spans="1:31">
      <c r="A3011" s="12" t="s">
        <v>748</v>
      </c>
      <c r="B3011" s="12" t="s">
        <v>14409</v>
      </c>
      <c r="C3011" s="12">
        <v>149</v>
      </c>
      <c r="D3011" s="12">
        <v>132</v>
      </c>
      <c r="E3011" s="12">
        <v>14</v>
      </c>
      <c r="F3011" s="12">
        <v>3</v>
      </c>
      <c r="G3011" s="12">
        <v>52</v>
      </c>
      <c r="H3011" s="12">
        <v>119922</v>
      </c>
      <c r="I3011" s="12" t="s">
        <v>1962</v>
      </c>
      <c r="J3011" s="12" t="s">
        <v>5957</v>
      </c>
      <c r="K3011" s="12" t="s">
        <v>14410</v>
      </c>
      <c r="L3011" s="12" t="s">
        <v>14411</v>
      </c>
      <c r="M3011" s="12" t="s">
        <v>14412</v>
      </c>
      <c r="N3011" s="12">
        <v>8429</v>
      </c>
      <c r="O3011" s="12">
        <v>91</v>
      </c>
      <c r="P3011" s="12">
        <v>0</v>
      </c>
      <c r="Q3011" s="12" t="s">
        <v>14413</v>
      </c>
      <c r="R3011" s="15" t="s">
        <v>14414</v>
      </c>
      <c r="S3011" s="12">
        <v>62</v>
      </c>
      <c r="T3011" s="12" t="s">
        <v>1947</v>
      </c>
      <c r="U3011" s="12" t="s">
        <v>893</v>
      </c>
      <c r="V3011" s="12" t="s">
        <v>586</v>
      </c>
      <c r="W3011" s="12">
        <v>12000000</v>
      </c>
      <c r="X3011" s="12">
        <v>2009</v>
      </c>
      <c r="Y3011" s="12">
        <v>32</v>
      </c>
      <c r="Z3011" s="12">
        <v>7.7</v>
      </c>
      <c r="AA3011" s="12">
        <v>2.35</v>
      </c>
      <c r="AB3011" s="12">
        <v>0</v>
      </c>
      <c r="AC3011" s="12"/>
      <c r="AD3011" s="12" t="str">
        <f>IFERROR(__xludf.DUMMYFUNCTION("""COMPUTED_VALUE"""),"Corbin Bleu")</f>
        <v>Corbin Bleu</v>
      </c>
      <c r="AE3011" s="12"/>
    </row>
    <row r="3012" customHeight="1" spans="1:31">
      <c r="A3012" s="11" t="s">
        <v>30</v>
      </c>
      <c r="B3012" s="11" t="s">
        <v>1176</v>
      </c>
      <c r="C3012" s="11">
        <v>165</v>
      </c>
      <c r="D3012" s="11">
        <v>94</v>
      </c>
      <c r="E3012" s="11">
        <v>12</v>
      </c>
      <c r="F3012" s="11">
        <v>183</v>
      </c>
      <c r="G3012" s="11">
        <v>17000</v>
      </c>
      <c r="H3012" s="11">
        <v>177343675</v>
      </c>
      <c r="I3012" s="11" t="s">
        <v>1177</v>
      </c>
      <c r="J3012" s="11" t="s">
        <v>1178</v>
      </c>
      <c r="K3012" s="11" t="s">
        <v>1179</v>
      </c>
      <c r="L3012" s="11" t="s">
        <v>1180</v>
      </c>
      <c r="M3012" s="11" t="s">
        <v>1181</v>
      </c>
      <c r="N3012" s="11">
        <v>70133</v>
      </c>
      <c r="O3012" s="11">
        <v>17883</v>
      </c>
      <c r="P3012" s="11">
        <v>0</v>
      </c>
      <c r="Q3012" s="11" t="s">
        <v>1182</v>
      </c>
      <c r="R3012" s="14" t="s">
        <v>1183</v>
      </c>
      <c r="S3012" s="11">
        <v>214</v>
      </c>
      <c r="T3012" s="11" t="s">
        <v>39</v>
      </c>
      <c r="U3012" s="11" t="s">
        <v>40</v>
      </c>
      <c r="V3012" s="11" t="s">
        <v>96</v>
      </c>
      <c r="W3012" s="11">
        <v>135000000</v>
      </c>
      <c r="X3012" s="11">
        <v>2015</v>
      </c>
      <c r="Y3012" s="11">
        <v>523</v>
      </c>
      <c r="Z3012" s="11">
        <v>6.7</v>
      </c>
      <c r="AA3012" s="11">
        <v>1.85</v>
      </c>
      <c r="AB3012" s="11">
        <v>26000</v>
      </c>
      <c r="AC3012" s="11"/>
      <c r="AD3012" s="11" t="str">
        <f>IFERROR(__xludf.DUMMYFUNCTION("""COMPUTED_VALUE"""),"Kevin G. Schmidt")</f>
        <v>Kevin G. Schmidt</v>
      </c>
      <c r="AE3012" s="11"/>
    </row>
    <row r="3013" customHeight="1" spans="1:31">
      <c r="A3013" s="12" t="s">
        <v>30</v>
      </c>
      <c r="B3013" s="12" t="s">
        <v>14415</v>
      </c>
      <c r="C3013" s="12">
        <v>5</v>
      </c>
      <c r="D3013" s="12">
        <v>89</v>
      </c>
      <c r="E3013" s="12">
        <v>0</v>
      </c>
      <c r="F3013" s="12">
        <v>188</v>
      </c>
      <c r="G3013" s="12">
        <v>970</v>
      </c>
      <c r="H3013" s="16"/>
      <c r="I3013" s="12" t="s">
        <v>803</v>
      </c>
      <c r="J3013" s="12" t="s">
        <v>1951</v>
      </c>
      <c r="K3013" s="12" t="s">
        <v>1736</v>
      </c>
      <c r="L3013" s="12" t="s">
        <v>14416</v>
      </c>
      <c r="M3013" s="12" t="s">
        <v>14417</v>
      </c>
      <c r="N3013" s="12">
        <v>408</v>
      </c>
      <c r="O3013" s="12">
        <v>1854</v>
      </c>
      <c r="P3013" s="12">
        <v>0</v>
      </c>
      <c r="Q3013" s="12" t="s">
        <v>14418</v>
      </c>
      <c r="R3013" s="15" t="s">
        <v>14419</v>
      </c>
      <c r="S3013" s="12">
        <v>12</v>
      </c>
      <c r="T3013" s="12" t="s">
        <v>1947</v>
      </c>
      <c r="U3013" s="12" t="s">
        <v>893</v>
      </c>
      <c r="V3013" s="12" t="s">
        <v>96</v>
      </c>
      <c r="W3013" s="16"/>
      <c r="X3013" s="12">
        <v>2011</v>
      </c>
      <c r="Y3013" s="12">
        <v>618</v>
      </c>
      <c r="Z3013" s="12">
        <v>3.2</v>
      </c>
      <c r="AA3013" s="16"/>
      <c r="AB3013" s="12">
        <v>211</v>
      </c>
      <c r="AC3013" s="12"/>
      <c r="AD3013" s="12" t="str">
        <f>IFERROR(__xludf.DUMMYFUNCTION("""COMPUTED_VALUE"""),"Marie Avgeropoulos")</f>
        <v>Marie Avgeropoulos</v>
      </c>
      <c r="AE3013" s="12"/>
    </row>
    <row r="3014" customHeight="1" spans="1:31">
      <c r="A3014" s="11" t="s">
        <v>30</v>
      </c>
      <c r="B3014" s="11" t="s">
        <v>14420</v>
      </c>
      <c r="C3014" s="11">
        <v>44</v>
      </c>
      <c r="D3014" s="11">
        <v>138</v>
      </c>
      <c r="E3014" s="11">
        <v>7</v>
      </c>
      <c r="F3014" s="11">
        <v>16</v>
      </c>
      <c r="G3014" s="11">
        <v>84</v>
      </c>
      <c r="H3014" s="13"/>
      <c r="I3014" s="11" t="s">
        <v>572</v>
      </c>
      <c r="J3014" s="11" t="s">
        <v>12055</v>
      </c>
      <c r="K3014" s="11" t="s">
        <v>14421</v>
      </c>
      <c r="L3014" s="11" t="s">
        <v>14422</v>
      </c>
      <c r="M3014" s="11" t="s">
        <v>14423</v>
      </c>
      <c r="N3014" s="11">
        <v>4899</v>
      </c>
      <c r="O3014" s="11">
        <v>164</v>
      </c>
      <c r="P3014" s="11">
        <v>0</v>
      </c>
      <c r="Q3014" s="11" t="s">
        <v>14424</v>
      </c>
      <c r="R3014" s="14" t="s">
        <v>14425</v>
      </c>
      <c r="S3014" s="11">
        <v>49</v>
      </c>
      <c r="T3014" s="11" t="s">
        <v>677</v>
      </c>
      <c r="U3014" s="11" t="s">
        <v>678</v>
      </c>
      <c r="V3014" s="11" t="s">
        <v>1127</v>
      </c>
      <c r="W3014" s="11">
        <v>12000000</v>
      </c>
      <c r="X3014" s="11">
        <v>2010</v>
      </c>
      <c r="Y3014" s="11">
        <v>33</v>
      </c>
      <c r="Z3014" s="11">
        <v>6.1</v>
      </c>
      <c r="AA3014" s="11">
        <v>2.35</v>
      </c>
      <c r="AB3014" s="11">
        <v>0</v>
      </c>
      <c r="AC3014" s="11"/>
      <c r="AD3014" s="11" t="str">
        <f>IFERROR(__xludf.DUMMYFUNCTION("""COMPUTED_VALUE"""),"Richard Farnsworth")</f>
        <v>Richard Farnsworth</v>
      </c>
      <c r="AE3014" s="11"/>
    </row>
    <row r="3015" customHeight="1" spans="1:31">
      <c r="A3015" s="12" t="s">
        <v>30</v>
      </c>
      <c r="B3015" s="12" t="s">
        <v>2067</v>
      </c>
      <c r="C3015" s="12">
        <v>74</v>
      </c>
      <c r="D3015" s="12">
        <v>113</v>
      </c>
      <c r="E3015" s="12">
        <v>212</v>
      </c>
      <c r="F3015" s="12">
        <v>18</v>
      </c>
      <c r="G3015" s="12">
        <v>567</v>
      </c>
      <c r="H3015" s="12">
        <v>17149</v>
      </c>
      <c r="I3015" s="12" t="s">
        <v>1467</v>
      </c>
      <c r="J3015" s="12" t="s">
        <v>374</v>
      </c>
      <c r="K3015" s="12" t="s">
        <v>14426</v>
      </c>
      <c r="L3015" s="12" t="s">
        <v>14427</v>
      </c>
      <c r="M3015" s="12" t="s">
        <v>14428</v>
      </c>
      <c r="N3015" s="12">
        <v>12128</v>
      </c>
      <c r="O3015" s="12">
        <v>708</v>
      </c>
      <c r="P3015" s="12">
        <v>9</v>
      </c>
      <c r="Q3015" s="12" t="s">
        <v>14429</v>
      </c>
      <c r="R3015" s="15" t="s">
        <v>14430</v>
      </c>
      <c r="S3015" s="12">
        <v>61</v>
      </c>
      <c r="T3015" s="12" t="s">
        <v>39</v>
      </c>
      <c r="U3015" s="12" t="s">
        <v>14431</v>
      </c>
      <c r="V3015" s="12" t="s">
        <v>586</v>
      </c>
      <c r="W3015" s="12">
        <v>20000000</v>
      </c>
      <c r="X3015" s="12">
        <v>2011</v>
      </c>
      <c r="Y3015" s="12">
        <v>111</v>
      </c>
      <c r="Z3015" s="12">
        <v>5.6</v>
      </c>
      <c r="AA3015" s="12">
        <v>2.35</v>
      </c>
      <c r="AB3015" s="12">
        <v>0</v>
      </c>
      <c r="AC3015" s="12"/>
      <c r="AD3015" s="12" t="str">
        <f>IFERROR(__xludf.DUMMYFUNCTION("""COMPUTED_VALUE"""),"Michael Horse")</f>
        <v>Michael Horse</v>
      </c>
      <c r="AE3015" s="12"/>
    </row>
    <row r="3016" customHeight="1" spans="1:31">
      <c r="A3016" s="11" t="s">
        <v>30</v>
      </c>
      <c r="B3016" s="11" t="s">
        <v>14432</v>
      </c>
      <c r="C3016" s="11">
        <v>156</v>
      </c>
      <c r="D3016" s="11">
        <v>99</v>
      </c>
      <c r="E3016" s="11">
        <v>76</v>
      </c>
      <c r="F3016" s="11">
        <v>42</v>
      </c>
      <c r="G3016" s="11">
        <v>181</v>
      </c>
      <c r="H3016" s="13"/>
      <c r="I3016" s="11" t="s">
        <v>14433</v>
      </c>
      <c r="J3016" s="11" t="s">
        <v>14434</v>
      </c>
      <c r="K3016" s="11" t="s">
        <v>14435</v>
      </c>
      <c r="L3016" s="11" t="s">
        <v>14436</v>
      </c>
      <c r="M3016" s="11" t="s">
        <v>14437</v>
      </c>
      <c r="N3016" s="11">
        <v>64423</v>
      </c>
      <c r="O3016" s="11">
        <v>433</v>
      </c>
      <c r="P3016" s="11">
        <v>1</v>
      </c>
      <c r="Q3016" s="11" t="s">
        <v>14438</v>
      </c>
      <c r="R3016" s="14" t="s">
        <v>14439</v>
      </c>
      <c r="S3016" s="11">
        <v>293</v>
      </c>
      <c r="T3016" s="11" t="s">
        <v>39</v>
      </c>
      <c r="U3016" s="11" t="s">
        <v>58</v>
      </c>
      <c r="V3016" s="11" t="s">
        <v>586</v>
      </c>
      <c r="W3016" s="11">
        <v>12000000</v>
      </c>
      <c r="X3016" s="11">
        <v>2009</v>
      </c>
      <c r="Y3016" s="11">
        <v>168</v>
      </c>
      <c r="Z3016" s="11">
        <v>6.9</v>
      </c>
      <c r="AA3016" s="11">
        <v>2.35</v>
      </c>
      <c r="AB3016" s="11">
        <v>13000</v>
      </c>
      <c r="AC3016" s="11"/>
      <c r="AD3016" s="11" t="str">
        <f>IFERROR(__xludf.DUMMYFUNCTION("""COMPUTED_VALUE"""),"Nancy Allen")</f>
        <v>Nancy Allen</v>
      </c>
      <c r="AE3016" s="11"/>
    </row>
    <row r="3017" customHeight="1" spans="1:31">
      <c r="A3017" s="12" t="s">
        <v>30</v>
      </c>
      <c r="B3017" s="12" t="s">
        <v>14440</v>
      </c>
      <c r="C3017" s="12">
        <v>1</v>
      </c>
      <c r="D3017" s="12">
        <v>111</v>
      </c>
      <c r="E3017" s="12">
        <v>0</v>
      </c>
      <c r="F3017" s="12">
        <v>247</v>
      </c>
      <c r="G3017" s="12">
        <v>1000</v>
      </c>
      <c r="H3017" s="12">
        <v>14616</v>
      </c>
      <c r="I3017" s="12" t="s">
        <v>3410</v>
      </c>
      <c r="J3017" s="12" t="s">
        <v>4534</v>
      </c>
      <c r="K3017" s="12" t="s">
        <v>14441</v>
      </c>
      <c r="L3017" s="12" t="s">
        <v>14442</v>
      </c>
      <c r="M3017" s="12" t="s">
        <v>14443</v>
      </c>
      <c r="N3017" s="12">
        <v>314</v>
      </c>
      <c r="O3017" s="12">
        <v>2059</v>
      </c>
      <c r="P3017" s="12">
        <v>1</v>
      </c>
      <c r="Q3017" s="16"/>
      <c r="R3017" s="15" t="s">
        <v>14444</v>
      </c>
      <c r="S3017" s="12">
        <v>10</v>
      </c>
      <c r="T3017" s="12" t="s">
        <v>39</v>
      </c>
      <c r="U3017" s="12" t="s">
        <v>40</v>
      </c>
      <c r="V3017" s="12" t="s">
        <v>586</v>
      </c>
      <c r="W3017" s="12">
        <v>12000000</v>
      </c>
      <c r="X3017" s="12">
        <v>2015</v>
      </c>
      <c r="Y3017" s="12">
        <v>445</v>
      </c>
      <c r="Z3017" s="12">
        <v>7.5</v>
      </c>
      <c r="AA3017" s="12">
        <v>1.85</v>
      </c>
      <c r="AB3017" s="12">
        <v>26000</v>
      </c>
      <c r="AC3017" s="12"/>
      <c r="AD3017" s="12" t="str">
        <f>IFERROR(__xludf.DUMMYFUNCTION("""COMPUTED_VALUE"""),"Dennis Franz")</f>
        <v>Dennis Franz</v>
      </c>
      <c r="AE3017" s="12"/>
    </row>
    <row r="3018" customHeight="1" spans="1:31">
      <c r="A3018" s="11" t="s">
        <v>30</v>
      </c>
      <c r="B3018" s="11" t="s">
        <v>3368</v>
      </c>
      <c r="C3018" s="11">
        <v>82</v>
      </c>
      <c r="D3018" s="11">
        <v>99</v>
      </c>
      <c r="E3018" s="11">
        <v>130</v>
      </c>
      <c r="F3018" s="11">
        <v>79</v>
      </c>
      <c r="G3018" s="11">
        <v>399</v>
      </c>
      <c r="H3018" s="11">
        <v>91443253</v>
      </c>
      <c r="I3018" s="11" t="s">
        <v>1544</v>
      </c>
      <c r="J3018" s="11" t="s">
        <v>5516</v>
      </c>
      <c r="K3018" s="11" t="s">
        <v>14445</v>
      </c>
      <c r="L3018" s="11" t="s">
        <v>4979</v>
      </c>
      <c r="M3018" s="11" t="s">
        <v>14446</v>
      </c>
      <c r="N3018" s="11">
        <v>21034</v>
      </c>
      <c r="O3018" s="11">
        <v>663</v>
      </c>
      <c r="P3018" s="13"/>
      <c r="Q3018" s="11" t="s">
        <v>14447</v>
      </c>
      <c r="R3018" s="14" t="s">
        <v>14448</v>
      </c>
      <c r="S3018" s="11">
        <v>153</v>
      </c>
      <c r="T3018" s="11" t="s">
        <v>39</v>
      </c>
      <c r="U3018" s="11" t="s">
        <v>40</v>
      </c>
      <c r="V3018" s="11" t="s">
        <v>96</v>
      </c>
      <c r="W3018" s="11">
        <v>12000000</v>
      </c>
      <c r="X3018" s="11">
        <v>2014</v>
      </c>
      <c r="Y3018" s="11">
        <v>116</v>
      </c>
      <c r="Z3018" s="11">
        <v>5.8</v>
      </c>
      <c r="AA3018" s="11">
        <v>2.35</v>
      </c>
      <c r="AB3018" s="11">
        <v>23000</v>
      </c>
      <c r="AC3018" s="11"/>
      <c r="AD3018" s="11" t="str">
        <f>IFERROR(__xludf.DUMMYFUNCTION("""COMPUTED_VALUE"""),"John McMartin")</f>
        <v>John McMartin</v>
      </c>
      <c r="AE3018" s="11"/>
    </row>
    <row r="3019" customHeight="1" spans="1:31">
      <c r="A3019" s="12" t="s">
        <v>30</v>
      </c>
      <c r="B3019" s="12" t="s">
        <v>1295</v>
      </c>
      <c r="C3019" s="12">
        <v>151</v>
      </c>
      <c r="D3019" s="12">
        <v>104</v>
      </c>
      <c r="E3019" s="12">
        <v>0</v>
      </c>
      <c r="F3019" s="12">
        <v>1000</v>
      </c>
      <c r="G3019" s="12">
        <v>26000</v>
      </c>
      <c r="H3019" s="12">
        <v>30093107</v>
      </c>
      <c r="I3019" s="12" t="s">
        <v>1009</v>
      </c>
      <c r="J3019" s="12" t="s">
        <v>335</v>
      </c>
      <c r="K3019" s="12" t="s">
        <v>343</v>
      </c>
      <c r="L3019" s="12" t="s">
        <v>688</v>
      </c>
      <c r="M3019" s="12" t="s">
        <v>14449</v>
      </c>
      <c r="N3019" s="12">
        <v>600996</v>
      </c>
      <c r="O3019" s="12">
        <v>39175</v>
      </c>
      <c r="P3019" s="12">
        <v>6</v>
      </c>
      <c r="Q3019" s="12" t="s">
        <v>14450</v>
      </c>
      <c r="R3019" s="15" t="s">
        <v>14451</v>
      </c>
      <c r="S3019" s="12">
        <v>726</v>
      </c>
      <c r="T3019" s="12" t="s">
        <v>39</v>
      </c>
      <c r="U3019" s="12" t="s">
        <v>58</v>
      </c>
      <c r="V3019" s="12" t="s">
        <v>586</v>
      </c>
      <c r="W3019" s="12">
        <v>6000000</v>
      </c>
      <c r="X3019" s="12">
        <v>2000</v>
      </c>
      <c r="Y3019" s="12">
        <v>11000</v>
      </c>
      <c r="Z3019" s="12">
        <v>8.3</v>
      </c>
      <c r="AA3019" s="12">
        <v>1.85</v>
      </c>
      <c r="AB3019" s="12">
        <v>27000</v>
      </c>
      <c r="AC3019" s="12"/>
      <c r="AD3019" s="12" t="str">
        <f>IFERROR(__xludf.DUMMYFUNCTION("""COMPUTED_VALUE"""),"Rebecca Budig")</f>
        <v>Rebecca Budig</v>
      </c>
      <c r="AE3019" s="12"/>
    </row>
    <row r="3020" customHeight="1" spans="1:31">
      <c r="A3020" s="11" t="s">
        <v>30</v>
      </c>
      <c r="B3020" s="11" t="s">
        <v>14452</v>
      </c>
      <c r="C3020" s="11">
        <v>3</v>
      </c>
      <c r="D3020" s="11">
        <v>89</v>
      </c>
      <c r="E3020" s="11">
        <v>49</v>
      </c>
      <c r="F3020" s="11">
        <v>84</v>
      </c>
      <c r="G3020" s="11">
        <v>551</v>
      </c>
      <c r="H3020" s="13"/>
      <c r="I3020" s="11" t="s">
        <v>14453</v>
      </c>
      <c r="J3020" s="11" t="s">
        <v>14454</v>
      </c>
      <c r="K3020" s="11" t="s">
        <v>14455</v>
      </c>
      <c r="L3020" s="11" t="s">
        <v>14456</v>
      </c>
      <c r="M3020" s="11" t="s">
        <v>14457</v>
      </c>
      <c r="N3020" s="11">
        <v>105</v>
      </c>
      <c r="O3020" s="11">
        <v>895</v>
      </c>
      <c r="P3020" s="11">
        <v>6</v>
      </c>
      <c r="Q3020" s="13"/>
      <c r="R3020" s="14" t="s">
        <v>14458</v>
      </c>
      <c r="S3020" s="11">
        <v>7</v>
      </c>
      <c r="T3020" s="11" t="s">
        <v>39</v>
      </c>
      <c r="U3020" s="11" t="s">
        <v>40</v>
      </c>
      <c r="V3020" s="11" t="s">
        <v>96</v>
      </c>
      <c r="W3020" s="11">
        <v>12000000</v>
      </c>
      <c r="X3020" s="11">
        <v>2015</v>
      </c>
      <c r="Y3020" s="11">
        <v>85</v>
      </c>
      <c r="Z3020" s="11">
        <v>2.8</v>
      </c>
      <c r="AA3020" s="13"/>
      <c r="AB3020" s="11">
        <v>634</v>
      </c>
      <c r="AC3020" s="11"/>
      <c r="AD3020" s="11" t="str">
        <f>IFERROR(__xludf.DUMMYFUNCTION("""COMPUTED_VALUE"""),"Paul Freeman")</f>
        <v>Paul Freeman</v>
      </c>
      <c r="AE3020" s="11"/>
    </row>
    <row r="3021" customHeight="1" spans="1:31">
      <c r="A3021" s="12" t="s">
        <v>30</v>
      </c>
      <c r="B3021" s="12" t="s">
        <v>13141</v>
      </c>
      <c r="C3021" s="12">
        <v>98</v>
      </c>
      <c r="D3021" s="12">
        <v>103</v>
      </c>
      <c r="E3021" s="12">
        <v>52</v>
      </c>
      <c r="F3021" s="12">
        <v>426</v>
      </c>
      <c r="G3021" s="12">
        <v>969</v>
      </c>
      <c r="H3021" s="12">
        <v>57469179</v>
      </c>
      <c r="I3021" s="12" t="s">
        <v>7406</v>
      </c>
      <c r="J3021" s="12" t="s">
        <v>3653</v>
      </c>
      <c r="K3021" s="12" t="s">
        <v>5581</v>
      </c>
      <c r="L3021" s="12" t="s">
        <v>14459</v>
      </c>
      <c r="M3021" s="12" t="s">
        <v>14460</v>
      </c>
      <c r="N3021" s="12">
        <v>63855</v>
      </c>
      <c r="O3021" s="12">
        <v>2987</v>
      </c>
      <c r="P3021" s="12">
        <v>0</v>
      </c>
      <c r="Q3021" s="12" t="s">
        <v>14461</v>
      </c>
      <c r="R3021" s="15" t="s">
        <v>14462</v>
      </c>
      <c r="S3021" s="12">
        <v>248</v>
      </c>
      <c r="T3021" s="12" t="s">
        <v>39</v>
      </c>
      <c r="U3021" s="12" t="s">
        <v>40</v>
      </c>
      <c r="V3021" s="12" t="s">
        <v>586</v>
      </c>
      <c r="W3021" s="12">
        <v>11500000</v>
      </c>
      <c r="X3021" s="12">
        <v>1989</v>
      </c>
      <c r="Y3021" s="12">
        <v>886</v>
      </c>
      <c r="Z3021" s="12">
        <v>6.6</v>
      </c>
      <c r="AA3021" s="12">
        <v>1.85</v>
      </c>
      <c r="AB3021" s="12">
        <v>0</v>
      </c>
      <c r="AC3021" s="12"/>
      <c r="AD3021" s="12" t="str">
        <f>IFERROR(__xludf.DUMMYFUNCTION("""COMPUTED_VALUE"""),"Bruce Payne")</f>
        <v>Bruce Payne</v>
      </c>
      <c r="AE3021" s="12"/>
    </row>
    <row r="3022" customHeight="1" spans="1:31">
      <c r="A3022" s="11" t="s">
        <v>30</v>
      </c>
      <c r="B3022" s="11" t="s">
        <v>14463</v>
      </c>
      <c r="C3022" s="11">
        <v>25</v>
      </c>
      <c r="D3022" s="11">
        <v>134</v>
      </c>
      <c r="E3022" s="11">
        <v>0</v>
      </c>
      <c r="F3022" s="11">
        <v>4</v>
      </c>
      <c r="G3022" s="11">
        <v>15</v>
      </c>
      <c r="H3022" s="11">
        <v>48856</v>
      </c>
      <c r="I3022" s="11" t="s">
        <v>3410</v>
      </c>
      <c r="J3022" s="11" t="s">
        <v>14464</v>
      </c>
      <c r="K3022" s="11" t="s">
        <v>14465</v>
      </c>
      <c r="L3022" s="11" t="s">
        <v>14466</v>
      </c>
      <c r="M3022" s="11" t="s">
        <v>14467</v>
      </c>
      <c r="N3022" s="11">
        <v>3466</v>
      </c>
      <c r="O3022" s="11">
        <v>30</v>
      </c>
      <c r="P3022" s="11">
        <v>0</v>
      </c>
      <c r="Q3022" s="11" t="s">
        <v>14468</v>
      </c>
      <c r="R3022" s="14" t="s">
        <v>14469</v>
      </c>
      <c r="S3022" s="11">
        <v>40</v>
      </c>
      <c r="T3022" s="11" t="s">
        <v>677</v>
      </c>
      <c r="U3022" s="11" t="s">
        <v>678</v>
      </c>
      <c r="V3022" s="13"/>
      <c r="W3022" s="11">
        <v>11900000</v>
      </c>
      <c r="X3022" s="11">
        <v>1993</v>
      </c>
      <c r="Y3022" s="11">
        <v>6</v>
      </c>
      <c r="Z3022" s="11">
        <v>7.5</v>
      </c>
      <c r="AA3022" s="11">
        <v>1.85</v>
      </c>
      <c r="AB3022" s="11">
        <v>355</v>
      </c>
      <c r="AC3022" s="11"/>
      <c r="AD3022" s="11" t="str">
        <f>IFERROR(__xludf.DUMMYFUNCTION("""COMPUTED_VALUE"""),"Frankie Valli")</f>
        <v>Frankie Valli</v>
      </c>
      <c r="AE3022" s="11"/>
    </row>
    <row r="3023" customHeight="1" spans="1:31">
      <c r="A3023" s="12" t="s">
        <v>30</v>
      </c>
      <c r="B3023" s="12" t="s">
        <v>14470</v>
      </c>
      <c r="C3023" s="12">
        <v>35</v>
      </c>
      <c r="D3023" s="12">
        <v>100</v>
      </c>
      <c r="E3023" s="12">
        <v>2</v>
      </c>
      <c r="F3023" s="12">
        <v>388</v>
      </c>
      <c r="G3023" s="12">
        <v>680</v>
      </c>
      <c r="H3023" s="16"/>
      <c r="I3023" s="12" t="s">
        <v>4075</v>
      </c>
      <c r="J3023" s="12" t="s">
        <v>2284</v>
      </c>
      <c r="K3023" s="12" t="s">
        <v>2349</v>
      </c>
      <c r="L3023" s="12" t="s">
        <v>13727</v>
      </c>
      <c r="M3023" s="12" t="s">
        <v>14471</v>
      </c>
      <c r="N3023" s="12">
        <v>3737</v>
      </c>
      <c r="O3023" s="12">
        <v>1780</v>
      </c>
      <c r="P3023" s="12">
        <v>2</v>
      </c>
      <c r="Q3023" s="12" t="s">
        <v>14472</v>
      </c>
      <c r="R3023" s="15" t="s">
        <v>14473</v>
      </c>
      <c r="S3023" s="12">
        <v>27</v>
      </c>
      <c r="T3023" s="12" t="s">
        <v>39</v>
      </c>
      <c r="U3023" s="12" t="s">
        <v>58</v>
      </c>
      <c r="V3023" s="12" t="s">
        <v>586</v>
      </c>
      <c r="W3023" s="12">
        <v>11500000</v>
      </c>
      <c r="X3023" s="12">
        <v>2009</v>
      </c>
      <c r="Y3023" s="12">
        <v>544</v>
      </c>
      <c r="Z3023" s="12">
        <v>6</v>
      </c>
      <c r="AA3023" s="12">
        <v>2.35</v>
      </c>
      <c r="AB3023" s="12">
        <v>443</v>
      </c>
      <c r="AC3023" s="12"/>
      <c r="AD3023" s="12" t="str">
        <f>IFERROR(__xludf.DUMMYFUNCTION("""COMPUTED_VALUE"""),"Shelley Long")</f>
        <v>Shelley Long</v>
      </c>
      <c r="AE3023" s="12"/>
    </row>
    <row r="3024" customHeight="1" spans="1:31">
      <c r="A3024" s="11" t="s">
        <v>30</v>
      </c>
      <c r="B3024" s="11" t="s">
        <v>14474</v>
      </c>
      <c r="C3024" s="11">
        <v>6</v>
      </c>
      <c r="D3024" s="11">
        <v>130</v>
      </c>
      <c r="E3024" s="11">
        <v>3</v>
      </c>
      <c r="F3024" s="11">
        <v>2</v>
      </c>
      <c r="G3024" s="11">
        <v>215</v>
      </c>
      <c r="H3024" s="13"/>
      <c r="I3024" s="11" t="s">
        <v>3410</v>
      </c>
      <c r="J3024" s="11" t="s">
        <v>14475</v>
      </c>
      <c r="K3024" s="11" t="s">
        <v>11705</v>
      </c>
      <c r="L3024" s="11" t="s">
        <v>14476</v>
      </c>
      <c r="M3024" s="11" t="s">
        <v>14477</v>
      </c>
      <c r="N3024" s="11">
        <v>117</v>
      </c>
      <c r="O3024" s="11">
        <v>244</v>
      </c>
      <c r="P3024" s="11">
        <v>1</v>
      </c>
      <c r="Q3024" s="13"/>
      <c r="R3024" s="14" t="s">
        <v>14478</v>
      </c>
      <c r="S3024" s="11">
        <v>6</v>
      </c>
      <c r="T3024" s="11" t="s">
        <v>11708</v>
      </c>
      <c r="U3024" s="11" t="s">
        <v>893</v>
      </c>
      <c r="V3024" s="13"/>
      <c r="W3024" s="11">
        <v>12000000</v>
      </c>
      <c r="X3024" s="11">
        <v>2015</v>
      </c>
      <c r="Y3024" s="11">
        <v>27</v>
      </c>
      <c r="Z3024" s="11">
        <v>6.2</v>
      </c>
      <c r="AA3024" s="11">
        <v>2.35</v>
      </c>
      <c r="AB3024" s="11">
        <v>4</v>
      </c>
      <c r="AC3024" s="11"/>
      <c r="AD3024" s="11" t="str">
        <f>IFERROR(__xludf.DUMMYFUNCTION("""COMPUTED_VALUE"""),"Kellie Martin")</f>
        <v>Kellie Martin</v>
      </c>
      <c r="AE3024" s="11"/>
    </row>
    <row r="3025" customHeight="1" spans="1:31">
      <c r="A3025" s="12" t="s">
        <v>30</v>
      </c>
      <c r="B3025" s="12" t="s">
        <v>2844</v>
      </c>
      <c r="C3025" s="12">
        <v>183</v>
      </c>
      <c r="D3025" s="12">
        <v>106</v>
      </c>
      <c r="E3025" s="12">
        <v>287</v>
      </c>
      <c r="F3025" s="12">
        <v>233</v>
      </c>
      <c r="G3025" s="12">
        <v>767</v>
      </c>
      <c r="H3025" s="12">
        <v>148170000</v>
      </c>
      <c r="I3025" s="12" t="s">
        <v>883</v>
      </c>
      <c r="J3025" s="12" t="s">
        <v>5253</v>
      </c>
      <c r="K3025" s="12" t="s">
        <v>14479</v>
      </c>
      <c r="L3025" s="12" t="s">
        <v>14480</v>
      </c>
      <c r="M3025" s="12" t="s">
        <v>14481</v>
      </c>
      <c r="N3025" s="12">
        <v>142293</v>
      </c>
      <c r="O3025" s="12">
        <v>2053</v>
      </c>
      <c r="P3025" s="12">
        <v>0</v>
      </c>
      <c r="Q3025" s="12" t="s">
        <v>14482</v>
      </c>
      <c r="R3025" s="15" t="s">
        <v>14483</v>
      </c>
      <c r="S3025" s="12">
        <v>245</v>
      </c>
      <c r="T3025" s="12" t="s">
        <v>39</v>
      </c>
      <c r="U3025" s="12" t="s">
        <v>40</v>
      </c>
      <c r="V3025" s="12" t="s">
        <v>96</v>
      </c>
      <c r="W3025" s="12">
        <v>11000000</v>
      </c>
      <c r="X3025" s="12">
        <v>1984</v>
      </c>
      <c r="Y3025" s="12">
        <v>281</v>
      </c>
      <c r="Z3025" s="12">
        <v>7.2</v>
      </c>
      <c r="AA3025" s="12">
        <v>2.2</v>
      </c>
      <c r="AB3025" s="12">
        <v>14000</v>
      </c>
      <c r="AC3025" s="12"/>
      <c r="AD3025" s="12" t="str">
        <f>IFERROR(__xludf.DUMMYFUNCTION("""COMPUTED_VALUE"""),"Shaun Evans")</f>
        <v>Shaun Evans</v>
      </c>
      <c r="AE3025" s="12"/>
    </row>
    <row r="3026" customHeight="1" spans="1:31">
      <c r="A3026" s="11" t="s">
        <v>30</v>
      </c>
      <c r="B3026" s="11" t="s">
        <v>1433</v>
      </c>
      <c r="C3026" s="11">
        <v>282</v>
      </c>
      <c r="D3026" s="11">
        <v>125</v>
      </c>
      <c r="E3026" s="11">
        <v>0</v>
      </c>
      <c r="F3026" s="11">
        <v>504</v>
      </c>
      <c r="G3026" s="11">
        <v>11000</v>
      </c>
      <c r="H3026" s="11">
        <v>460935665</v>
      </c>
      <c r="I3026" s="11" t="s">
        <v>32</v>
      </c>
      <c r="J3026" s="11" t="s">
        <v>391</v>
      </c>
      <c r="K3026" s="11" t="s">
        <v>14484</v>
      </c>
      <c r="L3026" s="11" t="s">
        <v>7872</v>
      </c>
      <c r="M3026" s="11" t="s">
        <v>14485</v>
      </c>
      <c r="N3026" s="11">
        <v>911097</v>
      </c>
      <c r="O3026" s="11">
        <v>13485</v>
      </c>
      <c r="P3026" s="11">
        <v>1</v>
      </c>
      <c r="Q3026" s="11" t="s">
        <v>14486</v>
      </c>
      <c r="R3026" s="14" t="s">
        <v>14487</v>
      </c>
      <c r="S3026" s="11">
        <v>1470</v>
      </c>
      <c r="T3026" s="11" t="s">
        <v>39</v>
      </c>
      <c r="U3026" s="11" t="s">
        <v>40</v>
      </c>
      <c r="V3026" s="11" t="s">
        <v>96</v>
      </c>
      <c r="W3026" s="11">
        <v>11000000</v>
      </c>
      <c r="X3026" s="11">
        <v>1977</v>
      </c>
      <c r="Y3026" s="11">
        <v>1000</v>
      </c>
      <c r="Z3026" s="11">
        <v>8.7</v>
      </c>
      <c r="AA3026" s="11">
        <v>2.35</v>
      </c>
      <c r="AB3026" s="11">
        <v>33000</v>
      </c>
      <c r="AC3026" s="11"/>
      <c r="AD3026" s="11" t="str">
        <f>IFERROR(__xludf.DUMMYFUNCTION("""COMPUTED_VALUE"""),"Juliet Stevenson")</f>
        <v>Juliet Stevenson</v>
      </c>
      <c r="AE3026" s="11"/>
    </row>
    <row r="3027" customHeight="1" spans="1:31">
      <c r="A3027" s="12" t="s">
        <v>30</v>
      </c>
      <c r="B3027" s="12" t="s">
        <v>14488</v>
      </c>
      <c r="C3027" s="12">
        <v>158</v>
      </c>
      <c r="D3027" s="12">
        <v>109</v>
      </c>
      <c r="E3027" s="12">
        <v>11</v>
      </c>
      <c r="F3027" s="12">
        <v>411</v>
      </c>
      <c r="G3027" s="12">
        <v>22000</v>
      </c>
      <c r="H3027" s="12">
        <v>35537564</v>
      </c>
      <c r="I3027" s="12" t="s">
        <v>1672</v>
      </c>
      <c r="J3027" s="12" t="s">
        <v>1746</v>
      </c>
      <c r="K3027" s="12" t="s">
        <v>5465</v>
      </c>
      <c r="L3027" s="12" t="s">
        <v>14489</v>
      </c>
      <c r="M3027" s="12" t="s">
        <v>14490</v>
      </c>
      <c r="N3027" s="12">
        <v>49671</v>
      </c>
      <c r="O3027" s="12">
        <v>24063</v>
      </c>
      <c r="P3027" s="12">
        <v>1</v>
      </c>
      <c r="Q3027" s="12" t="s">
        <v>14491</v>
      </c>
      <c r="R3027" s="15" t="s">
        <v>14492</v>
      </c>
      <c r="S3027" s="12">
        <v>166</v>
      </c>
      <c r="T3027" s="12" t="s">
        <v>39</v>
      </c>
      <c r="U3027" s="12" t="s">
        <v>40</v>
      </c>
      <c r="V3027" s="12" t="s">
        <v>586</v>
      </c>
      <c r="W3027" s="12">
        <v>11500000</v>
      </c>
      <c r="X3027" s="12">
        <v>2016</v>
      </c>
      <c r="Y3027" s="12">
        <v>851</v>
      </c>
      <c r="Z3027" s="12">
        <v>6</v>
      </c>
      <c r="AA3027" s="12">
        <v>2.35</v>
      </c>
      <c r="AB3027" s="12">
        <v>11000</v>
      </c>
      <c r="AC3027" s="12"/>
      <c r="AD3027" s="12" t="str">
        <f>IFERROR(__xludf.DUMMYFUNCTION("""COMPUTED_VALUE"""),"David Margulies")</f>
        <v>David Margulies</v>
      </c>
      <c r="AE3027" s="12"/>
    </row>
    <row r="3028" customHeight="1" spans="1:31">
      <c r="A3028" s="11" t="s">
        <v>30</v>
      </c>
      <c r="B3028" s="11" t="s">
        <v>9066</v>
      </c>
      <c r="C3028" s="11">
        <v>89</v>
      </c>
      <c r="D3028" s="11">
        <v>200</v>
      </c>
      <c r="E3028" s="11">
        <v>767</v>
      </c>
      <c r="F3028" s="11">
        <v>382</v>
      </c>
      <c r="G3028" s="11">
        <v>597</v>
      </c>
      <c r="H3028" s="11">
        <v>111722000</v>
      </c>
      <c r="I3028" s="11" t="s">
        <v>5605</v>
      </c>
      <c r="J3028" s="11" t="s">
        <v>11991</v>
      </c>
      <c r="K3028" s="11" t="s">
        <v>14493</v>
      </c>
      <c r="L3028" s="11" t="s">
        <v>6738</v>
      </c>
      <c r="M3028" s="11" t="s">
        <v>14494</v>
      </c>
      <c r="N3028" s="11">
        <v>55816</v>
      </c>
      <c r="O3028" s="11">
        <v>1966</v>
      </c>
      <c r="P3028" s="11">
        <v>2</v>
      </c>
      <c r="Q3028" s="11" t="s">
        <v>14495</v>
      </c>
      <c r="R3028" s="14" t="s">
        <v>14496</v>
      </c>
      <c r="S3028" s="11">
        <v>255</v>
      </c>
      <c r="T3028" s="11" t="s">
        <v>39</v>
      </c>
      <c r="U3028" s="11" t="s">
        <v>40</v>
      </c>
      <c r="V3028" s="11" t="s">
        <v>41</v>
      </c>
      <c r="W3028" s="11">
        <v>11000000</v>
      </c>
      <c r="X3028" s="11">
        <v>1965</v>
      </c>
      <c r="Y3028" s="11">
        <v>396</v>
      </c>
      <c r="Z3028" s="11">
        <v>8</v>
      </c>
      <c r="AA3028" s="11">
        <v>2.35</v>
      </c>
      <c r="AB3028" s="11">
        <v>7000</v>
      </c>
      <c r="AC3028" s="11"/>
      <c r="AD3028" s="11" t="str">
        <f>IFERROR(__xludf.DUMMYFUNCTION("""COMPUTED_VALUE"""),"Karen Young")</f>
        <v>Karen Young</v>
      </c>
      <c r="AE3028" s="11"/>
    </row>
    <row r="3029" customHeight="1" spans="1:31">
      <c r="A3029" s="12" t="s">
        <v>30</v>
      </c>
      <c r="B3029" s="12" t="s">
        <v>6621</v>
      </c>
      <c r="C3029" s="12">
        <v>101</v>
      </c>
      <c r="D3029" s="12">
        <v>114</v>
      </c>
      <c r="E3029" s="12">
        <v>335</v>
      </c>
      <c r="F3029" s="12">
        <v>14</v>
      </c>
      <c r="G3029" s="12">
        <v>585</v>
      </c>
      <c r="H3029" s="12">
        <v>10230</v>
      </c>
      <c r="I3029" s="12" t="s">
        <v>14497</v>
      </c>
      <c r="J3029" s="12" t="s">
        <v>14498</v>
      </c>
      <c r="K3029" s="12" t="s">
        <v>14499</v>
      </c>
      <c r="L3029" s="12" t="s">
        <v>14500</v>
      </c>
      <c r="M3029" s="12" t="s">
        <v>14501</v>
      </c>
      <c r="N3029" s="12">
        <v>14437</v>
      </c>
      <c r="O3029" s="12">
        <v>679</v>
      </c>
      <c r="P3029" s="12">
        <v>0</v>
      </c>
      <c r="Q3029" s="12" t="s">
        <v>14502</v>
      </c>
      <c r="R3029" s="15" t="s">
        <v>14503</v>
      </c>
      <c r="S3029" s="12">
        <v>26</v>
      </c>
      <c r="T3029" s="12" t="s">
        <v>14504</v>
      </c>
      <c r="U3029" s="12" t="s">
        <v>58</v>
      </c>
      <c r="V3029" s="12" t="s">
        <v>586</v>
      </c>
      <c r="W3029" s="16"/>
      <c r="X3029" s="12">
        <v>2014</v>
      </c>
      <c r="Y3029" s="12">
        <v>68</v>
      </c>
      <c r="Z3029" s="12">
        <v>7.2</v>
      </c>
      <c r="AA3029" s="12">
        <v>2.35</v>
      </c>
      <c r="AB3029" s="12">
        <v>0</v>
      </c>
      <c r="AC3029" s="12"/>
      <c r="AD3029" s="12" t="str">
        <f>IFERROR(__xludf.DUMMYFUNCTION("""COMPUTED_VALUE"""),"Kim Chan")</f>
        <v>Kim Chan</v>
      </c>
      <c r="AE3029" s="12"/>
    </row>
    <row r="3030" customHeight="1" spans="1:31">
      <c r="A3030" s="11" t="s">
        <v>30</v>
      </c>
      <c r="B3030" s="11" t="s">
        <v>4067</v>
      </c>
      <c r="C3030" s="11">
        <v>128</v>
      </c>
      <c r="D3030" s="11">
        <v>112</v>
      </c>
      <c r="E3030" s="11">
        <v>197</v>
      </c>
      <c r="F3030" s="11">
        <v>632</v>
      </c>
      <c r="G3030" s="11">
        <v>755</v>
      </c>
      <c r="H3030" s="11">
        <v>90556401</v>
      </c>
      <c r="I3030" s="11" t="s">
        <v>3023</v>
      </c>
      <c r="J3030" s="11" t="s">
        <v>10894</v>
      </c>
      <c r="K3030" s="11" t="s">
        <v>7608</v>
      </c>
      <c r="L3030" s="11" t="s">
        <v>11893</v>
      </c>
      <c r="M3030" s="11" t="s">
        <v>14505</v>
      </c>
      <c r="N3030" s="11">
        <v>43795</v>
      </c>
      <c r="O3030" s="11">
        <v>3507</v>
      </c>
      <c r="P3030" s="11">
        <v>1</v>
      </c>
      <c r="Q3030" s="11" t="s">
        <v>14506</v>
      </c>
      <c r="R3030" s="14" t="s">
        <v>14507</v>
      </c>
      <c r="S3030" s="11">
        <v>171</v>
      </c>
      <c r="T3030" s="11" t="s">
        <v>39</v>
      </c>
      <c r="U3030" s="11" t="s">
        <v>40</v>
      </c>
      <c r="V3030" s="11" t="s">
        <v>278</v>
      </c>
      <c r="W3030" s="11">
        <v>11000000</v>
      </c>
      <c r="X3030" s="11">
        <v>2008</v>
      </c>
      <c r="Y3030" s="11">
        <v>734</v>
      </c>
      <c r="Z3030" s="11">
        <v>4.5</v>
      </c>
      <c r="AA3030" s="11">
        <v>1.85</v>
      </c>
      <c r="AB3030" s="11">
        <v>0</v>
      </c>
      <c r="AC3030" s="11"/>
      <c r="AD3030" s="11" t="str">
        <f>IFERROR(__xludf.DUMMYFUNCTION("""COMPUTED_VALUE"""),"Ralph Richardson")</f>
        <v>Ralph Richardson</v>
      </c>
      <c r="AE3030" s="11"/>
    </row>
    <row r="3031" customHeight="1" spans="1:31">
      <c r="A3031" s="12" t="s">
        <v>30</v>
      </c>
      <c r="B3031" s="12" t="s">
        <v>4167</v>
      </c>
      <c r="C3031" s="12">
        <v>410</v>
      </c>
      <c r="D3031" s="12">
        <v>116</v>
      </c>
      <c r="E3031" s="12">
        <v>737</v>
      </c>
      <c r="F3031" s="12">
        <v>141</v>
      </c>
      <c r="G3031" s="12">
        <v>23000</v>
      </c>
      <c r="H3031" s="12">
        <v>93571803</v>
      </c>
      <c r="I3031" s="12" t="s">
        <v>1635</v>
      </c>
      <c r="J3031" s="12" t="s">
        <v>62</v>
      </c>
      <c r="K3031" s="12" t="s">
        <v>14508</v>
      </c>
      <c r="L3031" s="12" t="s">
        <v>7757</v>
      </c>
      <c r="M3031" s="12" t="s">
        <v>14509</v>
      </c>
      <c r="N3031" s="12">
        <v>275869</v>
      </c>
      <c r="O3031" s="12">
        <v>23811</v>
      </c>
      <c r="P3031" s="12">
        <v>2</v>
      </c>
      <c r="Q3031" s="12" t="s">
        <v>14510</v>
      </c>
      <c r="R3031" s="15" t="s">
        <v>14511</v>
      </c>
      <c r="S3031" s="12">
        <v>389</v>
      </c>
      <c r="T3031" s="12" t="s">
        <v>39</v>
      </c>
      <c r="U3031" s="12" t="s">
        <v>40</v>
      </c>
      <c r="V3031" s="12" t="s">
        <v>586</v>
      </c>
      <c r="W3031" s="12">
        <v>25000000</v>
      </c>
      <c r="X3031" s="12">
        <v>2010</v>
      </c>
      <c r="Y3031" s="12">
        <v>238</v>
      </c>
      <c r="Z3031" s="12">
        <v>7.9</v>
      </c>
      <c r="AA3031" s="12">
        <v>2.35</v>
      </c>
      <c r="AB3031" s="12">
        <v>36000</v>
      </c>
      <c r="AC3031" s="12"/>
      <c r="AD3031" s="12" t="str">
        <f>IFERROR(__xludf.DUMMYFUNCTION("""COMPUTED_VALUE"""),"Albert Salmi")</f>
        <v>Albert Salmi</v>
      </c>
      <c r="AE3031" s="12"/>
    </row>
    <row r="3032" customHeight="1" spans="1:31">
      <c r="A3032" s="11" t="s">
        <v>30</v>
      </c>
      <c r="B3032" s="11" t="s">
        <v>10666</v>
      </c>
      <c r="C3032" s="11">
        <v>104</v>
      </c>
      <c r="D3032" s="11">
        <v>92</v>
      </c>
      <c r="E3032" s="11">
        <v>79</v>
      </c>
      <c r="F3032" s="11">
        <v>218</v>
      </c>
      <c r="G3032" s="11">
        <v>608</v>
      </c>
      <c r="H3032" s="11">
        <v>72755517</v>
      </c>
      <c r="I3032" s="11" t="s">
        <v>10667</v>
      </c>
      <c r="J3032" s="11" t="s">
        <v>10668</v>
      </c>
      <c r="K3032" s="11" t="s">
        <v>10669</v>
      </c>
      <c r="L3032" s="11" t="s">
        <v>10670</v>
      </c>
      <c r="M3032" s="11" t="s">
        <v>14512</v>
      </c>
      <c r="N3032" s="11">
        <v>56595</v>
      </c>
      <c r="O3032" s="11">
        <v>1853</v>
      </c>
      <c r="P3032" s="11">
        <v>0</v>
      </c>
      <c r="Q3032" s="11" t="s">
        <v>14513</v>
      </c>
      <c r="R3032" s="14" t="s">
        <v>14514</v>
      </c>
      <c r="S3032" s="11">
        <v>196</v>
      </c>
      <c r="T3032" s="11" t="s">
        <v>39</v>
      </c>
      <c r="U3032" s="11" t="s">
        <v>40</v>
      </c>
      <c r="V3032" s="11" t="s">
        <v>586</v>
      </c>
      <c r="W3032" s="13"/>
      <c r="X3032" s="11">
        <v>2006</v>
      </c>
      <c r="Y3032" s="11">
        <v>362</v>
      </c>
      <c r="Z3032" s="11">
        <v>7.1</v>
      </c>
      <c r="AA3032" s="11">
        <v>1.85</v>
      </c>
      <c r="AB3032" s="11">
        <v>641</v>
      </c>
      <c r="AC3032" s="11"/>
      <c r="AD3032" s="11" t="str">
        <f>IFERROR(__xludf.DUMMYFUNCTION("""COMPUTED_VALUE"""),"David Masterson")</f>
        <v>David Masterson</v>
      </c>
      <c r="AE3032" s="11"/>
    </row>
    <row r="3033" customHeight="1" spans="1:31">
      <c r="A3033" s="12" t="s">
        <v>30</v>
      </c>
      <c r="B3033" s="12" t="s">
        <v>6964</v>
      </c>
      <c r="C3033" s="12">
        <v>54</v>
      </c>
      <c r="D3033" s="12">
        <v>120</v>
      </c>
      <c r="E3033" s="12">
        <v>36</v>
      </c>
      <c r="F3033" s="12">
        <v>633</v>
      </c>
      <c r="G3033" s="12">
        <v>886</v>
      </c>
      <c r="H3033" s="12">
        <v>52929168</v>
      </c>
      <c r="I3033" s="12" t="s">
        <v>1009</v>
      </c>
      <c r="J3033" s="12" t="s">
        <v>5581</v>
      </c>
      <c r="K3033" s="12" t="s">
        <v>2285</v>
      </c>
      <c r="L3033" s="12" t="s">
        <v>14515</v>
      </c>
      <c r="M3033" s="12" t="s">
        <v>14516</v>
      </c>
      <c r="N3033" s="12">
        <v>82743</v>
      </c>
      <c r="O3033" s="12">
        <v>3280</v>
      </c>
      <c r="P3033" s="12">
        <v>1</v>
      </c>
      <c r="Q3033" s="12" t="s">
        <v>14517</v>
      </c>
      <c r="R3033" s="15" t="s">
        <v>14518</v>
      </c>
      <c r="S3033" s="12">
        <v>201</v>
      </c>
      <c r="T3033" s="12" t="s">
        <v>39</v>
      </c>
      <c r="U3033" s="12" t="s">
        <v>40</v>
      </c>
      <c r="V3033" s="12" t="s">
        <v>586</v>
      </c>
      <c r="W3033" s="12">
        <v>11000000</v>
      </c>
      <c r="X3033" s="12">
        <v>1992</v>
      </c>
      <c r="Y3033" s="12">
        <v>655</v>
      </c>
      <c r="Z3033" s="12">
        <v>7.5</v>
      </c>
      <c r="AA3033" s="12">
        <v>1.85</v>
      </c>
      <c r="AB3033" s="12">
        <v>7000</v>
      </c>
      <c r="AC3033" s="12"/>
      <c r="AD3033" s="12" t="str">
        <f>IFERROR(__xludf.DUMMYFUNCTION("""COMPUTED_VALUE"""),"Kerry Condon")</f>
        <v>Kerry Condon</v>
      </c>
      <c r="AE3033" s="12"/>
    </row>
    <row r="3034" customHeight="1" spans="1:31">
      <c r="A3034" s="11" t="s">
        <v>30</v>
      </c>
      <c r="B3034" s="11" t="s">
        <v>14519</v>
      </c>
      <c r="C3034" s="11">
        <v>141</v>
      </c>
      <c r="D3034" s="11">
        <v>107</v>
      </c>
      <c r="E3034" s="11">
        <v>15</v>
      </c>
      <c r="F3034" s="11">
        <v>602</v>
      </c>
      <c r="G3034" s="11">
        <v>17000</v>
      </c>
      <c r="H3034" s="11">
        <v>50461335</v>
      </c>
      <c r="I3034" s="11" t="s">
        <v>14520</v>
      </c>
      <c r="J3034" s="11" t="s">
        <v>490</v>
      </c>
      <c r="K3034" s="11" t="s">
        <v>344</v>
      </c>
      <c r="L3034" s="11" t="s">
        <v>1321</v>
      </c>
      <c r="M3034" s="11" t="s">
        <v>14521</v>
      </c>
      <c r="N3034" s="11">
        <v>83893</v>
      </c>
      <c r="O3034" s="11">
        <v>20466</v>
      </c>
      <c r="P3034" s="11">
        <v>3</v>
      </c>
      <c r="Q3034" s="11" t="s">
        <v>14522</v>
      </c>
      <c r="R3034" s="14" t="s">
        <v>14523</v>
      </c>
      <c r="S3034" s="11">
        <v>132</v>
      </c>
      <c r="T3034" s="11" t="s">
        <v>39</v>
      </c>
      <c r="U3034" s="11" t="s">
        <v>40</v>
      </c>
      <c r="V3034" s="11" t="s">
        <v>41</v>
      </c>
      <c r="W3034" s="11">
        <v>11000000</v>
      </c>
      <c r="X3034" s="11">
        <v>2014</v>
      </c>
      <c r="Y3034" s="11">
        <v>1000</v>
      </c>
      <c r="Z3034" s="11">
        <v>6.8</v>
      </c>
      <c r="AA3034" s="11">
        <v>2.35</v>
      </c>
      <c r="AB3034" s="11">
        <v>15000</v>
      </c>
      <c r="AC3034" s="11"/>
      <c r="AD3034" s="11" t="str">
        <f>IFERROR(__xludf.DUMMYFUNCTION("""COMPUTED_VALUE"""),"Khulan Chuluun")</f>
        <v>Khulan Chuluun</v>
      </c>
      <c r="AE3034" s="11"/>
    </row>
    <row r="3035" customHeight="1" spans="1:31">
      <c r="A3035" s="12" t="s">
        <v>30</v>
      </c>
      <c r="B3035" s="12" t="s">
        <v>10465</v>
      </c>
      <c r="C3035" s="12">
        <v>30</v>
      </c>
      <c r="D3035" s="12">
        <v>92</v>
      </c>
      <c r="E3035" s="12">
        <v>53</v>
      </c>
      <c r="F3035" s="12">
        <v>32</v>
      </c>
      <c r="G3035" s="12">
        <v>84</v>
      </c>
      <c r="H3035" s="16"/>
      <c r="I3035" s="12" t="s">
        <v>1753</v>
      </c>
      <c r="J3035" s="12" t="s">
        <v>14524</v>
      </c>
      <c r="K3035" s="12" t="s">
        <v>10968</v>
      </c>
      <c r="L3035" s="12" t="s">
        <v>14525</v>
      </c>
      <c r="M3035" s="12" t="s">
        <v>14526</v>
      </c>
      <c r="N3035" s="12">
        <v>3104</v>
      </c>
      <c r="O3035" s="12">
        <v>179</v>
      </c>
      <c r="P3035" s="12">
        <v>2</v>
      </c>
      <c r="Q3035" s="16"/>
      <c r="R3035" s="15" t="s">
        <v>14527</v>
      </c>
      <c r="S3035" s="12">
        <v>33</v>
      </c>
      <c r="T3035" s="12" t="s">
        <v>39</v>
      </c>
      <c r="U3035" s="12" t="s">
        <v>269</v>
      </c>
      <c r="V3035" s="12" t="s">
        <v>4831</v>
      </c>
      <c r="W3035" s="12">
        <v>12000000</v>
      </c>
      <c r="X3035" s="12">
        <v>2014</v>
      </c>
      <c r="Y3035" s="12">
        <v>37</v>
      </c>
      <c r="Z3035" s="12">
        <v>4.3</v>
      </c>
      <c r="AA3035" s="16"/>
      <c r="AB3035" s="12">
        <v>774</v>
      </c>
      <c r="AC3035" s="12"/>
      <c r="AD3035" s="12" t="str">
        <f>IFERROR(__xludf.DUMMYFUNCTION("""COMPUTED_VALUE"""),"Honglei Sun")</f>
        <v>Honglei Sun</v>
      </c>
      <c r="AE3035" s="12"/>
    </row>
    <row r="3036" customHeight="1" spans="1:31">
      <c r="A3036" s="11" t="s">
        <v>30</v>
      </c>
      <c r="B3036" s="11" t="s">
        <v>14528</v>
      </c>
      <c r="C3036" s="11">
        <v>57</v>
      </c>
      <c r="D3036" s="11">
        <v>107</v>
      </c>
      <c r="E3036" s="11">
        <v>42</v>
      </c>
      <c r="F3036" s="11">
        <v>808</v>
      </c>
      <c r="G3036" s="11">
        <v>1000</v>
      </c>
      <c r="H3036" s="11">
        <v>49797148</v>
      </c>
      <c r="I3036" s="11" t="s">
        <v>3914</v>
      </c>
      <c r="J3036" s="11" t="s">
        <v>13154</v>
      </c>
      <c r="K3036" s="11" t="s">
        <v>4834</v>
      </c>
      <c r="L3036" s="11" t="s">
        <v>1060</v>
      </c>
      <c r="M3036" s="11" t="s">
        <v>14529</v>
      </c>
      <c r="N3036" s="11">
        <v>49007</v>
      </c>
      <c r="O3036" s="11">
        <v>3435</v>
      </c>
      <c r="P3036" s="11">
        <v>3</v>
      </c>
      <c r="Q3036" s="11" t="s">
        <v>14530</v>
      </c>
      <c r="R3036" s="14" t="s">
        <v>14531</v>
      </c>
      <c r="S3036" s="11">
        <v>97</v>
      </c>
      <c r="T3036" s="11" t="s">
        <v>39</v>
      </c>
      <c r="U3036" s="11" t="s">
        <v>40</v>
      </c>
      <c r="V3036" s="11" t="s">
        <v>586</v>
      </c>
      <c r="W3036" s="11">
        <v>11000000</v>
      </c>
      <c r="X3036" s="11">
        <v>1989</v>
      </c>
      <c r="Y3036" s="11">
        <v>854</v>
      </c>
      <c r="Z3036" s="11">
        <v>7.2</v>
      </c>
      <c r="AA3036" s="11">
        <v>1.85</v>
      </c>
      <c r="AB3036" s="11">
        <v>0</v>
      </c>
      <c r="AC3036" s="11"/>
      <c r="AD3036" s="11" t="str">
        <f>IFERROR(__xludf.DUMMYFUNCTION("""COMPUTED_VALUE"""),"Michael Beck")</f>
        <v>Michael Beck</v>
      </c>
      <c r="AE3036" s="11"/>
    </row>
    <row r="3037" customHeight="1" spans="1:31">
      <c r="A3037" s="12" t="s">
        <v>30</v>
      </c>
      <c r="B3037" s="12" t="s">
        <v>5991</v>
      </c>
      <c r="C3037" s="12">
        <v>56</v>
      </c>
      <c r="D3037" s="12">
        <v>100</v>
      </c>
      <c r="E3037" s="12">
        <v>32</v>
      </c>
      <c r="F3037" s="12">
        <v>621</v>
      </c>
      <c r="G3037" s="12">
        <v>785</v>
      </c>
      <c r="H3037" s="16"/>
      <c r="I3037" s="12" t="s">
        <v>1672</v>
      </c>
      <c r="J3037" s="12" t="s">
        <v>7251</v>
      </c>
      <c r="K3037" s="12" t="s">
        <v>725</v>
      </c>
      <c r="L3037" s="12" t="s">
        <v>579</v>
      </c>
      <c r="M3037" s="12" t="s">
        <v>14532</v>
      </c>
      <c r="N3037" s="12">
        <v>18220</v>
      </c>
      <c r="O3037" s="12">
        <v>3135</v>
      </c>
      <c r="P3037" s="12">
        <v>5</v>
      </c>
      <c r="Q3037" s="12" t="s">
        <v>14533</v>
      </c>
      <c r="R3037" s="15" t="s">
        <v>14534</v>
      </c>
      <c r="S3037" s="12">
        <v>102</v>
      </c>
      <c r="T3037" s="12" t="s">
        <v>39</v>
      </c>
      <c r="U3037" s="12" t="s">
        <v>58</v>
      </c>
      <c r="V3037" s="12" t="s">
        <v>41</v>
      </c>
      <c r="W3037" s="12">
        <v>13500000</v>
      </c>
      <c r="X3037" s="12">
        <v>2007</v>
      </c>
      <c r="Y3037" s="12">
        <v>692</v>
      </c>
      <c r="Z3037" s="12">
        <v>5.8</v>
      </c>
      <c r="AA3037" s="12">
        <v>1.85</v>
      </c>
      <c r="AB3037" s="12">
        <v>0</v>
      </c>
      <c r="AC3037" s="12"/>
      <c r="AD3037" s="12" t="str">
        <f>IFERROR(__xludf.DUMMYFUNCTION("""COMPUTED_VALUE"""),"Henry Silva")</f>
        <v>Henry Silva</v>
      </c>
      <c r="AE3037" s="12"/>
    </row>
    <row r="3038" customHeight="1" spans="1:31">
      <c r="A3038" s="11" t="s">
        <v>30</v>
      </c>
      <c r="B3038" s="11" t="s">
        <v>1325</v>
      </c>
      <c r="C3038" s="11">
        <v>216</v>
      </c>
      <c r="D3038" s="11">
        <v>81</v>
      </c>
      <c r="E3038" s="11">
        <v>541</v>
      </c>
      <c r="F3038" s="11">
        <v>328</v>
      </c>
      <c r="G3038" s="11">
        <v>991</v>
      </c>
      <c r="H3038" s="11">
        <v>46563158</v>
      </c>
      <c r="I3038" s="11" t="s">
        <v>1528</v>
      </c>
      <c r="J3038" s="11" t="s">
        <v>3373</v>
      </c>
      <c r="K3038" s="11" t="s">
        <v>14535</v>
      </c>
      <c r="L3038" s="11" t="s">
        <v>7589</v>
      </c>
      <c r="M3038" s="11" t="s">
        <v>14536</v>
      </c>
      <c r="N3038" s="11">
        <v>207934</v>
      </c>
      <c r="O3038" s="11">
        <v>2562</v>
      </c>
      <c r="P3038" s="11">
        <v>0</v>
      </c>
      <c r="Q3038" s="11" t="s">
        <v>14537</v>
      </c>
      <c r="R3038" s="14" t="s">
        <v>14538</v>
      </c>
      <c r="S3038" s="11">
        <v>629</v>
      </c>
      <c r="T3038" s="11" t="s">
        <v>39</v>
      </c>
      <c r="U3038" s="11" t="s">
        <v>40</v>
      </c>
      <c r="V3038" s="11" t="s">
        <v>586</v>
      </c>
      <c r="W3038" s="11">
        <v>13000000</v>
      </c>
      <c r="X3038" s="11">
        <v>2002</v>
      </c>
      <c r="Y3038" s="11">
        <v>465</v>
      </c>
      <c r="Z3038" s="11">
        <v>7.1</v>
      </c>
      <c r="AA3038" s="11">
        <v>2.35</v>
      </c>
      <c r="AB3038" s="11">
        <v>0</v>
      </c>
      <c r="AC3038" s="11"/>
      <c r="AD3038" s="11" t="str">
        <f>IFERROR(__xludf.DUMMYFUNCTION("""COMPUTED_VALUE"""),"Julie Christie")</f>
        <v>Julie Christie</v>
      </c>
      <c r="AE3038" s="11"/>
    </row>
    <row r="3039" customHeight="1" spans="1:31">
      <c r="A3039" s="12" t="s">
        <v>30</v>
      </c>
      <c r="B3039" s="12" t="s">
        <v>2613</v>
      </c>
      <c r="C3039" s="12">
        <v>80</v>
      </c>
      <c r="D3039" s="12">
        <v>101</v>
      </c>
      <c r="E3039" s="12">
        <v>163</v>
      </c>
      <c r="F3039" s="12">
        <v>488</v>
      </c>
      <c r="G3039" s="12">
        <v>683</v>
      </c>
      <c r="H3039" s="12">
        <v>41227069</v>
      </c>
      <c r="I3039" s="12" t="s">
        <v>214</v>
      </c>
      <c r="J3039" s="12" t="s">
        <v>14539</v>
      </c>
      <c r="K3039" s="12" t="s">
        <v>3202</v>
      </c>
      <c r="L3039" s="12" t="s">
        <v>12584</v>
      </c>
      <c r="M3039" s="12" t="s">
        <v>14540</v>
      </c>
      <c r="N3039" s="12">
        <v>162701</v>
      </c>
      <c r="O3039" s="12">
        <v>2436</v>
      </c>
      <c r="P3039" s="12">
        <v>1</v>
      </c>
      <c r="Q3039" s="12" t="s">
        <v>14541</v>
      </c>
      <c r="R3039" s="15" t="s">
        <v>14542</v>
      </c>
      <c r="S3039" s="12">
        <v>962</v>
      </c>
      <c r="T3039" s="12" t="s">
        <v>39</v>
      </c>
      <c r="U3039" s="12" t="s">
        <v>40</v>
      </c>
      <c r="V3039" s="12" t="s">
        <v>96</v>
      </c>
      <c r="W3039" s="12">
        <v>11000000</v>
      </c>
      <c r="X3039" s="12">
        <v>2002</v>
      </c>
      <c r="Y3039" s="12">
        <v>548</v>
      </c>
      <c r="Z3039" s="12">
        <v>7.4</v>
      </c>
      <c r="AA3039" s="12">
        <v>2.35</v>
      </c>
      <c r="AB3039" s="12">
        <v>19000</v>
      </c>
      <c r="AC3039" s="12"/>
      <c r="AD3039" s="12" t="str">
        <f>IFERROR(__xludf.DUMMYFUNCTION("""COMPUTED_VALUE"""),"Suzie Steen")</f>
        <v>Suzie Steen</v>
      </c>
      <c r="AE3039" s="12"/>
    </row>
    <row r="3040" customHeight="1" spans="1:31">
      <c r="A3040" s="11" t="s">
        <v>30</v>
      </c>
      <c r="B3040" s="11" t="s">
        <v>8016</v>
      </c>
      <c r="C3040" s="11">
        <v>77</v>
      </c>
      <c r="D3040" s="11">
        <v>122</v>
      </c>
      <c r="E3040" s="11">
        <v>0</v>
      </c>
      <c r="F3040" s="11">
        <v>191</v>
      </c>
      <c r="G3040" s="11">
        <v>276</v>
      </c>
      <c r="H3040" s="11">
        <v>39025000</v>
      </c>
      <c r="I3040" s="11" t="s">
        <v>1936</v>
      </c>
      <c r="J3040" s="11" t="s">
        <v>13360</v>
      </c>
      <c r="K3040" s="11" t="s">
        <v>1068</v>
      </c>
      <c r="L3040" s="11" t="s">
        <v>14543</v>
      </c>
      <c r="M3040" s="11" t="s">
        <v>14544</v>
      </c>
      <c r="N3040" s="11">
        <v>73193</v>
      </c>
      <c r="O3040" s="11">
        <v>903</v>
      </c>
      <c r="P3040" s="11">
        <v>0</v>
      </c>
      <c r="Q3040" s="11" t="s">
        <v>14545</v>
      </c>
      <c r="R3040" s="14" t="s">
        <v>14546</v>
      </c>
      <c r="S3040" s="11">
        <v>190</v>
      </c>
      <c r="T3040" s="11" t="s">
        <v>39</v>
      </c>
      <c r="U3040" s="11" t="s">
        <v>58</v>
      </c>
      <c r="V3040" s="11" t="s">
        <v>586</v>
      </c>
      <c r="W3040" s="11">
        <v>11000000</v>
      </c>
      <c r="X3040" s="11">
        <v>1995</v>
      </c>
      <c r="Y3040" s="11">
        <v>258</v>
      </c>
      <c r="Z3040" s="11">
        <v>7.6</v>
      </c>
      <c r="AA3040" s="11">
        <v>1.85</v>
      </c>
      <c r="AB3040" s="11">
        <v>0</v>
      </c>
      <c r="AC3040" s="11"/>
      <c r="AD3040" s="11" t="str">
        <f>IFERROR(__xludf.DUMMYFUNCTION("""COMPUTED_VALUE"""),"Aden Young")</f>
        <v>Aden Young</v>
      </c>
      <c r="AE3040" s="11"/>
    </row>
    <row r="3041" customHeight="1" spans="1:31">
      <c r="A3041" s="12" t="s">
        <v>30</v>
      </c>
      <c r="B3041" s="12" t="s">
        <v>6064</v>
      </c>
      <c r="C3041" s="12">
        <v>101</v>
      </c>
      <c r="D3041" s="12">
        <v>97</v>
      </c>
      <c r="E3041" s="12">
        <v>16</v>
      </c>
      <c r="F3041" s="12">
        <v>637</v>
      </c>
      <c r="G3041" s="12">
        <v>4000</v>
      </c>
      <c r="H3041" s="12">
        <v>38201895</v>
      </c>
      <c r="I3041" s="12" t="s">
        <v>214</v>
      </c>
      <c r="J3041" s="12" t="s">
        <v>2477</v>
      </c>
      <c r="K3041" s="12" t="s">
        <v>11758</v>
      </c>
      <c r="L3041" s="12" t="s">
        <v>14547</v>
      </c>
      <c r="M3041" s="12" t="s">
        <v>14548</v>
      </c>
      <c r="N3041" s="12">
        <v>149222</v>
      </c>
      <c r="O3041" s="12">
        <v>6223</v>
      </c>
      <c r="P3041" s="12">
        <v>3</v>
      </c>
      <c r="Q3041" s="12" t="s">
        <v>14549</v>
      </c>
      <c r="R3041" s="15" t="s">
        <v>14550</v>
      </c>
      <c r="S3041" s="12">
        <v>749</v>
      </c>
      <c r="T3041" s="12" t="s">
        <v>39</v>
      </c>
      <c r="U3041" s="12" t="s">
        <v>40</v>
      </c>
      <c r="V3041" s="12" t="s">
        <v>586</v>
      </c>
      <c r="W3041" s="12">
        <v>10500000</v>
      </c>
      <c r="X3041" s="12">
        <v>1999</v>
      </c>
      <c r="Y3041" s="12">
        <v>656</v>
      </c>
      <c r="Z3041" s="12">
        <v>6.9</v>
      </c>
      <c r="AA3041" s="12">
        <v>1.85</v>
      </c>
      <c r="AB3041" s="12">
        <v>0</v>
      </c>
      <c r="AC3041" s="12"/>
      <c r="AD3041" s="12" t="str">
        <f>IFERROR(__xludf.DUMMYFUNCTION("""COMPUTED_VALUE"""),"Paul Sparks")</f>
        <v>Paul Sparks</v>
      </c>
      <c r="AE3041" s="12"/>
    </row>
    <row r="3042" customHeight="1" spans="1:31">
      <c r="A3042" s="11" t="s">
        <v>30</v>
      </c>
      <c r="B3042" s="11" t="s">
        <v>12185</v>
      </c>
      <c r="C3042" s="11">
        <v>156</v>
      </c>
      <c r="D3042" s="11">
        <v>92</v>
      </c>
      <c r="E3042" s="11">
        <v>52</v>
      </c>
      <c r="F3042" s="11">
        <v>647</v>
      </c>
      <c r="G3042" s="11">
        <v>723</v>
      </c>
      <c r="H3042" s="11">
        <v>27669413</v>
      </c>
      <c r="I3042" s="11" t="s">
        <v>5104</v>
      </c>
      <c r="J3042" s="11" t="s">
        <v>5920</v>
      </c>
      <c r="K3042" s="11" t="s">
        <v>14551</v>
      </c>
      <c r="L3042" s="11" t="s">
        <v>14552</v>
      </c>
      <c r="M3042" s="11" t="s">
        <v>14553</v>
      </c>
      <c r="N3042" s="11">
        <v>76207</v>
      </c>
      <c r="O3042" s="11">
        <v>3101</v>
      </c>
      <c r="P3042" s="11">
        <v>0</v>
      </c>
      <c r="Q3042" s="11" t="s">
        <v>14554</v>
      </c>
      <c r="R3042" s="14" t="s">
        <v>14555</v>
      </c>
      <c r="S3042" s="11">
        <v>194</v>
      </c>
      <c r="T3042" s="11" t="s">
        <v>39</v>
      </c>
      <c r="U3042" s="11" t="s">
        <v>269</v>
      </c>
      <c r="V3042" s="11" t="s">
        <v>586</v>
      </c>
      <c r="W3042" s="11">
        <v>11000000</v>
      </c>
      <c r="X3042" s="11">
        <v>2009</v>
      </c>
      <c r="Y3042" s="11">
        <v>651</v>
      </c>
      <c r="Z3042" s="11">
        <v>6</v>
      </c>
      <c r="AA3042" s="11">
        <v>1.85</v>
      </c>
      <c r="AB3042" s="11">
        <v>0</v>
      </c>
      <c r="AC3042" s="11"/>
      <c r="AD3042" s="11" t="str">
        <f>IFERROR(__xludf.DUMMYFUNCTION("""COMPUTED_VALUE"""),"Sam Reid")</f>
        <v>Sam Reid</v>
      </c>
      <c r="AE3042" s="11"/>
    </row>
    <row r="3043" customHeight="1" spans="1:31">
      <c r="A3043" s="12" t="s">
        <v>30</v>
      </c>
      <c r="B3043" s="12" t="s">
        <v>10326</v>
      </c>
      <c r="C3043" s="12">
        <v>48</v>
      </c>
      <c r="D3043" s="12">
        <v>92</v>
      </c>
      <c r="E3043" s="12">
        <v>0</v>
      </c>
      <c r="F3043" s="12">
        <v>842</v>
      </c>
      <c r="G3043" s="12">
        <v>1000</v>
      </c>
      <c r="H3043" s="16"/>
      <c r="I3043" s="12" t="s">
        <v>1672</v>
      </c>
      <c r="J3043" s="12" t="s">
        <v>5798</v>
      </c>
      <c r="K3043" s="12" t="s">
        <v>14556</v>
      </c>
      <c r="L3043" s="12" t="s">
        <v>10629</v>
      </c>
      <c r="M3043" s="12" t="s">
        <v>14557</v>
      </c>
      <c r="N3043" s="12">
        <v>36559</v>
      </c>
      <c r="O3043" s="12">
        <v>3931</v>
      </c>
      <c r="P3043" s="12">
        <v>0</v>
      </c>
      <c r="Q3043" s="12" t="s">
        <v>14558</v>
      </c>
      <c r="R3043" s="15" t="s">
        <v>14559</v>
      </c>
      <c r="S3043" s="12">
        <v>131</v>
      </c>
      <c r="T3043" s="12" t="s">
        <v>39</v>
      </c>
      <c r="U3043" s="12" t="s">
        <v>40</v>
      </c>
      <c r="V3043" s="12" t="s">
        <v>586</v>
      </c>
      <c r="W3043" s="12">
        <v>11000000</v>
      </c>
      <c r="X3043" s="12">
        <v>1981</v>
      </c>
      <c r="Y3043" s="12">
        <v>898</v>
      </c>
      <c r="Z3043" s="12">
        <v>6.9</v>
      </c>
      <c r="AA3043" s="12">
        <v>2.35</v>
      </c>
      <c r="AB3043" s="12">
        <v>0</v>
      </c>
      <c r="AC3043" s="12"/>
      <c r="AD3043" s="12" t="str">
        <f>IFERROR(__xludf.DUMMYFUNCTION("""COMPUTED_VALUE"""),"Poppy Montgomery")</f>
        <v>Poppy Montgomery</v>
      </c>
      <c r="AE3043" s="12"/>
    </row>
    <row r="3044" customHeight="1" spans="1:31">
      <c r="A3044" s="11" t="s">
        <v>30</v>
      </c>
      <c r="B3044" s="11" t="s">
        <v>12877</v>
      </c>
      <c r="C3044" s="11">
        <v>109</v>
      </c>
      <c r="D3044" s="11">
        <v>110</v>
      </c>
      <c r="E3044" s="11">
        <v>107</v>
      </c>
      <c r="F3044" s="11">
        <v>549</v>
      </c>
      <c r="G3044" s="11">
        <v>664</v>
      </c>
      <c r="H3044" s="11">
        <v>37766350</v>
      </c>
      <c r="I3044" s="11" t="s">
        <v>3410</v>
      </c>
      <c r="J3044" s="11" t="s">
        <v>4505</v>
      </c>
      <c r="K3044" s="11" t="s">
        <v>14560</v>
      </c>
      <c r="L3044" s="11" t="s">
        <v>3078</v>
      </c>
      <c r="M3044" s="11" t="s">
        <v>14561</v>
      </c>
      <c r="N3044" s="11">
        <v>19440</v>
      </c>
      <c r="O3044" s="11">
        <v>3376</v>
      </c>
      <c r="P3044" s="11">
        <v>5</v>
      </c>
      <c r="Q3044" s="11" t="s">
        <v>14562</v>
      </c>
      <c r="R3044" s="14" t="s">
        <v>14563</v>
      </c>
      <c r="S3044" s="11">
        <v>56</v>
      </c>
      <c r="T3044" s="11" t="s">
        <v>39</v>
      </c>
      <c r="U3044" s="11" t="s">
        <v>40</v>
      </c>
      <c r="V3044" s="11" t="s">
        <v>41</v>
      </c>
      <c r="W3044" s="11">
        <v>11000000</v>
      </c>
      <c r="X3044" s="11">
        <v>2008</v>
      </c>
      <c r="Y3044" s="11">
        <v>551</v>
      </c>
      <c r="Z3044" s="11">
        <v>7.3</v>
      </c>
      <c r="AA3044" s="11">
        <v>2.35</v>
      </c>
      <c r="AB3044" s="11">
        <v>0</v>
      </c>
      <c r="AC3044" s="11"/>
      <c r="AD3044" s="11" t="str">
        <f>IFERROR(__xludf.DUMMYFUNCTION("""COMPUTED_VALUE"""),"Ulrich Tukur")</f>
        <v>Ulrich Tukur</v>
      </c>
      <c r="AE3044" s="11"/>
    </row>
    <row r="3045" customHeight="1" spans="1:31">
      <c r="A3045" s="12" t="s">
        <v>30</v>
      </c>
      <c r="B3045" s="12" t="s">
        <v>14564</v>
      </c>
      <c r="C3045" s="12">
        <v>62</v>
      </c>
      <c r="D3045" s="12">
        <v>86</v>
      </c>
      <c r="E3045" s="12">
        <v>5</v>
      </c>
      <c r="F3045" s="12">
        <v>532</v>
      </c>
      <c r="G3045" s="12">
        <v>584</v>
      </c>
      <c r="H3045" s="12">
        <v>23978402</v>
      </c>
      <c r="I3045" s="12" t="s">
        <v>1009</v>
      </c>
      <c r="J3045" s="12" t="s">
        <v>3555</v>
      </c>
      <c r="K3045" s="12" t="s">
        <v>3729</v>
      </c>
      <c r="L3045" s="12" t="s">
        <v>226</v>
      </c>
      <c r="M3045" s="12" t="s">
        <v>14565</v>
      </c>
      <c r="N3045" s="12">
        <v>10966</v>
      </c>
      <c r="O3045" s="12">
        <v>3850</v>
      </c>
      <c r="P3045" s="12">
        <v>1</v>
      </c>
      <c r="Q3045" s="12" t="s">
        <v>14566</v>
      </c>
      <c r="R3045" s="15" t="s">
        <v>14567</v>
      </c>
      <c r="S3045" s="12">
        <v>100</v>
      </c>
      <c r="T3045" s="12" t="s">
        <v>39</v>
      </c>
      <c r="U3045" s="12" t="s">
        <v>40</v>
      </c>
      <c r="V3045" s="12" t="s">
        <v>41</v>
      </c>
      <c r="W3045" s="12">
        <v>11000000</v>
      </c>
      <c r="X3045" s="12">
        <v>2001</v>
      </c>
      <c r="Y3045" s="12">
        <v>580</v>
      </c>
      <c r="Z3045" s="12">
        <v>4.6</v>
      </c>
      <c r="AA3045" s="12">
        <v>1.85</v>
      </c>
      <c r="AB3045" s="12">
        <v>365</v>
      </c>
      <c r="AC3045" s="12"/>
      <c r="AD3045" s="12" t="str">
        <f>IFERROR(__xludf.DUMMYFUNCTION("""COMPUTED_VALUE"""),"Burghart Klaußner")</f>
        <v>Burghart Klaußner</v>
      </c>
      <c r="AE3045" s="12"/>
    </row>
    <row r="3046" customHeight="1" spans="1:31">
      <c r="A3046" s="11" t="s">
        <v>30</v>
      </c>
      <c r="B3046" s="11" t="s">
        <v>2247</v>
      </c>
      <c r="C3046" s="11">
        <v>33</v>
      </c>
      <c r="D3046" s="11">
        <v>91</v>
      </c>
      <c r="E3046" s="11">
        <v>0</v>
      </c>
      <c r="F3046" s="11">
        <v>298</v>
      </c>
      <c r="G3046" s="11">
        <v>636</v>
      </c>
      <c r="H3046" s="11">
        <v>21370057</v>
      </c>
      <c r="I3046" s="11" t="s">
        <v>2126</v>
      </c>
      <c r="J3046" s="11" t="s">
        <v>14568</v>
      </c>
      <c r="K3046" s="11" t="s">
        <v>14569</v>
      </c>
      <c r="L3046" s="11" t="s">
        <v>3486</v>
      </c>
      <c r="M3046" s="11" t="s">
        <v>14570</v>
      </c>
      <c r="N3046" s="11">
        <v>9903</v>
      </c>
      <c r="O3046" s="11">
        <v>1852</v>
      </c>
      <c r="P3046" s="11">
        <v>0</v>
      </c>
      <c r="Q3046" s="11" t="s">
        <v>14571</v>
      </c>
      <c r="R3046" s="14" t="s">
        <v>14572</v>
      </c>
      <c r="S3046" s="11">
        <v>80</v>
      </c>
      <c r="T3046" s="11" t="s">
        <v>39</v>
      </c>
      <c r="U3046" s="11" t="s">
        <v>40</v>
      </c>
      <c r="V3046" s="11" t="s">
        <v>586</v>
      </c>
      <c r="W3046" s="11">
        <v>12000000</v>
      </c>
      <c r="X3046" s="11">
        <v>1992</v>
      </c>
      <c r="Y3046" s="11">
        <v>330</v>
      </c>
      <c r="Z3046" s="11">
        <v>6</v>
      </c>
      <c r="AA3046" s="11">
        <v>1.85</v>
      </c>
      <c r="AB3046" s="11">
        <v>541</v>
      </c>
      <c r="AC3046" s="11"/>
      <c r="AD3046" s="11" t="str">
        <f>IFERROR(__xludf.DUMMYFUNCTION("""COMPUTED_VALUE"""),"Leonie Benesch")</f>
        <v>Leonie Benesch</v>
      </c>
      <c r="AE3046" s="11"/>
    </row>
    <row r="3047" customHeight="1" spans="1:31">
      <c r="A3047" s="12" t="s">
        <v>30</v>
      </c>
      <c r="B3047" s="12" t="s">
        <v>6998</v>
      </c>
      <c r="C3047" s="12">
        <v>20</v>
      </c>
      <c r="D3047" s="12">
        <v>145</v>
      </c>
      <c r="E3047" s="12">
        <v>278</v>
      </c>
      <c r="F3047" s="12">
        <v>279</v>
      </c>
      <c r="G3047" s="12">
        <v>13000</v>
      </c>
      <c r="H3047" s="16"/>
      <c r="I3047" s="12" t="s">
        <v>3410</v>
      </c>
      <c r="J3047" s="12" t="s">
        <v>1785</v>
      </c>
      <c r="K3047" s="12" t="s">
        <v>3283</v>
      </c>
      <c r="L3047" s="12" t="s">
        <v>5807</v>
      </c>
      <c r="M3047" s="12" t="s">
        <v>14573</v>
      </c>
      <c r="N3047" s="12">
        <v>5561</v>
      </c>
      <c r="O3047" s="12">
        <v>14735</v>
      </c>
      <c r="P3047" s="12">
        <v>2</v>
      </c>
      <c r="Q3047" s="12" t="s">
        <v>14574</v>
      </c>
      <c r="R3047" s="15" t="s">
        <v>14575</v>
      </c>
      <c r="S3047" s="12">
        <v>35</v>
      </c>
      <c r="T3047" s="12" t="s">
        <v>39</v>
      </c>
      <c r="U3047" s="12" t="s">
        <v>40</v>
      </c>
      <c r="V3047" s="12" t="s">
        <v>96</v>
      </c>
      <c r="W3047" s="12">
        <v>11000000</v>
      </c>
      <c r="X3047" s="12">
        <v>1978</v>
      </c>
      <c r="Y3047" s="12">
        <v>595</v>
      </c>
      <c r="Z3047" s="12">
        <v>6.4</v>
      </c>
      <c r="AA3047" s="12">
        <v>1.85</v>
      </c>
      <c r="AB3047" s="12">
        <v>745</v>
      </c>
      <c r="AC3047" s="12"/>
      <c r="AD3047" s="12" t="str">
        <f>IFERROR(__xludf.DUMMYFUNCTION("""COMPUTED_VALUE"""),"Anna Harr")</f>
        <v>Anna Harr</v>
      </c>
      <c r="AE3047" s="12"/>
    </row>
    <row r="3048" customHeight="1" spans="1:31">
      <c r="A3048" s="11" t="s">
        <v>30</v>
      </c>
      <c r="B3048" s="11" t="s">
        <v>7405</v>
      </c>
      <c r="C3048" s="11">
        <v>52</v>
      </c>
      <c r="D3048" s="11">
        <v>100</v>
      </c>
      <c r="E3048" s="11">
        <v>365</v>
      </c>
      <c r="F3048" s="11">
        <v>225</v>
      </c>
      <c r="G3048" s="11">
        <v>425</v>
      </c>
      <c r="H3048" s="11">
        <v>4884663</v>
      </c>
      <c r="I3048" s="11" t="s">
        <v>10223</v>
      </c>
      <c r="J3048" s="11" t="s">
        <v>14576</v>
      </c>
      <c r="K3048" s="11" t="s">
        <v>14577</v>
      </c>
      <c r="L3048" s="11" t="s">
        <v>6238</v>
      </c>
      <c r="M3048" s="11" t="s">
        <v>14578</v>
      </c>
      <c r="N3048" s="11">
        <v>5187</v>
      </c>
      <c r="O3048" s="11">
        <v>1661</v>
      </c>
      <c r="P3048" s="11">
        <v>0</v>
      </c>
      <c r="Q3048" s="11" t="s">
        <v>14579</v>
      </c>
      <c r="R3048" s="14" t="s">
        <v>14580</v>
      </c>
      <c r="S3048" s="11">
        <v>64</v>
      </c>
      <c r="T3048" s="11" t="s">
        <v>39</v>
      </c>
      <c r="U3048" s="11" t="s">
        <v>40</v>
      </c>
      <c r="V3048" s="11" t="s">
        <v>96</v>
      </c>
      <c r="W3048" s="11">
        <v>12000000</v>
      </c>
      <c r="X3048" s="11">
        <v>1986</v>
      </c>
      <c r="Y3048" s="11">
        <v>394</v>
      </c>
      <c r="Z3048" s="11">
        <v>5.5</v>
      </c>
      <c r="AA3048" s="11">
        <v>2.35</v>
      </c>
      <c r="AB3048" s="11">
        <v>902</v>
      </c>
      <c r="AC3048" s="11"/>
      <c r="AD3048" s="11" t="str">
        <f>IFERROR(__xludf.DUMMYFUNCTION("""COMPUTED_VALUE"""),"James Cullen Bressack")</f>
        <v>James Cullen Bressack</v>
      </c>
      <c r="AE3048" s="11"/>
    </row>
    <row r="3049" customHeight="1" spans="1:31">
      <c r="A3049" s="12" t="s">
        <v>30</v>
      </c>
      <c r="B3049" s="12" t="s">
        <v>14581</v>
      </c>
      <c r="C3049" s="12">
        <v>351</v>
      </c>
      <c r="D3049" s="12">
        <v>111</v>
      </c>
      <c r="E3049" s="12">
        <v>34</v>
      </c>
      <c r="F3049" s="12">
        <v>54</v>
      </c>
      <c r="G3049" s="12">
        <v>838</v>
      </c>
      <c r="H3049" s="12">
        <v>38317535</v>
      </c>
      <c r="I3049" s="12" t="s">
        <v>214</v>
      </c>
      <c r="J3049" s="12" t="s">
        <v>405</v>
      </c>
      <c r="K3049" s="12" t="s">
        <v>14582</v>
      </c>
      <c r="L3049" s="12" t="s">
        <v>14583</v>
      </c>
      <c r="M3049" s="12" t="s">
        <v>14584</v>
      </c>
      <c r="N3049" s="12">
        <v>73249</v>
      </c>
      <c r="O3049" s="12">
        <v>995</v>
      </c>
      <c r="P3049" s="12">
        <v>1</v>
      </c>
      <c r="Q3049" s="12" t="s">
        <v>14585</v>
      </c>
      <c r="R3049" s="15" t="s">
        <v>14586</v>
      </c>
      <c r="S3049" s="12">
        <v>212</v>
      </c>
      <c r="T3049" s="12" t="s">
        <v>39</v>
      </c>
      <c r="U3049" s="12" t="s">
        <v>58</v>
      </c>
      <c r="V3049" s="12" t="s">
        <v>41</v>
      </c>
      <c r="W3049" s="12">
        <v>11000000</v>
      </c>
      <c r="X3049" s="12">
        <v>2015</v>
      </c>
      <c r="Y3049" s="12">
        <v>55</v>
      </c>
      <c r="Z3049" s="12">
        <v>7.5</v>
      </c>
      <c r="AA3049" s="12">
        <v>1.85</v>
      </c>
      <c r="AB3049" s="12">
        <v>36000</v>
      </c>
      <c r="AC3049" s="12"/>
      <c r="AD3049" s="12" t="str">
        <f>IFERROR(__xludf.DUMMYFUNCTION("""COMPUTED_VALUE"""),"Nick Cassavetes")</f>
        <v>Nick Cassavetes</v>
      </c>
      <c r="AE3049" s="12"/>
    </row>
    <row r="3050" customHeight="1" spans="1:31">
      <c r="A3050" s="11" t="s">
        <v>30</v>
      </c>
      <c r="B3050" s="11" t="s">
        <v>3728</v>
      </c>
      <c r="C3050" s="11">
        <v>124</v>
      </c>
      <c r="D3050" s="11">
        <v>184</v>
      </c>
      <c r="E3050" s="11">
        <v>0</v>
      </c>
      <c r="F3050" s="11">
        <v>111</v>
      </c>
      <c r="G3050" s="11">
        <v>385</v>
      </c>
      <c r="H3050" s="13"/>
      <c r="I3050" s="11" t="s">
        <v>14587</v>
      </c>
      <c r="J3050" s="11" t="s">
        <v>9259</v>
      </c>
      <c r="K3050" s="11" t="s">
        <v>9050</v>
      </c>
      <c r="L3050" s="11" t="s">
        <v>14588</v>
      </c>
      <c r="M3050" s="11" t="s">
        <v>14589</v>
      </c>
      <c r="N3050" s="11">
        <v>101627</v>
      </c>
      <c r="O3050" s="11">
        <v>1104</v>
      </c>
      <c r="P3050" s="11">
        <v>0</v>
      </c>
      <c r="Q3050" s="11" t="s">
        <v>14590</v>
      </c>
      <c r="R3050" s="14" t="s">
        <v>14591</v>
      </c>
      <c r="S3050" s="11">
        <v>369</v>
      </c>
      <c r="T3050" s="11" t="s">
        <v>39</v>
      </c>
      <c r="U3050" s="11" t="s">
        <v>58</v>
      </c>
      <c r="V3050" s="11" t="s">
        <v>96</v>
      </c>
      <c r="W3050" s="11">
        <v>11000000</v>
      </c>
      <c r="X3050" s="11">
        <v>1975</v>
      </c>
      <c r="Y3050" s="11">
        <v>293</v>
      </c>
      <c r="Z3050" s="11">
        <v>8.1</v>
      </c>
      <c r="AA3050" s="11">
        <v>1.66</v>
      </c>
      <c r="AB3050" s="11">
        <v>0</v>
      </c>
      <c r="AC3050" s="11"/>
      <c r="AD3050" s="11" t="str">
        <f>IFERROR(__xludf.DUMMYFUNCTION("""COMPUTED_VALUE"""),"James Hetfield")</f>
        <v>James Hetfield</v>
      </c>
      <c r="AE3050" s="11"/>
    </row>
    <row r="3051" customHeight="1" spans="1:31">
      <c r="A3051" s="12" t="s">
        <v>30</v>
      </c>
      <c r="B3051" s="12" t="s">
        <v>14592</v>
      </c>
      <c r="C3051" s="12">
        <v>37</v>
      </c>
      <c r="D3051" s="12">
        <v>89</v>
      </c>
      <c r="E3051" s="12">
        <v>2</v>
      </c>
      <c r="F3051" s="12">
        <v>651</v>
      </c>
      <c r="G3051" s="12">
        <v>799</v>
      </c>
      <c r="H3051" s="12">
        <v>13903262</v>
      </c>
      <c r="I3051" s="12" t="s">
        <v>3914</v>
      </c>
      <c r="J3051" s="12" t="s">
        <v>12758</v>
      </c>
      <c r="K3051" s="12" t="s">
        <v>10595</v>
      </c>
      <c r="L3051" s="12" t="s">
        <v>5043</v>
      </c>
      <c r="M3051" s="12" t="s">
        <v>14593</v>
      </c>
      <c r="N3051" s="12">
        <v>14656</v>
      </c>
      <c r="O3051" s="12">
        <v>4291</v>
      </c>
      <c r="P3051" s="12">
        <v>0</v>
      </c>
      <c r="Q3051" s="12" t="s">
        <v>14594</v>
      </c>
      <c r="R3051" s="15" t="s">
        <v>14595</v>
      </c>
      <c r="S3051" s="12">
        <v>90</v>
      </c>
      <c r="T3051" s="12" t="s">
        <v>39</v>
      </c>
      <c r="U3051" s="12" t="s">
        <v>40</v>
      </c>
      <c r="V3051" s="12" t="s">
        <v>41</v>
      </c>
      <c r="W3051" s="12">
        <v>11000000</v>
      </c>
      <c r="X3051" s="12">
        <v>2001</v>
      </c>
      <c r="Y3051" s="12">
        <v>711</v>
      </c>
      <c r="Z3051" s="12">
        <v>6.3</v>
      </c>
      <c r="AA3051" s="12">
        <v>1.85</v>
      </c>
      <c r="AB3051" s="12">
        <v>0</v>
      </c>
      <c r="AC3051" s="12"/>
      <c r="AD3051" s="12" t="str">
        <f>IFERROR(__xludf.DUMMYFUNCTION("""COMPUTED_VALUE"""),"Mackenzie Gray")</f>
        <v>Mackenzie Gray</v>
      </c>
      <c r="AE3051" s="12"/>
    </row>
    <row r="3052" customHeight="1" spans="1:31">
      <c r="A3052" s="11" t="s">
        <v>30</v>
      </c>
      <c r="B3052" s="11" t="s">
        <v>6103</v>
      </c>
      <c r="C3052" s="11">
        <v>58</v>
      </c>
      <c r="D3052" s="11">
        <v>84</v>
      </c>
      <c r="E3052" s="11">
        <v>71</v>
      </c>
      <c r="F3052" s="11">
        <v>553</v>
      </c>
      <c r="G3052" s="11">
        <v>8000</v>
      </c>
      <c r="H3052" s="11">
        <v>13592872</v>
      </c>
      <c r="I3052" s="11" t="s">
        <v>1672</v>
      </c>
      <c r="J3052" s="11" t="s">
        <v>1249</v>
      </c>
      <c r="K3052" s="11" t="s">
        <v>3883</v>
      </c>
      <c r="L3052" s="11" t="s">
        <v>2940</v>
      </c>
      <c r="M3052" s="11" t="s">
        <v>14596</v>
      </c>
      <c r="N3052" s="11">
        <v>10777</v>
      </c>
      <c r="O3052" s="11">
        <v>10982</v>
      </c>
      <c r="P3052" s="11">
        <v>1</v>
      </c>
      <c r="Q3052" s="11" t="s">
        <v>14597</v>
      </c>
      <c r="R3052" s="14" t="s">
        <v>14598</v>
      </c>
      <c r="S3052" s="11">
        <v>79</v>
      </c>
      <c r="T3052" s="11" t="s">
        <v>39</v>
      </c>
      <c r="U3052" s="11" t="s">
        <v>40</v>
      </c>
      <c r="V3052" s="11" t="s">
        <v>586</v>
      </c>
      <c r="W3052" s="11">
        <v>11000000</v>
      </c>
      <c r="X3052" s="11">
        <v>2000</v>
      </c>
      <c r="Y3052" s="11">
        <v>723</v>
      </c>
      <c r="Z3052" s="11">
        <v>5.1</v>
      </c>
      <c r="AA3052" s="11">
        <v>1.85</v>
      </c>
      <c r="AB3052" s="11">
        <v>671</v>
      </c>
      <c r="AC3052" s="11"/>
      <c r="AD3052" s="11" t="str">
        <f>IFERROR(__xludf.DUMMYFUNCTION("""COMPUTED_VALUE"""),"Lars Ulrich")</f>
        <v>Lars Ulrich</v>
      </c>
      <c r="AE3052" s="11"/>
    </row>
    <row r="3053" customHeight="1" spans="1:31">
      <c r="A3053" s="12" t="s">
        <v>30</v>
      </c>
      <c r="B3053" s="12" t="s">
        <v>14599</v>
      </c>
      <c r="C3053" s="12">
        <v>175</v>
      </c>
      <c r="D3053" s="12">
        <v>98</v>
      </c>
      <c r="E3053" s="12">
        <v>0</v>
      </c>
      <c r="F3053" s="12">
        <v>123</v>
      </c>
      <c r="G3053" s="12">
        <v>358</v>
      </c>
      <c r="H3053" s="12">
        <v>18381787</v>
      </c>
      <c r="I3053" s="12" t="s">
        <v>2528</v>
      </c>
      <c r="J3053" s="12" t="s">
        <v>3532</v>
      </c>
      <c r="K3053" s="12" t="s">
        <v>14600</v>
      </c>
      <c r="L3053" s="12" t="s">
        <v>14601</v>
      </c>
      <c r="M3053" s="12" t="s">
        <v>14602</v>
      </c>
      <c r="N3053" s="12">
        <v>15684</v>
      </c>
      <c r="O3053" s="12">
        <v>1114</v>
      </c>
      <c r="P3053" s="12">
        <v>4</v>
      </c>
      <c r="Q3053" s="12" t="s">
        <v>14603</v>
      </c>
      <c r="R3053" s="15" t="s">
        <v>14604</v>
      </c>
      <c r="S3053" s="12">
        <v>126</v>
      </c>
      <c r="T3053" s="12" t="s">
        <v>39</v>
      </c>
      <c r="U3053" s="12" t="s">
        <v>58</v>
      </c>
      <c r="V3053" s="12" t="s">
        <v>41</v>
      </c>
      <c r="W3053" s="12">
        <v>11000000</v>
      </c>
      <c r="X3053" s="12">
        <v>2012</v>
      </c>
      <c r="Y3053" s="12">
        <v>156</v>
      </c>
      <c r="Z3053" s="12">
        <v>6.8</v>
      </c>
      <c r="AA3053" s="12">
        <v>2.35</v>
      </c>
      <c r="AB3053" s="12">
        <v>13000</v>
      </c>
      <c r="AC3053" s="12"/>
      <c r="AD3053" s="12" t="str">
        <f>IFERROR(__xludf.DUMMYFUNCTION("""COMPUTED_VALUE"""),"Nora von Waldstätten")</f>
        <v>Nora von Waldstätten</v>
      </c>
      <c r="AE3053" s="12"/>
    </row>
    <row r="3054" customHeight="1" spans="1:31">
      <c r="A3054" s="11" t="s">
        <v>30</v>
      </c>
      <c r="B3054" s="11" t="s">
        <v>14605</v>
      </c>
      <c r="C3054" s="11">
        <v>75</v>
      </c>
      <c r="D3054" s="11">
        <v>95</v>
      </c>
      <c r="E3054" s="11">
        <v>5</v>
      </c>
      <c r="F3054" s="11">
        <v>443</v>
      </c>
      <c r="G3054" s="11">
        <v>1000</v>
      </c>
      <c r="H3054" s="11">
        <v>13558739</v>
      </c>
      <c r="I3054" s="11" t="s">
        <v>1672</v>
      </c>
      <c r="J3054" s="11" t="s">
        <v>7580</v>
      </c>
      <c r="K3054" s="11" t="s">
        <v>1842</v>
      </c>
      <c r="L3054" s="11" t="s">
        <v>2558</v>
      </c>
      <c r="M3054" s="11" t="s">
        <v>14606</v>
      </c>
      <c r="N3054" s="11">
        <v>15427</v>
      </c>
      <c r="O3054" s="11">
        <v>2729</v>
      </c>
      <c r="P3054" s="11">
        <v>0</v>
      </c>
      <c r="Q3054" s="11" t="s">
        <v>14607</v>
      </c>
      <c r="R3054" s="14" t="s">
        <v>14608</v>
      </c>
      <c r="S3054" s="11">
        <v>121</v>
      </c>
      <c r="T3054" s="11" t="s">
        <v>39</v>
      </c>
      <c r="U3054" s="11" t="s">
        <v>40</v>
      </c>
      <c r="V3054" s="11" t="s">
        <v>586</v>
      </c>
      <c r="W3054" s="11">
        <v>11000000</v>
      </c>
      <c r="X3054" s="11">
        <v>2001</v>
      </c>
      <c r="Y3054" s="11">
        <v>660</v>
      </c>
      <c r="Z3054" s="11">
        <v>5.3</v>
      </c>
      <c r="AA3054" s="11">
        <v>1.85</v>
      </c>
      <c r="AB3054" s="11">
        <v>449</v>
      </c>
      <c r="AC3054" s="11"/>
      <c r="AD3054" s="11" t="str">
        <f>IFERROR(__xludf.DUMMYFUNCTION("""COMPUTED_VALUE"""),"Katharina Schüttler")</f>
        <v>Katharina Schüttler</v>
      </c>
      <c r="AE3054" s="11"/>
    </row>
    <row r="3055" customHeight="1" spans="1:31">
      <c r="A3055" s="12" t="s">
        <v>30</v>
      </c>
      <c r="B3055" s="12" t="s">
        <v>9797</v>
      </c>
      <c r="C3055" s="12">
        <v>161</v>
      </c>
      <c r="D3055" s="12">
        <v>100</v>
      </c>
      <c r="E3055" s="12">
        <v>0</v>
      </c>
      <c r="F3055" s="12">
        <v>303</v>
      </c>
      <c r="G3055" s="12">
        <v>11000</v>
      </c>
      <c r="H3055" s="12">
        <v>13103828</v>
      </c>
      <c r="I3055" s="12" t="s">
        <v>2126</v>
      </c>
      <c r="J3055" s="12" t="s">
        <v>661</v>
      </c>
      <c r="K3055" s="12" t="s">
        <v>6361</v>
      </c>
      <c r="L3055" s="12" t="s">
        <v>4890</v>
      </c>
      <c r="M3055" s="12" t="s">
        <v>14609</v>
      </c>
      <c r="N3055" s="12">
        <v>59982</v>
      </c>
      <c r="O3055" s="12">
        <v>12237</v>
      </c>
      <c r="P3055" s="12">
        <v>0</v>
      </c>
      <c r="Q3055" s="12" t="s">
        <v>14610</v>
      </c>
      <c r="R3055" s="15" t="s">
        <v>14611</v>
      </c>
      <c r="S3055" s="12">
        <v>463</v>
      </c>
      <c r="T3055" s="12" t="s">
        <v>39</v>
      </c>
      <c r="U3055" s="12" t="s">
        <v>40</v>
      </c>
      <c r="V3055" s="12" t="s">
        <v>586</v>
      </c>
      <c r="W3055" s="12">
        <v>11000000</v>
      </c>
      <c r="X3055" s="12">
        <v>2001</v>
      </c>
      <c r="Y3055" s="12">
        <v>472</v>
      </c>
      <c r="Z3055" s="12">
        <v>7.3</v>
      </c>
      <c r="AA3055" s="12">
        <v>1.85</v>
      </c>
      <c r="AB3055" s="12">
        <v>5000</v>
      </c>
      <c r="AC3055" s="12"/>
      <c r="AD3055" s="12" t="str">
        <f>IFERROR(__xludf.DUMMYFUNCTION("""COMPUTED_VALUE"""),"Takuya Kimura")</f>
        <v>Takuya Kimura</v>
      </c>
      <c r="AE3055" s="12"/>
    </row>
    <row r="3056" customHeight="1" spans="1:31">
      <c r="A3056" s="11" t="s">
        <v>30</v>
      </c>
      <c r="B3056" s="11" t="s">
        <v>14612</v>
      </c>
      <c r="C3056" s="11">
        <v>203</v>
      </c>
      <c r="D3056" s="11">
        <v>109</v>
      </c>
      <c r="E3056" s="11">
        <v>64</v>
      </c>
      <c r="F3056" s="11">
        <v>553</v>
      </c>
      <c r="G3056" s="11">
        <v>16000</v>
      </c>
      <c r="H3056" s="11">
        <v>33305037</v>
      </c>
      <c r="I3056" s="11" t="s">
        <v>5941</v>
      </c>
      <c r="J3056" s="11" t="s">
        <v>315</v>
      </c>
      <c r="K3056" s="11" t="s">
        <v>3224</v>
      </c>
      <c r="L3056" s="11" t="s">
        <v>8937</v>
      </c>
      <c r="M3056" s="11" t="s">
        <v>14613</v>
      </c>
      <c r="N3056" s="11">
        <v>33856</v>
      </c>
      <c r="O3056" s="11">
        <v>17866</v>
      </c>
      <c r="P3056" s="11">
        <v>2</v>
      </c>
      <c r="Q3056" s="11" t="s">
        <v>14614</v>
      </c>
      <c r="R3056" s="14" t="s">
        <v>14615</v>
      </c>
      <c r="S3056" s="11">
        <v>147</v>
      </c>
      <c r="T3056" s="11" t="s">
        <v>39</v>
      </c>
      <c r="U3056" s="11" t="s">
        <v>58</v>
      </c>
      <c r="V3056" s="11" t="s">
        <v>41</v>
      </c>
      <c r="W3056" s="11">
        <v>11000000</v>
      </c>
      <c r="X3056" s="11">
        <v>2015</v>
      </c>
      <c r="Y3056" s="11">
        <v>638</v>
      </c>
      <c r="Z3056" s="11">
        <v>7.3</v>
      </c>
      <c r="AA3056" s="11">
        <v>2.35</v>
      </c>
      <c r="AB3056" s="11">
        <v>34000</v>
      </c>
      <c r="AC3056" s="11"/>
      <c r="AD3056" s="11" t="str">
        <f>IFERROR(__xludf.DUMMYFUNCTION("""COMPUTED_VALUE"""),"Simón Andreu")</f>
        <v>Simón Andreu</v>
      </c>
      <c r="AE3056" s="11"/>
    </row>
    <row r="3057" customHeight="1" spans="1:31">
      <c r="A3057" s="12" t="s">
        <v>748</v>
      </c>
      <c r="B3057" s="12" t="s">
        <v>1105</v>
      </c>
      <c r="C3057" s="12">
        <v>188</v>
      </c>
      <c r="D3057" s="12">
        <v>118</v>
      </c>
      <c r="E3057" s="12">
        <v>386</v>
      </c>
      <c r="F3057" s="12">
        <v>812</v>
      </c>
      <c r="G3057" s="12">
        <v>14000</v>
      </c>
      <c r="H3057" s="12">
        <v>10214647</v>
      </c>
      <c r="I3057" s="12" t="s">
        <v>1544</v>
      </c>
      <c r="J3057" s="12" t="s">
        <v>228</v>
      </c>
      <c r="K3057" s="12" t="s">
        <v>430</v>
      </c>
      <c r="L3057" s="12" t="s">
        <v>4640</v>
      </c>
      <c r="M3057" s="12" t="s">
        <v>14616</v>
      </c>
      <c r="N3057" s="12">
        <v>42689</v>
      </c>
      <c r="O3057" s="12">
        <v>17490</v>
      </c>
      <c r="P3057" s="12">
        <v>0</v>
      </c>
      <c r="Q3057" s="12" t="s">
        <v>14617</v>
      </c>
      <c r="R3057" s="15" t="s">
        <v>14618</v>
      </c>
      <c r="S3057" s="12">
        <v>204</v>
      </c>
      <c r="T3057" s="12" t="s">
        <v>39</v>
      </c>
      <c r="U3057" s="12" t="s">
        <v>40</v>
      </c>
      <c r="V3057" s="12" t="s">
        <v>586</v>
      </c>
      <c r="W3057" s="12">
        <v>11000000</v>
      </c>
      <c r="X3057" s="12">
        <v>2004</v>
      </c>
      <c r="Y3057" s="12">
        <v>1000</v>
      </c>
      <c r="Z3057" s="12">
        <v>7.1</v>
      </c>
      <c r="AA3057" s="12">
        <v>2.35</v>
      </c>
      <c r="AB3057" s="12">
        <v>0</v>
      </c>
      <c r="AC3057" s="12"/>
      <c r="AD3057" s="12" t="str">
        <f>IFERROR(__xludf.DUMMYFUNCTION("""COMPUTED_VALUE"""),"Shawn Yue")</f>
        <v>Shawn Yue</v>
      </c>
      <c r="AE3057" s="12"/>
    </row>
    <row r="3058" customHeight="1" spans="1:31">
      <c r="A3058" s="11" t="s">
        <v>30</v>
      </c>
      <c r="B3058" s="11" t="s">
        <v>80</v>
      </c>
      <c r="C3058" s="11">
        <v>221</v>
      </c>
      <c r="D3058" s="11">
        <v>88</v>
      </c>
      <c r="E3058" s="11">
        <v>0</v>
      </c>
      <c r="F3058" s="11">
        <v>795</v>
      </c>
      <c r="G3058" s="11">
        <v>901</v>
      </c>
      <c r="H3058" s="11">
        <v>11501093</v>
      </c>
      <c r="I3058" s="11" t="s">
        <v>883</v>
      </c>
      <c r="J3058" s="11" t="s">
        <v>14619</v>
      </c>
      <c r="K3058" s="11" t="s">
        <v>3179</v>
      </c>
      <c r="L3058" s="11" t="s">
        <v>9403</v>
      </c>
      <c r="M3058" s="11" t="s">
        <v>14620</v>
      </c>
      <c r="N3058" s="11">
        <v>128850</v>
      </c>
      <c r="O3058" s="11">
        <v>3913</v>
      </c>
      <c r="P3058" s="11">
        <v>0</v>
      </c>
      <c r="Q3058" s="11" t="s">
        <v>14621</v>
      </c>
      <c r="R3058" s="14" t="s">
        <v>14622</v>
      </c>
      <c r="S3058" s="11">
        <v>604</v>
      </c>
      <c r="T3058" s="11" t="s">
        <v>39</v>
      </c>
      <c r="U3058" s="11" t="s">
        <v>40</v>
      </c>
      <c r="V3058" s="11" t="s">
        <v>586</v>
      </c>
      <c r="W3058" s="11">
        <v>13000000</v>
      </c>
      <c r="X3058" s="11">
        <v>1992</v>
      </c>
      <c r="Y3058" s="11">
        <v>888</v>
      </c>
      <c r="Z3058" s="11">
        <v>7.6</v>
      </c>
      <c r="AA3058" s="11">
        <v>1.85</v>
      </c>
      <c r="AB3058" s="11">
        <v>10000</v>
      </c>
      <c r="AC3058" s="11"/>
      <c r="AD3058" s="11" t="str">
        <f>IFERROR(__xludf.DUMMYFUNCTION("""COMPUTED_VALUE"""),"Mark Moses")</f>
        <v>Mark Moses</v>
      </c>
      <c r="AE3058" s="11"/>
    </row>
    <row r="3059" customHeight="1" spans="1:31">
      <c r="A3059" s="12" t="s">
        <v>30</v>
      </c>
      <c r="B3059" s="12" t="s">
        <v>14623</v>
      </c>
      <c r="C3059" s="12">
        <v>66</v>
      </c>
      <c r="D3059" s="12">
        <v>86</v>
      </c>
      <c r="E3059" s="12">
        <v>4</v>
      </c>
      <c r="F3059" s="12">
        <v>424</v>
      </c>
      <c r="G3059" s="12">
        <v>960</v>
      </c>
      <c r="H3059" s="12">
        <v>4814244</v>
      </c>
      <c r="I3059" s="12" t="s">
        <v>1681</v>
      </c>
      <c r="J3059" s="12" t="s">
        <v>751</v>
      </c>
      <c r="K3059" s="12" t="s">
        <v>9476</v>
      </c>
      <c r="L3059" s="12" t="s">
        <v>14624</v>
      </c>
      <c r="M3059" s="12" t="s">
        <v>14625</v>
      </c>
      <c r="N3059" s="12">
        <v>12437</v>
      </c>
      <c r="O3059" s="12">
        <v>2415</v>
      </c>
      <c r="P3059" s="12">
        <v>4</v>
      </c>
      <c r="Q3059" s="12" t="s">
        <v>14626</v>
      </c>
      <c r="R3059" s="15" t="s">
        <v>14627</v>
      </c>
      <c r="S3059" s="12">
        <v>107</v>
      </c>
      <c r="T3059" s="12" t="s">
        <v>39</v>
      </c>
      <c r="U3059" s="12" t="s">
        <v>269</v>
      </c>
      <c r="V3059" s="12" t="s">
        <v>586</v>
      </c>
      <c r="W3059" s="12">
        <v>11000000</v>
      </c>
      <c r="X3059" s="12">
        <v>2002</v>
      </c>
      <c r="Y3059" s="12">
        <v>448</v>
      </c>
      <c r="Z3059" s="12">
        <v>5.3</v>
      </c>
      <c r="AA3059" s="12">
        <v>1.85</v>
      </c>
      <c r="AB3059" s="12">
        <v>405</v>
      </c>
      <c r="AC3059" s="12"/>
      <c r="AD3059" s="12" t="str">
        <f>IFERROR(__xludf.DUMMYFUNCTION("""COMPUTED_VALUE"""),"Greg Nicotero")</f>
        <v>Greg Nicotero</v>
      </c>
      <c r="AE3059" s="12"/>
    </row>
    <row r="3060" customHeight="1" spans="1:31">
      <c r="A3060" s="11" t="s">
        <v>30</v>
      </c>
      <c r="B3060" s="11" t="s">
        <v>7636</v>
      </c>
      <c r="C3060" s="11">
        <v>80</v>
      </c>
      <c r="D3060" s="11">
        <v>118</v>
      </c>
      <c r="E3060" s="11">
        <v>529</v>
      </c>
      <c r="F3060" s="11">
        <v>472</v>
      </c>
      <c r="G3060" s="11">
        <v>40000</v>
      </c>
      <c r="H3060" s="11">
        <v>9170214</v>
      </c>
      <c r="I3060" s="11" t="s">
        <v>214</v>
      </c>
      <c r="J3060" s="11" t="s">
        <v>44</v>
      </c>
      <c r="K3060" s="11" t="s">
        <v>215</v>
      </c>
      <c r="L3060" s="11" t="s">
        <v>14628</v>
      </c>
      <c r="M3060" s="11" t="s">
        <v>14629</v>
      </c>
      <c r="N3060" s="11">
        <v>171882</v>
      </c>
      <c r="O3060" s="11">
        <v>69746</v>
      </c>
      <c r="P3060" s="11">
        <v>1</v>
      </c>
      <c r="Q3060" s="11" t="s">
        <v>14630</v>
      </c>
      <c r="R3060" s="14" t="s">
        <v>14631</v>
      </c>
      <c r="S3060" s="11">
        <v>292</v>
      </c>
      <c r="T3060" s="11" t="s">
        <v>39</v>
      </c>
      <c r="U3060" s="11" t="s">
        <v>40</v>
      </c>
      <c r="V3060" s="11" t="s">
        <v>41</v>
      </c>
      <c r="W3060" s="11">
        <v>11000000</v>
      </c>
      <c r="X3060" s="11">
        <v>1993</v>
      </c>
      <c r="Y3060" s="11">
        <v>29000</v>
      </c>
      <c r="Z3060" s="11">
        <v>7.8</v>
      </c>
      <c r="AA3060" s="11">
        <v>1.85</v>
      </c>
      <c r="AB3060" s="11">
        <v>14000</v>
      </c>
      <c r="AC3060" s="11"/>
      <c r="AD3060" s="11" t="str">
        <f>IFERROR(__xludf.DUMMYFUNCTION("""COMPUTED_VALUE"""),"John Amplas")</f>
        <v>John Amplas</v>
      </c>
      <c r="AE3060" s="11"/>
    </row>
    <row r="3061" customHeight="1" spans="1:31">
      <c r="A3061" s="12" t="s">
        <v>30</v>
      </c>
      <c r="B3061" s="12" t="s">
        <v>14632</v>
      </c>
      <c r="C3061" s="12">
        <v>25</v>
      </c>
      <c r="D3061" s="12">
        <v>125</v>
      </c>
      <c r="E3061" s="12">
        <v>10</v>
      </c>
      <c r="F3061" s="12">
        <v>109</v>
      </c>
      <c r="G3061" s="12">
        <v>866</v>
      </c>
      <c r="H3061" s="12">
        <v>4068087</v>
      </c>
      <c r="I3061" s="12" t="s">
        <v>5941</v>
      </c>
      <c r="J3061" s="12" t="s">
        <v>12117</v>
      </c>
      <c r="K3061" s="12" t="s">
        <v>14633</v>
      </c>
      <c r="L3061" s="12" t="s">
        <v>14634</v>
      </c>
      <c r="M3061" s="12" t="s">
        <v>14635</v>
      </c>
      <c r="N3061" s="12">
        <v>2164</v>
      </c>
      <c r="O3061" s="12">
        <v>1281</v>
      </c>
      <c r="P3061" s="12">
        <v>1</v>
      </c>
      <c r="Q3061" s="12" t="s">
        <v>14636</v>
      </c>
      <c r="R3061" s="15" t="s">
        <v>14637</v>
      </c>
      <c r="S3061" s="12">
        <v>74</v>
      </c>
      <c r="T3061" s="12" t="s">
        <v>39</v>
      </c>
      <c r="U3061" s="12" t="s">
        <v>269</v>
      </c>
      <c r="V3061" s="12" t="s">
        <v>41</v>
      </c>
      <c r="W3061" s="12">
        <v>17000000</v>
      </c>
      <c r="X3061" s="12">
        <v>2003</v>
      </c>
      <c r="Y3061" s="12">
        <v>147</v>
      </c>
      <c r="Z3061" s="12">
        <v>7.7</v>
      </c>
      <c r="AA3061" s="12">
        <v>1.85</v>
      </c>
      <c r="AB3061" s="12">
        <v>0</v>
      </c>
      <c r="AC3061" s="12"/>
      <c r="AD3061" s="12" t="str">
        <f>IFERROR(__xludf.DUMMYFUNCTION("""COMPUTED_VALUE"""),"Joseph Pilato")</f>
        <v>Joseph Pilato</v>
      </c>
      <c r="AE3061" s="12"/>
    </row>
    <row r="3062" customHeight="1" spans="1:31">
      <c r="A3062" s="11" t="s">
        <v>30</v>
      </c>
      <c r="B3062" s="11" t="s">
        <v>11328</v>
      </c>
      <c r="C3062" s="11">
        <v>169</v>
      </c>
      <c r="D3062" s="11">
        <v>125</v>
      </c>
      <c r="E3062" s="11">
        <v>608</v>
      </c>
      <c r="F3062" s="11">
        <v>579</v>
      </c>
      <c r="G3062" s="11">
        <v>979</v>
      </c>
      <c r="H3062" s="11">
        <v>3753806</v>
      </c>
      <c r="I3062" s="11" t="s">
        <v>1936</v>
      </c>
      <c r="J3062" s="11" t="s">
        <v>359</v>
      </c>
      <c r="K3062" s="11" t="s">
        <v>4725</v>
      </c>
      <c r="L3062" s="11" t="s">
        <v>2425</v>
      </c>
      <c r="M3062" s="11" t="s">
        <v>14638</v>
      </c>
      <c r="N3062" s="11">
        <v>20307</v>
      </c>
      <c r="O3062" s="11">
        <v>3133</v>
      </c>
      <c r="P3062" s="11">
        <v>1</v>
      </c>
      <c r="Q3062" s="11" t="s">
        <v>14639</v>
      </c>
      <c r="R3062" s="14" t="s">
        <v>14640</v>
      </c>
      <c r="S3062" s="11">
        <v>165</v>
      </c>
      <c r="T3062" s="11" t="s">
        <v>39</v>
      </c>
      <c r="U3062" s="11" t="s">
        <v>58</v>
      </c>
      <c r="V3062" s="11" t="s">
        <v>586</v>
      </c>
      <c r="W3062" s="11">
        <v>11000000</v>
      </c>
      <c r="X3062" s="11">
        <v>2004</v>
      </c>
      <c r="Y3062" s="11">
        <v>594</v>
      </c>
      <c r="Z3062" s="11">
        <v>7.7</v>
      </c>
      <c r="AA3062" s="11">
        <v>1.85</v>
      </c>
      <c r="AB3062" s="11">
        <v>0</v>
      </c>
      <c r="AC3062" s="11"/>
      <c r="AD3062" s="11" t="str">
        <f>IFERROR(__xludf.DUMMYFUNCTION("""COMPUTED_VALUE"""),"Kevork Malikyan")</f>
        <v>Kevork Malikyan</v>
      </c>
      <c r="AE3062" s="11"/>
    </row>
    <row r="3063" customHeight="1" spans="1:31">
      <c r="A3063" s="12" t="s">
        <v>30</v>
      </c>
      <c r="B3063" s="12" t="s">
        <v>13782</v>
      </c>
      <c r="C3063" s="12">
        <v>70</v>
      </c>
      <c r="D3063" s="12">
        <v>94</v>
      </c>
      <c r="E3063" s="12">
        <v>18</v>
      </c>
      <c r="F3063" s="12">
        <v>183</v>
      </c>
      <c r="G3063" s="12">
        <v>658</v>
      </c>
      <c r="H3063" s="12">
        <v>3034181</v>
      </c>
      <c r="I3063" s="12" t="s">
        <v>6546</v>
      </c>
      <c r="J3063" s="12" t="s">
        <v>2788</v>
      </c>
      <c r="K3063" s="12" t="s">
        <v>4947</v>
      </c>
      <c r="L3063" s="12" t="s">
        <v>14641</v>
      </c>
      <c r="M3063" s="12" t="s">
        <v>14642</v>
      </c>
      <c r="N3063" s="12">
        <v>13622</v>
      </c>
      <c r="O3063" s="12">
        <v>1559</v>
      </c>
      <c r="P3063" s="12">
        <v>3</v>
      </c>
      <c r="Q3063" s="12" t="s">
        <v>14643</v>
      </c>
      <c r="R3063" s="15" t="s">
        <v>14644</v>
      </c>
      <c r="S3063" s="12">
        <v>128</v>
      </c>
      <c r="T3063" s="12" t="s">
        <v>39</v>
      </c>
      <c r="U3063" s="12" t="s">
        <v>58</v>
      </c>
      <c r="V3063" s="12" t="s">
        <v>586</v>
      </c>
      <c r="W3063" s="12">
        <v>11000000</v>
      </c>
      <c r="X3063" s="12">
        <v>2002</v>
      </c>
      <c r="Y3063" s="12">
        <v>463</v>
      </c>
      <c r="Z3063" s="12">
        <v>5.4</v>
      </c>
      <c r="AA3063" s="12">
        <v>1.85</v>
      </c>
      <c r="AB3063" s="12">
        <v>550</v>
      </c>
      <c r="AC3063" s="12"/>
      <c r="AD3063" s="12" t="str">
        <f>IFERROR(__xludf.DUMMYFUNCTION("""COMPUTED_VALUE"""),"Brigitte Nielsen")</f>
        <v>Brigitte Nielsen</v>
      </c>
      <c r="AE3063" s="12"/>
    </row>
    <row r="3064" customHeight="1" spans="1:31">
      <c r="A3064" s="11" t="s">
        <v>30</v>
      </c>
      <c r="B3064" s="11" t="s">
        <v>10307</v>
      </c>
      <c r="C3064" s="11">
        <v>15</v>
      </c>
      <c r="D3064" s="11">
        <v>113</v>
      </c>
      <c r="E3064" s="11">
        <v>300</v>
      </c>
      <c r="F3064" s="11">
        <v>787</v>
      </c>
      <c r="G3064" s="11">
        <v>1000</v>
      </c>
      <c r="H3064" s="11">
        <v>2832826</v>
      </c>
      <c r="I3064" s="11" t="s">
        <v>1415</v>
      </c>
      <c r="J3064" s="11" t="s">
        <v>3981</v>
      </c>
      <c r="K3064" s="11" t="s">
        <v>1654</v>
      </c>
      <c r="L3064" s="11" t="s">
        <v>13976</v>
      </c>
      <c r="M3064" s="11" t="s">
        <v>14645</v>
      </c>
      <c r="N3064" s="11">
        <v>1761</v>
      </c>
      <c r="O3064" s="11">
        <v>3072</v>
      </c>
      <c r="P3064" s="11">
        <v>2</v>
      </c>
      <c r="Q3064" s="11" t="s">
        <v>14646</v>
      </c>
      <c r="R3064" s="14" t="s">
        <v>14647</v>
      </c>
      <c r="S3064" s="11">
        <v>19</v>
      </c>
      <c r="T3064" s="11" t="s">
        <v>39</v>
      </c>
      <c r="U3064" s="11" t="s">
        <v>40</v>
      </c>
      <c r="V3064" s="11" t="s">
        <v>586</v>
      </c>
      <c r="W3064" s="11">
        <v>11000000</v>
      </c>
      <c r="X3064" s="11">
        <v>1995</v>
      </c>
      <c r="Y3064" s="11">
        <v>979</v>
      </c>
      <c r="Z3064" s="11">
        <v>6.2</v>
      </c>
      <c r="AA3064" s="11">
        <v>1.85</v>
      </c>
      <c r="AB3064" s="11">
        <v>174</v>
      </c>
      <c r="AC3064" s="11"/>
      <c r="AD3064" s="11" t="str">
        <f>IFERROR(__xludf.DUMMYFUNCTION("""COMPUTED_VALUE"""),"Cassie Ventura")</f>
        <v>Cassie Ventura</v>
      </c>
      <c r="AE3064" s="11"/>
    </row>
    <row r="3065" customHeight="1" spans="1:31">
      <c r="A3065" s="12" t="s">
        <v>30</v>
      </c>
      <c r="B3065" s="12" t="s">
        <v>7114</v>
      </c>
      <c r="C3065" s="12">
        <v>535</v>
      </c>
      <c r="D3065" s="12">
        <v>104</v>
      </c>
      <c r="E3065" s="12">
        <v>1000</v>
      </c>
      <c r="F3065" s="12">
        <v>272</v>
      </c>
      <c r="G3065" s="12">
        <v>3000</v>
      </c>
      <c r="H3065" s="12">
        <v>13214255</v>
      </c>
      <c r="I3065" s="12" t="s">
        <v>6200</v>
      </c>
      <c r="J3065" s="12" t="s">
        <v>723</v>
      </c>
      <c r="K3065" s="12" t="s">
        <v>6966</v>
      </c>
      <c r="L3065" s="12" t="s">
        <v>14648</v>
      </c>
      <c r="M3065" s="12" t="s">
        <v>14649</v>
      </c>
      <c r="N3065" s="12">
        <v>96233</v>
      </c>
      <c r="O3065" s="12">
        <v>4082</v>
      </c>
      <c r="P3065" s="12">
        <v>1</v>
      </c>
      <c r="Q3065" s="12" t="s">
        <v>14650</v>
      </c>
      <c r="R3065" s="15" t="s">
        <v>14651</v>
      </c>
      <c r="S3065" s="12">
        <v>313</v>
      </c>
      <c r="T3065" s="12" t="s">
        <v>39</v>
      </c>
      <c r="U3065" s="12" t="s">
        <v>40</v>
      </c>
      <c r="V3065" s="12" t="s">
        <v>586</v>
      </c>
      <c r="W3065" s="12">
        <v>11000000</v>
      </c>
      <c r="X3065" s="12">
        <v>2013</v>
      </c>
      <c r="Y3065" s="12">
        <v>275</v>
      </c>
      <c r="Z3065" s="12">
        <v>7.4</v>
      </c>
      <c r="AA3065" s="12">
        <v>1.85</v>
      </c>
      <c r="AB3065" s="12">
        <v>26000</v>
      </c>
      <c r="AC3065" s="12"/>
      <c r="AD3065" s="12" t="str">
        <f>IFERROR(__xludf.DUMMYFUNCTION("""COMPUTED_VALUE"""),"Mari Koda")</f>
        <v>Mari Koda</v>
      </c>
      <c r="AE3065" s="12"/>
    </row>
    <row r="3066" customHeight="1" spans="1:31">
      <c r="A3066" s="11" t="s">
        <v>30</v>
      </c>
      <c r="B3066" s="11" t="s">
        <v>1502</v>
      </c>
      <c r="C3066" s="11">
        <v>92</v>
      </c>
      <c r="D3066" s="11">
        <v>95</v>
      </c>
      <c r="E3066" s="11">
        <v>596</v>
      </c>
      <c r="F3066" s="11">
        <v>697</v>
      </c>
      <c r="G3066" s="11">
        <v>1000</v>
      </c>
      <c r="H3066" s="11">
        <v>16017403</v>
      </c>
      <c r="I3066" s="11" t="s">
        <v>8921</v>
      </c>
      <c r="J3066" s="11" t="s">
        <v>1540</v>
      </c>
      <c r="K3066" s="11" t="s">
        <v>13689</v>
      </c>
      <c r="L3066" s="11" t="s">
        <v>3198</v>
      </c>
      <c r="M3066" s="11" t="s">
        <v>14652</v>
      </c>
      <c r="N3066" s="11">
        <v>17333</v>
      </c>
      <c r="O3066" s="11">
        <v>3300</v>
      </c>
      <c r="P3066" s="11">
        <v>2</v>
      </c>
      <c r="Q3066" s="11" t="s">
        <v>14653</v>
      </c>
      <c r="R3066" s="14" t="s">
        <v>14654</v>
      </c>
      <c r="S3066" s="11">
        <v>153</v>
      </c>
      <c r="T3066" s="11" t="s">
        <v>39</v>
      </c>
      <c r="U3066" s="11" t="s">
        <v>40</v>
      </c>
      <c r="V3066" s="11" t="s">
        <v>586</v>
      </c>
      <c r="W3066" s="11">
        <v>5000000</v>
      </c>
      <c r="X3066" s="11">
        <v>2001</v>
      </c>
      <c r="Y3066" s="11">
        <v>835</v>
      </c>
      <c r="Z3066" s="11">
        <v>6.2</v>
      </c>
      <c r="AA3066" s="11">
        <v>1.85</v>
      </c>
      <c r="AB3066" s="11">
        <v>0</v>
      </c>
      <c r="AC3066" s="11"/>
      <c r="AD3066" s="11" t="str">
        <f>IFERROR(__xludf.DUMMYFUNCTION("""COMPUTED_VALUE"""),"Luis Rosado")</f>
        <v>Luis Rosado</v>
      </c>
      <c r="AE3066" s="11"/>
    </row>
    <row r="3067" customHeight="1" spans="1:31">
      <c r="A3067" s="12" t="s">
        <v>30</v>
      </c>
      <c r="B3067" s="12" t="s">
        <v>14655</v>
      </c>
      <c r="C3067" s="12">
        <v>14</v>
      </c>
      <c r="D3067" s="12">
        <v>102</v>
      </c>
      <c r="E3067" s="12">
        <v>8</v>
      </c>
      <c r="F3067" s="12">
        <v>40</v>
      </c>
      <c r="G3067" s="12">
        <v>14000</v>
      </c>
      <c r="H3067" s="12">
        <v>2807854</v>
      </c>
      <c r="I3067" s="12" t="s">
        <v>2308</v>
      </c>
      <c r="J3067" s="12" t="s">
        <v>1973</v>
      </c>
      <c r="K3067" s="12" t="s">
        <v>14656</v>
      </c>
      <c r="L3067" s="12" t="s">
        <v>14657</v>
      </c>
      <c r="M3067" s="12" t="s">
        <v>14658</v>
      </c>
      <c r="N3067" s="12">
        <v>14129</v>
      </c>
      <c r="O3067" s="12">
        <v>14281</v>
      </c>
      <c r="P3067" s="12">
        <v>1</v>
      </c>
      <c r="Q3067" s="12" t="s">
        <v>14659</v>
      </c>
      <c r="R3067" s="15" t="s">
        <v>14660</v>
      </c>
      <c r="S3067" s="12">
        <v>39</v>
      </c>
      <c r="T3067" s="12" t="s">
        <v>39</v>
      </c>
      <c r="U3067" s="12" t="s">
        <v>40</v>
      </c>
      <c r="V3067" s="12" t="s">
        <v>41</v>
      </c>
      <c r="W3067" s="12">
        <v>11000000</v>
      </c>
      <c r="X3067" s="12">
        <v>1991</v>
      </c>
      <c r="Y3067" s="12">
        <v>163</v>
      </c>
      <c r="Z3067" s="12">
        <v>5.1</v>
      </c>
      <c r="AA3067" s="12">
        <v>1.85</v>
      </c>
      <c r="AB3067" s="12">
        <v>967</v>
      </c>
      <c r="AC3067" s="12"/>
      <c r="AD3067" s="12" t="str">
        <f>IFERROR(__xludf.DUMMYFUNCTION("""COMPUTED_VALUE"""),"Hakeem Kae-Kazim")</f>
        <v>Hakeem Kae-Kazim</v>
      </c>
      <c r="AE3067" s="12"/>
    </row>
    <row r="3068" customHeight="1" spans="1:31">
      <c r="A3068" s="11" t="s">
        <v>30</v>
      </c>
      <c r="B3068" s="11" t="s">
        <v>14661</v>
      </c>
      <c r="C3068" s="11">
        <v>13</v>
      </c>
      <c r="D3068" s="11">
        <v>124</v>
      </c>
      <c r="E3068" s="11">
        <v>58</v>
      </c>
      <c r="F3068" s="11">
        <v>104</v>
      </c>
      <c r="G3068" s="11">
        <v>338</v>
      </c>
      <c r="H3068" s="13"/>
      <c r="I3068" s="11" t="s">
        <v>6520</v>
      </c>
      <c r="J3068" s="11" t="s">
        <v>7458</v>
      </c>
      <c r="K3068" s="11" t="s">
        <v>6145</v>
      </c>
      <c r="L3068" s="11" t="s">
        <v>14662</v>
      </c>
      <c r="M3068" s="11" t="s">
        <v>14663</v>
      </c>
      <c r="N3068" s="11">
        <v>2603</v>
      </c>
      <c r="O3068" s="11">
        <v>800</v>
      </c>
      <c r="P3068" s="11">
        <v>0</v>
      </c>
      <c r="Q3068" s="11" t="s">
        <v>14664</v>
      </c>
      <c r="R3068" s="14" t="s">
        <v>14665</v>
      </c>
      <c r="S3068" s="11">
        <v>36</v>
      </c>
      <c r="T3068" s="11" t="s">
        <v>39</v>
      </c>
      <c r="U3068" s="11" t="s">
        <v>40</v>
      </c>
      <c r="V3068" s="11" t="s">
        <v>96</v>
      </c>
      <c r="W3068" s="11">
        <v>11000000</v>
      </c>
      <c r="X3068" s="11">
        <v>1970</v>
      </c>
      <c r="Y3068" s="11">
        <v>275</v>
      </c>
      <c r="Z3068" s="11">
        <v>6.9</v>
      </c>
      <c r="AA3068" s="11">
        <v>2.35</v>
      </c>
      <c r="AB3068" s="11">
        <v>608</v>
      </c>
      <c r="AC3068" s="11"/>
      <c r="AD3068" s="11" t="str">
        <f>IFERROR(__xludf.DUMMYFUNCTION("""COMPUTED_VALUE"""),"Henry Ian Cusick")</f>
        <v>Henry Ian Cusick</v>
      </c>
      <c r="AE3068" s="11"/>
    </row>
    <row r="3069" customHeight="1" spans="1:31">
      <c r="A3069" s="12" t="s">
        <v>30</v>
      </c>
      <c r="B3069" s="12" t="s">
        <v>14666</v>
      </c>
      <c r="C3069" s="12">
        <v>87</v>
      </c>
      <c r="D3069" s="12">
        <v>105</v>
      </c>
      <c r="E3069" s="12">
        <v>0</v>
      </c>
      <c r="F3069" s="12">
        <v>776</v>
      </c>
      <c r="G3069" s="12">
        <v>14000</v>
      </c>
      <c r="H3069" s="12">
        <v>540085</v>
      </c>
      <c r="I3069" s="12" t="s">
        <v>11251</v>
      </c>
      <c r="J3069" s="12" t="s">
        <v>216</v>
      </c>
      <c r="K3069" s="12" t="s">
        <v>272</v>
      </c>
      <c r="L3069" s="12" t="s">
        <v>310</v>
      </c>
      <c r="M3069" s="12" t="s">
        <v>14667</v>
      </c>
      <c r="N3069" s="12">
        <v>10052</v>
      </c>
      <c r="O3069" s="12">
        <v>28004</v>
      </c>
      <c r="P3069" s="12">
        <v>0</v>
      </c>
      <c r="Q3069" s="12" t="s">
        <v>14668</v>
      </c>
      <c r="R3069" s="15" t="s">
        <v>14669</v>
      </c>
      <c r="S3069" s="12">
        <v>69</v>
      </c>
      <c r="T3069" s="12" t="s">
        <v>39</v>
      </c>
      <c r="U3069" s="12" t="s">
        <v>40</v>
      </c>
      <c r="V3069" s="12" t="s">
        <v>586</v>
      </c>
      <c r="W3069" s="16"/>
      <c r="X3069" s="12">
        <v>2005</v>
      </c>
      <c r="Y3069" s="12">
        <v>12000</v>
      </c>
      <c r="Z3069" s="12">
        <v>6.3</v>
      </c>
      <c r="AA3069" s="12">
        <v>2.35</v>
      </c>
      <c r="AB3069" s="12">
        <v>0</v>
      </c>
      <c r="AC3069" s="12"/>
      <c r="AD3069" s="12" t="str">
        <f>IFERROR(__xludf.DUMMYFUNCTION("""COMPUTED_VALUE"""),"Vondie Curtis-Hall")</f>
        <v>Vondie Curtis-Hall</v>
      </c>
      <c r="AE3069" s="12"/>
    </row>
    <row r="3070" customHeight="1" spans="1:31">
      <c r="A3070" s="11" t="s">
        <v>30</v>
      </c>
      <c r="B3070" s="11" t="s">
        <v>14670</v>
      </c>
      <c r="C3070" s="11">
        <v>78</v>
      </c>
      <c r="D3070" s="11">
        <v>104</v>
      </c>
      <c r="E3070" s="11">
        <v>238</v>
      </c>
      <c r="F3070" s="11">
        <v>22</v>
      </c>
      <c r="G3070" s="11">
        <v>60</v>
      </c>
      <c r="H3070" s="11">
        <v>352786</v>
      </c>
      <c r="I3070" s="11" t="s">
        <v>4297</v>
      </c>
      <c r="J3070" s="11" t="s">
        <v>14671</v>
      </c>
      <c r="K3070" s="11" t="s">
        <v>14672</v>
      </c>
      <c r="L3070" s="11" t="s">
        <v>14673</v>
      </c>
      <c r="M3070" s="11" t="s">
        <v>14674</v>
      </c>
      <c r="N3070" s="11">
        <v>11132</v>
      </c>
      <c r="O3070" s="11">
        <v>150</v>
      </c>
      <c r="P3070" s="11">
        <v>0</v>
      </c>
      <c r="Q3070" s="11" t="s">
        <v>14675</v>
      </c>
      <c r="R3070" s="14" t="s">
        <v>14676</v>
      </c>
      <c r="S3070" s="11">
        <v>86</v>
      </c>
      <c r="T3070" s="11" t="s">
        <v>39</v>
      </c>
      <c r="U3070" s="11" t="s">
        <v>40</v>
      </c>
      <c r="V3070" s="11" t="s">
        <v>41</v>
      </c>
      <c r="W3070" s="11">
        <v>11000000</v>
      </c>
      <c r="X3070" s="11">
        <v>2006</v>
      </c>
      <c r="Y3070" s="11">
        <v>35</v>
      </c>
      <c r="Z3070" s="11">
        <v>6.8</v>
      </c>
      <c r="AA3070" s="11">
        <v>2.35</v>
      </c>
      <c r="AB3070" s="11">
        <v>0</v>
      </c>
      <c r="AC3070" s="11"/>
      <c r="AD3070" s="11" t="str">
        <f>IFERROR(__xludf.DUMMYFUNCTION("""COMPUTED_VALUE"""),"Jessica Lowndes")</f>
        <v>Jessica Lowndes</v>
      </c>
      <c r="AE3070" s="11"/>
    </row>
    <row r="3071" customHeight="1" spans="1:31">
      <c r="A3071" s="12" t="s">
        <v>30</v>
      </c>
      <c r="B3071" s="12" t="s">
        <v>7405</v>
      </c>
      <c r="C3071" s="12">
        <v>223</v>
      </c>
      <c r="D3071" s="12">
        <v>120</v>
      </c>
      <c r="E3071" s="12">
        <v>365</v>
      </c>
      <c r="F3071" s="12">
        <v>723</v>
      </c>
      <c r="G3071" s="12">
        <v>887</v>
      </c>
      <c r="H3071" s="12">
        <v>76600000</v>
      </c>
      <c r="I3071" s="12" t="s">
        <v>7406</v>
      </c>
      <c r="J3071" s="12" t="s">
        <v>7407</v>
      </c>
      <c r="K3071" s="12" t="s">
        <v>7408</v>
      </c>
      <c r="L3071" s="12" t="s">
        <v>2062</v>
      </c>
      <c r="M3071" s="12" t="s">
        <v>7409</v>
      </c>
      <c r="N3071" s="12">
        <v>105448</v>
      </c>
      <c r="O3071" s="12">
        <v>3876</v>
      </c>
      <c r="P3071" s="12">
        <v>0</v>
      </c>
      <c r="Q3071" s="12" t="s">
        <v>7410</v>
      </c>
      <c r="R3071" s="15" t="s">
        <v>7411</v>
      </c>
      <c r="S3071" s="12">
        <v>321</v>
      </c>
      <c r="T3071" s="12" t="s">
        <v>39</v>
      </c>
      <c r="U3071" s="12" t="s">
        <v>40</v>
      </c>
      <c r="V3071" s="12" t="s">
        <v>96</v>
      </c>
      <c r="W3071" s="12">
        <v>10700000</v>
      </c>
      <c r="X3071" s="12">
        <v>1982</v>
      </c>
      <c r="Y3071" s="12">
        <v>770</v>
      </c>
      <c r="Z3071" s="12">
        <v>7.4</v>
      </c>
      <c r="AA3071" s="12">
        <v>2.35</v>
      </c>
      <c r="AB3071" s="12">
        <v>11000</v>
      </c>
      <c r="AC3071" s="12"/>
      <c r="AD3071" s="12" t="str">
        <f>IFERROR(__xludf.DUMMYFUNCTION("""COMPUTED_VALUE"""),"Kirk Fox")</f>
        <v>Kirk Fox</v>
      </c>
      <c r="AE3071" s="12"/>
    </row>
    <row r="3072" customHeight="1" spans="1:31">
      <c r="A3072" s="11" t="s">
        <v>30</v>
      </c>
      <c r="B3072" s="11" t="s">
        <v>10506</v>
      </c>
      <c r="C3072" s="11">
        <v>136</v>
      </c>
      <c r="D3072" s="11">
        <v>111</v>
      </c>
      <c r="E3072" s="11">
        <v>17</v>
      </c>
      <c r="F3072" s="11">
        <v>405</v>
      </c>
      <c r="G3072" s="11">
        <v>845</v>
      </c>
      <c r="H3072" s="13"/>
      <c r="I3072" s="11" t="s">
        <v>2126</v>
      </c>
      <c r="J3072" s="11" t="s">
        <v>567</v>
      </c>
      <c r="K3072" s="11" t="s">
        <v>889</v>
      </c>
      <c r="L3072" s="11" t="s">
        <v>14677</v>
      </c>
      <c r="M3072" s="11" t="s">
        <v>14678</v>
      </c>
      <c r="N3072" s="11">
        <v>5013</v>
      </c>
      <c r="O3072" s="11">
        <v>3117</v>
      </c>
      <c r="P3072" s="11">
        <v>2</v>
      </c>
      <c r="Q3072" s="11" t="s">
        <v>14679</v>
      </c>
      <c r="R3072" s="14" t="s">
        <v>14680</v>
      </c>
      <c r="S3072" s="11">
        <v>59</v>
      </c>
      <c r="T3072" s="11" t="s">
        <v>39</v>
      </c>
      <c r="U3072" s="11" t="s">
        <v>58</v>
      </c>
      <c r="V3072" s="11" t="s">
        <v>586</v>
      </c>
      <c r="W3072" s="11">
        <v>12000000</v>
      </c>
      <c r="X3072" s="11">
        <v>2010</v>
      </c>
      <c r="Y3072" s="11">
        <v>641</v>
      </c>
      <c r="Z3072" s="11">
        <v>5.7</v>
      </c>
      <c r="AA3072" s="11">
        <v>2.35</v>
      </c>
      <c r="AB3072" s="11">
        <v>0</v>
      </c>
      <c r="AC3072" s="11"/>
      <c r="AD3072" s="11" t="str">
        <f>IFERROR(__xludf.DUMMYFUNCTION("""COMPUTED_VALUE"""),"Shawn Andrews")</f>
        <v>Shawn Andrews</v>
      </c>
      <c r="AE3072" s="11"/>
    </row>
    <row r="3073" customHeight="1" spans="1:31">
      <c r="A3073" s="12" t="s">
        <v>30</v>
      </c>
      <c r="B3073" s="12" t="s">
        <v>14681</v>
      </c>
      <c r="C3073" s="12">
        <v>160</v>
      </c>
      <c r="D3073" s="12">
        <v>95</v>
      </c>
      <c r="E3073" s="12">
        <v>43</v>
      </c>
      <c r="F3073" s="12">
        <v>357</v>
      </c>
      <c r="G3073" s="12">
        <v>3000</v>
      </c>
      <c r="H3073" s="12">
        <v>56729973</v>
      </c>
      <c r="I3073" s="12" t="s">
        <v>5104</v>
      </c>
      <c r="J3073" s="12" t="s">
        <v>5446</v>
      </c>
      <c r="K3073" s="12" t="s">
        <v>5920</v>
      </c>
      <c r="L3073" s="12" t="s">
        <v>14682</v>
      </c>
      <c r="M3073" s="12" t="s">
        <v>14683</v>
      </c>
      <c r="N3073" s="12">
        <v>88529</v>
      </c>
      <c r="O3073" s="12">
        <v>5286</v>
      </c>
      <c r="P3073" s="12">
        <v>0</v>
      </c>
      <c r="Q3073" s="12" t="s">
        <v>14684</v>
      </c>
      <c r="R3073" s="15" t="s">
        <v>14685</v>
      </c>
      <c r="S3073" s="12">
        <v>262</v>
      </c>
      <c r="T3073" s="12" t="s">
        <v>39</v>
      </c>
      <c r="U3073" s="12" t="s">
        <v>40</v>
      </c>
      <c r="V3073" s="12" t="s">
        <v>586</v>
      </c>
      <c r="W3073" s="12">
        <v>10800000</v>
      </c>
      <c r="X3073" s="12">
        <v>2008</v>
      </c>
      <c r="Y3073" s="12">
        <v>723</v>
      </c>
      <c r="Z3073" s="12">
        <v>5.8</v>
      </c>
      <c r="AA3073" s="12">
        <v>1.85</v>
      </c>
      <c r="AB3073" s="12">
        <v>0</v>
      </c>
      <c r="AC3073" s="12"/>
      <c r="AD3073" s="12" t="str">
        <f>IFERROR(__xludf.DUMMYFUNCTION("""COMPUTED_VALUE"""),"Rob Campbell")</f>
        <v>Rob Campbell</v>
      </c>
      <c r="AE3073" s="12"/>
    </row>
    <row r="3074" customHeight="1" spans="1:31">
      <c r="A3074" s="11" t="s">
        <v>30</v>
      </c>
      <c r="B3074" s="11" t="s">
        <v>14686</v>
      </c>
      <c r="C3074" s="11">
        <v>28</v>
      </c>
      <c r="D3074" s="11">
        <v>96</v>
      </c>
      <c r="E3074" s="11">
        <v>4</v>
      </c>
      <c r="F3074" s="11">
        <v>199</v>
      </c>
      <c r="G3074" s="11">
        <v>917</v>
      </c>
      <c r="H3074" s="13"/>
      <c r="I3074" s="11" t="s">
        <v>2126</v>
      </c>
      <c r="J3074" s="11" t="s">
        <v>14687</v>
      </c>
      <c r="K3074" s="11" t="s">
        <v>6491</v>
      </c>
      <c r="L3074" s="11" t="s">
        <v>14688</v>
      </c>
      <c r="M3074" s="11" t="s">
        <v>14689</v>
      </c>
      <c r="N3074" s="11">
        <v>618</v>
      </c>
      <c r="O3074" s="11">
        <v>1827</v>
      </c>
      <c r="P3074" s="11">
        <v>0</v>
      </c>
      <c r="Q3074" s="11" t="s">
        <v>14690</v>
      </c>
      <c r="R3074" s="14" t="s">
        <v>14691</v>
      </c>
      <c r="S3074" s="11">
        <v>12</v>
      </c>
      <c r="T3074" s="11" t="s">
        <v>39</v>
      </c>
      <c r="U3074" s="11" t="s">
        <v>7091</v>
      </c>
      <c r="V3074" s="11" t="s">
        <v>14105</v>
      </c>
      <c r="W3074" s="13"/>
      <c r="X3074" s="11">
        <v>1969</v>
      </c>
      <c r="Y3074" s="11">
        <v>545</v>
      </c>
      <c r="Z3074" s="11">
        <v>6.2</v>
      </c>
      <c r="AA3074" s="11">
        <v>2.35</v>
      </c>
      <c r="AB3074" s="11">
        <v>85</v>
      </c>
      <c r="AC3074" s="11"/>
      <c r="AD3074" s="11" t="str">
        <f>IFERROR(__xludf.DUMMYFUNCTION("""COMPUTED_VALUE"""),"Elaine Cassidy")</f>
        <v>Elaine Cassidy</v>
      </c>
      <c r="AE3074" s="11"/>
    </row>
    <row r="3075" customHeight="1" spans="1:31">
      <c r="A3075" s="12" t="s">
        <v>30</v>
      </c>
      <c r="B3075" s="12" t="s">
        <v>14692</v>
      </c>
      <c r="C3075" s="12">
        <v>54</v>
      </c>
      <c r="D3075" s="12">
        <v>97</v>
      </c>
      <c r="E3075" s="12">
        <v>15</v>
      </c>
      <c r="F3075" s="12">
        <v>19</v>
      </c>
      <c r="G3075" s="12">
        <v>142</v>
      </c>
      <c r="H3075" s="16"/>
      <c r="I3075" s="12" t="s">
        <v>1415</v>
      </c>
      <c r="J3075" s="12" t="s">
        <v>7984</v>
      </c>
      <c r="K3075" s="12" t="s">
        <v>14693</v>
      </c>
      <c r="L3075" s="12" t="s">
        <v>14694</v>
      </c>
      <c r="M3075" s="12" t="s">
        <v>14695</v>
      </c>
      <c r="N3075" s="12">
        <v>45144</v>
      </c>
      <c r="O3075" s="12">
        <v>248</v>
      </c>
      <c r="P3075" s="12">
        <v>1</v>
      </c>
      <c r="Q3075" s="12" t="s">
        <v>14696</v>
      </c>
      <c r="R3075" s="15" t="s">
        <v>14697</v>
      </c>
      <c r="S3075" s="12">
        <v>111</v>
      </c>
      <c r="T3075" s="12" t="s">
        <v>39</v>
      </c>
      <c r="U3075" s="12" t="s">
        <v>40</v>
      </c>
      <c r="V3075" s="12" t="s">
        <v>41</v>
      </c>
      <c r="W3075" s="12">
        <v>11000000</v>
      </c>
      <c r="X3075" s="12">
        <v>2012</v>
      </c>
      <c r="Y3075" s="12">
        <v>79</v>
      </c>
      <c r="Z3075" s="12">
        <v>4.3</v>
      </c>
      <c r="AA3075" s="12">
        <v>2.35</v>
      </c>
      <c r="AB3075" s="12">
        <v>18000</v>
      </c>
      <c r="AC3075" s="12"/>
      <c r="AD3075" s="12" t="str">
        <f>IFERROR(__xludf.DUMMYFUNCTION("""COMPUTED_VALUE"""),"Eric Sykes")</f>
        <v>Eric Sykes</v>
      </c>
      <c r="AE3075" s="12"/>
    </row>
    <row r="3076" customHeight="1" spans="1:31">
      <c r="A3076" s="11" t="s">
        <v>30</v>
      </c>
      <c r="B3076" s="11" t="s">
        <v>14698</v>
      </c>
      <c r="C3076" s="11">
        <v>75</v>
      </c>
      <c r="D3076" s="11">
        <v>118</v>
      </c>
      <c r="E3076" s="11">
        <v>10</v>
      </c>
      <c r="F3076" s="11">
        <v>48</v>
      </c>
      <c r="G3076" s="11">
        <v>172</v>
      </c>
      <c r="H3076" s="11">
        <v>399879</v>
      </c>
      <c r="I3076" s="11" t="s">
        <v>2142</v>
      </c>
      <c r="J3076" s="11" t="s">
        <v>14699</v>
      </c>
      <c r="K3076" s="11" t="s">
        <v>14700</v>
      </c>
      <c r="L3076" s="11" t="s">
        <v>14701</v>
      </c>
      <c r="M3076" s="11" t="s">
        <v>14702</v>
      </c>
      <c r="N3076" s="11">
        <v>5772</v>
      </c>
      <c r="O3076" s="11">
        <v>378</v>
      </c>
      <c r="P3076" s="11">
        <v>2</v>
      </c>
      <c r="Q3076" s="11" t="s">
        <v>14703</v>
      </c>
      <c r="R3076" s="14" t="s">
        <v>14704</v>
      </c>
      <c r="S3076" s="11">
        <v>115</v>
      </c>
      <c r="T3076" s="11" t="s">
        <v>39</v>
      </c>
      <c r="U3076" s="11" t="s">
        <v>371</v>
      </c>
      <c r="V3076" s="11" t="s">
        <v>586</v>
      </c>
      <c r="W3076" s="11">
        <v>15000000</v>
      </c>
      <c r="X3076" s="11">
        <v>2006</v>
      </c>
      <c r="Y3076" s="11">
        <v>71</v>
      </c>
      <c r="Z3076" s="11">
        <v>6.4</v>
      </c>
      <c r="AA3076" s="11">
        <v>2.35</v>
      </c>
      <c r="AB3076" s="11">
        <v>302</v>
      </c>
      <c r="AC3076" s="11"/>
      <c r="AD3076" s="11" t="str">
        <f>IFERROR(__xludf.DUMMYFUNCTION("""COMPUTED_VALUE"""),"Carrie Henn")</f>
        <v>Carrie Henn</v>
      </c>
      <c r="AE3076" s="11"/>
    </row>
    <row r="3077" customHeight="1" spans="1:31">
      <c r="A3077" s="12" t="s">
        <v>30</v>
      </c>
      <c r="B3077" s="12" t="s">
        <v>14705</v>
      </c>
      <c r="C3077" s="12">
        <v>20</v>
      </c>
      <c r="D3077" s="12">
        <v>193</v>
      </c>
      <c r="E3077" s="12">
        <v>160</v>
      </c>
      <c r="F3077" s="12">
        <v>860</v>
      </c>
      <c r="G3077" s="12">
        <v>8000</v>
      </c>
      <c r="H3077" s="12">
        <v>3275443</v>
      </c>
      <c r="I3077" s="12" t="s">
        <v>3410</v>
      </c>
      <c r="J3077" s="12" t="s">
        <v>14706</v>
      </c>
      <c r="K3077" s="12" t="s">
        <v>14707</v>
      </c>
      <c r="L3077" s="12" t="s">
        <v>14708</v>
      </c>
      <c r="M3077" s="12" t="s">
        <v>14709</v>
      </c>
      <c r="N3077" s="12">
        <v>13998</v>
      </c>
      <c r="O3077" s="12">
        <v>10822</v>
      </c>
      <c r="P3077" s="12">
        <v>2</v>
      </c>
      <c r="Q3077" s="12" t="s">
        <v>14710</v>
      </c>
      <c r="R3077" s="15" t="s">
        <v>14711</v>
      </c>
      <c r="S3077" s="12">
        <v>264</v>
      </c>
      <c r="T3077" s="12" t="s">
        <v>5612</v>
      </c>
      <c r="U3077" s="12" t="s">
        <v>5613</v>
      </c>
      <c r="V3077" s="12" t="s">
        <v>586</v>
      </c>
      <c r="W3077" s="12">
        <v>700000000</v>
      </c>
      <c r="X3077" s="12">
        <v>2006</v>
      </c>
      <c r="Y3077" s="12">
        <v>1000</v>
      </c>
      <c r="Z3077" s="12">
        <v>6</v>
      </c>
      <c r="AA3077" s="12">
        <v>2.35</v>
      </c>
      <c r="AB3077" s="12">
        <v>659</v>
      </c>
      <c r="AC3077" s="12"/>
      <c r="AD3077" s="12" t="str">
        <f>IFERROR(__xludf.DUMMYFUNCTION("""COMPUTED_VALUE"""),"Jeremy Brett")</f>
        <v>Jeremy Brett</v>
      </c>
      <c r="AE3077" s="12"/>
    </row>
    <row r="3078" customHeight="1" spans="1:31">
      <c r="A3078" s="11" t="s">
        <v>30</v>
      </c>
      <c r="B3078" s="11" t="s">
        <v>5991</v>
      </c>
      <c r="C3078" s="11">
        <v>105</v>
      </c>
      <c r="D3078" s="11">
        <v>97</v>
      </c>
      <c r="E3078" s="11">
        <v>32</v>
      </c>
      <c r="F3078" s="11">
        <v>327</v>
      </c>
      <c r="G3078" s="11">
        <v>893</v>
      </c>
      <c r="H3078" s="11">
        <v>18535191</v>
      </c>
      <c r="I3078" s="11" t="s">
        <v>1681</v>
      </c>
      <c r="J3078" s="11" t="s">
        <v>3491</v>
      </c>
      <c r="K3078" s="11" t="s">
        <v>725</v>
      </c>
      <c r="L3078" s="11" t="s">
        <v>2956</v>
      </c>
      <c r="M3078" s="11" t="s">
        <v>14712</v>
      </c>
      <c r="N3078" s="11">
        <v>12980</v>
      </c>
      <c r="O3078" s="11">
        <v>2640</v>
      </c>
      <c r="P3078" s="11">
        <v>3</v>
      </c>
      <c r="Q3078" s="11" t="s">
        <v>14713</v>
      </c>
      <c r="R3078" s="14" t="s">
        <v>14714</v>
      </c>
      <c r="S3078" s="11">
        <v>132</v>
      </c>
      <c r="T3078" s="11" t="s">
        <v>39</v>
      </c>
      <c r="U3078" s="11" t="s">
        <v>58</v>
      </c>
      <c r="V3078" s="11" t="s">
        <v>41</v>
      </c>
      <c r="W3078" s="11">
        <v>14000000</v>
      </c>
      <c r="X3078" s="11">
        <v>1999</v>
      </c>
      <c r="Y3078" s="11">
        <v>692</v>
      </c>
      <c r="Z3078" s="11">
        <v>6.9</v>
      </c>
      <c r="AA3078" s="11">
        <v>1.85</v>
      </c>
      <c r="AB3078" s="11">
        <v>646</v>
      </c>
      <c r="AC3078" s="11"/>
      <c r="AD3078" s="11" t="str">
        <f>IFERROR(__xludf.DUMMYFUNCTION("""COMPUTED_VALUE"""),"Rex Harrison")</f>
        <v>Rex Harrison</v>
      </c>
      <c r="AE3078" s="11"/>
    </row>
    <row r="3079" customHeight="1" spans="1:31">
      <c r="A3079" s="12" t="s">
        <v>30</v>
      </c>
      <c r="B3079" s="12" t="s">
        <v>14715</v>
      </c>
      <c r="C3079" s="12">
        <v>120</v>
      </c>
      <c r="D3079" s="12">
        <v>98</v>
      </c>
      <c r="E3079" s="12">
        <v>7</v>
      </c>
      <c r="F3079" s="12">
        <v>507</v>
      </c>
      <c r="G3079" s="12">
        <v>805</v>
      </c>
      <c r="H3079" s="12">
        <v>23838</v>
      </c>
      <c r="I3079" s="12" t="s">
        <v>4333</v>
      </c>
      <c r="J3079" s="12" t="s">
        <v>10308</v>
      </c>
      <c r="K3079" s="12" t="s">
        <v>2019</v>
      </c>
      <c r="L3079" s="12" t="s">
        <v>14716</v>
      </c>
      <c r="M3079" s="12" t="s">
        <v>14717</v>
      </c>
      <c r="N3079" s="12">
        <v>28570</v>
      </c>
      <c r="O3079" s="12">
        <v>2271</v>
      </c>
      <c r="P3079" s="12">
        <v>0</v>
      </c>
      <c r="Q3079" s="12" t="s">
        <v>14718</v>
      </c>
      <c r="R3079" s="15" t="s">
        <v>14719</v>
      </c>
      <c r="S3079" s="12">
        <v>160</v>
      </c>
      <c r="T3079" s="12" t="s">
        <v>39</v>
      </c>
      <c r="U3079" s="12" t="s">
        <v>58</v>
      </c>
      <c r="V3079" s="12" t="s">
        <v>586</v>
      </c>
      <c r="W3079" s="12">
        <v>7000000</v>
      </c>
      <c r="X3079" s="12">
        <v>2013</v>
      </c>
      <c r="Y3079" s="12">
        <v>766</v>
      </c>
      <c r="Z3079" s="12">
        <v>5.5</v>
      </c>
      <c r="AA3079" s="12">
        <v>2.35</v>
      </c>
      <c r="AB3079" s="12">
        <v>0</v>
      </c>
      <c r="AC3079" s="12"/>
      <c r="AD3079" s="12" t="str">
        <f>IFERROR(__xludf.DUMMYFUNCTION("""COMPUTED_VALUE"""),"Theodore Bikel")</f>
        <v>Theodore Bikel</v>
      </c>
      <c r="AE3079" s="12"/>
    </row>
    <row r="3080" customHeight="1" spans="1:31">
      <c r="A3080" s="11" t="s">
        <v>30</v>
      </c>
      <c r="B3080" s="11" t="s">
        <v>14720</v>
      </c>
      <c r="C3080" s="11">
        <v>108</v>
      </c>
      <c r="D3080" s="11">
        <v>103</v>
      </c>
      <c r="E3080" s="11">
        <v>57</v>
      </c>
      <c r="F3080" s="11">
        <v>132</v>
      </c>
      <c r="G3080" s="11">
        <v>541</v>
      </c>
      <c r="H3080" s="11">
        <v>22160085</v>
      </c>
      <c r="I3080" s="11" t="s">
        <v>6403</v>
      </c>
      <c r="J3080" s="11" t="s">
        <v>3161</v>
      </c>
      <c r="K3080" s="11" t="s">
        <v>128</v>
      </c>
      <c r="L3080" s="11" t="s">
        <v>14721</v>
      </c>
      <c r="M3080" s="11" t="s">
        <v>14722</v>
      </c>
      <c r="N3080" s="11">
        <v>16747</v>
      </c>
      <c r="O3080" s="11">
        <v>1228</v>
      </c>
      <c r="P3080" s="11">
        <v>0</v>
      </c>
      <c r="Q3080" s="11" t="s">
        <v>14723</v>
      </c>
      <c r="R3080" s="14" t="s">
        <v>14724</v>
      </c>
      <c r="S3080" s="11">
        <v>349</v>
      </c>
      <c r="T3080" s="11" t="s">
        <v>39</v>
      </c>
      <c r="U3080" s="11" t="s">
        <v>40</v>
      </c>
      <c r="V3080" s="11" t="s">
        <v>41</v>
      </c>
      <c r="W3080" s="11">
        <v>10600000</v>
      </c>
      <c r="X3080" s="11">
        <v>2002</v>
      </c>
      <c r="Y3080" s="11">
        <v>451</v>
      </c>
      <c r="Z3080" s="11">
        <v>5.4</v>
      </c>
      <c r="AA3080" s="11">
        <v>2.35</v>
      </c>
      <c r="AB3080" s="11">
        <v>1000</v>
      </c>
      <c r="AC3080" s="11"/>
      <c r="AD3080" s="11" t="str">
        <f>IFERROR(__xludf.DUMMYFUNCTION("""COMPUTED_VALUE"""),"Patrick Gallagher")</f>
        <v>Patrick Gallagher</v>
      </c>
      <c r="AE3080" s="11"/>
    </row>
    <row r="3081" customHeight="1" spans="1:31">
      <c r="A3081" s="12" t="s">
        <v>30</v>
      </c>
      <c r="B3081" s="12" t="s">
        <v>3728</v>
      </c>
      <c r="C3081" s="12">
        <v>285</v>
      </c>
      <c r="D3081" s="12">
        <v>161</v>
      </c>
      <c r="E3081" s="12">
        <v>0</v>
      </c>
      <c r="F3081" s="12">
        <v>73</v>
      </c>
      <c r="G3081" s="12">
        <v>273</v>
      </c>
      <c r="H3081" s="12">
        <v>56715371</v>
      </c>
      <c r="I3081" s="12" t="s">
        <v>1381</v>
      </c>
      <c r="J3081" s="12" t="s">
        <v>14725</v>
      </c>
      <c r="K3081" s="12" t="s">
        <v>14726</v>
      </c>
      <c r="L3081" s="12" t="s">
        <v>14727</v>
      </c>
      <c r="M3081" s="12" t="s">
        <v>14728</v>
      </c>
      <c r="N3081" s="12">
        <v>427357</v>
      </c>
      <c r="O3081" s="12">
        <v>727</v>
      </c>
      <c r="P3081" s="12">
        <v>0</v>
      </c>
      <c r="Q3081" s="12" t="s">
        <v>14729</v>
      </c>
      <c r="R3081" s="15" t="s">
        <v>14730</v>
      </c>
      <c r="S3081" s="12">
        <v>1736</v>
      </c>
      <c r="T3081" s="12" t="s">
        <v>39</v>
      </c>
      <c r="U3081" s="12" t="s">
        <v>58</v>
      </c>
      <c r="V3081" s="12" t="s">
        <v>278</v>
      </c>
      <c r="W3081" s="12">
        <v>12000000</v>
      </c>
      <c r="X3081" s="12">
        <v>1968</v>
      </c>
      <c r="Y3081" s="12">
        <v>117</v>
      </c>
      <c r="Z3081" s="12">
        <v>8.3</v>
      </c>
      <c r="AA3081" s="12">
        <v>2.2</v>
      </c>
      <c r="AB3081" s="12">
        <v>24000</v>
      </c>
      <c r="AC3081" s="12"/>
      <c r="AD3081" s="12" t="str">
        <f>IFERROR(__xludf.DUMMYFUNCTION("""COMPUTED_VALUE"""),"Chris Moss")</f>
        <v>Chris Moss</v>
      </c>
      <c r="AE3081" s="12"/>
    </row>
    <row r="3082" customHeight="1" spans="1:31">
      <c r="A3082" s="11" t="s">
        <v>30</v>
      </c>
      <c r="B3082" s="11" t="s">
        <v>390</v>
      </c>
      <c r="C3082" s="11">
        <v>215</v>
      </c>
      <c r="D3082" s="11">
        <v>120</v>
      </c>
      <c r="E3082" s="11">
        <v>14000</v>
      </c>
      <c r="F3082" s="11">
        <v>548</v>
      </c>
      <c r="G3082" s="11">
        <v>861</v>
      </c>
      <c r="H3082" s="11">
        <v>434949459</v>
      </c>
      <c r="I3082" s="11" t="s">
        <v>14731</v>
      </c>
      <c r="J3082" s="11" t="s">
        <v>5937</v>
      </c>
      <c r="K3082" s="11" t="s">
        <v>14732</v>
      </c>
      <c r="L3082" s="11" t="s">
        <v>3202</v>
      </c>
      <c r="M3082" s="11" t="s">
        <v>14733</v>
      </c>
      <c r="N3082" s="11">
        <v>281842</v>
      </c>
      <c r="O3082" s="11">
        <v>2811</v>
      </c>
      <c r="P3082" s="11">
        <v>0</v>
      </c>
      <c r="Q3082" s="11" t="s">
        <v>14734</v>
      </c>
      <c r="R3082" s="14" t="s">
        <v>14735</v>
      </c>
      <c r="S3082" s="11">
        <v>515</v>
      </c>
      <c r="T3082" s="11" t="s">
        <v>39</v>
      </c>
      <c r="U3082" s="11" t="s">
        <v>40</v>
      </c>
      <c r="V3082" s="11" t="s">
        <v>96</v>
      </c>
      <c r="W3082" s="11">
        <v>10500000</v>
      </c>
      <c r="X3082" s="11">
        <v>1982</v>
      </c>
      <c r="Y3082" s="11">
        <v>725</v>
      </c>
      <c r="Z3082" s="11">
        <v>7.9</v>
      </c>
      <c r="AA3082" s="11">
        <v>1.85</v>
      </c>
      <c r="AB3082" s="11">
        <v>34000</v>
      </c>
      <c r="AC3082" s="11"/>
      <c r="AD3082" s="11" t="str">
        <f>IFERROR(__xludf.DUMMYFUNCTION("""COMPUTED_VALUE"""),"Owain Yeoman")</f>
        <v>Owain Yeoman</v>
      </c>
      <c r="AE3082" s="11"/>
    </row>
    <row r="3083" customHeight="1" spans="1:31">
      <c r="A3083" s="12" t="s">
        <v>30</v>
      </c>
      <c r="B3083" s="12" t="s">
        <v>14736</v>
      </c>
      <c r="C3083" s="12">
        <v>81</v>
      </c>
      <c r="D3083" s="12">
        <v>97</v>
      </c>
      <c r="E3083" s="12">
        <v>21</v>
      </c>
      <c r="F3083" s="12">
        <v>499</v>
      </c>
      <c r="G3083" s="12">
        <v>17000</v>
      </c>
      <c r="H3083" s="12">
        <v>11043445</v>
      </c>
      <c r="I3083" s="12" t="s">
        <v>1415</v>
      </c>
      <c r="J3083" s="12" t="s">
        <v>559</v>
      </c>
      <c r="K3083" s="12" t="s">
        <v>9039</v>
      </c>
      <c r="L3083" s="12" t="s">
        <v>12641</v>
      </c>
      <c r="M3083" s="12" t="s">
        <v>14737</v>
      </c>
      <c r="N3083" s="12">
        <v>27689</v>
      </c>
      <c r="O3083" s="12">
        <v>20312</v>
      </c>
      <c r="P3083" s="12">
        <v>0</v>
      </c>
      <c r="Q3083" s="12" t="s">
        <v>14738</v>
      </c>
      <c r="R3083" s="15" t="s">
        <v>14739</v>
      </c>
      <c r="S3083" s="12">
        <v>74</v>
      </c>
      <c r="T3083" s="12" t="s">
        <v>39</v>
      </c>
      <c r="U3083" s="12" t="s">
        <v>40</v>
      </c>
      <c r="V3083" s="12" t="s">
        <v>41</v>
      </c>
      <c r="W3083" s="12">
        <v>10000000</v>
      </c>
      <c r="X3083" s="12">
        <v>2007</v>
      </c>
      <c r="Y3083" s="12">
        <v>1000</v>
      </c>
      <c r="Z3083" s="12">
        <v>6.5</v>
      </c>
      <c r="AA3083" s="12">
        <v>2.35</v>
      </c>
      <c r="AB3083" s="12">
        <v>1000</v>
      </c>
      <c r="AC3083" s="12"/>
      <c r="AD3083" s="12" t="str">
        <f>IFERROR(__xludf.DUMMYFUNCTION("""COMPUTED_VALUE"""),"Jay Chandrasekhar")</f>
        <v>Jay Chandrasekhar</v>
      </c>
      <c r="AE3083" s="12"/>
    </row>
    <row r="3084" customHeight="1" spans="1:31">
      <c r="A3084" s="11" t="s">
        <v>30</v>
      </c>
      <c r="B3084" s="11" t="s">
        <v>14740</v>
      </c>
      <c r="C3084" s="11">
        <v>17</v>
      </c>
      <c r="D3084" s="11">
        <v>97</v>
      </c>
      <c r="E3084" s="11">
        <v>4</v>
      </c>
      <c r="F3084" s="11">
        <v>194</v>
      </c>
      <c r="G3084" s="11">
        <v>882</v>
      </c>
      <c r="H3084" s="13"/>
      <c r="I3084" s="11" t="s">
        <v>7043</v>
      </c>
      <c r="J3084" s="11" t="s">
        <v>191</v>
      </c>
      <c r="K3084" s="11" t="s">
        <v>12481</v>
      </c>
      <c r="L3084" s="11" t="s">
        <v>14741</v>
      </c>
      <c r="M3084" s="11" t="s">
        <v>14742</v>
      </c>
      <c r="N3084" s="11">
        <v>1337</v>
      </c>
      <c r="O3084" s="11">
        <v>1554</v>
      </c>
      <c r="P3084" s="11">
        <v>1</v>
      </c>
      <c r="Q3084" s="11" t="s">
        <v>14743</v>
      </c>
      <c r="R3084" s="14" t="s">
        <v>14744</v>
      </c>
      <c r="S3084" s="11">
        <v>28</v>
      </c>
      <c r="T3084" s="11" t="s">
        <v>39</v>
      </c>
      <c r="U3084" s="11" t="s">
        <v>269</v>
      </c>
      <c r="V3084" s="11" t="s">
        <v>96</v>
      </c>
      <c r="W3084" s="11">
        <v>12500000</v>
      </c>
      <c r="X3084" s="11">
        <v>2004</v>
      </c>
      <c r="Y3084" s="11">
        <v>450</v>
      </c>
      <c r="Z3084" s="11">
        <v>6.3</v>
      </c>
      <c r="AA3084" s="11">
        <v>1.85</v>
      </c>
      <c r="AB3084" s="11">
        <v>392</v>
      </c>
      <c r="AC3084" s="11"/>
      <c r="AD3084" s="11" t="str">
        <f>IFERROR(__xludf.DUMMYFUNCTION("""COMPUTED_VALUE"""),"Betsy Russell")</f>
        <v>Betsy Russell</v>
      </c>
      <c r="AE3084" s="11"/>
    </row>
    <row r="3085" customHeight="1" spans="1:31">
      <c r="A3085" s="12" t="s">
        <v>30</v>
      </c>
      <c r="B3085" s="12" t="s">
        <v>14745</v>
      </c>
      <c r="C3085" s="12">
        <v>5</v>
      </c>
      <c r="D3085" s="12">
        <v>99</v>
      </c>
      <c r="E3085" s="12">
        <v>11</v>
      </c>
      <c r="F3085" s="12">
        <v>327</v>
      </c>
      <c r="G3085" s="12">
        <v>665</v>
      </c>
      <c r="H3085" s="12">
        <v>125169</v>
      </c>
      <c r="I3085" s="12" t="s">
        <v>2528</v>
      </c>
      <c r="J3085" s="12" t="s">
        <v>4625</v>
      </c>
      <c r="K3085" s="12" t="s">
        <v>14746</v>
      </c>
      <c r="L3085" s="12" t="s">
        <v>4745</v>
      </c>
      <c r="M3085" s="12" t="s">
        <v>14747</v>
      </c>
      <c r="N3085" s="12">
        <v>859</v>
      </c>
      <c r="O3085" s="12">
        <v>2272</v>
      </c>
      <c r="P3085" s="12">
        <v>2</v>
      </c>
      <c r="Q3085" s="12" t="s">
        <v>14748</v>
      </c>
      <c r="R3085" s="15" t="s">
        <v>14749</v>
      </c>
      <c r="S3085" s="12">
        <v>31</v>
      </c>
      <c r="T3085" s="12" t="s">
        <v>39</v>
      </c>
      <c r="U3085" s="12" t="s">
        <v>40</v>
      </c>
      <c r="V3085" s="12" t="s">
        <v>586</v>
      </c>
      <c r="W3085" s="12">
        <v>10500000</v>
      </c>
      <c r="X3085" s="12">
        <v>1994</v>
      </c>
      <c r="Y3085" s="12">
        <v>446</v>
      </c>
      <c r="Z3085" s="12">
        <v>6.4</v>
      </c>
      <c r="AA3085" s="16"/>
      <c r="AB3085" s="12">
        <v>119</v>
      </c>
      <c r="AC3085" s="12"/>
      <c r="AD3085" s="12" t="str">
        <f>IFERROR(__xludf.DUMMYFUNCTION("""COMPUTED_VALUE"""),"Chris Kattan")</f>
        <v>Chris Kattan</v>
      </c>
      <c r="AE3085" s="12"/>
    </row>
    <row r="3086" customHeight="1" spans="1:31">
      <c r="A3086" s="11" t="s">
        <v>30</v>
      </c>
      <c r="B3086" s="13"/>
      <c r="C3086" s="11">
        <v>3</v>
      </c>
      <c r="D3086" s="11">
        <v>24</v>
      </c>
      <c r="E3086" s="13"/>
      <c r="F3086" s="11">
        <v>44</v>
      </c>
      <c r="G3086" s="11">
        <v>381</v>
      </c>
      <c r="H3086" s="13"/>
      <c r="I3086" s="11" t="s">
        <v>1672</v>
      </c>
      <c r="J3086" s="11" t="s">
        <v>14750</v>
      </c>
      <c r="K3086" s="11" t="s">
        <v>14751</v>
      </c>
      <c r="L3086" s="11" t="s">
        <v>14752</v>
      </c>
      <c r="M3086" s="11" t="s">
        <v>14753</v>
      </c>
      <c r="N3086" s="11">
        <v>2651</v>
      </c>
      <c r="O3086" s="11">
        <v>592</v>
      </c>
      <c r="P3086" s="11">
        <v>3</v>
      </c>
      <c r="Q3086" s="11" t="s">
        <v>14754</v>
      </c>
      <c r="R3086" s="14" t="s">
        <v>14755</v>
      </c>
      <c r="S3086" s="11">
        <v>18</v>
      </c>
      <c r="T3086" s="11" t="s">
        <v>39</v>
      </c>
      <c r="U3086" s="11" t="s">
        <v>58</v>
      </c>
      <c r="V3086" s="13"/>
      <c r="W3086" s="13"/>
      <c r="X3086" s="13"/>
      <c r="Y3086" s="11">
        <v>102</v>
      </c>
      <c r="Z3086" s="11">
        <v>7.9</v>
      </c>
      <c r="AA3086" s="13"/>
      <c r="AB3086" s="11">
        <v>0</v>
      </c>
      <c r="AC3086" s="11"/>
      <c r="AD3086" s="11" t="str">
        <f>IFERROR(__xludf.DUMMYFUNCTION("""COMPUTED_VALUE"""),"Erik Knudsen")</f>
        <v>Erik Knudsen</v>
      </c>
      <c r="AE3086" s="11"/>
    </row>
    <row r="3087" customHeight="1" spans="1:31">
      <c r="A3087" s="12" t="s">
        <v>30</v>
      </c>
      <c r="B3087" s="12" t="s">
        <v>14756</v>
      </c>
      <c r="C3087" s="12">
        <v>10</v>
      </c>
      <c r="D3087" s="12">
        <v>144</v>
      </c>
      <c r="E3087" s="12">
        <v>0</v>
      </c>
      <c r="F3087" s="12">
        <v>119</v>
      </c>
      <c r="G3087" s="12">
        <v>564</v>
      </c>
      <c r="H3087" s="12">
        <v>1165104</v>
      </c>
      <c r="I3087" s="12" t="s">
        <v>1672</v>
      </c>
      <c r="J3087" s="12" t="s">
        <v>14757</v>
      </c>
      <c r="K3087" s="12" t="s">
        <v>14758</v>
      </c>
      <c r="L3087" s="12" t="s">
        <v>14759</v>
      </c>
      <c r="M3087" s="12" t="s">
        <v>14760</v>
      </c>
      <c r="N3087" s="12">
        <v>8598</v>
      </c>
      <c r="O3087" s="12">
        <v>1121</v>
      </c>
      <c r="P3087" s="12">
        <v>5</v>
      </c>
      <c r="Q3087" s="12" t="s">
        <v>14761</v>
      </c>
      <c r="R3087" s="15" t="s">
        <v>14762</v>
      </c>
      <c r="S3087" s="12">
        <v>43</v>
      </c>
      <c r="T3087" s="12" t="s">
        <v>5612</v>
      </c>
      <c r="U3087" s="12" t="s">
        <v>5613</v>
      </c>
      <c r="V3087" s="16"/>
      <c r="W3087" s="16"/>
      <c r="X3087" s="12">
        <v>2010</v>
      </c>
      <c r="Y3087" s="12">
        <v>154</v>
      </c>
      <c r="Z3087" s="12">
        <v>5.3</v>
      </c>
      <c r="AA3087" s="16"/>
      <c r="AB3087" s="12">
        <v>250</v>
      </c>
      <c r="AC3087" s="12"/>
      <c r="AD3087" s="12" t="str">
        <f>IFERROR(__xludf.DUMMYFUNCTION("""COMPUTED_VALUE"""),"Morgan Saylor")</f>
        <v>Morgan Saylor</v>
      </c>
      <c r="AE3087" s="12"/>
    </row>
    <row r="3088" customHeight="1" spans="1:31">
      <c r="A3088" s="11" t="s">
        <v>30</v>
      </c>
      <c r="B3088" s="11" t="s">
        <v>13677</v>
      </c>
      <c r="C3088" s="11">
        <v>43</v>
      </c>
      <c r="D3088" s="11">
        <v>111</v>
      </c>
      <c r="E3088" s="11">
        <v>58</v>
      </c>
      <c r="F3088" s="11">
        <v>258</v>
      </c>
      <c r="G3088" s="11">
        <v>482</v>
      </c>
      <c r="H3088" s="11">
        <v>1066555</v>
      </c>
      <c r="I3088" s="11" t="s">
        <v>14763</v>
      </c>
      <c r="J3088" s="11" t="s">
        <v>5591</v>
      </c>
      <c r="K3088" s="11" t="s">
        <v>14764</v>
      </c>
      <c r="L3088" s="11" t="s">
        <v>12505</v>
      </c>
      <c r="M3088" s="11" t="s">
        <v>14765</v>
      </c>
      <c r="N3088" s="11">
        <v>2618</v>
      </c>
      <c r="O3088" s="11">
        <v>1526</v>
      </c>
      <c r="P3088" s="11">
        <v>0</v>
      </c>
      <c r="Q3088" s="11" t="s">
        <v>14766</v>
      </c>
      <c r="R3088" s="14" t="s">
        <v>14767</v>
      </c>
      <c r="S3088" s="11">
        <v>111</v>
      </c>
      <c r="T3088" s="13"/>
      <c r="U3088" s="11" t="s">
        <v>40</v>
      </c>
      <c r="V3088" s="11" t="s">
        <v>586</v>
      </c>
      <c r="W3088" s="11">
        <v>11000000</v>
      </c>
      <c r="X3088" s="11">
        <v>2007</v>
      </c>
      <c r="Y3088" s="11">
        <v>362</v>
      </c>
      <c r="Z3088" s="11">
        <v>5.8</v>
      </c>
      <c r="AA3088" s="11">
        <v>1.85</v>
      </c>
      <c r="AB3088" s="11">
        <v>411</v>
      </c>
      <c r="AC3088" s="11"/>
      <c r="AD3088" s="11" t="str">
        <f>IFERROR(__xludf.DUMMYFUNCTION("""COMPUTED_VALUE"""),"Valente Rodriguez")</f>
        <v>Valente Rodriguez</v>
      </c>
      <c r="AE3088" s="11"/>
    </row>
    <row r="3089" customHeight="1" spans="1:31">
      <c r="A3089" s="12" t="s">
        <v>30</v>
      </c>
      <c r="B3089" s="12" t="s">
        <v>14768</v>
      </c>
      <c r="C3089" s="12">
        <v>43</v>
      </c>
      <c r="D3089" s="12">
        <v>145</v>
      </c>
      <c r="E3089" s="12">
        <v>0</v>
      </c>
      <c r="F3089" s="12">
        <v>280</v>
      </c>
      <c r="G3089" s="12">
        <v>639</v>
      </c>
      <c r="H3089" s="12">
        <v>5669081</v>
      </c>
      <c r="I3089" s="12" t="s">
        <v>1962</v>
      </c>
      <c r="J3089" s="12" t="s">
        <v>14769</v>
      </c>
      <c r="K3089" s="12" t="s">
        <v>7012</v>
      </c>
      <c r="L3089" s="12" t="s">
        <v>13828</v>
      </c>
      <c r="M3089" s="12" t="s">
        <v>14770</v>
      </c>
      <c r="N3089" s="12">
        <v>3665</v>
      </c>
      <c r="O3089" s="12">
        <v>1807</v>
      </c>
      <c r="P3089" s="12">
        <v>1</v>
      </c>
      <c r="Q3089" s="12" t="s">
        <v>14771</v>
      </c>
      <c r="R3089" s="15" t="s">
        <v>14772</v>
      </c>
      <c r="S3089" s="12">
        <v>57</v>
      </c>
      <c r="T3089" s="12" t="s">
        <v>2779</v>
      </c>
      <c r="U3089" s="12" t="s">
        <v>2914</v>
      </c>
      <c r="V3089" s="12" t="s">
        <v>586</v>
      </c>
      <c r="W3089" s="12">
        <v>10818775</v>
      </c>
      <c r="X3089" s="12">
        <v>2012</v>
      </c>
      <c r="Y3089" s="12">
        <v>377</v>
      </c>
      <c r="Z3089" s="12">
        <v>6.6</v>
      </c>
      <c r="AA3089" s="12">
        <v>2.35</v>
      </c>
      <c r="AB3089" s="12">
        <v>0</v>
      </c>
      <c r="AC3089" s="12"/>
      <c r="AD3089" s="12" t="str">
        <f>IFERROR(__xludf.DUMMYFUNCTION("""COMPUTED_VALUE"""),"Diana Maria Riva")</f>
        <v>Diana Maria Riva</v>
      </c>
      <c r="AE3089" s="12"/>
    </row>
    <row r="3090" customHeight="1" spans="1:31">
      <c r="A3090" s="11" t="s">
        <v>30</v>
      </c>
      <c r="B3090" s="11" t="s">
        <v>14773</v>
      </c>
      <c r="C3090" s="11">
        <v>94</v>
      </c>
      <c r="D3090" s="11">
        <v>106</v>
      </c>
      <c r="E3090" s="11">
        <v>7</v>
      </c>
      <c r="F3090" s="11">
        <v>24</v>
      </c>
      <c r="G3090" s="11">
        <v>68</v>
      </c>
      <c r="H3090" s="13"/>
      <c r="I3090" s="11" t="s">
        <v>5511</v>
      </c>
      <c r="J3090" s="11" t="s">
        <v>14774</v>
      </c>
      <c r="K3090" s="11" t="s">
        <v>14775</v>
      </c>
      <c r="L3090" s="11" t="s">
        <v>14776</v>
      </c>
      <c r="M3090" s="11" t="s">
        <v>14777</v>
      </c>
      <c r="N3090" s="11">
        <v>15060</v>
      </c>
      <c r="O3090" s="11">
        <v>175</v>
      </c>
      <c r="P3090" s="11">
        <v>4</v>
      </c>
      <c r="Q3090" s="11" t="s">
        <v>14778</v>
      </c>
      <c r="R3090" s="14" t="s">
        <v>14779</v>
      </c>
      <c r="S3090" s="11">
        <v>27</v>
      </c>
      <c r="T3090" s="11" t="s">
        <v>1465</v>
      </c>
      <c r="U3090" s="11" t="s">
        <v>1466</v>
      </c>
      <c r="V3090" s="13"/>
      <c r="W3090" s="11">
        <v>11000000</v>
      </c>
      <c r="X3090" s="11">
        <v>2014</v>
      </c>
      <c r="Y3090" s="11">
        <v>29</v>
      </c>
      <c r="Z3090" s="11">
        <v>7.4</v>
      </c>
      <c r="AA3090" s="11">
        <v>1.85</v>
      </c>
      <c r="AB3090" s="11">
        <v>0</v>
      </c>
      <c r="AC3090" s="11"/>
      <c r="AD3090" s="11" t="str">
        <f>IFERROR(__xludf.DUMMYFUNCTION("""COMPUTED_VALUE"""),"Shad Moss")</f>
        <v>Shad Moss</v>
      </c>
      <c r="AE3090" s="11"/>
    </row>
    <row r="3091" customHeight="1" spans="1:31">
      <c r="A3091" s="12" t="s">
        <v>30</v>
      </c>
      <c r="B3091" s="12" t="s">
        <v>6052</v>
      </c>
      <c r="C3091" s="12">
        <v>161</v>
      </c>
      <c r="D3091" s="12">
        <v>126</v>
      </c>
      <c r="E3091" s="12">
        <v>835</v>
      </c>
      <c r="F3091" s="12">
        <v>893</v>
      </c>
      <c r="G3091" s="12">
        <v>49000</v>
      </c>
      <c r="H3091" s="12">
        <v>138339411</v>
      </c>
      <c r="I3091" s="12" t="s">
        <v>3410</v>
      </c>
      <c r="J3091" s="12" t="s">
        <v>811</v>
      </c>
      <c r="K3091" s="12" t="s">
        <v>1158</v>
      </c>
      <c r="L3091" s="12" t="s">
        <v>3491</v>
      </c>
      <c r="M3091" s="12" t="s">
        <v>14780</v>
      </c>
      <c r="N3091" s="12">
        <v>604904</v>
      </c>
      <c r="O3091" s="12">
        <v>63710</v>
      </c>
      <c r="P3091" s="12">
        <v>2</v>
      </c>
      <c r="Q3091" s="12" t="s">
        <v>14781</v>
      </c>
      <c r="R3091" s="15" t="s">
        <v>14782</v>
      </c>
      <c r="S3091" s="12">
        <v>682</v>
      </c>
      <c r="T3091" s="12" t="s">
        <v>39</v>
      </c>
      <c r="U3091" s="12" t="s">
        <v>40</v>
      </c>
      <c r="V3091" s="12" t="s">
        <v>586</v>
      </c>
      <c r="W3091" s="12">
        <v>10000000</v>
      </c>
      <c r="X3091" s="12">
        <v>1997</v>
      </c>
      <c r="Y3091" s="12">
        <v>13000</v>
      </c>
      <c r="Z3091" s="12">
        <v>8.3</v>
      </c>
      <c r="AA3091" s="12">
        <v>1.85</v>
      </c>
      <c r="AB3091" s="12">
        <v>31000</v>
      </c>
      <c r="AC3091" s="12"/>
      <c r="AD3091" s="12" t="str">
        <f>IFERROR(__xludf.DUMMYFUNCTION("""COMPUTED_VALUE"""),"Adam Boyer")</f>
        <v>Adam Boyer</v>
      </c>
      <c r="AE3091" s="12"/>
    </row>
    <row r="3092" customHeight="1" spans="1:31">
      <c r="A3092" s="11" t="s">
        <v>30</v>
      </c>
      <c r="B3092" s="11" t="s">
        <v>14783</v>
      </c>
      <c r="C3092" s="11">
        <v>38</v>
      </c>
      <c r="D3092" s="11">
        <v>106</v>
      </c>
      <c r="E3092" s="11">
        <v>29</v>
      </c>
      <c r="F3092" s="11">
        <v>571</v>
      </c>
      <c r="G3092" s="11">
        <v>14000</v>
      </c>
      <c r="H3092" s="13"/>
      <c r="I3092" s="11" t="s">
        <v>4075</v>
      </c>
      <c r="J3092" s="11" t="s">
        <v>2383</v>
      </c>
      <c r="K3092" s="11" t="s">
        <v>763</v>
      </c>
      <c r="L3092" s="11" t="s">
        <v>14784</v>
      </c>
      <c r="M3092" s="11" t="s">
        <v>14785</v>
      </c>
      <c r="N3092" s="11">
        <v>6935</v>
      </c>
      <c r="O3092" s="11">
        <v>27660</v>
      </c>
      <c r="P3092" s="11">
        <v>3</v>
      </c>
      <c r="Q3092" s="11" t="s">
        <v>14786</v>
      </c>
      <c r="R3092" s="14" t="s">
        <v>14787</v>
      </c>
      <c r="S3092" s="11">
        <v>50</v>
      </c>
      <c r="T3092" s="11" t="s">
        <v>39</v>
      </c>
      <c r="U3092" s="11" t="s">
        <v>40</v>
      </c>
      <c r="V3092" s="11" t="s">
        <v>586</v>
      </c>
      <c r="W3092" s="11">
        <v>11000000</v>
      </c>
      <c r="X3092" s="11">
        <v>2016</v>
      </c>
      <c r="Y3092" s="11">
        <v>12000</v>
      </c>
      <c r="Z3092" s="11">
        <v>5.3</v>
      </c>
      <c r="AA3092" s="11">
        <v>2.35</v>
      </c>
      <c r="AB3092" s="11">
        <v>0</v>
      </c>
      <c r="AC3092" s="11"/>
      <c r="AD3092" s="11" t="str">
        <f>IFERROR(__xludf.DUMMYFUNCTION("""COMPUTED_VALUE"""),"Malika")</f>
        <v>Malika</v>
      </c>
      <c r="AE3092" s="11"/>
    </row>
    <row r="3093" customHeight="1" spans="1:31">
      <c r="A3093" s="12" t="s">
        <v>30</v>
      </c>
      <c r="B3093" s="12" t="s">
        <v>14788</v>
      </c>
      <c r="C3093" s="12">
        <v>210</v>
      </c>
      <c r="D3093" s="12">
        <v>121</v>
      </c>
      <c r="E3093" s="12">
        <v>163</v>
      </c>
      <c r="F3093" s="12">
        <v>482</v>
      </c>
      <c r="G3093" s="12">
        <v>723</v>
      </c>
      <c r="H3093" s="12">
        <v>80150343</v>
      </c>
      <c r="I3093" s="12" t="s">
        <v>5104</v>
      </c>
      <c r="J3093" s="12" t="s">
        <v>5920</v>
      </c>
      <c r="K3093" s="12" t="s">
        <v>14551</v>
      </c>
      <c r="L3093" s="12" t="s">
        <v>14789</v>
      </c>
      <c r="M3093" s="12" t="s">
        <v>14790</v>
      </c>
      <c r="N3093" s="12">
        <v>142115</v>
      </c>
      <c r="O3093" s="12">
        <v>3189</v>
      </c>
      <c r="P3093" s="12">
        <v>0</v>
      </c>
      <c r="Q3093" s="12" t="s">
        <v>14791</v>
      </c>
      <c r="R3093" s="15" t="s">
        <v>14792</v>
      </c>
      <c r="S3093" s="12">
        <v>614</v>
      </c>
      <c r="T3093" s="12" t="s">
        <v>39</v>
      </c>
      <c r="U3093" s="12" t="s">
        <v>40</v>
      </c>
      <c r="V3093" s="12" t="s">
        <v>586</v>
      </c>
      <c r="W3093" s="12">
        <v>10000000</v>
      </c>
      <c r="X3093" s="12">
        <v>2006</v>
      </c>
      <c r="Y3093" s="12">
        <v>651</v>
      </c>
      <c r="Z3093" s="12">
        <v>6.2</v>
      </c>
      <c r="AA3093" s="12">
        <v>1.85</v>
      </c>
      <c r="AB3093" s="12">
        <v>0</v>
      </c>
      <c r="AC3093" s="12"/>
      <c r="AD3093" s="12" t="str">
        <f>IFERROR(__xludf.DUMMYFUNCTION("""COMPUTED_VALUE"""),"Ben Platt")</f>
        <v>Ben Platt</v>
      </c>
      <c r="AE3093" s="12"/>
    </row>
    <row r="3094" customHeight="1" spans="1:31">
      <c r="A3094" s="11" t="s">
        <v>30</v>
      </c>
      <c r="B3094" s="11" t="s">
        <v>2699</v>
      </c>
      <c r="C3094" s="11">
        <v>52</v>
      </c>
      <c r="D3094" s="11">
        <v>117</v>
      </c>
      <c r="E3094" s="11">
        <v>425</v>
      </c>
      <c r="F3094" s="11">
        <v>901</v>
      </c>
      <c r="G3094" s="11">
        <v>13000</v>
      </c>
      <c r="H3094" s="11">
        <v>85300000</v>
      </c>
      <c r="I3094" s="11" t="s">
        <v>7959</v>
      </c>
      <c r="J3094" s="11" t="s">
        <v>549</v>
      </c>
      <c r="K3094" s="11" t="s">
        <v>4219</v>
      </c>
      <c r="L3094" s="11" t="s">
        <v>3659</v>
      </c>
      <c r="M3094" s="11" t="s">
        <v>14793</v>
      </c>
      <c r="N3094" s="11">
        <v>48629</v>
      </c>
      <c r="O3094" s="11">
        <v>27378</v>
      </c>
      <c r="P3094" s="11">
        <v>1</v>
      </c>
      <c r="Q3094" s="11" t="s">
        <v>14794</v>
      </c>
      <c r="R3094" s="14" t="s">
        <v>14795</v>
      </c>
      <c r="S3094" s="11">
        <v>134</v>
      </c>
      <c r="T3094" s="11" t="s">
        <v>39</v>
      </c>
      <c r="U3094" s="11" t="s">
        <v>40</v>
      </c>
      <c r="V3094" s="11" t="s">
        <v>586</v>
      </c>
      <c r="W3094" s="11">
        <v>10000000</v>
      </c>
      <c r="X3094" s="11">
        <v>1981</v>
      </c>
      <c r="Y3094" s="11">
        <v>11000</v>
      </c>
      <c r="Z3094" s="11">
        <v>6.9</v>
      </c>
      <c r="AA3094" s="11">
        <v>1.85</v>
      </c>
      <c r="AB3094" s="11">
        <v>0</v>
      </c>
      <c r="AC3094" s="11"/>
      <c r="AD3094" s="11" t="str">
        <f>IFERROR(__xludf.DUMMYFUNCTION("""COMPUTED_VALUE"""),"Megyn Price")</f>
        <v>Megyn Price</v>
      </c>
      <c r="AE3094" s="11"/>
    </row>
    <row r="3095" customHeight="1" spans="1:31">
      <c r="A3095" s="12" t="s">
        <v>30</v>
      </c>
      <c r="B3095" s="12" t="s">
        <v>1166</v>
      </c>
      <c r="C3095" s="12">
        <v>139</v>
      </c>
      <c r="D3095" s="12">
        <v>98</v>
      </c>
      <c r="E3095" s="12">
        <v>235</v>
      </c>
      <c r="F3095" s="12">
        <v>229</v>
      </c>
      <c r="G3095" s="12">
        <v>4000</v>
      </c>
      <c r="H3095" s="12">
        <v>68353550</v>
      </c>
      <c r="I3095" s="12" t="s">
        <v>3914</v>
      </c>
      <c r="J3095" s="12" t="s">
        <v>84</v>
      </c>
      <c r="K3095" s="12" t="s">
        <v>6453</v>
      </c>
      <c r="L3095" s="12" t="s">
        <v>14796</v>
      </c>
      <c r="M3095" s="12" t="s">
        <v>14797</v>
      </c>
      <c r="N3095" s="12">
        <v>70141</v>
      </c>
      <c r="O3095" s="12">
        <v>5270</v>
      </c>
      <c r="P3095" s="12">
        <v>1</v>
      </c>
      <c r="Q3095" s="12" t="s">
        <v>14798</v>
      </c>
      <c r="R3095" s="15" t="s">
        <v>14799</v>
      </c>
      <c r="S3095" s="12">
        <v>385</v>
      </c>
      <c r="T3095" s="12" t="s">
        <v>39</v>
      </c>
      <c r="U3095" s="12" t="s">
        <v>40</v>
      </c>
      <c r="V3095" s="12" t="s">
        <v>41</v>
      </c>
      <c r="W3095" s="12">
        <v>10000000</v>
      </c>
      <c r="X3095" s="12">
        <v>2000</v>
      </c>
      <c r="Y3095" s="12">
        <v>464</v>
      </c>
      <c r="Z3095" s="12">
        <v>5.9</v>
      </c>
      <c r="AA3095" s="12">
        <v>1.85</v>
      </c>
      <c r="AB3095" s="12">
        <v>0</v>
      </c>
      <c r="AC3095" s="12"/>
      <c r="AD3095" s="12" t="str">
        <f>IFERROR(__xludf.DUMMYFUNCTION("""COMPUTED_VALUE"""),"Kevin Clash")</f>
        <v>Kevin Clash</v>
      </c>
      <c r="AE3095" s="12"/>
    </row>
    <row r="3096" customHeight="1" spans="1:31">
      <c r="A3096" s="11" t="s">
        <v>30</v>
      </c>
      <c r="B3096" s="11" t="s">
        <v>14800</v>
      </c>
      <c r="C3096" s="11">
        <v>165</v>
      </c>
      <c r="D3096" s="11">
        <v>109</v>
      </c>
      <c r="E3096" s="11">
        <v>65</v>
      </c>
      <c r="F3096" s="11">
        <v>393</v>
      </c>
      <c r="G3096" s="11">
        <v>798</v>
      </c>
      <c r="H3096" s="11">
        <v>78845130</v>
      </c>
      <c r="I3096" s="11" t="s">
        <v>2208</v>
      </c>
      <c r="J3096" s="11" t="s">
        <v>1699</v>
      </c>
      <c r="K3096" s="11" t="s">
        <v>10798</v>
      </c>
      <c r="L3096" s="11" t="s">
        <v>5552</v>
      </c>
      <c r="M3096" s="11" t="s">
        <v>14801</v>
      </c>
      <c r="N3096" s="11">
        <v>17596</v>
      </c>
      <c r="O3096" s="11">
        <v>2480</v>
      </c>
      <c r="P3096" s="11">
        <v>1</v>
      </c>
      <c r="Q3096" s="11" t="s">
        <v>14802</v>
      </c>
      <c r="R3096" s="14" t="s">
        <v>14803</v>
      </c>
      <c r="S3096" s="11">
        <v>94</v>
      </c>
      <c r="T3096" s="11" t="s">
        <v>39</v>
      </c>
      <c r="U3096" s="11" t="s">
        <v>1466</v>
      </c>
      <c r="V3096" s="11" t="s">
        <v>586</v>
      </c>
      <c r="W3096" s="11">
        <v>10000000</v>
      </c>
      <c r="X3096" s="11">
        <v>2016</v>
      </c>
      <c r="Y3096" s="11">
        <v>465</v>
      </c>
      <c r="Z3096" s="11">
        <v>6.1</v>
      </c>
      <c r="AA3096" s="11">
        <v>2.35</v>
      </c>
      <c r="AB3096" s="11">
        <v>0</v>
      </c>
      <c r="AC3096" s="11"/>
      <c r="AD3096" s="11" t="str">
        <f>IFERROR(__xludf.DUMMYFUNCTION("""COMPUTED_VALUE"""),"Caroll Spinney")</f>
        <v>Caroll Spinney</v>
      </c>
      <c r="AE3096" s="11"/>
    </row>
    <row r="3097" customHeight="1" spans="1:31">
      <c r="A3097" s="12" t="s">
        <v>30</v>
      </c>
      <c r="B3097" s="12" t="s">
        <v>12475</v>
      </c>
      <c r="C3097" s="12">
        <v>96</v>
      </c>
      <c r="D3097" s="12">
        <v>95</v>
      </c>
      <c r="E3097" s="12">
        <v>7</v>
      </c>
      <c r="F3097" s="12">
        <v>1000</v>
      </c>
      <c r="G3097" s="12">
        <v>23000</v>
      </c>
      <c r="H3097" s="12">
        <v>63319509</v>
      </c>
      <c r="I3097" s="12" t="s">
        <v>1681</v>
      </c>
      <c r="J3097" s="12" t="s">
        <v>336</v>
      </c>
      <c r="K3097" s="12" t="s">
        <v>6005</v>
      </c>
      <c r="L3097" s="12" t="s">
        <v>2457</v>
      </c>
      <c r="M3097" s="12" t="s">
        <v>14804</v>
      </c>
      <c r="N3097" s="12">
        <v>67115</v>
      </c>
      <c r="O3097" s="12">
        <v>28734</v>
      </c>
      <c r="P3097" s="12">
        <v>2</v>
      </c>
      <c r="Q3097" s="12" t="s">
        <v>14805</v>
      </c>
      <c r="R3097" s="15" t="s">
        <v>14806</v>
      </c>
      <c r="S3097" s="12">
        <v>389</v>
      </c>
      <c r="T3097" s="12" t="s">
        <v>39</v>
      </c>
      <c r="U3097" s="12" t="s">
        <v>40</v>
      </c>
      <c r="V3097" s="12" t="s">
        <v>41</v>
      </c>
      <c r="W3097" s="12">
        <v>10000000</v>
      </c>
      <c r="X3097" s="12">
        <v>1999</v>
      </c>
      <c r="Y3097" s="12">
        <v>1000</v>
      </c>
      <c r="Z3097" s="12">
        <v>5.8</v>
      </c>
      <c r="AA3097" s="12">
        <v>1.85</v>
      </c>
      <c r="AB3097" s="12">
        <v>0</v>
      </c>
      <c r="AC3097" s="12"/>
      <c r="AD3097" s="12" t="str">
        <f>IFERROR(__xludf.DUMMYFUNCTION("""COMPUTED_VALUE"""),"Ava Gardner")</f>
        <v>Ava Gardner</v>
      </c>
      <c r="AE3097" s="12"/>
    </row>
    <row r="3098" customHeight="1" spans="1:31">
      <c r="A3098" s="11" t="s">
        <v>30</v>
      </c>
      <c r="B3098" s="11" t="s">
        <v>7038</v>
      </c>
      <c r="C3098" s="11">
        <v>323</v>
      </c>
      <c r="D3098" s="11">
        <v>109</v>
      </c>
      <c r="E3098" s="11">
        <v>304</v>
      </c>
      <c r="F3098" s="11">
        <v>736</v>
      </c>
      <c r="G3098" s="11">
        <v>939</v>
      </c>
      <c r="H3098" s="11">
        <v>47536959</v>
      </c>
      <c r="I3098" s="11" t="s">
        <v>3410</v>
      </c>
      <c r="J3098" s="11" t="s">
        <v>5453</v>
      </c>
      <c r="K3098" s="11" t="s">
        <v>2364</v>
      </c>
      <c r="L3098" s="11" t="s">
        <v>7039</v>
      </c>
      <c r="M3098" s="11" t="s">
        <v>7040</v>
      </c>
      <c r="N3098" s="11">
        <v>86956</v>
      </c>
      <c r="O3098" s="11">
        <v>3276</v>
      </c>
      <c r="P3098" s="11">
        <v>0</v>
      </c>
      <c r="Q3098" s="11" t="s">
        <v>7041</v>
      </c>
      <c r="R3098" s="14" t="s">
        <v>7042</v>
      </c>
      <c r="S3098" s="11">
        <v>275</v>
      </c>
      <c r="T3098" s="11" t="s">
        <v>39</v>
      </c>
      <c r="U3098" s="11" t="s">
        <v>40</v>
      </c>
      <c r="V3098" s="11" t="s">
        <v>586</v>
      </c>
      <c r="W3098" s="11">
        <v>10000000</v>
      </c>
      <c r="X3098" s="11">
        <v>2009</v>
      </c>
      <c r="Y3098" s="11">
        <v>906</v>
      </c>
      <c r="Z3098" s="11">
        <v>7.3</v>
      </c>
      <c r="AA3098" s="11">
        <v>1.85</v>
      </c>
      <c r="AB3098" s="11">
        <v>12000</v>
      </c>
      <c r="AC3098" s="11"/>
      <c r="AD3098" s="11" t="str">
        <f>IFERROR(__xludf.DUMMYFUNCTION("""COMPUTED_VALUE"""),"David Niven")</f>
        <v>David Niven</v>
      </c>
      <c r="AE3098" s="11"/>
    </row>
    <row r="3099" customHeight="1" spans="1:31">
      <c r="A3099" s="12" t="s">
        <v>30</v>
      </c>
      <c r="B3099" s="12" t="s">
        <v>14788</v>
      </c>
      <c r="C3099" s="12">
        <v>190</v>
      </c>
      <c r="D3099" s="12">
        <v>96</v>
      </c>
      <c r="E3099" s="12">
        <v>163</v>
      </c>
      <c r="F3099" s="12">
        <v>448</v>
      </c>
      <c r="G3099" s="12">
        <v>723</v>
      </c>
      <c r="H3099" s="12">
        <v>63270259</v>
      </c>
      <c r="I3099" s="12" t="s">
        <v>5104</v>
      </c>
      <c r="J3099" s="12" t="s">
        <v>5920</v>
      </c>
      <c r="K3099" s="12" t="s">
        <v>14551</v>
      </c>
      <c r="L3099" s="12" t="s">
        <v>7691</v>
      </c>
      <c r="M3099" s="12" t="s">
        <v>14807</v>
      </c>
      <c r="N3099" s="12">
        <v>111087</v>
      </c>
      <c r="O3099" s="12">
        <v>3492</v>
      </c>
      <c r="P3099" s="12">
        <v>0</v>
      </c>
      <c r="Q3099" s="12" t="s">
        <v>14808</v>
      </c>
      <c r="R3099" s="15" t="s">
        <v>14809</v>
      </c>
      <c r="S3099" s="12">
        <v>319</v>
      </c>
      <c r="T3099" s="12" t="s">
        <v>39</v>
      </c>
      <c r="U3099" s="12" t="s">
        <v>40</v>
      </c>
      <c r="V3099" s="12" t="s">
        <v>586</v>
      </c>
      <c r="W3099" s="12">
        <v>10000000</v>
      </c>
      <c r="X3099" s="12">
        <v>2007</v>
      </c>
      <c r="Y3099" s="12">
        <v>651</v>
      </c>
      <c r="Z3099" s="12">
        <v>5.9</v>
      </c>
      <c r="AA3099" s="12">
        <v>1.85</v>
      </c>
      <c r="AB3099" s="12">
        <v>0</v>
      </c>
      <c r="AC3099" s="12"/>
      <c r="AD3099" s="12" t="str">
        <f>IFERROR(__xludf.DUMMYFUNCTION("""COMPUTED_VALUE"""),"John Ireland")</f>
        <v>John Ireland</v>
      </c>
      <c r="AE3099" s="12"/>
    </row>
    <row r="3100" customHeight="1" spans="1:31">
      <c r="A3100" s="11" t="s">
        <v>30</v>
      </c>
      <c r="B3100" s="11" t="s">
        <v>6855</v>
      </c>
      <c r="C3100" s="11">
        <v>173</v>
      </c>
      <c r="D3100" s="11">
        <v>101</v>
      </c>
      <c r="E3100" s="11">
        <v>13</v>
      </c>
      <c r="F3100" s="11">
        <v>368</v>
      </c>
      <c r="G3100" s="11">
        <v>494</v>
      </c>
      <c r="H3100" s="11">
        <v>55865715</v>
      </c>
      <c r="I3100" s="11" t="s">
        <v>6133</v>
      </c>
      <c r="J3100" s="11" t="s">
        <v>5084</v>
      </c>
      <c r="K3100" s="11" t="s">
        <v>9272</v>
      </c>
      <c r="L3100" s="11" t="s">
        <v>4410</v>
      </c>
      <c r="M3100" s="11" t="s">
        <v>14810</v>
      </c>
      <c r="N3100" s="11">
        <v>41763</v>
      </c>
      <c r="O3100" s="11">
        <v>2013</v>
      </c>
      <c r="P3100" s="11">
        <v>0</v>
      </c>
      <c r="Q3100" s="11" t="s">
        <v>14811</v>
      </c>
      <c r="R3100" s="14" t="s">
        <v>14812</v>
      </c>
      <c r="S3100" s="11">
        <v>403</v>
      </c>
      <c r="T3100" s="11" t="s">
        <v>39</v>
      </c>
      <c r="U3100" s="11" t="s">
        <v>58</v>
      </c>
      <c r="V3100" s="11" t="s">
        <v>41</v>
      </c>
      <c r="W3100" s="11">
        <v>10000000</v>
      </c>
      <c r="X3100" s="11">
        <v>2005</v>
      </c>
      <c r="Y3100" s="11">
        <v>392</v>
      </c>
      <c r="Z3100" s="11">
        <v>5.5</v>
      </c>
      <c r="AA3100" s="11">
        <v>2.35</v>
      </c>
      <c r="AB3100" s="11">
        <v>0</v>
      </c>
      <c r="AC3100" s="11"/>
      <c r="AD3100" s="11" t="str">
        <f>IFERROR(__xludf.DUMMYFUNCTION("""COMPUTED_VALUE"""),"Elizabeth Blackmore")</f>
        <v>Elizabeth Blackmore</v>
      </c>
      <c r="AE3100" s="11"/>
    </row>
    <row r="3101" customHeight="1" spans="1:31">
      <c r="A3101" s="12" t="s">
        <v>30</v>
      </c>
      <c r="B3101" s="12" t="s">
        <v>9517</v>
      </c>
      <c r="C3101" s="12">
        <v>46</v>
      </c>
      <c r="D3101" s="12">
        <v>107</v>
      </c>
      <c r="E3101" s="12">
        <v>0</v>
      </c>
      <c r="F3101" s="12">
        <v>685</v>
      </c>
      <c r="G3101" s="12">
        <v>1000</v>
      </c>
      <c r="H3101" s="12">
        <v>63231524</v>
      </c>
      <c r="I3101" s="12" t="s">
        <v>1415</v>
      </c>
      <c r="J3101" s="12" t="s">
        <v>2815</v>
      </c>
      <c r="K3101" s="12" t="s">
        <v>7513</v>
      </c>
      <c r="L3101" s="12" t="s">
        <v>7214</v>
      </c>
      <c r="M3101" s="12" t="s">
        <v>14813</v>
      </c>
      <c r="N3101" s="12">
        <v>8962</v>
      </c>
      <c r="O3101" s="12">
        <v>5264</v>
      </c>
      <c r="P3101" s="12">
        <v>4</v>
      </c>
      <c r="Q3101" s="12" t="s">
        <v>14814</v>
      </c>
      <c r="R3101" s="15" t="s">
        <v>14815</v>
      </c>
      <c r="S3101" s="12">
        <v>137</v>
      </c>
      <c r="T3101" s="12" t="s">
        <v>39</v>
      </c>
      <c r="U3101" s="12" t="s">
        <v>40</v>
      </c>
      <c r="V3101" s="12" t="s">
        <v>41</v>
      </c>
      <c r="W3101" s="12">
        <v>6000000</v>
      </c>
      <c r="X3101" s="12">
        <v>2006</v>
      </c>
      <c r="Y3101" s="12">
        <v>907</v>
      </c>
      <c r="Z3101" s="12">
        <v>5</v>
      </c>
      <c r="AA3101" s="12">
        <v>1.85</v>
      </c>
      <c r="AB3101" s="12">
        <v>676</v>
      </c>
      <c r="AC3101" s="12"/>
      <c r="AD3101" s="12" t="str">
        <f>IFERROR(__xludf.DUMMYFUNCTION("""COMPUTED_VALUE"""),"Ellen Sandweiss")</f>
        <v>Ellen Sandweiss</v>
      </c>
      <c r="AE3101" s="12"/>
    </row>
    <row r="3102" customHeight="1" spans="1:31">
      <c r="A3102" s="11" t="s">
        <v>30</v>
      </c>
      <c r="B3102" s="11" t="s">
        <v>488</v>
      </c>
      <c r="C3102" s="11">
        <v>59</v>
      </c>
      <c r="D3102" s="11">
        <v>119</v>
      </c>
      <c r="E3102" s="11">
        <v>17000</v>
      </c>
      <c r="F3102" s="11">
        <v>638</v>
      </c>
      <c r="G3102" s="11">
        <v>10000</v>
      </c>
      <c r="H3102" s="11">
        <v>52293982</v>
      </c>
      <c r="I3102" s="11" t="s">
        <v>3794</v>
      </c>
      <c r="J3102" s="11" t="s">
        <v>523</v>
      </c>
      <c r="K3102" s="11" t="s">
        <v>3833</v>
      </c>
      <c r="L3102" s="11" t="s">
        <v>1347</v>
      </c>
      <c r="M3102" s="11" t="s">
        <v>14816</v>
      </c>
      <c r="N3102" s="11">
        <v>57831</v>
      </c>
      <c r="O3102" s="11">
        <v>11895</v>
      </c>
      <c r="P3102" s="11">
        <v>1</v>
      </c>
      <c r="Q3102" s="11" t="s">
        <v>14817</v>
      </c>
      <c r="R3102" s="14" t="s">
        <v>14818</v>
      </c>
      <c r="S3102" s="11">
        <v>115</v>
      </c>
      <c r="T3102" s="11" t="s">
        <v>39</v>
      </c>
      <c r="U3102" s="11" t="s">
        <v>40</v>
      </c>
      <c r="V3102" s="11" t="s">
        <v>586</v>
      </c>
      <c r="W3102" s="11">
        <v>13800000</v>
      </c>
      <c r="X3102" s="11">
        <v>1986</v>
      </c>
      <c r="Y3102" s="11">
        <v>970</v>
      </c>
      <c r="Z3102" s="11">
        <v>7</v>
      </c>
      <c r="AA3102" s="11">
        <v>1.85</v>
      </c>
      <c r="AB3102" s="11">
        <v>0</v>
      </c>
      <c r="AC3102" s="11"/>
      <c r="AD3102" s="11" t="str">
        <f>IFERROR(__xludf.DUMMYFUNCTION("""COMPUTED_VALUE"""),"Harland Williams")</f>
        <v>Harland Williams</v>
      </c>
      <c r="AE3102" s="11"/>
    </row>
    <row r="3103" customHeight="1" spans="1:31">
      <c r="A3103" s="12" t="s">
        <v>748</v>
      </c>
      <c r="B3103" s="12" t="s">
        <v>14819</v>
      </c>
      <c r="C3103" s="12">
        <v>53</v>
      </c>
      <c r="D3103" s="12">
        <v>178</v>
      </c>
      <c r="E3103" s="12">
        <v>19</v>
      </c>
      <c r="F3103" s="12">
        <v>196</v>
      </c>
      <c r="G3103" s="12">
        <v>726</v>
      </c>
      <c r="H3103" s="16"/>
      <c r="I3103" s="12" t="s">
        <v>1017</v>
      </c>
      <c r="J3103" s="12" t="s">
        <v>6114</v>
      </c>
      <c r="K3103" s="12" t="s">
        <v>14820</v>
      </c>
      <c r="L3103" s="12" t="s">
        <v>14821</v>
      </c>
      <c r="M3103" s="12" t="s">
        <v>14822</v>
      </c>
      <c r="N3103" s="12">
        <v>43270</v>
      </c>
      <c r="O3103" s="12">
        <v>1554</v>
      </c>
      <c r="P3103" s="12">
        <v>3</v>
      </c>
      <c r="Q3103" s="12" t="s">
        <v>14823</v>
      </c>
      <c r="R3103" s="15" t="s">
        <v>14824</v>
      </c>
      <c r="S3103" s="12">
        <v>192</v>
      </c>
      <c r="T3103" s="12" t="s">
        <v>39</v>
      </c>
      <c r="U3103" s="12" t="s">
        <v>40</v>
      </c>
      <c r="V3103" s="12" t="s">
        <v>278</v>
      </c>
      <c r="W3103" s="12">
        <v>10000000</v>
      </c>
      <c r="X3103" s="12">
        <v>1962</v>
      </c>
      <c r="Y3103" s="12">
        <v>249</v>
      </c>
      <c r="Z3103" s="12">
        <v>7.8</v>
      </c>
      <c r="AA3103" s="12">
        <v>2.35</v>
      </c>
      <c r="AB3103" s="12">
        <v>0</v>
      </c>
      <c r="AC3103" s="12"/>
      <c r="AD3103" s="12" t="str">
        <f>IFERROR(__xludf.DUMMYFUNCTION("""COMPUTED_VALUE"""),"Rachel Dratch")</f>
        <v>Rachel Dratch</v>
      </c>
      <c r="AE3103" s="12"/>
    </row>
    <row r="3104" customHeight="1" spans="1:31">
      <c r="A3104" s="11" t="s">
        <v>30</v>
      </c>
      <c r="B3104" s="11" t="s">
        <v>4438</v>
      </c>
      <c r="C3104" s="11">
        <v>22</v>
      </c>
      <c r="D3104" s="11">
        <v>100</v>
      </c>
      <c r="E3104" s="11">
        <v>65</v>
      </c>
      <c r="F3104" s="11">
        <v>577</v>
      </c>
      <c r="G3104" s="11">
        <v>633</v>
      </c>
      <c r="H3104" s="11">
        <v>50752337</v>
      </c>
      <c r="I3104" s="11" t="s">
        <v>7445</v>
      </c>
      <c r="J3104" s="11" t="s">
        <v>14515</v>
      </c>
      <c r="K3104" s="11" t="s">
        <v>6610</v>
      </c>
      <c r="L3104" s="11" t="s">
        <v>2630</v>
      </c>
      <c r="M3104" s="11" t="s">
        <v>14825</v>
      </c>
      <c r="N3104" s="11">
        <v>44502</v>
      </c>
      <c r="O3104" s="11">
        <v>3362</v>
      </c>
      <c r="P3104" s="11">
        <v>8</v>
      </c>
      <c r="Q3104" s="11" t="s">
        <v>14826</v>
      </c>
      <c r="R3104" s="14" t="s">
        <v>14827</v>
      </c>
      <c r="S3104" s="11">
        <v>46</v>
      </c>
      <c r="T3104" s="11" t="s">
        <v>39</v>
      </c>
      <c r="U3104" s="11" t="s">
        <v>40</v>
      </c>
      <c r="V3104" s="11" t="s">
        <v>96</v>
      </c>
      <c r="W3104" s="11">
        <v>10000000</v>
      </c>
      <c r="X3104" s="11">
        <v>1992</v>
      </c>
      <c r="Y3104" s="11">
        <v>613</v>
      </c>
      <c r="Z3104" s="11">
        <v>6.4</v>
      </c>
      <c r="AA3104" s="11">
        <v>1.85</v>
      </c>
      <c r="AB3104" s="11">
        <v>0</v>
      </c>
      <c r="AC3104" s="11"/>
      <c r="AD3104" s="11" t="str">
        <f>IFERROR(__xludf.DUMMYFUNCTION("""COMPUTED_VALUE"""),"DeRay Davis")</f>
        <v>DeRay Davis</v>
      </c>
      <c r="AE3104" s="11"/>
    </row>
    <row r="3105" customHeight="1" spans="1:31">
      <c r="A3105" s="12" t="s">
        <v>30</v>
      </c>
      <c r="B3105" s="12" t="s">
        <v>10820</v>
      </c>
      <c r="C3105" s="12">
        <v>203</v>
      </c>
      <c r="D3105" s="12">
        <v>98</v>
      </c>
      <c r="E3105" s="12">
        <v>70</v>
      </c>
      <c r="F3105" s="12">
        <v>634</v>
      </c>
      <c r="G3105" s="12">
        <v>4000</v>
      </c>
      <c r="H3105" s="12">
        <v>110175871</v>
      </c>
      <c r="I3105" s="12" t="s">
        <v>3030</v>
      </c>
      <c r="J3105" s="12" t="s">
        <v>2477</v>
      </c>
      <c r="K3105" s="12" t="s">
        <v>6005</v>
      </c>
      <c r="L3105" s="12" t="s">
        <v>14828</v>
      </c>
      <c r="M3105" s="12" t="s">
        <v>14829</v>
      </c>
      <c r="N3105" s="12">
        <v>115050</v>
      </c>
      <c r="O3105" s="12">
        <v>7461</v>
      </c>
      <c r="P3105" s="12">
        <v>0</v>
      </c>
      <c r="Q3105" s="12" t="s">
        <v>14830</v>
      </c>
      <c r="R3105" s="15" t="s">
        <v>14831</v>
      </c>
      <c r="S3105" s="12">
        <v>911</v>
      </c>
      <c r="T3105" s="12" t="s">
        <v>39</v>
      </c>
      <c r="U3105" s="12" t="s">
        <v>40</v>
      </c>
      <c r="V3105" s="12" t="s">
        <v>41</v>
      </c>
      <c r="W3105" s="12">
        <v>10000000</v>
      </c>
      <c r="X3105" s="12">
        <v>2004</v>
      </c>
      <c r="Y3105" s="12">
        <v>1000</v>
      </c>
      <c r="Z3105" s="12">
        <v>5.9</v>
      </c>
      <c r="AA3105" s="12">
        <v>1.85</v>
      </c>
      <c r="AB3105" s="12">
        <v>4000</v>
      </c>
      <c r="AC3105" s="12"/>
      <c r="AD3105" s="12" t="str">
        <f>IFERROR(__xludf.DUMMYFUNCTION("""COMPUTED_VALUE"""),"Clé Bennett")</f>
        <v>Clé Bennett</v>
      </c>
      <c r="AE3105" s="12"/>
    </row>
    <row r="3106" customHeight="1" spans="1:31">
      <c r="A3106" s="11" t="s">
        <v>30</v>
      </c>
      <c r="B3106" s="11" t="s">
        <v>2179</v>
      </c>
      <c r="C3106" s="11">
        <v>77</v>
      </c>
      <c r="D3106" s="11">
        <v>92</v>
      </c>
      <c r="E3106" s="11">
        <v>221</v>
      </c>
      <c r="F3106" s="11">
        <v>491</v>
      </c>
      <c r="G3106" s="11">
        <v>11000</v>
      </c>
      <c r="H3106" s="11">
        <v>38624000</v>
      </c>
      <c r="I3106" s="11" t="s">
        <v>3914</v>
      </c>
      <c r="J3106" s="11" t="s">
        <v>2180</v>
      </c>
      <c r="K3106" s="11" t="s">
        <v>2182</v>
      </c>
      <c r="L3106" s="11" t="s">
        <v>14832</v>
      </c>
      <c r="M3106" s="11" t="s">
        <v>14833</v>
      </c>
      <c r="N3106" s="11">
        <v>156143</v>
      </c>
      <c r="O3106" s="11">
        <v>13162</v>
      </c>
      <c r="P3106" s="11">
        <v>1</v>
      </c>
      <c r="Q3106" s="11" t="s">
        <v>14834</v>
      </c>
      <c r="R3106" s="14" t="s">
        <v>14835</v>
      </c>
      <c r="S3106" s="11">
        <v>289</v>
      </c>
      <c r="T3106" s="11" t="s">
        <v>39</v>
      </c>
      <c r="U3106" s="11" t="s">
        <v>40</v>
      </c>
      <c r="V3106" s="11" t="s">
        <v>41</v>
      </c>
      <c r="W3106" s="11">
        <v>12000000</v>
      </c>
      <c r="X3106" s="11">
        <v>1996</v>
      </c>
      <c r="Y3106" s="11">
        <v>503</v>
      </c>
      <c r="Z3106" s="11">
        <v>7</v>
      </c>
      <c r="AA3106" s="11">
        <v>1.85</v>
      </c>
      <c r="AB3106" s="11">
        <v>0</v>
      </c>
      <c r="AC3106" s="11"/>
      <c r="AD3106" s="11" t="str">
        <f>IFERROR(__xludf.DUMMYFUNCTION("""COMPUTED_VALUE"""),"Conrad Coates")</f>
        <v>Conrad Coates</v>
      </c>
      <c r="AE3106" s="11"/>
    </row>
    <row r="3107" customHeight="1" spans="1:31">
      <c r="A3107" s="12" t="s">
        <v>30</v>
      </c>
      <c r="B3107" s="12" t="s">
        <v>9611</v>
      </c>
      <c r="C3107" s="12">
        <v>190</v>
      </c>
      <c r="D3107" s="12">
        <v>90</v>
      </c>
      <c r="E3107" s="12">
        <v>108</v>
      </c>
      <c r="F3107" s="12">
        <v>270</v>
      </c>
      <c r="G3107" s="12">
        <v>1000</v>
      </c>
      <c r="H3107" s="12">
        <v>37470017</v>
      </c>
      <c r="I3107" s="12" t="s">
        <v>5104</v>
      </c>
      <c r="J3107" s="12" t="s">
        <v>4205</v>
      </c>
      <c r="K3107" s="12" t="s">
        <v>14836</v>
      </c>
      <c r="L3107" s="12" t="s">
        <v>9612</v>
      </c>
      <c r="M3107" s="12" t="s">
        <v>14837</v>
      </c>
      <c r="N3107" s="12">
        <v>86890</v>
      </c>
      <c r="O3107" s="12">
        <v>1982</v>
      </c>
      <c r="P3107" s="12">
        <v>0</v>
      </c>
      <c r="Q3107" s="12" t="s">
        <v>14838</v>
      </c>
      <c r="R3107" s="15" t="s">
        <v>14839</v>
      </c>
      <c r="S3107" s="12">
        <v>985</v>
      </c>
      <c r="T3107" s="12" t="s">
        <v>39</v>
      </c>
      <c r="U3107" s="12" t="s">
        <v>768</v>
      </c>
      <c r="V3107" s="12" t="s">
        <v>586</v>
      </c>
      <c r="W3107" s="12">
        <v>10000000</v>
      </c>
      <c r="X3107" s="12">
        <v>2001</v>
      </c>
      <c r="Y3107" s="12">
        <v>322</v>
      </c>
      <c r="Z3107" s="12">
        <v>6.1</v>
      </c>
      <c r="AA3107" s="12">
        <v>1.85</v>
      </c>
      <c r="AB3107" s="12">
        <v>0</v>
      </c>
      <c r="AC3107" s="12"/>
      <c r="AD3107" s="12" t="str">
        <f>IFERROR(__xludf.DUMMYFUNCTION("""COMPUTED_VALUE"""),"Clyde Kusatsu")</f>
        <v>Clyde Kusatsu</v>
      </c>
      <c r="AE3107" s="12"/>
    </row>
    <row r="3108" customHeight="1" spans="1:31">
      <c r="A3108" s="11" t="s">
        <v>30</v>
      </c>
      <c r="B3108" s="11" t="s">
        <v>4438</v>
      </c>
      <c r="C3108" s="11">
        <v>81</v>
      </c>
      <c r="D3108" s="11">
        <v>90</v>
      </c>
      <c r="E3108" s="11">
        <v>65</v>
      </c>
      <c r="F3108" s="11">
        <v>730</v>
      </c>
      <c r="G3108" s="11">
        <v>18000</v>
      </c>
      <c r="H3108" s="11">
        <v>40485039</v>
      </c>
      <c r="I3108" s="11" t="s">
        <v>14840</v>
      </c>
      <c r="J3108" s="11" t="s">
        <v>588</v>
      </c>
      <c r="K3108" s="11" t="s">
        <v>3300</v>
      </c>
      <c r="L3108" s="11" t="s">
        <v>14841</v>
      </c>
      <c r="M3108" s="11" t="s">
        <v>14842</v>
      </c>
      <c r="N3108" s="11">
        <v>85362</v>
      </c>
      <c r="O3108" s="11">
        <v>20795</v>
      </c>
      <c r="P3108" s="11">
        <v>6</v>
      </c>
      <c r="Q3108" s="11" t="s">
        <v>14843</v>
      </c>
      <c r="R3108" s="14" t="s">
        <v>14844</v>
      </c>
      <c r="S3108" s="11">
        <v>181</v>
      </c>
      <c r="T3108" s="11" t="s">
        <v>39</v>
      </c>
      <c r="U3108" s="11" t="s">
        <v>40</v>
      </c>
      <c r="V3108" s="11" t="s">
        <v>96</v>
      </c>
      <c r="W3108" s="11">
        <v>10000000</v>
      </c>
      <c r="X3108" s="11">
        <v>1989</v>
      </c>
      <c r="Y3108" s="11">
        <v>769</v>
      </c>
      <c r="Z3108" s="11">
        <v>6.9</v>
      </c>
      <c r="AA3108" s="11">
        <v>2.35</v>
      </c>
      <c r="AB3108" s="11">
        <v>0</v>
      </c>
      <c r="AC3108" s="11"/>
      <c r="AD3108" s="11" t="str">
        <f>IFERROR(__xludf.DUMMYFUNCTION("""COMPUTED_VALUE"""),"Jake Wood")</f>
        <v>Jake Wood</v>
      </c>
      <c r="AE3108" s="11"/>
    </row>
    <row r="3109" customHeight="1" spans="1:31">
      <c r="A3109" s="12" t="s">
        <v>30</v>
      </c>
      <c r="B3109" s="12" t="s">
        <v>14845</v>
      </c>
      <c r="C3109" s="12">
        <v>56</v>
      </c>
      <c r="D3109" s="12">
        <v>153</v>
      </c>
      <c r="E3109" s="12">
        <v>82</v>
      </c>
      <c r="F3109" s="12">
        <v>139</v>
      </c>
      <c r="G3109" s="12">
        <v>695</v>
      </c>
      <c r="H3109" s="12">
        <v>16800000</v>
      </c>
      <c r="I3109" s="12" t="s">
        <v>14846</v>
      </c>
      <c r="J3109" s="12" t="s">
        <v>1695</v>
      </c>
      <c r="K3109" s="12" t="s">
        <v>14847</v>
      </c>
      <c r="L3109" s="12" t="s">
        <v>14848</v>
      </c>
      <c r="M3109" s="12" t="s">
        <v>14849</v>
      </c>
      <c r="N3109" s="12">
        <v>25303</v>
      </c>
      <c r="O3109" s="12">
        <v>1593</v>
      </c>
      <c r="P3109" s="12">
        <v>1</v>
      </c>
      <c r="Q3109" s="12" t="s">
        <v>14850</v>
      </c>
      <c r="R3109" s="15" t="s">
        <v>14851</v>
      </c>
      <c r="S3109" s="12">
        <v>138</v>
      </c>
      <c r="T3109" s="12" t="s">
        <v>39</v>
      </c>
      <c r="U3109" s="12" t="s">
        <v>58</v>
      </c>
      <c r="V3109" s="12" t="s">
        <v>278</v>
      </c>
      <c r="W3109" s="12">
        <v>10000000</v>
      </c>
      <c r="X3109" s="12">
        <v>1968</v>
      </c>
      <c r="Y3109" s="12">
        <v>275</v>
      </c>
      <c r="Z3109" s="12">
        <v>7.5</v>
      </c>
      <c r="AA3109" s="12">
        <v>2.35</v>
      </c>
      <c r="AB3109" s="12">
        <v>0</v>
      </c>
      <c r="AC3109" s="12"/>
      <c r="AD3109" s="12" t="str">
        <f>IFERROR(__xludf.DUMMYFUNCTION("""COMPUTED_VALUE"""),"Tippi Hedren")</f>
        <v>Tippi Hedren</v>
      </c>
      <c r="AE3109" s="12"/>
    </row>
    <row r="3110" customHeight="1" spans="1:31">
      <c r="A3110" s="11" t="s">
        <v>30</v>
      </c>
      <c r="B3110" s="11" t="s">
        <v>4538</v>
      </c>
      <c r="C3110" s="11">
        <v>264</v>
      </c>
      <c r="D3110" s="11">
        <v>124</v>
      </c>
      <c r="E3110" s="11">
        <v>108</v>
      </c>
      <c r="F3110" s="11">
        <v>186</v>
      </c>
      <c r="G3110" s="11">
        <v>1000</v>
      </c>
      <c r="H3110" s="11">
        <v>46377022</v>
      </c>
      <c r="I3110" s="11" t="s">
        <v>2528</v>
      </c>
      <c r="J3110" s="11" t="s">
        <v>138</v>
      </c>
      <c r="K3110" s="11" t="s">
        <v>1129</v>
      </c>
      <c r="L3110" s="11" t="s">
        <v>5270</v>
      </c>
      <c r="M3110" s="11" t="s">
        <v>14852</v>
      </c>
      <c r="N3110" s="11">
        <v>75306</v>
      </c>
      <c r="O3110" s="11">
        <v>1898</v>
      </c>
      <c r="P3110" s="11">
        <v>3</v>
      </c>
      <c r="Q3110" s="11" t="s">
        <v>14853</v>
      </c>
      <c r="R3110" s="14" t="s">
        <v>14854</v>
      </c>
      <c r="S3110" s="11">
        <v>266</v>
      </c>
      <c r="T3110" s="11" t="s">
        <v>39</v>
      </c>
      <c r="U3110" s="11" t="s">
        <v>58</v>
      </c>
      <c r="V3110" s="11" t="s">
        <v>41</v>
      </c>
      <c r="W3110" s="11">
        <v>10000000</v>
      </c>
      <c r="X3110" s="11">
        <v>2011</v>
      </c>
      <c r="Y3110" s="11">
        <v>400</v>
      </c>
      <c r="Z3110" s="11">
        <v>7.3</v>
      </c>
      <c r="AA3110" s="11">
        <v>2.35</v>
      </c>
      <c r="AB3110" s="11">
        <v>48000</v>
      </c>
      <c r="AC3110" s="11"/>
      <c r="AD3110" s="11" t="str">
        <f>IFERROR(__xludf.DUMMYFUNCTION("""COMPUTED_VALUE"""),"Brenda Fricker")</f>
        <v>Brenda Fricker</v>
      </c>
      <c r="AE3110" s="11"/>
    </row>
    <row r="3111" customHeight="1" spans="1:31">
      <c r="A3111" s="12" t="s">
        <v>30</v>
      </c>
      <c r="B3111" s="12" t="s">
        <v>14855</v>
      </c>
      <c r="C3111" s="12">
        <v>44</v>
      </c>
      <c r="D3111" s="12">
        <v>82</v>
      </c>
      <c r="E3111" s="12">
        <v>6</v>
      </c>
      <c r="F3111" s="12">
        <v>345</v>
      </c>
      <c r="G3111" s="12">
        <v>759</v>
      </c>
      <c r="H3111" s="12">
        <v>36696761</v>
      </c>
      <c r="I3111" s="12" t="s">
        <v>8295</v>
      </c>
      <c r="J3111" s="12" t="s">
        <v>864</v>
      </c>
      <c r="K3111" s="12" t="s">
        <v>14856</v>
      </c>
      <c r="L3111" s="12" t="s">
        <v>14857</v>
      </c>
      <c r="M3111" s="12" t="s">
        <v>14858</v>
      </c>
      <c r="N3111" s="12">
        <v>6808</v>
      </c>
      <c r="O3111" s="12">
        <v>2197</v>
      </c>
      <c r="P3111" s="12">
        <v>0</v>
      </c>
      <c r="Q3111" s="12" t="s">
        <v>14859</v>
      </c>
      <c r="R3111" s="15" t="s">
        <v>14860</v>
      </c>
      <c r="S3111" s="12">
        <v>38</v>
      </c>
      <c r="T3111" s="12" t="s">
        <v>39</v>
      </c>
      <c r="U3111" s="12" t="s">
        <v>40</v>
      </c>
      <c r="V3111" s="12" t="s">
        <v>278</v>
      </c>
      <c r="W3111" s="12">
        <v>23000000</v>
      </c>
      <c r="X3111" s="12">
        <v>2001</v>
      </c>
      <c r="Y3111" s="12">
        <v>563</v>
      </c>
      <c r="Z3111" s="12">
        <v>6.5</v>
      </c>
      <c r="AA3111" s="12">
        <v>1.85</v>
      </c>
      <c r="AB3111" s="12">
        <v>227</v>
      </c>
      <c r="AC3111" s="12"/>
      <c r="AD3111" s="12" t="str">
        <f>IFERROR(__xludf.DUMMYFUNCTION("""COMPUTED_VALUE"""),"David Murray")</f>
        <v>David Murray</v>
      </c>
      <c r="AE3111" s="12"/>
    </row>
    <row r="3112" customHeight="1" spans="1:31">
      <c r="A3112" s="11" t="s">
        <v>30</v>
      </c>
      <c r="B3112" s="11" t="s">
        <v>846</v>
      </c>
      <c r="C3112" s="11">
        <v>117</v>
      </c>
      <c r="D3112" s="11">
        <v>107</v>
      </c>
      <c r="E3112" s="11">
        <v>750</v>
      </c>
      <c r="F3112" s="11">
        <v>60</v>
      </c>
      <c r="G3112" s="11">
        <v>794</v>
      </c>
      <c r="H3112" s="11">
        <v>36200000</v>
      </c>
      <c r="I3112" s="11" t="s">
        <v>227</v>
      </c>
      <c r="J3112" s="11" t="s">
        <v>14861</v>
      </c>
      <c r="K3112" s="11" t="s">
        <v>743</v>
      </c>
      <c r="L3112" s="11" t="s">
        <v>14862</v>
      </c>
      <c r="M3112" s="11" t="s">
        <v>14863</v>
      </c>
      <c r="N3112" s="11">
        <v>101840</v>
      </c>
      <c r="O3112" s="11">
        <v>1529</v>
      </c>
      <c r="P3112" s="11">
        <v>2</v>
      </c>
      <c r="Q3112" s="11" t="s">
        <v>14864</v>
      </c>
      <c r="R3112" s="14" t="s">
        <v>14865</v>
      </c>
      <c r="S3112" s="11">
        <v>193</v>
      </c>
      <c r="T3112" s="11" t="s">
        <v>39</v>
      </c>
      <c r="U3112" s="11" t="s">
        <v>371</v>
      </c>
      <c r="V3112" s="11" t="s">
        <v>41</v>
      </c>
      <c r="W3112" s="11">
        <v>12305523</v>
      </c>
      <c r="X3112" s="11">
        <v>1985</v>
      </c>
      <c r="Y3112" s="11">
        <v>531</v>
      </c>
      <c r="Z3112" s="11">
        <v>6.2</v>
      </c>
      <c r="AA3112" s="11">
        <v>2.35</v>
      </c>
      <c r="AB3112" s="11">
        <v>0</v>
      </c>
      <c r="AC3112" s="11"/>
      <c r="AD3112" s="11" t="str">
        <f>IFERROR(__xludf.DUMMYFUNCTION("""COMPUTED_VALUE"""),"Gerard McSorley")</f>
        <v>Gerard McSorley</v>
      </c>
      <c r="AE3112" s="11"/>
    </row>
    <row r="3113" customHeight="1" spans="1:31">
      <c r="A3113" s="12" t="s">
        <v>30</v>
      </c>
      <c r="B3113" s="12" t="s">
        <v>12977</v>
      </c>
      <c r="C3113" s="12">
        <v>124</v>
      </c>
      <c r="D3113" s="12">
        <v>75</v>
      </c>
      <c r="E3113" s="12">
        <v>73</v>
      </c>
      <c r="F3113" s="12">
        <v>581</v>
      </c>
      <c r="G3113" s="12">
        <v>1000</v>
      </c>
      <c r="H3113" s="16"/>
      <c r="I3113" s="12" t="s">
        <v>51</v>
      </c>
      <c r="J3113" s="12" t="s">
        <v>5083</v>
      </c>
      <c r="K3113" s="12" t="s">
        <v>14866</v>
      </c>
      <c r="L3113" s="12" t="s">
        <v>12689</v>
      </c>
      <c r="M3113" s="12" t="s">
        <v>14867</v>
      </c>
      <c r="N3113" s="12">
        <v>111649</v>
      </c>
      <c r="O3113" s="12">
        <v>3192</v>
      </c>
      <c r="P3113" s="12">
        <v>0</v>
      </c>
      <c r="Q3113" s="12" t="s">
        <v>14868</v>
      </c>
      <c r="R3113" s="15" t="s">
        <v>14869</v>
      </c>
      <c r="S3113" s="12">
        <v>437</v>
      </c>
      <c r="T3113" s="12" t="s">
        <v>39</v>
      </c>
      <c r="U3113" s="12" t="s">
        <v>40</v>
      </c>
      <c r="V3113" s="12" t="s">
        <v>586</v>
      </c>
      <c r="W3113" s="12">
        <v>10000000</v>
      </c>
      <c r="X3113" s="12">
        <v>1985</v>
      </c>
      <c r="Y3113" s="12">
        <v>745</v>
      </c>
      <c r="Z3113" s="12">
        <v>6.7</v>
      </c>
      <c r="AA3113" s="12">
        <v>1.85</v>
      </c>
      <c r="AB3113" s="12">
        <v>0</v>
      </c>
      <c r="AC3113" s="12"/>
      <c r="AD3113" s="12" t="str">
        <f>IFERROR(__xludf.DUMMYFUNCTION("""COMPUTED_VALUE"""),"Carlos Bardem")</f>
        <v>Carlos Bardem</v>
      </c>
      <c r="AE3113" s="12"/>
    </row>
    <row r="3114" customHeight="1" spans="1:31">
      <c r="A3114" s="11" t="s">
        <v>30</v>
      </c>
      <c r="B3114" s="11" t="s">
        <v>10984</v>
      </c>
      <c r="C3114" s="11">
        <v>159</v>
      </c>
      <c r="D3114" s="11">
        <v>97</v>
      </c>
      <c r="E3114" s="11">
        <v>19</v>
      </c>
      <c r="F3114" s="11">
        <v>130</v>
      </c>
      <c r="G3114" s="11">
        <v>4000</v>
      </c>
      <c r="H3114" s="11">
        <v>35794166</v>
      </c>
      <c r="I3114" s="11" t="s">
        <v>3030</v>
      </c>
      <c r="J3114" s="11" t="s">
        <v>114</v>
      </c>
      <c r="K3114" s="11" t="s">
        <v>3568</v>
      </c>
      <c r="L3114" s="11" t="s">
        <v>14870</v>
      </c>
      <c r="M3114" s="11" t="s">
        <v>14871</v>
      </c>
      <c r="N3114" s="11">
        <v>35654</v>
      </c>
      <c r="O3114" s="11">
        <v>4687</v>
      </c>
      <c r="P3114" s="11">
        <v>0</v>
      </c>
      <c r="Q3114" s="11" t="s">
        <v>14872</v>
      </c>
      <c r="R3114" s="14" t="s">
        <v>14873</v>
      </c>
      <c r="S3114" s="11">
        <v>155</v>
      </c>
      <c r="T3114" s="11" t="s">
        <v>39</v>
      </c>
      <c r="U3114" s="11" t="s">
        <v>40</v>
      </c>
      <c r="V3114" s="11" t="s">
        <v>41</v>
      </c>
      <c r="W3114" s="11">
        <v>10000000</v>
      </c>
      <c r="X3114" s="11">
        <v>2016</v>
      </c>
      <c r="Y3114" s="11">
        <v>334</v>
      </c>
      <c r="Z3114" s="11">
        <v>6</v>
      </c>
      <c r="AA3114" s="11">
        <v>2.35</v>
      </c>
      <c r="AB3114" s="11">
        <v>20000</v>
      </c>
      <c r="AC3114" s="11"/>
      <c r="AD3114" s="11" t="str">
        <f>IFERROR(__xludf.DUMMYFUNCTION("""COMPUTED_VALUE"""),"Chris Andrew Ciulla")</f>
        <v>Chris Andrew Ciulla</v>
      </c>
      <c r="AE3114" s="11"/>
    </row>
    <row r="3115" customHeight="1" spans="1:31">
      <c r="A3115" s="12" t="s">
        <v>30</v>
      </c>
      <c r="B3115" s="12" t="s">
        <v>14109</v>
      </c>
      <c r="C3115" s="12">
        <v>273</v>
      </c>
      <c r="D3115" s="12">
        <v>80</v>
      </c>
      <c r="E3115" s="12">
        <v>66</v>
      </c>
      <c r="F3115" s="12">
        <v>816</v>
      </c>
      <c r="G3115" s="12">
        <v>2000</v>
      </c>
      <c r="H3115" s="12">
        <v>33583175</v>
      </c>
      <c r="I3115" s="12" t="s">
        <v>3030</v>
      </c>
      <c r="J3115" s="12" t="s">
        <v>4273</v>
      </c>
      <c r="K3115" s="12" t="s">
        <v>3009</v>
      </c>
      <c r="L3115" s="12" t="s">
        <v>11310</v>
      </c>
      <c r="M3115" s="12" t="s">
        <v>14874</v>
      </c>
      <c r="N3115" s="12">
        <v>104089</v>
      </c>
      <c r="O3115" s="12">
        <v>5628</v>
      </c>
      <c r="P3115" s="12">
        <v>0</v>
      </c>
      <c r="Q3115" s="12" t="s">
        <v>14875</v>
      </c>
      <c r="R3115" s="15" t="s">
        <v>14876</v>
      </c>
      <c r="S3115" s="12">
        <v>319</v>
      </c>
      <c r="T3115" s="12" t="s">
        <v>39</v>
      </c>
      <c r="U3115" s="12" t="s">
        <v>40</v>
      </c>
      <c r="V3115" s="12" t="s">
        <v>41</v>
      </c>
      <c r="W3115" s="12">
        <v>10000000</v>
      </c>
      <c r="X3115" s="12">
        <v>2010</v>
      </c>
      <c r="Y3115" s="12">
        <v>904</v>
      </c>
      <c r="Z3115" s="12">
        <v>6.3</v>
      </c>
      <c r="AA3115" s="12">
        <v>2.35</v>
      </c>
      <c r="AB3115" s="12">
        <v>16000</v>
      </c>
      <c r="AC3115" s="12"/>
      <c r="AD3115" s="12" t="str">
        <f>IFERROR(__xludf.DUMMYFUNCTION("""COMPUTED_VALUE"""),"Mary Mouser")</f>
        <v>Mary Mouser</v>
      </c>
      <c r="AE3115" s="12"/>
    </row>
    <row r="3116" customHeight="1" spans="1:31">
      <c r="A3116" s="11" t="s">
        <v>30</v>
      </c>
      <c r="B3116" s="11" t="s">
        <v>14877</v>
      </c>
      <c r="C3116" s="11">
        <v>26</v>
      </c>
      <c r="D3116" s="11">
        <v>85</v>
      </c>
      <c r="E3116" s="11">
        <v>7</v>
      </c>
      <c r="F3116" s="11">
        <v>615</v>
      </c>
      <c r="G3116" s="11">
        <v>723</v>
      </c>
      <c r="H3116" s="11">
        <v>32983713</v>
      </c>
      <c r="I3116" s="11" t="s">
        <v>2528</v>
      </c>
      <c r="J3116" s="11" t="s">
        <v>3883</v>
      </c>
      <c r="K3116" s="11" t="s">
        <v>5265</v>
      </c>
      <c r="L3116" s="11" t="s">
        <v>2504</v>
      </c>
      <c r="M3116" s="11" t="s">
        <v>14878</v>
      </c>
      <c r="N3116" s="11">
        <v>19284</v>
      </c>
      <c r="O3116" s="11">
        <v>3712</v>
      </c>
      <c r="P3116" s="11">
        <v>0</v>
      </c>
      <c r="Q3116" s="11" t="s">
        <v>14879</v>
      </c>
      <c r="R3116" s="14" t="s">
        <v>14880</v>
      </c>
      <c r="S3116" s="11">
        <v>66</v>
      </c>
      <c r="T3116" s="11" t="s">
        <v>39</v>
      </c>
      <c r="U3116" s="11" t="s">
        <v>40</v>
      </c>
      <c r="V3116" s="11" t="s">
        <v>586</v>
      </c>
      <c r="W3116" s="11">
        <v>20000000</v>
      </c>
      <c r="X3116" s="11">
        <v>2002</v>
      </c>
      <c r="Y3116" s="11">
        <v>706</v>
      </c>
      <c r="Z3116" s="11">
        <v>5.8</v>
      </c>
      <c r="AA3116" s="11">
        <v>1.85</v>
      </c>
      <c r="AB3116" s="11">
        <v>981</v>
      </c>
      <c r="AC3116" s="11"/>
      <c r="AD3116" s="11" t="str">
        <f>IFERROR(__xludf.DUMMYFUNCTION("""COMPUTED_VALUE"""),"Jan-Michael Vincent")</f>
        <v>Jan-Michael Vincent</v>
      </c>
      <c r="AE3116" s="11"/>
    </row>
    <row r="3117" customHeight="1" spans="1:31">
      <c r="A3117" s="12" t="s">
        <v>30</v>
      </c>
      <c r="B3117" s="12" t="s">
        <v>14789</v>
      </c>
      <c r="C3117" s="12">
        <v>242</v>
      </c>
      <c r="D3117" s="12">
        <v>97</v>
      </c>
      <c r="E3117" s="12">
        <v>482</v>
      </c>
      <c r="F3117" s="12">
        <v>482</v>
      </c>
      <c r="G3117" s="12">
        <v>852</v>
      </c>
      <c r="H3117" s="12">
        <v>52200504</v>
      </c>
      <c r="I3117" s="12" t="s">
        <v>9755</v>
      </c>
      <c r="J3117" s="12" t="s">
        <v>7330</v>
      </c>
      <c r="K3117" s="12" t="s">
        <v>14881</v>
      </c>
      <c r="L3117" s="12" t="s">
        <v>14789</v>
      </c>
      <c r="M3117" s="12" t="s">
        <v>14882</v>
      </c>
      <c r="N3117" s="12">
        <v>54190</v>
      </c>
      <c r="O3117" s="12">
        <v>2426</v>
      </c>
      <c r="P3117" s="12">
        <v>0</v>
      </c>
      <c r="Q3117" s="12" t="s">
        <v>14883</v>
      </c>
      <c r="R3117" s="15" t="s">
        <v>14884</v>
      </c>
      <c r="S3117" s="12">
        <v>183</v>
      </c>
      <c r="T3117" s="12" t="s">
        <v>39</v>
      </c>
      <c r="U3117" s="12" t="s">
        <v>269</v>
      </c>
      <c r="V3117" s="12" t="s">
        <v>41</v>
      </c>
      <c r="W3117" s="12">
        <v>10000000</v>
      </c>
      <c r="X3117" s="12">
        <v>2015</v>
      </c>
      <c r="Y3117" s="12">
        <v>542</v>
      </c>
      <c r="Z3117" s="12">
        <v>6.1</v>
      </c>
      <c r="AA3117" s="12">
        <v>2.35</v>
      </c>
      <c r="AB3117" s="12">
        <v>29000</v>
      </c>
      <c r="AC3117" s="12"/>
      <c r="AD3117" s="12" t="str">
        <f>IFERROR(__xludf.DUMMYFUNCTION("""COMPUTED_VALUE"""),"Paul Winfield")</f>
        <v>Paul Winfield</v>
      </c>
      <c r="AE3117" s="12"/>
    </row>
    <row r="3118" customHeight="1" spans="1:31">
      <c r="A3118" s="11" t="s">
        <v>30</v>
      </c>
      <c r="B3118" s="11" t="s">
        <v>14885</v>
      </c>
      <c r="C3118" s="11">
        <v>55</v>
      </c>
      <c r="D3118" s="11">
        <v>109</v>
      </c>
      <c r="E3118" s="11">
        <v>78</v>
      </c>
      <c r="F3118" s="11">
        <v>619</v>
      </c>
      <c r="G3118" s="11">
        <v>854</v>
      </c>
      <c r="H3118" s="11">
        <v>33000000</v>
      </c>
      <c r="I3118" s="11" t="s">
        <v>14886</v>
      </c>
      <c r="J3118" s="11" t="s">
        <v>3197</v>
      </c>
      <c r="K3118" s="11" t="s">
        <v>14887</v>
      </c>
      <c r="L3118" s="11" t="s">
        <v>9595</v>
      </c>
      <c r="M3118" s="11" t="s">
        <v>14888</v>
      </c>
      <c r="N3118" s="11">
        <v>9424</v>
      </c>
      <c r="O3118" s="11">
        <v>3394</v>
      </c>
      <c r="P3118" s="11">
        <v>1</v>
      </c>
      <c r="Q3118" s="11" t="s">
        <v>14889</v>
      </c>
      <c r="R3118" s="14" t="s">
        <v>14890</v>
      </c>
      <c r="S3118" s="11">
        <v>109</v>
      </c>
      <c r="T3118" s="11" t="s">
        <v>39</v>
      </c>
      <c r="U3118" s="11" t="s">
        <v>40</v>
      </c>
      <c r="V3118" s="11" t="s">
        <v>41</v>
      </c>
      <c r="W3118" s="11">
        <v>10000000</v>
      </c>
      <c r="X3118" s="11">
        <v>1985</v>
      </c>
      <c r="Y3118" s="11">
        <v>841</v>
      </c>
      <c r="Z3118" s="11">
        <v>6.9</v>
      </c>
      <c r="AA3118" s="11">
        <v>1.85</v>
      </c>
      <c r="AB3118" s="11">
        <v>0</v>
      </c>
      <c r="AC3118" s="11"/>
      <c r="AD3118" s="11" t="str">
        <f>IFERROR(__xludf.DUMMYFUNCTION("""COMPUTED_VALUE"""),"Julianna Guill")</f>
        <v>Julianna Guill</v>
      </c>
      <c r="AE3118" s="11"/>
    </row>
    <row r="3119" customHeight="1" spans="1:31">
      <c r="A3119" s="12" t="s">
        <v>30</v>
      </c>
      <c r="B3119" s="12" t="s">
        <v>1295</v>
      </c>
      <c r="C3119" s="12">
        <v>151</v>
      </c>
      <c r="D3119" s="12">
        <v>104</v>
      </c>
      <c r="E3119" s="12">
        <v>0</v>
      </c>
      <c r="F3119" s="12">
        <v>1000</v>
      </c>
      <c r="G3119" s="12">
        <v>26000</v>
      </c>
      <c r="H3119" s="12">
        <v>30093107</v>
      </c>
      <c r="I3119" s="12" t="s">
        <v>1009</v>
      </c>
      <c r="J3119" s="12" t="s">
        <v>335</v>
      </c>
      <c r="K3119" s="12" t="s">
        <v>343</v>
      </c>
      <c r="L3119" s="12" t="s">
        <v>688</v>
      </c>
      <c r="M3119" s="12" t="s">
        <v>14449</v>
      </c>
      <c r="N3119" s="12">
        <v>600996</v>
      </c>
      <c r="O3119" s="12">
        <v>39175</v>
      </c>
      <c r="P3119" s="12">
        <v>6</v>
      </c>
      <c r="Q3119" s="12" t="s">
        <v>14450</v>
      </c>
      <c r="R3119" s="15" t="s">
        <v>14451</v>
      </c>
      <c r="S3119" s="12">
        <v>726</v>
      </c>
      <c r="T3119" s="12" t="s">
        <v>39</v>
      </c>
      <c r="U3119" s="12" t="s">
        <v>58</v>
      </c>
      <c r="V3119" s="12" t="s">
        <v>586</v>
      </c>
      <c r="W3119" s="12">
        <v>6000000</v>
      </c>
      <c r="X3119" s="12">
        <v>2000</v>
      </c>
      <c r="Y3119" s="12">
        <v>11000</v>
      </c>
      <c r="Z3119" s="12">
        <v>8.3</v>
      </c>
      <c r="AA3119" s="12">
        <v>1.85</v>
      </c>
      <c r="AB3119" s="12">
        <v>27000</v>
      </c>
      <c r="AC3119" s="12"/>
      <c r="AD3119" s="12" t="str">
        <f>IFERROR(__xludf.DUMMYFUNCTION("""COMPUTED_VALUE"""),"Rick Gomez")</f>
        <v>Rick Gomez</v>
      </c>
      <c r="AE3119" s="12"/>
    </row>
    <row r="3120" customHeight="1" spans="1:31">
      <c r="A3120" s="11" t="s">
        <v>30</v>
      </c>
      <c r="B3120" s="11" t="s">
        <v>8481</v>
      </c>
      <c r="C3120" s="11">
        <v>48</v>
      </c>
      <c r="D3120" s="11">
        <v>140</v>
      </c>
      <c r="E3120" s="11">
        <v>32</v>
      </c>
      <c r="F3120" s="11">
        <v>120</v>
      </c>
      <c r="G3120" s="11">
        <v>535</v>
      </c>
      <c r="H3120" s="11">
        <v>32101000</v>
      </c>
      <c r="I3120" s="11" t="s">
        <v>10223</v>
      </c>
      <c r="J3120" s="11" t="s">
        <v>14891</v>
      </c>
      <c r="K3120" s="11" t="s">
        <v>14892</v>
      </c>
      <c r="L3120" s="11" t="s">
        <v>1810</v>
      </c>
      <c r="M3120" s="11" t="s">
        <v>14893</v>
      </c>
      <c r="N3120" s="11">
        <v>27800</v>
      </c>
      <c r="O3120" s="11">
        <v>1109</v>
      </c>
      <c r="P3120" s="11">
        <v>0</v>
      </c>
      <c r="Q3120" s="11" t="s">
        <v>14894</v>
      </c>
      <c r="R3120" s="14" t="s">
        <v>14895</v>
      </c>
      <c r="S3120" s="11">
        <v>96</v>
      </c>
      <c r="T3120" s="11" t="s">
        <v>39</v>
      </c>
      <c r="U3120" s="11" t="s">
        <v>58</v>
      </c>
      <c r="V3120" s="11" t="s">
        <v>586</v>
      </c>
      <c r="W3120" s="11">
        <v>10000000</v>
      </c>
      <c r="X3120" s="11">
        <v>1992</v>
      </c>
      <c r="Y3120" s="11">
        <v>211</v>
      </c>
      <c r="Z3120" s="11">
        <v>5.4</v>
      </c>
      <c r="AA3120" s="11">
        <v>1.85</v>
      </c>
      <c r="AB3120" s="11">
        <v>0</v>
      </c>
      <c r="AC3120" s="11"/>
      <c r="AD3120" s="11" t="str">
        <f>IFERROR(__xludf.DUMMYFUNCTION("""COMPUTED_VALUE"""),"Tim Williams")</f>
        <v>Tim Williams</v>
      </c>
      <c r="AE3120" s="11"/>
    </row>
    <row r="3121" customHeight="1" spans="1:31">
      <c r="A3121" s="12" t="s">
        <v>30</v>
      </c>
      <c r="B3121" s="12" t="s">
        <v>14896</v>
      </c>
      <c r="C3121" s="12">
        <v>166</v>
      </c>
      <c r="D3121" s="12">
        <v>90</v>
      </c>
      <c r="E3121" s="12">
        <v>6</v>
      </c>
      <c r="F3121" s="12">
        <v>617</v>
      </c>
      <c r="G3121" s="12">
        <v>904</v>
      </c>
      <c r="H3121" s="12">
        <v>31487293</v>
      </c>
      <c r="I3121" s="12" t="s">
        <v>5788</v>
      </c>
      <c r="J3121" s="12" t="s">
        <v>9682</v>
      </c>
      <c r="K3121" s="12" t="s">
        <v>3215</v>
      </c>
      <c r="L3121" s="12" t="s">
        <v>6862</v>
      </c>
      <c r="M3121" s="12" t="s">
        <v>14897</v>
      </c>
      <c r="N3121" s="12">
        <v>74887</v>
      </c>
      <c r="O3121" s="12">
        <v>2807</v>
      </c>
      <c r="P3121" s="12">
        <v>2</v>
      </c>
      <c r="Q3121" s="12" t="s">
        <v>14898</v>
      </c>
      <c r="R3121" s="15" t="s">
        <v>14899</v>
      </c>
      <c r="S3121" s="12">
        <v>129</v>
      </c>
      <c r="T3121" s="12" t="s">
        <v>39</v>
      </c>
      <c r="U3121" s="12" t="s">
        <v>40</v>
      </c>
      <c r="V3121" s="12" t="s">
        <v>41</v>
      </c>
      <c r="W3121" s="12">
        <v>9000000</v>
      </c>
      <c r="X3121" s="12">
        <v>2008</v>
      </c>
      <c r="Y3121" s="12">
        <v>715</v>
      </c>
      <c r="Z3121" s="12">
        <v>6.7</v>
      </c>
      <c r="AA3121" s="12">
        <v>1.85</v>
      </c>
      <c r="AB3121" s="12">
        <v>0</v>
      </c>
      <c r="AC3121" s="12"/>
      <c r="AD3121" s="12" t="str">
        <f>IFERROR(__xludf.DUMMYFUNCTION("""COMPUTED_VALUE"""),"Griffin Dunne")</f>
        <v>Griffin Dunne</v>
      </c>
      <c r="AE3121" s="12"/>
    </row>
    <row r="3122" customHeight="1" spans="1:31">
      <c r="A3122" s="11" t="s">
        <v>30</v>
      </c>
      <c r="B3122" s="11" t="s">
        <v>7135</v>
      </c>
      <c r="C3122" s="11">
        <v>206</v>
      </c>
      <c r="D3122" s="11">
        <v>130</v>
      </c>
      <c r="E3122" s="11">
        <v>0</v>
      </c>
      <c r="F3122" s="11">
        <v>769</v>
      </c>
      <c r="G3122" s="11">
        <v>13000</v>
      </c>
      <c r="H3122" s="11">
        <v>30651422</v>
      </c>
      <c r="I3122" s="11" t="s">
        <v>11056</v>
      </c>
      <c r="J3122" s="11" t="s">
        <v>1158</v>
      </c>
      <c r="K3122" s="11" t="s">
        <v>794</v>
      </c>
      <c r="L3122" s="11" t="s">
        <v>3300</v>
      </c>
      <c r="M3122" s="11" t="s">
        <v>14900</v>
      </c>
      <c r="N3122" s="11">
        <v>181737</v>
      </c>
      <c r="O3122" s="11">
        <v>16693</v>
      </c>
      <c r="P3122" s="11">
        <v>8</v>
      </c>
      <c r="Q3122" s="11" t="s">
        <v>14901</v>
      </c>
      <c r="R3122" s="14" t="s">
        <v>14902</v>
      </c>
      <c r="S3122" s="11">
        <v>1015</v>
      </c>
      <c r="T3122" s="11" t="s">
        <v>39</v>
      </c>
      <c r="U3122" s="11" t="s">
        <v>40</v>
      </c>
      <c r="V3122" s="11" t="s">
        <v>586</v>
      </c>
      <c r="W3122" s="11">
        <v>10000000</v>
      </c>
      <c r="X3122" s="11">
        <v>1999</v>
      </c>
      <c r="Y3122" s="11">
        <v>1000</v>
      </c>
      <c r="Z3122" s="11">
        <v>7.4</v>
      </c>
      <c r="AA3122" s="11">
        <v>2.35</v>
      </c>
      <c r="AB3122" s="11">
        <v>10000</v>
      </c>
      <c r="AC3122" s="11"/>
      <c r="AD3122" s="11" t="str">
        <f>IFERROR(__xludf.DUMMYFUNCTION("""COMPUTED_VALUE"""),"Matt Servitto")</f>
        <v>Matt Servitto</v>
      </c>
      <c r="AE3122" s="11"/>
    </row>
    <row r="3123" customHeight="1" spans="1:31">
      <c r="A3123" s="12" t="s">
        <v>30</v>
      </c>
      <c r="B3123" s="12" t="s">
        <v>14903</v>
      </c>
      <c r="C3123" s="12">
        <v>92</v>
      </c>
      <c r="D3123" s="12">
        <v>98</v>
      </c>
      <c r="E3123" s="12">
        <v>7</v>
      </c>
      <c r="F3123" s="12">
        <v>73</v>
      </c>
      <c r="G3123" s="12">
        <v>931</v>
      </c>
      <c r="H3123" s="12">
        <v>30306281</v>
      </c>
      <c r="I3123" s="12" t="s">
        <v>2528</v>
      </c>
      <c r="J3123" s="12" t="s">
        <v>4635</v>
      </c>
      <c r="K3123" s="12" t="s">
        <v>10247</v>
      </c>
      <c r="L3123" s="12" t="s">
        <v>14904</v>
      </c>
      <c r="M3123" s="12" t="s">
        <v>14905</v>
      </c>
      <c r="N3123" s="12">
        <v>12388</v>
      </c>
      <c r="O3123" s="12">
        <v>1917</v>
      </c>
      <c r="P3123" s="12">
        <v>2</v>
      </c>
      <c r="Q3123" s="12" t="s">
        <v>14906</v>
      </c>
      <c r="R3123" s="15" t="s">
        <v>14907</v>
      </c>
      <c r="S3123" s="12">
        <v>147</v>
      </c>
      <c r="T3123" s="12" t="s">
        <v>39</v>
      </c>
      <c r="U3123" s="12" t="s">
        <v>40</v>
      </c>
      <c r="V3123" s="12" t="s">
        <v>586</v>
      </c>
      <c r="W3123" s="12">
        <v>10000000</v>
      </c>
      <c r="X3123" s="12">
        <v>2002</v>
      </c>
      <c r="Y3123" s="12">
        <v>797</v>
      </c>
      <c r="Z3123" s="12">
        <v>5.6</v>
      </c>
      <c r="AA3123" s="12">
        <v>2.35</v>
      </c>
      <c r="AB3123" s="12">
        <v>744</v>
      </c>
      <c r="AC3123" s="12"/>
      <c r="AD3123" s="12" t="str">
        <f>IFERROR(__xludf.DUMMYFUNCTION("""COMPUTED_VALUE"""),"Tamara Tunie")</f>
        <v>Tamara Tunie</v>
      </c>
      <c r="AE3123" s="12"/>
    </row>
    <row r="3124" customHeight="1" spans="1:31">
      <c r="A3124" s="11" t="s">
        <v>30</v>
      </c>
      <c r="B3124" s="11" t="s">
        <v>2844</v>
      </c>
      <c r="C3124" s="11">
        <v>78</v>
      </c>
      <c r="D3124" s="11">
        <v>101</v>
      </c>
      <c r="E3124" s="11">
        <v>287</v>
      </c>
      <c r="F3124" s="11">
        <v>257</v>
      </c>
      <c r="G3124" s="11">
        <v>745</v>
      </c>
      <c r="H3124" s="11">
        <v>29500000</v>
      </c>
      <c r="I3124" s="11" t="s">
        <v>14908</v>
      </c>
      <c r="J3124" s="11" t="s">
        <v>2968</v>
      </c>
      <c r="K3124" s="11" t="s">
        <v>14841</v>
      </c>
      <c r="L3124" s="11" t="s">
        <v>7447</v>
      </c>
      <c r="M3124" s="11" t="s">
        <v>14909</v>
      </c>
      <c r="N3124" s="11">
        <v>25613</v>
      </c>
      <c r="O3124" s="11">
        <v>1954</v>
      </c>
      <c r="P3124" s="11">
        <v>0</v>
      </c>
      <c r="Q3124" s="11" t="s">
        <v>14910</v>
      </c>
      <c r="R3124" s="14" t="s">
        <v>14911</v>
      </c>
      <c r="S3124" s="11">
        <v>121</v>
      </c>
      <c r="T3124" s="11" t="s">
        <v>39</v>
      </c>
      <c r="U3124" s="11" t="s">
        <v>40</v>
      </c>
      <c r="V3124" s="11" t="s">
        <v>96</v>
      </c>
      <c r="W3124" s="11">
        <v>10000000</v>
      </c>
      <c r="X3124" s="11">
        <v>1983</v>
      </c>
      <c r="Y3124" s="11">
        <v>730</v>
      </c>
      <c r="Z3124" s="11">
        <v>6.5</v>
      </c>
      <c r="AA3124" s="11">
        <v>1.85</v>
      </c>
      <c r="AB3124" s="11">
        <v>0</v>
      </c>
      <c r="AC3124" s="11"/>
      <c r="AD3124" s="11" t="str">
        <f>IFERROR(__xludf.DUMMYFUNCTION("""COMPUTED_VALUE"""),"Laurence Fox")</f>
        <v>Laurence Fox</v>
      </c>
      <c r="AE3124" s="11"/>
    </row>
    <row r="3125" customHeight="1" spans="1:31">
      <c r="A3125" s="12" t="s">
        <v>30</v>
      </c>
      <c r="B3125" s="12" t="s">
        <v>12292</v>
      </c>
      <c r="C3125" s="12">
        <v>83</v>
      </c>
      <c r="D3125" s="12">
        <v>114</v>
      </c>
      <c r="E3125" s="12">
        <v>9</v>
      </c>
      <c r="F3125" s="12">
        <v>466</v>
      </c>
      <c r="G3125" s="12">
        <v>623</v>
      </c>
      <c r="H3125" s="12">
        <v>30050028</v>
      </c>
      <c r="I3125" s="12" t="s">
        <v>60</v>
      </c>
      <c r="J3125" s="12" t="s">
        <v>1925</v>
      </c>
      <c r="K3125" s="12" t="s">
        <v>14628</v>
      </c>
      <c r="L3125" s="12" t="s">
        <v>2122</v>
      </c>
      <c r="M3125" s="12" t="s">
        <v>14912</v>
      </c>
      <c r="N3125" s="12">
        <v>42987</v>
      </c>
      <c r="O3125" s="12">
        <v>2484</v>
      </c>
      <c r="P3125" s="12">
        <v>1</v>
      </c>
      <c r="Q3125" s="12" t="s">
        <v>14913</v>
      </c>
      <c r="R3125" s="15" t="s">
        <v>14914</v>
      </c>
      <c r="S3125" s="12">
        <v>201</v>
      </c>
      <c r="T3125" s="12" t="s">
        <v>39</v>
      </c>
      <c r="U3125" s="12" t="s">
        <v>40</v>
      </c>
      <c r="V3125" s="12" t="s">
        <v>586</v>
      </c>
      <c r="W3125" s="12">
        <v>17000000</v>
      </c>
      <c r="X3125" s="12">
        <v>1989</v>
      </c>
      <c r="Y3125" s="12">
        <v>472</v>
      </c>
      <c r="Z3125" s="12">
        <v>6.5</v>
      </c>
      <c r="AA3125" s="12">
        <v>2.35</v>
      </c>
      <c r="AB3125" s="12">
        <v>0</v>
      </c>
      <c r="AC3125" s="12"/>
      <c r="AD3125" s="12" t="str">
        <f>IFERROR(__xludf.DUMMYFUNCTION("""COMPUTED_VALUE"""),"Danny Strong")</f>
        <v>Danny Strong</v>
      </c>
      <c r="AE3125" s="12"/>
    </row>
    <row r="3126" customHeight="1" spans="1:31">
      <c r="A3126" s="11" t="s">
        <v>30</v>
      </c>
      <c r="B3126" s="11" t="s">
        <v>3881</v>
      </c>
      <c r="C3126" s="11">
        <v>8</v>
      </c>
      <c r="D3126" s="11">
        <v>100</v>
      </c>
      <c r="E3126" s="11">
        <v>322</v>
      </c>
      <c r="F3126" s="11">
        <v>534</v>
      </c>
      <c r="G3126" s="11">
        <v>851</v>
      </c>
      <c r="H3126" s="11">
        <v>29392418</v>
      </c>
      <c r="I3126" s="11" t="s">
        <v>1753</v>
      </c>
      <c r="J3126" s="11" t="s">
        <v>805</v>
      </c>
      <c r="K3126" s="11" t="s">
        <v>9642</v>
      </c>
      <c r="L3126" s="11" t="s">
        <v>4699</v>
      </c>
      <c r="M3126" s="11" t="s">
        <v>14915</v>
      </c>
      <c r="N3126" s="11">
        <v>3924</v>
      </c>
      <c r="O3126" s="11">
        <v>3190</v>
      </c>
      <c r="P3126" s="11">
        <v>2</v>
      </c>
      <c r="Q3126" s="11" t="s">
        <v>14916</v>
      </c>
      <c r="R3126" s="14" t="s">
        <v>14917</v>
      </c>
      <c r="S3126" s="11">
        <v>26</v>
      </c>
      <c r="T3126" s="11" t="s">
        <v>39</v>
      </c>
      <c r="U3126" s="11" t="s">
        <v>40</v>
      </c>
      <c r="V3126" s="11" t="s">
        <v>586</v>
      </c>
      <c r="W3126" s="11">
        <v>10000000</v>
      </c>
      <c r="X3126" s="11">
        <v>1994</v>
      </c>
      <c r="Y3126" s="11">
        <v>543</v>
      </c>
      <c r="Z3126" s="11">
        <v>5.8</v>
      </c>
      <c r="AA3126" s="11">
        <v>1.85</v>
      </c>
      <c r="AB3126" s="11">
        <v>368</v>
      </c>
      <c r="AC3126" s="11"/>
      <c r="AD3126" s="11" t="str">
        <f>IFERROR(__xludf.DUMMYFUNCTION("""COMPUTED_VALUE"""),"Samm Levine")</f>
        <v>Samm Levine</v>
      </c>
      <c r="AE3126" s="11"/>
    </row>
    <row r="3127" customHeight="1" spans="1:31">
      <c r="A3127" s="12" t="s">
        <v>30</v>
      </c>
      <c r="B3127" s="12" t="s">
        <v>9526</v>
      </c>
      <c r="C3127" s="12">
        <v>86</v>
      </c>
      <c r="D3127" s="12">
        <v>85</v>
      </c>
      <c r="E3127" s="12">
        <v>21</v>
      </c>
      <c r="F3127" s="12">
        <v>782</v>
      </c>
      <c r="G3127" s="12">
        <v>931</v>
      </c>
      <c r="H3127" s="12">
        <v>28563926</v>
      </c>
      <c r="I3127" s="12" t="s">
        <v>4075</v>
      </c>
      <c r="J3127" s="12" t="s">
        <v>4635</v>
      </c>
      <c r="K3127" s="12" t="s">
        <v>14918</v>
      </c>
      <c r="L3127" s="12" t="s">
        <v>9427</v>
      </c>
      <c r="M3127" s="12" t="s">
        <v>14919</v>
      </c>
      <c r="N3127" s="12">
        <v>16300</v>
      </c>
      <c r="O3127" s="12">
        <v>3819</v>
      </c>
      <c r="P3127" s="12">
        <v>0</v>
      </c>
      <c r="Q3127" s="12" t="s">
        <v>14920</v>
      </c>
      <c r="R3127" s="15" t="s">
        <v>14921</v>
      </c>
      <c r="S3127" s="12">
        <v>217</v>
      </c>
      <c r="T3127" s="12" t="s">
        <v>39</v>
      </c>
      <c r="U3127" s="12" t="s">
        <v>40</v>
      </c>
      <c r="V3127" s="12" t="s">
        <v>41</v>
      </c>
      <c r="W3127" s="12">
        <v>8500000</v>
      </c>
      <c r="X3127" s="12">
        <v>2002</v>
      </c>
      <c r="Y3127" s="12">
        <v>855</v>
      </c>
      <c r="Z3127" s="12">
        <v>5</v>
      </c>
      <c r="AA3127" s="12">
        <v>2.35</v>
      </c>
      <c r="AB3127" s="12">
        <v>720</v>
      </c>
      <c r="AC3127" s="12"/>
      <c r="AD3127" s="12" t="str">
        <f>IFERROR(__xludf.DUMMYFUNCTION("""COMPUTED_VALUE"""),"Bruno Kirby")</f>
        <v>Bruno Kirby</v>
      </c>
      <c r="AE3127" s="12"/>
    </row>
    <row r="3128" customHeight="1" spans="1:31">
      <c r="A3128" s="11" t="s">
        <v>30</v>
      </c>
      <c r="B3128" s="11" t="s">
        <v>14922</v>
      </c>
      <c r="C3128" s="11">
        <v>85</v>
      </c>
      <c r="D3128" s="11">
        <v>103</v>
      </c>
      <c r="E3128" s="11">
        <v>27</v>
      </c>
      <c r="F3128" s="11">
        <v>534</v>
      </c>
      <c r="G3128" s="11">
        <v>1000</v>
      </c>
      <c r="H3128" s="11">
        <v>28435406</v>
      </c>
      <c r="I3128" s="11" t="s">
        <v>1681</v>
      </c>
      <c r="J3128" s="11" t="s">
        <v>6712</v>
      </c>
      <c r="K3128" s="11" t="s">
        <v>1478</v>
      </c>
      <c r="L3128" s="11" t="s">
        <v>4942</v>
      </c>
      <c r="M3128" s="11" t="s">
        <v>14923</v>
      </c>
      <c r="N3128" s="11">
        <v>37681</v>
      </c>
      <c r="O3128" s="11">
        <v>4441</v>
      </c>
      <c r="P3128" s="11">
        <v>2</v>
      </c>
      <c r="Q3128" s="11" t="s">
        <v>14924</v>
      </c>
      <c r="R3128" s="14" t="s">
        <v>14925</v>
      </c>
      <c r="S3128" s="11">
        <v>151</v>
      </c>
      <c r="T3128" s="11" t="s">
        <v>39</v>
      </c>
      <c r="U3128" s="11" t="s">
        <v>40</v>
      </c>
      <c r="V3128" s="11" t="s">
        <v>41</v>
      </c>
      <c r="W3128" s="11">
        <v>12000000</v>
      </c>
      <c r="X3128" s="11">
        <v>2006</v>
      </c>
      <c r="Y3128" s="11">
        <v>809</v>
      </c>
      <c r="Z3128" s="11">
        <v>5.5</v>
      </c>
      <c r="AA3128" s="11">
        <v>1.85</v>
      </c>
      <c r="AB3128" s="11">
        <v>0</v>
      </c>
      <c r="AC3128" s="11"/>
      <c r="AD3128" s="11" t="str">
        <f>IFERROR(__xludf.DUMMYFUNCTION("""COMPUTED_VALUE"""),"Gretchen Palmer")</f>
        <v>Gretchen Palmer</v>
      </c>
      <c r="AE3128" s="11"/>
    </row>
    <row r="3129" customHeight="1" spans="1:31">
      <c r="A3129" s="12" t="s">
        <v>30</v>
      </c>
      <c r="B3129" s="12" t="s">
        <v>10445</v>
      </c>
      <c r="C3129" s="12">
        <v>76</v>
      </c>
      <c r="D3129" s="12">
        <v>100</v>
      </c>
      <c r="E3129" s="12">
        <v>4</v>
      </c>
      <c r="F3129" s="12">
        <v>678</v>
      </c>
      <c r="G3129" s="12">
        <v>982</v>
      </c>
      <c r="H3129" s="12">
        <v>25339117</v>
      </c>
      <c r="I3129" s="12" t="s">
        <v>1681</v>
      </c>
      <c r="J3129" s="12" t="s">
        <v>2643</v>
      </c>
      <c r="K3129" s="12" t="s">
        <v>7320</v>
      </c>
      <c r="L3129" s="12" t="s">
        <v>5616</v>
      </c>
      <c r="M3129" s="12" t="s">
        <v>14926</v>
      </c>
      <c r="N3129" s="12">
        <v>37885</v>
      </c>
      <c r="O3129" s="12">
        <v>4259</v>
      </c>
      <c r="P3129" s="12">
        <v>4</v>
      </c>
      <c r="Q3129" s="12" t="s">
        <v>14927</v>
      </c>
      <c r="R3129" s="15" t="s">
        <v>14928</v>
      </c>
      <c r="S3129" s="12">
        <v>247</v>
      </c>
      <c r="T3129" s="12" t="s">
        <v>39</v>
      </c>
      <c r="U3129" s="12" t="s">
        <v>40</v>
      </c>
      <c r="V3129" s="12" t="s">
        <v>41</v>
      </c>
      <c r="W3129" s="12">
        <v>10000000</v>
      </c>
      <c r="X3129" s="12">
        <v>1998</v>
      </c>
      <c r="Y3129" s="12">
        <v>945</v>
      </c>
      <c r="Z3129" s="12">
        <v>6.5</v>
      </c>
      <c r="AA3129" s="12">
        <v>1.85</v>
      </c>
      <c r="AB3129" s="12">
        <v>0</v>
      </c>
      <c r="AC3129" s="12"/>
      <c r="AD3129" s="12" t="str">
        <f>IFERROR(__xludf.DUMMYFUNCTION("""COMPUTED_VALUE"""),"Harley Jane Kozak")</f>
        <v>Harley Jane Kozak</v>
      </c>
      <c r="AE3129" s="12"/>
    </row>
    <row r="3130" customHeight="1" spans="1:31">
      <c r="A3130" s="11" t="s">
        <v>30</v>
      </c>
      <c r="B3130" s="11" t="s">
        <v>4851</v>
      </c>
      <c r="C3130" s="11">
        <v>60</v>
      </c>
      <c r="D3130" s="11">
        <v>114</v>
      </c>
      <c r="E3130" s="11">
        <v>0</v>
      </c>
      <c r="F3130" s="11">
        <v>699</v>
      </c>
      <c r="G3130" s="11">
        <v>10000</v>
      </c>
      <c r="H3130" s="11">
        <v>25600000</v>
      </c>
      <c r="I3130" s="11" t="s">
        <v>1936</v>
      </c>
      <c r="J3130" s="11" t="s">
        <v>523</v>
      </c>
      <c r="K3130" s="11" t="s">
        <v>2279</v>
      </c>
      <c r="L3130" s="11" t="s">
        <v>14929</v>
      </c>
      <c r="M3130" s="11" t="s">
        <v>14930</v>
      </c>
      <c r="N3130" s="11">
        <v>57363</v>
      </c>
      <c r="O3130" s="11">
        <v>12097</v>
      </c>
      <c r="P3130" s="11">
        <v>0</v>
      </c>
      <c r="Q3130" s="11" t="s">
        <v>14931</v>
      </c>
      <c r="R3130" s="14" t="s">
        <v>14932</v>
      </c>
      <c r="S3130" s="11">
        <v>308</v>
      </c>
      <c r="T3130" s="11" t="s">
        <v>39</v>
      </c>
      <c r="U3130" s="11" t="s">
        <v>40</v>
      </c>
      <c r="V3130" s="11" t="s">
        <v>41</v>
      </c>
      <c r="W3130" s="11">
        <v>10000000</v>
      </c>
      <c r="X3130" s="11">
        <v>1983</v>
      </c>
      <c r="Y3130" s="11">
        <v>919</v>
      </c>
      <c r="Z3130" s="11">
        <v>7.2</v>
      </c>
      <c r="AA3130" s="11">
        <v>2.35</v>
      </c>
      <c r="AB3130" s="11">
        <v>10000</v>
      </c>
      <c r="AC3130" s="11"/>
      <c r="AD3130" s="11" t="str">
        <f>IFERROR(__xludf.DUMMYFUNCTION("""COMPUTED_VALUE"""),"Jack Warden")</f>
        <v>Jack Warden</v>
      </c>
      <c r="AE3130" s="11"/>
    </row>
    <row r="3131" customHeight="1" spans="1:31">
      <c r="A3131" s="12" t="s">
        <v>30</v>
      </c>
      <c r="B3131" s="12" t="s">
        <v>14933</v>
      </c>
      <c r="C3131" s="12">
        <v>78</v>
      </c>
      <c r="D3131" s="12">
        <v>102</v>
      </c>
      <c r="E3131" s="12">
        <v>38</v>
      </c>
      <c r="F3131" s="12">
        <v>190</v>
      </c>
      <c r="G3131" s="12">
        <v>3000</v>
      </c>
      <c r="H3131" s="16"/>
      <c r="I3131" s="12" t="s">
        <v>200</v>
      </c>
      <c r="J3131" s="12" t="s">
        <v>235</v>
      </c>
      <c r="K3131" s="12" t="s">
        <v>8345</v>
      </c>
      <c r="L3131" s="12" t="s">
        <v>14934</v>
      </c>
      <c r="M3131" s="12" t="s">
        <v>14935</v>
      </c>
      <c r="N3131" s="12">
        <v>408</v>
      </c>
      <c r="O3131" s="12">
        <v>3691</v>
      </c>
      <c r="P3131" s="12">
        <v>0</v>
      </c>
      <c r="Q3131" s="16"/>
      <c r="R3131" s="15" t="s">
        <v>14936</v>
      </c>
      <c r="S3131" s="12">
        <v>6</v>
      </c>
      <c r="T3131" s="12" t="s">
        <v>39</v>
      </c>
      <c r="U3131" s="12" t="s">
        <v>40</v>
      </c>
      <c r="V3131" s="12" t="s">
        <v>96</v>
      </c>
      <c r="W3131" s="12">
        <v>65000000</v>
      </c>
      <c r="X3131" s="12">
        <v>2016</v>
      </c>
      <c r="Y3131" s="12">
        <v>424</v>
      </c>
      <c r="Z3131" s="12">
        <v>7.3</v>
      </c>
      <c r="AA3131" s="12">
        <v>2.35</v>
      </c>
      <c r="AB3131" s="12">
        <v>21000</v>
      </c>
      <c r="AC3131" s="12"/>
      <c r="AD3131" s="12" t="str">
        <f>IFERROR(__xludf.DUMMYFUNCTION("""COMPUTED_VALUE"""),"Ron Lester")</f>
        <v>Ron Lester</v>
      </c>
      <c r="AE3131" s="12"/>
    </row>
    <row r="3132" customHeight="1" spans="1:31">
      <c r="A3132" s="11" t="s">
        <v>30</v>
      </c>
      <c r="B3132" s="11" t="s">
        <v>5404</v>
      </c>
      <c r="C3132" s="11">
        <v>112</v>
      </c>
      <c r="D3132" s="11">
        <v>103</v>
      </c>
      <c r="E3132" s="11">
        <v>0</v>
      </c>
      <c r="F3132" s="11">
        <v>275</v>
      </c>
      <c r="G3132" s="11">
        <v>1000</v>
      </c>
      <c r="H3132" s="13"/>
      <c r="I3132" s="11" t="s">
        <v>4333</v>
      </c>
      <c r="J3132" s="11" t="s">
        <v>2203</v>
      </c>
      <c r="K3132" s="11" t="s">
        <v>14937</v>
      </c>
      <c r="L3132" s="11" t="s">
        <v>6145</v>
      </c>
      <c r="M3132" s="11" t="s">
        <v>13073</v>
      </c>
      <c r="N3132" s="11">
        <v>44804</v>
      </c>
      <c r="O3132" s="11">
        <v>2013</v>
      </c>
      <c r="P3132" s="11">
        <v>0</v>
      </c>
      <c r="Q3132" s="11" t="s">
        <v>14938</v>
      </c>
      <c r="R3132" s="14" t="s">
        <v>14939</v>
      </c>
      <c r="S3132" s="11">
        <v>182</v>
      </c>
      <c r="T3132" s="11" t="s">
        <v>39</v>
      </c>
      <c r="U3132" s="11" t="s">
        <v>40</v>
      </c>
      <c r="V3132" s="11" t="s">
        <v>586</v>
      </c>
      <c r="W3132" s="11">
        <v>10000000</v>
      </c>
      <c r="X3132" s="11">
        <v>1983</v>
      </c>
      <c r="Y3132" s="11">
        <v>278</v>
      </c>
      <c r="Z3132" s="11">
        <v>7.2</v>
      </c>
      <c r="AA3132" s="11">
        <v>1.85</v>
      </c>
      <c r="AB3132" s="11">
        <v>0</v>
      </c>
      <c r="AC3132" s="11"/>
      <c r="AD3132" s="11" t="str">
        <f>IFERROR(__xludf.DUMMYFUNCTION("""COMPUTED_VALUE"""),"Mark Walters")</f>
        <v>Mark Walters</v>
      </c>
      <c r="AE3132" s="11"/>
    </row>
    <row r="3133" customHeight="1" spans="1:31">
      <c r="A3133" s="12" t="s">
        <v>30</v>
      </c>
      <c r="B3133" s="12" t="s">
        <v>14940</v>
      </c>
      <c r="C3133" s="12">
        <v>189</v>
      </c>
      <c r="D3133" s="12">
        <v>97</v>
      </c>
      <c r="E3133" s="12">
        <v>11</v>
      </c>
      <c r="F3133" s="12">
        <v>220</v>
      </c>
      <c r="G3133" s="12">
        <v>1000</v>
      </c>
      <c r="H3133" s="12">
        <v>27736779</v>
      </c>
      <c r="I3133" s="12" t="s">
        <v>3030</v>
      </c>
      <c r="J3133" s="12" t="s">
        <v>14941</v>
      </c>
      <c r="K3133" s="12" t="s">
        <v>5078</v>
      </c>
      <c r="L3133" s="12" t="s">
        <v>14942</v>
      </c>
      <c r="M3133" s="12" t="s">
        <v>14943</v>
      </c>
      <c r="N3133" s="12">
        <v>25210</v>
      </c>
      <c r="O3133" s="12">
        <v>2403</v>
      </c>
      <c r="P3133" s="12">
        <v>0</v>
      </c>
      <c r="Q3133" s="12" t="s">
        <v>14944</v>
      </c>
      <c r="R3133" s="15" t="s">
        <v>14945</v>
      </c>
      <c r="S3133" s="12">
        <v>126</v>
      </c>
      <c r="T3133" s="12" t="s">
        <v>39</v>
      </c>
      <c r="U3133" s="12" t="s">
        <v>40</v>
      </c>
      <c r="V3133" s="12" t="s">
        <v>586</v>
      </c>
      <c r="W3133" s="12">
        <v>10000000</v>
      </c>
      <c r="X3133" s="12">
        <v>2015</v>
      </c>
      <c r="Y3133" s="12">
        <v>412</v>
      </c>
      <c r="Z3133" s="12">
        <v>5.2</v>
      </c>
      <c r="AA3133" s="12">
        <v>2.35</v>
      </c>
      <c r="AB3133" s="12">
        <v>13000</v>
      </c>
      <c r="AC3133" s="12"/>
      <c r="AD3133" s="12" t="str">
        <f>IFERROR(__xludf.DUMMYFUNCTION("""COMPUTED_VALUE"""),"Rachel Brosnahan")</f>
        <v>Rachel Brosnahan</v>
      </c>
      <c r="AE3133" s="12"/>
    </row>
    <row r="3134" customHeight="1" spans="1:31">
      <c r="A3134" s="11" t="s">
        <v>30</v>
      </c>
      <c r="B3134" s="11" t="s">
        <v>14946</v>
      </c>
      <c r="C3134" s="11">
        <v>82</v>
      </c>
      <c r="D3134" s="11">
        <v>116</v>
      </c>
      <c r="E3134" s="11">
        <v>70</v>
      </c>
      <c r="F3134" s="11">
        <v>706</v>
      </c>
      <c r="G3134" s="11">
        <v>1000</v>
      </c>
      <c r="H3134" s="11">
        <v>24397469</v>
      </c>
      <c r="I3134" s="11" t="s">
        <v>6200</v>
      </c>
      <c r="J3134" s="11" t="s">
        <v>5952</v>
      </c>
      <c r="K3134" s="11" t="s">
        <v>6357</v>
      </c>
      <c r="L3134" s="11" t="s">
        <v>5265</v>
      </c>
      <c r="M3134" s="11" t="s">
        <v>14947</v>
      </c>
      <c r="N3134" s="11">
        <v>5161</v>
      </c>
      <c r="O3134" s="11">
        <v>5804</v>
      </c>
      <c r="P3134" s="11">
        <v>7</v>
      </c>
      <c r="Q3134" s="11" t="s">
        <v>14948</v>
      </c>
      <c r="R3134" s="14" t="s">
        <v>14949</v>
      </c>
      <c r="S3134" s="11">
        <v>48</v>
      </c>
      <c r="T3134" s="11" t="s">
        <v>39</v>
      </c>
      <c r="U3134" s="11" t="s">
        <v>40</v>
      </c>
      <c r="V3134" s="11" t="s">
        <v>41</v>
      </c>
      <c r="W3134" s="11">
        <v>17000000</v>
      </c>
      <c r="X3134" s="11">
        <v>2012</v>
      </c>
      <c r="Y3134" s="11">
        <v>876</v>
      </c>
      <c r="Z3134" s="11">
        <v>5.7</v>
      </c>
      <c r="AA3134" s="11">
        <v>2.35</v>
      </c>
      <c r="AB3134" s="11">
        <v>0</v>
      </c>
      <c r="AC3134" s="11"/>
      <c r="AD3134" s="11" t="str">
        <f>IFERROR(__xludf.DUMMYFUNCTION("""COMPUTED_VALUE"""),"Vincent Walsh")</f>
        <v>Vincent Walsh</v>
      </c>
      <c r="AE3134" s="11"/>
    </row>
    <row r="3135" customHeight="1" spans="1:31">
      <c r="A3135" s="12" t="s">
        <v>30</v>
      </c>
      <c r="B3135" s="12" t="s">
        <v>13405</v>
      </c>
      <c r="C3135" s="12">
        <v>120</v>
      </c>
      <c r="D3135" s="12">
        <v>96</v>
      </c>
      <c r="E3135" s="12">
        <v>9</v>
      </c>
      <c r="F3135" s="12">
        <v>448</v>
      </c>
      <c r="G3135" s="12">
        <v>690</v>
      </c>
      <c r="H3135" s="12">
        <v>20384136</v>
      </c>
      <c r="I3135" s="12" t="s">
        <v>3030</v>
      </c>
      <c r="J3135" s="12" t="s">
        <v>7689</v>
      </c>
      <c r="K3135" s="12" t="s">
        <v>1700</v>
      </c>
      <c r="L3135" s="12" t="s">
        <v>14950</v>
      </c>
      <c r="M3135" s="12" t="s">
        <v>14951</v>
      </c>
      <c r="N3135" s="12">
        <v>20467</v>
      </c>
      <c r="O3135" s="12">
        <v>2402</v>
      </c>
      <c r="P3135" s="12">
        <v>1</v>
      </c>
      <c r="Q3135" s="12" t="s">
        <v>14952</v>
      </c>
      <c r="R3135" s="15" t="s">
        <v>14953</v>
      </c>
      <c r="S3135" s="12">
        <v>371</v>
      </c>
      <c r="T3135" s="12" t="s">
        <v>39</v>
      </c>
      <c r="U3135" s="12" t="s">
        <v>40</v>
      </c>
      <c r="V3135" s="12" t="s">
        <v>586</v>
      </c>
      <c r="W3135" s="12">
        <v>10000000</v>
      </c>
      <c r="X3135" s="12">
        <v>2001</v>
      </c>
      <c r="Y3135" s="12">
        <v>533</v>
      </c>
      <c r="Z3135" s="12">
        <v>4.7</v>
      </c>
      <c r="AA3135" s="12">
        <v>2.35</v>
      </c>
      <c r="AB3135" s="12">
        <v>0</v>
      </c>
      <c r="AC3135" s="12"/>
      <c r="AD3135" s="12" t="str">
        <f>IFERROR(__xludf.DUMMYFUNCTION("""COMPUTED_VALUE"""),"Finn Ireland")</f>
        <v>Finn Ireland</v>
      </c>
      <c r="AE3135" s="12"/>
    </row>
    <row r="3136" customHeight="1" spans="1:31">
      <c r="A3136" s="11" t="s">
        <v>30</v>
      </c>
      <c r="B3136" s="11" t="s">
        <v>14954</v>
      </c>
      <c r="C3136" s="11">
        <v>183</v>
      </c>
      <c r="D3136" s="11">
        <v>98</v>
      </c>
      <c r="E3136" s="11">
        <v>58</v>
      </c>
      <c r="F3136" s="11">
        <v>242</v>
      </c>
      <c r="G3136" s="11">
        <v>14000</v>
      </c>
      <c r="H3136" s="11">
        <v>25464480</v>
      </c>
      <c r="I3136" s="11" t="s">
        <v>5033</v>
      </c>
      <c r="J3136" s="11" t="s">
        <v>1973</v>
      </c>
      <c r="K3136" s="11" t="s">
        <v>979</v>
      </c>
      <c r="L3136" s="11" t="s">
        <v>12112</v>
      </c>
      <c r="M3136" s="11" t="s">
        <v>14955</v>
      </c>
      <c r="N3136" s="11">
        <v>63108</v>
      </c>
      <c r="O3136" s="11">
        <v>15251</v>
      </c>
      <c r="P3136" s="11">
        <v>0</v>
      </c>
      <c r="Q3136" s="11" t="s">
        <v>14956</v>
      </c>
      <c r="R3136" s="14" t="s">
        <v>14957</v>
      </c>
      <c r="S3136" s="11">
        <v>330</v>
      </c>
      <c r="T3136" s="11" t="s">
        <v>39</v>
      </c>
      <c r="U3136" s="11" t="s">
        <v>40</v>
      </c>
      <c r="V3136" s="11" t="s">
        <v>41</v>
      </c>
      <c r="W3136" s="11">
        <v>10000000</v>
      </c>
      <c r="X3136" s="11">
        <v>2009</v>
      </c>
      <c r="Y3136" s="11">
        <v>537</v>
      </c>
      <c r="Z3136" s="11">
        <v>5.9</v>
      </c>
      <c r="AA3136" s="11">
        <v>2.35</v>
      </c>
      <c r="AB3136" s="11">
        <v>15000</v>
      </c>
      <c r="AC3136" s="11"/>
      <c r="AD3136" s="11" t="str">
        <f>IFERROR(__xludf.DUMMYFUNCTION("""COMPUTED_VALUE"""),"Ivana Baquero")</f>
        <v>Ivana Baquero</v>
      </c>
      <c r="AE3136" s="11"/>
    </row>
    <row r="3137" customHeight="1" spans="1:31">
      <c r="A3137" s="12" t="s">
        <v>30</v>
      </c>
      <c r="B3137" s="12" t="s">
        <v>11682</v>
      </c>
      <c r="C3137" s="12">
        <v>211</v>
      </c>
      <c r="D3137" s="12">
        <v>105</v>
      </c>
      <c r="E3137" s="12">
        <v>500</v>
      </c>
      <c r="F3137" s="12">
        <v>718</v>
      </c>
      <c r="G3137" s="12">
        <v>11000</v>
      </c>
      <c r="H3137" s="12">
        <v>20338609</v>
      </c>
      <c r="I3137" s="12" t="s">
        <v>5511</v>
      </c>
      <c r="J3137" s="12" t="s">
        <v>2377</v>
      </c>
      <c r="K3137" s="12" t="s">
        <v>2666</v>
      </c>
      <c r="L3137" s="12" t="s">
        <v>3710</v>
      </c>
      <c r="M3137" s="12" t="s">
        <v>14958</v>
      </c>
      <c r="N3137" s="12">
        <v>19655</v>
      </c>
      <c r="O3137" s="12">
        <v>12946</v>
      </c>
      <c r="P3137" s="12">
        <v>8</v>
      </c>
      <c r="Q3137" s="12" t="s">
        <v>14959</v>
      </c>
      <c r="R3137" s="15" t="s">
        <v>14960</v>
      </c>
      <c r="S3137" s="12">
        <v>280</v>
      </c>
      <c r="T3137" s="12" t="s">
        <v>39</v>
      </c>
      <c r="U3137" s="12" t="s">
        <v>40</v>
      </c>
      <c r="V3137" s="12" t="s">
        <v>41</v>
      </c>
      <c r="W3137" s="12">
        <v>10000000</v>
      </c>
      <c r="X3137" s="12">
        <v>2006</v>
      </c>
      <c r="Y3137" s="12">
        <v>912</v>
      </c>
      <c r="Z3137" s="12">
        <v>6.8</v>
      </c>
      <c r="AA3137" s="12">
        <v>2.35</v>
      </c>
      <c r="AB3137" s="12">
        <v>683</v>
      </c>
      <c r="AC3137" s="12"/>
      <c r="AD3137" s="12" t="str">
        <f>IFERROR(__xludf.DUMMYFUNCTION("""COMPUTED_VALUE"""),"Maribel Verdú")</f>
        <v>Maribel Verdú</v>
      </c>
      <c r="AE3137" s="12"/>
    </row>
    <row r="3138" customHeight="1" spans="1:31">
      <c r="A3138" s="11" t="s">
        <v>748</v>
      </c>
      <c r="B3138" s="11" t="s">
        <v>14961</v>
      </c>
      <c r="C3138" s="11">
        <v>14</v>
      </c>
      <c r="D3138" s="11">
        <v>123</v>
      </c>
      <c r="E3138" s="11">
        <v>5</v>
      </c>
      <c r="F3138" s="11">
        <v>338</v>
      </c>
      <c r="G3138" s="11">
        <v>556</v>
      </c>
      <c r="H3138" s="11">
        <v>18272447</v>
      </c>
      <c r="I3138" s="11" t="s">
        <v>4075</v>
      </c>
      <c r="J3138" s="11" t="s">
        <v>13083</v>
      </c>
      <c r="K3138" s="11" t="s">
        <v>3966</v>
      </c>
      <c r="L3138" s="11" t="s">
        <v>10655</v>
      </c>
      <c r="M3138" s="11" t="s">
        <v>14962</v>
      </c>
      <c r="N3138" s="11">
        <v>3119</v>
      </c>
      <c r="O3138" s="11">
        <v>2149</v>
      </c>
      <c r="P3138" s="11">
        <v>1</v>
      </c>
      <c r="Q3138" s="11" t="s">
        <v>14963</v>
      </c>
      <c r="R3138" s="14" t="s">
        <v>14964</v>
      </c>
      <c r="S3138" s="11">
        <v>35</v>
      </c>
      <c r="T3138" s="11" t="s">
        <v>39</v>
      </c>
      <c r="U3138" s="11" t="s">
        <v>40</v>
      </c>
      <c r="V3138" s="11" t="s">
        <v>586</v>
      </c>
      <c r="W3138" s="11">
        <v>10000000</v>
      </c>
      <c r="X3138" s="11">
        <v>1993</v>
      </c>
      <c r="Y3138" s="11">
        <v>475</v>
      </c>
      <c r="Z3138" s="11">
        <v>5.9</v>
      </c>
      <c r="AA3138" s="11">
        <v>1.85</v>
      </c>
      <c r="AB3138" s="11">
        <v>331</v>
      </c>
      <c r="AC3138" s="11"/>
      <c r="AD3138" s="11" t="str">
        <f>IFERROR(__xludf.DUMMYFUNCTION("""COMPUTED_VALUE"""),"Sergi López")</f>
        <v>Sergi López</v>
      </c>
      <c r="AE3138" s="11"/>
    </row>
    <row r="3139" customHeight="1" spans="1:31">
      <c r="A3139" s="12" t="s">
        <v>30</v>
      </c>
      <c r="B3139" s="12" t="s">
        <v>14965</v>
      </c>
      <c r="C3139" s="12">
        <v>54</v>
      </c>
      <c r="D3139" s="12">
        <v>107</v>
      </c>
      <c r="E3139" s="12">
        <v>17</v>
      </c>
      <c r="F3139" s="12">
        <v>53</v>
      </c>
      <c r="G3139" s="12">
        <v>371</v>
      </c>
      <c r="H3139" s="16"/>
      <c r="I3139" s="12" t="s">
        <v>60</v>
      </c>
      <c r="J3139" s="12" t="s">
        <v>9451</v>
      </c>
      <c r="K3139" s="12" t="s">
        <v>14966</v>
      </c>
      <c r="L3139" s="12" t="s">
        <v>14967</v>
      </c>
      <c r="M3139" s="12" t="s">
        <v>14968</v>
      </c>
      <c r="N3139" s="12">
        <v>6143</v>
      </c>
      <c r="O3139" s="12">
        <v>857</v>
      </c>
      <c r="P3139" s="12">
        <v>1</v>
      </c>
      <c r="Q3139" s="12" t="s">
        <v>14969</v>
      </c>
      <c r="R3139" s="15" t="s">
        <v>14970</v>
      </c>
      <c r="S3139" s="12">
        <v>90</v>
      </c>
      <c r="T3139" s="12" t="s">
        <v>39</v>
      </c>
      <c r="U3139" s="12" t="s">
        <v>40</v>
      </c>
      <c r="V3139" s="12" t="s">
        <v>586</v>
      </c>
      <c r="W3139" s="12">
        <v>10000000</v>
      </c>
      <c r="X3139" s="12">
        <v>1985</v>
      </c>
      <c r="Y3139" s="12">
        <v>324</v>
      </c>
      <c r="Z3139" s="12">
        <v>5.3</v>
      </c>
      <c r="AA3139" s="12">
        <v>1.85</v>
      </c>
      <c r="AB3139" s="12">
        <v>0</v>
      </c>
      <c r="AC3139" s="12"/>
      <c r="AD3139" s="12" t="str">
        <f>IFERROR(__xludf.DUMMYFUNCTION("""COMPUTED_VALUE"""),"Jessika Van")</f>
        <v>Jessika Van</v>
      </c>
      <c r="AE3139" s="12"/>
    </row>
    <row r="3140" customHeight="1" spans="1:31">
      <c r="A3140" s="11" t="s">
        <v>30</v>
      </c>
      <c r="B3140" s="11" t="s">
        <v>6801</v>
      </c>
      <c r="C3140" s="11">
        <v>55</v>
      </c>
      <c r="D3140" s="11">
        <v>112</v>
      </c>
      <c r="E3140" s="11">
        <v>92</v>
      </c>
      <c r="F3140" s="11">
        <v>826</v>
      </c>
      <c r="G3140" s="11">
        <v>2000</v>
      </c>
      <c r="H3140" s="11">
        <v>17378977</v>
      </c>
      <c r="I3140" s="11" t="s">
        <v>5788</v>
      </c>
      <c r="J3140" s="11" t="s">
        <v>8433</v>
      </c>
      <c r="K3140" s="11" t="s">
        <v>2138</v>
      </c>
      <c r="L3140" s="11" t="s">
        <v>12215</v>
      </c>
      <c r="M3140" s="11" t="s">
        <v>14971</v>
      </c>
      <c r="N3140" s="11">
        <v>5585</v>
      </c>
      <c r="O3140" s="11">
        <v>7552</v>
      </c>
      <c r="P3140" s="11">
        <v>0</v>
      </c>
      <c r="Q3140" s="11" t="s">
        <v>14972</v>
      </c>
      <c r="R3140" s="14" t="s">
        <v>14973</v>
      </c>
      <c r="S3140" s="11">
        <v>75</v>
      </c>
      <c r="T3140" s="11" t="s">
        <v>39</v>
      </c>
      <c r="U3140" s="11" t="s">
        <v>40</v>
      </c>
      <c r="V3140" s="11" t="s">
        <v>41</v>
      </c>
      <c r="W3140" s="13"/>
      <c r="X3140" s="11">
        <v>2005</v>
      </c>
      <c r="Y3140" s="11">
        <v>918</v>
      </c>
      <c r="Z3140" s="11">
        <v>6</v>
      </c>
      <c r="AA3140" s="11">
        <v>2.35</v>
      </c>
      <c r="AB3140" s="11">
        <v>997</v>
      </c>
      <c r="AC3140" s="11"/>
      <c r="AD3140" s="11" t="str">
        <f>IFERROR(__xludf.DUMMYFUNCTION("""COMPUTED_VALUE"""),"Angell Conwell")</f>
        <v>Angell Conwell</v>
      </c>
      <c r="AE3140" s="11"/>
    </row>
    <row r="3141" customHeight="1" spans="1:31">
      <c r="A3141" s="12" t="s">
        <v>30</v>
      </c>
      <c r="B3141" s="12" t="s">
        <v>5383</v>
      </c>
      <c r="C3141" s="12">
        <v>179</v>
      </c>
      <c r="D3141" s="12">
        <v>93</v>
      </c>
      <c r="E3141" s="12">
        <v>0</v>
      </c>
      <c r="F3141" s="12">
        <v>766</v>
      </c>
      <c r="G3141" s="12">
        <v>13000</v>
      </c>
      <c r="H3141" s="12">
        <v>17096053</v>
      </c>
      <c r="I3141" s="12" t="s">
        <v>2528</v>
      </c>
      <c r="J3141" s="12" t="s">
        <v>549</v>
      </c>
      <c r="K3141" s="12" t="s">
        <v>1694</v>
      </c>
      <c r="L3141" s="12" t="s">
        <v>2019</v>
      </c>
      <c r="M3141" s="12" t="s">
        <v>14974</v>
      </c>
      <c r="N3141" s="12">
        <v>134458</v>
      </c>
      <c r="O3141" s="12">
        <v>15716</v>
      </c>
      <c r="P3141" s="12">
        <v>2</v>
      </c>
      <c r="Q3141" s="12" t="s">
        <v>14975</v>
      </c>
      <c r="R3141" s="15" t="s">
        <v>14976</v>
      </c>
      <c r="S3141" s="12">
        <v>640</v>
      </c>
      <c r="T3141" s="12" t="s">
        <v>39</v>
      </c>
      <c r="U3141" s="12" t="s">
        <v>40</v>
      </c>
      <c r="V3141" s="12" t="s">
        <v>586</v>
      </c>
      <c r="W3141" s="12">
        <v>9000000</v>
      </c>
      <c r="X3141" s="12">
        <v>1998</v>
      </c>
      <c r="Y3141" s="12">
        <v>933</v>
      </c>
      <c r="Z3141" s="12">
        <v>7.7</v>
      </c>
      <c r="AA3141" s="12">
        <v>2.35</v>
      </c>
      <c r="AB3141" s="12">
        <v>5000</v>
      </c>
      <c r="AC3141" s="12"/>
      <c r="AD3141" s="12" t="str">
        <f>IFERROR(__xludf.DUMMYFUNCTION("""COMPUTED_VALUE"""),"Bolo Yeung")</f>
        <v>Bolo Yeung</v>
      </c>
      <c r="AE3141" s="12"/>
    </row>
    <row r="3142" customHeight="1" spans="1:31">
      <c r="A3142" s="11" t="s">
        <v>30</v>
      </c>
      <c r="B3142" s="11" t="s">
        <v>6530</v>
      </c>
      <c r="C3142" s="11">
        <v>221</v>
      </c>
      <c r="D3142" s="11">
        <v>97</v>
      </c>
      <c r="E3142" s="11">
        <v>25</v>
      </c>
      <c r="F3142" s="11">
        <v>861</v>
      </c>
      <c r="G3142" s="11">
        <v>929</v>
      </c>
      <c r="H3142" s="11">
        <v>21371425</v>
      </c>
      <c r="I3142" s="11" t="s">
        <v>2813</v>
      </c>
      <c r="J3142" s="11" t="s">
        <v>3736</v>
      </c>
      <c r="K3142" s="11" t="s">
        <v>9033</v>
      </c>
      <c r="L3142" s="11" t="s">
        <v>3882</v>
      </c>
      <c r="M3142" s="11" t="s">
        <v>14977</v>
      </c>
      <c r="N3142" s="11">
        <v>76199</v>
      </c>
      <c r="O3142" s="11">
        <v>3679</v>
      </c>
      <c r="P3142" s="11">
        <v>0</v>
      </c>
      <c r="Q3142" s="11" t="s">
        <v>14978</v>
      </c>
      <c r="R3142" s="14" t="s">
        <v>14979</v>
      </c>
      <c r="S3142" s="11">
        <v>944</v>
      </c>
      <c r="T3142" s="11" t="s">
        <v>39</v>
      </c>
      <c r="U3142" s="11" t="s">
        <v>40</v>
      </c>
      <c r="V3142" s="11" t="s">
        <v>41</v>
      </c>
      <c r="W3142" s="11">
        <v>10000000</v>
      </c>
      <c r="X3142" s="11">
        <v>2010</v>
      </c>
      <c r="Y3142" s="11">
        <v>927</v>
      </c>
      <c r="Z3142" s="11">
        <v>4.4</v>
      </c>
      <c r="AA3142" s="11">
        <v>2.35</v>
      </c>
      <c r="AB3142" s="11">
        <v>13000</v>
      </c>
      <c r="AC3142" s="11"/>
      <c r="AD3142" s="11" t="str">
        <f>IFERROR(__xludf.DUMMYFUNCTION("""COMPUTED_VALUE"""),"Alonna Shaw")</f>
        <v>Alonna Shaw</v>
      </c>
      <c r="AE3142" s="11"/>
    </row>
    <row r="3143" customHeight="1" spans="1:31">
      <c r="A3143" s="12" t="s">
        <v>30</v>
      </c>
      <c r="B3143" s="12" t="s">
        <v>4538</v>
      </c>
      <c r="C3143" s="12">
        <v>158</v>
      </c>
      <c r="D3143" s="12">
        <v>122</v>
      </c>
      <c r="E3143" s="12">
        <v>108</v>
      </c>
      <c r="F3143" s="12">
        <v>111</v>
      </c>
      <c r="G3143" s="12">
        <v>220</v>
      </c>
      <c r="H3143" s="12">
        <v>33071558</v>
      </c>
      <c r="I3143" s="12" t="s">
        <v>2528</v>
      </c>
      <c r="J3143" s="12" t="s">
        <v>14980</v>
      </c>
      <c r="K3143" s="12" t="s">
        <v>5270</v>
      </c>
      <c r="L3143" s="12" t="s">
        <v>14981</v>
      </c>
      <c r="M3143" s="12" t="s">
        <v>14982</v>
      </c>
      <c r="N3143" s="12">
        <v>22369</v>
      </c>
      <c r="O3143" s="12">
        <v>583</v>
      </c>
      <c r="P3143" s="12">
        <v>6</v>
      </c>
      <c r="Q3143" s="12" t="s">
        <v>14983</v>
      </c>
      <c r="R3143" s="15" t="s">
        <v>14984</v>
      </c>
      <c r="S3143" s="12">
        <v>100</v>
      </c>
      <c r="T3143" s="12" t="s">
        <v>39</v>
      </c>
      <c r="U3143" s="12" t="s">
        <v>58</v>
      </c>
      <c r="V3143" s="12" t="s">
        <v>96</v>
      </c>
      <c r="W3143" s="12">
        <v>10000000</v>
      </c>
      <c r="X3143" s="12">
        <v>2015</v>
      </c>
      <c r="Y3143" s="12">
        <v>186</v>
      </c>
      <c r="Z3143" s="12">
        <v>6.6</v>
      </c>
      <c r="AA3143" s="12">
        <v>2.35</v>
      </c>
      <c r="AB3143" s="12">
        <v>21000</v>
      </c>
      <c r="AC3143" s="12"/>
      <c r="AD3143" s="12" t="str">
        <f>IFERROR(__xludf.DUMMYFUNCTION("""COMPUTED_VALUE"""),"Kamel Krifa")</f>
        <v>Kamel Krifa</v>
      </c>
      <c r="AE3143" s="12"/>
    </row>
    <row r="3144" customHeight="1" spans="1:31">
      <c r="A3144" s="11" t="s">
        <v>30</v>
      </c>
      <c r="B3144" s="11" t="s">
        <v>14985</v>
      </c>
      <c r="C3144" s="11">
        <v>73</v>
      </c>
      <c r="D3144" s="11">
        <v>101</v>
      </c>
      <c r="E3144" s="11">
        <v>22</v>
      </c>
      <c r="F3144" s="11">
        <v>558</v>
      </c>
      <c r="G3144" s="11">
        <v>918</v>
      </c>
      <c r="H3144" s="11">
        <v>17655201</v>
      </c>
      <c r="I3144" s="11" t="s">
        <v>7144</v>
      </c>
      <c r="J3144" s="11" t="s">
        <v>689</v>
      </c>
      <c r="K3144" s="11" t="s">
        <v>2389</v>
      </c>
      <c r="L3144" s="11" t="s">
        <v>784</v>
      </c>
      <c r="M3144" s="11" t="s">
        <v>14986</v>
      </c>
      <c r="N3144" s="11">
        <v>4719</v>
      </c>
      <c r="O3144" s="11">
        <v>3317</v>
      </c>
      <c r="P3144" s="11">
        <v>1</v>
      </c>
      <c r="Q3144" s="11" t="s">
        <v>14987</v>
      </c>
      <c r="R3144" s="14" t="s">
        <v>14988</v>
      </c>
      <c r="S3144" s="11">
        <v>24</v>
      </c>
      <c r="T3144" s="11" t="s">
        <v>39</v>
      </c>
      <c r="U3144" s="11" t="s">
        <v>40</v>
      </c>
      <c r="V3144" s="11" t="s">
        <v>278</v>
      </c>
      <c r="W3144" s="11">
        <v>10000000</v>
      </c>
      <c r="X3144" s="11">
        <v>2008</v>
      </c>
      <c r="Y3144" s="11">
        <v>624</v>
      </c>
      <c r="Z3144" s="11">
        <v>6.7</v>
      </c>
      <c r="AA3144" s="11">
        <v>1.85</v>
      </c>
      <c r="AB3144" s="11">
        <v>851</v>
      </c>
      <c r="AC3144" s="11"/>
      <c r="AD3144" s="11" t="str">
        <f>IFERROR(__xludf.DUMMYFUNCTION("""COMPUTED_VALUE"""),"Joe Cornish")</f>
        <v>Joe Cornish</v>
      </c>
      <c r="AE3144" s="11"/>
    </row>
    <row r="3145" customHeight="1" spans="1:31">
      <c r="A3145" s="12" t="s">
        <v>30</v>
      </c>
      <c r="B3145" s="12" t="s">
        <v>11563</v>
      </c>
      <c r="C3145" s="12">
        <v>65</v>
      </c>
      <c r="D3145" s="12">
        <v>100</v>
      </c>
      <c r="E3145" s="12">
        <v>15</v>
      </c>
      <c r="F3145" s="12">
        <v>804</v>
      </c>
      <c r="G3145" s="12">
        <v>1000</v>
      </c>
      <c r="H3145" s="12">
        <v>16247775</v>
      </c>
      <c r="I3145" s="12" t="s">
        <v>2717</v>
      </c>
      <c r="J3145" s="12" t="s">
        <v>9439</v>
      </c>
      <c r="K3145" s="12" t="s">
        <v>1978</v>
      </c>
      <c r="L3145" s="12" t="s">
        <v>11001</v>
      </c>
      <c r="M3145" s="12" t="s">
        <v>14989</v>
      </c>
      <c r="N3145" s="12">
        <v>23527</v>
      </c>
      <c r="O3145" s="12">
        <v>4789</v>
      </c>
      <c r="P3145" s="12">
        <v>3</v>
      </c>
      <c r="Q3145" s="12" t="s">
        <v>14990</v>
      </c>
      <c r="R3145" s="15" t="s">
        <v>14991</v>
      </c>
      <c r="S3145" s="12">
        <v>104</v>
      </c>
      <c r="T3145" s="12" t="s">
        <v>39</v>
      </c>
      <c r="U3145" s="12" t="s">
        <v>40</v>
      </c>
      <c r="V3145" s="12" t="s">
        <v>96</v>
      </c>
      <c r="W3145" s="12">
        <v>25000000</v>
      </c>
      <c r="X3145" s="12">
        <v>2005</v>
      </c>
      <c r="Y3145" s="12">
        <v>962</v>
      </c>
      <c r="Z3145" s="12">
        <v>5.5</v>
      </c>
      <c r="AA3145" s="12">
        <v>1.85</v>
      </c>
      <c r="AB3145" s="12">
        <v>767</v>
      </c>
      <c r="AC3145" s="12"/>
      <c r="AD3145" s="12" t="str">
        <f>IFERROR(__xludf.DUMMYFUNCTION("""COMPUTED_VALUE"""),"Gustaf Skarsgård")</f>
        <v>Gustaf Skarsgård</v>
      </c>
      <c r="AE3145" s="12"/>
    </row>
    <row r="3146" customHeight="1" spans="1:31">
      <c r="A3146" s="11" t="s">
        <v>30</v>
      </c>
      <c r="B3146" s="11" t="s">
        <v>5077</v>
      </c>
      <c r="C3146" s="11">
        <v>23</v>
      </c>
      <c r="D3146" s="11">
        <v>129</v>
      </c>
      <c r="E3146" s="11">
        <v>0</v>
      </c>
      <c r="F3146" s="11">
        <v>203</v>
      </c>
      <c r="G3146" s="11">
        <v>18000</v>
      </c>
      <c r="H3146" s="11">
        <v>16153600</v>
      </c>
      <c r="I3146" s="11" t="s">
        <v>7837</v>
      </c>
      <c r="J3146" s="11" t="s">
        <v>1727</v>
      </c>
      <c r="K3146" s="11" t="s">
        <v>2719</v>
      </c>
      <c r="L3146" s="11" t="s">
        <v>14992</v>
      </c>
      <c r="M3146" s="11" t="s">
        <v>14993</v>
      </c>
      <c r="N3146" s="11">
        <v>8295</v>
      </c>
      <c r="O3146" s="11">
        <v>19065</v>
      </c>
      <c r="P3146" s="11">
        <v>1</v>
      </c>
      <c r="Q3146" s="11" t="s">
        <v>14994</v>
      </c>
      <c r="R3146" s="14" t="s">
        <v>14995</v>
      </c>
      <c r="S3146" s="11">
        <v>30</v>
      </c>
      <c r="T3146" s="11" t="s">
        <v>39</v>
      </c>
      <c r="U3146" s="11" t="s">
        <v>40</v>
      </c>
      <c r="V3146" s="11" t="s">
        <v>586</v>
      </c>
      <c r="W3146" s="11">
        <v>10000000</v>
      </c>
      <c r="X3146" s="11">
        <v>1990</v>
      </c>
      <c r="Y3146" s="11">
        <v>269</v>
      </c>
      <c r="Z3146" s="11">
        <v>6.5</v>
      </c>
      <c r="AA3146" s="11">
        <v>1.85</v>
      </c>
      <c r="AB3146" s="11">
        <v>720</v>
      </c>
      <c r="AC3146" s="11"/>
      <c r="AD3146" s="11" t="str">
        <f>IFERROR(__xludf.DUMMYFUNCTION("""COMPUTED_VALUE"""),"Tsianina Joelson")</f>
        <v>Tsianina Joelson</v>
      </c>
      <c r="AE3146" s="11"/>
    </row>
    <row r="3147" customHeight="1" spans="1:31">
      <c r="A3147" s="12" t="s">
        <v>30</v>
      </c>
      <c r="B3147" s="12" t="s">
        <v>4983</v>
      </c>
      <c r="C3147" s="12">
        <v>63</v>
      </c>
      <c r="D3147" s="12">
        <v>81</v>
      </c>
      <c r="E3147" s="12">
        <v>176</v>
      </c>
      <c r="F3147" s="12">
        <v>39</v>
      </c>
      <c r="G3147" s="12">
        <v>176</v>
      </c>
      <c r="H3147" s="12">
        <v>16033556</v>
      </c>
      <c r="I3147" s="12" t="s">
        <v>2137</v>
      </c>
      <c r="J3147" s="12" t="s">
        <v>4983</v>
      </c>
      <c r="K3147" s="12" t="s">
        <v>14996</v>
      </c>
      <c r="L3147" s="12" t="s">
        <v>14997</v>
      </c>
      <c r="M3147" s="12" t="s">
        <v>14998</v>
      </c>
      <c r="N3147" s="12">
        <v>37901</v>
      </c>
      <c r="O3147" s="12">
        <v>361</v>
      </c>
      <c r="P3147" s="12">
        <v>1</v>
      </c>
      <c r="Q3147" s="12" t="s">
        <v>14999</v>
      </c>
      <c r="R3147" s="15" t="s">
        <v>15000</v>
      </c>
      <c r="S3147" s="12">
        <v>518</v>
      </c>
      <c r="T3147" s="12" t="s">
        <v>39</v>
      </c>
      <c r="U3147" s="12" t="s">
        <v>40</v>
      </c>
      <c r="V3147" s="12" t="s">
        <v>41</v>
      </c>
      <c r="W3147" s="12">
        <v>10000000</v>
      </c>
      <c r="X3147" s="12">
        <v>2002</v>
      </c>
      <c r="Y3147" s="12">
        <v>67</v>
      </c>
      <c r="Z3147" s="12">
        <v>6.2</v>
      </c>
      <c r="AA3147" s="12">
        <v>2.35</v>
      </c>
      <c r="AB3147" s="12">
        <v>0</v>
      </c>
      <c r="AC3147" s="12"/>
      <c r="AD3147" s="12" t="str">
        <f>IFERROR(__xludf.DUMMYFUNCTION("""COMPUTED_VALUE"""),"Marc Donato")</f>
        <v>Marc Donato</v>
      </c>
      <c r="AE3147" s="12"/>
    </row>
    <row r="3148" customHeight="1" spans="1:31">
      <c r="A3148" s="11" t="s">
        <v>30</v>
      </c>
      <c r="B3148" s="11" t="s">
        <v>1903</v>
      </c>
      <c r="C3148" s="11">
        <v>132</v>
      </c>
      <c r="D3148" s="11">
        <v>96</v>
      </c>
      <c r="E3148" s="11">
        <v>31</v>
      </c>
      <c r="F3148" s="11">
        <v>536</v>
      </c>
      <c r="G3148" s="11">
        <v>651</v>
      </c>
      <c r="H3148" s="11">
        <v>16667084</v>
      </c>
      <c r="I3148" s="11" t="s">
        <v>12640</v>
      </c>
      <c r="J3148" s="11" t="s">
        <v>15001</v>
      </c>
      <c r="K3148" s="11" t="s">
        <v>2986</v>
      </c>
      <c r="L3148" s="11" t="s">
        <v>15002</v>
      </c>
      <c r="M3148" s="11" t="s">
        <v>15003</v>
      </c>
      <c r="N3148" s="11">
        <v>90070</v>
      </c>
      <c r="O3148" s="11">
        <v>3119</v>
      </c>
      <c r="P3148" s="11">
        <v>0</v>
      </c>
      <c r="Q3148" s="11" t="s">
        <v>15004</v>
      </c>
      <c r="R3148" s="14" t="s">
        <v>15005</v>
      </c>
      <c r="S3148" s="11">
        <v>248</v>
      </c>
      <c r="T3148" s="11" t="s">
        <v>39</v>
      </c>
      <c r="U3148" s="11" t="s">
        <v>40</v>
      </c>
      <c r="V3148" s="11" t="s">
        <v>41</v>
      </c>
      <c r="W3148" s="11">
        <v>11000000</v>
      </c>
      <c r="X3148" s="11">
        <v>1990</v>
      </c>
      <c r="Y3148" s="11">
        <v>610</v>
      </c>
      <c r="Z3148" s="11">
        <v>7.1</v>
      </c>
      <c r="AA3148" s="11">
        <v>1.85</v>
      </c>
      <c r="AB3148" s="11">
        <v>11000</v>
      </c>
      <c r="AC3148" s="11"/>
      <c r="AD3148" s="11" t="str">
        <f>IFERROR(__xludf.DUMMYFUNCTION("""COMPUTED_VALUE"""),"Cynthia Stevenson")</f>
        <v>Cynthia Stevenson</v>
      </c>
      <c r="AE3148" s="11"/>
    </row>
    <row r="3149" customHeight="1" spans="1:31">
      <c r="A3149" s="12" t="s">
        <v>30</v>
      </c>
      <c r="B3149" s="12" t="s">
        <v>15006</v>
      </c>
      <c r="C3149" s="12">
        <v>191</v>
      </c>
      <c r="D3149" s="12">
        <v>84</v>
      </c>
      <c r="E3149" s="12">
        <v>36</v>
      </c>
      <c r="F3149" s="12">
        <v>648</v>
      </c>
      <c r="G3149" s="12">
        <v>2000</v>
      </c>
      <c r="H3149" s="12">
        <v>15417771</v>
      </c>
      <c r="I3149" s="12" t="s">
        <v>5544</v>
      </c>
      <c r="J3149" s="12" t="s">
        <v>4373</v>
      </c>
      <c r="K3149" s="12" t="s">
        <v>15007</v>
      </c>
      <c r="L3149" s="12" t="s">
        <v>7954</v>
      </c>
      <c r="M3149" s="12" t="s">
        <v>15008</v>
      </c>
      <c r="N3149" s="12">
        <v>87494</v>
      </c>
      <c r="O3149" s="12">
        <v>3416</v>
      </c>
      <c r="P3149" s="12">
        <v>1</v>
      </c>
      <c r="Q3149" s="12" t="s">
        <v>15009</v>
      </c>
      <c r="R3149" s="15" t="s">
        <v>15010</v>
      </c>
      <c r="S3149" s="12">
        <v>540</v>
      </c>
      <c r="T3149" s="12" t="s">
        <v>39</v>
      </c>
      <c r="U3149" s="12" t="s">
        <v>40</v>
      </c>
      <c r="V3149" s="12" t="s">
        <v>586</v>
      </c>
      <c r="W3149" s="12">
        <v>12600000</v>
      </c>
      <c r="X3149" s="12">
        <v>2003</v>
      </c>
      <c r="Y3149" s="12">
        <v>683</v>
      </c>
      <c r="Z3149" s="12">
        <v>6.1</v>
      </c>
      <c r="AA3149" s="12">
        <v>1.85</v>
      </c>
      <c r="AB3149" s="12">
        <v>0</v>
      </c>
      <c r="AC3149" s="12"/>
      <c r="AD3149" s="12" t="str">
        <f>IFERROR(__xludf.DUMMYFUNCTION("""COMPUTED_VALUE"""),"Tracey Walter")</f>
        <v>Tracey Walter</v>
      </c>
      <c r="AE3149" s="12"/>
    </row>
    <row r="3150" customHeight="1" spans="1:31">
      <c r="A3150" s="11" t="s">
        <v>30</v>
      </c>
      <c r="B3150" s="11" t="s">
        <v>4357</v>
      </c>
      <c r="C3150" s="11">
        <v>52</v>
      </c>
      <c r="D3150" s="11">
        <v>100</v>
      </c>
      <c r="E3150" s="11">
        <v>394</v>
      </c>
      <c r="F3150" s="11">
        <v>695</v>
      </c>
      <c r="G3150" s="11">
        <v>2000</v>
      </c>
      <c r="H3150" s="13"/>
      <c r="I3150" s="11" t="s">
        <v>15011</v>
      </c>
      <c r="J3150" s="11" t="s">
        <v>537</v>
      </c>
      <c r="K3150" s="11" t="s">
        <v>4647</v>
      </c>
      <c r="L3150" s="11" t="s">
        <v>1905</v>
      </c>
      <c r="M3150" s="11" t="s">
        <v>15012</v>
      </c>
      <c r="N3150" s="11">
        <v>7322</v>
      </c>
      <c r="O3150" s="11">
        <v>6296</v>
      </c>
      <c r="P3150" s="11">
        <v>0</v>
      </c>
      <c r="Q3150" s="11" t="s">
        <v>15013</v>
      </c>
      <c r="R3150" s="14" t="s">
        <v>15014</v>
      </c>
      <c r="S3150" s="11">
        <v>78</v>
      </c>
      <c r="T3150" s="11" t="s">
        <v>39</v>
      </c>
      <c r="U3150" s="11" t="s">
        <v>40</v>
      </c>
      <c r="V3150" s="11" t="s">
        <v>586</v>
      </c>
      <c r="W3150" s="11">
        <v>10000000</v>
      </c>
      <c r="X3150" s="11">
        <v>1980</v>
      </c>
      <c r="Y3150" s="11">
        <v>926</v>
      </c>
      <c r="Z3150" s="11">
        <v>7.1</v>
      </c>
      <c r="AA3150" s="11">
        <v>1.85</v>
      </c>
      <c r="AB3150" s="11">
        <v>680</v>
      </c>
      <c r="AC3150" s="11"/>
      <c r="AD3150" s="11" t="str">
        <f>IFERROR(__xludf.DUMMYFUNCTION("""COMPUTED_VALUE"""),"Don Pardo")</f>
        <v>Don Pardo</v>
      </c>
      <c r="AE3150" s="11"/>
    </row>
    <row r="3151" customHeight="1" spans="1:31">
      <c r="A3151" s="12" t="s">
        <v>30</v>
      </c>
      <c r="B3151" s="12" t="s">
        <v>13031</v>
      </c>
      <c r="C3151" s="12">
        <v>91</v>
      </c>
      <c r="D3151" s="12">
        <v>110</v>
      </c>
      <c r="E3151" s="12">
        <v>164</v>
      </c>
      <c r="F3151" s="12">
        <v>45</v>
      </c>
      <c r="G3151" s="12">
        <v>258</v>
      </c>
      <c r="H3151" s="12">
        <v>15156200</v>
      </c>
      <c r="I3151" s="12" t="s">
        <v>1120</v>
      </c>
      <c r="J3151" s="12" t="s">
        <v>15015</v>
      </c>
      <c r="K3151" s="12" t="s">
        <v>9831</v>
      </c>
      <c r="L3151" s="12" t="s">
        <v>11955</v>
      </c>
      <c r="M3151" s="12" t="s">
        <v>15016</v>
      </c>
      <c r="N3151" s="12">
        <v>15358</v>
      </c>
      <c r="O3151" s="12">
        <v>571</v>
      </c>
      <c r="P3151" s="12">
        <v>2</v>
      </c>
      <c r="Q3151" s="12" t="s">
        <v>15017</v>
      </c>
      <c r="R3151" s="15" t="s">
        <v>15018</v>
      </c>
      <c r="S3151" s="12">
        <v>131</v>
      </c>
      <c r="T3151" s="12" t="s">
        <v>39</v>
      </c>
      <c r="U3151" s="12" t="s">
        <v>40</v>
      </c>
      <c r="V3151" s="12" t="s">
        <v>586</v>
      </c>
      <c r="W3151" s="12">
        <v>30000000</v>
      </c>
      <c r="X3151" s="12">
        <v>1999</v>
      </c>
      <c r="Y3151" s="12">
        <v>218</v>
      </c>
      <c r="Z3151" s="12">
        <v>6</v>
      </c>
      <c r="AA3151" s="12">
        <v>2.35</v>
      </c>
      <c r="AB3151" s="12">
        <v>328</v>
      </c>
      <c r="AC3151" s="12"/>
      <c r="AD3151" s="12" t="str">
        <f>IFERROR(__xludf.DUMMYFUNCTION("""COMPUTED_VALUE"""),"Ruby Jerins")</f>
        <v>Ruby Jerins</v>
      </c>
      <c r="AE3151" s="12"/>
    </row>
    <row r="3152" customHeight="1" spans="1:31">
      <c r="A3152" s="11" t="s">
        <v>30</v>
      </c>
      <c r="B3152" s="11" t="s">
        <v>12000</v>
      </c>
      <c r="C3152" s="11">
        <v>368</v>
      </c>
      <c r="D3152" s="11">
        <v>130</v>
      </c>
      <c r="E3152" s="11">
        <v>337</v>
      </c>
      <c r="F3152" s="11">
        <v>820</v>
      </c>
      <c r="G3152" s="11">
        <v>11000</v>
      </c>
      <c r="H3152" s="11">
        <v>21589307</v>
      </c>
      <c r="I3152" s="11" t="s">
        <v>3410</v>
      </c>
      <c r="J3152" s="11" t="s">
        <v>661</v>
      </c>
      <c r="K3152" s="11" t="s">
        <v>460</v>
      </c>
      <c r="L3152" s="11" t="s">
        <v>1046</v>
      </c>
      <c r="M3152" s="11" t="s">
        <v>15019</v>
      </c>
      <c r="N3152" s="11">
        <v>135286</v>
      </c>
      <c r="O3152" s="11">
        <v>13960</v>
      </c>
      <c r="P3152" s="11">
        <v>1</v>
      </c>
      <c r="Q3152" s="11" t="s">
        <v>15020</v>
      </c>
      <c r="R3152" s="14" t="s">
        <v>15021</v>
      </c>
      <c r="S3152" s="11">
        <v>261</v>
      </c>
      <c r="T3152" s="11" t="s">
        <v>39</v>
      </c>
      <c r="U3152" s="11" t="s">
        <v>40</v>
      </c>
      <c r="V3152" s="11" t="s">
        <v>41</v>
      </c>
      <c r="W3152" s="11">
        <v>10000000</v>
      </c>
      <c r="X3152" s="11">
        <v>2012</v>
      </c>
      <c r="Y3152" s="11">
        <v>1000</v>
      </c>
      <c r="Z3152" s="11">
        <v>7.4</v>
      </c>
      <c r="AA3152" s="11">
        <v>2.35</v>
      </c>
      <c r="AB3152" s="11">
        <v>27000</v>
      </c>
      <c r="AC3152" s="11"/>
      <c r="AD3152" s="11" t="str">
        <f>IFERROR(__xludf.DUMMYFUNCTION("""COMPUTED_VALUE"""),"Alexandra Holden")</f>
        <v>Alexandra Holden</v>
      </c>
      <c r="AE3152" s="11"/>
    </row>
    <row r="3153" customHeight="1" spans="1:31">
      <c r="A3153" s="12" t="s">
        <v>30</v>
      </c>
      <c r="B3153" s="12" t="s">
        <v>15022</v>
      </c>
      <c r="C3153" s="12">
        <v>89</v>
      </c>
      <c r="D3153" s="12">
        <v>84</v>
      </c>
      <c r="E3153" s="12">
        <v>134</v>
      </c>
      <c r="F3153" s="12">
        <v>307</v>
      </c>
      <c r="G3153" s="12">
        <v>655</v>
      </c>
      <c r="H3153" s="12">
        <v>20339754</v>
      </c>
      <c r="I3153" s="12" t="s">
        <v>1009</v>
      </c>
      <c r="J3153" s="12" t="s">
        <v>7912</v>
      </c>
      <c r="K3153" s="12" t="s">
        <v>5043</v>
      </c>
      <c r="L3153" s="12" t="s">
        <v>15023</v>
      </c>
      <c r="M3153" s="12" t="s">
        <v>15024</v>
      </c>
      <c r="N3153" s="12">
        <v>23928</v>
      </c>
      <c r="O3153" s="12">
        <v>2737</v>
      </c>
      <c r="P3153" s="12">
        <v>2</v>
      </c>
      <c r="Q3153" s="12" t="s">
        <v>15025</v>
      </c>
      <c r="R3153" s="15" t="s">
        <v>15026</v>
      </c>
      <c r="S3153" s="12">
        <v>73</v>
      </c>
      <c r="T3153" s="12" t="s">
        <v>39</v>
      </c>
      <c r="U3153" s="12" t="s">
        <v>40</v>
      </c>
      <c r="V3153" s="12" t="s">
        <v>586</v>
      </c>
      <c r="W3153" s="12">
        <v>10000000</v>
      </c>
      <c r="X3153" s="12">
        <v>2007</v>
      </c>
      <c r="Y3153" s="12">
        <v>651</v>
      </c>
      <c r="Z3153" s="12">
        <v>5.9</v>
      </c>
      <c r="AA3153" s="12">
        <v>1.85</v>
      </c>
      <c r="AB3153" s="12">
        <v>441</v>
      </c>
      <c r="AC3153" s="12"/>
      <c r="AD3153" s="12" t="str">
        <f>IFERROR(__xludf.DUMMYFUNCTION("""COMPUTED_VALUE"""),"Trent Ford")</f>
        <v>Trent Ford</v>
      </c>
      <c r="AE3153" s="12"/>
    </row>
    <row r="3154" customHeight="1" spans="1:31">
      <c r="A3154" s="11" t="s">
        <v>30</v>
      </c>
      <c r="B3154" s="11" t="s">
        <v>15027</v>
      </c>
      <c r="C3154" s="11">
        <v>83</v>
      </c>
      <c r="D3154" s="11">
        <v>106</v>
      </c>
      <c r="E3154" s="11">
        <v>293</v>
      </c>
      <c r="F3154" s="11">
        <v>547</v>
      </c>
      <c r="G3154" s="11">
        <v>773</v>
      </c>
      <c r="H3154" s="11">
        <v>28873374</v>
      </c>
      <c r="I3154" s="11" t="s">
        <v>4068</v>
      </c>
      <c r="J3154" s="11" t="s">
        <v>15028</v>
      </c>
      <c r="K3154" s="11" t="s">
        <v>15029</v>
      </c>
      <c r="L3154" s="11" t="s">
        <v>15030</v>
      </c>
      <c r="M3154" s="11" t="s">
        <v>15031</v>
      </c>
      <c r="N3154" s="11">
        <v>22161</v>
      </c>
      <c r="O3154" s="11">
        <v>2787</v>
      </c>
      <c r="P3154" s="11">
        <v>11</v>
      </c>
      <c r="Q3154" s="11" t="s">
        <v>15032</v>
      </c>
      <c r="R3154" s="14" t="s">
        <v>15033</v>
      </c>
      <c r="S3154" s="11">
        <v>68</v>
      </c>
      <c r="T3154" s="11" t="s">
        <v>39</v>
      </c>
      <c r="U3154" s="11" t="s">
        <v>40</v>
      </c>
      <c r="V3154" s="11" t="s">
        <v>96</v>
      </c>
      <c r="W3154" s="11">
        <v>10000000</v>
      </c>
      <c r="X3154" s="11">
        <v>2013</v>
      </c>
      <c r="Y3154" s="11">
        <v>734</v>
      </c>
      <c r="Z3154" s="11">
        <v>4.1</v>
      </c>
      <c r="AA3154" s="11">
        <v>1.85</v>
      </c>
      <c r="AB3154" s="11">
        <v>0</v>
      </c>
      <c r="AC3154" s="11"/>
      <c r="AD3154" s="11" t="str">
        <f>IFERROR(__xludf.DUMMYFUNCTION("""COMPUTED_VALUE"""),"Brad William Henke")</f>
        <v>Brad William Henke</v>
      </c>
      <c r="AE3154" s="11"/>
    </row>
    <row r="3155" customHeight="1" spans="1:31">
      <c r="A3155" s="12" t="s">
        <v>30</v>
      </c>
      <c r="B3155" s="12" t="s">
        <v>15034</v>
      </c>
      <c r="C3155" s="12">
        <v>83</v>
      </c>
      <c r="D3155" s="12">
        <v>89</v>
      </c>
      <c r="E3155" s="12">
        <v>23</v>
      </c>
      <c r="F3155" s="12">
        <v>503</v>
      </c>
      <c r="G3155" s="12">
        <v>839</v>
      </c>
      <c r="H3155" s="12">
        <v>15102127</v>
      </c>
      <c r="I3155" s="12" t="s">
        <v>1672</v>
      </c>
      <c r="J3155" s="12" t="s">
        <v>4496</v>
      </c>
      <c r="K3155" s="12" t="s">
        <v>4546</v>
      </c>
      <c r="L3155" s="12" t="s">
        <v>2712</v>
      </c>
      <c r="M3155" s="12" t="s">
        <v>15035</v>
      </c>
      <c r="N3155" s="12">
        <v>17790</v>
      </c>
      <c r="O3155" s="12">
        <v>3973</v>
      </c>
      <c r="P3155" s="12">
        <v>5</v>
      </c>
      <c r="Q3155" s="12" t="s">
        <v>15036</v>
      </c>
      <c r="R3155" s="15" t="s">
        <v>15037</v>
      </c>
      <c r="S3155" s="12">
        <v>59</v>
      </c>
      <c r="T3155" s="12" t="s">
        <v>39</v>
      </c>
      <c r="U3155" s="12" t="s">
        <v>40</v>
      </c>
      <c r="V3155" s="12" t="s">
        <v>586</v>
      </c>
      <c r="W3155" s="16"/>
      <c r="X3155" s="12">
        <v>2009</v>
      </c>
      <c r="Y3155" s="12">
        <v>700</v>
      </c>
      <c r="Z3155" s="12">
        <v>5.8</v>
      </c>
      <c r="AA3155" s="12">
        <v>1.85</v>
      </c>
      <c r="AB3155" s="12">
        <v>0</v>
      </c>
      <c r="AC3155" s="12"/>
      <c r="AD3155" s="12" t="str">
        <f>IFERROR(__xludf.DUMMYFUNCTION("""COMPUTED_VALUE"""),"Farrah Fawcett")</f>
        <v>Farrah Fawcett</v>
      </c>
      <c r="AE3155" s="12"/>
    </row>
    <row r="3156" customHeight="1" spans="1:31">
      <c r="A3156" s="11" t="s">
        <v>30</v>
      </c>
      <c r="B3156" s="11" t="s">
        <v>15038</v>
      </c>
      <c r="C3156" s="11">
        <v>33</v>
      </c>
      <c r="D3156" s="11">
        <v>76</v>
      </c>
      <c r="E3156" s="11">
        <v>14</v>
      </c>
      <c r="F3156" s="11">
        <v>636</v>
      </c>
      <c r="G3156" s="11">
        <v>1000</v>
      </c>
      <c r="H3156" s="11">
        <v>13684949</v>
      </c>
      <c r="I3156" s="11" t="s">
        <v>471</v>
      </c>
      <c r="J3156" s="11" t="s">
        <v>2620</v>
      </c>
      <c r="K3156" s="11" t="s">
        <v>1518</v>
      </c>
      <c r="L3156" s="11" t="s">
        <v>7659</v>
      </c>
      <c r="M3156" s="11" t="s">
        <v>15039</v>
      </c>
      <c r="N3156" s="11">
        <v>4564</v>
      </c>
      <c r="O3156" s="11">
        <v>3752</v>
      </c>
      <c r="P3156" s="11">
        <v>0</v>
      </c>
      <c r="Q3156" s="11" t="s">
        <v>15040</v>
      </c>
      <c r="R3156" s="14" t="s">
        <v>15041</v>
      </c>
      <c r="S3156" s="11">
        <v>43</v>
      </c>
      <c r="T3156" s="11" t="s">
        <v>39</v>
      </c>
      <c r="U3156" s="11" t="s">
        <v>40</v>
      </c>
      <c r="V3156" s="11" t="s">
        <v>96</v>
      </c>
      <c r="W3156" s="11">
        <v>3000000</v>
      </c>
      <c r="X3156" s="11">
        <v>2002</v>
      </c>
      <c r="Y3156" s="11">
        <v>811</v>
      </c>
      <c r="Z3156" s="11">
        <v>5.9</v>
      </c>
      <c r="AA3156" s="11">
        <v>1.85</v>
      </c>
      <c r="AB3156" s="11">
        <v>227</v>
      </c>
      <c r="AC3156" s="11"/>
      <c r="AD3156" s="11" t="str">
        <f>IFERROR(__xludf.DUMMYFUNCTION("""COMPUTED_VALUE"""),"Karl Malden")</f>
        <v>Karl Malden</v>
      </c>
      <c r="AE3156" s="11"/>
    </row>
    <row r="3157" customHeight="1" spans="1:31">
      <c r="A3157" s="12" t="s">
        <v>30</v>
      </c>
      <c r="B3157" s="12" t="s">
        <v>14612</v>
      </c>
      <c r="C3157" s="12">
        <v>386</v>
      </c>
      <c r="D3157" s="12">
        <v>99</v>
      </c>
      <c r="E3157" s="12">
        <v>64</v>
      </c>
      <c r="F3157" s="12">
        <v>918</v>
      </c>
      <c r="G3157" s="12">
        <v>13000</v>
      </c>
      <c r="H3157" s="12">
        <v>14597405</v>
      </c>
      <c r="I3157" s="12" t="s">
        <v>1544</v>
      </c>
      <c r="J3157" s="12" t="s">
        <v>446</v>
      </c>
      <c r="K3157" s="12" t="s">
        <v>1212</v>
      </c>
      <c r="L3157" s="12" t="s">
        <v>689</v>
      </c>
      <c r="M3157" s="12" t="s">
        <v>15042</v>
      </c>
      <c r="N3157" s="12">
        <v>71679</v>
      </c>
      <c r="O3157" s="12">
        <v>17204</v>
      </c>
      <c r="P3157" s="12">
        <v>1</v>
      </c>
      <c r="Q3157" s="12" t="s">
        <v>15043</v>
      </c>
      <c r="R3157" s="15" t="s">
        <v>15044</v>
      </c>
      <c r="S3157" s="12">
        <v>216</v>
      </c>
      <c r="T3157" s="12" t="s">
        <v>39</v>
      </c>
      <c r="U3157" s="12" t="s">
        <v>58</v>
      </c>
      <c r="V3157" s="12" t="s">
        <v>586</v>
      </c>
      <c r="W3157" s="12">
        <v>6400000</v>
      </c>
      <c r="X3157" s="12">
        <v>2011</v>
      </c>
      <c r="Y3157" s="12">
        <v>2000</v>
      </c>
      <c r="Z3157" s="12">
        <v>7</v>
      </c>
      <c r="AA3157" s="12">
        <v>2.35</v>
      </c>
      <c r="AB3157" s="12">
        <v>17000</v>
      </c>
      <c r="AC3157" s="12"/>
      <c r="AD3157" s="12" t="str">
        <f>IFERROR(__xludf.DUMMYFUNCTION("""COMPUTED_VALUE"""),"Brian Keith")</f>
        <v>Brian Keith</v>
      </c>
      <c r="AE3157" s="12"/>
    </row>
    <row r="3158" customHeight="1" spans="1:31">
      <c r="A3158" s="11" t="s">
        <v>30</v>
      </c>
      <c r="B3158" s="11" t="s">
        <v>6869</v>
      </c>
      <c r="C3158" s="11">
        <v>191</v>
      </c>
      <c r="D3158" s="11">
        <v>96</v>
      </c>
      <c r="E3158" s="11">
        <v>47</v>
      </c>
      <c r="F3158" s="11">
        <v>442</v>
      </c>
      <c r="G3158" s="11">
        <v>3000</v>
      </c>
      <c r="H3158" s="11">
        <v>12570442</v>
      </c>
      <c r="I3158" s="11" t="s">
        <v>5316</v>
      </c>
      <c r="J3158" s="11" t="s">
        <v>1545</v>
      </c>
      <c r="K3158" s="11" t="s">
        <v>3538</v>
      </c>
      <c r="L3158" s="11" t="s">
        <v>8062</v>
      </c>
      <c r="M3158" s="11" t="s">
        <v>15045</v>
      </c>
      <c r="N3158" s="11">
        <v>40514</v>
      </c>
      <c r="O3158" s="11">
        <v>4053</v>
      </c>
      <c r="P3158" s="11">
        <v>0</v>
      </c>
      <c r="Q3158" s="11" t="s">
        <v>15046</v>
      </c>
      <c r="R3158" s="14" t="s">
        <v>15047</v>
      </c>
      <c r="S3158" s="11">
        <v>234</v>
      </c>
      <c r="T3158" s="11" t="s">
        <v>39</v>
      </c>
      <c r="U3158" s="11" t="s">
        <v>40</v>
      </c>
      <c r="V3158" s="11" t="s">
        <v>586</v>
      </c>
      <c r="W3158" s="11">
        <v>10000000</v>
      </c>
      <c r="X3158" s="11">
        <v>2005</v>
      </c>
      <c r="Y3158" s="11">
        <v>497</v>
      </c>
      <c r="Z3158" s="11">
        <v>6.8</v>
      </c>
      <c r="AA3158" s="11">
        <v>2.35</v>
      </c>
      <c r="AB3158" s="11">
        <v>808</v>
      </c>
      <c r="AC3158" s="11"/>
      <c r="AD3158" s="11" t="str">
        <f>IFERROR(__xludf.DUMMYFUNCTION("""COMPUTED_VALUE"""),"Shannon Tweed")</f>
        <v>Shannon Tweed</v>
      </c>
      <c r="AE3158" s="11"/>
    </row>
    <row r="3159" customHeight="1" spans="1:31">
      <c r="A3159" s="12" t="s">
        <v>30</v>
      </c>
      <c r="B3159" s="12" t="s">
        <v>15048</v>
      </c>
      <c r="C3159" s="12">
        <v>16</v>
      </c>
      <c r="D3159" s="12">
        <v>104</v>
      </c>
      <c r="E3159" s="12">
        <v>28</v>
      </c>
      <c r="F3159" s="12">
        <v>582</v>
      </c>
      <c r="G3159" s="12">
        <v>962</v>
      </c>
      <c r="H3159" s="12">
        <v>12514138</v>
      </c>
      <c r="I3159" s="12" t="s">
        <v>214</v>
      </c>
      <c r="J3159" s="12" t="s">
        <v>4445</v>
      </c>
      <c r="K3159" s="12" t="s">
        <v>6383</v>
      </c>
      <c r="L3159" s="12" t="s">
        <v>2862</v>
      </c>
      <c r="M3159" s="12" t="s">
        <v>15049</v>
      </c>
      <c r="N3159" s="12">
        <v>2801</v>
      </c>
      <c r="O3159" s="12">
        <v>3871</v>
      </c>
      <c r="P3159" s="12">
        <v>0</v>
      </c>
      <c r="Q3159" s="12" t="s">
        <v>15050</v>
      </c>
      <c r="R3159" s="15" t="s">
        <v>15051</v>
      </c>
      <c r="S3159" s="12">
        <v>28</v>
      </c>
      <c r="T3159" s="12" t="s">
        <v>39</v>
      </c>
      <c r="U3159" s="12" t="s">
        <v>40</v>
      </c>
      <c r="V3159" s="12" t="s">
        <v>586</v>
      </c>
      <c r="W3159" s="12">
        <v>10000000</v>
      </c>
      <c r="X3159" s="12">
        <v>1997</v>
      </c>
      <c r="Y3159" s="12">
        <v>826</v>
      </c>
      <c r="Z3159" s="12">
        <v>7.4</v>
      </c>
      <c r="AA3159" s="12">
        <v>1.85</v>
      </c>
      <c r="AB3159" s="12">
        <v>1000</v>
      </c>
      <c r="AC3159" s="12"/>
      <c r="AD3159" s="12" t="str">
        <f>IFERROR(__xludf.DUMMYFUNCTION("""COMPUTED_VALUE"""),"Jon Polito")</f>
        <v>Jon Polito</v>
      </c>
      <c r="AE3159" s="12"/>
    </row>
    <row r="3160" customHeight="1" spans="1:31">
      <c r="A3160" s="11" t="s">
        <v>30</v>
      </c>
      <c r="B3160" s="11" t="s">
        <v>15052</v>
      </c>
      <c r="C3160" s="11">
        <v>297</v>
      </c>
      <c r="D3160" s="11">
        <v>108</v>
      </c>
      <c r="E3160" s="11">
        <v>0</v>
      </c>
      <c r="F3160" s="11">
        <v>458</v>
      </c>
      <c r="G3160" s="11">
        <v>1000</v>
      </c>
      <c r="H3160" s="11">
        <v>43771291</v>
      </c>
      <c r="I3160" s="11" t="s">
        <v>852</v>
      </c>
      <c r="J3160" s="11" t="s">
        <v>6502</v>
      </c>
      <c r="K3160" s="11" t="s">
        <v>12780</v>
      </c>
      <c r="L3160" s="11" t="s">
        <v>7599</v>
      </c>
      <c r="M3160" s="11" t="s">
        <v>15053</v>
      </c>
      <c r="N3160" s="11">
        <v>79909</v>
      </c>
      <c r="O3160" s="11">
        <v>3215</v>
      </c>
      <c r="P3160" s="11">
        <v>1</v>
      </c>
      <c r="Q3160" s="11" t="s">
        <v>15054</v>
      </c>
      <c r="R3160" s="14" t="s">
        <v>15055</v>
      </c>
      <c r="S3160" s="11">
        <v>279</v>
      </c>
      <c r="T3160" s="11" t="s">
        <v>39</v>
      </c>
      <c r="U3160" s="11" t="s">
        <v>40</v>
      </c>
      <c r="V3160" s="11" t="s">
        <v>586</v>
      </c>
      <c r="W3160" s="11">
        <v>5000000</v>
      </c>
      <c r="X3160" s="11">
        <v>2015</v>
      </c>
      <c r="Y3160" s="11">
        <v>562</v>
      </c>
      <c r="Z3160" s="11">
        <v>7.1</v>
      </c>
      <c r="AA3160" s="11">
        <v>2.35</v>
      </c>
      <c r="AB3160" s="11">
        <v>15000</v>
      </c>
      <c r="AC3160" s="11"/>
      <c r="AD3160" s="11" t="str">
        <f>IFERROR(__xludf.DUMMYFUNCTION("""COMPUTED_VALUE"""),"Robin Weigert")</f>
        <v>Robin Weigert</v>
      </c>
      <c r="AE3160" s="11"/>
    </row>
    <row r="3161" customHeight="1" spans="1:31">
      <c r="A3161" s="12" t="s">
        <v>30</v>
      </c>
      <c r="B3161" s="12" t="s">
        <v>15056</v>
      </c>
      <c r="C3161" s="12">
        <v>47</v>
      </c>
      <c r="D3161" s="12">
        <v>108</v>
      </c>
      <c r="E3161" s="12">
        <v>2</v>
      </c>
      <c r="F3161" s="12">
        <v>30</v>
      </c>
      <c r="G3161" s="12">
        <v>772</v>
      </c>
      <c r="H3161" s="12">
        <v>11703287</v>
      </c>
      <c r="I3161" s="12" t="s">
        <v>7043</v>
      </c>
      <c r="J3161" s="12" t="s">
        <v>15057</v>
      </c>
      <c r="K3161" s="12" t="s">
        <v>15058</v>
      </c>
      <c r="L3161" s="12" t="s">
        <v>15059</v>
      </c>
      <c r="M3161" s="12" t="s">
        <v>15060</v>
      </c>
      <c r="N3161" s="12">
        <v>4360</v>
      </c>
      <c r="O3161" s="12">
        <v>1058</v>
      </c>
      <c r="P3161" s="12">
        <v>3</v>
      </c>
      <c r="Q3161" s="12" t="s">
        <v>15061</v>
      </c>
      <c r="R3161" s="15" t="s">
        <v>15062</v>
      </c>
      <c r="S3161" s="12">
        <v>148</v>
      </c>
      <c r="T3161" s="12" t="s">
        <v>39</v>
      </c>
      <c r="U3161" s="12" t="s">
        <v>40</v>
      </c>
      <c r="V3161" s="12" t="s">
        <v>41</v>
      </c>
      <c r="W3161" s="12">
        <v>10000000</v>
      </c>
      <c r="X3161" s="12">
        <v>2005</v>
      </c>
      <c r="Y3161" s="12">
        <v>232</v>
      </c>
      <c r="Z3161" s="12">
        <v>7</v>
      </c>
      <c r="AA3161" s="12">
        <v>2.35</v>
      </c>
      <c r="AB3161" s="12">
        <v>1000</v>
      </c>
      <c r="AC3161" s="12"/>
      <c r="AD3161" s="12" t="str">
        <f>IFERROR(__xludf.DUMMYFUNCTION("""COMPUTED_VALUE"""),"Angela Sarafyan")</f>
        <v>Angela Sarafyan</v>
      </c>
      <c r="AE3161" s="12"/>
    </row>
    <row r="3162" customHeight="1" spans="1:31">
      <c r="A3162" s="11" t="s">
        <v>30</v>
      </c>
      <c r="B3162" s="11" t="s">
        <v>7541</v>
      </c>
      <c r="C3162" s="11">
        <v>63</v>
      </c>
      <c r="D3162" s="11">
        <v>87</v>
      </c>
      <c r="E3162" s="11">
        <v>13</v>
      </c>
      <c r="F3162" s="11">
        <v>869</v>
      </c>
      <c r="G3162" s="11">
        <v>15000</v>
      </c>
      <c r="H3162" s="11">
        <v>11560259</v>
      </c>
      <c r="I3162" s="11" t="s">
        <v>1681</v>
      </c>
      <c r="J3162" s="11" t="s">
        <v>292</v>
      </c>
      <c r="K3162" s="11" t="s">
        <v>84</v>
      </c>
      <c r="L3162" s="11" t="s">
        <v>2615</v>
      </c>
      <c r="M3162" s="11" t="s">
        <v>15063</v>
      </c>
      <c r="N3162" s="11">
        <v>15617</v>
      </c>
      <c r="O3162" s="11">
        <v>22485</v>
      </c>
      <c r="P3162" s="11">
        <v>1</v>
      </c>
      <c r="Q3162" s="11" t="s">
        <v>15064</v>
      </c>
      <c r="R3162" s="14" t="s">
        <v>15065</v>
      </c>
      <c r="S3162" s="11">
        <v>180</v>
      </c>
      <c r="T3162" s="11" t="s">
        <v>39</v>
      </c>
      <c r="U3162" s="11" t="s">
        <v>40</v>
      </c>
      <c r="V3162" s="11" t="s">
        <v>41</v>
      </c>
      <c r="W3162" s="11">
        <v>22000000</v>
      </c>
      <c r="X3162" s="11">
        <v>2001</v>
      </c>
      <c r="Y3162" s="11">
        <v>4000</v>
      </c>
      <c r="Z3162" s="11">
        <v>5.8</v>
      </c>
      <c r="AA3162" s="11">
        <v>2.35</v>
      </c>
      <c r="AB3162" s="11">
        <v>0</v>
      </c>
      <c r="AC3162" s="11"/>
      <c r="AD3162" s="11" t="str">
        <f>IFERROR(__xludf.DUMMYFUNCTION("""COMPUTED_VALUE"""),"Lynn Redgrave")</f>
        <v>Lynn Redgrave</v>
      </c>
      <c r="AE3162" s="11"/>
    </row>
    <row r="3163" customHeight="1" spans="1:31">
      <c r="A3163" s="12" t="s">
        <v>30</v>
      </c>
      <c r="B3163" s="12" t="s">
        <v>14062</v>
      </c>
      <c r="C3163" s="12">
        <v>144</v>
      </c>
      <c r="D3163" s="12">
        <v>89</v>
      </c>
      <c r="E3163" s="12">
        <v>406</v>
      </c>
      <c r="F3163" s="12">
        <v>759</v>
      </c>
      <c r="G3163" s="12">
        <v>989</v>
      </c>
      <c r="H3163" s="12">
        <v>10824921</v>
      </c>
      <c r="I3163" s="12" t="s">
        <v>1672</v>
      </c>
      <c r="J3163" s="12" t="s">
        <v>3230</v>
      </c>
      <c r="K3163" s="12" t="s">
        <v>1147</v>
      </c>
      <c r="L3163" s="12" t="s">
        <v>864</v>
      </c>
      <c r="M3163" s="12" t="s">
        <v>15066</v>
      </c>
      <c r="N3163" s="12">
        <v>200293</v>
      </c>
      <c r="O3163" s="12">
        <v>3462</v>
      </c>
      <c r="P3163" s="12">
        <v>0</v>
      </c>
      <c r="Q3163" s="12" t="s">
        <v>15067</v>
      </c>
      <c r="R3163" s="15" t="s">
        <v>15068</v>
      </c>
      <c r="S3163" s="12">
        <v>621</v>
      </c>
      <c r="T3163" s="12" t="s">
        <v>39</v>
      </c>
      <c r="U3163" s="12" t="s">
        <v>40</v>
      </c>
      <c r="V3163" s="12" t="s">
        <v>586</v>
      </c>
      <c r="W3163" s="12">
        <v>10000000</v>
      </c>
      <c r="X3163" s="12">
        <v>1999</v>
      </c>
      <c r="Y3163" s="12">
        <v>939</v>
      </c>
      <c r="Z3163" s="12">
        <v>7.8</v>
      </c>
      <c r="AA3163" s="12">
        <v>1.85</v>
      </c>
      <c r="AB3163" s="12">
        <v>16000</v>
      </c>
      <c r="AC3163" s="12"/>
      <c r="AD3163" s="12" t="str">
        <f>IFERROR(__xludf.DUMMYFUNCTION("""COMPUTED_VALUE"""),"Tuppence Middleton")</f>
        <v>Tuppence Middleton</v>
      </c>
      <c r="AE3163" s="12"/>
    </row>
    <row r="3164" customHeight="1" spans="1:31">
      <c r="A3164" s="11" t="s">
        <v>30</v>
      </c>
      <c r="B3164" s="11" t="s">
        <v>15069</v>
      </c>
      <c r="C3164" s="11">
        <v>77</v>
      </c>
      <c r="D3164" s="11">
        <v>97</v>
      </c>
      <c r="E3164" s="11">
        <v>31</v>
      </c>
      <c r="F3164" s="11">
        <v>551</v>
      </c>
      <c r="G3164" s="11">
        <v>4000</v>
      </c>
      <c r="H3164" s="11">
        <v>10561238</v>
      </c>
      <c r="I3164" s="11" t="s">
        <v>15070</v>
      </c>
      <c r="J3164" s="11" t="s">
        <v>84</v>
      </c>
      <c r="K3164" s="11" t="s">
        <v>9348</v>
      </c>
      <c r="L3164" s="11" t="s">
        <v>4765</v>
      </c>
      <c r="M3164" s="11" t="s">
        <v>15071</v>
      </c>
      <c r="N3164" s="11">
        <v>27265</v>
      </c>
      <c r="O3164" s="11">
        <v>6388</v>
      </c>
      <c r="P3164" s="11">
        <v>0</v>
      </c>
      <c r="Q3164" s="11" t="s">
        <v>15072</v>
      </c>
      <c r="R3164" s="14" t="s">
        <v>15073</v>
      </c>
      <c r="S3164" s="11">
        <v>321</v>
      </c>
      <c r="T3164" s="11" t="s">
        <v>39</v>
      </c>
      <c r="U3164" s="11" t="s">
        <v>768</v>
      </c>
      <c r="V3164" s="11" t="s">
        <v>41</v>
      </c>
      <c r="W3164" s="11">
        <v>10000000</v>
      </c>
      <c r="X3164" s="11">
        <v>1999</v>
      </c>
      <c r="Y3164" s="11">
        <v>980</v>
      </c>
      <c r="Z3164" s="11">
        <v>6.5</v>
      </c>
      <c r="AA3164" s="11">
        <v>1.85</v>
      </c>
      <c r="AB3164" s="11">
        <v>0</v>
      </c>
      <c r="AC3164" s="11"/>
      <c r="AD3164" s="11" t="str">
        <f>IFERROR(__xludf.DUMMYFUNCTION("""COMPUTED_VALUE"""),"Michel Galabru")</f>
        <v>Michel Galabru</v>
      </c>
      <c r="AE3164" s="11"/>
    </row>
    <row r="3165" customHeight="1" spans="1:31">
      <c r="A3165" s="12" t="s">
        <v>30</v>
      </c>
      <c r="B3165" s="12" t="s">
        <v>256</v>
      </c>
      <c r="C3165" s="12">
        <v>325</v>
      </c>
      <c r="D3165" s="12">
        <v>106</v>
      </c>
      <c r="E3165" s="12">
        <v>13000</v>
      </c>
      <c r="F3165" s="12">
        <v>309</v>
      </c>
      <c r="G3165" s="12">
        <v>11000</v>
      </c>
      <c r="H3165" s="12">
        <v>14479776</v>
      </c>
      <c r="I3165" s="12" t="s">
        <v>15074</v>
      </c>
      <c r="J3165" s="12" t="s">
        <v>52</v>
      </c>
      <c r="K3165" s="12" t="s">
        <v>2995</v>
      </c>
      <c r="L3165" s="12" t="s">
        <v>12543</v>
      </c>
      <c r="M3165" s="12" t="s">
        <v>15075</v>
      </c>
      <c r="N3165" s="12">
        <v>55539</v>
      </c>
      <c r="O3165" s="12">
        <v>12418</v>
      </c>
      <c r="P3165" s="12">
        <v>3</v>
      </c>
      <c r="Q3165" s="12" t="s">
        <v>15076</v>
      </c>
      <c r="R3165" s="15" t="s">
        <v>15077</v>
      </c>
      <c r="S3165" s="12">
        <v>147</v>
      </c>
      <c r="T3165" s="12" t="s">
        <v>39</v>
      </c>
      <c r="U3165" s="12" t="s">
        <v>40</v>
      </c>
      <c r="V3165" s="12" t="s">
        <v>41</v>
      </c>
      <c r="W3165" s="12">
        <v>10000000</v>
      </c>
      <c r="X3165" s="12">
        <v>2014</v>
      </c>
      <c r="Y3165" s="12">
        <v>430</v>
      </c>
      <c r="Z3165" s="12">
        <v>7</v>
      </c>
      <c r="AA3165" s="12">
        <v>1.85</v>
      </c>
      <c r="AB3165" s="12">
        <v>20000</v>
      </c>
      <c r="AC3165" s="12"/>
      <c r="AD3165" s="12" t="str">
        <f>IFERROR(__xludf.DUMMYFUNCTION("""COMPUTED_VALUE"""),"Jodie Whittaker")</f>
        <v>Jodie Whittaker</v>
      </c>
      <c r="AE3165" s="12"/>
    </row>
    <row r="3166" customHeight="1" spans="1:31">
      <c r="A3166" s="11" t="s">
        <v>30</v>
      </c>
      <c r="B3166" s="11" t="s">
        <v>226</v>
      </c>
      <c r="C3166" s="11">
        <v>100</v>
      </c>
      <c r="D3166" s="11">
        <v>100</v>
      </c>
      <c r="E3166" s="11">
        <v>532</v>
      </c>
      <c r="F3166" s="11">
        <v>711</v>
      </c>
      <c r="G3166" s="11">
        <v>4000</v>
      </c>
      <c r="H3166" s="11">
        <v>9801782</v>
      </c>
      <c r="I3166" s="11" t="s">
        <v>5968</v>
      </c>
      <c r="J3166" s="11" t="s">
        <v>251</v>
      </c>
      <c r="K3166" s="11" t="s">
        <v>8510</v>
      </c>
      <c r="L3166" s="11" t="s">
        <v>530</v>
      </c>
      <c r="M3166" s="11" t="s">
        <v>15078</v>
      </c>
      <c r="N3166" s="11">
        <v>39331</v>
      </c>
      <c r="O3166" s="11">
        <v>6046</v>
      </c>
      <c r="P3166" s="11">
        <v>0</v>
      </c>
      <c r="Q3166" s="11" t="s">
        <v>15079</v>
      </c>
      <c r="R3166" s="14" t="s">
        <v>15080</v>
      </c>
      <c r="S3166" s="11">
        <v>481</v>
      </c>
      <c r="T3166" s="11" t="s">
        <v>39</v>
      </c>
      <c r="U3166" s="11" t="s">
        <v>40</v>
      </c>
      <c r="V3166" s="11" t="s">
        <v>586</v>
      </c>
      <c r="W3166" s="11">
        <v>10000000</v>
      </c>
      <c r="X3166" s="11">
        <v>1998</v>
      </c>
      <c r="Y3166" s="11">
        <v>796</v>
      </c>
      <c r="Z3166" s="11">
        <v>6.3</v>
      </c>
      <c r="AA3166" s="11">
        <v>1.85</v>
      </c>
      <c r="AB3166" s="11">
        <v>0</v>
      </c>
      <c r="AC3166" s="11"/>
      <c r="AD3166" s="11" t="str">
        <f>IFERROR(__xludf.DUMMYFUNCTION("""COMPUTED_VALUE"""),"Paz de la Huerta")</f>
        <v>Paz de la Huerta</v>
      </c>
      <c r="AE3166" s="11"/>
    </row>
    <row r="3167" customHeight="1" spans="1:31">
      <c r="A3167" s="12" t="s">
        <v>30</v>
      </c>
      <c r="B3167" s="12" t="s">
        <v>12366</v>
      </c>
      <c r="C3167" s="12">
        <v>52</v>
      </c>
      <c r="D3167" s="12">
        <v>89</v>
      </c>
      <c r="E3167" s="12">
        <v>18</v>
      </c>
      <c r="F3167" s="12">
        <v>2000</v>
      </c>
      <c r="G3167" s="12">
        <v>7000</v>
      </c>
      <c r="H3167" s="12">
        <v>8070311</v>
      </c>
      <c r="I3167" s="12" t="s">
        <v>1681</v>
      </c>
      <c r="J3167" s="12" t="s">
        <v>518</v>
      </c>
      <c r="K3167" s="12" t="s">
        <v>5903</v>
      </c>
      <c r="L3167" s="12" t="s">
        <v>2378</v>
      </c>
      <c r="M3167" s="12" t="s">
        <v>15081</v>
      </c>
      <c r="N3167" s="12">
        <v>12706</v>
      </c>
      <c r="O3167" s="12">
        <v>13626</v>
      </c>
      <c r="P3167" s="12">
        <v>9</v>
      </c>
      <c r="Q3167" s="12" t="s">
        <v>15082</v>
      </c>
      <c r="R3167" s="15" t="s">
        <v>15083</v>
      </c>
      <c r="S3167" s="12">
        <v>75</v>
      </c>
      <c r="T3167" s="12" t="s">
        <v>39</v>
      </c>
      <c r="U3167" s="12" t="s">
        <v>40</v>
      </c>
      <c r="V3167" s="12" t="s">
        <v>96</v>
      </c>
      <c r="W3167" s="12">
        <v>10000000</v>
      </c>
      <c r="X3167" s="12">
        <v>2004</v>
      </c>
      <c r="Y3167" s="12">
        <v>2000</v>
      </c>
      <c r="Z3167" s="12">
        <v>5.3</v>
      </c>
      <c r="AA3167" s="12">
        <v>1.85</v>
      </c>
      <c r="AB3167" s="12">
        <v>0</v>
      </c>
      <c r="AC3167" s="12"/>
      <c r="AD3167" s="12" t="str">
        <f>IFERROR(__xludf.DUMMYFUNCTION("""COMPUTED_VALUE"""),"Emily Alyn Lind")</f>
        <v>Emily Alyn Lind</v>
      </c>
      <c r="AE3167" s="12"/>
    </row>
    <row r="3168" customHeight="1" spans="1:31">
      <c r="A3168" s="11" t="s">
        <v>30</v>
      </c>
      <c r="B3168" s="11" t="s">
        <v>2247</v>
      </c>
      <c r="C3168" s="11">
        <v>98</v>
      </c>
      <c r="D3168" s="11">
        <v>114</v>
      </c>
      <c r="E3168" s="11">
        <v>0</v>
      </c>
      <c r="F3168" s="11">
        <v>298</v>
      </c>
      <c r="G3168" s="11">
        <v>537</v>
      </c>
      <c r="H3168" s="13"/>
      <c r="I3168" s="11" t="s">
        <v>852</v>
      </c>
      <c r="J3168" s="11" t="s">
        <v>1386</v>
      </c>
      <c r="K3168" s="11" t="s">
        <v>11922</v>
      </c>
      <c r="L3168" s="11" t="s">
        <v>3486</v>
      </c>
      <c r="M3168" s="11" t="s">
        <v>15084</v>
      </c>
      <c r="N3168" s="11">
        <v>20113</v>
      </c>
      <c r="O3168" s="11">
        <v>1856</v>
      </c>
      <c r="P3168" s="11">
        <v>0</v>
      </c>
      <c r="Q3168" s="11" t="s">
        <v>15085</v>
      </c>
      <c r="R3168" s="14" t="s">
        <v>15086</v>
      </c>
      <c r="S3168" s="11">
        <v>178</v>
      </c>
      <c r="T3168" s="11" t="s">
        <v>39</v>
      </c>
      <c r="U3168" s="11" t="s">
        <v>40</v>
      </c>
      <c r="V3168" s="11" t="s">
        <v>586</v>
      </c>
      <c r="W3168" s="11">
        <v>10000000</v>
      </c>
      <c r="X3168" s="11">
        <v>1984</v>
      </c>
      <c r="Y3168" s="11">
        <v>376</v>
      </c>
      <c r="Z3168" s="11">
        <v>6.8</v>
      </c>
      <c r="AA3168" s="11">
        <v>1.85</v>
      </c>
      <c r="AB3168" s="11">
        <v>0</v>
      </c>
      <c r="AC3168" s="11"/>
      <c r="AD3168" s="11" t="str">
        <f>IFERROR(__xludf.DUMMYFUNCTION("""COMPUTED_VALUE"""),"Justin Kirk")</f>
        <v>Justin Kirk</v>
      </c>
      <c r="AE3168" s="11"/>
    </row>
    <row r="3169" customHeight="1" spans="1:31">
      <c r="A3169" s="12" t="s">
        <v>30</v>
      </c>
      <c r="B3169" s="12" t="s">
        <v>9844</v>
      </c>
      <c r="C3169" s="12">
        <v>163</v>
      </c>
      <c r="D3169" s="12">
        <v>95</v>
      </c>
      <c r="E3169" s="12">
        <v>434</v>
      </c>
      <c r="F3169" s="12">
        <v>472</v>
      </c>
      <c r="G3169" s="12">
        <v>1000</v>
      </c>
      <c r="H3169" s="12">
        <v>8460995</v>
      </c>
      <c r="I3169" s="12" t="s">
        <v>1423</v>
      </c>
      <c r="J3169" s="12" t="s">
        <v>15087</v>
      </c>
      <c r="K3169" s="12" t="s">
        <v>2102</v>
      </c>
      <c r="L3169" s="12" t="s">
        <v>6361</v>
      </c>
      <c r="M3169" s="12" t="s">
        <v>15088</v>
      </c>
      <c r="N3169" s="12">
        <v>35888</v>
      </c>
      <c r="O3169" s="12">
        <v>2618</v>
      </c>
      <c r="P3169" s="12">
        <v>3</v>
      </c>
      <c r="Q3169" s="12" t="s">
        <v>15089</v>
      </c>
      <c r="R3169" s="15" t="s">
        <v>15090</v>
      </c>
      <c r="S3169" s="12">
        <v>125</v>
      </c>
      <c r="T3169" s="12" t="s">
        <v>39</v>
      </c>
      <c r="U3169" s="12" t="s">
        <v>40</v>
      </c>
      <c r="V3169" s="12" t="s">
        <v>586</v>
      </c>
      <c r="W3169" s="12">
        <v>10000000</v>
      </c>
      <c r="X3169" s="12">
        <v>2010</v>
      </c>
      <c r="Y3169" s="12">
        <v>622</v>
      </c>
      <c r="Z3169" s="12">
        <v>5.5</v>
      </c>
      <c r="AA3169" s="12">
        <v>2.35</v>
      </c>
      <c r="AB3169" s="12">
        <v>0</v>
      </c>
      <c r="AC3169" s="12"/>
      <c r="AD3169" s="12" t="str">
        <f>IFERROR(__xludf.DUMMYFUNCTION("""COMPUTED_VALUE"""),"Ivan Sergei")</f>
        <v>Ivan Sergei</v>
      </c>
      <c r="AE3169" s="12"/>
    </row>
    <row r="3170" customHeight="1" spans="1:31">
      <c r="A3170" s="11" t="s">
        <v>30</v>
      </c>
      <c r="B3170" s="11" t="s">
        <v>5648</v>
      </c>
      <c r="C3170" s="11">
        <v>137</v>
      </c>
      <c r="D3170" s="11">
        <v>97</v>
      </c>
      <c r="E3170" s="11">
        <v>350</v>
      </c>
      <c r="F3170" s="11">
        <v>250</v>
      </c>
      <c r="G3170" s="11">
        <v>460</v>
      </c>
      <c r="H3170" s="11">
        <v>8111360</v>
      </c>
      <c r="I3170" s="11" t="s">
        <v>2126</v>
      </c>
      <c r="J3170" s="11" t="s">
        <v>4128</v>
      </c>
      <c r="K3170" s="11" t="s">
        <v>1667</v>
      </c>
      <c r="L3170" s="11" t="s">
        <v>12427</v>
      </c>
      <c r="M3170" s="11" t="s">
        <v>15091</v>
      </c>
      <c r="N3170" s="11">
        <v>34848</v>
      </c>
      <c r="O3170" s="11">
        <v>1334</v>
      </c>
      <c r="P3170" s="11">
        <v>1</v>
      </c>
      <c r="Q3170" s="11" t="s">
        <v>15092</v>
      </c>
      <c r="R3170" s="14" t="s">
        <v>15093</v>
      </c>
      <c r="S3170" s="11">
        <v>203</v>
      </c>
      <c r="T3170" s="11" t="s">
        <v>39</v>
      </c>
      <c r="U3170" s="11" t="s">
        <v>58</v>
      </c>
      <c r="V3170" s="11" t="s">
        <v>586</v>
      </c>
      <c r="W3170" s="11">
        <v>10000000</v>
      </c>
      <c r="X3170" s="11">
        <v>2002</v>
      </c>
      <c r="Y3170" s="11">
        <v>372</v>
      </c>
      <c r="Z3170" s="11">
        <v>7.4</v>
      </c>
      <c r="AA3170" s="11">
        <v>1.85</v>
      </c>
      <c r="AB3170" s="11">
        <v>0</v>
      </c>
      <c r="AC3170" s="11"/>
      <c r="AD3170" s="11" t="str">
        <f>IFERROR(__xludf.DUMMYFUNCTION("""COMPUTED_VALUE"""),"Tanya van Graan")</f>
        <v>Tanya van Graan</v>
      </c>
      <c r="AE3170" s="11"/>
    </row>
    <row r="3171" customHeight="1" spans="1:31">
      <c r="A3171" s="12" t="s">
        <v>30</v>
      </c>
      <c r="B3171" s="12" t="s">
        <v>8765</v>
      </c>
      <c r="C3171" s="12">
        <v>180</v>
      </c>
      <c r="D3171" s="12">
        <v>94</v>
      </c>
      <c r="E3171" s="12">
        <v>0</v>
      </c>
      <c r="F3171" s="12">
        <v>3000</v>
      </c>
      <c r="G3171" s="12">
        <v>20000</v>
      </c>
      <c r="H3171" s="12">
        <v>8828771</v>
      </c>
      <c r="I3171" s="12" t="s">
        <v>1672</v>
      </c>
      <c r="J3171" s="12" t="s">
        <v>263</v>
      </c>
      <c r="K3171" s="12" t="s">
        <v>216</v>
      </c>
      <c r="L3171" s="12" t="s">
        <v>2513</v>
      </c>
      <c r="M3171" s="12" t="s">
        <v>15094</v>
      </c>
      <c r="N3171" s="12">
        <v>79146</v>
      </c>
      <c r="O3171" s="12">
        <v>41059</v>
      </c>
      <c r="P3171" s="12">
        <v>10</v>
      </c>
      <c r="Q3171" s="12" t="s">
        <v>15095</v>
      </c>
      <c r="R3171" s="15" t="s">
        <v>15096</v>
      </c>
      <c r="S3171" s="12">
        <v>352</v>
      </c>
      <c r="T3171" s="12" t="s">
        <v>39</v>
      </c>
      <c r="U3171" s="12" t="s">
        <v>40</v>
      </c>
      <c r="V3171" s="12" t="s">
        <v>586</v>
      </c>
      <c r="W3171" s="12">
        <v>6000000</v>
      </c>
      <c r="X3171" s="12">
        <v>2013</v>
      </c>
      <c r="Y3171" s="12">
        <v>14000</v>
      </c>
      <c r="Z3171" s="12">
        <v>4.3</v>
      </c>
      <c r="AA3171" s="12">
        <v>1.85</v>
      </c>
      <c r="AB3171" s="12">
        <v>25000</v>
      </c>
      <c r="AC3171" s="12"/>
      <c r="AD3171" s="12" t="str">
        <f>IFERROR(__xludf.DUMMYFUNCTION("""COMPUTED_VALUE"""),"Conrad Kemp")</f>
        <v>Conrad Kemp</v>
      </c>
      <c r="AE3171" s="12"/>
    </row>
    <row r="3172" customHeight="1" spans="1:31">
      <c r="A3172" s="11" t="s">
        <v>30</v>
      </c>
      <c r="B3172" s="11" t="s">
        <v>1814</v>
      </c>
      <c r="C3172" s="11">
        <v>321</v>
      </c>
      <c r="D3172" s="11">
        <v>103</v>
      </c>
      <c r="E3172" s="11">
        <v>207</v>
      </c>
      <c r="F3172" s="11">
        <v>3000</v>
      </c>
      <c r="G3172" s="11">
        <v>40000</v>
      </c>
      <c r="H3172" s="11">
        <v>67631157</v>
      </c>
      <c r="I3172" s="11" t="s">
        <v>1815</v>
      </c>
      <c r="J3172" s="11" t="s">
        <v>44</v>
      </c>
      <c r="K3172" s="11" t="s">
        <v>565</v>
      </c>
      <c r="L3172" s="11" t="s">
        <v>1816</v>
      </c>
      <c r="M3172" s="11" t="s">
        <v>1817</v>
      </c>
      <c r="N3172" s="11">
        <v>176606</v>
      </c>
      <c r="O3172" s="11">
        <v>55175</v>
      </c>
      <c r="P3172" s="11">
        <v>0</v>
      </c>
      <c r="Q3172" s="11" t="s">
        <v>1818</v>
      </c>
      <c r="R3172" s="14" t="s">
        <v>1819</v>
      </c>
      <c r="S3172" s="11">
        <v>374</v>
      </c>
      <c r="T3172" s="11" t="s">
        <v>39</v>
      </c>
      <c r="U3172" s="11" t="s">
        <v>40</v>
      </c>
      <c r="V3172" s="11" t="s">
        <v>41</v>
      </c>
      <c r="W3172" s="11">
        <v>100000000</v>
      </c>
      <c r="X3172" s="11">
        <v>2010</v>
      </c>
      <c r="Y3172" s="11">
        <v>11000</v>
      </c>
      <c r="Z3172" s="11">
        <v>6</v>
      </c>
      <c r="AA3172" s="11">
        <v>2.35</v>
      </c>
      <c r="AB3172" s="11">
        <v>25000</v>
      </c>
      <c r="AC3172" s="11"/>
      <c r="AD3172" s="11" t="str">
        <f>IFERROR(__xludf.DUMMYFUNCTION("""COMPUTED_VALUE"""),"Steven Van Zandt")</f>
        <v>Steven Van Zandt</v>
      </c>
      <c r="AE3172" s="11"/>
    </row>
    <row r="3173" customHeight="1" spans="1:31">
      <c r="A3173" s="12" t="s">
        <v>30</v>
      </c>
      <c r="B3173" s="12" t="s">
        <v>15097</v>
      </c>
      <c r="C3173" s="12">
        <v>100</v>
      </c>
      <c r="D3173" s="12">
        <v>95</v>
      </c>
      <c r="E3173" s="12">
        <v>4</v>
      </c>
      <c r="F3173" s="12">
        <v>655</v>
      </c>
      <c r="G3173" s="12">
        <v>939</v>
      </c>
      <c r="H3173" s="12">
        <v>7563670</v>
      </c>
      <c r="I3173" s="12" t="s">
        <v>3632</v>
      </c>
      <c r="J3173" s="12" t="s">
        <v>1147</v>
      </c>
      <c r="K3173" s="12" t="s">
        <v>9903</v>
      </c>
      <c r="L3173" s="12" t="s">
        <v>7912</v>
      </c>
      <c r="M3173" s="12" t="s">
        <v>15098</v>
      </c>
      <c r="N3173" s="12">
        <v>21268</v>
      </c>
      <c r="O3173" s="12">
        <v>3651</v>
      </c>
      <c r="P3173" s="12">
        <v>0</v>
      </c>
      <c r="Q3173" s="12" t="s">
        <v>15099</v>
      </c>
      <c r="R3173" s="15" t="s">
        <v>15100</v>
      </c>
      <c r="S3173" s="12">
        <v>53</v>
      </c>
      <c r="T3173" s="12" t="s">
        <v>39</v>
      </c>
      <c r="U3173" s="12" t="s">
        <v>40</v>
      </c>
      <c r="V3173" s="12" t="s">
        <v>41</v>
      </c>
      <c r="W3173" s="12">
        <v>10000000</v>
      </c>
      <c r="X3173" s="12">
        <v>2008</v>
      </c>
      <c r="Y3173" s="12">
        <v>702</v>
      </c>
      <c r="Z3173" s="12">
        <v>5.2</v>
      </c>
      <c r="AA3173" s="12">
        <v>2.35</v>
      </c>
      <c r="AB3173" s="12">
        <v>518</v>
      </c>
      <c r="AC3173" s="12"/>
      <c r="AD3173" s="12" t="str">
        <f>IFERROR(__xludf.DUMMYFUNCTION("""COMPUTED_VALUE"""),"Trond Fausa")</f>
        <v>Trond Fausa</v>
      </c>
      <c r="AE3173" s="12"/>
    </row>
    <row r="3174" customHeight="1" spans="1:31">
      <c r="A3174" s="11" t="s">
        <v>748</v>
      </c>
      <c r="B3174" s="11" t="s">
        <v>15101</v>
      </c>
      <c r="C3174" s="11">
        <v>265</v>
      </c>
      <c r="D3174" s="11">
        <v>101</v>
      </c>
      <c r="E3174" s="11">
        <v>63</v>
      </c>
      <c r="F3174" s="11">
        <v>172</v>
      </c>
      <c r="G3174" s="11">
        <v>7000</v>
      </c>
      <c r="H3174" s="11">
        <v>6619173</v>
      </c>
      <c r="I3174" s="11" t="s">
        <v>15102</v>
      </c>
      <c r="J3174" s="11" t="s">
        <v>518</v>
      </c>
      <c r="K3174" s="11" t="s">
        <v>12063</v>
      </c>
      <c r="L3174" s="11" t="s">
        <v>15103</v>
      </c>
      <c r="M3174" s="11" t="s">
        <v>15104</v>
      </c>
      <c r="N3174" s="11">
        <v>87203</v>
      </c>
      <c r="O3174" s="11">
        <v>7747</v>
      </c>
      <c r="P3174" s="11">
        <v>2</v>
      </c>
      <c r="Q3174" s="11" t="s">
        <v>15105</v>
      </c>
      <c r="R3174" s="14" t="s">
        <v>15106</v>
      </c>
      <c r="S3174" s="11">
        <v>221</v>
      </c>
      <c r="T3174" s="11" t="s">
        <v>39</v>
      </c>
      <c r="U3174" s="11" t="s">
        <v>40</v>
      </c>
      <c r="V3174" s="11" t="s">
        <v>586</v>
      </c>
      <c r="W3174" s="11">
        <v>10000000</v>
      </c>
      <c r="X3174" s="11">
        <v>2012</v>
      </c>
      <c r="Y3174" s="11">
        <v>353</v>
      </c>
      <c r="Z3174" s="11">
        <v>6.7</v>
      </c>
      <c r="AA3174" s="11">
        <v>2.35</v>
      </c>
      <c r="AB3174" s="11">
        <v>25000</v>
      </c>
      <c r="AC3174" s="11"/>
      <c r="AD3174" s="11" t="str">
        <f>IFERROR(__xludf.DUMMYFUNCTION("""COMPUTED_VALUE"""),"Tommy Karlsen")</f>
        <v>Tommy Karlsen</v>
      </c>
      <c r="AE3174" s="11"/>
    </row>
    <row r="3175" customHeight="1" spans="1:31">
      <c r="A3175" s="12" t="s">
        <v>30</v>
      </c>
      <c r="B3175" s="12" t="s">
        <v>8951</v>
      </c>
      <c r="C3175" s="12">
        <v>212</v>
      </c>
      <c r="D3175" s="12">
        <v>87</v>
      </c>
      <c r="E3175" s="12">
        <v>44</v>
      </c>
      <c r="F3175" s="12">
        <v>727</v>
      </c>
      <c r="G3175" s="12">
        <v>1000</v>
      </c>
      <c r="H3175" s="12">
        <v>6857503</v>
      </c>
      <c r="I3175" s="12" t="s">
        <v>1672</v>
      </c>
      <c r="J3175" s="12" t="s">
        <v>4474</v>
      </c>
      <c r="K3175" s="12" t="s">
        <v>1147</v>
      </c>
      <c r="L3175" s="12" t="s">
        <v>4990</v>
      </c>
      <c r="M3175" s="12" t="s">
        <v>15107</v>
      </c>
      <c r="N3175" s="12">
        <v>32697</v>
      </c>
      <c r="O3175" s="12">
        <v>4769</v>
      </c>
      <c r="P3175" s="12">
        <v>1</v>
      </c>
      <c r="Q3175" s="12" t="s">
        <v>15108</v>
      </c>
      <c r="R3175" s="15" t="s">
        <v>15109</v>
      </c>
      <c r="S3175" s="12">
        <v>85</v>
      </c>
      <c r="T3175" s="12" t="s">
        <v>39</v>
      </c>
      <c r="U3175" s="12" t="s">
        <v>40</v>
      </c>
      <c r="V3175" s="12" t="s">
        <v>586</v>
      </c>
      <c r="W3175" s="16"/>
      <c r="X3175" s="12">
        <v>2011</v>
      </c>
      <c r="Y3175" s="12">
        <v>939</v>
      </c>
      <c r="Z3175" s="12">
        <v>6.3</v>
      </c>
      <c r="AA3175" s="12">
        <v>1.85</v>
      </c>
      <c r="AB3175" s="12">
        <v>0</v>
      </c>
      <c r="AC3175" s="12"/>
      <c r="AD3175" s="12" t="str">
        <f>IFERROR(__xludf.DUMMYFUNCTION("""COMPUTED_VALUE"""),"David Alpay")</f>
        <v>David Alpay</v>
      </c>
      <c r="AE3175" s="12"/>
    </row>
    <row r="3176" customHeight="1" spans="1:31">
      <c r="A3176" s="11" t="s">
        <v>30</v>
      </c>
      <c r="B3176" s="13"/>
      <c r="C3176" s="11">
        <v>68</v>
      </c>
      <c r="D3176" s="11">
        <v>40</v>
      </c>
      <c r="E3176" s="13"/>
      <c r="F3176" s="11">
        <v>476</v>
      </c>
      <c r="G3176" s="11">
        <v>1000</v>
      </c>
      <c r="H3176" s="13"/>
      <c r="I3176" s="11" t="s">
        <v>11289</v>
      </c>
      <c r="J3176" s="11" t="s">
        <v>15110</v>
      </c>
      <c r="K3176" s="11" t="s">
        <v>1333</v>
      </c>
      <c r="L3176" s="11" t="s">
        <v>15111</v>
      </c>
      <c r="M3176" s="11" t="s">
        <v>15112</v>
      </c>
      <c r="N3176" s="11">
        <v>111506</v>
      </c>
      <c r="O3176" s="11">
        <v>2198</v>
      </c>
      <c r="P3176" s="11">
        <v>2</v>
      </c>
      <c r="Q3176" s="11" t="s">
        <v>15113</v>
      </c>
      <c r="R3176" s="14" t="s">
        <v>15114</v>
      </c>
      <c r="S3176" s="11">
        <v>173</v>
      </c>
      <c r="T3176" s="11" t="s">
        <v>39</v>
      </c>
      <c r="U3176" s="11" t="s">
        <v>40</v>
      </c>
      <c r="V3176" s="11" t="s">
        <v>1127</v>
      </c>
      <c r="W3176" s="13"/>
      <c r="X3176" s="13"/>
      <c r="Y3176" s="11">
        <v>722</v>
      </c>
      <c r="Z3176" s="11">
        <v>7.9</v>
      </c>
      <c r="AA3176" s="11">
        <v>1.78</v>
      </c>
      <c r="AB3176" s="11">
        <v>0</v>
      </c>
      <c r="AC3176" s="11"/>
      <c r="AD3176" s="11" t="str">
        <f>IFERROR(__xludf.DUMMYFUNCTION("""COMPUTED_VALUE"""),"Marie-Josée Croze")</f>
        <v>Marie-Josée Croze</v>
      </c>
      <c r="AE3176" s="11"/>
    </row>
    <row r="3177" customHeight="1" spans="1:31">
      <c r="A3177" s="12" t="s">
        <v>748</v>
      </c>
      <c r="B3177" s="12" t="s">
        <v>7745</v>
      </c>
      <c r="C3177" s="12">
        <v>162</v>
      </c>
      <c r="D3177" s="12">
        <v>101</v>
      </c>
      <c r="E3177" s="12">
        <v>194</v>
      </c>
      <c r="F3177" s="12">
        <v>602</v>
      </c>
      <c r="G3177" s="12">
        <v>1000</v>
      </c>
      <c r="H3177" s="12">
        <v>6712241</v>
      </c>
      <c r="I3177" s="12" t="s">
        <v>1936</v>
      </c>
      <c r="J3177" s="12" t="s">
        <v>2084</v>
      </c>
      <c r="K3177" s="12" t="s">
        <v>7746</v>
      </c>
      <c r="L3177" s="12" t="s">
        <v>1321</v>
      </c>
      <c r="M3177" s="12" t="s">
        <v>15115</v>
      </c>
      <c r="N3177" s="12">
        <v>782437</v>
      </c>
      <c r="O3177" s="12">
        <v>3858</v>
      </c>
      <c r="P3177" s="12">
        <v>2</v>
      </c>
      <c r="Q3177" s="12" t="s">
        <v>15116</v>
      </c>
      <c r="R3177" s="15" t="s">
        <v>15117</v>
      </c>
      <c r="S3177" s="12">
        <v>1420</v>
      </c>
      <c r="T3177" s="12" t="s">
        <v>39</v>
      </c>
      <c r="U3177" s="12" t="s">
        <v>40</v>
      </c>
      <c r="V3177" s="12" t="s">
        <v>586</v>
      </c>
      <c r="W3177" s="12">
        <v>7500000</v>
      </c>
      <c r="X3177" s="12">
        <v>1998</v>
      </c>
      <c r="Y3177" s="12">
        <v>816</v>
      </c>
      <c r="Z3177" s="12">
        <v>8.6</v>
      </c>
      <c r="AA3177" s="12">
        <v>1.85</v>
      </c>
      <c r="AB3177" s="12">
        <v>35000</v>
      </c>
      <c r="AC3177" s="12"/>
      <c r="AD3177" s="12" t="str">
        <f>IFERROR(__xludf.DUMMYFUNCTION("""COMPUTED_VALUE"""),"Charles Aznavour")</f>
        <v>Charles Aznavour</v>
      </c>
      <c r="AE3177" s="12"/>
    </row>
    <row r="3178" customHeight="1" spans="1:31">
      <c r="A3178" s="11" t="s">
        <v>30</v>
      </c>
      <c r="B3178" s="11" t="s">
        <v>15118</v>
      </c>
      <c r="C3178" s="11">
        <v>147</v>
      </c>
      <c r="D3178" s="11">
        <v>82</v>
      </c>
      <c r="E3178" s="11">
        <v>87</v>
      </c>
      <c r="F3178" s="11">
        <v>444</v>
      </c>
      <c r="G3178" s="11">
        <v>1000</v>
      </c>
      <c r="H3178" s="11">
        <v>6842058</v>
      </c>
      <c r="I3178" s="11" t="s">
        <v>4905</v>
      </c>
      <c r="J3178" s="11" t="s">
        <v>3145</v>
      </c>
      <c r="K3178" s="11" t="s">
        <v>15119</v>
      </c>
      <c r="L3178" s="11" t="s">
        <v>15120</v>
      </c>
      <c r="M3178" s="11" t="s">
        <v>15121</v>
      </c>
      <c r="N3178" s="11">
        <v>36029</v>
      </c>
      <c r="O3178" s="11">
        <v>3818</v>
      </c>
      <c r="P3178" s="11">
        <v>0</v>
      </c>
      <c r="Q3178" s="11" t="s">
        <v>15122</v>
      </c>
      <c r="R3178" s="14" t="s">
        <v>15123</v>
      </c>
      <c r="S3178" s="11">
        <v>99</v>
      </c>
      <c r="T3178" s="11" t="s">
        <v>39</v>
      </c>
      <c r="U3178" s="11" t="s">
        <v>40</v>
      </c>
      <c r="V3178" s="11" t="s">
        <v>586</v>
      </c>
      <c r="W3178" s="11">
        <v>10000000</v>
      </c>
      <c r="X3178" s="11">
        <v>2012</v>
      </c>
      <c r="Y3178" s="11">
        <v>581</v>
      </c>
      <c r="Z3178" s="11">
        <v>6.1</v>
      </c>
      <c r="AA3178" s="11">
        <v>2.35</v>
      </c>
      <c r="AB3178" s="11">
        <v>14000</v>
      </c>
      <c r="AC3178" s="11"/>
      <c r="AD3178" s="11" t="str">
        <f>IFERROR(__xludf.DUMMYFUNCTION("""COMPUTED_VALUE"""),"William Shockley")</f>
        <v>William Shockley</v>
      </c>
      <c r="AE3178" s="11"/>
    </row>
    <row r="3179" customHeight="1" spans="1:31">
      <c r="A3179" s="12" t="s">
        <v>30</v>
      </c>
      <c r="B3179" s="12" t="s">
        <v>15124</v>
      </c>
      <c r="C3179" s="12">
        <v>33</v>
      </c>
      <c r="D3179" s="12">
        <v>74</v>
      </c>
      <c r="E3179" s="12">
        <v>0</v>
      </c>
      <c r="F3179" s="12">
        <v>719</v>
      </c>
      <c r="G3179" s="12">
        <v>886</v>
      </c>
      <c r="H3179" s="12">
        <v>6491350</v>
      </c>
      <c r="I3179" s="12" t="s">
        <v>8011</v>
      </c>
      <c r="J3179" s="12" t="s">
        <v>1385</v>
      </c>
      <c r="K3179" s="12" t="s">
        <v>264</v>
      </c>
      <c r="L3179" s="12" t="s">
        <v>3024</v>
      </c>
      <c r="M3179" s="12" t="s">
        <v>15125</v>
      </c>
      <c r="N3179" s="12">
        <v>1231</v>
      </c>
      <c r="O3179" s="12">
        <v>5139</v>
      </c>
      <c r="P3179" s="12">
        <v>0</v>
      </c>
      <c r="Q3179" s="12" t="s">
        <v>15126</v>
      </c>
      <c r="R3179" s="15" t="s">
        <v>15127</v>
      </c>
      <c r="S3179" s="12">
        <v>26</v>
      </c>
      <c r="T3179" s="12" t="s">
        <v>39</v>
      </c>
      <c r="U3179" s="12" t="s">
        <v>40</v>
      </c>
      <c r="V3179" s="12" t="s">
        <v>96</v>
      </c>
      <c r="W3179" s="12">
        <v>10000000</v>
      </c>
      <c r="X3179" s="12">
        <v>2004</v>
      </c>
      <c r="Y3179" s="12">
        <v>808</v>
      </c>
      <c r="Z3179" s="12">
        <v>5.8</v>
      </c>
      <c r="AA3179" s="12">
        <v>1.85</v>
      </c>
      <c r="AB3179" s="12">
        <v>49</v>
      </c>
      <c r="AC3179" s="12"/>
      <c r="AD3179" s="12" t="str">
        <f>IFERROR(__xludf.DUMMYFUNCTION("""COMPUTED_VALUE"""),"Carole Bouquet")</f>
        <v>Carole Bouquet</v>
      </c>
      <c r="AE3179" s="12"/>
    </row>
    <row r="3180" customHeight="1" spans="1:31">
      <c r="A3180" s="11" t="s">
        <v>30</v>
      </c>
      <c r="B3180" s="11" t="s">
        <v>15128</v>
      </c>
      <c r="C3180" s="11">
        <v>94</v>
      </c>
      <c r="D3180" s="11">
        <v>130</v>
      </c>
      <c r="E3180" s="11">
        <v>63</v>
      </c>
      <c r="F3180" s="11">
        <v>2</v>
      </c>
      <c r="G3180" s="11">
        <v>24</v>
      </c>
      <c r="H3180" s="11">
        <v>9473382</v>
      </c>
      <c r="I3180" s="11" t="s">
        <v>15129</v>
      </c>
      <c r="J3180" s="11" t="s">
        <v>15130</v>
      </c>
      <c r="K3180" s="11" t="s">
        <v>15131</v>
      </c>
      <c r="L3180" s="11" t="s">
        <v>15132</v>
      </c>
      <c r="M3180" s="11" t="s">
        <v>15133</v>
      </c>
      <c r="N3180" s="11">
        <v>26832</v>
      </c>
      <c r="O3180" s="11">
        <v>29</v>
      </c>
      <c r="P3180" s="11">
        <v>3</v>
      </c>
      <c r="Q3180" s="11" t="s">
        <v>15134</v>
      </c>
      <c r="R3180" s="14" t="s">
        <v>15135</v>
      </c>
      <c r="S3180" s="11">
        <v>247</v>
      </c>
      <c r="T3180" s="11" t="s">
        <v>1465</v>
      </c>
      <c r="U3180" s="11" t="s">
        <v>269</v>
      </c>
      <c r="V3180" s="11" t="s">
        <v>586</v>
      </c>
      <c r="W3180" s="11">
        <v>10000000</v>
      </c>
      <c r="X3180" s="11">
        <v>1998</v>
      </c>
      <c r="Y3180" s="11">
        <v>3</v>
      </c>
      <c r="Z3180" s="11">
        <v>7.7</v>
      </c>
      <c r="AA3180" s="11">
        <v>1.85</v>
      </c>
      <c r="AB3180" s="11">
        <v>0</v>
      </c>
      <c r="AC3180" s="11"/>
      <c r="AD3180" s="11" t="str">
        <f>IFERROR(__xludf.DUMMYFUNCTION("""COMPUTED_VALUE"""),"Ryôko Hirosue")</f>
        <v>Ryôko Hirosue</v>
      </c>
      <c r="AE3180" s="11"/>
    </row>
    <row r="3181" customHeight="1" spans="1:31">
      <c r="A3181" s="12" t="s">
        <v>30</v>
      </c>
      <c r="B3181" s="12" t="s">
        <v>5878</v>
      </c>
      <c r="C3181" s="12">
        <v>143</v>
      </c>
      <c r="D3181" s="12">
        <v>112</v>
      </c>
      <c r="E3181" s="12">
        <v>0</v>
      </c>
      <c r="F3181" s="12">
        <v>201</v>
      </c>
      <c r="G3181" s="12">
        <v>874</v>
      </c>
      <c r="H3181" s="12">
        <v>6197866</v>
      </c>
      <c r="I3181" s="12" t="s">
        <v>1544</v>
      </c>
      <c r="J3181" s="12" t="s">
        <v>5105</v>
      </c>
      <c r="K3181" s="12" t="s">
        <v>11912</v>
      </c>
      <c r="L3181" s="12" t="s">
        <v>13912</v>
      </c>
      <c r="M3181" s="12" t="s">
        <v>15136</v>
      </c>
      <c r="N3181" s="12">
        <v>63733</v>
      </c>
      <c r="O3181" s="12">
        <v>1351</v>
      </c>
      <c r="P3181" s="12">
        <v>0</v>
      </c>
      <c r="Q3181" s="12" t="s">
        <v>15137</v>
      </c>
      <c r="R3181" s="15" t="s">
        <v>15138</v>
      </c>
      <c r="S3181" s="12">
        <v>414</v>
      </c>
      <c r="T3181" s="12" t="s">
        <v>39</v>
      </c>
      <c r="U3181" s="12" t="s">
        <v>1466</v>
      </c>
      <c r="V3181" s="12" t="s">
        <v>278</v>
      </c>
      <c r="W3181" s="12">
        <v>10000000</v>
      </c>
      <c r="X3181" s="12">
        <v>1999</v>
      </c>
      <c r="Y3181" s="12">
        <v>262</v>
      </c>
      <c r="Z3181" s="12">
        <v>8</v>
      </c>
      <c r="AA3181" s="12">
        <v>2.35</v>
      </c>
      <c r="AB3181" s="12">
        <v>0</v>
      </c>
      <c r="AC3181" s="12"/>
      <c r="AD3181" s="12" t="str">
        <f>IFERROR(__xludf.DUMMYFUNCTION("""COMPUTED_VALUE"""),"Michel Muller")</f>
        <v>Michel Muller</v>
      </c>
      <c r="AE3181" s="12"/>
    </row>
    <row r="3182" customHeight="1" spans="1:31">
      <c r="A3182" s="11" t="s">
        <v>30</v>
      </c>
      <c r="B3182" s="11" t="s">
        <v>15139</v>
      </c>
      <c r="C3182" s="11">
        <v>38</v>
      </c>
      <c r="D3182" s="11">
        <v>96</v>
      </c>
      <c r="E3182" s="11">
        <v>9</v>
      </c>
      <c r="F3182" s="11">
        <v>934</v>
      </c>
      <c r="G3182" s="11">
        <v>12000</v>
      </c>
      <c r="H3182" s="11">
        <v>6044618</v>
      </c>
      <c r="I3182" s="11" t="s">
        <v>15140</v>
      </c>
      <c r="J3182" s="11" t="s">
        <v>4838</v>
      </c>
      <c r="K3182" s="11" t="s">
        <v>83</v>
      </c>
      <c r="L3182" s="11" t="s">
        <v>8307</v>
      </c>
      <c r="M3182" s="11" t="s">
        <v>15141</v>
      </c>
      <c r="N3182" s="11">
        <v>6200</v>
      </c>
      <c r="O3182" s="11">
        <v>26961</v>
      </c>
      <c r="P3182" s="11">
        <v>1</v>
      </c>
      <c r="Q3182" s="11" t="s">
        <v>15142</v>
      </c>
      <c r="R3182" s="14" t="s">
        <v>15143</v>
      </c>
      <c r="S3182" s="11">
        <v>92</v>
      </c>
      <c r="T3182" s="11" t="s">
        <v>39</v>
      </c>
      <c r="U3182" s="11" t="s">
        <v>40</v>
      </c>
      <c r="V3182" s="11" t="s">
        <v>586</v>
      </c>
      <c r="W3182" s="11">
        <v>10000000</v>
      </c>
      <c r="X3182" s="11">
        <v>2002</v>
      </c>
      <c r="Y3182" s="11">
        <v>11000</v>
      </c>
      <c r="Z3182" s="11">
        <v>5.6</v>
      </c>
      <c r="AA3182" s="11">
        <v>2.35</v>
      </c>
      <c r="AB3182" s="11">
        <v>398</v>
      </c>
      <c r="AC3182" s="11"/>
      <c r="AD3182" s="11" t="str">
        <f>IFERROR(__xludf.DUMMYFUNCTION("""COMPUTED_VALUE"""),"Dustin Milligan")</f>
        <v>Dustin Milligan</v>
      </c>
      <c r="AE3182" s="11"/>
    </row>
    <row r="3183" customHeight="1" spans="1:31">
      <c r="A3183" s="12" t="s">
        <v>30</v>
      </c>
      <c r="B3183" s="12" t="s">
        <v>15144</v>
      </c>
      <c r="C3183" s="12">
        <v>126</v>
      </c>
      <c r="D3183" s="12">
        <v>89</v>
      </c>
      <c r="E3183" s="12">
        <v>0</v>
      </c>
      <c r="F3183" s="12">
        <v>322</v>
      </c>
      <c r="G3183" s="12">
        <v>628</v>
      </c>
      <c r="H3183" s="12">
        <v>7764027</v>
      </c>
      <c r="I3183" s="12" t="s">
        <v>2528</v>
      </c>
      <c r="J3183" s="12" t="s">
        <v>7032</v>
      </c>
      <c r="K3183" s="12" t="s">
        <v>3538</v>
      </c>
      <c r="L3183" s="12" t="s">
        <v>14836</v>
      </c>
      <c r="M3183" s="12" t="s">
        <v>15145</v>
      </c>
      <c r="N3183" s="12">
        <v>38459</v>
      </c>
      <c r="O3183" s="12">
        <v>2061</v>
      </c>
      <c r="P3183" s="12">
        <v>0</v>
      </c>
      <c r="Q3183" s="12" t="s">
        <v>15146</v>
      </c>
      <c r="R3183" s="15" t="s">
        <v>15147</v>
      </c>
      <c r="S3183" s="12">
        <v>119</v>
      </c>
      <c r="T3183" s="12" t="s">
        <v>39</v>
      </c>
      <c r="U3183" s="12" t="s">
        <v>40</v>
      </c>
      <c r="V3183" s="12" t="s">
        <v>586</v>
      </c>
      <c r="W3183" s="12">
        <v>10000000</v>
      </c>
      <c r="X3183" s="12">
        <v>2013</v>
      </c>
      <c r="Y3183" s="12">
        <v>497</v>
      </c>
      <c r="Z3183" s="12">
        <v>6.7</v>
      </c>
      <c r="AA3183" s="12">
        <v>2.35</v>
      </c>
      <c r="AB3183" s="12">
        <v>0</v>
      </c>
      <c r="AC3183" s="12"/>
      <c r="AD3183" s="12" t="str">
        <f>IFERROR(__xludf.DUMMYFUNCTION("""COMPUTED_VALUE"""),"Adrian Pasdar")</f>
        <v>Adrian Pasdar</v>
      </c>
      <c r="AE3183" s="12"/>
    </row>
    <row r="3184" customHeight="1" spans="1:31">
      <c r="A3184" s="11" t="s">
        <v>30</v>
      </c>
      <c r="B3184" s="11" t="s">
        <v>15148</v>
      </c>
      <c r="C3184" s="11">
        <v>168</v>
      </c>
      <c r="D3184" s="11">
        <v>100</v>
      </c>
      <c r="E3184" s="11">
        <v>0</v>
      </c>
      <c r="F3184" s="11">
        <v>231</v>
      </c>
      <c r="G3184" s="11">
        <v>427</v>
      </c>
      <c r="H3184" s="11">
        <v>5998971</v>
      </c>
      <c r="I3184" s="11" t="s">
        <v>3898</v>
      </c>
      <c r="J3184" s="11" t="s">
        <v>6090</v>
      </c>
      <c r="K3184" s="11" t="s">
        <v>15149</v>
      </c>
      <c r="L3184" s="11" t="s">
        <v>15150</v>
      </c>
      <c r="M3184" s="11" t="s">
        <v>15151</v>
      </c>
      <c r="N3184" s="11">
        <v>58509</v>
      </c>
      <c r="O3184" s="11">
        <v>1022</v>
      </c>
      <c r="P3184" s="11">
        <v>0</v>
      </c>
      <c r="Q3184" s="11" t="s">
        <v>15152</v>
      </c>
      <c r="R3184" s="14" t="s">
        <v>15153</v>
      </c>
      <c r="S3184" s="11">
        <v>143</v>
      </c>
      <c r="T3184" s="11" t="s">
        <v>39</v>
      </c>
      <c r="U3184" s="11" t="s">
        <v>58</v>
      </c>
      <c r="V3184" s="11" t="s">
        <v>41</v>
      </c>
      <c r="W3184" s="13"/>
      <c r="X3184" s="11">
        <v>2007</v>
      </c>
      <c r="Y3184" s="11">
        <v>269</v>
      </c>
      <c r="Z3184" s="11">
        <v>6.6</v>
      </c>
      <c r="AA3184" s="11">
        <v>2.35</v>
      </c>
      <c r="AB3184" s="11">
        <v>0</v>
      </c>
      <c r="AC3184" s="11"/>
      <c r="AD3184" s="11" t="str">
        <f>IFERROR(__xludf.DUMMYFUNCTION("""COMPUTED_VALUE"""),"Chen Chang")</f>
        <v>Chen Chang</v>
      </c>
      <c r="AE3184" s="11"/>
    </row>
    <row r="3185" customHeight="1" spans="1:31">
      <c r="A3185" s="12" t="s">
        <v>30</v>
      </c>
      <c r="B3185" s="12" t="s">
        <v>15154</v>
      </c>
      <c r="C3185" s="12">
        <v>19</v>
      </c>
      <c r="D3185" s="12">
        <v>78</v>
      </c>
      <c r="E3185" s="12">
        <v>13</v>
      </c>
      <c r="F3185" s="12">
        <v>378</v>
      </c>
      <c r="G3185" s="12">
        <v>753</v>
      </c>
      <c r="H3185" s="16"/>
      <c r="I3185" s="12" t="s">
        <v>5483</v>
      </c>
      <c r="J3185" s="12" t="s">
        <v>4882</v>
      </c>
      <c r="K3185" s="12" t="s">
        <v>1905</v>
      </c>
      <c r="L3185" s="12" t="s">
        <v>11226</v>
      </c>
      <c r="M3185" s="12" t="s">
        <v>15155</v>
      </c>
      <c r="N3185" s="12">
        <v>1040</v>
      </c>
      <c r="O3185" s="12">
        <v>2791</v>
      </c>
      <c r="P3185" s="12">
        <v>0</v>
      </c>
      <c r="Q3185" s="12" t="s">
        <v>15156</v>
      </c>
      <c r="R3185" s="15" t="s">
        <v>15157</v>
      </c>
      <c r="S3185" s="12">
        <v>31</v>
      </c>
      <c r="T3185" s="12" t="s">
        <v>39</v>
      </c>
      <c r="U3185" s="12" t="s">
        <v>40</v>
      </c>
      <c r="V3185" s="12" t="s">
        <v>96</v>
      </c>
      <c r="W3185" s="12">
        <v>10000000</v>
      </c>
      <c r="X3185" s="12">
        <v>1981</v>
      </c>
      <c r="Y3185" s="12">
        <v>695</v>
      </c>
      <c r="Z3185" s="12">
        <v>4.2</v>
      </c>
      <c r="AA3185" s="12">
        <v>2.35</v>
      </c>
      <c r="AB3185" s="12">
        <v>425</v>
      </c>
      <c r="AC3185" s="12"/>
      <c r="AD3185" s="12" t="str">
        <f>IFERROR(__xludf.DUMMYFUNCTION("""COMPUTED_VALUE"""),"Pei-Pei Cheng")</f>
        <v>Pei-Pei Cheng</v>
      </c>
      <c r="AE3185" s="12"/>
    </row>
    <row r="3186" customHeight="1" spans="1:31">
      <c r="A3186" s="11" t="s">
        <v>30</v>
      </c>
      <c r="B3186" s="11" t="s">
        <v>11066</v>
      </c>
      <c r="C3186" s="11">
        <v>91</v>
      </c>
      <c r="D3186" s="11">
        <v>121</v>
      </c>
      <c r="E3186" s="11">
        <v>57</v>
      </c>
      <c r="F3186" s="11">
        <v>664</v>
      </c>
      <c r="G3186" s="11">
        <v>1000</v>
      </c>
      <c r="H3186" s="11">
        <v>21569041</v>
      </c>
      <c r="I3186" s="11" t="s">
        <v>3410</v>
      </c>
      <c r="J3186" s="11" t="s">
        <v>1403</v>
      </c>
      <c r="K3186" s="11" t="s">
        <v>9804</v>
      </c>
      <c r="L3186" s="11" t="s">
        <v>15158</v>
      </c>
      <c r="M3186" s="11" t="s">
        <v>15159</v>
      </c>
      <c r="N3186" s="11">
        <v>8058</v>
      </c>
      <c r="O3186" s="11">
        <v>3745</v>
      </c>
      <c r="P3186" s="11">
        <v>2</v>
      </c>
      <c r="Q3186" s="11" t="s">
        <v>15160</v>
      </c>
      <c r="R3186" s="14" t="s">
        <v>15161</v>
      </c>
      <c r="S3186" s="11">
        <v>57</v>
      </c>
      <c r="T3186" s="11" t="s">
        <v>39</v>
      </c>
      <c r="U3186" s="11" t="s">
        <v>40</v>
      </c>
      <c r="V3186" s="11" t="s">
        <v>41</v>
      </c>
      <c r="W3186" s="11">
        <v>9000000</v>
      </c>
      <c r="X3186" s="11">
        <v>2014</v>
      </c>
      <c r="Y3186" s="11">
        <v>837</v>
      </c>
      <c r="Z3186" s="11">
        <v>6.6</v>
      </c>
      <c r="AA3186" s="11">
        <v>2.35</v>
      </c>
      <c r="AB3186" s="11">
        <v>0</v>
      </c>
      <c r="AC3186" s="11"/>
      <c r="AD3186" s="11" t="str">
        <f>IFERROR(__xludf.DUMMYFUNCTION("""COMPUTED_VALUE"""),"Sihung Lung")</f>
        <v>Sihung Lung</v>
      </c>
      <c r="AE3186" s="11"/>
    </row>
    <row r="3187" customHeight="1" spans="1:31">
      <c r="A3187" s="12" t="s">
        <v>30</v>
      </c>
      <c r="B3187" s="12" t="s">
        <v>15162</v>
      </c>
      <c r="C3187" s="12">
        <v>46</v>
      </c>
      <c r="D3187" s="12">
        <v>85</v>
      </c>
      <c r="E3187" s="12">
        <v>49</v>
      </c>
      <c r="F3187" s="12">
        <v>401</v>
      </c>
      <c r="G3187" s="12">
        <v>719</v>
      </c>
      <c r="H3187" s="12">
        <v>4356743</v>
      </c>
      <c r="I3187" s="12" t="s">
        <v>2717</v>
      </c>
      <c r="J3187" s="12" t="s">
        <v>3024</v>
      </c>
      <c r="K3187" s="12" t="s">
        <v>7156</v>
      </c>
      <c r="L3187" s="12" t="s">
        <v>10853</v>
      </c>
      <c r="M3187" s="12" t="s">
        <v>15163</v>
      </c>
      <c r="N3187" s="12">
        <v>3662</v>
      </c>
      <c r="O3187" s="12">
        <v>2446</v>
      </c>
      <c r="P3187" s="12">
        <v>2</v>
      </c>
      <c r="Q3187" s="12" t="s">
        <v>15164</v>
      </c>
      <c r="R3187" s="15" t="s">
        <v>15165</v>
      </c>
      <c r="S3187" s="12">
        <v>79</v>
      </c>
      <c r="T3187" s="12" t="s">
        <v>39</v>
      </c>
      <c r="U3187" s="12" t="s">
        <v>40</v>
      </c>
      <c r="V3187" s="12" t="s">
        <v>96</v>
      </c>
      <c r="W3187" s="12">
        <v>16000000</v>
      </c>
      <c r="X3187" s="12">
        <v>2001</v>
      </c>
      <c r="Y3187" s="12">
        <v>405</v>
      </c>
      <c r="Z3187" s="12">
        <v>4.1</v>
      </c>
      <c r="AA3187" s="12">
        <v>1.85</v>
      </c>
      <c r="AB3187" s="12">
        <v>0</v>
      </c>
      <c r="AC3187" s="12"/>
      <c r="AD3187" s="12" t="str">
        <f>IFERROR(__xludf.DUMMYFUNCTION("""COMPUTED_VALUE"""),"Ara Celi")</f>
        <v>Ara Celi</v>
      </c>
      <c r="AE3187" s="12"/>
    </row>
    <row r="3188" customHeight="1" spans="1:31">
      <c r="A3188" s="11" t="s">
        <v>30</v>
      </c>
      <c r="B3188" s="11" t="s">
        <v>10019</v>
      </c>
      <c r="C3188" s="11">
        <v>198</v>
      </c>
      <c r="D3188" s="11">
        <v>120</v>
      </c>
      <c r="E3188" s="11">
        <v>0</v>
      </c>
      <c r="F3188" s="11">
        <v>294</v>
      </c>
      <c r="G3188" s="11">
        <v>23000</v>
      </c>
      <c r="H3188" s="11">
        <v>5484375</v>
      </c>
      <c r="I3188" s="11" t="s">
        <v>15166</v>
      </c>
      <c r="J3188" s="11" t="s">
        <v>62</v>
      </c>
      <c r="K3188" s="11" t="s">
        <v>15167</v>
      </c>
      <c r="L3188" s="11" t="s">
        <v>15168</v>
      </c>
      <c r="M3188" s="11" t="s">
        <v>15169</v>
      </c>
      <c r="N3188" s="11">
        <v>84641</v>
      </c>
      <c r="O3188" s="11">
        <v>24270</v>
      </c>
      <c r="P3188" s="11">
        <v>0</v>
      </c>
      <c r="Q3188" s="11" t="s">
        <v>15170</v>
      </c>
      <c r="R3188" s="14" t="s">
        <v>15171</v>
      </c>
      <c r="S3188" s="11">
        <v>205</v>
      </c>
      <c r="T3188" s="11" t="s">
        <v>39</v>
      </c>
      <c r="U3188" s="11" t="s">
        <v>40</v>
      </c>
      <c r="V3188" s="11" t="s">
        <v>41</v>
      </c>
      <c r="W3188" s="11">
        <v>10000000</v>
      </c>
      <c r="X3188" s="11">
        <v>2006</v>
      </c>
      <c r="Y3188" s="11">
        <v>342</v>
      </c>
      <c r="Z3188" s="11">
        <v>7.3</v>
      </c>
      <c r="AA3188" s="11">
        <v>1.85</v>
      </c>
      <c r="AB3188" s="11">
        <v>0</v>
      </c>
      <c r="AC3188" s="11"/>
      <c r="AD3188" s="11" t="str">
        <f>IFERROR(__xludf.DUMMYFUNCTION("""COMPUTED_VALUE"""),"Hugh O'Brian")</f>
        <v>Hugh O'Brian</v>
      </c>
      <c r="AE3188" s="11"/>
    </row>
    <row r="3189" customHeight="1" spans="1:31">
      <c r="A3189" s="12" t="s">
        <v>30</v>
      </c>
      <c r="B3189" s="12" t="s">
        <v>15172</v>
      </c>
      <c r="C3189" s="12">
        <v>139</v>
      </c>
      <c r="D3189" s="12">
        <v>106</v>
      </c>
      <c r="E3189" s="12">
        <v>102</v>
      </c>
      <c r="F3189" s="12">
        <v>970</v>
      </c>
      <c r="G3189" s="12">
        <v>14000</v>
      </c>
      <c r="H3189" s="12">
        <v>5348317</v>
      </c>
      <c r="I3189" s="12" t="s">
        <v>5511</v>
      </c>
      <c r="J3189" s="12" t="s">
        <v>2383</v>
      </c>
      <c r="K3189" s="12" t="s">
        <v>750</v>
      </c>
      <c r="L3189" s="12" t="s">
        <v>7788</v>
      </c>
      <c r="M3189" s="12" t="s">
        <v>15173</v>
      </c>
      <c r="N3189" s="12">
        <v>20810</v>
      </c>
      <c r="O3189" s="12">
        <v>18712</v>
      </c>
      <c r="P3189" s="12">
        <v>0</v>
      </c>
      <c r="Q3189" s="12" t="s">
        <v>15174</v>
      </c>
      <c r="R3189" s="15" t="s">
        <v>15175</v>
      </c>
      <c r="S3189" s="12">
        <v>100</v>
      </c>
      <c r="T3189" s="12" t="s">
        <v>39</v>
      </c>
      <c r="U3189" s="12" t="s">
        <v>40</v>
      </c>
      <c r="V3189" s="12" t="s">
        <v>586</v>
      </c>
      <c r="W3189" s="12">
        <v>10000000</v>
      </c>
      <c r="X3189" s="12">
        <v>2015</v>
      </c>
      <c r="Y3189" s="12">
        <v>3000</v>
      </c>
      <c r="Z3189" s="12">
        <v>7.1</v>
      </c>
      <c r="AA3189" s="16"/>
      <c r="AB3189" s="12">
        <v>0</v>
      </c>
      <c r="AC3189" s="12"/>
      <c r="AD3189" s="12" t="str">
        <f>IFERROR(__xludf.DUMMYFUNCTION("""COMPUTED_VALUE"""),"Bex Taylor-Klaus")</f>
        <v>Bex Taylor-Klaus</v>
      </c>
      <c r="AE3189" s="12"/>
    </row>
    <row r="3190" customHeight="1" spans="1:31">
      <c r="A3190" s="11" t="s">
        <v>30</v>
      </c>
      <c r="B3190" s="11" t="s">
        <v>15176</v>
      </c>
      <c r="C3190" s="11">
        <v>182</v>
      </c>
      <c r="D3190" s="11">
        <v>83</v>
      </c>
      <c r="E3190" s="11">
        <v>157</v>
      </c>
      <c r="F3190" s="11">
        <v>581</v>
      </c>
      <c r="G3190" s="11">
        <v>2000</v>
      </c>
      <c r="H3190" s="11">
        <v>4244155</v>
      </c>
      <c r="I3190" s="11" t="s">
        <v>2528</v>
      </c>
      <c r="J3190" s="11" t="s">
        <v>236</v>
      </c>
      <c r="K3190" s="11" t="s">
        <v>15177</v>
      </c>
      <c r="L3190" s="11" t="s">
        <v>12689</v>
      </c>
      <c r="M3190" s="11" t="s">
        <v>15178</v>
      </c>
      <c r="N3190" s="11">
        <v>56005</v>
      </c>
      <c r="O3190" s="11">
        <v>3374</v>
      </c>
      <c r="P3190" s="11">
        <v>5</v>
      </c>
      <c r="Q3190" s="11" t="s">
        <v>15179</v>
      </c>
      <c r="R3190" s="14" t="s">
        <v>15180</v>
      </c>
      <c r="S3190" s="11">
        <v>112</v>
      </c>
      <c r="T3190" s="11" t="s">
        <v>39</v>
      </c>
      <c r="U3190" s="11" t="s">
        <v>40</v>
      </c>
      <c r="V3190" s="11" t="s">
        <v>586</v>
      </c>
      <c r="W3190" s="11">
        <v>10000000</v>
      </c>
      <c r="X3190" s="11">
        <v>2011</v>
      </c>
      <c r="Y3190" s="11">
        <v>616</v>
      </c>
      <c r="Z3190" s="11">
        <v>6.5</v>
      </c>
      <c r="AA3190" s="11">
        <v>1.85</v>
      </c>
      <c r="AB3190" s="11">
        <v>0</v>
      </c>
      <c r="AC3190" s="11"/>
      <c r="AD3190" s="11" t="str">
        <f>IFERROR(__xludf.DUMMYFUNCTION("""COMPUTED_VALUE"""),"Bobby Campo")</f>
        <v>Bobby Campo</v>
      </c>
      <c r="AE3190" s="11"/>
    </row>
    <row r="3191" customHeight="1" spans="1:31">
      <c r="A3191" s="12" t="s">
        <v>30</v>
      </c>
      <c r="B3191" s="12" t="s">
        <v>15181</v>
      </c>
      <c r="C3191" s="12">
        <v>181</v>
      </c>
      <c r="D3191" s="12">
        <v>120</v>
      </c>
      <c r="E3191" s="12">
        <v>64</v>
      </c>
      <c r="F3191" s="12">
        <v>72</v>
      </c>
      <c r="G3191" s="12">
        <v>144</v>
      </c>
      <c r="H3191" s="12">
        <v>5004648</v>
      </c>
      <c r="I3191" s="12" t="s">
        <v>214</v>
      </c>
      <c r="J3191" s="12" t="s">
        <v>15182</v>
      </c>
      <c r="K3191" s="12" t="s">
        <v>15183</v>
      </c>
      <c r="L3191" s="12" t="s">
        <v>15184</v>
      </c>
      <c r="M3191" s="12" t="s">
        <v>15185</v>
      </c>
      <c r="N3191" s="12">
        <v>14031</v>
      </c>
      <c r="O3191" s="12">
        <v>474</v>
      </c>
      <c r="P3191" s="12">
        <v>1</v>
      </c>
      <c r="Q3191" s="12" t="s">
        <v>15186</v>
      </c>
      <c r="R3191" s="15" t="s">
        <v>15187</v>
      </c>
      <c r="S3191" s="12">
        <v>114</v>
      </c>
      <c r="T3191" s="12" t="s">
        <v>9796</v>
      </c>
      <c r="U3191" s="12" t="s">
        <v>7091</v>
      </c>
      <c r="V3191" s="12" t="s">
        <v>586</v>
      </c>
      <c r="W3191" s="12">
        <v>10000000</v>
      </c>
      <c r="X3191" s="12">
        <v>2009</v>
      </c>
      <c r="Y3191" s="12">
        <v>110</v>
      </c>
      <c r="Z3191" s="12">
        <v>7</v>
      </c>
      <c r="AA3191" s="12">
        <v>1.85</v>
      </c>
      <c r="AB3191" s="12">
        <v>0</v>
      </c>
      <c r="AC3191" s="12"/>
      <c r="AD3191" s="12" t="str">
        <f>IFERROR(__xludf.DUMMYFUNCTION("""COMPUTED_VALUE"""),"Jason Wiles")</f>
        <v>Jason Wiles</v>
      </c>
      <c r="AE3191" s="12"/>
    </row>
    <row r="3192" customHeight="1" spans="1:31">
      <c r="A3192" s="11" t="s">
        <v>30</v>
      </c>
      <c r="B3192" s="11" t="s">
        <v>15188</v>
      </c>
      <c r="C3192" s="11">
        <v>23</v>
      </c>
      <c r="D3192" s="11">
        <v>111</v>
      </c>
      <c r="E3192" s="11">
        <v>60</v>
      </c>
      <c r="F3192" s="11">
        <v>699</v>
      </c>
      <c r="G3192" s="11">
        <v>823</v>
      </c>
      <c r="H3192" s="11">
        <v>3333823</v>
      </c>
      <c r="I3192" s="11" t="s">
        <v>5568</v>
      </c>
      <c r="J3192" s="11" t="s">
        <v>5252</v>
      </c>
      <c r="K3192" s="11" t="s">
        <v>864</v>
      </c>
      <c r="L3192" s="11" t="s">
        <v>11458</v>
      </c>
      <c r="M3192" s="11" t="s">
        <v>15189</v>
      </c>
      <c r="N3192" s="11">
        <v>5612</v>
      </c>
      <c r="O3192" s="11">
        <v>5262</v>
      </c>
      <c r="P3192" s="11">
        <v>0</v>
      </c>
      <c r="Q3192" s="11" t="s">
        <v>15190</v>
      </c>
      <c r="R3192" s="14" t="s">
        <v>15191</v>
      </c>
      <c r="S3192" s="11">
        <v>122</v>
      </c>
      <c r="T3192" s="11" t="s">
        <v>39</v>
      </c>
      <c r="U3192" s="11" t="s">
        <v>40</v>
      </c>
      <c r="V3192" s="11" t="s">
        <v>41</v>
      </c>
      <c r="W3192" s="11">
        <v>10000000</v>
      </c>
      <c r="X3192" s="11">
        <v>2012</v>
      </c>
      <c r="Y3192" s="11">
        <v>759</v>
      </c>
      <c r="Z3192" s="11">
        <v>5.5</v>
      </c>
      <c r="AA3192" s="11">
        <v>2.35</v>
      </c>
      <c r="AB3192" s="11">
        <v>0</v>
      </c>
      <c r="AC3192" s="11"/>
      <c r="AD3192" s="11" t="str">
        <f>IFERROR(__xludf.DUMMYFUNCTION("""COMPUTED_VALUE"""),"Rae Dawn Chong")</f>
        <v>Rae Dawn Chong</v>
      </c>
      <c r="AE3192" s="11"/>
    </row>
    <row r="3193" customHeight="1" spans="1:31">
      <c r="A3193" s="12" t="s">
        <v>30</v>
      </c>
      <c r="B3193" s="12" t="s">
        <v>15192</v>
      </c>
      <c r="C3193" s="12">
        <v>30</v>
      </c>
      <c r="D3193" s="12">
        <v>100</v>
      </c>
      <c r="E3193" s="12">
        <v>34</v>
      </c>
      <c r="F3193" s="12">
        <v>541</v>
      </c>
      <c r="G3193" s="12">
        <v>10000</v>
      </c>
      <c r="H3193" s="12">
        <v>3275585</v>
      </c>
      <c r="I3193" s="12" t="s">
        <v>464</v>
      </c>
      <c r="J3193" s="12" t="s">
        <v>440</v>
      </c>
      <c r="K3193" s="12" t="s">
        <v>1870</v>
      </c>
      <c r="L3193" s="12" t="s">
        <v>3161</v>
      </c>
      <c r="M3193" s="12" t="s">
        <v>15193</v>
      </c>
      <c r="N3193" s="12">
        <v>10735</v>
      </c>
      <c r="O3193" s="12">
        <v>13160</v>
      </c>
      <c r="P3193" s="12">
        <v>1</v>
      </c>
      <c r="Q3193" s="12" t="s">
        <v>15194</v>
      </c>
      <c r="R3193" s="15" t="s">
        <v>15195</v>
      </c>
      <c r="S3193" s="12">
        <v>88</v>
      </c>
      <c r="T3193" s="12" t="s">
        <v>39</v>
      </c>
      <c r="U3193" s="12" t="s">
        <v>58</v>
      </c>
      <c r="V3193" s="12" t="s">
        <v>586</v>
      </c>
      <c r="W3193" s="12">
        <v>11500000</v>
      </c>
      <c r="X3193" s="12">
        <v>1993</v>
      </c>
      <c r="Y3193" s="12">
        <v>721</v>
      </c>
      <c r="Z3193" s="12">
        <v>6.6</v>
      </c>
      <c r="AA3193" s="12">
        <v>1.85</v>
      </c>
      <c r="AB3193" s="12">
        <v>561</v>
      </c>
      <c r="AC3193" s="12"/>
      <c r="AD3193" s="12" t="str">
        <f>IFERROR(__xludf.DUMMYFUNCTION("""COMPUTED_VALUE"""),"Nicole Dionne")</f>
        <v>Nicole Dionne</v>
      </c>
      <c r="AE3193" s="12"/>
    </row>
    <row r="3194" customHeight="1" spans="1:31">
      <c r="A3194" s="11" t="s">
        <v>30</v>
      </c>
      <c r="B3194" s="11" t="s">
        <v>1527</v>
      </c>
      <c r="C3194" s="11">
        <v>111</v>
      </c>
      <c r="D3194" s="11">
        <v>89</v>
      </c>
      <c r="E3194" s="11">
        <v>0</v>
      </c>
      <c r="F3194" s="11">
        <v>132</v>
      </c>
      <c r="G3194" s="11">
        <v>402</v>
      </c>
      <c r="H3194" s="11">
        <v>3193102</v>
      </c>
      <c r="I3194" s="11" t="s">
        <v>2142</v>
      </c>
      <c r="J3194" s="11" t="s">
        <v>1366</v>
      </c>
      <c r="K3194" s="11" t="s">
        <v>15196</v>
      </c>
      <c r="L3194" s="11" t="s">
        <v>5847</v>
      </c>
      <c r="M3194" s="11" t="s">
        <v>15197</v>
      </c>
      <c r="N3194" s="11">
        <v>24412</v>
      </c>
      <c r="O3194" s="11">
        <v>1335</v>
      </c>
      <c r="P3194" s="11">
        <v>0</v>
      </c>
      <c r="Q3194" s="11" t="s">
        <v>15198</v>
      </c>
      <c r="R3194" s="14" t="s">
        <v>15199</v>
      </c>
      <c r="S3194" s="11">
        <v>240</v>
      </c>
      <c r="T3194" s="11" t="s">
        <v>39</v>
      </c>
      <c r="U3194" s="11" t="s">
        <v>40</v>
      </c>
      <c r="V3194" s="11" t="s">
        <v>586</v>
      </c>
      <c r="W3194" s="11">
        <v>9000000</v>
      </c>
      <c r="X3194" s="11">
        <v>1999</v>
      </c>
      <c r="Y3194" s="11">
        <v>296</v>
      </c>
      <c r="Z3194" s="11">
        <v>7.1</v>
      </c>
      <c r="AA3194" s="11">
        <v>1.85</v>
      </c>
      <c r="AB3194" s="11">
        <v>944</v>
      </c>
      <c r="AC3194" s="11"/>
      <c r="AD3194" s="11" t="str">
        <f>IFERROR(__xludf.DUMMYFUNCTION("""COMPUTED_VALUE"""),"Ji-won Ha")</f>
        <v>Ji-won Ha</v>
      </c>
      <c r="AE3194" s="11"/>
    </row>
    <row r="3195" customHeight="1" spans="1:31">
      <c r="A3195" s="12" t="s">
        <v>30</v>
      </c>
      <c r="B3195" s="12" t="s">
        <v>8509</v>
      </c>
      <c r="C3195" s="12">
        <v>287</v>
      </c>
      <c r="D3195" s="12">
        <v>115</v>
      </c>
      <c r="E3195" s="12">
        <v>549</v>
      </c>
      <c r="F3195" s="12">
        <v>911</v>
      </c>
      <c r="G3195" s="12">
        <v>3000</v>
      </c>
      <c r="H3195" s="12">
        <v>54557348</v>
      </c>
      <c r="I3195" s="12" t="s">
        <v>2126</v>
      </c>
      <c r="J3195" s="12" t="s">
        <v>252</v>
      </c>
      <c r="K3195" s="12" t="s">
        <v>3077</v>
      </c>
      <c r="L3195" s="12" t="s">
        <v>5166</v>
      </c>
      <c r="M3195" s="12" t="s">
        <v>15200</v>
      </c>
      <c r="N3195" s="12">
        <v>361169</v>
      </c>
      <c r="O3195" s="12">
        <v>5732</v>
      </c>
      <c r="P3195" s="12">
        <v>0</v>
      </c>
      <c r="Q3195" s="12" t="s">
        <v>15201</v>
      </c>
      <c r="R3195" s="15" t="s">
        <v>15202</v>
      </c>
      <c r="S3195" s="12">
        <v>1624</v>
      </c>
      <c r="T3195" s="12" t="s">
        <v>39</v>
      </c>
      <c r="U3195" s="12" t="s">
        <v>768</v>
      </c>
      <c r="V3195" s="12" t="s">
        <v>586</v>
      </c>
      <c r="W3195" s="12">
        <v>6500000</v>
      </c>
      <c r="X3195" s="12">
        <v>2004</v>
      </c>
      <c r="Y3195" s="12">
        <v>912</v>
      </c>
      <c r="Z3195" s="12">
        <v>7.9</v>
      </c>
      <c r="AA3195" s="12">
        <v>2.35</v>
      </c>
      <c r="AB3195" s="12">
        <v>18000</v>
      </c>
      <c r="AC3195" s="12"/>
      <c r="AD3195" s="12" t="str">
        <f>IFERROR(__xludf.DUMMYFUNCTION("""COMPUTED_VALUE"""),"Kyung-gu Sol")</f>
        <v>Kyung-gu Sol</v>
      </c>
      <c r="AE3195" s="12"/>
    </row>
    <row r="3196" customHeight="1" spans="1:31">
      <c r="A3196" s="11" t="s">
        <v>30</v>
      </c>
      <c r="B3196" s="11" t="s">
        <v>15203</v>
      </c>
      <c r="C3196" s="11">
        <v>96</v>
      </c>
      <c r="D3196" s="11">
        <v>135</v>
      </c>
      <c r="E3196" s="11">
        <v>25</v>
      </c>
      <c r="F3196" s="11">
        <v>553</v>
      </c>
      <c r="G3196" s="11">
        <v>902</v>
      </c>
      <c r="H3196" s="11">
        <v>3041803</v>
      </c>
      <c r="I3196" s="11" t="s">
        <v>214</v>
      </c>
      <c r="J3196" s="11" t="s">
        <v>5783</v>
      </c>
      <c r="K3196" s="11" t="s">
        <v>1855</v>
      </c>
      <c r="L3196" s="11" t="s">
        <v>8937</v>
      </c>
      <c r="M3196" s="11" t="s">
        <v>15204</v>
      </c>
      <c r="N3196" s="11">
        <v>6377</v>
      </c>
      <c r="O3196" s="11">
        <v>2735</v>
      </c>
      <c r="P3196" s="11">
        <v>0</v>
      </c>
      <c r="Q3196" s="11" t="s">
        <v>15205</v>
      </c>
      <c r="R3196" s="14" t="s">
        <v>15206</v>
      </c>
      <c r="S3196" s="11">
        <v>181</v>
      </c>
      <c r="T3196" s="11" t="s">
        <v>39</v>
      </c>
      <c r="U3196" s="11" t="s">
        <v>58</v>
      </c>
      <c r="V3196" s="11" t="s">
        <v>96</v>
      </c>
      <c r="W3196" s="11">
        <v>10000000</v>
      </c>
      <c r="X3196" s="11">
        <v>2000</v>
      </c>
      <c r="Y3196" s="11">
        <v>576</v>
      </c>
      <c r="Z3196" s="11">
        <v>7.1</v>
      </c>
      <c r="AA3196" s="11">
        <v>2.35</v>
      </c>
      <c r="AB3196" s="11">
        <v>345</v>
      </c>
      <c r="AC3196" s="11"/>
      <c r="AD3196" s="11" t="str">
        <f>IFERROR(__xludf.DUMMYFUNCTION("""COMPUTED_VALUE"""),"Allen Leech")</f>
        <v>Allen Leech</v>
      </c>
      <c r="AE3196" s="11"/>
    </row>
    <row r="3197" customHeight="1" spans="1:31">
      <c r="A3197" s="12" t="s">
        <v>30</v>
      </c>
      <c r="B3197" s="12" t="s">
        <v>15207</v>
      </c>
      <c r="C3197" s="12">
        <v>27</v>
      </c>
      <c r="D3197" s="12">
        <v>92</v>
      </c>
      <c r="E3197" s="12">
        <v>4</v>
      </c>
      <c r="F3197" s="12">
        <v>311</v>
      </c>
      <c r="G3197" s="12">
        <v>754</v>
      </c>
      <c r="H3197" s="12">
        <v>3060858</v>
      </c>
      <c r="I3197" s="12" t="s">
        <v>923</v>
      </c>
      <c r="J3197" s="12" t="s">
        <v>6685</v>
      </c>
      <c r="K3197" s="12" t="s">
        <v>12490</v>
      </c>
      <c r="L3197" s="12" t="s">
        <v>15208</v>
      </c>
      <c r="M3197" s="12" t="s">
        <v>15209</v>
      </c>
      <c r="N3197" s="12">
        <v>1768</v>
      </c>
      <c r="O3197" s="12">
        <v>1891</v>
      </c>
      <c r="P3197" s="12">
        <v>4</v>
      </c>
      <c r="Q3197" s="12" t="s">
        <v>15210</v>
      </c>
      <c r="R3197" s="15" t="s">
        <v>15211</v>
      </c>
      <c r="S3197" s="12">
        <v>37</v>
      </c>
      <c r="T3197" s="12" t="s">
        <v>39</v>
      </c>
      <c r="U3197" s="12" t="s">
        <v>40</v>
      </c>
      <c r="V3197" s="12" t="s">
        <v>586</v>
      </c>
      <c r="W3197" s="12">
        <v>10000000</v>
      </c>
      <c r="X3197" s="12">
        <v>1987</v>
      </c>
      <c r="Y3197" s="12">
        <v>324</v>
      </c>
      <c r="Z3197" s="12">
        <v>5.6</v>
      </c>
      <c r="AA3197" s="12">
        <v>1.85</v>
      </c>
      <c r="AB3197" s="12">
        <v>208</v>
      </c>
      <c r="AC3197" s="12"/>
      <c r="AD3197" s="12" t="str">
        <f>IFERROR(__xludf.DUMMYFUNCTION("""COMPUTED_VALUE"""),"Levon Helm")</f>
        <v>Levon Helm</v>
      </c>
      <c r="AE3197" s="12"/>
    </row>
    <row r="3198" customHeight="1" spans="1:31">
      <c r="A3198" s="11" t="s">
        <v>30</v>
      </c>
      <c r="B3198" s="11" t="s">
        <v>9611</v>
      </c>
      <c r="C3198" s="11">
        <v>44</v>
      </c>
      <c r="D3198" s="11">
        <v>120</v>
      </c>
      <c r="E3198" s="11">
        <v>108</v>
      </c>
      <c r="F3198" s="11">
        <v>400</v>
      </c>
      <c r="G3198" s="11">
        <v>634</v>
      </c>
      <c r="H3198" s="11">
        <v>1055654</v>
      </c>
      <c r="I3198" s="11" t="s">
        <v>4916</v>
      </c>
      <c r="J3198" s="11" t="s">
        <v>9769</v>
      </c>
      <c r="K3198" s="11" t="s">
        <v>15212</v>
      </c>
      <c r="L3198" s="11" t="s">
        <v>5330</v>
      </c>
      <c r="M3198" s="11" t="s">
        <v>15213</v>
      </c>
      <c r="N3198" s="11">
        <v>20426</v>
      </c>
      <c r="O3198" s="11">
        <v>2673</v>
      </c>
      <c r="P3198" s="11">
        <v>1</v>
      </c>
      <c r="Q3198" s="11" t="s">
        <v>15214</v>
      </c>
      <c r="R3198" s="14" t="s">
        <v>15215</v>
      </c>
      <c r="S3198" s="11">
        <v>175</v>
      </c>
      <c r="T3198" s="11" t="s">
        <v>39</v>
      </c>
      <c r="U3198" s="11" t="s">
        <v>768</v>
      </c>
      <c r="V3198" s="11" t="s">
        <v>41</v>
      </c>
      <c r="W3198" s="11">
        <v>10000000</v>
      </c>
      <c r="X3198" s="11">
        <v>2006</v>
      </c>
      <c r="Y3198" s="11">
        <v>436</v>
      </c>
      <c r="Z3198" s="11">
        <v>7.3</v>
      </c>
      <c r="AA3198" s="11">
        <v>2.35</v>
      </c>
      <c r="AB3198" s="11">
        <v>0</v>
      </c>
      <c r="AC3198" s="11"/>
      <c r="AD3198" s="11" t="str">
        <f>IFERROR(__xludf.DUMMYFUNCTION("""COMPUTED_VALUE"""),"Megan Charpentier")</f>
        <v>Megan Charpentier</v>
      </c>
      <c r="AE3198" s="11"/>
    </row>
    <row r="3199" customHeight="1" spans="1:31">
      <c r="A3199" s="12" t="s">
        <v>30</v>
      </c>
      <c r="B3199" s="12" t="s">
        <v>15216</v>
      </c>
      <c r="C3199" s="12">
        <v>49</v>
      </c>
      <c r="D3199" s="12">
        <v>97</v>
      </c>
      <c r="E3199" s="12">
        <v>105</v>
      </c>
      <c r="F3199" s="12">
        <v>269</v>
      </c>
      <c r="G3199" s="12">
        <v>982</v>
      </c>
      <c r="H3199" s="12">
        <v>2331318</v>
      </c>
      <c r="I3199" s="12" t="s">
        <v>1672</v>
      </c>
      <c r="J3199" s="12" t="s">
        <v>1121</v>
      </c>
      <c r="K3199" s="12" t="s">
        <v>2182</v>
      </c>
      <c r="L3199" s="12" t="s">
        <v>2719</v>
      </c>
      <c r="M3199" s="12" t="s">
        <v>15217</v>
      </c>
      <c r="N3199" s="12">
        <v>9541</v>
      </c>
      <c r="O3199" s="12">
        <v>2603</v>
      </c>
      <c r="P3199" s="12">
        <v>1</v>
      </c>
      <c r="Q3199" s="12" t="s">
        <v>15218</v>
      </c>
      <c r="R3199" s="15" t="s">
        <v>15219</v>
      </c>
      <c r="S3199" s="12">
        <v>64</v>
      </c>
      <c r="T3199" s="12" t="s">
        <v>39</v>
      </c>
      <c r="U3199" s="12" t="s">
        <v>40</v>
      </c>
      <c r="V3199" s="12" t="s">
        <v>586</v>
      </c>
      <c r="W3199" s="12">
        <v>10000000</v>
      </c>
      <c r="X3199" s="12">
        <v>2011</v>
      </c>
      <c r="Y3199" s="12">
        <v>503</v>
      </c>
      <c r="Z3199" s="12">
        <v>3.3</v>
      </c>
      <c r="AA3199" s="12">
        <v>1.85</v>
      </c>
      <c r="AB3199" s="12">
        <v>0</v>
      </c>
      <c r="AC3199" s="12"/>
      <c r="AD3199" s="12" t="str">
        <f>IFERROR(__xludf.DUMMYFUNCTION("""COMPUTED_VALUE"""),"Isabelle Nélisse")</f>
        <v>Isabelle Nélisse</v>
      </c>
      <c r="AE3199" s="12"/>
    </row>
    <row r="3200" customHeight="1" spans="1:31">
      <c r="A3200" s="11" t="s">
        <v>30</v>
      </c>
      <c r="B3200" s="11" t="s">
        <v>5077</v>
      </c>
      <c r="C3200" s="11">
        <v>57</v>
      </c>
      <c r="D3200" s="11">
        <v>135</v>
      </c>
      <c r="E3200" s="11">
        <v>0</v>
      </c>
      <c r="F3200" s="11">
        <v>851</v>
      </c>
      <c r="G3200" s="11">
        <v>1000</v>
      </c>
      <c r="H3200" s="11">
        <v>2185266</v>
      </c>
      <c r="I3200" s="11" t="s">
        <v>5511</v>
      </c>
      <c r="J3200" s="11" t="s">
        <v>15220</v>
      </c>
      <c r="K3200" s="11" t="s">
        <v>2524</v>
      </c>
      <c r="L3200" s="11" t="s">
        <v>805</v>
      </c>
      <c r="M3200" s="11" t="s">
        <v>15221</v>
      </c>
      <c r="N3200" s="11">
        <v>8720</v>
      </c>
      <c r="O3200" s="11">
        <v>4266</v>
      </c>
      <c r="P3200" s="11">
        <v>0</v>
      </c>
      <c r="Q3200" s="11" t="s">
        <v>15222</v>
      </c>
      <c r="R3200" s="14" t="s">
        <v>15223</v>
      </c>
      <c r="S3200" s="11">
        <v>186</v>
      </c>
      <c r="T3200" s="11" t="s">
        <v>39</v>
      </c>
      <c r="U3200" s="11" t="s">
        <v>40</v>
      </c>
      <c r="V3200" s="11" t="s">
        <v>586</v>
      </c>
      <c r="W3200" s="11">
        <v>10000000</v>
      </c>
      <c r="X3200" s="11">
        <v>2000</v>
      </c>
      <c r="Y3200" s="11">
        <v>975</v>
      </c>
      <c r="Z3200" s="11">
        <v>6.5</v>
      </c>
      <c r="AA3200" s="11">
        <v>1.85</v>
      </c>
      <c r="AB3200" s="11">
        <v>1000</v>
      </c>
      <c r="AC3200" s="11"/>
      <c r="AD3200" s="11" t="str">
        <f>IFERROR(__xludf.DUMMYFUNCTION("""COMPUTED_VALUE"""),"Jackson Nicoll")</f>
        <v>Jackson Nicoll</v>
      </c>
      <c r="AE3200" s="11"/>
    </row>
    <row r="3201" customHeight="1" spans="1:31">
      <c r="A3201" s="12" t="s">
        <v>30</v>
      </c>
      <c r="B3201" s="12" t="s">
        <v>15224</v>
      </c>
      <c r="C3201" s="12">
        <v>185</v>
      </c>
      <c r="D3201" s="12">
        <v>93</v>
      </c>
      <c r="E3201" s="12">
        <v>4</v>
      </c>
      <c r="F3201" s="12">
        <v>4</v>
      </c>
      <c r="G3201" s="12">
        <v>533</v>
      </c>
      <c r="H3201" s="12">
        <v>26583369</v>
      </c>
      <c r="I3201" s="12" t="s">
        <v>3030</v>
      </c>
      <c r="J3201" s="12" t="s">
        <v>15225</v>
      </c>
      <c r="K3201" s="12" t="s">
        <v>15226</v>
      </c>
      <c r="L3201" s="12" t="s">
        <v>15227</v>
      </c>
      <c r="M3201" s="12" t="s">
        <v>15228</v>
      </c>
      <c r="N3201" s="12">
        <v>20837</v>
      </c>
      <c r="O3201" s="12">
        <v>578</v>
      </c>
      <c r="P3201" s="12">
        <v>1</v>
      </c>
      <c r="Q3201" s="12" t="s">
        <v>15229</v>
      </c>
      <c r="R3201" s="15" t="s">
        <v>15230</v>
      </c>
      <c r="S3201" s="12">
        <v>127</v>
      </c>
      <c r="T3201" s="12" t="s">
        <v>39</v>
      </c>
      <c r="U3201" s="12" t="s">
        <v>40</v>
      </c>
      <c r="V3201" s="12" t="s">
        <v>41</v>
      </c>
      <c r="W3201" s="12">
        <v>10000000</v>
      </c>
      <c r="X3201" s="12">
        <v>2016</v>
      </c>
      <c r="Y3201" s="12">
        <v>35</v>
      </c>
      <c r="Z3201" s="12">
        <v>4.8</v>
      </c>
      <c r="AA3201" s="12">
        <v>1.85</v>
      </c>
      <c r="AB3201" s="12">
        <v>10000</v>
      </c>
      <c r="AC3201" s="12"/>
      <c r="AD3201" s="12" t="str">
        <f>IFERROR(__xludf.DUMMYFUNCTION("""COMPUTED_VALUE"""),"Georgina Cates")</f>
        <v>Georgina Cates</v>
      </c>
      <c r="AE3201" s="12"/>
    </row>
    <row r="3202" customHeight="1" spans="1:31">
      <c r="A3202" s="11" t="s">
        <v>30</v>
      </c>
      <c r="B3202" s="11" t="s">
        <v>14100</v>
      </c>
      <c r="C3202" s="11">
        <v>2</v>
      </c>
      <c r="D3202" s="11">
        <v>118</v>
      </c>
      <c r="E3202" s="11">
        <v>76</v>
      </c>
      <c r="F3202" s="11">
        <v>249</v>
      </c>
      <c r="G3202" s="11">
        <v>902</v>
      </c>
      <c r="H3202" s="11">
        <v>800000</v>
      </c>
      <c r="I3202" s="11" t="s">
        <v>13451</v>
      </c>
      <c r="J3202" s="11" t="s">
        <v>122</v>
      </c>
      <c r="K3202" s="11" t="s">
        <v>7246</v>
      </c>
      <c r="L3202" s="11" t="s">
        <v>3133</v>
      </c>
      <c r="M3202" s="11" t="s">
        <v>15231</v>
      </c>
      <c r="N3202" s="11">
        <v>892</v>
      </c>
      <c r="O3202" s="11">
        <v>2079</v>
      </c>
      <c r="P3202" s="11">
        <v>0</v>
      </c>
      <c r="Q3202" s="11" t="s">
        <v>15232</v>
      </c>
      <c r="R3202" s="14" t="s">
        <v>15233</v>
      </c>
      <c r="S3202" s="11">
        <v>21</v>
      </c>
      <c r="T3202" s="11" t="s">
        <v>39</v>
      </c>
      <c r="U3202" s="11" t="s">
        <v>40</v>
      </c>
      <c r="V3202" s="11" t="s">
        <v>96</v>
      </c>
      <c r="W3202" s="11">
        <v>14000000</v>
      </c>
      <c r="X3202" s="11">
        <v>1981</v>
      </c>
      <c r="Y3202" s="11">
        <v>488</v>
      </c>
      <c r="Z3202" s="11">
        <v>5.2</v>
      </c>
      <c r="AA3202" s="11">
        <v>2.35</v>
      </c>
      <c r="AB3202" s="11">
        <v>106</v>
      </c>
      <c r="AC3202" s="11"/>
      <c r="AD3202" s="11" t="str">
        <f>IFERROR(__xludf.DUMMYFUNCTION("""COMPUTED_VALUE"""),"Grasie Mercedes")</f>
        <v>Grasie Mercedes</v>
      </c>
      <c r="AE3202" s="11"/>
    </row>
    <row r="3203" customHeight="1" spans="1:31">
      <c r="A3203" s="12" t="s">
        <v>30</v>
      </c>
      <c r="B3203" s="12" t="s">
        <v>15234</v>
      </c>
      <c r="C3203" s="12">
        <v>270</v>
      </c>
      <c r="D3203" s="12">
        <v>97</v>
      </c>
      <c r="E3203" s="12">
        <v>387</v>
      </c>
      <c r="F3203" s="12">
        <v>64</v>
      </c>
      <c r="G3203" s="12">
        <v>6000</v>
      </c>
      <c r="H3203" s="12">
        <v>7574066</v>
      </c>
      <c r="I3203" s="12" t="s">
        <v>2528</v>
      </c>
      <c r="J3203" s="12" t="s">
        <v>208</v>
      </c>
      <c r="K3203" s="12" t="s">
        <v>15235</v>
      </c>
      <c r="L3203" s="12" t="s">
        <v>15236</v>
      </c>
      <c r="M3203" s="12" t="s">
        <v>15237</v>
      </c>
      <c r="N3203" s="12">
        <v>30325</v>
      </c>
      <c r="O3203" s="12">
        <v>6322</v>
      </c>
      <c r="P3203" s="12">
        <v>2</v>
      </c>
      <c r="Q3203" s="12" t="s">
        <v>15238</v>
      </c>
      <c r="R3203" s="15" t="s">
        <v>15239</v>
      </c>
      <c r="S3203" s="12">
        <v>96</v>
      </c>
      <c r="T3203" s="12" t="s">
        <v>39</v>
      </c>
      <c r="U3203" s="12" t="s">
        <v>40</v>
      </c>
      <c r="V3203" s="12" t="s">
        <v>586</v>
      </c>
      <c r="W3203" s="12">
        <v>10000000</v>
      </c>
      <c r="X3203" s="12">
        <v>2014</v>
      </c>
      <c r="Y3203" s="12">
        <v>139</v>
      </c>
      <c r="Z3203" s="12">
        <v>6.3</v>
      </c>
      <c r="AA3203" s="12">
        <v>1.85</v>
      </c>
      <c r="AB3203" s="12">
        <v>0</v>
      </c>
      <c r="AC3203" s="12"/>
      <c r="AD3203" s="12" t="str">
        <f>IFERROR(__xludf.DUMMYFUNCTION("""COMPUTED_VALUE"""),"Sylvia Syms")</f>
        <v>Sylvia Syms</v>
      </c>
      <c r="AE3203" s="12"/>
    </row>
    <row r="3204" customHeight="1" spans="1:31">
      <c r="A3204" s="11" t="s">
        <v>30</v>
      </c>
      <c r="B3204" s="11" t="s">
        <v>199</v>
      </c>
      <c r="C3204" s="11">
        <v>94</v>
      </c>
      <c r="D3204" s="11">
        <v>98</v>
      </c>
      <c r="E3204" s="11">
        <v>129</v>
      </c>
      <c r="F3204" s="11">
        <v>221</v>
      </c>
      <c r="G3204" s="11">
        <v>749</v>
      </c>
      <c r="H3204" s="11">
        <v>1754319</v>
      </c>
      <c r="I3204" s="11" t="s">
        <v>214</v>
      </c>
      <c r="J3204" s="11" t="s">
        <v>5856</v>
      </c>
      <c r="K3204" s="11" t="s">
        <v>15240</v>
      </c>
      <c r="L3204" s="11" t="s">
        <v>15241</v>
      </c>
      <c r="M3204" s="11" t="s">
        <v>15242</v>
      </c>
      <c r="N3204" s="11">
        <v>13174</v>
      </c>
      <c r="O3204" s="11">
        <v>2214</v>
      </c>
      <c r="P3204" s="11">
        <v>0</v>
      </c>
      <c r="Q3204" s="11" t="s">
        <v>15243</v>
      </c>
      <c r="R3204" s="14" t="s">
        <v>15244</v>
      </c>
      <c r="S3204" s="11">
        <v>81</v>
      </c>
      <c r="T3204" s="11" t="s">
        <v>39</v>
      </c>
      <c r="U3204" s="11" t="s">
        <v>40</v>
      </c>
      <c r="V3204" s="11" t="s">
        <v>41</v>
      </c>
      <c r="W3204" s="11">
        <v>10000000</v>
      </c>
      <c r="X3204" s="11">
        <v>2011</v>
      </c>
      <c r="Y3204" s="11">
        <v>252</v>
      </c>
      <c r="Z3204" s="11">
        <v>7.2</v>
      </c>
      <c r="AA3204" s="11">
        <v>1.85</v>
      </c>
      <c r="AB3204" s="11">
        <v>0</v>
      </c>
      <c r="AC3204" s="11"/>
      <c r="AD3204" s="11" t="str">
        <f>IFERROR(__xludf.DUMMYFUNCTION("""COMPUTED_VALUE"""),"Glenn Shadix")</f>
        <v>Glenn Shadix</v>
      </c>
      <c r="AE3204" s="11"/>
    </row>
    <row r="3205" customHeight="1" spans="1:31">
      <c r="A3205" s="12" t="s">
        <v>30</v>
      </c>
      <c r="B3205" s="12" t="s">
        <v>5404</v>
      </c>
      <c r="C3205" s="12">
        <v>157</v>
      </c>
      <c r="D3205" s="12">
        <v>98</v>
      </c>
      <c r="E3205" s="12">
        <v>0</v>
      </c>
      <c r="F3205" s="12">
        <v>258</v>
      </c>
      <c r="G3205" s="12">
        <v>530</v>
      </c>
      <c r="H3205" s="12">
        <v>1641788</v>
      </c>
      <c r="I3205" s="12" t="s">
        <v>1924</v>
      </c>
      <c r="J3205" s="12" t="s">
        <v>4770</v>
      </c>
      <c r="K3205" s="12" t="s">
        <v>9205</v>
      </c>
      <c r="L3205" s="12" t="s">
        <v>12562</v>
      </c>
      <c r="M3205" s="12" t="s">
        <v>15245</v>
      </c>
      <c r="N3205" s="12">
        <v>30096</v>
      </c>
      <c r="O3205" s="12">
        <v>1381</v>
      </c>
      <c r="P3205" s="12">
        <v>0</v>
      </c>
      <c r="Q3205" s="12" t="s">
        <v>15246</v>
      </c>
      <c r="R3205" s="15" t="s">
        <v>15247</v>
      </c>
      <c r="S3205" s="12">
        <v>213</v>
      </c>
      <c r="T3205" s="12" t="s">
        <v>39</v>
      </c>
      <c r="U3205" s="12" t="s">
        <v>269</v>
      </c>
      <c r="V3205" s="12" t="s">
        <v>586</v>
      </c>
      <c r="W3205" s="12">
        <v>8000000</v>
      </c>
      <c r="X3205" s="12">
        <v>2002</v>
      </c>
      <c r="Y3205" s="12">
        <v>387</v>
      </c>
      <c r="Z3205" s="12">
        <v>6.8</v>
      </c>
      <c r="AA3205" s="12">
        <v>1.78</v>
      </c>
      <c r="AB3205" s="12">
        <v>0</v>
      </c>
      <c r="AC3205" s="12"/>
      <c r="AD3205" s="12" t="str">
        <f>IFERROR(__xludf.DUMMYFUNCTION("""COMPUTED_VALUE"""),"Jessica Raine")</f>
        <v>Jessica Raine</v>
      </c>
      <c r="AE3205" s="12"/>
    </row>
    <row r="3206" customHeight="1" spans="1:31">
      <c r="A3206" s="11" t="s">
        <v>30</v>
      </c>
      <c r="B3206" s="11" t="s">
        <v>15248</v>
      </c>
      <c r="C3206" s="11">
        <v>49</v>
      </c>
      <c r="D3206" s="11">
        <v>101</v>
      </c>
      <c r="E3206" s="11">
        <v>3</v>
      </c>
      <c r="F3206" s="11">
        <v>826</v>
      </c>
      <c r="G3206" s="11">
        <v>14000</v>
      </c>
      <c r="H3206" s="11">
        <v>1631839</v>
      </c>
      <c r="I3206" s="11" t="s">
        <v>4262</v>
      </c>
      <c r="J3206" s="11" t="s">
        <v>228</v>
      </c>
      <c r="K3206" s="11" t="s">
        <v>430</v>
      </c>
      <c r="L3206" s="11" t="s">
        <v>3615</v>
      </c>
      <c r="M3206" s="11" t="s">
        <v>15249</v>
      </c>
      <c r="N3206" s="11">
        <v>5936</v>
      </c>
      <c r="O3206" s="11">
        <v>17665</v>
      </c>
      <c r="P3206" s="11">
        <v>0</v>
      </c>
      <c r="Q3206" s="11" t="s">
        <v>15250</v>
      </c>
      <c r="R3206" s="14" t="s">
        <v>15251</v>
      </c>
      <c r="S3206" s="11">
        <v>91</v>
      </c>
      <c r="T3206" s="11" t="s">
        <v>39</v>
      </c>
      <c r="U3206" s="11" t="s">
        <v>40</v>
      </c>
      <c r="V3206" s="11" t="s">
        <v>586</v>
      </c>
      <c r="W3206" s="11">
        <v>10000000</v>
      </c>
      <c r="X3206" s="11">
        <v>2000</v>
      </c>
      <c r="Y3206" s="11">
        <v>1000</v>
      </c>
      <c r="Z3206" s="11">
        <v>5.7</v>
      </c>
      <c r="AA3206" s="11">
        <v>1.85</v>
      </c>
      <c r="AB3206" s="11">
        <v>242</v>
      </c>
      <c r="AC3206" s="11"/>
      <c r="AD3206" s="11" t="str">
        <f>IFERROR(__xludf.DUMMYFUNCTION("""COMPUTED_VALUE"""),"Tessa Thompson")</f>
        <v>Tessa Thompson</v>
      </c>
      <c r="AE3206" s="11"/>
    </row>
    <row r="3207" customHeight="1" spans="1:31">
      <c r="A3207" s="12" t="s">
        <v>30</v>
      </c>
      <c r="B3207" s="12" t="s">
        <v>10162</v>
      </c>
      <c r="C3207" s="12">
        <v>80</v>
      </c>
      <c r="D3207" s="12">
        <v>132</v>
      </c>
      <c r="E3207" s="12">
        <v>41</v>
      </c>
      <c r="F3207" s="12">
        <v>1000</v>
      </c>
      <c r="G3207" s="12">
        <v>16000</v>
      </c>
      <c r="H3207" s="12">
        <v>1309849</v>
      </c>
      <c r="I3207" s="12" t="s">
        <v>214</v>
      </c>
      <c r="J3207" s="12" t="s">
        <v>380</v>
      </c>
      <c r="K3207" s="12" t="s">
        <v>257</v>
      </c>
      <c r="L3207" s="12" t="s">
        <v>393</v>
      </c>
      <c r="M3207" s="12" t="s">
        <v>15252</v>
      </c>
      <c r="N3207" s="12">
        <v>9395</v>
      </c>
      <c r="O3207" s="12">
        <v>29177</v>
      </c>
      <c r="P3207" s="12">
        <v>1</v>
      </c>
      <c r="Q3207" s="12" t="s">
        <v>15253</v>
      </c>
      <c r="R3207" s="15" t="s">
        <v>15254</v>
      </c>
      <c r="S3207" s="12">
        <v>103</v>
      </c>
      <c r="T3207" s="12" t="s">
        <v>39</v>
      </c>
      <c r="U3207" s="12" t="s">
        <v>58</v>
      </c>
      <c r="V3207" s="12" t="s">
        <v>96</v>
      </c>
      <c r="W3207" s="12">
        <v>10000000</v>
      </c>
      <c r="X3207" s="12">
        <v>2002</v>
      </c>
      <c r="Y3207" s="12">
        <v>11000</v>
      </c>
      <c r="Z3207" s="12">
        <v>7.2</v>
      </c>
      <c r="AA3207" s="12">
        <v>2.35</v>
      </c>
      <c r="AB3207" s="12">
        <v>0</v>
      </c>
      <c r="AC3207" s="12"/>
      <c r="AD3207" s="12" t="str">
        <f>IFERROR(__xludf.DUMMYFUNCTION("""COMPUTED_VALUE"""),"Lee Majors")</f>
        <v>Lee Majors</v>
      </c>
      <c r="AE3207" s="12"/>
    </row>
    <row r="3208" customHeight="1" spans="1:31">
      <c r="A3208" s="11" t="s">
        <v>30</v>
      </c>
      <c r="B3208" s="11" t="s">
        <v>8041</v>
      </c>
      <c r="C3208" s="11">
        <v>221</v>
      </c>
      <c r="D3208" s="11">
        <v>106</v>
      </c>
      <c r="E3208" s="11">
        <v>34</v>
      </c>
      <c r="F3208" s="11">
        <v>683</v>
      </c>
      <c r="G3208" s="11">
        <v>11000</v>
      </c>
      <c r="H3208" s="11">
        <v>1939441</v>
      </c>
      <c r="I3208" s="11" t="s">
        <v>1726</v>
      </c>
      <c r="J3208" s="11" t="s">
        <v>222</v>
      </c>
      <c r="K3208" s="11" t="s">
        <v>83</v>
      </c>
      <c r="L3208" s="11" t="s">
        <v>6144</v>
      </c>
      <c r="M3208" s="11" t="s">
        <v>15255</v>
      </c>
      <c r="N3208" s="11">
        <v>55567</v>
      </c>
      <c r="O3208" s="11">
        <v>23187</v>
      </c>
      <c r="P3208" s="11">
        <v>1</v>
      </c>
      <c r="Q3208" s="11" t="s">
        <v>15256</v>
      </c>
      <c r="R3208" s="14" t="s">
        <v>15257</v>
      </c>
      <c r="S3208" s="11">
        <v>144</v>
      </c>
      <c r="T3208" s="11" t="s">
        <v>39</v>
      </c>
      <c r="U3208" s="11" t="s">
        <v>40</v>
      </c>
      <c r="V3208" s="11" t="s">
        <v>586</v>
      </c>
      <c r="W3208" s="11">
        <v>10000000</v>
      </c>
      <c r="X3208" s="11">
        <v>2012</v>
      </c>
      <c r="Y3208" s="11">
        <v>11000</v>
      </c>
      <c r="Z3208" s="11">
        <v>6.9</v>
      </c>
      <c r="AA3208" s="11">
        <v>1.85</v>
      </c>
      <c r="AB3208" s="11">
        <v>20000</v>
      </c>
      <c r="AC3208" s="11"/>
      <c r="AD3208" s="11" t="str">
        <f>IFERROR(__xludf.DUMMYFUNCTION("""COMPUTED_VALUE"""),"Clayton Snyder")</f>
        <v>Clayton Snyder</v>
      </c>
      <c r="AE3208" s="11"/>
    </row>
    <row r="3209" customHeight="1" spans="1:31">
      <c r="A3209" s="12" t="s">
        <v>30</v>
      </c>
      <c r="B3209" s="16"/>
      <c r="C3209" s="12">
        <v>53</v>
      </c>
      <c r="D3209" s="12">
        <v>55</v>
      </c>
      <c r="E3209" s="16"/>
      <c r="F3209" s="12">
        <v>2</v>
      </c>
      <c r="G3209" s="12">
        <v>20</v>
      </c>
      <c r="H3209" s="12">
        <v>447093</v>
      </c>
      <c r="I3209" s="12" t="s">
        <v>3410</v>
      </c>
      <c r="J3209" s="12" t="s">
        <v>13600</v>
      </c>
      <c r="K3209" s="12" t="s">
        <v>13601</v>
      </c>
      <c r="L3209" s="12" t="s">
        <v>13602</v>
      </c>
      <c r="M3209" s="12" t="s">
        <v>13603</v>
      </c>
      <c r="N3209" s="12">
        <v>12591</v>
      </c>
      <c r="O3209" s="12">
        <v>25</v>
      </c>
      <c r="P3209" s="12">
        <v>0</v>
      </c>
      <c r="Q3209" s="12" t="s">
        <v>13604</v>
      </c>
      <c r="R3209" s="15" t="s">
        <v>13605</v>
      </c>
      <c r="S3209" s="12">
        <v>37</v>
      </c>
      <c r="T3209" s="12" t="s">
        <v>13606</v>
      </c>
      <c r="U3209" s="12" t="s">
        <v>13607</v>
      </c>
      <c r="V3209" s="12" t="s">
        <v>2636</v>
      </c>
      <c r="W3209" s="16"/>
      <c r="X3209" s="16"/>
      <c r="Y3209" s="12">
        <v>3</v>
      </c>
      <c r="Z3209" s="12">
        <v>9.1</v>
      </c>
      <c r="AA3209" s="12">
        <v>1.33</v>
      </c>
      <c r="AB3209" s="12">
        <v>0</v>
      </c>
      <c r="AC3209" s="12"/>
      <c r="AD3209" s="12" t="str">
        <f>IFERROR(__xludf.DUMMYFUNCTION("""COMPUTED_VALUE"""),"Adam Lamberg")</f>
        <v>Adam Lamberg</v>
      </c>
      <c r="AE3209" s="12"/>
    </row>
    <row r="3210" customHeight="1" spans="1:31">
      <c r="A3210" s="11" t="s">
        <v>30</v>
      </c>
      <c r="B3210" s="11" t="s">
        <v>15258</v>
      </c>
      <c r="C3210" s="11">
        <v>20</v>
      </c>
      <c r="D3210" s="11">
        <v>168</v>
      </c>
      <c r="E3210" s="11">
        <v>53</v>
      </c>
      <c r="F3210" s="11">
        <v>45</v>
      </c>
      <c r="G3210" s="11">
        <v>307</v>
      </c>
      <c r="H3210" s="13"/>
      <c r="I3210" s="11" t="s">
        <v>578</v>
      </c>
      <c r="J3210" s="11" t="s">
        <v>15259</v>
      </c>
      <c r="K3210" s="11" t="s">
        <v>15260</v>
      </c>
      <c r="L3210" s="11" t="s">
        <v>15261</v>
      </c>
      <c r="M3210" s="11" t="s">
        <v>15262</v>
      </c>
      <c r="N3210" s="11">
        <v>12411</v>
      </c>
      <c r="O3210" s="11">
        <v>616</v>
      </c>
      <c r="P3210" s="11">
        <v>0</v>
      </c>
      <c r="Q3210" s="11" t="s">
        <v>15263</v>
      </c>
      <c r="R3210" s="14" t="s">
        <v>15264</v>
      </c>
      <c r="S3210" s="11">
        <v>110</v>
      </c>
      <c r="T3210" s="11" t="s">
        <v>5612</v>
      </c>
      <c r="U3210" s="11" t="s">
        <v>5613</v>
      </c>
      <c r="V3210" s="11" t="s">
        <v>4831</v>
      </c>
      <c r="W3210" s="11">
        <v>10000000</v>
      </c>
      <c r="X3210" s="11">
        <v>2006</v>
      </c>
      <c r="Y3210" s="11">
        <v>200</v>
      </c>
      <c r="Z3210" s="11">
        <v>6.3</v>
      </c>
      <c r="AA3210" s="11">
        <v>2.35</v>
      </c>
      <c r="AB3210" s="11">
        <v>533</v>
      </c>
      <c r="AC3210" s="11"/>
      <c r="AD3210" s="11" t="str">
        <f>IFERROR(__xludf.DUMMYFUNCTION("""COMPUTED_VALUE"""),"Allison Tolman")</f>
        <v>Allison Tolman</v>
      </c>
      <c r="AE3210" s="11"/>
    </row>
    <row r="3211" customHeight="1" spans="1:31">
      <c r="A3211" s="12" t="s">
        <v>30</v>
      </c>
      <c r="B3211" s="12" t="s">
        <v>13793</v>
      </c>
      <c r="C3211" s="12">
        <v>90</v>
      </c>
      <c r="D3211" s="12">
        <v>87</v>
      </c>
      <c r="E3211" s="12">
        <v>0</v>
      </c>
      <c r="F3211" s="12">
        <v>503</v>
      </c>
      <c r="G3211" s="12">
        <v>975</v>
      </c>
      <c r="H3211" s="12">
        <v>1276984</v>
      </c>
      <c r="I3211" s="12" t="s">
        <v>5968</v>
      </c>
      <c r="J3211" s="12" t="s">
        <v>4000</v>
      </c>
      <c r="K3211" s="12" t="s">
        <v>1386</v>
      </c>
      <c r="L3211" s="12" t="s">
        <v>2182</v>
      </c>
      <c r="M3211" s="12" t="s">
        <v>15265</v>
      </c>
      <c r="N3211" s="12">
        <v>11403</v>
      </c>
      <c r="O3211" s="12">
        <v>3059</v>
      </c>
      <c r="P3211" s="12">
        <v>2</v>
      </c>
      <c r="Q3211" s="12" t="s">
        <v>15266</v>
      </c>
      <c r="R3211" s="15" t="s">
        <v>15267</v>
      </c>
      <c r="S3211" s="12">
        <v>150</v>
      </c>
      <c r="T3211" s="12" t="s">
        <v>39</v>
      </c>
      <c r="U3211" s="12" t="s">
        <v>1466</v>
      </c>
      <c r="V3211" s="12" t="s">
        <v>586</v>
      </c>
      <c r="W3211" s="12">
        <v>10000000</v>
      </c>
      <c r="X3211" s="12">
        <v>2000</v>
      </c>
      <c r="Y3211" s="12">
        <v>537</v>
      </c>
      <c r="Z3211" s="12">
        <v>6.2</v>
      </c>
      <c r="AA3211" s="12">
        <v>1.85</v>
      </c>
      <c r="AB3211" s="12">
        <v>795</v>
      </c>
      <c r="AC3211" s="12"/>
      <c r="AD3211" s="12" t="str">
        <f>IFERROR(__xludf.DUMMYFUNCTION("""COMPUTED_VALUE"""),"Rae'Ven Kelly")</f>
        <v>Rae'Ven Kelly</v>
      </c>
      <c r="AE3211" s="12"/>
    </row>
    <row r="3212" customHeight="1" spans="1:31">
      <c r="A3212" s="11" t="s">
        <v>30</v>
      </c>
      <c r="B3212" s="11" t="s">
        <v>4734</v>
      </c>
      <c r="C3212" s="11">
        <v>376</v>
      </c>
      <c r="D3212" s="11">
        <v>98</v>
      </c>
      <c r="E3212" s="11">
        <v>607</v>
      </c>
      <c r="F3212" s="11">
        <v>251</v>
      </c>
      <c r="G3212" s="11">
        <v>11000</v>
      </c>
      <c r="H3212" s="11">
        <v>1987762</v>
      </c>
      <c r="I3212" s="11" t="s">
        <v>5275</v>
      </c>
      <c r="J3212" s="11" t="s">
        <v>661</v>
      </c>
      <c r="K3212" s="11" t="s">
        <v>15268</v>
      </c>
      <c r="L3212" s="11" t="s">
        <v>15269</v>
      </c>
      <c r="M3212" s="11" t="s">
        <v>15270</v>
      </c>
      <c r="N3212" s="11">
        <v>59297</v>
      </c>
      <c r="O3212" s="11">
        <v>11853</v>
      </c>
      <c r="P3212" s="11">
        <v>0</v>
      </c>
      <c r="Q3212" s="11" t="s">
        <v>15271</v>
      </c>
      <c r="R3212" s="14" t="s">
        <v>15272</v>
      </c>
      <c r="S3212" s="11">
        <v>216</v>
      </c>
      <c r="T3212" s="11" t="s">
        <v>39</v>
      </c>
      <c r="U3212" s="11" t="s">
        <v>40</v>
      </c>
      <c r="V3212" s="11" t="s">
        <v>586</v>
      </c>
      <c r="W3212" s="11">
        <v>11000000</v>
      </c>
      <c r="X3212" s="11">
        <v>2011</v>
      </c>
      <c r="Y3212" s="11">
        <v>414</v>
      </c>
      <c r="Z3212" s="11">
        <v>6.7</v>
      </c>
      <c r="AA3212" s="11">
        <v>1.85</v>
      </c>
      <c r="AB3212" s="11">
        <v>12000</v>
      </c>
      <c r="AC3212" s="11"/>
      <c r="AD3212" s="11" t="str">
        <f>IFERROR(__xludf.DUMMYFUNCTION("""COMPUTED_VALUE"""),"Virginia Capers")</f>
        <v>Virginia Capers</v>
      </c>
      <c r="AE3212" s="11"/>
    </row>
    <row r="3213" customHeight="1" spans="1:31">
      <c r="A3213" s="12" t="s">
        <v>30</v>
      </c>
      <c r="B3213" s="12" t="s">
        <v>15273</v>
      </c>
      <c r="C3213" s="12">
        <v>144</v>
      </c>
      <c r="D3213" s="12">
        <v>96</v>
      </c>
      <c r="E3213" s="12">
        <v>17</v>
      </c>
      <c r="F3213" s="12">
        <v>688</v>
      </c>
      <c r="G3213" s="12">
        <v>2000</v>
      </c>
      <c r="H3213" s="12">
        <v>1474508</v>
      </c>
      <c r="I3213" s="12" t="s">
        <v>2528</v>
      </c>
      <c r="J3213" s="12" t="s">
        <v>1376</v>
      </c>
      <c r="K3213" s="12" t="s">
        <v>3230</v>
      </c>
      <c r="L3213" s="12" t="s">
        <v>15274</v>
      </c>
      <c r="M3213" s="12" t="s">
        <v>15275</v>
      </c>
      <c r="N3213" s="12">
        <v>33473</v>
      </c>
      <c r="O3213" s="12">
        <v>4607</v>
      </c>
      <c r="P3213" s="12">
        <v>4</v>
      </c>
      <c r="Q3213" s="12" t="s">
        <v>15276</v>
      </c>
      <c r="R3213" s="15" t="s">
        <v>15277</v>
      </c>
      <c r="S3213" s="12">
        <v>88</v>
      </c>
      <c r="T3213" s="12" t="s">
        <v>39</v>
      </c>
      <c r="U3213" s="12" t="s">
        <v>40</v>
      </c>
      <c r="V3213" s="12" t="s">
        <v>586</v>
      </c>
      <c r="W3213" s="12">
        <v>5000000</v>
      </c>
      <c r="X3213" s="12">
        <v>2009</v>
      </c>
      <c r="Y3213" s="12">
        <v>989</v>
      </c>
      <c r="Z3213" s="12">
        <v>6.5</v>
      </c>
      <c r="AA3213" s="12">
        <v>2.35</v>
      </c>
      <c r="AB3213" s="12">
        <v>0</v>
      </c>
      <c r="AC3213" s="12"/>
      <c r="AD3213" s="12" t="str">
        <f>IFERROR(__xludf.DUMMYFUNCTION("""COMPUTED_VALUE"""),"Dororthy Thorton")</f>
        <v>Dororthy Thorton</v>
      </c>
      <c r="AE3213" s="12"/>
    </row>
    <row r="3214" customHeight="1" spans="1:31">
      <c r="A3214" s="11" t="s">
        <v>30</v>
      </c>
      <c r="B3214" s="11" t="s">
        <v>15278</v>
      </c>
      <c r="C3214" s="11">
        <v>82</v>
      </c>
      <c r="D3214" s="11">
        <v>104</v>
      </c>
      <c r="E3214" s="11">
        <v>23</v>
      </c>
      <c r="F3214" s="11">
        <v>232</v>
      </c>
      <c r="G3214" s="11">
        <v>22000</v>
      </c>
      <c r="H3214" s="11">
        <v>1011054</v>
      </c>
      <c r="I3214" s="11" t="s">
        <v>2126</v>
      </c>
      <c r="J3214" s="11" t="s">
        <v>699</v>
      </c>
      <c r="K3214" s="11" t="s">
        <v>3491</v>
      </c>
      <c r="L3214" s="11" t="s">
        <v>3605</v>
      </c>
      <c r="M3214" s="11" t="s">
        <v>15279</v>
      </c>
      <c r="N3214" s="11">
        <v>10585</v>
      </c>
      <c r="O3214" s="11">
        <v>23513</v>
      </c>
      <c r="P3214" s="11">
        <v>1</v>
      </c>
      <c r="Q3214" s="11" t="s">
        <v>15280</v>
      </c>
      <c r="R3214" s="14" t="s">
        <v>15281</v>
      </c>
      <c r="S3214" s="11">
        <v>83</v>
      </c>
      <c r="T3214" s="11" t="s">
        <v>39</v>
      </c>
      <c r="U3214" s="11" t="s">
        <v>269</v>
      </c>
      <c r="V3214" s="11" t="s">
        <v>586</v>
      </c>
      <c r="W3214" s="11">
        <v>10000000</v>
      </c>
      <c r="X3214" s="11">
        <v>2003</v>
      </c>
      <c r="Y3214" s="11">
        <v>893</v>
      </c>
      <c r="Z3214" s="11">
        <v>7.2</v>
      </c>
      <c r="AA3214" s="11">
        <v>2.35</v>
      </c>
      <c r="AB3214" s="11">
        <v>0</v>
      </c>
      <c r="AC3214" s="11"/>
      <c r="AD3214" s="11" t="str">
        <f>IFERROR(__xludf.DUMMYFUNCTION("""COMPUTED_VALUE"""),"JoAnna Garcia Swisher")</f>
        <v>JoAnna Garcia Swisher</v>
      </c>
      <c r="AE3214" s="11"/>
    </row>
    <row r="3215" customHeight="1" spans="1:31">
      <c r="A3215" s="12" t="s">
        <v>30</v>
      </c>
      <c r="B3215" s="12" t="s">
        <v>15282</v>
      </c>
      <c r="C3215" s="12">
        <v>51</v>
      </c>
      <c r="D3215" s="12">
        <v>93</v>
      </c>
      <c r="E3215" s="12">
        <v>0</v>
      </c>
      <c r="F3215" s="12">
        <v>622</v>
      </c>
      <c r="G3215" s="12">
        <v>966</v>
      </c>
      <c r="H3215" s="12">
        <v>900926</v>
      </c>
      <c r="I3215" s="12" t="s">
        <v>1672</v>
      </c>
      <c r="J3215" s="12" t="s">
        <v>3577</v>
      </c>
      <c r="K3215" s="12" t="s">
        <v>12758</v>
      </c>
      <c r="L3215" s="12" t="s">
        <v>2102</v>
      </c>
      <c r="M3215" s="12" t="s">
        <v>15283</v>
      </c>
      <c r="N3215" s="12">
        <v>9517</v>
      </c>
      <c r="O3215" s="12">
        <v>3307</v>
      </c>
      <c r="P3215" s="12">
        <v>2</v>
      </c>
      <c r="Q3215" s="12" t="s">
        <v>15284</v>
      </c>
      <c r="R3215" s="15" t="s">
        <v>15285</v>
      </c>
      <c r="S3215" s="12">
        <v>46</v>
      </c>
      <c r="T3215" s="12" t="s">
        <v>39</v>
      </c>
      <c r="U3215" s="12" t="s">
        <v>40</v>
      </c>
      <c r="V3215" s="12" t="s">
        <v>586</v>
      </c>
      <c r="W3215" s="12">
        <v>10000000</v>
      </c>
      <c r="X3215" s="12">
        <v>2007</v>
      </c>
      <c r="Y3215" s="12">
        <v>799</v>
      </c>
      <c r="Z3215" s="12">
        <v>5.3</v>
      </c>
      <c r="AA3215" s="12">
        <v>1.85</v>
      </c>
      <c r="AB3215" s="12">
        <v>319</v>
      </c>
      <c r="AC3215" s="12"/>
      <c r="AD3215" s="12" t="str">
        <f>IFERROR(__xludf.DUMMYFUNCTION("""COMPUTED_VALUE"""),"William Petersen")</f>
        <v>William Petersen</v>
      </c>
      <c r="AE3215" s="12"/>
    </row>
    <row r="3216" customHeight="1" spans="1:31">
      <c r="A3216" s="11" t="s">
        <v>30</v>
      </c>
      <c r="B3216" s="11" t="s">
        <v>6978</v>
      </c>
      <c r="C3216" s="11">
        <v>192</v>
      </c>
      <c r="D3216" s="11">
        <v>95</v>
      </c>
      <c r="E3216" s="11">
        <v>0</v>
      </c>
      <c r="F3216" s="11">
        <v>20</v>
      </c>
      <c r="G3216" s="11">
        <v>20000</v>
      </c>
      <c r="H3216" s="11">
        <v>866778</v>
      </c>
      <c r="I3216" s="11" t="s">
        <v>214</v>
      </c>
      <c r="J3216" s="11" t="s">
        <v>842</v>
      </c>
      <c r="K3216" s="11" t="s">
        <v>15286</v>
      </c>
      <c r="L3216" s="11" t="s">
        <v>15287</v>
      </c>
      <c r="M3216" s="11" t="s">
        <v>15288</v>
      </c>
      <c r="N3216" s="11">
        <v>44208</v>
      </c>
      <c r="O3216" s="11">
        <v>20364</v>
      </c>
      <c r="P3216" s="11">
        <v>3</v>
      </c>
      <c r="Q3216" s="11" t="s">
        <v>15289</v>
      </c>
      <c r="R3216" s="14" t="s">
        <v>15290</v>
      </c>
      <c r="S3216" s="11">
        <v>117</v>
      </c>
      <c r="T3216" s="11" t="s">
        <v>39</v>
      </c>
      <c r="U3216" s="11" t="s">
        <v>3860</v>
      </c>
      <c r="V3216" s="11" t="s">
        <v>41</v>
      </c>
      <c r="W3216" s="11">
        <v>10000000</v>
      </c>
      <c r="X3216" s="11">
        <v>2007</v>
      </c>
      <c r="Y3216" s="11">
        <v>329</v>
      </c>
      <c r="Z3216" s="11">
        <v>6.7</v>
      </c>
      <c r="AA3216" s="11">
        <v>2.35</v>
      </c>
      <c r="AB3216" s="11">
        <v>0</v>
      </c>
      <c r="AC3216" s="11"/>
      <c r="AD3216" s="11" t="str">
        <f>IFERROR(__xludf.DUMMYFUNCTION("""COMPUTED_VALUE"""),"Claude Rains")</f>
        <v>Claude Rains</v>
      </c>
      <c r="AE3216" s="11"/>
    </row>
    <row r="3217" customHeight="1" spans="1:31">
      <c r="A3217" s="12" t="s">
        <v>30</v>
      </c>
      <c r="B3217" s="12" t="s">
        <v>14666</v>
      </c>
      <c r="C3217" s="12">
        <v>36</v>
      </c>
      <c r="D3217" s="12">
        <v>119</v>
      </c>
      <c r="E3217" s="12">
        <v>0</v>
      </c>
      <c r="F3217" s="12">
        <v>54</v>
      </c>
      <c r="G3217" s="12">
        <v>816</v>
      </c>
      <c r="H3217" s="12">
        <v>836641</v>
      </c>
      <c r="I3217" s="12" t="s">
        <v>3410</v>
      </c>
      <c r="J3217" s="12" t="s">
        <v>7746</v>
      </c>
      <c r="K3217" s="12" t="s">
        <v>1925</v>
      </c>
      <c r="L3217" s="12" t="s">
        <v>15291</v>
      </c>
      <c r="M3217" s="12" t="s">
        <v>15292</v>
      </c>
      <c r="N3217" s="12">
        <v>1402</v>
      </c>
      <c r="O3217" s="12">
        <v>1585</v>
      </c>
      <c r="P3217" s="12">
        <v>0</v>
      </c>
      <c r="Q3217" s="12" t="s">
        <v>15293</v>
      </c>
      <c r="R3217" s="15" t="s">
        <v>15294</v>
      </c>
      <c r="S3217" s="12">
        <v>40</v>
      </c>
      <c r="T3217" s="12" t="s">
        <v>39</v>
      </c>
      <c r="U3217" s="12" t="s">
        <v>3572</v>
      </c>
      <c r="V3217" s="12" t="s">
        <v>586</v>
      </c>
      <c r="W3217" s="16"/>
      <c r="X3217" s="12">
        <v>1998</v>
      </c>
      <c r="Y3217" s="12">
        <v>623</v>
      </c>
      <c r="Z3217" s="12">
        <v>6.2</v>
      </c>
      <c r="AA3217" s="12">
        <v>1.85</v>
      </c>
      <c r="AB3217" s="12">
        <v>74</v>
      </c>
      <c r="AC3217" s="12"/>
      <c r="AD3217" s="12" t="str">
        <f>IFERROR(__xludf.DUMMYFUNCTION("""COMPUTED_VALUE"""),"Martha MacIsaac")</f>
        <v>Martha MacIsaac</v>
      </c>
      <c r="AE3217" s="12"/>
    </row>
    <row r="3218" customHeight="1" spans="1:31">
      <c r="A3218" s="11" t="s">
        <v>30</v>
      </c>
      <c r="B3218" s="11" t="s">
        <v>1295</v>
      </c>
      <c r="C3218" s="11">
        <v>71</v>
      </c>
      <c r="D3218" s="11">
        <v>89</v>
      </c>
      <c r="E3218" s="11">
        <v>0</v>
      </c>
      <c r="F3218" s="11">
        <v>119</v>
      </c>
      <c r="G3218" s="11">
        <v>990</v>
      </c>
      <c r="H3218" s="11">
        <v>598645</v>
      </c>
      <c r="I3218" s="11" t="s">
        <v>1681</v>
      </c>
      <c r="J3218" s="11" t="s">
        <v>354</v>
      </c>
      <c r="K3218" s="11" t="s">
        <v>530</v>
      </c>
      <c r="L3218" s="11" t="s">
        <v>6399</v>
      </c>
      <c r="M3218" s="11" t="s">
        <v>15295</v>
      </c>
      <c r="N3218" s="11">
        <v>13145</v>
      </c>
      <c r="O3218" s="11">
        <v>2006</v>
      </c>
      <c r="P3218" s="11">
        <v>0</v>
      </c>
      <c r="Q3218" s="11" t="s">
        <v>15296</v>
      </c>
      <c r="R3218" s="14" t="s">
        <v>15297</v>
      </c>
      <c r="S3218" s="11">
        <v>215</v>
      </c>
      <c r="T3218" s="11" t="s">
        <v>39</v>
      </c>
      <c r="U3218" s="11" t="s">
        <v>58</v>
      </c>
      <c r="V3218" s="11" t="s">
        <v>586</v>
      </c>
      <c r="W3218" s="11">
        <v>10000000</v>
      </c>
      <c r="X3218" s="11">
        <v>2002</v>
      </c>
      <c r="Y3218" s="11">
        <v>711</v>
      </c>
      <c r="Z3218" s="11">
        <v>3.6</v>
      </c>
      <c r="AA3218" s="11">
        <v>1.85</v>
      </c>
      <c r="AB3218" s="11">
        <v>725</v>
      </c>
      <c r="AC3218" s="11"/>
      <c r="AD3218" s="11" t="str">
        <f>IFERROR(__xludf.DUMMYFUNCTION("""COMPUTED_VALUE"""),"André the Giant")</f>
        <v>André the Giant</v>
      </c>
      <c r="AE3218" s="11"/>
    </row>
    <row r="3219" customHeight="1" spans="1:31">
      <c r="A3219" s="12" t="s">
        <v>30</v>
      </c>
      <c r="B3219" s="12" t="s">
        <v>15298</v>
      </c>
      <c r="C3219" s="12">
        <v>79</v>
      </c>
      <c r="D3219" s="12">
        <v>107</v>
      </c>
      <c r="E3219" s="12">
        <v>0</v>
      </c>
      <c r="F3219" s="12">
        <v>91</v>
      </c>
      <c r="G3219" s="12">
        <v>603</v>
      </c>
      <c r="H3219" s="12">
        <v>578527</v>
      </c>
      <c r="I3219" s="12" t="s">
        <v>1733</v>
      </c>
      <c r="J3219" s="12" t="s">
        <v>7650</v>
      </c>
      <c r="K3219" s="12" t="s">
        <v>15299</v>
      </c>
      <c r="L3219" s="12" t="s">
        <v>8656</v>
      </c>
      <c r="M3219" s="12" t="s">
        <v>15300</v>
      </c>
      <c r="N3219" s="12">
        <v>20008</v>
      </c>
      <c r="O3219" s="12">
        <v>988</v>
      </c>
      <c r="P3219" s="12">
        <v>3</v>
      </c>
      <c r="Q3219" s="12" t="s">
        <v>15301</v>
      </c>
      <c r="R3219" s="15" t="s">
        <v>15302</v>
      </c>
      <c r="S3219" s="12">
        <v>112</v>
      </c>
      <c r="T3219" s="12" t="s">
        <v>39</v>
      </c>
      <c r="U3219" s="12" t="s">
        <v>40</v>
      </c>
      <c r="V3219" s="12" t="s">
        <v>586</v>
      </c>
      <c r="W3219" s="12">
        <v>10000000</v>
      </c>
      <c r="X3219" s="12">
        <v>2008</v>
      </c>
      <c r="Y3219" s="12">
        <v>175</v>
      </c>
      <c r="Z3219" s="12">
        <v>5.7</v>
      </c>
      <c r="AA3219" s="12">
        <v>1.78</v>
      </c>
      <c r="AB3219" s="12">
        <v>883</v>
      </c>
      <c r="AC3219" s="12"/>
      <c r="AD3219" s="12" t="str">
        <f>IFERROR(__xludf.DUMMYFUNCTION("""COMPUTED_VALUE"""),"Russ Tamblyn")</f>
        <v>Russ Tamblyn</v>
      </c>
      <c r="AE3219" s="12"/>
    </row>
    <row r="3220" customHeight="1" spans="1:31">
      <c r="A3220" s="11" t="s">
        <v>748</v>
      </c>
      <c r="B3220" s="11" t="s">
        <v>11095</v>
      </c>
      <c r="C3220" s="11">
        <v>246</v>
      </c>
      <c r="D3220" s="11">
        <v>85</v>
      </c>
      <c r="E3220" s="11">
        <v>0</v>
      </c>
      <c r="F3220" s="11">
        <v>51</v>
      </c>
      <c r="G3220" s="11">
        <v>478</v>
      </c>
      <c r="H3220" s="11">
        <v>488872</v>
      </c>
      <c r="I3220" s="11" t="s">
        <v>3229</v>
      </c>
      <c r="J3220" s="11" t="s">
        <v>6952</v>
      </c>
      <c r="K3220" s="11" t="s">
        <v>15303</v>
      </c>
      <c r="L3220" s="11" t="s">
        <v>7238</v>
      </c>
      <c r="M3220" s="11" t="s">
        <v>15304</v>
      </c>
      <c r="N3220" s="11">
        <v>56923</v>
      </c>
      <c r="O3220" s="11">
        <v>700</v>
      </c>
      <c r="P3220" s="11">
        <v>2</v>
      </c>
      <c r="Q3220" s="11" t="s">
        <v>15305</v>
      </c>
      <c r="R3220" s="14" t="s">
        <v>15306</v>
      </c>
      <c r="S3220" s="11">
        <v>243</v>
      </c>
      <c r="T3220" s="11" t="s">
        <v>7242</v>
      </c>
      <c r="U3220" s="11" t="s">
        <v>3860</v>
      </c>
      <c r="V3220" s="11" t="s">
        <v>96</v>
      </c>
      <c r="W3220" s="11">
        <v>10000000</v>
      </c>
      <c r="X3220" s="11">
        <v>2001</v>
      </c>
      <c r="Y3220" s="11">
        <v>83</v>
      </c>
      <c r="Z3220" s="11">
        <v>7.3</v>
      </c>
      <c r="AA3220" s="11">
        <v>1.85</v>
      </c>
      <c r="AB3220" s="11">
        <v>0</v>
      </c>
      <c r="AC3220" s="11"/>
      <c r="AD3220" s="11" t="str">
        <f>IFERROR(__xludf.DUMMYFUNCTION("""COMPUTED_VALUE"""),"Kali Rocha")</f>
        <v>Kali Rocha</v>
      </c>
      <c r="AE3220" s="11"/>
    </row>
    <row r="3221" customHeight="1" spans="1:31">
      <c r="A3221" s="12" t="s">
        <v>30</v>
      </c>
      <c r="B3221" s="12" t="s">
        <v>13976</v>
      </c>
      <c r="C3221" s="12">
        <v>115</v>
      </c>
      <c r="D3221" s="12">
        <v>93</v>
      </c>
      <c r="E3221" s="12">
        <v>787</v>
      </c>
      <c r="F3221" s="12">
        <v>0</v>
      </c>
      <c r="G3221" s="12">
        <v>787</v>
      </c>
      <c r="H3221" s="12">
        <v>365734</v>
      </c>
      <c r="I3221" s="12" t="s">
        <v>3410</v>
      </c>
      <c r="J3221" s="12" t="s">
        <v>13976</v>
      </c>
      <c r="K3221" s="12" t="s">
        <v>15307</v>
      </c>
      <c r="L3221" s="12" t="s">
        <v>15308</v>
      </c>
      <c r="M3221" s="12" t="s">
        <v>15309</v>
      </c>
      <c r="N3221" s="12">
        <v>11487</v>
      </c>
      <c r="O3221" s="12">
        <v>883</v>
      </c>
      <c r="P3221" s="12">
        <v>0</v>
      </c>
      <c r="Q3221" s="12" t="s">
        <v>15310</v>
      </c>
      <c r="R3221" s="15" t="s">
        <v>15311</v>
      </c>
      <c r="S3221" s="12">
        <v>226</v>
      </c>
      <c r="T3221" s="12" t="s">
        <v>39</v>
      </c>
      <c r="U3221" s="12" t="s">
        <v>40</v>
      </c>
      <c r="V3221" s="12" t="s">
        <v>4831</v>
      </c>
      <c r="W3221" s="12">
        <v>10000000</v>
      </c>
      <c r="X3221" s="12">
        <v>2003</v>
      </c>
      <c r="Y3221" s="12">
        <v>96</v>
      </c>
      <c r="Z3221" s="12">
        <v>5</v>
      </c>
      <c r="AA3221" s="12">
        <v>1.66</v>
      </c>
      <c r="AB3221" s="12">
        <v>952</v>
      </c>
      <c r="AC3221" s="12"/>
      <c r="AD3221" s="12" t="str">
        <f>IFERROR(__xludf.DUMMYFUNCTION("""COMPUTED_VALUE"""),"Jessie T. Usher")</f>
        <v>Jessie T. Usher</v>
      </c>
      <c r="AE3221" s="12"/>
    </row>
    <row r="3222" customHeight="1" spans="1:31">
      <c r="A3222" s="11" t="s">
        <v>30</v>
      </c>
      <c r="B3222" s="11" t="s">
        <v>15312</v>
      </c>
      <c r="C3222" s="11">
        <v>34</v>
      </c>
      <c r="D3222" s="11">
        <v>101</v>
      </c>
      <c r="E3222" s="11">
        <v>324</v>
      </c>
      <c r="F3222" s="11">
        <v>28</v>
      </c>
      <c r="G3222" s="11">
        <v>678</v>
      </c>
      <c r="H3222" s="11">
        <v>231417</v>
      </c>
      <c r="I3222" s="11" t="s">
        <v>5968</v>
      </c>
      <c r="J3222" s="11" t="s">
        <v>6040</v>
      </c>
      <c r="K3222" s="11" t="s">
        <v>6898</v>
      </c>
      <c r="L3222" s="11" t="s">
        <v>15313</v>
      </c>
      <c r="M3222" s="11" t="s">
        <v>15314</v>
      </c>
      <c r="N3222" s="11">
        <v>1649</v>
      </c>
      <c r="O3222" s="11">
        <v>1256</v>
      </c>
      <c r="P3222" s="11">
        <v>0</v>
      </c>
      <c r="Q3222" s="11" t="s">
        <v>15315</v>
      </c>
      <c r="R3222" s="14" t="s">
        <v>15316</v>
      </c>
      <c r="S3222" s="11">
        <v>21</v>
      </c>
      <c r="T3222" s="11" t="s">
        <v>1465</v>
      </c>
      <c r="U3222" s="11" t="s">
        <v>1466</v>
      </c>
      <c r="V3222" s="13"/>
      <c r="W3222" s="11">
        <v>60000000</v>
      </c>
      <c r="X3222" s="11">
        <v>1997</v>
      </c>
      <c r="Y3222" s="11">
        <v>541</v>
      </c>
      <c r="Z3222" s="11">
        <v>6.6</v>
      </c>
      <c r="AA3222" s="11">
        <v>1.66</v>
      </c>
      <c r="AB3222" s="11">
        <v>33</v>
      </c>
      <c r="AC3222" s="11"/>
      <c r="AD3222" s="11" t="str">
        <f>IFERROR(__xludf.DUMMYFUNCTION("""COMPUTED_VALUE"""),"Ser'Darius Blain")</f>
        <v>Ser'Darius Blain</v>
      </c>
      <c r="AE3222" s="11"/>
    </row>
    <row r="3223" customHeight="1" spans="1:31">
      <c r="A3223" s="12" t="s">
        <v>30</v>
      </c>
      <c r="B3223" s="12" t="s">
        <v>5004</v>
      </c>
      <c r="C3223" s="12">
        <v>129</v>
      </c>
      <c r="D3223" s="12">
        <v>103</v>
      </c>
      <c r="E3223" s="12">
        <v>593</v>
      </c>
      <c r="F3223" s="12">
        <v>241</v>
      </c>
      <c r="G3223" s="12">
        <v>374</v>
      </c>
      <c r="H3223" s="12">
        <v>3093491</v>
      </c>
      <c r="I3223" s="12" t="s">
        <v>1544</v>
      </c>
      <c r="J3223" s="12" t="s">
        <v>15317</v>
      </c>
      <c r="K3223" s="12" t="s">
        <v>15318</v>
      </c>
      <c r="L3223" s="12" t="s">
        <v>15319</v>
      </c>
      <c r="M3223" s="12" t="s">
        <v>15320</v>
      </c>
      <c r="N3223" s="12">
        <v>8307</v>
      </c>
      <c r="O3223" s="12">
        <v>1283</v>
      </c>
      <c r="P3223" s="12">
        <v>0</v>
      </c>
      <c r="Q3223" s="12" t="s">
        <v>15321</v>
      </c>
      <c r="R3223" s="15" t="s">
        <v>15322</v>
      </c>
      <c r="S3223" s="12">
        <v>37</v>
      </c>
      <c r="T3223" s="12" t="s">
        <v>39</v>
      </c>
      <c r="U3223" s="12" t="s">
        <v>40</v>
      </c>
      <c r="V3223" s="12" t="s">
        <v>586</v>
      </c>
      <c r="W3223" s="12">
        <v>5000000</v>
      </c>
      <c r="X3223" s="12">
        <v>2014</v>
      </c>
      <c r="Y3223" s="12">
        <v>362</v>
      </c>
      <c r="Z3223" s="12">
        <v>6.6</v>
      </c>
      <c r="AA3223" s="12">
        <v>1.85</v>
      </c>
      <c r="AB3223" s="12">
        <v>5000</v>
      </c>
      <c r="AC3223" s="12"/>
      <c r="AD3223" s="12" t="str">
        <f>IFERROR(__xludf.DUMMYFUNCTION("""COMPUTED_VALUE"""),"Luke Benward")</f>
        <v>Luke Benward</v>
      </c>
      <c r="AE3223" s="12"/>
    </row>
    <row r="3224" customHeight="1" spans="1:31">
      <c r="A3224" s="11" t="s">
        <v>30</v>
      </c>
      <c r="B3224" s="11" t="s">
        <v>15323</v>
      </c>
      <c r="C3224" s="11">
        <v>22</v>
      </c>
      <c r="D3224" s="11">
        <v>101</v>
      </c>
      <c r="E3224" s="11">
        <v>163</v>
      </c>
      <c r="F3224" s="11">
        <v>34</v>
      </c>
      <c r="G3224" s="11">
        <v>837</v>
      </c>
      <c r="H3224" s="11">
        <v>244465</v>
      </c>
      <c r="I3224" s="11" t="s">
        <v>214</v>
      </c>
      <c r="J3224" s="11" t="s">
        <v>5177</v>
      </c>
      <c r="K3224" s="11" t="s">
        <v>15324</v>
      </c>
      <c r="L3224" s="11" t="s">
        <v>15325</v>
      </c>
      <c r="M3224" s="11" t="s">
        <v>15326</v>
      </c>
      <c r="N3224" s="11">
        <v>1135</v>
      </c>
      <c r="O3224" s="11">
        <v>1019</v>
      </c>
      <c r="P3224" s="11">
        <v>1</v>
      </c>
      <c r="Q3224" s="11" t="s">
        <v>15327</v>
      </c>
      <c r="R3224" s="14" t="s">
        <v>15328</v>
      </c>
      <c r="S3224" s="11">
        <v>14</v>
      </c>
      <c r="T3224" s="11" t="s">
        <v>1465</v>
      </c>
      <c r="U3224" s="11" t="s">
        <v>1466</v>
      </c>
      <c r="V3224" s="13"/>
      <c r="W3224" s="13"/>
      <c r="X3224" s="11">
        <v>1997</v>
      </c>
      <c r="Y3224" s="11">
        <v>130</v>
      </c>
      <c r="Z3224" s="11">
        <v>6.8</v>
      </c>
      <c r="AA3224" s="11">
        <v>2.35</v>
      </c>
      <c r="AB3224" s="11">
        <v>85</v>
      </c>
      <c r="AC3224" s="11"/>
      <c r="AD3224" s="11" t="str">
        <f>IFERROR(__xludf.DUMMYFUNCTION("""COMPUTED_VALUE"""),"Mitchell Ryan")</f>
        <v>Mitchell Ryan</v>
      </c>
      <c r="AE3224" s="11"/>
    </row>
    <row r="3225" customHeight="1" spans="1:31">
      <c r="A3225" s="12" t="s">
        <v>30</v>
      </c>
      <c r="B3225" s="12" t="s">
        <v>15329</v>
      </c>
      <c r="C3225" s="12">
        <v>196</v>
      </c>
      <c r="D3225" s="12">
        <v>123</v>
      </c>
      <c r="E3225" s="12">
        <v>0</v>
      </c>
      <c r="F3225" s="12">
        <v>131</v>
      </c>
      <c r="G3225" s="12">
        <v>18000</v>
      </c>
      <c r="H3225" s="12">
        <v>756452</v>
      </c>
      <c r="I3225" s="12" t="s">
        <v>7623</v>
      </c>
      <c r="J3225" s="12" t="s">
        <v>641</v>
      </c>
      <c r="K3225" s="12" t="s">
        <v>3567</v>
      </c>
      <c r="L3225" s="12" t="s">
        <v>15330</v>
      </c>
      <c r="M3225" s="12" t="s">
        <v>15331</v>
      </c>
      <c r="N3225" s="12">
        <v>27009</v>
      </c>
      <c r="O3225" s="12">
        <v>18652</v>
      </c>
      <c r="P3225" s="12">
        <v>0</v>
      </c>
      <c r="Q3225" s="12" t="s">
        <v>15332</v>
      </c>
      <c r="R3225" s="15" t="s">
        <v>15333</v>
      </c>
      <c r="S3225" s="12">
        <v>118</v>
      </c>
      <c r="T3225" s="12" t="s">
        <v>39</v>
      </c>
      <c r="U3225" s="12" t="s">
        <v>58</v>
      </c>
      <c r="V3225" s="12" t="s">
        <v>586</v>
      </c>
      <c r="W3225" s="16"/>
      <c r="X3225" s="12">
        <v>2011</v>
      </c>
      <c r="Y3225" s="12">
        <v>451</v>
      </c>
      <c r="Z3225" s="12">
        <v>6.2</v>
      </c>
      <c r="AA3225" s="12">
        <v>2.35</v>
      </c>
      <c r="AB3225" s="12">
        <v>12000</v>
      </c>
      <c r="AC3225" s="12"/>
      <c r="AD3225" s="12" t="str">
        <f>IFERROR(__xludf.DUMMYFUNCTION("""COMPUTED_VALUE"""),"Kim Director")</f>
        <v>Kim Director</v>
      </c>
      <c r="AE3225" s="12"/>
    </row>
    <row r="3226" customHeight="1" spans="1:31">
      <c r="A3226" s="11" t="s">
        <v>30</v>
      </c>
      <c r="B3226" s="11" t="s">
        <v>15334</v>
      </c>
      <c r="C3226" s="11">
        <v>73</v>
      </c>
      <c r="D3226" s="11">
        <v>111</v>
      </c>
      <c r="E3226" s="11">
        <v>24</v>
      </c>
      <c r="F3226" s="11">
        <v>83</v>
      </c>
      <c r="G3226" s="11">
        <v>374</v>
      </c>
      <c r="H3226" s="11">
        <v>228524</v>
      </c>
      <c r="I3226" s="11" t="s">
        <v>2528</v>
      </c>
      <c r="J3226" s="11" t="s">
        <v>15335</v>
      </c>
      <c r="K3226" s="11" t="s">
        <v>11354</v>
      </c>
      <c r="L3226" s="11" t="s">
        <v>15336</v>
      </c>
      <c r="M3226" s="11" t="s">
        <v>15337</v>
      </c>
      <c r="N3226" s="11">
        <v>8708</v>
      </c>
      <c r="O3226" s="11">
        <v>768</v>
      </c>
      <c r="P3226" s="11">
        <v>2</v>
      </c>
      <c r="Q3226" s="11" t="s">
        <v>15338</v>
      </c>
      <c r="R3226" s="14" t="s">
        <v>15339</v>
      </c>
      <c r="S3226" s="11">
        <v>56</v>
      </c>
      <c r="T3226" s="11" t="s">
        <v>39</v>
      </c>
      <c r="U3226" s="11" t="s">
        <v>40</v>
      </c>
      <c r="V3226" s="11" t="s">
        <v>586</v>
      </c>
      <c r="W3226" s="11">
        <v>4000000</v>
      </c>
      <c r="X3226" s="11">
        <v>2004</v>
      </c>
      <c r="Y3226" s="11">
        <v>181</v>
      </c>
      <c r="Z3226" s="11">
        <v>7.3</v>
      </c>
      <c r="AA3226" s="11">
        <v>2.35</v>
      </c>
      <c r="AB3226" s="11">
        <v>345</v>
      </c>
      <c r="AC3226" s="11"/>
      <c r="AD3226" s="11" t="str">
        <f>IFERROR(__xludf.DUMMYFUNCTION("""COMPUTED_VALUE"""),"Erica Leerhsen")</f>
        <v>Erica Leerhsen</v>
      </c>
      <c r="AE3226" s="11"/>
    </row>
    <row r="3227" customHeight="1" spans="1:31">
      <c r="A3227" s="12" t="s">
        <v>30</v>
      </c>
      <c r="B3227" s="12" t="s">
        <v>15340</v>
      </c>
      <c r="C3227" s="12">
        <v>43</v>
      </c>
      <c r="D3227" s="12">
        <v>86</v>
      </c>
      <c r="E3227" s="12">
        <v>302</v>
      </c>
      <c r="F3227" s="12">
        <v>428</v>
      </c>
      <c r="G3227" s="12">
        <v>893</v>
      </c>
      <c r="H3227" s="12">
        <v>226792</v>
      </c>
      <c r="I3227" s="12" t="s">
        <v>15341</v>
      </c>
      <c r="J3227" s="12" t="s">
        <v>3491</v>
      </c>
      <c r="K3227" s="12" t="s">
        <v>15342</v>
      </c>
      <c r="L3227" s="12" t="s">
        <v>8993</v>
      </c>
      <c r="M3227" s="12" t="s">
        <v>15343</v>
      </c>
      <c r="N3227" s="12">
        <v>3080</v>
      </c>
      <c r="O3227" s="12">
        <v>3049</v>
      </c>
      <c r="P3227" s="12">
        <v>2</v>
      </c>
      <c r="Q3227" s="12" t="s">
        <v>15344</v>
      </c>
      <c r="R3227" s="15" t="s">
        <v>15345</v>
      </c>
      <c r="S3227" s="12">
        <v>44</v>
      </c>
      <c r="T3227" s="12" t="s">
        <v>39</v>
      </c>
      <c r="U3227" s="12" t="s">
        <v>58</v>
      </c>
      <c r="V3227" s="12" t="s">
        <v>586</v>
      </c>
      <c r="W3227" s="12">
        <v>10000000</v>
      </c>
      <c r="X3227" s="12">
        <v>2001</v>
      </c>
      <c r="Y3227" s="12">
        <v>798</v>
      </c>
      <c r="Z3227" s="12">
        <v>6.2</v>
      </c>
      <c r="AA3227" s="12">
        <v>1.85</v>
      </c>
      <c r="AB3227" s="12">
        <v>117</v>
      </c>
      <c r="AC3227" s="12"/>
      <c r="AD3227" s="12" t="str">
        <f>IFERROR(__xludf.DUMMYFUNCTION("""COMPUTED_VALUE"""),"Kurt Loder")</f>
        <v>Kurt Loder</v>
      </c>
      <c r="AE3227" s="12"/>
    </row>
    <row r="3228" customHeight="1" spans="1:31">
      <c r="A3228" s="11" t="s">
        <v>30</v>
      </c>
      <c r="B3228" s="11" t="s">
        <v>15346</v>
      </c>
      <c r="C3228" s="11">
        <v>129</v>
      </c>
      <c r="D3228" s="11">
        <v>99</v>
      </c>
      <c r="E3228" s="11">
        <v>800</v>
      </c>
      <c r="F3228" s="11">
        <v>334</v>
      </c>
      <c r="G3228" s="11">
        <v>49000</v>
      </c>
      <c r="H3228" s="11">
        <v>221210</v>
      </c>
      <c r="I3228" s="11" t="s">
        <v>2528</v>
      </c>
      <c r="J3228" s="11" t="s">
        <v>811</v>
      </c>
      <c r="K3228" s="11" t="s">
        <v>74</v>
      </c>
      <c r="L3228" s="11" t="s">
        <v>13739</v>
      </c>
      <c r="M3228" s="11" t="s">
        <v>15347</v>
      </c>
      <c r="N3228" s="11">
        <v>31964</v>
      </c>
      <c r="O3228" s="11">
        <v>50542</v>
      </c>
      <c r="P3228" s="11">
        <v>1</v>
      </c>
      <c r="Q3228" s="11" t="s">
        <v>15348</v>
      </c>
      <c r="R3228" s="14" t="s">
        <v>15349</v>
      </c>
      <c r="S3228" s="11">
        <v>129</v>
      </c>
      <c r="T3228" s="11" t="s">
        <v>39</v>
      </c>
      <c r="U3228" s="11" t="s">
        <v>40</v>
      </c>
      <c r="V3228" s="11" t="s">
        <v>586</v>
      </c>
      <c r="W3228" s="13"/>
      <c r="X3228" s="11">
        <v>2009</v>
      </c>
      <c r="Y3228" s="11">
        <v>640</v>
      </c>
      <c r="Z3228" s="11">
        <v>6.9</v>
      </c>
      <c r="AA3228" s="11">
        <v>1.85</v>
      </c>
      <c r="AB3228" s="11">
        <v>0</v>
      </c>
      <c r="AC3228" s="11"/>
      <c r="AD3228" s="11" t="str">
        <f>IFERROR(__xludf.DUMMYFUNCTION("""COMPUTED_VALUE"""),"Rachel True")</f>
        <v>Rachel True</v>
      </c>
      <c r="AE3228" s="11"/>
    </row>
    <row r="3229" customHeight="1" spans="1:31">
      <c r="A3229" s="12" t="s">
        <v>30</v>
      </c>
      <c r="B3229" s="12" t="s">
        <v>14432</v>
      </c>
      <c r="C3229" s="12">
        <v>200</v>
      </c>
      <c r="D3229" s="12">
        <v>90</v>
      </c>
      <c r="E3229" s="12">
        <v>76</v>
      </c>
      <c r="F3229" s="12">
        <v>345</v>
      </c>
      <c r="G3229" s="12">
        <v>798</v>
      </c>
      <c r="H3229" s="12">
        <v>136432</v>
      </c>
      <c r="I3229" s="12" t="s">
        <v>12839</v>
      </c>
      <c r="J3229" s="12" t="s">
        <v>15342</v>
      </c>
      <c r="K3229" s="12" t="s">
        <v>964</v>
      </c>
      <c r="L3229" s="12" t="s">
        <v>15350</v>
      </c>
      <c r="M3229" s="12" t="s">
        <v>15351</v>
      </c>
      <c r="N3229" s="12">
        <v>31890</v>
      </c>
      <c r="O3229" s="12">
        <v>2217</v>
      </c>
      <c r="P3229" s="12">
        <v>0</v>
      </c>
      <c r="Q3229" s="12" t="s">
        <v>15352</v>
      </c>
      <c r="R3229" s="15" t="s">
        <v>15353</v>
      </c>
      <c r="S3229" s="12">
        <v>194</v>
      </c>
      <c r="T3229" s="12" t="s">
        <v>39</v>
      </c>
      <c r="U3229" s="12" t="s">
        <v>58</v>
      </c>
      <c r="V3229" s="12" t="s">
        <v>586</v>
      </c>
      <c r="W3229" s="12">
        <v>5000000</v>
      </c>
      <c r="X3229" s="12">
        <v>2006</v>
      </c>
      <c r="Y3229" s="12">
        <v>769</v>
      </c>
      <c r="Z3229" s="12">
        <v>6.6</v>
      </c>
      <c r="AA3229" s="12">
        <v>1.85</v>
      </c>
      <c r="AB3229" s="12">
        <v>0</v>
      </c>
      <c r="AC3229" s="12"/>
      <c r="AD3229" s="12" t="str">
        <f>IFERROR(__xludf.DUMMYFUNCTION("""COMPUTED_VALUE"""),"Brenda Strong")</f>
        <v>Brenda Strong</v>
      </c>
      <c r="AE3229" s="12"/>
    </row>
    <row r="3230" customHeight="1" spans="1:31">
      <c r="A3230" s="11" t="s">
        <v>30</v>
      </c>
      <c r="B3230" s="11" t="s">
        <v>14273</v>
      </c>
      <c r="C3230" s="11">
        <v>79</v>
      </c>
      <c r="D3230" s="11">
        <v>82</v>
      </c>
      <c r="E3230" s="11">
        <v>216</v>
      </c>
      <c r="F3230" s="11">
        <v>885</v>
      </c>
      <c r="G3230" s="11">
        <v>1000</v>
      </c>
      <c r="H3230" s="11">
        <v>131617</v>
      </c>
      <c r="I3230" s="11" t="s">
        <v>4075</v>
      </c>
      <c r="J3230" s="11" t="s">
        <v>309</v>
      </c>
      <c r="K3230" s="11" t="s">
        <v>15354</v>
      </c>
      <c r="L3230" s="11" t="s">
        <v>6791</v>
      </c>
      <c r="M3230" s="11" t="s">
        <v>15355</v>
      </c>
      <c r="N3230" s="11">
        <v>9971</v>
      </c>
      <c r="O3230" s="11">
        <v>5761</v>
      </c>
      <c r="P3230" s="11">
        <v>1</v>
      </c>
      <c r="Q3230" s="11" t="s">
        <v>15356</v>
      </c>
      <c r="R3230" s="14" t="s">
        <v>15357</v>
      </c>
      <c r="S3230" s="11">
        <v>119</v>
      </c>
      <c r="T3230" s="11" t="s">
        <v>39</v>
      </c>
      <c r="U3230" s="11" t="s">
        <v>40</v>
      </c>
      <c r="V3230" s="11" t="s">
        <v>586</v>
      </c>
      <c r="W3230" s="11">
        <v>10000000</v>
      </c>
      <c r="X3230" s="11">
        <v>2005</v>
      </c>
      <c r="Y3230" s="11">
        <v>922</v>
      </c>
      <c r="Z3230" s="11">
        <v>6.3</v>
      </c>
      <c r="AA3230" s="11">
        <v>1.85</v>
      </c>
      <c r="AB3230" s="11">
        <v>661</v>
      </c>
      <c r="AC3230" s="11"/>
      <c r="AD3230" s="11" t="str">
        <f>IFERROR(__xludf.DUMMYFUNCTION("""COMPUTED_VALUE"""),"Sierra McCormick")</f>
        <v>Sierra McCormick</v>
      </c>
      <c r="AE3230" s="11"/>
    </row>
    <row r="3231" customHeight="1" spans="1:31">
      <c r="A3231" s="12" t="s">
        <v>30</v>
      </c>
      <c r="B3231" s="12" t="s">
        <v>15358</v>
      </c>
      <c r="C3231" s="12">
        <v>112</v>
      </c>
      <c r="D3231" s="12">
        <v>110</v>
      </c>
      <c r="E3231" s="12">
        <v>26</v>
      </c>
      <c r="F3231" s="12">
        <v>146</v>
      </c>
      <c r="G3231" s="12">
        <v>17000</v>
      </c>
      <c r="H3231" s="12">
        <v>152857</v>
      </c>
      <c r="I3231" s="12" t="s">
        <v>3410</v>
      </c>
      <c r="J3231" s="12" t="s">
        <v>559</v>
      </c>
      <c r="K3231" s="12" t="s">
        <v>14042</v>
      </c>
      <c r="L3231" s="12" t="s">
        <v>15359</v>
      </c>
      <c r="M3231" s="12" t="s">
        <v>15360</v>
      </c>
      <c r="N3231" s="12">
        <v>19979</v>
      </c>
      <c r="O3231" s="12">
        <v>18236</v>
      </c>
      <c r="P3231" s="12">
        <v>3</v>
      </c>
      <c r="Q3231" s="12" t="s">
        <v>15361</v>
      </c>
      <c r="R3231" s="15" t="s">
        <v>15362</v>
      </c>
      <c r="S3231" s="12">
        <v>56</v>
      </c>
      <c r="T3231" s="12" t="s">
        <v>39</v>
      </c>
      <c r="U3231" s="12" t="s">
        <v>58</v>
      </c>
      <c r="V3231" s="12" t="s">
        <v>586</v>
      </c>
      <c r="W3231" s="16"/>
      <c r="X3231" s="12">
        <v>2010</v>
      </c>
      <c r="Y3231" s="12">
        <v>793</v>
      </c>
      <c r="Z3231" s="12">
        <v>7</v>
      </c>
      <c r="AA3231" s="12">
        <v>1.85</v>
      </c>
      <c r="AB3231" s="12">
        <v>0</v>
      </c>
      <c r="AC3231" s="12"/>
      <c r="AD3231" s="12" t="str">
        <f>IFERROR(__xludf.DUMMYFUNCTION("""COMPUTED_VALUE"""),"Hutch Dano")</f>
        <v>Hutch Dano</v>
      </c>
      <c r="AE3231" s="12"/>
    </row>
    <row r="3232" customHeight="1" spans="1:31">
      <c r="A3232" s="11" t="s">
        <v>30</v>
      </c>
      <c r="B3232" s="11" t="s">
        <v>15363</v>
      </c>
      <c r="C3232" s="11">
        <v>17</v>
      </c>
      <c r="D3232" s="11">
        <v>83</v>
      </c>
      <c r="E3232" s="11">
        <v>3</v>
      </c>
      <c r="F3232" s="11">
        <v>421</v>
      </c>
      <c r="G3232" s="11">
        <v>16000</v>
      </c>
      <c r="H3232" s="11">
        <v>126247</v>
      </c>
      <c r="I3232" s="11" t="s">
        <v>1009</v>
      </c>
      <c r="J3232" s="11" t="s">
        <v>201</v>
      </c>
      <c r="K3232" s="11" t="s">
        <v>10329</v>
      </c>
      <c r="L3232" s="11" t="s">
        <v>1586</v>
      </c>
      <c r="M3232" s="11" t="s">
        <v>15364</v>
      </c>
      <c r="N3232" s="11">
        <v>24958</v>
      </c>
      <c r="O3232" s="11">
        <v>17469</v>
      </c>
      <c r="P3232" s="11">
        <v>0</v>
      </c>
      <c r="Q3232" s="11" t="s">
        <v>15365</v>
      </c>
      <c r="R3232" s="14" t="s">
        <v>15366</v>
      </c>
      <c r="S3232" s="11">
        <v>103</v>
      </c>
      <c r="T3232" s="11" t="s">
        <v>39</v>
      </c>
      <c r="U3232" s="11" t="s">
        <v>40</v>
      </c>
      <c r="V3232" s="11" t="s">
        <v>96</v>
      </c>
      <c r="W3232" s="11">
        <v>6200000</v>
      </c>
      <c r="X3232" s="11">
        <v>1994</v>
      </c>
      <c r="Y3232" s="11">
        <v>542</v>
      </c>
      <c r="Z3232" s="11">
        <v>3.3</v>
      </c>
      <c r="AA3232" s="11">
        <v>1.85</v>
      </c>
      <c r="AB3232" s="11">
        <v>321</v>
      </c>
      <c r="AC3232" s="11"/>
      <c r="AD3232" s="11" t="str">
        <f>IFERROR(__xludf.DUMMYFUNCTION("""COMPUTED_VALUE"""),"Jason Spevack")</f>
        <v>Jason Spevack</v>
      </c>
      <c r="AE3232" s="11"/>
    </row>
    <row r="3233" customHeight="1" spans="1:31">
      <c r="A3233" s="12" t="s">
        <v>30</v>
      </c>
      <c r="B3233" s="12" t="s">
        <v>7058</v>
      </c>
      <c r="C3233" s="12">
        <v>20</v>
      </c>
      <c r="D3233" s="12">
        <v>128</v>
      </c>
      <c r="E3233" s="12">
        <v>11</v>
      </c>
      <c r="F3233" s="12">
        <v>553</v>
      </c>
      <c r="G3233" s="12">
        <v>665</v>
      </c>
      <c r="H3233" s="12">
        <v>82739</v>
      </c>
      <c r="I3233" s="12" t="s">
        <v>3410</v>
      </c>
      <c r="J3233" s="12" t="s">
        <v>4625</v>
      </c>
      <c r="K3233" s="12" t="s">
        <v>4505</v>
      </c>
      <c r="L3233" s="12" t="s">
        <v>15367</v>
      </c>
      <c r="M3233" s="12" t="s">
        <v>15368</v>
      </c>
      <c r="N3233" s="12">
        <v>465</v>
      </c>
      <c r="O3233" s="12">
        <v>4579</v>
      </c>
      <c r="P3233" s="12">
        <v>0</v>
      </c>
      <c r="Q3233" s="12" t="s">
        <v>15369</v>
      </c>
      <c r="R3233" s="15" t="s">
        <v>15370</v>
      </c>
      <c r="S3233" s="12">
        <v>3</v>
      </c>
      <c r="T3233" s="12" t="s">
        <v>39</v>
      </c>
      <c r="U3233" s="12" t="s">
        <v>40</v>
      </c>
      <c r="V3233" s="12" t="s">
        <v>41</v>
      </c>
      <c r="W3233" s="16"/>
      <c r="X3233" s="12">
        <v>2010</v>
      </c>
      <c r="Y3233" s="12">
        <v>664</v>
      </c>
      <c r="Z3233" s="12">
        <v>6.7</v>
      </c>
      <c r="AA3233" s="12">
        <v>2.35</v>
      </c>
      <c r="AB3233" s="12">
        <v>503</v>
      </c>
      <c r="AC3233" s="12"/>
      <c r="AD3233" s="12" t="str">
        <f>IFERROR(__xludf.DUMMYFUNCTION("""COMPUTED_VALUE"""),"Nicole Ari Parker")</f>
        <v>Nicole Ari Parker</v>
      </c>
      <c r="AE3233" s="12"/>
    </row>
    <row r="3234" customHeight="1" spans="1:31">
      <c r="A3234" s="11" t="s">
        <v>30</v>
      </c>
      <c r="B3234" s="11" t="s">
        <v>15371</v>
      </c>
      <c r="C3234" s="11">
        <v>12</v>
      </c>
      <c r="D3234" s="11">
        <v>125</v>
      </c>
      <c r="E3234" s="11">
        <v>21</v>
      </c>
      <c r="F3234" s="11">
        <v>36</v>
      </c>
      <c r="G3234" s="11">
        <v>78</v>
      </c>
      <c r="H3234" s="11">
        <v>169379</v>
      </c>
      <c r="I3234" s="11" t="s">
        <v>1962</v>
      </c>
      <c r="J3234" s="11" t="s">
        <v>15372</v>
      </c>
      <c r="K3234" s="11" t="s">
        <v>15373</v>
      </c>
      <c r="L3234" s="11" t="s">
        <v>15374</v>
      </c>
      <c r="M3234" s="11" t="s">
        <v>15375</v>
      </c>
      <c r="N3234" s="11">
        <v>683</v>
      </c>
      <c r="O3234" s="11">
        <v>221</v>
      </c>
      <c r="P3234" s="11">
        <v>1</v>
      </c>
      <c r="Q3234" s="13"/>
      <c r="R3234" s="14" t="s">
        <v>15376</v>
      </c>
      <c r="S3234" s="11">
        <v>3</v>
      </c>
      <c r="T3234" s="11" t="s">
        <v>2779</v>
      </c>
      <c r="U3234" s="11" t="s">
        <v>2914</v>
      </c>
      <c r="V3234" s="11" t="s">
        <v>586</v>
      </c>
      <c r="W3234" s="11">
        <v>10000000</v>
      </c>
      <c r="X3234" s="11">
        <v>2013</v>
      </c>
      <c r="Y3234" s="11">
        <v>61</v>
      </c>
      <c r="Z3234" s="11">
        <v>6.2</v>
      </c>
      <c r="AA3234" s="13"/>
      <c r="AB3234" s="11">
        <v>874</v>
      </c>
      <c r="AC3234" s="11"/>
      <c r="AD3234" s="11" t="str">
        <f>IFERROR(__xludf.DUMMYFUNCTION("""COMPUTED_VALUE"""),"Nina Hartley")</f>
        <v>Nina Hartley</v>
      </c>
      <c r="AE3234" s="11"/>
    </row>
    <row r="3235" customHeight="1" spans="1:31">
      <c r="A3235" s="12" t="s">
        <v>30</v>
      </c>
      <c r="B3235" s="12" t="s">
        <v>8672</v>
      </c>
      <c r="C3235" s="12">
        <v>59</v>
      </c>
      <c r="D3235" s="12">
        <v>97</v>
      </c>
      <c r="E3235" s="12">
        <v>53</v>
      </c>
      <c r="F3235" s="12">
        <v>499</v>
      </c>
      <c r="G3235" s="12">
        <v>962</v>
      </c>
      <c r="H3235" s="16"/>
      <c r="I3235" s="12" t="s">
        <v>1415</v>
      </c>
      <c r="J3235" s="12" t="s">
        <v>1978</v>
      </c>
      <c r="K3235" s="12" t="s">
        <v>15377</v>
      </c>
      <c r="L3235" s="12" t="s">
        <v>6871</v>
      </c>
      <c r="M3235" s="12" t="s">
        <v>15378</v>
      </c>
      <c r="N3235" s="12">
        <v>2041</v>
      </c>
      <c r="O3235" s="12">
        <v>3465</v>
      </c>
      <c r="P3235" s="12">
        <v>0</v>
      </c>
      <c r="Q3235" s="12" t="s">
        <v>15379</v>
      </c>
      <c r="R3235" s="15" t="s">
        <v>15380</v>
      </c>
      <c r="S3235" s="12">
        <v>18</v>
      </c>
      <c r="T3235" s="12" t="s">
        <v>39</v>
      </c>
      <c r="U3235" s="12" t="s">
        <v>40</v>
      </c>
      <c r="V3235" s="12" t="s">
        <v>41</v>
      </c>
      <c r="W3235" s="12">
        <v>10000000</v>
      </c>
      <c r="X3235" s="12">
        <v>2014</v>
      </c>
      <c r="Y3235" s="12">
        <v>545</v>
      </c>
      <c r="Z3235" s="12">
        <v>6.5</v>
      </c>
      <c r="AA3235" s="12">
        <v>2.35</v>
      </c>
      <c r="AB3235" s="12">
        <v>0</v>
      </c>
      <c r="AC3235" s="12"/>
      <c r="AD3235" s="12" t="str">
        <f>IFERROR(__xludf.DUMMYFUNCTION("""COMPUTED_VALUE"""),"Joss Ackland")</f>
        <v>Joss Ackland</v>
      </c>
      <c r="AE3235" s="12"/>
    </row>
    <row r="3236" customHeight="1" spans="1:31">
      <c r="A3236" s="11" t="s">
        <v>30</v>
      </c>
      <c r="B3236" s="11" t="s">
        <v>15381</v>
      </c>
      <c r="C3236" s="11">
        <v>29</v>
      </c>
      <c r="D3236" s="11">
        <v>86</v>
      </c>
      <c r="E3236" s="11">
        <v>71</v>
      </c>
      <c r="F3236" s="11">
        <v>385</v>
      </c>
      <c r="G3236" s="11">
        <v>795</v>
      </c>
      <c r="H3236" s="11">
        <v>15447</v>
      </c>
      <c r="I3236" s="11" t="s">
        <v>1672</v>
      </c>
      <c r="J3236" s="11" t="s">
        <v>724</v>
      </c>
      <c r="K3236" s="11" t="s">
        <v>15382</v>
      </c>
      <c r="L3236" s="11" t="s">
        <v>9259</v>
      </c>
      <c r="M3236" s="11" t="s">
        <v>15383</v>
      </c>
      <c r="N3236" s="11">
        <v>2971</v>
      </c>
      <c r="O3236" s="11">
        <v>2655</v>
      </c>
      <c r="P3236" s="11">
        <v>0</v>
      </c>
      <c r="Q3236" s="11" t="s">
        <v>15384</v>
      </c>
      <c r="R3236" s="14" t="s">
        <v>15385</v>
      </c>
      <c r="S3236" s="11">
        <v>85</v>
      </c>
      <c r="T3236" s="11" t="s">
        <v>39</v>
      </c>
      <c r="U3236" s="11" t="s">
        <v>40</v>
      </c>
      <c r="V3236" s="11" t="s">
        <v>586</v>
      </c>
      <c r="W3236" s="11">
        <v>10000000</v>
      </c>
      <c r="X3236" s="11">
        <v>1997</v>
      </c>
      <c r="Y3236" s="11">
        <v>474</v>
      </c>
      <c r="Z3236" s="11">
        <v>3.5</v>
      </c>
      <c r="AA3236" s="11">
        <v>1.85</v>
      </c>
      <c r="AB3236" s="11">
        <v>89</v>
      </c>
      <c r="AC3236" s="11"/>
      <c r="AD3236" s="11" t="str">
        <f>IFERROR(__xludf.DUMMYFUNCTION("""COMPUTED_VALUE"""),"Danny Pino")</f>
        <v>Danny Pino</v>
      </c>
      <c r="AE3236" s="11"/>
    </row>
    <row r="3237" customHeight="1" spans="1:31">
      <c r="A3237" s="12" t="s">
        <v>30</v>
      </c>
      <c r="B3237" s="12" t="s">
        <v>15386</v>
      </c>
      <c r="C3237" s="12">
        <v>23</v>
      </c>
      <c r="D3237" s="12">
        <v>91</v>
      </c>
      <c r="E3237" s="12">
        <v>7</v>
      </c>
      <c r="F3237" s="12">
        <v>875</v>
      </c>
      <c r="G3237" s="12">
        <v>12000</v>
      </c>
      <c r="H3237" s="12">
        <v>19348</v>
      </c>
      <c r="I3237" s="12" t="s">
        <v>2528</v>
      </c>
      <c r="J3237" s="12" t="s">
        <v>301</v>
      </c>
      <c r="K3237" s="12" t="s">
        <v>723</v>
      </c>
      <c r="L3237" s="12" t="s">
        <v>2497</v>
      </c>
      <c r="M3237" s="12" t="s">
        <v>15387</v>
      </c>
      <c r="N3237" s="12">
        <v>2941</v>
      </c>
      <c r="O3237" s="12">
        <v>16118</v>
      </c>
      <c r="P3237" s="12">
        <v>2</v>
      </c>
      <c r="Q3237" s="12" t="s">
        <v>15388</v>
      </c>
      <c r="R3237" s="15" t="s">
        <v>15389</v>
      </c>
      <c r="S3237" s="12">
        <v>11</v>
      </c>
      <c r="T3237" s="12" t="s">
        <v>39</v>
      </c>
      <c r="U3237" s="12" t="s">
        <v>40</v>
      </c>
      <c r="V3237" s="12" t="s">
        <v>41</v>
      </c>
      <c r="W3237" s="12">
        <v>10000000</v>
      </c>
      <c r="X3237" s="12">
        <v>2009</v>
      </c>
      <c r="Y3237" s="12">
        <v>3000</v>
      </c>
      <c r="Z3237" s="12">
        <v>5.5</v>
      </c>
      <c r="AA3237" s="12">
        <v>2.35</v>
      </c>
      <c r="AB3237" s="12">
        <v>370</v>
      </c>
      <c r="AC3237" s="12"/>
      <c r="AD3237" s="12" t="str">
        <f>IFERROR(__xludf.DUMMYFUNCTION("""COMPUTED_VALUE"""),"Joey Lawrence")</f>
        <v>Joey Lawrence</v>
      </c>
      <c r="AE3237" s="12"/>
    </row>
    <row r="3238" customHeight="1" spans="1:31">
      <c r="A3238" s="11" t="s">
        <v>30</v>
      </c>
      <c r="B3238" s="11" t="s">
        <v>15390</v>
      </c>
      <c r="C3238" s="11">
        <v>22</v>
      </c>
      <c r="D3238" s="11">
        <v>90</v>
      </c>
      <c r="E3238" s="11">
        <v>0</v>
      </c>
      <c r="F3238" s="11">
        <v>617</v>
      </c>
      <c r="G3238" s="11">
        <v>806</v>
      </c>
      <c r="H3238" s="11">
        <v>100503</v>
      </c>
      <c r="I3238" s="11" t="s">
        <v>1681</v>
      </c>
      <c r="J3238" s="11" t="s">
        <v>2115</v>
      </c>
      <c r="K3238" s="11" t="s">
        <v>1408</v>
      </c>
      <c r="L3238" s="11" t="s">
        <v>6862</v>
      </c>
      <c r="M3238" s="11" t="s">
        <v>15391</v>
      </c>
      <c r="N3238" s="11">
        <v>7759</v>
      </c>
      <c r="O3238" s="11">
        <v>3124</v>
      </c>
      <c r="P3238" s="11">
        <v>2</v>
      </c>
      <c r="Q3238" s="11" t="s">
        <v>15392</v>
      </c>
      <c r="R3238" s="14" t="s">
        <v>15393</v>
      </c>
      <c r="S3238" s="11">
        <v>20</v>
      </c>
      <c r="T3238" s="11" t="s">
        <v>39</v>
      </c>
      <c r="U3238" s="11" t="s">
        <v>40</v>
      </c>
      <c r="V3238" s="11" t="s">
        <v>586</v>
      </c>
      <c r="W3238" s="11">
        <v>8000000</v>
      </c>
      <c r="X3238" s="11">
        <v>2009</v>
      </c>
      <c r="Y3238" s="11">
        <v>690</v>
      </c>
      <c r="Z3238" s="11">
        <v>5.9</v>
      </c>
      <c r="AA3238" s="11">
        <v>1.85</v>
      </c>
      <c r="AB3238" s="11">
        <v>1000</v>
      </c>
      <c r="AC3238" s="11"/>
      <c r="AD3238" s="11" t="str">
        <f>IFERROR(__xludf.DUMMYFUNCTION("""COMPUTED_VALUE"""),"Firass Dirani")</f>
        <v>Firass Dirani</v>
      </c>
      <c r="AE3238" s="11"/>
    </row>
    <row r="3239" customHeight="1" spans="1:31">
      <c r="A3239" s="12" t="s">
        <v>30</v>
      </c>
      <c r="B3239" s="12" t="s">
        <v>15394</v>
      </c>
      <c r="C3239" s="12">
        <v>43</v>
      </c>
      <c r="D3239" s="12">
        <v>90</v>
      </c>
      <c r="E3239" s="12">
        <v>8</v>
      </c>
      <c r="F3239" s="12">
        <v>495</v>
      </c>
      <c r="G3239" s="12">
        <v>1000</v>
      </c>
      <c r="H3239" s="12">
        <v>92900</v>
      </c>
      <c r="I3239" s="12" t="s">
        <v>2528</v>
      </c>
      <c r="J3239" s="12" t="s">
        <v>1260</v>
      </c>
      <c r="K3239" s="12" t="s">
        <v>3491</v>
      </c>
      <c r="L3239" s="12" t="s">
        <v>2520</v>
      </c>
      <c r="M3239" s="12" t="s">
        <v>15395</v>
      </c>
      <c r="N3239" s="12">
        <v>3662</v>
      </c>
      <c r="O3239" s="12">
        <v>3146</v>
      </c>
      <c r="P3239" s="12">
        <v>1</v>
      </c>
      <c r="Q3239" s="12" t="s">
        <v>15396</v>
      </c>
      <c r="R3239" s="15" t="s">
        <v>15397</v>
      </c>
      <c r="S3239" s="12">
        <v>23</v>
      </c>
      <c r="T3239" s="12" t="s">
        <v>39</v>
      </c>
      <c r="U3239" s="12" t="s">
        <v>40</v>
      </c>
      <c r="V3239" s="12" t="s">
        <v>41</v>
      </c>
      <c r="W3239" s="12">
        <v>5000000</v>
      </c>
      <c r="X3239" s="12">
        <v>2009</v>
      </c>
      <c r="Y3239" s="12">
        <v>893</v>
      </c>
      <c r="Z3239" s="12">
        <v>4.7</v>
      </c>
      <c r="AA3239" s="12">
        <v>1.85</v>
      </c>
      <c r="AB3239" s="12">
        <v>546</v>
      </c>
      <c r="AC3239" s="12"/>
      <c r="AD3239" s="12" t="str">
        <f>IFERROR(__xludf.DUMMYFUNCTION("""COMPUTED_VALUE"""),"Cinda McCain")</f>
        <v>Cinda McCain</v>
      </c>
      <c r="AE3239" s="12"/>
    </row>
    <row r="3240" customHeight="1" spans="1:31">
      <c r="A3240" s="11" t="s">
        <v>30</v>
      </c>
      <c r="B3240" s="11" t="s">
        <v>14003</v>
      </c>
      <c r="C3240" s="11">
        <v>16</v>
      </c>
      <c r="D3240" s="11">
        <v>94</v>
      </c>
      <c r="E3240" s="11">
        <v>50</v>
      </c>
      <c r="F3240" s="11">
        <v>422</v>
      </c>
      <c r="G3240" s="11">
        <v>835</v>
      </c>
      <c r="H3240" s="11">
        <v>140987</v>
      </c>
      <c r="I3240" s="11" t="s">
        <v>3410</v>
      </c>
      <c r="J3240" s="11" t="s">
        <v>4842</v>
      </c>
      <c r="K3240" s="11" t="s">
        <v>11893</v>
      </c>
      <c r="L3240" s="11" t="s">
        <v>15398</v>
      </c>
      <c r="M3240" s="11" t="s">
        <v>15399</v>
      </c>
      <c r="N3240" s="11">
        <v>361</v>
      </c>
      <c r="O3240" s="11">
        <v>2519</v>
      </c>
      <c r="P3240" s="11">
        <v>3</v>
      </c>
      <c r="Q3240" s="13"/>
      <c r="R3240" s="14" t="s">
        <v>15400</v>
      </c>
      <c r="S3240" s="11">
        <v>4</v>
      </c>
      <c r="T3240" s="11" t="s">
        <v>39</v>
      </c>
      <c r="U3240" s="11" t="s">
        <v>269</v>
      </c>
      <c r="V3240" s="11" t="s">
        <v>96</v>
      </c>
      <c r="W3240" s="13"/>
      <c r="X3240" s="11">
        <v>2008</v>
      </c>
      <c r="Y3240" s="11">
        <v>632</v>
      </c>
      <c r="Z3240" s="11">
        <v>4.2</v>
      </c>
      <c r="AA3240" s="11">
        <v>1.85</v>
      </c>
      <c r="AB3240" s="11">
        <v>58</v>
      </c>
      <c r="AC3240" s="11"/>
      <c r="AD3240" s="11" t="str">
        <f>IFERROR(__xludf.DUMMYFUNCTION("""COMPUTED_VALUE"""),"Angelo Anthony Pizza")</f>
        <v>Angelo Anthony Pizza</v>
      </c>
      <c r="AE3240" s="11"/>
    </row>
    <row r="3241" customHeight="1" spans="1:31">
      <c r="A3241" s="12" t="s">
        <v>30</v>
      </c>
      <c r="B3241" s="12" t="s">
        <v>15401</v>
      </c>
      <c r="C3241" s="12">
        <v>84</v>
      </c>
      <c r="D3241" s="12">
        <v>112</v>
      </c>
      <c r="E3241" s="12">
        <v>93</v>
      </c>
      <c r="F3241" s="12">
        <v>51</v>
      </c>
      <c r="G3241" s="12">
        <v>147</v>
      </c>
      <c r="H3241" s="16"/>
      <c r="I3241" s="12" t="s">
        <v>1924</v>
      </c>
      <c r="J3241" s="12" t="s">
        <v>15402</v>
      </c>
      <c r="K3241" s="12" t="s">
        <v>15403</v>
      </c>
      <c r="L3241" s="12" t="s">
        <v>15404</v>
      </c>
      <c r="M3241" s="12" t="s">
        <v>15405</v>
      </c>
      <c r="N3241" s="12">
        <v>5637</v>
      </c>
      <c r="O3241" s="12">
        <v>285</v>
      </c>
      <c r="P3241" s="12">
        <v>0</v>
      </c>
      <c r="Q3241" s="12" t="s">
        <v>15406</v>
      </c>
      <c r="R3241" s="15" t="s">
        <v>15407</v>
      </c>
      <c r="S3241" s="12">
        <v>57</v>
      </c>
      <c r="T3241" s="12" t="s">
        <v>39</v>
      </c>
      <c r="U3241" s="12" t="s">
        <v>371</v>
      </c>
      <c r="V3241" s="12" t="s">
        <v>586</v>
      </c>
      <c r="W3241" s="12">
        <v>10000000</v>
      </c>
      <c r="X3241" s="12">
        <v>2015</v>
      </c>
      <c r="Y3241" s="12">
        <v>52</v>
      </c>
      <c r="Z3241" s="12">
        <v>5.2</v>
      </c>
      <c r="AA3241" s="12">
        <v>2.39</v>
      </c>
      <c r="AB3241" s="12">
        <v>0</v>
      </c>
      <c r="AC3241" s="12"/>
      <c r="AD3241" s="12" t="str">
        <f>IFERROR(__xludf.DUMMYFUNCTION("""COMPUTED_VALUE"""),"Akie Kotabe")</f>
        <v>Akie Kotabe</v>
      </c>
      <c r="AE3241" s="12"/>
    </row>
    <row r="3242" customHeight="1" spans="1:31">
      <c r="A3242" s="11" t="s">
        <v>30</v>
      </c>
      <c r="B3242" s="11" t="s">
        <v>14877</v>
      </c>
      <c r="C3242" s="11">
        <v>4</v>
      </c>
      <c r="D3242" s="11">
        <v>85</v>
      </c>
      <c r="E3242" s="11">
        <v>7</v>
      </c>
      <c r="F3242" s="11">
        <v>240</v>
      </c>
      <c r="G3242" s="11">
        <v>706</v>
      </c>
      <c r="H3242" s="13"/>
      <c r="I3242" s="11" t="s">
        <v>3090</v>
      </c>
      <c r="J3242" s="11" t="s">
        <v>5265</v>
      </c>
      <c r="K3242" s="11" t="s">
        <v>7156</v>
      </c>
      <c r="L3242" s="11" t="s">
        <v>15408</v>
      </c>
      <c r="M3242" s="11" t="s">
        <v>15409</v>
      </c>
      <c r="N3242" s="11">
        <v>1097</v>
      </c>
      <c r="O3242" s="11">
        <v>1936</v>
      </c>
      <c r="P3242" s="11">
        <v>2</v>
      </c>
      <c r="Q3242" s="11" t="s">
        <v>15410</v>
      </c>
      <c r="R3242" s="14" t="s">
        <v>15411</v>
      </c>
      <c r="S3242" s="11">
        <v>10</v>
      </c>
      <c r="T3242" s="11" t="s">
        <v>39</v>
      </c>
      <c r="U3242" s="11" t="s">
        <v>40</v>
      </c>
      <c r="V3242" s="11" t="s">
        <v>586</v>
      </c>
      <c r="W3242" s="13"/>
      <c r="X3242" s="11">
        <v>2009</v>
      </c>
      <c r="Y3242" s="11">
        <v>405</v>
      </c>
      <c r="Z3242" s="11">
        <v>5.2</v>
      </c>
      <c r="AA3242" s="11">
        <v>1.85</v>
      </c>
      <c r="AB3242" s="11">
        <v>402</v>
      </c>
      <c r="AC3242" s="11"/>
      <c r="AD3242" s="11" t="str">
        <f>IFERROR(__xludf.DUMMYFUNCTION("""COMPUTED_VALUE"""),"Jason Priestley")</f>
        <v>Jason Priestley</v>
      </c>
      <c r="AE3242" s="11"/>
    </row>
    <row r="3243" customHeight="1" spans="1:31">
      <c r="A3243" s="12" t="s">
        <v>30</v>
      </c>
      <c r="B3243" s="12" t="s">
        <v>15412</v>
      </c>
      <c r="C3243" s="12">
        <v>20</v>
      </c>
      <c r="D3243" s="12">
        <v>93</v>
      </c>
      <c r="E3243" s="12">
        <v>7</v>
      </c>
      <c r="F3243" s="12">
        <v>611</v>
      </c>
      <c r="G3243" s="12">
        <v>906</v>
      </c>
      <c r="H3243" s="12">
        <v>5561</v>
      </c>
      <c r="I3243" s="12" t="s">
        <v>1681</v>
      </c>
      <c r="J3243" s="12" t="s">
        <v>15413</v>
      </c>
      <c r="K3243" s="12" t="s">
        <v>15414</v>
      </c>
      <c r="L3243" s="12" t="s">
        <v>2470</v>
      </c>
      <c r="M3243" s="12" t="s">
        <v>15415</v>
      </c>
      <c r="N3243" s="12">
        <v>4995</v>
      </c>
      <c r="O3243" s="12">
        <v>4725</v>
      </c>
      <c r="P3243" s="12">
        <v>1</v>
      </c>
      <c r="Q3243" s="12" t="s">
        <v>15416</v>
      </c>
      <c r="R3243" s="15" t="s">
        <v>15417</v>
      </c>
      <c r="S3243" s="12">
        <v>34</v>
      </c>
      <c r="T3243" s="12" t="s">
        <v>39</v>
      </c>
      <c r="U3243" s="12" t="s">
        <v>40</v>
      </c>
      <c r="V3243" s="12" t="s">
        <v>41</v>
      </c>
      <c r="W3243" s="12">
        <v>10000000</v>
      </c>
      <c r="X3243" s="12">
        <v>2007</v>
      </c>
      <c r="Y3243" s="12">
        <v>848</v>
      </c>
      <c r="Z3243" s="12">
        <v>3.9</v>
      </c>
      <c r="AA3243" s="12">
        <v>1.85</v>
      </c>
      <c r="AB3243" s="12">
        <v>160</v>
      </c>
      <c r="AC3243" s="12"/>
      <c r="AD3243" s="12" t="str">
        <f>IFERROR(__xludf.DUMMYFUNCTION("""COMPUTED_VALUE"""),"Geneviève Bujold")</f>
        <v>Geneviève Bujold</v>
      </c>
      <c r="AE3243" s="12"/>
    </row>
    <row r="3244" customHeight="1" spans="1:31">
      <c r="A3244" s="11" t="s">
        <v>30</v>
      </c>
      <c r="B3244" s="11" t="s">
        <v>15418</v>
      </c>
      <c r="C3244" s="11">
        <v>71</v>
      </c>
      <c r="D3244" s="11">
        <v>104</v>
      </c>
      <c r="E3244" s="11">
        <v>275</v>
      </c>
      <c r="F3244" s="11">
        <v>102</v>
      </c>
      <c r="G3244" s="11">
        <v>439</v>
      </c>
      <c r="H3244" s="11">
        <v>3607</v>
      </c>
      <c r="I3244" s="11" t="s">
        <v>2215</v>
      </c>
      <c r="J3244" s="11" t="s">
        <v>2360</v>
      </c>
      <c r="K3244" s="11" t="s">
        <v>15419</v>
      </c>
      <c r="L3244" s="11" t="s">
        <v>15420</v>
      </c>
      <c r="M3244" s="11" t="s">
        <v>15421</v>
      </c>
      <c r="N3244" s="11">
        <v>22753</v>
      </c>
      <c r="O3244" s="11">
        <v>940</v>
      </c>
      <c r="P3244" s="11">
        <v>4</v>
      </c>
      <c r="Q3244" s="11" t="s">
        <v>15422</v>
      </c>
      <c r="R3244" s="14" t="s">
        <v>15423</v>
      </c>
      <c r="S3244" s="11">
        <v>94</v>
      </c>
      <c r="T3244" s="11" t="s">
        <v>39</v>
      </c>
      <c r="U3244" s="11" t="s">
        <v>3572</v>
      </c>
      <c r="V3244" s="11" t="s">
        <v>586</v>
      </c>
      <c r="W3244" s="11">
        <v>10000000</v>
      </c>
      <c r="X3244" s="11">
        <v>2008</v>
      </c>
      <c r="Y3244" s="11">
        <v>161</v>
      </c>
      <c r="Z3244" s="11">
        <v>6.1</v>
      </c>
      <c r="AA3244" s="11">
        <v>2.35</v>
      </c>
      <c r="AB3244" s="11">
        <v>0</v>
      </c>
      <c r="AC3244" s="11"/>
      <c r="AD3244" s="11" t="str">
        <f>IFERROR(__xludf.DUMMYFUNCTION("""COMPUTED_VALUE"""),"George C. Scott")</f>
        <v>George C. Scott</v>
      </c>
      <c r="AE3244" s="11"/>
    </row>
    <row r="3245" customHeight="1" spans="1:31">
      <c r="A3245" s="12" t="s">
        <v>30</v>
      </c>
      <c r="B3245" s="12" t="s">
        <v>15424</v>
      </c>
      <c r="C3245" s="12">
        <v>102</v>
      </c>
      <c r="D3245" s="12">
        <v>94</v>
      </c>
      <c r="E3245" s="12">
        <v>10</v>
      </c>
      <c r="F3245" s="12">
        <v>72</v>
      </c>
      <c r="G3245" s="12">
        <v>122</v>
      </c>
      <c r="H3245" s="16"/>
      <c r="I3245" s="12" t="s">
        <v>5544</v>
      </c>
      <c r="J3245" s="12" t="s">
        <v>15425</v>
      </c>
      <c r="K3245" s="12" t="s">
        <v>15426</v>
      </c>
      <c r="L3245" s="12" t="s">
        <v>15427</v>
      </c>
      <c r="M3245" s="12" t="s">
        <v>15428</v>
      </c>
      <c r="N3245" s="12">
        <v>11950</v>
      </c>
      <c r="O3245" s="12">
        <v>375</v>
      </c>
      <c r="P3245" s="12">
        <v>0</v>
      </c>
      <c r="Q3245" s="12" t="s">
        <v>15429</v>
      </c>
      <c r="R3245" s="15" t="s">
        <v>15430</v>
      </c>
      <c r="S3245" s="12">
        <v>89</v>
      </c>
      <c r="T3245" s="12" t="s">
        <v>39</v>
      </c>
      <c r="U3245" s="12" t="s">
        <v>371</v>
      </c>
      <c r="V3245" s="12" t="s">
        <v>586</v>
      </c>
      <c r="W3245" s="16"/>
      <c r="X3245" s="12">
        <v>2010</v>
      </c>
      <c r="Y3245" s="12">
        <v>109</v>
      </c>
      <c r="Z3245" s="12">
        <v>5.8</v>
      </c>
      <c r="AA3245" s="12">
        <v>2.35</v>
      </c>
      <c r="AB3245" s="12">
        <v>0</v>
      </c>
      <c r="AC3245" s="12"/>
      <c r="AD3245" s="12" t="str">
        <f>IFERROR(__xludf.DUMMYFUNCTION("""COMPUTED_VALUE"""),"Nina Hoss")</f>
        <v>Nina Hoss</v>
      </c>
      <c r="AE3245" s="12"/>
    </row>
    <row r="3246" customHeight="1" spans="1:31">
      <c r="A3246" s="11" t="s">
        <v>30</v>
      </c>
      <c r="B3246" s="11" t="s">
        <v>15431</v>
      </c>
      <c r="C3246" s="11">
        <v>27</v>
      </c>
      <c r="D3246" s="11">
        <v>85</v>
      </c>
      <c r="E3246" s="11">
        <v>0</v>
      </c>
      <c r="F3246" s="11">
        <v>742</v>
      </c>
      <c r="G3246" s="11">
        <v>11000</v>
      </c>
      <c r="H3246" s="11">
        <v>70527</v>
      </c>
      <c r="I3246" s="11" t="s">
        <v>2528</v>
      </c>
      <c r="J3246" s="11" t="s">
        <v>1950</v>
      </c>
      <c r="K3246" s="11" t="s">
        <v>904</v>
      </c>
      <c r="L3246" s="11" t="s">
        <v>1640</v>
      </c>
      <c r="M3246" s="11" t="s">
        <v>15432</v>
      </c>
      <c r="N3246" s="11">
        <v>7690</v>
      </c>
      <c r="O3246" s="11">
        <v>14656</v>
      </c>
      <c r="P3246" s="11">
        <v>6</v>
      </c>
      <c r="Q3246" s="11" t="s">
        <v>15433</v>
      </c>
      <c r="R3246" s="14" t="s">
        <v>15434</v>
      </c>
      <c r="S3246" s="11">
        <v>68</v>
      </c>
      <c r="T3246" s="11" t="s">
        <v>39</v>
      </c>
      <c r="U3246" s="11" t="s">
        <v>40</v>
      </c>
      <c r="V3246" s="11" t="s">
        <v>586</v>
      </c>
      <c r="W3246" s="11">
        <v>6500000</v>
      </c>
      <c r="X3246" s="11">
        <v>2004</v>
      </c>
      <c r="Y3246" s="11">
        <v>826</v>
      </c>
      <c r="Z3246" s="11">
        <v>6.7</v>
      </c>
      <c r="AA3246" s="11">
        <v>1.85</v>
      </c>
      <c r="AB3246" s="11">
        <v>376</v>
      </c>
      <c r="AC3246" s="11"/>
      <c r="AD3246" s="11" t="str">
        <f>IFERROR(__xludf.DUMMYFUNCTION("""COMPUTED_VALUE"""),"Homayoun Ershadi")</f>
        <v>Homayoun Ershadi</v>
      </c>
      <c r="AE3246" s="11"/>
    </row>
    <row r="3247" customHeight="1" spans="1:31">
      <c r="A3247" s="12" t="s">
        <v>30</v>
      </c>
      <c r="B3247" s="12" t="s">
        <v>5487</v>
      </c>
      <c r="C3247" s="12">
        <v>62</v>
      </c>
      <c r="D3247" s="12">
        <v>99</v>
      </c>
      <c r="E3247" s="12">
        <v>71</v>
      </c>
      <c r="F3247" s="12">
        <v>126</v>
      </c>
      <c r="G3247" s="12">
        <v>298</v>
      </c>
      <c r="H3247" s="16"/>
      <c r="I3247" s="12" t="s">
        <v>895</v>
      </c>
      <c r="J3247" s="12" t="s">
        <v>15435</v>
      </c>
      <c r="K3247" s="12" t="s">
        <v>15436</v>
      </c>
      <c r="L3247" s="12" t="s">
        <v>15437</v>
      </c>
      <c r="M3247" s="12" t="s">
        <v>15438</v>
      </c>
      <c r="N3247" s="12">
        <v>11285</v>
      </c>
      <c r="O3247" s="12">
        <v>934</v>
      </c>
      <c r="P3247" s="12">
        <v>0</v>
      </c>
      <c r="Q3247" s="12" t="s">
        <v>15439</v>
      </c>
      <c r="R3247" s="15" t="s">
        <v>15440</v>
      </c>
      <c r="S3247" s="12">
        <v>82</v>
      </c>
      <c r="T3247" s="12" t="s">
        <v>39</v>
      </c>
      <c r="U3247" s="12" t="s">
        <v>40</v>
      </c>
      <c r="V3247" s="12" t="s">
        <v>41</v>
      </c>
      <c r="W3247" s="12">
        <v>10000000</v>
      </c>
      <c r="X3247" s="12">
        <v>2007</v>
      </c>
      <c r="Y3247" s="12">
        <v>258</v>
      </c>
      <c r="Z3247" s="12">
        <v>5.7</v>
      </c>
      <c r="AA3247" s="12">
        <v>2.35</v>
      </c>
      <c r="AB3247" s="12">
        <v>509</v>
      </c>
      <c r="AC3247" s="12"/>
      <c r="AD3247" s="12" t="str">
        <f>IFERROR(__xludf.DUMMYFUNCTION("""COMPUTED_VALUE"""),"Yuri Lowenthal")</f>
        <v>Yuri Lowenthal</v>
      </c>
      <c r="AE3247" s="12"/>
    </row>
    <row r="3248" customHeight="1" spans="1:31">
      <c r="A3248" s="11" t="s">
        <v>30</v>
      </c>
      <c r="B3248" s="11" t="s">
        <v>15441</v>
      </c>
      <c r="C3248" s="11">
        <v>5</v>
      </c>
      <c r="D3248" s="11">
        <v>91</v>
      </c>
      <c r="E3248" s="11">
        <v>8</v>
      </c>
      <c r="F3248" s="11">
        <v>111</v>
      </c>
      <c r="G3248" s="11">
        <v>485</v>
      </c>
      <c r="H3248" s="13"/>
      <c r="I3248" s="11" t="s">
        <v>6200</v>
      </c>
      <c r="J3248" s="11" t="s">
        <v>15442</v>
      </c>
      <c r="K3248" s="11" t="s">
        <v>15443</v>
      </c>
      <c r="L3248" s="11" t="s">
        <v>15444</v>
      </c>
      <c r="M3248" s="11" t="s">
        <v>15445</v>
      </c>
      <c r="N3248" s="11">
        <v>1642</v>
      </c>
      <c r="O3248" s="11">
        <v>964</v>
      </c>
      <c r="P3248" s="11">
        <v>0</v>
      </c>
      <c r="Q3248" s="13"/>
      <c r="R3248" s="14" t="s">
        <v>15446</v>
      </c>
      <c r="S3248" s="11">
        <v>11</v>
      </c>
      <c r="T3248" s="11" t="s">
        <v>39</v>
      </c>
      <c r="U3248" s="11" t="s">
        <v>269</v>
      </c>
      <c r="V3248" s="11" t="s">
        <v>41</v>
      </c>
      <c r="W3248" s="11">
        <v>10000000</v>
      </c>
      <c r="X3248" s="11">
        <v>2011</v>
      </c>
      <c r="Y3248" s="11">
        <v>152</v>
      </c>
      <c r="Z3248" s="11">
        <v>4.5</v>
      </c>
      <c r="AA3248" s="11">
        <v>2.35</v>
      </c>
      <c r="AB3248" s="11">
        <v>0</v>
      </c>
      <c r="AC3248" s="11"/>
      <c r="AD3248" s="11" t="str">
        <f>IFERROR(__xludf.DUMMYFUNCTION("""COMPUTED_VALUE"""),"Cam Clarke")</f>
        <v>Cam Clarke</v>
      </c>
      <c r="AE3248" s="11"/>
    </row>
    <row r="3249" customHeight="1" spans="1:31">
      <c r="A3249" s="12" t="s">
        <v>30</v>
      </c>
      <c r="B3249" s="12" t="s">
        <v>15447</v>
      </c>
      <c r="C3249" s="12">
        <v>76</v>
      </c>
      <c r="D3249" s="12">
        <v>117</v>
      </c>
      <c r="E3249" s="12">
        <v>13</v>
      </c>
      <c r="F3249" s="12">
        <v>415</v>
      </c>
      <c r="G3249" s="12">
        <v>5000</v>
      </c>
      <c r="H3249" s="16"/>
      <c r="I3249" s="12" t="s">
        <v>4075</v>
      </c>
      <c r="J3249" s="12" t="s">
        <v>1850</v>
      </c>
      <c r="K3249" s="12" t="s">
        <v>4373</v>
      </c>
      <c r="L3249" s="12" t="s">
        <v>15448</v>
      </c>
      <c r="M3249" s="12" t="s">
        <v>15449</v>
      </c>
      <c r="N3249" s="12">
        <v>9585</v>
      </c>
      <c r="O3249" s="12">
        <v>7637</v>
      </c>
      <c r="P3249" s="12">
        <v>1</v>
      </c>
      <c r="Q3249" s="12" t="s">
        <v>15450</v>
      </c>
      <c r="R3249" s="15" t="s">
        <v>15451</v>
      </c>
      <c r="S3249" s="12">
        <v>38</v>
      </c>
      <c r="T3249" s="12" t="s">
        <v>39</v>
      </c>
      <c r="U3249" s="12" t="s">
        <v>58</v>
      </c>
      <c r="V3249" s="12" t="s">
        <v>586</v>
      </c>
      <c r="W3249" s="12">
        <v>6000000</v>
      </c>
      <c r="X3249" s="12">
        <v>2008</v>
      </c>
      <c r="Y3249" s="12">
        <v>2000</v>
      </c>
      <c r="Z3249" s="12">
        <v>6.9</v>
      </c>
      <c r="AA3249" s="12">
        <v>2.35</v>
      </c>
      <c r="AB3249" s="12">
        <v>0</v>
      </c>
      <c r="AC3249" s="12"/>
      <c r="AD3249" s="12" t="str">
        <f>IFERROR(__xludf.DUMMYFUNCTION("""COMPUTED_VALUE"""),"Phil Vischer")</f>
        <v>Phil Vischer</v>
      </c>
      <c r="AE3249" s="12"/>
    </row>
    <row r="3250" customHeight="1" spans="1:31">
      <c r="A3250" s="11" t="s">
        <v>30</v>
      </c>
      <c r="B3250" s="11" t="s">
        <v>15452</v>
      </c>
      <c r="C3250" s="11">
        <v>8</v>
      </c>
      <c r="D3250" s="11">
        <v>85</v>
      </c>
      <c r="E3250" s="11">
        <v>0</v>
      </c>
      <c r="F3250" s="11">
        <v>196</v>
      </c>
      <c r="G3250" s="11">
        <v>1000</v>
      </c>
      <c r="H3250" s="13"/>
      <c r="I3250" s="11" t="s">
        <v>15453</v>
      </c>
      <c r="J3250" s="11" t="s">
        <v>7568</v>
      </c>
      <c r="K3250" s="11" t="s">
        <v>1736</v>
      </c>
      <c r="L3250" s="11" t="s">
        <v>15454</v>
      </c>
      <c r="M3250" s="11" t="s">
        <v>15455</v>
      </c>
      <c r="N3250" s="11">
        <v>162</v>
      </c>
      <c r="O3250" s="11">
        <v>2259</v>
      </c>
      <c r="P3250" s="11">
        <v>0</v>
      </c>
      <c r="Q3250" s="13"/>
      <c r="R3250" s="14" t="s">
        <v>15456</v>
      </c>
      <c r="S3250" s="11">
        <v>2</v>
      </c>
      <c r="T3250" s="11" t="s">
        <v>39</v>
      </c>
      <c r="U3250" s="11" t="s">
        <v>5695</v>
      </c>
      <c r="V3250" s="13"/>
      <c r="W3250" s="11">
        <v>10000000</v>
      </c>
      <c r="X3250" s="11">
        <v>2014</v>
      </c>
      <c r="Y3250" s="11">
        <v>618</v>
      </c>
      <c r="Z3250" s="11">
        <v>4.8</v>
      </c>
      <c r="AA3250" s="13"/>
      <c r="AB3250" s="11">
        <v>186</v>
      </c>
      <c r="AC3250" s="11"/>
      <c r="AD3250" s="11" t="str">
        <f>IFERROR(__xludf.DUMMYFUNCTION("""COMPUTED_VALUE"""),"The Edge")</f>
        <v>The Edge</v>
      </c>
      <c r="AE3250" s="11"/>
    </row>
    <row r="3251" customHeight="1" spans="1:31">
      <c r="A3251" s="12" t="s">
        <v>30</v>
      </c>
      <c r="B3251" s="12" t="s">
        <v>13941</v>
      </c>
      <c r="C3251" s="12">
        <v>75</v>
      </c>
      <c r="D3251" s="12">
        <v>106</v>
      </c>
      <c r="E3251" s="12">
        <v>261</v>
      </c>
      <c r="F3251" s="12">
        <v>520</v>
      </c>
      <c r="G3251" s="12">
        <v>30000</v>
      </c>
      <c r="H3251" s="16"/>
      <c r="I3251" s="12" t="s">
        <v>3397</v>
      </c>
      <c r="J3251" s="12" t="s">
        <v>15457</v>
      </c>
      <c r="K3251" s="12" t="s">
        <v>853</v>
      </c>
      <c r="L3251" s="12" t="s">
        <v>1997</v>
      </c>
      <c r="M3251" s="12" t="s">
        <v>15458</v>
      </c>
      <c r="N3251" s="12">
        <v>3075</v>
      </c>
      <c r="O3251" s="12">
        <v>31325</v>
      </c>
      <c r="P3251" s="12">
        <v>2</v>
      </c>
      <c r="Q3251" s="12" t="s">
        <v>15459</v>
      </c>
      <c r="R3251" s="15" t="s">
        <v>15460</v>
      </c>
      <c r="S3251" s="12">
        <v>31</v>
      </c>
      <c r="T3251" s="12" t="s">
        <v>39</v>
      </c>
      <c r="U3251" s="12" t="s">
        <v>768</v>
      </c>
      <c r="V3251" s="12" t="s">
        <v>586</v>
      </c>
      <c r="W3251" s="12">
        <v>10000000</v>
      </c>
      <c r="X3251" s="12">
        <v>2008</v>
      </c>
      <c r="Y3251" s="12">
        <v>744</v>
      </c>
      <c r="Z3251" s="12">
        <v>6.3</v>
      </c>
      <c r="AA3251" s="12">
        <v>2.35</v>
      </c>
      <c r="AB3251" s="12">
        <v>589</v>
      </c>
      <c r="AC3251" s="12"/>
      <c r="AD3251" s="12" t="str">
        <f>IFERROR(__xludf.DUMMYFUNCTION("""COMPUTED_VALUE"""),"Larry Mullen Jr.")</f>
        <v>Larry Mullen Jr.</v>
      </c>
      <c r="AE3251" s="12"/>
    </row>
    <row r="3252" customHeight="1" spans="1:31">
      <c r="A3252" s="11" t="s">
        <v>30</v>
      </c>
      <c r="B3252" s="11" t="s">
        <v>15461</v>
      </c>
      <c r="C3252" s="11">
        <v>66</v>
      </c>
      <c r="D3252" s="11">
        <v>81</v>
      </c>
      <c r="E3252" s="11">
        <v>4</v>
      </c>
      <c r="F3252" s="11">
        <v>5</v>
      </c>
      <c r="G3252" s="11">
        <v>63</v>
      </c>
      <c r="H3252" s="11">
        <v>11835</v>
      </c>
      <c r="I3252" s="11" t="s">
        <v>1415</v>
      </c>
      <c r="J3252" s="11" t="s">
        <v>8645</v>
      </c>
      <c r="K3252" s="11" t="s">
        <v>15462</v>
      </c>
      <c r="L3252" s="11" t="s">
        <v>15463</v>
      </c>
      <c r="M3252" s="11" t="s">
        <v>15464</v>
      </c>
      <c r="N3252" s="11">
        <v>1920</v>
      </c>
      <c r="O3252" s="11">
        <v>81</v>
      </c>
      <c r="P3252" s="11">
        <v>0</v>
      </c>
      <c r="Q3252" s="11" t="s">
        <v>15465</v>
      </c>
      <c r="R3252" s="14" t="s">
        <v>15466</v>
      </c>
      <c r="S3252" s="11">
        <v>7</v>
      </c>
      <c r="T3252" s="11" t="s">
        <v>8650</v>
      </c>
      <c r="U3252" s="11" t="s">
        <v>8651</v>
      </c>
      <c r="V3252" s="13"/>
      <c r="W3252" s="11">
        <v>10000000</v>
      </c>
      <c r="X3252" s="11">
        <v>2013</v>
      </c>
      <c r="Y3252" s="11">
        <v>10</v>
      </c>
      <c r="Z3252" s="11">
        <v>6.9</v>
      </c>
      <c r="AA3252" s="11">
        <v>2.35</v>
      </c>
      <c r="AB3252" s="11">
        <v>1000</v>
      </c>
      <c r="AC3252" s="11"/>
      <c r="AD3252" s="11" t="str">
        <f>IFERROR(__xludf.DUMMYFUNCTION("""COMPUTED_VALUE"""),"Adrian Paul")</f>
        <v>Adrian Paul</v>
      </c>
      <c r="AE3252" s="11"/>
    </row>
    <row r="3253" customHeight="1" spans="1:31">
      <c r="A3253" s="12" t="s">
        <v>30</v>
      </c>
      <c r="B3253" s="12" t="s">
        <v>15467</v>
      </c>
      <c r="C3253" s="12">
        <v>31</v>
      </c>
      <c r="D3253" s="12">
        <v>100</v>
      </c>
      <c r="E3253" s="12">
        <v>98</v>
      </c>
      <c r="F3253" s="12">
        <v>95</v>
      </c>
      <c r="G3253" s="12">
        <v>1000</v>
      </c>
      <c r="H3253" s="16"/>
      <c r="I3253" s="12" t="s">
        <v>15468</v>
      </c>
      <c r="J3253" s="12" t="s">
        <v>15469</v>
      </c>
      <c r="K3253" s="12" t="s">
        <v>190</v>
      </c>
      <c r="L3253" s="12" t="s">
        <v>15470</v>
      </c>
      <c r="M3253" s="12" t="s">
        <v>15471</v>
      </c>
      <c r="N3253" s="12">
        <v>1250</v>
      </c>
      <c r="O3253" s="12">
        <v>2227</v>
      </c>
      <c r="P3253" s="12">
        <v>1</v>
      </c>
      <c r="Q3253" s="12" t="s">
        <v>15472</v>
      </c>
      <c r="R3253" s="15" t="s">
        <v>15473</v>
      </c>
      <c r="S3253" s="12">
        <v>16</v>
      </c>
      <c r="T3253" s="12" t="s">
        <v>39</v>
      </c>
      <c r="U3253" s="12" t="s">
        <v>58</v>
      </c>
      <c r="V3253" s="12" t="s">
        <v>41</v>
      </c>
      <c r="W3253" s="12">
        <v>10000000</v>
      </c>
      <c r="X3253" s="12">
        <v>2010</v>
      </c>
      <c r="Y3253" s="12">
        <v>891</v>
      </c>
      <c r="Z3253" s="12">
        <v>5.4</v>
      </c>
      <c r="AA3253" s="12">
        <v>2.35</v>
      </c>
      <c r="AB3253" s="12">
        <v>695</v>
      </c>
      <c r="AC3253" s="12"/>
      <c r="AD3253" s="12" t="str">
        <f>IFERROR(__xludf.DUMMYFUNCTION("""COMPUTED_VALUE"""),"Adam Copeland")</f>
        <v>Adam Copeland</v>
      </c>
      <c r="AE3253" s="12"/>
    </row>
    <row r="3254" customHeight="1" spans="1:31">
      <c r="A3254" s="11" t="s">
        <v>30</v>
      </c>
      <c r="B3254" s="11" t="s">
        <v>4676</v>
      </c>
      <c r="C3254" s="11">
        <v>32</v>
      </c>
      <c r="D3254" s="11">
        <v>90</v>
      </c>
      <c r="E3254" s="11">
        <v>110</v>
      </c>
      <c r="F3254" s="11">
        <v>711</v>
      </c>
      <c r="G3254" s="11">
        <v>1000</v>
      </c>
      <c r="H3254" s="13"/>
      <c r="I3254" s="11" t="s">
        <v>4178</v>
      </c>
      <c r="J3254" s="11" t="s">
        <v>392</v>
      </c>
      <c r="K3254" s="11" t="s">
        <v>1189</v>
      </c>
      <c r="L3254" s="11" t="s">
        <v>10595</v>
      </c>
      <c r="M3254" s="11" t="s">
        <v>15474</v>
      </c>
      <c r="N3254" s="11">
        <v>5715</v>
      </c>
      <c r="O3254" s="11">
        <v>3937</v>
      </c>
      <c r="P3254" s="11">
        <v>4</v>
      </c>
      <c r="Q3254" s="11" t="s">
        <v>15475</v>
      </c>
      <c r="R3254" s="14" t="s">
        <v>15476</v>
      </c>
      <c r="S3254" s="11">
        <v>60</v>
      </c>
      <c r="T3254" s="11" t="s">
        <v>39</v>
      </c>
      <c r="U3254" s="11" t="s">
        <v>40</v>
      </c>
      <c r="V3254" s="11" t="s">
        <v>586</v>
      </c>
      <c r="W3254" s="11">
        <v>10000000</v>
      </c>
      <c r="X3254" s="11">
        <v>2009</v>
      </c>
      <c r="Y3254" s="11">
        <v>898</v>
      </c>
      <c r="Z3254" s="11">
        <v>3.8</v>
      </c>
      <c r="AA3254" s="11">
        <v>1.85</v>
      </c>
      <c r="AB3254" s="11">
        <v>486</v>
      </c>
      <c r="AC3254" s="11"/>
      <c r="AD3254" s="11" t="str">
        <f>IFERROR(__xludf.DUMMYFUNCTION("""COMPUTED_VALUE"""),"Kevin Gage")</f>
        <v>Kevin Gage</v>
      </c>
      <c r="AE3254" s="11"/>
    </row>
    <row r="3255" customHeight="1" spans="1:31">
      <c r="A3255" s="12" t="s">
        <v>30</v>
      </c>
      <c r="B3255" s="12" t="s">
        <v>15477</v>
      </c>
      <c r="C3255" s="12">
        <v>17</v>
      </c>
      <c r="D3255" s="12">
        <v>116</v>
      </c>
      <c r="E3255" s="12">
        <v>24</v>
      </c>
      <c r="F3255" s="12">
        <v>46</v>
      </c>
      <c r="G3255" s="12">
        <v>183</v>
      </c>
      <c r="H3255" s="16"/>
      <c r="I3255" s="12" t="s">
        <v>214</v>
      </c>
      <c r="J3255" s="12" t="s">
        <v>14641</v>
      </c>
      <c r="K3255" s="12" t="s">
        <v>15478</v>
      </c>
      <c r="L3255" s="12" t="s">
        <v>15479</v>
      </c>
      <c r="M3255" s="12" t="s">
        <v>15480</v>
      </c>
      <c r="N3255" s="12">
        <v>2223</v>
      </c>
      <c r="O3255" s="12">
        <v>428</v>
      </c>
      <c r="P3255" s="12">
        <v>2</v>
      </c>
      <c r="Q3255" s="12" t="s">
        <v>15481</v>
      </c>
      <c r="R3255" s="15" t="s">
        <v>15482</v>
      </c>
      <c r="S3255" s="12">
        <v>27</v>
      </c>
      <c r="T3255" s="12" t="s">
        <v>39</v>
      </c>
      <c r="U3255" s="12" t="s">
        <v>269</v>
      </c>
      <c r="V3255" s="12" t="s">
        <v>586</v>
      </c>
      <c r="W3255" s="12">
        <v>10000000</v>
      </c>
      <c r="X3255" s="12">
        <v>2007</v>
      </c>
      <c r="Y3255" s="12">
        <v>136</v>
      </c>
      <c r="Z3255" s="12">
        <v>7</v>
      </c>
      <c r="AA3255" s="12">
        <v>2.35</v>
      </c>
      <c r="AB3255" s="12">
        <v>746</v>
      </c>
      <c r="AC3255" s="12"/>
      <c r="AD3255" s="12" t="str">
        <f>IFERROR(__xludf.DUMMYFUNCTION("""COMPUTED_VALUE"""),"Keith Allen")</f>
        <v>Keith Allen</v>
      </c>
      <c r="AE3255" s="12"/>
    </row>
    <row r="3256" customHeight="1" spans="1:31">
      <c r="A3256" s="11" t="s">
        <v>30</v>
      </c>
      <c r="B3256" s="11" t="s">
        <v>15483</v>
      </c>
      <c r="C3256" s="11">
        <v>4</v>
      </c>
      <c r="D3256" s="11">
        <v>84</v>
      </c>
      <c r="E3256" s="11">
        <v>5</v>
      </c>
      <c r="F3256" s="11">
        <v>482</v>
      </c>
      <c r="G3256" s="11">
        <v>670</v>
      </c>
      <c r="H3256" s="13"/>
      <c r="I3256" s="11" t="s">
        <v>1672</v>
      </c>
      <c r="J3256" s="11" t="s">
        <v>10620</v>
      </c>
      <c r="K3256" s="11" t="s">
        <v>15484</v>
      </c>
      <c r="L3256" s="11" t="s">
        <v>5591</v>
      </c>
      <c r="M3256" s="11" t="s">
        <v>15485</v>
      </c>
      <c r="N3256" s="11">
        <v>553</v>
      </c>
      <c r="O3256" s="11">
        <v>2739</v>
      </c>
      <c r="P3256" s="11">
        <v>5</v>
      </c>
      <c r="Q3256" s="13"/>
      <c r="R3256" s="14" t="s">
        <v>15486</v>
      </c>
      <c r="S3256" s="11">
        <v>3</v>
      </c>
      <c r="T3256" s="11" t="s">
        <v>39</v>
      </c>
      <c r="U3256" s="11" t="s">
        <v>40</v>
      </c>
      <c r="V3256" s="11" t="s">
        <v>41</v>
      </c>
      <c r="W3256" s="11">
        <v>10000000</v>
      </c>
      <c r="X3256" s="11">
        <v>2010</v>
      </c>
      <c r="Y3256" s="11">
        <v>608</v>
      </c>
      <c r="Z3256" s="11">
        <v>5.2</v>
      </c>
      <c r="AA3256" s="13"/>
      <c r="AB3256" s="11">
        <v>119</v>
      </c>
      <c r="AC3256" s="11"/>
      <c r="AD3256" s="11" t="str">
        <f>IFERROR(__xludf.DUMMYFUNCTION("""COMPUTED_VALUE"""),"Sandra Nelson")</f>
        <v>Sandra Nelson</v>
      </c>
      <c r="AE3256" s="11"/>
    </row>
    <row r="3257" customHeight="1" spans="1:31">
      <c r="A3257" s="12" t="s">
        <v>30</v>
      </c>
      <c r="B3257" s="12" t="s">
        <v>8608</v>
      </c>
      <c r="C3257" s="12">
        <v>152</v>
      </c>
      <c r="D3257" s="12">
        <v>135</v>
      </c>
      <c r="E3257" s="12">
        <v>419</v>
      </c>
      <c r="F3257" s="12">
        <v>7</v>
      </c>
      <c r="G3257" s="12">
        <v>398</v>
      </c>
      <c r="H3257" s="12">
        <v>128486</v>
      </c>
      <c r="I3257" s="12" t="s">
        <v>4675</v>
      </c>
      <c r="J3257" s="12" t="s">
        <v>6893</v>
      </c>
      <c r="K3257" s="12" t="s">
        <v>13566</v>
      </c>
      <c r="L3257" s="12" t="s">
        <v>15487</v>
      </c>
      <c r="M3257" s="12" t="s">
        <v>15488</v>
      </c>
      <c r="N3257" s="12">
        <v>26156</v>
      </c>
      <c r="O3257" s="12">
        <v>569</v>
      </c>
      <c r="P3257" s="12">
        <v>0</v>
      </c>
      <c r="Q3257" s="12" t="s">
        <v>15489</v>
      </c>
      <c r="R3257" s="15" t="s">
        <v>15490</v>
      </c>
      <c r="S3257" s="12">
        <v>74</v>
      </c>
      <c r="T3257" s="12" t="s">
        <v>12701</v>
      </c>
      <c r="U3257" s="12" t="s">
        <v>5695</v>
      </c>
      <c r="V3257" s="12" t="s">
        <v>586</v>
      </c>
      <c r="W3257" s="12">
        <v>10000000</v>
      </c>
      <c r="X3257" s="12">
        <v>2008</v>
      </c>
      <c r="Y3257" s="12">
        <v>149</v>
      </c>
      <c r="Z3257" s="12">
        <v>7.3</v>
      </c>
      <c r="AA3257" s="12">
        <v>2.35</v>
      </c>
      <c r="AB3257" s="12">
        <v>0</v>
      </c>
      <c r="AC3257" s="12"/>
      <c r="AD3257" s="12" t="str">
        <f>IFERROR(__xludf.DUMMYFUNCTION("""COMPUTED_VALUE"""),"Kyla Pratt")</f>
        <v>Kyla Pratt</v>
      </c>
      <c r="AE3257" s="12"/>
    </row>
    <row r="3258" customHeight="1" spans="1:31">
      <c r="A3258" s="11" t="s">
        <v>30</v>
      </c>
      <c r="B3258" s="11" t="s">
        <v>13007</v>
      </c>
      <c r="C3258" s="11">
        <v>129</v>
      </c>
      <c r="D3258" s="11">
        <v>84</v>
      </c>
      <c r="E3258" s="11">
        <v>36</v>
      </c>
      <c r="F3258" s="11">
        <v>899</v>
      </c>
      <c r="G3258" s="11">
        <v>1000</v>
      </c>
      <c r="H3258" s="13"/>
      <c r="I3258" s="11" t="s">
        <v>5544</v>
      </c>
      <c r="J3258" s="11" t="s">
        <v>2815</v>
      </c>
      <c r="K3258" s="11" t="s">
        <v>11650</v>
      </c>
      <c r="L3258" s="11" t="s">
        <v>3934</v>
      </c>
      <c r="M3258" s="11" t="s">
        <v>15491</v>
      </c>
      <c r="N3258" s="11">
        <v>7286</v>
      </c>
      <c r="O3258" s="11">
        <v>4686</v>
      </c>
      <c r="P3258" s="11">
        <v>0</v>
      </c>
      <c r="Q3258" s="11" t="s">
        <v>15492</v>
      </c>
      <c r="R3258" s="14" t="s">
        <v>15493</v>
      </c>
      <c r="S3258" s="11">
        <v>75</v>
      </c>
      <c r="T3258" s="11" t="s">
        <v>39</v>
      </c>
      <c r="U3258" s="11" t="s">
        <v>40</v>
      </c>
      <c r="V3258" s="11" t="s">
        <v>586</v>
      </c>
      <c r="W3258" s="11">
        <v>10000000</v>
      </c>
      <c r="X3258" s="11">
        <v>2013</v>
      </c>
      <c r="Y3258" s="11">
        <v>948</v>
      </c>
      <c r="Z3258" s="11">
        <v>4.6</v>
      </c>
      <c r="AA3258" s="11">
        <v>2.35</v>
      </c>
      <c r="AB3258" s="11">
        <v>0</v>
      </c>
      <c r="AC3258" s="11"/>
      <c r="AD3258" s="11" t="str">
        <f>IFERROR(__xludf.DUMMYFUNCTION("""COMPUTED_VALUE"""),"Shirley Douglas")</f>
        <v>Shirley Douglas</v>
      </c>
      <c r="AE3258" s="11"/>
    </row>
    <row r="3259" customHeight="1" spans="1:31">
      <c r="A3259" s="12" t="s">
        <v>30</v>
      </c>
      <c r="B3259" s="12" t="s">
        <v>15494</v>
      </c>
      <c r="C3259" s="12">
        <v>15</v>
      </c>
      <c r="D3259" s="12">
        <v>89</v>
      </c>
      <c r="E3259" s="12">
        <v>3</v>
      </c>
      <c r="F3259" s="12">
        <v>499</v>
      </c>
      <c r="G3259" s="12">
        <v>764</v>
      </c>
      <c r="H3259" s="16"/>
      <c r="I3259" s="12" t="s">
        <v>15495</v>
      </c>
      <c r="J3259" s="12" t="s">
        <v>3000</v>
      </c>
      <c r="K3259" s="12" t="s">
        <v>731</v>
      </c>
      <c r="L3259" s="12" t="s">
        <v>12641</v>
      </c>
      <c r="M3259" s="12" t="s">
        <v>15496</v>
      </c>
      <c r="N3259" s="12">
        <v>3015</v>
      </c>
      <c r="O3259" s="12">
        <v>2876</v>
      </c>
      <c r="P3259" s="12">
        <v>1</v>
      </c>
      <c r="Q3259" s="12" t="s">
        <v>15497</v>
      </c>
      <c r="R3259" s="15" t="s">
        <v>15498</v>
      </c>
      <c r="S3259" s="12">
        <v>27</v>
      </c>
      <c r="T3259" s="12" t="s">
        <v>39</v>
      </c>
      <c r="U3259" s="12" t="s">
        <v>269</v>
      </c>
      <c r="V3259" s="16"/>
      <c r="W3259" s="12">
        <v>10000000</v>
      </c>
      <c r="X3259" s="12">
        <v>2010</v>
      </c>
      <c r="Y3259" s="12">
        <v>716</v>
      </c>
      <c r="Z3259" s="12">
        <v>6.5</v>
      </c>
      <c r="AA3259" s="12">
        <v>2.35</v>
      </c>
      <c r="AB3259" s="12">
        <v>850</v>
      </c>
      <c r="AC3259" s="12"/>
      <c r="AD3259" s="12" t="str">
        <f>IFERROR(__xludf.DUMMYFUNCTION("""COMPUTED_VALUE"""),"Daniel Wu")</f>
        <v>Daniel Wu</v>
      </c>
      <c r="AE3259" s="12"/>
    </row>
    <row r="3260" customHeight="1" spans="1:31">
      <c r="A3260" s="11" t="s">
        <v>30</v>
      </c>
      <c r="B3260" s="11" t="s">
        <v>6550</v>
      </c>
      <c r="C3260" s="11">
        <v>248</v>
      </c>
      <c r="D3260" s="11">
        <v>107</v>
      </c>
      <c r="E3260" s="11">
        <v>99</v>
      </c>
      <c r="F3260" s="11">
        <v>452</v>
      </c>
      <c r="G3260" s="11">
        <v>17000</v>
      </c>
      <c r="H3260" s="11">
        <v>16025394</v>
      </c>
      <c r="I3260" s="11" t="s">
        <v>1415</v>
      </c>
      <c r="J3260" s="11" t="s">
        <v>559</v>
      </c>
      <c r="K3260" s="11" t="s">
        <v>9054</v>
      </c>
      <c r="L3260" s="11" t="s">
        <v>1779</v>
      </c>
      <c r="M3260" s="11" t="s">
        <v>15499</v>
      </c>
      <c r="N3260" s="11">
        <v>131180</v>
      </c>
      <c r="O3260" s="11">
        <v>18983</v>
      </c>
      <c r="P3260" s="11">
        <v>6</v>
      </c>
      <c r="Q3260" s="11" t="s">
        <v>15500</v>
      </c>
      <c r="R3260" s="14" t="s">
        <v>15501</v>
      </c>
      <c r="S3260" s="11">
        <v>220</v>
      </c>
      <c r="T3260" s="11" t="s">
        <v>39</v>
      </c>
      <c r="U3260" s="11" t="s">
        <v>40</v>
      </c>
      <c r="V3260" s="11" t="s">
        <v>586</v>
      </c>
      <c r="W3260" s="13"/>
      <c r="X3260" s="11">
        <v>2009</v>
      </c>
      <c r="Y3260" s="11">
        <v>985</v>
      </c>
      <c r="Z3260" s="11">
        <v>6.8</v>
      </c>
      <c r="AA3260" s="11">
        <v>1.85</v>
      </c>
      <c r="AB3260" s="11">
        <v>0</v>
      </c>
      <c r="AC3260" s="11"/>
      <c r="AD3260" s="11" t="str">
        <f>IFERROR(__xludf.DUMMYFUNCTION("""COMPUTED_VALUE"""),"Nicole de Boer")</f>
        <v>Nicole de Boer</v>
      </c>
      <c r="AE3260" s="11"/>
    </row>
    <row r="3261" customHeight="1" spans="1:31">
      <c r="A3261" s="12" t="s">
        <v>30</v>
      </c>
      <c r="B3261" s="12" t="s">
        <v>15502</v>
      </c>
      <c r="C3261" s="12">
        <v>52</v>
      </c>
      <c r="D3261" s="12">
        <v>144</v>
      </c>
      <c r="E3261" s="12">
        <v>0</v>
      </c>
      <c r="F3261" s="12">
        <v>195</v>
      </c>
      <c r="G3261" s="12">
        <v>786</v>
      </c>
      <c r="H3261" s="12">
        <v>2483955</v>
      </c>
      <c r="I3261" s="12" t="s">
        <v>214</v>
      </c>
      <c r="J3261" s="12" t="s">
        <v>12925</v>
      </c>
      <c r="K3261" s="12" t="s">
        <v>15503</v>
      </c>
      <c r="L3261" s="12" t="s">
        <v>15504</v>
      </c>
      <c r="M3261" s="12" t="s">
        <v>15505</v>
      </c>
      <c r="N3261" s="12">
        <v>8369</v>
      </c>
      <c r="O3261" s="12">
        <v>1674</v>
      </c>
      <c r="P3261" s="12">
        <v>0</v>
      </c>
      <c r="Q3261" s="12" t="s">
        <v>15506</v>
      </c>
      <c r="R3261" s="15" t="s">
        <v>15507</v>
      </c>
      <c r="S3261" s="12">
        <v>165</v>
      </c>
      <c r="T3261" s="12" t="s">
        <v>39</v>
      </c>
      <c r="U3261" s="12" t="s">
        <v>40</v>
      </c>
      <c r="V3261" s="12" t="s">
        <v>586</v>
      </c>
      <c r="W3261" s="12">
        <v>9600000</v>
      </c>
      <c r="X3261" s="12">
        <v>2005</v>
      </c>
      <c r="Y3261" s="12">
        <v>228</v>
      </c>
      <c r="Z3261" s="12">
        <v>6.7</v>
      </c>
      <c r="AA3261" s="12">
        <v>1.85</v>
      </c>
      <c r="AB3261" s="12">
        <v>957</v>
      </c>
      <c r="AC3261" s="12"/>
      <c r="AD3261" s="12" t="str">
        <f>IFERROR(__xludf.DUMMYFUNCTION("""COMPUTED_VALUE"""),"Chris Bruno")</f>
        <v>Chris Bruno</v>
      </c>
      <c r="AE3261" s="12"/>
    </row>
    <row r="3262" customHeight="1" spans="1:31">
      <c r="A3262" s="11" t="s">
        <v>30</v>
      </c>
      <c r="B3262" s="11" t="s">
        <v>3234</v>
      </c>
      <c r="C3262" s="11">
        <v>55</v>
      </c>
      <c r="D3262" s="11">
        <v>98</v>
      </c>
      <c r="E3262" s="11">
        <v>41</v>
      </c>
      <c r="F3262" s="11">
        <v>525</v>
      </c>
      <c r="G3262" s="11">
        <v>723</v>
      </c>
      <c r="H3262" s="11">
        <v>57176582</v>
      </c>
      <c r="I3262" s="11" t="s">
        <v>1672</v>
      </c>
      <c r="J3262" s="11" t="s">
        <v>3883</v>
      </c>
      <c r="K3262" s="11" t="s">
        <v>5265</v>
      </c>
      <c r="L3262" s="11" t="s">
        <v>13768</v>
      </c>
      <c r="M3262" s="11" t="s">
        <v>15508</v>
      </c>
      <c r="N3262" s="11">
        <v>27492</v>
      </c>
      <c r="O3262" s="11">
        <v>3939</v>
      </c>
      <c r="P3262" s="11">
        <v>1</v>
      </c>
      <c r="Q3262" s="11" t="s">
        <v>15509</v>
      </c>
      <c r="R3262" s="14" t="s">
        <v>15510</v>
      </c>
      <c r="S3262" s="11">
        <v>84</v>
      </c>
      <c r="T3262" s="11" t="s">
        <v>39</v>
      </c>
      <c r="U3262" s="11" t="s">
        <v>40</v>
      </c>
      <c r="V3262" s="11" t="s">
        <v>586</v>
      </c>
      <c r="W3262" s="11">
        <v>9500000</v>
      </c>
      <c r="X3262" s="11">
        <v>2000</v>
      </c>
      <c r="Y3262" s="11">
        <v>706</v>
      </c>
      <c r="Z3262" s="11">
        <v>6.1</v>
      </c>
      <c r="AA3262" s="11">
        <v>1.85</v>
      </c>
      <c r="AB3262" s="11">
        <v>0</v>
      </c>
      <c r="AC3262" s="11"/>
      <c r="AD3262" s="11" t="str">
        <f>IFERROR(__xludf.DUMMYFUNCTION("""COMPUTED_VALUE"""),"Khandi Alexander")</f>
        <v>Khandi Alexander</v>
      </c>
      <c r="AE3262" s="11"/>
    </row>
    <row r="3263" customHeight="1" spans="1:31">
      <c r="A3263" s="12" t="s">
        <v>30</v>
      </c>
      <c r="B3263" s="12" t="s">
        <v>15511</v>
      </c>
      <c r="C3263" s="12">
        <v>30</v>
      </c>
      <c r="D3263" s="12">
        <v>94</v>
      </c>
      <c r="E3263" s="12">
        <v>9</v>
      </c>
      <c r="F3263" s="12">
        <v>262</v>
      </c>
      <c r="G3263" s="12">
        <v>4000</v>
      </c>
      <c r="H3263" s="16"/>
      <c r="I3263" s="12" t="s">
        <v>464</v>
      </c>
      <c r="J3263" s="12" t="s">
        <v>1434</v>
      </c>
      <c r="K3263" s="12" t="s">
        <v>682</v>
      </c>
      <c r="L3263" s="12" t="s">
        <v>15512</v>
      </c>
      <c r="M3263" s="12" t="s">
        <v>15513</v>
      </c>
      <c r="N3263" s="12">
        <v>12372</v>
      </c>
      <c r="O3263" s="12">
        <v>9432</v>
      </c>
      <c r="P3263" s="12">
        <v>1</v>
      </c>
      <c r="Q3263" s="12" t="s">
        <v>15514</v>
      </c>
      <c r="R3263" s="15" t="s">
        <v>15515</v>
      </c>
      <c r="S3263" s="12">
        <v>42</v>
      </c>
      <c r="T3263" s="12" t="s">
        <v>39</v>
      </c>
      <c r="U3263" s="12" t="s">
        <v>269</v>
      </c>
      <c r="V3263" s="12" t="s">
        <v>586</v>
      </c>
      <c r="W3263" s="12">
        <v>10000000</v>
      </c>
      <c r="X3263" s="12">
        <v>2014</v>
      </c>
      <c r="Y3263" s="12">
        <v>4000</v>
      </c>
      <c r="Z3263" s="12">
        <v>5.2</v>
      </c>
      <c r="AA3263" s="16"/>
      <c r="AB3263" s="12">
        <v>0</v>
      </c>
      <c r="AC3263" s="12"/>
      <c r="AD3263" s="12" t="str">
        <f>IFERROR(__xludf.DUMMYFUNCTION("""COMPUTED_VALUE"""),"Michael Michele")</f>
        <v>Michael Michele</v>
      </c>
      <c r="AE3263" s="12"/>
    </row>
    <row r="3264" customHeight="1" spans="1:31">
      <c r="A3264" s="11" t="s">
        <v>30</v>
      </c>
      <c r="B3264" s="11" t="s">
        <v>8053</v>
      </c>
      <c r="C3264" s="11">
        <v>130</v>
      </c>
      <c r="D3264" s="11">
        <v>117</v>
      </c>
      <c r="E3264" s="11">
        <v>43</v>
      </c>
      <c r="F3264" s="11">
        <v>244</v>
      </c>
      <c r="G3264" s="11">
        <v>742</v>
      </c>
      <c r="H3264" s="11">
        <v>43100000</v>
      </c>
      <c r="I3264" s="11" t="s">
        <v>51</v>
      </c>
      <c r="J3264" s="11" t="s">
        <v>10179</v>
      </c>
      <c r="K3264" s="11" t="s">
        <v>15516</v>
      </c>
      <c r="L3264" s="11" t="s">
        <v>1093</v>
      </c>
      <c r="M3264" s="11" t="s">
        <v>15517</v>
      </c>
      <c r="N3264" s="11">
        <v>75280</v>
      </c>
      <c r="O3264" s="11">
        <v>2127</v>
      </c>
      <c r="P3264" s="11">
        <v>0</v>
      </c>
      <c r="Q3264" s="11" t="s">
        <v>15518</v>
      </c>
      <c r="R3264" s="14" t="s">
        <v>15519</v>
      </c>
      <c r="S3264" s="11">
        <v>267</v>
      </c>
      <c r="T3264" s="11" t="s">
        <v>39</v>
      </c>
      <c r="U3264" s="11" t="s">
        <v>58</v>
      </c>
      <c r="V3264" s="11" t="s">
        <v>6037</v>
      </c>
      <c r="W3264" s="11">
        <v>9500000</v>
      </c>
      <c r="X3264" s="11">
        <v>1967</v>
      </c>
      <c r="Y3264" s="11">
        <v>462</v>
      </c>
      <c r="Z3264" s="11">
        <v>6.9</v>
      </c>
      <c r="AA3264" s="11">
        <v>2.35</v>
      </c>
      <c r="AB3264" s="11">
        <v>0</v>
      </c>
      <c r="AC3264" s="11"/>
      <c r="AD3264" s="11" t="str">
        <f>IFERROR(__xludf.DUMMYFUNCTION("""COMPUTED_VALUE"""),"Dan Futterman")</f>
        <v>Dan Futterman</v>
      </c>
      <c r="AE3264" s="11"/>
    </row>
    <row r="3265" customHeight="1" spans="1:31">
      <c r="A3265" s="12" t="s">
        <v>30</v>
      </c>
      <c r="B3265" s="12" t="s">
        <v>15520</v>
      </c>
      <c r="C3265" s="12">
        <v>29</v>
      </c>
      <c r="D3265" s="12">
        <v>102</v>
      </c>
      <c r="E3265" s="12">
        <v>7</v>
      </c>
      <c r="F3265" s="12">
        <v>1000</v>
      </c>
      <c r="G3265" s="12">
        <v>31000</v>
      </c>
      <c r="H3265" s="16"/>
      <c r="I3265" s="12" t="s">
        <v>4527</v>
      </c>
      <c r="J3265" s="12" t="s">
        <v>11610</v>
      </c>
      <c r="K3265" s="12" t="s">
        <v>8311</v>
      </c>
      <c r="L3265" s="12" t="s">
        <v>5914</v>
      </c>
      <c r="M3265" s="12" t="s">
        <v>15521</v>
      </c>
      <c r="N3265" s="12">
        <v>5865</v>
      </c>
      <c r="O3265" s="12">
        <v>35634</v>
      </c>
      <c r="P3265" s="12">
        <v>7</v>
      </c>
      <c r="Q3265" s="12" t="s">
        <v>15522</v>
      </c>
      <c r="R3265" s="15" t="s">
        <v>15523</v>
      </c>
      <c r="S3265" s="12">
        <v>12</v>
      </c>
      <c r="T3265" s="12" t="s">
        <v>39</v>
      </c>
      <c r="U3265" s="12" t="s">
        <v>58</v>
      </c>
      <c r="V3265" s="12" t="s">
        <v>586</v>
      </c>
      <c r="W3265" s="12">
        <v>10000000</v>
      </c>
      <c r="X3265" s="12">
        <v>2014</v>
      </c>
      <c r="Y3265" s="12">
        <v>1000</v>
      </c>
      <c r="Z3265" s="12">
        <v>6</v>
      </c>
      <c r="AA3265" s="16"/>
      <c r="AB3265" s="12">
        <v>1000</v>
      </c>
      <c r="AC3265" s="12"/>
      <c r="AD3265" s="12" t="str">
        <f>IFERROR(__xludf.DUMMYFUNCTION("""COMPUTED_VALUE"""),"Marla Sokoloff")</f>
        <v>Marla Sokoloff</v>
      </c>
      <c r="AE3265" s="12"/>
    </row>
    <row r="3266" customHeight="1" spans="1:31">
      <c r="A3266" s="11" t="s">
        <v>30</v>
      </c>
      <c r="B3266" s="11" t="s">
        <v>12019</v>
      </c>
      <c r="C3266" s="11">
        <v>447</v>
      </c>
      <c r="D3266" s="11">
        <v>127</v>
      </c>
      <c r="E3266" s="11">
        <v>0</v>
      </c>
      <c r="F3266" s="11">
        <v>319</v>
      </c>
      <c r="G3266" s="11">
        <v>678</v>
      </c>
      <c r="H3266" s="11">
        <v>225377</v>
      </c>
      <c r="I3266" s="11" t="s">
        <v>214</v>
      </c>
      <c r="J3266" s="11" t="s">
        <v>6040</v>
      </c>
      <c r="K3266" s="11" t="s">
        <v>15524</v>
      </c>
      <c r="L3266" s="11" t="s">
        <v>15525</v>
      </c>
      <c r="M3266" s="11" t="s">
        <v>15526</v>
      </c>
      <c r="N3266" s="11">
        <v>70382</v>
      </c>
      <c r="O3266" s="11">
        <v>1557</v>
      </c>
      <c r="P3266" s="11">
        <v>1</v>
      </c>
      <c r="Q3266" s="11" t="s">
        <v>15527</v>
      </c>
      <c r="R3266" s="14" t="s">
        <v>15528</v>
      </c>
      <c r="S3266" s="11">
        <v>190</v>
      </c>
      <c r="T3266" s="11" t="s">
        <v>1465</v>
      </c>
      <c r="U3266" s="11" t="s">
        <v>1466</v>
      </c>
      <c r="V3266" s="11" t="s">
        <v>41</v>
      </c>
      <c r="W3266" s="11">
        <v>8900000</v>
      </c>
      <c r="X3266" s="11">
        <v>2012</v>
      </c>
      <c r="Y3266" s="11">
        <v>432</v>
      </c>
      <c r="Z3266" s="11">
        <v>7.9</v>
      </c>
      <c r="AA3266" s="11">
        <v>1.85</v>
      </c>
      <c r="AB3266" s="11">
        <v>33000</v>
      </c>
      <c r="AC3266" s="11"/>
      <c r="AD3266" s="11" t="str">
        <f>IFERROR(__xludf.DUMMYFUNCTION("""COMPUTED_VALUE"""),"Estelle Parsons")</f>
        <v>Estelle Parsons</v>
      </c>
      <c r="AE3266" s="11"/>
    </row>
    <row r="3267" customHeight="1" spans="1:31">
      <c r="A3267" s="12" t="s">
        <v>30</v>
      </c>
      <c r="B3267" s="12" t="s">
        <v>15529</v>
      </c>
      <c r="C3267" s="12">
        <v>66</v>
      </c>
      <c r="D3267" s="12">
        <v>98</v>
      </c>
      <c r="E3267" s="12">
        <v>17</v>
      </c>
      <c r="F3267" s="12">
        <v>770</v>
      </c>
      <c r="G3267" s="12">
        <v>1000</v>
      </c>
      <c r="H3267" s="12">
        <v>14114488</v>
      </c>
      <c r="I3267" s="12" t="s">
        <v>5544</v>
      </c>
      <c r="J3267" s="12" t="s">
        <v>2203</v>
      </c>
      <c r="K3267" s="12" t="s">
        <v>7407</v>
      </c>
      <c r="L3267" s="12" t="s">
        <v>7408</v>
      </c>
      <c r="M3267" s="12" t="s">
        <v>15530</v>
      </c>
      <c r="N3267" s="12">
        <v>13190</v>
      </c>
      <c r="O3267" s="12">
        <v>3827</v>
      </c>
      <c r="P3267" s="12">
        <v>0</v>
      </c>
      <c r="Q3267" s="12" t="s">
        <v>15531</v>
      </c>
      <c r="R3267" s="15" t="s">
        <v>15532</v>
      </c>
      <c r="S3267" s="12">
        <v>114</v>
      </c>
      <c r="T3267" s="12" t="s">
        <v>39</v>
      </c>
      <c r="U3267" s="12" t="s">
        <v>40</v>
      </c>
      <c r="V3267" s="12" t="s">
        <v>41</v>
      </c>
      <c r="W3267" s="12">
        <v>10500000</v>
      </c>
      <c r="X3267" s="12">
        <v>1988</v>
      </c>
      <c r="Y3267" s="12">
        <v>887</v>
      </c>
      <c r="Z3267" s="12">
        <v>4.5</v>
      </c>
      <c r="AA3267" s="12">
        <v>1.85</v>
      </c>
      <c r="AB3267" s="12">
        <v>616</v>
      </c>
      <c r="AC3267" s="12"/>
      <c r="AD3267" s="12" t="str">
        <f>IFERROR(__xludf.DUMMYFUNCTION("""COMPUTED_VALUE"""),"Elizabeth Berrington")</f>
        <v>Elizabeth Berrington</v>
      </c>
      <c r="AE3267" s="12"/>
    </row>
    <row r="3268" customHeight="1" spans="1:31">
      <c r="A3268" s="11" t="s">
        <v>30</v>
      </c>
      <c r="B3268" s="11" t="s">
        <v>15533</v>
      </c>
      <c r="C3268" s="11">
        <v>18</v>
      </c>
      <c r="D3268" s="11">
        <v>88</v>
      </c>
      <c r="E3268" s="11">
        <v>6</v>
      </c>
      <c r="F3268" s="11">
        <v>200</v>
      </c>
      <c r="G3268" s="11">
        <v>557</v>
      </c>
      <c r="H3268" s="13"/>
      <c r="I3268" s="11" t="s">
        <v>5765</v>
      </c>
      <c r="J3268" s="11" t="s">
        <v>7011</v>
      </c>
      <c r="K3268" s="11" t="s">
        <v>10502</v>
      </c>
      <c r="L3268" s="11" t="s">
        <v>15534</v>
      </c>
      <c r="M3268" s="11" t="s">
        <v>15535</v>
      </c>
      <c r="N3268" s="11">
        <v>1763</v>
      </c>
      <c r="O3268" s="11">
        <v>1702</v>
      </c>
      <c r="P3268" s="11">
        <v>0</v>
      </c>
      <c r="Q3268" s="11" t="s">
        <v>15536</v>
      </c>
      <c r="R3268" s="14" t="s">
        <v>15537</v>
      </c>
      <c r="S3268" s="11">
        <v>26</v>
      </c>
      <c r="T3268" s="11" t="s">
        <v>39</v>
      </c>
      <c r="U3268" s="11" t="s">
        <v>40</v>
      </c>
      <c r="V3268" s="11" t="s">
        <v>586</v>
      </c>
      <c r="W3268" s="11">
        <v>9500000</v>
      </c>
      <c r="X3268" s="11">
        <v>2015</v>
      </c>
      <c r="Y3268" s="11">
        <v>290</v>
      </c>
      <c r="Z3268" s="11">
        <v>5.1</v>
      </c>
      <c r="AA3268" s="11">
        <v>1.78</v>
      </c>
      <c r="AB3268" s="11">
        <v>898</v>
      </c>
      <c r="AC3268" s="11"/>
      <c r="AD3268" s="11" t="str">
        <f>IFERROR(__xludf.DUMMYFUNCTION("""COMPUTED_VALUE"""),"Anna Madeley")</f>
        <v>Anna Madeley</v>
      </c>
      <c r="AE3268" s="11"/>
    </row>
    <row r="3269" customHeight="1" spans="1:31">
      <c r="A3269" s="12" t="s">
        <v>30</v>
      </c>
      <c r="B3269" s="12" t="s">
        <v>15538</v>
      </c>
      <c r="C3269" s="12">
        <v>61</v>
      </c>
      <c r="D3269" s="12">
        <v>197</v>
      </c>
      <c r="E3269" s="12">
        <v>176</v>
      </c>
      <c r="F3269" s="12">
        <v>760</v>
      </c>
      <c r="G3269" s="12">
        <v>924</v>
      </c>
      <c r="H3269" s="12">
        <v>46300000</v>
      </c>
      <c r="I3269" s="12" t="s">
        <v>1375</v>
      </c>
      <c r="J3269" s="12" t="s">
        <v>2961</v>
      </c>
      <c r="K3269" s="12" t="s">
        <v>14556</v>
      </c>
      <c r="L3269" s="12" t="s">
        <v>15539</v>
      </c>
      <c r="M3269" s="12" t="s">
        <v>15540</v>
      </c>
      <c r="N3269" s="12">
        <v>29323</v>
      </c>
      <c r="O3269" s="12">
        <v>4109</v>
      </c>
      <c r="P3269" s="12">
        <v>0</v>
      </c>
      <c r="Q3269" s="12" t="s">
        <v>15541</v>
      </c>
      <c r="R3269" s="15" t="s">
        <v>15542</v>
      </c>
      <c r="S3269" s="12">
        <v>344</v>
      </c>
      <c r="T3269" s="12" t="s">
        <v>39</v>
      </c>
      <c r="U3269" s="12" t="s">
        <v>40</v>
      </c>
      <c r="V3269" s="12" t="s">
        <v>6037</v>
      </c>
      <c r="W3269" s="12">
        <v>9400000</v>
      </c>
      <c r="X3269" s="12">
        <v>1963</v>
      </c>
      <c r="Y3269" s="12">
        <v>898</v>
      </c>
      <c r="Z3269" s="12">
        <v>7.6</v>
      </c>
      <c r="AA3269" s="12">
        <v>2.76</v>
      </c>
      <c r="AB3269" s="12">
        <v>0</v>
      </c>
      <c r="AC3269" s="12"/>
      <c r="AD3269" s="12" t="str">
        <f>IFERROR(__xludf.DUMMYFUNCTION("""COMPUTED_VALUE"""),"Eric Godon")</f>
        <v>Eric Godon</v>
      </c>
      <c r="AE3269" s="12"/>
    </row>
    <row r="3270" customHeight="1" spans="1:31">
      <c r="A3270" s="11" t="s">
        <v>30</v>
      </c>
      <c r="B3270" s="11" t="s">
        <v>15543</v>
      </c>
      <c r="C3270" s="11">
        <v>232</v>
      </c>
      <c r="D3270" s="11">
        <v>121</v>
      </c>
      <c r="E3270" s="11">
        <v>0</v>
      </c>
      <c r="F3270" s="11">
        <v>82</v>
      </c>
      <c r="G3270" s="11">
        <v>148</v>
      </c>
      <c r="H3270" s="11">
        <v>12899702</v>
      </c>
      <c r="I3270" s="11" t="s">
        <v>15544</v>
      </c>
      <c r="J3270" s="11" t="s">
        <v>15545</v>
      </c>
      <c r="K3270" s="11" t="s">
        <v>13630</v>
      </c>
      <c r="L3270" s="11" t="s">
        <v>15546</v>
      </c>
      <c r="M3270" s="11" t="s">
        <v>15547</v>
      </c>
      <c r="N3270" s="11">
        <v>76681</v>
      </c>
      <c r="O3270" s="11">
        <v>448</v>
      </c>
      <c r="P3270" s="11">
        <v>1</v>
      </c>
      <c r="Q3270" s="11" t="s">
        <v>15548</v>
      </c>
      <c r="R3270" s="14" t="s">
        <v>15549</v>
      </c>
      <c r="S3270" s="11">
        <v>228</v>
      </c>
      <c r="T3270" s="11" t="s">
        <v>2779</v>
      </c>
      <c r="U3270" s="11" t="s">
        <v>3572</v>
      </c>
      <c r="V3270" s="11" t="s">
        <v>586</v>
      </c>
      <c r="W3270" s="13"/>
      <c r="X3270" s="11">
        <v>2006</v>
      </c>
      <c r="Y3270" s="11">
        <v>114</v>
      </c>
      <c r="Z3270" s="11">
        <v>7.6</v>
      </c>
      <c r="AA3270" s="11">
        <v>2.35</v>
      </c>
      <c r="AB3270" s="11">
        <v>0</v>
      </c>
      <c r="AC3270" s="11"/>
      <c r="AD3270" s="11" t="str">
        <f>IFERROR(__xludf.DUMMYFUNCTION("""COMPUTED_VALUE"""),"Diahann Carroll")</f>
        <v>Diahann Carroll</v>
      </c>
      <c r="AE3270" s="11"/>
    </row>
    <row r="3271" customHeight="1" spans="1:31">
      <c r="A3271" s="12" t="s">
        <v>30</v>
      </c>
      <c r="B3271" s="12" t="s">
        <v>15550</v>
      </c>
      <c r="C3271" s="12">
        <v>62</v>
      </c>
      <c r="D3271" s="12">
        <v>90</v>
      </c>
      <c r="E3271" s="12">
        <v>0</v>
      </c>
      <c r="F3271" s="12">
        <v>123</v>
      </c>
      <c r="G3271" s="12">
        <v>187</v>
      </c>
      <c r="H3271" s="16"/>
      <c r="I3271" s="12" t="s">
        <v>15551</v>
      </c>
      <c r="J3271" s="12" t="s">
        <v>15552</v>
      </c>
      <c r="K3271" s="12" t="s">
        <v>13368</v>
      </c>
      <c r="L3271" s="12" t="s">
        <v>15553</v>
      </c>
      <c r="M3271" s="12" t="s">
        <v>15554</v>
      </c>
      <c r="N3271" s="12">
        <v>23516</v>
      </c>
      <c r="O3271" s="12">
        <v>646</v>
      </c>
      <c r="P3271" s="12">
        <v>0</v>
      </c>
      <c r="Q3271" s="12" t="s">
        <v>15555</v>
      </c>
      <c r="R3271" s="15" t="s">
        <v>15556</v>
      </c>
      <c r="S3271" s="12">
        <v>147</v>
      </c>
      <c r="T3271" s="12" t="s">
        <v>39</v>
      </c>
      <c r="U3271" s="12" t="s">
        <v>269</v>
      </c>
      <c r="V3271" s="12" t="s">
        <v>586</v>
      </c>
      <c r="W3271" s="12">
        <v>9300000</v>
      </c>
      <c r="X3271" s="12">
        <v>1981</v>
      </c>
      <c r="Y3271" s="12">
        <v>176</v>
      </c>
      <c r="Z3271" s="12">
        <v>6.7</v>
      </c>
      <c r="AA3271" s="12">
        <v>1.37</v>
      </c>
      <c r="AB3271" s="12">
        <v>0</v>
      </c>
      <c r="AC3271" s="12"/>
      <c r="AD3271" s="12" t="str">
        <f>IFERROR(__xludf.DUMMYFUNCTION("""COMPUTED_VALUE"""),"Conleth Hill")</f>
        <v>Conleth Hill</v>
      </c>
      <c r="AE3271" s="12"/>
    </row>
    <row r="3272" customHeight="1" spans="1:31">
      <c r="A3272" s="11" t="s">
        <v>30</v>
      </c>
      <c r="B3272" s="11" t="s">
        <v>7906</v>
      </c>
      <c r="C3272" s="11">
        <v>106</v>
      </c>
      <c r="D3272" s="11">
        <v>89</v>
      </c>
      <c r="E3272" s="11">
        <v>100</v>
      </c>
      <c r="F3272" s="11">
        <v>327</v>
      </c>
      <c r="G3272" s="11">
        <v>33000</v>
      </c>
      <c r="H3272" s="11">
        <v>113155</v>
      </c>
      <c r="I3272" s="11" t="s">
        <v>1875</v>
      </c>
      <c r="J3272" s="11" t="s">
        <v>15557</v>
      </c>
      <c r="K3272" s="11" t="s">
        <v>2299</v>
      </c>
      <c r="L3272" s="11" t="s">
        <v>7908</v>
      </c>
      <c r="M3272" s="11" t="s">
        <v>15558</v>
      </c>
      <c r="N3272" s="11">
        <v>9006</v>
      </c>
      <c r="O3272" s="11">
        <v>34398</v>
      </c>
      <c r="P3272" s="11">
        <v>7</v>
      </c>
      <c r="Q3272" s="11" t="s">
        <v>15559</v>
      </c>
      <c r="R3272" s="14" t="s">
        <v>15560</v>
      </c>
      <c r="S3272" s="11">
        <v>54</v>
      </c>
      <c r="T3272" s="11" t="s">
        <v>39</v>
      </c>
      <c r="U3272" s="11" t="s">
        <v>40</v>
      </c>
      <c r="V3272" s="11" t="s">
        <v>41</v>
      </c>
      <c r="W3272" s="13"/>
      <c r="X3272" s="11">
        <v>2009</v>
      </c>
      <c r="Y3272" s="11">
        <v>947</v>
      </c>
      <c r="Z3272" s="11">
        <v>6.1</v>
      </c>
      <c r="AA3272" s="13"/>
      <c r="AB3272" s="11">
        <v>0</v>
      </c>
      <c r="AC3272" s="11"/>
      <c r="AD3272" s="11" t="str">
        <f>IFERROR(__xludf.DUMMYFUNCTION("""COMPUTED_VALUE"""),"Guillermo Arriaga")</f>
        <v>Guillermo Arriaga</v>
      </c>
      <c r="AE3272" s="11"/>
    </row>
    <row r="3273" customHeight="1" spans="1:31">
      <c r="A3273" s="12" t="s">
        <v>30</v>
      </c>
      <c r="B3273" s="12" t="s">
        <v>5205</v>
      </c>
      <c r="C3273" s="12">
        <v>56</v>
      </c>
      <c r="D3273" s="12">
        <v>104</v>
      </c>
      <c r="E3273" s="12">
        <v>12</v>
      </c>
      <c r="F3273" s="12">
        <v>1000</v>
      </c>
      <c r="G3273" s="12">
        <v>21000</v>
      </c>
      <c r="H3273" s="12">
        <v>2600000</v>
      </c>
      <c r="I3273" s="12" t="s">
        <v>3397</v>
      </c>
      <c r="J3273" s="12" t="s">
        <v>99</v>
      </c>
      <c r="K3273" s="12" t="s">
        <v>393</v>
      </c>
      <c r="L3273" s="12" t="s">
        <v>203</v>
      </c>
      <c r="M3273" s="12" t="s">
        <v>15561</v>
      </c>
      <c r="N3273" s="12">
        <v>11612</v>
      </c>
      <c r="O3273" s="12">
        <v>23962</v>
      </c>
      <c r="P3273" s="12">
        <v>3</v>
      </c>
      <c r="Q3273" s="12" t="s">
        <v>15562</v>
      </c>
      <c r="R3273" s="15" t="s">
        <v>15563</v>
      </c>
      <c r="S3273" s="12">
        <v>88</v>
      </c>
      <c r="T3273" s="12" t="s">
        <v>39</v>
      </c>
      <c r="U3273" s="12" t="s">
        <v>58</v>
      </c>
      <c r="V3273" s="12" t="s">
        <v>586</v>
      </c>
      <c r="W3273" s="12">
        <v>6000000</v>
      </c>
      <c r="X3273" s="12">
        <v>1995</v>
      </c>
      <c r="Y3273" s="12">
        <v>1000</v>
      </c>
      <c r="Z3273" s="12">
        <v>7.5</v>
      </c>
      <c r="AA3273" s="12">
        <v>2.35</v>
      </c>
      <c r="AB3273" s="12">
        <v>0</v>
      </c>
      <c r="AC3273" s="12"/>
      <c r="AD3273" s="12" t="str">
        <f>IFERROR(__xludf.DUMMYFUNCTION("""COMPUTED_VALUE"""),"Corbin Bernsen")</f>
        <v>Corbin Bernsen</v>
      </c>
      <c r="AE3273" s="12"/>
    </row>
    <row r="3274" customHeight="1" spans="1:31">
      <c r="A3274" s="13"/>
      <c r="B3274" s="11" t="s">
        <v>14681</v>
      </c>
      <c r="C3274" s="11">
        <v>48</v>
      </c>
      <c r="D3274" s="11">
        <v>94</v>
      </c>
      <c r="E3274" s="11">
        <v>43</v>
      </c>
      <c r="F3274" s="11">
        <v>129</v>
      </c>
      <c r="G3274" s="11">
        <v>826</v>
      </c>
      <c r="H3274" s="13"/>
      <c r="I3274" s="11" t="s">
        <v>4905</v>
      </c>
      <c r="J3274" s="11" t="s">
        <v>1320</v>
      </c>
      <c r="K3274" s="11" t="s">
        <v>15564</v>
      </c>
      <c r="L3274" s="11" t="s">
        <v>15565</v>
      </c>
      <c r="M3274" s="11" t="s">
        <v>15566</v>
      </c>
      <c r="N3274" s="11">
        <v>4486</v>
      </c>
      <c r="O3274" s="11">
        <v>1586</v>
      </c>
      <c r="P3274" s="11">
        <v>4</v>
      </c>
      <c r="Q3274" s="11" t="s">
        <v>15567</v>
      </c>
      <c r="R3274" s="14" t="s">
        <v>15568</v>
      </c>
      <c r="S3274" s="11">
        <v>38</v>
      </c>
      <c r="T3274" s="11" t="s">
        <v>39</v>
      </c>
      <c r="U3274" s="11" t="s">
        <v>40</v>
      </c>
      <c r="V3274" s="11" t="s">
        <v>586</v>
      </c>
      <c r="W3274" s="11">
        <v>10000000</v>
      </c>
      <c r="X3274" s="11">
        <v>2015</v>
      </c>
      <c r="Y3274" s="11">
        <v>476</v>
      </c>
      <c r="Z3274" s="11">
        <v>5.3</v>
      </c>
      <c r="AA3274" s="11">
        <v>1.85</v>
      </c>
      <c r="AB3274" s="11">
        <v>0</v>
      </c>
      <c r="AC3274" s="11"/>
      <c r="AD3274" s="11" t="str">
        <f>IFERROR(__xludf.DUMMYFUNCTION("""COMPUTED_VALUE"""),"Chris Geere")</f>
        <v>Chris Geere</v>
      </c>
      <c r="AE3274" s="11"/>
    </row>
    <row r="3275" customHeight="1" spans="1:31">
      <c r="A3275" s="12" t="s">
        <v>30</v>
      </c>
      <c r="B3275" s="12" t="s">
        <v>15569</v>
      </c>
      <c r="C3275" s="12">
        <v>41</v>
      </c>
      <c r="D3275" s="12">
        <v>90</v>
      </c>
      <c r="E3275" s="12">
        <v>116</v>
      </c>
      <c r="F3275" s="12">
        <v>303</v>
      </c>
      <c r="G3275" s="12">
        <v>594</v>
      </c>
      <c r="H3275" s="12">
        <v>1602466</v>
      </c>
      <c r="I3275" s="12" t="s">
        <v>15570</v>
      </c>
      <c r="J3275" s="12" t="s">
        <v>15571</v>
      </c>
      <c r="K3275" s="12" t="s">
        <v>15572</v>
      </c>
      <c r="L3275" s="12" t="s">
        <v>9049</v>
      </c>
      <c r="M3275" s="12" t="s">
        <v>15573</v>
      </c>
      <c r="N3275" s="12">
        <v>9673</v>
      </c>
      <c r="O3275" s="12">
        <v>1836</v>
      </c>
      <c r="P3275" s="12">
        <v>0</v>
      </c>
      <c r="Q3275" s="12" t="s">
        <v>15574</v>
      </c>
      <c r="R3275" s="15" t="s">
        <v>15575</v>
      </c>
      <c r="S3275" s="12">
        <v>106</v>
      </c>
      <c r="T3275" s="12" t="s">
        <v>39</v>
      </c>
      <c r="U3275" s="12" t="s">
        <v>5613</v>
      </c>
      <c r="V3275" s="16"/>
      <c r="W3275" s="12">
        <v>600000000</v>
      </c>
      <c r="X3275" s="12">
        <v>2010</v>
      </c>
      <c r="Y3275" s="12">
        <v>412</v>
      </c>
      <c r="Z3275" s="12">
        <v>6</v>
      </c>
      <c r="AA3275" s="16"/>
      <c r="AB3275" s="12">
        <v>0</v>
      </c>
      <c r="AC3275" s="12"/>
      <c r="AD3275" s="12" t="str">
        <f>IFERROR(__xludf.DUMMYFUNCTION("""COMPUTED_VALUE"""),"Anna Silk")</f>
        <v>Anna Silk</v>
      </c>
      <c r="AE3275" s="12"/>
    </row>
    <row r="3276" customHeight="1" spans="1:31">
      <c r="A3276" s="11" t="s">
        <v>30</v>
      </c>
      <c r="B3276" s="11" t="s">
        <v>13348</v>
      </c>
      <c r="C3276" s="11">
        <v>439</v>
      </c>
      <c r="D3276" s="11">
        <v>130</v>
      </c>
      <c r="E3276" s="11">
        <v>3000</v>
      </c>
      <c r="F3276" s="11">
        <v>844</v>
      </c>
      <c r="G3276" s="11">
        <v>10000</v>
      </c>
      <c r="H3276" s="11">
        <v>3029870</v>
      </c>
      <c r="I3276" s="11" t="s">
        <v>1849</v>
      </c>
      <c r="J3276" s="11" t="s">
        <v>229</v>
      </c>
      <c r="K3276" s="11" t="s">
        <v>84</v>
      </c>
      <c r="L3276" s="11" t="s">
        <v>3518</v>
      </c>
      <c r="M3276" s="11" t="s">
        <v>15576</v>
      </c>
      <c r="N3276" s="11">
        <v>128729</v>
      </c>
      <c r="O3276" s="11">
        <v>15835</v>
      </c>
      <c r="P3276" s="11">
        <v>1</v>
      </c>
      <c r="Q3276" s="11" t="s">
        <v>15577</v>
      </c>
      <c r="R3276" s="14" t="s">
        <v>15578</v>
      </c>
      <c r="S3276" s="11">
        <v>551</v>
      </c>
      <c r="T3276" s="11" t="s">
        <v>39</v>
      </c>
      <c r="U3276" s="11" t="s">
        <v>7712</v>
      </c>
      <c r="V3276" s="11" t="s">
        <v>586</v>
      </c>
      <c r="W3276" s="11">
        <v>7400000</v>
      </c>
      <c r="X3276" s="11">
        <v>2011</v>
      </c>
      <c r="Y3276" s="11">
        <v>4000</v>
      </c>
      <c r="Z3276" s="11">
        <v>7.1</v>
      </c>
      <c r="AA3276" s="11">
        <v>2.35</v>
      </c>
      <c r="AB3276" s="11">
        <v>50000</v>
      </c>
      <c r="AC3276" s="11"/>
      <c r="AD3276" s="11" t="str">
        <f>IFERROR(__xludf.DUMMYFUNCTION("""COMPUTED_VALUE"""),"Mac McDonald")</f>
        <v>Mac McDonald</v>
      </c>
      <c r="AE3276" s="11"/>
    </row>
    <row r="3277" customHeight="1" spans="1:31">
      <c r="A3277" s="12" t="s">
        <v>30</v>
      </c>
      <c r="B3277" s="12" t="s">
        <v>15579</v>
      </c>
      <c r="C3277" s="12">
        <v>54</v>
      </c>
      <c r="D3277" s="12">
        <v>92</v>
      </c>
      <c r="E3277" s="12">
        <v>25</v>
      </c>
      <c r="F3277" s="12">
        <v>110</v>
      </c>
      <c r="G3277" s="12">
        <v>509</v>
      </c>
      <c r="H3277" s="16"/>
      <c r="I3277" s="12" t="s">
        <v>15580</v>
      </c>
      <c r="J3277" s="12" t="s">
        <v>525</v>
      </c>
      <c r="K3277" s="12" t="s">
        <v>7463</v>
      </c>
      <c r="L3277" s="12" t="s">
        <v>15581</v>
      </c>
      <c r="M3277" s="12" t="s">
        <v>15582</v>
      </c>
      <c r="N3277" s="12">
        <v>13003</v>
      </c>
      <c r="O3277" s="12">
        <v>1248</v>
      </c>
      <c r="P3277" s="12">
        <v>0</v>
      </c>
      <c r="Q3277" s="12" t="s">
        <v>15583</v>
      </c>
      <c r="R3277" s="15" t="s">
        <v>15584</v>
      </c>
      <c r="S3277" s="12">
        <v>80</v>
      </c>
      <c r="T3277" s="12" t="s">
        <v>39</v>
      </c>
      <c r="U3277" s="12" t="s">
        <v>371</v>
      </c>
      <c r="V3277" s="12" t="s">
        <v>96</v>
      </c>
      <c r="W3277" s="12">
        <v>8500000</v>
      </c>
      <c r="X3277" s="12">
        <v>2011</v>
      </c>
      <c r="Y3277" s="12">
        <v>446</v>
      </c>
      <c r="Z3277" s="12">
        <v>7.5</v>
      </c>
      <c r="AA3277" s="12">
        <v>2.35</v>
      </c>
      <c r="AB3277" s="12">
        <v>10000</v>
      </c>
      <c r="AC3277" s="12"/>
      <c r="AD3277" s="12" t="str">
        <f>IFERROR(__xludf.DUMMYFUNCTION("""COMPUTED_VALUE"""),"Mike Muscat")</f>
        <v>Mike Muscat</v>
      </c>
      <c r="AE3277" s="12"/>
    </row>
    <row r="3278" customHeight="1" spans="1:31">
      <c r="A3278" s="11" t="s">
        <v>30</v>
      </c>
      <c r="B3278" s="11" t="s">
        <v>15585</v>
      </c>
      <c r="C3278" s="11">
        <v>50</v>
      </c>
      <c r="D3278" s="11">
        <v>176</v>
      </c>
      <c r="E3278" s="11">
        <v>147</v>
      </c>
      <c r="F3278" s="11">
        <v>1000</v>
      </c>
      <c r="G3278" s="11">
        <v>8000</v>
      </c>
      <c r="H3278" s="11">
        <v>3047539</v>
      </c>
      <c r="I3278" s="11" t="s">
        <v>214</v>
      </c>
      <c r="J3278" s="11" t="s">
        <v>14706</v>
      </c>
      <c r="K3278" s="11" t="s">
        <v>15586</v>
      </c>
      <c r="L3278" s="11" t="s">
        <v>15587</v>
      </c>
      <c r="M3278" s="11" t="s">
        <v>15588</v>
      </c>
      <c r="N3278" s="11">
        <v>42296</v>
      </c>
      <c r="O3278" s="11">
        <v>13762</v>
      </c>
      <c r="P3278" s="11">
        <v>4</v>
      </c>
      <c r="Q3278" s="11" t="s">
        <v>15589</v>
      </c>
      <c r="R3278" s="14" t="s">
        <v>15590</v>
      </c>
      <c r="S3278" s="11">
        <v>286</v>
      </c>
      <c r="T3278" s="11" t="s">
        <v>5612</v>
      </c>
      <c r="U3278" s="11" t="s">
        <v>5613</v>
      </c>
      <c r="V3278" s="11" t="s">
        <v>4831</v>
      </c>
      <c r="W3278" s="11">
        <v>7217600</v>
      </c>
      <c r="X3278" s="11">
        <v>2012</v>
      </c>
      <c r="Y3278" s="11">
        <v>3000</v>
      </c>
      <c r="Z3278" s="11">
        <v>6.9</v>
      </c>
      <c r="AA3278" s="11">
        <v>2.35</v>
      </c>
      <c r="AB3278" s="11">
        <v>12000</v>
      </c>
      <c r="AC3278" s="11"/>
      <c r="AD3278" s="11" t="str">
        <f>IFERROR(__xludf.DUMMYFUNCTION("""COMPUTED_VALUE"""),"Thomas Stroppel")</f>
        <v>Thomas Stroppel</v>
      </c>
      <c r="AE3278" s="11"/>
    </row>
    <row r="3279" customHeight="1" spans="1:31">
      <c r="A3279" s="12" t="s">
        <v>30</v>
      </c>
      <c r="B3279" s="12" t="s">
        <v>188</v>
      </c>
      <c r="C3279" s="12">
        <v>392</v>
      </c>
      <c r="D3279" s="12">
        <v>116</v>
      </c>
      <c r="E3279" s="12">
        <v>0</v>
      </c>
      <c r="F3279" s="12">
        <v>513</v>
      </c>
      <c r="G3279" s="12">
        <v>1000</v>
      </c>
      <c r="H3279" s="12">
        <v>78900000</v>
      </c>
      <c r="I3279" s="12" t="s">
        <v>10223</v>
      </c>
      <c r="J3279" s="12" t="s">
        <v>2203</v>
      </c>
      <c r="K3279" s="12" t="s">
        <v>8388</v>
      </c>
      <c r="L3279" s="12" t="s">
        <v>15591</v>
      </c>
      <c r="M3279" s="12" t="s">
        <v>15592</v>
      </c>
      <c r="N3279" s="12">
        <v>563827</v>
      </c>
      <c r="O3279" s="12">
        <v>2524</v>
      </c>
      <c r="P3279" s="12">
        <v>0</v>
      </c>
      <c r="Q3279" s="12" t="s">
        <v>15593</v>
      </c>
      <c r="R3279" s="15" t="s">
        <v>15594</v>
      </c>
      <c r="S3279" s="12">
        <v>1110</v>
      </c>
      <c r="T3279" s="12" t="s">
        <v>39</v>
      </c>
      <c r="U3279" s="12" t="s">
        <v>58</v>
      </c>
      <c r="V3279" s="12" t="s">
        <v>586</v>
      </c>
      <c r="W3279" s="12">
        <v>11000000</v>
      </c>
      <c r="X3279" s="12">
        <v>1979</v>
      </c>
      <c r="Y3279" s="12">
        <v>581</v>
      </c>
      <c r="Z3279" s="12">
        <v>8.5</v>
      </c>
      <c r="AA3279" s="12">
        <v>2.35</v>
      </c>
      <c r="AB3279" s="12">
        <v>23000</v>
      </c>
      <c r="AC3279" s="12"/>
      <c r="AD3279" s="12" t="str">
        <f>IFERROR(__xludf.DUMMYFUNCTION("""COMPUTED_VALUE"""),"Kalim Chandler")</f>
        <v>Kalim Chandler</v>
      </c>
      <c r="AE3279" s="12"/>
    </row>
    <row r="3280" customHeight="1" spans="1:31">
      <c r="A3280" s="11" t="s">
        <v>30</v>
      </c>
      <c r="B3280" s="11" t="s">
        <v>7405</v>
      </c>
      <c r="C3280" s="11">
        <v>277</v>
      </c>
      <c r="D3280" s="11">
        <v>88</v>
      </c>
      <c r="E3280" s="11">
        <v>365</v>
      </c>
      <c r="F3280" s="11">
        <v>177</v>
      </c>
      <c r="G3280" s="11">
        <v>383</v>
      </c>
      <c r="H3280" s="11">
        <v>30859000</v>
      </c>
      <c r="I3280" s="11" t="s">
        <v>5544</v>
      </c>
      <c r="J3280" s="11" t="s">
        <v>10874</v>
      </c>
      <c r="K3280" s="11" t="s">
        <v>15595</v>
      </c>
      <c r="L3280" s="11" t="s">
        <v>15596</v>
      </c>
      <c r="M3280" s="11" t="s">
        <v>15597</v>
      </c>
      <c r="N3280" s="11">
        <v>96410</v>
      </c>
      <c r="O3280" s="11">
        <v>1094</v>
      </c>
      <c r="P3280" s="11">
        <v>0</v>
      </c>
      <c r="Q3280" s="11" t="s">
        <v>15598</v>
      </c>
      <c r="R3280" s="14" t="s">
        <v>15599</v>
      </c>
      <c r="S3280" s="11">
        <v>826</v>
      </c>
      <c r="T3280" s="11" t="s">
        <v>39</v>
      </c>
      <c r="U3280" s="11" t="s">
        <v>40</v>
      </c>
      <c r="V3280" s="11" t="s">
        <v>586</v>
      </c>
      <c r="W3280" s="11">
        <v>83532</v>
      </c>
      <c r="X3280" s="11">
        <v>1974</v>
      </c>
      <c r="Y3280" s="11">
        <v>371</v>
      </c>
      <c r="Z3280" s="11">
        <v>7.5</v>
      </c>
      <c r="AA3280" s="11">
        <v>1.85</v>
      </c>
      <c r="AB3280" s="11">
        <v>0</v>
      </c>
      <c r="AC3280" s="11"/>
      <c r="AD3280" s="11" t="str">
        <f>IFERROR(__xludf.DUMMYFUNCTION("""COMPUTED_VALUE"""),"Amber Marie Bollinger")</f>
        <v>Amber Marie Bollinger</v>
      </c>
      <c r="AE3280" s="11"/>
    </row>
    <row r="3281" customHeight="1" spans="1:31">
      <c r="A3281" s="12" t="s">
        <v>30</v>
      </c>
      <c r="B3281" s="12" t="s">
        <v>15600</v>
      </c>
      <c r="C3281" s="12">
        <v>259</v>
      </c>
      <c r="D3281" s="12">
        <v>106</v>
      </c>
      <c r="E3281" s="12">
        <v>50</v>
      </c>
      <c r="F3281" s="12">
        <v>741</v>
      </c>
      <c r="G3281" s="12">
        <v>17000</v>
      </c>
      <c r="H3281" s="12">
        <v>3571735</v>
      </c>
      <c r="I3281" s="12" t="s">
        <v>4297</v>
      </c>
      <c r="J3281" s="12" t="s">
        <v>559</v>
      </c>
      <c r="K3281" s="12" t="s">
        <v>10033</v>
      </c>
      <c r="L3281" s="12" t="s">
        <v>6532</v>
      </c>
      <c r="M3281" s="12" t="s">
        <v>15601</v>
      </c>
      <c r="N3281" s="12">
        <v>39260</v>
      </c>
      <c r="O3281" s="12">
        <v>21711</v>
      </c>
      <c r="P3281" s="12">
        <v>2</v>
      </c>
      <c r="Q3281" s="12" t="s">
        <v>15602</v>
      </c>
      <c r="R3281" s="15" t="s">
        <v>15603</v>
      </c>
      <c r="S3281" s="12">
        <v>129</v>
      </c>
      <c r="T3281" s="12" t="s">
        <v>39</v>
      </c>
      <c r="U3281" s="12" t="s">
        <v>40</v>
      </c>
      <c r="V3281" s="12" t="s">
        <v>586</v>
      </c>
      <c r="W3281" s="12">
        <v>10000000</v>
      </c>
      <c r="X3281" s="12">
        <v>2010</v>
      </c>
      <c r="Y3281" s="12">
        <v>908</v>
      </c>
      <c r="Z3281" s="12">
        <v>6.6</v>
      </c>
      <c r="AA3281" s="12">
        <v>2.35</v>
      </c>
      <c r="AB3281" s="12">
        <v>0</v>
      </c>
      <c r="AC3281" s="12"/>
      <c r="AD3281" s="12" t="str">
        <f>IFERROR(__xludf.DUMMYFUNCTION("""COMPUTED_VALUE"""),"Brigitte Helm")</f>
        <v>Brigitte Helm</v>
      </c>
      <c r="AE3281" s="12"/>
    </row>
    <row r="3282" customHeight="1" spans="1:31">
      <c r="A3282" s="11" t="s">
        <v>30</v>
      </c>
      <c r="B3282" s="11" t="s">
        <v>6998</v>
      </c>
      <c r="C3282" s="11">
        <v>66</v>
      </c>
      <c r="D3282" s="11">
        <v>181</v>
      </c>
      <c r="E3282" s="11">
        <v>278</v>
      </c>
      <c r="F3282" s="11">
        <v>51</v>
      </c>
      <c r="G3282" s="11">
        <v>402</v>
      </c>
      <c r="H3282" s="11">
        <v>50000000</v>
      </c>
      <c r="I3282" s="11" t="s">
        <v>12149</v>
      </c>
      <c r="J3282" s="11" t="s">
        <v>8903</v>
      </c>
      <c r="K3282" s="11" t="s">
        <v>2591</v>
      </c>
      <c r="L3282" s="11" t="s">
        <v>15604</v>
      </c>
      <c r="M3282" s="11" t="s">
        <v>15605</v>
      </c>
      <c r="N3282" s="11">
        <v>29839</v>
      </c>
      <c r="O3282" s="11">
        <v>934</v>
      </c>
      <c r="P3282" s="11">
        <v>0</v>
      </c>
      <c r="Q3282" s="11" t="s">
        <v>15606</v>
      </c>
      <c r="R3282" s="14" t="s">
        <v>15607</v>
      </c>
      <c r="S3282" s="11">
        <v>150</v>
      </c>
      <c r="T3282" s="11" t="s">
        <v>39</v>
      </c>
      <c r="U3282" s="11" t="s">
        <v>40</v>
      </c>
      <c r="V3282" s="11" t="s">
        <v>278</v>
      </c>
      <c r="W3282" s="11">
        <v>9000000</v>
      </c>
      <c r="X3282" s="11">
        <v>1971</v>
      </c>
      <c r="Y3282" s="11">
        <v>343</v>
      </c>
      <c r="Z3282" s="11">
        <v>8</v>
      </c>
      <c r="AA3282" s="11">
        <v>2.35</v>
      </c>
      <c r="AB3282" s="11">
        <v>0</v>
      </c>
      <c r="AC3282" s="11"/>
      <c r="AD3282" s="11" t="str">
        <f>IFERROR(__xludf.DUMMYFUNCTION("""COMPUTED_VALUE"""),"Gustav Fröhlich")</f>
        <v>Gustav Fröhlich</v>
      </c>
      <c r="AE3282" s="11"/>
    </row>
    <row r="3283" customHeight="1" spans="1:31">
      <c r="A3283" s="12" t="s">
        <v>30</v>
      </c>
      <c r="B3283" s="12" t="s">
        <v>5690</v>
      </c>
      <c r="C3283" s="12">
        <v>129</v>
      </c>
      <c r="D3283" s="12">
        <v>130</v>
      </c>
      <c r="E3283" s="12">
        <v>92</v>
      </c>
      <c r="F3283" s="12">
        <v>177</v>
      </c>
      <c r="G3283" s="12">
        <v>244</v>
      </c>
      <c r="H3283" s="12">
        <v>63600000</v>
      </c>
      <c r="I3283" s="12" t="s">
        <v>51</v>
      </c>
      <c r="J3283" s="12" t="s">
        <v>1093</v>
      </c>
      <c r="K3283" s="12" t="s">
        <v>15608</v>
      </c>
      <c r="L3283" s="12" t="s">
        <v>4827</v>
      </c>
      <c r="M3283" s="12" t="s">
        <v>15609</v>
      </c>
      <c r="N3283" s="12">
        <v>82073</v>
      </c>
      <c r="O3283" s="12">
        <v>1164</v>
      </c>
      <c r="P3283" s="12">
        <v>1</v>
      </c>
      <c r="Q3283" s="12" t="s">
        <v>15610</v>
      </c>
      <c r="R3283" s="15" t="s">
        <v>15611</v>
      </c>
      <c r="S3283" s="12">
        <v>275</v>
      </c>
      <c r="T3283" s="12" t="s">
        <v>39</v>
      </c>
      <c r="U3283" s="12" t="s">
        <v>58</v>
      </c>
      <c r="V3283" s="12" t="s">
        <v>6037</v>
      </c>
      <c r="W3283" s="12">
        <v>9000000</v>
      </c>
      <c r="X3283" s="12">
        <v>1965</v>
      </c>
      <c r="Y3283" s="12">
        <v>189</v>
      </c>
      <c r="Z3283" s="12">
        <v>7</v>
      </c>
      <c r="AA3283" s="12">
        <v>2.35</v>
      </c>
      <c r="AB3283" s="12">
        <v>0</v>
      </c>
      <c r="AC3283" s="12"/>
      <c r="AD3283" s="12" t="str">
        <f>IFERROR(__xludf.DUMMYFUNCTION("""COMPUTED_VALUE"""),"Rudolf Klein-Rogge")</f>
        <v>Rudolf Klein-Rogge</v>
      </c>
      <c r="AE3283" s="12"/>
    </row>
    <row r="3284" customHeight="1" spans="1:31">
      <c r="A3284" s="11" t="s">
        <v>30</v>
      </c>
      <c r="B3284" s="11" t="s">
        <v>6711</v>
      </c>
      <c r="C3284" s="11">
        <v>115</v>
      </c>
      <c r="D3284" s="11">
        <v>93</v>
      </c>
      <c r="E3284" s="11">
        <v>33</v>
      </c>
      <c r="F3284" s="11">
        <v>123</v>
      </c>
      <c r="G3284" s="11">
        <v>14000</v>
      </c>
      <c r="H3284" s="13"/>
      <c r="I3284" s="11" t="s">
        <v>12640</v>
      </c>
      <c r="J3284" s="11" t="s">
        <v>700</v>
      </c>
      <c r="K3284" s="11" t="s">
        <v>15612</v>
      </c>
      <c r="L3284" s="11" t="s">
        <v>15613</v>
      </c>
      <c r="M3284" s="11" t="s">
        <v>15614</v>
      </c>
      <c r="N3284" s="11">
        <v>12520</v>
      </c>
      <c r="O3284" s="11">
        <v>15014</v>
      </c>
      <c r="P3284" s="11">
        <v>2</v>
      </c>
      <c r="Q3284" s="11" t="s">
        <v>15615</v>
      </c>
      <c r="R3284" s="14" t="s">
        <v>15616</v>
      </c>
      <c r="S3284" s="11">
        <v>76</v>
      </c>
      <c r="T3284" s="11" t="s">
        <v>39</v>
      </c>
      <c r="U3284" s="11" t="s">
        <v>40</v>
      </c>
      <c r="V3284" s="11" t="s">
        <v>586</v>
      </c>
      <c r="W3284" s="11">
        <v>10000000</v>
      </c>
      <c r="X3284" s="11">
        <v>2011</v>
      </c>
      <c r="Y3284" s="11">
        <v>383</v>
      </c>
      <c r="Z3284" s="11">
        <v>5.8</v>
      </c>
      <c r="AA3284" s="11">
        <v>2.35</v>
      </c>
      <c r="AB3284" s="11">
        <v>0</v>
      </c>
      <c r="AC3284" s="11"/>
      <c r="AD3284" s="11" t="str">
        <f>IFERROR(__xludf.DUMMYFUNCTION("""COMPUTED_VALUE"""),"Dany Verissimo-Petit")</f>
        <v>Dany Verissimo-Petit</v>
      </c>
      <c r="AE3284" s="11"/>
    </row>
    <row r="3285" customHeight="1" spans="1:31">
      <c r="A3285" s="12" t="s">
        <v>30</v>
      </c>
      <c r="B3285" s="12" t="s">
        <v>15617</v>
      </c>
      <c r="C3285" s="12">
        <v>81</v>
      </c>
      <c r="D3285" s="12">
        <v>110</v>
      </c>
      <c r="E3285" s="12">
        <v>798</v>
      </c>
      <c r="F3285" s="12">
        <v>16</v>
      </c>
      <c r="G3285" s="12">
        <v>580</v>
      </c>
      <c r="H3285" s="16"/>
      <c r="I3285" s="12" t="s">
        <v>1415</v>
      </c>
      <c r="J3285" s="12" t="s">
        <v>11243</v>
      </c>
      <c r="K3285" s="12" t="s">
        <v>15618</v>
      </c>
      <c r="L3285" s="12" t="s">
        <v>15619</v>
      </c>
      <c r="M3285" s="12" t="s">
        <v>15620</v>
      </c>
      <c r="N3285" s="12">
        <v>8667</v>
      </c>
      <c r="O3285" s="12">
        <v>662</v>
      </c>
      <c r="P3285" s="12">
        <v>9</v>
      </c>
      <c r="Q3285" s="12" t="s">
        <v>15621</v>
      </c>
      <c r="R3285" s="15" t="s">
        <v>15622</v>
      </c>
      <c r="S3285" s="12">
        <v>29</v>
      </c>
      <c r="T3285" s="12" t="s">
        <v>9796</v>
      </c>
      <c r="U3285" s="12" t="s">
        <v>7091</v>
      </c>
      <c r="V3285" s="16"/>
      <c r="W3285" s="16"/>
      <c r="X3285" s="12">
        <v>2010</v>
      </c>
      <c r="Y3285" s="12">
        <v>26</v>
      </c>
      <c r="Z3285" s="12">
        <v>7.3</v>
      </c>
      <c r="AA3285" s="12">
        <v>2.35</v>
      </c>
      <c r="AB3285" s="12">
        <v>0</v>
      </c>
      <c r="AC3285" s="12"/>
      <c r="AD3285" s="12" t="str">
        <f>IFERROR(__xludf.DUMMYFUNCTION("""COMPUTED_VALUE"""),"Satoshi Tsumabuki")</f>
        <v>Satoshi Tsumabuki</v>
      </c>
      <c r="AE3285" s="12"/>
    </row>
    <row r="3286" customHeight="1" spans="1:31">
      <c r="A3286" s="11" t="s">
        <v>30</v>
      </c>
      <c r="B3286" s="11" t="s">
        <v>3089</v>
      </c>
      <c r="C3286" s="11">
        <v>29</v>
      </c>
      <c r="D3286" s="11">
        <v>123</v>
      </c>
      <c r="E3286" s="11">
        <v>473</v>
      </c>
      <c r="F3286" s="11">
        <v>685</v>
      </c>
      <c r="G3286" s="11">
        <v>890</v>
      </c>
      <c r="H3286" s="11">
        <v>36049108</v>
      </c>
      <c r="I3286" s="11" t="s">
        <v>5806</v>
      </c>
      <c r="J3286" s="11" t="s">
        <v>634</v>
      </c>
      <c r="K3286" s="11" t="s">
        <v>805</v>
      </c>
      <c r="L3286" s="11" t="s">
        <v>7214</v>
      </c>
      <c r="M3286" s="11" t="s">
        <v>15623</v>
      </c>
      <c r="N3286" s="11">
        <v>10139</v>
      </c>
      <c r="O3286" s="11">
        <v>3661</v>
      </c>
      <c r="P3286" s="11">
        <v>4</v>
      </c>
      <c r="Q3286" s="11" t="s">
        <v>15624</v>
      </c>
      <c r="R3286" s="14" t="s">
        <v>15625</v>
      </c>
      <c r="S3286" s="11">
        <v>70</v>
      </c>
      <c r="T3286" s="11" t="s">
        <v>39</v>
      </c>
      <c r="U3286" s="11" t="s">
        <v>40</v>
      </c>
      <c r="V3286" s="11" t="s">
        <v>586</v>
      </c>
      <c r="W3286" s="11">
        <v>9000000</v>
      </c>
      <c r="X3286" s="11">
        <v>1996</v>
      </c>
      <c r="Y3286" s="11">
        <v>851</v>
      </c>
      <c r="Z3286" s="11">
        <v>6.8</v>
      </c>
      <c r="AA3286" s="11">
        <v>2.35</v>
      </c>
      <c r="AB3286" s="11">
        <v>0</v>
      </c>
      <c r="AC3286" s="11"/>
      <c r="AD3286" s="11" t="str">
        <f>IFERROR(__xludf.DUMMYFUNCTION("""COMPUTED_VALUE"""),"Konstantin Lavronenko")</f>
        <v>Konstantin Lavronenko</v>
      </c>
      <c r="AE3286" s="11"/>
    </row>
    <row r="3287" customHeight="1" spans="1:31">
      <c r="A3287" s="12" t="s">
        <v>30</v>
      </c>
      <c r="B3287" s="12" t="s">
        <v>6801</v>
      </c>
      <c r="C3287" s="12">
        <v>32</v>
      </c>
      <c r="D3287" s="12">
        <v>120</v>
      </c>
      <c r="E3287" s="12">
        <v>92</v>
      </c>
      <c r="F3287" s="12">
        <v>862</v>
      </c>
      <c r="G3287" s="12">
        <v>1000</v>
      </c>
      <c r="H3287" s="12">
        <v>34074895</v>
      </c>
      <c r="I3287" s="12" t="s">
        <v>2528</v>
      </c>
      <c r="J3287" s="12" t="s">
        <v>2808</v>
      </c>
      <c r="K3287" s="12" t="s">
        <v>2232</v>
      </c>
      <c r="L3287" s="12" t="s">
        <v>15626</v>
      </c>
      <c r="M3287" s="12" t="s">
        <v>15627</v>
      </c>
      <c r="N3287" s="12">
        <v>6525</v>
      </c>
      <c r="O3287" s="12">
        <v>5420</v>
      </c>
      <c r="P3287" s="12">
        <v>6</v>
      </c>
      <c r="Q3287" s="12" t="s">
        <v>15628</v>
      </c>
      <c r="R3287" s="15" t="s">
        <v>15629</v>
      </c>
      <c r="S3287" s="12">
        <v>79</v>
      </c>
      <c r="T3287" s="12" t="s">
        <v>39</v>
      </c>
      <c r="U3287" s="12" t="s">
        <v>40</v>
      </c>
      <c r="V3287" s="12" t="s">
        <v>586</v>
      </c>
      <c r="W3287" s="12">
        <v>9000000</v>
      </c>
      <c r="X3287" s="12">
        <v>1999</v>
      </c>
      <c r="Y3287" s="12">
        <v>886</v>
      </c>
      <c r="Z3287" s="12">
        <v>6.7</v>
      </c>
      <c r="AA3287" s="12">
        <v>1.85</v>
      </c>
      <c r="AB3287" s="12">
        <v>0</v>
      </c>
      <c r="AC3287" s="12"/>
      <c r="AD3287" s="12" t="str">
        <f>IFERROR(__xludf.DUMMYFUNCTION("""COMPUTED_VALUE"""),"Vladimir Garin")</f>
        <v>Vladimir Garin</v>
      </c>
      <c r="AE3287" s="12"/>
    </row>
    <row r="3288" customHeight="1" spans="1:31">
      <c r="A3288" s="11" t="s">
        <v>30</v>
      </c>
      <c r="B3288" s="11" t="s">
        <v>13469</v>
      </c>
      <c r="C3288" s="11">
        <v>142</v>
      </c>
      <c r="D3288" s="11">
        <v>87</v>
      </c>
      <c r="E3288" s="11">
        <v>85</v>
      </c>
      <c r="F3288" s="11">
        <v>118</v>
      </c>
      <c r="G3288" s="11">
        <v>311</v>
      </c>
      <c r="H3288" s="11">
        <v>33244684</v>
      </c>
      <c r="I3288" s="11" t="s">
        <v>7406</v>
      </c>
      <c r="J3288" s="11" t="s">
        <v>15630</v>
      </c>
      <c r="K3288" s="11" t="s">
        <v>15631</v>
      </c>
      <c r="L3288" s="11" t="s">
        <v>15632</v>
      </c>
      <c r="M3288" s="11" t="s">
        <v>15633</v>
      </c>
      <c r="N3288" s="11">
        <v>62038</v>
      </c>
      <c r="O3288" s="11">
        <v>760</v>
      </c>
      <c r="P3288" s="11">
        <v>0</v>
      </c>
      <c r="Q3288" s="11" t="s">
        <v>15634</v>
      </c>
      <c r="R3288" s="14" t="s">
        <v>15635</v>
      </c>
      <c r="S3288" s="11">
        <v>281</v>
      </c>
      <c r="T3288" s="11" t="s">
        <v>39</v>
      </c>
      <c r="U3288" s="11" t="s">
        <v>40</v>
      </c>
      <c r="V3288" s="11" t="s">
        <v>586</v>
      </c>
      <c r="W3288" s="11">
        <v>9000000</v>
      </c>
      <c r="X3288" s="11">
        <v>1988</v>
      </c>
      <c r="Y3288" s="11">
        <v>189</v>
      </c>
      <c r="Z3288" s="11">
        <v>6.5</v>
      </c>
      <c r="AA3288" s="11">
        <v>1.85</v>
      </c>
      <c r="AB3288" s="11">
        <v>0</v>
      </c>
      <c r="AC3288" s="11"/>
      <c r="AD3288" s="11" t="str">
        <f>IFERROR(__xludf.DUMMYFUNCTION("""COMPUTED_VALUE"""),"Nataliya Vdovina")</f>
        <v>Nataliya Vdovina</v>
      </c>
      <c r="AE3288" s="11"/>
    </row>
    <row r="3289" customHeight="1" spans="1:31">
      <c r="A3289" s="12" t="s">
        <v>30</v>
      </c>
      <c r="B3289" s="12" t="s">
        <v>3807</v>
      </c>
      <c r="C3289" s="12">
        <v>263</v>
      </c>
      <c r="D3289" s="12">
        <v>123</v>
      </c>
      <c r="E3289" s="12">
        <v>909</v>
      </c>
      <c r="F3289" s="12">
        <v>184</v>
      </c>
      <c r="G3289" s="12">
        <v>909</v>
      </c>
      <c r="H3289" s="12">
        <v>24530513</v>
      </c>
      <c r="I3289" s="12" t="s">
        <v>2890</v>
      </c>
      <c r="J3289" s="12" t="s">
        <v>3807</v>
      </c>
      <c r="K3289" s="12" t="s">
        <v>15636</v>
      </c>
      <c r="L3289" s="12" t="s">
        <v>15637</v>
      </c>
      <c r="M3289" s="12" t="s">
        <v>15638</v>
      </c>
      <c r="N3289" s="12">
        <v>66610</v>
      </c>
      <c r="O3289" s="12">
        <v>1633</v>
      </c>
      <c r="P3289" s="12">
        <v>1</v>
      </c>
      <c r="Q3289" s="12" t="s">
        <v>15639</v>
      </c>
      <c r="R3289" s="15" t="s">
        <v>15640</v>
      </c>
      <c r="S3289" s="12">
        <v>429</v>
      </c>
      <c r="T3289" s="12" t="s">
        <v>39</v>
      </c>
      <c r="U3289" s="12" t="s">
        <v>40</v>
      </c>
      <c r="V3289" s="12" t="s">
        <v>41</v>
      </c>
      <c r="W3289" s="12">
        <v>9000000</v>
      </c>
      <c r="X3289" s="12">
        <v>2007</v>
      </c>
      <c r="Y3289" s="12">
        <v>203</v>
      </c>
      <c r="Z3289" s="12">
        <v>8</v>
      </c>
      <c r="AA3289" s="12">
        <v>1.85</v>
      </c>
      <c r="AB3289" s="12">
        <v>0</v>
      </c>
      <c r="AC3289" s="12"/>
      <c r="AD3289" s="12" t="str">
        <f>IFERROR(__xludf.DUMMYFUNCTION("""COMPUTED_VALUE"""),"Nirut Sirichanya")</f>
        <v>Nirut Sirichanya</v>
      </c>
      <c r="AE3289" s="12"/>
    </row>
    <row r="3290" customHeight="1" spans="1:31">
      <c r="A3290" s="11" t="s">
        <v>30</v>
      </c>
      <c r="B3290" s="11" t="s">
        <v>14800</v>
      </c>
      <c r="C3290" s="11">
        <v>285</v>
      </c>
      <c r="D3290" s="11">
        <v>103</v>
      </c>
      <c r="E3290" s="11">
        <v>65</v>
      </c>
      <c r="F3290" s="11">
        <v>908</v>
      </c>
      <c r="G3290" s="11">
        <v>2000</v>
      </c>
      <c r="H3290" s="11">
        <v>71519230</v>
      </c>
      <c r="I3290" s="11" t="s">
        <v>2208</v>
      </c>
      <c r="J3290" s="11" t="s">
        <v>5732</v>
      </c>
      <c r="K3290" s="11" t="s">
        <v>8227</v>
      </c>
      <c r="L3290" s="11" t="s">
        <v>15641</v>
      </c>
      <c r="M3290" s="11" t="s">
        <v>15642</v>
      </c>
      <c r="N3290" s="11">
        <v>92364</v>
      </c>
      <c r="O3290" s="11">
        <v>6807</v>
      </c>
      <c r="P3290" s="11">
        <v>0</v>
      </c>
      <c r="Q3290" s="11" t="s">
        <v>15643</v>
      </c>
      <c r="R3290" s="14" t="s">
        <v>15644</v>
      </c>
      <c r="S3290" s="11">
        <v>244</v>
      </c>
      <c r="T3290" s="11" t="s">
        <v>39</v>
      </c>
      <c r="U3290" s="11" t="s">
        <v>40</v>
      </c>
      <c r="V3290" s="11" t="s">
        <v>586</v>
      </c>
      <c r="W3290" s="11">
        <v>9000000</v>
      </c>
      <c r="X3290" s="11">
        <v>2014</v>
      </c>
      <c r="Y3290" s="11">
        <v>971</v>
      </c>
      <c r="Z3290" s="11">
        <v>6.5</v>
      </c>
      <c r="AA3290" s="11">
        <v>2.35</v>
      </c>
      <c r="AB3290" s="11">
        <v>15000</v>
      </c>
      <c r="AC3290" s="11"/>
      <c r="AD3290" s="11" t="str">
        <f>IFERROR(__xludf.DUMMYFUNCTION("""COMPUTED_VALUE"""),"Petchtai Wongkamlao")</f>
        <v>Petchtai Wongkamlao</v>
      </c>
      <c r="AE3290" s="11"/>
    </row>
    <row r="3291" customHeight="1" spans="1:31">
      <c r="A3291" s="12" t="s">
        <v>30</v>
      </c>
      <c r="B3291" s="12" t="s">
        <v>15645</v>
      </c>
      <c r="C3291" s="12">
        <v>64</v>
      </c>
      <c r="D3291" s="12">
        <v>91</v>
      </c>
      <c r="E3291" s="12">
        <v>0</v>
      </c>
      <c r="F3291" s="12">
        <v>407</v>
      </c>
      <c r="G3291" s="12">
        <v>3000</v>
      </c>
      <c r="H3291" s="12">
        <v>20035310</v>
      </c>
      <c r="I3291" s="12" t="s">
        <v>1415</v>
      </c>
      <c r="J3291" s="12" t="s">
        <v>984</v>
      </c>
      <c r="K3291" s="12" t="s">
        <v>14539</v>
      </c>
      <c r="L3291" s="12" t="s">
        <v>10020</v>
      </c>
      <c r="M3291" s="12" t="s">
        <v>15646</v>
      </c>
      <c r="N3291" s="12">
        <v>12324</v>
      </c>
      <c r="O3291" s="12">
        <v>4409</v>
      </c>
      <c r="P3291" s="12">
        <v>1</v>
      </c>
      <c r="Q3291" s="12" t="s">
        <v>15647</v>
      </c>
      <c r="R3291" s="15" t="s">
        <v>15648</v>
      </c>
      <c r="S3291" s="12">
        <v>173</v>
      </c>
      <c r="T3291" s="12" t="s">
        <v>39</v>
      </c>
      <c r="U3291" s="12" t="s">
        <v>40</v>
      </c>
      <c r="V3291" s="12" t="s">
        <v>41</v>
      </c>
      <c r="W3291" s="12">
        <v>9000000</v>
      </c>
      <c r="X3291" s="12">
        <v>2000</v>
      </c>
      <c r="Y3291" s="12">
        <v>683</v>
      </c>
      <c r="Z3291" s="12">
        <v>4.9</v>
      </c>
      <c r="AA3291" s="12">
        <v>1.85</v>
      </c>
      <c r="AB3291" s="12">
        <v>580</v>
      </c>
      <c r="AC3291" s="12"/>
      <c r="AD3291" s="12" t="str">
        <f>IFERROR(__xludf.DUMMYFUNCTION("""COMPUTED_VALUE"""),"Sarunyu Wongkrachang")</f>
        <v>Sarunyu Wongkrachang</v>
      </c>
      <c r="AE3291" s="12"/>
    </row>
    <row r="3292" customHeight="1" spans="1:31">
      <c r="A3292" s="11" t="s">
        <v>30</v>
      </c>
      <c r="B3292" s="11" t="s">
        <v>13673</v>
      </c>
      <c r="C3292" s="11">
        <v>150</v>
      </c>
      <c r="D3292" s="11">
        <v>88</v>
      </c>
      <c r="E3292" s="11">
        <v>8</v>
      </c>
      <c r="F3292" s="11">
        <v>587</v>
      </c>
      <c r="G3292" s="11">
        <v>982</v>
      </c>
      <c r="H3292" s="11">
        <v>18225165</v>
      </c>
      <c r="I3292" s="11" t="s">
        <v>4220</v>
      </c>
      <c r="J3292" s="11" t="s">
        <v>2643</v>
      </c>
      <c r="K3292" s="11" t="s">
        <v>417</v>
      </c>
      <c r="L3292" s="11" t="s">
        <v>9292</v>
      </c>
      <c r="M3292" s="11" t="s">
        <v>15649</v>
      </c>
      <c r="N3292" s="11">
        <v>155262</v>
      </c>
      <c r="O3292" s="11">
        <v>3114</v>
      </c>
      <c r="P3292" s="11">
        <v>2</v>
      </c>
      <c r="Q3292" s="11" t="s">
        <v>15650</v>
      </c>
      <c r="R3292" s="14" t="s">
        <v>15651</v>
      </c>
      <c r="S3292" s="11">
        <v>316</v>
      </c>
      <c r="T3292" s="11" t="s">
        <v>39</v>
      </c>
      <c r="U3292" s="11" t="s">
        <v>40</v>
      </c>
      <c r="V3292" s="11" t="s">
        <v>586</v>
      </c>
      <c r="W3292" s="11">
        <v>9000000</v>
      </c>
      <c r="X3292" s="11">
        <v>2004</v>
      </c>
      <c r="Y3292" s="11">
        <v>729</v>
      </c>
      <c r="Z3292" s="11">
        <v>7.1</v>
      </c>
      <c r="AA3292" s="11">
        <v>1.85</v>
      </c>
      <c r="AB3292" s="11">
        <v>0</v>
      </c>
      <c r="AC3292" s="11"/>
      <c r="AD3292" s="11" t="str">
        <f>IFERROR(__xludf.DUMMYFUNCTION("""COMPUTED_VALUE"""),"JJ Feild")</f>
        <v>JJ Feild</v>
      </c>
      <c r="AE3292" s="11"/>
    </row>
    <row r="3293" customHeight="1" spans="1:31">
      <c r="A3293" s="12" t="s">
        <v>30</v>
      </c>
      <c r="B3293" s="12" t="s">
        <v>4352</v>
      </c>
      <c r="C3293" s="12">
        <v>136</v>
      </c>
      <c r="D3293" s="12">
        <v>126</v>
      </c>
      <c r="E3293" s="12">
        <v>37</v>
      </c>
      <c r="F3293" s="12">
        <v>883</v>
      </c>
      <c r="G3293" s="12">
        <v>12000</v>
      </c>
      <c r="H3293" s="12">
        <v>17804273</v>
      </c>
      <c r="I3293" s="12" t="s">
        <v>4075</v>
      </c>
      <c r="J3293" s="12" t="s">
        <v>301</v>
      </c>
      <c r="K3293" s="12" t="s">
        <v>440</v>
      </c>
      <c r="L3293" s="12" t="s">
        <v>12804</v>
      </c>
      <c r="M3293" s="12" t="s">
        <v>15652</v>
      </c>
      <c r="N3293" s="12">
        <v>20449</v>
      </c>
      <c r="O3293" s="12">
        <v>25660</v>
      </c>
      <c r="P3293" s="12">
        <v>0</v>
      </c>
      <c r="Q3293" s="12" t="s">
        <v>15653</v>
      </c>
      <c r="R3293" s="15" t="s">
        <v>15654</v>
      </c>
      <c r="S3293" s="12">
        <v>370</v>
      </c>
      <c r="T3293" s="12" t="s">
        <v>39</v>
      </c>
      <c r="U3293" s="12" t="s">
        <v>40</v>
      </c>
      <c r="V3293" s="12" t="s">
        <v>586</v>
      </c>
      <c r="W3293" s="12">
        <v>20000000</v>
      </c>
      <c r="X3293" s="12">
        <v>2000</v>
      </c>
      <c r="Y3293" s="12">
        <v>10000</v>
      </c>
      <c r="Z3293" s="12">
        <v>7</v>
      </c>
      <c r="AA3293" s="12">
        <v>1.85</v>
      </c>
      <c r="AB3293" s="12">
        <v>1000</v>
      </c>
      <c r="AC3293" s="12"/>
      <c r="AD3293" s="12" t="str">
        <f>IFERROR(__xludf.DUMMYFUNCTION("""COMPUTED_VALUE"""),"Gina Bellman")</f>
        <v>Gina Bellman</v>
      </c>
      <c r="AE3293" s="12"/>
    </row>
    <row r="3294" customHeight="1" spans="1:31">
      <c r="A3294" s="11" t="s">
        <v>30</v>
      </c>
      <c r="B3294" s="11" t="s">
        <v>15655</v>
      </c>
      <c r="C3294" s="11">
        <v>132</v>
      </c>
      <c r="D3294" s="11">
        <v>120</v>
      </c>
      <c r="E3294" s="11">
        <v>46</v>
      </c>
      <c r="F3294" s="11">
        <v>701</v>
      </c>
      <c r="G3294" s="11">
        <v>14000</v>
      </c>
      <c r="H3294" s="11">
        <v>16938179</v>
      </c>
      <c r="I3294" s="11" t="s">
        <v>2126</v>
      </c>
      <c r="J3294" s="11" t="s">
        <v>337</v>
      </c>
      <c r="K3294" s="11" t="s">
        <v>6383</v>
      </c>
      <c r="L3294" s="11" t="s">
        <v>5065</v>
      </c>
      <c r="M3294" s="11" t="s">
        <v>15656</v>
      </c>
      <c r="N3294" s="11">
        <v>41313</v>
      </c>
      <c r="O3294" s="11">
        <v>17336</v>
      </c>
      <c r="P3294" s="11">
        <v>3</v>
      </c>
      <c r="Q3294" s="11" t="s">
        <v>15657</v>
      </c>
      <c r="R3294" s="14" t="s">
        <v>15658</v>
      </c>
      <c r="S3294" s="11">
        <v>246</v>
      </c>
      <c r="T3294" s="11" t="s">
        <v>39</v>
      </c>
      <c r="U3294" s="11" t="s">
        <v>40</v>
      </c>
      <c r="V3294" s="11" t="s">
        <v>586</v>
      </c>
      <c r="W3294" s="11">
        <v>8000000</v>
      </c>
      <c r="X3294" s="11">
        <v>2000</v>
      </c>
      <c r="Y3294" s="11">
        <v>826</v>
      </c>
      <c r="Z3294" s="11">
        <v>7</v>
      </c>
      <c r="AA3294" s="11">
        <v>1.85</v>
      </c>
      <c r="AB3294" s="11">
        <v>0</v>
      </c>
      <c r="AC3294" s="11"/>
      <c r="AD3294" s="11" t="str">
        <f>IFERROR(__xludf.DUMMYFUNCTION("""COMPUTED_VALUE"""),"Conrad Dunn")</f>
        <v>Conrad Dunn</v>
      </c>
      <c r="AE3294" s="11"/>
    </row>
    <row r="3295" customHeight="1" spans="1:31">
      <c r="A3295" s="12" t="s">
        <v>30</v>
      </c>
      <c r="B3295" s="12" t="s">
        <v>5246</v>
      </c>
      <c r="C3295" s="12">
        <v>71</v>
      </c>
      <c r="D3295" s="12">
        <v>116</v>
      </c>
      <c r="E3295" s="12">
        <v>644</v>
      </c>
      <c r="F3295" s="12">
        <v>199</v>
      </c>
      <c r="G3295" s="12">
        <v>392</v>
      </c>
      <c r="H3295" s="12">
        <v>90400000</v>
      </c>
      <c r="I3295" s="12" t="s">
        <v>1672</v>
      </c>
      <c r="J3295" s="12" t="s">
        <v>15659</v>
      </c>
      <c r="K3295" s="12" t="s">
        <v>15660</v>
      </c>
      <c r="L3295" s="12" t="s">
        <v>15661</v>
      </c>
      <c r="M3295" s="12" t="s">
        <v>15662</v>
      </c>
      <c r="N3295" s="12">
        <v>102895</v>
      </c>
      <c r="O3295" s="12">
        <v>845</v>
      </c>
      <c r="P3295" s="12">
        <v>2</v>
      </c>
      <c r="Q3295" s="12" t="s">
        <v>15663</v>
      </c>
      <c r="R3295" s="15" t="s">
        <v>15664</v>
      </c>
      <c r="S3295" s="12">
        <v>159</v>
      </c>
      <c r="T3295" s="12" t="s">
        <v>39</v>
      </c>
      <c r="U3295" s="12" t="s">
        <v>40</v>
      </c>
      <c r="V3295" s="12" t="s">
        <v>586</v>
      </c>
      <c r="W3295" s="16"/>
      <c r="X3295" s="12">
        <v>1983</v>
      </c>
      <c r="Y3295" s="12">
        <v>249</v>
      </c>
      <c r="Z3295" s="12">
        <v>7.5</v>
      </c>
      <c r="AA3295" s="12">
        <v>1.85</v>
      </c>
      <c r="AB3295" s="12">
        <v>0</v>
      </c>
      <c r="AC3295" s="12"/>
      <c r="AD3295" s="12" t="str">
        <f>IFERROR(__xludf.DUMMYFUNCTION("""COMPUTED_VALUE"""),"Aubrey Poo")</f>
        <v>Aubrey Poo</v>
      </c>
      <c r="AE3295" s="12"/>
    </row>
    <row r="3296" customHeight="1" spans="1:31">
      <c r="A3296" s="11" t="s">
        <v>30</v>
      </c>
      <c r="B3296" s="11" t="s">
        <v>11319</v>
      </c>
      <c r="C3296" s="11">
        <v>186</v>
      </c>
      <c r="D3296" s="11">
        <v>94</v>
      </c>
      <c r="E3296" s="11">
        <v>17</v>
      </c>
      <c r="F3296" s="11">
        <v>179</v>
      </c>
      <c r="G3296" s="11">
        <v>607</v>
      </c>
      <c r="H3296" s="11">
        <v>16235293</v>
      </c>
      <c r="I3296" s="11" t="s">
        <v>6403</v>
      </c>
      <c r="J3296" s="11" t="s">
        <v>4145</v>
      </c>
      <c r="K3296" s="11" t="s">
        <v>5661</v>
      </c>
      <c r="L3296" s="11" t="s">
        <v>8003</v>
      </c>
      <c r="M3296" s="11" t="s">
        <v>15665</v>
      </c>
      <c r="N3296" s="11">
        <v>19918</v>
      </c>
      <c r="O3296" s="11">
        <v>1611</v>
      </c>
      <c r="P3296" s="11">
        <v>0</v>
      </c>
      <c r="Q3296" s="11" t="s">
        <v>15666</v>
      </c>
      <c r="R3296" s="14" t="s">
        <v>15667</v>
      </c>
      <c r="S3296" s="11">
        <v>278</v>
      </c>
      <c r="T3296" s="11" t="s">
        <v>39</v>
      </c>
      <c r="U3296" s="11" t="s">
        <v>40</v>
      </c>
      <c r="V3296" s="11" t="s">
        <v>586</v>
      </c>
      <c r="W3296" s="11">
        <v>9000000</v>
      </c>
      <c r="X3296" s="11">
        <v>2006</v>
      </c>
      <c r="Y3296" s="11">
        <v>318</v>
      </c>
      <c r="Z3296" s="11">
        <v>4.5</v>
      </c>
      <c r="AA3296" s="11">
        <v>2.35</v>
      </c>
      <c r="AB3296" s="11">
        <v>0</v>
      </c>
      <c r="AC3296" s="11"/>
      <c r="AD3296" s="11" t="str">
        <f>IFERROR(__xludf.DUMMYFUNCTION("""COMPUTED_VALUE"""),"Edward Fox")</f>
        <v>Edward Fox</v>
      </c>
      <c r="AE3296" s="11"/>
    </row>
    <row r="3297" customHeight="1" spans="1:31">
      <c r="A3297" s="12" t="s">
        <v>30</v>
      </c>
      <c r="B3297" s="12" t="s">
        <v>15668</v>
      </c>
      <c r="C3297" s="12">
        <v>39</v>
      </c>
      <c r="D3297" s="12">
        <v>85</v>
      </c>
      <c r="E3297" s="12">
        <v>2</v>
      </c>
      <c r="F3297" s="12">
        <v>127</v>
      </c>
      <c r="G3297" s="12">
        <v>911</v>
      </c>
      <c r="H3297" s="12">
        <v>11827301</v>
      </c>
      <c r="I3297" s="12" t="s">
        <v>1681</v>
      </c>
      <c r="J3297" s="12" t="s">
        <v>5166</v>
      </c>
      <c r="K3297" s="12" t="s">
        <v>3453</v>
      </c>
      <c r="L3297" s="12" t="s">
        <v>15669</v>
      </c>
      <c r="M3297" s="12" t="s">
        <v>15670</v>
      </c>
      <c r="N3297" s="12">
        <v>4247</v>
      </c>
      <c r="O3297" s="12">
        <v>1345</v>
      </c>
      <c r="P3297" s="12">
        <v>1</v>
      </c>
      <c r="Q3297" s="12" t="s">
        <v>15671</v>
      </c>
      <c r="R3297" s="15" t="s">
        <v>15672</v>
      </c>
      <c r="S3297" s="12">
        <v>26</v>
      </c>
      <c r="T3297" s="12" t="s">
        <v>39</v>
      </c>
      <c r="U3297" s="12" t="s">
        <v>40</v>
      </c>
      <c r="V3297" s="12" t="s">
        <v>41</v>
      </c>
      <c r="W3297" s="16"/>
      <c r="X3297" s="12">
        <v>2004</v>
      </c>
      <c r="Y3297" s="12">
        <v>150</v>
      </c>
      <c r="Z3297" s="12">
        <v>5.5</v>
      </c>
      <c r="AA3297" s="12">
        <v>2.35</v>
      </c>
      <c r="AB3297" s="12">
        <v>266</v>
      </c>
      <c r="AC3297" s="12"/>
      <c r="AD3297" s="12" t="str">
        <f>IFERROR(__xludf.DUMMYFUNCTION("""COMPUTED_VALUE"""),"Gael Le Cornec")</f>
        <v>Gael Le Cornec</v>
      </c>
      <c r="AE3297" s="12"/>
    </row>
    <row r="3298" customHeight="1" spans="1:31">
      <c r="A3298" s="11" t="s">
        <v>30</v>
      </c>
      <c r="B3298" s="11" t="s">
        <v>858</v>
      </c>
      <c r="C3298" s="11">
        <v>46</v>
      </c>
      <c r="D3298" s="11">
        <v>137</v>
      </c>
      <c r="E3298" s="11">
        <v>0</v>
      </c>
      <c r="F3298" s="11">
        <v>130</v>
      </c>
      <c r="G3298" s="11">
        <v>591</v>
      </c>
      <c r="H3298" s="11">
        <v>10161099</v>
      </c>
      <c r="I3298" s="11" t="s">
        <v>15673</v>
      </c>
      <c r="J3298" s="11" t="s">
        <v>764</v>
      </c>
      <c r="K3298" s="11" t="s">
        <v>1997</v>
      </c>
      <c r="L3298" s="11" t="s">
        <v>15674</v>
      </c>
      <c r="M3298" s="11" t="s">
        <v>15675</v>
      </c>
      <c r="N3298" s="11">
        <v>23441</v>
      </c>
      <c r="O3298" s="11">
        <v>1341</v>
      </c>
      <c r="P3298" s="11">
        <v>1</v>
      </c>
      <c r="Q3298" s="11" t="s">
        <v>15676</v>
      </c>
      <c r="R3298" s="14" t="s">
        <v>15677</v>
      </c>
      <c r="S3298" s="11">
        <v>108</v>
      </c>
      <c r="T3298" s="11" t="s">
        <v>39</v>
      </c>
      <c r="U3298" s="11" t="s">
        <v>58</v>
      </c>
      <c r="V3298" s="11" t="s">
        <v>41</v>
      </c>
      <c r="W3298" s="11">
        <v>9000000</v>
      </c>
      <c r="X3298" s="11">
        <v>1989</v>
      </c>
      <c r="Y3298" s="11">
        <v>520</v>
      </c>
      <c r="Z3298" s="11">
        <v>7.7</v>
      </c>
      <c r="AA3298" s="11">
        <v>1.85</v>
      </c>
      <c r="AB3298" s="11">
        <v>0</v>
      </c>
      <c r="AC3298" s="11"/>
      <c r="AD3298" s="11" t="str">
        <f>IFERROR(__xludf.DUMMYFUNCTION("""COMPUTED_VALUE"""),"Hans Matheson")</f>
        <v>Hans Matheson</v>
      </c>
      <c r="AE3298" s="11"/>
    </row>
    <row r="3299" customHeight="1" spans="1:31">
      <c r="A3299" s="12" t="s">
        <v>30</v>
      </c>
      <c r="B3299" s="12" t="s">
        <v>15678</v>
      </c>
      <c r="C3299" s="12">
        <v>201</v>
      </c>
      <c r="D3299" s="12">
        <v>114</v>
      </c>
      <c r="E3299" s="12">
        <v>84</v>
      </c>
      <c r="F3299" s="12">
        <v>338</v>
      </c>
      <c r="G3299" s="12">
        <v>22000</v>
      </c>
      <c r="H3299" s="12">
        <v>6610326</v>
      </c>
      <c r="I3299" s="12" t="s">
        <v>2528</v>
      </c>
      <c r="J3299" s="12" t="s">
        <v>699</v>
      </c>
      <c r="K3299" s="12" t="s">
        <v>3736</v>
      </c>
      <c r="L3299" s="12" t="s">
        <v>15679</v>
      </c>
      <c r="M3299" s="12" t="s">
        <v>15680</v>
      </c>
      <c r="N3299" s="12">
        <v>32188</v>
      </c>
      <c r="O3299" s="12">
        <v>23770</v>
      </c>
      <c r="P3299" s="12">
        <v>0</v>
      </c>
      <c r="Q3299" s="12" t="s">
        <v>15681</v>
      </c>
      <c r="R3299" s="15" t="s">
        <v>15682</v>
      </c>
      <c r="S3299" s="12">
        <v>127</v>
      </c>
      <c r="T3299" s="12" t="s">
        <v>39</v>
      </c>
      <c r="U3299" s="12" t="s">
        <v>40</v>
      </c>
      <c r="V3299" s="12" t="s">
        <v>586</v>
      </c>
      <c r="W3299" s="16"/>
      <c r="X3299" s="12">
        <v>2007</v>
      </c>
      <c r="Y3299" s="12">
        <v>929</v>
      </c>
      <c r="Z3299" s="12">
        <v>7.2</v>
      </c>
      <c r="AA3299" s="12">
        <v>1.85</v>
      </c>
      <c r="AB3299" s="12">
        <v>0</v>
      </c>
      <c r="AC3299" s="12"/>
      <c r="AD3299" s="12" t="str">
        <f>IFERROR(__xludf.DUMMYFUNCTION("""COMPUTED_VALUE"""),"Lucy Gaskell")</f>
        <v>Lucy Gaskell</v>
      </c>
      <c r="AE3299" s="12"/>
    </row>
    <row r="3300" customHeight="1" spans="1:31">
      <c r="A3300" s="11" t="s">
        <v>30</v>
      </c>
      <c r="B3300" s="11" t="s">
        <v>15683</v>
      </c>
      <c r="C3300" s="11">
        <v>32</v>
      </c>
      <c r="D3300" s="11">
        <v>76</v>
      </c>
      <c r="E3300" s="11">
        <v>17</v>
      </c>
      <c r="F3300" s="11">
        <v>571</v>
      </c>
      <c r="G3300" s="11">
        <v>591</v>
      </c>
      <c r="H3300" s="11">
        <v>6126237</v>
      </c>
      <c r="I3300" s="11" t="s">
        <v>1681</v>
      </c>
      <c r="J3300" s="11" t="s">
        <v>4695</v>
      </c>
      <c r="K3300" s="11" t="s">
        <v>3354</v>
      </c>
      <c r="L3300" s="11" t="s">
        <v>8392</v>
      </c>
      <c r="M3300" s="11" t="s">
        <v>15684</v>
      </c>
      <c r="N3300" s="11">
        <v>3419</v>
      </c>
      <c r="O3300" s="11">
        <v>2851</v>
      </c>
      <c r="P3300" s="11">
        <v>3</v>
      </c>
      <c r="Q3300" s="11" t="s">
        <v>15685</v>
      </c>
      <c r="R3300" s="14" t="s">
        <v>15686</v>
      </c>
      <c r="S3300" s="11">
        <v>41</v>
      </c>
      <c r="T3300" s="11" t="s">
        <v>39</v>
      </c>
      <c r="U3300" s="11" t="s">
        <v>40</v>
      </c>
      <c r="V3300" s="11" t="s">
        <v>96</v>
      </c>
      <c r="W3300" s="13"/>
      <c r="X3300" s="11">
        <v>2003</v>
      </c>
      <c r="Y3300" s="11">
        <v>579</v>
      </c>
      <c r="Z3300" s="11">
        <v>4.8</v>
      </c>
      <c r="AA3300" s="11">
        <v>1.85</v>
      </c>
      <c r="AB3300" s="11">
        <v>419</v>
      </c>
      <c r="AC3300" s="11"/>
      <c r="AD3300" s="11" t="str">
        <f>IFERROR(__xludf.DUMMYFUNCTION("""COMPUTED_VALUE"""),"Steven Elder")</f>
        <v>Steven Elder</v>
      </c>
      <c r="AE3300" s="11"/>
    </row>
    <row r="3301" customHeight="1" spans="1:31">
      <c r="A3301" s="12" t="s">
        <v>30</v>
      </c>
      <c r="B3301" s="12" t="s">
        <v>887</v>
      </c>
      <c r="C3301" s="12">
        <v>117</v>
      </c>
      <c r="D3301" s="12">
        <v>119</v>
      </c>
      <c r="E3301" s="12">
        <v>188</v>
      </c>
      <c r="F3301" s="12">
        <v>35</v>
      </c>
      <c r="G3301" s="12">
        <v>187</v>
      </c>
      <c r="H3301" s="12">
        <v>6047856</v>
      </c>
      <c r="I3301" s="12" t="s">
        <v>464</v>
      </c>
      <c r="J3301" s="12" t="s">
        <v>15687</v>
      </c>
      <c r="K3301" s="12" t="s">
        <v>15688</v>
      </c>
      <c r="L3301" s="12" t="s">
        <v>15689</v>
      </c>
      <c r="M3301" s="12" t="s">
        <v>15690</v>
      </c>
      <c r="N3301" s="12">
        <v>27536</v>
      </c>
      <c r="O3301" s="12">
        <v>358</v>
      </c>
      <c r="P3301" s="12">
        <v>4</v>
      </c>
      <c r="Q3301" s="12" t="s">
        <v>15691</v>
      </c>
      <c r="R3301" s="15" t="s">
        <v>15692</v>
      </c>
      <c r="S3301" s="12">
        <v>327</v>
      </c>
      <c r="T3301" s="12" t="s">
        <v>39</v>
      </c>
      <c r="U3301" s="12" t="s">
        <v>40</v>
      </c>
      <c r="V3301" s="12" t="s">
        <v>586</v>
      </c>
      <c r="W3301" s="12">
        <v>8500000</v>
      </c>
      <c r="X3301" s="12">
        <v>2000</v>
      </c>
      <c r="Y3301" s="12">
        <v>127</v>
      </c>
      <c r="Z3301" s="12">
        <v>6.7</v>
      </c>
      <c r="AA3301" s="12">
        <v>1.85</v>
      </c>
      <c r="AB3301" s="12">
        <v>1000</v>
      </c>
      <c r="AC3301" s="12"/>
      <c r="AD3301" s="12" t="str">
        <f>IFERROR(__xludf.DUMMYFUNCTION("""COMPUTED_VALUE"""),"Maximilian Dirr")</f>
        <v>Maximilian Dirr</v>
      </c>
      <c r="AE3301" s="12"/>
    </row>
    <row r="3302" customHeight="1" spans="1:31">
      <c r="A3302" s="11" t="s">
        <v>30</v>
      </c>
      <c r="B3302" s="11" t="s">
        <v>6075</v>
      </c>
      <c r="C3302" s="11">
        <v>136</v>
      </c>
      <c r="D3302" s="11">
        <v>99</v>
      </c>
      <c r="E3302" s="11">
        <v>23</v>
      </c>
      <c r="F3302" s="11">
        <v>471</v>
      </c>
      <c r="G3302" s="11">
        <v>1000</v>
      </c>
      <c r="H3302" s="11">
        <v>4681503</v>
      </c>
      <c r="I3302" s="11" t="s">
        <v>2528</v>
      </c>
      <c r="J3302" s="11" t="s">
        <v>2457</v>
      </c>
      <c r="K3302" s="11" t="s">
        <v>3287</v>
      </c>
      <c r="L3302" s="11" t="s">
        <v>14222</v>
      </c>
      <c r="M3302" s="11" t="s">
        <v>15693</v>
      </c>
      <c r="N3302" s="11">
        <v>29058</v>
      </c>
      <c r="O3302" s="11">
        <v>2478</v>
      </c>
      <c r="P3302" s="11">
        <v>1</v>
      </c>
      <c r="Q3302" s="11" t="s">
        <v>15694</v>
      </c>
      <c r="R3302" s="14" t="s">
        <v>15695</v>
      </c>
      <c r="S3302" s="11">
        <v>238</v>
      </c>
      <c r="T3302" s="11" t="s">
        <v>39</v>
      </c>
      <c r="U3302" s="11" t="s">
        <v>40</v>
      </c>
      <c r="V3302" s="11" t="s">
        <v>586</v>
      </c>
      <c r="W3302" s="11">
        <v>9000000</v>
      </c>
      <c r="X3302" s="11">
        <v>2002</v>
      </c>
      <c r="Y3302" s="11">
        <v>710</v>
      </c>
      <c r="Z3302" s="11">
        <v>7</v>
      </c>
      <c r="AA3302" s="11">
        <v>2.35</v>
      </c>
      <c r="AB3302" s="11">
        <v>838</v>
      </c>
      <c r="AC3302" s="11"/>
      <c r="AD3302" s="11" t="str">
        <f>IFERROR(__xludf.DUMMYFUNCTION("""COMPUTED_VALUE"""),"Rodrigo De la Serna")</f>
        <v>Rodrigo De la Serna</v>
      </c>
      <c r="AE3302" s="11"/>
    </row>
    <row r="3303" customHeight="1" spans="1:31">
      <c r="A3303" s="12" t="s">
        <v>30</v>
      </c>
      <c r="B3303" s="12" t="s">
        <v>15696</v>
      </c>
      <c r="C3303" s="12">
        <v>15</v>
      </c>
      <c r="D3303" s="12">
        <v>79</v>
      </c>
      <c r="E3303" s="12">
        <v>157</v>
      </c>
      <c r="F3303" s="12">
        <v>219</v>
      </c>
      <c r="G3303" s="12">
        <v>4000</v>
      </c>
      <c r="H3303" s="12">
        <v>4350774</v>
      </c>
      <c r="I3303" s="12" t="s">
        <v>1672</v>
      </c>
      <c r="J3303" s="12" t="s">
        <v>251</v>
      </c>
      <c r="K3303" s="12" t="s">
        <v>6830</v>
      </c>
      <c r="L3303" s="12" t="s">
        <v>15697</v>
      </c>
      <c r="M3303" s="12" t="s">
        <v>15698</v>
      </c>
      <c r="N3303" s="12">
        <v>10476</v>
      </c>
      <c r="O3303" s="12">
        <v>4908</v>
      </c>
      <c r="P3303" s="12">
        <v>3</v>
      </c>
      <c r="Q3303" s="12" t="s">
        <v>15699</v>
      </c>
      <c r="R3303" s="15" t="s">
        <v>15700</v>
      </c>
      <c r="S3303" s="12">
        <v>52</v>
      </c>
      <c r="T3303" s="12" t="s">
        <v>39</v>
      </c>
      <c r="U3303" s="12" t="s">
        <v>40</v>
      </c>
      <c r="V3303" s="12" t="s">
        <v>41</v>
      </c>
      <c r="W3303" s="12">
        <v>8000000</v>
      </c>
      <c r="X3303" s="12">
        <v>1994</v>
      </c>
      <c r="Y3303" s="12">
        <v>248</v>
      </c>
      <c r="Z3303" s="12">
        <v>6.5</v>
      </c>
      <c r="AA3303" s="12">
        <v>1.85</v>
      </c>
      <c r="AB3303" s="12">
        <v>0</v>
      </c>
      <c r="AC3303" s="12"/>
      <c r="AD3303" s="12" t="str">
        <f>IFERROR(__xludf.DUMMYFUNCTION("""COMPUTED_VALUE"""),"Ferdinando Vetere")</f>
        <v>Ferdinando Vetere</v>
      </c>
      <c r="AE3303" s="12"/>
    </row>
    <row r="3304" customHeight="1" spans="1:31">
      <c r="A3304" s="11" t="s">
        <v>30</v>
      </c>
      <c r="B3304" s="11" t="s">
        <v>11184</v>
      </c>
      <c r="C3304" s="11">
        <v>46</v>
      </c>
      <c r="D3304" s="11">
        <v>114</v>
      </c>
      <c r="E3304" s="11">
        <v>6</v>
      </c>
      <c r="F3304" s="11">
        <v>633</v>
      </c>
      <c r="G3304" s="11">
        <v>970</v>
      </c>
      <c r="H3304" s="11">
        <v>3420871</v>
      </c>
      <c r="I3304" s="11" t="s">
        <v>12745</v>
      </c>
      <c r="J3304" s="11" t="s">
        <v>3833</v>
      </c>
      <c r="K3304" s="11" t="s">
        <v>15413</v>
      </c>
      <c r="L3304" s="11" t="s">
        <v>4952</v>
      </c>
      <c r="M3304" s="11" t="s">
        <v>15701</v>
      </c>
      <c r="N3304" s="11">
        <v>14100</v>
      </c>
      <c r="O3304" s="11">
        <v>3824</v>
      </c>
      <c r="P3304" s="11">
        <v>2</v>
      </c>
      <c r="Q3304" s="11" t="s">
        <v>15702</v>
      </c>
      <c r="R3304" s="14" t="s">
        <v>15703</v>
      </c>
      <c r="S3304" s="11">
        <v>81</v>
      </c>
      <c r="T3304" s="11" t="s">
        <v>39</v>
      </c>
      <c r="U3304" s="11" t="s">
        <v>40</v>
      </c>
      <c r="V3304" s="11" t="s">
        <v>96</v>
      </c>
      <c r="W3304" s="13"/>
      <c r="X3304" s="11">
        <v>2006</v>
      </c>
      <c r="Y3304" s="11">
        <v>906</v>
      </c>
      <c r="Z3304" s="11">
        <v>7.4</v>
      </c>
      <c r="AA3304" s="11">
        <v>1.85</v>
      </c>
      <c r="AB3304" s="11">
        <v>0</v>
      </c>
      <c r="AC3304" s="11"/>
      <c r="AD3304" s="11" t="str">
        <f>IFERROR(__xludf.DUMMYFUNCTION("""COMPUTED_VALUE"""),"Yasuaki Kurata")</f>
        <v>Yasuaki Kurata</v>
      </c>
      <c r="AE3304" s="11"/>
    </row>
    <row r="3305" customHeight="1" spans="1:31">
      <c r="A3305" s="12" t="s">
        <v>30</v>
      </c>
      <c r="B3305" s="16"/>
      <c r="C3305" s="12">
        <v>1</v>
      </c>
      <c r="D3305" s="12">
        <v>30</v>
      </c>
      <c r="E3305" s="16"/>
      <c r="F3305" s="12">
        <v>140</v>
      </c>
      <c r="G3305" s="12">
        <v>177</v>
      </c>
      <c r="H3305" s="16"/>
      <c r="I3305" s="12" t="s">
        <v>214</v>
      </c>
      <c r="J3305" s="12" t="s">
        <v>15704</v>
      </c>
      <c r="K3305" s="12" t="s">
        <v>15705</v>
      </c>
      <c r="L3305" s="12" t="s">
        <v>15706</v>
      </c>
      <c r="M3305" s="12" t="s">
        <v>15707</v>
      </c>
      <c r="N3305" s="12">
        <v>5478</v>
      </c>
      <c r="O3305" s="12">
        <v>639</v>
      </c>
      <c r="P3305" s="12">
        <v>0</v>
      </c>
      <c r="Q3305" s="12" t="s">
        <v>15708</v>
      </c>
      <c r="R3305" s="15" t="s">
        <v>15709</v>
      </c>
      <c r="S3305" s="12">
        <v>54</v>
      </c>
      <c r="T3305" s="12" t="s">
        <v>39</v>
      </c>
      <c r="U3305" s="12" t="s">
        <v>40</v>
      </c>
      <c r="V3305" s="12" t="s">
        <v>1127</v>
      </c>
      <c r="W3305" s="16"/>
      <c r="X3305" s="16"/>
      <c r="Y3305" s="12">
        <v>170</v>
      </c>
      <c r="Z3305" s="12">
        <v>3.5</v>
      </c>
      <c r="AA3305" s="12">
        <v>1.78</v>
      </c>
      <c r="AB3305" s="12">
        <v>748</v>
      </c>
      <c r="AC3305" s="12"/>
      <c r="AD3305" s="12" t="str">
        <f>IFERROR(__xludf.DUMMYFUNCTION("""COMPUTED_VALUE"""),"Linus Roache")</f>
        <v>Linus Roache</v>
      </c>
      <c r="AE3305" s="12"/>
    </row>
    <row r="3306" customHeight="1" spans="1:31">
      <c r="A3306" s="11" t="s">
        <v>30</v>
      </c>
      <c r="B3306" s="11" t="s">
        <v>15710</v>
      </c>
      <c r="C3306" s="11">
        <v>41</v>
      </c>
      <c r="D3306" s="11">
        <v>91</v>
      </c>
      <c r="E3306" s="11">
        <v>12</v>
      </c>
      <c r="F3306" s="11">
        <v>297</v>
      </c>
      <c r="G3306" s="11">
        <v>1000</v>
      </c>
      <c r="H3306" s="13"/>
      <c r="I3306" s="11" t="s">
        <v>4432</v>
      </c>
      <c r="J3306" s="11" t="s">
        <v>3981</v>
      </c>
      <c r="K3306" s="11" t="s">
        <v>15711</v>
      </c>
      <c r="L3306" s="11" t="s">
        <v>15712</v>
      </c>
      <c r="M3306" s="11" t="s">
        <v>15713</v>
      </c>
      <c r="N3306" s="11">
        <v>7767</v>
      </c>
      <c r="O3306" s="11">
        <v>1991</v>
      </c>
      <c r="P3306" s="11">
        <v>4</v>
      </c>
      <c r="Q3306" s="11" t="s">
        <v>15714</v>
      </c>
      <c r="R3306" s="14" t="s">
        <v>15715</v>
      </c>
      <c r="S3306" s="11">
        <v>56</v>
      </c>
      <c r="T3306" s="11" t="s">
        <v>39</v>
      </c>
      <c r="U3306" s="11" t="s">
        <v>40</v>
      </c>
      <c r="V3306" s="11" t="s">
        <v>96</v>
      </c>
      <c r="W3306" s="11">
        <v>9000000</v>
      </c>
      <c r="X3306" s="11">
        <v>1984</v>
      </c>
      <c r="Y3306" s="11">
        <v>300</v>
      </c>
      <c r="Z3306" s="11">
        <v>5.7</v>
      </c>
      <c r="AA3306" s="11">
        <v>1.85</v>
      </c>
      <c r="AB3306" s="11">
        <v>0</v>
      </c>
      <c r="AC3306" s="11"/>
      <c r="AD3306" s="11" t="str">
        <f>IFERROR(__xludf.DUMMYFUNCTION("""COMPUTED_VALUE"""),"Arben Bajraktaraj")</f>
        <v>Arben Bajraktaraj</v>
      </c>
      <c r="AE3306" s="11"/>
    </row>
    <row r="3307" customHeight="1" spans="1:31">
      <c r="A3307" s="12" t="s">
        <v>30</v>
      </c>
      <c r="B3307" s="12" t="s">
        <v>13515</v>
      </c>
      <c r="C3307" s="12">
        <v>65</v>
      </c>
      <c r="D3307" s="12">
        <v>95</v>
      </c>
      <c r="E3307" s="12">
        <v>49</v>
      </c>
      <c r="F3307" s="12">
        <v>261</v>
      </c>
      <c r="G3307" s="12">
        <v>702</v>
      </c>
      <c r="H3307" s="12">
        <v>2955039</v>
      </c>
      <c r="I3307" s="12" t="s">
        <v>1635</v>
      </c>
      <c r="J3307" s="12" t="s">
        <v>6584</v>
      </c>
      <c r="K3307" s="12" t="s">
        <v>6701</v>
      </c>
      <c r="L3307" s="12" t="s">
        <v>15716</v>
      </c>
      <c r="M3307" s="12" t="s">
        <v>15717</v>
      </c>
      <c r="N3307" s="12">
        <v>3624</v>
      </c>
      <c r="O3307" s="12">
        <v>2007</v>
      </c>
      <c r="P3307" s="12">
        <v>1</v>
      </c>
      <c r="Q3307" s="12" t="s">
        <v>15718</v>
      </c>
      <c r="R3307" s="15" t="s">
        <v>15719</v>
      </c>
      <c r="S3307" s="12">
        <v>27</v>
      </c>
      <c r="T3307" s="12" t="s">
        <v>39</v>
      </c>
      <c r="U3307" s="12" t="s">
        <v>40</v>
      </c>
      <c r="V3307" s="12" t="s">
        <v>41</v>
      </c>
      <c r="W3307" s="12">
        <v>9000000</v>
      </c>
      <c r="X3307" s="12">
        <v>2007</v>
      </c>
      <c r="Y3307" s="12">
        <v>616</v>
      </c>
      <c r="Z3307" s="12">
        <v>6.2</v>
      </c>
      <c r="AA3307" s="12">
        <v>2.35</v>
      </c>
      <c r="AB3307" s="12">
        <v>313</v>
      </c>
      <c r="AC3307" s="12"/>
      <c r="AD3307" s="12" t="str">
        <f>IFERROR(__xludf.DUMMYFUNCTION("""COMPUTED_VALUE"""),"Sharon Leal")</f>
        <v>Sharon Leal</v>
      </c>
      <c r="AE3307" s="12"/>
    </row>
    <row r="3308" customHeight="1" spans="1:31">
      <c r="A3308" s="11" t="s">
        <v>30</v>
      </c>
      <c r="B3308" s="11" t="s">
        <v>11892</v>
      </c>
      <c r="C3308" s="11">
        <v>100</v>
      </c>
      <c r="D3308" s="11">
        <v>103</v>
      </c>
      <c r="E3308" s="11">
        <v>38</v>
      </c>
      <c r="F3308" s="11">
        <v>316</v>
      </c>
      <c r="G3308" s="11">
        <v>745</v>
      </c>
      <c r="H3308" s="11">
        <v>1530535</v>
      </c>
      <c r="I3308" s="11" t="s">
        <v>1415</v>
      </c>
      <c r="J3308" s="11" t="s">
        <v>1054</v>
      </c>
      <c r="K3308" s="11" t="s">
        <v>550</v>
      </c>
      <c r="L3308" s="11" t="s">
        <v>7033</v>
      </c>
      <c r="M3308" s="11" t="s">
        <v>15720</v>
      </c>
      <c r="N3308" s="11">
        <v>7833</v>
      </c>
      <c r="O3308" s="11">
        <v>1721</v>
      </c>
      <c r="P3308" s="11">
        <v>3</v>
      </c>
      <c r="Q3308" s="11" t="s">
        <v>15721</v>
      </c>
      <c r="R3308" s="14" t="s">
        <v>15722</v>
      </c>
      <c r="S3308" s="11">
        <v>63</v>
      </c>
      <c r="T3308" s="11" t="s">
        <v>39</v>
      </c>
      <c r="U3308" s="11" t="s">
        <v>40</v>
      </c>
      <c r="V3308" s="11" t="s">
        <v>586</v>
      </c>
      <c r="W3308" s="11">
        <v>9000000</v>
      </c>
      <c r="X3308" s="11">
        <v>2005</v>
      </c>
      <c r="Y3308" s="11">
        <v>591</v>
      </c>
      <c r="Z3308" s="11">
        <v>5.7</v>
      </c>
      <c r="AA3308" s="11">
        <v>2.35</v>
      </c>
      <c r="AB3308" s="11">
        <v>215</v>
      </c>
      <c r="AC3308" s="11"/>
      <c r="AD3308" s="11" t="str">
        <f>IFERROR(__xludf.DUMMYFUNCTION("""COMPUTED_VALUE"""),"Bart Shatto")</f>
        <v>Bart Shatto</v>
      </c>
      <c r="AE3308" s="11"/>
    </row>
    <row r="3309" customHeight="1" spans="1:31">
      <c r="A3309" s="12" t="s">
        <v>30</v>
      </c>
      <c r="B3309" s="12" t="s">
        <v>10960</v>
      </c>
      <c r="C3309" s="12">
        <v>129</v>
      </c>
      <c r="D3309" s="12">
        <v>92</v>
      </c>
      <c r="E3309" s="12">
        <v>26</v>
      </c>
      <c r="F3309" s="12">
        <v>611</v>
      </c>
      <c r="G3309" s="12">
        <v>1000</v>
      </c>
      <c r="H3309" s="12">
        <v>4881867</v>
      </c>
      <c r="I3309" s="12" t="s">
        <v>6419</v>
      </c>
      <c r="J3309" s="12" t="s">
        <v>813</v>
      </c>
      <c r="K3309" s="12" t="s">
        <v>479</v>
      </c>
      <c r="L3309" s="12" t="s">
        <v>10142</v>
      </c>
      <c r="M3309" s="12" t="s">
        <v>15723</v>
      </c>
      <c r="N3309" s="12">
        <v>15200</v>
      </c>
      <c r="O3309" s="12">
        <v>3767</v>
      </c>
      <c r="P3309" s="12">
        <v>1</v>
      </c>
      <c r="Q3309" s="12" t="s">
        <v>15724</v>
      </c>
      <c r="R3309" s="15" t="s">
        <v>15725</v>
      </c>
      <c r="S3309" s="12">
        <v>76</v>
      </c>
      <c r="T3309" s="12" t="s">
        <v>39</v>
      </c>
      <c r="U3309" s="12" t="s">
        <v>40</v>
      </c>
      <c r="V3309" s="12" t="s">
        <v>586</v>
      </c>
      <c r="W3309" s="12">
        <v>9000000</v>
      </c>
      <c r="X3309" s="12">
        <v>2008</v>
      </c>
      <c r="Y3309" s="12">
        <v>1000</v>
      </c>
      <c r="Z3309" s="12">
        <v>6.4</v>
      </c>
      <c r="AA3309" s="12">
        <v>1.85</v>
      </c>
      <c r="AB3309" s="12">
        <v>1000</v>
      </c>
      <c r="AC3309" s="12"/>
      <c r="AD3309" s="12" t="str">
        <f>IFERROR(__xludf.DUMMYFUNCTION("""COMPUTED_VALUE"""),"Jeremy Davies")</f>
        <v>Jeremy Davies</v>
      </c>
      <c r="AE3309" s="12"/>
    </row>
    <row r="3310" customHeight="1" spans="1:31">
      <c r="A3310" s="11" t="s">
        <v>30</v>
      </c>
      <c r="B3310" s="11" t="s">
        <v>11376</v>
      </c>
      <c r="C3310" s="11">
        <v>103</v>
      </c>
      <c r="D3310" s="11">
        <v>124</v>
      </c>
      <c r="E3310" s="11">
        <v>162</v>
      </c>
      <c r="F3310" s="11">
        <v>277</v>
      </c>
      <c r="G3310" s="11">
        <v>23000</v>
      </c>
      <c r="H3310" s="11">
        <v>1043487</v>
      </c>
      <c r="I3310" s="11" t="s">
        <v>6200</v>
      </c>
      <c r="J3310" s="11" t="s">
        <v>62</v>
      </c>
      <c r="K3310" s="11" t="s">
        <v>310</v>
      </c>
      <c r="L3310" s="11" t="s">
        <v>15726</v>
      </c>
      <c r="M3310" s="11" t="s">
        <v>15727</v>
      </c>
      <c r="N3310" s="11">
        <v>27766</v>
      </c>
      <c r="O3310" s="11">
        <v>24102</v>
      </c>
      <c r="P3310" s="11">
        <v>3</v>
      </c>
      <c r="Q3310" s="11" t="s">
        <v>15728</v>
      </c>
      <c r="R3310" s="14" t="s">
        <v>15729</v>
      </c>
      <c r="S3310" s="11">
        <v>314</v>
      </c>
      <c r="T3310" s="11" t="s">
        <v>39</v>
      </c>
      <c r="U3310" s="11" t="s">
        <v>58</v>
      </c>
      <c r="V3310" s="11" t="s">
        <v>586</v>
      </c>
      <c r="W3310" s="13"/>
      <c r="X3310" s="11">
        <v>1998</v>
      </c>
      <c r="Y3310" s="11">
        <v>776</v>
      </c>
      <c r="Z3310" s="11">
        <v>7</v>
      </c>
      <c r="AA3310" s="11">
        <v>1.85</v>
      </c>
      <c r="AB3310" s="11">
        <v>0</v>
      </c>
      <c r="AC3310" s="11"/>
      <c r="AD3310" s="11" t="str">
        <f>IFERROR(__xludf.DUMMYFUNCTION("""COMPUTED_VALUE"""),"Jean-Marc Barr")</f>
        <v>Jean-Marc Barr</v>
      </c>
      <c r="AE3310" s="11"/>
    </row>
    <row r="3311" customHeight="1" spans="1:31">
      <c r="A3311" s="12" t="s">
        <v>30</v>
      </c>
      <c r="B3311" s="12" t="s">
        <v>15730</v>
      </c>
      <c r="C3311" s="12">
        <v>77</v>
      </c>
      <c r="D3311" s="12">
        <v>156</v>
      </c>
      <c r="E3311" s="12">
        <v>43</v>
      </c>
      <c r="F3311" s="12">
        <v>0</v>
      </c>
      <c r="G3311" s="12">
        <v>45</v>
      </c>
      <c r="H3311" s="12">
        <v>770629</v>
      </c>
      <c r="I3311" s="12" t="s">
        <v>2664</v>
      </c>
      <c r="J3311" s="12" t="s">
        <v>15731</v>
      </c>
      <c r="K3311" s="12" t="s">
        <v>15732</v>
      </c>
      <c r="L3311" s="12" t="s">
        <v>15733</v>
      </c>
      <c r="M3311" s="12" t="s">
        <v>15734</v>
      </c>
      <c r="N3311" s="12">
        <v>2379</v>
      </c>
      <c r="O3311" s="12">
        <v>50</v>
      </c>
      <c r="P3311" s="12">
        <v>0</v>
      </c>
      <c r="Q3311" s="12" t="s">
        <v>15735</v>
      </c>
      <c r="R3311" s="15" t="s">
        <v>15736</v>
      </c>
      <c r="S3311" s="12">
        <v>24</v>
      </c>
      <c r="T3311" s="12" t="s">
        <v>12701</v>
      </c>
      <c r="U3311" s="12" t="s">
        <v>5695</v>
      </c>
      <c r="V3311" s="12" t="s">
        <v>4831</v>
      </c>
      <c r="W3311" s="16"/>
      <c r="X3311" s="12">
        <v>2016</v>
      </c>
      <c r="Y3311" s="12">
        <v>5</v>
      </c>
      <c r="Z3311" s="12">
        <v>7.7</v>
      </c>
      <c r="AA3311" s="12">
        <v>2.35</v>
      </c>
      <c r="AB3311" s="12">
        <v>0</v>
      </c>
      <c r="AC3311" s="12"/>
      <c r="AD3311" s="12" t="str">
        <f>IFERROR(__xludf.DUMMYFUNCTION("""COMPUTED_VALUE"""),"Anil Kapoor")</f>
        <v>Anil Kapoor</v>
      </c>
      <c r="AE3311" s="12"/>
    </row>
    <row r="3312" customHeight="1" spans="1:31">
      <c r="A3312" s="11" t="s">
        <v>30</v>
      </c>
      <c r="B3312" s="11" t="s">
        <v>11872</v>
      </c>
      <c r="C3312" s="11">
        <v>67</v>
      </c>
      <c r="D3312" s="11">
        <v>84</v>
      </c>
      <c r="E3312" s="11">
        <v>64</v>
      </c>
      <c r="F3312" s="11">
        <v>748</v>
      </c>
      <c r="G3312" s="11">
        <v>2000</v>
      </c>
      <c r="H3312" s="11">
        <v>11860839</v>
      </c>
      <c r="I3312" s="11" t="s">
        <v>4068</v>
      </c>
      <c r="J3312" s="11" t="s">
        <v>3502</v>
      </c>
      <c r="K3312" s="11" t="s">
        <v>15737</v>
      </c>
      <c r="L3312" s="11" t="s">
        <v>15738</v>
      </c>
      <c r="M3312" s="11" t="s">
        <v>15739</v>
      </c>
      <c r="N3312" s="11">
        <v>5156</v>
      </c>
      <c r="O3312" s="11">
        <v>4617</v>
      </c>
      <c r="P3312" s="11">
        <v>0</v>
      </c>
      <c r="Q3312" s="11" t="s">
        <v>15740</v>
      </c>
      <c r="R3312" s="14" t="s">
        <v>15741</v>
      </c>
      <c r="S3312" s="11">
        <v>21</v>
      </c>
      <c r="T3312" s="11" t="s">
        <v>39</v>
      </c>
      <c r="U3312" s="11" t="s">
        <v>40</v>
      </c>
      <c r="V3312" s="11" t="s">
        <v>96</v>
      </c>
      <c r="W3312" s="11">
        <v>9000000</v>
      </c>
      <c r="X3312" s="11">
        <v>2011</v>
      </c>
      <c r="Y3312" s="11">
        <v>892</v>
      </c>
      <c r="Z3312" s="11">
        <v>5.4</v>
      </c>
      <c r="AA3312" s="11">
        <v>1.85</v>
      </c>
      <c r="AB3312" s="11">
        <v>0</v>
      </c>
      <c r="AC3312" s="11"/>
      <c r="AD3312" s="11" t="str">
        <f>IFERROR(__xludf.DUMMYFUNCTION("""COMPUTED_VALUE"""),"Saurabh Shukla")</f>
        <v>Saurabh Shukla</v>
      </c>
      <c r="AE3312" s="11"/>
    </row>
    <row r="3313" customHeight="1" spans="1:31">
      <c r="A3313" s="12" t="s">
        <v>30</v>
      </c>
      <c r="B3313" s="12" t="s">
        <v>15742</v>
      </c>
      <c r="C3313" s="12">
        <v>31</v>
      </c>
      <c r="D3313" s="12">
        <v>300</v>
      </c>
      <c r="E3313" s="12">
        <v>6</v>
      </c>
      <c r="F3313" s="12">
        <v>6</v>
      </c>
      <c r="G3313" s="12">
        <v>7</v>
      </c>
      <c r="H3313" s="12">
        <v>454255</v>
      </c>
      <c r="I3313" s="12" t="s">
        <v>1098</v>
      </c>
      <c r="J3313" s="12" t="s">
        <v>13243</v>
      </c>
      <c r="K3313" s="12" t="s">
        <v>15743</v>
      </c>
      <c r="L3313" s="12" t="s">
        <v>15744</v>
      </c>
      <c r="M3313" s="12" t="s">
        <v>15745</v>
      </c>
      <c r="N3313" s="12">
        <v>1666</v>
      </c>
      <c r="O3313" s="12">
        <v>32</v>
      </c>
      <c r="P3313" s="12">
        <v>3</v>
      </c>
      <c r="Q3313" s="12" t="s">
        <v>15746</v>
      </c>
      <c r="R3313" s="15" t="s">
        <v>15747</v>
      </c>
      <c r="S3313" s="12">
        <v>47</v>
      </c>
      <c r="T3313" s="12" t="s">
        <v>13247</v>
      </c>
      <c r="U3313" s="12" t="s">
        <v>13248</v>
      </c>
      <c r="V3313" s="12" t="s">
        <v>586</v>
      </c>
      <c r="W3313" s="12">
        <v>400000000</v>
      </c>
      <c r="X3313" s="12">
        <v>2001</v>
      </c>
      <c r="Y3313" s="12">
        <v>6</v>
      </c>
      <c r="Z3313" s="12">
        <v>6.6</v>
      </c>
      <c r="AA3313" s="12">
        <v>1.85</v>
      </c>
      <c r="AB3313" s="12">
        <v>124</v>
      </c>
      <c r="AC3313" s="12"/>
      <c r="AD3313" s="12" t="str">
        <f>IFERROR(__xludf.DUMMYFUNCTION("""COMPUTED_VALUE"""),"Ayush Mahesh Khedekar")</f>
        <v>Ayush Mahesh Khedekar</v>
      </c>
      <c r="AE3313" s="12"/>
    </row>
    <row r="3314" customHeight="1" spans="1:31">
      <c r="A3314" s="11" t="s">
        <v>30</v>
      </c>
      <c r="B3314" s="11" t="s">
        <v>15748</v>
      </c>
      <c r="C3314" s="11">
        <v>76</v>
      </c>
      <c r="D3314" s="11">
        <v>120</v>
      </c>
      <c r="E3314" s="11">
        <v>930</v>
      </c>
      <c r="F3314" s="11">
        <v>433</v>
      </c>
      <c r="G3314" s="11">
        <v>982</v>
      </c>
      <c r="H3314" s="11">
        <v>349618</v>
      </c>
      <c r="I3314" s="11" t="s">
        <v>6403</v>
      </c>
      <c r="J3314" s="11" t="s">
        <v>3330</v>
      </c>
      <c r="K3314" s="11" t="s">
        <v>2499</v>
      </c>
      <c r="L3314" s="11" t="s">
        <v>6377</v>
      </c>
      <c r="M3314" s="11" t="s">
        <v>15749</v>
      </c>
      <c r="N3314" s="11">
        <v>4302</v>
      </c>
      <c r="O3314" s="11">
        <v>2942</v>
      </c>
      <c r="P3314" s="11">
        <v>1</v>
      </c>
      <c r="Q3314" s="11" t="s">
        <v>15750</v>
      </c>
      <c r="R3314" s="14" t="s">
        <v>15751</v>
      </c>
      <c r="S3314" s="11">
        <v>45</v>
      </c>
      <c r="T3314" s="11" t="s">
        <v>39</v>
      </c>
      <c r="U3314" s="11" t="s">
        <v>7091</v>
      </c>
      <c r="V3314" s="11" t="s">
        <v>586</v>
      </c>
      <c r="W3314" s="11">
        <v>9000000</v>
      </c>
      <c r="X3314" s="11">
        <v>1990</v>
      </c>
      <c r="Y3314" s="11">
        <v>602</v>
      </c>
      <c r="Z3314" s="11">
        <v>6.1</v>
      </c>
      <c r="AA3314" s="11">
        <v>1.85</v>
      </c>
      <c r="AB3314" s="11">
        <v>375</v>
      </c>
      <c r="AC3314" s="11"/>
      <c r="AD3314" s="11" t="str">
        <f>IFERROR(__xludf.DUMMYFUNCTION("""COMPUTED_VALUE"""),"Lois Smith")</f>
        <v>Lois Smith</v>
      </c>
      <c r="AE3314" s="11"/>
    </row>
    <row r="3315" customHeight="1" spans="1:31">
      <c r="A3315" s="12" t="s">
        <v>30</v>
      </c>
      <c r="B3315" s="12" t="s">
        <v>15752</v>
      </c>
      <c r="C3315" s="12">
        <v>17</v>
      </c>
      <c r="D3315" s="12">
        <v>98</v>
      </c>
      <c r="E3315" s="12">
        <v>0</v>
      </c>
      <c r="F3315" s="12">
        <v>5</v>
      </c>
      <c r="G3315" s="12">
        <v>186</v>
      </c>
      <c r="H3315" s="16"/>
      <c r="I3315" s="12" t="s">
        <v>1672</v>
      </c>
      <c r="J3315" s="12" t="s">
        <v>14020</v>
      </c>
      <c r="K3315" s="12" t="s">
        <v>15753</v>
      </c>
      <c r="L3315" s="12" t="s">
        <v>15754</v>
      </c>
      <c r="M3315" s="12" t="s">
        <v>15755</v>
      </c>
      <c r="N3315" s="12">
        <v>1673</v>
      </c>
      <c r="O3315" s="12">
        <v>253</v>
      </c>
      <c r="P3315" s="12">
        <v>1</v>
      </c>
      <c r="Q3315" s="16"/>
      <c r="R3315" s="15" t="s">
        <v>15756</v>
      </c>
      <c r="S3315" s="12">
        <v>1</v>
      </c>
      <c r="T3315" s="12" t="s">
        <v>1465</v>
      </c>
      <c r="U3315" s="12" t="s">
        <v>1466</v>
      </c>
      <c r="V3315" s="16"/>
      <c r="W3315" s="16"/>
      <c r="X3315" s="12">
        <v>2014</v>
      </c>
      <c r="Y3315" s="12">
        <v>41</v>
      </c>
      <c r="Z3315" s="12">
        <v>6.1</v>
      </c>
      <c r="AA3315" s="12">
        <v>2.35</v>
      </c>
      <c r="AB3315" s="12">
        <v>348</v>
      </c>
      <c r="AC3315" s="12"/>
      <c r="AD3315" s="12" t="str">
        <f>IFERROR(__xludf.DUMMYFUNCTION("""COMPUTED_VALUE"""),"Joe Flaherty")</f>
        <v>Joe Flaherty</v>
      </c>
      <c r="AE3315" s="12"/>
    </row>
    <row r="3316" customHeight="1" spans="1:31">
      <c r="A3316" s="11" t="s">
        <v>30</v>
      </c>
      <c r="B3316" s="11" t="s">
        <v>11328</v>
      </c>
      <c r="C3316" s="11">
        <v>81</v>
      </c>
      <c r="D3316" s="11">
        <v>121</v>
      </c>
      <c r="E3316" s="11">
        <v>608</v>
      </c>
      <c r="F3316" s="11">
        <v>25</v>
      </c>
      <c r="G3316" s="11">
        <v>149</v>
      </c>
      <c r="H3316" s="11">
        <v>112935</v>
      </c>
      <c r="I3316" s="11" t="s">
        <v>3410</v>
      </c>
      <c r="J3316" s="11" t="s">
        <v>11330</v>
      </c>
      <c r="K3316" s="11" t="s">
        <v>13549</v>
      </c>
      <c r="L3316" s="11" t="s">
        <v>15757</v>
      </c>
      <c r="M3316" s="11" t="s">
        <v>15758</v>
      </c>
      <c r="N3316" s="11">
        <v>8161</v>
      </c>
      <c r="O3316" s="11">
        <v>251</v>
      </c>
      <c r="P3316" s="11">
        <v>0</v>
      </c>
      <c r="Q3316" s="11" t="s">
        <v>15759</v>
      </c>
      <c r="R3316" s="14" t="s">
        <v>15760</v>
      </c>
      <c r="S3316" s="11">
        <v>94</v>
      </c>
      <c r="T3316" s="11" t="s">
        <v>39</v>
      </c>
      <c r="U3316" s="11" t="s">
        <v>58</v>
      </c>
      <c r="V3316" s="11" t="s">
        <v>586</v>
      </c>
      <c r="W3316" s="11">
        <v>9000000</v>
      </c>
      <c r="X3316" s="11">
        <v>2002</v>
      </c>
      <c r="Y3316" s="11">
        <v>44</v>
      </c>
      <c r="Z3316" s="11">
        <v>7.6</v>
      </c>
      <c r="AA3316" s="11">
        <v>1.85</v>
      </c>
      <c r="AB3316" s="11">
        <v>484</v>
      </c>
      <c r="AC3316" s="11"/>
      <c r="AD3316" s="11" t="str">
        <f>IFERROR(__xludf.DUMMYFUNCTION("""COMPUTED_VALUE"""),"John Meillon")</f>
        <v>John Meillon</v>
      </c>
      <c r="AE3316" s="11"/>
    </row>
    <row r="3317" customHeight="1" spans="1:31">
      <c r="A3317" s="12" t="s">
        <v>30</v>
      </c>
      <c r="B3317" s="12" t="s">
        <v>15761</v>
      </c>
      <c r="C3317" s="12">
        <v>26</v>
      </c>
      <c r="D3317" s="12">
        <v>97</v>
      </c>
      <c r="E3317" s="12">
        <v>3</v>
      </c>
      <c r="F3317" s="12">
        <v>204</v>
      </c>
      <c r="G3317" s="12">
        <v>679</v>
      </c>
      <c r="H3317" s="12">
        <v>883887</v>
      </c>
      <c r="I3317" s="12" t="s">
        <v>3410</v>
      </c>
      <c r="J3317" s="12" t="s">
        <v>15762</v>
      </c>
      <c r="K3317" s="12" t="s">
        <v>979</v>
      </c>
      <c r="L3317" s="12" t="s">
        <v>11948</v>
      </c>
      <c r="M3317" s="12" t="s">
        <v>15763</v>
      </c>
      <c r="N3317" s="12">
        <v>1201</v>
      </c>
      <c r="O3317" s="12">
        <v>1426</v>
      </c>
      <c r="P3317" s="12">
        <v>3</v>
      </c>
      <c r="Q3317" s="12" t="s">
        <v>15764</v>
      </c>
      <c r="R3317" s="15" t="s">
        <v>15765</v>
      </c>
      <c r="S3317" s="12">
        <v>14</v>
      </c>
      <c r="T3317" s="12" t="s">
        <v>39</v>
      </c>
      <c r="U3317" s="12" t="s">
        <v>40</v>
      </c>
      <c r="V3317" s="12" t="s">
        <v>96</v>
      </c>
      <c r="W3317" s="12">
        <v>9000000</v>
      </c>
      <c r="X3317" s="12">
        <v>2009</v>
      </c>
      <c r="Y3317" s="12">
        <v>537</v>
      </c>
      <c r="Z3317" s="12">
        <v>6.2</v>
      </c>
      <c r="AA3317" s="12">
        <v>2.35</v>
      </c>
      <c r="AB3317" s="12">
        <v>0</v>
      </c>
      <c r="AC3317" s="12"/>
      <c r="AD3317" s="12" t="str">
        <f>IFERROR(__xludf.DUMMYFUNCTION("""COMPUTED_VALUE"""),"Chad Bishop")</f>
        <v>Chad Bishop</v>
      </c>
      <c r="AE3317" s="12"/>
    </row>
    <row r="3318" customHeight="1" spans="1:31">
      <c r="A3318" s="11" t="s">
        <v>30</v>
      </c>
      <c r="B3318" s="11" t="s">
        <v>13126</v>
      </c>
      <c r="C3318" s="11">
        <v>24</v>
      </c>
      <c r="D3318" s="11">
        <v>86</v>
      </c>
      <c r="E3318" s="11">
        <v>11</v>
      </c>
      <c r="F3318" s="11">
        <v>18</v>
      </c>
      <c r="G3318" s="11">
        <v>185</v>
      </c>
      <c r="H3318" s="11">
        <v>13751</v>
      </c>
      <c r="I3318" s="11" t="s">
        <v>7144</v>
      </c>
      <c r="J3318" s="11" t="s">
        <v>15766</v>
      </c>
      <c r="K3318" s="11" t="s">
        <v>15767</v>
      </c>
      <c r="L3318" s="11" t="s">
        <v>15768</v>
      </c>
      <c r="M3318" s="11" t="s">
        <v>15769</v>
      </c>
      <c r="N3318" s="11">
        <v>813</v>
      </c>
      <c r="O3318" s="11">
        <v>299</v>
      </c>
      <c r="P3318" s="11">
        <v>0</v>
      </c>
      <c r="Q3318" s="11" t="s">
        <v>15770</v>
      </c>
      <c r="R3318" s="14" t="s">
        <v>15771</v>
      </c>
      <c r="S3318" s="11">
        <v>6</v>
      </c>
      <c r="T3318" s="11" t="s">
        <v>39</v>
      </c>
      <c r="U3318" s="11" t="s">
        <v>371</v>
      </c>
      <c r="V3318" s="11" t="s">
        <v>96</v>
      </c>
      <c r="W3318" s="11">
        <v>11400000</v>
      </c>
      <c r="X3318" s="11">
        <v>2006</v>
      </c>
      <c r="Y3318" s="11">
        <v>62</v>
      </c>
      <c r="Z3318" s="11">
        <v>6.6</v>
      </c>
      <c r="AA3318" s="11">
        <v>1.85</v>
      </c>
      <c r="AB3318" s="11">
        <v>135</v>
      </c>
      <c r="AC3318" s="11"/>
      <c r="AD3318" s="11" t="str">
        <f>IFERROR(__xludf.DUMMYFUNCTION("""COMPUTED_VALUE"""),"Malik Yoba")</f>
        <v>Malik Yoba</v>
      </c>
      <c r="AE3318" s="11"/>
    </row>
    <row r="3319" customHeight="1" spans="1:31">
      <c r="A3319" s="12" t="s">
        <v>30</v>
      </c>
      <c r="B3319" s="12" t="s">
        <v>7522</v>
      </c>
      <c r="C3319" s="12">
        <v>44</v>
      </c>
      <c r="D3319" s="12">
        <v>93</v>
      </c>
      <c r="E3319" s="12">
        <v>8</v>
      </c>
      <c r="F3319" s="12">
        <v>558</v>
      </c>
      <c r="G3319" s="12">
        <v>22000</v>
      </c>
      <c r="H3319" s="16"/>
      <c r="I3319" s="12" t="s">
        <v>334</v>
      </c>
      <c r="J3319" s="12" t="s">
        <v>1746</v>
      </c>
      <c r="K3319" s="12" t="s">
        <v>2170</v>
      </c>
      <c r="L3319" s="12" t="s">
        <v>1233</v>
      </c>
      <c r="M3319" s="12" t="s">
        <v>7523</v>
      </c>
      <c r="N3319" s="12">
        <v>16198</v>
      </c>
      <c r="O3319" s="12">
        <v>24154</v>
      </c>
      <c r="P3319" s="12">
        <v>1</v>
      </c>
      <c r="Q3319" s="12" t="s">
        <v>7524</v>
      </c>
      <c r="R3319" s="15" t="s">
        <v>7525</v>
      </c>
      <c r="S3319" s="12">
        <v>57</v>
      </c>
      <c r="T3319" s="12" t="s">
        <v>39</v>
      </c>
      <c r="U3319" s="12" t="s">
        <v>40</v>
      </c>
      <c r="V3319" s="12" t="s">
        <v>586</v>
      </c>
      <c r="W3319" s="12">
        <v>19000000</v>
      </c>
      <c r="X3319" s="12">
        <v>2015</v>
      </c>
      <c r="Y3319" s="12">
        <v>1000</v>
      </c>
      <c r="Z3319" s="12">
        <v>6.1</v>
      </c>
      <c r="AA3319" s="12">
        <v>2.35</v>
      </c>
      <c r="AB3319" s="12">
        <v>0</v>
      </c>
      <c r="AC3319" s="12"/>
      <c r="AD3319" s="12" t="str">
        <f>IFERROR(__xludf.DUMMYFUNCTION("""COMPUTED_VALUE"""),"Jensen Ackles")</f>
        <v>Jensen Ackles</v>
      </c>
      <c r="AE3319" s="12"/>
    </row>
    <row r="3320" customHeight="1" spans="1:31">
      <c r="A3320" s="11" t="s">
        <v>30</v>
      </c>
      <c r="B3320" s="11" t="s">
        <v>15772</v>
      </c>
      <c r="C3320" s="11">
        <v>80</v>
      </c>
      <c r="D3320" s="11">
        <v>45</v>
      </c>
      <c r="E3320" s="11">
        <v>28</v>
      </c>
      <c r="F3320" s="11">
        <v>104</v>
      </c>
      <c r="G3320" s="11">
        <v>573</v>
      </c>
      <c r="H3320" s="11">
        <v>145109</v>
      </c>
      <c r="I3320" s="11" t="s">
        <v>2175</v>
      </c>
      <c r="J3320" s="11" t="s">
        <v>15773</v>
      </c>
      <c r="K3320" s="11" t="s">
        <v>15774</v>
      </c>
      <c r="L3320" s="11" t="s">
        <v>3109</v>
      </c>
      <c r="M3320" s="11" t="s">
        <v>15775</v>
      </c>
      <c r="N3320" s="11">
        <v>14247</v>
      </c>
      <c r="O3320" s="11">
        <v>1098</v>
      </c>
      <c r="P3320" s="11">
        <v>1</v>
      </c>
      <c r="Q3320" s="11" t="s">
        <v>15776</v>
      </c>
      <c r="R3320" s="14" t="s">
        <v>15777</v>
      </c>
      <c r="S3320" s="11">
        <v>44</v>
      </c>
      <c r="T3320" s="11" t="s">
        <v>15778</v>
      </c>
      <c r="U3320" s="11" t="s">
        <v>7712</v>
      </c>
      <c r="V3320" s="11" t="s">
        <v>4831</v>
      </c>
      <c r="W3320" s="11">
        <v>45000000</v>
      </c>
      <c r="X3320" s="11">
        <v>2008</v>
      </c>
      <c r="Y3320" s="11">
        <v>197</v>
      </c>
      <c r="Z3320" s="11">
        <v>7.3</v>
      </c>
      <c r="AA3320" s="11">
        <v>2.35</v>
      </c>
      <c r="AB3320" s="11">
        <v>0</v>
      </c>
      <c r="AC3320" s="11"/>
      <c r="AD3320" s="11" t="str">
        <f>IFERROR(__xludf.DUMMYFUNCTION("""COMPUTED_VALUE"""),"Caroline Munro")</f>
        <v>Caroline Munro</v>
      </c>
      <c r="AE3320" s="11"/>
    </row>
    <row r="3321" customHeight="1" spans="1:31">
      <c r="A3321" s="12" t="s">
        <v>30</v>
      </c>
      <c r="B3321" s="12" t="s">
        <v>15779</v>
      </c>
      <c r="C3321" s="12">
        <v>41</v>
      </c>
      <c r="D3321" s="12">
        <v>97</v>
      </c>
      <c r="E3321" s="12">
        <v>0</v>
      </c>
      <c r="F3321" s="12">
        <v>230</v>
      </c>
      <c r="G3321" s="12">
        <v>922</v>
      </c>
      <c r="H3321" s="12">
        <v>1046166</v>
      </c>
      <c r="I3321" s="12" t="s">
        <v>6546</v>
      </c>
      <c r="J3321" s="12" t="s">
        <v>6158</v>
      </c>
      <c r="K3321" s="12" t="s">
        <v>15335</v>
      </c>
      <c r="L3321" s="12" t="s">
        <v>15780</v>
      </c>
      <c r="M3321" s="12" t="s">
        <v>15781</v>
      </c>
      <c r="N3321" s="12">
        <v>2599</v>
      </c>
      <c r="O3321" s="12">
        <v>1835</v>
      </c>
      <c r="P3321" s="12">
        <v>4</v>
      </c>
      <c r="Q3321" s="12" t="s">
        <v>15782</v>
      </c>
      <c r="R3321" s="15" t="s">
        <v>15783</v>
      </c>
      <c r="S3321" s="12">
        <v>45</v>
      </c>
      <c r="T3321" s="12" t="s">
        <v>39</v>
      </c>
      <c r="U3321" s="12" t="s">
        <v>768</v>
      </c>
      <c r="V3321" s="12" t="s">
        <v>41</v>
      </c>
      <c r="W3321" s="12">
        <v>9000000</v>
      </c>
      <c r="X3321" s="12">
        <v>2005</v>
      </c>
      <c r="Y3321" s="12">
        <v>374</v>
      </c>
      <c r="Z3321" s="12">
        <v>4.2</v>
      </c>
      <c r="AA3321" s="12">
        <v>2.35</v>
      </c>
      <c r="AB3321" s="12">
        <v>128</v>
      </c>
      <c r="AC3321" s="12"/>
      <c r="AD3321" s="12" t="str">
        <f>IFERROR(__xludf.DUMMYFUNCTION("""COMPUTED_VALUE"""),"Barbara Bach")</f>
        <v>Barbara Bach</v>
      </c>
      <c r="AE3321" s="12"/>
    </row>
    <row r="3322" customHeight="1" spans="1:31">
      <c r="A3322" s="11" t="s">
        <v>30</v>
      </c>
      <c r="B3322" s="11" t="s">
        <v>12361</v>
      </c>
      <c r="C3322" s="11">
        <v>91</v>
      </c>
      <c r="D3322" s="11">
        <v>102</v>
      </c>
      <c r="E3322" s="11">
        <v>11</v>
      </c>
      <c r="F3322" s="11">
        <v>35</v>
      </c>
      <c r="G3322" s="11">
        <v>10000</v>
      </c>
      <c r="H3322" s="13"/>
      <c r="I3322" s="11" t="s">
        <v>2142</v>
      </c>
      <c r="J3322" s="11" t="s">
        <v>183</v>
      </c>
      <c r="K3322" s="11" t="s">
        <v>10554</v>
      </c>
      <c r="L3322" s="11" t="s">
        <v>15784</v>
      </c>
      <c r="M3322" s="11" t="s">
        <v>15785</v>
      </c>
      <c r="N3322" s="11">
        <v>9305</v>
      </c>
      <c r="O3322" s="11">
        <v>10369</v>
      </c>
      <c r="P3322" s="11">
        <v>0</v>
      </c>
      <c r="Q3322" s="11" t="s">
        <v>15786</v>
      </c>
      <c r="R3322" s="14" t="s">
        <v>15787</v>
      </c>
      <c r="S3322" s="11">
        <v>44</v>
      </c>
      <c r="T3322" s="11" t="s">
        <v>39</v>
      </c>
      <c r="U3322" s="11" t="s">
        <v>58</v>
      </c>
      <c r="V3322" s="11" t="s">
        <v>4831</v>
      </c>
      <c r="W3322" s="13"/>
      <c r="X3322" s="11">
        <v>2009</v>
      </c>
      <c r="Y3322" s="11">
        <v>281</v>
      </c>
      <c r="Z3322" s="11">
        <v>7.1</v>
      </c>
      <c r="AA3322" s="11">
        <v>1.85</v>
      </c>
      <c r="AB3322" s="11">
        <v>0</v>
      </c>
      <c r="AC3322" s="11"/>
      <c r="AD3322" s="11" t="str">
        <f>IFERROR(__xludf.DUMMYFUNCTION("""COMPUTED_VALUE"""),"Amy Bruni")</f>
        <v>Amy Bruni</v>
      </c>
      <c r="AE3322" s="11"/>
    </row>
    <row r="3323" customHeight="1" spans="1:31">
      <c r="A3323" s="12" t="s">
        <v>30</v>
      </c>
      <c r="B3323" s="12" t="s">
        <v>15788</v>
      </c>
      <c r="C3323" s="12">
        <v>66</v>
      </c>
      <c r="D3323" s="12">
        <v>105</v>
      </c>
      <c r="E3323" s="12">
        <v>25</v>
      </c>
      <c r="F3323" s="12">
        <v>98</v>
      </c>
      <c r="G3323" s="12">
        <v>963</v>
      </c>
      <c r="H3323" s="12">
        <v>2874</v>
      </c>
      <c r="I3323" s="12" t="s">
        <v>3410</v>
      </c>
      <c r="J3323" s="12" t="s">
        <v>6663</v>
      </c>
      <c r="K3323" s="12" t="s">
        <v>15789</v>
      </c>
      <c r="L3323" s="12" t="s">
        <v>15790</v>
      </c>
      <c r="M3323" s="12" t="s">
        <v>15791</v>
      </c>
      <c r="N3323" s="12">
        <v>1219</v>
      </c>
      <c r="O3323" s="12">
        <v>1375</v>
      </c>
      <c r="P3323" s="12">
        <v>1</v>
      </c>
      <c r="Q3323" s="12" t="s">
        <v>15792</v>
      </c>
      <c r="R3323" s="15" t="s">
        <v>15793</v>
      </c>
      <c r="S3323" s="12">
        <v>14</v>
      </c>
      <c r="T3323" s="12" t="s">
        <v>1465</v>
      </c>
      <c r="U3323" s="12" t="s">
        <v>1466</v>
      </c>
      <c r="V3323" s="12" t="s">
        <v>5614</v>
      </c>
      <c r="W3323" s="16"/>
      <c r="X3323" s="12">
        <v>2009</v>
      </c>
      <c r="Y3323" s="12">
        <v>168</v>
      </c>
      <c r="Z3323" s="12">
        <v>6</v>
      </c>
      <c r="AA3323" s="12">
        <v>2.35</v>
      </c>
      <c r="AB3323" s="12">
        <v>120</v>
      </c>
      <c r="AC3323" s="12"/>
      <c r="AD3323" s="12" t="str">
        <f>IFERROR(__xludf.DUMMYFUNCTION("""COMPUTED_VALUE"""),"Steve Gonsalves")</f>
        <v>Steve Gonsalves</v>
      </c>
      <c r="AE3323" s="12"/>
    </row>
    <row r="3324" customHeight="1" spans="1:31">
      <c r="A3324" s="11" t="s">
        <v>30</v>
      </c>
      <c r="B3324" s="11" t="s">
        <v>15794</v>
      </c>
      <c r="C3324" s="11">
        <v>19</v>
      </c>
      <c r="D3324" s="11">
        <v>103</v>
      </c>
      <c r="E3324" s="11">
        <v>6</v>
      </c>
      <c r="F3324" s="11">
        <v>664</v>
      </c>
      <c r="G3324" s="11">
        <v>4000</v>
      </c>
      <c r="H3324" s="13"/>
      <c r="I3324" s="11" t="s">
        <v>214</v>
      </c>
      <c r="J3324" s="11" t="s">
        <v>2477</v>
      </c>
      <c r="K3324" s="11" t="s">
        <v>4635</v>
      </c>
      <c r="L3324" s="11" t="s">
        <v>9809</v>
      </c>
      <c r="M3324" s="11" t="s">
        <v>15795</v>
      </c>
      <c r="N3324" s="11">
        <v>10100</v>
      </c>
      <c r="O3324" s="11">
        <v>6426</v>
      </c>
      <c r="P3324" s="11">
        <v>1</v>
      </c>
      <c r="Q3324" s="11" t="s">
        <v>15796</v>
      </c>
      <c r="R3324" s="14" t="s">
        <v>15797</v>
      </c>
      <c r="S3324" s="11">
        <v>42</v>
      </c>
      <c r="T3324" s="11" t="s">
        <v>39</v>
      </c>
      <c r="U3324" s="11" t="s">
        <v>40</v>
      </c>
      <c r="V3324" s="11" t="s">
        <v>586</v>
      </c>
      <c r="W3324" s="11">
        <v>9000000</v>
      </c>
      <c r="X3324" s="11">
        <v>2009</v>
      </c>
      <c r="Y3324" s="11">
        <v>931</v>
      </c>
      <c r="Z3324" s="11">
        <v>6.5</v>
      </c>
      <c r="AA3324" s="11">
        <v>2.35</v>
      </c>
      <c r="AB3324" s="11">
        <v>3000</v>
      </c>
      <c r="AC3324" s="11"/>
      <c r="AD3324" s="11" t="str">
        <f>IFERROR(__xludf.DUMMYFUNCTION("""COMPUTED_VALUE"""),"Jason Hawes")</f>
        <v>Jason Hawes</v>
      </c>
      <c r="AE3324" s="11"/>
    </row>
    <row r="3325" customHeight="1" spans="1:31">
      <c r="A3325" s="12" t="s">
        <v>30</v>
      </c>
      <c r="B3325" s="12" t="s">
        <v>15798</v>
      </c>
      <c r="C3325" s="12">
        <v>35</v>
      </c>
      <c r="D3325" s="12">
        <v>93</v>
      </c>
      <c r="E3325" s="12">
        <v>4</v>
      </c>
      <c r="F3325" s="12">
        <v>93</v>
      </c>
      <c r="G3325" s="12">
        <v>442</v>
      </c>
      <c r="H3325" s="12">
        <v>174635000</v>
      </c>
      <c r="I3325" s="12" t="s">
        <v>4220</v>
      </c>
      <c r="J3325" s="12" t="s">
        <v>9354</v>
      </c>
      <c r="K3325" s="12" t="s">
        <v>9699</v>
      </c>
      <c r="L3325" s="12" t="s">
        <v>15799</v>
      </c>
      <c r="M3325" s="12" t="s">
        <v>15800</v>
      </c>
      <c r="N3325" s="12">
        <v>74743</v>
      </c>
      <c r="O3325" s="12">
        <v>822</v>
      </c>
      <c r="P3325" s="12">
        <v>1</v>
      </c>
      <c r="Q3325" s="12" t="s">
        <v>15801</v>
      </c>
      <c r="R3325" s="15" t="s">
        <v>15802</v>
      </c>
      <c r="S3325" s="12">
        <v>93</v>
      </c>
      <c r="T3325" s="12" t="s">
        <v>39</v>
      </c>
      <c r="U3325" s="12" t="s">
        <v>371</v>
      </c>
      <c r="V3325" s="12" t="s">
        <v>41</v>
      </c>
      <c r="W3325" s="12">
        <v>8800000</v>
      </c>
      <c r="X3325" s="12">
        <v>1986</v>
      </c>
      <c r="Y3325" s="12">
        <v>162</v>
      </c>
      <c r="Z3325" s="12">
        <v>6.5</v>
      </c>
      <c r="AA3325" s="12">
        <v>2.35</v>
      </c>
      <c r="AB3325" s="12">
        <v>0</v>
      </c>
      <c r="AC3325" s="12"/>
      <c r="AD3325" s="12" t="str">
        <f>IFERROR(__xludf.DUMMYFUNCTION("""COMPUTED_VALUE"""),"Susan Hogan")</f>
        <v>Susan Hogan</v>
      </c>
      <c r="AE3325" s="12"/>
    </row>
    <row r="3326" customHeight="1" spans="1:31">
      <c r="A3326" s="11" t="s">
        <v>30</v>
      </c>
      <c r="B3326" s="11" t="s">
        <v>15803</v>
      </c>
      <c r="C3326" s="11">
        <v>19</v>
      </c>
      <c r="D3326" s="11">
        <v>76</v>
      </c>
      <c r="E3326" s="11">
        <v>4</v>
      </c>
      <c r="F3326" s="11">
        <v>151</v>
      </c>
      <c r="G3326" s="11">
        <v>722</v>
      </c>
      <c r="H3326" s="13"/>
      <c r="I3326" s="11" t="s">
        <v>15804</v>
      </c>
      <c r="J3326" s="11" t="s">
        <v>3166</v>
      </c>
      <c r="K3326" s="11" t="s">
        <v>15805</v>
      </c>
      <c r="L3326" s="11" t="s">
        <v>9364</v>
      </c>
      <c r="M3326" s="11" t="s">
        <v>15806</v>
      </c>
      <c r="N3326" s="11">
        <v>4990</v>
      </c>
      <c r="O3326" s="11">
        <v>1254</v>
      </c>
      <c r="P3326" s="11">
        <v>0</v>
      </c>
      <c r="Q3326" s="11" t="s">
        <v>15807</v>
      </c>
      <c r="R3326" s="14" t="s">
        <v>15808</v>
      </c>
      <c r="S3326" s="11">
        <v>64</v>
      </c>
      <c r="T3326" s="11" t="s">
        <v>39</v>
      </c>
      <c r="U3326" s="11" t="s">
        <v>58</v>
      </c>
      <c r="V3326" s="11" t="s">
        <v>586</v>
      </c>
      <c r="W3326" s="13"/>
      <c r="X3326" s="11">
        <v>2010</v>
      </c>
      <c r="Y3326" s="11">
        <v>212</v>
      </c>
      <c r="Z3326" s="11">
        <v>5.7</v>
      </c>
      <c r="AA3326" s="11">
        <v>1.85</v>
      </c>
      <c r="AB3326" s="11">
        <v>0</v>
      </c>
      <c r="AC3326" s="11"/>
      <c r="AD3326" s="11" t="str">
        <f>IFERROR(__xludf.DUMMYFUNCTION("""COMPUTED_VALUE"""),"Olivia Colman")</f>
        <v>Olivia Colman</v>
      </c>
      <c r="AE3326" s="11"/>
    </row>
    <row r="3327" customHeight="1" spans="1:31">
      <c r="A3327" s="12" t="s">
        <v>30</v>
      </c>
      <c r="B3327" s="12" t="s">
        <v>15809</v>
      </c>
      <c r="C3327" s="12">
        <v>33</v>
      </c>
      <c r="D3327" s="12">
        <v>90</v>
      </c>
      <c r="E3327" s="12">
        <v>3</v>
      </c>
      <c r="F3327" s="12">
        <v>327</v>
      </c>
      <c r="G3327" s="12">
        <v>1000</v>
      </c>
      <c r="H3327" s="16"/>
      <c r="I3327" s="12" t="s">
        <v>5033</v>
      </c>
      <c r="J3327" s="12" t="s">
        <v>160</v>
      </c>
      <c r="K3327" s="12" t="s">
        <v>8555</v>
      </c>
      <c r="L3327" s="12" t="s">
        <v>3459</v>
      </c>
      <c r="M3327" s="12" t="s">
        <v>15810</v>
      </c>
      <c r="N3327" s="12">
        <v>9296</v>
      </c>
      <c r="O3327" s="12">
        <v>2310</v>
      </c>
      <c r="P3327" s="12">
        <v>2</v>
      </c>
      <c r="Q3327" s="12" t="s">
        <v>15811</v>
      </c>
      <c r="R3327" s="15" t="s">
        <v>15812</v>
      </c>
      <c r="S3327" s="12">
        <v>57</v>
      </c>
      <c r="T3327" s="12" t="s">
        <v>39</v>
      </c>
      <c r="U3327" s="12" t="s">
        <v>58</v>
      </c>
      <c r="V3327" s="12" t="s">
        <v>586</v>
      </c>
      <c r="W3327" s="12">
        <v>8800000</v>
      </c>
      <c r="X3327" s="12">
        <v>2004</v>
      </c>
      <c r="Y3327" s="12">
        <v>900</v>
      </c>
      <c r="Z3327" s="12">
        <v>6.1</v>
      </c>
      <c r="AA3327" s="12">
        <v>2.35</v>
      </c>
      <c r="AB3327" s="12">
        <v>458</v>
      </c>
      <c r="AC3327" s="12"/>
      <c r="AD3327" s="12" t="str">
        <f>IFERROR(__xludf.DUMMYFUNCTION("""COMPUTED_VALUE"""),"Mike Nawrocki")</f>
        <v>Mike Nawrocki</v>
      </c>
      <c r="AE3327" s="12"/>
    </row>
    <row r="3328" customHeight="1" spans="1:31">
      <c r="A3328" s="11" t="s">
        <v>30</v>
      </c>
      <c r="B3328" s="11" t="s">
        <v>15813</v>
      </c>
      <c r="C3328" s="11">
        <v>17</v>
      </c>
      <c r="D3328" s="11">
        <v>122</v>
      </c>
      <c r="E3328" s="11">
        <v>8</v>
      </c>
      <c r="F3328" s="11">
        <v>59</v>
      </c>
      <c r="G3328" s="11">
        <v>174</v>
      </c>
      <c r="H3328" s="13"/>
      <c r="I3328" s="11" t="s">
        <v>1962</v>
      </c>
      <c r="J3328" s="11" t="s">
        <v>15814</v>
      </c>
      <c r="K3328" s="11" t="s">
        <v>15426</v>
      </c>
      <c r="L3328" s="11" t="s">
        <v>15815</v>
      </c>
      <c r="M3328" s="11" t="s">
        <v>15816</v>
      </c>
      <c r="N3328" s="11">
        <v>5741</v>
      </c>
      <c r="O3328" s="11">
        <v>498</v>
      </c>
      <c r="P3328" s="11">
        <v>12</v>
      </c>
      <c r="Q3328" s="11" t="s">
        <v>15817</v>
      </c>
      <c r="R3328" s="14" t="s">
        <v>15818</v>
      </c>
      <c r="S3328" s="11">
        <v>39</v>
      </c>
      <c r="T3328" s="11" t="s">
        <v>39</v>
      </c>
      <c r="U3328" s="11" t="s">
        <v>371</v>
      </c>
      <c r="V3328" s="11" t="s">
        <v>586</v>
      </c>
      <c r="W3328" s="11">
        <v>9000000</v>
      </c>
      <c r="X3328" s="11">
        <v>2010</v>
      </c>
      <c r="Y3328" s="11">
        <v>109</v>
      </c>
      <c r="Z3328" s="11">
        <v>7.1</v>
      </c>
      <c r="AA3328" s="11">
        <v>2.35</v>
      </c>
      <c r="AB3328" s="11">
        <v>0</v>
      </c>
      <c r="AC3328" s="11"/>
      <c r="AD3328" s="11" t="str">
        <f>IFERROR(__xludf.DUMMYFUNCTION("""COMPUTED_VALUE"""),"Shelby Vischer")</f>
        <v>Shelby Vischer</v>
      </c>
      <c r="AE3328" s="11"/>
    </row>
    <row r="3329" customHeight="1" spans="1:31">
      <c r="A3329" s="12" t="s">
        <v>30</v>
      </c>
      <c r="B3329" s="12" t="s">
        <v>15819</v>
      </c>
      <c r="C3329" s="12">
        <v>163</v>
      </c>
      <c r="D3329" s="12">
        <v>127</v>
      </c>
      <c r="E3329" s="12">
        <v>236</v>
      </c>
      <c r="F3329" s="12">
        <v>68</v>
      </c>
      <c r="G3329" s="12">
        <v>580</v>
      </c>
      <c r="H3329" s="12">
        <v>171320</v>
      </c>
      <c r="I3329" s="12" t="s">
        <v>1936</v>
      </c>
      <c r="J3329" s="12" t="s">
        <v>11243</v>
      </c>
      <c r="K3329" s="12" t="s">
        <v>15819</v>
      </c>
      <c r="L3329" s="12" t="s">
        <v>14774</v>
      </c>
      <c r="M3329" s="12" t="s">
        <v>15820</v>
      </c>
      <c r="N3329" s="12">
        <v>10796</v>
      </c>
      <c r="O3329" s="12">
        <v>1129</v>
      </c>
      <c r="P3329" s="12">
        <v>1</v>
      </c>
      <c r="Q3329" s="12" t="s">
        <v>15821</v>
      </c>
      <c r="R3329" s="15" t="s">
        <v>15822</v>
      </c>
      <c r="S3329" s="12">
        <v>33</v>
      </c>
      <c r="T3329" s="12" t="s">
        <v>1465</v>
      </c>
      <c r="U3329" s="12" t="s">
        <v>1466</v>
      </c>
      <c r="V3329" s="12" t="s">
        <v>4831</v>
      </c>
      <c r="W3329" s="16"/>
      <c r="X3329" s="12">
        <v>2011</v>
      </c>
      <c r="Y3329" s="12">
        <v>236</v>
      </c>
      <c r="Z3329" s="12">
        <v>7.3</v>
      </c>
      <c r="AA3329" s="12">
        <v>1.85</v>
      </c>
      <c r="AB3329" s="12">
        <v>0</v>
      </c>
      <c r="AC3329" s="12"/>
      <c r="AD3329" s="12" t="str">
        <f>IFERROR(__xludf.DUMMYFUNCTION("""COMPUTED_VALUE"""),"Maya Angelou")</f>
        <v>Maya Angelou</v>
      </c>
      <c r="AE3329" s="12"/>
    </row>
    <row r="3330" customHeight="1" spans="1:31">
      <c r="A3330" s="11" t="s">
        <v>30</v>
      </c>
      <c r="B3330" s="11" t="s">
        <v>15823</v>
      </c>
      <c r="C3330" s="11">
        <v>133</v>
      </c>
      <c r="D3330" s="11">
        <v>84</v>
      </c>
      <c r="E3330" s="11">
        <v>8</v>
      </c>
      <c r="F3330" s="11">
        <v>896</v>
      </c>
      <c r="G3330" s="11">
        <v>4000</v>
      </c>
      <c r="H3330" s="11">
        <v>14373825</v>
      </c>
      <c r="I3330" s="11" t="s">
        <v>2215</v>
      </c>
      <c r="J3330" s="11" t="s">
        <v>1434</v>
      </c>
      <c r="K3330" s="11" t="s">
        <v>6158</v>
      </c>
      <c r="L3330" s="11" t="s">
        <v>4236</v>
      </c>
      <c r="M3330" s="11" t="s">
        <v>15824</v>
      </c>
      <c r="N3330" s="11">
        <v>63216</v>
      </c>
      <c r="O3330" s="11">
        <v>6954</v>
      </c>
      <c r="P3330" s="11">
        <v>0</v>
      </c>
      <c r="Q3330" s="11" t="s">
        <v>15825</v>
      </c>
      <c r="R3330" s="14" t="s">
        <v>15826</v>
      </c>
      <c r="S3330" s="11">
        <v>196</v>
      </c>
      <c r="T3330" s="11" t="s">
        <v>39</v>
      </c>
      <c r="U3330" s="11" t="s">
        <v>40</v>
      </c>
      <c r="V3330" s="11" t="s">
        <v>586</v>
      </c>
      <c r="W3330" s="11">
        <v>8600000</v>
      </c>
      <c r="X3330" s="11">
        <v>2007</v>
      </c>
      <c r="Y3330" s="11">
        <v>922</v>
      </c>
      <c r="Z3330" s="11">
        <v>6.5</v>
      </c>
      <c r="AA3330" s="11">
        <v>2.35</v>
      </c>
      <c r="AB3330" s="11">
        <v>0</v>
      </c>
      <c r="AC3330" s="11"/>
      <c r="AD3330" s="11" t="str">
        <f>IFERROR(__xludf.DUMMYFUNCTION("""COMPUTED_VALUE"""),"Roger Guenveur Smith")</f>
        <v>Roger Guenveur Smith</v>
      </c>
      <c r="AE3330" s="11"/>
    </row>
    <row r="3331" customHeight="1" spans="1:31">
      <c r="A3331" s="12" t="s">
        <v>30</v>
      </c>
      <c r="B3331" s="16"/>
      <c r="C3331" s="12">
        <v>47</v>
      </c>
      <c r="D3331" s="12">
        <v>23</v>
      </c>
      <c r="E3331" s="16"/>
      <c r="F3331" s="12">
        <v>265</v>
      </c>
      <c r="G3331" s="12">
        <v>668</v>
      </c>
      <c r="H3331" s="16"/>
      <c r="I3331" s="12" t="s">
        <v>15827</v>
      </c>
      <c r="J3331" s="12" t="s">
        <v>3856</v>
      </c>
      <c r="K3331" s="12" t="s">
        <v>15828</v>
      </c>
      <c r="L3331" s="12" t="s">
        <v>8443</v>
      </c>
      <c r="M3331" s="12" t="s">
        <v>15829</v>
      </c>
      <c r="N3331" s="12">
        <v>28190</v>
      </c>
      <c r="O3331" s="12">
        <v>1484</v>
      </c>
      <c r="P3331" s="12">
        <v>0</v>
      </c>
      <c r="Q3331" s="12" t="s">
        <v>15830</v>
      </c>
      <c r="R3331" s="15" t="s">
        <v>15831</v>
      </c>
      <c r="S3331" s="12">
        <v>73</v>
      </c>
      <c r="T3331" s="12" t="s">
        <v>39</v>
      </c>
      <c r="U3331" s="12" t="s">
        <v>40</v>
      </c>
      <c r="V3331" s="12" t="s">
        <v>1569</v>
      </c>
      <c r="W3331" s="16"/>
      <c r="X3331" s="16"/>
      <c r="Y3331" s="12">
        <v>296</v>
      </c>
      <c r="Z3331" s="12">
        <v>7.9</v>
      </c>
      <c r="AA3331" s="12">
        <v>2.35</v>
      </c>
      <c r="AB3331" s="12">
        <v>2000</v>
      </c>
      <c r="AC3331" s="12"/>
      <c r="AD3331" s="12" t="str">
        <f>IFERROR(__xludf.DUMMYFUNCTION("""COMPUTED_VALUE"""),"Gino Salvano")</f>
        <v>Gino Salvano</v>
      </c>
      <c r="AE3331" s="12"/>
    </row>
    <row r="3332" customHeight="1" spans="1:31">
      <c r="A3332" s="11" t="s">
        <v>30</v>
      </c>
      <c r="B3332" s="11" t="s">
        <v>15832</v>
      </c>
      <c r="C3332" s="11">
        <v>66</v>
      </c>
      <c r="D3332" s="11">
        <v>96</v>
      </c>
      <c r="E3332" s="11">
        <v>3</v>
      </c>
      <c r="F3332" s="11">
        <v>305</v>
      </c>
      <c r="G3332" s="11">
        <v>2000</v>
      </c>
      <c r="H3332" s="11">
        <v>162</v>
      </c>
      <c r="I3332" s="11" t="s">
        <v>334</v>
      </c>
      <c r="J3332" s="11" t="s">
        <v>6434</v>
      </c>
      <c r="K3332" s="11" t="s">
        <v>4410</v>
      </c>
      <c r="L3332" s="11" t="s">
        <v>15833</v>
      </c>
      <c r="M3332" s="11" t="s">
        <v>15834</v>
      </c>
      <c r="N3332" s="11">
        <v>5228</v>
      </c>
      <c r="O3332" s="11">
        <v>2802</v>
      </c>
      <c r="P3332" s="11">
        <v>5</v>
      </c>
      <c r="Q3332" s="11" t="s">
        <v>15835</v>
      </c>
      <c r="R3332" s="14" t="s">
        <v>15836</v>
      </c>
      <c r="S3332" s="11">
        <v>38</v>
      </c>
      <c r="T3332" s="11" t="s">
        <v>39</v>
      </c>
      <c r="U3332" s="11" t="s">
        <v>13248</v>
      </c>
      <c r="V3332" s="11" t="s">
        <v>586</v>
      </c>
      <c r="W3332" s="11">
        <v>9000000</v>
      </c>
      <c r="X3332" s="11">
        <v>2014</v>
      </c>
      <c r="Y3332" s="11">
        <v>368</v>
      </c>
      <c r="Z3332" s="11">
        <v>5.7</v>
      </c>
      <c r="AA3332" s="11">
        <v>2.35</v>
      </c>
      <c r="AB3332" s="11">
        <v>0</v>
      </c>
      <c r="AC3332" s="11"/>
      <c r="AD3332" s="11" t="str">
        <f>IFERROR(__xludf.DUMMYFUNCTION("""COMPUTED_VALUE"""),"Allen Payne")</f>
        <v>Allen Payne</v>
      </c>
      <c r="AE3332" s="11"/>
    </row>
    <row r="3333" customHeight="1" spans="1:31">
      <c r="A3333" s="12" t="s">
        <v>30</v>
      </c>
      <c r="B3333" s="12" t="s">
        <v>1325</v>
      </c>
      <c r="C3333" s="12">
        <v>147</v>
      </c>
      <c r="D3333" s="12">
        <v>97</v>
      </c>
      <c r="E3333" s="12">
        <v>541</v>
      </c>
      <c r="F3333" s="12">
        <v>673</v>
      </c>
      <c r="G3333" s="12">
        <v>967</v>
      </c>
      <c r="H3333" s="12">
        <v>32222567</v>
      </c>
      <c r="I3333" s="12" t="s">
        <v>883</v>
      </c>
      <c r="J3333" s="12" t="s">
        <v>4196</v>
      </c>
      <c r="K3333" s="12" t="s">
        <v>2304</v>
      </c>
      <c r="L3333" s="12" t="s">
        <v>1608</v>
      </c>
      <c r="M3333" s="12" t="s">
        <v>15837</v>
      </c>
      <c r="N3333" s="12">
        <v>92924</v>
      </c>
      <c r="O3333" s="12">
        <v>4458</v>
      </c>
      <c r="P3333" s="12">
        <v>3</v>
      </c>
      <c r="Q3333" s="12" t="s">
        <v>15838</v>
      </c>
      <c r="R3333" s="15" t="s">
        <v>15839</v>
      </c>
      <c r="S3333" s="12">
        <v>339</v>
      </c>
      <c r="T3333" s="12" t="s">
        <v>39</v>
      </c>
      <c r="U3333" s="12" t="s">
        <v>40</v>
      </c>
      <c r="V3333" s="12" t="s">
        <v>586</v>
      </c>
      <c r="W3333" s="16"/>
      <c r="X3333" s="12">
        <v>1987</v>
      </c>
      <c r="Y3333" s="12">
        <v>847</v>
      </c>
      <c r="Z3333" s="12">
        <v>7.2</v>
      </c>
      <c r="AA3333" s="12">
        <v>2.35</v>
      </c>
      <c r="AB3333" s="12">
        <v>19000</v>
      </c>
      <c r="AC3333" s="12"/>
      <c r="AD3333" s="12" t="str">
        <f>IFERROR(__xludf.DUMMYFUNCTION("""COMPUTED_VALUE"""),"Linda Blair")</f>
        <v>Linda Blair</v>
      </c>
      <c r="AE3333" s="12"/>
    </row>
    <row r="3334" customHeight="1" spans="1:31">
      <c r="A3334" s="11" t="s">
        <v>30</v>
      </c>
      <c r="B3334" s="11" t="s">
        <v>4894</v>
      </c>
      <c r="C3334" s="11">
        <v>273</v>
      </c>
      <c r="D3334" s="11">
        <v>112</v>
      </c>
      <c r="E3334" s="11">
        <v>108</v>
      </c>
      <c r="F3334" s="11">
        <v>175</v>
      </c>
      <c r="G3334" s="11">
        <v>12000</v>
      </c>
      <c r="H3334" s="11">
        <v>39462438</v>
      </c>
      <c r="I3334" s="11" t="s">
        <v>7837</v>
      </c>
      <c r="J3334" s="11" t="s">
        <v>301</v>
      </c>
      <c r="K3334" s="11" t="s">
        <v>7032</v>
      </c>
      <c r="L3334" s="11" t="s">
        <v>15840</v>
      </c>
      <c r="M3334" s="11" t="s">
        <v>15841</v>
      </c>
      <c r="N3334" s="11">
        <v>67760</v>
      </c>
      <c r="O3334" s="11">
        <v>13172</v>
      </c>
      <c r="P3334" s="11">
        <v>0</v>
      </c>
      <c r="Q3334" s="11" t="s">
        <v>15842</v>
      </c>
      <c r="R3334" s="14" t="s">
        <v>15843</v>
      </c>
      <c r="S3334" s="11">
        <v>226</v>
      </c>
      <c r="T3334" s="11" t="s">
        <v>39</v>
      </c>
      <c r="U3334" s="11" t="s">
        <v>40</v>
      </c>
      <c r="V3334" s="11" t="s">
        <v>586</v>
      </c>
      <c r="W3334" s="11">
        <v>7000000</v>
      </c>
      <c r="X3334" s="11">
        <v>2009</v>
      </c>
      <c r="Y3334" s="11">
        <v>628</v>
      </c>
      <c r="Z3334" s="11">
        <v>7.3</v>
      </c>
      <c r="AA3334" s="11">
        <v>2.35</v>
      </c>
      <c r="AB3334" s="11">
        <v>0</v>
      </c>
      <c r="AC3334" s="11"/>
      <c r="AD3334" s="11" t="str">
        <f>IFERROR(__xludf.DUMMYFUNCTION("""COMPUTED_VALUE"""),"Lance Gross")</f>
        <v>Lance Gross</v>
      </c>
      <c r="AE3334" s="11"/>
    </row>
    <row r="3335" customHeight="1" spans="1:31">
      <c r="A3335" s="12" t="s">
        <v>30</v>
      </c>
      <c r="B3335" s="12" t="s">
        <v>15844</v>
      </c>
      <c r="C3335" s="12">
        <v>32</v>
      </c>
      <c r="D3335" s="12">
        <v>125</v>
      </c>
      <c r="E3335" s="12">
        <v>43</v>
      </c>
      <c r="F3335" s="12">
        <v>122</v>
      </c>
      <c r="G3335" s="12">
        <v>563</v>
      </c>
      <c r="H3335" s="12">
        <v>29200000</v>
      </c>
      <c r="I3335" s="12" t="s">
        <v>7837</v>
      </c>
      <c r="J3335" s="12" t="s">
        <v>3888</v>
      </c>
      <c r="K3335" s="12" t="s">
        <v>15845</v>
      </c>
      <c r="L3335" s="12" t="s">
        <v>15846</v>
      </c>
      <c r="M3335" s="12" t="s">
        <v>15847</v>
      </c>
      <c r="N3335" s="12">
        <v>6142</v>
      </c>
      <c r="O3335" s="12">
        <v>1097</v>
      </c>
      <c r="P3335" s="12">
        <v>0</v>
      </c>
      <c r="Q3335" s="12" t="s">
        <v>15848</v>
      </c>
      <c r="R3335" s="15" t="s">
        <v>15849</v>
      </c>
      <c r="S3335" s="12">
        <v>52</v>
      </c>
      <c r="T3335" s="12" t="s">
        <v>39</v>
      </c>
      <c r="U3335" s="12" t="s">
        <v>40</v>
      </c>
      <c r="V3335" s="12" t="s">
        <v>586</v>
      </c>
      <c r="W3335" s="12">
        <v>8500000</v>
      </c>
      <c r="X3335" s="12">
        <v>1979</v>
      </c>
      <c r="Y3335" s="12">
        <v>236</v>
      </c>
      <c r="Z3335" s="12">
        <v>6.9</v>
      </c>
      <c r="AA3335" s="12">
        <v>1.85</v>
      </c>
      <c r="AB3335" s="12">
        <v>1000</v>
      </c>
      <c r="AC3335" s="12"/>
      <c r="AD3335" s="12" t="str">
        <f>IFERROR(__xludf.DUMMYFUNCTION("""COMPUTED_VALUE"""),"Paolo Seganti")</f>
        <v>Paolo Seganti</v>
      </c>
      <c r="AE3335" s="12"/>
    </row>
    <row r="3336" customHeight="1" spans="1:31">
      <c r="A3336" s="11" t="s">
        <v>30</v>
      </c>
      <c r="B3336" s="11" t="s">
        <v>15850</v>
      </c>
      <c r="C3336" s="11">
        <v>52</v>
      </c>
      <c r="D3336" s="11">
        <v>96</v>
      </c>
      <c r="E3336" s="11">
        <v>68</v>
      </c>
      <c r="F3336" s="11">
        <v>1000</v>
      </c>
      <c r="G3336" s="11">
        <v>3000</v>
      </c>
      <c r="H3336" s="11">
        <v>21564616</v>
      </c>
      <c r="I3336" s="11" t="s">
        <v>1672</v>
      </c>
      <c r="J3336" s="11" t="s">
        <v>656</v>
      </c>
      <c r="K3336" s="11" t="s">
        <v>3091</v>
      </c>
      <c r="L3336" s="11" t="s">
        <v>2815</v>
      </c>
      <c r="M3336" s="11" t="s">
        <v>15851</v>
      </c>
      <c r="N3336" s="11">
        <v>7098</v>
      </c>
      <c r="O3336" s="11">
        <v>8097</v>
      </c>
      <c r="P3336" s="11">
        <v>9</v>
      </c>
      <c r="Q3336" s="11" t="s">
        <v>15852</v>
      </c>
      <c r="R3336" s="14" t="s">
        <v>15853</v>
      </c>
      <c r="S3336" s="11">
        <v>41</v>
      </c>
      <c r="T3336" s="11" t="s">
        <v>39</v>
      </c>
      <c r="U3336" s="11" t="s">
        <v>40</v>
      </c>
      <c r="V3336" s="11" t="s">
        <v>41</v>
      </c>
      <c r="W3336" s="11">
        <v>8500000</v>
      </c>
      <c r="X3336" s="11">
        <v>2013</v>
      </c>
      <c r="Y3336" s="11">
        <v>1000</v>
      </c>
      <c r="Z3336" s="11">
        <v>5</v>
      </c>
      <c r="AA3336" s="11">
        <v>1.85</v>
      </c>
      <c r="AB3336" s="11">
        <v>0</v>
      </c>
      <c r="AC3336" s="11"/>
      <c r="AD3336" s="11" t="str">
        <f>IFERROR(__xludf.DUMMYFUNCTION("""COMPUTED_VALUE"""),"Bethany Joy Lenz")</f>
        <v>Bethany Joy Lenz</v>
      </c>
      <c r="AE3336" s="11"/>
    </row>
    <row r="3337" customHeight="1" spans="1:31">
      <c r="A3337" s="12" t="s">
        <v>30</v>
      </c>
      <c r="B3337" s="12" t="s">
        <v>15854</v>
      </c>
      <c r="C3337" s="12">
        <v>107</v>
      </c>
      <c r="D3337" s="12">
        <v>98</v>
      </c>
      <c r="E3337" s="12">
        <v>35</v>
      </c>
      <c r="F3337" s="12">
        <v>170</v>
      </c>
      <c r="G3337" s="12">
        <v>949</v>
      </c>
      <c r="H3337" s="16"/>
      <c r="I3337" s="12" t="s">
        <v>14083</v>
      </c>
      <c r="J3337" s="12" t="s">
        <v>5740</v>
      </c>
      <c r="K3337" s="12" t="s">
        <v>15855</v>
      </c>
      <c r="L3337" s="12" t="s">
        <v>15856</v>
      </c>
      <c r="M3337" s="12" t="s">
        <v>15857</v>
      </c>
      <c r="N3337" s="12">
        <v>24436</v>
      </c>
      <c r="O3337" s="12">
        <v>1510</v>
      </c>
      <c r="P3337" s="12">
        <v>2</v>
      </c>
      <c r="Q3337" s="12" t="s">
        <v>15858</v>
      </c>
      <c r="R3337" s="15" t="s">
        <v>15859</v>
      </c>
      <c r="S3337" s="12">
        <v>186</v>
      </c>
      <c r="T3337" s="12" t="s">
        <v>39</v>
      </c>
      <c r="U3337" s="12" t="s">
        <v>1466</v>
      </c>
      <c r="V3337" s="12" t="s">
        <v>96</v>
      </c>
      <c r="W3337" s="12">
        <v>9000000</v>
      </c>
      <c r="X3337" s="12">
        <v>1968</v>
      </c>
      <c r="Y3337" s="12">
        <v>178</v>
      </c>
      <c r="Z3337" s="12">
        <v>5.9</v>
      </c>
      <c r="AA3337" s="12">
        <v>2.35</v>
      </c>
      <c r="AB3337" s="12">
        <v>0</v>
      </c>
      <c r="AC3337" s="12"/>
      <c r="AD3337" s="12" t="str">
        <f>IFERROR(__xludf.DUMMYFUNCTION("""COMPUTED_VALUE"""),"Eliza Coupe")</f>
        <v>Eliza Coupe</v>
      </c>
      <c r="AE3337" s="12"/>
    </row>
    <row r="3338" customHeight="1" spans="1:31">
      <c r="A3338" s="11" t="s">
        <v>30</v>
      </c>
      <c r="B3338" s="11" t="s">
        <v>15860</v>
      </c>
      <c r="C3338" s="11">
        <v>6</v>
      </c>
      <c r="D3338" s="11">
        <v>92</v>
      </c>
      <c r="E3338" s="11">
        <v>8</v>
      </c>
      <c r="F3338" s="11">
        <v>3</v>
      </c>
      <c r="G3338" s="11">
        <v>35</v>
      </c>
      <c r="H3338" s="13"/>
      <c r="I3338" s="11" t="s">
        <v>9353</v>
      </c>
      <c r="J3338" s="11" t="s">
        <v>15861</v>
      </c>
      <c r="K3338" s="11" t="s">
        <v>15862</v>
      </c>
      <c r="L3338" s="11" t="s">
        <v>15863</v>
      </c>
      <c r="M3338" s="11" t="s">
        <v>15864</v>
      </c>
      <c r="N3338" s="11">
        <v>1984</v>
      </c>
      <c r="O3338" s="11">
        <v>47</v>
      </c>
      <c r="P3338" s="11">
        <v>2</v>
      </c>
      <c r="Q3338" s="11" t="s">
        <v>15865</v>
      </c>
      <c r="R3338" s="14" t="s">
        <v>15866</v>
      </c>
      <c r="S3338" s="11">
        <v>14</v>
      </c>
      <c r="T3338" s="11" t="s">
        <v>39</v>
      </c>
      <c r="U3338" s="11" t="s">
        <v>12617</v>
      </c>
      <c r="V3338" s="11" t="s">
        <v>96</v>
      </c>
      <c r="W3338" s="11">
        <v>60000000</v>
      </c>
      <c r="X3338" s="11">
        <v>1990</v>
      </c>
      <c r="Y3338" s="11">
        <v>6</v>
      </c>
      <c r="Z3338" s="11">
        <v>6.7</v>
      </c>
      <c r="AA3338" s="11">
        <v>2.35</v>
      </c>
      <c r="AB3338" s="11">
        <v>278</v>
      </c>
      <c r="AC3338" s="11"/>
      <c r="AD3338" s="11" t="str">
        <f>IFERROR(__xludf.DUMMYFUNCTION("""COMPUTED_VALUE"""),"Kane Hodder")</f>
        <v>Kane Hodder</v>
      </c>
      <c r="AE3338" s="11"/>
    </row>
    <row r="3339" customHeight="1" spans="1:31">
      <c r="A3339" s="12" t="s">
        <v>30</v>
      </c>
      <c r="B3339" s="12" t="s">
        <v>8192</v>
      </c>
      <c r="C3339" s="12">
        <v>175</v>
      </c>
      <c r="D3339" s="12">
        <v>103</v>
      </c>
      <c r="E3339" s="12">
        <v>729</v>
      </c>
      <c r="F3339" s="12">
        <v>133</v>
      </c>
      <c r="G3339" s="12">
        <v>2000</v>
      </c>
      <c r="H3339" s="12">
        <v>14879556</v>
      </c>
      <c r="I3339" s="12" t="s">
        <v>2528</v>
      </c>
      <c r="J3339" s="12" t="s">
        <v>902</v>
      </c>
      <c r="K3339" s="12" t="s">
        <v>3369</v>
      </c>
      <c r="L3339" s="12" t="s">
        <v>15867</v>
      </c>
      <c r="M3339" s="12" t="s">
        <v>15868</v>
      </c>
      <c r="N3339" s="12">
        <v>73640</v>
      </c>
      <c r="O3339" s="12">
        <v>3516</v>
      </c>
      <c r="P3339" s="12">
        <v>0</v>
      </c>
      <c r="Q3339" s="12" t="s">
        <v>15869</v>
      </c>
      <c r="R3339" s="15" t="s">
        <v>15870</v>
      </c>
      <c r="S3339" s="12">
        <v>441</v>
      </c>
      <c r="T3339" s="12" t="s">
        <v>39</v>
      </c>
      <c r="U3339" s="12" t="s">
        <v>40</v>
      </c>
      <c r="V3339" s="12" t="s">
        <v>586</v>
      </c>
      <c r="W3339" s="12">
        <v>8000000</v>
      </c>
      <c r="X3339" s="12">
        <v>1999</v>
      </c>
      <c r="Y3339" s="12">
        <v>841</v>
      </c>
      <c r="Z3339" s="12">
        <v>7.3</v>
      </c>
      <c r="AA3339" s="12">
        <v>2.35</v>
      </c>
      <c r="AB3339" s="12">
        <v>0</v>
      </c>
      <c r="AC3339" s="12"/>
      <c r="AD3339" s="12" t="str">
        <f>IFERROR(__xludf.DUMMYFUNCTION("""COMPUTED_VALUE"""),"Lexa Doig")</f>
        <v>Lexa Doig</v>
      </c>
      <c r="AE3339" s="12"/>
    </row>
    <row r="3340" customHeight="1" spans="1:31">
      <c r="A3340" s="11" t="s">
        <v>30</v>
      </c>
      <c r="B3340" s="11" t="s">
        <v>10307</v>
      </c>
      <c r="C3340" s="11">
        <v>167</v>
      </c>
      <c r="D3340" s="11">
        <v>122</v>
      </c>
      <c r="E3340" s="11">
        <v>300</v>
      </c>
      <c r="F3340" s="11">
        <v>341</v>
      </c>
      <c r="G3340" s="11">
        <v>579</v>
      </c>
      <c r="H3340" s="11">
        <v>13569248</v>
      </c>
      <c r="I3340" s="11" t="s">
        <v>3410</v>
      </c>
      <c r="J3340" s="11" t="s">
        <v>4056</v>
      </c>
      <c r="K3340" s="11" t="s">
        <v>3440</v>
      </c>
      <c r="L3340" s="11" t="s">
        <v>1359</v>
      </c>
      <c r="M3340" s="11" t="s">
        <v>15871</v>
      </c>
      <c r="N3340" s="11">
        <v>16530</v>
      </c>
      <c r="O3340" s="11">
        <v>1637</v>
      </c>
      <c r="P3340" s="11">
        <v>1</v>
      </c>
      <c r="Q3340" s="11" t="s">
        <v>15872</v>
      </c>
      <c r="R3340" s="14" t="s">
        <v>15873</v>
      </c>
      <c r="S3340" s="11">
        <v>117</v>
      </c>
      <c r="T3340" s="11" t="s">
        <v>39</v>
      </c>
      <c r="U3340" s="11" t="s">
        <v>40</v>
      </c>
      <c r="V3340" s="11" t="s">
        <v>41</v>
      </c>
      <c r="W3340" s="13"/>
      <c r="X3340" s="11">
        <v>2006</v>
      </c>
      <c r="Y3340" s="11">
        <v>405</v>
      </c>
      <c r="Z3340" s="11">
        <v>7.6</v>
      </c>
      <c r="AA3340" s="11">
        <v>1.85</v>
      </c>
      <c r="AB3340" s="11">
        <v>0</v>
      </c>
      <c r="AC3340" s="11"/>
      <c r="AD3340" s="11" t="str">
        <f>IFERROR(__xludf.DUMMYFUNCTION("""COMPUTED_VALUE"""),"China Chow")</f>
        <v>China Chow</v>
      </c>
      <c r="AE3340" s="11"/>
    </row>
    <row r="3341" customHeight="1" spans="1:31">
      <c r="A3341" s="12" t="s">
        <v>30</v>
      </c>
      <c r="B3341" s="12" t="s">
        <v>15874</v>
      </c>
      <c r="C3341" s="12">
        <v>132</v>
      </c>
      <c r="D3341" s="12">
        <v>101</v>
      </c>
      <c r="E3341" s="12">
        <v>17</v>
      </c>
      <c r="F3341" s="12">
        <v>429</v>
      </c>
      <c r="G3341" s="12">
        <v>35000</v>
      </c>
      <c r="H3341" s="12">
        <v>34017854</v>
      </c>
      <c r="I3341" s="12" t="s">
        <v>1672</v>
      </c>
      <c r="J3341" s="12" t="s">
        <v>2169</v>
      </c>
      <c r="K3341" s="12" t="s">
        <v>3899</v>
      </c>
      <c r="L3341" s="12" t="s">
        <v>10920</v>
      </c>
      <c r="M3341" s="12" t="s">
        <v>15875</v>
      </c>
      <c r="N3341" s="12">
        <v>51326</v>
      </c>
      <c r="O3341" s="12">
        <v>36892</v>
      </c>
      <c r="P3341" s="12">
        <v>4</v>
      </c>
      <c r="Q3341" s="12" t="s">
        <v>15876</v>
      </c>
      <c r="R3341" s="15" t="s">
        <v>15877</v>
      </c>
      <c r="S3341" s="12">
        <v>116</v>
      </c>
      <c r="T3341" s="12" t="s">
        <v>39</v>
      </c>
      <c r="U3341" s="12" t="s">
        <v>40</v>
      </c>
      <c r="V3341" s="12" t="s">
        <v>41</v>
      </c>
      <c r="W3341" s="12">
        <v>8500000</v>
      </c>
      <c r="X3341" s="12">
        <v>2015</v>
      </c>
      <c r="Y3341" s="12">
        <v>966</v>
      </c>
      <c r="Z3341" s="12">
        <v>6.5</v>
      </c>
      <c r="AA3341" s="12">
        <v>2.35</v>
      </c>
      <c r="AB3341" s="12">
        <v>8000</v>
      </c>
      <c r="AC3341" s="12"/>
      <c r="AD3341" s="12" t="str">
        <f>IFERROR(__xludf.DUMMYFUNCTION("""COMPUTED_VALUE"""),"Osric Chau")</f>
        <v>Osric Chau</v>
      </c>
      <c r="AE3341" s="12"/>
    </row>
    <row r="3342" customHeight="1" spans="1:31">
      <c r="A3342" s="11" t="s">
        <v>30</v>
      </c>
      <c r="B3342" s="11" t="s">
        <v>12123</v>
      </c>
      <c r="C3342" s="11">
        <v>66</v>
      </c>
      <c r="D3342" s="11">
        <v>104</v>
      </c>
      <c r="E3342" s="11">
        <v>170</v>
      </c>
      <c r="F3342" s="11">
        <v>202</v>
      </c>
      <c r="G3342" s="11">
        <v>736</v>
      </c>
      <c r="H3342" s="11">
        <v>4273372</v>
      </c>
      <c r="I3342" s="11" t="s">
        <v>7837</v>
      </c>
      <c r="J3342" s="11" t="s">
        <v>7039</v>
      </c>
      <c r="K3342" s="11" t="s">
        <v>15878</v>
      </c>
      <c r="L3342" s="11" t="s">
        <v>15879</v>
      </c>
      <c r="M3342" s="11" t="s">
        <v>15880</v>
      </c>
      <c r="N3342" s="11">
        <v>19412</v>
      </c>
      <c r="O3342" s="11">
        <v>1854</v>
      </c>
      <c r="P3342" s="11">
        <v>1</v>
      </c>
      <c r="Q3342" s="11" t="s">
        <v>15881</v>
      </c>
      <c r="R3342" s="14" t="s">
        <v>15882</v>
      </c>
      <c r="S3342" s="11">
        <v>308</v>
      </c>
      <c r="T3342" s="11" t="s">
        <v>39</v>
      </c>
      <c r="U3342" s="11" t="s">
        <v>40</v>
      </c>
      <c r="V3342" s="11" t="s">
        <v>41</v>
      </c>
      <c r="W3342" s="11">
        <v>22000000</v>
      </c>
      <c r="X3342" s="11">
        <v>2001</v>
      </c>
      <c r="Y3342" s="11">
        <v>218</v>
      </c>
      <c r="Z3342" s="11">
        <v>2.1</v>
      </c>
      <c r="AA3342" s="11">
        <v>2.35</v>
      </c>
      <c r="AB3342" s="11">
        <v>0</v>
      </c>
      <c r="AC3342" s="11"/>
      <c r="AD3342" s="11" t="str">
        <f>IFERROR(__xludf.DUMMYFUNCTION("""COMPUTED_VALUE"""),"Emmanuelle Seigner")</f>
        <v>Emmanuelle Seigner</v>
      </c>
      <c r="AE3342" s="11"/>
    </row>
    <row r="3343" customHeight="1" spans="1:31">
      <c r="A3343" s="12" t="s">
        <v>30</v>
      </c>
      <c r="B3343" s="12" t="s">
        <v>15883</v>
      </c>
      <c r="C3343" s="12">
        <v>79</v>
      </c>
      <c r="D3343" s="12">
        <v>101</v>
      </c>
      <c r="E3343" s="12">
        <v>14</v>
      </c>
      <c r="F3343" s="12">
        <v>559</v>
      </c>
      <c r="G3343" s="12">
        <v>1000</v>
      </c>
      <c r="H3343" s="16"/>
      <c r="I3343" s="12" t="s">
        <v>6133</v>
      </c>
      <c r="J3343" s="12" t="s">
        <v>3745</v>
      </c>
      <c r="K3343" s="12" t="s">
        <v>7513</v>
      </c>
      <c r="L3343" s="12" t="s">
        <v>15884</v>
      </c>
      <c r="M3343" s="12" t="s">
        <v>15885</v>
      </c>
      <c r="N3343" s="12">
        <v>13167</v>
      </c>
      <c r="O3343" s="12">
        <v>3164</v>
      </c>
      <c r="P3343" s="12">
        <v>0</v>
      </c>
      <c r="Q3343" s="12" t="s">
        <v>15886</v>
      </c>
      <c r="R3343" s="15" t="s">
        <v>15887</v>
      </c>
      <c r="S3343" s="12">
        <v>57</v>
      </c>
      <c r="T3343" s="12" t="s">
        <v>39</v>
      </c>
      <c r="U3343" s="12" t="s">
        <v>40</v>
      </c>
      <c r="V3343" s="12" t="s">
        <v>586</v>
      </c>
      <c r="W3343" s="12">
        <v>9000000</v>
      </c>
      <c r="X3343" s="12">
        <v>2013</v>
      </c>
      <c r="Y3343" s="12">
        <v>907</v>
      </c>
      <c r="Z3343" s="12">
        <v>5.3</v>
      </c>
      <c r="AA3343" s="12">
        <v>2.35</v>
      </c>
      <c r="AB3343" s="12">
        <v>0</v>
      </c>
      <c r="AC3343" s="12"/>
      <c r="AD3343" s="12" t="str">
        <f>IFERROR(__xludf.DUMMYFUNCTION("""COMPUTED_VALUE"""),"Isaach De Bankolé")</f>
        <v>Isaach De Bankolé</v>
      </c>
      <c r="AE3343" s="12"/>
    </row>
    <row r="3344" customHeight="1" spans="1:31">
      <c r="A3344" s="11" t="s">
        <v>30</v>
      </c>
      <c r="B3344" s="11" t="s">
        <v>15888</v>
      </c>
      <c r="C3344" s="11">
        <v>15</v>
      </c>
      <c r="D3344" s="11">
        <v>135</v>
      </c>
      <c r="E3344" s="11">
        <v>0</v>
      </c>
      <c r="F3344" s="11">
        <v>13</v>
      </c>
      <c r="G3344" s="11">
        <v>28</v>
      </c>
      <c r="H3344" s="13"/>
      <c r="I3344" s="11" t="s">
        <v>777</v>
      </c>
      <c r="J3344" s="11" t="s">
        <v>15889</v>
      </c>
      <c r="K3344" s="11" t="s">
        <v>15890</v>
      </c>
      <c r="L3344" s="11" t="s">
        <v>12697</v>
      </c>
      <c r="M3344" s="11" t="s">
        <v>15891</v>
      </c>
      <c r="N3344" s="11">
        <v>3290</v>
      </c>
      <c r="O3344" s="11">
        <v>97</v>
      </c>
      <c r="P3344" s="11">
        <v>0</v>
      </c>
      <c r="Q3344" s="11" t="s">
        <v>15892</v>
      </c>
      <c r="R3344" s="14" t="s">
        <v>15893</v>
      </c>
      <c r="S3344" s="11">
        <v>17</v>
      </c>
      <c r="T3344" s="11" t="s">
        <v>12701</v>
      </c>
      <c r="U3344" s="11" t="s">
        <v>5695</v>
      </c>
      <c r="V3344" s="13"/>
      <c r="W3344" s="11">
        <v>8000000</v>
      </c>
      <c r="X3344" s="11">
        <v>2003</v>
      </c>
      <c r="Y3344" s="11">
        <v>15</v>
      </c>
      <c r="Z3344" s="11">
        <v>7.2</v>
      </c>
      <c r="AA3344" s="11">
        <v>2.35</v>
      </c>
      <c r="AB3344" s="11">
        <v>387</v>
      </c>
      <c r="AC3344" s="11"/>
      <c r="AD3344" s="11" t="str">
        <f>IFERROR(__xludf.DUMMYFUNCTION("""COMPUTED_VALUE"""),"Jane Adams")</f>
        <v>Jane Adams</v>
      </c>
      <c r="AE3344" s="11"/>
    </row>
    <row r="3345" customHeight="1" spans="1:31">
      <c r="A3345" s="12" t="s">
        <v>30</v>
      </c>
      <c r="B3345" s="12" t="s">
        <v>14296</v>
      </c>
      <c r="C3345" s="12">
        <v>222</v>
      </c>
      <c r="D3345" s="12">
        <v>119</v>
      </c>
      <c r="E3345" s="12">
        <v>319</v>
      </c>
      <c r="F3345" s="12">
        <v>179</v>
      </c>
      <c r="G3345" s="12">
        <v>2000</v>
      </c>
      <c r="H3345" s="12">
        <v>4440055</v>
      </c>
      <c r="I3345" s="12" t="s">
        <v>6327</v>
      </c>
      <c r="J3345" s="12" t="s">
        <v>1402</v>
      </c>
      <c r="K3345" s="12" t="s">
        <v>11754</v>
      </c>
      <c r="L3345" s="12" t="s">
        <v>15894</v>
      </c>
      <c r="M3345" s="12" t="s">
        <v>15895</v>
      </c>
      <c r="N3345" s="12">
        <v>21360</v>
      </c>
      <c r="O3345" s="12">
        <v>3279</v>
      </c>
      <c r="P3345" s="12">
        <v>0</v>
      </c>
      <c r="Q3345" s="12" t="s">
        <v>15896</v>
      </c>
      <c r="R3345" s="15" t="s">
        <v>15897</v>
      </c>
      <c r="S3345" s="12">
        <v>110</v>
      </c>
      <c r="T3345" s="12" t="s">
        <v>39</v>
      </c>
      <c r="U3345" s="12" t="s">
        <v>58</v>
      </c>
      <c r="V3345" s="12" t="s">
        <v>96</v>
      </c>
      <c r="W3345" s="12">
        <v>8500000</v>
      </c>
      <c r="X3345" s="12">
        <v>2009</v>
      </c>
      <c r="Y3345" s="12">
        <v>552</v>
      </c>
      <c r="Z3345" s="12">
        <v>7</v>
      </c>
      <c r="AA3345" s="12">
        <v>1.85</v>
      </c>
      <c r="AB3345" s="12">
        <v>0</v>
      </c>
      <c r="AC3345" s="12"/>
      <c r="AD3345" s="12" t="str">
        <f>IFERROR(__xludf.DUMMYFUNCTION("""COMPUTED_VALUE"""),"Noam Jenkins")</f>
        <v>Noam Jenkins</v>
      </c>
      <c r="AE3345" s="12"/>
    </row>
    <row r="3346" customHeight="1" spans="1:31">
      <c r="A3346" s="11" t="s">
        <v>30</v>
      </c>
      <c r="B3346" s="11" t="s">
        <v>14705</v>
      </c>
      <c r="C3346" s="11">
        <v>210</v>
      </c>
      <c r="D3346" s="11">
        <v>128</v>
      </c>
      <c r="E3346" s="11">
        <v>160</v>
      </c>
      <c r="F3346" s="11">
        <v>81</v>
      </c>
      <c r="G3346" s="11">
        <v>8000</v>
      </c>
      <c r="H3346" s="11">
        <v>4018695</v>
      </c>
      <c r="I3346" s="11" t="s">
        <v>1827</v>
      </c>
      <c r="J3346" s="11" t="s">
        <v>14706</v>
      </c>
      <c r="K3346" s="11" t="s">
        <v>15898</v>
      </c>
      <c r="L3346" s="11" t="s">
        <v>15899</v>
      </c>
      <c r="M3346" s="11" t="s">
        <v>15900</v>
      </c>
      <c r="N3346" s="11">
        <v>69759</v>
      </c>
      <c r="O3346" s="11">
        <v>8532</v>
      </c>
      <c r="P3346" s="11">
        <v>2</v>
      </c>
      <c r="Q3346" s="11" t="s">
        <v>15901</v>
      </c>
      <c r="R3346" s="14" t="s">
        <v>15902</v>
      </c>
      <c r="S3346" s="11">
        <v>235</v>
      </c>
      <c r="T3346" s="11" t="s">
        <v>5612</v>
      </c>
      <c r="U3346" s="11" t="s">
        <v>5613</v>
      </c>
      <c r="V3346" s="11" t="s">
        <v>41</v>
      </c>
      <c r="W3346" s="11">
        <v>12000000</v>
      </c>
      <c r="X3346" s="11">
        <v>2010</v>
      </c>
      <c r="Y3346" s="11">
        <v>327</v>
      </c>
      <c r="Z3346" s="11">
        <v>8</v>
      </c>
      <c r="AA3346" s="11">
        <v>2.35</v>
      </c>
      <c r="AB3346" s="11">
        <v>27000</v>
      </c>
      <c r="AC3346" s="11"/>
      <c r="AD3346" s="11" t="str">
        <f>IFERROR(__xludf.DUMMYFUNCTION("""COMPUTED_VALUE"""),"Tovah Feldshuh")</f>
        <v>Tovah Feldshuh</v>
      </c>
      <c r="AE3346" s="11"/>
    </row>
    <row r="3347" customHeight="1" spans="1:31">
      <c r="A3347" s="12" t="s">
        <v>30</v>
      </c>
      <c r="B3347" s="12" t="s">
        <v>10099</v>
      </c>
      <c r="C3347" s="12">
        <v>60</v>
      </c>
      <c r="D3347" s="12">
        <v>107</v>
      </c>
      <c r="E3347" s="12">
        <v>71</v>
      </c>
      <c r="F3347" s="12">
        <v>304</v>
      </c>
      <c r="G3347" s="12">
        <v>967</v>
      </c>
      <c r="H3347" s="12">
        <v>80000000</v>
      </c>
      <c r="I3347" s="12" t="s">
        <v>7837</v>
      </c>
      <c r="J3347" s="12" t="s">
        <v>4196</v>
      </c>
      <c r="K3347" s="12" t="s">
        <v>4528</v>
      </c>
      <c r="L3347" s="12" t="s">
        <v>10100</v>
      </c>
      <c r="M3347" s="12" t="s">
        <v>10101</v>
      </c>
      <c r="N3347" s="12">
        <v>51459</v>
      </c>
      <c r="O3347" s="12">
        <v>1962</v>
      </c>
      <c r="P3347" s="12">
        <v>0</v>
      </c>
      <c r="Q3347" s="12" t="s">
        <v>10102</v>
      </c>
      <c r="R3347" s="15" t="s">
        <v>10103</v>
      </c>
      <c r="S3347" s="12">
        <v>113</v>
      </c>
      <c r="T3347" s="12" t="s">
        <v>39</v>
      </c>
      <c r="U3347" s="12" t="s">
        <v>40</v>
      </c>
      <c r="V3347" s="12" t="s">
        <v>96</v>
      </c>
      <c r="W3347" s="12">
        <v>8200000</v>
      </c>
      <c r="X3347" s="12">
        <v>1984</v>
      </c>
      <c r="Y3347" s="12">
        <v>455</v>
      </c>
      <c r="Z3347" s="12">
        <v>6.5</v>
      </c>
      <c r="AA3347" s="12">
        <v>1.85</v>
      </c>
      <c r="AB3347" s="12">
        <v>0</v>
      </c>
      <c r="AC3347" s="12"/>
      <c r="AD3347" s="12" t="str">
        <f>IFERROR(__xludf.DUMMYFUNCTION("""COMPUTED_VALUE"""),"Bonnie Henna")</f>
        <v>Bonnie Henna</v>
      </c>
      <c r="AE3347" s="12"/>
    </row>
    <row r="3348" customHeight="1" spans="1:31">
      <c r="A3348" s="11" t="s">
        <v>30</v>
      </c>
      <c r="B3348" s="11" t="s">
        <v>11362</v>
      </c>
      <c r="C3348" s="11">
        <v>346</v>
      </c>
      <c r="D3348" s="11">
        <v>106</v>
      </c>
      <c r="E3348" s="11">
        <v>78</v>
      </c>
      <c r="F3348" s="13"/>
      <c r="G3348" s="11">
        <v>0</v>
      </c>
      <c r="H3348" s="11">
        <v>6262942</v>
      </c>
      <c r="I3348" s="11" t="s">
        <v>1023</v>
      </c>
      <c r="J3348" s="11" t="s">
        <v>4042</v>
      </c>
      <c r="K3348" s="13"/>
      <c r="L3348" s="13"/>
      <c r="M3348" s="11" t="s">
        <v>15903</v>
      </c>
      <c r="N3348" s="11">
        <v>59545</v>
      </c>
      <c r="O3348" s="11">
        <v>0</v>
      </c>
      <c r="P3348" s="11">
        <v>0</v>
      </c>
      <c r="Q3348" s="11" t="s">
        <v>15904</v>
      </c>
      <c r="R3348" s="14" t="s">
        <v>15905</v>
      </c>
      <c r="S3348" s="11">
        <v>312</v>
      </c>
      <c r="T3348" s="11" t="s">
        <v>39</v>
      </c>
      <c r="U3348" s="11" t="s">
        <v>40</v>
      </c>
      <c r="V3348" s="11" t="s">
        <v>41</v>
      </c>
      <c r="W3348" s="11">
        <v>9000000</v>
      </c>
      <c r="X3348" s="11">
        <v>2013</v>
      </c>
      <c r="Y3348" s="13"/>
      <c r="Z3348" s="11">
        <v>6.9</v>
      </c>
      <c r="AA3348" s="11">
        <v>2.35</v>
      </c>
      <c r="AB3348" s="11">
        <v>18000</v>
      </c>
      <c r="AC3348" s="11"/>
      <c r="AD3348" s="11" t="str">
        <f>IFERROR(__xludf.DUMMYFUNCTION("""COMPUTED_VALUE"""),"Melissa Sagemiller")</f>
        <v>Melissa Sagemiller</v>
      </c>
      <c r="AE3348" s="11"/>
    </row>
    <row r="3349" customHeight="1" spans="1:31">
      <c r="A3349" s="12" t="s">
        <v>30</v>
      </c>
      <c r="B3349" s="12" t="s">
        <v>15906</v>
      </c>
      <c r="C3349" s="12">
        <v>46</v>
      </c>
      <c r="D3349" s="12">
        <v>126</v>
      </c>
      <c r="E3349" s="12">
        <v>407</v>
      </c>
      <c r="F3349" s="12">
        <v>39</v>
      </c>
      <c r="G3349" s="12">
        <v>638</v>
      </c>
      <c r="H3349" s="12">
        <v>1997807</v>
      </c>
      <c r="I3349" s="12" t="s">
        <v>1827</v>
      </c>
      <c r="J3349" s="12" t="s">
        <v>1347</v>
      </c>
      <c r="K3349" s="12" t="s">
        <v>15907</v>
      </c>
      <c r="L3349" s="12" t="s">
        <v>15908</v>
      </c>
      <c r="M3349" s="12" t="s">
        <v>15909</v>
      </c>
      <c r="N3349" s="12">
        <v>5158</v>
      </c>
      <c r="O3349" s="12">
        <v>823</v>
      </c>
      <c r="P3349" s="12">
        <v>0</v>
      </c>
      <c r="Q3349" s="12" t="s">
        <v>15910</v>
      </c>
      <c r="R3349" s="15" t="s">
        <v>15911</v>
      </c>
      <c r="S3349" s="12">
        <v>140</v>
      </c>
      <c r="T3349" s="12" t="s">
        <v>39</v>
      </c>
      <c r="U3349" s="12" t="s">
        <v>40</v>
      </c>
      <c r="V3349" s="12" t="s">
        <v>586</v>
      </c>
      <c r="W3349" s="12">
        <v>8000000</v>
      </c>
      <c r="X3349" s="12">
        <v>1999</v>
      </c>
      <c r="Y3349" s="12">
        <v>107</v>
      </c>
      <c r="Z3349" s="12">
        <v>7.1</v>
      </c>
      <c r="AA3349" s="12">
        <v>1.85</v>
      </c>
      <c r="AB3349" s="12">
        <v>196</v>
      </c>
      <c r="AC3349" s="12"/>
      <c r="AD3349" s="12" t="str">
        <f>IFERROR(__xludf.DUMMYFUNCTION("""COMPUTED_VALUE"""),"Angela Featherstone")</f>
        <v>Angela Featherstone</v>
      </c>
      <c r="AE3349" s="12"/>
    </row>
    <row r="3350" customHeight="1" spans="1:31">
      <c r="A3350" s="11" t="s">
        <v>30</v>
      </c>
      <c r="B3350" s="11" t="s">
        <v>15912</v>
      </c>
      <c r="C3350" s="11">
        <v>15</v>
      </c>
      <c r="D3350" s="11">
        <v>128</v>
      </c>
      <c r="E3350" s="11">
        <v>11</v>
      </c>
      <c r="F3350" s="11">
        <v>119</v>
      </c>
      <c r="G3350" s="11">
        <v>3000</v>
      </c>
      <c r="H3350" s="11">
        <v>1207007</v>
      </c>
      <c r="I3350" s="11" t="s">
        <v>1415</v>
      </c>
      <c r="J3350" s="11" t="s">
        <v>15586</v>
      </c>
      <c r="K3350" s="11" t="s">
        <v>15913</v>
      </c>
      <c r="L3350" s="11" t="s">
        <v>14759</v>
      </c>
      <c r="M3350" s="11" t="s">
        <v>15914</v>
      </c>
      <c r="N3350" s="11">
        <v>13577</v>
      </c>
      <c r="O3350" s="11">
        <v>4004</v>
      </c>
      <c r="P3350" s="11">
        <v>2</v>
      </c>
      <c r="Q3350" s="11" t="s">
        <v>15915</v>
      </c>
      <c r="R3350" s="14" t="s">
        <v>15916</v>
      </c>
      <c r="S3350" s="11">
        <v>47</v>
      </c>
      <c r="T3350" s="11" t="s">
        <v>5612</v>
      </c>
      <c r="U3350" s="11" t="s">
        <v>5613</v>
      </c>
      <c r="V3350" s="13"/>
      <c r="W3350" s="13"/>
      <c r="X3350" s="11">
        <v>2007</v>
      </c>
      <c r="Y3350" s="11">
        <v>687</v>
      </c>
      <c r="Z3350" s="11">
        <v>7.3</v>
      </c>
      <c r="AA3350" s="13"/>
      <c r="AB3350" s="11">
        <v>341</v>
      </c>
      <c r="AC3350" s="11"/>
      <c r="AD3350" s="11" t="str">
        <f>IFERROR(__xludf.DUMMYFUNCTION("""COMPUTED_VALUE"""),"Candace Kroslak")</f>
        <v>Candace Kroslak</v>
      </c>
      <c r="AE3350" s="11"/>
    </row>
    <row r="3351" customHeight="1" spans="1:31">
      <c r="A3351" s="12" t="s">
        <v>30</v>
      </c>
      <c r="B3351" s="12" t="s">
        <v>15917</v>
      </c>
      <c r="C3351" s="12">
        <v>169</v>
      </c>
      <c r="D3351" s="12">
        <v>127</v>
      </c>
      <c r="E3351" s="12">
        <v>644</v>
      </c>
      <c r="F3351" s="12">
        <v>6</v>
      </c>
      <c r="G3351" s="12">
        <v>97</v>
      </c>
      <c r="H3351" s="12">
        <v>1829142</v>
      </c>
      <c r="I3351" s="12" t="s">
        <v>3397</v>
      </c>
      <c r="J3351" s="12" t="s">
        <v>15918</v>
      </c>
      <c r="K3351" s="12" t="s">
        <v>15919</v>
      </c>
      <c r="L3351" s="12" t="s">
        <v>15920</v>
      </c>
      <c r="M3351" s="12" t="s">
        <v>15921</v>
      </c>
      <c r="N3351" s="12">
        <v>36846</v>
      </c>
      <c r="O3351" s="12">
        <v>128</v>
      </c>
      <c r="P3351" s="12">
        <v>1</v>
      </c>
      <c r="Q3351" s="12" t="s">
        <v>15922</v>
      </c>
      <c r="R3351" s="15" t="s">
        <v>15923</v>
      </c>
      <c r="S3351" s="12">
        <v>222</v>
      </c>
      <c r="T3351" s="12" t="s">
        <v>39</v>
      </c>
      <c r="U3351" s="12" t="s">
        <v>7988</v>
      </c>
      <c r="V3351" s="12" t="s">
        <v>4831</v>
      </c>
      <c r="W3351" s="16"/>
      <c r="X3351" s="12">
        <v>2006</v>
      </c>
      <c r="Y3351" s="12">
        <v>8</v>
      </c>
      <c r="Z3351" s="12">
        <v>7.5</v>
      </c>
      <c r="AA3351" s="12">
        <v>1.85</v>
      </c>
      <c r="AB3351" s="12">
        <v>0</v>
      </c>
      <c r="AC3351" s="12"/>
      <c r="AD3351" s="12" t="str">
        <f>IFERROR(__xludf.DUMMYFUNCTION("""COMPUTED_VALUE"""),"Todd Boyce")</f>
        <v>Todd Boyce</v>
      </c>
      <c r="AE3351" s="12"/>
    </row>
    <row r="3352" customHeight="1" spans="1:31">
      <c r="A3352" s="11" t="s">
        <v>30</v>
      </c>
      <c r="B3352" s="11" t="s">
        <v>15924</v>
      </c>
      <c r="C3352" s="11">
        <v>25</v>
      </c>
      <c r="D3352" s="11">
        <v>160</v>
      </c>
      <c r="E3352" s="11">
        <v>0</v>
      </c>
      <c r="F3352" s="11">
        <v>417</v>
      </c>
      <c r="G3352" s="11">
        <v>964</v>
      </c>
      <c r="H3352" s="11">
        <v>3827466</v>
      </c>
      <c r="I3352" s="11" t="s">
        <v>3464</v>
      </c>
      <c r="J3352" s="11" t="s">
        <v>15925</v>
      </c>
      <c r="K3352" s="11" t="s">
        <v>15926</v>
      </c>
      <c r="L3352" s="11" t="s">
        <v>15927</v>
      </c>
      <c r="M3352" s="11" t="s">
        <v>15928</v>
      </c>
      <c r="N3352" s="11">
        <v>25122</v>
      </c>
      <c r="O3352" s="11">
        <v>2350</v>
      </c>
      <c r="P3352" s="11">
        <v>2</v>
      </c>
      <c r="Q3352" s="11" t="s">
        <v>15929</v>
      </c>
      <c r="R3352" s="14" t="s">
        <v>15930</v>
      </c>
      <c r="S3352" s="11">
        <v>102</v>
      </c>
      <c r="T3352" s="11" t="s">
        <v>5612</v>
      </c>
      <c r="U3352" s="11" t="s">
        <v>5613</v>
      </c>
      <c r="V3352" s="11" t="s">
        <v>4831</v>
      </c>
      <c r="W3352" s="13"/>
      <c r="X3352" s="11">
        <v>2013</v>
      </c>
      <c r="Y3352" s="11">
        <v>551</v>
      </c>
      <c r="Z3352" s="11">
        <v>6.9</v>
      </c>
      <c r="AA3352" s="13"/>
      <c r="AB3352" s="11">
        <v>0</v>
      </c>
      <c r="AC3352" s="11"/>
      <c r="AD3352" s="11" t="str">
        <f>IFERROR(__xludf.DUMMYFUNCTION("""COMPUTED_VALUE"""),"Nigel Whitmey")</f>
        <v>Nigel Whitmey</v>
      </c>
      <c r="AE3352" s="11"/>
    </row>
    <row r="3353" customHeight="1" spans="1:31">
      <c r="A3353" s="12" t="s">
        <v>30</v>
      </c>
      <c r="B3353" s="12" t="s">
        <v>6235</v>
      </c>
      <c r="C3353" s="12">
        <v>81</v>
      </c>
      <c r="D3353" s="12">
        <v>126</v>
      </c>
      <c r="E3353" s="12">
        <v>80</v>
      </c>
      <c r="F3353" s="12">
        <v>225</v>
      </c>
      <c r="G3353" s="12">
        <v>668</v>
      </c>
      <c r="H3353" s="12">
        <v>90800000</v>
      </c>
      <c r="I3353" s="12" t="s">
        <v>6236</v>
      </c>
      <c r="J3353" s="12" t="s">
        <v>6021</v>
      </c>
      <c r="K3353" s="12" t="s">
        <v>6237</v>
      </c>
      <c r="L3353" s="12" t="s">
        <v>6238</v>
      </c>
      <c r="M3353" s="12" t="s">
        <v>6239</v>
      </c>
      <c r="N3353" s="12">
        <v>126916</v>
      </c>
      <c r="O3353" s="12">
        <v>2004</v>
      </c>
      <c r="P3353" s="12">
        <v>0</v>
      </c>
      <c r="Q3353" s="12" t="s">
        <v>6240</v>
      </c>
      <c r="R3353" s="15" t="s">
        <v>6241</v>
      </c>
      <c r="S3353" s="12">
        <v>235</v>
      </c>
      <c r="T3353" s="12" t="s">
        <v>39</v>
      </c>
      <c r="U3353" s="12" t="s">
        <v>40</v>
      </c>
      <c r="V3353" s="12" t="s">
        <v>96</v>
      </c>
      <c r="W3353" s="12">
        <v>8000000</v>
      </c>
      <c r="X3353" s="12">
        <v>1984</v>
      </c>
      <c r="Y3353" s="12">
        <v>641</v>
      </c>
      <c r="Z3353" s="12">
        <v>7.2</v>
      </c>
      <c r="AA3353" s="12">
        <v>1.85</v>
      </c>
      <c r="AB3353" s="12">
        <v>0</v>
      </c>
      <c r="AC3353" s="12"/>
      <c r="AD3353" s="12" t="str">
        <f>IFERROR(__xludf.DUMMYFUNCTION("""COMPUTED_VALUE"""),"Behrouz Vossoughi")</f>
        <v>Behrouz Vossoughi</v>
      </c>
      <c r="AE3353" s="12"/>
    </row>
    <row r="3354" customHeight="1" spans="1:31">
      <c r="A3354" s="11" t="s">
        <v>30</v>
      </c>
      <c r="B3354" s="11" t="s">
        <v>15931</v>
      </c>
      <c r="C3354" s="11">
        <v>54</v>
      </c>
      <c r="D3354" s="11">
        <v>171</v>
      </c>
      <c r="E3354" s="11">
        <v>54</v>
      </c>
      <c r="F3354" s="11">
        <v>346</v>
      </c>
      <c r="G3354" s="11">
        <v>440</v>
      </c>
      <c r="H3354" s="13"/>
      <c r="I3354" s="11" t="s">
        <v>6113</v>
      </c>
      <c r="J3354" s="11" t="s">
        <v>15932</v>
      </c>
      <c r="K3354" s="11" t="s">
        <v>15933</v>
      </c>
      <c r="L3354" s="11" t="s">
        <v>15934</v>
      </c>
      <c r="M3354" s="11" t="s">
        <v>15935</v>
      </c>
      <c r="N3354" s="11">
        <v>9808</v>
      </c>
      <c r="O3354" s="11">
        <v>1373</v>
      </c>
      <c r="P3354" s="11">
        <v>0</v>
      </c>
      <c r="Q3354" s="11" t="s">
        <v>15936</v>
      </c>
      <c r="R3354" s="14" t="s">
        <v>15937</v>
      </c>
      <c r="S3354" s="11">
        <v>90</v>
      </c>
      <c r="T3354" s="11" t="s">
        <v>39</v>
      </c>
      <c r="U3354" s="11" t="s">
        <v>40</v>
      </c>
      <c r="V3354" s="11" t="s">
        <v>15938</v>
      </c>
      <c r="W3354" s="11">
        <v>7623000</v>
      </c>
      <c r="X3354" s="11">
        <v>1951</v>
      </c>
      <c r="Y3354" s="11">
        <v>426</v>
      </c>
      <c r="Z3354" s="11">
        <v>7.2</v>
      </c>
      <c r="AA3354" s="11">
        <v>1.37</v>
      </c>
      <c r="AB3354" s="11">
        <v>1000</v>
      </c>
      <c r="AC3354" s="11"/>
      <c r="AD3354" s="11" t="str">
        <f>IFERROR(__xludf.DUMMYFUNCTION("""COMPUTED_VALUE"""),"Ruth Sheen")</f>
        <v>Ruth Sheen</v>
      </c>
      <c r="AE3354" s="11"/>
    </row>
    <row r="3355" customHeight="1" spans="1:31">
      <c r="A3355" s="12" t="s">
        <v>30</v>
      </c>
      <c r="B3355" s="12" t="s">
        <v>14788</v>
      </c>
      <c r="C3355" s="12">
        <v>147</v>
      </c>
      <c r="D3355" s="12">
        <v>150</v>
      </c>
      <c r="E3355" s="12">
        <v>163</v>
      </c>
      <c r="F3355" s="12">
        <v>636</v>
      </c>
      <c r="G3355" s="12">
        <v>2000</v>
      </c>
      <c r="H3355" s="12">
        <v>140244</v>
      </c>
      <c r="I3355" s="12" t="s">
        <v>15939</v>
      </c>
      <c r="J3355" s="12" t="s">
        <v>5903</v>
      </c>
      <c r="K3355" s="12" t="s">
        <v>7469</v>
      </c>
      <c r="L3355" s="12" t="s">
        <v>7659</v>
      </c>
      <c r="M3355" s="12" t="s">
        <v>15940</v>
      </c>
      <c r="N3355" s="12">
        <v>20419</v>
      </c>
      <c r="O3355" s="12">
        <v>4168</v>
      </c>
      <c r="P3355" s="12">
        <v>1</v>
      </c>
      <c r="Q3355" s="12" t="s">
        <v>15941</v>
      </c>
      <c r="R3355" s="15" t="s">
        <v>15942</v>
      </c>
      <c r="S3355" s="12">
        <v>259</v>
      </c>
      <c r="T3355" s="12" t="s">
        <v>39</v>
      </c>
      <c r="U3355" s="12" t="s">
        <v>40</v>
      </c>
      <c r="V3355" s="12" t="s">
        <v>586</v>
      </c>
      <c r="W3355" s="12">
        <v>8500000</v>
      </c>
      <c r="X3355" s="12">
        <v>2008</v>
      </c>
      <c r="Y3355" s="12">
        <v>716</v>
      </c>
      <c r="Z3355" s="12">
        <v>6.7</v>
      </c>
      <c r="AA3355" s="12">
        <v>1.85</v>
      </c>
      <c r="AB3355" s="12">
        <v>8000</v>
      </c>
      <c r="AC3355" s="12"/>
      <c r="AD3355" s="12" t="str">
        <f>IFERROR(__xludf.DUMMYFUNCTION("""COMPUTED_VALUE"""),"Karl Johnson")</f>
        <v>Karl Johnson</v>
      </c>
      <c r="AE3355" s="12"/>
    </row>
    <row r="3356" customHeight="1" spans="1:31">
      <c r="A3356" s="11" t="s">
        <v>30</v>
      </c>
      <c r="B3356" s="11" t="s">
        <v>15943</v>
      </c>
      <c r="C3356" s="11">
        <v>16</v>
      </c>
      <c r="D3356" s="11">
        <v>122</v>
      </c>
      <c r="E3356" s="11">
        <v>11</v>
      </c>
      <c r="F3356" s="11">
        <v>173</v>
      </c>
      <c r="G3356" s="11">
        <v>205</v>
      </c>
      <c r="H3356" s="13"/>
      <c r="I3356" s="11" t="s">
        <v>127</v>
      </c>
      <c r="J3356" s="11" t="s">
        <v>15944</v>
      </c>
      <c r="K3356" s="11" t="s">
        <v>15945</v>
      </c>
      <c r="L3356" s="11" t="s">
        <v>15946</v>
      </c>
      <c r="M3356" s="11" t="s">
        <v>15947</v>
      </c>
      <c r="N3356" s="11">
        <v>14486</v>
      </c>
      <c r="O3356" s="11">
        <v>808</v>
      </c>
      <c r="P3356" s="11">
        <v>3</v>
      </c>
      <c r="Q3356" s="11" t="s">
        <v>15948</v>
      </c>
      <c r="R3356" s="14" t="s">
        <v>15949</v>
      </c>
      <c r="S3356" s="11">
        <v>159</v>
      </c>
      <c r="T3356" s="11" t="s">
        <v>15950</v>
      </c>
      <c r="U3356" s="11" t="s">
        <v>15951</v>
      </c>
      <c r="V3356" s="13"/>
      <c r="W3356" s="11">
        <v>8300000</v>
      </c>
      <c r="X3356" s="11">
        <v>2006</v>
      </c>
      <c r="Y3356" s="11">
        <v>197</v>
      </c>
      <c r="Z3356" s="11">
        <v>6</v>
      </c>
      <c r="AA3356" s="11">
        <v>1.85</v>
      </c>
      <c r="AB3356" s="11">
        <v>467</v>
      </c>
      <c r="AC3356" s="11"/>
      <c r="AD3356" s="11" t="str">
        <f>IFERROR(__xludf.DUMMYFUNCTION("""COMPUTED_VALUE"""),"Sara Forestier")</f>
        <v>Sara Forestier</v>
      </c>
      <c r="AE3356" s="11"/>
    </row>
    <row r="3357" customHeight="1" spans="1:31">
      <c r="A3357" s="12" t="s">
        <v>30</v>
      </c>
      <c r="B3357" s="12" t="s">
        <v>1765</v>
      </c>
      <c r="C3357" s="12">
        <v>215</v>
      </c>
      <c r="D3357" s="12">
        <v>178</v>
      </c>
      <c r="E3357" s="12">
        <v>16000</v>
      </c>
      <c r="F3357" s="12">
        <v>857</v>
      </c>
      <c r="G3357" s="12">
        <v>13000</v>
      </c>
      <c r="H3357" s="12">
        <v>107930000</v>
      </c>
      <c r="I3357" s="12" t="s">
        <v>1936</v>
      </c>
      <c r="J3357" s="12" t="s">
        <v>978</v>
      </c>
      <c r="K3357" s="12" t="s">
        <v>5783</v>
      </c>
      <c r="L3357" s="12" t="s">
        <v>8626</v>
      </c>
      <c r="M3357" s="12" t="s">
        <v>15952</v>
      </c>
      <c r="N3357" s="12">
        <v>1324680</v>
      </c>
      <c r="O3357" s="12">
        <v>16557</v>
      </c>
      <c r="P3357" s="12">
        <v>1</v>
      </c>
      <c r="Q3357" s="12" t="s">
        <v>15953</v>
      </c>
      <c r="R3357" s="15" t="s">
        <v>15954</v>
      </c>
      <c r="S3357" s="12">
        <v>2195</v>
      </c>
      <c r="T3357" s="12" t="s">
        <v>39</v>
      </c>
      <c r="U3357" s="12" t="s">
        <v>40</v>
      </c>
      <c r="V3357" s="12" t="s">
        <v>586</v>
      </c>
      <c r="W3357" s="12">
        <v>8000000</v>
      </c>
      <c r="X3357" s="12">
        <v>1994</v>
      </c>
      <c r="Y3357" s="12">
        <v>902</v>
      </c>
      <c r="Z3357" s="12">
        <v>8.9</v>
      </c>
      <c r="AA3357" s="12">
        <v>2.35</v>
      </c>
      <c r="AB3357" s="12">
        <v>45000</v>
      </c>
      <c r="AC3357" s="12"/>
      <c r="AD3357" s="12" t="str">
        <f>IFERROR(__xludf.DUMMYFUNCTION("""COMPUTED_VALUE"""),"Edouard Baer")</f>
        <v>Edouard Baer</v>
      </c>
      <c r="AE3357" s="12"/>
    </row>
    <row r="3358" customHeight="1" spans="1:31">
      <c r="A3358" s="11" t="s">
        <v>30</v>
      </c>
      <c r="B3358" s="11" t="s">
        <v>15955</v>
      </c>
      <c r="C3358" s="11">
        <v>63</v>
      </c>
      <c r="D3358" s="11">
        <v>95</v>
      </c>
      <c r="E3358" s="11">
        <v>21</v>
      </c>
      <c r="F3358" s="11">
        <v>842</v>
      </c>
      <c r="G3358" s="11">
        <v>1000</v>
      </c>
      <c r="H3358" s="11">
        <v>76657000</v>
      </c>
      <c r="I3358" s="11" t="s">
        <v>5759</v>
      </c>
      <c r="J3358" s="11" t="s">
        <v>5798</v>
      </c>
      <c r="K3358" s="11" t="s">
        <v>15956</v>
      </c>
      <c r="L3358" s="11" t="s">
        <v>10629</v>
      </c>
      <c r="M3358" s="11" t="s">
        <v>15957</v>
      </c>
      <c r="N3358" s="11">
        <v>25498</v>
      </c>
      <c r="O3358" s="11">
        <v>5673</v>
      </c>
      <c r="P3358" s="11">
        <v>0</v>
      </c>
      <c r="Q3358" s="11" t="s">
        <v>15958</v>
      </c>
      <c r="R3358" s="14" t="s">
        <v>15959</v>
      </c>
      <c r="S3358" s="11">
        <v>92</v>
      </c>
      <c r="T3358" s="11" t="s">
        <v>39</v>
      </c>
      <c r="U3358" s="11" t="s">
        <v>58</v>
      </c>
      <c r="V3358" s="11" t="s">
        <v>278</v>
      </c>
      <c r="W3358" s="13"/>
      <c r="X3358" s="11">
        <v>1979</v>
      </c>
      <c r="Y3358" s="11">
        <v>985</v>
      </c>
      <c r="Z3358" s="11">
        <v>7.7</v>
      </c>
      <c r="AA3358" s="11">
        <v>1.85</v>
      </c>
      <c r="AB3358" s="11">
        <v>0</v>
      </c>
      <c r="AC3358" s="11"/>
      <c r="AD3358" s="11" t="str">
        <f>IFERROR(__xludf.DUMMYFUNCTION("""COMPUTED_VALUE"""),"Ulrich Mühe")</f>
        <v>Ulrich Mühe</v>
      </c>
      <c r="AE3358" s="11"/>
    </row>
    <row r="3359" customHeight="1" spans="1:31">
      <c r="A3359" s="12" t="s">
        <v>30</v>
      </c>
      <c r="B3359" s="12" t="s">
        <v>15960</v>
      </c>
      <c r="C3359" s="12">
        <v>534</v>
      </c>
      <c r="D3359" s="12">
        <v>117</v>
      </c>
      <c r="E3359" s="12">
        <v>66</v>
      </c>
      <c r="F3359" s="12">
        <v>85</v>
      </c>
      <c r="G3359" s="12">
        <v>15000</v>
      </c>
      <c r="H3359" s="12">
        <v>32279955</v>
      </c>
      <c r="I3359" s="12" t="s">
        <v>2126</v>
      </c>
      <c r="J3359" s="12" t="s">
        <v>373</v>
      </c>
      <c r="K3359" s="12" t="s">
        <v>10360</v>
      </c>
      <c r="L3359" s="12" t="s">
        <v>15961</v>
      </c>
      <c r="M3359" s="12" t="s">
        <v>15962</v>
      </c>
      <c r="N3359" s="12">
        <v>293304</v>
      </c>
      <c r="O3359" s="12">
        <v>15554</v>
      </c>
      <c r="P3359" s="12">
        <v>1</v>
      </c>
      <c r="Q3359" s="12" t="s">
        <v>15963</v>
      </c>
      <c r="R3359" s="15" t="s">
        <v>15964</v>
      </c>
      <c r="S3359" s="12">
        <v>552</v>
      </c>
      <c r="T3359" s="12" t="s">
        <v>39</v>
      </c>
      <c r="U3359" s="12" t="s">
        <v>40</v>
      </c>
      <c r="V3359" s="12" t="s">
        <v>586</v>
      </c>
      <c r="W3359" s="12">
        <v>8500000</v>
      </c>
      <c r="X3359" s="12">
        <v>2014</v>
      </c>
      <c r="Y3359" s="12">
        <v>241</v>
      </c>
      <c r="Z3359" s="12">
        <v>7.9</v>
      </c>
      <c r="AA3359" s="12">
        <v>2.35</v>
      </c>
      <c r="AB3359" s="12">
        <v>65000</v>
      </c>
      <c r="AC3359" s="12"/>
      <c r="AD3359" s="12" t="str">
        <f>IFERROR(__xludf.DUMMYFUNCTION("""COMPUTED_VALUE"""),"Woo-sung Jung")</f>
        <v>Woo-sung Jung</v>
      </c>
      <c r="AE3359" s="12"/>
    </row>
    <row r="3360" customHeight="1" spans="1:31">
      <c r="A3360" s="11" t="s">
        <v>30</v>
      </c>
      <c r="B3360" s="11" t="s">
        <v>4940</v>
      </c>
      <c r="C3360" s="11">
        <v>66</v>
      </c>
      <c r="D3360" s="11">
        <v>119</v>
      </c>
      <c r="E3360" s="11">
        <v>422</v>
      </c>
      <c r="F3360" s="11">
        <v>422</v>
      </c>
      <c r="G3360" s="11">
        <v>861</v>
      </c>
      <c r="H3360" s="11">
        <v>4992159</v>
      </c>
      <c r="I3360" s="11" t="s">
        <v>12839</v>
      </c>
      <c r="J3360" s="11" t="s">
        <v>3882</v>
      </c>
      <c r="K3360" s="11" t="s">
        <v>15965</v>
      </c>
      <c r="L3360" s="11" t="s">
        <v>4940</v>
      </c>
      <c r="M3360" s="11" t="s">
        <v>15966</v>
      </c>
      <c r="N3360" s="11">
        <v>23823</v>
      </c>
      <c r="O3360" s="11">
        <v>3306</v>
      </c>
      <c r="P3360" s="11">
        <v>2</v>
      </c>
      <c r="Q3360" s="11" t="s">
        <v>15967</v>
      </c>
      <c r="R3360" s="14" t="s">
        <v>15968</v>
      </c>
      <c r="S3360" s="11">
        <v>201</v>
      </c>
      <c r="T3360" s="11" t="s">
        <v>39</v>
      </c>
      <c r="U3360" s="11" t="s">
        <v>40</v>
      </c>
      <c r="V3360" s="11" t="s">
        <v>586</v>
      </c>
      <c r="W3360" s="11">
        <v>8550000</v>
      </c>
      <c r="X3360" s="11">
        <v>2004</v>
      </c>
      <c r="Y3360" s="11">
        <v>499</v>
      </c>
      <c r="Z3360" s="11">
        <v>5.6</v>
      </c>
      <c r="AA3360" s="11">
        <v>2.35</v>
      </c>
      <c r="AB3360" s="11">
        <v>713</v>
      </c>
      <c r="AC3360" s="11"/>
      <c r="AD3360" s="11" t="str">
        <f>IFERROR(__xludf.DUMMYFUNCTION("""COMPUTED_VALUE"""),"Kelly Lin")</f>
        <v>Kelly Lin</v>
      </c>
      <c r="AE3360" s="11"/>
    </row>
    <row r="3361" customHeight="1" spans="1:31">
      <c r="A3361" s="12" t="s">
        <v>30</v>
      </c>
      <c r="B3361" s="12" t="s">
        <v>7282</v>
      </c>
      <c r="C3361" s="12">
        <v>119</v>
      </c>
      <c r="D3361" s="12">
        <v>174</v>
      </c>
      <c r="E3361" s="12">
        <v>338</v>
      </c>
      <c r="F3361" s="12">
        <v>195</v>
      </c>
      <c r="G3361" s="12">
        <v>354</v>
      </c>
      <c r="H3361" s="12">
        <v>163214286</v>
      </c>
      <c r="I3361" s="12" t="s">
        <v>15969</v>
      </c>
      <c r="J3361" s="12" t="s">
        <v>15970</v>
      </c>
      <c r="K3361" s="12" t="s">
        <v>15971</v>
      </c>
      <c r="L3361" s="12" t="s">
        <v>15972</v>
      </c>
      <c r="M3361" s="12" t="s">
        <v>15973</v>
      </c>
      <c r="N3361" s="12">
        <v>148172</v>
      </c>
      <c r="O3361" s="12">
        <v>1495</v>
      </c>
      <c r="P3361" s="12">
        <v>3</v>
      </c>
      <c r="Q3361" s="12" t="s">
        <v>15974</v>
      </c>
      <c r="R3361" s="15" t="s">
        <v>15975</v>
      </c>
      <c r="S3361" s="12">
        <v>406</v>
      </c>
      <c r="T3361" s="12" t="s">
        <v>39</v>
      </c>
      <c r="U3361" s="12" t="s">
        <v>40</v>
      </c>
      <c r="V3361" s="12" t="s">
        <v>278</v>
      </c>
      <c r="W3361" s="12">
        <v>8200000</v>
      </c>
      <c r="X3361" s="12">
        <v>1965</v>
      </c>
      <c r="Y3361" s="12">
        <v>209</v>
      </c>
      <c r="Z3361" s="12">
        <v>8</v>
      </c>
      <c r="AA3361" s="12">
        <v>2.35</v>
      </c>
      <c r="AB3361" s="12">
        <v>15000</v>
      </c>
      <c r="AC3361" s="12"/>
      <c r="AD3361" s="12" t="str">
        <f>IFERROR(__xludf.DUMMYFUNCTION("""COMPUTED_VALUE"""),"John Gallagher Jr.")</f>
        <v>John Gallagher Jr.</v>
      </c>
      <c r="AE3361" s="12"/>
    </row>
    <row r="3362" customHeight="1" spans="1:31">
      <c r="A3362" s="11" t="s">
        <v>30</v>
      </c>
      <c r="B3362" s="11" t="s">
        <v>851</v>
      </c>
      <c r="C3362" s="11">
        <v>43</v>
      </c>
      <c r="D3362" s="11">
        <v>111</v>
      </c>
      <c r="E3362" s="11">
        <v>2000</v>
      </c>
      <c r="F3362" s="11">
        <v>51</v>
      </c>
      <c r="G3362" s="11">
        <v>15000</v>
      </c>
      <c r="H3362" s="11">
        <v>69800000</v>
      </c>
      <c r="I3362" s="11" t="s">
        <v>3632</v>
      </c>
      <c r="J3362" s="11" t="s">
        <v>322</v>
      </c>
      <c r="K3362" s="11" t="s">
        <v>15976</v>
      </c>
      <c r="L3362" s="11" t="s">
        <v>15977</v>
      </c>
      <c r="M3362" s="11" t="s">
        <v>15978</v>
      </c>
      <c r="N3362" s="11">
        <v>54723</v>
      </c>
      <c r="O3362" s="11">
        <v>15361</v>
      </c>
      <c r="P3362" s="11">
        <v>2</v>
      </c>
      <c r="Q3362" s="11" t="s">
        <v>15979</v>
      </c>
      <c r="R3362" s="14" t="s">
        <v>15980</v>
      </c>
      <c r="S3362" s="11">
        <v>99</v>
      </c>
      <c r="T3362" s="11" t="s">
        <v>39</v>
      </c>
      <c r="U3362" s="11" t="s">
        <v>40</v>
      </c>
      <c r="V3362" s="11" t="s">
        <v>96</v>
      </c>
      <c r="W3362" s="11">
        <v>8000000</v>
      </c>
      <c r="X3362" s="11">
        <v>1984</v>
      </c>
      <c r="Y3362" s="11">
        <v>161</v>
      </c>
      <c r="Z3362" s="11">
        <v>6.2</v>
      </c>
      <c r="AA3362" s="11">
        <v>1.85</v>
      </c>
      <c r="AB3362" s="11">
        <v>0</v>
      </c>
      <c r="AC3362" s="11"/>
      <c r="AD3362" s="11" t="str">
        <f>IFERROR(__xludf.DUMMYFUNCTION("""COMPUTED_VALUE"""),"Diora Baird")</f>
        <v>Diora Baird</v>
      </c>
      <c r="AE3362" s="11"/>
    </row>
    <row r="3363" customHeight="1" spans="1:31">
      <c r="A3363" s="12" t="s">
        <v>30</v>
      </c>
      <c r="B3363" s="12" t="s">
        <v>15981</v>
      </c>
      <c r="C3363" s="12">
        <v>270</v>
      </c>
      <c r="D3363" s="12">
        <v>101</v>
      </c>
      <c r="E3363" s="12">
        <v>36</v>
      </c>
      <c r="F3363" s="12">
        <v>27</v>
      </c>
      <c r="G3363" s="12">
        <v>7000</v>
      </c>
      <c r="H3363" s="12">
        <v>59889948</v>
      </c>
      <c r="I3363" s="12" t="s">
        <v>2528</v>
      </c>
      <c r="J3363" s="12" t="s">
        <v>518</v>
      </c>
      <c r="K3363" s="12" t="s">
        <v>15982</v>
      </c>
      <c r="L3363" s="12" t="s">
        <v>15983</v>
      </c>
      <c r="M3363" s="12" t="s">
        <v>15984</v>
      </c>
      <c r="N3363" s="12">
        <v>355810</v>
      </c>
      <c r="O3363" s="12">
        <v>7227</v>
      </c>
      <c r="P3363" s="12">
        <v>1</v>
      </c>
      <c r="Q3363" s="12" t="s">
        <v>15985</v>
      </c>
      <c r="R3363" s="15" t="s">
        <v>15986</v>
      </c>
      <c r="S3363" s="12">
        <v>889</v>
      </c>
      <c r="T3363" s="12" t="s">
        <v>39</v>
      </c>
      <c r="U3363" s="12" t="s">
        <v>40</v>
      </c>
      <c r="V3363" s="12" t="s">
        <v>586</v>
      </c>
      <c r="W3363" s="12">
        <v>8000000</v>
      </c>
      <c r="X3363" s="12">
        <v>2006</v>
      </c>
      <c r="Y3363" s="12">
        <v>150</v>
      </c>
      <c r="Z3363" s="12">
        <v>7.9</v>
      </c>
      <c r="AA3363" s="12">
        <v>2.35</v>
      </c>
      <c r="AB3363" s="12">
        <v>15000</v>
      </c>
      <c r="AC3363" s="12"/>
      <c r="AD3363" s="12" t="str">
        <f>IFERROR(__xludf.DUMMYFUNCTION("""COMPUTED_VALUE"""),"Elisa Donovan")</f>
        <v>Elisa Donovan</v>
      </c>
      <c r="AE3363" s="12"/>
    </row>
    <row r="3364" customHeight="1" spans="1:31">
      <c r="A3364" s="11" t="s">
        <v>30</v>
      </c>
      <c r="B3364" s="11" t="s">
        <v>3892</v>
      </c>
      <c r="C3364" s="11">
        <v>99</v>
      </c>
      <c r="D3364" s="11">
        <v>89</v>
      </c>
      <c r="E3364" s="11">
        <v>0</v>
      </c>
      <c r="F3364" s="11">
        <v>107</v>
      </c>
      <c r="G3364" s="11">
        <v>217</v>
      </c>
      <c r="H3364" s="11">
        <v>52287414</v>
      </c>
      <c r="I3364" s="11" t="s">
        <v>7043</v>
      </c>
      <c r="J3364" s="11" t="s">
        <v>1308</v>
      </c>
      <c r="K3364" s="11" t="s">
        <v>15987</v>
      </c>
      <c r="L3364" s="11" t="s">
        <v>15907</v>
      </c>
      <c r="M3364" s="11" t="s">
        <v>15988</v>
      </c>
      <c r="N3364" s="11">
        <v>271794</v>
      </c>
      <c r="O3364" s="11">
        <v>644</v>
      </c>
      <c r="P3364" s="11">
        <v>2</v>
      </c>
      <c r="Q3364" s="11" t="s">
        <v>15989</v>
      </c>
      <c r="R3364" s="14" t="s">
        <v>15990</v>
      </c>
      <c r="S3364" s="11">
        <v>584</v>
      </c>
      <c r="T3364" s="11" t="s">
        <v>39</v>
      </c>
      <c r="U3364" s="11" t="s">
        <v>40</v>
      </c>
      <c r="V3364" s="11" t="s">
        <v>586</v>
      </c>
      <c r="W3364" s="11">
        <v>8000000</v>
      </c>
      <c r="X3364" s="11">
        <v>1986</v>
      </c>
      <c r="Y3364" s="11">
        <v>107</v>
      </c>
      <c r="Z3364" s="11">
        <v>8.1</v>
      </c>
      <c r="AA3364" s="11">
        <v>1.85</v>
      </c>
      <c r="AB3364" s="11">
        <v>24000</v>
      </c>
      <c r="AC3364" s="11"/>
      <c r="AD3364" s="11" t="str">
        <f>IFERROR(__xludf.DUMMYFUNCTION("""COMPUTED_VALUE"""),"Krystyna Janda")</f>
        <v>Krystyna Janda</v>
      </c>
      <c r="AE3364" s="11"/>
    </row>
    <row r="3365" customHeight="1" spans="1:31">
      <c r="A3365" s="12" t="s">
        <v>30</v>
      </c>
      <c r="B3365" s="12" t="s">
        <v>5290</v>
      </c>
      <c r="C3365" s="12">
        <v>224</v>
      </c>
      <c r="D3365" s="12">
        <v>113</v>
      </c>
      <c r="E3365" s="12">
        <v>0</v>
      </c>
      <c r="F3365" s="12">
        <v>27</v>
      </c>
      <c r="G3365" s="12">
        <v>133</v>
      </c>
      <c r="H3365" s="12">
        <v>45063889</v>
      </c>
      <c r="I3365" s="12" t="s">
        <v>3171</v>
      </c>
      <c r="J3365" s="12" t="s">
        <v>15991</v>
      </c>
      <c r="K3365" s="12" t="s">
        <v>15992</v>
      </c>
      <c r="L3365" s="12" t="s">
        <v>15993</v>
      </c>
      <c r="M3365" s="12" t="s">
        <v>15994</v>
      </c>
      <c r="N3365" s="12">
        <v>297250</v>
      </c>
      <c r="O3365" s="12">
        <v>241</v>
      </c>
      <c r="P3365" s="12">
        <v>0</v>
      </c>
      <c r="Q3365" s="12" t="s">
        <v>15995</v>
      </c>
      <c r="R3365" s="15" t="s">
        <v>15996</v>
      </c>
      <c r="S3365" s="12">
        <v>1441</v>
      </c>
      <c r="T3365" s="12" t="s">
        <v>39</v>
      </c>
      <c r="U3365" s="12" t="s">
        <v>58</v>
      </c>
      <c r="V3365" s="12" t="s">
        <v>586</v>
      </c>
      <c r="W3365" s="12">
        <v>8000000</v>
      </c>
      <c r="X3365" s="12">
        <v>2002</v>
      </c>
      <c r="Y3365" s="12">
        <v>32</v>
      </c>
      <c r="Z3365" s="12">
        <v>7.6</v>
      </c>
      <c r="AA3365" s="12">
        <v>1.85</v>
      </c>
      <c r="AB3365" s="12">
        <v>11000</v>
      </c>
      <c r="AC3365" s="12"/>
      <c r="AD3365" s="12" t="str">
        <f>IFERROR(__xludf.DUMMYFUNCTION("""COMPUTED_VALUE"""),"Olaf Lubaszenko")</f>
        <v>Olaf Lubaszenko</v>
      </c>
      <c r="AE3365" s="12"/>
    </row>
    <row r="3366" customHeight="1" spans="1:31">
      <c r="A3366" s="11" t="s">
        <v>30</v>
      </c>
      <c r="B3366" s="11" t="s">
        <v>15997</v>
      </c>
      <c r="C3366" s="11">
        <v>58</v>
      </c>
      <c r="D3366" s="11">
        <v>95</v>
      </c>
      <c r="E3366" s="11">
        <v>548</v>
      </c>
      <c r="F3366" s="11">
        <v>360</v>
      </c>
      <c r="G3366" s="11">
        <v>389</v>
      </c>
      <c r="H3366" s="11">
        <v>40066497</v>
      </c>
      <c r="I3366" s="11" t="s">
        <v>6200</v>
      </c>
      <c r="J3366" s="11" t="s">
        <v>15998</v>
      </c>
      <c r="K3366" s="11" t="s">
        <v>15999</v>
      </c>
      <c r="L3366" s="11" t="s">
        <v>16000</v>
      </c>
      <c r="M3366" s="11" t="s">
        <v>16001</v>
      </c>
      <c r="N3366" s="11">
        <v>23671</v>
      </c>
      <c r="O3366" s="11">
        <v>1792</v>
      </c>
      <c r="P3366" s="11">
        <v>0</v>
      </c>
      <c r="Q3366" s="11" t="s">
        <v>16002</v>
      </c>
      <c r="R3366" s="14" t="s">
        <v>16003</v>
      </c>
      <c r="S3366" s="11">
        <v>247</v>
      </c>
      <c r="T3366" s="11" t="s">
        <v>39</v>
      </c>
      <c r="U3366" s="11" t="s">
        <v>40</v>
      </c>
      <c r="V3366" s="11" t="s">
        <v>41</v>
      </c>
      <c r="W3366" s="11">
        <v>8000000</v>
      </c>
      <c r="X3366" s="11">
        <v>2004</v>
      </c>
      <c r="Y3366" s="11">
        <v>363</v>
      </c>
      <c r="Z3366" s="11">
        <v>3.5</v>
      </c>
      <c r="AA3366" s="11">
        <v>1.85</v>
      </c>
      <c r="AB3366" s="11">
        <v>0</v>
      </c>
      <c r="AC3366" s="11"/>
      <c r="AD3366" s="11" t="str">
        <f>IFERROR(__xludf.DUMMYFUNCTION("""COMPUTED_VALUE"""),"Olgierd Lukaszewicz")</f>
        <v>Olgierd Lukaszewicz</v>
      </c>
      <c r="AE3366" s="11"/>
    </row>
    <row r="3367" customHeight="1" spans="1:31">
      <c r="A3367" s="12" t="s">
        <v>30</v>
      </c>
      <c r="B3367" s="12" t="s">
        <v>16004</v>
      </c>
      <c r="C3367" s="12">
        <v>53</v>
      </c>
      <c r="D3367" s="12">
        <v>112</v>
      </c>
      <c r="E3367" s="12">
        <v>152</v>
      </c>
      <c r="F3367" s="12">
        <v>459</v>
      </c>
      <c r="G3367" s="12">
        <v>16000</v>
      </c>
      <c r="H3367" s="12">
        <v>36500000</v>
      </c>
      <c r="I3367" s="12" t="s">
        <v>1726</v>
      </c>
      <c r="J3367" s="12" t="s">
        <v>3695</v>
      </c>
      <c r="K3367" s="12" t="s">
        <v>3243</v>
      </c>
      <c r="L3367" s="12" t="s">
        <v>3986</v>
      </c>
      <c r="M3367" s="12" t="s">
        <v>16005</v>
      </c>
      <c r="N3367" s="12">
        <v>87090</v>
      </c>
      <c r="O3367" s="12">
        <v>17568</v>
      </c>
      <c r="P3367" s="12">
        <v>0</v>
      </c>
      <c r="Q3367" s="12" t="s">
        <v>16006</v>
      </c>
      <c r="R3367" s="15" t="s">
        <v>16007</v>
      </c>
      <c r="S3367" s="12">
        <v>142</v>
      </c>
      <c r="T3367" s="12" t="s">
        <v>39</v>
      </c>
      <c r="U3367" s="12" t="s">
        <v>40</v>
      </c>
      <c r="V3367" s="12" t="s">
        <v>96</v>
      </c>
      <c r="W3367" s="12">
        <v>8000000</v>
      </c>
      <c r="X3367" s="12">
        <v>1979</v>
      </c>
      <c r="Y3367" s="12">
        <v>466</v>
      </c>
      <c r="Z3367" s="12">
        <v>7.6</v>
      </c>
      <c r="AA3367" s="12">
        <v>1.85</v>
      </c>
      <c r="AB3367" s="12">
        <v>0</v>
      </c>
      <c r="AC3367" s="12"/>
      <c r="AD3367" s="12" t="str">
        <f>IFERROR(__xludf.DUMMYFUNCTION("""COMPUTED_VALUE"""),"Stephen Marcus")</f>
        <v>Stephen Marcus</v>
      </c>
      <c r="AE3367" s="12"/>
    </row>
    <row r="3368" customHeight="1" spans="1:31">
      <c r="A3368" s="11" t="s">
        <v>30</v>
      </c>
      <c r="B3368" s="11" t="s">
        <v>13455</v>
      </c>
      <c r="C3368" s="11">
        <v>37</v>
      </c>
      <c r="D3368" s="11">
        <v>109</v>
      </c>
      <c r="E3368" s="11">
        <v>44</v>
      </c>
      <c r="F3368" s="11">
        <v>458</v>
      </c>
      <c r="G3368" s="11">
        <v>1000</v>
      </c>
      <c r="H3368" s="11">
        <v>27362712</v>
      </c>
      <c r="I3368" s="11" t="s">
        <v>5788</v>
      </c>
      <c r="J3368" s="11" t="s">
        <v>2815</v>
      </c>
      <c r="K3368" s="11" t="s">
        <v>2232</v>
      </c>
      <c r="L3368" s="11" t="s">
        <v>7599</v>
      </c>
      <c r="M3368" s="11" t="s">
        <v>16008</v>
      </c>
      <c r="N3368" s="11">
        <v>5971</v>
      </c>
      <c r="O3368" s="11">
        <v>3199</v>
      </c>
      <c r="P3368" s="11">
        <v>1</v>
      </c>
      <c r="Q3368" s="11" t="s">
        <v>16009</v>
      </c>
      <c r="R3368" s="14" t="s">
        <v>16010</v>
      </c>
      <c r="S3368" s="11">
        <v>60</v>
      </c>
      <c r="T3368" s="11" t="s">
        <v>39</v>
      </c>
      <c r="U3368" s="11" t="s">
        <v>40</v>
      </c>
      <c r="V3368" s="11" t="s">
        <v>41</v>
      </c>
      <c r="W3368" s="11">
        <v>8000000</v>
      </c>
      <c r="X3368" s="11">
        <v>2002</v>
      </c>
      <c r="Y3368" s="11">
        <v>886</v>
      </c>
      <c r="Z3368" s="11">
        <v>6.5</v>
      </c>
      <c r="AA3368" s="11">
        <v>1.85</v>
      </c>
      <c r="AB3368" s="11">
        <v>0</v>
      </c>
      <c r="AC3368" s="11"/>
      <c r="AD3368" s="11" t="str">
        <f>IFERROR(__xludf.DUMMYFUNCTION("""COMPUTED_VALUE"""),"Amelia Warner")</f>
        <v>Amelia Warner</v>
      </c>
      <c r="AE3368" s="11"/>
    </row>
    <row r="3369" customHeight="1" spans="1:31">
      <c r="A3369" s="12" t="s">
        <v>30</v>
      </c>
      <c r="B3369" s="12" t="s">
        <v>16011</v>
      </c>
      <c r="C3369" s="12">
        <v>11</v>
      </c>
      <c r="D3369" s="12">
        <v>108</v>
      </c>
      <c r="E3369" s="12">
        <v>0</v>
      </c>
      <c r="F3369" s="12">
        <v>388</v>
      </c>
      <c r="G3369" s="12">
        <v>585</v>
      </c>
      <c r="H3369" s="12">
        <v>34746109</v>
      </c>
      <c r="I3369" s="12" t="s">
        <v>16012</v>
      </c>
      <c r="J3369" s="12" t="s">
        <v>5227</v>
      </c>
      <c r="K3369" s="12" t="s">
        <v>10262</v>
      </c>
      <c r="L3369" s="12" t="s">
        <v>1234</v>
      </c>
      <c r="M3369" s="12" t="s">
        <v>16013</v>
      </c>
      <c r="N3369" s="12">
        <v>3122</v>
      </c>
      <c r="O3369" s="12">
        <v>3023</v>
      </c>
      <c r="P3369" s="12">
        <v>2</v>
      </c>
      <c r="Q3369" s="12" t="s">
        <v>16014</v>
      </c>
      <c r="R3369" s="15" t="s">
        <v>16015</v>
      </c>
      <c r="S3369" s="12">
        <v>14</v>
      </c>
      <c r="T3369" s="12" t="s">
        <v>39</v>
      </c>
      <c r="U3369" s="12" t="s">
        <v>40</v>
      </c>
      <c r="V3369" s="12" t="s">
        <v>586</v>
      </c>
      <c r="W3369" s="12">
        <v>8000000</v>
      </c>
      <c r="X3369" s="12">
        <v>1996</v>
      </c>
      <c r="Y3369" s="12">
        <v>434</v>
      </c>
      <c r="Z3369" s="12">
        <v>5.6</v>
      </c>
      <c r="AA3369" s="12">
        <v>2.35</v>
      </c>
      <c r="AB3369" s="12">
        <v>559</v>
      </c>
      <c r="AC3369" s="12"/>
      <c r="AD3369" s="12" t="str">
        <f>IFERROR(__xludf.DUMMYFUNCTION("""COMPUTED_VALUE"""),"Jacek Koman")</f>
        <v>Jacek Koman</v>
      </c>
      <c r="AE3369" s="12"/>
    </row>
    <row r="3370" customHeight="1" spans="1:31">
      <c r="A3370" s="11" t="s">
        <v>30</v>
      </c>
      <c r="B3370" s="11" t="s">
        <v>8198</v>
      </c>
      <c r="C3370" s="11">
        <v>327</v>
      </c>
      <c r="D3370" s="11">
        <v>100</v>
      </c>
      <c r="E3370" s="11">
        <v>129</v>
      </c>
      <c r="F3370" s="11">
        <v>3000</v>
      </c>
      <c r="G3370" s="11">
        <v>23000</v>
      </c>
      <c r="H3370" s="11">
        <v>34963967</v>
      </c>
      <c r="I3370" s="11" t="s">
        <v>1415</v>
      </c>
      <c r="J3370" s="11" t="s">
        <v>63</v>
      </c>
      <c r="K3370" s="11" t="s">
        <v>2456</v>
      </c>
      <c r="L3370" s="11" t="s">
        <v>235</v>
      </c>
      <c r="M3370" s="11" t="s">
        <v>16016</v>
      </c>
      <c r="N3370" s="11">
        <v>270441</v>
      </c>
      <c r="O3370" s="11">
        <v>39807</v>
      </c>
      <c r="P3370" s="11">
        <v>2</v>
      </c>
      <c r="Q3370" s="11" t="s">
        <v>16017</v>
      </c>
      <c r="R3370" s="14" t="s">
        <v>16018</v>
      </c>
      <c r="S3370" s="11">
        <v>378</v>
      </c>
      <c r="T3370" s="11" t="s">
        <v>39</v>
      </c>
      <c r="U3370" s="11" t="s">
        <v>40</v>
      </c>
      <c r="V3370" s="11" t="s">
        <v>586</v>
      </c>
      <c r="W3370" s="11">
        <v>8000000</v>
      </c>
      <c r="X3370" s="11">
        <v>2011</v>
      </c>
      <c r="Y3370" s="11">
        <v>10000</v>
      </c>
      <c r="Z3370" s="11">
        <v>7.7</v>
      </c>
      <c r="AA3370" s="11">
        <v>1.85</v>
      </c>
      <c r="AB3370" s="11">
        <v>40000</v>
      </c>
      <c r="AC3370" s="11"/>
      <c r="AD3370" s="11" t="str">
        <f>IFERROR(__xludf.DUMMYFUNCTION("""COMPUTED_VALUE"""),"Marian Dziedziel")</f>
        <v>Marian Dziedziel</v>
      </c>
      <c r="AE3370" s="11"/>
    </row>
    <row r="3371" customHeight="1" spans="1:31">
      <c r="A3371" s="12" t="s">
        <v>30</v>
      </c>
      <c r="B3371" s="12" t="s">
        <v>16019</v>
      </c>
      <c r="C3371" s="12">
        <v>135</v>
      </c>
      <c r="D3371" s="12">
        <v>90</v>
      </c>
      <c r="E3371" s="12">
        <v>5</v>
      </c>
      <c r="F3371" s="12">
        <v>297</v>
      </c>
      <c r="G3371" s="12">
        <v>449</v>
      </c>
      <c r="H3371" s="12">
        <v>25926543</v>
      </c>
      <c r="I3371" s="12" t="s">
        <v>3030</v>
      </c>
      <c r="J3371" s="12" t="s">
        <v>16020</v>
      </c>
      <c r="K3371" s="12" t="s">
        <v>16021</v>
      </c>
      <c r="L3371" s="12" t="s">
        <v>16022</v>
      </c>
      <c r="M3371" s="12" t="s">
        <v>16023</v>
      </c>
      <c r="N3371" s="12">
        <v>26609</v>
      </c>
      <c r="O3371" s="12">
        <v>1534</v>
      </c>
      <c r="P3371" s="12">
        <v>1</v>
      </c>
      <c r="Q3371" s="12" t="s">
        <v>16024</v>
      </c>
      <c r="R3371" s="15" t="s">
        <v>16025</v>
      </c>
      <c r="S3371" s="12">
        <v>148</v>
      </c>
      <c r="T3371" s="12" t="s">
        <v>39</v>
      </c>
      <c r="U3371" s="12" t="s">
        <v>40</v>
      </c>
      <c r="V3371" s="12" t="s">
        <v>41</v>
      </c>
      <c r="W3371" s="12">
        <v>8000000</v>
      </c>
      <c r="X3371" s="12">
        <v>2008</v>
      </c>
      <c r="Y3371" s="12">
        <v>332</v>
      </c>
      <c r="Z3371" s="12">
        <v>5.2</v>
      </c>
      <c r="AA3371" s="12">
        <v>1.85</v>
      </c>
      <c r="AB3371" s="12">
        <v>0</v>
      </c>
      <c r="AC3371" s="12"/>
      <c r="AD3371" s="12" t="str">
        <f>IFERROR(__xludf.DUMMYFUNCTION("""COMPUTED_VALUE"""),"Jaroslaw Boberek")</f>
        <v>Jaroslaw Boberek</v>
      </c>
      <c r="AE3371" s="12"/>
    </row>
    <row r="3372" customHeight="1" spans="1:31">
      <c r="A3372" s="11" t="s">
        <v>30</v>
      </c>
      <c r="B3372" s="11" t="s">
        <v>2496</v>
      </c>
      <c r="C3372" s="11">
        <v>127</v>
      </c>
      <c r="D3372" s="11">
        <v>130</v>
      </c>
      <c r="E3372" s="11">
        <v>0</v>
      </c>
      <c r="F3372" s="11">
        <v>602</v>
      </c>
      <c r="G3372" s="11">
        <v>875</v>
      </c>
      <c r="H3372" s="13"/>
      <c r="I3372" s="11" t="s">
        <v>883</v>
      </c>
      <c r="J3372" s="11" t="s">
        <v>2497</v>
      </c>
      <c r="K3372" s="11" t="s">
        <v>2498</v>
      </c>
      <c r="L3372" s="11" t="s">
        <v>2499</v>
      </c>
      <c r="M3372" s="11" t="s">
        <v>2500</v>
      </c>
      <c r="N3372" s="11">
        <v>29935</v>
      </c>
      <c r="O3372" s="11">
        <v>2662</v>
      </c>
      <c r="P3372" s="11">
        <v>0</v>
      </c>
      <c r="Q3372" s="11" t="s">
        <v>2501</v>
      </c>
      <c r="R3372" s="14" t="s">
        <v>2502</v>
      </c>
      <c r="S3372" s="11">
        <v>211</v>
      </c>
      <c r="T3372" s="11" t="s">
        <v>39</v>
      </c>
      <c r="U3372" s="11" t="s">
        <v>40</v>
      </c>
      <c r="V3372" s="11" t="s">
        <v>586</v>
      </c>
      <c r="W3372" s="11">
        <v>8000000</v>
      </c>
      <c r="X3372" s="11">
        <v>1982</v>
      </c>
      <c r="Y3372" s="11">
        <v>826</v>
      </c>
      <c r="Z3372" s="11">
        <v>6.9</v>
      </c>
      <c r="AA3372" s="11">
        <v>1.85</v>
      </c>
      <c r="AB3372" s="11">
        <v>0</v>
      </c>
      <c r="AC3372" s="11"/>
      <c r="AD3372" s="11" t="str">
        <f>IFERROR(__xludf.DUMMYFUNCTION("""COMPUTED_VALUE"""),"Bruno Ganz")</f>
        <v>Bruno Ganz</v>
      </c>
      <c r="AE3372" s="11"/>
    </row>
    <row r="3373" customHeight="1" spans="1:31">
      <c r="A3373" s="12" t="s">
        <v>30</v>
      </c>
      <c r="B3373" s="12" t="s">
        <v>16026</v>
      </c>
      <c r="C3373" s="12">
        <v>164</v>
      </c>
      <c r="D3373" s="12">
        <v>94</v>
      </c>
      <c r="E3373" s="12">
        <v>19</v>
      </c>
      <c r="F3373" s="12">
        <v>117</v>
      </c>
      <c r="G3373" s="12">
        <v>363</v>
      </c>
      <c r="H3373" s="12">
        <v>26049082</v>
      </c>
      <c r="I3373" s="12" t="s">
        <v>1681</v>
      </c>
      <c r="J3373" s="12" t="s">
        <v>16027</v>
      </c>
      <c r="K3373" s="12" t="s">
        <v>16028</v>
      </c>
      <c r="L3373" s="12" t="s">
        <v>16029</v>
      </c>
      <c r="M3373" s="12" t="s">
        <v>16030</v>
      </c>
      <c r="N3373" s="12">
        <v>76791</v>
      </c>
      <c r="O3373" s="12">
        <v>1024</v>
      </c>
      <c r="P3373" s="12">
        <v>3</v>
      </c>
      <c r="Q3373" s="12" t="s">
        <v>16031</v>
      </c>
      <c r="R3373" s="15" t="s">
        <v>16032</v>
      </c>
      <c r="S3373" s="12">
        <v>100</v>
      </c>
      <c r="T3373" s="12" t="s">
        <v>39</v>
      </c>
      <c r="U3373" s="12" t="s">
        <v>40</v>
      </c>
      <c r="V3373" s="12" t="s">
        <v>586</v>
      </c>
      <c r="W3373" s="12">
        <v>8000000</v>
      </c>
      <c r="X3373" s="12">
        <v>2014</v>
      </c>
      <c r="Y3373" s="12">
        <v>342</v>
      </c>
      <c r="Z3373" s="12">
        <v>6.1</v>
      </c>
      <c r="AA3373" s="12">
        <v>2.35</v>
      </c>
      <c r="AB3373" s="12">
        <v>0</v>
      </c>
      <c r="AC3373" s="12"/>
      <c r="AD3373" s="12" t="str">
        <f>IFERROR(__xludf.DUMMYFUNCTION("""COMPUTED_VALUE"""),"Belén Rueda")</f>
        <v>Belén Rueda</v>
      </c>
      <c r="AE3373" s="12"/>
    </row>
    <row r="3374" customHeight="1" spans="1:31">
      <c r="A3374" s="11" t="s">
        <v>30</v>
      </c>
      <c r="B3374" s="11" t="s">
        <v>16033</v>
      </c>
      <c r="C3374" s="11">
        <v>14</v>
      </c>
      <c r="D3374" s="11">
        <v>93</v>
      </c>
      <c r="E3374" s="11">
        <v>2</v>
      </c>
      <c r="F3374" s="11">
        <v>213</v>
      </c>
      <c r="G3374" s="11">
        <v>484</v>
      </c>
      <c r="H3374" s="13"/>
      <c r="I3374" s="11" t="s">
        <v>6829</v>
      </c>
      <c r="J3374" s="11" t="s">
        <v>5576</v>
      </c>
      <c r="K3374" s="11" t="s">
        <v>14857</v>
      </c>
      <c r="L3374" s="11" t="s">
        <v>601</v>
      </c>
      <c r="M3374" s="11" t="s">
        <v>16034</v>
      </c>
      <c r="N3374" s="11">
        <v>3904</v>
      </c>
      <c r="O3374" s="11">
        <v>1455</v>
      </c>
      <c r="P3374" s="11">
        <v>1</v>
      </c>
      <c r="Q3374" s="11" t="s">
        <v>16035</v>
      </c>
      <c r="R3374" s="14" t="s">
        <v>16036</v>
      </c>
      <c r="S3374" s="11">
        <v>48</v>
      </c>
      <c r="T3374" s="11" t="s">
        <v>39</v>
      </c>
      <c r="U3374" s="11" t="s">
        <v>40</v>
      </c>
      <c r="V3374" s="11" t="s">
        <v>96</v>
      </c>
      <c r="W3374" s="11">
        <v>8000000</v>
      </c>
      <c r="X3374" s="11">
        <v>1981</v>
      </c>
      <c r="Y3374" s="11">
        <v>345</v>
      </c>
      <c r="Z3374" s="11">
        <v>5</v>
      </c>
      <c r="AA3374" s="11">
        <v>1.85</v>
      </c>
      <c r="AB3374" s="11">
        <v>495</v>
      </c>
      <c r="AC3374" s="11"/>
      <c r="AD3374" s="11" t="str">
        <f>IFERROR(__xludf.DUMMYFUNCTION("""COMPUTED_VALUE"""),"Lola Dueñas")</f>
        <v>Lola Dueñas</v>
      </c>
      <c r="AE3374" s="11"/>
    </row>
    <row r="3375" customHeight="1" spans="1:31">
      <c r="A3375" s="12" t="s">
        <v>30</v>
      </c>
      <c r="B3375" s="12" t="s">
        <v>16037</v>
      </c>
      <c r="C3375" s="12">
        <v>6</v>
      </c>
      <c r="D3375" s="12">
        <v>80</v>
      </c>
      <c r="E3375" s="12">
        <v>2</v>
      </c>
      <c r="F3375" s="12">
        <v>102</v>
      </c>
      <c r="G3375" s="12">
        <v>861</v>
      </c>
      <c r="H3375" s="16"/>
      <c r="I3375" s="12" t="s">
        <v>954</v>
      </c>
      <c r="J3375" s="12" t="s">
        <v>16038</v>
      </c>
      <c r="K3375" s="12" t="s">
        <v>16039</v>
      </c>
      <c r="L3375" s="12" t="s">
        <v>16040</v>
      </c>
      <c r="M3375" s="12" t="s">
        <v>16041</v>
      </c>
      <c r="N3375" s="12">
        <v>59</v>
      </c>
      <c r="O3375" s="12">
        <v>1279</v>
      </c>
      <c r="P3375" s="16"/>
      <c r="Q3375" s="16"/>
      <c r="R3375" s="15" t="s">
        <v>16042</v>
      </c>
      <c r="S3375" s="12">
        <v>6</v>
      </c>
      <c r="T3375" s="12" t="s">
        <v>39</v>
      </c>
      <c r="U3375" s="12" t="s">
        <v>40</v>
      </c>
      <c r="V3375" s="12" t="s">
        <v>586</v>
      </c>
      <c r="W3375" s="16"/>
      <c r="X3375" s="12">
        <v>2016</v>
      </c>
      <c r="Y3375" s="12">
        <v>163</v>
      </c>
      <c r="Z3375" s="12">
        <v>7.8</v>
      </c>
      <c r="AA3375" s="16"/>
      <c r="AB3375" s="12">
        <v>240</v>
      </c>
      <c r="AC3375" s="12"/>
      <c r="AD3375" s="12" t="str">
        <f>IFERROR(__xludf.DUMMYFUNCTION("""COMPUTED_VALUE"""),"Tamar Novas")</f>
        <v>Tamar Novas</v>
      </c>
      <c r="AE3375" s="12"/>
    </row>
    <row r="3376" customHeight="1" spans="1:31">
      <c r="A3376" s="11" t="s">
        <v>30</v>
      </c>
      <c r="B3376" s="11" t="s">
        <v>858</v>
      </c>
      <c r="C3376" s="11">
        <v>41</v>
      </c>
      <c r="D3376" s="11">
        <v>111</v>
      </c>
      <c r="E3376" s="11">
        <v>0</v>
      </c>
      <c r="F3376" s="11">
        <v>591</v>
      </c>
      <c r="G3376" s="11">
        <v>18000</v>
      </c>
      <c r="H3376" s="11">
        <v>22551000</v>
      </c>
      <c r="I3376" s="11" t="s">
        <v>1415</v>
      </c>
      <c r="J3376" s="11" t="s">
        <v>588</v>
      </c>
      <c r="K3376" s="11" t="s">
        <v>1727</v>
      </c>
      <c r="L3376" s="11" t="s">
        <v>764</v>
      </c>
      <c r="M3376" s="11" t="s">
        <v>16043</v>
      </c>
      <c r="N3376" s="11">
        <v>37269</v>
      </c>
      <c r="O3376" s="11">
        <v>37645</v>
      </c>
      <c r="P3376" s="11">
        <v>0</v>
      </c>
      <c r="Q3376" s="11" t="s">
        <v>16044</v>
      </c>
      <c r="R3376" s="14" t="s">
        <v>16045</v>
      </c>
      <c r="S3376" s="11">
        <v>165</v>
      </c>
      <c r="T3376" s="11" t="s">
        <v>39</v>
      </c>
      <c r="U3376" s="11" t="s">
        <v>58</v>
      </c>
      <c r="V3376" s="11" t="s">
        <v>41</v>
      </c>
      <c r="W3376" s="11">
        <v>8000000</v>
      </c>
      <c r="X3376" s="11">
        <v>1993</v>
      </c>
      <c r="Y3376" s="11">
        <v>18000</v>
      </c>
      <c r="Z3376" s="11">
        <v>7.4</v>
      </c>
      <c r="AA3376" s="11">
        <v>1.85</v>
      </c>
      <c r="AB3376" s="11">
        <v>0</v>
      </c>
      <c r="AC3376" s="11"/>
      <c r="AD3376" s="11" t="str">
        <f>IFERROR(__xludf.DUMMYFUNCTION("""COMPUTED_VALUE"""),"Paul Brannigan")</f>
        <v>Paul Brannigan</v>
      </c>
      <c r="AE3376" s="11"/>
    </row>
    <row r="3377" customHeight="1" spans="1:31">
      <c r="A3377" s="12" t="s">
        <v>30</v>
      </c>
      <c r="B3377" s="12" t="s">
        <v>16046</v>
      </c>
      <c r="C3377" s="12">
        <v>143</v>
      </c>
      <c r="D3377" s="12">
        <v>142</v>
      </c>
      <c r="E3377" s="12">
        <v>13</v>
      </c>
      <c r="F3377" s="12">
        <v>244</v>
      </c>
      <c r="G3377" s="12">
        <v>803</v>
      </c>
      <c r="H3377" s="12">
        <v>22800000</v>
      </c>
      <c r="I3377" s="12" t="s">
        <v>51</v>
      </c>
      <c r="J3377" s="12" t="s">
        <v>16047</v>
      </c>
      <c r="K3377" s="12" t="s">
        <v>16048</v>
      </c>
      <c r="L3377" s="12" t="s">
        <v>1093</v>
      </c>
      <c r="M3377" s="12" t="s">
        <v>16049</v>
      </c>
      <c r="N3377" s="12">
        <v>59941</v>
      </c>
      <c r="O3377" s="12">
        <v>1769</v>
      </c>
      <c r="P3377" s="12">
        <v>2</v>
      </c>
      <c r="Q3377" s="12" t="s">
        <v>16050</v>
      </c>
      <c r="R3377" s="15" t="s">
        <v>16051</v>
      </c>
      <c r="S3377" s="12">
        <v>452</v>
      </c>
      <c r="T3377" s="12" t="s">
        <v>39</v>
      </c>
      <c r="U3377" s="12" t="s">
        <v>58</v>
      </c>
      <c r="V3377" s="12" t="s">
        <v>16052</v>
      </c>
      <c r="W3377" s="12">
        <v>7000000</v>
      </c>
      <c r="X3377" s="12">
        <v>1969</v>
      </c>
      <c r="Y3377" s="12">
        <v>314</v>
      </c>
      <c r="Z3377" s="12">
        <v>6.8</v>
      </c>
      <c r="AA3377" s="12">
        <v>2.35</v>
      </c>
      <c r="AB3377" s="12">
        <v>0</v>
      </c>
      <c r="AC3377" s="12"/>
      <c r="AD3377" s="12" t="str">
        <f>IFERROR(__xludf.DUMMYFUNCTION("""COMPUTED_VALUE"""),"Alison Chand")</f>
        <v>Alison Chand</v>
      </c>
      <c r="AE3377" s="12"/>
    </row>
    <row r="3378" customHeight="1" spans="1:31">
      <c r="A3378" s="11" t="s">
        <v>30</v>
      </c>
      <c r="B3378" s="13"/>
      <c r="C3378" s="11">
        <v>9</v>
      </c>
      <c r="D3378" s="11">
        <v>60</v>
      </c>
      <c r="E3378" s="13"/>
      <c r="F3378" s="11">
        <v>460</v>
      </c>
      <c r="G3378" s="11">
        <v>666</v>
      </c>
      <c r="H3378" s="13"/>
      <c r="I3378" s="11" t="s">
        <v>464</v>
      </c>
      <c r="J3378" s="11" t="s">
        <v>16053</v>
      </c>
      <c r="K3378" s="11" t="s">
        <v>4348</v>
      </c>
      <c r="L3378" s="11" t="s">
        <v>16054</v>
      </c>
      <c r="M3378" s="11" t="s">
        <v>16055</v>
      </c>
      <c r="N3378" s="11">
        <v>5817</v>
      </c>
      <c r="O3378" s="11">
        <v>4043</v>
      </c>
      <c r="P3378" s="11">
        <v>2</v>
      </c>
      <c r="Q3378" s="11" t="s">
        <v>16056</v>
      </c>
      <c r="R3378" s="14" t="s">
        <v>16057</v>
      </c>
      <c r="S3378" s="11">
        <v>25</v>
      </c>
      <c r="T3378" s="11" t="s">
        <v>39</v>
      </c>
      <c r="U3378" s="11" t="s">
        <v>40</v>
      </c>
      <c r="V3378" s="11" t="s">
        <v>1127</v>
      </c>
      <c r="W3378" s="13"/>
      <c r="X3378" s="13"/>
      <c r="Y3378" s="11">
        <v>579</v>
      </c>
      <c r="Z3378" s="11">
        <v>7.1</v>
      </c>
      <c r="AA3378" s="11">
        <v>16</v>
      </c>
      <c r="AB3378" s="11">
        <v>0</v>
      </c>
      <c r="AC3378" s="11"/>
      <c r="AD3378" s="11" t="str">
        <f>IFERROR(__xludf.DUMMYFUNCTION("""COMPUTED_VALUE"""),"Stephanie Danielson")</f>
        <v>Stephanie Danielson</v>
      </c>
      <c r="AE3378" s="11"/>
    </row>
    <row r="3379" customHeight="1" spans="1:31">
      <c r="A3379" s="12" t="s">
        <v>30</v>
      </c>
      <c r="B3379" s="12" t="s">
        <v>6309</v>
      </c>
      <c r="C3379" s="12">
        <v>109</v>
      </c>
      <c r="D3379" s="12">
        <v>107</v>
      </c>
      <c r="E3379" s="12">
        <v>0</v>
      </c>
      <c r="F3379" s="12">
        <v>112</v>
      </c>
      <c r="G3379" s="12">
        <v>969</v>
      </c>
      <c r="H3379" s="12">
        <v>18090181</v>
      </c>
      <c r="I3379" s="12" t="s">
        <v>2664</v>
      </c>
      <c r="J3379" s="12" t="s">
        <v>3653</v>
      </c>
      <c r="K3379" s="12" t="s">
        <v>16058</v>
      </c>
      <c r="L3379" s="12" t="s">
        <v>16059</v>
      </c>
      <c r="M3379" s="12" t="s">
        <v>16060</v>
      </c>
      <c r="N3379" s="12">
        <v>38191</v>
      </c>
      <c r="O3379" s="12">
        <v>1775</v>
      </c>
      <c r="P3379" s="12">
        <v>0</v>
      </c>
      <c r="Q3379" s="12" t="s">
        <v>16061</v>
      </c>
      <c r="R3379" s="15" t="s">
        <v>16062</v>
      </c>
      <c r="S3379" s="12">
        <v>271</v>
      </c>
      <c r="T3379" s="12" t="s">
        <v>39</v>
      </c>
      <c r="U3379" s="12" t="s">
        <v>40</v>
      </c>
      <c r="V3379" s="12" t="s">
        <v>586</v>
      </c>
      <c r="W3379" s="12">
        <v>8000000</v>
      </c>
      <c r="X3379" s="12">
        <v>1994</v>
      </c>
      <c r="Y3379" s="12">
        <v>449</v>
      </c>
      <c r="Z3379" s="12">
        <v>6.4</v>
      </c>
      <c r="AA3379" s="12">
        <v>1.85</v>
      </c>
      <c r="AB3379" s="12">
        <v>0</v>
      </c>
      <c r="AC3379" s="12"/>
      <c r="AD3379" s="12" t="str">
        <f>IFERROR(__xludf.DUMMYFUNCTION("""COMPUTED_VALUE"""),"Sean Kingston")</f>
        <v>Sean Kingston</v>
      </c>
      <c r="AE3379" s="12"/>
    </row>
    <row r="3380" customHeight="1" spans="1:31">
      <c r="A3380" s="11" t="s">
        <v>30</v>
      </c>
      <c r="B3380" s="11" t="s">
        <v>5912</v>
      </c>
      <c r="C3380" s="11">
        <v>59</v>
      </c>
      <c r="D3380" s="11">
        <v>91</v>
      </c>
      <c r="E3380" s="11">
        <v>13</v>
      </c>
      <c r="F3380" s="11">
        <v>292</v>
      </c>
      <c r="G3380" s="11">
        <v>452</v>
      </c>
      <c r="H3380" s="11">
        <v>17843379</v>
      </c>
      <c r="I3380" s="11" t="s">
        <v>1415</v>
      </c>
      <c r="J3380" s="11" t="s">
        <v>1828</v>
      </c>
      <c r="K3380" s="11" t="s">
        <v>11480</v>
      </c>
      <c r="L3380" s="11" t="s">
        <v>16063</v>
      </c>
      <c r="M3380" s="11" t="s">
        <v>16064</v>
      </c>
      <c r="N3380" s="11">
        <v>14904</v>
      </c>
      <c r="O3380" s="11">
        <v>1760</v>
      </c>
      <c r="P3380" s="11">
        <v>2</v>
      </c>
      <c r="Q3380" s="11" t="s">
        <v>16065</v>
      </c>
      <c r="R3380" s="14" t="s">
        <v>16066</v>
      </c>
      <c r="S3380" s="11">
        <v>147</v>
      </c>
      <c r="T3380" s="11" t="s">
        <v>39</v>
      </c>
      <c r="U3380" s="11" t="s">
        <v>40</v>
      </c>
      <c r="V3380" s="11" t="s">
        <v>41</v>
      </c>
      <c r="W3380" s="11">
        <v>8000000</v>
      </c>
      <c r="X3380" s="11">
        <v>1999</v>
      </c>
      <c r="Y3380" s="11">
        <v>442</v>
      </c>
      <c r="Z3380" s="11">
        <v>5.7</v>
      </c>
      <c r="AA3380" s="11">
        <v>1.85</v>
      </c>
      <c r="AB3380" s="11">
        <v>0</v>
      </c>
      <c r="AC3380" s="11"/>
      <c r="AD3380" s="11" t="str">
        <f>IFERROR(__xludf.DUMMYFUNCTION("""COMPUTED_VALUE"""),"Boys II Men")</f>
        <v>Boys II Men</v>
      </c>
      <c r="AE3380" s="11"/>
    </row>
    <row r="3381" customHeight="1" spans="1:31">
      <c r="A3381" s="12" t="s">
        <v>30</v>
      </c>
      <c r="B3381" s="12" t="s">
        <v>16067</v>
      </c>
      <c r="C3381" s="12">
        <v>95</v>
      </c>
      <c r="D3381" s="12">
        <v>112</v>
      </c>
      <c r="E3381" s="12">
        <v>3</v>
      </c>
      <c r="F3381" s="12">
        <v>268</v>
      </c>
      <c r="G3381" s="12">
        <v>876</v>
      </c>
      <c r="H3381" s="12">
        <v>18811135</v>
      </c>
      <c r="I3381" s="12" t="s">
        <v>3410</v>
      </c>
      <c r="J3381" s="12" t="s">
        <v>6357</v>
      </c>
      <c r="K3381" s="12" t="s">
        <v>16068</v>
      </c>
      <c r="L3381" s="12" t="s">
        <v>423</v>
      </c>
      <c r="M3381" s="12" t="s">
        <v>16069</v>
      </c>
      <c r="N3381" s="12">
        <v>15337</v>
      </c>
      <c r="O3381" s="12">
        <v>2832</v>
      </c>
      <c r="P3381" s="12">
        <v>0</v>
      </c>
      <c r="Q3381" s="12" t="s">
        <v>16070</v>
      </c>
      <c r="R3381" s="15" t="s">
        <v>16071</v>
      </c>
      <c r="S3381" s="12">
        <v>172</v>
      </c>
      <c r="T3381" s="12" t="s">
        <v>39</v>
      </c>
      <c r="U3381" s="12" t="s">
        <v>40</v>
      </c>
      <c r="V3381" s="12" t="s">
        <v>96</v>
      </c>
      <c r="W3381" s="16"/>
      <c r="X3381" s="12">
        <v>2006</v>
      </c>
      <c r="Y3381" s="12">
        <v>801</v>
      </c>
      <c r="Z3381" s="12">
        <v>7.5</v>
      </c>
      <c r="AA3381" s="12">
        <v>2.35</v>
      </c>
      <c r="AB3381" s="12">
        <v>0</v>
      </c>
      <c r="AC3381" s="12"/>
      <c r="AD3381" s="12" t="str">
        <f>IFERROR(__xludf.DUMMYFUNCTION("""COMPUTED_VALUE"""),"Fredro Starr")</f>
        <v>Fredro Starr</v>
      </c>
      <c r="AE3381" s="12"/>
    </row>
    <row r="3382" customHeight="1" spans="1:31">
      <c r="A3382" s="11" t="s">
        <v>30</v>
      </c>
      <c r="B3382" s="11" t="s">
        <v>14087</v>
      </c>
      <c r="C3382" s="11">
        <v>40</v>
      </c>
      <c r="D3382" s="11">
        <v>82</v>
      </c>
      <c r="E3382" s="11">
        <v>33</v>
      </c>
      <c r="F3382" s="11">
        <v>475</v>
      </c>
      <c r="G3382" s="11">
        <v>744</v>
      </c>
      <c r="H3382" s="11">
        <v>17278980</v>
      </c>
      <c r="I3382" s="11" t="s">
        <v>1009</v>
      </c>
      <c r="J3382" s="11" t="s">
        <v>2638</v>
      </c>
      <c r="K3382" s="11" t="s">
        <v>12269</v>
      </c>
      <c r="L3382" s="11" t="s">
        <v>3966</v>
      </c>
      <c r="M3382" s="11" t="s">
        <v>16072</v>
      </c>
      <c r="N3382" s="11">
        <v>48225</v>
      </c>
      <c r="O3382" s="11">
        <v>2400</v>
      </c>
      <c r="P3382" s="11">
        <v>0</v>
      </c>
      <c r="Q3382" s="11" t="s">
        <v>16073</v>
      </c>
      <c r="R3382" s="14" t="s">
        <v>16074</v>
      </c>
      <c r="S3382" s="11">
        <v>164</v>
      </c>
      <c r="T3382" s="11" t="s">
        <v>39</v>
      </c>
      <c r="U3382" s="11" t="s">
        <v>40</v>
      </c>
      <c r="V3382" s="11" t="s">
        <v>586</v>
      </c>
      <c r="W3382" s="11">
        <v>8000000</v>
      </c>
      <c r="X3382" s="11">
        <v>1998</v>
      </c>
      <c r="Y3382" s="11">
        <v>503</v>
      </c>
      <c r="Z3382" s="11">
        <v>6.7</v>
      </c>
      <c r="AA3382" s="11">
        <v>1.85</v>
      </c>
      <c r="AB3382" s="11">
        <v>0</v>
      </c>
      <c r="AC3382" s="11"/>
      <c r="AD3382" s="11" t="str">
        <f>IFERROR(__xludf.DUMMYFUNCTION("""COMPUTED_VALUE"""),"Tuesday Knight")</f>
        <v>Tuesday Knight</v>
      </c>
      <c r="AE3382" s="11"/>
    </row>
    <row r="3383" customHeight="1" spans="1:31">
      <c r="A3383" s="12" t="s">
        <v>30</v>
      </c>
      <c r="B3383" s="12" t="s">
        <v>16075</v>
      </c>
      <c r="C3383" s="12">
        <v>121</v>
      </c>
      <c r="D3383" s="12">
        <v>97</v>
      </c>
      <c r="E3383" s="12">
        <v>3</v>
      </c>
      <c r="F3383" s="12">
        <v>631</v>
      </c>
      <c r="G3383" s="12">
        <v>24000</v>
      </c>
      <c r="H3383" s="12">
        <v>16699684</v>
      </c>
      <c r="I3383" s="12" t="s">
        <v>1681</v>
      </c>
      <c r="J3383" s="12" t="s">
        <v>82</v>
      </c>
      <c r="K3383" s="12" t="s">
        <v>1546</v>
      </c>
      <c r="L3383" s="12" t="s">
        <v>5356</v>
      </c>
      <c r="M3383" s="12" t="s">
        <v>16076</v>
      </c>
      <c r="N3383" s="12">
        <v>17461</v>
      </c>
      <c r="O3383" s="12">
        <v>25792</v>
      </c>
      <c r="P3383" s="12">
        <v>1</v>
      </c>
      <c r="Q3383" s="12" t="s">
        <v>16077</v>
      </c>
      <c r="R3383" s="15" t="s">
        <v>16078</v>
      </c>
      <c r="S3383" s="12">
        <v>78</v>
      </c>
      <c r="T3383" s="12" t="s">
        <v>39</v>
      </c>
      <c r="U3383" s="12" t="s">
        <v>40</v>
      </c>
      <c r="V3383" s="12" t="s">
        <v>96</v>
      </c>
      <c r="W3383" s="12">
        <v>8000000</v>
      </c>
      <c r="X3383" s="12">
        <v>2009</v>
      </c>
      <c r="Y3383" s="12">
        <v>827</v>
      </c>
      <c r="Z3383" s="12">
        <v>5.6</v>
      </c>
      <c r="AA3383" s="12">
        <v>1.85</v>
      </c>
      <c r="AB3383" s="12">
        <v>0</v>
      </c>
      <c r="AC3383" s="12"/>
      <c r="AD3383" s="12" t="str">
        <f>IFERROR(__xludf.DUMMYFUNCTION("""COMPUTED_VALUE"""),"Rodney Eastman")</f>
        <v>Rodney Eastman</v>
      </c>
      <c r="AE3383" s="12"/>
    </row>
    <row r="3384" customHeight="1" spans="1:31">
      <c r="A3384" s="11" t="s">
        <v>30</v>
      </c>
      <c r="B3384" s="11" t="s">
        <v>5189</v>
      </c>
      <c r="C3384" s="11">
        <v>358</v>
      </c>
      <c r="D3384" s="11">
        <v>128</v>
      </c>
      <c r="E3384" s="11">
        <v>79</v>
      </c>
      <c r="F3384" s="11">
        <v>414</v>
      </c>
      <c r="G3384" s="11">
        <v>13000</v>
      </c>
      <c r="H3384" s="11">
        <v>50815288</v>
      </c>
      <c r="I3384" s="11" t="s">
        <v>4075</v>
      </c>
      <c r="J3384" s="11" t="s">
        <v>1158</v>
      </c>
      <c r="K3384" s="11" t="s">
        <v>5190</v>
      </c>
      <c r="L3384" s="11" t="s">
        <v>5191</v>
      </c>
      <c r="M3384" s="11" t="s">
        <v>5192</v>
      </c>
      <c r="N3384" s="11">
        <v>109191</v>
      </c>
      <c r="O3384" s="11">
        <v>14747</v>
      </c>
      <c r="P3384" s="11">
        <v>0</v>
      </c>
      <c r="Q3384" s="11" t="s">
        <v>5193</v>
      </c>
      <c r="R3384" s="14" t="s">
        <v>5194</v>
      </c>
      <c r="S3384" s="11">
        <v>625</v>
      </c>
      <c r="T3384" s="11" t="s">
        <v>39</v>
      </c>
      <c r="U3384" s="11" t="s">
        <v>40</v>
      </c>
      <c r="V3384" s="11" t="s">
        <v>586</v>
      </c>
      <c r="W3384" s="11">
        <v>50000000</v>
      </c>
      <c r="X3384" s="11">
        <v>2005</v>
      </c>
      <c r="Y3384" s="11">
        <v>903</v>
      </c>
      <c r="Z3384" s="11">
        <v>7</v>
      </c>
      <c r="AA3384" s="11">
        <v>2.35</v>
      </c>
      <c r="AB3384" s="11">
        <v>0</v>
      </c>
      <c r="AC3384" s="11"/>
      <c r="AD3384" s="11" t="str">
        <f>IFERROR(__xludf.DUMMYFUNCTION("""COMPUTED_VALUE"""),"Brooke Bundy")</f>
        <v>Brooke Bundy</v>
      </c>
      <c r="AE3384" s="11"/>
    </row>
    <row r="3385" customHeight="1" spans="1:31">
      <c r="A3385" s="12" t="s">
        <v>30</v>
      </c>
      <c r="B3385" s="12" t="s">
        <v>16079</v>
      </c>
      <c r="C3385" s="12">
        <v>288</v>
      </c>
      <c r="D3385" s="12">
        <v>102</v>
      </c>
      <c r="E3385" s="12">
        <v>126</v>
      </c>
      <c r="F3385" s="12">
        <v>517</v>
      </c>
      <c r="G3385" s="12">
        <v>23000</v>
      </c>
      <c r="H3385" s="12">
        <v>15047419</v>
      </c>
      <c r="I3385" s="12" t="s">
        <v>1936</v>
      </c>
      <c r="J3385" s="12" t="s">
        <v>62</v>
      </c>
      <c r="K3385" s="12" t="s">
        <v>1377</v>
      </c>
      <c r="L3385" s="12" t="s">
        <v>3706</v>
      </c>
      <c r="M3385" s="12" t="s">
        <v>16080</v>
      </c>
      <c r="N3385" s="12">
        <v>357275</v>
      </c>
      <c r="O3385" s="12">
        <v>25462</v>
      </c>
      <c r="P3385" s="12">
        <v>1</v>
      </c>
      <c r="Q3385" s="12" t="s">
        <v>16081</v>
      </c>
      <c r="R3385" s="15" t="s">
        <v>16082</v>
      </c>
      <c r="S3385" s="12">
        <v>1061</v>
      </c>
      <c r="T3385" s="12" t="s">
        <v>39</v>
      </c>
      <c r="U3385" s="12" t="s">
        <v>40</v>
      </c>
      <c r="V3385" s="12" t="s">
        <v>586</v>
      </c>
      <c r="W3385" s="12">
        <v>7000000</v>
      </c>
      <c r="X3385" s="12">
        <v>2000</v>
      </c>
      <c r="Y3385" s="12">
        <v>1000</v>
      </c>
      <c r="Z3385" s="12">
        <v>7.6</v>
      </c>
      <c r="AA3385" s="12">
        <v>2.35</v>
      </c>
      <c r="AB3385" s="12">
        <v>18000</v>
      </c>
      <c r="AC3385" s="12"/>
      <c r="AD3385" s="12" t="str">
        <f>IFERROR(__xludf.DUMMYFUNCTION("""COMPUTED_VALUE"""),"Brighton Sharbino")</f>
        <v>Brighton Sharbino</v>
      </c>
      <c r="AE3385" s="12"/>
    </row>
    <row r="3386" customHeight="1" spans="1:31">
      <c r="A3386" s="11" t="s">
        <v>30</v>
      </c>
      <c r="B3386" s="11" t="s">
        <v>8951</v>
      </c>
      <c r="C3386" s="11">
        <v>107</v>
      </c>
      <c r="D3386" s="11">
        <v>93</v>
      </c>
      <c r="E3386" s="11">
        <v>44</v>
      </c>
      <c r="F3386" s="11">
        <v>596</v>
      </c>
      <c r="G3386" s="11">
        <v>15000</v>
      </c>
      <c r="H3386" s="11">
        <v>14015786</v>
      </c>
      <c r="I3386" s="11" t="s">
        <v>214</v>
      </c>
      <c r="J3386" s="11" t="s">
        <v>373</v>
      </c>
      <c r="K3386" s="11" t="s">
        <v>1950</v>
      </c>
      <c r="L3386" s="11" t="s">
        <v>1502</v>
      </c>
      <c r="M3386" s="11" t="s">
        <v>16083</v>
      </c>
      <c r="N3386" s="11">
        <v>37952</v>
      </c>
      <c r="O3386" s="11">
        <v>27646</v>
      </c>
      <c r="P3386" s="11">
        <v>3</v>
      </c>
      <c r="Q3386" s="11" t="s">
        <v>16084</v>
      </c>
      <c r="R3386" s="14" t="s">
        <v>16085</v>
      </c>
      <c r="S3386" s="11">
        <v>298</v>
      </c>
      <c r="T3386" s="11" t="s">
        <v>39</v>
      </c>
      <c r="U3386" s="11" t="s">
        <v>40</v>
      </c>
      <c r="V3386" s="11" t="s">
        <v>586</v>
      </c>
      <c r="W3386" s="11">
        <v>5000000</v>
      </c>
      <c r="X3386" s="11">
        <v>2002</v>
      </c>
      <c r="Y3386" s="11">
        <v>11000</v>
      </c>
      <c r="Z3386" s="11">
        <v>6.5</v>
      </c>
      <c r="AA3386" s="11">
        <v>1.85</v>
      </c>
      <c r="AB3386" s="11">
        <v>938</v>
      </c>
      <c r="AC3386" s="11"/>
      <c r="AD3386" s="11" t="str">
        <f>IFERROR(__xludf.DUMMYFUNCTION("""COMPUTED_VALUE"""),"Patrick Wayne")</f>
        <v>Patrick Wayne</v>
      </c>
      <c r="AE3386" s="11"/>
    </row>
    <row r="3387" customHeight="1" spans="1:31">
      <c r="A3387" s="12" t="s">
        <v>30</v>
      </c>
      <c r="B3387" s="12" t="s">
        <v>16086</v>
      </c>
      <c r="C3387" s="12">
        <v>28</v>
      </c>
      <c r="D3387" s="12">
        <v>116</v>
      </c>
      <c r="E3387" s="12">
        <v>31</v>
      </c>
      <c r="F3387" s="12">
        <v>50</v>
      </c>
      <c r="G3387" s="12">
        <v>539</v>
      </c>
      <c r="H3387" s="16"/>
      <c r="I3387" s="12" t="s">
        <v>422</v>
      </c>
      <c r="J3387" s="12" t="s">
        <v>4162</v>
      </c>
      <c r="K3387" s="12" t="s">
        <v>16087</v>
      </c>
      <c r="L3387" s="12" t="s">
        <v>16088</v>
      </c>
      <c r="M3387" s="12" t="s">
        <v>16089</v>
      </c>
      <c r="N3387" s="12">
        <v>8616</v>
      </c>
      <c r="O3387" s="12">
        <v>895</v>
      </c>
      <c r="P3387" s="12">
        <v>2</v>
      </c>
      <c r="Q3387" s="12" t="s">
        <v>16090</v>
      </c>
      <c r="R3387" s="15" t="s">
        <v>16091</v>
      </c>
      <c r="S3387" s="12">
        <v>90</v>
      </c>
      <c r="T3387" s="12" t="s">
        <v>39</v>
      </c>
      <c r="U3387" s="12" t="s">
        <v>269</v>
      </c>
      <c r="V3387" s="12" t="s">
        <v>586</v>
      </c>
      <c r="W3387" s="12">
        <v>8000000</v>
      </c>
      <c r="X3387" s="12">
        <v>2006</v>
      </c>
      <c r="Y3387" s="12">
        <v>290</v>
      </c>
      <c r="Z3387" s="12">
        <v>7</v>
      </c>
      <c r="AA3387" s="12">
        <v>2.35</v>
      </c>
      <c r="AB3387" s="12">
        <v>758</v>
      </c>
      <c r="AC3387" s="12"/>
      <c r="AD3387" s="12" t="str">
        <f>IFERROR(__xludf.DUMMYFUNCTION("""COMPUTED_VALUE"""),"Andrew Keegan")</f>
        <v>Andrew Keegan</v>
      </c>
      <c r="AE3387" s="12"/>
    </row>
    <row r="3388" customHeight="1" spans="1:31">
      <c r="A3388" s="11" t="s">
        <v>30</v>
      </c>
      <c r="B3388" s="11" t="s">
        <v>16092</v>
      </c>
      <c r="C3388" s="11">
        <v>91</v>
      </c>
      <c r="D3388" s="11">
        <v>138</v>
      </c>
      <c r="E3388" s="11">
        <v>78</v>
      </c>
      <c r="F3388" s="11">
        <v>968</v>
      </c>
      <c r="G3388" s="11">
        <v>12000</v>
      </c>
      <c r="H3388" s="11">
        <v>10269307</v>
      </c>
      <c r="I3388" s="11" t="s">
        <v>334</v>
      </c>
      <c r="J3388" s="11" t="s">
        <v>4838</v>
      </c>
      <c r="K3388" s="11" t="s">
        <v>5446</v>
      </c>
      <c r="L3388" s="11" t="s">
        <v>381</v>
      </c>
      <c r="M3388" s="11" t="s">
        <v>16093</v>
      </c>
      <c r="N3388" s="11">
        <v>53251</v>
      </c>
      <c r="O3388" s="11">
        <v>17524</v>
      </c>
      <c r="P3388" s="11">
        <v>0</v>
      </c>
      <c r="Q3388" s="11" t="s">
        <v>16094</v>
      </c>
      <c r="R3388" s="14" t="s">
        <v>16095</v>
      </c>
      <c r="S3388" s="11">
        <v>188</v>
      </c>
      <c r="T3388" s="11" t="s">
        <v>39</v>
      </c>
      <c r="U3388" s="11" t="s">
        <v>40</v>
      </c>
      <c r="V3388" s="11" t="s">
        <v>586</v>
      </c>
      <c r="W3388" s="11">
        <v>8000000</v>
      </c>
      <c r="X3388" s="11">
        <v>2009</v>
      </c>
      <c r="Y3388" s="11">
        <v>3000</v>
      </c>
      <c r="Z3388" s="11">
        <v>6.3</v>
      </c>
      <c r="AA3388" s="11">
        <v>2.35</v>
      </c>
      <c r="AB3388" s="11">
        <v>0</v>
      </c>
      <c r="AC3388" s="11"/>
      <c r="AD3388" s="11" t="str">
        <f>IFERROR(__xludf.DUMMYFUNCTION("""COMPUTED_VALUE"""),"Gene Simmons")</f>
        <v>Gene Simmons</v>
      </c>
      <c r="AE3388" s="11"/>
    </row>
    <row r="3389" customHeight="1" spans="1:31">
      <c r="A3389" s="12" t="s">
        <v>30</v>
      </c>
      <c r="B3389" s="12" t="s">
        <v>12561</v>
      </c>
      <c r="C3389" s="12">
        <v>55</v>
      </c>
      <c r="D3389" s="12">
        <v>117</v>
      </c>
      <c r="E3389" s="12">
        <v>133</v>
      </c>
      <c r="F3389" s="12">
        <v>86</v>
      </c>
      <c r="G3389" s="12">
        <v>471</v>
      </c>
      <c r="H3389" s="16"/>
      <c r="I3389" s="12" t="s">
        <v>214</v>
      </c>
      <c r="J3389" s="12" t="s">
        <v>7125</v>
      </c>
      <c r="K3389" s="12" t="s">
        <v>16096</v>
      </c>
      <c r="L3389" s="12" t="s">
        <v>16097</v>
      </c>
      <c r="M3389" s="12" t="s">
        <v>16098</v>
      </c>
      <c r="N3389" s="12">
        <v>2311</v>
      </c>
      <c r="O3389" s="12">
        <v>858</v>
      </c>
      <c r="P3389" s="12">
        <v>1</v>
      </c>
      <c r="Q3389" s="12" t="s">
        <v>16099</v>
      </c>
      <c r="R3389" s="15" t="s">
        <v>16100</v>
      </c>
      <c r="S3389" s="12">
        <v>25</v>
      </c>
      <c r="T3389" s="12" t="s">
        <v>39</v>
      </c>
      <c r="U3389" s="12" t="s">
        <v>40</v>
      </c>
      <c r="V3389" s="12" t="s">
        <v>41</v>
      </c>
      <c r="W3389" s="12">
        <v>8300000</v>
      </c>
      <c r="X3389" s="12">
        <v>2009</v>
      </c>
      <c r="Y3389" s="12">
        <v>277</v>
      </c>
      <c r="Z3389" s="12">
        <v>6.4</v>
      </c>
      <c r="AA3389" s="12">
        <v>1.85</v>
      </c>
      <c r="AB3389" s="12">
        <v>638</v>
      </c>
      <c r="AC3389" s="12"/>
      <c r="AD3389" s="12" t="str">
        <f>IFERROR(__xludf.DUMMYFUNCTION("""COMPUTED_VALUE"""),"Sedona Legge")</f>
        <v>Sedona Legge</v>
      </c>
      <c r="AE3389" s="12"/>
    </row>
    <row r="3390" customHeight="1" spans="1:31">
      <c r="A3390" s="11" t="s">
        <v>30</v>
      </c>
      <c r="B3390" s="11" t="s">
        <v>16101</v>
      </c>
      <c r="C3390" s="11">
        <v>231</v>
      </c>
      <c r="D3390" s="11">
        <v>93</v>
      </c>
      <c r="E3390" s="11">
        <v>132</v>
      </c>
      <c r="F3390" s="11">
        <v>216</v>
      </c>
      <c r="G3390" s="11">
        <v>434</v>
      </c>
      <c r="H3390" s="11">
        <v>17536788</v>
      </c>
      <c r="I3390" s="11" t="s">
        <v>1415</v>
      </c>
      <c r="J3390" s="11" t="s">
        <v>16102</v>
      </c>
      <c r="K3390" s="11" t="s">
        <v>4309</v>
      </c>
      <c r="L3390" s="11" t="s">
        <v>16103</v>
      </c>
      <c r="M3390" s="11" t="s">
        <v>16104</v>
      </c>
      <c r="N3390" s="11">
        <v>49240</v>
      </c>
      <c r="O3390" s="11">
        <v>1183</v>
      </c>
      <c r="P3390" s="11">
        <v>2</v>
      </c>
      <c r="Q3390" s="11" t="s">
        <v>16105</v>
      </c>
      <c r="R3390" s="14" t="s">
        <v>16106</v>
      </c>
      <c r="S3390" s="11">
        <v>142</v>
      </c>
      <c r="T3390" s="11" t="s">
        <v>39</v>
      </c>
      <c r="U3390" s="11" t="s">
        <v>40</v>
      </c>
      <c r="V3390" s="11" t="s">
        <v>41</v>
      </c>
      <c r="W3390" s="11">
        <v>8000000</v>
      </c>
      <c r="X3390" s="11">
        <v>2013</v>
      </c>
      <c r="Y3390" s="11">
        <v>265</v>
      </c>
      <c r="Z3390" s="11">
        <v>7.1</v>
      </c>
      <c r="AA3390" s="11">
        <v>1.85</v>
      </c>
      <c r="AB3390" s="11">
        <v>12000</v>
      </c>
      <c r="AC3390" s="11"/>
      <c r="AD3390" s="11" t="str">
        <f>IFERROR(__xludf.DUMMYFUNCTION("""COMPUTED_VALUE"""),"Antonio Sabato Jr.")</f>
        <v>Antonio Sabato Jr.</v>
      </c>
      <c r="AE3390" s="11"/>
    </row>
    <row r="3391" customHeight="1" spans="1:31">
      <c r="A3391" s="12" t="s">
        <v>30</v>
      </c>
      <c r="B3391" s="12" t="s">
        <v>3733</v>
      </c>
      <c r="C3391" s="12">
        <v>262</v>
      </c>
      <c r="D3391" s="12">
        <v>92</v>
      </c>
      <c r="E3391" s="12">
        <v>87</v>
      </c>
      <c r="F3391" s="12">
        <v>424</v>
      </c>
      <c r="G3391" s="12">
        <v>15000</v>
      </c>
      <c r="H3391" s="12">
        <v>58401464</v>
      </c>
      <c r="I3391" s="12" t="s">
        <v>1681</v>
      </c>
      <c r="J3391" s="12" t="s">
        <v>182</v>
      </c>
      <c r="K3391" s="12" t="s">
        <v>11564</v>
      </c>
      <c r="L3391" s="12" t="s">
        <v>16107</v>
      </c>
      <c r="M3391" s="12" t="s">
        <v>16108</v>
      </c>
      <c r="N3391" s="12">
        <v>276746</v>
      </c>
      <c r="O3391" s="12">
        <v>16982</v>
      </c>
      <c r="P3391" s="12">
        <v>1</v>
      </c>
      <c r="Q3391" s="12" t="s">
        <v>16109</v>
      </c>
      <c r="R3391" s="15" t="s">
        <v>16110</v>
      </c>
      <c r="S3391" s="12">
        <v>264</v>
      </c>
      <c r="T3391" s="12" t="s">
        <v>39</v>
      </c>
      <c r="U3391" s="12" t="s">
        <v>40</v>
      </c>
      <c r="V3391" s="12" t="s">
        <v>41</v>
      </c>
      <c r="W3391" s="12">
        <v>8000000</v>
      </c>
      <c r="X3391" s="12">
        <v>2010</v>
      </c>
      <c r="Y3391" s="12">
        <v>1000</v>
      </c>
      <c r="Z3391" s="12">
        <v>7.1</v>
      </c>
      <c r="AA3391" s="12">
        <v>1.85</v>
      </c>
      <c r="AB3391" s="12">
        <v>19000</v>
      </c>
      <c r="AC3391" s="12"/>
      <c r="AD3391" s="12" t="str">
        <f>IFERROR(__xludf.DUMMYFUNCTION("""COMPUTED_VALUE"""),"Charlotte Sullivan")</f>
        <v>Charlotte Sullivan</v>
      </c>
      <c r="AE3391" s="12"/>
    </row>
    <row r="3392" customHeight="1" spans="1:31">
      <c r="A3392" s="11" t="s">
        <v>30</v>
      </c>
      <c r="B3392" s="11" t="s">
        <v>16111</v>
      </c>
      <c r="C3392" s="11">
        <v>7</v>
      </c>
      <c r="D3392" s="11">
        <v>110</v>
      </c>
      <c r="E3392" s="11">
        <v>10</v>
      </c>
      <c r="F3392" s="11">
        <v>582</v>
      </c>
      <c r="G3392" s="11">
        <v>851</v>
      </c>
      <c r="H3392" s="11">
        <v>8880705</v>
      </c>
      <c r="I3392" s="11" t="s">
        <v>1415</v>
      </c>
      <c r="J3392" s="11" t="s">
        <v>805</v>
      </c>
      <c r="K3392" s="11" t="s">
        <v>1047</v>
      </c>
      <c r="L3392" s="11" t="s">
        <v>2862</v>
      </c>
      <c r="M3392" s="11" t="s">
        <v>16112</v>
      </c>
      <c r="N3392" s="11">
        <v>1103</v>
      </c>
      <c r="O3392" s="11">
        <v>3293</v>
      </c>
      <c r="P3392" s="11">
        <v>0</v>
      </c>
      <c r="Q3392" s="11" t="s">
        <v>16113</v>
      </c>
      <c r="R3392" s="14" t="s">
        <v>16114</v>
      </c>
      <c r="S3392" s="11">
        <v>11</v>
      </c>
      <c r="T3392" s="11" t="s">
        <v>39</v>
      </c>
      <c r="U3392" s="11" t="s">
        <v>40</v>
      </c>
      <c r="V3392" s="11" t="s">
        <v>586</v>
      </c>
      <c r="W3392" s="13"/>
      <c r="X3392" s="11">
        <v>1994</v>
      </c>
      <c r="Y3392" s="11">
        <v>780</v>
      </c>
      <c r="Z3392" s="11">
        <v>6.5</v>
      </c>
      <c r="AA3392" s="11">
        <v>1.85</v>
      </c>
      <c r="AB3392" s="11">
        <v>160</v>
      </c>
      <c r="AC3392" s="11"/>
      <c r="AD3392" s="11" t="str">
        <f>IFERROR(__xludf.DUMMYFUNCTION("""COMPUTED_VALUE"""),"Jenny Agutter")</f>
        <v>Jenny Agutter</v>
      </c>
      <c r="AE3392" s="11"/>
    </row>
    <row r="3393" customHeight="1" spans="1:31">
      <c r="A3393" s="12" t="s">
        <v>748</v>
      </c>
      <c r="B3393" s="12" t="s">
        <v>9173</v>
      </c>
      <c r="C3393" s="12">
        <v>196</v>
      </c>
      <c r="D3393" s="12">
        <v>92</v>
      </c>
      <c r="E3393" s="12">
        <v>54</v>
      </c>
      <c r="F3393" s="12">
        <v>306</v>
      </c>
      <c r="G3393" s="12">
        <v>776</v>
      </c>
      <c r="H3393" s="12">
        <v>8279017</v>
      </c>
      <c r="I3393" s="12" t="s">
        <v>11575</v>
      </c>
      <c r="J3393" s="12" t="s">
        <v>310</v>
      </c>
      <c r="K3393" s="12" t="s">
        <v>1823</v>
      </c>
      <c r="L3393" s="12" t="s">
        <v>2243</v>
      </c>
      <c r="M3393" s="12" t="s">
        <v>16115</v>
      </c>
      <c r="N3393" s="12">
        <v>34191</v>
      </c>
      <c r="O3393" s="12">
        <v>1761</v>
      </c>
      <c r="P3393" s="12">
        <v>1</v>
      </c>
      <c r="Q3393" s="12" t="s">
        <v>16116</v>
      </c>
      <c r="R3393" s="15" t="s">
        <v>16117</v>
      </c>
      <c r="S3393" s="12">
        <v>339</v>
      </c>
      <c r="T3393" s="12" t="s">
        <v>39</v>
      </c>
      <c r="U3393" s="12" t="s">
        <v>58</v>
      </c>
      <c r="V3393" s="12" t="s">
        <v>586</v>
      </c>
      <c r="W3393" s="12">
        <v>8000000</v>
      </c>
      <c r="X3393" s="12">
        <v>2000</v>
      </c>
      <c r="Y3393" s="12">
        <v>595</v>
      </c>
      <c r="Z3393" s="12">
        <v>6.9</v>
      </c>
      <c r="AA3393" s="12">
        <v>2.35</v>
      </c>
      <c r="AB3393" s="12">
        <v>0</v>
      </c>
      <c r="AC3393" s="12"/>
      <c r="AD3393" s="12" t="str">
        <f>IFERROR(__xludf.DUMMYFUNCTION("""COMPUTED_VALUE"""),"Greg Germann")</f>
        <v>Greg Germann</v>
      </c>
      <c r="AE3393" s="12"/>
    </row>
    <row r="3394" customHeight="1" spans="1:31">
      <c r="A3394" s="11" t="s">
        <v>30</v>
      </c>
      <c r="B3394" s="11" t="s">
        <v>12366</v>
      </c>
      <c r="C3394" s="11">
        <v>83</v>
      </c>
      <c r="D3394" s="11">
        <v>104</v>
      </c>
      <c r="E3394" s="11">
        <v>18</v>
      </c>
      <c r="F3394" s="11">
        <v>741</v>
      </c>
      <c r="G3394" s="11">
        <v>1000</v>
      </c>
      <c r="H3394" s="11">
        <v>10106233</v>
      </c>
      <c r="I3394" s="11" t="s">
        <v>2528</v>
      </c>
      <c r="J3394" s="11" t="s">
        <v>2491</v>
      </c>
      <c r="K3394" s="11" t="s">
        <v>4690</v>
      </c>
      <c r="L3394" s="11" t="s">
        <v>6562</v>
      </c>
      <c r="M3394" s="11" t="s">
        <v>16118</v>
      </c>
      <c r="N3394" s="11">
        <v>12702</v>
      </c>
      <c r="O3394" s="11">
        <v>5190</v>
      </c>
      <c r="P3394" s="11">
        <v>0</v>
      </c>
      <c r="Q3394" s="11" t="s">
        <v>16119</v>
      </c>
      <c r="R3394" s="14" t="s">
        <v>16120</v>
      </c>
      <c r="S3394" s="11">
        <v>32</v>
      </c>
      <c r="T3394" s="11" t="s">
        <v>39</v>
      </c>
      <c r="U3394" s="11" t="s">
        <v>40</v>
      </c>
      <c r="V3394" s="11" t="s">
        <v>96</v>
      </c>
      <c r="W3394" s="11">
        <v>8000000</v>
      </c>
      <c r="X3394" s="11">
        <v>2011</v>
      </c>
      <c r="Y3394" s="11">
        <v>962</v>
      </c>
      <c r="Z3394" s="11">
        <v>5.4</v>
      </c>
      <c r="AA3394" s="11">
        <v>1.85</v>
      </c>
      <c r="AB3394" s="11">
        <v>0</v>
      </c>
      <c r="AC3394" s="11"/>
      <c r="AD3394" s="11" t="str">
        <f>IFERROR(__xludf.DUMMYFUNCTION("""COMPUTED_VALUE"""),"Kate del Castillo")</f>
        <v>Kate del Castillo</v>
      </c>
      <c r="AE3394" s="11"/>
    </row>
    <row r="3395" customHeight="1" spans="1:31">
      <c r="A3395" s="12" t="s">
        <v>30</v>
      </c>
      <c r="B3395" s="12" t="s">
        <v>571</v>
      </c>
      <c r="C3395" s="12">
        <v>18</v>
      </c>
      <c r="D3395" s="12">
        <v>98</v>
      </c>
      <c r="E3395" s="12">
        <v>198</v>
      </c>
      <c r="F3395" s="12">
        <v>636</v>
      </c>
      <c r="G3395" s="12">
        <v>1000</v>
      </c>
      <c r="H3395" s="16"/>
      <c r="I3395" s="12" t="s">
        <v>1681</v>
      </c>
      <c r="J3395" s="12" t="s">
        <v>1822</v>
      </c>
      <c r="K3395" s="12" t="s">
        <v>2524</v>
      </c>
      <c r="L3395" s="12" t="s">
        <v>6745</v>
      </c>
      <c r="M3395" s="12" t="s">
        <v>16121</v>
      </c>
      <c r="N3395" s="12">
        <v>6124</v>
      </c>
      <c r="O3395" s="12">
        <v>3502</v>
      </c>
      <c r="P3395" s="12">
        <v>2</v>
      </c>
      <c r="Q3395" s="12" t="s">
        <v>16122</v>
      </c>
      <c r="R3395" s="15" t="s">
        <v>16123</v>
      </c>
      <c r="S3395" s="12">
        <v>55</v>
      </c>
      <c r="T3395" s="12" t="s">
        <v>39</v>
      </c>
      <c r="U3395" s="12" t="s">
        <v>40</v>
      </c>
      <c r="V3395" s="12" t="s">
        <v>41</v>
      </c>
      <c r="W3395" s="12">
        <v>8000000</v>
      </c>
      <c r="X3395" s="12">
        <v>1996</v>
      </c>
      <c r="Y3395" s="12">
        <v>975</v>
      </c>
      <c r="Z3395" s="12">
        <v>4.9</v>
      </c>
      <c r="AA3395" s="12">
        <v>1.85</v>
      </c>
      <c r="AB3395" s="12">
        <v>125</v>
      </c>
      <c r="AC3395" s="12"/>
      <c r="AD3395" s="12" t="str">
        <f>IFERROR(__xludf.DUMMYFUNCTION("""COMPUTED_VALUE"""),"Henry Simmons")</f>
        <v>Henry Simmons</v>
      </c>
      <c r="AE3395" s="12"/>
    </row>
    <row r="3396" customHeight="1" spans="1:31">
      <c r="A3396" s="11" t="s">
        <v>30</v>
      </c>
      <c r="B3396" s="11" t="s">
        <v>11051</v>
      </c>
      <c r="C3396" s="11">
        <v>11</v>
      </c>
      <c r="D3396" s="11">
        <v>89</v>
      </c>
      <c r="E3396" s="11">
        <v>15</v>
      </c>
      <c r="F3396" s="11">
        <v>660</v>
      </c>
      <c r="G3396" s="11">
        <v>883</v>
      </c>
      <c r="H3396" s="11">
        <v>4692814</v>
      </c>
      <c r="I3396" s="11" t="s">
        <v>1672</v>
      </c>
      <c r="J3396" s="11" t="s">
        <v>4545</v>
      </c>
      <c r="K3396" s="11" t="s">
        <v>6383</v>
      </c>
      <c r="L3396" s="11" t="s">
        <v>1842</v>
      </c>
      <c r="M3396" s="11" t="s">
        <v>16124</v>
      </c>
      <c r="N3396" s="11">
        <v>2870</v>
      </c>
      <c r="O3396" s="11">
        <v>3291</v>
      </c>
      <c r="P3396" s="11">
        <v>2</v>
      </c>
      <c r="Q3396" s="11" t="s">
        <v>16125</v>
      </c>
      <c r="R3396" s="14" t="s">
        <v>16126</v>
      </c>
      <c r="S3396" s="11">
        <v>34</v>
      </c>
      <c r="T3396" s="11" t="s">
        <v>39</v>
      </c>
      <c r="U3396" s="11" t="s">
        <v>40</v>
      </c>
      <c r="V3396" s="11" t="s">
        <v>41</v>
      </c>
      <c r="W3396" s="11">
        <v>8000000</v>
      </c>
      <c r="X3396" s="11">
        <v>1999</v>
      </c>
      <c r="Y3396" s="11">
        <v>826</v>
      </c>
      <c r="Z3396" s="11">
        <v>5.1</v>
      </c>
      <c r="AA3396" s="11">
        <v>1.85</v>
      </c>
      <c r="AB3396" s="11">
        <v>77</v>
      </c>
      <c r="AC3396" s="11"/>
      <c r="AD3396" s="11" t="str">
        <f>IFERROR(__xludf.DUMMYFUNCTION("""COMPUTED_VALUE"""),"Elina Alminas")</f>
        <v>Elina Alminas</v>
      </c>
      <c r="AE3396" s="11"/>
    </row>
    <row r="3397" customHeight="1" spans="1:31">
      <c r="A3397" s="12" t="s">
        <v>30</v>
      </c>
      <c r="B3397" s="12" t="s">
        <v>16127</v>
      </c>
      <c r="C3397" s="12">
        <v>72</v>
      </c>
      <c r="D3397" s="12">
        <v>92</v>
      </c>
      <c r="E3397" s="12">
        <v>26</v>
      </c>
      <c r="F3397" s="12">
        <v>417</v>
      </c>
      <c r="G3397" s="12">
        <v>1000</v>
      </c>
      <c r="H3397" s="12">
        <v>5018450</v>
      </c>
      <c r="I3397" s="12" t="s">
        <v>3632</v>
      </c>
      <c r="J3397" s="12" t="s">
        <v>2808</v>
      </c>
      <c r="K3397" s="12" t="s">
        <v>5907</v>
      </c>
      <c r="L3397" s="12" t="s">
        <v>11103</v>
      </c>
      <c r="M3397" s="12" t="s">
        <v>16128</v>
      </c>
      <c r="N3397" s="12">
        <v>8546</v>
      </c>
      <c r="O3397" s="12">
        <v>2687</v>
      </c>
      <c r="P3397" s="12">
        <v>0</v>
      </c>
      <c r="Q3397" s="12" t="s">
        <v>16129</v>
      </c>
      <c r="R3397" s="15" t="s">
        <v>16130</v>
      </c>
      <c r="S3397" s="12">
        <v>86</v>
      </c>
      <c r="T3397" s="12" t="s">
        <v>39</v>
      </c>
      <c r="U3397" s="12" t="s">
        <v>40</v>
      </c>
      <c r="V3397" s="12" t="s">
        <v>586</v>
      </c>
      <c r="W3397" s="12">
        <v>8000000</v>
      </c>
      <c r="X3397" s="12">
        <v>2000</v>
      </c>
      <c r="Y3397" s="12">
        <v>905</v>
      </c>
      <c r="Z3397" s="12">
        <v>5.3</v>
      </c>
      <c r="AA3397" s="12">
        <v>2.35</v>
      </c>
      <c r="AB3397" s="12">
        <v>859</v>
      </c>
      <c r="AC3397" s="12"/>
      <c r="AD3397" s="12" t="str">
        <f>IFERROR(__xludf.DUMMYFUNCTION("""COMPUTED_VALUE"""),"Sonoya Mizuno")</f>
        <v>Sonoya Mizuno</v>
      </c>
      <c r="AE3397" s="12"/>
    </row>
    <row r="3398" customHeight="1" spans="1:31">
      <c r="A3398" s="11" t="s">
        <v>30</v>
      </c>
      <c r="B3398" s="11" t="s">
        <v>12561</v>
      </c>
      <c r="C3398" s="11">
        <v>51</v>
      </c>
      <c r="D3398" s="11">
        <v>140</v>
      </c>
      <c r="E3398" s="11">
        <v>133</v>
      </c>
      <c r="F3398" s="11">
        <v>136</v>
      </c>
      <c r="G3398" s="11">
        <v>12000</v>
      </c>
      <c r="H3398" s="11">
        <v>25967000</v>
      </c>
      <c r="I3398" s="11" t="s">
        <v>214</v>
      </c>
      <c r="J3398" s="11" t="s">
        <v>763</v>
      </c>
      <c r="K3398" s="11" t="s">
        <v>2535</v>
      </c>
      <c r="L3398" s="11" t="s">
        <v>16131</v>
      </c>
      <c r="M3398" s="11" t="s">
        <v>16132</v>
      </c>
      <c r="N3398" s="11">
        <v>21254</v>
      </c>
      <c r="O3398" s="11">
        <v>13180</v>
      </c>
      <c r="P3398" s="11">
        <v>3</v>
      </c>
      <c r="Q3398" s="11" t="s">
        <v>16133</v>
      </c>
      <c r="R3398" s="14" t="s">
        <v>16134</v>
      </c>
      <c r="S3398" s="11">
        <v>86</v>
      </c>
      <c r="T3398" s="11" t="s">
        <v>39</v>
      </c>
      <c r="U3398" s="11" t="s">
        <v>58</v>
      </c>
      <c r="V3398" s="11" t="s">
        <v>96</v>
      </c>
      <c r="W3398" s="13"/>
      <c r="X3398" s="11">
        <v>1992</v>
      </c>
      <c r="Y3398" s="11">
        <v>898</v>
      </c>
      <c r="Z3398" s="11">
        <v>7.5</v>
      </c>
      <c r="AA3398" s="11">
        <v>2.35</v>
      </c>
      <c r="AB3398" s="11">
        <v>788</v>
      </c>
      <c r="AC3398" s="11"/>
      <c r="AD3398" s="11" t="str">
        <f>IFERROR(__xludf.DUMMYFUNCTION("""COMPUTED_VALUE"""),"Corey Johnson")</f>
        <v>Corey Johnson</v>
      </c>
      <c r="AE3398" s="11"/>
    </row>
    <row r="3399" customHeight="1" spans="1:31">
      <c r="A3399" s="12" t="s">
        <v>30</v>
      </c>
      <c r="B3399" s="16"/>
      <c r="C3399" s="12">
        <v>18</v>
      </c>
      <c r="D3399" s="12">
        <v>60</v>
      </c>
      <c r="E3399" s="16"/>
      <c r="F3399" s="12">
        <v>648</v>
      </c>
      <c r="G3399" s="12">
        <v>3000</v>
      </c>
      <c r="H3399" s="16"/>
      <c r="I3399" s="12" t="s">
        <v>16135</v>
      </c>
      <c r="J3399" s="12" t="s">
        <v>730</v>
      </c>
      <c r="K3399" s="12" t="s">
        <v>2871</v>
      </c>
      <c r="L3399" s="12" t="s">
        <v>732</v>
      </c>
      <c r="M3399" s="12" t="s">
        <v>16136</v>
      </c>
      <c r="N3399" s="12">
        <v>22848</v>
      </c>
      <c r="O3399" s="12">
        <v>6034</v>
      </c>
      <c r="P3399" s="12">
        <v>0</v>
      </c>
      <c r="Q3399" s="12" t="s">
        <v>16137</v>
      </c>
      <c r="R3399" s="15" t="s">
        <v>16138</v>
      </c>
      <c r="S3399" s="12">
        <v>85</v>
      </c>
      <c r="T3399" s="12" t="s">
        <v>39</v>
      </c>
      <c r="U3399" s="16"/>
      <c r="V3399" s="12" t="s">
        <v>2636</v>
      </c>
      <c r="W3399" s="16"/>
      <c r="X3399" s="16"/>
      <c r="Y3399" s="12">
        <v>788</v>
      </c>
      <c r="Z3399" s="12">
        <v>8.3</v>
      </c>
      <c r="AA3399" s="12">
        <v>16</v>
      </c>
      <c r="AB3399" s="12">
        <v>18000</v>
      </c>
      <c r="AC3399" s="12"/>
      <c r="AD3399" s="12" t="str">
        <f>IFERROR(__xludf.DUMMYFUNCTION("""COMPUTED_VALUE"""),"Orson Bean")</f>
        <v>Orson Bean</v>
      </c>
      <c r="AE3399" s="12"/>
    </row>
    <row r="3400" customHeight="1" spans="1:31">
      <c r="A3400" s="11" t="s">
        <v>30</v>
      </c>
      <c r="B3400" s="11" t="s">
        <v>16139</v>
      </c>
      <c r="C3400" s="11">
        <v>328</v>
      </c>
      <c r="D3400" s="11">
        <v>90</v>
      </c>
      <c r="E3400" s="11">
        <v>26</v>
      </c>
      <c r="F3400" s="11">
        <v>0</v>
      </c>
      <c r="G3400" s="11">
        <v>1000</v>
      </c>
      <c r="H3400" s="11">
        <v>3442820</v>
      </c>
      <c r="I3400" s="11" t="s">
        <v>16140</v>
      </c>
      <c r="J3400" s="11" t="s">
        <v>2620</v>
      </c>
      <c r="K3400" s="11" t="s">
        <v>2409</v>
      </c>
      <c r="L3400" s="11" t="s">
        <v>16141</v>
      </c>
      <c r="M3400" s="11" t="s">
        <v>16142</v>
      </c>
      <c r="N3400" s="11">
        <v>31489</v>
      </c>
      <c r="O3400" s="11">
        <v>1442</v>
      </c>
      <c r="P3400" s="11">
        <v>0</v>
      </c>
      <c r="Q3400" s="11" t="s">
        <v>16143</v>
      </c>
      <c r="R3400" s="14" t="s">
        <v>16144</v>
      </c>
      <c r="S3400" s="11">
        <v>140</v>
      </c>
      <c r="T3400" s="11" t="s">
        <v>39</v>
      </c>
      <c r="U3400" s="11" t="s">
        <v>40</v>
      </c>
      <c r="V3400" s="11" t="s">
        <v>586</v>
      </c>
      <c r="W3400" s="11">
        <v>8000000</v>
      </c>
      <c r="X3400" s="11">
        <v>2015</v>
      </c>
      <c r="Y3400" s="11">
        <v>442</v>
      </c>
      <c r="Z3400" s="11">
        <v>7.3</v>
      </c>
      <c r="AA3400" s="11">
        <v>2.35</v>
      </c>
      <c r="AB3400" s="11">
        <v>0</v>
      </c>
      <c r="AC3400" s="11"/>
      <c r="AD3400" s="11" t="str">
        <f>IFERROR(__xludf.DUMMYFUNCTION("""COMPUTED_VALUE"""),"Teo Halm")</f>
        <v>Teo Halm</v>
      </c>
      <c r="AE3400" s="11"/>
    </row>
    <row r="3401" customHeight="1" spans="1:31">
      <c r="A3401" s="12" t="s">
        <v>30</v>
      </c>
      <c r="B3401" s="12" t="s">
        <v>11328</v>
      </c>
      <c r="C3401" s="12">
        <v>248</v>
      </c>
      <c r="D3401" s="12">
        <v>129</v>
      </c>
      <c r="E3401" s="12">
        <v>608</v>
      </c>
      <c r="F3401" s="12">
        <v>386</v>
      </c>
      <c r="G3401" s="12">
        <v>1000</v>
      </c>
      <c r="H3401" s="12">
        <v>3205244</v>
      </c>
      <c r="I3401" s="12" t="s">
        <v>2528</v>
      </c>
      <c r="J3401" s="12" t="s">
        <v>393</v>
      </c>
      <c r="K3401" s="12" t="s">
        <v>2425</v>
      </c>
      <c r="L3401" s="12" t="s">
        <v>9072</v>
      </c>
      <c r="M3401" s="12" t="s">
        <v>16145</v>
      </c>
      <c r="N3401" s="12">
        <v>23629</v>
      </c>
      <c r="O3401" s="12">
        <v>2265</v>
      </c>
      <c r="P3401" s="12">
        <v>0</v>
      </c>
      <c r="Q3401" s="12" t="s">
        <v>16146</v>
      </c>
      <c r="R3401" s="15" t="s">
        <v>16147</v>
      </c>
      <c r="S3401" s="12">
        <v>141</v>
      </c>
      <c r="T3401" s="12" t="s">
        <v>39</v>
      </c>
      <c r="U3401" s="12" t="s">
        <v>58</v>
      </c>
      <c r="V3401" s="12" t="s">
        <v>41</v>
      </c>
      <c r="W3401" s="12">
        <v>10000000</v>
      </c>
      <c r="X3401" s="12">
        <v>2010</v>
      </c>
      <c r="Y3401" s="12">
        <v>579</v>
      </c>
      <c r="Z3401" s="12">
        <v>7.3</v>
      </c>
      <c r="AA3401" s="12">
        <v>2.35</v>
      </c>
      <c r="AB3401" s="12">
        <v>0</v>
      </c>
      <c r="AC3401" s="12"/>
      <c r="AD3401" s="12" t="str">
        <f>IFERROR(__xludf.DUMMYFUNCTION("""COMPUTED_VALUE"""),"Ella Wahlestedt")</f>
        <v>Ella Wahlestedt</v>
      </c>
      <c r="AE3401" s="12"/>
    </row>
    <row r="3402" customHeight="1" spans="1:31">
      <c r="A3402" s="11" t="s">
        <v>30</v>
      </c>
      <c r="B3402" s="11" t="s">
        <v>16148</v>
      </c>
      <c r="C3402" s="11">
        <v>128</v>
      </c>
      <c r="D3402" s="11">
        <v>111</v>
      </c>
      <c r="E3402" s="11">
        <v>341</v>
      </c>
      <c r="F3402" s="11">
        <v>569</v>
      </c>
      <c r="G3402" s="11">
        <v>963</v>
      </c>
      <c r="H3402" s="11">
        <v>3076425</v>
      </c>
      <c r="I3402" s="11" t="s">
        <v>16149</v>
      </c>
      <c r="J3402" s="11" t="s">
        <v>6663</v>
      </c>
      <c r="K3402" s="11" t="s">
        <v>6040</v>
      </c>
      <c r="L3402" s="11" t="s">
        <v>16150</v>
      </c>
      <c r="M3402" s="11" t="s">
        <v>16151</v>
      </c>
      <c r="N3402" s="11">
        <v>23660</v>
      </c>
      <c r="O3402" s="11">
        <v>3543</v>
      </c>
      <c r="P3402" s="11">
        <v>1</v>
      </c>
      <c r="Q3402" s="11" t="s">
        <v>16152</v>
      </c>
      <c r="R3402" s="14" t="s">
        <v>16153</v>
      </c>
      <c r="S3402" s="11">
        <v>162</v>
      </c>
      <c r="T3402" s="11" t="s">
        <v>1465</v>
      </c>
      <c r="U3402" s="11" t="s">
        <v>1466</v>
      </c>
      <c r="V3402" s="11" t="s">
        <v>586</v>
      </c>
      <c r="W3402" s="11">
        <v>8000000</v>
      </c>
      <c r="X3402" s="11">
        <v>2002</v>
      </c>
      <c r="Y3402" s="11">
        <v>678</v>
      </c>
      <c r="Z3402" s="11">
        <v>7.1</v>
      </c>
      <c r="AA3402" s="11">
        <v>1.85</v>
      </c>
      <c r="AB3402" s="11">
        <v>0</v>
      </c>
      <c r="AC3402" s="11"/>
      <c r="AD3402" s="11" t="str">
        <f>IFERROR(__xludf.DUMMYFUNCTION("""COMPUTED_VALUE"""),"Jason Gray-Stanford")</f>
        <v>Jason Gray-Stanford</v>
      </c>
      <c r="AE3402" s="11"/>
    </row>
    <row r="3403" customHeight="1" spans="1:31">
      <c r="A3403" s="12" t="s">
        <v>30</v>
      </c>
      <c r="B3403" s="12" t="s">
        <v>12977</v>
      </c>
      <c r="C3403" s="12">
        <v>45</v>
      </c>
      <c r="D3403" s="12">
        <v>79</v>
      </c>
      <c r="E3403" s="12">
        <v>73</v>
      </c>
      <c r="F3403" s="12">
        <v>112</v>
      </c>
      <c r="G3403" s="12">
        <v>1000</v>
      </c>
      <c r="H3403" s="12">
        <v>2275557</v>
      </c>
      <c r="I3403" s="12" t="s">
        <v>422</v>
      </c>
      <c r="J3403" s="12" t="s">
        <v>589</v>
      </c>
      <c r="K3403" s="12" t="s">
        <v>1735</v>
      </c>
      <c r="L3403" s="12" t="s">
        <v>16154</v>
      </c>
      <c r="M3403" s="12" t="s">
        <v>16155</v>
      </c>
      <c r="N3403" s="12">
        <v>12561</v>
      </c>
      <c r="O3403" s="12">
        <v>2404</v>
      </c>
      <c r="P3403" s="12">
        <v>2</v>
      </c>
      <c r="Q3403" s="12" t="s">
        <v>16156</v>
      </c>
      <c r="R3403" s="15" t="s">
        <v>16157</v>
      </c>
      <c r="S3403" s="12">
        <v>102</v>
      </c>
      <c r="T3403" s="12" t="s">
        <v>39</v>
      </c>
      <c r="U3403" s="12" t="s">
        <v>40</v>
      </c>
      <c r="V3403" s="12" t="s">
        <v>586</v>
      </c>
      <c r="W3403" s="12">
        <v>8000000</v>
      </c>
      <c r="X3403" s="12">
        <v>1991</v>
      </c>
      <c r="Y3403" s="12">
        <v>1000</v>
      </c>
      <c r="Z3403" s="12">
        <v>6</v>
      </c>
      <c r="AA3403" s="12">
        <v>1.85</v>
      </c>
      <c r="AB3403" s="12">
        <v>0</v>
      </c>
      <c r="AC3403" s="12"/>
      <c r="AD3403" s="12" t="str">
        <f>IFERROR(__xludf.DUMMYFUNCTION("""COMPUTED_VALUE"""),"Rolando Molina")</f>
        <v>Rolando Molina</v>
      </c>
      <c r="AE3403" s="12"/>
    </row>
    <row r="3404" customHeight="1" spans="1:31">
      <c r="A3404" s="11" t="s">
        <v>30</v>
      </c>
      <c r="B3404" s="11" t="s">
        <v>4951</v>
      </c>
      <c r="C3404" s="11">
        <v>49</v>
      </c>
      <c r="D3404" s="11">
        <v>104</v>
      </c>
      <c r="E3404" s="11">
        <v>71</v>
      </c>
      <c r="F3404" s="11">
        <v>168</v>
      </c>
      <c r="G3404" s="11">
        <v>1000</v>
      </c>
      <c r="H3404" s="11">
        <v>1789892</v>
      </c>
      <c r="I3404" s="11" t="s">
        <v>1009</v>
      </c>
      <c r="J3404" s="11" t="s">
        <v>794</v>
      </c>
      <c r="K3404" s="11" t="s">
        <v>5564</v>
      </c>
      <c r="L3404" s="11" t="s">
        <v>16158</v>
      </c>
      <c r="M3404" s="11" t="s">
        <v>16159</v>
      </c>
      <c r="N3404" s="11">
        <v>9494</v>
      </c>
      <c r="O3404" s="11">
        <v>1795</v>
      </c>
      <c r="P3404" s="11">
        <v>1</v>
      </c>
      <c r="Q3404" s="11" t="s">
        <v>16160</v>
      </c>
      <c r="R3404" s="14" t="s">
        <v>16161</v>
      </c>
      <c r="S3404" s="11">
        <v>109</v>
      </c>
      <c r="T3404" s="11" t="s">
        <v>39</v>
      </c>
      <c r="U3404" s="11" t="s">
        <v>768</v>
      </c>
      <c r="V3404" s="11" t="s">
        <v>586</v>
      </c>
      <c r="W3404" s="11">
        <v>8000000</v>
      </c>
      <c r="X3404" s="11">
        <v>1998</v>
      </c>
      <c r="Y3404" s="11">
        <v>261</v>
      </c>
      <c r="Z3404" s="11">
        <v>6.6</v>
      </c>
      <c r="AA3404" s="11">
        <v>1.85</v>
      </c>
      <c r="AB3404" s="11">
        <v>515</v>
      </c>
      <c r="AC3404" s="11"/>
      <c r="AD3404" s="11" t="str">
        <f>IFERROR(__xludf.DUMMYFUNCTION("""COMPUTED_VALUE"""),"Yuki Matsuzaki")</f>
        <v>Yuki Matsuzaki</v>
      </c>
      <c r="AE3404" s="11"/>
    </row>
    <row r="3405" customHeight="1" spans="1:31">
      <c r="A3405" s="12" t="s">
        <v>30</v>
      </c>
      <c r="B3405" s="12" t="s">
        <v>16162</v>
      </c>
      <c r="C3405" s="12">
        <v>163</v>
      </c>
      <c r="D3405" s="12">
        <v>101</v>
      </c>
      <c r="E3405" s="12">
        <v>16</v>
      </c>
      <c r="F3405" s="12">
        <v>472</v>
      </c>
      <c r="G3405" s="12">
        <v>943</v>
      </c>
      <c r="H3405" s="12">
        <v>6350058</v>
      </c>
      <c r="I3405" s="12" t="s">
        <v>1415</v>
      </c>
      <c r="J3405" s="12" t="s">
        <v>847</v>
      </c>
      <c r="K3405" s="12" t="s">
        <v>13349</v>
      </c>
      <c r="L3405" s="12" t="s">
        <v>7588</v>
      </c>
      <c r="M3405" s="12" t="s">
        <v>16163</v>
      </c>
      <c r="N3405" s="12">
        <v>106098</v>
      </c>
      <c r="O3405" s="12">
        <v>2786</v>
      </c>
      <c r="P3405" s="12">
        <v>3</v>
      </c>
      <c r="Q3405" s="12" t="s">
        <v>16164</v>
      </c>
      <c r="R3405" s="15" t="s">
        <v>16165</v>
      </c>
      <c r="S3405" s="12">
        <v>150</v>
      </c>
      <c r="T3405" s="12" t="s">
        <v>39</v>
      </c>
      <c r="U3405" s="12" t="s">
        <v>40</v>
      </c>
      <c r="V3405" s="12" t="s">
        <v>41</v>
      </c>
      <c r="W3405" s="12">
        <v>8000000</v>
      </c>
      <c r="X3405" s="12">
        <v>2010</v>
      </c>
      <c r="Y3405" s="12">
        <v>769</v>
      </c>
      <c r="Z3405" s="12">
        <v>7.2</v>
      </c>
      <c r="AA3405" s="12">
        <v>1.85</v>
      </c>
      <c r="AB3405" s="12">
        <v>20000</v>
      </c>
      <c r="AC3405" s="12"/>
      <c r="AD3405" s="12" t="str">
        <f>IFERROR(__xludf.DUMMYFUNCTION("""COMPUTED_VALUE"""),"Kazunari Ninomiya")</f>
        <v>Kazunari Ninomiya</v>
      </c>
      <c r="AE3405" s="12"/>
    </row>
    <row r="3406" customHeight="1" spans="1:31">
      <c r="A3406" s="11" t="s">
        <v>30</v>
      </c>
      <c r="B3406" s="11" t="s">
        <v>9722</v>
      </c>
      <c r="C3406" s="11">
        <v>163</v>
      </c>
      <c r="D3406" s="11">
        <v>113</v>
      </c>
      <c r="E3406" s="11">
        <v>13</v>
      </c>
      <c r="F3406" s="11">
        <v>594</v>
      </c>
      <c r="G3406" s="11">
        <v>5000</v>
      </c>
      <c r="H3406" s="11">
        <v>1094798</v>
      </c>
      <c r="I3406" s="11" t="s">
        <v>3068</v>
      </c>
      <c r="J3406" s="11" t="s">
        <v>2398</v>
      </c>
      <c r="K3406" s="11" t="s">
        <v>16166</v>
      </c>
      <c r="L3406" s="11" t="s">
        <v>4725</v>
      </c>
      <c r="M3406" s="11" t="s">
        <v>16167</v>
      </c>
      <c r="N3406" s="11">
        <v>11158</v>
      </c>
      <c r="O3406" s="11">
        <v>7692</v>
      </c>
      <c r="P3406" s="11">
        <v>6</v>
      </c>
      <c r="Q3406" s="11" t="s">
        <v>16168</v>
      </c>
      <c r="R3406" s="14" t="s">
        <v>16169</v>
      </c>
      <c r="S3406" s="11">
        <v>73</v>
      </c>
      <c r="T3406" s="11" t="s">
        <v>39</v>
      </c>
      <c r="U3406" s="11" t="s">
        <v>58</v>
      </c>
      <c r="V3406" s="11" t="s">
        <v>586</v>
      </c>
      <c r="W3406" s="11">
        <v>7200000</v>
      </c>
      <c r="X3406" s="11">
        <v>2010</v>
      </c>
      <c r="Y3406" s="11">
        <v>629</v>
      </c>
      <c r="Z3406" s="11">
        <v>7.2</v>
      </c>
      <c r="AA3406" s="11">
        <v>2.35</v>
      </c>
      <c r="AB3406" s="11">
        <v>0</v>
      </c>
      <c r="AC3406" s="11"/>
      <c r="AD3406" s="11" t="str">
        <f>IFERROR(__xludf.DUMMYFUNCTION("""COMPUTED_VALUE"""),"Shidô Nakamura")</f>
        <v>Shidô Nakamura</v>
      </c>
      <c r="AE3406" s="11"/>
    </row>
    <row r="3407" customHeight="1" spans="1:31">
      <c r="A3407" s="12" t="s">
        <v>30</v>
      </c>
      <c r="B3407" s="12" t="s">
        <v>11654</v>
      </c>
      <c r="C3407" s="12">
        <v>90</v>
      </c>
      <c r="D3407" s="12">
        <v>92</v>
      </c>
      <c r="E3407" s="12">
        <v>14</v>
      </c>
      <c r="F3407" s="12">
        <v>291</v>
      </c>
      <c r="G3407" s="12">
        <v>14000</v>
      </c>
      <c r="H3407" s="12">
        <v>1071240</v>
      </c>
      <c r="I3407" s="12" t="s">
        <v>1544</v>
      </c>
      <c r="J3407" s="12" t="s">
        <v>439</v>
      </c>
      <c r="K3407" s="12" t="s">
        <v>393</v>
      </c>
      <c r="L3407" s="12" t="s">
        <v>16170</v>
      </c>
      <c r="M3407" s="12" t="s">
        <v>16171</v>
      </c>
      <c r="N3407" s="12">
        <v>3571</v>
      </c>
      <c r="O3407" s="12">
        <v>15848</v>
      </c>
      <c r="P3407" s="12">
        <v>2</v>
      </c>
      <c r="Q3407" s="12" t="s">
        <v>16172</v>
      </c>
      <c r="R3407" s="15" t="s">
        <v>16173</v>
      </c>
      <c r="S3407" s="12">
        <v>34</v>
      </c>
      <c r="T3407" s="12" t="s">
        <v>39</v>
      </c>
      <c r="U3407" s="12" t="s">
        <v>58</v>
      </c>
      <c r="V3407" s="12" t="s">
        <v>41</v>
      </c>
      <c r="W3407" s="12">
        <v>8000000</v>
      </c>
      <c r="X3407" s="12">
        <v>2007</v>
      </c>
      <c r="Y3407" s="12">
        <v>1000</v>
      </c>
      <c r="Z3407" s="12">
        <v>6.9</v>
      </c>
      <c r="AA3407" s="12">
        <v>2.35</v>
      </c>
      <c r="AB3407" s="12">
        <v>429</v>
      </c>
      <c r="AC3407" s="12"/>
      <c r="AD3407" s="12" t="str">
        <f>IFERROR(__xludf.DUMMYFUNCTION("""COMPUTED_VALUE"""),"David Dencik")</f>
        <v>David Dencik</v>
      </c>
      <c r="AE3407" s="12"/>
    </row>
    <row r="3408" customHeight="1" spans="1:31">
      <c r="A3408" s="11" t="s">
        <v>30</v>
      </c>
      <c r="B3408" s="11" t="s">
        <v>16174</v>
      </c>
      <c r="C3408" s="11">
        <v>23</v>
      </c>
      <c r="D3408" s="11">
        <v>106</v>
      </c>
      <c r="E3408" s="11">
        <v>23</v>
      </c>
      <c r="F3408" s="11">
        <v>200</v>
      </c>
      <c r="G3408" s="11">
        <v>1000</v>
      </c>
      <c r="H3408" s="11">
        <v>532190</v>
      </c>
      <c r="I3408" s="11" t="s">
        <v>6940</v>
      </c>
      <c r="J3408" s="11" t="s">
        <v>4474</v>
      </c>
      <c r="K3408" s="11" t="s">
        <v>16175</v>
      </c>
      <c r="L3408" s="11" t="s">
        <v>16176</v>
      </c>
      <c r="M3408" s="11" t="s">
        <v>16177</v>
      </c>
      <c r="N3408" s="11">
        <v>5673</v>
      </c>
      <c r="O3408" s="11">
        <v>1610</v>
      </c>
      <c r="P3408" s="11">
        <v>2</v>
      </c>
      <c r="Q3408" s="11" t="s">
        <v>16178</v>
      </c>
      <c r="R3408" s="14" t="s">
        <v>16179</v>
      </c>
      <c r="S3408" s="11">
        <v>37</v>
      </c>
      <c r="T3408" s="11" t="s">
        <v>39</v>
      </c>
      <c r="U3408" s="11" t="s">
        <v>40</v>
      </c>
      <c r="V3408" s="11" t="s">
        <v>41</v>
      </c>
      <c r="W3408" s="11">
        <v>8000000</v>
      </c>
      <c r="X3408" s="11">
        <v>1997</v>
      </c>
      <c r="Y3408" s="11">
        <v>273</v>
      </c>
      <c r="Z3408" s="11">
        <v>6.8</v>
      </c>
      <c r="AA3408" s="11">
        <v>1.66</v>
      </c>
      <c r="AB3408" s="11">
        <v>0</v>
      </c>
      <c r="AC3408" s="11"/>
      <c r="AD3408" s="11" t="str">
        <f>IFERROR(__xludf.DUMMYFUNCTION("""COMPUTED_VALUE"""),"Lena Endre")</f>
        <v>Lena Endre</v>
      </c>
      <c r="AE3408" s="11"/>
    </row>
    <row r="3409" customHeight="1" spans="1:31">
      <c r="A3409" s="12" t="s">
        <v>30</v>
      </c>
      <c r="B3409" s="12" t="s">
        <v>16180</v>
      </c>
      <c r="C3409" s="12">
        <v>17</v>
      </c>
      <c r="D3409" s="12">
        <v>98</v>
      </c>
      <c r="E3409" s="12">
        <v>136</v>
      </c>
      <c r="F3409" s="12">
        <v>249</v>
      </c>
      <c r="G3409" s="12">
        <v>977</v>
      </c>
      <c r="H3409" s="16"/>
      <c r="I3409" s="12" t="s">
        <v>7043</v>
      </c>
      <c r="J3409" s="12" t="s">
        <v>5621</v>
      </c>
      <c r="K3409" s="12" t="s">
        <v>16181</v>
      </c>
      <c r="L3409" s="12" t="s">
        <v>3133</v>
      </c>
      <c r="M3409" s="12" t="s">
        <v>16182</v>
      </c>
      <c r="N3409" s="12">
        <v>802</v>
      </c>
      <c r="O3409" s="12">
        <v>2413</v>
      </c>
      <c r="P3409" s="12">
        <v>0</v>
      </c>
      <c r="Q3409" s="12" t="s">
        <v>16183</v>
      </c>
      <c r="R3409" s="15" t="s">
        <v>16184</v>
      </c>
      <c r="S3409" s="12">
        <v>15</v>
      </c>
      <c r="T3409" s="12" t="s">
        <v>39</v>
      </c>
      <c r="U3409" s="12" t="s">
        <v>58</v>
      </c>
      <c r="V3409" s="12" t="s">
        <v>586</v>
      </c>
      <c r="W3409" s="12">
        <v>8000000</v>
      </c>
      <c r="X3409" s="12">
        <v>1983</v>
      </c>
      <c r="Y3409" s="12">
        <v>649</v>
      </c>
      <c r="Z3409" s="12">
        <v>4</v>
      </c>
      <c r="AA3409" s="12">
        <v>1.85</v>
      </c>
      <c r="AB3409" s="12">
        <v>79</v>
      </c>
      <c r="AC3409" s="12"/>
      <c r="AD3409" s="12" t="str">
        <f>IFERROR(__xludf.DUMMYFUNCTION("""COMPUTED_VALUE"""),"Justin Chon")</f>
        <v>Justin Chon</v>
      </c>
      <c r="AE3409" s="12"/>
    </row>
    <row r="3410" customHeight="1" spans="1:31">
      <c r="A3410" s="11" t="s">
        <v>30</v>
      </c>
      <c r="B3410" s="11" t="s">
        <v>16185</v>
      </c>
      <c r="C3410" s="11">
        <v>118</v>
      </c>
      <c r="D3410" s="11">
        <v>75</v>
      </c>
      <c r="E3410" s="11">
        <v>45</v>
      </c>
      <c r="F3410" s="11">
        <v>4</v>
      </c>
      <c r="G3410" s="11">
        <v>61</v>
      </c>
      <c r="H3410" s="11">
        <v>686383</v>
      </c>
      <c r="I3410" s="11" t="s">
        <v>628</v>
      </c>
      <c r="J3410" s="11" t="s">
        <v>16186</v>
      </c>
      <c r="K3410" s="11" t="s">
        <v>16187</v>
      </c>
      <c r="L3410" s="11" t="s">
        <v>16188</v>
      </c>
      <c r="M3410" s="11" t="s">
        <v>16189</v>
      </c>
      <c r="N3410" s="11">
        <v>22811</v>
      </c>
      <c r="O3410" s="11">
        <v>75</v>
      </c>
      <c r="P3410" s="11">
        <v>0</v>
      </c>
      <c r="Q3410" s="11" t="s">
        <v>16190</v>
      </c>
      <c r="R3410" s="14" t="s">
        <v>16191</v>
      </c>
      <c r="S3410" s="11">
        <v>71</v>
      </c>
      <c r="T3410" s="11" t="s">
        <v>39</v>
      </c>
      <c r="U3410" s="11" t="s">
        <v>1466</v>
      </c>
      <c r="V3410" s="11" t="s">
        <v>4831</v>
      </c>
      <c r="W3410" s="11">
        <v>6500000</v>
      </c>
      <c r="X3410" s="11">
        <v>2009</v>
      </c>
      <c r="Y3410" s="11">
        <v>5</v>
      </c>
      <c r="Z3410" s="11">
        <v>7.7</v>
      </c>
      <c r="AA3410" s="11">
        <v>1.85</v>
      </c>
      <c r="AB3410" s="11">
        <v>11000</v>
      </c>
      <c r="AC3410" s="11"/>
      <c r="AD3410" s="11" t="str">
        <f>IFERROR(__xludf.DUMMYFUNCTION("""COMPUTED_VALUE"""),"Josie Loren")</f>
        <v>Josie Loren</v>
      </c>
      <c r="AE3410" s="11"/>
    </row>
    <row r="3411" customHeight="1" spans="1:31">
      <c r="A3411" s="12" t="s">
        <v>30</v>
      </c>
      <c r="B3411" s="12" t="s">
        <v>16192</v>
      </c>
      <c r="C3411" s="12">
        <v>283</v>
      </c>
      <c r="D3411" s="12">
        <v>104</v>
      </c>
      <c r="E3411" s="12">
        <v>109</v>
      </c>
      <c r="F3411" s="12">
        <v>7</v>
      </c>
      <c r="G3411" s="12">
        <v>480</v>
      </c>
      <c r="H3411" s="12">
        <v>16168741</v>
      </c>
      <c r="I3411" s="12" t="s">
        <v>6200</v>
      </c>
      <c r="J3411" s="12" t="s">
        <v>1550</v>
      </c>
      <c r="K3411" s="12" t="s">
        <v>16193</v>
      </c>
      <c r="L3411" s="12" t="s">
        <v>16194</v>
      </c>
      <c r="M3411" s="12" t="s">
        <v>16195</v>
      </c>
      <c r="N3411" s="12">
        <v>99430</v>
      </c>
      <c r="O3411" s="12">
        <v>517</v>
      </c>
      <c r="P3411" s="12">
        <v>1</v>
      </c>
      <c r="Q3411" s="12" t="s">
        <v>16196</v>
      </c>
      <c r="R3411" s="15" t="s">
        <v>16197</v>
      </c>
      <c r="S3411" s="12">
        <v>182</v>
      </c>
      <c r="T3411" s="12" t="s">
        <v>39</v>
      </c>
      <c r="U3411" s="12" t="s">
        <v>40</v>
      </c>
      <c r="V3411" s="12" t="s">
        <v>586</v>
      </c>
      <c r="W3411" s="12">
        <v>8000000</v>
      </c>
      <c r="X3411" s="12">
        <v>2013</v>
      </c>
      <c r="Y3411" s="12">
        <v>12</v>
      </c>
      <c r="Z3411" s="12">
        <v>7.4</v>
      </c>
      <c r="AA3411" s="12">
        <v>1.85</v>
      </c>
      <c r="AB3411" s="12">
        <v>43000</v>
      </c>
      <c r="AC3411" s="12"/>
      <c r="AD3411" s="12" t="str">
        <f>IFERROR(__xludf.DUMMYFUNCTION("""COMPUTED_VALUE"""),"Sarah Wright")</f>
        <v>Sarah Wright</v>
      </c>
      <c r="AE3411" s="12"/>
    </row>
    <row r="3412" customHeight="1" spans="1:31">
      <c r="A3412" s="11" t="s">
        <v>30</v>
      </c>
      <c r="B3412" s="11" t="s">
        <v>16198</v>
      </c>
      <c r="C3412" s="11">
        <v>74</v>
      </c>
      <c r="D3412" s="11">
        <v>108</v>
      </c>
      <c r="E3412" s="11">
        <v>12</v>
      </c>
      <c r="F3412" s="11">
        <v>710</v>
      </c>
      <c r="G3412" s="11">
        <v>2000</v>
      </c>
      <c r="H3412" s="11">
        <v>568695</v>
      </c>
      <c r="I3412" s="11" t="s">
        <v>8921</v>
      </c>
      <c r="J3412" s="11" t="s">
        <v>2378</v>
      </c>
      <c r="K3412" s="11" t="s">
        <v>10437</v>
      </c>
      <c r="L3412" s="11" t="s">
        <v>3287</v>
      </c>
      <c r="M3412" s="11" t="s">
        <v>16199</v>
      </c>
      <c r="N3412" s="11">
        <v>16617</v>
      </c>
      <c r="O3412" s="11">
        <v>3921</v>
      </c>
      <c r="P3412" s="11">
        <v>2</v>
      </c>
      <c r="Q3412" s="11" t="s">
        <v>16200</v>
      </c>
      <c r="R3412" s="14" t="s">
        <v>16201</v>
      </c>
      <c r="S3412" s="11">
        <v>110</v>
      </c>
      <c r="T3412" s="11" t="s">
        <v>39</v>
      </c>
      <c r="U3412" s="11" t="s">
        <v>40</v>
      </c>
      <c r="V3412" s="11" t="s">
        <v>586</v>
      </c>
      <c r="W3412" s="11">
        <v>8000000</v>
      </c>
      <c r="X3412" s="11">
        <v>2005</v>
      </c>
      <c r="Y3412" s="11">
        <v>844</v>
      </c>
      <c r="Z3412" s="11">
        <v>6.5</v>
      </c>
      <c r="AA3412" s="11">
        <v>2.35</v>
      </c>
      <c r="AB3412" s="11">
        <v>412</v>
      </c>
      <c r="AC3412" s="11"/>
      <c r="AD3412" s="11" t="str">
        <f>IFERROR(__xludf.DUMMYFUNCTION("""COMPUTED_VALUE"""),"Catalina Sandino Moreno")</f>
        <v>Catalina Sandino Moreno</v>
      </c>
      <c r="AE3412" s="11"/>
    </row>
    <row r="3413" customHeight="1" spans="1:31">
      <c r="A3413" s="12" t="s">
        <v>30</v>
      </c>
      <c r="B3413" s="12" t="s">
        <v>16202</v>
      </c>
      <c r="C3413" s="12">
        <v>41</v>
      </c>
      <c r="D3413" s="12">
        <v>99</v>
      </c>
      <c r="E3413" s="12">
        <v>30</v>
      </c>
      <c r="F3413" s="12">
        <v>209</v>
      </c>
      <c r="G3413" s="12">
        <v>480</v>
      </c>
      <c r="H3413" s="12">
        <v>398420</v>
      </c>
      <c r="I3413" s="12" t="s">
        <v>1936</v>
      </c>
      <c r="J3413" s="12" t="s">
        <v>6277</v>
      </c>
      <c r="K3413" s="12" t="s">
        <v>16203</v>
      </c>
      <c r="L3413" s="12" t="s">
        <v>16204</v>
      </c>
      <c r="M3413" s="12" t="s">
        <v>16205</v>
      </c>
      <c r="N3413" s="12">
        <v>5049</v>
      </c>
      <c r="O3413" s="12">
        <v>1234</v>
      </c>
      <c r="P3413" s="12">
        <v>3</v>
      </c>
      <c r="Q3413" s="12" t="s">
        <v>16206</v>
      </c>
      <c r="R3413" s="15" t="s">
        <v>16207</v>
      </c>
      <c r="S3413" s="12">
        <v>48</v>
      </c>
      <c r="T3413" s="12" t="s">
        <v>39</v>
      </c>
      <c r="U3413" s="12" t="s">
        <v>40</v>
      </c>
      <c r="V3413" s="12" t="s">
        <v>586</v>
      </c>
      <c r="W3413" s="12">
        <v>8000000</v>
      </c>
      <c r="X3413" s="12">
        <v>2007</v>
      </c>
      <c r="Y3413" s="12">
        <v>257</v>
      </c>
      <c r="Z3413" s="12">
        <v>6.4</v>
      </c>
      <c r="AA3413" s="12">
        <v>2.35</v>
      </c>
      <c r="AB3413" s="12">
        <v>226</v>
      </c>
      <c r="AC3413" s="12"/>
      <c r="AD3413" s="12" t="str">
        <f>IFERROR(__xludf.DUMMYFUNCTION("""COMPUTED_VALUE"""),"Kathryn Morris")</f>
        <v>Kathryn Morris</v>
      </c>
      <c r="AE3413" s="12"/>
    </row>
    <row r="3414" customHeight="1" spans="1:31">
      <c r="A3414" s="11" t="s">
        <v>30</v>
      </c>
      <c r="B3414" s="11" t="s">
        <v>16208</v>
      </c>
      <c r="C3414" s="11">
        <v>17</v>
      </c>
      <c r="D3414" s="11">
        <v>180</v>
      </c>
      <c r="E3414" s="11">
        <v>0</v>
      </c>
      <c r="F3414" s="11">
        <v>844</v>
      </c>
      <c r="G3414" s="11">
        <v>3000</v>
      </c>
      <c r="H3414" s="13"/>
      <c r="I3414" s="11" t="s">
        <v>214</v>
      </c>
      <c r="J3414" s="11" t="s">
        <v>1816</v>
      </c>
      <c r="K3414" s="11" t="s">
        <v>594</v>
      </c>
      <c r="L3414" s="11" t="s">
        <v>3518</v>
      </c>
      <c r="M3414" s="11" t="s">
        <v>16209</v>
      </c>
      <c r="N3414" s="11">
        <v>2098</v>
      </c>
      <c r="O3414" s="11">
        <v>6343</v>
      </c>
      <c r="P3414" s="11">
        <v>2</v>
      </c>
      <c r="Q3414" s="11" t="s">
        <v>16210</v>
      </c>
      <c r="R3414" s="14" t="s">
        <v>16211</v>
      </c>
      <c r="S3414" s="11">
        <v>12</v>
      </c>
      <c r="T3414" s="11" t="s">
        <v>39</v>
      </c>
      <c r="U3414" s="11" t="s">
        <v>58</v>
      </c>
      <c r="V3414" s="13"/>
      <c r="W3414" s="13"/>
      <c r="X3414" s="11">
        <v>2012</v>
      </c>
      <c r="Y3414" s="11">
        <v>2000</v>
      </c>
      <c r="Z3414" s="11">
        <v>7.2</v>
      </c>
      <c r="AA3414" s="11">
        <v>16</v>
      </c>
      <c r="AB3414" s="11">
        <v>434</v>
      </c>
      <c r="AC3414" s="11"/>
      <c r="AD3414" s="11" t="str">
        <f>IFERROR(__xludf.DUMMYFUNCTION("""COMPUTED_VALUE"""),"Sarita Choudhury")</f>
        <v>Sarita Choudhury</v>
      </c>
      <c r="AE3414" s="11"/>
    </row>
    <row r="3415" customHeight="1" spans="1:31">
      <c r="A3415" s="12" t="s">
        <v>30</v>
      </c>
      <c r="B3415" s="12" t="s">
        <v>16212</v>
      </c>
      <c r="C3415" s="12">
        <v>66</v>
      </c>
      <c r="D3415" s="12">
        <v>109</v>
      </c>
      <c r="E3415" s="12">
        <v>200</v>
      </c>
      <c r="F3415" s="12">
        <v>1000</v>
      </c>
      <c r="G3415" s="12">
        <v>21000</v>
      </c>
      <c r="H3415" s="12">
        <v>336456</v>
      </c>
      <c r="I3415" s="12" t="s">
        <v>16213</v>
      </c>
      <c r="J3415" s="12" t="s">
        <v>99</v>
      </c>
      <c r="K3415" s="12" t="s">
        <v>438</v>
      </c>
      <c r="L3415" s="12" t="s">
        <v>1232</v>
      </c>
      <c r="M3415" s="12" t="s">
        <v>16214</v>
      </c>
      <c r="N3415" s="12">
        <v>7116</v>
      </c>
      <c r="O3415" s="12">
        <v>41645</v>
      </c>
      <c r="P3415" s="12">
        <v>2</v>
      </c>
      <c r="Q3415" s="12" t="s">
        <v>16215</v>
      </c>
      <c r="R3415" s="15" t="s">
        <v>16216</v>
      </c>
      <c r="S3415" s="12">
        <v>79</v>
      </c>
      <c r="T3415" s="12" t="s">
        <v>39</v>
      </c>
      <c r="U3415" s="12" t="s">
        <v>40</v>
      </c>
      <c r="V3415" s="12" t="s">
        <v>586</v>
      </c>
      <c r="W3415" s="12">
        <v>8000000</v>
      </c>
      <c r="X3415" s="12">
        <v>2003</v>
      </c>
      <c r="Y3415" s="12">
        <v>18000</v>
      </c>
      <c r="Z3415" s="12">
        <v>5.6</v>
      </c>
      <c r="AA3415" s="12">
        <v>1.85</v>
      </c>
      <c r="AB3415" s="12">
        <v>494</v>
      </c>
      <c r="AC3415" s="12"/>
      <c r="AD3415" s="12" t="str">
        <f>IFERROR(__xludf.DUMMYFUNCTION("""COMPUTED_VALUE"""),"Daniel Auteuil")</f>
        <v>Daniel Auteuil</v>
      </c>
      <c r="AE3415" s="12"/>
    </row>
    <row r="3416" customHeight="1" spans="1:31">
      <c r="A3416" s="11" t="s">
        <v>30</v>
      </c>
      <c r="B3416" s="11" t="s">
        <v>7084</v>
      </c>
      <c r="C3416" s="11">
        <v>36</v>
      </c>
      <c r="D3416" s="11">
        <v>111</v>
      </c>
      <c r="E3416" s="11">
        <v>2</v>
      </c>
      <c r="F3416" s="11">
        <v>227</v>
      </c>
      <c r="G3416" s="11">
        <v>735</v>
      </c>
      <c r="H3416" s="11">
        <v>146083</v>
      </c>
      <c r="I3416" s="11" t="s">
        <v>5605</v>
      </c>
      <c r="J3416" s="11" t="s">
        <v>1876</v>
      </c>
      <c r="K3416" s="11" t="s">
        <v>2243</v>
      </c>
      <c r="L3416" s="11" t="s">
        <v>7382</v>
      </c>
      <c r="M3416" s="11" t="s">
        <v>16217</v>
      </c>
      <c r="N3416" s="11">
        <v>1591</v>
      </c>
      <c r="O3416" s="11">
        <v>1378</v>
      </c>
      <c r="P3416" s="11">
        <v>3</v>
      </c>
      <c r="Q3416" s="11" t="s">
        <v>16218</v>
      </c>
      <c r="R3416" s="14" t="s">
        <v>16219</v>
      </c>
      <c r="S3416" s="11">
        <v>27</v>
      </c>
      <c r="T3416" s="11" t="s">
        <v>39</v>
      </c>
      <c r="U3416" s="11" t="s">
        <v>58</v>
      </c>
      <c r="V3416" s="11" t="s">
        <v>586</v>
      </c>
      <c r="W3416" s="13"/>
      <c r="X3416" s="11">
        <v>1998</v>
      </c>
      <c r="Y3416" s="11">
        <v>306</v>
      </c>
      <c r="Z3416" s="11">
        <v>6.3</v>
      </c>
      <c r="AA3416" s="11">
        <v>2.35</v>
      </c>
      <c r="AB3416" s="11">
        <v>75</v>
      </c>
      <c r="AC3416" s="11"/>
      <c r="AD3416" s="11" t="str">
        <f>IFERROR(__xludf.DUMMYFUNCTION("""COMPUTED_VALUE"""),"Yves Jacques")</f>
        <v>Yves Jacques</v>
      </c>
      <c r="AE3416" s="11"/>
    </row>
    <row r="3417" customHeight="1" spans="1:31">
      <c r="A3417" s="12" t="s">
        <v>748</v>
      </c>
      <c r="B3417" s="12" t="s">
        <v>16220</v>
      </c>
      <c r="C3417" s="12">
        <v>140</v>
      </c>
      <c r="D3417" s="12">
        <v>93</v>
      </c>
      <c r="E3417" s="12">
        <v>8</v>
      </c>
      <c r="F3417" s="12">
        <v>33</v>
      </c>
      <c r="G3417" s="12">
        <v>553</v>
      </c>
      <c r="H3417" s="12">
        <v>298110</v>
      </c>
      <c r="I3417" s="12" t="s">
        <v>14310</v>
      </c>
      <c r="J3417" s="12" t="s">
        <v>16221</v>
      </c>
      <c r="K3417" s="12" t="s">
        <v>2678</v>
      </c>
      <c r="L3417" s="12" t="s">
        <v>16222</v>
      </c>
      <c r="M3417" s="12" t="s">
        <v>16223</v>
      </c>
      <c r="N3417" s="12">
        <v>25055</v>
      </c>
      <c r="O3417" s="12">
        <v>786</v>
      </c>
      <c r="P3417" s="12">
        <v>1</v>
      </c>
      <c r="Q3417" s="12" t="s">
        <v>16224</v>
      </c>
      <c r="R3417" s="15" t="s">
        <v>16225</v>
      </c>
      <c r="S3417" s="12">
        <v>98</v>
      </c>
      <c r="T3417" s="12" t="s">
        <v>39</v>
      </c>
      <c r="U3417" s="12" t="s">
        <v>269</v>
      </c>
      <c r="V3417" s="12" t="s">
        <v>586</v>
      </c>
      <c r="W3417" s="12">
        <v>8000000</v>
      </c>
      <c r="X3417" s="12">
        <v>2006</v>
      </c>
      <c r="Y3417" s="12">
        <v>177</v>
      </c>
      <c r="Z3417" s="12">
        <v>6.8</v>
      </c>
      <c r="AA3417" s="12">
        <v>2.35</v>
      </c>
      <c r="AB3417" s="12">
        <v>0</v>
      </c>
      <c r="AC3417" s="12"/>
      <c r="AD3417" s="12" t="str">
        <f>IFERROR(__xludf.DUMMYFUNCTION("""COMPUTED_VALUE"""),"Meghan Heffern")</f>
        <v>Meghan Heffern</v>
      </c>
      <c r="AE3417" s="12"/>
    </row>
    <row r="3418" customHeight="1" spans="1:31">
      <c r="A3418" s="11" t="s">
        <v>30</v>
      </c>
      <c r="B3418" s="11" t="s">
        <v>5478</v>
      </c>
      <c r="C3418" s="11">
        <v>32</v>
      </c>
      <c r="D3418" s="11">
        <v>99</v>
      </c>
      <c r="E3418" s="11">
        <v>387</v>
      </c>
      <c r="F3418" s="11">
        <v>399</v>
      </c>
      <c r="G3418" s="11">
        <v>8000</v>
      </c>
      <c r="H3418" s="11">
        <v>127144</v>
      </c>
      <c r="I3418" s="11" t="s">
        <v>1415</v>
      </c>
      <c r="J3418" s="11" t="s">
        <v>1249</v>
      </c>
      <c r="K3418" s="11" t="s">
        <v>9578</v>
      </c>
      <c r="L3418" s="11" t="s">
        <v>5516</v>
      </c>
      <c r="M3418" s="11" t="s">
        <v>16226</v>
      </c>
      <c r="N3418" s="11">
        <v>5159</v>
      </c>
      <c r="O3418" s="11">
        <v>9608</v>
      </c>
      <c r="P3418" s="11">
        <v>4</v>
      </c>
      <c r="Q3418" s="11" t="s">
        <v>16227</v>
      </c>
      <c r="R3418" s="14" t="s">
        <v>16228</v>
      </c>
      <c r="S3418" s="11">
        <v>27</v>
      </c>
      <c r="T3418" s="11" t="s">
        <v>39</v>
      </c>
      <c r="U3418" s="11" t="s">
        <v>40</v>
      </c>
      <c r="V3418" s="11" t="s">
        <v>41</v>
      </c>
      <c r="W3418" s="11">
        <v>8000000</v>
      </c>
      <c r="X3418" s="11">
        <v>2005</v>
      </c>
      <c r="Y3418" s="11">
        <v>489</v>
      </c>
      <c r="Z3418" s="11">
        <v>5.5</v>
      </c>
      <c r="AA3418" s="11">
        <v>2.35</v>
      </c>
      <c r="AB3418" s="11">
        <v>143</v>
      </c>
      <c r="AC3418" s="11"/>
      <c r="AD3418" s="11" t="str">
        <f>IFERROR(__xludf.DUMMYFUNCTION("""COMPUTED_VALUE"""),"Natalie Lisinska")</f>
        <v>Natalie Lisinska</v>
      </c>
      <c r="AE3418" s="11"/>
    </row>
    <row r="3419" customHeight="1" spans="1:31">
      <c r="A3419" s="12" t="s">
        <v>30</v>
      </c>
      <c r="B3419" s="12" t="s">
        <v>6964</v>
      </c>
      <c r="C3419" s="12">
        <v>68</v>
      </c>
      <c r="D3419" s="12">
        <v>98</v>
      </c>
      <c r="E3419" s="12">
        <v>36</v>
      </c>
      <c r="F3419" s="12">
        <v>405</v>
      </c>
      <c r="G3419" s="12">
        <v>10000</v>
      </c>
      <c r="H3419" s="12">
        <v>117190</v>
      </c>
      <c r="I3419" s="12" t="s">
        <v>1753</v>
      </c>
      <c r="J3419" s="12" t="s">
        <v>108</v>
      </c>
      <c r="K3419" s="12" t="s">
        <v>725</v>
      </c>
      <c r="L3419" s="12" t="s">
        <v>14677</v>
      </c>
      <c r="M3419" s="12" t="s">
        <v>16229</v>
      </c>
      <c r="N3419" s="12">
        <v>29994</v>
      </c>
      <c r="O3419" s="12">
        <v>11770</v>
      </c>
      <c r="P3419" s="12">
        <v>4</v>
      </c>
      <c r="Q3419" s="12" t="s">
        <v>16230</v>
      </c>
      <c r="R3419" s="15" t="s">
        <v>16231</v>
      </c>
      <c r="S3419" s="12">
        <v>86</v>
      </c>
      <c r="T3419" s="12" t="s">
        <v>39</v>
      </c>
      <c r="U3419" s="12" t="s">
        <v>58</v>
      </c>
      <c r="V3419" s="12" t="s">
        <v>41</v>
      </c>
      <c r="W3419" s="12">
        <v>8000000</v>
      </c>
      <c r="X3419" s="12">
        <v>2010</v>
      </c>
      <c r="Y3419" s="12">
        <v>692</v>
      </c>
      <c r="Z3419" s="12">
        <v>6.9</v>
      </c>
      <c r="AA3419" s="12">
        <v>2.35</v>
      </c>
      <c r="AB3419" s="12">
        <v>0</v>
      </c>
      <c r="AC3419" s="12"/>
      <c r="AD3419" s="12" t="str">
        <f>IFERROR(__xludf.DUMMYFUNCTION("""COMPUTED_VALUE"""),"Paul Mazursky")</f>
        <v>Paul Mazursky</v>
      </c>
      <c r="AE3419" s="12"/>
    </row>
    <row r="3420" customHeight="1" spans="1:31">
      <c r="A3420" s="11" t="s">
        <v>30</v>
      </c>
      <c r="B3420" s="11" t="s">
        <v>16232</v>
      </c>
      <c r="C3420" s="11">
        <v>79</v>
      </c>
      <c r="D3420" s="11">
        <v>95</v>
      </c>
      <c r="E3420" s="11">
        <v>3</v>
      </c>
      <c r="F3420" s="11">
        <v>448</v>
      </c>
      <c r="G3420" s="11">
        <v>905</v>
      </c>
      <c r="H3420" s="11">
        <v>108662</v>
      </c>
      <c r="I3420" s="11" t="s">
        <v>6790</v>
      </c>
      <c r="J3420" s="11" t="s">
        <v>5907</v>
      </c>
      <c r="K3420" s="11" t="s">
        <v>16233</v>
      </c>
      <c r="L3420" s="11" t="s">
        <v>14950</v>
      </c>
      <c r="M3420" s="11" t="s">
        <v>16234</v>
      </c>
      <c r="N3420" s="11">
        <v>26849</v>
      </c>
      <c r="O3420" s="11">
        <v>3185</v>
      </c>
      <c r="P3420" s="11">
        <v>0</v>
      </c>
      <c r="Q3420" s="11" t="s">
        <v>16235</v>
      </c>
      <c r="R3420" s="14" t="s">
        <v>16236</v>
      </c>
      <c r="S3420" s="11">
        <v>107</v>
      </c>
      <c r="T3420" s="11" t="s">
        <v>39</v>
      </c>
      <c r="U3420" s="11" t="s">
        <v>40</v>
      </c>
      <c r="V3420" s="11" t="s">
        <v>586</v>
      </c>
      <c r="W3420" s="11">
        <v>8000000</v>
      </c>
      <c r="X3420" s="11">
        <v>2008</v>
      </c>
      <c r="Y3420" s="11">
        <v>513</v>
      </c>
      <c r="Z3420" s="11">
        <v>6</v>
      </c>
      <c r="AA3420" s="11">
        <v>2.35</v>
      </c>
      <c r="AB3420" s="11">
        <v>3000</v>
      </c>
      <c r="AC3420" s="11"/>
      <c r="AD3420" s="11" t="str">
        <f>IFERROR(__xludf.DUMMYFUNCTION("""COMPUTED_VALUE"""),"Ezra Miller")</f>
        <v>Ezra Miller</v>
      </c>
      <c r="AE3420" s="11"/>
    </row>
    <row r="3421" customHeight="1" spans="1:31">
      <c r="A3421" s="12" t="s">
        <v>30</v>
      </c>
      <c r="B3421" s="16"/>
      <c r="C3421" s="12">
        <v>9</v>
      </c>
      <c r="D3421" s="12">
        <v>142</v>
      </c>
      <c r="E3421" s="16"/>
      <c r="F3421" s="12">
        <v>427</v>
      </c>
      <c r="G3421" s="12">
        <v>27000</v>
      </c>
      <c r="H3421" s="16"/>
      <c r="I3421" s="12" t="s">
        <v>214</v>
      </c>
      <c r="J3421" s="12" t="s">
        <v>61</v>
      </c>
      <c r="K3421" s="12" t="s">
        <v>3690</v>
      </c>
      <c r="L3421" s="12" t="s">
        <v>3604</v>
      </c>
      <c r="M3421" s="12" t="s">
        <v>16237</v>
      </c>
      <c r="N3421" s="12">
        <v>6053</v>
      </c>
      <c r="O3421" s="12">
        <v>29196</v>
      </c>
      <c r="P3421" s="12">
        <v>2</v>
      </c>
      <c r="Q3421" s="12" t="s">
        <v>16238</v>
      </c>
      <c r="R3421" s="15" t="s">
        <v>16239</v>
      </c>
      <c r="S3421" s="12">
        <v>33</v>
      </c>
      <c r="T3421" s="12" t="s">
        <v>39</v>
      </c>
      <c r="U3421" s="12" t="s">
        <v>58</v>
      </c>
      <c r="V3421" s="16"/>
      <c r="W3421" s="16"/>
      <c r="X3421" s="16"/>
      <c r="Y3421" s="12">
        <v>698</v>
      </c>
      <c r="Z3421" s="12">
        <v>7.7</v>
      </c>
      <c r="AA3421" s="16"/>
      <c r="AB3421" s="12">
        <v>0</v>
      </c>
      <c r="AC3421" s="12"/>
      <c r="AD3421" s="12" t="str">
        <f>IFERROR(__xludf.DUMMYFUNCTION("""COMPUTED_VALUE"""),"Ian Gomez")</f>
        <v>Ian Gomez</v>
      </c>
      <c r="AE3421" s="12"/>
    </row>
    <row r="3422" customHeight="1" spans="1:31">
      <c r="A3422" s="11" t="s">
        <v>30</v>
      </c>
      <c r="B3422" s="11" t="s">
        <v>16240</v>
      </c>
      <c r="C3422" s="11">
        <v>26</v>
      </c>
      <c r="D3422" s="11">
        <v>107</v>
      </c>
      <c r="E3422" s="11">
        <v>53</v>
      </c>
      <c r="F3422" s="11">
        <v>463</v>
      </c>
      <c r="G3422" s="11">
        <v>954</v>
      </c>
      <c r="H3422" s="11">
        <v>53481</v>
      </c>
      <c r="I3422" s="11" t="s">
        <v>2126</v>
      </c>
      <c r="J3422" s="11" t="s">
        <v>795</v>
      </c>
      <c r="K3422" s="11" t="s">
        <v>5728</v>
      </c>
      <c r="L3422" s="11" t="s">
        <v>4947</v>
      </c>
      <c r="M3422" s="11" t="s">
        <v>16241</v>
      </c>
      <c r="N3422" s="11">
        <v>5557</v>
      </c>
      <c r="O3422" s="11">
        <v>2512</v>
      </c>
      <c r="P3422" s="11">
        <v>5</v>
      </c>
      <c r="Q3422" s="11" t="s">
        <v>16242</v>
      </c>
      <c r="R3422" s="14" t="s">
        <v>16243</v>
      </c>
      <c r="S3422" s="11">
        <v>34</v>
      </c>
      <c r="T3422" s="11" t="s">
        <v>39</v>
      </c>
      <c r="U3422" s="11" t="s">
        <v>40</v>
      </c>
      <c r="V3422" s="11" t="s">
        <v>586</v>
      </c>
      <c r="W3422" s="11">
        <v>8000000</v>
      </c>
      <c r="X3422" s="11">
        <v>2006</v>
      </c>
      <c r="Y3422" s="11">
        <v>551</v>
      </c>
      <c r="Z3422" s="11">
        <v>6.4</v>
      </c>
      <c r="AA3422" s="11">
        <v>2.35</v>
      </c>
      <c r="AB3422" s="11">
        <v>294</v>
      </c>
      <c r="AC3422" s="11"/>
      <c r="AD3422" s="11" t="str">
        <f>IFERROR(__xludf.DUMMYFUNCTION("""COMPUTED_VALUE"""),"Thomas Ian Griffith")</f>
        <v>Thomas Ian Griffith</v>
      </c>
      <c r="AE3422" s="11"/>
    </row>
    <row r="3423" customHeight="1" spans="1:31">
      <c r="A3423" s="12" t="s">
        <v>30</v>
      </c>
      <c r="B3423" s="12" t="s">
        <v>16244</v>
      </c>
      <c r="C3423" s="12">
        <v>100</v>
      </c>
      <c r="D3423" s="12">
        <v>102</v>
      </c>
      <c r="E3423" s="12">
        <v>346</v>
      </c>
      <c r="F3423" s="12">
        <v>488</v>
      </c>
      <c r="G3423" s="12">
        <v>947</v>
      </c>
      <c r="H3423" s="12">
        <v>23106</v>
      </c>
      <c r="I3423" s="12" t="s">
        <v>3124</v>
      </c>
      <c r="J3423" s="12" t="s">
        <v>2299</v>
      </c>
      <c r="K3423" s="12" t="s">
        <v>16245</v>
      </c>
      <c r="L3423" s="12" t="s">
        <v>7246</v>
      </c>
      <c r="M3423" s="12" t="s">
        <v>16246</v>
      </c>
      <c r="N3423" s="12">
        <v>9003</v>
      </c>
      <c r="O3423" s="12">
        <v>2572</v>
      </c>
      <c r="P3423" s="12">
        <v>0</v>
      </c>
      <c r="Q3423" s="12" t="s">
        <v>16247</v>
      </c>
      <c r="R3423" s="15" t="s">
        <v>16248</v>
      </c>
      <c r="S3423" s="12">
        <v>58</v>
      </c>
      <c r="T3423" s="12" t="s">
        <v>39</v>
      </c>
      <c r="U3423" s="12" t="s">
        <v>7091</v>
      </c>
      <c r="V3423" s="12" t="s">
        <v>5614</v>
      </c>
      <c r="W3423" s="12">
        <v>50000000</v>
      </c>
      <c r="X3423" s="12">
        <v>2004</v>
      </c>
      <c r="Y3423" s="12">
        <v>526</v>
      </c>
      <c r="Z3423" s="12">
        <v>6.6</v>
      </c>
      <c r="AA3423" s="12">
        <v>1.66</v>
      </c>
      <c r="AB3423" s="12">
        <v>532</v>
      </c>
      <c r="AC3423" s="12"/>
      <c r="AD3423" s="12" t="str">
        <f>IFERROR(__xludf.DUMMYFUNCTION("""COMPUTED_VALUE"""),"John Boyega")</f>
        <v>John Boyega</v>
      </c>
      <c r="AE3423" s="12"/>
    </row>
    <row r="3424" customHeight="1" spans="1:31">
      <c r="A3424" s="11" t="s">
        <v>30</v>
      </c>
      <c r="B3424" s="11" t="s">
        <v>16249</v>
      </c>
      <c r="C3424" s="11">
        <v>56</v>
      </c>
      <c r="D3424" s="11">
        <v>97</v>
      </c>
      <c r="E3424" s="11">
        <v>43</v>
      </c>
      <c r="F3424" s="11">
        <v>47</v>
      </c>
      <c r="G3424" s="11">
        <v>144</v>
      </c>
      <c r="H3424" s="11">
        <v>52961</v>
      </c>
      <c r="I3424" s="11" t="s">
        <v>3410</v>
      </c>
      <c r="J3424" s="11" t="s">
        <v>16250</v>
      </c>
      <c r="K3424" s="11" t="s">
        <v>16251</v>
      </c>
      <c r="L3424" s="11" t="s">
        <v>16252</v>
      </c>
      <c r="M3424" s="11" t="s">
        <v>16253</v>
      </c>
      <c r="N3424" s="11">
        <v>2103</v>
      </c>
      <c r="O3424" s="11">
        <v>326</v>
      </c>
      <c r="P3424" s="11">
        <v>1</v>
      </c>
      <c r="Q3424" s="13"/>
      <c r="R3424" s="14" t="s">
        <v>16254</v>
      </c>
      <c r="S3424" s="11">
        <v>11</v>
      </c>
      <c r="T3424" s="11" t="s">
        <v>39</v>
      </c>
      <c r="U3424" s="11" t="s">
        <v>3572</v>
      </c>
      <c r="V3424" s="11" t="s">
        <v>586</v>
      </c>
      <c r="W3424" s="11">
        <v>8000000</v>
      </c>
      <c r="X3424" s="11">
        <v>2014</v>
      </c>
      <c r="Y3424" s="11">
        <v>63</v>
      </c>
      <c r="Z3424" s="11">
        <v>5.3</v>
      </c>
      <c r="AA3424" s="11">
        <v>2.35</v>
      </c>
      <c r="AB3424" s="11">
        <v>675</v>
      </c>
      <c r="AC3424" s="11"/>
      <c r="AD3424" s="11" t="str">
        <f>IFERROR(__xludf.DUMMYFUNCTION("""COMPUTED_VALUE"""),"Luke Treadaway")</f>
        <v>Luke Treadaway</v>
      </c>
      <c r="AE3424" s="11"/>
    </row>
    <row r="3425" customHeight="1" spans="1:31">
      <c r="A3425" s="12" t="s">
        <v>30</v>
      </c>
      <c r="B3425" s="12" t="s">
        <v>11442</v>
      </c>
      <c r="C3425" s="12">
        <v>150</v>
      </c>
      <c r="D3425" s="12">
        <v>124</v>
      </c>
      <c r="E3425" s="12">
        <v>78</v>
      </c>
      <c r="F3425" s="12">
        <v>4</v>
      </c>
      <c r="G3425" s="12">
        <v>6</v>
      </c>
      <c r="H3425" s="12">
        <v>439162</v>
      </c>
      <c r="I3425" s="12" t="s">
        <v>16255</v>
      </c>
      <c r="J3425" s="12" t="s">
        <v>16256</v>
      </c>
      <c r="K3425" s="12" t="s">
        <v>16257</v>
      </c>
      <c r="L3425" s="12" t="s">
        <v>16258</v>
      </c>
      <c r="M3425" s="12" t="s">
        <v>16259</v>
      </c>
      <c r="N3425" s="12">
        <v>106160</v>
      </c>
      <c r="O3425" s="12">
        <v>28</v>
      </c>
      <c r="P3425" s="12">
        <v>0</v>
      </c>
      <c r="Q3425" s="12" t="s">
        <v>16260</v>
      </c>
      <c r="R3425" s="15" t="s">
        <v>16261</v>
      </c>
      <c r="S3425" s="12">
        <v>430</v>
      </c>
      <c r="T3425" s="12" t="s">
        <v>677</v>
      </c>
      <c r="U3425" s="12" t="s">
        <v>678</v>
      </c>
      <c r="V3425" s="12" t="s">
        <v>586</v>
      </c>
      <c r="W3425" s="12">
        <v>1100000000</v>
      </c>
      <c r="X3425" s="12">
        <v>1988</v>
      </c>
      <c r="Y3425" s="12">
        <v>5</v>
      </c>
      <c r="Z3425" s="12">
        <v>8.1</v>
      </c>
      <c r="AA3425" s="12">
        <v>1.85</v>
      </c>
      <c r="AB3425" s="12">
        <v>0</v>
      </c>
      <c r="AC3425" s="12"/>
      <c r="AD3425" s="12" t="str">
        <f>IFERROR(__xludf.DUMMYFUNCTION("""COMPUTED_VALUE"""),"Jelena Jovanova")</f>
        <v>Jelena Jovanova</v>
      </c>
      <c r="AE3425" s="12"/>
    </row>
    <row r="3426" customHeight="1" spans="1:31">
      <c r="A3426" s="11" t="s">
        <v>30</v>
      </c>
      <c r="B3426" s="11" t="s">
        <v>6153</v>
      </c>
      <c r="C3426" s="11">
        <v>30</v>
      </c>
      <c r="D3426" s="11">
        <v>97</v>
      </c>
      <c r="E3426" s="11">
        <v>17</v>
      </c>
      <c r="F3426" s="11">
        <v>1000</v>
      </c>
      <c r="G3426" s="11">
        <v>23000</v>
      </c>
      <c r="H3426" s="13"/>
      <c r="I3426" s="11" t="s">
        <v>334</v>
      </c>
      <c r="J3426" s="11" t="s">
        <v>336</v>
      </c>
      <c r="K3426" s="11" t="s">
        <v>302</v>
      </c>
      <c r="L3426" s="11" t="s">
        <v>688</v>
      </c>
      <c r="M3426" s="11" t="s">
        <v>16262</v>
      </c>
      <c r="N3426" s="11">
        <v>12078</v>
      </c>
      <c r="O3426" s="11">
        <v>37457</v>
      </c>
      <c r="P3426" s="11">
        <v>2</v>
      </c>
      <c r="Q3426" s="11" t="s">
        <v>16263</v>
      </c>
      <c r="R3426" s="14" t="s">
        <v>16264</v>
      </c>
      <c r="S3426" s="11">
        <v>31</v>
      </c>
      <c r="T3426" s="11" t="s">
        <v>39</v>
      </c>
      <c r="U3426" s="11" t="s">
        <v>40</v>
      </c>
      <c r="V3426" s="11" t="s">
        <v>586</v>
      </c>
      <c r="W3426" s="11">
        <v>22000000</v>
      </c>
      <c r="X3426" s="11">
        <v>2007</v>
      </c>
      <c r="Y3426" s="11">
        <v>10000</v>
      </c>
      <c r="Z3426" s="11">
        <v>5.9</v>
      </c>
      <c r="AA3426" s="11">
        <v>2.35</v>
      </c>
      <c r="AB3426" s="11">
        <v>0</v>
      </c>
      <c r="AC3426" s="11"/>
      <c r="AD3426" s="11" t="str">
        <f>IFERROR(__xludf.DUMMYFUNCTION("""COMPUTED_VALUE"""),"Nikola Djuricko")</f>
        <v>Nikola Djuricko</v>
      </c>
      <c r="AE3426" s="11"/>
    </row>
    <row r="3427" customHeight="1" spans="1:31">
      <c r="A3427" s="12" t="s">
        <v>30</v>
      </c>
      <c r="B3427" s="12" t="s">
        <v>16265</v>
      </c>
      <c r="C3427" s="12">
        <v>20</v>
      </c>
      <c r="D3427" s="12">
        <v>124</v>
      </c>
      <c r="E3427" s="12">
        <v>2</v>
      </c>
      <c r="F3427" s="12">
        <v>23</v>
      </c>
      <c r="G3427" s="12">
        <v>413</v>
      </c>
      <c r="H3427" s="16"/>
      <c r="I3427" s="12" t="s">
        <v>1635</v>
      </c>
      <c r="J3427" s="12" t="s">
        <v>1055</v>
      </c>
      <c r="K3427" s="12" t="s">
        <v>16266</v>
      </c>
      <c r="L3427" s="12" t="s">
        <v>16267</v>
      </c>
      <c r="M3427" s="12" t="s">
        <v>16268</v>
      </c>
      <c r="N3427" s="12">
        <v>4412</v>
      </c>
      <c r="O3427" s="12">
        <v>733</v>
      </c>
      <c r="P3427" s="12">
        <v>0</v>
      </c>
      <c r="Q3427" s="12" t="s">
        <v>16269</v>
      </c>
      <c r="R3427" s="15" t="s">
        <v>16270</v>
      </c>
      <c r="S3427" s="12">
        <v>31</v>
      </c>
      <c r="T3427" s="12" t="s">
        <v>1465</v>
      </c>
      <c r="U3427" s="12" t="s">
        <v>269</v>
      </c>
      <c r="V3427" s="12" t="s">
        <v>96</v>
      </c>
      <c r="W3427" s="12">
        <v>8000000</v>
      </c>
      <c r="X3427" s="12">
        <v>2005</v>
      </c>
      <c r="Y3427" s="12">
        <v>265</v>
      </c>
      <c r="Z3427" s="12">
        <v>7.7</v>
      </c>
      <c r="AA3427" s="12">
        <v>2.35</v>
      </c>
      <c r="AB3427" s="12">
        <v>520</v>
      </c>
      <c r="AC3427" s="12"/>
      <c r="AD3427" s="12" t="str">
        <f>IFERROR(__xludf.DUMMYFUNCTION("""COMPUTED_VALUE"""),"Branko Djuric")</f>
        <v>Branko Djuric</v>
      </c>
      <c r="AE3427" s="12"/>
    </row>
    <row r="3428" customHeight="1" spans="1:31">
      <c r="A3428" s="11" t="s">
        <v>30</v>
      </c>
      <c r="B3428" s="11" t="s">
        <v>16271</v>
      </c>
      <c r="C3428" s="11">
        <v>21</v>
      </c>
      <c r="D3428" s="11">
        <v>96</v>
      </c>
      <c r="E3428" s="11">
        <v>2</v>
      </c>
      <c r="F3428" s="11">
        <v>600</v>
      </c>
      <c r="G3428" s="11">
        <v>31000</v>
      </c>
      <c r="H3428" s="13"/>
      <c r="I3428" s="11" t="s">
        <v>464</v>
      </c>
      <c r="J3428" s="11" t="s">
        <v>16272</v>
      </c>
      <c r="K3428" s="11" t="s">
        <v>14058</v>
      </c>
      <c r="L3428" s="11" t="s">
        <v>5447</v>
      </c>
      <c r="M3428" s="11" t="s">
        <v>16273</v>
      </c>
      <c r="N3428" s="11">
        <v>1965</v>
      </c>
      <c r="O3428" s="11">
        <v>33858</v>
      </c>
      <c r="P3428" s="11">
        <v>6</v>
      </c>
      <c r="Q3428" s="11" t="s">
        <v>16274</v>
      </c>
      <c r="R3428" s="14" t="s">
        <v>16275</v>
      </c>
      <c r="S3428" s="11">
        <v>24</v>
      </c>
      <c r="T3428" s="11" t="s">
        <v>39</v>
      </c>
      <c r="U3428" s="11" t="s">
        <v>40</v>
      </c>
      <c r="V3428" s="11" t="s">
        <v>586</v>
      </c>
      <c r="W3428" s="11">
        <v>8000000</v>
      </c>
      <c r="X3428" s="11">
        <v>2014</v>
      </c>
      <c r="Y3428" s="11">
        <v>920</v>
      </c>
      <c r="Z3428" s="11">
        <v>4.6</v>
      </c>
      <c r="AA3428" s="13"/>
      <c r="AB3428" s="11">
        <v>438</v>
      </c>
      <c r="AC3428" s="11"/>
      <c r="AD3428" s="11" t="str">
        <f>IFERROR(__xludf.DUMMYFUNCTION("""COMPUTED_VALUE"""),"Tara Platt")</f>
        <v>Tara Platt</v>
      </c>
      <c r="AE3428" s="11"/>
    </row>
    <row r="3429" customHeight="1" spans="1:31">
      <c r="A3429" s="12" t="s">
        <v>30</v>
      </c>
      <c r="B3429" s="12" t="s">
        <v>6768</v>
      </c>
      <c r="C3429" s="12">
        <v>11</v>
      </c>
      <c r="D3429" s="12">
        <v>114</v>
      </c>
      <c r="E3429" s="12">
        <v>29</v>
      </c>
      <c r="F3429" s="12">
        <v>11</v>
      </c>
      <c r="G3429" s="12">
        <v>163</v>
      </c>
      <c r="H3429" s="12">
        <v>50000</v>
      </c>
      <c r="I3429" s="12" t="s">
        <v>2700</v>
      </c>
      <c r="J3429" s="12" t="s">
        <v>16276</v>
      </c>
      <c r="K3429" s="12" t="s">
        <v>16277</v>
      </c>
      <c r="L3429" s="12" t="s">
        <v>16278</v>
      </c>
      <c r="M3429" s="12" t="s">
        <v>16279</v>
      </c>
      <c r="N3429" s="12">
        <v>322</v>
      </c>
      <c r="O3429" s="12">
        <v>219</v>
      </c>
      <c r="P3429" s="12">
        <v>2</v>
      </c>
      <c r="Q3429" s="16"/>
      <c r="R3429" s="15" t="s">
        <v>16280</v>
      </c>
      <c r="S3429" s="12">
        <v>2</v>
      </c>
      <c r="T3429" s="12" t="s">
        <v>11708</v>
      </c>
      <c r="U3429" s="12" t="s">
        <v>893</v>
      </c>
      <c r="V3429" s="16"/>
      <c r="W3429" s="16"/>
      <c r="X3429" s="12">
        <v>2013</v>
      </c>
      <c r="Y3429" s="12">
        <v>20</v>
      </c>
      <c r="Z3429" s="12">
        <v>5.1</v>
      </c>
      <c r="AA3429" s="12">
        <v>2.35</v>
      </c>
      <c r="AB3429" s="12">
        <v>81</v>
      </c>
      <c r="AC3429" s="12"/>
      <c r="AD3429" s="12" t="str">
        <f>IFERROR(__xludf.DUMMYFUNCTION("""COMPUTED_VALUE"""),"Dean Dawson")</f>
        <v>Dean Dawson</v>
      </c>
      <c r="AE3429" s="12"/>
    </row>
    <row r="3430" customHeight="1" spans="1:31">
      <c r="A3430" s="11" t="s">
        <v>30</v>
      </c>
      <c r="B3430" s="11" t="s">
        <v>16281</v>
      </c>
      <c r="C3430" s="11">
        <v>85</v>
      </c>
      <c r="D3430" s="11">
        <v>90</v>
      </c>
      <c r="E3430" s="11">
        <v>21</v>
      </c>
      <c r="F3430" s="11">
        <v>112</v>
      </c>
      <c r="G3430" s="11">
        <v>186</v>
      </c>
      <c r="H3430" s="11">
        <v>671240</v>
      </c>
      <c r="I3430" s="11" t="s">
        <v>1415</v>
      </c>
      <c r="J3430" s="11" t="s">
        <v>5270</v>
      </c>
      <c r="K3430" s="11" t="s">
        <v>5300</v>
      </c>
      <c r="L3430" s="11" t="s">
        <v>16282</v>
      </c>
      <c r="M3430" s="11" t="s">
        <v>16283</v>
      </c>
      <c r="N3430" s="11">
        <v>23023</v>
      </c>
      <c r="O3430" s="11">
        <v>619</v>
      </c>
      <c r="P3430" s="11">
        <v>0</v>
      </c>
      <c r="Q3430" s="11" t="s">
        <v>16284</v>
      </c>
      <c r="R3430" s="14" t="s">
        <v>16285</v>
      </c>
      <c r="S3430" s="11">
        <v>149</v>
      </c>
      <c r="T3430" s="11" t="s">
        <v>39</v>
      </c>
      <c r="U3430" s="11" t="s">
        <v>58</v>
      </c>
      <c r="V3430" s="11" t="s">
        <v>586</v>
      </c>
      <c r="W3430" s="11">
        <v>7900000</v>
      </c>
      <c r="X3430" s="11">
        <v>2005</v>
      </c>
      <c r="Y3430" s="11">
        <v>119</v>
      </c>
      <c r="Z3430" s="11">
        <v>6.9</v>
      </c>
      <c r="AA3430" s="11">
        <v>2.35</v>
      </c>
      <c r="AB3430" s="11">
        <v>0</v>
      </c>
      <c r="AC3430" s="11"/>
      <c r="AD3430" s="11" t="str">
        <f>IFERROR(__xludf.DUMMYFUNCTION("""COMPUTED_VALUE"""),"Jung-jae Lee")</f>
        <v>Jung-jae Lee</v>
      </c>
      <c r="AE3430" s="11"/>
    </row>
    <row r="3431" customHeight="1" spans="1:31">
      <c r="A3431" s="12" t="s">
        <v>30</v>
      </c>
      <c r="B3431" s="12" t="s">
        <v>6249</v>
      </c>
      <c r="C3431" s="12">
        <v>5</v>
      </c>
      <c r="D3431" s="12">
        <v>104</v>
      </c>
      <c r="E3431" s="12">
        <v>78</v>
      </c>
      <c r="F3431" s="12">
        <v>189</v>
      </c>
      <c r="G3431" s="12">
        <v>502</v>
      </c>
      <c r="H3431" s="16"/>
      <c r="I3431" s="12" t="s">
        <v>3410</v>
      </c>
      <c r="J3431" s="12" t="s">
        <v>16286</v>
      </c>
      <c r="K3431" s="12" t="s">
        <v>16287</v>
      </c>
      <c r="L3431" s="12" t="s">
        <v>16288</v>
      </c>
      <c r="M3431" s="12" t="s">
        <v>16289</v>
      </c>
      <c r="N3431" s="12">
        <v>63</v>
      </c>
      <c r="O3431" s="12">
        <v>1546</v>
      </c>
      <c r="P3431" s="12">
        <v>0</v>
      </c>
      <c r="Q3431" s="16"/>
      <c r="R3431" s="15" t="s">
        <v>16290</v>
      </c>
      <c r="S3431" s="12">
        <v>5</v>
      </c>
      <c r="T3431" s="12" t="s">
        <v>39</v>
      </c>
      <c r="U3431" s="12" t="s">
        <v>40</v>
      </c>
      <c r="V3431" s="12" t="s">
        <v>41</v>
      </c>
      <c r="W3431" s="12">
        <v>8000000</v>
      </c>
      <c r="X3431" s="12">
        <v>2016</v>
      </c>
      <c r="Y3431" s="12">
        <v>206</v>
      </c>
      <c r="Z3431" s="12">
        <v>8</v>
      </c>
      <c r="AA3431" s="12">
        <v>2.35</v>
      </c>
      <c r="AB3431" s="12">
        <v>205</v>
      </c>
      <c r="AC3431" s="12"/>
      <c r="AD3431" s="12" t="str">
        <f>IFERROR(__xludf.DUMMYFUNCTION("""COMPUTED_VALUE"""),"Steve Irwin")</f>
        <v>Steve Irwin</v>
      </c>
      <c r="AE3431" s="12"/>
    </row>
    <row r="3432" customHeight="1" spans="1:31">
      <c r="A3432" s="11" t="s">
        <v>30</v>
      </c>
      <c r="B3432" s="11" t="s">
        <v>16148</v>
      </c>
      <c r="C3432" s="11">
        <v>160</v>
      </c>
      <c r="D3432" s="11">
        <v>102</v>
      </c>
      <c r="E3432" s="11">
        <v>341</v>
      </c>
      <c r="F3432" s="11">
        <v>15</v>
      </c>
      <c r="G3432" s="11">
        <v>844</v>
      </c>
      <c r="H3432" s="11">
        <v>10105505</v>
      </c>
      <c r="I3432" s="11" t="s">
        <v>2142</v>
      </c>
      <c r="J3432" s="11" t="s">
        <v>3518</v>
      </c>
      <c r="K3432" s="11" t="s">
        <v>10523</v>
      </c>
      <c r="L3432" s="11" t="s">
        <v>16291</v>
      </c>
      <c r="M3432" s="11" t="s">
        <v>16292</v>
      </c>
      <c r="N3432" s="11">
        <v>35065</v>
      </c>
      <c r="O3432" s="11">
        <v>1389</v>
      </c>
      <c r="P3432" s="11">
        <v>0</v>
      </c>
      <c r="Q3432" s="11" t="s">
        <v>16293</v>
      </c>
      <c r="R3432" s="14" t="s">
        <v>16294</v>
      </c>
      <c r="S3432" s="11">
        <v>288</v>
      </c>
      <c r="T3432" s="11" t="s">
        <v>39</v>
      </c>
      <c r="U3432" s="11" t="s">
        <v>1466</v>
      </c>
      <c r="V3432" s="11" t="s">
        <v>586</v>
      </c>
      <c r="W3432" s="13"/>
      <c r="X3432" s="11">
        <v>2003</v>
      </c>
      <c r="Y3432" s="11">
        <v>521</v>
      </c>
      <c r="Z3432" s="11">
        <v>6.8</v>
      </c>
      <c r="AA3432" s="11">
        <v>1.85</v>
      </c>
      <c r="AB3432" s="11">
        <v>0</v>
      </c>
      <c r="AC3432" s="11"/>
      <c r="AD3432" s="11" t="str">
        <f>IFERROR(__xludf.DUMMYFUNCTION("""COMPUTED_VALUE"""),"Dameon Clarke")</f>
        <v>Dameon Clarke</v>
      </c>
      <c r="AE3432" s="11"/>
    </row>
    <row r="3433" customHeight="1" spans="1:31">
      <c r="A3433" s="12" t="s">
        <v>30</v>
      </c>
      <c r="B3433" s="12" t="s">
        <v>16295</v>
      </c>
      <c r="C3433" s="12">
        <v>25</v>
      </c>
      <c r="D3433" s="12">
        <v>93</v>
      </c>
      <c r="E3433" s="12">
        <v>16</v>
      </c>
      <c r="F3433" s="12">
        <v>376</v>
      </c>
      <c r="G3433" s="12">
        <v>1000</v>
      </c>
      <c r="H3433" s="16"/>
      <c r="I3433" s="12" t="s">
        <v>777</v>
      </c>
      <c r="J3433" s="12" t="s">
        <v>4533</v>
      </c>
      <c r="K3433" s="12" t="s">
        <v>16296</v>
      </c>
      <c r="L3433" s="12" t="s">
        <v>16297</v>
      </c>
      <c r="M3433" s="12" t="s">
        <v>16298</v>
      </c>
      <c r="N3433" s="12">
        <v>3740</v>
      </c>
      <c r="O3433" s="12">
        <v>2284</v>
      </c>
      <c r="P3433" s="12">
        <v>2</v>
      </c>
      <c r="Q3433" s="12" t="s">
        <v>16299</v>
      </c>
      <c r="R3433" s="15" t="s">
        <v>16300</v>
      </c>
      <c r="S3433" s="12">
        <v>13</v>
      </c>
      <c r="T3433" s="12" t="s">
        <v>39</v>
      </c>
      <c r="U3433" s="12" t="s">
        <v>58</v>
      </c>
      <c r="V3433" s="12" t="s">
        <v>586</v>
      </c>
      <c r="W3433" s="16"/>
      <c r="X3433" s="12">
        <v>2013</v>
      </c>
      <c r="Y3433" s="12">
        <v>524</v>
      </c>
      <c r="Z3433" s="12">
        <v>5.4</v>
      </c>
      <c r="AA3433" s="12">
        <v>2.35</v>
      </c>
      <c r="AB3433" s="12">
        <v>0</v>
      </c>
      <c r="AC3433" s="12"/>
      <c r="AD3433" s="12" t="str">
        <f>IFERROR(__xludf.DUMMYFUNCTION("""COMPUTED_VALUE"""),"Louis Herthum")</f>
        <v>Louis Herthum</v>
      </c>
      <c r="AE3433" s="12"/>
    </row>
    <row r="3434" customHeight="1" spans="1:31">
      <c r="A3434" s="11" t="s">
        <v>30</v>
      </c>
      <c r="B3434" s="11" t="s">
        <v>16301</v>
      </c>
      <c r="C3434" s="11">
        <v>21</v>
      </c>
      <c r="D3434" s="11">
        <v>90</v>
      </c>
      <c r="E3434" s="11">
        <v>73</v>
      </c>
      <c r="F3434" s="11">
        <v>26</v>
      </c>
      <c r="G3434" s="11">
        <v>848</v>
      </c>
      <c r="H3434" s="11">
        <v>882290</v>
      </c>
      <c r="I3434" s="11" t="s">
        <v>3480</v>
      </c>
      <c r="J3434" s="11" t="s">
        <v>472</v>
      </c>
      <c r="K3434" s="11" t="s">
        <v>5281</v>
      </c>
      <c r="L3434" s="11" t="s">
        <v>16302</v>
      </c>
      <c r="M3434" s="11" t="s">
        <v>16303</v>
      </c>
      <c r="N3434" s="11">
        <v>4792</v>
      </c>
      <c r="O3434" s="11">
        <v>1526</v>
      </c>
      <c r="P3434" s="11">
        <v>2</v>
      </c>
      <c r="Q3434" s="11" t="s">
        <v>16304</v>
      </c>
      <c r="R3434" s="14" t="s">
        <v>16305</v>
      </c>
      <c r="S3434" s="11">
        <v>43</v>
      </c>
      <c r="T3434" s="11" t="s">
        <v>39</v>
      </c>
      <c r="U3434" s="11" t="s">
        <v>371</v>
      </c>
      <c r="V3434" s="11" t="s">
        <v>586</v>
      </c>
      <c r="W3434" s="11">
        <v>10000000</v>
      </c>
      <c r="X3434" s="11">
        <v>1989</v>
      </c>
      <c r="Y3434" s="11">
        <v>643</v>
      </c>
      <c r="Z3434" s="11">
        <v>6.5</v>
      </c>
      <c r="AA3434" s="11">
        <v>1.33</v>
      </c>
      <c r="AB3434" s="11">
        <v>999</v>
      </c>
      <c r="AC3434" s="11"/>
      <c r="AD3434" s="11" t="str">
        <f>IFERROR(__xludf.DUMMYFUNCTION("""COMPUTED_VALUE"""),"Annie Golden")</f>
        <v>Annie Golden</v>
      </c>
      <c r="AE3434" s="11"/>
    </row>
    <row r="3435" customHeight="1" spans="1:31">
      <c r="A3435" s="12" t="s">
        <v>30</v>
      </c>
      <c r="B3435" s="12" t="s">
        <v>16306</v>
      </c>
      <c r="C3435" s="12">
        <v>15</v>
      </c>
      <c r="D3435" s="12">
        <v>106</v>
      </c>
      <c r="E3435" s="12">
        <v>155</v>
      </c>
      <c r="F3435" s="12">
        <v>391</v>
      </c>
      <c r="G3435" s="12">
        <v>981</v>
      </c>
      <c r="H3435" s="16"/>
      <c r="I3435" s="12" t="s">
        <v>1326</v>
      </c>
      <c r="J3435" s="12" t="s">
        <v>16307</v>
      </c>
      <c r="K3435" s="12" t="s">
        <v>16308</v>
      </c>
      <c r="L3435" s="12" t="s">
        <v>16309</v>
      </c>
      <c r="M3435" s="12" t="s">
        <v>16310</v>
      </c>
      <c r="N3435" s="12">
        <v>662</v>
      </c>
      <c r="O3435" s="12">
        <v>2741</v>
      </c>
      <c r="P3435" s="12">
        <v>0</v>
      </c>
      <c r="Q3435" s="12" t="s">
        <v>16311</v>
      </c>
      <c r="R3435" s="15" t="s">
        <v>16312</v>
      </c>
      <c r="S3435" s="12">
        <v>14</v>
      </c>
      <c r="T3435" s="12" t="s">
        <v>39</v>
      </c>
      <c r="U3435" s="12" t="s">
        <v>40</v>
      </c>
      <c r="V3435" s="12" t="s">
        <v>586</v>
      </c>
      <c r="W3435" s="12">
        <v>8000000</v>
      </c>
      <c r="X3435" s="12">
        <v>2016</v>
      </c>
      <c r="Y3435" s="12">
        <v>505</v>
      </c>
      <c r="Z3435" s="12">
        <v>4.2</v>
      </c>
      <c r="AA3435" s="16"/>
      <c r="AB3435" s="12">
        <v>689</v>
      </c>
      <c r="AC3435" s="12"/>
      <c r="AD3435" s="12" t="str">
        <f>IFERROR(__xludf.DUMMYFUNCTION("""COMPUTED_VALUE"""),"Everett McGill")</f>
        <v>Everett McGill</v>
      </c>
      <c r="AE3435" s="12"/>
    </row>
    <row r="3436" customHeight="1" spans="1:31">
      <c r="A3436" s="11" t="s">
        <v>30</v>
      </c>
      <c r="B3436" s="11" t="s">
        <v>6249</v>
      </c>
      <c r="C3436" s="11">
        <v>61</v>
      </c>
      <c r="D3436" s="11">
        <v>99</v>
      </c>
      <c r="E3436" s="11">
        <v>78</v>
      </c>
      <c r="F3436" s="11">
        <v>325</v>
      </c>
      <c r="G3436" s="11">
        <v>11000</v>
      </c>
      <c r="H3436" s="11">
        <v>106593296</v>
      </c>
      <c r="I3436" s="11" t="s">
        <v>3932</v>
      </c>
      <c r="J3436" s="11" t="s">
        <v>466</v>
      </c>
      <c r="K3436" s="11" t="s">
        <v>16313</v>
      </c>
      <c r="L3436" s="11" t="s">
        <v>16314</v>
      </c>
      <c r="M3436" s="11" t="s">
        <v>16315</v>
      </c>
      <c r="N3436" s="11">
        <v>72324</v>
      </c>
      <c r="O3436" s="11">
        <v>12619</v>
      </c>
      <c r="P3436" s="11">
        <v>1</v>
      </c>
      <c r="Q3436" s="11" t="s">
        <v>16316</v>
      </c>
      <c r="R3436" s="14" t="s">
        <v>16317</v>
      </c>
      <c r="S3436" s="11">
        <v>134</v>
      </c>
      <c r="T3436" s="11" t="s">
        <v>39</v>
      </c>
      <c r="U3436" s="11" t="s">
        <v>40</v>
      </c>
      <c r="V3436" s="11" t="s">
        <v>96</v>
      </c>
      <c r="W3436" s="11">
        <v>7500000</v>
      </c>
      <c r="X3436" s="11">
        <v>1989</v>
      </c>
      <c r="Y3436" s="11">
        <v>509</v>
      </c>
      <c r="Z3436" s="11">
        <v>7.4</v>
      </c>
      <c r="AA3436" s="11">
        <v>1.85</v>
      </c>
      <c r="AB3436" s="11">
        <v>3000</v>
      </c>
      <c r="AC3436" s="11"/>
      <c r="AD3436" s="11" t="str">
        <f>IFERROR(__xludf.DUMMYFUNCTION("""COMPUTED_VALUE"""),"Gary Schwartz")</f>
        <v>Gary Schwartz</v>
      </c>
      <c r="AE3436" s="11"/>
    </row>
    <row r="3437" customHeight="1" spans="1:31">
      <c r="A3437" s="12" t="s">
        <v>30</v>
      </c>
      <c r="B3437" s="12" t="s">
        <v>7786</v>
      </c>
      <c r="C3437" s="12">
        <v>34</v>
      </c>
      <c r="D3437" s="12">
        <v>115</v>
      </c>
      <c r="E3437" s="12">
        <v>88</v>
      </c>
      <c r="F3437" s="12">
        <v>890</v>
      </c>
      <c r="G3437" s="12">
        <v>1000</v>
      </c>
      <c r="H3437" s="12">
        <v>43490057</v>
      </c>
      <c r="I3437" s="12" t="s">
        <v>2528</v>
      </c>
      <c r="J3437" s="12" t="s">
        <v>1760</v>
      </c>
      <c r="K3437" s="12" t="s">
        <v>1540</v>
      </c>
      <c r="L3437" s="12" t="s">
        <v>634</v>
      </c>
      <c r="M3437" s="12" t="s">
        <v>16318</v>
      </c>
      <c r="N3437" s="12">
        <v>5275</v>
      </c>
      <c r="O3437" s="12">
        <v>4737</v>
      </c>
      <c r="P3437" s="12">
        <v>6</v>
      </c>
      <c r="Q3437" s="12" t="s">
        <v>16319</v>
      </c>
      <c r="R3437" s="15" t="s">
        <v>16320</v>
      </c>
      <c r="S3437" s="12">
        <v>30</v>
      </c>
      <c r="T3437" s="12" t="s">
        <v>39</v>
      </c>
      <c r="U3437" s="12" t="s">
        <v>40</v>
      </c>
      <c r="V3437" s="12" t="s">
        <v>586</v>
      </c>
      <c r="W3437" s="12">
        <v>7500000</v>
      </c>
      <c r="X3437" s="12">
        <v>1997</v>
      </c>
      <c r="Y3437" s="12">
        <v>1000</v>
      </c>
      <c r="Z3437" s="12">
        <v>6.9</v>
      </c>
      <c r="AA3437" s="12">
        <v>1.85</v>
      </c>
      <c r="AB3437" s="12">
        <v>508</v>
      </c>
      <c r="AC3437" s="12"/>
      <c r="AD3437" s="12" t="str">
        <f>IFERROR(__xludf.DUMMYFUNCTION("""COMPUTED_VALUE"""),"Gabriel Millman")</f>
        <v>Gabriel Millman</v>
      </c>
      <c r="AE3437" s="12"/>
    </row>
    <row r="3438" customHeight="1" spans="1:31">
      <c r="A3438" s="11" t="s">
        <v>30</v>
      </c>
      <c r="B3438" s="11" t="s">
        <v>16321</v>
      </c>
      <c r="C3438" s="11">
        <v>62</v>
      </c>
      <c r="D3438" s="11">
        <v>89</v>
      </c>
      <c r="E3438" s="11">
        <v>7</v>
      </c>
      <c r="F3438" s="11">
        <v>36</v>
      </c>
      <c r="G3438" s="11">
        <v>186</v>
      </c>
      <c r="H3438" s="11">
        <v>32333860</v>
      </c>
      <c r="I3438" s="11" t="s">
        <v>2137</v>
      </c>
      <c r="J3438" s="11" t="s">
        <v>16322</v>
      </c>
      <c r="K3438" s="11" t="s">
        <v>16323</v>
      </c>
      <c r="L3438" s="11" t="s">
        <v>16324</v>
      </c>
      <c r="M3438" s="11" t="s">
        <v>16325</v>
      </c>
      <c r="N3438" s="11">
        <v>29843</v>
      </c>
      <c r="O3438" s="11">
        <v>407</v>
      </c>
      <c r="P3438" s="11">
        <v>1</v>
      </c>
      <c r="Q3438" s="11" t="s">
        <v>16326</v>
      </c>
      <c r="R3438" s="14" t="s">
        <v>16327</v>
      </c>
      <c r="S3438" s="11">
        <v>81</v>
      </c>
      <c r="T3438" s="11" t="s">
        <v>7242</v>
      </c>
      <c r="U3438" s="11" t="s">
        <v>3860</v>
      </c>
      <c r="V3438" s="11" t="s">
        <v>586</v>
      </c>
      <c r="W3438" s="11">
        <v>7500000</v>
      </c>
      <c r="X3438" s="11">
        <v>1995</v>
      </c>
      <c r="Y3438" s="11">
        <v>147</v>
      </c>
      <c r="Z3438" s="11">
        <v>6.7</v>
      </c>
      <c r="AA3438" s="11">
        <v>2.35</v>
      </c>
      <c r="AB3438" s="11">
        <v>0</v>
      </c>
      <c r="AC3438" s="11"/>
      <c r="AD3438" s="11" t="str">
        <f>IFERROR(__xludf.DUMMYFUNCTION("""COMPUTED_VALUE"""),"Rob Morrow")</f>
        <v>Rob Morrow</v>
      </c>
      <c r="AE3438" s="11"/>
    </row>
    <row r="3439" customHeight="1" spans="1:31">
      <c r="A3439" s="12" t="s">
        <v>30</v>
      </c>
      <c r="B3439" s="12" t="s">
        <v>16328</v>
      </c>
      <c r="C3439" s="12">
        <v>102</v>
      </c>
      <c r="D3439" s="12">
        <v>101</v>
      </c>
      <c r="E3439" s="12">
        <v>2</v>
      </c>
      <c r="F3439" s="12">
        <v>40</v>
      </c>
      <c r="G3439" s="12">
        <v>10000</v>
      </c>
      <c r="H3439" s="16"/>
      <c r="I3439" s="12" t="s">
        <v>16329</v>
      </c>
      <c r="J3439" s="12" t="s">
        <v>2825</v>
      </c>
      <c r="K3439" s="12" t="s">
        <v>16330</v>
      </c>
      <c r="L3439" s="12" t="s">
        <v>16331</v>
      </c>
      <c r="M3439" s="12" t="s">
        <v>16332</v>
      </c>
      <c r="N3439" s="12">
        <v>4035</v>
      </c>
      <c r="O3439" s="12">
        <v>10218</v>
      </c>
      <c r="P3439" s="12">
        <v>0</v>
      </c>
      <c r="Q3439" s="12" t="s">
        <v>16333</v>
      </c>
      <c r="R3439" s="15" t="s">
        <v>16334</v>
      </c>
      <c r="S3439" s="12">
        <v>19</v>
      </c>
      <c r="T3439" s="12" t="s">
        <v>1465</v>
      </c>
      <c r="U3439" s="12" t="s">
        <v>1466</v>
      </c>
      <c r="V3439" s="16"/>
      <c r="W3439" s="12">
        <v>7700000</v>
      </c>
      <c r="X3439" s="12">
        <v>2014</v>
      </c>
      <c r="Y3439" s="12">
        <v>154</v>
      </c>
      <c r="Z3439" s="12">
        <v>7.3</v>
      </c>
      <c r="AA3439" s="12">
        <v>2.35</v>
      </c>
      <c r="AB3439" s="12">
        <v>2000</v>
      </c>
      <c r="AC3439" s="12"/>
      <c r="AD3439" s="12" t="str">
        <f>IFERROR(__xludf.DUMMYFUNCTION("""COMPUTED_VALUE"""),"Hannah Murray")</f>
        <v>Hannah Murray</v>
      </c>
      <c r="AE3439" s="12"/>
    </row>
    <row r="3440" customHeight="1" spans="1:31">
      <c r="A3440" s="11" t="s">
        <v>30</v>
      </c>
      <c r="B3440" s="11" t="s">
        <v>8187</v>
      </c>
      <c r="C3440" s="11">
        <v>239</v>
      </c>
      <c r="D3440" s="11">
        <v>92</v>
      </c>
      <c r="E3440" s="11">
        <v>655</v>
      </c>
      <c r="F3440" s="11">
        <v>88</v>
      </c>
      <c r="G3440" s="11">
        <v>24000</v>
      </c>
      <c r="H3440" s="11">
        <v>24792061</v>
      </c>
      <c r="I3440" s="11" t="s">
        <v>2528</v>
      </c>
      <c r="J3440" s="11" t="s">
        <v>82</v>
      </c>
      <c r="K3440" s="11" t="s">
        <v>8516</v>
      </c>
      <c r="L3440" s="11" t="s">
        <v>16335</v>
      </c>
      <c r="M3440" s="11" t="s">
        <v>16336</v>
      </c>
      <c r="N3440" s="11">
        <v>191998</v>
      </c>
      <c r="O3440" s="11">
        <v>25092</v>
      </c>
      <c r="P3440" s="11">
        <v>0</v>
      </c>
      <c r="Q3440" s="11" t="s">
        <v>16337</v>
      </c>
      <c r="R3440" s="14" t="s">
        <v>16338</v>
      </c>
      <c r="S3440" s="11">
        <v>323</v>
      </c>
      <c r="T3440" s="11" t="s">
        <v>39</v>
      </c>
      <c r="U3440" s="11" t="s">
        <v>40</v>
      </c>
      <c r="V3440" s="11" t="s">
        <v>586</v>
      </c>
      <c r="W3440" s="11">
        <v>6500000</v>
      </c>
      <c r="X3440" s="11">
        <v>2005</v>
      </c>
      <c r="Y3440" s="11">
        <v>829</v>
      </c>
      <c r="Z3440" s="11">
        <v>7.6</v>
      </c>
      <c r="AA3440" s="11">
        <v>2.35</v>
      </c>
      <c r="AB3440" s="11">
        <v>0</v>
      </c>
      <c r="AC3440" s="11"/>
      <c r="AD3440" s="11" t="str">
        <f>IFERROR(__xludf.DUMMYFUNCTION("""COMPUTED_VALUE"""),"Jude Ciccolella")</f>
        <v>Jude Ciccolella</v>
      </c>
      <c r="AE3440" s="11"/>
    </row>
    <row r="3441" customHeight="1" spans="1:31">
      <c r="A3441" s="12" t="s">
        <v>30</v>
      </c>
      <c r="B3441" s="12" t="s">
        <v>16339</v>
      </c>
      <c r="C3441" s="12">
        <v>252</v>
      </c>
      <c r="D3441" s="12">
        <v>94</v>
      </c>
      <c r="E3441" s="12">
        <v>0</v>
      </c>
      <c r="F3441" s="12">
        <v>658</v>
      </c>
      <c r="G3441" s="12">
        <v>1000</v>
      </c>
      <c r="H3441" s="12">
        <v>17544812</v>
      </c>
      <c r="I3441" s="12" t="s">
        <v>6403</v>
      </c>
      <c r="J3441" s="12" t="s">
        <v>3715</v>
      </c>
      <c r="K3441" s="12" t="s">
        <v>14539</v>
      </c>
      <c r="L3441" s="12" t="s">
        <v>16340</v>
      </c>
      <c r="M3441" s="12" t="s">
        <v>16341</v>
      </c>
      <c r="N3441" s="12">
        <v>69989</v>
      </c>
      <c r="O3441" s="12">
        <v>4707</v>
      </c>
      <c r="P3441" s="12">
        <v>0</v>
      </c>
      <c r="Q3441" s="12" t="s">
        <v>16342</v>
      </c>
      <c r="R3441" s="15" t="s">
        <v>16343</v>
      </c>
      <c r="S3441" s="12">
        <v>384</v>
      </c>
      <c r="T3441" s="12" t="s">
        <v>39</v>
      </c>
      <c r="U3441" s="12" t="s">
        <v>40</v>
      </c>
      <c r="V3441" s="12" t="s">
        <v>586</v>
      </c>
      <c r="W3441" s="12">
        <v>10000000</v>
      </c>
      <c r="X3441" s="12">
        <v>2007</v>
      </c>
      <c r="Y3441" s="12">
        <v>683</v>
      </c>
      <c r="Z3441" s="12">
        <v>5.4</v>
      </c>
      <c r="AA3441" s="12">
        <v>2.35</v>
      </c>
      <c r="AB3441" s="12">
        <v>0</v>
      </c>
      <c r="AC3441" s="12"/>
      <c r="AD3441" s="12" t="str">
        <f>IFERROR(__xludf.DUMMYFUNCTION("""COMPUTED_VALUE"""),"Julian Morris")</f>
        <v>Julian Morris</v>
      </c>
      <c r="AE3441" s="12"/>
    </row>
    <row r="3442" customHeight="1" spans="1:31">
      <c r="A3442" s="11" t="s">
        <v>30</v>
      </c>
      <c r="B3442" s="11" t="s">
        <v>13018</v>
      </c>
      <c r="C3442" s="11">
        <v>278</v>
      </c>
      <c r="D3442" s="11">
        <v>100</v>
      </c>
      <c r="E3442" s="11">
        <v>92</v>
      </c>
      <c r="F3442" s="11">
        <v>221</v>
      </c>
      <c r="G3442" s="11">
        <v>3000</v>
      </c>
      <c r="H3442" s="11">
        <v>12574715</v>
      </c>
      <c r="I3442" s="11" t="s">
        <v>3410</v>
      </c>
      <c r="J3442" s="11" t="s">
        <v>730</v>
      </c>
      <c r="K3442" s="11" t="s">
        <v>2019</v>
      </c>
      <c r="L3442" s="11" t="s">
        <v>16344</v>
      </c>
      <c r="M3442" s="11" t="s">
        <v>16345</v>
      </c>
      <c r="N3442" s="11">
        <v>112138</v>
      </c>
      <c r="O3442" s="11">
        <v>4198</v>
      </c>
      <c r="P3442" s="11">
        <v>0</v>
      </c>
      <c r="Q3442" s="11" t="s">
        <v>16346</v>
      </c>
      <c r="R3442" s="14" t="s">
        <v>16347</v>
      </c>
      <c r="S3442" s="11">
        <v>237</v>
      </c>
      <c r="T3442" s="11" t="s">
        <v>39</v>
      </c>
      <c r="U3442" s="11" t="s">
        <v>58</v>
      </c>
      <c r="V3442" s="11" t="s">
        <v>41</v>
      </c>
      <c r="W3442" s="11">
        <v>4500000</v>
      </c>
      <c r="X3442" s="11">
        <v>2009</v>
      </c>
      <c r="Y3442" s="11">
        <v>766</v>
      </c>
      <c r="Z3442" s="11">
        <v>7.3</v>
      </c>
      <c r="AA3442" s="11">
        <v>2.35</v>
      </c>
      <c r="AB3442" s="11">
        <v>12000</v>
      </c>
      <c r="AC3442" s="11"/>
      <c r="AD3442" s="11" t="str">
        <f>IFERROR(__xludf.DUMMYFUNCTION("""COMPUTED_VALUE"""),"Margo Harshman")</f>
        <v>Margo Harshman</v>
      </c>
      <c r="AE3442" s="11"/>
    </row>
    <row r="3443" customHeight="1" spans="1:31">
      <c r="A3443" s="12" t="s">
        <v>30</v>
      </c>
      <c r="B3443" s="12" t="s">
        <v>11654</v>
      </c>
      <c r="C3443" s="12">
        <v>124</v>
      </c>
      <c r="D3443" s="12">
        <v>106</v>
      </c>
      <c r="E3443" s="12">
        <v>14</v>
      </c>
      <c r="F3443" s="12">
        <v>161</v>
      </c>
      <c r="G3443" s="12">
        <v>827</v>
      </c>
      <c r="H3443" s="12">
        <v>10281585</v>
      </c>
      <c r="I3443" s="12" t="s">
        <v>214</v>
      </c>
      <c r="J3443" s="12" t="s">
        <v>1546</v>
      </c>
      <c r="K3443" s="12" t="s">
        <v>6824</v>
      </c>
      <c r="L3443" s="12" t="s">
        <v>12298</v>
      </c>
      <c r="M3443" s="12" t="s">
        <v>16348</v>
      </c>
      <c r="N3443" s="12">
        <v>21225</v>
      </c>
      <c r="O3443" s="12">
        <v>1871</v>
      </c>
      <c r="P3443" s="12">
        <v>3</v>
      </c>
      <c r="Q3443" s="12" t="s">
        <v>16349</v>
      </c>
      <c r="R3443" s="15" t="s">
        <v>16350</v>
      </c>
      <c r="S3443" s="12">
        <v>268</v>
      </c>
      <c r="T3443" s="12" t="s">
        <v>39</v>
      </c>
      <c r="U3443" s="12" t="s">
        <v>40</v>
      </c>
      <c r="V3443" s="12" t="s">
        <v>586</v>
      </c>
      <c r="W3443" s="16"/>
      <c r="X3443" s="12">
        <v>2005</v>
      </c>
      <c r="Y3443" s="12">
        <v>545</v>
      </c>
      <c r="Z3443" s="12">
        <v>6.4</v>
      </c>
      <c r="AA3443" s="12">
        <v>2.35</v>
      </c>
      <c r="AB3443" s="12">
        <v>1000</v>
      </c>
      <c r="AC3443" s="12"/>
      <c r="AD3443" s="12" t="str">
        <f>IFERROR(__xludf.DUMMYFUNCTION("""COMPUTED_VALUE"""),"Mary Astor")</f>
        <v>Mary Astor</v>
      </c>
      <c r="AE3443" s="12"/>
    </row>
    <row r="3444" customHeight="1" spans="1:31">
      <c r="A3444" s="11" t="s">
        <v>30</v>
      </c>
      <c r="B3444" s="11" t="s">
        <v>16351</v>
      </c>
      <c r="C3444" s="11">
        <v>9</v>
      </c>
      <c r="D3444" s="11">
        <v>109</v>
      </c>
      <c r="E3444" s="11">
        <v>62</v>
      </c>
      <c r="F3444" s="11">
        <v>518</v>
      </c>
      <c r="G3444" s="11">
        <v>584</v>
      </c>
      <c r="H3444" s="11">
        <v>5100000</v>
      </c>
      <c r="I3444" s="11" t="s">
        <v>1415</v>
      </c>
      <c r="J3444" s="11" t="s">
        <v>2144</v>
      </c>
      <c r="K3444" s="11" t="s">
        <v>7415</v>
      </c>
      <c r="L3444" s="11" t="s">
        <v>16352</v>
      </c>
      <c r="M3444" s="11" t="s">
        <v>16353</v>
      </c>
      <c r="N3444" s="11">
        <v>6595</v>
      </c>
      <c r="O3444" s="11">
        <v>2024</v>
      </c>
      <c r="P3444" s="11">
        <v>0</v>
      </c>
      <c r="Q3444" s="11" t="s">
        <v>16354</v>
      </c>
      <c r="R3444" s="14" t="s">
        <v>16355</v>
      </c>
      <c r="S3444" s="11">
        <v>61</v>
      </c>
      <c r="T3444" s="11" t="s">
        <v>39</v>
      </c>
      <c r="U3444" s="11" t="s">
        <v>58</v>
      </c>
      <c r="V3444" s="11" t="s">
        <v>586</v>
      </c>
      <c r="W3444" s="11">
        <v>7500000</v>
      </c>
      <c r="X3444" s="11">
        <v>1984</v>
      </c>
      <c r="Y3444" s="11">
        <v>552</v>
      </c>
      <c r="Z3444" s="11">
        <v>6</v>
      </c>
      <c r="AA3444" s="11">
        <v>1.85</v>
      </c>
      <c r="AB3444" s="11">
        <v>345</v>
      </c>
      <c r="AC3444" s="11"/>
      <c r="AD3444" s="11" t="str">
        <f>IFERROR(__xludf.DUMMYFUNCTION("""COMPUTED_VALUE"""),"Ronald Colman")</f>
        <v>Ronald Colman</v>
      </c>
      <c r="AE3444" s="11"/>
    </row>
    <row r="3445" customHeight="1" spans="1:31">
      <c r="A3445" s="12" t="s">
        <v>30</v>
      </c>
      <c r="B3445" s="12" t="s">
        <v>9522</v>
      </c>
      <c r="C3445" s="12">
        <v>127</v>
      </c>
      <c r="D3445" s="12">
        <v>105</v>
      </c>
      <c r="E3445" s="12">
        <v>248</v>
      </c>
      <c r="F3445" s="12">
        <v>147</v>
      </c>
      <c r="G3445" s="12">
        <v>673</v>
      </c>
      <c r="H3445" s="12">
        <v>10460089</v>
      </c>
      <c r="I3445" s="12" t="s">
        <v>2142</v>
      </c>
      <c r="J3445" s="12" t="s">
        <v>1608</v>
      </c>
      <c r="K3445" s="12" t="s">
        <v>1646</v>
      </c>
      <c r="L3445" s="12" t="s">
        <v>14633</v>
      </c>
      <c r="M3445" s="12" t="s">
        <v>16356</v>
      </c>
      <c r="N3445" s="12">
        <v>34098</v>
      </c>
      <c r="O3445" s="12">
        <v>1442</v>
      </c>
      <c r="P3445" s="12">
        <v>1</v>
      </c>
      <c r="Q3445" s="12" t="s">
        <v>16357</v>
      </c>
      <c r="R3445" s="15" t="s">
        <v>16358</v>
      </c>
      <c r="S3445" s="12">
        <v>214</v>
      </c>
      <c r="T3445" s="12" t="s">
        <v>39</v>
      </c>
      <c r="U3445" s="12" t="s">
        <v>40</v>
      </c>
      <c r="V3445" s="12" t="s">
        <v>586</v>
      </c>
      <c r="W3445" s="12">
        <v>7500000</v>
      </c>
      <c r="X3445" s="12">
        <v>2002</v>
      </c>
      <c r="Y3445" s="12">
        <v>466</v>
      </c>
      <c r="Z3445" s="12">
        <v>7.2</v>
      </c>
      <c r="AA3445" s="12">
        <v>1.85</v>
      </c>
      <c r="AB3445" s="12">
        <v>1000</v>
      </c>
      <c r="AC3445" s="12"/>
      <c r="AD3445" s="12" t="str">
        <f>IFERROR(__xludf.DUMMYFUNCTION("""COMPUTED_VALUE"""),"Richard Johnson")</f>
        <v>Richard Johnson</v>
      </c>
      <c r="AE3445" s="12"/>
    </row>
    <row r="3446" customHeight="1" spans="1:31">
      <c r="A3446" s="11" t="s">
        <v>30</v>
      </c>
      <c r="B3446" s="11" t="s">
        <v>8640</v>
      </c>
      <c r="C3446" s="11">
        <v>9</v>
      </c>
      <c r="D3446" s="11">
        <v>102</v>
      </c>
      <c r="E3446" s="11">
        <v>329</v>
      </c>
      <c r="F3446" s="11">
        <v>280</v>
      </c>
      <c r="G3446" s="11">
        <v>611</v>
      </c>
      <c r="H3446" s="11">
        <v>4239767</v>
      </c>
      <c r="I3446" s="11" t="s">
        <v>4479</v>
      </c>
      <c r="J3446" s="11" t="s">
        <v>16359</v>
      </c>
      <c r="K3446" s="11" t="s">
        <v>8640</v>
      </c>
      <c r="L3446" s="11" t="s">
        <v>7018</v>
      </c>
      <c r="M3446" s="11" t="s">
        <v>16360</v>
      </c>
      <c r="N3446" s="11">
        <v>3709</v>
      </c>
      <c r="O3446" s="11">
        <v>1834</v>
      </c>
      <c r="P3446" s="11">
        <v>3</v>
      </c>
      <c r="Q3446" s="11" t="s">
        <v>16361</v>
      </c>
      <c r="R3446" s="14" t="s">
        <v>16362</v>
      </c>
      <c r="S3446" s="11">
        <v>83</v>
      </c>
      <c r="T3446" s="11" t="s">
        <v>39</v>
      </c>
      <c r="U3446" s="11" t="s">
        <v>269</v>
      </c>
      <c r="V3446" s="11" t="s">
        <v>586</v>
      </c>
      <c r="W3446" s="11">
        <v>7500000</v>
      </c>
      <c r="X3446" s="11">
        <v>2002</v>
      </c>
      <c r="Y3446" s="11">
        <v>329</v>
      </c>
      <c r="Z3446" s="11">
        <v>6</v>
      </c>
      <c r="AA3446" s="11">
        <v>1.85</v>
      </c>
      <c r="AB3446" s="11">
        <v>0</v>
      </c>
      <c r="AC3446" s="11"/>
      <c r="AD3446" s="11" t="str">
        <f>IFERROR(__xludf.DUMMYFUNCTION("""COMPUTED_VALUE"""),"Sheila Hancock")</f>
        <v>Sheila Hancock</v>
      </c>
      <c r="AE3446" s="11"/>
    </row>
    <row r="3447" customHeight="1" spans="1:31">
      <c r="A3447" s="12" t="s">
        <v>30</v>
      </c>
      <c r="B3447" s="12" t="s">
        <v>16363</v>
      </c>
      <c r="C3447" s="12">
        <v>35</v>
      </c>
      <c r="D3447" s="12">
        <v>97</v>
      </c>
      <c r="E3447" s="12">
        <v>18</v>
      </c>
      <c r="F3447" s="12">
        <v>742</v>
      </c>
      <c r="G3447" s="12">
        <v>834</v>
      </c>
      <c r="H3447" s="12">
        <v>4131640</v>
      </c>
      <c r="I3447" s="12" t="s">
        <v>1009</v>
      </c>
      <c r="J3447" s="12" t="s">
        <v>1708</v>
      </c>
      <c r="K3447" s="12" t="s">
        <v>5706</v>
      </c>
      <c r="L3447" s="12" t="s">
        <v>16364</v>
      </c>
      <c r="M3447" s="12" t="s">
        <v>16365</v>
      </c>
      <c r="N3447" s="12">
        <v>5463</v>
      </c>
      <c r="O3447" s="12">
        <v>4091</v>
      </c>
      <c r="P3447" s="12">
        <v>2</v>
      </c>
      <c r="Q3447" s="12" t="s">
        <v>16366</v>
      </c>
      <c r="R3447" s="15" t="s">
        <v>16367</v>
      </c>
      <c r="S3447" s="12">
        <v>20</v>
      </c>
      <c r="T3447" s="12" t="s">
        <v>39</v>
      </c>
      <c r="U3447" s="12" t="s">
        <v>40</v>
      </c>
      <c r="V3447" s="12" t="s">
        <v>41</v>
      </c>
      <c r="W3447" s="12">
        <v>7500000</v>
      </c>
      <c r="X3447" s="12">
        <v>2008</v>
      </c>
      <c r="Y3447" s="12">
        <v>749</v>
      </c>
      <c r="Z3447" s="12">
        <v>3.1</v>
      </c>
      <c r="AA3447" s="12">
        <v>1.85</v>
      </c>
      <c r="AB3447" s="12">
        <v>140</v>
      </c>
      <c r="AC3447" s="12"/>
      <c r="AD3447" s="12" t="str">
        <f>IFERROR(__xludf.DUMMYFUNCTION("""COMPUTED_VALUE"""),"Cara Horgan")</f>
        <v>Cara Horgan</v>
      </c>
      <c r="AE3447" s="12"/>
    </row>
    <row r="3448" customHeight="1" spans="1:31">
      <c r="A3448" s="11" t="s">
        <v>30</v>
      </c>
      <c r="B3448" s="11" t="s">
        <v>16368</v>
      </c>
      <c r="C3448" s="11">
        <v>6</v>
      </c>
      <c r="D3448" s="11">
        <v>118</v>
      </c>
      <c r="E3448" s="11">
        <v>0</v>
      </c>
      <c r="F3448" s="11">
        <v>249</v>
      </c>
      <c r="G3448" s="11">
        <v>373</v>
      </c>
      <c r="H3448" s="11">
        <v>3347439</v>
      </c>
      <c r="I3448" s="11" t="s">
        <v>214</v>
      </c>
      <c r="J3448" s="11" t="s">
        <v>16369</v>
      </c>
      <c r="K3448" s="11" t="s">
        <v>12898</v>
      </c>
      <c r="L3448" s="11" t="s">
        <v>11186</v>
      </c>
      <c r="M3448" s="11" t="s">
        <v>16370</v>
      </c>
      <c r="N3448" s="11">
        <v>833</v>
      </c>
      <c r="O3448" s="11">
        <v>1233</v>
      </c>
      <c r="P3448" s="11">
        <v>1</v>
      </c>
      <c r="Q3448" s="11" t="s">
        <v>16371</v>
      </c>
      <c r="R3448" s="14" t="s">
        <v>16372</v>
      </c>
      <c r="S3448" s="11">
        <v>33</v>
      </c>
      <c r="T3448" s="11" t="s">
        <v>39</v>
      </c>
      <c r="U3448" s="11" t="s">
        <v>40</v>
      </c>
      <c r="V3448" s="11" t="s">
        <v>96</v>
      </c>
      <c r="W3448" s="11">
        <v>7500000</v>
      </c>
      <c r="X3448" s="11">
        <v>2004</v>
      </c>
      <c r="Y3448" s="11">
        <v>266</v>
      </c>
      <c r="Z3448" s="11">
        <v>6.9</v>
      </c>
      <c r="AA3448" s="13"/>
      <c r="AB3448" s="11">
        <v>31</v>
      </c>
      <c r="AC3448" s="11"/>
      <c r="AD3448" s="11" t="str">
        <f>IFERROR(__xludf.DUMMYFUNCTION("""COMPUTED_VALUE"""),"Björk")</f>
        <v>Björk</v>
      </c>
      <c r="AE3448" s="11"/>
    </row>
    <row r="3449" customHeight="1" spans="1:31">
      <c r="A3449" s="12" t="s">
        <v>30</v>
      </c>
      <c r="B3449" s="12" t="s">
        <v>14062</v>
      </c>
      <c r="C3449" s="12">
        <v>192</v>
      </c>
      <c r="D3449" s="12">
        <v>92</v>
      </c>
      <c r="E3449" s="12">
        <v>406</v>
      </c>
      <c r="F3449" s="12">
        <v>968</v>
      </c>
      <c r="G3449" s="12">
        <v>24000</v>
      </c>
      <c r="H3449" s="12">
        <v>10814185</v>
      </c>
      <c r="I3449" s="12" t="s">
        <v>4262</v>
      </c>
      <c r="J3449" s="12" t="s">
        <v>82</v>
      </c>
      <c r="K3449" s="12" t="s">
        <v>292</v>
      </c>
      <c r="L3449" s="12" t="s">
        <v>381</v>
      </c>
      <c r="M3449" s="12" t="s">
        <v>16373</v>
      </c>
      <c r="N3449" s="12">
        <v>37530</v>
      </c>
      <c r="O3449" s="12">
        <v>41867</v>
      </c>
      <c r="P3449" s="12">
        <v>6</v>
      </c>
      <c r="Q3449" s="12" t="s">
        <v>16374</v>
      </c>
      <c r="R3449" s="15" t="s">
        <v>16375</v>
      </c>
      <c r="S3449" s="12">
        <v>106</v>
      </c>
      <c r="T3449" s="12" t="s">
        <v>39</v>
      </c>
      <c r="U3449" s="12" t="s">
        <v>40</v>
      </c>
      <c r="V3449" s="12" t="s">
        <v>586</v>
      </c>
      <c r="W3449" s="12">
        <v>8000000</v>
      </c>
      <c r="X3449" s="12">
        <v>2009</v>
      </c>
      <c r="Y3449" s="12">
        <v>15000</v>
      </c>
      <c r="Z3449" s="12">
        <v>6.2</v>
      </c>
      <c r="AA3449" s="12">
        <v>1.85</v>
      </c>
      <c r="AB3449" s="12">
        <v>0</v>
      </c>
      <c r="AC3449" s="12"/>
      <c r="AD3449" s="12" t="str">
        <f>IFERROR(__xludf.DUMMYFUNCTION("""COMPUTED_VALUE"""),"Vincent Gallo")</f>
        <v>Vincent Gallo</v>
      </c>
      <c r="AE3449" s="12"/>
    </row>
    <row r="3450" customHeight="1" spans="1:31">
      <c r="A3450" s="11" t="s">
        <v>30</v>
      </c>
      <c r="B3450" s="11" t="s">
        <v>3723</v>
      </c>
      <c r="C3450" s="11">
        <v>51</v>
      </c>
      <c r="D3450" s="11">
        <v>112</v>
      </c>
      <c r="E3450" s="11">
        <v>119</v>
      </c>
      <c r="F3450" s="11">
        <v>844</v>
      </c>
      <c r="G3450" s="11">
        <v>12000</v>
      </c>
      <c r="H3450" s="11">
        <v>533344</v>
      </c>
      <c r="I3450" s="11" t="s">
        <v>5511</v>
      </c>
      <c r="J3450" s="11" t="s">
        <v>301</v>
      </c>
      <c r="K3450" s="11" t="s">
        <v>3299</v>
      </c>
      <c r="L3450" s="11" t="s">
        <v>10437</v>
      </c>
      <c r="M3450" s="11" t="s">
        <v>16376</v>
      </c>
      <c r="N3450" s="11">
        <v>3972</v>
      </c>
      <c r="O3450" s="11">
        <v>15396</v>
      </c>
      <c r="P3450" s="11">
        <v>0</v>
      </c>
      <c r="Q3450" s="11" t="s">
        <v>16377</v>
      </c>
      <c r="R3450" s="14" t="s">
        <v>16378</v>
      </c>
      <c r="S3450" s="11">
        <v>95</v>
      </c>
      <c r="T3450" s="11" t="s">
        <v>39</v>
      </c>
      <c r="U3450" s="11" t="s">
        <v>40</v>
      </c>
      <c r="V3450" s="11" t="s">
        <v>41</v>
      </c>
      <c r="W3450" s="13"/>
      <c r="X3450" s="11">
        <v>2003</v>
      </c>
      <c r="Y3450" s="11">
        <v>844</v>
      </c>
      <c r="Z3450" s="11">
        <v>5.5</v>
      </c>
      <c r="AA3450" s="11">
        <v>1.85</v>
      </c>
      <c r="AB3450" s="11">
        <v>655</v>
      </c>
      <c r="AC3450" s="11"/>
      <c r="AD3450" s="11" t="str">
        <f>IFERROR(__xludf.DUMMYFUNCTION("""COMPUTED_VALUE"""),"Christian Campbell")</f>
        <v>Christian Campbell</v>
      </c>
      <c r="AE3450" s="11"/>
    </row>
    <row r="3451" customHeight="1" spans="1:31">
      <c r="A3451" s="12" t="s">
        <v>30</v>
      </c>
      <c r="B3451" s="12" t="s">
        <v>16379</v>
      </c>
      <c r="C3451" s="12">
        <v>38</v>
      </c>
      <c r="D3451" s="12">
        <v>103</v>
      </c>
      <c r="E3451" s="12">
        <v>27</v>
      </c>
      <c r="F3451" s="12">
        <v>59</v>
      </c>
      <c r="G3451" s="12">
        <v>71</v>
      </c>
      <c r="H3451" s="12">
        <v>206400</v>
      </c>
      <c r="I3451" s="12" t="s">
        <v>16012</v>
      </c>
      <c r="J3451" s="12" t="s">
        <v>8715</v>
      </c>
      <c r="K3451" s="12" t="s">
        <v>13556</v>
      </c>
      <c r="L3451" s="12" t="s">
        <v>16380</v>
      </c>
      <c r="M3451" s="12" t="s">
        <v>16381</v>
      </c>
      <c r="N3451" s="12">
        <v>1439</v>
      </c>
      <c r="O3451" s="12">
        <v>262</v>
      </c>
      <c r="P3451" s="12">
        <v>0</v>
      </c>
      <c r="Q3451" s="12" t="s">
        <v>16382</v>
      </c>
      <c r="R3451" s="15" t="s">
        <v>16383</v>
      </c>
      <c r="S3451" s="12">
        <v>26</v>
      </c>
      <c r="T3451" s="12" t="s">
        <v>1465</v>
      </c>
      <c r="U3451" s="12" t="s">
        <v>1466</v>
      </c>
      <c r="V3451" s="16"/>
      <c r="W3451" s="12">
        <v>50000000</v>
      </c>
      <c r="X3451" s="12">
        <v>2001</v>
      </c>
      <c r="Y3451" s="12">
        <v>59</v>
      </c>
      <c r="Z3451" s="12">
        <v>6.9</v>
      </c>
      <c r="AA3451" s="16"/>
      <c r="AB3451" s="12">
        <v>26</v>
      </c>
      <c r="AC3451" s="12"/>
      <c r="AD3451" s="12" t="str">
        <f>IFERROR(__xludf.DUMMYFUNCTION("""COMPUTED_VALUE"""),"Gabriel Damon")</f>
        <v>Gabriel Damon</v>
      </c>
      <c r="AE3451" s="12"/>
    </row>
    <row r="3452" customHeight="1" spans="1:31">
      <c r="A3452" s="11" t="s">
        <v>30</v>
      </c>
      <c r="B3452" s="11" t="s">
        <v>9431</v>
      </c>
      <c r="C3452" s="11">
        <v>133</v>
      </c>
      <c r="D3452" s="11">
        <v>93</v>
      </c>
      <c r="E3452" s="11">
        <v>187</v>
      </c>
      <c r="F3452" s="11">
        <v>158</v>
      </c>
      <c r="G3452" s="11">
        <v>631</v>
      </c>
      <c r="H3452" s="11">
        <v>197148</v>
      </c>
      <c r="I3452" s="11" t="s">
        <v>16384</v>
      </c>
      <c r="J3452" s="11" t="s">
        <v>75</v>
      </c>
      <c r="K3452" s="11" t="s">
        <v>4719</v>
      </c>
      <c r="L3452" s="11" t="s">
        <v>16385</v>
      </c>
      <c r="M3452" s="11" t="s">
        <v>16386</v>
      </c>
      <c r="N3452" s="11">
        <v>18109</v>
      </c>
      <c r="O3452" s="11">
        <v>1176</v>
      </c>
      <c r="P3452" s="11">
        <v>0</v>
      </c>
      <c r="Q3452" s="11" t="s">
        <v>16387</v>
      </c>
      <c r="R3452" s="14" t="s">
        <v>16388</v>
      </c>
      <c r="S3452" s="11">
        <v>150</v>
      </c>
      <c r="T3452" s="11" t="s">
        <v>39</v>
      </c>
      <c r="U3452" s="11" t="s">
        <v>58</v>
      </c>
      <c r="V3452" s="11" t="s">
        <v>586</v>
      </c>
      <c r="W3452" s="11">
        <v>7500000</v>
      </c>
      <c r="X3452" s="11">
        <v>2003</v>
      </c>
      <c r="Y3452" s="11">
        <v>163</v>
      </c>
      <c r="Z3452" s="11">
        <v>6.3</v>
      </c>
      <c r="AA3452" s="11">
        <v>2.35</v>
      </c>
      <c r="AB3452" s="11">
        <v>0</v>
      </c>
      <c r="AC3452" s="11"/>
      <c r="AD3452" s="11" t="str">
        <f>IFERROR(__xludf.DUMMYFUNCTION("""COMPUTED_VALUE"""),"Bill Erwin")</f>
        <v>Bill Erwin</v>
      </c>
      <c r="AE3452" s="11"/>
    </row>
    <row r="3453" customHeight="1" spans="1:31">
      <c r="A3453" s="12" t="s">
        <v>30</v>
      </c>
      <c r="B3453" s="12" t="s">
        <v>16389</v>
      </c>
      <c r="C3453" s="12">
        <v>4</v>
      </c>
      <c r="D3453" s="12">
        <v>101</v>
      </c>
      <c r="E3453" s="12">
        <v>22</v>
      </c>
      <c r="F3453" s="12">
        <v>447</v>
      </c>
      <c r="G3453" s="12">
        <v>5000</v>
      </c>
      <c r="H3453" s="16"/>
      <c r="I3453" s="12" t="s">
        <v>1672</v>
      </c>
      <c r="J3453" s="12" t="s">
        <v>2398</v>
      </c>
      <c r="K3453" s="12" t="s">
        <v>13732</v>
      </c>
      <c r="L3453" s="12" t="s">
        <v>3924</v>
      </c>
      <c r="M3453" s="12" t="s">
        <v>16390</v>
      </c>
      <c r="N3453" s="12">
        <v>243</v>
      </c>
      <c r="O3453" s="12">
        <v>7206</v>
      </c>
      <c r="P3453" s="12">
        <v>3</v>
      </c>
      <c r="Q3453" s="16"/>
      <c r="R3453" s="15" t="s">
        <v>16391</v>
      </c>
      <c r="S3453" s="12">
        <v>3</v>
      </c>
      <c r="T3453" s="12" t="s">
        <v>39</v>
      </c>
      <c r="U3453" s="12" t="s">
        <v>58</v>
      </c>
      <c r="V3453" s="16"/>
      <c r="W3453" s="12">
        <v>7500000</v>
      </c>
      <c r="X3453" s="12">
        <v>2012</v>
      </c>
      <c r="Y3453" s="12">
        <v>659</v>
      </c>
      <c r="Z3453" s="12">
        <v>4.8</v>
      </c>
      <c r="AA3453" s="16"/>
      <c r="AB3453" s="12">
        <v>223</v>
      </c>
      <c r="AC3453" s="12"/>
      <c r="AD3453" s="12" t="str">
        <f>IFERROR(__xludf.DUMMYFUNCTION("""COMPUTED_VALUE"""),"Min-sik Choi")</f>
        <v>Min-sik Choi</v>
      </c>
      <c r="AE3453" s="12"/>
    </row>
    <row r="3454" customHeight="1" spans="1:31">
      <c r="A3454" s="11" t="s">
        <v>30</v>
      </c>
      <c r="B3454" s="11" t="s">
        <v>8509</v>
      </c>
      <c r="C3454" s="11">
        <v>287</v>
      </c>
      <c r="D3454" s="11">
        <v>115</v>
      </c>
      <c r="E3454" s="11">
        <v>549</v>
      </c>
      <c r="F3454" s="11">
        <v>911</v>
      </c>
      <c r="G3454" s="11">
        <v>3000</v>
      </c>
      <c r="H3454" s="11">
        <v>54557348</v>
      </c>
      <c r="I3454" s="11" t="s">
        <v>2126</v>
      </c>
      <c r="J3454" s="11" t="s">
        <v>252</v>
      </c>
      <c r="K3454" s="11" t="s">
        <v>3077</v>
      </c>
      <c r="L3454" s="11" t="s">
        <v>5166</v>
      </c>
      <c r="M3454" s="11" t="s">
        <v>15200</v>
      </c>
      <c r="N3454" s="11">
        <v>361169</v>
      </c>
      <c r="O3454" s="11">
        <v>5732</v>
      </c>
      <c r="P3454" s="11">
        <v>0</v>
      </c>
      <c r="Q3454" s="11" t="s">
        <v>15201</v>
      </c>
      <c r="R3454" s="14" t="s">
        <v>15202</v>
      </c>
      <c r="S3454" s="11">
        <v>1624</v>
      </c>
      <c r="T3454" s="11" t="s">
        <v>39</v>
      </c>
      <c r="U3454" s="11" t="s">
        <v>768</v>
      </c>
      <c r="V3454" s="11" t="s">
        <v>586</v>
      </c>
      <c r="W3454" s="11">
        <v>6500000</v>
      </c>
      <c r="X3454" s="11">
        <v>2004</v>
      </c>
      <c r="Y3454" s="11">
        <v>912</v>
      </c>
      <c r="Z3454" s="11">
        <v>7.9</v>
      </c>
      <c r="AA3454" s="11">
        <v>2.35</v>
      </c>
      <c r="AB3454" s="11">
        <v>18000</v>
      </c>
      <c r="AC3454" s="11"/>
      <c r="AD3454" s="11" t="str">
        <f>IFERROR(__xludf.DUMMYFUNCTION("""COMPUTED_VALUE"""),"Bin Won")</f>
        <v>Bin Won</v>
      </c>
      <c r="AE3454" s="11"/>
    </row>
    <row r="3455" customHeight="1" spans="1:31">
      <c r="A3455" s="12" t="s">
        <v>30</v>
      </c>
      <c r="B3455" s="12" t="s">
        <v>16392</v>
      </c>
      <c r="C3455" s="12">
        <v>222</v>
      </c>
      <c r="D3455" s="12">
        <v>113</v>
      </c>
      <c r="E3455" s="12">
        <v>127</v>
      </c>
      <c r="F3455" s="12">
        <v>373</v>
      </c>
      <c r="G3455" s="12">
        <v>3000</v>
      </c>
      <c r="H3455" s="12">
        <v>3014541</v>
      </c>
      <c r="I3455" s="12" t="s">
        <v>3410</v>
      </c>
      <c r="J3455" s="12" t="s">
        <v>14342</v>
      </c>
      <c r="K3455" s="12" t="s">
        <v>15448</v>
      </c>
      <c r="L3455" s="12" t="s">
        <v>8788</v>
      </c>
      <c r="M3455" s="12" t="s">
        <v>16393</v>
      </c>
      <c r="N3455" s="12">
        <v>19616</v>
      </c>
      <c r="O3455" s="12">
        <v>4370</v>
      </c>
      <c r="P3455" s="12">
        <v>3</v>
      </c>
      <c r="Q3455" s="12" t="s">
        <v>16394</v>
      </c>
      <c r="R3455" s="15" t="s">
        <v>16395</v>
      </c>
      <c r="S3455" s="12">
        <v>98</v>
      </c>
      <c r="T3455" s="12" t="s">
        <v>39</v>
      </c>
      <c r="U3455" s="12" t="s">
        <v>58</v>
      </c>
      <c r="V3455" s="12" t="s">
        <v>586</v>
      </c>
      <c r="W3455" s="12">
        <v>8000000</v>
      </c>
      <c r="X3455" s="12">
        <v>2011</v>
      </c>
      <c r="Y3455" s="12">
        <v>415</v>
      </c>
      <c r="Z3455" s="12">
        <v>6.7</v>
      </c>
      <c r="AA3455" s="12">
        <v>2.35</v>
      </c>
      <c r="AB3455" s="12">
        <v>0</v>
      </c>
      <c r="AC3455" s="12"/>
      <c r="AD3455" s="12" t="str">
        <f>IFERROR(__xludf.DUMMYFUNCTION("""COMPUTED_VALUE"""),"Lee J. Cobb")</f>
        <v>Lee J. Cobb</v>
      </c>
      <c r="AE3455" s="12"/>
    </row>
    <row r="3456" customHeight="1" spans="1:31">
      <c r="A3456" s="11" t="s">
        <v>30</v>
      </c>
      <c r="B3456" s="11" t="s">
        <v>16396</v>
      </c>
      <c r="C3456" s="11">
        <v>6</v>
      </c>
      <c r="D3456" s="11">
        <v>95</v>
      </c>
      <c r="E3456" s="11">
        <v>20</v>
      </c>
      <c r="F3456" s="11">
        <v>36</v>
      </c>
      <c r="G3456" s="11">
        <v>262</v>
      </c>
      <c r="H3456" s="13"/>
      <c r="I3456" s="11" t="s">
        <v>464</v>
      </c>
      <c r="J3456" s="11" t="s">
        <v>15512</v>
      </c>
      <c r="K3456" s="11" t="s">
        <v>16397</v>
      </c>
      <c r="L3456" s="11" t="s">
        <v>16398</v>
      </c>
      <c r="M3456" s="11" t="s">
        <v>16399</v>
      </c>
      <c r="N3456" s="11">
        <v>385</v>
      </c>
      <c r="O3456" s="11">
        <v>409</v>
      </c>
      <c r="P3456" s="11">
        <v>3</v>
      </c>
      <c r="Q3456" s="11" t="s">
        <v>16400</v>
      </c>
      <c r="R3456" s="14" t="s">
        <v>16401</v>
      </c>
      <c r="S3456" s="11">
        <v>4</v>
      </c>
      <c r="T3456" s="11" t="s">
        <v>39</v>
      </c>
      <c r="U3456" s="11" t="s">
        <v>16402</v>
      </c>
      <c r="V3456" s="13"/>
      <c r="W3456" s="11">
        <v>7500000</v>
      </c>
      <c r="X3456" s="11">
        <v>2012</v>
      </c>
      <c r="Y3456" s="11">
        <v>65</v>
      </c>
      <c r="Z3456" s="11">
        <v>5.6</v>
      </c>
      <c r="AA3456" s="13"/>
      <c r="AB3456" s="11">
        <v>389</v>
      </c>
      <c r="AC3456" s="11"/>
      <c r="AD3456" s="11" t="str">
        <f>IFERROR(__xludf.DUMMYFUNCTION("""COMPUTED_VALUE"""),"Robert Shaw")</f>
        <v>Robert Shaw</v>
      </c>
      <c r="AE3456" s="11"/>
    </row>
    <row r="3457" customHeight="1" spans="1:31">
      <c r="A3457" s="12" t="s">
        <v>30</v>
      </c>
      <c r="B3457" s="12" t="s">
        <v>16403</v>
      </c>
      <c r="C3457" s="12">
        <v>16</v>
      </c>
      <c r="D3457" s="12">
        <v>153</v>
      </c>
      <c r="E3457" s="12">
        <v>5</v>
      </c>
      <c r="F3457" s="12">
        <v>60</v>
      </c>
      <c r="G3457" s="12">
        <v>532</v>
      </c>
      <c r="H3457" s="12">
        <v>872643</v>
      </c>
      <c r="I3457" s="12" t="s">
        <v>2717</v>
      </c>
      <c r="J3457" s="12" t="s">
        <v>16404</v>
      </c>
      <c r="K3457" s="12" t="s">
        <v>16405</v>
      </c>
      <c r="L3457" s="12" t="s">
        <v>16406</v>
      </c>
      <c r="M3457" s="12" t="s">
        <v>16407</v>
      </c>
      <c r="N3457" s="12">
        <v>2909</v>
      </c>
      <c r="O3457" s="12">
        <v>902</v>
      </c>
      <c r="P3457" s="12">
        <v>3</v>
      </c>
      <c r="Q3457" s="12" t="s">
        <v>16408</v>
      </c>
      <c r="R3457" s="15" t="s">
        <v>16409</v>
      </c>
      <c r="S3457" s="12">
        <v>37</v>
      </c>
      <c r="T3457" s="12" t="s">
        <v>5612</v>
      </c>
      <c r="U3457" s="12" t="s">
        <v>40</v>
      </c>
      <c r="V3457" s="16"/>
      <c r="W3457" s="12">
        <v>6000000</v>
      </c>
      <c r="X3457" s="12">
        <v>2007</v>
      </c>
      <c r="Y3457" s="12">
        <v>249</v>
      </c>
      <c r="Z3457" s="12">
        <v>5.4</v>
      </c>
      <c r="AA3457" s="16"/>
      <c r="AB3457" s="12">
        <v>108</v>
      </c>
      <c r="AC3457" s="12"/>
      <c r="AD3457" s="12" t="str">
        <f>IFERROR(__xludf.DUMMYFUNCTION("""COMPUTED_VALUE"""),"Lambert Wilson")</f>
        <v>Lambert Wilson</v>
      </c>
      <c r="AE3457" s="12"/>
    </row>
    <row r="3458" customHeight="1" spans="1:31">
      <c r="A3458" s="11" t="s">
        <v>30</v>
      </c>
      <c r="B3458" s="11" t="s">
        <v>16410</v>
      </c>
      <c r="C3458" s="11">
        <v>242</v>
      </c>
      <c r="D3458" s="11">
        <v>89</v>
      </c>
      <c r="E3458" s="11">
        <v>10</v>
      </c>
      <c r="F3458" s="11">
        <v>106</v>
      </c>
      <c r="G3458" s="11">
        <v>963</v>
      </c>
      <c r="H3458" s="11">
        <v>4443403</v>
      </c>
      <c r="I3458" s="11" t="s">
        <v>16411</v>
      </c>
      <c r="J3458" s="11" t="s">
        <v>6663</v>
      </c>
      <c r="K3458" s="11" t="s">
        <v>6491</v>
      </c>
      <c r="L3458" s="11" t="s">
        <v>16412</v>
      </c>
      <c r="M3458" s="11" t="s">
        <v>16413</v>
      </c>
      <c r="N3458" s="11">
        <v>70194</v>
      </c>
      <c r="O3458" s="11">
        <v>1754</v>
      </c>
      <c r="P3458" s="11">
        <v>0</v>
      </c>
      <c r="Q3458" s="11" t="s">
        <v>16414</v>
      </c>
      <c r="R3458" s="14" t="s">
        <v>16415</v>
      </c>
      <c r="S3458" s="11">
        <v>158</v>
      </c>
      <c r="T3458" s="11" t="s">
        <v>1465</v>
      </c>
      <c r="U3458" s="11" t="s">
        <v>1466</v>
      </c>
      <c r="V3458" s="11" t="s">
        <v>41</v>
      </c>
      <c r="W3458" s="11">
        <v>7300000</v>
      </c>
      <c r="X3458" s="11">
        <v>2007</v>
      </c>
      <c r="Y3458" s="11">
        <v>545</v>
      </c>
      <c r="Z3458" s="11">
        <v>8</v>
      </c>
      <c r="AA3458" s="11">
        <v>1.85</v>
      </c>
      <c r="AB3458" s="11">
        <v>14000</v>
      </c>
      <c r="AC3458" s="11"/>
      <c r="AD3458" s="11" t="str">
        <f>IFERROR(__xludf.DUMMYFUNCTION("""COMPUTED_VALUE"""),"Charlotte Lewis")</f>
        <v>Charlotte Lewis</v>
      </c>
      <c r="AE3458" s="11"/>
    </row>
    <row r="3459" customHeight="1" spans="1:31">
      <c r="A3459" s="12" t="s">
        <v>30</v>
      </c>
      <c r="B3459" s="12" t="s">
        <v>2844</v>
      </c>
      <c r="C3459" s="12">
        <v>147</v>
      </c>
      <c r="D3459" s="12">
        <v>92</v>
      </c>
      <c r="E3459" s="12">
        <v>287</v>
      </c>
      <c r="F3459" s="12">
        <v>664</v>
      </c>
      <c r="G3459" s="12">
        <v>844</v>
      </c>
      <c r="H3459" s="16"/>
      <c r="I3459" s="12" t="s">
        <v>16416</v>
      </c>
      <c r="J3459" s="12" t="s">
        <v>10437</v>
      </c>
      <c r="K3459" s="12" t="s">
        <v>1748</v>
      </c>
      <c r="L3459" s="12" t="s">
        <v>3935</v>
      </c>
      <c r="M3459" s="12" t="s">
        <v>16417</v>
      </c>
      <c r="N3459" s="12">
        <v>19157</v>
      </c>
      <c r="O3459" s="12">
        <v>4099</v>
      </c>
      <c r="P3459" s="12">
        <v>2</v>
      </c>
      <c r="Q3459" s="12" t="s">
        <v>16418</v>
      </c>
      <c r="R3459" s="15" t="s">
        <v>16419</v>
      </c>
      <c r="S3459" s="12">
        <v>69</v>
      </c>
      <c r="T3459" s="12" t="s">
        <v>39</v>
      </c>
      <c r="U3459" s="12" t="s">
        <v>40</v>
      </c>
      <c r="V3459" s="12" t="s">
        <v>41</v>
      </c>
      <c r="W3459" s="12">
        <v>12000000</v>
      </c>
      <c r="X3459" s="12">
        <v>2009</v>
      </c>
      <c r="Y3459" s="12">
        <v>708</v>
      </c>
      <c r="Z3459" s="12">
        <v>5.7</v>
      </c>
      <c r="AA3459" s="12">
        <v>1.85</v>
      </c>
      <c r="AB3459" s="12">
        <v>0</v>
      </c>
      <c r="AC3459" s="12"/>
      <c r="AD3459" s="12" t="str">
        <f>IFERROR(__xludf.DUMMYFUNCTION("""COMPUTED_VALUE"""),"Ally Sheedy")</f>
        <v>Ally Sheedy</v>
      </c>
      <c r="AE3459" s="12"/>
    </row>
    <row r="3460" customHeight="1" spans="1:31">
      <c r="A3460" s="11" t="s">
        <v>30</v>
      </c>
      <c r="B3460" s="11" t="s">
        <v>16420</v>
      </c>
      <c r="C3460" s="11">
        <v>93</v>
      </c>
      <c r="D3460" s="11">
        <v>107</v>
      </c>
      <c r="E3460" s="11">
        <v>23</v>
      </c>
      <c r="F3460" s="11">
        <v>93</v>
      </c>
      <c r="G3460" s="11">
        <v>287</v>
      </c>
      <c r="H3460" s="13"/>
      <c r="I3460" s="11" t="s">
        <v>4075</v>
      </c>
      <c r="J3460" s="11" t="s">
        <v>16421</v>
      </c>
      <c r="K3460" s="11" t="s">
        <v>16422</v>
      </c>
      <c r="L3460" s="11" t="s">
        <v>16423</v>
      </c>
      <c r="M3460" s="11" t="s">
        <v>16424</v>
      </c>
      <c r="N3460" s="11">
        <v>80639</v>
      </c>
      <c r="O3460" s="11">
        <v>635</v>
      </c>
      <c r="P3460" s="11">
        <v>0</v>
      </c>
      <c r="Q3460" s="11" t="s">
        <v>16425</v>
      </c>
      <c r="R3460" s="14" t="s">
        <v>16426</v>
      </c>
      <c r="S3460" s="11">
        <v>96</v>
      </c>
      <c r="T3460" s="11" t="s">
        <v>8732</v>
      </c>
      <c r="U3460" s="11" t="s">
        <v>768</v>
      </c>
      <c r="V3460" s="13"/>
      <c r="W3460" s="11">
        <v>5000000</v>
      </c>
      <c r="X3460" s="11">
        <v>2008</v>
      </c>
      <c r="Y3460" s="11">
        <v>150</v>
      </c>
      <c r="Z3460" s="11">
        <v>7.6</v>
      </c>
      <c r="AA3460" s="11">
        <v>2.35</v>
      </c>
      <c r="AB3460" s="11">
        <v>25000</v>
      </c>
      <c r="AC3460" s="11"/>
      <c r="AD3460" s="11" t="str">
        <f>IFERROR(__xludf.DUMMYFUNCTION("""COMPUTED_VALUE"""),"Alex Veadov")</f>
        <v>Alex Veadov</v>
      </c>
      <c r="AE3460" s="11"/>
    </row>
    <row r="3461" customHeight="1" spans="1:31">
      <c r="A3461" s="12" t="s">
        <v>30</v>
      </c>
      <c r="B3461" s="12" t="s">
        <v>12850</v>
      </c>
      <c r="C3461" s="12">
        <v>253</v>
      </c>
      <c r="D3461" s="12">
        <v>118</v>
      </c>
      <c r="E3461" s="12">
        <v>0</v>
      </c>
      <c r="F3461" s="12">
        <v>500</v>
      </c>
      <c r="G3461" s="12">
        <v>18000</v>
      </c>
      <c r="H3461" s="12">
        <v>1330827</v>
      </c>
      <c r="I3461" s="12" t="s">
        <v>5544</v>
      </c>
      <c r="J3461" s="12" t="s">
        <v>588</v>
      </c>
      <c r="K3461" s="12" t="s">
        <v>9016</v>
      </c>
      <c r="L3461" s="12" t="s">
        <v>16427</v>
      </c>
      <c r="M3461" s="12" t="s">
        <v>16428</v>
      </c>
      <c r="N3461" s="12">
        <v>9866</v>
      </c>
      <c r="O3461" s="12">
        <v>19879</v>
      </c>
      <c r="P3461" s="12">
        <v>2</v>
      </c>
      <c r="Q3461" s="12" t="s">
        <v>16429</v>
      </c>
      <c r="R3461" s="15" t="s">
        <v>16430</v>
      </c>
      <c r="S3461" s="12">
        <v>73</v>
      </c>
      <c r="T3461" s="12" t="s">
        <v>39</v>
      </c>
      <c r="U3461" s="12" t="s">
        <v>1466</v>
      </c>
      <c r="V3461" s="12" t="s">
        <v>586</v>
      </c>
      <c r="W3461" s="12">
        <v>7000000</v>
      </c>
      <c r="X3461" s="12">
        <v>2016</v>
      </c>
      <c r="Y3461" s="12">
        <v>860</v>
      </c>
      <c r="Z3461" s="12">
        <v>7</v>
      </c>
      <c r="AA3461" s="12">
        <v>2.35</v>
      </c>
      <c r="AB3461" s="12">
        <v>0</v>
      </c>
      <c r="AC3461" s="12"/>
      <c r="AD3461" s="12" t="str">
        <f>IFERROR(__xludf.DUMMYFUNCTION("""COMPUTED_VALUE"""),"Jason Cottle")</f>
        <v>Jason Cottle</v>
      </c>
      <c r="AE3461" s="12"/>
    </row>
    <row r="3462" customHeight="1" spans="1:31">
      <c r="A3462" s="11" t="s">
        <v>30</v>
      </c>
      <c r="B3462" s="11" t="s">
        <v>16431</v>
      </c>
      <c r="C3462" s="11">
        <v>224</v>
      </c>
      <c r="D3462" s="11">
        <v>97</v>
      </c>
      <c r="E3462" s="11">
        <v>12</v>
      </c>
      <c r="F3462" s="11">
        <v>641</v>
      </c>
      <c r="G3462" s="11">
        <v>788</v>
      </c>
      <c r="H3462" s="11">
        <v>1818681</v>
      </c>
      <c r="I3462" s="11" t="s">
        <v>464</v>
      </c>
      <c r="J3462" s="11" t="s">
        <v>2871</v>
      </c>
      <c r="K3462" s="11" t="s">
        <v>3690</v>
      </c>
      <c r="L3462" s="11" t="s">
        <v>889</v>
      </c>
      <c r="M3462" s="11" t="s">
        <v>16432</v>
      </c>
      <c r="N3462" s="11">
        <v>74435</v>
      </c>
      <c r="O3462" s="11">
        <v>2486</v>
      </c>
      <c r="P3462" s="11">
        <v>1</v>
      </c>
      <c r="Q3462" s="11" t="s">
        <v>16433</v>
      </c>
      <c r="R3462" s="14" t="s">
        <v>16434</v>
      </c>
      <c r="S3462" s="11">
        <v>224</v>
      </c>
      <c r="T3462" s="11" t="s">
        <v>39</v>
      </c>
      <c r="U3462" s="11" t="s">
        <v>58</v>
      </c>
      <c r="V3462" s="11" t="s">
        <v>586</v>
      </c>
      <c r="W3462" s="11">
        <v>7300000</v>
      </c>
      <c r="X3462" s="11">
        <v>2009</v>
      </c>
      <c r="Y3462" s="11">
        <v>698</v>
      </c>
      <c r="Z3462" s="11">
        <v>7.2</v>
      </c>
      <c r="AA3462" s="11">
        <v>2.35</v>
      </c>
      <c r="AB3462" s="11">
        <v>0</v>
      </c>
      <c r="AC3462" s="11"/>
      <c r="AD3462" s="11" t="str">
        <f>IFERROR(__xludf.DUMMYFUNCTION("""COMPUTED_VALUE"""),"Rorke Denver")</f>
        <v>Rorke Denver</v>
      </c>
      <c r="AE3462" s="11"/>
    </row>
    <row r="3463" customHeight="1" spans="1:31">
      <c r="A3463" s="12" t="s">
        <v>30</v>
      </c>
      <c r="B3463" s="12" t="s">
        <v>80</v>
      </c>
      <c r="C3463" s="12">
        <v>392</v>
      </c>
      <c r="D3463" s="12">
        <v>156</v>
      </c>
      <c r="E3463" s="12">
        <v>0</v>
      </c>
      <c r="F3463" s="12">
        <v>4000</v>
      </c>
      <c r="G3463" s="12">
        <v>24000</v>
      </c>
      <c r="H3463" s="12">
        <v>336530303</v>
      </c>
      <c r="I3463" s="12" t="s">
        <v>81</v>
      </c>
      <c r="J3463" s="12" t="s">
        <v>82</v>
      </c>
      <c r="K3463" s="12" t="s">
        <v>83</v>
      </c>
      <c r="L3463" s="12" t="s">
        <v>84</v>
      </c>
      <c r="M3463" s="12" t="s">
        <v>85</v>
      </c>
      <c r="N3463" s="12">
        <v>383071</v>
      </c>
      <c r="O3463" s="12">
        <v>46055</v>
      </c>
      <c r="P3463" s="12">
        <v>0</v>
      </c>
      <c r="Q3463" s="12" t="s">
        <v>86</v>
      </c>
      <c r="R3463" s="15" t="s">
        <v>87</v>
      </c>
      <c r="S3463" s="12">
        <v>1902</v>
      </c>
      <c r="T3463" s="12" t="s">
        <v>39</v>
      </c>
      <c r="U3463" s="12" t="s">
        <v>40</v>
      </c>
      <c r="V3463" s="12" t="s">
        <v>41</v>
      </c>
      <c r="W3463" s="12">
        <v>258000000</v>
      </c>
      <c r="X3463" s="12">
        <v>2007</v>
      </c>
      <c r="Y3463" s="12">
        <v>11000</v>
      </c>
      <c r="Z3463" s="12">
        <v>6.2</v>
      </c>
      <c r="AA3463" s="12">
        <v>2.35</v>
      </c>
      <c r="AB3463" s="12">
        <v>0</v>
      </c>
      <c r="AC3463" s="12"/>
      <c r="AD3463" s="12" t="str">
        <f>IFERROR(__xludf.DUMMYFUNCTION("""COMPUTED_VALUE"""),"Josh Henderson")</f>
        <v>Josh Henderson</v>
      </c>
      <c r="AE3463" s="12"/>
    </row>
    <row r="3464" customHeight="1" spans="1:31">
      <c r="A3464" s="11" t="s">
        <v>30</v>
      </c>
      <c r="B3464" s="11" t="s">
        <v>16435</v>
      </c>
      <c r="C3464" s="11">
        <v>39</v>
      </c>
      <c r="D3464" s="11">
        <v>100</v>
      </c>
      <c r="E3464" s="11">
        <v>0</v>
      </c>
      <c r="F3464" s="11">
        <v>440</v>
      </c>
      <c r="G3464" s="11">
        <v>488</v>
      </c>
      <c r="H3464" s="11">
        <v>12610552</v>
      </c>
      <c r="I3464" s="11" t="s">
        <v>262</v>
      </c>
      <c r="J3464" s="11" t="s">
        <v>16436</v>
      </c>
      <c r="K3464" s="11" t="s">
        <v>7246</v>
      </c>
      <c r="L3464" s="11" t="s">
        <v>16437</v>
      </c>
      <c r="M3464" s="11" t="s">
        <v>16438</v>
      </c>
      <c r="N3464" s="11">
        <v>4682</v>
      </c>
      <c r="O3464" s="11">
        <v>2428</v>
      </c>
      <c r="P3464" s="11">
        <v>0</v>
      </c>
      <c r="Q3464" s="11" t="s">
        <v>16439</v>
      </c>
      <c r="R3464" s="14" t="s">
        <v>16440</v>
      </c>
      <c r="S3464" s="11">
        <v>206</v>
      </c>
      <c r="T3464" s="11" t="s">
        <v>39</v>
      </c>
      <c r="U3464" s="11" t="s">
        <v>40</v>
      </c>
      <c r="V3464" s="11" t="s">
        <v>41</v>
      </c>
      <c r="W3464" s="11">
        <v>7500000</v>
      </c>
      <c r="X3464" s="11">
        <v>1999</v>
      </c>
      <c r="Y3464" s="11">
        <v>488</v>
      </c>
      <c r="Z3464" s="11">
        <v>3.5</v>
      </c>
      <c r="AA3464" s="11">
        <v>1.37</v>
      </c>
      <c r="AB3464" s="11">
        <v>129</v>
      </c>
      <c r="AC3464" s="11"/>
      <c r="AD3464" s="11" t="str">
        <f>IFERROR(__xludf.DUMMYFUNCTION("""COMPUTED_VALUE"""),"Sid Haig")</f>
        <v>Sid Haig</v>
      </c>
      <c r="AE3464" s="11"/>
    </row>
    <row r="3465" customHeight="1" spans="1:31">
      <c r="A3465" s="12" t="s">
        <v>30</v>
      </c>
      <c r="B3465" s="12" t="s">
        <v>8187</v>
      </c>
      <c r="C3465" s="12">
        <v>387</v>
      </c>
      <c r="D3465" s="12">
        <v>96</v>
      </c>
      <c r="E3465" s="12">
        <v>655</v>
      </c>
      <c r="F3465" s="12">
        <v>973</v>
      </c>
      <c r="G3465" s="12">
        <v>24000</v>
      </c>
      <c r="H3465" s="12">
        <v>143492840</v>
      </c>
      <c r="I3465" s="12" t="s">
        <v>1415</v>
      </c>
      <c r="J3465" s="12" t="s">
        <v>82</v>
      </c>
      <c r="K3465" s="12" t="s">
        <v>750</v>
      </c>
      <c r="L3465" s="12" t="s">
        <v>480</v>
      </c>
      <c r="M3465" s="12" t="s">
        <v>16441</v>
      </c>
      <c r="N3465" s="12">
        <v>414335</v>
      </c>
      <c r="O3465" s="12">
        <v>28817</v>
      </c>
      <c r="P3465" s="12">
        <v>0</v>
      </c>
      <c r="Q3465" s="12" t="s">
        <v>16442</v>
      </c>
      <c r="R3465" s="15" t="s">
        <v>16443</v>
      </c>
      <c r="S3465" s="12">
        <v>881</v>
      </c>
      <c r="T3465" s="12" t="s">
        <v>39</v>
      </c>
      <c r="U3465" s="12" t="s">
        <v>40</v>
      </c>
      <c r="V3465" s="12" t="s">
        <v>41</v>
      </c>
      <c r="W3465" s="12">
        <v>7500000</v>
      </c>
      <c r="X3465" s="12">
        <v>2007</v>
      </c>
      <c r="Y3465" s="12">
        <v>3000</v>
      </c>
      <c r="Z3465" s="12">
        <v>7.5</v>
      </c>
      <c r="AA3465" s="12">
        <v>1.85</v>
      </c>
      <c r="AB3465" s="12">
        <v>10000</v>
      </c>
      <c r="AC3465" s="12"/>
      <c r="AD3465" s="12" t="str">
        <f>IFERROR(__xludf.DUMMYFUNCTION("""COMPUTED_VALUE"""),"Ashley Hinshaw")</f>
        <v>Ashley Hinshaw</v>
      </c>
      <c r="AE3465" s="12"/>
    </row>
    <row r="3466" customHeight="1" spans="1:31">
      <c r="A3466" s="11" t="s">
        <v>30</v>
      </c>
      <c r="B3466" s="11" t="s">
        <v>16444</v>
      </c>
      <c r="C3466" s="11">
        <v>36</v>
      </c>
      <c r="D3466" s="11">
        <v>104</v>
      </c>
      <c r="E3466" s="11">
        <v>249</v>
      </c>
      <c r="F3466" s="11">
        <v>96</v>
      </c>
      <c r="G3466" s="11">
        <v>294</v>
      </c>
      <c r="H3466" s="13"/>
      <c r="I3466" s="11" t="s">
        <v>60</v>
      </c>
      <c r="J3466" s="11" t="s">
        <v>11348</v>
      </c>
      <c r="K3466" s="11" t="s">
        <v>16445</v>
      </c>
      <c r="L3466" s="11" t="s">
        <v>16446</v>
      </c>
      <c r="M3466" s="11" t="s">
        <v>16447</v>
      </c>
      <c r="N3466" s="11">
        <v>4099</v>
      </c>
      <c r="O3466" s="11">
        <v>835</v>
      </c>
      <c r="P3466" s="11">
        <v>0</v>
      </c>
      <c r="Q3466" s="11" t="s">
        <v>16448</v>
      </c>
      <c r="R3466" s="14" t="s">
        <v>16449</v>
      </c>
      <c r="S3466" s="11">
        <v>29</v>
      </c>
      <c r="T3466" s="11" t="s">
        <v>39</v>
      </c>
      <c r="U3466" s="11" t="s">
        <v>269</v>
      </c>
      <c r="V3466" s="11" t="s">
        <v>586</v>
      </c>
      <c r="W3466" s="11">
        <v>7500000</v>
      </c>
      <c r="X3466" s="11">
        <v>2015</v>
      </c>
      <c r="Y3466" s="11">
        <v>284</v>
      </c>
      <c r="Z3466" s="11">
        <v>5.1</v>
      </c>
      <c r="AA3466" s="11">
        <v>1.85</v>
      </c>
      <c r="AB3466" s="11">
        <v>0</v>
      </c>
      <c r="AC3466" s="11"/>
      <c r="AD3466" s="11" t="str">
        <f>IFERROR(__xludf.DUMMYFUNCTION("""COMPUTED_VALUE"""),"Amy Irving")</f>
        <v>Amy Irving</v>
      </c>
      <c r="AE3466" s="11"/>
    </row>
    <row r="3467" customHeight="1" spans="1:31">
      <c r="A3467" s="12" t="s">
        <v>30</v>
      </c>
      <c r="B3467" s="12" t="s">
        <v>16450</v>
      </c>
      <c r="C3467" s="12">
        <v>120</v>
      </c>
      <c r="D3467" s="12">
        <v>120</v>
      </c>
      <c r="E3467" s="12">
        <v>82</v>
      </c>
      <c r="F3467" s="12">
        <v>175</v>
      </c>
      <c r="G3467" s="12">
        <v>244</v>
      </c>
      <c r="H3467" s="12">
        <v>43800000</v>
      </c>
      <c r="I3467" s="12" t="s">
        <v>51</v>
      </c>
      <c r="J3467" s="12" t="s">
        <v>1093</v>
      </c>
      <c r="K3467" s="12" t="s">
        <v>4827</v>
      </c>
      <c r="L3467" s="12" t="s">
        <v>16451</v>
      </c>
      <c r="M3467" s="12" t="s">
        <v>16452</v>
      </c>
      <c r="N3467" s="12">
        <v>74249</v>
      </c>
      <c r="O3467" s="12">
        <v>1105</v>
      </c>
      <c r="P3467" s="12">
        <v>2</v>
      </c>
      <c r="Q3467" s="12" t="s">
        <v>16453</v>
      </c>
      <c r="R3467" s="15" t="s">
        <v>16454</v>
      </c>
      <c r="S3467" s="12">
        <v>276</v>
      </c>
      <c r="T3467" s="12" t="s">
        <v>39</v>
      </c>
      <c r="U3467" s="12" t="s">
        <v>58</v>
      </c>
      <c r="V3467" s="12" t="s">
        <v>14105</v>
      </c>
      <c r="W3467" s="12">
        <v>7200000</v>
      </c>
      <c r="X3467" s="12">
        <v>1971</v>
      </c>
      <c r="Y3467" s="12">
        <v>177</v>
      </c>
      <c r="Z3467" s="12">
        <v>6.7</v>
      </c>
      <c r="AA3467" s="12">
        <v>2.35</v>
      </c>
      <c r="AB3467" s="12">
        <v>0</v>
      </c>
      <c r="AC3467" s="12"/>
      <c r="AD3467" s="12" t="str">
        <f>IFERROR(__xludf.DUMMYFUNCTION("""COMPUTED_VALUE"""),"Steven Hill")</f>
        <v>Steven Hill</v>
      </c>
      <c r="AE3467" s="12"/>
    </row>
    <row r="3468" customHeight="1" spans="1:31">
      <c r="A3468" s="11" t="s">
        <v>30</v>
      </c>
      <c r="B3468" s="11" t="s">
        <v>4851</v>
      </c>
      <c r="C3468" s="11">
        <v>208</v>
      </c>
      <c r="D3468" s="11">
        <v>175</v>
      </c>
      <c r="E3468" s="11">
        <v>0</v>
      </c>
      <c r="F3468" s="11">
        <v>3000</v>
      </c>
      <c r="G3468" s="11">
        <v>14000</v>
      </c>
      <c r="H3468" s="11">
        <v>134821952</v>
      </c>
      <c r="I3468" s="11" t="s">
        <v>1936</v>
      </c>
      <c r="J3468" s="11" t="s">
        <v>2383</v>
      </c>
      <c r="K3468" s="11" t="s">
        <v>121</v>
      </c>
      <c r="L3468" s="11" t="s">
        <v>1689</v>
      </c>
      <c r="M3468" s="11" t="s">
        <v>16455</v>
      </c>
      <c r="N3468" s="11">
        <v>1155770</v>
      </c>
      <c r="O3468" s="11">
        <v>28122</v>
      </c>
      <c r="P3468" s="11">
        <v>1</v>
      </c>
      <c r="Q3468" s="11" t="s">
        <v>16456</v>
      </c>
      <c r="R3468" s="14" t="s">
        <v>16457</v>
      </c>
      <c r="S3468" s="11">
        <v>2238</v>
      </c>
      <c r="T3468" s="11" t="s">
        <v>39</v>
      </c>
      <c r="U3468" s="11" t="s">
        <v>40</v>
      </c>
      <c r="V3468" s="11" t="s">
        <v>586</v>
      </c>
      <c r="W3468" s="11">
        <v>6000000</v>
      </c>
      <c r="X3468" s="11">
        <v>1972</v>
      </c>
      <c r="Y3468" s="11">
        <v>10000</v>
      </c>
      <c r="Z3468" s="11">
        <v>9.2</v>
      </c>
      <c r="AA3468" s="11">
        <v>1.85</v>
      </c>
      <c r="AB3468" s="11">
        <v>43000</v>
      </c>
      <c r="AC3468" s="11"/>
      <c r="AD3468" s="11" t="str">
        <f>IFERROR(__xludf.DUMMYFUNCTION("""COMPUTED_VALUE"""),"Britney Spears")</f>
        <v>Britney Spears</v>
      </c>
      <c r="AE3468" s="11"/>
    </row>
    <row r="3469" customHeight="1" spans="1:31">
      <c r="A3469" s="12" t="s">
        <v>30</v>
      </c>
      <c r="B3469" s="12" t="s">
        <v>5176</v>
      </c>
      <c r="C3469" s="12">
        <v>51</v>
      </c>
      <c r="D3469" s="12">
        <v>95</v>
      </c>
      <c r="E3469" s="12">
        <v>213</v>
      </c>
      <c r="F3469" s="12">
        <v>92</v>
      </c>
      <c r="G3469" s="12">
        <v>225</v>
      </c>
      <c r="H3469" s="12">
        <v>94900000</v>
      </c>
      <c r="I3469" s="12" t="s">
        <v>7837</v>
      </c>
      <c r="J3469" s="12" t="s">
        <v>6054</v>
      </c>
      <c r="K3469" s="12" t="s">
        <v>16458</v>
      </c>
      <c r="L3469" s="12" t="s">
        <v>16459</v>
      </c>
      <c r="M3469" s="12" t="s">
        <v>16460</v>
      </c>
      <c r="N3469" s="12">
        <v>35172</v>
      </c>
      <c r="O3469" s="12">
        <v>791</v>
      </c>
      <c r="P3469" s="12">
        <v>0</v>
      </c>
      <c r="Q3469" s="12" t="s">
        <v>16461</v>
      </c>
      <c r="R3469" s="15" t="s">
        <v>16462</v>
      </c>
      <c r="S3469" s="12">
        <v>128</v>
      </c>
      <c r="T3469" s="12" t="s">
        <v>39</v>
      </c>
      <c r="U3469" s="12" t="s">
        <v>40</v>
      </c>
      <c r="V3469" s="12" t="s">
        <v>586</v>
      </c>
      <c r="W3469" s="12">
        <v>4000000</v>
      </c>
      <c r="X3469" s="12">
        <v>1983</v>
      </c>
      <c r="Y3469" s="12">
        <v>174</v>
      </c>
      <c r="Z3469" s="12">
        <v>6.1</v>
      </c>
      <c r="AA3469" s="12">
        <v>1.85</v>
      </c>
      <c r="AB3469" s="12">
        <v>0</v>
      </c>
      <c r="AC3469" s="12"/>
      <c r="AD3469" s="12" t="str">
        <f>IFERROR(__xludf.DUMMYFUNCTION("""COMPUTED_VALUE"""),"Katherine Boecher")</f>
        <v>Katherine Boecher</v>
      </c>
      <c r="AE3469" s="12"/>
    </row>
    <row r="3470" customHeight="1" spans="1:31">
      <c r="A3470" s="11" t="s">
        <v>30</v>
      </c>
      <c r="B3470" s="11" t="s">
        <v>181</v>
      </c>
      <c r="C3470" s="11">
        <v>331</v>
      </c>
      <c r="D3470" s="11">
        <v>95</v>
      </c>
      <c r="E3470" s="11">
        <v>464</v>
      </c>
      <c r="F3470" s="11">
        <v>11000</v>
      </c>
      <c r="G3470" s="11">
        <v>23000</v>
      </c>
      <c r="H3470" s="11">
        <v>32391374</v>
      </c>
      <c r="I3470" s="11" t="s">
        <v>1415</v>
      </c>
      <c r="J3470" s="11" t="s">
        <v>63</v>
      </c>
      <c r="K3470" s="11" t="s">
        <v>490</v>
      </c>
      <c r="L3470" s="11" t="s">
        <v>1950</v>
      </c>
      <c r="M3470" s="11" t="s">
        <v>16463</v>
      </c>
      <c r="N3470" s="11">
        <v>376600</v>
      </c>
      <c r="O3470" s="11">
        <v>54075</v>
      </c>
      <c r="P3470" s="11">
        <v>43</v>
      </c>
      <c r="Q3470" s="11" t="s">
        <v>16464</v>
      </c>
      <c r="R3470" s="14" t="s">
        <v>16465</v>
      </c>
      <c r="S3470" s="11">
        <v>494</v>
      </c>
      <c r="T3470" s="11" t="s">
        <v>39</v>
      </c>
      <c r="U3470" s="11" t="s">
        <v>40</v>
      </c>
      <c r="V3470" s="11" t="s">
        <v>41</v>
      </c>
      <c r="W3470" s="11">
        <v>7500000</v>
      </c>
      <c r="X3470" s="11">
        <v>2009</v>
      </c>
      <c r="Y3470" s="11">
        <v>17000</v>
      </c>
      <c r="Z3470" s="11">
        <v>7.7</v>
      </c>
      <c r="AA3470" s="11">
        <v>2.35</v>
      </c>
      <c r="AB3470" s="11">
        <v>40000</v>
      </c>
      <c r="AC3470" s="11"/>
      <c r="AD3470" s="11" t="str">
        <f>IFERROR(__xludf.DUMMYFUNCTION("""COMPUTED_VALUE"""),"Dave Allen")</f>
        <v>Dave Allen</v>
      </c>
      <c r="AE3470" s="11"/>
    </row>
    <row r="3471" customHeight="1" spans="1:31">
      <c r="A3471" s="12" t="s">
        <v>30</v>
      </c>
      <c r="B3471" s="12" t="s">
        <v>14296</v>
      </c>
      <c r="C3471" s="12">
        <v>83</v>
      </c>
      <c r="D3471" s="12">
        <v>121</v>
      </c>
      <c r="E3471" s="12">
        <v>319</v>
      </c>
      <c r="F3471" s="12">
        <v>11</v>
      </c>
      <c r="G3471" s="12">
        <v>1000</v>
      </c>
      <c r="H3471" s="12">
        <v>40158000</v>
      </c>
      <c r="I3471" s="12" t="s">
        <v>7837</v>
      </c>
      <c r="J3471" s="12" t="s">
        <v>2061</v>
      </c>
      <c r="K3471" s="12" t="s">
        <v>16466</v>
      </c>
      <c r="L3471" s="12" t="s">
        <v>16467</v>
      </c>
      <c r="M3471" s="12" t="s">
        <v>16468</v>
      </c>
      <c r="N3471" s="12">
        <v>63931</v>
      </c>
      <c r="O3471" s="12">
        <v>1051</v>
      </c>
      <c r="P3471" s="12">
        <v>1</v>
      </c>
      <c r="Q3471" s="12" t="s">
        <v>16469</v>
      </c>
      <c r="R3471" s="15" t="s">
        <v>16470</v>
      </c>
      <c r="S3471" s="12">
        <v>241</v>
      </c>
      <c r="T3471" s="12" t="s">
        <v>39</v>
      </c>
      <c r="U3471" s="12" t="s">
        <v>180</v>
      </c>
      <c r="V3471" s="12" t="s">
        <v>586</v>
      </c>
      <c r="W3471" s="12">
        <v>7000000</v>
      </c>
      <c r="X3471" s="12">
        <v>1993</v>
      </c>
      <c r="Y3471" s="12">
        <v>18</v>
      </c>
      <c r="Z3471" s="12">
        <v>7.6</v>
      </c>
      <c r="AA3471" s="12">
        <v>1.85</v>
      </c>
      <c r="AB3471" s="12">
        <v>0</v>
      </c>
      <c r="AC3471" s="12"/>
      <c r="AD3471" s="12" t="str">
        <f>IFERROR(__xludf.DUMMYFUNCTION("""COMPUTED_VALUE"""),"Kirby Bliss Blanton")</f>
        <v>Kirby Bliss Blanton</v>
      </c>
      <c r="AE3471" s="12"/>
    </row>
    <row r="3472" customHeight="1" spans="1:31">
      <c r="A3472" s="11" t="s">
        <v>30</v>
      </c>
      <c r="B3472" s="11" t="s">
        <v>1527</v>
      </c>
      <c r="C3472" s="11">
        <v>324</v>
      </c>
      <c r="D3472" s="11">
        <v>110</v>
      </c>
      <c r="E3472" s="11">
        <v>0</v>
      </c>
      <c r="F3472" s="11">
        <v>11000</v>
      </c>
      <c r="G3472" s="11">
        <v>17000</v>
      </c>
      <c r="H3472" s="11">
        <v>113709992</v>
      </c>
      <c r="I3472" s="11" t="s">
        <v>2528</v>
      </c>
      <c r="J3472" s="11" t="s">
        <v>445</v>
      </c>
      <c r="K3472" s="11" t="s">
        <v>5183</v>
      </c>
      <c r="L3472" s="11" t="s">
        <v>661</v>
      </c>
      <c r="M3472" s="11" t="s">
        <v>16471</v>
      </c>
      <c r="N3472" s="11">
        <v>108843</v>
      </c>
      <c r="O3472" s="11">
        <v>46646</v>
      </c>
      <c r="P3472" s="11">
        <v>1</v>
      </c>
      <c r="Q3472" s="11" t="s">
        <v>16472</v>
      </c>
      <c r="R3472" s="14" t="s">
        <v>16473</v>
      </c>
      <c r="S3472" s="11">
        <v>281</v>
      </c>
      <c r="T3472" s="11" t="s">
        <v>39</v>
      </c>
      <c r="U3472" s="11" t="s">
        <v>40</v>
      </c>
      <c r="V3472" s="11" t="s">
        <v>586</v>
      </c>
      <c r="W3472" s="11">
        <v>7000000</v>
      </c>
      <c r="X3472" s="11">
        <v>2012</v>
      </c>
      <c r="Y3472" s="11">
        <v>15000</v>
      </c>
      <c r="Z3472" s="11">
        <v>6.1</v>
      </c>
      <c r="AA3472" s="11">
        <v>2.35</v>
      </c>
      <c r="AB3472" s="11">
        <v>54000</v>
      </c>
      <c r="AC3472" s="11"/>
      <c r="AD3472" s="11" t="str">
        <f>IFERROR(__xludf.DUMMYFUNCTION("""COMPUTED_VALUE"""),"Oliver Cooper")</f>
        <v>Oliver Cooper</v>
      </c>
      <c r="AE3472" s="11"/>
    </row>
    <row r="3473" customHeight="1" spans="1:31">
      <c r="A3473" s="12" t="s">
        <v>30</v>
      </c>
      <c r="B3473" s="12" t="s">
        <v>877</v>
      </c>
      <c r="C3473" s="12">
        <v>140</v>
      </c>
      <c r="D3473" s="12">
        <v>96</v>
      </c>
      <c r="E3473" s="12">
        <v>474</v>
      </c>
      <c r="F3473" s="12">
        <v>82</v>
      </c>
      <c r="G3473" s="12">
        <v>1000</v>
      </c>
      <c r="H3473" s="12">
        <v>32131483</v>
      </c>
      <c r="I3473" s="12" t="s">
        <v>3030</v>
      </c>
      <c r="J3473" s="12" t="s">
        <v>1572</v>
      </c>
      <c r="K3473" s="12" t="s">
        <v>16474</v>
      </c>
      <c r="L3473" s="12" t="s">
        <v>16475</v>
      </c>
      <c r="M3473" s="12" t="s">
        <v>16476</v>
      </c>
      <c r="N3473" s="12">
        <v>25870</v>
      </c>
      <c r="O3473" s="12">
        <v>2212</v>
      </c>
      <c r="P3473" s="12">
        <v>0</v>
      </c>
      <c r="Q3473" s="12" t="s">
        <v>16477</v>
      </c>
      <c r="R3473" s="15" t="s">
        <v>16478</v>
      </c>
      <c r="S3473" s="12">
        <v>369</v>
      </c>
      <c r="T3473" s="12" t="s">
        <v>39</v>
      </c>
      <c r="U3473" s="12" t="s">
        <v>40</v>
      </c>
      <c r="V3473" s="12" t="s">
        <v>41</v>
      </c>
      <c r="W3473" s="12">
        <v>11000000</v>
      </c>
      <c r="X3473" s="12">
        <v>2003</v>
      </c>
      <c r="Y3473" s="12">
        <v>970</v>
      </c>
      <c r="Z3473" s="12">
        <v>4.9</v>
      </c>
      <c r="AA3473" s="12">
        <v>2.35</v>
      </c>
      <c r="AB3473" s="12">
        <v>2000</v>
      </c>
      <c r="AC3473" s="12"/>
      <c r="AD3473" s="12" t="str">
        <f>IFERROR(__xludf.DUMMYFUNCTION("""COMPUTED_VALUE"""),"Bill Hickman")</f>
        <v>Bill Hickman</v>
      </c>
      <c r="AE3473" s="12"/>
    </row>
    <row r="3474" customHeight="1" spans="1:31">
      <c r="A3474" s="11" t="s">
        <v>30</v>
      </c>
      <c r="B3474" s="11" t="s">
        <v>16450</v>
      </c>
      <c r="C3474" s="11">
        <v>136</v>
      </c>
      <c r="D3474" s="11">
        <v>121</v>
      </c>
      <c r="E3474" s="11">
        <v>82</v>
      </c>
      <c r="F3474" s="11">
        <v>189</v>
      </c>
      <c r="G3474" s="11">
        <v>581</v>
      </c>
      <c r="H3474" s="11">
        <v>35400000</v>
      </c>
      <c r="I3474" s="11" t="s">
        <v>51</v>
      </c>
      <c r="J3474" s="11" t="s">
        <v>8388</v>
      </c>
      <c r="K3474" s="11" t="s">
        <v>6104</v>
      </c>
      <c r="L3474" s="11" t="s">
        <v>16479</v>
      </c>
      <c r="M3474" s="11" t="s">
        <v>16480</v>
      </c>
      <c r="N3474" s="11">
        <v>74957</v>
      </c>
      <c r="O3474" s="11">
        <v>1865</v>
      </c>
      <c r="P3474" s="11">
        <v>3</v>
      </c>
      <c r="Q3474" s="11" t="s">
        <v>16481</v>
      </c>
      <c r="R3474" s="14" t="s">
        <v>16482</v>
      </c>
      <c r="S3474" s="11">
        <v>251</v>
      </c>
      <c r="T3474" s="11" t="s">
        <v>39</v>
      </c>
      <c r="U3474" s="11" t="s">
        <v>58</v>
      </c>
      <c r="V3474" s="11" t="s">
        <v>96</v>
      </c>
      <c r="W3474" s="11">
        <v>7000000</v>
      </c>
      <c r="X3474" s="11">
        <v>1973</v>
      </c>
      <c r="Y3474" s="11">
        <v>547</v>
      </c>
      <c r="Z3474" s="11">
        <v>6.8</v>
      </c>
      <c r="AA3474" s="11">
        <v>1.66</v>
      </c>
      <c r="AB3474" s="11">
        <v>0</v>
      </c>
      <c r="AC3474" s="11"/>
      <c r="AD3474" s="11" t="str">
        <f>IFERROR(__xludf.DUMMYFUNCTION("""COMPUTED_VALUE"""),"Jerry Nelson")</f>
        <v>Jerry Nelson</v>
      </c>
      <c r="AE3474" s="11"/>
    </row>
    <row r="3475" customHeight="1" spans="1:31">
      <c r="A3475" s="12" t="s">
        <v>30</v>
      </c>
      <c r="B3475" s="12" t="s">
        <v>4054</v>
      </c>
      <c r="C3475" s="12">
        <v>79</v>
      </c>
      <c r="D3475" s="12">
        <v>95</v>
      </c>
      <c r="E3475" s="12">
        <v>13</v>
      </c>
      <c r="F3475" s="12">
        <v>430</v>
      </c>
      <c r="G3475" s="12">
        <v>1000</v>
      </c>
      <c r="H3475" s="12">
        <v>34099640</v>
      </c>
      <c r="I3475" s="12" t="s">
        <v>7964</v>
      </c>
      <c r="J3475" s="12" t="s">
        <v>1332</v>
      </c>
      <c r="K3475" s="12" t="s">
        <v>8307</v>
      </c>
      <c r="L3475" s="12" t="s">
        <v>16483</v>
      </c>
      <c r="M3475" s="12" t="s">
        <v>16484</v>
      </c>
      <c r="N3475" s="12">
        <v>16651</v>
      </c>
      <c r="O3475" s="12">
        <v>2515</v>
      </c>
      <c r="P3475" s="12">
        <v>0</v>
      </c>
      <c r="Q3475" s="12" t="s">
        <v>16485</v>
      </c>
      <c r="R3475" s="15" t="s">
        <v>16486</v>
      </c>
      <c r="S3475" s="12">
        <v>149</v>
      </c>
      <c r="T3475" s="12" t="s">
        <v>39</v>
      </c>
      <c r="U3475" s="12" t="s">
        <v>40</v>
      </c>
      <c r="V3475" s="12" t="s">
        <v>96</v>
      </c>
      <c r="W3475" s="12">
        <v>5000000</v>
      </c>
      <c r="X3475" s="12">
        <v>2000</v>
      </c>
      <c r="Y3475" s="12">
        <v>934</v>
      </c>
      <c r="Z3475" s="12">
        <v>7</v>
      </c>
      <c r="AA3475" s="12">
        <v>1.37</v>
      </c>
      <c r="AB3475" s="12">
        <v>0</v>
      </c>
      <c r="AC3475" s="12"/>
      <c r="AD3475" s="12" t="str">
        <f>IFERROR(__xludf.DUMMYFUNCTION("""COMPUTED_VALUE"""),"Lexie Contursi")</f>
        <v>Lexie Contursi</v>
      </c>
      <c r="AE3475" s="12"/>
    </row>
    <row r="3476" customHeight="1" spans="1:31">
      <c r="A3476" s="11" t="s">
        <v>30</v>
      </c>
      <c r="B3476" s="11" t="s">
        <v>16487</v>
      </c>
      <c r="C3476" s="11">
        <v>160</v>
      </c>
      <c r="D3476" s="11">
        <v>112</v>
      </c>
      <c r="E3476" s="11">
        <v>20</v>
      </c>
      <c r="F3476" s="11">
        <v>61</v>
      </c>
      <c r="G3476" s="11">
        <v>16000</v>
      </c>
      <c r="H3476" s="11">
        <v>31973840</v>
      </c>
      <c r="I3476" s="11" t="s">
        <v>1415</v>
      </c>
      <c r="J3476" s="11" t="s">
        <v>315</v>
      </c>
      <c r="K3476" s="11" t="s">
        <v>16488</v>
      </c>
      <c r="L3476" s="11" t="s">
        <v>16489</v>
      </c>
      <c r="M3476" s="11" t="s">
        <v>16490</v>
      </c>
      <c r="N3476" s="11">
        <v>127760</v>
      </c>
      <c r="O3476" s="11">
        <v>16289</v>
      </c>
      <c r="P3476" s="11">
        <v>5</v>
      </c>
      <c r="Q3476" s="11" t="s">
        <v>16491</v>
      </c>
      <c r="R3476" s="14" t="s">
        <v>16492</v>
      </c>
      <c r="S3476" s="11">
        <v>168</v>
      </c>
      <c r="T3476" s="11" t="s">
        <v>39</v>
      </c>
      <c r="U3476" s="11" t="s">
        <v>768</v>
      </c>
      <c r="V3476" s="11" t="s">
        <v>41</v>
      </c>
      <c r="W3476" s="13"/>
      <c r="X3476" s="11">
        <v>2008</v>
      </c>
      <c r="Y3476" s="11">
        <v>109</v>
      </c>
      <c r="Z3476" s="11">
        <v>7.2</v>
      </c>
      <c r="AA3476" s="11">
        <v>2.35</v>
      </c>
      <c r="AB3476" s="11">
        <v>0</v>
      </c>
      <c r="AC3476" s="11"/>
      <c r="AD3476" s="11" t="str">
        <f>IFERROR(__xludf.DUMMYFUNCTION("""COMPUTED_VALUE"""),"Ashley Ashida Dixon")</f>
        <v>Ashley Ashida Dixon</v>
      </c>
      <c r="AE3476" s="11"/>
    </row>
    <row r="3477" customHeight="1" spans="1:31">
      <c r="A3477" s="12" t="s">
        <v>30</v>
      </c>
      <c r="B3477" s="12" t="s">
        <v>14946</v>
      </c>
      <c r="C3477" s="12">
        <v>52</v>
      </c>
      <c r="D3477" s="12">
        <v>112</v>
      </c>
      <c r="E3477" s="12">
        <v>70</v>
      </c>
      <c r="F3477" s="12">
        <v>826</v>
      </c>
      <c r="G3477" s="12">
        <v>1000</v>
      </c>
      <c r="H3477" s="12">
        <v>37295394</v>
      </c>
      <c r="I3477" s="12" t="s">
        <v>2528</v>
      </c>
      <c r="J3477" s="12" t="s">
        <v>4179</v>
      </c>
      <c r="K3477" s="12" t="s">
        <v>3077</v>
      </c>
      <c r="L3477" s="12" t="s">
        <v>5953</v>
      </c>
      <c r="M3477" s="12" t="s">
        <v>16493</v>
      </c>
      <c r="N3477" s="12">
        <v>7973</v>
      </c>
      <c r="O3477" s="12">
        <v>5959</v>
      </c>
      <c r="P3477" s="12">
        <v>8</v>
      </c>
      <c r="Q3477" s="12" t="s">
        <v>16494</v>
      </c>
      <c r="R3477" s="15" t="s">
        <v>16495</v>
      </c>
      <c r="S3477" s="12">
        <v>59</v>
      </c>
      <c r="T3477" s="12" t="s">
        <v>39</v>
      </c>
      <c r="U3477" s="12" t="s">
        <v>40</v>
      </c>
      <c r="V3477" s="12" t="s">
        <v>41</v>
      </c>
      <c r="W3477" s="12">
        <v>6600000</v>
      </c>
      <c r="X3477" s="12">
        <v>2011</v>
      </c>
      <c r="Y3477" s="12">
        <v>912</v>
      </c>
      <c r="Z3477" s="12">
        <v>5.7</v>
      </c>
      <c r="AA3477" s="12">
        <v>1.85</v>
      </c>
      <c r="AB3477" s="12">
        <v>0</v>
      </c>
      <c r="AC3477" s="12"/>
      <c r="AD3477" s="12" t="str">
        <f>IFERROR(__xludf.DUMMYFUNCTION("""COMPUTED_VALUE"""),"Anthony Burrell")</f>
        <v>Anthony Burrell</v>
      </c>
      <c r="AE3477" s="12"/>
    </row>
    <row r="3478" customHeight="1" spans="1:31">
      <c r="A3478" s="11" t="s">
        <v>30</v>
      </c>
      <c r="B3478" s="11" t="s">
        <v>365</v>
      </c>
      <c r="C3478" s="11">
        <v>490</v>
      </c>
      <c r="D3478" s="11">
        <v>143</v>
      </c>
      <c r="E3478" s="11">
        <v>1000</v>
      </c>
      <c r="F3478" s="11">
        <v>76</v>
      </c>
      <c r="G3478" s="11">
        <v>29000</v>
      </c>
      <c r="H3478" s="11">
        <v>144812796</v>
      </c>
      <c r="I3478" s="11" t="s">
        <v>214</v>
      </c>
      <c r="J3478" s="11" t="s">
        <v>215</v>
      </c>
      <c r="K3478" s="11" t="s">
        <v>366</v>
      </c>
      <c r="L3478" s="11" t="s">
        <v>367</v>
      </c>
      <c r="M3478" s="11" t="s">
        <v>368</v>
      </c>
      <c r="N3478" s="11">
        <v>362933</v>
      </c>
      <c r="O3478" s="11">
        <v>29769</v>
      </c>
      <c r="P3478" s="11">
        <v>4</v>
      </c>
      <c r="Q3478" s="11" t="s">
        <v>369</v>
      </c>
      <c r="R3478" s="14" t="s">
        <v>370</v>
      </c>
      <c r="S3478" s="11">
        <v>753</v>
      </c>
      <c r="T3478" s="11" t="s">
        <v>39</v>
      </c>
      <c r="U3478" s="11" t="s">
        <v>371</v>
      </c>
      <c r="V3478" s="11" t="s">
        <v>41</v>
      </c>
      <c r="W3478" s="11">
        <v>105000000</v>
      </c>
      <c r="X3478" s="11">
        <v>2013</v>
      </c>
      <c r="Y3478" s="11">
        <v>509</v>
      </c>
      <c r="Z3478" s="11">
        <v>7.3</v>
      </c>
      <c r="AA3478" s="11">
        <v>2.35</v>
      </c>
      <c r="AB3478" s="11">
        <v>115000</v>
      </c>
      <c r="AC3478" s="11"/>
      <c r="AD3478" s="11" t="str">
        <f>IFERROR(__xludf.DUMMYFUNCTION("""COMPUTED_VALUE"""),"Nat Wolff")</f>
        <v>Nat Wolff</v>
      </c>
      <c r="AE3478" s="11"/>
    </row>
    <row r="3479" customHeight="1" spans="1:31">
      <c r="A3479" s="12" t="s">
        <v>748</v>
      </c>
      <c r="B3479" s="12" t="s">
        <v>3402</v>
      </c>
      <c r="C3479" s="12">
        <v>351</v>
      </c>
      <c r="D3479" s="12">
        <v>93</v>
      </c>
      <c r="E3479" s="12">
        <v>0</v>
      </c>
      <c r="F3479" s="12">
        <v>566</v>
      </c>
      <c r="G3479" s="12">
        <v>21000</v>
      </c>
      <c r="H3479" s="12">
        <v>31501218</v>
      </c>
      <c r="I3479" s="12" t="s">
        <v>5941</v>
      </c>
      <c r="J3479" s="12" t="s">
        <v>99</v>
      </c>
      <c r="K3479" s="12" t="s">
        <v>4183</v>
      </c>
      <c r="L3479" s="12" t="s">
        <v>1862</v>
      </c>
      <c r="M3479" s="12" t="s">
        <v>16496</v>
      </c>
      <c r="N3479" s="12">
        <v>84070</v>
      </c>
      <c r="O3479" s="12">
        <v>22745</v>
      </c>
      <c r="P3479" s="12">
        <v>0</v>
      </c>
      <c r="Q3479" s="12" t="s">
        <v>16497</v>
      </c>
      <c r="R3479" s="15" t="s">
        <v>16498</v>
      </c>
      <c r="S3479" s="12">
        <v>526</v>
      </c>
      <c r="T3479" s="12" t="s">
        <v>39</v>
      </c>
      <c r="U3479" s="12" t="s">
        <v>40</v>
      </c>
      <c r="V3479" s="12" t="s">
        <v>96</v>
      </c>
      <c r="W3479" s="12">
        <v>7500000</v>
      </c>
      <c r="X3479" s="12">
        <v>2005</v>
      </c>
      <c r="Y3479" s="12">
        <v>650</v>
      </c>
      <c r="Z3479" s="12">
        <v>7.5</v>
      </c>
      <c r="AA3479" s="12">
        <v>1.85</v>
      </c>
      <c r="AB3479" s="12">
        <v>0</v>
      </c>
      <c r="AC3479" s="12"/>
      <c r="AD3479" s="12" t="str">
        <f>IFERROR(__xludf.DUMMYFUNCTION("""COMPUTED_VALUE"""),"Talia Shire")</f>
        <v>Talia Shire</v>
      </c>
      <c r="AE3479" s="12"/>
    </row>
    <row r="3480" customHeight="1" spans="1:31">
      <c r="A3480" s="11" t="s">
        <v>30</v>
      </c>
      <c r="B3480" s="11" t="s">
        <v>5122</v>
      </c>
      <c r="C3480" s="11">
        <v>271</v>
      </c>
      <c r="D3480" s="11">
        <v>110</v>
      </c>
      <c r="E3480" s="11">
        <v>152</v>
      </c>
      <c r="F3480" s="11">
        <v>27</v>
      </c>
      <c r="G3480" s="11">
        <v>22000</v>
      </c>
      <c r="H3480" s="11">
        <v>28747570</v>
      </c>
      <c r="I3480" s="11" t="s">
        <v>1726</v>
      </c>
      <c r="J3480" s="11" t="s">
        <v>699</v>
      </c>
      <c r="K3480" s="11" t="s">
        <v>16499</v>
      </c>
      <c r="L3480" s="11" t="s">
        <v>16500</v>
      </c>
      <c r="M3480" s="11" t="s">
        <v>16501</v>
      </c>
      <c r="N3480" s="11">
        <v>100571</v>
      </c>
      <c r="O3480" s="11">
        <v>22140</v>
      </c>
      <c r="P3480" s="11">
        <v>1</v>
      </c>
      <c r="Q3480" s="11" t="s">
        <v>16502</v>
      </c>
      <c r="R3480" s="14" t="s">
        <v>16503</v>
      </c>
      <c r="S3480" s="11">
        <v>416</v>
      </c>
      <c r="T3480" s="11" t="s">
        <v>39</v>
      </c>
      <c r="U3480" s="11" t="s">
        <v>269</v>
      </c>
      <c r="V3480" s="11" t="s">
        <v>586</v>
      </c>
      <c r="W3480" s="11">
        <v>7000000</v>
      </c>
      <c r="X3480" s="11">
        <v>2005</v>
      </c>
      <c r="Y3480" s="11">
        <v>68</v>
      </c>
      <c r="Z3480" s="11">
        <v>7.4</v>
      </c>
      <c r="AA3480" s="11">
        <v>2.35</v>
      </c>
      <c r="AB3480" s="11">
        <v>0</v>
      </c>
      <c r="AC3480" s="11"/>
      <c r="AD3480" s="11" t="str">
        <f>IFERROR(__xludf.DUMMYFUNCTION("""COMPUTED_VALUE"""),"Richard Dysart")</f>
        <v>Richard Dysart</v>
      </c>
      <c r="AE3480" s="11"/>
    </row>
    <row r="3481" customHeight="1" spans="1:31">
      <c r="A3481" s="12" t="s">
        <v>30</v>
      </c>
      <c r="B3481" s="12" t="s">
        <v>4904</v>
      </c>
      <c r="C3481" s="12">
        <v>93</v>
      </c>
      <c r="D3481" s="12">
        <v>104</v>
      </c>
      <c r="E3481" s="12">
        <v>0</v>
      </c>
      <c r="F3481" s="12">
        <v>4000</v>
      </c>
      <c r="G3481" s="12">
        <v>16000</v>
      </c>
      <c r="H3481" s="12">
        <v>25625110</v>
      </c>
      <c r="I3481" s="12" t="s">
        <v>334</v>
      </c>
      <c r="J3481" s="12" t="s">
        <v>1765</v>
      </c>
      <c r="K3481" s="12" t="s">
        <v>272</v>
      </c>
      <c r="L3481" s="12" t="s">
        <v>495</v>
      </c>
      <c r="M3481" s="12" t="s">
        <v>16504</v>
      </c>
      <c r="N3481" s="12">
        <v>138707</v>
      </c>
      <c r="O3481" s="12">
        <v>33758</v>
      </c>
      <c r="P3481" s="12">
        <v>0</v>
      </c>
      <c r="Q3481" s="12" t="s">
        <v>16505</v>
      </c>
      <c r="R3481" s="15" t="s">
        <v>16506</v>
      </c>
      <c r="S3481" s="12">
        <v>202</v>
      </c>
      <c r="T3481" s="12" t="s">
        <v>39</v>
      </c>
      <c r="U3481" s="12" t="s">
        <v>40</v>
      </c>
      <c r="V3481" s="12" t="s">
        <v>586</v>
      </c>
      <c r="W3481" s="12">
        <v>7000000</v>
      </c>
      <c r="X3481" s="12">
        <v>1995</v>
      </c>
      <c r="Y3481" s="12">
        <v>12000</v>
      </c>
      <c r="Z3481" s="12">
        <v>7.2</v>
      </c>
      <c r="AA3481" s="12">
        <v>1.85</v>
      </c>
      <c r="AB3481" s="12">
        <v>0</v>
      </c>
      <c r="AC3481" s="12"/>
      <c r="AD3481" s="12" t="str">
        <f>IFERROR(__xludf.DUMMYFUNCTION("""COMPUTED_VALUE"""),"Robert Foxworth")</f>
        <v>Robert Foxworth</v>
      </c>
      <c r="AE3481" s="12"/>
    </row>
    <row r="3482" customHeight="1" spans="1:31">
      <c r="A3482" s="11" t="s">
        <v>30</v>
      </c>
      <c r="B3482" s="11" t="s">
        <v>9431</v>
      </c>
      <c r="C3482" s="11">
        <v>71</v>
      </c>
      <c r="D3482" s="11">
        <v>115</v>
      </c>
      <c r="E3482" s="11">
        <v>187</v>
      </c>
      <c r="F3482" s="11">
        <v>887</v>
      </c>
      <c r="G3482" s="11">
        <v>14000</v>
      </c>
      <c r="H3482" s="11">
        <v>403932</v>
      </c>
      <c r="I3482" s="11" t="s">
        <v>4043</v>
      </c>
      <c r="J3482" s="11" t="s">
        <v>1973</v>
      </c>
      <c r="K3482" s="11" t="s">
        <v>8555</v>
      </c>
      <c r="L3482" s="11" t="s">
        <v>2292</v>
      </c>
      <c r="M3482" s="11" t="s">
        <v>13872</v>
      </c>
      <c r="N3482" s="11">
        <v>5254</v>
      </c>
      <c r="O3482" s="11">
        <v>17104</v>
      </c>
      <c r="P3482" s="11">
        <v>4</v>
      </c>
      <c r="Q3482" s="11" t="s">
        <v>13873</v>
      </c>
      <c r="R3482" s="14" t="s">
        <v>13874</v>
      </c>
      <c r="S3482" s="11">
        <v>92</v>
      </c>
      <c r="T3482" s="11" t="s">
        <v>39</v>
      </c>
      <c r="U3482" s="11" t="s">
        <v>58</v>
      </c>
      <c r="V3482" s="11" t="s">
        <v>586</v>
      </c>
      <c r="W3482" s="11">
        <v>20000000</v>
      </c>
      <c r="X3482" s="11">
        <v>2000</v>
      </c>
      <c r="Y3482" s="11">
        <v>900</v>
      </c>
      <c r="Z3482" s="11">
        <v>6.5</v>
      </c>
      <c r="AA3482" s="11">
        <v>2.35</v>
      </c>
      <c r="AB3482" s="11">
        <v>141</v>
      </c>
      <c r="AC3482" s="11"/>
      <c r="AD3482" s="11" t="str">
        <f>IFERROR(__xludf.DUMMYFUNCTION("""COMPUTED_VALUE"""),"Kathryn Erbe")</f>
        <v>Kathryn Erbe</v>
      </c>
      <c r="AE3482" s="11"/>
    </row>
    <row r="3483" customHeight="1" spans="1:31">
      <c r="A3483" s="12" t="s">
        <v>30</v>
      </c>
      <c r="B3483" s="16"/>
      <c r="C3483" s="12">
        <v>54</v>
      </c>
      <c r="D3483" s="12">
        <v>53</v>
      </c>
      <c r="E3483" s="16"/>
      <c r="F3483" s="12">
        <v>1000</v>
      </c>
      <c r="G3483" s="12">
        <v>4000</v>
      </c>
      <c r="H3483" s="16"/>
      <c r="I3483" s="12" t="s">
        <v>2126</v>
      </c>
      <c r="J3483" s="12" t="s">
        <v>84</v>
      </c>
      <c r="K3483" s="12" t="s">
        <v>2866</v>
      </c>
      <c r="L3483" s="12" t="s">
        <v>430</v>
      </c>
      <c r="M3483" s="12" t="s">
        <v>16507</v>
      </c>
      <c r="N3483" s="12">
        <v>170055</v>
      </c>
      <c r="O3483" s="12">
        <v>19949</v>
      </c>
      <c r="P3483" s="12">
        <v>0</v>
      </c>
      <c r="Q3483" s="12" t="s">
        <v>16508</v>
      </c>
      <c r="R3483" s="15" t="s">
        <v>16509</v>
      </c>
      <c r="S3483" s="12">
        <v>173</v>
      </c>
      <c r="T3483" s="12" t="s">
        <v>39</v>
      </c>
      <c r="U3483" s="12" t="s">
        <v>40</v>
      </c>
      <c r="V3483" s="12" t="s">
        <v>2636</v>
      </c>
      <c r="W3483" s="16"/>
      <c r="X3483" s="16"/>
      <c r="Y3483" s="12">
        <v>1000</v>
      </c>
      <c r="Z3483" s="12">
        <v>9</v>
      </c>
      <c r="AA3483" s="12">
        <v>1.78</v>
      </c>
      <c r="AB3483" s="12">
        <v>61000</v>
      </c>
      <c r="AC3483" s="12"/>
      <c r="AD3483" s="12" t="str">
        <f>IFERROR(__xludf.DUMMYFUNCTION("""COMPUTED_VALUE"""),"Lusia Strus")</f>
        <v>Lusia Strus</v>
      </c>
      <c r="AE3483" s="12"/>
    </row>
    <row r="3484" customHeight="1" spans="1:31">
      <c r="A3484" s="11" t="s">
        <v>30</v>
      </c>
      <c r="B3484" s="11" t="s">
        <v>16510</v>
      </c>
      <c r="C3484" s="11">
        <v>112</v>
      </c>
      <c r="D3484" s="11">
        <v>119</v>
      </c>
      <c r="E3484" s="11">
        <v>23</v>
      </c>
      <c r="F3484" s="11">
        <v>440</v>
      </c>
      <c r="G3484" s="11">
        <v>1000</v>
      </c>
      <c r="H3484" s="11">
        <v>25000000</v>
      </c>
      <c r="I3484" s="11" t="s">
        <v>73</v>
      </c>
      <c r="J3484" s="11" t="s">
        <v>12521</v>
      </c>
      <c r="K3484" s="11" t="s">
        <v>13732</v>
      </c>
      <c r="L3484" s="11" t="s">
        <v>15932</v>
      </c>
      <c r="M3484" s="11" t="s">
        <v>16511</v>
      </c>
      <c r="N3484" s="11">
        <v>39847</v>
      </c>
      <c r="O3484" s="11">
        <v>2951</v>
      </c>
      <c r="P3484" s="11">
        <v>1</v>
      </c>
      <c r="Q3484" s="11" t="s">
        <v>16512</v>
      </c>
      <c r="R3484" s="14" t="s">
        <v>16513</v>
      </c>
      <c r="S3484" s="11">
        <v>242</v>
      </c>
      <c r="T3484" s="11" t="s">
        <v>39</v>
      </c>
      <c r="U3484" s="11" t="s">
        <v>40</v>
      </c>
      <c r="V3484" s="11" t="s">
        <v>96</v>
      </c>
      <c r="W3484" s="11">
        <v>9000000</v>
      </c>
      <c r="X3484" s="11">
        <v>1976</v>
      </c>
      <c r="Y3484" s="11">
        <v>659</v>
      </c>
      <c r="Z3484" s="11">
        <v>6.8</v>
      </c>
      <c r="AA3484" s="11">
        <v>2.35</v>
      </c>
      <c r="AB3484" s="11">
        <v>0</v>
      </c>
      <c r="AC3484" s="11"/>
      <c r="AD3484" s="11" t="str">
        <f>IFERROR(__xludf.DUMMYFUNCTION("""COMPUTED_VALUE"""),"Kelvin Taylor")</f>
        <v>Kelvin Taylor</v>
      </c>
      <c r="AE3484" s="11"/>
    </row>
    <row r="3485" customHeight="1" spans="1:31">
      <c r="A3485" s="12" t="s">
        <v>30</v>
      </c>
      <c r="B3485" s="12" t="s">
        <v>16450</v>
      </c>
      <c r="C3485" s="12">
        <v>118</v>
      </c>
      <c r="D3485" s="12">
        <v>125</v>
      </c>
      <c r="E3485" s="12">
        <v>82</v>
      </c>
      <c r="F3485" s="12">
        <v>244</v>
      </c>
      <c r="G3485" s="12">
        <v>16000</v>
      </c>
      <c r="H3485" s="12">
        <v>21000000</v>
      </c>
      <c r="I3485" s="12" t="s">
        <v>51</v>
      </c>
      <c r="J3485" s="12" t="s">
        <v>201</v>
      </c>
      <c r="K3485" s="12" t="s">
        <v>16514</v>
      </c>
      <c r="L3485" s="12" t="s">
        <v>1093</v>
      </c>
      <c r="M3485" s="12" t="s">
        <v>16515</v>
      </c>
      <c r="N3485" s="12">
        <v>73950</v>
      </c>
      <c r="O3485" s="12">
        <v>17611</v>
      </c>
      <c r="P3485" s="12">
        <v>3</v>
      </c>
      <c r="Q3485" s="12" t="s">
        <v>16516</v>
      </c>
      <c r="R3485" s="15" t="s">
        <v>16517</v>
      </c>
      <c r="S3485" s="12">
        <v>258</v>
      </c>
      <c r="T3485" s="12" t="s">
        <v>39</v>
      </c>
      <c r="U3485" s="12" t="s">
        <v>58</v>
      </c>
      <c r="V3485" s="12" t="s">
        <v>96</v>
      </c>
      <c r="W3485" s="12">
        <v>13000000</v>
      </c>
      <c r="X3485" s="12">
        <v>1974</v>
      </c>
      <c r="Y3485" s="12">
        <v>387</v>
      </c>
      <c r="Z3485" s="12">
        <v>6.8</v>
      </c>
      <c r="AA3485" s="12">
        <v>1.66</v>
      </c>
      <c r="AB3485" s="12">
        <v>2000</v>
      </c>
      <c r="AC3485" s="12"/>
      <c r="AD3485" s="12" t="str">
        <f>IFERROR(__xludf.DUMMYFUNCTION("""COMPUTED_VALUE"""),"Viva Bianca")</f>
        <v>Viva Bianca</v>
      </c>
      <c r="AE3485" s="12"/>
    </row>
    <row r="3486" customHeight="1" spans="1:31">
      <c r="A3486" s="11" t="s">
        <v>30</v>
      </c>
      <c r="B3486" s="11" t="s">
        <v>9941</v>
      </c>
      <c r="C3486" s="11">
        <v>35</v>
      </c>
      <c r="D3486" s="11">
        <v>96</v>
      </c>
      <c r="E3486" s="11">
        <v>22</v>
      </c>
      <c r="F3486" s="11">
        <v>794</v>
      </c>
      <c r="G3486" s="11">
        <v>1000</v>
      </c>
      <c r="H3486" s="11">
        <v>20257000</v>
      </c>
      <c r="I3486" s="11" t="s">
        <v>422</v>
      </c>
      <c r="J3486" s="11" t="s">
        <v>5083</v>
      </c>
      <c r="K3486" s="11" t="s">
        <v>14887</v>
      </c>
      <c r="L3486" s="11" t="s">
        <v>11778</v>
      </c>
      <c r="M3486" s="11" t="s">
        <v>16518</v>
      </c>
      <c r="N3486" s="11">
        <v>7569</v>
      </c>
      <c r="O3486" s="11">
        <v>5282</v>
      </c>
      <c r="P3486" s="11">
        <v>2</v>
      </c>
      <c r="Q3486" s="11" t="s">
        <v>16519</v>
      </c>
      <c r="R3486" s="14" t="s">
        <v>16520</v>
      </c>
      <c r="S3486" s="11">
        <v>65</v>
      </c>
      <c r="T3486" s="11" t="s">
        <v>39</v>
      </c>
      <c r="U3486" s="11" t="s">
        <v>40</v>
      </c>
      <c r="V3486" s="11" t="s">
        <v>586</v>
      </c>
      <c r="W3486" s="11">
        <v>7000000</v>
      </c>
      <c r="X3486" s="11">
        <v>1988</v>
      </c>
      <c r="Y3486" s="11">
        <v>841</v>
      </c>
      <c r="Z3486" s="11">
        <v>5.2</v>
      </c>
      <c r="AA3486" s="11">
        <v>1.85</v>
      </c>
      <c r="AB3486" s="11">
        <v>978</v>
      </c>
      <c r="AC3486" s="11"/>
      <c r="AD3486" s="11" t="str">
        <f>IFERROR(__xludf.DUMMYFUNCTION("""COMPUTED_VALUE"""),"Mare Winningham")</f>
        <v>Mare Winningham</v>
      </c>
      <c r="AE3486" s="11"/>
    </row>
    <row r="3487" customHeight="1" spans="1:31">
      <c r="A3487" s="12" t="s">
        <v>30</v>
      </c>
      <c r="B3487" s="12" t="s">
        <v>7876</v>
      </c>
      <c r="C3487" s="12">
        <v>342</v>
      </c>
      <c r="D3487" s="12">
        <v>100</v>
      </c>
      <c r="E3487" s="12">
        <v>197</v>
      </c>
      <c r="F3487" s="12">
        <v>159</v>
      </c>
      <c r="G3487" s="12">
        <v>513</v>
      </c>
      <c r="H3487" s="12">
        <v>26005908</v>
      </c>
      <c r="I3487" s="12" t="s">
        <v>8571</v>
      </c>
      <c r="J3487" s="12" t="s">
        <v>16521</v>
      </c>
      <c r="K3487" s="12" t="s">
        <v>16522</v>
      </c>
      <c r="L3487" s="12" t="s">
        <v>16523</v>
      </c>
      <c r="M3487" s="12" t="s">
        <v>16524</v>
      </c>
      <c r="N3487" s="12">
        <v>154938</v>
      </c>
      <c r="O3487" s="12">
        <v>1379</v>
      </c>
      <c r="P3487" s="12">
        <v>0</v>
      </c>
      <c r="Q3487" s="12" t="s">
        <v>16525</v>
      </c>
      <c r="R3487" s="15" t="s">
        <v>16526</v>
      </c>
      <c r="S3487" s="12">
        <v>1100</v>
      </c>
      <c r="T3487" s="12" t="s">
        <v>39</v>
      </c>
      <c r="U3487" s="12" t="s">
        <v>58</v>
      </c>
      <c r="V3487" s="12" t="s">
        <v>586</v>
      </c>
      <c r="W3487" s="12">
        <v>3500000</v>
      </c>
      <c r="X3487" s="12">
        <v>2005</v>
      </c>
      <c r="Y3487" s="12">
        <v>239</v>
      </c>
      <c r="Z3487" s="12">
        <v>7.2</v>
      </c>
      <c r="AA3487" s="12">
        <v>2.35</v>
      </c>
      <c r="AB3487" s="12">
        <v>10000</v>
      </c>
      <c r="AC3487" s="12"/>
      <c r="AD3487" s="12" t="str">
        <f>IFERROR(__xludf.DUMMYFUNCTION("""COMPUTED_VALUE"""),"Peter Hermann")</f>
        <v>Peter Hermann</v>
      </c>
      <c r="AE3487" s="12"/>
    </row>
    <row r="3488" customHeight="1" spans="1:31">
      <c r="A3488" s="11" t="s">
        <v>30</v>
      </c>
      <c r="B3488" s="11" t="s">
        <v>16527</v>
      </c>
      <c r="C3488" s="11">
        <v>14</v>
      </c>
      <c r="D3488" s="11">
        <v>46</v>
      </c>
      <c r="E3488" s="11">
        <v>0</v>
      </c>
      <c r="F3488" s="11">
        <v>69</v>
      </c>
      <c r="G3488" s="11">
        <v>13000</v>
      </c>
      <c r="H3488" s="11">
        <v>18642318</v>
      </c>
      <c r="I3488" s="11" t="s">
        <v>16528</v>
      </c>
      <c r="J3488" s="11" t="s">
        <v>549</v>
      </c>
      <c r="K3488" s="11" t="s">
        <v>2672</v>
      </c>
      <c r="L3488" s="11" t="s">
        <v>16529</v>
      </c>
      <c r="M3488" s="11" t="s">
        <v>16530</v>
      </c>
      <c r="N3488" s="11">
        <v>1723</v>
      </c>
      <c r="O3488" s="11">
        <v>13448</v>
      </c>
      <c r="P3488" s="11">
        <v>0</v>
      </c>
      <c r="Q3488" s="11" t="s">
        <v>16531</v>
      </c>
      <c r="R3488" s="14" t="s">
        <v>16532</v>
      </c>
      <c r="S3488" s="11">
        <v>13</v>
      </c>
      <c r="T3488" s="11" t="s">
        <v>39</v>
      </c>
      <c r="U3488" s="11" t="s">
        <v>40</v>
      </c>
      <c r="V3488" s="13"/>
      <c r="W3488" s="13"/>
      <c r="X3488" s="11">
        <v>2000</v>
      </c>
      <c r="Y3488" s="11">
        <v>366</v>
      </c>
      <c r="Z3488" s="11">
        <v>7.5</v>
      </c>
      <c r="AA3488" s="11">
        <v>1.44</v>
      </c>
      <c r="AB3488" s="11">
        <v>407</v>
      </c>
      <c r="AC3488" s="11"/>
      <c r="AD3488" s="11" t="str">
        <f>IFERROR(__xludf.DUMMYFUNCTION("""COMPUTED_VALUE"""),"Tammin Sursok")</f>
        <v>Tammin Sursok</v>
      </c>
      <c r="AE3488" s="11"/>
    </row>
    <row r="3489" customHeight="1" spans="1:31">
      <c r="A3489" s="12" t="s">
        <v>30</v>
      </c>
      <c r="B3489" s="12" t="s">
        <v>16533</v>
      </c>
      <c r="C3489" s="12">
        <v>137</v>
      </c>
      <c r="D3489" s="12">
        <v>89</v>
      </c>
      <c r="E3489" s="12">
        <v>14</v>
      </c>
      <c r="F3489" s="12">
        <v>270</v>
      </c>
      <c r="G3489" s="12">
        <v>971</v>
      </c>
      <c r="H3489" s="12">
        <v>15818967</v>
      </c>
      <c r="I3489" s="12" t="s">
        <v>5104</v>
      </c>
      <c r="J3489" s="12" t="s">
        <v>8227</v>
      </c>
      <c r="K3489" s="12" t="s">
        <v>16534</v>
      </c>
      <c r="L3489" s="12" t="s">
        <v>16535</v>
      </c>
      <c r="M3489" s="12" t="s">
        <v>16536</v>
      </c>
      <c r="N3489" s="12">
        <v>13913</v>
      </c>
      <c r="O3489" s="12">
        <v>2517</v>
      </c>
      <c r="P3489" s="12">
        <v>0</v>
      </c>
      <c r="Q3489" s="12" t="s">
        <v>16537</v>
      </c>
      <c r="R3489" s="15" t="s">
        <v>16538</v>
      </c>
      <c r="S3489" s="12">
        <v>120</v>
      </c>
      <c r="T3489" s="12" t="s">
        <v>39</v>
      </c>
      <c r="U3489" s="12" t="s">
        <v>40</v>
      </c>
      <c r="V3489" s="12" t="s">
        <v>586</v>
      </c>
      <c r="W3489" s="12">
        <v>7000000</v>
      </c>
      <c r="X3489" s="12">
        <v>2014</v>
      </c>
      <c r="Y3489" s="12">
        <v>479</v>
      </c>
      <c r="Z3489" s="12">
        <v>4</v>
      </c>
      <c r="AA3489" s="12">
        <v>1.85</v>
      </c>
      <c r="AB3489" s="12">
        <v>0</v>
      </c>
      <c r="AC3489" s="12"/>
      <c r="AD3489" s="12" t="str">
        <f>IFERROR(__xludf.DUMMYFUNCTION("""COMPUTED_VALUE"""),"Joanna 'JoJo' Levesque")</f>
        <v>Joanna 'JoJo' Levesque</v>
      </c>
      <c r="AE3489" s="12"/>
    </row>
    <row r="3490" customHeight="1" spans="1:31">
      <c r="A3490" s="11" t="s">
        <v>30</v>
      </c>
      <c r="B3490" s="11" t="s">
        <v>4167</v>
      </c>
      <c r="C3490" s="11">
        <v>50</v>
      </c>
      <c r="D3490" s="11">
        <v>92</v>
      </c>
      <c r="E3490" s="11">
        <v>737</v>
      </c>
      <c r="F3490" s="11">
        <v>380</v>
      </c>
      <c r="G3490" s="11">
        <v>718</v>
      </c>
      <c r="H3490" s="11">
        <v>14891000</v>
      </c>
      <c r="I3490" s="11" t="s">
        <v>1672</v>
      </c>
      <c r="J3490" s="11" t="s">
        <v>3710</v>
      </c>
      <c r="K3490" s="11" t="s">
        <v>16539</v>
      </c>
      <c r="L3490" s="11" t="s">
        <v>5506</v>
      </c>
      <c r="M3490" s="11" t="s">
        <v>16540</v>
      </c>
      <c r="N3490" s="11">
        <v>15088</v>
      </c>
      <c r="O3490" s="11">
        <v>2240</v>
      </c>
      <c r="P3490" s="11">
        <v>3</v>
      </c>
      <c r="Q3490" s="11" t="s">
        <v>16541</v>
      </c>
      <c r="R3490" s="14" t="s">
        <v>16542</v>
      </c>
      <c r="S3490" s="11">
        <v>105</v>
      </c>
      <c r="T3490" s="11" t="s">
        <v>39</v>
      </c>
      <c r="U3490" s="11" t="s">
        <v>40</v>
      </c>
      <c r="V3490" s="11" t="s">
        <v>586</v>
      </c>
      <c r="W3490" s="11">
        <v>7000000</v>
      </c>
      <c r="X3490" s="11">
        <v>1996</v>
      </c>
      <c r="Y3490" s="11">
        <v>524</v>
      </c>
      <c r="Z3490" s="11">
        <v>6.8</v>
      </c>
      <c r="AA3490" s="11">
        <v>1.85</v>
      </c>
      <c r="AB3490" s="11">
        <v>824</v>
      </c>
      <c r="AC3490" s="11"/>
      <c r="AD3490" s="11" t="str">
        <f>IFERROR(__xludf.DUMMYFUNCTION("""COMPUTED_VALUE"""),"Dichen Lachman")</f>
        <v>Dichen Lachman</v>
      </c>
      <c r="AE3490" s="11"/>
    </row>
    <row r="3491" customHeight="1" spans="1:31">
      <c r="A3491" s="12" t="s">
        <v>30</v>
      </c>
      <c r="B3491" s="12" t="s">
        <v>12823</v>
      </c>
      <c r="C3491" s="12">
        <v>261</v>
      </c>
      <c r="D3491" s="12">
        <v>109</v>
      </c>
      <c r="E3491" s="12">
        <v>0</v>
      </c>
      <c r="F3491" s="12">
        <v>597</v>
      </c>
      <c r="G3491" s="12">
        <v>1000</v>
      </c>
      <c r="H3491" s="12">
        <v>16901126</v>
      </c>
      <c r="I3491" s="12" t="s">
        <v>16543</v>
      </c>
      <c r="J3491" s="12" t="s">
        <v>14067</v>
      </c>
      <c r="K3491" s="12" t="s">
        <v>16544</v>
      </c>
      <c r="L3491" s="12" t="s">
        <v>9165</v>
      </c>
      <c r="M3491" s="12" t="s">
        <v>16545</v>
      </c>
      <c r="N3491" s="12">
        <v>76267</v>
      </c>
      <c r="O3491" s="12">
        <v>3544</v>
      </c>
      <c r="P3491" s="12">
        <v>0</v>
      </c>
      <c r="Q3491" s="12" t="s">
        <v>16546</v>
      </c>
      <c r="R3491" s="15" t="s">
        <v>16547</v>
      </c>
      <c r="S3491" s="12">
        <v>687</v>
      </c>
      <c r="T3491" s="12" t="s">
        <v>39</v>
      </c>
      <c r="U3491" s="12" t="s">
        <v>40</v>
      </c>
      <c r="V3491" s="12" t="s">
        <v>586</v>
      </c>
      <c r="W3491" s="12">
        <v>7000000</v>
      </c>
      <c r="X3491" s="12">
        <v>2005</v>
      </c>
      <c r="Y3491" s="12">
        <v>649</v>
      </c>
      <c r="Z3491" s="12">
        <v>6.9</v>
      </c>
      <c r="AA3491" s="12">
        <v>1.85</v>
      </c>
      <c r="AB3491" s="12">
        <v>0</v>
      </c>
      <c r="AC3491" s="12"/>
      <c r="AD3491" s="12" t="str">
        <f>IFERROR(__xludf.DUMMYFUNCTION("""COMPUTED_VALUE"""),"Meg Crosbie")</f>
        <v>Meg Crosbie</v>
      </c>
      <c r="AE3491" s="12"/>
    </row>
    <row r="3492" customHeight="1" spans="1:31">
      <c r="A3492" s="11" t="s">
        <v>30</v>
      </c>
      <c r="B3492" s="13"/>
      <c r="C3492" s="11">
        <v>96</v>
      </c>
      <c r="D3492" s="11">
        <v>44</v>
      </c>
      <c r="E3492" s="13"/>
      <c r="F3492" s="11">
        <v>970</v>
      </c>
      <c r="G3492" s="11">
        <v>4000</v>
      </c>
      <c r="H3492" s="13"/>
      <c r="I3492" s="11" t="s">
        <v>3144</v>
      </c>
      <c r="J3492" s="11" t="s">
        <v>2477</v>
      </c>
      <c r="K3492" s="11" t="s">
        <v>4599</v>
      </c>
      <c r="L3492" s="11" t="s">
        <v>16474</v>
      </c>
      <c r="M3492" s="11" t="s">
        <v>16548</v>
      </c>
      <c r="N3492" s="11">
        <v>101902</v>
      </c>
      <c r="O3492" s="11">
        <v>7970</v>
      </c>
      <c r="P3492" s="11">
        <v>0</v>
      </c>
      <c r="Q3492" s="11" t="s">
        <v>16549</v>
      </c>
      <c r="R3492" s="14" t="s">
        <v>16550</v>
      </c>
      <c r="S3492" s="11">
        <v>665</v>
      </c>
      <c r="T3492" s="11" t="s">
        <v>39</v>
      </c>
      <c r="U3492" s="11" t="s">
        <v>40</v>
      </c>
      <c r="V3492" s="11" t="s">
        <v>1127</v>
      </c>
      <c r="W3492" s="11">
        <v>2300000</v>
      </c>
      <c r="X3492" s="13"/>
      <c r="Y3492" s="11">
        <v>3000</v>
      </c>
      <c r="Z3492" s="11">
        <v>8.2</v>
      </c>
      <c r="AA3492" s="11">
        <v>1.33</v>
      </c>
      <c r="AB3492" s="11">
        <v>6000</v>
      </c>
      <c r="AC3492" s="11"/>
      <c r="AD3492" s="11" t="str">
        <f>IFERROR(__xludf.DUMMYFUNCTION("""COMPUTED_VALUE"""),"Lark Voorhies")</f>
        <v>Lark Voorhies</v>
      </c>
      <c r="AE3492" s="11"/>
    </row>
    <row r="3493" customHeight="1" spans="1:31">
      <c r="A3493" s="12" t="s">
        <v>30</v>
      </c>
      <c r="B3493" s="12" t="s">
        <v>13455</v>
      </c>
      <c r="C3493" s="12">
        <v>180</v>
      </c>
      <c r="D3493" s="12">
        <v>103</v>
      </c>
      <c r="E3493" s="12">
        <v>44</v>
      </c>
      <c r="F3493" s="12">
        <v>190</v>
      </c>
      <c r="G3493" s="12">
        <v>637</v>
      </c>
      <c r="H3493" s="12">
        <v>17474107</v>
      </c>
      <c r="I3493" s="12" t="s">
        <v>9194</v>
      </c>
      <c r="J3493" s="12" t="s">
        <v>4910</v>
      </c>
      <c r="K3493" s="12" t="s">
        <v>16551</v>
      </c>
      <c r="L3493" s="12" t="s">
        <v>7360</v>
      </c>
      <c r="M3493" s="12" t="s">
        <v>16552</v>
      </c>
      <c r="N3493" s="12">
        <v>56605</v>
      </c>
      <c r="O3493" s="12">
        <v>1342</v>
      </c>
      <c r="P3493" s="12">
        <v>3</v>
      </c>
      <c r="Q3493" s="12" t="s">
        <v>16553</v>
      </c>
      <c r="R3493" s="15" t="s">
        <v>16554</v>
      </c>
      <c r="S3493" s="12">
        <v>89</v>
      </c>
      <c r="T3493" s="12" t="s">
        <v>39</v>
      </c>
      <c r="U3493" s="12" t="s">
        <v>40</v>
      </c>
      <c r="V3493" s="12" t="s">
        <v>586</v>
      </c>
      <c r="W3493" s="12">
        <v>7000000</v>
      </c>
      <c r="X3493" s="12">
        <v>2015</v>
      </c>
      <c r="Y3493" s="12">
        <v>256</v>
      </c>
      <c r="Z3493" s="12">
        <v>7.3</v>
      </c>
      <c r="AA3493" s="12">
        <v>2.35</v>
      </c>
      <c r="AB3493" s="12">
        <v>23000</v>
      </c>
      <c r="AC3493" s="12"/>
      <c r="AD3493" s="12" t="str">
        <f>IFERROR(__xludf.DUMMYFUNCTION("""COMPUTED_VALUE"""),"Bill Irwin")</f>
        <v>Bill Irwin</v>
      </c>
      <c r="AE3493" s="12"/>
    </row>
    <row r="3494" customHeight="1" spans="1:31">
      <c r="A3494" s="11" t="s">
        <v>30</v>
      </c>
      <c r="B3494" s="11" t="s">
        <v>7485</v>
      </c>
      <c r="C3494" s="11">
        <v>28</v>
      </c>
      <c r="D3494" s="11">
        <v>95</v>
      </c>
      <c r="E3494" s="11">
        <v>48</v>
      </c>
      <c r="F3494" s="11">
        <v>826</v>
      </c>
      <c r="G3494" s="11">
        <v>1000</v>
      </c>
      <c r="H3494" s="11">
        <v>14003141</v>
      </c>
      <c r="I3494" s="11" t="s">
        <v>2126</v>
      </c>
      <c r="J3494" s="11" t="s">
        <v>2121</v>
      </c>
      <c r="K3494" s="11" t="s">
        <v>5969</v>
      </c>
      <c r="L3494" s="11" t="s">
        <v>6383</v>
      </c>
      <c r="M3494" s="11" t="s">
        <v>16555</v>
      </c>
      <c r="N3494" s="11">
        <v>4598</v>
      </c>
      <c r="O3494" s="11">
        <v>4837</v>
      </c>
      <c r="P3494" s="11">
        <v>1</v>
      </c>
      <c r="Q3494" s="11" t="s">
        <v>16556</v>
      </c>
      <c r="R3494" s="14" t="s">
        <v>16557</v>
      </c>
      <c r="S3494" s="11">
        <v>29</v>
      </c>
      <c r="T3494" s="11" t="s">
        <v>39</v>
      </c>
      <c r="U3494" s="11" t="s">
        <v>40</v>
      </c>
      <c r="V3494" s="11" t="s">
        <v>586</v>
      </c>
      <c r="W3494" s="11">
        <v>7000000</v>
      </c>
      <c r="X3494" s="11">
        <v>1999</v>
      </c>
      <c r="Y3494" s="11">
        <v>865</v>
      </c>
      <c r="Z3494" s="11">
        <v>6.1</v>
      </c>
      <c r="AA3494" s="11">
        <v>2.35</v>
      </c>
      <c r="AB3494" s="11">
        <v>375</v>
      </c>
      <c r="AC3494" s="11"/>
      <c r="AD3494" s="11" t="str">
        <f>IFERROR(__xludf.DUMMYFUNCTION("""COMPUTED_VALUE"""),"John Colicos")</f>
        <v>John Colicos</v>
      </c>
      <c r="AE3494" s="11"/>
    </row>
    <row r="3495" customHeight="1" spans="1:31">
      <c r="A3495" s="12" t="s">
        <v>30</v>
      </c>
      <c r="B3495" s="12" t="s">
        <v>50</v>
      </c>
      <c r="C3495" s="12">
        <v>750</v>
      </c>
      <c r="D3495" s="12">
        <v>143</v>
      </c>
      <c r="E3495" s="12">
        <v>0</v>
      </c>
      <c r="F3495" s="12">
        <v>393</v>
      </c>
      <c r="G3495" s="12">
        <v>883</v>
      </c>
      <c r="H3495" s="12">
        <v>304360277</v>
      </c>
      <c r="I3495" s="12" t="s">
        <v>51</v>
      </c>
      <c r="J3495" s="12" t="s">
        <v>241</v>
      </c>
      <c r="K3495" s="12" t="s">
        <v>242</v>
      </c>
      <c r="L3495" s="12" t="s">
        <v>53</v>
      </c>
      <c r="M3495" s="12" t="s">
        <v>243</v>
      </c>
      <c r="N3495" s="12">
        <v>522048</v>
      </c>
      <c r="O3495" s="12">
        <v>2039</v>
      </c>
      <c r="P3495" s="12">
        <v>0</v>
      </c>
      <c r="Q3495" s="12" t="s">
        <v>244</v>
      </c>
      <c r="R3495" s="15" t="s">
        <v>245</v>
      </c>
      <c r="S3495" s="12">
        <v>1498</v>
      </c>
      <c r="T3495" s="12" t="s">
        <v>39</v>
      </c>
      <c r="U3495" s="12" t="s">
        <v>58</v>
      </c>
      <c r="V3495" s="12" t="s">
        <v>41</v>
      </c>
      <c r="W3495" s="12">
        <v>200000000</v>
      </c>
      <c r="X3495" s="12">
        <v>2012</v>
      </c>
      <c r="Y3495" s="12">
        <v>563</v>
      </c>
      <c r="Z3495" s="12">
        <v>7.8</v>
      </c>
      <c r="AA3495" s="12">
        <v>2.35</v>
      </c>
      <c r="AB3495" s="12">
        <v>80000</v>
      </c>
      <c r="AC3495" s="12"/>
      <c r="AD3495" s="12" t="str">
        <f>IFERROR(__xludf.DUMMYFUNCTION("""COMPUTED_VALUE"""),"Martin Semmelrogge")</f>
        <v>Martin Semmelrogge</v>
      </c>
      <c r="AE3495" s="12"/>
    </row>
    <row r="3496" customHeight="1" spans="1:31">
      <c r="A3496" s="11" t="s">
        <v>748</v>
      </c>
      <c r="B3496" s="11" t="s">
        <v>12823</v>
      </c>
      <c r="C3496" s="11">
        <v>202</v>
      </c>
      <c r="D3496" s="11">
        <v>105</v>
      </c>
      <c r="E3496" s="11">
        <v>0</v>
      </c>
      <c r="F3496" s="11">
        <v>303</v>
      </c>
      <c r="G3496" s="11">
        <v>1000</v>
      </c>
      <c r="H3496" s="11">
        <v>12583510</v>
      </c>
      <c r="I3496" s="11" t="s">
        <v>6403</v>
      </c>
      <c r="J3496" s="11" t="s">
        <v>14067</v>
      </c>
      <c r="K3496" s="11" t="s">
        <v>16558</v>
      </c>
      <c r="L3496" s="11" t="s">
        <v>16559</v>
      </c>
      <c r="M3496" s="11" t="s">
        <v>16560</v>
      </c>
      <c r="N3496" s="11">
        <v>60709</v>
      </c>
      <c r="O3496" s="11">
        <v>2444</v>
      </c>
      <c r="P3496" s="11">
        <v>0</v>
      </c>
      <c r="Q3496" s="11" t="s">
        <v>16561</v>
      </c>
      <c r="R3496" s="14" t="s">
        <v>16562</v>
      </c>
      <c r="S3496" s="11">
        <v>922</v>
      </c>
      <c r="T3496" s="11" t="s">
        <v>39</v>
      </c>
      <c r="U3496" s="11" t="s">
        <v>40</v>
      </c>
      <c r="V3496" s="11" t="s">
        <v>586</v>
      </c>
      <c r="W3496" s="11">
        <v>7000000</v>
      </c>
      <c r="X3496" s="11">
        <v>2003</v>
      </c>
      <c r="Y3496" s="11">
        <v>340</v>
      </c>
      <c r="Z3496" s="11">
        <v>6</v>
      </c>
      <c r="AA3496" s="11">
        <v>1.85</v>
      </c>
      <c r="AB3496" s="11">
        <v>0</v>
      </c>
      <c r="AC3496" s="11"/>
      <c r="AD3496" s="11" t="str">
        <f>IFERROR(__xludf.DUMMYFUNCTION("""COMPUTED_VALUE"""),"Herbert Grönemeyer")</f>
        <v>Herbert Grönemeyer</v>
      </c>
      <c r="AE3496" s="11"/>
    </row>
    <row r="3497" customHeight="1" spans="1:31">
      <c r="A3497" s="12" t="s">
        <v>30</v>
      </c>
      <c r="B3497" s="12" t="s">
        <v>16563</v>
      </c>
      <c r="C3497" s="12">
        <v>8</v>
      </c>
      <c r="D3497" s="12">
        <v>79</v>
      </c>
      <c r="E3497" s="12">
        <v>0</v>
      </c>
      <c r="F3497" s="12">
        <v>23</v>
      </c>
      <c r="G3497" s="12">
        <v>246</v>
      </c>
      <c r="H3497" s="16"/>
      <c r="I3497" s="12" t="s">
        <v>6403</v>
      </c>
      <c r="J3497" s="12" t="s">
        <v>16564</v>
      </c>
      <c r="K3497" s="12" t="s">
        <v>16565</v>
      </c>
      <c r="L3497" s="12" t="s">
        <v>16566</v>
      </c>
      <c r="M3497" s="12" t="s">
        <v>16567</v>
      </c>
      <c r="N3497" s="12">
        <v>440</v>
      </c>
      <c r="O3497" s="12">
        <v>345</v>
      </c>
      <c r="P3497" s="12">
        <v>0</v>
      </c>
      <c r="Q3497" s="12" t="s">
        <v>16568</v>
      </c>
      <c r="R3497" s="15" t="s">
        <v>16569</v>
      </c>
      <c r="S3497" s="12">
        <v>21</v>
      </c>
      <c r="T3497" s="12" t="s">
        <v>39</v>
      </c>
      <c r="U3497" s="12" t="s">
        <v>40</v>
      </c>
      <c r="V3497" s="12" t="s">
        <v>96</v>
      </c>
      <c r="W3497" s="12">
        <v>350000</v>
      </c>
      <c r="X3497" s="12">
        <v>1978</v>
      </c>
      <c r="Y3497" s="12">
        <v>29</v>
      </c>
      <c r="Z3497" s="12">
        <v>4.1</v>
      </c>
      <c r="AA3497" s="16"/>
      <c r="AB3497" s="12">
        <v>44</v>
      </c>
      <c r="AC3497" s="12"/>
      <c r="AD3497" s="12" t="str">
        <f>IFERROR(__xludf.DUMMYFUNCTION("""COMPUTED_VALUE"""),"Tom Hughes")</f>
        <v>Tom Hughes</v>
      </c>
      <c r="AE3497" s="12"/>
    </row>
    <row r="3498" customHeight="1" spans="1:31">
      <c r="A3498" s="11" t="s">
        <v>30</v>
      </c>
      <c r="B3498" s="11" t="s">
        <v>7114</v>
      </c>
      <c r="C3498" s="11">
        <v>341</v>
      </c>
      <c r="D3498" s="11">
        <v>106</v>
      </c>
      <c r="E3498" s="11">
        <v>1000</v>
      </c>
      <c r="F3498" s="11">
        <v>98</v>
      </c>
      <c r="G3498" s="11">
        <v>816</v>
      </c>
      <c r="H3498" s="11">
        <v>9190525</v>
      </c>
      <c r="I3498" s="11" t="s">
        <v>2528</v>
      </c>
      <c r="J3498" s="11" t="s">
        <v>167</v>
      </c>
      <c r="K3498" s="11" t="s">
        <v>16570</v>
      </c>
      <c r="L3498" s="11" t="s">
        <v>16571</v>
      </c>
      <c r="M3498" s="11" t="s">
        <v>16572</v>
      </c>
      <c r="N3498" s="11">
        <v>102125</v>
      </c>
      <c r="O3498" s="11">
        <v>1120</v>
      </c>
      <c r="P3498" s="11">
        <v>1</v>
      </c>
      <c r="Q3498" s="11" t="s">
        <v>16573</v>
      </c>
      <c r="R3498" s="14" t="s">
        <v>16574</v>
      </c>
      <c r="S3498" s="11">
        <v>324</v>
      </c>
      <c r="T3498" s="11" t="s">
        <v>39</v>
      </c>
      <c r="U3498" s="11" t="s">
        <v>40</v>
      </c>
      <c r="V3498" s="11" t="s">
        <v>586</v>
      </c>
      <c r="W3498" s="11">
        <v>7000000</v>
      </c>
      <c r="X3498" s="11">
        <v>2009</v>
      </c>
      <c r="Y3498" s="11">
        <v>105</v>
      </c>
      <c r="Z3498" s="11">
        <v>7</v>
      </c>
      <c r="AA3498" s="11">
        <v>1.85</v>
      </c>
      <c r="AB3498" s="11">
        <v>10000</v>
      </c>
      <c r="AC3498" s="11"/>
      <c r="AD3498" s="11" t="str">
        <f>IFERROR(__xludf.DUMMYFUNCTION("""COMPUTED_VALUE"""),"Zhengyong Zhang")</f>
        <v>Zhengyong Zhang</v>
      </c>
      <c r="AE3498" s="11"/>
    </row>
    <row r="3499" customHeight="1" spans="1:31">
      <c r="A3499" s="12" t="s">
        <v>30</v>
      </c>
      <c r="B3499" s="12" t="s">
        <v>16575</v>
      </c>
      <c r="C3499" s="12">
        <v>160</v>
      </c>
      <c r="D3499" s="12">
        <v>100</v>
      </c>
      <c r="E3499" s="12">
        <v>11</v>
      </c>
      <c r="F3499" s="12">
        <v>970</v>
      </c>
      <c r="G3499" s="12">
        <v>13000</v>
      </c>
      <c r="H3499" s="12">
        <v>9176553</v>
      </c>
      <c r="I3499" s="12" t="s">
        <v>8061</v>
      </c>
      <c r="J3499" s="12" t="s">
        <v>549</v>
      </c>
      <c r="K3499" s="12" t="s">
        <v>1689</v>
      </c>
      <c r="L3499" s="12" t="s">
        <v>3833</v>
      </c>
      <c r="M3499" s="12" t="s">
        <v>16576</v>
      </c>
      <c r="N3499" s="12">
        <v>19147</v>
      </c>
      <c r="O3499" s="12">
        <v>19330</v>
      </c>
      <c r="P3499" s="12">
        <v>1</v>
      </c>
      <c r="Q3499" s="12" t="s">
        <v>16577</v>
      </c>
      <c r="R3499" s="15" t="s">
        <v>16578</v>
      </c>
      <c r="S3499" s="12">
        <v>97</v>
      </c>
      <c r="T3499" s="12" t="s">
        <v>39</v>
      </c>
      <c r="U3499" s="12" t="s">
        <v>40</v>
      </c>
      <c r="V3499" s="12" t="s">
        <v>41</v>
      </c>
      <c r="W3499" s="12">
        <v>7500000</v>
      </c>
      <c r="X3499" s="12">
        <v>2009</v>
      </c>
      <c r="Y3499" s="12">
        <v>3000</v>
      </c>
      <c r="Z3499" s="12">
        <v>7.1</v>
      </c>
      <c r="AA3499" s="12">
        <v>2.35</v>
      </c>
      <c r="AB3499" s="12">
        <v>0</v>
      </c>
      <c r="AC3499" s="12"/>
      <c r="AD3499" s="12" t="str">
        <f>IFERROR(__xludf.DUMMYFUNCTION("""COMPUTED_VALUE"""),"Gary Weeks")</f>
        <v>Gary Weeks</v>
      </c>
      <c r="AE3499" s="12"/>
    </row>
    <row r="3500" customHeight="1" spans="1:31">
      <c r="A3500" s="11" t="s">
        <v>30</v>
      </c>
      <c r="B3500" s="11" t="s">
        <v>7065</v>
      </c>
      <c r="C3500" s="11">
        <v>31</v>
      </c>
      <c r="D3500" s="11">
        <v>103</v>
      </c>
      <c r="E3500" s="11">
        <v>49</v>
      </c>
      <c r="F3500" s="11">
        <v>304</v>
      </c>
      <c r="G3500" s="11">
        <v>687</v>
      </c>
      <c r="H3500" s="11">
        <v>9094451</v>
      </c>
      <c r="I3500" s="11" t="s">
        <v>8946</v>
      </c>
      <c r="J3500" s="11" t="s">
        <v>6216</v>
      </c>
      <c r="K3500" s="11" t="s">
        <v>2293</v>
      </c>
      <c r="L3500" s="11" t="s">
        <v>10100</v>
      </c>
      <c r="M3500" s="11" t="s">
        <v>16579</v>
      </c>
      <c r="N3500" s="11">
        <v>11668</v>
      </c>
      <c r="O3500" s="11">
        <v>1990</v>
      </c>
      <c r="P3500" s="11">
        <v>0</v>
      </c>
      <c r="Q3500" s="11" t="s">
        <v>16580</v>
      </c>
      <c r="R3500" s="14" t="s">
        <v>16581</v>
      </c>
      <c r="S3500" s="11">
        <v>79</v>
      </c>
      <c r="T3500" s="11" t="s">
        <v>39</v>
      </c>
      <c r="U3500" s="11" t="s">
        <v>40</v>
      </c>
      <c r="V3500" s="11" t="s">
        <v>586</v>
      </c>
      <c r="W3500" s="11">
        <v>7000000</v>
      </c>
      <c r="X3500" s="11">
        <v>1989</v>
      </c>
      <c r="Y3500" s="11">
        <v>554</v>
      </c>
      <c r="Z3500" s="11">
        <v>6.2</v>
      </c>
      <c r="AA3500" s="11">
        <v>1.85</v>
      </c>
      <c r="AB3500" s="11">
        <v>0</v>
      </c>
      <c r="AC3500" s="11"/>
      <c r="AD3500" s="11" t="str">
        <f>IFERROR(__xludf.DUMMYFUNCTION("""COMPUTED_VALUE"""),"Jonny Weston")</f>
        <v>Jonny Weston</v>
      </c>
      <c r="AE3500" s="11"/>
    </row>
    <row r="3501" customHeight="1" spans="1:31">
      <c r="A3501" s="12" t="s">
        <v>30</v>
      </c>
      <c r="B3501" s="12" t="s">
        <v>12877</v>
      </c>
      <c r="C3501" s="12">
        <v>71</v>
      </c>
      <c r="D3501" s="12">
        <v>116</v>
      </c>
      <c r="E3501" s="12">
        <v>107</v>
      </c>
      <c r="F3501" s="12">
        <v>658</v>
      </c>
      <c r="G3501" s="12">
        <v>893</v>
      </c>
      <c r="H3501" s="12">
        <v>14612840</v>
      </c>
      <c r="I3501" s="12" t="s">
        <v>6200</v>
      </c>
      <c r="J3501" s="12" t="s">
        <v>3491</v>
      </c>
      <c r="K3501" s="12" t="s">
        <v>4505</v>
      </c>
      <c r="L3501" s="12" t="s">
        <v>16582</v>
      </c>
      <c r="M3501" s="12" t="s">
        <v>16583</v>
      </c>
      <c r="N3501" s="12">
        <v>11191</v>
      </c>
      <c r="O3501" s="12">
        <v>3110</v>
      </c>
      <c r="P3501" s="12">
        <v>1</v>
      </c>
      <c r="Q3501" s="12" t="s">
        <v>16584</v>
      </c>
      <c r="R3501" s="15" t="s">
        <v>16585</v>
      </c>
      <c r="S3501" s="12">
        <v>37</v>
      </c>
      <c r="T3501" s="12" t="s">
        <v>39</v>
      </c>
      <c r="U3501" s="12" t="s">
        <v>40</v>
      </c>
      <c r="V3501" s="12" t="s">
        <v>41</v>
      </c>
      <c r="W3501" s="12">
        <v>7000000</v>
      </c>
      <c r="X3501" s="12">
        <v>2014</v>
      </c>
      <c r="Y3501" s="12">
        <v>664</v>
      </c>
      <c r="Z3501" s="12">
        <v>6.9</v>
      </c>
      <c r="AA3501" s="16"/>
      <c r="AB3501" s="12">
        <v>0</v>
      </c>
      <c r="AC3501" s="12"/>
      <c r="AD3501" s="12" t="str">
        <f>IFERROR(__xludf.DUMMYFUNCTION("""COMPUTED_VALUE"""),"Sofia Black-D'Elia")</f>
        <v>Sofia Black-D'Elia</v>
      </c>
      <c r="AE3501" s="12"/>
    </row>
    <row r="3502" customHeight="1" spans="1:31">
      <c r="A3502" s="11" t="s">
        <v>30</v>
      </c>
      <c r="B3502" s="11" t="s">
        <v>16586</v>
      </c>
      <c r="C3502" s="11">
        <v>281</v>
      </c>
      <c r="D3502" s="11">
        <v>99</v>
      </c>
      <c r="E3502" s="11">
        <v>192</v>
      </c>
      <c r="F3502" s="11">
        <v>292</v>
      </c>
      <c r="G3502" s="11">
        <v>14000</v>
      </c>
      <c r="H3502" s="11">
        <v>9166863</v>
      </c>
      <c r="I3502" s="11" t="s">
        <v>214</v>
      </c>
      <c r="J3502" s="11" t="s">
        <v>439</v>
      </c>
      <c r="K3502" s="11" t="s">
        <v>16587</v>
      </c>
      <c r="L3502" s="11" t="s">
        <v>16063</v>
      </c>
      <c r="M3502" s="11" t="s">
        <v>16588</v>
      </c>
      <c r="N3502" s="11">
        <v>83182</v>
      </c>
      <c r="O3502" s="11">
        <v>14816</v>
      </c>
      <c r="P3502" s="11">
        <v>2</v>
      </c>
      <c r="Q3502" s="11" t="s">
        <v>16589</v>
      </c>
      <c r="R3502" s="14" t="s">
        <v>16590</v>
      </c>
      <c r="S3502" s="11">
        <v>247</v>
      </c>
      <c r="T3502" s="11" t="s">
        <v>39</v>
      </c>
      <c r="U3502" s="11" t="s">
        <v>40</v>
      </c>
      <c r="V3502" s="11" t="s">
        <v>586</v>
      </c>
      <c r="W3502" s="11">
        <v>7000000</v>
      </c>
      <c r="X3502" s="11">
        <v>2009</v>
      </c>
      <c r="Y3502" s="11">
        <v>343</v>
      </c>
      <c r="Z3502" s="11">
        <v>7.6</v>
      </c>
      <c r="AA3502" s="11">
        <v>2.35</v>
      </c>
      <c r="AB3502" s="11">
        <v>16000</v>
      </c>
      <c r="AC3502" s="11"/>
      <c r="AD3502" s="11" t="str">
        <f>IFERROR(__xludf.DUMMYFUNCTION("""COMPUTED_VALUE"""),"Veronika Dash")</f>
        <v>Veronika Dash</v>
      </c>
      <c r="AE3502" s="11"/>
    </row>
    <row r="3503" customHeight="1" spans="1:31">
      <c r="A3503" s="12" t="s">
        <v>30</v>
      </c>
      <c r="B3503" s="12" t="s">
        <v>488</v>
      </c>
      <c r="C3503" s="12">
        <v>114</v>
      </c>
      <c r="D3503" s="12">
        <v>164</v>
      </c>
      <c r="E3503" s="12">
        <v>17000</v>
      </c>
      <c r="F3503" s="12">
        <v>159</v>
      </c>
      <c r="G3503" s="12">
        <v>883</v>
      </c>
      <c r="H3503" s="12">
        <v>8373585</v>
      </c>
      <c r="I3503" s="12" t="s">
        <v>3410</v>
      </c>
      <c r="J3503" s="12" t="s">
        <v>7175</v>
      </c>
      <c r="K3503" s="12" t="s">
        <v>16591</v>
      </c>
      <c r="L3503" s="12" t="s">
        <v>7979</v>
      </c>
      <c r="M3503" s="12" t="s">
        <v>16592</v>
      </c>
      <c r="N3503" s="12">
        <v>39680</v>
      </c>
      <c r="O3503" s="12">
        <v>1934</v>
      </c>
      <c r="P3503" s="12">
        <v>0</v>
      </c>
      <c r="Q3503" s="12" t="s">
        <v>16593</v>
      </c>
      <c r="R3503" s="15" t="s">
        <v>16594</v>
      </c>
      <c r="S3503" s="12">
        <v>308</v>
      </c>
      <c r="T3503" s="12" t="s">
        <v>39</v>
      </c>
      <c r="U3503" s="12" t="s">
        <v>40</v>
      </c>
      <c r="V3503" s="12" t="s">
        <v>586</v>
      </c>
      <c r="W3503" s="12">
        <v>7000000</v>
      </c>
      <c r="X3503" s="12">
        <v>1988</v>
      </c>
      <c r="Y3503" s="12">
        <v>618</v>
      </c>
      <c r="Z3503" s="12">
        <v>7.6</v>
      </c>
      <c r="AA3503" s="12">
        <v>1.85</v>
      </c>
      <c r="AB3503" s="12">
        <v>0</v>
      </c>
      <c r="AC3503" s="12"/>
      <c r="AD3503" s="12" t="str">
        <f>IFERROR(__xludf.DUMMYFUNCTION("""COMPUTED_VALUE"""),"Tammy Blanchard")</f>
        <v>Tammy Blanchard</v>
      </c>
      <c r="AE3503" s="12"/>
    </row>
    <row r="3504" customHeight="1" spans="1:31">
      <c r="A3504" s="11" t="s">
        <v>30</v>
      </c>
      <c r="B3504" s="11" t="s">
        <v>16202</v>
      </c>
      <c r="C3504" s="11">
        <v>72</v>
      </c>
      <c r="D3504" s="11">
        <v>96</v>
      </c>
      <c r="E3504" s="11">
        <v>30</v>
      </c>
      <c r="F3504" s="11">
        <v>407</v>
      </c>
      <c r="G3504" s="11">
        <v>761</v>
      </c>
      <c r="H3504" s="11">
        <v>7292175</v>
      </c>
      <c r="I3504" s="11" t="s">
        <v>1415</v>
      </c>
      <c r="J3504" s="11" t="s">
        <v>16595</v>
      </c>
      <c r="K3504" s="11" t="s">
        <v>16596</v>
      </c>
      <c r="L3504" s="11" t="s">
        <v>10020</v>
      </c>
      <c r="M3504" s="11" t="s">
        <v>16597</v>
      </c>
      <c r="N3504" s="11">
        <v>7736</v>
      </c>
      <c r="O3504" s="11">
        <v>2018</v>
      </c>
      <c r="P3504" s="11">
        <v>3</v>
      </c>
      <c r="Q3504" s="11" t="s">
        <v>16598</v>
      </c>
      <c r="R3504" s="14" t="s">
        <v>16599</v>
      </c>
      <c r="S3504" s="11">
        <v>100</v>
      </c>
      <c r="T3504" s="11" t="s">
        <v>39</v>
      </c>
      <c r="U3504" s="11" t="s">
        <v>40</v>
      </c>
      <c r="V3504" s="11" t="s">
        <v>586</v>
      </c>
      <c r="W3504" s="11">
        <v>7000000</v>
      </c>
      <c r="X3504" s="11">
        <v>1999</v>
      </c>
      <c r="Y3504" s="11">
        <v>412</v>
      </c>
      <c r="Z3504" s="11">
        <v>6.4</v>
      </c>
      <c r="AA3504" s="11">
        <v>1.85</v>
      </c>
      <c r="AB3504" s="11">
        <v>0</v>
      </c>
      <c r="AC3504" s="11"/>
      <c r="AD3504" s="11" t="str">
        <f>IFERROR(__xludf.DUMMYFUNCTION("""COMPUTED_VALUE"""),"Sherman Hemsley")</f>
        <v>Sherman Hemsley</v>
      </c>
      <c r="AE3504" s="11"/>
    </row>
    <row r="3505" customHeight="1" spans="1:31">
      <c r="A3505" s="12" t="s">
        <v>30</v>
      </c>
      <c r="B3505" s="12" t="s">
        <v>15467</v>
      </c>
      <c r="C3505" s="12">
        <v>119</v>
      </c>
      <c r="D3505" s="12">
        <v>122</v>
      </c>
      <c r="E3505" s="12">
        <v>98</v>
      </c>
      <c r="F3505" s="12">
        <v>397</v>
      </c>
      <c r="G3505" s="12">
        <v>729</v>
      </c>
      <c r="H3505" s="12">
        <v>6601079</v>
      </c>
      <c r="I3505" s="12" t="s">
        <v>3464</v>
      </c>
      <c r="J3505" s="12" t="s">
        <v>3519</v>
      </c>
      <c r="K3505" s="12" t="s">
        <v>3839</v>
      </c>
      <c r="L3505" s="12" t="s">
        <v>16600</v>
      </c>
      <c r="M3505" s="12" t="s">
        <v>16601</v>
      </c>
      <c r="N3505" s="12">
        <v>17436</v>
      </c>
      <c r="O3505" s="12">
        <v>2321</v>
      </c>
      <c r="P3505" s="12">
        <v>1</v>
      </c>
      <c r="Q3505" s="12" t="s">
        <v>16602</v>
      </c>
      <c r="R3505" s="15" t="s">
        <v>16603</v>
      </c>
      <c r="S3505" s="12">
        <v>276</v>
      </c>
      <c r="T3505" s="12" t="s">
        <v>39</v>
      </c>
      <c r="U3505" s="12" t="s">
        <v>58</v>
      </c>
      <c r="V3505" s="12" t="s">
        <v>41</v>
      </c>
      <c r="W3505" s="12">
        <v>7000000</v>
      </c>
      <c r="X3505" s="12">
        <v>2004</v>
      </c>
      <c r="Y3505" s="12">
        <v>579</v>
      </c>
      <c r="Z3505" s="12">
        <v>6.2</v>
      </c>
      <c r="AA3505" s="12">
        <v>2.35</v>
      </c>
      <c r="AB3505" s="12">
        <v>0</v>
      </c>
      <c r="AC3505" s="12"/>
      <c r="AD3505" s="12" t="str">
        <f>IFERROR(__xludf.DUMMYFUNCTION("""COMPUTED_VALUE"""),"Aleksa Palladino")</f>
        <v>Aleksa Palladino</v>
      </c>
      <c r="AE3505" s="12"/>
    </row>
    <row r="3506" customHeight="1" spans="1:31">
      <c r="A3506" s="11" t="s">
        <v>30</v>
      </c>
      <c r="B3506" s="11" t="s">
        <v>1199</v>
      </c>
      <c r="C3506" s="11">
        <v>74</v>
      </c>
      <c r="D3506" s="11">
        <v>94</v>
      </c>
      <c r="E3506" s="11">
        <v>176</v>
      </c>
      <c r="F3506" s="11">
        <v>46</v>
      </c>
      <c r="G3506" s="11">
        <v>116</v>
      </c>
      <c r="H3506" s="11">
        <v>6165429</v>
      </c>
      <c r="I3506" s="11" t="s">
        <v>16604</v>
      </c>
      <c r="J3506" s="11" t="s">
        <v>16605</v>
      </c>
      <c r="K3506" s="11" t="s">
        <v>15799</v>
      </c>
      <c r="L3506" s="11" t="s">
        <v>16606</v>
      </c>
      <c r="M3506" s="11" t="s">
        <v>16607</v>
      </c>
      <c r="N3506" s="11">
        <v>23486</v>
      </c>
      <c r="O3506" s="11">
        <v>312</v>
      </c>
      <c r="P3506" s="11">
        <v>1</v>
      </c>
      <c r="Q3506" s="11" t="s">
        <v>16608</v>
      </c>
      <c r="R3506" s="14" t="s">
        <v>16609</v>
      </c>
      <c r="S3506" s="11">
        <v>249</v>
      </c>
      <c r="T3506" s="11" t="s">
        <v>2222</v>
      </c>
      <c r="U3506" s="11" t="s">
        <v>371</v>
      </c>
      <c r="V3506" s="11" t="s">
        <v>96</v>
      </c>
      <c r="W3506" s="11">
        <v>6000000</v>
      </c>
      <c r="X3506" s="11">
        <v>2002</v>
      </c>
      <c r="Y3506" s="11">
        <v>93</v>
      </c>
      <c r="Z3506" s="11">
        <v>7.5</v>
      </c>
      <c r="AA3506" s="11">
        <v>2.35</v>
      </c>
      <c r="AB3506" s="11">
        <v>0</v>
      </c>
      <c r="AC3506" s="11"/>
      <c r="AD3506" s="11" t="str">
        <f>IFERROR(__xludf.DUMMYFUNCTION("""COMPUTED_VALUE"""),"Greg Mottola")</f>
        <v>Greg Mottola</v>
      </c>
      <c r="AE3506" s="11"/>
    </row>
    <row r="3507" customHeight="1" spans="1:31">
      <c r="A3507" s="12" t="s">
        <v>30</v>
      </c>
      <c r="B3507" s="12" t="s">
        <v>9774</v>
      </c>
      <c r="C3507" s="12">
        <v>25</v>
      </c>
      <c r="D3507" s="12">
        <v>93</v>
      </c>
      <c r="E3507" s="12">
        <v>70</v>
      </c>
      <c r="F3507" s="12">
        <v>442</v>
      </c>
      <c r="G3507" s="12">
        <v>692</v>
      </c>
      <c r="H3507" s="12">
        <v>5694308</v>
      </c>
      <c r="I3507" s="12" t="s">
        <v>3914</v>
      </c>
      <c r="J3507" s="12" t="s">
        <v>1655</v>
      </c>
      <c r="K3507" s="12" t="s">
        <v>5227</v>
      </c>
      <c r="L3507" s="12" t="s">
        <v>16610</v>
      </c>
      <c r="M3507" s="12" t="s">
        <v>16611</v>
      </c>
      <c r="N3507" s="12">
        <v>13815</v>
      </c>
      <c r="O3507" s="12">
        <v>3128</v>
      </c>
      <c r="P3507" s="12">
        <v>0</v>
      </c>
      <c r="Q3507" s="12" t="s">
        <v>16612</v>
      </c>
      <c r="R3507" s="15" t="s">
        <v>16613</v>
      </c>
      <c r="S3507" s="12">
        <v>46</v>
      </c>
      <c r="T3507" s="12" t="s">
        <v>39</v>
      </c>
      <c r="U3507" s="12" t="s">
        <v>40</v>
      </c>
      <c r="V3507" s="12" t="s">
        <v>41</v>
      </c>
      <c r="W3507" s="12">
        <v>7000000</v>
      </c>
      <c r="X3507" s="12">
        <v>2007</v>
      </c>
      <c r="Y3507" s="12">
        <v>585</v>
      </c>
      <c r="Z3507" s="12">
        <v>2</v>
      </c>
      <c r="AA3507" s="12">
        <v>1.85</v>
      </c>
      <c r="AB3507" s="12">
        <v>446</v>
      </c>
      <c r="AC3507" s="12"/>
      <c r="AD3507" s="12" t="str">
        <f>IFERROR(__xludf.DUMMYFUNCTION("""COMPUTED_VALUE"""),"Jill Clayburgh")</f>
        <v>Jill Clayburgh</v>
      </c>
      <c r="AE3507" s="12"/>
    </row>
    <row r="3508" customHeight="1" spans="1:31">
      <c r="A3508" s="11" t="s">
        <v>30</v>
      </c>
      <c r="B3508" s="11" t="s">
        <v>16614</v>
      </c>
      <c r="C3508" s="11">
        <v>39</v>
      </c>
      <c r="D3508" s="11">
        <v>96</v>
      </c>
      <c r="E3508" s="11">
        <v>6</v>
      </c>
      <c r="F3508" s="11">
        <v>38</v>
      </c>
      <c r="G3508" s="11">
        <v>206</v>
      </c>
      <c r="H3508" s="11">
        <v>5430822</v>
      </c>
      <c r="I3508" s="11" t="s">
        <v>16615</v>
      </c>
      <c r="J3508" s="11" t="s">
        <v>16616</v>
      </c>
      <c r="K3508" s="11" t="s">
        <v>2236</v>
      </c>
      <c r="L3508" s="11" t="s">
        <v>16617</v>
      </c>
      <c r="M3508" s="11" t="s">
        <v>16618</v>
      </c>
      <c r="N3508" s="11">
        <v>8391</v>
      </c>
      <c r="O3508" s="11">
        <v>493</v>
      </c>
      <c r="P3508" s="11">
        <v>0</v>
      </c>
      <c r="Q3508" s="11" t="s">
        <v>16619</v>
      </c>
      <c r="R3508" s="14" t="s">
        <v>16620</v>
      </c>
      <c r="S3508" s="11">
        <v>75</v>
      </c>
      <c r="T3508" s="11" t="s">
        <v>39</v>
      </c>
      <c r="U3508" s="11" t="s">
        <v>58</v>
      </c>
      <c r="V3508" s="11" t="s">
        <v>586</v>
      </c>
      <c r="W3508" s="11">
        <v>7000000</v>
      </c>
      <c r="X3508" s="11">
        <v>1992</v>
      </c>
      <c r="Y3508" s="11">
        <v>192</v>
      </c>
      <c r="Z3508" s="11">
        <v>6.2</v>
      </c>
      <c r="AA3508" s="11">
        <v>1.85</v>
      </c>
      <c r="AB3508" s="11">
        <v>0</v>
      </c>
      <c r="AC3508" s="11"/>
      <c r="AD3508" s="11" t="str">
        <f>IFERROR(__xludf.DUMMYFUNCTION("""COMPUTED_VALUE"""),"Kelly Clarkson")</f>
        <v>Kelly Clarkson</v>
      </c>
      <c r="AE3508" s="11"/>
    </row>
    <row r="3509" customHeight="1" spans="1:31">
      <c r="A3509" s="12" t="s">
        <v>30</v>
      </c>
      <c r="B3509" s="16"/>
      <c r="C3509" s="12">
        <v>27</v>
      </c>
      <c r="D3509" s="12">
        <v>60</v>
      </c>
      <c r="E3509" s="16"/>
      <c r="F3509" s="12">
        <v>346</v>
      </c>
      <c r="G3509" s="12">
        <v>787</v>
      </c>
      <c r="H3509" s="16"/>
      <c r="I3509" s="12" t="s">
        <v>464</v>
      </c>
      <c r="J3509" s="12" t="s">
        <v>11802</v>
      </c>
      <c r="K3509" s="12" t="s">
        <v>4221</v>
      </c>
      <c r="L3509" s="12" t="s">
        <v>1288</v>
      </c>
      <c r="M3509" s="12" t="s">
        <v>16621</v>
      </c>
      <c r="N3509" s="12">
        <v>42402</v>
      </c>
      <c r="O3509" s="12">
        <v>2352</v>
      </c>
      <c r="P3509" s="12">
        <v>1</v>
      </c>
      <c r="Q3509" s="12" t="s">
        <v>16622</v>
      </c>
      <c r="R3509" s="15" t="s">
        <v>16623</v>
      </c>
      <c r="S3509" s="12">
        <v>83</v>
      </c>
      <c r="T3509" s="12" t="s">
        <v>39</v>
      </c>
      <c r="U3509" s="12" t="s">
        <v>40</v>
      </c>
      <c r="V3509" s="16"/>
      <c r="W3509" s="16"/>
      <c r="X3509" s="16"/>
      <c r="Y3509" s="12">
        <v>485</v>
      </c>
      <c r="Z3509" s="12">
        <v>7.7</v>
      </c>
      <c r="AA3509" s="12">
        <v>16</v>
      </c>
      <c r="AB3509" s="12">
        <v>0</v>
      </c>
      <c r="AC3509" s="12"/>
      <c r="AD3509" s="12" t="str">
        <f>IFERROR(__xludf.DUMMYFUNCTION("""COMPUTED_VALUE"""),"Brian Dietzen")</f>
        <v>Brian Dietzen</v>
      </c>
      <c r="AE3509" s="12"/>
    </row>
    <row r="3510" customHeight="1" spans="1:31">
      <c r="A3510" s="11" t="s">
        <v>30</v>
      </c>
      <c r="B3510" s="11" t="s">
        <v>16624</v>
      </c>
      <c r="C3510" s="11">
        <v>27</v>
      </c>
      <c r="D3510" s="11">
        <v>113</v>
      </c>
      <c r="E3510" s="11">
        <v>7</v>
      </c>
      <c r="F3510" s="11">
        <v>35</v>
      </c>
      <c r="G3510" s="11">
        <v>11000</v>
      </c>
      <c r="H3510" s="11">
        <v>4720371</v>
      </c>
      <c r="I3510" s="11" t="s">
        <v>11070</v>
      </c>
      <c r="J3510" s="11" t="s">
        <v>257</v>
      </c>
      <c r="K3510" s="11" t="s">
        <v>16625</v>
      </c>
      <c r="L3510" s="11" t="s">
        <v>16626</v>
      </c>
      <c r="M3510" s="11" t="s">
        <v>16627</v>
      </c>
      <c r="N3510" s="11">
        <v>3203</v>
      </c>
      <c r="O3510" s="11">
        <v>11116</v>
      </c>
      <c r="P3510" s="11">
        <v>2</v>
      </c>
      <c r="Q3510" s="11" t="s">
        <v>16628</v>
      </c>
      <c r="R3510" s="14" t="s">
        <v>16629</v>
      </c>
      <c r="S3510" s="11">
        <v>85</v>
      </c>
      <c r="T3510" s="11" t="s">
        <v>39</v>
      </c>
      <c r="U3510" s="11" t="s">
        <v>40</v>
      </c>
      <c r="V3510" s="11" t="s">
        <v>96</v>
      </c>
      <c r="W3510" s="11">
        <v>7000000</v>
      </c>
      <c r="X3510" s="11">
        <v>2001</v>
      </c>
      <c r="Y3510" s="11">
        <v>43</v>
      </c>
      <c r="Z3510" s="11">
        <v>6.5</v>
      </c>
      <c r="AA3510" s="11">
        <v>1.85</v>
      </c>
      <c r="AB3510" s="11">
        <v>650</v>
      </c>
      <c r="AC3510" s="11"/>
      <c r="AD3510" s="11" t="str">
        <f>IFERROR(__xludf.DUMMYFUNCTION("""COMPUTED_VALUE"""),"Nick Damici")</f>
        <v>Nick Damici</v>
      </c>
      <c r="AE3510" s="11"/>
    </row>
    <row r="3511" customHeight="1" spans="1:31">
      <c r="A3511" s="12" t="s">
        <v>30</v>
      </c>
      <c r="B3511" s="16"/>
      <c r="C3511" s="12">
        <v>11</v>
      </c>
      <c r="D3511" s="12">
        <v>60</v>
      </c>
      <c r="E3511" s="16"/>
      <c r="F3511" s="12">
        <v>652</v>
      </c>
      <c r="G3511" s="12">
        <v>10000</v>
      </c>
      <c r="H3511" s="16"/>
      <c r="I3511" s="12" t="s">
        <v>1052</v>
      </c>
      <c r="J3511" s="12" t="s">
        <v>13387</v>
      </c>
      <c r="K3511" s="12" t="s">
        <v>4557</v>
      </c>
      <c r="L3511" s="12" t="s">
        <v>8270</v>
      </c>
      <c r="M3511" s="12" t="s">
        <v>16630</v>
      </c>
      <c r="N3511" s="12">
        <v>25329</v>
      </c>
      <c r="O3511" s="12">
        <v>12051</v>
      </c>
      <c r="P3511" s="12">
        <v>1</v>
      </c>
      <c r="Q3511" s="12" t="s">
        <v>16631</v>
      </c>
      <c r="R3511" s="15" t="s">
        <v>16632</v>
      </c>
      <c r="S3511" s="12">
        <v>160</v>
      </c>
      <c r="T3511" s="12" t="s">
        <v>39</v>
      </c>
      <c r="U3511" s="12" t="s">
        <v>40</v>
      </c>
      <c r="V3511" s="12" t="s">
        <v>1127</v>
      </c>
      <c r="W3511" s="16"/>
      <c r="X3511" s="16"/>
      <c r="Y3511" s="12">
        <v>794</v>
      </c>
      <c r="Z3511" s="12">
        <v>7.4</v>
      </c>
      <c r="AA3511" s="12">
        <v>1.33</v>
      </c>
      <c r="AB3511" s="12">
        <v>0</v>
      </c>
      <c r="AC3511" s="12"/>
      <c r="AD3511" s="12" t="str">
        <f>IFERROR(__xludf.DUMMYFUNCTION("""COMPUTED_VALUE"""),"Susan Gardner")</f>
        <v>Susan Gardner</v>
      </c>
      <c r="AE3511" s="12"/>
    </row>
    <row r="3512" customHeight="1" spans="1:31">
      <c r="A3512" s="11" t="s">
        <v>30</v>
      </c>
      <c r="B3512" s="11" t="s">
        <v>15585</v>
      </c>
      <c r="C3512" s="11">
        <v>29</v>
      </c>
      <c r="D3512" s="11">
        <v>192</v>
      </c>
      <c r="E3512" s="11">
        <v>147</v>
      </c>
      <c r="F3512" s="11">
        <v>397</v>
      </c>
      <c r="G3512" s="11">
        <v>8000</v>
      </c>
      <c r="H3512" s="11">
        <v>2921738</v>
      </c>
      <c r="I3512" s="11" t="s">
        <v>2850</v>
      </c>
      <c r="J3512" s="11" t="s">
        <v>14706</v>
      </c>
      <c r="K3512" s="11" t="s">
        <v>14708</v>
      </c>
      <c r="L3512" s="11" t="s">
        <v>16600</v>
      </c>
      <c r="M3512" s="11" t="s">
        <v>16633</v>
      </c>
      <c r="N3512" s="11">
        <v>34449</v>
      </c>
      <c r="O3512" s="11">
        <v>9984</v>
      </c>
      <c r="P3512" s="11">
        <v>0</v>
      </c>
      <c r="Q3512" s="11" t="s">
        <v>16634</v>
      </c>
      <c r="R3512" s="14" t="s">
        <v>16635</v>
      </c>
      <c r="S3512" s="11">
        <v>119</v>
      </c>
      <c r="T3512" s="11" t="s">
        <v>5612</v>
      </c>
      <c r="U3512" s="11" t="s">
        <v>5613</v>
      </c>
      <c r="V3512" s="13"/>
      <c r="W3512" s="11">
        <v>7000000</v>
      </c>
      <c r="X3512" s="11">
        <v>2004</v>
      </c>
      <c r="Y3512" s="11">
        <v>860</v>
      </c>
      <c r="Z3512" s="11">
        <v>7.9</v>
      </c>
      <c r="AA3512" s="11">
        <v>2.35</v>
      </c>
      <c r="AB3512" s="11">
        <v>2000</v>
      </c>
      <c r="AC3512" s="11"/>
      <c r="AD3512" s="11" t="str">
        <f>IFERROR(__xludf.DUMMYFUNCTION("""COMPUTED_VALUE"""),"Samantha Ivers")</f>
        <v>Samantha Ivers</v>
      </c>
      <c r="AE3512" s="11"/>
    </row>
    <row r="3513" customHeight="1" spans="1:31">
      <c r="A3513" s="12" t="s">
        <v>30</v>
      </c>
      <c r="B3513" s="12" t="s">
        <v>1923</v>
      </c>
      <c r="C3513" s="12">
        <v>158</v>
      </c>
      <c r="D3513" s="12">
        <v>99</v>
      </c>
      <c r="E3513" s="12">
        <v>342</v>
      </c>
      <c r="F3513" s="12">
        <v>501</v>
      </c>
      <c r="G3513" s="12">
        <v>1000</v>
      </c>
      <c r="H3513" s="12">
        <v>2344847</v>
      </c>
      <c r="I3513" s="12" t="s">
        <v>3794</v>
      </c>
      <c r="J3513" s="12" t="s">
        <v>783</v>
      </c>
      <c r="K3513" s="12" t="s">
        <v>16636</v>
      </c>
      <c r="L3513" s="12" t="s">
        <v>2731</v>
      </c>
      <c r="M3513" s="12" t="s">
        <v>16637</v>
      </c>
      <c r="N3513" s="12">
        <v>18561</v>
      </c>
      <c r="O3513" s="12">
        <v>2158</v>
      </c>
      <c r="P3513" s="12">
        <v>0</v>
      </c>
      <c r="Q3513" s="12" t="s">
        <v>16638</v>
      </c>
      <c r="R3513" s="15" t="s">
        <v>16639</v>
      </c>
      <c r="S3513" s="12">
        <v>119</v>
      </c>
      <c r="T3513" s="12" t="s">
        <v>39</v>
      </c>
      <c r="U3513" s="12" t="s">
        <v>40</v>
      </c>
      <c r="V3513" s="12" t="s">
        <v>586</v>
      </c>
      <c r="W3513" s="12">
        <v>7000000</v>
      </c>
      <c r="X3513" s="12">
        <v>2008</v>
      </c>
      <c r="Y3513" s="12">
        <v>518</v>
      </c>
      <c r="Z3513" s="12">
        <v>6.8</v>
      </c>
      <c r="AA3513" s="12">
        <v>2.35</v>
      </c>
      <c r="AB3513" s="12">
        <v>0</v>
      </c>
      <c r="AC3513" s="12"/>
      <c r="AD3513" s="12" t="str">
        <f>IFERROR(__xludf.DUMMYFUNCTION("""COMPUTED_VALUE"""),"Doona Bae")</f>
        <v>Doona Bae</v>
      </c>
      <c r="AE3513" s="12"/>
    </row>
    <row r="3514" customHeight="1" spans="1:31">
      <c r="A3514" s="11" t="s">
        <v>30</v>
      </c>
      <c r="B3514" s="11" t="s">
        <v>15176</v>
      </c>
      <c r="C3514" s="11">
        <v>223</v>
      </c>
      <c r="D3514" s="11">
        <v>91</v>
      </c>
      <c r="E3514" s="11">
        <v>157</v>
      </c>
      <c r="F3514" s="11">
        <v>224</v>
      </c>
      <c r="G3514" s="11">
        <v>490</v>
      </c>
      <c r="H3514" s="11">
        <v>7455447</v>
      </c>
      <c r="I3514" s="11" t="s">
        <v>1415</v>
      </c>
      <c r="J3514" s="11" t="s">
        <v>3684</v>
      </c>
      <c r="K3514" s="11" t="s">
        <v>6820</v>
      </c>
      <c r="L3514" s="11" t="s">
        <v>16640</v>
      </c>
      <c r="M3514" s="11" t="s">
        <v>16641</v>
      </c>
      <c r="N3514" s="11">
        <v>29967</v>
      </c>
      <c r="O3514" s="11">
        <v>1136</v>
      </c>
      <c r="P3514" s="11">
        <v>2</v>
      </c>
      <c r="Q3514" s="11" t="s">
        <v>16642</v>
      </c>
      <c r="R3514" s="14" t="s">
        <v>16643</v>
      </c>
      <c r="S3514" s="11">
        <v>126</v>
      </c>
      <c r="T3514" s="11" t="s">
        <v>39</v>
      </c>
      <c r="U3514" s="11" t="s">
        <v>40</v>
      </c>
      <c r="V3514" s="11" t="s">
        <v>586</v>
      </c>
      <c r="W3514" s="11">
        <v>7000000</v>
      </c>
      <c r="X3514" s="11">
        <v>2010</v>
      </c>
      <c r="Y3514" s="11">
        <v>259</v>
      </c>
      <c r="Z3514" s="11">
        <v>6.3</v>
      </c>
      <c r="AA3514" s="11">
        <v>1.85</v>
      </c>
      <c r="AB3514" s="11">
        <v>0</v>
      </c>
      <c r="AC3514" s="11"/>
      <c r="AD3514" s="11" t="str">
        <f>IFERROR(__xludf.DUMMYFUNCTION("""COMPUTED_VALUE"""),"Ah-sung Ko")</f>
        <v>Ah-sung Ko</v>
      </c>
      <c r="AE3514" s="11"/>
    </row>
    <row r="3515" customHeight="1" spans="1:31">
      <c r="A3515" s="12" t="s">
        <v>30</v>
      </c>
      <c r="B3515" s="12" t="s">
        <v>16644</v>
      </c>
      <c r="C3515" s="12">
        <v>25</v>
      </c>
      <c r="D3515" s="12">
        <v>100</v>
      </c>
      <c r="E3515" s="12">
        <v>0</v>
      </c>
      <c r="F3515" s="12">
        <v>359</v>
      </c>
      <c r="G3515" s="12">
        <v>655</v>
      </c>
      <c r="H3515" s="12">
        <v>2148212</v>
      </c>
      <c r="I3515" s="12" t="s">
        <v>7144</v>
      </c>
      <c r="J3515" s="12" t="s">
        <v>2285</v>
      </c>
      <c r="K3515" s="12" t="s">
        <v>16645</v>
      </c>
      <c r="L3515" s="12" t="s">
        <v>12389</v>
      </c>
      <c r="M3515" s="12" t="s">
        <v>16646</v>
      </c>
      <c r="N3515" s="12">
        <v>781</v>
      </c>
      <c r="O3515" s="12">
        <v>1906</v>
      </c>
      <c r="P3515" s="12">
        <v>0</v>
      </c>
      <c r="Q3515" s="12" t="s">
        <v>16647</v>
      </c>
      <c r="R3515" s="15" t="s">
        <v>16648</v>
      </c>
      <c r="S3515" s="12">
        <v>20</v>
      </c>
      <c r="T3515" s="12" t="s">
        <v>39</v>
      </c>
      <c r="U3515" s="12" t="s">
        <v>40</v>
      </c>
      <c r="V3515" s="12" t="s">
        <v>96</v>
      </c>
      <c r="W3515" s="12">
        <v>7000000</v>
      </c>
      <c r="X3515" s="12">
        <v>1999</v>
      </c>
      <c r="Y3515" s="12">
        <v>476</v>
      </c>
      <c r="Z3515" s="12">
        <v>6.3</v>
      </c>
      <c r="AA3515" s="12">
        <v>1.85</v>
      </c>
      <c r="AB3515" s="12">
        <v>157</v>
      </c>
      <c r="AC3515" s="12"/>
      <c r="AD3515" s="12" t="str">
        <f>IFERROR(__xludf.DUMMYFUNCTION("""COMPUTED_VALUE"""),"Paul Gleason")</f>
        <v>Paul Gleason</v>
      </c>
      <c r="AE3515" s="12"/>
    </row>
    <row r="3516" customHeight="1" spans="1:31">
      <c r="A3516" s="11" t="s">
        <v>30</v>
      </c>
      <c r="B3516" s="11" t="s">
        <v>13941</v>
      </c>
      <c r="C3516" s="11">
        <v>97</v>
      </c>
      <c r="D3516" s="11">
        <v>105</v>
      </c>
      <c r="E3516" s="11">
        <v>261</v>
      </c>
      <c r="F3516" s="11">
        <v>617</v>
      </c>
      <c r="G3516" s="11">
        <v>783</v>
      </c>
      <c r="H3516" s="11">
        <v>2062066</v>
      </c>
      <c r="I3516" s="11" t="s">
        <v>1726</v>
      </c>
      <c r="J3516" s="11" t="s">
        <v>972</v>
      </c>
      <c r="K3516" s="11" t="s">
        <v>2788</v>
      </c>
      <c r="L3516" s="11" t="s">
        <v>4630</v>
      </c>
      <c r="M3516" s="11" t="s">
        <v>16649</v>
      </c>
      <c r="N3516" s="11">
        <v>11387</v>
      </c>
      <c r="O3516" s="11">
        <v>2684</v>
      </c>
      <c r="P3516" s="11">
        <v>3</v>
      </c>
      <c r="Q3516" s="11" t="s">
        <v>16650</v>
      </c>
      <c r="R3516" s="14" t="s">
        <v>16651</v>
      </c>
      <c r="S3516" s="11">
        <v>147</v>
      </c>
      <c r="T3516" s="11" t="s">
        <v>39</v>
      </c>
      <c r="U3516" s="11" t="s">
        <v>40</v>
      </c>
      <c r="V3516" s="11" t="s">
        <v>586</v>
      </c>
      <c r="W3516" s="11">
        <v>7000000</v>
      </c>
      <c r="X3516" s="11">
        <v>2002</v>
      </c>
      <c r="Y3516" s="11">
        <v>658</v>
      </c>
      <c r="Z3516" s="11">
        <v>6.6</v>
      </c>
      <c r="AA3516" s="11">
        <v>1.85</v>
      </c>
      <c r="AB3516" s="11">
        <v>357</v>
      </c>
      <c r="AC3516" s="11"/>
      <c r="AD3516" s="11" t="str">
        <f>IFERROR(__xludf.DUMMYFUNCTION("""COMPUTED_VALUE"""),"Toni Servillo")</f>
        <v>Toni Servillo</v>
      </c>
      <c r="AE3516" s="11"/>
    </row>
    <row r="3517" customHeight="1" spans="1:31">
      <c r="A3517" s="12" t="s">
        <v>30</v>
      </c>
      <c r="B3517" s="12" t="s">
        <v>13987</v>
      </c>
      <c r="C3517" s="12">
        <v>117</v>
      </c>
      <c r="D3517" s="12">
        <v>99</v>
      </c>
      <c r="E3517" s="12">
        <v>60</v>
      </c>
      <c r="F3517" s="12">
        <v>628</v>
      </c>
      <c r="G3517" s="12">
        <v>4000</v>
      </c>
      <c r="H3517" s="12">
        <v>1654367</v>
      </c>
      <c r="I3517" s="12" t="s">
        <v>1544</v>
      </c>
      <c r="J3517" s="12" t="s">
        <v>1434</v>
      </c>
      <c r="K3517" s="12" t="s">
        <v>6597</v>
      </c>
      <c r="L3517" s="12" t="s">
        <v>7032</v>
      </c>
      <c r="M3517" s="12" t="s">
        <v>16652</v>
      </c>
      <c r="N3517" s="12">
        <v>18355</v>
      </c>
      <c r="O3517" s="12">
        <v>6526</v>
      </c>
      <c r="P3517" s="12">
        <v>0</v>
      </c>
      <c r="Q3517" s="12" t="s">
        <v>16653</v>
      </c>
      <c r="R3517" s="15" t="s">
        <v>16654</v>
      </c>
      <c r="S3517" s="12">
        <v>106</v>
      </c>
      <c r="T3517" s="12" t="s">
        <v>39</v>
      </c>
      <c r="U3517" s="12" t="s">
        <v>40</v>
      </c>
      <c r="V3517" s="12" t="s">
        <v>586</v>
      </c>
      <c r="W3517" s="12">
        <v>7000000</v>
      </c>
      <c r="X3517" s="12">
        <v>2006</v>
      </c>
      <c r="Y3517" s="12">
        <v>787</v>
      </c>
      <c r="Z3517" s="12">
        <v>6.4</v>
      </c>
      <c r="AA3517" s="12">
        <v>1.85</v>
      </c>
      <c r="AB3517" s="12">
        <v>3000</v>
      </c>
      <c r="AC3517" s="12"/>
      <c r="AD3517" s="12" t="str">
        <f>IFERROR(__xludf.DUMMYFUNCTION("""COMPUTED_VALUE"""),"Sabrina Ferilli")</f>
        <v>Sabrina Ferilli</v>
      </c>
      <c r="AE3517" s="12"/>
    </row>
    <row r="3518" customHeight="1" spans="1:31">
      <c r="A3518" s="11" t="s">
        <v>30</v>
      </c>
      <c r="B3518" s="11" t="s">
        <v>16655</v>
      </c>
      <c r="C3518" s="11">
        <v>389</v>
      </c>
      <c r="D3518" s="11">
        <v>112</v>
      </c>
      <c r="E3518" s="11">
        <v>159</v>
      </c>
      <c r="F3518" s="11">
        <v>77</v>
      </c>
      <c r="G3518" s="11">
        <v>3000</v>
      </c>
      <c r="H3518" s="11">
        <v>1738692</v>
      </c>
      <c r="I3518" s="11" t="s">
        <v>4075</v>
      </c>
      <c r="J3518" s="11" t="s">
        <v>13859</v>
      </c>
      <c r="K3518" s="11" t="s">
        <v>4562</v>
      </c>
      <c r="L3518" s="11" t="s">
        <v>16656</v>
      </c>
      <c r="M3518" s="11" t="s">
        <v>16657</v>
      </c>
      <c r="N3518" s="11">
        <v>95529</v>
      </c>
      <c r="O3518" s="11">
        <v>3547</v>
      </c>
      <c r="P3518" s="11">
        <v>0</v>
      </c>
      <c r="Q3518" s="11" t="s">
        <v>16658</v>
      </c>
      <c r="R3518" s="14" t="s">
        <v>16659</v>
      </c>
      <c r="S3518" s="11">
        <v>301</v>
      </c>
      <c r="T3518" s="11" t="s">
        <v>39</v>
      </c>
      <c r="U3518" s="11" t="s">
        <v>58</v>
      </c>
      <c r="V3518" s="11" t="s">
        <v>586</v>
      </c>
      <c r="W3518" s="11">
        <v>7000000</v>
      </c>
      <c r="X3518" s="11">
        <v>2011</v>
      </c>
      <c r="Y3518" s="11">
        <v>294</v>
      </c>
      <c r="Z3518" s="11">
        <v>7.5</v>
      </c>
      <c r="AA3518" s="11">
        <v>2.35</v>
      </c>
      <c r="AB3518" s="11">
        <v>38000</v>
      </c>
      <c r="AC3518" s="11"/>
      <c r="AD3518" s="11" t="str">
        <f>IFERROR(__xludf.DUMMYFUNCTION("""COMPUTED_VALUE"""),"Serena Grandi")</f>
        <v>Serena Grandi</v>
      </c>
      <c r="AE3518" s="11"/>
    </row>
    <row r="3519" customHeight="1" spans="1:31">
      <c r="A3519" s="12" t="s">
        <v>30</v>
      </c>
      <c r="B3519" s="12" t="s">
        <v>16660</v>
      </c>
      <c r="C3519" s="12">
        <v>9</v>
      </c>
      <c r="D3519" s="12">
        <v>100</v>
      </c>
      <c r="E3519" s="12">
        <v>0</v>
      </c>
      <c r="F3519" s="12">
        <v>149</v>
      </c>
      <c r="G3519" s="12">
        <v>2000</v>
      </c>
      <c r="H3519" s="12">
        <v>2209479</v>
      </c>
      <c r="I3519" s="12" t="s">
        <v>7144</v>
      </c>
      <c r="J3519" s="12" t="s">
        <v>16661</v>
      </c>
      <c r="K3519" s="12" t="s">
        <v>13286</v>
      </c>
      <c r="L3519" s="12" t="s">
        <v>11330</v>
      </c>
      <c r="M3519" s="12" t="s">
        <v>16662</v>
      </c>
      <c r="N3519" s="12">
        <v>844</v>
      </c>
      <c r="O3519" s="12">
        <v>2909</v>
      </c>
      <c r="P3519" s="12">
        <v>0</v>
      </c>
      <c r="Q3519" s="12" t="s">
        <v>16663</v>
      </c>
      <c r="R3519" s="15" t="s">
        <v>16664</v>
      </c>
      <c r="S3519" s="12">
        <v>34</v>
      </c>
      <c r="T3519" s="12" t="s">
        <v>39</v>
      </c>
      <c r="U3519" s="12" t="s">
        <v>58</v>
      </c>
      <c r="V3519" s="12" t="s">
        <v>96</v>
      </c>
      <c r="W3519" s="16"/>
      <c r="X3519" s="12">
        <v>2013</v>
      </c>
      <c r="Y3519" s="12">
        <v>627</v>
      </c>
      <c r="Z3519" s="12">
        <v>5.8</v>
      </c>
      <c r="AA3519" s="16"/>
      <c r="AB3519" s="12">
        <v>962</v>
      </c>
      <c r="AC3519" s="12"/>
      <c r="AD3519" s="12" t="str">
        <f>IFERROR(__xludf.DUMMYFUNCTION("""COMPUTED_VALUE"""),"Michael Harding")</f>
        <v>Michael Harding</v>
      </c>
      <c r="AE3519" s="12"/>
    </row>
    <row r="3520" customHeight="1" spans="1:31">
      <c r="A3520" s="11" t="s">
        <v>30</v>
      </c>
      <c r="B3520" s="11" t="s">
        <v>16665</v>
      </c>
      <c r="C3520" s="11">
        <v>34</v>
      </c>
      <c r="D3520" s="11">
        <v>99</v>
      </c>
      <c r="E3520" s="11">
        <v>2</v>
      </c>
      <c r="F3520" s="11">
        <v>455</v>
      </c>
      <c r="G3520" s="11">
        <v>1000</v>
      </c>
      <c r="H3520" s="11">
        <v>1889522</v>
      </c>
      <c r="I3520" s="11" t="s">
        <v>3794</v>
      </c>
      <c r="J3520" s="11" t="s">
        <v>7764</v>
      </c>
      <c r="K3520" s="11" t="s">
        <v>7689</v>
      </c>
      <c r="L3520" s="11" t="s">
        <v>16666</v>
      </c>
      <c r="M3520" s="11" t="s">
        <v>16667</v>
      </c>
      <c r="N3520" s="11">
        <v>1119</v>
      </c>
      <c r="O3520" s="11">
        <v>2589</v>
      </c>
      <c r="P3520" s="11">
        <v>2</v>
      </c>
      <c r="Q3520" s="11" t="s">
        <v>16668</v>
      </c>
      <c r="R3520" s="14" t="s">
        <v>16669</v>
      </c>
      <c r="S3520" s="11">
        <v>12</v>
      </c>
      <c r="T3520" s="11" t="s">
        <v>39</v>
      </c>
      <c r="U3520" s="11" t="s">
        <v>40</v>
      </c>
      <c r="V3520" s="11" t="s">
        <v>278</v>
      </c>
      <c r="W3520" s="11">
        <v>7000000</v>
      </c>
      <c r="X3520" s="11">
        <v>2009</v>
      </c>
      <c r="Y3520" s="11">
        <v>690</v>
      </c>
      <c r="Z3520" s="11">
        <v>6.5</v>
      </c>
      <c r="AA3520" s="11">
        <v>2.35</v>
      </c>
      <c r="AB3520" s="11">
        <v>797</v>
      </c>
      <c r="AC3520" s="11"/>
      <c r="AD3520" s="11" t="str">
        <f>IFERROR(__xludf.DUMMYFUNCTION("""COMPUTED_VALUE"""),"Jake Richardson")</f>
        <v>Jake Richardson</v>
      </c>
      <c r="AE3520" s="11"/>
    </row>
    <row r="3521" customHeight="1" spans="1:31">
      <c r="A3521" s="12" t="s">
        <v>30</v>
      </c>
      <c r="B3521" s="12" t="s">
        <v>4915</v>
      </c>
      <c r="C3521" s="12">
        <v>7</v>
      </c>
      <c r="D3521" s="12">
        <v>100</v>
      </c>
      <c r="E3521" s="12">
        <v>161</v>
      </c>
      <c r="F3521" s="12">
        <v>172</v>
      </c>
      <c r="G3521" s="12">
        <v>10000</v>
      </c>
      <c r="H3521" s="16"/>
      <c r="I3521" s="12" t="s">
        <v>3932</v>
      </c>
      <c r="J3521" s="12" t="s">
        <v>523</v>
      </c>
      <c r="K3521" s="12" t="s">
        <v>11942</v>
      </c>
      <c r="L3521" s="12" t="s">
        <v>16670</v>
      </c>
      <c r="M3521" s="12" t="s">
        <v>16671</v>
      </c>
      <c r="N3521" s="12">
        <v>3114</v>
      </c>
      <c r="O3521" s="12">
        <v>11059</v>
      </c>
      <c r="P3521" s="12">
        <v>0</v>
      </c>
      <c r="Q3521" s="12" t="s">
        <v>16672</v>
      </c>
      <c r="R3521" s="15" t="s">
        <v>16673</v>
      </c>
      <c r="S3521" s="12">
        <v>16</v>
      </c>
      <c r="T3521" s="12" t="s">
        <v>39</v>
      </c>
      <c r="U3521" s="12" t="s">
        <v>269</v>
      </c>
      <c r="V3521" s="12" t="s">
        <v>586</v>
      </c>
      <c r="W3521" s="12">
        <v>7000000</v>
      </c>
      <c r="X3521" s="12">
        <v>1983</v>
      </c>
      <c r="Y3521" s="12">
        <v>422</v>
      </c>
      <c r="Z3521" s="12">
        <v>4.8</v>
      </c>
      <c r="AA3521" s="16"/>
      <c r="AB3521" s="12">
        <v>168</v>
      </c>
      <c r="AC3521" s="12"/>
      <c r="AD3521" s="12" t="str">
        <f>IFERROR(__xludf.DUMMYFUNCTION("""COMPUTED_VALUE"""),"Mia Wasikowska")</f>
        <v>Mia Wasikowska</v>
      </c>
      <c r="AE3521" s="12"/>
    </row>
    <row r="3522" customHeight="1" spans="1:31">
      <c r="A3522" s="11" t="s">
        <v>30</v>
      </c>
      <c r="B3522" s="11" t="s">
        <v>16392</v>
      </c>
      <c r="C3522" s="11">
        <v>161</v>
      </c>
      <c r="D3522" s="11">
        <v>125</v>
      </c>
      <c r="E3522" s="11">
        <v>127</v>
      </c>
      <c r="F3522" s="11">
        <v>798</v>
      </c>
      <c r="G3522" s="11">
        <v>6000</v>
      </c>
      <c r="H3522" s="11">
        <v>1110286</v>
      </c>
      <c r="I3522" s="11" t="s">
        <v>214</v>
      </c>
      <c r="J3522" s="11" t="s">
        <v>208</v>
      </c>
      <c r="K3522" s="11" t="s">
        <v>6649</v>
      </c>
      <c r="L3522" s="11" t="s">
        <v>11716</v>
      </c>
      <c r="M3522" s="11" t="s">
        <v>16674</v>
      </c>
      <c r="N3522" s="11">
        <v>9727</v>
      </c>
      <c r="O3522" s="11">
        <v>8876</v>
      </c>
      <c r="P3522" s="11">
        <v>6</v>
      </c>
      <c r="Q3522" s="11" t="s">
        <v>16675</v>
      </c>
      <c r="R3522" s="14" t="s">
        <v>16676</v>
      </c>
      <c r="S3522" s="11">
        <v>65</v>
      </c>
      <c r="T3522" s="11" t="s">
        <v>39</v>
      </c>
      <c r="U3522" s="11" t="s">
        <v>40</v>
      </c>
      <c r="V3522" s="11" t="s">
        <v>586</v>
      </c>
      <c r="W3522" s="11">
        <v>4825000</v>
      </c>
      <c r="X3522" s="11">
        <v>2009</v>
      </c>
      <c r="Y3522" s="11">
        <v>941</v>
      </c>
      <c r="Z3522" s="11">
        <v>7.2</v>
      </c>
      <c r="AA3522" s="11">
        <v>2.35</v>
      </c>
      <c r="AB3522" s="11">
        <v>0</v>
      </c>
      <c r="AC3522" s="11"/>
      <c r="AD3522" s="11" t="str">
        <f>IFERROR(__xludf.DUMMYFUNCTION("""COMPUTED_VALUE"""),"Harmony Korine")</f>
        <v>Harmony Korine</v>
      </c>
      <c r="AE3522" s="11"/>
    </row>
    <row r="3523" customHeight="1" spans="1:31">
      <c r="A3523" s="12" t="s">
        <v>30</v>
      </c>
      <c r="B3523" s="12" t="s">
        <v>16677</v>
      </c>
      <c r="C3523" s="12">
        <v>6</v>
      </c>
      <c r="D3523" s="12">
        <v>107</v>
      </c>
      <c r="E3523" s="12">
        <v>6</v>
      </c>
      <c r="F3523" s="12">
        <v>375</v>
      </c>
      <c r="G3523" s="12">
        <v>963</v>
      </c>
      <c r="H3523" s="12">
        <v>1000000</v>
      </c>
      <c r="I3523" s="12" t="s">
        <v>1222</v>
      </c>
      <c r="J3523" s="12" t="s">
        <v>6663</v>
      </c>
      <c r="K3523" s="12" t="s">
        <v>16678</v>
      </c>
      <c r="L3523" s="12" t="s">
        <v>16679</v>
      </c>
      <c r="M3523" s="12" t="s">
        <v>16680</v>
      </c>
      <c r="N3523" s="12">
        <v>2215</v>
      </c>
      <c r="O3523" s="12">
        <v>2209</v>
      </c>
      <c r="P3523" s="12">
        <v>1</v>
      </c>
      <c r="Q3523" s="12" t="s">
        <v>16681</v>
      </c>
      <c r="R3523" s="15" t="s">
        <v>16682</v>
      </c>
      <c r="S3523" s="12">
        <v>26</v>
      </c>
      <c r="T3523" s="12" t="s">
        <v>39</v>
      </c>
      <c r="U3523" s="12" t="s">
        <v>58</v>
      </c>
      <c r="V3523" s="12" t="s">
        <v>96</v>
      </c>
      <c r="W3523" s="12">
        <v>9000000</v>
      </c>
      <c r="X3523" s="12">
        <v>1977</v>
      </c>
      <c r="Y3523" s="12">
        <v>750</v>
      </c>
      <c r="Z3523" s="12">
        <v>6.3</v>
      </c>
      <c r="AA3523" s="12">
        <v>1.85</v>
      </c>
      <c r="AB3523" s="12">
        <v>122</v>
      </c>
      <c r="AC3523" s="12"/>
      <c r="AD3523" s="12" t="str">
        <f>IFERROR(__xludf.DUMMYFUNCTION("""COMPUTED_VALUE"""),"David Richmond-Peck")</f>
        <v>David Richmond-Peck</v>
      </c>
      <c r="AE3523" s="12"/>
    </row>
    <row r="3524" customHeight="1" spans="1:31">
      <c r="A3524" s="11" t="s">
        <v>30</v>
      </c>
      <c r="B3524" s="11" t="s">
        <v>6828</v>
      </c>
      <c r="C3524" s="11">
        <v>16</v>
      </c>
      <c r="D3524" s="11">
        <v>107</v>
      </c>
      <c r="E3524" s="11">
        <v>8</v>
      </c>
      <c r="F3524" s="11">
        <v>39</v>
      </c>
      <c r="G3524" s="11">
        <v>106</v>
      </c>
      <c r="H3524" s="11">
        <v>700000</v>
      </c>
      <c r="I3524" s="11" t="s">
        <v>6829</v>
      </c>
      <c r="J3524" s="11" t="s">
        <v>11468</v>
      </c>
      <c r="K3524" s="11" t="s">
        <v>6764</v>
      </c>
      <c r="L3524" s="11" t="s">
        <v>16683</v>
      </c>
      <c r="M3524" s="11" t="s">
        <v>16684</v>
      </c>
      <c r="N3524" s="11">
        <v>24438</v>
      </c>
      <c r="O3524" s="11">
        <v>215</v>
      </c>
      <c r="P3524" s="11">
        <v>1</v>
      </c>
      <c r="Q3524" s="11" t="s">
        <v>16685</v>
      </c>
      <c r="R3524" s="14" t="s">
        <v>16686</v>
      </c>
      <c r="S3524" s="11">
        <v>78</v>
      </c>
      <c r="T3524" s="11" t="s">
        <v>1465</v>
      </c>
      <c r="U3524" s="11" t="s">
        <v>1466</v>
      </c>
      <c r="V3524" s="11" t="s">
        <v>586</v>
      </c>
      <c r="W3524" s="11">
        <v>50000000</v>
      </c>
      <c r="X3524" s="11">
        <v>1993</v>
      </c>
      <c r="Y3524" s="11">
        <v>54</v>
      </c>
      <c r="Z3524" s="11">
        <v>7</v>
      </c>
      <c r="AA3524" s="11">
        <v>2.35</v>
      </c>
      <c r="AB3524" s="11">
        <v>0</v>
      </c>
      <c r="AC3524" s="11"/>
      <c r="AD3524" s="11" t="str">
        <f>IFERROR(__xludf.DUMMYFUNCTION("""COMPUTED_VALUE"""),"Erin Boyes")</f>
        <v>Erin Boyes</v>
      </c>
      <c r="AE3524" s="11"/>
    </row>
    <row r="3525" customHeight="1" spans="1:31">
      <c r="A3525" s="12" t="s">
        <v>30</v>
      </c>
      <c r="B3525" s="12" t="s">
        <v>6725</v>
      </c>
      <c r="C3525" s="12">
        <v>301</v>
      </c>
      <c r="D3525" s="12">
        <v>97</v>
      </c>
      <c r="E3525" s="12">
        <v>0</v>
      </c>
      <c r="F3525" s="12">
        <v>106</v>
      </c>
      <c r="G3525" s="12">
        <v>227</v>
      </c>
      <c r="H3525" s="12">
        <v>1768416</v>
      </c>
      <c r="I3525" s="12" t="s">
        <v>2528</v>
      </c>
      <c r="J3525" s="12" t="s">
        <v>16687</v>
      </c>
      <c r="K3525" s="12" t="s">
        <v>10670</v>
      </c>
      <c r="L3525" s="12" t="s">
        <v>16688</v>
      </c>
      <c r="M3525" s="12" t="s">
        <v>16689</v>
      </c>
      <c r="N3525" s="12">
        <v>35848</v>
      </c>
      <c r="O3525" s="12">
        <v>684</v>
      </c>
      <c r="P3525" s="12">
        <v>0</v>
      </c>
      <c r="Q3525" s="12" t="s">
        <v>16690</v>
      </c>
      <c r="R3525" s="15" t="s">
        <v>16691</v>
      </c>
      <c r="S3525" s="12">
        <v>198</v>
      </c>
      <c r="T3525" s="12" t="s">
        <v>39</v>
      </c>
      <c r="U3525" s="12" t="s">
        <v>40</v>
      </c>
      <c r="V3525" s="12" t="s">
        <v>586</v>
      </c>
      <c r="W3525" s="12">
        <v>7000000</v>
      </c>
      <c r="X3525" s="12">
        <v>2010</v>
      </c>
      <c r="Y3525" s="12">
        <v>218</v>
      </c>
      <c r="Z3525" s="12">
        <v>6.3</v>
      </c>
      <c r="AA3525" s="12">
        <v>1.85</v>
      </c>
      <c r="AB3525" s="12">
        <v>0</v>
      </c>
      <c r="AC3525" s="12"/>
      <c r="AD3525" s="12" t="str">
        <f>IFERROR(__xludf.DUMMYFUNCTION("""COMPUTED_VALUE"""),"Timothy Webber")</f>
        <v>Timothy Webber</v>
      </c>
      <c r="AE3525" s="12"/>
    </row>
    <row r="3526" customHeight="1" spans="1:31">
      <c r="A3526" s="11" t="s">
        <v>30</v>
      </c>
      <c r="B3526" s="11" t="s">
        <v>16692</v>
      </c>
      <c r="C3526" s="11">
        <v>52</v>
      </c>
      <c r="D3526" s="11">
        <v>105</v>
      </c>
      <c r="E3526" s="11">
        <v>10</v>
      </c>
      <c r="F3526" s="11">
        <v>184</v>
      </c>
      <c r="G3526" s="11">
        <v>756</v>
      </c>
      <c r="H3526" s="11">
        <v>1425993</v>
      </c>
      <c r="I3526" s="11" t="s">
        <v>1672</v>
      </c>
      <c r="J3526" s="11" t="s">
        <v>10974</v>
      </c>
      <c r="K3526" s="11" t="s">
        <v>16693</v>
      </c>
      <c r="L3526" s="11" t="s">
        <v>16694</v>
      </c>
      <c r="M3526" s="11" t="s">
        <v>16695</v>
      </c>
      <c r="N3526" s="11">
        <v>7412</v>
      </c>
      <c r="O3526" s="11">
        <v>1417</v>
      </c>
      <c r="P3526" s="11">
        <v>1</v>
      </c>
      <c r="Q3526" s="11" t="s">
        <v>16696</v>
      </c>
      <c r="R3526" s="14" t="s">
        <v>16697</v>
      </c>
      <c r="S3526" s="11">
        <v>72</v>
      </c>
      <c r="T3526" s="11" t="s">
        <v>39</v>
      </c>
      <c r="U3526" s="11" t="s">
        <v>40</v>
      </c>
      <c r="V3526" s="11" t="s">
        <v>586</v>
      </c>
      <c r="W3526" s="13"/>
      <c r="X3526" s="11">
        <v>2009</v>
      </c>
      <c r="Y3526" s="11">
        <v>216</v>
      </c>
      <c r="Z3526" s="11">
        <v>5.3</v>
      </c>
      <c r="AA3526" s="11">
        <v>2.35</v>
      </c>
      <c r="AB3526" s="11">
        <v>0</v>
      </c>
      <c r="AC3526" s="11"/>
      <c r="AD3526" s="11" t="str">
        <f>IFERROR(__xludf.DUMMYFUNCTION("""COMPUTED_VALUE"""),"Eamonn Walker")</f>
        <v>Eamonn Walker</v>
      </c>
      <c r="AE3526" s="11"/>
    </row>
    <row r="3527" customHeight="1" spans="1:31">
      <c r="A3527" s="12" t="s">
        <v>30</v>
      </c>
      <c r="B3527" s="12" t="s">
        <v>16698</v>
      </c>
      <c r="C3527" s="12">
        <v>12</v>
      </c>
      <c r="D3527" s="12">
        <v>95</v>
      </c>
      <c r="E3527" s="12">
        <v>43</v>
      </c>
      <c r="F3527" s="12">
        <v>611</v>
      </c>
      <c r="G3527" s="12">
        <v>1000</v>
      </c>
      <c r="H3527" s="12">
        <v>306715</v>
      </c>
      <c r="I3527" s="12" t="s">
        <v>1672</v>
      </c>
      <c r="J3527" s="12" t="s">
        <v>4468</v>
      </c>
      <c r="K3527" s="12" t="s">
        <v>11733</v>
      </c>
      <c r="L3527" s="12" t="s">
        <v>2470</v>
      </c>
      <c r="M3527" s="12" t="s">
        <v>16699</v>
      </c>
      <c r="N3527" s="12">
        <v>5143</v>
      </c>
      <c r="O3527" s="12">
        <v>5213</v>
      </c>
      <c r="P3527" s="12">
        <v>1</v>
      </c>
      <c r="Q3527" s="12" t="s">
        <v>16700</v>
      </c>
      <c r="R3527" s="15" t="s">
        <v>16701</v>
      </c>
      <c r="S3527" s="12">
        <v>62</v>
      </c>
      <c r="T3527" s="12" t="s">
        <v>39</v>
      </c>
      <c r="U3527" s="12" t="s">
        <v>40</v>
      </c>
      <c r="V3527" s="12" t="s">
        <v>41</v>
      </c>
      <c r="W3527" s="12">
        <v>10000000</v>
      </c>
      <c r="X3527" s="12">
        <v>1998</v>
      </c>
      <c r="Y3527" s="12">
        <v>788</v>
      </c>
      <c r="Z3527" s="12">
        <v>2.3</v>
      </c>
      <c r="AA3527" s="12">
        <v>1.85</v>
      </c>
      <c r="AB3527" s="12">
        <v>724</v>
      </c>
      <c r="AC3527" s="12"/>
      <c r="AD3527" s="12" t="str">
        <f>IFERROR(__xludf.DUMMYFUNCTION("""COMPUTED_VALUE"""),"Alicja Bachleda")</f>
        <v>Alicja Bachleda</v>
      </c>
      <c r="AE3527" s="12"/>
    </row>
    <row r="3528" customHeight="1" spans="1:31">
      <c r="A3528" s="11" t="s">
        <v>30</v>
      </c>
      <c r="B3528" s="11" t="s">
        <v>16702</v>
      </c>
      <c r="C3528" s="11">
        <v>134</v>
      </c>
      <c r="D3528" s="11">
        <v>106</v>
      </c>
      <c r="E3528" s="11">
        <v>58</v>
      </c>
      <c r="F3528" s="11">
        <v>973</v>
      </c>
      <c r="G3528" s="11">
        <v>23000</v>
      </c>
      <c r="H3528" s="11">
        <v>382946</v>
      </c>
      <c r="I3528" s="11" t="s">
        <v>3410</v>
      </c>
      <c r="J3528" s="11" t="s">
        <v>63</v>
      </c>
      <c r="K3528" s="11" t="s">
        <v>842</v>
      </c>
      <c r="L3528" s="11" t="s">
        <v>480</v>
      </c>
      <c r="M3528" s="11" t="s">
        <v>16703</v>
      </c>
      <c r="N3528" s="11">
        <v>43965</v>
      </c>
      <c r="O3528" s="11">
        <v>44969</v>
      </c>
      <c r="P3528" s="11">
        <v>0</v>
      </c>
      <c r="Q3528" s="11" t="s">
        <v>16704</v>
      </c>
      <c r="R3528" s="14" t="s">
        <v>16705</v>
      </c>
      <c r="S3528" s="11">
        <v>99</v>
      </c>
      <c r="T3528" s="11" t="s">
        <v>39</v>
      </c>
      <c r="U3528" s="11" t="s">
        <v>40</v>
      </c>
      <c r="V3528" s="11" t="s">
        <v>586</v>
      </c>
      <c r="W3528" s="11">
        <v>7000000</v>
      </c>
      <c r="X3528" s="11">
        <v>2010</v>
      </c>
      <c r="Y3528" s="11">
        <v>20000</v>
      </c>
      <c r="Z3528" s="11">
        <v>7.1</v>
      </c>
      <c r="AA3528" s="11">
        <v>2.35</v>
      </c>
      <c r="AB3528" s="11">
        <v>19000</v>
      </c>
      <c r="AC3528" s="11"/>
      <c r="AD3528" s="11" t="str">
        <f>IFERROR(__xludf.DUMMYFUNCTION("""COMPUTED_VALUE"""),"James Shigeta")</f>
        <v>James Shigeta</v>
      </c>
      <c r="AE3528" s="11"/>
    </row>
    <row r="3529" customHeight="1" spans="1:31">
      <c r="A3529" s="12" t="s">
        <v>30</v>
      </c>
      <c r="B3529" s="12" t="s">
        <v>6869</v>
      </c>
      <c r="C3529" s="12">
        <v>151</v>
      </c>
      <c r="D3529" s="12">
        <v>93</v>
      </c>
      <c r="E3529" s="12">
        <v>47</v>
      </c>
      <c r="F3529" s="12">
        <v>13</v>
      </c>
      <c r="G3529" s="12">
        <v>554</v>
      </c>
      <c r="H3529" s="12">
        <v>518134</v>
      </c>
      <c r="I3529" s="12" t="s">
        <v>9194</v>
      </c>
      <c r="J3529" s="12" t="s">
        <v>2293</v>
      </c>
      <c r="K3529" s="12" t="s">
        <v>16296</v>
      </c>
      <c r="L3529" s="12" t="s">
        <v>16706</v>
      </c>
      <c r="M3529" s="12" t="s">
        <v>16707</v>
      </c>
      <c r="N3529" s="12">
        <v>21243</v>
      </c>
      <c r="O3529" s="12">
        <v>1105</v>
      </c>
      <c r="P3529" s="12">
        <v>2</v>
      </c>
      <c r="Q3529" s="12" t="s">
        <v>16708</v>
      </c>
      <c r="R3529" s="15" t="s">
        <v>16709</v>
      </c>
      <c r="S3529" s="12">
        <v>66</v>
      </c>
      <c r="T3529" s="12" t="s">
        <v>39</v>
      </c>
      <c r="U3529" s="12" t="s">
        <v>58</v>
      </c>
      <c r="V3529" s="12" t="s">
        <v>586</v>
      </c>
      <c r="W3529" s="16"/>
      <c r="X3529" s="12">
        <v>2013</v>
      </c>
      <c r="Y3529" s="12">
        <v>524</v>
      </c>
      <c r="Z3529" s="12">
        <v>6.2</v>
      </c>
      <c r="AA3529" s="12">
        <v>2.35</v>
      </c>
      <c r="AB3529" s="12">
        <v>0</v>
      </c>
      <c r="AC3529" s="12"/>
      <c r="AD3529" s="12" t="str">
        <f>IFERROR(__xludf.DUMMYFUNCTION("""COMPUTED_VALUE"""),"Andy Davoli")</f>
        <v>Andy Davoli</v>
      </c>
      <c r="AE3529" s="12"/>
    </row>
    <row r="3530" customHeight="1" spans="1:31">
      <c r="A3530" s="11" t="s">
        <v>30</v>
      </c>
      <c r="B3530" s="11" t="s">
        <v>6052</v>
      </c>
      <c r="C3530" s="11">
        <v>103</v>
      </c>
      <c r="D3530" s="11">
        <v>103</v>
      </c>
      <c r="E3530" s="11">
        <v>835</v>
      </c>
      <c r="F3530" s="13"/>
      <c r="G3530" s="11">
        <v>13000</v>
      </c>
      <c r="H3530" s="11">
        <v>236266</v>
      </c>
      <c r="I3530" s="11" t="s">
        <v>6622</v>
      </c>
      <c r="J3530" s="11" t="s">
        <v>1158</v>
      </c>
      <c r="K3530" s="11" t="s">
        <v>16710</v>
      </c>
      <c r="L3530" s="13"/>
      <c r="M3530" s="11" t="s">
        <v>16711</v>
      </c>
      <c r="N3530" s="11">
        <v>15104</v>
      </c>
      <c r="O3530" s="11">
        <v>13000</v>
      </c>
      <c r="P3530" s="11">
        <v>0</v>
      </c>
      <c r="Q3530" s="11" t="s">
        <v>16712</v>
      </c>
      <c r="R3530" s="14" t="s">
        <v>16713</v>
      </c>
      <c r="S3530" s="11">
        <v>290</v>
      </c>
      <c r="T3530" s="11" t="s">
        <v>39</v>
      </c>
      <c r="U3530" s="11" t="s">
        <v>40</v>
      </c>
      <c r="V3530" s="11" t="s">
        <v>586</v>
      </c>
      <c r="W3530" s="11">
        <v>3500000</v>
      </c>
      <c r="X3530" s="11">
        <v>2002</v>
      </c>
      <c r="Y3530" s="11">
        <v>0</v>
      </c>
      <c r="Z3530" s="11">
        <v>6.2</v>
      </c>
      <c r="AA3530" s="11">
        <v>2.35</v>
      </c>
      <c r="AB3530" s="11">
        <v>0</v>
      </c>
      <c r="AC3530" s="11"/>
      <c r="AD3530" s="11" t="str">
        <f>IFERROR(__xludf.DUMMYFUNCTION("""COMPUTED_VALUE"""),"Marcell Nagy")</f>
        <v>Marcell Nagy</v>
      </c>
      <c r="AE3530" s="11"/>
    </row>
    <row r="3531" customHeight="1" spans="1:31">
      <c r="A3531" s="12" t="s">
        <v>30</v>
      </c>
      <c r="B3531" s="12" t="s">
        <v>16714</v>
      </c>
      <c r="C3531" s="12">
        <v>39</v>
      </c>
      <c r="D3531" s="12">
        <v>96</v>
      </c>
      <c r="E3531" s="12">
        <v>5</v>
      </c>
      <c r="F3531" s="12">
        <v>52</v>
      </c>
      <c r="G3531" s="12">
        <v>766</v>
      </c>
      <c r="H3531" s="12">
        <v>196067</v>
      </c>
      <c r="I3531" s="12" t="s">
        <v>214</v>
      </c>
      <c r="J3531" s="12" t="s">
        <v>2019</v>
      </c>
      <c r="K3531" s="12" t="s">
        <v>3532</v>
      </c>
      <c r="L3531" s="12" t="s">
        <v>16715</v>
      </c>
      <c r="M3531" s="12" t="s">
        <v>16716</v>
      </c>
      <c r="N3531" s="12">
        <v>1966</v>
      </c>
      <c r="O3531" s="12">
        <v>1251</v>
      </c>
      <c r="P3531" s="12">
        <v>3</v>
      </c>
      <c r="Q3531" s="12" t="s">
        <v>16717</v>
      </c>
      <c r="R3531" s="15" t="s">
        <v>16718</v>
      </c>
      <c r="S3531" s="12">
        <v>25</v>
      </c>
      <c r="T3531" s="12" t="s">
        <v>39</v>
      </c>
      <c r="U3531" s="12" t="s">
        <v>58</v>
      </c>
      <c r="V3531" s="12" t="s">
        <v>586</v>
      </c>
      <c r="W3531" s="12">
        <v>7000000</v>
      </c>
      <c r="X3531" s="12">
        <v>2002</v>
      </c>
      <c r="Y3531" s="12">
        <v>358</v>
      </c>
      <c r="Z3531" s="12">
        <v>6.7</v>
      </c>
      <c r="AA3531" s="12">
        <v>1.85</v>
      </c>
      <c r="AB3531" s="12">
        <v>97</v>
      </c>
      <c r="AC3531" s="12"/>
      <c r="AD3531" s="12" t="str">
        <f>IFERROR(__xludf.DUMMYFUNCTION("""COMPUTED_VALUE"""),"Péter Fancsikai")</f>
        <v>Péter Fancsikai</v>
      </c>
      <c r="AE3531" s="12"/>
    </row>
    <row r="3532" customHeight="1" spans="1:31">
      <c r="A3532" s="11" t="s">
        <v>30</v>
      </c>
      <c r="B3532" s="11" t="s">
        <v>14896</v>
      </c>
      <c r="C3532" s="11">
        <v>133</v>
      </c>
      <c r="D3532" s="11">
        <v>103</v>
      </c>
      <c r="E3532" s="11">
        <v>6</v>
      </c>
      <c r="F3532" s="11">
        <v>935</v>
      </c>
      <c r="G3532" s="11">
        <v>7000</v>
      </c>
      <c r="H3532" s="11">
        <v>532988</v>
      </c>
      <c r="I3532" s="11" t="s">
        <v>6327</v>
      </c>
      <c r="J3532" s="11" t="s">
        <v>518</v>
      </c>
      <c r="K3532" s="11" t="s">
        <v>3337</v>
      </c>
      <c r="L3532" s="11" t="s">
        <v>5699</v>
      </c>
      <c r="M3532" s="11" t="s">
        <v>16719</v>
      </c>
      <c r="N3532" s="11">
        <v>5863</v>
      </c>
      <c r="O3532" s="11">
        <v>9660</v>
      </c>
      <c r="P3532" s="11">
        <v>0</v>
      </c>
      <c r="Q3532" s="11" t="s">
        <v>16720</v>
      </c>
      <c r="R3532" s="14" t="s">
        <v>16721</v>
      </c>
      <c r="S3532" s="11">
        <v>25</v>
      </c>
      <c r="T3532" s="11" t="s">
        <v>39</v>
      </c>
      <c r="U3532" s="11" t="s">
        <v>40</v>
      </c>
      <c r="V3532" s="11" t="s">
        <v>41</v>
      </c>
      <c r="W3532" s="11">
        <v>7000000</v>
      </c>
      <c r="X3532" s="11">
        <v>2015</v>
      </c>
      <c r="Y3532" s="11">
        <v>1000</v>
      </c>
      <c r="Z3532" s="11">
        <v>6.5</v>
      </c>
      <c r="AA3532" s="11">
        <v>1.85</v>
      </c>
      <c r="AB3532" s="11">
        <v>0</v>
      </c>
      <c r="AC3532" s="11"/>
      <c r="AD3532" s="11" t="str">
        <f>IFERROR(__xludf.DUMMYFUNCTION("""COMPUTED_VALUE"""),"Bálint Péntek")</f>
        <v>Bálint Péntek</v>
      </c>
      <c r="AE3532" s="11"/>
    </row>
    <row r="3533" customHeight="1" spans="1:31">
      <c r="A3533" s="12" t="s">
        <v>30</v>
      </c>
      <c r="B3533" s="12" t="s">
        <v>16722</v>
      </c>
      <c r="C3533" s="12">
        <v>104</v>
      </c>
      <c r="D3533" s="12">
        <v>108</v>
      </c>
      <c r="E3533" s="12">
        <v>30</v>
      </c>
      <c r="F3533" s="12">
        <v>281</v>
      </c>
      <c r="G3533" s="12">
        <v>474</v>
      </c>
      <c r="H3533" s="12">
        <v>453079</v>
      </c>
      <c r="I3533" s="12" t="s">
        <v>1672</v>
      </c>
      <c r="J3533" s="12" t="s">
        <v>11234</v>
      </c>
      <c r="K3533" s="12" t="s">
        <v>3719</v>
      </c>
      <c r="L3533" s="12" t="s">
        <v>10252</v>
      </c>
      <c r="M3533" s="12" t="s">
        <v>16723</v>
      </c>
      <c r="N3533" s="12">
        <v>4124</v>
      </c>
      <c r="O3533" s="12">
        <v>2029</v>
      </c>
      <c r="P3533" s="12">
        <v>4</v>
      </c>
      <c r="Q3533" s="12" t="s">
        <v>16724</v>
      </c>
      <c r="R3533" s="15" t="s">
        <v>16725</v>
      </c>
      <c r="S3533" s="12">
        <v>29</v>
      </c>
      <c r="T3533" s="12" t="s">
        <v>39</v>
      </c>
      <c r="U3533" s="12" t="s">
        <v>40</v>
      </c>
      <c r="V3533" s="12" t="s">
        <v>586</v>
      </c>
      <c r="W3533" s="12">
        <v>7000000</v>
      </c>
      <c r="X3533" s="12">
        <v>2010</v>
      </c>
      <c r="Y3533" s="12">
        <v>403</v>
      </c>
      <c r="Z3533" s="12">
        <v>5.9</v>
      </c>
      <c r="AA3533" s="12">
        <v>2.35</v>
      </c>
      <c r="AB3533" s="12">
        <v>916</v>
      </c>
      <c r="AC3533" s="12"/>
      <c r="AD3533" s="12" t="str">
        <f>IFERROR(__xludf.DUMMYFUNCTION("""COMPUTED_VALUE"""),"Ni Yan")</f>
        <v>Ni Yan</v>
      </c>
      <c r="AE3533" s="12"/>
    </row>
    <row r="3534" customHeight="1" spans="1:31">
      <c r="A3534" s="11" t="s">
        <v>748</v>
      </c>
      <c r="B3534" s="11" t="s">
        <v>16726</v>
      </c>
      <c r="C3534" s="11">
        <v>121</v>
      </c>
      <c r="D3534" s="11">
        <v>177</v>
      </c>
      <c r="E3534" s="11">
        <v>23</v>
      </c>
      <c r="F3534" s="11">
        <v>0</v>
      </c>
      <c r="G3534" s="11">
        <v>4</v>
      </c>
      <c r="H3534" s="13"/>
      <c r="I3534" s="11" t="s">
        <v>1849</v>
      </c>
      <c r="J3534" s="11" t="s">
        <v>16727</v>
      </c>
      <c r="K3534" s="11" t="s">
        <v>16728</v>
      </c>
      <c r="L3534" s="11" t="s">
        <v>16729</v>
      </c>
      <c r="M3534" s="11" t="s">
        <v>16730</v>
      </c>
      <c r="N3534" s="11">
        <v>2518</v>
      </c>
      <c r="O3534" s="11">
        <v>8</v>
      </c>
      <c r="P3534" s="11">
        <v>0</v>
      </c>
      <c r="Q3534" s="11" t="s">
        <v>16731</v>
      </c>
      <c r="R3534" s="14" t="s">
        <v>16732</v>
      </c>
      <c r="S3534" s="11">
        <v>28</v>
      </c>
      <c r="T3534" s="11" t="s">
        <v>5642</v>
      </c>
      <c r="U3534" s="11" t="s">
        <v>7171</v>
      </c>
      <c r="V3534" s="11" t="s">
        <v>4831</v>
      </c>
      <c r="W3534" s="11">
        <v>7000000</v>
      </c>
      <c r="X3534" s="11">
        <v>2013</v>
      </c>
      <c r="Y3534" s="11">
        <v>4</v>
      </c>
      <c r="Z3534" s="11">
        <v>6.7</v>
      </c>
      <c r="AA3534" s="11">
        <v>1.66</v>
      </c>
      <c r="AB3534" s="11">
        <v>1000</v>
      </c>
      <c r="AC3534" s="11"/>
      <c r="AD3534" s="11" t="str">
        <f>IFERROR(__xludf.DUMMYFUNCTION("""COMPUTED_VALUE"""),"Dahong Ni")</f>
        <v>Dahong Ni</v>
      </c>
      <c r="AE3534" s="11"/>
    </row>
    <row r="3535" customHeight="1" spans="1:31">
      <c r="A3535" s="12" t="s">
        <v>30</v>
      </c>
      <c r="B3535" s="12" t="s">
        <v>16733</v>
      </c>
      <c r="C3535" s="12">
        <v>27</v>
      </c>
      <c r="D3535" s="12">
        <v>118</v>
      </c>
      <c r="E3535" s="12">
        <v>0</v>
      </c>
      <c r="F3535" s="12">
        <v>410</v>
      </c>
      <c r="G3535" s="12">
        <v>26000</v>
      </c>
      <c r="H3535" s="12">
        <v>46451</v>
      </c>
      <c r="I3535" s="12" t="s">
        <v>5968</v>
      </c>
      <c r="J3535" s="12" t="s">
        <v>98</v>
      </c>
      <c r="K3535" s="12" t="s">
        <v>3197</v>
      </c>
      <c r="L3535" s="12" t="s">
        <v>2309</v>
      </c>
      <c r="M3535" s="12" t="s">
        <v>16734</v>
      </c>
      <c r="N3535" s="12">
        <v>7663</v>
      </c>
      <c r="O3535" s="12">
        <v>27756</v>
      </c>
      <c r="P3535" s="12">
        <v>2</v>
      </c>
      <c r="Q3535" s="12" t="s">
        <v>16735</v>
      </c>
      <c r="R3535" s="15" t="s">
        <v>16736</v>
      </c>
      <c r="S3535" s="12">
        <v>38</v>
      </c>
      <c r="T3535" s="12" t="s">
        <v>39</v>
      </c>
      <c r="U3535" s="12" t="s">
        <v>40</v>
      </c>
      <c r="V3535" s="12" t="s">
        <v>586</v>
      </c>
      <c r="W3535" s="12">
        <v>7000000</v>
      </c>
      <c r="X3535" s="12">
        <v>2010</v>
      </c>
      <c r="Y3535" s="12">
        <v>854</v>
      </c>
      <c r="Z3535" s="12">
        <v>6</v>
      </c>
      <c r="AA3535" s="12">
        <v>1.85</v>
      </c>
      <c r="AB3535" s="12">
        <v>694</v>
      </c>
      <c r="AC3535" s="12"/>
      <c r="AD3535" s="12" t="str">
        <f>IFERROR(__xludf.DUMMYFUNCTION("""COMPUTED_VALUE"""),"Yuanyuan Gao")</f>
        <v>Yuanyuan Gao</v>
      </c>
      <c r="AE3535" s="12"/>
    </row>
    <row r="3536" customHeight="1" spans="1:31">
      <c r="A3536" s="11" t="s">
        <v>30</v>
      </c>
      <c r="B3536" s="11" t="s">
        <v>2293</v>
      </c>
      <c r="C3536" s="11">
        <v>49</v>
      </c>
      <c r="D3536" s="11">
        <v>97</v>
      </c>
      <c r="E3536" s="11">
        <v>554</v>
      </c>
      <c r="F3536" s="11">
        <v>530</v>
      </c>
      <c r="G3536" s="11">
        <v>876</v>
      </c>
      <c r="H3536" s="11">
        <v>233103</v>
      </c>
      <c r="I3536" s="11" t="s">
        <v>3410</v>
      </c>
      <c r="J3536" s="11" t="s">
        <v>2933</v>
      </c>
      <c r="K3536" s="11" t="s">
        <v>405</v>
      </c>
      <c r="L3536" s="11" t="s">
        <v>4770</v>
      </c>
      <c r="M3536" s="11" t="s">
        <v>16737</v>
      </c>
      <c r="N3536" s="11">
        <v>2670</v>
      </c>
      <c r="O3536" s="11">
        <v>2544</v>
      </c>
      <c r="P3536" s="11">
        <v>3</v>
      </c>
      <c r="Q3536" s="11" t="s">
        <v>16738</v>
      </c>
      <c r="R3536" s="14" t="s">
        <v>16739</v>
      </c>
      <c r="S3536" s="11">
        <v>50</v>
      </c>
      <c r="T3536" s="11" t="s">
        <v>39</v>
      </c>
      <c r="U3536" s="11" t="s">
        <v>58</v>
      </c>
      <c r="V3536" s="11" t="s">
        <v>586</v>
      </c>
      <c r="W3536" s="11">
        <v>7000000</v>
      </c>
      <c r="X3536" s="11">
        <v>2005</v>
      </c>
      <c r="Y3536" s="11">
        <v>838</v>
      </c>
      <c r="Z3536" s="11">
        <v>6.9</v>
      </c>
      <c r="AA3536" s="11">
        <v>2.35</v>
      </c>
      <c r="AB3536" s="11">
        <v>311</v>
      </c>
      <c r="AC3536" s="11"/>
      <c r="AD3536" s="11" t="str">
        <f>IFERROR(__xludf.DUMMYFUNCTION("""COMPUTED_VALUE"""),"Ryu Kohata")</f>
        <v>Ryu Kohata</v>
      </c>
      <c r="AE3536" s="11"/>
    </row>
    <row r="3537" customHeight="1" spans="1:31">
      <c r="A3537" s="12" t="s">
        <v>748</v>
      </c>
      <c r="B3537" s="12" t="s">
        <v>16092</v>
      </c>
      <c r="C3537" s="12">
        <v>100</v>
      </c>
      <c r="D3537" s="12">
        <v>102</v>
      </c>
      <c r="E3537" s="12">
        <v>78</v>
      </c>
      <c r="F3537" s="12">
        <v>184</v>
      </c>
      <c r="G3537" s="12">
        <v>12000</v>
      </c>
      <c r="H3537" s="16"/>
      <c r="I3537" s="12" t="s">
        <v>334</v>
      </c>
      <c r="J3537" s="12" t="s">
        <v>4838</v>
      </c>
      <c r="K3537" s="12" t="s">
        <v>16740</v>
      </c>
      <c r="L3537" s="12" t="s">
        <v>16741</v>
      </c>
      <c r="M3537" s="12" t="s">
        <v>16742</v>
      </c>
      <c r="N3537" s="12">
        <v>197845</v>
      </c>
      <c r="O3537" s="12">
        <v>12680</v>
      </c>
      <c r="P3537" s="12">
        <v>2</v>
      </c>
      <c r="Q3537" s="12" t="s">
        <v>16743</v>
      </c>
      <c r="R3537" s="15" t="s">
        <v>16744</v>
      </c>
      <c r="S3537" s="12">
        <v>876</v>
      </c>
      <c r="T3537" s="12" t="s">
        <v>39</v>
      </c>
      <c r="U3537" s="12" t="s">
        <v>269</v>
      </c>
      <c r="V3537" s="12" t="s">
        <v>586</v>
      </c>
      <c r="W3537" s="12">
        <v>7000000</v>
      </c>
      <c r="X3537" s="12">
        <v>1999</v>
      </c>
      <c r="Y3537" s="12">
        <v>333</v>
      </c>
      <c r="Z3537" s="12">
        <v>7.9</v>
      </c>
      <c r="AA3537" s="12">
        <v>2.35</v>
      </c>
      <c r="AB3537" s="12">
        <v>16000</v>
      </c>
      <c r="AC3537" s="12"/>
      <c r="AD3537" s="12" t="str">
        <f>IFERROR(__xludf.DUMMYFUNCTION("""COMPUTED_VALUE"""),"Rebecca Black")</f>
        <v>Rebecca Black</v>
      </c>
      <c r="AE3537" s="12"/>
    </row>
    <row r="3538" customHeight="1" spans="1:31">
      <c r="A3538" s="11" t="s">
        <v>30</v>
      </c>
      <c r="B3538" s="11" t="s">
        <v>16745</v>
      </c>
      <c r="C3538" s="11">
        <v>12</v>
      </c>
      <c r="D3538" s="11">
        <v>92</v>
      </c>
      <c r="E3538" s="11">
        <v>4</v>
      </c>
      <c r="F3538" s="11">
        <v>4</v>
      </c>
      <c r="G3538" s="11">
        <v>91</v>
      </c>
      <c r="H3538" s="13"/>
      <c r="I3538" s="11" t="s">
        <v>4556</v>
      </c>
      <c r="J3538" s="11" t="s">
        <v>11635</v>
      </c>
      <c r="K3538" s="11" t="s">
        <v>11703</v>
      </c>
      <c r="L3538" s="11" t="s">
        <v>16746</v>
      </c>
      <c r="M3538" s="11" t="s">
        <v>16747</v>
      </c>
      <c r="N3538" s="11">
        <v>383</v>
      </c>
      <c r="O3538" s="11">
        <v>198</v>
      </c>
      <c r="P3538" s="11">
        <v>1</v>
      </c>
      <c r="Q3538" s="13"/>
      <c r="R3538" s="14" t="s">
        <v>16748</v>
      </c>
      <c r="S3538" s="11">
        <v>1</v>
      </c>
      <c r="T3538" s="11" t="s">
        <v>7242</v>
      </c>
      <c r="U3538" s="11" t="s">
        <v>3860</v>
      </c>
      <c r="V3538" s="13"/>
      <c r="W3538" s="11">
        <v>7000000</v>
      </c>
      <c r="X3538" s="11">
        <v>2014</v>
      </c>
      <c r="Y3538" s="11">
        <v>82</v>
      </c>
      <c r="Z3538" s="11">
        <v>5.3</v>
      </c>
      <c r="AA3538" s="11">
        <v>2.35</v>
      </c>
      <c r="AB3538" s="11">
        <v>55</v>
      </c>
      <c r="AC3538" s="11"/>
      <c r="AD3538" s="11" t="str">
        <f>IFERROR(__xludf.DUMMYFUNCTION("""COMPUTED_VALUE"""),"Meisa Kuroki")</f>
        <v>Meisa Kuroki</v>
      </c>
      <c r="AE3538" s="11"/>
    </row>
    <row r="3539" customHeight="1" spans="1:31">
      <c r="A3539" s="12" t="s">
        <v>30</v>
      </c>
      <c r="B3539" s="12" t="s">
        <v>4851</v>
      </c>
      <c r="C3539" s="12">
        <v>112</v>
      </c>
      <c r="D3539" s="12">
        <v>88</v>
      </c>
      <c r="E3539" s="12">
        <v>0</v>
      </c>
      <c r="F3539" s="12">
        <v>507</v>
      </c>
      <c r="G3539" s="12">
        <v>1000</v>
      </c>
      <c r="H3539" s="16"/>
      <c r="I3539" s="12" t="s">
        <v>16749</v>
      </c>
      <c r="J3539" s="12" t="s">
        <v>5464</v>
      </c>
      <c r="K3539" s="12" t="s">
        <v>10437</v>
      </c>
      <c r="L3539" s="12" t="s">
        <v>11161</v>
      </c>
      <c r="M3539" s="12" t="s">
        <v>16750</v>
      </c>
      <c r="N3539" s="12">
        <v>8589</v>
      </c>
      <c r="O3539" s="12">
        <v>3150</v>
      </c>
      <c r="P3539" s="12">
        <v>0</v>
      </c>
      <c r="Q3539" s="12" t="s">
        <v>16751</v>
      </c>
      <c r="R3539" s="15" t="s">
        <v>16752</v>
      </c>
      <c r="S3539" s="12">
        <v>70</v>
      </c>
      <c r="T3539" s="12" t="s">
        <v>39</v>
      </c>
      <c r="U3539" s="12" t="s">
        <v>40</v>
      </c>
      <c r="V3539" s="12" t="s">
        <v>586</v>
      </c>
      <c r="W3539" s="12">
        <v>7000000</v>
      </c>
      <c r="X3539" s="12">
        <v>2011</v>
      </c>
      <c r="Y3539" s="12">
        <v>844</v>
      </c>
      <c r="Z3539" s="12">
        <v>4.8</v>
      </c>
      <c r="AA3539" s="12">
        <v>1.85</v>
      </c>
      <c r="AB3539" s="12">
        <v>0</v>
      </c>
      <c r="AC3539" s="12"/>
      <c r="AD3539" s="12" t="str">
        <f>IFERROR(__xludf.DUMMYFUNCTION("""COMPUTED_VALUE"""),"Hiroyuki Ikeuchi")</f>
        <v>Hiroyuki Ikeuchi</v>
      </c>
      <c r="AE3539" s="12"/>
    </row>
    <row r="3540" customHeight="1" spans="1:31">
      <c r="A3540" s="11" t="s">
        <v>30</v>
      </c>
      <c r="B3540" s="11" t="s">
        <v>16753</v>
      </c>
      <c r="C3540" s="11">
        <v>10</v>
      </c>
      <c r="D3540" s="11">
        <v>80</v>
      </c>
      <c r="E3540" s="11">
        <v>0</v>
      </c>
      <c r="F3540" s="11">
        <v>26</v>
      </c>
      <c r="G3540" s="11">
        <v>99</v>
      </c>
      <c r="H3540" s="13"/>
      <c r="I3540" s="11" t="s">
        <v>2831</v>
      </c>
      <c r="J3540" s="11" t="s">
        <v>16754</v>
      </c>
      <c r="K3540" s="11" t="s">
        <v>16755</v>
      </c>
      <c r="L3540" s="11" t="s">
        <v>16756</v>
      </c>
      <c r="M3540" s="11" t="s">
        <v>16757</v>
      </c>
      <c r="N3540" s="11">
        <v>1159</v>
      </c>
      <c r="O3540" s="11">
        <v>218</v>
      </c>
      <c r="P3540" s="11">
        <v>1</v>
      </c>
      <c r="Q3540" s="11" t="s">
        <v>16758</v>
      </c>
      <c r="R3540" s="14" t="s">
        <v>16759</v>
      </c>
      <c r="S3540" s="11">
        <v>9</v>
      </c>
      <c r="T3540" s="11" t="s">
        <v>5642</v>
      </c>
      <c r="U3540" s="11" t="s">
        <v>7171</v>
      </c>
      <c r="V3540" s="11" t="s">
        <v>96</v>
      </c>
      <c r="W3540" s="11">
        <v>7000000</v>
      </c>
      <c r="X3540" s="11">
        <v>2012</v>
      </c>
      <c r="Y3540" s="11">
        <v>62</v>
      </c>
      <c r="Z3540" s="11">
        <v>5.3</v>
      </c>
      <c r="AA3540" s="13"/>
      <c r="AB3540" s="11">
        <v>453</v>
      </c>
      <c r="AC3540" s="11"/>
      <c r="AD3540" s="11" t="str">
        <f>IFERROR(__xludf.DUMMYFUNCTION("""COMPUTED_VALUE"""),"Kenneth Cranham")</f>
        <v>Kenneth Cranham</v>
      </c>
      <c r="AE3540" s="11"/>
    </row>
    <row r="3541" customHeight="1" spans="1:31">
      <c r="A3541" s="16"/>
      <c r="B3541" s="12" t="s">
        <v>16760</v>
      </c>
      <c r="C3541" s="12">
        <v>2</v>
      </c>
      <c r="D3541" s="12">
        <v>45</v>
      </c>
      <c r="E3541" s="12">
        <v>24</v>
      </c>
      <c r="F3541" s="12">
        <v>29</v>
      </c>
      <c r="G3541" s="12">
        <v>122</v>
      </c>
      <c r="H3541" s="16"/>
      <c r="I3541" s="12" t="s">
        <v>16761</v>
      </c>
      <c r="J3541" s="12" t="s">
        <v>16762</v>
      </c>
      <c r="K3541" s="12" t="s">
        <v>16763</v>
      </c>
      <c r="L3541" s="12" t="s">
        <v>16764</v>
      </c>
      <c r="M3541" s="12" t="s">
        <v>16765</v>
      </c>
      <c r="N3541" s="12">
        <v>192</v>
      </c>
      <c r="O3541" s="12">
        <v>236</v>
      </c>
      <c r="P3541" s="12">
        <v>0</v>
      </c>
      <c r="Q3541" s="12" t="s">
        <v>16766</v>
      </c>
      <c r="R3541" s="15" t="s">
        <v>16767</v>
      </c>
      <c r="S3541" s="12">
        <v>6</v>
      </c>
      <c r="T3541" s="16"/>
      <c r="U3541" s="12" t="s">
        <v>40</v>
      </c>
      <c r="V3541" s="16"/>
      <c r="W3541" s="12">
        <v>7000000</v>
      </c>
      <c r="X3541" s="12">
        <v>2014</v>
      </c>
      <c r="Y3541" s="12">
        <v>35</v>
      </c>
      <c r="Z3541" s="12">
        <v>6</v>
      </c>
      <c r="AA3541" s="16"/>
      <c r="AB3541" s="12">
        <v>41</v>
      </c>
      <c r="AC3541" s="12"/>
      <c r="AD3541" s="12" t="str">
        <f>IFERROR(__xludf.DUMMYFUNCTION("""COMPUTED_VALUE"""),"Ana Imnadze")</f>
        <v>Ana Imnadze</v>
      </c>
      <c r="AE3541" s="12"/>
    </row>
    <row r="3542" customHeight="1" spans="1:31">
      <c r="A3542" s="11" t="s">
        <v>30</v>
      </c>
      <c r="B3542" s="11" t="s">
        <v>3695</v>
      </c>
      <c r="C3542" s="11">
        <v>38</v>
      </c>
      <c r="D3542" s="11">
        <v>115</v>
      </c>
      <c r="E3542" s="11">
        <v>16000</v>
      </c>
      <c r="F3542" s="11">
        <v>240</v>
      </c>
      <c r="G3542" s="11">
        <v>16000</v>
      </c>
      <c r="H3542" s="11">
        <v>41400000</v>
      </c>
      <c r="I3542" s="11" t="s">
        <v>15011</v>
      </c>
      <c r="J3542" s="11" t="s">
        <v>3695</v>
      </c>
      <c r="K3542" s="11" t="s">
        <v>4528</v>
      </c>
      <c r="L3542" s="11" t="s">
        <v>16768</v>
      </c>
      <c r="M3542" s="11" t="s">
        <v>16769</v>
      </c>
      <c r="N3542" s="11">
        <v>39451</v>
      </c>
      <c r="O3542" s="11">
        <v>17209</v>
      </c>
      <c r="P3542" s="11">
        <v>0</v>
      </c>
      <c r="Q3542" s="11" t="s">
        <v>16770</v>
      </c>
      <c r="R3542" s="14" t="s">
        <v>16771</v>
      </c>
      <c r="S3542" s="11">
        <v>138</v>
      </c>
      <c r="T3542" s="11" t="s">
        <v>39</v>
      </c>
      <c r="U3542" s="11" t="s">
        <v>40</v>
      </c>
      <c r="V3542" s="11" t="s">
        <v>586</v>
      </c>
      <c r="W3542" s="11">
        <v>6900000</v>
      </c>
      <c r="X3542" s="11">
        <v>1985</v>
      </c>
      <c r="Y3542" s="11">
        <v>455</v>
      </c>
      <c r="Z3542" s="11">
        <v>7.3</v>
      </c>
      <c r="AA3542" s="11">
        <v>2.35</v>
      </c>
      <c r="AB3542" s="11">
        <v>0</v>
      </c>
      <c r="AC3542" s="11"/>
      <c r="AD3542" s="11" t="str">
        <f>IFERROR(__xludf.DUMMYFUNCTION("""COMPUTED_VALUE"""),"Rachael Carpani")</f>
        <v>Rachael Carpani</v>
      </c>
      <c r="AE3542" s="11"/>
    </row>
    <row r="3543" customHeight="1" spans="1:31">
      <c r="A3543" s="12" t="s">
        <v>30</v>
      </c>
      <c r="B3543" s="12" t="s">
        <v>16772</v>
      </c>
      <c r="C3543" s="12">
        <v>18</v>
      </c>
      <c r="D3543" s="12">
        <v>97</v>
      </c>
      <c r="E3543" s="12">
        <v>49</v>
      </c>
      <c r="F3543" s="12">
        <v>687</v>
      </c>
      <c r="G3543" s="12">
        <v>878</v>
      </c>
      <c r="H3543" s="16"/>
      <c r="I3543" s="12" t="s">
        <v>16773</v>
      </c>
      <c r="J3543" s="12" t="s">
        <v>16774</v>
      </c>
      <c r="K3543" s="12" t="s">
        <v>4656</v>
      </c>
      <c r="L3543" s="12" t="s">
        <v>6216</v>
      </c>
      <c r="M3543" s="12" t="s">
        <v>16775</v>
      </c>
      <c r="N3543" s="12">
        <v>15862</v>
      </c>
      <c r="O3543" s="12">
        <v>4334</v>
      </c>
      <c r="P3543" s="12">
        <v>5</v>
      </c>
      <c r="Q3543" s="12" t="s">
        <v>16776</v>
      </c>
      <c r="R3543" s="15" t="s">
        <v>16777</v>
      </c>
      <c r="S3543" s="12">
        <v>42</v>
      </c>
      <c r="T3543" s="12" t="s">
        <v>39</v>
      </c>
      <c r="U3543" s="12" t="s">
        <v>40</v>
      </c>
      <c r="V3543" s="16"/>
      <c r="W3543" s="16"/>
      <c r="X3543" s="12">
        <v>2008</v>
      </c>
      <c r="Y3543" s="12">
        <v>847</v>
      </c>
      <c r="Z3543" s="12">
        <v>7.4</v>
      </c>
      <c r="AA3543" s="12">
        <v>1.78</v>
      </c>
      <c r="AB3543" s="12">
        <v>389</v>
      </c>
      <c r="AC3543" s="12"/>
      <c r="AD3543" s="12" t="str">
        <f>IFERROR(__xludf.DUMMYFUNCTION("""COMPUTED_VALUE"""),"Michael Dorman")</f>
        <v>Michael Dorman</v>
      </c>
      <c r="AE3543" s="12"/>
    </row>
    <row r="3544" customHeight="1" spans="1:31">
      <c r="A3544" s="11" t="s">
        <v>30</v>
      </c>
      <c r="B3544" s="11" t="s">
        <v>9163</v>
      </c>
      <c r="C3544" s="11">
        <v>152</v>
      </c>
      <c r="D3544" s="11">
        <v>102</v>
      </c>
      <c r="E3544" s="11">
        <v>0</v>
      </c>
      <c r="F3544" s="11">
        <v>787</v>
      </c>
      <c r="G3544" s="11">
        <v>14000</v>
      </c>
      <c r="H3544" s="11">
        <v>7993039</v>
      </c>
      <c r="I3544" s="11" t="s">
        <v>1672</v>
      </c>
      <c r="J3544" s="11" t="s">
        <v>1973</v>
      </c>
      <c r="K3544" s="11" t="s">
        <v>2866</v>
      </c>
      <c r="L3544" s="11" t="s">
        <v>2050</v>
      </c>
      <c r="M3544" s="11" t="s">
        <v>16778</v>
      </c>
      <c r="N3544" s="11">
        <v>120036</v>
      </c>
      <c r="O3544" s="11">
        <v>18643</v>
      </c>
      <c r="P3544" s="11">
        <v>1</v>
      </c>
      <c r="Q3544" s="11" t="s">
        <v>16779</v>
      </c>
      <c r="R3544" s="14" t="s">
        <v>16780</v>
      </c>
      <c r="S3544" s="11">
        <v>408</v>
      </c>
      <c r="T3544" s="11" t="s">
        <v>39</v>
      </c>
      <c r="U3544" s="11" t="s">
        <v>40</v>
      </c>
      <c r="V3544" s="11" t="s">
        <v>586</v>
      </c>
      <c r="W3544" s="11">
        <v>6900000</v>
      </c>
      <c r="X3544" s="11">
        <v>1993</v>
      </c>
      <c r="Y3544" s="11">
        <v>1000</v>
      </c>
      <c r="Z3544" s="11">
        <v>7.7</v>
      </c>
      <c r="AA3544" s="11">
        <v>1.85</v>
      </c>
      <c r="AB3544" s="11">
        <v>10000</v>
      </c>
      <c r="AC3544" s="11"/>
      <c r="AD3544" s="11" t="str">
        <f>IFERROR(__xludf.DUMMYFUNCTION("""COMPUTED_VALUE"""),"Emma Lung")</f>
        <v>Emma Lung</v>
      </c>
      <c r="AE3544" s="11"/>
    </row>
    <row r="3545" customHeight="1" spans="1:31">
      <c r="A3545" s="12" t="s">
        <v>30</v>
      </c>
      <c r="B3545" s="12" t="s">
        <v>4067</v>
      </c>
      <c r="C3545" s="12">
        <v>44</v>
      </c>
      <c r="D3545" s="12">
        <v>111</v>
      </c>
      <c r="E3545" s="12">
        <v>197</v>
      </c>
      <c r="F3545" s="12">
        <v>578</v>
      </c>
      <c r="G3545" s="12">
        <v>755</v>
      </c>
      <c r="H3545" s="16"/>
      <c r="I3545" s="12" t="s">
        <v>3023</v>
      </c>
      <c r="J3545" s="12" t="s">
        <v>10894</v>
      </c>
      <c r="K3545" s="12" t="s">
        <v>11893</v>
      </c>
      <c r="L3545" s="12" t="s">
        <v>16781</v>
      </c>
      <c r="M3545" s="12" t="s">
        <v>16782</v>
      </c>
      <c r="N3545" s="12">
        <v>39786</v>
      </c>
      <c r="O3545" s="12">
        <v>3009</v>
      </c>
      <c r="P3545" s="12">
        <v>5</v>
      </c>
      <c r="Q3545" s="12" t="s">
        <v>16783</v>
      </c>
      <c r="R3545" s="15" t="s">
        <v>16784</v>
      </c>
      <c r="S3545" s="12">
        <v>162</v>
      </c>
      <c r="T3545" s="12" t="s">
        <v>39</v>
      </c>
      <c r="U3545" s="12" t="s">
        <v>40</v>
      </c>
      <c r="V3545" s="12" t="s">
        <v>2750</v>
      </c>
      <c r="W3545" s="12">
        <v>7000000</v>
      </c>
      <c r="X3545" s="12">
        <v>2007</v>
      </c>
      <c r="Y3545" s="12">
        <v>632</v>
      </c>
      <c r="Z3545" s="12">
        <v>4.8</v>
      </c>
      <c r="AA3545" s="12">
        <v>1.78</v>
      </c>
      <c r="AB3545" s="12">
        <v>586</v>
      </c>
      <c r="AC3545" s="12"/>
      <c r="AD3545" s="12" t="str">
        <f>IFERROR(__xludf.DUMMYFUNCTION("""COMPUTED_VALUE"""),"Kelly LeBrock")</f>
        <v>Kelly LeBrock</v>
      </c>
      <c r="AE3545" s="12"/>
    </row>
    <row r="3546" customHeight="1" spans="1:31">
      <c r="A3546" s="11" t="s">
        <v>30</v>
      </c>
      <c r="B3546" s="11" t="s">
        <v>16785</v>
      </c>
      <c r="C3546" s="11">
        <v>6</v>
      </c>
      <c r="D3546" s="11">
        <v>96</v>
      </c>
      <c r="E3546" s="11">
        <v>16</v>
      </c>
      <c r="F3546" s="11">
        <v>63</v>
      </c>
      <c r="G3546" s="11">
        <v>149</v>
      </c>
      <c r="H3546" s="13"/>
      <c r="I3546" s="11" t="s">
        <v>214</v>
      </c>
      <c r="J3546" s="11" t="s">
        <v>16786</v>
      </c>
      <c r="K3546" s="11" t="s">
        <v>16787</v>
      </c>
      <c r="L3546" s="11" t="s">
        <v>16788</v>
      </c>
      <c r="M3546" s="11" t="s">
        <v>16789</v>
      </c>
      <c r="N3546" s="11">
        <v>33</v>
      </c>
      <c r="O3546" s="11">
        <v>414</v>
      </c>
      <c r="P3546" s="11">
        <v>0</v>
      </c>
      <c r="Q3546" s="13"/>
      <c r="R3546" s="14" t="s">
        <v>16790</v>
      </c>
      <c r="S3546" s="11">
        <v>6</v>
      </c>
      <c r="T3546" s="11" t="s">
        <v>39</v>
      </c>
      <c r="U3546" s="11" t="s">
        <v>269</v>
      </c>
      <c r="V3546" s="13"/>
      <c r="W3546" s="11">
        <v>8700000</v>
      </c>
      <c r="X3546" s="11">
        <v>2016</v>
      </c>
      <c r="Y3546" s="11">
        <v>147</v>
      </c>
      <c r="Z3546" s="11">
        <v>7.2</v>
      </c>
      <c r="AA3546" s="11">
        <v>2.35</v>
      </c>
      <c r="AB3546" s="11">
        <v>187</v>
      </c>
      <c r="AC3546" s="11"/>
      <c r="AD3546" s="11" t="str">
        <f>IFERROR(__xludf.DUMMYFUNCTION("""COMPUTED_VALUE"""),"Alexandra Callas")</f>
        <v>Alexandra Callas</v>
      </c>
      <c r="AE3546" s="11"/>
    </row>
    <row r="3547" customHeight="1" spans="1:31">
      <c r="A3547" s="12" t="s">
        <v>30</v>
      </c>
      <c r="B3547" s="12" t="s">
        <v>16791</v>
      </c>
      <c r="C3547" s="12">
        <v>46</v>
      </c>
      <c r="D3547" s="12">
        <v>94</v>
      </c>
      <c r="E3547" s="12">
        <v>0</v>
      </c>
      <c r="F3547" s="12">
        <v>493</v>
      </c>
      <c r="G3547" s="12">
        <v>15000</v>
      </c>
      <c r="H3547" s="16"/>
      <c r="I3547" s="12" t="s">
        <v>2126</v>
      </c>
      <c r="J3547" s="12" t="s">
        <v>16792</v>
      </c>
      <c r="K3547" s="12" t="s">
        <v>11256</v>
      </c>
      <c r="L3547" s="12" t="s">
        <v>16793</v>
      </c>
      <c r="M3547" s="12" t="s">
        <v>16794</v>
      </c>
      <c r="N3547" s="12">
        <v>5255</v>
      </c>
      <c r="O3547" s="12">
        <v>17377</v>
      </c>
      <c r="P3547" s="12">
        <v>3</v>
      </c>
      <c r="Q3547" s="12" t="s">
        <v>16795</v>
      </c>
      <c r="R3547" s="15" t="s">
        <v>16796</v>
      </c>
      <c r="S3547" s="12">
        <v>38</v>
      </c>
      <c r="T3547" s="12" t="s">
        <v>39</v>
      </c>
      <c r="U3547" s="12" t="s">
        <v>40</v>
      </c>
      <c r="V3547" s="16"/>
      <c r="W3547" s="12">
        <v>7000000</v>
      </c>
      <c r="X3547" s="12">
        <v>2015</v>
      </c>
      <c r="Y3547" s="12">
        <v>725</v>
      </c>
      <c r="Z3547" s="12">
        <v>5.8</v>
      </c>
      <c r="AA3547" s="12">
        <v>2.35</v>
      </c>
      <c r="AB3547" s="12">
        <v>0</v>
      </c>
      <c r="AC3547" s="12"/>
      <c r="AD3547" s="12" t="str">
        <f>IFERROR(__xludf.DUMMYFUNCTION("""COMPUTED_VALUE"""),"Connor Corum")</f>
        <v>Connor Corum</v>
      </c>
      <c r="AE3547" s="12"/>
    </row>
    <row r="3548" customHeight="1" spans="1:31">
      <c r="A3548" s="11" t="s">
        <v>30</v>
      </c>
      <c r="B3548" s="11" t="s">
        <v>16797</v>
      </c>
      <c r="C3548" s="11">
        <v>63</v>
      </c>
      <c r="D3548" s="11">
        <v>125</v>
      </c>
      <c r="E3548" s="11">
        <v>4</v>
      </c>
      <c r="F3548" s="11">
        <v>36</v>
      </c>
      <c r="G3548" s="11">
        <v>177</v>
      </c>
      <c r="H3548" s="11">
        <v>927107</v>
      </c>
      <c r="I3548" s="11" t="s">
        <v>12010</v>
      </c>
      <c r="J3548" s="11" t="s">
        <v>16798</v>
      </c>
      <c r="K3548" s="11" t="s">
        <v>16799</v>
      </c>
      <c r="L3548" s="11" t="s">
        <v>16800</v>
      </c>
      <c r="M3548" s="11" t="s">
        <v>16801</v>
      </c>
      <c r="N3548" s="11">
        <v>5153</v>
      </c>
      <c r="O3548" s="11">
        <v>333</v>
      </c>
      <c r="P3548" s="11">
        <v>1</v>
      </c>
      <c r="Q3548" s="11" t="s">
        <v>16802</v>
      </c>
      <c r="R3548" s="14" t="s">
        <v>16803</v>
      </c>
      <c r="S3548" s="11">
        <v>51</v>
      </c>
      <c r="T3548" s="11" t="s">
        <v>8732</v>
      </c>
      <c r="U3548" s="11" t="s">
        <v>768</v>
      </c>
      <c r="V3548" s="13"/>
      <c r="W3548" s="11">
        <v>15000000</v>
      </c>
      <c r="X3548" s="11">
        <v>1999</v>
      </c>
      <c r="Y3548" s="11">
        <v>66</v>
      </c>
      <c r="Z3548" s="11">
        <v>7.3</v>
      </c>
      <c r="AA3548" s="11">
        <v>1.85</v>
      </c>
      <c r="AB3548" s="11">
        <v>687</v>
      </c>
      <c r="AC3548" s="11"/>
      <c r="AD3548" s="11" t="str">
        <f>IFERROR(__xludf.DUMMYFUNCTION("""COMPUTED_VALUE"""),"Gary Daniels")</f>
        <v>Gary Daniels</v>
      </c>
      <c r="AE3548" s="11"/>
    </row>
    <row r="3549" customHeight="1" spans="1:31">
      <c r="A3549" s="12" t="s">
        <v>30</v>
      </c>
      <c r="B3549" s="12" t="s">
        <v>16804</v>
      </c>
      <c r="C3549" s="12">
        <v>74</v>
      </c>
      <c r="D3549" s="12">
        <v>108</v>
      </c>
      <c r="E3549" s="12">
        <v>3</v>
      </c>
      <c r="F3549" s="12">
        <v>436</v>
      </c>
      <c r="G3549" s="12">
        <v>710</v>
      </c>
      <c r="H3549" s="12">
        <v>49526</v>
      </c>
      <c r="I3549" s="12" t="s">
        <v>2528</v>
      </c>
      <c r="J3549" s="12" t="s">
        <v>3287</v>
      </c>
      <c r="K3549" s="12" t="s">
        <v>3198</v>
      </c>
      <c r="L3549" s="12" t="s">
        <v>15212</v>
      </c>
      <c r="M3549" s="12" t="s">
        <v>16805</v>
      </c>
      <c r="N3549" s="12">
        <v>16299</v>
      </c>
      <c r="O3549" s="12">
        <v>2119</v>
      </c>
      <c r="P3549" s="12">
        <v>1</v>
      </c>
      <c r="Q3549" s="12" t="s">
        <v>16806</v>
      </c>
      <c r="R3549" s="15" t="s">
        <v>16807</v>
      </c>
      <c r="S3549" s="12">
        <v>129</v>
      </c>
      <c r="T3549" s="12" t="s">
        <v>39</v>
      </c>
      <c r="U3549" s="12" t="s">
        <v>40</v>
      </c>
      <c r="V3549" s="12" t="s">
        <v>586</v>
      </c>
      <c r="W3549" s="12">
        <v>6800000</v>
      </c>
      <c r="X3549" s="12">
        <v>2005</v>
      </c>
      <c r="Y3549" s="12">
        <v>697</v>
      </c>
      <c r="Z3549" s="12">
        <v>7</v>
      </c>
      <c r="AA3549" s="12">
        <v>2.35</v>
      </c>
      <c r="AB3549" s="12">
        <v>1000</v>
      </c>
      <c r="AC3549" s="12"/>
      <c r="AD3549" s="12" t="str">
        <f>IFERROR(__xludf.DUMMYFUNCTION("""COMPUTED_VALUE"""),"Matt Marr")</f>
        <v>Matt Marr</v>
      </c>
      <c r="AE3549" s="12"/>
    </row>
    <row r="3550" customHeight="1" spans="1:31">
      <c r="A3550" s="11" t="s">
        <v>30</v>
      </c>
      <c r="B3550" s="11" t="s">
        <v>16808</v>
      </c>
      <c r="C3550" s="11">
        <v>25</v>
      </c>
      <c r="D3550" s="11">
        <v>101</v>
      </c>
      <c r="E3550" s="11">
        <v>0</v>
      </c>
      <c r="F3550" s="11">
        <v>83</v>
      </c>
      <c r="G3550" s="11">
        <v>240</v>
      </c>
      <c r="H3550" s="11">
        <v>10696</v>
      </c>
      <c r="I3550" s="11" t="s">
        <v>1528</v>
      </c>
      <c r="J3550" s="11" t="s">
        <v>15408</v>
      </c>
      <c r="K3550" s="11" t="s">
        <v>16809</v>
      </c>
      <c r="L3550" s="11" t="s">
        <v>16810</v>
      </c>
      <c r="M3550" s="11" t="s">
        <v>16811</v>
      </c>
      <c r="N3550" s="11">
        <v>10771</v>
      </c>
      <c r="O3550" s="11">
        <v>490</v>
      </c>
      <c r="P3550" s="11">
        <v>8</v>
      </c>
      <c r="Q3550" s="11" t="s">
        <v>16812</v>
      </c>
      <c r="R3550" s="14" t="s">
        <v>16813</v>
      </c>
      <c r="S3550" s="11">
        <v>65</v>
      </c>
      <c r="T3550" s="11" t="s">
        <v>39</v>
      </c>
      <c r="U3550" s="11" t="s">
        <v>40</v>
      </c>
      <c r="V3550" s="11" t="s">
        <v>586</v>
      </c>
      <c r="W3550" s="11">
        <v>6800000</v>
      </c>
      <c r="X3550" s="11">
        <v>2003</v>
      </c>
      <c r="Y3550" s="11">
        <v>83</v>
      </c>
      <c r="Z3550" s="11">
        <v>6.4</v>
      </c>
      <c r="AA3550" s="11">
        <v>2.35</v>
      </c>
      <c r="AB3550" s="11">
        <v>413</v>
      </c>
      <c r="AC3550" s="11"/>
      <c r="AD3550" s="11" t="str">
        <f>IFERROR(__xludf.DUMMYFUNCTION("""COMPUTED_VALUE"""),"Ginger Jensen")</f>
        <v>Ginger Jensen</v>
      </c>
      <c r="AE3550" s="11"/>
    </row>
    <row r="3551" customHeight="1" spans="1:31">
      <c r="A3551" s="12" t="s">
        <v>30</v>
      </c>
      <c r="B3551" s="12" t="s">
        <v>16814</v>
      </c>
      <c r="C3551" s="12">
        <v>224</v>
      </c>
      <c r="D3551" s="12">
        <v>101</v>
      </c>
      <c r="E3551" s="12">
        <v>13</v>
      </c>
      <c r="F3551" s="12">
        <v>261</v>
      </c>
      <c r="G3551" s="12">
        <v>34000</v>
      </c>
      <c r="H3551" s="12">
        <v>31607598</v>
      </c>
      <c r="I3551" s="12" t="s">
        <v>4384</v>
      </c>
      <c r="J3551" s="12" t="s">
        <v>348</v>
      </c>
      <c r="K3551" s="12" t="s">
        <v>7054</v>
      </c>
      <c r="L3551" s="12" t="s">
        <v>16815</v>
      </c>
      <c r="M3551" s="12" t="s">
        <v>16816</v>
      </c>
      <c r="N3551" s="12">
        <v>58366</v>
      </c>
      <c r="O3551" s="12">
        <v>35717</v>
      </c>
      <c r="P3551" s="12">
        <v>1</v>
      </c>
      <c r="Q3551" s="12" t="s">
        <v>16817</v>
      </c>
      <c r="R3551" s="15" t="s">
        <v>16818</v>
      </c>
      <c r="S3551" s="12">
        <v>160</v>
      </c>
      <c r="T3551" s="12" t="s">
        <v>39</v>
      </c>
      <c r="U3551" s="12" t="s">
        <v>269</v>
      </c>
      <c r="V3551" s="12" t="s">
        <v>41</v>
      </c>
      <c r="W3551" s="12">
        <v>6900000</v>
      </c>
      <c r="X3551" s="12">
        <v>2012</v>
      </c>
      <c r="Y3551" s="12">
        <v>924</v>
      </c>
      <c r="Z3551" s="12">
        <v>5.6</v>
      </c>
      <c r="AA3551" s="12">
        <v>2.35</v>
      </c>
      <c r="AB3551" s="12">
        <v>10000</v>
      </c>
      <c r="AC3551" s="12"/>
      <c r="AD3551" s="12" t="str">
        <f>IFERROR(__xludf.DUMMYFUNCTION("""COMPUTED_VALUE"""),"Denise Crosby")</f>
        <v>Denise Crosby</v>
      </c>
      <c r="AE3551" s="12"/>
    </row>
    <row r="3552" customHeight="1" spans="1:31">
      <c r="A3552" s="11" t="s">
        <v>30</v>
      </c>
      <c r="B3552" s="11" t="s">
        <v>5744</v>
      </c>
      <c r="C3552" s="11">
        <v>226</v>
      </c>
      <c r="D3552" s="11">
        <v>139</v>
      </c>
      <c r="E3552" s="11">
        <v>777</v>
      </c>
      <c r="F3552" s="11">
        <v>58</v>
      </c>
      <c r="G3552" s="11">
        <v>131</v>
      </c>
      <c r="H3552" s="11">
        <v>6857096</v>
      </c>
      <c r="I3552" s="11" t="s">
        <v>16819</v>
      </c>
      <c r="J3552" s="11" t="s">
        <v>15330</v>
      </c>
      <c r="K3552" s="11" t="s">
        <v>16820</v>
      </c>
      <c r="L3552" s="11" t="s">
        <v>16821</v>
      </c>
      <c r="M3552" s="11" t="s">
        <v>16822</v>
      </c>
      <c r="N3552" s="11">
        <v>80429</v>
      </c>
      <c r="O3552" s="11">
        <v>343</v>
      </c>
      <c r="P3552" s="11">
        <v>0</v>
      </c>
      <c r="Q3552" s="11" t="s">
        <v>16823</v>
      </c>
      <c r="R3552" s="14" t="s">
        <v>16824</v>
      </c>
      <c r="S3552" s="11">
        <v>156</v>
      </c>
      <c r="T3552" s="11" t="s">
        <v>1465</v>
      </c>
      <c r="U3552" s="11" t="s">
        <v>269</v>
      </c>
      <c r="V3552" s="11" t="s">
        <v>586</v>
      </c>
      <c r="W3552" s="11">
        <v>6800000</v>
      </c>
      <c r="X3552" s="11">
        <v>2010</v>
      </c>
      <c r="Y3552" s="11">
        <v>66</v>
      </c>
      <c r="Z3552" s="11">
        <v>8.2</v>
      </c>
      <c r="AA3552" s="11">
        <v>1.85</v>
      </c>
      <c r="AB3552" s="11">
        <v>37000</v>
      </c>
      <c r="AC3552" s="11"/>
      <c r="AD3552" s="11" t="str">
        <f>IFERROR(__xludf.DUMMYFUNCTION("""COMPUTED_VALUE"""),"Tatsuo Matsumura")</f>
        <v>Tatsuo Matsumura</v>
      </c>
      <c r="AE3552" s="11"/>
    </row>
    <row r="3553" customHeight="1" spans="1:31">
      <c r="A3553" s="12" t="s">
        <v>30</v>
      </c>
      <c r="B3553" s="12" t="s">
        <v>4629</v>
      </c>
      <c r="C3553" s="12">
        <v>36</v>
      </c>
      <c r="D3553" s="12">
        <v>125</v>
      </c>
      <c r="E3553" s="12">
        <v>125</v>
      </c>
      <c r="F3553" s="12">
        <v>11</v>
      </c>
      <c r="G3553" s="12">
        <v>60</v>
      </c>
      <c r="H3553" s="12">
        <v>223878</v>
      </c>
      <c r="I3553" s="12" t="s">
        <v>1415</v>
      </c>
      <c r="J3553" s="12" t="s">
        <v>16825</v>
      </c>
      <c r="K3553" s="12" t="s">
        <v>16826</v>
      </c>
      <c r="L3553" s="12" t="s">
        <v>16827</v>
      </c>
      <c r="M3553" s="12" t="s">
        <v>16828</v>
      </c>
      <c r="N3553" s="12">
        <v>3548</v>
      </c>
      <c r="O3553" s="12">
        <v>132</v>
      </c>
      <c r="P3553" s="12">
        <v>1</v>
      </c>
      <c r="Q3553" s="12" t="s">
        <v>16829</v>
      </c>
      <c r="R3553" s="15" t="s">
        <v>16830</v>
      </c>
      <c r="S3553" s="12">
        <v>21</v>
      </c>
      <c r="T3553" s="12" t="s">
        <v>9796</v>
      </c>
      <c r="U3553" s="12" t="s">
        <v>7091</v>
      </c>
      <c r="V3553" s="12" t="s">
        <v>586</v>
      </c>
      <c r="W3553" s="12">
        <v>5000000</v>
      </c>
      <c r="X3553" s="12">
        <v>2003</v>
      </c>
      <c r="Y3553" s="12">
        <v>29</v>
      </c>
      <c r="Z3553" s="12">
        <v>6.5</v>
      </c>
      <c r="AA3553" s="12">
        <v>2.35</v>
      </c>
      <c r="AB3553" s="12">
        <v>282</v>
      </c>
      <c r="AC3553" s="12"/>
      <c r="AD3553" s="12" t="str">
        <f>IFERROR(__xludf.DUMMYFUNCTION("""COMPUTED_VALUE"""),"Tetsu Watanabe")</f>
        <v>Tetsu Watanabe</v>
      </c>
      <c r="AE3553" s="12"/>
    </row>
    <row r="3554" customHeight="1" spans="1:31">
      <c r="A3554" s="11" t="s">
        <v>30</v>
      </c>
      <c r="B3554" s="11" t="s">
        <v>16831</v>
      </c>
      <c r="C3554" s="11">
        <v>54</v>
      </c>
      <c r="D3554" s="11">
        <v>88</v>
      </c>
      <c r="E3554" s="11">
        <v>11</v>
      </c>
      <c r="F3554" s="11">
        <v>415</v>
      </c>
      <c r="G3554" s="11">
        <v>1000</v>
      </c>
      <c r="H3554" s="11">
        <v>828</v>
      </c>
      <c r="I3554" s="11" t="s">
        <v>16832</v>
      </c>
      <c r="J3554" s="11" t="s">
        <v>393</v>
      </c>
      <c r="K3554" s="11" t="s">
        <v>10740</v>
      </c>
      <c r="L3554" s="11" t="s">
        <v>15448</v>
      </c>
      <c r="M3554" s="11" t="s">
        <v>16833</v>
      </c>
      <c r="N3554" s="11">
        <v>5133</v>
      </c>
      <c r="O3554" s="11">
        <v>2728</v>
      </c>
      <c r="P3554" s="11">
        <v>8</v>
      </c>
      <c r="Q3554" s="11" t="s">
        <v>16834</v>
      </c>
      <c r="R3554" s="14" t="s">
        <v>16835</v>
      </c>
      <c r="S3554" s="11">
        <v>31</v>
      </c>
      <c r="T3554" s="11" t="s">
        <v>39</v>
      </c>
      <c r="U3554" s="11" t="s">
        <v>7988</v>
      </c>
      <c r="V3554" s="11" t="s">
        <v>586</v>
      </c>
      <c r="W3554" s="13"/>
      <c r="X3554" s="11">
        <v>2009</v>
      </c>
      <c r="Y3554" s="11">
        <v>418</v>
      </c>
      <c r="Z3554" s="11">
        <v>6.4</v>
      </c>
      <c r="AA3554" s="11">
        <v>2.35</v>
      </c>
      <c r="AB3554" s="11">
        <v>663</v>
      </c>
      <c r="AC3554" s="11"/>
      <c r="AD3554" s="11" t="str">
        <f>IFERROR(__xludf.DUMMYFUNCTION("""COMPUTED_VALUE"""),"Akira Terao")</f>
        <v>Akira Terao</v>
      </c>
      <c r="AE3554" s="11"/>
    </row>
    <row r="3555" customHeight="1" spans="1:31">
      <c r="A3555" s="12" t="s">
        <v>30</v>
      </c>
      <c r="B3555" s="12" t="s">
        <v>1400</v>
      </c>
      <c r="C3555" s="12">
        <v>142</v>
      </c>
      <c r="D3555" s="12">
        <v>115</v>
      </c>
      <c r="E3555" s="12">
        <v>294</v>
      </c>
      <c r="F3555" s="12">
        <v>15</v>
      </c>
      <c r="G3555" s="12">
        <v>585</v>
      </c>
      <c r="H3555" s="12">
        <v>8060</v>
      </c>
      <c r="I3555" s="12" t="s">
        <v>464</v>
      </c>
      <c r="J3555" s="12" t="s">
        <v>14498</v>
      </c>
      <c r="K3555" s="12" t="s">
        <v>16836</v>
      </c>
      <c r="L3555" s="12" t="s">
        <v>16837</v>
      </c>
      <c r="M3555" s="12" t="s">
        <v>16838</v>
      </c>
      <c r="N3555" s="12">
        <v>81644</v>
      </c>
      <c r="O3555" s="12">
        <v>666</v>
      </c>
      <c r="P3555" s="12">
        <v>1</v>
      </c>
      <c r="Q3555" s="12" t="s">
        <v>16839</v>
      </c>
      <c r="R3555" s="15" t="s">
        <v>16840</v>
      </c>
      <c r="S3555" s="12">
        <v>107</v>
      </c>
      <c r="T3555" s="12" t="s">
        <v>14504</v>
      </c>
      <c r="U3555" s="12" t="s">
        <v>16841</v>
      </c>
      <c r="V3555" s="12" t="s">
        <v>586</v>
      </c>
      <c r="W3555" s="12">
        <v>4000000</v>
      </c>
      <c r="X3555" s="12">
        <v>2007</v>
      </c>
      <c r="Y3555" s="12">
        <v>39</v>
      </c>
      <c r="Z3555" s="12">
        <v>8.1</v>
      </c>
      <c r="AA3555" s="12">
        <v>1.85</v>
      </c>
      <c r="AB3555" s="12">
        <v>11000</v>
      </c>
      <c r="AC3555" s="12"/>
      <c r="AD3555" s="12" t="str">
        <f>IFERROR(__xludf.DUMMYFUNCTION("""COMPUTED_VALUE"""),"Wei Tang")</f>
        <v>Wei Tang</v>
      </c>
      <c r="AE3555" s="12"/>
    </row>
    <row r="3556" customHeight="1" spans="1:31">
      <c r="A3556" s="11" t="s">
        <v>30</v>
      </c>
      <c r="B3556" s="11" t="s">
        <v>8411</v>
      </c>
      <c r="C3556" s="11">
        <v>271</v>
      </c>
      <c r="D3556" s="11">
        <v>99</v>
      </c>
      <c r="E3556" s="11">
        <v>40</v>
      </c>
      <c r="F3556" s="11">
        <v>300</v>
      </c>
      <c r="G3556" s="11">
        <v>1000</v>
      </c>
      <c r="H3556" s="11">
        <v>84263837</v>
      </c>
      <c r="I3556" s="11" t="s">
        <v>5104</v>
      </c>
      <c r="J3556" s="11" t="s">
        <v>1232</v>
      </c>
      <c r="K3556" s="11" t="s">
        <v>16842</v>
      </c>
      <c r="L3556" s="11" t="s">
        <v>16843</v>
      </c>
      <c r="M3556" s="11" t="s">
        <v>16844</v>
      </c>
      <c r="N3556" s="11">
        <v>81699</v>
      </c>
      <c r="O3556" s="11">
        <v>2323</v>
      </c>
      <c r="P3556" s="11">
        <v>0</v>
      </c>
      <c r="Q3556" s="11" t="s">
        <v>16845</v>
      </c>
      <c r="R3556" s="14" t="s">
        <v>16846</v>
      </c>
      <c r="S3556" s="11">
        <v>291</v>
      </c>
      <c r="T3556" s="11" t="s">
        <v>39</v>
      </c>
      <c r="U3556" s="11" t="s">
        <v>40</v>
      </c>
      <c r="V3556" s="11" t="s">
        <v>586</v>
      </c>
      <c r="W3556" s="11">
        <v>6500000</v>
      </c>
      <c r="X3556" s="11">
        <v>2014</v>
      </c>
      <c r="Y3556" s="11">
        <v>421</v>
      </c>
      <c r="Z3556" s="11">
        <v>5.4</v>
      </c>
      <c r="AA3556" s="11">
        <v>2.35</v>
      </c>
      <c r="AB3556" s="11">
        <v>45000</v>
      </c>
      <c r="AC3556" s="11"/>
      <c r="AD3556" s="11" t="str">
        <f>IFERROR(__xludf.DUMMYFUNCTION("""COMPUTED_VALUE"""),"Hailu Qin")</f>
        <v>Hailu Qin</v>
      </c>
      <c r="AE3556" s="11"/>
    </row>
    <row r="3557" customHeight="1" spans="1:31">
      <c r="A3557" s="12" t="s">
        <v>30</v>
      </c>
      <c r="B3557" s="12" t="s">
        <v>16847</v>
      </c>
      <c r="C3557" s="12">
        <v>33</v>
      </c>
      <c r="D3557" s="12">
        <v>88</v>
      </c>
      <c r="E3557" s="12">
        <v>3</v>
      </c>
      <c r="F3557" s="12">
        <v>38</v>
      </c>
      <c r="G3557" s="12">
        <v>46</v>
      </c>
      <c r="H3557" s="12">
        <v>110029</v>
      </c>
      <c r="I3557" s="12" t="s">
        <v>16848</v>
      </c>
      <c r="J3557" s="12" t="s">
        <v>16606</v>
      </c>
      <c r="K3557" s="12" t="s">
        <v>16849</v>
      </c>
      <c r="L3557" s="12" t="s">
        <v>16850</v>
      </c>
      <c r="M3557" s="12" t="s">
        <v>16851</v>
      </c>
      <c r="N3557" s="12">
        <v>1388</v>
      </c>
      <c r="O3557" s="12">
        <v>225</v>
      </c>
      <c r="P3557" s="12">
        <v>7</v>
      </c>
      <c r="Q3557" s="12" t="s">
        <v>16852</v>
      </c>
      <c r="R3557" s="15" t="s">
        <v>16853</v>
      </c>
      <c r="S3557" s="12">
        <v>31</v>
      </c>
      <c r="T3557" s="12" t="s">
        <v>39</v>
      </c>
      <c r="U3557" s="12" t="s">
        <v>371</v>
      </c>
      <c r="V3557" s="12" t="s">
        <v>41</v>
      </c>
      <c r="W3557" s="12">
        <v>6500000</v>
      </c>
      <c r="X3557" s="12">
        <v>2009</v>
      </c>
      <c r="Y3557" s="12">
        <v>46</v>
      </c>
      <c r="Z3557" s="12">
        <v>6.3</v>
      </c>
      <c r="AA3557" s="12">
        <v>2.35</v>
      </c>
      <c r="AB3557" s="12">
        <v>479</v>
      </c>
      <c r="AC3557" s="12"/>
      <c r="AD3557" s="12" t="str">
        <f>IFERROR(__xludf.DUMMYFUNCTION("""COMPUTED_VALUE"""),"Harry Carey Jr.")</f>
        <v>Harry Carey Jr.</v>
      </c>
      <c r="AE3557" s="12"/>
    </row>
    <row r="3558" customHeight="1" spans="1:31">
      <c r="A3558" s="11" t="s">
        <v>30</v>
      </c>
      <c r="B3558" s="11" t="s">
        <v>2944</v>
      </c>
      <c r="C3558" s="11">
        <v>64</v>
      </c>
      <c r="D3558" s="11">
        <v>112</v>
      </c>
      <c r="E3558" s="11">
        <v>309</v>
      </c>
      <c r="F3558" s="11">
        <v>15</v>
      </c>
      <c r="G3558" s="11">
        <v>27</v>
      </c>
      <c r="H3558" s="11">
        <v>57504069</v>
      </c>
      <c r="I3558" s="11" t="s">
        <v>1936</v>
      </c>
      <c r="J3558" s="11" t="s">
        <v>16854</v>
      </c>
      <c r="K3558" s="11" t="s">
        <v>16855</v>
      </c>
      <c r="L3558" s="11" t="s">
        <v>16856</v>
      </c>
      <c r="M3558" s="11" t="s">
        <v>16857</v>
      </c>
      <c r="N3558" s="11">
        <v>94139</v>
      </c>
      <c r="O3558" s="11">
        <v>106</v>
      </c>
      <c r="P3558" s="11">
        <v>2</v>
      </c>
      <c r="Q3558" s="11" t="s">
        <v>16858</v>
      </c>
      <c r="R3558" s="14" t="s">
        <v>16859</v>
      </c>
      <c r="S3558" s="11">
        <v>183</v>
      </c>
      <c r="T3558" s="11" t="s">
        <v>39</v>
      </c>
      <c r="U3558" s="11" t="s">
        <v>40</v>
      </c>
      <c r="V3558" s="11" t="s">
        <v>586</v>
      </c>
      <c r="W3558" s="11">
        <v>6000000</v>
      </c>
      <c r="X3558" s="11">
        <v>1991</v>
      </c>
      <c r="Y3558" s="11">
        <v>26</v>
      </c>
      <c r="Z3558" s="11">
        <v>7.8</v>
      </c>
      <c r="AA3558" s="11">
        <v>1.85</v>
      </c>
      <c r="AB3558" s="11">
        <v>0</v>
      </c>
      <c r="AC3558" s="11"/>
      <c r="AD3558" s="11" t="str">
        <f>IFERROR(__xludf.DUMMYFUNCTION("""COMPUTED_VALUE"""),"Zach Galligan")</f>
        <v>Zach Galligan</v>
      </c>
      <c r="AE3558" s="11"/>
    </row>
    <row r="3559" customHeight="1" spans="1:31">
      <c r="A3559" s="12" t="s">
        <v>30</v>
      </c>
      <c r="B3559" s="12" t="s">
        <v>16860</v>
      </c>
      <c r="C3559" s="12">
        <v>18</v>
      </c>
      <c r="D3559" s="12">
        <v>108</v>
      </c>
      <c r="E3559" s="12">
        <v>7</v>
      </c>
      <c r="F3559" s="12">
        <v>51</v>
      </c>
      <c r="G3559" s="12">
        <v>699</v>
      </c>
      <c r="H3559" s="12">
        <v>54215416</v>
      </c>
      <c r="I3559" s="12" t="s">
        <v>4297</v>
      </c>
      <c r="J3559" s="12" t="s">
        <v>11458</v>
      </c>
      <c r="K3559" s="12" t="s">
        <v>16861</v>
      </c>
      <c r="L3559" s="12" t="s">
        <v>16862</v>
      </c>
      <c r="M3559" s="12" t="s">
        <v>16863</v>
      </c>
      <c r="N3559" s="12">
        <v>21409</v>
      </c>
      <c r="O3559" s="12">
        <v>936</v>
      </c>
      <c r="P3559" s="12">
        <v>1</v>
      </c>
      <c r="Q3559" s="12" t="s">
        <v>16864</v>
      </c>
      <c r="R3559" s="15" t="s">
        <v>16865</v>
      </c>
      <c r="S3559" s="12">
        <v>63</v>
      </c>
      <c r="T3559" s="12" t="s">
        <v>39</v>
      </c>
      <c r="U3559" s="12" t="s">
        <v>40</v>
      </c>
      <c r="V3559" s="12" t="s">
        <v>41</v>
      </c>
      <c r="W3559" s="12">
        <v>6500000</v>
      </c>
      <c r="X3559" s="12">
        <v>1987</v>
      </c>
      <c r="Y3559" s="12">
        <v>63</v>
      </c>
      <c r="Z3559" s="12">
        <v>6.8</v>
      </c>
      <c r="AA3559" s="12">
        <v>1.85</v>
      </c>
      <c r="AB3559" s="12">
        <v>0</v>
      </c>
      <c r="AC3559" s="12"/>
      <c r="AD3559" s="12" t="str">
        <f>IFERROR(__xludf.DUMMYFUNCTION("""COMPUTED_VALUE"""),"Peter Cushing")</f>
        <v>Peter Cushing</v>
      </c>
      <c r="AE3559" s="12"/>
    </row>
    <row r="3560" customHeight="1" spans="1:31">
      <c r="A3560" s="11" t="s">
        <v>30</v>
      </c>
      <c r="B3560" s="11" t="s">
        <v>16866</v>
      </c>
      <c r="C3560" s="11">
        <v>6</v>
      </c>
      <c r="D3560" s="11">
        <v>107</v>
      </c>
      <c r="E3560" s="11">
        <v>0</v>
      </c>
      <c r="F3560" s="11">
        <v>146</v>
      </c>
      <c r="G3560" s="11">
        <v>804</v>
      </c>
      <c r="H3560" s="13"/>
      <c r="I3560" s="11" t="s">
        <v>2528</v>
      </c>
      <c r="J3560" s="11" t="s">
        <v>16867</v>
      </c>
      <c r="K3560" s="11" t="s">
        <v>16868</v>
      </c>
      <c r="L3560" s="11" t="s">
        <v>16869</v>
      </c>
      <c r="M3560" s="11" t="s">
        <v>16870</v>
      </c>
      <c r="N3560" s="11">
        <v>3157</v>
      </c>
      <c r="O3560" s="11">
        <v>1285</v>
      </c>
      <c r="P3560" s="11">
        <v>2</v>
      </c>
      <c r="Q3560" s="11" t="s">
        <v>16871</v>
      </c>
      <c r="R3560" s="14" t="s">
        <v>16872</v>
      </c>
      <c r="S3560" s="11">
        <v>33</v>
      </c>
      <c r="T3560" s="11" t="s">
        <v>39</v>
      </c>
      <c r="U3560" s="11" t="s">
        <v>40</v>
      </c>
      <c r="V3560" s="11" t="s">
        <v>96</v>
      </c>
      <c r="W3560" s="13"/>
      <c r="X3560" s="11">
        <v>1981</v>
      </c>
      <c r="Y3560" s="11">
        <v>167</v>
      </c>
      <c r="Z3560" s="11">
        <v>7.2</v>
      </c>
      <c r="AA3560" s="11">
        <v>1.85</v>
      </c>
      <c r="AB3560" s="11">
        <v>337</v>
      </c>
      <c r="AC3560" s="11"/>
      <c r="AD3560" s="11" t="str">
        <f>IFERROR(__xludf.DUMMYFUNCTION("""COMPUTED_VALUE"""),"Jason Mantzoukas")</f>
        <v>Jason Mantzoukas</v>
      </c>
      <c r="AE3560" s="11"/>
    </row>
    <row r="3561" customHeight="1" spans="1:31">
      <c r="A3561" s="12" t="s">
        <v>30</v>
      </c>
      <c r="B3561" s="12" t="s">
        <v>2247</v>
      </c>
      <c r="C3561" s="12">
        <v>121</v>
      </c>
      <c r="D3561" s="12">
        <v>104</v>
      </c>
      <c r="E3561" s="12">
        <v>0</v>
      </c>
      <c r="F3561" s="12">
        <v>517</v>
      </c>
      <c r="G3561" s="12">
        <v>754</v>
      </c>
      <c r="H3561" s="12">
        <v>31899000</v>
      </c>
      <c r="I3561" s="12" t="s">
        <v>16873</v>
      </c>
      <c r="J3561" s="12" t="s">
        <v>6593</v>
      </c>
      <c r="K3561" s="12" t="s">
        <v>11953</v>
      </c>
      <c r="L3561" s="12" t="s">
        <v>11921</v>
      </c>
      <c r="M3561" s="12" t="s">
        <v>16874</v>
      </c>
      <c r="N3561" s="12">
        <v>23986</v>
      </c>
      <c r="O3561" s="12">
        <v>2442</v>
      </c>
      <c r="P3561" s="12">
        <v>0</v>
      </c>
      <c r="Q3561" s="12" t="s">
        <v>16875</v>
      </c>
      <c r="R3561" s="15" t="s">
        <v>16876</v>
      </c>
      <c r="S3561" s="12">
        <v>201</v>
      </c>
      <c r="T3561" s="12" t="s">
        <v>39</v>
      </c>
      <c r="U3561" s="12" t="s">
        <v>40</v>
      </c>
      <c r="V3561" s="12" t="s">
        <v>7335</v>
      </c>
      <c r="W3561" s="12">
        <v>6500000</v>
      </c>
      <c r="X3561" s="12">
        <v>1980</v>
      </c>
      <c r="Y3561" s="12">
        <v>567</v>
      </c>
      <c r="Z3561" s="12">
        <v>7.1</v>
      </c>
      <c r="AA3561" s="12">
        <v>2.35</v>
      </c>
      <c r="AB3561" s="12">
        <v>0</v>
      </c>
      <c r="AC3561" s="12"/>
      <c r="AD3561" s="12" t="str">
        <f>IFERROR(__xludf.DUMMYFUNCTION("""COMPUTED_VALUE"""),"Klaus Kinski")</f>
        <v>Klaus Kinski</v>
      </c>
      <c r="AE3561" s="12"/>
    </row>
    <row r="3562" customHeight="1" spans="1:31">
      <c r="A3562" s="11" t="s">
        <v>30</v>
      </c>
      <c r="B3562" s="11" t="s">
        <v>536</v>
      </c>
      <c r="C3562" s="11">
        <v>14</v>
      </c>
      <c r="D3562" s="11">
        <v>108</v>
      </c>
      <c r="E3562" s="11">
        <v>208</v>
      </c>
      <c r="F3562" s="11">
        <v>689</v>
      </c>
      <c r="G3562" s="11">
        <v>876</v>
      </c>
      <c r="H3562" s="11">
        <v>24103594</v>
      </c>
      <c r="I3562" s="11" t="s">
        <v>16877</v>
      </c>
      <c r="J3562" s="11" t="s">
        <v>6357</v>
      </c>
      <c r="K3562" s="11" t="s">
        <v>1546</v>
      </c>
      <c r="L3562" s="11" t="s">
        <v>2262</v>
      </c>
      <c r="M3562" s="11" t="s">
        <v>16878</v>
      </c>
      <c r="N3562" s="11">
        <v>6384</v>
      </c>
      <c r="O3562" s="11">
        <v>4840</v>
      </c>
      <c r="P3562" s="11">
        <v>0</v>
      </c>
      <c r="Q3562" s="11" t="s">
        <v>16879</v>
      </c>
      <c r="R3562" s="14" t="s">
        <v>16880</v>
      </c>
      <c r="S3562" s="11">
        <v>54</v>
      </c>
      <c r="T3562" s="11" t="s">
        <v>39</v>
      </c>
      <c r="U3562" s="11" t="s">
        <v>40</v>
      </c>
      <c r="V3562" s="11" t="s">
        <v>96</v>
      </c>
      <c r="W3562" s="11">
        <v>6500000</v>
      </c>
      <c r="X3562" s="11">
        <v>1993</v>
      </c>
      <c r="Y3562" s="11">
        <v>827</v>
      </c>
      <c r="Z3562" s="11">
        <v>6.2</v>
      </c>
      <c r="AA3562" s="11">
        <v>1.85</v>
      </c>
      <c r="AB3562" s="11">
        <v>391</v>
      </c>
      <c r="AC3562" s="11"/>
      <c r="AD3562" s="11" t="str">
        <f>IFERROR(__xludf.DUMMYFUNCTION("""COMPUTED_VALUE"""),"Wagner Moura")</f>
        <v>Wagner Moura</v>
      </c>
      <c r="AE3562" s="11"/>
    </row>
    <row r="3563" customHeight="1" spans="1:31">
      <c r="A3563" s="12" t="s">
        <v>30</v>
      </c>
      <c r="B3563" s="12" t="s">
        <v>522</v>
      </c>
      <c r="C3563" s="12">
        <v>137</v>
      </c>
      <c r="D3563" s="12">
        <v>102</v>
      </c>
      <c r="E3563" s="12">
        <v>218</v>
      </c>
      <c r="F3563" s="12">
        <v>376</v>
      </c>
      <c r="G3563" s="12">
        <v>900</v>
      </c>
      <c r="H3563" s="12">
        <v>16842303</v>
      </c>
      <c r="I3563" s="12" t="s">
        <v>1009</v>
      </c>
      <c r="J3563" s="12" t="s">
        <v>8555</v>
      </c>
      <c r="K3563" s="12" t="s">
        <v>5325</v>
      </c>
      <c r="L3563" s="12" t="s">
        <v>11306</v>
      </c>
      <c r="M3563" s="12" t="s">
        <v>16881</v>
      </c>
      <c r="N3563" s="12">
        <v>59474</v>
      </c>
      <c r="O3563" s="12">
        <v>2475</v>
      </c>
      <c r="P3563" s="12">
        <v>3</v>
      </c>
      <c r="Q3563" s="12" t="s">
        <v>16882</v>
      </c>
      <c r="R3563" s="15" t="s">
        <v>16883</v>
      </c>
      <c r="S3563" s="12">
        <v>418</v>
      </c>
      <c r="T3563" s="12" t="s">
        <v>39</v>
      </c>
      <c r="U3563" s="12" t="s">
        <v>40</v>
      </c>
      <c r="V3563" s="12" t="s">
        <v>586</v>
      </c>
      <c r="W3563" s="12">
        <v>6500000</v>
      </c>
      <c r="X3563" s="12">
        <v>1999</v>
      </c>
      <c r="Y3563" s="12">
        <v>563</v>
      </c>
      <c r="Z3563" s="12">
        <v>7.3</v>
      </c>
      <c r="AA3563" s="12">
        <v>2.35</v>
      </c>
      <c r="AB3563" s="12">
        <v>0</v>
      </c>
      <c r="AC3563" s="12"/>
      <c r="AD3563" s="12" t="str">
        <f>IFERROR(__xludf.DUMMYFUNCTION("""COMPUTED_VALUE"""),"Selton Mello")</f>
        <v>Selton Mello</v>
      </c>
      <c r="AE3563" s="12"/>
    </row>
    <row r="3564" customHeight="1" spans="1:31">
      <c r="A3564" s="11" t="s">
        <v>30</v>
      </c>
      <c r="B3564" s="11" t="s">
        <v>16101</v>
      </c>
      <c r="C3564" s="11">
        <v>111</v>
      </c>
      <c r="D3564" s="11">
        <v>88</v>
      </c>
      <c r="E3564" s="11">
        <v>132</v>
      </c>
      <c r="F3564" s="11">
        <v>180</v>
      </c>
      <c r="G3564" s="11">
        <v>435</v>
      </c>
      <c r="H3564" s="11">
        <v>13367101</v>
      </c>
      <c r="I3564" s="11" t="s">
        <v>1415</v>
      </c>
      <c r="J3564" s="11" t="s">
        <v>13733</v>
      </c>
      <c r="K3564" s="11" t="s">
        <v>16884</v>
      </c>
      <c r="L3564" s="11" t="s">
        <v>16885</v>
      </c>
      <c r="M3564" s="11" t="s">
        <v>16886</v>
      </c>
      <c r="N3564" s="11">
        <v>19715</v>
      </c>
      <c r="O3564" s="11">
        <v>1140</v>
      </c>
      <c r="P3564" s="11">
        <v>2</v>
      </c>
      <c r="Q3564" s="11" t="s">
        <v>16887</v>
      </c>
      <c r="R3564" s="14" t="s">
        <v>16888</v>
      </c>
      <c r="S3564" s="11">
        <v>166</v>
      </c>
      <c r="T3564" s="11" t="s">
        <v>39</v>
      </c>
      <c r="U3564" s="11" t="s">
        <v>40</v>
      </c>
      <c r="V3564" s="11" t="s">
        <v>586</v>
      </c>
      <c r="W3564" s="11">
        <v>6500000</v>
      </c>
      <c r="X3564" s="11">
        <v>2006</v>
      </c>
      <c r="Y3564" s="11">
        <v>230</v>
      </c>
      <c r="Z3564" s="11">
        <v>5.9</v>
      </c>
      <c r="AA3564" s="11">
        <v>2.35</v>
      </c>
      <c r="AB3564" s="11">
        <v>515</v>
      </c>
      <c r="AC3564" s="11"/>
      <c r="AD3564" s="11" t="str">
        <f>IFERROR(__xludf.DUMMYFUNCTION("""COMPUTED_VALUE"""),"Daniel Zettel")</f>
        <v>Daniel Zettel</v>
      </c>
      <c r="AE3564" s="11"/>
    </row>
    <row r="3565" customHeight="1" spans="1:31">
      <c r="A3565" s="12" t="s">
        <v>30</v>
      </c>
      <c r="B3565" s="12" t="s">
        <v>7282</v>
      </c>
      <c r="C3565" s="12">
        <v>57</v>
      </c>
      <c r="D3565" s="12">
        <v>115</v>
      </c>
      <c r="E3565" s="12">
        <v>338</v>
      </c>
      <c r="F3565" s="12">
        <v>45</v>
      </c>
      <c r="G3565" s="12">
        <v>116</v>
      </c>
      <c r="H3565" s="16"/>
      <c r="I3565" s="12" t="s">
        <v>2954</v>
      </c>
      <c r="J3565" s="12" t="s">
        <v>16889</v>
      </c>
      <c r="K3565" s="12" t="s">
        <v>16890</v>
      </c>
      <c r="L3565" s="12" t="s">
        <v>16891</v>
      </c>
      <c r="M3565" s="12" t="s">
        <v>16892</v>
      </c>
      <c r="N3565" s="12">
        <v>25857</v>
      </c>
      <c r="O3565" s="12">
        <v>394</v>
      </c>
      <c r="P3565" s="12">
        <v>0</v>
      </c>
      <c r="Q3565" s="12" t="s">
        <v>16893</v>
      </c>
      <c r="R3565" s="15" t="s">
        <v>16894</v>
      </c>
      <c r="S3565" s="12">
        <v>171</v>
      </c>
      <c r="T3565" s="12" t="s">
        <v>39</v>
      </c>
      <c r="U3565" s="12" t="s">
        <v>40</v>
      </c>
      <c r="V3565" s="12" t="s">
        <v>278</v>
      </c>
      <c r="W3565" s="12">
        <v>6500000</v>
      </c>
      <c r="X3565" s="12">
        <v>1971</v>
      </c>
      <c r="Y3565" s="12">
        <v>112</v>
      </c>
      <c r="Z3565" s="12">
        <v>7.2</v>
      </c>
      <c r="AA3565" s="12">
        <v>2.35</v>
      </c>
      <c r="AB3565" s="12">
        <v>0</v>
      </c>
      <c r="AC3565" s="12"/>
      <c r="AD3565" s="12" t="str">
        <f>IFERROR(__xludf.DUMMYFUNCTION("""COMPUTED_VALUE"""),"Jack McGee")</f>
        <v>Jack McGee</v>
      </c>
      <c r="AE3565" s="12"/>
    </row>
    <row r="3566" customHeight="1" spans="1:31">
      <c r="A3566" s="11" t="s">
        <v>30</v>
      </c>
      <c r="B3566" s="11" t="s">
        <v>16895</v>
      </c>
      <c r="C3566" s="11">
        <v>97</v>
      </c>
      <c r="D3566" s="11">
        <v>91</v>
      </c>
      <c r="E3566" s="11">
        <v>38</v>
      </c>
      <c r="F3566" s="11">
        <v>91</v>
      </c>
      <c r="G3566" s="11">
        <v>730</v>
      </c>
      <c r="H3566" s="11">
        <v>10149779</v>
      </c>
      <c r="I3566" s="11" t="s">
        <v>4333</v>
      </c>
      <c r="J3566" s="11" t="s">
        <v>3701</v>
      </c>
      <c r="K3566" s="11" t="s">
        <v>1348</v>
      </c>
      <c r="L3566" s="11" t="s">
        <v>8656</v>
      </c>
      <c r="M3566" s="11" t="s">
        <v>16896</v>
      </c>
      <c r="N3566" s="11">
        <v>8294</v>
      </c>
      <c r="O3566" s="11">
        <v>1405</v>
      </c>
      <c r="P3566" s="11">
        <v>0</v>
      </c>
      <c r="Q3566" s="11" t="s">
        <v>16897</v>
      </c>
      <c r="R3566" s="14" t="s">
        <v>16898</v>
      </c>
      <c r="S3566" s="11">
        <v>160</v>
      </c>
      <c r="T3566" s="11" t="s">
        <v>39</v>
      </c>
      <c r="U3566" s="11" t="s">
        <v>40</v>
      </c>
      <c r="V3566" s="11" t="s">
        <v>41</v>
      </c>
      <c r="W3566" s="11">
        <v>6500000</v>
      </c>
      <c r="X3566" s="11">
        <v>1999</v>
      </c>
      <c r="Y3566" s="11">
        <v>461</v>
      </c>
      <c r="Z3566" s="11">
        <v>3.6</v>
      </c>
      <c r="AA3566" s="11">
        <v>2.35</v>
      </c>
      <c r="AB3566" s="11">
        <v>342</v>
      </c>
      <c r="AC3566" s="11"/>
      <c r="AD3566" s="11" t="str">
        <f>IFERROR(__xludf.DUMMYFUNCTION("""COMPUTED_VALUE"""),"Lane Smith")</f>
        <v>Lane Smith</v>
      </c>
      <c r="AE3566" s="11"/>
    </row>
    <row r="3567" customHeight="1" spans="1:31">
      <c r="A3567" s="12" t="s">
        <v>30</v>
      </c>
      <c r="B3567" s="12" t="s">
        <v>16899</v>
      </c>
      <c r="C3567" s="12">
        <v>73</v>
      </c>
      <c r="D3567" s="12">
        <v>141</v>
      </c>
      <c r="E3567" s="12">
        <v>11</v>
      </c>
      <c r="F3567" s="12">
        <v>8</v>
      </c>
      <c r="G3567" s="12">
        <v>56</v>
      </c>
      <c r="H3567" s="12">
        <v>6173485</v>
      </c>
      <c r="I3567" s="12" t="s">
        <v>1544</v>
      </c>
      <c r="J3567" s="12" t="s">
        <v>16900</v>
      </c>
      <c r="K3567" s="12" t="s">
        <v>16901</v>
      </c>
      <c r="L3567" s="12" t="s">
        <v>16902</v>
      </c>
      <c r="M3567" s="12" t="s">
        <v>16903</v>
      </c>
      <c r="N3567" s="12">
        <v>10672</v>
      </c>
      <c r="O3567" s="12">
        <v>105</v>
      </c>
      <c r="P3567" s="12">
        <v>0</v>
      </c>
      <c r="Q3567" s="12" t="s">
        <v>16904</v>
      </c>
      <c r="R3567" s="15" t="s">
        <v>16905</v>
      </c>
      <c r="S3567" s="12">
        <v>84</v>
      </c>
      <c r="T3567" s="12" t="s">
        <v>39</v>
      </c>
      <c r="U3567" s="12" t="s">
        <v>768</v>
      </c>
      <c r="V3567" s="12" t="s">
        <v>586</v>
      </c>
      <c r="W3567" s="12">
        <v>7000000</v>
      </c>
      <c r="X3567" s="12">
        <v>2001</v>
      </c>
      <c r="Y3567" s="12">
        <v>36</v>
      </c>
      <c r="Z3567" s="12">
        <v>7.7</v>
      </c>
      <c r="AA3567" s="12">
        <v>2.35</v>
      </c>
      <c r="AB3567" s="12">
        <v>802</v>
      </c>
      <c r="AC3567" s="12"/>
      <c r="AD3567" s="12" t="str">
        <f>IFERROR(__xludf.DUMMYFUNCTION("""COMPUTED_VALUE"""),"Zoe Ventoura")</f>
        <v>Zoe Ventoura</v>
      </c>
      <c r="AE3567" s="12"/>
    </row>
    <row r="3568" customHeight="1" spans="1:31">
      <c r="A3568" s="11" t="s">
        <v>30</v>
      </c>
      <c r="B3568" s="11" t="s">
        <v>10723</v>
      </c>
      <c r="C3568" s="11">
        <v>486</v>
      </c>
      <c r="D3568" s="11">
        <v>101</v>
      </c>
      <c r="E3568" s="11">
        <v>0</v>
      </c>
      <c r="F3568" s="11">
        <v>726</v>
      </c>
      <c r="G3568" s="11">
        <v>13000</v>
      </c>
      <c r="H3568" s="11">
        <v>4000304</v>
      </c>
      <c r="I3568" s="11" t="s">
        <v>3410</v>
      </c>
      <c r="J3568" s="11" t="s">
        <v>459</v>
      </c>
      <c r="K3568" s="11" t="s">
        <v>3342</v>
      </c>
      <c r="L3568" s="11" t="s">
        <v>5195</v>
      </c>
      <c r="M3568" s="11" t="s">
        <v>16906</v>
      </c>
      <c r="N3568" s="11">
        <v>145395</v>
      </c>
      <c r="O3568" s="11">
        <v>15230</v>
      </c>
      <c r="P3568" s="11">
        <v>0</v>
      </c>
      <c r="Q3568" s="11" t="s">
        <v>16907</v>
      </c>
      <c r="R3568" s="14" t="s">
        <v>16908</v>
      </c>
      <c r="S3568" s="11">
        <v>375</v>
      </c>
      <c r="T3568" s="11" t="s">
        <v>39</v>
      </c>
      <c r="U3568" s="11" t="s">
        <v>58</v>
      </c>
      <c r="V3568" s="11" t="s">
        <v>6724</v>
      </c>
      <c r="W3568" s="11">
        <v>6500000</v>
      </c>
      <c r="X3568" s="11">
        <v>2011</v>
      </c>
      <c r="Y3568" s="11">
        <v>898</v>
      </c>
      <c r="Z3568" s="11">
        <v>7.3</v>
      </c>
      <c r="AA3568" s="11">
        <v>2.35</v>
      </c>
      <c r="AB3568" s="11">
        <v>23000</v>
      </c>
      <c r="AC3568" s="11"/>
      <c r="AD3568" s="11" t="str">
        <f>IFERROR(__xludf.DUMMYFUNCTION("""COMPUTED_VALUE"""),"Christopher Sommers")</f>
        <v>Christopher Sommers</v>
      </c>
      <c r="AE3568" s="11"/>
    </row>
    <row r="3569" customHeight="1" spans="1:31">
      <c r="A3569" s="12" t="s">
        <v>30</v>
      </c>
      <c r="B3569" s="12" t="s">
        <v>693</v>
      </c>
      <c r="C3569" s="12">
        <v>149</v>
      </c>
      <c r="D3569" s="12">
        <v>105</v>
      </c>
      <c r="E3569" s="12">
        <v>905</v>
      </c>
      <c r="F3569" s="12">
        <v>466</v>
      </c>
      <c r="G3569" s="12">
        <v>27000</v>
      </c>
      <c r="H3569" s="12">
        <v>2338695</v>
      </c>
      <c r="I3569" s="12" t="s">
        <v>2126</v>
      </c>
      <c r="J3569" s="12" t="s">
        <v>61</v>
      </c>
      <c r="K3569" s="12" t="s">
        <v>4725</v>
      </c>
      <c r="L3569" s="12" t="s">
        <v>4394</v>
      </c>
      <c r="M3569" s="12" t="s">
        <v>16909</v>
      </c>
      <c r="N3569" s="12">
        <v>134070</v>
      </c>
      <c r="O3569" s="12">
        <v>29277</v>
      </c>
      <c r="P3569" s="12">
        <v>1</v>
      </c>
      <c r="Q3569" s="12" t="s">
        <v>16910</v>
      </c>
      <c r="R3569" s="15" t="s">
        <v>16911</v>
      </c>
      <c r="S3569" s="12">
        <v>263</v>
      </c>
      <c r="T3569" s="12" t="s">
        <v>39</v>
      </c>
      <c r="U3569" s="12" t="s">
        <v>58</v>
      </c>
      <c r="V3569" s="12" t="s">
        <v>586</v>
      </c>
      <c r="W3569" s="12">
        <v>4000000</v>
      </c>
      <c r="X3569" s="12">
        <v>2004</v>
      </c>
      <c r="Y3569" s="12">
        <v>594</v>
      </c>
      <c r="Z3569" s="12">
        <v>7.4</v>
      </c>
      <c r="AA3569" s="12">
        <v>2.35</v>
      </c>
      <c r="AB3569" s="12">
        <v>0</v>
      </c>
      <c r="AC3569" s="12"/>
      <c r="AD3569" s="12" t="str">
        <f>IFERROR(__xludf.DUMMYFUNCTION("""COMPUTED_VALUE"""),"John Enos III")</f>
        <v>John Enos III</v>
      </c>
      <c r="AE3569" s="12"/>
    </row>
    <row r="3570" customHeight="1" spans="1:31">
      <c r="A3570" s="11" t="s">
        <v>30</v>
      </c>
      <c r="B3570" s="11" t="s">
        <v>16912</v>
      </c>
      <c r="C3570" s="11">
        <v>4</v>
      </c>
      <c r="D3570" s="11">
        <v>100</v>
      </c>
      <c r="E3570" s="11">
        <v>0</v>
      </c>
      <c r="F3570" s="11">
        <v>266</v>
      </c>
      <c r="G3570" s="11">
        <v>1000</v>
      </c>
      <c r="H3570" s="11">
        <v>2024854</v>
      </c>
      <c r="I3570" s="11" t="s">
        <v>1766</v>
      </c>
      <c r="J3570" s="11" t="s">
        <v>16913</v>
      </c>
      <c r="K3570" s="11" t="s">
        <v>16369</v>
      </c>
      <c r="L3570" s="11" t="s">
        <v>12898</v>
      </c>
      <c r="M3570" s="11" t="s">
        <v>16914</v>
      </c>
      <c r="N3570" s="11">
        <v>564</v>
      </c>
      <c r="O3570" s="11">
        <v>1942</v>
      </c>
      <c r="P3570" s="11">
        <v>2</v>
      </c>
      <c r="Q3570" s="11" t="s">
        <v>16915</v>
      </c>
      <c r="R3570" s="14" t="s">
        <v>16916</v>
      </c>
      <c r="S3570" s="11">
        <v>21</v>
      </c>
      <c r="T3570" s="11" t="s">
        <v>39</v>
      </c>
      <c r="U3570" s="11" t="s">
        <v>40</v>
      </c>
      <c r="V3570" s="11" t="s">
        <v>41</v>
      </c>
      <c r="W3570" s="11">
        <v>6500000</v>
      </c>
      <c r="X3570" s="11">
        <v>2005</v>
      </c>
      <c r="Y3570" s="11">
        <v>373</v>
      </c>
      <c r="Z3570" s="11">
        <v>6.6</v>
      </c>
      <c r="AA3570" s="11">
        <v>2.35</v>
      </c>
      <c r="AB3570" s="11">
        <v>19</v>
      </c>
      <c r="AC3570" s="11"/>
      <c r="AD3570" s="11" t="str">
        <f>IFERROR(__xludf.DUMMYFUNCTION("""COMPUTED_VALUE"""),"Lauren German")</f>
        <v>Lauren German</v>
      </c>
      <c r="AE3570" s="11"/>
    </row>
    <row r="3571" customHeight="1" spans="1:31">
      <c r="A3571" s="12" t="s">
        <v>30</v>
      </c>
      <c r="B3571" s="12" t="s">
        <v>16917</v>
      </c>
      <c r="C3571" s="12">
        <v>200</v>
      </c>
      <c r="D3571" s="12">
        <v>116</v>
      </c>
      <c r="E3571" s="12">
        <v>129</v>
      </c>
      <c r="F3571" s="12">
        <v>782</v>
      </c>
      <c r="G3571" s="12">
        <v>10000</v>
      </c>
      <c r="H3571" s="12">
        <v>2268296</v>
      </c>
      <c r="I3571" s="12" t="s">
        <v>4075</v>
      </c>
      <c r="J3571" s="12" t="s">
        <v>229</v>
      </c>
      <c r="K3571" s="12" t="s">
        <v>689</v>
      </c>
      <c r="L3571" s="12" t="s">
        <v>9427</v>
      </c>
      <c r="M3571" s="12" t="s">
        <v>16918</v>
      </c>
      <c r="N3571" s="12">
        <v>41856</v>
      </c>
      <c r="O3571" s="12">
        <v>13180</v>
      </c>
      <c r="P3571" s="12">
        <v>4</v>
      </c>
      <c r="Q3571" s="12" t="s">
        <v>16919</v>
      </c>
      <c r="R3571" s="15" t="s">
        <v>16920</v>
      </c>
      <c r="S3571" s="12">
        <v>119</v>
      </c>
      <c r="T3571" s="12" t="s">
        <v>39</v>
      </c>
      <c r="U3571" s="12" t="s">
        <v>58</v>
      </c>
      <c r="V3571" s="12" t="s">
        <v>41</v>
      </c>
      <c r="W3571" s="12">
        <v>6500000</v>
      </c>
      <c r="X3571" s="12">
        <v>2013</v>
      </c>
      <c r="Y3571" s="12">
        <v>918</v>
      </c>
      <c r="Z3571" s="12">
        <v>6.9</v>
      </c>
      <c r="AA3571" s="12">
        <v>2.35</v>
      </c>
      <c r="AB3571" s="12">
        <v>12000</v>
      </c>
      <c r="AC3571" s="12"/>
      <c r="AD3571" s="12" t="str">
        <f>IFERROR(__xludf.DUMMYFUNCTION("""COMPUTED_VALUE"""),"Robert Prosky")</f>
        <v>Robert Prosky</v>
      </c>
      <c r="AE3571" s="12"/>
    </row>
    <row r="3572" customHeight="1" spans="1:31">
      <c r="A3572" s="11" t="s">
        <v>30</v>
      </c>
      <c r="B3572" s="11" t="s">
        <v>12924</v>
      </c>
      <c r="C3572" s="11">
        <v>84</v>
      </c>
      <c r="D3572" s="11">
        <v>97</v>
      </c>
      <c r="E3572" s="11">
        <v>15</v>
      </c>
      <c r="F3572" s="11">
        <v>874</v>
      </c>
      <c r="G3572" s="11">
        <v>18000</v>
      </c>
      <c r="H3572" s="11">
        <v>1029017</v>
      </c>
      <c r="I3572" s="11" t="s">
        <v>214</v>
      </c>
      <c r="J3572" s="11" t="s">
        <v>438</v>
      </c>
      <c r="K3572" s="11" t="s">
        <v>1053</v>
      </c>
      <c r="L3572" s="11" t="s">
        <v>5105</v>
      </c>
      <c r="M3572" s="11" t="s">
        <v>16921</v>
      </c>
      <c r="N3572" s="11">
        <v>12049</v>
      </c>
      <c r="O3572" s="11">
        <v>21107</v>
      </c>
      <c r="P3572" s="11">
        <v>2</v>
      </c>
      <c r="Q3572" s="11" t="s">
        <v>16922</v>
      </c>
      <c r="R3572" s="14" t="s">
        <v>16923</v>
      </c>
      <c r="S3572" s="11">
        <v>135</v>
      </c>
      <c r="T3572" s="11" t="s">
        <v>39</v>
      </c>
      <c r="U3572" s="11" t="s">
        <v>40</v>
      </c>
      <c r="V3572" s="11" t="s">
        <v>586</v>
      </c>
      <c r="W3572" s="11">
        <v>6500000</v>
      </c>
      <c r="X3572" s="11">
        <v>2004</v>
      </c>
      <c r="Y3572" s="11">
        <v>986</v>
      </c>
      <c r="Z3572" s="11">
        <v>6.8</v>
      </c>
      <c r="AA3572" s="11">
        <v>2.35</v>
      </c>
      <c r="AB3572" s="11">
        <v>1000</v>
      </c>
      <c r="AC3572" s="11"/>
      <c r="AD3572" s="11" t="str">
        <f>IFERROR(__xludf.DUMMYFUNCTION("""COMPUTED_VALUE"""),"Eric Mabius")</f>
        <v>Eric Mabius</v>
      </c>
      <c r="AE3572" s="11"/>
    </row>
    <row r="3573" customHeight="1" spans="1:31">
      <c r="A3573" s="12" t="s">
        <v>30</v>
      </c>
      <c r="B3573" s="12" t="s">
        <v>16924</v>
      </c>
      <c r="C3573" s="12">
        <v>28</v>
      </c>
      <c r="D3573" s="12">
        <v>106</v>
      </c>
      <c r="E3573" s="12">
        <v>19</v>
      </c>
      <c r="F3573" s="12">
        <v>0</v>
      </c>
      <c r="G3573" s="12">
        <v>844</v>
      </c>
      <c r="H3573" s="12">
        <v>64148</v>
      </c>
      <c r="I3573" s="12" t="s">
        <v>3410</v>
      </c>
      <c r="J3573" s="12" t="s">
        <v>3518</v>
      </c>
      <c r="K3573" s="12" t="s">
        <v>16925</v>
      </c>
      <c r="L3573" s="12" t="s">
        <v>16926</v>
      </c>
      <c r="M3573" s="12" t="s">
        <v>16927</v>
      </c>
      <c r="N3573" s="12">
        <v>2601</v>
      </c>
      <c r="O3573" s="12">
        <v>846</v>
      </c>
      <c r="P3573" s="12">
        <v>0</v>
      </c>
      <c r="Q3573" s="12" t="s">
        <v>16928</v>
      </c>
      <c r="R3573" s="15" t="s">
        <v>16929</v>
      </c>
      <c r="S3573" s="12">
        <v>35</v>
      </c>
      <c r="T3573" s="12" t="s">
        <v>39</v>
      </c>
      <c r="U3573" s="12" t="s">
        <v>58</v>
      </c>
      <c r="V3573" s="16"/>
      <c r="W3573" s="12">
        <v>6500000</v>
      </c>
      <c r="X3573" s="12">
        <v>2000</v>
      </c>
      <c r="Y3573" s="12">
        <v>2</v>
      </c>
      <c r="Z3573" s="12">
        <v>7.3</v>
      </c>
      <c r="AA3573" s="12">
        <v>1.85</v>
      </c>
      <c r="AB3573" s="12">
        <v>260</v>
      </c>
      <c r="AC3573" s="12"/>
      <c r="AD3573" s="12" t="str">
        <f>IFERROR(__xludf.DUMMYFUNCTION("""COMPUTED_VALUE"""),"Shawnee Smith")</f>
        <v>Shawnee Smith</v>
      </c>
      <c r="AE3573" s="12"/>
    </row>
    <row r="3574" customHeight="1" spans="1:31">
      <c r="A3574" s="11" t="s">
        <v>30</v>
      </c>
      <c r="B3574" s="11" t="s">
        <v>16930</v>
      </c>
      <c r="C3574" s="11">
        <v>217</v>
      </c>
      <c r="D3574" s="11">
        <v>105</v>
      </c>
      <c r="E3574" s="11">
        <v>38</v>
      </c>
      <c r="F3574" s="11">
        <v>706</v>
      </c>
      <c r="G3574" s="11">
        <v>12000</v>
      </c>
      <c r="H3574" s="11">
        <v>66637</v>
      </c>
      <c r="I3574" s="11" t="s">
        <v>5605</v>
      </c>
      <c r="J3574" s="11" t="s">
        <v>272</v>
      </c>
      <c r="K3574" s="11" t="s">
        <v>8423</v>
      </c>
      <c r="L3574" s="11" t="s">
        <v>14358</v>
      </c>
      <c r="M3574" s="11" t="s">
        <v>16931</v>
      </c>
      <c r="N3574" s="11">
        <v>29608</v>
      </c>
      <c r="O3574" s="11">
        <v>14462</v>
      </c>
      <c r="P3574" s="11">
        <v>0</v>
      </c>
      <c r="Q3574" s="11" t="s">
        <v>16932</v>
      </c>
      <c r="R3574" s="14" t="s">
        <v>16933</v>
      </c>
      <c r="S3574" s="11">
        <v>92</v>
      </c>
      <c r="T3574" s="11" t="s">
        <v>39</v>
      </c>
      <c r="U3574" s="11" t="s">
        <v>40</v>
      </c>
      <c r="V3574" s="11" t="s">
        <v>586</v>
      </c>
      <c r="W3574" s="11">
        <v>6500000</v>
      </c>
      <c r="X3574" s="11">
        <v>2009</v>
      </c>
      <c r="Y3574" s="11">
        <v>712</v>
      </c>
      <c r="Z3574" s="11">
        <v>7.2</v>
      </c>
      <c r="AA3574" s="11">
        <v>2.35</v>
      </c>
      <c r="AB3574" s="11">
        <v>0</v>
      </c>
      <c r="AC3574" s="11"/>
      <c r="AD3574" s="11" t="str">
        <f>IFERROR(__xludf.DUMMYFUNCTION("""COMPUTED_VALUE"""),"George Newbern")</f>
        <v>George Newbern</v>
      </c>
      <c r="AE3574" s="11"/>
    </row>
    <row r="3575" customHeight="1" spans="1:31">
      <c r="A3575" s="12" t="s">
        <v>30</v>
      </c>
      <c r="B3575" s="12" t="s">
        <v>16934</v>
      </c>
      <c r="C3575" s="12">
        <v>12</v>
      </c>
      <c r="D3575" s="12">
        <v>102</v>
      </c>
      <c r="E3575" s="12">
        <v>9</v>
      </c>
      <c r="F3575" s="12">
        <v>368</v>
      </c>
      <c r="G3575" s="12">
        <v>1000</v>
      </c>
      <c r="H3575" s="16"/>
      <c r="I3575" s="12" t="s">
        <v>16935</v>
      </c>
      <c r="J3575" s="12" t="s">
        <v>392</v>
      </c>
      <c r="K3575" s="12" t="s">
        <v>6186</v>
      </c>
      <c r="L3575" s="12" t="s">
        <v>316</v>
      </c>
      <c r="M3575" s="12" t="s">
        <v>16936</v>
      </c>
      <c r="N3575" s="12">
        <v>2892</v>
      </c>
      <c r="O3575" s="12">
        <v>1904</v>
      </c>
      <c r="P3575" s="12">
        <v>0</v>
      </c>
      <c r="Q3575" s="12" t="s">
        <v>16937</v>
      </c>
      <c r="R3575" s="15" t="s">
        <v>16938</v>
      </c>
      <c r="S3575" s="12">
        <v>18</v>
      </c>
      <c r="T3575" s="12" t="s">
        <v>39</v>
      </c>
      <c r="U3575" s="12" t="s">
        <v>180</v>
      </c>
      <c r="V3575" s="12" t="s">
        <v>586</v>
      </c>
      <c r="W3575" s="12">
        <v>6500000</v>
      </c>
      <c r="X3575" s="12">
        <v>2010</v>
      </c>
      <c r="Y3575" s="12">
        <v>433</v>
      </c>
      <c r="Z3575" s="12">
        <v>6.5</v>
      </c>
      <c r="AA3575" s="12">
        <v>2.35</v>
      </c>
      <c r="AB3575" s="12">
        <v>830</v>
      </c>
      <c r="AC3575" s="12"/>
      <c r="AD3575" s="12" t="str">
        <f>IFERROR(__xludf.DUMMYFUNCTION("""COMPUTED_VALUE"""),"Sid Caesar")</f>
        <v>Sid Caesar</v>
      </c>
      <c r="AE3575" s="12"/>
    </row>
    <row r="3576" customHeight="1" spans="1:31">
      <c r="A3576" s="11" t="s">
        <v>748</v>
      </c>
      <c r="B3576" s="11" t="s">
        <v>10842</v>
      </c>
      <c r="C3576" s="11">
        <v>183</v>
      </c>
      <c r="D3576" s="11">
        <v>122</v>
      </c>
      <c r="E3576" s="11">
        <v>210</v>
      </c>
      <c r="F3576" s="11">
        <v>471</v>
      </c>
      <c r="G3576" s="11">
        <v>845</v>
      </c>
      <c r="H3576" s="11">
        <v>871577</v>
      </c>
      <c r="I3576" s="11" t="s">
        <v>4297</v>
      </c>
      <c r="J3576" s="11" t="s">
        <v>567</v>
      </c>
      <c r="K3576" s="11" t="s">
        <v>75</v>
      </c>
      <c r="L3576" s="11" t="s">
        <v>7125</v>
      </c>
      <c r="M3576" s="11" t="s">
        <v>16939</v>
      </c>
      <c r="N3576" s="11">
        <v>51353</v>
      </c>
      <c r="O3576" s="11">
        <v>2614</v>
      </c>
      <c r="P3576" s="11">
        <v>1</v>
      </c>
      <c r="Q3576" s="11" t="s">
        <v>16940</v>
      </c>
      <c r="R3576" s="14" t="s">
        <v>16941</v>
      </c>
      <c r="S3576" s="11">
        <v>143</v>
      </c>
      <c r="T3576" s="11" t="s">
        <v>39</v>
      </c>
      <c r="U3576" s="11" t="s">
        <v>58</v>
      </c>
      <c r="V3576" s="11" t="s">
        <v>586</v>
      </c>
      <c r="W3576" s="11">
        <v>4500000</v>
      </c>
      <c r="X3576" s="11">
        <v>2007</v>
      </c>
      <c r="Y3576" s="11">
        <v>631</v>
      </c>
      <c r="Z3576" s="11">
        <v>7.7</v>
      </c>
      <c r="AA3576" s="11">
        <v>2.35</v>
      </c>
      <c r="AB3576" s="11">
        <v>13000</v>
      </c>
      <c r="AC3576" s="11"/>
      <c r="AD3576" s="11" t="str">
        <f>IFERROR(__xludf.DUMMYFUNCTION("""COMPUTED_VALUE"""),"Alicia Keys")</f>
        <v>Alicia Keys</v>
      </c>
      <c r="AE3576" s="11"/>
    </row>
    <row r="3577" customHeight="1" spans="1:31">
      <c r="A3577" s="12" t="s">
        <v>30</v>
      </c>
      <c r="B3577" s="12" t="s">
        <v>31</v>
      </c>
      <c r="C3577" s="12">
        <v>204</v>
      </c>
      <c r="D3577" s="12">
        <v>107</v>
      </c>
      <c r="E3577" s="12">
        <v>0</v>
      </c>
      <c r="F3577" s="12">
        <v>255</v>
      </c>
      <c r="G3577" s="12">
        <v>2000</v>
      </c>
      <c r="H3577" s="12">
        <v>38400000</v>
      </c>
      <c r="I3577" s="12" t="s">
        <v>648</v>
      </c>
      <c r="J3577" s="12" t="s">
        <v>3008</v>
      </c>
      <c r="K3577" s="12" t="s">
        <v>4522</v>
      </c>
      <c r="L3577" s="12" t="s">
        <v>12334</v>
      </c>
      <c r="M3577" s="12" t="s">
        <v>16942</v>
      </c>
      <c r="N3577" s="12">
        <v>600266</v>
      </c>
      <c r="O3577" s="12">
        <v>3582</v>
      </c>
      <c r="P3577" s="12">
        <v>1</v>
      </c>
      <c r="Q3577" s="12" t="s">
        <v>16943</v>
      </c>
      <c r="R3577" s="15" t="s">
        <v>16944</v>
      </c>
      <c r="S3577" s="12">
        <v>692</v>
      </c>
      <c r="T3577" s="12" t="s">
        <v>39</v>
      </c>
      <c r="U3577" s="12" t="s">
        <v>58</v>
      </c>
      <c r="V3577" s="12" t="s">
        <v>586</v>
      </c>
      <c r="W3577" s="12">
        <v>6500000</v>
      </c>
      <c r="X3577" s="12">
        <v>1984</v>
      </c>
      <c r="Y3577" s="12">
        <v>663</v>
      </c>
      <c r="Z3577" s="12">
        <v>8.1</v>
      </c>
      <c r="AA3577" s="12">
        <v>1.85</v>
      </c>
      <c r="AB3577" s="12">
        <v>13000</v>
      </c>
      <c r="AC3577" s="12"/>
      <c r="AD3577" s="12" t="str">
        <f>IFERROR(__xludf.DUMMYFUNCTION("""COMPUTED_VALUE"""),"Peter Berg")</f>
        <v>Peter Berg</v>
      </c>
      <c r="AE3577" s="12"/>
    </row>
    <row r="3578" customHeight="1" spans="1:31">
      <c r="A3578" s="11" t="s">
        <v>748</v>
      </c>
      <c r="B3578" s="11" t="s">
        <v>16945</v>
      </c>
      <c r="C3578" s="11">
        <v>153</v>
      </c>
      <c r="D3578" s="11">
        <v>121</v>
      </c>
      <c r="E3578" s="11">
        <v>31</v>
      </c>
      <c r="F3578" s="11">
        <v>43</v>
      </c>
      <c r="G3578" s="11">
        <v>65</v>
      </c>
      <c r="H3578" s="11">
        <v>4063859</v>
      </c>
      <c r="I3578" s="11" t="s">
        <v>214</v>
      </c>
      <c r="J3578" s="11" t="s">
        <v>16946</v>
      </c>
      <c r="K3578" s="11" t="s">
        <v>16947</v>
      </c>
      <c r="L3578" s="11" t="s">
        <v>12021</v>
      </c>
      <c r="M3578" s="11" t="s">
        <v>16948</v>
      </c>
      <c r="N3578" s="11">
        <v>114407</v>
      </c>
      <c r="O3578" s="11">
        <v>200</v>
      </c>
      <c r="P3578" s="11">
        <v>2</v>
      </c>
      <c r="Q3578" s="11" t="s">
        <v>16949</v>
      </c>
      <c r="R3578" s="14" t="s">
        <v>16950</v>
      </c>
      <c r="S3578" s="11">
        <v>225</v>
      </c>
      <c r="T3578" s="11" t="s">
        <v>8732</v>
      </c>
      <c r="U3578" s="11" t="s">
        <v>768</v>
      </c>
      <c r="V3578" s="11" t="s">
        <v>586</v>
      </c>
      <c r="W3578" s="11">
        <v>4800000</v>
      </c>
      <c r="X3578" s="11">
        <v>2003</v>
      </c>
      <c r="Y3578" s="11">
        <v>51</v>
      </c>
      <c r="Z3578" s="11">
        <v>7.7</v>
      </c>
      <c r="AA3578" s="11">
        <v>1.85</v>
      </c>
      <c r="AB3578" s="11">
        <v>11000</v>
      </c>
      <c r="AC3578" s="11"/>
      <c r="AD3578" s="11" t="str">
        <f>IFERROR(__xludf.DUMMYFUNCTION("""COMPUTED_VALUE"""),"Steven Bauer")</f>
        <v>Steven Bauer</v>
      </c>
      <c r="AE3578" s="11"/>
    </row>
    <row r="3579" customHeight="1" spans="1:31">
      <c r="A3579" s="12" t="s">
        <v>30</v>
      </c>
      <c r="B3579" s="12" t="s">
        <v>3665</v>
      </c>
      <c r="C3579" s="12">
        <v>145</v>
      </c>
      <c r="D3579" s="12">
        <v>98</v>
      </c>
      <c r="E3579" s="12">
        <v>0</v>
      </c>
      <c r="F3579" s="12">
        <v>27</v>
      </c>
      <c r="G3579" s="12">
        <v>1000</v>
      </c>
      <c r="H3579" s="12">
        <v>449558</v>
      </c>
      <c r="I3579" s="12" t="s">
        <v>1635</v>
      </c>
      <c r="J3579" s="12" t="s">
        <v>160</v>
      </c>
      <c r="K3579" s="12" t="s">
        <v>16951</v>
      </c>
      <c r="L3579" s="12" t="s">
        <v>16952</v>
      </c>
      <c r="M3579" s="12" t="s">
        <v>16953</v>
      </c>
      <c r="N3579" s="12">
        <v>32307</v>
      </c>
      <c r="O3579" s="12">
        <v>1163</v>
      </c>
      <c r="P3579" s="12">
        <v>2</v>
      </c>
      <c r="Q3579" s="12" t="s">
        <v>16954</v>
      </c>
      <c r="R3579" s="15" t="s">
        <v>16955</v>
      </c>
      <c r="S3579" s="12">
        <v>75</v>
      </c>
      <c r="T3579" s="12" t="s">
        <v>39</v>
      </c>
      <c r="U3579" s="12" t="s">
        <v>58</v>
      </c>
      <c r="V3579" s="12" t="s">
        <v>586</v>
      </c>
      <c r="W3579" s="12">
        <v>10000000</v>
      </c>
      <c r="X3579" s="12">
        <v>2009</v>
      </c>
      <c r="Y3579" s="12">
        <v>54</v>
      </c>
      <c r="Z3579" s="12">
        <v>7.6</v>
      </c>
      <c r="AA3579" s="12">
        <v>1.85</v>
      </c>
      <c r="AB3579" s="12">
        <v>0</v>
      </c>
      <c r="AC3579" s="12"/>
      <c r="AD3579" s="12" t="str">
        <f>IFERROR(__xludf.DUMMYFUNCTION("""COMPUTED_VALUE"""),"Gabrielle Carteris")</f>
        <v>Gabrielle Carteris</v>
      </c>
      <c r="AE3579" s="12"/>
    </row>
    <row r="3580" customHeight="1" spans="1:31">
      <c r="A3580" s="11" t="s">
        <v>30</v>
      </c>
      <c r="B3580" s="11" t="s">
        <v>16956</v>
      </c>
      <c r="C3580" s="11">
        <v>203</v>
      </c>
      <c r="D3580" s="11">
        <v>108</v>
      </c>
      <c r="E3580" s="11">
        <v>228</v>
      </c>
      <c r="F3580" s="11">
        <v>358</v>
      </c>
      <c r="G3580" s="11">
        <v>431</v>
      </c>
      <c r="H3580" s="13"/>
      <c r="I3580" s="11" t="s">
        <v>12640</v>
      </c>
      <c r="J3580" s="11" t="s">
        <v>16957</v>
      </c>
      <c r="K3580" s="11" t="s">
        <v>16958</v>
      </c>
      <c r="L3580" s="11" t="s">
        <v>16959</v>
      </c>
      <c r="M3580" s="11" t="s">
        <v>16960</v>
      </c>
      <c r="N3580" s="11">
        <v>39856</v>
      </c>
      <c r="O3580" s="11">
        <v>2020</v>
      </c>
      <c r="P3580" s="11">
        <v>0</v>
      </c>
      <c r="Q3580" s="11" t="s">
        <v>16961</v>
      </c>
      <c r="R3580" s="14" t="s">
        <v>16962</v>
      </c>
      <c r="S3580" s="11">
        <v>300</v>
      </c>
      <c r="T3580" s="11" t="s">
        <v>39</v>
      </c>
      <c r="U3580" s="11" t="s">
        <v>40</v>
      </c>
      <c r="V3580" s="11" t="s">
        <v>586</v>
      </c>
      <c r="W3580" s="11">
        <v>4000000</v>
      </c>
      <c r="X3580" s="11">
        <v>1985</v>
      </c>
      <c r="Y3580" s="11">
        <v>426</v>
      </c>
      <c r="Z3580" s="11">
        <v>7.3</v>
      </c>
      <c r="AA3580" s="11">
        <v>1.85</v>
      </c>
      <c r="AB3580" s="11">
        <v>0</v>
      </c>
      <c r="AC3580" s="11"/>
      <c r="AD3580" s="11" t="str">
        <f>IFERROR(__xludf.DUMMYFUNCTION("""COMPUTED_VALUE"""),"Louise Fletcher")</f>
        <v>Louise Fletcher</v>
      </c>
      <c r="AE3580" s="11"/>
    </row>
    <row r="3581" customHeight="1" spans="1:31">
      <c r="A3581" s="12" t="s">
        <v>30</v>
      </c>
      <c r="B3581" s="16"/>
      <c r="C3581" s="12">
        <v>10</v>
      </c>
      <c r="D3581" s="12">
        <v>55</v>
      </c>
      <c r="E3581" s="16"/>
      <c r="F3581" s="12">
        <v>5</v>
      </c>
      <c r="G3581" s="12">
        <v>18</v>
      </c>
      <c r="H3581" s="16"/>
      <c r="I3581" s="12" t="s">
        <v>2126</v>
      </c>
      <c r="J3581" s="12" t="s">
        <v>16963</v>
      </c>
      <c r="K3581" s="12" t="s">
        <v>16964</v>
      </c>
      <c r="L3581" s="12" t="s">
        <v>16965</v>
      </c>
      <c r="M3581" s="12" t="s">
        <v>16966</v>
      </c>
      <c r="N3581" s="12">
        <v>9638</v>
      </c>
      <c r="O3581" s="12">
        <v>39</v>
      </c>
      <c r="P3581" s="12">
        <v>5</v>
      </c>
      <c r="Q3581" s="16"/>
      <c r="R3581" s="15" t="s">
        <v>16967</v>
      </c>
      <c r="S3581" s="12">
        <v>25</v>
      </c>
      <c r="T3581" s="12" t="s">
        <v>9796</v>
      </c>
      <c r="U3581" s="12" t="s">
        <v>7091</v>
      </c>
      <c r="V3581" s="12" t="s">
        <v>2636</v>
      </c>
      <c r="W3581" s="16"/>
      <c r="X3581" s="16"/>
      <c r="Y3581" s="12">
        <v>9</v>
      </c>
      <c r="Z3581" s="12">
        <v>8.7</v>
      </c>
      <c r="AA3581" s="12">
        <v>1.85</v>
      </c>
      <c r="AB3581" s="12">
        <v>0</v>
      </c>
      <c r="AC3581" s="12"/>
      <c r="AD3581" s="12" t="str">
        <f>IFERROR(__xludf.DUMMYFUNCTION("""COMPUTED_VALUE"""),"Bud Cort")</f>
        <v>Bud Cort</v>
      </c>
      <c r="AE3581" s="12"/>
    </row>
    <row r="3582" customHeight="1" spans="1:31">
      <c r="A3582" s="11" t="s">
        <v>30</v>
      </c>
      <c r="B3582" s="11" t="s">
        <v>7135</v>
      </c>
      <c r="C3582" s="11">
        <v>93</v>
      </c>
      <c r="D3582" s="11">
        <v>123</v>
      </c>
      <c r="E3582" s="11">
        <v>0</v>
      </c>
      <c r="F3582" s="11">
        <v>781</v>
      </c>
      <c r="G3582" s="11">
        <v>1000</v>
      </c>
      <c r="H3582" s="11">
        <v>2122561</v>
      </c>
      <c r="I3582" s="11" t="s">
        <v>1681</v>
      </c>
      <c r="J3582" s="11" t="s">
        <v>2084</v>
      </c>
      <c r="K3582" s="11" t="s">
        <v>10432</v>
      </c>
      <c r="L3582" s="11" t="s">
        <v>8089</v>
      </c>
      <c r="M3582" s="11" t="s">
        <v>16968</v>
      </c>
      <c r="N3582" s="11">
        <v>99033</v>
      </c>
      <c r="O3582" s="11">
        <v>3254</v>
      </c>
      <c r="P3582" s="11">
        <v>6</v>
      </c>
      <c r="Q3582" s="11" t="s">
        <v>16969</v>
      </c>
      <c r="R3582" s="14" t="s">
        <v>16970</v>
      </c>
      <c r="S3582" s="11">
        <v>434</v>
      </c>
      <c r="T3582" s="11" t="s">
        <v>39</v>
      </c>
      <c r="U3582" s="11" t="s">
        <v>40</v>
      </c>
      <c r="V3582" s="11" t="s">
        <v>586</v>
      </c>
      <c r="W3582" s="11">
        <v>6000000</v>
      </c>
      <c r="X3582" s="11">
        <v>1995</v>
      </c>
      <c r="Y3582" s="11">
        <v>898</v>
      </c>
      <c r="Z3582" s="11">
        <v>7.2</v>
      </c>
      <c r="AA3582" s="11">
        <v>1.85</v>
      </c>
      <c r="AB3582" s="11">
        <v>0</v>
      </c>
      <c r="AC3582" s="11"/>
      <c r="AD3582" s="11" t="str">
        <f>IFERROR(__xludf.DUMMYFUNCTION("""COMPUTED_VALUE"""),"Fiona Glascott")</f>
        <v>Fiona Glascott</v>
      </c>
      <c r="AE3582" s="11"/>
    </row>
    <row r="3583" customHeight="1" spans="1:31">
      <c r="A3583" s="12" t="s">
        <v>30</v>
      </c>
      <c r="B3583" s="12" t="s">
        <v>13412</v>
      </c>
      <c r="C3583" s="12">
        <v>124</v>
      </c>
      <c r="D3583" s="12">
        <v>110</v>
      </c>
      <c r="E3583" s="12">
        <v>116</v>
      </c>
      <c r="F3583" s="12">
        <v>898</v>
      </c>
      <c r="G3583" s="12">
        <v>1000</v>
      </c>
      <c r="H3583" s="12">
        <v>181360000</v>
      </c>
      <c r="I3583" s="12" t="s">
        <v>16971</v>
      </c>
      <c r="J3583" s="12" t="s">
        <v>16972</v>
      </c>
      <c r="K3583" s="12" t="s">
        <v>4136</v>
      </c>
      <c r="L3583" s="12" t="s">
        <v>14556</v>
      </c>
      <c r="M3583" s="12" t="s">
        <v>16973</v>
      </c>
      <c r="N3583" s="12">
        <v>170027</v>
      </c>
      <c r="O3583" s="12">
        <v>5127</v>
      </c>
      <c r="P3583" s="12">
        <v>2</v>
      </c>
      <c r="Q3583" s="12" t="s">
        <v>16974</v>
      </c>
      <c r="R3583" s="15" t="s">
        <v>16975</v>
      </c>
      <c r="S3583" s="12">
        <v>350</v>
      </c>
      <c r="T3583" s="12" t="s">
        <v>39</v>
      </c>
      <c r="U3583" s="12" t="s">
        <v>40</v>
      </c>
      <c r="V3583" s="12" t="s">
        <v>41</v>
      </c>
      <c r="W3583" s="12">
        <v>6000000</v>
      </c>
      <c r="X3583" s="12">
        <v>1978</v>
      </c>
      <c r="Y3583" s="12">
        <v>944</v>
      </c>
      <c r="Z3583" s="12">
        <v>7.2</v>
      </c>
      <c r="AA3583" s="12">
        <v>2.35</v>
      </c>
      <c r="AB3583" s="12">
        <v>13000</v>
      </c>
      <c r="AC3583" s="12"/>
      <c r="AD3583" s="12" t="str">
        <f>IFERROR(__xludf.DUMMYFUNCTION("""COMPUTED_VALUE"""),"Eva Birthistle")</f>
        <v>Eva Birthistle</v>
      </c>
      <c r="AE3583" s="12"/>
    </row>
    <row r="3584" customHeight="1" spans="1:31">
      <c r="A3584" s="11" t="s">
        <v>30</v>
      </c>
      <c r="B3584" s="11" t="s">
        <v>761</v>
      </c>
      <c r="C3584" s="11">
        <v>120</v>
      </c>
      <c r="D3584" s="11">
        <v>120</v>
      </c>
      <c r="E3584" s="11">
        <v>0</v>
      </c>
      <c r="F3584" s="11">
        <v>576</v>
      </c>
      <c r="G3584" s="11">
        <v>40000</v>
      </c>
      <c r="H3584" s="11">
        <v>137963328</v>
      </c>
      <c r="I3584" s="11" t="s">
        <v>3397</v>
      </c>
      <c r="J3584" s="11" t="s">
        <v>44</v>
      </c>
      <c r="K3584" s="11" t="s">
        <v>4834</v>
      </c>
      <c r="L3584" s="11" t="s">
        <v>3058</v>
      </c>
      <c r="M3584" s="11" t="s">
        <v>16976</v>
      </c>
      <c r="N3584" s="11">
        <v>291603</v>
      </c>
      <c r="O3584" s="11">
        <v>42028</v>
      </c>
      <c r="P3584" s="11">
        <v>0</v>
      </c>
      <c r="Q3584" s="11" t="s">
        <v>16977</v>
      </c>
      <c r="R3584" s="14" t="s">
        <v>16978</v>
      </c>
      <c r="S3584" s="11">
        <v>505</v>
      </c>
      <c r="T3584" s="11" t="s">
        <v>39</v>
      </c>
      <c r="U3584" s="11" t="s">
        <v>58</v>
      </c>
      <c r="V3584" s="11" t="s">
        <v>586</v>
      </c>
      <c r="W3584" s="11">
        <v>6000000</v>
      </c>
      <c r="X3584" s="11">
        <v>1986</v>
      </c>
      <c r="Y3584" s="11">
        <v>854</v>
      </c>
      <c r="Z3584" s="11">
        <v>8.1</v>
      </c>
      <c r="AA3584" s="11">
        <v>1.85</v>
      </c>
      <c r="AB3584" s="11">
        <v>9000</v>
      </c>
      <c r="AC3584" s="11"/>
      <c r="AD3584" s="11" t="str">
        <f>IFERROR(__xludf.DUMMYFUNCTION("""COMPUTED_VALUE"""),"Hardy Krüger")</f>
        <v>Hardy Krüger</v>
      </c>
      <c r="AE3584" s="11"/>
    </row>
    <row r="3585" customHeight="1" spans="1:31">
      <c r="A3585" s="12" t="s">
        <v>30</v>
      </c>
      <c r="B3585" s="12" t="s">
        <v>3807</v>
      </c>
      <c r="C3585" s="12">
        <v>288</v>
      </c>
      <c r="D3585" s="12">
        <v>122</v>
      </c>
      <c r="E3585" s="12">
        <v>909</v>
      </c>
      <c r="F3585" s="12">
        <v>282</v>
      </c>
      <c r="G3585" s="12">
        <v>503</v>
      </c>
      <c r="H3585" s="12">
        <v>119078393</v>
      </c>
      <c r="I3585" s="12" t="s">
        <v>16979</v>
      </c>
      <c r="J3585" s="12" t="s">
        <v>16980</v>
      </c>
      <c r="K3585" s="12" t="s">
        <v>16981</v>
      </c>
      <c r="L3585" s="12" t="s">
        <v>16982</v>
      </c>
      <c r="M3585" s="12" t="s">
        <v>16983</v>
      </c>
      <c r="N3585" s="12">
        <v>113152</v>
      </c>
      <c r="O3585" s="12">
        <v>1448</v>
      </c>
      <c r="P3585" s="12">
        <v>0</v>
      </c>
      <c r="Q3585" s="12" t="s">
        <v>16984</v>
      </c>
      <c r="R3585" s="15" t="s">
        <v>16985</v>
      </c>
      <c r="S3585" s="12">
        <v>1416</v>
      </c>
      <c r="T3585" s="12" t="s">
        <v>39</v>
      </c>
      <c r="U3585" s="12" t="s">
        <v>40</v>
      </c>
      <c r="V3585" s="12" t="s">
        <v>586</v>
      </c>
      <c r="W3585" s="12">
        <v>6000000</v>
      </c>
      <c r="X3585" s="12">
        <v>2004</v>
      </c>
      <c r="Y3585" s="12">
        <v>328</v>
      </c>
      <c r="Z3585" s="12">
        <v>7.5</v>
      </c>
      <c r="AA3585" s="12">
        <v>1.85</v>
      </c>
      <c r="AB3585" s="12">
        <v>0</v>
      </c>
      <c r="AC3585" s="12"/>
      <c r="AD3585" s="12" t="str">
        <f>IFERROR(__xludf.DUMMYFUNCTION("""COMPUTED_VALUE"""),"Sheridan Smith")</f>
        <v>Sheridan Smith</v>
      </c>
      <c r="AE3585" s="12"/>
    </row>
    <row r="3586" customHeight="1" spans="1:31">
      <c r="A3586" s="11" t="s">
        <v>30</v>
      </c>
      <c r="B3586" s="11" t="s">
        <v>16986</v>
      </c>
      <c r="C3586" s="11">
        <v>130</v>
      </c>
      <c r="D3586" s="11">
        <v>110</v>
      </c>
      <c r="E3586" s="11">
        <v>131</v>
      </c>
      <c r="F3586" s="11">
        <v>399</v>
      </c>
      <c r="G3586" s="11">
        <v>640</v>
      </c>
      <c r="H3586" s="11">
        <v>102308900</v>
      </c>
      <c r="I3586" s="11" t="s">
        <v>16987</v>
      </c>
      <c r="J3586" s="11" t="s">
        <v>16988</v>
      </c>
      <c r="K3586" s="11" t="s">
        <v>16989</v>
      </c>
      <c r="L3586" s="11" t="s">
        <v>16990</v>
      </c>
      <c r="M3586" s="11" t="s">
        <v>16991</v>
      </c>
      <c r="N3586" s="11">
        <v>152089</v>
      </c>
      <c r="O3586" s="11">
        <v>2169</v>
      </c>
      <c r="P3586" s="11">
        <v>1</v>
      </c>
      <c r="Q3586" s="11" t="s">
        <v>16992</v>
      </c>
      <c r="R3586" s="14" t="s">
        <v>16993</v>
      </c>
      <c r="S3586" s="11">
        <v>309</v>
      </c>
      <c r="T3586" s="11" t="s">
        <v>39</v>
      </c>
      <c r="U3586" s="11" t="s">
        <v>40</v>
      </c>
      <c r="V3586" s="11" t="s">
        <v>16052</v>
      </c>
      <c r="W3586" s="11">
        <v>6000000</v>
      </c>
      <c r="X3586" s="11">
        <v>1969</v>
      </c>
      <c r="Y3586" s="11">
        <v>566</v>
      </c>
      <c r="Z3586" s="11">
        <v>8.1</v>
      </c>
      <c r="AA3586" s="11">
        <v>2.35</v>
      </c>
      <c r="AB3586" s="11">
        <v>0</v>
      </c>
      <c r="AC3586" s="11"/>
      <c r="AD3586" s="11" t="str">
        <f>IFERROR(__xludf.DUMMYFUNCTION("""COMPUTED_VALUE"""),"Pauline Collins")</f>
        <v>Pauline Collins</v>
      </c>
      <c r="AE3586" s="11"/>
    </row>
    <row r="3587" customHeight="1" spans="1:31">
      <c r="A3587" s="12" t="s">
        <v>30</v>
      </c>
      <c r="B3587" s="12" t="s">
        <v>16994</v>
      </c>
      <c r="C3587" s="12">
        <v>145</v>
      </c>
      <c r="D3587" s="12">
        <v>139</v>
      </c>
      <c r="E3587" s="12">
        <v>55</v>
      </c>
      <c r="F3587" s="12">
        <v>266</v>
      </c>
      <c r="G3587" s="12">
        <v>382</v>
      </c>
      <c r="H3587" s="12">
        <v>102300000</v>
      </c>
      <c r="I3587" s="12" t="s">
        <v>16995</v>
      </c>
      <c r="J3587" s="12" t="s">
        <v>16996</v>
      </c>
      <c r="K3587" s="12" t="s">
        <v>16997</v>
      </c>
      <c r="L3587" s="12" t="s">
        <v>16998</v>
      </c>
      <c r="M3587" s="12" t="s">
        <v>16999</v>
      </c>
      <c r="N3587" s="12">
        <v>107408</v>
      </c>
      <c r="O3587" s="12">
        <v>2045</v>
      </c>
      <c r="P3587" s="12">
        <v>2</v>
      </c>
      <c r="Q3587" s="12" t="s">
        <v>17000</v>
      </c>
      <c r="R3587" s="15" t="s">
        <v>17001</v>
      </c>
      <c r="S3587" s="12">
        <v>259</v>
      </c>
      <c r="T3587" s="12" t="s">
        <v>39</v>
      </c>
      <c r="U3587" s="12" t="s">
        <v>40</v>
      </c>
      <c r="V3587" s="12" t="s">
        <v>6037</v>
      </c>
      <c r="W3587" s="12">
        <v>6000000</v>
      </c>
      <c r="X3587" s="12">
        <v>1964</v>
      </c>
      <c r="Y3587" s="12">
        <v>279</v>
      </c>
      <c r="Z3587" s="12">
        <v>7.8</v>
      </c>
      <c r="AA3587" s="12">
        <v>1.66</v>
      </c>
      <c r="AB3587" s="12">
        <v>0</v>
      </c>
      <c r="AC3587" s="12"/>
      <c r="AD3587" s="12" t="str">
        <f>IFERROR(__xludf.DUMMYFUNCTION("""COMPUTED_VALUE"""),"Patricia Tallman")</f>
        <v>Patricia Tallman</v>
      </c>
      <c r="AE3587" s="12"/>
    </row>
    <row r="3588" customHeight="1" spans="1:31">
      <c r="A3588" s="11" t="s">
        <v>30</v>
      </c>
      <c r="B3588" s="11" t="s">
        <v>4042</v>
      </c>
      <c r="C3588" s="11">
        <v>62</v>
      </c>
      <c r="D3588" s="11">
        <v>124</v>
      </c>
      <c r="E3588" s="11">
        <v>0</v>
      </c>
      <c r="F3588" s="11">
        <v>535</v>
      </c>
      <c r="G3588" s="11">
        <v>2000</v>
      </c>
      <c r="H3588" s="11">
        <v>54800000</v>
      </c>
      <c r="I3588" s="11" t="s">
        <v>3410</v>
      </c>
      <c r="J3588" s="11" t="s">
        <v>1523</v>
      </c>
      <c r="K3588" s="11" t="s">
        <v>8937</v>
      </c>
      <c r="L3588" s="11" t="s">
        <v>636</v>
      </c>
      <c r="M3588" s="11" t="s">
        <v>17002</v>
      </c>
      <c r="N3588" s="11">
        <v>35130</v>
      </c>
      <c r="O3588" s="11">
        <v>5122</v>
      </c>
      <c r="P3588" s="11">
        <v>3</v>
      </c>
      <c r="Q3588" s="11" t="s">
        <v>17003</v>
      </c>
      <c r="R3588" s="14" t="s">
        <v>17004</v>
      </c>
      <c r="S3588" s="11">
        <v>283</v>
      </c>
      <c r="T3588" s="11" t="s">
        <v>39</v>
      </c>
      <c r="U3588" s="11" t="s">
        <v>40</v>
      </c>
      <c r="V3588" s="11" t="s">
        <v>586</v>
      </c>
      <c r="W3588" s="11">
        <v>6000000</v>
      </c>
      <c r="X3588" s="11">
        <v>1980</v>
      </c>
      <c r="Y3588" s="11">
        <v>553</v>
      </c>
      <c r="Z3588" s="11">
        <v>7.8</v>
      </c>
      <c r="AA3588" s="11">
        <v>1.85</v>
      </c>
      <c r="AB3588" s="11">
        <v>0</v>
      </c>
      <c r="AC3588" s="11"/>
      <c r="AD3588" s="11" t="str">
        <f>IFERROR(__xludf.DUMMYFUNCTION("""COMPUTED_VALUE"""),"Jim Rash")</f>
        <v>Jim Rash</v>
      </c>
      <c r="AE3588" s="11"/>
    </row>
    <row r="3589" customHeight="1" spans="1:31">
      <c r="A3589" s="12" t="s">
        <v>30</v>
      </c>
      <c r="B3589" s="12" t="s">
        <v>1628</v>
      </c>
      <c r="C3589" s="12">
        <v>188</v>
      </c>
      <c r="D3589" s="12">
        <v>120</v>
      </c>
      <c r="E3589" s="12">
        <v>153</v>
      </c>
      <c r="F3589" s="12">
        <v>447</v>
      </c>
      <c r="G3589" s="12">
        <v>1000</v>
      </c>
      <c r="H3589" s="12">
        <v>24004159</v>
      </c>
      <c r="I3589" s="12" t="s">
        <v>1629</v>
      </c>
      <c r="J3589" s="12" t="s">
        <v>393</v>
      </c>
      <c r="K3589" s="12" t="s">
        <v>813</v>
      </c>
      <c r="L3589" s="12" t="s">
        <v>1630</v>
      </c>
      <c r="M3589" s="12" t="s">
        <v>1631</v>
      </c>
      <c r="N3589" s="12">
        <v>68722</v>
      </c>
      <c r="O3589" s="12">
        <v>3175</v>
      </c>
      <c r="P3589" s="12">
        <v>0</v>
      </c>
      <c r="Q3589" s="12" t="s">
        <v>1632</v>
      </c>
      <c r="R3589" s="15" t="s">
        <v>1633</v>
      </c>
      <c r="S3589" s="12">
        <v>191</v>
      </c>
      <c r="T3589" s="12" t="s">
        <v>39</v>
      </c>
      <c r="U3589" s="12" t="s">
        <v>40</v>
      </c>
      <c r="V3589" s="12" t="s">
        <v>96</v>
      </c>
      <c r="W3589" s="12">
        <v>110000000</v>
      </c>
      <c r="X3589" s="12">
        <v>2004</v>
      </c>
      <c r="Y3589" s="12">
        <v>1000</v>
      </c>
      <c r="Z3589" s="12">
        <v>5.8</v>
      </c>
      <c r="AA3589" s="12">
        <v>2.35</v>
      </c>
      <c r="AB3589" s="12">
        <v>0</v>
      </c>
      <c r="AC3589" s="12"/>
      <c r="AD3589" s="12" t="str">
        <f>IFERROR(__xludf.DUMMYFUNCTION("""COMPUTED_VALUE"""),"Kevin Tighe")</f>
        <v>Kevin Tighe</v>
      </c>
      <c r="AE3589" s="12"/>
    </row>
    <row r="3590" customHeight="1" spans="1:31">
      <c r="A3590" s="11" t="s">
        <v>30</v>
      </c>
      <c r="B3590" s="11" t="s">
        <v>17005</v>
      </c>
      <c r="C3590" s="11">
        <v>120</v>
      </c>
      <c r="D3590" s="11">
        <v>152</v>
      </c>
      <c r="E3590" s="11">
        <v>34</v>
      </c>
      <c r="F3590" s="11">
        <v>249</v>
      </c>
      <c r="G3590" s="11">
        <v>804</v>
      </c>
      <c r="H3590" s="11">
        <v>43650000</v>
      </c>
      <c r="I3590" s="11" t="s">
        <v>17006</v>
      </c>
      <c r="J3590" s="11" t="s">
        <v>16867</v>
      </c>
      <c r="K3590" s="11" t="s">
        <v>17007</v>
      </c>
      <c r="L3590" s="11" t="s">
        <v>14820</v>
      </c>
      <c r="M3590" s="11" t="s">
        <v>17008</v>
      </c>
      <c r="N3590" s="11">
        <v>71919</v>
      </c>
      <c r="O3590" s="11">
        <v>1802</v>
      </c>
      <c r="P3590" s="11">
        <v>0</v>
      </c>
      <c r="Q3590" s="11" t="s">
        <v>17009</v>
      </c>
      <c r="R3590" s="14" t="s">
        <v>17010</v>
      </c>
      <c r="S3590" s="11">
        <v>316</v>
      </c>
      <c r="T3590" s="11" t="s">
        <v>39</v>
      </c>
      <c r="U3590" s="11" t="s">
        <v>40</v>
      </c>
      <c r="V3590" s="11" t="s">
        <v>5614</v>
      </c>
      <c r="W3590" s="11">
        <v>6000000</v>
      </c>
      <c r="X3590" s="11">
        <v>1961</v>
      </c>
      <c r="Y3590" s="11">
        <v>271</v>
      </c>
      <c r="Z3590" s="11">
        <v>7.6</v>
      </c>
      <c r="AA3590" s="11">
        <v>2.2</v>
      </c>
      <c r="AB3590" s="11">
        <v>0</v>
      </c>
      <c r="AC3590" s="11"/>
      <c r="AD3590" s="11" t="str">
        <f>IFERROR(__xludf.DUMMYFUNCTION("""COMPUTED_VALUE"""),"Alan Van Sprang")</f>
        <v>Alan Van Sprang</v>
      </c>
      <c r="AE3590" s="11"/>
    </row>
    <row r="3591" customHeight="1" spans="1:31">
      <c r="A3591" s="12" t="s">
        <v>30</v>
      </c>
      <c r="B3591" s="12" t="s">
        <v>4219</v>
      </c>
      <c r="C3591" s="12">
        <v>71</v>
      </c>
      <c r="D3591" s="12">
        <v>98</v>
      </c>
      <c r="E3591" s="12">
        <v>11000</v>
      </c>
      <c r="F3591" s="12">
        <v>484</v>
      </c>
      <c r="G3591" s="12">
        <v>13000</v>
      </c>
      <c r="H3591" s="12">
        <v>39800000</v>
      </c>
      <c r="I3591" s="12" t="s">
        <v>3914</v>
      </c>
      <c r="J3591" s="12" t="s">
        <v>549</v>
      </c>
      <c r="K3591" s="12" t="s">
        <v>17011</v>
      </c>
      <c r="L3591" s="12" t="s">
        <v>5576</v>
      </c>
      <c r="M3591" s="12" t="s">
        <v>17012</v>
      </c>
      <c r="N3591" s="12">
        <v>81599</v>
      </c>
      <c r="O3591" s="12">
        <v>14921</v>
      </c>
      <c r="P3591" s="12">
        <v>3</v>
      </c>
      <c r="Q3591" s="12" t="s">
        <v>17013</v>
      </c>
      <c r="R3591" s="15" t="s">
        <v>17014</v>
      </c>
      <c r="S3591" s="12">
        <v>250</v>
      </c>
      <c r="T3591" s="12" t="s">
        <v>39</v>
      </c>
      <c r="U3591" s="12" t="s">
        <v>40</v>
      </c>
      <c r="V3591" s="12" t="s">
        <v>586</v>
      </c>
      <c r="W3591" s="12">
        <v>6000000</v>
      </c>
      <c r="X3591" s="12">
        <v>1980</v>
      </c>
      <c r="Y3591" s="12">
        <v>573</v>
      </c>
      <c r="Z3591" s="12">
        <v>7.4</v>
      </c>
      <c r="AA3591" s="12">
        <v>1.85</v>
      </c>
      <c r="AB3591" s="12">
        <v>0</v>
      </c>
      <c r="AC3591" s="12"/>
      <c r="AD3591" s="12" t="str">
        <f>IFERROR(__xludf.DUMMYFUNCTION("""COMPUTED_VALUE"""),"Scott Handy")</f>
        <v>Scott Handy</v>
      </c>
      <c r="AE3591" s="12"/>
    </row>
    <row r="3592" customHeight="1" spans="1:31">
      <c r="A3592" s="11" t="s">
        <v>30</v>
      </c>
      <c r="B3592" s="11" t="s">
        <v>17015</v>
      </c>
      <c r="C3592" s="11">
        <v>52</v>
      </c>
      <c r="D3592" s="11">
        <v>106</v>
      </c>
      <c r="E3592" s="11">
        <v>10</v>
      </c>
      <c r="F3592" s="11">
        <v>578</v>
      </c>
      <c r="G3592" s="11">
        <v>3000</v>
      </c>
      <c r="H3592" s="11">
        <v>27457409</v>
      </c>
      <c r="I3592" s="11" t="s">
        <v>2528</v>
      </c>
      <c r="J3592" s="11" t="s">
        <v>5446</v>
      </c>
      <c r="K3592" s="11" t="s">
        <v>9095</v>
      </c>
      <c r="L3592" s="11" t="s">
        <v>1661</v>
      </c>
      <c r="M3592" s="11" t="s">
        <v>17016</v>
      </c>
      <c r="N3592" s="11">
        <v>3198</v>
      </c>
      <c r="O3592" s="11">
        <v>6419</v>
      </c>
      <c r="P3592" s="11">
        <v>4</v>
      </c>
      <c r="Q3592" s="11" t="s">
        <v>17017</v>
      </c>
      <c r="R3592" s="14" t="s">
        <v>17018</v>
      </c>
      <c r="S3592" s="11">
        <v>43</v>
      </c>
      <c r="T3592" s="11" t="s">
        <v>39</v>
      </c>
      <c r="U3592" s="11" t="s">
        <v>40</v>
      </c>
      <c r="V3592" s="11" t="s">
        <v>586</v>
      </c>
      <c r="W3592" s="11">
        <v>6000000</v>
      </c>
      <c r="X3592" s="11">
        <v>2001</v>
      </c>
      <c r="Y3592" s="11">
        <v>685</v>
      </c>
      <c r="Z3592" s="11">
        <v>6.3</v>
      </c>
      <c r="AA3592" s="11">
        <v>1.85</v>
      </c>
      <c r="AB3592" s="11">
        <v>478</v>
      </c>
      <c r="AC3592" s="11"/>
      <c r="AD3592" s="11" t="str">
        <f>IFERROR(__xludf.DUMMYFUNCTION("""COMPUTED_VALUE"""),"Jimi Mistry")</f>
        <v>Jimi Mistry</v>
      </c>
      <c r="AE3592" s="11"/>
    </row>
    <row r="3593" customHeight="1" spans="1:31">
      <c r="A3593" s="12" t="s">
        <v>30</v>
      </c>
      <c r="B3593" s="12" t="s">
        <v>13455</v>
      </c>
      <c r="C3593" s="12">
        <v>18</v>
      </c>
      <c r="D3593" s="12">
        <v>106</v>
      </c>
      <c r="E3593" s="12">
        <v>44</v>
      </c>
      <c r="F3593" s="12">
        <v>328</v>
      </c>
      <c r="G3593" s="12">
        <v>865</v>
      </c>
      <c r="H3593" s="12">
        <v>25047631</v>
      </c>
      <c r="I3593" s="12" t="s">
        <v>1415</v>
      </c>
      <c r="J3593" s="12" t="s">
        <v>5969</v>
      </c>
      <c r="K3593" s="12" t="s">
        <v>7156</v>
      </c>
      <c r="L3593" s="12" t="s">
        <v>7589</v>
      </c>
      <c r="M3593" s="12" t="s">
        <v>17019</v>
      </c>
      <c r="N3593" s="12">
        <v>6585</v>
      </c>
      <c r="O3593" s="12">
        <v>2724</v>
      </c>
      <c r="P3593" s="12">
        <v>0</v>
      </c>
      <c r="Q3593" s="12" t="s">
        <v>17020</v>
      </c>
      <c r="R3593" s="15" t="s">
        <v>17021</v>
      </c>
      <c r="S3593" s="12">
        <v>50</v>
      </c>
      <c r="T3593" s="12" t="s">
        <v>39</v>
      </c>
      <c r="U3593" s="12" t="s">
        <v>40</v>
      </c>
      <c r="V3593" s="12" t="s">
        <v>586</v>
      </c>
      <c r="W3593" s="12">
        <v>6000000</v>
      </c>
      <c r="X3593" s="12">
        <v>1999</v>
      </c>
      <c r="Y3593" s="12">
        <v>405</v>
      </c>
      <c r="Z3593" s="12">
        <v>6.9</v>
      </c>
      <c r="AA3593" s="12">
        <v>1.85</v>
      </c>
      <c r="AB3593" s="12">
        <v>990</v>
      </c>
      <c r="AC3593" s="12"/>
      <c r="AD3593" s="12" t="str">
        <f>IFERROR(__xludf.DUMMYFUNCTION("""COMPUTED_VALUE"""),"Alex Karpovsky")</f>
        <v>Alex Karpovsky</v>
      </c>
      <c r="AE3593" s="12"/>
    </row>
    <row r="3594" customHeight="1" spans="1:31">
      <c r="A3594" s="11" t="s">
        <v>30</v>
      </c>
      <c r="B3594" s="11" t="s">
        <v>119</v>
      </c>
      <c r="C3594" s="11">
        <v>162</v>
      </c>
      <c r="D3594" s="11">
        <v>106</v>
      </c>
      <c r="E3594" s="11">
        <v>0</v>
      </c>
      <c r="F3594" s="11">
        <v>574</v>
      </c>
      <c r="G3594" s="11">
        <v>18000</v>
      </c>
      <c r="H3594" s="11">
        <v>23272306</v>
      </c>
      <c r="I3594" s="11" t="s">
        <v>2142</v>
      </c>
      <c r="J3594" s="11" t="s">
        <v>120</v>
      </c>
      <c r="K3594" s="11" t="s">
        <v>1654</v>
      </c>
      <c r="L3594" s="11" t="s">
        <v>3236</v>
      </c>
      <c r="M3594" s="11" t="s">
        <v>17022</v>
      </c>
      <c r="N3594" s="11">
        <v>740918</v>
      </c>
      <c r="O3594" s="11">
        <v>20821</v>
      </c>
      <c r="P3594" s="11">
        <v>4</v>
      </c>
      <c r="Q3594" s="11" t="s">
        <v>17023</v>
      </c>
      <c r="R3594" s="14" t="s">
        <v>17024</v>
      </c>
      <c r="S3594" s="11">
        <v>1182</v>
      </c>
      <c r="T3594" s="11" t="s">
        <v>39</v>
      </c>
      <c r="U3594" s="11" t="s">
        <v>40</v>
      </c>
      <c r="V3594" s="11" t="s">
        <v>586</v>
      </c>
      <c r="W3594" s="11">
        <v>6000000</v>
      </c>
      <c r="X3594" s="11">
        <v>1995</v>
      </c>
      <c r="Y3594" s="11">
        <v>979</v>
      </c>
      <c r="Z3594" s="11">
        <v>8.6</v>
      </c>
      <c r="AA3594" s="11">
        <v>2.35</v>
      </c>
      <c r="AB3594" s="11">
        <v>28000</v>
      </c>
      <c r="AC3594" s="11"/>
      <c r="AD3594" s="11" t="str">
        <f>IFERROR(__xludf.DUMMYFUNCTION("""COMPUTED_VALUE"""),"Wayne Pygram")</f>
        <v>Wayne Pygram</v>
      </c>
      <c r="AE3594" s="11"/>
    </row>
    <row r="3595" customHeight="1" spans="1:31">
      <c r="A3595" s="12" t="s">
        <v>748</v>
      </c>
      <c r="B3595" s="12" t="s">
        <v>2723</v>
      </c>
      <c r="C3595" s="12">
        <v>88</v>
      </c>
      <c r="D3595" s="12">
        <v>89</v>
      </c>
      <c r="E3595" s="12">
        <v>81</v>
      </c>
      <c r="F3595" s="12">
        <v>92</v>
      </c>
      <c r="G3595" s="12">
        <v>321</v>
      </c>
      <c r="H3595" s="12">
        <v>22168359</v>
      </c>
      <c r="I3595" s="12" t="s">
        <v>17025</v>
      </c>
      <c r="J3595" s="12" t="s">
        <v>17026</v>
      </c>
      <c r="K3595" s="12" t="s">
        <v>17027</v>
      </c>
      <c r="L3595" s="12" t="s">
        <v>17028</v>
      </c>
      <c r="M3595" s="12" t="s">
        <v>17029</v>
      </c>
      <c r="N3595" s="12">
        <v>29659</v>
      </c>
      <c r="O3595" s="12">
        <v>584</v>
      </c>
      <c r="P3595" s="12">
        <v>0</v>
      </c>
      <c r="Q3595" s="12" t="s">
        <v>17030</v>
      </c>
      <c r="R3595" s="15" t="s">
        <v>17031</v>
      </c>
      <c r="S3595" s="12">
        <v>227</v>
      </c>
      <c r="T3595" s="12" t="s">
        <v>39</v>
      </c>
      <c r="U3595" s="12" t="s">
        <v>40</v>
      </c>
      <c r="V3595" s="12" t="s">
        <v>7335</v>
      </c>
      <c r="W3595" s="12">
        <v>8000000</v>
      </c>
      <c r="X3595" s="12">
        <v>1989</v>
      </c>
      <c r="Y3595" s="12">
        <v>101</v>
      </c>
      <c r="Z3595" s="12">
        <v>5.1</v>
      </c>
      <c r="AA3595" s="12">
        <v>1.85</v>
      </c>
      <c r="AB3595" s="12">
        <v>1000</v>
      </c>
      <c r="AC3595" s="12"/>
      <c r="AD3595" s="12" t="str">
        <f>IFERROR(__xludf.DUMMYFUNCTION("""COMPUTED_VALUE"""),"Lisa Pelikan")</f>
        <v>Lisa Pelikan</v>
      </c>
      <c r="AE3595" s="12"/>
    </row>
    <row r="3596" customHeight="1" spans="1:31">
      <c r="A3596" s="11" t="s">
        <v>30</v>
      </c>
      <c r="B3596" s="11" t="s">
        <v>2167</v>
      </c>
      <c r="C3596" s="11">
        <v>96</v>
      </c>
      <c r="D3596" s="11">
        <v>94</v>
      </c>
      <c r="E3596" s="11">
        <v>12</v>
      </c>
      <c r="F3596" s="11">
        <v>583</v>
      </c>
      <c r="G3596" s="11">
        <v>16000</v>
      </c>
      <c r="H3596" s="11">
        <v>21005329</v>
      </c>
      <c r="I3596" s="11" t="s">
        <v>1681</v>
      </c>
      <c r="J3596" s="11" t="s">
        <v>315</v>
      </c>
      <c r="K3596" s="11" t="s">
        <v>6357</v>
      </c>
      <c r="L3596" s="11" t="s">
        <v>17032</v>
      </c>
      <c r="M3596" s="11" t="s">
        <v>17033</v>
      </c>
      <c r="N3596" s="11">
        <v>89128</v>
      </c>
      <c r="O3596" s="11">
        <v>19341</v>
      </c>
      <c r="P3596" s="11">
        <v>0</v>
      </c>
      <c r="Q3596" s="11" t="s">
        <v>17034</v>
      </c>
      <c r="R3596" s="14" t="s">
        <v>17035</v>
      </c>
      <c r="S3596" s="11">
        <v>258</v>
      </c>
      <c r="T3596" s="11" t="s">
        <v>39</v>
      </c>
      <c r="U3596" s="11" t="s">
        <v>768</v>
      </c>
      <c r="V3596" s="11" t="s">
        <v>586</v>
      </c>
      <c r="W3596" s="11">
        <v>6000000</v>
      </c>
      <c r="X3596" s="11">
        <v>2002</v>
      </c>
      <c r="Y3596" s="11">
        <v>876</v>
      </c>
      <c r="Z3596" s="11">
        <v>6.4</v>
      </c>
      <c r="AA3596" s="11">
        <v>1.85</v>
      </c>
      <c r="AB3596" s="11">
        <v>0</v>
      </c>
      <c r="AC3596" s="11"/>
      <c r="AD3596" s="11" t="str">
        <f>IFERROR(__xludf.DUMMYFUNCTION("""COMPUTED_VALUE"""),"Samantha Eggar")</f>
        <v>Samantha Eggar</v>
      </c>
      <c r="AE3596" s="11"/>
    </row>
    <row r="3597" customHeight="1" spans="1:31">
      <c r="A3597" s="12" t="s">
        <v>30</v>
      </c>
      <c r="B3597" s="12" t="s">
        <v>1205</v>
      </c>
      <c r="C3597" s="12">
        <v>391</v>
      </c>
      <c r="D3597" s="12">
        <v>109</v>
      </c>
      <c r="E3597" s="12">
        <v>0</v>
      </c>
      <c r="F3597" s="12">
        <v>120</v>
      </c>
      <c r="G3597" s="12">
        <v>1000</v>
      </c>
      <c r="H3597" s="12">
        <v>26236603</v>
      </c>
      <c r="I3597" s="12" t="s">
        <v>3794</v>
      </c>
      <c r="J3597" s="12" t="s">
        <v>1822</v>
      </c>
      <c r="K3597" s="12" t="s">
        <v>17036</v>
      </c>
      <c r="L3597" s="12" t="s">
        <v>17037</v>
      </c>
      <c r="M3597" s="12" t="s">
        <v>17038</v>
      </c>
      <c r="N3597" s="12">
        <v>251349</v>
      </c>
      <c r="O3597" s="12">
        <v>1582</v>
      </c>
      <c r="P3597" s="12">
        <v>0</v>
      </c>
      <c r="Q3597" s="12" t="s">
        <v>17039</v>
      </c>
      <c r="R3597" s="15" t="s">
        <v>17040</v>
      </c>
      <c r="S3597" s="12">
        <v>547</v>
      </c>
      <c r="T3597" s="12" t="s">
        <v>39</v>
      </c>
      <c r="U3597" s="12" t="s">
        <v>40</v>
      </c>
      <c r="V3597" s="12" t="s">
        <v>586</v>
      </c>
      <c r="W3597" s="12">
        <v>6000000</v>
      </c>
      <c r="X3597" s="12">
        <v>2008</v>
      </c>
      <c r="Y3597" s="12">
        <v>245</v>
      </c>
      <c r="Z3597" s="12">
        <v>7.9</v>
      </c>
      <c r="AA3597" s="12">
        <v>2.35</v>
      </c>
      <c r="AB3597" s="12">
        <v>10000</v>
      </c>
      <c r="AC3597" s="12"/>
      <c r="AD3597" s="12" t="str">
        <f>IFERROR(__xludf.DUMMYFUNCTION("""COMPUTED_VALUE"""),"Phyllida Law")</f>
        <v>Phyllida Law</v>
      </c>
      <c r="AE3597" s="12"/>
    </row>
    <row r="3598" customHeight="1" spans="1:31">
      <c r="A3598" s="11" t="s">
        <v>30</v>
      </c>
      <c r="B3598" s="11" t="s">
        <v>17041</v>
      </c>
      <c r="C3598" s="11">
        <v>32</v>
      </c>
      <c r="D3598" s="11">
        <v>144</v>
      </c>
      <c r="E3598" s="11">
        <v>54</v>
      </c>
      <c r="F3598" s="11">
        <v>332</v>
      </c>
      <c r="G3598" s="11">
        <v>469</v>
      </c>
      <c r="H3598" s="11">
        <v>20400000</v>
      </c>
      <c r="I3598" s="11" t="s">
        <v>4043</v>
      </c>
      <c r="J3598" s="11" t="s">
        <v>9669</v>
      </c>
      <c r="K3598" s="11" t="s">
        <v>17042</v>
      </c>
      <c r="L3598" s="11" t="s">
        <v>17043</v>
      </c>
      <c r="M3598" s="11" t="s">
        <v>17044</v>
      </c>
      <c r="N3598" s="11">
        <v>6304</v>
      </c>
      <c r="O3598" s="11">
        <v>2037</v>
      </c>
      <c r="P3598" s="11">
        <v>0</v>
      </c>
      <c r="Q3598" s="11" t="s">
        <v>17045</v>
      </c>
      <c r="R3598" s="14" t="s">
        <v>17046</v>
      </c>
      <c r="S3598" s="11">
        <v>87</v>
      </c>
      <c r="T3598" s="11" t="s">
        <v>39</v>
      </c>
      <c r="U3598" s="11" t="s">
        <v>40</v>
      </c>
      <c r="V3598" s="11" t="s">
        <v>5614</v>
      </c>
      <c r="W3598" s="11">
        <v>8000000</v>
      </c>
      <c r="X3598" s="11">
        <v>1946</v>
      </c>
      <c r="Y3598" s="11">
        <v>436</v>
      </c>
      <c r="Z3598" s="11">
        <v>6.9</v>
      </c>
      <c r="AA3598" s="11">
        <v>1.37</v>
      </c>
      <c r="AB3598" s="11">
        <v>403</v>
      </c>
      <c r="AC3598" s="11"/>
      <c r="AD3598" s="11" t="str">
        <f>IFERROR(__xludf.DUMMYFUNCTION("""COMPUTED_VALUE"""),"David Kennedy")</f>
        <v>David Kennedy</v>
      </c>
      <c r="AE3598" s="11"/>
    </row>
    <row r="3599" customHeight="1" spans="1:31">
      <c r="A3599" s="12" t="s">
        <v>30</v>
      </c>
      <c r="B3599" s="12" t="s">
        <v>11226</v>
      </c>
      <c r="C3599" s="12">
        <v>119</v>
      </c>
      <c r="D3599" s="12">
        <v>90</v>
      </c>
      <c r="E3599" s="12">
        <v>378</v>
      </c>
      <c r="F3599" s="12">
        <v>658</v>
      </c>
      <c r="G3599" s="12">
        <v>957</v>
      </c>
      <c r="H3599" s="12">
        <v>18621249</v>
      </c>
      <c r="I3599" s="12" t="s">
        <v>1672</v>
      </c>
      <c r="J3599" s="12" t="s">
        <v>1010</v>
      </c>
      <c r="K3599" s="12" t="s">
        <v>1802</v>
      </c>
      <c r="L3599" s="12" t="s">
        <v>2788</v>
      </c>
      <c r="M3599" s="12" t="s">
        <v>17047</v>
      </c>
      <c r="N3599" s="12">
        <v>45859</v>
      </c>
      <c r="O3599" s="12">
        <v>4611</v>
      </c>
      <c r="P3599" s="12">
        <v>9</v>
      </c>
      <c r="Q3599" s="12" t="s">
        <v>17048</v>
      </c>
      <c r="R3599" s="15" t="s">
        <v>17049</v>
      </c>
      <c r="S3599" s="12">
        <v>340</v>
      </c>
      <c r="T3599" s="12" t="s">
        <v>39</v>
      </c>
      <c r="U3599" s="12" t="s">
        <v>40</v>
      </c>
      <c r="V3599" s="12" t="s">
        <v>41</v>
      </c>
      <c r="W3599" s="12">
        <v>6000000</v>
      </c>
      <c r="X3599" s="12">
        <v>2000</v>
      </c>
      <c r="Y3599" s="12">
        <v>925</v>
      </c>
      <c r="Z3599" s="12">
        <v>7.5</v>
      </c>
      <c r="AA3599" s="12">
        <v>1.85</v>
      </c>
      <c r="AB3599" s="12">
        <v>0</v>
      </c>
      <c r="AC3599" s="12"/>
      <c r="AD3599" s="12" t="str">
        <f>IFERROR(__xludf.DUMMYFUNCTION("""COMPUTED_VALUE"""),"Angus Barnett")</f>
        <v>Angus Barnett</v>
      </c>
      <c r="AE3599" s="12"/>
    </row>
    <row r="3600" customHeight="1" spans="1:31">
      <c r="A3600" s="11" t="s">
        <v>30</v>
      </c>
      <c r="B3600" s="11" t="s">
        <v>5368</v>
      </c>
      <c r="C3600" s="11">
        <v>201</v>
      </c>
      <c r="D3600" s="11">
        <v>106</v>
      </c>
      <c r="E3600" s="11">
        <v>0</v>
      </c>
      <c r="F3600" s="11">
        <v>381</v>
      </c>
      <c r="G3600" s="11">
        <v>742</v>
      </c>
      <c r="H3600" s="11">
        <v>25244700</v>
      </c>
      <c r="I3600" s="11" t="s">
        <v>648</v>
      </c>
      <c r="J3600" s="11" t="s">
        <v>10179</v>
      </c>
      <c r="K3600" s="11" t="s">
        <v>2499</v>
      </c>
      <c r="L3600" s="11" t="s">
        <v>17050</v>
      </c>
      <c r="M3600" s="11" t="s">
        <v>17051</v>
      </c>
      <c r="N3600" s="11">
        <v>91017</v>
      </c>
      <c r="O3600" s="11">
        <v>2270</v>
      </c>
      <c r="P3600" s="11">
        <v>1</v>
      </c>
      <c r="Q3600" s="11" t="s">
        <v>17052</v>
      </c>
      <c r="R3600" s="14" t="s">
        <v>17053</v>
      </c>
      <c r="S3600" s="11">
        <v>284</v>
      </c>
      <c r="T3600" s="11" t="s">
        <v>39</v>
      </c>
      <c r="U3600" s="11" t="s">
        <v>58</v>
      </c>
      <c r="V3600" s="11" t="s">
        <v>586</v>
      </c>
      <c r="W3600" s="11">
        <v>6000000</v>
      </c>
      <c r="X3600" s="11">
        <v>1981</v>
      </c>
      <c r="Y3600" s="11">
        <v>602</v>
      </c>
      <c r="Z3600" s="11">
        <v>7.2</v>
      </c>
      <c r="AA3600" s="11">
        <v>2.35</v>
      </c>
      <c r="AB3600" s="11">
        <v>0</v>
      </c>
      <c r="AC3600" s="11"/>
      <c r="AD3600" s="11" t="str">
        <f>IFERROR(__xludf.DUMMYFUNCTION("""COMPUTED_VALUE"""),"Geoff Bell")</f>
        <v>Geoff Bell</v>
      </c>
      <c r="AE3600" s="11"/>
    </row>
    <row r="3601" customHeight="1" spans="1:31">
      <c r="A3601" s="12" t="s">
        <v>30</v>
      </c>
      <c r="B3601" s="12" t="s">
        <v>5077</v>
      </c>
      <c r="C3601" s="12">
        <v>22</v>
      </c>
      <c r="D3601" s="12">
        <v>121</v>
      </c>
      <c r="E3601" s="12">
        <v>0</v>
      </c>
      <c r="F3601" s="12">
        <v>182</v>
      </c>
      <c r="G3601" s="12">
        <v>413</v>
      </c>
      <c r="H3601" s="12">
        <v>14545844</v>
      </c>
      <c r="I3601" s="12" t="s">
        <v>16848</v>
      </c>
      <c r="J3601" s="12" t="s">
        <v>8398</v>
      </c>
      <c r="K3601" s="12" t="s">
        <v>17054</v>
      </c>
      <c r="L3601" s="12" t="s">
        <v>7028</v>
      </c>
      <c r="M3601" s="12" t="s">
        <v>17055</v>
      </c>
      <c r="N3601" s="12">
        <v>4756</v>
      </c>
      <c r="O3601" s="12">
        <v>1284</v>
      </c>
      <c r="P3601" s="12">
        <v>4</v>
      </c>
      <c r="Q3601" s="12" t="s">
        <v>17056</v>
      </c>
      <c r="R3601" s="15" t="s">
        <v>17057</v>
      </c>
      <c r="S3601" s="12">
        <v>38</v>
      </c>
      <c r="T3601" s="12" t="s">
        <v>39</v>
      </c>
      <c r="U3601" s="12" t="s">
        <v>40</v>
      </c>
      <c r="V3601" s="12" t="s">
        <v>586</v>
      </c>
      <c r="W3601" s="12">
        <v>6500000</v>
      </c>
      <c r="X3601" s="12">
        <v>1988</v>
      </c>
      <c r="Y3601" s="12">
        <v>282</v>
      </c>
      <c r="Z3601" s="12">
        <v>5.8</v>
      </c>
      <c r="AA3601" s="12">
        <v>1.85</v>
      </c>
      <c r="AB3601" s="12">
        <v>624</v>
      </c>
      <c r="AC3601" s="12"/>
      <c r="AD3601" s="12" t="str">
        <f>IFERROR(__xludf.DUMMYFUNCTION("""COMPUTED_VALUE"""),"Scott Patterson")</f>
        <v>Scott Patterson</v>
      </c>
      <c r="AE3601" s="12"/>
    </row>
    <row r="3602" customHeight="1" spans="1:31">
      <c r="A3602" s="11" t="s">
        <v>30</v>
      </c>
      <c r="B3602" s="11" t="s">
        <v>17058</v>
      </c>
      <c r="C3602" s="11">
        <v>52</v>
      </c>
      <c r="D3602" s="11">
        <v>89</v>
      </c>
      <c r="E3602" s="11">
        <v>0</v>
      </c>
      <c r="F3602" s="11">
        <v>405</v>
      </c>
      <c r="G3602" s="11">
        <v>555</v>
      </c>
      <c r="H3602" s="11">
        <v>13235267</v>
      </c>
      <c r="I3602" s="11" t="s">
        <v>3057</v>
      </c>
      <c r="J3602" s="11" t="s">
        <v>5546</v>
      </c>
      <c r="K3602" s="11" t="s">
        <v>5576</v>
      </c>
      <c r="L3602" s="11" t="s">
        <v>7156</v>
      </c>
      <c r="M3602" s="11" t="s">
        <v>17059</v>
      </c>
      <c r="N3602" s="11">
        <v>12339</v>
      </c>
      <c r="O3602" s="11">
        <v>1752</v>
      </c>
      <c r="P3602" s="11">
        <v>2</v>
      </c>
      <c r="Q3602" s="11" t="s">
        <v>17060</v>
      </c>
      <c r="R3602" s="14" t="s">
        <v>17061</v>
      </c>
      <c r="S3602" s="11">
        <v>32</v>
      </c>
      <c r="T3602" s="11" t="s">
        <v>39</v>
      </c>
      <c r="U3602" s="11" t="s">
        <v>40</v>
      </c>
      <c r="V3602" s="11" t="s">
        <v>96</v>
      </c>
      <c r="W3602" s="11">
        <v>6000000</v>
      </c>
      <c r="X3602" s="11">
        <v>2007</v>
      </c>
      <c r="Y3602" s="11">
        <v>484</v>
      </c>
      <c r="Z3602" s="11">
        <v>2.9</v>
      </c>
      <c r="AA3602" s="11">
        <v>1.85</v>
      </c>
      <c r="AB3602" s="11">
        <v>256</v>
      </c>
      <c r="AC3602" s="11"/>
      <c r="AD3602" s="11" t="str">
        <f>IFERROR(__xludf.DUMMYFUNCTION("""COMPUTED_VALUE"""),"John Cassavetes")</f>
        <v>John Cassavetes</v>
      </c>
      <c r="AE3602" s="11"/>
    </row>
    <row r="3603" customHeight="1" spans="1:31">
      <c r="A3603" s="12" t="s">
        <v>30</v>
      </c>
      <c r="B3603" s="12" t="s">
        <v>11505</v>
      </c>
      <c r="C3603" s="12">
        <v>63</v>
      </c>
      <c r="D3603" s="12">
        <v>86</v>
      </c>
      <c r="E3603" s="12">
        <v>472</v>
      </c>
      <c r="F3603" s="12">
        <v>64</v>
      </c>
      <c r="G3603" s="12">
        <v>472</v>
      </c>
      <c r="H3603" s="12">
        <v>12674183</v>
      </c>
      <c r="I3603" s="12" t="s">
        <v>1753</v>
      </c>
      <c r="J3603" s="12" t="s">
        <v>11505</v>
      </c>
      <c r="K3603" s="12" t="s">
        <v>17062</v>
      </c>
      <c r="L3603" s="12" t="s">
        <v>17063</v>
      </c>
      <c r="M3603" s="12" t="s">
        <v>17064</v>
      </c>
      <c r="N3603" s="12">
        <v>19774</v>
      </c>
      <c r="O3603" s="12">
        <v>773</v>
      </c>
      <c r="P3603" s="12">
        <v>1</v>
      </c>
      <c r="Q3603" s="12" t="s">
        <v>17065</v>
      </c>
      <c r="R3603" s="15" t="s">
        <v>17066</v>
      </c>
      <c r="S3603" s="12">
        <v>70</v>
      </c>
      <c r="T3603" s="12" t="s">
        <v>39</v>
      </c>
      <c r="U3603" s="12" t="s">
        <v>3860</v>
      </c>
      <c r="V3603" s="12" t="s">
        <v>41</v>
      </c>
      <c r="W3603" s="16"/>
      <c r="X3603" s="12">
        <v>1997</v>
      </c>
      <c r="Y3603" s="12">
        <v>155</v>
      </c>
      <c r="Z3603" s="12">
        <v>6.2</v>
      </c>
      <c r="AA3603" s="12">
        <v>2.35</v>
      </c>
      <c r="AB3603" s="12">
        <v>355</v>
      </c>
      <c r="AC3603" s="12"/>
      <c r="AD3603" s="12" t="str">
        <f>IFERROR(__xludf.DUMMYFUNCTION("""COMPUTED_VALUE"""),"Britt Ekland")</f>
        <v>Britt Ekland</v>
      </c>
      <c r="AE3603" s="12"/>
    </row>
    <row r="3604" customHeight="1" spans="1:31">
      <c r="A3604" s="11" t="s">
        <v>30</v>
      </c>
      <c r="B3604" s="11" t="s">
        <v>11226</v>
      </c>
      <c r="C3604" s="11">
        <v>97</v>
      </c>
      <c r="D3604" s="11">
        <v>91</v>
      </c>
      <c r="E3604" s="11">
        <v>378</v>
      </c>
      <c r="F3604" s="11">
        <v>345</v>
      </c>
      <c r="G3604" s="11">
        <v>658</v>
      </c>
      <c r="H3604" s="11">
        <v>17508936</v>
      </c>
      <c r="I3604" s="11" t="s">
        <v>6419</v>
      </c>
      <c r="J3604" s="11" t="s">
        <v>2788</v>
      </c>
      <c r="K3604" s="11" t="s">
        <v>11226</v>
      </c>
      <c r="L3604" s="11" t="s">
        <v>15350</v>
      </c>
      <c r="M3604" s="11" t="s">
        <v>17067</v>
      </c>
      <c r="N3604" s="11">
        <v>22408</v>
      </c>
      <c r="O3604" s="11">
        <v>1660</v>
      </c>
      <c r="P3604" s="11">
        <v>0</v>
      </c>
      <c r="Q3604" s="11" t="s">
        <v>17068</v>
      </c>
      <c r="R3604" s="14" t="s">
        <v>17069</v>
      </c>
      <c r="S3604" s="11">
        <v>272</v>
      </c>
      <c r="T3604" s="11" t="s">
        <v>39</v>
      </c>
      <c r="U3604" s="11" t="s">
        <v>40</v>
      </c>
      <c r="V3604" s="11" t="s">
        <v>41</v>
      </c>
      <c r="W3604" s="13"/>
      <c r="X3604" s="11">
        <v>2003</v>
      </c>
      <c r="Y3604" s="11">
        <v>378</v>
      </c>
      <c r="Z3604" s="11">
        <v>7.3</v>
      </c>
      <c r="AA3604" s="11">
        <v>1.85</v>
      </c>
      <c r="AB3604" s="11">
        <v>0</v>
      </c>
      <c r="AC3604" s="11"/>
      <c r="AD3604" s="11" t="str">
        <f>IFERROR(__xludf.DUMMYFUNCTION("""COMPUTED_VALUE"""),"Lina Esco")</f>
        <v>Lina Esco</v>
      </c>
      <c r="AE3604" s="11"/>
    </row>
    <row r="3605" customHeight="1" spans="1:31">
      <c r="A3605" s="12" t="s">
        <v>30</v>
      </c>
      <c r="B3605" s="12" t="s">
        <v>4240</v>
      </c>
      <c r="C3605" s="12">
        <v>34</v>
      </c>
      <c r="D3605" s="12">
        <v>104</v>
      </c>
      <c r="E3605" s="12">
        <v>80</v>
      </c>
      <c r="F3605" s="12">
        <v>658</v>
      </c>
      <c r="G3605" s="12">
        <v>8000</v>
      </c>
      <c r="H3605" s="12">
        <v>12793213</v>
      </c>
      <c r="I3605" s="12" t="s">
        <v>1415</v>
      </c>
      <c r="J3605" s="12" t="s">
        <v>1529</v>
      </c>
      <c r="K3605" s="12" t="s">
        <v>2665</v>
      </c>
      <c r="L3605" s="12" t="s">
        <v>5039</v>
      </c>
      <c r="M3605" s="12" t="s">
        <v>17070</v>
      </c>
      <c r="N3605" s="12">
        <v>18286</v>
      </c>
      <c r="O3605" s="12">
        <v>10430</v>
      </c>
      <c r="P3605" s="12">
        <v>4</v>
      </c>
      <c r="Q3605" s="12" t="s">
        <v>17071</v>
      </c>
      <c r="R3605" s="15" t="s">
        <v>17072</v>
      </c>
      <c r="S3605" s="12">
        <v>73</v>
      </c>
      <c r="T3605" s="12" t="s">
        <v>39</v>
      </c>
      <c r="U3605" s="12" t="s">
        <v>40</v>
      </c>
      <c r="V3605" s="12" t="s">
        <v>586</v>
      </c>
      <c r="W3605" s="12">
        <v>6000000</v>
      </c>
      <c r="X3605" s="12">
        <v>1988</v>
      </c>
      <c r="Y3605" s="12">
        <v>960</v>
      </c>
      <c r="Z3605" s="12">
        <v>6.2</v>
      </c>
      <c r="AA3605" s="12">
        <v>1.85</v>
      </c>
      <c r="AB3605" s="12">
        <v>0</v>
      </c>
      <c r="AC3605" s="12"/>
      <c r="AD3605" s="12" t="str">
        <f>IFERROR(__xludf.DUMMYFUNCTION("""COMPUTED_VALUE"""),"Alix Freihage")</f>
        <v>Alix Freihage</v>
      </c>
      <c r="AE3605" s="12"/>
    </row>
    <row r="3606" customHeight="1" spans="1:31">
      <c r="A3606" s="11" t="s">
        <v>30</v>
      </c>
      <c r="B3606" s="13"/>
      <c r="C3606" s="11">
        <v>10</v>
      </c>
      <c r="D3606" s="13"/>
      <c r="E3606" s="13"/>
      <c r="F3606" s="11">
        <v>502</v>
      </c>
      <c r="G3606" s="11">
        <v>1000</v>
      </c>
      <c r="H3606" s="13"/>
      <c r="I3606" s="11" t="s">
        <v>1941</v>
      </c>
      <c r="J3606" s="11" t="s">
        <v>393</v>
      </c>
      <c r="K3606" s="11" t="s">
        <v>12566</v>
      </c>
      <c r="L3606" s="11" t="s">
        <v>879</v>
      </c>
      <c r="M3606" s="11" t="s">
        <v>17073</v>
      </c>
      <c r="N3606" s="11">
        <v>9277</v>
      </c>
      <c r="O3606" s="11">
        <v>4528</v>
      </c>
      <c r="P3606" s="11">
        <v>1</v>
      </c>
      <c r="Q3606" s="11" t="s">
        <v>17074</v>
      </c>
      <c r="R3606" s="14" t="s">
        <v>17075</v>
      </c>
      <c r="S3606" s="11">
        <v>44</v>
      </c>
      <c r="T3606" s="11" t="s">
        <v>39</v>
      </c>
      <c r="U3606" s="11" t="s">
        <v>58</v>
      </c>
      <c r="V3606" s="11" t="s">
        <v>1127</v>
      </c>
      <c r="W3606" s="13"/>
      <c r="X3606" s="13"/>
      <c r="Y3606" s="11">
        <v>888</v>
      </c>
      <c r="Z3606" s="11">
        <v>8.2</v>
      </c>
      <c r="AA3606" s="11">
        <v>16</v>
      </c>
      <c r="AB3606" s="11">
        <v>11000</v>
      </c>
      <c r="AC3606" s="11"/>
      <c r="AD3606" s="11" t="str">
        <f>IFERROR(__xludf.DUMMYFUNCTION("""COMPUTED_VALUE"""),"John Howard")</f>
        <v>John Howard</v>
      </c>
      <c r="AE3606" s="11"/>
    </row>
    <row r="3607" customHeight="1" spans="1:31">
      <c r="A3607" s="12" t="s">
        <v>30</v>
      </c>
      <c r="B3607" s="12" t="s">
        <v>5868</v>
      </c>
      <c r="C3607" s="12">
        <v>88</v>
      </c>
      <c r="D3607" s="12">
        <v>99</v>
      </c>
      <c r="E3607" s="12">
        <v>29</v>
      </c>
      <c r="F3607" s="12">
        <v>161</v>
      </c>
      <c r="G3607" s="12">
        <v>711</v>
      </c>
      <c r="H3607" s="12">
        <v>11883495</v>
      </c>
      <c r="I3607" s="12" t="s">
        <v>2490</v>
      </c>
      <c r="J3607" s="12" t="s">
        <v>530</v>
      </c>
      <c r="K3607" s="12" t="s">
        <v>3604</v>
      </c>
      <c r="L3607" s="12" t="s">
        <v>17076</v>
      </c>
      <c r="M3607" s="12" t="s">
        <v>17077</v>
      </c>
      <c r="N3607" s="12">
        <v>52805</v>
      </c>
      <c r="O3607" s="12">
        <v>1462</v>
      </c>
      <c r="P3607" s="12">
        <v>1</v>
      </c>
      <c r="Q3607" s="12" t="s">
        <v>17078</v>
      </c>
      <c r="R3607" s="15" t="s">
        <v>17079</v>
      </c>
      <c r="S3607" s="12">
        <v>278</v>
      </c>
      <c r="T3607" s="12" t="s">
        <v>39</v>
      </c>
      <c r="U3607" s="12" t="s">
        <v>58</v>
      </c>
      <c r="V3607" s="12" t="s">
        <v>586</v>
      </c>
      <c r="W3607" s="12">
        <v>9000000</v>
      </c>
      <c r="X3607" s="12">
        <v>1998</v>
      </c>
      <c r="Y3607" s="12">
        <v>427</v>
      </c>
      <c r="Z3607" s="12">
        <v>6.8</v>
      </c>
      <c r="AA3607" s="12">
        <v>1.85</v>
      </c>
      <c r="AB3607" s="12">
        <v>0</v>
      </c>
      <c r="AC3607" s="12"/>
      <c r="AD3607" s="12" t="str">
        <f>IFERROR(__xludf.DUMMYFUNCTION("""COMPUTED_VALUE"""),"Deborra-Lee Furness")</f>
        <v>Deborra-Lee Furness</v>
      </c>
      <c r="AE3607" s="12"/>
    </row>
    <row r="3608" customHeight="1" spans="1:31">
      <c r="A3608" s="11" t="s">
        <v>30</v>
      </c>
      <c r="B3608" s="11" t="s">
        <v>17080</v>
      </c>
      <c r="C3608" s="11">
        <v>25</v>
      </c>
      <c r="D3608" s="11">
        <v>98</v>
      </c>
      <c r="E3608" s="11">
        <v>38</v>
      </c>
      <c r="F3608" s="11">
        <v>360</v>
      </c>
      <c r="G3608" s="11">
        <v>1000</v>
      </c>
      <c r="H3608" s="11">
        <v>11797927</v>
      </c>
      <c r="I3608" s="11" t="s">
        <v>12839</v>
      </c>
      <c r="J3608" s="11" t="s">
        <v>13154</v>
      </c>
      <c r="K3608" s="11" t="s">
        <v>3966</v>
      </c>
      <c r="L3608" s="11" t="s">
        <v>17081</v>
      </c>
      <c r="M3608" s="11" t="s">
        <v>17082</v>
      </c>
      <c r="N3608" s="11">
        <v>4582</v>
      </c>
      <c r="O3608" s="11">
        <v>3221</v>
      </c>
      <c r="P3608" s="11">
        <v>0</v>
      </c>
      <c r="Q3608" s="11" t="s">
        <v>17083</v>
      </c>
      <c r="R3608" s="14" t="s">
        <v>17084</v>
      </c>
      <c r="S3608" s="11">
        <v>52</v>
      </c>
      <c r="T3608" s="11" t="s">
        <v>39</v>
      </c>
      <c r="U3608" s="11" t="s">
        <v>40</v>
      </c>
      <c r="V3608" s="11" t="s">
        <v>586</v>
      </c>
      <c r="W3608" s="11">
        <v>6000000</v>
      </c>
      <c r="X3608" s="11">
        <v>1995</v>
      </c>
      <c r="Y3608" s="11">
        <v>475</v>
      </c>
      <c r="Z3608" s="11">
        <v>6.1</v>
      </c>
      <c r="AA3608" s="11">
        <v>1.85</v>
      </c>
      <c r="AB3608" s="11">
        <v>985</v>
      </c>
      <c r="AC3608" s="11"/>
      <c r="AD3608" s="11" t="str">
        <f>IFERROR(__xludf.DUMMYFUNCTION("""COMPUTED_VALUE"""),"Max Cullen")</f>
        <v>Max Cullen</v>
      </c>
      <c r="AE3608" s="11"/>
    </row>
    <row r="3609" customHeight="1" spans="1:31">
      <c r="A3609" s="12" t="s">
        <v>30</v>
      </c>
      <c r="B3609" s="12" t="s">
        <v>4230</v>
      </c>
      <c r="C3609" s="12">
        <v>252</v>
      </c>
      <c r="D3609" s="12">
        <v>121</v>
      </c>
      <c r="E3609" s="12">
        <v>162</v>
      </c>
      <c r="F3609" s="12">
        <v>25</v>
      </c>
      <c r="G3609" s="12">
        <v>1000</v>
      </c>
      <c r="H3609" s="12">
        <v>17605861</v>
      </c>
      <c r="I3609" s="12" t="s">
        <v>6004</v>
      </c>
      <c r="J3609" s="12" t="s">
        <v>2039</v>
      </c>
      <c r="K3609" s="12" t="s">
        <v>3593</v>
      </c>
      <c r="L3609" s="12" t="s">
        <v>17085</v>
      </c>
      <c r="M3609" s="12" t="s">
        <v>17086</v>
      </c>
      <c r="N3609" s="12">
        <v>145580</v>
      </c>
      <c r="O3609" s="12">
        <v>1184</v>
      </c>
      <c r="P3609" s="12">
        <v>1</v>
      </c>
      <c r="Q3609" s="12" t="s">
        <v>17087</v>
      </c>
      <c r="R3609" s="15" t="s">
        <v>17088</v>
      </c>
      <c r="S3609" s="12">
        <v>351</v>
      </c>
      <c r="T3609" s="12" t="s">
        <v>39</v>
      </c>
      <c r="U3609" s="12" t="s">
        <v>58</v>
      </c>
      <c r="V3609" s="12" t="s">
        <v>586</v>
      </c>
      <c r="W3609" s="12">
        <v>6000000</v>
      </c>
      <c r="X3609" s="12">
        <v>2006</v>
      </c>
      <c r="Y3609" s="12">
        <v>149</v>
      </c>
      <c r="Z3609" s="12">
        <v>7.7</v>
      </c>
      <c r="AA3609" s="12">
        <v>2.35</v>
      </c>
      <c r="AB3609" s="12">
        <v>0</v>
      </c>
      <c r="AC3609" s="12"/>
      <c r="AD3609" s="12" t="str">
        <f>IFERROR(__xludf.DUMMYFUNCTION("""COMPUTED_VALUE"""),"Shah Rukh Khan")</f>
        <v>Shah Rukh Khan</v>
      </c>
      <c r="AE3609" s="12"/>
    </row>
    <row r="3610" customHeight="1" spans="1:31">
      <c r="A3610" s="11" t="s">
        <v>30</v>
      </c>
      <c r="B3610" s="11" t="s">
        <v>17089</v>
      </c>
      <c r="C3610" s="11">
        <v>137</v>
      </c>
      <c r="D3610" s="11">
        <v>96</v>
      </c>
      <c r="E3610" s="11">
        <v>2</v>
      </c>
      <c r="F3610" s="11">
        <v>120</v>
      </c>
      <c r="G3610" s="11">
        <v>742</v>
      </c>
      <c r="H3610" s="11">
        <v>11642254</v>
      </c>
      <c r="I3610" s="11" t="s">
        <v>5544</v>
      </c>
      <c r="J3610" s="11" t="s">
        <v>10179</v>
      </c>
      <c r="K3610" s="11" t="s">
        <v>17090</v>
      </c>
      <c r="L3610" s="11" t="s">
        <v>1810</v>
      </c>
      <c r="M3610" s="11" t="s">
        <v>17091</v>
      </c>
      <c r="N3610" s="11">
        <v>22929</v>
      </c>
      <c r="O3610" s="11">
        <v>1308</v>
      </c>
      <c r="P3610" s="11">
        <v>1</v>
      </c>
      <c r="Q3610" s="11" t="s">
        <v>17092</v>
      </c>
      <c r="R3610" s="14" t="s">
        <v>17093</v>
      </c>
      <c r="S3610" s="11">
        <v>287</v>
      </c>
      <c r="T3610" s="11" t="s">
        <v>39</v>
      </c>
      <c r="U3610" s="11" t="s">
        <v>40</v>
      </c>
      <c r="V3610" s="11" t="s">
        <v>7335</v>
      </c>
      <c r="W3610" s="11">
        <v>3000000</v>
      </c>
      <c r="X3610" s="11">
        <v>1989</v>
      </c>
      <c r="Y3610" s="11">
        <v>256</v>
      </c>
      <c r="Z3610" s="11">
        <v>5.2</v>
      </c>
      <c r="AA3610" s="11">
        <v>1.85</v>
      </c>
      <c r="AB3610" s="11">
        <v>926</v>
      </c>
      <c r="AC3610" s="11"/>
      <c r="AD3610" s="11" t="str">
        <f>IFERROR(__xludf.DUMMYFUNCTION("""COMPUTED_VALUE"""),"John Abraham")</f>
        <v>John Abraham</v>
      </c>
      <c r="AE3610" s="11"/>
    </row>
    <row r="3611" customHeight="1" spans="1:31">
      <c r="A3611" s="12" t="s">
        <v>30</v>
      </c>
      <c r="B3611" s="12" t="s">
        <v>9163</v>
      </c>
      <c r="C3611" s="12">
        <v>231</v>
      </c>
      <c r="D3611" s="12">
        <v>99</v>
      </c>
      <c r="E3611" s="12">
        <v>0</v>
      </c>
      <c r="F3611" s="12">
        <v>84</v>
      </c>
      <c r="G3611" s="12">
        <v>11000</v>
      </c>
      <c r="H3611" s="12">
        <v>9203192</v>
      </c>
      <c r="I3611" s="12" t="s">
        <v>9194</v>
      </c>
      <c r="J3611" s="12" t="s">
        <v>661</v>
      </c>
      <c r="K3611" s="12" t="s">
        <v>17094</v>
      </c>
      <c r="L3611" s="12" t="s">
        <v>17095</v>
      </c>
      <c r="M3611" s="12" t="s">
        <v>17096</v>
      </c>
      <c r="N3611" s="12">
        <v>45396</v>
      </c>
      <c r="O3611" s="12">
        <v>11328</v>
      </c>
      <c r="P3611" s="12">
        <v>1</v>
      </c>
      <c r="Q3611" s="12" t="s">
        <v>17097</v>
      </c>
      <c r="R3611" s="15" t="s">
        <v>17098</v>
      </c>
      <c r="S3611" s="12">
        <v>136</v>
      </c>
      <c r="T3611" s="12" t="s">
        <v>39</v>
      </c>
      <c r="U3611" s="12" t="s">
        <v>40</v>
      </c>
      <c r="V3611" s="12" t="s">
        <v>41</v>
      </c>
      <c r="W3611" s="12">
        <v>5000000</v>
      </c>
      <c r="X3611" s="12">
        <v>2011</v>
      </c>
      <c r="Y3611" s="12">
        <v>106</v>
      </c>
      <c r="Z3611" s="12">
        <v>6.8</v>
      </c>
      <c r="AA3611" s="12">
        <v>1.85</v>
      </c>
      <c r="AB3611" s="12">
        <v>15000</v>
      </c>
      <c r="AC3611" s="12"/>
      <c r="AD3611" s="12" t="str">
        <f>IFERROR(__xludf.DUMMYFUNCTION("""COMPUTED_VALUE"""),"Preity Zinta")</f>
        <v>Preity Zinta</v>
      </c>
      <c r="AE3611" s="12"/>
    </row>
    <row r="3612" customHeight="1" spans="1:31">
      <c r="A3612" s="11" t="s">
        <v>30</v>
      </c>
      <c r="B3612" s="11" t="s">
        <v>17099</v>
      </c>
      <c r="C3612" s="11">
        <v>9</v>
      </c>
      <c r="D3612" s="11">
        <v>42</v>
      </c>
      <c r="E3612" s="11">
        <v>0</v>
      </c>
      <c r="F3612" s="13"/>
      <c r="G3612" s="11">
        <v>844</v>
      </c>
      <c r="H3612" s="11">
        <v>7518876</v>
      </c>
      <c r="I3612" s="11" t="s">
        <v>17100</v>
      </c>
      <c r="J3612" s="11" t="s">
        <v>3518</v>
      </c>
      <c r="K3612" s="11" t="s">
        <v>17101</v>
      </c>
      <c r="L3612" s="13"/>
      <c r="M3612" s="11" t="s">
        <v>17102</v>
      </c>
      <c r="N3612" s="11">
        <v>172</v>
      </c>
      <c r="O3612" s="11">
        <v>844</v>
      </c>
      <c r="P3612" s="11">
        <v>0</v>
      </c>
      <c r="Q3612" s="11" t="s">
        <v>17103</v>
      </c>
      <c r="R3612" s="14" t="s">
        <v>17104</v>
      </c>
      <c r="S3612" s="11">
        <v>5</v>
      </c>
      <c r="T3612" s="11" t="s">
        <v>39</v>
      </c>
      <c r="U3612" s="11" t="s">
        <v>58</v>
      </c>
      <c r="V3612" s="13"/>
      <c r="W3612" s="11">
        <v>6000000</v>
      </c>
      <c r="X3612" s="11">
        <v>2008</v>
      </c>
      <c r="Y3612" s="11">
        <v>0</v>
      </c>
      <c r="Z3612" s="11">
        <v>6.5</v>
      </c>
      <c r="AA3612" s="11">
        <v>1.78</v>
      </c>
      <c r="AB3612" s="11">
        <v>28</v>
      </c>
      <c r="AC3612" s="11"/>
      <c r="AD3612" s="11" t="str">
        <f>IFERROR(__xludf.DUMMYFUNCTION("""COMPUTED_VALUE"""),"Tom Cullen")</f>
        <v>Tom Cullen</v>
      </c>
      <c r="AE3612" s="11"/>
    </row>
    <row r="3613" customHeight="1" spans="1:31">
      <c r="A3613" s="12" t="s">
        <v>30</v>
      </c>
      <c r="B3613" s="12" t="s">
        <v>11019</v>
      </c>
      <c r="C3613" s="12">
        <v>115</v>
      </c>
      <c r="D3613" s="12">
        <v>122</v>
      </c>
      <c r="E3613" s="12">
        <v>0</v>
      </c>
      <c r="F3613" s="12">
        <v>221</v>
      </c>
      <c r="G3613" s="12">
        <v>697</v>
      </c>
      <c r="H3613" s="12">
        <v>8596914</v>
      </c>
      <c r="I3613" s="12" t="s">
        <v>1544</v>
      </c>
      <c r="J3613" s="12" t="s">
        <v>3198</v>
      </c>
      <c r="K3613" s="12" t="s">
        <v>14577</v>
      </c>
      <c r="L3613" s="12" t="s">
        <v>17105</v>
      </c>
      <c r="M3613" s="12" t="s">
        <v>17106</v>
      </c>
      <c r="N3613" s="12">
        <v>23023</v>
      </c>
      <c r="O3613" s="12">
        <v>1517</v>
      </c>
      <c r="P3613" s="12">
        <v>0</v>
      </c>
      <c r="Q3613" s="12" t="s">
        <v>17107</v>
      </c>
      <c r="R3613" s="15" t="s">
        <v>17108</v>
      </c>
      <c r="S3613" s="12">
        <v>148</v>
      </c>
      <c r="T3613" s="12" t="s">
        <v>39</v>
      </c>
      <c r="U3613" s="12" t="s">
        <v>40</v>
      </c>
      <c r="V3613" s="12" t="s">
        <v>586</v>
      </c>
      <c r="W3613" s="12">
        <v>6000000</v>
      </c>
      <c r="X3613" s="12">
        <v>2000</v>
      </c>
      <c r="Y3613" s="12">
        <v>394</v>
      </c>
      <c r="Z3613" s="12">
        <v>7</v>
      </c>
      <c r="AA3613" s="12">
        <v>1.85</v>
      </c>
      <c r="AB3613" s="12">
        <v>0</v>
      </c>
      <c r="AC3613" s="12"/>
      <c r="AD3613" s="12" t="str">
        <f>IFERROR(__xludf.DUMMYFUNCTION("""COMPUTED_VALUE"""),"Francesc Pagès")</f>
        <v>Francesc Pagès</v>
      </c>
      <c r="AE3613" s="12"/>
    </row>
    <row r="3614" customHeight="1" spans="1:31">
      <c r="A3614" s="11" t="s">
        <v>30</v>
      </c>
      <c r="B3614" s="11" t="s">
        <v>17109</v>
      </c>
      <c r="C3614" s="11">
        <v>67</v>
      </c>
      <c r="D3614" s="11">
        <v>101</v>
      </c>
      <c r="E3614" s="11">
        <v>112</v>
      </c>
      <c r="F3614" s="11">
        <v>612</v>
      </c>
      <c r="G3614" s="11">
        <v>1000</v>
      </c>
      <c r="H3614" s="11">
        <v>6851636</v>
      </c>
      <c r="I3614" s="11" t="s">
        <v>1415</v>
      </c>
      <c r="J3614" s="11" t="s">
        <v>794</v>
      </c>
      <c r="K3614" s="11" t="s">
        <v>2638</v>
      </c>
      <c r="L3614" s="11" t="s">
        <v>2263</v>
      </c>
      <c r="M3614" s="11" t="s">
        <v>17110</v>
      </c>
      <c r="N3614" s="11">
        <v>13010</v>
      </c>
      <c r="O3614" s="11">
        <v>2697</v>
      </c>
      <c r="P3614" s="11">
        <v>5</v>
      </c>
      <c r="Q3614" s="11" t="s">
        <v>17111</v>
      </c>
      <c r="R3614" s="14" t="s">
        <v>17112</v>
      </c>
      <c r="S3614" s="11">
        <v>182</v>
      </c>
      <c r="T3614" s="11" t="s">
        <v>39</v>
      </c>
      <c r="U3614" s="11" t="s">
        <v>40</v>
      </c>
      <c r="V3614" s="11" t="s">
        <v>586</v>
      </c>
      <c r="W3614" s="11">
        <v>6000000</v>
      </c>
      <c r="X3614" s="11">
        <v>1999</v>
      </c>
      <c r="Y3614" s="11">
        <v>744</v>
      </c>
      <c r="Z3614" s="11">
        <v>5.9</v>
      </c>
      <c r="AA3614" s="11">
        <v>1.85</v>
      </c>
      <c r="AB3614" s="11">
        <v>0</v>
      </c>
      <c r="AC3614" s="11"/>
      <c r="AD3614" s="11" t="str">
        <f>IFERROR(__xludf.DUMMYFUNCTION("""COMPUTED_VALUE"""),"Keir Dullea")</f>
        <v>Keir Dullea</v>
      </c>
      <c r="AE3614" s="11"/>
    </row>
    <row r="3615" customHeight="1" spans="1:31">
      <c r="A3615" s="12" t="s">
        <v>30</v>
      </c>
      <c r="B3615" s="12" t="s">
        <v>17113</v>
      </c>
      <c r="C3615" s="12">
        <v>216</v>
      </c>
      <c r="D3615" s="12">
        <v>102</v>
      </c>
      <c r="E3615" s="12">
        <v>49</v>
      </c>
      <c r="F3615" s="12">
        <v>10000</v>
      </c>
      <c r="G3615" s="12">
        <v>24000</v>
      </c>
      <c r="H3615" s="12">
        <v>11434867</v>
      </c>
      <c r="I3615" s="12" t="s">
        <v>3278</v>
      </c>
      <c r="J3615" s="12" t="s">
        <v>82</v>
      </c>
      <c r="K3615" s="12" t="s">
        <v>655</v>
      </c>
      <c r="L3615" s="12" t="s">
        <v>302</v>
      </c>
      <c r="M3615" s="12" t="s">
        <v>17114</v>
      </c>
      <c r="N3615" s="12">
        <v>59637</v>
      </c>
      <c r="O3615" s="12">
        <v>51355</v>
      </c>
      <c r="P3615" s="12">
        <v>1</v>
      </c>
      <c r="Q3615" s="12" t="s">
        <v>17115</v>
      </c>
      <c r="R3615" s="15" t="s">
        <v>17116</v>
      </c>
      <c r="S3615" s="12">
        <v>130</v>
      </c>
      <c r="T3615" s="12" t="s">
        <v>39</v>
      </c>
      <c r="U3615" s="12" t="s">
        <v>40</v>
      </c>
      <c r="V3615" s="12" t="s">
        <v>41</v>
      </c>
      <c r="W3615" s="12">
        <v>6000000</v>
      </c>
      <c r="X3615" s="12">
        <v>2012</v>
      </c>
      <c r="Y3615" s="12">
        <v>14000</v>
      </c>
      <c r="Z3615" s="12">
        <v>7.1</v>
      </c>
      <c r="AA3615" s="12">
        <v>1.85</v>
      </c>
      <c r="AB3615" s="12">
        <v>21000</v>
      </c>
      <c r="AC3615" s="12"/>
      <c r="AD3615" s="12" t="str">
        <f>IFERROR(__xludf.DUMMYFUNCTION("""COMPUTED_VALUE"""),"Gary Lockwood")</f>
        <v>Gary Lockwood</v>
      </c>
      <c r="AE3615" s="12"/>
    </row>
    <row r="3616" customHeight="1" spans="1:31">
      <c r="A3616" s="11" t="s">
        <v>30</v>
      </c>
      <c r="B3616" s="11" t="s">
        <v>17117</v>
      </c>
      <c r="C3616" s="11">
        <v>133</v>
      </c>
      <c r="D3616" s="11">
        <v>84</v>
      </c>
      <c r="E3616" s="11">
        <v>4</v>
      </c>
      <c r="F3616" s="11">
        <v>546</v>
      </c>
      <c r="G3616" s="11">
        <v>8000</v>
      </c>
      <c r="H3616" s="11">
        <v>5895238</v>
      </c>
      <c r="I3616" s="11" t="s">
        <v>4486</v>
      </c>
      <c r="J3616" s="11" t="s">
        <v>1249</v>
      </c>
      <c r="K3616" s="11" t="s">
        <v>2115</v>
      </c>
      <c r="L3616" s="11" t="s">
        <v>17118</v>
      </c>
      <c r="M3616" s="11" t="s">
        <v>17119</v>
      </c>
      <c r="N3616" s="11">
        <v>17169</v>
      </c>
      <c r="O3616" s="11">
        <v>10123</v>
      </c>
      <c r="P3616" s="11">
        <v>1</v>
      </c>
      <c r="Q3616" s="11" t="s">
        <v>17120</v>
      </c>
      <c r="R3616" s="14" t="s">
        <v>17121</v>
      </c>
      <c r="S3616" s="11">
        <v>70</v>
      </c>
      <c r="T3616" s="11" t="s">
        <v>2779</v>
      </c>
      <c r="U3616" s="11" t="s">
        <v>40</v>
      </c>
      <c r="V3616" s="11" t="s">
        <v>586</v>
      </c>
      <c r="W3616" s="11">
        <v>6000000</v>
      </c>
      <c r="X3616" s="11">
        <v>2012</v>
      </c>
      <c r="Y3616" s="11">
        <v>806</v>
      </c>
      <c r="Z3616" s="11">
        <v>5.5</v>
      </c>
      <c r="AA3616" s="11">
        <v>2.35</v>
      </c>
      <c r="AB3616" s="11">
        <v>9000</v>
      </c>
      <c r="AC3616" s="11"/>
      <c r="AD3616" s="11" t="str">
        <f>IFERROR(__xludf.DUMMYFUNCTION("""COMPUTED_VALUE"""),"Glenn Beck")</f>
        <v>Glenn Beck</v>
      </c>
      <c r="AE3616" s="11"/>
    </row>
    <row r="3617" customHeight="1" spans="1:31">
      <c r="A3617" s="12" t="s">
        <v>30</v>
      </c>
      <c r="B3617" s="12" t="s">
        <v>17122</v>
      </c>
      <c r="C3617" s="12">
        <v>149</v>
      </c>
      <c r="D3617" s="12">
        <v>104</v>
      </c>
      <c r="E3617" s="12">
        <v>20</v>
      </c>
      <c r="F3617" s="12">
        <v>130</v>
      </c>
      <c r="G3617" s="12">
        <v>3000</v>
      </c>
      <c r="H3617" s="12">
        <v>6670712</v>
      </c>
      <c r="I3617" s="12" t="s">
        <v>2528</v>
      </c>
      <c r="J3617" s="12" t="s">
        <v>13859</v>
      </c>
      <c r="K3617" s="12" t="s">
        <v>2216</v>
      </c>
      <c r="L3617" s="12" t="s">
        <v>17123</v>
      </c>
      <c r="M3617" s="12" t="s">
        <v>17124</v>
      </c>
      <c r="N3617" s="12">
        <v>27301</v>
      </c>
      <c r="O3617" s="12">
        <v>3825</v>
      </c>
      <c r="P3617" s="12">
        <v>6</v>
      </c>
      <c r="Q3617" s="12" t="s">
        <v>17125</v>
      </c>
      <c r="R3617" s="15" t="s">
        <v>17126</v>
      </c>
      <c r="S3617" s="12">
        <v>101</v>
      </c>
      <c r="T3617" s="12" t="s">
        <v>39</v>
      </c>
      <c r="U3617" s="12" t="s">
        <v>40</v>
      </c>
      <c r="V3617" s="12" t="s">
        <v>41</v>
      </c>
      <c r="W3617" s="12">
        <v>6000000</v>
      </c>
      <c r="X3617" s="12">
        <v>2009</v>
      </c>
      <c r="Y3617" s="12">
        <v>591</v>
      </c>
      <c r="Z3617" s="12">
        <v>7.4</v>
      </c>
      <c r="AA3617" s="12">
        <v>1.85</v>
      </c>
      <c r="AB3617" s="12">
        <v>0</v>
      </c>
      <c r="AC3617" s="12"/>
      <c r="AD3617" s="12" t="str">
        <f>IFERROR(__xludf.DUMMYFUNCTION("""COMPUTED_VALUE"""),"Dee Wallace")</f>
        <v>Dee Wallace</v>
      </c>
      <c r="AE3617" s="12"/>
    </row>
    <row r="3618" customHeight="1" spans="1:31">
      <c r="A3618" s="11" t="s">
        <v>30</v>
      </c>
      <c r="B3618" s="11" t="s">
        <v>17127</v>
      </c>
      <c r="C3618" s="11">
        <v>261</v>
      </c>
      <c r="D3618" s="11">
        <v>96</v>
      </c>
      <c r="E3618" s="11">
        <v>51</v>
      </c>
      <c r="F3618" s="11">
        <v>28</v>
      </c>
      <c r="G3618" s="11">
        <v>3000</v>
      </c>
      <c r="H3618" s="11">
        <v>5359774</v>
      </c>
      <c r="I3618" s="11" t="s">
        <v>5968</v>
      </c>
      <c r="J3618" s="11" t="s">
        <v>252</v>
      </c>
      <c r="K3618" s="11" t="s">
        <v>8232</v>
      </c>
      <c r="L3618" s="11" t="s">
        <v>17128</v>
      </c>
      <c r="M3618" s="11" t="s">
        <v>17129</v>
      </c>
      <c r="N3618" s="11">
        <v>64794</v>
      </c>
      <c r="O3618" s="11">
        <v>3569</v>
      </c>
      <c r="P3618" s="11">
        <v>0</v>
      </c>
      <c r="Q3618" s="11" t="s">
        <v>17130</v>
      </c>
      <c r="R3618" s="14" t="s">
        <v>17131</v>
      </c>
      <c r="S3618" s="11">
        <v>131</v>
      </c>
      <c r="T3618" s="11" t="s">
        <v>39</v>
      </c>
      <c r="U3618" s="11" t="s">
        <v>7988</v>
      </c>
      <c r="V3618" s="11" t="s">
        <v>586</v>
      </c>
      <c r="W3618" s="11">
        <v>6000000</v>
      </c>
      <c r="X3618" s="11">
        <v>2011</v>
      </c>
      <c r="Y3618" s="11">
        <v>482</v>
      </c>
      <c r="Z3618" s="11">
        <v>7.3</v>
      </c>
      <c r="AA3618" s="11">
        <v>2.35</v>
      </c>
      <c r="AB3618" s="11">
        <v>17000</v>
      </c>
      <c r="AC3618" s="11"/>
      <c r="AD3618" s="11" t="str">
        <f>IFERROR(__xludf.DUMMYFUNCTION("""COMPUTED_VALUE"""),"Raoul Max Trujillo")</f>
        <v>Raoul Max Trujillo</v>
      </c>
      <c r="AE3618" s="11"/>
    </row>
    <row r="3619" customHeight="1" spans="1:31">
      <c r="A3619" s="12" t="s">
        <v>30</v>
      </c>
      <c r="B3619" s="12" t="s">
        <v>17132</v>
      </c>
      <c r="C3619" s="12">
        <v>42</v>
      </c>
      <c r="D3619" s="12">
        <v>94</v>
      </c>
      <c r="E3619" s="12">
        <v>0</v>
      </c>
      <c r="F3619" s="12">
        <v>664</v>
      </c>
      <c r="G3619" s="12">
        <v>1000</v>
      </c>
      <c r="H3619" s="12">
        <v>4693919</v>
      </c>
      <c r="I3619" s="12" t="s">
        <v>1672</v>
      </c>
      <c r="J3619" s="12" t="s">
        <v>7568</v>
      </c>
      <c r="K3619" s="12" t="s">
        <v>7574</v>
      </c>
      <c r="L3619" s="12" t="s">
        <v>3935</v>
      </c>
      <c r="M3619" s="12" t="s">
        <v>17133</v>
      </c>
      <c r="N3619" s="12">
        <v>11011</v>
      </c>
      <c r="O3619" s="12">
        <v>4484</v>
      </c>
      <c r="P3619" s="12">
        <v>0</v>
      </c>
      <c r="Q3619" s="12" t="s">
        <v>17134</v>
      </c>
      <c r="R3619" s="15" t="s">
        <v>17135</v>
      </c>
      <c r="S3619" s="12">
        <v>78</v>
      </c>
      <c r="T3619" s="12" t="s">
        <v>39</v>
      </c>
      <c r="U3619" s="12" t="s">
        <v>40</v>
      </c>
      <c r="V3619" s="12" t="s">
        <v>586</v>
      </c>
      <c r="W3619" s="12">
        <v>6500000</v>
      </c>
      <c r="X3619" s="12">
        <v>2008</v>
      </c>
      <c r="Y3619" s="12">
        <v>1000</v>
      </c>
      <c r="Z3619" s="12">
        <v>4.6</v>
      </c>
      <c r="AA3619" s="12">
        <v>1.85</v>
      </c>
      <c r="AB3619" s="12">
        <v>422</v>
      </c>
      <c r="AC3619" s="12"/>
      <c r="AD3619" s="12" t="str">
        <f>IFERROR(__xludf.DUMMYFUNCTION("""COMPUTED_VALUE"""),"Kelli Williams")</f>
        <v>Kelli Williams</v>
      </c>
      <c r="AE3619" s="12"/>
    </row>
    <row r="3620" customHeight="1" spans="1:31">
      <c r="A3620" s="11" t="s">
        <v>30</v>
      </c>
      <c r="B3620" s="11" t="s">
        <v>6725</v>
      </c>
      <c r="C3620" s="11">
        <v>152</v>
      </c>
      <c r="D3620" s="11">
        <v>90</v>
      </c>
      <c r="E3620" s="11">
        <v>0</v>
      </c>
      <c r="F3620" s="11">
        <v>826</v>
      </c>
      <c r="G3620" s="11">
        <v>4000</v>
      </c>
      <c r="H3620" s="11">
        <v>4859475</v>
      </c>
      <c r="I3620" s="11" t="s">
        <v>214</v>
      </c>
      <c r="J3620" s="11" t="s">
        <v>84</v>
      </c>
      <c r="K3620" s="11" t="s">
        <v>3934</v>
      </c>
      <c r="L3620" s="11" t="s">
        <v>1320</v>
      </c>
      <c r="M3620" s="11" t="s">
        <v>17136</v>
      </c>
      <c r="N3620" s="11">
        <v>116910</v>
      </c>
      <c r="O3620" s="11">
        <v>7103</v>
      </c>
      <c r="P3620" s="11">
        <v>0</v>
      </c>
      <c r="Q3620" s="11" t="s">
        <v>17137</v>
      </c>
      <c r="R3620" s="14" t="s">
        <v>17138</v>
      </c>
      <c r="S3620" s="11">
        <v>520</v>
      </c>
      <c r="T3620" s="11" t="s">
        <v>39</v>
      </c>
      <c r="U3620" s="11" t="s">
        <v>40</v>
      </c>
      <c r="V3620" s="11" t="s">
        <v>586</v>
      </c>
      <c r="W3620" s="11">
        <v>6000000</v>
      </c>
      <c r="X3620" s="11">
        <v>1999</v>
      </c>
      <c r="Y3620" s="11">
        <v>899</v>
      </c>
      <c r="Z3620" s="11">
        <v>7.2</v>
      </c>
      <c r="AA3620" s="11">
        <v>1.85</v>
      </c>
      <c r="AB3620" s="11">
        <v>0</v>
      </c>
      <c r="AC3620" s="11"/>
      <c r="AD3620" s="11" t="str">
        <f>IFERROR(__xludf.DUMMYFUNCTION("""COMPUTED_VALUE"""),"Antonia Thomas")</f>
        <v>Antonia Thomas</v>
      </c>
      <c r="AE3620" s="11"/>
    </row>
    <row r="3621" customHeight="1" spans="1:31">
      <c r="A3621" s="12" t="s">
        <v>30</v>
      </c>
      <c r="B3621" s="12" t="s">
        <v>13960</v>
      </c>
      <c r="C3621" s="12">
        <v>64</v>
      </c>
      <c r="D3621" s="12">
        <v>97</v>
      </c>
      <c r="E3621" s="12">
        <v>39</v>
      </c>
      <c r="F3621" s="12">
        <v>286</v>
      </c>
      <c r="G3621" s="12">
        <v>1000</v>
      </c>
      <c r="H3621" s="12">
        <v>4595000</v>
      </c>
      <c r="I3621" s="12" t="s">
        <v>5788</v>
      </c>
      <c r="J3621" s="12" t="s">
        <v>393</v>
      </c>
      <c r="K3621" s="12" t="s">
        <v>17139</v>
      </c>
      <c r="L3621" s="12" t="s">
        <v>8312</v>
      </c>
      <c r="M3621" s="12" t="s">
        <v>17140</v>
      </c>
      <c r="N3621" s="12">
        <v>13892</v>
      </c>
      <c r="O3621" s="12">
        <v>2103</v>
      </c>
      <c r="P3621" s="12">
        <v>4</v>
      </c>
      <c r="Q3621" s="12" t="s">
        <v>17141</v>
      </c>
      <c r="R3621" s="15" t="s">
        <v>17142</v>
      </c>
      <c r="S3621" s="12">
        <v>160</v>
      </c>
      <c r="T3621" s="12" t="s">
        <v>39</v>
      </c>
      <c r="U3621" s="12" t="s">
        <v>58</v>
      </c>
      <c r="V3621" s="12" t="s">
        <v>586</v>
      </c>
      <c r="W3621" s="16"/>
      <c r="X3621" s="12">
        <v>1998</v>
      </c>
      <c r="Y3621" s="12">
        <v>497</v>
      </c>
      <c r="Z3621" s="12">
        <v>7</v>
      </c>
      <c r="AA3621" s="12">
        <v>1.85</v>
      </c>
      <c r="AB3621" s="12">
        <v>915</v>
      </c>
      <c r="AC3621" s="12"/>
      <c r="AD3621" s="12" t="str">
        <f>IFERROR(__xludf.DUMMYFUNCTION("""COMPUTED_VALUE"""),"Johnny Flynn")</f>
        <v>Johnny Flynn</v>
      </c>
      <c r="AE3621" s="12"/>
    </row>
    <row r="3622" customHeight="1" spans="1:31">
      <c r="A3622" s="11" t="s">
        <v>30</v>
      </c>
      <c r="B3622" s="11" t="s">
        <v>17143</v>
      </c>
      <c r="C3622" s="11">
        <v>76</v>
      </c>
      <c r="D3622" s="11">
        <v>90</v>
      </c>
      <c r="E3622" s="11">
        <v>138</v>
      </c>
      <c r="F3622" s="11">
        <v>263</v>
      </c>
      <c r="G3622" s="11">
        <v>373</v>
      </c>
      <c r="H3622" s="11">
        <v>4542775</v>
      </c>
      <c r="I3622" s="11" t="s">
        <v>1681</v>
      </c>
      <c r="J3622" s="11" t="s">
        <v>17144</v>
      </c>
      <c r="K3622" s="11" t="s">
        <v>17145</v>
      </c>
      <c r="L3622" s="11" t="s">
        <v>17146</v>
      </c>
      <c r="M3622" s="11" t="s">
        <v>17147</v>
      </c>
      <c r="N3622" s="11">
        <v>18313</v>
      </c>
      <c r="O3622" s="11">
        <v>1831</v>
      </c>
      <c r="P3622" s="11">
        <v>2</v>
      </c>
      <c r="Q3622" s="11" t="s">
        <v>17148</v>
      </c>
      <c r="R3622" s="14" t="s">
        <v>17149</v>
      </c>
      <c r="S3622" s="11">
        <v>73</v>
      </c>
      <c r="T3622" s="11" t="s">
        <v>39</v>
      </c>
      <c r="U3622" s="11" t="s">
        <v>40</v>
      </c>
      <c r="V3622" s="11" t="s">
        <v>586</v>
      </c>
      <c r="W3622" s="11">
        <v>6000000</v>
      </c>
      <c r="X3622" s="11">
        <v>2009</v>
      </c>
      <c r="Y3622" s="11">
        <v>308</v>
      </c>
      <c r="Z3622" s="11">
        <v>5.1</v>
      </c>
      <c r="AA3622" s="11">
        <v>1.85</v>
      </c>
      <c r="AB3622" s="11">
        <v>985</v>
      </c>
      <c r="AC3622" s="11"/>
      <c r="AD3622" s="11" t="str">
        <f>IFERROR(__xludf.DUMMYFUNCTION("""COMPUTED_VALUE"""),"Hannah Britland")</f>
        <v>Hannah Britland</v>
      </c>
      <c r="AE3622" s="11"/>
    </row>
    <row r="3623" customHeight="1" spans="1:31">
      <c r="A3623" s="12" t="s">
        <v>30</v>
      </c>
      <c r="B3623" s="12" t="s">
        <v>17150</v>
      </c>
      <c r="C3623" s="12">
        <v>149</v>
      </c>
      <c r="D3623" s="12">
        <v>106</v>
      </c>
      <c r="E3623" s="12">
        <v>0</v>
      </c>
      <c r="F3623" s="12">
        <v>379</v>
      </c>
      <c r="G3623" s="12">
        <v>17000</v>
      </c>
      <c r="H3623" s="12">
        <v>3588432</v>
      </c>
      <c r="I3623" s="12" t="s">
        <v>2528</v>
      </c>
      <c r="J3623" s="12" t="s">
        <v>1178</v>
      </c>
      <c r="K3623" s="12" t="s">
        <v>830</v>
      </c>
      <c r="L3623" s="12" t="s">
        <v>4231</v>
      </c>
      <c r="M3623" s="12" t="s">
        <v>17151</v>
      </c>
      <c r="N3623" s="12">
        <v>29341</v>
      </c>
      <c r="O3623" s="12">
        <v>18947</v>
      </c>
      <c r="P3623" s="12">
        <v>4</v>
      </c>
      <c r="Q3623" s="12" t="s">
        <v>17152</v>
      </c>
      <c r="R3623" s="15" t="s">
        <v>17153</v>
      </c>
      <c r="S3623" s="12">
        <v>93</v>
      </c>
      <c r="T3623" s="12" t="s">
        <v>39</v>
      </c>
      <c r="U3623" s="12" t="s">
        <v>40</v>
      </c>
      <c r="V3623" s="12" t="s">
        <v>586</v>
      </c>
      <c r="W3623" s="12">
        <v>6000000</v>
      </c>
      <c r="X3623" s="12">
        <v>2014</v>
      </c>
      <c r="Y3623" s="12">
        <v>1000</v>
      </c>
      <c r="Z3623" s="12">
        <v>6.7</v>
      </c>
      <c r="AA3623" s="12">
        <v>2.35</v>
      </c>
      <c r="AB3623" s="12">
        <v>0</v>
      </c>
      <c r="AC3623" s="12"/>
      <c r="AD3623" s="12" t="str">
        <f>IFERROR(__xludf.DUMMYFUNCTION("""COMPUTED_VALUE"""),"Arjun Rampal")</f>
        <v>Arjun Rampal</v>
      </c>
      <c r="AE3623" s="12"/>
    </row>
    <row r="3624" customHeight="1" spans="1:31">
      <c r="A3624" s="11" t="s">
        <v>30</v>
      </c>
      <c r="B3624" s="11" t="s">
        <v>17154</v>
      </c>
      <c r="C3624" s="11">
        <v>35</v>
      </c>
      <c r="D3624" s="11">
        <v>96</v>
      </c>
      <c r="E3624" s="11">
        <v>3</v>
      </c>
      <c r="F3624" s="11">
        <v>353</v>
      </c>
      <c r="G3624" s="11">
        <v>4000</v>
      </c>
      <c r="H3624" s="11">
        <v>4394936</v>
      </c>
      <c r="I3624" s="11" t="s">
        <v>2490</v>
      </c>
      <c r="J3624" s="11" t="s">
        <v>2477</v>
      </c>
      <c r="K3624" s="11" t="s">
        <v>4640</v>
      </c>
      <c r="L3624" s="11" t="s">
        <v>17155</v>
      </c>
      <c r="M3624" s="11" t="s">
        <v>17156</v>
      </c>
      <c r="N3624" s="11">
        <v>11439</v>
      </c>
      <c r="O3624" s="11">
        <v>5668</v>
      </c>
      <c r="P3624" s="11">
        <v>1</v>
      </c>
      <c r="Q3624" s="11" t="s">
        <v>17157</v>
      </c>
      <c r="R3624" s="14" t="s">
        <v>17158</v>
      </c>
      <c r="S3624" s="11">
        <v>190</v>
      </c>
      <c r="T3624" s="11" t="s">
        <v>39</v>
      </c>
      <c r="U3624" s="11" t="s">
        <v>768</v>
      </c>
      <c r="V3624" s="11" t="s">
        <v>41</v>
      </c>
      <c r="W3624" s="11">
        <v>6000000</v>
      </c>
      <c r="X3624" s="11">
        <v>1999</v>
      </c>
      <c r="Y3624" s="11">
        <v>812</v>
      </c>
      <c r="Z3624" s="11">
        <v>5.3</v>
      </c>
      <c r="AA3624" s="11">
        <v>2.35</v>
      </c>
      <c r="AB3624" s="11">
        <v>901</v>
      </c>
      <c r="AC3624" s="11"/>
      <c r="AD3624" s="11" t="str">
        <f>IFERROR(__xludf.DUMMYFUNCTION("""COMPUTED_VALUE"""),"Boman Irani")</f>
        <v>Boman Irani</v>
      </c>
      <c r="AE3624" s="11"/>
    </row>
    <row r="3625" customHeight="1" spans="1:31">
      <c r="A3625" s="12" t="s">
        <v>30</v>
      </c>
      <c r="B3625" s="16"/>
      <c r="C3625" s="12">
        <v>47</v>
      </c>
      <c r="D3625" s="12">
        <v>44</v>
      </c>
      <c r="E3625" s="16"/>
      <c r="F3625" s="12">
        <v>724</v>
      </c>
      <c r="G3625" s="12">
        <v>937</v>
      </c>
      <c r="H3625" s="16"/>
      <c r="I3625" s="12" t="s">
        <v>3082</v>
      </c>
      <c r="J3625" s="12" t="s">
        <v>9004</v>
      </c>
      <c r="K3625" s="12" t="s">
        <v>17159</v>
      </c>
      <c r="L3625" s="12" t="s">
        <v>5751</v>
      </c>
      <c r="M3625" s="12" t="s">
        <v>17160</v>
      </c>
      <c r="N3625" s="12">
        <v>55524</v>
      </c>
      <c r="O3625" s="12">
        <v>3318</v>
      </c>
      <c r="P3625" s="12">
        <v>1</v>
      </c>
      <c r="Q3625" s="12" t="s">
        <v>17161</v>
      </c>
      <c r="R3625" s="15" t="s">
        <v>17162</v>
      </c>
      <c r="S3625" s="12">
        <v>315</v>
      </c>
      <c r="T3625" s="12" t="s">
        <v>39</v>
      </c>
      <c r="U3625" s="12" t="s">
        <v>40</v>
      </c>
      <c r="V3625" s="12" t="s">
        <v>1127</v>
      </c>
      <c r="W3625" s="16"/>
      <c r="X3625" s="16"/>
      <c r="Y3625" s="12">
        <v>828</v>
      </c>
      <c r="Z3625" s="12">
        <v>8.4</v>
      </c>
      <c r="AA3625" s="12">
        <v>1.78</v>
      </c>
      <c r="AB3625" s="12">
        <v>0</v>
      </c>
      <c r="AC3625" s="12"/>
      <c r="AD3625" s="12" t="str">
        <f>IFERROR(__xludf.DUMMYFUNCTION("""COMPUTED_VALUE"""),"Riteish Deshmukh")</f>
        <v>Riteish Deshmukh</v>
      </c>
      <c r="AE3625" s="12"/>
    </row>
    <row r="3626" customHeight="1" spans="1:31">
      <c r="A3626" s="11" t="s">
        <v>30</v>
      </c>
      <c r="B3626" s="11" t="s">
        <v>17163</v>
      </c>
      <c r="C3626" s="11">
        <v>108</v>
      </c>
      <c r="D3626" s="11">
        <v>95</v>
      </c>
      <c r="E3626" s="11">
        <v>263</v>
      </c>
      <c r="F3626" s="11">
        <v>179</v>
      </c>
      <c r="G3626" s="11">
        <v>263</v>
      </c>
      <c r="H3626" s="11">
        <v>3029081</v>
      </c>
      <c r="I3626" s="11" t="s">
        <v>2442</v>
      </c>
      <c r="J3626" s="11" t="s">
        <v>17163</v>
      </c>
      <c r="K3626" s="11" t="s">
        <v>17164</v>
      </c>
      <c r="L3626" s="11" t="s">
        <v>8003</v>
      </c>
      <c r="M3626" s="11" t="s">
        <v>17165</v>
      </c>
      <c r="N3626" s="11">
        <v>26300</v>
      </c>
      <c r="O3626" s="11">
        <v>993</v>
      </c>
      <c r="P3626" s="11">
        <v>0</v>
      </c>
      <c r="Q3626" s="11" t="s">
        <v>17166</v>
      </c>
      <c r="R3626" s="14" t="s">
        <v>17167</v>
      </c>
      <c r="S3626" s="11">
        <v>231</v>
      </c>
      <c r="T3626" s="11" t="s">
        <v>39</v>
      </c>
      <c r="U3626" s="11" t="s">
        <v>40</v>
      </c>
      <c r="V3626" s="11" t="s">
        <v>586</v>
      </c>
      <c r="W3626" s="11">
        <v>6000000</v>
      </c>
      <c r="X3626" s="11">
        <v>2001</v>
      </c>
      <c r="Y3626" s="11">
        <v>261</v>
      </c>
      <c r="Z3626" s="11">
        <v>7.8</v>
      </c>
      <c r="AA3626" s="11">
        <v>1.85</v>
      </c>
      <c r="AB3626" s="11">
        <v>0</v>
      </c>
      <c r="AC3626" s="11"/>
      <c r="AD3626" s="11" t="str">
        <f>IFERROR(__xludf.DUMMYFUNCTION("""COMPUTED_VALUE"""),"Taylor Handley")</f>
        <v>Taylor Handley</v>
      </c>
      <c r="AE3626" s="11"/>
    </row>
    <row r="3627" customHeight="1" spans="1:31">
      <c r="A3627" s="12" t="s">
        <v>30</v>
      </c>
      <c r="B3627" s="12" t="s">
        <v>12449</v>
      </c>
      <c r="C3627" s="12">
        <v>17</v>
      </c>
      <c r="D3627" s="12">
        <v>99</v>
      </c>
      <c r="E3627" s="12">
        <v>23</v>
      </c>
      <c r="F3627" s="12">
        <v>82</v>
      </c>
      <c r="G3627" s="12">
        <v>97</v>
      </c>
      <c r="H3627" s="12">
        <v>3273588</v>
      </c>
      <c r="I3627" s="12" t="s">
        <v>777</v>
      </c>
      <c r="J3627" s="12" t="s">
        <v>8975</v>
      </c>
      <c r="K3627" s="12" t="s">
        <v>17168</v>
      </c>
      <c r="L3627" s="12" t="s">
        <v>17169</v>
      </c>
      <c r="M3627" s="12" t="s">
        <v>17170</v>
      </c>
      <c r="N3627" s="12">
        <v>4195</v>
      </c>
      <c r="O3627" s="12">
        <v>382</v>
      </c>
      <c r="P3627" s="12">
        <v>1</v>
      </c>
      <c r="Q3627" s="12" t="s">
        <v>17171</v>
      </c>
      <c r="R3627" s="15" t="s">
        <v>17172</v>
      </c>
      <c r="S3627" s="12">
        <v>50</v>
      </c>
      <c r="T3627" s="12" t="s">
        <v>39</v>
      </c>
      <c r="U3627" s="12" t="s">
        <v>40</v>
      </c>
      <c r="V3627" s="12" t="s">
        <v>41</v>
      </c>
      <c r="W3627" s="12">
        <v>6000000</v>
      </c>
      <c r="X3627" s="12">
        <v>1993</v>
      </c>
      <c r="Y3627" s="12">
        <v>91</v>
      </c>
      <c r="Z3627" s="12">
        <v>6.7</v>
      </c>
      <c r="AA3627" s="12">
        <v>1.85</v>
      </c>
      <c r="AB3627" s="12">
        <v>0</v>
      </c>
      <c r="AC3627" s="12"/>
      <c r="AD3627" s="12" t="str">
        <f>IFERROR(__xludf.DUMMYFUNCTION("""COMPUTED_VALUE"""),"Santiago Cabrera")</f>
        <v>Santiago Cabrera</v>
      </c>
      <c r="AE3627" s="12"/>
    </row>
    <row r="3628" customHeight="1" spans="1:31">
      <c r="A3628" s="11" t="s">
        <v>30</v>
      </c>
      <c r="B3628" s="11" t="s">
        <v>17173</v>
      </c>
      <c r="C3628" s="11">
        <v>12</v>
      </c>
      <c r="D3628" s="11">
        <v>93</v>
      </c>
      <c r="E3628" s="11">
        <v>10</v>
      </c>
      <c r="F3628" s="11">
        <v>34</v>
      </c>
      <c r="G3628" s="11">
        <v>397</v>
      </c>
      <c r="H3628" s="13"/>
      <c r="I3628" s="11" t="s">
        <v>6133</v>
      </c>
      <c r="J3628" s="11" t="s">
        <v>17174</v>
      </c>
      <c r="K3628" s="11" t="s">
        <v>17175</v>
      </c>
      <c r="L3628" s="11" t="s">
        <v>17176</v>
      </c>
      <c r="M3628" s="11" t="s">
        <v>17177</v>
      </c>
      <c r="N3628" s="11">
        <v>522</v>
      </c>
      <c r="O3628" s="11">
        <v>546</v>
      </c>
      <c r="P3628" s="11">
        <v>0</v>
      </c>
      <c r="Q3628" s="11" t="s">
        <v>17178</v>
      </c>
      <c r="R3628" s="14" t="s">
        <v>17179</v>
      </c>
      <c r="S3628" s="11">
        <v>5</v>
      </c>
      <c r="T3628" s="11" t="s">
        <v>39</v>
      </c>
      <c r="U3628" s="11" t="s">
        <v>40</v>
      </c>
      <c r="V3628" s="13"/>
      <c r="W3628" s="13"/>
      <c r="X3628" s="11">
        <v>2015</v>
      </c>
      <c r="Y3628" s="11">
        <v>77</v>
      </c>
      <c r="Z3628" s="11">
        <v>5.4</v>
      </c>
      <c r="AA3628" s="11">
        <v>2.35</v>
      </c>
      <c r="AB3628" s="11">
        <v>84</v>
      </c>
      <c r="AC3628" s="11"/>
      <c r="AD3628" s="11" t="str">
        <f>IFERROR(__xludf.DUMMYFUNCTION("""COMPUTED_VALUE"""),"Karin Viard")</f>
        <v>Karin Viard</v>
      </c>
      <c r="AE3628" s="11"/>
    </row>
    <row r="3629" customHeight="1" spans="1:31">
      <c r="A3629" s="12" t="s">
        <v>30</v>
      </c>
      <c r="B3629" s="12" t="s">
        <v>11149</v>
      </c>
      <c r="C3629" s="12">
        <v>129</v>
      </c>
      <c r="D3629" s="12">
        <v>99</v>
      </c>
      <c r="E3629" s="12">
        <v>53</v>
      </c>
      <c r="F3629" s="12">
        <v>491</v>
      </c>
      <c r="G3629" s="12">
        <v>4000</v>
      </c>
      <c r="H3629" s="12">
        <v>2207975</v>
      </c>
      <c r="I3629" s="12" t="s">
        <v>6520</v>
      </c>
      <c r="J3629" s="12" t="s">
        <v>1434</v>
      </c>
      <c r="K3629" s="12" t="s">
        <v>984</v>
      </c>
      <c r="L3629" s="12" t="s">
        <v>7939</v>
      </c>
      <c r="M3629" s="12" t="s">
        <v>17180</v>
      </c>
      <c r="N3629" s="12">
        <v>28855</v>
      </c>
      <c r="O3629" s="12">
        <v>8297</v>
      </c>
      <c r="P3629" s="12">
        <v>0</v>
      </c>
      <c r="Q3629" s="12" t="s">
        <v>17181</v>
      </c>
      <c r="R3629" s="15" t="s">
        <v>17182</v>
      </c>
      <c r="S3629" s="12">
        <v>190</v>
      </c>
      <c r="T3629" s="12" t="s">
        <v>39</v>
      </c>
      <c r="U3629" s="12" t="s">
        <v>40</v>
      </c>
      <c r="V3629" s="12" t="s">
        <v>41</v>
      </c>
      <c r="W3629" s="12">
        <v>6000000</v>
      </c>
      <c r="X3629" s="12">
        <v>2003</v>
      </c>
      <c r="Y3629" s="12">
        <v>3000</v>
      </c>
      <c r="Z3629" s="12">
        <v>7.2</v>
      </c>
      <c r="AA3629" s="12">
        <v>2.35</v>
      </c>
      <c r="AB3629" s="12">
        <v>0</v>
      </c>
      <c r="AC3629" s="12"/>
      <c r="AD3629" s="12" t="str">
        <f>IFERROR(__xludf.DUMMYFUNCTION("""COMPUTED_VALUE"""),"Eric Elmosnino")</f>
        <v>Eric Elmosnino</v>
      </c>
      <c r="AE3629" s="12"/>
    </row>
    <row r="3630" customHeight="1" spans="1:31">
      <c r="A3630" s="11" t="s">
        <v>30</v>
      </c>
      <c r="B3630" s="11" t="s">
        <v>17183</v>
      </c>
      <c r="C3630" s="11">
        <v>84</v>
      </c>
      <c r="D3630" s="11">
        <v>95</v>
      </c>
      <c r="E3630" s="11">
        <v>8</v>
      </c>
      <c r="F3630" s="11">
        <v>15</v>
      </c>
      <c r="G3630" s="11">
        <v>244</v>
      </c>
      <c r="H3630" s="11">
        <v>2025238</v>
      </c>
      <c r="I3630" s="11" t="s">
        <v>5316</v>
      </c>
      <c r="J3630" s="11" t="s">
        <v>3436</v>
      </c>
      <c r="K3630" s="11" t="s">
        <v>17184</v>
      </c>
      <c r="L3630" s="11" t="s">
        <v>17185</v>
      </c>
      <c r="M3630" s="11" t="s">
        <v>17186</v>
      </c>
      <c r="N3630" s="11">
        <v>9589</v>
      </c>
      <c r="O3630" s="11">
        <v>489</v>
      </c>
      <c r="P3630" s="11">
        <v>3</v>
      </c>
      <c r="Q3630" s="11" t="s">
        <v>17187</v>
      </c>
      <c r="R3630" s="14" t="s">
        <v>17188</v>
      </c>
      <c r="S3630" s="11">
        <v>105</v>
      </c>
      <c r="T3630" s="11" t="s">
        <v>39</v>
      </c>
      <c r="U3630" s="11" t="s">
        <v>40</v>
      </c>
      <c r="V3630" s="11" t="s">
        <v>586</v>
      </c>
      <c r="W3630" s="11">
        <v>6000000</v>
      </c>
      <c r="X3630" s="11">
        <v>2001</v>
      </c>
      <c r="Y3630" s="11">
        <v>230</v>
      </c>
      <c r="Z3630" s="11">
        <v>5.8</v>
      </c>
      <c r="AA3630" s="11">
        <v>1.85</v>
      </c>
      <c r="AB3630" s="11">
        <v>289</v>
      </c>
      <c r="AC3630" s="11"/>
      <c r="AD3630" s="11" t="str">
        <f>IFERROR(__xludf.DUMMYFUNCTION("""COMPUTED_VALUE"""),"François Damiens")</f>
        <v>François Damiens</v>
      </c>
      <c r="AE3630" s="11"/>
    </row>
    <row r="3631" customHeight="1" spans="1:31">
      <c r="A3631" s="12" t="s">
        <v>30</v>
      </c>
      <c r="B3631" s="12" t="s">
        <v>17189</v>
      </c>
      <c r="C3631" s="12">
        <v>61</v>
      </c>
      <c r="D3631" s="12">
        <v>84</v>
      </c>
      <c r="E3631" s="12">
        <v>5</v>
      </c>
      <c r="F3631" s="12">
        <v>152</v>
      </c>
      <c r="G3631" s="12">
        <v>944</v>
      </c>
      <c r="H3631" s="12">
        <v>1028337</v>
      </c>
      <c r="I3631" s="12" t="s">
        <v>4075</v>
      </c>
      <c r="J3631" s="12" t="s">
        <v>4136</v>
      </c>
      <c r="K3631" s="12" t="s">
        <v>16203</v>
      </c>
      <c r="L3631" s="12" t="s">
        <v>17190</v>
      </c>
      <c r="M3631" s="12" t="s">
        <v>17191</v>
      </c>
      <c r="N3631" s="12">
        <v>3413</v>
      </c>
      <c r="O3631" s="12">
        <v>1407</v>
      </c>
      <c r="P3631" s="12">
        <v>2</v>
      </c>
      <c r="Q3631" s="12" t="s">
        <v>17192</v>
      </c>
      <c r="R3631" s="15" t="s">
        <v>17193</v>
      </c>
      <c r="S3631" s="12">
        <v>78</v>
      </c>
      <c r="T3631" s="12" t="s">
        <v>39</v>
      </c>
      <c r="U3631" s="12" t="s">
        <v>40</v>
      </c>
      <c r="V3631" s="12" t="s">
        <v>586</v>
      </c>
      <c r="W3631" s="16"/>
      <c r="X3631" s="12">
        <v>2001</v>
      </c>
      <c r="Y3631" s="12">
        <v>257</v>
      </c>
      <c r="Z3631" s="12">
        <v>6.4</v>
      </c>
      <c r="AA3631" s="12">
        <v>1.85</v>
      </c>
      <c r="AB3631" s="12">
        <v>29</v>
      </c>
      <c r="AC3631" s="12"/>
      <c r="AD3631" s="12" t="str">
        <f>IFERROR(__xludf.DUMMYFUNCTION("""COMPUTED_VALUE"""),"Glen Powell")</f>
        <v>Glen Powell</v>
      </c>
      <c r="AE3631" s="12"/>
    </row>
    <row r="3632" customHeight="1" spans="1:31">
      <c r="A3632" s="11" t="s">
        <v>30</v>
      </c>
      <c r="B3632" s="11" t="s">
        <v>17194</v>
      </c>
      <c r="C3632" s="11">
        <v>147</v>
      </c>
      <c r="D3632" s="11">
        <v>144</v>
      </c>
      <c r="E3632" s="11">
        <v>541</v>
      </c>
      <c r="F3632" s="11">
        <v>242</v>
      </c>
      <c r="G3632" s="11">
        <v>682</v>
      </c>
      <c r="H3632" s="13"/>
      <c r="I3632" s="11" t="s">
        <v>136</v>
      </c>
      <c r="J3632" s="11" t="s">
        <v>17195</v>
      </c>
      <c r="K3632" s="11" t="s">
        <v>17196</v>
      </c>
      <c r="L3632" s="11" t="s">
        <v>17197</v>
      </c>
      <c r="M3632" s="11" t="s">
        <v>17198</v>
      </c>
      <c r="N3632" s="11">
        <v>63192</v>
      </c>
      <c r="O3632" s="11">
        <v>2379</v>
      </c>
      <c r="P3632" s="11">
        <v>1</v>
      </c>
      <c r="Q3632" s="11" t="s">
        <v>17199</v>
      </c>
      <c r="R3632" s="14" t="s">
        <v>17200</v>
      </c>
      <c r="S3632" s="11">
        <v>287</v>
      </c>
      <c r="T3632" s="11" t="s">
        <v>39</v>
      </c>
      <c r="U3632" s="11" t="s">
        <v>40</v>
      </c>
      <c r="V3632" s="11" t="s">
        <v>586</v>
      </c>
      <c r="W3632" s="11">
        <v>6244087</v>
      </c>
      <c r="X3632" s="11">
        <v>1969</v>
      </c>
      <c r="Y3632" s="11">
        <v>288</v>
      </c>
      <c r="Z3632" s="11">
        <v>8</v>
      </c>
      <c r="AA3632" s="11">
        <v>2.35</v>
      </c>
      <c r="AB3632" s="11">
        <v>0</v>
      </c>
      <c r="AC3632" s="11"/>
      <c r="AD3632" s="11" t="str">
        <f>IFERROR(__xludf.DUMMYFUNCTION("""COMPUTED_VALUE"""),"Leigh Whannell")</f>
        <v>Leigh Whannell</v>
      </c>
      <c r="AE3632" s="11"/>
    </row>
    <row r="3633" customHeight="1" spans="1:31">
      <c r="A3633" s="12" t="s">
        <v>30</v>
      </c>
      <c r="B3633" s="12" t="s">
        <v>8198</v>
      </c>
      <c r="C3633" s="12">
        <v>147</v>
      </c>
      <c r="D3633" s="12">
        <v>99</v>
      </c>
      <c r="E3633" s="12">
        <v>129</v>
      </c>
      <c r="F3633" s="12">
        <v>362</v>
      </c>
      <c r="G3633" s="12">
        <v>976</v>
      </c>
      <c r="H3633" s="12">
        <v>2077046</v>
      </c>
      <c r="I3633" s="12" t="s">
        <v>1415</v>
      </c>
      <c r="J3633" s="12" t="s">
        <v>6770</v>
      </c>
      <c r="K3633" s="12" t="s">
        <v>6862</v>
      </c>
      <c r="L3633" s="12" t="s">
        <v>8384</v>
      </c>
      <c r="M3633" s="12" t="s">
        <v>17201</v>
      </c>
      <c r="N3633" s="12">
        <v>27266</v>
      </c>
      <c r="O3633" s="12">
        <v>2748</v>
      </c>
      <c r="P3633" s="12">
        <v>2</v>
      </c>
      <c r="Q3633" s="12" t="s">
        <v>17202</v>
      </c>
      <c r="R3633" s="15" t="s">
        <v>17203</v>
      </c>
      <c r="S3633" s="12">
        <v>75</v>
      </c>
      <c r="T3633" s="12" t="s">
        <v>39</v>
      </c>
      <c r="U3633" s="12" t="s">
        <v>40</v>
      </c>
      <c r="V3633" s="12" t="s">
        <v>586</v>
      </c>
      <c r="W3633" s="12">
        <v>6000000</v>
      </c>
      <c r="X3633" s="12">
        <v>2008</v>
      </c>
      <c r="Y3633" s="12">
        <v>617</v>
      </c>
      <c r="Z3633" s="12">
        <v>7</v>
      </c>
      <c r="AA3633" s="12">
        <v>2.35</v>
      </c>
      <c r="AB3633" s="12">
        <v>0</v>
      </c>
      <c r="AC3633" s="12"/>
      <c r="AD3633" s="12" t="str">
        <f>IFERROR(__xludf.DUMMYFUNCTION("""COMPUTED_VALUE"""),"Clare Kramer")</f>
        <v>Clare Kramer</v>
      </c>
      <c r="AE3633" s="12"/>
    </row>
    <row r="3634" customHeight="1" spans="1:31">
      <c r="A3634" s="11" t="s">
        <v>748</v>
      </c>
      <c r="B3634" s="11" t="s">
        <v>17204</v>
      </c>
      <c r="C3634" s="11">
        <v>23</v>
      </c>
      <c r="D3634" s="11">
        <v>110</v>
      </c>
      <c r="E3634" s="11">
        <v>735</v>
      </c>
      <c r="F3634" s="11">
        <v>20</v>
      </c>
      <c r="G3634" s="11">
        <v>187</v>
      </c>
      <c r="H3634" s="13"/>
      <c r="I3634" s="11" t="s">
        <v>17205</v>
      </c>
      <c r="J3634" s="11" t="s">
        <v>17206</v>
      </c>
      <c r="K3634" s="11" t="s">
        <v>17207</v>
      </c>
      <c r="L3634" s="11" t="s">
        <v>17208</v>
      </c>
      <c r="M3634" s="11" t="s">
        <v>17209</v>
      </c>
      <c r="N3634" s="11">
        <v>11623</v>
      </c>
      <c r="O3634" s="11">
        <v>297</v>
      </c>
      <c r="P3634" s="11">
        <v>2</v>
      </c>
      <c r="Q3634" s="11" t="s">
        <v>17210</v>
      </c>
      <c r="R3634" s="14" t="s">
        <v>17211</v>
      </c>
      <c r="S3634" s="11">
        <v>50</v>
      </c>
      <c r="T3634" s="11" t="s">
        <v>39</v>
      </c>
      <c r="U3634" s="11" t="s">
        <v>58</v>
      </c>
      <c r="V3634" s="11" t="s">
        <v>96</v>
      </c>
      <c r="W3634" s="11">
        <v>6000000</v>
      </c>
      <c r="X3634" s="11">
        <v>1979</v>
      </c>
      <c r="Y3634" s="11">
        <v>34</v>
      </c>
      <c r="Z3634" s="11">
        <v>7</v>
      </c>
      <c r="AA3634" s="11">
        <v>1.85</v>
      </c>
      <c r="AB3634" s="11">
        <v>643</v>
      </c>
      <c r="AC3634" s="11"/>
      <c r="AD3634" s="11" t="str">
        <f>IFERROR(__xludf.DUMMYFUNCTION("""COMPUTED_VALUE"""),"Richard Beymer")</f>
        <v>Richard Beymer</v>
      </c>
      <c r="AE3634" s="11"/>
    </row>
    <row r="3635" customHeight="1" spans="1:31">
      <c r="A3635" s="12" t="s">
        <v>30</v>
      </c>
      <c r="B3635" s="12" t="s">
        <v>16655</v>
      </c>
      <c r="C3635" s="12">
        <v>75</v>
      </c>
      <c r="D3635" s="12">
        <v>97</v>
      </c>
      <c r="E3635" s="12">
        <v>159</v>
      </c>
      <c r="F3635" s="12">
        <v>53</v>
      </c>
      <c r="G3635" s="12">
        <v>631</v>
      </c>
      <c r="H3635" s="12">
        <v>267194</v>
      </c>
      <c r="I3635" s="12" t="s">
        <v>3410</v>
      </c>
      <c r="J3635" s="12" t="s">
        <v>75</v>
      </c>
      <c r="K3635" s="12" t="s">
        <v>17212</v>
      </c>
      <c r="L3635" s="12" t="s">
        <v>17213</v>
      </c>
      <c r="M3635" s="12" t="s">
        <v>17214</v>
      </c>
      <c r="N3635" s="12">
        <v>6906</v>
      </c>
      <c r="O3635" s="12">
        <v>841</v>
      </c>
      <c r="P3635" s="12">
        <v>0</v>
      </c>
      <c r="Q3635" s="12" t="s">
        <v>17215</v>
      </c>
      <c r="R3635" s="15" t="s">
        <v>17216</v>
      </c>
      <c r="S3635" s="12">
        <v>111</v>
      </c>
      <c r="T3635" s="12" t="s">
        <v>39</v>
      </c>
      <c r="U3635" s="12" t="s">
        <v>58</v>
      </c>
      <c r="V3635" s="12" t="s">
        <v>586</v>
      </c>
      <c r="W3635" s="16"/>
      <c r="X3635" s="12">
        <v>2002</v>
      </c>
      <c r="Y3635" s="12">
        <v>104</v>
      </c>
      <c r="Z3635" s="12">
        <v>6.7</v>
      </c>
      <c r="AA3635" s="12">
        <v>1.85</v>
      </c>
      <c r="AB3635" s="12">
        <v>605</v>
      </c>
      <c r="AC3635" s="12"/>
      <c r="AD3635" s="12" t="str">
        <f>IFERROR(__xludf.DUMMYFUNCTION("""COMPUTED_VALUE"""),"Eddie Albert")</f>
        <v>Eddie Albert</v>
      </c>
      <c r="AE3635" s="12"/>
    </row>
    <row r="3636" customHeight="1" spans="1:31">
      <c r="A3636" s="11" t="s">
        <v>30</v>
      </c>
      <c r="B3636" s="11" t="s">
        <v>17217</v>
      </c>
      <c r="C3636" s="11">
        <v>17</v>
      </c>
      <c r="D3636" s="11">
        <v>107</v>
      </c>
      <c r="E3636" s="11">
        <v>0</v>
      </c>
      <c r="F3636" s="11">
        <v>284</v>
      </c>
      <c r="G3636" s="11">
        <v>721</v>
      </c>
      <c r="H3636" s="11">
        <v>869325</v>
      </c>
      <c r="I3636" s="11" t="s">
        <v>32</v>
      </c>
      <c r="J3636" s="11" t="s">
        <v>17218</v>
      </c>
      <c r="K3636" s="11" t="s">
        <v>5784</v>
      </c>
      <c r="L3636" s="11" t="s">
        <v>17219</v>
      </c>
      <c r="M3636" s="11" t="s">
        <v>17220</v>
      </c>
      <c r="N3636" s="11">
        <v>2281</v>
      </c>
      <c r="O3636" s="11">
        <v>2000</v>
      </c>
      <c r="P3636" s="11">
        <v>2</v>
      </c>
      <c r="Q3636" s="11" t="s">
        <v>17221</v>
      </c>
      <c r="R3636" s="14" t="s">
        <v>17222</v>
      </c>
      <c r="S3636" s="11">
        <v>16</v>
      </c>
      <c r="T3636" s="11" t="s">
        <v>39</v>
      </c>
      <c r="U3636" s="11" t="s">
        <v>40</v>
      </c>
      <c r="V3636" s="11" t="s">
        <v>41</v>
      </c>
      <c r="W3636" s="11">
        <v>6000000</v>
      </c>
      <c r="X3636" s="11">
        <v>1991</v>
      </c>
      <c r="Y3636" s="11">
        <v>514</v>
      </c>
      <c r="Z3636" s="11">
        <v>3.8</v>
      </c>
      <c r="AA3636" s="11">
        <v>1.85</v>
      </c>
      <c r="AB3636" s="11">
        <v>125</v>
      </c>
      <c r="AC3636" s="11"/>
      <c r="AD3636" s="11" t="str">
        <f>IFERROR(__xludf.DUMMYFUNCTION("""COMPUTED_VALUE"""),"Ted Raimi")</f>
        <v>Ted Raimi</v>
      </c>
      <c r="AE3636" s="11"/>
    </row>
    <row r="3637" customHeight="1" spans="1:31">
      <c r="A3637" s="12" t="s">
        <v>30</v>
      </c>
      <c r="B3637" s="12" t="s">
        <v>17223</v>
      </c>
      <c r="C3637" s="12">
        <v>16</v>
      </c>
      <c r="D3637" s="12">
        <v>90</v>
      </c>
      <c r="E3637" s="12">
        <v>11</v>
      </c>
      <c r="F3637" s="12">
        <v>316</v>
      </c>
      <c r="G3637" s="12">
        <v>767</v>
      </c>
      <c r="H3637" s="12">
        <v>399611</v>
      </c>
      <c r="I3637" s="12" t="s">
        <v>1635</v>
      </c>
      <c r="J3637" s="12" t="s">
        <v>6446</v>
      </c>
      <c r="K3637" s="12" t="s">
        <v>17224</v>
      </c>
      <c r="L3637" s="12" t="s">
        <v>17225</v>
      </c>
      <c r="M3637" s="12" t="s">
        <v>17226</v>
      </c>
      <c r="N3637" s="12">
        <v>1245</v>
      </c>
      <c r="O3637" s="12">
        <v>2370</v>
      </c>
      <c r="P3637" s="12">
        <v>2</v>
      </c>
      <c r="Q3637" s="12" t="s">
        <v>17227</v>
      </c>
      <c r="R3637" s="15" t="s">
        <v>17228</v>
      </c>
      <c r="S3637" s="12">
        <v>29</v>
      </c>
      <c r="T3637" s="12" t="s">
        <v>39</v>
      </c>
      <c r="U3637" s="12" t="s">
        <v>40</v>
      </c>
      <c r="V3637" s="12" t="s">
        <v>96</v>
      </c>
      <c r="W3637" s="12">
        <v>6000000</v>
      </c>
      <c r="X3637" s="12">
        <v>2010</v>
      </c>
      <c r="Y3637" s="12">
        <v>529</v>
      </c>
      <c r="Z3637" s="12">
        <v>5.7</v>
      </c>
      <c r="AA3637" s="12">
        <v>1.85</v>
      </c>
      <c r="AB3637" s="12">
        <v>0</v>
      </c>
      <c r="AC3637" s="12"/>
      <c r="AD3637" s="12" t="str">
        <f>IFERROR(__xludf.DUMMYFUNCTION("""COMPUTED_VALUE"""),"Frances Bay")</f>
        <v>Frances Bay</v>
      </c>
      <c r="AE3637" s="12"/>
    </row>
    <row r="3638" customHeight="1" spans="1:31">
      <c r="A3638" s="11" t="s">
        <v>30</v>
      </c>
      <c r="B3638" s="11" t="s">
        <v>15312</v>
      </c>
      <c r="C3638" s="11">
        <v>60</v>
      </c>
      <c r="D3638" s="11">
        <v>104</v>
      </c>
      <c r="E3638" s="11">
        <v>324</v>
      </c>
      <c r="F3638" s="11">
        <v>27</v>
      </c>
      <c r="G3638" s="11">
        <v>173</v>
      </c>
      <c r="H3638" s="11">
        <v>181798</v>
      </c>
      <c r="I3638" s="11" t="s">
        <v>3410</v>
      </c>
      <c r="J3638" s="11" t="s">
        <v>10028</v>
      </c>
      <c r="K3638" s="11" t="s">
        <v>17229</v>
      </c>
      <c r="L3638" s="11" t="s">
        <v>17230</v>
      </c>
      <c r="M3638" s="11" t="s">
        <v>17231</v>
      </c>
      <c r="N3638" s="11">
        <v>2591</v>
      </c>
      <c r="O3638" s="11">
        <v>282</v>
      </c>
      <c r="P3638" s="11">
        <v>5</v>
      </c>
      <c r="Q3638" s="11" t="s">
        <v>17232</v>
      </c>
      <c r="R3638" s="14" t="s">
        <v>17233</v>
      </c>
      <c r="S3638" s="11">
        <v>36</v>
      </c>
      <c r="T3638" s="11" t="s">
        <v>1465</v>
      </c>
      <c r="U3638" s="11" t="s">
        <v>1466</v>
      </c>
      <c r="V3638" s="11" t="s">
        <v>586</v>
      </c>
      <c r="W3638" s="13"/>
      <c r="X3638" s="11">
        <v>2003</v>
      </c>
      <c r="Y3638" s="11">
        <v>67</v>
      </c>
      <c r="Z3638" s="11">
        <v>6.6</v>
      </c>
      <c r="AA3638" s="11">
        <v>1.66</v>
      </c>
      <c r="AB3638" s="11">
        <v>52</v>
      </c>
      <c r="AC3638" s="11"/>
      <c r="AD3638" s="11" t="str">
        <f>IFERROR(__xludf.DUMMYFUNCTION("""COMPUTED_VALUE"""),"Patricia Belcher")</f>
        <v>Patricia Belcher</v>
      </c>
      <c r="AE3638" s="11"/>
    </row>
    <row r="3639" customHeight="1" spans="1:31">
      <c r="A3639" s="12" t="s">
        <v>30</v>
      </c>
      <c r="B3639" s="12" t="s">
        <v>11044</v>
      </c>
      <c r="C3639" s="12">
        <v>63</v>
      </c>
      <c r="D3639" s="12">
        <v>96</v>
      </c>
      <c r="E3639" s="12">
        <v>19</v>
      </c>
      <c r="F3639" s="12">
        <v>71</v>
      </c>
      <c r="G3639" s="12">
        <v>1000</v>
      </c>
      <c r="H3639" s="12">
        <v>115862</v>
      </c>
      <c r="I3639" s="12" t="s">
        <v>214</v>
      </c>
      <c r="J3639" s="12" t="s">
        <v>1403</v>
      </c>
      <c r="K3639" s="12" t="s">
        <v>847</v>
      </c>
      <c r="L3639" s="12" t="s">
        <v>17234</v>
      </c>
      <c r="M3639" s="12" t="s">
        <v>17235</v>
      </c>
      <c r="N3639" s="12">
        <v>7394</v>
      </c>
      <c r="O3639" s="12">
        <v>2163</v>
      </c>
      <c r="P3639" s="12">
        <v>2</v>
      </c>
      <c r="Q3639" s="12" t="s">
        <v>17236</v>
      </c>
      <c r="R3639" s="15" t="s">
        <v>17237</v>
      </c>
      <c r="S3639" s="12">
        <v>50</v>
      </c>
      <c r="T3639" s="12" t="s">
        <v>39</v>
      </c>
      <c r="U3639" s="12" t="s">
        <v>40</v>
      </c>
      <c r="V3639" s="12" t="s">
        <v>586</v>
      </c>
      <c r="W3639" s="12">
        <v>6000000</v>
      </c>
      <c r="X3639" s="12">
        <v>2009</v>
      </c>
      <c r="Y3639" s="12">
        <v>943</v>
      </c>
      <c r="Z3639" s="12">
        <v>6.7</v>
      </c>
      <c r="AA3639" s="12">
        <v>2.35</v>
      </c>
      <c r="AB3639" s="12">
        <v>0</v>
      </c>
      <c r="AC3639" s="12"/>
      <c r="AD3639" s="12" t="str">
        <f>IFERROR(__xludf.DUMMYFUNCTION("""COMPUTED_VALUE"""),"Al Leong")</f>
        <v>Al Leong</v>
      </c>
      <c r="AE3639" s="12"/>
    </row>
    <row r="3640" customHeight="1" spans="1:31">
      <c r="A3640" s="13"/>
      <c r="B3640" s="11" t="s">
        <v>4620</v>
      </c>
      <c r="C3640" s="11">
        <v>56</v>
      </c>
      <c r="D3640" s="11">
        <v>104</v>
      </c>
      <c r="E3640" s="11">
        <v>61</v>
      </c>
      <c r="F3640" s="11">
        <v>451</v>
      </c>
      <c r="G3640" s="11">
        <v>974</v>
      </c>
      <c r="H3640" s="11">
        <v>1346503</v>
      </c>
      <c r="I3640" s="11" t="s">
        <v>6520</v>
      </c>
      <c r="J3640" s="11" t="s">
        <v>286</v>
      </c>
      <c r="K3640" s="11" t="s">
        <v>504</v>
      </c>
      <c r="L3640" s="11" t="s">
        <v>17238</v>
      </c>
      <c r="M3640" s="11" t="s">
        <v>17239</v>
      </c>
      <c r="N3640" s="11">
        <v>3024</v>
      </c>
      <c r="O3640" s="11">
        <v>2430</v>
      </c>
      <c r="P3640" s="11">
        <v>0</v>
      </c>
      <c r="Q3640" s="11" t="s">
        <v>17240</v>
      </c>
      <c r="R3640" s="14" t="s">
        <v>17241</v>
      </c>
      <c r="S3640" s="11">
        <v>22</v>
      </c>
      <c r="T3640" s="11" t="s">
        <v>39</v>
      </c>
      <c r="U3640" s="11" t="s">
        <v>893</v>
      </c>
      <c r="V3640" s="11" t="s">
        <v>41</v>
      </c>
      <c r="W3640" s="11">
        <v>6000000</v>
      </c>
      <c r="X3640" s="11">
        <v>2011</v>
      </c>
      <c r="Y3640" s="11">
        <v>595</v>
      </c>
      <c r="Z3640" s="11">
        <v>6.1</v>
      </c>
      <c r="AA3640" s="11">
        <v>2.35</v>
      </c>
      <c r="AB3640" s="11">
        <v>0</v>
      </c>
      <c r="AC3640" s="11"/>
      <c r="AD3640" s="11" t="str">
        <f>IFERROR(__xludf.DUMMYFUNCTION("""COMPUTED_VALUE"""),"Ron Moody")</f>
        <v>Ron Moody</v>
      </c>
      <c r="AE3640" s="11"/>
    </row>
    <row r="3641" customHeight="1" spans="1:31">
      <c r="A3641" s="12" t="s">
        <v>30</v>
      </c>
      <c r="B3641" s="12" t="s">
        <v>8089</v>
      </c>
      <c r="C3641" s="12">
        <v>36</v>
      </c>
      <c r="D3641" s="12">
        <v>97</v>
      </c>
      <c r="E3641" s="12">
        <v>781</v>
      </c>
      <c r="F3641" s="12">
        <v>90</v>
      </c>
      <c r="G3641" s="12">
        <v>596</v>
      </c>
      <c r="H3641" s="12">
        <v>117560</v>
      </c>
      <c r="I3641" s="12" t="s">
        <v>214</v>
      </c>
      <c r="J3641" s="12" t="s">
        <v>1502</v>
      </c>
      <c r="K3641" s="12" t="s">
        <v>17242</v>
      </c>
      <c r="L3641" s="12" t="s">
        <v>17243</v>
      </c>
      <c r="M3641" s="12" t="s">
        <v>17244</v>
      </c>
      <c r="N3641" s="12">
        <v>2330</v>
      </c>
      <c r="O3641" s="12">
        <v>1081</v>
      </c>
      <c r="P3641" s="12">
        <v>0</v>
      </c>
      <c r="Q3641" s="12" t="s">
        <v>17245</v>
      </c>
      <c r="R3641" s="15" t="s">
        <v>17246</v>
      </c>
      <c r="S3641" s="12">
        <v>29</v>
      </c>
      <c r="T3641" s="12" t="s">
        <v>39</v>
      </c>
      <c r="U3641" s="12" t="s">
        <v>40</v>
      </c>
      <c r="V3641" s="12" t="s">
        <v>586</v>
      </c>
      <c r="W3641" s="12">
        <v>6000000</v>
      </c>
      <c r="X3641" s="12">
        <v>2006</v>
      </c>
      <c r="Y3641" s="12">
        <v>206</v>
      </c>
      <c r="Z3641" s="12">
        <v>6.2</v>
      </c>
      <c r="AA3641" s="12">
        <v>1.85</v>
      </c>
      <c r="AB3641" s="12">
        <v>224</v>
      </c>
      <c r="AC3641" s="12"/>
      <c r="AD3641" s="12" t="str">
        <f>IFERROR(__xludf.DUMMYFUNCTION("""COMPUTED_VALUE"""),"Jack Wild")</f>
        <v>Jack Wild</v>
      </c>
      <c r="AE3641" s="12"/>
    </row>
    <row r="3642" customHeight="1" spans="1:31">
      <c r="A3642" s="11" t="s">
        <v>30</v>
      </c>
      <c r="B3642" s="11" t="s">
        <v>13126</v>
      </c>
      <c r="C3642" s="11">
        <v>47</v>
      </c>
      <c r="D3642" s="11">
        <v>107</v>
      </c>
      <c r="E3642" s="11">
        <v>11</v>
      </c>
      <c r="F3642" s="11">
        <v>419</v>
      </c>
      <c r="G3642" s="11">
        <v>773</v>
      </c>
      <c r="H3642" s="11">
        <v>54606</v>
      </c>
      <c r="I3642" s="11" t="s">
        <v>4262</v>
      </c>
      <c r="J3642" s="11" t="s">
        <v>176</v>
      </c>
      <c r="K3642" s="11" t="s">
        <v>2019</v>
      </c>
      <c r="L3642" s="11" t="s">
        <v>17247</v>
      </c>
      <c r="M3642" s="11" t="s">
        <v>17248</v>
      </c>
      <c r="N3642" s="11">
        <v>1940</v>
      </c>
      <c r="O3642" s="11">
        <v>2440</v>
      </c>
      <c r="P3642" s="11">
        <v>0</v>
      </c>
      <c r="Q3642" s="11" t="s">
        <v>17249</v>
      </c>
      <c r="R3642" s="14" t="s">
        <v>17250</v>
      </c>
      <c r="S3642" s="11">
        <v>34</v>
      </c>
      <c r="T3642" s="11" t="s">
        <v>39</v>
      </c>
      <c r="U3642" s="11" t="s">
        <v>58</v>
      </c>
      <c r="V3642" s="11" t="s">
        <v>41</v>
      </c>
      <c r="W3642" s="11">
        <v>6000000</v>
      </c>
      <c r="X3642" s="11">
        <v>2001</v>
      </c>
      <c r="Y3642" s="11">
        <v>766</v>
      </c>
      <c r="Z3642" s="11">
        <v>6.2</v>
      </c>
      <c r="AA3642" s="11">
        <v>2.35</v>
      </c>
      <c r="AB3642" s="11">
        <v>30</v>
      </c>
      <c r="AC3642" s="11"/>
      <c r="AD3642" s="11" t="str">
        <f>IFERROR(__xludf.DUMMYFUNCTION("""COMPUTED_VALUE"""),"Andrew Lawrence")</f>
        <v>Andrew Lawrence</v>
      </c>
      <c r="AE3642" s="11"/>
    </row>
    <row r="3643" customHeight="1" spans="1:31">
      <c r="A3643" s="12" t="s">
        <v>30</v>
      </c>
      <c r="B3643" s="12" t="s">
        <v>17251</v>
      </c>
      <c r="C3643" s="12">
        <v>38</v>
      </c>
      <c r="D3643" s="12">
        <v>117</v>
      </c>
      <c r="E3643" s="12">
        <v>160</v>
      </c>
      <c r="F3643" s="12">
        <v>898</v>
      </c>
      <c r="G3643" s="12">
        <v>11000</v>
      </c>
      <c r="H3643" s="16"/>
      <c r="I3643" s="12" t="s">
        <v>3410</v>
      </c>
      <c r="J3643" s="12" t="s">
        <v>2377</v>
      </c>
      <c r="K3643" s="12" t="s">
        <v>5740</v>
      </c>
      <c r="L3643" s="12" t="s">
        <v>2535</v>
      </c>
      <c r="M3643" s="12" t="s">
        <v>17252</v>
      </c>
      <c r="N3643" s="12">
        <v>6454</v>
      </c>
      <c r="O3643" s="12">
        <v>15604</v>
      </c>
      <c r="P3643" s="12">
        <v>2</v>
      </c>
      <c r="Q3643" s="12" t="s">
        <v>17253</v>
      </c>
      <c r="R3643" s="15" t="s">
        <v>17254</v>
      </c>
      <c r="S3643" s="12">
        <v>44</v>
      </c>
      <c r="T3643" s="12" t="s">
        <v>39</v>
      </c>
      <c r="U3643" s="12" t="s">
        <v>40</v>
      </c>
      <c r="V3643" s="12" t="s">
        <v>96</v>
      </c>
      <c r="W3643" s="12">
        <v>7840000</v>
      </c>
      <c r="X3643" s="12">
        <v>1977</v>
      </c>
      <c r="Y3643" s="12">
        <v>949</v>
      </c>
      <c r="Z3643" s="12">
        <v>7.4</v>
      </c>
      <c r="AA3643" s="12">
        <v>1.85</v>
      </c>
      <c r="AB3643" s="12">
        <v>733</v>
      </c>
      <c r="AC3643" s="12"/>
      <c r="AD3643" s="12" t="str">
        <f>IFERROR(__xludf.DUMMYFUNCTION("""COMPUTED_VALUE"""),"Dabney Coleman")</f>
        <v>Dabney Coleman</v>
      </c>
      <c r="AE3643" s="12"/>
    </row>
    <row r="3644" customHeight="1" spans="1:31">
      <c r="A3644" s="11" t="s">
        <v>30</v>
      </c>
      <c r="B3644" s="11" t="s">
        <v>17255</v>
      </c>
      <c r="C3644" s="11">
        <v>26</v>
      </c>
      <c r="D3644" s="11">
        <v>85</v>
      </c>
      <c r="E3644" s="11">
        <v>0</v>
      </c>
      <c r="F3644" s="11">
        <v>499</v>
      </c>
      <c r="G3644" s="11">
        <v>11000</v>
      </c>
      <c r="H3644" s="11">
        <v>36497</v>
      </c>
      <c r="I3644" s="11" t="s">
        <v>1672</v>
      </c>
      <c r="J3644" s="11" t="s">
        <v>661</v>
      </c>
      <c r="K3644" s="11" t="s">
        <v>1320</v>
      </c>
      <c r="L3644" s="11" t="s">
        <v>13823</v>
      </c>
      <c r="M3644" s="11" t="s">
        <v>17256</v>
      </c>
      <c r="N3644" s="11">
        <v>7367</v>
      </c>
      <c r="O3644" s="11">
        <v>14599</v>
      </c>
      <c r="P3644" s="11">
        <v>0</v>
      </c>
      <c r="Q3644" s="11" t="s">
        <v>17257</v>
      </c>
      <c r="R3644" s="14" t="s">
        <v>17258</v>
      </c>
      <c r="S3644" s="11">
        <v>37</v>
      </c>
      <c r="T3644" s="11" t="s">
        <v>39</v>
      </c>
      <c r="U3644" s="11" t="s">
        <v>40</v>
      </c>
      <c r="V3644" s="11" t="s">
        <v>586</v>
      </c>
      <c r="W3644" s="11">
        <v>6000000</v>
      </c>
      <c r="X3644" s="11">
        <v>2008</v>
      </c>
      <c r="Y3644" s="11">
        <v>826</v>
      </c>
      <c r="Z3644" s="11">
        <v>4.7</v>
      </c>
      <c r="AA3644" s="11">
        <v>1.85</v>
      </c>
      <c r="AB3644" s="11">
        <v>850</v>
      </c>
      <c r="AC3644" s="11"/>
      <c r="AD3644" s="11" t="str">
        <f>IFERROR(__xludf.DUMMYFUNCTION("""COMPUTED_VALUE"""),"Tina Turner")</f>
        <v>Tina Turner</v>
      </c>
      <c r="AE3644" s="11"/>
    </row>
    <row r="3645" customHeight="1" spans="1:31">
      <c r="A3645" s="12" t="s">
        <v>748</v>
      </c>
      <c r="B3645" s="12" t="s">
        <v>7745</v>
      </c>
      <c r="C3645" s="12">
        <v>47</v>
      </c>
      <c r="D3645" s="12">
        <v>152</v>
      </c>
      <c r="E3645" s="12">
        <v>194</v>
      </c>
      <c r="F3645" s="12">
        <v>0</v>
      </c>
      <c r="G3645" s="12">
        <v>103</v>
      </c>
      <c r="H3645" s="12">
        <v>23807</v>
      </c>
      <c r="I3645" s="12" t="s">
        <v>68</v>
      </c>
      <c r="J3645" s="12" t="s">
        <v>17259</v>
      </c>
      <c r="K3645" s="12" t="s">
        <v>17260</v>
      </c>
      <c r="L3645" s="12" t="s">
        <v>17261</v>
      </c>
      <c r="M3645" s="12" t="s">
        <v>17262</v>
      </c>
      <c r="N3645" s="12">
        <v>2143</v>
      </c>
      <c r="O3645" s="12">
        <v>105</v>
      </c>
      <c r="P3645" s="12">
        <v>0</v>
      </c>
      <c r="Q3645" s="12" t="s">
        <v>17263</v>
      </c>
      <c r="R3645" s="15" t="s">
        <v>17264</v>
      </c>
      <c r="S3645" s="12">
        <v>29</v>
      </c>
      <c r="T3645" s="12" t="s">
        <v>39</v>
      </c>
      <c r="U3645" s="12" t="s">
        <v>40</v>
      </c>
      <c r="V3645" s="12" t="s">
        <v>5614</v>
      </c>
      <c r="W3645" s="16"/>
      <c r="X3645" s="12">
        <v>2006</v>
      </c>
      <c r="Y3645" s="12">
        <v>2</v>
      </c>
      <c r="Z3645" s="12">
        <v>8.3</v>
      </c>
      <c r="AA3645" s="16"/>
      <c r="AB3645" s="12">
        <v>570</v>
      </c>
      <c r="AC3645" s="12"/>
      <c r="AD3645" s="12" t="str">
        <f>IFERROR(__xludf.DUMMYFUNCTION("""COMPUTED_VALUE"""),"Angelo Rossitto")</f>
        <v>Angelo Rossitto</v>
      </c>
      <c r="AE3645" s="12"/>
    </row>
    <row r="3646" customHeight="1" spans="1:31">
      <c r="A3646" s="11" t="s">
        <v>30</v>
      </c>
      <c r="B3646" s="11" t="s">
        <v>17265</v>
      </c>
      <c r="C3646" s="11">
        <v>68</v>
      </c>
      <c r="D3646" s="11">
        <v>85</v>
      </c>
      <c r="E3646" s="11">
        <v>9</v>
      </c>
      <c r="F3646" s="11">
        <v>407</v>
      </c>
      <c r="G3646" s="11">
        <v>861</v>
      </c>
      <c r="H3646" s="13"/>
      <c r="I3646" s="11" t="s">
        <v>9194</v>
      </c>
      <c r="J3646" s="11" t="s">
        <v>5937</v>
      </c>
      <c r="K3646" s="11" t="s">
        <v>16591</v>
      </c>
      <c r="L3646" s="11" t="s">
        <v>10020</v>
      </c>
      <c r="M3646" s="11" t="s">
        <v>17266</v>
      </c>
      <c r="N3646" s="11">
        <v>38273</v>
      </c>
      <c r="O3646" s="11">
        <v>2200</v>
      </c>
      <c r="P3646" s="11">
        <v>1</v>
      </c>
      <c r="Q3646" s="11" t="s">
        <v>17267</v>
      </c>
      <c r="R3646" s="14" t="s">
        <v>17268</v>
      </c>
      <c r="S3646" s="11">
        <v>133</v>
      </c>
      <c r="T3646" s="11" t="s">
        <v>39</v>
      </c>
      <c r="U3646" s="11" t="s">
        <v>40</v>
      </c>
      <c r="V3646" s="11" t="s">
        <v>586</v>
      </c>
      <c r="W3646" s="11">
        <v>6000000</v>
      </c>
      <c r="X3646" s="11">
        <v>2003</v>
      </c>
      <c r="Y3646" s="11">
        <v>618</v>
      </c>
      <c r="Z3646" s="11">
        <v>7.2</v>
      </c>
      <c r="AA3646" s="11">
        <v>1.85</v>
      </c>
      <c r="AB3646" s="11">
        <v>0</v>
      </c>
      <c r="AC3646" s="11"/>
      <c r="AD3646" s="11" t="str">
        <f>IFERROR(__xludf.DUMMYFUNCTION("""COMPUTED_VALUE"""),"Vernon Wells")</f>
        <v>Vernon Wells</v>
      </c>
      <c r="AE3646" s="11"/>
    </row>
    <row r="3647" customHeight="1" spans="1:31">
      <c r="A3647" s="12" t="s">
        <v>30</v>
      </c>
      <c r="B3647" s="12" t="s">
        <v>17269</v>
      </c>
      <c r="C3647" s="12">
        <v>19</v>
      </c>
      <c r="D3647" s="12">
        <v>76</v>
      </c>
      <c r="E3647" s="12">
        <v>17</v>
      </c>
      <c r="F3647" s="12">
        <v>259</v>
      </c>
      <c r="G3647" s="12">
        <v>636</v>
      </c>
      <c r="H3647" s="16"/>
      <c r="I3647" s="12" t="s">
        <v>923</v>
      </c>
      <c r="J3647" s="12" t="s">
        <v>17270</v>
      </c>
      <c r="K3647" s="12" t="s">
        <v>14628</v>
      </c>
      <c r="L3647" s="12" t="s">
        <v>6820</v>
      </c>
      <c r="M3647" s="12" t="s">
        <v>17271</v>
      </c>
      <c r="N3647" s="12">
        <v>2989</v>
      </c>
      <c r="O3647" s="12">
        <v>2152</v>
      </c>
      <c r="P3647" s="12">
        <v>1</v>
      </c>
      <c r="Q3647" s="12" t="s">
        <v>17272</v>
      </c>
      <c r="R3647" s="15" t="s">
        <v>17273</v>
      </c>
      <c r="S3647" s="12">
        <v>38</v>
      </c>
      <c r="T3647" s="12" t="s">
        <v>39</v>
      </c>
      <c r="U3647" s="12" t="s">
        <v>40</v>
      </c>
      <c r="V3647" s="12" t="s">
        <v>586</v>
      </c>
      <c r="W3647" s="12">
        <v>8600000</v>
      </c>
      <c r="X3647" s="12">
        <v>1994</v>
      </c>
      <c r="Y3647" s="12">
        <v>472</v>
      </c>
      <c r="Z3647" s="12">
        <v>5.8</v>
      </c>
      <c r="AA3647" s="12">
        <v>2.35</v>
      </c>
      <c r="AB3647" s="12">
        <v>176</v>
      </c>
      <c r="AC3647" s="12"/>
      <c r="AD3647" s="12" t="str">
        <f>IFERROR(__xludf.DUMMYFUNCTION("""COMPUTED_VALUE"""),"Stephanie Lemelin")</f>
        <v>Stephanie Lemelin</v>
      </c>
      <c r="AE3647" s="12"/>
    </row>
    <row r="3648" customHeight="1" spans="1:31">
      <c r="A3648" s="11" t="s">
        <v>30</v>
      </c>
      <c r="B3648" s="11" t="s">
        <v>17274</v>
      </c>
      <c r="C3648" s="11">
        <v>39</v>
      </c>
      <c r="D3648" s="11">
        <v>87</v>
      </c>
      <c r="E3648" s="11">
        <v>2</v>
      </c>
      <c r="F3648" s="11">
        <v>99</v>
      </c>
      <c r="G3648" s="11">
        <v>592</v>
      </c>
      <c r="H3648" s="13"/>
      <c r="I3648" s="11" t="s">
        <v>1924</v>
      </c>
      <c r="J3648" s="11" t="s">
        <v>5466</v>
      </c>
      <c r="K3648" s="11" t="s">
        <v>5379</v>
      </c>
      <c r="L3648" s="11" t="s">
        <v>17275</v>
      </c>
      <c r="M3648" s="11" t="s">
        <v>17276</v>
      </c>
      <c r="N3648" s="11">
        <v>2050</v>
      </c>
      <c r="O3648" s="11">
        <v>1227</v>
      </c>
      <c r="P3648" s="11">
        <v>1</v>
      </c>
      <c r="Q3648" s="11" t="s">
        <v>17277</v>
      </c>
      <c r="R3648" s="14" t="s">
        <v>17278</v>
      </c>
      <c r="S3648" s="11">
        <v>17</v>
      </c>
      <c r="T3648" s="11" t="s">
        <v>39</v>
      </c>
      <c r="U3648" s="11" t="s">
        <v>40</v>
      </c>
      <c r="V3648" s="11" t="s">
        <v>586</v>
      </c>
      <c r="W3648" s="13"/>
      <c r="X3648" s="11">
        <v>2009</v>
      </c>
      <c r="Y3648" s="11">
        <v>521</v>
      </c>
      <c r="Z3648" s="11">
        <v>5.9</v>
      </c>
      <c r="AA3648" s="11">
        <v>1.85</v>
      </c>
      <c r="AB3648" s="11">
        <v>275</v>
      </c>
      <c r="AC3648" s="11"/>
      <c r="AD3648" s="11" t="str">
        <f>IFERROR(__xludf.DUMMYFUNCTION("""COMPUTED_VALUE"""),"Hayley Kiyoko")</f>
        <v>Hayley Kiyoko</v>
      </c>
      <c r="AE3648" s="11"/>
    </row>
    <row r="3649" customHeight="1" spans="1:31">
      <c r="A3649" s="12" t="s">
        <v>30</v>
      </c>
      <c r="B3649" s="12" t="s">
        <v>13272</v>
      </c>
      <c r="C3649" s="12">
        <v>162</v>
      </c>
      <c r="D3649" s="12">
        <v>95</v>
      </c>
      <c r="E3649" s="12">
        <v>24</v>
      </c>
      <c r="F3649" s="12">
        <v>874</v>
      </c>
      <c r="G3649" s="12">
        <v>16000</v>
      </c>
      <c r="H3649" s="12">
        <v>65804</v>
      </c>
      <c r="I3649" s="12" t="s">
        <v>2126</v>
      </c>
      <c r="J3649" s="12" t="s">
        <v>380</v>
      </c>
      <c r="K3649" s="12" t="s">
        <v>302</v>
      </c>
      <c r="L3649" s="12" t="s">
        <v>5105</v>
      </c>
      <c r="M3649" s="12" t="s">
        <v>17279</v>
      </c>
      <c r="N3649" s="12">
        <v>32512</v>
      </c>
      <c r="O3649" s="12">
        <v>27575</v>
      </c>
      <c r="P3649" s="12">
        <v>1</v>
      </c>
      <c r="Q3649" s="12" t="s">
        <v>17280</v>
      </c>
      <c r="R3649" s="15" t="s">
        <v>17281</v>
      </c>
      <c r="S3649" s="12">
        <v>86</v>
      </c>
      <c r="T3649" s="12" t="s">
        <v>39</v>
      </c>
      <c r="U3649" s="12" t="s">
        <v>40</v>
      </c>
      <c r="V3649" s="12" t="s">
        <v>586</v>
      </c>
      <c r="W3649" s="12">
        <v>12000000</v>
      </c>
      <c r="X3649" s="12">
        <v>2012</v>
      </c>
      <c r="Y3649" s="12">
        <v>10000</v>
      </c>
      <c r="Z3649" s="12">
        <v>6.3</v>
      </c>
      <c r="AA3649" s="12">
        <v>2.35</v>
      </c>
      <c r="AB3649" s="12">
        <v>0</v>
      </c>
      <c r="AC3649" s="12"/>
      <c r="AD3649" s="12" t="str">
        <f>IFERROR(__xludf.DUMMYFUNCTION("""COMPUTED_VALUE"""),"Vanity")</f>
        <v>Vanity</v>
      </c>
      <c r="AE3649" s="12"/>
    </row>
    <row r="3650" customHeight="1" spans="1:31">
      <c r="A3650" s="11" t="s">
        <v>30</v>
      </c>
      <c r="B3650" s="11" t="s">
        <v>15477</v>
      </c>
      <c r="C3650" s="11">
        <v>37</v>
      </c>
      <c r="D3650" s="11">
        <v>101</v>
      </c>
      <c r="E3650" s="11">
        <v>24</v>
      </c>
      <c r="F3650" s="11">
        <v>130</v>
      </c>
      <c r="G3650" s="11">
        <v>933</v>
      </c>
      <c r="H3650" s="13"/>
      <c r="I3650" s="11" t="s">
        <v>7144</v>
      </c>
      <c r="J3650" s="11" t="s">
        <v>1694</v>
      </c>
      <c r="K3650" s="11" t="s">
        <v>6446</v>
      </c>
      <c r="L3650" s="11" t="s">
        <v>17282</v>
      </c>
      <c r="M3650" s="11" t="s">
        <v>17283</v>
      </c>
      <c r="N3650" s="11">
        <v>1696</v>
      </c>
      <c r="O3650" s="11">
        <v>1940</v>
      </c>
      <c r="P3650" s="11">
        <v>2</v>
      </c>
      <c r="Q3650" s="11" t="s">
        <v>17284</v>
      </c>
      <c r="R3650" s="14" t="s">
        <v>17285</v>
      </c>
      <c r="S3650" s="11">
        <v>19</v>
      </c>
      <c r="T3650" s="11" t="s">
        <v>39</v>
      </c>
      <c r="U3650" s="11" t="s">
        <v>269</v>
      </c>
      <c r="V3650" s="11" t="s">
        <v>96</v>
      </c>
      <c r="W3650" s="11">
        <v>6000000</v>
      </c>
      <c r="X3650" s="11">
        <v>2009</v>
      </c>
      <c r="Y3650" s="11">
        <v>767</v>
      </c>
      <c r="Z3650" s="11">
        <v>7.2</v>
      </c>
      <c r="AA3650" s="11">
        <v>2.35</v>
      </c>
      <c r="AB3650" s="11">
        <v>1000</v>
      </c>
      <c r="AC3650" s="11"/>
      <c r="AD3650" s="11" t="str">
        <f>IFERROR(__xludf.DUMMYFUNCTION("""COMPUTED_VALUE"""),"Jeff Fahey")</f>
        <v>Jeff Fahey</v>
      </c>
      <c r="AE3650" s="11"/>
    </row>
    <row r="3651" customHeight="1" spans="1:31">
      <c r="A3651" s="12" t="s">
        <v>30</v>
      </c>
      <c r="B3651" s="12" t="s">
        <v>17286</v>
      </c>
      <c r="C3651" s="12">
        <v>26</v>
      </c>
      <c r="D3651" s="12">
        <v>90</v>
      </c>
      <c r="E3651" s="12">
        <v>58</v>
      </c>
      <c r="F3651" s="12">
        <v>787</v>
      </c>
      <c r="G3651" s="12">
        <v>848</v>
      </c>
      <c r="H3651" s="16"/>
      <c r="I3651" s="12" t="s">
        <v>60</v>
      </c>
      <c r="J3651" s="12" t="s">
        <v>15414</v>
      </c>
      <c r="K3651" s="12" t="s">
        <v>17287</v>
      </c>
      <c r="L3651" s="12" t="s">
        <v>2050</v>
      </c>
      <c r="M3651" s="12" t="s">
        <v>17288</v>
      </c>
      <c r="N3651" s="12">
        <v>10196</v>
      </c>
      <c r="O3651" s="12">
        <v>3469</v>
      </c>
      <c r="P3651" s="12">
        <v>1</v>
      </c>
      <c r="Q3651" s="12" t="s">
        <v>17289</v>
      </c>
      <c r="R3651" s="15" t="s">
        <v>17290</v>
      </c>
      <c r="S3651" s="12">
        <v>39</v>
      </c>
      <c r="T3651" s="12" t="s">
        <v>39</v>
      </c>
      <c r="U3651" s="12" t="s">
        <v>40</v>
      </c>
      <c r="V3651" s="12" t="s">
        <v>586</v>
      </c>
      <c r="W3651" s="12">
        <v>6000000</v>
      </c>
      <c r="X3651" s="12">
        <v>2011</v>
      </c>
      <c r="Y3651" s="12">
        <v>816</v>
      </c>
      <c r="Z3651" s="12">
        <v>5.4</v>
      </c>
      <c r="AA3651" s="12">
        <v>1.85</v>
      </c>
      <c r="AB3651" s="12">
        <v>0</v>
      </c>
      <c r="AC3651" s="12"/>
      <c r="AD3651" s="12" t="str">
        <f>IFERROR(__xludf.DUMMYFUNCTION("""COMPUTED_VALUE"""),"Austin O'Brien")</f>
        <v>Austin O'Brien</v>
      </c>
      <c r="AE3651" s="12"/>
    </row>
    <row r="3652" customHeight="1" spans="1:31">
      <c r="A3652" s="11" t="s">
        <v>30</v>
      </c>
      <c r="B3652" s="13"/>
      <c r="C3652" s="11">
        <v>10</v>
      </c>
      <c r="D3652" s="11">
        <v>240</v>
      </c>
      <c r="E3652" s="13"/>
      <c r="F3652" s="11">
        <v>334</v>
      </c>
      <c r="G3652" s="11">
        <v>805</v>
      </c>
      <c r="H3652" s="13"/>
      <c r="I3652" s="11" t="s">
        <v>1415</v>
      </c>
      <c r="J3652" s="11" t="s">
        <v>10308</v>
      </c>
      <c r="K3652" s="11" t="s">
        <v>17291</v>
      </c>
      <c r="L3652" s="11" t="s">
        <v>3568</v>
      </c>
      <c r="M3652" s="11" t="s">
        <v>17292</v>
      </c>
      <c r="N3652" s="11">
        <v>10388</v>
      </c>
      <c r="O3652" s="11">
        <v>2563</v>
      </c>
      <c r="P3652" s="11">
        <v>1</v>
      </c>
      <c r="Q3652" s="11" t="s">
        <v>17293</v>
      </c>
      <c r="R3652" s="14" t="s">
        <v>17294</v>
      </c>
      <c r="S3652" s="11">
        <v>50</v>
      </c>
      <c r="T3652" s="11" t="s">
        <v>39</v>
      </c>
      <c r="U3652" s="11" t="s">
        <v>58</v>
      </c>
      <c r="V3652" s="13"/>
      <c r="W3652" s="13"/>
      <c r="X3652" s="13"/>
      <c r="Y3652" s="11">
        <v>432</v>
      </c>
      <c r="Z3652" s="11">
        <v>8.2</v>
      </c>
      <c r="AA3652" s="11">
        <v>1.78</v>
      </c>
      <c r="AB3652" s="11">
        <v>0</v>
      </c>
      <c r="AC3652" s="11"/>
      <c r="AD3652" s="11" t="str">
        <f>IFERROR(__xludf.DUMMYFUNCTION("""COMPUTED_VALUE"""),"Sal Lopez")</f>
        <v>Sal Lopez</v>
      </c>
      <c r="AE3652" s="11"/>
    </row>
    <row r="3653" customHeight="1" spans="1:31">
      <c r="A3653" s="12" t="s">
        <v>30</v>
      </c>
      <c r="B3653" s="12" t="s">
        <v>5404</v>
      </c>
      <c r="C3653" s="12">
        <v>179</v>
      </c>
      <c r="D3653" s="12">
        <v>89</v>
      </c>
      <c r="E3653" s="12">
        <v>0</v>
      </c>
      <c r="F3653" s="12">
        <v>15</v>
      </c>
      <c r="G3653" s="12">
        <v>391</v>
      </c>
      <c r="H3653" s="16"/>
      <c r="I3653" s="12" t="s">
        <v>4277</v>
      </c>
      <c r="J3653" s="12" t="s">
        <v>17295</v>
      </c>
      <c r="K3653" s="12" t="s">
        <v>17296</v>
      </c>
      <c r="L3653" s="12" t="s">
        <v>17297</v>
      </c>
      <c r="M3653" s="12" t="s">
        <v>17298</v>
      </c>
      <c r="N3653" s="12">
        <v>60522</v>
      </c>
      <c r="O3653" s="12">
        <v>477</v>
      </c>
      <c r="P3653" s="12">
        <v>0</v>
      </c>
      <c r="Q3653" s="12" t="s">
        <v>17299</v>
      </c>
      <c r="R3653" s="15" t="s">
        <v>17300</v>
      </c>
      <c r="S3653" s="12">
        <v>228</v>
      </c>
      <c r="T3653" s="12" t="s">
        <v>39</v>
      </c>
      <c r="U3653" s="12" t="s">
        <v>269</v>
      </c>
      <c r="V3653" s="12" t="s">
        <v>586</v>
      </c>
      <c r="W3653" s="12">
        <v>5952000</v>
      </c>
      <c r="X3653" s="12">
        <v>1983</v>
      </c>
      <c r="Y3653" s="12">
        <v>20</v>
      </c>
      <c r="Z3653" s="12">
        <v>7.3</v>
      </c>
      <c r="AA3653" s="12">
        <v>1.85</v>
      </c>
      <c r="AB3653" s="12">
        <v>0</v>
      </c>
      <c r="AC3653" s="12"/>
      <c r="AD3653" s="12" t="str">
        <f>IFERROR(__xludf.DUMMYFUNCTION("""COMPUTED_VALUE"""),"Shiri Appleby")</f>
        <v>Shiri Appleby</v>
      </c>
      <c r="AE3653" s="12"/>
    </row>
    <row r="3654" customHeight="1" spans="1:31">
      <c r="A3654" s="11" t="s">
        <v>30</v>
      </c>
      <c r="B3654" s="11" t="s">
        <v>17301</v>
      </c>
      <c r="C3654" s="11">
        <v>88</v>
      </c>
      <c r="D3654" s="11">
        <v>111</v>
      </c>
      <c r="E3654" s="11">
        <v>82</v>
      </c>
      <c r="F3654" s="11">
        <v>269</v>
      </c>
      <c r="G3654" s="11">
        <v>809</v>
      </c>
      <c r="H3654" s="11">
        <v>3895664</v>
      </c>
      <c r="I3654" s="11" t="s">
        <v>2528</v>
      </c>
      <c r="J3654" s="11" t="s">
        <v>10522</v>
      </c>
      <c r="K3654" s="11" t="s">
        <v>1630</v>
      </c>
      <c r="L3654" s="11" t="s">
        <v>15149</v>
      </c>
      <c r="M3654" s="11" t="s">
        <v>17302</v>
      </c>
      <c r="N3654" s="11">
        <v>34383</v>
      </c>
      <c r="O3654" s="11">
        <v>1858</v>
      </c>
      <c r="P3654" s="11">
        <v>0</v>
      </c>
      <c r="Q3654" s="11" t="s">
        <v>17303</v>
      </c>
      <c r="R3654" s="14" t="s">
        <v>17304</v>
      </c>
      <c r="S3654" s="11">
        <v>149</v>
      </c>
      <c r="T3654" s="11" t="s">
        <v>1465</v>
      </c>
      <c r="U3654" s="11" t="s">
        <v>1466</v>
      </c>
      <c r="V3654" s="11" t="s">
        <v>586</v>
      </c>
      <c r="W3654" s="11">
        <v>5300000</v>
      </c>
      <c r="X3654" s="11">
        <v>2002</v>
      </c>
      <c r="Y3654" s="11">
        <v>447</v>
      </c>
      <c r="Z3654" s="11">
        <v>7.3</v>
      </c>
      <c r="AA3654" s="11">
        <v>1.85</v>
      </c>
      <c r="AB3654" s="11">
        <v>0</v>
      </c>
      <c r="AC3654" s="11"/>
      <c r="AD3654" s="11" t="str">
        <f>IFERROR(__xludf.DUMMYFUNCTION("""COMPUTED_VALUE"""),"Tom Waits")</f>
        <v>Tom Waits</v>
      </c>
      <c r="AE3654" s="11"/>
    </row>
    <row r="3655" customHeight="1" spans="1:31">
      <c r="A3655" s="12" t="s">
        <v>30</v>
      </c>
      <c r="B3655" s="12" t="s">
        <v>17305</v>
      </c>
      <c r="C3655" s="12">
        <v>43</v>
      </c>
      <c r="D3655" s="12">
        <v>86</v>
      </c>
      <c r="E3655" s="12">
        <v>4</v>
      </c>
      <c r="F3655" s="12">
        <v>444</v>
      </c>
      <c r="G3655" s="12">
        <v>11000</v>
      </c>
      <c r="H3655" s="12">
        <v>20200</v>
      </c>
      <c r="I3655" s="12" t="s">
        <v>6200</v>
      </c>
      <c r="J3655" s="12" t="s">
        <v>257</v>
      </c>
      <c r="K3655" s="12" t="s">
        <v>17306</v>
      </c>
      <c r="L3655" s="12" t="s">
        <v>17307</v>
      </c>
      <c r="M3655" s="12" t="s">
        <v>17308</v>
      </c>
      <c r="N3655" s="12">
        <v>6797</v>
      </c>
      <c r="O3655" s="12">
        <v>12772</v>
      </c>
      <c r="P3655" s="12">
        <v>1</v>
      </c>
      <c r="Q3655" s="12" t="s">
        <v>17309</v>
      </c>
      <c r="R3655" s="15" t="s">
        <v>17310</v>
      </c>
      <c r="S3655" s="12">
        <v>21</v>
      </c>
      <c r="T3655" s="12" t="s">
        <v>39</v>
      </c>
      <c r="U3655" s="12" t="s">
        <v>40</v>
      </c>
      <c r="V3655" s="12" t="s">
        <v>41</v>
      </c>
      <c r="W3655" s="12">
        <v>6000000</v>
      </c>
      <c r="X3655" s="12">
        <v>2014</v>
      </c>
      <c r="Y3655" s="12">
        <v>485</v>
      </c>
      <c r="Z3655" s="12">
        <v>5.8</v>
      </c>
      <c r="AA3655" s="16"/>
      <c r="AB3655" s="12">
        <v>0</v>
      </c>
      <c r="AC3655" s="12"/>
      <c r="AD3655" s="12" t="str">
        <f>IFERROR(__xludf.DUMMYFUNCTION("""COMPUTED_VALUE"""),"Isiah Whitlock Jr.")</f>
        <v>Isiah Whitlock Jr.</v>
      </c>
      <c r="AE3655" s="12"/>
    </row>
    <row r="3656" customHeight="1" spans="1:31">
      <c r="A3656" s="11" t="s">
        <v>30</v>
      </c>
      <c r="B3656" s="11" t="s">
        <v>5329</v>
      </c>
      <c r="C3656" s="11">
        <v>136</v>
      </c>
      <c r="D3656" s="11">
        <v>115</v>
      </c>
      <c r="E3656" s="11">
        <v>58</v>
      </c>
      <c r="F3656" s="11">
        <v>400</v>
      </c>
      <c r="G3656" s="11">
        <v>33000</v>
      </c>
      <c r="H3656" s="11">
        <v>31874869</v>
      </c>
      <c r="I3656" s="11" t="s">
        <v>2215</v>
      </c>
      <c r="J3656" s="11" t="s">
        <v>4214</v>
      </c>
      <c r="K3656" s="11" t="s">
        <v>4528</v>
      </c>
      <c r="L3656" s="11" t="s">
        <v>5330</v>
      </c>
      <c r="M3656" s="11" t="s">
        <v>5331</v>
      </c>
      <c r="N3656" s="11">
        <v>43575</v>
      </c>
      <c r="O3656" s="11">
        <v>34605</v>
      </c>
      <c r="P3656" s="11">
        <v>0</v>
      </c>
      <c r="Q3656" s="11" t="s">
        <v>5332</v>
      </c>
      <c r="R3656" s="14" t="s">
        <v>5333</v>
      </c>
      <c r="S3656" s="11">
        <v>302</v>
      </c>
      <c r="T3656" s="11" t="s">
        <v>39</v>
      </c>
      <c r="U3656" s="11" t="s">
        <v>40</v>
      </c>
      <c r="V3656" s="11" t="s">
        <v>586</v>
      </c>
      <c r="W3656" s="11">
        <v>50000000</v>
      </c>
      <c r="X3656" s="11">
        <v>2002</v>
      </c>
      <c r="Y3656" s="11">
        <v>455</v>
      </c>
      <c r="Z3656" s="11">
        <v>6.1</v>
      </c>
      <c r="AA3656" s="11">
        <v>1.85</v>
      </c>
      <c r="AB3656" s="11">
        <v>0</v>
      </c>
      <c r="AC3656" s="11"/>
      <c r="AD3656" s="11" t="str">
        <f>IFERROR(__xludf.DUMMYFUNCTION("""COMPUTED_VALUE"""),"Herbert Lom")</f>
        <v>Herbert Lom</v>
      </c>
      <c r="AE3656" s="11"/>
    </row>
    <row r="3657" customHeight="1" spans="1:31">
      <c r="A3657" s="12" t="s">
        <v>30</v>
      </c>
      <c r="B3657" s="12" t="s">
        <v>17311</v>
      </c>
      <c r="C3657" s="12">
        <v>111</v>
      </c>
      <c r="D3657" s="12">
        <v>103</v>
      </c>
      <c r="E3657" s="12">
        <v>12</v>
      </c>
      <c r="F3657" s="12">
        <v>19</v>
      </c>
      <c r="G3657" s="12">
        <v>163</v>
      </c>
      <c r="H3657" s="12">
        <v>542860</v>
      </c>
      <c r="I3657" s="12" t="s">
        <v>1962</v>
      </c>
      <c r="J3657" s="12" t="s">
        <v>17312</v>
      </c>
      <c r="K3657" s="12" t="s">
        <v>17313</v>
      </c>
      <c r="L3657" s="12" t="s">
        <v>17314</v>
      </c>
      <c r="M3657" s="12" t="s">
        <v>17315</v>
      </c>
      <c r="N3657" s="12">
        <v>9230</v>
      </c>
      <c r="O3657" s="12">
        <v>219</v>
      </c>
      <c r="P3657" s="12">
        <v>1</v>
      </c>
      <c r="Q3657" s="12" t="s">
        <v>17316</v>
      </c>
      <c r="R3657" s="15" t="s">
        <v>17317</v>
      </c>
      <c r="S3657" s="12">
        <v>37</v>
      </c>
      <c r="T3657" s="12" t="s">
        <v>10491</v>
      </c>
      <c r="U3657" s="12" t="s">
        <v>10492</v>
      </c>
      <c r="V3657" s="12" t="s">
        <v>586</v>
      </c>
      <c r="W3657" s="12">
        <v>4000000</v>
      </c>
      <c r="X3657" s="12">
        <v>2008</v>
      </c>
      <c r="Y3657" s="12">
        <v>20</v>
      </c>
      <c r="Z3657" s="12">
        <v>7.1</v>
      </c>
      <c r="AA3657" s="12">
        <v>2.35</v>
      </c>
      <c r="AB3657" s="12">
        <v>0</v>
      </c>
      <c r="AC3657" s="12"/>
      <c r="AD3657" s="12" t="str">
        <f>IFERROR(__xludf.DUMMYFUNCTION("""COMPUTED_VALUE"""),"Laila Haley")</f>
        <v>Laila Haley</v>
      </c>
      <c r="AE3657" s="12"/>
    </row>
    <row r="3658" customHeight="1" spans="1:31">
      <c r="A3658" s="13"/>
      <c r="B3658" s="11" t="s">
        <v>17318</v>
      </c>
      <c r="C3658" s="11">
        <v>13</v>
      </c>
      <c r="D3658" s="11">
        <v>90</v>
      </c>
      <c r="E3658" s="11">
        <v>139</v>
      </c>
      <c r="F3658" s="11">
        <v>1000</v>
      </c>
      <c r="G3658" s="11">
        <v>2000</v>
      </c>
      <c r="H3658" s="13"/>
      <c r="I3658" s="11" t="s">
        <v>5968</v>
      </c>
      <c r="J3658" s="11" t="s">
        <v>4055</v>
      </c>
      <c r="K3658" s="11" t="s">
        <v>6434</v>
      </c>
      <c r="L3658" s="11" t="s">
        <v>5083</v>
      </c>
      <c r="M3658" s="11" t="s">
        <v>17319</v>
      </c>
      <c r="N3658" s="11">
        <v>6741</v>
      </c>
      <c r="O3658" s="11">
        <v>6569</v>
      </c>
      <c r="P3658" s="11">
        <v>0</v>
      </c>
      <c r="Q3658" s="11" t="s">
        <v>17320</v>
      </c>
      <c r="R3658" s="14" t="s">
        <v>17321</v>
      </c>
      <c r="S3658" s="11">
        <v>11</v>
      </c>
      <c r="T3658" s="11" t="s">
        <v>39</v>
      </c>
      <c r="U3658" s="11" t="s">
        <v>40</v>
      </c>
      <c r="V3658" s="11" t="s">
        <v>586</v>
      </c>
      <c r="W3658" s="11">
        <v>6000000</v>
      </c>
      <c r="X3658" s="11">
        <v>2012</v>
      </c>
      <c r="Y3658" s="11">
        <v>2000</v>
      </c>
      <c r="Z3658" s="11">
        <v>6.5</v>
      </c>
      <c r="AA3658" s="13"/>
      <c r="AB3658" s="11">
        <v>0</v>
      </c>
      <c r="AC3658" s="11"/>
      <c r="AD3658" s="11" t="str">
        <f>IFERROR(__xludf.DUMMYFUNCTION("""COMPUTED_VALUE"""),"Jaden Klein")</f>
        <v>Jaden Klein</v>
      </c>
      <c r="AE3658" s="11"/>
    </row>
    <row r="3659" customHeight="1" spans="1:31">
      <c r="A3659" s="12" t="s">
        <v>748</v>
      </c>
      <c r="B3659" s="12" t="s">
        <v>4713</v>
      </c>
      <c r="C3659" s="12">
        <v>64</v>
      </c>
      <c r="D3659" s="12">
        <v>133</v>
      </c>
      <c r="E3659" s="12">
        <v>287</v>
      </c>
      <c r="F3659" s="12">
        <v>28</v>
      </c>
      <c r="G3659" s="12">
        <v>343</v>
      </c>
      <c r="H3659" s="16"/>
      <c r="I3659" s="12" t="s">
        <v>17322</v>
      </c>
      <c r="J3659" s="12" t="s">
        <v>9243</v>
      </c>
      <c r="K3659" s="12" t="s">
        <v>17323</v>
      </c>
      <c r="L3659" s="12" t="s">
        <v>17324</v>
      </c>
      <c r="M3659" s="12" t="s">
        <v>17325</v>
      </c>
      <c r="N3659" s="12">
        <v>10119</v>
      </c>
      <c r="O3659" s="12">
        <v>502</v>
      </c>
      <c r="P3659" s="12">
        <v>0</v>
      </c>
      <c r="Q3659" s="12" t="s">
        <v>17326</v>
      </c>
      <c r="R3659" s="15" t="s">
        <v>17327</v>
      </c>
      <c r="S3659" s="12">
        <v>124</v>
      </c>
      <c r="T3659" s="12" t="s">
        <v>39</v>
      </c>
      <c r="U3659" s="12" t="s">
        <v>1466</v>
      </c>
      <c r="V3659" s="12" t="s">
        <v>5614</v>
      </c>
      <c r="W3659" s="12">
        <v>6700000</v>
      </c>
      <c r="X3659" s="12">
        <v>1964</v>
      </c>
      <c r="Y3659" s="12">
        <v>94</v>
      </c>
      <c r="Z3659" s="12">
        <v>7.9</v>
      </c>
      <c r="AA3659" s="12">
        <v>1.66</v>
      </c>
      <c r="AB3659" s="12">
        <v>0</v>
      </c>
      <c r="AC3659" s="12"/>
      <c r="AD3659" s="12" t="str">
        <f>IFERROR(__xludf.DUMMYFUNCTION("""COMPUTED_VALUE"""),"Johnny Whitworth")</f>
        <v>Johnny Whitworth</v>
      </c>
      <c r="AE3659" s="12"/>
    </row>
    <row r="3660" customHeight="1" spans="1:31">
      <c r="A3660" s="11" t="s">
        <v>30</v>
      </c>
      <c r="B3660" s="11" t="s">
        <v>17328</v>
      </c>
      <c r="C3660" s="11">
        <v>6</v>
      </c>
      <c r="D3660" s="11">
        <v>88</v>
      </c>
      <c r="E3660" s="11">
        <v>0</v>
      </c>
      <c r="F3660" s="11">
        <v>57</v>
      </c>
      <c r="G3660" s="11">
        <v>978</v>
      </c>
      <c r="H3660" s="11">
        <v>15059</v>
      </c>
      <c r="I3660" s="11" t="s">
        <v>4075</v>
      </c>
      <c r="J3660" s="11" t="s">
        <v>6706</v>
      </c>
      <c r="K3660" s="11" t="s">
        <v>5276</v>
      </c>
      <c r="L3660" s="11" t="s">
        <v>17329</v>
      </c>
      <c r="M3660" s="11" t="s">
        <v>17330</v>
      </c>
      <c r="N3660" s="11">
        <v>748</v>
      </c>
      <c r="O3660" s="11">
        <v>1443</v>
      </c>
      <c r="P3660" s="11">
        <v>2</v>
      </c>
      <c r="Q3660" s="11" t="s">
        <v>17331</v>
      </c>
      <c r="R3660" s="14" t="s">
        <v>17332</v>
      </c>
      <c r="S3660" s="11">
        <v>8</v>
      </c>
      <c r="T3660" s="11" t="s">
        <v>39</v>
      </c>
      <c r="U3660" s="11" t="s">
        <v>40</v>
      </c>
      <c r="V3660" s="11" t="s">
        <v>41</v>
      </c>
      <c r="W3660" s="13"/>
      <c r="X3660" s="11">
        <v>2012</v>
      </c>
      <c r="Y3660" s="11">
        <v>323</v>
      </c>
      <c r="Z3660" s="11">
        <v>5.4</v>
      </c>
      <c r="AA3660" s="11">
        <v>2.35</v>
      </c>
      <c r="AB3660" s="11">
        <v>543</v>
      </c>
      <c r="AC3660" s="11"/>
      <c r="AD3660" s="11" t="str">
        <f>IFERROR(__xludf.DUMMYFUNCTION("""COMPUTED_VALUE"""),"Richard Lynch")</f>
        <v>Richard Lynch</v>
      </c>
      <c r="AE3660" s="11"/>
    </row>
    <row r="3661" customHeight="1" spans="1:31">
      <c r="A3661" s="12" t="s">
        <v>30</v>
      </c>
      <c r="B3661" s="12" t="s">
        <v>17333</v>
      </c>
      <c r="C3661" s="12">
        <v>112</v>
      </c>
      <c r="D3661" s="12">
        <v>111</v>
      </c>
      <c r="E3661" s="12">
        <v>64</v>
      </c>
      <c r="F3661" s="12">
        <v>380</v>
      </c>
      <c r="G3661" s="12">
        <v>778</v>
      </c>
      <c r="H3661" s="12">
        <v>11905519</v>
      </c>
      <c r="I3661" s="12" t="s">
        <v>464</v>
      </c>
      <c r="J3661" s="12" t="s">
        <v>7263</v>
      </c>
      <c r="K3661" s="12" t="s">
        <v>17334</v>
      </c>
      <c r="L3661" s="12" t="s">
        <v>17335</v>
      </c>
      <c r="M3661" s="12" t="s">
        <v>17336</v>
      </c>
      <c r="N3661" s="12">
        <v>30210</v>
      </c>
      <c r="O3661" s="12">
        <v>2205</v>
      </c>
      <c r="P3661" s="12">
        <v>0</v>
      </c>
      <c r="Q3661" s="12" t="s">
        <v>17337</v>
      </c>
      <c r="R3661" s="15" t="s">
        <v>17338</v>
      </c>
      <c r="S3661" s="12">
        <v>214</v>
      </c>
      <c r="T3661" s="12" t="s">
        <v>13247</v>
      </c>
      <c r="U3661" s="12" t="s">
        <v>13248</v>
      </c>
      <c r="V3661" s="12" t="s">
        <v>586</v>
      </c>
      <c r="W3661" s="12">
        <v>200000000</v>
      </c>
      <c r="X3661" s="12">
        <v>2005</v>
      </c>
      <c r="Y3661" s="12">
        <v>635</v>
      </c>
      <c r="Z3661" s="12">
        <v>7.1</v>
      </c>
      <c r="AA3661" s="12">
        <v>1.85</v>
      </c>
      <c r="AB3661" s="12">
        <v>0</v>
      </c>
      <c r="AC3661" s="12"/>
      <c r="AD3661" s="12" t="str">
        <f>IFERROR(__xludf.DUMMYFUNCTION("""COMPUTED_VALUE"""),"Eddie Jones")</f>
        <v>Eddie Jones</v>
      </c>
      <c r="AE3661" s="12"/>
    </row>
    <row r="3662" customHeight="1" spans="1:31">
      <c r="A3662" s="11" t="s">
        <v>30</v>
      </c>
      <c r="B3662" s="11" t="s">
        <v>17339</v>
      </c>
      <c r="C3662" s="11">
        <v>12</v>
      </c>
      <c r="D3662" s="11">
        <v>94</v>
      </c>
      <c r="E3662" s="11">
        <v>0</v>
      </c>
      <c r="F3662" s="11">
        <v>136</v>
      </c>
      <c r="G3662" s="11">
        <v>722</v>
      </c>
      <c r="H3662" s="11">
        <v>69582</v>
      </c>
      <c r="I3662" s="11" t="s">
        <v>1672</v>
      </c>
      <c r="J3662" s="11" t="s">
        <v>3166</v>
      </c>
      <c r="K3662" s="11" t="s">
        <v>7458</v>
      </c>
      <c r="L3662" s="11" t="s">
        <v>16131</v>
      </c>
      <c r="M3662" s="11" t="s">
        <v>17340</v>
      </c>
      <c r="N3662" s="11">
        <v>867</v>
      </c>
      <c r="O3662" s="11">
        <v>1477</v>
      </c>
      <c r="P3662" s="11">
        <v>2</v>
      </c>
      <c r="Q3662" s="11" t="s">
        <v>17341</v>
      </c>
      <c r="R3662" s="14" t="s">
        <v>17342</v>
      </c>
      <c r="S3662" s="11">
        <v>21</v>
      </c>
      <c r="T3662" s="11" t="s">
        <v>39</v>
      </c>
      <c r="U3662" s="11" t="s">
        <v>58</v>
      </c>
      <c r="V3662" s="11" t="s">
        <v>586</v>
      </c>
      <c r="W3662" s="13"/>
      <c r="X3662" s="11">
        <v>1998</v>
      </c>
      <c r="Y3662" s="11">
        <v>338</v>
      </c>
      <c r="Z3662" s="11">
        <v>6.4</v>
      </c>
      <c r="AA3662" s="11">
        <v>1.85</v>
      </c>
      <c r="AB3662" s="11">
        <v>109</v>
      </c>
      <c r="AC3662" s="11"/>
      <c r="AD3662" s="11" t="str">
        <f>IFERROR(__xludf.DUMMYFUNCTION("""COMPUTED_VALUE"""),"Tina Desai")</f>
        <v>Tina Desai</v>
      </c>
      <c r="AE3662" s="11"/>
    </row>
    <row r="3663" customHeight="1" spans="1:31">
      <c r="A3663" s="12" t="s">
        <v>30</v>
      </c>
      <c r="B3663" s="16"/>
      <c r="C3663" s="12">
        <v>15</v>
      </c>
      <c r="D3663" s="12">
        <v>25</v>
      </c>
      <c r="E3663" s="16"/>
      <c r="F3663" s="12">
        <v>220</v>
      </c>
      <c r="G3663" s="12">
        <v>229</v>
      </c>
      <c r="H3663" s="16"/>
      <c r="I3663" s="12" t="s">
        <v>1681</v>
      </c>
      <c r="J3663" s="12" t="s">
        <v>17343</v>
      </c>
      <c r="K3663" s="12" t="s">
        <v>17344</v>
      </c>
      <c r="L3663" s="12" t="s">
        <v>17345</v>
      </c>
      <c r="M3663" s="12" t="s">
        <v>17346</v>
      </c>
      <c r="N3663" s="12">
        <v>55987</v>
      </c>
      <c r="O3663" s="12">
        <v>1239</v>
      </c>
      <c r="P3663" s="12">
        <v>0</v>
      </c>
      <c r="Q3663" s="12" t="s">
        <v>17347</v>
      </c>
      <c r="R3663" s="15" t="s">
        <v>17348</v>
      </c>
      <c r="S3663" s="12">
        <v>42</v>
      </c>
      <c r="T3663" s="12" t="s">
        <v>39</v>
      </c>
      <c r="U3663" s="12" t="s">
        <v>58</v>
      </c>
      <c r="V3663" s="12" t="s">
        <v>1127</v>
      </c>
      <c r="W3663" s="16"/>
      <c r="X3663" s="16"/>
      <c r="Y3663" s="12">
        <v>223</v>
      </c>
      <c r="Z3663" s="12">
        <v>8.4</v>
      </c>
      <c r="AA3663" s="12">
        <v>16</v>
      </c>
      <c r="AB3663" s="12">
        <v>0</v>
      </c>
      <c r="AC3663" s="12"/>
      <c r="AD3663" s="12" t="str">
        <f>IFERROR(__xludf.DUMMYFUNCTION("""COMPUTED_VALUE"""),"Ronald Pickup")</f>
        <v>Ronald Pickup</v>
      </c>
      <c r="AE3663" s="12"/>
    </row>
    <row r="3664" customHeight="1" spans="1:31">
      <c r="A3664" s="11" t="s">
        <v>30</v>
      </c>
      <c r="B3664" s="11" t="s">
        <v>15467</v>
      </c>
      <c r="C3664" s="11">
        <v>161</v>
      </c>
      <c r="D3664" s="11">
        <v>112</v>
      </c>
      <c r="E3664" s="11">
        <v>98</v>
      </c>
      <c r="F3664" s="11">
        <v>397</v>
      </c>
      <c r="G3664" s="11">
        <v>883</v>
      </c>
      <c r="H3664" s="11">
        <v>32541719</v>
      </c>
      <c r="I3664" s="11" t="s">
        <v>4479</v>
      </c>
      <c r="J3664" s="11" t="s">
        <v>1513</v>
      </c>
      <c r="K3664" s="11" t="s">
        <v>17349</v>
      </c>
      <c r="L3664" s="11" t="s">
        <v>16600</v>
      </c>
      <c r="M3664" s="11" t="s">
        <v>17350</v>
      </c>
      <c r="N3664" s="11">
        <v>89806</v>
      </c>
      <c r="O3664" s="11">
        <v>2201</v>
      </c>
      <c r="P3664" s="11">
        <v>0</v>
      </c>
      <c r="Q3664" s="11" t="s">
        <v>17351</v>
      </c>
      <c r="R3664" s="14" t="s">
        <v>17352</v>
      </c>
      <c r="S3664" s="11">
        <v>438</v>
      </c>
      <c r="T3664" s="11" t="s">
        <v>39</v>
      </c>
      <c r="U3664" s="11" t="s">
        <v>58</v>
      </c>
      <c r="V3664" s="11" t="s">
        <v>41</v>
      </c>
      <c r="W3664" s="11">
        <v>3500159</v>
      </c>
      <c r="X3664" s="11">
        <v>2002</v>
      </c>
      <c r="Y3664" s="11">
        <v>528</v>
      </c>
      <c r="Z3664" s="11">
        <v>6.7</v>
      </c>
      <c r="AA3664" s="11">
        <v>1.85</v>
      </c>
      <c r="AB3664" s="11">
        <v>0</v>
      </c>
      <c r="AC3664" s="11"/>
      <c r="AD3664" s="11" t="str">
        <f>IFERROR(__xludf.DUMMYFUNCTION("""COMPUTED_VALUE"""),"Charlie Murphy")</f>
        <v>Charlie Murphy</v>
      </c>
      <c r="AE3664" s="11"/>
    </row>
    <row r="3665" customHeight="1" spans="1:31">
      <c r="A3665" s="12" t="s">
        <v>30</v>
      </c>
      <c r="B3665" s="12" t="s">
        <v>15906</v>
      </c>
      <c r="C3665" s="12">
        <v>68</v>
      </c>
      <c r="D3665" s="12">
        <v>141</v>
      </c>
      <c r="E3665" s="12">
        <v>407</v>
      </c>
      <c r="F3665" s="12">
        <v>501</v>
      </c>
      <c r="G3665" s="12">
        <v>688</v>
      </c>
      <c r="H3665" s="12">
        <v>3064356</v>
      </c>
      <c r="I3665" s="12" t="s">
        <v>214</v>
      </c>
      <c r="J3665" s="12" t="s">
        <v>1281</v>
      </c>
      <c r="K3665" s="12" t="s">
        <v>17353</v>
      </c>
      <c r="L3665" s="12" t="s">
        <v>3965</v>
      </c>
      <c r="M3665" s="12" t="s">
        <v>17354</v>
      </c>
      <c r="N3665" s="12">
        <v>3433</v>
      </c>
      <c r="O3665" s="12">
        <v>2584</v>
      </c>
      <c r="P3665" s="12">
        <v>6</v>
      </c>
      <c r="Q3665" s="12" t="s">
        <v>17355</v>
      </c>
      <c r="R3665" s="15" t="s">
        <v>17356</v>
      </c>
      <c r="S3665" s="12">
        <v>81</v>
      </c>
      <c r="T3665" s="12" t="s">
        <v>39</v>
      </c>
      <c r="U3665" s="12" t="s">
        <v>40</v>
      </c>
      <c r="V3665" s="12" t="s">
        <v>41</v>
      </c>
      <c r="W3665" s="12">
        <v>5600000</v>
      </c>
      <c r="X3665" s="12">
        <v>2002</v>
      </c>
      <c r="Y3665" s="12">
        <v>659</v>
      </c>
      <c r="Z3665" s="12">
        <v>6.9</v>
      </c>
      <c r="AA3665" s="12">
        <v>1.85</v>
      </c>
      <c r="AB3665" s="12">
        <v>160</v>
      </c>
      <c r="AC3665" s="12"/>
      <c r="AD3665" s="12" t="str">
        <f>IFERROR(__xludf.DUMMYFUNCTION("""COMPUTED_VALUE"""),"Steve Oedekerk")</f>
        <v>Steve Oedekerk</v>
      </c>
      <c r="AE3665" s="12"/>
    </row>
    <row r="3666" customHeight="1" spans="1:31">
      <c r="A3666" s="11" t="s">
        <v>30</v>
      </c>
      <c r="B3666" s="11" t="s">
        <v>13713</v>
      </c>
      <c r="C3666" s="11">
        <v>25</v>
      </c>
      <c r="D3666" s="11">
        <v>95</v>
      </c>
      <c r="E3666" s="11">
        <v>17</v>
      </c>
      <c r="F3666" s="11">
        <v>255</v>
      </c>
      <c r="G3666" s="11">
        <v>592</v>
      </c>
      <c r="H3666" s="11">
        <v>7009668</v>
      </c>
      <c r="I3666" s="11" t="s">
        <v>17357</v>
      </c>
      <c r="J3666" s="11" t="s">
        <v>17358</v>
      </c>
      <c r="K3666" s="11" t="s">
        <v>17359</v>
      </c>
      <c r="L3666" s="11" t="s">
        <v>17360</v>
      </c>
      <c r="M3666" s="11" t="s">
        <v>17361</v>
      </c>
      <c r="N3666" s="11">
        <v>8707</v>
      </c>
      <c r="O3666" s="11">
        <v>2000</v>
      </c>
      <c r="P3666" s="11">
        <v>6</v>
      </c>
      <c r="Q3666" s="11" t="s">
        <v>17362</v>
      </c>
      <c r="R3666" s="14" t="s">
        <v>17363</v>
      </c>
      <c r="S3666" s="11">
        <v>36</v>
      </c>
      <c r="T3666" s="11" t="s">
        <v>39</v>
      </c>
      <c r="U3666" s="11" t="s">
        <v>40</v>
      </c>
      <c r="V3666" s="11" t="s">
        <v>41</v>
      </c>
      <c r="W3666" s="11">
        <v>5600000</v>
      </c>
      <c r="X3666" s="11">
        <v>2006</v>
      </c>
      <c r="Y3666" s="11">
        <v>378</v>
      </c>
      <c r="Z3666" s="11">
        <v>2.1</v>
      </c>
      <c r="AA3666" s="11">
        <v>1.85</v>
      </c>
      <c r="AB3666" s="11">
        <v>244</v>
      </c>
      <c r="AC3666" s="11"/>
      <c r="AD3666" s="11" t="str">
        <f>IFERROR(__xludf.DUMMYFUNCTION("""COMPUTED_VALUE"""),"Simon Rhee")</f>
        <v>Simon Rhee</v>
      </c>
      <c r="AE3666" s="11"/>
    </row>
    <row r="3667" customHeight="1" spans="1:31">
      <c r="A3667" s="12" t="s">
        <v>30</v>
      </c>
      <c r="B3667" s="12" t="s">
        <v>17364</v>
      </c>
      <c r="C3667" s="12">
        <v>23</v>
      </c>
      <c r="D3667" s="12">
        <v>141</v>
      </c>
      <c r="E3667" s="12">
        <v>2</v>
      </c>
      <c r="F3667" s="12">
        <v>61</v>
      </c>
      <c r="G3667" s="12">
        <v>634</v>
      </c>
      <c r="H3667" s="12">
        <v>352684</v>
      </c>
      <c r="I3667" s="12" t="s">
        <v>2137</v>
      </c>
      <c r="J3667" s="12" t="s">
        <v>17365</v>
      </c>
      <c r="K3667" s="12" t="s">
        <v>17366</v>
      </c>
      <c r="L3667" s="12" t="s">
        <v>17367</v>
      </c>
      <c r="M3667" s="12" t="s">
        <v>17368</v>
      </c>
      <c r="N3667" s="12">
        <v>4633</v>
      </c>
      <c r="O3667" s="12">
        <v>1065</v>
      </c>
      <c r="P3667" s="12">
        <v>1</v>
      </c>
      <c r="Q3667" s="12" t="s">
        <v>17369</v>
      </c>
      <c r="R3667" s="15" t="s">
        <v>17370</v>
      </c>
      <c r="S3667" s="12">
        <v>31</v>
      </c>
      <c r="T3667" s="12" t="s">
        <v>5612</v>
      </c>
      <c r="U3667" s="12" t="s">
        <v>5613</v>
      </c>
      <c r="V3667" s="12" t="s">
        <v>4831</v>
      </c>
      <c r="W3667" s="16"/>
      <c r="X3667" s="12">
        <v>2012</v>
      </c>
      <c r="Y3667" s="12">
        <v>284</v>
      </c>
      <c r="Z3667" s="12">
        <v>4.3</v>
      </c>
      <c r="AA3667" s="16"/>
      <c r="AB3667" s="12">
        <v>365</v>
      </c>
      <c r="AC3667" s="12"/>
      <c r="AD3667" s="12" t="str">
        <f>IFERROR(__xludf.DUMMYFUNCTION("""COMPUTED_VALUE"""),"Jennifer Tung")</f>
        <v>Jennifer Tung</v>
      </c>
      <c r="AE3667" s="12"/>
    </row>
    <row r="3668" customHeight="1" spans="1:31">
      <c r="A3668" s="11" t="s">
        <v>30</v>
      </c>
      <c r="B3668" s="11" t="s">
        <v>14720</v>
      </c>
      <c r="C3668" s="11">
        <v>222</v>
      </c>
      <c r="D3668" s="11">
        <v>85</v>
      </c>
      <c r="E3668" s="11">
        <v>57</v>
      </c>
      <c r="F3668" s="11">
        <v>6</v>
      </c>
      <c r="G3668" s="11">
        <v>37</v>
      </c>
      <c r="H3668" s="11">
        <v>27024</v>
      </c>
      <c r="I3668" s="11" t="s">
        <v>6403</v>
      </c>
      <c r="J3668" s="11" t="s">
        <v>17371</v>
      </c>
      <c r="K3668" s="11" t="s">
        <v>17372</v>
      </c>
      <c r="L3668" s="11" t="s">
        <v>17373</v>
      </c>
      <c r="M3668" s="11" t="s">
        <v>17374</v>
      </c>
      <c r="N3668" s="11">
        <v>55597</v>
      </c>
      <c r="O3668" s="11">
        <v>73</v>
      </c>
      <c r="P3668" s="11">
        <v>0</v>
      </c>
      <c r="Q3668" s="11" t="s">
        <v>17375</v>
      </c>
      <c r="R3668" s="14" t="s">
        <v>17376</v>
      </c>
      <c r="S3668" s="11">
        <v>148</v>
      </c>
      <c r="T3668" s="11" t="s">
        <v>2779</v>
      </c>
      <c r="U3668" s="11" t="s">
        <v>3572</v>
      </c>
      <c r="V3668" s="11" t="s">
        <v>586</v>
      </c>
      <c r="W3668" s="11">
        <v>5600000</v>
      </c>
      <c r="X3668" s="11">
        <v>2009</v>
      </c>
      <c r="Y3668" s="11">
        <v>9</v>
      </c>
      <c r="Z3668" s="11">
        <v>6.6</v>
      </c>
      <c r="AA3668" s="11">
        <v>1.85</v>
      </c>
      <c r="AB3668" s="11">
        <v>4000</v>
      </c>
      <c r="AC3668" s="11"/>
      <c r="AD3668" s="11" t="str">
        <f>IFERROR(__xludf.DUMMYFUNCTION("""COMPUTED_VALUE"""),"Reba McEntire")</f>
        <v>Reba McEntire</v>
      </c>
      <c r="AE3668" s="11"/>
    </row>
    <row r="3669" customHeight="1" spans="1:31">
      <c r="A3669" s="12" t="s">
        <v>30</v>
      </c>
      <c r="B3669" s="12" t="s">
        <v>15710</v>
      </c>
      <c r="C3669" s="12">
        <v>9</v>
      </c>
      <c r="D3669" s="12">
        <v>105</v>
      </c>
      <c r="E3669" s="12">
        <v>12</v>
      </c>
      <c r="F3669" s="12">
        <v>10</v>
      </c>
      <c r="G3669" s="12">
        <v>25</v>
      </c>
      <c r="H3669" s="12">
        <v>531806</v>
      </c>
      <c r="I3669" s="12" t="s">
        <v>17377</v>
      </c>
      <c r="J3669" s="12" t="s">
        <v>17378</v>
      </c>
      <c r="K3669" s="12" t="s">
        <v>17379</v>
      </c>
      <c r="L3669" s="12" t="s">
        <v>17380</v>
      </c>
      <c r="M3669" s="12" t="s">
        <v>17381</v>
      </c>
      <c r="N3669" s="12">
        <v>548</v>
      </c>
      <c r="O3669" s="12">
        <v>72</v>
      </c>
      <c r="P3669" s="12">
        <v>9</v>
      </c>
      <c r="Q3669" s="12" t="s">
        <v>17382</v>
      </c>
      <c r="R3669" s="15" t="s">
        <v>17383</v>
      </c>
      <c r="S3669" s="12">
        <v>6</v>
      </c>
      <c r="T3669" s="12" t="s">
        <v>39</v>
      </c>
      <c r="U3669" s="12" t="s">
        <v>40</v>
      </c>
      <c r="V3669" s="12" t="s">
        <v>96</v>
      </c>
      <c r="W3669" s="16"/>
      <c r="X3669" s="12">
        <v>2010</v>
      </c>
      <c r="Y3669" s="12">
        <v>11</v>
      </c>
      <c r="Z3669" s="12">
        <v>3.4</v>
      </c>
      <c r="AA3669" s="16"/>
      <c r="AB3669" s="12">
        <v>277</v>
      </c>
      <c r="AC3669" s="12"/>
      <c r="AD3669" s="12" t="str">
        <f>IFERROR(__xludf.DUMMYFUNCTION("""COMPUTED_VALUE"""),"Michael Gross")</f>
        <v>Michael Gross</v>
      </c>
      <c r="AE3669" s="12"/>
    </row>
    <row r="3670" customHeight="1" spans="1:31">
      <c r="A3670" s="11" t="s">
        <v>30</v>
      </c>
      <c r="B3670" s="11" t="s">
        <v>16986</v>
      </c>
      <c r="C3670" s="11">
        <v>119</v>
      </c>
      <c r="D3670" s="11">
        <v>129</v>
      </c>
      <c r="E3670" s="11">
        <v>131</v>
      </c>
      <c r="F3670" s="11">
        <v>417</v>
      </c>
      <c r="G3670" s="11">
        <v>1000</v>
      </c>
      <c r="H3670" s="11">
        <v>159600000</v>
      </c>
      <c r="I3670" s="11" t="s">
        <v>9194</v>
      </c>
      <c r="J3670" s="11" t="s">
        <v>4205</v>
      </c>
      <c r="K3670" s="11" t="s">
        <v>14011</v>
      </c>
      <c r="L3670" s="11" t="s">
        <v>4242</v>
      </c>
      <c r="M3670" s="11" t="s">
        <v>17384</v>
      </c>
      <c r="N3670" s="11">
        <v>175607</v>
      </c>
      <c r="O3670" s="11">
        <v>2387</v>
      </c>
      <c r="P3670" s="11">
        <v>0</v>
      </c>
      <c r="Q3670" s="11" t="s">
        <v>17385</v>
      </c>
      <c r="R3670" s="14" t="s">
        <v>17386</v>
      </c>
      <c r="S3670" s="11">
        <v>252</v>
      </c>
      <c r="T3670" s="11" t="s">
        <v>39</v>
      </c>
      <c r="U3670" s="11" t="s">
        <v>40</v>
      </c>
      <c r="V3670" s="11" t="s">
        <v>96</v>
      </c>
      <c r="W3670" s="11">
        <v>5500000</v>
      </c>
      <c r="X3670" s="11">
        <v>1973</v>
      </c>
      <c r="Y3670" s="11">
        <v>559</v>
      </c>
      <c r="Z3670" s="11">
        <v>8.3</v>
      </c>
      <c r="AA3670" s="11">
        <v>1.85</v>
      </c>
      <c r="AB3670" s="11">
        <v>0</v>
      </c>
      <c r="AC3670" s="11"/>
      <c r="AD3670" s="11" t="str">
        <f>IFERROR(__xludf.DUMMYFUNCTION("""COMPUTED_VALUE"""),"Lindy Booth")</f>
        <v>Lindy Booth</v>
      </c>
      <c r="AE3670" s="11"/>
    </row>
    <row r="3671" customHeight="1" spans="1:31">
      <c r="A3671" s="12" t="s">
        <v>30</v>
      </c>
      <c r="B3671" s="12" t="s">
        <v>7797</v>
      </c>
      <c r="C3671" s="12">
        <v>90</v>
      </c>
      <c r="D3671" s="12">
        <v>125</v>
      </c>
      <c r="E3671" s="12">
        <v>46</v>
      </c>
      <c r="F3671" s="12">
        <v>249</v>
      </c>
      <c r="G3671" s="12">
        <v>368</v>
      </c>
      <c r="H3671" s="12">
        <v>58800000</v>
      </c>
      <c r="I3671" s="12" t="s">
        <v>1635</v>
      </c>
      <c r="J3671" s="12" t="s">
        <v>5222</v>
      </c>
      <c r="K3671" s="12" t="s">
        <v>3132</v>
      </c>
      <c r="L3671" s="12" t="s">
        <v>3133</v>
      </c>
      <c r="M3671" s="12" t="s">
        <v>17387</v>
      </c>
      <c r="N3671" s="12">
        <v>40511</v>
      </c>
      <c r="O3671" s="12">
        <v>1651</v>
      </c>
      <c r="P3671" s="12">
        <v>0</v>
      </c>
      <c r="Q3671" s="12" t="s">
        <v>17388</v>
      </c>
      <c r="R3671" s="15" t="s">
        <v>17389</v>
      </c>
      <c r="S3671" s="12">
        <v>213</v>
      </c>
      <c r="T3671" s="12" t="s">
        <v>39</v>
      </c>
      <c r="U3671" s="12" t="s">
        <v>58</v>
      </c>
      <c r="V3671" s="12" t="s">
        <v>96</v>
      </c>
      <c r="W3671" s="12">
        <v>5500000</v>
      </c>
      <c r="X3671" s="12">
        <v>1981</v>
      </c>
      <c r="Y3671" s="12">
        <v>303</v>
      </c>
      <c r="Z3671" s="12">
        <v>7.2</v>
      </c>
      <c r="AA3671" s="12">
        <v>1.85</v>
      </c>
      <c r="AB3671" s="12">
        <v>0</v>
      </c>
      <c r="AC3671" s="12"/>
      <c r="AD3671" s="12" t="str">
        <f>IFERROR(__xludf.DUMMYFUNCTION("""COMPUTED_VALUE"""),"Byron Mann")</f>
        <v>Byron Mann</v>
      </c>
      <c r="AE3671" s="12"/>
    </row>
    <row r="3672" customHeight="1" spans="1:31">
      <c r="A3672" s="11" t="s">
        <v>30</v>
      </c>
      <c r="B3672" s="11" t="s">
        <v>17390</v>
      </c>
      <c r="C3672" s="11">
        <v>62</v>
      </c>
      <c r="D3672" s="11">
        <v>116</v>
      </c>
      <c r="E3672" s="11">
        <v>0</v>
      </c>
      <c r="F3672" s="11">
        <v>476</v>
      </c>
      <c r="G3672" s="11">
        <v>907</v>
      </c>
      <c r="H3672" s="11">
        <v>50382128</v>
      </c>
      <c r="I3672" s="11" t="s">
        <v>1415</v>
      </c>
      <c r="J3672" s="11" t="s">
        <v>7513</v>
      </c>
      <c r="K3672" s="11" t="s">
        <v>4910</v>
      </c>
      <c r="L3672" s="11" t="s">
        <v>15111</v>
      </c>
      <c r="M3672" s="11" t="s">
        <v>17391</v>
      </c>
      <c r="N3672" s="11">
        <v>10472</v>
      </c>
      <c r="O3672" s="11">
        <v>2723</v>
      </c>
      <c r="P3672" s="11">
        <v>0</v>
      </c>
      <c r="Q3672" s="11" t="s">
        <v>17392</v>
      </c>
      <c r="R3672" s="14" t="s">
        <v>17393</v>
      </c>
      <c r="S3672" s="11">
        <v>202</v>
      </c>
      <c r="T3672" s="11" t="s">
        <v>39</v>
      </c>
      <c r="U3672" s="11" t="s">
        <v>40</v>
      </c>
      <c r="V3672" s="11" t="s">
        <v>41</v>
      </c>
      <c r="W3672" s="11">
        <v>5500000</v>
      </c>
      <c r="X3672" s="11">
        <v>2005</v>
      </c>
      <c r="Y3672" s="11">
        <v>637</v>
      </c>
      <c r="Z3672" s="11">
        <v>5.6</v>
      </c>
      <c r="AA3672" s="11">
        <v>1.85</v>
      </c>
      <c r="AB3672" s="11">
        <v>0</v>
      </c>
      <c r="AC3672" s="11"/>
      <c r="AD3672" s="11" t="str">
        <f>IFERROR(__xludf.DUMMYFUNCTION("""COMPUTED_VALUE"""),"Carlos Alazraqui")</f>
        <v>Carlos Alazraqui</v>
      </c>
      <c r="AE3672" s="11"/>
    </row>
    <row r="3673" customHeight="1" spans="1:31">
      <c r="A3673" s="12" t="s">
        <v>30</v>
      </c>
      <c r="B3673" s="12" t="s">
        <v>7205</v>
      </c>
      <c r="C3673" s="12">
        <v>71</v>
      </c>
      <c r="D3673" s="12">
        <v>105</v>
      </c>
      <c r="E3673" s="12">
        <v>96</v>
      </c>
      <c r="F3673" s="12">
        <v>35</v>
      </c>
      <c r="G3673" s="12">
        <v>509</v>
      </c>
      <c r="H3673" s="12">
        <v>35811509</v>
      </c>
      <c r="I3673" s="12" t="s">
        <v>8771</v>
      </c>
      <c r="J3673" s="12" t="s">
        <v>525</v>
      </c>
      <c r="K3673" s="12" t="s">
        <v>854</v>
      </c>
      <c r="L3673" s="12" t="s">
        <v>17394</v>
      </c>
      <c r="M3673" s="12" t="s">
        <v>17395</v>
      </c>
      <c r="N3673" s="12">
        <v>43013</v>
      </c>
      <c r="O3673" s="12">
        <v>888</v>
      </c>
      <c r="P3673" s="12">
        <v>0</v>
      </c>
      <c r="Q3673" s="12" t="s">
        <v>17396</v>
      </c>
      <c r="R3673" s="15" t="s">
        <v>17397</v>
      </c>
      <c r="S3673" s="12">
        <v>104</v>
      </c>
      <c r="T3673" s="12" t="s">
        <v>39</v>
      </c>
      <c r="U3673" s="12" t="s">
        <v>371</v>
      </c>
      <c r="V3673" s="12" t="s">
        <v>41</v>
      </c>
      <c r="W3673" s="12">
        <v>5500000</v>
      </c>
      <c r="X3673" s="12">
        <v>1996</v>
      </c>
      <c r="Y3673" s="12">
        <v>294</v>
      </c>
      <c r="Z3673" s="12">
        <v>7.7</v>
      </c>
      <c r="AA3673" s="12">
        <v>1.85</v>
      </c>
      <c r="AB3673" s="12">
        <v>0</v>
      </c>
      <c r="AC3673" s="12"/>
      <c r="AD3673" s="12" t="str">
        <f>IFERROR(__xludf.DUMMYFUNCTION("""COMPUTED_VALUE"""),"Harry Styles")</f>
        <v>Harry Styles</v>
      </c>
      <c r="AE3673" s="12"/>
    </row>
    <row r="3674" customHeight="1" spans="1:31">
      <c r="A3674" s="11" t="s">
        <v>30</v>
      </c>
      <c r="B3674" s="11" t="s">
        <v>63</v>
      </c>
      <c r="C3674" s="11">
        <v>364</v>
      </c>
      <c r="D3674" s="11">
        <v>90</v>
      </c>
      <c r="E3674" s="11">
        <v>23000</v>
      </c>
      <c r="F3674" s="11">
        <v>694</v>
      </c>
      <c r="G3674" s="11">
        <v>23000</v>
      </c>
      <c r="H3674" s="11">
        <v>24475193</v>
      </c>
      <c r="I3674" s="11" t="s">
        <v>1415</v>
      </c>
      <c r="J3674" s="11" t="s">
        <v>63</v>
      </c>
      <c r="K3674" s="11" t="s">
        <v>100</v>
      </c>
      <c r="L3674" s="11" t="s">
        <v>17398</v>
      </c>
      <c r="M3674" s="11" t="s">
        <v>17399</v>
      </c>
      <c r="N3674" s="11">
        <v>190494</v>
      </c>
      <c r="O3674" s="11">
        <v>44265</v>
      </c>
      <c r="P3674" s="11">
        <v>1</v>
      </c>
      <c r="Q3674" s="11" t="s">
        <v>17400</v>
      </c>
      <c r="R3674" s="14" t="s">
        <v>17401</v>
      </c>
      <c r="S3674" s="11">
        <v>314</v>
      </c>
      <c r="T3674" s="11" t="s">
        <v>39</v>
      </c>
      <c r="U3674" s="11" t="s">
        <v>40</v>
      </c>
      <c r="V3674" s="11" t="s">
        <v>586</v>
      </c>
      <c r="W3674" s="11">
        <v>3000000</v>
      </c>
      <c r="X3674" s="11">
        <v>2013</v>
      </c>
      <c r="Y3674" s="11">
        <v>19000</v>
      </c>
      <c r="Z3674" s="11">
        <v>6.6</v>
      </c>
      <c r="AA3674" s="11">
        <v>2.35</v>
      </c>
      <c r="AB3674" s="11">
        <v>33000</v>
      </c>
      <c r="AC3674" s="11"/>
      <c r="AD3674" s="11" t="str">
        <f>IFERROR(__xludf.DUMMYFUNCTION("""COMPUTED_VALUE"""),"Zayn Malik")</f>
        <v>Zayn Malik</v>
      </c>
      <c r="AE3674" s="11"/>
    </row>
    <row r="3675" customHeight="1" spans="1:31">
      <c r="A3675" s="12" t="s">
        <v>30</v>
      </c>
      <c r="B3675" s="12" t="s">
        <v>3695</v>
      </c>
      <c r="C3675" s="12">
        <v>72</v>
      </c>
      <c r="D3675" s="12">
        <v>105</v>
      </c>
      <c r="E3675" s="12">
        <v>16000</v>
      </c>
      <c r="F3675" s="12">
        <v>258</v>
      </c>
      <c r="G3675" s="12">
        <v>16000</v>
      </c>
      <c r="H3675" s="16"/>
      <c r="I3675" s="12" t="s">
        <v>17402</v>
      </c>
      <c r="J3675" s="12" t="s">
        <v>3695</v>
      </c>
      <c r="K3675" s="12" t="s">
        <v>16364</v>
      </c>
      <c r="L3675" s="12" t="s">
        <v>17403</v>
      </c>
      <c r="M3675" s="12" t="s">
        <v>17404</v>
      </c>
      <c r="N3675" s="12">
        <v>36381</v>
      </c>
      <c r="O3675" s="12">
        <v>17599</v>
      </c>
      <c r="P3675" s="12">
        <v>0</v>
      </c>
      <c r="Q3675" s="12" t="s">
        <v>17405</v>
      </c>
      <c r="R3675" s="15" t="s">
        <v>17406</v>
      </c>
      <c r="S3675" s="12">
        <v>169</v>
      </c>
      <c r="T3675" s="12" t="s">
        <v>39</v>
      </c>
      <c r="U3675" s="12" t="s">
        <v>40</v>
      </c>
      <c r="V3675" s="12" t="s">
        <v>586</v>
      </c>
      <c r="W3675" s="12">
        <v>5500000</v>
      </c>
      <c r="X3675" s="12">
        <v>1973</v>
      </c>
      <c r="Y3675" s="12">
        <v>742</v>
      </c>
      <c r="Z3675" s="12">
        <v>7.6</v>
      </c>
      <c r="AA3675" s="12">
        <v>2.35</v>
      </c>
      <c r="AB3675" s="12">
        <v>0</v>
      </c>
      <c r="AC3675" s="12"/>
      <c r="AD3675" s="12" t="str">
        <f>IFERROR(__xludf.DUMMYFUNCTION("""COMPUTED_VALUE"""),"Niall Horan")</f>
        <v>Niall Horan</v>
      </c>
      <c r="AE3675" s="12"/>
    </row>
    <row r="3676" customHeight="1" spans="1:31">
      <c r="A3676" s="11" t="s">
        <v>30</v>
      </c>
      <c r="B3676" s="11" t="s">
        <v>11762</v>
      </c>
      <c r="C3676" s="11">
        <v>122</v>
      </c>
      <c r="D3676" s="11">
        <v>111</v>
      </c>
      <c r="E3676" s="11">
        <v>72</v>
      </c>
      <c r="F3676" s="11">
        <v>722</v>
      </c>
      <c r="G3676" s="11">
        <v>19000</v>
      </c>
      <c r="H3676" s="11">
        <v>6200756</v>
      </c>
      <c r="I3676" s="11" t="s">
        <v>2528</v>
      </c>
      <c r="J3676" s="11" t="s">
        <v>100</v>
      </c>
      <c r="K3676" s="11" t="s">
        <v>272</v>
      </c>
      <c r="L3676" s="11" t="s">
        <v>1333</v>
      </c>
      <c r="M3676" s="11" t="s">
        <v>17407</v>
      </c>
      <c r="N3676" s="11">
        <v>96129</v>
      </c>
      <c r="O3676" s="11">
        <v>34106</v>
      </c>
      <c r="P3676" s="11">
        <v>0</v>
      </c>
      <c r="Q3676" s="11" t="s">
        <v>17408</v>
      </c>
      <c r="R3676" s="14" t="s">
        <v>17409</v>
      </c>
      <c r="S3676" s="11">
        <v>488</v>
      </c>
      <c r="T3676" s="11" t="s">
        <v>39</v>
      </c>
      <c r="U3676" s="11" t="s">
        <v>40</v>
      </c>
      <c r="V3676" s="11" t="s">
        <v>586</v>
      </c>
      <c r="W3676" s="11">
        <v>7000000</v>
      </c>
      <c r="X3676" s="11">
        <v>2001</v>
      </c>
      <c r="Y3676" s="11">
        <v>12000</v>
      </c>
      <c r="Z3676" s="11">
        <v>7.4</v>
      </c>
      <c r="AA3676" s="11">
        <v>1.85</v>
      </c>
      <c r="AB3676" s="11">
        <v>5000</v>
      </c>
      <c r="AC3676" s="11"/>
      <c r="AD3676" s="11" t="str">
        <f>IFERROR(__xludf.DUMMYFUNCTION("""COMPUTED_VALUE"""),"Chase Ellison")</f>
        <v>Chase Ellison</v>
      </c>
      <c r="AE3676" s="11"/>
    </row>
    <row r="3677" customHeight="1" spans="1:31">
      <c r="A3677" s="12" t="s">
        <v>30</v>
      </c>
      <c r="B3677" s="12" t="s">
        <v>9071</v>
      </c>
      <c r="C3677" s="12">
        <v>100</v>
      </c>
      <c r="D3677" s="12">
        <v>91</v>
      </c>
      <c r="E3677" s="12">
        <v>14</v>
      </c>
      <c r="F3677" s="12">
        <v>548</v>
      </c>
      <c r="G3677" s="12">
        <v>14000</v>
      </c>
      <c r="H3677" s="12">
        <v>1292119</v>
      </c>
      <c r="I3677" s="12" t="s">
        <v>6327</v>
      </c>
      <c r="J3677" s="12" t="s">
        <v>216</v>
      </c>
      <c r="K3677" s="12" t="s">
        <v>393</v>
      </c>
      <c r="L3677" s="12" t="s">
        <v>5794</v>
      </c>
      <c r="M3677" s="12" t="s">
        <v>17410</v>
      </c>
      <c r="N3677" s="12">
        <v>14786</v>
      </c>
      <c r="O3677" s="12">
        <v>16768</v>
      </c>
      <c r="P3677" s="12">
        <v>1</v>
      </c>
      <c r="Q3677" s="12" t="s">
        <v>17411</v>
      </c>
      <c r="R3677" s="15" t="s">
        <v>17412</v>
      </c>
      <c r="S3677" s="12">
        <v>144</v>
      </c>
      <c r="T3677" s="12" t="s">
        <v>39</v>
      </c>
      <c r="U3677" s="12" t="s">
        <v>58</v>
      </c>
      <c r="V3677" s="12" t="s">
        <v>586</v>
      </c>
      <c r="W3677" s="12">
        <v>5500000</v>
      </c>
      <c r="X3677" s="12">
        <v>2001</v>
      </c>
      <c r="Y3677" s="12">
        <v>1000</v>
      </c>
      <c r="Z3677" s="12">
        <v>7.1</v>
      </c>
      <c r="AA3677" s="12">
        <v>1.85</v>
      </c>
      <c r="AB3677" s="12">
        <v>0</v>
      </c>
      <c r="AC3677" s="12"/>
      <c r="AD3677" s="12" t="str">
        <f>IFERROR(__xludf.DUMMYFUNCTION("""COMPUTED_VALUE"""),"Chad Allen")</f>
        <v>Chad Allen</v>
      </c>
      <c r="AE3677" s="12"/>
    </row>
    <row r="3678" customHeight="1" spans="1:31">
      <c r="A3678" s="11" t="s">
        <v>30</v>
      </c>
      <c r="B3678" s="11" t="s">
        <v>17413</v>
      </c>
      <c r="C3678" s="11">
        <v>24</v>
      </c>
      <c r="D3678" s="11">
        <v>95</v>
      </c>
      <c r="E3678" s="11">
        <v>14</v>
      </c>
      <c r="F3678" s="11">
        <v>60</v>
      </c>
      <c r="G3678" s="11">
        <v>113</v>
      </c>
      <c r="H3678" s="13"/>
      <c r="I3678" s="11" t="s">
        <v>5483</v>
      </c>
      <c r="J3678" s="11" t="s">
        <v>17414</v>
      </c>
      <c r="K3678" s="11" t="s">
        <v>17415</v>
      </c>
      <c r="L3678" s="11" t="s">
        <v>14862</v>
      </c>
      <c r="M3678" s="11" t="s">
        <v>17416</v>
      </c>
      <c r="N3678" s="11">
        <v>1955</v>
      </c>
      <c r="O3678" s="11">
        <v>396</v>
      </c>
      <c r="P3678" s="11">
        <v>0</v>
      </c>
      <c r="Q3678" s="11" t="s">
        <v>17417</v>
      </c>
      <c r="R3678" s="14" t="s">
        <v>17418</v>
      </c>
      <c r="S3678" s="11">
        <v>44</v>
      </c>
      <c r="T3678" s="11" t="s">
        <v>39</v>
      </c>
      <c r="U3678" s="11" t="s">
        <v>40</v>
      </c>
      <c r="V3678" s="11" t="s">
        <v>586</v>
      </c>
      <c r="W3678" s="13"/>
      <c r="X3678" s="11">
        <v>1980</v>
      </c>
      <c r="Y3678" s="11">
        <v>110</v>
      </c>
      <c r="Z3678" s="11">
        <v>3.4</v>
      </c>
      <c r="AA3678" s="11">
        <v>2.35</v>
      </c>
      <c r="AB3678" s="11">
        <v>438</v>
      </c>
      <c r="AC3678" s="11"/>
      <c r="AD3678" s="11" t="str">
        <f>IFERROR(__xludf.DUMMYFUNCTION("""COMPUTED_VALUE"""),"Jack Guzman")</f>
        <v>Jack Guzman</v>
      </c>
      <c r="AE3678" s="11"/>
    </row>
    <row r="3679" customHeight="1" spans="1:31">
      <c r="A3679" s="12" t="s">
        <v>30</v>
      </c>
      <c r="B3679" s="12" t="s">
        <v>17419</v>
      </c>
      <c r="C3679" s="12">
        <v>112</v>
      </c>
      <c r="D3679" s="12">
        <v>97</v>
      </c>
      <c r="E3679" s="12">
        <v>25</v>
      </c>
      <c r="F3679" s="12">
        <v>57</v>
      </c>
      <c r="G3679" s="12">
        <v>517</v>
      </c>
      <c r="H3679" s="12">
        <v>3629758</v>
      </c>
      <c r="I3679" s="12" t="s">
        <v>6200</v>
      </c>
      <c r="J3679" s="12" t="s">
        <v>17420</v>
      </c>
      <c r="K3679" s="12" t="s">
        <v>17421</v>
      </c>
      <c r="L3679" s="12" t="s">
        <v>17422</v>
      </c>
      <c r="M3679" s="12" t="s">
        <v>17423</v>
      </c>
      <c r="N3679" s="12">
        <v>44151</v>
      </c>
      <c r="O3679" s="12">
        <v>745</v>
      </c>
      <c r="P3679" s="12">
        <v>0</v>
      </c>
      <c r="Q3679" s="12" t="s">
        <v>17424</v>
      </c>
      <c r="R3679" s="15" t="s">
        <v>17425</v>
      </c>
      <c r="S3679" s="12">
        <v>110</v>
      </c>
      <c r="T3679" s="12" t="s">
        <v>1465</v>
      </c>
      <c r="U3679" s="12" t="s">
        <v>1466</v>
      </c>
      <c r="V3679" s="12" t="s">
        <v>41</v>
      </c>
      <c r="W3679" s="12">
        <v>5500000</v>
      </c>
      <c r="X3679" s="12">
        <v>2004</v>
      </c>
      <c r="Y3679" s="12">
        <v>86</v>
      </c>
      <c r="Z3679" s="12">
        <v>7.9</v>
      </c>
      <c r="AA3679" s="12">
        <v>2.35</v>
      </c>
      <c r="AB3679" s="12">
        <v>0</v>
      </c>
      <c r="AC3679" s="12"/>
      <c r="AD3679" s="12" t="str">
        <f>IFERROR(__xludf.DUMMYFUNCTION("""COMPUTED_VALUE"""),"Jasper Cole")</f>
        <v>Jasper Cole</v>
      </c>
      <c r="AE3679" s="12"/>
    </row>
    <row r="3680" customHeight="1" spans="1:31">
      <c r="A3680" s="11" t="s">
        <v>30</v>
      </c>
      <c r="B3680" s="11" t="s">
        <v>17426</v>
      </c>
      <c r="C3680" s="11">
        <v>67</v>
      </c>
      <c r="D3680" s="11">
        <v>92</v>
      </c>
      <c r="E3680" s="11">
        <v>9</v>
      </c>
      <c r="F3680" s="11">
        <v>71</v>
      </c>
      <c r="G3680" s="11">
        <v>636</v>
      </c>
      <c r="H3680" s="11">
        <v>6239558</v>
      </c>
      <c r="I3680" s="11" t="s">
        <v>2528</v>
      </c>
      <c r="J3680" s="11" t="s">
        <v>7659</v>
      </c>
      <c r="K3680" s="11" t="s">
        <v>17427</v>
      </c>
      <c r="L3680" s="11" t="s">
        <v>17428</v>
      </c>
      <c r="M3680" s="11" t="s">
        <v>17429</v>
      </c>
      <c r="N3680" s="11">
        <v>5548</v>
      </c>
      <c r="O3680" s="11">
        <v>1033</v>
      </c>
      <c r="P3680" s="11">
        <v>0</v>
      </c>
      <c r="Q3680" s="11" t="s">
        <v>17430</v>
      </c>
      <c r="R3680" s="14" t="s">
        <v>17431</v>
      </c>
      <c r="S3680" s="11">
        <v>67</v>
      </c>
      <c r="T3680" s="11" t="s">
        <v>39</v>
      </c>
      <c r="U3680" s="11" t="s">
        <v>269</v>
      </c>
      <c r="V3680" s="11" t="s">
        <v>586</v>
      </c>
      <c r="W3680" s="11">
        <v>5000000</v>
      </c>
      <c r="X3680" s="11">
        <v>2003</v>
      </c>
      <c r="Y3680" s="11">
        <v>210</v>
      </c>
      <c r="Z3680" s="11">
        <v>6.7</v>
      </c>
      <c r="AA3680" s="11">
        <v>1.85</v>
      </c>
      <c r="AB3680" s="11">
        <v>352</v>
      </c>
      <c r="AC3680" s="11"/>
      <c r="AD3680" s="11" t="str">
        <f>IFERROR(__xludf.DUMMYFUNCTION("""COMPUTED_VALUE"""),"Rob Huebel")</f>
        <v>Rob Huebel</v>
      </c>
      <c r="AE3680" s="11"/>
    </row>
    <row r="3681" customHeight="1" spans="1:31">
      <c r="A3681" s="12" t="s">
        <v>30</v>
      </c>
      <c r="B3681" s="12" t="s">
        <v>17432</v>
      </c>
      <c r="C3681" s="12">
        <v>91</v>
      </c>
      <c r="D3681" s="12">
        <v>104</v>
      </c>
      <c r="E3681" s="12">
        <v>10</v>
      </c>
      <c r="F3681" s="12">
        <v>93</v>
      </c>
      <c r="G3681" s="12">
        <v>715</v>
      </c>
      <c r="H3681" s="12">
        <v>1056102</v>
      </c>
      <c r="I3681" s="12" t="s">
        <v>2142</v>
      </c>
      <c r="J3681" s="12" t="s">
        <v>3215</v>
      </c>
      <c r="K3681" s="12" t="s">
        <v>4398</v>
      </c>
      <c r="L3681" s="12" t="s">
        <v>17433</v>
      </c>
      <c r="M3681" s="12" t="s">
        <v>17434</v>
      </c>
      <c r="N3681" s="12">
        <v>18792</v>
      </c>
      <c r="O3681" s="12">
        <v>1315</v>
      </c>
      <c r="P3681" s="12">
        <v>0</v>
      </c>
      <c r="Q3681" s="12" t="s">
        <v>17435</v>
      </c>
      <c r="R3681" s="15" t="s">
        <v>17436</v>
      </c>
      <c r="S3681" s="12">
        <v>153</v>
      </c>
      <c r="T3681" s="12" t="s">
        <v>39</v>
      </c>
      <c r="U3681" s="12" t="s">
        <v>40</v>
      </c>
      <c r="V3681" s="12" t="s">
        <v>586</v>
      </c>
      <c r="W3681" s="12">
        <v>5000000</v>
      </c>
      <c r="X3681" s="12">
        <v>2003</v>
      </c>
      <c r="Y3681" s="12">
        <v>436</v>
      </c>
      <c r="Z3681" s="12">
        <v>6.6</v>
      </c>
      <c r="AA3681" s="12">
        <v>1.85</v>
      </c>
      <c r="AB3681" s="12">
        <v>1000</v>
      </c>
      <c r="AC3681" s="12"/>
      <c r="AD3681" s="12" t="str">
        <f>IFERROR(__xludf.DUMMYFUNCTION("""COMPUTED_VALUE"""),"Michaela Conlin")</f>
        <v>Michaela Conlin</v>
      </c>
      <c r="AE3681" s="12"/>
    </row>
    <row r="3682" customHeight="1" spans="1:31">
      <c r="A3682" s="11" t="s">
        <v>30</v>
      </c>
      <c r="B3682" s="11" t="s">
        <v>5077</v>
      </c>
      <c r="C3682" s="11">
        <v>103</v>
      </c>
      <c r="D3682" s="11">
        <v>120</v>
      </c>
      <c r="E3682" s="11">
        <v>0</v>
      </c>
      <c r="F3682" s="11">
        <v>388</v>
      </c>
      <c r="G3682" s="11">
        <v>782</v>
      </c>
      <c r="H3682" s="11">
        <v>27545445</v>
      </c>
      <c r="I3682" s="11" t="s">
        <v>3410</v>
      </c>
      <c r="J3682" s="11" t="s">
        <v>1728</v>
      </c>
      <c r="K3682" s="11" t="s">
        <v>8270</v>
      </c>
      <c r="L3682" s="11" t="s">
        <v>17437</v>
      </c>
      <c r="M3682" s="11" t="s">
        <v>17438</v>
      </c>
      <c r="N3682" s="11">
        <v>59524</v>
      </c>
      <c r="O3682" s="11">
        <v>2892</v>
      </c>
      <c r="P3682" s="11">
        <v>2</v>
      </c>
      <c r="Q3682" s="11" t="s">
        <v>17439</v>
      </c>
      <c r="R3682" s="14" t="s">
        <v>17440</v>
      </c>
      <c r="S3682" s="11">
        <v>418</v>
      </c>
      <c r="T3682" s="11" t="s">
        <v>39</v>
      </c>
      <c r="U3682" s="11" t="s">
        <v>40</v>
      </c>
      <c r="V3682" s="11" t="s">
        <v>586</v>
      </c>
      <c r="W3682" s="11">
        <v>6500000</v>
      </c>
      <c r="X3682" s="11">
        <v>1989</v>
      </c>
      <c r="Y3682" s="11">
        <v>652</v>
      </c>
      <c r="Z3682" s="11">
        <v>7.9</v>
      </c>
      <c r="AA3682" s="11">
        <v>1.85</v>
      </c>
      <c r="AB3682" s="11">
        <v>0</v>
      </c>
      <c r="AC3682" s="11"/>
      <c r="AD3682" s="11" t="str">
        <f>IFERROR(__xludf.DUMMYFUNCTION("""COMPUTED_VALUE"""),"Tamara Taylor")</f>
        <v>Tamara Taylor</v>
      </c>
      <c r="AE3682" s="11"/>
    </row>
    <row r="3683" customHeight="1" spans="1:31">
      <c r="A3683" s="12" t="s">
        <v>30</v>
      </c>
      <c r="B3683" s="12" t="s">
        <v>17441</v>
      </c>
      <c r="C3683" s="12">
        <v>27</v>
      </c>
      <c r="D3683" s="12">
        <v>99</v>
      </c>
      <c r="E3683" s="12">
        <v>56</v>
      </c>
      <c r="F3683" s="12">
        <v>781</v>
      </c>
      <c r="G3683" s="12">
        <v>4000</v>
      </c>
      <c r="H3683" s="12">
        <v>56007</v>
      </c>
      <c r="I3683" s="12" t="s">
        <v>16012</v>
      </c>
      <c r="J3683" s="12" t="s">
        <v>2477</v>
      </c>
      <c r="K3683" s="12" t="s">
        <v>5783</v>
      </c>
      <c r="L3683" s="12" t="s">
        <v>8089</v>
      </c>
      <c r="M3683" s="12" t="s">
        <v>17442</v>
      </c>
      <c r="N3683" s="12">
        <v>3754</v>
      </c>
      <c r="O3683" s="12">
        <v>6776</v>
      </c>
      <c r="P3683" s="12">
        <v>3</v>
      </c>
      <c r="Q3683" s="12" t="s">
        <v>17443</v>
      </c>
      <c r="R3683" s="15" t="s">
        <v>17444</v>
      </c>
      <c r="S3683" s="12">
        <v>69</v>
      </c>
      <c r="T3683" s="12" t="s">
        <v>39</v>
      </c>
      <c r="U3683" s="12" t="s">
        <v>40</v>
      </c>
      <c r="V3683" s="12" t="s">
        <v>586</v>
      </c>
      <c r="W3683" s="12">
        <v>5500000</v>
      </c>
      <c r="X3683" s="12">
        <v>2001</v>
      </c>
      <c r="Y3683" s="12">
        <v>902</v>
      </c>
      <c r="Z3683" s="12">
        <v>4.9</v>
      </c>
      <c r="AA3683" s="12">
        <v>2.35</v>
      </c>
      <c r="AB3683" s="12">
        <v>113</v>
      </c>
      <c r="AC3683" s="12"/>
      <c r="AD3683" s="12" t="str">
        <f>IFERROR(__xludf.DUMMYFUNCTION("""COMPUTED_VALUE"""),"Johanna Braddy")</f>
        <v>Johanna Braddy</v>
      </c>
      <c r="AE3683" s="12"/>
    </row>
    <row r="3684" customHeight="1" spans="1:31">
      <c r="A3684" s="11" t="s">
        <v>30</v>
      </c>
      <c r="B3684" s="11" t="s">
        <v>17445</v>
      </c>
      <c r="C3684" s="11">
        <v>205</v>
      </c>
      <c r="D3684" s="11">
        <v>93</v>
      </c>
      <c r="E3684" s="11">
        <v>592</v>
      </c>
      <c r="F3684" s="11">
        <v>36</v>
      </c>
      <c r="G3684" s="11">
        <v>232</v>
      </c>
      <c r="H3684" s="11">
        <v>611709</v>
      </c>
      <c r="I3684" s="11" t="s">
        <v>2528</v>
      </c>
      <c r="J3684" s="11" t="s">
        <v>17446</v>
      </c>
      <c r="K3684" s="11" t="s">
        <v>17447</v>
      </c>
      <c r="L3684" s="11" t="s">
        <v>17448</v>
      </c>
      <c r="M3684" s="11" t="s">
        <v>17449</v>
      </c>
      <c r="N3684" s="11">
        <v>15267</v>
      </c>
      <c r="O3684" s="11">
        <v>391</v>
      </c>
      <c r="P3684" s="11">
        <v>1</v>
      </c>
      <c r="Q3684" s="11" t="s">
        <v>17450</v>
      </c>
      <c r="R3684" s="14" t="s">
        <v>17451</v>
      </c>
      <c r="S3684" s="11">
        <v>41</v>
      </c>
      <c r="T3684" s="11" t="s">
        <v>1465</v>
      </c>
      <c r="U3684" s="11" t="s">
        <v>17452</v>
      </c>
      <c r="V3684" s="11" t="s">
        <v>4831</v>
      </c>
      <c r="W3684" s="11">
        <v>3850000</v>
      </c>
      <c r="X3684" s="11">
        <v>2011</v>
      </c>
      <c r="Y3684" s="11">
        <v>67</v>
      </c>
      <c r="Z3684" s="11">
        <v>7.2</v>
      </c>
      <c r="AA3684" s="11">
        <v>1.85</v>
      </c>
      <c r="AB3684" s="11">
        <v>0</v>
      </c>
      <c r="AC3684" s="11"/>
      <c r="AD3684" s="11" t="str">
        <f>IFERROR(__xludf.DUMMYFUNCTION("""COMPUTED_VALUE"""),"Lee Tergesen")</f>
        <v>Lee Tergesen</v>
      </c>
      <c r="AE3684" s="11"/>
    </row>
    <row r="3685" customHeight="1" spans="1:31">
      <c r="A3685" s="12" t="s">
        <v>30</v>
      </c>
      <c r="B3685" s="12" t="s">
        <v>12583</v>
      </c>
      <c r="C3685" s="12">
        <v>192</v>
      </c>
      <c r="D3685" s="12">
        <v>99</v>
      </c>
      <c r="E3685" s="12">
        <v>929</v>
      </c>
      <c r="F3685" s="12">
        <v>9</v>
      </c>
      <c r="G3685" s="12">
        <v>56</v>
      </c>
      <c r="H3685" s="12">
        <v>753501</v>
      </c>
      <c r="I3685" s="12" t="s">
        <v>2142</v>
      </c>
      <c r="J3685" s="12" t="s">
        <v>11469</v>
      </c>
      <c r="K3685" s="12" t="s">
        <v>4820</v>
      </c>
      <c r="L3685" s="12" t="s">
        <v>17453</v>
      </c>
      <c r="M3685" s="12" t="s">
        <v>17454</v>
      </c>
      <c r="N3685" s="12">
        <v>87244</v>
      </c>
      <c r="O3685" s="12">
        <v>118</v>
      </c>
      <c r="P3685" s="12">
        <v>0</v>
      </c>
      <c r="Q3685" s="12" t="s">
        <v>17455</v>
      </c>
      <c r="R3685" s="15" t="s">
        <v>17456</v>
      </c>
      <c r="S3685" s="12">
        <v>664</v>
      </c>
      <c r="T3685" s="12" t="s">
        <v>1465</v>
      </c>
      <c r="U3685" s="12" t="s">
        <v>1466</v>
      </c>
      <c r="V3685" s="12" t="s">
        <v>4831</v>
      </c>
      <c r="W3685" s="16"/>
      <c r="X3685" s="12">
        <v>2002</v>
      </c>
      <c r="Y3685" s="12">
        <v>46</v>
      </c>
      <c r="Z3685" s="12">
        <v>7.4</v>
      </c>
      <c r="AA3685" s="12">
        <v>2.35</v>
      </c>
      <c r="AB3685" s="12">
        <v>13000</v>
      </c>
      <c r="AC3685" s="12"/>
      <c r="AD3685" s="12" t="str">
        <f>IFERROR(__xludf.DUMMYFUNCTION("""COMPUTED_VALUE"""),"Johannes Silberschneider")</f>
        <v>Johannes Silberschneider</v>
      </c>
      <c r="AE3685" s="12"/>
    </row>
    <row r="3686" customHeight="1" spans="1:31">
      <c r="A3686" s="11" t="s">
        <v>30</v>
      </c>
      <c r="B3686" s="11" t="s">
        <v>17457</v>
      </c>
      <c r="C3686" s="11">
        <v>72</v>
      </c>
      <c r="D3686" s="11">
        <v>99</v>
      </c>
      <c r="E3686" s="11">
        <v>17</v>
      </c>
      <c r="F3686" s="11">
        <v>16</v>
      </c>
      <c r="G3686" s="11">
        <v>31</v>
      </c>
      <c r="H3686" s="11">
        <v>22770</v>
      </c>
      <c r="I3686" s="11" t="s">
        <v>2528</v>
      </c>
      <c r="J3686" s="11" t="s">
        <v>17458</v>
      </c>
      <c r="K3686" s="11" t="s">
        <v>17457</v>
      </c>
      <c r="L3686" s="11" t="s">
        <v>17459</v>
      </c>
      <c r="M3686" s="11" t="s">
        <v>17460</v>
      </c>
      <c r="N3686" s="11">
        <v>1658</v>
      </c>
      <c r="O3686" s="11">
        <v>81</v>
      </c>
      <c r="P3686" s="11">
        <v>0</v>
      </c>
      <c r="Q3686" s="11" t="s">
        <v>17461</v>
      </c>
      <c r="R3686" s="14" t="s">
        <v>17462</v>
      </c>
      <c r="S3686" s="11">
        <v>12</v>
      </c>
      <c r="T3686" s="11" t="s">
        <v>677</v>
      </c>
      <c r="U3686" s="11" t="s">
        <v>678</v>
      </c>
      <c r="V3686" s="11" t="s">
        <v>5614</v>
      </c>
      <c r="W3686" s="11">
        <v>5500000</v>
      </c>
      <c r="X3686" s="11">
        <v>2013</v>
      </c>
      <c r="Y3686" s="11">
        <v>17</v>
      </c>
      <c r="Z3686" s="11">
        <v>6.1</v>
      </c>
      <c r="AA3686" s="11">
        <v>1.85</v>
      </c>
      <c r="AB3686" s="11">
        <v>543</v>
      </c>
      <c r="AC3686" s="11"/>
      <c r="AD3686" s="11" t="str">
        <f>IFERROR(__xludf.DUMMYFUNCTION("""COMPUTED_VALUE"""),"Clotilde Mollet")</f>
        <v>Clotilde Mollet</v>
      </c>
      <c r="AE3686" s="11"/>
    </row>
    <row r="3687" customHeight="1" spans="1:31">
      <c r="A3687" s="12" t="s">
        <v>30</v>
      </c>
      <c r="B3687" s="12" t="s">
        <v>17463</v>
      </c>
      <c r="C3687" s="12">
        <v>33</v>
      </c>
      <c r="D3687" s="12">
        <v>157</v>
      </c>
      <c r="E3687" s="12">
        <v>85</v>
      </c>
      <c r="F3687" s="12">
        <v>199</v>
      </c>
      <c r="G3687" s="12">
        <v>397</v>
      </c>
      <c r="H3687" s="12">
        <v>2197331</v>
      </c>
      <c r="I3687" s="12" t="s">
        <v>17464</v>
      </c>
      <c r="J3687" s="12" t="s">
        <v>16600</v>
      </c>
      <c r="K3687" s="12" t="s">
        <v>7382</v>
      </c>
      <c r="L3687" s="12" t="s">
        <v>17465</v>
      </c>
      <c r="M3687" s="12" t="s">
        <v>17466</v>
      </c>
      <c r="N3687" s="12">
        <v>70233</v>
      </c>
      <c r="O3687" s="12">
        <v>1519</v>
      </c>
      <c r="P3687" s="12">
        <v>0</v>
      </c>
      <c r="Q3687" s="12" t="s">
        <v>17467</v>
      </c>
      <c r="R3687" s="15" t="s">
        <v>17468</v>
      </c>
      <c r="S3687" s="12">
        <v>321</v>
      </c>
      <c r="T3687" s="12" t="s">
        <v>5612</v>
      </c>
      <c r="U3687" s="12" t="s">
        <v>5613</v>
      </c>
      <c r="V3687" s="12" t="s">
        <v>4831</v>
      </c>
      <c r="W3687" s="16"/>
      <c r="X3687" s="12">
        <v>2006</v>
      </c>
      <c r="Y3687" s="12">
        <v>227</v>
      </c>
      <c r="Z3687" s="12">
        <v>8.4</v>
      </c>
      <c r="AA3687" s="12">
        <v>2.35</v>
      </c>
      <c r="AB3687" s="12">
        <v>0</v>
      </c>
      <c r="AC3687" s="12"/>
      <c r="AD3687" s="12" t="str">
        <f>IFERROR(__xludf.DUMMYFUNCTION("""COMPUTED_VALUE"""),"Carlo Cecchi")</f>
        <v>Carlo Cecchi</v>
      </c>
      <c r="AE3687" s="12"/>
    </row>
    <row r="3688" customHeight="1" spans="1:31">
      <c r="A3688" s="11" t="s">
        <v>30</v>
      </c>
      <c r="B3688" s="11" t="s">
        <v>17469</v>
      </c>
      <c r="C3688" s="11">
        <v>22</v>
      </c>
      <c r="D3688" s="11">
        <v>90</v>
      </c>
      <c r="E3688" s="11">
        <v>4</v>
      </c>
      <c r="F3688" s="11">
        <v>290</v>
      </c>
      <c r="G3688" s="11">
        <v>934</v>
      </c>
      <c r="H3688" s="13"/>
      <c r="I3688" s="11" t="s">
        <v>3410</v>
      </c>
      <c r="J3688" s="11" t="s">
        <v>4490</v>
      </c>
      <c r="K3688" s="11" t="s">
        <v>3198</v>
      </c>
      <c r="L3688" s="11" t="s">
        <v>17470</v>
      </c>
      <c r="M3688" s="11" t="s">
        <v>17471</v>
      </c>
      <c r="N3688" s="11">
        <v>605</v>
      </c>
      <c r="O3688" s="11">
        <v>2030</v>
      </c>
      <c r="P3688" s="11">
        <v>0</v>
      </c>
      <c r="Q3688" s="11" t="s">
        <v>17472</v>
      </c>
      <c r="R3688" s="14" t="s">
        <v>17473</v>
      </c>
      <c r="S3688" s="11">
        <v>8</v>
      </c>
      <c r="T3688" s="11" t="s">
        <v>39</v>
      </c>
      <c r="U3688" s="11" t="s">
        <v>40</v>
      </c>
      <c r="V3688" s="13"/>
      <c r="W3688" s="13"/>
      <c r="X3688" s="11">
        <v>2014</v>
      </c>
      <c r="Y3688" s="11">
        <v>697</v>
      </c>
      <c r="Z3688" s="11">
        <v>6.2</v>
      </c>
      <c r="AA3688" s="11">
        <v>2.35</v>
      </c>
      <c r="AB3688" s="11">
        <v>679</v>
      </c>
      <c r="AC3688" s="11"/>
      <c r="AD3688" s="11" t="str">
        <f>IFERROR(__xludf.DUMMYFUNCTION("""COMPUTED_VALUE"""),"Iddo Goldberg")</f>
        <v>Iddo Goldberg</v>
      </c>
      <c r="AE3688" s="11"/>
    </row>
    <row r="3689" customHeight="1" spans="1:31">
      <c r="A3689" s="12" t="s">
        <v>30</v>
      </c>
      <c r="B3689" s="12" t="s">
        <v>17474</v>
      </c>
      <c r="C3689" s="12">
        <v>48</v>
      </c>
      <c r="D3689" s="12">
        <v>96</v>
      </c>
      <c r="E3689" s="12">
        <v>3</v>
      </c>
      <c r="F3689" s="12">
        <v>38</v>
      </c>
      <c r="G3689" s="12">
        <v>472</v>
      </c>
      <c r="H3689" s="12">
        <v>27445</v>
      </c>
      <c r="I3689" s="12" t="s">
        <v>12694</v>
      </c>
      <c r="J3689" s="12" t="s">
        <v>7588</v>
      </c>
      <c r="K3689" s="12" t="s">
        <v>17475</v>
      </c>
      <c r="L3689" s="12" t="s">
        <v>17476</v>
      </c>
      <c r="M3689" s="12" t="s">
        <v>17477</v>
      </c>
      <c r="N3689" s="12">
        <v>3788</v>
      </c>
      <c r="O3689" s="12">
        <v>561</v>
      </c>
      <c r="P3689" s="12">
        <v>5</v>
      </c>
      <c r="Q3689" s="12" t="s">
        <v>17478</v>
      </c>
      <c r="R3689" s="15" t="s">
        <v>17479</v>
      </c>
      <c r="S3689" s="12">
        <v>31</v>
      </c>
      <c r="T3689" s="12" t="s">
        <v>39</v>
      </c>
      <c r="U3689" s="12" t="s">
        <v>40</v>
      </c>
      <c r="V3689" s="12" t="s">
        <v>586</v>
      </c>
      <c r="W3689" s="12">
        <v>9000000</v>
      </c>
      <c r="X3689" s="12">
        <v>2011</v>
      </c>
      <c r="Y3689" s="12">
        <v>39</v>
      </c>
      <c r="Z3689" s="12">
        <v>5.3</v>
      </c>
      <c r="AA3689" s="12">
        <v>1.85</v>
      </c>
      <c r="AB3689" s="12">
        <v>1000</v>
      </c>
      <c r="AC3689" s="12"/>
      <c r="AD3689" s="12" t="str">
        <f>IFERROR(__xludf.DUMMYFUNCTION("""COMPUTED_VALUE"""),"India de Beaufort")</f>
        <v>India de Beaufort</v>
      </c>
      <c r="AE3689" s="12"/>
    </row>
    <row r="3690" customHeight="1" spans="1:31">
      <c r="A3690" s="11" t="s">
        <v>30</v>
      </c>
      <c r="B3690" s="11" t="s">
        <v>7886</v>
      </c>
      <c r="C3690" s="11">
        <v>65</v>
      </c>
      <c r="D3690" s="11">
        <v>96</v>
      </c>
      <c r="E3690" s="11">
        <v>136</v>
      </c>
      <c r="F3690" s="11">
        <v>139</v>
      </c>
      <c r="G3690" s="11">
        <v>4000</v>
      </c>
      <c r="H3690" s="11">
        <v>766487</v>
      </c>
      <c r="I3690" s="11" t="s">
        <v>1681</v>
      </c>
      <c r="J3690" s="11" t="s">
        <v>599</v>
      </c>
      <c r="K3690" s="11" t="s">
        <v>4453</v>
      </c>
      <c r="L3690" s="11" t="s">
        <v>17480</v>
      </c>
      <c r="M3690" s="11" t="s">
        <v>17481</v>
      </c>
      <c r="N3690" s="11">
        <v>15315</v>
      </c>
      <c r="O3690" s="11">
        <v>4883</v>
      </c>
      <c r="P3690" s="11">
        <v>4</v>
      </c>
      <c r="Q3690" s="11" t="s">
        <v>17482</v>
      </c>
      <c r="R3690" s="14" t="s">
        <v>17483</v>
      </c>
      <c r="S3690" s="11">
        <v>117</v>
      </c>
      <c r="T3690" s="11" t="s">
        <v>39</v>
      </c>
      <c r="U3690" s="11" t="s">
        <v>40</v>
      </c>
      <c r="V3690" s="11" t="s">
        <v>586</v>
      </c>
      <c r="W3690" s="11">
        <v>5250000</v>
      </c>
      <c r="X3690" s="11">
        <v>2007</v>
      </c>
      <c r="Y3690" s="11">
        <v>543</v>
      </c>
      <c r="Z3690" s="11">
        <v>5</v>
      </c>
      <c r="AA3690" s="11">
        <v>1.85</v>
      </c>
      <c r="AB3690" s="11">
        <v>915</v>
      </c>
      <c r="AC3690" s="11"/>
      <c r="AD3690" s="11" t="str">
        <f>IFERROR(__xludf.DUMMYFUNCTION("""COMPUTED_VALUE"""),"Jillian Estell")</f>
        <v>Jillian Estell</v>
      </c>
      <c r="AE3690" s="11"/>
    </row>
    <row r="3691" customHeight="1" spans="1:31">
      <c r="A3691" s="12" t="s">
        <v>30</v>
      </c>
      <c r="B3691" s="12" t="s">
        <v>17484</v>
      </c>
      <c r="C3691" s="12">
        <v>29</v>
      </c>
      <c r="D3691" s="12">
        <v>90</v>
      </c>
      <c r="E3691" s="12">
        <v>222</v>
      </c>
      <c r="F3691" s="12">
        <v>222</v>
      </c>
      <c r="G3691" s="12">
        <v>5000</v>
      </c>
      <c r="H3691" s="12">
        <v>18434</v>
      </c>
      <c r="I3691" s="12" t="s">
        <v>2528</v>
      </c>
      <c r="J3691" s="12" t="s">
        <v>2398</v>
      </c>
      <c r="K3691" s="12" t="s">
        <v>2284</v>
      </c>
      <c r="L3691" s="12" t="s">
        <v>17484</v>
      </c>
      <c r="M3691" s="12" t="s">
        <v>17485</v>
      </c>
      <c r="N3691" s="12">
        <v>4471</v>
      </c>
      <c r="O3691" s="12">
        <v>6111</v>
      </c>
      <c r="P3691" s="12">
        <v>2</v>
      </c>
      <c r="Q3691" s="12" t="s">
        <v>17486</v>
      </c>
      <c r="R3691" s="15" t="s">
        <v>17487</v>
      </c>
      <c r="S3691" s="12">
        <v>47</v>
      </c>
      <c r="T3691" s="12" t="s">
        <v>39</v>
      </c>
      <c r="U3691" s="12" t="s">
        <v>58</v>
      </c>
      <c r="V3691" s="12" t="s">
        <v>586</v>
      </c>
      <c r="W3691" s="16"/>
      <c r="X3691" s="12">
        <v>1999</v>
      </c>
      <c r="Y3691" s="12">
        <v>680</v>
      </c>
      <c r="Z3691" s="12">
        <v>7.7</v>
      </c>
      <c r="AA3691" s="12">
        <v>1.85</v>
      </c>
      <c r="AB3691" s="12">
        <v>484</v>
      </c>
      <c r="AC3691" s="12"/>
      <c r="AD3691" s="12" t="str">
        <f>IFERROR(__xludf.DUMMYFUNCTION("""COMPUTED_VALUE"""),"Toby Huss")</f>
        <v>Toby Huss</v>
      </c>
      <c r="AE3691" s="12"/>
    </row>
    <row r="3692" customHeight="1" spans="1:31">
      <c r="A3692" s="11" t="s">
        <v>30</v>
      </c>
      <c r="B3692" s="11" t="s">
        <v>12703</v>
      </c>
      <c r="C3692" s="11">
        <v>284</v>
      </c>
      <c r="D3692" s="11">
        <v>100</v>
      </c>
      <c r="E3692" s="11">
        <v>77</v>
      </c>
      <c r="F3692" s="11">
        <v>27</v>
      </c>
      <c r="G3692" s="11">
        <v>286</v>
      </c>
      <c r="H3692" s="11">
        <v>1196752</v>
      </c>
      <c r="I3692" s="11" t="s">
        <v>2126</v>
      </c>
      <c r="J3692" s="11" t="s">
        <v>17488</v>
      </c>
      <c r="K3692" s="11" t="s">
        <v>17489</v>
      </c>
      <c r="L3692" s="11" t="s">
        <v>17490</v>
      </c>
      <c r="M3692" s="11" t="s">
        <v>17491</v>
      </c>
      <c r="N3692" s="11">
        <v>79353</v>
      </c>
      <c r="O3692" s="11">
        <v>385</v>
      </c>
      <c r="P3692" s="11">
        <v>3</v>
      </c>
      <c r="Q3692" s="11" t="s">
        <v>17492</v>
      </c>
      <c r="R3692" s="14" t="s">
        <v>17493</v>
      </c>
      <c r="S3692" s="11">
        <v>121</v>
      </c>
      <c r="T3692" s="11" t="s">
        <v>17494</v>
      </c>
      <c r="U3692" s="11" t="s">
        <v>12617</v>
      </c>
      <c r="V3692" s="11" t="s">
        <v>586</v>
      </c>
      <c r="W3692" s="11">
        <v>30300000</v>
      </c>
      <c r="X3692" s="11">
        <v>2011</v>
      </c>
      <c r="Y3692" s="11">
        <v>52</v>
      </c>
      <c r="Z3692" s="11">
        <v>7.6</v>
      </c>
      <c r="AA3692" s="11">
        <v>2.39</v>
      </c>
      <c r="AB3692" s="11">
        <v>23000</v>
      </c>
      <c r="AC3692" s="11"/>
      <c r="AD3692" s="11" t="str">
        <f>IFERROR(__xludf.DUMMYFUNCTION("""COMPUTED_VALUE"""),"François Chau")</f>
        <v>François Chau</v>
      </c>
      <c r="AE3692" s="11"/>
    </row>
    <row r="3693" customHeight="1" spans="1:31">
      <c r="A3693" s="12" t="s">
        <v>30</v>
      </c>
      <c r="B3693" s="12" t="s">
        <v>17495</v>
      </c>
      <c r="C3693" s="12">
        <v>187</v>
      </c>
      <c r="D3693" s="12">
        <v>94</v>
      </c>
      <c r="E3693" s="12">
        <v>4</v>
      </c>
      <c r="F3693" s="12">
        <v>114</v>
      </c>
      <c r="G3693" s="12">
        <v>796</v>
      </c>
      <c r="H3693" s="16"/>
      <c r="I3693" s="12" t="s">
        <v>17496</v>
      </c>
      <c r="J3693" s="12" t="s">
        <v>4754</v>
      </c>
      <c r="K3693" s="12" t="s">
        <v>374</v>
      </c>
      <c r="L3693" s="12" t="s">
        <v>5649</v>
      </c>
      <c r="M3693" s="12" t="s">
        <v>17497</v>
      </c>
      <c r="N3693" s="12">
        <v>13227</v>
      </c>
      <c r="O3693" s="12">
        <v>1832</v>
      </c>
      <c r="P3693" s="12">
        <v>0</v>
      </c>
      <c r="Q3693" s="12" t="s">
        <v>17498</v>
      </c>
      <c r="R3693" s="15" t="s">
        <v>17499</v>
      </c>
      <c r="S3693" s="12">
        <v>70</v>
      </c>
      <c r="T3693" s="12" t="s">
        <v>39</v>
      </c>
      <c r="U3693" s="12" t="s">
        <v>58</v>
      </c>
      <c r="V3693" s="12" t="s">
        <v>4831</v>
      </c>
      <c r="W3693" s="12">
        <v>4000000</v>
      </c>
      <c r="X3693" s="12">
        <v>2012</v>
      </c>
      <c r="Y3693" s="12">
        <v>567</v>
      </c>
      <c r="Z3693" s="12">
        <v>6.3</v>
      </c>
      <c r="AA3693" s="12">
        <v>2.35</v>
      </c>
      <c r="AB3693" s="12">
        <v>11000</v>
      </c>
      <c r="AC3693" s="12"/>
      <c r="AD3693" s="12" t="str">
        <f>IFERROR(__xludf.DUMMYFUNCTION("""COMPUTED_VALUE"""),"Evan Ross")</f>
        <v>Evan Ross</v>
      </c>
      <c r="AE3693" s="12"/>
    </row>
    <row r="3694" customHeight="1" spans="1:31">
      <c r="A3694" s="11" t="s">
        <v>30</v>
      </c>
      <c r="B3694" s="11" t="s">
        <v>17500</v>
      </c>
      <c r="C3694" s="11">
        <v>47</v>
      </c>
      <c r="D3694" s="11">
        <v>98</v>
      </c>
      <c r="E3694" s="11">
        <v>12</v>
      </c>
      <c r="F3694" s="11">
        <v>149</v>
      </c>
      <c r="G3694" s="11">
        <v>393</v>
      </c>
      <c r="H3694" s="11">
        <v>795126</v>
      </c>
      <c r="I3694" s="11" t="s">
        <v>6283</v>
      </c>
      <c r="J3694" s="11" t="s">
        <v>1927</v>
      </c>
      <c r="K3694" s="11" t="s">
        <v>17501</v>
      </c>
      <c r="L3694" s="11" t="s">
        <v>16786</v>
      </c>
      <c r="M3694" s="11" t="s">
        <v>17502</v>
      </c>
      <c r="N3694" s="11">
        <v>4976</v>
      </c>
      <c r="O3694" s="11">
        <v>955</v>
      </c>
      <c r="P3694" s="11">
        <v>1</v>
      </c>
      <c r="Q3694" s="11" t="s">
        <v>17503</v>
      </c>
      <c r="R3694" s="14" t="s">
        <v>17504</v>
      </c>
      <c r="S3694" s="11">
        <v>52</v>
      </c>
      <c r="T3694" s="11" t="s">
        <v>39</v>
      </c>
      <c r="U3694" s="11" t="s">
        <v>269</v>
      </c>
      <c r="V3694" s="11" t="s">
        <v>41</v>
      </c>
      <c r="W3694" s="11">
        <v>6000000</v>
      </c>
      <c r="X3694" s="11">
        <v>2004</v>
      </c>
      <c r="Y3694" s="11">
        <v>259</v>
      </c>
      <c r="Z3694" s="11">
        <v>7.6</v>
      </c>
      <c r="AA3694" s="11">
        <v>1.85</v>
      </c>
      <c r="AB3694" s="11">
        <v>989</v>
      </c>
      <c r="AC3694" s="11"/>
      <c r="AD3694" s="11" t="str">
        <f>IFERROR(__xludf.DUMMYFUNCTION("""COMPUTED_VALUE"""),"Flavio Parenti")</f>
        <v>Flavio Parenti</v>
      </c>
      <c r="AE3694" s="11"/>
    </row>
    <row r="3695" customHeight="1" spans="1:31">
      <c r="A3695" s="12" t="s">
        <v>30</v>
      </c>
      <c r="B3695" s="12" t="s">
        <v>17505</v>
      </c>
      <c r="C3695" s="12">
        <v>88</v>
      </c>
      <c r="D3695" s="12">
        <v>129</v>
      </c>
      <c r="E3695" s="12">
        <v>440</v>
      </c>
      <c r="F3695" s="12">
        <v>0</v>
      </c>
      <c r="G3695" s="12">
        <v>631</v>
      </c>
      <c r="H3695" s="16"/>
      <c r="I3695" s="12" t="s">
        <v>214</v>
      </c>
      <c r="J3695" s="12" t="s">
        <v>75</v>
      </c>
      <c r="K3695" s="12" t="s">
        <v>17506</v>
      </c>
      <c r="L3695" s="12" t="s">
        <v>17507</v>
      </c>
      <c r="M3695" s="12" t="s">
        <v>17508</v>
      </c>
      <c r="N3695" s="12">
        <v>2894</v>
      </c>
      <c r="O3695" s="12">
        <v>631</v>
      </c>
      <c r="P3695" s="12">
        <v>2</v>
      </c>
      <c r="Q3695" s="12" t="s">
        <v>17509</v>
      </c>
      <c r="R3695" s="15" t="s">
        <v>17510</v>
      </c>
      <c r="S3695" s="12">
        <v>14</v>
      </c>
      <c r="T3695" s="12" t="s">
        <v>39</v>
      </c>
      <c r="U3695" s="12" t="s">
        <v>12617</v>
      </c>
      <c r="V3695" s="12" t="s">
        <v>41</v>
      </c>
      <c r="W3695" s="12">
        <v>5500000</v>
      </c>
      <c r="X3695" s="12">
        <v>2014</v>
      </c>
      <c r="Y3695" s="12">
        <v>0</v>
      </c>
      <c r="Z3695" s="12">
        <v>5.6</v>
      </c>
      <c r="AA3695" s="16"/>
      <c r="AB3695" s="12">
        <v>0</v>
      </c>
      <c r="AC3695" s="12"/>
      <c r="AD3695" s="12" t="str">
        <f>IFERROR(__xludf.DUMMYFUNCTION("""COMPUTED_VALUE"""),"Waris Ahluwalia")</f>
        <v>Waris Ahluwalia</v>
      </c>
      <c r="AE3695" s="12"/>
    </row>
    <row r="3696" customHeight="1" spans="1:31">
      <c r="A3696" s="11" t="s">
        <v>30</v>
      </c>
      <c r="B3696" s="11" t="s">
        <v>10674</v>
      </c>
      <c r="C3696" s="11">
        <v>41</v>
      </c>
      <c r="D3696" s="11">
        <v>103</v>
      </c>
      <c r="E3696" s="11">
        <v>82</v>
      </c>
      <c r="F3696" s="11">
        <v>32</v>
      </c>
      <c r="G3696" s="11">
        <v>208</v>
      </c>
      <c r="H3696" s="13"/>
      <c r="I3696" s="11" t="s">
        <v>687</v>
      </c>
      <c r="J3696" s="11" t="s">
        <v>17511</v>
      </c>
      <c r="K3696" s="11" t="s">
        <v>13993</v>
      </c>
      <c r="L3696" s="11" t="s">
        <v>17512</v>
      </c>
      <c r="M3696" s="11" t="s">
        <v>17513</v>
      </c>
      <c r="N3696" s="11">
        <v>21049</v>
      </c>
      <c r="O3696" s="11">
        <v>454</v>
      </c>
      <c r="P3696" s="11">
        <v>2</v>
      </c>
      <c r="Q3696" s="11" t="s">
        <v>17514</v>
      </c>
      <c r="R3696" s="14" t="s">
        <v>17515</v>
      </c>
      <c r="S3696" s="11">
        <v>249</v>
      </c>
      <c r="T3696" s="11" t="s">
        <v>39</v>
      </c>
      <c r="U3696" s="11" t="s">
        <v>40</v>
      </c>
      <c r="V3696" s="11" t="s">
        <v>96</v>
      </c>
      <c r="W3696" s="11">
        <v>5100000</v>
      </c>
      <c r="X3696" s="11">
        <v>1980</v>
      </c>
      <c r="Y3696" s="11">
        <v>191</v>
      </c>
      <c r="Z3696" s="11">
        <v>7.3</v>
      </c>
      <c r="AA3696" s="11">
        <v>1.85</v>
      </c>
      <c r="AB3696" s="11">
        <v>0</v>
      </c>
      <c r="AC3696" s="11"/>
      <c r="AD3696" s="11" t="str">
        <f>IFERROR(__xludf.DUMMYFUNCTION("""COMPUTED_VALUE"""),"Alba Rohrwacher")</f>
        <v>Alba Rohrwacher</v>
      </c>
      <c r="AE3696" s="11"/>
    </row>
    <row r="3697" customHeight="1" spans="1:31">
      <c r="A3697" s="12" t="s">
        <v>30</v>
      </c>
      <c r="B3697" s="12" t="s">
        <v>17516</v>
      </c>
      <c r="C3697" s="12">
        <v>24</v>
      </c>
      <c r="D3697" s="12">
        <v>128</v>
      </c>
      <c r="E3697" s="12">
        <v>4</v>
      </c>
      <c r="F3697" s="12">
        <v>47</v>
      </c>
      <c r="G3697" s="12">
        <v>374</v>
      </c>
      <c r="H3697" s="12">
        <v>563699</v>
      </c>
      <c r="I3697" s="12" t="s">
        <v>464</v>
      </c>
      <c r="J3697" s="12" t="s">
        <v>17517</v>
      </c>
      <c r="K3697" s="12" t="s">
        <v>581</v>
      </c>
      <c r="L3697" s="12" t="s">
        <v>17518</v>
      </c>
      <c r="M3697" s="12" t="s">
        <v>17519</v>
      </c>
      <c r="N3697" s="12">
        <v>3266</v>
      </c>
      <c r="O3697" s="12">
        <v>787</v>
      </c>
      <c r="P3697" s="12">
        <v>0</v>
      </c>
      <c r="Q3697" s="12" t="s">
        <v>17520</v>
      </c>
      <c r="R3697" s="15" t="s">
        <v>17521</v>
      </c>
      <c r="S3697" s="12">
        <v>27</v>
      </c>
      <c r="T3697" s="12" t="s">
        <v>5612</v>
      </c>
      <c r="U3697" s="12" t="s">
        <v>5613</v>
      </c>
      <c r="V3697" s="12" t="s">
        <v>586</v>
      </c>
      <c r="W3697" s="16"/>
      <c r="X3697" s="12">
        <v>2011</v>
      </c>
      <c r="Y3697" s="12">
        <v>282</v>
      </c>
      <c r="Z3697" s="12">
        <v>6.2</v>
      </c>
      <c r="AA3697" s="16"/>
      <c r="AB3697" s="12">
        <v>421</v>
      </c>
      <c r="AC3697" s="12"/>
      <c r="AD3697" s="12" t="str">
        <f>IFERROR(__xludf.DUMMYFUNCTION("""COMPUTED_VALUE"""),"Lesley Ann Warren")</f>
        <v>Lesley Ann Warren</v>
      </c>
      <c r="AE3697" s="12"/>
    </row>
    <row r="3698" customHeight="1" spans="1:31">
      <c r="A3698" s="11" t="s">
        <v>30</v>
      </c>
      <c r="B3698" s="11" t="s">
        <v>333</v>
      </c>
      <c r="C3698" s="11">
        <v>318</v>
      </c>
      <c r="D3698" s="11">
        <v>106</v>
      </c>
      <c r="E3698" s="11">
        <v>0</v>
      </c>
      <c r="F3698" s="11">
        <v>482</v>
      </c>
      <c r="G3698" s="11">
        <v>852</v>
      </c>
      <c r="H3698" s="11">
        <v>83574831</v>
      </c>
      <c r="I3698" s="11" t="s">
        <v>9755</v>
      </c>
      <c r="J3698" s="11" t="s">
        <v>7330</v>
      </c>
      <c r="K3698" s="11" t="s">
        <v>16591</v>
      </c>
      <c r="L3698" s="11" t="s">
        <v>14789</v>
      </c>
      <c r="M3698" s="11" t="s">
        <v>17522</v>
      </c>
      <c r="N3698" s="11">
        <v>109214</v>
      </c>
      <c r="O3698" s="11">
        <v>2975</v>
      </c>
      <c r="P3698" s="11">
        <v>0</v>
      </c>
      <c r="Q3698" s="11" t="s">
        <v>17523</v>
      </c>
      <c r="R3698" s="14" t="s">
        <v>17524</v>
      </c>
      <c r="S3698" s="11">
        <v>269</v>
      </c>
      <c r="T3698" s="11" t="s">
        <v>39</v>
      </c>
      <c r="U3698" s="11" t="s">
        <v>40</v>
      </c>
      <c r="V3698" s="11" t="s">
        <v>41</v>
      </c>
      <c r="W3698" s="11">
        <v>5000000</v>
      </c>
      <c r="X3698" s="11">
        <v>2013</v>
      </c>
      <c r="Y3698" s="11">
        <v>618</v>
      </c>
      <c r="Z3698" s="11">
        <v>6.6</v>
      </c>
      <c r="AA3698" s="11">
        <v>2.35</v>
      </c>
      <c r="AB3698" s="11">
        <v>35000</v>
      </c>
      <c r="AC3698" s="11"/>
      <c r="AD3698" s="11" t="str">
        <f>IFERROR(__xludf.DUMMYFUNCTION("""COMPUTED_VALUE"""),"Dennis Burkley")</f>
        <v>Dennis Burkley</v>
      </c>
      <c r="AE3698" s="11"/>
    </row>
    <row r="3699" customHeight="1" spans="1:31">
      <c r="A3699" s="12" t="s">
        <v>30</v>
      </c>
      <c r="B3699" s="12" t="s">
        <v>14788</v>
      </c>
      <c r="C3699" s="12">
        <v>250</v>
      </c>
      <c r="D3699" s="12">
        <v>95</v>
      </c>
      <c r="E3699" s="12">
        <v>163</v>
      </c>
      <c r="F3699" s="12">
        <v>651</v>
      </c>
      <c r="G3699" s="12">
        <v>1000</v>
      </c>
      <c r="H3699" s="12">
        <v>87025093</v>
      </c>
      <c r="I3699" s="12" t="s">
        <v>5104</v>
      </c>
      <c r="J3699" s="12" t="s">
        <v>8357</v>
      </c>
      <c r="K3699" s="12" t="s">
        <v>8231</v>
      </c>
      <c r="L3699" s="12" t="s">
        <v>14551</v>
      </c>
      <c r="M3699" s="12" t="s">
        <v>17525</v>
      </c>
      <c r="N3699" s="12">
        <v>188679</v>
      </c>
      <c r="O3699" s="12">
        <v>4134</v>
      </c>
      <c r="P3699" s="12">
        <v>0</v>
      </c>
      <c r="Q3699" s="12" t="s">
        <v>17526</v>
      </c>
      <c r="R3699" s="15" t="s">
        <v>17527</v>
      </c>
      <c r="S3699" s="12">
        <v>864</v>
      </c>
      <c r="T3699" s="12" t="s">
        <v>39</v>
      </c>
      <c r="U3699" s="12" t="s">
        <v>40</v>
      </c>
      <c r="V3699" s="12" t="s">
        <v>586</v>
      </c>
      <c r="W3699" s="12">
        <v>4000000</v>
      </c>
      <c r="X3699" s="12">
        <v>2005</v>
      </c>
      <c r="Y3699" s="12">
        <v>654</v>
      </c>
      <c r="Z3699" s="12">
        <v>6.6</v>
      </c>
      <c r="AA3699" s="12">
        <v>1.85</v>
      </c>
      <c r="AB3699" s="12">
        <v>0</v>
      </c>
      <c r="AC3699" s="12"/>
      <c r="AD3699" s="12" t="str">
        <f>IFERROR(__xludf.DUMMYFUNCTION("""COMPUTED_VALUE"""),"Tim DeKay")</f>
        <v>Tim DeKay</v>
      </c>
      <c r="AE3699" s="12"/>
    </row>
    <row r="3700" customHeight="1" spans="1:31">
      <c r="A3700" s="11" t="s">
        <v>30</v>
      </c>
      <c r="B3700" s="11" t="s">
        <v>17528</v>
      </c>
      <c r="C3700" s="11">
        <v>411</v>
      </c>
      <c r="D3700" s="11">
        <v>104</v>
      </c>
      <c r="E3700" s="11">
        <v>16</v>
      </c>
      <c r="F3700" s="11">
        <v>82</v>
      </c>
      <c r="G3700" s="11">
        <v>14000</v>
      </c>
      <c r="H3700" s="11">
        <v>71897215</v>
      </c>
      <c r="I3700" s="11" t="s">
        <v>17529</v>
      </c>
      <c r="J3700" s="11" t="s">
        <v>655</v>
      </c>
      <c r="K3700" s="11" t="s">
        <v>13575</v>
      </c>
      <c r="L3700" s="11" t="s">
        <v>17530</v>
      </c>
      <c r="M3700" s="11" t="s">
        <v>17531</v>
      </c>
      <c r="N3700" s="11">
        <v>126893</v>
      </c>
      <c r="O3700" s="11">
        <v>14504</v>
      </c>
      <c r="P3700" s="11">
        <v>0</v>
      </c>
      <c r="Q3700" s="11" t="s">
        <v>17532</v>
      </c>
      <c r="R3700" s="14" t="s">
        <v>17533</v>
      </c>
      <c r="S3700" s="11">
        <v>440</v>
      </c>
      <c r="T3700" s="11" t="s">
        <v>39</v>
      </c>
      <c r="U3700" s="11" t="s">
        <v>40</v>
      </c>
      <c r="V3700" s="11" t="s">
        <v>41</v>
      </c>
      <c r="W3700" s="11">
        <v>15000000</v>
      </c>
      <c r="X3700" s="11">
        <v>2016</v>
      </c>
      <c r="Y3700" s="11">
        <v>338</v>
      </c>
      <c r="Z3700" s="11">
        <v>7.3</v>
      </c>
      <c r="AA3700" s="11">
        <v>2.35</v>
      </c>
      <c r="AB3700" s="11">
        <v>33000</v>
      </c>
      <c r="AC3700" s="11"/>
      <c r="AD3700" s="11" t="str">
        <f>IFERROR(__xludf.DUMMYFUNCTION("""COMPUTED_VALUE"""),"Gillian White")</f>
        <v>Gillian White</v>
      </c>
      <c r="AE3700" s="11"/>
    </row>
    <row r="3701" customHeight="1" spans="1:31">
      <c r="A3701" s="12" t="s">
        <v>30</v>
      </c>
      <c r="B3701" s="12" t="s">
        <v>10666</v>
      </c>
      <c r="C3701" s="12">
        <v>106</v>
      </c>
      <c r="D3701" s="12">
        <v>87</v>
      </c>
      <c r="E3701" s="12">
        <v>79</v>
      </c>
      <c r="F3701" s="12">
        <v>218</v>
      </c>
      <c r="G3701" s="12">
        <v>608</v>
      </c>
      <c r="H3701" s="12">
        <v>64267897</v>
      </c>
      <c r="I3701" s="12" t="s">
        <v>17534</v>
      </c>
      <c r="J3701" s="12" t="s">
        <v>10668</v>
      </c>
      <c r="K3701" s="12" t="s">
        <v>10669</v>
      </c>
      <c r="L3701" s="12" t="s">
        <v>10670</v>
      </c>
      <c r="M3701" s="12" t="s">
        <v>17535</v>
      </c>
      <c r="N3701" s="12">
        <v>67992</v>
      </c>
      <c r="O3701" s="12">
        <v>1770</v>
      </c>
      <c r="P3701" s="12">
        <v>0</v>
      </c>
      <c r="Q3701" s="12" t="s">
        <v>17536</v>
      </c>
      <c r="R3701" s="15" t="s">
        <v>17537</v>
      </c>
      <c r="S3701" s="12">
        <v>327</v>
      </c>
      <c r="T3701" s="12" t="s">
        <v>39</v>
      </c>
      <c r="U3701" s="12" t="s">
        <v>40</v>
      </c>
      <c r="V3701" s="12" t="s">
        <v>586</v>
      </c>
      <c r="W3701" s="12">
        <v>5000000</v>
      </c>
      <c r="X3701" s="12">
        <v>2002</v>
      </c>
      <c r="Y3701" s="12">
        <v>362</v>
      </c>
      <c r="Z3701" s="12">
        <v>6.6</v>
      </c>
      <c r="AA3701" s="12">
        <v>1.85</v>
      </c>
      <c r="AB3701" s="12">
        <v>0</v>
      </c>
      <c r="AC3701" s="12"/>
      <c r="AD3701" s="12" t="str">
        <f>IFERROR(__xludf.DUMMYFUNCTION("""COMPUTED_VALUE"""),"Eoin Macken")</f>
        <v>Eoin Macken</v>
      </c>
      <c r="AE3701" s="12"/>
    </row>
    <row r="3702" customHeight="1" spans="1:31">
      <c r="A3702" s="11" t="s">
        <v>30</v>
      </c>
      <c r="B3702" s="11" t="s">
        <v>17538</v>
      </c>
      <c r="C3702" s="11">
        <v>159</v>
      </c>
      <c r="D3702" s="11">
        <v>81</v>
      </c>
      <c r="E3702" s="11">
        <v>26</v>
      </c>
      <c r="F3702" s="11">
        <v>300</v>
      </c>
      <c r="G3702" s="11">
        <v>2000</v>
      </c>
      <c r="H3702" s="11">
        <v>56536016</v>
      </c>
      <c r="I3702" s="11" t="s">
        <v>6403</v>
      </c>
      <c r="J3702" s="11" t="s">
        <v>4055</v>
      </c>
      <c r="K3702" s="11" t="s">
        <v>17539</v>
      </c>
      <c r="L3702" s="11" t="s">
        <v>16843</v>
      </c>
      <c r="M3702" s="11" t="s">
        <v>17540</v>
      </c>
      <c r="N3702" s="11">
        <v>13523</v>
      </c>
      <c r="O3702" s="11">
        <v>3344</v>
      </c>
      <c r="P3702" s="11">
        <v>0</v>
      </c>
      <c r="Q3702" s="11" t="s">
        <v>17541</v>
      </c>
      <c r="R3702" s="14" t="s">
        <v>17542</v>
      </c>
      <c r="S3702" s="11">
        <v>95</v>
      </c>
      <c r="T3702" s="11" t="s">
        <v>39</v>
      </c>
      <c r="U3702" s="11" t="s">
        <v>40</v>
      </c>
      <c r="V3702" s="11" t="s">
        <v>41</v>
      </c>
      <c r="W3702" s="11">
        <v>4900000</v>
      </c>
      <c r="X3702" s="11">
        <v>2016</v>
      </c>
      <c r="Y3702" s="11">
        <v>509</v>
      </c>
      <c r="Z3702" s="11">
        <v>6.9</v>
      </c>
      <c r="AA3702" s="11">
        <v>2.35</v>
      </c>
      <c r="AB3702" s="11">
        <v>0</v>
      </c>
      <c r="AC3702" s="11"/>
      <c r="AD3702" s="11" t="str">
        <f>IFERROR(__xludf.DUMMYFUNCTION("""COMPUTED_VALUE"""),"Stephanie Vogt")</f>
        <v>Stephanie Vogt</v>
      </c>
      <c r="AE3702" s="11"/>
    </row>
    <row r="3703" customHeight="1" spans="1:31">
      <c r="A3703" s="12" t="s">
        <v>30</v>
      </c>
      <c r="B3703" s="12" t="s">
        <v>11013</v>
      </c>
      <c r="C3703" s="12">
        <v>251</v>
      </c>
      <c r="D3703" s="12">
        <v>94</v>
      </c>
      <c r="E3703" s="12">
        <v>24</v>
      </c>
      <c r="F3703" s="12">
        <v>434</v>
      </c>
      <c r="G3703" s="12">
        <v>581</v>
      </c>
      <c r="H3703" s="12">
        <v>104007828</v>
      </c>
      <c r="I3703" s="12" t="s">
        <v>6403</v>
      </c>
      <c r="J3703" s="12" t="s">
        <v>15119</v>
      </c>
      <c r="K3703" s="12" t="s">
        <v>17543</v>
      </c>
      <c r="L3703" s="12" t="s">
        <v>16102</v>
      </c>
      <c r="M3703" s="12" t="s">
        <v>17544</v>
      </c>
      <c r="N3703" s="12">
        <v>76828</v>
      </c>
      <c r="O3703" s="12">
        <v>2371</v>
      </c>
      <c r="P3703" s="12">
        <v>0</v>
      </c>
      <c r="Q3703" s="12" t="s">
        <v>17545</v>
      </c>
      <c r="R3703" s="15" t="s">
        <v>17546</v>
      </c>
      <c r="S3703" s="12">
        <v>314</v>
      </c>
      <c r="T3703" s="12" t="s">
        <v>39</v>
      </c>
      <c r="U3703" s="12" t="s">
        <v>40</v>
      </c>
      <c r="V3703" s="12" t="s">
        <v>586</v>
      </c>
      <c r="W3703" s="12">
        <v>5000000</v>
      </c>
      <c r="X3703" s="12">
        <v>2011</v>
      </c>
      <c r="Y3703" s="12">
        <v>438</v>
      </c>
      <c r="Z3703" s="12">
        <v>5.8</v>
      </c>
      <c r="AA3703" s="12">
        <v>1.85</v>
      </c>
      <c r="AB3703" s="12">
        <v>24000</v>
      </c>
      <c r="AC3703" s="12"/>
      <c r="AD3703" s="12" t="str">
        <f>IFERROR(__xludf.DUMMYFUNCTION("""COMPUTED_VALUE"""),"Gen Seto")</f>
        <v>Gen Seto</v>
      </c>
      <c r="AE3703" s="12"/>
    </row>
    <row r="3704" customHeight="1" spans="1:31">
      <c r="A3704" s="11" t="s">
        <v>30</v>
      </c>
      <c r="B3704" s="11" t="s">
        <v>17547</v>
      </c>
      <c r="C3704" s="11">
        <v>183</v>
      </c>
      <c r="D3704" s="11">
        <v>89</v>
      </c>
      <c r="E3704" s="11">
        <v>10</v>
      </c>
      <c r="F3704" s="11">
        <v>704</v>
      </c>
      <c r="G3704" s="11">
        <v>852</v>
      </c>
      <c r="H3704" s="11">
        <v>50820940</v>
      </c>
      <c r="I3704" s="11" t="s">
        <v>7406</v>
      </c>
      <c r="J3704" s="11" t="s">
        <v>7330</v>
      </c>
      <c r="K3704" s="11" t="s">
        <v>17548</v>
      </c>
      <c r="L3704" s="11" t="s">
        <v>17549</v>
      </c>
      <c r="M3704" s="11" t="s">
        <v>17550</v>
      </c>
      <c r="N3704" s="11">
        <v>31915</v>
      </c>
      <c r="O3704" s="11">
        <v>5056</v>
      </c>
      <c r="P3704" s="11">
        <v>0</v>
      </c>
      <c r="Q3704" s="11" t="s">
        <v>17551</v>
      </c>
      <c r="R3704" s="14" t="s">
        <v>17552</v>
      </c>
      <c r="S3704" s="11">
        <v>159</v>
      </c>
      <c r="T3704" s="11" t="s">
        <v>39</v>
      </c>
      <c r="U3704" s="11" t="s">
        <v>40</v>
      </c>
      <c r="V3704" s="11" t="s">
        <v>41</v>
      </c>
      <c r="W3704" s="11">
        <v>5000000</v>
      </c>
      <c r="X3704" s="11">
        <v>2014</v>
      </c>
      <c r="Y3704" s="11">
        <v>707</v>
      </c>
      <c r="Z3704" s="11">
        <v>4.4</v>
      </c>
      <c r="AA3704" s="11">
        <v>2.35</v>
      </c>
      <c r="AB3704" s="11">
        <v>18000</v>
      </c>
      <c r="AC3704" s="11"/>
      <c r="AD3704" s="11" t="str">
        <f>IFERROR(__xludf.DUMMYFUNCTION("""COMPUTED_VALUE"""),"Maria Dizzia")</f>
        <v>Maria Dizzia</v>
      </c>
      <c r="AE3704" s="11"/>
    </row>
    <row r="3705" customHeight="1" spans="1:31">
      <c r="A3705" s="12" t="s">
        <v>30</v>
      </c>
      <c r="B3705" s="12" t="s">
        <v>1758</v>
      </c>
      <c r="C3705" s="12">
        <v>131</v>
      </c>
      <c r="D3705" s="12">
        <v>88</v>
      </c>
      <c r="E3705" s="12">
        <v>55</v>
      </c>
      <c r="F3705" s="12">
        <v>150</v>
      </c>
      <c r="G3705" s="12">
        <v>506</v>
      </c>
      <c r="H3705" s="12">
        <v>44793200</v>
      </c>
      <c r="I3705" s="12" t="s">
        <v>8946</v>
      </c>
      <c r="J3705" s="12" t="s">
        <v>17553</v>
      </c>
      <c r="K3705" s="12" t="s">
        <v>16058</v>
      </c>
      <c r="L3705" s="12" t="s">
        <v>17554</v>
      </c>
      <c r="M3705" s="12" t="s">
        <v>17555</v>
      </c>
      <c r="N3705" s="12">
        <v>49820</v>
      </c>
      <c r="O3705" s="12">
        <v>1584</v>
      </c>
      <c r="P3705" s="12">
        <v>0</v>
      </c>
      <c r="Q3705" s="12" t="s">
        <v>17556</v>
      </c>
      <c r="R3705" s="15" t="s">
        <v>17557</v>
      </c>
      <c r="S3705" s="12">
        <v>311</v>
      </c>
      <c r="T3705" s="12" t="s">
        <v>39</v>
      </c>
      <c r="U3705" s="12" t="s">
        <v>40</v>
      </c>
      <c r="V3705" s="12" t="s">
        <v>7335</v>
      </c>
      <c r="W3705" s="12">
        <v>4500000</v>
      </c>
      <c r="X3705" s="12">
        <v>1987</v>
      </c>
      <c r="Y3705" s="12">
        <v>449</v>
      </c>
      <c r="Z3705" s="12">
        <v>6.6</v>
      </c>
      <c r="AA3705" s="12">
        <v>1.85</v>
      </c>
      <c r="AB3705" s="12">
        <v>0</v>
      </c>
      <c r="AC3705" s="12"/>
      <c r="AD3705" s="12" t="str">
        <f>IFERROR(__xludf.DUMMYFUNCTION("""COMPUTED_VALUE"""),"Dree Hemingway")</f>
        <v>Dree Hemingway</v>
      </c>
      <c r="AE3705" s="12"/>
    </row>
    <row r="3706" customHeight="1" spans="1:31">
      <c r="A3706" s="11" t="s">
        <v>30</v>
      </c>
      <c r="B3706" s="11" t="s">
        <v>15052</v>
      </c>
      <c r="C3706" s="11">
        <v>297</v>
      </c>
      <c r="D3706" s="11">
        <v>108</v>
      </c>
      <c r="E3706" s="11">
        <v>0</v>
      </c>
      <c r="F3706" s="11">
        <v>458</v>
      </c>
      <c r="G3706" s="11">
        <v>1000</v>
      </c>
      <c r="H3706" s="11">
        <v>43771291</v>
      </c>
      <c r="I3706" s="11" t="s">
        <v>852</v>
      </c>
      <c r="J3706" s="11" t="s">
        <v>6502</v>
      </c>
      <c r="K3706" s="11" t="s">
        <v>12780</v>
      </c>
      <c r="L3706" s="11" t="s">
        <v>7599</v>
      </c>
      <c r="M3706" s="11" t="s">
        <v>15053</v>
      </c>
      <c r="N3706" s="11">
        <v>79916</v>
      </c>
      <c r="O3706" s="11">
        <v>3215</v>
      </c>
      <c r="P3706" s="11">
        <v>1</v>
      </c>
      <c r="Q3706" s="11" t="s">
        <v>15054</v>
      </c>
      <c r="R3706" s="14" t="s">
        <v>15055</v>
      </c>
      <c r="S3706" s="11">
        <v>279</v>
      </c>
      <c r="T3706" s="11" t="s">
        <v>39</v>
      </c>
      <c r="U3706" s="11" t="s">
        <v>40</v>
      </c>
      <c r="V3706" s="11" t="s">
        <v>586</v>
      </c>
      <c r="W3706" s="11">
        <v>5000000</v>
      </c>
      <c r="X3706" s="11">
        <v>2015</v>
      </c>
      <c r="Y3706" s="11">
        <v>562</v>
      </c>
      <c r="Z3706" s="11">
        <v>7.1</v>
      </c>
      <c r="AA3706" s="11">
        <v>2.35</v>
      </c>
      <c r="AB3706" s="11">
        <v>15000</v>
      </c>
      <c r="AC3706" s="11"/>
      <c r="AD3706" s="11" t="str">
        <f>IFERROR(__xludf.DUMMYFUNCTION("""COMPUTED_VALUE"""),"Eddie 'Piolin' Sotelo")</f>
        <v>Eddie 'Piolin' Sotelo</v>
      </c>
      <c r="AE3706" s="11"/>
    </row>
    <row r="3707" customHeight="1" spans="1:31">
      <c r="A3707" s="12" t="s">
        <v>30</v>
      </c>
      <c r="B3707" s="12" t="s">
        <v>17558</v>
      </c>
      <c r="C3707" s="12">
        <v>41</v>
      </c>
      <c r="D3707" s="12">
        <v>115</v>
      </c>
      <c r="E3707" s="12">
        <v>399</v>
      </c>
      <c r="F3707" s="12">
        <v>83</v>
      </c>
      <c r="G3707" s="12">
        <v>399</v>
      </c>
      <c r="H3707" s="12">
        <v>44456509</v>
      </c>
      <c r="I3707" s="12" t="s">
        <v>2528</v>
      </c>
      <c r="J3707" s="12" t="s">
        <v>17558</v>
      </c>
      <c r="K3707" s="12" t="s">
        <v>17559</v>
      </c>
      <c r="L3707" s="12" t="s">
        <v>17560</v>
      </c>
      <c r="M3707" s="12" t="s">
        <v>17561</v>
      </c>
      <c r="N3707" s="12">
        <v>22105</v>
      </c>
      <c r="O3707" s="12">
        <v>688</v>
      </c>
      <c r="P3707" s="12">
        <v>1</v>
      </c>
      <c r="Q3707" s="12" t="s">
        <v>17562</v>
      </c>
      <c r="R3707" s="15" t="s">
        <v>17563</v>
      </c>
      <c r="S3707" s="12">
        <v>81</v>
      </c>
      <c r="T3707" s="12" t="s">
        <v>2779</v>
      </c>
      <c r="U3707" s="12" t="s">
        <v>2914</v>
      </c>
      <c r="V3707" s="12" t="s">
        <v>41</v>
      </c>
      <c r="W3707" s="12">
        <v>5000000</v>
      </c>
      <c r="X3707" s="12">
        <v>2013</v>
      </c>
      <c r="Y3707" s="12">
        <v>89</v>
      </c>
      <c r="Z3707" s="12">
        <v>7.6</v>
      </c>
      <c r="AA3707" s="12">
        <v>1.85</v>
      </c>
      <c r="AB3707" s="12">
        <v>14000</v>
      </c>
      <c r="AC3707" s="12"/>
      <c r="AD3707" s="12" t="str">
        <f>IFERROR(__xludf.DUMMYFUNCTION("""COMPUTED_VALUE"""),"Robert Peters")</f>
        <v>Robert Peters</v>
      </c>
      <c r="AE3707" s="12"/>
    </row>
    <row r="3708" customHeight="1" spans="1:31">
      <c r="A3708" s="11" t="s">
        <v>30</v>
      </c>
      <c r="B3708" s="11" t="s">
        <v>11013</v>
      </c>
      <c r="C3708" s="11">
        <v>248</v>
      </c>
      <c r="D3708" s="11">
        <v>96</v>
      </c>
      <c r="E3708" s="11">
        <v>24</v>
      </c>
      <c r="F3708" s="11">
        <v>113</v>
      </c>
      <c r="G3708" s="11">
        <v>235</v>
      </c>
      <c r="H3708" s="11">
        <v>53884821</v>
      </c>
      <c r="I3708" s="11" t="s">
        <v>6403</v>
      </c>
      <c r="J3708" s="11" t="s">
        <v>17564</v>
      </c>
      <c r="K3708" s="11" t="s">
        <v>17565</v>
      </c>
      <c r="L3708" s="11" t="s">
        <v>17566</v>
      </c>
      <c r="M3708" s="11" t="s">
        <v>17567</v>
      </c>
      <c r="N3708" s="11">
        <v>51204</v>
      </c>
      <c r="O3708" s="11">
        <v>799</v>
      </c>
      <c r="P3708" s="11">
        <v>0</v>
      </c>
      <c r="Q3708" s="11" t="s">
        <v>17568</v>
      </c>
      <c r="R3708" s="14" t="s">
        <v>17569</v>
      </c>
      <c r="S3708" s="11">
        <v>247</v>
      </c>
      <c r="T3708" s="11" t="s">
        <v>39</v>
      </c>
      <c r="U3708" s="11" t="s">
        <v>40</v>
      </c>
      <c r="V3708" s="11" t="s">
        <v>586</v>
      </c>
      <c r="W3708" s="11">
        <v>5000000</v>
      </c>
      <c r="X3708" s="11">
        <v>2012</v>
      </c>
      <c r="Y3708" s="11">
        <v>119</v>
      </c>
      <c r="Z3708" s="11">
        <v>4.6</v>
      </c>
      <c r="AA3708" s="11">
        <v>1.85</v>
      </c>
      <c r="AB3708" s="11">
        <v>26000</v>
      </c>
      <c r="AC3708" s="11"/>
      <c r="AD3708" s="11" t="str">
        <f>IFERROR(__xludf.DUMMYFUNCTION("""COMPUTED_VALUE"""),"Naseeruddin Shah")</f>
        <v>Naseeruddin Shah</v>
      </c>
      <c r="AE3708" s="11"/>
    </row>
    <row r="3709" customHeight="1" spans="1:31">
      <c r="A3709" s="12" t="s">
        <v>30</v>
      </c>
      <c r="B3709" s="12" t="s">
        <v>17570</v>
      </c>
      <c r="C3709" s="12">
        <v>42</v>
      </c>
      <c r="D3709" s="12">
        <v>135</v>
      </c>
      <c r="E3709" s="12">
        <v>28</v>
      </c>
      <c r="F3709" s="12">
        <v>275</v>
      </c>
      <c r="G3709" s="12">
        <v>726</v>
      </c>
      <c r="H3709" s="12">
        <v>36000000</v>
      </c>
      <c r="I3709" s="12" t="s">
        <v>6520</v>
      </c>
      <c r="J3709" s="12" t="s">
        <v>6114</v>
      </c>
      <c r="K3709" s="12" t="s">
        <v>1085</v>
      </c>
      <c r="L3709" s="12" t="s">
        <v>17571</v>
      </c>
      <c r="M3709" s="12" t="s">
        <v>17572</v>
      </c>
      <c r="N3709" s="12">
        <v>6359</v>
      </c>
      <c r="O3709" s="12">
        <v>1920</v>
      </c>
      <c r="P3709" s="12">
        <v>1</v>
      </c>
      <c r="Q3709" s="12" t="s">
        <v>17573</v>
      </c>
      <c r="R3709" s="15" t="s">
        <v>17574</v>
      </c>
      <c r="S3709" s="12">
        <v>69</v>
      </c>
      <c r="T3709" s="12" t="s">
        <v>39</v>
      </c>
      <c r="U3709" s="12" t="s">
        <v>40</v>
      </c>
      <c r="V3709" s="12" t="s">
        <v>5614</v>
      </c>
      <c r="W3709" s="12">
        <v>5000000</v>
      </c>
      <c r="X3709" s="12">
        <v>1953</v>
      </c>
      <c r="Y3709" s="12">
        <v>422</v>
      </c>
      <c r="Z3709" s="12">
        <v>6.8</v>
      </c>
      <c r="AA3709" s="12">
        <v>2.2</v>
      </c>
      <c r="AB3709" s="12">
        <v>0</v>
      </c>
      <c r="AC3709" s="12"/>
      <c r="AD3709" s="12" t="str">
        <f>IFERROR(__xludf.DUMMYFUNCTION("""COMPUTED_VALUE"""),"Rekha")</f>
        <v>Rekha</v>
      </c>
      <c r="AE3709" s="12"/>
    </row>
    <row r="3710" customHeight="1" spans="1:31">
      <c r="A3710" s="11" t="s">
        <v>30</v>
      </c>
      <c r="B3710" s="11" t="s">
        <v>10469</v>
      </c>
      <c r="C3710" s="11">
        <v>33</v>
      </c>
      <c r="D3710" s="11">
        <v>113</v>
      </c>
      <c r="E3710" s="11">
        <v>688</v>
      </c>
      <c r="F3710" s="11">
        <v>80</v>
      </c>
      <c r="G3710" s="11">
        <v>462</v>
      </c>
      <c r="H3710" s="13"/>
      <c r="I3710" s="11" t="s">
        <v>12489</v>
      </c>
      <c r="J3710" s="11" t="s">
        <v>15516</v>
      </c>
      <c r="K3710" s="11" t="s">
        <v>14937</v>
      </c>
      <c r="L3710" s="11" t="s">
        <v>17575</v>
      </c>
      <c r="M3710" s="11" t="s">
        <v>17576</v>
      </c>
      <c r="N3710" s="11">
        <v>19596</v>
      </c>
      <c r="O3710" s="11">
        <v>971</v>
      </c>
      <c r="P3710" s="11">
        <v>0</v>
      </c>
      <c r="Q3710" s="11" t="s">
        <v>17577</v>
      </c>
      <c r="R3710" s="14" t="s">
        <v>17578</v>
      </c>
      <c r="S3710" s="11">
        <v>73</v>
      </c>
      <c r="T3710" s="11" t="s">
        <v>39</v>
      </c>
      <c r="U3710" s="11" t="s">
        <v>58</v>
      </c>
      <c r="V3710" s="11" t="s">
        <v>278</v>
      </c>
      <c r="W3710" s="11">
        <v>5000000</v>
      </c>
      <c r="X3710" s="11">
        <v>1975</v>
      </c>
      <c r="Y3710" s="11">
        <v>278</v>
      </c>
      <c r="Z3710" s="11">
        <v>7.1</v>
      </c>
      <c r="AA3710" s="11">
        <v>2.35</v>
      </c>
      <c r="AB3710" s="11">
        <v>620</v>
      </c>
      <c r="AC3710" s="11"/>
      <c r="AD3710" s="11" t="str">
        <f>IFERROR(__xludf.DUMMYFUNCTION("""COMPUTED_VALUE"""),"Sharat Saxena")</f>
        <v>Sharat Saxena</v>
      </c>
      <c r="AE3710" s="11"/>
    </row>
    <row r="3711" customHeight="1" spans="1:31">
      <c r="A3711" s="12" t="s">
        <v>30</v>
      </c>
      <c r="B3711" s="12" t="s">
        <v>9971</v>
      </c>
      <c r="C3711" s="12">
        <v>91</v>
      </c>
      <c r="D3711" s="12">
        <v>93</v>
      </c>
      <c r="E3711" s="12">
        <v>54</v>
      </c>
      <c r="F3711" s="12">
        <v>581</v>
      </c>
      <c r="G3711" s="12">
        <v>40000</v>
      </c>
      <c r="H3711" s="12">
        <v>34872293</v>
      </c>
      <c r="I3711" s="12" t="s">
        <v>8066</v>
      </c>
      <c r="J3711" s="12" t="s">
        <v>44</v>
      </c>
      <c r="K3711" s="12" t="s">
        <v>1736</v>
      </c>
      <c r="L3711" s="12" t="s">
        <v>8388</v>
      </c>
      <c r="M3711" s="12" t="s">
        <v>17579</v>
      </c>
      <c r="N3711" s="12">
        <v>30765</v>
      </c>
      <c r="O3711" s="12">
        <v>42002</v>
      </c>
      <c r="P3711" s="12">
        <v>0</v>
      </c>
      <c r="Q3711" s="12" t="s">
        <v>17580</v>
      </c>
      <c r="R3711" s="15" t="s">
        <v>17581</v>
      </c>
      <c r="S3711" s="12">
        <v>252</v>
      </c>
      <c r="T3711" s="12" t="s">
        <v>39</v>
      </c>
      <c r="U3711" s="12" t="s">
        <v>40</v>
      </c>
      <c r="V3711" s="12" t="s">
        <v>586</v>
      </c>
      <c r="W3711" s="12">
        <v>8500000</v>
      </c>
      <c r="X3711" s="12">
        <v>1991</v>
      </c>
      <c r="Y3711" s="12">
        <v>618</v>
      </c>
      <c r="Z3711" s="12">
        <v>4.9</v>
      </c>
      <c r="AA3711" s="12">
        <v>1.85</v>
      </c>
      <c r="AB3711" s="12">
        <v>963</v>
      </c>
      <c r="AC3711" s="12"/>
      <c r="AD3711" s="12" t="str">
        <f>IFERROR(__xludf.DUMMYFUNCTION("""COMPUTED_VALUE"""),"Scott A. Martin")</f>
        <v>Scott A. Martin</v>
      </c>
      <c r="AE3711" s="12"/>
    </row>
    <row r="3712" customHeight="1" spans="1:31">
      <c r="A3712" s="11" t="s">
        <v>30</v>
      </c>
      <c r="B3712" s="11" t="s">
        <v>17582</v>
      </c>
      <c r="C3712" s="11">
        <v>185</v>
      </c>
      <c r="D3712" s="11">
        <v>109</v>
      </c>
      <c r="E3712" s="11">
        <v>260</v>
      </c>
      <c r="F3712" s="11">
        <v>592</v>
      </c>
      <c r="G3712" s="11">
        <v>9000</v>
      </c>
      <c r="H3712" s="11">
        <v>34468224</v>
      </c>
      <c r="I3712" s="11" t="s">
        <v>5685</v>
      </c>
      <c r="J3712" s="11" t="s">
        <v>778</v>
      </c>
      <c r="K3712" s="11" t="s">
        <v>10437</v>
      </c>
      <c r="L3712" s="11" t="s">
        <v>5466</v>
      </c>
      <c r="M3712" s="11" t="s">
        <v>17583</v>
      </c>
      <c r="N3712" s="11">
        <v>105568</v>
      </c>
      <c r="O3712" s="11">
        <v>11736</v>
      </c>
      <c r="P3712" s="11">
        <v>2</v>
      </c>
      <c r="Q3712" s="11" t="s">
        <v>17584</v>
      </c>
      <c r="R3712" s="14" t="s">
        <v>17585</v>
      </c>
      <c r="S3712" s="11">
        <v>533</v>
      </c>
      <c r="T3712" s="11" t="s">
        <v>39</v>
      </c>
      <c r="U3712" s="11" t="s">
        <v>40</v>
      </c>
      <c r="V3712" s="11" t="s">
        <v>586</v>
      </c>
      <c r="W3712" s="11">
        <v>4500000</v>
      </c>
      <c r="X3712" s="11">
        <v>2003</v>
      </c>
      <c r="Y3712" s="11">
        <v>844</v>
      </c>
      <c r="Z3712" s="11">
        <v>7.3</v>
      </c>
      <c r="AA3712" s="11">
        <v>1.85</v>
      </c>
      <c r="AB3712" s="11">
        <v>0</v>
      </c>
      <c r="AC3712" s="11"/>
      <c r="AD3712" s="11" t="str">
        <f>IFERROR(__xludf.DUMMYFUNCTION("""COMPUTED_VALUE"""),"Carol Sutton")</f>
        <v>Carol Sutton</v>
      </c>
      <c r="AE3712" s="11"/>
    </row>
    <row r="3713" customHeight="1" spans="1:31">
      <c r="A3713" s="12" t="s">
        <v>30</v>
      </c>
      <c r="B3713" s="12" t="s">
        <v>9668</v>
      </c>
      <c r="C3713" s="12">
        <v>69</v>
      </c>
      <c r="D3713" s="12">
        <v>127</v>
      </c>
      <c r="E3713" s="12">
        <v>130</v>
      </c>
      <c r="F3713" s="12">
        <v>51</v>
      </c>
      <c r="G3713" s="12">
        <v>617</v>
      </c>
      <c r="H3713" s="16"/>
      <c r="I3713" s="12" t="s">
        <v>17586</v>
      </c>
      <c r="J3713" s="12" t="s">
        <v>4825</v>
      </c>
      <c r="K3713" s="12" t="s">
        <v>17587</v>
      </c>
      <c r="L3713" s="12" t="s">
        <v>17588</v>
      </c>
      <c r="M3713" s="12" t="s">
        <v>17589</v>
      </c>
      <c r="N3713" s="12">
        <v>22123</v>
      </c>
      <c r="O3713" s="12">
        <v>799</v>
      </c>
      <c r="P3713" s="12">
        <v>0</v>
      </c>
      <c r="Q3713" s="12" t="s">
        <v>17590</v>
      </c>
      <c r="R3713" s="15" t="s">
        <v>17591</v>
      </c>
      <c r="S3713" s="12">
        <v>108</v>
      </c>
      <c r="T3713" s="12" t="s">
        <v>39</v>
      </c>
      <c r="U3713" s="12" t="s">
        <v>40</v>
      </c>
      <c r="V3713" s="12" t="s">
        <v>6037</v>
      </c>
      <c r="W3713" s="12">
        <v>5000000</v>
      </c>
      <c r="X3713" s="12">
        <v>1954</v>
      </c>
      <c r="Y3713" s="12">
        <v>53</v>
      </c>
      <c r="Z3713" s="12">
        <v>7.2</v>
      </c>
      <c r="AA3713" s="12">
        <v>1.37</v>
      </c>
      <c r="AB3713" s="12">
        <v>0</v>
      </c>
      <c r="AC3713" s="12"/>
      <c r="AD3713" s="12" t="str">
        <f>IFERROR(__xludf.DUMMYFUNCTION("""COMPUTED_VALUE"""),"Robert Pralgo")</f>
        <v>Robert Pralgo</v>
      </c>
      <c r="AE3713" s="12"/>
    </row>
    <row r="3714" customHeight="1" spans="1:31">
      <c r="A3714" s="11" t="s">
        <v>30</v>
      </c>
      <c r="B3714" s="11" t="s">
        <v>17592</v>
      </c>
      <c r="C3714" s="11">
        <v>220</v>
      </c>
      <c r="D3714" s="11">
        <v>101</v>
      </c>
      <c r="E3714" s="11">
        <v>52</v>
      </c>
      <c r="F3714" s="11">
        <v>332</v>
      </c>
      <c r="G3714" s="11">
        <v>510</v>
      </c>
      <c r="H3714" s="11">
        <v>32453345</v>
      </c>
      <c r="I3714" s="11" t="s">
        <v>9755</v>
      </c>
      <c r="J3714" s="11" t="s">
        <v>17593</v>
      </c>
      <c r="K3714" s="11" t="s">
        <v>17594</v>
      </c>
      <c r="L3714" s="11" t="s">
        <v>17595</v>
      </c>
      <c r="M3714" s="11" t="s">
        <v>17596</v>
      </c>
      <c r="N3714" s="11">
        <v>31791</v>
      </c>
      <c r="O3714" s="11">
        <v>2161</v>
      </c>
      <c r="P3714" s="11">
        <v>0</v>
      </c>
      <c r="Q3714" s="11" t="s">
        <v>17597</v>
      </c>
      <c r="R3714" s="14" t="s">
        <v>17598</v>
      </c>
      <c r="S3714" s="11">
        <v>155</v>
      </c>
      <c r="T3714" s="11" t="s">
        <v>39</v>
      </c>
      <c r="U3714" s="11" t="s">
        <v>40</v>
      </c>
      <c r="V3714" s="11" t="s">
        <v>586</v>
      </c>
      <c r="W3714" s="11">
        <v>5000000</v>
      </c>
      <c r="X3714" s="11">
        <v>2014</v>
      </c>
      <c r="Y3714" s="11">
        <v>358</v>
      </c>
      <c r="Z3714" s="11">
        <v>5</v>
      </c>
      <c r="AA3714" s="11">
        <v>1.78</v>
      </c>
      <c r="AB3714" s="11">
        <v>10000</v>
      </c>
      <c r="AC3714" s="11"/>
      <c r="AD3714" s="11" t="str">
        <f>IFERROR(__xludf.DUMMYFUNCTION("""COMPUTED_VALUE"""),"Norah Jones")</f>
        <v>Norah Jones</v>
      </c>
      <c r="AE3714" s="11"/>
    </row>
    <row r="3715" customHeight="1" spans="1:31">
      <c r="A3715" s="12" t="s">
        <v>748</v>
      </c>
      <c r="B3715" s="12" t="s">
        <v>5878</v>
      </c>
      <c r="C3715" s="12">
        <v>117</v>
      </c>
      <c r="D3715" s="12">
        <v>124</v>
      </c>
      <c r="E3715" s="12">
        <v>0</v>
      </c>
      <c r="F3715" s="12">
        <v>452</v>
      </c>
      <c r="G3715" s="12">
        <v>12000</v>
      </c>
      <c r="H3715" s="16"/>
      <c r="I3715" s="12" t="s">
        <v>1544</v>
      </c>
      <c r="J3715" s="12" t="s">
        <v>763</v>
      </c>
      <c r="K3715" s="12" t="s">
        <v>4005</v>
      </c>
      <c r="L3715" s="12" t="s">
        <v>3448</v>
      </c>
      <c r="M3715" s="12" t="s">
        <v>17599</v>
      </c>
      <c r="N3715" s="12">
        <v>161972</v>
      </c>
      <c r="O3715" s="12">
        <v>13864</v>
      </c>
      <c r="P3715" s="12">
        <v>1</v>
      </c>
      <c r="Q3715" s="12" t="s">
        <v>17600</v>
      </c>
      <c r="R3715" s="15" t="s">
        <v>17601</v>
      </c>
      <c r="S3715" s="12">
        <v>356</v>
      </c>
      <c r="T3715" s="12" t="s">
        <v>39</v>
      </c>
      <c r="U3715" s="12" t="s">
        <v>40</v>
      </c>
      <c r="V3715" s="12" t="s">
        <v>96</v>
      </c>
      <c r="W3715" s="12">
        <v>5000000</v>
      </c>
      <c r="X3715" s="12">
        <v>1980</v>
      </c>
      <c r="Y3715" s="12">
        <v>754</v>
      </c>
      <c r="Z3715" s="12">
        <v>8.2</v>
      </c>
      <c r="AA3715" s="12">
        <v>2.35</v>
      </c>
      <c r="AB3715" s="12">
        <v>9000</v>
      </c>
      <c r="AC3715" s="12"/>
      <c r="AD3715" s="12" t="str">
        <f>IFERROR(__xludf.DUMMYFUNCTION("""COMPUTED_VALUE"""),"Adriane Lenox")</f>
        <v>Adriane Lenox</v>
      </c>
      <c r="AE3715" s="12"/>
    </row>
    <row r="3716" customHeight="1" spans="1:31">
      <c r="A3716" s="11" t="s">
        <v>30</v>
      </c>
      <c r="B3716" s="11" t="s">
        <v>7645</v>
      </c>
      <c r="C3716" s="11">
        <v>471</v>
      </c>
      <c r="D3716" s="11">
        <v>117</v>
      </c>
      <c r="E3716" s="11">
        <v>212</v>
      </c>
      <c r="F3716" s="11">
        <v>896</v>
      </c>
      <c r="G3716" s="11">
        <v>11000</v>
      </c>
      <c r="H3716" s="11">
        <v>27296514</v>
      </c>
      <c r="I3716" s="11" t="s">
        <v>1544</v>
      </c>
      <c r="J3716" s="11" t="s">
        <v>661</v>
      </c>
      <c r="K3716" s="11" t="s">
        <v>750</v>
      </c>
      <c r="L3716" s="11" t="s">
        <v>4236</v>
      </c>
      <c r="M3716" s="11" t="s">
        <v>17602</v>
      </c>
      <c r="N3716" s="11">
        <v>326494</v>
      </c>
      <c r="O3716" s="11">
        <v>17738</v>
      </c>
      <c r="P3716" s="11">
        <v>0</v>
      </c>
      <c r="Q3716" s="11" t="s">
        <v>17603</v>
      </c>
      <c r="R3716" s="14" t="s">
        <v>17604</v>
      </c>
      <c r="S3716" s="11">
        <v>340</v>
      </c>
      <c r="T3716" s="11" t="s">
        <v>39</v>
      </c>
      <c r="U3716" s="11" t="s">
        <v>40</v>
      </c>
      <c r="V3716" s="11" t="s">
        <v>586</v>
      </c>
      <c r="W3716" s="11">
        <v>5000000</v>
      </c>
      <c r="X3716" s="11">
        <v>2013</v>
      </c>
      <c r="Y3716" s="11">
        <v>3000</v>
      </c>
      <c r="Z3716" s="11">
        <v>8</v>
      </c>
      <c r="AA3716" s="11">
        <v>2.35</v>
      </c>
      <c r="AB3716" s="11">
        <v>65000</v>
      </c>
      <c r="AC3716" s="11"/>
      <c r="AD3716" s="11" t="str">
        <f>IFERROR(__xludf.DUMMYFUNCTION("""COMPUTED_VALUE"""),"George DiCenzo")</f>
        <v>George DiCenzo</v>
      </c>
      <c r="AE3716" s="11"/>
    </row>
    <row r="3717" customHeight="1" spans="1:31">
      <c r="A3717" s="12" t="s">
        <v>30</v>
      </c>
      <c r="B3717" s="12" t="s">
        <v>17605</v>
      </c>
      <c r="C3717" s="12">
        <v>152</v>
      </c>
      <c r="D3717" s="12">
        <v>83</v>
      </c>
      <c r="E3717" s="12">
        <v>26</v>
      </c>
      <c r="F3717" s="12">
        <v>801</v>
      </c>
      <c r="G3717" s="12">
        <v>10000</v>
      </c>
      <c r="H3717" s="12">
        <v>25799043</v>
      </c>
      <c r="I3717" s="12" t="s">
        <v>4333</v>
      </c>
      <c r="J3717" s="12" t="s">
        <v>302</v>
      </c>
      <c r="K3717" s="12" t="s">
        <v>10692</v>
      </c>
      <c r="L3717" s="12" t="s">
        <v>1666</v>
      </c>
      <c r="M3717" s="12" t="s">
        <v>17606</v>
      </c>
      <c r="N3717" s="12">
        <v>28513</v>
      </c>
      <c r="O3717" s="12">
        <v>11771</v>
      </c>
      <c r="P3717" s="12">
        <v>0</v>
      </c>
      <c r="Q3717" s="12" t="s">
        <v>17607</v>
      </c>
      <c r="R3717" s="15" t="s">
        <v>17608</v>
      </c>
      <c r="S3717" s="12">
        <v>126</v>
      </c>
      <c r="T3717" s="12" t="s">
        <v>39</v>
      </c>
      <c r="U3717" s="12" t="s">
        <v>40</v>
      </c>
      <c r="V3717" s="12" t="s">
        <v>41</v>
      </c>
      <c r="W3717" s="12">
        <v>3300000</v>
      </c>
      <c r="X3717" s="12">
        <v>2015</v>
      </c>
      <c r="Y3717" s="12">
        <v>830</v>
      </c>
      <c r="Z3717" s="12">
        <v>5.2</v>
      </c>
      <c r="AA3717" s="12">
        <v>2.35</v>
      </c>
      <c r="AB3717" s="12">
        <v>0</v>
      </c>
      <c r="AC3717" s="12"/>
      <c r="AD3717" s="12" t="str">
        <f>IFERROR(__xludf.DUMMYFUNCTION("""COMPUTED_VALUE"""),"Sergej Trifunovic")</f>
        <v>Sergej Trifunovic</v>
      </c>
      <c r="AE3717" s="12"/>
    </row>
    <row r="3718" customHeight="1" spans="1:31">
      <c r="A3718" s="11" t="s">
        <v>748</v>
      </c>
      <c r="B3718" s="11" t="s">
        <v>59</v>
      </c>
      <c r="C3718" s="11">
        <v>274</v>
      </c>
      <c r="D3718" s="11">
        <v>113</v>
      </c>
      <c r="E3718" s="11">
        <v>22000</v>
      </c>
      <c r="F3718" s="11">
        <v>379</v>
      </c>
      <c r="G3718" s="11">
        <v>716</v>
      </c>
      <c r="H3718" s="11">
        <v>25530884</v>
      </c>
      <c r="I3718" s="11" t="s">
        <v>852</v>
      </c>
      <c r="J3718" s="11" t="s">
        <v>731</v>
      </c>
      <c r="K3718" s="11" t="s">
        <v>5043</v>
      </c>
      <c r="L3718" s="11" t="s">
        <v>17609</v>
      </c>
      <c r="M3718" s="11" t="s">
        <v>17610</v>
      </c>
      <c r="N3718" s="11">
        <v>845580</v>
      </c>
      <c r="O3718" s="11">
        <v>1997</v>
      </c>
      <c r="P3718" s="11">
        <v>0</v>
      </c>
      <c r="Q3718" s="11" t="s">
        <v>17611</v>
      </c>
      <c r="R3718" s="14" t="s">
        <v>17612</v>
      </c>
      <c r="S3718" s="11">
        <v>2067</v>
      </c>
      <c r="T3718" s="11" t="s">
        <v>39</v>
      </c>
      <c r="U3718" s="11" t="s">
        <v>40</v>
      </c>
      <c r="V3718" s="11" t="s">
        <v>586</v>
      </c>
      <c r="W3718" s="11">
        <v>9000000</v>
      </c>
      <c r="X3718" s="11">
        <v>2000</v>
      </c>
      <c r="Y3718" s="11">
        <v>651</v>
      </c>
      <c r="Z3718" s="11">
        <v>8.5</v>
      </c>
      <c r="AA3718" s="11">
        <v>2.35</v>
      </c>
      <c r="AB3718" s="11">
        <v>40000</v>
      </c>
      <c r="AC3718" s="11"/>
      <c r="AD3718" s="11" t="str">
        <f>IFERROR(__xludf.DUMMYFUNCTION("""COMPUTED_VALUE"""),"Karen Mok")</f>
        <v>Karen Mok</v>
      </c>
      <c r="AE3718" s="11"/>
    </row>
    <row r="3719" customHeight="1" spans="1:31">
      <c r="A3719" s="12" t="s">
        <v>30</v>
      </c>
      <c r="B3719" s="12" t="s">
        <v>17613</v>
      </c>
      <c r="C3719" s="12">
        <v>336</v>
      </c>
      <c r="D3719" s="12">
        <v>104</v>
      </c>
      <c r="E3719" s="12">
        <v>59</v>
      </c>
      <c r="F3719" s="12">
        <v>202</v>
      </c>
      <c r="G3719" s="12">
        <v>972</v>
      </c>
      <c r="H3719" s="12">
        <v>27689474</v>
      </c>
      <c r="I3719" s="12" t="s">
        <v>5104</v>
      </c>
      <c r="J3719" s="12" t="s">
        <v>17614</v>
      </c>
      <c r="K3719" s="12" t="s">
        <v>3472</v>
      </c>
      <c r="L3719" s="12" t="s">
        <v>17615</v>
      </c>
      <c r="M3719" s="12" t="s">
        <v>17616</v>
      </c>
      <c r="N3719" s="12">
        <v>85688</v>
      </c>
      <c r="O3719" s="12">
        <v>2071</v>
      </c>
      <c r="P3719" s="12">
        <v>0</v>
      </c>
      <c r="Q3719" s="12" t="s">
        <v>17617</v>
      </c>
      <c r="R3719" s="15" t="s">
        <v>17618</v>
      </c>
      <c r="S3719" s="12">
        <v>339</v>
      </c>
      <c r="T3719" s="12" t="s">
        <v>39</v>
      </c>
      <c r="U3719" s="12" t="s">
        <v>40</v>
      </c>
      <c r="V3719" s="12" t="s">
        <v>586</v>
      </c>
      <c r="W3719" s="12">
        <v>5000000</v>
      </c>
      <c r="X3719" s="12">
        <v>2013</v>
      </c>
      <c r="Y3719" s="12">
        <v>407</v>
      </c>
      <c r="Z3719" s="12">
        <v>6.5</v>
      </c>
      <c r="AA3719" s="12">
        <v>2.35</v>
      </c>
      <c r="AB3719" s="12">
        <v>23000</v>
      </c>
      <c r="AC3719" s="12"/>
      <c r="AD3719" s="12" t="str">
        <f>IFERROR(__xludf.DUMMYFUNCTION("""COMPUTED_VALUE"""),"Cheryl Tiegs")</f>
        <v>Cheryl Tiegs</v>
      </c>
      <c r="AE3719" s="12"/>
    </row>
    <row r="3720" customHeight="1" spans="1:31">
      <c r="A3720" s="11" t="s">
        <v>748</v>
      </c>
      <c r="B3720" s="11" t="s">
        <v>7135</v>
      </c>
      <c r="C3720" s="11">
        <v>174</v>
      </c>
      <c r="D3720" s="11">
        <v>97</v>
      </c>
      <c r="E3720" s="11">
        <v>0</v>
      </c>
      <c r="F3720" s="11">
        <v>657</v>
      </c>
      <c r="G3720" s="11">
        <v>1000</v>
      </c>
      <c r="H3720" s="11">
        <v>24138847</v>
      </c>
      <c r="I3720" s="11" t="s">
        <v>1672</v>
      </c>
      <c r="J3720" s="11" t="s">
        <v>2084</v>
      </c>
      <c r="K3720" s="11" t="s">
        <v>10432</v>
      </c>
      <c r="L3720" s="11" t="s">
        <v>17619</v>
      </c>
      <c r="M3720" s="11" t="s">
        <v>17620</v>
      </c>
      <c r="N3720" s="11">
        <v>114797</v>
      </c>
      <c r="O3720" s="11">
        <v>2990</v>
      </c>
      <c r="P3720" s="11">
        <v>3</v>
      </c>
      <c r="Q3720" s="11" t="s">
        <v>17621</v>
      </c>
      <c r="R3720" s="14" t="s">
        <v>17622</v>
      </c>
      <c r="S3720" s="11">
        <v>472</v>
      </c>
      <c r="T3720" s="11" t="s">
        <v>39</v>
      </c>
      <c r="U3720" s="11" t="s">
        <v>40</v>
      </c>
      <c r="V3720" s="11" t="s">
        <v>586</v>
      </c>
      <c r="W3720" s="11">
        <v>5000000</v>
      </c>
      <c r="X3720" s="11">
        <v>2006</v>
      </c>
      <c r="Y3720" s="11">
        <v>898</v>
      </c>
      <c r="Z3720" s="11">
        <v>7.4</v>
      </c>
      <c r="AA3720" s="11">
        <v>1.85</v>
      </c>
      <c r="AB3720" s="11">
        <v>0</v>
      </c>
      <c r="AC3720" s="11"/>
      <c r="AD3720" s="11" t="str">
        <f>IFERROR(__xludf.DUMMYFUNCTION("""COMPUTED_VALUE"""),"Anna Vareschi")</f>
        <v>Anna Vareschi</v>
      </c>
      <c r="AE3720" s="11"/>
    </row>
    <row r="3721" customHeight="1" spans="1:31">
      <c r="A3721" s="12" t="s">
        <v>30</v>
      </c>
      <c r="B3721" s="12" t="s">
        <v>6621</v>
      </c>
      <c r="C3721" s="12">
        <v>151</v>
      </c>
      <c r="D3721" s="12">
        <v>110</v>
      </c>
      <c r="E3721" s="12">
        <v>335</v>
      </c>
      <c r="F3721" s="12">
        <v>34</v>
      </c>
      <c r="G3721" s="12">
        <v>838</v>
      </c>
      <c r="H3721" s="12">
        <v>21994911</v>
      </c>
      <c r="I3721" s="12" t="s">
        <v>6200</v>
      </c>
      <c r="J3721" s="12" t="s">
        <v>405</v>
      </c>
      <c r="K3721" s="12" t="s">
        <v>1797</v>
      </c>
      <c r="L3721" s="12" t="s">
        <v>17623</v>
      </c>
      <c r="M3721" s="12" t="s">
        <v>17624</v>
      </c>
      <c r="N3721" s="12">
        <v>98354</v>
      </c>
      <c r="O3721" s="12">
        <v>1122</v>
      </c>
      <c r="P3721" s="12">
        <v>0</v>
      </c>
      <c r="Q3721" s="12" t="s">
        <v>17625</v>
      </c>
      <c r="R3721" s="15" t="s">
        <v>17626</v>
      </c>
      <c r="S3721" s="12">
        <v>433</v>
      </c>
      <c r="T3721" s="12" t="s">
        <v>39</v>
      </c>
      <c r="U3721" s="12" t="s">
        <v>58</v>
      </c>
      <c r="V3721" s="12" t="s">
        <v>586</v>
      </c>
      <c r="W3721" s="12">
        <v>5000000</v>
      </c>
      <c r="X3721" s="12">
        <v>2000</v>
      </c>
      <c r="Y3721" s="12">
        <v>203</v>
      </c>
      <c r="Z3721" s="12">
        <v>7.7</v>
      </c>
      <c r="AA3721" s="12">
        <v>1.85</v>
      </c>
      <c r="AB3721" s="12">
        <v>0</v>
      </c>
      <c r="AC3721" s="12"/>
      <c r="AD3721" s="12" t="str">
        <f>IFERROR(__xludf.DUMMYFUNCTION("""COMPUTED_VALUE"""),"Michel Serrault")</f>
        <v>Michel Serrault</v>
      </c>
      <c r="AE3721" s="12"/>
    </row>
    <row r="3722" customHeight="1" spans="1:31">
      <c r="A3722" s="11" t="s">
        <v>30</v>
      </c>
      <c r="B3722" s="11" t="s">
        <v>6575</v>
      </c>
      <c r="C3722" s="11">
        <v>276</v>
      </c>
      <c r="D3722" s="11">
        <v>103</v>
      </c>
      <c r="E3722" s="11">
        <v>214</v>
      </c>
      <c r="F3722" s="11">
        <v>424</v>
      </c>
      <c r="G3722" s="11">
        <v>7000</v>
      </c>
      <c r="H3722" s="11">
        <v>21501098</v>
      </c>
      <c r="I3722" s="11" t="s">
        <v>2528</v>
      </c>
      <c r="J3722" s="11" t="s">
        <v>518</v>
      </c>
      <c r="K3722" s="11" t="s">
        <v>431</v>
      </c>
      <c r="L3722" s="11" t="s">
        <v>14624</v>
      </c>
      <c r="M3722" s="11" t="s">
        <v>17627</v>
      </c>
      <c r="N3722" s="11">
        <v>115813</v>
      </c>
      <c r="O3722" s="11">
        <v>8375</v>
      </c>
      <c r="P3722" s="11">
        <v>1</v>
      </c>
      <c r="Q3722" s="11" t="s">
        <v>17628</v>
      </c>
      <c r="R3722" s="14" t="s">
        <v>17629</v>
      </c>
      <c r="S3722" s="11">
        <v>216</v>
      </c>
      <c r="T3722" s="11" t="s">
        <v>39</v>
      </c>
      <c r="U3722" s="11" t="s">
        <v>40</v>
      </c>
      <c r="V3722" s="11" t="s">
        <v>41</v>
      </c>
      <c r="W3722" s="11">
        <v>5000000</v>
      </c>
      <c r="X3722" s="11">
        <v>2013</v>
      </c>
      <c r="Y3722" s="11">
        <v>468</v>
      </c>
      <c r="Z3722" s="11">
        <v>7.4</v>
      </c>
      <c r="AA3722" s="11">
        <v>1.85</v>
      </c>
      <c r="AB3722" s="11">
        <v>22000</v>
      </c>
      <c r="AC3722" s="11"/>
      <c r="AD3722" s="11" t="str">
        <f>IFERROR(__xludf.DUMMYFUNCTION("""COMPUTED_VALUE"""),"Numan Acar")</f>
        <v>Numan Acar</v>
      </c>
      <c r="AE3722" s="11"/>
    </row>
    <row r="3723" customHeight="1" spans="1:31">
      <c r="A3723" s="12" t="s">
        <v>30</v>
      </c>
      <c r="B3723" s="12" t="s">
        <v>17630</v>
      </c>
      <c r="C3723" s="12">
        <v>12</v>
      </c>
      <c r="D3723" s="12">
        <v>94</v>
      </c>
      <c r="E3723" s="12">
        <v>0</v>
      </c>
      <c r="F3723" s="12">
        <v>287</v>
      </c>
      <c r="G3723" s="12">
        <v>901</v>
      </c>
      <c r="H3723" s="12">
        <v>19281235</v>
      </c>
      <c r="I3723" s="12" t="s">
        <v>5788</v>
      </c>
      <c r="J3723" s="12" t="s">
        <v>17631</v>
      </c>
      <c r="K3723" s="12" t="s">
        <v>8398</v>
      </c>
      <c r="L3723" s="12" t="s">
        <v>17632</v>
      </c>
      <c r="M3723" s="12" t="s">
        <v>17633</v>
      </c>
      <c r="N3723" s="12">
        <v>3571</v>
      </c>
      <c r="O3723" s="12">
        <v>2523</v>
      </c>
      <c r="P3723" s="12">
        <v>0</v>
      </c>
      <c r="Q3723" s="12" t="s">
        <v>17634</v>
      </c>
      <c r="R3723" s="15" t="s">
        <v>17635</v>
      </c>
      <c r="S3723" s="12">
        <v>11</v>
      </c>
      <c r="T3723" s="12" t="s">
        <v>39</v>
      </c>
      <c r="U3723" s="12" t="s">
        <v>40</v>
      </c>
      <c r="V3723" s="12" t="s">
        <v>586</v>
      </c>
      <c r="W3723" s="12">
        <v>5000000</v>
      </c>
      <c r="X3723" s="12">
        <v>1991</v>
      </c>
      <c r="Y3723" s="12">
        <v>413</v>
      </c>
      <c r="Z3723" s="12">
        <v>5.1</v>
      </c>
      <c r="AA3723" s="12">
        <v>1.85</v>
      </c>
      <c r="AB3723" s="12">
        <v>232</v>
      </c>
      <c r="AC3723" s="12"/>
      <c r="AD3723" s="12" t="str">
        <f>IFERROR(__xludf.DUMMYFUNCTION("""COMPUTED_VALUE"""),"Claire Foy")</f>
        <v>Claire Foy</v>
      </c>
      <c r="AE3723" s="12"/>
    </row>
    <row r="3724" customHeight="1" spans="1:31">
      <c r="A3724" s="11" t="s">
        <v>30</v>
      </c>
      <c r="B3724" s="11" t="s">
        <v>846</v>
      </c>
      <c r="C3724" s="11">
        <v>18</v>
      </c>
      <c r="D3724" s="11">
        <v>102</v>
      </c>
      <c r="E3724" s="11">
        <v>18</v>
      </c>
      <c r="F3724" s="11">
        <v>75</v>
      </c>
      <c r="G3724" s="11">
        <v>492</v>
      </c>
      <c r="H3724" s="13"/>
      <c r="I3724" s="11" t="s">
        <v>17636</v>
      </c>
      <c r="J3724" s="11" t="s">
        <v>17637</v>
      </c>
      <c r="K3724" s="11" t="s">
        <v>9317</v>
      </c>
      <c r="L3724" s="11" t="s">
        <v>17638</v>
      </c>
      <c r="M3724" s="11" t="s">
        <v>17639</v>
      </c>
      <c r="N3724" s="11">
        <v>5894</v>
      </c>
      <c r="O3724" s="11">
        <v>854</v>
      </c>
      <c r="P3724" s="11">
        <v>0</v>
      </c>
      <c r="Q3724" s="11" t="s">
        <v>17640</v>
      </c>
      <c r="R3724" s="14" t="s">
        <v>17641</v>
      </c>
      <c r="S3724" s="11">
        <v>56</v>
      </c>
      <c r="T3724" s="11" t="s">
        <v>39</v>
      </c>
      <c r="U3724" s="11" t="s">
        <v>371</v>
      </c>
      <c r="V3724" s="11" t="s">
        <v>96</v>
      </c>
      <c r="W3724" s="11">
        <v>3500000</v>
      </c>
      <c r="X3724" s="11">
        <v>1982</v>
      </c>
      <c r="Y3724" s="11">
        <v>155</v>
      </c>
      <c r="Z3724" s="11">
        <v>7.3</v>
      </c>
      <c r="AA3724" s="11">
        <v>2.35</v>
      </c>
      <c r="AB3724" s="11">
        <v>0</v>
      </c>
      <c r="AC3724" s="11"/>
      <c r="AD3724" s="11" t="str">
        <f>IFERROR(__xludf.DUMMYFUNCTION("""COMPUTED_VALUE"""),"Haluk Bilginer")</f>
        <v>Haluk Bilginer</v>
      </c>
      <c r="AE3724" s="11"/>
    </row>
    <row r="3725" customHeight="1" spans="1:31">
      <c r="A3725" s="12" t="s">
        <v>30</v>
      </c>
      <c r="B3725" s="12" t="s">
        <v>17642</v>
      </c>
      <c r="C3725" s="12">
        <v>28</v>
      </c>
      <c r="D3725" s="12">
        <v>77</v>
      </c>
      <c r="E3725" s="12">
        <v>0</v>
      </c>
      <c r="F3725" s="12">
        <v>73</v>
      </c>
      <c r="G3725" s="12">
        <v>2000</v>
      </c>
      <c r="H3725" s="12">
        <v>19421271</v>
      </c>
      <c r="I3725" s="12" t="s">
        <v>2966</v>
      </c>
      <c r="J3725" s="12" t="s">
        <v>1986</v>
      </c>
      <c r="K3725" s="12" t="s">
        <v>17643</v>
      </c>
      <c r="L3725" s="12" t="s">
        <v>17644</v>
      </c>
      <c r="M3725" s="12" t="s">
        <v>17645</v>
      </c>
      <c r="N3725" s="12">
        <v>2448</v>
      </c>
      <c r="O3725" s="12">
        <v>2908</v>
      </c>
      <c r="P3725" s="12">
        <v>1</v>
      </c>
      <c r="Q3725" s="12" t="s">
        <v>17646</v>
      </c>
      <c r="R3725" s="15" t="s">
        <v>17647</v>
      </c>
      <c r="S3725" s="12">
        <v>18</v>
      </c>
      <c r="T3725" s="12" t="s">
        <v>39</v>
      </c>
      <c r="U3725" s="12" t="s">
        <v>40</v>
      </c>
      <c r="V3725" s="12" t="s">
        <v>278</v>
      </c>
      <c r="W3725" s="12">
        <v>5000000</v>
      </c>
      <c r="X3725" s="12">
        <v>1999</v>
      </c>
      <c r="Y3725" s="12">
        <v>804</v>
      </c>
      <c r="Z3725" s="12">
        <v>5</v>
      </c>
      <c r="AA3725" s="12">
        <v>1.33</v>
      </c>
      <c r="AB3725" s="12">
        <v>122</v>
      </c>
      <c r="AC3725" s="12"/>
      <c r="AD3725" s="12" t="str">
        <f>IFERROR(__xludf.DUMMYFUNCTION("""COMPUTED_VALUE"""),"Aitana Sánchez-Gijón")</f>
        <v>Aitana Sánchez-Gijón</v>
      </c>
      <c r="AE3725" s="12"/>
    </row>
    <row r="3726" customHeight="1" spans="1:31">
      <c r="A3726" s="11" t="s">
        <v>30</v>
      </c>
      <c r="B3726" s="11" t="s">
        <v>1689</v>
      </c>
      <c r="C3726" s="11">
        <v>95</v>
      </c>
      <c r="D3726" s="11">
        <v>134</v>
      </c>
      <c r="E3726" s="11">
        <v>3000</v>
      </c>
      <c r="F3726" s="11">
        <v>77</v>
      </c>
      <c r="G3726" s="11">
        <v>205</v>
      </c>
      <c r="H3726" s="11">
        <v>20733485</v>
      </c>
      <c r="I3726" s="11" t="s">
        <v>3410</v>
      </c>
      <c r="J3726" s="11" t="s">
        <v>17648</v>
      </c>
      <c r="K3726" s="11" t="s">
        <v>9298</v>
      </c>
      <c r="L3726" s="11" t="s">
        <v>17649</v>
      </c>
      <c r="M3726" s="11" t="s">
        <v>17650</v>
      </c>
      <c r="N3726" s="11">
        <v>11622</v>
      </c>
      <c r="O3726" s="11">
        <v>428</v>
      </c>
      <c r="P3726" s="11">
        <v>1</v>
      </c>
      <c r="Q3726" s="11" t="s">
        <v>17651</v>
      </c>
      <c r="R3726" s="14" t="s">
        <v>17652</v>
      </c>
      <c r="S3726" s="11">
        <v>157</v>
      </c>
      <c r="T3726" s="11" t="s">
        <v>39</v>
      </c>
      <c r="U3726" s="11" t="s">
        <v>40</v>
      </c>
      <c r="V3726" s="11" t="s">
        <v>41</v>
      </c>
      <c r="W3726" s="11">
        <v>5000000</v>
      </c>
      <c r="X3726" s="11">
        <v>1997</v>
      </c>
      <c r="Y3726" s="11">
        <v>130</v>
      </c>
      <c r="Z3726" s="11">
        <v>7.2</v>
      </c>
      <c r="AA3726" s="11">
        <v>1.85</v>
      </c>
      <c r="AB3726" s="11">
        <v>1000</v>
      </c>
      <c r="AC3726" s="11"/>
      <c r="AD3726" s="11" t="str">
        <f>IFERROR(__xludf.DUMMYFUNCTION("""COMPUTED_VALUE"""),"Romane Bohringer")</f>
        <v>Romane Bohringer</v>
      </c>
      <c r="AE3726" s="11"/>
    </row>
    <row r="3727" customHeight="1" spans="1:31">
      <c r="A3727" s="12" t="s">
        <v>30</v>
      </c>
      <c r="B3727" s="12" t="s">
        <v>17653</v>
      </c>
      <c r="C3727" s="12">
        <v>74</v>
      </c>
      <c r="D3727" s="12">
        <v>129</v>
      </c>
      <c r="E3727" s="12">
        <v>24</v>
      </c>
      <c r="F3727" s="12">
        <v>157</v>
      </c>
      <c r="G3727" s="12">
        <v>977</v>
      </c>
      <c r="H3727" s="16"/>
      <c r="I3727" s="12" t="s">
        <v>1544</v>
      </c>
      <c r="J3727" s="12" t="s">
        <v>5621</v>
      </c>
      <c r="K3727" s="12" t="s">
        <v>4221</v>
      </c>
      <c r="L3727" s="12" t="s">
        <v>17654</v>
      </c>
      <c r="M3727" s="12" t="s">
        <v>17655</v>
      </c>
      <c r="N3727" s="12">
        <v>10564</v>
      </c>
      <c r="O3727" s="12">
        <v>2014</v>
      </c>
      <c r="P3727" s="12">
        <v>1</v>
      </c>
      <c r="Q3727" s="12" t="s">
        <v>17656</v>
      </c>
      <c r="R3727" s="15" t="s">
        <v>17657</v>
      </c>
      <c r="S3727" s="12">
        <v>161</v>
      </c>
      <c r="T3727" s="12" t="s">
        <v>39</v>
      </c>
      <c r="U3727" s="12" t="s">
        <v>40</v>
      </c>
      <c r="V3727" s="12" t="s">
        <v>586</v>
      </c>
      <c r="W3727" s="12">
        <v>5000000</v>
      </c>
      <c r="X3727" s="12">
        <v>1981</v>
      </c>
      <c r="Y3727" s="12">
        <v>485</v>
      </c>
      <c r="Z3727" s="12">
        <v>6.7</v>
      </c>
      <c r="AA3727" s="12">
        <v>1.85</v>
      </c>
      <c r="AB3727" s="12">
        <v>0</v>
      </c>
      <c r="AC3727" s="12"/>
      <c r="AD3727" s="12" t="str">
        <f>IFERROR(__xludf.DUMMYFUNCTION("""COMPUTED_VALUE"""),"Lubna Azabal")</f>
        <v>Lubna Azabal</v>
      </c>
      <c r="AE3727" s="12"/>
    </row>
    <row r="3728" customHeight="1" spans="1:31">
      <c r="A3728" s="11" t="s">
        <v>30</v>
      </c>
      <c r="B3728" s="11" t="s">
        <v>17658</v>
      </c>
      <c r="C3728" s="11">
        <v>179</v>
      </c>
      <c r="D3728" s="11">
        <v>90</v>
      </c>
      <c r="E3728" s="11">
        <v>37</v>
      </c>
      <c r="F3728" s="11">
        <v>1000</v>
      </c>
      <c r="G3728" s="11">
        <v>11000</v>
      </c>
      <c r="H3728" s="11">
        <v>24809547</v>
      </c>
      <c r="I3728" s="11" t="s">
        <v>2528</v>
      </c>
      <c r="J3728" s="11" t="s">
        <v>1950</v>
      </c>
      <c r="K3728" s="11" t="s">
        <v>1545</v>
      </c>
      <c r="L3728" s="11" t="s">
        <v>813</v>
      </c>
      <c r="M3728" s="11" t="s">
        <v>17659</v>
      </c>
      <c r="N3728" s="11">
        <v>74875</v>
      </c>
      <c r="O3728" s="11">
        <v>15710</v>
      </c>
      <c r="P3728" s="11">
        <v>1</v>
      </c>
      <c r="Q3728" s="11" t="s">
        <v>17660</v>
      </c>
      <c r="R3728" s="14" t="s">
        <v>17661</v>
      </c>
      <c r="S3728" s="11">
        <v>115</v>
      </c>
      <c r="T3728" s="11" t="s">
        <v>39</v>
      </c>
      <c r="U3728" s="11" t="s">
        <v>40</v>
      </c>
      <c r="V3728" s="11" t="s">
        <v>586</v>
      </c>
      <c r="W3728" s="11">
        <v>5000000</v>
      </c>
      <c r="X3728" s="11">
        <v>2011</v>
      </c>
      <c r="Y3728" s="11">
        <v>3000</v>
      </c>
      <c r="Z3728" s="11">
        <v>6.4</v>
      </c>
      <c r="AA3728" s="11">
        <v>1.85</v>
      </c>
      <c r="AB3728" s="11">
        <v>11000</v>
      </c>
      <c r="AC3728" s="11"/>
      <c r="AD3728" s="11" t="str">
        <f>IFERROR(__xludf.DUMMYFUNCTION("""COMPUTED_VALUE"""),"Kip Pardue")</f>
        <v>Kip Pardue</v>
      </c>
      <c r="AE3728" s="11"/>
    </row>
    <row r="3729" customHeight="1" spans="1:31">
      <c r="A3729" s="12" t="s">
        <v>30</v>
      </c>
      <c r="B3729" s="12" t="s">
        <v>2723</v>
      </c>
      <c r="C3729" s="12">
        <v>125</v>
      </c>
      <c r="D3729" s="12">
        <v>134</v>
      </c>
      <c r="E3729" s="12">
        <v>81</v>
      </c>
      <c r="F3729" s="12">
        <v>388</v>
      </c>
      <c r="G3729" s="12">
        <v>882</v>
      </c>
      <c r="H3729" s="12">
        <v>19097994</v>
      </c>
      <c r="I3729" s="12" t="s">
        <v>1635</v>
      </c>
      <c r="J3729" s="12" t="s">
        <v>191</v>
      </c>
      <c r="K3729" s="12" t="s">
        <v>1214</v>
      </c>
      <c r="L3729" s="12" t="s">
        <v>7881</v>
      </c>
      <c r="M3729" s="12" t="s">
        <v>17662</v>
      </c>
      <c r="N3729" s="12">
        <v>11744</v>
      </c>
      <c r="O3729" s="12">
        <v>2410</v>
      </c>
      <c r="P3729" s="12">
        <v>0</v>
      </c>
      <c r="Q3729" s="12" t="s">
        <v>17663</v>
      </c>
      <c r="R3729" s="15" t="s">
        <v>17664</v>
      </c>
      <c r="S3729" s="12">
        <v>49</v>
      </c>
      <c r="T3729" s="12" t="s">
        <v>39</v>
      </c>
      <c r="U3729" s="12" t="s">
        <v>269</v>
      </c>
      <c r="V3729" s="12" t="s">
        <v>41</v>
      </c>
      <c r="W3729" s="16"/>
      <c r="X3729" s="12">
        <v>2016</v>
      </c>
      <c r="Y3729" s="12">
        <v>845</v>
      </c>
      <c r="Z3729" s="12">
        <v>7.1</v>
      </c>
      <c r="AA3729" s="12">
        <v>2.35</v>
      </c>
      <c r="AB3729" s="12">
        <v>0</v>
      </c>
      <c r="AC3729" s="12"/>
      <c r="AD3729" s="12" t="str">
        <f>IFERROR(__xludf.DUMMYFUNCTION("""COMPUTED_VALUE"""),"Larry Fessenden")</f>
        <v>Larry Fessenden</v>
      </c>
      <c r="AE3729" s="12"/>
    </row>
    <row r="3730" customHeight="1" spans="1:31">
      <c r="A3730" s="11" t="s">
        <v>30</v>
      </c>
      <c r="B3730" s="11" t="s">
        <v>17665</v>
      </c>
      <c r="C3730" s="11">
        <v>22</v>
      </c>
      <c r="D3730" s="11">
        <v>104</v>
      </c>
      <c r="E3730" s="11">
        <v>0</v>
      </c>
      <c r="F3730" s="11">
        <v>498</v>
      </c>
      <c r="G3730" s="11">
        <v>1000</v>
      </c>
      <c r="H3730" s="11">
        <v>23031390</v>
      </c>
      <c r="I3730" s="11" t="s">
        <v>2528</v>
      </c>
      <c r="J3730" s="11" t="s">
        <v>804</v>
      </c>
      <c r="K3730" s="11" t="s">
        <v>17666</v>
      </c>
      <c r="L3730" s="11" t="s">
        <v>17667</v>
      </c>
      <c r="M3730" s="11" t="s">
        <v>17668</v>
      </c>
      <c r="N3730" s="11">
        <v>4345</v>
      </c>
      <c r="O3730" s="11">
        <v>2868</v>
      </c>
      <c r="P3730" s="11">
        <v>9</v>
      </c>
      <c r="Q3730" s="11" t="s">
        <v>17669</v>
      </c>
      <c r="R3730" s="14" t="s">
        <v>17670</v>
      </c>
      <c r="S3730" s="11">
        <v>26</v>
      </c>
      <c r="T3730" s="11" t="s">
        <v>39</v>
      </c>
      <c r="U3730" s="11" t="s">
        <v>40</v>
      </c>
      <c r="V3730" s="11" t="s">
        <v>586</v>
      </c>
      <c r="W3730" s="11">
        <v>4500000</v>
      </c>
      <c r="X3730" s="11">
        <v>1998</v>
      </c>
      <c r="Y3730" s="11">
        <v>597</v>
      </c>
      <c r="Z3730" s="11">
        <v>5.6</v>
      </c>
      <c r="AA3730" s="11">
        <v>1.85</v>
      </c>
      <c r="AB3730" s="11">
        <v>575</v>
      </c>
      <c r="AC3730" s="11"/>
      <c r="AD3730" s="11" t="str">
        <f>IFERROR(__xludf.DUMMYFUNCTION("""COMPUTED_VALUE"""),"Danny Dyer")</f>
        <v>Danny Dyer</v>
      </c>
      <c r="AE3730" s="11"/>
    </row>
    <row r="3731" customHeight="1" spans="1:31">
      <c r="A3731" s="12" t="s">
        <v>30</v>
      </c>
      <c r="B3731" s="12" t="s">
        <v>1502</v>
      </c>
      <c r="C3731" s="12">
        <v>92</v>
      </c>
      <c r="D3731" s="12">
        <v>95</v>
      </c>
      <c r="E3731" s="12">
        <v>596</v>
      </c>
      <c r="F3731" s="12">
        <v>697</v>
      </c>
      <c r="G3731" s="12">
        <v>1000</v>
      </c>
      <c r="H3731" s="12">
        <v>16017403</v>
      </c>
      <c r="I3731" s="12" t="s">
        <v>8921</v>
      </c>
      <c r="J3731" s="12" t="s">
        <v>1540</v>
      </c>
      <c r="K3731" s="12" t="s">
        <v>13689</v>
      </c>
      <c r="L3731" s="12" t="s">
        <v>3198</v>
      </c>
      <c r="M3731" s="12" t="s">
        <v>14652</v>
      </c>
      <c r="N3731" s="12">
        <v>17333</v>
      </c>
      <c r="O3731" s="12">
        <v>3300</v>
      </c>
      <c r="P3731" s="12">
        <v>2</v>
      </c>
      <c r="Q3731" s="12" t="s">
        <v>14653</v>
      </c>
      <c r="R3731" s="15" t="s">
        <v>14654</v>
      </c>
      <c r="S3731" s="12">
        <v>153</v>
      </c>
      <c r="T3731" s="12" t="s">
        <v>39</v>
      </c>
      <c r="U3731" s="12" t="s">
        <v>40</v>
      </c>
      <c r="V3731" s="12" t="s">
        <v>586</v>
      </c>
      <c r="W3731" s="12">
        <v>5000000</v>
      </c>
      <c r="X3731" s="12">
        <v>2001</v>
      </c>
      <c r="Y3731" s="12">
        <v>835</v>
      </c>
      <c r="Z3731" s="12">
        <v>6.2</v>
      </c>
      <c r="AA3731" s="12">
        <v>1.85</v>
      </c>
      <c r="AB3731" s="12">
        <v>0</v>
      </c>
      <c r="AC3731" s="12"/>
      <c r="AD3731" s="12" t="str">
        <f>IFERROR(__xludf.DUMMYFUNCTION("""COMPUTED_VALUE"""),"Laura Harris")</f>
        <v>Laura Harris</v>
      </c>
      <c r="AE3731" s="12"/>
    </row>
    <row r="3732" customHeight="1" spans="1:31">
      <c r="A3732" s="11" t="s">
        <v>30</v>
      </c>
      <c r="B3732" s="11" t="s">
        <v>14109</v>
      </c>
      <c r="C3732" s="11">
        <v>196</v>
      </c>
      <c r="D3732" s="11">
        <v>93</v>
      </c>
      <c r="E3732" s="11">
        <v>66</v>
      </c>
      <c r="F3732" s="11">
        <v>161</v>
      </c>
      <c r="G3732" s="11">
        <v>1000</v>
      </c>
      <c r="H3732" s="11">
        <v>21197315</v>
      </c>
      <c r="I3732" s="11" t="s">
        <v>3030</v>
      </c>
      <c r="J3732" s="11" t="s">
        <v>9439</v>
      </c>
      <c r="K3732" s="11" t="s">
        <v>17671</v>
      </c>
      <c r="L3732" s="11" t="s">
        <v>17672</v>
      </c>
      <c r="M3732" s="11" t="s">
        <v>17673</v>
      </c>
      <c r="N3732" s="11">
        <v>49948</v>
      </c>
      <c r="O3732" s="11">
        <v>1410</v>
      </c>
      <c r="P3732" s="11">
        <v>0</v>
      </c>
      <c r="Q3732" s="11" t="s">
        <v>17674</v>
      </c>
      <c r="R3732" s="14" t="s">
        <v>17675</v>
      </c>
      <c r="S3732" s="11">
        <v>211</v>
      </c>
      <c r="T3732" s="11" t="s">
        <v>39</v>
      </c>
      <c r="U3732" s="11" t="s">
        <v>40</v>
      </c>
      <c r="V3732" s="11" t="s">
        <v>586</v>
      </c>
      <c r="W3732" s="11">
        <v>5000000</v>
      </c>
      <c r="X3732" s="11">
        <v>2014</v>
      </c>
      <c r="Y3732" s="11">
        <v>200</v>
      </c>
      <c r="Z3732" s="11">
        <v>6.1</v>
      </c>
      <c r="AA3732" s="11">
        <v>1.85</v>
      </c>
      <c r="AB3732" s="11">
        <v>14000</v>
      </c>
      <c r="AC3732" s="11"/>
      <c r="AD3732" s="11" t="str">
        <f>IFERROR(__xludf.DUMMYFUNCTION("""COMPUTED_VALUE"""),"Dulé Hill")</f>
        <v>Dulé Hill</v>
      </c>
      <c r="AE3732" s="11"/>
    </row>
    <row r="3733" customHeight="1" spans="1:31">
      <c r="A3733" s="12" t="s">
        <v>30</v>
      </c>
      <c r="B3733" s="12" t="s">
        <v>9594</v>
      </c>
      <c r="C3733" s="12">
        <v>9</v>
      </c>
      <c r="D3733" s="12">
        <v>106</v>
      </c>
      <c r="E3733" s="12">
        <v>23</v>
      </c>
      <c r="F3733" s="12">
        <v>467</v>
      </c>
      <c r="G3733" s="12">
        <v>1000</v>
      </c>
      <c r="H3733" s="12">
        <v>17382982</v>
      </c>
      <c r="I3733" s="12" t="s">
        <v>4075</v>
      </c>
      <c r="J3733" s="12" t="s">
        <v>2815</v>
      </c>
      <c r="K3733" s="12" t="s">
        <v>17676</v>
      </c>
      <c r="L3733" s="12" t="s">
        <v>13340</v>
      </c>
      <c r="M3733" s="12" t="s">
        <v>17677</v>
      </c>
      <c r="N3733" s="12">
        <v>5975</v>
      </c>
      <c r="O3733" s="12">
        <v>2840</v>
      </c>
      <c r="P3733" s="12">
        <v>0</v>
      </c>
      <c r="Q3733" s="12" t="s">
        <v>17678</v>
      </c>
      <c r="R3733" s="15" t="s">
        <v>17679</v>
      </c>
      <c r="S3733" s="12">
        <v>33</v>
      </c>
      <c r="T3733" s="12" t="s">
        <v>2779</v>
      </c>
      <c r="U3733" s="12" t="s">
        <v>40</v>
      </c>
      <c r="V3733" s="12" t="s">
        <v>586</v>
      </c>
      <c r="W3733" s="12">
        <v>5000000</v>
      </c>
      <c r="X3733" s="12">
        <v>2014</v>
      </c>
      <c r="Y3733" s="12">
        <v>694</v>
      </c>
      <c r="Z3733" s="12">
        <v>5.2</v>
      </c>
      <c r="AA3733" s="12">
        <v>1.85</v>
      </c>
      <c r="AB3733" s="12">
        <v>0</v>
      </c>
      <c r="AC3733" s="12"/>
      <c r="AD3733" s="12" t="str">
        <f>IFERROR(__xludf.DUMMYFUNCTION("""COMPUTED_VALUE"""),"Kerry Cahill")</f>
        <v>Kerry Cahill</v>
      </c>
      <c r="AE3733" s="12"/>
    </row>
    <row r="3734" customHeight="1" spans="1:31">
      <c r="A3734" s="11" t="s">
        <v>30</v>
      </c>
      <c r="B3734" s="11" t="s">
        <v>12121</v>
      </c>
      <c r="C3734" s="11">
        <v>31</v>
      </c>
      <c r="D3734" s="11">
        <v>109</v>
      </c>
      <c r="E3734" s="11">
        <v>148</v>
      </c>
      <c r="F3734" s="11">
        <v>426</v>
      </c>
      <c r="G3734" s="11">
        <v>2000</v>
      </c>
      <c r="H3734" s="11">
        <v>14821531</v>
      </c>
      <c r="I3734" s="11" t="s">
        <v>3410</v>
      </c>
      <c r="J3734" s="11" t="s">
        <v>8433</v>
      </c>
      <c r="K3734" s="11" t="s">
        <v>10262</v>
      </c>
      <c r="L3734" s="11" t="s">
        <v>13122</v>
      </c>
      <c r="M3734" s="11" t="s">
        <v>17680</v>
      </c>
      <c r="N3734" s="11">
        <v>6915</v>
      </c>
      <c r="O3734" s="11">
        <v>3843</v>
      </c>
      <c r="P3734" s="11">
        <v>2</v>
      </c>
      <c r="Q3734" s="11" t="s">
        <v>17681</v>
      </c>
      <c r="R3734" s="14" t="s">
        <v>17682</v>
      </c>
      <c r="S3734" s="11">
        <v>209</v>
      </c>
      <c r="T3734" s="11" t="s">
        <v>39</v>
      </c>
      <c r="U3734" s="11" t="s">
        <v>40</v>
      </c>
      <c r="V3734" s="11" t="s">
        <v>586</v>
      </c>
      <c r="W3734" s="11">
        <v>6000000</v>
      </c>
      <c r="X3734" s="11">
        <v>1997</v>
      </c>
      <c r="Y3734" s="11">
        <v>434</v>
      </c>
      <c r="Z3734" s="11">
        <v>7.3</v>
      </c>
      <c r="AA3734" s="11">
        <v>1.85</v>
      </c>
      <c r="AB3734" s="11">
        <v>599</v>
      </c>
      <c r="AC3734" s="11"/>
      <c r="AD3734" s="11" t="str">
        <f>IFERROR(__xludf.DUMMYFUNCTION("""COMPUTED_VALUE"""),"Lee Norris")</f>
        <v>Lee Norris</v>
      </c>
      <c r="AE3734" s="11"/>
    </row>
    <row r="3735" customHeight="1" spans="1:31">
      <c r="A3735" s="12" t="s">
        <v>30</v>
      </c>
      <c r="B3735" s="12" t="s">
        <v>17683</v>
      </c>
      <c r="C3735" s="12">
        <v>309</v>
      </c>
      <c r="D3735" s="12">
        <v>101</v>
      </c>
      <c r="E3735" s="12">
        <v>25</v>
      </c>
      <c r="F3735" s="12">
        <v>423</v>
      </c>
      <c r="G3735" s="12">
        <v>17000</v>
      </c>
      <c r="H3735" s="12">
        <v>18656400</v>
      </c>
      <c r="I3735" s="12" t="s">
        <v>3410</v>
      </c>
      <c r="J3735" s="12" t="s">
        <v>559</v>
      </c>
      <c r="K3735" s="12" t="s">
        <v>2378</v>
      </c>
      <c r="L3735" s="12" t="s">
        <v>1844</v>
      </c>
      <c r="M3735" s="12" t="s">
        <v>17684</v>
      </c>
      <c r="N3735" s="12">
        <v>86077</v>
      </c>
      <c r="O3735" s="12">
        <v>19673</v>
      </c>
      <c r="P3735" s="12">
        <v>1</v>
      </c>
      <c r="Q3735" s="12" t="s">
        <v>17685</v>
      </c>
      <c r="R3735" s="15" t="s">
        <v>17686</v>
      </c>
      <c r="S3735" s="12">
        <v>195</v>
      </c>
      <c r="T3735" s="12" t="s">
        <v>39</v>
      </c>
      <c r="U3735" s="12" t="s">
        <v>40</v>
      </c>
      <c r="V3735" s="12" t="s">
        <v>41</v>
      </c>
      <c r="W3735" s="12">
        <v>5000000</v>
      </c>
      <c r="X3735" s="12">
        <v>2014</v>
      </c>
      <c r="Y3735" s="12">
        <v>2000</v>
      </c>
      <c r="Z3735" s="12">
        <v>7.5</v>
      </c>
      <c r="AA3735" s="12">
        <v>1.85</v>
      </c>
      <c r="AB3735" s="12">
        <v>45000</v>
      </c>
      <c r="AC3735" s="12"/>
      <c r="AD3735" s="12" t="str">
        <f>IFERROR(__xludf.DUMMYFUNCTION("""COMPUTED_VALUE"""),"Jorge Luis Moreno")</f>
        <v>Jorge Luis Moreno</v>
      </c>
      <c r="AE3735" s="12"/>
    </row>
    <row r="3736" customHeight="1" spans="1:31">
      <c r="A3736" s="11" t="s">
        <v>30</v>
      </c>
      <c r="B3736" s="11" t="s">
        <v>17687</v>
      </c>
      <c r="C3736" s="11">
        <v>15</v>
      </c>
      <c r="D3736" s="11">
        <v>139</v>
      </c>
      <c r="E3736" s="11">
        <v>345</v>
      </c>
      <c r="F3736" s="11">
        <v>422</v>
      </c>
      <c r="G3736" s="11">
        <v>535</v>
      </c>
      <c r="H3736" s="13"/>
      <c r="I3736" s="11" t="s">
        <v>6520</v>
      </c>
      <c r="J3736" s="11" t="s">
        <v>17688</v>
      </c>
      <c r="K3736" s="11" t="s">
        <v>15932</v>
      </c>
      <c r="L3736" s="11" t="s">
        <v>1085</v>
      </c>
      <c r="M3736" s="11" t="s">
        <v>17689</v>
      </c>
      <c r="N3736" s="11">
        <v>2498</v>
      </c>
      <c r="O3736" s="11">
        <v>2112</v>
      </c>
      <c r="P3736" s="11">
        <v>0</v>
      </c>
      <c r="Q3736" s="11" t="s">
        <v>17690</v>
      </c>
      <c r="R3736" s="14" t="s">
        <v>17691</v>
      </c>
      <c r="S3736" s="11">
        <v>67</v>
      </c>
      <c r="T3736" s="11" t="s">
        <v>39</v>
      </c>
      <c r="U3736" s="11" t="s">
        <v>40</v>
      </c>
      <c r="V3736" s="11" t="s">
        <v>6037</v>
      </c>
      <c r="W3736" s="11">
        <v>5000000</v>
      </c>
      <c r="X3736" s="11">
        <v>1954</v>
      </c>
      <c r="Y3736" s="11">
        <v>440</v>
      </c>
      <c r="Z3736" s="11">
        <v>6.6</v>
      </c>
      <c r="AA3736" s="11">
        <v>2.55</v>
      </c>
      <c r="AB3736" s="11">
        <v>376</v>
      </c>
      <c r="AC3736" s="11"/>
      <c r="AD3736" s="11" t="str">
        <f>IFERROR(__xludf.DUMMYFUNCTION("""COMPUTED_VALUE"""),"Andrés Montiel")</f>
        <v>Andrés Montiel</v>
      </c>
      <c r="AE3736" s="11"/>
    </row>
    <row r="3737" customHeight="1" spans="1:31">
      <c r="A3737" s="12" t="s">
        <v>30</v>
      </c>
      <c r="B3737" s="12" t="s">
        <v>17692</v>
      </c>
      <c r="C3737" s="12">
        <v>36</v>
      </c>
      <c r="D3737" s="12">
        <v>99</v>
      </c>
      <c r="E3737" s="12">
        <v>6</v>
      </c>
      <c r="F3737" s="12">
        <v>142</v>
      </c>
      <c r="G3737" s="12">
        <v>13000</v>
      </c>
      <c r="H3737" s="16"/>
      <c r="I3737" s="12" t="s">
        <v>334</v>
      </c>
      <c r="J3737" s="12" t="s">
        <v>1785</v>
      </c>
      <c r="K3737" s="12" t="s">
        <v>17693</v>
      </c>
      <c r="L3737" s="12" t="s">
        <v>17694</v>
      </c>
      <c r="M3737" s="12" t="s">
        <v>17695</v>
      </c>
      <c r="N3737" s="12">
        <v>12519</v>
      </c>
      <c r="O3737" s="12">
        <v>14306</v>
      </c>
      <c r="P3737" s="12">
        <v>2</v>
      </c>
      <c r="Q3737" s="12" t="s">
        <v>17696</v>
      </c>
      <c r="R3737" s="15" t="s">
        <v>17697</v>
      </c>
      <c r="S3737" s="12">
        <v>107</v>
      </c>
      <c r="T3737" s="12" t="s">
        <v>39</v>
      </c>
      <c r="U3737" s="12" t="s">
        <v>40</v>
      </c>
      <c r="V3737" s="12" t="s">
        <v>586</v>
      </c>
      <c r="W3737" s="12">
        <v>5000000</v>
      </c>
      <c r="X3737" s="12">
        <v>1981</v>
      </c>
      <c r="Y3737" s="12">
        <v>970</v>
      </c>
      <c r="Z3737" s="12">
        <v>6.4</v>
      </c>
      <c r="AA3737" s="12">
        <v>1.85</v>
      </c>
      <c r="AB3737" s="12">
        <v>0</v>
      </c>
      <c r="AC3737" s="12"/>
      <c r="AD3737" s="12" t="str">
        <f>IFERROR(__xludf.DUMMYFUNCTION("""COMPUTED_VALUE"""),"William Miller")</f>
        <v>William Miller</v>
      </c>
      <c r="AE3737" s="12"/>
    </row>
    <row r="3738" customHeight="1" spans="1:31">
      <c r="A3738" s="11" t="s">
        <v>30</v>
      </c>
      <c r="B3738" s="11" t="s">
        <v>17698</v>
      </c>
      <c r="C3738" s="11">
        <v>129</v>
      </c>
      <c r="D3738" s="11">
        <v>100</v>
      </c>
      <c r="E3738" s="11">
        <v>6</v>
      </c>
      <c r="F3738" s="11">
        <v>65</v>
      </c>
      <c r="G3738" s="11">
        <v>935</v>
      </c>
      <c r="H3738" s="11">
        <v>14343976</v>
      </c>
      <c r="I3738" s="11" t="s">
        <v>17699</v>
      </c>
      <c r="J3738" s="11" t="s">
        <v>13485</v>
      </c>
      <c r="K3738" s="11" t="s">
        <v>17700</v>
      </c>
      <c r="L3738" s="11" t="s">
        <v>17701</v>
      </c>
      <c r="M3738" s="11" t="s">
        <v>17702</v>
      </c>
      <c r="N3738" s="11">
        <v>22961</v>
      </c>
      <c r="O3738" s="11">
        <v>1327</v>
      </c>
      <c r="P3738" s="11">
        <v>0</v>
      </c>
      <c r="Q3738" s="11" t="s">
        <v>17703</v>
      </c>
      <c r="R3738" s="14" t="s">
        <v>17704</v>
      </c>
      <c r="S3738" s="11">
        <v>291</v>
      </c>
      <c r="T3738" s="11" t="s">
        <v>39</v>
      </c>
      <c r="U3738" s="11" t="s">
        <v>40</v>
      </c>
      <c r="V3738" s="11" t="s">
        <v>586</v>
      </c>
      <c r="W3738" s="11">
        <v>5000000</v>
      </c>
      <c r="X3738" s="11">
        <v>1989</v>
      </c>
      <c r="Y3738" s="11">
        <v>120</v>
      </c>
      <c r="Z3738" s="11">
        <v>4.5</v>
      </c>
      <c r="AA3738" s="11">
        <v>1.85</v>
      </c>
      <c r="AB3738" s="11">
        <v>1000</v>
      </c>
      <c r="AC3738" s="11"/>
      <c r="AD3738" s="11" t="str">
        <f>IFERROR(__xludf.DUMMYFUNCTION("""COMPUTED_VALUE"""),"Jared Gilman")</f>
        <v>Jared Gilman</v>
      </c>
      <c r="AE3738" s="11"/>
    </row>
    <row r="3739" customHeight="1" spans="1:31">
      <c r="A3739" s="12" t="s">
        <v>30</v>
      </c>
      <c r="B3739" s="12" t="s">
        <v>5830</v>
      </c>
      <c r="C3739" s="12">
        <v>168</v>
      </c>
      <c r="D3739" s="12">
        <v>95</v>
      </c>
      <c r="E3739" s="12">
        <v>38</v>
      </c>
      <c r="F3739" s="12">
        <v>249</v>
      </c>
      <c r="G3739" s="12">
        <v>567</v>
      </c>
      <c r="H3739" s="12">
        <v>241437427</v>
      </c>
      <c r="I3739" s="12" t="s">
        <v>2717</v>
      </c>
      <c r="J3739" s="12" t="s">
        <v>11279</v>
      </c>
      <c r="K3739" s="12" t="s">
        <v>11769</v>
      </c>
      <c r="L3739" s="12" t="s">
        <v>10253</v>
      </c>
      <c r="M3739" s="12" t="s">
        <v>17705</v>
      </c>
      <c r="N3739" s="12">
        <v>102071</v>
      </c>
      <c r="O3739" s="12">
        <v>1495</v>
      </c>
      <c r="P3739" s="12">
        <v>3</v>
      </c>
      <c r="Q3739" s="12" t="s">
        <v>17706</v>
      </c>
      <c r="R3739" s="15" t="s">
        <v>17707</v>
      </c>
      <c r="S3739" s="12">
        <v>756</v>
      </c>
      <c r="T3739" s="12" t="s">
        <v>39</v>
      </c>
      <c r="U3739" s="12" t="s">
        <v>40</v>
      </c>
      <c r="V3739" s="12" t="s">
        <v>96</v>
      </c>
      <c r="W3739" s="12">
        <v>5000000</v>
      </c>
      <c r="X3739" s="12">
        <v>2002</v>
      </c>
      <c r="Y3739" s="12">
        <v>312</v>
      </c>
      <c r="Z3739" s="12">
        <v>6.6</v>
      </c>
      <c r="AA3739" s="12">
        <v>1.85</v>
      </c>
      <c r="AB3739" s="12">
        <v>5000</v>
      </c>
      <c r="AC3739" s="12"/>
      <c r="AD3739" s="12" t="str">
        <f>IFERROR(__xludf.DUMMYFUNCTION("""COMPUTED_VALUE"""),"Harvey Weinstein")</f>
        <v>Harvey Weinstein</v>
      </c>
      <c r="AE3739" s="12"/>
    </row>
    <row r="3740" customHeight="1" spans="1:31">
      <c r="A3740" s="11" t="s">
        <v>30</v>
      </c>
      <c r="B3740" s="11" t="s">
        <v>14343</v>
      </c>
      <c r="C3740" s="11">
        <v>444</v>
      </c>
      <c r="D3740" s="11">
        <v>94</v>
      </c>
      <c r="E3740" s="11">
        <v>520</v>
      </c>
      <c r="F3740" s="11">
        <v>192</v>
      </c>
      <c r="G3740" s="11">
        <v>11000</v>
      </c>
      <c r="H3740" s="11">
        <v>14123773</v>
      </c>
      <c r="I3740" s="11" t="s">
        <v>1936</v>
      </c>
      <c r="J3740" s="11" t="s">
        <v>83</v>
      </c>
      <c r="K3740" s="11" t="s">
        <v>15737</v>
      </c>
      <c r="L3740" s="11" t="s">
        <v>17708</v>
      </c>
      <c r="M3740" s="11" t="s">
        <v>17709</v>
      </c>
      <c r="N3740" s="11">
        <v>108683</v>
      </c>
      <c r="O3740" s="11">
        <v>12306</v>
      </c>
      <c r="P3740" s="11">
        <v>4</v>
      </c>
      <c r="Q3740" s="11" t="s">
        <v>17710</v>
      </c>
      <c r="R3740" s="14" t="s">
        <v>17711</v>
      </c>
      <c r="S3740" s="11">
        <v>561</v>
      </c>
      <c r="T3740" s="11" t="s">
        <v>39</v>
      </c>
      <c r="U3740" s="11" t="s">
        <v>40</v>
      </c>
      <c r="V3740" s="11" t="s">
        <v>586</v>
      </c>
      <c r="W3740" s="11">
        <v>5000000</v>
      </c>
      <c r="X3740" s="11">
        <v>2012</v>
      </c>
      <c r="Y3740" s="11">
        <v>892</v>
      </c>
      <c r="Z3740" s="11">
        <v>5.3</v>
      </c>
      <c r="AA3740" s="11">
        <v>2.35</v>
      </c>
      <c r="AB3740" s="11">
        <v>25000</v>
      </c>
      <c r="AC3740" s="11"/>
      <c r="AD3740" s="11" t="str">
        <f>IFERROR(__xludf.DUMMYFUNCTION("""COMPUTED_VALUE"""),"Sandra Echeverría")</f>
        <v>Sandra Echeverría</v>
      </c>
      <c r="AE3740" s="11"/>
    </row>
    <row r="3741" customHeight="1" spans="1:31">
      <c r="A3741" s="12" t="s">
        <v>30</v>
      </c>
      <c r="B3741" s="12" t="s">
        <v>17712</v>
      </c>
      <c r="C3741" s="12">
        <v>123</v>
      </c>
      <c r="D3741" s="12">
        <v>93</v>
      </c>
      <c r="E3741" s="12">
        <v>13</v>
      </c>
      <c r="F3741" s="12">
        <v>141</v>
      </c>
      <c r="G3741" s="12">
        <v>742</v>
      </c>
      <c r="H3741" s="12">
        <v>15126948</v>
      </c>
      <c r="I3741" s="12" t="s">
        <v>5544</v>
      </c>
      <c r="J3741" s="12" t="s">
        <v>10179</v>
      </c>
      <c r="K3741" s="12" t="s">
        <v>17713</v>
      </c>
      <c r="L3741" s="12" t="s">
        <v>12881</v>
      </c>
      <c r="M3741" s="12" t="s">
        <v>17714</v>
      </c>
      <c r="N3741" s="12">
        <v>20815</v>
      </c>
      <c r="O3741" s="12">
        <v>1227</v>
      </c>
      <c r="P3741" s="12">
        <v>0</v>
      </c>
      <c r="Q3741" s="12" t="s">
        <v>17715</v>
      </c>
      <c r="R3741" s="15" t="s">
        <v>17716</v>
      </c>
      <c r="S3741" s="12">
        <v>335</v>
      </c>
      <c r="T3741" s="12" t="s">
        <v>39</v>
      </c>
      <c r="U3741" s="12" t="s">
        <v>40</v>
      </c>
      <c r="V3741" s="12" t="s">
        <v>586</v>
      </c>
      <c r="W3741" s="12">
        <v>5000000</v>
      </c>
      <c r="X3741" s="12">
        <v>1995</v>
      </c>
      <c r="Y3741" s="12">
        <v>152</v>
      </c>
      <c r="Z3741" s="12">
        <v>4.9</v>
      </c>
      <c r="AA3741" s="12">
        <v>1.85</v>
      </c>
      <c r="AB3741" s="12">
        <v>0</v>
      </c>
      <c r="AC3741" s="12"/>
      <c r="AD3741" s="12" t="str">
        <f>IFERROR(__xludf.DUMMYFUNCTION("""COMPUTED_VALUE"""),"Nicholas Hamilton")</f>
        <v>Nicholas Hamilton</v>
      </c>
      <c r="AE3741" s="12"/>
    </row>
    <row r="3742" customHeight="1" spans="1:31">
      <c r="A3742" s="11" t="s">
        <v>30</v>
      </c>
      <c r="B3742" s="11" t="s">
        <v>1218</v>
      </c>
      <c r="C3742" s="11">
        <v>173</v>
      </c>
      <c r="D3742" s="11">
        <v>106</v>
      </c>
      <c r="E3742" s="11">
        <v>0</v>
      </c>
      <c r="F3742" s="11">
        <v>19</v>
      </c>
      <c r="G3742" s="11">
        <v>269</v>
      </c>
      <c r="H3742" s="11">
        <v>13622333</v>
      </c>
      <c r="I3742" s="11" t="s">
        <v>11385</v>
      </c>
      <c r="J3742" s="11" t="s">
        <v>12426</v>
      </c>
      <c r="K3742" s="11" t="s">
        <v>17717</v>
      </c>
      <c r="L3742" s="11" t="s">
        <v>17718</v>
      </c>
      <c r="M3742" s="11" t="s">
        <v>17719</v>
      </c>
      <c r="N3742" s="11">
        <v>91377</v>
      </c>
      <c r="O3742" s="11">
        <v>361</v>
      </c>
      <c r="P3742" s="11">
        <v>1</v>
      </c>
      <c r="Q3742" s="11" t="s">
        <v>17720</v>
      </c>
      <c r="R3742" s="14" t="s">
        <v>17721</v>
      </c>
      <c r="S3742" s="11">
        <v>385</v>
      </c>
      <c r="T3742" s="11" t="s">
        <v>2779</v>
      </c>
      <c r="U3742" s="11" t="s">
        <v>2914</v>
      </c>
      <c r="V3742" s="11" t="s">
        <v>586</v>
      </c>
      <c r="W3742" s="11">
        <v>2000000</v>
      </c>
      <c r="X3742" s="11">
        <v>2001</v>
      </c>
      <c r="Y3742" s="11">
        <v>43</v>
      </c>
      <c r="Z3742" s="11">
        <v>7.7</v>
      </c>
      <c r="AA3742" s="11">
        <v>1.85</v>
      </c>
      <c r="AB3742" s="11">
        <v>0</v>
      </c>
      <c r="AC3742" s="11"/>
      <c r="AD3742" s="11" t="str">
        <f>IFERROR(__xludf.DUMMYFUNCTION("""COMPUTED_VALUE"""),"Reef Ireland")</f>
        <v>Reef Ireland</v>
      </c>
      <c r="AE3742" s="11"/>
    </row>
    <row r="3743" customHeight="1" spans="1:31">
      <c r="A3743" s="12" t="s">
        <v>30</v>
      </c>
      <c r="B3743" s="12" t="s">
        <v>2454</v>
      </c>
      <c r="C3743" s="12">
        <v>246</v>
      </c>
      <c r="D3743" s="12">
        <v>99</v>
      </c>
      <c r="E3743" s="12">
        <v>1000</v>
      </c>
      <c r="F3743" s="12">
        <v>358</v>
      </c>
      <c r="G3743" s="12">
        <v>605</v>
      </c>
      <c r="H3743" s="12">
        <v>13464388</v>
      </c>
      <c r="I3743" s="12" t="s">
        <v>7579</v>
      </c>
      <c r="J3743" s="12" t="s">
        <v>17722</v>
      </c>
      <c r="K3743" s="12" t="s">
        <v>6090</v>
      </c>
      <c r="L3743" s="12" t="s">
        <v>1130</v>
      </c>
      <c r="M3743" s="12" t="s">
        <v>17723</v>
      </c>
      <c r="N3743" s="12">
        <v>395921</v>
      </c>
      <c r="O3743" s="12">
        <v>1686</v>
      </c>
      <c r="P3743" s="12">
        <v>6</v>
      </c>
      <c r="Q3743" s="12" t="s">
        <v>17724</v>
      </c>
      <c r="R3743" s="15" t="s">
        <v>17725</v>
      </c>
      <c r="S3743" s="12">
        <v>859</v>
      </c>
      <c r="T3743" s="12" t="s">
        <v>39</v>
      </c>
      <c r="U3743" s="12" t="s">
        <v>58</v>
      </c>
      <c r="V3743" s="12" t="s">
        <v>586</v>
      </c>
      <c r="W3743" s="12">
        <v>4000000</v>
      </c>
      <c r="X3743" s="12">
        <v>2004</v>
      </c>
      <c r="Y3743" s="12">
        <v>427</v>
      </c>
      <c r="Z3743" s="12">
        <v>8</v>
      </c>
      <c r="AA3743" s="12">
        <v>2.35</v>
      </c>
      <c r="AB3743" s="12">
        <v>19000</v>
      </c>
      <c r="AC3743" s="12"/>
      <c r="AD3743" s="12" t="str">
        <f>IFERROR(__xludf.DUMMYFUNCTION("""COMPUTED_VALUE"""),"Sean Keenan")</f>
        <v>Sean Keenan</v>
      </c>
      <c r="AE3743" s="12"/>
    </row>
    <row r="3744" customHeight="1" spans="1:31">
      <c r="A3744" s="11" t="s">
        <v>30</v>
      </c>
      <c r="B3744" s="11" t="s">
        <v>17726</v>
      </c>
      <c r="C3744" s="11">
        <v>74</v>
      </c>
      <c r="D3744" s="11">
        <v>82</v>
      </c>
      <c r="E3744" s="11">
        <v>7</v>
      </c>
      <c r="F3744" s="11">
        <v>664</v>
      </c>
      <c r="G3744" s="11">
        <v>1000</v>
      </c>
      <c r="H3744" s="11">
        <v>13350177</v>
      </c>
      <c r="I3744" s="11" t="s">
        <v>4384</v>
      </c>
      <c r="J3744" s="11" t="s">
        <v>12128</v>
      </c>
      <c r="K3744" s="11" t="s">
        <v>17727</v>
      </c>
      <c r="L3744" s="11" t="s">
        <v>3935</v>
      </c>
      <c r="M3744" s="11" t="s">
        <v>17728</v>
      </c>
      <c r="N3744" s="11">
        <v>7904</v>
      </c>
      <c r="O3744" s="11">
        <v>4856</v>
      </c>
      <c r="P3744" s="11">
        <v>5</v>
      </c>
      <c r="Q3744" s="11" t="s">
        <v>17729</v>
      </c>
      <c r="R3744" s="14" t="s">
        <v>17730</v>
      </c>
      <c r="S3744" s="11">
        <v>113</v>
      </c>
      <c r="T3744" s="11" t="s">
        <v>39</v>
      </c>
      <c r="U3744" s="11" t="s">
        <v>40</v>
      </c>
      <c r="V3744" s="11" t="s">
        <v>41</v>
      </c>
      <c r="W3744" s="11">
        <v>5000000</v>
      </c>
      <c r="X3744" s="11">
        <v>2008</v>
      </c>
      <c r="Y3744" s="11">
        <v>984</v>
      </c>
      <c r="Z3744" s="11">
        <v>3.8</v>
      </c>
      <c r="AA3744" s="11">
        <v>1.85</v>
      </c>
      <c r="AB3744" s="11">
        <v>562</v>
      </c>
      <c r="AC3744" s="11"/>
      <c r="AD3744" s="11" t="str">
        <f>IFERROR(__xludf.DUMMYFUNCTION("""COMPUTED_VALUE"""),"Glenn Plummer")</f>
        <v>Glenn Plummer</v>
      </c>
      <c r="AE3744" s="11"/>
    </row>
    <row r="3745" customHeight="1" spans="1:31">
      <c r="A3745" s="12" t="s">
        <v>30</v>
      </c>
      <c r="B3745" s="12" t="s">
        <v>15906</v>
      </c>
      <c r="C3745" s="12">
        <v>68</v>
      </c>
      <c r="D3745" s="12">
        <v>135</v>
      </c>
      <c r="E3745" s="12">
        <v>407</v>
      </c>
      <c r="F3745" s="12">
        <v>111</v>
      </c>
      <c r="G3745" s="12">
        <v>11000</v>
      </c>
      <c r="H3745" s="12">
        <v>13269963</v>
      </c>
      <c r="I3745" s="12" t="s">
        <v>8061</v>
      </c>
      <c r="J3745" s="12" t="s">
        <v>661</v>
      </c>
      <c r="K3745" s="12" t="s">
        <v>16479</v>
      </c>
      <c r="L3745" s="12" t="s">
        <v>17731</v>
      </c>
      <c r="M3745" s="12" t="s">
        <v>17732</v>
      </c>
      <c r="N3745" s="12">
        <v>23202</v>
      </c>
      <c r="O3745" s="12">
        <v>11400</v>
      </c>
      <c r="P3745" s="12">
        <v>2</v>
      </c>
      <c r="Q3745" s="12" t="s">
        <v>17733</v>
      </c>
      <c r="R3745" s="15" t="s">
        <v>17734</v>
      </c>
      <c r="S3745" s="12">
        <v>173</v>
      </c>
      <c r="T3745" s="12" t="s">
        <v>39</v>
      </c>
      <c r="U3745" s="12" t="s">
        <v>40</v>
      </c>
      <c r="V3745" s="12" t="s">
        <v>586</v>
      </c>
      <c r="W3745" s="12">
        <v>5000000</v>
      </c>
      <c r="X3745" s="12">
        <v>1996</v>
      </c>
      <c r="Y3745" s="12">
        <v>189</v>
      </c>
      <c r="Z3745" s="12">
        <v>7.6</v>
      </c>
      <c r="AA3745" s="12">
        <v>2.35</v>
      </c>
      <c r="AB3745" s="12">
        <v>0</v>
      </c>
      <c r="AC3745" s="12"/>
      <c r="AD3745" s="12" t="str">
        <f>IFERROR(__xludf.DUMMYFUNCTION("""COMPUTED_VALUE"""),"Drew Fuller")</f>
        <v>Drew Fuller</v>
      </c>
      <c r="AE3745" s="12"/>
    </row>
    <row r="3746" customHeight="1" spans="1:31">
      <c r="A3746" s="11" t="s">
        <v>30</v>
      </c>
      <c r="B3746" s="11" t="s">
        <v>9640</v>
      </c>
      <c r="C3746" s="11">
        <v>144</v>
      </c>
      <c r="D3746" s="11">
        <v>88</v>
      </c>
      <c r="E3746" s="11">
        <v>27</v>
      </c>
      <c r="F3746" s="11">
        <v>101</v>
      </c>
      <c r="G3746" s="11">
        <v>742</v>
      </c>
      <c r="H3746" s="11">
        <v>17768000</v>
      </c>
      <c r="I3746" s="11" t="s">
        <v>5544</v>
      </c>
      <c r="J3746" s="11" t="s">
        <v>10179</v>
      </c>
      <c r="K3746" s="11" t="s">
        <v>17735</v>
      </c>
      <c r="L3746" s="11" t="s">
        <v>17736</v>
      </c>
      <c r="M3746" s="11" t="s">
        <v>17737</v>
      </c>
      <c r="N3746" s="11">
        <v>29629</v>
      </c>
      <c r="O3746" s="11">
        <v>1136</v>
      </c>
      <c r="P3746" s="11">
        <v>0</v>
      </c>
      <c r="Q3746" s="11" t="s">
        <v>17738</v>
      </c>
      <c r="R3746" s="14" t="s">
        <v>17739</v>
      </c>
      <c r="S3746" s="11">
        <v>374</v>
      </c>
      <c r="T3746" s="11" t="s">
        <v>39</v>
      </c>
      <c r="U3746" s="11" t="s">
        <v>40</v>
      </c>
      <c r="V3746" s="11" t="s">
        <v>586</v>
      </c>
      <c r="W3746" s="11">
        <v>5000000</v>
      </c>
      <c r="X3746" s="11">
        <v>1988</v>
      </c>
      <c r="Y3746" s="11">
        <v>120</v>
      </c>
      <c r="Z3746" s="11">
        <v>5.9</v>
      </c>
      <c r="AA3746" s="11">
        <v>1.85</v>
      </c>
      <c r="AB3746" s="11">
        <v>0</v>
      </c>
      <c r="AC3746" s="11"/>
      <c r="AD3746" s="11" t="str">
        <f>IFERROR(__xludf.DUMMYFUNCTION("""COMPUTED_VALUE"""),"Drew Waters")</f>
        <v>Drew Waters</v>
      </c>
      <c r="AE3746" s="11"/>
    </row>
    <row r="3747" customHeight="1" spans="1:31">
      <c r="A3747" s="12" t="s">
        <v>30</v>
      </c>
      <c r="B3747" s="12" t="s">
        <v>17740</v>
      </c>
      <c r="C3747" s="12">
        <v>96</v>
      </c>
      <c r="D3747" s="12">
        <v>89</v>
      </c>
      <c r="E3747" s="12">
        <v>17</v>
      </c>
      <c r="F3747" s="12">
        <v>85</v>
      </c>
      <c r="G3747" s="12">
        <v>690</v>
      </c>
      <c r="H3747" s="12">
        <v>12947763</v>
      </c>
      <c r="I3747" s="12" t="s">
        <v>5104</v>
      </c>
      <c r="J3747" s="12" t="s">
        <v>6256</v>
      </c>
      <c r="K3747" s="12" t="s">
        <v>17741</v>
      </c>
      <c r="L3747" s="12" t="s">
        <v>17742</v>
      </c>
      <c r="M3747" s="12" t="s">
        <v>17743</v>
      </c>
      <c r="N3747" s="12">
        <v>10624</v>
      </c>
      <c r="O3747" s="12">
        <v>1160</v>
      </c>
      <c r="P3747" s="12">
        <v>0</v>
      </c>
      <c r="Q3747" s="12" t="s">
        <v>17744</v>
      </c>
      <c r="R3747" s="15" t="s">
        <v>17745</v>
      </c>
      <c r="S3747" s="12">
        <v>125</v>
      </c>
      <c r="T3747" s="12" t="s">
        <v>39</v>
      </c>
      <c r="U3747" s="12" t="s">
        <v>40</v>
      </c>
      <c r="V3747" s="12" t="s">
        <v>586</v>
      </c>
      <c r="W3747" s="12">
        <v>5000000</v>
      </c>
      <c r="X3747" s="12">
        <v>1986</v>
      </c>
      <c r="Y3747" s="12">
        <v>190</v>
      </c>
      <c r="Z3747" s="12">
        <v>6.2</v>
      </c>
      <c r="AA3747" s="12">
        <v>2.35</v>
      </c>
      <c r="AB3747" s="12">
        <v>0</v>
      </c>
      <c r="AC3747" s="12"/>
      <c r="AD3747" s="12" t="str">
        <f>IFERROR(__xludf.DUMMYFUNCTION("""COMPUTED_VALUE"""),"Leonor Watling")</f>
        <v>Leonor Watling</v>
      </c>
      <c r="AE3747" s="12"/>
    </row>
    <row r="3748" customHeight="1" spans="1:31">
      <c r="A3748" s="11" t="s">
        <v>30</v>
      </c>
      <c r="B3748" s="11" t="s">
        <v>3123</v>
      </c>
      <c r="C3748" s="11">
        <v>42</v>
      </c>
      <c r="D3748" s="11">
        <v>110</v>
      </c>
      <c r="E3748" s="11">
        <v>272</v>
      </c>
      <c r="F3748" s="11">
        <v>551</v>
      </c>
      <c r="G3748" s="11">
        <v>801</v>
      </c>
      <c r="H3748" s="11">
        <v>14100000</v>
      </c>
      <c r="I3748" s="11" t="s">
        <v>2528</v>
      </c>
      <c r="J3748" s="11" t="s">
        <v>11091</v>
      </c>
      <c r="K3748" s="11" t="s">
        <v>8510</v>
      </c>
      <c r="L3748" s="11" t="s">
        <v>4765</v>
      </c>
      <c r="M3748" s="11" t="s">
        <v>17746</v>
      </c>
      <c r="N3748" s="11">
        <v>14995</v>
      </c>
      <c r="O3748" s="11">
        <v>2943</v>
      </c>
      <c r="P3748" s="11">
        <v>6</v>
      </c>
      <c r="Q3748" s="11" t="s">
        <v>17747</v>
      </c>
      <c r="R3748" s="14" t="s">
        <v>17748</v>
      </c>
      <c r="S3748" s="11">
        <v>87</v>
      </c>
      <c r="T3748" s="11" t="s">
        <v>39</v>
      </c>
      <c r="U3748" s="11" t="s">
        <v>40</v>
      </c>
      <c r="V3748" s="11" t="s">
        <v>586</v>
      </c>
      <c r="W3748" s="11">
        <v>5000000</v>
      </c>
      <c r="X3748" s="11">
        <v>1982</v>
      </c>
      <c r="Y3748" s="11">
        <v>796</v>
      </c>
      <c r="Z3748" s="11">
        <v>7.2</v>
      </c>
      <c r="AA3748" s="11">
        <v>1.85</v>
      </c>
      <c r="AB3748" s="11">
        <v>0</v>
      </c>
      <c r="AC3748" s="11"/>
      <c r="AD3748" s="11" t="str">
        <f>IFERROR(__xludf.DUMMYFUNCTION("""COMPUTED_VALUE"""),"Danny Sapani")</f>
        <v>Danny Sapani</v>
      </c>
      <c r="AE3748" s="11"/>
    </row>
    <row r="3749" customHeight="1" spans="1:31">
      <c r="A3749" s="12" t="s">
        <v>30</v>
      </c>
      <c r="B3749" s="12" t="s">
        <v>17749</v>
      </c>
      <c r="C3749" s="12">
        <v>29</v>
      </c>
      <c r="D3749" s="12">
        <v>107</v>
      </c>
      <c r="E3749" s="12">
        <v>8</v>
      </c>
      <c r="F3749" s="12">
        <v>268</v>
      </c>
      <c r="G3749" s="12">
        <v>926</v>
      </c>
      <c r="H3749" s="12">
        <v>12200000</v>
      </c>
      <c r="I3749" s="12" t="s">
        <v>10281</v>
      </c>
      <c r="J3749" s="12" t="s">
        <v>4647</v>
      </c>
      <c r="K3749" s="12" t="s">
        <v>17750</v>
      </c>
      <c r="L3749" s="12" t="s">
        <v>17751</v>
      </c>
      <c r="M3749" s="12" t="s">
        <v>17752</v>
      </c>
      <c r="N3749" s="12">
        <v>7973</v>
      </c>
      <c r="O3749" s="12">
        <v>2383</v>
      </c>
      <c r="P3749" s="12">
        <v>0</v>
      </c>
      <c r="Q3749" s="12" t="s">
        <v>17753</v>
      </c>
      <c r="R3749" s="15" t="s">
        <v>17754</v>
      </c>
      <c r="S3749" s="12">
        <v>65</v>
      </c>
      <c r="T3749" s="12" t="s">
        <v>39</v>
      </c>
      <c r="U3749" s="12" t="s">
        <v>40</v>
      </c>
      <c r="V3749" s="12" t="s">
        <v>96</v>
      </c>
      <c r="W3749" s="12">
        <v>5000000</v>
      </c>
      <c r="X3749" s="12">
        <v>1983</v>
      </c>
      <c r="Y3749" s="12">
        <v>400</v>
      </c>
      <c r="Z3749" s="12">
        <v>6.3</v>
      </c>
      <c r="AA3749" s="12">
        <v>1.85</v>
      </c>
      <c r="AB3749" s="12">
        <v>0</v>
      </c>
      <c r="AC3749" s="12"/>
      <c r="AD3749" s="12" t="str">
        <f>IFERROR(__xludf.DUMMYFUNCTION("""COMPUTED_VALUE"""),"Damian Walshe-Howling")</f>
        <v>Damian Walshe-Howling</v>
      </c>
      <c r="AE3749" s="12"/>
    </row>
    <row r="3750" customHeight="1" spans="1:31">
      <c r="A3750" s="11" t="s">
        <v>30</v>
      </c>
      <c r="B3750" s="11" t="s">
        <v>17755</v>
      </c>
      <c r="C3750" s="11">
        <v>228</v>
      </c>
      <c r="D3750" s="11">
        <v>86</v>
      </c>
      <c r="E3750" s="11">
        <v>17</v>
      </c>
      <c r="F3750" s="11">
        <v>205</v>
      </c>
      <c r="G3750" s="11">
        <v>520</v>
      </c>
      <c r="H3750" s="11">
        <v>17683670</v>
      </c>
      <c r="I3750" s="11" t="s">
        <v>4277</v>
      </c>
      <c r="J3750" s="11" t="s">
        <v>3746</v>
      </c>
      <c r="K3750" s="11" t="s">
        <v>17756</v>
      </c>
      <c r="L3750" s="11" t="s">
        <v>17757</v>
      </c>
      <c r="M3750" s="11" t="s">
        <v>17758</v>
      </c>
      <c r="N3750" s="11">
        <v>47227</v>
      </c>
      <c r="O3750" s="11">
        <v>1520</v>
      </c>
      <c r="P3750" s="11">
        <v>0</v>
      </c>
      <c r="Q3750" s="11" t="s">
        <v>17759</v>
      </c>
      <c r="R3750" s="14" t="s">
        <v>17760</v>
      </c>
      <c r="S3750" s="11">
        <v>323</v>
      </c>
      <c r="T3750" s="11" t="s">
        <v>39</v>
      </c>
      <c r="U3750" s="11" t="s">
        <v>40</v>
      </c>
      <c r="V3750" s="11" t="s">
        <v>41</v>
      </c>
      <c r="W3750" s="11">
        <v>5000000</v>
      </c>
      <c r="X3750" s="11">
        <v>2011</v>
      </c>
      <c r="Y3750" s="11">
        <v>270</v>
      </c>
      <c r="Z3750" s="11">
        <v>5.2</v>
      </c>
      <c r="AA3750" s="11">
        <v>1.33</v>
      </c>
      <c r="AB3750" s="11">
        <v>0</v>
      </c>
      <c r="AC3750" s="11"/>
      <c r="AD3750" s="11" t="str">
        <f>IFERROR(__xludf.DUMMYFUNCTION("""COMPUTED_VALUE"""),"Gyton Grantley")</f>
        <v>Gyton Grantley</v>
      </c>
      <c r="AE3750" s="11"/>
    </row>
    <row r="3751" customHeight="1" spans="1:31">
      <c r="A3751" s="12" t="s">
        <v>30</v>
      </c>
      <c r="B3751" s="12" t="s">
        <v>17761</v>
      </c>
      <c r="C3751" s="12">
        <v>195</v>
      </c>
      <c r="D3751" s="12">
        <v>91</v>
      </c>
      <c r="E3751" s="12">
        <v>19</v>
      </c>
      <c r="F3751" s="12">
        <v>260</v>
      </c>
      <c r="G3751" s="12">
        <v>968</v>
      </c>
      <c r="H3751" s="12">
        <v>12055108</v>
      </c>
      <c r="I3751" s="12" t="s">
        <v>2528</v>
      </c>
      <c r="J3751" s="12" t="s">
        <v>381</v>
      </c>
      <c r="K3751" s="12" t="s">
        <v>5206</v>
      </c>
      <c r="L3751" s="12" t="s">
        <v>3026</v>
      </c>
      <c r="M3751" s="12" t="s">
        <v>17762</v>
      </c>
      <c r="N3751" s="12">
        <v>61151</v>
      </c>
      <c r="O3751" s="12">
        <v>2528</v>
      </c>
      <c r="P3751" s="12">
        <v>0</v>
      </c>
      <c r="Q3751" s="12" t="s">
        <v>17763</v>
      </c>
      <c r="R3751" s="15" t="s">
        <v>17764</v>
      </c>
      <c r="S3751" s="12">
        <v>134</v>
      </c>
      <c r="T3751" s="12" t="s">
        <v>39</v>
      </c>
      <c r="U3751" s="12" t="s">
        <v>40</v>
      </c>
      <c r="V3751" s="12" t="s">
        <v>586</v>
      </c>
      <c r="W3751" s="12">
        <v>8000000</v>
      </c>
      <c r="X3751" s="12">
        <v>2008</v>
      </c>
      <c r="Y3751" s="12">
        <v>934</v>
      </c>
      <c r="Z3751" s="12">
        <v>6.9</v>
      </c>
      <c r="AA3751" s="12">
        <v>2.35</v>
      </c>
      <c r="AB3751" s="12">
        <v>0</v>
      </c>
      <c r="AC3751" s="12"/>
      <c r="AD3751" s="12" t="str">
        <f>IFERROR(__xludf.DUMMYFUNCTION("""COMPUTED_VALUE"""),"Adrienne Pickering")</f>
        <v>Adrienne Pickering</v>
      </c>
      <c r="AE3751" s="12"/>
    </row>
    <row r="3752" customHeight="1" spans="1:31">
      <c r="A3752" s="11" t="s">
        <v>30</v>
      </c>
      <c r="B3752" s="11" t="s">
        <v>14109</v>
      </c>
      <c r="C3752" s="11">
        <v>203</v>
      </c>
      <c r="D3752" s="11">
        <v>103</v>
      </c>
      <c r="E3752" s="11">
        <v>66</v>
      </c>
      <c r="F3752" s="11">
        <v>13</v>
      </c>
      <c r="G3752" s="11">
        <v>155</v>
      </c>
      <c r="H3752" s="11">
        <v>27285953</v>
      </c>
      <c r="I3752" s="11" t="s">
        <v>60</v>
      </c>
      <c r="J3752" s="11" t="s">
        <v>17765</v>
      </c>
      <c r="K3752" s="11" t="s">
        <v>17766</v>
      </c>
      <c r="L3752" s="11" t="s">
        <v>17767</v>
      </c>
      <c r="M3752" s="11" t="s">
        <v>17768</v>
      </c>
      <c r="N3752" s="11">
        <v>48675</v>
      </c>
      <c r="O3752" s="11">
        <v>259</v>
      </c>
      <c r="P3752" s="11">
        <v>0</v>
      </c>
      <c r="Q3752" s="11" t="s">
        <v>17769</v>
      </c>
      <c r="R3752" s="14" t="s">
        <v>17770</v>
      </c>
      <c r="S3752" s="11">
        <v>214</v>
      </c>
      <c r="T3752" s="11" t="s">
        <v>39</v>
      </c>
      <c r="U3752" s="11" t="s">
        <v>40</v>
      </c>
      <c r="V3752" s="11" t="s">
        <v>586</v>
      </c>
      <c r="W3752" s="11">
        <v>5000000</v>
      </c>
      <c r="X3752" s="11">
        <v>2015</v>
      </c>
      <c r="Y3752" s="11">
        <v>78</v>
      </c>
      <c r="Z3752" s="11">
        <v>6.8</v>
      </c>
      <c r="AA3752" s="11">
        <v>1.85</v>
      </c>
      <c r="AB3752" s="11">
        <v>16000</v>
      </c>
      <c r="AC3752" s="11"/>
      <c r="AD3752" s="11" t="str">
        <f>IFERROR(__xludf.DUMMYFUNCTION("""COMPUTED_VALUE"""),"Teryl Rothery")</f>
        <v>Teryl Rothery</v>
      </c>
      <c r="AE3752" s="11"/>
    </row>
    <row r="3753" customHeight="1" spans="1:31">
      <c r="A3753" s="12" t="s">
        <v>30</v>
      </c>
      <c r="B3753" s="12" t="s">
        <v>17771</v>
      </c>
      <c r="C3753" s="12">
        <v>44</v>
      </c>
      <c r="D3753" s="12">
        <v>90</v>
      </c>
      <c r="E3753" s="12">
        <v>152</v>
      </c>
      <c r="F3753" s="12">
        <v>826</v>
      </c>
      <c r="G3753" s="12">
        <v>21000</v>
      </c>
      <c r="H3753" s="16"/>
      <c r="I3753" s="12" t="s">
        <v>43</v>
      </c>
      <c r="J3753" s="12" t="s">
        <v>17772</v>
      </c>
      <c r="K3753" s="12" t="s">
        <v>3330</v>
      </c>
      <c r="L3753" s="12" t="s">
        <v>904</v>
      </c>
      <c r="M3753" s="12" t="s">
        <v>17773</v>
      </c>
      <c r="N3753" s="12">
        <v>15345</v>
      </c>
      <c r="O3753" s="12">
        <v>23714</v>
      </c>
      <c r="P3753" s="12">
        <v>0</v>
      </c>
      <c r="Q3753" s="12" t="s">
        <v>17774</v>
      </c>
      <c r="R3753" s="15" t="s">
        <v>17775</v>
      </c>
      <c r="S3753" s="12">
        <v>87</v>
      </c>
      <c r="T3753" s="12" t="s">
        <v>39</v>
      </c>
      <c r="U3753" s="12" t="s">
        <v>40</v>
      </c>
      <c r="V3753" s="12" t="s">
        <v>96</v>
      </c>
      <c r="W3753" s="12">
        <v>8000000</v>
      </c>
      <c r="X3753" s="12">
        <v>1982</v>
      </c>
      <c r="Y3753" s="12">
        <v>982</v>
      </c>
      <c r="Z3753" s="12">
        <v>6.2</v>
      </c>
      <c r="AA3753" s="12">
        <v>1.85</v>
      </c>
      <c r="AB3753" s="12">
        <v>0</v>
      </c>
      <c r="AC3753" s="12"/>
      <c r="AD3753" s="12" t="str">
        <f>IFERROR(__xludf.DUMMYFUNCTION("""COMPUTED_VALUE"""),"Craig Fairbrass")</f>
        <v>Craig Fairbrass</v>
      </c>
      <c r="AE3753" s="12"/>
    </row>
    <row r="3754" customHeight="1" spans="1:31">
      <c r="A3754" s="11" t="s">
        <v>30</v>
      </c>
      <c r="B3754" s="11" t="s">
        <v>17041</v>
      </c>
      <c r="C3754" s="11">
        <v>14</v>
      </c>
      <c r="D3754" s="11">
        <v>141</v>
      </c>
      <c r="E3754" s="11">
        <v>54</v>
      </c>
      <c r="F3754" s="11">
        <v>70</v>
      </c>
      <c r="G3754" s="11">
        <v>746</v>
      </c>
      <c r="H3754" s="13"/>
      <c r="I3754" s="11" t="s">
        <v>1941</v>
      </c>
      <c r="J3754" s="11" t="s">
        <v>17776</v>
      </c>
      <c r="K3754" s="11" t="s">
        <v>17777</v>
      </c>
      <c r="L3754" s="11" t="s">
        <v>17778</v>
      </c>
      <c r="M3754" s="11" t="s">
        <v>17779</v>
      </c>
      <c r="N3754" s="11">
        <v>2017</v>
      </c>
      <c r="O3754" s="11">
        <v>1332</v>
      </c>
      <c r="P3754" s="11">
        <v>2</v>
      </c>
      <c r="Q3754" s="11" t="s">
        <v>17780</v>
      </c>
      <c r="R3754" s="14" t="s">
        <v>17781</v>
      </c>
      <c r="S3754" s="11">
        <v>33</v>
      </c>
      <c r="T3754" s="11" t="s">
        <v>39</v>
      </c>
      <c r="U3754" s="11" t="s">
        <v>40</v>
      </c>
      <c r="V3754" s="13"/>
      <c r="W3754" s="11">
        <v>5000000</v>
      </c>
      <c r="X3754" s="11">
        <v>1959</v>
      </c>
      <c r="Y3754" s="11">
        <v>333</v>
      </c>
      <c r="Z3754" s="11">
        <v>6.2</v>
      </c>
      <c r="AA3754" s="11">
        <v>2.2</v>
      </c>
      <c r="AB3754" s="11">
        <v>270</v>
      </c>
      <c r="AC3754" s="11"/>
      <c r="AD3754" s="11" t="str">
        <f>IFERROR(__xludf.DUMMYFUNCTION("""COMPUTED_VALUE"""),"Adrian Holmes")</f>
        <v>Adrian Holmes</v>
      </c>
      <c r="AE3754" s="11"/>
    </row>
    <row r="3755" customHeight="1" spans="1:31">
      <c r="A3755" s="12" t="s">
        <v>30</v>
      </c>
      <c r="B3755" s="12" t="s">
        <v>17782</v>
      </c>
      <c r="C3755" s="12">
        <v>59</v>
      </c>
      <c r="D3755" s="12">
        <v>92</v>
      </c>
      <c r="E3755" s="12">
        <v>89</v>
      </c>
      <c r="F3755" s="12">
        <v>355</v>
      </c>
      <c r="G3755" s="12">
        <v>729</v>
      </c>
      <c r="H3755" s="12">
        <v>11675178</v>
      </c>
      <c r="I3755" s="12" t="s">
        <v>1672</v>
      </c>
      <c r="J3755" s="12" t="s">
        <v>417</v>
      </c>
      <c r="K3755" s="12" t="s">
        <v>5265</v>
      </c>
      <c r="L3755" s="12" t="s">
        <v>7940</v>
      </c>
      <c r="M3755" s="12" t="s">
        <v>17783</v>
      </c>
      <c r="N3755" s="12">
        <v>9509</v>
      </c>
      <c r="O3755" s="12">
        <v>2848</v>
      </c>
      <c r="P3755" s="12">
        <v>4</v>
      </c>
      <c r="Q3755" s="12" t="s">
        <v>17784</v>
      </c>
      <c r="R3755" s="15" t="s">
        <v>17785</v>
      </c>
      <c r="S3755" s="12">
        <v>53</v>
      </c>
      <c r="T3755" s="12" t="s">
        <v>39</v>
      </c>
      <c r="U3755" s="12" t="s">
        <v>40</v>
      </c>
      <c r="V3755" s="12" t="s">
        <v>586</v>
      </c>
      <c r="W3755" s="12">
        <v>5000000</v>
      </c>
      <c r="X3755" s="12">
        <v>2016</v>
      </c>
      <c r="Y3755" s="12">
        <v>706</v>
      </c>
      <c r="Z3755" s="12">
        <v>3.5</v>
      </c>
      <c r="AA3755" s="16"/>
      <c r="AB3755" s="12">
        <v>11000</v>
      </c>
      <c r="AC3755" s="12"/>
      <c r="AD3755" s="12" t="str">
        <f>IFERROR(__xludf.DUMMYFUNCTION("""COMPUTED_VALUE"""),"Shane Pollard")</f>
        <v>Shane Pollard</v>
      </c>
      <c r="AE3755" s="12"/>
    </row>
    <row r="3756" customHeight="1" spans="1:31">
      <c r="A3756" s="11" t="s">
        <v>30</v>
      </c>
      <c r="B3756" s="11" t="s">
        <v>5083</v>
      </c>
      <c r="C3756" s="11">
        <v>45</v>
      </c>
      <c r="D3756" s="11">
        <v>99</v>
      </c>
      <c r="E3756" s="11">
        <v>1000</v>
      </c>
      <c r="F3756" s="11">
        <v>409</v>
      </c>
      <c r="G3756" s="11">
        <v>849</v>
      </c>
      <c r="H3756" s="11">
        <v>10572742</v>
      </c>
      <c r="I3756" s="11" t="s">
        <v>214</v>
      </c>
      <c r="J3756" s="11" t="s">
        <v>8572</v>
      </c>
      <c r="K3756" s="11" t="s">
        <v>1661</v>
      </c>
      <c r="L3756" s="11" t="s">
        <v>2484</v>
      </c>
      <c r="M3756" s="11" t="s">
        <v>17786</v>
      </c>
      <c r="N3756" s="11">
        <v>2326</v>
      </c>
      <c r="O3756" s="11">
        <v>2269</v>
      </c>
      <c r="P3756" s="11">
        <v>1</v>
      </c>
      <c r="Q3756" s="11" t="s">
        <v>17787</v>
      </c>
      <c r="R3756" s="14" t="s">
        <v>17788</v>
      </c>
      <c r="S3756" s="11">
        <v>21</v>
      </c>
      <c r="T3756" s="11" t="s">
        <v>39</v>
      </c>
      <c r="U3756" s="11" t="s">
        <v>40</v>
      </c>
      <c r="V3756" s="11" t="s">
        <v>41</v>
      </c>
      <c r="W3756" s="11">
        <v>8000000</v>
      </c>
      <c r="X3756" s="11">
        <v>2009</v>
      </c>
      <c r="Y3756" s="11">
        <v>578</v>
      </c>
      <c r="Z3756" s="11">
        <v>6.1</v>
      </c>
      <c r="AA3756" s="11">
        <v>1.85</v>
      </c>
      <c r="AB3756" s="11">
        <v>738</v>
      </c>
      <c r="AC3756" s="11"/>
      <c r="AD3756" s="11" t="str">
        <f>IFERROR(__xludf.DUMMYFUNCTION("""COMPUTED_VALUE"""),"Mishael Morgan")</f>
        <v>Mishael Morgan</v>
      </c>
      <c r="AE3756" s="11"/>
    </row>
    <row r="3757" customHeight="1" spans="1:31">
      <c r="A3757" s="12" t="s">
        <v>748</v>
      </c>
      <c r="B3757" s="12" t="s">
        <v>17789</v>
      </c>
      <c r="C3757" s="12">
        <v>42</v>
      </c>
      <c r="D3757" s="12">
        <v>79</v>
      </c>
      <c r="E3757" s="12">
        <v>57</v>
      </c>
      <c r="F3757" s="12">
        <v>99</v>
      </c>
      <c r="G3757" s="12">
        <v>998</v>
      </c>
      <c r="H3757" s="16"/>
      <c r="I3757" s="12" t="s">
        <v>5605</v>
      </c>
      <c r="J3757" s="12" t="s">
        <v>17790</v>
      </c>
      <c r="K3757" s="12" t="s">
        <v>17791</v>
      </c>
      <c r="L3757" s="12" t="s">
        <v>17792</v>
      </c>
      <c r="M3757" s="12" t="s">
        <v>17793</v>
      </c>
      <c r="N3757" s="12">
        <v>3519</v>
      </c>
      <c r="O3757" s="12">
        <v>1284</v>
      </c>
      <c r="P3757" s="12">
        <v>1</v>
      </c>
      <c r="Q3757" s="12" t="s">
        <v>17794</v>
      </c>
      <c r="R3757" s="15" t="s">
        <v>17795</v>
      </c>
      <c r="S3757" s="12">
        <v>46</v>
      </c>
      <c r="T3757" s="12" t="s">
        <v>39</v>
      </c>
      <c r="U3757" s="12" t="s">
        <v>40</v>
      </c>
      <c r="V3757" s="12" t="s">
        <v>5614</v>
      </c>
      <c r="W3757" s="12">
        <v>800000</v>
      </c>
      <c r="X3757" s="12">
        <v>1932</v>
      </c>
      <c r="Y3757" s="12">
        <v>164</v>
      </c>
      <c r="Z3757" s="12">
        <v>6.6</v>
      </c>
      <c r="AA3757" s="12">
        <v>1.37</v>
      </c>
      <c r="AB3757" s="12">
        <v>213</v>
      </c>
      <c r="AC3757" s="12"/>
      <c r="AD3757" s="12" t="str">
        <f>IFERROR(__xludf.DUMMYFUNCTION("""COMPUTED_VALUE"""),"Chase Armitage")</f>
        <v>Chase Armitage</v>
      </c>
      <c r="AE3757" s="12"/>
    </row>
    <row r="3758" customHeight="1" spans="1:31">
      <c r="A3758" s="11" t="s">
        <v>30</v>
      </c>
      <c r="B3758" s="11" t="s">
        <v>9594</v>
      </c>
      <c r="C3758" s="11">
        <v>12</v>
      </c>
      <c r="D3758" s="11">
        <v>96</v>
      </c>
      <c r="E3758" s="11">
        <v>23</v>
      </c>
      <c r="F3758" s="11">
        <v>503</v>
      </c>
      <c r="G3758" s="11">
        <v>927</v>
      </c>
      <c r="H3758" s="11">
        <v>9658370</v>
      </c>
      <c r="I3758" s="11" t="s">
        <v>1681</v>
      </c>
      <c r="J3758" s="11" t="s">
        <v>9033</v>
      </c>
      <c r="K3758" s="11" t="s">
        <v>3497</v>
      </c>
      <c r="L3758" s="11" t="s">
        <v>17796</v>
      </c>
      <c r="M3758" s="11" t="s">
        <v>17797</v>
      </c>
      <c r="N3758" s="11">
        <v>1180</v>
      </c>
      <c r="O3758" s="11">
        <v>3552</v>
      </c>
      <c r="P3758" s="11">
        <v>6</v>
      </c>
      <c r="Q3758" s="13"/>
      <c r="R3758" s="14" t="s">
        <v>17798</v>
      </c>
      <c r="S3758" s="11">
        <v>9</v>
      </c>
      <c r="T3758" s="11" t="s">
        <v>39</v>
      </c>
      <c r="U3758" s="11" t="s">
        <v>40</v>
      </c>
      <c r="V3758" s="11" t="s">
        <v>586</v>
      </c>
      <c r="W3758" s="11">
        <v>5000000</v>
      </c>
      <c r="X3758" s="11">
        <v>2016</v>
      </c>
      <c r="Y3758" s="11">
        <v>509</v>
      </c>
      <c r="Z3758" s="11">
        <v>4.5</v>
      </c>
      <c r="AA3758" s="13"/>
      <c r="AB3758" s="11">
        <v>740</v>
      </c>
      <c r="AC3758" s="11"/>
      <c r="AD3758" s="11" t="str">
        <f>IFERROR(__xludf.DUMMYFUNCTION("""COMPUTED_VALUE"""),"Michael McElhatton")</f>
        <v>Michael McElhatton</v>
      </c>
      <c r="AE3758" s="11"/>
    </row>
    <row r="3759" customHeight="1" spans="1:31">
      <c r="A3759" s="12" t="s">
        <v>30</v>
      </c>
      <c r="B3759" s="12" t="s">
        <v>17799</v>
      </c>
      <c r="C3759" s="12">
        <v>29</v>
      </c>
      <c r="D3759" s="12">
        <v>82</v>
      </c>
      <c r="E3759" s="12">
        <v>99</v>
      </c>
      <c r="F3759" s="12">
        <v>44</v>
      </c>
      <c r="G3759" s="12">
        <v>93</v>
      </c>
      <c r="H3759" s="12">
        <v>9628751</v>
      </c>
      <c r="I3759" s="12" t="s">
        <v>3156</v>
      </c>
      <c r="J3759" s="12" t="s">
        <v>17800</v>
      </c>
      <c r="K3759" s="12" t="s">
        <v>17801</v>
      </c>
      <c r="L3759" s="12" t="s">
        <v>17802</v>
      </c>
      <c r="M3759" s="12" t="s">
        <v>17803</v>
      </c>
      <c r="N3759" s="12">
        <v>5164</v>
      </c>
      <c r="O3759" s="12">
        <v>315</v>
      </c>
      <c r="P3759" s="12">
        <v>0</v>
      </c>
      <c r="Q3759" s="12" t="s">
        <v>17804</v>
      </c>
      <c r="R3759" s="15" t="s">
        <v>17805</v>
      </c>
      <c r="S3759" s="12">
        <v>65</v>
      </c>
      <c r="T3759" s="12" t="s">
        <v>39</v>
      </c>
      <c r="U3759" s="12" t="s">
        <v>40</v>
      </c>
      <c r="V3759" s="12" t="s">
        <v>96</v>
      </c>
      <c r="W3759" s="12">
        <v>5000000</v>
      </c>
      <c r="X3759" s="12">
        <v>2000</v>
      </c>
      <c r="Y3759" s="12">
        <v>45</v>
      </c>
      <c r="Z3759" s="12">
        <v>5.9</v>
      </c>
      <c r="AA3759" s="12">
        <v>1.85</v>
      </c>
      <c r="AB3759" s="12">
        <v>207</v>
      </c>
      <c r="AC3759" s="12"/>
      <c r="AD3759" s="12" t="str">
        <f>IFERROR(__xludf.DUMMYFUNCTION("""COMPUTED_VALUE"""),"Amanda Troop")</f>
        <v>Amanda Troop</v>
      </c>
      <c r="AE3759" s="12"/>
    </row>
    <row r="3760" customHeight="1" spans="1:31">
      <c r="A3760" s="11" t="s">
        <v>30</v>
      </c>
      <c r="B3760" s="11" t="s">
        <v>17806</v>
      </c>
      <c r="C3760" s="11">
        <v>121</v>
      </c>
      <c r="D3760" s="11">
        <v>92</v>
      </c>
      <c r="E3760" s="11">
        <v>12</v>
      </c>
      <c r="F3760" s="11">
        <v>797</v>
      </c>
      <c r="G3760" s="11">
        <v>3000</v>
      </c>
      <c r="H3760" s="11">
        <v>8786715</v>
      </c>
      <c r="I3760" s="11" t="s">
        <v>2528</v>
      </c>
      <c r="J3760" s="11" t="s">
        <v>6537</v>
      </c>
      <c r="K3760" s="11" t="s">
        <v>3952</v>
      </c>
      <c r="L3760" s="11" t="s">
        <v>10247</v>
      </c>
      <c r="M3760" s="11" t="s">
        <v>17807</v>
      </c>
      <c r="N3760" s="11">
        <v>40274</v>
      </c>
      <c r="O3760" s="11">
        <v>5668</v>
      </c>
      <c r="P3760" s="11">
        <v>5</v>
      </c>
      <c r="Q3760" s="11" t="s">
        <v>17808</v>
      </c>
      <c r="R3760" s="14" t="s">
        <v>17809</v>
      </c>
      <c r="S3760" s="11">
        <v>324</v>
      </c>
      <c r="T3760" s="11" t="s">
        <v>39</v>
      </c>
      <c r="U3760" s="11" t="s">
        <v>40</v>
      </c>
      <c r="V3760" s="11" t="s">
        <v>41</v>
      </c>
      <c r="W3760" s="11">
        <v>5000000</v>
      </c>
      <c r="X3760" s="11">
        <v>2004</v>
      </c>
      <c r="Y3760" s="11">
        <v>835</v>
      </c>
      <c r="Z3760" s="11">
        <v>6.9</v>
      </c>
      <c r="AA3760" s="11">
        <v>1.85</v>
      </c>
      <c r="AB3760" s="11">
        <v>0</v>
      </c>
      <c r="AC3760" s="11"/>
      <c r="AD3760" s="11" t="str">
        <f>IFERROR(__xludf.DUMMYFUNCTION("""COMPUTED_VALUE"""),"Veronica Ferres")</f>
        <v>Veronica Ferres</v>
      </c>
      <c r="AE3760" s="11"/>
    </row>
    <row r="3761" customHeight="1" spans="1:31">
      <c r="A3761" s="12" t="s">
        <v>30</v>
      </c>
      <c r="B3761" s="12" t="s">
        <v>17810</v>
      </c>
      <c r="C3761" s="12">
        <v>135</v>
      </c>
      <c r="D3761" s="12">
        <v>112</v>
      </c>
      <c r="E3761" s="12">
        <v>66</v>
      </c>
      <c r="F3761" s="12">
        <v>21</v>
      </c>
      <c r="G3761" s="12">
        <v>150</v>
      </c>
      <c r="H3761" s="12">
        <v>3432342</v>
      </c>
      <c r="I3761" s="12" t="s">
        <v>11289</v>
      </c>
      <c r="J3761" s="12" t="s">
        <v>12619</v>
      </c>
      <c r="K3761" s="12" t="s">
        <v>17811</v>
      </c>
      <c r="L3761" s="12" t="s">
        <v>17812</v>
      </c>
      <c r="M3761" s="12" t="s">
        <v>17813</v>
      </c>
      <c r="N3761" s="12">
        <v>24921</v>
      </c>
      <c r="O3761" s="12">
        <v>253</v>
      </c>
      <c r="P3761" s="12">
        <v>2</v>
      </c>
      <c r="Q3761" s="12" t="s">
        <v>17814</v>
      </c>
      <c r="R3761" s="15" t="s">
        <v>17815</v>
      </c>
      <c r="S3761" s="12">
        <v>166</v>
      </c>
      <c r="T3761" s="12" t="s">
        <v>1465</v>
      </c>
      <c r="U3761" s="12" t="s">
        <v>269</v>
      </c>
      <c r="V3761" s="12" t="s">
        <v>586</v>
      </c>
      <c r="W3761" s="12">
        <v>6000000</v>
      </c>
      <c r="X3761" s="12">
        <v>2003</v>
      </c>
      <c r="Y3761" s="12">
        <v>28</v>
      </c>
      <c r="Z3761" s="12">
        <v>7.7</v>
      </c>
      <c r="AA3761" s="12">
        <v>2.35</v>
      </c>
      <c r="AB3761" s="12">
        <v>0</v>
      </c>
      <c r="AC3761" s="12"/>
      <c r="AD3761" s="12" t="str">
        <f>IFERROR(__xludf.DUMMYFUNCTION("""COMPUTED_VALUE"""),"Charlotte Bøving")</f>
        <v>Charlotte Bøving</v>
      </c>
      <c r="AE3761" s="12"/>
    </row>
    <row r="3762" customHeight="1" spans="1:31">
      <c r="A3762" s="11" t="s">
        <v>30</v>
      </c>
      <c r="B3762" s="11" t="s">
        <v>4864</v>
      </c>
      <c r="C3762" s="11">
        <v>27</v>
      </c>
      <c r="D3762" s="11">
        <v>106</v>
      </c>
      <c r="E3762" s="11">
        <v>44</v>
      </c>
      <c r="F3762" s="11">
        <v>136</v>
      </c>
      <c r="G3762" s="11">
        <v>559</v>
      </c>
      <c r="H3762" s="13"/>
      <c r="I3762" s="11" t="s">
        <v>2308</v>
      </c>
      <c r="J3762" s="11" t="s">
        <v>14011</v>
      </c>
      <c r="K3762" s="11" t="s">
        <v>15660</v>
      </c>
      <c r="L3762" s="11" t="s">
        <v>17816</v>
      </c>
      <c r="M3762" s="11" t="s">
        <v>17817</v>
      </c>
      <c r="N3762" s="11">
        <v>8930</v>
      </c>
      <c r="O3762" s="11">
        <v>1199</v>
      </c>
      <c r="P3762" s="11">
        <v>10</v>
      </c>
      <c r="Q3762" s="11" t="s">
        <v>17818</v>
      </c>
      <c r="R3762" s="14" t="s">
        <v>17819</v>
      </c>
      <c r="S3762" s="11">
        <v>90</v>
      </c>
      <c r="T3762" s="11" t="s">
        <v>39</v>
      </c>
      <c r="U3762" s="11" t="s">
        <v>40</v>
      </c>
      <c r="V3762" s="11" t="s">
        <v>96</v>
      </c>
      <c r="W3762" s="11">
        <v>5000000</v>
      </c>
      <c r="X3762" s="11">
        <v>1976</v>
      </c>
      <c r="Y3762" s="11">
        <v>249</v>
      </c>
      <c r="Z3762" s="11">
        <v>6.6</v>
      </c>
      <c r="AA3762" s="11">
        <v>1.85</v>
      </c>
      <c r="AB3762" s="11">
        <v>672</v>
      </c>
      <c r="AC3762" s="11"/>
      <c r="AD3762" s="11" t="str">
        <f>IFERROR(__xludf.DUMMYFUNCTION("""COMPUTED_VALUE"""),"Sigríður María Egilsdóttir")</f>
        <v>Sigríður María Egilsdóttir</v>
      </c>
      <c r="AE3762" s="11"/>
    </row>
    <row r="3763" customHeight="1" spans="1:31">
      <c r="A3763" s="12" t="s">
        <v>30</v>
      </c>
      <c r="B3763" s="12" t="s">
        <v>17820</v>
      </c>
      <c r="C3763" s="12">
        <v>56</v>
      </c>
      <c r="D3763" s="12">
        <v>90</v>
      </c>
      <c r="E3763" s="12">
        <v>23</v>
      </c>
      <c r="F3763" s="12">
        <v>560</v>
      </c>
      <c r="G3763" s="12">
        <v>847</v>
      </c>
      <c r="H3763" s="12">
        <v>6755271</v>
      </c>
      <c r="I3763" s="12" t="s">
        <v>5544</v>
      </c>
      <c r="J3763" s="12" t="s">
        <v>10215</v>
      </c>
      <c r="K3763" s="12" t="s">
        <v>10216</v>
      </c>
      <c r="L3763" s="12" t="s">
        <v>5790</v>
      </c>
      <c r="M3763" s="12" t="s">
        <v>17821</v>
      </c>
      <c r="N3763" s="12">
        <v>7319</v>
      </c>
      <c r="O3763" s="12">
        <v>3004</v>
      </c>
      <c r="P3763" s="12">
        <v>4</v>
      </c>
      <c r="Q3763" s="12" t="s">
        <v>17822</v>
      </c>
      <c r="R3763" s="15" t="s">
        <v>17823</v>
      </c>
      <c r="S3763" s="12">
        <v>131</v>
      </c>
      <c r="T3763" s="12" t="s">
        <v>39</v>
      </c>
      <c r="U3763" s="12" t="s">
        <v>40</v>
      </c>
      <c r="V3763" s="12" t="s">
        <v>586</v>
      </c>
      <c r="W3763" s="12">
        <v>5000000</v>
      </c>
      <c r="X3763" s="12">
        <v>2001</v>
      </c>
      <c r="Y3763" s="12">
        <v>591</v>
      </c>
      <c r="Z3763" s="12">
        <v>5.3</v>
      </c>
      <c r="AA3763" s="12">
        <v>1.85</v>
      </c>
      <c r="AB3763" s="12">
        <v>327</v>
      </c>
      <c r="AC3763" s="12"/>
      <c r="AD3763" s="12" t="str">
        <f>IFERROR(__xludf.DUMMYFUNCTION("""COMPUTED_VALUE"""),"Sendhil Ramamurthy")</f>
        <v>Sendhil Ramamurthy</v>
      </c>
      <c r="AE3763" s="12"/>
    </row>
    <row r="3764" customHeight="1" spans="1:31">
      <c r="A3764" s="11" t="s">
        <v>748</v>
      </c>
      <c r="B3764" s="11" t="s">
        <v>16450</v>
      </c>
      <c r="C3764" s="11">
        <v>22</v>
      </c>
      <c r="D3764" s="11">
        <v>126</v>
      </c>
      <c r="E3764" s="11">
        <v>82</v>
      </c>
      <c r="F3764" s="11">
        <v>576</v>
      </c>
      <c r="G3764" s="11">
        <v>11000</v>
      </c>
      <c r="H3764" s="13"/>
      <c r="I3764" s="11" t="s">
        <v>1467</v>
      </c>
      <c r="J3764" s="11" t="s">
        <v>391</v>
      </c>
      <c r="K3764" s="11" t="s">
        <v>11778</v>
      </c>
      <c r="L3764" s="11" t="s">
        <v>3331</v>
      </c>
      <c r="M3764" s="11" t="s">
        <v>17824</v>
      </c>
      <c r="N3764" s="11">
        <v>13587</v>
      </c>
      <c r="O3764" s="11">
        <v>13591</v>
      </c>
      <c r="P3764" s="11">
        <v>2</v>
      </c>
      <c r="Q3764" s="11" t="s">
        <v>17825</v>
      </c>
      <c r="R3764" s="14" t="s">
        <v>17826</v>
      </c>
      <c r="S3764" s="11">
        <v>80</v>
      </c>
      <c r="T3764" s="11" t="s">
        <v>39</v>
      </c>
      <c r="U3764" s="11" t="s">
        <v>58</v>
      </c>
      <c r="V3764" s="11" t="s">
        <v>96</v>
      </c>
      <c r="W3764" s="11">
        <v>5000000</v>
      </c>
      <c r="X3764" s="11">
        <v>1978</v>
      </c>
      <c r="Y3764" s="11">
        <v>794</v>
      </c>
      <c r="Z3764" s="11">
        <v>6.3</v>
      </c>
      <c r="AA3764" s="11">
        <v>2.35</v>
      </c>
      <c r="AB3764" s="11">
        <v>729</v>
      </c>
      <c r="AC3764" s="11"/>
      <c r="AD3764" s="11" t="str">
        <f>IFERROR(__xludf.DUMMYFUNCTION("""COMPUTED_VALUE"""),"Shabana Azmi")</f>
        <v>Shabana Azmi</v>
      </c>
      <c r="AE3764" s="11"/>
    </row>
    <row r="3765" customHeight="1" spans="1:31">
      <c r="A3765" s="12" t="s">
        <v>30</v>
      </c>
      <c r="B3765" s="12" t="s">
        <v>17827</v>
      </c>
      <c r="C3765" s="12">
        <v>59</v>
      </c>
      <c r="D3765" s="12">
        <v>150</v>
      </c>
      <c r="E3765" s="12">
        <v>3</v>
      </c>
      <c r="F3765" s="12">
        <v>448</v>
      </c>
      <c r="G3765" s="12">
        <v>859</v>
      </c>
      <c r="H3765" s="12">
        <v>6157157</v>
      </c>
      <c r="I3765" s="12" t="s">
        <v>2528</v>
      </c>
      <c r="J3765" s="12" t="s">
        <v>2740</v>
      </c>
      <c r="K3765" s="12" t="s">
        <v>9476</v>
      </c>
      <c r="L3765" s="12" t="s">
        <v>17828</v>
      </c>
      <c r="M3765" s="12" t="s">
        <v>17829</v>
      </c>
      <c r="N3765" s="12">
        <v>21416</v>
      </c>
      <c r="O3765" s="12">
        <v>3942</v>
      </c>
      <c r="P3765" s="12">
        <v>1</v>
      </c>
      <c r="Q3765" s="12" t="s">
        <v>17830</v>
      </c>
      <c r="R3765" s="15" t="s">
        <v>17831</v>
      </c>
      <c r="S3765" s="12">
        <v>198</v>
      </c>
      <c r="T3765" s="12" t="s">
        <v>39</v>
      </c>
      <c r="U3765" s="12" t="s">
        <v>40</v>
      </c>
      <c r="V3765" s="12" t="s">
        <v>41</v>
      </c>
      <c r="W3765" s="12">
        <v>5000000</v>
      </c>
      <c r="X3765" s="12">
        <v>1989</v>
      </c>
      <c r="Y3765" s="12">
        <v>448</v>
      </c>
      <c r="Z3765" s="12">
        <v>7</v>
      </c>
      <c r="AA3765" s="12">
        <v>1.85</v>
      </c>
      <c r="AB3765" s="12">
        <v>0</v>
      </c>
      <c r="AC3765" s="12"/>
      <c r="AD3765" s="12" t="str">
        <f>IFERROR(__xludf.DUMMYFUNCTION("""COMPUTED_VALUE"""),"Jesse Moss")</f>
        <v>Jesse Moss</v>
      </c>
      <c r="AE3765" s="12"/>
    </row>
    <row r="3766" customHeight="1" spans="1:31">
      <c r="A3766" s="11" t="s">
        <v>30</v>
      </c>
      <c r="B3766" s="11" t="s">
        <v>17832</v>
      </c>
      <c r="C3766" s="11">
        <v>61</v>
      </c>
      <c r="D3766" s="11">
        <v>90</v>
      </c>
      <c r="E3766" s="11">
        <v>4</v>
      </c>
      <c r="F3766" s="11">
        <v>556</v>
      </c>
      <c r="G3766" s="11">
        <v>2000</v>
      </c>
      <c r="H3766" s="11">
        <v>6088249</v>
      </c>
      <c r="I3766" s="11" t="s">
        <v>1672</v>
      </c>
      <c r="J3766" s="11" t="s">
        <v>2478</v>
      </c>
      <c r="K3766" s="11" t="s">
        <v>34</v>
      </c>
      <c r="L3766" s="11" t="s">
        <v>17833</v>
      </c>
      <c r="M3766" s="11" t="s">
        <v>17834</v>
      </c>
      <c r="N3766" s="11">
        <v>67853</v>
      </c>
      <c r="O3766" s="11">
        <v>5202</v>
      </c>
      <c r="P3766" s="11">
        <v>0</v>
      </c>
      <c r="Q3766" s="11" t="s">
        <v>17835</v>
      </c>
      <c r="R3766" s="14" t="s">
        <v>17836</v>
      </c>
      <c r="S3766" s="11">
        <v>202</v>
      </c>
      <c r="T3766" s="11" t="s">
        <v>39</v>
      </c>
      <c r="U3766" s="11" t="s">
        <v>40</v>
      </c>
      <c r="V3766" s="11" t="s">
        <v>586</v>
      </c>
      <c r="W3766" s="13"/>
      <c r="X3766" s="11">
        <v>2006</v>
      </c>
      <c r="Y3766" s="11">
        <v>936</v>
      </c>
      <c r="Z3766" s="11">
        <v>7</v>
      </c>
      <c r="AA3766" s="11">
        <v>2.35</v>
      </c>
      <c r="AB3766" s="11">
        <v>0</v>
      </c>
      <c r="AC3766" s="11"/>
      <c r="AD3766" s="11" t="str">
        <f>IFERROR(__xludf.DUMMYFUNCTION("""COMPUTED_VALUE"""),"John Light")</f>
        <v>John Light</v>
      </c>
      <c r="AE3766" s="11"/>
    </row>
    <row r="3767" customHeight="1" spans="1:31">
      <c r="A3767" s="12" t="s">
        <v>30</v>
      </c>
      <c r="B3767" s="12" t="s">
        <v>15678</v>
      </c>
      <c r="C3767" s="12">
        <v>60</v>
      </c>
      <c r="D3767" s="12">
        <v>91</v>
      </c>
      <c r="E3767" s="12">
        <v>84</v>
      </c>
      <c r="F3767" s="12">
        <v>572</v>
      </c>
      <c r="G3767" s="12">
        <v>1000</v>
      </c>
      <c r="H3767" s="12">
        <v>5480318</v>
      </c>
      <c r="I3767" s="12" t="s">
        <v>2528</v>
      </c>
      <c r="J3767" s="12" t="s">
        <v>3752</v>
      </c>
      <c r="K3767" s="12" t="s">
        <v>4367</v>
      </c>
      <c r="L3767" s="12" t="s">
        <v>17837</v>
      </c>
      <c r="M3767" s="12" t="s">
        <v>17838</v>
      </c>
      <c r="N3767" s="12">
        <v>9427</v>
      </c>
      <c r="O3767" s="12">
        <v>2691</v>
      </c>
      <c r="P3767" s="12">
        <v>0</v>
      </c>
      <c r="Q3767" s="12" t="s">
        <v>17839</v>
      </c>
      <c r="R3767" s="15" t="s">
        <v>17840</v>
      </c>
      <c r="S3767" s="12">
        <v>79</v>
      </c>
      <c r="T3767" s="12" t="s">
        <v>39</v>
      </c>
      <c r="U3767" s="12" t="s">
        <v>40</v>
      </c>
      <c r="V3767" s="12" t="s">
        <v>586</v>
      </c>
      <c r="W3767" s="12">
        <v>5000000</v>
      </c>
      <c r="X3767" s="12">
        <v>1998</v>
      </c>
      <c r="Y3767" s="12">
        <v>778</v>
      </c>
      <c r="Z3767" s="12">
        <v>6.6</v>
      </c>
      <c r="AA3767" s="12">
        <v>1.85</v>
      </c>
      <c r="AB3767" s="12">
        <v>462</v>
      </c>
      <c r="AC3767" s="12"/>
      <c r="AD3767" s="12" t="str">
        <f>IFERROR(__xludf.DUMMYFUNCTION("""COMPUTED_VALUE"""),"Luke Perry")</f>
        <v>Luke Perry</v>
      </c>
      <c r="AE3767" s="12"/>
    </row>
    <row r="3768" customHeight="1" spans="1:31">
      <c r="A3768" s="11" t="s">
        <v>30</v>
      </c>
      <c r="B3768" s="11" t="s">
        <v>8663</v>
      </c>
      <c r="C3768" s="11">
        <v>164</v>
      </c>
      <c r="D3768" s="11">
        <v>145</v>
      </c>
      <c r="E3768" s="11">
        <v>0</v>
      </c>
      <c r="F3768" s="11">
        <v>392</v>
      </c>
      <c r="G3768" s="11">
        <v>973</v>
      </c>
      <c r="H3768" s="13"/>
      <c r="I3768" s="11" t="s">
        <v>15011</v>
      </c>
      <c r="J3768" s="11" t="s">
        <v>17841</v>
      </c>
      <c r="K3768" s="11" t="s">
        <v>17842</v>
      </c>
      <c r="L3768" s="11" t="s">
        <v>17843</v>
      </c>
      <c r="M3768" s="11" t="s">
        <v>17844</v>
      </c>
      <c r="N3768" s="11">
        <v>216005</v>
      </c>
      <c r="O3768" s="11">
        <v>2589</v>
      </c>
      <c r="P3768" s="11">
        <v>1</v>
      </c>
      <c r="Q3768" s="11" t="s">
        <v>17845</v>
      </c>
      <c r="R3768" s="14" t="s">
        <v>17846</v>
      </c>
      <c r="S3768" s="11">
        <v>565</v>
      </c>
      <c r="T3768" s="11" t="s">
        <v>39</v>
      </c>
      <c r="U3768" s="11" t="s">
        <v>7091</v>
      </c>
      <c r="V3768" s="11" t="s">
        <v>41</v>
      </c>
      <c r="W3768" s="11">
        <v>5000000</v>
      </c>
      <c r="X3768" s="11">
        <v>1968</v>
      </c>
      <c r="Y3768" s="11">
        <v>423</v>
      </c>
      <c r="Z3768" s="11">
        <v>8.6</v>
      </c>
      <c r="AA3768" s="11">
        <v>2.35</v>
      </c>
      <c r="AB3768" s="11">
        <v>10000</v>
      </c>
      <c r="AC3768" s="11"/>
      <c r="AD3768" s="11" t="str">
        <f>IFERROR(__xludf.DUMMYFUNCTION("""COMPUTED_VALUE"""),"Dal-su Oh")</f>
        <v>Dal-su Oh</v>
      </c>
      <c r="AE3768" s="11"/>
    </row>
    <row r="3769" customHeight="1" spans="1:31">
      <c r="A3769" s="12" t="s">
        <v>30</v>
      </c>
      <c r="B3769" s="12" t="s">
        <v>251</v>
      </c>
      <c r="C3769" s="12">
        <v>81</v>
      </c>
      <c r="D3769" s="12">
        <v>95</v>
      </c>
      <c r="E3769" s="12">
        <v>4000</v>
      </c>
      <c r="F3769" s="12">
        <v>334</v>
      </c>
      <c r="G3769" s="12">
        <v>4000</v>
      </c>
      <c r="H3769" s="12">
        <v>5308707</v>
      </c>
      <c r="I3769" s="12" t="s">
        <v>5316</v>
      </c>
      <c r="J3769" s="12" t="s">
        <v>251</v>
      </c>
      <c r="K3769" s="12" t="s">
        <v>5227</v>
      </c>
      <c r="L3769" s="12" t="s">
        <v>17847</v>
      </c>
      <c r="M3769" s="12" t="s">
        <v>17848</v>
      </c>
      <c r="N3769" s="12">
        <v>15053</v>
      </c>
      <c r="O3769" s="12">
        <v>5245</v>
      </c>
      <c r="P3769" s="12">
        <v>2</v>
      </c>
      <c r="Q3769" s="12" t="s">
        <v>17849</v>
      </c>
      <c r="R3769" s="15" t="s">
        <v>17850</v>
      </c>
      <c r="S3769" s="12">
        <v>165</v>
      </c>
      <c r="T3769" s="12" t="s">
        <v>39</v>
      </c>
      <c r="U3769" s="12" t="s">
        <v>40</v>
      </c>
      <c r="V3769" s="12" t="s">
        <v>586</v>
      </c>
      <c r="W3769" s="12">
        <v>5000000</v>
      </c>
      <c r="X3769" s="12">
        <v>2001</v>
      </c>
      <c r="Y3769" s="12">
        <v>585</v>
      </c>
      <c r="Z3769" s="12">
        <v>6.4</v>
      </c>
      <c r="AA3769" s="12">
        <v>1.85</v>
      </c>
      <c r="AB3769" s="12">
        <v>393</v>
      </c>
      <c r="AC3769" s="12"/>
      <c r="AD3769" s="12" t="str">
        <f>IFERROR(__xludf.DUMMYFUNCTION("""COMPUTED_VALUE"""),"Victor Rivers")</f>
        <v>Victor Rivers</v>
      </c>
      <c r="AE3769" s="12"/>
    </row>
    <row r="3770" customHeight="1" spans="1:31">
      <c r="A3770" s="11" t="s">
        <v>30</v>
      </c>
      <c r="B3770" s="11" t="s">
        <v>729</v>
      </c>
      <c r="C3770" s="11">
        <v>415</v>
      </c>
      <c r="D3770" s="11">
        <v>97</v>
      </c>
      <c r="E3770" s="11">
        <v>0</v>
      </c>
      <c r="F3770" s="11">
        <v>372</v>
      </c>
      <c r="G3770" s="11">
        <v>18000</v>
      </c>
      <c r="H3770" s="11">
        <v>5009677</v>
      </c>
      <c r="I3770" s="11" t="s">
        <v>5568</v>
      </c>
      <c r="J3770" s="11" t="s">
        <v>120</v>
      </c>
      <c r="K3770" s="11" t="s">
        <v>17851</v>
      </c>
      <c r="L3770" s="11" t="s">
        <v>1667</v>
      </c>
      <c r="M3770" s="11" t="s">
        <v>17852</v>
      </c>
      <c r="N3770" s="11">
        <v>260607</v>
      </c>
      <c r="O3770" s="11">
        <v>19404</v>
      </c>
      <c r="P3770" s="11">
        <v>0</v>
      </c>
      <c r="Q3770" s="11" t="s">
        <v>17853</v>
      </c>
      <c r="R3770" s="14" t="s">
        <v>17854</v>
      </c>
      <c r="S3770" s="11">
        <v>485</v>
      </c>
      <c r="T3770" s="11" t="s">
        <v>39</v>
      </c>
      <c r="U3770" s="11" t="s">
        <v>58</v>
      </c>
      <c r="V3770" s="11" t="s">
        <v>586</v>
      </c>
      <c r="W3770" s="11">
        <v>5000000</v>
      </c>
      <c r="X3770" s="11">
        <v>2009</v>
      </c>
      <c r="Y3770" s="11">
        <v>572</v>
      </c>
      <c r="Z3770" s="11">
        <v>7.9</v>
      </c>
      <c r="AA3770" s="11">
        <v>2.35</v>
      </c>
      <c r="AB3770" s="11">
        <v>47000</v>
      </c>
      <c r="AC3770" s="11"/>
      <c r="AD3770" s="11" t="str">
        <f>IFERROR(__xludf.DUMMYFUNCTION("""COMPUTED_VALUE"""),"Enrique Murciano")</f>
        <v>Enrique Murciano</v>
      </c>
      <c r="AE3770" s="11"/>
    </row>
    <row r="3771" customHeight="1" spans="1:31">
      <c r="A3771" s="12" t="s">
        <v>30</v>
      </c>
      <c r="B3771" s="12" t="s">
        <v>15412</v>
      </c>
      <c r="C3771" s="12">
        <v>43</v>
      </c>
      <c r="D3771" s="12">
        <v>90</v>
      </c>
      <c r="E3771" s="12">
        <v>7</v>
      </c>
      <c r="F3771" s="12">
        <v>701</v>
      </c>
      <c r="G3771" s="12">
        <v>2000</v>
      </c>
      <c r="H3771" s="12">
        <v>4328294</v>
      </c>
      <c r="I3771" s="12" t="s">
        <v>1672</v>
      </c>
      <c r="J3771" s="12" t="s">
        <v>2978</v>
      </c>
      <c r="K3771" s="12" t="s">
        <v>2304</v>
      </c>
      <c r="L3771" s="12" t="s">
        <v>5915</v>
      </c>
      <c r="M3771" s="12" t="s">
        <v>17855</v>
      </c>
      <c r="N3771" s="12">
        <v>2719</v>
      </c>
      <c r="O3771" s="12">
        <v>5900</v>
      </c>
      <c r="P3771" s="12">
        <v>0</v>
      </c>
      <c r="Q3771" s="12" t="s">
        <v>17856</v>
      </c>
      <c r="R3771" s="15" t="s">
        <v>17857</v>
      </c>
      <c r="S3771" s="12">
        <v>41</v>
      </c>
      <c r="T3771" s="12" t="s">
        <v>39</v>
      </c>
      <c r="U3771" s="12" t="s">
        <v>40</v>
      </c>
      <c r="V3771" s="12" t="s">
        <v>41</v>
      </c>
      <c r="W3771" s="16"/>
      <c r="X3771" s="12">
        <v>2006</v>
      </c>
      <c r="Y3771" s="12">
        <v>847</v>
      </c>
      <c r="Z3771" s="12">
        <v>5.4</v>
      </c>
      <c r="AA3771" s="12">
        <v>1.85</v>
      </c>
      <c r="AB3771" s="12">
        <v>249</v>
      </c>
      <c r="AC3771" s="12"/>
      <c r="AD3771" s="12" t="str">
        <f>IFERROR(__xludf.DUMMYFUNCTION("""COMPUTED_VALUE"""),"Akon")</f>
        <v>Akon</v>
      </c>
      <c r="AE3771" s="12"/>
    </row>
    <row r="3772" customHeight="1" spans="1:31">
      <c r="A3772" s="11" t="s">
        <v>30</v>
      </c>
      <c r="B3772" s="11" t="s">
        <v>17858</v>
      </c>
      <c r="C3772" s="11">
        <v>7</v>
      </c>
      <c r="D3772" s="11">
        <v>41</v>
      </c>
      <c r="E3772" s="11">
        <v>0</v>
      </c>
      <c r="F3772" s="11">
        <v>0</v>
      </c>
      <c r="G3772" s="11">
        <v>55</v>
      </c>
      <c r="H3772" s="11">
        <v>4074023</v>
      </c>
      <c r="I3772" s="11" t="s">
        <v>68</v>
      </c>
      <c r="J3772" s="11" t="s">
        <v>17859</v>
      </c>
      <c r="K3772" s="11" t="s">
        <v>17860</v>
      </c>
      <c r="L3772" s="11" t="s">
        <v>17861</v>
      </c>
      <c r="M3772" s="11" t="s">
        <v>17862</v>
      </c>
      <c r="N3772" s="11">
        <v>296</v>
      </c>
      <c r="O3772" s="11">
        <v>55</v>
      </c>
      <c r="P3772" s="11">
        <v>0</v>
      </c>
      <c r="Q3772" s="11" t="s">
        <v>17863</v>
      </c>
      <c r="R3772" s="14" t="s">
        <v>17864</v>
      </c>
      <c r="S3772" s="11">
        <v>4</v>
      </c>
      <c r="T3772" s="11" t="s">
        <v>39</v>
      </c>
      <c r="U3772" s="11" t="s">
        <v>58</v>
      </c>
      <c r="V3772" s="13"/>
      <c r="W3772" s="11">
        <v>5000000</v>
      </c>
      <c r="X3772" s="11">
        <v>2010</v>
      </c>
      <c r="Y3772" s="11">
        <v>0</v>
      </c>
      <c r="Z3772" s="11">
        <v>6.9</v>
      </c>
      <c r="AA3772" s="11">
        <v>1.78</v>
      </c>
      <c r="AB3772" s="11">
        <v>89</v>
      </c>
      <c r="AC3772" s="11"/>
      <c r="AD3772" s="11" t="str">
        <f>IFERROR(__xludf.DUMMYFUNCTION("""COMPUTED_VALUE"""),"Burt Kwouk")</f>
        <v>Burt Kwouk</v>
      </c>
      <c r="AE3772" s="11"/>
    </row>
    <row r="3773" customHeight="1" spans="1:31">
      <c r="A3773" s="12" t="s">
        <v>30</v>
      </c>
      <c r="B3773" s="12" t="s">
        <v>8639</v>
      </c>
      <c r="C3773" s="12">
        <v>120</v>
      </c>
      <c r="D3773" s="12">
        <v>112</v>
      </c>
      <c r="E3773" s="12">
        <v>460</v>
      </c>
      <c r="F3773" s="12">
        <v>395</v>
      </c>
      <c r="G3773" s="12">
        <v>990</v>
      </c>
      <c r="H3773" s="12">
        <v>4306697</v>
      </c>
      <c r="I3773" s="12" t="s">
        <v>3410</v>
      </c>
      <c r="J3773" s="12" t="s">
        <v>354</v>
      </c>
      <c r="K3773" s="12" t="s">
        <v>8555</v>
      </c>
      <c r="L3773" s="12" t="s">
        <v>17865</v>
      </c>
      <c r="M3773" s="12" t="s">
        <v>17866</v>
      </c>
      <c r="N3773" s="12">
        <v>26720</v>
      </c>
      <c r="O3773" s="12">
        <v>2820</v>
      </c>
      <c r="P3773" s="12">
        <v>0</v>
      </c>
      <c r="Q3773" s="12" t="s">
        <v>17867</v>
      </c>
      <c r="R3773" s="15" t="s">
        <v>17868</v>
      </c>
      <c r="S3773" s="12">
        <v>196</v>
      </c>
      <c r="T3773" s="12" t="s">
        <v>39</v>
      </c>
      <c r="U3773" s="12" t="s">
        <v>269</v>
      </c>
      <c r="V3773" s="12" t="s">
        <v>586</v>
      </c>
      <c r="W3773" s="12">
        <v>5000000</v>
      </c>
      <c r="X3773" s="12">
        <v>1997</v>
      </c>
      <c r="Y3773" s="12">
        <v>900</v>
      </c>
      <c r="Z3773" s="12">
        <v>7.7</v>
      </c>
      <c r="AA3773" s="12">
        <v>2.35</v>
      </c>
      <c r="AB3773" s="12">
        <v>920</v>
      </c>
      <c r="AC3773" s="12"/>
      <c r="AD3773" s="12" t="str">
        <f>IFERROR(__xludf.DUMMYFUNCTION("""COMPUTED_VALUE"""),"Emmanuelle Riva")</f>
        <v>Emmanuelle Riva</v>
      </c>
      <c r="AE3773" s="12"/>
    </row>
    <row r="3774" customHeight="1" spans="1:31">
      <c r="A3774" s="11" t="s">
        <v>30</v>
      </c>
      <c r="B3774" s="11" t="s">
        <v>17869</v>
      </c>
      <c r="C3774" s="11">
        <v>195</v>
      </c>
      <c r="D3774" s="11">
        <v>122</v>
      </c>
      <c r="E3774" s="11">
        <v>22</v>
      </c>
      <c r="F3774" s="11">
        <v>32</v>
      </c>
      <c r="G3774" s="11">
        <v>186</v>
      </c>
      <c r="H3774" s="11">
        <v>3950029</v>
      </c>
      <c r="I3774" s="11" t="s">
        <v>3410</v>
      </c>
      <c r="J3774" s="11" t="s">
        <v>14020</v>
      </c>
      <c r="K3774" s="11" t="s">
        <v>4714</v>
      </c>
      <c r="L3774" s="11" t="s">
        <v>17870</v>
      </c>
      <c r="M3774" s="11" t="s">
        <v>17871</v>
      </c>
      <c r="N3774" s="11">
        <v>12411</v>
      </c>
      <c r="O3774" s="11">
        <v>416</v>
      </c>
      <c r="P3774" s="11">
        <v>0</v>
      </c>
      <c r="Q3774" s="11" t="s">
        <v>17872</v>
      </c>
      <c r="R3774" s="14" t="s">
        <v>17873</v>
      </c>
      <c r="S3774" s="11">
        <v>89</v>
      </c>
      <c r="T3774" s="11" t="s">
        <v>1465</v>
      </c>
      <c r="U3774" s="11" t="s">
        <v>1466</v>
      </c>
      <c r="V3774" s="11" t="s">
        <v>41</v>
      </c>
      <c r="W3774" s="11">
        <v>4000000</v>
      </c>
      <c r="X3774" s="11">
        <v>2010</v>
      </c>
      <c r="Y3774" s="11">
        <v>135</v>
      </c>
      <c r="Z3774" s="11">
        <v>7.2</v>
      </c>
      <c r="AA3774" s="11">
        <v>2.35</v>
      </c>
      <c r="AB3774" s="11">
        <v>0</v>
      </c>
      <c r="AC3774" s="11"/>
      <c r="AD3774" s="11" t="str">
        <f>IFERROR(__xludf.DUMMYFUNCTION("""COMPUTED_VALUE"""),"Jean-Louis Trintignant")</f>
        <v>Jean-Louis Trintignant</v>
      </c>
      <c r="AE3774" s="11"/>
    </row>
    <row r="3775" customHeight="1" spans="1:31">
      <c r="A3775" s="12" t="s">
        <v>30</v>
      </c>
      <c r="B3775" s="12" t="s">
        <v>17874</v>
      </c>
      <c r="C3775" s="12">
        <v>109</v>
      </c>
      <c r="D3775" s="12">
        <v>110</v>
      </c>
      <c r="E3775" s="12">
        <v>19</v>
      </c>
      <c r="F3775" s="12">
        <v>39</v>
      </c>
      <c r="G3775" s="12">
        <v>25000</v>
      </c>
      <c r="H3775" s="12">
        <v>4040588</v>
      </c>
      <c r="I3775" s="12" t="s">
        <v>2528</v>
      </c>
      <c r="J3775" s="12" t="s">
        <v>106</v>
      </c>
      <c r="K3775" s="12" t="s">
        <v>3354</v>
      </c>
      <c r="L3775" s="12" t="s">
        <v>6841</v>
      </c>
      <c r="M3775" s="12" t="s">
        <v>17875</v>
      </c>
      <c r="N3775" s="12">
        <v>12233</v>
      </c>
      <c r="O3775" s="12">
        <v>25676</v>
      </c>
      <c r="P3775" s="12">
        <v>0</v>
      </c>
      <c r="Q3775" s="12" t="s">
        <v>17876</v>
      </c>
      <c r="R3775" s="15" t="s">
        <v>17877</v>
      </c>
      <c r="S3775" s="12">
        <v>89</v>
      </c>
      <c r="T3775" s="12" t="s">
        <v>39</v>
      </c>
      <c r="U3775" s="12" t="s">
        <v>40</v>
      </c>
      <c r="V3775" s="12" t="s">
        <v>41</v>
      </c>
      <c r="W3775" s="12">
        <v>5000000</v>
      </c>
      <c r="X3775" s="12">
        <v>2008</v>
      </c>
      <c r="Y3775" s="12">
        <v>579</v>
      </c>
      <c r="Z3775" s="12">
        <v>6.8</v>
      </c>
      <c r="AA3775" s="12">
        <v>2.35</v>
      </c>
      <c r="AB3775" s="12">
        <v>0</v>
      </c>
      <c r="AC3775" s="12"/>
      <c r="AD3775" s="12" t="str">
        <f>IFERROR(__xludf.DUMMYFUNCTION("""COMPUTED_VALUE"""),"Jesse Garcia")</f>
        <v>Jesse Garcia</v>
      </c>
      <c r="AE3775" s="12"/>
    </row>
    <row r="3776" customHeight="1" spans="1:31">
      <c r="A3776" s="11" t="s">
        <v>30</v>
      </c>
      <c r="B3776" s="11" t="s">
        <v>17878</v>
      </c>
      <c r="C3776" s="11">
        <v>21</v>
      </c>
      <c r="D3776" s="11">
        <v>87</v>
      </c>
      <c r="E3776" s="11">
        <v>3</v>
      </c>
      <c r="F3776" s="11">
        <v>83</v>
      </c>
      <c r="G3776" s="11">
        <v>922</v>
      </c>
      <c r="H3776" s="13"/>
      <c r="I3776" s="11" t="s">
        <v>17879</v>
      </c>
      <c r="J3776" s="11" t="s">
        <v>17880</v>
      </c>
      <c r="K3776" s="11" t="s">
        <v>17881</v>
      </c>
      <c r="L3776" s="11" t="s">
        <v>17882</v>
      </c>
      <c r="M3776" s="11" t="s">
        <v>17883</v>
      </c>
      <c r="N3776" s="11">
        <v>881</v>
      </c>
      <c r="O3776" s="11">
        <v>1324</v>
      </c>
      <c r="P3776" s="11">
        <v>0</v>
      </c>
      <c r="Q3776" s="11" t="s">
        <v>17884</v>
      </c>
      <c r="R3776" s="14" t="s">
        <v>17885</v>
      </c>
      <c r="S3776" s="11">
        <v>32</v>
      </c>
      <c r="T3776" s="11" t="s">
        <v>39</v>
      </c>
      <c r="U3776" s="11" t="s">
        <v>40</v>
      </c>
      <c r="V3776" s="11" t="s">
        <v>586</v>
      </c>
      <c r="W3776" s="11">
        <v>5000000</v>
      </c>
      <c r="X3776" s="11">
        <v>1982</v>
      </c>
      <c r="Y3776" s="11">
        <v>162</v>
      </c>
      <c r="Z3776" s="11">
        <v>6.2</v>
      </c>
      <c r="AA3776" s="13"/>
      <c r="AB3776" s="11">
        <v>323</v>
      </c>
      <c r="AC3776" s="11"/>
      <c r="AD3776" s="11" t="str">
        <f>IFERROR(__xludf.DUMMYFUNCTION("""COMPUTED_VALUE"""),"Spencer Tracy")</f>
        <v>Spencer Tracy</v>
      </c>
      <c r="AE3776" s="11"/>
    </row>
    <row r="3777" customHeight="1" spans="1:31">
      <c r="A3777" s="12" t="s">
        <v>30</v>
      </c>
      <c r="B3777" s="12" t="s">
        <v>172</v>
      </c>
      <c r="C3777" s="12">
        <v>93</v>
      </c>
      <c r="D3777" s="12">
        <v>108</v>
      </c>
      <c r="E3777" s="12">
        <v>0</v>
      </c>
      <c r="F3777" s="12">
        <v>88</v>
      </c>
      <c r="G3777" s="12">
        <v>14000</v>
      </c>
      <c r="H3777" s="12">
        <v>3049135</v>
      </c>
      <c r="I3777" s="12" t="s">
        <v>17886</v>
      </c>
      <c r="J3777" s="12" t="s">
        <v>216</v>
      </c>
      <c r="K3777" s="12" t="s">
        <v>6186</v>
      </c>
      <c r="L3777" s="12" t="s">
        <v>17887</v>
      </c>
      <c r="M3777" s="12" t="s">
        <v>17888</v>
      </c>
      <c r="N3777" s="12">
        <v>50197</v>
      </c>
      <c r="O3777" s="12">
        <v>14574</v>
      </c>
      <c r="P3777" s="12">
        <v>2</v>
      </c>
      <c r="Q3777" s="12" t="s">
        <v>17889</v>
      </c>
      <c r="R3777" s="15" t="s">
        <v>17890</v>
      </c>
      <c r="S3777" s="12">
        <v>265</v>
      </c>
      <c r="T3777" s="12" t="s">
        <v>39</v>
      </c>
      <c r="U3777" s="12" t="s">
        <v>180</v>
      </c>
      <c r="V3777" s="12" t="s">
        <v>586</v>
      </c>
      <c r="W3777" s="12">
        <v>5000000</v>
      </c>
      <c r="X3777" s="12">
        <v>1994</v>
      </c>
      <c r="Y3777" s="12">
        <v>433</v>
      </c>
      <c r="Z3777" s="12">
        <v>7.4</v>
      </c>
      <c r="AA3777" s="12">
        <v>2.35</v>
      </c>
      <c r="AB3777" s="12">
        <v>0</v>
      </c>
      <c r="AC3777" s="12"/>
      <c r="AD3777" s="12" t="str">
        <f>IFERROR(__xludf.DUMMYFUNCTION("""COMPUTED_VALUE"""),"Carmen Maura")</f>
        <v>Carmen Maura</v>
      </c>
      <c r="AE3777" s="12"/>
    </row>
    <row r="3778" customHeight="1" spans="1:31">
      <c r="A3778" s="11" t="s">
        <v>30</v>
      </c>
      <c r="B3778" s="11" t="s">
        <v>13778</v>
      </c>
      <c r="C3778" s="11">
        <v>12</v>
      </c>
      <c r="D3778" s="11">
        <v>121</v>
      </c>
      <c r="E3778" s="11">
        <v>35</v>
      </c>
      <c r="F3778" s="11">
        <v>473</v>
      </c>
      <c r="G3778" s="11">
        <v>4000</v>
      </c>
      <c r="H3778" s="11">
        <v>4700361</v>
      </c>
      <c r="I3778" s="11" t="s">
        <v>3410</v>
      </c>
      <c r="J3778" s="11" t="s">
        <v>1434</v>
      </c>
      <c r="K3778" s="11" t="s">
        <v>17891</v>
      </c>
      <c r="L3778" s="11" t="s">
        <v>17892</v>
      </c>
      <c r="M3778" s="11" t="s">
        <v>17893</v>
      </c>
      <c r="N3778" s="11">
        <v>2047</v>
      </c>
      <c r="O3778" s="11">
        <v>6617</v>
      </c>
      <c r="P3778" s="11">
        <v>0</v>
      </c>
      <c r="Q3778" s="11" t="s">
        <v>17894</v>
      </c>
      <c r="R3778" s="14" t="s">
        <v>17895</v>
      </c>
      <c r="S3778" s="11">
        <v>29</v>
      </c>
      <c r="T3778" s="11" t="s">
        <v>39</v>
      </c>
      <c r="U3778" s="11" t="s">
        <v>40</v>
      </c>
      <c r="V3778" s="11" t="s">
        <v>41</v>
      </c>
      <c r="W3778" s="11">
        <v>5000000</v>
      </c>
      <c r="X3778" s="11">
        <v>2015</v>
      </c>
      <c r="Y3778" s="11">
        <v>849</v>
      </c>
      <c r="Z3778" s="11">
        <v>4.6</v>
      </c>
      <c r="AA3778" s="11">
        <v>2.35</v>
      </c>
      <c r="AB3778" s="11">
        <v>0</v>
      </c>
      <c r="AC3778" s="11"/>
      <c r="AD3778" s="11" t="str">
        <f>IFERROR(__xludf.DUMMYFUNCTION("""COMPUTED_VALUE"""),"Antonio de la Torre")</f>
        <v>Antonio de la Torre</v>
      </c>
      <c r="AE3778" s="11"/>
    </row>
    <row r="3779" customHeight="1" spans="1:31">
      <c r="A3779" s="12" t="s">
        <v>30</v>
      </c>
      <c r="B3779" s="12" t="s">
        <v>17896</v>
      </c>
      <c r="C3779" s="12">
        <v>155</v>
      </c>
      <c r="D3779" s="12">
        <v>97</v>
      </c>
      <c r="E3779" s="12">
        <v>7</v>
      </c>
      <c r="F3779" s="12">
        <v>939</v>
      </c>
      <c r="G3779" s="12">
        <v>8000</v>
      </c>
      <c r="H3779" s="12">
        <v>2711210</v>
      </c>
      <c r="I3779" s="12" t="s">
        <v>2528</v>
      </c>
      <c r="J3779" s="12" t="s">
        <v>1249</v>
      </c>
      <c r="K3779" s="12" t="s">
        <v>16307</v>
      </c>
      <c r="L3779" s="12" t="s">
        <v>1147</v>
      </c>
      <c r="M3779" s="12" t="s">
        <v>17897</v>
      </c>
      <c r="N3779" s="12">
        <v>40305</v>
      </c>
      <c r="O3779" s="12">
        <v>10517</v>
      </c>
      <c r="P3779" s="12">
        <v>1</v>
      </c>
      <c r="Q3779" s="12" t="s">
        <v>17898</v>
      </c>
      <c r="R3779" s="15" t="s">
        <v>17899</v>
      </c>
      <c r="S3779" s="12">
        <v>86</v>
      </c>
      <c r="T3779" s="12" t="s">
        <v>39</v>
      </c>
      <c r="U3779" s="12" t="s">
        <v>40</v>
      </c>
      <c r="V3779" s="12" t="s">
        <v>586</v>
      </c>
      <c r="W3779" s="12">
        <v>5000000</v>
      </c>
      <c r="X3779" s="12">
        <v>2010</v>
      </c>
      <c r="Y3779" s="12">
        <v>981</v>
      </c>
      <c r="Z3779" s="12">
        <v>6.4</v>
      </c>
      <c r="AA3779" s="12">
        <v>2.35</v>
      </c>
      <c r="AB3779" s="12">
        <v>0</v>
      </c>
      <c r="AC3779" s="12"/>
      <c r="AD3779" s="12" t="str">
        <f>IFERROR(__xludf.DUMMYFUNCTION("""COMPUTED_VALUE"""),"John Vernon")</f>
        <v>John Vernon</v>
      </c>
      <c r="AE3779" s="12"/>
    </row>
    <row r="3780" customHeight="1" spans="1:31">
      <c r="A3780" s="11" t="s">
        <v>30</v>
      </c>
      <c r="B3780" s="11" t="s">
        <v>6574</v>
      </c>
      <c r="C3780" s="11">
        <v>81</v>
      </c>
      <c r="D3780" s="11">
        <v>116</v>
      </c>
      <c r="E3780" s="11">
        <v>52</v>
      </c>
      <c r="F3780" s="11">
        <v>102</v>
      </c>
      <c r="G3780" s="11">
        <v>624</v>
      </c>
      <c r="H3780" s="11">
        <v>1980338</v>
      </c>
      <c r="I3780" s="11" t="s">
        <v>17900</v>
      </c>
      <c r="J3780" s="11" t="s">
        <v>2210</v>
      </c>
      <c r="K3780" s="11" t="s">
        <v>9259</v>
      </c>
      <c r="L3780" s="11" t="s">
        <v>13530</v>
      </c>
      <c r="M3780" s="11" t="s">
        <v>17901</v>
      </c>
      <c r="N3780" s="11">
        <v>12366</v>
      </c>
      <c r="O3780" s="11">
        <v>1209</v>
      </c>
      <c r="P3780" s="11">
        <v>2</v>
      </c>
      <c r="Q3780" s="11" t="s">
        <v>17902</v>
      </c>
      <c r="R3780" s="14" t="s">
        <v>17903</v>
      </c>
      <c r="S3780" s="11">
        <v>151</v>
      </c>
      <c r="T3780" s="11" t="s">
        <v>39</v>
      </c>
      <c r="U3780" s="11" t="s">
        <v>40</v>
      </c>
      <c r="V3780" s="11" t="s">
        <v>586</v>
      </c>
      <c r="W3780" s="11">
        <v>5000000</v>
      </c>
      <c r="X3780" s="11">
        <v>1998</v>
      </c>
      <c r="Y3780" s="11">
        <v>385</v>
      </c>
      <c r="Z3780" s="11">
        <v>7</v>
      </c>
      <c r="AA3780" s="11">
        <v>1.85</v>
      </c>
      <c r="AB3780" s="11">
        <v>507</v>
      </c>
      <c r="AC3780" s="11"/>
      <c r="AD3780" s="11" t="str">
        <f>IFERROR(__xludf.DUMMYFUNCTION("""COMPUTED_VALUE"""),"Don Francks")</f>
        <v>Don Francks</v>
      </c>
      <c r="AE3780" s="11"/>
    </row>
    <row r="3781" customHeight="1" spans="1:31">
      <c r="A3781" s="12" t="s">
        <v>30</v>
      </c>
      <c r="B3781" s="12" t="s">
        <v>13182</v>
      </c>
      <c r="C3781" s="12">
        <v>204</v>
      </c>
      <c r="D3781" s="12">
        <v>94</v>
      </c>
      <c r="E3781" s="12">
        <v>122</v>
      </c>
      <c r="F3781" s="12">
        <v>360</v>
      </c>
      <c r="G3781" s="12">
        <v>23000</v>
      </c>
      <c r="H3781" s="12">
        <v>1082044</v>
      </c>
      <c r="I3781" s="12" t="s">
        <v>4075</v>
      </c>
      <c r="J3781" s="12" t="s">
        <v>62</v>
      </c>
      <c r="K3781" s="12" t="s">
        <v>2620</v>
      </c>
      <c r="L3781" s="12" t="s">
        <v>1503</v>
      </c>
      <c r="M3781" s="12" t="s">
        <v>17904</v>
      </c>
      <c r="N3781" s="12">
        <v>281649</v>
      </c>
      <c r="O3781" s="12">
        <v>24994</v>
      </c>
      <c r="P3781" s="12">
        <v>0</v>
      </c>
      <c r="Q3781" s="12" t="s">
        <v>17905</v>
      </c>
      <c r="R3781" s="15" t="s">
        <v>17906</v>
      </c>
      <c r="S3781" s="12">
        <v>458</v>
      </c>
      <c r="T3781" s="12" t="s">
        <v>39</v>
      </c>
      <c r="U3781" s="12" t="s">
        <v>3572</v>
      </c>
      <c r="V3781" s="12" t="s">
        <v>586</v>
      </c>
      <c r="W3781" s="12">
        <v>5000000</v>
      </c>
      <c r="X3781" s="12">
        <v>2004</v>
      </c>
      <c r="Y3781" s="12">
        <v>1000</v>
      </c>
      <c r="Z3781" s="12">
        <v>7.7</v>
      </c>
      <c r="AA3781" s="12">
        <v>2.35</v>
      </c>
      <c r="AB3781" s="12">
        <v>21000</v>
      </c>
      <c r="AC3781" s="12"/>
      <c r="AD3781" s="12" t="str">
        <f>IFERROR(__xludf.DUMMYFUNCTION("""COMPUTED_VALUE"""),"Jizelle Jade")</f>
        <v>Jizelle Jade</v>
      </c>
      <c r="AE3781" s="12"/>
    </row>
    <row r="3782" customHeight="1" spans="1:31">
      <c r="A3782" s="11" t="s">
        <v>30</v>
      </c>
      <c r="B3782" s="11" t="s">
        <v>13941</v>
      </c>
      <c r="C3782" s="11">
        <v>19</v>
      </c>
      <c r="D3782" s="11">
        <v>103</v>
      </c>
      <c r="E3782" s="11">
        <v>261</v>
      </c>
      <c r="F3782" s="11">
        <v>145</v>
      </c>
      <c r="G3782" s="11">
        <v>722</v>
      </c>
      <c r="H3782" s="11">
        <v>1100000</v>
      </c>
      <c r="I3782" s="11" t="s">
        <v>1936</v>
      </c>
      <c r="J3782" s="11" t="s">
        <v>9485</v>
      </c>
      <c r="K3782" s="11" t="s">
        <v>13511</v>
      </c>
      <c r="L3782" s="11" t="s">
        <v>7050</v>
      </c>
      <c r="M3782" s="11" t="s">
        <v>17907</v>
      </c>
      <c r="N3782" s="11">
        <v>3665</v>
      </c>
      <c r="O3782" s="11">
        <v>1201</v>
      </c>
      <c r="P3782" s="11">
        <v>0</v>
      </c>
      <c r="Q3782" s="11" t="s">
        <v>17908</v>
      </c>
      <c r="R3782" s="14" t="s">
        <v>17909</v>
      </c>
      <c r="S3782" s="11">
        <v>39</v>
      </c>
      <c r="T3782" s="11" t="s">
        <v>39</v>
      </c>
      <c r="U3782" s="11" t="s">
        <v>40</v>
      </c>
      <c r="V3782" s="11" t="s">
        <v>586</v>
      </c>
      <c r="W3782" s="11">
        <v>5000000</v>
      </c>
      <c r="X3782" s="11">
        <v>1992</v>
      </c>
      <c r="Y3782" s="11">
        <v>280</v>
      </c>
      <c r="Z3782" s="11">
        <v>6.8</v>
      </c>
      <c r="AA3782" s="11">
        <v>1.85</v>
      </c>
      <c r="AB3782" s="11">
        <v>247</v>
      </c>
      <c r="AC3782" s="11"/>
      <c r="AD3782" s="11" t="str">
        <f>IFERROR(__xludf.DUMMYFUNCTION("""COMPUTED_VALUE"""),"Michaela McManus")</f>
        <v>Michaela McManus</v>
      </c>
      <c r="AE3782" s="11"/>
    </row>
    <row r="3783" customHeight="1" spans="1:31">
      <c r="A3783" s="12" t="s">
        <v>30</v>
      </c>
      <c r="B3783" s="12" t="s">
        <v>17910</v>
      </c>
      <c r="C3783" s="12">
        <v>163</v>
      </c>
      <c r="D3783" s="12">
        <v>112</v>
      </c>
      <c r="E3783" s="12">
        <v>52</v>
      </c>
      <c r="F3783" s="12">
        <v>688</v>
      </c>
      <c r="G3783" s="12">
        <v>10000</v>
      </c>
      <c r="H3783" s="12">
        <v>2445646</v>
      </c>
      <c r="I3783" s="12" t="s">
        <v>17911</v>
      </c>
      <c r="J3783" s="12" t="s">
        <v>888</v>
      </c>
      <c r="K3783" s="12" t="s">
        <v>3113</v>
      </c>
      <c r="L3783" s="12" t="s">
        <v>15274</v>
      </c>
      <c r="M3783" s="12" t="s">
        <v>17912</v>
      </c>
      <c r="N3783" s="12">
        <v>32382</v>
      </c>
      <c r="O3783" s="12">
        <v>12897</v>
      </c>
      <c r="P3783" s="12">
        <v>1</v>
      </c>
      <c r="Q3783" s="12" t="s">
        <v>17913</v>
      </c>
      <c r="R3783" s="15" t="s">
        <v>17914</v>
      </c>
      <c r="S3783" s="12">
        <v>99</v>
      </c>
      <c r="T3783" s="12" t="s">
        <v>39</v>
      </c>
      <c r="U3783" s="12" t="s">
        <v>40</v>
      </c>
      <c r="V3783" s="12" t="s">
        <v>586</v>
      </c>
      <c r="W3783" s="12">
        <v>5000000</v>
      </c>
      <c r="X3783" s="12">
        <v>2014</v>
      </c>
      <c r="Y3783" s="12">
        <v>963</v>
      </c>
      <c r="Z3783" s="12">
        <v>7</v>
      </c>
      <c r="AA3783" s="12">
        <v>2.35</v>
      </c>
      <c r="AB3783" s="12">
        <v>13000</v>
      </c>
      <c r="AC3783" s="12"/>
      <c r="AD3783" s="12" t="str">
        <f>IFERROR(__xludf.DUMMYFUNCTION("""COMPUTED_VALUE"""),"Luisa D'Oliveira")</f>
        <v>Luisa D'Oliveira</v>
      </c>
      <c r="AE3783" s="12"/>
    </row>
    <row r="3784" customHeight="1" spans="1:31">
      <c r="A3784" s="11" t="s">
        <v>30</v>
      </c>
      <c r="B3784" s="11" t="s">
        <v>17163</v>
      </c>
      <c r="C3784" s="11">
        <v>248</v>
      </c>
      <c r="D3784" s="11">
        <v>91</v>
      </c>
      <c r="E3784" s="11">
        <v>263</v>
      </c>
      <c r="F3784" s="11">
        <v>192</v>
      </c>
      <c r="G3784" s="11">
        <v>967</v>
      </c>
      <c r="H3784" s="11">
        <v>2221809</v>
      </c>
      <c r="I3784" s="11" t="s">
        <v>3410</v>
      </c>
      <c r="J3784" s="11" t="s">
        <v>4196</v>
      </c>
      <c r="K3784" s="11" t="s">
        <v>5247</v>
      </c>
      <c r="L3784" s="11" t="s">
        <v>14264</v>
      </c>
      <c r="M3784" s="11" t="s">
        <v>17915</v>
      </c>
      <c r="N3784" s="11">
        <v>40618</v>
      </c>
      <c r="O3784" s="11">
        <v>1582</v>
      </c>
      <c r="P3784" s="11">
        <v>0</v>
      </c>
      <c r="Q3784" s="11" t="s">
        <v>17916</v>
      </c>
      <c r="R3784" s="14" t="s">
        <v>17917</v>
      </c>
      <c r="S3784" s="11">
        <v>144</v>
      </c>
      <c r="T3784" s="11" t="s">
        <v>39</v>
      </c>
      <c r="U3784" s="11" t="s">
        <v>40</v>
      </c>
      <c r="V3784" s="11" t="s">
        <v>41</v>
      </c>
      <c r="W3784" s="11">
        <v>5000000</v>
      </c>
      <c r="X3784" s="11">
        <v>2010</v>
      </c>
      <c r="Y3784" s="11">
        <v>289</v>
      </c>
      <c r="Z3784" s="11">
        <v>7</v>
      </c>
      <c r="AA3784" s="11">
        <v>1.85</v>
      </c>
      <c r="AB3784" s="11">
        <v>0</v>
      </c>
      <c r="AC3784" s="11"/>
      <c r="AD3784" s="11" t="str">
        <f>IFERROR(__xludf.DUMMYFUNCTION("""COMPUTED_VALUE"""),"Bárbara Mori")</f>
        <v>Bárbara Mori</v>
      </c>
      <c r="AE3784" s="11"/>
    </row>
    <row r="3785" customHeight="1" spans="1:31">
      <c r="A3785" s="12" t="s">
        <v>30</v>
      </c>
      <c r="B3785" s="12" t="s">
        <v>17918</v>
      </c>
      <c r="C3785" s="12">
        <v>39</v>
      </c>
      <c r="D3785" s="12">
        <v>98</v>
      </c>
      <c r="E3785" s="12">
        <v>13</v>
      </c>
      <c r="F3785" s="12">
        <v>600</v>
      </c>
      <c r="G3785" s="12">
        <v>3000</v>
      </c>
      <c r="H3785" s="12">
        <v>296665</v>
      </c>
      <c r="I3785" s="12" t="s">
        <v>5685</v>
      </c>
      <c r="J3785" s="12" t="s">
        <v>6537</v>
      </c>
      <c r="K3785" s="12" t="s">
        <v>4342</v>
      </c>
      <c r="L3785" s="12" t="s">
        <v>17919</v>
      </c>
      <c r="M3785" s="12" t="s">
        <v>17920</v>
      </c>
      <c r="N3785" s="12">
        <v>12675</v>
      </c>
      <c r="O3785" s="12">
        <v>5185</v>
      </c>
      <c r="P3785" s="12">
        <v>1</v>
      </c>
      <c r="Q3785" s="12" t="s">
        <v>17921</v>
      </c>
      <c r="R3785" s="15" t="s">
        <v>17922</v>
      </c>
      <c r="S3785" s="12">
        <v>158</v>
      </c>
      <c r="T3785" s="12" t="s">
        <v>39</v>
      </c>
      <c r="U3785" s="12" t="s">
        <v>40</v>
      </c>
      <c r="V3785" s="12" t="s">
        <v>586</v>
      </c>
      <c r="W3785" s="12">
        <v>5000000</v>
      </c>
      <c r="X3785" s="12">
        <v>2003</v>
      </c>
      <c r="Y3785" s="12">
        <v>971</v>
      </c>
      <c r="Z3785" s="12">
        <v>6.3</v>
      </c>
      <c r="AA3785" s="12">
        <v>1.85</v>
      </c>
      <c r="AB3785" s="12">
        <v>0</v>
      </c>
      <c r="AC3785" s="12"/>
      <c r="AD3785" s="12" t="str">
        <f>IFERROR(__xludf.DUMMYFUNCTION("""COMPUTED_VALUE"""),"Steven Michael Quezada")</f>
        <v>Steven Michael Quezada</v>
      </c>
      <c r="AE3785" s="12"/>
    </row>
    <row r="3786" customHeight="1" spans="1:31">
      <c r="A3786" s="11" t="s">
        <v>30</v>
      </c>
      <c r="B3786" s="11" t="s">
        <v>17923</v>
      </c>
      <c r="C3786" s="11">
        <v>322</v>
      </c>
      <c r="D3786" s="11">
        <v>95</v>
      </c>
      <c r="E3786" s="11">
        <v>57</v>
      </c>
      <c r="F3786" s="11">
        <v>233</v>
      </c>
      <c r="G3786" s="11">
        <v>727</v>
      </c>
      <c r="H3786" s="11">
        <v>3219029</v>
      </c>
      <c r="I3786" s="11" t="s">
        <v>17924</v>
      </c>
      <c r="J3786" s="11" t="s">
        <v>4990</v>
      </c>
      <c r="K3786" s="11" t="s">
        <v>11480</v>
      </c>
      <c r="L3786" s="11" t="s">
        <v>11150</v>
      </c>
      <c r="M3786" s="11" t="s">
        <v>17925</v>
      </c>
      <c r="N3786" s="11">
        <v>28845</v>
      </c>
      <c r="O3786" s="11">
        <v>1836</v>
      </c>
      <c r="P3786" s="11">
        <v>0</v>
      </c>
      <c r="Q3786" s="11" t="s">
        <v>17926</v>
      </c>
      <c r="R3786" s="14" t="s">
        <v>17927</v>
      </c>
      <c r="S3786" s="11">
        <v>125</v>
      </c>
      <c r="T3786" s="11" t="s">
        <v>39</v>
      </c>
      <c r="U3786" s="11" t="s">
        <v>40</v>
      </c>
      <c r="V3786" s="11" t="s">
        <v>586</v>
      </c>
      <c r="W3786" s="11">
        <v>5000000</v>
      </c>
      <c r="X3786" s="11">
        <v>2015</v>
      </c>
      <c r="Y3786" s="11">
        <v>442</v>
      </c>
      <c r="Z3786" s="11">
        <v>7.1</v>
      </c>
      <c r="AA3786" s="11">
        <v>2.35</v>
      </c>
      <c r="AB3786" s="11">
        <v>10000</v>
      </c>
      <c r="AC3786" s="11"/>
      <c r="AD3786" s="11" t="str">
        <f>IFERROR(__xludf.DUMMYFUNCTION("""COMPUTED_VALUE"""),"Luke Ford")</f>
        <v>Luke Ford</v>
      </c>
      <c r="AE3786" s="11"/>
    </row>
    <row r="3787" customHeight="1" spans="1:31">
      <c r="A3787" s="12" t="s">
        <v>30</v>
      </c>
      <c r="B3787" s="12" t="s">
        <v>17928</v>
      </c>
      <c r="C3787" s="12">
        <v>50</v>
      </c>
      <c r="D3787" s="12">
        <v>88</v>
      </c>
      <c r="E3787" s="12">
        <v>0</v>
      </c>
      <c r="F3787" s="12">
        <v>276</v>
      </c>
      <c r="G3787" s="12">
        <v>740</v>
      </c>
      <c r="H3787" s="16"/>
      <c r="I3787" s="12" t="s">
        <v>1415</v>
      </c>
      <c r="J3787" s="12" t="s">
        <v>1979</v>
      </c>
      <c r="K3787" s="12" t="s">
        <v>17929</v>
      </c>
      <c r="L3787" s="12" t="s">
        <v>17930</v>
      </c>
      <c r="M3787" s="12" t="s">
        <v>17931</v>
      </c>
      <c r="N3787" s="12">
        <v>5494</v>
      </c>
      <c r="O3787" s="12">
        <v>1665</v>
      </c>
      <c r="P3787" s="12">
        <v>0</v>
      </c>
      <c r="Q3787" s="12" t="s">
        <v>17932</v>
      </c>
      <c r="R3787" s="15" t="s">
        <v>17933</v>
      </c>
      <c r="S3787" s="12">
        <v>56</v>
      </c>
      <c r="T3787" s="12" t="s">
        <v>39</v>
      </c>
      <c r="U3787" s="12" t="s">
        <v>40</v>
      </c>
      <c r="V3787" s="12" t="s">
        <v>586</v>
      </c>
      <c r="W3787" s="12">
        <v>5000000</v>
      </c>
      <c r="X3787" s="12">
        <v>2006</v>
      </c>
      <c r="Y3787" s="12">
        <v>625</v>
      </c>
      <c r="Z3787" s="12">
        <v>5.6</v>
      </c>
      <c r="AA3787" s="12">
        <v>2.35</v>
      </c>
      <c r="AB3787" s="12">
        <v>255</v>
      </c>
      <c r="AC3787" s="12"/>
      <c r="AD3787" s="12" t="str">
        <f>IFERROR(__xludf.DUMMYFUNCTION("""COMPUTED_VALUE"""),"Katrina Kaif")</f>
        <v>Katrina Kaif</v>
      </c>
      <c r="AE3787" s="12"/>
    </row>
    <row r="3788" customHeight="1" spans="1:31">
      <c r="A3788" s="11" t="s">
        <v>30</v>
      </c>
      <c r="B3788" s="11" t="s">
        <v>17934</v>
      </c>
      <c r="C3788" s="11">
        <v>12</v>
      </c>
      <c r="D3788" s="11">
        <v>99</v>
      </c>
      <c r="E3788" s="11">
        <v>0</v>
      </c>
      <c r="F3788" s="11">
        <v>361</v>
      </c>
      <c r="G3788" s="11">
        <v>578</v>
      </c>
      <c r="H3788" s="11">
        <v>830210</v>
      </c>
      <c r="I3788" s="11" t="s">
        <v>5568</v>
      </c>
      <c r="J3788" s="11" t="s">
        <v>6413</v>
      </c>
      <c r="K3788" s="11" t="s">
        <v>13733</v>
      </c>
      <c r="L3788" s="11" t="s">
        <v>17935</v>
      </c>
      <c r="M3788" s="11" t="s">
        <v>17936</v>
      </c>
      <c r="N3788" s="11">
        <v>1900</v>
      </c>
      <c r="O3788" s="11">
        <v>3382</v>
      </c>
      <c r="P3788" s="11">
        <v>0</v>
      </c>
      <c r="Q3788" s="11" t="s">
        <v>17937</v>
      </c>
      <c r="R3788" s="14" t="s">
        <v>17938</v>
      </c>
      <c r="S3788" s="11">
        <v>56</v>
      </c>
      <c r="T3788" s="11" t="s">
        <v>39</v>
      </c>
      <c r="U3788" s="11" t="s">
        <v>40</v>
      </c>
      <c r="V3788" s="11" t="s">
        <v>41</v>
      </c>
      <c r="W3788" s="11">
        <v>5000000</v>
      </c>
      <c r="X3788" s="11">
        <v>2014</v>
      </c>
      <c r="Y3788" s="11">
        <v>435</v>
      </c>
      <c r="Z3788" s="11">
        <v>4.4</v>
      </c>
      <c r="AA3788" s="13"/>
      <c r="AB3788" s="11">
        <v>0</v>
      </c>
      <c r="AC3788" s="11"/>
      <c r="AD3788" s="11" t="str">
        <f>IFERROR(__xludf.DUMMYFUNCTION("""COMPUTED_VALUE"""),"Vic Waghorn")</f>
        <v>Vic Waghorn</v>
      </c>
      <c r="AE3788" s="11"/>
    </row>
    <row r="3789" customHeight="1" spans="1:31">
      <c r="A3789" s="12" t="s">
        <v>30</v>
      </c>
      <c r="B3789" s="12" t="s">
        <v>5383</v>
      </c>
      <c r="C3789" s="12">
        <v>83</v>
      </c>
      <c r="D3789" s="12">
        <v>91</v>
      </c>
      <c r="E3789" s="12">
        <v>0</v>
      </c>
      <c r="F3789" s="12">
        <v>65</v>
      </c>
      <c r="G3789" s="12">
        <v>387</v>
      </c>
      <c r="H3789" s="12">
        <v>1040879</v>
      </c>
      <c r="I3789" s="12" t="s">
        <v>9194</v>
      </c>
      <c r="J3789" s="12" t="s">
        <v>5478</v>
      </c>
      <c r="K3789" s="12" t="s">
        <v>17939</v>
      </c>
      <c r="L3789" s="12" t="s">
        <v>17940</v>
      </c>
      <c r="M3789" s="12" t="s">
        <v>17941</v>
      </c>
      <c r="N3789" s="12">
        <v>54478</v>
      </c>
      <c r="O3789" s="12">
        <v>648</v>
      </c>
      <c r="P3789" s="12">
        <v>0</v>
      </c>
      <c r="Q3789" s="12" t="s">
        <v>17942</v>
      </c>
      <c r="R3789" s="15" t="s">
        <v>17943</v>
      </c>
      <c r="S3789" s="12">
        <v>184</v>
      </c>
      <c r="T3789" s="12" t="s">
        <v>39</v>
      </c>
      <c r="U3789" s="12" t="s">
        <v>40</v>
      </c>
      <c r="V3789" s="12" t="s">
        <v>586</v>
      </c>
      <c r="W3789" s="12">
        <v>7000000</v>
      </c>
      <c r="X3789" s="12">
        <v>1996</v>
      </c>
      <c r="Y3789" s="12">
        <v>96</v>
      </c>
      <c r="Z3789" s="12">
        <v>7.1</v>
      </c>
      <c r="AA3789" s="12">
        <v>1.85</v>
      </c>
      <c r="AB3789" s="12">
        <v>0</v>
      </c>
      <c r="AC3789" s="12"/>
      <c r="AD3789" s="12" t="str">
        <f>IFERROR(__xludf.DUMMYFUNCTION("""COMPUTED_VALUE"""),"Bolaji Badejo")</f>
        <v>Bolaji Badejo</v>
      </c>
      <c r="AE3789" s="12"/>
    </row>
    <row r="3790" customHeight="1" spans="1:31">
      <c r="A3790" s="11" t="s">
        <v>30</v>
      </c>
      <c r="B3790" s="11" t="s">
        <v>120</v>
      </c>
      <c r="C3790" s="11">
        <v>37</v>
      </c>
      <c r="D3790" s="11">
        <v>97</v>
      </c>
      <c r="E3790" s="11">
        <v>18000</v>
      </c>
      <c r="F3790" s="11">
        <v>977</v>
      </c>
      <c r="G3790" s="11">
        <v>10000</v>
      </c>
      <c r="H3790" s="11">
        <v>326308</v>
      </c>
      <c r="I3790" s="11" t="s">
        <v>2126</v>
      </c>
      <c r="J3790" s="11" t="s">
        <v>2825</v>
      </c>
      <c r="K3790" s="11" t="s">
        <v>309</v>
      </c>
      <c r="L3790" s="11" t="s">
        <v>5621</v>
      </c>
      <c r="M3790" s="11" t="s">
        <v>17944</v>
      </c>
      <c r="N3790" s="11">
        <v>6632</v>
      </c>
      <c r="O3790" s="11">
        <v>13718</v>
      </c>
      <c r="P3790" s="11">
        <v>3</v>
      </c>
      <c r="Q3790" s="11" t="s">
        <v>17945</v>
      </c>
      <c r="R3790" s="14" t="s">
        <v>17946</v>
      </c>
      <c r="S3790" s="11">
        <v>69</v>
      </c>
      <c r="T3790" s="11" t="s">
        <v>39</v>
      </c>
      <c r="U3790" s="11" t="s">
        <v>40</v>
      </c>
      <c r="V3790" s="11" t="s">
        <v>586</v>
      </c>
      <c r="W3790" s="11">
        <v>5000000</v>
      </c>
      <c r="X3790" s="11">
        <v>1996</v>
      </c>
      <c r="Y3790" s="11">
        <v>1000</v>
      </c>
      <c r="Z3790" s="11">
        <v>6.1</v>
      </c>
      <c r="AA3790" s="11">
        <v>2.35</v>
      </c>
      <c r="AB3790" s="11">
        <v>225</v>
      </c>
      <c r="AC3790" s="11"/>
      <c r="AD3790" s="11" t="str">
        <f>IFERROR(__xludf.DUMMYFUNCTION("""COMPUTED_VALUE"""),"Edwin Neal")</f>
        <v>Edwin Neal</v>
      </c>
      <c r="AE3790" s="11"/>
    </row>
    <row r="3791" customHeight="1" spans="1:31">
      <c r="A3791" s="12" t="s">
        <v>30</v>
      </c>
      <c r="B3791" s="12" t="s">
        <v>17947</v>
      </c>
      <c r="C3791" s="12">
        <v>16</v>
      </c>
      <c r="D3791" s="12">
        <v>136</v>
      </c>
      <c r="E3791" s="12">
        <v>0</v>
      </c>
      <c r="F3791" s="12">
        <v>14</v>
      </c>
      <c r="G3791" s="12">
        <v>75</v>
      </c>
      <c r="H3791" s="12">
        <v>240425</v>
      </c>
      <c r="I3791" s="12" t="s">
        <v>5941</v>
      </c>
      <c r="J3791" s="12" t="s">
        <v>17948</v>
      </c>
      <c r="K3791" s="12" t="s">
        <v>17949</v>
      </c>
      <c r="L3791" s="12" t="s">
        <v>17950</v>
      </c>
      <c r="M3791" s="12" t="s">
        <v>17951</v>
      </c>
      <c r="N3791" s="12">
        <v>1311</v>
      </c>
      <c r="O3791" s="12">
        <v>172</v>
      </c>
      <c r="P3791" s="12">
        <v>0</v>
      </c>
      <c r="Q3791" s="12" t="s">
        <v>17952</v>
      </c>
      <c r="R3791" s="15" t="s">
        <v>17953</v>
      </c>
      <c r="S3791" s="12">
        <v>25</v>
      </c>
      <c r="T3791" s="12" t="s">
        <v>5612</v>
      </c>
      <c r="U3791" s="12" t="s">
        <v>5613</v>
      </c>
      <c r="V3791" s="16"/>
      <c r="W3791" s="16"/>
      <c r="X3791" s="12">
        <v>2007</v>
      </c>
      <c r="Y3791" s="12">
        <v>45</v>
      </c>
      <c r="Z3791" s="12">
        <v>7.4</v>
      </c>
      <c r="AA3791" s="12">
        <v>2.35</v>
      </c>
      <c r="AB3791" s="12">
        <v>133</v>
      </c>
      <c r="AC3791" s="12"/>
      <c r="AD3791" s="12" t="str">
        <f>IFERROR(__xludf.DUMMYFUNCTION("""COMPUTED_VALUE"""),"Marilyn Burns")</f>
        <v>Marilyn Burns</v>
      </c>
      <c r="AE3791" s="12"/>
    </row>
    <row r="3792" customHeight="1" spans="1:31">
      <c r="A3792" s="11" t="s">
        <v>30</v>
      </c>
      <c r="B3792" s="11" t="s">
        <v>17954</v>
      </c>
      <c r="C3792" s="11">
        <v>121</v>
      </c>
      <c r="D3792" s="11">
        <v>118</v>
      </c>
      <c r="E3792" s="11">
        <v>239</v>
      </c>
      <c r="F3792" s="11">
        <v>0</v>
      </c>
      <c r="G3792" s="11">
        <v>6</v>
      </c>
      <c r="H3792" s="11">
        <v>228830</v>
      </c>
      <c r="I3792" s="11" t="s">
        <v>17955</v>
      </c>
      <c r="J3792" s="11" t="s">
        <v>17956</v>
      </c>
      <c r="K3792" s="11" t="s">
        <v>17957</v>
      </c>
      <c r="L3792" s="11" t="s">
        <v>17958</v>
      </c>
      <c r="M3792" s="11" t="s">
        <v>17959</v>
      </c>
      <c r="N3792" s="11">
        <v>3329</v>
      </c>
      <c r="O3792" s="11">
        <v>6</v>
      </c>
      <c r="P3792" s="11">
        <v>0</v>
      </c>
      <c r="Q3792" s="11" t="s">
        <v>17960</v>
      </c>
      <c r="R3792" s="14" t="s">
        <v>17961</v>
      </c>
      <c r="S3792" s="11">
        <v>22</v>
      </c>
      <c r="T3792" s="11" t="s">
        <v>39</v>
      </c>
      <c r="U3792" s="11" t="s">
        <v>40</v>
      </c>
      <c r="V3792" s="11" t="s">
        <v>586</v>
      </c>
      <c r="W3792" s="13"/>
      <c r="X3792" s="11">
        <v>2008</v>
      </c>
      <c r="Y3792" s="11">
        <v>0</v>
      </c>
      <c r="Z3792" s="11">
        <v>7.5</v>
      </c>
      <c r="AA3792" s="11">
        <v>2.35</v>
      </c>
      <c r="AB3792" s="11">
        <v>489</v>
      </c>
      <c r="AC3792" s="11"/>
      <c r="AD3792" s="11" t="str">
        <f>IFERROR(__xludf.DUMMYFUNCTION("""COMPUTED_VALUE"""),"Rosalind Harris")</f>
        <v>Rosalind Harris</v>
      </c>
      <c r="AE3792" s="11"/>
    </row>
    <row r="3793" customHeight="1" spans="1:31">
      <c r="A3793" s="12" t="s">
        <v>30</v>
      </c>
      <c r="B3793" s="12" t="s">
        <v>17962</v>
      </c>
      <c r="C3793" s="12">
        <v>24</v>
      </c>
      <c r="D3793" s="12">
        <v>94</v>
      </c>
      <c r="E3793" s="12">
        <v>0</v>
      </c>
      <c r="F3793" s="12">
        <v>51</v>
      </c>
      <c r="G3793" s="12">
        <v>311</v>
      </c>
      <c r="H3793" s="16"/>
      <c r="I3793" s="12" t="s">
        <v>3410</v>
      </c>
      <c r="J3793" s="12" t="s">
        <v>17963</v>
      </c>
      <c r="K3793" s="12" t="s">
        <v>17964</v>
      </c>
      <c r="L3793" s="12" t="s">
        <v>17965</v>
      </c>
      <c r="M3793" s="12" t="s">
        <v>17966</v>
      </c>
      <c r="N3793" s="12">
        <v>1599</v>
      </c>
      <c r="O3793" s="12">
        <v>498</v>
      </c>
      <c r="P3793" s="12">
        <v>1</v>
      </c>
      <c r="Q3793" s="12" t="s">
        <v>17967</v>
      </c>
      <c r="R3793" s="15" t="s">
        <v>17968</v>
      </c>
      <c r="S3793" s="12">
        <v>27</v>
      </c>
      <c r="T3793" s="12" t="s">
        <v>39</v>
      </c>
      <c r="U3793" s="12" t="s">
        <v>269</v>
      </c>
      <c r="V3793" s="12" t="s">
        <v>586</v>
      </c>
      <c r="W3793" s="12">
        <v>2200000</v>
      </c>
      <c r="X3793" s="12">
        <v>1980</v>
      </c>
      <c r="Y3793" s="12">
        <v>59</v>
      </c>
      <c r="Z3793" s="12">
        <v>7.2</v>
      </c>
      <c r="AA3793" s="12">
        <v>1.85</v>
      </c>
      <c r="AB3793" s="12">
        <v>274</v>
      </c>
      <c r="AC3793" s="12"/>
      <c r="AD3793" s="12" t="str">
        <f>IFERROR(__xludf.DUMMYFUNCTION("""COMPUTED_VALUE"""),"Earl Cameron")</f>
        <v>Earl Cameron</v>
      </c>
      <c r="AE3793" s="12"/>
    </row>
    <row r="3794" customHeight="1" spans="1:31">
      <c r="A3794" s="11" t="s">
        <v>30</v>
      </c>
      <c r="B3794" s="11" t="s">
        <v>17969</v>
      </c>
      <c r="C3794" s="11">
        <v>324</v>
      </c>
      <c r="D3794" s="11">
        <v>89</v>
      </c>
      <c r="E3794" s="11">
        <v>27</v>
      </c>
      <c r="F3794" s="11">
        <v>440</v>
      </c>
      <c r="G3794" s="11">
        <v>948</v>
      </c>
      <c r="H3794" s="11">
        <v>223615</v>
      </c>
      <c r="I3794" s="11" t="s">
        <v>7579</v>
      </c>
      <c r="J3794" s="11" t="s">
        <v>11650</v>
      </c>
      <c r="K3794" s="11" t="s">
        <v>273</v>
      </c>
      <c r="L3794" s="11" t="s">
        <v>9499</v>
      </c>
      <c r="M3794" s="11" t="s">
        <v>17970</v>
      </c>
      <c r="N3794" s="11">
        <v>127842</v>
      </c>
      <c r="O3794" s="11">
        <v>2958</v>
      </c>
      <c r="P3794" s="11">
        <v>1</v>
      </c>
      <c r="Q3794" s="11" t="s">
        <v>17971</v>
      </c>
      <c r="R3794" s="14" t="s">
        <v>17972</v>
      </c>
      <c r="S3794" s="11">
        <v>200</v>
      </c>
      <c r="T3794" s="11" t="s">
        <v>39</v>
      </c>
      <c r="U3794" s="11" t="s">
        <v>269</v>
      </c>
      <c r="V3794" s="11" t="s">
        <v>586</v>
      </c>
      <c r="W3794" s="13"/>
      <c r="X3794" s="11">
        <v>2010</v>
      </c>
      <c r="Y3794" s="11">
        <v>779</v>
      </c>
      <c r="Z3794" s="11">
        <v>7.6</v>
      </c>
      <c r="AA3794" s="11">
        <v>2.35</v>
      </c>
      <c r="AB3794" s="11">
        <v>49000</v>
      </c>
      <c r="AC3794" s="11"/>
      <c r="AD3794" s="11" t="str">
        <f>IFERROR(__xludf.DUMMYFUNCTION("""COMPUTED_VALUE"""),"Shanley Caswell")</f>
        <v>Shanley Caswell</v>
      </c>
      <c r="AE3794" s="11"/>
    </row>
    <row r="3795" customHeight="1" spans="1:31">
      <c r="A3795" s="12" t="s">
        <v>30</v>
      </c>
      <c r="B3795" s="12" t="s">
        <v>17973</v>
      </c>
      <c r="C3795" s="12">
        <v>27</v>
      </c>
      <c r="D3795" s="12">
        <v>90</v>
      </c>
      <c r="E3795" s="12">
        <v>6</v>
      </c>
      <c r="F3795" s="12">
        <v>940</v>
      </c>
      <c r="G3795" s="12">
        <v>3000</v>
      </c>
      <c r="H3795" s="12">
        <v>124720</v>
      </c>
      <c r="I3795" s="12" t="s">
        <v>214</v>
      </c>
      <c r="J3795" s="12" t="s">
        <v>1545</v>
      </c>
      <c r="K3795" s="12" t="s">
        <v>7764</v>
      </c>
      <c r="L3795" s="12" t="s">
        <v>3261</v>
      </c>
      <c r="M3795" s="12" t="s">
        <v>17974</v>
      </c>
      <c r="N3795" s="12">
        <v>1560</v>
      </c>
      <c r="O3795" s="12">
        <v>4987</v>
      </c>
      <c r="P3795" s="12">
        <v>0</v>
      </c>
      <c r="Q3795" s="12" t="s">
        <v>17975</v>
      </c>
      <c r="R3795" s="15" t="s">
        <v>17976</v>
      </c>
      <c r="S3795" s="12">
        <v>15</v>
      </c>
      <c r="T3795" s="12" t="s">
        <v>39</v>
      </c>
      <c r="U3795" s="12" t="s">
        <v>40</v>
      </c>
      <c r="V3795" s="12" t="s">
        <v>96</v>
      </c>
      <c r="W3795" s="12">
        <v>5000000</v>
      </c>
      <c r="X3795" s="12">
        <v>2008</v>
      </c>
      <c r="Y3795" s="12">
        <v>1000</v>
      </c>
      <c r="Z3795" s="12">
        <v>7.3</v>
      </c>
      <c r="AA3795" s="12">
        <v>1.85</v>
      </c>
      <c r="AB3795" s="12">
        <v>777</v>
      </c>
      <c r="AC3795" s="12"/>
      <c r="AD3795" s="12" t="str">
        <f>IFERROR(__xludf.DUMMYFUNCTION("""COMPUTED_VALUE"""),"Parker Bagley")</f>
        <v>Parker Bagley</v>
      </c>
      <c r="AE3795" s="12"/>
    </row>
    <row r="3796" customHeight="1" spans="1:31">
      <c r="A3796" s="11" t="s">
        <v>30</v>
      </c>
      <c r="B3796" s="11" t="s">
        <v>17977</v>
      </c>
      <c r="C3796" s="11">
        <v>9</v>
      </c>
      <c r="D3796" s="11">
        <v>95</v>
      </c>
      <c r="E3796" s="11">
        <v>5</v>
      </c>
      <c r="F3796" s="11">
        <v>100</v>
      </c>
      <c r="G3796" s="11">
        <v>197</v>
      </c>
      <c r="H3796" s="13"/>
      <c r="I3796" s="11" t="s">
        <v>2308</v>
      </c>
      <c r="J3796" s="11" t="s">
        <v>17978</v>
      </c>
      <c r="K3796" s="11" t="s">
        <v>17979</v>
      </c>
      <c r="L3796" s="11" t="s">
        <v>17980</v>
      </c>
      <c r="M3796" s="11" t="s">
        <v>17981</v>
      </c>
      <c r="N3796" s="11">
        <v>989</v>
      </c>
      <c r="O3796" s="11">
        <v>538</v>
      </c>
      <c r="P3796" s="11">
        <v>1</v>
      </c>
      <c r="Q3796" s="11" t="s">
        <v>17982</v>
      </c>
      <c r="R3796" s="14" t="s">
        <v>17983</v>
      </c>
      <c r="S3796" s="11">
        <v>23</v>
      </c>
      <c r="T3796" s="11" t="s">
        <v>39</v>
      </c>
      <c r="U3796" s="11" t="s">
        <v>40</v>
      </c>
      <c r="V3796" s="11" t="s">
        <v>6037</v>
      </c>
      <c r="W3796" s="11">
        <v>3209000</v>
      </c>
      <c r="X3796" s="11">
        <v>1947</v>
      </c>
      <c r="Y3796" s="11">
        <v>116</v>
      </c>
      <c r="Z3796" s="11">
        <v>6.2</v>
      </c>
      <c r="AA3796" s="11">
        <v>1.37</v>
      </c>
      <c r="AB3796" s="11">
        <v>44</v>
      </c>
      <c r="AC3796" s="11"/>
      <c r="AD3796" s="11" t="str">
        <f>IFERROR(__xludf.DUMMYFUNCTION("""COMPUTED_VALUE"""),"Alessandro Preziosi")</f>
        <v>Alessandro Preziosi</v>
      </c>
      <c r="AE3796" s="11"/>
    </row>
    <row r="3797" customHeight="1" spans="1:31">
      <c r="A3797" s="12" t="s">
        <v>30</v>
      </c>
      <c r="B3797" s="12" t="s">
        <v>17984</v>
      </c>
      <c r="C3797" s="12">
        <v>31</v>
      </c>
      <c r="D3797" s="12">
        <v>90</v>
      </c>
      <c r="E3797" s="12">
        <v>204</v>
      </c>
      <c r="F3797" s="12">
        <v>697</v>
      </c>
      <c r="G3797" s="12">
        <v>1000</v>
      </c>
      <c r="H3797" s="12">
        <v>99147</v>
      </c>
      <c r="I3797" s="12" t="s">
        <v>3410</v>
      </c>
      <c r="J3797" s="12" t="s">
        <v>2084</v>
      </c>
      <c r="K3797" s="12" t="s">
        <v>3198</v>
      </c>
      <c r="L3797" s="12" t="s">
        <v>17985</v>
      </c>
      <c r="M3797" s="12" t="s">
        <v>17986</v>
      </c>
      <c r="N3797" s="12">
        <v>1884</v>
      </c>
      <c r="O3797" s="12">
        <v>3207</v>
      </c>
      <c r="P3797" s="12">
        <v>3</v>
      </c>
      <c r="Q3797" s="12" t="s">
        <v>17987</v>
      </c>
      <c r="R3797" s="15" t="s">
        <v>17988</v>
      </c>
      <c r="S3797" s="12">
        <v>28</v>
      </c>
      <c r="T3797" s="12" t="s">
        <v>39</v>
      </c>
      <c r="U3797" s="12" t="s">
        <v>40</v>
      </c>
      <c r="V3797" s="12" t="s">
        <v>586</v>
      </c>
      <c r="W3797" s="12">
        <v>2000000</v>
      </c>
      <c r="X3797" s="12">
        <v>1998</v>
      </c>
      <c r="Y3797" s="12">
        <v>697</v>
      </c>
      <c r="Z3797" s="12">
        <v>6.2</v>
      </c>
      <c r="AA3797" s="12">
        <v>1.85</v>
      </c>
      <c r="AB3797" s="12">
        <v>69</v>
      </c>
      <c r="AC3797" s="12"/>
      <c r="AD3797" s="12" t="str">
        <f>IFERROR(__xludf.DUMMYFUNCTION("""COMPUTED_VALUE"""),"Lunetta Savino")</f>
        <v>Lunetta Savino</v>
      </c>
      <c r="AE3797" s="12"/>
    </row>
    <row r="3798" customHeight="1" spans="1:31">
      <c r="A3798" s="11" t="s">
        <v>30</v>
      </c>
      <c r="B3798" s="11" t="s">
        <v>17989</v>
      </c>
      <c r="C3798" s="11">
        <v>35</v>
      </c>
      <c r="D3798" s="11">
        <v>95</v>
      </c>
      <c r="E3798" s="11">
        <v>3</v>
      </c>
      <c r="F3798" s="11">
        <v>383</v>
      </c>
      <c r="G3798" s="11">
        <v>889</v>
      </c>
      <c r="H3798" s="13"/>
      <c r="I3798" s="11" t="s">
        <v>12640</v>
      </c>
      <c r="J3798" s="11" t="s">
        <v>17990</v>
      </c>
      <c r="K3798" s="11" t="s">
        <v>17991</v>
      </c>
      <c r="L3798" s="11" t="s">
        <v>17992</v>
      </c>
      <c r="M3798" s="11" t="s">
        <v>17993</v>
      </c>
      <c r="N3798" s="11">
        <v>4041</v>
      </c>
      <c r="O3798" s="11">
        <v>2984</v>
      </c>
      <c r="P3798" s="11">
        <v>0</v>
      </c>
      <c r="Q3798" s="11" t="s">
        <v>17994</v>
      </c>
      <c r="R3798" s="14" t="s">
        <v>17995</v>
      </c>
      <c r="S3798" s="11">
        <v>66</v>
      </c>
      <c r="T3798" s="11" t="s">
        <v>39</v>
      </c>
      <c r="U3798" s="11" t="s">
        <v>269</v>
      </c>
      <c r="V3798" s="11" t="s">
        <v>586</v>
      </c>
      <c r="W3798" s="11">
        <v>5000000</v>
      </c>
      <c r="X3798" s="11">
        <v>2004</v>
      </c>
      <c r="Y3798" s="11">
        <v>680</v>
      </c>
      <c r="Z3798" s="11">
        <v>4.6</v>
      </c>
      <c r="AA3798" s="11">
        <v>1.85</v>
      </c>
      <c r="AB3798" s="11">
        <v>174</v>
      </c>
      <c r="AC3798" s="11"/>
      <c r="AD3798" s="11" t="str">
        <f>IFERROR(__xludf.DUMMYFUNCTION("""COMPUTED_VALUE"""),"Jarrod Bunch")</f>
        <v>Jarrod Bunch</v>
      </c>
      <c r="AE3798" s="11"/>
    </row>
    <row r="3799" customHeight="1" spans="1:31">
      <c r="A3799" s="12" t="s">
        <v>30</v>
      </c>
      <c r="B3799" s="12" t="s">
        <v>913</v>
      </c>
      <c r="C3799" s="12">
        <v>371</v>
      </c>
      <c r="D3799" s="12">
        <v>94</v>
      </c>
      <c r="E3799" s="12">
        <v>0</v>
      </c>
      <c r="F3799" s="12">
        <v>99</v>
      </c>
      <c r="G3799" s="12">
        <v>432</v>
      </c>
      <c r="H3799" s="12">
        <v>65069140</v>
      </c>
      <c r="I3799" s="12" t="s">
        <v>5544</v>
      </c>
      <c r="J3799" s="12" t="s">
        <v>17996</v>
      </c>
      <c r="K3799" s="12" t="s">
        <v>17997</v>
      </c>
      <c r="L3799" s="12" t="s">
        <v>17998</v>
      </c>
      <c r="M3799" s="12" t="s">
        <v>17999</v>
      </c>
      <c r="N3799" s="12">
        <v>65299</v>
      </c>
      <c r="O3799" s="12">
        <v>1010</v>
      </c>
      <c r="P3799" s="16"/>
      <c r="Q3799" s="12" t="s">
        <v>18000</v>
      </c>
      <c r="R3799" s="15" t="s">
        <v>18001</v>
      </c>
      <c r="S3799" s="12">
        <v>455</v>
      </c>
      <c r="T3799" s="12" t="s">
        <v>39</v>
      </c>
      <c r="U3799" s="12" t="s">
        <v>40</v>
      </c>
      <c r="V3799" s="12" t="s">
        <v>41</v>
      </c>
      <c r="W3799" s="12">
        <v>5000000</v>
      </c>
      <c r="X3799" s="12">
        <v>2015</v>
      </c>
      <c r="Y3799" s="12">
        <v>309</v>
      </c>
      <c r="Z3799" s="12">
        <v>6.2</v>
      </c>
      <c r="AA3799" s="12">
        <v>1.85</v>
      </c>
      <c r="AB3799" s="12">
        <v>27000</v>
      </c>
      <c r="AC3799" s="12"/>
      <c r="AD3799" s="12" t="str">
        <f>IFERROR(__xludf.DUMMYFUNCTION("""COMPUTED_VALUE"""),"Catherine Hicks")</f>
        <v>Catherine Hicks</v>
      </c>
      <c r="AE3799" s="12"/>
    </row>
    <row r="3800" customHeight="1" spans="1:31">
      <c r="A3800" s="11" t="s">
        <v>30</v>
      </c>
      <c r="B3800" s="11" t="s">
        <v>2247</v>
      </c>
      <c r="C3800" s="11">
        <v>133</v>
      </c>
      <c r="D3800" s="11">
        <v>90</v>
      </c>
      <c r="E3800" s="11">
        <v>0</v>
      </c>
      <c r="F3800" s="11">
        <v>15</v>
      </c>
      <c r="G3800" s="11">
        <v>343</v>
      </c>
      <c r="H3800" s="11">
        <v>65087</v>
      </c>
      <c r="I3800" s="11" t="s">
        <v>18002</v>
      </c>
      <c r="J3800" s="11" t="s">
        <v>18003</v>
      </c>
      <c r="K3800" s="11" t="s">
        <v>18004</v>
      </c>
      <c r="L3800" s="11" t="s">
        <v>18005</v>
      </c>
      <c r="M3800" s="11" t="s">
        <v>18006</v>
      </c>
      <c r="N3800" s="11">
        <v>8824</v>
      </c>
      <c r="O3800" s="11">
        <v>408</v>
      </c>
      <c r="P3800" s="11">
        <v>0</v>
      </c>
      <c r="Q3800" s="11" t="s">
        <v>18007</v>
      </c>
      <c r="R3800" s="14" t="s">
        <v>18008</v>
      </c>
      <c r="S3800" s="11">
        <v>108</v>
      </c>
      <c r="T3800" s="11" t="s">
        <v>39</v>
      </c>
      <c r="U3800" s="11" t="s">
        <v>40</v>
      </c>
      <c r="V3800" s="11" t="s">
        <v>586</v>
      </c>
      <c r="W3800" s="11">
        <v>5000000</v>
      </c>
      <c r="X3800" s="11">
        <v>2007</v>
      </c>
      <c r="Y3800" s="11">
        <v>29</v>
      </c>
      <c r="Z3800" s="11">
        <v>6.2</v>
      </c>
      <c r="AA3800" s="11">
        <v>1.85</v>
      </c>
      <c r="AB3800" s="11">
        <v>559</v>
      </c>
      <c r="AC3800" s="11"/>
      <c r="AD3800" s="11" t="str">
        <f>IFERROR(__xludf.DUMMYFUNCTION("""COMPUTED_VALUE"""),"Alex Vincent")</f>
        <v>Alex Vincent</v>
      </c>
      <c r="AE3800" s="11"/>
    </row>
    <row r="3801" customHeight="1" spans="1:31">
      <c r="A3801" s="12" t="s">
        <v>30</v>
      </c>
      <c r="B3801" s="12" t="s">
        <v>18009</v>
      </c>
      <c r="C3801" s="12">
        <v>13</v>
      </c>
      <c r="D3801" s="12">
        <v>103</v>
      </c>
      <c r="E3801" s="12">
        <v>34</v>
      </c>
      <c r="F3801" s="12">
        <v>227</v>
      </c>
      <c r="G3801" s="12">
        <v>811</v>
      </c>
      <c r="H3801" s="12">
        <v>16066</v>
      </c>
      <c r="I3801" s="12" t="s">
        <v>16873</v>
      </c>
      <c r="J3801" s="12" t="s">
        <v>5626</v>
      </c>
      <c r="K3801" s="12" t="s">
        <v>5691</v>
      </c>
      <c r="L3801" s="12" t="s">
        <v>18010</v>
      </c>
      <c r="M3801" s="12" t="s">
        <v>18011</v>
      </c>
      <c r="N3801" s="12">
        <v>1207</v>
      </c>
      <c r="O3801" s="12">
        <v>1789</v>
      </c>
      <c r="P3801" s="12">
        <v>0</v>
      </c>
      <c r="Q3801" s="12" t="s">
        <v>18012</v>
      </c>
      <c r="R3801" s="15" t="s">
        <v>18013</v>
      </c>
      <c r="S3801" s="12">
        <v>44</v>
      </c>
      <c r="T3801" s="12" t="s">
        <v>39</v>
      </c>
      <c r="U3801" s="12" t="s">
        <v>768</v>
      </c>
      <c r="V3801" s="12" t="s">
        <v>586</v>
      </c>
      <c r="W3801" s="12">
        <v>5000000</v>
      </c>
      <c r="X3801" s="12">
        <v>2004</v>
      </c>
      <c r="Y3801" s="12">
        <v>522</v>
      </c>
      <c r="Z3801" s="12">
        <v>3.3</v>
      </c>
      <c r="AA3801" s="12">
        <v>2.35</v>
      </c>
      <c r="AB3801" s="12">
        <v>40</v>
      </c>
      <c r="AC3801" s="12"/>
      <c r="AD3801" s="12" t="str">
        <f>IFERROR(__xludf.DUMMYFUNCTION("""COMPUTED_VALUE"""),"Dinah Manoff")</f>
        <v>Dinah Manoff</v>
      </c>
      <c r="AE3801" s="12"/>
    </row>
    <row r="3802" customHeight="1" spans="1:31">
      <c r="A3802" s="11" t="s">
        <v>30</v>
      </c>
      <c r="B3802" s="13"/>
      <c r="C3802" s="11">
        <v>9</v>
      </c>
      <c r="D3802" s="11">
        <v>60</v>
      </c>
      <c r="E3802" s="13"/>
      <c r="F3802" s="11">
        <v>904</v>
      </c>
      <c r="G3802" s="11">
        <v>1000</v>
      </c>
      <c r="H3802" s="13"/>
      <c r="I3802" s="11" t="s">
        <v>5324</v>
      </c>
      <c r="J3802" s="11" t="s">
        <v>2061</v>
      </c>
      <c r="K3802" s="11" t="s">
        <v>4452</v>
      </c>
      <c r="L3802" s="11" t="s">
        <v>3009</v>
      </c>
      <c r="M3802" s="11" t="s">
        <v>18014</v>
      </c>
      <c r="N3802" s="11">
        <v>3852</v>
      </c>
      <c r="O3802" s="11">
        <v>5203</v>
      </c>
      <c r="P3802" s="11">
        <v>1</v>
      </c>
      <c r="Q3802" s="11" t="s">
        <v>18015</v>
      </c>
      <c r="R3802" s="14" t="s">
        <v>18016</v>
      </c>
      <c r="S3802" s="11">
        <v>47</v>
      </c>
      <c r="T3802" s="11" t="s">
        <v>39</v>
      </c>
      <c r="U3802" s="11" t="s">
        <v>40</v>
      </c>
      <c r="V3802" s="11" t="s">
        <v>2636</v>
      </c>
      <c r="W3802" s="13"/>
      <c r="X3802" s="13"/>
      <c r="Y3802" s="11">
        <v>1000</v>
      </c>
      <c r="Z3802" s="11">
        <v>7.5</v>
      </c>
      <c r="AA3802" s="11">
        <v>1.78</v>
      </c>
      <c r="AB3802" s="11">
        <v>634</v>
      </c>
      <c r="AC3802" s="11"/>
      <c r="AD3802" s="11" t="str">
        <f>IFERROR(__xludf.DUMMYFUNCTION("""COMPUTED_VALUE"""),"Tucker Albrizzi")</f>
        <v>Tucker Albrizzi</v>
      </c>
      <c r="AE3802" s="11"/>
    </row>
    <row r="3803" customHeight="1" spans="1:31">
      <c r="A3803" s="12" t="s">
        <v>30</v>
      </c>
      <c r="B3803" s="12" t="s">
        <v>18017</v>
      </c>
      <c r="C3803" s="12">
        <v>56</v>
      </c>
      <c r="D3803" s="12">
        <v>91</v>
      </c>
      <c r="E3803" s="12">
        <v>110</v>
      </c>
      <c r="F3803" s="12">
        <v>14</v>
      </c>
      <c r="G3803" s="12">
        <v>46</v>
      </c>
      <c r="H3803" s="16"/>
      <c r="I3803" s="12" t="s">
        <v>4333</v>
      </c>
      <c r="J3803" s="12" t="s">
        <v>18018</v>
      </c>
      <c r="K3803" s="12" t="s">
        <v>18019</v>
      </c>
      <c r="L3803" s="12" t="s">
        <v>18020</v>
      </c>
      <c r="M3803" s="12" t="s">
        <v>18021</v>
      </c>
      <c r="N3803" s="12">
        <v>7888</v>
      </c>
      <c r="O3803" s="12">
        <v>117</v>
      </c>
      <c r="P3803" s="12">
        <v>0</v>
      </c>
      <c r="Q3803" s="12" t="s">
        <v>18022</v>
      </c>
      <c r="R3803" s="15" t="s">
        <v>18023</v>
      </c>
      <c r="S3803" s="12">
        <v>55</v>
      </c>
      <c r="T3803" s="12" t="s">
        <v>39</v>
      </c>
      <c r="U3803" s="12" t="s">
        <v>40</v>
      </c>
      <c r="V3803" s="12" t="s">
        <v>586</v>
      </c>
      <c r="W3803" s="12">
        <v>5000000</v>
      </c>
      <c r="X3803" s="12">
        <v>2015</v>
      </c>
      <c r="Y3803" s="12">
        <v>21</v>
      </c>
      <c r="Z3803" s="12">
        <v>4.2</v>
      </c>
      <c r="AA3803" s="16"/>
      <c r="AB3803" s="12">
        <v>0</v>
      </c>
      <c r="AC3803" s="12"/>
      <c r="AD3803" s="12" t="str">
        <f>IFERROR(__xludf.DUMMYFUNCTION("""COMPUTED_VALUE"""),"Bill Clinton")</f>
        <v>Bill Clinton</v>
      </c>
      <c r="AE3803" s="12"/>
    </row>
    <row r="3804" customHeight="1" spans="1:31">
      <c r="A3804" s="11" t="s">
        <v>30</v>
      </c>
      <c r="B3804" s="11" t="s">
        <v>14720</v>
      </c>
      <c r="C3804" s="11">
        <v>191</v>
      </c>
      <c r="D3804" s="11">
        <v>102</v>
      </c>
      <c r="E3804" s="11">
        <v>57</v>
      </c>
      <c r="F3804" s="11">
        <v>78</v>
      </c>
      <c r="G3804" s="11">
        <v>331</v>
      </c>
      <c r="H3804" s="13"/>
      <c r="I3804" s="11" t="s">
        <v>4384</v>
      </c>
      <c r="J3804" s="11" t="s">
        <v>18024</v>
      </c>
      <c r="K3804" s="11" t="s">
        <v>18025</v>
      </c>
      <c r="L3804" s="11" t="s">
        <v>18026</v>
      </c>
      <c r="M3804" s="11" t="s">
        <v>18027</v>
      </c>
      <c r="N3804" s="11">
        <v>23756</v>
      </c>
      <c r="O3804" s="11">
        <v>526</v>
      </c>
      <c r="P3804" s="11">
        <v>0</v>
      </c>
      <c r="Q3804" s="11" t="s">
        <v>18028</v>
      </c>
      <c r="R3804" s="14" t="s">
        <v>18029</v>
      </c>
      <c r="S3804" s="11">
        <v>48</v>
      </c>
      <c r="T3804" s="11" t="s">
        <v>2779</v>
      </c>
      <c r="U3804" s="11" t="s">
        <v>3572</v>
      </c>
      <c r="V3804" s="11" t="s">
        <v>4831</v>
      </c>
      <c r="W3804" s="11">
        <v>5000000</v>
      </c>
      <c r="X3804" s="11">
        <v>2011</v>
      </c>
      <c r="Y3804" s="11">
        <v>93</v>
      </c>
      <c r="Z3804" s="11">
        <v>7.2</v>
      </c>
      <c r="AA3804" s="11">
        <v>2.35</v>
      </c>
      <c r="AB3804" s="11">
        <v>0</v>
      </c>
      <c r="AC3804" s="11"/>
      <c r="AD3804" s="11" t="str">
        <f>IFERROR(__xludf.DUMMYFUNCTION("""COMPUTED_VALUE"""),"Roberta Valderrama")</f>
        <v>Roberta Valderrama</v>
      </c>
      <c r="AE3804" s="11"/>
    </row>
    <row r="3805" customHeight="1" spans="1:31">
      <c r="A3805" s="12" t="s">
        <v>30</v>
      </c>
      <c r="B3805" s="12" t="s">
        <v>18030</v>
      </c>
      <c r="C3805" s="12">
        <v>80</v>
      </c>
      <c r="D3805" s="12">
        <v>92</v>
      </c>
      <c r="E3805" s="12">
        <v>46</v>
      </c>
      <c r="F3805" s="12">
        <v>141</v>
      </c>
      <c r="G3805" s="12">
        <v>570</v>
      </c>
      <c r="H3805" s="16"/>
      <c r="I3805" s="12" t="s">
        <v>18031</v>
      </c>
      <c r="J3805" s="12" t="s">
        <v>1240</v>
      </c>
      <c r="K3805" s="12" t="s">
        <v>18032</v>
      </c>
      <c r="L3805" s="12" t="s">
        <v>18033</v>
      </c>
      <c r="M3805" s="12" t="s">
        <v>18034</v>
      </c>
      <c r="N3805" s="12">
        <v>10056</v>
      </c>
      <c r="O3805" s="12">
        <v>1258</v>
      </c>
      <c r="P3805" s="12">
        <v>0</v>
      </c>
      <c r="Q3805" s="12" t="s">
        <v>18035</v>
      </c>
      <c r="R3805" s="15" t="s">
        <v>18036</v>
      </c>
      <c r="S3805" s="12">
        <v>82</v>
      </c>
      <c r="T3805" s="12" t="s">
        <v>39</v>
      </c>
      <c r="U3805" s="12" t="s">
        <v>58</v>
      </c>
      <c r="V3805" s="12" t="s">
        <v>5614</v>
      </c>
      <c r="W3805" s="12">
        <v>2500000</v>
      </c>
      <c r="X3805" s="12">
        <v>2008</v>
      </c>
      <c r="Y3805" s="12">
        <v>337</v>
      </c>
      <c r="Z3805" s="12">
        <v>6.2</v>
      </c>
      <c r="AA3805" s="12">
        <v>2.35</v>
      </c>
      <c r="AB3805" s="12">
        <v>639</v>
      </c>
      <c r="AC3805" s="12"/>
      <c r="AD3805" s="12" t="str">
        <f>IFERROR(__xludf.DUMMYFUNCTION("""COMPUTED_VALUE"""),"Don Ameche")</f>
        <v>Don Ameche</v>
      </c>
      <c r="AE3805" s="12"/>
    </row>
    <row r="3806" customHeight="1" spans="1:31">
      <c r="A3806" s="11" t="s">
        <v>30</v>
      </c>
      <c r="B3806" s="11" t="s">
        <v>4438</v>
      </c>
      <c r="C3806" s="11">
        <v>19</v>
      </c>
      <c r="D3806" s="11">
        <v>87</v>
      </c>
      <c r="E3806" s="11">
        <v>65</v>
      </c>
      <c r="F3806" s="11">
        <v>686</v>
      </c>
      <c r="G3806" s="11">
        <v>866</v>
      </c>
      <c r="H3806" s="13"/>
      <c r="I3806" s="11" t="s">
        <v>7902</v>
      </c>
      <c r="J3806" s="11" t="s">
        <v>12117</v>
      </c>
      <c r="K3806" s="11" t="s">
        <v>6690</v>
      </c>
      <c r="L3806" s="11" t="s">
        <v>6563</v>
      </c>
      <c r="M3806" s="11" t="s">
        <v>18037</v>
      </c>
      <c r="N3806" s="11">
        <v>10734</v>
      </c>
      <c r="O3806" s="11">
        <v>3724</v>
      </c>
      <c r="P3806" s="11">
        <v>1</v>
      </c>
      <c r="Q3806" s="11" t="s">
        <v>18038</v>
      </c>
      <c r="R3806" s="14" t="s">
        <v>18039</v>
      </c>
      <c r="S3806" s="11">
        <v>80</v>
      </c>
      <c r="T3806" s="11" t="s">
        <v>39</v>
      </c>
      <c r="U3806" s="11" t="s">
        <v>40</v>
      </c>
      <c r="V3806" s="11" t="s">
        <v>586</v>
      </c>
      <c r="W3806" s="11">
        <v>5000000</v>
      </c>
      <c r="X3806" s="11">
        <v>2009</v>
      </c>
      <c r="Y3806" s="11">
        <v>738</v>
      </c>
      <c r="Z3806" s="11">
        <v>6.1</v>
      </c>
      <c r="AA3806" s="11">
        <v>1.78</v>
      </c>
      <c r="AB3806" s="11">
        <v>887</v>
      </c>
      <c r="AC3806" s="11"/>
      <c r="AD3806" s="11" t="str">
        <f>IFERROR(__xludf.DUMMYFUNCTION("""COMPUTED_VALUE"""),"Denholm Elliott")</f>
        <v>Denholm Elliott</v>
      </c>
      <c r="AE3806" s="11"/>
    </row>
    <row r="3807" customHeight="1" spans="1:31">
      <c r="A3807" s="12" t="s">
        <v>30</v>
      </c>
      <c r="B3807" s="12" t="s">
        <v>6771</v>
      </c>
      <c r="C3807" s="12">
        <v>19</v>
      </c>
      <c r="D3807" s="12">
        <v>80</v>
      </c>
      <c r="E3807" s="12">
        <v>799</v>
      </c>
      <c r="F3807" s="12">
        <v>854</v>
      </c>
      <c r="G3807" s="12">
        <v>3000</v>
      </c>
      <c r="H3807" s="16"/>
      <c r="I3807" s="12" t="s">
        <v>18040</v>
      </c>
      <c r="J3807" s="12" t="s">
        <v>4599</v>
      </c>
      <c r="K3807" s="12" t="s">
        <v>18041</v>
      </c>
      <c r="L3807" s="12" t="s">
        <v>3503</v>
      </c>
      <c r="M3807" s="12" t="s">
        <v>18042</v>
      </c>
      <c r="N3807" s="12">
        <v>4322</v>
      </c>
      <c r="O3807" s="12">
        <v>10727</v>
      </c>
      <c r="P3807" s="12">
        <v>0</v>
      </c>
      <c r="Q3807" s="12" t="s">
        <v>18043</v>
      </c>
      <c r="R3807" s="15" t="s">
        <v>18044</v>
      </c>
      <c r="S3807" s="12">
        <v>47</v>
      </c>
      <c r="T3807" s="12" t="s">
        <v>39</v>
      </c>
      <c r="U3807" s="12" t="s">
        <v>40</v>
      </c>
      <c r="V3807" s="12" t="s">
        <v>586</v>
      </c>
      <c r="W3807" s="16"/>
      <c r="X3807" s="12">
        <v>2006</v>
      </c>
      <c r="Y3807" s="12">
        <v>2000</v>
      </c>
      <c r="Z3807" s="12">
        <v>4.2</v>
      </c>
      <c r="AA3807" s="12">
        <v>1.85</v>
      </c>
      <c r="AB3807" s="12">
        <v>419</v>
      </c>
      <c r="AC3807" s="12"/>
      <c r="AD3807" s="12" t="str">
        <f>IFERROR(__xludf.DUMMYFUNCTION("""COMPUTED_VALUE"""),"Ralph Bellamy")</f>
        <v>Ralph Bellamy</v>
      </c>
      <c r="AE3807" s="12"/>
    </row>
    <row r="3808" customHeight="1" spans="1:31">
      <c r="A3808" s="11" t="s">
        <v>30</v>
      </c>
      <c r="B3808" s="11" t="s">
        <v>18045</v>
      </c>
      <c r="C3808" s="13"/>
      <c r="D3808" s="11">
        <v>90</v>
      </c>
      <c r="E3808" s="11">
        <v>0</v>
      </c>
      <c r="F3808" s="11">
        <v>483</v>
      </c>
      <c r="G3808" s="11">
        <v>695</v>
      </c>
      <c r="H3808" s="13"/>
      <c r="I3808" s="11" t="s">
        <v>13339</v>
      </c>
      <c r="J3808" s="11" t="s">
        <v>2846</v>
      </c>
      <c r="K3808" s="11" t="s">
        <v>18046</v>
      </c>
      <c r="L3808" s="11" t="s">
        <v>18047</v>
      </c>
      <c r="M3808" s="11" t="s">
        <v>18048</v>
      </c>
      <c r="N3808" s="11">
        <v>215</v>
      </c>
      <c r="O3808" s="11">
        <v>3217</v>
      </c>
      <c r="P3808" s="11">
        <v>6</v>
      </c>
      <c r="Q3808" s="13"/>
      <c r="R3808" s="14" t="s">
        <v>18049</v>
      </c>
      <c r="S3808" s="11">
        <v>2</v>
      </c>
      <c r="T3808" s="11" t="s">
        <v>39</v>
      </c>
      <c r="U3808" s="11" t="s">
        <v>40</v>
      </c>
      <c r="V3808" s="11" t="s">
        <v>41</v>
      </c>
      <c r="W3808" s="13"/>
      <c r="X3808" s="11">
        <v>2009</v>
      </c>
      <c r="Y3808" s="11">
        <v>617</v>
      </c>
      <c r="Z3808" s="11">
        <v>4.5</v>
      </c>
      <c r="AA3808" s="13"/>
      <c r="AB3808" s="11">
        <v>38</v>
      </c>
      <c r="AC3808" s="11"/>
      <c r="AD3808" s="11" t="str">
        <f>IFERROR(__xludf.DUMMYFUNCTION("""COMPUTED_VALUE"""),"Patrick Cranshaw")</f>
        <v>Patrick Cranshaw</v>
      </c>
      <c r="AE3808" s="11"/>
    </row>
    <row r="3809" customHeight="1" spans="1:31">
      <c r="A3809" s="12" t="s">
        <v>30</v>
      </c>
      <c r="B3809" s="16"/>
      <c r="C3809" s="12">
        <v>38</v>
      </c>
      <c r="D3809" s="12">
        <v>44</v>
      </c>
      <c r="E3809" s="16"/>
      <c r="F3809" s="12">
        <v>816</v>
      </c>
      <c r="G3809" s="12">
        <v>1000</v>
      </c>
      <c r="H3809" s="16"/>
      <c r="I3809" s="12" t="s">
        <v>12489</v>
      </c>
      <c r="J3809" s="12" t="s">
        <v>13154</v>
      </c>
      <c r="K3809" s="12" t="s">
        <v>15354</v>
      </c>
      <c r="L3809" s="12" t="s">
        <v>18050</v>
      </c>
      <c r="M3809" s="12" t="s">
        <v>18051</v>
      </c>
      <c r="N3809" s="12">
        <v>67315</v>
      </c>
      <c r="O3809" s="12">
        <v>4092</v>
      </c>
      <c r="P3809" s="12">
        <v>2</v>
      </c>
      <c r="Q3809" s="12" t="s">
        <v>18052</v>
      </c>
      <c r="R3809" s="15" t="s">
        <v>18053</v>
      </c>
      <c r="S3809" s="12">
        <v>127</v>
      </c>
      <c r="T3809" s="12" t="s">
        <v>39</v>
      </c>
      <c r="U3809" s="12" t="s">
        <v>40</v>
      </c>
      <c r="V3809" s="12" t="s">
        <v>1569</v>
      </c>
      <c r="W3809" s="16"/>
      <c r="X3809" s="16"/>
      <c r="Y3809" s="12">
        <v>922</v>
      </c>
      <c r="Z3809" s="12">
        <v>8.4</v>
      </c>
      <c r="AA3809" s="12">
        <v>1.78</v>
      </c>
      <c r="AB3809" s="12">
        <v>0</v>
      </c>
      <c r="AC3809" s="12"/>
      <c r="AD3809" s="12" t="str">
        <f>IFERROR(__xludf.DUMMYFUNCTION("""COMPUTED_VALUE"""),"Danny Webb")</f>
        <v>Danny Webb</v>
      </c>
      <c r="AE3809" s="12"/>
    </row>
    <row r="3810" customHeight="1" spans="1:31">
      <c r="A3810" s="11" t="s">
        <v>30</v>
      </c>
      <c r="B3810" s="11" t="s">
        <v>18054</v>
      </c>
      <c r="C3810" s="11">
        <v>44</v>
      </c>
      <c r="D3810" s="11">
        <v>105</v>
      </c>
      <c r="E3810" s="11">
        <v>0</v>
      </c>
      <c r="F3810" s="11">
        <v>394</v>
      </c>
      <c r="G3810" s="11">
        <v>745</v>
      </c>
      <c r="H3810" s="11">
        <v>37440</v>
      </c>
      <c r="I3810" s="11" t="s">
        <v>5511</v>
      </c>
      <c r="J3810" s="11" t="s">
        <v>1054</v>
      </c>
      <c r="K3810" s="11" t="s">
        <v>1926</v>
      </c>
      <c r="L3810" s="11" t="s">
        <v>18055</v>
      </c>
      <c r="M3810" s="11" t="s">
        <v>18056</v>
      </c>
      <c r="N3810" s="11">
        <v>12672</v>
      </c>
      <c r="O3810" s="11">
        <v>1986</v>
      </c>
      <c r="P3810" s="11">
        <v>1</v>
      </c>
      <c r="Q3810" s="11" t="s">
        <v>18057</v>
      </c>
      <c r="R3810" s="14" t="s">
        <v>18058</v>
      </c>
      <c r="S3810" s="11">
        <v>60</v>
      </c>
      <c r="T3810" s="11" t="s">
        <v>39</v>
      </c>
      <c r="U3810" s="11" t="s">
        <v>40</v>
      </c>
      <c r="V3810" s="11" t="s">
        <v>586</v>
      </c>
      <c r="W3810" s="11">
        <v>5000000</v>
      </c>
      <c r="X3810" s="11">
        <v>2014</v>
      </c>
      <c r="Y3810" s="11">
        <v>508</v>
      </c>
      <c r="Z3810" s="11">
        <v>7.5</v>
      </c>
      <c r="AA3810" s="13"/>
      <c r="AB3810" s="11">
        <v>0</v>
      </c>
      <c r="AC3810" s="11"/>
      <c r="AD3810" s="11" t="str">
        <f>IFERROR(__xludf.DUMMYFUNCTION("""COMPUTED_VALUE"""),"Gbenga Akinnagbe")</f>
        <v>Gbenga Akinnagbe</v>
      </c>
      <c r="AE3810" s="11"/>
    </row>
    <row r="3811" customHeight="1" spans="1:31">
      <c r="A3811" s="12" t="s">
        <v>30</v>
      </c>
      <c r="B3811" s="12" t="s">
        <v>18059</v>
      </c>
      <c r="C3811" s="12">
        <v>3</v>
      </c>
      <c r="D3811" s="12">
        <v>67</v>
      </c>
      <c r="E3811" s="12">
        <v>0</v>
      </c>
      <c r="F3811" s="12">
        <v>388</v>
      </c>
      <c r="G3811" s="12">
        <v>979</v>
      </c>
      <c r="H3811" s="16"/>
      <c r="I3811" s="12" t="s">
        <v>2908</v>
      </c>
      <c r="J3811" s="12" t="s">
        <v>1654</v>
      </c>
      <c r="K3811" s="12" t="s">
        <v>18060</v>
      </c>
      <c r="L3811" s="12" t="s">
        <v>17437</v>
      </c>
      <c r="M3811" s="12" t="s">
        <v>18061</v>
      </c>
      <c r="N3811" s="12">
        <v>83</v>
      </c>
      <c r="O3811" s="12">
        <v>2509</v>
      </c>
      <c r="P3811" s="12">
        <v>2</v>
      </c>
      <c r="Q3811" s="12" t="s">
        <v>18062</v>
      </c>
      <c r="R3811" s="15" t="s">
        <v>18063</v>
      </c>
      <c r="S3811" s="12">
        <v>1</v>
      </c>
      <c r="T3811" s="12" t="s">
        <v>39</v>
      </c>
      <c r="U3811" s="12" t="s">
        <v>40</v>
      </c>
      <c r="V3811" s="12" t="s">
        <v>96</v>
      </c>
      <c r="W3811" s="12">
        <v>10000000</v>
      </c>
      <c r="X3811" s="12">
        <v>2014</v>
      </c>
      <c r="Y3811" s="12">
        <v>732</v>
      </c>
      <c r="Z3811" s="12">
        <v>6.7</v>
      </c>
      <c r="AA3811" s="16"/>
      <c r="AB3811" s="12">
        <v>165</v>
      </c>
      <c r="AC3811" s="12"/>
      <c r="AD3811" s="12" t="str">
        <f>IFERROR(__xludf.DUMMYFUNCTION("""COMPUTED_VALUE"""),"Kristin Lehman")</f>
        <v>Kristin Lehman</v>
      </c>
      <c r="AE3811" s="12"/>
    </row>
    <row r="3812" customHeight="1" spans="1:31">
      <c r="A3812" s="11" t="s">
        <v>30</v>
      </c>
      <c r="B3812" s="11" t="s">
        <v>16624</v>
      </c>
      <c r="C3812" s="11">
        <v>6</v>
      </c>
      <c r="D3812" s="11">
        <v>95</v>
      </c>
      <c r="E3812" s="11">
        <v>7</v>
      </c>
      <c r="F3812" s="11">
        <v>541</v>
      </c>
      <c r="G3812" s="11">
        <v>989</v>
      </c>
      <c r="H3812" s="13"/>
      <c r="I3812" s="11" t="s">
        <v>1672</v>
      </c>
      <c r="J3812" s="11" t="s">
        <v>3230</v>
      </c>
      <c r="K3812" s="11" t="s">
        <v>1951</v>
      </c>
      <c r="L3812" s="11" t="s">
        <v>5161</v>
      </c>
      <c r="M3812" s="11" t="s">
        <v>18064</v>
      </c>
      <c r="N3812" s="11">
        <v>1091</v>
      </c>
      <c r="O3812" s="11">
        <v>3514</v>
      </c>
      <c r="P3812" s="11">
        <v>7</v>
      </c>
      <c r="Q3812" s="13"/>
      <c r="R3812" s="14" t="s">
        <v>18065</v>
      </c>
      <c r="S3812" s="11">
        <v>15</v>
      </c>
      <c r="T3812" s="11" t="s">
        <v>39</v>
      </c>
      <c r="U3812" s="11" t="s">
        <v>40</v>
      </c>
      <c r="V3812" s="11" t="s">
        <v>96</v>
      </c>
      <c r="W3812" s="13"/>
      <c r="X3812" s="11">
        <v>2015</v>
      </c>
      <c r="Y3812" s="11">
        <v>970</v>
      </c>
      <c r="Z3812" s="11">
        <v>5.1</v>
      </c>
      <c r="AA3812" s="13"/>
      <c r="AB3812" s="11">
        <v>0</v>
      </c>
      <c r="AC3812" s="11"/>
      <c r="AD3812" s="11" t="str">
        <f>IFERROR(__xludf.DUMMYFUNCTION("""COMPUTED_VALUE"""),"Nicky Katt")</f>
        <v>Nicky Katt</v>
      </c>
      <c r="AE3812" s="11"/>
    </row>
    <row r="3813" customHeight="1" spans="1:31">
      <c r="A3813" s="12" t="s">
        <v>30</v>
      </c>
      <c r="B3813" s="12" t="s">
        <v>15162</v>
      </c>
      <c r="C3813" s="16"/>
      <c r="D3813" s="12">
        <v>87</v>
      </c>
      <c r="E3813" s="12">
        <v>49</v>
      </c>
      <c r="F3813" s="12">
        <v>601</v>
      </c>
      <c r="G3813" s="12">
        <v>708</v>
      </c>
      <c r="H3813" s="16"/>
      <c r="I3813" s="12" t="s">
        <v>2126</v>
      </c>
      <c r="J3813" s="12" t="s">
        <v>1748</v>
      </c>
      <c r="K3813" s="12" t="s">
        <v>11458</v>
      </c>
      <c r="L3813" s="12" t="s">
        <v>9641</v>
      </c>
      <c r="M3813" s="12" t="s">
        <v>18066</v>
      </c>
      <c r="N3813" s="12">
        <v>216</v>
      </c>
      <c r="O3813" s="12">
        <v>3059</v>
      </c>
      <c r="P3813" s="12">
        <v>1</v>
      </c>
      <c r="Q3813" s="12" t="s">
        <v>18067</v>
      </c>
      <c r="R3813" s="15" t="s">
        <v>18068</v>
      </c>
      <c r="S3813" s="12">
        <v>3</v>
      </c>
      <c r="T3813" s="12" t="s">
        <v>39</v>
      </c>
      <c r="U3813" s="12" t="s">
        <v>40</v>
      </c>
      <c r="V3813" s="12" t="s">
        <v>1569</v>
      </c>
      <c r="W3813" s="12">
        <v>5000000</v>
      </c>
      <c r="X3813" s="12">
        <v>2011</v>
      </c>
      <c r="Y3813" s="12">
        <v>699</v>
      </c>
      <c r="Z3813" s="12">
        <v>5.5</v>
      </c>
      <c r="AA3813" s="12">
        <v>1.78</v>
      </c>
      <c r="AB3813" s="12">
        <v>58</v>
      </c>
      <c r="AC3813" s="12"/>
      <c r="AD3813" s="12" t="str">
        <f>IFERROR(__xludf.DUMMYFUNCTION("""COMPUTED_VALUE"""),"Dylan Kussman")</f>
        <v>Dylan Kussman</v>
      </c>
      <c r="AE3813" s="12"/>
    </row>
    <row r="3814" customHeight="1" spans="1:31">
      <c r="A3814" s="11" t="s">
        <v>30</v>
      </c>
      <c r="B3814" s="11" t="s">
        <v>13941</v>
      </c>
      <c r="C3814" s="11">
        <v>64</v>
      </c>
      <c r="D3814" s="11">
        <v>94</v>
      </c>
      <c r="E3814" s="11">
        <v>261</v>
      </c>
      <c r="F3814" s="11">
        <v>179</v>
      </c>
      <c r="G3814" s="11">
        <v>12000</v>
      </c>
      <c r="H3814" s="13"/>
      <c r="I3814" s="11" t="s">
        <v>4075</v>
      </c>
      <c r="J3814" s="11" t="s">
        <v>705</v>
      </c>
      <c r="K3814" s="11" t="s">
        <v>18069</v>
      </c>
      <c r="L3814" s="11" t="s">
        <v>18070</v>
      </c>
      <c r="M3814" s="11" t="s">
        <v>18071</v>
      </c>
      <c r="N3814" s="11">
        <v>6964</v>
      </c>
      <c r="O3814" s="11">
        <v>12676</v>
      </c>
      <c r="P3814" s="11">
        <v>1</v>
      </c>
      <c r="Q3814" s="11" t="s">
        <v>18072</v>
      </c>
      <c r="R3814" s="14" t="s">
        <v>18073</v>
      </c>
      <c r="S3814" s="11">
        <v>47</v>
      </c>
      <c r="T3814" s="11" t="s">
        <v>39</v>
      </c>
      <c r="U3814" s="11" t="s">
        <v>18074</v>
      </c>
      <c r="V3814" s="11" t="s">
        <v>586</v>
      </c>
      <c r="W3814" s="11">
        <v>5000000</v>
      </c>
      <c r="X3814" s="11">
        <v>2014</v>
      </c>
      <c r="Y3814" s="11">
        <v>316</v>
      </c>
      <c r="Z3814" s="11">
        <v>4.4</v>
      </c>
      <c r="AA3814" s="11">
        <v>2.35</v>
      </c>
      <c r="AB3814" s="11">
        <v>0</v>
      </c>
      <c r="AC3814" s="11"/>
      <c r="AD3814" s="11" t="str">
        <f>IFERROR(__xludf.DUMMYFUNCTION("""COMPUTED_VALUE"""),"Chris Young")</f>
        <v>Chris Young</v>
      </c>
      <c r="AE3814" s="11"/>
    </row>
    <row r="3815" customHeight="1" spans="1:31">
      <c r="A3815" s="12" t="s">
        <v>30</v>
      </c>
      <c r="B3815" s="12" t="s">
        <v>18075</v>
      </c>
      <c r="C3815" s="12">
        <v>8</v>
      </c>
      <c r="D3815" s="12">
        <v>109</v>
      </c>
      <c r="E3815" s="12">
        <v>3</v>
      </c>
      <c r="F3815" s="12">
        <v>126</v>
      </c>
      <c r="G3815" s="12">
        <v>1000</v>
      </c>
      <c r="H3815" s="16"/>
      <c r="I3815" s="12" t="s">
        <v>1910</v>
      </c>
      <c r="J3815" s="12" t="s">
        <v>303</v>
      </c>
      <c r="K3815" s="12" t="s">
        <v>14258</v>
      </c>
      <c r="L3815" s="12" t="s">
        <v>18076</v>
      </c>
      <c r="M3815" s="12" t="s">
        <v>18077</v>
      </c>
      <c r="N3815" s="12">
        <v>237</v>
      </c>
      <c r="O3815" s="12">
        <v>1681</v>
      </c>
      <c r="P3815" s="12">
        <v>3</v>
      </c>
      <c r="Q3815" s="12" t="s">
        <v>18078</v>
      </c>
      <c r="R3815" s="15" t="s">
        <v>18079</v>
      </c>
      <c r="S3815" s="12">
        <v>3</v>
      </c>
      <c r="T3815" s="12" t="s">
        <v>39</v>
      </c>
      <c r="U3815" s="12" t="s">
        <v>58</v>
      </c>
      <c r="V3815" s="12" t="s">
        <v>586</v>
      </c>
      <c r="W3815" s="12">
        <v>5000000</v>
      </c>
      <c r="X3815" s="12">
        <v>2014</v>
      </c>
      <c r="Y3815" s="12">
        <v>266</v>
      </c>
      <c r="Z3815" s="12">
        <v>4.4</v>
      </c>
      <c r="AA3815" s="16"/>
      <c r="AB3815" s="12">
        <v>190</v>
      </c>
      <c r="AC3815" s="12"/>
      <c r="AD3815" s="12" t="str">
        <f>IFERROR(__xludf.DUMMYFUNCTION("""COMPUTED_VALUE"""),"Ronn Moss")</f>
        <v>Ronn Moss</v>
      </c>
      <c r="AE3815" s="12"/>
    </row>
    <row r="3816" customHeight="1" spans="1:31">
      <c r="A3816" s="11" t="s">
        <v>30</v>
      </c>
      <c r="B3816" s="11" t="s">
        <v>1820</v>
      </c>
      <c r="C3816" s="11">
        <v>64</v>
      </c>
      <c r="D3816" s="11">
        <v>130</v>
      </c>
      <c r="E3816" s="11">
        <v>0</v>
      </c>
      <c r="F3816" s="11">
        <v>826</v>
      </c>
      <c r="G3816" s="11">
        <v>1000</v>
      </c>
      <c r="H3816" s="13"/>
      <c r="I3816" s="11" t="s">
        <v>2813</v>
      </c>
      <c r="J3816" s="11" t="s">
        <v>18080</v>
      </c>
      <c r="K3816" s="11" t="s">
        <v>5987</v>
      </c>
      <c r="L3816" s="11" t="s">
        <v>2498</v>
      </c>
      <c r="M3816" s="11" t="s">
        <v>18081</v>
      </c>
      <c r="N3816" s="11">
        <v>15988</v>
      </c>
      <c r="O3816" s="11">
        <v>5191</v>
      </c>
      <c r="P3816" s="11">
        <v>0</v>
      </c>
      <c r="Q3816" s="11" t="s">
        <v>18082</v>
      </c>
      <c r="R3816" s="14" t="s">
        <v>18083</v>
      </c>
      <c r="S3816" s="11">
        <v>153</v>
      </c>
      <c r="T3816" s="11" t="s">
        <v>39</v>
      </c>
      <c r="U3816" s="11" t="s">
        <v>40</v>
      </c>
      <c r="V3816" s="11" t="s">
        <v>96</v>
      </c>
      <c r="W3816" s="11">
        <v>5000000</v>
      </c>
      <c r="X3816" s="11">
        <v>1977</v>
      </c>
      <c r="Y3816" s="11">
        <v>849</v>
      </c>
      <c r="Z3816" s="11">
        <v>6.8</v>
      </c>
      <c r="AA3816" s="11">
        <v>2.35</v>
      </c>
      <c r="AB3816" s="11">
        <v>2000</v>
      </c>
      <c r="AC3816" s="11"/>
      <c r="AD3816" s="11" t="str">
        <f>IFERROR(__xludf.DUMMYFUNCTION("""COMPUTED_VALUE"""),"Katherine Kelly Lang")</f>
        <v>Katherine Kelly Lang</v>
      </c>
      <c r="AE3816" s="11"/>
    </row>
    <row r="3817" customHeight="1" spans="1:31">
      <c r="A3817" s="12" t="s">
        <v>30</v>
      </c>
      <c r="B3817" s="12" t="s">
        <v>18084</v>
      </c>
      <c r="C3817" s="12">
        <v>2</v>
      </c>
      <c r="D3817" s="16"/>
      <c r="E3817" s="12">
        <v>3</v>
      </c>
      <c r="F3817" s="12">
        <v>723</v>
      </c>
      <c r="G3817" s="12">
        <v>975</v>
      </c>
      <c r="H3817" s="16"/>
      <c r="I3817" s="12" t="s">
        <v>2528</v>
      </c>
      <c r="J3817" s="12" t="s">
        <v>2524</v>
      </c>
      <c r="K3817" s="12" t="s">
        <v>7324</v>
      </c>
      <c r="L3817" s="12" t="s">
        <v>5920</v>
      </c>
      <c r="M3817" s="12" t="s">
        <v>18085</v>
      </c>
      <c r="N3817" s="12">
        <v>38</v>
      </c>
      <c r="O3817" s="12">
        <v>4991</v>
      </c>
      <c r="P3817" s="12">
        <v>15</v>
      </c>
      <c r="Q3817" s="16"/>
      <c r="R3817" s="15" t="s">
        <v>18086</v>
      </c>
      <c r="S3817" s="12">
        <v>2</v>
      </c>
      <c r="T3817" s="12" t="s">
        <v>39</v>
      </c>
      <c r="U3817" s="12" t="s">
        <v>40</v>
      </c>
      <c r="V3817" s="16"/>
      <c r="W3817" s="12">
        <v>5000000</v>
      </c>
      <c r="X3817" s="12">
        <v>2012</v>
      </c>
      <c r="Y3817" s="12">
        <v>900</v>
      </c>
      <c r="Z3817" s="12">
        <v>6.7</v>
      </c>
      <c r="AA3817" s="16"/>
      <c r="AB3817" s="12">
        <v>35</v>
      </c>
      <c r="AC3817" s="12"/>
      <c r="AD3817" s="12" t="str">
        <f>IFERROR(__xludf.DUMMYFUNCTION("""COMPUTED_VALUE"""),"Hunter Tylo")</f>
        <v>Hunter Tylo</v>
      </c>
      <c r="AE3817" s="12"/>
    </row>
    <row r="3818" customHeight="1" spans="1:31">
      <c r="A3818" s="11" t="s">
        <v>30</v>
      </c>
      <c r="B3818" s="11" t="s">
        <v>18087</v>
      </c>
      <c r="C3818" s="13"/>
      <c r="D3818" s="11">
        <v>88</v>
      </c>
      <c r="E3818" s="11">
        <v>14</v>
      </c>
      <c r="F3818" s="11">
        <v>668</v>
      </c>
      <c r="G3818" s="11">
        <v>784</v>
      </c>
      <c r="H3818" s="13"/>
      <c r="I3818" s="11" t="s">
        <v>18088</v>
      </c>
      <c r="J3818" s="11" t="s">
        <v>18089</v>
      </c>
      <c r="K3818" s="11" t="s">
        <v>18090</v>
      </c>
      <c r="L3818" s="11" t="s">
        <v>6021</v>
      </c>
      <c r="M3818" s="11" t="s">
        <v>18091</v>
      </c>
      <c r="N3818" s="11">
        <v>8</v>
      </c>
      <c r="O3818" s="11">
        <v>3021</v>
      </c>
      <c r="P3818" s="11">
        <v>2</v>
      </c>
      <c r="Q3818" s="13"/>
      <c r="R3818" s="14" t="s">
        <v>18092</v>
      </c>
      <c r="S3818" s="13"/>
      <c r="T3818" s="11" t="s">
        <v>39</v>
      </c>
      <c r="U3818" s="11" t="s">
        <v>40</v>
      </c>
      <c r="V3818" s="13"/>
      <c r="W3818" s="11">
        <v>5000000</v>
      </c>
      <c r="X3818" s="11">
        <v>2015</v>
      </c>
      <c r="Y3818" s="11">
        <v>763</v>
      </c>
      <c r="Z3818" s="11">
        <v>8.6</v>
      </c>
      <c r="AA3818" s="13"/>
      <c r="AB3818" s="11">
        <v>49</v>
      </c>
      <c r="AC3818" s="11"/>
      <c r="AD3818" s="11" t="str">
        <f>IFERROR(__xludf.DUMMYFUNCTION("""COMPUTED_VALUE"""),"John Carradine")</f>
        <v>John Carradine</v>
      </c>
      <c r="AE3818" s="11"/>
    </row>
    <row r="3819" customHeight="1" spans="1:31">
      <c r="A3819" s="12" t="s">
        <v>30</v>
      </c>
      <c r="B3819" s="12" t="s">
        <v>7135</v>
      </c>
      <c r="C3819" s="12">
        <v>35</v>
      </c>
      <c r="D3819" s="12">
        <v>88</v>
      </c>
      <c r="E3819" s="12">
        <v>0</v>
      </c>
      <c r="F3819" s="12">
        <v>1000</v>
      </c>
      <c r="G3819" s="12">
        <v>40000</v>
      </c>
      <c r="H3819" s="16"/>
      <c r="I3819" s="12" t="s">
        <v>8066</v>
      </c>
      <c r="J3819" s="12" t="s">
        <v>44</v>
      </c>
      <c r="K3819" s="12" t="s">
        <v>2190</v>
      </c>
      <c r="L3819" s="12" t="s">
        <v>3752</v>
      </c>
      <c r="M3819" s="12" t="s">
        <v>18093</v>
      </c>
      <c r="N3819" s="12">
        <v>849</v>
      </c>
      <c r="O3819" s="12">
        <v>46115</v>
      </c>
      <c r="P3819" s="12">
        <v>7</v>
      </c>
      <c r="Q3819" s="12" t="s">
        <v>18094</v>
      </c>
      <c r="R3819" s="15" t="s">
        <v>18095</v>
      </c>
      <c r="S3819" s="12">
        <v>4</v>
      </c>
      <c r="T3819" s="12" t="s">
        <v>39</v>
      </c>
      <c r="U3819" s="12" t="s">
        <v>40</v>
      </c>
      <c r="V3819" s="12" t="s">
        <v>41</v>
      </c>
      <c r="W3819" s="12">
        <v>5000000</v>
      </c>
      <c r="X3819" s="12">
        <v>2016</v>
      </c>
      <c r="Y3819" s="12">
        <v>3000</v>
      </c>
      <c r="Z3819" s="12">
        <v>4.8</v>
      </c>
      <c r="AA3819" s="16"/>
      <c r="AB3819" s="12">
        <v>0</v>
      </c>
      <c r="AC3819" s="12"/>
      <c r="AD3819" s="12" t="str">
        <f>IFERROR(__xludf.DUMMYFUNCTION("""COMPUTED_VALUE"""),"Robert Urich")</f>
        <v>Robert Urich</v>
      </c>
      <c r="AE3819" s="12"/>
    </row>
    <row r="3820" customHeight="1" spans="1:31">
      <c r="A3820" s="11" t="s">
        <v>30</v>
      </c>
      <c r="B3820" s="11" t="s">
        <v>18096</v>
      </c>
      <c r="C3820" s="11">
        <v>21</v>
      </c>
      <c r="D3820" s="11">
        <v>97</v>
      </c>
      <c r="E3820" s="11">
        <v>20</v>
      </c>
      <c r="F3820" s="11">
        <v>538</v>
      </c>
      <c r="G3820" s="11">
        <v>741</v>
      </c>
      <c r="H3820" s="13"/>
      <c r="I3820" s="11" t="s">
        <v>5765</v>
      </c>
      <c r="J3820" s="11" t="s">
        <v>18097</v>
      </c>
      <c r="K3820" s="11" t="s">
        <v>18098</v>
      </c>
      <c r="L3820" s="11" t="s">
        <v>18099</v>
      </c>
      <c r="M3820" s="11" t="s">
        <v>18100</v>
      </c>
      <c r="N3820" s="11">
        <v>928</v>
      </c>
      <c r="O3820" s="11">
        <v>2849</v>
      </c>
      <c r="P3820" s="11">
        <v>1</v>
      </c>
      <c r="Q3820" s="11" t="s">
        <v>18101</v>
      </c>
      <c r="R3820" s="14" t="s">
        <v>18102</v>
      </c>
      <c r="S3820" s="11">
        <v>14</v>
      </c>
      <c r="T3820" s="11" t="s">
        <v>39</v>
      </c>
      <c r="U3820" s="11" t="s">
        <v>40</v>
      </c>
      <c r="V3820" s="13"/>
      <c r="W3820" s="13"/>
      <c r="X3820" s="11">
        <v>2015</v>
      </c>
      <c r="Y3820" s="11">
        <v>615</v>
      </c>
      <c r="Z3820" s="11">
        <v>3.4</v>
      </c>
      <c r="AA3820" s="13"/>
      <c r="AB3820" s="11">
        <v>0</v>
      </c>
      <c r="AC3820" s="11"/>
      <c r="AD3820" s="11" t="str">
        <f>IFERROR(__xludf.DUMMYFUNCTION("""COMPUTED_VALUE"""),"Carly Schroeder")</f>
        <v>Carly Schroeder</v>
      </c>
      <c r="AE3820" s="11"/>
    </row>
    <row r="3821" customHeight="1" spans="1:31">
      <c r="A3821" s="12" t="s">
        <v>30</v>
      </c>
      <c r="B3821" s="12" t="s">
        <v>18103</v>
      </c>
      <c r="C3821" s="12">
        <v>99</v>
      </c>
      <c r="D3821" s="12">
        <v>113</v>
      </c>
      <c r="E3821" s="12">
        <v>44</v>
      </c>
      <c r="F3821" s="12">
        <v>4</v>
      </c>
      <c r="G3821" s="12">
        <v>61</v>
      </c>
      <c r="H3821" s="12">
        <v>617228</v>
      </c>
      <c r="I3821" s="12" t="s">
        <v>18104</v>
      </c>
      <c r="J3821" s="12" t="s">
        <v>18105</v>
      </c>
      <c r="K3821" s="12" t="s">
        <v>18106</v>
      </c>
      <c r="L3821" s="12" t="s">
        <v>18107</v>
      </c>
      <c r="M3821" s="12" t="s">
        <v>18108</v>
      </c>
      <c r="N3821" s="12">
        <v>6183</v>
      </c>
      <c r="O3821" s="12">
        <v>92</v>
      </c>
      <c r="P3821" s="12">
        <v>1</v>
      </c>
      <c r="Q3821" s="12" t="s">
        <v>18109</v>
      </c>
      <c r="R3821" s="15" t="s">
        <v>18110</v>
      </c>
      <c r="S3821" s="12">
        <v>27</v>
      </c>
      <c r="T3821" s="12" t="s">
        <v>18111</v>
      </c>
      <c r="U3821" s="12" t="s">
        <v>5561</v>
      </c>
      <c r="V3821" s="12" t="s">
        <v>586</v>
      </c>
      <c r="W3821" s="12">
        <v>84450000</v>
      </c>
      <c r="X3821" s="12">
        <v>2006</v>
      </c>
      <c r="Y3821" s="12">
        <v>12</v>
      </c>
      <c r="Z3821" s="12">
        <v>7.4</v>
      </c>
      <c r="AA3821" s="12">
        <v>1.85</v>
      </c>
      <c r="AB3821" s="12">
        <v>1000</v>
      </c>
      <c r="AC3821" s="12"/>
      <c r="AD3821" s="12" t="str">
        <f>IFERROR(__xludf.DUMMYFUNCTION("""COMPUTED_VALUE"""),"Janet McTeer")</f>
        <v>Janet McTeer</v>
      </c>
      <c r="AE3821" s="12"/>
    </row>
    <row r="3822" customHeight="1" spans="1:31">
      <c r="A3822" s="11" t="s">
        <v>30</v>
      </c>
      <c r="B3822" s="11" t="s">
        <v>18112</v>
      </c>
      <c r="C3822" s="11">
        <v>115</v>
      </c>
      <c r="D3822" s="11">
        <v>99</v>
      </c>
      <c r="E3822" s="11">
        <v>766</v>
      </c>
      <c r="F3822" s="11">
        <v>269</v>
      </c>
      <c r="G3822" s="11">
        <v>595</v>
      </c>
      <c r="H3822" s="11">
        <v>274385</v>
      </c>
      <c r="I3822" s="11" t="s">
        <v>2528</v>
      </c>
      <c r="J3822" s="11" t="s">
        <v>1823</v>
      </c>
      <c r="K3822" s="11" t="s">
        <v>3095</v>
      </c>
      <c r="L3822" s="11" t="s">
        <v>18113</v>
      </c>
      <c r="M3822" s="11" t="s">
        <v>18114</v>
      </c>
      <c r="N3822" s="11">
        <v>29203</v>
      </c>
      <c r="O3822" s="11">
        <v>1519</v>
      </c>
      <c r="P3822" s="11">
        <v>3</v>
      </c>
      <c r="Q3822" s="11" t="s">
        <v>18115</v>
      </c>
      <c r="R3822" s="14" t="s">
        <v>18116</v>
      </c>
      <c r="S3822" s="11">
        <v>26</v>
      </c>
      <c r="T3822" s="11" t="s">
        <v>8732</v>
      </c>
      <c r="U3822" s="11" t="s">
        <v>768</v>
      </c>
      <c r="V3822" s="13"/>
      <c r="W3822" s="11">
        <v>4000000</v>
      </c>
      <c r="X3822" s="11">
        <v>2009</v>
      </c>
      <c r="Y3822" s="11">
        <v>486</v>
      </c>
      <c r="Z3822" s="11">
        <v>7.3</v>
      </c>
      <c r="AA3822" s="11">
        <v>1.85</v>
      </c>
      <c r="AB3822" s="11">
        <v>0</v>
      </c>
      <c r="AC3822" s="11"/>
      <c r="AD3822" s="11" t="str">
        <f>IFERROR(__xludf.DUMMYFUNCTION("""COMPUTED_VALUE"""),"Jung-min Hwang")</f>
        <v>Jung-min Hwang</v>
      </c>
      <c r="AE3822" s="11"/>
    </row>
    <row r="3823" customHeight="1" spans="1:31">
      <c r="A3823" s="12" t="s">
        <v>30</v>
      </c>
      <c r="B3823" s="12" t="s">
        <v>5936</v>
      </c>
      <c r="C3823" s="12">
        <v>104</v>
      </c>
      <c r="D3823" s="12">
        <v>148</v>
      </c>
      <c r="E3823" s="12">
        <v>0</v>
      </c>
      <c r="F3823" s="12">
        <v>263</v>
      </c>
      <c r="G3823" s="12">
        <v>3000</v>
      </c>
      <c r="H3823" s="12">
        <v>24475416</v>
      </c>
      <c r="I3823" s="12" t="s">
        <v>3410</v>
      </c>
      <c r="J3823" s="12" t="s">
        <v>1689</v>
      </c>
      <c r="K3823" s="12" t="s">
        <v>5538</v>
      </c>
      <c r="L3823" s="12" t="s">
        <v>4681</v>
      </c>
      <c r="M3823" s="12" t="s">
        <v>18117</v>
      </c>
      <c r="N3823" s="12">
        <v>72443</v>
      </c>
      <c r="O3823" s="12">
        <v>3967</v>
      </c>
      <c r="P3823" s="12">
        <v>0</v>
      </c>
      <c r="Q3823" s="12" t="s">
        <v>18118</v>
      </c>
      <c r="R3823" s="15" t="s">
        <v>18119</v>
      </c>
      <c r="S3823" s="12">
        <v>309</v>
      </c>
      <c r="T3823" s="12" t="s">
        <v>39</v>
      </c>
      <c r="U3823" s="12" t="s">
        <v>40</v>
      </c>
      <c r="V3823" s="12" t="s">
        <v>586</v>
      </c>
      <c r="W3823" s="12">
        <v>890000</v>
      </c>
      <c r="X3823" s="12">
        <v>1996</v>
      </c>
      <c r="Y3823" s="12">
        <v>324</v>
      </c>
      <c r="Z3823" s="12">
        <v>8</v>
      </c>
      <c r="AA3823" s="12">
        <v>1.85</v>
      </c>
      <c r="AB3823" s="12">
        <v>0</v>
      </c>
      <c r="AC3823" s="12"/>
      <c r="AD3823" s="12" t="str">
        <f>IFERROR(__xludf.DUMMYFUNCTION("""COMPUTED_VALUE"""),"Jun Kunimura")</f>
        <v>Jun Kunimura</v>
      </c>
      <c r="AE3823" s="12"/>
    </row>
    <row r="3824" customHeight="1" spans="1:31">
      <c r="A3824" s="11" t="s">
        <v>30</v>
      </c>
      <c r="B3824" s="11" t="s">
        <v>18120</v>
      </c>
      <c r="C3824" s="11">
        <v>195</v>
      </c>
      <c r="D3824" s="11">
        <v>107</v>
      </c>
      <c r="E3824" s="11">
        <v>58</v>
      </c>
      <c r="F3824" s="11">
        <v>537</v>
      </c>
      <c r="G3824" s="11">
        <v>874</v>
      </c>
      <c r="H3824" s="13"/>
      <c r="I3824" s="11" t="s">
        <v>5544</v>
      </c>
      <c r="J3824" s="11" t="s">
        <v>4190</v>
      </c>
      <c r="K3824" s="11" t="s">
        <v>2425</v>
      </c>
      <c r="L3824" s="11" t="s">
        <v>18121</v>
      </c>
      <c r="M3824" s="11" t="s">
        <v>18122</v>
      </c>
      <c r="N3824" s="11">
        <v>46347</v>
      </c>
      <c r="O3824" s="11">
        <v>2363</v>
      </c>
      <c r="P3824" s="11">
        <v>1</v>
      </c>
      <c r="Q3824" s="11" t="s">
        <v>18123</v>
      </c>
      <c r="R3824" s="14" t="s">
        <v>18124</v>
      </c>
      <c r="S3824" s="11">
        <v>112</v>
      </c>
      <c r="T3824" s="11" t="s">
        <v>39</v>
      </c>
      <c r="U3824" s="11" t="s">
        <v>58</v>
      </c>
      <c r="V3824" s="11" t="s">
        <v>586</v>
      </c>
      <c r="W3824" s="11">
        <v>3000000</v>
      </c>
      <c r="X3824" s="11">
        <v>2011</v>
      </c>
      <c r="Y3824" s="11">
        <v>579</v>
      </c>
      <c r="Z3824" s="11">
        <v>6.5</v>
      </c>
      <c r="AA3824" s="11">
        <v>2.35</v>
      </c>
      <c r="AB3824" s="11">
        <v>10000</v>
      </c>
      <c r="AC3824" s="11"/>
      <c r="AD3824" s="11" t="str">
        <f>IFERROR(__xludf.DUMMYFUNCTION("""COMPUTED_VALUE"""),"Woo-hee Chun")</f>
        <v>Woo-hee Chun</v>
      </c>
      <c r="AE3824" s="11"/>
    </row>
    <row r="3825" customHeight="1" spans="1:31">
      <c r="A3825" s="12" t="s">
        <v>30</v>
      </c>
      <c r="B3825" s="12" t="s">
        <v>16339</v>
      </c>
      <c r="C3825" s="12">
        <v>303</v>
      </c>
      <c r="D3825" s="12">
        <v>93</v>
      </c>
      <c r="E3825" s="12">
        <v>0</v>
      </c>
      <c r="F3825" s="12">
        <v>581</v>
      </c>
      <c r="G3825" s="12">
        <v>1000</v>
      </c>
      <c r="H3825" s="12">
        <v>47277326</v>
      </c>
      <c r="I3825" s="12" t="s">
        <v>6403</v>
      </c>
      <c r="J3825" s="12" t="s">
        <v>3715</v>
      </c>
      <c r="K3825" s="12" t="s">
        <v>18125</v>
      </c>
      <c r="L3825" s="12" t="s">
        <v>5361</v>
      </c>
      <c r="M3825" s="12" t="s">
        <v>18126</v>
      </c>
      <c r="N3825" s="12">
        <v>138814</v>
      </c>
      <c r="O3825" s="12">
        <v>2990</v>
      </c>
      <c r="P3825" s="12">
        <v>0</v>
      </c>
      <c r="Q3825" s="12" t="s">
        <v>18127</v>
      </c>
      <c r="R3825" s="15" t="s">
        <v>18128</v>
      </c>
      <c r="S3825" s="12">
        <v>1516</v>
      </c>
      <c r="T3825" s="12" t="s">
        <v>39</v>
      </c>
      <c r="U3825" s="12" t="s">
        <v>40</v>
      </c>
      <c r="V3825" s="12" t="s">
        <v>586</v>
      </c>
      <c r="W3825" s="12">
        <v>4800000</v>
      </c>
      <c r="X3825" s="12">
        <v>2005</v>
      </c>
      <c r="Y3825" s="12">
        <v>1000</v>
      </c>
      <c r="Z3825" s="12">
        <v>5.9</v>
      </c>
      <c r="AA3825" s="12">
        <v>2.35</v>
      </c>
      <c r="AB3825" s="12">
        <v>0</v>
      </c>
      <c r="AC3825" s="12"/>
      <c r="AD3825" s="12" t="str">
        <f>IFERROR(__xludf.DUMMYFUNCTION("""COMPUTED_VALUE"""),"Heather Morris")</f>
        <v>Heather Morris</v>
      </c>
      <c r="AE3825" s="12"/>
    </row>
    <row r="3826" customHeight="1" spans="1:31">
      <c r="A3826" s="11" t="s">
        <v>30</v>
      </c>
      <c r="B3826" s="11" t="s">
        <v>9431</v>
      </c>
      <c r="C3826" s="11">
        <v>122</v>
      </c>
      <c r="D3826" s="11">
        <v>94</v>
      </c>
      <c r="E3826" s="11">
        <v>187</v>
      </c>
      <c r="F3826" s="11">
        <v>427</v>
      </c>
      <c r="G3826" s="11">
        <v>1000</v>
      </c>
      <c r="H3826" s="11">
        <v>1247453</v>
      </c>
      <c r="I3826" s="11" t="s">
        <v>2528</v>
      </c>
      <c r="J3826" s="11" t="s">
        <v>813</v>
      </c>
      <c r="K3826" s="11" t="s">
        <v>2292</v>
      </c>
      <c r="L3826" s="11" t="s">
        <v>6090</v>
      </c>
      <c r="M3826" s="11" t="s">
        <v>18129</v>
      </c>
      <c r="N3826" s="11">
        <v>11202</v>
      </c>
      <c r="O3826" s="11">
        <v>3690</v>
      </c>
      <c r="P3826" s="11">
        <v>0</v>
      </c>
      <c r="Q3826" s="11" t="s">
        <v>18130</v>
      </c>
      <c r="R3826" s="14" t="s">
        <v>18131</v>
      </c>
      <c r="S3826" s="11">
        <v>123</v>
      </c>
      <c r="T3826" s="11" t="s">
        <v>39</v>
      </c>
      <c r="U3826" s="11" t="s">
        <v>58</v>
      </c>
      <c r="V3826" s="11" t="s">
        <v>586</v>
      </c>
      <c r="W3826" s="11">
        <v>2800000</v>
      </c>
      <c r="X3826" s="11">
        <v>2005</v>
      </c>
      <c r="Y3826" s="11">
        <v>887</v>
      </c>
      <c r="Z3826" s="11">
        <v>6.8</v>
      </c>
      <c r="AA3826" s="11">
        <v>2.35</v>
      </c>
      <c r="AB3826" s="11">
        <v>750</v>
      </c>
      <c r="AC3826" s="11"/>
      <c r="AD3826" s="11" t="str">
        <f>IFERROR(__xludf.DUMMYFUNCTION("""COMPUTED_VALUE"""),"Kevin McHale")</f>
        <v>Kevin McHale</v>
      </c>
      <c r="AE3826" s="11"/>
    </row>
    <row r="3827" customHeight="1" spans="1:31">
      <c r="A3827" s="12" t="s">
        <v>30</v>
      </c>
      <c r="B3827" s="12" t="s">
        <v>12000</v>
      </c>
      <c r="C3827" s="12">
        <v>359</v>
      </c>
      <c r="D3827" s="12">
        <v>121</v>
      </c>
      <c r="E3827" s="12">
        <v>337</v>
      </c>
      <c r="F3827" s="12">
        <v>41</v>
      </c>
      <c r="G3827" s="12">
        <v>982</v>
      </c>
      <c r="H3827" s="12">
        <v>1729969</v>
      </c>
      <c r="I3827" s="12" t="s">
        <v>4075</v>
      </c>
      <c r="J3827" s="12" t="s">
        <v>2601</v>
      </c>
      <c r="K3827" s="12" t="s">
        <v>5857</v>
      </c>
      <c r="L3827" s="12" t="s">
        <v>18132</v>
      </c>
      <c r="M3827" s="12" t="s">
        <v>18133</v>
      </c>
      <c r="N3827" s="12">
        <v>68211</v>
      </c>
      <c r="O3827" s="12">
        <v>1520</v>
      </c>
      <c r="P3827" s="12">
        <v>0</v>
      </c>
      <c r="Q3827" s="12" t="s">
        <v>18134</v>
      </c>
      <c r="R3827" s="15" t="s">
        <v>18135</v>
      </c>
      <c r="S3827" s="12">
        <v>219</v>
      </c>
      <c r="T3827" s="12" t="s">
        <v>39</v>
      </c>
      <c r="U3827" s="12" t="s">
        <v>40</v>
      </c>
      <c r="V3827" s="12" t="s">
        <v>586</v>
      </c>
      <c r="W3827" s="12">
        <v>5000000</v>
      </c>
      <c r="X3827" s="12">
        <v>2011</v>
      </c>
      <c r="Y3827" s="12">
        <v>463</v>
      </c>
      <c r="Z3827" s="12">
        <v>7.4</v>
      </c>
      <c r="AA3827" s="12">
        <v>2.35</v>
      </c>
      <c r="AB3827" s="12">
        <v>14000</v>
      </c>
      <c r="AC3827" s="12"/>
      <c r="AD3827" s="12" t="str">
        <f>IFERROR(__xludf.DUMMYFUNCTION("""COMPUTED_VALUE"""),"Chatchai Plengpanich")</f>
        <v>Chatchai Plengpanich</v>
      </c>
      <c r="AE3827" s="12"/>
    </row>
    <row r="3828" customHeight="1" spans="1:31">
      <c r="A3828" s="11" t="s">
        <v>30</v>
      </c>
      <c r="B3828" s="11" t="s">
        <v>18136</v>
      </c>
      <c r="C3828" s="11">
        <v>130</v>
      </c>
      <c r="D3828" s="11">
        <v>118</v>
      </c>
      <c r="E3828" s="11">
        <v>7</v>
      </c>
      <c r="F3828" s="11">
        <v>339</v>
      </c>
      <c r="G3828" s="11">
        <v>968</v>
      </c>
      <c r="H3828" s="11">
        <v>1705139</v>
      </c>
      <c r="I3828" s="11" t="s">
        <v>2664</v>
      </c>
      <c r="J3828" s="11" t="s">
        <v>8881</v>
      </c>
      <c r="K3828" s="11" t="s">
        <v>1136</v>
      </c>
      <c r="L3828" s="11" t="s">
        <v>18137</v>
      </c>
      <c r="M3828" s="11" t="s">
        <v>18138</v>
      </c>
      <c r="N3828" s="11">
        <v>4695</v>
      </c>
      <c r="O3828" s="11">
        <v>2545</v>
      </c>
      <c r="P3828" s="11">
        <v>0</v>
      </c>
      <c r="Q3828" s="11" t="s">
        <v>18139</v>
      </c>
      <c r="R3828" s="14" t="s">
        <v>18140</v>
      </c>
      <c r="S3828" s="11">
        <v>69</v>
      </c>
      <c r="T3828" s="11" t="s">
        <v>39</v>
      </c>
      <c r="U3828" s="11" t="s">
        <v>40</v>
      </c>
      <c r="V3828" s="11" t="s">
        <v>586</v>
      </c>
      <c r="W3828" s="11">
        <v>4700000</v>
      </c>
      <c r="X3828" s="11">
        <v>1988</v>
      </c>
      <c r="Y3828" s="11">
        <v>733</v>
      </c>
      <c r="Z3828" s="11">
        <v>6.7</v>
      </c>
      <c r="AA3828" s="11">
        <v>1.85</v>
      </c>
      <c r="AB3828" s="11">
        <v>0</v>
      </c>
      <c r="AC3828" s="11"/>
      <c r="AD3828" s="11" t="str">
        <f>IFERROR(__xludf.DUMMYFUNCTION("""COMPUTED_VALUE"""),"Mai Charoenpura")</f>
        <v>Mai Charoenpura</v>
      </c>
      <c r="AE3828" s="11"/>
    </row>
    <row r="3829" customHeight="1" spans="1:31">
      <c r="A3829" s="12" t="s">
        <v>30</v>
      </c>
      <c r="B3829" s="12" t="s">
        <v>18141</v>
      </c>
      <c r="C3829" s="12">
        <v>64</v>
      </c>
      <c r="D3829" s="12">
        <v>98</v>
      </c>
      <c r="E3829" s="12">
        <v>16</v>
      </c>
      <c r="F3829" s="12">
        <v>621</v>
      </c>
      <c r="G3829" s="12">
        <v>10000</v>
      </c>
      <c r="H3829" s="12">
        <v>238774</v>
      </c>
      <c r="I3829" s="12" t="s">
        <v>2528</v>
      </c>
      <c r="J3829" s="12" t="s">
        <v>108</v>
      </c>
      <c r="K3829" s="12" t="s">
        <v>405</v>
      </c>
      <c r="L3829" s="12" t="s">
        <v>579</v>
      </c>
      <c r="M3829" s="12" t="s">
        <v>18142</v>
      </c>
      <c r="N3829" s="12">
        <v>9611</v>
      </c>
      <c r="O3829" s="12">
        <v>11703</v>
      </c>
      <c r="P3829" s="12">
        <v>0</v>
      </c>
      <c r="Q3829" s="12" t="s">
        <v>18143</v>
      </c>
      <c r="R3829" s="15" t="s">
        <v>18144</v>
      </c>
      <c r="S3829" s="12">
        <v>70</v>
      </c>
      <c r="T3829" s="12" t="s">
        <v>39</v>
      </c>
      <c r="U3829" s="12" t="s">
        <v>58</v>
      </c>
      <c r="V3829" s="12" t="s">
        <v>41</v>
      </c>
      <c r="W3829" s="16"/>
      <c r="X3829" s="12">
        <v>2006</v>
      </c>
      <c r="Y3829" s="12">
        <v>838</v>
      </c>
      <c r="Z3829" s="12">
        <v>6.8</v>
      </c>
      <c r="AA3829" s="12">
        <v>1.85</v>
      </c>
      <c r="AB3829" s="12">
        <v>864</v>
      </c>
      <c r="AC3829" s="12"/>
      <c r="AD3829" s="12" t="str">
        <f>IFERROR(__xludf.DUMMYFUNCTION("""COMPUTED_VALUE"""),"Julie Engelbrecht")</f>
        <v>Julie Engelbrecht</v>
      </c>
      <c r="AE3829" s="12"/>
    </row>
    <row r="3830" customHeight="1" spans="1:31">
      <c r="A3830" s="11" t="s">
        <v>30</v>
      </c>
      <c r="B3830" s="11" t="s">
        <v>18145</v>
      </c>
      <c r="C3830" s="11">
        <v>13</v>
      </c>
      <c r="D3830" s="11">
        <v>82</v>
      </c>
      <c r="E3830" s="11">
        <v>0</v>
      </c>
      <c r="F3830" s="11">
        <v>316</v>
      </c>
      <c r="G3830" s="11">
        <v>927</v>
      </c>
      <c r="H3830" s="13"/>
      <c r="I3830" s="11" t="s">
        <v>1009</v>
      </c>
      <c r="J3830" s="11" t="s">
        <v>9033</v>
      </c>
      <c r="K3830" s="11" t="s">
        <v>2209</v>
      </c>
      <c r="L3830" s="11" t="s">
        <v>7033</v>
      </c>
      <c r="M3830" s="11" t="s">
        <v>18146</v>
      </c>
      <c r="N3830" s="11">
        <v>4247</v>
      </c>
      <c r="O3830" s="11">
        <v>2469</v>
      </c>
      <c r="P3830" s="11">
        <v>2</v>
      </c>
      <c r="Q3830" s="11" t="s">
        <v>18147</v>
      </c>
      <c r="R3830" s="14" t="s">
        <v>18148</v>
      </c>
      <c r="S3830" s="11">
        <v>11</v>
      </c>
      <c r="T3830" s="11" t="s">
        <v>39</v>
      </c>
      <c r="U3830" s="11" t="s">
        <v>40</v>
      </c>
      <c r="V3830" s="11" t="s">
        <v>5614</v>
      </c>
      <c r="W3830" s="11">
        <v>5000000</v>
      </c>
      <c r="X3830" s="11">
        <v>2014</v>
      </c>
      <c r="Y3830" s="11">
        <v>833</v>
      </c>
      <c r="Z3830" s="11">
        <v>5.4</v>
      </c>
      <c r="AA3830" s="13"/>
      <c r="AB3830" s="11">
        <v>0</v>
      </c>
      <c r="AC3830" s="11"/>
      <c r="AD3830" s="11" t="str">
        <f>IFERROR(__xludf.DUMMYFUNCTION("""COMPUTED_VALUE"""),"Lionel Abelanski")</f>
        <v>Lionel Abelanski</v>
      </c>
      <c r="AE3830" s="11"/>
    </row>
    <row r="3831" customHeight="1" spans="1:31">
      <c r="A3831" s="12" t="s">
        <v>30</v>
      </c>
      <c r="B3831" s="12" t="s">
        <v>7405</v>
      </c>
      <c r="C3831" s="12">
        <v>159</v>
      </c>
      <c r="D3831" s="12">
        <v>101</v>
      </c>
      <c r="E3831" s="12">
        <v>365</v>
      </c>
      <c r="F3831" s="12">
        <v>14</v>
      </c>
      <c r="G3831" s="12">
        <v>237</v>
      </c>
      <c r="H3831" s="12">
        <v>8025872</v>
      </c>
      <c r="I3831" s="12" t="s">
        <v>7579</v>
      </c>
      <c r="J3831" s="12" t="s">
        <v>18149</v>
      </c>
      <c r="K3831" s="12" t="s">
        <v>18150</v>
      </c>
      <c r="L3831" s="12" t="s">
        <v>18151</v>
      </c>
      <c r="M3831" s="12" t="s">
        <v>18152</v>
      </c>
      <c r="N3831" s="12">
        <v>19234</v>
      </c>
      <c r="O3831" s="12">
        <v>302</v>
      </c>
      <c r="P3831" s="12">
        <v>3</v>
      </c>
      <c r="Q3831" s="12" t="s">
        <v>18153</v>
      </c>
      <c r="R3831" s="15" t="s">
        <v>18154</v>
      </c>
      <c r="S3831" s="12">
        <v>258</v>
      </c>
      <c r="T3831" s="12" t="s">
        <v>39</v>
      </c>
      <c r="U3831" s="12" t="s">
        <v>40</v>
      </c>
      <c r="V3831" s="12" t="s">
        <v>7335</v>
      </c>
      <c r="W3831" s="12">
        <v>4700000</v>
      </c>
      <c r="X3831" s="12">
        <v>1986</v>
      </c>
      <c r="Y3831" s="12">
        <v>28</v>
      </c>
      <c r="Z3831" s="12">
        <v>5.5</v>
      </c>
      <c r="AA3831" s="12">
        <v>1.85</v>
      </c>
      <c r="AB3831" s="12">
        <v>0</v>
      </c>
      <c r="AC3831" s="12"/>
      <c r="AD3831" s="12" t="str">
        <f>IFERROR(__xludf.DUMMYFUNCTION("""COMPUTED_VALUE"""),"Gary McDonald")</f>
        <v>Gary McDonald</v>
      </c>
      <c r="AE3831" s="12"/>
    </row>
    <row r="3832" customHeight="1" spans="1:31">
      <c r="A3832" s="11" t="s">
        <v>30</v>
      </c>
      <c r="B3832" s="11" t="s">
        <v>17194</v>
      </c>
      <c r="C3832" s="11">
        <v>54</v>
      </c>
      <c r="D3832" s="11">
        <v>106</v>
      </c>
      <c r="E3832" s="11">
        <v>541</v>
      </c>
      <c r="F3832" s="11">
        <v>372</v>
      </c>
      <c r="G3832" s="11">
        <v>773</v>
      </c>
      <c r="H3832" s="13"/>
      <c r="I3832" s="11" t="s">
        <v>18155</v>
      </c>
      <c r="J3832" s="11" t="s">
        <v>1441</v>
      </c>
      <c r="K3832" s="11" t="s">
        <v>18156</v>
      </c>
      <c r="L3832" s="11" t="s">
        <v>6806</v>
      </c>
      <c r="M3832" s="11" t="s">
        <v>18157</v>
      </c>
      <c r="N3832" s="11">
        <v>13467</v>
      </c>
      <c r="O3832" s="11">
        <v>2409</v>
      </c>
      <c r="P3832" s="11">
        <v>0</v>
      </c>
      <c r="Q3832" s="11" t="s">
        <v>18158</v>
      </c>
      <c r="R3832" s="14" t="s">
        <v>18159</v>
      </c>
      <c r="S3832" s="11">
        <v>106</v>
      </c>
      <c r="T3832" s="11" t="s">
        <v>39</v>
      </c>
      <c r="U3832" s="11" t="s">
        <v>40</v>
      </c>
      <c r="V3832" s="11" t="s">
        <v>586</v>
      </c>
      <c r="W3832" s="11">
        <v>4638783</v>
      </c>
      <c r="X3832" s="11">
        <v>1973</v>
      </c>
      <c r="Y3832" s="11">
        <v>476</v>
      </c>
      <c r="Z3832" s="11">
        <v>7.4</v>
      </c>
      <c r="AA3832" s="11">
        <v>2.35</v>
      </c>
      <c r="AB3832" s="11">
        <v>0</v>
      </c>
      <c r="AC3832" s="11"/>
      <c r="AD3832" s="11" t="str">
        <f>IFERROR(__xludf.DUMMYFUNCTION("""COMPUTED_VALUE"""),"Q'orianka Kilcher")</f>
        <v>Q'orianka Kilcher</v>
      </c>
      <c r="AE3832" s="11"/>
    </row>
    <row r="3833" customHeight="1" spans="1:31">
      <c r="A3833" s="12" t="s">
        <v>30</v>
      </c>
      <c r="B3833" s="12" t="s">
        <v>12850</v>
      </c>
      <c r="C3833" s="12">
        <v>440</v>
      </c>
      <c r="D3833" s="12">
        <v>90</v>
      </c>
      <c r="E3833" s="12">
        <v>0</v>
      </c>
      <c r="F3833" s="12">
        <v>428</v>
      </c>
      <c r="G3833" s="12">
        <v>33000</v>
      </c>
      <c r="H3833" s="12">
        <v>778565</v>
      </c>
      <c r="I3833" s="12" t="s">
        <v>1936</v>
      </c>
      <c r="J3833" s="12" t="s">
        <v>4214</v>
      </c>
      <c r="K3833" s="12" t="s">
        <v>203</v>
      </c>
      <c r="L3833" s="12" t="s">
        <v>18160</v>
      </c>
      <c r="M3833" s="12" t="s">
        <v>18161</v>
      </c>
      <c r="N3833" s="12">
        <v>83234</v>
      </c>
      <c r="O3833" s="12">
        <v>34779</v>
      </c>
      <c r="P3833" s="12">
        <v>1</v>
      </c>
      <c r="Q3833" s="12" t="s">
        <v>18162</v>
      </c>
      <c r="R3833" s="15" t="s">
        <v>18163</v>
      </c>
      <c r="S3833" s="12">
        <v>475</v>
      </c>
      <c r="T3833" s="12" t="s">
        <v>39</v>
      </c>
      <c r="U3833" s="12" t="s">
        <v>7712</v>
      </c>
      <c r="V3833" s="12" t="s">
        <v>586</v>
      </c>
      <c r="W3833" s="12">
        <v>4800000</v>
      </c>
      <c r="X3833" s="12">
        <v>2013</v>
      </c>
      <c r="Y3833" s="12">
        <v>1000</v>
      </c>
      <c r="Z3833" s="12">
        <v>5.7</v>
      </c>
      <c r="AA3833" s="12">
        <v>1.85</v>
      </c>
      <c r="AB3833" s="12">
        <v>30000</v>
      </c>
      <c r="AC3833" s="12"/>
      <c r="AD3833" s="12" t="str">
        <f>IFERROR(__xludf.DUMMYFUNCTION("""COMPUTED_VALUE"""),"Jacqueline McKenzie")</f>
        <v>Jacqueline McKenzie</v>
      </c>
      <c r="AE3833" s="12"/>
    </row>
    <row r="3834" customHeight="1" spans="1:31">
      <c r="A3834" s="11" t="s">
        <v>30</v>
      </c>
      <c r="B3834" s="11" t="s">
        <v>18164</v>
      </c>
      <c r="C3834" s="11">
        <v>7</v>
      </c>
      <c r="D3834" s="11">
        <v>79</v>
      </c>
      <c r="E3834" s="11">
        <v>0</v>
      </c>
      <c r="F3834" s="11">
        <v>20</v>
      </c>
      <c r="G3834" s="11">
        <v>226</v>
      </c>
      <c r="H3834" s="13"/>
      <c r="I3834" s="11" t="s">
        <v>3410</v>
      </c>
      <c r="J3834" s="11" t="s">
        <v>4818</v>
      </c>
      <c r="K3834" s="11" t="s">
        <v>18165</v>
      </c>
      <c r="L3834" s="11" t="s">
        <v>18166</v>
      </c>
      <c r="M3834" s="11" t="s">
        <v>18167</v>
      </c>
      <c r="N3834" s="11">
        <v>262</v>
      </c>
      <c r="O3834" s="11">
        <v>286</v>
      </c>
      <c r="P3834" s="11">
        <v>0</v>
      </c>
      <c r="Q3834" s="11" t="s">
        <v>18168</v>
      </c>
      <c r="R3834" s="14" t="s">
        <v>18169</v>
      </c>
      <c r="S3834" s="11">
        <v>6</v>
      </c>
      <c r="T3834" s="11" t="s">
        <v>1465</v>
      </c>
      <c r="U3834" s="11" t="s">
        <v>1466</v>
      </c>
      <c r="V3834" s="13"/>
      <c r="W3834" s="13"/>
      <c r="X3834" s="11">
        <v>2005</v>
      </c>
      <c r="Y3834" s="11">
        <v>40</v>
      </c>
      <c r="Z3834" s="11">
        <v>5.4</v>
      </c>
      <c r="AA3834" s="13"/>
      <c r="AB3834" s="11">
        <v>11</v>
      </c>
      <c r="AC3834" s="11"/>
      <c r="AD3834" s="11" t="str">
        <f>IFERROR(__xludf.DUMMYFUNCTION("""COMPUTED_VALUE"""),"Vince Colosimo")</f>
        <v>Vince Colosimo</v>
      </c>
      <c r="AE3834" s="11"/>
    </row>
    <row r="3835" customHeight="1" spans="1:31">
      <c r="A3835" s="12" t="s">
        <v>30</v>
      </c>
      <c r="B3835" s="12" t="s">
        <v>18170</v>
      </c>
      <c r="C3835" s="12">
        <v>4</v>
      </c>
      <c r="D3835" s="12">
        <v>87</v>
      </c>
      <c r="E3835" s="12">
        <v>20</v>
      </c>
      <c r="F3835" s="12">
        <v>329</v>
      </c>
      <c r="G3835" s="12">
        <v>571</v>
      </c>
      <c r="H3835" s="16"/>
      <c r="I3835" s="12" t="s">
        <v>1672</v>
      </c>
      <c r="J3835" s="12" t="s">
        <v>8392</v>
      </c>
      <c r="K3835" s="12" t="s">
        <v>13738</v>
      </c>
      <c r="L3835" s="12" t="s">
        <v>4385</v>
      </c>
      <c r="M3835" s="12" t="s">
        <v>18171</v>
      </c>
      <c r="N3835" s="12">
        <v>1427</v>
      </c>
      <c r="O3835" s="12">
        <v>2006</v>
      </c>
      <c r="P3835" s="12">
        <v>6</v>
      </c>
      <c r="Q3835" s="12" t="s">
        <v>18172</v>
      </c>
      <c r="R3835" s="15" t="s">
        <v>18173</v>
      </c>
      <c r="S3835" s="12">
        <v>12</v>
      </c>
      <c r="T3835" s="12" t="s">
        <v>39</v>
      </c>
      <c r="U3835" s="12" t="s">
        <v>40</v>
      </c>
      <c r="V3835" s="12" t="s">
        <v>586</v>
      </c>
      <c r="W3835" s="12">
        <v>4700000</v>
      </c>
      <c r="X3835" s="12">
        <v>2011</v>
      </c>
      <c r="Y3835" s="12">
        <v>345</v>
      </c>
      <c r="Z3835" s="12">
        <v>3.2</v>
      </c>
      <c r="AA3835" s="16"/>
      <c r="AB3835" s="12">
        <v>491</v>
      </c>
      <c r="AC3835" s="12"/>
      <c r="AD3835" s="12" t="str">
        <f>IFERROR(__xludf.DUMMYFUNCTION("""COMPUTED_VALUE"""),"Peter Callan")</f>
        <v>Peter Callan</v>
      </c>
      <c r="AE3835" s="12"/>
    </row>
    <row r="3836" customHeight="1" spans="1:31">
      <c r="A3836" s="11" t="s">
        <v>30</v>
      </c>
      <c r="B3836" s="11" t="s">
        <v>18174</v>
      </c>
      <c r="C3836" s="11">
        <v>1</v>
      </c>
      <c r="D3836" s="13"/>
      <c r="E3836" s="11">
        <v>0</v>
      </c>
      <c r="F3836" s="11">
        <v>0</v>
      </c>
      <c r="G3836" s="11">
        <v>5</v>
      </c>
      <c r="H3836" s="13"/>
      <c r="I3836" s="11" t="s">
        <v>1681</v>
      </c>
      <c r="J3836" s="11" t="s">
        <v>18175</v>
      </c>
      <c r="K3836" s="11" t="s">
        <v>18176</v>
      </c>
      <c r="L3836" s="11" t="s">
        <v>18177</v>
      </c>
      <c r="M3836" s="11" t="s">
        <v>18178</v>
      </c>
      <c r="N3836" s="11">
        <v>57</v>
      </c>
      <c r="O3836" s="11">
        <v>5</v>
      </c>
      <c r="P3836" s="11">
        <v>2</v>
      </c>
      <c r="Q3836" s="13"/>
      <c r="R3836" s="14" t="s">
        <v>18179</v>
      </c>
      <c r="S3836" s="11">
        <v>1</v>
      </c>
      <c r="T3836" s="11" t="s">
        <v>18180</v>
      </c>
      <c r="U3836" s="11" t="s">
        <v>5613</v>
      </c>
      <c r="V3836" s="13"/>
      <c r="W3836" s="13"/>
      <c r="X3836" s="11">
        <v>2013</v>
      </c>
      <c r="Y3836" s="11">
        <v>0</v>
      </c>
      <c r="Z3836" s="11">
        <v>7.1</v>
      </c>
      <c r="AA3836" s="13"/>
      <c r="AB3836" s="11">
        <v>2</v>
      </c>
      <c r="AC3836" s="11"/>
      <c r="AD3836" s="11" t="str">
        <f>IFERROR(__xludf.DUMMYFUNCTION("""COMPUTED_VALUE"""),"Lars Mikkelsen")</f>
        <v>Lars Mikkelsen</v>
      </c>
      <c r="AE3836" s="11"/>
    </row>
    <row r="3837" customHeight="1" spans="1:31">
      <c r="A3837" s="12" t="s">
        <v>30</v>
      </c>
      <c r="B3837" s="12" t="s">
        <v>18181</v>
      </c>
      <c r="C3837" s="12">
        <v>96</v>
      </c>
      <c r="D3837" s="12">
        <v>105</v>
      </c>
      <c r="E3837" s="12">
        <v>11</v>
      </c>
      <c r="F3837" s="12">
        <v>16</v>
      </c>
      <c r="G3837" s="12">
        <v>18000</v>
      </c>
      <c r="H3837" s="12">
        <v>1340891</v>
      </c>
      <c r="I3837" s="12" t="s">
        <v>214</v>
      </c>
      <c r="J3837" s="12" t="s">
        <v>641</v>
      </c>
      <c r="K3837" s="12" t="s">
        <v>9116</v>
      </c>
      <c r="L3837" s="12" t="s">
        <v>18182</v>
      </c>
      <c r="M3837" s="12" t="s">
        <v>18183</v>
      </c>
      <c r="N3837" s="12">
        <v>18940</v>
      </c>
      <c r="O3837" s="12">
        <v>18105</v>
      </c>
      <c r="P3837" s="12">
        <v>0</v>
      </c>
      <c r="Q3837" s="12" t="s">
        <v>18184</v>
      </c>
      <c r="R3837" s="15" t="s">
        <v>18185</v>
      </c>
      <c r="S3837" s="12">
        <v>182</v>
      </c>
      <c r="T3837" s="12" t="s">
        <v>39</v>
      </c>
      <c r="U3837" s="12" t="s">
        <v>58</v>
      </c>
      <c r="V3837" s="12" t="s">
        <v>41</v>
      </c>
      <c r="W3837" s="16"/>
      <c r="X3837" s="12">
        <v>2004</v>
      </c>
      <c r="Y3837" s="12">
        <v>66</v>
      </c>
      <c r="Z3837" s="12">
        <v>7.8</v>
      </c>
      <c r="AA3837" s="12">
        <v>1.85</v>
      </c>
      <c r="AB3837" s="12">
        <v>2000</v>
      </c>
      <c r="AC3837" s="12"/>
      <c r="AD3837" s="12" t="str">
        <f>IFERROR(__xludf.DUMMYFUNCTION("""COMPUTED_VALUE"""),"Thure Lindhardt")</f>
        <v>Thure Lindhardt</v>
      </c>
      <c r="AE3837" s="12"/>
    </row>
    <row r="3838" customHeight="1" spans="1:31">
      <c r="A3838" s="11" t="s">
        <v>30</v>
      </c>
      <c r="B3838" s="11" t="s">
        <v>18186</v>
      </c>
      <c r="C3838" s="11">
        <v>8</v>
      </c>
      <c r="D3838" s="11">
        <v>89</v>
      </c>
      <c r="E3838" s="11">
        <v>0</v>
      </c>
      <c r="F3838" s="11">
        <v>413</v>
      </c>
      <c r="G3838" s="11">
        <v>584</v>
      </c>
      <c r="H3838" s="13"/>
      <c r="I3838" s="11" t="s">
        <v>15011</v>
      </c>
      <c r="J3838" s="11" t="s">
        <v>18187</v>
      </c>
      <c r="K3838" s="11" t="s">
        <v>3546</v>
      </c>
      <c r="L3838" s="11" t="s">
        <v>1055</v>
      </c>
      <c r="M3838" s="11" t="s">
        <v>18188</v>
      </c>
      <c r="N3838" s="11">
        <v>436</v>
      </c>
      <c r="O3838" s="11">
        <v>2668</v>
      </c>
      <c r="P3838" s="11">
        <v>2</v>
      </c>
      <c r="Q3838" s="11" t="s">
        <v>18189</v>
      </c>
      <c r="R3838" s="14" t="s">
        <v>18190</v>
      </c>
      <c r="S3838" s="11">
        <v>8</v>
      </c>
      <c r="T3838" s="11" t="s">
        <v>39</v>
      </c>
      <c r="U3838" s="11" t="s">
        <v>269</v>
      </c>
      <c r="V3838" s="11" t="s">
        <v>586</v>
      </c>
      <c r="W3838" s="11">
        <v>5000000</v>
      </c>
      <c r="X3838" s="11">
        <v>2007</v>
      </c>
      <c r="Y3838" s="11">
        <v>580</v>
      </c>
      <c r="Z3838" s="11">
        <v>5.3</v>
      </c>
      <c r="AA3838" s="11">
        <v>2.35</v>
      </c>
      <c r="AB3838" s="11">
        <v>31</v>
      </c>
      <c r="AC3838" s="11"/>
      <c r="AD3838" s="11" t="str">
        <f>IFERROR(__xludf.DUMMYFUNCTION("""COMPUTED_VALUE"""),"Perrey Reeves")</f>
        <v>Perrey Reeves</v>
      </c>
      <c r="AE3838" s="11"/>
    </row>
    <row r="3839" customHeight="1" spans="1:31">
      <c r="A3839" s="12" t="s">
        <v>30</v>
      </c>
      <c r="B3839" s="12" t="s">
        <v>18191</v>
      </c>
      <c r="C3839" s="12">
        <v>87</v>
      </c>
      <c r="D3839" s="12">
        <v>100</v>
      </c>
      <c r="E3839" s="12">
        <v>3</v>
      </c>
      <c r="F3839" s="12">
        <v>9</v>
      </c>
      <c r="G3839" s="12">
        <v>74</v>
      </c>
      <c r="H3839" s="12">
        <v>513836</v>
      </c>
      <c r="I3839" s="12" t="s">
        <v>1415</v>
      </c>
      <c r="J3839" s="12" t="s">
        <v>13555</v>
      </c>
      <c r="K3839" s="12" t="s">
        <v>18192</v>
      </c>
      <c r="L3839" s="12" t="s">
        <v>18193</v>
      </c>
      <c r="M3839" s="12" t="s">
        <v>18194</v>
      </c>
      <c r="N3839" s="12">
        <v>6304</v>
      </c>
      <c r="O3839" s="12">
        <v>143</v>
      </c>
      <c r="P3839" s="12">
        <v>1</v>
      </c>
      <c r="Q3839" s="12" t="s">
        <v>18195</v>
      </c>
      <c r="R3839" s="15" t="s">
        <v>18196</v>
      </c>
      <c r="S3839" s="12">
        <v>21</v>
      </c>
      <c r="T3839" s="12" t="s">
        <v>1465</v>
      </c>
      <c r="U3839" s="12" t="s">
        <v>1466</v>
      </c>
      <c r="V3839" s="12" t="s">
        <v>586</v>
      </c>
      <c r="W3839" s="12">
        <v>4600000</v>
      </c>
      <c r="X3839" s="12">
        <v>2010</v>
      </c>
      <c r="Y3839" s="12">
        <v>52</v>
      </c>
      <c r="Z3839" s="12">
        <v>7.2</v>
      </c>
      <c r="AA3839" s="12">
        <v>1.85</v>
      </c>
      <c r="AB3839" s="12">
        <v>0</v>
      </c>
      <c r="AC3839" s="12"/>
      <c r="AD3839" s="12" t="str">
        <f>IFERROR(__xludf.DUMMYFUNCTION("""COMPUTED_VALUE"""),"John Henshaw")</f>
        <v>John Henshaw</v>
      </c>
      <c r="AE3839" s="12"/>
    </row>
    <row r="3840" customHeight="1" spans="1:31">
      <c r="A3840" s="11" t="s">
        <v>30</v>
      </c>
      <c r="B3840" s="11" t="s">
        <v>18197</v>
      </c>
      <c r="C3840" s="11">
        <v>10</v>
      </c>
      <c r="D3840" s="11">
        <v>92</v>
      </c>
      <c r="E3840" s="11">
        <v>4</v>
      </c>
      <c r="F3840" s="11">
        <v>140</v>
      </c>
      <c r="G3840" s="11">
        <v>943</v>
      </c>
      <c r="H3840" s="13"/>
      <c r="I3840" s="11" t="s">
        <v>2528</v>
      </c>
      <c r="J3840" s="11" t="s">
        <v>847</v>
      </c>
      <c r="K3840" s="11" t="s">
        <v>7501</v>
      </c>
      <c r="L3840" s="11" t="s">
        <v>18198</v>
      </c>
      <c r="M3840" s="11" t="s">
        <v>18199</v>
      </c>
      <c r="N3840" s="11">
        <v>421</v>
      </c>
      <c r="O3840" s="11">
        <v>1795</v>
      </c>
      <c r="P3840" s="11">
        <v>1</v>
      </c>
      <c r="Q3840" s="13"/>
      <c r="R3840" s="14" t="s">
        <v>18200</v>
      </c>
      <c r="S3840" s="11">
        <v>3</v>
      </c>
      <c r="T3840" s="11" t="s">
        <v>39</v>
      </c>
      <c r="U3840" s="11" t="s">
        <v>2914</v>
      </c>
      <c r="V3840" s="13"/>
      <c r="W3840" s="11">
        <v>4700000</v>
      </c>
      <c r="X3840" s="11">
        <v>2013</v>
      </c>
      <c r="Y3840" s="11">
        <v>480</v>
      </c>
      <c r="Z3840" s="11">
        <v>6.2</v>
      </c>
      <c r="AA3840" s="13"/>
      <c r="AB3840" s="11">
        <v>199</v>
      </c>
      <c r="AC3840" s="11"/>
      <c r="AD3840" s="11" t="str">
        <f>IFERROR(__xludf.DUMMYFUNCTION("""COMPUTED_VALUE"""),"Ronit Elkabetz")</f>
        <v>Ronit Elkabetz</v>
      </c>
      <c r="AE3840" s="11"/>
    </row>
    <row r="3841" customHeight="1" spans="1:31">
      <c r="A3841" s="12" t="s">
        <v>30</v>
      </c>
      <c r="B3841" s="12" t="s">
        <v>18201</v>
      </c>
      <c r="C3841" s="12">
        <v>121</v>
      </c>
      <c r="D3841" s="12">
        <v>97</v>
      </c>
      <c r="E3841" s="12">
        <v>4</v>
      </c>
      <c r="F3841" s="12">
        <v>577</v>
      </c>
      <c r="G3841" s="12">
        <v>13000</v>
      </c>
      <c r="H3841" s="12">
        <v>434417</v>
      </c>
      <c r="I3841" s="12" t="s">
        <v>3410</v>
      </c>
      <c r="J3841" s="12" t="s">
        <v>446</v>
      </c>
      <c r="K3841" s="12" t="s">
        <v>9039</v>
      </c>
      <c r="L3841" s="12" t="s">
        <v>2242</v>
      </c>
      <c r="M3841" s="12" t="s">
        <v>18202</v>
      </c>
      <c r="N3841" s="12">
        <v>8867</v>
      </c>
      <c r="O3841" s="12">
        <v>15093</v>
      </c>
      <c r="P3841" s="12">
        <v>1</v>
      </c>
      <c r="Q3841" s="12" t="s">
        <v>18203</v>
      </c>
      <c r="R3841" s="15" t="s">
        <v>18204</v>
      </c>
      <c r="S3841" s="12">
        <v>65</v>
      </c>
      <c r="T3841" s="12" t="s">
        <v>39</v>
      </c>
      <c r="U3841" s="12" t="s">
        <v>3572</v>
      </c>
      <c r="V3841" s="12" t="s">
        <v>4831</v>
      </c>
      <c r="W3841" s="12">
        <v>4600000</v>
      </c>
      <c r="X3841" s="12">
        <v>2007</v>
      </c>
      <c r="Y3841" s="12">
        <v>1000</v>
      </c>
      <c r="Z3841" s="12">
        <v>5.9</v>
      </c>
      <c r="AA3841" s="12">
        <v>1.85</v>
      </c>
      <c r="AB3841" s="12">
        <v>0</v>
      </c>
      <c r="AC3841" s="12"/>
      <c r="AD3841" s="12" t="str">
        <f>IFERROR(__xludf.DUMMYFUNCTION("""COMPUTED_VALUE"""),"Émilie Dequenne")</f>
        <v>Émilie Dequenne</v>
      </c>
      <c r="AE3841" s="12"/>
    </row>
    <row r="3842" customHeight="1" spans="1:31">
      <c r="A3842" s="11" t="s">
        <v>30</v>
      </c>
      <c r="B3842" s="11" t="s">
        <v>18205</v>
      </c>
      <c r="C3842" s="11">
        <v>43</v>
      </c>
      <c r="D3842" s="11">
        <v>100</v>
      </c>
      <c r="E3842" s="11">
        <v>0</v>
      </c>
      <c r="F3842" s="11">
        <v>3</v>
      </c>
      <c r="G3842" s="11">
        <v>109</v>
      </c>
      <c r="H3842" s="11">
        <v>728</v>
      </c>
      <c r="I3842" s="11" t="s">
        <v>1936</v>
      </c>
      <c r="J3842" s="11" t="s">
        <v>18206</v>
      </c>
      <c r="K3842" s="11" t="s">
        <v>18207</v>
      </c>
      <c r="L3842" s="11" t="s">
        <v>18208</v>
      </c>
      <c r="M3842" s="11" t="s">
        <v>17966</v>
      </c>
      <c r="N3842" s="11">
        <v>2776</v>
      </c>
      <c r="O3842" s="11">
        <v>122</v>
      </c>
      <c r="P3842" s="11">
        <v>0</v>
      </c>
      <c r="Q3842" s="11" t="s">
        <v>18209</v>
      </c>
      <c r="R3842" s="14" t="s">
        <v>18210</v>
      </c>
      <c r="S3842" s="11">
        <v>22</v>
      </c>
      <c r="T3842" s="11" t="s">
        <v>39</v>
      </c>
      <c r="U3842" s="11" t="s">
        <v>180</v>
      </c>
      <c r="V3842" s="13"/>
      <c r="W3842" s="13"/>
      <c r="X3842" s="11">
        <v>2006</v>
      </c>
      <c r="Y3842" s="11">
        <v>10</v>
      </c>
      <c r="Z3842" s="11">
        <v>7.3</v>
      </c>
      <c r="AA3842" s="11">
        <v>1.85</v>
      </c>
      <c r="AB3842" s="11">
        <v>285</v>
      </c>
      <c r="AC3842" s="11"/>
      <c r="AD3842" s="11" t="str">
        <f>IFERROR(__xludf.DUMMYFUNCTION("""COMPUTED_VALUE"""),"David Gulpilil")</f>
        <v>David Gulpilil</v>
      </c>
      <c r="AE3842" s="11"/>
    </row>
    <row r="3843" customHeight="1" spans="1:31">
      <c r="A3843" s="12" t="s">
        <v>30</v>
      </c>
      <c r="B3843" s="12" t="s">
        <v>7499</v>
      </c>
      <c r="C3843" s="12">
        <v>45</v>
      </c>
      <c r="D3843" s="12">
        <v>96</v>
      </c>
      <c r="E3843" s="12">
        <v>37</v>
      </c>
      <c r="F3843" s="12">
        <v>542</v>
      </c>
      <c r="G3843" s="12">
        <v>801</v>
      </c>
      <c r="H3843" s="12">
        <v>81200000</v>
      </c>
      <c r="I3843" s="12" t="s">
        <v>1672</v>
      </c>
      <c r="J3843" s="12" t="s">
        <v>11091</v>
      </c>
      <c r="K3843" s="12" t="s">
        <v>18211</v>
      </c>
      <c r="L3843" s="12" t="s">
        <v>10329</v>
      </c>
      <c r="M3843" s="12" t="s">
        <v>18212</v>
      </c>
      <c r="N3843" s="12">
        <v>87739</v>
      </c>
      <c r="O3843" s="12">
        <v>3113</v>
      </c>
      <c r="P3843" s="12">
        <v>0</v>
      </c>
      <c r="Q3843" s="12" t="s">
        <v>18213</v>
      </c>
      <c r="R3843" s="15" t="s">
        <v>18214</v>
      </c>
      <c r="S3843" s="12">
        <v>133</v>
      </c>
      <c r="T3843" s="12" t="s">
        <v>39</v>
      </c>
      <c r="U3843" s="12" t="s">
        <v>40</v>
      </c>
      <c r="V3843" s="12" t="s">
        <v>586</v>
      </c>
      <c r="W3843" s="12">
        <v>4500000</v>
      </c>
      <c r="X3843" s="12">
        <v>1984</v>
      </c>
      <c r="Y3843" s="12">
        <v>760</v>
      </c>
      <c r="Z3843" s="12">
        <v>6.7</v>
      </c>
      <c r="AA3843" s="12">
        <v>1.85</v>
      </c>
      <c r="AB3843" s="12">
        <v>0</v>
      </c>
      <c r="AC3843" s="12"/>
      <c r="AD3843" s="12" t="str">
        <f>IFERROR(__xludf.DUMMYFUNCTION("""COMPUTED_VALUE"""),"Steven Waddington")</f>
        <v>Steven Waddington</v>
      </c>
      <c r="AE3843" s="12"/>
    </row>
    <row r="3844" customHeight="1" spans="1:31">
      <c r="A3844" s="11" t="s">
        <v>30</v>
      </c>
      <c r="B3844" s="11" t="s">
        <v>13412</v>
      </c>
      <c r="C3844" s="11">
        <v>36</v>
      </c>
      <c r="D3844" s="11">
        <v>104</v>
      </c>
      <c r="E3844" s="11">
        <v>116</v>
      </c>
      <c r="F3844" s="11">
        <v>83</v>
      </c>
      <c r="G3844" s="11">
        <v>1000</v>
      </c>
      <c r="H3844" s="13"/>
      <c r="I3844" s="11" t="s">
        <v>2308</v>
      </c>
      <c r="J3844" s="11" t="s">
        <v>7607</v>
      </c>
      <c r="K3844" s="11" t="s">
        <v>18215</v>
      </c>
      <c r="L3844" s="11" t="s">
        <v>11058</v>
      </c>
      <c r="M3844" s="11" t="s">
        <v>18216</v>
      </c>
      <c r="N3844" s="11">
        <v>50125</v>
      </c>
      <c r="O3844" s="11">
        <v>1662</v>
      </c>
      <c r="P3844" s="11">
        <v>0</v>
      </c>
      <c r="Q3844" s="11" t="s">
        <v>18217</v>
      </c>
      <c r="R3844" s="14" t="s">
        <v>18218</v>
      </c>
      <c r="S3844" s="11">
        <v>140</v>
      </c>
      <c r="T3844" s="11" t="s">
        <v>39</v>
      </c>
      <c r="U3844" s="11" t="s">
        <v>40</v>
      </c>
      <c r="V3844" s="11" t="s">
        <v>586</v>
      </c>
      <c r="W3844" s="11">
        <v>4500000</v>
      </c>
      <c r="X3844" s="11">
        <v>1980</v>
      </c>
      <c r="Y3844" s="11">
        <v>511</v>
      </c>
      <c r="Z3844" s="11">
        <v>5.7</v>
      </c>
      <c r="AA3844" s="11">
        <v>1.85</v>
      </c>
      <c r="AB3844" s="11">
        <v>0</v>
      </c>
      <c r="AC3844" s="11"/>
      <c r="AD3844" s="11" t="str">
        <f>IFERROR(__xludf.DUMMYFUNCTION("""COMPUTED_VALUE"""),"Harrison Gilbertson")</f>
        <v>Harrison Gilbertson</v>
      </c>
      <c r="AE3844" s="11"/>
    </row>
    <row r="3845" customHeight="1" spans="1:31">
      <c r="A3845" s="12" t="s">
        <v>30</v>
      </c>
      <c r="B3845" s="12" t="s">
        <v>372</v>
      </c>
      <c r="C3845" s="12">
        <v>84</v>
      </c>
      <c r="D3845" s="12">
        <v>117</v>
      </c>
      <c r="E3845" s="12">
        <v>179</v>
      </c>
      <c r="F3845" s="12">
        <v>239</v>
      </c>
      <c r="G3845" s="12">
        <v>1000</v>
      </c>
      <c r="H3845" s="12">
        <v>52700832</v>
      </c>
      <c r="I3845" s="12" t="s">
        <v>1415</v>
      </c>
      <c r="J3845" s="12" t="s">
        <v>203</v>
      </c>
      <c r="K3845" s="12" t="s">
        <v>18219</v>
      </c>
      <c r="L3845" s="12" t="s">
        <v>8026</v>
      </c>
      <c r="M3845" s="12" t="s">
        <v>18220</v>
      </c>
      <c r="N3845" s="12">
        <v>107923</v>
      </c>
      <c r="O3845" s="12">
        <v>1862</v>
      </c>
      <c r="P3845" s="12">
        <v>4</v>
      </c>
      <c r="Q3845" s="12" t="s">
        <v>18221</v>
      </c>
      <c r="R3845" s="15" t="s">
        <v>18222</v>
      </c>
      <c r="S3845" s="12">
        <v>197</v>
      </c>
      <c r="T3845" s="12" t="s">
        <v>39</v>
      </c>
      <c r="U3845" s="12" t="s">
        <v>58</v>
      </c>
      <c r="V3845" s="12" t="s">
        <v>586</v>
      </c>
      <c r="W3845" s="12">
        <v>4500000</v>
      </c>
      <c r="X3845" s="12">
        <v>1994</v>
      </c>
      <c r="Y3845" s="12">
        <v>398</v>
      </c>
      <c r="Z3845" s="12">
        <v>7.1</v>
      </c>
      <c r="AA3845" s="12">
        <v>1.66</v>
      </c>
      <c r="AB3845" s="12">
        <v>0</v>
      </c>
      <c r="AC3845" s="12"/>
      <c r="AD3845" s="12" t="str">
        <f>IFERROR(__xludf.DUMMYFUNCTION("""COMPUTED_VALUE"""),"Steve Le Marquand")</f>
        <v>Steve Le Marquand</v>
      </c>
      <c r="AE3845" s="12"/>
    </row>
    <row r="3846" customHeight="1" spans="1:31">
      <c r="A3846" s="11" t="s">
        <v>30</v>
      </c>
      <c r="B3846" s="11" t="s">
        <v>11132</v>
      </c>
      <c r="C3846" s="11">
        <v>118</v>
      </c>
      <c r="D3846" s="11">
        <v>90</v>
      </c>
      <c r="E3846" s="11">
        <v>143</v>
      </c>
      <c r="F3846" s="11">
        <v>811</v>
      </c>
      <c r="G3846" s="11">
        <v>1000</v>
      </c>
      <c r="H3846" s="13"/>
      <c r="I3846" s="11" t="s">
        <v>2528</v>
      </c>
      <c r="J3846" s="11" t="s">
        <v>2620</v>
      </c>
      <c r="K3846" s="11" t="s">
        <v>3659</v>
      </c>
      <c r="L3846" s="11" t="s">
        <v>1518</v>
      </c>
      <c r="M3846" s="11" t="s">
        <v>18223</v>
      </c>
      <c r="N3846" s="11">
        <v>71217</v>
      </c>
      <c r="O3846" s="11">
        <v>5002</v>
      </c>
      <c r="P3846" s="11">
        <v>1</v>
      </c>
      <c r="Q3846" s="11" t="s">
        <v>18224</v>
      </c>
      <c r="R3846" s="14" t="s">
        <v>18225</v>
      </c>
      <c r="S3846" s="11">
        <v>228</v>
      </c>
      <c r="T3846" s="11" t="s">
        <v>39</v>
      </c>
      <c r="U3846" s="11" t="s">
        <v>40</v>
      </c>
      <c r="V3846" s="11" t="s">
        <v>7335</v>
      </c>
      <c r="W3846" s="11">
        <v>4500000</v>
      </c>
      <c r="X3846" s="11">
        <v>1982</v>
      </c>
      <c r="Y3846" s="11">
        <v>901</v>
      </c>
      <c r="Z3846" s="11">
        <v>7.2</v>
      </c>
      <c r="AA3846" s="11">
        <v>1.85</v>
      </c>
      <c r="AB3846" s="11">
        <v>0</v>
      </c>
      <c r="AC3846" s="11"/>
      <c r="AD3846" s="11" t="str">
        <f>IFERROR(__xludf.DUMMYFUNCTION("""COMPUTED_VALUE"""),"Maïwenn")</f>
        <v>Maïwenn</v>
      </c>
      <c r="AE3846" s="11"/>
    </row>
    <row r="3847" customHeight="1" spans="1:31">
      <c r="A3847" s="12" t="s">
        <v>30</v>
      </c>
      <c r="B3847" s="12" t="s">
        <v>18226</v>
      </c>
      <c r="C3847" s="12">
        <v>42</v>
      </c>
      <c r="D3847" s="12">
        <v>115</v>
      </c>
      <c r="E3847" s="12">
        <v>1000</v>
      </c>
      <c r="F3847" s="12">
        <v>68</v>
      </c>
      <c r="G3847" s="12">
        <v>232</v>
      </c>
      <c r="H3847" s="16"/>
      <c r="I3847" s="12" t="s">
        <v>7043</v>
      </c>
      <c r="J3847" s="12" t="s">
        <v>18227</v>
      </c>
      <c r="K3847" s="12" t="s">
        <v>18228</v>
      </c>
      <c r="L3847" s="12" t="s">
        <v>18229</v>
      </c>
      <c r="M3847" s="12" t="s">
        <v>18230</v>
      </c>
      <c r="N3847" s="12">
        <v>13474</v>
      </c>
      <c r="O3847" s="12">
        <v>588</v>
      </c>
      <c r="P3847" s="12">
        <v>0</v>
      </c>
      <c r="Q3847" s="12" t="s">
        <v>18231</v>
      </c>
      <c r="R3847" s="15" t="s">
        <v>18232</v>
      </c>
      <c r="S3847" s="12">
        <v>115</v>
      </c>
      <c r="T3847" s="12" t="s">
        <v>39</v>
      </c>
      <c r="U3847" s="12" t="s">
        <v>40</v>
      </c>
      <c r="V3847" s="12" t="s">
        <v>5614</v>
      </c>
      <c r="W3847" s="12">
        <v>4500000</v>
      </c>
      <c r="X3847" s="12">
        <v>1956</v>
      </c>
      <c r="Y3847" s="12">
        <v>169</v>
      </c>
      <c r="Z3847" s="12">
        <v>7.4</v>
      </c>
      <c r="AA3847" s="12">
        <v>1.66</v>
      </c>
      <c r="AB3847" s="12">
        <v>0</v>
      </c>
      <c r="AC3847" s="12"/>
      <c r="AD3847" s="12" t="str">
        <f>IFERROR(__xludf.DUMMYFUNCTION("""COMPUTED_VALUE"""),"James Arnold Taylor")</f>
        <v>James Arnold Taylor</v>
      </c>
      <c r="AE3847" s="12"/>
    </row>
    <row r="3848" customHeight="1" spans="1:31">
      <c r="A3848" s="11" t="s">
        <v>30</v>
      </c>
      <c r="B3848" s="11" t="s">
        <v>5077</v>
      </c>
      <c r="C3848" s="11">
        <v>202</v>
      </c>
      <c r="D3848" s="11">
        <v>108</v>
      </c>
      <c r="E3848" s="11">
        <v>0</v>
      </c>
      <c r="F3848" s="11">
        <v>346</v>
      </c>
      <c r="G3848" s="11">
        <v>22000</v>
      </c>
      <c r="H3848" s="11">
        <v>13060843</v>
      </c>
      <c r="I3848" s="11" t="s">
        <v>3410</v>
      </c>
      <c r="J3848" s="11" t="s">
        <v>699</v>
      </c>
      <c r="K3848" s="11" t="s">
        <v>984</v>
      </c>
      <c r="L3848" s="11" t="s">
        <v>1288</v>
      </c>
      <c r="M3848" s="11" t="s">
        <v>18233</v>
      </c>
      <c r="N3848" s="11">
        <v>149528</v>
      </c>
      <c r="O3848" s="11">
        <v>26050</v>
      </c>
      <c r="P3848" s="11">
        <v>0</v>
      </c>
      <c r="Q3848" s="11" t="s">
        <v>18234</v>
      </c>
      <c r="R3848" s="14" t="s">
        <v>18235</v>
      </c>
      <c r="S3848" s="11">
        <v>454</v>
      </c>
      <c r="T3848" s="11" t="s">
        <v>39</v>
      </c>
      <c r="U3848" s="11" t="s">
        <v>40</v>
      </c>
      <c r="V3848" s="11" t="s">
        <v>586</v>
      </c>
      <c r="W3848" s="11">
        <v>15000000</v>
      </c>
      <c r="X3848" s="11">
        <v>2002</v>
      </c>
      <c r="Y3848" s="11">
        <v>3000</v>
      </c>
      <c r="Z3848" s="11">
        <v>7.7</v>
      </c>
      <c r="AA3848" s="11">
        <v>2.35</v>
      </c>
      <c r="AB3848" s="11">
        <v>0</v>
      </c>
      <c r="AC3848" s="11"/>
      <c r="AD3848" s="11" t="str">
        <f>IFERROR(__xludf.DUMMYFUNCTION("""COMPUTED_VALUE"""),"Celina Jade")</f>
        <v>Celina Jade</v>
      </c>
      <c r="AE3848" s="11"/>
    </row>
    <row r="3849" customHeight="1" spans="1:31">
      <c r="A3849" s="12" t="s">
        <v>30</v>
      </c>
      <c r="B3849" s="16"/>
      <c r="C3849" s="12">
        <v>5</v>
      </c>
      <c r="D3849" s="12">
        <v>43</v>
      </c>
      <c r="E3849" s="16"/>
      <c r="F3849" s="12">
        <v>298</v>
      </c>
      <c r="G3849" s="12">
        <v>562</v>
      </c>
      <c r="H3849" s="16"/>
      <c r="I3849" s="12" t="s">
        <v>1936</v>
      </c>
      <c r="J3849" s="12" t="s">
        <v>931</v>
      </c>
      <c r="K3849" s="12" t="s">
        <v>18236</v>
      </c>
      <c r="L3849" s="12" t="s">
        <v>6598</v>
      </c>
      <c r="M3849" s="12" t="s">
        <v>18237</v>
      </c>
      <c r="N3849" s="12">
        <v>6762</v>
      </c>
      <c r="O3849" s="12">
        <v>1587</v>
      </c>
      <c r="P3849" s="12">
        <v>0</v>
      </c>
      <c r="Q3849" s="16"/>
      <c r="R3849" s="15" t="s">
        <v>18238</v>
      </c>
      <c r="S3849" s="12">
        <v>27</v>
      </c>
      <c r="T3849" s="12" t="s">
        <v>39</v>
      </c>
      <c r="U3849" s="12" t="s">
        <v>40</v>
      </c>
      <c r="V3849" s="16"/>
      <c r="W3849" s="16"/>
      <c r="X3849" s="16"/>
      <c r="Y3849" s="12">
        <v>560</v>
      </c>
      <c r="Z3849" s="12">
        <v>7.7</v>
      </c>
      <c r="AA3849" s="12">
        <v>16</v>
      </c>
      <c r="AB3849" s="12">
        <v>2000</v>
      </c>
      <c r="AC3849" s="12"/>
      <c r="AD3849" s="12" t="str">
        <f>IFERROR(__xludf.DUMMYFUNCTION("""COMPUTED_VALUE"""),"Debrianna Mansini")</f>
        <v>Debrianna Mansini</v>
      </c>
      <c r="AE3849" s="12"/>
    </row>
    <row r="3850" customHeight="1" spans="1:31">
      <c r="A3850" s="11" t="s">
        <v>30</v>
      </c>
      <c r="B3850" s="11" t="s">
        <v>444</v>
      </c>
      <c r="C3850" s="11">
        <v>120</v>
      </c>
      <c r="D3850" s="11">
        <v>109</v>
      </c>
      <c r="E3850" s="11">
        <v>0</v>
      </c>
      <c r="F3850" s="11">
        <v>126</v>
      </c>
      <c r="G3850" s="11">
        <v>3000</v>
      </c>
      <c r="H3850" s="11">
        <v>3798532</v>
      </c>
      <c r="I3850" s="11" t="s">
        <v>5275</v>
      </c>
      <c r="J3850" s="11" t="s">
        <v>142</v>
      </c>
      <c r="K3850" s="11" t="s">
        <v>18239</v>
      </c>
      <c r="L3850" s="11" t="s">
        <v>18240</v>
      </c>
      <c r="M3850" s="11" t="s">
        <v>18241</v>
      </c>
      <c r="N3850" s="11">
        <v>41138</v>
      </c>
      <c r="O3850" s="11">
        <v>3668</v>
      </c>
      <c r="P3850" s="11">
        <v>0</v>
      </c>
      <c r="Q3850" s="11" t="s">
        <v>18242</v>
      </c>
      <c r="R3850" s="14" t="s">
        <v>18243</v>
      </c>
      <c r="S3850" s="11">
        <v>208</v>
      </c>
      <c r="T3850" s="11" t="s">
        <v>39</v>
      </c>
      <c r="U3850" s="11" t="s">
        <v>40</v>
      </c>
      <c r="V3850" s="11" t="s">
        <v>586</v>
      </c>
      <c r="W3850" s="11">
        <v>4500000</v>
      </c>
      <c r="X3850" s="11">
        <v>1996</v>
      </c>
      <c r="Y3850" s="11">
        <v>441</v>
      </c>
      <c r="Z3850" s="11">
        <v>7.4</v>
      </c>
      <c r="AA3850" s="11">
        <v>1.85</v>
      </c>
      <c r="AB3850" s="11">
        <v>2000</v>
      </c>
      <c r="AC3850" s="11"/>
      <c r="AD3850" s="11" t="str">
        <f>IFERROR(__xludf.DUMMYFUNCTION("""COMPUTED_VALUE"""),"Frederic Forrest")</f>
        <v>Frederic Forrest</v>
      </c>
      <c r="AE3850" s="11"/>
    </row>
    <row r="3851" customHeight="1" spans="1:31">
      <c r="A3851" s="12" t="s">
        <v>30</v>
      </c>
      <c r="B3851" s="12" t="s">
        <v>1205</v>
      </c>
      <c r="C3851" s="12">
        <v>234</v>
      </c>
      <c r="D3851" s="12">
        <v>102</v>
      </c>
      <c r="E3851" s="12">
        <v>0</v>
      </c>
      <c r="F3851" s="12">
        <v>167</v>
      </c>
      <c r="G3851" s="12">
        <v>1000</v>
      </c>
      <c r="H3851" s="12">
        <v>3609278</v>
      </c>
      <c r="I3851" s="12" t="s">
        <v>3410</v>
      </c>
      <c r="J3851" s="12" t="s">
        <v>7764</v>
      </c>
      <c r="K3851" s="12" t="s">
        <v>1822</v>
      </c>
      <c r="L3851" s="12" t="s">
        <v>18244</v>
      </c>
      <c r="M3851" s="12" t="s">
        <v>18245</v>
      </c>
      <c r="N3851" s="12">
        <v>573541</v>
      </c>
      <c r="O3851" s="12">
        <v>2235</v>
      </c>
      <c r="P3851" s="12">
        <v>0</v>
      </c>
      <c r="Q3851" s="12" t="s">
        <v>18246</v>
      </c>
      <c r="R3851" s="15" t="s">
        <v>18247</v>
      </c>
      <c r="S3851" s="12">
        <v>1916</v>
      </c>
      <c r="T3851" s="12" t="s">
        <v>39</v>
      </c>
      <c r="U3851" s="12" t="s">
        <v>40</v>
      </c>
      <c r="V3851" s="12" t="s">
        <v>586</v>
      </c>
      <c r="W3851" s="12">
        <v>4500000</v>
      </c>
      <c r="X3851" s="12">
        <v>2000</v>
      </c>
      <c r="Y3851" s="12">
        <v>1000</v>
      </c>
      <c r="Z3851" s="12">
        <v>8.4</v>
      </c>
      <c r="AA3851" s="12">
        <v>1.37</v>
      </c>
      <c r="AB3851" s="12">
        <v>38000</v>
      </c>
      <c r="AC3851" s="12"/>
      <c r="AD3851" s="12" t="str">
        <f>IFERROR(__xludf.DUMMYFUNCTION("""COMPUTED_VALUE"""),"Alan Bates")</f>
        <v>Alan Bates</v>
      </c>
      <c r="AE3851" s="12"/>
    </row>
    <row r="3852" customHeight="1" spans="1:31">
      <c r="A3852" s="11" t="s">
        <v>30</v>
      </c>
      <c r="B3852" s="11" t="s">
        <v>18248</v>
      </c>
      <c r="C3852" s="11">
        <v>17</v>
      </c>
      <c r="D3852" s="11">
        <v>100</v>
      </c>
      <c r="E3852" s="11">
        <v>9</v>
      </c>
      <c r="F3852" s="11">
        <v>37</v>
      </c>
      <c r="G3852" s="11">
        <v>188</v>
      </c>
      <c r="H3852" s="13"/>
      <c r="I3852" s="11" t="s">
        <v>16971</v>
      </c>
      <c r="J3852" s="11" t="s">
        <v>18249</v>
      </c>
      <c r="K3852" s="11" t="s">
        <v>18250</v>
      </c>
      <c r="L3852" s="11" t="s">
        <v>18251</v>
      </c>
      <c r="M3852" s="11" t="s">
        <v>18252</v>
      </c>
      <c r="N3852" s="11">
        <v>2756</v>
      </c>
      <c r="O3852" s="11">
        <v>496</v>
      </c>
      <c r="P3852" s="11">
        <v>2</v>
      </c>
      <c r="Q3852" s="11" t="s">
        <v>18253</v>
      </c>
      <c r="R3852" s="14" t="s">
        <v>18254</v>
      </c>
      <c r="S3852" s="11">
        <v>55</v>
      </c>
      <c r="T3852" s="11" t="s">
        <v>39</v>
      </c>
      <c r="U3852" s="11" t="s">
        <v>40</v>
      </c>
      <c r="V3852" s="11" t="s">
        <v>6037</v>
      </c>
      <c r="W3852" s="13"/>
      <c r="X3852" s="11">
        <v>1945</v>
      </c>
      <c r="Y3852" s="11">
        <v>135</v>
      </c>
      <c r="Z3852" s="11">
        <v>7.1</v>
      </c>
      <c r="AA3852" s="11">
        <v>1.37</v>
      </c>
      <c r="AB3852" s="11">
        <v>501</v>
      </c>
      <c r="AC3852" s="11"/>
      <c r="AD3852" s="11" t="str">
        <f>IFERROR(__xludf.DUMMYFUNCTION("""COMPUTED_VALUE"""),"David Hemmings")</f>
        <v>David Hemmings</v>
      </c>
      <c r="AE3852" s="11"/>
    </row>
    <row r="3853" customHeight="1" spans="1:31">
      <c r="A3853" s="12" t="s">
        <v>30</v>
      </c>
      <c r="B3853" s="12" t="s">
        <v>18255</v>
      </c>
      <c r="C3853" s="12">
        <v>35</v>
      </c>
      <c r="D3853" s="12">
        <v>115</v>
      </c>
      <c r="E3853" s="12">
        <v>98</v>
      </c>
      <c r="F3853" s="12">
        <v>4</v>
      </c>
      <c r="G3853" s="12">
        <v>341</v>
      </c>
      <c r="H3853" s="12">
        <v>1687311</v>
      </c>
      <c r="I3853" s="12" t="s">
        <v>18256</v>
      </c>
      <c r="J3853" s="12" t="s">
        <v>18257</v>
      </c>
      <c r="K3853" s="12" t="s">
        <v>18258</v>
      </c>
      <c r="L3853" s="12" t="s">
        <v>18259</v>
      </c>
      <c r="M3853" s="12" t="s">
        <v>18260</v>
      </c>
      <c r="N3853" s="12">
        <v>2412</v>
      </c>
      <c r="O3853" s="12">
        <v>371</v>
      </c>
      <c r="P3853" s="12">
        <v>3</v>
      </c>
      <c r="Q3853" s="12" t="s">
        <v>18261</v>
      </c>
      <c r="R3853" s="15" t="s">
        <v>18262</v>
      </c>
      <c r="S3853" s="12">
        <v>40</v>
      </c>
      <c r="T3853" s="12" t="s">
        <v>2779</v>
      </c>
      <c r="U3853" s="12" t="s">
        <v>3572</v>
      </c>
      <c r="V3853" s="12" t="s">
        <v>41</v>
      </c>
      <c r="W3853" s="12">
        <v>700000000</v>
      </c>
      <c r="X3853" s="12">
        <v>1998</v>
      </c>
      <c r="Y3853" s="12">
        <v>26</v>
      </c>
      <c r="Z3853" s="12">
        <v>7.2</v>
      </c>
      <c r="AA3853" s="12">
        <v>2</v>
      </c>
      <c r="AB3853" s="12">
        <v>539</v>
      </c>
      <c r="AC3853" s="12"/>
      <c r="AD3853" s="12" t="str">
        <f>IFERROR(__xludf.DUMMYFUNCTION("""COMPUTED_VALUE"""),"Milo O'Shea")</f>
        <v>Milo O'Shea</v>
      </c>
      <c r="AE3853" s="12"/>
    </row>
    <row r="3854" customHeight="1" spans="1:31">
      <c r="A3854" s="11" t="s">
        <v>30</v>
      </c>
      <c r="B3854" s="11" t="s">
        <v>761</v>
      </c>
      <c r="C3854" s="11">
        <v>48</v>
      </c>
      <c r="D3854" s="11">
        <v>122</v>
      </c>
      <c r="E3854" s="11">
        <v>0</v>
      </c>
      <c r="F3854" s="11">
        <v>491</v>
      </c>
      <c r="G3854" s="11">
        <v>854</v>
      </c>
      <c r="H3854" s="13"/>
      <c r="I3854" s="11" t="s">
        <v>2175</v>
      </c>
      <c r="J3854" s="11" t="s">
        <v>3503</v>
      </c>
      <c r="K3854" s="11" t="s">
        <v>8270</v>
      </c>
      <c r="L3854" s="11" t="s">
        <v>18263</v>
      </c>
      <c r="M3854" s="11" t="s">
        <v>18264</v>
      </c>
      <c r="N3854" s="11">
        <v>15175</v>
      </c>
      <c r="O3854" s="11">
        <v>2762</v>
      </c>
      <c r="P3854" s="11">
        <v>0</v>
      </c>
      <c r="Q3854" s="11" t="s">
        <v>18265</v>
      </c>
      <c r="R3854" s="14" t="s">
        <v>18266</v>
      </c>
      <c r="S3854" s="11">
        <v>89</v>
      </c>
      <c r="T3854" s="11" t="s">
        <v>39</v>
      </c>
      <c r="U3854" s="11" t="s">
        <v>58</v>
      </c>
      <c r="V3854" s="11" t="s">
        <v>586</v>
      </c>
      <c r="W3854" s="11">
        <v>4500000</v>
      </c>
      <c r="X3854" s="11">
        <v>1986</v>
      </c>
      <c r="Y3854" s="11">
        <v>652</v>
      </c>
      <c r="Z3854" s="11">
        <v>7.5</v>
      </c>
      <c r="AA3854" s="11">
        <v>1.85</v>
      </c>
      <c r="AB3854" s="11">
        <v>1000</v>
      </c>
      <c r="AC3854" s="11"/>
      <c r="AD3854" s="11" t="str">
        <f>IFERROR(__xludf.DUMMYFUNCTION("""COMPUTED_VALUE"""),"Bjørn Sundquist")</f>
        <v>Bjørn Sundquist</v>
      </c>
      <c r="AE3854" s="11"/>
    </row>
    <row r="3855" customHeight="1" spans="1:31">
      <c r="A3855" s="12" t="s">
        <v>30</v>
      </c>
      <c r="B3855" s="12" t="s">
        <v>18267</v>
      </c>
      <c r="C3855" s="12">
        <v>49</v>
      </c>
      <c r="D3855" s="12">
        <v>98</v>
      </c>
      <c r="E3855" s="12">
        <v>10</v>
      </c>
      <c r="F3855" s="12">
        <v>402</v>
      </c>
      <c r="G3855" s="12">
        <v>589</v>
      </c>
      <c r="H3855" s="12">
        <v>10429707</v>
      </c>
      <c r="I3855" s="12" t="s">
        <v>1672</v>
      </c>
      <c r="J3855" s="12" t="s">
        <v>18268</v>
      </c>
      <c r="K3855" s="12" t="s">
        <v>18269</v>
      </c>
      <c r="L3855" s="12" t="s">
        <v>6760</v>
      </c>
      <c r="M3855" s="12" t="s">
        <v>18270</v>
      </c>
      <c r="N3855" s="12">
        <v>10483</v>
      </c>
      <c r="O3855" s="12">
        <v>2705</v>
      </c>
      <c r="P3855" s="16"/>
      <c r="Q3855" s="12" t="s">
        <v>18271</v>
      </c>
      <c r="R3855" s="15" t="s">
        <v>18272</v>
      </c>
      <c r="S3855" s="12">
        <v>125</v>
      </c>
      <c r="T3855" s="12" t="s">
        <v>39</v>
      </c>
      <c r="U3855" s="12" t="s">
        <v>40</v>
      </c>
      <c r="V3855" s="12" t="s">
        <v>96</v>
      </c>
      <c r="W3855" s="12">
        <v>5000000</v>
      </c>
      <c r="X3855" s="12">
        <v>2014</v>
      </c>
      <c r="Y3855" s="12">
        <v>416</v>
      </c>
      <c r="Z3855" s="12">
        <v>5.4</v>
      </c>
      <c r="AA3855" s="12">
        <v>2.35</v>
      </c>
      <c r="AB3855" s="12">
        <v>0</v>
      </c>
      <c r="AC3855" s="12"/>
      <c r="AD3855" s="12" t="str">
        <f>IFERROR(__xludf.DUMMYFUNCTION("""COMPUTED_VALUE"""),"Louisa Milwood-Haigh")</f>
        <v>Louisa Milwood-Haigh</v>
      </c>
      <c r="AE3855" s="12"/>
    </row>
    <row r="3856" customHeight="1" spans="1:31">
      <c r="A3856" s="11" t="s">
        <v>30</v>
      </c>
      <c r="B3856" s="11" t="s">
        <v>9803</v>
      </c>
      <c r="C3856" s="11">
        <v>283</v>
      </c>
      <c r="D3856" s="11">
        <v>133</v>
      </c>
      <c r="E3856" s="11">
        <v>219</v>
      </c>
      <c r="F3856" s="11">
        <v>701</v>
      </c>
      <c r="G3856" s="11">
        <v>15000</v>
      </c>
      <c r="H3856" s="11">
        <v>727883</v>
      </c>
      <c r="I3856" s="11" t="s">
        <v>2684</v>
      </c>
      <c r="J3856" s="11" t="s">
        <v>373</v>
      </c>
      <c r="K3856" s="11" t="s">
        <v>2982</v>
      </c>
      <c r="L3856" s="11" t="s">
        <v>18273</v>
      </c>
      <c r="M3856" s="11" t="s">
        <v>18274</v>
      </c>
      <c r="N3856" s="11">
        <v>580999</v>
      </c>
      <c r="O3856" s="11">
        <v>17040</v>
      </c>
      <c r="P3856" s="11">
        <v>1</v>
      </c>
      <c r="Q3856" s="11" t="s">
        <v>18275</v>
      </c>
      <c r="R3856" s="14" t="s">
        <v>18276</v>
      </c>
      <c r="S3856" s="11">
        <v>2110</v>
      </c>
      <c r="T3856" s="11" t="s">
        <v>39</v>
      </c>
      <c r="U3856" s="11" t="s">
        <v>40</v>
      </c>
      <c r="V3856" s="11" t="s">
        <v>586</v>
      </c>
      <c r="W3856" s="11">
        <v>4500000</v>
      </c>
      <c r="X3856" s="11">
        <v>2001</v>
      </c>
      <c r="Y3856" s="11">
        <v>933</v>
      </c>
      <c r="Z3856" s="11">
        <v>8.1</v>
      </c>
      <c r="AA3856" s="11">
        <v>2.35</v>
      </c>
      <c r="AB3856" s="11">
        <v>33000</v>
      </c>
      <c r="AC3856" s="11"/>
      <c r="AD3856" s="11" t="str">
        <f>IFERROR(__xludf.DUMMYFUNCTION("""COMPUTED_VALUE"""),"Stian Smestad")</f>
        <v>Stian Smestad</v>
      </c>
      <c r="AE3856" s="11"/>
    </row>
    <row r="3857" customHeight="1" spans="1:31">
      <c r="A3857" s="12" t="s">
        <v>30</v>
      </c>
      <c r="B3857" s="12" t="s">
        <v>18277</v>
      </c>
      <c r="C3857" s="12">
        <v>16</v>
      </c>
      <c r="D3857" s="12">
        <v>105</v>
      </c>
      <c r="E3857" s="12">
        <v>5</v>
      </c>
      <c r="F3857" s="12">
        <v>122</v>
      </c>
      <c r="G3857" s="12">
        <v>274</v>
      </c>
      <c r="H3857" s="12">
        <v>1391770</v>
      </c>
      <c r="I3857" s="12" t="s">
        <v>18278</v>
      </c>
      <c r="J3857" s="12" t="s">
        <v>18279</v>
      </c>
      <c r="K3857" s="12" t="s">
        <v>18280</v>
      </c>
      <c r="L3857" s="12" t="s">
        <v>18281</v>
      </c>
      <c r="M3857" s="12" t="s">
        <v>18282</v>
      </c>
      <c r="N3857" s="12">
        <v>1592</v>
      </c>
      <c r="O3857" s="12">
        <v>793</v>
      </c>
      <c r="P3857" s="12">
        <v>6</v>
      </c>
      <c r="Q3857" s="12" t="s">
        <v>18283</v>
      </c>
      <c r="R3857" s="15" t="s">
        <v>18284</v>
      </c>
      <c r="S3857" s="12">
        <v>14</v>
      </c>
      <c r="T3857" s="12" t="s">
        <v>2779</v>
      </c>
      <c r="U3857" s="12" t="s">
        <v>2914</v>
      </c>
      <c r="V3857" s="12" t="s">
        <v>41</v>
      </c>
      <c r="W3857" s="16"/>
      <c r="X3857" s="12">
        <v>2011</v>
      </c>
      <c r="Y3857" s="12">
        <v>154</v>
      </c>
      <c r="Z3857" s="12">
        <v>6</v>
      </c>
      <c r="AA3857" s="12">
        <v>2.35</v>
      </c>
      <c r="AB3857" s="12">
        <v>0</v>
      </c>
      <c r="AC3857" s="12"/>
      <c r="AD3857" s="12" t="str">
        <f>IFERROR(__xludf.DUMMYFUNCTION("""COMPUTED_VALUE"""),"Molly Hagan")</f>
        <v>Molly Hagan</v>
      </c>
      <c r="AE3857" s="12"/>
    </row>
    <row r="3858" customHeight="1" spans="1:31">
      <c r="A3858" s="11" t="s">
        <v>30</v>
      </c>
      <c r="B3858" s="11" t="s">
        <v>18285</v>
      </c>
      <c r="C3858" s="11">
        <v>54</v>
      </c>
      <c r="D3858" s="11">
        <v>122</v>
      </c>
      <c r="E3858" s="11">
        <v>4</v>
      </c>
      <c r="F3858" s="11">
        <v>3</v>
      </c>
      <c r="G3858" s="11">
        <v>25</v>
      </c>
      <c r="H3858" s="11">
        <v>713413</v>
      </c>
      <c r="I3858" s="11" t="s">
        <v>3082</v>
      </c>
      <c r="J3858" s="11" t="s">
        <v>18286</v>
      </c>
      <c r="K3858" s="11" t="s">
        <v>18287</v>
      </c>
      <c r="L3858" s="11" t="s">
        <v>18288</v>
      </c>
      <c r="M3858" s="11" t="s">
        <v>18289</v>
      </c>
      <c r="N3858" s="11">
        <v>9171</v>
      </c>
      <c r="O3858" s="11">
        <v>48</v>
      </c>
      <c r="P3858" s="11">
        <v>1</v>
      </c>
      <c r="Q3858" s="11" t="s">
        <v>18290</v>
      </c>
      <c r="R3858" s="14" t="s">
        <v>18291</v>
      </c>
      <c r="S3858" s="11">
        <v>68</v>
      </c>
      <c r="T3858" s="11" t="s">
        <v>10491</v>
      </c>
      <c r="U3858" s="11" t="s">
        <v>10492</v>
      </c>
      <c r="V3858" s="11" t="s">
        <v>586</v>
      </c>
      <c r="W3858" s="11">
        <v>4500000</v>
      </c>
      <c r="X3858" s="11">
        <v>1997</v>
      </c>
      <c r="Y3858" s="11">
        <v>20</v>
      </c>
      <c r="Z3858" s="11">
        <v>7.8</v>
      </c>
      <c r="AA3858" s="11">
        <v>1.85</v>
      </c>
      <c r="AB3858" s="11">
        <v>689</v>
      </c>
      <c r="AC3858" s="11"/>
      <c r="AD3858" s="11" t="str">
        <f>IFERROR(__xludf.DUMMYFUNCTION("""COMPUTED_VALUE"""),"Max Beesley")</f>
        <v>Max Beesley</v>
      </c>
      <c r="AE3858" s="11"/>
    </row>
    <row r="3859" customHeight="1" spans="1:31">
      <c r="A3859" s="12" t="s">
        <v>30</v>
      </c>
      <c r="B3859" s="12" t="s">
        <v>18292</v>
      </c>
      <c r="C3859" s="12">
        <v>92</v>
      </c>
      <c r="D3859" s="12">
        <v>106</v>
      </c>
      <c r="E3859" s="12">
        <v>68</v>
      </c>
      <c r="F3859" s="12">
        <v>391</v>
      </c>
      <c r="G3859" s="12">
        <v>835</v>
      </c>
      <c r="H3859" s="12">
        <v>410241</v>
      </c>
      <c r="I3859" s="12" t="s">
        <v>9194</v>
      </c>
      <c r="J3859" s="12" t="s">
        <v>3952</v>
      </c>
      <c r="K3859" s="12" t="s">
        <v>9641</v>
      </c>
      <c r="L3859" s="12" t="s">
        <v>17295</v>
      </c>
      <c r="M3859" s="12" t="s">
        <v>18293</v>
      </c>
      <c r="N3859" s="12">
        <v>32357</v>
      </c>
      <c r="O3859" s="12">
        <v>2110</v>
      </c>
      <c r="P3859" s="12">
        <v>0</v>
      </c>
      <c r="Q3859" s="12" t="s">
        <v>18294</v>
      </c>
      <c r="R3859" s="15" t="s">
        <v>18295</v>
      </c>
      <c r="S3859" s="12">
        <v>199</v>
      </c>
      <c r="T3859" s="12" t="s">
        <v>39</v>
      </c>
      <c r="U3859" s="12" t="s">
        <v>40</v>
      </c>
      <c r="V3859" s="12" t="s">
        <v>586</v>
      </c>
      <c r="W3859" s="12">
        <v>2000000</v>
      </c>
      <c r="X3859" s="12">
        <v>2002</v>
      </c>
      <c r="Y3859" s="12">
        <v>601</v>
      </c>
      <c r="Z3859" s="12">
        <v>6.8</v>
      </c>
      <c r="AA3859" s="12">
        <v>1.85</v>
      </c>
      <c r="AB3859" s="12">
        <v>3000</v>
      </c>
      <c r="AC3859" s="12"/>
      <c r="AD3859" s="12" t="str">
        <f>IFERROR(__xludf.DUMMYFUNCTION("""COMPUTED_VALUE"""),"Valarie Pettiford")</f>
        <v>Valarie Pettiford</v>
      </c>
      <c r="AE3859" s="12"/>
    </row>
    <row r="3860" customHeight="1" spans="1:31">
      <c r="A3860" s="11" t="s">
        <v>30</v>
      </c>
      <c r="B3860" s="11" t="s">
        <v>18296</v>
      </c>
      <c r="C3860" s="11">
        <v>159</v>
      </c>
      <c r="D3860" s="11">
        <v>98</v>
      </c>
      <c r="E3860" s="11">
        <v>377</v>
      </c>
      <c r="F3860" s="11">
        <v>844</v>
      </c>
      <c r="G3860" s="11">
        <v>1000</v>
      </c>
      <c r="H3860" s="11">
        <v>278821</v>
      </c>
      <c r="I3860" s="11" t="s">
        <v>2528</v>
      </c>
      <c r="J3860" s="11" t="s">
        <v>18297</v>
      </c>
      <c r="K3860" s="11" t="s">
        <v>2292</v>
      </c>
      <c r="L3860" s="11" t="s">
        <v>3518</v>
      </c>
      <c r="M3860" s="11" t="s">
        <v>18298</v>
      </c>
      <c r="N3860" s="11">
        <v>5465</v>
      </c>
      <c r="O3860" s="11">
        <v>5041</v>
      </c>
      <c r="P3860" s="11">
        <v>1</v>
      </c>
      <c r="Q3860" s="11" t="s">
        <v>18299</v>
      </c>
      <c r="R3860" s="14" t="s">
        <v>18300</v>
      </c>
      <c r="S3860" s="11">
        <v>37</v>
      </c>
      <c r="T3860" s="11" t="s">
        <v>39</v>
      </c>
      <c r="U3860" s="11" t="s">
        <v>40</v>
      </c>
      <c r="V3860" s="11" t="s">
        <v>586</v>
      </c>
      <c r="W3860" s="13"/>
      <c r="X3860" s="11">
        <v>2009</v>
      </c>
      <c r="Y3860" s="11">
        <v>887</v>
      </c>
      <c r="Z3860" s="11">
        <v>6.5</v>
      </c>
      <c r="AA3860" s="11">
        <v>1.85</v>
      </c>
      <c r="AB3860" s="11">
        <v>0</v>
      </c>
      <c r="AC3860" s="11"/>
      <c r="AD3860" s="11" t="str">
        <f>IFERROR(__xludf.DUMMYFUNCTION("""COMPUTED_VALUE"""),"Brad James")</f>
        <v>Brad James</v>
      </c>
      <c r="AE3860" s="11"/>
    </row>
    <row r="3861" customHeight="1" spans="1:31">
      <c r="A3861" s="12" t="s">
        <v>30</v>
      </c>
      <c r="B3861" s="12" t="s">
        <v>14341</v>
      </c>
      <c r="C3861" s="12">
        <v>202</v>
      </c>
      <c r="D3861" s="12">
        <v>112</v>
      </c>
      <c r="E3861" s="12">
        <v>0</v>
      </c>
      <c r="F3861" s="12">
        <v>38</v>
      </c>
      <c r="G3861" s="12">
        <v>717</v>
      </c>
      <c r="H3861" s="12">
        <v>211667</v>
      </c>
      <c r="I3861" s="12" t="s">
        <v>1936</v>
      </c>
      <c r="J3861" s="12" t="s">
        <v>13998</v>
      </c>
      <c r="K3861" s="12" t="s">
        <v>18301</v>
      </c>
      <c r="L3861" s="12" t="s">
        <v>18302</v>
      </c>
      <c r="M3861" s="12" t="s">
        <v>18303</v>
      </c>
      <c r="N3861" s="12">
        <v>53508</v>
      </c>
      <c r="O3861" s="12">
        <v>907</v>
      </c>
      <c r="P3861" s="12">
        <v>0</v>
      </c>
      <c r="Q3861" s="12" t="s">
        <v>18304</v>
      </c>
      <c r="R3861" s="15" t="s">
        <v>18305</v>
      </c>
      <c r="S3861" s="12">
        <v>131</v>
      </c>
      <c r="T3861" s="12" t="s">
        <v>12701</v>
      </c>
      <c r="U3861" s="12" t="s">
        <v>5695</v>
      </c>
      <c r="V3861" s="12" t="s">
        <v>586</v>
      </c>
      <c r="W3861" s="12">
        <v>4200000000</v>
      </c>
      <c r="X3861" s="12">
        <v>2005</v>
      </c>
      <c r="Y3861" s="12">
        <v>126</v>
      </c>
      <c r="Z3861" s="12">
        <v>7.7</v>
      </c>
      <c r="AA3861" s="12">
        <v>2.35</v>
      </c>
      <c r="AB3861" s="12">
        <v>4000</v>
      </c>
      <c r="AC3861" s="12"/>
      <c r="AD3861" s="12" t="str">
        <f>IFERROR(__xludf.DUMMYFUNCTION("""COMPUTED_VALUE"""),"Yu-mi Jeong")</f>
        <v>Yu-mi Jeong</v>
      </c>
      <c r="AE3861" s="12"/>
    </row>
    <row r="3862" customHeight="1" spans="1:31">
      <c r="A3862" s="11" t="s">
        <v>30</v>
      </c>
      <c r="B3862" s="11" t="s">
        <v>18306</v>
      </c>
      <c r="C3862" s="11">
        <v>50</v>
      </c>
      <c r="D3862" s="11">
        <v>120</v>
      </c>
      <c r="E3862" s="11">
        <v>0</v>
      </c>
      <c r="F3862" s="11">
        <v>9</v>
      </c>
      <c r="G3862" s="11">
        <v>24</v>
      </c>
      <c r="H3862" s="11">
        <v>706622</v>
      </c>
      <c r="I3862" s="11" t="s">
        <v>8771</v>
      </c>
      <c r="J3862" s="11" t="s">
        <v>18307</v>
      </c>
      <c r="K3862" s="11" t="s">
        <v>18308</v>
      </c>
      <c r="L3862" s="11" t="s">
        <v>18309</v>
      </c>
      <c r="M3862" s="11" t="s">
        <v>18310</v>
      </c>
      <c r="N3862" s="11">
        <v>1213</v>
      </c>
      <c r="O3862" s="11">
        <v>53</v>
      </c>
      <c r="P3862" s="11">
        <v>2</v>
      </c>
      <c r="Q3862" s="11" t="s">
        <v>18311</v>
      </c>
      <c r="R3862" s="14" t="s">
        <v>18312</v>
      </c>
      <c r="S3862" s="11">
        <v>17</v>
      </c>
      <c r="T3862" s="11" t="s">
        <v>1465</v>
      </c>
      <c r="U3862" s="11" t="s">
        <v>1466</v>
      </c>
      <c r="V3862" s="13"/>
      <c r="W3862" s="13"/>
      <c r="X3862" s="11">
        <v>2010</v>
      </c>
      <c r="Y3862" s="11">
        <v>12</v>
      </c>
      <c r="Z3862" s="11">
        <v>6.4</v>
      </c>
      <c r="AA3862" s="11">
        <v>1.85</v>
      </c>
      <c r="AB3862" s="11">
        <v>0</v>
      </c>
      <c r="AC3862" s="11"/>
      <c r="AD3862" s="11" t="str">
        <f>IFERROR(__xludf.DUMMYFUNCTION("""COMPUTED_VALUE"""),"Sung-kee Ahn")</f>
        <v>Sung-kee Ahn</v>
      </c>
      <c r="AE3862" s="11"/>
    </row>
    <row r="3863" customHeight="1" spans="1:31">
      <c r="A3863" s="12" t="s">
        <v>30</v>
      </c>
      <c r="B3863" s="12" t="s">
        <v>18313</v>
      </c>
      <c r="C3863" s="12">
        <v>54</v>
      </c>
      <c r="D3863" s="12">
        <v>99</v>
      </c>
      <c r="E3863" s="12">
        <v>0</v>
      </c>
      <c r="F3863" s="12">
        <v>798</v>
      </c>
      <c r="G3863" s="12">
        <v>26000</v>
      </c>
      <c r="H3863" s="12">
        <v>92191</v>
      </c>
      <c r="I3863" s="12" t="s">
        <v>6283</v>
      </c>
      <c r="J3863" s="12" t="s">
        <v>335</v>
      </c>
      <c r="K3863" s="12" t="s">
        <v>688</v>
      </c>
      <c r="L3863" s="12" t="s">
        <v>15342</v>
      </c>
      <c r="M3863" s="12" t="s">
        <v>18314</v>
      </c>
      <c r="N3863" s="12">
        <v>29463</v>
      </c>
      <c r="O3863" s="12">
        <v>29325</v>
      </c>
      <c r="P3863" s="12">
        <v>1</v>
      </c>
      <c r="Q3863" s="12" t="s">
        <v>18315</v>
      </c>
      <c r="R3863" s="15" t="s">
        <v>18316</v>
      </c>
      <c r="S3863" s="12">
        <v>84</v>
      </c>
      <c r="T3863" s="12" t="s">
        <v>39</v>
      </c>
      <c r="U3863" s="12" t="s">
        <v>58</v>
      </c>
      <c r="V3863" s="12" t="s">
        <v>586</v>
      </c>
      <c r="W3863" s="12">
        <v>2500000</v>
      </c>
      <c r="X3863" s="12">
        <v>2001</v>
      </c>
      <c r="Y3863" s="12">
        <v>1000</v>
      </c>
      <c r="Z3863" s="12">
        <v>6.5</v>
      </c>
      <c r="AA3863" s="12">
        <v>1.85</v>
      </c>
      <c r="AB3863" s="12">
        <v>0</v>
      </c>
      <c r="AC3863" s="12"/>
      <c r="AD3863" s="12" t="str">
        <f>IFERROR(__xludf.DUMMYFUNCTION("""COMPUTED_VALUE"""),"Samuel Roukin")</f>
        <v>Samuel Roukin</v>
      </c>
      <c r="AE3863" s="12"/>
    </row>
    <row r="3864" customHeight="1" spans="1:31">
      <c r="A3864" s="11" t="s">
        <v>30</v>
      </c>
      <c r="B3864" s="11" t="s">
        <v>18317</v>
      </c>
      <c r="C3864" s="11">
        <v>98</v>
      </c>
      <c r="D3864" s="11">
        <v>110</v>
      </c>
      <c r="E3864" s="11">
        <v>143</v>
      </c>
      <c r="F3864" s="11">
        <v>76</v>
      </c>
      <c r="G3864" s="11">
        <v>155</v>
      </c>
      <c r="H3864" s="11">
        <v>49413</v>
      </c>
      <c r="I3864" s="11" t="s">
        <v>334</v>
      </c>
      <c r="J3864" s="11" t="s">
        <v>10316</v>
      </c>
      <c r="K3864" s="11" t="s">
        <v>6218</v>
      </c>
      <c r="L3864" s="11" t="s">
        <v>5492</v>
      </c>
      <c r="M3864" s="11" t="s">
        <v>18318</v>
      </c>
      <c r="N3864" s="11">
        <v>6919</v>
      </c>
      <c r="O3864" s="11">
        <v>398</v>
      </c>
      <c r="P3864" s="11">
        <v>0</v>
      </c>
      <c r="Q3864" s="11" t="s">
        <v>18319</v>
      </c>
      <c r="R3864" s="14" t="s">
        <v>18320</v>
      </c>
      <c r="S3864" s="11">
        <v>26</v>
      </c>
      <c r="T3864" s="11" t="s">
        <v>7242</v>
      </c>
      <c r="U3864" s="11" t="s">
        <v>3860</v>
      </c>
      <c r="V3864" s="11" t="s">
        <v>586</v>
      </c>
      <c r="W3864" s="11">
        <v>35000000</v>
      </c>
      <c r="X3864" s="11">
        <v>2006</v>
      </c>
      <c r="Y3864" s="11">
        <v>96</v>
      </c>
      <c r="Z3864" s="11">
        <v>7.3</v>
      </c>
      <c r="AA3864" s="11">
        <v>2.35</v>
      </c>
      <c r="AB3864" s="11">
        <v>528</v>
      </c>
      <c r="AC3864" s="11"/>
      <c r="AD3864" s="11" t="str">
        <f>IFERROR(__xludf.DUMMYFUNCTION("""COMPUTED_VALUE"""),"Jimmy Shergill")</f>
        <v>Jimmy Shergill</v>
      </c>
      <c r="AE3864" s="11"/>
    </row>
    <row r="3865" customHeight="1" spans="1:31">
      <c r="A3865" s="12" t="s">
        <v>30</v>
      </c>
      <c r="B3865" s="12" t="s">
        <v>18321</v>
      </c>
      <c r="C3865" s="12">
        <v>92</v>
      </c>
      <c r="D3865" s="12">
        <v>102</v>
      </c>
      <c r="E3865" s="12">
        <v>3</v>
      </c>
      <c r="F3865" s="12">
        <v>327</v>
      </c>
      <c r="G3865" s="12">
        <v>820</v>
      </c>
      <c r="H3865" s="12">
        <v>199652</v>
      </c>
      <c r="I3865" s="12" t="s">
        <v>136</v>
      </c>
      <c r="J3865" s="12" t="s">
        <v>1046</v>
      </c>
      <c r="K3865" s="12" t="s">
        <v>11655</v>
      </c>
      <c r="L3865" s="12" t="s">
        <v>3459</v>
      </c>
      <c r="M3865" s="12" t="s">
        <v>18322</v>
      </c>
      <c r="N3865" s="12">
        <v>7390</v>
      </c>
      <c r="O3865" s="12">
        <v>1950</v>
      </c>
      <c r="P3865" s="12">
        <v>0</v>
      </c>
      <c r="Q3865" s="12" t="s">
        <v>18323</v>
      </c>
      <c r="R3865" s="15" t="s">
        <v>18324</v>
      </c>
      <c r="S3865" s="12">
        <v>40</v>
      </c>
      <c r="T3865" s="12" t="s">
        <v>39</v>
      </c>
      <c r="U3865" s="12" t="s">
        <v>3572</v>
      </c>
      <c r="V3865" s="12" t="s">
        <v>586</v>
      </c>
      <c r="W3865" s="16"/>
      <c r="X3865" s="12">
        <v>2011</v>
      </c>
      <c r="Y3865" s="12">
        <v>356</v>
      </c>
      <c r="Z3865" s="12">
        <v>6.6</v>
      </c>
      <c r="AA3865" s="12">
        <v>2.35</v>
      </c>
      <c r="AB3865" s="12">
        <v>0</v>
      </c>
      <c r="AC3865" s="12"/>
      <c r="AD3865" s="12" t="str">
        <f>IFERROR(__xludf.DUMMYFUNCTION("""COMPUTED_VALUE"""),"Christopher B. Duncan")</f>
        <v>Christopher B. Duncan</v>
      </c>
      <c r="AE3865" s="12"/>
    </row>
    <row r="3866" customHeight="1" spans="1:31">
      <c r="A3866" s="11" t="s">
        <v>30</v>
      </c>
      <c r="B3866" s="11" t="s">
        <v>18325</v>
      </c>
      <c r="C3866" s="11">
        <v>112</v>
      </c>
      <c r="D3866" s="11">
        <v>109</v>
      </c>
      <c r="E3866" s="11">
        <v>187</v>
      </c>
      <c r="F3866" s="11">
        <v>0</v>
      </c>
      <c r="G3866" s="11">
        <v>129</v>
      </c>
      <c r="H3866" s="11">
        <v>181655</v>
      </c>
      <c r="I3866" s="11" t="s">
        <v>1936</v>
      </c>
      <c r="J3866" s="11" t="s">
        <v>2320</v>
      </c>
      <c r="K3866" s="11" t="s">
        <v>18326</v>
      </c>
      <c r="L3866" s="11" t="s">
        <v>18327</v>
      </c>
      <c r="M3866" s="11" t="s">
        <v>18328</v>
      </c>
      <c r="N3866" s="11">
        <v>35464</v>
      </c>
      <c r="O3866" s="11">
        <v>131</v>
      </c>
      <c r="P3866" s="11">
        <v>1</v>
      </c>
      <c r="Q3866" s="11" t="s">
        <v>18329</v>
      </c>
      <c r="R3866" s="14" t="s">
        <v>18330</v>
      </c>
      <c r="S3866" s="11">
        <v>206</v>
      </c>
      <c r="T3866" s="11" t="s">
        <v>5642</v>
      </c>
      <c r="U3866" s="11" t="s">
        <v>12474</v>
      </c>
      <c r="V3866" s="11" t="s">
        <v>586</v>
      </c>
      <c r="W3866" s="13"/>
      <c r="X3866" s="11">
        <v>2002</v>
      </c>
      <c r="Y3866" s="11">
        <v>2</v>
      </c>
      <c r="Z3866" s="11">
        <v>7.9</v>
      </c>
      <c r="AA3866" s="11">
        <v>1.85</v>
      </c>
      <c r="AB3866" s="11">
        <v>0</v>
      </c>
      <c r="AC3866" s="11"/>
      <c r="AD3866" s="11" t="str">
        <f>IFERROR(__xludf.DUMMYFUNCTION("""COMPUTED_VALUE"""),"Robert Redford")</f>
        <v>Robert Redford</v>
      </c>
      <c r="AE3866" s="11"/>
    </row>
    <row r="3867" customHeight="1" spans="1:31">
      <c r="A3867" s="12" t="s">
        <v>30</v>
      </c>
      <c r="B3867" s="12" t="s">
        <v>18331</v>
      </c>
      <c r="C3867" s="12">
        <v>138</v>
      </c>
      <c r="D3867" s="12">
        <v>104</v>
      </c>
      <c r="E3867" s="12">
        <v>0</v>
      </c>
      <c r="F3867" s="12">
        <v>329</v>
      </c>
      <c r="G3867" s="12">
        <v>14000</v>
      </c>
      <c r="H3867" s="12">
        <v>108229</v>
      </c>
      <c r="I3867" s="12" t="s">
        <v>6133</v>
      </c>
      <c r="J3867" s="12" t="s">
        <v>228</v>
      </c>
      <c r="K3867" s="12" t="s">
        <v>3337</v>
      </c>
      <c r="L3867" s="12" t="s">
        <v>5096</v>
      </c>
      <c r="M3867" s="12" t="s">
        <v>18332</v>
      </c>
      <c r="N3867" s="12">
        <v>30836</v>
      </c>
      <c r="O3867" s="12">
        <v>15860</v>
      </c>
      <c r="P3867" s="12">
        <v>1</v>
      </c>
      <c r="Q3867" s="12" t="s">
        <v>18333</v>
      </c>
      <c r="R3867" s="15" t="s">
        <v>18334</v>
      </c>
      <c r="S3867" s="12">
        <v>137</v>
      </c>
      <c r="T3867" s="12" t="s">
        <v>39</v>
      </c>
      <c r="U3867" s="12" t="s">
        <v>40</v>
      </c>
      <c r="V3867" s="12" t="s">
        <v>586</v>
      </c>
      <c r="W3867" s="12">
        <v>4500000</v>
      </c>
      <c r="X3867" s="12">
        <v>2009</v>
      </c>
      <c r="Y3867" s="12">
        <v>1000</v>
      </c>
      <c r="Z3867" s="12">
        <v>5.9</v>
      </c>
      <c r="AA3867" s="12">
        <v>2.35</v>
      </c>
      <c r="AB3867" s="12">
        <v>7000</v>
      </c>
      <c r="AC3867" s="12"/>
      <c r="AD3867" s="12" t="str">
        <f>IFERROR(__xludf.DUMMYFUNCTION("""COMPUTED_VALUE"""),"Casey Siemaszko")</f>
        <v>Casey Siemaszko</v>
      </c>
      <c r="AE3867" s="12"/>
    </row>
    <row r="3868" customHeight="1" spans="1:31">
      <c r="A3868" s="11" t="s">
        <v>30</v>
      </c>
      <c r="B3868" s="11" t="s">
        <v>18335</v>
      </c>
      <c r="C3868" s="11">
        <v>9</v>
      </c>
      <c r="D3868" s="11">
        <v>134</v>
      </c>
      <c r="E3868" s="11">
        <v>0</v>
      </c>
      <c r="F3868" s="11">
        <v>62</v>
      </c>
      <c r="G3868" s="11">
        <v>327</v>
      </c>
      <c r="H3868" s="13"/>
      <c r="I3868" s="11" t="s">
        <v>4075</v>
      </c>
      <c r="J3868" s="11" t="s">
        <v>15898</v>
      </c>
      <c r="K3868" s="11" t="s">
        <v>18336</v>
      </c>
      <c r="L3868" s="11" t="s">
        <v>18337</v>
      </c>
      <c r="M3868" s="11" t="s">
        <v>18338</v>
      </c>
      <c r="N3868" s="11">
        <v>781</v>
      </c>
      <c r="O3868" s="11">
        <v>496</v>
      </c>
      <c r="P3868" s="11">
        <v>4</v>
      </c>
      <c r="Q3868" s="13"/>
      <c r="R3868" s="14" t="s">
        <v>18339</v>
      </c>
      <c r="S3868" s="11">
        <v>7</v>
      </c>
      <c r="T3868" s="11" t="s">
        <v>5612</v>
      </c>
      <c r="U3868" s="11" t="s">
        <v>5613</v>
      </c>
      <c r="V3868" s="13"/>
      <c r="W3868" s="13"/>
      <c r="X3868" s="11">
        <v>2014</v>
      </c>
      <c r="Y3868" s="11">
        <v>82</v>
      </c>
      <c r="Z3868" s="11">
        <v>4.7</v>
      </c>
      <c r="AA3868" s="13"/>
      <c r="AB3868" s="11">
        <v>62</v>
      </c>
      <c r="AC3868" s="11"/>
      <c r="AD3868" s="11" t="str">
        <f>IFERROR(__xludf.DUMMYFUNCTION("""COMPUTED_VALUE"""),"Vanessa Martinez")</f>
        <v>Vanessa Martinez</v>
      </c>
      <c r="AE3868" s="11"/>
    </row>
    <row r="3869" customHeight="1" spans="1:31">
      <c r="A3869" s="12" t="s">
        <v>30</v>
      </c>
      <c r="B3869" s="12" t="s">
        <v>4956</v>
      </c>
      <c r="C3869" s="12">
        <v>149</v>
      </c>
      <c r="D3869" s="12">
        <v>133</v>
      </c>
      <c r="E3869" s="12">
        <v>869</v>
      </c>
      <c r="F3869" s="12">
        <v>425</v>
      </c>
      <c r="G3869" s="12">
        <v>888</v>
      </c>
      <c r="H3869" s="12">
        <v>112000000</v>
      </c>
      <c r="I3869" s="12" t="s">
        <v>3410</v>
      </c>
      <c r="J3869" s="12" t="s">
        <v>11576</v>
      </c>
      <c r="K3869" s="12" t="s">
        <v>17218</v>
      </c>
      <c r="L3869" s="12" t="s">
        <v>14576</v>
      </c>
      <c r="M3869" s="12" t="s">
        <v>18340</v>
      </c>
      <c r="N3869" s="12">
        <v>680041</v>
      </c>
      <c r="O3869" s="12">
        <v>2176</v>
      </c>
      <c r="P3869" s="12">
        <v>0</v>
      </c>
      <c r="Q3869" s="12" t="s">
        <v>18341</v>
      </c>
      <c r="R3869" s="15" t="s">
        <v>18342</v>
      </c>
      <c r="S3869" s="12">
        <v>760</v>
      </c>
      <c r="T3869" s="12" t="s">
        <v>39</v>
      </c>
      <c r="U3869" s="12" t="s">
        <v>40</v>
      </c>
      <c r="V3869" s="12" t="s">
        <v>586</v>
      </c>
      <c r="W3869" s="12">
        <v>4400000</v>
      </c>
      <c r="X3869" s="12">
        <v>1975</v>
      </c>
      <c r="Y3869" s="12">
        <v>721</v>
      </c>
      <c r="Z3869" s="12">
        <v>8.7</v>
      </c>
      <c r="AA3869" s="12">
        <v>1.85</v>
      </c>
      <c r="AB3869" s="12">
        <v>32000</v>
      </c>
      <c r="AC3869" s="12"/>
      <c r="AD3869" s="12" t="str">
        <f>IFERROR(__xludf.DUMMYFUNCTION("""COMPUTED_VALUE"""),"Clive Standen")</f>
        <v>Clive Standen</v>
      </c>
      <c r="AE3869" s="12"/>
    </row>
    <row r="3870" customHeight="1" spans="1:31">
      <c r="A3870" s="11" t="s">
        <v>30</v>
      </c>
      <c r="B3870" s="11" t="s">
        <v>18343</v>
      </c>
      <c r="C3870" s="11">
        <v>5</v>
      </c>
      <c r="D3870" s="11">
        <v>85</v>
      </c>
      <c r="E3870" s="11">
        <v>358</v>
      </c>
      <c r="F3870" s="11">
        <v>212</v>
      </c>
      <c r="G3870" s="11">
        <v>19000</v>
      </c>
      <c r="H3870" s="13"/>
      <c r="I3870" s="11" t="s">
        <v>1672</v>
      </c>
      <c r="J3870" s="11" t="s">
        <v>18344</v>
      </c>
      <c r="K3870" s="11" t="s">
        <v>18345</v>
      </c>
      <c r="L3870" s="11" t="s">
        <v>18346</v>
      </c>
      <c r="M3870" s="11" t="s">
        <v>18347</v>
      </c>
      <c r="N3870" s="11">
        <v>917</v>
      </c>
      <c r="O3870" s="11">
        <v>20397</v>
      </c>
      <c r="P3870" s="11">
        <v>3</v>
      </c>
      <c r="Q3870" s="11" t="s">
        <v>18348</v>
      </c>
      <c r="R3870" s="14" t="s">
        <v>18349</v>
      </c>
      <c r="S3870" s="11">
        <v>4</v>
      </c>
      <c r="T3870" s="11" t="s">
        <v>39</v>
      </c>
      <c r="U3870" s="11" t="s">
        <v>40</v>
      </c>
      <c r="V3870" s="11" t="s">
        <v>96</v>
      </c>
      <c r="W3870" s="11">
        <v>4400000</v>
      </c>
      <c r="X3870" s="11">
        <v>2015</v>
      </c>
      <c r="Y3870" s="11">
        <v>570</v>
      </c>
      <c r="Z3870" s="11">
        <v>5.9</v>
      </c>
      <c r="AA3870" s="11">
        <v>1.78</v>
      </c>
      <c r="AB3870" s="11">
        <v>224</v>
      </c>
      <c r="AC3870" s="11"/>
      <c r="AD3870" s="11" t="str">
        <f>IFERROR(__xludf.DUMMYFUNCTION("""COMPUTED_VALUE"""),"Padraic Delaney")</f>
        <v>Padraic Delaney</v>
      </c>
      <c r="AE3870" s="11"/>
    </row>
    <row r="3871" customHeight="1" spans="1:31">
      <c r="A3871" s="12" t="s">
        <v>30</v>
      </c>
      <c r="B3871" s="12" t="s">
        <v>10326</v>
      </c>
      <c r="C3871" s="12">
        <v>39</v>
      </c>
      <c r="D3871" s="12">
        <v>87</v>
      </c>
      <c r="E3871" s="12">
        <v>0</v>
      </c>
      <c r="F3871" s="12">
        <v>753</v>
      </c>
      <c r="G3871" s="12">
        <v>898</v>
      </c>
      <c r="H3871" s="16"/>
      <c r="I3871" s="12" t="s">
        <v>1681</v>
      </c>
      <c r="J3871" s="12" t="s">
        <v>14556</v>
      </c>
      <c r="K3871" s="12" t="s">
        <v>10629</v>
      </c>
      <c r="L3871" s="12" t="s">
        <v>4882</v>
      </c>
      <c r="M3871" s="12" t="s">
        <v>18350</v>
      </c>
      <c r="N3871" s="12">
        <v>12666</v>
      </c>
      <c r="O3871" s="12">
        <v>2951</v>
      </c>
      <c r="P3871" s="12">
        <v>0</v>
      </c>
      <c r="Q3871" s="12" t="s">
        <v>18351</v>
      </c>
      <c r="R3871" s="15" t="s">
        <v>18352</v>
      </c>
      <c r="S3871" s="12">
        <v>61</v>
      </c>
      <c r="T3871" s="16"/>
      <c r="U3871" s="12" t="s">
        <v>40</v>
      </c>
      <c r="V3871" s="12" t="s">
        <v>96</v>
      </c>
      <c r="W3871" s="12">
        <v>4400000</v>
      </c>
      <c r="X3871" s="12">
        <v>1976</v>
      </c>
      <c r="Y3871" s="12">
        <v>842</v>
      </c>
      <c r="Z3871" s="12">
        <v>6.7</v>
      </c>
      <c r="AA3871" s="12">
        <v>1.85</v>
      </c>
      <c r="AB3871" s="12">
        <v>629</v>
      </c>
      <c r="AC3871" s="12"/>
      <c r="AD3871" s="12" t="str">
        <f>IFERROR(__xludf.DUMMYFUNCTION("""COMPUTED_VALUE"""),"Orla Fitzgerald")</f>
        <v>Orla Fitzgerald</v>
      </c>
      <c r="AE3871" s="12"/>
    </row>
    <row r="3872" customHeight="1" spans="1:31">
      <c r="A3872" s="11" t="s">
        <v>30</v>
      </c>
      <c r="B3872" s="11" t="s">
        <v>18353</v>
      </c>
      <c r="C3872" s="11">
        <v>39</v>
      </c>
      <c r="D3872" s="11">
        <v>130</v>
      </c>
      <c r="E3872" s="11">
        <v>6</v>
      </c>
      <c r="F3872" s="11">
        <v>12</v>
      </c>
      <c r="G3872" s="11">
        <v>85</v>
      </c>
      <c r="H3872" s="13"/>
      <c r="I3872" s="11" t="s">
        <v>18354</v>
      </c>
      <c r="J3872" s="11" t="s">
        <v>11187</v>
      </c>
      <c r="K3872" s="11" t="s">
        <v>18355</v>
      </c>
      <c r="L3872" s="11" t="s">
        <v>18356</v>
      </c>
      <c r="M3872" s="11" t="s">
        <v>18357</v>
      </c>
      <c r="N3872" s="11">
        <v>30977</v>
      </c>
      <c r="O3872" s="11">
        <v>151</v>
      </c>
      <c r="P3872" s="11">
        <v>1</v>
      </c>
      <c r="Q3872" s="11" t="s">
        <v>18358</v>
      </c>
      <c r="R3872" s="14" t="s">
        <v>18359</v>
      </c>
      <c r="S3872" s="11">
        <v>178</v>
      </c>
      <c r="T3872" s="11" t="s">
        <v>5612</v>
      </c>
      <c r="U3872" s="11" t="s">
        <v>5613</v>
      </c>
      <c r="V3872" s="13"/>
      <c r="W3872" s="11">
        <v>4400000</v>
      </c>
      <c r="X3872" s="11">
        <v>2016</v>
      </c>
      <c r="Y3872" s="11">
        <v>26</v>
      </c>
      <c r="Z3872" s="11">
        <v>8.5</v>
      </c>
      <c r="AA3872" s="11">
        <v>2.35</v>
      </c>
      <c r="AB3872" s="11">
        <v>10000</v>
      </c>
      <c r="AC3872" s="11"/>
      <c r="AD3872" s="11" t="str">
        <f>IFERROR(__xludf.DUMMYFUNCTION("""COMPUTED_VALUE"""),"Martin Lucey")</f>
        <v>Martin Lucey</v>
      </c>
      <c r="AE3872" s="11"/>
    </row>
    <row r="3873" customHeight="1" spans="1:31">
      <c r="A3873" s="12" t="s">
        <v>30</v>
      </c>
      <c r="B3873" s="16"/>
      <c r="C3873" s="12">
        <v>2</v>
      </c>
      <c r="D3873" s="12">
        <v>199</v>
      </c>
      <c r="E3873" s="16"/>
      <c r="F3873" s="12">
        <v>505</v>
      </c>
      <c r="G3873" s="12">
        <v>662</v>
      </c>
      <c r="H3873" s="16"/>
      <c r="I3873" s="12" t="s">
        <v>7144</v>
      </c>
      <c r="J3873" s="12" t="s">
        <v>756</v>
      </c>
      <c r="K3873" s="12" t="s">
        <v>18360</v>
      </c>
      <c r="L3873" s="12" t="s">
        <v>18361</v>
      </c>
      <c r="M3873" s="12" t="s">
        <v>18362</v>
      </c>
      <c r="N3873" s="12">
        <v>14251</v>
      </c>
      <c r="O3873" s="12">
        <v>2667</v>
      </c>
      <c r="P3873" s="12">
        <v>0</v>
      </c>
      <c r="Q3873" s="12" t="s">
        <v>18363</v>
      </c>
      <c r="R3873" s="15" t="s">
        <v>18364</v>
      </c>
      <c r="S3873" s="12">
        <v>74</v>
      </c>
      <c r="T3873" s="12" t="s">
        <v>39</v>
      </c>
      <c r="U3873" s="12" t="s">
        <v>269</v>
      </c>
      <c r="V3873" s="12" t="s">
        <v>2750</v>
      </c>
      <c r="W3873" s="16"/>
      <c r="X3873" s="16"/>
      <c r="Y3873" s="12">
        <v>517</v>
      </c>
      <c r="Z3873" s="12">
        <v>8.4</v>
      </c>
      <c r="AA3873" s="12">
        <v>1.33</v>
      </c>
      <c r="AB3873" s="12">
        <v>0</v>
      </c>
      <c r="AC3873" s="12"/>
      <c r="AD3873" s="12" t="str">
        <f>IFERROR(__xludf.DUMMYFUNCTION("""COMPUTED_VALUE"""),"Ranbir Kapoor")</f>
        <v>Ranbir Kapoor</v>
      </c>
      <c r="AE3873" s="12"/>
    </row>
    <row r="3874" customHeight="1" spans="1:31">
      <c r="A3874" s="11" t="s">
        <v>30</v>
      </c>
      <c r="B3874" s="11" t="s">
        <v>16444</v>
      </c>
      <c r="C3874" s="11">
        <v>29</v>
      </c>
      <c r="D3874" s="11">
        <v>103</v>
      </c>
      <c r="E3874" s="11">
        <v>249</v>
      </c>
      <c r="F3874" s="11">
        <v>261</v>
      </c>
      <c r="G3874" s="11">
        <v>2000</v>
      </c>
      <c r="H3874" s="11">
        <v>8691</v>
      </c>
      <c r="I3874" s="11" t="s">
        <v>127</v>
      </c>
      <c r="J3874" s="11" t="s">
        <v>6434</v>
      </c>
      <c r="K3874" s="11" t="s">
        <v>18365</v>
      </c>
      <c r="L3874" s="11" t="s">
        <v>18366</v>
      </c>
      <c r="M3874" s="11" t="s">
        <v>18367</v>
      </c>
      <c r="N3874" s="11">
        <v>4952</v>
      </c>
      <c r="O3874" s="11">
        <v>3089</v>
      </c>
      <c r="P3874" s="11">
        <v>1</v>
      </c>
      <c r="Q3874" s="13"/>
      <c r="R3874" s="14" t="s">
        <v>18368</v>
      </c>
      <c r="S3874" s="11">
        <v>32</v>
      </c>
      <c r="T3874" s="11" t="s">
        <v>39</v>
      </c>
      <c r="U3874" s="11" t="s">
        <v>40</v>
      </c>
      <c r="V3874" s="11" t="s">
        <v>586</v>
      </c>
      <c r="W3874" s="11">
        <v>4500000</v>
      </c>
      <c r="X3874" s="11">
        <v>2014</v>
      </c>
      <c r="Y3874" s="11">
        <v>298</v>
      </c>
      <c r="Z3874" s="11">
        <v>5.8</v>
      </c>
      <c r="AA3874" s="13"/>
      <c r="AB3874" s="11">
        <v>0</v>
      </c>
      <c r="AC3874" s="11"/>
      <c r="AD3874" s="11" t="str">
        <f>IFERROR(__xludf.DUMMYFUNCTION("""COMPUTED_VALUE"""),"Madhuri Dixit")</f>
        <v>Madhuri Dixit</v>
      </c>
      <c r="AE3874" s="11"/>
    </row>
    <row r="3875" customHeight="1" spans="1:31">
      <c r="A3875" s="12" t="s">
        <v>30</v>
      </c>
      <c r="B3875" s="12" t="s">
        <v>18369</v>
      </c>
      <c r="C3875" s="12">
        <v>111</v>
      </c>
      <c r="D3875" s="12">
        <v>112</v>
      </c>
      <c r="E3875" s="12">
        <v>63</v>
      </c>
      <c r="F3875" s="12">
        <v>422</v>
      </c>
      <c r="G3875" s="12">
        <v>2000</v>
      </c>
      <c r="H3875" s="12">
        <v>26345</v>
      </c>
      <c r="I3875" s="12" t="s">
        <v>15140</v>
      </c>
      <c r="J3875" s="12" t="s">
        <v>594</v>
      </c>
      <c r="K3875" s="12" t="s">
        <v>392</v>
      </c>
      <c r="L3875" s="12" t="s">
        <v>3031</v>
      </c>
      <c r="M3875" s="12" t="s">
        <v>18370</v>
      </c>
      <c r="N3875" s="12">
        <v>16445</v>
      </c>
      <c r="O3875" s="12">
        <v>4810</v>
      </c>
      <c r="P3875" s="12">
        <v>4</v>
      </c>
      <c r="Q3875" s="12" t="s">
        <v>18371</v>
      </c>
      <c r="R3875" s="15" t="s">
        <v>18372</v>
      </c>
      <c r="S3875" s="12">
        <v>99</v>
      </c>
      <c r="T3875" s="12" t="s">
        <v>39</v>
      </c>
      <c r="U3875" s="12" t="s">
        <v>58</v>
      </c>
      <c r="V3875" s="12" t="s">
        <v>586</v>
      </c>
      <c r="W3875" s="12">
        <v>3000000</v>
      </c>
      <c r="X3875" s="12">
        <v>2012</v>
      </c>
      <c r="Y3875" s="12">
        <v>1000</v>
      </c>
      <c r="Z3875" s="12">
        <v>6.1</v>
      </c>
      <c r="AA3875" s="12">
        <v>2.35</v>
      </c>
      <c r="AB3875" s="12">
        <v>0</v>
      </c>
      <c r="AC3875" s="12"/>
      <c r="AD3875" s="12" t="str">
        <f>IFERROR(__xludf.DUMMYFUNCTION("""COMPUTED_VALUE"""),"Aditya Roy Kapoor")</f>
        <v>Aditya Roy Kapoor</v>
      </c>
      <c r="AE3875" s="12"/>
    </row>
    <row r="3876" customHeight="1" spans="1:31">
      <c r="A3876" s="11" t="s">
        <v>30</v>
      </c>
      <c r="B3876" s="11" t="s">
        <v>11358</v>
      </c>
      <c r="C3876" s="11">
        <v>149</v>
      </c>
      <c r="D3876" s="11">
        <v>89</v>
      </c>
      <c r="E3876" s="11">
        <v>143</v>
      </c>
      <c r="F3876" s="11">
        <v>100</v>
      </c>
      <c r="G3876" s="11">
        <v>1000</v>
      </c>
      <c r="H3876" s="11">
        <v>6940281</v>
      </c>
      <c r="I3876" s="11" t="s">
        <v>1528</v>
      </c>
      <c r="J3876" s="11" t="s">
        <v>392</v>
      </c>
      <c r="K3876" s="11" t="s">
        <v>18373</v>
      </c>
      <c r="L3876" s="11" t="s">
        <v>18374</v>
      </c>
      <c r="M3876" s="11" t="s">
        <v>18375</v>
      </c>
      <c r="N3876" s="11">
        <v>43135</v>
      </c>
      <c r="O3876" s="11">
        <v>1291</v>
      </c>
      <c r="P3876" s="11">
        <v>6</v>
      </c>
      <c r="Q3876" s="11" t="s">
        <v>18376</v>
      </c>
      <c r="R3876" s="14" t="s">
        <v>18377</v>
      </c>
      <c r="S3876" s="11">
        <v>346</v>
      </c>
      <c r="T3876" s="11" t="s">
        <v>39</v>
      </c>
      <c r="U3876" s="11" t="s">
        <v>58</v>
      </c>
      <c r="V3876" s="11" t="s">
        <v>586</v>
      </c>
      <c r="W3876" s="13"/>
      <c r="X3876" s="11">
        <v>2000</v>
      </c>
      <c r="Y3876" s="11">
        <v>146</v>
      </c>
      <c r="Z3876" s="11">
        <v>7.3</v>
      </c>
      <c r="AA3876" s="11">
        <v>2.35</v>
      </c>
      <c r="AB3876" s="11">
        <v>0</v>
      </c>
      <c r="AC3876" s="11"/>
      <c r="AD3876" s="11" t="str">
        <f>IFERROR(__xludf.DUMMYFUNCTION("""COMPUTED_VALUE"""),"Peter Ustinov")</f>
        <v>Peter Ustinov</v>
      </c>
      <c r="AE3876" s="11"/>
    </row>
    <row r="3877" customHeight="1" spans="1:31">
      <c r="A3877" s="12" t="s">
        <v>30</v>
      </c>
      <c r="B3877" s="12" t="s">
        <v>2355</v>
      </c>
      <c r="C3877" s="12">
        <v>90</v>
      </c>
      <c r="D3877" s="12">
        <v>124</v>
      </c>
      <c r="E3877" s="12">
        <v>79</v>
      </c>
      <c r="F3877" s="12">
        <v>93</v>
      </c>
      <c r="G3877" s="12">
        <v>309</v>
      </c>
      <c r="H3877" s="12">
        <v>188870</v>
      </c>
      <c r="I3877" s="12" t="s">
        <v>464</v>
      </c>
      <c r="J3877" s="12" t="s">
        <v>18378</v>
      </c>
      <c r="K3877" s="12" t="s">
        <v>5556</v>
      </c>
      <c r="L3877" s="12" t="s">
        <v>18379</v>
      </c>
      <c r="M3877" s="12" t="s">
        <v>18380</v>
      </c>
      <c r="N3877" s="12">
        <v>13443</v>
      </c>
      <c r="O3877" s="12">
        <v>857</v>
      </c>
      <c r="P3877" s="12">
        <v>1</v>
      </c>
      <c r="Q3877" s="12" t="s">
        <v>18381</v>
      </c>
      <c r="R3877" s="15" t="s">
        <v>18382</v>
      </c>
      <c r="S3877" s="12">
        <v>25</v>
      </c>
      <c r="T3877" s="12" t="s">
        <v>12473</v>
      </c>
      <c r="U3877" s="12" t="s">
        <v>12474</v>
      </c>
      <c r="V3877" s="12" t="s">
        <v>586</v>
      </c>
      <c r="W3877" s="16"/>
      <c r="X3877" s="12">
        <v>2010</v>
      </c>
      <c r="Y3877" s="12">
        <v>254</v>
      </c>
      <c r="Z3877" s="12">
        <v>6.7</v>
      </c>
      <c r="AA3877" s="12">
        <v>2.35</v>
      </c>
      <c r="AB3877" s="12">
        <v>0</v>
      </c>
      <c r="AC3877" s="12"/>
      <c r="AD3877" s="12" t="str">
        <f>IFERROR(__xludf.DUMMYFUNCTION("""COMPUTED_VALUE"""),"Deborah Kerr")</f>
        <v>Deborah Kerr</v>
      </c>
      <c r="AE3877" s="12"/>
    </row>
    <row r="3878" customHeight="1" spans="1:31">
      <c r="A3878" s="11" t="s">
        <v>30</v>
      </c>
      <c r="B3878" s="11" t="s">
        <v>8547</v>
      </c>
      <c r="C3878" s="11">
        <v>149</v>
      </c>
      <c r="D3878" s="11">
        <v>101</v>
      </c>
      <c r="E3878" s="11">
        <v>51</v>
      </c>
      <c r="F3878" s="11">
        <v>8</v>
      </c>
      <c r="G3878" s="11">
        <v>446</v>
      </c>
      <c r="H3878" s="11">
        <v>20772796</v>
      </c>
      <c r="I3878" s="11" t="s">
        <v>7144</v>
      </c>
      <c r="J3878" s="11" t="s">
        <v>7463</v>
      </c>
      <c r="K3878" s="11" t="s">
        <v>18383</v>
      </c>
      <c r="L3878" s="11" t="s">
        <v>18384</v>
      </c>
      <c r="M3878" s="11" t="s">
        <v>18385</v>
      </c>
      <c r="N3878" s="11">
        <v>34232</v>
      </c>
      <c r="O3878" s="11">
        <v>497</v>
      </c>
      <c r="P3878" s="11">
        <v>1</v>
      </c>
      <c r="Q3878" s="11" t="s">
        <v>18386</v>
      </c>
      <c r="R3878" s="14" t="s">
        <v>18387</v>
      </c>
      <c r="S3878" s="11">
        <v>346</v>
      </c>
      <c r="T3878" s="11" t="s">
        <v>39</v>
      </c>
      <c r="U3878" s="11" t="s">
        <v>180</v>
      </c>
      <c r="V3878" s="11" t="s">
        <v>41</v>
      </c>
      <c r="W3878" s="11">
        <v>6000000</v>
      </c>
      <c r="X3878" s="11">
        <v>2002</v>
      </c>
      <c r="Y3878" s="11">
        <v>20</v>
      </c>
      <c r="Z3878" s="11">
        <v>7.6</v>
      </c>
      <c r="AA3878" s="11">
        <v>2.35</v>
      </c>
      <c r="AB3878" s="11">
        <v>0</v>
      </c>
      <c r="AC3878" s="11"/>
      <c r="AD3878" s="11" t="str">
        <f>IFERROR(__xludf.DUMMYFUNCTION("""COMPUTED_VALUE"""),"Robert Taylor")</f>
        <v>Robert Taylor</v>
      </c>
      <c r="AE3878" s="11"/>
    </row>
    <row r="3879" customHeight="1" spans="1:31">
      <c r="A3879" s="12" t="s">
        <v>30</v>
      </c>
      <c r="B3879" s="12" t="s">
        <v>18388</v>
      </c>
      <c r="C3879" s="12">
        <v>12</v>
      </c>
      <c r="D3879" s="12">
        <v>133</v>
      </c>
      <c r="E3879" s="12">
        <v>12</v>
      </c>
      <c r="F3879" s="12">
        <v>106</v>
      </c>
      <c r="G3879" s="12">
        <v>464</v>
      </c>
      <c r="H3879" s="12">
        <v>199228</v>
      </c>
      <c r="I3879" s="12" t="s">
        <v>2528</v>
      </c>
      <c r="J3879" s="12" t="s">
        <v>18389</v>
      </c>
      <c r="K3879" s="12" t="s">
        <v>17517</v>
      </c>
      <c r="L3879" s="12" t="s">
        <v>18390</v>
      </c>
      <c r="M3879" s="12" t="s">
        <v>18391</v>
      </c>
      <c r="N3879" s="12">
        <v>7295</v>
      </c>
      <c r="O3879" s="12">
        <v>1045</v>
      </c>
      <c r="P3879" s="12">
        <v>0</v>
      </c>
      <c r="Q3879" s="12" t="s">
        <v>18392</v>
      </c>
      <c r="R3879" s="15" t="s">
        <v>18393</v>
      </c>
      <c r="S3879" s="12">
        <v>49</v>
      </c>
      <c r="T3879" s="12" t="s">
        <v>5612</v>
      </c>
      <c r="U3879" s="12" t="s">
        <v>5613</v>
      </c>
      <c r="V3879" s="16"/>
      <c r="W3879" s="12">
        <v>150000000</v>
      </c>
      <c r="X3879" s="12">
        <v>2009</v>
      </c>
      <c r="Y3879" s="12">
        <v>374</v>
      </c>
      <c r="Z3879" s="12">
        <v>7.2</v>
      </c>
      <c r="AA3879" s="12">
        <v>2.35</v>
      </c>
      <c r="AB3879" s="12">
        <v>504</v>
      </c>
      <c r="AC3879" s="12"/>
      <c r="AD3879" s="12" t="str">
        <f>IFERROR(__xludf.DUMMYFUNCTION("""COMPUTED_VALUE"""),"Necati Sasmaz")</f>
        <v>Necati Sasmaz</v>
      </c>
      <c r="AE3879" s="12"/>
    </row>
    <row r="3880" customHeight="1" spans="1:31">
      <c r="A3880" s="11" t="s">
        <v>30</v>
      </c>
      <c r="B3880" s="11" t="s">
        <v>18394</v>
      </c>
      <c r="C3880" s="11">
        <v>64</v>
      </c>
      <c r="D3880" s="11">
        <v>112</v>
      </c>
      <c r="E3880" s="11">
        <v>0</v>
      </c>
      <c r="F3880" s="11">
        <v>7</v>
      </c>
      <c r="G3880" s="11">
        <v>29</v>
      </c>
      <c r="H3880" s="13"/>
      <c r="I3880" s="11" t="s">
        <v>5033</v>
      </c>
      <c r="J3880" s="11" t="s">
        <v>18395</v>
      </c>
      <c r="K3880" s="11" t="s">
        <v>18396</v>
      </c>
      <c r="L3880" s="11" t="s">
        <v>18397</v>
      </c>
      <c r="M3880" s="11" t="s">
        <v>18398</v>
      </c>
      <c r="N3880" s="11">
        <v>15780</v>
      </c>
      <c r="O3880" s="11">
        <v>61</v>
      </c>
      <c r="P3880" s="11">
        <v>0</v>
      </c>
      <c r="Q3880" s="11" t="s">
        <v>18399</v>
      </c>
      <c r="R3880" s="14" t="s">
        <v>18400</v>
      </c>
      <c r="S3880" s="11">
        <v>62</v>
      </c>
      <c r="T3880" s="11" t="s">
        <v>8732</v>
      </c>
      <c r="U3880" s="11" t="s">
        <v>8747</v>
      </c>
      <c r="V3880" s="13"/>
      <c r="W3880" s="11">
        <v>4500000</v>
      </c>
      <c r="X3880" s="11">
        <v>2009</v>
      </c>
      <c r="Y3880" s="11">
        <v>9</v>
      </c>
      <c r="Z3880" s="11">
        <v>6.2</v>
      </c>
      <c r="AA3880" s="11">
        <v>2.35</v>
      </c>
      <c r="AB3880" s="11">
        <v>2000</v>
      </c>
      <c r="AC3880" s="11"/>
      <c r="AD3880" s="11" t="str">
        <f>IFERROR(__xludf.DUMMYFUNCTION("""COMPUTED_VALUE"""),"Bergüzar Korel")</f>
        <v>Bergüzar Korel</v>
      </c>
      <c r="AE3880" s="11"/>
    </row>
    <row r="3881" customHeight="1" spans="1:31">
      <c r="A3881" s="12" t="s">
        <v>30</v>
      </c>
      <c r="B3881" s="12" t="s">
        <v>941</v>
      </c>
      <c r="C3881" s="12">
        <v>256</v>
      </c>
      <c r="D3881" s="12">
        <v>111</v>
      </c>
      <c r="E3881" s="12">
        <v>456</v>
      </c>
      <c r="F3881" s="12">
        <v>394</v>
      </c>
      <c r="G3881" s="12">
        <v>20000</v>
      </c>
      <c r="H3881" s="12">
        <v>34964818</v>
      </c>
      <c r="I3881" s="12" t="s">
        <v>200</v>
      </c>
      <c r="J3881" s="12" t="s">
        <v>263</v>
      </c>
      <c r="K3881" s="12" t="s">
        <v>942</v>
      </c>
      <c r="L3881" s="12" t="s">
        <v>943</v>
      </c>
      <c r="M3881" s="12" t="s">
        <v>944</v>
      </c>
      <c r="N3881" s="12">
        <v>39975</v>
      </c>
      <c r="O3881" s="12">
        <v>21404</v>
      </c>
      <c r="P3881" s="12">
        <v>4</v>
      </c>
      <c r="Q3881" s="12" t="s">
        <v>945</v>
      </c>
      <c r="R3881" s="15" t="s">
        <v>946</v>
      </c>
      <c r="S3881" s="12">
        <v>186</v>
      </c>
      <c r="T3881" s="12" t="s">
        <v>39</v>
      </c>
      <c r="U3881" s="12" t="s">
        <v>40</v>
      </c>
      <c r="V3881" s="12" t="s">
        <v>96</v>
      </c>
      <c r="W3881" s="12">
        <v>150000000</v>
      </c>
      <c r="X3881" s="12">
        <v>2015</v>
      </c>
      <c r="Y3881" s="12">
        <v>559</v>
      </c>
      <c r="Z3881" s="12">
        <v>5.8</v>
      </c>
      <c r="AA3881" s="12">
        <v>2.35</v>
      </c>
      <c r="AB3881" s="12">
        <v>24000</v>
      </c>
      <c r="AC3881" s="12"/>
      <c r="AD3881" s="12" t="str">
        <f>IFERROR(__xludf.DUMMYFUNCTION("""COMPUTED_VALUE"""),"Ghassan Massoud")</f>
        <v>Ghassan Massoud</v>
      </c>
      <c r="AE3881" s="12"/>
    </row>
    <row r="3882" customHeight="1" spans="1:31">
      <c r="A3882" s="11" t="s">
        <v>30</v>
      </c>
      <c r="B3882" s="11" t="s">
        <v>4067</v>
      </c>
      <c r="C3882" s="11">
        <v>57</v>
      </c>
      <c r="D3882" s="11">
        <v>98</v>
      </c>
      <c r="E3882" s="11">
        <v>197</v>
      </c>
      <c r="F3882" s="11">
        <v>578</v>
      </c>
      <c r="G3882" s="11">
        <v>755</v>
      </c>
      <c r="H3882" s="13"/>
      <c r="I3882" s="11" t="s">
        <v>3023</v>
      </c>
      <c r="J3882" s="11" t="s">
        <v>10894</v>
      </c>
      <c r="K3882" s="11" t="s">
        <v>11893</v>
      </c>
      <c r="L3882" s="11" t="s">
        <v>16781</v>
      </c>
      <c r="M3882" s="11" t="s">
        <v>18401</v>
      </c>
      <c r="N3882" s="11">
        <v>59254</v>
      </c>
      <c r="O3882" s="11">
        <v>2553</v>
      </c>
      <c r="P3882" s="11">
        <v>0</v>
      </c>
      <c r="Q3882" s="11" t="s">
        <v>18402</v>
      </c>
      <c r="R3882" s="14" t="s">
        <v>18403</v>
      </c>
      <c r="S3882" s="11">
        <v>726</v>
      </c>
      <c r="T3882" s="11" t="s">
        <v>39</v>
      </c>
      <c r="U3882" s="11" t="s">
        <v>40</v>
      </c>
      <c r="V3882" s="11" t="s">
        <v>2750</v>
      </c>
      <c r="W3882" s="11">
        <v>4200000</v>
      </c>
      <c r="X3882" s="11">
        <v>2006</v>
      </c>
      <c r="Y3882" s="11">
        <v>632</v>
      </c>
      <c r="Z3882" s="11">
        <v>5.2</v>
      </c>
      <c r="AA3882" s="11">
        <v>1.33</v>
      </c>
      <c r="AB3882" s="11">
        <v>0</v>
      </c>
      <c r="AC3882" s="11"/>
      <c r="AD3882" s="11" t="str">
        <f>IFERROR(__xludf.DUMMYFUNCTION("""COMPUTED_VALUE"""),"Jim Henson")</f>
        <v>Jim Henson</v>
      </c>
      <c r="AE3882" s="11"/>
    </row>
    <row r="3883" customHeight="1" spans="1:31">
      <c r="A3883" s="12" t="s">
        <v>30</v>
      </c>
      <c r="B3883" s="16"/>
      <c r="C3883" s="12">
        <v>8</v>
      </c>
      <c r="D3883" s="12">
        <v>60</v>
      </c>
      <c r="E3883" s="16"/>
      <c r="F3883" s="12">
        <v>551</v>
      </c>
      <c r="G3883" s="12">
        <v>1000</v>
      </c>
      <c r="H3883" s="16"/>
      <c r="I3883" s="12" t="s">
        <v>1936</v>
      </c>
      <c r="J3883" s="12" t="s">
        <v>2730</v>
      </c>
      <c r="K3883" s="12" t="s">
        <v>7011</v>
      </c>
      <c r="L3883" s="12" t="s">
        <v>4765</v>
      </c>
      <c r="M3883" s="12" t="s">
        <v>18404</v>
      </c>
      <c r="N3883" s="12">
        <v>3673</v>
      </c>
      <c r="O3883" s="12">
        <v>3026</v>
      </c>
      <c r="P3883" s="12">
        <v>0</v>
      </c>
      <c r="Q3883" s="12" t="s">
        <v>18405</v>
      </c>
      <c r="R3883" s="15" t="s">
        <v>18406</v>
      </c>
      <c r="S3883" s="12">
        <v>23</v>
      </c>
      <c r="T3883" s="12" t="s">
        <v>39</v>
      </c>
      <c r="U3883" s="12" t="s">
        <v>40</v>
      </c>
      <c r="V3883" s="16"/>
      <c r="W3883" s="16"/>
      <c r="X3883" s="16"/>
      <c r="Y3883" s="12">
        <v>557</v>
      </c>
      <c r="Z3883" s="12">
        <v>8.1</v>
      </c>
      <c r="AA3883" s="12">
        <v>16</v>
      </c>
      <c r="AB3883" s="12">
        <v>0</v>
      </c>
      <c r="AC3883" s="12"/>
      <c r="AD3883" s="12" t="str">
        <f>IFERROR(__xludf.DUMMYFUNCTION("""COMPUTED_VALUE"""),"James Huang")</f>
        <v>James Huang</v>
      </c>
      <c r="AE3883" s="12"/>
    </row>
    <row r="3884" customHeight="1" spans="1:31">
      <c r="A3884" s="11" t="s">
        <v>30</v>
      </c>
      <c r="B3884" s="11" t="s">
        <v>15278</v>
      </c>
      <c r="C3884" s="11">
        <v>50</v>
      </c>
      <c r="D3884" s="11">
        <v>93</v>
      </c>
      <c r="E3884" s="11">
        <v>23</v>
      </c>
      <c r="F3884" s="11">
        <v>130</v>
      </c>
      <c r="G3884" s="11">
        <v>471</v>
      </c>
      <c r="H3884" s="11">
        <v>2542264</v>
      </c>
      <c r="I3884" s="11" t="s">
        <v>2528</v>
      </c>
      <c r="J3884" s="11" t="s">
        <v>12969</v>
      </c>
      <c r="K3884" s="11" t="s">
        <v>3605</v>
      </c>
      <c r="L3884" s="11" t="s">
        <v>15674</v>
      </c>
      <c r="M3884" s="11" t="s">
        <v>18407</v>
      </c>
      <c r="N3884" s="11">
        <v>3407</v>
      </c>
      <c r="O3884" s="11">
        <v>938</v>
      </c>
      <c r="P3884" s="11">
        <v>1</v>
      </c>
      <c r="Q3884" s="11" t="s">
        <v>18408</v>
      </c>
      <c r="R3884" s="14" t="s">
        <v>18409</v>
      </c>
      <c r="S3884" s="11">
        <v>48</v>
      </c>
      <c r="T3884" s="11" t="s">
        <v>39</v>
      </c>
      <c r="U3884" s="11" t="s">
        <v>58</v>
      </c>
      <c r="V3884" s="11" t="s">
        <v>41</v>
      </c>
      <c r="W3884" s="13"/>
      <c r="X3884" s="11">
        <v>1997</v>
      </c>
      <c r="Y3884" s="11">
        <v>232</v>
      </c>
      <c r="Z3884" s="11">
        <v>7.1</v>
      </c>
      <c r="AA3884" s="11">
        <v>1.85</v>
      </c>
      <c r="AB3884" s="11">
        <v>61</v>
      </c>
      <c r="AC3884" s="11"/>
      <c r="AD3884" s="11" t="str">
        <f>IFERROR(__xludf.DUMMYFUNCTION("""COMPUTED_VALUE"""),"Lindsay Price")</f>
        <v>Lindsay Price</v>
      </c>
      <c r="AE3884" s="11"/>
    </row>
    <row r="3885" customHeight="1" spans="1:31">
      <c r="A3885" s="12" t="s">
        <v>30</v>
      </c>
      <c r="B3885" s="12" t="s">
        <v>2157</v>
      </c>
      <c r="C3885" s="12">
        <v>232</v>
      </c>
      <c r="D3885" s="12">
        <v>104</v>
      </c>
      <c r="E3885" s="12">
        <v>335</v>
      </c>
      <c r="F3885" s="12">
        <v>16</v>
      </c>
      <c r="G3885" s="12">
        <v>114</v>
      </c>
      <c r="H3885" s="12">
        <v>1487477</v>
      </c>
      <c r="I3885" s="12" t="s">
        <v>18410</v>
      </c>
      <c r="J3885" s="12" t="s">
        <v>8750</v>
      </c>
      <c r="K3885" s="12" t="s">
        <v>18411</v>
      </c>
      <c r="L3885" s="12" t="s">
        <v>18412</v>
      </c>
      <c r="M3885" s="12" t="s">
        <v>18413</v>
      </c>
      <c r="N3885" s="12">
        <v>47097</v>
      </c>
      <c r="O3885" s="12">
        <v>206</v>
      </c>
      <c r="P3885" s="12">
        <v>0</v>
      </c>
      <c r="Q3885" s="12" t="s">
        <v>18414</v>
      </c>
      <c r="R3885" s="15" t="s">
        <v>18415</v>
      </c>
      <c r="S3885" s="12">
        <v>310</v>
      </c>
      <c r="T3885" s="12" t="s">
        <v>5642</v>
      </c>
      <c r="U3885" s="12" t="s">
        <v>7171</v>
      </c>
      <c r="V3885" s="12" t="s">
        <v>586</v>
      </c>
      <c r="W3885" s="12">
        <v>4200000</v>
      </c>
      <c r="X3885" s="12">
        <v>2004</v>
      </c>
      <c r="Y3885" s="12">
        <v>28</v>
      </c>
      <c r="Z3885" s="12">
        <v>6.5</v>
      </c>
      <c r="AA3885" s="12">
        <v>1.85</v>
      </c>
      <c r="AB3885" s="12">
        <v>0</v>
      </c>
      <c r="AC3885" s="12"/>
      <c r="AD3885" s="12" t="str">
        <f>IFERROR(__xludf.DUMMYFUNCTION("""COMPUTED_VALUE"""),"Eleanor Parker")</f>
        <v>Eleanor Parker</v>
      </c>
      <c r="AE3885" s="12"/>
    </row>
    <row r="3886" customHeight="1" spans="1:31">
      <c r="A3886" s="11" t="s">
        <v>30</v>
      </c>
      <c r="B3886" s="11" t="s">
        <v>5051</v>
      </c>
      <c r="C3886" s="11">
        <v>63</v>
      </c>
      <c r="D3886" s="11">
        <v>112</v>
      </c>
      <c r="E3886" s="11">
        <v>277</v>
      </c>
      <c r="F3886" s="11">
        <v>327</v>
      </c>
      <c r="G3886" s="11">
        <v>1000</v>
      </c>
      <c r="H3886" s="11">
        <v>62549000</v>
      </c>
      <c r="I3886" s="11" t="s">
        <v>5275</v>
      </c>
      <c r="J3886" s="11" t="s">
        <v>393</v>
      </c>
      <c r="K3886" s="11" t="s">
        <v>4770</v>
      </c>
      <c r="L3886" s="11" t="s">
        <v>3459</v>
      </c>
      <c r="M3886" s="11" t="s">
        <v>18416</v>
      </c>
      <c r="N3886" s="11">
        <v>41361</v>
      </c>
      <c r="O3886" s="11">
        <v>2412</v>
      </c>
      <c r="P3886" s="11">
        <v>0</v>
      </c>
      <c r="Q3886" s="11" t="s">
        <v>18417</v>
      </c>
      <c r="R3886" s="14" t="s">
        <v>18418</v>
      </c>
      <c r="S3886" s="11">
        <v>148</v>
      </c>
      <c r="T3886" s="11" t="s">
        <v>39</v>
      </c>
      <c r="U3886" s="11" t="s">
        <v>58</v>
      </c>
      <c r="V3886" s="11" t="s">
        <v>586</v>
      </c>
      <c r="W3886" s="11">
        <v>2300000</v>
      </c>
      <c r="X3886" s="11">
        <v>1992</v>
      </c>
      <c r="Y3886" s="11">
        <v>530</v>
      </c>
      <c r="Z3886" s="11">
        <v>7.3</v>
      </c>
      <c r="AA3886" s="11">
        <v>2.35</v>
      </c>
      <c r="AB3886" s="11">
        <v>0</v>
      </c>
      <c r="AC3886" s="11"/>
      <c r="AD3886" s="11" t="str">
        <f>IFERROR(__xludf.DUMMYFUNCTION("""COMPUTED_VALUE"""),"Angela Cartwright")</f>
        <v>Angela Cartwright</v>
      </c>
      <c r="AE3886" s="11"/>
    </row>
    <row r="3887" customHeight="1" spans="1:31">
      <c r="A3887" s="12" t="s">
        <v>30</v>
      </c>
      <c r="B3887" s="12" t="s">
        <v>11264</v>
      </c>
      <c r="C3887" s="12">
        <v>75</v>
      </c>
      <c r="D3887" s="12">
        <v>94</v>
      </c>
      <c r="E3887" s="12">
        <v>84</v>
      </c>
      <c r="F3887" s="12">
        <v>95</v>
      </c>
      <c r="G3887" s="12">
        <v>110</v>
      </c>
      <c r="H3887" s="12">
        <v>105500000</v>
      </c>
      <c r="I3887" s="12" t="s">
        <v>1672</v>
      </c>
      <c r="J3887" s="12" t="s">
        <v>18419</v>
      </c>
      <c r="K3887" s="12" t="s">
        <v>18420</v>
      </c>
      <c r="L3887" s="12" t="s">
        <v>18421</v>
      </c>
      <c r="M3887" s="12" t="s">
        <v>18422</v>
      </c>
      <c r="N3887" s="12">
        <v>31260</v>
      </c>
      <c r="O3887" s="12">
        <v>582</v>
      </c>
      <c r="P3887" s="12">
        <v>0</v>
      </c>
      <c r="Q3887" s="12" t="s">
        <v>18423</v>
      </c>
      <c r="R3887" s="15" t="s">
        <v>18424</v>
      </c>
      <c r="S3887" s="12">
        <v>152</v>
      </c>
      <c r="T3887" s="12" t="s">
        <v>39</v>
      </c>
      <c r="U3887" s="12" t="s">
        <v>269</v>
      </c>
      <c r="V3887" s="12" t="s">
        <v>586</v>
      </c>
      <c r="W3887" s="12">
        <v>4000000</v>
      </c>
      <c r="X3887" s="12">
        <v>1981</v>
      </c>
      <c r="Y3887" s="12">
        <v>95</v>
      </c>
      <c r="Z3887" s="12">
        <v>6.2</v>
      </c>
      <c r="AA3887" s="12">
        <v>1.85</v>
      </c>
      <c r="AB3887" s="12">
        <v>0</v>
      </c>
      <c r="AC3887" s="12"/>
      <c r="AD3887" s="12" t="str">
        <f>IFERROR(__xludf.DUMMYFUNCTION("""COMPUTED_VALUE"""),"Nicholas Hammond")</f>
        <v>Nicholas Hammond</v>
      </c>
      <c r="AE3887" s="12"/>
    </row>
    <row r="3888" customHeight="1" spans="1:31">
      <c r="A3888" s="11" t="s">
        <v>30</v>
      </c>
      <c r="B3888" s="11" t="s">
        <v>2496</v>
      </c>
      <c r="C3888" s="11">
        <v>274</v>
      </c>
      <c r="D3888" s="11">
        <v>90</v>
      </c>
      <c r="E3888" s="11">
        <v>0</v>
      </c>
      <c r="F3888" s="11">
        <v>231</v>
      </c>
      <c r="G3888" s="11">
        <v>648</v>
      </c>
      <c r="H3888" s="11">
        <v>101055</v>
      </c>
      <c r="I3888" s="11" t="s">
        <v>6403</v>
      </c>
      <c r="J3888" s="11" t="s">
        <v>7954</v>
      </c>
      <c r="K3888" s="11" t="s">
        <v>4500</v>
      </c>
      <c r="L3888" s="11" t="s">
        <v>18425</v>
      </c>
      <c r="M3888" s="11" t="s">
        <v>18426</v>
      </c>
      <c r="N3888" s="11">
        <v>17478</v>
      </c>
      <c r="O3888" s="11">
        <v>1951</v>
      </c>
      <c r="P3888" s="11">
        <v>0</v>
      </c>
      <c r="Q3888" s="11" t="s">
        <v>18427</v>
      </c>
      <c r="R3888" s="14" t="s">
        <v>18428</v>
      </c>
      <c r="S3888" s="11">
        <v>159</v>
      </c>
      <c r="T3888" s="11" t="s">
        <v>39</v>
      </c>
      <c r="U3888" s="11" t="s">
        <v>40</v>
      </c>
      <c r="V3888" s="11" t="s">
        <v>586</v>
      </c>
      <c r="W3888" s="11">
        <v>4000000</v>
      </c>
      <c r="X3888" s="11">
        <v>2009</v>
      </c>
      <c r="Y3888" s="11">
        <v>529</v>
      </c>
      <c r="Z3888" s="11">
        <v>5</v>
      </c>
      <c r="AA3888" s="11">
        <v>2.35</v>
      </c>
      <c r="AB3888" s="11">
        <v>0</v>
      </c>
      <c r="AC3888" s="11"/>
      <c r="AD3888" s="11" t="str">
        <f>IFERROR(__xludf.DUMMYFUNCTION("""COMPUTED_VALUE"""),"Howard Morris")</f>
        <v>Howard Morris</v>
      </c>
      <c r="AE3888" s="11"/>
    </row>
    <row r="3889" customHeight="1" spans="1:31">
      <c r="A3889" s="12" t="s">
        <v>748</v>
      </c>
      <c r="B3889" s="12" t="s">
        <v>2496</v>
      </c>
      <c r="C3889" s="12">
        <v>284</v>
      </c>
      <c r="D3889" s="12">
        <v>96</v>
      </c>
      <c r="E3889" s="12">
        <v>0</v>
      </c>
      <c r="F3889" s="12">
        <v>56</v>
      </c>
      <c r="G3889" s="12">
        <v>125</v>
      </c>
      <c r="H3889" s="16"/>
      <c r="I3889" s="12" t="s">
        <v>18429</v>
      </c>
      <c r="J3889" s="12" t="s">
        <v>18430</v>
      </c>
      <c r="K3889" s="12" t="s">
        <v>18431</v>
      </c>
      <c r="L3889" s="12" t="s">
        <v>18432</v>
      </c>
      <c r="M3889" s="12" t="s">
        <v>18433</v>
      </c>
      <c r="N3889" s="12">
        <v>87978</v>
      </c>
      <c r="O3889" s="12">
        <v>403</v>
      </c>
      <c r="P3889" s="12">
        <v>5</v>
      </c>
      <c r="Q3889" s="12" t="s">
        <v>18434</v>
      </c>
      <c r="R3889" s="15" t="s">
        <v>18435</v>
      </c>
      <c r="S3889" s="12">
        <v>580</v>
      </c>
      <c r="T3889" s="12" t="s">
        <v>39</v>
      </c>
      <c r="U3889" s="12" t="s">
        <v>40</v>
      </c>
      <c r="V3889" s="12" t="s">
        <v>5614</v>
      </c>
      <c r="W3889" s="12">
        <v>114000</v>
      </c>
      <c r="X3889" s="12">
        <v>1968</v>
      </c>
      <c r="Y3889" s="12">
        <v>108</v>
      </c>
      <c r="Z3889" s="12">
        <v>8</v>
      </c>
      <c r="AA3889" s="12">
        <v>1.85</v>
      </c>
      <c r="AB3889" s="12">
        <v>0</v>
      </c>
      <c r="AC3889" s="12"/>
      <c r="AD3889" s="12" t="str">
        <f>IFERROR(__xludf.DUMMYFUNCTION("""COMPUTED_VALUE"""),"Patrick Cronin")</f>
        <v>Patrick Cronin</v>
      </c>
      <c r="AE3889" s="12"/>
    </row>
    <row r="3890" customHeight="1" spans="1:31">
      <c r="A3890" s="11" t="s">
        <v>30</v>
      </c>
      <c r="B3890" s="11" t="s">
        <v>6725</v>
      </c>
      <c r="C3890" s="11">
        <v>265</v>
      </c>
      <c r="D3890" s="11">
        <v>101</v>
      </c>
      <c r="E3890" s="11">
        <v>0</v>
      </c>
      <c r="F3890" s="11">
        <v>11</v>
      </c>
      <c r="G3890" s="11">
        <v>19000</v>
      </c>
      <c r="H3890" s="11">
        <v>44566004</v>
      </c>
      <c r="I3890" s="11" t="s">
        <v>3410</v>
      </c>
      <c r="J3890" s="11" t="s">
        <v>100</v>
      </c>
      <c r="K3890" s="11" t="s">
        <v>549</v>
      </c>
      <c r="L3890" s="11" t="s">
        <v>18436</v>
      </c>
      <c r="M3890" s="11" t="s">
        <v>18437</v>
      </c>
      <c r="N3890" s="11">
        <v>321283</v>
      </c>
      <c r="O3890" s="11">
        <v>32015</v>
      </c>
      <c r="P3890" s="11">
        <v>0</v>
      </c>
      <c r="Q3890" s="11" t="s">
        <v>18438</v>
      </c>
      <c r="R3890" s="14" t="s">
        <v>18439</v>
      </c>
      <c r="S3890" s="11">
        <v>1848</v>
      </c>
      <c r="T3890" s="11" t="s">
        <v>39</v>
      </c>
      <c r="U3890" s="11" t="s">
        <v>40</v>
      </c>
      <c r="V3890" s="11" t="s">
        <v>586</v>
      </c>
      <c r="W3890" s="11">
        <v>4000000</v>
      </c>
      <c r="X3890" s="11">
        <v>2003</v>
      </c>
      <c r="Y3890" s="11">
        <v>13000</v>
      </c>
      <c r="Z3890" s="11">
        <v>7.8</v>
      </c>
      <c r="AA3890" s="11">
        <v>1.85</v>
      </c>
      <c r="AB3890" s="11">
        <v>17000</v>
      </c>
      <c r="AC3890" s="11"/>
      <c r="AD3890" s="11" t="str">
        <f>IFERROR(__xludf.DUMMYFUNCTION("""COMPUTED_VALUE"""),"Steven Christopher Parker")</f>
        <v>Steven Christopher Parker</v>
      </c>
      <c r="AE3890" s="11"/>
    </row>
    <row r="3891" customHeight="1" spans="1:31">
      <c r="A3891" s="12" t="s">
        <v>30</v>
      </c>
      <c r="B3891" s="12" t="s">
        <v>4004</v>
      </c>
      <c r="C3891" s="12">
        <v>154</v>
      </c>
      <c r="D3891" s="12">
        <v>93</v>
      </c>
      <c r="E3891" s="12">
        <v>11000</v>
      </c>
      <c r="F3891" s="12">
        <v>629</v>
      </c>
      <c r="G3891" s="12">
        <v>11000</v>
      </c>
      <c r="H3891" s="12">
        <v>39200000</v>
      </c>
      <c r="I3891" s="12" t="s">
        <v>1681</v>
      </c>
      <c r="J3891" s="12" t="s">
        <v>4004</v>
      </c>
      <c r="K3891" s="12" t="s">
        <v>6745</v>
      </c>
      <c r="L3891" s="12" t="s">
        <v>11577</v>
      </c>
      <c r="M3891" s="12" t="s">
        <v>18440</v>
      </c>
      <c r="N3891" s="12">
        <v>192940</v>
      </c>
      <c r="O3891" s="12">
        <v>12691</v>
      </c>
      <c r="P3891" s="12">
        <v>0</v>
      </c>
      <c r="Q3891" s="12" t="s">
        <v>18441</v>
      </c>
      <c r="R3891" s="15" t="s">
        <v>18442</v>
      </c>
      <c r="S3891" s="12">
        <v>491</v>
      </c>
      <c r="T3891" s="12" t="s">
        <v>39</v>
      </c>
      <c r="U3891" s="12" t="s">
        <v>40</v>
      </c>
      <c r="V3891" s="12" t="s">
        <v>96</v>
      </c>
      <c r="W3891" s="12">
        <v>4000000</v>
      </c>
      <c r="X3891" s="12">
        <v>1977</v>
      </c>
      <c r="Y3891" s="12">
        <v>636</v>
      </c>
      <c r="Z3891" s="12">
        <v>8.1</v>
      </c>
      <c r="AA3891" s="12">
        <v>1.37</v>
      </c>
      <c r="AB3891" s="12">
        <v>0</v>
      </c>
      <c r="AC3891" s="12"/>
      <c r="AD3891" s="12" t="str">
        <f>IFERROR(__xludf.DUMMYFUNCTION("""COMPUTED_VALUE"""),"Jill Talley")</f>
        <v>Jill Talley</v>
      </c>
      <c r="AE3891" s="12"/>
    </row>
    <row r="3892" customHeight="1" spans="1:31">
      <c r="A3892" s="11" t="s">
        <v>30</v>
      </c>
      <c r="B3892" s="11" t="s">
        <v>18443</v>
      </c>
      <c r="C3892" s="11">
        <v>44</v>
      </c>
      <c r="D3892" s="11">
        <v>152</v>
      </c>
      <c r="E3892" s="11">
        <v>309</v>
      </c>
      <c r="F3892" s="11">
        <v>132</v>
      </c>
      <c r="G3892" s="11">
        <v>232</v>
      </c>
      <c r="H3892" s="11">
        <v>36000000</v>
      </c>
      <c r="I3892" s="11" t="s">
        <v>12745</v>
      </c>
      <c r="J3892" s="11" t="s">
        <v>18444</v>
      </c>
      <c r="K3892" s="11" t="s">
        <v>18445</v>
      </c>
      <c r="L3892" s="11" t="s">
        <v>18446</v>
      </c>
      <c r="M3892" s="11" t="s">
        <v>18447</v>
      </c>
      <c r="N3892" s="11">
        <v>9456</v>
      </c>
      <c r="O3892" s="11">
        <v>825</v>
      </c>
      <c r="P3892" s="11">
        <v>0</v>
      </c>
      <c r="Q3892" s="11" t="s">
        <v>18448</v>
      </c>
      <c r="R3892" s="14" t="s">
        <v>18449</v>
      </c>
      <c r="S3892" s="11">
        <v>107</v>
      </c>
      <c r="T3892" s="11" t="s">
        <v>39</v>
      </c>
      <c r="U3892" s="11" t="s">
        <v>40</v>
      </c>
      <c r="V3892" s="11" t="s">
        <v>4831</v>
      </c>
      <c r="W3892" s="11">
        <v>4000000</v>
      </c>
      <c r="X3892" s="11">
        <v>1952</v>
      </c>
      <c r="Y3892" s="11">
        <v>178</v>
      </c>
      <c r="Z3892" s="11">
        <v>6.7</v>
      </c>
      <c r="AA3892" s="11">
        <v>1.37</v>
      </c>
      <c r="AB3892" s="11">
        <v>625</v>
      </c>
      <c r="AC3892" s="11"/>
      <c r="AD3892" s="11" t="str">
        <f>IFERROR(__xludf.DUMMYFUNCTION("""COMPUTED_VALUE"""),"Frances Lee McCain")</f>
        <v>Frances Lee McCain</v>
      </c>
      <c r="AE3892" s="11"/>
    </row>
    <row r="3893" customHeight="1" spans="1:31">
      <c r="A3893" s="12" t="s">
        <v>30</v>
      </c>
      <c r="B3893" s="12" t="s">
        <v>188</v>
      </c>
      <c r="C3893" s="12">
        <v>314</v>
      </c>
      <c r="D3893" s="12">
        <v>150</v>
      </c>
      <c r="E3893" s="12">
        <v>0</v>
      </c>
      <c r="F3893" s="12">
        <v>748</v>
      </c>
      <c r="G3893" s="12">
        <v>23000</v>
      </c>
      <c r="H3893" s="12">
        <v>65007045</v>
      </c>
      <c r="I3893" s="12" t="s">
        <v>1023</v>
      </c>
      <c r="J3893" s="12" t="s">
        <v>62</v>
      </c>
      <c r="K3893" s="12" t="s">
        <v>1024</v>
      </c>
      <c r="L3893" s="12" t="s">
        <v>1025</v>
      </c>
      <c r="M3893" s="12" t="s">
        <v>1026</v>
      </c>
      <c r="N3893" s="12">
        <v>128694</v>
      </c>
      <c r="O3893" s="12">
        <v>26489</v>
      </c>
      <c r="P3893" s="12">
        <v>0</v>
      </c>
      <c r="Q3893" s="12" t="s">
        <v>1027</v>
      </c>
      <c r="R3893" s="15" t="s">
        <v>1028</v>
      </c>
      <c r="S3893" s="12">
        <v>657</v>
      </c>
      <c r="T3893" s="12" t="s">
        <v>39</v>
      </c>
      <c r="U3893" s="12" t="s">
        <v>58</v>
      </c>
      <c r="V3893" s="12" t="s">
        <v>41</v>
      </c>
      <c r="W3893" s="12">
        <v>140000000</v>
      </c>
      <c r="X3893" s="12">
        <v>2014</v>
      </c>
      <c r="Y3893" s="12">
        <v>892</v>
      </c>
      <c r="Z3893" s="12">
        <v>6.1</v>
      </c>
      <c r="AA3893" s="12">
        <v>2.35</v>
      </c>
      <c r="AB3893" s="12">
        <v>51000</v>
      </c>
      <c r="AC3893" s="12"/>
      <c r="AD3893" s="12" t="str">
        <f>IFERROR(__xludf.DUMMYFUNCTION("""COMPUTED_VALUE"""),"Noah Huntley")</f>
        <v>Noah Huntley</v>
      </c>
      <c r="AE3893" s="12"/>
    </row>
    <row r="3894" customHeight="1" spans="1:31">
      <c r="A3894" s="11" t="s">
        <v>30</v>
      </c>
      <c r="B3894" s="11" t="s">
        <v>126</v>
      </c>
      <c r="C3894" s="11">
        <v>153</v>
      </c>
      <c r="D3894" s="11">
        <v>112</v>
      </c>
      <c r="E3894" s="11">
        <v>395</v>
      </c>
      <c r="F3894" s="11">
        <v>80</v>
      </c>
      <c r="G3894" s="11">
        <v>13000</v>
      </c>
      <c r="H3894" s="11">
        <v>31252964</v>
      </c>
      <c r="I3894" s="11" t="s">
        <v>214</v>
      </c>
      <c r="J3894" s="11" t="s">
        <v>465</v>
      </c>
      <c r="K3894" s="11" t="s">
        <v>3283</v>
      </c>
      <c r="L3894" s="11" t="s">
        <v>18450</v>
      </c>
      <c r="M3894" s="11" t="s">
        <v>18451</v>
      </c>
      <c r="N3894" s="11">
        <v>71495</v>
      </c>
      <c r="O3894" s="11">
        <v>13707</v>
      </c>
      <c r="P3894" s="11">
        <v>1</v>
      </c>
      <c r="Q3894" s="11" t="s">
        <v>18452</v>
      </c>
      <c r="R3894" s="14" t="s">
        <v>18453</v>
      </c>
      <c r="S3894" s="11">
        <v>522</v>
      </c>
      <c r="T3894" s="11" t="s">
        <v>39</v>
      </c>
      <c r="U3894" s="11" t="s">
        <v>40</v>
      </c>
      <c r="V3894" s="11" t="s">
        <v>586</v>
      </c>
      <c r="W3894" s="11">
        <v>4000000</v>
      </c>
      <c r="X3894" s="11">
        <v>2001</v>
      </c>
      <c r="Y3894" s="11">
        <v>595</v>
      </c>
      <c r="Z3894" s="11">
        <v>7.1</v>
      </c>
      <c r="AA3894" s="11">
        <v>2.35</v>
      </c>
      <c r="AB3894" s="11">
        <v>0</v>
      </c>
      <c r="AC3894" s="11"/>
      <c r="AD3894" s="11" t="str">
        <f>IFERROR(__xludf.DUMMYFUNCTION("""COMPUTED_VALUE"""),"Megan Burns")</f>
        <v>Megan Burns</v>
      </c>
      <c r="AE3894" s="11"/>
    </row>
    <row r="3895" customHeight="1" spans="1:31">
      <c r="A3895" s="12" t="s">
        <v>30</v>
      </c>
      <c r="B3895" s="12" t="s">
        <v>18454</v>
      </c>
      <c r="C3895" s="12">
        <v>256</v>
      </c>
      <c r="D3895" s="12">
        <v>95</v>
      </c>
      <c r="E3895" s="12">
        <v>9</v>
      </c>
      <c r="F3895" s="12">
        <v>428</v>
      </c>
      <c r="G3895" s="12">
        <v>584</v>
      </c>
      <c r="H3895" s="12">
        <v>131175</v>
      </c>
      <c r="I3895" s="12" t="s">
        <v>11575</v>
      </c>
      <c r="J3895" s="12" t="s">
        <v>2144</v>
      </c>
      <c r="K3895" s="12" t="s">
        <v>5351</v>
      </c>
      <c r="L3895" s="12" t="s">
        <v>18455</v>
      </c>
      <c r="M3895" s="12" t="s">
        <v>18456</v>
      </c>
      <c r="N3895" s="12">
        <v>30219</v>
      </c>
      <c r="O3895" s="12">
        <v>1885</v>
      </c>
      <c r="P3895" s="12">
        <v>2</v>
      </c>
      <c r="Q3895" s="12" t="s">
        <v>18457</v>
      </c>
      <c r="R3895" s="15" t="s">
        <v>18458</v>
      </c>
      <c r="S3895" s="12">
        <v>200</v>
      </c>
      <c r="T3895" s="12" t="s">
        <v>39</v>
      </c>
      <c r="U3895" s="12" t="s">
        <v>40</v>
      </c>
      <c r="V3895" s="12" t="s">
        <v>41</v>
      </c>
      <c r="W3895" s="12">
        <v>8500000</v>
      </c>
      <c r="X3895" s="12">
        <v>2015</v>
      </c>
      <c r="Y3895" s="12">
        <v>430</v>
      </c>
      <c r="Z3895" s="12">
        <v>5.6</v>
      </c>
      <c r="AA3895" s="12">
        <v>2.35</v>
      </c>
      <c r="AB3895" s="12">
        <v>22000</v>
      </c>
      <c r="AC3895" s="12"/>
      <c r="AD3895" s="12" t="str">
        <f>IFERROR(__xludf.DUMMYFUNCTION("""COMPUTED_VALUE"""),"David Schneider")</f>
        <v>David Schneider</v>
      </c>
      <c r="AE3895" s="12"/>
    </row>
    <row r="3896" customHeight="1" spans="1:31">
      <c r="A3896" s="11" t="s">
        <v>30</v>
      </c>
      <c r="B3896" s="11" t="s">
        <v>18459</v>
      </c>
      <c r="C3896" s="11">
        <v>123</v>
      </c>
      <c r="D3896" s="11">
        <v>111</v>
      </c>
      <c r="E3896" s="11">
        <v>81</v>
      </c>
      <c r="F3896" s="11">
        <v>687</v>
      </c>
      <c r="G3896" s="11">
        <v>12000</v>
      </c>
      <c r="H3896" s="11">
        <v>31968347</v>
      </c>
      <c r="I3896" s="11" t="s">
        <v>214</v>
      </c>
      <c r="J3896" s="11" t="s">
        <v>705</v>
      </c>
      <c r="K3896" s="11" t="s">
        <v>5369</v>
      </c>
      <c r="L3896" s="11" t="s">
        <v>6216</v>
      </c>
      <c r="M3896" s="11" t="s">
        <v>18460</v>
      </c>
      <c r="N3896" s="11">
        <v>93894</v>
      </c>
      <c r="O3896" s="11">
        <v>14823</v>
      </c>
      <c r="P3896" s="11">
        <v>0</v>
      </c>
      <c r="Q3896" s="11" t="s">
        <v>18461</v>
      </c>
      <c r="R3896" s="14" t="s">
        <v>18462</v>
      </c>
      <c r="S3896" s="11">
        <v>286</v>
      </c>
      <c r="T3896" s="11" t="s">
        <v>39</v>
      </c>
      <c r="U3896" s="11" t="s">
        <v>40</v>
      </c>
      <c r="V3896" s="11" t="s">
        <v>586</v>
      </c>
      <c r="W3896" s="11">
        <v>3600000</v>
      </c>
      <c r="X3896" s="11">
        <v>1995</v>
      </c>
      <c r="Y3896" s="11">
        <v>898</v>
      </c>
      <c r="Z3896" s="11">
        <v>7.6</v>
      </c>
      <c r="AA3896" s="11">
        <v>1.66</v>
      </c>
      <c r="AB3896" s="11">
        <v>0</v>
      </c>
      <c r="AC3896" s="11"/>
      <c r="AD3896" s="11" t="str">
        <f>IFERROR(__xludf.DUMMYFUNCTION("""COMPUTED_VALUE"""),"Jennifer Freeman")</f>
        <v>Jennifer Freeman</v>
      </c>
      <c r="AE3896" s="11"/>
    </row>
    <row r="3897" customHeight="1" spans="1:31">
      <c r="A3897" s="12" t="s">
        <v>30</v>
      </c>
      <c r="B3897" s="12" t="s">
        <v>18463</v>
      </c>
      <c r="C3897" s="12">
        <v>46</v>
      </c>
      <c r="D3897" s="12">
        <v>86</v>
      </c>
      <c r="E3897" s="12">
        <v>2</v>
      </c>
      <c r="F3897" s="12">
        <v>555</v>
      </c>
      <c r="G3897" s="12">
        <v>707</v>
      </c>
      <c r="H3897" s="16"/>
      <c r="I3897" s="12" t="s">
        <v>7579</v>
      </c>
      <c r="J3897" s="12" t="s">
        <v>7161</v>
      </c>
      <c r="K3897" s="12" t="s">
        <v>5436</v>
      </c>
      <c r="L3897" s="12" t="s">
        <v>5546</v>
      </c>
      <c r="M3897" s="12" t="s">
        <v>18464</v>
      </c>
      <c r="N3897" s="12">
        <v>2806</v>
      </c>
      <c r="O3897" s="12">
        <v>2634</v>
      </c>
      <c r="P3897" s="12">
        <v>0</v>
      </c>
      <c r="Q3897" s="12" t="s">
        <v>18465</v>
      </c>
      <c r="R3897" s="15" t="s">
        <v>18466</v>
      </c>
      <c r="S3897" s="12">
        <v>11</v>
      </c>
      <c r="T3897" s="12" t="s">
        <v>39</v>
      </c>
      <c r="U3897" s="12" t="s">
        <v>40</v>
      </c>
      <c r="V3897" s="16"/>
      <c r="W3897" s="12">
        <v>4500000</v>
      </c>
      <c r="X3897" s="12">
        <v>2013</v>
      </c>
      <c r="Y3897" s="12">
        <v>619</v>
      </c>
      <c r="Z3897" s="12">
        <v>4.3</v>
      </c>
      <c r="AA3897" s="12">
        <v>1.78</v>
      </c>
      <c r="AB3897" s="12">
        <v>0</v>
      </c>
      <c r="AC3897" s="12"/>
      <c r="AD3897" s="12" t="str">
        <f>IFERROR(__xludf.DUMMYFUNCTION("""COMPUTED_VALUE"""),"Marques Houston")</f>
        <v>Marques Houston</v>
      </c>
      <c r="AE3897" s="12"/>
    </row>
    <row r="3898" customHeight="1" spans="1:31">
      <c r="A3898" s="11" t="s">
        <v>30</v>
      </c>
      <c r="B3898" s="11" t="s">
        <v>16956</v>
      </c>
      <c r="C3898" s="11">
        <v>203</v>
      </c>
      <c r="D3898" s="11">
        <v>108</v>
      </c>
      <c r="E3898" s="11">
        <v>228</v>
      </c>
      <c r="F3898" s="11">
        <v>358</v>
      </c>
      <c r="G3898" s="11">
        <v>431</v>
      </c>
      <c r="H3898" s="13"/>
      <c r="I3898" s="11" t="s">
        <v>12640</v>
      </c>
      <c r="J3898" s="11" t="s">
        <v>16957</v>
      </c>
      <c r="K3898" s="11" t="s">
        <v>16958</v>
      </c>
      <c r="L3898" s="11" t="s">
        <v>16959</v>
      </c>
      <c r="M3898" s="11" t="s">
        <v>16960</v>
      </c>
      <c r="N3898" s="11">
        <v>39857</v>
      </c>
      <c r="O3898" s="11">
        <v>2020</v>
      </c>
      <c r="P3898" s="11">
        <v>0</v>
      </c>
      <c r="Q3898" s="11" t="s">
        <v>16961</v>
      </c>
      <c r="R3898" s="14" t="s">
        <v>16962</v>
      </c>
      <c r="S3898" s="11">
        <v>300</v>
      </c>
      <c r="T3898" s="11" t="s">
        <v>39</v>
      </c>
      <c r="U3898" s="11" t="s">
        <v>40</v>
      </c>
      <c r="V3898" s="11" t="s">
        <v>586</v>
      </c>
      <c r="W3898" s="11">
        <v>4000000</v>
      </c>
      <c r="X3898" s="11">
        <v>1985</v>
      </c>
      <c r="Y3898" s="11">
        <v>426</v>
      </c>
      <c r="Z3898" s="11">
        <v>7.3</v>
      </c>
      <c r="AA3898" s="11">
        <v>1.85</v>
      </c>
      <c r="AB3898" s="11">
        <v>0</v>
      </c>
      <c r="AC3898" s="11"/>
      <c r="AD3898" s="11" t="str">
        <f>IFERROR(__xludf.DUMMYFUNCTION("""COMPUTED_VALUE"""),"Steve Harvey")</f>
        <v>Steve Harvey</v>
      </c>
      <c r="AE3898" s="11"/>
    </row>
    <row r="3899" customHeight="1" spans="1:31">
      <c r="A3899" s="12" t="s">
        <v>30</v>
      </c>
      <c r="B3899" s="12" t="s">
        <v>18467</v>
      </c>
      <c r="C3899" s="12">
        <v>34</v>
      </c>
      <c r="D3899" s="12">
        <v>105</v>
      </c>
      <c r="E3899" s="12">
        <v>0</v>
      </c>
      <c r="F3899" s="12">
        <v>116</v>
      </c>
      <c r="G3899" s="12">
        <v>597</v>
      </c>
      <c r="H3899" s="16"/>
      <c r="I3899" s="12" t="s">
        <v>1415</v>
      </c>
      <c r="J3899" s="12" t="s">
        <v>2915</v>
      </c>
      <c r="K3899" s="12" t="s">
        <v>18468</v>
      </c>
      <c r="L3899" s="12" t="s">
        <v>16889</v>
      </c>
      <c r="M3899" s="12" t="s">
        <v>18469</v>
      </c>
      <c r="N3899" s="12">
        <v>9007</v>
      </c>
      <c r="O3899" s="12">
        <v>1218</v>
      </c>
      <c r="P3899" s="12">
        <v>2</v>
      </c>
      <c r="Q3899" s="12" t="s">
        <v>18470</v>
      </c>
      <c r="R3899" s="15" t="s">
        <v>18471</v>
      </c>
      <c r="S3899" s="12">
        <v>50</v>
      </c>
      <c r="T3899" s="12" t="s">
        <v>39</v>
      </c>
      <c r="U3899" s="12" t="s">
        <v>40</v>
      </c>
      <c r="V3899" s="12" t="s">
        <v>96</v>
      </c>
      <c r="W3899" s="12">
        <v>4000000</v>
      </c>
      <c r="X3899" s="12">
        <v>1974</v>
      </c>
      <c r="Y3899" s="12">
        <v>222</v>
      </c>
      <c r="Z3899" s="12">
        <v>7.3</v>
      </c>
      <c r="AA3899" s="12">
        <v>2.35</v>
      </c>
      <c r="AB3899" s="12">
        <v>661</v>
      </c>
      <c r="AC3899" s="12"/>
      <c r="AD3899" s="12" t="str">
        <f>IFERROR(__xludf.DUMMYFUNCTION("""COMPUTED_VALUE"""),"James Kyson")</f>
        <v>James Kyson</v>
      </c>
      <c r="AE3899" s="12"/>
    </row>
    <row r="3900" customHeight="1" spans="1:31">
      <c r="A3900" s="11" t="s">
        <v>30</v>
      </c>
      <c r="B3900" s="11" t="s">
        <v>500</v>
      </c>
      <c r="C3900" s="11">
        <v>149</v>
      </c>
      <c r="D3900" s="11">
        <v>91</v>
      </c>
      <c r="E3900" s="11">
        <v>357</v>
      </c>
      <c r="F3900" s="11">
        <v>326</v>
      </c>
      <c r="G3900" s="11">
        <v>3000</v>
      </c>
      <c r="H3900" s="11">
        <v>35385560</v>
      </c>
      <c r="I3900" s="11" t="s">
        <v>852</v>
      </c>
      <c r="J3900" s="11" t="s">
        <v>7838</v>
      </c>
      <c r="K3900" s="11" t="s">
        <v>4911</v>
      </c>
      <c r="L3900" s="11" t="s">
        <v>18472</v>
      </c>
      <c r="M3900" s="11" t="s">
        <v>18473</v>
      </c>
      <c r="N3900" s="11">
        <v>27198</v>
      </c>
      <c r="O3900" s="11">
        <v>4807</v>
      </c>
      <c r="P3900" s="11">
        <v>1</v>
      </c>
      <c r="Q3900" s="11" t="s">
        <v>18474</v>
      </c>
      <c r="R3900" s="14" t="s">
        <v>18475</v>
      </c>
      <c r="S3900" s="11">
        <v>131</v>
      </c>
      <c r="T3900" s="11" t="s">
        <v>39</v>
      </c>
      <c r="U3900" s="11" t="s">
        <v>40</v>
      </c>
      <c r="V3900" s="11" t="s">
        <v>586</v>
      </c>
      <c r="W3900" s="11">
        <v>4000000</v>
      </c>
      <c r="X3900" s="11">
        <v>2015</v>
      </c>
      <c r="Y3900" s="11">
        <v>465</v>
      </c>
      <c r="Z3900" s="11">
        <v>4.6</v>
      </c>
      <c r="AA3900" s="11">
        <v>2.35</v>
      </c>
      <c r="AB3900" s="11">
        <v>8000</v>
      </c>
      <c r="AC3900" s="11"/>
      <c r="AD3900" s="11" t="str">
        <f>IFERROR(__xludf.DUMMYFUNCTION("""COMPUTED_VALUE"""),"David Denman")</f>
        <v>David Denman</v>
      </c>
      <c r="AE3900" s="11"/>
    </row>
    <row r="3901" customHeight="1" spans="1:31">
      <c r="A3901" s="12" t="s">
        <v>30</v>
      </c>
      <c r="B3901" s="12" t="s">
        <v>14845</v>
      </c>
      <c r="C3901" s="12">
        <v>20</v>
      </c>
      <c r="D3901" s="12">
        <v>105</v>
      </c>
      <c r="E3901" s="12">
        <v>82</v>
      </c>
      <c r="F3901" s="12">
        <v>69</v>
      </c>
      <c r="G3901" s="12">
        <v>746</v>
      </c>
      <c r="H3901" s="16"/>
      <c r="I3901" s="12" t="s">
        <v>214</v>
      </c>
      <c r="J3901" s="12" t="s">
        <v>17776</v>
      </c>
      <c r="K3901" s="12" t="s">
        <v>18476</v>
      </c>
      <c r="L3901" s="12" t="s">
        <v>18477</v>
      </c>
      <c r="M3901" s="12" t="s">
        <v>18478</v>
      </c>
      <c r="N3901" s="12">
        <v>3102</v>
      </c>
      <c r="O3901" s="12">
        <v>986</v>
      </c>
      <c r="P3901" s="12">
        <v>0</v>
      </c>
      <c r="Q3901" s="12" t="s">
        <v>18479</v>
      </c>
      <c r="R3901" s="15" t="s">
        <v>18480</v>
      </c>
      <c r="S3901" s="12">
        <v>35</v>
      </c>
      <c r="T3901" s="12" t="s">
        <v>39</v>
      </c>
      <c r="U3901" s="12" t="s">
        <v>40</v>
      </c>
      <c r="V3901" s="12" t="s">
        <v>6037</v>
      </c>
      <c r="W3901" s="12">
        <v>4000000</v>
      </c>
      <c r="X3901" s="12">
        <v>1956</v>
      </c>
      <c r="Y3901" s="12">
        <v>119</v>
      </c>
      <c r="Z3901" s="12">
        <v>6.8</v>
      </c>
      <c r="AA3901" s="12">
        <v>2.35</v>
      </c>
      <c r="AB3901" s="12">
        <v>283</v>
      </c>
      <c r="AC3901" s="12"/>
      <c r="AD3901" s="12" t="str">
        <f>IFERROR(__xludf.DUMMYFUNCTION("""COMPUTED_VALUE"""),"Daisy Betts")</f>
        <v>Daisy Betts</v>
      </c>
      <c r="AE3901" s="12"/>
    </row>
    <row r="3902" customHeight="1" spans="1:31">
      <c r="A3902" s="11" t="s">
        <v>30</v>
      </c>
      <c r="B3902" s="13"/>
      <c r="C3902" s="11">
        <v>9</v>
      </c>
      <c r="D3902" s="11">
        <v>60</v>
      </c>
      <c r="E3902" s="13"/>
      <c r="F3902" s="11">
        <v>904</v>
      </c>
      <c r="G3902" s="11">
        <v>1000</v>
      </c>
      <c r="H3902" s="13"/>
      <c r="I3902" s="11" t="s">
        <v>5324</v>
      </c>
      <c r="J3902" s="11" t="s">
        <v>2061</v>
      </c>
      <c r="K3902" s="11" t="s">
        <v>4452</v>
      </c>
      <c r="L3902" s="11" t="s">
        <v>3009</v>
      </c>
      <c r="M3902" s="11" t="s">
        <v>18014</v>
      </c>
      <c r="N3902" s="11">
        <v>3852</v>
      </c>
      <c r="O3902" s="11">
        <v>5203</v>
      </c>
      <c r="P3902" s="11">
        <v>1</v>
      </c>
      <c r="Q3902" s="11" t="s">
        <v>18015</v>
      </c>
      <c r="R3902" s="14" t="s">
        <v>18016</v>
      </c>
      <c r="S3902" s="11">
        <v>47</v>
      </c>
      <c r="T3902" s="11" t="s">
        <v>39</v>
      </c>
      <c r="U3902" s="11" t="s">
        <v>40</v>
      </c>
      <c r="V3902" s="11" t="s">
        <v>2636</v>
      </c>
      <c r="W3902" s="13"/>
      <c r="X3902" s="13"/>
      <c r="Y3902" s="11">
        <v>1000</v>
      </c>
      <c r="Z3902" s="11">
        <v>7.5</v>
      </c>
      <c r="AA3902" s="11">
        <v>1.78</v>
      </c>
      <c r="AB3902" s="11">
        <v>634</v>
      </c>
      <c r="AC3902" s="11"/>
      <c r="AD3902" s="11" t="str">
        <f>IFERROR(__xludf.DUMMYFUNCTION("""COMPUTED_VALUE"""),"Mackenzie Davis")</f>
        <v>Mackenzie Davis</v>
      </c>
      <c r="AE3902" s="11"/>
    </row>
    <row r="3903" customHeight="1" spans="1:31">
      <c r="A3903" s="12" t="s">
        <v>30</v>
      </c>
      <c r="B3903" s="12" t="s">
        <v>18481</v>
      </c>
      <c r="C3903" s="12">
        <v>323</v>
      </c>
      <c r="D3903" s="12">
        <v>106</v>
      </c>
      <c r="E3903" s="12">
        <v>450</v>
      </c>
      <c r="F3903" s="12">
        <v>712</v>
      </c>
      <c r="G3903" s="12">
        <v>14000</v>
      </c>
      <c r="H3903" s="12">
        <v>20803237</v>
      </c>
      <c r="I3903" s="12" t="s">
        <v>2528</v>
      </c>
      <c r="J3903" s="12" t="s">
        <v>700</v>
      </c>
      <c r="K3903" s="12" t="s">
        <v>14342</v>
      </c>
      <c r="L3903" s="12" t="s">
        <v>8423</v>
      </c>
      <c r="M3903" s="12" t="s">
        <v>18482</v>
      </c>
      <c r="N3903" s="12">
        <v>110616</v>
      </c>
      <c r="O3903" s="12">
        <v>18645</v>
      </c>
      <c r="P3903" s="12">
        <v>1</v>
      </c>
      <c r="Q3903" s="12" t="s">
        <v>18483</v>
      </c>
      <c r="R3903" s="15" t="s">
        <v>18484</v>
      </c>
      <c r="S3903" s="12">
        <v>291</v>
      </c>
      <c r="T3903" s="12" t="s">
        <v>39</v>
      </c>
      <c r="U3903" s="12" t="s">
        <v>40</v>
      </c>
      <c r="V3903" s="12" t="s">
        <v>586</v>
      </c>
      <c r="W3903" s="12">
        <v>3500000</v>
      </c>
      <c r="X3903" s="12">
        <v>2010</v>
      </c>
      <c r="Y3903" s="12">
        <v>3000</v>
      </c>
      <c r="Z3903" s="12">
        <v>7.1</v>
      </c>
      <c r="AA3903" s="12">
        <v>1.85</v>
      </c>
      <c r="AB3903" s="12">
        <v>16000</v>
      </c>
      <c r="AC3903" s="12"/>
      <c r="AD3903" s="12" t="str">
        <f>IFERROR(__xludf.DUMMYFUNCTION("""COMPUTED_VALUE"""),"Lola Glaudini")</f>
        <v>Lola Glaudini</v>
      </c>
      <c r="AE3903" s="12"/>
    </row>
    <row r="3904" customHeight="1" spans="1:31">
      <c r="A3904" s="11" t="s">
        <v>30</v>
      </c>
      <c r="B3904" s="11" t="s">
        <v>5368</v>
      </c>
      <c r="C3904" s="11">
        <v>172</v>
      </c>
      <c r="D3904" s="11">
        <v>93</v>
      </c>
      <c r="E3904" s="11">
        <v>0</v>
      </c>
      <c r="F3904" s="11">
        <v>133</v>
      </c>
      <c r="G3904" s="11">
        <v>355</v>
      </c>
      <c r="H3904" s="11">
        <v>13008928</v>
      </c>
      <c r="I3904" s="11" t="s">
        <v>4333</v>
      </c>
      <c r="J3904" s="11" t="s">
        <v>18485</v>
      </c>
      <c r="K3904" s="11" t="s">
        <v>8067</v>
      </c>
      <c r="L3904" s="11" t="s">
        <v>18486</v>
      </c>
      <c r="M3904" s="11" t="s">
        <v>18487</v>
      </c>
      <c r="N3904" s="11">
        <v>73501</v>
      </c>
      <c r="O3904" s="11">
        <v>837</v>
      </c>
      <c r="P3904" s="11">
        <v>0</v>
      </c>
      <c r="Q3904" s="11" t="s">
        <v>18488</v>
      </c>
      <c r="R3904" s="14" t="s">
        <v>18489</v>
      </c>
      <c r="S3904" s="11">
        <v>333</v>
      </c>
      <c r="T3904" s="11" t="s">
        <v>39</v>
      </c>
      <c r="U3904" s="11" t="s">
        <v>40</v>
      </c>
      <c r="V3904" s="11" t="s">
        <v>586</v>
      </c>
      <c r="W3904" s="11">
        <v>4000000</v>
      </c>
      <c r="X3904" s="11">
        <v>1988</v>
      </c>
      <c r="Y3904" s="11">
        <v>151</v>
      </c>
      <c r="Z3904" s="11">
        <v>7.3</v>
      </c>
      <c r="AA3904" s="11">
        <v>2.35</v>
      </c>
      <c r="AB3904" s="11">
        <v>27000</v>
      </c>
      <c r="AC3904" s="11"/>
      <c r="AD3904" s="11" t="str">
        <f>IFERROR(__xludf.DUMMYFUNCTION("""COMPUTED_VALUE"""),"Josh Pais")</f>
        <v>Josh Pais</v>
      </c>
      <c r="AE3904" s="11"/>
    </row>
    <row r="3905" customHeight="1" spans="1:31">
      <c r="A3905" s="12" t="s">
        <v>30</v>
      </c>
      <c r="B3905" s="12" t="s">
        <v>18490</v>
      </c>
      <c r="C3905" s="12">
        <v>111</v>
      </c>
      <c r="D3905" s="12">
        <v>172</v>
      </c>
      <c r="E3905" s="12">
        <v>120</v>
      </c>
      <c r="F3905" s="12">
        <v>145</v>
      </c>
      <c r="G3905" s="12">
        <v>773</v>
      </c>
      <c r="H3905" s="16"/>
      <c r="I3905" s="12" t="s">
        <v>18491</v>
      </c>
      <c r="J3905" s="12" t="s">
        <v>1441</v>
      </c>
      <c r="K3905" s="12" t="s">
        <v>10179</v>
      </c>
      <c r="L3905" s="12" t="s">
        <v>18492</v>
      </c>
      <c r="M3905" s="12" t="s">
        <v>18493</v>
      </c>
      <c r="N3905" s="12">
        <v>165638</v>
      </c>
      <c r="O3905" s="12">
        <v>1785</v>
      </c>
      <c r="P3905" s="12">
        <v>0</v>
      </c>
      <c r="Q3905" s="12" t="s">
        <v>18494</v>
      </c>
      <c r="R3905" s="15" t="s">
        <v>18495</v>
      </c>
      <c r="S3905" s="12">
        <v>301</v>
      </c>
      <c r="T3905" s="12" t="s">
        <v>39</v>
      </c>
      <c r="U3905" s="12" t="s">
        <v>40</v>
      </c>
      <c r="V3905" s="12" t="s">
        <v>6037</v>
      </c>
      <c r="W3905" s="12">
        <v>4000000</v>
      </c>
      <c r="X3905" s="12">
        <v>1963</v>
      </c>
      <c r="Y3905" s="12">
        <v>742</v>
      </c>
      <c r="Z3905" s="12">
        <v>8.3</v>
      </c>
      <c r="AA3905" s="12">
        <v>2.35</v>
      </c>
      <c r="AB3905" s="12">
        <v>8000</v>
      </c>
      <c r="AC3905" s="12"/>
      <c r="AD3905" s="12" t="str">
        <f>IFERROR(__xludf.DUMMYFUNCTION("""COMPUTED_VALUE"""),"Tina Gilton")</f>
        <v>Tina Gilton</v>
      </c>
      <c r="AE3905" s="12"/>
    </row>
    <row r="3906" customHeight="1" spans="1:31">
      <c r="A3906" s="11" t="s">
        <v>748</v>
      </c>
      <c r="B3906" s="11" t="s">
        <v>18496</v>
      </c>
      <c r="C3906" s="11">
        <v>74</v>
      </c>
      <c r="D3906" s="11">
        <v>109</v>
      </c>
      <c r="E3906" s="11">
        <v>0</v>
      </c>
      <c r="F3906" s="11">
        <v>428</v>
      </c>
      <c r="G3906" s="11">
        <v>847</v>
      </c>
      <c r="H3906" s="11">
        <v>10941801</v>
      </c>
      <c r="I3906" s="11" t="s">
        <v>18497</v>
      </c>
      <c r="J3906" s="11" t="s">
        <v>18498</v>
      </c>
      <c r="K3906" s="11" t="s">
        <v>10620</v>
      </c>
      <c r="L3906" s="11" t="s">
        <v>18499</v>
      </c>
      <c r="M3906" s="11" t="s">
        <v>18500</v>
      </c>
      <c r="N3906" s="11">
        <v>12059</v>
      </c>
      <c r="O3906" s="11">
        <v>2649</v>
      </c>
      <c r="P3906" s="11">
        <v>0</v>
      </c>
      <c r="Q3906" s="11" t="s">
        <v>18501</v>
      </c>
      <c r="R3906" s="14" t="s">
        <v>18502</v>
      </c>
      <c r="S3906" s="11">
        <v>486</v>
      </c>
      <c r="T3906" s="11" t="s">
        <v>39</v>
      </c>
      <c r="U3906" s="11" t="s">
        <v>40</v>
      </c>
      <c r="V3906" s="11" t="s">
        <v>5614</v>
      </c>
      <c r="W3906" s="13"/>
      <c r="X3906" s="11">
        <v>2004</v>
      </c>
      <c r="Y3906" s="11">
        <v>670</v>
      </c>
      <c r="Z3906" s="11">
        <v>5.4</v>
      </c>
      <c r="AA3906" s="11">
        <v>1.85</v>
      </c>
      <c r="AB3906" s="11">
        <v>2000</v>
      </c>
      <c r="AC3906" s="11"/>
      <c r="AD3906" s="11" t="str">
        <f>IFERROR(__xludf.DUMMYFUNCTION("""COMPUTED_VALUE"""),"Natalie Stephany Aguilar")</f>
        <v>Natalie Stephany Aguilar</v>
      </c>
      <c r="AE3906" s="11"/>
    </row>
    <row r="3907" customHeight="1" spans="1:31">
      <c r="A3907" s="12" t="s">
        <v>30</v>
      </c>
      <c r="B3907" s="12" t="s">
        <v>18503</v>
      </c>
      <c r="C3907" s="12">
        <v>161</v>
      </c>
      <c r="D3907" s="12">
        <v>93</v>
      </c>
      <c r="E3907" s="12">
        <v>8</v>
      </c>
      <c r="F3907" s="12">
        <v>400</v>
      </c>
      <c r="G3907" s="12">
        <v>45000</v>
      </c>
      <c r="H3907" s="12">
        <v>15152879</v>
      </c>
      <c r="I3907" s="12" t="s">
        <v>4384</v>
      </c>
      <c r="J3907" s="12" t="s">
        <v>5334</v>
      </c>
      <c r="K3907" s="12" t="s">
        <v>8151</v>
      </c>
      <c r="L3907" s="12" t="s">
        <v>18504</v>
      </c>
      <c r="M3907" s="12" t="s">
        <v>18505</v>
      </c>
      <c r="N3907" s="12">
        <v>13506</v>
      </c>
      <c r="O3907" s="12">
        <v>46868</v>
      </c>
      <c r="P3907" s="12">
        <v>0</v>
      </c>
      <c r="Q3907" s="12" t="s">
        <v>18506</v>
      </c>
      <c r="R3907" s="15" t="s">
        <v>18507</v>
      </c>
      <c r="S3907" s="12">
        <v>68</v>
      </c>
      <c r="T3907" s="12" t="s">
        <v>39</v>
      </c>
      <c r="U3907" s="12" t="s">
        <v>1466</v>
      </c>
      <c r="V3907" s="12" t="s">
        <v>41</v>
      </c>
      <c r="W3907" s="12">
        <v>5000000</v>
      </c>
      <c r="X3907" s="12">
        <v>2013</v>
      </c>
      <c r="Y3907" s="12">
        <v>541</v>
      </c>
      <c r="Z3907" s="12">
        <v>4</v>
      </c>
      <c r="AA3907" s="12">
        <v>2.35</v>
      </c>
      <c r="AB3907" s="12">
        <v>0</v>
      </c>
      <c r="AC3907" s="12"/>
      <c r="AD3907" s="12" t="str">
        <f>IFERROR(__xludf.DUMMYFUNCTION("""COMPUTED_VALUE"""),"Justin Hall")</f>
        <v>Justin Hall</v>
      </c>
      <c r="AE3907" s="12"/>
    </row>
    <row r="3908" customHeight="1" spans="1:31">
      <c r="A3908" s="11" t="s">
        <v>30</v>
      </c>
      <c r="B3908" s="11" t="s">
        <v>9163</v>
      </c>
      <c r="C3908" s="11">
        <v>548</v>
      </c>
      <c r="D3908" s="11">
        <v>165</v>
      </c>
      <c r="E3908" s="11">
        <v>0</v>
      </c>
      <c r="F3908" s="11">
        <v>127</v>
      </c>
      <c r="G3908" s="11">
        <v>230</v>
      </c>
      <c r="H3908" s="11">
        <v>25359200</v>
      </c>
      <c r="I3908" s="11" t="s">
        <v>3410</v>
      </c>
      <c r="J3908" s="11" t="s">
        <v>18508</v>
      </c>
      <c r="K3908" s="11" t="s">
        <v>18509</v>
      </c>
      <c r="L3908" s="11" t="s">
        <v>18510</v>
      </c>
      <c r="M3908" s="11" t="s">
        <v>18511</v>
      </c>
      <c r="N3908" s="11">
        <v>266020</v>
      </c>
      <c r="O3908" s="11">
        <v>673</v>
      </c>
      <c r="P3908" s="11">
        <v>0</v>
      </c>
      <c r="Q3908" s="11" t="s">
        <v>18512</v>
      </c>
      <c r="R3908" s="14" t="s">
        <v>18513</v>
      </c>
      <c r="S3908" s="11">
        <v>836</v>
      </c>
      <c r="T3908" s="11" t="s">
        <v>39</v>
      </c>
      <c r="U3908" s="11" t="s">
        <v>40</v>
      </c>
      <c r="V3908" s="11" t="s">
        <v>586</v>
      </c>
      <c r="W3908" s="11">
        <v>4000000</v>
      </c>
      <c r="X3908" s="11">
        <v>2014</v>
      </c>
      <c r="Y3908" s="11">
        <v>193</v>
      </c>
      <c r="Z3908" s="11">
        <v>8</v>
      </c>
      <c r="AA3908" s="11">
        <v>1.85</v>
      </c>
      <c r="AB3908" s="11">
        <v>92000</v>
      </c>
      <c r="AC3908" s="11"/>
      <c r="AD3908" s="11" t="str">
        <f>IFERROR(__xludf.DUMMYFUNCTION("""COMPUTED_VALUE"""),"Telly Savalas")</f>
        <v>Telly Savalas</v>
      </c>
      <c r="AE3908" s="11"/>
    </row>
    <row r="3909" customHeight="1" spans="1:31">
      <c r="A3909" s="12" t="s">
        <v>30</v>
      </c>
      <c r="B3909" s="12" t="s">
        <v>4004</v>
      </c>
      <c r="C3909" s="12">
        <v>177</v>
      </c>
      <c r="D3909" s="12">
        <v>96</v>
      </c>
      <c r="E3909" s="12">
        <v>11000</v>
      </c>
      <c r="F3909" s="12">
        <v>405</v>
      </c>
      <c r="G3909" s="12">
        <v>19000</v>
      </c>
      <c r="H3909" s="12">
        <v>10515579</v>
      </c>
      <c r="I3909" s="12" t="s">
        <v>12489</v>
      </c>
      <c r="J3909" s="12" t="s">
        <v>100</v>
      </c>
      <c r="K3909" s="12" t="s">
        <v>3604</v>
      </c>
      <c r="L3909" s="12" t="s">
        <v>14677</v>
      </c>
      <c r="M3909" s="12" t="s">
        <v>18514</v>
      </c>
      <c r="N3909" s="12">
        <v>66840</v>
      </c>
      <c r="O3909" s="12">
        <v>20132</v>
      </c>
      <c r="P3909" s="12">
        <v>0</v>
      </c>
      <c r="Q3909" s="12" t="s">
        <v>18515</v>
      </c>
      <c r="R3909" s="15" t="s">
        <v>18516</v>
      </c>
      <c r="S3909" s="12">
        <v>248</v>
      </c>
      <c r="T3909" s="12" t="s">
        <v>39</v>
      </c>
      <c r="U3909" s="12" t="s">
        <v>58</v>
      </c>
      <c r="V3909" s="12" t="s">
        <v>41</v>
      </c>
      <c r="W3909" s="12">
        <v>4000000</v>
      </c>
      <c r="X3909" s="12">
        <v>2006</v>
      </c>
      <c r="Y3909" s="12">
        <v>427</v>
      </c>
      <c r="Z3909" s="12">
        <v>6.7</v>
      </c>
      <c r="AA3909" s="12">
        <v>1.85</v>
      </c>
      <c r="AB3909" s="12">
        <v>0</v>
      </c>
      <c r="AC3909" s="12"/>
      <c r="AD3909" s="12" t="str">
        <f>IFERROR(__xludf.DUMMYFUNCTION("""COMPUTED_VALUE"""),"George Lazenby")</f>
        <v>George Lazenby</v>
      </c>
      <c r="AE3909" s="12"/>
    </row>
    <row r="3910" customHeight="1" spans="1:31">
      <c r="A3910" s="11" t="s">
        <v>30</v>
      </c>
      <c r="B3910" s="11" t="s">
        <v>256</v>
      </c>
      <c r="C3910" s="11">
        <v>230</v>
      </c>
      <c r="D3910" s="11">
        <v>119</v>
      </c>
      <c r="E3910" s="11">
        <v>13000</v>
      </c>
      <c r="F3910" s="11">
        <v>567</v>
      </c>
      <c r="G3910" s="11">
        <v>1000</v>
      </c>
      <c r="H3910" s="11">
        <v>180011740</v>
      </c>
      <c r="I3910" s="11" t="s">
        <v>227</v>
      </c>
      <c r="J3910" s="11" t="s">
        <v>589</v>
      </c>
      <c r="K3910" s="11" t="s">
        <v>1712</v>
      </c>
      <c r="L3910" s="11" t="s">
        <v>1713</v>
      </c>
      <c r="M3910" s="11" t="s">
        <v>1714</v>
      </c>
      <c r="N3910" s="11">
        <v>177729</v>
      </c>
      <c r="O3910" s="11">
        <v>2776</v>
      </c>
      <c r="P3910" s="11">
        <v>0</v>
      </c>
      <c r="Q3910" s="11" t="s">
        <v>1715</v>
      </c>
      <c r="R3910" s="14" t="s">
        <v>1716</v>
      </c>
      <c r="S3910" s="11">
        <v>1368</v>
      </c>
      <c r="T3910" s="11" t="s">
        <v>39</v>
      </c>
      <c r="U3910" s="11" t="s">
        <v>40</v>
      </c>
      <c r="V3910" s="11" t="s">
        <v>41</v>
      </c>
      <c r="W3910" s="11">
        <v>100000000</v>
      </c>
      <c r="X3910" s="11">
        <v>2001</v>
      </c>
      <c r="Y3910" s="11">
        <v>658</v>
      </c>
      <c r="Z3910" s="11">
        <v>5.7</v>
      </c>
      <c r="AA3910" s="11">
        <v>2.35</v>
      </c>
      <c r="AB3910" s="11">
        <v>0</v>
      </c>
      <c r="AC3910" s="11"/>
      <c r="AD3910" s="11" t="str">
        <f>IFERROR(__xludf.DUMMYFUNCTION("""COMPUTED_VALUE"""),"Nick Wechsler")</f>
        <v>Nick Wechsler</v>
      </c>
      <c r="AE3910" s="11"/>
    </row>
    <row r="3911" customHeight="1" spans="1:31">
      <c r="A3911" s="12" t="s">
        <v>30</v>
      </c>
      <c r="B3911" s="12" t="s">
        <v>18517</v>
      </c>
      <c r="C3911" s="12">
        <v>27</v>
      </c>
      <c r="D3911" s="12">
        <v>93</v>
      </c>
      <c r="E3911" s="12">
        <v>69</v>
      </c>
      <c r="F3911" s="12">
        <v>69</v>
      </c>
      <c r="G3911" s="12">
        <v>522</v>
      </c>
      <c r="H3911" s="12">
        <v>10097096</v>
      </c>
      <c r="I3911" s="12" t="s">
        <v>1672</v>
      </c>
      <c r="J3911" s="12" t="s">
        <v>12438</v>
      </c>
      <c r="K3911" s="12" t="s">
        <v>18518</v>
      </c>
      <c r="L3911" s="12" t="s">
        <v>18517</v>
      </c>
      <c r="M3911" s="12" t="s">
        <v>18519</v>
      </c>
      <c r="N3911" s="12">
        <v>5612</v>
      </c>
      <c r="O3911" s="12">
        <v>955</v>
      </c>
      <c r="P3911" s="12">
        <v>2</v>
      </c>
      <c r="Q3911" s="12" t="s">
        <v>18520</v>
      </c>
      <c r="R3911" s="15" t="s">
        <v>18521</v>
      </c>
      <c r="S3911" s="12">
        <v>38</v>
      </c>
      <c r="T3911" s="12" t="s">
        <v>39</v>
      </c>
      <c r="U3911" s="12" t="s">
        <v>40</v>
      </c>
      <c r="V3911" s="12" t="s">
        <v>586</v>
      </c>
      <c r="W3911" s="12">
        <v>4000000</v>
      </c>
      <c r="X3911" s="12">
        <v>2001</v>
      </c>
      <c r="Y3911" s="12">
        <v>231</v>
      </c>
      <c r="Z3911" s="12">
        <v>4.6</v>
      </c>
      <c r="AA3911" s="12">
        <v>1.85</v>
      </c>
      <c r="AB3911" s="12">
        <v>842</v>
      </c>
      <c r="AC3911" s="12"/>
      <c r="AD3911" s="12" t="str">
        <f>IFERROR(__xludf.DUMMYFUNCTION("""COMPUTED_VALUE"""),"Jeff Marlow")</f>
        <v>Jeff Marlow</v>
      </c>
      <c r="AE3911" s="12"/>
    </row>
    <row r="3912" customHeight="1" spans="1:31">
      <c r="A3912" s="11" t="s">
        <v>30</v>
      </c>
      <c r="B3912" s="11" t="s">
        <v>18517</v>
      </c>
      <c r="C3912" s="11">
        <v>22</v>
      </c>
      <c r="D3912" s="11">
        <v>82</v>
      </c>
      <c r="E3912" s="11">
        <v>69</v>
      </c>
      <c r="F3912" s="11">
        <v>585</v>
      </c>
      <c r="G3912" s="11">
        <v>939</v>
      </c>
      <c r="H3912" s="11">
        <v>9821335</v>
      </c>
      <c r="I3912" s="11" t="s">
        <v>1672</v>
      </c>
      <c r="J3912" s="11" t="s">
        <v>5453</v>
      </c>
      <c r="K3912" s="11" t="s">
        <v>5265</v>
      </c>
      <c r="L3912" s="11" t="s">
        <v>5227</v>
      </c>
      <c r="M3912" s="11" t="s">
        <v>18522</v>
      </c>
      <c r="N3912" s="11">
        <v>1415</v>
      </c>
      <c r="O3912" s="11">
        <v>3354</v>
      </c>
      <c r="P3912" s="11">
        <v>1</v>
      </c>
      <c r="Q3912" s="11" t="s">
        <v>18523</v>
      </c>
      <c r="R3912" s="14" t="s">
        <v>18524</v>
      </c>
      <c r="S3912" s="11">
        <v>10</v>
      </c>
      <c r="T3912" s="11" t="s">
        <v>39</v>
      </c>
      <c r="U3912" s="11" t="s">
        <v>40</v>
      </c>
      <c r="V3912" s="11" t="s">
        <v>586</v>
      </c>
      <c r="W3912" s="11">
        <v>6000000</v>
      </c>
      <c r="X3912" s="11">
        <v>2000</v>
      </c>
      <c r="Y3912" s="11">
        <v>706</v>
      </c>
      <c r="Z3912" s="11">
        <v>4</v>
      </c>
      <c r="AA3912" s="11">
        <v>1.85</v>
      </c>
      <c r="AB3912" s="11">
        <v>118</v>
      </c>
      <c r="AC3912" s="11"/>
      <c r="AD3912" s="11" t="str">
        <f>IFERROR(__xludf.DUMMYFUNCTION("""COMPUTED_VALUE"""),"Heather Langenkamp")</f>
        <v>Heather Langenkamp</v>
      </c>
      <c r="AE3912" s="11"/>
    </row>
    <row r="3913" customHeight="1" spans="1:31">
      <c r="A3913" s="12" t="s">
        <v>30</v>
      </c>
      <c r="B3913" s="12" t="s">
        <v>12288</v>
      </c>
      <c r="C3913" s="12">
        <v>157</v>
      </c>
      <c r="D3913" s="12">
        <v>101</v>
      </c>
      <c r="E3913" s="12">
        <v>47</v>
      </c>
      <c r="F3913" s="12">
        <v>407</v>
      </c>
      <c r="G3913" s="12">
        <v>658</v>
      </c>
      <c r="H3913" s="12">
        <v>8243880</v>
      </c>
      <c r="I3913" s="12" t="s">
        <v>18525</v>
      </c>
      <c r="J3913" s="12" t="s">
        <v>1712</v>
      </c>
      <c r="K3913" s="12" t="s">
        <v>7659</v>
      </c>
      <c r="L3913" s="12" t="s">
        <v>10020</v>
      </c>
      <c r="M3913" s="12" t="s">
        <v>18526</v>
      </c>
      <c r="N3913" s="12">
        <v>28714</v>
      </c>
      <c r="O3913" s="12">
        <v>3086</v>
      </c>
      <c r="P3913" s="12">
        <v>1</v>
      </c>
      <c r="Q3913" s="12" t="s">
        <v>18527</v>
      </c>
      <c r="R3913" s="15" t="s">
        <v>18528</v>
      </c>
      <c r="S3913" s="12">
        <v>215</v>
      </c>
      <c r="T3913" s="12" t="s">
        <v>39</v>
      </c>
      <c r="U3913" s="12" t="s">
        <v>40</v>
      </c>
      <c r="V3913" s="12" t="s">
        <v>586</v>
      </c>
      <c r="W3913" s="12">
        <v>3200000</v>
      </c>
      <c r="X3913" s="12">
        <v>2003</v>
      </c>
      <c r="Y3913" s="12">
        <v>636</v>
      </c>
      <c r="Z3913" s="12">
        <v>7</v>
      </c>
      <c r="AA3913" s="12">
        <v>2.35</v>
      </c>
      <c r="AB3913" s="12">
        <v>762</v>
      </c>
      <c r="AC3913" s="12"/>
      <c r="AD3913" s="12" t="str">
        <f>IFERROR(__xludf.DUMMYFUNCTION("""COMPUTED_VALUE"""),"Tracy Middendorf")</f>
        <v>Tracy Middendorf</v>
      </c>
      <c r="AE3913" s="12"/>
    </row>
    <row r="3914" customHeight="1" spans="1:31">
      <c r="A3914" s="11" t="s">
        <v>748</v>
      </c>
      <c r="B3914" s="11" t="s">
        <v>18226</v>
      </c>
      <c r="C3914" s="11">
        <v>70</v>
      </c>
      <c r="D3914" s="11">
        <v>120</v>
      </c>
      <c r="E3914" s="11">
        <v>1000</v>
      </c>
      <c r="F3914" s="11">
        <v>268</v>
      </c>
      <c r="G3914" s="11">
        <v>862</v>
      </c>
      <c r="H3914" s="13"/>
      <c r="I3914" s="11" t="s">
        <v>4043</v>
      </c>
      <c r="J3914" s="11" t="s">
        <v>18529</v>
      </c>
      <c r="K3914" s="11" t="s">
        <v>18530</v>
      </c>
      <c r="L3914" s="11" t="s">
        <v>18531</v>
      </c>
      <c r="M3914" s="11" t="s">
        <v>18532</v>
      </c>
      <c r="N3914" s="11">
        <v>12981</v>
      </c>
      <c r="O3914" s="11">
        <v>1652</v>
      </c>
      <c r="P3914" s="11">
        <v>2</v>
      </c>
      <c r="Q3914" s="11" t="s">
        <v>18533</v>
      </c>
      <c r="R3914" s="14" t="s">
        <v>18534</v>
      </c>
      <c r="S3914" s="11">
        <v>121</v>
      </c>
      <c r="T3914" s="11" t="s">
        <v>39</v>
      </c>
      <c r="U3914" s="11" t="s">
        <v>40</v>
      </c>
      <c r="V3914" s="11" t="s">
        <v>6037</v>
      </c>
      <c r="W3914" s="11">
        <v>4000000</v>
      </c>
      <c r="X3914" s="11">
        <v>1961</v>
      </c>
      <c r="Y3914" s="11">
        <v>403</v>
      </c>
      <c r="Z3914" s="11">
        <v>7.4</v>
      </c>
      <c r="AA3914" s="11">
        <v>1.66</v>
      </c>
      <c r="AB3914" s="11">
        <v>0</v>
      </c>
      <c r="AC3914" s="11"/>
      <c r="AD3914" s="11" t="str">
        <f>IFERROR(__xludf.DUMMYFUNCTION("""COMPUTED_VALUE"""),"Keri Lynn Pratt")</f>
        <v>Keri Lynn Pratt</v>
      </c>
      <c r="AE3914" s="11"/>
    </row>
    <row r="3915" customHeight="1" spans="1:31">
      <c r="A3915" s="12" t="s">
        <v>30</v>
      </c>
      <c r="B3915" s="12" t="s">
        <v>17189</v>
      </c>
      <c r="C3915" s="12">
        <v>125</v>
      </c>
      <c r="D3915" s="12">
        <v>81</v>
      </c>
      <c r="E3915" s="12">
        <v>5</v>
      </c>
      <c r="F3915" s="12">
        <v>710</v>
      </c>
      <c r="G3915" s="12">
        <v>49000</v>
      </c>
      <c r="H3915" s="12">
        <v>7825820</v>
      </c>
      <c r="I3915" s="12" t="s">
        <v>2215</v>
      </c>
      <c r="J3915" s="12" t="s">
        <v>811</v>
      </c>
      <c r="K3915" s="12" t="s">
        <v>1047</v>
      </c>
      <c r="L3915" s="12" t="s">
        <v>3287</v>
      </c>
      <c r="M3915" s="12" t="s">
        <v>18535</v>
      </c>
      <c r="N3915" s="12">
        <v>13086</v>
      </c>
      <c r="O3915" s="12">
        <v>50831</v>
      </c>
      <c r="P3915" s="12">
        <v>0</v>
      </c>
      <c r="Q3915" s="12" t="s">
        <v>18536</v>
      </c>
      <c r="R3915" s="15" t="s">
        <v>18537</v>
      </c>
      <c r="S3915" s="12">
        <v>156</v>
      </c>
      <c r="T3915" s="12" t="s">
        <v>39</v>
      </c>
      <c r="U3915" s="12" t="s">
        <v>40</v>
      </c>
      <c r="V3915" s="12" t="s">
        <v>586</v>
      </c>
      <c r="W3915" s="12">
        <v>4000000</v>
      </c>
      <c r="X3915" s="12">
        <v>2006</v>
      </c>
      <c r="Y3915" s="12">
        <v>780</v>
      </c>
      <c r="Z3915" s="12">
        <v>5.9</v>
      </c>
      <c r="AA3915" s="12">
        <v>1.85</v>
      </c>
      <c r="AB3915" s="12">
        <v>576</v>
      </c>
      <c r="AC3915" s="12"/>
      <c r="AD3915" s="12" t="str">
        <f>IFERROR(__xludf.DUMMYFUNCTION("""COMPUTED_VALUE"""),"Sean Michael Afable")</f>
        <v>Sean Michael Afable</v>
      </c>
      <c r="AE3915" s="12"/>
    </row>
    <row r="3916" customHeight="1" spans="1:31">
      <c r="A3916" s="11" t="s">
        <v>30</v>
      </c>
      <c r="B3916" s="11" t="s">
        <v>18538</v>
      </c>
      <c r="C3916" s="11">
        <v>10</v>
      </c>
      <c r="D3916" s="11">
        <v>82</v>
      </c>
      <c r="E3916" s="11">
        <v>7</v>
      </c>
      <c r="F3916" s="11">
        <v>27</v>
      </c>
      <c r="G3916" s="11">
        <v>584</v>
      </c>
      <c r="H3916" s="11">
        <v>7557877</v>
      </c>
      <c r="I3916" s="11" t="s">
        <v>1009</v>
      </c>
      <c r="J3916" s="11" t="s">
        <v>3555</v>
      </c>
      <c r="K3916" s="11" t="s">
        <v>18539</v>
      </c>
      <c r="L3916" s="11" t="s">
        <v>18540</v>
      </c>
      <c r="M3916" s="11" t="s">
        <v>18541</v>
      </c>
      <c r="N3916" s="11">
        <v>2129</v>
      </c>
      <c r="O3916" s="11">
        <v>1002</v>
      </c>
      <c r="P3916" s="11">
        <v>0</v>
      </c>
      <c r="Q3916" s="11" t="s">
        <v>18542</v>
      </c>
      <c r="R3916" s="14" t="s">
        <v>18543</v>
      </c>
      <c r="S3916" s="11">
        <v>37</v>
      </c>
      <c r="T3916" s="11" t="s">
        <v>39</v>
      </c>
      <c r="U3916" s="11" t="s">
        <v>40</v>
      </c>
      <c r="V3916" s="11" t="s">
        <v>586</v>
      </c>
      <c r="W3916" s="13"/>
      <c r="X3916" s="11">
        <v>1995</v>
      </c>
      <c r="Y3916" s="11">
        <v>246</v>
      </c>
      <c r="Z3916" s="11">
        <v>4.6</v>
      </c>
      <c r="AA3916" s="11">
        <v>1.85</v>
      </c>
      <c r="AB3916" s="11">
        <v>138</v>
      </c>
      <c r="AC3916" s="11"/>
      <c r="AD3916" s="11" t="str">
        <f>IFERROR(__xludf.DUMMYFUNCTION("""COMPUTED_VALUE"""),"Richard Howland")</f>
        <v>Richard Howland</v>
      </c>
      <c r="AE3916" s="11"/>
    </row>
    <row r="3917" customHeight="1" spans="1:31">
      <c r="A3917" s="12" t="s">
        <v>30</v>
      </c>
      <c r="B3917" s="12" t="s">
        <v>6309</v>
      </c>
      <c r="C3917" s="12">
        <v>160</v>
      </c>
      <c r="D3917" s="12">
        <v>107</v>
      </c>
      <c r="E3917" s="12">
        <v>0</v>
      </c>
      <c r="F3917" s="12">
        <v>255</v>
      </c>
      <c r="G3917" s="12">
        <v>798</v>
      </c>
      <c r="H3917" s="12">
        <v>14637490</v>
      </c>
      <c r="I3917" s="12" t="s">
        <v>3030</v>
      </c>
      <c r="J3917" s="12" t="s">
        <v>1699</v>
      </c>
      <c r="K3917" s="12" t="s">
        <v>9818</v>
      </c>
      <c r="L3917" s="12" t="s">
        <v>9819</v>
      </c>
      <c r="M3917" s="12" t="s">
        <v>9820</v>
      </c>
      <c r="N3917" s="12">
        <v>16411</v>
      </c>
      <c r="O3917" s="12">
        <v>2537</v>
      </c>
      <c r="P3917" s="12">
        <v>2</v>
      </c>
      <c r="Q3917" s="12" t="s">
        <v>9821</v>
      </c>
      <c r="R3917" s="15" t="s">
        <v>9822</v>
      </c>
      <c r="S3917" s="12">
        <v>136</v>
      </c>
      <c r="T3917" s="12" t="s">
        <v>39</v>
      </c>
      <c r="U3917" s="12" t="s">
        <v>40</v>
      </c>
      <c r="V3917" s="12" t="s">
        <v>586</v>
      </c>
      <c r="W3917" s="12">
        <v>25000000</v>
      </c>
      <c r="X3917" s="12">
        <v>2010</v>
      </c>
      <c r="Y3917" s="12">
        <v>374</v>
      </c>
      <c r="Z3917" s="12">
        <v>4.8</v>
      </c>
      <c r="AA3917" s="12">
        <v>2.35</v>
      </c>
      <c r="AB3917" s="12">
        <v>0</v>
      </c>
      <c r="AC3917" s="12"/>
      <c r="AD3917" s="12" t="str">
        <f>IFERROR(__xludf.DUMMYFUNCTION("""COMPUTED_VALUE"""),"Sarain Boylan")</f>
        <v>Sarain Boylan</v>
      </c>
      <c r="AE3917" s="12"/>
    </row>
    <row r="3918" customHeight="1" spans="1:31">
      <c r="A3918" s="11" t="s">
        <v>30</v>
      </c>
      <c r="B3918" s="11" t="s">
        <v>6737</v>
      </c>
      <c r="C3918" s="11">
        <v>300</v>
      </c>
      <c r="D3918" s="11">
        <v>105</v>
      </c>
      <c r="E3918" s="11">
        <v>171</v>
      </c>
      <c r="F3918" s="11">
        <v>143</v>
      </c>
      <c r="G3918" s="11">
        <v>382</v>
      </c>
      <c r="H3918" s="11">
        <v>7159147</v>
      </c>
      <c r="I3918" s="11" t="s">
        <v>1924</v>
      </c>
      <c r="J3918" s="11" t="s">
        <v>6738</v>
      </c>
      <c r="K3918" s="11" t="s">
        <v>13629</v>
      </c>
      <c r="L3918" s="11" t="s">
        <v>18544</v>
      </c>
      <c r="M3918" s="11" t="s">
        <v>18545</v>
      </c>
      <c r="N3918" s="11">
        <v>120189</v>
      </c>
      <c r="O3918" s="11">
        <v>954</v>
      </c>
      <c r="P3918" s="11">
        <v>0</v>
      </c>
      <c r="Q3918" s="11" t="s">
        <v>18546</v>
      </c>
      <c r="R3918" s="14" t="s">
        <v>18547</v>
      </c>
      <c r="S3918" s="11">
        <v>308</v>
      </c>
      <c r="T3918" s="11" t="s">
        <v>2779</v>
      </c>
      <c r="U3918" s="11" t="s">
        <v>3572</v>
      </c>
      <c r="V3918" s="11" t="s">
        <v>586</v>
      </c>
      <c r="W3918" s="11">
        <v>3400000</v>
      </c>
      <c r="X3918" s="11">
        <v>2007</v>
      </c>
      <c r="Y3918" s="11">
        <v>273</v>
      </c>
      <c r="Z3918" s="11">
        <v>7.5</v>
      </c>
      <c r="AA3918" s="11">
        <v>2.35</v>
      </c>
      <c r="AB3918" s="11">
        <v>11000</v>
      </c>
      <c r="AC3918" s="11"/>
      <c r="AD3918" s="11" t="str">
        <f>IFERROR(__xludf.DUMMYFUNCTION("""COMPUTED_VALUE"""),"Omar Metwally")</f>
        <v>Omar Metwally</v>
      </c>
      <c r="AE3918" s="11"/>
    </row>
    <row r="3919" customHeight="1" spans="1:31">
      <c r="A3919" s="12" t="s">
        <v>30</v>
      </c>
      <c r="B3919" s="12" t="s">
        <v>17782</v>
      </c>
      <c r="C3919" s="12">
        <v>69</v>
      </c>
      <c r="D3919" s="12">
        <v>86</v>
      </c>
      <c r="E3919" s="12">
        <v>89</v>
      </c>
      <c r="F3919" s="12">
        <v>511</v>
      </c>
      <c r="G3919" s="12">
        <v>986</v>
      </c>
      <c r="H3919" s="12">
        <v>17314483</v>
      </c>
      <c r="I3919" s="12" t="s">
        <v>2787</v>
      </c>
      <c r="J3919" s="12" t="s">
        <v>18548</v>
      </c>
      <c r="K3919" s="12" t="s">
        <v>9690</v>
      </c>
      <c r="L3919" s="12" t="s">
        <v>18549</v>
      </c>
      <c r="M3919" s="12" t="s">
        <v>18550</v>
      </c>
      <c r="N3919" s="12">
        <v>14621</v>
      </c>
      <c r="O3919" s="12">
        <v>4073</v>
      </c>
      <c r="P3919" s="12">
        <v>2</v>
      </c>
      <c r="Q3919" s="12" t="s">
        <v>18551</v>
      </c>
      <c r="R3919" s="15" t="s">
        <v>18552</v>
      </c>
      <c r="S3919" s="12">
        <v>48</v>
      </c>
      <c r="T3919" s="12" t="s">
        <v>39</v>
      </c>
      <c r="U3919" s="12" t="s">
        <v>40</v>
      </c>
      <c r="V3919" s="12" t="s">
        <v>586</v>
      </c>
      <c r="W3919" s="12">
        <v>4000000</v>
      </c>
      <c r="X3919" s="12">
        <v>2014</v>
      </c>
      <c r="Y3919" s="12">
        <v>713</v>
      </c>
      <c r="Z3919" s="12">
        <v>4.7</v>
      </c>
      <c r="AA3919" s="12">
        <v>1.85</v>
      </c>
      <c r="AB3919" s="12">
        <v>0</v>
      </c>
      <c r="AC3919" s="12"/>
      <c r="AD3919" s="12" t="str">
        <f>IFERROR(__xludf.DUMMYFUNCTION("""COMPUTED_VALUE"""),"Diego Velazquez")</f>
        <v>Diego Velazquez</v>
      </c>
      <c r="AE3919" s="12"/>
    </row>
    <row r="3920" customHeight="1" spans="1:31">
      <c r="A3920" s="11" t="s">
        <v>30</v>
      </c>
      <c r="B3920" s="11" t="s">
        <v>18553</v>
      </c>
      <c r="C3920" s="11">
        <v>143</v>
      </c>
      <c r="D3920" s="11">
        <v>110</v>
      </c>
      <c r="E3920" s="11">
        <v>675</v>
      </c>
      <c r="F3920" s="11">
        <v>968</v>
      </c>
      <c r="G3920" s="11">
        <v>16000</v>
      </c>
      <c r="H3920" s="11">
        <v>6525762</v>
      </c>
      <c r="I3920" s="11" t="s">
        <v>1415</v>
      </c>
      <c r="J3920" s="11" t="s">
        <v>10647</v>
      </c>
      <c r="K3920" s="11" t="s">
        <v>5621</v>
      </c>
      <c r="L3920" s="11" t="s">
        <v>381</v>
      </c>
      <c r="M3920" s="11" t="s">
        <v>18554</v>
      </c>
      <c r="N3920" s="11">
        <v>44339</v>
      </c>
      <c r="O3920" s="11">
        <v>19928</v>
      </c>
      <c r="P3920" s="11">
        <v>2</v>
      </c>
      <c r="Q3920" s="11" t="s">
        <v>18555</v>
      </c>
      <c r="R3920" s="14" t="s">
        <v>18556</v>
      </c>
      <c r="S3920" s="11">
        <v>425</v>
      </c>
      <c r="T3920" s="11" t="s">
        <v>39</v>
      </c>
      <c r="U3920" s="11" t="s">
        <v>40</v>
      </c>
      <c r="V3920" s="11" t="s">
        <v>586</v>
      </c>
      <c r="W3920" s="11">
        <v>4000000</v>
      </c>
      <c r="X3920" s="11">
        <v>2002</v>
      </c>
      <c r="Y3920" s="11">
        <v>977</v>
      </c>
      <c r="Z3920" s="11">
        <v>6.7</v>
      </c>
      <c r="AA3920" s="11">
        <v>1.85</v>
      </c>
      <c r="AB3920" s="11">
        <v>0</v>
      </c>
      <c r="AC3920" s="11"/>
      <c r="AD3920" s="11" t="str">
        <f>IFERROR(__xludf.DUMMYFUNCTION("""COMPUTED_VALUE"""),"Christopher Nicholas Smith")</f>
        <v>Christopher Nicholas Smith</v>
      </c>
      <c r="AE3920" s="11"/>
    </row>
    <row r="3921" customHeight="1" spans="1:31">
      <c r="A3921" s="12" t="s">
        <v>30</v>
      </c>
      <c r="B3921" s="12" t="s">
        <v>11033</v>
      </c>
      <c r="C3921" s="12">
        <v>50</v>
      </c>
      <c r="D3921" s="12">
        <v>127</v>
      </c>
      <c r="E3921" s="12">
        <v>13000</v>
      </c>
      <c r="F3921" s="12">
        <v>148</v>
      </c>
      <c r="G3921" s="12">
        <v>204</v>
      </c>
      <c r="H3921" s="16"/>
      <c r="I3921" s="12" t="s">
        <v>4075</v>
      </c>
      <c r="J3921" s="12" t="s">
        <v>6479</v>
      </c>
      <c r="K3921" s="12" t="s">
        <v>15552</v>
      </c>
      <c r="L3921" s="12" t="s">
        <v>18557</v>
      </c>
      <c r="M3921" s="12" t="s">
        <v>18558</v>
      </c>
      <c r="N3921" s="12">
        <v>12677</v>
      </c>
      <c r="O3921" s="12">
        <v>753</v>
      </c>
      <c r="P3921" s="12">
        <v>0</v>
      </c>
      <c r="Q3921" s="12" t="s">
        <v>18559</v>
      </c>
      <c r="R3921" s="15" t="s">
        <v>18560</v>
      </c>
      <c r="S3921" s="12">
        <v>89</v>
      </c>
      <c r="T3921" s="12" t="s">
        <v>39</v>
      </c>
      <c r="U3921" s="12" t="s">
        <v>40</v>
      </c>
      <c r="V3921" s="12" t="s">
        <v>16052</v>
      </c>
      <c r="W3921" s="12">
        <v>4000000</v>
      </c>
      <c r="X3921" s="12">
        <v>1969</v>
      </c>
      <c r="Y3921" s="12">
        <v>187</v>
      </c>
      <c r="Z3921" s="12">
        <v>6.3</v>
      </c>
      <c r="AA3921" s="12">
        <v>1.85</v>
      </c>
      <c r="AB3921" s="12">
        <v>414</v>
      </c>
      <c r="AC3921" s="12"/>
      <c r="AD3921" s="12" t="str">
        <f>IFERROR(__xludf.DUMMYFUNCTION("""COMPUTED_VALUE"""),"Michaela Watkins")</f>
        <v>Michaela Watkins</v>
      </c>
      <c r="AE3921" s="12"/>
    </row>
    <row r="3922" customHeight="1" spans="1:31">
      <c r="A3922" s="11" t="s">
        <v>30</v>
      </c>
      <c r="B3922" s="11" t="s">
        <v>15282</v>
      </c>
      <c r="C3922" s="11">
        <v>46</v>
      </c>
      <c r="D3922" s="11">
        <v>90</v>
      </c>
      <c r="E3922" s="11">
        <v>0</v>
      </c>
      <c r="F3922" s="11">
        <v>242</v>
      </c>
      <c r="G3922" s="11">
        <v>812</v>
      </c>
      <c r="H3922" s="11">
        <v>4613815</v>
      </c>
      <c r="I3922" s="11" t="s">
        <v>1009</v>
      </c>
      <c r="J3922" s="11" t="s">
        <v>4640</v>
      </c>
      <c r="K3922" s="11" t="s">
        <v>1646</v>
      </c>
      <c r="L3922" s="11" t="s">
        <v>18561</v>
      </c>
      <c r="M3922" s="11" t="s">
        <v>18562</v>
      </c>
      <c r="N3922" s="11">
        <v>19622</v>
      </c>
      <c r="O3922" s="11">
        <v>1566</v>
      </c>
      <c r="P3922" s="11">
        <v>0</v>
      </c>
      <c r="Q3922" s="11" t="s">
        <v>18563</v>
      </c>
      <c r="R3922" s="14" t="s">
        <v>18564</v>
      </c>
      <c r="S3922" s="11">
        <v>58</v>
      </c>
      <c r="T3922" s="11" t="s">
        <v>39</v>
      </c>
      <c r="U3922" s="11" t="s">
        <v>40</v>
      </c>
      <c r="V3922" s="11" t="s">
        <v>586</v>
      </c>
      <c r="W3922" s="13"/>
      <c r="X3922" s="11">
        <v>2006</v>
      </c>
      <c r="Y3922" s="11">
        <v>466</v>
      </c>
      <c r="Z3922" s="11">
        <v>6</v>
      </c>
      <c r="AA3922" s="11">
        <v>1.85</v>
      </c>
      <c r="AB3922" s="11">
        <v>931</v>
      </c>
      <c r="AC3922" s="11"/>
      <c r="AD3922" s="11" t="str">
        <f>IFERROR(__xludf.DUMMYFUNCTION("""COMPUTED_VALUE"""),"Fred Armisen")</f>
        <v>Fred Armisen</v>
      </c>
      <c r="AE3922" s="11"/>
    </row>
    <row r="3923" customHeight="1" spans="1:31">
      <c r="A3923" s="12" t="s">
        <v>30</v>
      </c>
      <c r="B3923" s="12" t="s">
        <v>18565</v>
      </c>
      <c r="C3923" s="12">
        <v>51</v>
      </c>
      <c r="D3923" s="12">
        <v>110</v>
      </c>
      <c r="E3923" s="12">
        <v>99</v>
      </c>
      <c r="F3923" s="12">
        <v>960</v>
      </c>
      <c r="G3923" s="12">
        <v>4000</v>
      </c>
      <c r="H3923" s="12">
        <v>4301331</v>
      </c>
      <c r="I3923" s="12" t="s">
        <v>2787</v>
      </c>
      <c r="J3923" s="12" t="s">
        <v>495</v>
      </c>
      <c r="K3923" s="12" t="s">
        <v>4000</v>
      </c>
      <c r="L3923" s="12" t="s">
        <v>2665</v>
      </c>
      <c r="M3923" s="12" t="s">
        <v>18566</v>
      </c>
      <c r="N3923" s="12">
        <v>78241</v>
      </c>
      <c r="O3923" s="12">
        <v>7921</v>
      </c>
      <c r="P3923" s="12">
        <v>6</v>
      </c>
      <c r="Q3923" s="12" t="s">
        <v>18567</v>
      </c>
      <c r="R3923" s="15" t="s">
        <v>18568</v>
      </c>
      <c r="S3923" s="12">
        <v>177</v>
      </c>
      <c r="T3923" s="12" t="s">
        <v>39</v>
      </c>
      <c r="U3923" s="12" t="s">
        <v>40</v>
      </c>
      <c r="V3923" s="12" t="s">
        <v>586</v>
      </c>
      <c r="W3923" s="12">
        <v>4000000</v>
      </c>
      <c r="X3923" s="12">
        <v>1995</v>
      </c>
      <c r="Y3923" s="12">
        <v>975</v>
      </c>
      <c r="Z3923" s="12">
        <v>6.7</v>
      </c>
      <c r="AA3923" s="12">
        <v>1.85</v>
      </c>
      <c r="AB3923" s="12">
        <v>0</v>
      </c>
      <c r="AC3923" s="12"/>
      <c r="AD3923" s="12" t="str">
        <f>IFERROR(__xludf.DUMMYFUNCTION("""COMPUTED_VALUE"""),"Samuel West")</f>
        <v>Samuel West</v>
      </c>
      <c r="AE3923" s="12"/>
    </row>
    <row r="3924" customHeight="1" spans="1:31">
      <c r="A3924" s="11" t="s">
        <v>30</v>
      </c>
      <c r="B3924" s="11" t="s">
        <v>12349</v>
      </c>
      <c r="C3924" s="11">
        <v>163</v>
      </c>
      <c r="D3924" s="11">
        <v>104</v>
      </c>
      <c r="E3924" s="11">
        <v>30</v>
      </c>
      <c r="F3924" s="11">
        <v>296</v>
      </c>
      <c r="G3924" s="11">
        <v>769</v>
      </c>
      <c r="H3924" s="11">
        <v>4046737</v>
      </c>
      <c r="I3924" s="11" t="s">
        <v>1415</v>
      </c>
      <c r="J3924" s="11" t="s">
        <v>13349</v>
      </c>
      <c r="K3924" s="11" t="s">
        <v>1055</v>
      </c>
      <c r="L3924" s="11" t="s">
        <v>15196</v>
      </c>
      <c r="M3924" s="11" t="s">
        <v>18569</v>
      </c>
      <c r="N3924" s="11">
        <v>67949</v>
      </c>
      <c r="O3924" s="11">
        <v>2251</v>
      </c>
      <c r="P3924" s="11">
        <v>1</v>
      </c>
      <c r="Q3924" s="11" t="s">
        <v>18570</v>
      </c>
      <c r="R3924" s="14" t="s">
        <v>18571</v>
      </c>
      <c r="S3924" s="11">
        <v>390</v>
      </c>
      <c r="T3924" s="11" t="s">
        <v>39</v>
      </c>
      <c r="U3924" s="11" t="s">
        <v>40</v>
      </c>
      <c r="V3924" s="11" t="s">
        <v>586</v>
      </c>
      <c r="W3924" s="11">
        <v>4000000</v>
      </c>
      <c r="X3924" s="11">
        <v>2002</v>
      </c>
      <c r="Y3924" s="11">
        <v>413</v>
      </c>
      <c r="Z3924" s="11">
        <v>7.1</v>
      </c>
      <c r="AA3924" s="11">
        <v>1.85</v>
      </c>
      <c r="AB3924" s="11">
        <v>15000</v>
      </c>
      <c r="AC3924" s="11"/>
      <c r="AD3924" s="11" t="str">
        <f>IFERROR(__xludf.DUMMYFUNCTION("""COMPUTED_VALUE"""),"David Thewlis")</f>
        <v>David Thewlis</v>
      </c>
      <c r="AE3924" s="11"/>
    </row>
    <row r="3925" customHeight="1" spans="1:31">
      <c r="A3925" s="12" t="s">
        <v>30</v>
      </c>
      <c r="B3925" s="12" t="s">
        <v>18572</v>
      </c>
      <c r="C3925" s="12">
        <v>52</v>
      </c>
      <c r="D3925" s="12">
        <v>96</v>
      </c>
      <c r="E3925" s="12">
        <v>2</v>
      </c>
      <c r="F3925" s="12">
        <v>0</v>
      </c>
      <c r="G3925" s="12">
        <v>960</v>
      </c>
      <c r="H3925" s="12">
        <v>3713002</v>
      </c>
      <c r="I3925" s="12" t="s">
        <v>68</v>
      </c>
      <c r="J3925" s="12" t="s">
        <v>9629</v>
      </c>
      <c r="K3925" s="12" t="s">
        <v>736</v>
      </c>
      <c r="L3925" s="12" t="s">
        <v>18573</v>
      </c>
      <c r="M3925" s="12" t="s">
        <v>18574</v>
      </c>
      <c r="N3925" s="12">
        <v>3611</v>
      </c>
      <c r="O3925" s="12">
        <v>972</v>
      </c>
      <c r="P3925" s="12">
        <v>1</v>
      </c>
      <c r="Q3925" s="12" t="s">
        <v>18575</v>
      </c>
      <c r="R3925" s="15" t="s">
        <v>18576</v>
      </c>
      <c r="S3925" s="12">
        <v>62</v>
      </c>
      <c r="T3925" s="12" t="s">
        <v>39</v>
      </c>
      <c r="U3925" s="12" t="s">
        <v>40</v>
      </c>
      <c r="V3925" s="12" t="s">
        <v>586</v>
      </c>
      <c r="W3925" s="12">
        <v>8000000</v>
      </c>
      <c r="X3925" s="12">
        <v>2003</v>
      </c>
      <c r="Y3925" s="12">
        <v>12</v>
      </c>
      <c r="Z3925" s="12">
        <v>2.7</v>
      </c>
      <c r="AA3925" s="12">
        <v>1.85</v>
      </c>
      <c r="AB3925" s="12">
        <v>131</v>
      </c>
      <c r="AC3925" s="12"/>
      <c r="AD3925" s="12" t="str">
        <f>IFERROR(__xludf.DUMMYFUNCTION("""COMPUTED_VALUE"""),"Emmanuelle Béart")</f>
        <v>Emmanuelle Béart</v>
      </c>
      <c r="AE3925" s="12"/>
    </row>
    <row r="3926" customHeight="1" spans="1:31">
      <c r="A3926" s="11" t="s">
        <v>30</v>
      </c>
      <c r="B3926" s="11" t="s">
        <v>761</v>
      </c>
      <c r="C3926" s="11">
        <v>40</v>
      </c>
      <c r="D3926" s="11">
        <v>110</v>
      </c>
      <c r="E3926" s="11">
        <v>0</v>
      </c>
      <c r="F3926" s="11">
        <v>237</v>
      </c>
      <c r="G3926" s="11">
        <v>721</v>
      </c>
      <c r="H3926" s="11">
        <v>3468572</v>
      </c>
      <c r="I3926" s="11" t="s">
        <v>3410</v>
      </c>
      <c r="J3926" s="11" t="s">
        <v>1870</v>
      </c>
      <c r="K3926" s="11" t="s">
        <v>9830</v>
      </c>
      <c r="L3926" s="11" t="s">
        <v>18149</v>
      </c>
      <c r="M3926" s="11" t="s">
        <v>18577</v>
      </c>
      <c r="N3926" s="11">
        <v>10073</v>
      </c>
      <c r="O3926" s="11">
        <v>1966</v>
      </c>
      <c r="P3926" s="11">
        <v>0</v>
      </c>
      <c r="Q3926" s="11" t="s">
        <v>18578</v>
      </c>
      <c r="R3926" s="14" t="s">
        <v>18579</v>
      </c>
      <c r="S3926" s="11">
        <v>78</v>
      </c>
      <c r="T3926" s="11" t="s">
        <v>39</v>
      </c>
      <c r="U3926" s="11" t="s">
        <v>40</v>
      </c>
      <c r="V3926" s="11" t="s">
        <v>586</v>
      </c>
      <c r="W3926" s="11">
        <v>4000000</v>
      </c>
      <c r="X3926" s="11">
        <v>1988</v>
      </c>
      <c r="Y3926" s="11">
        <v>246</v>
      </c>
      <c r="Z3926" s="11">
        <v>7.3</v>
      </c>
      <c r="AA3926" s="11">
        <v>1.85</v>
      </c>
      <c r="AB3926" s="11">
        <v>816</v>
      </c>
      <c r="AC3926" s="11"/>
      <c r="AD3926" s="11" t="str">
        <f>IFERROR(__xludf.DUMMYFUNCTION("""COMPUTED_VALUE"""),"Vernee Watson")</f>
        <v>Vernee Watson</v>
      </c>
      <c r="AE3926" s="11"/>
    </row>
    <row r="3927" customHeight="1" spans="1:31">
      <c r="A3927" s="12" t="s">
        <v>30</v>
      </c>
      <c r="B3927" s="12" t="s">
        <v>11226</v>
      </c>
      <c r="C3927" s="12">
        <v>50</v>
      </c>
      <c r="D3927" s="12">
        <v>84</v>
      </c>
      <c r="E3927" s="12">
        <v>378</v>
      </c>
      <c r="F3927" s="12">
        <v>611</v>
      </c>
      <c r="G3927" s="12">
        <v>925</v>
      </c>
      <c r="H3927" s="12">
        <v>2892582</v>
      </c>
      <c r="I3927" s="12" t="s">
        <v>1672</v>
      </c>
      <c r="J3927" s="12" t="s">
        <v>1802</v>
      </c>
      <c r="K3927" s="12" t="s">
        <v>417</v>
      </c>
      <c r="L3927" s="12" t="s">
        <v>2470</v>
      </c>
      <c r="M3927" s="12" t="s">
        <v>18580</v>
      </c>
      <c r="N3927" s="12">
        <v>22697</v>
      </c>
      <c r="O3927" s="12">
        <v>3559</v>
      </c>
      <c r="P3927" s="12">
        <v>0</v>
      </c>
      <c r="Q3927" s="12" t="s">
        <v>18581</v>
      </c>
      <c r="R3927" s="15" t="s">
        <v>18582</v>
      </c>
      <c r="S3927" s="12">
        <v>202</v>
      </c>
      <c r="T3927" s="12" t="s">
        <v>39</v>
      </c>
      <c r="U3927" s="12" t="s">
        <v>40</v>
      </c>
      <c r="V3927" s="12" t="s">
        <v>586</v>
      </c>
      <c r="W3927" s="12">
        <v>4000000</v>
      </c>
      <c r="X3927" s="12">
        <v>1996</v>
      </c>
      <c r="Y3927" s="12">
        <v>729</v>
      </c>
      <c r="Z3927" s="12">
        <v>7.6</v>
      </c>
      <c r="AA3927" s="12">
        <v>1.85</v>
      </c>
      <c r="AB3927" s="12">
        <v>0</v>
      </c>
      <c r="AC3927" s="12"/>
      <c r="AD3927" s="12" t="str">
        <f>IFERROR(__xludf.DUMMYFUNCTION("""COMPUTED_VALUE"""),"Kevin Rahm")</f>
        <v>Kevin Rahm</v>
      </c>
      <c r="AE3927" s="12"/>
    </row>
    <row r="3928" customHeight="1" spans="1:31">
      <c r="A3928" s="11" t="s">
        <v>30</v>
      </c>
      <c r="B3928" s="11" t="s">
        <v>18583</v>
      </c>
      <c r="C3928" s="11">
        <v>45</v>
      </c>
      <c r="D3928" s="11">
        <v>94</v>
      </c>
      <c r="E3928" s="11">
        <v>24</v>
      </c>
      <c r="F3928" s="11">
        <v>545</v>
      </c>
      <c r="G3928" s="11">
        <v>834</v>
      </c>
      <c r="H3928" s="11">
        <v>2800000</v>
      </c>
      <c r="I3928" s="11" t="s">
        <v>1672</v>
      </c>
      <c r="J3928" s="11" t="s">
        <v>1708</v>
      </c>
      <c r="K3928" s="11" t="s">
        <v>5789</v>
      </c>
      <c r="L3928" s="11" t="s">
        <v>6824</v>
      </c>
      <c r="M3928" s="11" t="s">
        <v>18584</v>
      </c>
      <c r="N3928" s="11">
        <v>4377</v>
      </c>
      <c r="O3928" s="11">
        <v>2662</v>
      </c>
      <c r="P3928" s="11">
        <v>3</v>
      </c>
      <c r="Q3928" s="11" t="s">
        <v>18585</v>
      </c>
      <c r="R3928" s="14" t="s">
        <v>18586</v>
      </c>
      <c r="S3928" s="11">
        <v>85</v>
      </c>
      <c r="T3928" s="11" t="s">
        <v>39</v>
      </c>
      <c r="U3928" s="11" t="s">
        <v>40</v>
      </c>
      <c r="V3928" s="11" t="s">
        <v>586</v>
      </c>
      <c r="W3928" s="11">
        <v>4000000</v>
      </c>
      <c r="X3928" s="11">
        <v>1999</v>
      </c>
      <c r="Y3928" s="11">
        <v>625</v>
      </c>
      <c r="Z3928" s="11">
        <v>5.8</v>
      </c>
      <c r="AA3928" s="11">
        <v>1.85</v>
      </c>
      <c r="AB3928" s="11">
        <v>309</v>
      </c>
      <c r="AC3928" s="11"/>
      <c r="AD3928" s="11" t="str">
        <f>IFERROR(__xludf.DUMMYFUNCTION("""COMPUTED_VALUE"""),"Robbie Kay")</f>
        <v>Robbie Kay</v>
      </c>
      <c r="AE3928" s="11"/>
    </row>
    <row r="3929" customHeight="1" spans="1:31">
      <c r="A3929" s="12" t="s">
        <v>30</v>
      </c>
      <c r="B3929" s="12" t="s">
        <v>4424</v>
      </c>
      <c r="C3929" s="12">
        <v>121</v>
      </c>
      <c r="D3929" s="12">
        <v>93</v>
      </c>
      <c r="E3929" s="12">
        <v>131</v>
      </c>
      <c r="F3929" s="12">
        <v>90</v>
      </c>
      <c r="G3929" s="12">
        <v>497</v>
      </c>
      <c r="H3929" s="12">
        <v>2426851</v>
      </c>
      <c r="I3929" s="12" t="s">
        <v>4235</v>
      </c>
      <c r="J3929" s="12" t="s">
        <v>3538</v>
      </c>
      <c r="K3929" s="12" t="s">
        <v>18587</v>
      </c>
      <c r="L3929" s="12" t="s">
        <v>8085</v>
      </c>
      <c r="M3929" s="12" t="s">
        <v>18588</v>
      </c>
      <c r="N3929" s="12">
        <v>16224</v>
      </c>
      <c r="O3929" s="12">
        <v>776</v>
      </c>
      <c r="P3929" s="12">
        <v>1</v>
      </c>
      <c r="Q3929" s="12" t="s">
        <v>18589</v>
      </c>
      <c r="R3929" s="15" t="s">
        <v>18590</v>
      </c>
      <c r="S3929" s="12">
        <v>76</v>
      </c>
      <c r="T3929" s="12" t="s">
        <v>39</v>
      </c>
      <c r="U3929" s="12" t="s">
        <v>40</v>
      </c>
      <c r="V3929" s="12" t="s">
        <v>586</v>
      </c>
      <c r="W3929" s="12">
        <v>4000000</v>
      </c>
      <c r="X3929" s="12">
        <v>2007</v>
      </c>
      <c r="Y3929" s="12">
        <v>113</v>
      </c>
      <c r="Z3929" s="12">
        <v>6.5</v>
      </c>
      <c r="AA3929" s="12">
        <v>2.55</v>
      </c>
      <c r="AB3929" s="12">
        <v>830</v>
      </c>
      <c r="AC3929" s="12"/>
      <c r="AD3929" s="12" t="str">
        <f>IFERROR(__xludf.DUMMYFUNCTION("""COMPUTED_VALUE"""),"Gina McKee")</f>
        <v>Gina McKee</v>
      </c>
      <c r="AE3929" s="12"/>
    </row>
    <row r="3930" customHeight="1" spans="1:31">
      <c r="A3930" s="11" t="s">
        <v>30</v>
      </c>
      <c r="B3930" s="11" t="s">
        <v>18591</v>
      </c>
      <c r="C3930" s="11">
        <v>114</v>
      </c>
      <c r="D3930" s="11">
        <v>96</v>
      </c>
      <c r="E3930" s="11">
        <v>101</v>
      </c>
      <c r="F3930" s="11">
        <v>71</v>
      </c>
      <c r="G3930" s="11">
        <v>730</v>
      </c>
      <c r="H3930" s="11">
        <v>1325073</v>
      </c>
      <c r="I3930" s="11" t="s">
        <v>2528</v>
      </c>
      <c r="J3930" s="11" t="s">
        <v>871</v>
      </c>
      <c r="K3930" s="11" t="s">
        <v>3173</v>
      </c>
      <c r="L3930" s="11" t="s">
        <v>1601</v>
      </c>
      <c r="M3930" s="11" t="s">
        <v>18592</v>
      </c>
      <c r="N3930" s="11">
        <v>18762</v>
      </c>
      <c r="O3930" s="11">
        <v>1208</v>
      </c>
      <c r="P3930" s="11">
        <v>0</v>
      </c>
      <c r="Q3930" s="11" t="s">
        <v>18593</v>
      </c>
      <c r="R3930" s="14" t="s">
        <v>18594</v>
      </c>
      <c r="S3930" s="11">
        <v>91</v>
      </c>
      <c r="T3930" s="11" t="s">
        <v>39</v>
      </c>
      <c r="U3930" s="11" t="s">
        <v>40</v>
      </c>
      <c r="V3930" s="11" t="s">
        <v>586</v>
      </c>
      <c r="W3930" s="11">
        <v>4000000</v>
      </c>
      <c r="X3930" s="11">
        <v>2005</v>
      </c>
      <c r="Y3930" s="11">
        <v>394</v>
      </c>
      <c r="Z3930" s="11">
        <v>6.6</v>
      </c>
      <c r="AA3930" s="11">
        <v>2.35</v>
      </c>
      <c r="AB3930" s="11">
        <v>708</v>
      </c>
      <c r="AC3930" s="11"/>
      <c r="AD3930" s="11" t="str">
        <f>IFERROR(__xludf.DUMMYFUNCTION("""COMPUTED_VALUE"""),"Laurel Holloman")</f>
        <v>Laurel Holloman</v>
      </c>
      <c r="AE3930" s="11"/>
    </row>
    <row r="3931" customHeight="1" spans="1:31">
      <c r="A3931" s="12" t="s">
        <v>30</v>
      </c>
      <c r="B3931" s="12" t="s">
        <v>7135</v>
      </c>
      <c r="C3931" s="12">
        <v>270</v>
      </c>
      <c r="D3931" s="12">
        <v>88</v>
      </c>
      <c r="E3931" s="12">
        <v>0</v>
      </c>
      <c r="F3931" s="12">
        <v>939</v>
      </c>
      <c r="G3931" s="12">
        <v>1000</v>
      </c>
      <c r="H3931" s="16"/>
      <c r="I3931" s="12" t="s">
        <v>18595</v>
      </c>
      <c r="J3931" s="12" t="s">
        <v>18596</v>
      </c>
      <c r="K3931" s="12" t="s">
        <v>2299</v>
      </c>
      <c r="L3931" s="12" t="s">
        <v>1147</v>
      </c>
      <c r="M3931" s="12" t="s">
        <v>18597</v>
      </c>
      <c r="N3931" s="12">
        <v>53342</v>
      </c>
      <c r="O3931" s="12">
        <v>4777</v>
      </c>
      <c r="P3931" s="12">
        <v>0</v>
      </c>
      <c r="Q3931" s="12" t="s">
        <v>18598</v>
      </c>
      <c r="R3931" s="15" t="s">
        <v>18599</v>
      </c>
      <c r="S3931" s="12">
        <v>287</v>
      </c>
      <c r="T3931" s="12" t="s">
        <v>39</v>
      </c>
      <c r="U3931" s="12" t="s">
        <v>40</v>
      </c>
      <c r="V3931" s="12" t="s">
        <v>586</v>
      </c>
      <c r="W3931" s="12">
        <v>4000000</v>
      </c>
      <c r="X3931" s="12">
        <v>2011</v>
      </c>
      <c r="Y3931" s="12">
        <v>947</v>
      </c>
      <c r="Z3931" s="12">
        <v>6.2</v>
      </c>
      <c r="AA3931" s="12">
        <v>1.85</v>
      </c>
      <c r="AB3931" s="12">
        <v>16000</v>
      </c>
      <c r="AC3931" s="12"/>
      <c r="AD3931" s="12" t="str">
        <f>IFERROR(__xludf.DUMMYFUNCTION("""COMPUTED_VALUE"""),"Amy Locane")</f>
        <v>Amy Locane</v>
      </c>
      <c r="AE3931" s="12"/>
    </row>
    <row r="3932" customHeight="1" spans="1:31">
      <c r="A3932" s="11" t="s">
        <v>30</v>
      </c>
      <c r="B3932" s="11" t="s">
        <v>18600</v>
      </c>
      <c r="C3932" s="11">
        <v>116</v>
      </c>
      <c r="D3932" s="11">
        <v>101</v>
      </c>
      <c r="E3932" s="11">
        <v>21</v>
      </c>
      <c r="F3932" s="11">
        <v>161</v>
      </c>
      <c r="G3932" s="11">
        <v>420</v>
      </c>
      <c r="H3932" s="11">
        <v>864959</v>
      </c>
      <c r="I3932" s="11" t="s">
        <v>173</v>
      </c>
      <c r="J3932" s="11" t="s">
        <v>18601</v>
      </c>
      <c r="K3932" s="11" t="s">
        <v>16170</v>
      </c>
      <c r="L3932" s="11" t="s">
        <v>18602</v>
      </c>
      <c r="M3932" s="11" t="s">
        <v>18603</v>
      </c>
      <c r="N3932" s="11">
        <v>20275</v>
      </c>
      <c r="O3932" s="11">
        <v>1215</v>
      </c>
      <c r="P3932" s="11">
        <v>0</v>
      </c>
      <c r="Q3932" s="11" t="s">
        <v>18604</v>
      </c>
      <c r="R3932" s="14" t="s">
        <v>18605</v>
      </c>
      <c r="S3932" s="11">
        <v>151</v>
      </c>
      <c r="T3932" s="11" t="s">
        <v>39</v>
      </c>
      <c r="U3932" s="11" t="s">
        <v>58</v>
      </c>
      <c r="V3932" s="11" t="s">
        <v>96</v>
      </c>
      <c r="W3932" s="11">
        <v>4000000</v>
      </c>
      <c r="X3932" s="11">
        <v>2005</v>
      </c>
      <c r="Y3932" s="11">
        <v>291</v>
      </c>
      <c r="Z3932" s="11">
        <v>6.9</v>
      </c>
      <c r="AA3932" s="11">
        <v>1.85</v>
      </c>
      <c r="AB3932" s="11">
        <v>0</v>
      </c>
      <c r="AC3932" s="11"/>
      <c r="AD3932" s="11" t="str">
        <f>IFERROR(__xludf.DUMMYFUNCTION("""COMPUTED_VALUE"""),"Marina Sirtis")</f>
        <v>Marina Sirtis</v>
      </c>
      <c r="AE3932" s="11"/>
    </row>
    <row r="3933" customHeight="1" spans="1:31">
      <c r="A3933" s="12" t="s">
        <v>30</v>
      </c>
      <c r="B3933" s="12" t="s">
        <v>18606</v>
      </c>
      <c r="C3933" s="12">
        <v>115</v>
      </c>
      <c r="D3933" s="12">
        <v>102</v>
      </c>
      <c r="E3933" s="12">
        <v>330</v>
      </c>
      <c r="F3933" s="12">
        <v>0</v>
      </c>
      <c r="G3933" s="12">
        <v>48</v>
      </c>
      <c r="H3933" s="12">
        <v>2601847</v>
      </c>
      <c r="I3933" s="12" t="s">
        <v>4068</v>
      </c>
      <c r="J3933" s="12" t="s">
        <v>18607</v>
      </c>
      <c r="K3933" s="12" t="s">
        <v>18608</v>
      </c>
      <c r="L3933" s="12" t="s">
        <v>18609</v>
      </c>
      <c r="M3933" s="12" t="s">
        <v>18610</v>
      </c>
      <c r="N3933" s="12">
        <v>22457</v>
      </c>
      <c r="O3933" s="12">
        <v>48</v>
      </c>
      <c r="P3933" s="12">
        <v>0</v>
      </c>
      <c r="Q3933" s="12" t="s">
        <v>18611</v>
      </c>
      <c r="R3933" s="15" t="s">
        <v>18612</v>
      </c>
      <c r="S3933" s="12">
        <v>69</v>
      </c>
      <c r="T3933" s="12" t="s">
        <v>13917</v>
      </c>
      <c r="U3933" s="12" t="s">
        <v>40</v>
      </c>
      <c r="V3933" s="12" t="s">
        <v>41</v>
      </c>
      <c r="W3933" s="12">
        <v>4000000</v>
      </c>
      <c r="X3933" s="12">
        <v>2011</v>
      </c>
      <c r="Y3933" s="12">
        <v>0</v>
      </c>
      <c r="Z3933" s="12">
        <v>8.5</v>
      </c>
      <c r="AA3933" s="12">
        <v>2.35</v>
      </c>
      <c r="AB3933" s="12">
        <v>26000</v>
      </c>
      <c r="AC3933" s="12"/>
      <c r="AD3933" s="12" t="str">
        <f>IFERROR(__xludf.DUMMYFUNCTION("""COMPUTED_VALUE"""),"Sean Lennon")</f>
        <v>Sean Lennon</v>
      </c>
      <c r="AE3933" s="12"/>
    </row>
    <row r="3934" customHeight="1" spans="1:31">
      <c r="A3934" s="11" t="s">
        <v>30</v>
      </c>
      <c r="B3934" s="11" t="s">
        <v>18613</v>
      </c>
      <c r="C3934" s="11">
        <v>15</v>
      </c>
      <c r="D3934" s="11">
        <v>87</v>
      </c>
      <c r="E3934" s="11">
        <v>101</v>
      </c>
      <c r="F3934" s="11">
        <v>324</v>
      </c>
      <c r="G3934" s="11">
        <v>721</v>
      </c>
      <c r="H3934" s="11">
        <v>800000</v>
      </c>
      <c r="I3934" s="11" t="s">
        <v>173</v>
      </c>
      <c r="J3934" s="11" t="s">
        <v>17218</v>
      </c>
      <c r="K3934" s="11" t="s">
        <v>18614</v>
      </c>
      <c r="L3934" s="11" t="s">
        <v>14966</v>
      </c>
      <c r="M3934" s="11" t="s">
        <v>18615</v>
      </c>
      <c r="N3934" s="11">
        <v>2308</v>
      </c>
      <c r="O3934" s="11">
        <v>1700</v>
      </c>
      <c r="P3934" s="11">
        <v>0</v>
      </c>
      <c r="Q3934" s="11" t="s">
        <v>18616</v>
      </c>
      <c r="R3934" s="14" t="s">
        <v>18617</v>
      </c>
      <c r="S3934" s="11">
        <v>35</v>
      </c>
      <c r="T3934" s="11" t="s">
        <v>39</v>
      </c>
      <c r="U3934" s="11" t="s">
        <v>40</v>
      </c>
      <c r="V3934" s="11" t="s">
        <v>586</v>
      </c>
      <c r="W3934" s="11">
        <v>4000000</v>
      </c>
      <c r="X3934" s="11">
        <v>1987</v>
      </c>
      <c r="Y3934" s="11">
        <v>576</v>
      </c>
      <c r="Z3934" s="11">
        <v>4.8</v>
      </c>
      <c r="AA3934" s="11">
        <v>1.85</v>
      </c>
      <c r="AB3934" s="11">
        <v>550</v>
      </c>
      <c r="AC3934" s="11"/>
      <c r="AD3934" s="11" t="str">
        <f>IFERROR(__xludf.DUMMYFUNCTION("""COMPUTED_VALUE"""),"Mick Lally")</f>
        <v>Mick Lally</v>
      </c>
      <c r="AE3934" s="11"/>
    </row>
    <row r="3935" customHeight="1" spans="1:31">
      <c r="A3935" s="12" t="s">
        <v>30</v>
      </c>
      <c r="B3935" s="12" t="s">
        <v>18618</v>
      </c>
      <c r="C3935" s="12">
        <v>122</v>
      </c>
      <c r="D3935" s="12">
        <v>83</v>
      </c>
      <c r="E3935" s="12">
        <v>19</v>
      </c>
      <c r="F3935" s="12">
        <v>322</v>
      </c>
      <c r="G3935" s="12">
        <v>947</v>
      </c>
      <c r="H3935" s="12">
        <v>1429260</v>
      </c>
      <c r="I3935" s="12" t="s">
        <v>214</v>
      </c>
      <c r="J3935" s="12" t="s">
        <v>2299</v>
      </c>
      <c r="K3935" s="12" t="s">
        <v>7214</v>
      </c>
      <c r="L3935" s="12" t="s">
        <v>5346</v>
      </c>
      <c r="M3935" s="12" t="s">
        <v>18619</v>
      </c>
      <c r="N3935" s="12">
        <v>45293</v>
      </c>
      <c r="O3935" s="12">
        <v>2353</v>
      </c>
      <c r="P3935" s="12">
        <v>1</v>
      </c>
      <c r="Q3935" s="12" t="s">
        <v>18620</v>
      </c>
      <c r="R3935" s="15" t="s">
        <v>18621</v>
      </c>
      <c r="S3935" s="12">
        <v>71</v>
      </c>
      <c r="T3935" s="12" t="s">
        <v>39</v>
      </c>
      <c r="U3935" s="12" t="s">
        <v>40</v>
      </c>
      <c r="V3935" s="12" t="s">
        <v>41</v>
      </c>
      <c r="W3935" s="16"/>
      <c r="X3935" s="12">
        <v>2011</v>
      </c>
      <c r="Y3935" s="12">
        <v>685</v>
      </c>
      <c r="Z3935" s="12">
        <v>6.6</v>
      </c>
      <c r="AA3935" s="12">
        <v>2.35</v>
      </c>
      <c r="AB3935" s="12">
        <v>0</v>
      </c>
      <c r="AC3935" s="12"/>
      <c r="AD3935" s="12" t="str">
        <f>IFERROR(__xludf.DUMMYFUNCTION("""COMPUTED_VALUE"""),"Evan McGuire")</f>
        <v>Evan McGuire</v>
      </c>
      <c r="AE3935" s="12"/>
    </row>
    <row r="3936" customHeight="1" spans="1:31">
      <c r="A3936" s="11" t="s">
        <v>30</v>
      </c>
      <c r="B3936" s="11" t="s">
        <v>18622</v>
      </c>
      <c r="C3936" s="11">
        <v>35</v>
      </c>
      <c r="D3936" s="11">
        <v>103</v>
      </c>
      <c r="E3936" s="11">
        <v>5</v>
      </c>
      <c r="F3936" s="11">
        <v>842</v>
      </c>
      <c r="G3936" s="11">
        <v>1000</v>
      </c>
      <c r="H3936" s="13"/>
      <c r="I3936" s="11" t="s">
        <v>4075</v>
      </c>
      <c r="J3936" s="11" t="s">
        <v>392</v>
      </c>
      <c r="K3936" s="11" t="s">
        <v>9628</v>
      </c>
      <c r="L3936" s="11" t="s">
        <v>18623</v>
      </c>
      <c r="M3936" s="11" t="s">
        <v>18624</v>
      </c>
      <c r="N3936" s="11">
        <v>4091</v>
      </c>
      <c r="O3936" s="11">
        <v>3408</v>
      </c>
      <c r="P3936" s="11">
        <v>0</v>
      </c>
      <c r="Q3936" s="11" t="s">
        <v>18625</v>
      </c>
      <c r="R3936" s="14" t="s">
        <v>18626</v>
      </c>
      <c r="S3936" s="11">
        <v>20</v>
      </c>
      <c r="T3936" s="11" t="s">
        <v>39</v>
      </c>
      <c r="U3936" s="11" t="s">
        <v>40</v>
      </c>
      <c r="V3936" s="11" t="s">
        <v>586</v>
      </c>
      <c r="W3936" s="11">
        <v>4500000</v>
      </c>
      <c r="X3936" s="11">
        <v>2015</v>
      </c>
      <c r="Y3936" s="11">
        <v>1000</v>
      </c>
      <c r="Z3936" s="11">
        <v>5.7</v>
      </c>
      <c r="AA3936" s="11">
        <v>2.35</v>
      </c>
      <c r="AB3936" s="11">
        <v>987</v>
      </c>
      <c r="AC3936" s="11"/>
      <c r="AD3936" s="11" t="str">
        <f>IFERROR(__xludf.DUMMYFUNCTION("""COMPUTED_VALUE"""),"Karen Pittman")</f>
        <v>Karen Pittman</v>
      </c>
      <c r="AE3936" s="11"/>
    </row>
    <row r="3937" customHeight="1" spans="1:31">
      <c r="A3937" s="12" t="s">
        <v>30</v>
      </c>
      <c r="B3937" s="12" t="s">
        <v>18627</v>
      </c>
      <c r="C3937" s="12">
        <v>41</v>
      </c>
      <c r="D3937" s="12">
        <v>99</v>
      </c>
      <c r="E3937" s="12">
        <v>60</v>
      </c>
      <c r="F3937" s="12">
        <v>444</v>
      </c>
      <c r="G3937" s="12">
        <v>979</v>
      </c>
      <c r="H3937" s="12">
        <v>562059</v>
      </c>
      <c r="I3937" s="12" t="s">
        <v>4075</v>
      </c>
      <c r="J3937" s="12" t="s">
        <v>1654</v>
      </c>
      <c r="K3937" s="12" t="s">
        <v>4625</v>
      </c>
      <c r="L3937" s="12" t="s">
        <v>9447</v>
      </c>
      <c r="M3937" s="12" t="s">
        <v>18628</v>
      </c>
      <c r="N3937" s="12">
        <v>8535</v>
      </c>
      <c r="O3937" s="12">
        <v>3130</v>
      </c>
      <c r="P3937" s="12">
        <v>4</v>
      </c>
      <c r="Q3937" s="12" t="s">
        <v>18629</v>
      </c>
      <c r="R3937" s="15" t="s">
        <v>18630</v>
      </c>
      <c r="S3937" s="12">
        <v>113</v>
      </c>
      <c r="T3937" s="12" t="s">
        <v>39</v>
      </c>
      <c r="U3937" s="12" t="s">
        <v>40</v>
      </c>
      <c r="V3937" s="12" t="s">
        <v>586</v>
      </c>
      <c r="W3937" s="12">
        <v>4000000</v>
      </c>
      <c r="X3937" s="12">
        <v>2002</v>
      </c>
      <c r="Y3937" s="12">
        <v>665</v>
      </c>
      <c r="Z3937" s="12">
        <v>7</v>
      </c>
      <c r="AA3937" s="12">
        <v>1.85</v>
      </c>
      <c r="AB3937" s="12">
        <v>872</v>
      </c>
      <c r="AC3937" s="12"/>
      <c r="AD3937" s="12" t="str">
        <f>IFERROR(__xludf.DUMMYFUNCTION("""COMPUTED_VALUE"""),"Mary Catherine Garrison")</f>
        <v>Mary Catherine Garrison</v>
      </c>
      <c r="AE3937" s="12"/>
    </row>
    <row r="3938" customHeight="1" spans="1:31">
      <c r="A3938" s="11" t="s">
        <v>30</v>
      </c>
      <c r="B3938" s="11" t="s">
        <v>18459</v>
      </c>
      <c r="C3938" s="11">
        <v>31</v>
      </c>
      <c r="D3938" s="11">
        <v>106</v>
      </c>
      <c r="E3938" s="11">
        <v>81</v>
      </c>
      <c r="F3938" s="11">
        <v>687</v>
      </c>
      <c r="G3938" s="11">
        <v>2000</v>
      </c>
      <c r="H3938" s="11">
        <v>399793</v>
      </c>
      <c r="I3938" s="11" t="s">
        <v>3410</v>
      </c>
      <c r="J3938" s="11" t="s">
        <v>404</v>
      </c>
      <c r="K3938" s="11" t="s">
        <v>4063</v>
      </c>
      <c r="L3938" s="11" t="s">
        <v>6216</v>
      </c>
      <c r="M3938" s="11" t="s">
        <v>18631</v>
      </c>
      <c r="N3938" s="11">
        <v>2877</v>
      </c>
      <c r="O3938" s="11">
        <v>4343</v>
      </c>
      <c r="P3938" s="11">
        <v>0</v>
      </c>
      <c r="Q3938" s="11" t="s">
        <v>18632</v>
      </c>
      <c r="R3938" s="14" t="s">
        <v>18633</v>
      </c>
      <c r="S3938" s="11">
        <v>70</v>
      </c>
      <c r="T3938" s="11" t="s">
        <v>39</v>
      </c>
      <c r="U3938" s="11" t="s">
        <v>40</v>
      </c>
      <c r="V3938" s="11" t="s">
        <v>586</v>
      </c>
      <c r="W3938" s="11">
        <v>4000000</v>
      </c>
      <c r="X3938" s="11">
        <v>1999</v>
      </c>
      <c r="Y3938" s="11">
        <v>811</v>
      </c>
      <c r="Z3938" s="11">
        <v>5.4</v>
      </c>
      <c r="AA3938" s="11">
        <v>1.78</v>
      </c>
      <c r="AB3938" s="11">
        <v>111</v>
      </c>
      <c r="AC3938" s="11"/>
      <c r="AD3938" s="11" t="str">
        <f>IFERROR(__xludf.DUMMYFUNCTION("""COMPUTED_VALUE"""),"Tony Devon")</f>
        <v>Tony Devon</v>
      </c>
      <c r="AE3938" s="11"/>
    </row>
    <row r="3939" customHeight="1" spans="1:31">
      <c r="A3939" s="12" t="s">
        <v>30</v>
      </c>
      <c r="B3939" s="12" t="s">
        <v>18634</v>
      </c>
      <c r="C3939" s="12">
        <v>332</v>
      </c>
      <c r="D3939" s="12">
        <v>115</v>
      </c>
      <c r="E3939" s="12">
        <v>227</v>
      </c>
      <c r="F3939" s="12">
        <v>226</v>
      </c>
      <c r="G3939" s="12">
        <v>690</v>
      </c>
      <c r="H3939" s="16"/>
      <c r="I3939" s="12" t="s">
        <v>5324</v>
      </c>
      <c r="J3939" s="12" t="s">
        <v>4886</v>
      </c>
      <c r="K3939" s="12" t="s">
        <v>18634</v>
      </c>
      <c r="L3939" s="12" t="s">
        <v>4818</v>
      </c>
      <c r="M3939" s="12" t="s">
        <v>18635</v>
      </c>
      <c r="N3939" s="12">
        <v>29440</v>
      </c>
      <c r="O3939" s="12">
        <v>1298</v>
      </c>
      <c r="P3939" s="12">
        <v>0</v>
      </c>
      <c r="Q3939" s="12" t="s">
        <v>18636</v>
      </c>
      <c r="R3939" s="15" t="s">
        <v>18637</v>
      </c>
      <c r="S3939" s="12">
        <v>110</v>
      </c>
      <c r="T3939" s="12" t="s">
        <v>1465</v>
      </c>
      <c r="U3939" s="12" t="s">
        <v>1466</v>
      </c>
      <c r="V3939" s="12" t="s">
        <v>4831</v>
      </c>
      <c r="W3939" s="16"/>
      <c r="X3939" s="12">
        <v>2012</v>
      </c>
      <c r="Y3939" s="12">
        <v>227</v>
      </c>
      <c r="Z3939" s="12">
        <v>7.1</v>
      </c>
      <c r="AA3939" s="12">
        <v>1.85</v>
      </c>
      <c r="AB3939" s="12">
        <v>12000</v>
      </c>
      <c r="AC3939" s="12"/>
      <c r="AD3939" s="12" t="str">
        <f>IFERROR(__xludf.DUMMYFUNCTION("""COMPUTED_VALUE"""),"Alexa Havins")</f>
        <v>Alexa Havins</v>
      </c>
      <c r="AE3939" s="12"/>
    </row>
    <row r="3940" customHeight="1" spans="1:31">
      <c r="A3940" s="11" t="s">
        <v>30</v>
      </c>
      <c r="B3940" s="11" t="s">
        <v>5419</v>
      </c>
      <c r="C3940" s="11">
        <v>232</v>
      </c>
      <c r="D3940" s="11">
        <v>117</v>
      </c>
      <c r="E3940" s="11">
        <v>234</v>
      </c>
      <c r="F3940" s="11">
        <v>221</v>
      </c>
      <c r="G3940" s="11">
        <v>12000</v>
      </c>
      <c r="H3940" s="11">
        <v>371897</v>
      </c>
      <c r="I3940" s="11" t="s">
        <v>3410</v>
      </c>
      <c r="J3940" s="11" t="s">
        <v>705</v>
      </c>
      <c r="K3940" s="11" t="s">
        <v>460</v>
      </c>
      <c r="L3940" s="11" t="s">
        <v>18638</v>
      </c>
      <c r="M3940" s="11" t="s">
        <v>18639</v>
      </c>
      <c r="N3940" s="11">
        <v>36494</v>
      </c>
      <c r="O3940" s="11">
        <v>13607</v>
      </c>
      <c r="P3940" s="11">
        <v>2</v>
      </c>
      <c r="Q3940" s="11" t="s">
        <v>18640</v>
      </c>
      <c r="R3940" s="14" t="s">
        <v>18641</v>
      </c>
      <c r="S3940" s="11">
        <v>118</v>
      </c>
      <c r="T3940" s="11" t="s">
        <v>39</v>
      </c>
      <c r="U3940" s="11" t="s">
        <v>40</v>
      </c>
      <c r="V3940" s="11" t="s">
        <v>586</v>
      </c>
      <c r="W3940" s="11">
        <v>4000000</v>
      </c>
      <c r="X3940" s="11">
        <v>2013</v>
      </c>
      <c r="Y3940" s="11">
        <v>1000</v>
      </c>
      <c r="Z3940" s="11">
        <v>6.9</v>
      </c>
      <c r="AA3940" s="11">
        <v>2.35</v>
      </c>
      <c r="AB3940" s="11">
        <v>11000</v>
      </c>
      <c r="AC3940" s="11"/>
      <c r="AD3940" s="11" t="str">
        <f>IFERROR(__xludf.DUMMYFUNCTION("""COMPUTED_VALUE"""),"Alexia Fast")</f>
        <v>Alexia Fast</v>
      </c>
      <c r="AE3940" s="11"/>
    </row>
    <row r="3941" customHeight="1" spans="1:31">
      <c r="A3941" s="12" t="s">
        <v>30</v>
      </c>
      <c r="B3941" s="12" t="s">
        <v>18642</v>
      </c>
      <c r="C3941" s="12">
        <v>43</v>
      </c>
      <c r="D3941" s="12">
        <v>99</v>
      </c>
      <c r="E3941" s="12">
        <v>13</v>
      </c>
      <c r="F3941" s="12">
        <v>159</v>
      </c>
      <c r="G3941" s="12">
        <v>419</v>
      </c>
      <c r="H3941" s="12">
        <v>302204</v>
      </c>
      <c r="I3941" s="12" t="s">
        <v>4262</v>
      </c>
      <c r="J3941" s="12" t="s">
        <v>17247</v>
      </c>
      <c r="K3941" s="12" t="s">
        <v>13089</v>
      </c>
      <c r="L3941" s="12" t="s">
        <v>1241</v>
      </c>
      <c r="M3941" s="12" t="s">
        <v>18643</v>
      </c>
      <c r="N3941" s="12">
        <v>6705</v>
      </c>
      <c r="O3941" s="12">
        <v>975</v>
      </c>
      <c r="P3941" s="12">
        <v>3</v>
      </c>
      <c r="Q3941" s="12" t="s">
        <v>18644</v>
      </c>
      <c r="R3941" s="15" t="s">
        <v>18645</v>
      </c>
      <c r="S3941" s="12">
        <v>53</v>
      </c>
      <c r="T3941" s="12" t="s">
        <v>39</v>
      </c>
      <c r="U3941" s="12" t="s">
        <v>58</v>
      </c>
      <c r="V3941" s="12" t="s">
        <v>96</v>
      </c>
      <c r="W3941" s="12">
        <v>3000000</v>
      </c>
      <c r="X3941" s="12">
        <v>1997</v>
      </c>
      <c r="Y3941" s="12">
        <v>254</v>
      </c>
      <c r="Z3941" s="12">
        <v>6.6</v>
      </c>
      <c r="AA3941" s="12">
        <v>2.35</v>
      </c>
      <c r="AB3941" s="12">
        <v>167</v>
      </c>
      <c r="AC3941" s="12"/>
      <c r="AD3941" s="12" t="str">
        <f>IFERROR(__xludf.DUMMYFUNCTION("""COMPUTED_VALUE"""),"Kesun Loder")</f>
        <v>Kesun Loder</v>
      </c>
      <c r="AE3941" s="12"/>
    </row>
    <row r="3942" customHeight="1" spans="1:31">
      <c r="A3942" s="11" t="s">
        <v>30</v>
      </c>
      <c r="B3942" s="11" t="s">
        <v>2067</v>
      </c>
      <c r="C3942" s="11">
        <v>68</v>
      </c>
      <c r="D3942" s="11">
        <v>102</v>
      </c>
      <c r="E3942" s="11">
        <v>212</v>
      </c>
      <c r="F3942" s="11">
        <v>195</v>
      </c>
      <c r="G3942" s="11">
        <v>10000</v>
      </c>
      <c r="H3942" s="11">
        <v>354704</v>
      </c>
      <c r="I3942" s="11" t="s">
        <v>6648</v>
      </c>
      <c r="J3942" s="11" t="s">
        <v>2825</v>
      </c>
      <c r="K3942" s="11" t="s">
        <v>14515</v>
      </c>
      <c r="L3942" s="11" t="s">
        <v>18646</v>
      </c>
      <c r="M3942" s="11" t="s">
        <v>18647</v>
      </c>
      <c r="N3942" s="11">
        <v>2705</v>
      </c>
      <c r="O3942" s="11">
        <v>11083</v>
      </c>
      <c r="P3942" s="11">
        <v>0</v>
      </c>
      <c r="Q3942" s="11" t="s">
        <v>18648</v>
      </c>
      <c r="R3942" s="14" t="s">
        <v>18649</v>
      </c>
      <c r="S3942" s="11">
        <v>38</v>
      </c>
      <c r="T3942" s="11" t="s">
        <v>39</v>
      </c>
      <c r="U3942" s="11" t="s">
        <v>40</v>
      </c>
      <c r="V3942" s="11" t="s">
        <v>586</v>
      </c>
      <c r="W3942" s="11">
        <v>1300000</v>
      </c>
      <c r="X3942" s="11">
        <v>1987</v>
      </c>
      <c r="Y3942" s="11">
        <v>633</v>
      </c>
      <c r="Z3942" s="11">
        <v>5.9</v>
      </c>
      <c r="AA3942" s="11">
        <v>1.85</v>
      </c>
      <c r="AB3942" s="11">
        <v>314</v>
      </c>
      <c r="AC3942" s="11"/>
      <c r="AD3942" s="11" t="str">
        <f>IFERROR(__xludf.DUMMYFUNCTION("""COMPUTED_VALUE"""),"Larry Drake")</f>
        <v>Larry Drake</v>
      </c>
      <c r="AE3942" s="11"/>
    </row>
    <row r="3943" customHeight="1" spans="1:31">
      <c r="A3943" s="12" t="s">
        <v>30</v>
      </c>
      <c r="B3943" s="12" t="s">
        <v>18650</v>
      </c>
      <c r="C3943" s="12">
        <v>51</v>
      </c>
      <c r="D3943" s="12">
        <v>85</v>
      </c>
      <c r="E3943" s="12">
        <v>0</v>
      </c>
      <c r="F3943" s="12">
        <v>209</v>
      </c>
      <c r="G3943" s="12">
        <v>945</v>
      </c>
      <c r="H3943" s="12">
        <v>265107</v>
      </c>
      <c r="I3943" s="12" t="s">
        <v>18651</v>
      </c>
      <c r="J3943" s="12" t="s">
        <v>7320</v>
      </c>
      <c r="K3943" s="12" t="s">
        <v>18652</v>
      </c>
      <c r="L3943" s="12" t="s">
        <v>18653</v>
      </c>
      <c r="M3943" s="12" t="s">
        <v>18654</v>
      </c>
      <c r="N3943" s="12">
        <v>4617</v>
      </c>
      <c r="O3943" s="12">
        <v>2282</v>
      </c>
      <c r="P3943" s="12">
        <v>1</v>
      </c>
      <c r="Q3943" s="12" t="s">
        <v>18655</v>
      </c>
      <c r="R3943" s="15" t="s">
        <v>18656</v>
      </c>
      <c r="S3943" s="12">
        <v>93</v>
      </c>
      <c r="T3943" s="12" t="s">
        <v>39</v>
      </c>
      <c r="U3943" s="12" t="s">
        <v>371</v>
      </c>
      <c r="V3943" s="12" t="s">
        <v>5614</v>
      </c>
      <c r="W3943" s="12">
        <v>1500000</v>
      </c>
      <c r="X3943" s="12">
        <v>2000</v>
      </c>
      <c r="Y3943" s="12">
        <v>774</v>
      </c>
      <c r="Z3943" s="12">
        <v>6.3</v>
      </c>
      <c r="AA3943" s="12">
        <v>1.85</v>
      </c>
      <c r="AB3943" s="12">
        <v>614</v>
      </c>
      <c r="AC3943" s="12"/>
      <c r="AD3943" s="12" t="str">
        <f>IFERROR(__xludf.DUMMYFUNCTION("""COMPUTED_VALUE"""),"Chris Owen")</f>
        <v>Chris Owen</v>
      </c>
      <c r="AE3943" s="12"/>
    </row>
    <row r="3944" customHeight="1" spans="1:31">
      <c r="A3944" s="11" t="s">
        <v>30</v>
      </c>
      <c r="B3944" s="11" t="s">
        <v>9306</v>
      </c>
      <c r="C3944" s="11">
        <v>33</v>
      </c>
      <c r="D3944" s="11">
        <v>86</v>
      </c>
      <c r="E3944" s="11">
        <v>8</v>
      </c>
      <c r="F3944" s="11">
        <v>428</v>
      </c>
      <c r="G3944" s="11">
        <v>759</v>
      </c>
      <c r="H3944" s="11">
        <v>185577</v>
      </c>
      <c r="I3944" s="11" t="s">
        <v>1672</v>
      </c>
      <c r="J3944" s="11" t="s">
        <v>643</v>
      </c>
      <c r="K3944" s="11" t="s">
        <v>3224</v>
      </c>
      <c r="L3944" s="11" t="s">
        <v>8993</v>
      </c>
      <c r="M3944" s="11" t="s">
        <v>18657</v>
      </c>
      <c r="N3944" s="11">
        <v>2133</v>
      </c>
      <c r="O3944" s="11">
        <v>2805</v>
      </c>
      <c r="P3944" s="11">
        <v>1</v>
      </c>
      <c r="Q3944" s="11" t="s">
        <v>18658</v>
      </c>
      <c r="R3944" s="14" t="s">
        <v>18659</v>
      </c>
      <c r="S3944" s="11">
        <v>31</v>
      </c>
      <c r="T3944" s="11" t="s">
        <v>39</v>
      </c>
      <c r="U3944" s="11" t="s">
        <v>58</v>
      </c>
      <c r="V3944" s="11" t="s">
        <v>586</v>
      </c>
      <c r="W3944" s="11">
        <v>4000000</v>
      </c>
      <c r="X3944" s="11">
        <v>1999</v>
      </c>
      <c r="Y3944" s="11">
        <v>638</v>
      </c>
      <c r="Z3944" s="11">
        <v>6.3</v>
      </c>
      <c r="AA3944" s="11">
        <v>1.85</v>
      </c>
      <c r="AB3944" s="11">
        <v>182</v>
      </c>
      <c r="AC3944" s="11"/>
      <c r="AD3944" s="11" t="str">
        <f>IFERROR(__xludf.DUMMYFUNCTION("""COMPUTED_VALUE"""),"Ian Tracey")</f>
        <v>Ian Tracey</v>
      </c>
      <c r="AE3944" s="11"/>
    </row>
    <row r="3945" customHeight="1" spans="1:31">
      <c r="A3945" s="12" t="s">
        <v>30</v>
      </c>
      <c r="B3945" s="12" t="s">
        <v>18660</v>
      </c>
      <c r="C3945" s="12">
        <v>26</v>
      </c>
      <c r="D3945" s="12">
        <v>120</v>
      </c>
      <c r="E3945" s="12">
        <v>45</v>
      </c>
      <c r="F3945" s="12">
        <v>69</v>
      </c>
      <c r="G3945" s="12">
        <v>623</v>
      </c>
      <c r="H3945" s="12">
        <v>100412</v>
      </c>
      <c r="I3945" s="12" t="s">
        <v>3410</v>
      </c>
      <c r="J3945" s="12" t="s">
        <v>18661</v>
      </c>
      <c r="K3945" s="12" t="s">
        <v>18662</v>
      </c>
      <c r="L3945" s="12" t="s">
        <v>18663</v>
      </c>
      <c r="M3945" s="12" t="s">
        <v>18664</v>
      </c>
      <c r="N3945" s="12">
        <v>2112</v>
      </c>
      <c r="O3945" s="12">
        <v>824</v>
      </c>
      <c r="P3945" s="12">
        <v>0</v>
      </c>
      <c r="Q3945" s="16"/>
      <c r="R3945" s="15" t="s">
        <v>18665</v>
      </c>
      <c r="S3945" s="12">
        <v>7</v>
      </c>
      <c r="T3945" s="12" t="s">
        <v>8732</v>
      </c>
      <c r="U3945" s="12" t="s">
        <v>2914</v>
      </c>
      <c r="V3945" s="12" t="s">
        <v>41</v>
      </c>
      <c r="W3945" s="12">
        <v>4000000</v>
      </c>
      <c r="X3945" s="12">
        <v>2013</v>
      </c>
      <c r="Y3945" s="12">
        <v>85</v>
      </c>
      <c r="Z3945" s="12">
        <v>7.7</v>
      </c>
      <c r="AA3945" s="12">
        <v>2.35</v>
      </c>
      <c r="AB3945" s="12">
        <v>0</v>
      </c>
      <c r="AC3945" s="12"/>
      <c r="AD3945" s="12" t="str">
        <f>IFERROR(__xludf.DUMMYFUNCTION("""COMPUTED_VALUE"""),"Zen McGrath")</f>
        <v>Zen McGrath</v>
      </c>
      <c r="AE3945" s="12"/>
    </row>
    <row r="3946" customHeight="1" spans="1:31">
      <c r="A3946" s="11" t="s">
        <v>30</v>
      </c>
      <c r="B3946" s="11" t="s">
        <v>15148</v>
      </c>
      <c r="C3946" s="11">
        <v>109</v>
      </c>
      <c r="D3946" s="11">
        <v>106</v>
      </c>
      <c r="E3946" s="11">
        <v>0</v>
      </c>
      <c r="F3946" s="11">
        <v>67</v>
      </c>
      <c r="G3946" s="11">
        <v>617</v>
      </c>
      <c r="H3946" s="11">
        <v>58214</v>
      </c>
      <c r="I3946" s="11" t="s">
        <v>2126</v>
      </c>
      <c r="J3946" s="11" t="s">
        <v>1469</v>
      </c>
      <c r="K3946" s="11" t="s">
        <v>18666</v>
      </c>
      <c r="L3946" s="11" t="s">
        <v>18667</v>
      </c>
      <c r="M3946" s="11" t="s">
        <v>18668</v>
      </c>
      <c r="N3946" s="11">
        <v>34224</v>
      </c>
      <c r="O3946" s="11">
        <v>916</v>
      </c>
      <c r="P3946" s="11">
        <v>0</v>
      </c>
      <c r="Q3946" s="11" t="s">
        <v>18669</v>
      </c>
      <c r="R3946" s="14" t="s">
        <v>18670</v>
      </c>
      <c r="S3946" s="11">
        <v>137</v>
      </c>
      <c r="T3946" s="11" t="s">
        <v>39</v>
      </c>
      <c r="U3946" s="11" t="s">
        <v>40</v>
      </c>
      <c r="V3946" s="11" t="s">
        <v>586</v>
      </c>
      <c r="W3946" s="11">
        <v>9500000</v>
      </c>
      <c r="X3946" s="11">
        <v>2010</v>
      </c>
      <c r="Y3946" s="11">
        <v>163</v>
      </c>
      <c r="Z3946" s="11">
        <v>7</v>
      </c>
      <c r="AA3946" s="11">
        <v>2.35</v>
      </c>
      <c r="AB3946" s="11">
        <v>10000</v>
      </c>
      <c r="AC3946" s="11"/>
      <c r="AD3946" s="11" t="str">
        <f>IFERROR(__xludf.DUMMYFUNCTION("""COMPUTED_VALUE"""),"William Shimell")</f>
        <v>William Shimell</v>
      </c>
      <c r="AE3946" s="11"/>
    </row>
    <row r="3947" customHeight="1" spans="1:31">
      <c r="A3947" s="12" t="s">
        <v>30</v>
      </c>
      <c r="B3947" s="12" t="s">
        <v>3123</v>
      </c>
      <c r="C3947" s="12">
        <v>34</v>
      </c>
      <c r="D3947" s="12">
        <v>103</v>
      </c>
      <c r="E3947" s="12">
        <v>272</v>
      </c>
      <c r="F3947" s="12">
        <v>70</v>
      </c>
      <c r="G3947" s="12">
        <v>736</v>
      </c>
      <c r="H3947" s="12">
        <v>75078</v>
      </c>
      <c r="I3947" s="12" t="s">
        <v>1672</v>
      </c>
      <c r="J3947" s="12" t="s">
        <v>1876</v>
      </c>
      <c r="K3947" s="12" t="s">
        <v>3125</v>
      </c>
      <c r="L3947" s="12" t="s">
        <v>9853</v>
      </c>
      <c r="M3947" s="12" t="s">
        <v>18671</v>
      </c>
      <c r="N3947" s="12">
        <v>1398</v>
      </c>
      <c r="O3947" s="12">
        <v>1403</v>
      </c>
      <c r="P3947" s="12">
        <v>4</v>
      </c>
      <c r="Q3947" s="12" t="s">
        <v>18672</v>
      </c>
      <c r="R3947" s="15" t="s">
        <v>18673</v>
      </c>
      <c r="S3947" s="12">
        <v>26</v>
      </c>
      <c r="T3947" s="12" t="s">
        <v>39</v>
      </c>
      <c r="U3947" s="12" t="s">
        <v>40</v>
      </c>
      <c r="V3947" s="12" t="s">
        <v>586</v>
      </c>
      <c r="W3947" s="12">
        <v>14000000</v>
      </c>
      <c r="X3947" s="12">
        <v>2000</v>
      </c>
      <c r="Y3947" s="12">
        <v>450</v>
      </c>
      <c r="Z3947" s="12">
        <v>6.3</v>
      </c>
      <c r="AA3947" s="12">
        <v>1.85</v>
      </c>
      <c r="AB3947" s="12">
        <v>132</v>
      </c>
      <c r="AC3947" s="12"/>
      <c r="AD3947" s="12" t="str">
        <f>IFERROR(__xludf.DUMMYFUNCTION("""COMPUTED_VALUE"""),"Mitsuo Iwata")</f>
        <v>Mitsuo Iwata</v>
      </c>
      <c r="AE3947" s="12"/>
    </row>
    <row r="3948" customHeight="1" spans="1:31">
      <c r="A3948" s="11" t="s">
        <v>30</v>
      </c>
      <c r="B3948" s="11" t="s">
        <v>13737</v>
      </c>
      <c r="C3948" s="11">
        <v>31</v>
      </c>
      <c r="D3948" s="11">
        <v>93</v>
      </c>
      <c r="E3948" s="11">
        <v>12</v>
      </c>
      <c r="F3948" s="11">
        <v>15</v>
      </c>
      <c r="G3948" s="11">
        <v>578</v>
      </c>
      <c r="H3948" s="11">
        <v>64359</v>
      </c>
      <c r="I3948" s="11" t="s">
        <v>1681</v>
      </c>
      <c r="J3948" s="11" t="s">
        <v>18674</v>
      </c>
      <c r="K3948" s="11" t="s">
        <v>18675</v>
      </c>
      <c r="L3948" s="11" t="s">
        <v>18676</v>
      </c>
      <c r="M3948" s="11" t="s">
        <v>18677</v>
      </c>
      <c r="N3948" s="11">
        <v>811</v>
      </c>
      <c r="O3948" s="11">
        <v>643</v>
      </c>
      <c r="P3948" s="11">
        <v>1</v>
      </c>
      <c r="Q3948" s="11" t="s">
        <v>18678</v>
      </c>
      <c r="R3948" s="14" t="s">
        <v>18679</v>
      </c>
      <c r="S3948" s="11">
        <v>26</v>
      </c>
      <c r="T3948" s="11" t="s">
        <v>39</v>
      </c>
      <c r="U3948" s="11" t="s">
        <v>58</v>
      </c>
      <c r="V3948" s="11" t="s">
        <v>586</v>
      </c>
      <c r="W3948" s="11">
        <v>2500000</v>
      </c>
      <c r="X3948" s="11">
        <v>1998</v>
      </c>
      <c r="Y3948" s="11">
        <v>29</v>
      </c>
      <c r="Z3948" s="11">
        <v>5.9</v>
      </c>
      <c r="AA3948" s="13"/>
      <c r="AB3948" s="11">
        <v>108</v>
      </c>
      <c r="AC3948" s="11"/>
      <c r="AD3948" s="11" t="str">
        <f>IFERROR(__xludf.DUMMYFUNCTION("""COMPUTED_VALUE"""),"Takeshi Kusao")</f>
        <v>Takeshi Kusao</v>
      </c>
      <c r="AE3948" s="11"/>
    </row>
    <row r="3949" customHeight="1" spans="1:31">
      <c r="A3949" s="12" t="s">
        <v>30</v>
      </c>
      <c r="B3949" s="12" t="s">
        <v>10288</v>
      </c>
      <c r="C3949" s="12">
        <v>141</v>
      </c>
      <c r="D3949" s="12">
        <v>112</v>
      </c>
      <c r="E3949" s="12">
        <v>105</v>
      </c>
      <c r="F3949" s="12">
        <v>748</v>
      </c>
      <c r="G3949" s="12">
        <v>18000</v>
      </c>
      <c r="H3949" s="12">
        <v>317125</v>
      </c>
      <c r="I3949" s="12" t="s">
        <v>214</v>
      </c>
      <c r="J3949" s="12" t="s">
        <v>438</v>
      </c>
      <c r="K3949" s="12" t="s">
        <v>208</v>
      </c>
      <c r="L3949" s="12" t="s">
        <v>1025</v>
      </c>
      <c r="M3949" s="12" t="s">
        <v>18680</v>
      </c>
      <c r="N3949" s="12">
        <v>23334</v>
      </c>
      <c r="O3949" s="12">
        <v>25269</v>
      </c>
      <c r="P3949" s="12">
        <v>0</v>
      </c>
      <c r="Q3949" s="12" t="s">
        <v>18681</v>
      </c>
      <c r="R3949" s="15" t="s">
        <v>18682</v>
      </c>
      <c r="S3949" s="12">
        <v>87</v>
      </c>
      <c r="T3949" s="12" t="s">
        <v>39</v>
      </c>
      <c r="U3949" s="12" t="s">
        <v>371</v>
      </c>
      <c r="V3949" s="12" t="s">
        <v>586</v>
      </c>
      <c r="W3949" s="12">
        <v>16000000</v>
      </c>
      <c r="X3949" s="12">
        <v>2013</v>
      </c>
      <c r="Y3949" s="12">
        <v>6000</v>
      </c>
      <c r="Z3949" s="12">
        <v>6.2</v>
      </c>
      <c r="AA3949" s="12">
        <v>2.35</v>
      </c>
      <c r="AB3949" s="12">
        <v>0</v>
      </c>
      <c r="AC3949" s="12"/>
      <c r="AD3949" s="12" t="str">
        <f>IFERROR(__xludf.DUMMYFUNCTION("""COMPUTED_VALUE"""),"Tesshô Genda")</f>
        <v>Tesshô Genda</v>
      </c>
      <c r="AE3949" s="12"/>
    </row>
    <row r="3950" customHeight="1" spans="1:31">
      <c r="A3950" s="11" t="s">
        <v>30</v>
      </c>
      <c r="B3950" s="11" t="s">
        <v>18683</v>
      </c>
      <c r="C3950" s="11">
        <v>19</v>
      </c>
      <c r="D3950" s="11">
        <v>100</v>
      </c>
      <c r="E3950" s="11">
        <v>137</v>
      </c>
      <c r="F3950" s="11">
        <v>476</v>
      </c>
      <c r="G3950" s="11">
        <v>4000</v>
      </c>
      <c r="H3950" s="13"/>
      <c r="I3950" s="11" t="s">
        <v>1415</v>
      </c>
      <c r="J3950" s="11" t="s">
        <v>495</v>
      </c>
      <c r="K3950" s="11" t="s">
        <v>18684</v>
      </c>
      <c r="L3950" s="11" t="s">
        <v>11852</v>
      </c>
      <c r="M3950" s="11" t="s">
        <v>18685</v>
      </c>
      <c r="N3950" s="11">
        <v>1555</v>
      </c>
      <c r="O3950" s="11">
        <v>5796</v>
      </c>
      <c r="P3950" s="11">
        <v>0</v>
      </c>
      <c r="Q3950" s="11" t="s">
        <v>18686</v>
      </c>
      <c r="R3950" s="14" t="s">
        <v>18687</v>
      </c>
      <c r="S3950" s="11">
        <v>40</v>
      </c>
      <c r="T3950" s="11" t="s">
        <v>39</v>
      </c>
      <c r="U3950" s="11" t="s">
        <v>40</v>
      </c>
      <c r="V3950" s="11" t="s">
        <v>586</v>
      </c>
      <c r="W3950" s="11">
        <v>4000000</v>
      </c>
      <c r="X3950" s="11">
        <v>1998</v>
      </c>
      <c r="Y3950" s="11">
        <v>575</v>
      </c>
      <c r="Z3950" s="11">
        <v>5</v>
      </c>
      <c r="AA3950" s="11">
        <v>2.35</v>
      </c>
      <c r="AB3950" s="11">
        <v>98</v>
      </c>
      <c r="AC3950" s="11"/>
      <c r="AD3950" s="11" t="str">
        <f>IFERROR(__xludf.DUMMYFUNCTION("""COMPUTED_VALUE"""),"Roy Dupuis")</f>
        <v>Roy Dupuis</v>
      </c>
      <c r="AE3950" s="11"/>
    </row>
    <row r="3951" customHeight="1" spans="1:31">
      <c r="A3951" s="12" t="s">
        <v>30</v>
      </c>
      <c r="B3951" s="12" t="s">
        <v>18688</v>
      </c>
      <c r="C3951" s="12">
        <v>64</v>
      </c>
      <c r="D3951" s="12">
        <v>113</v>
      </c>
      <c r="E3951" s="12">
        <v>58</v>
      </c>
      <c r="F3951" s="12">
        <v>9</v>
      </c>
      <c r="G3951" s="12">
        <v>331</v>
      </c>
      <c r="H3951" s="12">
        <v>146402</v>
      </c>
      <c r="I3951" s="12" t="s">
        <v>2528</v>
      </c>
      <c r="J3951" s="12" t="s">
        <v>18024</v>
      </c>
      <c r="K3951" s="12" t="s">
        <v>18689</v>
      </c>
      <c r="L3951" s="12" t="s">
        <v>18690</v>
      </c>
      <c r="M3951" s="12" t="s">
        <v>18691</v>
      </c>
      <c r="N3951" s="12">
        <v>9913</v>
      </c>
      <c r="O3951" s="12">
        <v>387</v>
      </c>
      <c r="P3951" s="12">
        <v>1</v>
      </c>
      <c r="Q3951" s="12" t="s">
        <v>18692</v>
      </c>
      <c r="R3951" s="15" t="s">
        <v>18693</v>
      </c>
      <c r="S3951" s="12">
        <v>38</v>
      </c>
      <c r="T3951" s="12" t="s">
        <v>2779</v>
      </c>
      <c r="U3951" s="12" t="s">
        <v>3572</v>
      </c>
      <c r="V3951" s="12" t="s">
        <v>586</v>
      </c>
      <c r="W3951" s="12">
        <v>4000000</v>
      </c>
      <c r="X3951" s="12">
        <v>2002</v>
      </c>
      <c r="Y3951" s="12">
        <v>27</v>
      </c>
      <c r="Z3951" s="12">
        <v>7.7</v>
      </c>
      <c r="AA3951" s="12">
        <v>1.85</v>
      </c>
      <c r="AB3951" s="12">
        <v>0</v>
      </c>
      <c r="AC3951" s="12"/>
      <c r="AD3951" s="12" t="str">
        <f>IFERROR(__xludf.DUMMYFUNCTION("""COMPUTED_VALUE"""),"Julie LeBreton")</f>
        <v>Julie LeBreton</v>
      </c>
      <c r="AE3951" s="12"/>
    </row>
    <row r="3952" customHeight="1" spans="1:31">
      <c r="A3952" s="11" t="s">
        <v>30</v>
      </c>
      <c r="B3952" s="11" t="s">
        <v>18694</v>
      </c>
      <c r="C3952" s="11">
        <v>215</v>
      </c>
      <c r="D3952" s="11">
        <v>98</v>
      </c>
      <c r="E3952" s="11">
        <v>53</v>
      </c>
      <c r="F3952" s="11">
        <v>65</v>
      </c>
      <c r="G3952" s="11">
        <v>530</v>
      </c>
      <c r="H3952" s="11">
        <v>18469</v>
      </c>
      <c r="I3952" s="11" t="s">
        <v>782</v>
      </c>
      <c r="J3952" s="11" t="s">
        <v>18695</v>
      </c>
      <c r="K3952" s="11" t="s">
        <v>18696</v>
      </c>
      <c r="L3952" s="11" t="s">
        <v>14297</v>
      </c>
      <c r="M3952" s="11" t="s">
        <v>18697</v>
      </c>
      <c r="N3952" s="11">
        <v>34263</v>
      </c>
      <c r="O3952" s="11">
        <v>1038</v>
      </c>
      <c r="P3952" s="11">
        <v>1</v>
      </c>
      <c r="Q3952" s="11" t="s">
        <v>18698</v>
      </c>
      <c r="R3952" s="14" t="s">
        <v>18699</v>
      </c>
      <c r="S3952" s="11">
        <v>141</v>
      </c>
      <c r="T3952" s="11" t="s">
        <v>39</v>
      </c>
      <c r="U3952" s="11" t="s">
        <v>40</v>
      </c>
      <c r="V3952" s="11" t="s">
        <v>586</v>
      </c>
      <c r="W3952" s="11">
        <v>650000</v>
      </c>
      <c r="X3952" s="11">
        <v>2010</v>
      </c>
      <c r="Y3952" s="11">
        <v>238</v>
      </c>
      <c r="Z3952" s="11">
        <v>6.5</v>
      </c>
      <c r="AA3952" s="11">
        <v>2.35</v>
      </c>
      <c r="AB3952" s="11">
        <v>0</v>
      </c>
      <c r="AC3952" s="11"/>
      <c r="AD3952" s="11" t="str">
        <f>IFERROR(__xludf.DUMMYFUNCTION("""COMPUTED_VALUE"""),"Rachel Ann Mullins")</f>
        <v>Rachel Ann Mullins</v>
      </c>
      <c r="AE3952" s="11"/>
    </row>
    <row r="3953" customHeight="1" spans="1:31">
      <c r="A3953" s="12" t="s">
        <v>30</v>
      </c>
      <c r="B3953" s="16"/>
      <c r="C3953" s="12">
        <v>5</v>
      </c>
      <c r="D3953" s="12">
        <v>23</v>
      </c>
      <c r="E3953" s="16"/>
      <c r="F3953" s="12">
        <v>218</v>
      </c>
      <c r="G3953" s="12">
        <v>254</v>
      </c>
      <c r="H3953" s="16"/>
      <c r="I3953" s="12" t="s">
        <v>2717</v>
      </c>
      <c r="J3953" s="12" t="s">
        <v>18700</v>
      </c>
      <c r="K3953" s="12" t="s">
        <v>18701</v>
      </c>
      <c r="L3953" s="12" t="s">
        <v>18702</v>
      </c>
      <c r="M3953" s="12" t="s">
        <v>18703</v>
      </c>
      <c r="N3953" s="12">
        <v>7673</v>
      </c>
      <c r="O3953" s="12">
        <v>915</v>
      </c>
      <c r="P3953" s="12">
        <v>1</v>
      </c>
      <c r="Q3953" s="12" t="s">
        <v>18704</v>
      </c>
      <c r="R3953" s="15" t="s">
        <v>18705</v>
      </c>
      <c r="S3953" s="12">
        <v>47</v>
      </c>
      <c r="T3953" s="12" t="s">
        <v>39</v>
      </c>
      <c r="U3953" s="12" t="s">
        <v>40</v>
      </c>
      <c r="V3953" s="12" t="s">
        <v>2750</v>
      </c>
      <c r="W3953" s="16"/>
      <c r="X3953" s="16"/>
      <c r="Y3953" s="12">
        <v>248</v>
      </c>
      <c r="Z3953" s="12">
        <v>6.1</v>
      </c>
      <c r="AA3953" s="12">
        <v>1.33</v>
      </c>
      <c r="AB3953" s="12">
        <v>325</v>
      </c>
      <c r="AC3953" s="12"/>
      <c r="AD3953" s="12" t="str">
        <f>IFERROR(__xludf.DUMMYFUNCTION("""COMPUTED_VALUE"""),"Leehom Wang")</f>
        <v>Leehom Wang</v>
      </c>
      <c r="AE3953" s="12"/>
    </row>
    <row r="3954" customHeight="1" spans="1:31">
      <c r="A3954" s="11" t="s">
        <v>30</v>
      </c>
      <c r="B3954" s="11" t="s">
        <v>6732</v>
      </c>
      <c r="C3954" s="11">
        <v>12</v>
      </c>
      <c r="D3954" s="11">
        <v>92</v>
      </c>
      <c r="E3954" s="11">
        <v>19</v>
      </c>
      <c r="F3954" s="11">
        <v>599</v>
      </c>
      <c r="G3954" s="11">
        <v>18000</v>
      </c>
      <c r="H3954" s="11">
        <v>12836</v>
      </c>
      <c r="I3954" s="11" t="s">
        <v>1544</v>
      </c>
      <c r="J3954" s="11" t="s">
        <v>588</v>
      </c>
      <c r="K3954" s="11" t="s">
        <v>7325</v>
      </c>
      <c r="L3954" s="11" t="s">
        <v>5586</v>
      </c>
      <c r="M3954" s="11" t="s">
        <v>18706</v>
      </c>
      <c r="N3954" s="11">
        <v>1686</v>
      </c>
      <c r="O3954" s="11">
        <v>20135</v>
      </c>
      <c r="P3954" s="11">
        <v>1</v>
      </c>
      <c r="Q3954" s="11" t="s">
        <v>18707</v>
      </c>
      <c r="R3954" s="14" t="s">
        <v>18708</v>
      </c>
      <c r="S3954" s="11">
        <v>28</v>
      </c>
      <c r="T3954" s="11" t="s">
        <v>39</v>
      </c>
      <c r="U3954" s="11" t="s">
        <v>40</v>
      </c>
      <c r="V3954" s="11" t="s">
        <v>586</v>
      </c>
      <c r="W3954" s="11">
        <v>4000000</v>
      </c>
      <c r="X3954" s="11">
        <v>1997</v>
      </c>
      <c r="Y3954" s="11">
        <v>759</v>
      </c>
      <c r="Z3954" s="11">
        <v>5.8</v>
      </c>
      <c r="AA3954" s="11">
        <v>1.85</v>
      </c>
      <c r="AB3954" s="11">
        <v>161</v>
      </c>
      <c r="AC3954" s="11"/>
      <c r="AD3954" s="11" t="str">
        <f>IFERROR(__xludf.DUMMYFUNCTION("""COMPUTED_VALUE"""),"Ruby Lin")</f>
        <v>Ruby Lin</v>
      </c>
      <c r="AE3954" s="11"/>
    </row>
    <row r="3955" customHeight="1" spans="1:31">
      <c r="A3955" s="12" t="s">
        <v>30</v>
      </c>
      <c r="B3955" s="12" t="s">
        <v>18709</v>
      </c>
      <c r="C3955" s="12">
        <v>70</v>
      </c>
      <c r="D3955" s="12">
        <v>106</v>
      </c>
      <c r="E3955" s="12">
        <v>19</v>
      </c>
      <c r="F3955" s="12">
        <v>9</v>
      </c>
      <c r="G3955" s="12">
        <v>585</v>
      </c>
      <c r="H3955" s="12">
        <v>20262</v>
      </c>
      <c r="I3955" s="12" t="s">
        <v>3410</v>
      </c>
      <c r="J3955" s="12" t="s">
        <v>14498</v>
      </c>
      <c r="K3955" s="12" t="s">
        <v>2400</v>
      </c>
      <c r="L3955" s="12" t="s">
        <v>18710</v>
      </c>
      <c r="M3955" s="12" t="s">
        <v>18711</v>
      </c>
      <c r="N3955" s="12">
        <v>1738</v>
      </c>
      <c r="O3955" s="12">
        <v>629</v>
      </c>
      <c r="P3955" s="12">
        <v>2</v>
      </c>
      <c r="Q3955" s="12" t="s">
        <v>18712</v>
      </c>
      <c r="R3955" s="15" t="s">
        <v>18713</v>
      </c>
      <c r="S3955" s="12">
        <v>10</v>
      </c>
      <c r="T3955" s="12" t="s">
        <v>14504</v>
      </c>
      <c r="U3955" s="12" t="s">
        <v>16841</v>
      </c>
      <c r="V3955" s="12" t="s">
        <v>5614</v>
      </c>
      <c r="W3955" s="12">
        <v>4000000</v>
      </c>
      <c r="X3955" s="12">
        <v>2014</v>
      </c>
      <c r="Y3955" s="12">
        <v>29</v>
      </c>
      <c r="Z3955" s="12">
        <v>6.1</v>
      </c>
      <c r="AA3955" s="12">
        <v>2.35</v>
      </c>
      <c r="AB3955" s="12">
        <v>278</v>
      </c>
      <c r="AC3955" s="12"/>
      <c r="AD3955" s="12" t="str">
        <f>IFERROR(__xludf.DUMMYFUNCTION("""COMPUTED_VALUE"""),"Jack Kao")</f>
        <v>Jack Kao</v>
      </c>
      <c r="AE3955" s="12"/>
    </row>
    <row r="3956" customHeight="1" spans="1:31">
      <c r="A3956" s="11" t="s">
        <v>30</v>
      </c>
      <c r="B3956" s="11" t="s">
        <v>18714</v>
      </c>
      <c r="C3956" s="11">
        <v>46</v>
      </c>
      <c r="D3956" s="11">
        <v>119</v>
      </c>
      <c r="E3956" s="11">
        <v>8</v>
      </c>
      <c r="F3956" s="11">
        <v>2000</v>
      </c>
      <c r="G3956" s="11">
        <v>3000</v>
      </c>
      <c r="H3956" s="13"/>
      <c r="I3956" s="11" t="s">
        <v>2528</v>
      </c>
      <c r="J3956" s="11" t="s">
        <v>8012</v>
      </c>
      <c r="K3956" s="11" t="s">
        <v>13859</v>
      </c>
      <c r="L3956" s="11" t="s">
        <v>1376</v>
      </c>
      <c r="M3956" s="11" t="s">
        <v>18715</v>
      </c>
      <c r="N3956" s="11">
        <v>3297</v>
      </c>
      <c r="O3956" s="11">
        <v>10984</v>
      </c>
      <c r="P3956" s="11">
        <v>4</v>
      </c>
      <c r="Q3956" s="11" t="s">
        <v>18716</v>
      </c>
      <c r="R3956" s="14" t="s">
        <v>18717</v>
      </c>
      <c r="S3956" s="11">
        <v>42</v>
      </c>
      <c r="T3956" s="11" t="s">
        <v>39</v>
      </c>
      <c r="U3956" s="11" t="s">
        <v>40</v>
      </c>
      <c r="V3956" s="11" t="s">
        <v>586</v>
      </c>
      <c r="W3956" s="11">
        <v>4000000</v>
      </c>
      <c r="X3956" s="11">
        <v>2011</v>
      </c>
      <c r="Y3956" s="11">
        <v>3000</v>
      </c>
      <c r="Z3956" s="11">
        <v>6</v>
      </c>
      <c r="AA3956" s="11">
        <v>2.35</v>
      </c>
      <c r="AB3956" s="11">
        <v>798</v>
      </c>
      <c r="AC3956" s="11"/>
      <c r="AD3956" s="11" t="str">
        <f>IFERROR(__xludf.DUMMYFUNCTION("""COMPUTED_VALUE"""),"Darren Boyd")</f>
        <v>Darren Boyd</v>
      </c>
      <c r="AE3956" s="11"/>
    </row>
    <row r="3957" customHeight="1" spans="1:31">
      <c r="A3957" s="12" t="s">
        <v>30</v>
      </c>
      <c r="B3957" s="12" t="s">
        <v>15520</v>
      </c>
      <c r="C3957" s="12">
        <v>135</v>
      </c>
      <c r="D3957" s="12">
        <v>99</v>
      </c>
      <c r="E3957" s="12">
        <v>7</v>
      </c>
      <c r="F3957" s="12">
        <v>641</v>
      </c>
      <c r="G3957" s="12">
        <v>762</v>
      </c>
      <c r="H3957" s="16"/>
      <c r="I3957" s="12" t="s">
        <v>3336</v>
      </c>
      <c r="J3957" s="12" t="s">
        <v>1796</v>
      </c>
      <c r="K3957" s="12" t="s">
        <v>14358</v>
      </c>
      <c r="L3957" s="12" t="s">
        <v>889</v>
      </c>
      <c r="M3957" s="12" t="s">
        <v>18718</v>
      </c>
      <c r="N3957" s="12">
        <v>22220</v>
      </c>
      <c r="O3957" s="12">
        <v>2631</v>
      </c>
      <c r="P3957" s="12">
        <v>1</v>
      </c>
      <c r="Q3957" s="12" t="s">
        <v>18719</v>
      </c>
      <c r="R3957" s="15" t="s">
        <v>18720</v>
      </c>
      <c r="S3957" s="12">
        <v>97</v>
      </c>
      <c r="T3957" s="12" t="s">
        <v>39</v>
      </c>
      <c r="U3957" s="12" t="s">
        <v>58</v>
      </c>
      <c r="V3957" s="12" t="s">
        <v>586</v>
      </c>
      <c r="W3957" s="12">
        <v>4000000</v>
      </c>
      <c r="X3957" s="12">
        <v>2011</v>
      </c>
      <c r="Y3957" s="12">
        <v>706</v>
      </c>
      <c r="Z3957" s="12">
        <v>6.3</v>
      </c>
      <c r="AA3957" s="12">
        <v>2.35</v>
      </c>
      <c r="AB3957" s="12">
        <v>0</v>
      </c>
      <c r="AC3957" s="12"/>
      <c r="AD3957" s="12" t="str">
        <f>IFERROR(__xludf.DUMMYFUNCTION("""COMPUTED_VALUE"""),"Mckenna Grace")</f>
        <v>Mckenna Grace</v>
      </c>
      <c r="AE3957" s="12"/>
    </row>
    <row r="3958" customHeight="1" spans="1:31">
      <c r="A3958" s="11" t="s">
        <v>30</v>
      </c>
      <c r="B3958" s="11" t="s">
        <v>8554</v>
      </c>
      <c r="C3958" s="11">
        <v>38</v>
      </c>
      <c r="D3958" s="11">
        <v>90</v>
      </c>
      <c r="E3958" s="11">
        <v>165</v>
      </c>
      <c r="F3958" s="11">
        <v>150</v>
      </c>
      <c r="G3958" s="11">
        <v>686</v>
      </c>
      <c r="H3958" s="13"/>
      <c r="I3958" s="11" t="s">
        <v>2787</v>
      </c>
      <c r="J3958" s="11" t="s">
        <v>8556</v>
      </c>
      <c r="K3958" s="11" t="s">
        <v>18721</v>
      </c>
      <c r="L3958" s="11" t="s">
        <v>12619</v>
      </c>
      <c r="M3958" s="11" t="s">
        <v>18722</v>
      </c>
      <c r="N3958" s="11">
        <v>5137</v>
      </c>
      <c r="O3958" s="11">
        <v>1298</v>
      </c>
      <c r="P3958" s="11">
        <v>0</v>
      </c>
      <c r="Q3958" s="11" t="s">
        <v>18723</v>
      </c>
      <c r="R3958" s="14" t="s">
        <v>18724</v>
      </c>
      <c r="S3958" s="11">
        <v>50</v>
      </c>
      <c r="T3958" s="11" t="s">
        <v>39</v>
      </c>
      <c r="U3958" s="11" t="s">
        <v>269</v>
      </c>
      <c r="V3958" s="11" t="s">
        <v>586</v>
      </c>
      <c r="W3958" s="13"/>
      <c r="X3958" s="11">
        <v>2003</v>
      </c>
      <c r="Y3958" s="11">
        <v>246</v>
      </c>
      <c r="Z3958" s="11">
        <v>6.3</v>
      </c>
      <c r="AA3958" s="11">
        <v>2.35</v>
      </c>
      <c r="AB3958" s="11">
        <v>688</v>
      </c>
      <c r="AC3958" s="11"/>
      <c r="AD3958" s="11" t="str">
        <f>IFERROR(__xludf.DUMMYFUNCTION("""COMPUTED_VALUE"""),"Lucy Fry")</f>
        <v>Lucy Fry</v>
      </c>
      <c r="AE3958" s="11"/>
    </row>
    <row r="3959" customHeight="1" spans="1:31">
      <c r="A3959" s="12" t="s">
        <v>30</v>
      </c>
      <c r="B3959" s="12" t="s">
        <v>18725</v>
      </c>
      <c r="C3959" s="12">
        <v>8</v>
      </c>
      <c r="D3959" s="12">
        <v>120</v>
      </c>
      <c r="E3959" s="12">
        <v>0</v>
      </c>
      <c r="F3959" s="12">
        <v>22</v>
      </c>
      <c r="G3959" s="12">
        <v>114</v>
      </c>
      <c r="H3959" s="16"/>
      <c r="I3959" s="12" t="s">
        <v>7043</v>
      </c>
      <c r="J3959" s="12" t="s">
        <v>8750</v>
      </c>
      <c r="K3959" s="12" t="s">
        <v>18726</v>
      </c>
      <c r="L3959" s="12" t="s">
        <v>18727</v>
      </c>
      <c r="M3959" s="12" t="s">
        <v>18728</v>
      </c>
      <c r="N3959" s="12">
        <v>2488</v>
      </c>
      <c r="O3959" s="12">
        <v>183</v>
      </c>
      <c r="P3959" s="12">
        <v>0</v>
      </c>
      <c r="Q3959" s="12" t="s">
        <v>18729</v>
      </c>
      <c r="R3959" s="15" t="s">
        <v>18730</v>
      </c>
      <c r="S3959" s="12">
        <v>3</v>
      </c>
      <c r="T3959" s="12" t="s">
        <v>5642</v>
      </c>
      <c r="U3959" s="12" t="s">
        <v>7171</v>
      </c>
      <c r="V3959" s="16"/>
      <c r="W3959" s="12">
        <v>4000000</v>
      </c>
      <c r="X3959" s="12">
        <v>2013</v>
      </c>
      <c r="Y3959" s="12">
        <v>45</v>
      </c>
      <c r="Z3959" s="12">
        <v>7.5</v>
      </c>
      <c r="AA3959" s="16"/>
      <c r="AB3959" s="12">
        <v>282</v>
      </c>
      <c r="AC3959" s="12"/>
      <c r="AD3959" s="12" t="str">
        <f>IFERROR(__xludf.DUMMYFUNCTION("""COMPUTED_VALUE"""),"Natalie Coughlin")</f>
        <v>Natalie Coughlin</v>
      </c>
      <c r="AE3959" s="12"/>
    </row>
    <row r="3960" customHeight="1" spans="1:31">
      <c r="A3960" s="11" t="s">
        <v>30</v>
      </c>
      <c r="B3960" s="11" t="s">
        <v>18731</v>
      </c>
      <c r="C3960" s="11">
        <v>34</v>
      </c>
      <c r="D3960" s="11">
        <v>168</v>
      </c>
      <c r="E3960" s="11">
        <v>0</v>
      </c>
      <c r="F3960" s="11">
        <v>69</v>
      </c>
      <c r="G3960" s="11">
        <v>713</v>
      </c>
      <c r="H3960" s="13"/>
      <c r="I3960" s="11" t="s">
        <v>18732</v>
      </c>
      <c r="J3960" s="11" t="s">
        <v>1747</v>
      </c>
      <c r="K3960" s="11" t="s">
        <v>7965</v>
      </c>
      <c r="L3960" s="11" t="s">
        <v>18733</v>
      </c>
      <c r="M3960" s="11" t="s">
        <v>18734</v>
      </c>
      <c r="N3960" s="11">
        <v>6303</v>
      </c>
      <c r="O3960" s="11">
        <v>1541</v>
      </c>
      <c r="P3960" s="11">
        <v>0</v>
      </c>
      <c r="Q3960" s="11" t="s">
        <v>18735</v>
      </c>
      <c r="R3960" s="14" t="s">
        <v>18736</v>
      </c>
      <c r="S3960" s="11">
        <v>129</v>
      </c>
      <c r="T3960" s="11" t="s">
        <v>39</v>
      </c>
      <c r="U3960" s="11" t="s">
        <v>40</v>
      </c>
      <c r="V3960" s="11" t="s">
        <v>96</v>
      </c>
      <c r="W3960" s="11">
        <v>4000000</v>
      </c>
      <c r="X3960" s="11">
        <v>1972</v>
      </c>
      <c r="Y3960" s="11">
        <v>649</v>
      </c>
      <c r="Z3960" s="11">
        <v>7.6</v>
      </c>
      <c r="AA3960" s="11">
        <v>2.35</v>
      </c>
      <c r="AB3960" s="11">
        <v>0</v>
      </c>
      <c r="AC3960" s="11"/>
      <c r="AD3960" s="11" t="str">
        <f>IFERROR(__xludf.DUMMYFUNCTION("""COMPUTED_VALUE"""),"Jean-Claude Lecas")</f>
        <v>Jean-Claude Lecas</v>
      </c>
      <c r="AE3960" s="11"/>
    </row>
    <row r="3961" customHeight="1" spans="1:31">
      <c r="A3961" s="12" t="s">
        <v>30</v>
      </c>
      <c r="B3961" s="12" t="s">
        <v>18737</v>
      </c>
      <c r="C3961" s="12">
        <v>36</v>
      </c>
      <c r="D3961" s="12">
        <v>93</v>
      </c>
      <c r="E3961" s="12">
        <v>55</v>
      </c>
      <c r="F3961" s="12">
        <v>5</v>
      </c>
      <c r="G3961" s="12">
        <v>223</v>
      </c>
      <c r="H3961" s="12">
        <v>4063</v>
      </c>
      <c r="I3961" s="12" t="s">
        <v>3278</v>
      </c>
      <c r="J3961" s="12" t="s">
        <v>18738</v>
      </c>
      <c r="K3961" s="12" t="s">
        <v>18739</v>
      </c>
      <c r="L3961" s="12" t="s">
        <v>18740</v>
      </c>
      <c r="M3961" s="12" t="s">
        <v>18741</v>
      </c>
      <c r="N3961" s="12">
        <v>2086</v>
      </c>
      <c r="O3961" s="12">
        <v>242</v>
      </c>
      <c r="P3961" s="12">
        <v>3</v>
      </c>
      <c r="Q3961" s="16"/>
      <c r="R3961" s="15" t="s">
        <v>18742</v>
      </c>
      <c r="S3961" s="12">
        <v>20</v>
      </c>
      <c r="T3961" s="12" t="s">
        <v>39</v>
      </c>
      <c r="U3961" s="12" t="s">
        <v>269</v>
      </c>
      <c r="V3961" s="12" t="s">
        <v>586</v>
      </c>
      <c r="W3961" s="12">
        <v>4000000</v>
      </c>
      <c r="X3961" s="12">
        <v>2012</v>
      </c>
      <c r="Y3961" s="12">
        <v>11</v>
      </c>
      <c r="Z3961" s="12">
        <v>5.2</v>
      </c>
      <c r="AA3961" s="12">
        <v>2.35</v>
      </c>
      <c r="AB3961" s="12">
        <v>657</v>
      </c>
      <c r="AC3961" s="12"/>
      <c r="AD3961" s="12" t="str">
        <f>IFERROR(__xludf.DUMMYFUNCTION("""COMPUTED_VALUE"""),"Mark Wingett")</f>
        <v>Mark Wingett</v>
      </c>
      <c r="AE3961" s="12"/>
    </row>
    <row r="3962" customHeight="1" spans="1:31">
      <c r="A3962" s="11" t="s">
        <v>748</v>
      </c>
      <c r="B3962" s="11" t="s">
        <v>18743</v>
      </c>
      <c r="C3962" s="11">
        <v>35</v>
      </c>
      <c r="D3962" s="11">
        <v>96</v>
      </c>
      <c r="E3962" s="11">
        <v>177</v>
      </c>
      <c r="F3962" s="11">
        <v>4</v>
      </c>
      <c r="G3962" s="11">
        <v>431</v>
      </c>
      <c r="H3962" s="13"/>
      <c r="I3962" s="11" t="s">
        <v>3397</v>
      </c>
      <c r="J3962" s="11" t="s">
        <v>18744</v>
      </c>
      <c r="K3962" s="11" t="s">
        <v>18745</v>
      </c>
      <c r="L3962" s="11" t="s">
        <v>18746</v>
      </c>
      <c r="M3962" s="11" t="s">
        <v>18747</v>
      </c>
      <c r="N3962" s="11">
        <v>3753</v>
      </c>
      <c r="O3962" s="11">
        <v>457</v>
      </c>
      <c r="P3962" s="11">
        <v>1</v>
      </c>
      <c r="Q3962" s="11" t="s">
        <v>18748</v>
      </c>
      <c r="R3962" s="14" t="s">
        <v>18749</v>
      </c>
      <c r="S3962" s="11">
        <v>53</v>
      </c>
      <c r="T3962" s="11" t="s">
        <v>39</v>
      </c>
      <c r="U3962" s="11" t="s">
        <v>40</v>
      </c>
      <c r="V3962" s="11" t="s">
        <v>15938</v>
      </c>
      <c r="W3962" s="11">
        <v>3950000</v>
      </c>
      <c r="X3962" s="11">
        <v>1930</v>
      </c>
      <c r="Y3962" s="11">
        <v>12</v>
      </c>
      <c r="Z3962" s="11">
        <v>7.8</v>
      </c>
      <c r="AA3962" s="11">
        <v>1.2</v>
      </c>
      <c r="AB3962" s="11">
        <v>279</v>
      </c>
      <c r="AC3962" s="11"/>
      <c r="AD3962" s="11" t="str">
        <f>IFERROR(__xludf.DUMMYFUNCTION("""COMPUTED_VALUE"""),"Kacey Clarke")</f>
        <v>Kacey Clarke</v>
      </c>
      <c r="AE3962" s="11"/>
    </row>
    <row r="3963" customHeight="1" spans="1:31">
      <c r="A3963" s="12" t="s">
        <v>30</v>
      </c>
      <c r="B3963" s="12" t="s">
        <v>18750</v>
      </c>
      <c r="C3963" s="12">
        <v>6</v>
      </c>
      <c r="D3963" s="12">
        <v>103</v>
      </c>
      <c r="E3963" s="12">
        <v>0</v>
      </c>
      <c r="F3963" s="12">
        <v>183</v>
      </c>
      <c r="G3963" s="12">
        <v>650</v>
      </c>
      <c r="H3963" s="16"/>
      <c r="I3963" s="12" t="s">
        <v>1415</v>
      </c>
      <c r="J3963" s="12" t="s">
        <v>2388</v>
      </c>
      <c r="K3963" s="12" t="s">
        <v>2286</v>
      </c>
      <c r="L3963" s="12" t="s">
        <v>18751</v>
      </c>
      <c r="M3963" s="12" t="s">
        <v>18752</v>
      </c>
      <c r="N3963" s="12">
        <v>2727</v>
      </c>
      <c r="O3963" s="12">
        <v>1585</v>
      </c>
      <c r="P3963" s="12">
        <v>5</v>
      </c>
      <c r="Q3963" s="12" t="s">
        <v>18753</v>
      </c>
      <c r="R3963" s="15" t="s">
        <v>18754</v>
      </c>
      <c r="S3963" s="12">
        <v>19</v>
      </c>
      <c r="T3963" s="12" t="s">
        <v>39</v>
      </c>
      <c r="U3963" s="12" t="s">
        <v>40</v>
      </c>
      <c r="V3963" s="16"/>
      <c r="W3963" s="12">
        <v>4000000</v>
      </c>
      <c r="X3963" s="12">
        <v>2007</v>
      </c>
      <c r="Y3963" s="12">
        <v>536</v>
      </c>
      <c r="Z3963" s="12">
        <v>6.6</v>
      </c>
      <c r="AA3963" s="12">
        <v>1.85</v>
      </c>
      <c r="AB3963" s="12">
        <v>296</v>
      </c>
      <c r="AC3963" s="12"/>
      <c r="AD3963" s="12" t="str">
        <f>IFERROR(__xludf.DUMMYFUNCTION("""COMPUTED_VALUE"""),"Anna Katarina")</f>
        <v>Anna Katarina</v>
      </c>
      <c r="AE3963" s="12"/>
    </row>
    <row r="3964" customHeight="1" spans="1:31">
      <c r="A3964" s="11" t="s">
        <v>30</v>
      </c>
      <c r="B3964" s="11" t="s">
        <v>8431</v>
      </c>
      <c r="C3964" s="11">
        <v>39</v>
      </c>
      <c r="D3964" s="11">
        <v>93</v>
      </c>
      <c r="E3964" s="11">
        <v>21</v>
      </c>
      <c r="F3964" s="11">
        <v>359</v>
      </c>
      <c r="G3964" s="11">
        <v>763</v>
      </c>
      <c r="H3964" s="13"/>
      <c r="I3964" s="11" t="s">
        <v>6403</v>
      </c>
      <c r="J3964" s="11" t="s">
        <v>8933</v>
      </c>
      <c r="K3964" s="11" t="s">
        <v>18755</v>
      </c>
      <c r="L3964" s="11" t="s">
        <v>18756</v>
      </c>
      <c r="M3964" s="11" t="s">
        <v>18757</v>
      </c>
      <c r="N3964" s="11">
        <v>4146</v>
      </c>
      <c r="O3964" s="11">
        <v>2651</v>
      </c>
      <c r="P3964" s="11">
        <v>2</v>
      </c>
      <c r="Q3964" s="11" t="s">
        <v>18758</v>
      </c>
      <c r="R3964" s="14" t="s">
        <v>18759</v>
      </c>
      <c r="S3964" s="11">
        <v>29</v>
      </c>
      <c r="T3964" s="11" t="s">
        <v>39</v>
      </c>
      <c r="U3964" s="11" t="s">
        <v>40</v>
      </c>
      <c r="V3964" s="11" t="s">
        <v>586</v>
      </c>
      <c r="W3964" s="11">
        <v>4000000</v>
      </c>
      <c r="X3964" s="11">
        <v>2016</v>
      </c>
      <c r="Y3964" s="11">
        <v>637</v>
      </c>
      <c r="Z3964" s="11">
        <v>4.7</v>
      </c>
      <c r="AA3964" s="11">
        <v>2.35</v>
      </c>
      <c r="AB3964" s="11">
        <v>0</v>
      </c>
      <c r="AC3964" s="11"/>
      <c r="AD3964" s="11" t="str">
        <f>IFERROR(__xludf.DUMMYFUNCTION("""COMPUTED_VALUE"""),"Scott Takeda")</f>
        <v>Scott Takeda</v>
      </c>
      <c r="AE3964" s="11"/>
    </row>
    <row r="3965" customHeight="1" spans="1:31">
      <c r="A3965" s="12" t="s">
        <v>30</v>
      </c>
      <c r="B3965" s="12" t="s">
        <v>18760</v>
      </c>
      <c r="C3965" s="12">
        <v>182</v>
      </c>
      <c r="D3965" s="12">
        <v>84</v>
      </c>
      <c r="E3965" s="12">
        <v>18</v>
      </c>
      <c r="F3965" s="12">
        <v>35</v>
      </c>
      <c r="G3965" s="12">
        <v>399</v>
      </c>
      <c r="H3965" s="16"/>
      <c r="I3965" s="12" t="s">
        <v>5544</v>
      </c>
      <c r="J3965" s="12" t="s">
        <v>18761</v>
      </c>
      <c r="K3965" s="12" t="s">
        <v>18762</v>
      </c>
      <c r="L3965" s="12" t="s">
        <v>18763</v>
      </c>
      <c r="M3965" s="12" t="s">
        <v>18764</v>
      </c>
      <c r="N3965" s="12">
        <v>27781</v>
      </c>
      <c r="O3965" s="12">
        <v>644</v>
      </c>
      <c r="P3965" s="12">
        <v>1</v>
      </c>
      <c r="Q3965" s="12" t="s">
        <v>18765</v>
      </c>
      <c r="R3965" s="15" t="s">
        <v>18766</v>
      </c>
      <c r="S3965" s="12">
        <v>104</v>
      </c>
      <c r="T3965" s="12" t="s">
        <v>39</v>
      </c>
      <c r="U3965" s="12" t="s">
        <v>371</v>
      </c>
      <c r="V3965" s="12" t="s">
        <v>586</v>
      </c>
      <c r="W3965" s="16"/>
      <c r="X3965" s="12">
        <v>2009</v>
      </c>
      <c r="Y3965" s="12">
        <v>129</v>
      </c>
      <c r="Z3965" s="12">
        <v>6.7</v>
      </c>
      <c r="AA3965" s="12">
        <v>2.35</v>
      </c>
      <c r="AB3965" s="12">
        <v>0</v>
      </c>
      <c r="AC3965" s="12"/>
      <c r="AD3965" s="12" t="str">
        <f>IFERROR(__xludf.DUMMYFUNCTION("""COMPUTED_VALUE"""),"Helena Mattsson")</f>
        <v>Helena Mattsson</v>
      </c>
      <c r="AE3965" s="12"/>
    </row>
    <row r="3966" customHeight="1" spans="1:31">
      <c r="A3966" s="11" t="s">
        <v>30</v>
      </c>
      <c r="B3966" s="11" t="s">
        <v>15997</v>
      </c>
      <c r="C3966" s="11">
        <v>14</v>
      </c>
      <c r="D3966" s="11">
        <v>81</v>
      </c>
      <c r="E3966" s="11">
        <v>548</v>
      </c>
      <c r="F3966" s="11">
        <v>104</v>
      </c>
      <c r="G3966" s="11">
        <v>166</v>
      </c>
      <c r="H3966" s="13"/>
      <c r="I3966" s="11" t="s">
        <v>6403</v>
      </c>
      <c r="J3966" s="11" t="s">
        <v>18767</v>
      </c>
      <c r="K3966" s="11" t="s">
        <v>18768</v>
      </c>
      <c r="L3966" s="11" t="s">
        <v>18769</v>
      </c>
      <c r="M3966" s="11" t="s">
        <v>18770</v>
      </c>
      <c r="N3966" s="11">
        <v>1561</v>
      </c>
      <c r="O3966" s="11">
        <v>609</v>
      </c>
      <c r="P3966" s="11">
        <v>0</v>
      </c>
      <c r="Q3966" s="11" t="s">
        <v>18771</v>
      </c>
      <c r="R3966" s="14" t="s">
        <v>18772</v>
      </c>
      <c r="S3966" s="11">
        <v>21</v>
      </c>
      <c r="T3966" s="11" t="s">
        <v>39</v>
      </c>
      <c r="U3966" s="11" t="s">
        <v>40</v>
      </c>
      <c r="V3966" s="11" t="s">
        <v>586</v>
      </c>
      <c r="W3966" s="11">
        <v>4000000</v>
      </c>
      <c r="X3966" s="11">
        <v>2012</v>
      </c>
      <c r="Y3966" s="11">
        <v>134</v>
      </c>
      <c r="Z3966" s="11">
        <v>4.2</v>
      </c>
      <c r="AA3966" s="13"/>
      <c r="AB3966" s="11">
        <v>531</v>
      </c>
      <c r="AC3966" s="11"/>
      <c r="AD3966" s="11" t="str">
        <f>IFERROR(__xludf.DUMMYFUNCTION("""COMPUTED_VALUE"""),"Craig Sheffer")</f>
        <v>Craig Sheffer</v>
      </c>
      <c r="AE3966" s="11"/>
    </row>
    <row r="3967" customHeight="1" spans="1:31">
      <c r="A3967" s="12" t="s">
        <v>30</v>
      </c>
      <c r="B3967" s="12" t="s">
        <v>18773</v>
      </c>
      <c r="C3967" s="12">
        <v>3</v>
      </c>
      <c r="D3967" s="12">
        <v>84</v>
      </c>
      <c r="E3967" s="12">
        <v>4</v>
      </c>
      <c r="F3967" s="12">
        <v>271</v>
      </c>
      <c r="G3967" s="12">
        <v>637</v>
      </c>
      <c r="H3967" s="16"/>
      <c r="I3967" s="12" t="s">
        <v>1681</v>
      </c>
      <c r="J3967" s="12" t="s">
        <v>14547</v>
      </c>
      <c r="K3967" s="12" t="s">
        <v>9500</v>
      </c>
      <c r="L3967" s="12" t="s">
        <v>18774</v>
      </c>
      <c r="M3967" s="12" t="s">
        <v>18775</v>
      </c>
      <c r="N3967" s="12">
        <v>1929</v>
      </c>
      <c r="O3967" s="12">
        <v>1932</v>
      </c>
      <c r="P3967" s="12">
        <v>2</v>
      </c>
      <c r="Q3967" s="16"/>
      <c r="R3967" s="15" t="s">
        <v>18776</v>
      </c>
      <c r="S3967" s="12">
        <v>4</v>
      </c>
      <c r="T3967" s="12" t="s">
        <v>39</v>
      </c>
      <c r="U3967" s="12" t="s">
        <v>40</v>
      </c>
      <c r="V3967" s="12" t="s">
        <v>2750</v>
      </c>
      <c r="W3967" s="12">
        <v>4000000</v>
      </c>
      <c r="X3967" s="12">
        <v>2012</v>
      </c>
      <c r="Y3967" s="12">
        <v>346</v>
      </c>
      <c r="Z3967" s="12">
        <v>6.3</v>
      </c>
      <c r="AA3967" s="12">
        <v>1.78</v>
      </c>
      <c r="AB3967" s="12">
        <v>170</v>
      </c>
      <c r="AC3967" s="12"/>
      <c r="AD3967" s="12" t="str">
        <f>IFERROR(__xludf.DUMMYFUNCTION("""COMPUTED_VALUE"""),"Jessica Tandy")</f>
        <v>Jessica Tandy</v>
      </c>
      <c r="AE3967" s="12"/>
    </row>
    <row r="3968" customHeight="1" spans="1:31">
      <c r="A3968" s="11" t="s">
        <v>30</v>
      </c>
      <c r="B3968" s="11" t="s">
        <v>18777</v>
      </c>
      <c r="C3968" s="11">
        <v>3</v>
      </c>
      <c r="D3968" s="11">
        <v>94</v>
      </c>
      <c r="E3968" s="11">
        <v>103</v>
      </c>
      <c r="F3968" s="11">
        <v>111</v>
      </c>
      <c r="G3968" s="11">
        <v>544</v>
      </c>
      <c r="H3968" s="13"/>
      <c r="I3968" s="11" t="s">
        <v>18778</v>
      </c>
      <c r="J3968" s="11" t="s">
        <v>18779</v>
      </c>
      <c r="K3968" s="11" t="s">
        <v>16645</v>
      </c>
      <c r="L3968" s="11" t="s">
        <v>18780</v>
      </c>
      <c r="M3968" s="11" t="s">
        <v>18781</v>
      </c>
      <c r="N3968" s="11">
        <v>724</v>
      </c>
      <c r="O3968" s="11">
        <v>1150</v>
      </c>
      <c r="P3968" s="11">
        <v>1</v>
      </c>
      <c r="Q3968" s="11" t="s">
        <v>18782</v>
      </c>
      <c r="R3968" s="14" t="s">
        <v>18783</v>
      </c>
      <c r="S3968" s="11">
        <v>15</v>
      </c>
      <c r="T3968" s="11" t="s">
        <v>39</v>
      </c>
      <c r="U3968" s="11" t="s">
        <v>8145</v>
      </c>
      <c r="V3968" s="11" t="s">
        <v>96</v>
      </c>
      <c r="W3968" s="11">
        <v>4000000</v>
      </c>
      <c r="X3968" s="11">
        <v>2014</v>
      </c>
      <c r="Y3968" s="11">
        <v>476</v>
      </c>
      <c r="Z3968" s="11">
        <v>4.7</v>
      </c>
      <c r="AA3968" s="13"/>
      <c r="AB3968" s="11">
        <v>365</v>
      </c>
      <c r="AC3968" s="11"/>
      <c r="AD3968" s="11" t="str">
        <f>IFERROR(__xludf.DUMMYFUNCTION("""COMPUTED_VALUE"""),"Patti LuPone")</f>
        <v>Patti LuPone</v>
      </c>
      <c r="AE3968" s="11"/>
    </row>
    <row r="3969" customHeight="1" spans="1:31">
      <c r="A3969" s="12" t="s">
        <v>30</v>
      </c>
      <c r="B3969" s="12" t="s">
        <v>2157</v>
      </c>
      <c r="C3969" s="12">
        <v>1</v>
      </c>
      <c r="D3969" s="12">
        <v>141</v>
      </c>
      <c r="E3969" s="12">
        <v>335</v>
      </c>
      <c r="F3969" s="12">
        <v>635</v>
      </c>
      <c r="G3969" s="12">
        <v>11000</v>
      </c>
      <c r="H3969" s="16"/>
      <c r="I3969" s="12" t="s">
        <v>2158</v>
      </c>
      <c r="J3969" s="12" t="s">
        <v>466</v>
      </c>
      <c r="K3969" s="12" t="s">
        <v>853</v>
      </c>
      <c r="L3969" s="12" t="s">
        <v>1613</v>
      </c>
      <c r="M3969" s="12" t="s">
        <v>2159</v>
      </c>
      <c r="N3969" s="12">
        <v>67</v>
      </c>
      <c r="O3969" s="12">
        <v>13391</v>
      </c>
      <c r="P3969" s="12">
        <v>2</v>
      </c>
      <c r="Q3969" s="12" t="s">
        <v>12702</v>
      </c>
      <c r="R3969" s="15" t="s">
        <v>2160</v>
      </c>
      <c r="S3969" s="12">
        <v>1</v>
      </c>
      <c r="T3969" s="12" t="s">
        <v>39</v>
      </c>
      <c r="U3969" s="12" t="s">
        <v>40</v>
      </c>
      <c r="V3969" s="12" t="s">
        <v>41</v>
      </c>
      <c r="W3969" s="12">
        <v>100000000</v>
      </c>
      <c r="X3969" s="12">
        <v>2016</v>
      </c>
      <c r="Y3969" s="12">
        <v>744</v>
      </c>
      <c r="Z3969" s="12">
        <v>6</v>
      </c>
      <c r="AA3969" s="12">
        <v>2.35</v>
      </c>
      <c r="AB3969" s="12">
        <v>0</v>
      </c>
      <c r="AC3969" s="12"/>
      <c r="AD3969" s="12" t="str">
        <f>IFERROR(__xludf.DUMMYFUNCTION("""COMPUTED_VALUE"""),"Françoise Yip")</f>
        <v>Françoise Yip</v>
      </c>
      <c r="AE3969" s="12"/>
    </row>
    <row r="3970" customHeight="1" spans="1:31">
      <c r="A3970" s="11" t="s">
        <v>30</v>
      </c>
      <c r="B3970" s="11" t="s">
        <v>17251</v>
      </c>
      <c r="C3970" s="11">
        <v>62</v>
      </c>
      <c r="D3970" s="11">
        <v>120</v>
      </c>
      <c r="E3970" s="11">
        <v>160</v>
      </c>
      <c r="F3970" s="11">
        <v>94</v>
      </c>
      <c r="G3970" s="11">
        <v>559</v>
      </c>
      <c r="H3970" s="13"/>
      <c r="I3970" s="11" t="s">
        <v>5941</v>
      </c>
      <c r="J3970" s="11" t="s">
        <v>14011</v>
      </c>
      <c r="K3970" s="11" t="s">
        <v>18784</v>
      </c>
      <c r="L3970" s="11" t="s">
        <v>17323</v>
      </c>
      <c r="M3970" s="11" t="s">
        <v>18785</v>
      </c>
      <c r="N3970" s="11">
        <v>23713</v>
      </c>
      <c r="O3970" s="11">
        <v>1238</v>
      </c>
      <c r="P3970" s="11">
        <v>0</v>
      </c>
      <c r="Q3970" s="11" t="s">
        <v>18786</v>
      </c>
      <c r="R3970" s="14" t="s">
        <v>18787</v>
      </c>
      <c r="S3970" s="11">
        <v>167</v>
      </c>
      <c r="T3970" s="11" t="s">
        <v>39</v>
      </c>
      <c r="U3970" s="11" t="s">
        <v>58</v>
      </c>
      <c r="V3970" s="11" t="s">
        <v>6037</v>
      </c>
      <c r="W3970" s="11">
        <v>2000000</v>
      </c>
      <c r="X3970" s="11">
        <v>1966</v>
      </c>
      <c r="Y3970" s="11">
        <v>269</v>
      </c>
      <c r="Z3970" s="11">
        <v>7.9</v>
      </c>
      <c r="AA3970" s="11">
        <v>1.66</v>
      </c>
      <c r="AB3970" s="11">
        <v>2000</v>
      </c>
      <c r="AC3970" s="11"/>
      <c r="AD3970" s="11" t="str">
        <f>IFERROR(__xludf.DUMMYFUNCTION("""COMPUTED_VALUE"""),"Anita Mui")</f>
        <v>Anita Mui</v>
      </c>
      <c r="AE3970" s="11"/>
    </row>
    <row r="3971" customHeight="1" spans="1:31">
      <c r="A3971" s="12" t="s">
        <v>30</v>
      </c>
      <c r="B3971" s="12" t="s">
        <v>10146</v>
      </c>
      <c r="C3971" s="12">
        <v>161</v>
      </c>
      <c r="D3971" s="12">
        <v>121</v>
      </c>
      <c r="E3971" s="12">
        <v>0</v>
      </c>
      <c r="F3971" s="12">
        <v>682</v>
      </c>
      <c r="G3971" s="12">
        <v>3000</v>
      </c>
      <c r="H3971" s="16"/>
      <c r="I3971" s="12" t="s">
        <v>214</v>
      </c>
      <c r="J3971" s="12" t="s">
        <v>1689</v>
      </c>
      <c r="K3971" s="12" t="s">
        <v>5621</v>
      </c>
      <c r="L3971" s="12" t="s">
        <v>17195</v>
      </c>
      <c r="M3971" s="12" t="s">
        <v>18788</v>
      </c>
      <c r="N3971" s="12">
        <v>103493</v>
      </c>
      <c r="O3971" s="12">
        <v>5987</v>
      </c>
      <c r="P3971" s="12">
        <v>0</v>
      </c>
      <c r="Q3971" s="12" t="s">
        <v>18789</v>
      </c>
      <c r="R3971" s="15" t="s">
        <v>18790</v>
      </c>
      <c r="S3971" s="12">
        <v>317</v>
      </c>
      <c r="T3971" s="12" t="s">
        <v>39</v>
      </c>
      <c r="U3971" s="12" t="s">
        <v>40</v>
      </c>
      <c r="V3971" s="12" t="s">
        <v>586</v>
      </c>
      <c r="W3971" s="12">
        <v>3800000</v>
      </c>
      <c r="X3971" s="12">
        <v>1976</v>
      </c>
      <c r="Y3971" s="12">
        <v>977</v>
      </c>
      <c r="Z3971" s="12">
        <v>8.1</v>
      </c>
      <c r="AA3971" s="12">
        <v>1.85</v>
      </c>
      <c r="AB3971" s="12">
        <v>17000</v>
      </c>
      <c r="AC3971" s="12"/>
      <c r="AD3971" s="12" t="str">
        <f>IFERROR(__xludf.DUMMYFUNCTION("""COMPUTED_VALUE"""),"Garvin Cross")</f>
        <v>Garvin Cross</v>
      </c>
      <c r="AE3971" s="12"/>
    </row>
    <row r="3972" customHeight="1" spans="1:31">
      <c r="A3972" s="11" t="s">
        <v>30</v>
      </c>
      <c r="B3972" s="11" t="s">
        <v>18791</v>
      </c>
      <c r="C3972" s="11">
        <v>157</v>
      </c>
      <c r="D3972" s="11">
        <v>226</v>
      </c>
      <c r="E3972" s="11">
        <v>149</v>
      </c>
      <c r="F3972" s="11">
        <v>248</v>
      </c>
      <c r="G3972" s="11">
        <v>503</v>
      </c>
      <c r="H3972" s="11">
        <v>198655278</v>
      </c>
      <c r="I3972" s="11" t="s">
        <v>1941</v>
      </c>
      <c r="J3972" s="11" t="s">
        <v>18792</v>
      </c>
      <c r="K3972" s="11" t="s">
        <v>18793</v>
      </c>
      <c r="L3972" s="11" t="s">
        <v>18794</v>
      </c>
      <c r="M3972" s="11" t="s">
        <v>18795</v>
      </c>
      <c r="N3972" s="11">
        <v>215340</v>
      </c>
      <c r="O3972" s="11">
        <v>1862</v>
      </c>
      <c r="P3972" s="11">
        <v>1</v>
      </c>
      <c r="Q3972" s="11" t="s">
        <v>18796</v>
      </c>
      <c r="R3972" s="14" t="s">
        <v>18797</v>
      </c>
      <c r="S3972" s="11">
        <v>706</v>
      </c>
      <c r="T3972" s="11" t="s">
        <v>39</v>
      </c>
      <c r="U3972" s="11" t="s">
        <v>40</v>
      </c>
      <c r="V3972" s="11" t="s">
        <v>278</v>
      </c>
      <c r="W3972" s="11">
        <v>3977000</v>
      </c>
      <c r="X3972" s="11">
        <v>1939</v>
      </c>
      <c r="Y3972" s="11">
        <v>384</v>
      </c>
      <c r="Z3972" s="11">
        <v>8.2</v>
      </c>
      <c r="AA3972" s="11">
        <v>1.37</v>
      </c>
      <c r="AB3972" s="11">
        <v>16000</v>
      </c>
      <c r="AC3972" s="11"/>
      <c r="AD3972" s="11" t="str">
        <f>IFERROR(__xludf.DUMMYFUNCTION("""COMPUTED_VALUE"""),"Reda Kateb")</f>
        <v>Reda Kateb</v>
      </c>
      <c r="AE3972" s="11"/>
    </row>
    <row r="3973" customHeight="1" spans="1:31">
      <c r="A3973" s="12" t="s">
        <v>30</v>
      </c>
      <c r="B3973" s="12" t="s">
        <v>18798</v>
      </c>
      <c r="C3973" s="12">
        <v>31</v>
      </c>
      <c r="D3973" s="12">
        <v>104</v>
      </c>
      <c r="E3973" s="12">
        <v>10</v>
      </c>
      <c r="F3973" s="12">
        <v>196</v>
      </c>
      <c r="G3973" s="12">
        <v>507</v>
      </c>
      <c r="H3973" s="12">
        <v>143653</v>
      </c>
      <c r="I3973" s="12" t="s">
        <v>1544</v>
      </c>
      <c r="J3973" s="12" t="s">
        <v>14716</v>
      </c>
      <c r="K3973" s="12" t="s">
        <v>375</v>
      </c>
      <c r="L3973" s="12" t="s">
        <v>18799</v>
      </c>
      <c r="M3973" s="12" t="s">
        <v>18800</v>
      </c>
      <c r="N3973" s="12">
        <v>1177</v>
      </c>
      <c r="O3973" s="12">
        <v>1281</v>
      </c>
      <c r="P3973" s="12">
        <v>0</v>
      </c>
      <c r="Q3973" s="12" t="s">
        <v>18801</v>
      </c>
      <c r="R3973" s="15" t="s">
        <v>18802</v>
      </c>
      <c r="S3973" s="12">
        <v>10</v>
      </c>
      <c r="T3973" s="12" t="s">
        <v>39</v>
      </c>
      <c r="U3973" s="12" t="s">
        <v>58</v>
      </c>
      <c r="V3973" s="12" t="s">
        <v>41</v>
      </c>
      <c r="W3973" s="12">
        <v>4000000</v>
      </c>
      <c r="X3973" s="12">
        <v>2014</v>
      </c>
      <c r="Y3973" s="12">
        <v>236</v>
      </c>
      <c r="Z3973" s="12">
        <v>6</v>
      </c>
      <c r="AA3973" s="12">
        <v>2.35</v>
      </c>
      <c r="AB3973" s="12">
        <v>0</v>
      </c>
      <c r="AC3973" s="12"/>
      <c r="AD3973" s="12" t="str">
        <f>IFERROR(__xludf.DUMMYFUNCTION("""COMPUTED_VALUE"""),"Ángela Molina")</f>
        <v>Ángela Molina</v>
      </c>
      <c r="AE3973" s="12"/>
    </row>
    <row r="3974" customHeight="1" spans="1:31">
      <c r="A3974" s="11" t="s">
        <v>30</v>
      </c>
      <c r="B3974" s="11" t="s">
        <v>17194</v>
      </c>
      <c r="C3974" s="11">
        <v>53</v>
      </c>
      <c r="D3974" s="11">
        <v>152</v>
      </c>
      <c r="E3974" s="11">
        <v>541</v>
      </c>
      <c r="F3974" s="11">
        <v>288</v>
      </c>
      <c r="G3974" s="11">
        <v>773</v>
      </c>
      <c r="H3974" s="11">
        <v>14873</v>
      </c>
      <c r="I3974" s="11" t="s">
        <v>18803</v>
      </c>
      <c r="J3974" s="11" t="s">
        <v>1441</v>
      </c>
      <c r="K3974" s="11" t="s">
        <v>18804</v>
      </c>
      <c r="L3974" s="11" t="s">
        <v>17196</v>
      </c>
      <c r="M3974" s="11" t="s">
        <v>18805</v>
      </c>
      <c r="N3974" s="11">
        <v>5294</v>
      </c>
      <c r="O3974" s="11">
        <v>2888</v>
      </c>
      <c r="P3974" s="11">
        <v>2</v>
      </c>
      <c r="Q3974" s="11" t="s">
        <v>18806</v>
      </c>
      <c r="R3974" s="14" t="s">
        <v>18807</v>
      </c>
      <c r="S3974" s="11">
        <v>67</v>
      </c>
      <c r="T3974" s="11" t="s">
        <v>39</v>
      </c>
      <c r="U3974" s="11" t="s">
        <v>40</v>
      </c>
      <c r="V3974" s="11" t="s">
        <v>6037</v>
      </c>
      <c r="W3974" s="11">
        <v>3800000</v>
      </c>
      <c r="X3974" s="11">
        <v>1965</v>
      </c>
      <c r="Y3974" s="11">
        <v>575</v>
      </c>
      <c r="Z3974" s="11">
        <v>6.8</v>
      </c>
      <c r="AA3974" s="11">
        <v>2.35</v>
      </c>
      <c r="AB3974" s="11">
        <v>251</v>
      </c>
      <c r="AC3974" s="11"/>
      <c r="AD3974" s="11" t="str">
        <f>IFERROR(__xludf.DUMMYFUNCTION("""COMPUTED_VALUE"""),"Todd Louiso")</f>
        <v>Todd Louiso</v>
      </c>
      <c r="AE3974" s="11"/>
    </row>
    <row r="3975" customHeight="1" spans="1:31">
      <c r="A3975" s="12" t="s">
        <v>30</v>
      </c>
      <c r="B3975" s="12" t="s">
        <v>18808</v>
      </c>
      <c r="C3975" s="12">
        <v>1</v>
      </c>
      <c r="D3975" s="12">
        <v>92</v>
      </c>
      <c r="E3975" s="12">
        <v>2</v>
      </c>
      <c r="F3975" s="12">
        <v>601</v>
      </c>
      <c r="G3975" s="12">
        <v>881</v>
      </c>
      <c r="H3975" s="16"/>
      <c r="I3975" s="12" t="s">
        <v>3410</v>
      </c>
      <c r="J3975" s="12" t="s">
        <v>1141</v>
      </c>
      <c r="K3975" s="12" t="s">
        <v>5953</v>
      </c>
      <c r="L3975" s="12" t="s">
        <v>9641</v>
      </c>
      <c r="M3975" s="12" t="s">
        <v>18809</v>
      </c>
      <c r="N3975" s="12">
        <v>257</v>
      </c>
      <c r="O3975" s="12">
        <v>3229</v>
      </c>
      <c r="P3975" s="12">
        <v>3</v>
      </c>
      <c r="Q3975" s="12" t="s">
        <v>18810</v>
      </c>
      <c r="R3975" s="15" t="s">
        <v>18811</v>
      </c>
      <c r="S3975" s="12">
        <v>6</v>
      </c>
      <c r="T3975" s="12" t="s">
        <v>39</v>
      </c>
      <c r="U3975" s="12" t="s">
        <v>40</v>
      </c>
      <c r="V3975" s="12" t="s">
        <v>586</v>
      </c>
      <c r="W3975" s="16"/>
      <c r="X3975" s="12">
        <v>2009</v>
      </c>
      <c r="Y3975" s="12">
        <v>826</v>
      </c>
      <c r="Z3975" s="12">
        <v>7.3</v>
      </c>
      <c r="AA3975" s="12">
        <v>1.85</v>
      </c>
      <c r="AB3975" s="12">
        <v>237</v>
      </c>
      <c r="AC3975" s="12"/>
      <c r="AD3975" s="12" t="str">
        <f>IFERROR(__xludf.DUMMYFUNCTION("""COMPUTED_VALUE"""),"Stanislav Ianevski")</f>
        <v>Stanislav Ianevski</v>
      </c>
      <c r="AE3975" s="12"/>
    </row>
    <row r="3976" customHeight="1" spans="1:31">
      <c r="A3976" s="11" t="s">
        <v>30</v>
      </c>
      <c r="B3976" s="11" t="s">
        <v>18812</v>
      </c>
      <c r="C3976" s="11">
        <v>21</v>
      </c>
      <c r="D3976" s="11">
        <v>107</v>
      </c>
      <c r="E3976" s="11">
        <v>24</v>
      </c>
      <c r="F3976" s="11">
        <v>83</v>
      </c>
      <c r="G3976" s="11">
        <v>277</v>
      </c>
      <c r="H3976" s="11">
        <v>8000000</v>
      </c>
      <c r="I3976" s="11" t="s">
        <v>18813</v>
      </c>
      <c r="J3976" s="11" t="s">
        <v>18814</v>
      </c>
      <c r="K3976" s="11" t="s">
        <v>18815</v>
      </c>
      <c r="L3976" s="11" t="s">
        <v>18816</v>
      </c>
      <c r="M3976" s="11" t="s">
        <v>18817</v>
      </c>
      <c r="N3976" s="11">
        <v>3167</v>
      </c>
      <c r="O3976" s="11">
        <v>731</v>
      </c>
      <c r="P3976" s="11">
        <v>0</v>
      </c>
      <c r="Q3976" s="11" t="s">
        <v>18818</v>
      </c>
      <c r="R3976" s="14" t="s">
        <v>18819</v>
      </c>
      <c r="S3976" s="11">
        <v>90</v>
      </c>
      <c r="T3976" s="11" t="s">
        <v>39</v>
      </c>
      <c r="U3976" s="11" t="s">
        <v>40</v>
      </c>
      <c r="V3976" s="11" t="s">
        <v>15938</v>
      </c>
      <c r="W3976" s="11">
        <v>3768785</v>
      </c>
      <c r="X3976" s="11">
        <v>1950</v>
      </c>
      <c r="Y3976" s="11">
        <v>244</v>
      </c>
      <c r="Z3976" s="11">
        <v>7</v>
      </c>
      <c r="AA3976" s="11">
        <v>1.37</v>
      </c>
      <c r="AB3976" s="11">
        <v>456</v>
      </c>
      <c r="AC3976" s="11"/>
      <c r="AD3976" s="11" t="str">
        <f>IFERROR(__xludf.DUMMYFUNCTION("""COMPUTED_VALUE"""),"Ellie Kendrick")</f>
        <v>Ellie Kendrick</v>
      </c>
      <c r="AE3976" s="11"/>
    </row>
    <row r="3977" customHeight="1" spans="1:31">
      <c r="A3977" s="12" t="s">
        <v>30</v>
      </c>
      <c r="B3977" s="12" t="s">
        <v>18820</v>
      </c>
      <c r="C3977" s="12">
        <v>246</v>
      </c>
      <c r="D3977" s="12">
        <v>97</v>
      </c>
      <c r="E3977" s="12">
        <v>69</v>
      </c>
      <c r="F3977" s="12">
        <v>106</v>
      </c>
      <c r="G3977" s="12">
        <v>414</v>
      </c>
      <c r="H3977" s="12">
        <v>304137</v>
      </c>
      <c r="I3977" s="12" t="s">
        <v>9194</v>
      </c>
      <c r="J3977" s="12" t="s">
        <v>5191</v>
      </c>
      <c r="K3977" s="12" t="s">
        <v>1370</v>
      </c>
      <c r="L3977" s="12" t="s">
        <v>18821</v>
      </c>
      <c r="M3977" s="12" t="s">
        <v>18822</v>
      </c>
      <c r="N3977" s="12">
        <v>55982</v>
      </c>
      <c r="O3977" s="12">
        <v>1269</v>
      </c>
      <c r="P3977" s="12">
        <v>0</v>
      </c>
      <c r="Q3977" s="12" t="s">
        <v>18823</v>
      </c>
      <c r="R3977" s="15" t="s">
        <v>18824</v>
      </c>
      <c r="S3977" s="12">
        <v>148</v>
      </c>
      <c r="T3977" s="12" t="s">
        <v>39</v>
      </c>
      <c r="U3977" s="12" t="s">
        <v>58</v>
      </c>
      <c r="V3977" s="12" t="s">
        <v>586</v>
      </c>
      <c r="W3977" s="16"/>
      <c r="X3977" s="12">
        <v>2010</v>
      </c>
      <c r="Y3977" s="12">
        <v>365</v>
      </c>
      <c r="Z3977" s="12">
        <v>7.3</v>
      </c>
      <c r="AA3977" s="12">
        <v>1.85</v>
      </c>
      <c r="AB3977" s="12">
        <v>17000</v>
      </c>
      <c r="AC3977" s="12"/>
      <c r="AD3977" s="12" t="str">
        <f>IFERROR(__xludf.DUMMYFUNCTION("""COMPUTED_VALUE"""),"Nastassja Kinski")</f>
        <v>Nastassja Kinski</v>
      </c>
      <c r="AE3977" s="12"/>
    </row>
    <row r="3978" customHeight="1" spans="1:31">
      <c r="A3978" s="11" t="s">
        <v>30</v>
      </c>
      <c r="B3978" s="11" t="s">
        <v>18825</v>
      </c>
      <c r="C3978" s="11">
        <v>42</v>
      </c>
      <c r="D3978" s="11">
        <v>115</v>
      </c>
      <c r="E3978" s="11">
        <v>6</v>
      </c>
      <c r="F3978" s="11">
        <v>24</v>
      </c>
      <c r="G3978" s="11">
        <v>119</v>
      </c>
      <c r="H3978" s="13"/>
      <c r="I3978" s="11" t="s">
        <v>3410</v>
      </c>
      <c r="J3978" s="11" t="s">
        <v>18826</v>
      </c>
      <c r="K3978" s="11" t="s">
        <v>18827</v>
      </c>
      <c r="L3978" s="11" t="s">
        <v>18828</v>
      </c>
      <c r="M3978" s="11" t="s">
        <v>18829</v>
      </c>
      <c r="N3978" s="11">
        <v>2650</v>
      </c>
      <c r="O3978" s="11">
        <v>222</v>
      </c>
      <c r="P3978" s="11">
        <v>1</v>
      </c>
      <c r="Q3978" s="11" t="s">
        <v>18830</v>
      </c>
      <c r="R3978" s="14" t="s">
        <v>18831</v>
      </c>
      <c r="S3978" s="11">
        <v>35</v>
      </c>
      <c r="T3978" s="11" t="s">
        <v>14504</v>
      </c>
      <c r="U3978" s="11" t="s">
        <v>16841</v>
      </c>
      <c r="V3978" s="11" t="s">
        <v>586</v>
      </c>
      <c r="W3978" s="11">
        <v>8000000</v>
      </c>
      <c r="X3978" s="11">
        <v>2005</v>
      </c>
      <c r="Y3978" s="11">
        <v>69</v>
      </c>
      <c r="Z3978" s="11">
        <v>7.5</v>
      </c>
      <c r="AA3978" s="11">
        <v>2.35</v>
      </c>
      <c r="AB3978" s="11">
        <v>385</v>
      </c>
      <c r="AC3978" s="11"/>
      <c r="AD3978" s="11" t="str">
        <f>IFERROR(__xludf.DUMMYFUNCTION("""COMPUTED_VALUE"""),"Molly Parker")</f>
        <v>Molly Parker</v>
      </c>
      <c r="AE3978" s="11"/>
    </row>
    <row r="3979" customHeight="1" spans="1:31">
      <c r="A3979" s="12" t="s">
        <v>30</v>
      </c>
      <c r="B3979" s="12" t="s">
        <v>18832</v>
      </c>
      <c r="C3979" s="12">
        <v>78</v>
      </c>
      <c r="D3979" s="12">
        <v>95</v>
      </c>
      <c r="E3979" s="12">
        <v>89</v>
      </c>
      <c r="F3979" s="12">
        <v>388</v>
      </c>
      <c r="G3979" s="12">
        <v>963</v>
      </c>
      <c r="H3979" s="12">
        <v>37606</v>
      </c>
      <c r="I3979" s="12" t="s">
        <v>9194</v>
      </c>
      <c r="J3979" s="12" t="s">
        <v>3041</v>
      </c>
      <c r="K3979" s="12" t="s">
        <v>8231</v>
      </c>
      <c r="L3979" s="12" t="s">
        <v>13727</v>
      </c>
      <c r="M3979" s="12" t="s">
        <v>18833</v>
      </c>
      <c r="N3979" s="12">
        <v>31836</v>
      </c>
      <c r="O3979" s="12">
        <v>2658</v>
      </c>
      <c r="P3979" s="12">
        <v>0</v>
      </c>
      <c r="Q3979" s="12" t="s">
        <v>18834</v>
      </c>
      <c r="R3979" s="15" t="s">
        <v>18835</v>
      </c>
      <c r="S3979" s="12">
        <v>90</v>
      </c>
      <c r="T3979" s="12" t="s">
        <v>39</v>
      </c>
      <c r="U3979" s="12" t="s">
        <v>269</v>
      </c>
      <c r="V3979" s="12" t="s">
        <v>586</v>
      </c>
      <c r="W3979" s="12">
        <v>3500000</v>
      </c>
      <c r="X3979" s="12">
        <v>2009</v>
      </c>
      <c r="Y3979" s="12">
        <v>654</v>
      </c>
      <c r="Z3979" s="12">
        <v>6.8</v>
      </c>
      <c r="AA3979" s="12">
        <v>2.35</v>
      </c>
      <c r="AB3979" s="12">
        <v>0</v>
      </c>
      <c r="AC3979" s="12"/>
      <c r="AD3979" s="12" t="str">
        <f>IFERROR(__xludf.DUMMYFUNCTION("""COMPUTED_VALUE"""),"Richard Bull")</f>
        <v>Richard Bull</v>
      </c>
      <c r="AE3979" s="12"/>
    </row>
    <row r="3980" customHeight="1" spans="1:31">
      <c r="A3980" s="11" t="s">
        <v>30</v>
      </c>
      <c r="B3980" s="11" t="s">
        <v>18836</v>
      </c>
      <c r="C3980" s="11">
        <v>41</v>
      </c>
      <c r="D3980" s="11">
        <v>102</v>
      </c>
      <c r="E3980" s="11">
        <v>136</v>
      </c>
      <c r="F3980" s="11">
        <v>48</v>
      </c>
      <c r="G3980" s="11">
        <v>89</v>
      </c>
      <c r="H3980" s="11">
        <v>2956000</v>
      </c>
      <c r="I3980" s="11" t="s">
        <v>18837</v>
      </c>
      <c r="J3980" s="11" t="s">
        <v>18838</v>
      </c>
      <c r="K3980" s="11" t="s">
        <v>18839</v>
      </c>
      <c r="L3980" s="11" t="s">
        <v>18840</v>
      </c>
      <c r="M3980" s="11" t="s">
        <v>18841</v>
      </c>
      <c r="N3980" s="11">
        <v>3258</v>
      </c>
      <c r="O3980" s="11">
        <v>282</v>
      </c>
      <c r="P3980" s="11">
        <v>0</v>
      </c>
      <c r="Q3980" s="11" t="s">
        <v>18842</v>
      </c>
      <c r="R3980" s="14" t="s">
        <v>18843</v>
      </c>
      <c r="S3980" s="11">
        <v>54</v>
      </c>
      <c r="T3980" s="11" t="s">
        <v>39</v>
      </c>
      <c r="U3980" s="11" t="s">
        <v>40</v>
      </c>
      <c r="V3980" s="11" t="s">
        <v>6037</v>
      </c>
      <c r="W3980" s="11">
        <v>3700000</v>
      </c>
      <c r="X3980" s="11">
        <v>1948</v>
      </c>
      <c r="Y3980" s="11">
        <v>78</v>
      </c>
      <c r="Z3980" s="11">
        <v>7.1</v>
      </c>
      <c r="AA3980" s="11">
        <v>1.37</v>
      </c>
      <c r="AB3980" s="11">
        <v>359</v>
      </c>
      <c r="AC3980" s="11"/>
      <c r="AD3980" s="11" t="str">
        <f>IFERROR(__xludf.DUMMYFUNCTION("""COMPUTED_VALUE"""),"Eric Johnson")</f>
        <v>Eric Johnson</v>
      </c>
      <c r="AE3980" s="11"/>
    </row>
    <row r="3981" customHeight="1" spans="1:31">
      <c r="A3981" s="12" t="s">
        <v>30</v>
      </c>
      <c r="B3981" s="12" t="s">
        <v>18844</v>
      </c>
      <c r="C3981" s="12">
        <v>61</v>
      </c>
      <c r="D3981" s="12">
        <v>99</v>
      </c>
      <c r="E3981" s="12">
        <v>29</v>
      </c>
      <c r="F3981" s="12">
        <v>64</v>
      </c>
      <c r="G3981" s="12">
        <v>117</v>
      </c>
      <c r="H3981" s="12">
        <v>19959</v>
      </c>
      <c r="I3981" s="12" t="s">
        <v>3410</v>
      </c>
      <c r="J3981" s="12" t="s">
        <v>18845</v>
      </c>
      <c r="K3981" s="12" t="s">
        <v>11818</v>
      </c>
      <c r="L3981" s="12" t="s">
        <v>6624</v>
      </c>
      <c r="M3981" s="12" t="s">
        <v>18846</v>
      </c>
      <c r="N3981" s="12">
        <v>3579</v>
      </c>
      <c r="O3981" s="12">
        <v>298</v>
      </c>
      <c r="P3981" s="12">
        <v>2</v>
      </c>
      <c r="Q3981" s="12" t="s">
        <v>18847</v>
      </c>
      <c r="R3981" s="15" t="s">
        <v>18848</v>
      </c>
      <c r="S3981" s="12">
        <v>14</v>
      </c>
      <c r="T3981" s="12" t="s">
        <v>39</v>
      </c>
      <c r="U3981" s="12" t="s">
        <v>8651</v>
      </c>
      <c r="V3981" s="12" t="s">
        <v>586</v>
      </c>
      <c r="W3981" s="12">
        <v>3800000</v>
      </c>
      <c r="X3981" s="12">
        <v>2009</v>
      </c>
      <c r="Y3981" s="12">
        <v>64</v>
      </c>
      <c r="Z3981" s="12">
        <v>6.9</v>
      </c>
      <c r="AA3981" s="12">
        <v>2.35</v>
      </c>
      <c r="AB3981" s="12">
        <v>0</v>
      </c>
      <c r="AC3981" s="12"/>
      <c r="AD3981" s="12" t="str">
        <f>IFERROR(__xludf.DUMMYFUNCTION("""COMPUTED_VALUE"""),"Roschdy Zem")</f>
        <v>Roschdy Zem</v>
      </c>
      <c r="AE3981" s="12"/>
    </row>
    <row r="3982" customHeight="1" spans="1:31">
      <c r="A3982" s="11" t="s">
        <v>30</v>
      </c>
      <c r="B3982" s="11" t="s">
        <v>11882</v>
      </c>
      <c r="C3982" s="11">
        <v>112</v>
      </c>
      <c r="D3982" s="11">
        <v>109</v>
      </c>
      <c r="E3982" s="11">
        <v>13</v>
      </c>
      <c r="F3982" s="11">
        <v>480</v>
      </c>
      <c r="G3982" s="11">
        <v>3000</v>
      </c>
      <c r="H3982" s="11">
        <v>2706659</v>
      </c>
      <c r="I3982" s="11" t="s">
        <v>2528</v>
      </c>
      <c r="J3982" s="11" t="s">
        <v>730</v>
      </c>
      <c r="K3982" s="11" t="s">
        <v>4754</v>
      </c>
      <c r="L3982" s="11" t="s">
        <v>1550</v>
      </c>
      <c r="M3982" s="11" t="s">
        <v>18849</v>
      </c>
      <c r="N3982" s="11">
        <v>17770</v>
      </c>
      <c r="O3982" s="11">
        <v>5977</v>
      </c>
      <c r="P3982" s="11">
        <v>0</v>
      </c>
      <c r="Q3982" s="11" t="s">
        <v>18850</v>
      </c>
      <c r="R3982" s="14" t="s">
        <v>18851</v>
      </c>
      <c r="S3982" s="11">
        <v>172</v>
      </c>
      <c r="T3982" s="11" t="s">
        <v>39</v>
      </c>
      <c r="U3982" s="11" t="s">
        <v>58</v>
      </c>
      <c r="V3982" s="11" t="s">
        <v>586</v>
      </c>
      <c r="W3982" s="11">
        <v>2000000</v>
      </c>
      <c r="X3982" s="11">
        <v>2006</v>
      </c>
      <c r="Y3982" s="11">
        <v>796</v>
      </c>
      <c r="Z3982" s="11">
        <v>6.9</v>
      </c>
      <c r="AA3982" s="11">
        <v>1.85</v>
      </c>
      <c r="AB3982" s="11">
        <v>0</v>
      </c>
      <c r="AC3982" s="11"/>
      <c r="AD3982" s="11" t="str">
        <f>IFERROR(__xludf.DUMMYFUNCTION("""COMPUTED_VALUE"""),"Natalie Mendoza")</f>
        <v>Natalie Mendoza</v>
      </c>
      <c r="AE3982" s="11"/>
    </row>
    <row r="3983" customHeight="1" spans="1:31">
      <c r="A3983" s="12" t="s">
        <v>30</v>
      </c>
      <c r="B3983" s="12" t="s">
        <v>5129</v>
      </c>
      <c r="C3983" s="12">
        <v>349</v>
      </c>
      <c r="D3983" s="12">
        <v>113</v>
      </c>
      <c r="E3983" s="12">
        <v>174</v>
      </c>
      <c r="F3983" s="12">
        <v>767</v>
      </c>
      <c r="G3983" s="12">
        <v>14000</v>
      </c>
      <c r="H3983" s="12">
        <v>61094903</v>
      </c>
      <c r="I3983" s="12" t="s">
        <v>1157</v>
      </c>
      <c r="J3983" s="12" t="s">
        <v>228</v>
      </c>
      <c r="K3983" s="12" t="s">
        <v>122</v>
      </c>
      <c r="L3983" s="12" t="s">
        <v>6446</v>
      </c>
      <c r="M3983" s="12" t="s">
        <v>6447</v>
      </c>
      <c r="N3983" s="12">
        <v>210548</v>
      </c>
      <c r="O3983" s="12">
        <v>17151</v>
      </c>
      <c r="P3983" s="12">
        <v>3</v>
      </c>
      <c r="Q3983" s="12" t="s">
        <v>6448</v>
      </c>
      <c r="R3983" s="15" t="s">
        <v>6449</v>
      </c>
      <c r="S3983" s="12">
        <v>332</v>
      </c>
      <c r="T3983" s="12" t="s">
        <v>39</v>
      </c>
      <c r="U3983" s="12" t="s">
        <v>58</v>
      </c>
      <c r="V3983" s="12" t="s">
        <v>41</v>
      </c>
      <c r="W3983" s="12">
        <v>30000000</v>
      </c>
      <c r="X3983" s="12">
        <v>2011</v>
      </c>
      <c r="Y3983" s="12">
        <v>902</v>
      </c>
      <c r="Z3983" s="12">
        <v>6.9</v>
      </c>
      <c r="AA3983" s="12">
        <v>2.35</v>
      </c>
      <c r="AB3983" s="12">
        <v>29000</v>
      </c>
      <c r="AC3983" s="12"/>
      <c r="AD3983" s="12" t="str">
        <f>IFERROR(__xludf.DUMMYFUNCTION("""COMPUTED_VALUE"""),"Nathin Butler")</f>
        <v>Nathin Butler</v>
      </c>
      <c r="AE3983" s="12"/>
    </row>
    <row r="3984" customHeight="1" spans="1:31">
      <c r="A3984" s="11" t="s">
        <v>30</v>
      </c>
      <c r="B3984" s="13"/>
      <c r="C3984" s="11">
        <v>55</v>
      </c>
      <c r="D3984" s="11">
        <v>25</v>
      </c>
      <c r="E3984" s="13"/>
      <c r="F3984" s="11">
        <v>395</v>
      </c>
      <c r="G3984" s="11">
        <v>443</v>
      </c>
      <c r="H3984" s="13"/>
      <c r="I3984" s="11" t="s">
        <v>11842</v>
      </c>
      <c r="J3984" s="11" t="s">
        <v>2558</v>
      </c>
      <c r="K3984" s="11" t="s">
        <v>18852</v>
      </c>
      <c r="L3984" s="11" t="s">
        <v>18853</v>
      </c>
      <c r="M3984" s="11" t="s">
        <v>18854</v>
      </c>
      <c r="N3984" s="11">
        <v>36265</v>
      </c>
      <c r="O3984" s="11">
        <v>2195</v>
      </c>
      <c r="P3984" s="11">
        <v>5</v>
      </c>
      <c r="Q3984" s="11" t="s">
        <v>18855</v>
      </c>
      <c r="R3984" s="14" t="s">
        <v>18856</v>
      </c>
      <c r="S3984" s="11">
        <v>147</v>
      </c>
      <c r="T3984" s="11" t="s">
        <v>39</v>
      </c>
      <c r="U3984" s="11" t="s">
        <v>40</v>
      </c>
      <c r="V3984" s="11" t="s">
        <v>1569</v>
      </c>
      <c r="W3984" s="13"/>
      <c r="X3984" s="13"/>
      <c r="Y3984" s="11">
        <v>421</v>
      </c>
      <c r="Z3984" s="11">
        <v>8.4</v>
      </c>
      <c r="AA3984" s="11">
        <v>4</v>
      </c>
      <c r="AB3984" s="11">
        <v>0</v>
      </c>
      <c r="AC3984" s="11"/>
      <c r="AD3984" s="11" t="str">
        <f>IFERROR(__xludf.DUMMYFUNCTION("""COMPUTED_VALUE"""),"Razaaq Adoti")</f>
        <v>Razaaq Adoti</v>
      </c>
      <c r="AE3984" s="11"/>
    </row>
    <row r="3985" customHeight="1" spans="1:31">
      <c r="A3985" s="12" t="s">
        <v>748</v>
      </c>
      <c r="B3985" s="12" t="s">
        <v>9814</v>
      </c>
      <c r="C3985" s="12">
        <v>88</v>
      </c>
      <c r="D3985" s="12">
        <v>113</v>
      </c>
      <c r="E3985" s="12">
        <v>154</v>
      </c>
      <c r="F3985" s="12">
        <v>77</v>
      </c>
      <c r="G3985" s="12">
        <v>183</v>
      </c>
      <c r="H3985" s="16"/>
      <c r="I3985" s="12" t="s">
        <v>3410</v>
      </c>
      <c r="J3985" s="12" t="s">
        <v>18857</v>
      </c>
      <c r="K3985" s="12" t="s">
        <v>18858</v>
      </c>
      <c r="L3985" s="12" t="s">
        <v>18859</v>
      </c>
      <c r="M3985" s="12" t="s">
        <v>18860</v>
      </c>
      <c r="N3985" s="12">
        <v>76616</v>
      </c>
      <c r="O3985" s="12">
        <v>465</v>
      </c>
      <c r="P3985" s="12">
        <v>2</v>
      </c>
      <c r="Q3985" s="12" t="s">
        <v>18861</v>
      </c>
      <c r="R3985" s="15" t="s">
        <v>18862</v>
      </c>
      <c r="S3985" s="12">
        <v>334</v>
      </c>
      <c r="T3985" s="12" t="s">
        <v>39</v>
      </c>
      <c r="U3985" s="12" t="s">
        <v>40</v>
      </c>
      <c r="V3985" s="12" t="s">
        <v>7335</v>
      </c>
      <c r="W3985" s="12">
        <v>3600000</v>
      </c>
      <c r="X3985" s="12">
        <v>1969</v>
      </c>
      <c r="Y3985" s="12">
        <v>89</v>
      </c>
      <c r="Z3985" s="12">
        <v>7.9</v>
      </c>
      <c r="AA3985" s="12">
        <v>1.85</v>
      </c>
      <c r="AB3985" s="12">
        <v>0</v>
      </c>
      <c r="AC3985" s="12"/>
      <c r="AD3985" s="12" t="str">
        <f>IFERROR(__xludf.DUMMYFUNCTION("""COMPUTED_VALUE"""),"Saif Ali Khan")</f>
        <v>Saif Ali Khan</v>
      </c>
      <c r="AE3985" s="12"/>
    </row>
    <row r="3986" customHeight="1" spans="1:31">
      <c r="A3986" s="11" t="s">
        <v>30</v>
      </c>
      <c r="B3986" s="11" t="s">
        <v>13126</v>
      </c>
      <c r="C3986" s="11">
        <v>122</v>
      </c>
      <c r="D3986" s="11">
        <v>91</v>
      </c>
      <c r="E3986" s="11">
        <v>11</v>
      </c>
      <c r="F3986" s="11">
        <v>121</v>
      </c>
      <c r="G3986" s="11">
        <v>1000</v>
      </c>
      <c r="H3986" s="11">
        <v>45857453</v>
      </c>
      <c r="I3986" s="11" t="s">
        <v>5511</v>
      </c>
      <c r="J3986" s="11" t="s">
        <v>138</v>
      </c>
      <c r="K3986" s="11" t="s">
        <v>190</v>
      </c>
      <c r="L3986" s="11" t="s">
        <v>18863</v>
      </c>
      <c r="M3986" s="11" t="s">
        <v>18864</v>
      </c>
      <c r="N3986" s="11">
        <v>82232</v>
      </c>
      <c r="O3986" s="11">
        <v>2323</v>
      </c>
      <c r="P3986" s="11">
        <v>3</v>
      </c>
      <c r="Q3986" s="11" t="s">
        <v>18865</v>
      </c>
      <c r="R3986" s="14" t="s">
        <v>18866</v>
      </c>
      <c r="S3986" s="11">
        <v>174</v>
      </c>
      <c r="T3986" s="11" t="s">
        <v>39</v>
      </c>
      <c r="U3986" s="11" t="s">
        <v>58</v>
      </c>
      <c r="V3986" s="11" t="s">
        <v>586</v>
      </c>
      <c r="W3986" s="11">
        <v>3500000</v>
      </c>
      <c r="X3986" s="11">
        <v>1997</v>
      </c>
      <c r="Y3986" s="11">
        <v>891</v>
      </c>
      <c r="Z3986" s="11">
        <v>7.2</v>
      </c>
      <c r="AA3986" s="11">
        <v>1.85</v>
      </c>
      <c r="AB3986" s="11">
        <v>0</v>
      </c>
      <c r="AC3986" s="11"/>
      <c r="AD3986" s="11" t="str">
        <f>IFERROR(__xludf.DUMMYFUNCTION("""COMPUTED_VALUE"""),"Mary Goggin")</f>
        <v>Mary Goggin</v>
      </c>
      <c r="AE3986" s="11"/>
    </row>
    <row r="3987" customHeight="1" spans="1:31">
      <c r="A3987" s="12" t="s">
        <v>30</v>
      </c>
      <c r="B3987" s="12" t="s">
        <v>18867</v>
      </c>
      <c r="C3987" s="12">
        <v>134</v>
      </c>
      <c r="D3987" s="12">
        <v>88</v>
      </c>
      <c r="E3987" s="12">
        <v>104</v>
      </c>
      <c r="F3987" s="12">
        <v>318</v>
      </c>
      <c r="G3987" s="12">
        <v>628</v>
      </c>
      <c r="H3987" s="12">
        <v>83400000</v>
      </c>
      <c r="I3987" s="12" t="s">
        <v>1672</v>
      </c>
      <c r="J3987" s="12" t="s">
        <v>18868</v>
      </c>
      <c r="K3987" s="12" t="s">
        <v>18869</v>
      </c>
      <c r="L3987" s="12" t="s">
        <v>18870</v>
      </c>
      <c r="M3987" s="12" t="s">
        <v>18871</v>
      </c>
      <c r="N3987" s="12">
        <v>160281</v>
      </c>
      <c r="O3987" s="12">
        <v>2726</v>
      </c>
      <c r="P3987" s="12">
        <v>0</v>
      </c>
      <c r="Q3987" s="12" t="s">
        <v>18872</v>
      </c>
      <c r="R3987" s="15" t="s">
        <v>18873</v>
      </c>
      <c r="S3987" s="12">
        <v>427</v>
      </c>
      <c r="T3987" s="12" t="s">
        <v>39</v>
      </c>
      <c r="U3987" s="12" t="s">
        <v>40</v>
      </c>
      <c r="V3987" s="12" t="s">
        <v>96</v>
      </c>
      <c r="W3987" s="12">
        <v>3500000</v>
      </c>
      <c r="X3987" s="12">
        <v>1980</v>
      </c>
      <c r="Y3987" s="12">
        <v>575</v>
      </c>
      <c r="Z3987" s="12">
        <v>7.8</v>
      </c>
      <c r="AA3987" s="12">
        <v>1.85</v>
      </c>
      <c r="AB3987" s="12">
        <v>16000</v>
      </c>
      <c r="AC3987" s="12"/>
      <c r="AD3987" s="12" t="str">
        <f>IFERROR(__xludf.DUMMYFUNCTION("""COMPUTED_VALUE"""),"Vic Aviles")</f>
        <v>Vic Aviles</v>
      </c>
      <c r="AE3987" s="12"/>
    </row>
    <row r="3988" customHeight="1" spans="1:31">
      <c r="A3988" s="11" t="s">
        <v>30</v>
      </c>
      <c r="B3988" s="11" t="s">
        <v>18874</v>
      </c>
      <c r="C3988" s="11">
        <v>11</v>
      </c>
      <c r="D3988" s="11">
        <v>88</v>
      </c>
      <c r="E3988" s="11">
        <v>2</v>
      </c>
      <c r="F3988" s="11">
        <v>6</v>
      </c>
      <c r="G3988" s="11">
        <v>2000</v>
      </c>
      <c r="H3988" s="13"/>
      <c r="I3988" s="11" t="s">
        <v>60</v>
      </c>
      <c r="J3988" s="11" t="s">
        <v>6434</v>
      </c>
      <c r="K3988" s="11" t="s">
        <v>2973</v>
      </c>
      <c r="L3988" s="11" t="s">
        <v>18875</v>
      </c>
      <c r="M3988" s="11" t="s">
        <v>18876</v>
      </c>
      <c r="N3988" s="11">
        <v>801</v>
      </c>
      <c r="O3988" s="11">
        <v>2886</v>
      </c>
      <c r="P3988" s="11">
        <v>3</v>
      </c>
      <c r="Q3988" s="11" t="s">
        <v>18877</v>
      </c>
      <c r="R3988" s="14" t="s">
        <v>18878</v>
      </c>
      <c r="S3988" s="11">
        <v>14</v>
      </c>
      <c r="T3988" s="11" t="s">
        <v>39</v>
      </c>
      <c r="U3988" s="11" t="s">
        <v>40</v>
      </c>
      <c r="V3988" s="11" t="s">
        <v>586</v>
      </c>
      <c r="W3988" s="11">
        <v>5000000</v>
      </c>
      <c r="X3988" s="11">
        <v>2015</v>
      </c>
      <c r="Y3988" s="11">
        <v>872</v>
      </c>
      <c r="Z3988" s="11">
        <v>3.5</v>
      </c>
      <c r="AA3988" s="11">
        <v>1.33</v>
      </c>
      <c r="AB3988" s="11">
        <v>358</v>
      </c>
      <c r="AC3988" s="11"/>
      <c r="AD3988" s="11" t="str">
        <f>IFERROR(__xludf.DUMMYFUNCTION("""COMPUTED_VALUE"""),"Danielle Darrieux")</f>
        <v>Danielle Darrieux</v>
      </c>
      <c r="AE3988" s="11"/>
    </row>
    <row r="3989" customHeight="1" spans="1:31">
      <c r="A3989" s="12" t="s">
        <v>748</v>
      </c>
      <c r="B3989" s="12" t="s">
        <v>3089</v>
      </c>
      <c r="C3989" s="12">
        <v>20</v>
      </c>
      <c r="D3989" s="12">
        <v>97</v>
      </c>
      <c r="E3989" s="12">
        <v>473</v>
      </c>
      <c r="F3989" s="12">
        <v>624</v>
      </c>
      <c r="G3989" s="12">
        <v>826</v>
      </c>
      <c r="H3989" s="12">
        <v>27900000</v>
      </c>
      <c r="I3989" s="12" t="s">
        <v>2528</v>
      </c>
      <c r="J3989" s="12" t="s">
        <v>6383</v>
      </c>
      <c r="K3989" s="12" t="s">
        <v>3883</v>
      </c>
      <c r="L3989" s="12" t="s">
        <v>4978</v>
      </c>
      <c r="M3989" s="12" t="s">
        <v>18879</v>
      </c>
      <c r="N3989" s="12">
        <v>74626</v>
      </c>
      <c r="O3989" s="12">
        <v>3455</v>
      </c>
      <c r="P3989" s="12">
        <v>1</v>
      </c>
      <c r="Q3989" s="12" t="s">
        <v>18880</v>
      </c>
      <c r="R3989" s="15" t="s">
        <v>18881</v>
      </c>
      <c r="S3989" s="12">
        <v>157</v>
      </c>
      <c r="T3989" s="12" t="s">
        <v>39</v>
      </c>
      <c r="U3989" s="12" t="s">
        <v>40</v>
      </c>
      <c r="V3989" s="12" t="s">
        <v>586</v>
      </c>
      <c r="W3989" s="12">
        <v>3500000</v>
      </c>
      <c r="X3989" s="12">
        <v>1995</v>
      </c>
      <c r="Y3989" s="12">
        <v>723</v>
      </c>
      <c r="Z3989" s="12">
        <v>7.3</v>
      </c>
      <c r="AA3989" s="12">
        <v>1.85</v>
      </c>
      <c r="AB3989" s="12">
        <v>8000</v>
      </c>
      <c r="AC3989" s="12"/>
      <c r="AD3989" s="12" t="str">
        <f>IFERROR(__xludf.DUMMYFUNCTION("""COMPUTED_VALUE"""),"Max Riemelt")</f>
        <v>Max Riemelt</v>
      </c>
      <c r="AE3989" s="12"/>
    </row>
    <row r="3990" customHeight="1" spans="1:31">
      <c r="A3990" s="11" t="s">
        <v>30</v>
      </c>
      <c r="B3990" s="11" t="s">
        <v>2653</v>
      </c>
      <c r="C3990" s="11">
        <v>28</v>
      </c>
      <c r="D3990" s="11">
        <v>97</v>
      </c>
      <c r="E3990" s="11">
        <v>117</v>
      </c>
      <c r="F3990" s="11">
        <v>556</v>
      </c>
      <c r="G3990" s="11">
        <v>851</v>
      </c>
      <c r="H3990" s="11">
        <v>27900000</v>
      </c>
      <c r="I3990" s="11" t="s">
        <v>2126</v>
      </c>
      <c r="J3990" s="11" t="s">
        <v>805</v>
      </c>
      <c r="K3990" s="11" t="s">
        <v>2862</v>
      </c>
      <c r="L3990" s="11" t="s">
        <v>13083</v>
      </c>
      <c r="M3990" s="11" t="s">
        <v>18882</v>
      </c>
      <c r="N3990" s="11">
        <v>39508</v>
      </c>
      <c r="O3990" s="11">
        <v>3036</v>
      </c>
      <c r="P3990" s="11">
        <v>2</v>
      </c>
      <c r="Q3990" s="11" t="s">
        <v>18883</v>
      </c>
      <c r="R3990" s="14" t="s">
        <v>18884</v>
      </c>
      <c r="S3990" s="11">
        <v>96</v>
      </c>
      <c r="T3990" s="11" t="s">
        <v>39</v>
      </c>
      <c r="U3990" s="11" t="s">
        <v>40</v>
      </c>
      <c r="V3990" s="11" t="s">
        <v>586</v>
      </c>
      <c r="W3990" s="11">
        <v>3500000</v>
      </c>
      <c r="X3990" s="11">
        <v>1993</v>
      </c>
      <c r="Y3990" s="11">
        <v>582</v>
      </c>
      <c r="Z3990" s="11">
        <v>7.5</v>
      </c>
      <c r="AA3990" s="11">
        <v>1.85</v>
      </c>
      <c r="AB3990" s="11">
        <v>0</v>
      </c>
      <c r="AC3990" s="11"/>
      <c r="AD3990" s="11" t="str">
        <f>IFERROR(__xludf.DUMMYFUNCTION("""COMPUTED_VALUE"""),"Elyas M'Barek")</f>
        <v>Elyas M'Barek</v>
      </c>
      <c r="AE3990" s="11"/>
    </row>
    <row r="3991" customHeight="1" spans="1:31">
      <c r="A3991" s="12" t="s">
        <v>30</v>
      </c>
      <c r="B3991" s="16"/>
      <c r="C3991" s="12">
        <v>22</v>
      </c>
      <c r="D3991" s="12">
        <v>42</v>
      </c>
      <c r="E3991" s="16"/>
      <c r="F3991" s="12">
        <v>496</v>
      </c>
      <c r="G3991" s="12">
        <v>912</v>
      </c>
      <c r="H3991" s="16"/>
      <c r="I3991" s="12" t="s">
        <v>6200</v>
      </c>
      <c r="J3991" s="12" t="s">
        <v>18885</v>
      </c>
      <c r="K3991" s="12" t="s">
        <v>2364</v>
      </c>
      <c r="L3991" s="12" t="s">
        <v>13383</v>
      </c>
      <c r="M3991" s="12" t="s">
        <v>18886</v>
      </c>
      <c r="N3991" s="12">
        <v>27418</v>
      </c>
      <c r="O3991" s="12">
        <v>4337</v>
      </c>
      <c r="P3991" s="12">
        <v>2</v>
      </c>
      <c r="Q3991" s="12" t="s">
        <v>18887</v>
      </c>
      <c r="R3991" s="15" t="s">
        <v>18888</v>
      </c>
      <c r="S3991" s="12">
        <v>92</v>
      </c>
      <c r="T3991" s="12" t="s">
        <v>39</v>
      </c>
      <c r="U3991" s="12" t="s">
        <v>40</v>
      </c>
      <c r="V3991" s="12" t="s">
        <v>1127</v>
      </c>
      <c r="W3991" s="16"/>
      <c r="X3991" s="16"/>
      <c r="Y3991" s="12">
        <v>906</v>
      </c>
      <c r="Z3991" s="12">
        <v>7.8</v>
      </c>
      <c r="AA3991" s="12">
        <v>16</v>
      </c>
      <c r="AB3991" s="12">
        <v>14000</v>
      </c>
      <c r="AC3991" s="12"/>
      <c r="AD3991" s="12" t="str">
        <f>IFERROR(__xludf.DUMMYFUNCTION("""COMPUTED_VALUE"""),"Jennifer Ulrich")</f>
        <v>Jennifer Ulrich</v>
      </c>
      <c r="AE3991" s="12"/>
    </row>
    <row r="3992" customHeight="1" spans="1:31">
      <c r="A3992" s="11" t="s">
        <v>30</v>
      </c>
      <c r="B3992" s="11" t="s">
        <v>18889</v>
      </c>
      <c r="C3992" s="11">
        <v>95</v>
      </c>
      <c r="D3992" s="11">
        <v>85</v>
      </c>
      <c r="E3992" s="11">
        <v>10</v>
      </c>
      <c r="F3992" s="11">
        <v>178</v>
      </c>
      <c r="G3992" s="11">
        <v>3000</v>
      </c>
      <c r="H3992" s="11">
        <v>14000000</v>
      </c>
      <c r="I3992" s="11" t="s">
        <v>8066</v>
      </c>
      <c r="J3992" s="11" t="s">
        <v>8012</v>
      </c>
      <c r="K3992" s="11" t="s">
        <v>4700</v>
      </c>
      <c r="L3992" s="11" t="s">
        <v>18445</v>
      </c>
      <c r="M3992" s="11" t="s">
        <v>18890</v>
      </c>
      <c r="N3992" s="11">
        <v>15956</v>
      </c>
      <c r="O3992" s="11">
        <v>3617</v>
      </c>
      <c r="P3992" s="11">
        <v>0</v>
      </c>
      <c r="Q3992" s="11" t="s">
        <v>18891</v>
      </c>
      <c r="R3992" s="14" t="s">
        <v>18892</v>
      </c>
      <c r="S3992" s="11">
        <v>118</v>
      </c>
      <c r="T3992" s="11" t="s">
        <v>39</v>
      </c>
      <c r="U3992" s="11" t="s">
        <v>40</v>
      </c>
      <c r="V3992" s="11" t="s">
        <v>586</v>
      </c>
      <c r="W3992" s="11">
        <v>3500000</v>
      </c>
      <c r="X3992" s="11">
        <v>1987</v>
      </c>
      <c r="Y3992" s="11">
        <v>273</v>
      </c>
      <c r="Z3992" s="11">
        <v>6</v>
      </c>
      <c r="AA3992" s="11">
        <v>1.85</v>
      </c>
      <c r="AB3992" s="11">
        <v>1000</v>
      </c>
      <c r="AC3992" s="11"/>
      <c r="AD3992" s="11" t="str">
        <f>IFERROR(__xludf.DUMMYFUNCTION("""COMPUTED_VALUE"""),"Charles Baker")</f>
        <v>Charles Baker</v>
      </c>
      <c r="AE3992" s="11"/>
    </row>
    <row r="3993" customHeight="1" spans="1:31">
      <c r="A3993" s="12" t="s">
        <v>30</v>
      </c>
      <c r="B3993" s="12" t="s">
        <v>17194</v>
      </c>
      <c r="C3993" s="12">
        <v>31</v>
      </c>
      <c r="D3993" s="12">
        <v>121</v>
      </c>
      <c r="E3993" s="12">
        <v>541</v>
      </c>
      <c r="F3993" s="12">
        <v>242</v>
      </c>
      <c r="G3993" s="12">
        <v>575</v>
      </c>
      <c r="H3993" s="16"/>
      <c r="I3993" s="12" t="s">
        <v>18893</v>
      </c>
      <c r="J3993" s="12" t="s">
        <v>18804</v>
      </c>
      <c r="K3993" s="12" t="s">
        <v>6806</v>
      </c>
      <c r="L3993" s="12" t="s">
        <v>17197</v>
      </c>
      <c r="M3993" s="12" t="s">
        <v>18894</v>
      </c>
      <c r="N3993" s="12">
        <v>6350</v>
      </c>
      <c r="O3993" s="12">
        <v>1970</v>
      </c>
      <c r="P3993" s="12">
        <v>2</v>
      </c>
      <c r="Q3993" s="12" t="s">
        <v>18895</v>
      </c>
      <c r="R3993" s="15" t="s">
        <v>18896</v>
      </c>
      <c r="S3993" s="12">
        <v>62</v>
      </c>
      <c r="T3993" s="12" t="s">
        <v>39</v>
      </c>
      <c r="U3993" s="12" t="s">
        <v>40</v>
      </c>
      <c r="V3993" s="12" t="s">
        <v>586</v>
      </c>
      <c r="W3993" s="12">
        <v>3716946</v>
      </c>
      <c r="X3993" s="12">
        <v>1970</v>
      </c>
      <c r="Y3993" s="12">
        <v>372</v>
      </c>
      <c r="Z3993" s="12">
        <v>7.3</v>
      </c>
      <c r="AA3993" s="12">
        <v>1.85</v>
      </c>
      <c r="AB3993" s="12">
        <v>357</v>
      </c>
      <c r="AC3993" s="12"/>
      <c r="AD3993" s="12" t="str">
        <f>IFERROR(__xludf.DUMMYFUNCTION("""COMPUTED_VALUE"""),"George Coe")</f>
        <v>George Coe</v>
      </c>
      <c r="AE3993" s="12"/>
    </row>
    <row r="3994" customHeight="1" spans="1:31">
      <c r="A3994" s="11" t="s">
        <v>748</v>
      </c>
      <c r="B3994" s="11" t="s">
        <v>18897</v>
      </c>
      <c r="C3994" s="11">
        <v>79</v>
      </c>
      <c r="D3994" s="11">
        <v>134</v>
      </c>
      <c r="E3994" s="11">
        <v>174</v>
      </c>
      <c r="F3994" s="11">
        <v>188</v>
      </c>
      <c r="G3994" s="11">
        <v>255</v>
      </c>
      <c r="H3994" s="13"/>
      <c r="I3994" s="11" t="s">
        <v>10811</v>
      </c>
      <c r="J3994" s="11" t="s">
        <v>18898</v>
      </c>
      <c r="K3994" s="11" t="s">
        <v>3556</v>
      </c>
      <c r="L3994" s="11" t="s">
        <v>18899</v>
      </c>
      <c r="M3994" s="11" t="s">
        <v>18900</v>
      </c>
      <c r="N3994" s="11">
        <v>19026</v>
      </c>
      <c r="O3994" s="11">
        <v>970</v>
      </c>
      <c r="P3994" s="11">
        <v>1</v>
      </c>
      <c r="Q3994" s="11" t="s">
        <v>18901</v>
      </c>
      <c r="R3994" s="14" t="s">
        <v>18902</v>
      </c>
      <c r="S3994" s="11">
        <v>128</v>
      </c>
      <c r="T3994" s="11" t="s">
        <v>39</v>
      </c>
      <c r="U3994" s="11" t="s">
        <v>40</v>
      </c>
      <c r="V3994" s="11" t="s">
        <v>6037</v>
      </c>
      <c r="W3994" s="11">
        <v>3500000</v>
      </c>
      <c r="X3994" s="11">
        <v>1967</v>
      </c>
      <c r="Y3994" s="11">
        <v>220</v>
      </c>
      <c r="Z3994" s="11">
        <v>8</v>
      </c>
      <c r="AA3994" s="11">
        <v>2.35</v>
      </c>
      <c r="AB3994" s="11">
        <v>0</v>
      </c>
      <c r="AC3994" s="11"/>
      <c r="AD3994" s="11" t="str">
        <f>IFERROR(__xludf.DUMMYFUNCTION("""COMPUTED_VALUE"""),"Ayla Kell")</f>
        <v>Ayla Kell</v>
      </c>
      <c r="AE3994" s="11"/>
    </row>
    <row r="3995" customHeight="1" spans="1:31">
      <c r="A3995" s="12" t="s">
        <v>30</v>
      </c>
      <c r="B3995" s="12" t="s">
        <v>17251</v>
      </c>
      <c r="C3995" s="12">
        <v>25</v>
      </c>
      <c r="D3995" s="12">
        <v>149</v>
      </c>
      <c r="E3995" s="12">
        <v>160</v>
      </c>
      <c r="F3995" s="12">
        <v>75</v>
      </c>
      <c r="G3995" s="12">
        <v>157</v>
      </c>
      <c r="H3995" s="16"/>
      <c r="I3995" s="12" t="s">
        <v>3410</v>
      </c>
      <c r="J3995" s="12" t="s">
        <v>18903</v>
      </c>
      <c r="K3995" s="12" t="s">
        <v>18904</v>
      </c>
      <c r="L3995" s="12" t="s">
        <v>18905</v>
      </c>
      <c r="M3995" s="12" t="s">
        <v>18906</v>
      </c>
      <c r="N3995" s="12">
        <v>7071</v>
      </c>
      <c r="O3995" s="12">
        <v>646</v>
      </c>
      <c r="P3995" s="12">
        <v>0</v>
      </c>
      <c r="Q3995" s="12" t="s">
        <v>18907</v>
      </c>
      <c r="R3995" s="15" t="s">
        <v>18908</v>
      </c>
      <c r="S3995" s="12">
        <v>83</v>
      </c>
      <c r="T3995" s="12" t="s">
        <v>39</v>
      </c>
      <c r="U3995" s="12" t="s">
        <v>40</v>
      </c>
      <c r="V3995" s="12" t="s">
        <v>4831</v>
      </c>
      <c r="W3995" s="12">
        <v>3500000</v>
      </c>
      <c r="X3995" s="12">
        <v>1959</v>
      </c>
      <c r="Y3995" s="12">
        <v>139</v>
      </c>
      <c r="Z3995" s="12">
        <v>7.6</v>
      </c>
      <c r="AA3995" s="12">
        <v>1.78</v>
      </c>
      <c r="AB3995" s="12">
        <v>930</v>
      </c>
      <c r="AC3995" s="12"/>
      <c r="AD3995" s="12" t="str">
        <f>IFERROR(__xludf.DUMMYFUNCTION("""COMPUTED_VALUE"""),"Aki Aleong")</f>
        <v>Aki Aleong</v>
      </c>
      <c r="AE3995" s="12"/>
    </row>
    <row r="3996" customHeight="1" spans="1:31">
      <c r="A3996" s="11" t="s">
        <v>30</v>
      </c>
      <c r="B3996" s="11" t="s">
        <v>12331</v>
      </c>
      <c r="C3996" s="11">
        <v>22</v>
      </c>
      <c r="D3996" s="11">
        <v>121</v>
      </c>
      <c r="E3996" s="11">
        <v>22</v>
      </c>
      <c r="F3996" s="11">
        <v>367</v>
      </c>
      <c r="G3996" s="11">
        <v>606</v>
      </c>
      <c r="H3996" s="13"/>
      <c r="I3996" s="11" t="s">
        <v>1120</v>
      </c>
      <c r="J3996" s="11" t="s">
        <v>11034</v>
      </c>
      <c r="K3996" s="11" t="s">
        <v>3852</v>
      </c>
      <c r="L3996" s="11" t="s">
        <v>4826</v>
      </c>
      <c r="M3996" s="11" t="s">
        <v>18909</v>
      </c>
      <c r="N3996" s="11">
        <v>5941</v>
      </c>
      <c r="O3996" s="11">
        <v>2402</v>
      </c>
      <c r="P3996" s="11">
        <v>1</v>
      </c>
      <c r="Q3996" s="11" t="s">
        <v>18910</v>
      </c>
      <c r="R3996" s="14" t="s">
        <v>18911</v>
      </c>
      <c r="S3996" s="11">
        <v>74</v>
      </c>
      <c r="T3996" s="11" t="s">
        <v>39</v>
      </c>
      <c r="U3996" s="11" t="s">
        <v>40</v>
      </c>
      <c r="V3996" s="11" t="s">
        <v>4831</v>
      </c>
      <c r="W3996" s="11">
        <v>3500000</v>
      </c>
      <c r="X3996" s="11">
        <v>1966</v>
      </c>
      <c r="Y3996" s="11">
        <v>481</v>
      </c>
      <c r="Z3996" s="11">
        <v>7</v>
      </c>
      <c r="AA3996" s="11">
        <v>2.35</v>
      </c>
      <c r="AB3996" s="11">
        <v>470</v>
      </c>
      <c r="AC3996" s="11"/>
      <c r="AD3996" s="11" t="str">
        <f>IFERROR(__xludf.DUMMYFUNCTION("""COMPUTED_VALUE"""),"Brahim Achabbakhe")</f>
        <v>Brahim Achabbakhe</v>
      </c>
      <c r="AE3996" s="11"/>
    </row>
    <row r="3997" customHeight="1" spans="1:31">
      <c r="A3997" s="12" t="s">
        <v>30</v>
      </c>
      <c r="B3997" s="12" t="s">
        <v>11033</v>
      </c>
      <c r="C3997" s="12">
        <v>110</v>
      </c>
      <c r="D3997" s="12">
        <v>116</v>
      </c>
      <c r="E3997" s="12">
        <v>13000</v>
      </c>
      <c r="F3997" s="12">
        <v>118</v>
      </c>
      <c r="G3997" s="12">
        <v>195</v>
      </c>
      <c r="H3997" s="16"/>
      <c r="I3997" s="12" t="s">
        <v>10413</v>
      </c>
      <c r="J3997" s="12" t="s">
        <v>18912</v>
      </c>
      <c r="K3997" s="12" t="s">
        <v>9158</v>
      </c>
      <c r="L3997" s="12" t="s">
        <v>18913</v>
      </c>
      <c r="M3997" s="12" t="s">
        <v>18914</v>
      </c>
      <c r="N3997" s="12">
        <v>30982</v>
      </c>
      <c r="O3997" s="12">
        <v>771</v>
      </c>
      <c r="P3997" s="12">
        <v>0</v>
      </c>
      <c r="Q3997" s="12" t="s">
        <v>18915</v>
      </c>
      <c r="R3997" s="15" t="s">
        <v>18916</v>
      </c>
      <c r="S3997" s="12">
        <v>199</v>
      </c>
      <c r="T3997" s="12" t="s">
        <v>39</v>
      </c>
      <c r="U3997" s="12" t="s">
        <v>58</v>
      </c>
      <c r="V3997" s="12" t="s">
        <v>586</v>
      </c>
      <c r="W3997" s="12">
        <v>2000000</v>
      </c>
      <c r="X3997" s="12">
        <v>1972</v>
      </c>
      <c r="Y3997" s="12">
        <v>146</v>
      </c>
      <c r="Z3997" s="12">
        <v>7.5</v>
      </c>
      <c r="AA3997" s="12">
        <v>1.85</v>
      </c>
      <c r="AB3997" s="12">
        <v>0</v>
      </c>
      <c r="AC3997" s="12"/>
      <c r="AD3997" s="12" t="str">
        <f>IFERROR(__xludf.DUMMYFUNCTION("""COMPUTED_VALUE"""),"Jill St. John")</f>
        <v>Jill St. John</v>
      </c>
      <c r="AE3997" s="12"/>
    </row>
    <row r="3998" customHeight="1" spans="1:31">
      <c r="A3998" s="11" t="s">
        <v>30</v>
      </c>
      <c r="B3998" s="11" t="s">
        <v>18917</v>
      </c>
      <c r="C3998" s="11">
        <v>425</v>
      </c>
      <c r="D3998" s="11">
        <v>92</v>
      </c>
      <c r="E3998" s="11">
        <v>22</v>
      </c>
      <c r="F3998" s="11">
        <v>159</v>
      </c>
      <c r="G3998" s="11">
        <v>648</v>
      </c>
      <c r="H3998" s="11">
        <v>25138292</v>
      </c>
      <c r="I3998" s="11" t="s">
        <v>5104</v>
      </c>
      <c r="J3998" s="11" t="s">
        <v>7954</v>
      </c>
      <c r="K3998" s="11" t="s">
        <v>18918</v>
      </c>
      <c r="L3998" s="11" t="s">
        <v>1241</v>
      </c>
      <c r="M3998" s="11" t="s">
        <v>18919</v>
      </c>
      <c r="N3998" s="11">
        <v>66483</v>
      </c>
      <c r="O3998" s="11">
        <v>1122</v>
      </c>
      <c r="P3998" s="11">
        <v>0</v>
      </c>
      <c r="Q3998" s="11" t="s">
        <v>18920</v>
      </c>
      <c r="R3998" s="14" t="s">
        <v>18921</v>
      </c>
      <c r="S3998" s="11">
        <v>452</v>
      </c>
      <c r="T3998" s="11" t="s">
        <v>39</v>
      </c>
      <c r="U3998" s="11" t="s">
        <v>40</v>
      </c>
      <c r="V3998" s="11" t="s">
        <v>586</v>
      </c>
      <c r="W3998" s="11">
        <v>3500000</v>
      </c>
      <c r="X3998" s="11">
        <v>2015</v>
      </c>
      <c r="Y3998" s="11">
        <v>191</v>
      </c>
      <c r="Z3998" s="11">
        <v>6.8</v>
      </c>
      <c r="AA3998" s="11">
        <v>1.66</v>
      </c>
      <c r="AB3998" s="11">
        <v>43000</v>
      </c>
      <c r="AC3998" s="11"/>
      <c r="AD3998" s="11" t="str">
        <f>IFERROR(__xludf.DUMMYFUNCTION("""COMPUTED_VALUE"""),"Cynthia Rhodes")</f>
        <v>Cynthia Rhodes</v>
      </c>
      <c r="AE3998" s="11"/>
    </row>
    <row r="3999" customHeight="1" spans="1:31">
      <c r="A3999" s="12" t="s">
        <v>30</v>
      </c>
      <c r="B3999" s="12" t="s">
        <v>18922</v>
      </c>
      <c r="C3999" s="12">
        <v>19</v>
      </c>
      <c r="D3999" s="12">
        <v>93</v>
      </c>
      <c r="E3999" s="12">
        <v>0</v>
      </c>
      <c r="F3999" s="12">
        <v>78</v>
      </c>
      <c r="G3999" s="12">
        <v>625</v>
      </c>
      <c r="H3999" s="12">
        <v>10305534</v>
      </c>
      <c r="I3999" s="12" t="s">
        <v>1672</v>
      </c>
      <c r="J3999" s="12" t="s">
        <v>18923</v>
      </c>
      <c r="K3999" s="12" t="s">
        <v>18924</v>
      </c>
      <c r="L3999" s="12" t="s">
        <v>18925</v>
      </c>
      <c r="M3999" s="12" t="s">
        <v>18926</v>
      </c>
      <c r="N3999" s="12">
        <v>1721</v>
      </c>
      <c r="O3999" s="12">
        <v>987</v>
      </c>
      <c r="P3999" s="12">
        <v>2</v>
      </c>
      <c r="Q3999" s="12" t="s">
        <v>18927</v>
      </c>
      <c r="R3999" s="15" t="s">
        <v>18928</v>
      </c>
      <c r="S3999" s="12">
        <v>38</v>
      </c>
      <c r="T3999" s="12" t="s">
        <v>39</v>
      </c>
      <c r="U3999" s="12" t="s">
        <v>40</v>
      </c>
      <c r="V3999" s="12" t="s">
        <v>586</v>
      </c>
      <c r="W3999" s="12">
        <v>3500000</v>
      </c>
      <c r="X3999" s="12">
        <v>1998</v>
      </c>
      <c r="Y3999" s="12">
        <v>118</v>
      </c>
      <c r="Z3999" s="12">
        <v>3.9</v>
      </c>
      <c r="AA3999" s="12">
        <v>1.85</v>
      </c>
      <c r="AB3999" s="12">
        <v>280</v>
      </c>
      <c r="AC3999" s="12"/>
      <c r="AD3999" s="12" t="str">
        <f>IFERROR(__xludf.DUMMYFUNCTION("""COMPUTED_VALUE"""),"Lee Ving")</f>
        <v>Lee Ving</v>
      </c>
      <c r="AE3999" s="12"/>
    </row>
    <row r="4000" customHeight="1" spans="1:31">
      <c r="A4000" s="11" t="s">
        <v>30</v>
      </c>
      <c r="B4000" s="11" t="s">
        <v>18750</v>
      </c>
      <c r="C4000" s="11">
        <v>43</v>
      </c>
      <c r="D4000" s="11">
        <v>96</v>
      </c>
      <c r="E4000" s="11">
        <v>0</v>
      </c>
      <c r="F4000" s="11">
        <v>111</v>
      </c>
      <c r="G4000" s="11">
        <v>385</v>
      </c>
      <c r="H4000" s="11">
        <v>9449219</v>
      </c>
      <c r="I4000" s="11" t="s">
        <v>1415</v>
      </c>
      <c r="J4000" s="11" t="s">
        <v>6877</v>
      </c>
      <c r="K4000" s="11" t="s">
        <v>11857</v>
      </c>
      <c r="L4000" s="11" t="s">
        <v>18929</v>
      </c>
      <c r="M4000" s="11" t="s">
        <v>18930</v>
      </c>
      <c r="N4000" s="11">
        <v>13949</v>
      </c>
      <c r="O4000" s="11">
        <v>995</v>
      </c>
      <c r="P4000" s="11">
        <v>2</v>
      </c>
      <c r="Q4000" s="11" t="s">
        <v>18931</v>
      </c>
      <c r="R4000" s="14" t="s">
        <v>18932</v>
      </c>
      <c r="S4000" s="11">
        <v>98</v>
      </c>
      <c r="T4000" s="11" t="s">
        <v>39</v>
      </c>
      <c r="U4000" s="11" t="s">
        <v>40</v>
      </c>
      <c r="V4000" s="11" t="s">
        <v>586</v>
      </c>
      <c r="W4000" s="11">
        <v>3500000</v>
      </c>
      <c r="X4000" s="11">
        <v>1996</v>
      </c>
      <c r="Y4000" s="11">
        <v>356</v>
      </c>
      <c r="Z4000" s="11">
        <v>6.1</v>
      </c>
      <c r="AA4000" s="11">
        <v>1.85</v>
      </c>
      <c r="AB4000" s="11">
        <v>453</v>
      </c>
      <c r="AC4000" s="11"/>
      <c r="AD4000" s="11" t="str">
        <f>IFERROR(__xludf.DUMMYFUNCTION("""COMPUTED_VALUE"""),"Ian Mune")</f>
        <v>Ian Mune</v>
      </c>
      <c r="AE4000" s="11"/>
    </row>
    <row r="4001" customHeight="1" spans="1:31">
      <c r="A4001" s="12" t="s">
        <v>748</v>
      </c>
      <c r="B4001" s="12" t="s">
        <v>1105</v>
      </c>
      <c r="C4001" s="12">
        <v>127</v>
      </c>
      <c r="D4001" s="12">
        <v>105</v>
      </c>
      <c r="E4001" s="12">
        <v>386</v>
      </c>
      <c r="F4001" s="12">
        <v>248</v>
      </c>
      <c r="G4001" s="12">
        <v>3000</v>
      </c>
      <c r="H4001" s="12">
        <v>6390032</v>
      </c>
      <c r="I4001" s="12" t="s">
        <v>1544</v>
      </c>
      <c r="J4001" s="12" t="s">
        <v>503</v>
      </c>
      <c r="K4001" s="12" t="s">
        <v>12562</v>
      </c>
      <c r="L4001" s="12" t="s">
        <v>7770</v>
      </c>
      <c r="M4001" s="12" t="s">
        <v>18933</v>
      </c>
      <c r="N4001" s="12">
        <v>24977</v>
      </c>
      <c r="O4001" s="12">
        <v>4238</v>
      </c>
      <c r="P4001" s="12">
        <v>2</v>
      </c>
      <c r="Q4001" s="12" t="s">
        <v>18934</v>
      </c>
      <c r="R4001" s="15" t="s">
        <v>18935</v>
      </c>
      <c r="S4001" s="12">
        <v>229</v>
      </c>
      <c r="T4001" s="12" t="s">
        <v>39</v>
      </c>
      <c r="U4001" s="12" t="s">
        <v>40</v>
      </c>
      <c r="V4001" s="12" t="s">
        <v>586</v>
      </c>
      <c r="W4001" s="12">
        <v>3500000</v>
      </c>
      <c r="X4001" s="12">
        <v>1998</v>
      </c>
      <c r="Y4001" s="12">
        <v>258</v>
      </c>
      <c r="Z4001" s="12">
        <v>7.5</v>
      </c>
      <c r="AA4001" s="12">
        <v>2.35</v>
      </c>
      <c r="AB4001" s="12">
        <v>0</v>
      </c>
      <c r="AC4001" s="12"/>
      <c r="AD4001" s="12" t="str">
        <f>IFERROR(__xludf.DUMMYFUNCTION("""COMPUTED_VALUE"""),"Geneviève Lemon")</f>
        <v>Geneviève Lemon</v>
      </c>
      <c r="AE4001" s="12"/>
    </row>
    <row r="4002" customHeight="1" spans="1:31">
      <c r="A4002" s="11" t="s">
        <v>30</v>
      </c>
      <c r="B4002" s="11" t="s">
        <v>10541</v>
      </c>
      <c r="C4002" s="11">
        <v>262</v>
      </c>
      <c r="D4002" s="11">
        <v>129</v>
      </c>
      <c r="E4002" s="11">
        <v>195</v>
      </c>
      <c r="F4002" s="11">
        <v>50</v>
      </c>
      <c r="G4002" s="11">
        <v>827</v>
      </c>
      <c r="H4002" s="11">
        <v>20167424</v>
      </c>
      <c r="I4002" s="11" t="s">
        <v>1924</v>
      </c>
      <c r="J4002" s="11" t="s">
        <v>18936</v>
      </c>
      <c r="K4002" s="11" t="s">
        <v>18937</v>
      </c>
      <c r="L4002" s="11" t="s">
        <v>18938</v>
      </c>
      <c r="M4002" s="11" t="s">
        <v>18939</v>
      </c>
      <c r="N4002" s="11">
        <v>131831</v>
      </c>
      <c r="O4002" s="11">
        <v>1044</v>
      </c>
      <c r="P4002" s="11">
        <v>0</v>
      </c>
      <c r="Q4002" s="11" t="s">
        <v>18940</v>
      </c>
      <c r="R4002" s="14" t="s">
        <v>18941</v>
      </c>
      <c r="S4002" s="11">
        <v>231</v>
      </c>
      <c r="T4002" s="11" t="s">
        <v>2779</v>
      </c>
      <c r="U4002" s="11" t="s">
        <v>18942</v>
      </c>
      <c r="V4002" s="11" t="s">
        <v>586</v>
      </c>
      <c r="W4002" s="11">
        <v>2000000</v>
      </c>
      <c r="X4002" s="11">
        <v>2009</v>
      </c>
      <c r="Y4002" s="11">
        <v>88</v>
      </c>
      <c r="Z4002" s="11">
        <v>8.2</v>
      </c>
      <c r="AA4002" s="11">
        <v>2.35</v>
      </c>
      <c r="AB4002" s="11">
        <v>33000</v>
      </c>
      <c r="AC4002" s="11"/>
      <c r="AD4002" s="11" t="str">
        <f>IFERROR(__xludf.DUMMYFUNCTION("""COMPUTED_VALUE"""),"Emma Caulfield")</f>
        <v>Emma Caulfield</v>
      </c>
      <c r="AE4002" s="11"/>
    </row>
    <row r="4003" customHeight="1" spans="1:31">
      <c r="A4003" s="12" t="s">
        <v>30</v>
      </c>
      <c r="B4003" s="12" t="s">
        <v>2496</v>
      </c>
      <c r="C4003" s="12">
        <v>184</v>
      </c>
      <c r="D4003" s="12">
        <v>87</v>
      </c>
      <c r="E4003" s="12">
        <v>0</v>
      </c>
      <c r="F4003" s="12">
        <v>83</v>
      </c>
      <c r="G4003" s="12">
        <v>1000</v>
      </c>
      <c r="H4003" s="16"/>
      <c r="I4003" s="12" t="s">
        <v>6403</v>
      </c>
      <c r="J4003" s="12" t="s">
        <v>12067</v>
      </c>
      <c r="K4003" s="12" t="s">
        <v>12068</v>
      </c>
      <c r="L4003" s="12" t="s">
        <v>12069</v>
      </c>
      <c r="M4003" s="12" t="s">
        <v>12070</v>
      </c>
      <c r="N4003" s="12">
        <v>49672</v>
      </c>
      <c r="O4003" s="12">
        <v>1592</v>
      </c>
      <c r="P4003" s="12">
        <v>1</v>
      </c>
      <c r="Q4003" s="12" t="s">
        <v>12071</v>
      </c>
      <c r="R4003" s="15" t="s">
        <v>12072</v>
      </c>
      <c r="S4003" s="12">
        <v>419</v>
      </c>
      <c r="T4003" s="12" t="s">
        <v>39</v>
      </c>
      <c r="U4003" s="12" t="s">
        <v>40</v>
      </c>
      <c r="V4003" s="12" t="s">
        <v>5614</v>
      </c>
      <c r="W4003" s="12">
        <v>3500000</v>
      </c>
      <c r="X4003" s="12">
        <v>1985</v>
      </c>
      <c r="Y4003" s="12">
        <v>177</v>
      </c>
      <c r="Z4003" s="12">
        <v>7.2</v>
      </c>
      <c r="AA4003" s="12">
        <v>1.85</v>
      </c>
      <c r="AB4003" s="12">
        <v>3000</v>
      </c>
      <c r="AC4003" s="12"/>
      <c r="AD4003" s="12" t="str">
        <f>IFERROR(__xludf.DUMMYFUNCTION("""COMPUTED_VALUE"""),"Angus Sampson")</f>
        <v>Angus Sampson</v>
      </c>
      <c r="AE4003" s="12"/>
    </row>
    <row r="4004" customHeight="1" spans="1:31">
      <c r="A4004" s="11" t="s">
        <v>30</v>
      </c>
      <c r="B4004" s="11" t="s">
        <v>18943</v>
      </c>
      <c r="C4004" s="11">
        <v>33</v>
      </c>
      <c r="D4004" s="11">
        <v>94</v>
      </c>
      <c r="E4004" s="11">
        <v>47</v>
      </c>
      <c r="F4004" s="11">
        <v>108</v>
      </c>
      <c r="G4004" s="11">
        <v>430</v>
      </c>
      <c r="H4004" s="13"/>
      <c r="I4004" s="11" t="s">
        <v>5544</v>
      </c>
      <c r="J4004" s="11" t="s">
        <v>18944</v>
      </c>
      <c r="K4004" s="11" t="s">
        <v>18945</v>
      </c>
      <c r="L4004" s="11" t="s">
        <v>18946</v>
      </c>
      <c r="M4004" s="11" t="s">
        <v>18947</v>
      </c>
      <c r="N4004" s="11">
        <v>4790</v>
      </c>
      <c r="O4004" s="11">
        <v>836</v>
      </c>
      <c r="P4004" s="11">
        <v>1</v>
      </c>
      <c r="Q4004" s="11" t="s">
        <v>18948</v>
      </c>
      <c r="R4004" s="14" t="s">
        <v>18949</v>
      </c>
      <c r="S4004" s="11">
        <v>52</v>
      </c>
      <c r="T4004" s="11" t="s">
        <v>39</v>
      </c>
      <c r="U4004" s="11" t="s">
        <v>40</v>
      </c>
      <c r="V4004" s="11" t="s">
        <v>586</v>
      </c>
      <c r="W4004" s="13"/>
      <c r="X4004" s="11">
        <v>2008</v>
      </c>
      <c r="Y4004" s="11">
        <v>209</v>
      </c>
      <c r="Z4004" s="11">
        <v>4.8</v>
      </c>
      <c r="AA4004" s="11">
        <v>1.85</v>
      </c>
      <c r="AB4004" s="11">
        <v>804</v>
      </c>
      <c r="AC4004" s="11"/>
      <c r="AD4004" s="11" t="str">
        <f>IFERROR(__xludf.DUMMYFUNCTION("""COMPUTED_VALUE"""),"Clifton James")</f>
        <v>Clifton James</v>
      </c>
      <c r="AE4004" s="11"/>
    </row>
    <row r="4005" customHeight="1" spans="1:31">
      <c r="A4005" s="12" t="s">
        <v>30</v>
      </c>
      <c r="B4005" s="12" t="s">
        <v>80</v>
      </c>
      <c r="C4005" s="12">
        <v>252</v>
      </c>
      <c r="D4005" s="12">
        <v>37</v>
      </c>
      <c r="E4005" s="12">
        <v>0</v>
      </c>
      <c r="F4005" s="12">
        <v>199</v>
      </c>
      <c r="G4005" s="12">
        <v>634</v>
      </c>
      <c r="H4005" s="12">
        <v>5923044</v>
      </c>
      <c r="I4005" s="12" t="s">
        <v>8066</v>
      </c>
      <c r="J4005" s="12" t="s">
        <v>14828</v>
      </c>
      <c r="K4005" s="12" t="s">
        <v>18950</v>
      </c>
      <c r="L4005" s="12" t="s">
        <v>18951</v>
      </c>
      <c r="M4005" s="12" t="s">
        <v>18952</v>
      </c>
      <c r="N4005" s="12">
        <v>113451</v>
      </c>
      <c r="O4005" s="12">
        <v>1347</v>
      </c>
      <c r="P4005" s="12">
        <v>0</v>
      </c>
      <c r="Q4005" s="12" t="s">
        <v>18953</v>
      </c>
      <c r="R4005" s="15" t="s">
        <v>18954</v>
      </c>
      <c r="S4005" s="12">
        <v>537</v>
      </c>
      <c r="T4005" s="12" t="s">
        <v>39</v>
      </c>
      <c r="U4005" s="12" t="s">
        <v>40</v>
      </c>
      <c r="V4005" s="12" t="s">
        <v>7335</v>
      </c>
      <c r="W4005" s="12">
        <v>3600000</v>
      </c>
      <c r="X4005" s="12">
        <v>1987</v>
      </c>
      <c r="Y4005" s="12">
        <v>328</v>
      </c>
      <c r="Z4005" s="12">
        <v>7.8</v>
      </c>
      <c r="AA4005" s="12">
        <v>1.85</v>
      </c>
      <c r="AB4005" s="12">
        <v>0</v>
      </c>
      <c r="AC4005" s="12"/>
      <c r="AD4005" s="12" t="str">
        <f>IFERROR(__xludf.DUMMYFUNCTION("""COMPUTED_VALUE"""),"Cody Linley")</f>
        <v>Cody Linley</v>
      </c>
      <c r="AE4005" s="12"/>
    </row>
    <row r="4006" customHeight="1" spans="1:31">
      <c r="A4006" s="11" t="s">
        <v>30</v>
      </c>
      <c r="B4006" s="11" t="s">
        <v>18955</v>
      </c>
      <c r="C4006" s="11">
        <v>31</v>
      </c>
      <c r="D4006" s="11">
        <v>81</v>
      </c>
      <c r="E4006" s="11">
        <v>0</v>
      </c>
      <c r="F4006" s="11">
        <v>542</v>
      </c>
      <c r="G4006" s="11">
        <v>560</v>
      </c>
      <c r="H4006" s="11">
        <v>3293258</v>
      </c>
      <c r="I4006" s="11" t="s">
        <v>18956</v>
      </c>
      <c r="J4006" s="11" t="s">
        <v>2252</v>
      </c>
      <c r="K4006" s="11" t="s">
        <v>9683</v>
      </c>
      <c r="L4006" s="11" t="s">
        <v>6944</v>
      </c>
      <c r="M4006" s="11" t="s">
        <v>18957</v>
      </c>
      <c r="N4006" s="11">
        <v>11399</v>
      </c>
      <c r="O4006" s="11">
        <v>2238</v>
      </c>
      <c r="P4006" s="11">
        <v>0</v>
      </c>
      <c r="Q4006" s="11" t="s">
        <v>18958</v>
      </c>
      <c r="R4006" s="14" t="s">
        <v>18959</v>
      </c>
      <c r="S4006" s="11">
        <v>131</v>
      </c>
      <c r="T4006" s="11" t="s">
        <v>39</v>
      </c>
      <c r="U4006" s="11" t="s">
        <v>40</v>
      </c>
      <c r="V4006" s="11" t="s">
        <v>41</v>
      </c>
      <c r="W4006" s="11">
        <v>3000000</v>
      </c>
      <c r="X4006" s="11">
        <v>2001</v>
      </c>
      <c r="Y4006" s="11">
        <v>555</v>
      </c>
      <c r="Z4006" s="11">
        <v>5.2</v>
      </c>
      <c r="AA4006" s="11">
        <v>1.85</v>
      </c>
      <c r="AB4006" s="11">
        <v>0</v>
      </c>
      <c r="AC4006" s="11"/>
      <c r="AD4006" s="11" t="str">
        <f>IFERROR(__xludf.DUMMYFUNCTION("""COMPUTED_VALUE"""),"Sakina Jaffrey")</f>
        <v>Sakina Jaffrey</v>
      </c>
      <c r="AE4006" s="11"/>
    </row>
    <row r="4007" customHeight="1" spans="1:31">
      <c r="A4007" s="12" t="s">
        <v>30</v>
      </c>
      <c r="B4007" s="12" t="s">
        <v>18960</v>
      </c>
      <c r="C4007" s="12">
        <v>139</v>
      </c>
      <c r="D4007" s="12">
        <v>97</v>
      </c>
      <c r="E4007" s="12">
        <v>48</v>
      </c>
      <c r="F4007" s="12">
        <v>689</v>
      </c>
      <c r="G4007" s="12">
        <v>984</v>
      </c>
      <c r="H4007" s="16"/>
      <c r="I4007" s="12" t="s">
        <v>6403</v>
      </c>
      <c r="J4007" s="12" t="s">
        <v>5452</v>
      </c>
      <c r="K4007" s="12" t="s">
        <v>3198</v>
      </c>
      <c r="L4007" s="12" t="s">
        <v>18961</v>
      </c>
      <c r="M4007" s="12" t="s">
        <v>18962</v>
      </c>
      <c r="N4007" s="12">
        <v>34532</v>
      </c>
      <c r="O4007" s="12">
        <v>3075</v>
      </c>
      <c r="P4007" s="12">
        <v>0</v>
      </c>
      <c r="Q4007" s="12" t="s">
        <v>18963</v>
      </c>
      <c r="R4007" s="15" t="s">
        <v>18964</v>
      </c>
      <c r="S4007" s="12">
        <v>236</v>
      </c>
      <c r="T4007" s="12" t="s">
        <v>39</v>
      </c>
      <c r="U4007" s="12" t="s">
        <v>40</v>
      </c>
      <c r="V4007" s="12" t="s">
        <v>1127</v>
      </c>
      <c r="W4007" s="12">
        <v>1000000</v>
      </c>
      <c r="X4007" s="12">
        <v>2013</v>
      </c>
      <c r="Y4007" s="12">
        <v>697</v>
      </c>
      <c r="Z4007" s="12">
        <v>3.3</v>
      </c>
      <c r="AA4007" s="12">
        <v>1.78</v>
      </c>
      <c r="AB4007" s="12">
        <v>93000</v>
      </c>
      <c r="AC4007" s="12"/>
      <c r="AD4007" s="12" t="str">
        <f>IFERROR(__xludf.DUMMYFUNCTION("""COMPUTED_VALUE"""),"Paulina Gerzon")</f>
        <v>Paulina Gerzon</v>
      </c>
      <c r="AE4007" s="12"/>
    </row>
    <row r="4008" customHeight="1" spans="1:31">
      <c r="A4008" s="11" t="s">
        <v>30</v>
      </c>
      <c r="B4008" s="11" t="s">
        <v>18965</v>
      </c>
      <c r="C4008" s="11">
        <v>39</v>
      </c>
      <c r="D4008" s="11">
        <v>106</v>
      </c>
      <c r="E4008" s="11">
        <v>22</v>
      </c>
      <c r="F4008" s="11">
        <v>10</v>
      </c>
      <c r="G4008" s="11">
        <v>174</v>
      </c>
      <c r="H4008" s="11">
        <v>886410</v>
      </c>
      <c r="I4008" s="11" t="s">
        <v>6520</v>
      </c>
      <c r="J4008" s="11" t="s">
        <v>18966</v>
      </c>
      <c r="K4008" s="11" t="s">
        <v>18967</v>
      </c>
      <c r="L4008" s="11" t="s">
        <v>18968</v>
      </c>
      <c r="M4008" s="11" t="s">
        <v>18969</v>
      </c>
      <c r="N4008" s="11">
        <v>1024</v>
      </c>
      <c r="O4008" s="11">
        <v>222</v>
      </c>
      <c r="P4008" s="11">
        <v>0</v>
      </c>
      <c r="Q4008" s="11" t="s">
        <v>18970</v>
      </c>
      <c r="R4008" s="14" t="s">
        <v>18971</v>
      </c>
      <c r="S4008" s="11">
        <v>494</v>
      </c>
      <c r="T4008" s="11" t="s">
        <v>2779</v>
      </c>
      <c r="U4008" s="11" t="s">
        <v>2914</v>
      </c>
      <c r="V4008" s="11" t="s">
        <v>586</v>
      </c>
      <c r="W4008" s="11">
        <v>3500000</v>
      </c>
      <c r="X4008" s="11">
        <v>1998</v>
      </c>
      <c r="Y4008" s="11">
        <v>16</v>
      </c>
      <c r="Z4008" s="11">
        <v>6.8</v>
      </c>
      <c r="AA4008" s="11">
        <v>1.85</v>
      </c>
      <c r="AB4008" s="11">
        <v>140</v>
      </c>
      <c r="AC4008" s="11"/>
      <c r="AD4008" s="11" t="str">
        <f>IFERROR(__xludf.DUMMYFUNCTION("""COMPUTED_VALUE"""),"Michael J. Burg")</f>
        <v>Michael J. Burg</v>
      </c>
      <c r="AE4008" s="11"/>
    </row>
    <row r="4009" customHeight="1" spans="1:31">
      <c r="A4009" s="12" t="s">
        <v>30</v>
      </c>
      <c r="B4009" s="12" t="s">
        <v>18972</v>
      </c>
      <c r="C4009" s="12">
        <v>337</v>
      </c>
      <c r="D4009" s="12">
        <v>103</v>
      </c>
      <c r="E4009" s="12">
        <v>12</v>
      </c>
      <c r="F4009" s="12">
        <v>4</v>
      </c>
      <c r="G4009" s="12">
        <v>29</v>
      </c>
      <c r="H4009" s="12">
        <v>252652</v>
      </c>
      <c r="I4009" s="12" t="s">
        <v>18973</v>
      </c>
      <c r="J4009" s="12" t="s">
        <v>18974</v>
      </c>
      <c r="K4009" s="12" t="s">
        <v>18975</v>
      </c>
      <c r="L4009" s="12" t="s">
        <v>18976</v>
      </c>
      <c r="M4009" s="12" t="s">
        <v>18977</v>
      </c>
      <c r="N4009" s="12">
        <v>54104</v>
      </c>
      <c r="O4009" s="12">
        <v>44</v>
      </c>
      <c r="P4009" s="12">
        <v>0</v>
      </c>
      <c r="Q4009" s="12" t="s">
        <v>18978</v>
      </c>
      <c r="R4009" s="15" t="s">
        <v>18979</v>
      </c>
      <c r="S4009" s="12">
        <v>199</v>
      </c>
      <c r="T4009" s="12" t="s">
        <v>17494</v>
      </c>
      <c r="U4009" s="12" t="s">
        <v>12617</v>
      </c>
      <c r="V4009" s="12" t="s">
        <v>41</v>
      </c>
      <c r="W4009" s="12">
        <v>19900000</v>
      </c>
      <c r="X4009" s="12">
        <v>2010</v>
      </c>
      <c r="Y4009" s="12">
        <v>4</v>
      </c>
      <c r="Z4009" s="12">
        <v>7</v>
      </c>
      <c r="AA4009" s="12">
        <v>1.85</v>
      </c>
      <c r="AB4009" s="12">
        <v>38000</v>
      </c>
      <c r="AC4009" s="12"/>
      <c r="AD4009" s="12" t="str">
        <f>IFERROR(__xludf.DUMMYFUNCTION("""COMPUTED_VALUE"""),"Kwesi Ameyaw")</f>
        <v>Kwesi Ameyaw</v>
      </c>
      <c r="AE4009" s="12"/>
    </row>
    <row r="4010" customHeight="1" spans="1:31">
      <c r="A4010" s="11" t="s">
        <v>30</v>
      </c>
      <c r="B4010" s="11" t="s">
        <v>18980</v>
      </c>
      <c r="C4010" s="11">
        <v>30</v>
      </c>
      <c r="D4010" s="11">
        <v>101</v>
      </c>
      <c r="E4010" s="11">
        <v>0</v>
      </c>
      <c r="F4010" s="11">
        <v>681</v>
      </c>
      <c r="G4010" s="11">
        <v>827</v>
      </c>
      <c r="H4010" s="11">
        <v>220234</v>
      </c>
      <c r="I4010" s="11" t="s">
        <v>1681</v>
      </c>
      <c r="J4010" s="11" t="s">
        <v>1546</v>
      </c>
      <c r="K4010" s="11" t="s">
        <v>417</v>
      </c>
      <c r="L4010" s="11" t="s">
        <v>2191</v>
      </c>
      <c r="M4010" s="11" t="s">
        <v>18981</v>
      </c>
      <c r="N4010" s="11">
        <v>1950</v>
      </c>
      <c r="O4010" s="11">
        <v>3574</v>
      </c>
      <c r="P4010" s="11">
        <v>3</v>
      </c>
      <c r="Q4010" s="11" t="s">
        <v>18982</v>
      </c>
      <c r="R4010" s="14" t="s">
        <v>18983</v>
      </c>
      <c r="S4010" s="11">
        <v>24</v>
      </c>
      <c r="T4010" s="11" t="s">
        <v>39</v>
      </c>
      <c r="U4010" s="11" t="s">
        <v>40</v>
      </c>
      <c r="V4010" s="11" t="s">
        <v>586</v>
      </c>
      <c r="W4010" s="11">
        <v>3500000</v>
      </c>
      <c r="X4010" s="11">
        <v>2006</v>
      </c>
      <c r="Y4010" s="11">
        <v>729</v>
      </c>
      <c r="Z4010" s="11">
        <v>6.5</v>
      </c>
      <c r="AA4010" s="11">
        <v>1.85</v>
      </c>
      <c r="AB4010" s="11">
        <v>360</v>
      </c>
      <c r="AC4010" s="11"/>
      <c r="AD4010" s="11" t="str">
        <f>IFERROR(__xludf.DUMMYFUNCTION("""COMPUTED_VALUE"""),"Hervé Villechaize")</f>
        <v>Hervé Villechaize</v>
      </c>
      <c r="AE4010" s="11"/>
    </row>
    <row r="4011" customHeight="1" spans="1:31">
      <c r="A4011" s="12" t="s">
        <v>30</v>
      </c>
      <c r="B4011" s="12" t="s">
        <v>4729</v>
      </c>
      <c r="C4011" s="12">
        <v>265</v>
      </c>
      <c r="D4011" s="12">
        <v>102</v>
      </c>
      <c r="E4011" s="12">
        <v>82</v>
      </c>
      <c r="F4011" s="12">
        <v>536</v>
      </c>
      <c r="G4011" s="12">
        <v>622</v>
      </c>
      <c r="H4011" s="12">
        <v>34350553</v>
      </c>
      <c r="I4011" s="12" t="s">
        <v>1904</v>
      </c>
      <c r="J4011" s="12" t="s">
        <v>2102</v>
      </c>
      <c r="K4011" s="12" t="s">
        <v>4730</v>
      </c>
      <c r="L4011" s="12" t="s">
        <v>2286</v>
      </c>
      <c r="M4011" s="12" t="s">
        <v>4731</v>
      </c>
      <c r="N4011" s="12">
        <v>104072</v>
      </c>
      <c r="O4011" s="12">
        <v>2486</v>
      </c>
      <c r="P4011" s="12">
        <v>4</v>
      </c>
      <c r="Q4011" s="12" t="s">
        <v>4732</v>
      </c>
      <c r="R4011" s="15" t="s">
        <v>4733</v>
      </c>
      <c r="S4011" s="12">
        <v>207</v>
      </c>
      <c r="T4011" s="12" t="s">
        <v>39</v>
      </c>
      <c r="U4011" s="12" t="s">
        <v>40</v>
      </c>
      <c r="V4011" s="12" t="s">
        <v>586</v>
      </c>
      <c r="W4011" s="12">
        <v>68000000</v>
      </c>
      <c r="X4011" s="12">
        <v>2012</v>
      </c>
      <c r="Y4011" s="12">
        <v>591</v>
      </c>
      <c r="Z4011" s="12">
        <v>5.7</v>
      </c>
      <c r="AA4011" s="12">
        <v>2.35</v>
      </c>
      <c r="AB4011" s="12">
        <v>15000</v>
      </c>
      <c r="AC4011" s="12"/>
      <c r="AD4011" s="12" t="str">
        <f>IFERROR(__xludf.DUMMYFUNCTION("""COMPUTED_VALUE"""),"MyAnna Buring")</f>
        <v>MyAnna Buring</v>
      </c>
      <c r="AE4011" s="12"/>
    </row>
    <row r="4012" customHeight="1" spans="1:31">
      <c r="A4012" s="11" t="s">
        <v>30</v>
      </c>
      <c r="B4012" s="11" t="s">
        <v>18984</v>
      </c>
      <c r="C4012" s="11">
        <v>50</v>
      </c>
      <c r="D4012" s="11">
        <v>98</v>
      </c>
      <c r="E4012" s="11">
        <v>9</v>
      </c>
      <c r="F4012" s="11">
        <v>405</v>
      </c>
      <c r="G4012" s="11">
        <v>11000</v>
      </c>
      <c r="H4012" s="11">
        <v>101228</v>
      </c>
      <c r="I4012" s="11" t="s">
        <v>2528</v>
      </c>
      <c r="J4012" s="11" t="s">
        <v>1950</v>
      </c>
      <c r="K4012" s="11" t="s">
        <v>1249</v>
      </c>
      <c r="L4012" s="11" t="s">
        <v>8772</v>
      </c>
      <c r="M4012" s="11" t="s">
        <v>18985</v>
      </c>
      <c r="N4012" s="11">
        <v>7228</v>
      </c>
      <c r="O4012" s="11">
        <v>20009</v>
      </c>
      <c r="P4012" s="11">
        <v>4</v>
      </c>
      <c r="Q4012" s="11" t="s">
        <v>18986</v>
      </c>
      <c r="R4012" s="14" t="s">
        <v>18987</v>
      </c>
      <c r="S4012" s="11">
        <v>53</v>
      </c>
      <c r="T4012" s="11" t="s">
        <v>39</v>
      </c>
      <c r="U4012" s="11" t="s">
        <v>40</v>
      </c>
      <c r="V4012" s="11" t="s">
        <v>586</v>
      </c>
      <c r="W4012" s="11">
        <v>3500000</v>
      </c>
      <c r="X4012" s="11">
        <v>2005</v>
      </c>
      <c r="Y4012" s="11">
        <v>8000</v>
      </c>
      <c r="Z4012" s="11">
        <v>6.4</v>
      </c>
      <c r="AA4012" s="11">
        <v>1.85</v>
      </c>
      <c r="AB4012" s="11">
        <v>414</v>
      </c>
      <c r="AC4012" s="11"/>
      <c r="AD4012" s="11" t="str">
        <f>IFERROR(__xludf.DUMMYFUNCTION("""COMPUTED_VALUE"""),"Shauna Macdonald")</f>
        <v>Shauna Macdonald</v>
      </c>
      <c r="AE4012" s="11"/>
    </row>
    <row r="4013" customHeight="1" spans="1:31">
      <c r="A4013" s="12" t="s">
        <v>30</v>
      </c>
      <c r="B4013" s="12" t="s">
        <v>5159</v>
      </c>
      <c r="C4013" s="12">
        <v>50</v>
      </c>
      <c r="D4013" s="12">
        <v>91</v>
      </c>
      <c r="E4013" s="12">
        <v>23</v>
      </c>
      <c r="F4013" s="12">
        <v>660</v>
      </c>
      <c r="G4013" s="12">
        <v>4000</v>
      </c>
      <c r="H4013" s="12">
        <v>96793</v>
      </c>
      <c r="I4013" s="12" t="s">
        <v>1423</v>
      </c>
      <c r="J4013" s="12" t="s">
        <v>682</v>
      </c>
      <c r="K4013" s="12" t="s">
        <v>10974</v>
      </c>
      <c r="L4013" s="12" t="s">
        <v>5130</v>
      </c>
      <c r="M4013" s="12" t="s">
        <v>18988</v>
      </c>
      <c r="N4013" s="12">
        <v>12188</v>
      </c>
      <c r="O4013" s="12">
        <v>6380</v>
      </c>
      <c r="P4013" s="12">
        <v>3</v>
      </c>
      <c r="Q4013" s="12" t="s">
        <v>18989</v>
      </c>
      <c r="R4013" s="15" t="s">
        <v>18990</v>
      </c>
      <c r="S4013" s="12">
        <v>135</v>
      </c>
      <c r="T4013" s="12" t="s">
        <v>39</v>
      </c>
      <c r="U4013" s="12" t="s">
        <v>40</v>
      </c>
      <c r="V4013" s="12" t="s">
        <v>41</v>
      </c>
      <c r="W4013" s="12">
        <v>3500000</v>
      </c>
      <c r="X4013" s="12">
        <v>2004</v>
      </c>
      <c r="Y4013" s="12">
        <v>756</v>
      </c>
      <c r="Z4013" s="12">
        <v>5.3</v>
      </c>
      <c r="AA4013" s="12">
        <v>2.35</v>
      </c>
      <c r="AB4013" s="12">
        <v>1000</v>
      </c>
      <c r="AC4013" s="12"/>
      <c r="AD4013" s="12" t="str">
        <f>IFERROR(__xludf.DUMMYFUNCTION("""COMPUTED_VALUE"""),"Craig Conway")</f>
        <v>Craig Conway</v>
      </c>
      <c r="AE4013" s="12"/>
    </row>
    <row r="4014" customHeight="1" spans="1:31">
      <c r="A4014" s="11" t="s">
        <v>30</v>
      </c>
      <c r="B4014" s="11" t="s">
        <v>18991</v>
      </c>
      <c r="C4014" s="11">
        <v>9</v>
      </c>
      <c r="D4014" s="11">
        <v>105</v>
      </c>
      <c r="E4014" s="11">
        <v>28</v>
      </c>
      <c r="F4014" s="11">
        <v>131</v>
      </c>
      <c r="G4014" s="11">
        <v>426</v>
      </c>
      <c r="H4014" s="11">
        <v>123777</v>
      </c>
      <c r="I4014" s="11" t="s">
        <v>18992</v>
      </c>
      <c r="J4014" s="11" t="s">
        <v>13122</v>
      </c>
      <c r="K4014" s="11" t="s">
        <v>18993</v>
      </c>
      <c r="L4014" s="11" t="s">
        <v>18994</v>
      </c>
      <c r="M4014" s="11" t="s">
        <v>18995</v>
      </c>
      <c r="N4014" s="11">
        <v>342</v>
      </c>
      <c r="O4014" s="11">
        <v>1043</v>
      </c>
      <c r="P4014" s="11">
        <v>0</v>
      </c>
      <c r="Q4014" s="13"/>
      <c r="R4014" s="14" t="s">
        <v>18996</v>
      </c>
      <c r="S4014" s="11">
        <v>15</v>
      </c>
      <c r="T4014" s="11" t="s">
        <v>39</v>
      </c>
      <c r="U4014" s="11" t="s">
        <v>269</v>
      </c>
      <c r="V4014" s="11" t="s">
        <v>41</v>
      </c>
      <c r="W4014" s="11">
        <v>3500000</v>
      </c>
      <c r="X4014" s="11">
        <v>2016</v>
      </c>
      <c r="Y4014" s="11">
        <v>294</v>
      </c>
      <c r="Z4014" s="11">
        <v>4.7</v>
      </c>
      <c r="AA4014" s="11">
        <v>1.85</v>
      </c>
      <c r="AB4014" s="11">
        <v>0</v>
      </c>
      <c r="AC4014" s="11"/>
      <c r="AD4014" s="11" t="str">
        <f>IFERROR(__xludf.DUMMYFUNCTION("""COMPUTED_VALUE"""),"Bob Costas")</f>
        <v>Bob Costas</v>
      </c>
      <c r="AE4014" s="11"/>
    </row>
    <row r="4015" customHeight="1" spans="1:31">
      <c r="A4015" s="12" t="s">
        <v>30</v>
      </c>
      <c r="B4015" s="12" t="s">
        <v>18997</v>
      </c>
      <c r="C4015" s="12">
        <v>15</v>
      </c>
      <c r="D4015" s="12">
        <v>98</v>
      </c>
      <c r="E4015" s="12">
        <v>0</v>
      </c>
      <c r="F4015" s="12">
        <v>31</v>
      </c>
      <c r="G4015" s="12">
        <v>368</v>
      </c>
      <c r="H4015" s="16"/>
      <c r="I4015" s="12" t="s">
        <v>2142</v>
      </c>
      <c r="J4015" s="12" t="s">
        <v>5222</v>
      </c>
      <c r="K4015" s="12" t="s">
        <v>13988</v>
      </c>
      <c r="L4015" s="12" t="s">
        <v>18998</v>
      </c>
      <c r="M4015" s="12" t="s">
        <v>18999</v>
      </c>
      <c r="N4015" s="12">
        <v>1634</v>
      </c>
      <c r="O4015" s="12">
        <v>668</v>
      </c>
      <c r="P4015" s="12">
        <v>0</v>
      </c>
      <c r="Q4015" s="12" t="s">
        <v>19000</v>
      </c>
      <c r="R4015" s="15" t="s">
        <v>19001</v>
      </c>
      <c r="S4015" s="12">
        <v>11</v>
      </c>
      <c r="T4015" s="12" t="s">
        <v>39</v>
      </c>
      <c r="U4015" s="12" t="s">
        <v>40</v>
      </c>
      <c r="V4015" s="16"/>
      <c r="W4015" s="12">
        <v>3500000</v>
      </c>
      <c r="X4015" s="12">
        <v>2008</v>
      </c>
      <c r="Y4015" s="12">
        <v>168</v>
      </c>
      <c r="Z4015" s="12">
        <v>6.1</v>
      </c>
      <c r="AA4015" s="12">
        <v>1.85</v>
      </c>
      <c r="AB4015" s="12">
        <v>127</v>
      </c>
      <c r="AC4015" s="12"/>
      <c r="AD4015" s="12" t="str">
        <f>IFERROR(__xludf.DUMMYFUNCTION("""COMPUTED_VALUE"""),"Allison Miller")</f>
        <v>Allison Miller</v>
      </c>
      <c r="AE4015" s="12"/>
    </row>
    <row r="4016" customHeight="1" spans="1:31">
      <c r="A4016" s="11" t="s">
        <v>30</v>
      </c>
      <c r="B4016" s="11" t="s">
        <v>19002</v>
      </c>
      <c r="C4016" s="11">
        <v>5</v>
      </c>
      <c r="D4016" s="11">
        <v>104</v>
      </c>
      <c r="E4016" s="11">
        <v>6</v>
      </c>
      <c r="F4016" s="11">
        <v>467</v>
      </c>
      <c r="G4016" s="11">
        <v>922</v>
      </c>
      <c r="H4016" s="13"/>
      <c r="I4016" s="11" t="s">
        <v>422</v>
      </c>
      <c r="J4016" s="11" t="s">
        <v>6158</v>
      </c>
      <c r="K4016" s="11" t="s">
        <v>6720</v>
      </c>
      <c r="L4016" s="11" t="s">
        <v>19003</v>
      </c>
      <c r="M4016" s="11" t="s">
        <v>19004</v>
      </c>
      <c r="N4016" s="11">
        <v>372</v>
      </c>
      <c r="O4016" s="11">
        <v>2406</v>
      </c>
      <c r="P4016" s="11">
        <v>6</v>
      </c>
      <c r="Q4016" s="11" t="s">
        <v>19005</v>
      </c>
      <c r="R4016" s="14" t="s">
        <v>19006</v>
      </c>
      <c r="S4016" s="11">
        <v>20</v>
      </c>
      <c r="T4016" s="11" t="s">
        <v>39</v>
      </c>
      <c r="U4016" s="11" t="s">
        <v>40</v>
      </c>
      <c r="V4016" s="11" t="s">
        <v>586</v>
      </c>
      <c r="W4016" s="11">
        <v>1000000</v>
      </c>
      <c r="X4016" s="11">
        <v>1998</v>
      </c>
      <c r="Y4016" s="11">
        <v>893</v>
      </c>
      <c r="Z4016" s="11">
        <v>5.5</v>
      </c>
      <c r="AA4016" s="11">
        <v>1.37</v>
      </c>
      <c r="AB4016" s="11">
        <v>18</v>
      </c>
      <c r="AC4016" s="11"/>
      <c r="AD4016" s="11" t="str">
        <f>IFERROR(__xludf.DUMMYFUNCTION("""COMPUTED_VALUE"""),"Vanessa Ray")</f>
        <v>Vanessa Ray</v>
      </c>
      <c r="AE4016" s="11"/>
    </row>
    <row r="4017" customHeight="1" spans="1:31">
      <c r="A4017" s="12" t="s">
        <v>30</v>
      </c>
      <c r="B4017" s="16"/>
      <c r="C4017" s="12">
        <v>1</v>
      </c>
      <c r="D4017" s="12">
        <v>45</v>
      </c>
      <c r="E4017" s="16"/>
      <c r="F4017" s="12">
        <v>119</v>
      </c>
      <c r="G4017" s="12">
        <v>773</v>
      </c>
      <c r="H4017" s="16"/>
      <c r="I4017" s="12" t="s">
        <v>4075</v>
      </c>
      <c r="J4017" s="12" t="s">
        <v>176</v>
      </c>
      <c r="K4017" s="12" t="s">
        <v>19007</v>
      </c>
      <c r="L4017" s="12" t="s">
        <v>19008</v>
      </c>
      <c r="M4017" s="12" t="s">
        <v>19009</v>
      </c>
      <c r="N4017" s="12">
        <v>653</v>
      </c>
      <c r="O4017" s="12">
        <v>1393</v>
      </c>
      <c r="P4017" s="12">
        <v>3</v>
      </c>
      <c r="Q4017" s="12" t="s">
        <v>19010</v>
      </c>
      <c r="R4017" s="15" t="s">
        <v>19011</v>
      </c>
      <c r="S4017" s="12">
        <v>4</v>
      </c>
      <c r="T4017" s="12" t="s">
        <v>39</v>
      </c>
      <c r="U4017" s="12" t="s">
        <v>58</v>
      </c>
      <c r="V4017" s="16"/>
      <c r="W4017" s="16"/>
      <c r="X4017" s="16"/>
      <c r="Y4017" s="12">
        <v>133</v>
      </c>
      <c r="Z4017" s="12">
        <v>7.3</v>
      </c>
      <c r="AA4017" s="16"/>
      <c r="AB4017" s="12">
        <v>405</v>
      </c>
      <c r="AC4017" s="12"/>
      <c r="AD4017" s="12" t="str">
        <f>IFERROR(__xludf.DUMMYFUNCTION("""COMPUTED_VALUE"""),"Mary Tyler Moore")</f>
        <v>Mary Tyler Moore</v>
      </c>
      <c r="AE4017" s="12"/>
    </row>
    <row r="4018" customHeight="1" spans="1:31">
      <c r="A4018" s="11" t="s">
        <v>30</v>
      </c>
      <c r="B4018" s="11" t="s">
        <v>19012</v>
      </c>
      <c r="C4018" s="11">
        <v>4</v>
      </c>
      <c r="D4018" s="11">
        <v>96</v>
      </c>
      <c r="E4018" s="11">
        <v>0</v>
      </c>
      <c r="F4018" s="11">
        <v>460</v>
      </c>
      <c r="G4018" s="11">
        <v>708</v>
      </c>
      <c r="H4018" s="13"/>
      <c r="I4018" s="11" t="s">
        <v>5544</v>
      </c>
      <c r="J4018" s="11" t="s">
        <v>1748</v>
      </c>
      <c r="K4018" s="11" t="s">
        <v>3236</v>
      </c>
      <c r="L4018" s="11" t="s">
        <v>9698</v>
      </c>
      <c r="M4018" s="11" t="s">
        <v>19013</v>
      </c>
      <c r="N4018" s="11">
        <v>961</v>
      </c>
      <c r="O4018" s="11">
        <v>2307</v>
      </c>
      <c r="P4018" s="11">
        <v>0</v>
      </c>
      <c r="Q4018" s="11" t="s">
        <v>19014</v>
      </c>
      <c r="R4018" s="14" t="s">
        <v>19015</v>
      </c>
      <c r="S4018" s="11">
        <v>12</v>
      </c>
      <c r="T4018" s="11" t="s">
        <v>39</v>
      </c>
      <c r="U4018" s="11" t="s">
        <v>40</v>
      </c>
      <c r="V4018" s="13"/>
      <c r="W4018" s="11">
        <v>3500000</v>
      </c>
      <c r="X4018" s="11">
        <v>2009</v>
      </c>
      <c r="Y4018" s="11">
        <v>574</v>
      </c>
      <c r="Z4018" s="11">
        <v>4.8</v>
      </c>
      <c r="AA4018" s="11">
        <v>2.35</v>
      </c>
      <c r="AB4018" s="11">
        <v>211</v>
      </c>
      <c r="AC4018" s="11"/>
      <c r="AD4018" s="11" t="str">
        <f>IFERROR(__xludf.DUMMYFUNCTION("""COMPUTED_VALUE"""),"Ken Foree")</f>
        <v>Ken Foree</v>
      </c>
      <c r="AE4018" s="11"/>
    </row>
    <row r="4019" customHeight="1" spans="1:31">
      <c r="A4019" s="12" t="s">
        <v>30</v>
      </c>
      <c r="B4019" s="12" t="s">
        <v>19016</v>
      </c>
      <c r="C4019" s="12">
        <v>44</v>
      </c>
      <c r="D4019" s="12">
        <v>148</v>
      </c>
      <c r="E4019" s="12">
        <v>41</v>
      </c>
      <c r="F4019" s="12">
        <v>739</v>
      </c>
      <c r="G4019" s="12">
        <v>2000</v>
      </c>
      <c r="H4019" s="16"/>
      <c r="I4019" s="12" t="s">
        <v>19017</v>
      </c>
      <c r="J4019" s="12" t="s">
        <v>2773</v>
      </c>
      <c r="K4019" s="12" t="s">
        <v>3422</v>
      </c>
      <c r="L4019" s="12" t="s">
        <v>19018</v>
      </c>
      <c r="M4019" s="12" t="s">
        <v>19019</v>
      </c>
      <c r="N4019" s="12">
        <v>30434</v>
      </c>
      <c r="O4019" s="12">
        <v>5526</v>
      </c>
      <c r="P4019" s="12">
        <v>0</v>
      </c>
      <c r="Q4019" s="12" t="s">
        <v>19020</v>
      </c>
      <c r="R4019" s="15" t="s">
        <v>19021</v>
      </c>
      <c r="S4019" s="12">
        <v>55</v>
      </c>
      <c r="T4019" s="12" t="s">
        <v>39</v>
      </c>
      <c r="U4019" s="12" t="s">
        <v>40</v>
      </c>
      <c r="V4019" s="12" t="s">
        <v>41</v>
      </c>
      <c r="W4019" s="12">
        <v>3500000</v>
      </c>
      <c r="X4019" s="12">
        <v>2013</v>
      </c>
      <c r="Y4019" s="12">
        <v>774</v>
      </c>
      <c r="Z4019" s="12">
        <v>8.4</v>
      </c>
      <c r="AA4019" s="16"/>
      <c r="AB4019" s="12">
        <v>5000</v>
      </c>
      <c r="AC4019" s="12"/>
      <c r="AD4019" s="12" t="str">
        <f>IFERROR(__xludf.DUMMYFUNCTION("""COMPUTED_VALUE"""),"Rick Fox")</f>
        <v>Rick Fox</v>
      </c>
      <c r="AE4019" s="12"/>
    </row>
    <row r="4020" customHeight="1" spans="1:31">
      <c r="A4020" s="11" t="s">
        <v>30</v>
      </c>
      <c r="B4020" s="11" t="s">
        <v>19022</v>
      </c>
      <c r="C4020" s="11">
        <v>6</v>
      </c>
      <c r="D4020" s="11">
        <v>100</v>
      </c>
      <c r="E4020" s="11">
        <v>117</v>
      </c>
      <c r="F4020" s="11">
        <v>0</v>
      </c>
      <c r="G4020" s="11">
        <v>21</v>
      </c>
      <c r="H4020" s="11">
        <v>29233</v>
      </c>
      <c r="I4020" s="11" t="s">
        <v>68</v>
      </c>
      <c r="J4020" s="11" t="s">
        <v>19023</v>
      </c>
      <c r="K4020" s="11" t="s">
        <v>19024</v>
      </c>
      <c r="L4020" s="11" t="s">
        <v>19025</v>
      </c>
      <c r="M4020" s="11" t="s">
        <v>19026</v>
      </c>
      <c r="N4020" s="11">
        <v>75</v>
      </c>
      <c r="O4020" s="11">
        <v>24</v>
      </c>
      <c r="P4020" s="11">
        <v>0</v>
      </c>
      <c r="Q4020" s="13"/>
      <c r="R4020" s="14" t="s">
        <v>19027</v>
      </c>
      <c r="S4020" s="11">
        <v>2</v>
      </c>
      <c r="T4020" s="11" t="s">
        <v>39</v>
      </c>
      <c r="U4020" s="11" t="s">
        <v>40</v>
      </c>
      <c r="V4020" s="13"/>
      <c r="W4020" s="11">
        <v>3500000</v>
      </c>
      <c r="X4020" s="11">
        <v>2015</v>
      </c>
      <c r="Y4020" s="11">
        <v>3</v>
      </c>
      <c r="Z4020" s="11">
        <v>7</v>
      </c>
      <c r="AA4020" s="13"/>
      <c r="AB4020" s="11">
        <v>121</v>
      </c>
      <c r="AC4020" s="11"/>
      <c r="AD4020" s="11" t="str">
        <f>IFERROR(__xludf.DUMMYFUNCTION("""COMPUTED_VALUE"""),"Matthew McGrory")</f>
        <v>Matthew McGrory</v>
      </c>
      <c r="AE4020" s="11"/>
    </row>
    <row r="4021" customHeight="1" spans="1:31">
      <c r="A4021" s="12" t="s">
        <v>30</v>
      </c>
      <c r="B4021" s="12" t="s">
        <v>4409</v>
      </c>
      <c r="C4021" s="12">
        <v>17</v>
      </c>
      <c r="D4021" s="12">
        <v>86</v>
      </c>
      <c r="E4021" s="12">
        <v>892</v>
      </c>
      <c r="F4021" s="12">
        <v>50</v>
      </c>
      <c r="G4021" s="12">
        <v>603</v>
      </c>
      <c r="H4021" s="16"/>
      <c r="I4021" s="12" t="s">
        <v>1931</v>
      </c>
      <c r="J4021" s="12" t="s">
        <v>7650</v>
      </c>
      <c r="K4021" s="12" t="s">
        <v>19028</v>
      </c>
      <c r="L4021" s="12" t="s">
        <v>19029</v>
      </c>
      <c r="M4021" s="12" t="s">
        <v>19030</v>
      </c>
      <c r="N4021" s="12">
        <v>1285</v>
      </c>
      <c r="O4021" s="12">
        <v>854</v>
      </c>
      <c r="P4021" s="12">
        <v>1</v>
      </c>
      <c r="Q4021" s="12" t="s">
        <v>19031</v>
      </c>
      <c r="R4021" s="15" t="s">
        <v>19032</v>
      </c>
      <c r="S4021" s="12">
        <v>10</v>
      </c>
      <c r="T4021" s="12" t="s">
        <v>39</v>
      </c>
      <c r="U4021" s="12" t="s">
        <v>269</v>
      </c>
      <c r="V4021" s="12" t="s">
        <v>586</v>
      </c>
      <c r="W4021" s="12">
        <v>3500000</v>
      </c>
      <c r="X4021" s="12">
        <v>2014</v>
      </c>
      <c r="Y4021" s="12">
        <v>145</v>
      </c>
      <c r="Z4021" s="12">
        <v>3.3</v>
      </c>
      <c r="AA4021" s="12">
        <v>1.78</v>
      </c>
      <c r="AB4021" s="12">
        <v>721</v>
      </c>
      <c r="AC4021" s="12"/>
      <c r="AD4021" s="12" t="str">
        <f>IFERROR(__xludf.DUMMYFUNCTION("""COMPUTED_VALUE"""),"Erin Daniels")</f>
        <v>Erin Daniels</v>
      </c>
      <c r="AE4021" s="12"/>
    </row>
    <row r="4022" customHeight="1" spans="1:31">
      <c r="A4022" s="11" t="s">
        <v>30</v>
      </c>
      <c r="B4022" s="11" t="s">
        <v>19033</v>
      </c>
      <c r="C4022" s="11">
        <v>7</v>
      </c>
      <c r="D4022" s="11">
        <v>92</v>
      </c>
      <c r="E4022" s="11">
        <v>14</v>
      </c>
      <c r="F4022" s="11">
        <v>597</v>
      </c>
      <c r="G4022" s="11">
        <v>2000</v>
      </c>
      <c r="H4022" s="13"/>
      <c r="I4022" s="11" t="s">
        <v>464</v>
      </c>
      <c r="J4022" s="11" t="s">
        <v>5903</v>
      </c>
      <c r="K4022" s="11" t="s">
        <v>1842</v>
      </c>
      <c r="L4022" s="11" t="s">
        <v>9165</v>
      </c>
      <c r="M4022" s="11" t="s">
        <v>19034</v>
      </c>
      <c r="N4022" s="11">
        <v>1928</v>
      </c>
      <c r="O4022" s="11">
        <v>3854</v>
      </c>
      <c r="P4022" s="11">
        <v>2</v>
      </c>
      <c r="Q4022" s="11" t="s">
        <v>19035</v>
      </c>
      <c r="R4022" s="14" t="s">
        <v>19036</v>
      </c>
      <c r="S4022" s="11">
        <v>10</v>
      </c>
      <c r="T4022" s="11" t="s">
        <v>39</v>
      </c>
      <c r="U4022" s="11" t="s">
        <v>40</v>
      </c>
      <c r="V4022" s="11" t="s">
        <v>4831</v>
      </c>
      <c r="W4022" s="11">
        <v>3500000</v>
      </c>
      <c r="X4022" s="11">
        <v>2014</v>
      </c>
      <c r="Y4022" s="11">
        <v>660</v>
      </c>
      <c r="Z4022" s="11">
        <v>5.4</v>
      </c>
      <c r="AA4022" s="11">
        <v>1.85</v>
      </c>
      <c r="AB4022" s="11">
        <v>482</v>
      </c>
      <c r="AC4022" s="11"/>
      <c r="AD4022" s="11" t="str">
        <f>IFERROR(__xludf.DUMMYFUNCTION("""COMPUTED_VALUE"""),"Bernard Fox")</f>
        <v>Bernard Fox</v>
      </c>
      <c r="AE4022" s="11"/>
    </row>
    <row r="4023" customHeight="1" spans="1:31">
      <c r="A4023" s="12" t="s">
        <v>30</v>
      </c>
      <c r="B4023" s="12" t="s">
        <v>19037</v>
      </c>
      <c r="C4023" s="12">
        <v>9</v>
      </c>
      <c r="D4023" s="12">
        <v>88</v>
      </c>
      <c r="E4023" s="12">
        <v>19</v>
      </c>
      <c r="F4023" s="12">
        <v>322</v>
      </c>
      <c r="G4023" s="12">
        <v>795</v>
      </c>
      <c r="H4023" s="16"/>
      <c r="I4023" s="12" t="s">
        <v>4075</v>
      </c>
      <c r="J4023" s="12" t="s">
        <v>11838</v>
      </c>
      <c r="K4023" s="12" t="s">
        <v>14891</v>
      </c>
      <c r="L4023" s="12" t="s">
        <v>5346</v>
      </c>
      <c r="M4023" s="12" t="s">
        <v>19038</v>
      </c>
      <c r="N4023" s="12">
        <v>455</v>
      </c>
      <c r="O4023" s="12">
        <v>2497</v>
      </c>
      <c r="P4023" s="12">
        <v>0</v>
      </c>
      <c r="Q4023" s="12" t="s">
        <v>19039</v>
      </c>
      <c r="R4023" s="15" t="s">
        <v>19040</v>
      </c>
      <c r="S4023" s="12">
        <v>13</v>
      </c>
      <c r="T4023" s="12" t="s">
        <v>39</v>
      </c>
      <c r="U4023" s="16"/>
      <c r="V4023" s="16"/>
      <c r="W4023" s="12">
        <v>3500000</v>
      </c>
      <c r="X4023" s="12">
        <v>2014</v>
      </c>
      <c r="Y4023" s="12">
        <v>535</v>
      </c>
      <c r="Z4023" s="12">
        <v>4.8</v>
      </c>
      <c r="AA4023" s="12">
        <v>2.35</v>
      </c>
      <c r="AB4023" s="12">
        <v>570</v>
      </c>
      <c r="AC4023" s="12"/>
      <c r="AD4023" s="12" t="str">
        <f>IFERROR(__xludf.DUMMYFUNCTION("""COMPUTED_VALUE"""),"Elizabeth MacRae")</f>
        <v>Elizabeth MacRae</v>
      </c>
      <c r="AE4023" s="12"/>
    </row>
    <row r="4024" customHeight="1" spans="1:31">
      <c r="A4024" s="11" t="s">
        <v>30</v>
      </c>
      <c r="B4024" s="11" t="s">
        <v>19041</v>
      </c>
      <c r="C4024" s="11">
        <v>3</v>
      </c>
      <c r="D4024" s="11">
        <v>90</v>
      </c>
      <c r="E4024" s="11">
        <v>0</v>
      </c>
      <c r="F4024" s="11">
        <v>37</v>
      </c>
      <c r="G4024" s="11">
        <v>1000</v>
      </c>
      <c r="H4024" s="13"/>
      <c r="I4024" s="11" t="s">
        <v>2215</v>
      </c>
      <c r="J4024" s="11" t="s">
        <v>392</v>
      </c>
      <c r="K4024" s="11" t="s">
        <v>19042</v>
      </c>
      <c r="L4024" s="11" t="s">
        <v>19043</v>
      </c>
      <c r="M4024" s="11" t="s">
        <v>19044</v>
      </c>
      <c r="N4024" s="11">
        <v>610</v>
      </c>
      <c r="O4024" s="11">
        <v>1183</v>
      </c>
      <c r="P4024" s="11">
        <v>1</v>
      </c>
      <c r="Q4024" s="11" t="s">
        <v>19045</v>
      </c>
      <c r="R4024" s="14" t="s">
        <v>19046</v>
      </c>
      <c r="S4024" s="11">
        <v>18</v>
      </c>
      <c r="T4024" s="11" t="s">
        <v>39</v>
      </c>
      <c r="U4024" s="11" t="s">
        <v>58</v>
      </c>
      <c r="V4024" s="11" t="s">
        <v>586</v>
      </c>
      <c r="W4024" s="11">
        <v>3440000</v>
      </c>
      <c r="X4024" s="11">
        <v>2014</v>
      </c>
      <c r="Y4024" s="11">
        <v>53</v>
      </c>
      <c r="Z4024" s="11">
        <v>3.1</v>
      </c>
      <c r="AA4024" s="11">
        <v>2.35</v>
      </c>
      <c r="AB4024" s="11">
        <v>606</v>
      </c>
      <c r="AC4024" s="11"/>
      <c r="AD4024" s="11" t="str">
        <f>IFERROR(__xludf.DUMMYFUNCTION("""COMPUTED_VALUE"""),"Charles Aidman")</f>
        <v>Charles Aidman</v>
      </c>
      <c r="AE4024" s="11"/>
    </row>
    <row r="4025" customHeight="1" spans="1:31">
      <c r="A4025" s="12" t="s">
        <v>30</v>
      </c>
      <c r="B4025" s="12" t="s">
        <v>10326</v>
      </c>
      <c r="C4025" s="12">
        <v>55</v>
      </c>
      <c r="D4025" s="12">
        <v>94</v>
      </c>
      <c r="E4025" s="12">
        <v>0</v>
      </c>
      <c r="F4025" s="12">
        <v>605</v>
      </c>
      <c r="G4025" s="12">
        <v>1000</v>
      </c>
      <c r="H4025" s="16"/>
      <c r="I4025" s="12" t="s">
        <v>1672</v>
      </c>
      <c r="J4025" s="12" t="s">
        <v>5798</v>
      </c>
      <c r="K4025" s="12" t="s">
        <v>4109</v>
      </c>
      <c r="L4025" s="12" t="s">
        <v>10328</v>
      </c>
      <c r="M4025" s="12" t="s">
        <v>19047</v>
      </c>
      <c r="N4025" s="12">
        <v>15115</v>
      </c>
      <c r="O4025" s="12">
        <v>2861</v>
      </c>
      <c r="P4025" s="12">
        <v>0</v>
      </c>
      <c r="Q4025" s="12" t="s">
        <v>19048</v>
      </c>
      <c r="R4025" s="15" t="s">
        <v>19049</v>
      </c>
      <c r="S4025" s="12">
        <v>102</v>
      </c>
      <c r="T4025" s="12" t="s">
        <v>39</v>
      </c>
      <c r="U4025" s="12" t="s">
        <v>40</v>
      </c>
      <c r="V4025" s="12" t="s">
        <v>96</v>
      </c>
      <c r="W4025" s="12">
        <v>3400000</v>
      </c>
      <c r="X4025" s="12">
        <v>1977</v>
      </c>
      <c r="Y4025" s="12">
        <v>628</v>
      </c>
      <c r="Z4025" s="12">
        <v>6.7</v>
      </c>
      <c r="AA4025" s="12">
        <v>1.85</v>
      </c>
      <c r="AB4025" s="12">
        <v>0</v>
      </c>
      <c r="AC4025" s="12"/>
      <c r="AD4025" s="12" t="str">
        <f>IFERROR(__xludf.DUMMYFUNCTION("""COMPUTED_VALUE"""),"Fred Melamed")</f>
        <v>Fred Melamed</v>
      </c>
      <c r="AE4025" s="12"/>
    </row>
    <row r="4026" customHeight="1" spans="1:31">
      <c r="A4026" s="11" t="s">
        <v>30</v>
      </c>
      <c r="B4026" s="11" t="s">
        <v>19050</v>
      </c>
      <c r="C4026" s="11">
        <v>169</v>
      </c>
      <c r="D4026" s="11">
        <v>80</v>
      </c>
      <c r="E4026" s="11">
        <v>10</v>
      </c>
      <c r="F4026" s="11">
        <v>34</v>
      </c>
      <c r="G4026" s="11">
        <v>11000</v>
      </c>
      <c r="H4026" s="11">
        <v>77413017</v>
      </c>
      <c r="I4026" s="11" t="s">
        <v>68</v>
      </c>
      <c r="J4026" s="11" t="s">
        <v>466</v>
      </c>
      <c r="K4026" s="11" t="s">
        <v>19051</v>
      </c>
      <c r="L4026" s="11" t="s">
        <v>15325</v>
      </c>
      <c r="M4026" s="11" t="s">
        <v>19052</v>
      </c>
      <c r="N4026" s="11">
        <v>45984</v>
      </c>
      <c r="O4026" s="11">
        <v>11218</v>
      </c>
      <c r="P4026" s="11">
        <v>0</v>
      </c>
      <c r="Q4026" s="11" t="s">
        <v>19053</v>
      </c>
      <c r="R4026" s="14" t="s">
        <v>19054</v>
      </c>
      <c r="S4026" s="11">
        <v>331</v>
      </c>
      <c r="T4026" s="11" t="s">
        <v>1465</v>
      </c>
      <c r="U4026" s="11" t="s">
        <v>1466</v>
      </c>
      <c r="V4026" s="11" t="s">
        <v>278</v>
      </c>
      <c r="W4026" s="11">
        <v>8000000</v>
      </c>
      <c r="X4026" s="11">
        <v>2005</v>
      </c>
      <c r="Y4026" s="11">
        <v>108</v>
      </c>
      <c r="Z4026" s="11">
        <v>7.6</v>
      </c>
      <c r="AA4026" s="11">
        <v>1.85</v>
      </c>
      <c r="AB4026" s="11">
        <v>0</v>
      </c>
      <c r="AC4026" s="11"/>
      <c r="AD4026" s="11" t="str">
        <f>IFERROR(__xludf.DUMMYFUNCTION("""COMPUTED_VALUE"""),"Peter Breitmayer")</f>
        <v>Peter Breitmayer</v>
      </c>
      <c r="AE4026" s="11"/>
    </row>
    <row r="4027" customHeight="1" spans="1:31">
      <c r="A4027" s="12" t="s">
        <v>30</v>
      </c>
      <c r="B4027" s="12" t="s">
        <v>11362</v>
      </c>
      <c r="C4027" s="12">
        <v>290</v>
      </c>
      <c r="D4027" s="12">
        <v>107</v>
      </c>
      <c r="E4027" s="12">
        <v>78</v>
      </c>
      <c r="F4027" s="12">
        <v>969</v>
      </c>
      <c r="G4027" s="12">
        <v>18000</v>
      </c>
      <c r="H4027" s="12">
        <v>5354039</v>
      </c>
      <c r="I4027" s="12" t="s">
        <v>3582</v>
      </c>
      <c r="J4027" s="12" t="s">
        <v>120</v>
      </c>
      <c r="K4027" s="12" t="s">
        <v>1376</v>
      </c>
      <c r="L4027" s="12" t="s">
        <v>7429</v>
      </c>
      <c r="M4027" s="12" t="s">
        <v>19055</v>
      </c>
      <c r="N4027" s="12">
        <v>92599</v>
      </c>
      <c r="O4027" s="12">
        <v>22834</v>
      </c>
      <c r="P4027" s="12">
        <v>8</v>
      </c>
      <c r="Q4027" s="12" t="s">
        <v>19056</v>
      </c>
      <c r="R4027" s="15" t="s">
        <v>19057</v>
      </c>
      <c r="S4027" s="12">
        <v>225</v>
      </c>
      <c r="T4027" s="12" t="s">
        <v>39</v>
      </c>
      <c r="U4027" s="12" t="s">
        <v>40</v>
      </c>
      <c r="V4027" s="12" t="s">
        <v>586</v>
      </c>
      <c r="W4027" s="12">
        <v>3500000</v>
      </c>
      <c r="X4027" s="12">
        <v>2011</v>
      </c>
      <c r="Y4027" s="12">
        <v>2000</v>
      </c>
      <c r="Z4027" s="12">
        <v>7.1</v>
      </c>
      <c r="AA4027" s="12">
        <v>1.85</v>
      </c>
      <c r="AB4027" s="12">
        <v>21000</v>
      </c>
      <c r="AC4027" s="12"/>
      <c r="AD4027" s="12" t="str">
        <f>IFERROR(__xludf.DUMMYFUNCTION("""COMPUTED_VALUE"""),"Darryl Stephens")</f>
        <v>Darryl Stephens</v>
      </c>
      <c r="AE4027" s="12"/>
    </row>
    <row r="4028" customHeight="1" spans="1:31">
      <c r="A4028" s="11" t="s">
        <v>30</v>
      </c>
      <c r="B4028" s="11" t="s">
        <v>19058</v>
      </c>
      <c r="C4028" s="11">
        <v>10</v>
      </c>
      <c r="D4028" s="11">
        <v>99</v>
      </c>
      <c r="E4028" s="11">
        <v>0</v>
      </c>
      <c r="F4028" s="11">
        <v>43</v>
      </c>
      <c r="G4028" s="11">
        <v>141</v>
      </c>
      <c r="H4028" s="13"/>
      <c r="I4028" s="11" t="s">
        <v>214</v>
      </c>
      <c r="J4028" s="11" t="s">
        <v>19059</v>
      </c>
      <c r="K4028" s="11" t="s">
        <v>19060</v>
      </c>
      <c r="L4028" s="11" t="s">
        <v>19061</v>
      </c>
      <c r="M4028" s="11" t="s">
        <v>19062</v>
      </c>
      <c r="N4028" s="11">
        <v>1262</v>
      </c>
      <c r="O4028" s="11">
        <v>320</v>
      </c>
      <c r="P4028" s="11">
        <v>1</v>
      </c>
      <c r="Q4028" s="11" t="s">
        <v>19063</v>
      </c>
      <c r="R4028" s="14" t="s">
        <v>19064</v>
      </c>
      <c r="S4028" s="11">
        <v>13</v>
      </c>
      <c r="T4028" s="11" t="s">
        <v>39</v>
      </c>
      <c r="U4028" s="11" t="s">
        <v>40</v>
      </c>
      <c r="V4028" s="11" t="s">
        <v>4831</v>
      </c>
      <c r="W4028" s="13"/>
      <c r="X4028" s="11">
        <v>2011</v>
      </c>
      <c r="Y4028" s="11">
        <v>69</v>
      </c>
      <c r="Z4028" s="11">
        <v>6.1</v>
      </c>
      <c r="AA4028" s="11">
        <v>2.35</v>
      </c>
      <c r="AB4028" s="11">
        <v>224</v>
      </c>
      <c r="AC4028" s="11"/>
      <c r="AD4028" s="11" t="str">
        <f>IFERROR(__xludf.DUMMYFUNCTION("""COMPUTED_VALUE"""),"Teddy Sears")</f>
        <v>Teddy Sears</v>
      </c>
      <c r="AE4028" s="11"/>
    </row>
    <row r="4029" customHeight="1" spans="1:31">
      <c r="A4029" s="12" t="s">
        <v>30</v>
      </c>
      <c r="B4029" s="12" t="s">
        <v>19065</v>
      </c>
      <c r="C4029" s="12">
        <v>159</v>
      </c>
      <c r="D4029" s="12">
        <v>92</v>
      </c>
      <c r="E4029" s="12">
        <v>0</v>
      </c>
      <c r="F4029" s="12">
        <v>539</v>
      </c>
      <c r="G4029" s="12">
        <v>1000</v>
      </c>
      <c r="H4029" s="12">
        <v>2926565</v>
      </c>
      <c r="I4029" s="12" t="s">
        <v>2528</v>
      </c>
      <c r="J4029" s="12" t="s">
        <v>3981</v>
      </c>
      <c r="K4029" s="12" t="s">
        <v>3527</v>
      </c>
      <c r="L4029" s="12" t="s">
        <v>3785</v>
      </c>
      <c r="M4029" s="12" t="s">
        <v>19066</v>
      </c>
      <c r="N4029" s="12">
        <v>28573</v>
      </c>
      <c r="O4029" s="12">
        <v>3608</v>
      </c>
      <c r="P4029" s="12">
        <v>0</v>
      </c>
      <c r="Q4029" s="12" t="s">
        <v>19067</v>
      </c>
      <c r="R4029" s="15" t="s">
        <v>19068</v>
      </c>
      <c r="S4029" s="12">
        <v>72</v>
      </c>
      <c r="T4029" s="12" t="s">
        <v>39</v>
      </c>
      <c r="U4029" s="12" t="s">
        <v>40</v>
      </c>
      <c r="V4029" s="12" t="s">
        <v>586</v>
      </c>
      <c r="W4029" s="12">
        <v>3000000</v>
      </c>
      <c r="X4029" s="12">
        <v>2008</v>
      </c>
      <c r="Y4029" s="12">
        <v>585</v>
      </c>
      <c r="Z4029" s="12">
        <v>6.5</v>
      </c>
      <c r="AA4029" s="12">
        <v>1.66</v>
      </c>
      <c r="AB4029" s="12">
        <v>0</v>
      </c>
      <c r="AC4029" s="12"/>
      <c r="AD4029" s="12" t="str">
        <f>IFERROR(__xludf.DUMMYFUNCTION("""COMPUTED_VALUE"""),"Irvin Kershner")</f>
        <v>Irvin Kershner</v>
      </c>
      <c r="AE4029" s="12"/>
    </row>
    <row r="4030" customHeight="1" spans="1:31">
      <c r="A4030" s="11" t="s">
        <v>30</v>
      </c>
      <c r="B4030" s="11" t="s">
        <v>19069</v>
      </c>
      <c r="C4030" s="11">
        <v>535</v>
      </c>
      <c r="D4030" s="11">
        <v>107</v>
      </c>
      <c r="E4030" s="11">
        <v>141</v>
      </c>
      <c r="F4030" s="11">
        <v>535</v>
      </c>
      <c r="G4030" s="11">
        <v>24000</v>
      </c>
      <c r="H4030" s="11">
        <v>13092000</v>
      </c>
      <c r="I4030" s="11" t="s">
        <v>6200</v>
      </c>
      <c r="J4030" s="11" t="s">
        <v>82</v>
      </c>
      <c r="K4030" s="11" t="s">
        <v>7788</v>
      </c>
      <c r="L4030" s="11" t="s">
        <v>4604</v>
      </c>
      <c r="M4030" s="11" t="s">
        <v>19070</v>
      </c>
      <c r="N4030" s="11">
        <v>399138</v>
      </c>
      <c r="O4030" s="11">
        <v>26495</v>
      </c>
      <c r="P4030" s="11">
        <v>0</v>
      </c>
      <c r="Q4030" s="11" t="s">
        <v>19071</v>
      </c>
      <c r="R4030" s="14" t="s">
        <v>19072</v>
      </c>
      <c r="S4030" s="11">
        <v>731</v>
      </c>
      <c r="T4030" s="11" t="s">
        <v>39</v>
      </c>
      <c r="U4030" s="11" t="s">
        <v>40</v>
      </c>
      <c r="V4030" s="11" t="s">
        <v>586</v>
      </c>
      <c r="W4030" s="11">
        <v>3300000</v>
      </c>
      <c r="X4030" s="11">
        <v>2014</v>
      </c>
      <c r="Y4030" s="11">
        <v>970</v>
      </c>
      <c r="Z4030" s="11">
        <v>8.5</v>
      </c>
      <c r="AA4030" s="11">
        <v>2.4</v>
      </c>
      <c r="AB4030" s="11">
        <v>129000</v>
      </c>
      <c r="AC4030" s="11"/>
      <c r="AD4030" s="11" t="str">
        <f>IFERROR(__xludf.DUMMYFUNCTION("""COMPUTED_VALUE"""),"Barbara Hershey")</f>
        <v>Barbara Hershey</v>
      </c>
      <c r="AE4030" s="11"/>
    </row>
    <row r="4031" customHeight="1" spans="1:31">
      <c r="A4031" s="12" t="s">
        <v>30</v>
      </c>
      <c r="B4031" s="12" t="s">
        <v>9363</v>
      </c>
      <c r="C4031" s="12">
        <v>214</v>
      </c>
      <c r="D4031" s="12">
        <v>135</v>
      </c>
      <c r="E4031" s="12">
        <v>353</v>
      </c>
      <c r="F4031" s="12">
        <v>40</v>
      </c>
      <c r="G4031" s="12">
        <v>1000</v>
      </c>
      <c r="H4031" s="12">
        <v>7563397</v>
      </c>
      <c r="I4031" s="12" t="s">
        <v>1936</v>
      </c>
      <c r="J4031" s="12" t="s">
        <v>783</v>
      </c>
      <c r="K4031" s="12" t="s">
        <v>18827</v>
      </c>
      <c r="L4031" s="12" t="s">
        <v>19073</v>
      </c>
      <c r="M4031" s="12" t="s">
        <v>19074</v>
      </c>
      <c r="N4031" s="12">
        <v>533200</v>
      </c>
      <c r="O4031" s="12">
        <v>1211</v>
      </c>
      <c r="P4031" s="12">
        <v>0</v>
      </c>
      <c r="Q4031" s="12" t="s">
        <v>19075</v>
      </c>
      <c r="R4031" s="15" t="s">
        <v>19076</v>
      </c>
      <c r="S4031" s="12">
        <v>749</v>
      </c>
      <c r="T4031" s="12" t="s">
        <v>14504</v>
      </c>
      <c r="U4031" s="12" t="s">
        <v>16841</v>
      </c>
      <c r="V4031" s="12" t="s">
        <v>586</v>
      </c>
      <c r="W4031" s="12">
        <v>3300000</v>
      </c>
      <c r="X4031" s="12">
        <v>2002</v>
      </c>
      <c r="Y4031" s="12">
        <v>69</v>
      </c>
      <c r="Z4031" s="12">
        <v>8.7</v>
      </c>
      <c r="AA4031" s="12">
        <v>1.85</v>
      </c>
      <c r="AB4031" s="12">
        <v>28000</v>
      </c>
      <c r="AC4031" s="12"/>
      <c r="AD4031" s="12" t="str">
        <f>IFERROR(__xludf.DUMMYFUNCTION("""COMPUTED_VALUE"""),"Jonathan Brandis")</f>
        <v>Jonathan Brandis</v>
      </c>
      <c r="AE4031" s="12"/>
    </row>
    <row r="4032" customHeight="1" spans="1:31">
      <c r="A4032" s="11" t="s">
        <v>30</v>
      </c>
      <c r="B4032" s="11" t="s">
        <v>19077</v>
      </c>
      <c r="C4032" s="11">
        <v>47</v>
      </c>
      <c r="D4032" s="11">
        <v>99</v>
      </c>
      <c r="E4032" s="11">
        <v>8</v>
      </c>
      <c r="F4032" s="11">
        <v>78</v>
      </c>
      <c r="G4032" s="11">
        <v>798</v>
      </c>
      <c r="H4032" s="11">
        <v>104257</v>
      </c>
      <c r="I4032" s="11" t="s">
        <v>6419</v>
      </c>
      <c r="J4032" s="11" t="s">
        <v>15342</v>
      </c>
      <c r="K4032" s="11" t="s">
        <v>19078</v>
      </c>
      <c r="L4032" s="11" t="s">
        <v>9074</v>
      </c>
      <c r="M4032" s="11" t="s">
        <v>19079</v>
      </c>
      <c r="N4032" s="11">
        <v>19194</v>
      </c>
      <c r="O4032" s="11">
        <v>1430</v>
      </c>
      <c r="P4032" s="11">
        <v>2</v>
      </c>
      <c r="Q4032" s="11" t="s">
        <v>19080</v>
      </c>
      <c r="R4032" s="14" t="s">
        <v>19081</v>
      </c>
      <c r="S4032" s="11">
        <v>160</v>
      </c>
      <c r="T4032" s="11" t="s">
        <v>39</v>
      </c>
      <c r="U4032" s="11" t="s">
        <v>58</v>
      </c>
      <c r="V4032" s="11" t="s">
        <v>586</v>
      </c>
      <c r="W4032" s="11">
        <v>2200000</v>
      </c>
      <c r="X4032" s="11">
        <v>1999</v>
      </c>
      <c r="Y4032" s="11">
        <v>472</v>
      </c>
      <c r="Z4032" s="11">
        <v>7.1</v>
      </c>
      <c r="AA4032" s="11">
        <v>1.85</v>
      </c>
      <c r="AB4032" s="11">
        <v>0</v>
      </c>
      <c r="AC4032" s="11"/>
      <c r="AD4032" s="11" t="str">
        <f>IFERROR(__xludf.DUMMYFUNCTION("""COMPUTED_VALUE"""),"George Wendt")</f>
        <v>George Wendt</v>
      </c>
      <c r="AE4032" s="11"/>
    </row>
    <row r="4033" customHeight="1" spans="1:31">
      <c r="A4033" s="12" t="s">
        <v>30</v>
      </c>
      <c r="B4033" s="12" t="s">
        <v>19082</v>
      </c>
      <c r="C4033" s="12">
        <v>17</v>
      </c>
      <c r="D4033" s="12">
        <v>102</v>
      </c>
      <c r="E4033" s="12">
        <v>19</v>
      </c>
      <c r="F4033" s="12">
        <v>80</v>
      </c>
      <c r="G4033" s="12">
        <v>632</v>
      </c>
      <c r="H4033" s="16"/>
      <c r="I4033" s="12" t="s">
        <v>4297</v>
      </c>
      <c r="J4033" s="12" t="s">
        <v>11893</v>
      </c>
      <c r="K4033" s="12" t="s">
        <v>19083</v>
      </c>
      <c r="L4033" s="12" t="s">
        <v>19084</v>
      </c>
      <c r="M4033" s="12" t="s">
        <v>19085</v>
      </c>
      <c r="N4033" s="12">
        <v>2116</v>
      </c>
      <c r="O4033" s="12">
        <v>1011</v>
      </c>
      <c r="P4033" s="12">
        <v>7</v>
      </c>
      <c r="Q4033" s="12" t="s">
        <v>19086</v>
      </c>
      <c r="R4033" s="15" t="s">
        <v>19087</v>
      </c>
      <c r="S4033" s="12">
        <v>13</v>
      </c>
      <c r="T4033" s="12" t="s">
        <v>39</v>
      </c>
      <c r="U4033" s="12" t="s">
        <v>40</v>
      </c>
      <c r="V4033" s="12" t="s">
        <v>41</v>
      </c>
      <c r="W4033" s="12">
        <v>3400000</v>
      </c>
      <c r="X4033" s="12">
        <v>2012</v>
      </c>
      <c r="Y4033" s="12">
        <v>144</v>
      </c>
      <c r="Z4033" s="12">
        <v>6.6</v>
      </c>
      <c r="AA4033" s="16"/>
      <c r="AB4033" s="12">
        <v>0</v>
      </c>
      <c r="AC4033" s="12"/>
      <c r="AD4033" s="12" t="str">
        <f>IFERROR(__xludf.DUMMYFUNCTION("""COMPUTED_VALUE"""),"Anupam Kher")</f>
        <v>Anupam Kher</v>
      </c>
      <c r="AE4033" s="12"/>
    </row>
    <row r="4034" customHeight="1" spans="1:31">
      <c r="A4034" s="11" t="s">
        <v>30</v>
      </c>
      <c r="B4034" s="11" t="s">
        <v>19088</v>
      </c>
      <c r="C4034" s="11">
        <v>85</v>
      </c>
      <c r="D4034" s="11">
        <v>93</v>
      </c>
      <c r="E4034" s="11">
        <v>22</v>
      </c>
      <c r="F4034" s="11">
        <v>303</v>
      </c>
      <c r="G4034" s="11">
        <v>11000</v>
      </c>
      <c r="H4034" s="11">
        <v>17311</v>
      </c>
      <c r="I4034" s="11" t="s">
        <v>3082</v>
      </c>
      <c r="J4034" s="11" t="s">
        <v>83</v>
      </c>
      <c r="K4034" s="11" t="s">
        <v>1287</v>
      </c>
      <c r="L4034" s="11" t="s">
        <v>9157</v>
      </c>
      <c r="M4034" s="11" t="s">
        <v>19089</v>
      </c>
      <c r="N4034" s="11">
        <v>12304</v>
      </c>
      <c r="O4034" s="11">
        <v>11860</v>
      </c>
      <c r="P4034" s="11">
        <v>0</v>
      </c>
      <c r="Q4034" s="11" t="s">
        <v>19090</v>
      </c>
      <c r="R4034" s="14" t="s">
        <v>19091</v>
      </c>
      <c r="S4034" s="11">
        <v>73</v>
      </c>
      <c r="T4034" s="11" t="s">
        <v>39</v>
      </c>
      <c r="U4034" s="11" t="s">
        <v>40</v>
      </c>
      <c r="V4034" s="11" t="s">
        <v>586</v>
      </c>
      <c r="W4034" s="13"/>
      <c r="X4034" s="11">
        <v>2006</v>
      </c>
      <c r="Y4034" s="11">
        <v>505</v>
      </c>
      <c r="Z4034" s="11">
        <v>6.7</v>
      </c>
      <c r="AA4034" s="11">
        <v>1.85</v>
      </c>
      <c r="AB4034" s="11">
        <v>799</v>
      </c>
      <c r="AC4034" s="11"/>
      <c r="AD4034" s="11" t="str">
        <f>IFERROR(__xludf.DUMMYFUNCTION("""COMPUTED_VALUE"""),"Roy Billing")</f>
        <v>Roy Billing</v>
      </c>
      <c r="AE4034" s="11"/>
    </row>
    <row r="4035" customHeight="1" spans="1:31">
      <c r="A4035" s="12" t="s">
        <v>30</v>
      </c>
      <c r="B4035" s="12" t="s">
        <v>16244</v>
      </c>
      <c r="C4035" s="12">
        <v>349</v>
      </c>
      <c r="D4035" s="12">
        <v>115</v>
      </c>
      <c r="E4035" s="12">
        <v>346</v>
      </c>
      <c r="F4035" s="12">
        <v>26</v>
      </c>
      <c r="G4035" s="12">
        <v>74</v>
      </c>
      <c r="H4035" s="12">
        <v>610968</v>
      </c>
      <c r="I4035" s="12" t="s">
        <v>3410</v>
      </c>
      <c r="J4035" s="12" t="s">
        <v>19092</v>
      </c>
      <c r="K4035" s="12" t="s">
        <v>19093</v>
      </c>
      <c r="L4035" s="12" t="s">
        <v>19094</v>
      </c>
      <c r="M4035" s="12" t="s">
        <v>19095</v>
      </c>
      <c r="N4035" s="12">
        <v>170155</v>
      </c>
      <c r="O4035" s="12">
        <v>216</v>
      </c>
      <c r="P4035" s="12">
        <v>1</v>
      </c>
      <c r="Q4035" s="12" t="s">
        <v>19096</v>
      </c>
      <c r="R4035" s="15" t="s">
        <v>19097</v>
      </c>
      <c r="S4035" s="12">
        <v>249</v>
      </c>
      <c r="T4035" s="12" t="s">
        <v>15778</v>
      </c>
      <c r="U4035" s="12" t="s">
        <v>7712</v>
      </c>
      <c r="V4035" s="12" t="s">
        <v>586</v>
      </c>
      <c r="W4035" s="12">
        <v>3800000</v>
      </c>
      <c r="X4035" s="12">
        <v>2012</v>
      </c>
      <c r="Y4035" s="12">
        <v>69</v>
      </c>
      <c r="Z4035" s="12">
        <v>8.3</v>
      </c>
      <c r="AA4035" s="12">
        <v>2.35</v>
      </c>
      <c r="AB4035" s="12">
        <v>60000</v>
      </c>
      <c r="AC4035" s="12"/>
      <c r="AD4035" s="12" t="str">
        <f>IFERROR(__xludf.DUMMYFUNCTION("""COMPUTED_VALUE"""),"Deborah Mailman")</f>
        <v>Deborah Mailman</v>
      </c>
      <c r="AE4035" s="12"/>
    </row>
    <row r="4036" customHeight="1" spans="1:31">
      <c r="A4036" s="11" t="s">
        <v>30</v>
      </c>
      <c r="B4036" s="11" t="s">
        <v>11264</v>
      </c>
      <c r="C4036" s="11">
        <v>109</v>
      </c>
      <c r="D4036" s="11">
        <v>94</v>
      </c>
      <c r="E4036" s="11">
        <v>84</v>
      </c>
      <c r="F4036" s="11">
        <v>378</v>
      </c>
      <c r="G4036" s="11">
        <v>662</v>
      </c>
      <c r="H4036" s="13"/>
      <c r="I4036" s="11" t="s">
        <v>3057</v>
      </c>
      <c r="J4036" s="11" t="s">
        <v>756</v>
      </c>
      <c r="K4036" s="11" t="s">
        <v>19098</v>
      </c>
      <c r="L4036" s="11" t="s">
        <v>19099</v>
      </c>
      <c r="M4036" s="11" t="s">
        <v>19100</v>
      </c>
      <c r="N4036" s="11">
        <v>104908</v>
      </c>
      <c r="O4036" s="11">
        <v>2076</v>
      </c>
      <c r="P4036" s="11">
        <v>0</v>
      </c>
      <c r="Q4036" s="11" t="s">
        <v>19101</v>
      </c>
      <c r="R4036" s="14" t="s">
        <v>19102</v>
      </c>
      <c r="S4036" s="11">
        <v>458</v>
      </c>
      <c r="T4036" s="11" t="s">
        <v>39</v>
      </c>
      <c r="U4036" s="11" t="s">
        <v>40</v>
      </c>
      <c r="V4036" s="11" t="s">
        <v>96</v>
      </c>
      <c r="W4036" s="11">
        <v>4000000</v>
      </c>
      <c r="X4036" s="11">
        <v>1983</v>
      </c>
      <c r="Y4036" s="11">
        <v>577</v>
      </c>
      <c r="Z4036" s="11">
        <v>8.1</v>
      </c>
      <c r="AA4036" s="11">
        <v>1.85</v>
      </c>
      <c r="AB4036" s="11">
        <v>18000</v>
      </c>
      <c r="AC4036" s="11"/>
      <c r="AD4036" s="11" t="str">
        <f>IFERROR(__xludf.DUMMYFUNCTION("""COMPUTED_VALUE"""),"Lil' Wayne")</f>
        <v>Lil' Wayne</v>
      </c>
      <c r="AE4036" s="11"/>
    </row>
    <row r="4037" customHeight="1" spans="1:31">
      <c r="A4037" s="12" t="s">
        <v>30</v>
      </c>
      <c r="B4037" s="12" t="s">
        <v>11334</v>
      </c>
      <c r="C4037" s="12">
        <v>60</v>
      </c>
      <c r="D4037" s="12">
        <v>91</v>
      </c>
      <c r="E4037" s="12">
        <v>38</v>
      </c>
      <c r="F4037" s="12">
        <v>377</v>
      </c>
      <c r="G4037" s="12">
        <v>625</v>
      </c>
      <c r="H4037" s="12">
        <v>8108247</v>
      </c>
      <c r="I4037" s="12" t="s">
        <v>214</v>
      </c>
      <c r="J4037" s="12" t="s">
        <v>1790</v>
      </c>
      <c r="K4037" s="12" t="s">
        <v>282</v>
      </c>
      <c r="L4037" s="12" t="s">
        <v>7012</v>
      </c>
      <c r="M4037" s="12" t="s">
        <v>19103</v>
      </c>
      <c r="N4037" s="12">
        <v>9607</v>
      </c>
      <c r="O4037" s="12">
        <v>2747</v>
      </c>
      <c r="P4037" s="12">
        <v>0</v>
      </c>
      <c r="Q4037" s="12" t="s">
        <v>19104</v>
      </c>
      <c r="R4037" s="15" t="s">
        <v>19105</v>
      </c>
      <c r="S4037" s="12">
        <v>174</v>
      </c>
      <c r="T4037" s="12" t="s">
        <v>39</v>
      </c>
      <c r="U4037" s="12" t="s">
        <v>40</v>
      </c>
      <c r="V4037" s="12" t="s">
        <v>41</v>
      </c>
      <c r="W4037" s="12">
        <v>3300000</v>
      </c>
      <c r="X4037" s="12">
        <v>2006</v>
      </c>
      <c r="Y4037" s="12">
        <v>464</v>
      </c>
      <c r="Z4037" s="12">
        <v>7.4</v>
      </c>
      <c r="AA4037" s="12">
        <v>1.85</v>
      </c>
      <c r="AB4037" s="12">
        <v>0</v>
      </c>
      <c r="AC4037" s="12"/>
      <c r="AD4037" s="12" t="str">
        <f>IFERROR(__xludf.DUMMYFUNCTION("""COMPUTED_VALUE"""),"Michael J. Pollard")</f>
        <v>Michael J. Pollard</v>
      </c>
      <c r="AE4037" s="12"/>
    </row>
    <row r="4038" customHeight="1" spans="1:31">
      <c r="A4038" s="11" t="s">
        <v>30</v>
      </c>
      <c r="B4038" s="11" t="s">
        <v>12977</v>
      </c>
      <c r="C4038" s="11">
        <v>101</v>
      </c>
      <c r="D4038" s="11">
        <v>98</v>
      </c>
      <c r="E4038" s="11">
        <v>73</v>
      </c>
      <c r="F4038" s="11">
        <v>129</v>
      </c>
      <c r="G4038" s="11">
        <v>595</v>
      </c>
      <c r="H4038" s="13"/>
      <c r="I4038" s="11" t="s">
        <v>464</v>
      </c>
      <c r="J4038" s="11" t="s">
        <v>6115</v>
      </c>
      <c r="K4038" s="11" t="s">
        <v>19106</v>
      </c>
      <c r="L4038" s="11" t="s">
        <v>19107</v>
      </c>
      <c r="M4038" s="11" t="s">
        <v>19108</v>
      </c>
      <c r="N4038" s="11">
        <v>6549</v>
      </c>
      <c r="O4038" s="11">
        <v>1105</v>
      </c>
      <c r="P4038" s="11">
        <v>4</v>
      </c>
      <c r="Q4038" s="11" t="s">
        <v>19109</v>
      </c>
      <c r="R4038" s="14" t="s">
        <v>19110</v>
      </c>
      <c r="S4038" s="11">
        <v>75</v>
      </c>
      <c r="T4038" s="11" t="s">
        <v>39</v>
      </c>
      <c r="U4038" s="11" t="s">
        <v>269</v>
      </c>
      <c r="V4038" s="11" t="s">
        <v>586</v>
      </c>
      <c r="W4038" s="11">
        <v>4300000</v>
      </c>
      <c r="X4038" s="11">
        <v>1982</v>
      </c>
      <c r="Y4038" s="11">
        <v>251</v>
      </c>
      <c r="Z4038" s="11">
        <v>6.6</v>
      </c>
      <c r="AA4038" s="11">
        <v>1.85</v>
      </c>
      <c r="AB4038" s="11">
        <v>934</v>
      </c>
      <c r="AC4038" s="11"/>
      <c r="AD4038" s="11" t="str">
        <f>IFERROR(__xludf.DUMMYFUNCTION("""COMPUTED_VALUE"""),"Alastair Duncan")</f>
        <v>Alastair Duncan</v>
      </c>
      <c r="AE4038" s="11"/>
    </row>
    <row r="4039" customHeight="1" spans="1:31">
      <c r="A4039" s="12" t="s">
        <v>30</v>
      </c>
      <c r="B4039" s="12" t="s">
        <v>19111</v>
      </c>
      <c r="C4039" s="12">
        <v>1</v>
      </c>
      <c r="D4039" s="12">
        <v>97</v>
      </c>
      <c r="E4039" s="12">
        <v>246</v>
      </c>
      <c r="F4039" s="12">
        <v>491</v>
      </c>
      <c r="G4039" s="12">
        <v>756</v>
      </c>
      <c r="H4039" s="16"/>
      <c r="I4039" s="12" t="s">
        <v>1672</v>
      </c>
      <c r="J4039" s="12" t="s">
        <v>10974</v>
      </c>
      <c r="K4039" s="12" t="s">
        <v>7223</v>
      </c>
      <c r="L4039" s="12" t="s">
        <v>8473</v>
      </c>
      <c r="M4039" s="12" t="s">
        <v>19112</v>
      </c>
      <c r="N4039" s="12">
        <v>557</v>
      </c>
      <c r="O4039" s="12">
        <v>3717</v>
      </c>
      <c r="P4039" s="12">
        <v>5</v>
      </c>
      <c r="Q4039" s="12" t="s">
        <v>19113</v>
      </c>
      <c r="R4039" s="15" t="s">
        <v>19114</v>
      </c>
      <c r="S4039" s="12">
        <v>3</v>
      </c>
      <c r="T4039" s="12" t="s">
        <v>39</v>
      </c>
      <c r="U4039" s="12" t="s">
        <v>40</v>
      </c>
      <c r="V4039" s="16"/>
      <c r="W4039" s="12">
        <v>3300000</v>
      </c>
      <c r="X4039" s="12">
        <v>2014</v>
      </c>
      <c r="Y4039" s="12">
        <v>521</v>
      </c>
      <c r="Z4039" s="12">
        <v>4.5</v>
      </c>
      <c r="AA4039" s="12">
        <v>16</v>
      </c>
      <c r="AB4039" s="12">
        <v>0</v>
      </c>
      <c r="AC4039" s="12"/>
      <c r="AD4039" s="12" t="str">
        <f>IFERROR(__xludf.DUMMYFUNCTION("""COMPUTED_VALUE"""),"Nathaniel Lees")</f>
        <v>Nathaniel Lees</v>
      </c>
      <c r="AE4039" s="12"/>
    </row>
    <row r="4040" customHeight="1" spans="1:31">
      <c r="A4040" s="11" t="s">
        <v>30</v>
      </c>
      <c r="B4040" s="11" t="s">
        <v>19115</v>
      </c>
      <c r="C4040" s="11">
        <v>16</v>
      </c>
      <c r="D4040" s="11">
        <v>92</v>
      </c>
      <c r="E4040" s="11">
        <v>4</v>
      </c>
      <c r="F4040" s="11">
        <v>405</v>
      </c>
      <c r="G4040" s="11">
        <v>631</v>
      </c>
      <c r="H4040" s="11">
        <v>7680</v>
      </c>
      <c r="I4040" s="11" t="s">
        <v>214</v>
      </c>
      <c r="J4040" s="11" t="s">
        <v>75</v>
      </c>
      <c r="K4040" s="11" t="s">
        <v>5141</v>
      </c>
      <c r="L4040" s="11" t="s">
        <v>3991</v>
      </c>
      <c r="M4040" s="11" t="s">
        <v>19116</v>
      </c>
      <c r="N4040" s="11">
        <v>704</v>
      </c>
      <c r="O4040" s="11">
        <v>2020</v>
      </c>
      <c r="P4040" s="11">
        <v>0</v>
      </c>
      <c r="Q4040" s="11" t="s">
        <v>19117</v>
      </c>
      <c r="R4040" s="14" t="s">
        <v>19118</v>
      </c>
      <c r="S4040" s="11">
        <v>18</v>
      </c>
      <c r="T4040" s="11" t="s">
        <v>39</v>
      </c>
      <c r="U4040" s="11" t="s">
        <v>40</v>
      </c>
      <c r="V4040" s="11" t="s">
        <v>586</v>
      </c>
      <c r="W4040" s="11">
        <v>2000000</v>
      </c>
      <c r="X4040" s="11">
        <v>1999</v>
      </c>
      <c r="Y4040" s="11">
        <v>443</v>
      </c>
      <c r="Z4040" s="11">
        <v>6.4</v>
      </c>
      <c r="AA4040" s="13"/>
      <c r="AB4040" s="11">
        <v>100</v>
      </c>
      <c r="AC4040" s="11"/>
      <c r="AD4040" s="11" t="str">
        <f>IFERROR(__xludf.DUMMYFUNCTION("""COMPUTED_VALUE"""),"Miriama Smith")</f>
        <v>Miriama Smith</v>
      </c>
      <c r="AE4040" s="11"/>
    </row>
    <row r="4041" customHeight="1" spans="1:31">
      <c r="A4041" s="12" t="s">
        <v>30</v>
      </c>
      <c r="B4041" s="12" t="s">
        <v>19119</v>
      </c>
      <c r="C4041" s="12">
        <v>212</v>
      </c>
      <c r="D4041" s="12">
        <v>128</v>
      </c>
      <c r="E4041" s="12">
        <v>39</v>
      </c>
      <c r="F4041" s="12">
        <v>0</v>
      </c>
      <c r="G4041" s="12">
        <v>15</v>
      </c>
      <c r="H4041" s="12">
        <v>3766595</v>
      </c>
      <c r="I4041" s="12" t="s">
        <v>3410</v>
      </c>
      <c r="J4041" s="12" t="s">
        <v>19120</v>
      </c>
      <c r="K4041" s="12" t="s">
        <v>19121</v>
      </c>
      <c r="L4041" s="12" t="s">
        <v>19122</v>
      </c>
      <c r="M4041" s="12" t="s">
        <v>19123</v>
      </c>
      <c r="N4041" s="12">
        <v>29248</v>
      </c>
      <c r="O4041" s="12">
        <v>17</v>
      </c>
      <c r="P4041" s="12">
        <v>7</v>
      </c>
      <c r="Q4041" s="12" t="s">
        <v>19124</v>
      </c>
      <c r="R4041" s="15" t="s">
        <v>19125</v>
      </c>
      <c r="S4041" s="12">
        <v>86</v>
      </c>
      <c r="T4041" s="12" t="s">
        <v>1465</v>
      </c>
      <c r="U4041" s="12" t="s">
        <v>1466</v>
      </c>
      <c r="V4041" s="12" t="s">
        <v>41</v>
      </c>
      <c r="W4041" s="16"/>
      <c r="X4041" s="12">
        <v>2008</v>
      </c>
      <c r="Y4041" s="12">
        <v>2</v>
      </c>
      <c r="Z4041" s="12">
        <v>7.5</v>
      </c>
      <c r="AA4041" s="12">
        <v>2.35</v>
      </c>
      <c r="AB4041" s="12">
        <v>0</v>
      </c>
      <c r="AC4041" s="12"/>
      <c r="AD4041" s="12" t="str">
        <f>IFERROR(__xludf.DUMMYFUNCTION("""COMPUTED_VALUE"""),"Randy Couture")</f>
        <v>Randy Couture</v>
      </c>
      <c r="AE4041" s="12"/>
    </row>
    <row r="4042" customHeight="1" spans="1:31">
      <c r="A4042" s="11" t="s">
        <v>30</v>
      </c>
      <c r="B4042" s="11" t="s">
        <v>3818</v>
      </c>
      <c r="C4042" s="11">
        <v>215</v>
      </c>
      <c r="D4042" s="11">
        <v>136</v>
      </c>
      <c r="E4042" s="11">
        <v>2000</v>
      </c>
      <c r="F4042" s="11">
        <v>449</v>
      </c>
      <c r="G4042" s="11">
        <v>917</v>
      </c>
      <c r="H4042" s="13"/>
      <c r="I4042" s="11" t="s">
        <v>11575</v>
      </c>
      <c r="J4042" s="11" t="s">
        <v>14687</v>
      </c>
      <c r="K4042" s="11" t="s">
        <v>2883</v>
      </c>
      <c r="L4042" s="11" t="s">
        <v>19126</v>
      </c>
      <c r="M4042" s="11" t="s">
        <v>19127</v>
      </c>
      <c r="N4042" s="11">
        <v>140527</v>
      </c>
      <c r="O4042" s="11">
        <v>2997</v>
      </c>
      <c r="P4042" s="11">
        <v>0</v>
      </c>
      <c r="Q4042" s="11" t="s">
        <v>19128</v>
      </c>
      <c r="R4042" s="14" t="s">
        <v>19129</v>
      </c>
      <c r="S4042" s="11">
        <v>447</v>
      </c>
      <c r="T4042" s="11" t="s">
        <v>39</v>
      </c>
      <c r="U4042" s="11" t="s">
        <v>40</v>
      </c>
      <c r="V4042" s="11" t="s">
        <v>586</v>
      </c>
      <c r="W4042" s="11">
        <v>2300000</v>
      </c>
      <c r="X4042" s="11">
        <v>1968</v>
      </c>
      <c r="Y4042" s="11">
        <v>563</v>
      </c>
      <c r="Z4042" s="11">
        <v>8</v>
      </c>
      <c r="AA4042" s="11">
        <v>1.85</v>
      </c>
      <c r="AB4042" s="11">
        <v>13000</v>
      </c>
      <c r="AC4042" s="11"/>
      <c r="AD4042" s="11" t="str">
        <f>IFERROR(__xludf.DUMMYFUNCTION("""COMPUTED_VALUE"""),"Katie Aselton")</f>
        <v>Katie Aselton</v>
      </c>
      <c r="AE4042" s="11"/>
    </row>
    <row r="4043" customHeight="1" spans="1:31">
      <c r="A4043" s="12" t="s">
        <v>748</v>
      </c>
      <c r="B4043" s="12" t="s">
        <v>19130</v>
      </c>
      <c r="C4043" s="12">
        <v>107</v>
      </c>
      <c r="D4043" s="12">
        <v>113</v>
      </c>
      <c r="E4043" s="12">
        <v>673</v>
      </c>
      <c r="F4043" s="12">
        <v>332</v>
      </c>
      <c r="G4043" s="12">
        <v>756</v>
      </c>
      <c r="H4043" s="16"/>
      <c r="I4043" s="12" t="s">
        <v>1766</v>
      </c>
      <c r="J4043" s="12" t="s">
        <v>10890</v>
      </c>
      <c r="K4043" s="12" t="s">
        <v>17842</v>
      </c>
      <c r="L4043" s="12" t="s">
        <v>11035</v>
      </c>
      <c r="M4043" s="12" t="s">
        <v>19131</v>
      </c>
      <c r="N4043" s="12">
        <v>53741</v>
      </c>
      <c r="O4043" s="12">
        <v>2693</v>
      </c>
      <c r="P4043" s="12">
        <v>1</v>
      </c>
      <c r="Q4043" s="12" t="s">
        <v>19132</v>
      </c>
      <c r="R4043" s="15" t="s">
        <v>19133</v>
      </c>
      <c r="S4043" s="12">
        <v>214</v>
      </c>
      <c r="T4043" s="12" t="s">
        <v>39</v>
      </c>
      <c r="U4043" s="12" t="s">
        <v>40</v>
      </c>
      <c r="V4043" s="12" t="s">
        <v>6037</v>
      </c>
      <c r="W4043" s="12">
        <v>3200000</v>
      </c>
      <c r="X4043" s="12">
        <v>1962</v>
      </c>
      <c r="Y4043" s="12">
        <v>423</v>
      </c>
      <c r="Z4043" s="12">
        <v>8.1</v>
      </c>
      <c r="AA4043" s="12">
        <v>1.85</v>
      </c>
      <c r="AB4043" s="12">
        <v>0</v>
      </c>
      <c r="AC4043" s="12"/>
      <c r="AD4043" s="12" t="str">
        <f>IFERROR(__xludf.DUMMYFUNCTION("""COMPUTED_VALUE"""),"Cheryl Ladd")</f>
        <v>Cheryl Ladd</v>
      </c>
      <c r="AE4043" s="12"/>
    </row>
    <row r="4044" customHeight="1" spans="1:31">
      <c r="A4044" s="11" t="s">
        <v>30</v>
      </c>
      <c r="B4044" s="11" t="s">
        <v>19134</v>
      </c>
      <c r="C4044" s="11">
        <v>122</v>
      </c>
      <c r="D4044" s="11">
        <v>99</v>
      </c>
      <c r="E4044" s="11">
        <v>6</v>
      </c>
      <c r="F4044" s="11">
        <v>194</v>
      </c>
      <c r="G4044" s="11">
        <v>828</v>
      </c>
      <c r="H4044" s="11">
        <v>2277396</v>
      </c>
      <c r="I4044" s="11" t="s">
        <v>214</v>
      </c>
      <c r="J4044" s="11" t="s">
        <v>4812</v>
      </c>
      <c r="K4044" s="11" t="s">
        <v>19135</v>
      </c>
      <c r="L4044" s="11" t="s">
        <v>14078</v>
      </c>
      <c r="M4044" s="11" t="s">
        <v>19136</v>
      </c>
      <c r="N4044" s="11">
        <v>29239</v>
      </c>
      <c r="O4044" s="11">
        <v>1936</v>
      </c>
      <c r="P4044" s="11">
        <v>0</v>
      </c>
      <c r="Q4044" s="11" t="s">
        <v>19137</v>
      </c>
      <c r="R4044" s="14" t="s">
        <v>19138</v>
      </c>
      <c r="S4044" s="11">
        <v>70</v>
      </c>
      <c r="T4044" s="11" t="s">
        <v>39</v>
      </c>
      <c r="U4044" s="11" t="s">
        <v>40</v>
      </c>
      <c r="V4044" s="11" t="s">
        <v>41</v>
      </c>
      <c r="W4044" s="13"/>
      <c r="X4044" s="11">
        <v>2009</v>
      </c>
      <c r="Y4044" s="11">
        <v>390</v>
      </c>
      <c r="Z4044" s="11">
        <v>7.2</v>
      </c>
      <c r="AA4044" s="11">
        <v>2.35</v>
      </c>
      <c r="AB4044" s="11">
        <v>0</v>
      </c>
      <c r="AC4044" s="11"/>
      <c r="AD4044" s="11" t="str">
        <f>IFERROR(__xludf.DUMMYFUNCTION("""COMPUTED_VALUE"""),"Ashley Gerasimovich")</f>
        <v>Ashley Gerasimovich</v>
      </c>
      <c r="AE4044" s="11"/>
    </row>
    <row r="4045" customHeight="1" spans="1:31">
      <c r="A4045" s="12" t="s">
        <v>30</v>
      </c>
      <c r="B4045" s="12" t="s">
        <v>19139</v>
      </c>
      <c r="C4045" s="12">
        <v>155</v>
      </c>
      <c r="D4045" s="12">
        <v>101</v>
      </c>
      <c r="E4045" s="12">
        <v>13</v>
      </c>
      <c r="F4045" s="12">
        <v>6</v>
      </c>
      <c r="G4045" s="12">
        <v>280</v>
      </c>
      <c r="H4045" s="12">
        <v>6517198</v>
      </c>
      <c r="I4045" s="12" t="s">
        <v>1936</v>
      </c>
      <c r="J4045" s="12" t="s">
        <v>13828</v>
      </c>
      <c r="K4045" s="12" t="s">
        <v>19140</v>
      </c>
      <c r="L4045" s="12" t="s">
        <v>19141</v>
      </c>
      <c r="M4045" s="12" t="s">
        <v>19142</v>
      </c>
      <c r="N4045" s="12">
        <v>30474</v>
      </c>
      <c r="O4045" s="12">
        <v>308</v>
      </c>
      <c r="P4045" s="12">
        <v>0</v>
      </c>
      <c r="Q4045" s="12" t="s">
        <v>19143</v>
      </c>
      <c r="R4045" s="15" t="s">
        <v>19144</v>
      </c>
      <c r="S4045" s="12">
        <v>172</v>
      </c>
      <c r="T4045" s="12" t="s">
        <v>2779</v>
      </c>
      <c r="U4045" s="12" t="s">
        <v>19145</v>
      </c>
      <c r="V4045" s="12" t="s">
        <v>586</v>
      </c>
      <c r="W4045" s="12">
        <v>3000000</v>
      </c>
      <c r="X4045" s="12">
        <v>2004</v>
      </c>
      <c r="Y4045" s="12">
        <v>11</v>
      </c>
      <c r="Z4045" s="12">
        <v>7.5</v>
      </c>
      <c r="AA4045" s="12">
        <v>1.85</v>
      </c>
      <c r="AB4045" s="12">
        <v>0</v>
      </c>
      <c r="AC4045" s="12"/>
      <c r="AD4045" s="12" t="str">
        <f>IFERROR(__xludf.DUMMYFUNCTION("""COMPUTED_VALUE"""),"Samantha Barks")</f>
        <v>Samantha Barks</v>
      </c>
      <c r="AE4045" s="12"/>
    </row>
    <row r="4046" customHeight="1" spans="1:31">
      <c r="A4046" s="11" t="s">
        <v>30</v>
      </c>
      <c r="B4046" s="11" t="s">
        <v>18591</v>
      </c>
      <c r="C4046" s="11">
        <v>261</v>
      </c>
      <c r="D4046" s="11">
        <v>105</v>
      </c>
      <c r="E4046" s="11">
        <v>101</v>
      </c>
      <c r="F4046" s="11">
        <v>157</v>
      </c>
      <c r="G4046" s="11">
        <v>1000</v>
      </c>
      <c r="H4046" s="11">
        <v>5776314</v>
      </c>
      <c r="I4046" s="11" t="s">
        <v>1415</v>
      </c>
      <c r="J4046" s="11" t="s">
        <v>2143</v>
      </c>
      <c r="K4046" s="11" t="s">
        <v>3173</v>
      </c>
      <c r="L4046" s="11" t="s">
        <v>19146</v>
      </c>
      <c r="M4046" s="11" t="s">
        <v>19147</v>
      </c>
      <c r="N4046" s="11">
        <v>73349</v>
      </c>
      <c r="O4046" s="11">
        <v>2016</v>
      </c>
      <c r="P4046" s="11">
        <v>4</v>
      </c>
      <c r="Q4046" s="11" t="s">
        <v>19148</v>
      </c>
      <c r="R4046" s="14" t="s">
        <v>19149</v>
      </c>
      <c r="S4046" s="11">
        <v>142</v>
      </c>
      <c r="T4046" s="11" t="s">
        <v>39</v>
      </c>
      <c r="U4046" s="11" t="s">
        <v>40</v>
      </c>
      <c r="V4046" s="11" t="s">
        <v>586</v>
      </c>
      <c r="W4046" s="11">
        <v>3200000</v>
      </c>
      <c r="X4046" s="11">
        <v>2010</v>
      </c>
      <c r="Y4046" s="11">
        <v>394</v>
      </c>
      <c r="Z4046" s="11">
        <v>7.2</v>
      </c>
      <c r="AA4046" s="11">
        <v>1.85</v>
      </c>
      <c r="AB4046" s="11">
        <v>15000</v>
      </c>
      <c r="AC4046" s="11"/>
      <c r="AD4046" s="11" t="str">
        <f>IFERROR(__xludf.DUMMYFUNCTION("""COMPUTED_VALUE"""),"Jennifer Butler")</f>
        <v>Jennifer Butler</v>
      </c>
      <c r="AE4046" s="11"/>
    </row>
    <row r="4047" customHeight="1" spans="1:31">
      <c r="A4047" s="12" t="s">
        <v>30</v>
      </c>
      <c r="B4047" s="12" t="s">
        <v>19150</v>
      </c>
      <c r="C4047" s="12">
        <v>130</v>
      </c>
      <c r="D4047" s="12">
        <v>95</v>
      </c>
      <c r="E4047" s="12">
        <v>38</v>
      </c>
      <c r="F4047" s="12">
        <v>898</v>
      </c>
      <c r="G4047" s="12">
        <v>164000</v>
      </c>
      <c r="H4047" s="16"/>
      <c r="I4047" s="12" t="s">
        <v>19151</v>
      </c>
      <c r="J4047" s="12" t="s">
        <v>6404</v>
      </c>
      <c r="K4047" s="12" t="s">
        <v>3933</v>
      </c>
      <c r="L4047" s="12" t="s">
        <v>1189</v>
      </c>
      <c r="M4047" s="12" t="s">
        <v>19152</v>
      </c>
      <c r="N4047" s="12">
        <v>25542</v>
      </c>
      <c r="O4047" s="12">
        <v>170118</v>
      </c>
      <c r="P4047" s="12">
        <v>0</v>
      </c>
      <c r="Q4047" s="12" t="s">
        <v>19153</v>
      </c>
      <c r="R4047" s="15" t="s">
        <v>19154</v>
      </c>
      <c r="S4047" s="12">
        <v>252</v>
      </c>
      <c r="T4047" s="12" t="s">
        <v>39</v>
      </c>
      <c r="U4047" s="12" t="s">
        <v>40</v>
      </c>
      <c r="V4047" s="12" t="s">
        <v>586</v>
      </c>
      <c r="W4047" s="12">
        <v>3200000</v>
      </c>
      <c r="X4047" s="12">
        <v>2005</v>
      </c>
      <c r="Y4047" s="12">
        <v>2000</v>
      </c>
      <c r="Z4047" s="12">
        <v>6.4</v>
      </c>
      <c r="AA4047" s="12">
        <v>2.35</v>
      </c>
      <c r="AB4047" s="12">
        <v>0</v>
      </c>
      <c r="AC4047" s="12"/>
      <c r="AD4047" s="12" t="str">
        <f>IFERROR(__xludf.DUMMYFUNCTION("""COMPUTED_VALUE"""),"Rick Rossovich")</f>
        <v>Rick Rossovich</v>
      </c>
      <c r="AE4047" s="12"/>
    </row>
    <row r="4048" customHeight="1" spans="1:31">
      <c r="A4048" s="11" t="s">
        <v>30</v>
      </c>
      <c r="B4048" s="11" t="s">
        <v>5246</v>
      </c>
      <c r="C4048" s="11">
        <v>94</v>
      </c>
      <c r="D4048" s="11">
        <v>109</v>
      </c>
      <c r="E4048" s="11">
        <v>644</v>
      </c>
      <c r="F4048" s="11">
        <v>559</v>
      </c>
      <c r="G4048" s="11">
        <v>1000</v>
      </c>
      <c r="H4048" s="11">
        <v>141600000</v>
      </c>
      <c r="I4048" s="11" t="s">
        <v>1672</v>
      </c>
      <c r="J4048" s="11" t="s">
        <v>7960</v>
      </c>
      <c r="K4048" s="11" t="s">
        <v>1346</v>
      </c>
      <c r="L4048" s="11" t="s">
        <v>5345</v>
      </c>
      <c r="M4048" s="11" t="s">
        <v>19155</v>
      </c>
      <c r="N4048" s="11">
        <v>90177</v>
      </c>
      <c r="O4048" s="11">
        <v>3468</v>
      </c>
      <c r="P4048" s="11">
        <v>6</v>
      </c>
      <c r="Q4048" s="11" t="s">
        <v>19156</v>
      </c>
      <c r="R4048" s="14" t="s">
        <v>19157</v>
      </c>
      <c r="S4048" s="11">
        <v>257</v>
      </c>
      <c r="T4048" s="11" t="s">
        <v>39</v>
      </c>
      <c r="U4048" s="11" t="s">
        <v>40</v>
      </c>
      <c r="V4048" s="11" t="s">
        <v>586</v>
      </c>
      <c r="W4048" s="11">
        <v>3000000</v>
      </c>
      <c r="X4048" s="11">
        <v>1978</v>
      </c>
      <c r="Y4048" s="11">
        <v>783</v>
      </c>
      <c r="Z4048" s="11">
        <v>7.6</v>
      </c>
      <c r="AA4048" s="11">
        <v>1.85</v>
      </c>
      <c r="AB4048" s="11">
        <v>0</v>
      </c>
      <c r="AC4048" s="11"/>
      <c r="AD4048" s="11" t="str">
        <f>IFERROR(__xludf.DUMMYFUNCTION("""COMPUTED_VALUE"""),"Terence Hill")</f>
        <v>Terence Hill</v>
      </c>
      <c r="AE4048" s="11"/>
    </row>
    <row r="4049" customHeight="1" spans="1:31">
      <c r="A4049" s="12" t="s">
        <v>30</v>
      </c>
      <c r="B4049" s="12" t="s">
        <v>16450</v>
      </c>
      <c r="C4049" s="12">
        <v>164</v>
      </c>
      <c r="D4049" s="12">
        <v>110</v>
      </c>
      <c r="E4049" s="12">
        <v>82</v>
      </c>
      <c r="F4049" s="12">
        <v>177</v>
      </c>
      <c r="G4049" s="12">
        <v>387</v>
      </c>
      <c r="H4049" s="12">
        <v>51100000</v>
      </c>
      <c r="I4049" s="12" t="s">
        <v>51</v>
      </c>
      <c r="J4049" s="12" t="s">
        <v>19158</v>
      </c>
      <c r="K4049" s="12" t="s">
        <v>19159</v>
      </c>
      <c r="L4049" s="12" t="s">
        <v>4827</v>
      </c>
      <c r="M4049" s="12" t="s">
        <v>19160</v>
      </c>
      <c r="N4049" s="12">
        <v>139432</v>
      </c>
      <c r="O4049" s="12">
        <v>1198</v>
      </c>
      <c r="P4049" s="12">
        <v>2</v>
      </c>
      <c r="Q4049" s="12" t="s">
        <v>19161</v>
      </c>
      <c r="R4049" s="15" t="s">
        <v>19162</v>
      </c>
      <c r="S4049" s="12">
        <v>418</v>
      </c>
      <c r="T4049" s="12" t="s">
        <v>39</v>
      </c>
      <c r="U4049" s="12" t="s">
        <v>58</v>
      </c>
      <c r="V4049" s="12" t="s">
        <v>6037</v>
      </c>
      <c r="W4049" s="12">
        <v>3000000</v>
      </c>
      <c r="X4049" s="12">
        <v>1964</v>
      </c>
      <c r="Y4049" s="12">
        <v>202</v>
      </c>
      <c r="Z4049" s="12">
        <v>7.8</v>
      </c>
      <c r="AA4049" s="12">
        <v>1.37</v>
      </c>
      <c r="AB4049" s="12">
        <v>0</v>
      </c>
      <c r="AC4049" s="12"/>
      <c r="AD4049" s="12" t="str">
        <f>IFERROR(__xludf.DUMMYFUNCTION("""COMPUTED_VALUE"""),"Jack O'Halloran")</f>
        <v>Jack O'Halloran</v>
      </c>
      <c r="AE4049" s="12"/>
    </row>
    <row r="4050" customHeight="1" spans="1:31">
      <c r="A4050" s="11" t="s">
        <v>30</v>
      </c>
      <c r="B4050" s="11" t="s">
        <v>19163</v>
      </c>
      <c r="C4050" s="11">
        <v>188</v>
      </c>
      <c r="D4050" s="11">
        <v>108</v>
      </c>
      <c r="E4050" s="11">
        <v>43</v>
      </c>
      <c r="F4050" s="11">
        <v>463</v>
      </c>
      <c r="G4050" s="11">
        <v>691</v>
      </c>
      <c r="H4050" s="13"/>
      <c r="I4050" s="11" t="s">
        <v>4333</v>
      </c>
      <c r="J4050" s="11" t="s">
        <v>3417</v>
      </c>
      <c r="K4050" s="11" t="s">
        <v>7501</v>
      </c>
      <c r="L4050" s="11" t="s">
        <v>19164</v>
      </c>
      <c r="M4050" s="11" t="s">
        <v>19165</v>
      </c>
      <c r="N4050" s="11">
        <v>9356</v>
      </c>
      <c r="O4050" s="11">
        <v>1962</v>
      </c>
      <c r="P4050" s="11">
        <v>0</v>
      </c>
      <c r="Q4050" s="11" t="s">
        <v>19166</v>
      </c>
      <c r="R4050" s="14" t="s">
        <v>19167</v>
      </c>
      <c r="S4050" s="11">
        <v>47</v>
      </c>
      <c r="T4050" s="11" t="s">
        <v>39</v>
      </c>
      <c r="U4050" s="11" t="s">
        <v>269</v>
      </c>
      <c r="V4050" s="11" t="s">
        <v>4831</v>
      </c>
      <c r="W4050" s="11">
        <v>3200000</v>
      </c>
      <c r="X4050" s="11">
        <v>2012</v>
      </c>
      <c r="Y4050" s="11">
        <v>480</v>
      </c>
      <c r="Z4050" s="11">
        <v>5.7</v>
      </c>
      <c r="AA4050" s="11">
        <v>1.85</v>
      </c>
      <c r="AB4050" s="11">
        <v>0</v>
      </c>
      <c r="AC4050" s="11"/>
      <c r="AD4050" s="11" t="str">
        <f>IFERROR(__xludf.DUMMYFUNCTION("""COMPUTED_VALUE"""),"Valérie Lemercier")</f>
        <v>Valérie Lemercier</v>
      </c>
      <c r="AE4050" s="11"/>
    </row>
    <row r="4051" customHeight="1" spans="1:31">
      <c r="A4051" s="12" t="s">
        <v>30</v>
      </c>
      <c r="B4051" s="12" t="s">
        <v>19168</v>
      </c>
      <c r="C4051" s="12">
        <v>206</v>
      </c>
      <c r="D4051" s="12">
        <v>118</v>
      </c>
      <c r="E4051" s="12">
        <v>964</v>
      </c>
      <c r="F4051" s="12">
        <v>248</v>
      </c>
      <c r="G4051" s="12">
        <v>488</v>
      </c>
      <c r="H4051" s="16"/>
      <c r="I4051" s="12" t="s">
        <v>1996</v>
      </c>
      <c r="J4051" s="12" t="s">
        <v>19169</v>
      </c>
      <c r="K4051" s="12" t="s">
        <v>19170</v>
      </c>
      <c r="L4051" s="12" t="s">
        <v>18794</v>
      </c>
      <c r="M4051" s="12" t="s">
        <v>19171</v>
      </c>
      <c r="N4051" s="12">
        <v>275720</v>
      </c>
      <c r="O4051" s="12">
        <v>1844</v>
      </c>
      <c r="P4051" s="12">
        <v>0</v>
      </c>
      <c r="Q4051" s="12" t="s">
        <v>19172</v>
      </c>
      <c r="R4051" s="15" t="s">
        <v>19173</v>
      </c>
      <c r="S4051" s="12">
        <v>706</v>
      </c>
      <c r="T4051" s="12" t="s">
        <v>39</v>
      </c>
      <c r="U4051" s="12" t="s">
        <v>40</v>
      </c>
      <c r="V4051" s="12" t="s">
        <v>96</v>
      </c>
      <c r="W4051" s="12">
        <v>3180000</v>
      </c>
      <c r="X4051" s="12">
        <v>1946</v>
      </c>
      <c r="Y4051" s="12">
        <v>275</v>
      </c>
      <c r="Z4051" s="12">
        <v>8.6</v>
      </c>
      <c r="AA4051" s="12">
        <v>1.37</v>
      </c>
      <c r="AB4051" s="12">
        <v>41000</v>
      </c>
      <c r="AC4051" s="12"/>
      <c r="AD4051" s="12" t="str">
        <f>IFERROR(__xludf.DUMMYFUNCTION("""COMPUTED_VALUE"""),"Nathalie Fay")</f>
        <v>Nathalie Fay</v>
      </c>
      <c r="AE4051" s="12"/>
    </row>
    <row r="4052" customHeight="1" spans="1:31">
      <c r="A4052" s="11" t="s">
        <v>30</v>
      </c>
      <c r="B4052" s="11" t="s">
        <v>5290</v>
      </c>
      <c r="C4052" s="11">
        <v>134</v>
      </c>
      <c r="D4052" s="11">
        <v>94</v>
      </c>
      <c r="E4052" s="11">
        <v>0</v>
      </c>
      <c r="F4052" s="11">
        <v>557</v>
      </c>
      <c r="G4052" s="11">
        <v>2000</v>
      </c>
      <c r="H4052" s="11">
        <v>16501785</v>
      </c>
      <c r="I4052" s="11" t="s">
        <v>3410</v>
      </c>
      <c r="J4052" s="11" t="s">
        <v>404</v>
      </c>
      <c r="K4052" s="11" t="s">
        <v>2292</v>
      </c>
      <c r="L4052" s="11" t="s">
        <v>360</v>
      </c>
      <c r="M4052" s="11" t="s">
        <v>19174</v>
      </c>
      <c r="N4052" s="11">
        <v>469561</v>
      </c>
      <c r="O4052" s="11">
        <v>3559</v>
      </c>
      <c r="P4052" s="11">
        <v>4</v>
      </c>
      <c r="Q4052" s="11" t="s">
        <v>19175</v>
      </c>
      <c r="R4052" s="14" t="s">
        <v>19176</v>
      </c>
      <c r="S4052" s="11">
        <v>514</v>
      </c>
      <c r="T4052" s="11" t="s">
        <v>39</v>
      </c>
      <c r="U4052" s="11" t="s">
        <v>58</v>
      </c>
      <c r="V4052" s="11" t="s">
        <v>586</v>
      </c>
      <c r="W4052" s="11">
        <v>3500000</v>
      </c>
      <c r="X4052" s="11">
        <v>1996</v>
      </c>
      <c r="Y4052" s="11">
        <v>887</v>
      </c>
      <c r="Z4052" s="11">
        <v>8.2</v>
      </c>
      <c r="AA4052" s="11">
        <v>1.85</v>
      </c>
      <c r="AB4052" s="11">
        <v>21000</v>
      </c>
      <c r="AC4052" s="11"/>
      <c r="AD4052" s="11" t="str">
        <f>IFERROR(__xludf.DUMMYFUNCTION("""COMPUTED_VALUE"""),"Erin Wasson")</f>
        <v>Erin Wasson</v>
      </c>
      <c r="AE4052" s="11"/>
    </row>
    <row r="4053" customHeight="1" spans="1:31">
      <c r="A4053" s="12" t="s">
        <v>30</v>
      </c>
      <c r="B4053" s="12" t="s">
        <v>5077</v>
      </c>
      <c r="C4053" s="12">
        <v>53</v>
      </c>
      <c r="D4053" s="12">
        <v>115</v>
      </c>
      <c r="E4053" s="12">
        <v>0</v>
      </c>
      <c r="F4053" s="12">
        <v>360</v>
      </c>
      <c r="G4053" s="12">
        <v>1000</v>
      </c>
      <c r="H4053" s="12">
        <v>38168022</v>
      </c>
      <c r="I4053" s="12" t="s">
        <v>17534</v>
      </c>
      <c r="J4053" s="12" t="s">
        <v>804</v>
      </c>
      <c r="K4053" s="12" t="s">
        <v>806</v>
      </c>
      <c r="L4053" s="12" t="s">
        <v>16000</v>
      </c>
      <c r="M4053" s="12" t="s">
        <v>19177</v>
      </c>
      <c r="N4053" s="12">
        <v>4687</v>
      </c>
      <c r="O4053" s="12">
        <v>1964</v>
      </c>
      <c r="P4053" s="12">
        <v>0</v>
      </c>
      <c r="Q4053" s="12" t="s">
        <v>19178</v>
      </c>
      <c r="R4053" s="15" t="s">
        <v>19179</v>
      </c>
      <c r="S4053" s="12">
        <v>83</v>
      </c>
      <c r="T4053" s="12" t="s">
        <v>39</v>
      </c>
      <c r="U4053" s="12" t="s">
        <v>40</v>
      </c>
      <c r="V4053" s="12" t="s">
        <v>586</v>
      </c>
      <c r="W4053" s="12">
        <v>3000000</v>
      </c>
      <c r="X4053" s="12">
        <v>2000</v>
      </c>
      <c r="Y4053" s="12">
        <v>436</v>
      </c>
      <c r="Z4053" s="12">
        <v>6.6</v>
      </c>
      <c r="AA4053" s="12">
        <v>1.85</v>
      </c>
      <c r="AB4053" s="12">
        <v>290</v>
      </c>
      <c r="AC4053" s="12"/>
      <c r="AD4053" s="12" t="str">
        <f>IFERROR(__xludf.DUMMYFUNCTION("""COMPUTED_VALUE"""),"Susie Abromeit")</f>
        <v>Susie Abromeit</v>
      </c>
      <c r="AE4053" s="12"/>
    </row>
    <row r="4054" customHeight="1" spans="1:31">
      <c r="A4054" s="11" t="s">
        <v>30</v>
      </c>
      <c r="B4054" s="11" t="s">
        <v>19180</v>
      </c>
      <c r="C4054" s="11">
        <v>264</v>
      </c>
      <c r="D4054" s="11">
        <v>98</v>
      </c>
      <c r="E4054" s="11">
        <v>21</v>
      </c>
      <c r="F4054" s="11">
        <v>189</v>
      </c>
      <c r="G4054" s="11">
        <v>438</v>
      </c>
      <c r="H4054" s="11">
        <v>84749884</v>
      </c>
      <c r="I4054" s="11" t="s">
        <v>6403</v>
      </c>
      <c r="J4054" s="11" t="s">
        <v>17543</v>
      </c>
      <c r="K4054" s="11" t="s">
        <v>17595</v>
      </c>
      <c r="L4054" s="11" t="s">
        <v>19181</v>
      </c>
      <c r="M4054" s="11" t="s">
        <v>19182</v>
      </c>
      <c r="N4054" s="11">
        <v>82133</v>
      </c>
      <c r="O4054" s="11">
        <v>1081</v>
      </c>
      <c r="P4054" s="11">
        <v>0</v>
      </c>
      <c r="Q4054" s="11" t="s">
        <v>19183</v>
      </c>
      <c r="R4054" s="14" t="s">
        <v>19184</v>
      </c>
      <c r="S4054" s="11">
        <v>359</v>
      </c>
      <c r="T4054" s="11" t="s">
        <v>39</v>
      </c>
      <c r="U4054" s="11" t="s">
        <v>40</v>
      </c>
      <c r="V4054" s="11" t="s">
        <v>586</v>
      </c>
      <c r="W4054" s="11">
        <v>3000000</v>
      </c>
      <c r="X4054" s="11">
        <v>2010</v>
      </c>
      <c r="Y4054" s="11">
        <v>332</v>
      </c>
      <c r="Z4054" s="11">
        <v>5.7</v>
      </c>
      <c r="AA4054" s="11">
        <v>1.85</v>
      </c>
      <c r="AB4054" s="11">
        <v>14000</v>
      </c>
      <c r="AC4054" s="11"/>
      <c r="AD4054" s="11" t="str">
        <f>IFERROR(__xludf.DUMMYFUNCTION("""COMPUTED_VALUE"""),"Derek Wayne Johnson")</f>
        <v>Derek Wayne Johnson</v>
      </c>
      <c r="AE4054" s="11"/>
    </row>
    <row r="4055" customHeight="1" spans="1:31">
      <c r="A4055" s="12" t="s">
        <v>30</v>
      </c>
      <c r="B4055" s="12" t="s">
        <v>7110</v>
      </c>
      <c r="C4055" s="12">
        <v>94</v>
      </c>
      <c r="D4055" s="12">
        <v>91</v>
      </c>
      <c r="E4055" s="12">
        <v>52</v>
      </c>
      <c r="F4055" s="12">
        <v>482</v>
      </c>
      <c r="G4055" s="12">
        <v>773</v>
      </c>
      <c r="H4055" s="12">
        <v>24788807</v>
      </c>
      <c r="I4055" s="12" t="s">
        <v>1672</v>
      </c>
      <c r="J4055" s="12" t="s">
        <v>176</v>
      </c>
      <c r="K4055" s="12" t="s">
        <v>789</v>
      </c>
      <c r="L4055" s="12" t="s">
        <v>8232</v>
      </c>
      <c r="M4055" s="12" t="s">
        <v>19185</v>
      </c>
      <c r="N4055" s="12">
        <v>21245</v>
      </c>
      <c r="O4055" s="12">
        <v>1965</v>
      </c>
      <c r="P4055" s="12">
        <v>0</v>
      </c>
      <c r="Q4055" s="12" t="s">
        <v>19186</v>
      </c>
      <c r="R4055" s="15" t="s">
        <v>19187</v>
      </c>
      <c r="S4055" s="12">
        <v>213</v>
      </c>
      <c r="T4055" s="12" t="s">
        <v>39</v>
      </c>
      <c r="U4055" s="12" t="s">
        <v>58</v>
      </c>
      <c r="V4055" s="12" t="s">
        <v>96</v>
      </c>
      <c r="W4055" s="12">
        <v>3000000</v>
      </c>
      <c r="X4055" s="12">
        <v>1998</v>
      </c>
      <c r="Y4055" s="12">
        <v>588</v>
      </c>
      <c r="Z4055" s="12">
        <v>7.4</v>
      </c>
      <c r="AA4055" s="12">
        <v>2.35</v>
      </c>
      <c r="AB4055" s="12">
        <v>0</v>
      </c>
      <c r="AC4055" s="12"/>
      <c r="AD4055" s="12" t="str">
        <f>IFERROR(__xludf.DUMMYFUNCTION("""COMPUTED_VALUE"""),"Richard Graham")</f>
        <v>Richard Graham</v>
      </c>
      <c r="AE4055" s="12"/>
    </row>
    <row r="4056" customHeight="1" spans="1:31">
      <c r="A4056" s="11" t="s">
        <v>748</v>
      </c>
      <c r="B4056" s="11" t="s">
        <v>3807</v>
      </c>
      <c r="C4056" s="11">
        <v>215</v>
      </c>
      <c r="D4056" s="11">
        <v>120</v>
      </c>
      <c r="E4056" s="11">
        <v>909</v>
      </c>
      <c r="F4056" s="11">
        <v>184</v>
      </c>
      <c r="G4056" s="11">
        <v>909</v>
      </c>
      <c r="H4056" s="11">
        <v>21244913</v>
      </c>
      <c r="I4056" s="11" t="s">
        <v>19188</v>
      </c>
      <c r="J4056" s="11" t="s">
        <v>3807</v>
      </c>
      <c r="K4056" s="11" t="s">
        <v>8796</v>
      </c>
      <c r="L4056" s="11" t="s">
        <v>15637</v>
      </c>
      <c r="M4056" s="11" t="s">
        <v>19189</v>
      </c>
      <c r="N4056" s="11">
        <v>123090</v>
      </c>
      <c r="O4056" s="11">
        <v>1779</v>
      </c>
      <c r="P4056" s="11">
        <v>2</v>
      </c>
      <c r="Q4056" s="11" t="s">
        <v>19190</v>
      </c>
      <c r="R4056" s="14" t="s">
        <v>19191</v>
      </c>
      <c r="S4056" s="11">
        <v>888</v>
      </c>
      <c r="T4056" s="11" t="s">
        <v>39</v>
      </c>
      <c r="U4056" s="11" t="s">
        <v>768</v>
      </c>
      <c r="V4056" s="11" t="s">
        <v>586</v>
      </c>
      <c r="W4056" s="11">
        <v>4000000</v>
      </c>
      <c r="X4056" s="11">
        <v>2002</v>
      </c>
      <c r="Y4056" s="11">
        <v>504</v>
      </c>
      <c r="Z4056" s="11">
        <v>8</v>
      </c>
      <c r="AA4056" s="11">
        <v>1.85</v>
      </c>
      <c r="AB4056" s="11">
        <v>4000</v>
      </c>
      <c r="AC4056" s="11"/>
      <c r="AD4056" s="11" t="str">
        <f>IFERROR(__xludf.DUMMYFUNCTION("""COMPUTED_VALUE"""),"Casey Affleck")</f>
        <v>Casey Affleck</v>
      </c>
      <c r="AE4056" s="11"/>
    </row>
    <row r="4057" customHeight="1" spans="1:31">
      <c r="A4057" s="12" t="s">
        <v>30</v>
      </c>
      <c r="B4057" s="12" t="s">
        <v>1940</v>
      </c>
      <c r="C4057" s="12">
        <v>85</v>
      </c>
      <c r="D4057" s="12">
        <v>109</v>
      </c>
      <c r="E4057" s="12">
        <v>611</v>
      </c>
      <c r="F4057" s="12">
        <v>4</v>
      </c>
      <c r="G4057" s="12">
        <v>878</v>
      </c>
      <c r="H4057" s="12">
        <v>377420</v>
      </c>
      <c r="I4057" s="12" t="s">
        <v>3410</v>
      </c>
      <c r="J4057" s="12" t="s">
        <v>2413</v>
      </c>
      <c r="K4057" s="12" t="s">
        <v>19192</v>
      </c>
      <c r="L4057" s="12" t="s">
        <v>14400</v>
      </c>
      <c r="M4057" s="12" t="s">
        <v>19193</v>
      </c>
      <c r="N4057" s="12">
        <v>2789</v>
      </c>
      <c r="O4057" s="12">
        <v>900</v>
      </c>
      <c r="P4057" s="12">
        <v>1</v>
      </c>
      <c r="Q4057" s="12" t="s">
        <v>19194</v>
      </c>
      <c r="R4057" s="15" t="s">
        <v>19195</v>
      </c>
      <c r="S4057" s="12">
        <v>20</v>
      </c>
      <c r="T4057" s="12" t="s">
        <v>1947</v>
      </c>
      <c r="U4057" s="12" t="s">
        <v>893</v>
      </c>
      <c r="V4057" s="12" t="s">
        <v>41</v>
      </c>
      <c r="W4057" s="16"/>
      <c r="X4057" s="12">
        <v>2014</v>
      </c>
      <c r="Y4057" s="12">
        <v>10</v>
      </c>
      <c r="Z4057" s="12">
        <v>7.3</v>
      </c>
      <c r="AA4057" s="12">
        <v>2.35</v>
      </c>
      <c r="AB4057" s="12">
        <v>0</v>
      </c>
      <c r="AC4057" s="12"/>
      <c r="AD4057" s="12" t="str">
        <f>IFERROR(__xludf.DUMMYFUNCTION("""COMPUTED_VALUE"""),"Eleanor Bron")</f>
        <v>Eleanor Bron</v>
      </c>
      <c r="AE4057" s="12"/>
    </row>
    <row r="4058" customHeight="1" spans="1:31">
      <c r="A4058" s="11" t="s">
        <v>30</v>
      </c>
      <c r="B4058" s="11" t="s">
        <v>19196</v>
      </c>
      <c r="C4058" s="11">
        <v>138</v>
      </c>
      <c r="D4058" s="11">
        <v>87</v>
      </c>
      <c r="E4058" s="11">
        <v>28</v>
      </c>
      <c r="F4058" s="11">
        <v>217</v>
      </c>
      <c r="G4058" s="11">
        <v>426</v>
      </c>
      <c r="H4058" s="11">
        <v>30000000</v>
      </c>
      <c r="I4058" s="11" t="s">
        <v>7406</v>
      </c>
      <c r="J4058" s="11" t="s">
        <v>16958</v>
      </c>
      <c r="K4058" s="11" t="s">
        <v>19197</v>
      </c>
      <c r="L4058" s="11" t="s">
        <v>1308</v>
      </c>
      <c r="M4058" s="11" t="s">
        <v>19198</v>
      </c>
      <c r="N4058" s="11">
        <v>43485</v>
      </c>
      <c r="O4058" s="11">
        <v>1472</v>
      </c>
      <c r="P4058" s="11">
        <v>0</v>
      </c>
      <c r="Q4058" s="11" t="s">
        <v>19199</v>
      </c>
      <c r="R4058" s="14" t="s">
        <v>19200</v>
      </c>
      <c r="S4058" s="11">
        <v>327</v>
      </c>
      <c r="T4058" s="11" t="s">
        <v>39</v>
      </c>
      <c r="U4058" s="11" t="s">
        <v>40</v>
      </c>
      <c r="V4058" s="11" t="s">
        <v>586</v>
      </c>
      <c r="W4058" s="11">
        <v>2200000</v>
      </c>
      <c r="X4058" s="11">
        <v>1985</v>
      </c>
      <c r="Y4058" s="11">
        <v>359</v>
      </c>
      <c r="Z4058" s="11">
        <v>5.4</v>
      </c>
      <c r="AA4058" s="11">
        <v>1.85</v>
      </c>
      <c r="AB4058" s="11">
        <v>0</v>
      </c>
      <c r="AC4058" s="11"/>
      <c r="AD4058" s="11" t="str">
        <f>IFERROR(__xludf.DUMMYFUNCTION("""COMPUTED_VALUE"""),"Leonid Yarmolnik")</f>
        <v>Leonid Yarmolnik</v>
      </c>
      <c r="AE4058" s="11"/>
    </row>
    <row r="4059" customHeight="1" spans="1:31">
      <c r="A4059" s="12" t="s">
        <v>30</v>
      </c>
      <c r="B4059" s="12" t="s">
        <v>12561</v>
      </c>
      <c r="C4059" s="12">
        <v>55</v>
      </c>
      <c r="D4059" s="12">
        <v>117</v>
      </c>
      <c r="E4059" s="12">
        <v>133</v>
      </c>
      <c r="F4059" s="12">
        <v>249</v>
      </c>
      <c r="G4059" s="12">
        <v>687</v>
      </c>
      <c r="H4059" s="12">
        <v>20966644</v>
      </c>
      <c r="I4059" s="12" t="s">
        <v>214</v>
      </c>
      <c r="J4059" s="12" t="s">
        <v>6216</v>
      </c>
      <c r="K4059" s="12" t="s">
        <v>5141</v>
      </c>
      <c r="L4059" s="12" t="s">
        <v>15660</v>
      </c>
      <c r="M4059" s="12" t="s">
        <v>19201</v>
      </c>
      <c r="N4059" s="12">
        <v>29610</v>
      </c>
      <c r="O4059" s="12">
        <v>1665</v>
      </c>
      <c r="P4059" s="12">
        <v>0</v>
      </c>
      <c r="Q4059" s="12" t="s">
        <v>19202</v>
      </c>
      <c r="R4059" s="15" t="s">
        <v>19203</v>
      </c>
      <c r="S4059" s="12">
        <v>94</v>
      </c>
      <c r="T4059" s="12" t="s">
        <v>39</v>
      </c>
      <c r="U4059" s="12" t="s">
        <v>58</v>
      </c>
      <c r="V4059" s="12" t="s">
        <v>5614</v>
      </c>
      <c r="W4059" s="12">
        <v>3000000</v>
      </c>
      <c r="X4059" s="12">
        <v>1985</v>
      </c>
      <c r="Y4059" s="12">
        <v>443</v>
      </c>
      <c r="Z4059" s="12">
        <v>7.4</v>
      </c>
      <c r="AA4059" s="12">
        <v>1.66</v>
      </c>
      <c r="AB4059" s="12">
        <v>0</v>
      </c>
      <c r="AC4059" s="12"/>
      <c r="AD4059" s="12" t="str">
        <f>IFERROR(__xludf.DUMMYFUNCTION("""COMPUTED_VALUE"""),"Yuriy Tsurilo")</f>
        <v>Yuriy Tsurilo</v>
      </c>
      <c r="AE4059" s="12"/>
    </row>
    <row r="4060" customHeight="1" spans="1:31">
      <c r="A4060" s="11" t="s">
        <v>30</v>
      </c>
      <c r="B4060" s="11" t="s">
        <v>14800</v>
      </c>
      <c r="C4060" s="11">
        <v>361</v>
      </c>
      <c r="D4060" s="11">
        <v>85</v>
      </c>
      <c r="E4060" s="11">
        <v>65</v>
      </c>
      <c r="F4060" s="11">
        <v>535</v>
      </c>
      <c r="G4060" s="11">
        <v>942</v>
      </c>
      <c r="H4060" s="11">
        <v>64423650</v>
      </c>
      <c r="I4060" s="11" t="s">
        <v>4333</v>
      </c>
      <c r="J4060" s="11" t="s">
        <v>8492</v>
      </c>
      <c r="K4060" s="11" t="s">
        <v>19204</v>
      </c>
      <c r="L4060" s="11" t="s">
        <v>4604</v>
      </c>
      <c r="M4060" s="11" t="s">
        <v>19205</v>
      </c>
      <c r="N4060" s="11">
        <v>139329</v>
      </c>
      <c r="O4060" s="11">
        <v>3708</v>
      </c>
      <c r="P4060" s="11">
        <v>0</v>
      </c>
      <c r="Q4060" s="11" t="s">
        <v>19206</v>
      </c>
      <c r="R4060" s="14" t="s">
        <v>19207</v>
      </c>
      <c r="S4060" s="11">
        <v>578</v>
      </c>
      <c r="T4060" s="11" t="s">
        <v>39</v>
      </c>
      <c r="U4060" s="11" t="s">
        <v>40</v>
      </c>
      <c r="V4060" s="11" t="s">
        <v>586</v>
      </c>
      <c r="W4060" s="11">
        <v>3000000</v>
      </c>
      <c r="X4060" s="11">
        <v>2013</v>
      </c>
      <c r="Y4060" s="11">
        <v>810</v>
      </c>
      <c r="Z4060" s="11">
        <v>5.7</v>
      </c>
      <c r="AA4060" s="11">
        <v>2.35</v>
      </c>
      <c r="AB4060" s="11">
        <v>31000</v>
      </c>
      <c r="AC4060" s="11"/>
      <c r="AD4060" s="11" t="str">
        <f>IFERROR(__xludf.DUMMYFUNCTION("""COMPUTED_VALUE"""),"Valentin Golubenko")</f>
        <v>Valentin Golubenko</v>
      </c>
      <c r="AE4060" s="11"/>
    </row>
    <row r="4061" customHeight="1" spans="1:31">
      <c r="A4061" s="12" t="s">
        <v>30</v>
      </c>
      <c r="B4061" s="12" t="s">
        <v>2683</v>
      </c>
      <c r="C4061" s="12">
        <v>411</v>
      </c>
      <c r="D4061" s="12">
        <v>110</v>
      </c>
      <c r="E4061" s="12">
        <v>301</v>
      </c>
      <c r="F4061" s="12">
        <v>412</v>
      </c>
      <c r="G4061" s="12">
        <v>1000</v>
      </c>
      <c r="H4061" s="12">
        <v>48056940</v>
      </c>
      <c r="I4061" s="12" t="s">
        <v>5104</v>
      </c>
      <c r="J4061" s="12" t="s">
        <v>19208</v>
      </c>
      <c r="K4061" s="12" t="s">
        <v>19209</v>
      </c>
      <c r="L4061" s="12" t="s">
        <v>5078</v>
      </c>
      <c r="M4061" s="12" t="s">
        <v>19210</v>
      </c>
      <c r="N4061" s="12">
        <v>155153</v>
      </c>
      <c r="O4061" s="12">
        <v>2239</v>
      </c>
      <c r="P4061" s="12">
        <v>0</v>
      </c>
      <c r="Q4061" s="12" t="s">
        <v>19211</v>
      </c>
      <c r="R4061" s="15" t="s">
        <v>19212</v>
      </c>
      <c r="S4061" s="12">
        <v>524</v>
      </c>
      <c r="T4061" s="12" t="s">
        <v>39</v>
      </c>
      <c r="U4061" s="12" t="s">
        <v>40</v>
      </c>
      <c r="V4061" s="12" t="s">
        <v>586</v>
      </c>
      <c r="W4061" s="12">
        <v>3000000</v>
      </c>
      <c r="X4061" s="12">
        <v>2012</v>
      </c>
      <c r="Y4061" s="12">
        <v>419</v>
      </c>
      <c r="Z4061" s="12">
        <v>6.8</v>
      </c>
      <c r="AA4061" s="12">
        <v>2.35</v>
      </c>
      <c r="AB4061" s="12">
        <v>58000</v>
      </c>
      <c r="AC4061" s="12"/>
      <c r="AD4061" s="12" t="str">
        <f>IFERROR(__xludf.DUMMYFUNCTION("""COMPUTED_VALUE"""),"David Della Rocco")</f>
        <v>David Della Rocco</v>
      </c>
      <c r="AE4061" s="12"/>
    </row>
    <row r="4062" customHeight="1" spans="1:31">
      <c r="A4062" s="11" t="s">
        <v>30</v>
      </c>
      <c r="B4062" s="11" t="s">
        <v>13093</v>
      </c>
      <c r="C4062" s="11">
        <v>24</v>
      </c>
      <c r="D4062" s="11">
        <v>113</v>
      </c>
      <c r="E4062" s="11">
        <v>9</v>
      </c>
      <c r="F4062" s="11">
        <v>12</v>
      </c>
      <c r="G4062" s="11">
        <v>71</v>
      </c>
      <c r="H4062" s="11">
        <v>19184015</v>
      </c>
      <c r="I4062" s="11" t="s">
        <v>19213</v>
      </c>
      <c r="J4062" s="11" t="s">
        <v>1601</v>
      </c>
      <c r="K4062" s="11" t="s">
        <v>19214</v>
      </c>
      <c r="L4062" s="11" t="s">
        <v>19215</v>
      </c>
      <c r="M4062" s="11" t="s">
        <v>19216</v>
      </c>
      <c r="N4062" s="11">
        <v>1466</v>
      </c>
      <c r="O4062" s="11">
        <v>159</v>
      </c>
      <c r="P4062" s="11">
        <v>1</v>
      </c>
      <c r="Q4062" s="11" t="s">
        <v>19217</v>
      </c>
      <c r="R4062" s="14" t="s">
        <v>19218</v>
      </c>
      <c r="S4062" s="11">
        <v>35</v>
      </c>
      <c r="T4062" s="11" t="s">
        <v>39</v>
      </c>
      <c r="U4062" s="11" t="s">
        <v>40</v>
      </c>
      <c r="V4062" s="11" t="s">
        <v>586</v>
      </c>
      <c r="W4062" s="11">
        <v>3000000</v>
      </c>
      <c r="X4062" s="11">
        <v>2002</v>
      </c>
      <c r="Y4062" s="11">
        <v>65</v>
      </c>
      <c r="Z4062" s="11">
        <v>5.4</v>
      </c>
      <c r="AA4062" s="11">
        <v>1.85</v>
      </c>
      <c r="AB4062" s="11">
        <v>63</v>
      </c>
      <c r="AC4062" s="11"/>
      <c r="AD4062" s="11" t="str">
        <f>IFERROR(__xludf.DUMMYFUNCTION("""COMPUTED_VALUE"""),"Bob Marley")</f>
        <v>Bob Marley</v>
      </c>
      <c r="AE4062" s="11"/>
    </row>
    <row r="4063" customHeight="1" spans="1:31">
      <c r="A4063" s="12" t="s">
        <v>30</v>
      </c>
      <c r="B4063" s="12" t="s">
        <v>18897</v>
      </c>
      <c r="C4063" s="12">
        <v>70</v>
      </c>
      <c r="D4063" s="12">
        <v>108</v>
      </c>
      <c r="E4063" s="12">
        <v>174</v>
      </c>
      <c r="F4063" s="12">
        <v>110</v>
      </c>
      <c r="G4063" s="12">
        <v>253</v>
      </c>
      <c r="H4063" s="16"/>
      <c r="I4063" s="12" t="s">
        <v>214</v>
      </c>
      <c r="J4063" s="12" t="s">
        <v>19219</v>
      </c>
      <c r="K4063" s="12" t="s">
        <v>17978</v>
      </c>
      <c r="L4063" s="12" t="s">
        <v>19220</v>
      </c>
      <c r="M4063" s="12" t="s">
        <v>19221</v>
      </c>
      <c r="N4063" s="12">
        <v>33741</v>
      </c>
      <c r="O4063" s="12">
        <v>649</v>
      </c>
      <c r="P4063" s="12">
        <v>0</v>
      </c>
      <c r="Q4063" s="12" t="s">
        <v>19222</v>
      </c>
      <c r="R4063" s="15" t="s">
        <v>19223</v>
      </c>
      <c r="S4063" s="12">
        <v>141</v>
      </c>
      <c r="T4063" s="12" t="s">
        <v>39</v>
      </c>
      <c r="U4063" s="12" t="s">
        <v>40</v>
      </c>
      <c r="V4063" s="12" t="s">
        <v>6037</v>
      </c>
      <c r="W4063" s="12">
        <v>3000000</v>
      </c>
      <c r="X4063" s="12">
        <v>1958</v>
      </c>
      <c r="Y4063" s="12">
        <v>197</v>
      </c>
      <c r="Z4063" s="12">
        <v>8.1</v>
      </c>
      <c r="AA4063" s="12">
        <v>1.85</v>
      </c>
      <c r="AB4063" s="12">
        <v>0</v>
      </c>
      <c r="AC4063" s="12"/>
      <c r="AD4063" s="12" t="str">
        <f>IFERROR(__xludf.DUMMYFUNCTION("""COMPUTED_VALUE"""),"Stephen Au")</f>
        <v>Stephen Au</v>
      </c>
      <c r="AE4063" s="12"/>
    </row>
    <row r="4064" customHeight="1" spans="1:31">
      <c r="A4064" s="11" t="s">
        <v>30</v>
      </c>
      <c r="B4064" s="11" t="s">
        <v>19224</v>
      </c>
      <c r="C4064" s="11">
        <v>78</v>
      </c>
      <c r="D4064" s="11">
        <v>95</v>
      </c>
      <c r="E4064" s="11">
        <v>57</v>
      </c>
      <c r="F4064" s="11">
        <v>158</v>
      </c>
      <c r="G4064" s="11">
        <v>220</v>
      </c>
      <c r="H4064" s="13"/>
      <c r="I4064" s="11" t="s">
        <v>73</v>
      </c>
      <c r="J4064" s="11" t="s">
        <v>19225</v>
      </c>
      <c r="K4064" s="11" t="s">
        <v>19226</v>
      </c>
      <c r="L4064" s="11" t="s">
        <v>19227</v>
      </c>
      <c r="M4064" s="11" t="s">
        <v>19228</v>
      </c>
      <c r="N4064" s="11">
        <v>32378</v>
      </c>
      <c r="O4064" s="11">
        <v>1186</v>
      </c>
      <c r="P4064" s="11">
        <v>0</v>
      </c>
      <c r="Q4064" s="11" t="s">
        <v>19229</v>
      </c>
      <c r="R4064" s="14" t="s">
        <v>19230</v>
      </c>
      <c r="S4064" s="11">
        <v>150</v>
      </c>
      <c r="T4064" s="11" t="s">
        <v>39</v>
      </c>
      <c r="U4064" s="11" t="s">
        <v>40</v>
      </c>
      <c r="V4064" s="11" t="s">
        <v>278</v>
      </c>
      <c r="W4064" s="11">
        <v>3000000</v>
      </c>
      <c r="X4064" s="11">
        <v>1970</v>
      </c>
      <c r="Y4064" s="11">
        <v>162</v>
      </c>
      <c r="Z4064" s="11">
        <v>6.1</v>
      </c>
      <c r="AA4064" s="11">
        <v>2.35</v>
      </c>
      <c r="AB4064" s="11">
        <v>0</v>
      </c>
      <c r="AC4064" s="11"/>
      <c r="AD4064" s="11" t="str">
        <f>IFERROR(__xludf.DUMMYFUNCTION("""COMPUTED_VALUE"""),"Erin Fitzgerald")</f>
        <v>Erin Fitzgerald</v>
      </c>
      <c r="AE4064" s="11"/>
    </row>
    <row r="4065" customHeight="1" spans="1:31">
      <c r="A4065" s="12" t="s">
        <v>30</v>
      </c>
      <c r="B4065" s="12" t="s">
        <v>7143</v>
      </c>
      <c r="C4065" s="12">
        <v>35</v>
      </c>
      <c r="D4065" s="12">
        <v>98</v>
      </c>
      <c r="E4065" s="12">
        <v>188</v>
      </c>
      <c r="F4065" s="12">
        <v>693</v>
      </c>
      <c r="G4065" s="12">
        <v>2000</v>
      </c>
      <c r="H4065" s="12">
        <v>24629916</v>
      </c>
      <c r="I4065" s="12" t="s">
        <v>7445</v>
      </c>
      <c r="J4065" s="12" t="s">
        <v>4373</v>
      </c>
      <c r="K4065" s="12" t="s">
        <v>3833</v>
      </c>
      <c r="L4065" s="12" t="s">
        <v>2032</v>
      </c>
      <c r="M4065" s="12" t="s">
        <v>19231</v>
      </c>
      <c r="N4065" s="12">
        <v>12942</v>
      </c>
      <c r="O4065" s="12">
        <v>4277</v>
      </c>
      <c r="P4065" s="12">
        <v>0</v>
      </c>
      <c r="Q4065" s="12" t="s">
        <v>19232</v>
      </c>
      <c r="R4065" s="15" t="s">
        <v>19233</v>
      </c>
      <c r="S4065" s="12">
        <v>34</v>
      </c>
      <c r="T4065" s="12" t="s">
        <v>39</v>
      </c>
      <c r="U4065" s="12" t="s">
        <v>40</v>
      </c>
      <c r="V4065" s="12" t="s">
        <v>96</v>
      </c>
      <c r="W4065" s="12">
        <v>3000000</v>
      </c>
      <c r="X4065" s="12">
        <v>1997</v>
      </c>
      <c r="Y4065" s="12">
        <v>970</v>
      </c>
      <c r="Z4065" s="12">
        <v>5.1</v>
      </c>
      <c r="AA4065" s="12">
        <v>1.85</v>
      </c>
      <c r="AB4065" s="12">
        <v>902</v>
      </c>
      <c r="AC4065" s="12"/>
      <c r="AD4065" s="12" t="str">
        <f>IFERROR(__xludf.DUMMYFUNCTION("""COMPUTED_VALUE"""),"Wendee Lee")</f>
        <v>Wendee Lee</v>
      </c>
      <c r="AE4065" s="12"/>
    </row>
    <row r="4066" customHeight="1" spans="1:31">
      <c r="A4066" s="11" t="s">
        <v>30</v>
      </c>
      <c r="B4066" s="11" t="s">
        <v>19234</v>
      </c>
      <c r="C4066" s="11">
        <v>39</v>
      </c>
      <c r="D4066" s="11">
        <v>93</v>
      </c>
      <c r="E4066" s="11">
        <v>8</v>
      </c>
      <c r="F4066" s="11">
        <v>49</v>
      </c>
      <c r="G4066" s="11">
        <v>88</v>
      </c>
      <c r="H4066" s="13"/>
      <c r="I4066" s="11" t="s">
        <v>2161</v>
      </c>
      <c r="J4066" s="11" t="s">
        <v>19235</v>
      </c>
      <c r="K4066" s="11" t="s">
        <v>19236</v>
      </c>
      <c r="L4066" s="11" t="s">
        <v>19237</v>
      </c>
      <c r="M4066" s="11" t="s">
        <v>19238</v>
      </c>
      <c r="N4066" s="11">
        <v>9066</v>
      </c>
      <c r="O4066" s="11">
        <v>373</v>
      </c>
      <c r="P4066" s="11">
        <v>0</v>
      </c>
      <c r="Q4066" s="11" t="s">
        <v>19239</v>
      </c>
      <c r="R4066" s="14" t="s">
        <v>19240</v>
      </c>
      <c r="S4066" s="11">
        <v>55</v>
      </c>
      <c r="T4066" s="11" t="s">
        <v>677</v>
      </c>
      <c r="U4066" s="11" t="s">
        <v>678</v>
      </c>
      <c r="V4066" s="11" t="s">
        <v>278</v>
      </c>
      <c r="W4066" s="11">
        <v>16000000</v>
      </c>
      <c r="X4066" s="11">
        <v>2000</v>
      </c>
      <c r="Y4066" s="11">
        <v>82</v>
      </c>
      <c r="Z4066" s="11">
        <v>5.6</v>
      </c>
      <c r="AA4066" s="11">
        <v>1.85</v>
      </c>
      <c r="AB4066" s="11">
        <v>38</v>
      </c>
      <c r="AC4066" s="11"/>
      <c r="AD4066" s="11" t="str">
        <f>IFERROR(__xludf.DUMMYFUNCTION("""COMPUTED_VALUE"""),"Ivan Okhlobystin")</f>
        <v>Ivan Okhlobystin</v>
      </c>
      <c r="AE4066" s="11"/>
    </row>
    <row r="4067" customHeight="1" spans="1:31">
      <c r="A4067" s="12" t="s">
        <v>30</v>
      </c>
      <c r="B4067" s="12" t="s">
        <v>19241</v>
      </c>
      <c r="C4067" s="12">
        <v>158</v>
      </c>
      <c r="D4067" s="12">
        <v>86</v>
      </c>
      <c r="E4067" s="12">
        <v>41</v>
      </c>
      <c r="F4067" s="12">
        <v>155</v>
      </c>
      <c r="G4067" s="12">
        <v>956</v>
      </c>
      <c r="H4067" s="12">
        <v>19472057</v>
      </c>
      <c r="I4067" s="12" t="s">
        <v>5544</v>
      </c>
      <c r="J4067" s="12" t="s">
        <v>1018</v>
      </c>
      <c r="K4067" s="12" t="s">
        <v>19242</v>
      </c>
      <c r="L4067" s="12" t="s">
        <v>19243</v>
      </c>
      <c r="M4067" s="12" t="s">
        <v>19244</v>
      </c>
      <c r="N4067" s="12">
        <v>25332</v>
      </c>
      <c r="O4067" s="12">
        <v>1862</v>
      </c>
      <c r="P4067" s="12">
        <v>0</v>
      </c>
      <c r="Q4067" s="12" t="s">
        <v>19245</v>
      </c>
      <c r="R4067" s="15" t="s">
        <v>19246</v>
      </c>
      <c r="S4067" s="12">
        <v>307</v>
      </c>
      <c r="T4067" s="12" t="s">
        <v>39</v>
      </c>
      <c r="U4067" s="12" t="s">
        <v>40</v>
      </c>
      <c r="V4067" s="12" t="s">
        <v>586</v>
      </c>
      <c r="W4067" s="12">
        <v>3000000</v>
      </c>
      <c r="X4067" s="12">
        <v>1986</v>
      </c>
      <c r="Y4067" s="12">
        <v>316</v>
      </c>
      <c r="Z4067" s="12">
        <v>5.9</v>
      </c>
      <c r="AA4067" s="12">
        <v>1.85</v>
      </c>
      <c r="AB4067" s="12">
        <v>0</v>
      </c>
      <c r="AC4067" s="12"/>
      <c r="AD4067" s="12" t="str">
        <f>IFERROR(__xludf.DUMMYFUNCTION("""COMPUTED_VALUE"""),"Debi Derryberry")</f>
        <v>Debi Derryberry</v>
      </c>
      <c r="AE4067" s="12"/>
    </row>
    <row r="4068" customHeight="1" spans="1:31">
      <c r="A4068" s="11" t="s">
        <v>30</v>
      </c>
      <c r="B4068" s="11" t="s">
        <v>9066</v>
      </c>
      <c r="C4068" s="11">
        <v>122</v>
      </c>
      <c r="D4068" s="11">
        <v>161</v>
      </c>
      <c r="E4068" s="11">
        <v>767</v>
      </c>
      <c r="F4068" s="11">
        <v>87</v>
      </c>
      <c r="G4068" s="11">
        <v>682</v>
      </c>
      <c r="H4068" s="11">
        <v>27200000</v>
      </c>
      <c r="I4068" s="11" t="s">
        <v>3323</v>
      </c>
      <c r="J4068" s="11" t="s">
        <v>17195</v>
      </c>
      <c r="K4068" s="11" t="s">
        <v>19247</v>
      </c>
      <c r="L4068" s="11" t="s">
        <v>10060</v>
      </c>
      <c r="M4068" s="11" t="s">
        <v>19248</v>
      </c>
      <c r="N4068" s="11">
        <v>149444</v>
      </c>
      <c r="O4068" s="11">
        <v>1035</v>
      </c>
      <c r="P4068" s="11">
        <v>2</v>
      </c>
      <c r="Q4068" s="11" t="s">
        <v>19249</v>
      </c>
      <c r="R4068" s="14" t="s">
        <v>19250</v>
      </c>
      <c r="S4068" s="11">
        <v>273</v>
      </c>
      <c r="T4068" s="11" t="s">
        <v>39</v>
      </c>
      <c r="U4068" s="11" t="s">
        <v>58</v>
      </c>
      <c r="V4068" s="11" t="s">
        <v>96</v>
      </c>
      <c r="W4068" s="11">
        <v>3000000</v>
      </c>
      <c r="X4068" s="11">
        <v>1957</v>
      </c>
      <c r="Y4068" s="11">
        <v>119</v>
      </c>
      <c r="Z4068" s="11">
        <v>8.2</v>
      </c>
      <c r="AA4068" s="11">
        <v>2.35</v>
      </c>
      <c r="AB4068" s="11">
        <v>0</v>
      </c>
      <c r="AC4068" s="11"/>
      <c r="AD4068" s="11" t="str">
        <f>IFERROR(__xludf.DUMMYFUNCTION("""COMPUTED_VALUE"""),"Kate Higgins")</f>
        <v>Kate Higgins</v>
      </c>
      <c r="AE4068" s="11"/>
    </row>
    <row r="4069" customHeight="1" spans="1:31">
      <c r="A4069" s="12" t="s">
        <v>30</v>
      </c>
      <c r="B4069" s="12" t="s">
        <v>5434</v>
      </c>
      <c r="C4069" s="12">
        <v>16</v>
      </c>
      <c r="D4069" s="12">
        <v>100</v>
      </c>
      <c r="E4069" s="12">
        <v>32</v>
      </c>
      <c r="F4069" s="12">
        <v>175</v>
      </c>
      <c r="G4069" s="12">
        <v>610</v>
      </c>
      <c r="H4069" s="12">
        <v>15369573</v>
      </c>
      <c r="I4069" s="12" t="s">
        <v>1875</v>
      </c>
      <c r="J4069" s="12" t="s">
        <v>2986</v>
      </c>
      <c r="K4069" s="12" t="s">
        <v>18227</v>
      </c>
      <c r="L4069" s="12" t="s">
        <v>19251</v>
      </c>
      <c r="M4069" s="12" t="s">
        <v>19252</v>
      </c>
      <c r="N4069" s="12">
        <v>2580</v>
      </c>
      <c r="O4069" s="12">
        <v>1441</v>
      </c>
      <c r="P4069" s="12">
        <v>1</v>
      </c>
      <c r="Q4069" s="12" t="s">
        <v>19253</v>
      </c>
      <c r="R4069" s="15" t="s">
        <v>19254</v>
      </c>
      <c r="S4069" s="12">
        <v>54</v>
      </c>
      <c r="T4069" s="12" t="s">
        <v>39</v>
      </c>
      <c r="U4069" s="12" t="s">
        <v>40</v>
      </c>
      <c r="V4069" s="12" t="s">
        <v>96</v>
      </c>
      <c r="W4069" s="12">
        <v>3000000</v>
      </c>
      <c r="X4069" s="12">
        <v>1990</v>
      </c>
      <c r="Y4069" s="12">
        <v>232</v>
      </c>
      <c r="Z4069" s="12">
        <v>5.3</v>
      </c>
      <c r="AA4069" s="12">
        <v>1.85</v>
      </c>
      <c r="AB4069" s="12">
        <v>710</v>
      </c>
      <c r="AC4069" s="12"/>
      <c r="AD4069" s="12" t="str">
        <f>IFERROR(__xludf.DUMMYFUNCTION("""COMPUTED_VALUE"""),"Cindy Robinson")</f>
        <v>Cindy Robinson</v>
      </c>
      <c r="AE4069" s="12"/>
    </row>
    <row r="4070" customHeight="1" spans="1:31">
      <c r="A4070" s="11" t="s">
        <v>30</v>
      </c>
      <c r="B4070" s="11" t="s">
        <v>11033</v>
      </c>
      <c r="C4070" s="11">
        <v>67</v>
      </c>
      <c r="D4070" s="11">
        <v>120</v>
      </c>
      <c r="E4070" s="11">
        <v>13000</v>
      </c>
      <c r="F4070" s="11">
        <v>416</v>
      </c>
      <c r="G4070" s="11">
        <v>897</v>
      </c>
      <c r="H4070" s="13"/>
      <c r="I4070" s="11" t="s">
        <v>19255</v>
      </c>
      <c r="J4070" s="11" t="s">
        <v>4269</v>
      </c>
      <c r="K4070" s="11" t="s">
        <v>10437</v>
      </c>
      <c r="L4070" s="11" t="s">
        <v>3697</v>
      </c>
      <c r="M4070" s="11" t="s">
        <v>19256</v>
      </c>
      <c r="N4070" s="11">
        <v>15293</v>
      </c>
      <c r="O4070" s="11">
        <v>2811</v>
      </c>
      <c r="P4070" s="11">
        <v>1</v>
      </c>
      <c r="Q4070" s="11" t="s">
        <v>19257</v>
      </c>
      <c r="R4070" s="14" t="s">
        <v>19258</v>
      </c>
      <c r="S4070" s="11">
        <v>111</v>
      </c>
      <c r="T4070" s="11" t="s">
        <v>39</v>
      </c>
      <c r="U4070" s="11" t="s">
        <v>40</v>
      </c>
      <c r="V4070" s="11" t="s">
        <v>96</v>
      </c>
      <c r="W4070" s="11">
        <v>4490375</v>
      </c>
      <c r="X4070" s="11">
        <v>1976</v>
      </c>
      <c r="Y4070" s="11">
        <v>844</v>
      </c>
      <c r="Z4070" s="11">
        <v>6.8</v>
      </c>
      <c r="AA4070" s="11">
        <v>1.85</v>
      </c>
      <c r="AB4070" s="11">
        <v>609</v>
      </c>
      <c r="AC4070" s="11"/>
      <c r="AD4070" s="11" t="str">
        <f>IFERROR(__xludf.DUMMYFUNCTION("""COMPUTED_VALUE"""),"Sydney Penny")</f>
        <v>Sydney Penny</v>
      </c>
      <c r="AE4070" s="11"/>
    </row>
    <row r="4071" customHeight="1" spans="1:31">
      <c r="A4071" s="12" t="s">
        <v>748</v>
      </c>
      <c r="B4071" s="12" t="s">
        <v>18467</v>
      </c>
      <c r="C4071" s="12">
        <v>183</v>
      </c>
      <c r="D4071" s="12">
        <v>125</v>
      </c>
      <c r="E4071" s="12">
        <v>0</v>
      </c>
      <c r="F4071" s="12">
        <v>180</v>
      </c>
      <c r="G4071" s="12">
        <v>516</v>
      </c>
      <c r="H4071" s="16"/>
      <c r="I4071" s="12" t="s">
        <v>1415</v>
      </c>
      <c r="J4071" s="12" t="s">
        <v>19259</v>
      </c>
      <c r="K4071" s="12" t="s">
        <v>4242</v>
      </c>
      <c r="L4071" s="12" t="s">
        <v>19260</v>
      </c>
      <c r="M4071" s="12" t="s">
        <v>19261</v>
      </c>
      <c r="N4071" s="12">
        <v>109335</v>
      </c>
      <c r="O4071" s="12">
        <v>1328</v>
      </c>
      <c r="P4071" s="12">
        <v>2</v>
      </c>
      <c r="Q4071" s="12" t="s">
        <v>19262</v>
      </c>
      <c r="R4071" s="15" t="s">
        <v>19263</v>
      </c>
      <c r="S4071" s="12">
        <v>241</v>
      </c>
      <c r="T4071" s="12" t="s">
        <v>39</v>
      </c>
      <c r="U4071" s="12" t="s">
        <v>40</v>
      </c>
      <c r="V4071" s="12" t="s">
        <v>6037</v>
      </c>
      <c r="W4071" s="12">
        <v>3000000</v>
      </c>
      <c r="X4071" s="12">
        <v>1960</v>
      </c>
      <c r="Y4071" s="12">
        <v>417</v>
      </c>
      <c r="Z4071" s="12">
        <v>8.3</v>
      </c>
      <c r="AA4071" s="12">
        <v>2.35</v>
      </c>
      <c r="AB4071" s="12">
        <v>0</v>
      </c>
      <c r="AC4071" s="12"/>
      <c r="AD4071" s="12" t="str">
        <f>IFERROR(__xludf.DUMMYFUNCTION("""COMPUTED_VALUE"""),"Ben Browder")</f>
        <v>Ben Browder</v>
      </c>
      <c r="AE4071" s="12"/>
    </row>
    <row r="4072" customHeight="1" spans="1:31">
      <c r="A4072" s="11" t="s">
        <v>30</v>
      </c>
      <c r="B4072" s="11" t="s">
        <v>19264</v>
      </c>
      <c r="C4072" s="11">
        <v>112</v>
      </c>
      <c r="D4072" s="11">
        <v>91</v>
      </c>
      <c r="E4072" s="11">
        <v>18</v>
      </c>
      <c r="F4072" s="11">
        <v>307</v>
      </c>
      <c r="G4072" s="11">
        <v>935</v>
      </c>
      <c r="H4072" s="11">
        <v>15935068</v>
      </c>
      <c r="I4072" s="11" t="s">
        <v>9755</v>
      </c>
      <c r="J4072" s="11" t="s">
        <v>13485</v>
      </c>
      <c r="K4072" s="11" t="s">
        <v>19265</v>
      </c>
      <c r="L4072" s="11" t="s">
        <v>19266</v>
      </c>
      <c r="M4072" s="11" t="s">
        <v>19267</v>
      </c>
      <c r="N4072" s="11">
        <v>19331</v>
      </c>
      <c r="O4072" s="11">
        <v>2899</v>
      </c>
      <c r="P4072" s="11">
        <v>0</v>
      </c>
      <c r="Q4072" s="11" t="s">
        <v>19268</v>
      </c>
      <c r="R4072" s="14" t="s">
        <v>19269</v>
      </c>
      <c r="S4072" s="11">
        <v>317</v>
      </c>
      <c r="T4072" s="11" t="s">
        <v>39</v>
      </c>
      <c r="U4072" s="11" t="s">
        <v>40</v>
      </c>
      <c r="V4072" s="11" t="s">
        <v>586</v>
      </c>
      <c r="W4072" s="11">
        <v>2500000</v>
      </c>
      <c r="X4072" s="11">
        <v>1993</v>
      </c>
      <c r="Y4072" s="11">
        <v>805</v>
      </c>
      <c r="Z4072" s="11">
        <v>4.3</v>
      </c>
      <c r="AA4072" s="11">
        <v>1.85</v>
      </c>
      <c r="AB4072" s="11">
        <v>949</v>
      </c>
      <c r="AC4072" s="11"/>
      <c r="AD4072" s="11" t="str">
        <f>IFERROR(__xludf.DUMMYFUNCTION("""COMPUTED_VALUE"""),"Olesya Rulin")</f>
        <v>Olesya Rulin</v>
      </c>
      <c r="AE4072" s="11"/>
    </row>
    <row r="4073" customHeight="1" spans="1:31">
      <c r="A4073" s="12" t="s">
        <v>30</v>
      </c>
      <c r="B4073" s="12" t="s">
        <v>11033</v>
      </c>
      <c r="C4073" s="12">
        <v>64</v>
      </c>
      <c r="D4073" s="12">
        <v>128</v>
      </c>
      <c r="E4073" s="12">
        <v>13000</v>
      </c>
      <c r="F4073" s="12">
        <v>14</v>
      </c>
      <c r="G4073" s="12">
        <v>18</v>
      </c>
      <c r="H4073" s="16"/>
      <c r="I4073" s="12" t="s">
        <v>10413</v>
      </c>
      <c r="J4073" s="12" t="s">
        <v>19270</v>
      </c>
      <c r="K4073" s="12" t="s">
        <v>19271</v>
      </c>
      <c r="L4073" s="12" t="s">
        <v>19272</v>
      </c>
      <c r="M4073" s="12" t="s">
        <v>19273</v>
      </c>
      <c r="N4073" s="12">
        <v>18656</v>
      </c>
      <c r="O4073" s="12">
        <v>70</v>
      </c>
      <c r="P4073" s="12">
        <v>1</v>
      </c>
      <c r="Q4073" s="12" t="s">
        <v>19274</v>
      </c>
      <c r="R4073" s="15" t="s">
        <v>19275</v>
      </c>
      <c r="S4073" s="12">
        <v>137</v>
      </c>
      <c r="T4073" s="12" t="s">
        <v>39</v>
      </c>
      <c r="U4073" s="12" t="s">
        <v>40</v>
      </c>
      <c r="V4073" s="12" t="s">
        <v>6037</v>
      </c>
      <c r="W4073" s="12">
        <v>6000000</v>
      </c>
      <c r="X4073" s="12">
        <v>1966</v>
      </c>
      <c r="Y4073" s="12">
        <v>16</v>
      </c>
      <c r="Z4073" s="12">
        <v>6.7</v>
      </c>
      <c r="AA4073" s="12">
        <v>1.85</v>
      </c>
      <c r="AB4073" s="12">
        <v>933</v>
      </c>
      <c r="AC4073" s="12"/>
      <c r="AD4073" s="12" t="str">
        <f>IFERROR(__xludf.DUMMYFUNCTION("""COMPUTED_VALUE"""),"Gordon Pinsent")</f>
        <v>Gordon Pinsent</v>
      </c>
      <c r="AE4073" s="12"/>
    </row>
    <row r="4074" customHeight="1" spans="1:31">
      <c r="A4074" s="11" t="s">
        <v>30</v>
      </c>
      <c r="B4074" s="11" t="s">
        <v>1556</v>
      </c>
      <c r="C4074" s="11">
        <v>114</v>
      </c>
      <c r="D4074" s="11">
        <v>100</v>
      </c>
      <c r="E4074" s="11">
        <v>1000</v>
      </c>
      <c r="F4074" s="11">
        <v>220</v>
      </c>
      <c r="G4074" s="11">
        <v>989</v>
      </c>
      <c r="H4074" s="11">
        <v>11694528</v>
      </c>
      <c r="I4074" s="11" t="s">
        <v>19276</v>
      </c>
      <c r="J4074" s="11" t="s">
        <v>329</v>
      </c>
      <c r="K4074" s="11" t="s">
        <v>2638</v>
      </c>
      <c r="L4074" s="11" t="s">
        <v>19277</v>
      </c>
      <c r="M4074" s="11" t="s">
        <v>19278</v>
      </c>
      <c r="N4074" s="11">
        <v>7721</v>
      </c>
      <c r="O4074" s="11">
        <v>2165</v>
      </c>
      <c r="P4074" s="11">
        <v>0</v>
      </c>
      <c r="Q4074" s="11" t="s">
        <v>19279</v>
      </c>
      <c r="R4074" s="14" t="s">
        <v>19280</v>
      </c>
      <c r="S4074" s="11">
        <v>72</v>
      </c>
      <c r="T4074" s="11" t="s">
        <v>39</v>
      </c>
      <c r="U4074" s="11" t="s">
        <v>40</v>
      </c>
      <c r="V4074" s="11" t="s">
        <v>586</v>
      </c>
      <c r="W4074" s="11">
        <v>3000000</v>
      </c>
      <c r="X4074" s="11">
        <v>2005</v>
      </c>
      <c r="Y4074" s="11">
        <v>744</v>
      </c>
      <c r="Z4074" s="11">
        <v>7.2</v>
      </c>
      <c r="AA4074" s="11">
        <v>1.85</v>
      </c>
      <c r="AB4074" s="11">
        <v>635</v>
      </c>
      <c r="AC4074" s="11"/>
      <c r="AD4074" s="11" t="str">
        <f>IFERROR(__xludf.DUMMYFUNCTION("""COMPUTED_VALUE"""),"Justin Edward Seale")</f>
        <v>Justin Edward Seale</v>
      </c>
      <c r="AE4074" s="11"/>
    </row>
    <row r="4075" customHeight="1" spans="1:31">
      <c r="A4075" s="12" t="s">
        <v>30</v>
      </c>
      <c r="B4075" s="12" t="s">
        <v>19281</v>
      </c>
      <c r="C4075" s="12">
        <v>246</v>
      </c>
      <c r="D4075" s="12">
        <v>84</v>
      </c>
      <c r="E4075" s="12">
        <v>85</v>
      </c>
      <c r="F4075" s="12">
        <v>748</v>
      </c>
      <c r="G4075" s="12">
        <v>13000</v>
      </c>
      <c r="H4075" s="12">
        <v>229094</v>
      </c>
      <c r="I4075" s="12" t="s">
        <v>15011</v>
      </c>
      <c r="J4075" s="12" t="s">
        <v>459</v>
      </c>
      <c r="K4075" s="12" t="s">
        <v>573</v>
      </c>
      <c r="L4075" s="12" t="s">
        <v>1025</v>
      </c>
      <c r="M4075" s="12" t="s">
        <v>19282</v>
      </c>
      <c r="N4075" s="12">
        <v>27650</v>
      </c>
      <c r="O4075" s="12">
        <v>14696</v>
      </c>
      <c r="P4075" s="12">
        <v>2</v>
      </c>
      <c r="Q4075" s="12" t="s">
        <v>19283</v>
      </c>
      <c r="R4075" s="15" t="s">
        <v>19284</v>
      </c>
      <c r="S4075" s="12">
        <v>88</v>
      </c>
      <c r="T4075" s="12" t="s">
        <v>39</v>
      </c>
      <c r="U4075" s="12" t="s">
        <v>58</v>
      </c>
      <c r="V4075" s="12" t="s">
        <v>586</v>
      </c>
      <c r="W4075" s="16"/>
      <c r="X4075" s="12">
        <v>2015</v>
      </c>
      <c r="Y4075" s="12">
        <v>884</v>
      </c>
      <c r="Z4075" s="12">
        <v>6.9</v>
      </c>
      <c r="AA4075" s="12">
        <v>1.66</v>
      </c>
      <c r="AB4075" s="12">
        <v>0</v>
      </c>
      <c r="AC4075" s="12"/>
      <c r="AD4075" s="12" t="str">
        <f>IFERROR(__xludf.DUMMYFUNCTION("""COMPUTED_VALUE"""),"John Ralston")</f>
        <v>John Ralston</v>
      </c>
      <c r="AE4075" s="12"/>
    </row>
    <row r="4076" customHeight="1" spans="1:31">
      <c r="A4076" s="11" t="s">
        <v>30</v>
      </c>
      <c r="B4076" s="11" t="s">
        <v>14885</v>
      </c>
      <c r="C4076" s="11">
        <v>7</v>
      </c>
      <c r="D4076" s="11">
        <v>97</v>
      </c>
      <c r="E4076" s="11">
        <v>78</v>
      </c>
      <c r="F4076" s="11">
        <v>77</v>
      </c>
      <c r="G4076" s="11">
        <v>685</v>
      </c>
      <c r="H4076" s="13"/>
      <c r="I4076" s="11" t="s">
        <v>5511</v>
      </c>
      <c r="J4076" s="11" t="s">
        <v>7214</v>
      </c>
      <c r="K4076" s="11" t="s">
        <v>19285</v>
      </c>
      <c r="L4076" s="11" t="s">
        <v>19286</v>
      </c>
      <c r="M4076" s="11" t="s">
        <v>19287</v>
      </c>
      <c r="N4076" s="11">
        <v>1361</v>
      </c>
      <c r="O4076" s="11">
        <v>1163</v>
      </c>
      <c r="P4076" s="11">
        <v>0</v>
      </c>
      <c r="Q4076" s="11" t="s">
        <v>19288</v>
      </c>
      <c r="R4076" s="14" t="s">
        <v>19289</v>
      </c>
      <c r="S4076" s="11">
        <v>16</v>
      </c>
      <c r="T4076" s="11" t="s">
        <v>39</v>
      </c>
      <c r="U4076" s="11" t="s">
        <v>40</v>
      </c>
      <c r="V4076" s="11" t="s">
        <v>586</v>
      </c>
      <c r="W4076" s="11">
        <v>3000000</v>
      </c>
      <c r="X4076" s="11">
        <v>1985</v>
      </c>
      <c r="Y4076" s="11">
        <v>178</v>
      </c>
      <c r="Z4076" s="11">
        <v>6.6</v>
      </c>
      <c r="AA4076" s="13"/>
      <c r="AB4076" s="11">
        <v>889</v>
      </c>
      <c r="AC4076" s="11"/>
      <c r="AD4076" s="11" t="str">
        <f>IFERROR(__xludf.DUMMYFUNCTION("""COMPUTED_VALUE"""),"Rex Baker")</f>
        <v>Rex Baker</v>
      </c>
      <c r="AE4076" s="11"/>
    </row>
    <row r="4077" customHeight="1" spans="1:31">
      <c r="A4077" s="12" t="s">
        <v>30</v>
      </c>
      <c r="B4077" s="12" t="s">
        <v>19290</v>
      </c>
      <c r="C4077" s="12">
        <v>49</v>
      </c>
      <c r="D4077" s="12">
        <v>84</v>
      </c>
      <c r="E4077" s="12">
        <v>23</v>
      </c>
      <c r="F4077" s="12">
        <v>706</v>
      </c>
      <c r="G4077" s="12">
        <v>1000</v>
      </c>
      <c r="H4077" s="12">
        <v>10017041</v>
      </c>
      <c r="I4077" s="12" t="s">
        <v>1753</v>
      </c>
      <c r="J4077" s="12" t="s">
        <v>5952</v>
      </c>
      <c r="K4077" s="12" t="s">
        <v>9033</v>
      </c>
      <c r="L4077" s="12" t="s">
        <v>5265</v>
      </c>
      <c r="M4077" s="12" t="s">
        <v>19291</v>
      </c>
      <c r="N4077" s="12">
        <v>8265</v>
      </c>
      <c r="O4077" s="12">
        <v>4815</v>
      </c>
      <c r="P4077" s="12">
        <v>3</v>
      </c>
      <c r="Q4077" s="12" t="s">
        <v>19292</v>
      </c>
      <c r="R4077" s="15" t="s">
        <v>19293</v>
      </c>
      <c r="S4077" s="12">
        <v>20</v>
      </c>
      <c r="T4077" s="12" t="s">
        <v>39</v>
      </c>
      <c r="U4077" s="12" t="s">
        <v>40</v>
      </c>
      <c r="V4077" s="12" t="s">
        <v>586</v>
      </c>
      <c r="W4077" s="12">
        <v>3000000</v>
      </c>
      <c r="X4077" s="12">
        <v>2009</v>
      </c>
      <c r="Y4077" s="12">
        <v>927</v>
      </c>
      <c r="Z4077" s="12">
        <v>5.9</v>
      </c>
      <c r="AA4077" s="12">
        <v>1.85</v>
      </c>
      <c r="AB4077" s="12">
        <v>545</v>
      </c>
      <c r="AC4077" s="12"/>
      <c r="AD4077" s="12" t="str">
        <f>IFERROR(__xludf.DUMMYFUNCTION("""COMPUTED_VALUE"""),"Travis Aaron Wade")</f>
        <v>Travis Aaron Wade</v>
      </c>
      <c r="AE4077" s="12"/>
    </row>
    <row r="4078" customHeight="1" spans="1:31">
      <c r="A4078" s="11" t="s">
        <v>30</v>
      </c>
      <c r="B4078" s="11" t="s">
        <v>18897</v>
      </c>
      <c r="C4078" s="11">
        <v>42</v>
      </c>
      <c r="D4078" s="11">
        <v>146</v>
      </c>
      <c r="E4078" s="11">
        <v>174</v>
      </c>
      <c r="F4078" s="11">
        <v>125</v>
      </c>
      <c r="G4078" s="11">
        <v>556</v>
      </c>
      <c r="H4078" s="13"/>
      <c r="I4078" s="11" t="s">
        <v>3410</v>
      </c>
      <c r="J4078" s="11" t="s">
        <v>17833</v>
      </c>
      <c r="K4078" s="11" t="s">
        <v>1085</v>
      </c>
      <c r="L4078" s="11" t="s">
        <v>19294</v>
      </c>
      <c r="M4078" s="11" t="s">
        <v>19295</v>
      </c>
      <c r="N4078" s="11">
        <v>7998</v>
      </c>
      <c r="O4078" s="11">
        <v>1444</v>
      </c>
      <c r="P4078" s="11">
        <v>1</v>
      </c>
      <c r="Q4078" s="11" t="s">
        <v>19296</v>
      </c>
      <c r="R4078" s="14" t="s">
        <v>19297</v>
      </c>
      <c r="S4078" s="11">
        <v>81</v>
      </c>
      <c r="T4078" s="11" t="s">
        <v>39</v>
      </c>
      <c r="U4078" s="11" t="s">
        <v>40</v>
      </c>
      <c r="V4078" s="11" t="s">
        <v>6037</v>
      </c>
      <c r="W4078" s="11">
        <v>3000000</v>
      </c>
      <c r="X4078" s="11">
        <v>1960</v>
      </c>
      <c r="Y4078" s="11">
        <v>422</v>
      </c>
      <c r="Z4078" s="11">
        <v>7.9</v>
      </c>
      <c r="AA4078" s="11">
        <v>1.66</v>
      </c>
      <c r="AB4078" s="11">
        <v>808</v>
      </c>
      <c r="AC4078" s="11"/>
      <c r="AD4078" s="11" t="str">
        <f>IFERROR(__xludf.DUMMYFUNCTION("""COMPUTED_VALUE"""),"Heike Makatsch")</f>
        <v>Heike Makatsch</v>
      </c>
      <c r="AE4078" s="11"/>
    </row>
    <row r="4079" customHeight="1" spans="1:31">
      <c r="A4079" s="12" t="s">
        <v>748</v>
      </c>
      <c r="B4079" s="12" t="s">
        <v>15538</v>
      </c>
      <c r="C4079" s="12">
        <v>73</v>
      </c>
      <c r="D4079" s="12">
        <v>186</v>
      </c>
      <c r="E4079" s="12">
        <v>176</v>
      </c>
      <c r="F4079" s="12">
        <v>760</v>
      </c>
      <c r="G4079" s="12">
        <v>877</v>
      </c>
      <c r="H4079" s="16"/>
      <c r="I4079" s="12" t="s">
        <v>3397</v>
      </c>
      <c r="J4079" s="12" t="s">
        <v>10837</v>
      </c>
      <c r="K4079" s="12" t="s">
        <v>18529</v>
      </c>
      <c r="L4079" s="12" t="s">
        <v>15539</v>
      </c>
      <c r="M4079" s="12" t="s">
        <v>19298</v>
      </c>
      <c r="N4079" s="12">
        <v>44457</v>
      </c>
      <c r="O4079" s="12">
        <v>3847</v>
      </c>
      <c r="P4079" s="12">
        <v>0</v>
      </c>
      <c r="Q4079" s="12" t="s">
        <v>19299</v>
      </c>
      <c r="R4079" s="15" t="s">
        <v>19300</v>
      </c>
      <c r="S4079" s="12">
        <v>176</v>
      </c>
      <c r="T4079" s="12" t="s">
        <v>39</v>
      </c>
      <c r="U4079" s="12" t="s">
        <v>40</v>
      </c>
      <c r="V4079" s="12" t="s">
        <v>4831</v>
      </c>
      <c r="W4079" s="12">
        <v>3000000</v>
      </c>
      <c r="X4079" s="12">
        <v>1961</v>
      </c>
      <c r="Y4079" s="12">
        <v>862</v>
      </c>
      <c r="Z4079" s="12">
        <v>8.3</v>
      </c>
      <c r="AA4079" s="12">
        <v>1.75</v>
      </c>
      <c r="AB4079" s="12">
        <v>0</v>
      </c>
      <c r="AC4079" s="12"/>
      <c r="AD4079" s="12" t="str">
        <f>IFERROR(__xludf.DUMMYFUNCTION("""COMPUTED_VALUE"""),"Johanna Wokalek")</f>
        <v>Johanna Wokalek</v>
      </c>
      <c r="AE4079" s="12"/>
    </row>
    <row r="4080" customHeight="1" spans="1:31">
      <c r="A4080" s="11" t="s">
        <v>30</v>
      </c>
      <c r="B4080" s="11" t="s">
        <v>13093</v>
      </c>
      <c r="C4080" s="11">
        <v>16</v>
      </c>
      <c r="D4080" s="11">
        <v>94</v>
      </c>
      <c r="E4080" s="11">
        <v>9</v>
      </c>
      <c r="F4080" s="11">
        <v>200</v>
      </c>
      <c r="G4080" s="11">
        <v>927</v>
      </c>
      <c r="H4080" s="11">
        <v>9016377</v>
      </c>
      <c r="I4080" s="11" t="s">
        <v>1672</v>
      </c>
      <c r="J4080" s="11" t="s">
        <v>9033</v>
      </c>
      <c r="K4080" s="11" t="s">
        <v>19301</v>
      </c>
      <c r="L4080" s="11" t="s">
        <v>19302</v>
      </c>
      <c r="M4080" s="11" t="s">
        <v>19303</v>
      </c>
      <c r="N4080" s="11">
        <v>1004</v>
      </c>
      <c r="O4080" s="11">
        <v>1936</v>
      </c>
      <c r="P4080" s="11">
        <v>3</v>
      </c>
      <c r="Q4080" s="11" t="s">
        <v>19304</v>
      </c>
      <c r="R4080" s="14" t="s">
        <v>19305</v>
      </c>
      <c r="S4080" s="11">
        <v>8</v>
      </c>
      <c r="T4080" s="11" t="s">
        <v>39</v>
      </c>
      <c r="U4080" s="11" t="s">
        <v>40</v>
      </c>
      <c r="V4080" s="11" t="s">
        <v>586</v>
      </c>
      <c r="W4080" s="13"/>
      <c r="X4080" s="11">
        <v>1999</v>
      </c>
      <c r="Y4080" s="11">
        <v>209</v>
      </c>
      <c r="Z4080" s="11">
        <v>5.2</v>
      </c>
      <c r="AA4080" s="11">
        <v>1.85</v>
      </c>
      <c r="AB4080" s="11">
        <v>143</v>
      </c>
      <c r="AC4080" s="11"/>
      <c r="AD4080" s="11" t="str">
        <f>IFERROR(__xludf.DUMMYFUNCTION("""COMPUTED_VALUE"""),"Maria Schrader")</f>
        <v>Maria Schrader</v>
      </c>
      <c r="AE4080" s="11"/>
    </row>
    <row r="4081" customHeight="1" spans="1:31">
      <c r="A4081" s="12" t="s">
        <v>30</v>
      </c>
      <c r="B4081" s="16"/>
      <c r="C4081" s="12">
        <v>38</v>
      </c>
      <c r="D4081" s="12">
        <v>11</v>
      </c>
      <c r="E4081" s="16"/>
      <c r="F4081" s="12">
        <v>0</v>
      </c>
      <c r="G4081" s="12">
        <v>11</v>
      </c>
      <c r="H4081" s="16"/>
      <c r="I4081" s="12" t="s">
        <v>18040</v>
      </c>
      <c r="J4081" s="12" t="s">
        <v>19306</v>
      </c>
      <c r="K4081" s="12" t="s">
        <v>19307</v>
      </c>
      <c r="L4081" s="12" t="s">
        <v>19308</v>
      </c>
      <c r="M4081" s="12" t="s">
        <v>19309</v>
      </c>
      <c r="N4081" s="12">
        <v>32923</v>
      </c>
      <c r="O4081" s="12">
        <v>11</v>
      </c>
      <c r="P4081" s="12">
        <v>0</v>
      </c>
      <c r="Q4081" s="12" t="s">
        <v>19310</v>
      </c>
      <c r="R4081" s="15" t="s">
        <v>19311</v>
      </c>
      <c r="S4081" s="12">
        <v>75</v>
      </c>
      <c r="T4081" s="12" t="s">
        <v>39</v>
      </c>
      <c r="U4081" s="12" t="s">
        <v>40</v>
      </c>
      <c r="V4081" s="12" t="s">
        <v>2636</v>
      </c>
      <c r="W4081" s="16"/>
      <c r="X4081" s="16"/>
      <c r="Y4081" s="12">
        <v>0</v>
      </c>
      <c r="Z4081" s="12">
        <v>7.8</v>
      </c>
      <c r="AA4081" s="12">
        <v>1.33</v>
      </c>
      <c r="AB4081" s="12">
        <v>1000</v>
      </c>
      <c r="AC4081" s="12"/>
      <c r="AD4081" s="12" t="str">
        <f>IFERROR(__xludf.DUMMYFUNCTION("""COMPUTED_VALUE"""),"Jason Cerbone")</f>
        <v>Jason Cerbone</v>
      </c>
      <c r="AE4081" s="12"/>
    </row>
    <row r="4082" customHeight="1" spans="1:31">
      <c r="A4082" s="11" t="s">
        <v>748</v>
      </c>
      <c r="B4082" s="11" t="s">
        <v>19312</v>
      </c>
      <c r="C4082" s="11">
        <v>91</v>
      </c>
      <c r="D4082" s="11">
        <v>126</v>
      </c>
      <c r="E4082" s="11">
        <v>393</v>
      </c>
      <c r="F4082" s="11">
        <v>281</v>
      </c>
      <c r="G4082" s="11">
        <v>862</v>
      </c>
      <c r="H4082" s="13"/>
      <c r="I4082" s="11" t="s">
        <v>19313</v>
      </c>
      <c r="J4082" s="11" t="s">
        <v>18529</v>
      </c>
      <c r="K4082" s="11" t="s">
        <v>19314</v>
      </c>
      <c r="L4082" s="11" t="s">
        <v>14479</v>
      </c>
      <c r="M4082" s="11" t="s">
        <v>19315</v>
      </c>
      <c r="N4082" s="11">
        <v>21316</v>
      </c>
      <c r="O4082" s="11">
        <v>2269</v>
      </c>
      <c r="P4082" s="11">
        <v>0</v>
      </c>
      <c r="Q4082" s="11" t="s">
        <v>19316</v>
      </c>
      <c r="R4082" s="14" t="s">
        <v>19317</v>
      </c>
      <c r="S4082" s="11">
        <v>162</v>
      </c>
      <c r="T4082" s="11" t="s">
        <v>39</v>
      </c>
      <c r="U4082" s="11" t="s">
        <v>40</v>
      </c>
      <c r="V4082" s="11" t="s">
        <v>6037</v>
      </c>
      <c r="W4082" s="11">
        <v>3000000</v>
      </c>
      <c r="X4082" s="11">
        <v>1948</v>
      </c>
      <c r="Y4082" s="11">
        <v>376</v>
      </c>
      <c r="Z4082" s="11">
        <v>7.8</v>
      </c>
      <c r="AA4082" s="11">
        <v>1.37</v>
      </c>
      <c r="AB4082" s="11">
        <v>0</v>
      </c>
      <c r="AC4082" s="11"/>
      <c r="AD4082" s="11" t="str">
        <f>IFERROR(__xludf.DUMMYFUNCTION("""COMPUTED_VALUE"""),"Mark De Alessandro")</f>
        <v>Mark De Alessandro</v>
      </c>
      <c r="AE4082" s="11"/>
    </row>
    <row r="4083" customHeight="1" spans="1:31">
      <c r="A4083" s="12" t="s">
        <v>30</v>
      </c>
      <c r="B4083" s="12" t="s">
        <v>19318</v>
      </c>
      <c r="C4083" s="12">
        <v>37</v>
      </c>
      <c r="D4083" s="12">
        <v>99</v>
      </c>
      <c r="E4083" s="12">
        <v>18</v>
      </c>
      <c r="F4083" s="12">
        <v>233</v>
      </c>
      <c r="G4083" s="12">
        <v>939</v>
      </c>
      <c r="H4083" s="12">
        <v>7059537</v>
      </c>
      <c r="I4083" s="12" t="s">
        <v>1672</v>
      </c>
      <c r="J4083" s="12" t="s">
        <v>5453</v>
      </c>
      <c r="K4083" s="12" t="s">
        <v>11449</v>
      </c>
      <c r="L4083" s="12" t="s">
        <v>19319</v>
      </c>
      <c r="M4083" s="12" t="s">
        <v>19320</v>
      </c>
      <c r="N4083" s="12">
        <v>8279</v>
      </c>
      <c r="O4083" s="12">
        <v>2321</v>
      </c>
      <c r="P4083" s="12">
        <v>0</v>
      </c>
      <c r="Q4083" s="12" t="s">
        <v>19321</v>
      </c>
      <c r="R4083" s="15" t="s">
        <v>19322</v>
      </c>
      <c r="S4083" s="12">
        <v>101</v>
      </c>
      <c r="T4083" s="12" t="s">
        <v>39</v>
      </c>
      <c r="U4083" s="12" t="s">
        <v>40</v>
      </c>
      <c r="V4083" s="12" t="s">
        <v>41</v>
      </c>
      <c r="W4083" s="12">
        <v>3000000</v>
      </c>
      <c r="X4083" s="12">
        <v>2006</v>
      </c>
      <c r="Y4083" s="12">
        <v>407</v>
      </c>
      <c r="Z4083" s="12">
        <v>3</v>
      </c>
      <c r="AA4083" s="12">
        <v>1.85</v>
      </c>
      <c r="AB4083" s="12">
        <v>837</v>
      </c>
      <c r="AC4083" s="12"/>
      <c r="AD4083" s="12" t="str">
        <f>IFERROR(__xludf.DUMMYFUNCTION("""COMPUTED_VALUE"""),"Gil Bellows")</f>
        <v>Gil Bellows</v>
      </c>
      <c r="AE4083" s="12"/>
    </row>
    <row r="4084" customHeight="1" spans="1:31">
      <c r="A4084" s="11" t="s">
        <v>30</v>
      </c>
      <c r="B4084" s="11" t="s">
        <v>9163</v>
      </c>
      <c r="C4084" s="11">
        <v>405</v>
      </c>
      <c r="D4084" s="11">
        <v>109</v>
      </c>
      <c r="E4084" s="11">
        <v>0</v>
      </c>
      <c r="F4084" s="11">
        <v>48</v>
      </c>
      <c r="G4084" s="11">
        <v>140</v>
      </c>
      <c r="H4084" s="11">
        <v>8114507</v>
      </c>
      <c r="I4084" s="11" t="s">
        <v>214</v>
      </c>
      <c r="J4084" s="11" t="s">
        <v>19323</v>
      </c>
      <c r="K4084" s="11" t="s">
        <v>19324</v>
      </c>
      <c r="L4084" s="11" t="s">
        <v>19325</v>
      </c>
      <c r="M4084" s="11" t="s">
        <v>19326</v>
      </c>
      <c r="N4084" s="11">
        <v>95362</v>
      </c>
      <c r="O4084" s="11">
        <v>328</v>
      </c>
      <c r="P4084" s="11">
        <v>1</v>
      </c>
      <c r="Q4084" s="11" t="s">
        <v>19327</v>
      </c>
      <c r="R4084" s="14" t="s">
        <v>19328</v>
      </c>
      <c r="S4084" s="11">
        <v>270</v>
      </c>
      <c r="T4084" s="11" t="s">
        <v>39</v>
      </c>
      <c r="U4084" s="11" t="s">
        <v>40</v>
      </c>
      <c r="V4084" s="11" t="s">
        <v>586</v>
      </c>
      <c r="W4084" s="11">
        <v>3000000</v>
      </c>
      <c r="X4084" s="11">
        <v>2013</v>
      </c>
      <c r="Y4084" s="11">
        <v>63</v>
      </c>
      <c r="Z4084" s="11">
        <v>7.9</v>
      </c>
      <c r="AA4084" s="11">
        <v>1.85</v>
      </c>
      <c r="AB4084" s="11">
        <v>62000</v>
      </c>
      <c r="AC4084" s="11"/>
      <c r="AD4084" s="11" t="str">
        <f>IFERROR(__xludf.DUMMYFUNCTION("""COMPUTED_VALUE"""),"Mélissa Désormeaux-Poulin")</f>
        <v>Mélissa Désormeaux-Poulin</v>
      </c>
      <c r="AE4084" s="11"/>
    </row>
    <row r="4085" customHeight="1" spans="1:31">
      <c r="A4085" s="12" t="s">
        <v>30</v>
      </c>
      <c r="B4085" s="12" t="s">
        <v>19329</v>
      </c>
      <c r="C4085" s="12">
        <v>29</v>
      </c>
      <c r="D4085" s="12">
        <v>95</v>
      </c>
      <c r="E4085" s="12">
        <v>4</v>
      </c>
      <c r="F4085" s="12">
        <v>152</v>
      </c>
      <c r="G4085" s="12">
        <v>641</v>
      </c>
      <c r="H4085" s="12">
        <v>7888703</v>
      </c>
      <c r="I4085" s="12" t="s">
        <v>2787</v>
      </c>
      <c r="J4085" s="12" t="s">
        <v>19330</v>
      </c>
      <c r="K4085" s="12" t="s">
        <v>19331</v>
      </c>
      <c r="L4085" s="12" t="s">
        <v>17713</v>
      </c>
      <c r="M4085" s="12" t="s">
        <v>19332</v>
      </c>
      <c r="N4085" s="12">
        <v>8465</v>
      </c>
      <c r="O4085" s="12">
        <v>1389</v>
      </c>
      <c r="P4085" s="12">
        <v>1</v>
      </c>
      <c r="Q4085" s="12" t="s">
        <v>19333</v>
      </c>
      <c r="R4085" s="15" t="s">
        <v>19334</v>
      </c>
      <c r="S4085" s="12">
        <v>65</v>
      </c>
      <c r="T4085" s="12" t="s">
        <v>39</v>
      </c>
      <c r="U4085" s="12" t="s">
        <v>40</v>
      </c>
      <c r="V4085" s="12" t="s">
        <v>96</v>
      </c>
      <c r="W4085" s="12">
        <v>3000000</v>
      </c>
      <c r="X4085" s="12">
        <v>1987</v>
      </c>
      <c r="Y4085" s="12">
        <v>168</v>
      </c>
      <c r="Z4085" s="12">
        <v>3.2</v>
      </c>
      <c r="AA4085" s="12">
        <v>1.85</v>
      </c>
      <c r="AB4085" s="12">
        <v>491</v>
      </c>
      <c r="AC4085" s="12"/>
      <c r="AD4085" s="12" t="str">
        <f>IFERROR(__xludf.DUMMYFUNCTION("""COMPUTED_VALUE"""),"Ahmad Massad")</f>
        <v>Ahmad Massad</v>
      </c>
      <c r="AE4085" s="12"/>
    </row>
    <row r="4086" customHeight="1" spans="1:31">
      <c r="A4086" s="11" t="s">
        <v>30</v>
      </c>
      <c r="B4086" s="11" t="s">
        <v>17771</v>
      </c>
      <c r="C4086" s="11">
        <v>81</v>
      </c>
      <c r="D4086" s="11">
        <v>97</v>
      </c>
      <c r="E4086" s="11">
        <v>152</v>
      </c>
      <c r="F4086" s="11">
        <v>135</v>
      </c>
      <c r="G4086" s="11">
        <v>674</v>
      </c>
      <c r="H4086" s="11">
        <v>7282851</v>
      </c>
      <c r="I4086" s="11" t="s">
        <v>4319</v>
      </c>
      <c r="J4086" s="11" t="s">
        <v>19335</v>
      </c>
      <c r="K4086" s="11" t="s">
        <v>19336</v>
      </c>
      <c r="L4086" s="11" t="s">
        <v>19337</v>
      </c>
      <c r="M4086" s="11" t="s">
        <v>19338</v>
      </c>
      <c r="N4086" s="11">
        <v>9502</v>
      </c>
      <c r="O4086" s="11">
        <v>1395</v>
      </c>
      <c r="P4086" s="11">
        <v>1</v>
      </c>
      <c r="Q4086" s="11" t="s">
        <v>19339</v>
      </c>
      <c r="R4086" s="14" t="s">
        <v>19340</v>
      </c>
      <c r="S4086" s="11">
        <v>100</v>
      </c>
      <c r="T4086" s="11" t="s">
        <v>39</v>
      </c>
      <c r="U4086" s="11" t="s">
        <v>40</v>
      </c>
      <c r="V4086" s="11" t="s">
        <v>586</v>
      </c>
      <c r="W4086" s="11">
        <v>3000000</v>
      </c>
      <c r="X4086" s="11">
        <v>1988</v>
      </c>
      <c r="Y4086" s="11">
        <v>174</v>
      </c>
      <c r="Z4086" s="11">
        <v>6.5</v>
      </c>
      <c r="AA4086" s="11">
        <v>1.85</v>
      </c>
      <c r="AB4086" s="11">
        <v>812</v>
      </c>
      <c r="AC4086" s="11"/>
      <c r="AD4086" s="11" t="str">
        <f>IFERROR(__xludf.DUMMYFUNCTION("""COMPUTED_VALUE"""),"Laura Morante")</f>
        <v>Laura Morante</v>
      </c>
      <c r="AE4086" s="11"/>
    </row>
    <row r="4087" customHeight="1" spans="1:31">
      <c r="A4087" s="12" t="s">
        <v>30</v>
      </c>
      <c r="B4087" s="12" t="s">
        <v>14885</v>
      </c>
      <c r="C4087" s="12">
        <v>17</v>
      </c>
      <c r="D4087" s="12">
        <v>94</v>
      </c>
      <c r="E4087" s="12">
        <v>78</v>
      </c>
      <c r="F4087" s="12">
        <v>469</v>
      </c>
      <c r="G4087" s="12">
        <v>912</v>
      </c>
      <c r="H4087" s="12">
        <v>6879730</v>
      </c>
      <c r="I4087" s="12" t="s">
        <v>3410</v>
      </c>
      <c r="J4087" s="12" t="s">
        <v>3077</v>
      </c>
      <c r="K4087" s="12" t="s">
        <v>4910</v>
      </c>
      <c r="L4087" s="12" t="s">
        <v>19341</v>
      </c>
      <c r="M4087" s="12" t="s">
        <v>19342</v>
      </c>
      <c r="N4087" s="12">
        <v>806</v>
      </c>
      <c r="O4087" s="12">
        <v>3049</v>
      </c>
      <c r="P4087" s="12">
        <v>0</v>
      </c>
      <c r="Q4087" s="12" t="s">
        <v>19343</v>
      </c>
      <c r="R4087" s="15" t="s">
        <v>19344</v>
      </c>
      <c r="S4087" s="12">
        <v>23</v>
      </c>
      <c r="T4087" s="12" t="s">
        <v>39</v>
      </c>
      <c r="U4087" s="12" t="s">
        <v>40</v>
      </c>
      <c r="V4087" s="12" t="s">
        <v>586</v>
      </c>
      <c r="W4087" s="16"/>
      <c r="X4087" s="12">
        <v>2004</v>
      </c>
      <c r="Y4087" s="12">
        <v>637</v>
      </c>
      <c r="Z4087" s="12">
        <v>6.9</v>
      </c>
      <c r="AA4087" s="16"/>
      <c r="AB4087" s="12">
        <v>187</v>
      </c>
      <c r="AC4087" s="12"/>
      <c r="AD4087" s="12" t="str">
        <f>IFERROR(__xludf.DUMMYFUNCTION("""COMPUTED_VALUE"""),"Silvio Muccino")</f>
        <v>Silvio Muccino</v>
      </c>
      <c r="AE4087" s="12"/>
    </row>
    <row r="4088" customHeight="1" spans="1:31">
      <c r="A4088" s="11" t="s">
        <v>30</v>
      </c>
      <c r="B4088" s="11" t="s">
        <v>19345</v>
      </c>
      <c r="C4088" s="11">
        <v>75</v>
      </c>
      <c r="D4088" s="11">
        <v>90</v>
      </c>
      <c r="E4088" s="11">
        <v>15</v>
      </c>
      <c r="F4088" s="11">
        <v>453</v>
      </c>
      <c r="G4088" s="11">
        <v>953</v>
      </c>
      <c r="H4088" s="11">
        <v>5844929</v>
      </c>
      <c r="I4088" s="11" t="s">
        <v>2528</v>
      </c>
      <c r="J4088" s="11" t="s">
        <v>642</v>
      </c>
      <c r="K4088" s="11" t="s">
        <v>5018</v>
      </c>
      <c r="L4088" s="11" t="s">
        <v>8999</v>
      </c>
      <c r="M4088" s="11" t="s">
        <v>19346</v>
      </c>
      <c r="N4088" s="11">
        <v>6000</v>
      </c>
      <c r="O4088" s="11">
        <v>2510</v>
      </c>
      <c r="P4088" s="11">
        <v>1</v>
      </c>
      <c r="Q4088" s="11" t="s">
        <v>19347</v>
      </c>
      <c r="R4088" s="14" t="s">
        <v>19348</v>
      </c>
      <c r="S4088" s="11">
        <v>109</v>
      </c>
      <c r="T4088" s="11" t="s">
        <v>39</v>
      </c>
      <c r="U4088" s="11" t="s">
        <v>40</v>
      </c>
      <c r="V4088" s="11" t="s">
        <v>41</v>
      </c>
      <c r="W4088" s="11">
        <v>3000000</v>
      </c>
      <c r="X4088" s="11">
        <v>2002</v>
      </c>
      <c r="Y4088" s="11">
        <v>625</v>
      </c>
      <c r="Z4088" s="11">
        <v>7</v>
      </c>
      <c r="AA4088" s="11">
        <v>1.85</v>
      </c>
      <c r="AB4088" s="11">
        <v>595</v>
      </c>
      <c r="AC4088" s="11"/>
      <c r="AD4088" s="11" t="str">
        <f>IFERROR(__xludf.DUMMYFUNCTION("""COMPUTED_VALUE"""),"Giulia Michelini")</f>
        <v>Giulia Michelini</v>
      </c>
      <c r="AE4088" s="11"/>
    </row>
    <row r="4089" customHeight="1" spans="1:31">
      <c r="A4089" s="12" t="s">
        <v>30</v>
      </c>
      <c r="B4089" s="16"/>
      <c r="C4089" s="16"/>
      <c r="D4089" s="12">
        <v>197</v>
      </c>
      <c r="E4089" s="16"/>
      <c r="F4089" s="12">
        <v>110</v>
      </c>
      <c r="G4089" s="12">
        <v>578</v>
      </c>
      <c r="H4089" s="16"/>
      <c r="I4089" s="12" t="s">
        <v>3397</v>
      </c>
      <c r="J4089" s="12" t="s">
        <v>18674</v>
      </c>
      <c r="K4089" s="12" t="s">
        <v>19349</v>
      </c>
      <c r="L4089" s="12" t="s">
        <v>15581</v>
      </c>
      <c r="M4089" s="12" t="s">
        <v>19350</v>
      </c>
      <c r="N4089" s="12">
        <v>299</v>
      </c>
      <c r="O4089" s="12">
        <v>1400</v>
      </c>
      <c r="P4089" s="12">
        <v>0</v>
      </c>
      <c r="Q4089" s="12" t="s">
        <v>19351</v>
      </c>
      <c r="R4089" s="15" t="s">
        <v>19352</v>
      </c>
      <c r="S4089" s="12">
        <v>1</v>
      </c>
      <c r="T4089" s="12" t="s">
        <v>39</v>
      </c>
      <c r="U4089" s="12" t="s">
        <v>371</v>
      </c>
      <c r="V4089" s="16"/>
      <c r="W4089" s="12">
        <v>15000000</v>
      </c>
      <c r="X4089" s="16"/>
      <c r="Y4089" s="12">
        <v>476</v>
      </c>
      <c r="Z4089" s="12">
        <v>7.4</v>
      </c>
      <c r="AA4089" s="16"/>
      <c r="AB4089" s="12">
        <v>367</v>
      </c>
      <c r="AC4089" s="12"/>
      <c r="AD4089" s="12" t="str">
        <f>IFERROR(__xludf.DUMMYFUNCTION("""COMPUTED_VALUE"""),"Fernanda Machado")</f>
        <v>Fernanda Machado</v>
      </c>
      <c r="AE4089" s="12"/>
    </row>
    <row r="4090" customHeight="1" spans="1:31">
      <c r="A4090" s="11" t="s">
        <v>30</v>
      </c>
      <c r="B4090" s="11" t="s">
        <v>5604</v>
      </c>
      <c r="C4090" s="11">
        <v>91</v>
      </c>
      <c r="D4090" s="11">
        <v>117</v>
      </c>
      <c r="E4090" s="11">
        <v>375</v>
      </c>
      <c r="F4090" s="11">
        <v>31</v>
      </c>
      <c r="G4090" s="11">
        <v>1000</v>
      </c>
      <c r="H4090" s="11">
        <v>3222857</v>
      </c>
      <c r="I4090" s="11" t="s">
        <v>214</v>
      </c>
      <c r="J4090" s="11" t="s">
        <v>14707</v>
      </c>
      <c r="K4090" s="11" t="s">
        <v>19353</v>
      </c>
      <c r="L4090" s="11" t="s">
        <v>19354</v>
      </c>
      <c r="M4090" s="11" t="s">
        <v>19355</v>
      </c>
      <c r="N4090" s="11">
        <v>12560</v>
      </c>
      <c r="O4090" s="11">
        <v>1394</v>
      </c>
      <c r="P4090" s="11">
        <v>0</v>
      </c>
      <c r="Q4090" s="11" t="s">
        <v>19356</v>
      </c>
      <c r="R4090" s="14" t="s">
        <v>19357</v>
      </c>
      <c r="S4090" s="11">
        <v>147</v>
      </c>
      <c r="T4090" s="11" t="s">
        <v>5612</v>
      </c>
      <c r="U4090" s="11" t="s">
        <v>269</v>
      </c>
      <c r="V4090" s="11" t="s">
        <v>41</v>
      </c>
      <c r="W4090" s="13"/>
      <c r="X4090" s="11">
        <v>2005</v>
      </c>
      <c r="Y4090" s="11">
        <v>329</v>
      </c>
      <c r="Z4090" s="11">
        <v>7.8</v>
      </c>
      <c r="AA4090" s="11">
        <v>2.35</v>
      </c>
      <c r="AB4090" s="11">
        <v>0</v>
      </c>
      <c r="AC4090" s="11"/>
      <c r="AD4090" s="11" t="str">
        <f>IFERROR(__xludf.DUMMYFUNCTION("""COMPUTED_VALUE"""),"André Ramiro")</f>
        <v>André Ramiro</v>
      </c>
      <c r="AE4090" s="11"/>
    </row>
    <row r="4091" customHeight="1" spans="1:31">
      <c r="A4091" s="12" t="s">
        <v>30</v>
      </c>
      <c r="B4091" s="12" t="s">
        <v>19358</v>
      </c>
      <c r="C4091" s="12">
        <v>82</v>
      </c>
      <c r="D4091" s="12">
        <v>96</v>
      </c>
      <c r="E4091" s="12">
        <v>70</v>
      </c>
      <c r="F4091" s="12">
        <v>163</v>
      </c>
      <c r="G4091" s="12">
        <v>883</v>
      </c>
      <c r="H4091" s="12">
        <v>4170647</v>
      </c>
      <c r="I4091" s="12" t="s">
        <v>2528</v>
      </c>
      <c r="J4091" s="12" t="s">
        <v>1513</v>
      </c>
      <c r="K4091" s="12" t="s">
        <v>14641</v>
      </c>
      <c r="L4091" s="12" t="s">
        <v>4719</v>
      </c>
      <c r="M4091" s="12" t="s">
        <v>19359</v>
      </c>
      <c r="N4091" s="12">
        <v>14548</v>
      </c>
      <c r="O4091" s="12">
        <v>1616</v>
      </c>
      <c r="P4091" s="12">
        <v>0</v>
      </c>
      <c r="Q4091" s="12" t="s">
        <v>19360</v>
      </c>
      <c r="R4091" s="15" t="s">
        <v>19361</v>
      </c>
      <c r="S4091" s="12">
        <v>161</v>
      </c>
      <c r="T4091" s="12" t="s">
        <v>39</v>
      </c>
      <c r="U4091" s="12" t="s">
        <v>58</v>
      </c>
      <c r="V4091" s="12" t="s">
        <v>586</v>
      </c>
      <c r="W4091" s="12">
        <v>1900000</v>
      </c>
      <c r="X4091" s="12">
        <v>1999</v>
      </c>
      <c r="Y4091" s="12">
        <v>183</v>
      </c>
      <c r="Z4091" s="12">
        <v>6.9</v>
      </c>
      <c r="AA4091" s="12">
        <v>1.85</v>
      </c>
      <c r="AB4091" s="12">
        <v>1000</v>
      </c>
      <c r="AC4091" s="12"/>
      <c r="AD4091" s="12" t="str">
        <f>IFERROR(__xludf.DUMMYFUNCTION("""COMPUTED_VALUE"""),"Annabelle Wallis")</f>
        <v>Annabelle Wallis</v>
      </c>
      <c r="AE4091" s="12"/>
    </row>
    <row r="4092" customHeight="1" spans="1:31">
      <c r="A4092" s="11" t="s">
        <v>30</v>
      </c>
      <c r="B4092" s="11" t="s">
        <v>19362</v>
      </c>
      <c r="C4092" s="11">
        <v>48</v>
      </c>
      <c r="D4092" s="11">
        <v>82</v>
      </c>
      <c r="E4092" s="11">
        <v>0</v>
      </c>
      <c r="F4092" s="11">
        <v>51</v>
      </c>
      <c r="G4092" s="11">
        <v>472</v>
      </c>
      <c r="H4092" s="11">
        <v>4142507</v>
      </c>
      <c r="I4092" s="11" t="s">
        <v>1681</v>
      </c>
      <c r="J4092" s="11" t="s">
        <v>19363</v>
      </c>
      <c r="K4092" s="11" t="s">
        <v>7470</v>
      </c>
      <c r="L4092" s="11" t="s">
        <v>19364</v>
      </c>
      <c r="M4092" s="11" t="s">
        <v>19365</v>
      </c>
      <c r="N4092" s="11">
        <v>3665</v>
      </c>
      <c r="O4092" s="11">
        <v>858</v>
      </c>
      <c r="P4092" s="11">
        <v>1</v>
      </c>
      <c r="Q4092" s="11" t="s">
        <v>19366</v>
      </c>
      <c r="R4092" s="14" t="s">
        <v>19367</v>
      </c>
      <c r="S4092" s="11">
        <v>81</v>
      </c>
      <c r="T4092" s="11" t="s">
        <v>39</v>
      </c>
      <c r="U4092" s="11" t="s">
        <v>40</v>
      </c>
      <c r="V4092" s="11" t="s">
        <v>586</v>
      </c>
      <c r="W4092" s="11">
        <v>3000000</v>
      </c>
      <c r="X4092" s="11">
        <v>2000</v>
      </c>
      <c r="Y4092" s="11">
        <v>324</v>
      </c>
      <c r="Z4092" s="11">
        <v>4.4</v>
      </c>
      <c r="AA4092" s="11">
        <v>1.85</v>
      </c>
      <c r="AB4092" s="11">
        <v>131</v>
      </c>
      <c r="AC4092" s="11"/>
      <c r="AD4092" s="11" t="str">
        <f>IFERROR(__xludf.DUMMYFUNCTION("""COMPUTED_VALUE"""),"Gabriel Bateman")</f>
        <v>Gabriel Bateman</v>
      </c>
      <c r="AE4092" s="11"/>
    </row>
    <row r="4093" customHeight="1" spans="1:31">
      <c r="A4093" s="12" t="s">
        <v>30</v>
      </c>
      <c r="B4093" s="12" t="s">
        <v>10307</v>
      </c>
      <c r="C4093" s="12">
        <v>33</v>
      </c>
      <c r="D4093" s="12">
        <v>109</v>
      </c>
      <c r="E4093" s="12">
        <v>300</v>
      </c>
      <c r="F4093" s="12">
        <v>200</v>
      </c>
      <c r="G4093" s="12">
        <v>729</v>
      </c>
      <c r="H4093" s="12">
        <v>4109095</v>
      </c>
      <c r="I4093" s="12" t="s">
        <v>19368</v>
      </c>
      <c r="J4093" s="12" t="s">
        <v>3519</v>
      </c>
      <c r="K4093" s="12" t="s">
        <v>13836</v>
      </c>
      <c r="L4093" s="12" t="s">
        <v>15260</v>
      </c>
      <c r="M4093" s="12" t="s">
        <v>19369</v>
      </c>
      <c r="N4093" s="12">
        <v>8239</v>
      </c>
      <c r="O4093" s="12">
        <v>1292</v>
      </c>
      <c r="P4093" s="12">
        <v>0</v>
      </c>
      <c r="Q4093" s="12" t="s">
        <v>19370</v>
      </c>
      <c r="R4093" s="15" t="s">
        <v>19371</v>
      </c>
      <c r="S4093" s="12">
        <v>92</v>
      </c>
      <c r="T4093" s="12" t="s">
        <v>39</v>
      </c>
      <c r="U4093" s="12" t="s">
        <v>40</v>
      </c>
      <c r="V4093" s="12" t="s">
        <v>586</v>
      </c>
      <c r="W4093" s="12">
        <v>3000000</v>
      </c>
      <c r="X4093" s="12">
        <v>1996</v>
      </c>
      <c r="Y4093" s="12">
        <v>257</v>
      </c>
      <c r="Z4093" s="12">
        <v>6</v>
      </c>
      <c r="AA4093" s="12">
        <v>1.85</v>
      </c>
      <c r="AB4093" s="12">
        <v>0</v>
      </c>
      <c r="AC4093" s="12"/>
      <c r="AD4093" s="12" t="str">
        <f>IFERROR(__xludf.DUMMYFUNCTION("""COMPUTED_VALUE"""),"Magda Szubanski")</f>
        <v>Magda Szubanski</v>
      </c>
      <c r="AE4093" s="12"/>
    </row>
    <row r="4094" customHeight="1" spans="1:31">
      <c r="A4094" s="11" t="s">
        <v>30</v>
      </c>
      <c r="B4094" s="11" t="s">
        <v>16101</v>
      </c>
      <c r="C4094" s="11">
        <v>133</v>
      </c>
      <c r="D4094" s="11">
        <v>90</v>
      </c>
      <c r="E4094" s="11">
        <v>132</v>
      </c>
      <c r="F4094" s="11">
        <v>547</v>
      </c>
      <c r="G4094" s="11">
        <v>1000</v>
      </c>
      <c r="H4094" s="11">
        <v>4033268</v>
      </c>
      <c r="I4094" s="11" t="s">
        <v>2528</v>
      </c>
      <c r="J4094" s="11" t="s">
        <v>430</v>
      </c>
      <c r="K4094" s="11" t="s">
        <v>4600</v>
      </c>
      <c r="L4094" s="11" t="s">
        <v>19372</v>
      </c>
      <c r="M4094" s="11" t="s">
        <v>19373</v>
      </c>
      <c r="N4094" s="11">
        <v>9808</v>
      </c>
      <c r="O4094" s="11">
        <v>3692</v>
      </c>
      <c r="P4094" s="11">
        <v>0</v>
      </c>
      <c r="Q4094" s="11" t="s">
        <v>19374</v>
      </c>
      <c r="R4094" s="14" t="s">
        <v>19375</v>
      </c>
      <c r="S4094" s="11">
        <v>53</v>
      </c>
      <c r="T4094" s="11" t="s">
        <v>39</v>
      </c>
      <c r="U4094" s="11" t="s">
        <v>40</v>
      </c>
      <c r="V4094" s="11" t="s">
        <v>586</v>
      </c>
      <c r="W4094" s="13"/>
      <c r="X4094" s="11">
        <v>2010</v>
      </c>
      <c r="Y4094" s="11">
        <v>864</v>
      </c>
      <c r="Z4094" s="11">
        <v>6.6</v>
      </c>
      <c r="AA4094" s="11">
        <v>2.35</v>
      </c>
      <c r="AB4094" s="11">
        <v>0</v>
      </c>
      <c r="AC4094" s="11"/>
      <c r="AD4094" s="11" t="str">
        <f>IFERROR(__xludf.DUMMYFUNCTION("""COMPUTED_VALUE"""),"Jessica Mauboy")</f>
        <v>Jessica Mauboy</v>
      </c>
      <c r="AE4094" s="11"/>
    </row>
    <row r="4095" customHeight="1" spans="1:31">
      <c r="A4095" s="12" t="s">
        <v>30</v>
      </c>
      <c r="B4095" s="12" t="s">
        <v>19376</v>
      </c>
      <c r="C4095" s="12">
        <v>104</v>
      </c>
      <c r="D4095" s="12">
        <v>89</v>
      </c>
      <c r="E4095" s="12">
        <v>21</v>
      </c>
      <c r="F4095" s="12">
        <v>124</v>
      </c>
      <c r="G4095" s="12">
        <v>240</v>
      </c>
      <c r="H4095" s="16"/>
      <c r="I4095" s="12" t="s">
        <v>19377</v>
      </c>
      <c r="J4095" s="12" t="s">
        <v>19378</v>
      </c>
      <c r="K4095" s="12" t="s">
        <v>19379</v>
      </c>
      <c r="L4095" s="12" t="s">
        <v>19380</v>
      </c>
      <c r="M4095" s="12" t="s">
        <v>19381</v>
      </c>
      <c r="N4095" s="12">
        <v>128334</v>
      </c>
      <c r="O4095" s="12">
        <v>1011</v>
      </c>
      <c r="P4095" s="12">
        <v>1</v>
      </c>
      <c r="Q4095" s="12" t="s">
        <v>19382</v>
      </c>
      <c r="R4095" s="15" t="s">
        <v>19383</v>
      </c>
      <c r="S4095" s="12">
        <v>349</v>
      </c>
      <c r="T4095" s="12" t="s">
        <v>39</v>
      </c>
      <c r="U4095" s="12" t="s">
        <v>40</v>
      </c>
      <c r="V4095" s="12" t="s">
        <v>278</v>
      </c>
      <c r="W4095" s="12">
        <v>3000000</v>
      </c>
      <c r="X4095" s="12">
        <v>1971</v>
      </c>
      <c r="Y4095" s="12">
        <v>177</v>
      </c>
      <c r="Z4095" s="12">
        <v>7.8</v>
      </c>
      <c r="AA4095" s="12">
        <v>1.33</v>
      </c>
      <c r="AB4095" s="12">
        <v>0</v>
      </c>
      <c r="AC4095" s="12"/>
      <c r="AD4095" s="12" t="str">
        <f>IFERROR(__xludf.DUMMYFUNCTION("""COMPUTED_VALUE"""),"John Cothran")</f>
        <v>John Cothran</v>
      </c>
      <c r="AE4095" s="12"/>
    </row>
    <row r="4096" customHeight="1" spans="1:31">
      <c r="A4096" s="11" t="s">
        <v>30</v>
      </c>
      <c r="B4096" s="11" t="s">
        <v>19384</v>
      </c>
      <c r="C4096" s="11">
        <v>22</v>
      </c>
      <c r="D4096" s="11">
        <v>98</v>
      </c>
      <c r="E4096" s="11">
        <v>16</v>
      </c>
      <c r="F4096" s="11">
        <v>222</v>
      </c>
      <c r="G4096" s="11">
        <v>687</v>
      </c>
      <c r="H4096" s="11">
        <v>3902679</v>
      </c>
      <c r="I4096" s="11" t="s">
        <v>7406</v>
      </c>
      <c r="J4096" s="11" t="s">
        <v>6216</v>
      </c>
      <c r="K4096" s="11" t="s">
        <v>14480</v>
      </c>
      <c r="L4096" s="11" t="s">
        <v>19385</v>
      </c>
      <c r="M4096" s="11" t="s">
        <v>19386</v>
      </c>
      <c r="N4096" s="11">
        <v>3943</v>
      </c>
      <c r="O4096" s="11">
        <v>1806</v>
      </c>
      <c r="P4096" s="11">
        <v>0</v>
      </c>
      <c r="Q4096" s="11" t="s">
        <v>19387</v>
      </c>
      <c r="R4096" s="14" t="s">
        <v>19388</v>
      </c>
      <c r="S4096" s="11">
        <v>49</v>
      </c>
      <c r="T4096" s="11" t="s">
        <v>39</v>
      </c>
      <c r="U4096" s="11" t="s">
        <v>40</v>
      </c>
      <c r="V4096" s="11" t="s">
        <v>586</v>
      </c>
      <c r="W4096" s="11">
        <v>3000000</v>
      </c>
      <c r="X4096" s="11">
        <v>1993</v>
      </c>
      <c r="Y4096" s="11">
        <v>233</v>
      </c>
      <c r="Z4096" s="11">
        <v>5.3</v>
      </c>
      <c r="AA4096" s="11">
        <v>1.66</v>
      </c>
      <c r="AB4096" s="11">
        <v>217</v>
      </c>
      <c r="AC4096" s="11"/>
      <c r="AD4096" s="11" t="str">
        <f>IFERROR(__xludf.DUMMYFUNCTION("""COMPUTED_VALUE"""),"Lloyd Avery II")</f>
        <v>Lloyd Avery II</v>
      </c>
      <c r="AE4096" s="11"/>
    </row>
    <row r="4097" customHeight="1" spans="1:31">
      <c r="A4097" s="12" t="s">
        <v>30</v>
      </c>
      <c r="B4097" s="12" t="s">
        <v>19389</v>
      </c>
      <c r="C4097" s="12">
        <v>30</v>
      </c>
      <c r="D4097" s="12">
        <v>95</v>
      </c>
      <c r="E4097" s="12">
        <v>45</v>
      </c>
      <c r="F4097" s="12">
        <v>267</v>
      </c>
      <c r="G4097" s="12">
        <v>578</v>
      </c>
      <c r="H4097" s="12">
        <v>3559990</v>
      </c>
      <c r="I4097" s="12" t="s">
        <v>1009</v>
      </c>
      <c r="J4097" s="12" t="s">
        <v>5932</v>
      </c>
      <c r="K4097" s="12" t="s">
        <v>19390</v>
      </c>
      <c r="L4097" s="12" t="s">
        <v>4082</v>
      </c>
      <c r="M4097" s="12" t="s">
        <v>19391</v>
      </c>
      <c r="N4097" s="12">
        <v>8005</v>
      </c>
      <c r="O4097" s="12">
        <v>1363</v>
      </c>
      <c r="P4097" s="12">
        <v>0</v>
      </c>
      <c r="Q4097" s="12" t="s">
        <v>19392</v>
      </c>
      <c r="R4097" s="15" t="s">
        <v>19393</v>
      </c>
      <c r="S4097" s="12">
        <v>49</v>
      </c>
      <c r="T4097" s="12" t="s">
        <v>39</v>
      </c>
      <c r="U4097" s="12" t="s">
        <v>40</v>
      </c>
      <c r="V4097" s="12" t="s">
        <v>586</v>
      </c>
      <c r="W4097" s="12">
        <v>3000000</v>
      </c>
      <c r="X4097" s="12">
        <v>1997</v>
      </c>
      <c r="Y4097" s="12">
        <v>341</v>
      </c>
      <c r="Z4097" s="12">
        <v>5.3</v>
      </c>
      <c r="AA4097" s="12">
        <v>1.85</v>
      </c>
      <c r="AB4097" s="12">
        <v>417</v>
      </c>
      <c r="AC4097" s="12"/>
      <c r="AD4097" s="12" t="str">
        <f>IFERROR(__xludf.DUMMYFUNCTION("""COMPUTED_VALUE"""),"Na'Blonka Durden")</f>
        <v>Na'Blonka Durden</v>
      </c>
      <c r="AE4097" s="12"/>
    </row>
    <row r="4098" customHeight="1" spans="1:31">
      <c r="A4098" s="11" t="s">
        <v>30</v>
      </c>
      <c r="B4098" s="11" t="s">
        <v>4946</v>
      </c>
      <c r="C4098" s="11">
        <v>112</v>
      </c>
      <c r="D4098" s="11">
        <v>94</v>
      </c>
      <c r="E4098" s="11">
        <v>0</v>
      </c>
      <c r="F4098" s="11">
        <v>180</v>
      </c>
      <c r="G4098" s="11">
        <v>820</v>
      </c>
      <c r="H4098" s="13"/>
      <c r="I4098" s="11" t="s">
        <v>214</v>
      </c>
      <c r="J4098" s="11" t="s">
        <v>1046</v>
      </c>
      <c r="K4098" s="11" t="s">
        <v>19394</v>
      </c>
      <c r="L4098" s="11" t="s">
        <v>19395</v>
      </c>
      <c r="M4098" s="11" t="s">
        <v>19396</v>
      </c>
      <c r="N4098" s="11">
        <v>37594</v>
      </c>
      <c r="O4098" s="11">
        <v>1618</v>
      </c>
      <c r="P4098" s="11">
        <v>0</v>
      </c>
      <c r="Q4098" s="11" t="s">
        <v>19397</v>
      </c>
      <c r="R4098" s="14" t="s">
        <v>19398</v>
      </c>
      <c r="S4098" s="11">
        <v>181</v>
      </c>
      <c r="T4098" s="11" t="s">
        <v>39</v>
      </c>
      <c r="U4098" s="11" t="s">
        <v>40</v>
      </c>
      <c r="V4098" s="11" t="s">
        <v>96</v>
      </c>
      <c r="W4098" s="11">
        <v>3000000</v>
      </c>
      <c r="X4098" s="11">
        <v>1978</v>
      </c>
      <c r="Y4098" s="11">
        <v>350</v>
      </c>
      <c r="Z4098" s="11">
        <v>8</v>
      </c>
      <c r="AA4098" s="11">
        <v>1.85</v>
      </c>
      <c r="AB4098" s="11">
        <v>0</v>
      </c>
      <c r="AC4098" s="11"/>
      <c r="AD4098" s="11" t="str">
        <f>IFERROR(__xludf.DUMMYFUNCTION("""COMPUTED_VALUE"""),"Rosanna DeSoto")</f>
        <v>Rosanna DeSoto</v>
      </c>
      <c r="AE4098" s="11"/>
    </row>
    <row r="4099" customHeight="1" spans="1:31">
      <c r="A4099" s="12" t="s">
        <v>30</v>
      </c>
      <c r="B4099" s="12" t="s">
        <v>19399</v>
      </c>
      <c r="C4099" s="12">
        <v>79</v>
      </c>
      <c r="D4099" s="12">
        <v>104</v>
      </c>
      <c r="E4099" s="12">
        <v>11</v>
      </c>
      <c r="F4099" s="12">
        <v>194</v>
      </c>
      <c r="G4099" s="12">
        <v>11000</v>
      </c>
      <c r="H4099" s="12">
        <v>3287435</v>
      </c>
      <c r="I4099" s="12" t="s">
        <v>3410</v>
      </c>
      <c r="J4099" s="12" t="s">
        <v>661</v>
      </c>
      <c r="K4099" s="12" t="s">
        <v>9253</v>
      </c>
      <c r="L4099" s="12" t="s">
        <v>14078</v>
      </c>
      <c r="M4099" s="12" t="s">
        <v>19400</v>
      </c>
      <c r="N4099" s="12">
        <v>8603</v>
      </c>
      <c r="O4099" s="12">
        <v>12250</v>
      </c>
      <c r="P4099" s="12">
        <v>2</v>
      </c>
      <c r="Q4099" s="12" t="s">
        <v>19401</v>
      </c>
      <c r="R4099" s="15" t="s">
        <v>19402</v>
      </c>
      <c r="S4099" s="12">
        <v>115</v>
      </c>
      <c r="T4099" s="12" t="s">
        <v>39</v>
      </c>
      <c r="U4099" s="12" t="s">
        <v>40</v>
      </c>
      <c r="V4099" s="12" t="s">
        <v>586</v>
      </c>
      <c r="W4099" s="12">
        <v>4500000</v>
      </c>
      <c r="X4099" s="12">
        <v>2001</v>
      </c>
      <c r="Y4099" s="12">
        <v>813</v>
      </c>
      <c r="Z4099" s="12">
        <v>7.1</v>
      </c>
      <c r="AA4099" s="12">
        <v>1.85</v>
      </c>
      <c r="AB4099" s="12">
        <v>430</v>
      </c>
      <c r="AC4099" s="12"/>
      <c r="AD4099" s="12" t="str">
        <f>IFERROR(__xludf.DUMMYFUNCTION("""COMPUTED_VALUE"""),"Danielle von Zerneck")</f>
        <v>Danielle von Zerneck</v>
      </c>
      <c r="AE4099" s="12"/>
    </row>
    <row r="4100" customHeight="1" spans="1:31">
      <c r="A4100" s="11" t="s">
        <v>30</v>
      </c>
      <c r="B4100" s="11" t="s">
        <v>19403</v>
      </c>
      <c r="C4100" s="11">
        <v>49</v>
      </c>
      <c r="D4100" s="11">
        <v>87</v>
      </c>
      <c r="E4100" s="11">
        <v>18</v>
      </c>
      <c r="F4100" s="11">
        <v>844</v>
      </c>
      <c r="G4100" s="11">
        <v>3000</v>
      </c>
      <c r="H4100" s="11">
        <v>3071947</v>
      </c>
      <c r="I4100" s="11" t="s">
        <v>5968</v>
      </c>
      <c r="J4100" s="11" t="s">
        <v>5446</v>
      </c>
      <c r="K4100" s="11" t="s">
        <v>236</v>
      </c>
      <c r="L4100" s="11" t="s">
        <v>19404</v>
      </c>
      <c r="M4100" s="11" t="s">
        <v>19405</v>
      </c>
      <c r="N4100" s="11">
        <v>18711</v>
      </c>
      <c r="O4100" s="11">
        <v>9555</v>
      </c>
      <c r="P4100" s="11">
        <v>3</v>
      </c>
      <c r="Q4100" s="11" t="s">
        <v>19406</v>
      </c>
      <c r="R4100" s="14" t="s">
        <v>19407</v>
      </c>
      <c r="S4100" s="11">
        <v>183</v>
      </c>
      <c r="T4100" s="11" t="s">
        <v>39</v>
      </c>
      <c r="U4100" s="11" t="s">
        <v>40</v>
      </c>
      <c r="V4100" s="11" t="s">
        <v>586</v>
      </c>
      <c r="W4100" s="11">
        <v>3500000</v>
      </c>
      <c r="X4100" s="11">
        <v>1999</v>
      </c>
      <c r="Y4100" s="11">
        <v>2000</v>
      </c>
      <c r="Z4100" s="11">
        <v>5.4</v>
      </c>
      <c r="AA4100" s="11">
        <v>1.85</v>
      </c>
      <c r="AB4100" s="11">
        <v>0</v>
      </c>
      <c r="AC4100" s="11"/>
      <c r="AD4100" s="11" t="str">
        <f>IFERROR(__xludf.DUMMYFUNCTION("""COMPUTED_VALUE"""),"Rita Moreno")</f>
        <v>Rita Moreno</v>
      </c>
      <c r="AE4100" s="11"/>
    </row>
    <row r="4101" customHeight="1" spans="1:31">
      <c r="A4101" s="12" t="s">
        <v>30</v>
      </c>
      <c r="B4101" s="12" t="s">
        <v>13504</v>
      </c>
      <c r="C4101" s="12">
        <v>42</v>
      </c>
      <c r="D4101" s="12">
        <v>108</v>
      </c>
      <c r="E4101" s="12">
        <v>232</v>
      </c>
      <c r="F4101" s="12">
        <v>353</v>
      </c>
      <c r="G4101" s="12">
        <v>10000</v>
      </c>
      <c r="H4101" s="12">
        <v>2961991</v>
      </c>
      <c r="I4101" s="12" t="s">
        <v>1544</v>
      </c>
      <c r="J4101" s="12" t="s">
        <v>440</v>
      </c>
      <c r="K4101" s="12" t="s">
        <v>1870</v>
      </c>
      <c r="L4101" s="12" t="s">
        <v>19408</v>
      </c>
      <c r="M4101" s="12" t="s">
        <v>19409</v>
      </c>
      <c r="N4101" s="12">
        <v>15885</v>
      </c>
      <c r="O4101" s="12">
        <v>11459</v>
      </c>
      <c r="P4101" s="12">
        <v>4</v>
      </c>
      <c r="Q4101" s="12" t="s">
        <v>19410</v>
      </c>
      <c r="R4101" s="15" t="s">
        <v>19411</v>
      </c>
      <c r="S4101" s="12">
        <v>78</v>
      </c>
      <c r="T4101" s="12" t="s">
        <v>39</v>
      </c>
      <c r="U4101" s="12" t="s">
        <v>40</v>
      </c>
      <c r="V4101" s="12" t="s">
        <v>586</v>
      </c>
      <c r="W4101" s="12">
        <v>3300000</v>
      </c>
      <c r="X4101" s="12">
        <v>1996</v>
      </c>
      <c r="Y4101" s="12">
        <v>721</v>
      </c>
      <c r="Z4101" s="12">
        <v>6.9</v>
      </c>
      <c r="AA4101" s="12">
        <v>1.85</v>
      </c>
      <c r="AB4101" s="12">
        <v>0</v>
      </c>
      <c r="AC4101" s="12"/>
      <c r="AD4101" s="12" t="str">
        <f>IFERROR(__xludf.DUMMYFUNCTION("""COMPUTED_VALUE"""),"Len Cariou")</f>
        <v>Len Cariou</v>
      </c>
      <c r="AE4101" s="12"/>
    </row>
    <row r="4102" customHeight="1" spans="1:31">
      <c r="A4102" s="11" t="s">
        <v>748</v>
      </c>
      <c r="B4102" s="11" t="s">
        <v>15234</v>
      </c>
      <c r="C4102" s="11">
        <v>345</v>
      </c>
      <c r="D4102" s="11">
        <v>86</v>
      </c>
      <c r="E4102" s="11">
        <v>387</v>
      </c>
      <c r="F4102" s="11">
        <v>270</v>
      </c>
      <c r="G4102" s="11">
        <v>962</v>
      </c>
      <c r="H4102" s="11">
        <v>4063238</v>
      </c>
      <c r="I4102" s="11" t="s">
        <v>1415</v>
      </c>
      <c r="J4102" s="11" t="s">
        <v>9480</v>
      </c>
      <c r="K4102" s="11" t="s">
        <v>19412</v>
      </c>
      <c r="L4102" s="11" t="s">
        <v>16535</v>
      </c>
      <c r="M4102" s="11" t="s">
        <v>19413</v>
      </c>
      <c r="N4102" s="11">
        <v>43982</v>
      </c>
      <c r="O4102" s="11">
        <v>2260</v>
      </c>
      <c r="P4102" s="11">
        <v>0</v>
      </c>
      <c r="Q4102" s="11" t="s">
        <v>19414</v>
      </c>
      <c r="R4102" s="14" t="s">
        <v>19415</v>
      </c>
      <c r="S4102" s="11">
        <v>139</v>
      </c>
      <c r="T4102" s="11" t="s">
        <v>39</v>
      </c>
      <c r="U4102" s="11" t="s">
        <v>40</v>
      </c>
      <c r="V4102" s="11" t="s">
        <v>586</v>
      </c>
      <c r="W4102" s="13"/>
      <c r="X4102" s="11">
        <v>2012</v>
      </c>
      <c r="Y4102" s="11">
        <v>481</v>
      </c>
      <c r="Z4102" s="11">
        <v>7.4</v>
      </c>
      <c r="AA4102" s="11">
        <v>1.85</v>
      </c>
      <c r="AB4102" s="11">
        <v>11000</v>
      </c>
      <c r="AC4102" s="11"/>
      <c r="AD4102" s="11" t="str">
        <f>IFERROR(__xludf.DUMMYFUNCTION("""COMPUTED_VALUE"""),"Sandy Dennis")</f>
        <v>Sandy Dennis</v>
      </c>
      <c r="AE4102" s="11"/>
    </row>
    <row r="4103" customHeight="1" spans="1:31">
      <c r="A4103" s="12" t="s">
        <v>30</v>
      </c>
      <c r="B4103" s="12" t="s">
        <v>817</v>
      </c>
      <c r="C4103" s="12">
        <v>152</v>
      </c>
      <c r="D4103" s="12">
        <v>94</v>
      </c>
      <c r="E4103" s="12">
        <v>151</v>
      </c>
      <c r="F4103" s="12">
        <v>29</v>
      </c>
      <c r="G4103" s="12">
        <v>113</v>
      </c>
      <c r="H4103" s="12">
        <v>2912363</v>
      </c>
      <c r="I4103" s="12" t="s">
        <v>1936</v>
      </c>
      <c r="J4103" s="12" t="s">
        <v>7806</v>
      </c>
      <c r="K4103" s="12" t="s">
        <v>19416</v>
      </c>
      <c r="L4103" s="12" t="s">
        <v>19417</v>
      </c>
      <c r="M4103" s="12" t="s">
        <v>19418</v>
      </c>
      <c r="N4103" s="12">
        <v>25063</v>
      </c>
      <c r="O4103" s="12">
        <v>278</v>
      </c>
      <c r="P4103" s="12">
        <v>1</v>
      </c>
      <c r="Q4103" s="12" t="s">
        <v>19419</v>
      </c>
      <c r="R4103" s="15" t="s">
        <v>19420</v>
      </c>
      <c r="S4103" s="12">
        <v>177</v>
      </c>
      <c r="T4103" s="12" t="s">
        <v>19421</v>
      </c>
      <c r="U4103" s="12" t="s">
        <v>58</v>
      </c>
      <c r="V4103" s="12" t="s">
        <v>586</v>
      </c>
      <c r="W4103" s="12">
        <v>3000000</v>
      </c>
      <c r="X4103" s="12">
        <v>2005</v>
      </c>
      <c r="Y4103" s="12">
        <v>64</v>
      </c>
      <c r="Z4103" s="12">
        <v>7.3</v>
      </c>
      <c r="AA4103" s="12">
        <v>2.35</v>
      </c>
      <c r="AB4103" s="12">
        <v>0</v>
      </c>
      <c r="AC4103" s="12"/>
      <c r="AD4103" s="12" t="str">
        <f>IFERROR(__xludf.DUMMYFUNCTION("""COMPUTED_VALUE"""),"Marin Hinkle")</f>
        <v>Marin Hinkle</v>
      </c>
      <c r="AE4103" s="12"/>
    </row>
    <row r="4104" customHeight="1" spans="1:31">
      <c r="A4104" s="11" t="s">
        <v>30</v>
      </c>
      <c r="B4104" s="11" t="s">
        <v>18296</v>
      </c>
      <c r="C4104" s="11">
        <v>148</v>
      </c>
      <c r="D4104" s="11">
        <v>134</v>
      </c>
      <c r="E4104" s="11">
        <v>377</v>
      </c>
      <c r="F4104" s="11">
        <v>812</v>
      </c>
      <c r="G4104" s="11">
        <v>22000</v>
      </c>
      <c r="H4104" s="11">
        <v>3000000</v>
      </c>
      <c r="I4104" s="11" t="s">
        <v>2528</v>
      </c>
      <c r="J4104" s="11" t="s">
        <v>699</v>
      </c>
      <c r="K4104" s="11" t="s">
        <v>1957</v>
      </c>
      <c r="L4104" s="11" t="s">
        <v>4640</v>
      </c>
      <c r="M4104" s="11" t="s">
        <v>19422</v>
      </c>
      <c r="N4104" s="11">
        <v>55329</v>
      </c>
      <c r="O4104" s="11">
        <v>36859</v>
      </c>
      <c r="P4104" s="11">
        <v>9</v>
      </c>
      <c r="Q4104" s="11" t="s">
        <v>19423</v>
      </c>
      <c r="R4104" s="14" t="s">
        <v>19424</v>
      </c>
      <c r="S4104" s="11">
        <v>499</v>
      </c>
      <c r="T4104" s="11" t="s">
        <v>39</v>
      </c>
      <c r="U4104" s="11" t="s">
        <v>40</v>
      </c>
      <c r="V4104" s="13"/>
      <c r="W4104" s="11">
        <v>3000000</v>
      </c>
      <c r="X4104" s="11">
        <v>1998</v>
      </c>
      <c r="Y4104" s="11">
        <v>11000</v>
      </c>
      <c r="Z4104" s="11">
        <v>7.8</v>
      </c>
      <c r="AA4104" s="11">
        <v>1.85</v>
      </c>
      <c r="AB4104" s="11">
        <v>0</v>
      </c>
      <c r="AC4104" s="11"/>
      <c r="AD4104" s="11" t="str">
        <f>IFERROR(__xludf.DUMMYFUNCTION("""COMPUTED_VALUE"""),"Jake Cherry")</f>
        <v>Jake Cherry</v>
      </c>
      <c r="AE4104" s="11"/>
    </row>
    <row r="4105" customHeight="1" spans="1:31">
      <c r="A4105" s="12" t="s">
        <v>30</v>
      </c>
      <c r="B4105" s="12" t="s">
        <v>10131</v>
      </c>
      <c r="C4105" s="12">
        <v>23</v>
      </c>
      <c r="D4105" s="12">
        <v>89</v>
      </c>
      <c r="E4105" s="12">
        <v>269</v>
      </c>
      <c r="F4105" s="12">
        <v>24</v>
      </c>
      <c r="G4105" s="12">
        <v>489</v>
      </c>
      <c r="H4105" s="12">
        <v>2223990</v>
      </c>
      <c r="I4105" s="12" t="s">
        <v>17534</v>
      </c>
      <c r="J4105" s="12" t="s">
        <v>9578</v>
      </c>
      <c r="K4105" s="12" t="s">
        <v>19425</v>
      </c>
      <c r="L4105" s="12" t="s">
        <v>19426</v>
      </c>
      <c r="M4105" s="12" t="s">
        <v>19427</v>
      </c>
      <c r="N4105" s="12">
        <v>761</v>
      </c>
      <c r="O4105" s="12">
        <v>539</v>
      </c>
      <c r="P4105" s="12">
        <v>1</v>
      </c>
      <c r="Q4105" s="12" t="s">
        <v>19428</v>
      </c>
      <c r="R4105" s="15" t="s">
        <v>19429</v>
      </c>
      <c r="S4105" s="12">
        <v>14</v>
      </c>
      <c r="T4105" s="12" t="s">
        <v>39</v>
      </c>
      <c r="U4105" s="12" t="s">
        <v>40</v>
      </c>
      <c r="V4105" s="12" t="s">
        <v>586</v>
      </c>
      <c r="W4105" s="12">
        <v>3000000</v>
      </c>
      <c r="X4105" s="12">
        <v>2003</v>
      </c>
      <c r="Y4105" s="12">
        <v>26</v>
      </c>
      <c r="Z4105" s="12">
        <v>6.6</v>
      </c>
      <c r="AA4105" s="12">
        <v>1.85</v>
      </c>
      <c r="AB4105" s="12">
        <v>26</v>
      </c>
      <c r="AC4105" s="12"/>
      <c r="AD4105" s="12" t="str">
        <f>IFERROR(__xludf.DUMMYFUNCTION("""COMPUTED_VALUE"""),"David Wayne")</f>
        <v>David Wayne</v>
      </c>
      <c r="AE4105" s="12"/>
    </row>
    <row r="4106" customHeight="1" spans="1:31">
      <c r="A4106" s="11" t="s">
        <v>30</v>
      </c>
      <c r="B4106" s="11" t="s">
        <v>7135</v>
      </c>
      <c r="C4106" s="11">
        <v>254</v>
      </c>
      <c r="D4106" s="11">
        <v>102</v>
      </c>
      <c r="E4106" s="11">
        <v>0</v>
      </c>
      <c r="F4106" s="11">
        <v>387</v>
      </c>
      <c r="G4106" s="11">
        <v>40000</v>
      </c>
      <c r="H4106" s="11">
        <v>1821983</v>
      </c>
      <c r="I4106" s="11" t="s">
        <v>19430</v>
      </c>
      <c r="J4106" s="11" t="s">
        <v>44</v>
      </c>
      <c r="K4106" s="11" t="s">
        <v>2190</v>
      </c>
      <c r="L4106" s="11" t="s">
        <v>4662</v>
      </c>
      <c r="M4106" s="11" t="s">
        <v>19431</v>
      </c>
      <c r="N4106" s="11">
        <v>31089</v>
      </c>
      <c r="O4106" s="11">
        <v>43810</v>
      </c>
      <c r="P4106" s="11">
        <v>0</v>
      </c>
      <c r="Q4106" s="11" t="s">
        <v>19432</v>
      </c>
      <c r="R4106" s="14" t="s">
        <v>19433</v>
      </c>
      <c r="S4106" s="11">
        <v>261</v>
      </c>
      <c r="T4106" s="11" t="s">
        <v>39</v>
      </c>
      <c r="U4106" s="11" t="s">
        <v>40</v>
      </c>
      <c r="V4106" s="11" t="s">
        <v>586</v>
      </c>
      <c r="W4106" s="11">
        <v>3000000</v>
      </c>
      <c r="X4106" s="11">
        <v>2014</v>
      </c>
      <c r="Y4106" s="11">
        <v>3000</v>
      </c>
      <c r="Z4106" s="11">
        <v>5.4</v>
      </c>
      <c r="AA4106" s="11">
        <v>2.35</v>
      </c>
      <c r="AB4106" s="11">
        <v>20000</v>
      </c>
      <c r="AC4106" s="11"/>
      <c r="AD4106" s="11" t="str">
        <f>IFERROR(__xludf.DUMMYFUNCTION("""COMPUTED_VALUE"""),"Paula Kelly")</f>
        <v>Paula Kelly</v>
      </c>
      <c r="AE4106" s="11"/>
    </row>
    <row r="4107" customHeight="1" spans="1:31">
      <c r="A4107" s="12" t="s">
        <v>30</v>
      </c>
      <c r="B4107" s="12" t="s">
        <v>14341</v>
      </c>
      <c r="C4107" s="12">
        <v>305</v>
      </c>
      <c r="D4107" s="12">
        <v>120</v>
      </c>
      <c r="E4107" s="12">
        <v>0</v>
      </c>
      <c r="F4107" s="12">
        <v>38</v>
      </c>
      <c r="G4107" s="12">
        <v>717</v>
      </c>
      <c r="H4107" s="12">
        <v>2181290</v>
      </c>
      <c r="I4107" s="12" t="s">
        <v>1924</v>
      </c>
      <c r="J4107" s="12" t="s">
        <v>13998</v>
      </c>
      <c r="K4107" s="12" t="s">
        <v>19434</v>
      </c>
      <c r="L4107" s="12" t="s">
        <v>18302</v>
      </c>
      <c r="M4107" s="12" t="s">
        <v>19435</v>
      </c>
      <c r="N4107" s="12">
        <v>356181</v>
      </c>
      <c r="O4107" s="12">
        <v>852</v>
      </c>
      <c r="P4107" s="12">
        <v>0</v>
      </c>
      <c r="Q4107" s="12" t="s">
        <v>19436</v>
      </c>
      <c r="R4107" s="15" t="s">
        <v>19437</v>
      </c>
      <c r="S4107" s="12">
        <v>809</v>
      </c>
      <c r="T4107" s="12" t="s">
        <v>12701</v>
      </c>
      <c r="U4107" s="12" t="s">
        <v>5695</v>
      </c>
      <c r="V4107" s="12" t="s">
        <v>586</v>
      </c>
      <c r="W4107" s="12">
        <v>3000000</v>
      </c>
      <c r="X4107" s="12">
        <v>2003</v>
      </c>
      <c r="Y4107" s="12">
        <v>78</v>
      </c>
      <c r="Z4107" s="12">
        <v>8.4</v>
      </c>
      <c r="AA4107" s="12">
        <v>2.35</v>
      </c>
      <c r="AB4107" s="12">
        <v>43000</v>
      </c>
      <c r="AC4107" s="12"/>
      <c r="AD4107" s="12" t="str">
        <f>IFERROR(__xludf.DUMMYFUNCTION("""COMPUTED_VALUE"""),"Eric Christmas")</f>
        <v>Eric Christmas</v>
      </c>
      <c r="AE4107" s="12"/>
    </row>
    <row r="4108" customHeight="1" spans="1:31">
      <c r="A4108" s="11" t="s">
        <v>30</v>
      </c>
      <c r="B4108" s="11" t="s">
        <v>19438</v>
      </c>
      <c r="C4108" s="11">
        <v>19</v>
      </c>
      <c r="D4108" s="11">
        <v>110</v>
      </c>
      <c r="E4108" s="11">
        <v>13</v>
      </c>
      <c r="F4108" s="11">
        <v>221</v>
      </c>
      <c r="G4108" s="11">
        <v>439</v>
      </c>
      <c r="H4108" s="11">
        <v>2848578</v>
      </c>
      <c r="I4108" s="11" t="s">
        <v>7144</v>
      </c>
      <c r="J4108" s="11" t="s">
        <v>19439</v>
      </c>
      <c r="K4108" s="11" t="s">
        <v>19440</v>
      </c>
      <c r="L4108" s="11" t="s">
        <v>19441</v>
      </c>
      <c r="M4108" s="11" t="s">
        <v>19442</v>
      </c>
      <c r="N4108" s="11">
        <v>3942</v>
      </c>
      <c r="O4108" s="11">
        <v>1567</v>
      </c>
      <c r="P4108" s="11">
        <v>0</v>
      </c>
      <c r="Q4108" s="11" t="s">
        <v>19443</v>
      </c>
      <c r="R4108" s="14" t="s">
        <v>19444</v>
      </c>
      <c r="S4108" s="11">
        <v>65</v>
      </c>
      <c r="T4108" s="11" t="s">
        <v>39</v>
      </c>
      <c r="U4108" s="11" t="s">
        <v>40</v>
      </c>
      <c r="V4108" s="11" t="s">
        <v>96</v>
      </c>
      <c r="W4108" s="11">
        <v>3500000</v>
      </c>
      <c r="X4108" s="11">
        <v>2010</v>
      </c>
      <c r="Y4108" s="11">
        <v>399</v>
      </c>
      <c r="Z4108" s="11">
        <v>6.3</v>
      </c>
      <c r="AA4108" s="11">
        <v>1.78</v>
      </c>
      <c r="AB4108" s="11">
        <v>0</v>
      </c>
      <c r="AC4108" s="11"/>
      <c r="AD4108" s="11" t="str">
        <f>IFERROR(__xludf.DUMMYFUNCTION("""COMPUTED_VALUE"""),"Merab Ninidze")</f>
        <v>Merab Ninidze</v>
      </c>
      <c r="AE4108" s="11"/>
    </row>
    <row r="4109" customHeight="1" spans="1:31">
      <c r="A4109" s="12" t="s">
        <v>30</v>
      </c>
      <c r="B4109" s="12" t="s">
        <v>19445</v>
      </c>
      <c r="C4109" s="12">
        <v>272</v>
      </c>
      <c r="D4109" s="12">
        <v>86</v>
      </c>
      <c r="E4109" s="12">
        <v>59</v>
      </c>
      <c r="F4109" s="12">
        <v>104</v>
      </c>
      <c r="G4109" s="12">
        <v>694</v>
      </c>
      <c r="H4109" s="12">
        <v>703002</v>
      </c>
      <c r="I4109" s="12" t="s">
        <v>1733</v>
      </c>
      <c r="J4109" s="12" t="s">
        <v>5425</v>
      </c>
      <c r="K4109" s="12" t="s">
        <v>19446</v>
      </c>
      <c r="L4109" s="12" t="s">
        <v>19447</v>
      </c>
      <c r="M4109" s="12" t="s">
        <v>19448</v>
      </c>
      <c r="N4109" s="12">
        <v>37495</v>
      </c>
      <c r="O4109" s="12">
        <v>1249</v>
      </c>
      <c r="P4109" s="12">
        <v>4</v>
      </c>
      <c r="Q4109" s="12" t="s">
        <v>19449</v>
      </c>
      <c r="R4109" s="15" t="s">
        <v>19450</v>
      </c>
      <c r="S4109" s="12">
        <v>230</v>
      </c>
      <c r="T4109" s="12" t="s">
        <v>39</v>
      </c>
      <c r="U4109" s="12" t="s">
        <v>269</v>
      </c>
      <c r="V4109" s="12" t="s">
        <v>4831</v>
      </c>
      <c r="W4109" s="12">
        <v>3000000</v>
      </c>
      <c r="X4109" s="12">
        <v>2011</v>
      </c>
      <c r="Y4109" s="12">
        <v>324</v>
      </c>
      <c r="Z4109" s="12">
        <v>6.1</v>
      </c>
      <c r="AA4109" s="12">
        <v>2.35</v>
      </c>
      <c r="AB4109" s="12">
        <v>37000</v>
      </c>
      <c r="AC4109" s="12"/>
      <c r="AD4109" s="12" t="str">
        <f>IFERROR(__xludf.DUMMYFUNCTION("""COMPUTED_VALUE"""),"Juliane Köhler")</f>
        <v>Juliane Köhler</v>
      </c>
      <c r="AE4109" s="12"/>
    </row>
    <row r="4110" customHeight="1" spans="1:31">
      <c r="A4110" s="11" t="s">
        <v>30</v>
      </c>
      <c r="B4110" s="11" t="s">
        <v>19451</v>
      </c>
      <c r="C4110" s="11">
        <v>5</v>
      </c>
      <c r="D4110" s="11">
        <v>101</v>
      </c>
      <c r="E4110" s="11">
        <v>0</v>
      </c>
      <c r="F4110" s="11">
        <v>165</v>
      </c>
      <c r="G4110" s="11">
        <v>574</v>
      </c>
      <c r="H4110" s="11">
        <v>3105269</v>
      </c>
      <c r="I4110" s="11" t="s">
        <v>2137</v>
      </c>
      <c r="J4110" s="11" t="s">
        <v>3236</v>
      </c>
      <c r="K4110" s="11" t="s">
        <v>7908</v>
      </c>
      <c r="L4110" s="11" t="s">
        <v>19452</v>
      </c>
      <c r="M4110" s="11" t="s">
        <v>19453</v>
      </c>
      <c r="N4110" s="11">
        <v>368</v>
      </c>
      <c r="O4110" s="11">
        <v>1335</v>
      </c>
      <c r="P4110" s="11">
        <v>2</v>
      </c>
      <c r="Q4110" s="13"/>
      <c r="R4110" s="14" t="s">
        <v>19454</v>
      </c>
      <c r="S4110" s="11">
        <v>8</v>
      </c>
      <c r="T4110" s="11" t="s">
        <v>39</v>
      </c>
      <c r="U4110" s="11" t="s">
        <v>2914</v>
      </c>
      <c r="V4110" s="11" t="s">
        <v>586</v>
      </c>
      <c r="W4110" s="11">
        <v>3000000</v>
      </c>
      <c r="X4110" s="11">
        <v>2016</v>
      </c>
      <c r="Y4110" s="11">
        <v>327</v>
      </c>
      <c r="Z4110" s="11">
        <v>5</v>
      </c>
      <c r="AA4110" s="13"/>
      <c r="AB4110" s="11">
        <v>174</v>
      </c>
      <c r="AC4110" s="11"/>
      <c r="AD4110" s="11" t="str">
        <f>IFERROR(__xludf.DUMMYFUNCTION("""COMPUTED_VALUE"""),"Matthias Habich")</f>
        <v>Matthias Habich</v>
      </c>
      <c r="AE4110" s="11"/>
    </row>
    <row r="4111" customHeight="1" spans="1:31">
      <c r="A4111" s="12" t="s">
        <v>30</v>
      </c>
      <c r="B4111" s="12" t="s">
        <v>19455</v>
      </c>
      <c r="C4111" s="12">
        <v>65</v>
      </c>
      <c r="D4111" s="12">
        <v>102</v>
      </c>
      <c r="E4111" s="12">
        <v>9</v>
      </c>
      <c r="F4111" s="12">
        <v>221</v>
      </c>
      <c r="G4111" s="12">
        <v>904</v>
      </c>
      <c r="H4111" s="16"/>
      <c r="I4111" s="12" t="s">
        <v>5316</v>
      </c>
      <c r="J4111" s="12" t="s">
        <v>3009</v>
      </c>
      <c r="K4111" s="12" t="s">
        <v>10252</v>
      </c>
      <c r="L4111" s="12" t="s">
        <v>15241</v>
      </c>
      <c r="M4111" s="12" t="s">
        <v>19456</v>
      </c>
      <c r="N4111" s="12">
        <v>22246</v>
      </c>
      <c r="O4111" s="12">
        <v>1663</v>
      </c>
      <c r="P4111" s="12">
        <v>1</v>
      </c>
      <c r="Q4111" s="12" t="s">
        <v>19457</v>
      </c>
      <c r="R4111" s="15" t="s">
        <v>19458</v>
      </c>
      <c r="S4111" s="12">
        <v>196</v>
      </c>
      <c r="T4111" s="12" t="s">
        <v>39</v>
      </c>
      <c r="U4111" s="12" t="s">
        <v>40</v>
      </c>
      <c r="V4111" s="12" t="s">
        <v>586</v>
      </c>
      <c r="W4111" s="12">
        <v>3000000</v>
      </c>
      <c r="X4111" s="12">
        <v>1996</v>
      </c>
      <c r="Y4111" s="12">
        <v>281</v>
      </c>
      <c r="Z4111" s="12">
        <v>6.9</v>
      </c>
      <c r="AA4111" s="12">
        <v>1.85</v>
      </c>
      <c r="AB4111" s="12">
        <v>0</v>
      </c>
      <c r="AC4111" s="12"/>
      <c r="AD4111" s="12" t="str">
        <f>IFERROR(__xludf.DUMMYFUNCTION("""COMPUTED_VALUE"""),"Emily Podleski")</f>
        <v>Emily Podleski</v>
      </c>
      <c r="AE4111" s="12"/>
    </row>
    <row r="4112" customHeight="1" spans="1:31">
      <c r="A4112" s="11" t="s">
        <v>30</v>
      </c>
      <c r="B4112" s="11" t="s">
        <v>19459</v>
      </c>
      <c r="C4112" s="11">
        <v>5</v>
      </c>
      <c r="D4112" s="11">
        <v>87</v>
      </c>
      <c r="E4112" s="11">
        <v>84</v>
      </c>
      <c r="F4112" s="11">
        <v>331</v>
      </c>
      <c r="G4112" s="11">
        <v>702</v>
      </c>
      <c r="H4112" s="11">
        <v>252726</v>
      </c>
      <c r="I4112" s="11" t="s">
        <v>19460</v>
      </c>
      <c r="J4112" s="11" t="s">
        <v>9903</v>
      </c>
      <c r="K4112" s="11" t="s">
        <v>13027</v>
      </c>
      <c r="L4112" s="11" t="s">
        <v>19461</v>
      </c>
      <c r="M4112" s="11" t="s">
        <v>19462</v>
      </c>
      <c r="N4112" s="11">
        <v>1289</v>
      </c>
      <c r="O4112" s="11">
        <v>2715</v>
      </c>
      <c r="P4112" s="11">
        <v>0</v>
      </c>
      <c r="Q4112" s="11" t="s">
        <v>19463</v>
      </c>
      <c r="R4112" s="14" t="s">
        <v>19464</v>
      </c>
      <c r="S4112" s="11">
        <v>18</v>
      </c>
      <c r="T4112" s="13"/>
      <c r="U4112" s="11" t="s">
        <v>40</v>
      </c>
      <c r="V4112" s="11" t="s">
        <v>96</v>
      </c>
      <c r="W4112" s="11">
        <v>3000000</v>
      </c>
      <c r="X4112" s="11">
        <v>2006</v>
      </c>
      <c r="Y4112" s="11">
        <v>366</v>
      </c>
      <c r="Z4112" s="11">
        <v>7.2</v>
      </c>
      <c r="AA4112" s="13"/>
      <c r="AB4112" s="11">
        <v>76</v>
      </c>
      <c r="AC4112" s="11"/>
      <c r="AD4112" s="11" t="str">
        <f>IFERROR(__xludf.DUMMYFUNCTION("""COMPUTED_VALUE"""),"Sara-Marie Maltha")</f>
        <v>Sara-Marie Maltha</v>
      </c>
      <c r="AE4112" s="11"/>
    </row>
    <row r="4113" customHeight="1" spans="1:31">
      <c r="A4113" s="12" t="s">
        <v>30</v>
      </c>
      <c r="B4113" s="12" t="s">
        <v>19465</v>
      </c>
      <c r="C4113" s="12">
        <v>248</v>
      </c>
      <c r="D4113" s="12">
        <v>123</v>
      </c>
      <c r="E4113" s="12">
        <v>121</v>
      </c>
      <c r="F4113" s="12">
        <v>168</v>
      </c>
      <c r="G4113" s="12">
        <v>13000</v>
      </c>
      <c r="H4113" s="12">
        <v>373060</v>
      </c>
      <c r="I4113" s="12" t="s">
        <v>3410</v>
      </c>
      <c r="J4113" s="12" t="s">
        <v>459</v>
      </c>
      <c r="K4113" s="12" t="s">
        <v>7073</v>
      </c>
      <c r="L4113" s="12" t="s">
        <v>19466</v>
      </c>
      <c r="M4113" s="12" t="s">
        <v>19467</v>
      </c>
      <c r="N4113" s="12">
        <v>47385</v>
      </c>
      <c r="O4113" s="12">
        <v>13636</v>
      </c>
      <c r="P4113" s="12">
        <v>0</v>
      </c>
      <c r="Q4113" s="12" t="s">
        <v>19468</v>
      </c>
      <c r="R4113" s="15" t="s">
        <v>19469</v>
      </c>
      <c r="S4113" s="12">
        <v>112</v>
      </c>
      <c r="T4113" s="12" t="s">
        <v>39</v>
      </c>
      <c r="U4113" s="12" t="s">
        <v>58</v>
      </c>
      <c r="V4113" s="12" t="s">
        <v>4831</v>
      </c>
      <c r="W4113" s="16"/>
      <c r="X4113" s="12">
        <v>2009</v>
      </c>
      <c r="Y4113" s="12">
        <v>260</v>
      </c>
      <c r="Z4113" s="12">
        <v>7.3</v>
      </c>
      <c r="AA4113" s="12">
        <v>1.33</v>
      </c>
      <c r="AB4113" s="12">
        <v>0</v>
      </c>
      <c r="AC4113" s="12"/>
      <c r="AD4113" s="12" t="str">
        <f>IFERROR(__xludf.DUMMYFUNCTION("""COMPUTED_VALUE"""),"Stellan Skarsgård")</f>
        <v>Stellan Skarsgård</v>
      </c>
      <c r="AE4113" s="12"/>
    </row>
    <row r="4114" customHeight="1" spans="1:31">
      <c r="A4114" s="11" t="s">
        <v>30</v>
      </c>
      <c r="B4114" s="11" t="s">
        <v>19470</v>
      </c>
      <c r="C4114" s="11">
        <v>152</v>
      </c>
      <c r="D4114" s="11">
        <v>99</v>
      </c>
      <c r="E4114" s="11">
        <v>89</v>
      </c>
      <c r="F4114" s="11">
        <v>322</v>
      </c>
      <c r="G4114" s="11">
        <v>962</v>
      </c>
      <c r="H4114" s="11">
        <v>1007535</v>
      </c>
      <c r="I4114" s="11" t="s">
        <v>1415</v>
      </c>
      <c r="J4114" s="11" t="s">
        <v>9480</v>
      </c>
      <c r="K4114" s="11" t="s">
        <v>2051</v>
      </c>
      <c r="L4114" s="11" t="s">
        <v>974</v>
      </c>
      <c r="M4114" s="11" t="s">
        <v>19471</v>
      </c>
      <c r="N4114" s="11">
        <v>7625</v>
      </c>
      <c r="O4114" s="11">
        <v>2452</v>
      </c>
      <c r="P4114" s="11">
        <v>5</v>
      </c>
      <c r="Q4114" s="11" t="s">
        <v>19472</v>
      </c>
      <c r="R4114" s="14" t="s">
        <v>19473</v>
      </c>
      <c r="S4114" s="11">
        <v>54</v>
      </c>
      <c r="T4114" s="11" t="s">
        <v>39</v>
      </c>
      <c r="U4114" s="11" t="s">
        <v>40</v>
      </c>
      <c r="V4114" s="11" t="s">
        <v>41</v>
      </c>
      <c r="W4114" s="13"/>
      <c r="X4114" s="11">
        <v>2011</v>
      </c>
      <c r="Y4114" s="11">
        <v>476</v>
      </c>
      <c r="Z4114" s="11">
        <v>5.7</v>
      </c>
      <c r="AA4114" s="11">
        <v>1.85</v>
      </c>
      <c r="AB4114" s="11">
        <v>0</v>
      </c>
      <c r="AC4114" s="11"/>
      <c r="AD4114" s="11" t="str">
        <f>IFERROR(__xludf.DUMMYFUNCTION("""COMPUTED_VALUE"""),"Florian Lukas")</f>
        <v>Florian Lukas</v>
      </c>
      <c r="AE4114" s="11"/>
    </row>
    <row r="4115" customHeight="1" spans="1:31">
      <c r="A4115" s="12" t="s">
        <v>30</v>
      </c>
      <c r="B4115" s="16"/>
      <c r="C4115" s="12">
        <v>10</v>
      </c>
      <c r="D4115" s="12">
        <v>173</v>
      </c>
      <c r="E4115" s="16"/>
      <c r="F4115" s="12">
        <v>476</v>
      </c>
      <c r="G4115" s="12">
        <v>723</v>
      </c>
      <c r="H4115" s="16"/>
      <c r="I4115" s="12" t="s">
        <v>4333</v>
      </c>
      <c r="J4115" s="12" t="s">
        <v>2062</v>
      </c>
      <c r="K4115" s="12" t="s">
        <v>4162</v>
      </c>
      <c r="L4115" s="12" t="s">
        <v>2051</v>
      </c>
      <c r="M4115" s="12" t="s">
        <v>19474</v>
      </c>
      <c r="N4115" s="12">
        <v>2011</v>
      </c>
      <c r="O4115" s="12">
        <v>3149</v>
      </c>
      <c r="P4115" s="12">
        <v>3</v>
      </c>
      <c r="Q4115" s="12" t="s">
        <v>19475</v>
      </c>
      <c r="R4115" s="15" t="s">
        <v>19476</v>
      </c>
      <c r="S4115" s="12">
        <v>33</v>
      </c>
      <c r="T4115" s="12" t="s">
        <v>39</v>
      </c>
      <c r="U4115" s="12" t="s">
        <v>40</v>
      </c>
      <c r="V4115" s="16"/>
      <c r="W4115" s="16"/>
      <c r="X4115" s="16"/>
      <c r="Y4115" s="12">
        <v>539</v>
      </c>
      <c r="Z4115" s="12">
        <v>5</v>
      </c>
      <c r="AA4115" s="12">
        <v>1.78</v>
      </c>
      <c r="AB4115" s="12">
        <v>518</v>
      </c>
      <c r="AC4115" s="12"/>
      <c r="AD4115" s="12" t="str">
        <f>IFERROR(__xludf.DUMMYFUNCTION("""COMPUTED_VALUE"""),"Chulpan Khamatova")</f>
        <v>Chulpan Khamatova</v>
      </c>
      <c r="AE4115" s="12"/>
    </row>
    <row r="4116" customHeight="1" spans="1:31">
      <c r="A4116" s="11" t="s">
        <v>30</v>
      </c>
      <c r="B4116" s="11" t="s">
        <v>19477</v>
      </c>
      <c r="C4116" s="11">
        <v>156</v>
      </c>
      <c r="D4116" s="11">
        <v>87</v>
      </c>
      <c r="E4116" s="11">
        <v>21</v>
      </c>
      <c r="F4116" s="11">
        <v>416</v>
      </c>
      <c r="G4116" s="11">
        <v>4000</v>
      </c>
      <c r="H4116" s="11">
        <v>418268</v>
      </c>
      <c r="I4116" s="11" t="s">
        <v>1681</v>
      </c>
      <c r="J4116" s="11" t="s">
        <v>84</v>
      </c>
      <c r="K4116" s="11" t="s">
        <v>1545</v>
      </c>
      <c r="L4116" s="11" t="s">
        <v>19478</v>
      </c>
      <c r="M4116" s="11" t="s">
        <v>19479</v>
      </c>
      <c r="N4116" s="11">
        <v>37156</v>
      </c>
      <c r="O4116" s="11">
        <v>8353</v>
      </c>
      <c r="P4116" s="11">
        <v>3</v>
      </c>
      <c r="Q4116" s="11" t="s">
        <v>19480</v>
      </c>
      <c r="R4116" s="14" t="s">
        <v>19481</v>
      </c>
      <c r="S4116" s="11">
        <v>129</v>
      </c>
      <c r="T4116" s="11" t="s">
        <v>39</v>
      </c>
      <c r="U4116" s="11" t="s">
        <v>40</v>
      </c>
      <c r="V4116" s="11" t="s">
        <v>586</v>
      </c>
      <c r="W4116" s="11">
        <v>3000000</v>
      </c>
      <c r="X4116" s="11">
        <v>2012</v>
      </c>
      <c r="Y4116" s="11">
        <v>3000</v>
      </c>
      <c r="Z4116" s="11">
        <v>5.3</v>
      </c>
      <c r="AA4116" s="11">
        <v>2.35</v>
      </c>
      <c r="AB4116" s="11">
        <v>0</v>
      </c>
      <c r="AC4116" s="11"/>
      <c r="AD4116" s="11" t="str">
        <f>IFERROR(__xludf.DUMMYFUNCTION("""COMPUTED_VALUE"""),"Mark Bazeley")</f>
        <v>Mark Bazeley</v>
      </c>
      <c r="AE4116" s="11"/>
    </row>
    <row r="4117" customHeight="1" spans="1:31">
      <c r="A4117" s="12" t="s">
        <v>30</v>
      </c>
      <c r="B4117" s="16"/>
      <c r="C4117" s="12">
        <v>7</v>
      </c>
      <c r="D4117" s="12">
        <v>44</v>
      </c>
      <c r="E4117" s="16"/>
      <c r="F4117" s="12">
        <v>246</v>
      </c>
      <c r="G4117" s="12">
        <v>786</v>
      </c>
      <c r="H4117" s="16"/>
      <c r="I4117" s="12" t="s">
        <v>19482</v>
      </c>
      <c r="J4117" s="12" t="s">
        <v>12925</v>
      </c>
      <c r="K4117" s="12" t="s">
        <v>19483</v>
      </c>
      <c r="L4117" s="12" t="s">
        <v>9830</v>
      </c>
      <c r="M4117" s="12" t="s">
        <v>19484</v>
      </c>
      <c r="N4117" s="12">
        <v>2948</v>
      </c>
      <c r="O4117" s="12">
        <v>1551</v>
      </c>
      <c r="P4117" s="12">
        <v>0</v>
      </c>
      <c r="Q4117" s="12" t="s">
        <v>19485</v>
      </c>
      <c r="R4117" s="15" t="s">
        <v>19486</v>
      </c>
      <c r="S4117" s="12">
        <v>28</v>
      </c>
      <c r="T4117" s="12" t="s">
        <v>39</v>
      </c>
      <c r="U4117" s="12" t="s">
        <v>40</v>
      </c>
      <c r="V4117" s="16"/>
      <c r="W4117" s="16"/>
      <c r="X4117" s="16"/>
      <c r="Y4117" s="12">
        <v>341</v>
      </c>
      <c r="Z4117" s="12">
        <v>7.9</v>
      </c>
      <c r="AA4117" s="12">
        <v>16</v>
      </c>
      <c r="AB4117" s="12">
        <v>3000</v>
      </c>
      <c r="AC4117" s="12"/>
      <c r="AD4117" s="12" t="str">
        <f>IFERROR(__xludf.DUMMYFUNCTION("""COMPUTED_VALUE"""),"Maurice Roëves")</f>
        <v>Maurice Roëves</v>
      </c>
      <c r="AE4117" s="12"/>
    </row>
    <row r="4118" customHeight="1" spans="1:31">
      <c r="A4118" s="11" t="s">
        <v>30</v>
      </c>
      <c r="B4118" s="11" t="s">
        <v>19487</v>
      </c>
      <c r="C4118" s="11">
        <v>1</v>
      </c>
      <c r="D4118" s="11">
        <v>120</v>
      </c>
      <c r="E4118" s="11">
        <v>40</v>
      </c>
      <c r="F4118" s="11">
        <v>249</v>
      </c>
      <c r="G4118" s="11">
        <v>912</v>
      </c>
      <c r="H4118" s="13"/>
      <c r="I4118" s="11" t="s">
        <v>13339</v>
      </c>
      <c r="J4118" s="11" t="s">
        <v>2666</v>
      </c>
      <c r="K4118" s="11" t="s">
        <v>11493</v>
      </c>
      <c r="L4118" s="11" t="s">
        <v>19488</v>
      </c>
      <c r="M4118" s="11" t="s">
        <v>19489</v>
      </c>
      <c r="N4118" s="11">
        <v>758</v>
      </c>
      <c r="O4118" s="11">
        <v>2330</v>
      </c>
      <c r="P4118" s="11">
        <v>2</v>
      </c>
      <c r="Q4118" s="11" t="s">
        <v>19490</v>
      </c>
      <c r="R4118" s="14" t="s">
        <v>19491</v>
      </c>
      <c r="S4118" s="11">
        <v>27</v>
      </c>
      <c r="T4118" s="11" t="s">
        <v>39</v>
      </c>
      <c r="U4118" s="11" t="s">
        <v>40</v>
      </c>
      <c r="V4118" s="11" t="s">
        <v>41</v>
      </c>
      <c r="W4118" s="13"/>
      <c r="X4118" s="11">
        <v>2004</v>
      </c>
      <c r="Y4118" s="11">
        <v>750</v>
      </c>
      <c r="Z4118" s="11">
        <v>5</v>
      </c>
      <c r="AA4118" s="13"/>
      <c r="AB4118" s="11">
        <v>47</v>
      </c>
      <c r="AC4118" s="11"/>
      <c r="AD4118" s="11" t="str">
        <f>IFERROR(__xludf.DUMMYFUNCTION("""COMPUTED_VALUE"""),"Linnea Quigley")</f>
        <v>Linnea Quigley</v>
      </c>
      <c r="AE4118" s="11"/>
    </row>
    <row r="4119" customHeight="1" spans="1:31">
      <c r="A4119" s="12" t="s">
        <v>30</v>
      </c>
      <c r="B4119" s="12" t="s">
        <v>1504</v>
      </c>
      <c r="C4119" s="12">
        <v>82</v>
      </c>
      <c r="D4119" s="12">
        <v>93</v>
      </c>
      <c r="E4119" s="12">
        <v>78</v>
      </c>
      <c r="F4119" s="12">
        <v>197</v>
      </c>
      <c r="G4119" s="12">
        <v>536</v>
      </c>
      <c r="H4119" s="12">
        <v>200803</v>
      </c>
      <c r="I4119" s="12" t="s">
        <v>1672</v>
      </c>
      <c r="J4119" s="12" t="s">
        <v>15002</v>
      </c>
      <c r="K4119" s="12" t="s">
        <v>5430</v>
      </c>
      <c r="L4119" s="12" t="s">
        <v>19492</v>
      </c>
      <c r="M4119" s="12" t="s">
        <v>19493</v>
      </c>
      <c r="N4119" s="12">
        <v>7988</v>
      </c>
      <c r="O4119" s="12">
        <v>1467</v>
      </c>
      <c r="P4119" s="12">
        <v>3</v>
      </c>
      <c r="Q4119" s="12" t="s">
        <v>19494</v>
      </c>
      <c r="R4119" s="15" t="s">
        <v>19495</v>
      </c>
      <c r="S4119" s="12">
        <v>71</v>
      </c>
      <c r="T4119" s="12" t="s">
        <v>39</v>
      </c>
      <c r="U4119" s="12" t="s">
        <v>40</v>
      </c>
      <c r="V4119" s="12" t="s">
        <v>586</v>
      </c>
      <c r="W4119" s="12">
        <v>3000000</v>
      </c>
      <c r="X4119" s="12">
        <v>2012</v>
      </c>
      <c r="Y4119" s="12">
        <v>317</v>
      </c>
      <c r="Z4119" s="12">
        <v>5.3</v>
      </c>
      <c r="AA4119" s="12">
        <v>1.78</v>
      </c>
      <c r="AB4119" s="12">
        <v>0</v>
      </c>
      <c r="AC4119" s="12"/>
      <c r="AD4119" s="12" t="str">
        <f>IFERROR(__xludf.DUMMYFUNCTION("""COMPUTED_VALUE"""),"Clu Gulager")</f>
        <v>Clu Gulager</v>
      </c>
      <c r="AE4119" s="12"/>
    </row>
    <row r="4120" customHeight="1" spans="1:31">
      <c r="A4120" s="11" t="s">
        <v>30</v>
      </c>
      <c r="B4120" s="11" t="s">
        <v>2038</v>
      </c>
      <c r="C4120" s="11">
        <v>175</v>
      </c>
      <c r="D4120" s="11">
        <v>111</v>
      </c>
      <c r="E4120" s="11">
        <v>81</v>
      </c>
      <c r="F4120" s="11">
        <v>81</v>
      </c>
      <c r="G4120" s="11">
        <v>3000</v>
      </c>
      <c r="H4120" s="11">
        <v>33631221</v>
      </c>
      <c r="I4120" s="11" t="s">
        <v>2126</v>
      </c>
      <c r="J4120" s="11" t="s">
        <v>8012</v>
      </c>
      <c r="K4120" s="11" t="s">
        <v>9706</v>
      </c>
      <c r="L4120" s="11" t="s">
        <v>9707</v>
      </c>
      <c r="M4120" s="11" t="s">
        <v>9708</v>
      </c>
      <c r="N4120" s="11">
        <v>48562</v>
      </c>
      <c r="O4120" s="11">
        <v>3784</v>
      </c>
      <c r="P4120" s="11">
        <v>1</v>
      </c>
      <c r="Q4120" s="11" t="s">
        <v>9709</v>
      </c>
      <c r="R4120" s="14" t="s">
        <v>9710</v>
      </c>
      <c r="S4120" s="11">
        <v>145</v>
      </c>
      <c r="T4120" s="11" t="s">
        <v>39</v>
      </c>
      <c r="U4120" s="11" t="s">
        <v>40</v>
      </c>
      <c r="V4120" s="11" t="s">
        <v>586</v>
      </c>
      <c r="W4120" s="11">
        <v>25000000</v>
      </c>
      <c r="X4120" s="11">
        <v>2014</v>
      </c>
      <c r="Y4120" s="11">
        <v>571</v>
      </c>
      <c r="Z4120" s="11">
        <v>6</v>
      </c>
      <c r="AA4120" s="11">
        <v>2.35</v>
      </c>
      <c r="AB4120" s="11">
        <v>0</v>
      </c>
      <c r="AC4120" s="11"/>
      <c r="AD4120" s="11" t="str">
        <f>IFERROR(__xludf.DUMMYFUNCTION("""COMPUTED_VALUE"""),"Beverly Randolph")</f>
        <v>Beverly Randolph</v>
      </c>
      <c r="AE4120" s="11"/>
    </row>
    <row r="4121" customHeight="1" spans="1:31">
      <c r="A4121" s="12" t="s">
        <v>30</v>
      </c>
      <c r="B4121" s="16"/>
      <c r="C4121" s="12">
        <v>4</v>
      </c>
      <c r="D4121" s="12">
        <v>60</v>
      </c>
      <c r="E4121" s="16"/>
      <c r="F4121" s="12">
        <v>23</v>
      </c>
      <c r="G4121" s="12">
        <v>40</v>
      </c>
      <c r="H4121" s="16"/>
      <c r="I4121" s="12" t="s">
        <v>3410</v>
      </c>
      <c r="J4121" s="12" t="s">
        <v>19496</v>
      </c>
      <c r="K4121" s="12" t="s">
        <v>19497</v>
      </c>
      <c r="L4121" s="12" t="s">
        <v>19498</v>
      </c>
      <c r="M4121" s="12" t="s">
        <v>19499</v>
      </c>
      <c r="N4121" s="12">
        <v>437</v>
      </c>
      <c r="O4121" s="12">
        <v>158</v>
      </c>
      <c r="P4121" s="12">
        <v>0</v>
      </c>
      <c r="Q4121" s="12" t="s">
        <v>19500</v>
      </c>
      <c r="R4121" s="15" t="s">
        <v>19501</v>
      </c>
      <c r="S4121" s="12">
        <v>20</v>
      </c>
      <c r="T4121" s="12" t="s">
        <v>39</v>
      </c>
      <c r="U4121" s="12" t="s">
        <v>58</v>
      </c>
      <c r="V4121" s="16"/>
      <c r="W4121" s="16"/>
      <c r="X4121" s="16"/>
      <c r="Y4121" s="12">
        <v>37</v>
      </c>
      <c r="Z4121" s="12">
        <v>7.6</v>
      </c>
      <c r="AA4121" s="12">
        <v>1.33</v>
      </c>
      <c r="AB4121" s="12">
        <v>450</v>
      </c>
      <c r="AC4121" s="12"/>
      <c r="AD4121" s="12" t="str">
        <f>IFERROR(__xludf.DUMMYFUNCTION("""COMPUTED_VALUE"""),"Maria Pia Calzone")</f>
        <v>Maria Pia Calzone</v>
      </c>
      <c r="AE4121" s="12"/>
    </row>
    <row r="4122" customHeight="1" spans="1:31">
      <c r="A4122" s="11" t="s">
        <v>30</v>
      </c>
      <c r="B4122" s="11" t="s">
        <v>14384</v>
      </c>
      <c r="C4122" s="11">
        <v>40</v>
      </c>
      <c r="D4122" s="11">
        <v>98</v>
      </c>
      <c r="E4122" s="11">
        <v>7</v>
      </c>
      <c r="F4122" s="11">
        <v>17</v>
      </c>
      <c r="G4122" s="11">
        <v>289</v>
      </c>
      <c r="H4122" s="11">
        <v>95016</v>
      </c>
      <c r="I4122" s="11" t="s">
        <v>4479</v>
      </c>
      <c r="J4122" s="11" t="s">
        <v>14362</v>
      </c>
      <c r="K4122" s="11" t="s">
        <v>19502</v>
      </c>
      <c r="L4122" s="11" t="s">
        <v>19503</v>
      </c>
      <c r="M4122" s="11" t="s">
        <v>19504</v>
      </c>
      <c r="N4122" s="11">
        <v>11074</v>
      </c>
      <c r="O4122" s="11">
        <v>362</v>
      </c>
      <c r="P4122" s="11">
        <v>0</v>
      </c>
      <c r="Q4122" s="11" t="s">
        <v>19505</v>
      </c>
      <c r="R4122" s="14" t="s">
        <v>19506</v>
      </c>
      <c r="S4122" s="11">
        <v>56</v>
      </c>
      <c r="T4122" s="11" t="s">
        <v>8732</v>
      </c>
      <c r="U4122" s="11" t="s">
        <v>768</v>
      </c>
      <c r="V4122" s="11" t="s">
        <v>586</v>
      </c>
      <c r="W4122" s="11">
        <v>2700000</v>
      </c>
      <c r="X4122" s="11">
        <v>2004</v>
      </c>
      <c r="Y4122" s="11">
        <v>38</v>
      </c>
      <c r="Z4122" s="11">
        <v>7.4</v>
      </c>
      <c r="AA4122" s="11">
        <v>1.85</v>
      </c>
      <c r="AB4122" s="11">
        <v>442</v>
      </c>
      <c r="AC4122" s="11"/>
      <c r="AD4122" s="11" t="str">
        <f>IFERROR(__xludf.DUMMYFUNCTION("""COMPUTED_VALUE"""),"Fortunato Cerlino")</f>
        <v>Fortunato Cerlino</v>
      </c>
      <c r="AE4122" s="11"/>
    </row>
    <row r="4123" customHeight="1" spans="1:31">
      <c r="A4123" s="12" t="s">
        <v>30</v>
      </c>
      <c r="B4123" s="12" t="s">
        <v>19507</v>
      </c>
      <c r="C4123" s="12">
        <v>8</v>
      </c>
      <c r="D4123" s="12">
        <v>100</v>
      </c>
      <c r="E4123" s="12">
        <v>27</v>
      </c>
      <c r="F4123" s="12">
        <v>847</v>
      </c>
      <c r="G4123" s="12">
        <v>1000</v>
      </c>
      <c r="H4123" s="12">
        <v>73678</v>
      </c>
      <c r="I4123" s="12" t="s">
        <v>1962</v>
      </c>
      <c r="J4123" s="12" t="s">
        <v>19508</v>
      </c>
      <c r="K4123" s="12" t="s">
        <v>5783</v>
      </c>
      <c r="L4123" s="12" t="s">
        <v>10215</v>
      </c>
      <c r="M4123" s="12" t="s">
        <v>19509</v>
      </c>
      <c r="N4123" s="12">
        <v>266</v>
      </c>
      <c r="O4123" s="12">
        <v>4374</v>
      </c>
      <c r="P4123" s="12">
        <v>1</v>
      </c>
      <c r="Q4123" s="16"/>
      <c r="R4123" s="15" t="s">
        <v>19510</v>
      </c>
      <c r="S4123" s="12">
        <v>8</v>
      </c>
      <c r="T4123" s="12" t="s">
        <v>39</v>
      </c>
      <c r="U4123" s="12" t="s">
        <v>40</v>
      </c>
      <c r="V4123" s="12" t="s">
        <v>586</v>
      </c>
      <c r="W4123" s="12">
        <v>3000000</v>
      </c>
      <c r="X4123" s="12">
        <v>2011</v>
      </c>
      <c r="Y4123" s="12">
        <v>902</v>
      </c>
      <c r="Z4123" s="12">
        <v>5.9</v>
      </c>
      <c r="AA4123" s="16"/>
      <c r="AB4123" s="12">
        <v>348</v>
      </c>
      <c r="AC4123" s="12"/>
      <c r="AD4123" s="12" t="str">
        <f>IFERROR(__xludf.DUMMYFUNCTION("""COMPUTED_VALUE"""),"Marco D'Amore")</f>
        <v>Marco D'Amore</v>
      </c>
      <c r="AE4123" s="12"/>
    </row>
    <row r="4124" customHeight="1" spans="1:31">
      <c r="A4124" s="11" t="s">
        <v>30</v>
      </c>
      <c r="B4124" s="11" t="s">
        <v>19511</v>
      </c>
      <c r="C4124" s="11">
        <v>63</v>
      </c>
      <c r="D4124" s="11">
        <v>88</v>
      </c>
      <c r="E4124" s="11">
        <v>26</v>
      </c>
      <c r="F4124" s="11">
        <v>236</v>
      </c>
      <c r="G4124" s="11">
        <v>487</v>
      </c>
      <c r="H4124" s="11">
        <v>143000</v>
      </c>
      <c r="I4124" s="11" t="s">
        <v>5544</v>
      </c>
      <c r="J4124" s="11" t="s">
        <v>19512</v>
      </c>
      <c r="K4124" s="11" t="s">
        <v>12186</v>
      </c>
      <c r="L4124" s="11" t="s">
        <v>19513</v>
      </c>
      <c r="M4124" s="11" t="s">
        <v>19514</v>
      </c>
      <c r="N4124" s="11">
        <v>4122</v>
      </c>
      <c r="O4124" s="11">
        <v>1495</v>
      </c>
      <c r="P4124" s="11">
        <v>0</v>
      </c>
      <c r="Q4124" s="11" t="s">
        <v>19515</v>
      </c>
      <c r="R4124" s="14" t="s">
        <v>19516</v>
      </c>
      <c r="S4124" s="11">
        <v>48</v>
      </c>
      <c r="T4124" s="11" t="s">
        <v>39</v>
      </c>
      <c r="U4124" s="11" t="s">
        <v>40</v>
      </c>
      <c r="V4124" s="11" t="s">
        <v>586</v>
      </c>
      <c r="W4124" s="11">
        <v>5000000</v>
      </c>
      <c r="X4124" s="11">
        <v>2009</v>
      </c>
      <c r="Y4124" s="11">
        <v>298</v>
      </c>
      <c r="Z4124" s="11">
        <v>4.1</v>
      </c>
      <c r="AA4124" s="11">
        <v>2.35</v>
      </c>
      <c r="AB4124" s="11">
        <v>0</v>
      </c>
      <c r="AC4124" s="11"/>
      <c r="AD4124" s="11" t="str">
        <f>IFERROR(__xludf.DUMMYFUNCTION("""COMPUTED_VALUE"""),"Olivia Newton-John")</f>
        <v>Olivia Newton-John</v>
      </c>
      <c r="AE4124" s="11"/>
    </row>
    <row r="4125" customHeight="1" spans="1:31">
      <c r="A4125" s="12" t="s">
        <v>30</v>
      </c>
      <c r="B4125" s="12" t="s">
        <v>1772</v>
      </c>
      <c r="C4125" s="12">
        <v>20</v>
      </c>
      <c r="D4125" s="12">
        <v>97</v>
      </c>
      <c r="E4125" s="12">
        <v>700</v>
      </c>
      <c r="F4125" s="12">
        <v>56</v>
      </c>
      <c r="G4125" s="12">
        <v>599</v>
      </c>
      <c r="H4125" s="12">
        <v>39852</v>
      </c>
      <c r="I4125" s="12" t="s">
        <v>2528</v>
      </c>
      <c r="J4125" s="12" t="s">
        <v>5586</v>
      </c>
      <c r="K4125" s="12" t="s">
        <v>16314</v>
      </c>
      <c r="L4125" s="12" t="s">
        <v>19517</v>
      </c>
      <c r="M4125" s="12" t="s">
        <v>19518</v>
      </c>
      <c r="N4125" s="12">
        <v>1238</v>
      </c>
      <c r="O4125" s="12">
        <v>1030</v>
      </c>
      <c r="P4125" s="12">
        <v>1</v>
      </c>
      <c r="Q4125" s="12" t="s">
        <v>19519</v>
      </c>
      <c r="R4125" s="15" t="s">
        <v>19520</v>
      </c>
      <c r="S4125" s="12">
        <v>25</v>
      </c>
      <c r="T4125" s="12" t="s">
        <v>39</v>
      </c>
      <c r="U4125" s="12" t="s">
        <v>40</v>
      </c>
      <c r="V4125" s="12" t="s">
        <v>586</v>
      </c>
      <c r="W4125" s="12">
        <v>3000000</v>
      </c>
      <c r="X4125" s="12">
        <v>1999</v>
      </c>
      <c r="Y4125" s="12">
        <v>325</v>
      </c>
      <c r="Z4125" s="12">
        <v>6.7</v>
      </c>
      <c r="AA4125" s="12">
        <v>1.85</v>
      </c>
      <c r="AB4125" s="12">
        <v>117</v>
      </c>
      <c r="AC4125" s="12"/>
      <c r="AD4125" s="12" t="str">
        <f>IFERROR(__xludf.DUMMYFUNCTION("""COMPUTED_VALUE"""),"Osama bin Laden")</f>
        <v>Osama bin Laden</v>
      </c>
      <c r="AE4125" s="12"/>
    </row>
    <row r="4126" customHeight="1" spans="1:31">
      <c r="A4126" s="11" t="s">
        <v>30</v>
      </c>
      <c r="B4126" s="11" t="s">
        <v>12116</v>
      </c>
      <c r="C4126" s="11">
        <v>174</v>
      </c>
      <c r="D4126" s="11">
        <v>122</v>
      </c>
      <c r="E4126" s="11">
        <v>87</v>
      </c>
      <c r="F4126" s="11">
        <v>605</v>
      </c>
      <c r="G4126" s="11">
        <v>2000</v>
      </c>
      <c r="H4126" s="11">
        <v>22000</v>
      </c>
      <c r="I4126" s="11" t="s">
        <v>2684</v>
      </c>
      <c r="J4126" s="11" t="s">
        <v>3008</v>
      </c>
      <c r="K4126" s="11" t="s">
        <v>14539</v>
      </c>
      <c r="L4126" s="11" t="s">
        <v>7627</v>
      </c>
      <c r="M4126" s="11" t="s">
        <v>19521</v>
      </c>
      <c r="N4126" s="11">
        <v>30511</v>
      </c>
      <c r="O4126" s="11">
        <v>4920</v>
      </c>
      <c r="P4126" s="11">
        <v>4</v>
      </c>
      <c r="Q4126" s="11" t="s">
        <v>19522</v>
      </c>
      <c r="R4126" s="14" t="s">
        <v>19523</v>
      </c>
      <c r="S4126" s="11">
        <v>226</v>
      </c>
      <c r="T4126" s="11" t="s">
        <v>39</v>
      </c>
      <c r="U4126" s="11" t="s">
        <v>768</v>
      </c>
      <c r="V4126" s="11" t="s">
        <v>586</v>
      </c>
      <c r="W4126" s="11">
        <v>3000000</v>
      </c>
      <c r="X4126" s="11">
        <v>2011</v>
      </c>
      <c r="Y4126" s="11">
        <v>683</v>
      </c>
      <c r="Z4126" s="11">
        <v>5.8</v>
      </c>
      <c r="AA4126" s="11">
        <v>2.35</v>
      </c>
      <c r="AB4126" s="11">
        <v>0</v>
      </c>
      <c r="AC4126" s="11"/>
      <c r="AD4126" s="11" t="str">
        <f>IFERROR(__xludf.DUMMYFUNCTION("""COMPUTED_VALUE"""),"Stevie Wonder")</f>
        <v>Stevie Wonder</v>
      </c>
      <c r="AE4126" s="11"/>
    </row>
    <row r="4127" customHeight="1" spans="1:31">
      <c r="A4127" s="12" t="s">
        <v>30</v>
      </c>
      <c r="B4127" s="12" t="s">
        <v>19524</v>
      </c>
      <c r="C4127" s="12">
        <v>90</v>
      </c>
      <c r="D4127" s="12">
        <v>86</v>
      </c>
      <c r="E4127" s="12">
        <v>0</v>
      </c>
      <c r="F4127" s="12">
        <v>77</v>
      </c>
      <c r="G4127" s="12">
        <v>767</v>
      </c>
      <c r="H4127" s="12">
        <v>128937</v>
      </c>
      <c r="I4127" s="12" t="s">
        <v>19525</v>
      </c>
      <c r="J4127" s="12" t="s">
        <v>6446</v>
      </c>
      <c r="K4127" s="12" t="s">
        <v>10299</v>
      </c>
      <c r="L4127" s="12" t="s">
        <v>19526</v>
      </c>
      <c r="M4127" s="12" t="s">
        <v>19527</v>
      </c>
      <c r="N4127" s="12">
        <v>2437</v>
      </c>
      <c r="O4127" s="12">
        <v>975</v>
      </c>
      <c r="P4127" s="12">
        <v>0</v>
      </c>
      <c r="Q4127" s="12" t="s">
        <v>19528</v>
      </c>
      <c r="R4127" s="15" t="s">
        <v>19529</v>
      </c>
      <c r="S4127" s="12">
        <v>31</v>
      </c>
      <c r="T4127" s="12" t="s">
        <v>39</v>
      </c>
      <c r="U4127" s="12" t="s">
        <v>7988</v>
      </c>
      <c r="V4127" s="12" t="s">
        <v>586</v>
      </c>
      <c r="W4127" s="16"/>
      <c r="X4127" s="12">
        <v>2009</v>
      </c>
      <c r="Y4127" s="12">
        <v>122</v>
      </c>
      <c r="Z4127" s="12">
        <v>6.2</v>
      </c>
      <c r="AA4127" s="12">
        <v>1.85</v>
      </c>
      <c r="AB4127" s="12">
        <v>580</v>
      </c>
      <c r="AC4127" s="12"/>
      <c r="AD4127" s="12" t="str">
        <f>IFERROR(__xludf.DUMMYFUNCTION("""COMPUTED_VALUE"""),"Ricky Martin")</f>
        <v>Ricky Martin</v>
      </c>
      <c r="AE4127" s="12"/>
    </row>
    <row r="4128" customHeight="1" spans="1:31">
      <c r="A4128" s="11" t="s">
        <v>30</v>
      </c>
      <c r="B4128" s="11" t="s">
        <v>19530</v>
      </c>
      <c r="C4128" s="11">
        <v>58</v>
      </c>
      <c r="D4128" s="11">
        <v>83</v>
      </c>
      <c r="E4128" s="11">
        <v>8</v>
      </c>
      <c r="F4128" s="11">
        <v>617</v>
      </c>
      <c r="G4128" s="11">
        <v>798</v>
      </c>
      <c r="H4128" s="13"/>
      <c r="I4128" s="11" t="s">
        <v>5544</v>
      </c>
      <c r="J4128" s="11" t="s">
        <v>1699</v>
      </c>
      <c r="K4128" s="11" t="s">
        <v>9769</v>
      </c>
      <c r="L4128" s="11" t="s">
        <v>6862</v>
      </c>
      <c r="M4128" s="11" t="s">
        <v>19531</v>
      </c>
      <c r="N4128" s="11">
        <v>7358</v>
      </c>
      <c r="O4128" s="11">
        <v>4756</v>
      </c>
      <c r="P4128" s="11">
        <v>1</v>
      </c>
      <c r="Q4128" s="11" t="s">
        <v>19532</v>
      </c>
      <c r="R4128" s="14" t="s">
        <v>19533</v>
      </c>
      <c r="S4128" s="11">
        <v>39</v>
      </c>
      <c r="T4128" s="11" t="s">
        <v>39</v>
      </c>
      <c r="U4128" s="11" t="s">
        <v>40</v>
      </c>
      <c r="V4128" s="11" t="s">
        <v>586</v>
      </c>
      <c r="W4128" s="11">
        <v>3000000</v>
      </c>
      <c r="X4128" s="11">
        <v>2015</v>
      </c>
      <c r="Y4128" s="11">
        <v>634</v>
      </c>
      <c r="Z4128" s="11">
        <v>5.3</v>
      </c>
      <c r="AA4128" s="13"/>
      <c r="AB4128" s="11">
        <v>0</v>
      </c>
      <c r="AC4128" s="11"/>
      <c r="AD4128" s="11" t="str">
        <f>IFERROR(__xludf.DUMMYFUNCTION("""COMPUTED_VALUE"""),"Katharine Ross")</f>
        <v>Katharine Ross</v>
      </c>
      <c r="AE4128" s="11"/>
    </row>
    <row r="4129" customHeight="1" spans="1:31">
      <c r="A4129" s="12" t="s">
        <v>30</v>
      </c>
      <c r="B4129" s="12" t="s">
        <v>19534</v>
      </c>
      <c r="C4129" s="12">
        <v>14</v>
      </c>
      <c r="D4129" s="12">
        <v>80</v>
      </c>
      <c r="E4129" s="12">
        <v>0</v>
      </c>
      <c r="F4129" s="12">
        <v>19</v>
      </c>
      <c r="G4129" s="12">
        <v>231</v>
      </c>
      <c r="H4129" s="16"/>
      <c r="I4129" s="12" t="s">
        <v>1672</v>
      </c>
      <c r="J4129" s="12" t="s">
        <v>19535</v>
      </c>
      <c r="K4129" s="12" t="s">
        <v>19536</v>
      </c>
      <c r="L4129" s="12" t="s">
        <v>19537</v>
      </c>
      <c r="M4129" s="12" t="s">
        <v>19538</v>
      </c>
      <c r="N4129" s="12">
        <v>1257</v>
      </c>
      <c r="O4129" s="12">
        <v>313</v>
      </c>
      <c r="P4129" s="12">
        <v>1</v>
      </c>
      <c r="Q4129" s="12" t="s">
        <v>19539</v>
      </c>
      <c r="R4129" s="15" t="s">
        <v>19540</v>
      </c>
      <c r="S4129" s="12">
        <v>24</v>
      </c>
      <c r="T4129" s="12" t="s">
        <v>39</v>
      </c>
      <c r="U4129" s="12" t="s">
        <v>40</v>
      </c>
      <c r="V4129" s="12" t="s">
        <v>586</v>
      </c>
      <c r="W4129" s="12">
        <v>3000000</v>
      </c>
      <c r="X4129" s="12">
        <v>2005</v>
      </c>
      <c r="Y4129" s="12">
        <v>27</v>
      </c>
      <c r="Z4129" s="12">
        <v>3.3</v>
      </c>
      <c r="AA4129" s="12">
        <v>1.78</v>
      </c>
      <c r="AB4129" s="12">
        <v>48</v>
      </c>
      <c r="AC4129" s="12"/>
      <c r="AD4129" s="12" t="str">
        <f>IFERROR(__xludf.DUMMYFUNCTION("""COMPUTED_VALUE"""),"Ted Cassidy")</f>
        <v>Ted Cassidy</v>
      </c>
      <c r="AE4129" s="12"/>
    </row>
    <row r="4130" customHeight="1" spans="1:31">
      <c r="A4130" s="11" t="s">
        <v>30</v>
      </c>
      <c r="B4130" s="11" t="s">
        <v>256</v>
      </c>
      <c r="C4130" s="11">
        <v>451</v>
      </c>
      <c r="D4130" s="11">
        <v>108</v>
      </c>
      <c r="E4130" s="11">
        <v>13000</v>
      </c>
      <c r="F4130" s="11">
        <v>11000</v>
      </c>
      <c r="G4130" s="11">
        <v>40000</v>
      </c>
      <c r="H4130" s="11">
        <v>334185206</v>
      </c>
      <c r="I4130" s="11" t="s">
        <v>200</v>
      </c>
      <c r="J4130" s="11" t="s">
        <v>44</v>
      </c>
      <c r="K4130" s="11" t="s">
        <v>106</v>
      </c>
      <c r="L4130" s="11" t="s">
        <v>257</v>
      </c>
      <c r="M4130" s="11" t="s">
        <v>258</v>
      </c>
      <c r="N4130" s="11">
        <v>306336</v>
      </c>
      <c r="O4130" s="11">
        <v>79957</v>
      </c>
      <c r="P4130" s="11">
        <v>0</v>
      </c>
      <c r="Q4130" s="11" t="s">
        <v>259</v>
      </c>
      <c r="R4130" s="14" t="s">
        <v>260</v>
      </c>
      <c r="S4130" s="11">
        <v>736</v>
      </c>
      <c r="T4130" s="11" t="s">
        <v>39</v>
      </c>
      <c r="U4130" s="11" t="s">
        <v>40</v>
      </c>
      <c r="V4130" s="11" t="s">
        <v>96</v>
      </c>
      <c r="W4130" s="11">
        <v>200000000</v>
      </c>
      <c r="X4130" s="11">
        <v>2010</v>
      </c>
      <c r="Y4130" s="11">
        <v>25000</v>
      </c>
      <c r="Z4130" s="11">
        <v>6.5</v>
      </c>
      <c r="AA4130" s="11">
        <v>1.85</v>
      </c>
      <c r="AB4130" s="11">
        <v>24000</v>
      </c>
      <c r="AC4130" s="11"/>
      <c r="AD4130" s="11" t="str">
        <f>IFERROR(__xludf.DUMMYFUNCTION("""COMPUTED_VALUE"""),"Kenneth Mars")</f>
        <v>Kenneth Mars</v>
      </c>
      <c r="AE4130" s="11"/>
    </row>
    <row r="4131" customHeight="1" spans="1:31">
      <c r="A4131" s="12" t="s">
        <v>30</v>
      </c>
      <c r="B4131" s="12" t="s">
        <v>19541</v>
      </c>
      <c r="C4131" s="16"/>
      <c r="D4131" s="12">
        <v>90</v>
      </c>
      <c r="E4131" s="12">
        <v>66</v>
      </c>
      <c r="F4131" s="12">
        <v>452</v>
      </c>
      <c r="G4131" s="12">
        <v>1000</v>
      </c>
      <c r="H4131" s="16"/>
      <c r="I4131" s="12" t="s">
        <v>1672</v>
      </c>
      <c r="J4131" s="12" t="s">
        <v>4468</v>
      </c>
      <c r="K4131" s="12" t="s">
        <v>2524</v>
      </c>
      <c r="L4131" s="12" t="s">
        <v>14151</v>
      </c>
      <c r="M4131" s="12" t="s">
        <v>19542</v>
      </c>
      <c r="N4131" s="12">
        <v>62</v>
      </c>
      <c r="O4131" s="12">
        <v>3882</v>
      </c>
      <c r="P4131" s="12">
        <v>1</v>
      </c>
      <c r="Q4131" s="12" t="s">
        <v>19543</v>
      </c>
      <c r="R4131" s="15" t="s">
        <v>19544</v>
      </c>
      <c r="S4131" s="12">
        <v>1</v>
      </c>
      <c r="T4131" s="12" t="s">
        <v>39</v>
      </c>
      <c r="U4131" s="12" t="s">
        <v>40</v>
      </c>
      <c r="V4131" s="12" t="s">
        <v>41</v>
      </c>
      <c r="W4131" s="12">
        <v>3000000</v>
      </c>
      <c r="X4131" s="12">
        <v>2009</v>
      </c>
      <c r="Y4131" s="12">
        <v>975</v>
      </c>
      <c r="Z4131" s="12">
        <v>6.2</v>
      </c>
      <c r="AA4131" s="12">
        <v>1.85</v>
      </c>
      <c r="AB4131" s="12">
        <v>54</v>
      </c>
      <c r="AC4131" s="12"/>
      <c r="AD4131" s="12" t="str">
        <f>IFERROR(__xludf.DUMMYFUNCTION("""COMPUTED_VALUE"""),"Ed Wynn")</f>
        <v>Ed Wynn</v>
      </c>
      <c r="AE4131" s="12"/>
    </row>
    <row r="4132" customHeight="1" spans="1:31">
      <c r="A4132" s="11" t="s">
        <v>30</v>
      </c>
      <c r="B4132" s="11" t="s">
        <v>19545</v>
      </c>
      <c r="C4132" s="11">
        <v>21</v>
      </c>
      <c r="D4132" s="11">
        <v>96</v>
      </c>
      <c r="E4132" s="11">
        <v>15</v>
      </c>
      <c r="F4132" s="11">
        <v>357</v>
      </c>
      <c r="G4132" s="11">
        <v>433</v>
      </c>
      <c r="H4132" s="11">
        <v>5005</v>
      </c>
      <c r="I4132" s="11" t="s">
        <v>3410</v>
      </c>
      <c r="J4132" s="11" t="s">
        <v>932</v>
      </c>
      <c r="K4132" s="11" t="s">
        <v>1195</v>
      </c>
      <c r="L4132" s="11" t="s">
        <v>12194</v>
      </c>
      <c r="M4132" s="11" t="s">
        <v>19546</v>
      </c>
      <c r="N4132" s="11">
        <v>2280</v>
      </c>
      <c r="O4132" s="11">
        <v>1929</v>
      </c>
      <c r="P4132" s="11">
        <v>2</v>
      </c>
      <c r="Q4132" s="11" t="s">
        <v>19547</v>
      </c>
      <c r="R4132" s="14" t="s">
        <v>19548</v>
      </c>
      <c r="S4132" s="11">
        <v>14</v>
      </c>
      <c r="T4132" s="11" t="s">
        <v>39</v>
      </c>
      <c r="U4132" s="11" t="s">
        <v>40</v>
      </c>
      <c r="V4132" s="11" t="s">
        <v>586</v>
      </c>
      <c r="W4132" s="11">
        <v>3000000</v>
      </c>
      <c r="X4132" s="11">
        <v>2009</v>
      </c>
      <c r="Y4132" s="11">
        <v>396</v>
      </c>
      <c r="Z4132" s="11">
        <v>5.9</v>
      </c>
      <c r="AA4132" s="13"/>
      <c r="AB4132" s="11">
        <v>448</v>
      </c>
      <c r="AC4132" s="11"/>
      <c r="AD4132" s="11" t="str">
        <f>IFERROR(__xludf.DUMMYFUNCTION("""COMPUTED_VALUE"""),"Glynis Johns")</f>
        <v>Glynis Johns</v>
      </c>
      <c r="AE4132" s="11"/>
    </row>
    <row r="4133" customHeight="1" spans="1:31">
      <c r="A4133" s="12" t="s">
        <v>30</v>
      </c>
      <c r="B4133" s="12" t="s">
        <v>19549</v>
      </c>
      <c r="C4133" s="12">
        <v>9</v>
      </c>
      <c r="D4133" s="12">
        <v>85</v>
      </c>
      <c r="E4133" s="12">
        <v>74</v>
      </c>
      <c r="F4133" s="12">
        <v>47</v>
      </c>
      <c r="G4133" s="12">
        <v>652</v>
      </c>
      <c r="H4133" s="16"/>
      <c r="I4133" s="12" t="s">
        <v>923</v>
      </c>
      <c r="J4133" s="12" t="s">
        <v>8270</v>
      </c>
      <c r="K4133" s="12" t="s">
        <v>19550</v>
      </c>
      <c r="L4133" s="12" t="s">
        <v>19551</v>
      </c>
      <c r="M4133" s="12" t="s">
        <v>19552</v>
      </c>
      <c r="N4133" s="12">
        <v>1370</v>
      </c>
      <c r="O4133" s="12">
        <v>844</v>
      </c>
      <c r="P4133" s="12">
        <v>3</v>
      </c>
      <c r="Q4133" s="12" t="s">
        <v>19553</v>
      </c>
      <c r="R4133" s="15" t="s">
        <v>19554</v>
      </c>
      <c r="S4133" s="12">
        <v>9</v>
      </c>
      <c r="T4133" s="12" t="s">
        <v>39</v>
      </c>
      <c r="U4133" s="12" t="s">
        <v>16841</v>
      </c>
      <c r="V4133" s="16"/>
      <c r="W4133" s="12">
        <v>3000000</v>
      </c>
      <c r="X4133" s="12">
        <v>2013</v>
      </c>
      <c r="Y4133" s="12">
        <v>124</v>
      </c>
      <c r="Z4133" s="12">
        <v>5.5</v>
      </c>
      <c r="AA4133" s="12">
        <v>2.35</v>
      </c>
      <c r="AB4133" s="12">
        <v>433</v>
      </c>
      <c r="AC4133" s="12"/>
      <c r="AD4133" s="12" t="str">
        <f>IFERROR(__xludf.DUMMYFUNCTION("""COMPUTED_VALUE"""),"Elsa Lanchester")</f>
        <v>Elsa Lanchester</v>
      </c>
      <c r="AE4133" s="12"/>
    </row>
    <row r="4134" customHeight="1" spans="1:31">
      <c r="A4134" s="11" t="s">
        <v>30</v>
      </c>
      <c r="B4134" s="11" t="s">
        <v>7886</v>
      </c>
      <c r="C4134" s="11">
        <v>98</v>
      </c>
      <c r="D4134" s="11">
        <v>83</v>
      </c>
      <c r="E4134" s="11">
        <v>136</v>
      </c>
      <c r="F4134" s="11">
        <v>975</v>
      </c>
      <c r="G4134" s="11">
        <v>3000</v>
      </c>
      <c r="H4134" s="13"/>
      <c r="I4134" s="11" t="s">
        <v>1672</v>
      </c>
      <c r="J4134" s="11" t="s">
        <v>142</v>
      </c>
      <c r="K4134" s="11" t="s">
        <v>479</v>
      </c>
      <c r="L4134" s="11" t="s">
        <v>622</v>
      </c>
      <c r="M4134" s="11" t="s">
        <v>19555</v>
      </c>
      <c r="N4134" s="11">
        <v>16987</v>
      </c>
      <c r="O4134" s="11">
        <v>7191</v>
      </c>
      <c r="P4134" s="11">
        <v>2</v>
      </c>
      <c r="Q4134" s="11" t="s">
        <v>19556</v>
      </c>
      <c r="R4134" s="14" t="s">
        <v>19557</v>
      </c>
      <c r="S4134" s="11">
        <v>85</v>
      </c>
      <c r="T4134" s="11" t="s">
        <v>39</v>
      </c>
      <c r="U4134" s="11" t="s">
        <v>40</v>
      </c>
      <c r="V4134" s="11" t="s">
        <v>586</v>
      </c>
      <c r="W4134" s="13"/>
      <c r="X4134" s="11">
        <v>2014</v>
      </c>
      <c r="Y4134" s="11">
        <v>1000</v>
      </c>
      <c r="Z4134" s="11">
        <v>5.5</v>
      </c>
      <c r="AA4134" s="11">
        <v>1.85</v>
      </c>
      <c r="AB4134" s="11">
        <v>0</v>
      </c>
      <c r="AC4134" s="11"/>
      <c r="AD4134" s="11" t="str">
        <f>IFERROR(__xludf.DUMMYFUNCTION("""COMPUTED_VALUE"""),"George Chakiris")</f>
        <v>George Chakiris</v>
      </c>
      <c r="AE4134" s="11"/>
    </row>
    <row r="4135" customHeight="1" spans="1:31">
      <c r="A4135" s="12" t="s">
        <v>30</v>
      </c>
      <c r="B4135" s="12" t="s">
        <v>19558</v>
      </c>
      <c r="C4135" s="12">
        <v>29</v>
      </c>
      <c r="D4135" s="12">
        <v>80</v>
      </c>
      <c r="E4135" s="12">
        <v>19</v>
      </c>
      <c r="F4135" s="12">
        <v>73</v>
      </c>
      <c r="G4135" s="12">
        <v>319</v>
      </c>
      <c r="H4135" s="16"/>
      <c r="I4135" s="12" t="s">
        <v>1672</v>
      </c>
      <c r="J4135" s="12" t="s">
        <v>19559</v>
      </c>
      <c r="K4135" s="12" t="s">
        <v>19560</v>
      </c>
      <c r="L4135" s="12" t="s">
        <v>19561</v>
      </c>
      <c r="M4135" s="12" t="s">
        <v>19562</v>
      </c>
      <c r="N4135" s="12">
        <v>2978</v>
      </c>
      <c r="O4135" s="12">
        <v>845</v>
      </c>
      <c r="P4135" s="12">
        <v>0</v>
      </c>
      <c r="Q4135" s="12" t="s">
        <v>19563</v>
      </c>
      <c r="R4135" s="15" t="s">
        <v>19564</v>
      </c>
      <c r="S4135" s="12">
        <v>13</v>
      </c>
      <c r="T4135" s="12" t="s">
        <v>39</v>
      </c>
      <c r="U4135" s="12" t="s">
        <v>40</v>
      </c>
      <c r="V4135" s="12" t="s">
        <v>586</v>
      </c>
      <c r="W4135" s="12">
        <v>3000000</v>
      </c>
      <c r="X4135" s="12">
        <v>2013</v>
      </c>
      <c r="Y4135" s="12">
        <v>302</v>
      </c>
      <c r="Z4135" s="12">
        <v>2.6</v>
      </c>
      <c r="AA4135" s="12">
        <v>1.85</v>
      </c>
      <c r="AB4135" s="12">
        <v>2000</v>
      </c>
      <c r="AC4135" s="12"/>
      <c r="AD4135" s="12" t="str">
        <f>IFERROR(__xludf.DUMMYFUNCTION("""COMPUTED_VALUE"""),"Rodney Dangerfield")</f>
        <v>Rodney Dangerfield</v>
      </c>
      <c r="AE4135" s="12"/>
    </row>
    <row r="4136" customHeight="1" spans="1:31">
      <c r="A4136" s="11" t="s">
        <v>30</v>
      </c>
      <c r="B4136" s="11" t="s">
        <v>6434</v>
      </c>
      <c r="C4136" s="11">
        <v>23</v>
      </c>
      <c r="D4136" s="11">
        <v>90</v>
      </c>
      <c r="E4136" s="11">
        <v>2000</v>
      </c>
      <c r="F4136" s="11">
        <v>454</v>
      </c>
      <c r="G4136" s="11">
        <v>2000</v>
      </c>
      <c r="H4136" s="13"/>
      <c r="I4136" s="11" t="s">
        <v>3266</v>
      </c>
      <c r="J4136" s="11" t="s">
        <v>6434</v>
      </c>
      <c r="K4136" s="11" t="s">
        <v>19565</v>
      </c>
      <c r="L4136" s="11" t="s">
        <v>19566</v>
      </c>
      <c r="M4136" s="11" t="s">
        <v>19567</v>
      </c>
      <c r="N4136" s="11">
        <v>13599</v>
      </c>
      <c r="O4136" s="11">
        <v>3666</v>
      </c>
      <c r="P4136" s="11">
        <v>3</v>
      </c>
      <c r="Q4136" s="11" t="s">
        <v>19568</v>
      </c>
      <c r="R4136" s="14" t="s">
        <v>19569</v>
      </c>
      <c r="S4136" s="11">
        <v>30</v>
      </c>
      <c r="T4136" s="11" t="s">
        <v>39</v>
      </c>
      <c r="U4136" s="11" t="s">
        <v>40</v>
      </c>
      <c r="V4136" s="11" t="s">
        <v>586</v>
      </c>
      <c r="W4136" s="11">
        <v>3000000</v>
      </c>
      <c r="X4136" s="11">
        <v>2011</v>
      </c>
      <c r="Y4136" s="11">
        <v>606</v>
      </c>
      <c r="Z4136" s="11">
        <v>5.8</v>
      </c>
      <c r="AA4136" s="11">
        <v>1.85</v>
      </c>
      <c r="AB4136" s="11">
        <v>6000</v>
      </c>
      <c r="AC4136" s="11"/>
      <c r="AD4136" s="11" t="str">
        <f>IFERROR(__xludf.DUMMYFUNCTION("""COMPUTED_VALUE"""),"Lisa Wilcox")</f>
        <v>Lisa Wilcox</v>
      </c>
      <c r="AE4136" s="11"/>
    </row>
    <row r="4137" customHeight="1" spans="1:31">
      <c r="A4137" s="12" t="s">
        <v>30</v>
      </c>
      <c r="B4137" s="12" t="s">
        <v>11917</v>
      </c>
      <c r="C4137" s="12">
        <v>87</v>
      </c>
      <c r="D4137" s="12">
        <v>92</v>
      </c>
      <c r="E4137" s="12">
        <v>128</v>
      </c>
      <c r="F4137" s="12">
        <v>480</v>
      </c>
      <c r="G4137" s="12">
        <v>756</v>
      </c>
      <c r="H4137" s="16"/>
      <c r="I4137" s="12" t="s">
        <v>1528</v>
      </c>
      <c r="J4137" s="12" t="s">
        <v>10890</v>
      </c>
      <c r="K4137" s="12" t="s">
        <v>6593</v>
      </c>
      <c r="L4137" s="12" t="s">
        <v>19570</v>
      </c>
      <c r="M4137" s="12" t="s">
        <v>19571</v>
      </c>
      <c r="N4137" s="12">
        <v>13640</v>
      </c>
      <c r="O4137" s="12">
        <v>2715</v>
      </c>
      <c r="P4137" s="12">
        <v>0</v>
      </c>
      <c r="Q4137" s="12" t="s">
        <v>19572</v>
      </c>
      <c r="R4137" s="15" t="s">
        <v>19573</v>
      </c>
      <c r="S4137" s="12">
        <v>128</v>
      </c>
      <c r="T4137" s="12" t="s">
        <v>39</v>
      </c>
      <c r="U4137" s="12" t="s">
        <v>40</v>
      </c>
      <c r="V4137" s="12" t="s">
        <v>6037</v>
      </c>
      <c r="W4137" s="12">
        <v>3000000</v>
      </c>
      <c r="X4137" s="12">
        <v>1967</v>
      </c>
      <c r="Y4137" s="12">
        <v>754</v>
      </c>
      <c r="Z4137" s="12">
        <v>7.4</v>
      </c>
      <c r="AA4137" s="12">
        <v>2.35</v>
      </c>
      <c r="AB4137" s="12">
        <v>3000</v>
      </c>
      <c r="AC4137" s="12"/>
      <c r="AD4137" s="12" t="str">
        <f>IFERROR(__xludf.DUMMYFUNCTION("""COMPUTED_VALUE"""),"Kelly Jo Minter")</f>
        <v>Kelly Jo Minter</v>
      </c>
      <c r="AE4137" s="12"/>
    </row>
    <row r="4138" customHeight="1" spans="1:31">
      <c r="A4138" s="11" t="s">
        <v>30</v>
      </c>
      <c r="B4138" s="11" t="s">
        <v>19574</v>
      </c>
      <c r="C4138" s="11">
        <v>2</v>
      </c>
      <c r="D4138" s="11">
        <v>100</v>
      </c>
      <c r="E4138" s="11">
        <v>3</v>
      </c>
      <c r="F4138" s="11">
        <v>382</v>
      </c>
      <c r="G4138" s="11">
        <v>1000</v>
      </c>
      <c r="H4138" s="13"/>
      <c r="I4138" s="11" t="s">
        <v>1672</v>
      </c>
      <c r="J4138" s="11" t="s">
        <v>1260</v>
      </c>
      <c r="K4138" s="11" t="s">
        <v>19575</v>
      </c>
      <c r="L4138" s="11" t="s">
        <v>19576</v>
      </c>
      <c r="M4138" s="11" t="s">
        <v>19577</v>
      </c>
      <c r="N4138" s="11">
        <v>118</v>
      </c>
      <c r="O4138" s="11">
        <v>2890</v>
      </c>
      <c r="P4138" s="11">
        <v>0</v>
      </c>
      <c r="Q4138" s="11" t="s">
        <v>19578</v>
      </c>
      <c r="R4138" s="14" t="s">
        <v>19579</v>
      </c>
      <c r="S4138" s="11">
        <v>1</v>
      </c>
      <c r="T4138" s="11" t="s">
        <v>9796</v>
      </c>
      <c r="U4138" s="11" t="s">
        <v>7091</v>
      </c>
      <c r="V4138" s="13"/>
      <c r="W4138" s="11">
        <v>3000000</v>
      </c>
      <c r="X4138" s="11">
        <v>2009</v>
      </c>
      <c r="Y4138" s="11">
        <v>810</v>
      </c>
      <c r="Z4138" s="11">
        <v>5.1</v>
      </c>
      <c r="AA4138" s="13"/>
      <c r="AB4138" s="11">
        <v>32</v>
      </c>
      <c r="AC4138" s="11"/>
      <c r="AD4138" s="11" t="str">
        <f>IFERROR(__xludf.DUMMYFUNCTION("""COMPUTED_VALUE"""),"Matthew Borlenghi")</f>
        <v>Matthew Borlenghi</v>
      </c>
      <c r="AE4138" s="11"/>
    </row>
    <row r="4139" customHeight="1" spans="1:31">
      <c r="A4139" s="12" t="s">
        <v>30</v>
      </c>
      <c r="B4139" s="12" t="s">
        <v>19580</v>
      </c>
      <c r="C4139" s="12">
        <v>17</v>
      </c>
      <c r="D4139" s="12">
        <v>88</v>
      </c>
      <c r="E4139" s="12">
        <v>8</v>
      </c>
      <c r="F4139" s="12">
        <v>471</v>
      </c>
      <c r="G4139" s="12">
        <v>2000</v>
      </c>
      <c r="H4139" s="16"/>
      <c r="I4139" s="12" t="s">
        <v>10413</v>
      </c>
      <c r="J4139" s="12" t="s">
        <v>5732</v>
      </c>
      <c r="K4139" s="12" t="s">
        <v>19581</v>
      </c>
      <c r="L4139" s="12" t="s">
        <v>12969</v>
      </c>
      <c r="M4139" s="12" t="s">
        <v>19582</v>
      </c>
      <c r="N4139" s="12">
        <v>704</v>
      </c>
      <c r="O4139" s="12">
        <v>4469</v>
      </c>
      <c r="P4139" s="12">
        <v>0</v>
      </c>
      <c r="Q4139" s="12" t="s">
        <v>19583</v>
      </c>
      <c r="R4139" s="15" t="s">
        <v>19584</v>
      </c>
      <c r="S4139" s="12">
        <v>9</v>
      </c>
      <c r="T4139" s="12" t="s">
        <v>39</v>
      </c>
      <c r="U4139" s="12" t="s">
        <v>40</v>
      </c>
      <c r="V4139" s="16"/>
      <c r="W4139" s="12">
        <v>800000</v>
      </c>
      <c r="X4139" s="12">
        <v>2013</v>
      </c>
      <c r="Y4139" s="12">
        <v>715</v>
      </c>
      <c r="Z4139" s="12">
        <v>5.2</v>
      </c>
      <c r="AA4139" s="12">
        <v>2.35</v>
      </c>
      <c r="AB4139" s="12">
        <v>406</v>
      </c>
      <c r="AC4139" s="12"/>
      <c r="AD4139" s="12" t="str">
        <f>IFERROR(__xludf.DUMMYFUNCTION("""COMPUTED_VALUE"""),"Erik Estrada")</f>
        <v>Erik Estrada</v>
      </c>
      <c r="AE4139" s="12"/>
    </row>
    <row r="4140" customHeight="1" spans="1:31">
      <c r="A4140" s="13"/>
      <c r="B4140" s="11" t="s">
        <v>19585</v>
      </c>
      <c r="C4140" s="11">
        <v>7</v>
      </c>
      <c r="D4140" s="11">
        <v>95</v>
      </c>
      <c r="E4140" s="11">
        <v>39</v>
      </c>
      <c r="F4140" s="11">
        <v>375</v>
      </c>
      <c r="G4140" s="11">
        <v>1000</v>
      </c>
      <c r="H4140" s="13"/>
      <c r="I4140" s="11" t="s">
        <v>6133</v>
      </c>
      <c r="J4140" s="11" t="s">
        <v>13946</v>
      </c>
      <c r="K4140" s="11" t="s">
        <v>6406</v>
      </c>
      <c r="L4140" s="11" t="s">
        <v>19586</v>
      </c>
      <c r="M4140" s="11" t="s">
        <v>19587</v>
      </c>
      <c r="N4140" s="11">
        <v>976</v>
      </c>
      <c r="O4140" s="11">
        <v>3024</v>
      </c>
      <c r="P4140" s="11">
        <v>2</v>
      </c>
      <c r="Q4140" s="11" t="s">
        <v>19588</v>
      </c>
      <c r="R4140" s="14" t="s">
        <v>19589</v>
      </c>
      <c r="S4140" s="11">
        <v>15</v>
      </c>
      <c r="T4140" s="11" t="s">
        <v>39</v>
      </c>
      <c r="U4140" s="11" t="s">
        <v>40</v>
      </c>
      <c r="V4140" s="11" t="s">
        <v>586</v>
      </c>
      <c r="W4140" s="11">
        <v>3000000</v>
      </c>
      <c r="X4140" s="11">
        <v>2014</v>
      </c>
      <c r="Y4140" s="11">
        <v>747</v>
      </c>
      <c r="Z4140" s="11">
        <v>4.8</v>
      </c>
      <c r="AA4140" s="13"/>
      <c r="AB4140" s="11">
        <v>395</v>
      </c>
      <c r="AC4140" s="11"/>
      <c r="AD4140" s="11" t="str">
        <f>IFERROR(__xludf.DUMMYFUNCTION("""COMPUTED_VALUE"""),"John D'Leo")</f>
        <v>John D'Leo</v>
      </c>
      <c r="AE4140" s="11"/>
    </row>
    <row r="4141" customHeight="1" spans="1:31">
      <c r="A4141" s="12" t="s">
        <v>30</v>
      </c>
      <c r="B4141" s="12" t="s">
        <v>19590</v>
      </c>
      <c r="C4141" s="12">
        <v>6</v>
      </c>
      <c r="D4141" s="12">
        <v>82</v>
      </c>
      <c r="E4141" s="12">
        <v>9</v>
      </c>
      <c r="F4141" s="12">
        <v>648</v>
      </c>
      <c r="G4141" s="12">
        <v>904</v>
      </c>
      <c r="H4141" s="16"/>
      <c r="I4141" s="12" t="s">
        <v>10413</v>
      </c>
      <c r="J4141" s="12" t="s">
        <v>3009</v>
      </c>
      <c r="K4141" s="12" t="s">
        <v>19591</v>
      </c>
      <c r="L4141" s="12" t="s">
        <v>19592</v>
      </c>
      <c r="M4141" s="12" t="s">
        <v>19593</v>
      </c>
      <c r="N4141" s="12">
        <v>520</v>
      </c>
      <c r="O4141" s="12">
        <v>4092</v>
      </c>
      <c r="P4141" s="12">
        <v>4</v>
      </c>
      <c r="Q4141" s="12" t="s">
        <v>19594</v>
      </c>
      <c r="R4141" s="15" t="s">
        <v>19595</v>
      </c>
      <c r="S4141" s="12">
        <v>8</v>
      </c>
      <c r="T4141" s="12" t="s">
        <v>39</v>
      </c>
      <c r="U4141" s="12" t="s">
        <v>40</v>
      </c>
      <c r="V4141" s="12" t="s">
        <v>586</v>
      </c>
      <c r="W4141" s="12">
        <v>3000000</v>
      </c>
      <c r="X4141" s="12">
        <v>2015</v>
      </c>
      <c r="Y4141" s="12">
        <v>779</v>
      </c>
      <c r="Z4141" s="12">
        <v>3.9</v>
      </c>
      <c r="AA4141" s="16"/>
      <c r="AB4141" s="12">
        <v>398</v>
      </c>
      <c r="AC4141" s="12"/>
      <c r="AD4141" s="12" t="str">
        <f>IFERROR(__xludf.DUMMYFUNCTION("""COMPUTED_VALUE"""),"Ajay Naidu")</f>
        <v>Ajay Naidu</v>
      </c>
      <c r="AE4141" s="12"/>
    </row>
    <row r="4142" customHeight="1" spans="1:31">
      <c r="A4142" s="11" t="s">
        <v>30</v>
      </c>
      <c r="B4142" s="11" t="s">
        <v>19596</v>
      </c>
      <c r="C4142" s="11">
        <v>9</v>
      </c>
      <c r="D4142" s="11">
        <v>97</v>
      </c>
      <c r="E4142" s="11">
        <v>96</v>
      </c>
      <c r="F4142" s="11">
        <v>37</v>
      </c>
      <c r="G4142" s="11">
        <v>201</v>
      </c>
      <c r="H4142" s="13"/>
      <c r="I4142" s="11" t="s">
        <v>19597</v>
      </c>
      <c r="J4142" s="11" t="s">
        <v>13912</v>
      </c>
      <c r="K4142" s="11" t="s">
        <v>19598</v>
      </c>
      <c r="L4142" s="11" t="s">
        <v>19599</v>
      </c>
      <c r="M4142" s="11" t="s">
        <v>19600</v>
      </c>
      <c r="N4142" s="11">
        <v>240</v>
      </c>
      <c r="O4142" s="11">
        <v>277</v>
      </c>
      <c r="P4142" s="11">
        <v>1</v>
      </c>
      <c r="Q4142" s="11" t="s">
        <v>19601</v>
      </c>
      <c r="R4142" s="14" t="s">
        <v>19602</v>
      </c>
      <c r="S4142" s="11">
        <v>9</v>
      </c>
      <c r="T4142" s="11" t="s">
        <v>39</v>
      </c>
      <c r="U4142" s="11" t="s">
        <v>7091</v>
      </c>
      <c r="V4142" s="13"/>
      <c r="W4142" s="11">
        <v>3000000</v>
      </c>
      <c r="X4142" s="11">
        <v>1988</v>
      </c>
      <c r="Y4142" s="11">
        <v>39</v>
      </c>
      <c r="Z4142" s="11">
        <v>6.2</v>
      </c>
      <c r="AA4142" s="11">
        <v>1.85</v>
      </c>
      <c r="AB4142" s="11">
        <v>37</v>
      </c>
      <c r="AC4142" s="11"/>
      <c r="AD4142" s="11" t="str">
        <f>IFERROR(__xludf.DUMMYFUNCTION("""COMPUTED_VALUE"""),"Lillian Gish")</f>
        <v>Lillian Gish</v>
      </c>
      <c r="AE4142" s="11"/>
    </row>
    <row r="4143" customHeight="1" spans="1:31">
      <c r="A4143" s="12" t="s">
        <v>30</v>
      </c>
      <c r="B4143" s="12" t="s">
        <v>858</v>
      </c>
      <c r="C4143" s="12">
        <v>343</v>
      </c>
      <c r="D4143" s="12">
        <v>105</v>
      </c>
      <c r="E4143" s="12">
        <v>0</v>
      </c>
      <c r="F4143" s="12">
        <v>502</v>
      </c>
      <c r="G4143" s="12">
        <v>2000</v>
      </c>
      <c r="H4143" s="12">
        <v>201148159</v>
      </c>
      <c r="I4143" s="12" t="s">
        <v>1996</v>
      </c>
      <c r="J4143" s="12" t="s">
        <v>594</v>
      </c>
      <c r="K4143" s="12" t="s">
        <v>1997</v>
      </c>
      <c r="L4143" s="12" t="s">
        <v>879</v>
      </c>
      <c r="M4143" s="12" t="s">
        <v>1998</v>
      </c>
      <c r="N4143" s="12">
        <v>103749</v>
      </c>
      <c r="O4143" s="12">
        <v>4671</v>
      </c>
      <c r="P4143" s="12">
        <v>1</v>
      </c>
      <c r="Q4143" s="12" t="s">
        <v>1999</v>
      </c>
      <c r="R4143" s="15" t="s">
        <v>2000</v>
      </c>
      <c r="S4143" s="12">
        <v>323</v>
      </c>
      <c r="T4143" s="12" t="s">
        <v>39</v>
      </c>
      <c r="U4143" s="12" t="s">
        <v>40</v>
      </c>
      <c r="V4143" s="12" t="s">
        <v>96</v>
      </c>
      <c r="W4143" s="12">
        <v>95000000</v>
      </c>
      <c r="X4143" s="12">
        <v>2015</v>
      </c>
      <c r="Y4143" s="12">
        <v>520</v>
      </c>
      <c r="Z4143" s="12">
        <v>7</v>
      </c>
      <c r="AA4143" s="12">
        <v>2.35</v>
      </c>
      <c r="AB4143" s="12">
        <v>56000</v>
      </c>
      <c r="AC4143" s="12"/>
      <c r="AD4143" s="12" t="str">
        <f>IFERROR(__xludf.DUMMYFUNCTION("""COMPUTED_VALUE"""),"Jennifer Jones")</f>
        <v>Jennifer Jones</v>
      </c>
      <c r="AE4143" s="12"/>
    </row>
    <row r="4144" customHeight="1" spans="1:31">
      <c r="A4144" s="11" t="s">
        <v>30</v>
      </c>
      <c r="B4144" s="11" t="s">
        <v>19603</v>
      </c>
      <c r="C4144" s="11">
        <v>11</v>
      </c>
      <c r="D4144" s="11">
        <v>94</v>
      </c>
      <c r="E4144" s="11">
        <v>0</v>
      </c>
      <c r="F4144" s="11">
        <v>356</v>
      </c>
      <c r="G4144" s="11">
        <v>854</v>
      </c>
      <c r="H4144" s="13"/>
      <c r="I4144" s="11" t="s">
        <v>19604</v>
      </c>
      <c r="J4144" s="11" t="s">
        <v>3197</v>
      </c>
      <c r="K4144" s="11" t="s">
        <v>1321</v>
      </c>
      <c r="L4144" s="11" t="s">
        <v>11857</v>
      </c>
      <c r="M4144" s="11" t="s">
        <v>19605</v>
      </c>
      <c r="N4144" s="11">
        <v>706</v>
      </c>
      <c r="O4144" s="11">
        <v>1989</v>
      </c>
      <c r="P4144" s="11">
        <v>3</v>
      </c>
      <c r="Q4144" s="11" t="s">
        <v>19606</v>
      </c>
      <c r="R4144" s="14" t="s">
        <v>19607</v>
      </c>
      <c r="S4144" s="11">
        <v>14</v>
      </c>
      <c r="T4144" s="11" t="s">
        <v>39</v>
      </c>
      <c r="U4144" s="11" t="s">
        <v>40</v>
      </c>
      <c r="V4144" s="11" t="s">
        <v>586</v>
      </c>
      <c r="W4144" s="11">
        <v>3000000</v>
      </c>
      <c r="X4144" s="11">
        <v>2009</v>
      </c>
      <c r="Y4144" s="11">
        <v>602</v>
      </c>
      <c r="Z4144" s="11">
        <v>6.2</v>
      </c>
      <c r="AA4144" s="11">
        <v>1.78</v>
      </c>
      <c r="AB4144" s="11">
        <v>229</v>
      </c>
      <c r="AC4144" s="11"/>
      <c r="AD4144" s="11" t="str">
        <f>IFERROR(__xludf.DUMMYFUNCTION("""COMPUTED_VALUE"""),"Tom Atkins")</f>
        <v>Tom Atkins</v>
      </c>
      <c r="AE4144" s="11"/>
    </row>
    <row r="4145" customHeight="1" spans="1:31">
      <c r="A4145" s="12" t="s">
        <v>30</v>
      </c>
      <c r="B4145" s="12" t="s">
        <v>19608</v>
      </c>
      <c r="C4145" s="12">
        <v>34</v>
      </c>
      <c r="D4145" s="12">
        <v>95</v>
      </c>
      <c r="E4145" s="12">
        <v>7</v>
      </c>
      <c r="F4145" s="12">
        <v>463</v>
      </c>
      <c r="G4145" s="12">
        <v>2000</v>
      </c>
      <c r="H4145" s="16"/>
      <c r="I4145" s="12" t="s">
        <v>1415</v>
      </c>
      <c r="J4145" s="12" t="s">
        <v>236</v>
      </c>
      <c r="K4145" s="12" t="s">
        <v>19609</v>
      </c>
      <c r="L4145" s="12" t="s">
        <v>5857</v>
      </c>
      <c r="M4145" s="12" t="s">
        <v>19610</v>
      </c>
      <c r="N4145" s="12">
        <v>3443</v>
      </c>
      <c r="O4145" s="12">
        <v>3648</v>
      </c>
      <c r="P4145" s="12">
        <v>2</v>
      </c>
      <c r="Q4145" s="12" t="s">
        <v>19611</v>
      </c>
      <c r="R4145" s="15" t="s">
        <v>19612</v>
      </c>
      <c r="S4145" s="12">
        <v>20</v>
      </c>
      <c r="T4145" s="12" t="s">
        <v>39</v>
      </c>
      <c r="U4145" s="12" t="s">
        <v>40</v>
      </c>
      <c r="V4145" s="12" t="s">
        <v>586</v>
      </c>
      <c r="W4145" s="16"/>
      <c r="X4145" s="12">
        <v>2010</v>
      </c>
      <c r="Y4145" s="12">
        <v>536</v>
      </c>
      <c r="Z4145" s="12">
        <v>5.9</v>
      </c>
      <c r="AA4145" s="12">
        <v>1.85</v>
      </c>
      <c r="AB4145" s="12">
        <v>480</v>
      </c>
      <c r="AC4145" s="12"/>
      <c r="AD4145" s="12" t="str">
        <f>IFERROR(__xludf.DUMMYFUNCTION("""COMPUTED_VALUE"""),"Ossie Davis")</f>
        <v>Ossie Davis</v>
      </c>
      <c r="AE4145" s="12"/>
    </row>
    <row r="4146" customHeight="1" spans="1:31">
      <c r="A4146" s="11" t="s">
        <v>30</v>
      </c>
      <c r="B4146" s="11" t="s">
        <v>4383</v>
      </c>
      <c r="C4146" s="11">
        <v>71</v>
      </c>
      <c r="D4146" s="11">
        <v>113</v>
      </c>
      <c r="E4146" s="11">
        <v>179</v>
      </c>
      <c r="F4146" s="11">
        <v>11</v>
      </c>
      <c r="G4146" s="11">
        <v>119</v>
      </c>
      <c r="H4146" s="11">
        <v>5595428</v>
      </c>
      <c r="I4146" s="11" t="s">
        <v>3410</v>
      </c>
      <c r="J4146" s="11" t="s">
        <v>18826</v>
      </c>
      <c r="K4146" s="11" t="s">
        <v>19613</v>
      </c>
      <c r="L4146" s="11" t="s">
        <v>19614</v>
      </c>
      <c r="M4146" s="11" t="s">
        <v>19615</v>
      </c>
      <c r="N4146" s="11">
        <v>28951</v>
      </c>
      <c r="O4146" s="11">
        <v>167</v>
      </c>
      <c r="P4146" s="11">
        <v>0</v>
      </c>
      <c r="Q4146" s="11" t="s">
        <v>19616</v>
      </c>
      <c r="R4146" s="14" t="s">
        <v>19617</v>
      </c>
      <c r="S4146" s="11">
        <v>257</v>
      </c>
      <c r="T4146" s="11" t="s">
        <v>14504</v>
      </c>
      <c r="U4146" s="11" t="s">
        <v>16841</v>
      </c>
      <c r="V4146" s="11" t="s">
        <v>586</v>
      </c>
      <c r="W4146" s="11">
        <v>2900000</v>
      </c>
      <c r="X4146" s="11">
        <v>1998</v>
      </c>
      <c r="Y4146" s="11">
        <v>14</v>
      </c>
      <c r="Z4146" s="11">
        <v>8</v>
      </c>
      <c r="AA4146" s="11">
        <v>2.35</v>
      </c>
      <c r="AB4146" s="11">
        <v>0</v>
      </c>
      <c r="AC4146" s="11"/>
      <c r="AD4146" s="11" t="str">
        <f>IFERROR(__xludf.DUMMYFUNCTION("""COMPUTED_VALUE"""),"Richard Norton")</f>
        <v>Richard Norton</v>
      </c>
      <c r="AE4146" s="11"/>
    </row>
    <row r="4147" customHeight="1" spans="1:31">
      <c r="A4147" s="12" t="s">
        <v>30</v>
      </c>
      <c r="B4147" s="12" t="s">
        <v>19168</v>
      </c>
      <c r="C4147" s="12">
        <v>21</v>
      </c>
      <c r="D4147" s="12">
        <v>136</v>
      </c>
      <c r="E4147" s="12">
        <v>964</v>
      </c>
      <c r="F4147" s="12">
        <v>248</v>
      </c>
      <c r="G4147" s="12">
        <v>931</v>
      </c>
      <c r="H4147" s="16"/>
      <c r="I4147" s="12" t="s">
        <v>2528</v>
      </c>
      <c r="J4147" s="12" t="s">
        <v>4928</v>
      </c>
      <c r="K4147" s="12" t="s">
        <v>19618</v>
      </c>
      <c r="L4147" s="12" t="s">
        <v>18794</v>
      </c>
      <c r="M4147" s="12" t="s">
        <v>19619</v>
      </c>
      <c r="N4147" s="12">
        <v>4313</v>
      </c>
      <c r="O4147" s="12">
        <v>2167</v>
      </c>
      <c r="P4147" s="12">
        <v>2</v>
      </c>
      <c r="Q4147" s="12" t="s">
        <v>19620</v>
      </c>
      <c r="R4147" s="15" t="s">
        <v>19621</v>
      </c>
      <c r="S4147" s="12">
        <v>40</v>
      </c>
      <c r="T4147" s="12" t="s">
        <v>39</v>
      </c>
      <c r="U4147" s="12" t="s">
        <v>40</v>
      </c>
      <c r="V4147" s="12" t="s">
        <v>6037</v>
      </c>
      <c r="W4147" s="12">
        <v>2900000</v>
      </c>
      <c r="X4147" s="12">
        <v>1961</v>
      </c>
      <c r="Y4147" s="12">
        <v>416</v>
      </c>
      <c r="Z4147" s="12">
        <v>7.3</v>
      </c>
      <c r="AA4147" s="12">
        <v>2.35</v>
      </c>
      <c r="AB4147" s="12">
        <v>612</v>
      </c>
      <c r="AC4147" s="12"/>
      <c r="AD4147" s="12" t="str">
        <f>IFERROR(__xludf.DUMMYFUNCTION("""COMPUTED_VALUE"""),"Rachel Blakely")</f>
        <v>Rachel Blakely</v>
      </c>
      <c r="AE4147" s="12"/>
    </row>
    <row r="4148" customHeight="1" spans="1:31">
      <c r="A4148" s="11" t="s">
        <v>30</v>
      </c>
      <c r="B4148" s="11" t="s">
        <v>19622</v>
      </c>
      <c r="C4148" s="11">
        <v>28</v>
      </c>
      <c r="D4148" s="11">
        <v>80</v>
      </c>
      <c r="E4148" s="11">
        <v>81</v>
      </c>
      <c r="F4148" s="11">
        <v>214</v>
      </c>
      <c r="G4148" s="11">
        <v>640</v>
      </c>
      <c r="H4148" s="13"/>
      <c r="I4148" s="11" t="s">
        <v>4556</v>
      </c>
      <c r="J4148" s="11" t="s">
        <v>19623</v>
      </c>
      <c r="K4148" s="11" t="s">
        <v>2774</v>
      </c>
      <c r="L4148" s="11" t="s">
        <v>19624</v>
      </c>
      <c r="M4148" s="11" t="s">
        <v>19625</v>
      </c>
      <c r="N4148" s="11">
        <v>2425</v>
      </c>
      <c r="O4148" s="11">
        <v>1517</v>
      </c>
      <c r="P4148" s="11">
        <v>1</v>
      </c>
      <c r="Q4148" s="11" t="s">
        <v>19626</v>
      </c>
      <c r="R4148" s="14" t="s">
        <v>19627</v>
      </c>
      <c r="S4148" s="11">
        <v>31</v>
      </c>
      <c r="T4148" s="11" t="s">
        <v>39</v>
      </c>
      <c r="U4148" s="11" t="s">
        <v>40</v>
      </c>
      <c r="V4148" s="13"/>
      <c r="W4148" s="11">
        <v>3000000</v>
      </c>
      <c r="X4148" s="11">
        <v>2015</v>
      </c>
      <c r="Y4148" s="11">
        <v>277</v>
      </c>
      <c r="Z4148" s="11">
        <v>4.9</v>
      </c>
      <c r="AA4148" s="13"/>
      <c r="AB4148" s="11">
        <v>968</v>
      </c>
      <c r="AC4148" s="11"/>
      <c r="AD4148" s="11" t="str">
        <f>IFERROR(__xludf.DUMMYFUNCTION("""COMPUTED_VALUE"""),"John Lynch")</f>
        <v>John Lynch</v>
      </c>
      <c r="AE4148" s="11"/>
    </row>
    <row r="4149" customHeight="1" spans="1:31">
      <c r="A4149" s="12" t="s">
        <v>30</v>
      </c>
      <c r="B4149" s="12" t="s">
        <v>19628</v>
      </c>
      <c r="C4149" s="12">
        <v>35</v>
      </c>
      <c r="D4149" s="12">
        <v>105</v>
      </c>
      <c r="E4149" s="12">
        <v>39</v>
      </c>
      <c r="F4149" s="12">
        <v>183</v>
      </c>
      <c r="G4149" s="12">
        <v>267</v>
      </c>
      <c r="H4149" s="12">
        <v>3123749</v>
      </c>
      <c r="I4149" s="12" t="s">
        <v>1681</v>
      </c>
      <c r="J4149" s="12" t="s">
        <v>4082</v>
      </c>
      <c r="K4149" s="12" t="s">
        <v>6054</v>
      </c>
      <c r="L4149" s="12" t="s">
        <v>18857</v>
      </c>
      <c r="M4149" s="12" t="s">
        <v>19629</v>
      </c>
      <c r="N4149" s="12">
        <v>746</v>
      </c>
      <c r="O4149" s="12">
        <v>1231</v>
      </c>
      <c r="P4149" s="12">
        <v>8</v>
      </c>
      <c r="Q4149" s="12" t="s">
        <v>19630</v>
      </c>
      <c r="R4149" s="15" t="s">
        <v>19631</v>
      </c>
      <c r="S4149" s="12">
        <v>27</v>
      </c>
      <c r="T4149" s="12" t="s">
        <v>39</v>
      </c>
      <c r="U4149" s="12" t="s">
        <v>40</v>
      </c>
      <c r="V4149" s="12" t="s">
        <v>586</v>
      </c>
      <c r="W4149" s="12">
        <v>1500000</v>
      </c>
      <c r="X4149" s="12">
        <v>2005</v>
      </c>
      <c r="Y4149" s="12">
        <v>225</v>
      </c>
      <c r="Z4149" s="12">
        <v>6.5</v>
      </c>
      <c r="AA4149" s="12">
        <v>1.85</v>
      </c>
      <c r="AB4149" s="12">
        <v>88</v>
      </c>
      <c r="AC4149" s="12"/>
      <c r="AD4149" s="12" t="str">
        <f>IFERROR(__xludf.DUMMYFUNCTION("""COMPUTED_VALUE"""),"David Alan Grier")</f>
        <v>David Alan Grier</v>
      </c>
      <c r="AE4149" s="12"/>
    </row>
    <row r="4150" customHeight="1" spans="1:31">
      <c r="A4150" s="11" t="s">
        <v>30</v>
      </c>
      <c r="B4150" s="11" t="s">
        <v>13778</v>
      </c>
      <c r="C4150" s="11">
        <v>30</v>
      </c>
      <c r="D4150" s="11">
        <v>90</v>
      </c>
      <c r="E4150" s="11">
        <v>35</v>
      </c>
      <c r="F4150" s="11">
        <v>21</v>
      </c>
      <c r="G4150" s="11">
        <v>216</v>
      </c>
      <c r="H4150" s="13"/>
      <c r="I4150" s="11" t="s">
        <v>6133</v>
      </c>
      <c r="J4150" s="11" t="s">
        <v>19632</v>
      </c>
      <c r="K4150" s="11" t="s">
        <v>19633</v>
      </c>
      <c r="L4150" s="11" t="s">
        <v>19634</v>
      </c>
      <c r="M4150" s="11" t="s">
        <v>19635</v>
      </c>
      <c r="N4150" s="11">
        <v>2157</v>
      </c>
      <c r="O4150" s="11">
        <v>423</v>
      </c>
      <c r="P4150" s="11">
        <v>0</v>
      </c>
      <c r="Q4150" s="11" t="s">
        <v>19636</v>
      </c>
      <c r="R4150" s="14" t="s">
        <v>19637</v>
      </c>
      <c r="S4150" s="11">
        <v>15</v>
      </c>
      <c r="T4150" s="11" t="s">
        <v>39</v>
      </c>
      <c r="U4150" s="11" t="s">
        <v>40</v>
      </c>
      <c r="V4150" s="13"/>
      <c r="W4150" s="11">
        <v>3000000</v>
      </c>
      <c r="X4150" s="11">
        <v>2014</v>
      </c>
      <c r="Y4150" s="11">
        <v>158</v>
      </c>
      <c r="Z4150" s="11">
        <v>4.3</v>
      </c>
      <c r="AA4150" s="13"/>
      <c r="AB4150" s="11">
        <v>421</v>
      </c>
      <c r="AC4150" s="11"/>
      <c r="AD4150" s="11" t="str">
        <f>IFERROR(__xludf.DUMMYFUNCTION("""COMPUTED_VALUE"""),"Abby Mukiibi Nkaaga")</f>
        <v>Abby Mukiibi Nkaaga</v>
      </c>
      <c r="AE4150" s="11"/>
    </row>
    <row r="4151" customHeight="1" spans="1:31">
      <c r="A4151" s="12" t="s">
        <v>30</v>
      </c>
      <c r="B4151" s="12" t="s">
        <v>19638</v>
      </c>
      <c r="C4151" s="12">
        <v>73</v>
      </c>
      <c r="D4151" s="12">
        <v>93</v>
      </c>
      <c r="E4151" s="12">
        <v>4</v>
      </c>
      <c r="F4151" s="12">
        <v>394</v>
      </c>
      <c r="G4151" s="12">
        <v>875</v>
      </c>
      <c r="H4151" s="12">
        <v>100675</v>
      </c>
      <c r="I4151" s="12" t="s">
        <v>68</v>
      </c>
      <c r="J4151" s="12" t="s">
        <v>19639</v>
      </c>
      <c r="K4151" s="12" t="s">
        <v>5078</v>
      </c>
      <c r="L4151" s="12" t="s">
        <v>19640</v>
      </c>
      <c r="M4151" s="12" t="s">
        <v>19641</v>
      </c>
      <c r="N4151" s="12">
        <v>5695</v>
      </c>
      <c r="O4151" s="12">
        <v>2305</v>
      </c>
      <c r="P4151" s="12">
        <v>0</v>
      </c>
      <c r="Q4151" s="12" t="s">
        <v>19642</v>
      </c>
      <c r="R4151" s="15" t="s">
        <v>19643</v>
      </c>
      <c r="S4151" s="12">
        <v>23</v>
      </c>
      <c r="T4151" s="12" t="s">
        <v>39</v>
      </c>
      <c r="U4151" s="12" t="s">
        <v>40</v>
      </c>
      <c r="V4151" s="12" t="s">
        <v>41</v>
      </c>
      <c r="W4151" s="12">
        <v>3000000</v>
      </c>
      <c r="X4151" s="12">
        <v>2010</v>
      </c>
      <c r="Y4151" s="12">
        <v>412</v>
      </c>
      <c r="Z4151" s="12">
        <v>6.4</v>
      </c>
      <c r="AA4151" s="16"/>
      <c r="AB4151" s="12">
        <v>0</v>
      </c>
      <c r="AC4151" s="12"/>
      <c r="AD4151" s="12" t="str">
        <f>IFERROR(__xludf.DUMMYFUNCTION("""COMPUTED_VALUE"""),"Tamara Glynn")</f>
        <v>Tamara Glynn</v>
      </c>
      <c r="AE4151" s="12"/>
    </row>
    <row r="4152" customHeight="1" spans="1:31">
      <c r="A4152" s="11" t="s">
        <v>30</v>
      </c>
      <c r="B4152" s="11" t="s">
        <v>1059</v>
      </c>
      <c r="C4152" s="11">
        <v>154</v>
      </c>
      <c r="D4152" s="11">
        <v>107</v>
      </c>
      <c r="E4152" s="11">
        <v>503</v>
      </c>
      <c r="F4152" s="11">
        <v>108</v>
      </c>
      <c r="G4152" s="11">
        <v>264</v>
      </c>
      <c r="H4152" s="13"/>
      <c r="I4152" s="11" t="s">
        <v>9492</v>
      </c>
      <c r="J4152" s="11" t="s">
        <v>9493</v>
      </c>
      <c r="K4152" s="11" t="s">
        <v>9494</v>
      </c>
      <c r="L4152" s="11" t="s">
        <v>9495</v>
      </c>
      <c r="M4152" s="11" t="s">
        <v>9496</v>
      </c>
      <c r="N4152" s="11">
        <v>80961</v>
      </c>
      <c r="O4152" s="11">
        <v>673</v>
      </c>
      <c r="P4152" s="11">
        <v>2</v>
      </c>
      <c r="Q4152" s="11" t="s">
        <v>9497</v>
      </c>
      <c r="R4152" s="14" t="s">
        <v>9498</v>
      </c>
      <c r="S4152" s="11">
        <v>310</v>
      </c>
      <c r="T4152" s="11" t="s">
        <v>39</v>
      </c>
      <c r="U4152" s="11" t="s">
        <v>58</v>
      </c>
      <c r="V4152" s="11" t="s">
        <v>586</v>
      </c>
      <c r="W4152" s="11">
        <v>2800000</v>
      </c>
      <c r="X4152" s="11">
        <v>1976</v>
      </c>
      <c r="Y4152" s="11">
        <v>139</v>
      </c>
      <c r="Z4152" s="11">
        <v>7.6</v>
      </c>
      <c r="AA4152" s="11">
        <v>2.35</v>
      </c>
      <c r="AB4152" s="11">
        <v>7000</v>
      </c>
      <c r="AC4152" s="11"/>
      <c r="AD4152" s="11" t="str">
        <f>IFERROR(__xludf.DUMMYFUNCTION("""COMPUTED_VALUE"""),"Brandon Smith")</f>
        <v>Brandon Smith</v>
      </c>
      <c r="AE4152" s="11"/>
    </row>
    <row r="4153" customHeight="1" spans="1:31">
      <c r="A4153" s="12" t="s">
        <v>30</v>
      </c>
      <c r="B4153" s="12" t="s">
        <v>7481</v>
      </c>
      <c r="C4153" s="12">
        <v>251</v>
      </c>
      <c r="D4153" s="12">
        <v>89</v>
      </c>
      <c r="E4153" s="12">
        <v>192</v>
      </c>
      <c r="F4153" s="12">
        <v>142</v>
      </c>
      <c r="G4153" s="12">
        <v>447</v>
      </c>
      <c r="H4153" s="12">
        <v>3645438</v>
      </c>
      <c r="I4153" s="12" t="s">
        <v>6403</v>
      </c>
      <c r="J4153" s="12" t="s">
        <v>1630</v>
      </c>
      <c r="K4153" s="12" t="s">
        <v>15819</v>
      </c>
      <c r="L4153" s="12" t="s">
        <v>19644</v>
      </c>
      <c r="M4153" s="12" t="s">
        <v>19645</v>
      </c>
      <c r="N4153" s="12">
        <v>55040</v>
      </c>
      <c r="O4153" s="12">
        <v>923</v>
      </c>
      <c r="P4153" s="12">
        <v>1</v>
      </c>
      <c r="Q4153" s="12" t="s">
        <v>19646</v>
      </c>
      <c r="R4153" s="15" t="s">
        <v>19647</v>
      </c>
      <c r="S4153" s="12">
        <v>539</v>
      </c>
      <c r="T4153" s="12" t="s">
        <v>1465</v>
      </c>
      <c r="U4153" s="12" t="s">
        <v>1466</v>
      </c>
      <c r="V4153" s="12" t="s">
        <v>5614</v>
      </c>
      <c r="W4153" s="12">
        <v>2200000</v>
      </c>
      <c r="X4153" s="12">
        <v>2003</v>
      </c>
      <c r="Y4153" s="12">
        <v>236</v>
      </c>
      <c r="Z4153" s="12">
        <v>6.8</v>
      </c>
      <c r="AA4153" s="12">
        <v>2.35</v>
      </c>
      <c r="AB4153" s="12">
        <v>0</v>
      </c>
      <c r="AC4153" s="12"/>
      <c r="AD4153" s="12" t="str">
        <f>IFERROR(__xludf.DUMMYFUNCTION("""COMPUTED_VALUE"""),"Rick Dial")</f>
        <v>Rick Dial</v>
      </c>
      <c r="AE4153" s="12"/>
    </row>
    <row r="4154" customHeight="1" spans="1:31">
      <c r="A4154" s="11" t="s">
        <v>30</v>
      </c>
      <c r="B4154" s="11" t="s">
        <v>19648</v>
      </c>
      <c r="C4154" s="11">
        <v>57</v>
      </c>
      <c r="D4154" s="11">
        <v>90</v>
      </c>
      <c r="E4154" s="11">
        <v>18</v>
      </c>
      <c r="F4154" s="11">
        <v>39</v>
      </c>
      <c r="G4154" s="11">
        <v>130</v>
      </c>
      <c r="H4154" s="13"/>
      <c r="I4154" s="11" t="s">
        <v>7500</v>
      </c>
      <c r="J4154" s="11" t="s">
        <v>19649</v>
      </c>
      <c r="K4154" s="11" t="s">
        <v>19650</v>
      </c>
      <c r="L4154" s="11" t="s">
        <v>19651</v>
      </c>
      <c r="M4154" s="11" t="s">
        <v>19652</v>
      </c>
      <c r="N4154" s="11">
        <v>4173</v>
      </c>
      <c r="O4154" s="11">
        <v>362</v>
      </c>
      <c r="P4154" s="11">
        <v>1</v>
      </c>
      <c r="Q4154" s="11" t="s">
        <v>19653</v>
      </c>
      <c r="R4154" s="14" t="s">
        <v>19654</v>
      </c>
      <c r="S4154" s="11">
        <v>32</v>
      </c>
      <c r="T4154" s="11" t="s">
        <v>39</v>
      </c>
      <c r="U4154" s="11" t="s">
        <v>371</v>
      </c>
      <c r="V4154" s="11" t="s">
        <v>41</v>
      </c>
      <c r="W4154" s="13"/>
      <c r="X4154" s="11">
        <v>2010</v>
      </c>
      <c r="Y4154" s="11">
        <v>96</v>
      </c>
      <c r="Z4154" s="11">
        <v>6.1</v>
      </c>
      <c r="AA4154" s="11">
        <v>1.85</v>
      </c>
      <c r="AB4154" s="11">
        <v>0</v>
      </c>
      <c r="AC4154" s="11"/>
      <c r="AD4154" s="11" t="str">
        <f>IFERROR(__xludf.DUMMYFUNCTION("""COMPUTED_VALUE"""),"Daryl Hannah")</f>
        <v>Daryl Hannah</v>
      </c>
      <c r="AE4154" s="11"/>
    </row>
    <row r="4155" customHeight="1" spans="1:31">
      <c r="A4155" s="12" t="s">
        <v>30</v>
      </c>
      <c r="B4155" s="12" t="s">
        <v>19655</v>
      </c>
      <c r="C4155" s="12">
        <v>14</v>
      </c>
      <c r="D4155" s="12">
        <v>89</v>
      </c>
      <c r="E4155" s="12">
        <v>6</v>
      </c>
      <c r="F4155" s="12">
        <v>29</v>
      </c>
      <c r="G4155" s="12">
        <v>679</v>
      </c>
      <c r="H4155" s="16"/>
      <c r="I4155" s="12" t="s">
        <v>4905</v>
      </c>
      <c r="J4155" s="12" t="s">
        <v>15762</v>
      </c>
      <c r="K4155" s="12" t="s">
        <v>19656</v>
      </c>
      <c r="L4155" s="12" t="s">
        <v>19657</v>
      </c>
      <c r="M4155" s="12" t="s">
        <v>19658</v>
      </c>
      <c r="N4155" s="12">
        <v>859</v>
      </c>
      <c r="O4155" s="12">
        <v>964</v>
      </c>
      <c r="P4155" s="12">
        <v>0</v>
      </c>
      <c r="Q4155" s="12" t="s">
        <v>19659</v>
      </c>
      <c r="R4155" s="15" t="s">
        <v>19660</v>
      </c>
      <c r="S4155" s="12">
        <v>17</v>
      </c>
      <c r="T4155" s="12" t="s">
        <v>39</v>
      </c>
      <c r="U4155" s="12" t="s">
        <v>40</v>
      </c>
      <c r="V4155" s="12" t="s">
        <v>586</v>
      </c>
      <c r="W4155" s="12">
        <v>3000000</v>
      </c>
      <c r="X4155" s="12">
        <v>2015</v>
      </c>
      <c r="Y4155" s="12">
        <v>234</v>
      </c>
      <c r="Z4155" s="12">
        <v>4</v>
      </c>
      <c r="AA4155" s="12">
        <v>2.35</v>
      </c>
      <c r="AB4155" s="12">
        <v>369</v>
      </c>
      <c r="AC4155" s="12"/>
      <c r="AD4155" s="12" t="str">
        <f>IFERROR(__xludf.DUMMYFUNCTION("""COMPUTED_VALUE"""),"Amy Madigan")</f>
        <v>Amy Madigan</v>
      </c>
      <c r="AE4155" s="12"/>
    </row>
    <row r="4156" customHeight="1" spans="1:31">
      <c r="A4156" s="11" t="s">
        <v>30</v>
      </c>
      <c r="B4156" s="11" t="s">
        <v>13079</v>
      </c>
      <c r="C4156" s="11">
        <v>159</v>
      </c>
      <c r="D4156" s="11">
        <v>116</v>
      </c>
      <c r="E4156" s="11">
        <v>153</v>
      </c>
      <c r="F4156" s="11">
        <v>165</v>
      </c>
      <c r="G4156" s="11">
        <v>275</v>
      </c>
      <c r="H4156" s="11">
        <v>22201636</v>
      </c>
      <c r="I4156" s="11" t="s">
        <v>5580</v>
      </c>
      <c r="J4156" s="11" t="s">
        <v>19661</v>
      </c>
      <c r="K4156" s="11" t="s">
        <v>19662</v>
      </c>
      <c r="L4156" s="11" t="s">
        <v>19663</v>
      </c>
      <c r="M4156" s="11" t="s">
        <v>19664</v>
      </c>
      <c r="N4156" s="11">
        <v>33567</v>
      </c>
      <c r="O4156" s="11">
        <v>727</v>
      </c>
      <c r="P4156" s="11">
        <v>1</v>
      </c>
      <c r="Q4156" s="11" t="s">
        <v>19665</v>
      </c>
      <c r="R4156" s="14" t="s">
        <v>19666</v>
      </c>
      <c r="S4156" s="11">
        <v>206</v>
      </c>
      <c r="T4156" s="11" t="s">
        <v>39</v>
      </c>
      <c r="U4156" s="11" t="s">
        <v>40</v>
      </c>
      <c r="V4156" s="11" t="s">
        <v>586</v>
      </c>
      <c r="W4156" s="11">
        <v>8000000</v>
      </c>
      <c r="X4156" s="11">
        <v>2005</v>
      </c>
      <c r="Y4156" s="11">
        <v>247</v>
      </c>
      <c r="Z4156" s="11">
        <v>7.4</v>
      </c>
      <c r="AA4156" s="11">
        <v>1.85</v>
      </c>
      <c r="AB4156" s="11">
        <v>0</v>
      </c>
      <c r="AC4156" s="11"/>
      <c r="AD4156" s="11" t="str">
        <f>IFERROR(__xludf.DUMMYFUNCTION("""COMPUTED_VALUE"""),"Luis E. Carazo")</f>
        <v>Luis E. Carazo</v>
      </c>
      <c r="AE4156" s="11"/>
    </row>
    <row r="4157" customHeight="1" spans="1:31">
      <c r="A4157" s="12" t="s">
        <v>748</v>
      </c>
      <c r="B4157" s="12" t="s">
        <v>18467</v>
      </c>
      <c r="C4157" s="12">
        <v>181</v>
      </c>
      <c r="D4157" s="12">
        <v>120</v>
      </c>
      <c r="E4157" s="12">
        <v>0</v>
      </c>
      <c r="F4157" s="12">
        <v>102</v>
      </c>
      <c r="G4157" s="12">
        <v>105</v>
      </c>
      <c r="H4157" s="12">
        <v>25000000</v>
      </c>
      <c r="I4157" s="12" t="s">
        <v>6546</v>
      </c>
      <c r="J4157" s="12" t="s">
        <v>19667</v>
      </c>
      <c r="K4157" s="12" t="s">
        <v>19668</v>
      </c>
      <c r="L4157" s="12" t="s">
        <v>19669</v>
      </c>
      <c r="M4157" s="12" t="s">
        <v>19670</v>
      </c>
      <c r="N4157" s="12">
        <v>175196</v>
      </c>
      <c r="O4157" s="12">
        <v>527</v>
      </c>
      <c r="P4157" s="12">
        <v>2</v>
      </c>
      <c r="Q4157" s="12" t="s">
        <v>19671</v>
      </c>
      <c r="R4157" s="15" t="s">
        <v>19672</v>
      </c>
      <c r="S4157" s="12">
        <v>350</v>
      </c>
      <c r="T4157" s="12" t="s">
        <v>39</v>
      </c>
      <c r="U4157" s="12" t="s">
        <v>40</v>
      </c>
      <c r="V4157" s="12" t="s">
        <v>4831</v>
      </c>
      <c r="W4157" s="12">
        <v>2883848</v>
      </c>
      <c r="X4157" s="12">
        <v>1959</v>
      </c>
      <c r="Y4157" s="12">
        <v>103</v>
      </c>
      <c r="Z4157" s="12">
        <v>8.3</v>
      </c>
      <c r="AA4157" s="12">
        <v>1.66</v>
      </c>
      <c r="AB4157" s="12">
        <v>10000</v>
      </c>
      <c r="AC4157" s="12"/>
      <c r="AD4157" s="12" t="str">
        <f>IFERROR(__xludf.DUMMYFUNCTION("""COMPUTED_VALUE"""),"Dominik García-Lorido")</f>
        <v>Dominik García-Lorido</v>
      </c>
      <c r="AE4157" s="12"/>
    </row>
    <row r="4158" customHeight="1" spans="1:31">
      <c r="A4158" s="11" t="s">
        <v>30</v>
      </c>
      <c r="B4158" s="11" t="s">
        <v>19673</v>
      </c>
      <c r="C4158" s="11">
        <v>110</v>
      </c>
      <c r="D4158" s="11">
        <v>88</v>
      </c>
      <c r="E4158" s="11">
        <v>152</v>
      </c>
      <c r="F4158" s="11">
        <v>181</v>
      </c>
      <c r="G4158" s="11">
        <v>935</v>
      </c>
      <c r="H4158" s="11">
        <v>19170001</v>
      </c>
      <c r="I4158" s="11" t="s">
        <v>6403</v>
      </c>
      <c r="J4158" s="11" t="s">
        <v>13485</v>
      </c>
      <c r="K4158" s="11" t="s">
        <v>19674</v>
      </c>
      <c r="L4158" s="11" t="s">
        <v>19675</v>
      </c>
      <c r="M4158" s="11" t="s">
        <v>19676</v>
      </c>
      <c r="N4158" s="11">
        <v>21359</v>
      </c>
      <c r="O4158" s="11">
        <v>1855</v>
      </c>
      <c r="P4158" s="11">
        <v>0</v>
      </c>
      <c r="Q4158" s="11" t="s">
        <v>19677</v>
      </c>
      <c r="R4158" s="14" t="s">
        <v>19678</v>
      </c>
      <c r="S4158" s="11">
        <v>270</v>
      </c>
      <c r="T4158" s="11" t="s">
        <v>39</v>
      </c>
      <c r="U4158" s="11" t="s">
        <v>40</v>
      </c>
      <c r="V4158" s="11" t="s">
        <v>586</v>
      </c>
      <c r="W4158" s="11">
        <v>2800000</v>
      </c>
      <c r="X4158" s="11">
        <v>1988</v>
      </c>
      <c r="Y4158" s="11">
        <v>448</v>
      </c>
      <c r="Z4158" s="11">
        <v>5.3</v>
      </c>
      <c r="AA4158" s="11">
        <v>1.85</v>
      </c>
      <c r="AB4158" s="11">
        <v>0</v>
      </c>
      <c r="AC4158" s="11"/>
      <c r="AD4158" s="11" t="str">
        <f>IFERROR(__xludf.DUMMYFUNCTION("""COMPUTED_VALUE"""),"Wale Ojo")</f>
        <v>Wale Ojo</v>
      </c>
      <c r="AE4158" s="11"/>
    </row>
    <row r="4159" customHeight="1" spans="1:31">
      <c r="A4159" s="12" t="s">
        <v>748</v>
      </c>
      <c r="B4159" s="12" t="s">
        <v>18791</v>
      </c>
      <c r="C4159" s="12">
        <v>213</v>
      </c>
      <c r="D4159" s="12">
        <v>102</v>
      </c>
      <c r="E4159" s="12">
        <v>149</v>
      </c>
      <c r="F4159" s="12">
        <v>357</v>
      </c>
      <c r="G4159" s="12">
        <v>695</v>
      </c>
      <c r="H4159" s="12">
        <v>22202612</v>
      </c>
      <c r="I4159" s="12" t="s">
        <v>9791</v>
      </c>
      <c r="J4159" s="12" t="s">
        <v>19679</v>
      </c>
      <c r="K4159" s="12" t="s">
        <v>19680</v>
      </c>
      <c r="L4159" s="12" t="s">
        <v>19681</v>
      </c>
      <c r="M4159" s="12" t="s">
        <v>19682</v>
      </c>
      <c r="N4159" s="12">
        <v>291875</v>
      </c>
      <c r="O4159" s="12">
        <v>2509</v>
      </c>
      <c r="P4159" s="12">
        <v>3</v>
      </c>
      <c r="Q4159" s="12" t="s">
        <v>19683</v>
      </c>
      <c r="R4159" s="15" t="s">
        <v>19684</v>
      </c>
      <c r="S4159" s="12">
        <v>533</v>
      </c>
      <c r="T4159" s="12" t="s">
        <v>39</v>
      </c>
      <c r="U4159" s="12" t="s">
        <v>40</v>
      </c>
      <c r="V4159" s="12" t="s">
        <v>15938</v>
      </c>
      <c r="W4159" s="12">
        <v>2800000</v>
      </c>
      <c r="X4159" s="12">
        <v>1939</v>
      </c>
      <c r="Y4159" s="12">
        <v>421</v>
      </c>
      <c r="Z4159" s="12">
        <v>8.1</v>
      </c>
      <c r="AA4159" s="12">
        <v>1.37</v>
      </c>
      <c r="AB4159" s="12">
        <v>14000</v>
      </c>
      <c r="AC4159" s="12"/>
      <c r="AD4159" s="12" t="str">
        <f>IFERROR(__xludf.DUMMYFUNCTION("""COMPUTED_VALUE"""),"Annette Badland")</f>
        <v>Annette Badland</v>
      </c>
      <c r="AE4159" s="12"/>
    </row>
    <row r="4160" customHeight="1" spans="1:31">
      <c r="A4160" s="11" t="s">
        <v>748</v>
      </c>
      <c r="B4160" s="11" t="s">
        <v>10326</v>
      </c>
      <c r="C4160" s="11">
        <v>129</v>
      </c>
      <c r="D4160" s="11">
        <v>106</v>
      </c>
      <c r="E4160" s="11">
        <v>0</v>
      </c>
      <c r="F4160" s="11">
        <v>481</v>
      </c>
      <c r="G4160" s="11">
        <v>1000</v>
      </c>
      <c r="H4160" s="11">
        <v>86300000</v>
      </c>
      <c r="I4160" s="11" t="s">
        <v>1672</v>
      </c>
      <c r="J4160" s="11" t="s">
        <v>5798</v>
      </c>
      <c r="K4160" s="11" t="s">
        <v>3283</v>
      </c>
      <c r="L4160" s="11" t="s">
        <v>10642</v>
      </c>
      <c r="M4160" s="11" t="s">
        <v>19685</v>
      </c>
      <c r="N4160" s="11">
        <v>112671</v>
      </c>
      <c r="O4160" s="11">
        <v>2703</v>
      </c>
      <c r="P4160" s="11">
        <v>0</v>
      </c>
      <c r="Q4160" s="11" t="s">
        <v>19686</v>
      </c>
      <c r="R4160" s="14" t="s">
        <v>19687</v>
      </c>
      <c r="S4160" s="11">
        <v>315</v>
      </c>
      <c r="T4160" s="11" t="s">
        <v>39</v>
      </c>
      <c r="U4160" s="11" t="s">
        <v>40</v>
      </c>
      <c r="V4160" s="11" t="s">
        <v>96</v>
      </c>
      <c r="W4160" s="11">
        <v>2800000</v>
      </c>
      <c r="X4160" s="11">
        <v>1974</v>
      </c>
      <c r="Y4160" s="11">
        <v>595</v>
      </c>
      <c r="Z4160" s="11">
        <v>8</v>
      </c>
      <c r="AA4160" s="11">
        <v>1.85</v>
      </c>
      <c r="AB4160" s="11">
        <v>14000</v>
      </c>
      <c r="AC4160" s="11"/>
      <c r="AD4160" s="11" t="str">
        <f>IFERROR(__xludf.DUMMYFUNCTION("""COMPUTED_VALUE"""),"Hugh M. Hefner")</f>
        <v>Hugh M. Hefner</v>
      </c>
      <c r="AE4160" s="11"/>
    </row>
    <row r="4161" customHeight="1" spans="1:31">
      <c r="A4161" s="12" t="s">
        <v>30</v>
      </c>
      <c r="B4161" s="12" t="s">
        <v>2496</v>
      </c>
      <c r="C4161" s="12">
        <v>280</v>
      </c>
      <c r="D4161" s="12">
        <v>95</v>
      </c>
      <c r="E4161" s="12">
        <v>0</v>
      </c>
      <c r="F4161" s="12">
        <v>192</v>
      </c>
      <c r="G4161" s="12">
        <v>569</v>
      </c>
      <c r="H4161" s="12">
        <v>952620</v>
      </c>
      <c r="I4161" s="12" t="s">
        <v>6403</v>
      </c>
      <c r="J4161" s="12" t="s">
        <v>5061</v>
      </c>
      <c r="K4161" s="12" t="s">
        <v>4500</v>
      </c>
      <c r="L4161" s="12" t="s">
        <v>19688</v>
      </c>
      <c r="M4161" s="12" t="s">
        <v>19689</v>
      </c>
      <c r="N4161" s="12">
        <v>40800</v>
      </c>
      <c r="O4161" s="12">
        <v>1797</v>
      </c>
      <c r="P4161" s="12">
        <v>0</v>
      </c>
      <c r="Q4161" s="12" t="s">
        <v>19690</v>
      </c>
      <c r="R4161" s="15" t="s">
        <v>19691</v>
      </c>
      <c r="S4161" s="12">
        <v>332</v>
      </c>
      <c r="T4161" s="12" t="s">
        <v>39</v>
      </c>
      <c r="U4161" s="12" t="s">
        <v>40</v>
      </c>
      <c r="V4161" s="12" t="s">
        <v>586</v>
      </c>
      <c r="W4161" s="12">
        <v>2000000</v>
      </c>
      <c r="X4161" s="12">
        <v>2007</v>
      </c>
      <c r="Y4161" s="12">
        <v>529</v>
      </c>
      <c r="Z4161" s="12">
        <v>5.7</v>
      </c>
      <c r="AA4161" s="12">
        <v>1.85</v>
      </c>
      <c r="AB4161" s="12">
        <v>0</v>
      </c>
      <c r="AC4161" s="12"/>
      <c r="AD4161" s="12" t="str">
        <f>IFERROR(__xludf.DUMMYFUNCTION("""COMPUTED_VALUE"""),"Windell Middlebrooks")</f>
        <v>Windell Middlebrooks</v>
      </c>
      <c r="AE4161" s="12"/>
    </row>
    <row r="4162" customHeight="1" spans="1:31">
      <c r="A4162" s="11" t="s">
        <v>30</v>
      </c>
      <c r="B4162" s="11" t="s">
        <v>19692</v>
      </c>
      <c r="C4162" s="11">
        <v>15</v>
      </c>
      <c r="D4162" s="11">
        <v>144</v>
      </c>
      <c r="E4162" s="11">
        <v>124</v>
      </c>
      <c r="F4162" s="11">
        <v>327</v>
      </c>
      <c r="G4162" s="11">
        <v>464</v>
      </c>
      <c r="H4162" s="13"/>
      <c r="I4162" s="11" t="s">
        <v>1415</v>
      </c>
      <c r="J4162" s="11" t="s">
        <v>18389</v>
      </c>
      <c r="K4162" s="11" t="s">
        <v>19693</v>
      </c>
      <c r="L4162" s="11" t="s">
        <v>15898</v>
      </c>
      <c r="M4162" s="11" t="s">
        <v>19694</v>
      </c>
      <c r="N4162" s="11">
        <v>27569</v>
      </c>
      <c r="O4162" s="11">
        <v>1761</v>
      </c>
      <c r="P4162" s="11">
        <v>0</v>
      </c>
      <c r="Q4162" s="11" t="s">
        <v>19695</v>
      </c>
      <c r="R4162" s="14" t="s">
        <v>19696</v>
      </c>
      <c r="S4162" s="11">
        <v>106</v>
      </c>
      <c r="T4162" s="11" t="s">
        <v>5612</v>
      </c>
      <c r="U4162" s="11" t="s">
        <v>5613</v>
      </c>
      <c r="V4162" s="11" t="s">
        <v>41</v>
      </c>
      <c r="W4162" s="11">
        <v>120000000</v>
      </c>
      <c r="X4162" s="11">
        <v>2006</v>
      </c>
      <c r="Y4162" s="11">
        <v>426</v>
      </c>
      <c r="Z4162" s="11">
        <v>8.2</v>
      </c>
      <c r="AA4162" s="11">
        <v>2.35</v>
      </c>
      <c r="AB4162" s="11">
        <v>349</v>
      </c>
      <c r="AC4162" s="11"/>
      <c r="AD4162" s="11" t="str">
        <f>IFERROR(__xludf.DUMMYFUNCTION("""COMPUTED_VALUE"""),"Raquel Alessi")</f>
        <v>Raquel Alessi</v>
      </c>
      <c r="AE4162" s="11"/>
    </row>
    <row r="4163" customHeight="1" spans="1:31">
      <c r="A4163" s="12" t="s">
        <v>30</v>
      </c>
      <c r="B4163" s="12" t="s">
        <v>19697</v>
      </c>
      <c r="C4163" s="12">
        <v>61</v>
      </c>
      <c r="D4163" s="12">
        <v>113</v>
      </c>
      <c r="E4163" s="12">
        <v>9</v>
      </c>
      <c r="F4163" s="12">
        <v>42</v>
      </c>
      <c r="G4163" s="12">
        <v>402</v>
      </c>
      <c r="H4163" s="12">
        <v>9054736</v>
      </c>
      <c r="I4163" s="12" t="s">
        <v>3410</v>
      </c>
      <c r="J4163" s="12" t="s">
        <v>1366</v>
      </c>
      <c r="K4163" s="12" t="s">
        <v>19698</v>
      </c>
      <c r="L4163" s="12" t="s">
        <v>19699</v>
      </c>
      <c r="M4163" s="12" t="s">
        <v>19700</v>
      </c>
      <c r="N4163" s="12">
        <v>5744</v>
      </c>
      <c r="O4163" s="12">
        <v>787</v>
      </c>
      <c r="P4163" s="12">
        <v>1</v>
      </c>
      <c r="Q4163" s="12" t="s">
        <v>19701</v>
      </c>
      <c r="R4163" s="15" t="s">
        <v>19702</v>
      </c>
      <c r="S4163" s="12">
        <v>57</v>
      </c>
      <c r="T4163" s="12" t="s">
        <v>39</v>
      </c>
      <c r="U4163" s="12" t="s">
        <v>40</v>
      </c>
      <c r="V4163" s="12" t="s">
        <v>586</v>
      </c>
      <c r="W4163" s="12">
        <v>2700000</v>
      </c>
      <c r="X4163" s="12">
        <v>1997</v>
      </c>
      <c r="Y4163" s="12">
        <v>222</v>
      </c>
      <c r="Z4163" s="12">
        <v>7.1</v>
      </c>
      <c r="AA4163" s="12">
        <v>1.66</v>
      </c>
      <c r="AB4163" s="12">
        <v>381</v>
      </c>
      <c r="AC4163" s="12"/>
      <c r="AD4163" s="12" t="str">
        <f>IFERROR(__xludf.DUMMYFUNCTION("""COMPUTED_VALUE"""),"Lawrence Gilliard Jr.")</f>
        <v>Lawrence Gilliard Jr.</v>
      </c>
      <c r="AE4163" s="12"/>
    </row>
    <row r="4164" customHeight="1" spans="1:31">
      <c r="A4164" s="11" t="s">
        <v>30</v>
      </c>
      <c r="B4164" s="11" t="s">
        <v>14357</v>
      </c>
      <c r="C4164" s="11">
        <v>33</v>
      </c>
      <c r="D4164" s="11">
        <v>118</v>
      </c>
      <c r="E4164" s="11">
        <v>19</v>
      </c>
      <c r="F4164" s="11">
        <v>48</v>
      </c>
      <c r="G4164" s="11">
        <v>481</v>
      </c>
      <c r="H4164" s="13"/>
      <c r="I4164" s="11" t="s">
        <v>19703</v>
      </c>
      <c r="J4164" s="11" t="s">
        <v>10642</v>
      </c>
      <c r="K4164" s="11" t="s">
        <v>19704</v>
      </c>
      <c r="L4164" s="11" t="s">
        <v>19705</v>
      </c>
      <c r="M4164" s="11" t="s">
        <v>19706</v>
      </c>
      <c r="N4164" s="11">
        <v>8856</v>
      </c>
      <c r="O4164" s="11">
        <v>681</v>
      </c>
      <c r="P4164" s="11">
        <v>0</v>
      </c>
      <c r="Q4164" s="11" t="s">
        <v>19707</v>
      </c>
      <c r="R4164" s="14" t="s">
        <v>19708</v>
      </c>
      <c r="S4164" s="11">
        <v>90</v>
      </c>
      <c r="T4164" s="11" t="s">
        <v>39</v>
      </c>
      <c r="U4164" s="11" t="s">
        <v>40</v>
      </c>
      <c r="V4164" s="11" t="s">
        <v>278</v>
      </c>
      <c r="W4164" s="11">
        <v>2700000</v>
      </c>
      <c r="X4164" s="11">
        <v>1979</v>
      </c>
      <c r="Y4164" s="11">
        <v>81</v>
      </c>
      <c r="Z4164" s="11">
        <v>7.4</v>
      </c>
      <c r="AA4164" s="11">
        <v>1.85</v>
      </c>
      <c r="AB4164" s="11">
        <v>0</v>
      </c>
      <c r="AC4164" s="11"/>
      <c r="AD4164" s="11" t="str">
        <f>IFERROR(__xludf.DUMMYFUNCTION("""COMPUTED_VALUE"""),"Jason Dohring")</f>
        <v>Jason Dohring</v>
      </c>
      <c r="AE4164" s="11"/>
    </row>
    <row r="4165" customHeight="1" spans="1:31">
      <c r="A4165" s="12" t="s">
        <v>30</v>
      </c>
      <c r="B4165" s="12" t="s">
        <v>19709</v>
      </c>
      <c r="C4165" s="12">
        <v>1</v>
      </c>
      <c r="D4165" s="12">
        <v>141</v>
      </c>
      <c r="E4165" s="12">
        <v>2</v>
      </c>
      <c r="F4165" s="12">
        <v>32</v>
      </c>
      <c r="G4165" s="12">
        <v>258</v>
      </c>
      <c r="H4165" s="16"/>
      <c r="I4165" s="12" t="s">
        <v>19710</v>
      </c>
      <c r="J4165" s="12" t="s">
        <v>19711</v>
      </c>
      <c r="K4165" s="12" t="s">
        <v>19712</v>
      </c>
      <c r="L4165" s="12" t="s">
        <v>19713</v>
      </c>
      <c r="M4165" s="12" t="s">
        <v>19714</v>
      </c>
      <c r="N4165" s="12">
        <v>745</v>
      </c>
      <c r="O4165" s="12">
        <v>434</v>
      </c>
      <c r="P4165" s="12">
        <v>2</v>
      </c>
      <c r="Q4165" s="16"/>
      <c r="R4165" s="15" t="s">
        <v>19715</v>
      </c>
      <c r="S4165" s="12">
        <v>8</v>
      </c>
      <c r="T4165" s="12" t="s">
        <v>19716</v>
      </c>
      <c r="U4165" s="12" t="s">
        <v>269</v>
      </c>
      <c r="V4165" s="16"/>
      <c r="W4165" s="12">
        <v>3000000</v>
      </c>
      <c r="X4165" s="12">
        <v>2015</v>
      </c>
      <c r="Y4165" s="12">
        <v>85</v>
      </c>
      <c r="Z4165" s="12">
        <v>6.6</v>
      </c>
      <c r="AA4165" s="16"/>
      <c r="AB4165" s="12">
        <v>50</v>
      </c>
      <c r="AC4165" s="12"/>
      <c r="AD4165" s="12" t="str">
        <f>IFERROR(__xludf.DUMMYFUNCTION("""COMPUTED_VALUE"""),"John Cameron Mitchell")</f>
        <v>John Cameron Mitchell</v>
      </c>
      <c r="AE4165" s="12"/>
    </row>
    <row r="4166" customHeight="1" spans="1:31">
      <c r="A4166" s="11" t="s">
        <v>30</v>
      </c>
      <c r="B4166" s="11" t="s">
        <v>19717</v>
      </c>
      <c r="C4166" s="11">
        <v>2</v>
      </c>
      <c r="D4166" s="11">
        <v>90</v>
      </c>
      <c r="E4166" s="11">
        <v>0</v>
      </c>
      <c r="F4166" s="11">
        <v>13</v>
      </c>
      <c r="G4166" s="11">
        <v>122</v>
      </c>
      <c r="H4166" s="13"/>
      <c r="I4166" s="11" t="s">
        <v>19718</v>
      </c>
      <c r="J4166" s="11" t="s">
        <v>10299</v>
      </c>
      <c r="K4166" s="11" t="s">
        <v>19719</v>
      </c>
      <c r="L4166" s="11" t="s">
        <v>19720</v>
      </c>
      <c r="M4166" s="11" t="s">
        <v>19721</v>
      </c>
      <c r="N4166" s="11">
        <v>1828</v>
      </c>
      <c r="O4166" s="11">
        <v>197</v>
      </c>
      <c r="P4166" s="11">
        <v>0</v>
      </c>
      <c r="Q4166" s="11" t="s">
        <v>19722</v>
      </c>
      <c r="R4166" s="14" t="s">
        <v>19723</v>
      </c>
      <c r="S4166" s="11">
        <v>6</v>
      </c>
      <c r="T4166" s="11" t="s">
        <v>15778</v>
      </c>
      <c r="U4166" s="11" t="s">
        <v>7712</v>
      </c>
      <c r="V4166" s="11" t="s">
        <v>4831</v>
      </c>
      <c r="W4166" s="13"/>
      <c r="X4166" s="11">
        <v>2008</v>
      </c>
      <c r="Y4166" s="11">
        <v>33</v>
      </c>
      <c r="Z4166" s="11">
        <v>5.7</v>
      </c>
      <c r="AA4166" s="11">
        <v>1.85</v>
      </c>
      <c r="AB4166" s="11">
        <v>77</v>
      </c>
      <c r="AC4166" s="11"/>
      <c r="AD4166" s="11" t="str">
        <f>IFERROR(__xludf.DUMMYFUNCTION("""COMPUTED_VALUE"""),"Miriam Shor")</f>
        <v>Miriam Shor</v>
      </c>
      <c r="AE4166" s="11"/>
    </row>
    <row r="4167" customHeight="1" spans="1:31">
      <c r="A4167" s="12" t="s">
        <v>30</v>
      </c>
      <c r="B4167" s="12" t="s">
        <v>19130</v>
      </c>
      <c r="C4167" s="12">
        <v>27</v>
      </c>
      <c r="D4167" s="12">
        <v>109</v>
      </c>
      <c r="E4167" s="12">
        <v>673</v>
      </c>
      <c r="F4167" s="12">
        <v>359</v>
      </c>
      <c r="G4167" s="12">
        <v>756</v>
      </c>
      <c r="H4167" s="16"/>
      <c r="I4167" s="12" t="s">
        <v>11649</v>
      </c>
      <c r="J4167" s="12" t="s">
        <v>10890</v>
      </c>
      <c r="K4167" s="12" t="s">
        <v>19724</v>
      </c>
      <c r="L4167" s="12" t="s">
        <v>12389</v>
      </c>
      <c r="M4167" s="12" t="s">
        <v>19725</v>
      </c>
      <c r="N4167" s="12">
        <v>5786</v>
      </c>
      <c r="O4167" s="12">
        <v>1949</v>
      </c>
      <c r="P4167" s="12">
        <v>1</v>
      </c>
      <c r="Q4167" s="12" t="s">
        <v>19726</v>
      </c>
      <c r="R4167" s="15" t="s">
        <v>19727</v>
      </c>
      <c r="S4167" s="12">
        <v>65</v>
      </c>
      <c r="T4167" s="12" t="s">
        <v>39</v>
      </c>
      <c r="U4167" s="12" t="s">
        <v>40</v>
      </c>
      <c r="V4167" s="12" t="s">
        <v>4831</v>
      </c>
      <c r="W4167" s="12">
        <v>2686585</v>
      </c>
      <c r="X4167" s="12">
        <v>1963</v>
      </c>
      <c r="Y4167" s="12">
        <v>370</v>
      </c>
      <c r="Z4167" s="12">
        <v>6.9</v>
      </c>
      <c r="AA4167" s="12">
        <v>1.85</v>
      </c>
      <c r="AB4167" s="12">
        <v>573</v>
      </c>
      <c r="AC4167" s="12"/>
      <c r="AD4167" s="12" t="str">
        <f>IFERROR(__xludf.DUMMYFUNCTION("""COMPUTED_VALUE"""),"Ryan Bollman")</f>
        <v>Ryan Bollman</v>
      </c>
      <c r="AE4167" s="12"/>
    </row>
    <row r="4168" customHeight="1" spans="1:31">
      <c r="A4168" s="11" t="s">
        <v>30</v>
      </c>
      <c r="B4168" s="11" t="s">
        <v>19728</v>
      </c>
      <c r="C4168" s="11">
        <v>19</v>
      </c>
      <c r="D4168" s="11">
        <v>95</v>
      </c>
      <c r="E4168" s="11">
        <v>53</v>
      </c>
      <c r="F4168" s="11">
        <v>2</v>
      </c>
      <c r="G4168" s="11">
        <v>20</v>
      </c>
      <c r="H4168" s="13"/>
      <c r="I4168" s="11" t="s">
        <v>2528</v>
      </c>
      <c r="J4168" s="11" t="s">
        <v>19729</v>
      </c>
      <c r="K4168" s="11" t="s">
        <v>19730</v>
      </c>
      <c r="L4168" s="11" t="s">
        <v>19731</v>
      </c>
      <c r="M4168" s="11" t="s">
        <v>19732</v>
      </c>
      <c r="N4168" s="11">
        <v>1470</v>
      </c>
      <c r="O4168" s="11">
        <v>25</v>
      </c>
      <c r="P4168" s="11">
        <v>0</v>
      </c>
      <c r="Q4168" s="11" t="s">
        <v>19733</v>
      </c>
      <c r="R4168" s="14" t="s">
        <v>19734</v>
      </c>
      <c r="S4168" s="11">
        <v>5</v>
      </c>
      <c r="T4168" s="11" t="s">
        <v>10491</v>
      </c>
      <c r="U4168" s="11" t="s">
        <v>10492</v>
      </c>
      <c r="V4168" s="13"/>
      <c r="W4168" s="11">
        <v>2650000</v>
      </c>
      <c r="X4168" s="11">
        <v>1996</v>
      </c>
      <c r="Y4168" s="11">
        <v>3</v>
      </c>
      <c r="Z4168" s="11">
        <v>7</v>
      </c>
      <c r="AA4168" s="11">
        <v>1.85</v>
      </c>
      <c r="AB4168" s="11">
        <v>121</v>
      </c>
      <c r="AC4168" s="11"/>
      <c r="AD4168" s="11" t="str">
        <f>IFERROR(__xludf.DUMMYFUNCTION("""COMPUTED_VALUE"""),"Todd Susman")</f>
        <v>Todd Susman</v>
      </c>
      <c r="AE4168" s="11"/>
    </row>
    <row r="4169" customHeight="1" spans="1:31">
      <c r="A4169" s="12" t="s">
        <v>748</v>
      </c>
      <c r="B4169" s="12" t="s">
        <v>18791</v>
      </c>
      <c r="C4169" s="12">
        <v>9</v>
      </c>
      <c r="D4169" s="12">
        <v>122</v>
      </c>
      <c r="E4169" s="12">
        <v>149</v>
      </c>
      <c r="F4169" s="12">
        <v>315</v>
      </c>
      <c r="G4169" s="12">
        <v>760</v>
      </c>
      <c r="H4169" s="16"/>
      <c r="I4169" s="12" t="s">
        <v>19735</v>
      </c>
      <c r="J4169" s="12" t="s">
        <v>15539</v>
      </c>
      <c r="K4169" s="12" t="s">
        <v>19736</v>
      </c>
      <c r="L4169" s="12" t="s">
        <v>19737</v>
      </c>
      <c r="M4169" s="12" t="s">
        <v>19738</v>
      </c>
      <c r="N4169" s="12">
        <v>1553</v>
      </c>
      <c r="O4169" s="12">
        <v>2555</v>
      </c>
      <c r="P4169" s="12">
        <v>0</v>
      </c>
      <c r="Q4169" s="12" t="s">
        <v>19739</v>
      </c>
      <c r="R4169" s="15" t="s">
        <v>19740</v>
      </c>
      <c r="S4169" s="12">
        <v>27</v>
      </c>
      <c r="T4169" s="12" t="s">
        <v>39</v>
      </c>
      <c r="U4169" s="12" t="s">
        <v>40</v>
      </c>
      <c r="V4169" s="12" t="s">
        <v>15938</v>
      </c>
      <c r="W4169" s="12">
        <v>2627000</v>
      </c>
      <c r="X4169" s="12">
        <v>1943</v>
      </c>
      <c r="Y4169" s="12">
        <v>675</v>
      </c>
      <c r="Z4169" s="12">
        <v>7</v>
      </c>
      <c r="AA4169" s="12">
        <v>1.37</v>
      </c>
      <c r="AB4169" s="12">
        <v>116</v>
      </c>
      <c r="AC4169" s="12"/>
      <c r="AD4169" s="12" t="str">
        <f>IFERROR(__xludf.DUMMYFUNCTION("""COMPUTED_VALUE"""),"Rachel Alig")</f>
        <v>Rachel Alig</v>
      </c>
      <c r="AE4169" s="12"/>
    </row>
    <row r="4170" customHeight="1" spans="1:31">
      <c r="A4170" s="11" t="s">
        <v>30</v>
      </c>
      <c r="B4170" s="11" t="s">
        <v>10326</v>
      </c>
      <c r="C4170" s="11">
        <v>121</v>
      </c>
      <c r="D4170" s="11">
        <v>93</v>
      </c>
      <c r="E4170" s="11">
        <v>0</v>
      </c>
      <c r="F4170" s="11">
        <v>628</v>
      </c>
      <c r="G4170" s="11">
        <v>1000</v>
      </c>
      <c r="H4170" s="11">
        <v>119500000</v>
      </c>
      <c r="I4170" s="11" t="s">
        <v>4486</v>
      </c>
      <c r="J4170" s="11" t="s">
        <v>5798</v>
      </c>
      <c r="K4170" s="11" t="s">
        <v>18080</v>
      </c>
      <c r="L4170" s="11" t="s">
        <v>4109</v>
      </c>
      <c r="M4170" s="11" t="s">
        <v>19741</v>
      </c>
      <c r="N4170" s="11">
        <v>95294</v>
      </c>
      <c r="O4170" s="11">
        <v>4701</v>
      </c>
      <c r="P4170" s="11">
        <v>0</v>
      </c>
      <c r="Q4170" s="11" t="s">
        <v>19742</v>
      </c>
      <c r="R4170" s="14" t="s">
        <v>19743</v>
      </c>
      <c r="S4170" s="11">
        <v>363</v>
      </c>
      <c r="T4170" s="11" t="s">
        <v>39</v>
      </c>
      <c r="U4170" s="11" t="s">
        <v>40</v>
      </c>
      <c r="V4170" s="11" t="s">
        <v>586</v>
      </c>
      <c r="W4170" s="11">
        <v>2600000</v>
      </c>
      <c r="X4170" s="11">
        <v>1974</v>
      </c>
      <c r="Y4170" s="11">
        <v>1000</v>
      </c>
      <c r="Z4170" s="11">
        <v>7.8</v>
      </c>
      <c r="AA4170" s="11">
        <v>2.35</v>
      </c>
      <c r="AB4170" s="11">
        <v>12000</v>
      </c>
      <c r="AC4170" s="11"/>
      <c r="AD4170" s="11" t="str">
        <f>IFERROR(__xludf.DUMMYFUNCTION("""COMPUTED_VALUE"""),"Monda Scott")</f>
        <v>Monda Scott</v>
      </c>
      <c r="AE4170" s="11"/>
    </row>
    <row r="4171" customHeight="1" spans="1:31">
      <c r="A4171" s="12" t="s">
        <v>30</v>
      </c>
      <c r="B4171" s="12" t="s">
        <v>14965</v>
      </c>
      <c r="C4171" s="12">
        <v>166</v>
      </c>
      <c r="D4171" s="12">
        <v>97</v>
      </c>
      <c r="E4171" s="12">
        <v>17</v>
      </c>
      <c r="F4171" s="12">
        <v>74</v>
      </c>
      <c r="G4171" s="12">
        <v>158</v>
      </c>
      <c r="H4171" s="12">
        <v>32600000</v>
      </c>
      <c r="I4171" s="12" t="s">
        <v>5544</v>
      </c>
      <c r="J4171" s="12" t="s">
        <v>19744</v>
      </c>
      <c r="K4171" s="12" t="s">
        <v>19745</v>
      </c>
      <c r="L4171" s="12" t="s">
        <v>19746</v>
      </c>
      <c r="M4171" s="12" t="s">
        <v>19747</v>
      </c>
      <c r="N4171" s="12">
        <v>29488</v>
      </c>
      <c r="O4171" s="12">
        <v>467</v>
      </c>
      <c r="P4171" s="12">
        <v>0</v>
      </c>
      <c r="Q4171" s="12" t="s">
        <v>19748</v>
      </c>
      <c r="R4171" s="15" t="s">
        <v>19749</v>
      </c>
      <c r="S4171" s="12">
        <v>326</v>
      </c>
      <c r="T4171" s="12" t="s">
        <v>39</v>
      </c>
      <c r="U4171" s="12" t="s">
        <v>40</v>
      </c>
      <c r="V4171" s="12" t="s">
        <v>586</v>
      </c>
      <c r="W4171" s="12">
        <v>1800000</v>
      </c>
      <c r="X4171" s="12">
        <v>1984</v>
      </c>
      <c r="Y4171" s="12">
        <v>84</v>
      </c>
      <c r="Z4171" s="12">
        <v>5.9</v>
      </c>
      <c r="AA4171" s="12">
        <v>1.85</v>
      </c>
      <c r="AB4171" s="12">
        <v>0</v>
      </c>
      <c r="AC4171" s="12"/>
      <c r="AD4171" s="12" t="str">
        <f>IFERROR(__xludf.DUMMYFUNCTION("""COMPUTED_VALUE"""),"Alexis Kendra")</f>
        <v>Alexis Kendra</v>
      </c>
      <c r="AE4171" s="12"/>
    </row>
    <row r="4172" customHeight="1" spans="1:31">
      <c r="A4172" s="11" t="s">
        <v>748</v>
      </c>
      <c r="B4172" s="11" t="s">
        <v>19750</v>
      </c>
      <c r="C4172" s="11">
        <v>269</v>
      </c>
      <c r="D4172" s="11">
        <v>82</v>
      </c>
      <c r="E4172" s="11">
        <v>84</v>
      </c>
      <c r="F4172" s="11">
        <v>46</v>
      </c>
      <c r="G4172" s="11">
        <v>88</v>
      </c>
      <c r="H4172" s="11">
        <v>3826455</v>
      </c>
      <c r="I4172" s="11" t="s">
        <v>3410</v>
      </c>
      <c r="J4172" s="11" t="s">
        <v>19751</v>
      </c>
      <c r="K4172" s="11" t="s">
        <v>19752</v>
      </c>
      <c r="L4172" s="11" t="s">
        <v>19753</v>
      </c>
      <c r="M4172" s="11" t="s">
        <v>19754</v>
      </c>
      <c r="N4172" s="11">
        <v>34643</v>
      </c>
      <c r="O4172" s="11">
        <v>205</v>
      </c>
      <c r="P4172" s="11">
        <v>1</v>
      </c>
      <c r="Q4172" s="11" t="s">
        <v>19755</v>
      </c>
      <c r="R4172" s="14" t="s">
        <v>19756</v>
      </c>
      <c r="S4172" s="11">
        <v>123</v>
      </c>
      <c r="T4172" s="11" t="s">
        <v>13606</v>
      </c>
      <c r="U4172" s="11" t="s">
        <v>13607</v>
      </c>
      <c r="V4172" s="11" t="s">
        <v>41</v>
      </c>
      <c r="W4172" s="13"/>
      <c r="X4172" s="11">
        <v>2013</v>
      </c>
      <c r="Y4172" s="11">
        <v>64</v>
      </c>
      <c r="Z4172" s="11">
        <v>7.4</v>
      </c>
      <c r="AA4172" s="11">
        <v>1.33</v>
      </c>
      <c r="AB4172" s="11">
        <v>17000</v>
      </c>
      <c r="AC4172" s="11"/>
      <c r="AD4172" s="11" t="str">
        <f>IFERROR(__xludf.DUMMYFUNCTION("""COMPUTED_VALUE"""),"Lynne Thigpen")</f>
        <v>Lynne Thigpen</v>
      </c>
      <c r="AE4172" s="11"/>
    </row>
    <row r="4173" customHeight="1" spans="1:31">
      <c r="A4173" s="12" t="s">
        <v>30</v>
      </c>
      <c r="B4173" s="12" t="s">
        <v>12561</v>
      </c>
      <c r="C4173" s="12">
        <v>29</v>
      </c>
      <c r="D4173" s="12">
        <v>140</v>
      </c>
      <c r="E4173" s="12">
        <v>133</v>
      </c>
      <c r="F4173" s="12">
        <v>239</v>
      </c>
      <c r="G4173" s="12">
        <v>443</v>
      </c>
      <c r="H4173" s="12">
        <v>3130592</v>
      </c>
      <c r="I4173" s="12" t="s">
        <v>214</v>
      </c>
      <c r="J4173" s="12" t="s">
        <v>5141</v>
      </c>
      <c r="K4173" s="12" t="s">
        <v>15660</v>
      </c>
      <c r="L4173" s="12" t="s">
        <v>8026</v>
      </c>
      <c r="M4173" s="12" t="s">
        <v>19757</v>
      </c>
      <c r="N4173" s="12">
        <v>10755</v>
      </c>
      <c r="O4173" s="12">
        <v>1269</v>
      </c>
      <c r="P4173" s="12">
        <v>1</v>
      </c>
      <c r="Q4173" s="12" t="s">
        <v>19758</v>
      </c>
      <c r="R4173" s="15" t="s">
        <v>19759</v>
      </c>
      <c r="S4173" s="12">
        <v>69</v>
      </c>
      <c r="T4173" s="12" t="s">
        <v>39</v>
      </c>
      <c r="U4173" s="12" t="s">
        <v>58</v>
      </c>
      <c r="V4173" s="12" t="s">
        <v>586</v>
      </c>
      <c r="W4173" s="12">
        <v>2600000</v>
      </c>
      <c r="X4173" s="12">
        <v>1987</v>
      </c>
      <c r="Y4173" s="12">
        <v>249</v>
      </c>
      <c r="Z4173" s="12">
        <v>7.8</v>
      </c>
      <c r="AA4173" s="12">
        <v>1.66</v>
      </c>
      <c r="AB4173" s="12">
        <v>963</v>
      </c>
      <c r="AC4173" s="12"/>
      <c r="AD4173" s="12" t="str">
        <f>IFERROR(__xludf.DUMMYFUNCTION("""COMPUTED_VALUE"""),"Polly Noonan")</f>
        <v>Polly Noonan</v>
      </c>
      <c r="AE4173" s="12"/>
    </row>
    <row r="4174" customHeight="1" spans="1:31">
      <c r="A4174" s="11" t="s">
        <v>30</v>
      </c>
      <c r="B4174" s="11" t="s">
        <v>19760</v>
      </c>
      <c r="C4174" s="11">
        <v>20</v>
      </c>
      <c r="D4174" s="11">
        <v>86</v>
      </c>
      <c r="E4174" s="11">
        <v>3</v>
      </c>
      <c r="F4174" s="11">
        <v>327</v>
      </c>
      <c r="G4174" s="11">
        <v>833</v>
      </c>
      <c r="H4174" s="11">
        <v>475000</v>
      </c>
      <c r="I4174" s="11" t="s">
        <v>3914</v>
      </c>
      <c r="J4174" s="11" t="s">
        <v>624</v>
      </c>
      <c r="K4174" s="11" t="s">
        <v>19761</v>
      </c>
      <c r="L4174" s="11" t="s">
        <v>4745</v>
      </c>
      <c r="M4174" s="11" t="s">
        <v>19762</v>
      </c>
      <c r="N4174" s="11">
        <v>6930</v>
      </c>
      <c r="O4174" s="11">
        <v>2753</v>
      </c>
      <c r="P4174" s="11">
        <v>2</v>
      </c>
      <c r="Q4174" s="11" t="s">
        <v>19763</v>
      </c>
      <c r="R4174" s="14" t="s">
        <v>19764</v>
      </c>
      <c r="S4174" s="11">
        <v>53</v>
      </c>
      <c r="T4174" s="11" t="s">
        <v>39</v>
      </c>
      <c r="U4174" s="11" t="s">
        <v>40</v>
      </c>
      <c r="V4174" s="11" t="s">
        <v>586</v>
      </c>
      <c r="W4174" s="11">
        <v>2800000</v>
      </c>
      <c r="X4174" s="11">
        <v>2006</v>
      </c>
      <c r="Y4174" s="11">
        <v>549</v>
      </c>
      <c r="Z4174" s="11">
        <v>6</v>
      </c>
      <c r="AA4174" s="13"/>
      <c r="AB4174" s="11">
        <v>323</v>
      </c>
      <c r="AC4174" s="11"/>
      <c r="AD4174" s="11" t="str">
        <f>IFERROR(__xludf.DUMMYFUNCTION("""COMPUTED_VALUE"""),"Frederick Weller")</f>
        <v>Frederick Weller</v>
      </c>
      <c r="AE4174" s="11"/>
    </row>
    <row r="4175" customHeight="1" spans="1:31">
      <c r="A4175" s="12" t="s">
        <v>30</v>
      </c>
      <c r="B4175" s="12" t="s">
        <v>7793</v>
      </c>
      <c r="C4175" s="12">
        <v>107</v>
      </c>
      <c r="D4175" s="12">
        <v>109</v>
      </c>
      <c r="E4175" s="12">
        <v>7</v>
      </c>
      <c r="F4175" s="12">
        <v>1000</v>
      </c>
      <c r="G4175" s="12">
        <v>40000</v>
      </c>
      <c r="H4175" s="12">
        <v>10654581</v>
      </c>
      <c r="I4175" s="12" t="s">
        <v>2684</v>
      </c>
      <c r="J4175" s="12" t="s">
        <v>44</v>
      </c>
      <c r="K4175" s="12" t="s">
        <v>778</v>
      </c>
      <c r="L4175" s="12" t="s">
        <v>6005</v>
      </c>
      <c r="M4175" s="12" t="s">
        <v>7794</v>
      </c>
      <c r="N4175" s="12">
        <v>45500</v>
      </c>
      <c r="O4175" s="12">
        <v>52621</v>
      </c>
      <c r="P4175" s="12">
        <v>0</v>
      </c>
      <c r="Q4175" s="12" t="s">
        <v>7795</v>
      </c>
      <c r="R4175" s="15" t="s">
        <v>7796</v>
      </c>
      <c r="S4175" s="12">
        <v>260</v>
      </c>
      <c r="T4175" s="12" t="s">
        <v>39</v>
      </c>
      <c r="U4175" s="12" t="s">
        <v>40</v>
      </c>
      <c r="V4175" s="12" t="s">
        <v>586</v>
      </c>
      <c r="W4175" s="12">
        <v>34000000</v>
      </c>
      <c r="X4175" s="12">
        <v>1999</v>
      </c>
      <c r="Y4175" s="12">
        <v>9000</v>
      </c>
      <c r="Z4175" s="12">
        <v>5.3</v>
      </c>
      <c r="AA4175" s="12">
        <v>1.85</v>
      </c>
      <c r="AB4175" s="12">
        <v>1000</v>
      </c>
      <c r="AC4175" s="12"/>
      <c r="AD4175" s="12" t="str">
        <f>IFERROR(__xludf.DUMMYFUNCTION("""COMPUTED_VALUE"""),"William Holden")</f>
        <v>William Holden</v>
      </c>
      <c r="AE4175" s="12"/>
    </row>
    <row r="4176" customHeight="1" spans="1:31">
      <c r="A4176" s="11" t="s">
        <v>30</v>
      </c>
      <c r="B4176" s="11" t="s">
        <v>19765</v>
      </c>
      <c r="C4176" s="11">
        <v>74</v>
      </c>
      <c r="D4176" s="11">
        <v>105</v>
      </c>
      <c r="E4176" s="11">
        <v>147</v>
      </c>
      <c r="F4176" s="11">
        <v>28</v>
      </c>
      <c r="G4176" s="11">
        <v>52</v>
      </c>
      <c r="H4176" s="11">
        <v>2276368</v>
      </c>
      <c r="I4176" s="11" t="s">
        <v>19766</v>
      </c>
      <c r="J4176" s="11" t="s">
        <v>19767</v>
      </c>
      <c r="K4176" s="11" t="s">
        <v>19768</v>
      </c>
      <c r="L4176" s="11" t="s">
        <v>19769</v>
      </c>
      <c r="M4176" s="11" t="s">
        <v>19770</v>
      </c>
      <c r="N4176" s="11">
        <v>3849</v>
      </c>
      <c r="O4176" s="11">
        <v>179</v>
      </c>
      <c r="P4176" s="11">
        <v>1</v>
      </c>
      <c r="Q4176" s="11" t="s">
        <v>19771</v>
      </c>
      <c r="R4176" s="14" t="s">
        <v>19772</v>
      </c>
      <c r="S4176" s="11">
        <v>37</v>
      </c>
      <c r="T4176" s="11" t="s">
        <v>39</v>
      </c>
      <c r="U4176" s="11" t="s">
        <v>40</v>
      </c>
      <c r="V4176" s="11" t="s">
        <v>41</v>
      </c>
      <c r="W4176" s="13"/>
      <c r="X4176" s="11">
        <v>2004</v>
      </c>
      <c r="Y4176" s="11">
        <v>52</v>
      </c>
      <c r="Z4176" s="11">
        <v>7.9</v>
      </c>
      <c r="AA4176" s="13"/>
      <c r="AB4176" s="11">
        <v>0</v>
      </c>
      <c r="AC4176" s="11"/>
      <c r="AD4176" s="11" t="str">
        <f>IFERROR(__xludf.DUMMYFUNCTION("""COMPUTED_VALUE"""),"Warren Oates")</f>
        <v>Warren Oates</v>
      </c>
      <c r="AE4176" s="11"/>
    </row>
    <row r="4177" customHeight="1" spans="1:31">
      <c r="A4177" s="12" t="s">
        <v>30</v>
      </c>
      <c r="B4177" s="12" t="s">
        <v>19773</v>
      </c>
      <c r="C4177" s="12">
        <v>173</v>
      </c>
      <c r="D4177" s="12">
        <v>66</v>
      </c>
      <c r="E4177" s="12">
        <v>76</v>
      </c>
      <c r="F4177" s="12">
        <v>36</v>
      </c>
      <c r="G4177" s="12">
        <v>123</v>
      </c>
      <c r="H4177" s="12">
        <v>38108</v>
      </c>
      <c r="I4177" s="12" t="s">
        <v>4277</v>
      </c>
      <c r="J4177" s="12" t="s">
        <v>19774</v>
      </c>
      <c r="K4177" s="12" t="s">
        <v>19773</v>
      </c>
      <c r="L4177" s="12" t="s">
        <v>19775</v>
      </c>
      <c r="M4177" s="12" t="s">
        <v>19776</v>
      </c>
      <c r="N4177" s="12">
        <v>40878</v>
      </c>
      <c r="O4177" s="12">
        <v>239</v>
      </c>
      <c r="P4177" s="12">
        <v>0</v>
      </c>
      <c r="Q4177" s="12" t="s">
        <v>19777</v>
      </c>
      <c r="R4177" s="15" t="s">
        <v>19778</v>
      </c>
      <c r="S4177" s="12">
        <v>124</v>
      </c>
      <c r="T4177" s="12" t="s">
        <v>2779</v>
      </c>
      <c r="U4177" s="12" t="s">
        <v>3572</v>
      </c>
      <c r="V4177" s="12" t="s">
        <v>586</v>
      </c>
      <c r="W4177" s="12">
        <v>2600000</v>
      </c>
      <c r="X4177" s="12">
        <v>2007</v>
      </c>
      <c r="Y4177" s="12">
        <v>76</v>
      </c>
      <c r="Z4177" s="12">
        <v>7.2</v>
      </c>
      <c r="AA4177" s="12">
        <v>1.85</v>
      </c>
      <c r="AB4177" s="12">
        <v>0</v>
      </c>
      <c r="AC4177" s="12"/>
      <c r="AD4177" s="12" t="str">
        <f>IFERROR(__xludf.DUMMYFUNCTION("""COMPUTED_VALUE"""),"L.Q. Jones")</f>
        <v>L.Q. Jones</v>
      </c>
      <c r="AE4177" s="12"/>
    </row>
    <row r="4178" customHeight="1" spans="1:31">
      <c r="A4178" s="11" t="s">
        <v>30</v>
      </c>
      <c r="B4178" s="11" t="s">
        <v>19779</v>
      </c>
      <c r="C4178" s="11">
        <v>5</v>
      </c>
      <c r="D4178" s="11">
        <v>99</v>
      </c>
      <c r="E4178" s="11">
        <v>0</v>
      </c>
      <c r="F4178" s="11">
        <v>4</v>
      </c>
      <c r="G4178" s="11">
        <v>11</v>
      </c>
      <c r="H4178" s="13"/>
      <c r="I4178" s="11" t="s">
        <v>1629</v>
      </c>
      <c r="J4178" s="11" t="s">
        <v>16278</v>
      </c>
      <c r="K4178" s="11" t="s">
        <v>19780</v>
      </c>
      <c r="L4178" s="11" t="s">
        <v>19781</v>
      </c>
      <c r="M4178" s="11" t="s">
        <v>19782</v>
      </c>
      <c r="N4178" s="11">
        <v>1418</v>
      </c>
      <c r="O4178" s="11">
        <v>19</v>
      </c>
      <c r="P4178" s="11">
        <v>1</v>
      </c>
      <c r="Q4178" s="11" t="s">
        <v>15160</v>
      </c>
      <c r="R4178" s="14" t="s">
        <v>19783</v>
      </c>
      <c r="S4178" s="11">
        <v>4</v>
      </c>
      <c r="T4178" s="11" t="s">
        <v>1947</v>
      </c>
      <c r="U4178" s="11" t="s">
        <v>893</v>
      </c>
      <c r="V4178" s="13"/>
      <c r="W4178" s="11">
        <v>15000000</v>
      </c>
      <c r="X4178" s="11">
        <v>2009</v>
      </c>
      <c r="Y4178" s="11">
        <v>4</v>
      </c>
      <c r="Z4178" s="11">
        <v>7.4</v>
      </c>
      <c r="AA4178" s="11">
        <v>2.35</v>
      </c>
      <c r="AB4178" s="11">
        <v>30</v>
      </c>
      <c r="AC4178" s="11"/>
      <c r="AD4178" s="11" t="str">
        <f>IFERROR(__xludf.DUMMYFUNCTION("""COMPUTED_VALUE"""),"Lesley-Anne Down")</f>
        <v>Lesley-Anne Down</v>
      </c>
      <c r="AE4178" s="11"/>
    </row>
    <row r="4179" customHeight="1" spans="1:31">
      <c r="A4179" s="12" t="s">
        <v>30</v>
      </c>
      <c r="B4179" s="12" t="s">
        <v>19784</v>
      </c>
      <c r="C4179" s="12">
        <v>66</v>
      </c>
      <c r="D4179" s="12">
        <v>100</v>
      </c>
      <c r="E4179" s="12">
        <v>6</v>
      </c>
      <c r="F4179" s="12">
        <v>209</v>
      </c>
      <c r="G4179" s="12">
        <v>331</v>
      </c>
      <c r="H4179" s="16"/>
      <c r="I4179" s="12" t="s">
        <v>5544</v>
      </c>
      <c r="J4179" s="12" t="s">
        <v>19461</v>
      </c>
      <c r="K4179" s="12" t="s">
        <v>2310</v>
      </c>
      <c r="L4179" s="12" t="s">
        <v>18653</v>
      </c>
      <c r="M4179" s="12" t="s">
        <v>19785</v>
      </c>
      <c r="N4179" s="12">
        <v>5012</v>
      </c>
      <c r="O4179" s="12">
        <v>1082</v>
      </c>
      <c r="P4179" s="12">
        <v>1</v>
      </c>
      <c r="Q4179" s="12" t="s">
        <v>19786</v>
      </c>
      <c r="R4179" s="15" t="s">
        <v>19787</v>
      </c>
      <c r="S4179" s="12">
        <v>47</v>
      </c>
      <c r="T4179" s="12" t="s">
        <v>39</v>
      </c>
      <c r="U4179" s="12" t="s">
        <v>40</v>
      </c>
      <c r="V4179" s="12" t="s">
        <v>586</v>
      </c>
      <c r="W4179" s="12">
        <v>2600000</v>
      </c>
      <c r="X4179" s="12">
        <v>2007</v>
      </c>
      <c r="Y4179" s="12">
        <v>272</v>
      </c>
      <c r="Z4179" s="12">
        <v>5.3</v>
      </c>
      <c r="AA4179" s="12">
        <v>1.85</v>
      </c>
      <c r="AB4179" s="12">
        <v>254</v>
      </c>
      <c r="AC4179" s="12"/>
      <c r="AD4179" s="12" t="str">
        <f>IFERROR(__xludf.DUMMYFUNCTION("""COMPUTED_VALUE"""),"Michael Elphick")</f>
        <v>Michael Elphick</v>
      </c>
      <c r="AE4179" s="12"/>
    </row>
    <row r="4180" customHeight="1" spans="1:31">
      <c r="A4180" s="11" t="s">
        <v>30</v>
      </c>
      <c r="B4180" s="11" t="s">
        <v>19788</v>
      </c>
      <c r="C4180" s="11">
        <v>169</v>
      </c>
      <c r="D4180" s="11">
        <v>103</v>
      </c>
      <c r="E4180" s="11">
        <v>134</v>
      </c>
      <c r="F4180" s="11">
        <v>390</v>
      </c>
      <c r="G4180" s="11">
        <v>804</v>
      </c>
      <c r="H4180" s="13"/>
      <c r="I4180" s="11" t="s">
        <v>11251</v>
      </c>
      <c r="J4180" s="11" t="s">
        <v>16867</v>
      </c>
      <c r="K4180" s="11" t="s">
        <v>6173</v>
      </c>
      <c r="L4180" s="11" t="s">
        <v>19789</v>
      </c>
      <c r="M4180" s="11" t="s">
        <v>19790</v>
      </c>
      <c r="N4180" s="11">
        <v>150020</v>
      </c>
      <c r="O4180" s="11">
        <v>2510</v>
      </c>
      <c r="P4180" s="11">
        <v>0</v>
      </c>
      <c r="Q4180" s="11" t="s">
        <v>19791</v>
      </c>
      <c r="R4180" s="14" t="s">
        <v>19792</v>
      </c>
      <c r="S4180" s="11">
        <v>568</v>
      </c>
      <c r="T4180" s="11" t="s">
        <v>39</v>
      </c>
      <c r="U4180" s="11" t="s">
        <v>40</v>
      </c>
      <c r="V4180" s="11" t="s">
        <v>6037</v>
      </c>
      <c r="W4180" s="11">
        <v>2540800</v>
      </c>
      <c r="X4180" s="11">
        <v>1952</v>
      </c>
      <c r="Y4180" s="11">
        <v>786</v>
      </c>
      <c r="Z4180" s="11">
        <v>8.3</v>
      </c>
      <c r="AA4180" s="11">
        <v>1.37</v>
      </c>
      <c r="AB4180" s="11">
        <v>0</v>
      </c>
      <c r="AC4180" s="11"/>
      <c r="AD4180" s="11" t="str">
        <f>IFERROR(__xludf.DUMMYFUNCTION("""COMPUTED_VALUE"""),"Pamela Salem")</f>
        <v>Pamela Salem</v>
      </c>
      <c r="AE4180" s="11"/>
    </row>
    <row r="4181" customHeight="1" spans="1:31">
      <c r="A4181" s="12" t="s">
        <v>30</v>
      </c>
      <c r="B4181" s="12" t="s">
        <v>19793</v>
      </c>
      <c r="C4181" s="12">
        <v>13</v>
      </c>
      <c r="D4181" s="12">
        <v>97</v>
      </c>
      <c r="E4181" s="12">
        <v>65</v>
      </c>
      <c r="F4181" s="12">
        <v>0</v>
      </c>
      <c r="G4181" s="12">
        <v>65</v>
      </c>
      <c r="H4181" s="16"/>
      <c r="I4181" s="12" t="s">
        <v>68</v>
      </c>
      <c r="J4181" s="12" t="s">
        <v>19793</v>
      </c>
      <c r="K4181" s="12" t="s">
        <v>19794</v>
      </c>
      <c r="L4181" s="12" t="s">
        <v>19795</v>
      </c>
      <c r="M4181" s="12" t="s">
        <v>19796</v>
      </c>
      <c r="N4181" s="12">
        <v>6429</v>
      </c>
      <c r="O4181" s="12">
        <v>67</v>
      </c>
      <c r="P4181" s="12">
        <v>2</v>
      </c>
      <c r="Q4181" s="12" t="s">
        <v>19797</v>
      </c>
      <c r="R4181" s="15" t="s">
        <v>19798</v>
      </c>
      <c r="S4181" s="12">
        <v>25</v>
      </c>
      <c r="T4181" s="12" t="s">
        <v>39</v>
      </c>
      <c r="U4181" s="12" t="s">
        <v>371</v>
      </c>
      <c r="V4181" s="16"/>
      <c r="W4181" s="12">
        <v>2500000</v>
      </c>
      <c r="X4181" s="12">
        <v>2010</v>
      </c>
      <c r="Y4181" s="12">
        <v>2</v>
      </c>
      <c r="Z4181" s="12">
        <v>7.6</v>
      </c>
      <c r="AA4181" s="16"/>
      <c r="AB4181" s="12">
        <v>10000</v>
      </c>
      <c r="AC4181" s="12"/>
      <c r="AD4181" s="12" t="str">
        <f>IFERROR(__xludf.DUMMYFUNCTION("""COMPUTED_VALUE"""),"Bryan Dick")</f>
        <v>Bryan Dick</v>
      </c>
      <c r="AE4181" s="12"/>
    </row>
    <row r="4182" customHeight="1" spans="1:31">
      <c r="A4182" s="11" t="s">
        <v>30</v>
      </c>
      <c r="B4182" s="11" t="s">
        <v>17782</v>
      </c>
      <c r="C4182" s="11">
        <v>129</v>
      </c>
      <c r="D4182" s="11">
        <v>86</v>
      </c>
      <c r="E4182" s="11">
        <v>89</v>
      </c>
      <c r="F4182" s="11">
        <v>555</v>
      </c>
      <c r="G4182" s="11">
        <v>713</v>
      </c>
      <c r="H4182" s="11">
        <v>40041683</v>
      </c>
      <c r="I4182" s="11" t="s">
        <v>2787</v>
      </c>
      <c r="J4182" s="11" t="s">
        <v>9690</v>
      </c>
      <c r="K4182" s="11" t="s">
        <v>11734</v>
      </c>
      <c r="L4182" s="11" t="s">
        <v>9683</v>
      </c>
      <c r="M4182" s="11" t="s">
        <v>19799</v>
      </c>
      <c r="N4182" s="11">
        <v>34620</v>
      </c>
      <c r="O4182" s="11">
        <v>3421</v>
      </c>
      <c r="P4182" s="11">
        <v>6</v>
      </c>
      <c r="Q4182" s="11" t="s">
        <v>19800</v>
      </c>
      <c r="R4182" s="14" t="s">
        <v>19801</v>
      </c>
      <c r="S4182" s="11">
        <v>107</v>
      </c>
      <c r="T4182" s="11" t="s">
        <v>39</v>
      </c>
      <c r="U4182" s="11" t="s">
        <v>40</v>
      </c>
      <c r="V4182" s="11" t="s">
        <v>586</v>
      </c>
      <c r="W4182" s="11">
        <v>2500000</v>
      </c>
      <c r="X4182" s="11">
        <v>2013</v>
      </c>
      <c r="Y4182" s="11">
        <v>584</v>
      </c>
      <c r="Z4182" s="11">
        <v>5.1</v>
      </c>
      <c r="AA4182" s="11">
        <v>1.85</v>
      </c>
      <c r="AB4182" s="11">
        <v>0</v>
      </c>
      <c r="AC4182" s="11"/>
      <c r="AD4182" s="11" t="str">
        <f>IFERROR(__xludf.DUMMYFUNCTION("""COMPUTED_VALUE"""),"Paul Popplewell")</f>
        <v>Paul Popplewell</v>
      </c>
      <c r="AE4182" s="11"/>
    </row>
    <row r="4183" customHeight="1" spans="1:31">
      <c r="A4183" s="12" t="s">
        <v>30</v>
      </c>
      <c r="B4183" s="12" t="s">
        <v>19802</v>
      </c>
      <c r="C4183" s="12">
        <v>30</v>
      </c>
      <c r="D4183" s="12">
        <v>87</v>
      </c>
      <c r="E4183" s="12">
        <v>67</v>
      </c>
      <c r="F4183" s="12">
        <v>67</v>
      </c>
      <c r="G4183" s="12">
        <v>871</v>
      </c>
      <c r="H4183" s="12">
        <v>33349949</v>
      </c>
      <c r="I4183" s="12" t="s">
        <v>68</v>
      </c>
      <c r="J4183" s="12" t="s">
        <v>19803</v>
      </c>
      <c r="K4183" s="12" t="s">
        <v>19804</v>
      </c>
      <c r="L4183" s="12" t="s">
        <v>19802</v>
      </c>
      <c r="M4183" s="12" t="s">
        <v>19805</v>
      </c>
      <c r="N4183" s="12">
        <v>9010</v>
      </c>
      <c r="O4183" s="12">
        <v>1111</v>
      </c>
      <c r="P4183" s="12">
        <v>0</v>
      </c>
      <c r="Q4183" s="12" t="s">
        <v>19806</v>
      </c>
      <c r="R4183" s="15" t="s">
        <v>19807</v>
      </c>
      <c r="S4183" s="12">
        <v>199</v>
      </c>
      <c r="T4183" s="12" t="s">
        <v>39</v>
      </c>
      <c r="U4183" s="12" t="s">
        <v>40</v>
      </c>
      <c r="V4183" s="12" t="s">
        <v>96</v>
      </c>
      <c r="W4183" s="12">
        <v>2500000</v>
      </c>
      <c r="X4183" s="12">
        <v>2012</v>
      </c>
      <c r="Y4183" s="12">
        <v>118</v>
      </c>
      <c r="Z4183" s="12">
        <v>5.1</v>
      </c>
      <c r="AA4183" s="12">
        <v>1.85</v>
      </c>
      <c r="AB4183" s="12">
        <v>0</v>
      </c>
      <c r="AC4183" s="12"/>
      <c r="AD4183" s="12" t="str">
        <f>IFERROR(__xludf.DUMMYFUNCTION("""COMPUTED_VALUE"""),"Michael Berryman")</f>
        <v>Michael Berryman</v>
      </c>
      <c r="AE4183" s="12"/>
    </row>
    <row r="4184" customHeight="1" spans="1:31">
      <c r="A4184" s="11" t="s">
        <v>30</v>
      </c>
      <c r="B4184" s="11" t="s">
        <v>12823</v>
      </c>
      <c r="C4184" s="11">
        <v>220</v>
      </c>
      <c r="D4184" s="11">
        <v>119</v>
      </c>
      <c r="E4184" s="11">
        <v>0</v>
      </c>
      <c r="F4184" s="11">
        <v>593</v>
      </c>
      <c r="G4184" s="11">
        <v>908</v>
      </c>
      <c r="H4184" s="11">
        <v>33386128</v>
      </c>
      <c r="I4184" s="11" t="s">
        <v>6403</v>
      </c>
      <c r="J4184" s="11" t="s">
        <v>10033</v>
      </c>
      <c r="K4184" s="11" t="s">
        <v>3000</v>
      </c>
      <c r="L4184" s="11" t="s">
        <v>4582</v>
      </c>
      <c r="M4184" s="11" t="s">
        <v>12824</v>
      </c>
      <c r="N4184" s="11">
        <v>36372</v>
      </c>
      <c r="O4184" s="11">
        <v>3226</v>
      </c>
      <c r="P4184" s="11">
        <v>0</v>
      </c>
      <c r="Q4184" s="11" t="s">
        <v>12825</v>
      </c>
      <c r="R4184" s="14" t="s">
        <v>12826</v>
      </c>
      <c r="S4184" s="11">
        <v>491</v>
      </c>
      <c r="T4184" s="11" t="s">
        <v>39</v>
      </c>
      <c r="U4184" s="11" t="s">
        <v>40</v>
      </c>
      <c r="V4184" s="11" t="s">
        <v>586</v>
      </c>
      <c r="W4184" s="11">
        <v>15000000</v>
      </c>
      <c r="X4184" s="11">
        <v>2009</v>
      </c>
      <c r="Y4184" s="11">
        <v>764</v>
      </c>
      <c r="Z4184" s="11">
        <v>4.9</v>
      </c>
      <c r="AA4184" s="11">
        <v>1.85</v>
      </c>
      <c r="AB4184" s="11">
        <v>3000</v>
      </c>
      <c r="AC4184" s="11"/>
      <c r="AD4184" s="11" t="str">
        <f>IFERROR(__xludf.DUMMYFUNCTION("""COMPUTED_VALUE"""),"Marc Singer")</f>
        <v>Marc Singer</v>
      </c>
      <c r="AE4184" s="11"/>
    </row>
    <row r="4185" customHeight="1" spans="1:31">
      <c r="A4185" s="12" t="s">
        <v>30</v>
      </c>
      <c r="B4185" s="12" t="s">
        <v>322</v>
      </c>
      <c r="C4185" s="12">
        <v>75</v>
      </c>
      <c r="D4185" s="12">
        <v>149</v>
      </c>
      <c r="E4185" s="12">
        <v>15000</v>
      </c>
      <c r="F4185" s="12">
        <v>982</v>
      </c>
      <c r="G4185" s="12">
        <v>15000</v>
      </c>
      <c r="H4185" s="12">
        <v>25809813</v>
      </c>
      <c r="I4185" s="12" t="s">
        <v>5511</v>
      </c>
      <c r="J4185" s="12" t="s">
        <v>322</v>
      </c>
      <c r="K4185" s="12" t="s">
        <v>778</v>
      </c>
      <c r="L4185" s="12" t="s">
        <v>2643</v>
      </c>
      <c r="M4185" s="12" t="s">
        <v>19808</v>
      </c>
      <c r="N4185" s="12">
        <v>50311</v>
      </c>
      <c r="O4185" s="12">
        <v>28713</v>
      </c>
      <c r="P4185" s="12">
        <v>6</v>
      </c>
      <c r="Q4185" s="12" t="s">
        <v>19809</v>
      </c>
      <c r="R4185" s="15" t="s">
        <v>19810</v>
      </c>
      <c r="S4185" s="12">
        <v>212</v>
      </c>
      <c r="T4185" s="12" t="s">
        <v>39</v>
      </c>
      <c r="U4185" s="12" t="s">
        <v>40</v>
      </c>
      <c r="V4185" s="12" t="s">
        <v>96</v>
      </c>
      <c r="W4185" s="12">
        <v>26000000</v>
      </c>
      <c r="X4185" s="12">
        <v>1996</v>
      </c>
      <c r="Y4185" s="12">
        <v>9000</v>
      </c>
      <c r="Z4185" s="12">
        <v>6.9</v>
      </c>
      <c r="AA4185" s="12">
        <v>1.37</v>
      </c>
      <c r="AB4185" s="12">
        <v>0</v>
      </c>
      <c r="AC4185" s="12"/>
      <c r="AD4185" s="12" t="str">
        <f>IFERROR(__xludf.DUMMYFUNCTION("""COMPUTED_VALUE"""),"Kendrick Cross")</f>
        <v>Kendrick Cross</v>
      </c>
      <c r="AE4185" s="12"/>
    </row>
    <row r="4186" customHeight="1" spans="1:31">
      <c r="A4186" s="11" t="s">
        <v>30</v>
      </c>
      <c r="B4186" s="11" t="s">
        <v>19811</v>
      </c>
      <c r="C4186" s="11">
        <v>162</v>
      </c>
      <c r="D4186" s="11">
        <v>98</v>
      </c>
      <c r="E4186" s="11">
        <v>24</v>
      </c>
      <c r="F4186" s="11">
        <v>67</v>
      </c>
      <c r="G4186" s="11">
        <v>381</v>
      </c>
      <c r="H4186" s="11">
        <v>14400000</v>
      </c>
      <c r="I4186" s="11" t="s">
        <v>7048</v>
      </c>
      <c r="J4186" s="11" t="s">
        <v>17050</v>
      </c>
      <c r="K4186" s="11" t="s">
        <v>10059</v>
      </c>
      <c r="L4186" s="11" t="s">
        <v>19812</v>
      </c>
      <c r="M4186" s="11" t="s">
        <v>19813</v>
      </c>
      <c r="N4186" s="11">
        <v>28589</v>
      </c>
      <c r="O4186" s="11">
        <v>684</v>
      </c>
      <c r="P4186" s="11">
        <v>0</v>
      </c>
      <c r="Q4186" s="11" t="s">
        <v>19814</v>
      </c>
      <c r="R4186" s="14" t="s">
        <v>19815</v>
      </c>
      <c r="S4186" s="11">
        <v>532</v>
      </c>
      <c r="T4186" s="11" t="s">
        <v>39</v>
      </c>
      <c r="U4186" s="11" t="s">
        <v>40</v>
      </c>
      <c r="V4186" s="11" t="s">
        <v>586</v>
      </c>
      <c r="W4186" s="11">
        <v>2500000</v>
      </c>
      <c r="X4186" s="11">
        <v>1982</v>
      </c>
      <c r="Y4186" s="11">
        <v>128</v>
      </c>
      <c r="Z4186" s="11">
        <v>4.6</v>
      </c>
      <c r="AA4186" s="11">
        <v>2.35</v>
      </c>
      <c r="AB4186" s="11">
        <v>0</v>
      </c>
      <c r="AC4186" s="11"/>
      <c r="AD4186" s="11" t="str">
        <f>IFERROR(__xludf.DUMMYFUNCTION("""COMPUTED_VALUE"""),"Sammy Nagi Njuguna")</f>
        <v>Sammy Nagi Njuguna</v>
      </c>
      <c r="AE4186" s="11"/>
    </row>
    <row r="4187" customHeight="1" spans="1:31">
      <c r="A4187" s="12" t="s">
        <v>30</v>
      </c>
      <c r="B4187" s="12" t="s">
        <v>19816</v>
      </c>
      <c r="C4187" s="12">
        <v>74</v>
      </c>
      <c r="D4187" s="12">
        <v>98</v>
      </c>
      <c r="E4187" s="12">
        <v>11</v>
      </c>
      <c r="F4187" s="12">
        <v>450</v>
      </c>
      <c r="G4187" s="12">
        <v>595</v>
      </c>
      <c r="H4187" s="16"/>
      <c r="I4187" s="12" t="s">
        <v>648</v>
      </c>
      <c r="J4187" s="12" t="s">
        <v>6115</v>
      </c>
      <c r="K4187" s="12" t="s">
        <v>5379</v>
      </c>
      <c r="L4187" s="12" t="s">
        <v>19817</v>
      </c>
      <c r="M4187" s="12" t="s">
        <v>19818</v>
      </c>
      <c r="N4187" s="12">
        <v>23546</v>
      </c>
      <c r="O4187" s="12">
        <v>2373</v>
      </c>
      <c r="P4187" s="12">
        <v>0</v>
      </c>
      <c r="Q4187" s="12" t="s">
        <v>19819</v>
      </c>
      <c r="R4187" s="15" t="s">
        <v>19820</v>
      </c>
      <c r="S4187" s="12">
        <v>92</v>
      </c>
      <c r="T4187" s="12" t="s">
        <v>39</v>
      </c>
      <c r="U4187" s="12" t="s">
        <v>40</v>
      </c>
      <c r="V4187" s="12" t="s">
        <v>278</v>
      </c>
      <c r="W4187" s="12">
        <v>2500000</v>
      </c>
      <c r="X4187" s="12">
        <v>1971</v>
      </c>
      <c r="Y4187" s="12">
        <v>521</v>
      </c>
      <c r="Z4187" s="12">
        <v>6.3</v>
      </c>
      <c r="AA4187" s="12">
        <v>2.35</v>
      </c>
      <c r="AB4187" s="12">
        <v>819</v>
      </c>
      <c r="AC4187" s="12"/>
      <c r="AD4187" s="12" t="str">
        <f>IFERROR(__xludf.DUMMYFUNCTION("""COMPUTED_VALUE"""),"Nathalie Baye")</f>
        <v>Nathalie Baye</v>
      </c>
      <c r="AE4187" s="12"/>
    </row>
    <row r="4188" customHeight="1" spans="1:31">
      <c r="A4188" s="11" t="s">
        <v>748</v>
      </c>
      <c r="B4188" s="11" t="s">
        <v>14661</v>
      </c>
      <c r="C4188" s="11">
        <v>65</v>
      </c>
      <c r="D4188" s="11">
        <v>112</v>
      </c>
      <c r="E4188" s="11">
        <v>58</v>
      </c>
      <c r="F4188" s="11">
        <v>124</v>
      </c>
      <c r="G4188" s="11">
        <v>617</v>
      </c>
      <c r="H4188" s="13"/>
      <c r="I4188" s="11" t="s">
        <v>3410</v>
      </c>
      <c r="J4188" s="11" t="s">
        <v>18046</v>
      </c>
      <c r="K4188" s="11" t="s">
        <v>19821</v>
      </c>
      <c r="L4188" s="11" t="s">
        <v>19822</v>
      </c>
      <c r="M4188" s="11" t="s">
        <v>19823</v>
      </c>
      <c r="N4188" s="11">
        <v>15277</v>
      </c>
      <c r="O4188" s="11">
        <v>1141</v>
      </c>
      <c r="P4188" s="11">
        <v>0</v>
      </c>
      <c r="Q4188" s="11" t="s">
        <v>19824</v>
      </c>
      <c r="R4188" s="14" t="s">
        <v>19825</v>
      </c>
      <c r="S4188" s="11">
        <v>120</v>
      </c>
      <c r="T4188" s="11" t="s">
        <v>39</v>
      </c>
      <c r="U4188" s="11" t="s">
        <v>40</v>
      </c>
      <c r="V4188" s="11" t="s">
        <v>6037</v>
      </c>
      <c r="W4188" s="11">
        <v>2500000</v>
      </c>
      <c r="X4188" s="11">
        <v>1963</v>
      </c>
      <c r="Y4188" s="11">
        <v>189</v>
      </c>
      <c r="Z4188" s="11">
        <v>7.9</v>
      </c>
      <c r="AA4188" s="11">
        <v>2.35</v>
      </c>
      <c r="AB4188" s="11">
        <v>1000</v>
      </c>
      <c r="AC4188" s="11"/>
      <c r="AD4188" s="11" t="str">
        <f>IFERROR(__xludf.DUMMYFUNCTION("""COMPUTED_VALUE"""),"Mélanie Doutey")</f>
        <v>Mélanie Doutey</v>
      </c>
      <c r="AE4188" s="11"/>
    </row>
    <row r="4189" customHeight="1" spans="1:31">
      <c r="A4189" s="12" t="s">
        <v>30</v>
      </c>
      <c r="B4189" s="12" t="s">
        <v>19826</v>
      </c>
      <c r="C4189" s="12">
        <v>26</v>
      </c>
      <c r="D4189" s="12">
        <v>75</v>
      </c>
      <c r="E4189" s="12">
        <v>15</v>
      </c>
      <c r="F4189" s="12">
        <v>36</v>
      </c>
      <c r="G4189" s="12">
        <v>1000</v>
      </c>
      <c r="H4189" s="12">
        <v>32230907</v>
      </c>
      <c r="I4189" s="12" t="s">
        <v>17534</v>
      </c>
      <c r="J4189" s="12" t="s">
        <v>19827</v>
      </c>
      <c r="K4189" s="12" t="s">
        <v>19828</v>
      </c>
      <c r="L4189" s="12" t="s">
        <v>19829</v>
      </c>
      <c r="M4189" s="12" t="s">
        <v>19830</v>
      </c>
      <c r="N4189" s="12">
        <v>6062</v>
      </c>
      <c r="O4189" s="12">
        <v>1385</v>
      </c>
      <c r="P4189" s="12">
        <v>0</v>
      </c>
      <c r="Q4189" s="12" t="s">
        <v>19831</v>
      </c>
      <c r="R4189" s="15" t="s">
        <v>19832</v>
      </c>
      <c r="S4189" s="12">
        <v>30</v>
      </c>
      <c r="T4189" s="12" t="s">
        <v>39</v>
      </c>
      <c r="U4189" s="12" t="s">
        <v>40</v>
      </c>
      <c r="V4189" s="12" t="s">
        <v>586</v>
      </c>
      <c r="W4189" s="12">
        <v>2500000</v>
      </c>
      <c r="X4189" s="12">
        <v>2013</v>
      </c>
      <c r="Y4189" s="12">
        <v>309</v>
      </c>
      <c r="Z4189" s="12">
        <v>6.7</v>
      </c>
      <c r="AA4189" s="12">
        <v>1.85</v>
      </c>
      <c r="AB4189" s="12">
        <v>0</v>
      </c>
      <c r="AC4189" s="12"/>
      <c r="AD4189" s="12" t="str">
        <f>IFERROR(__xludf.DUMMYFUNCTION("""COMPUTED_VALUE"""),"Cara Seymour")</f>
        <v>Cara Seymour</v>
      </c>
      <c r="AE4189" s="12"/>
    </row>
    <row r="4190" customHeight="1" spans="1:31">
      <c r="A4190" s="11" t="s">
        <v>30</v>
      </c>
      <c r="B4190" s="11" t="s">
        <v>6052</v>
      </c>
      <c r="C4190" s="11">
        <v>63</v>
      </c>
      <c r="D4190" s="11">
        <v>104</v>
      </c>
      <c r="E4190" s="11">
        <v>835</v>
      </c>
      <c r="F4190" s="11">
        <v>535</v>
      </c>
      <c r="G4190" s="11">
        <v>18000</v>
      </c>
      <c r="H4190" s="11">
        <v>6401336</v>
      </c>
      <c r="I4190" s="11" t="s">
        <v>3410</v>
      </c>
      <c r="J4190" s="11" t="s">
        <v>588</v>
      </c>
      <c r="K4190" s="11" t="s">
        <v>1823</v>
      </c>
      <c r="L4190" s="11" t="s">
        <v>9569</v>
      </c>
      <c r="M4190" s="11" t="s">
        <v>19833</v>
      </c>
      <c r="N4190" s="11">
        <v>36996</v>
      </c>
      <c r="O4190" s="11">
        <v>19923</v>
      </c>
      <c r="P4190" s="11">
        <v>2</v>
      </c>
      <c r="Q4190" s="11" t="s">
        <v>19834</v>
      </c>
      <c r="R4190" s="14" t="s">
        <v>19835</v>
      </c>
      <c r="S4190" s="11">
        <v>153</v>
      </c>
      <c r="T4190" s="11" t="s">
        <v>39</v>
      </c>
      <c r="U4190" s="11" t="s">
        <v>40</v>
      </c>
      <c r="V4190" s="11" t="s">
        <v>586</v>
      </c>
      <c r="W4190" s="11">
        <v>2500000</v>
      </c>
      <c r="X4190" s="11">
        <v>1991</v>
      </c>
      <c r="Y4190" s="11">
        <v>595</v>
      </c>
      <c r="Z4190" s="11">
        <v>7.1</v>
      </c>
      <c r="AA4190" s="11">
        <v>1.78</v>
      </c>
      <c r="AB4190" s="11">
        <v>0</v>
      </c>
      <c r="AC4190" s="11"/>
      <c r="AD4190" s="11" t="str">
        <f>IFERROR(__xludf.DUMMYFUNCTION("""COMPUTED_VALUE"""),"Ji-hyun Jun")</f>
        <v>Ji-hyun Jun</v>
      </c>
      <c r="AE4190" s="11"/>
    </row>
    <row r="4191" customHeight="1" spans="1:31">
      <c r="A4191" s="12" t="s">
        <v>30</v>
      </c>
      <c r="B4191" s="12" t="s">
        <v>17150</v>
      </c>
      <c r="C4191" s="12">
        <v>205</v>
      </c>
      <c r="D4191" s="12">
        <v>102</v>
      </c>
      <c r="E4191" s="12">
        <v>0</v>
      </c>
      <c r="F4191" s="12">
        <v>294</v>
      </c>
      <c r="G4191" s="12">
        <v>625</v>
      </c>
      <c r="H4191" s="12">
        <v>26781723</v>
      </c>
      <c r="I4191" s="12" t="s">
        <v>1415</v>
      </c>
      <c r="J4191" s="12" t="s">
        <v>1790</v>
      </c>
      <c r="K4191" s="12" t="s">
        <v>4231</v>
      </c>
      <c r="L4191" s="12" t="s">
        <v>19836</v>
      </c>
      <c r="M4191" s="12" t="s">
        <v>19837</v>
      </c>
      <c r="N4191" s="12">
        <v>187595</v>
      </c>
      <c r="O4191" s="12">
        <v>1655</v>
      </c>
      <c r="P4191" s="12">
        <v>3</v>
      </c>
      <c r="Q4191" s="12" t="s">
        <v>19838</v>
      </c>
      <c r="R4191" s="15" t="s">
        <v>19839</v>
      </c>
      <c r="S4191" s="12">
        <v>978</v>
      </c>
      <c r="T4191" s="12" t="s">
        <v>39</v>
      </c>
      <c r="U4191" s="12" t="s">
        <v>40</v>
      </c>
      <c r="V4191" s="12" t="s">
        <v>586</v>
      </c>
      <c r="W4191" s="12">
        <v>2500000</v>
      </c>
      <c r="X4191" s="12">
        <v>2004</v>
      </c>
      <c r="Y4191" s="12">
        <v>379</v>
      </c>
      <c r="Z4191" s="12">
        <v>7.6</v>
      </c>
      <c r="AA4191" s="12">
        <v>2.35</v>
      </c>
      <c r="AB4191" s="12">
        <v>0</v>
      </c>
      <c r="AC4191" s="12"/>
      <c r="AD4191" s="12" t="str">
        <f>IFERROR(__xludf.DUMMYFUNCTION("""COMPUTED_VALUE"""),"Diane Ladd")</f>
        <v>Diane Ladd</v>
      </c>
      <c r="AE4191" s="12"/>
    </row>
    <row r="4192" customHeight="1" spans="1:31">
      <c r="A4192" s="11" t="s">
        <v>30</v>
      </c>
      <c r="B4192" s="11" t="s">
        <v>9163</v>
      </c>
      <c r="C4192" s="11">
        <v>121</v>
      </c>
      <c r="D4192" s="11">
        <v>105</v>
      </c>
      <c r="E4192" s="11">
        <v>0</v>
      </c>
      <c r="F4192" s="11">
        <v>4</v>
      </c>
      <c r="G4192" s="11">
        <v>15</v>
      </c>
      <c r="H4192" s="11">
        <v>5400000</v>
      </c>
      <c r="I4192" s="11" t="s">
        <v>214</v>
      </c>
      <c r="J4192" s="11" t="s">
        <v>19840</v>
      </c>
      <c r="K4192" s="11" t="s">
        <v>19841</v>
      </c>
      <c r="L4192" s="11" t="s">
        <v>19842</v>
      </c>
      <c r="M4192" s="11" t="s">
        <v>19843</v>
      </c>
      <c r="N4192" s="11">
        <v>183288</v>
      </c>
      <c r="O4192" s="11">
        <v>36</v>
      </c>
      <c r="P4192" s="11">
        <v>1</v>
      </c>
      <c r="Q4192" s="11" t="s">
        <v>19844</v>
      </c>
      <c r="R4192" s="14" t="s">
        <v>19845</v>
      </c>
      <c r="S4192" s="11">
        <v>395</v>
      </c>
      <c r="T4192" s="11" t="s">
        <v>39</v>
      </c>
      <c r="U4192" s="11" t="s">
        <v>40</v>
      </c>
      <c r="V4192" s="11" t="s">
        <v>586</v>
      </c>
      <c r="W4192" s="11">
        <v>2500000</v>
      </c>
      <c r="X4192" s="11">
        <v>1995</v>
      </c>
      <c r="Y4192" s="11">
        <v>12</v>
      </c>
      <c r="Z4192" s="11">
        <v>8.1</v>
      </c>
      <c r="AA4192" s="11">
        <v>1.85</v>
      </c>
      <c r="AB4192" s="11">
        <v>22000</v>
      </c>
      <c r="AC4192" s="11"/>
      <c r="AD4192" s="11" t="str">
        <f>IFERROR(__xludf.DUMMYFUNCTION("""COMPUTED_VALUE"""),"Ritchie Montgomery")</f>
        <v>Ritchie Montgomery</v>
      </c>
      <c r="AE4192" s="11"/>
    </row>
    <row r="4193" customHeight="1" spans="1:31">
      <c r="A4193" s="12" t="s">
        <v>30</v>
      </c>
      <c r="B4193" s="12" t="s">
        <v>19846</v>
      </c>
      <c r="C4193" s="12">
        <v>9</v>
      </c>
      <c r="D4193" s="12">
        <v>99</v>
      </c>
      <c r="E4193" s="12">
        <v>0</v>
      </c>
      <c r="F4193" s="12">
        <v>6</v>
      </c>
      <c r="G4193" s="12">
        <v>50</v>
      </c>
      <c r="H4193" s="16"/>
      <c r="I4193" s="12" t="s">
        <v>19847</v>
      </c>
      <c r="J4193" s="12" t="s">
        <v>19848</v>
      </c>
      <c r="K4193" s="12" t="s">
        <v>19849</v>
      </c>
      <c r="L4193" s="12" t="s">
        <v>19850</v>
      </c>
      <c r="M4193" s="12" t="s">
        <v>19851</v>
      </c>
      <c r="N4193" s="12">
        <v>1003</v>
      </c>
      <c r="O4193" s="12">
        <v>79</v>
      </c>
      <c r="P4193" s="12">
        <v>0</v>
      </c>
      <c r="Q4193" s="12" t="s">
        <v>19852</v>
      </c>
      <c r="R4193" s="15" t="s">
        <v>19853</v>
      </c>
      <c r="S4193" s="12">
        <v>5</v>
      </c>
      <c r="T4193" s="12" t="s">
        <v>1465</v>
      </c>
      <c r="U4193" s="12" t="s">
        <v>269</v>
      </c>
      <c r="V4193" s="16"/>
      <c r="W4193" s="12">
        <v>3200000</v>
      </c>
      <c r="X4193" s="12">
        <v>2003</v>
      </c>
      <c r="Y4193" s="12">
        <v>16</v>
      </c>
      <c r="Z4193" s="12">
        <v>6.6</v>
      </c>
      <c r="AA4193" s="12">
        <v>1.85</v>
      </c>
      <c r="AB4193" s="12">
        <v>39</v>
      </c>
      <c r="AC4193" s="12"/>
      <c r="AD4193" s="12" t="str">
        <f>IFERROR(__xludf.DUMMYFUNCTION("""COMPUTED_VALUE"""),"Peter McNamara")</f>
        <v>Peter McNamara</v>
      </c>
      <c r="AE4193" s="12"/>
    </row>
    <row r="4194" customHeight="1" spans="1:31">
      <c r="A4194" s="11" t="s">
        <v>30</v>
      </c>
      <c r="B4194" s="11" t="s">
        <v>19854</v>
      </c>
      <c r="C4194" s="11">
        <v>74</v>
      </c>
      <c r="D4194" s="11">
        <v>107</v>
      </c>
      <c r="E4194" s="11">
        <v>7</v>
      </c>
      <c r="F4194" s="11">
        <v>442</v>
      </c>
      <c r="G4194" s="11">
        <v>745</v>
      </c>
      <c r="H4194" s="11">
        <v>1282084</v>
      </c>
      <c r="I4194" s="11" t="s">
        <v>3410</v>
      </c>
      <c r="J4194" s="11" t="s">
        <v>1054</v>
      </c>
      <c r="K4194" s="11" t="s">
        <v>75</v>
      </c>
      <c r="L4194" s="11" t="s">
        <v>11480</v>
      </c>
      <c r="M4194" s="11" t="s">
        <v>19855</v>
      </c>
      <c r="N4194" s="11">
        <v>6221</v>
      </c>
      <c r="O4194" s="11">
        <v>2125</v>
      </c>
      <c r="P4194" s="11">
        <v>1</v>
      </c>
      <c r="Q4194" s="11" t="s">
        <v>19856</v>
      </c>
      <c r="R4194" s="14" t="s">
        <v>19857</v>
      </c>
      <c r="S4194" s="11">
        <v>87</v>
      </c>
      <c r="T4194" s="11" t="s">
        <v>39</v>
      </c>
      <c r="U4194" s="11" t="s">
        <v>40</v>
      </c>
      <c r="V4194" s="11" t="s">
        <v>586</v>
      </c>
      <c r="W4194" s="11">
        <v>2500000</v>
      </c>
      <c r="X4194" s="11">
        <v>1999</v>
      </c>
      <c r="Y4194" s="11">
        <v>631</v>
      </c>
      <c r="Z4194" s="11">
        <v>7</v>
      </c>
      <c r="AA4194" s="11">
        <v>2.35</v>
      </c>
      <c r="AB4194" s="11">
        <v>500</v>
      </c>
      <c r="AC4194" s="11"/>
      <c r="AD4194" s="11" t="str">
        <f>IFERROR(__xludf.DUMMYFUNCTION("""COMPUTED_VALUE"""),"Noam Chomsky")</f>
        <v>Noam Chomsky</v>
      </c>
      <c r="AE4194" s="11"/>
    </row>
    <row r="4195" customHeight="1" spans="1:31">
      <c r="A4195" s="12" t="s">
        <v>30</v>
      </c>
      <c r="B4195" s="12" t="s">
        <v>19858</v>
      </c>
      <c r="C4195" s="12">
        <v>54</v>
      </c>
      <c r="D4195" s="12">
        <v>96</v>
      </c>
      <c r="E4195" s="12">
        <v>13</v>
      </c>
      <c r="F4195" s="12">
        <v>209</v>
      </c>
      <c r="G4195" s="12">
        <v>643</v>
      </c>
      <c r="H4195" s="12">
        <v>1186323</v>
      </c>
      <c r="I4195" s="12" t="s">
        <v>1415</v>
      </c>
      <c r="J4195" s="12" t="s">
        <v>5281</v>
      </c>
      <c r="K4195" s="12" t="s">
        <v>1371</v>
      </c>
      <c r="L4195" s="12" t="s">
        <v>19859</v>
      </c>
      <c r="M4195" s="12" t="s">
        <v>19860</v>
      </c>
      <c r="N4195" s="12">
        <v>7776</v>
      </c>
      <c r="O4195" s="12">
        <v>1396</v>
      </c>
      <c r="P4195" s="12">
        <v>0</v>
      </c>
      <c r="Q4195" s="12" t="s">
        <v>19861</v>
      </c>
      <c r="R4195" s="15" t="s">
        <v>19862</v>
      </c>
      <c r="S4195" s="12">
        <v>84</v>
      </c>
      <c r="T4195" s="12" t="s">
        <v>39</v>
      </c>
      <c r="U4195" s="12" t="s">
        <v>40</v>
      </c>
      <c r="V4195" s="12" t="s">
        <v>586</v>
      </c>
      <c r="W4195" s="16"/>
      <c r="X4195" s="12">
        <v>2004</v>
      </c>
      <c r="Y4195" s="12">
        <v>265</v>
      </c>
      <c r="Z4195" s="12">
        <v>7.6</v>
      </c>
      <c r="AA4195" s="12">
        <v>1.85</v>
      </c>
      <c r="AB4195" s="12">
        <v>774</v>
      </c>
      <c r="AC4195" s="12"/>
      <c r="AD4195" s="12" t="str">
        <f>IFERROR(__xludf.DUMMYFUNCTION("""COMPUTED_VALUE"""),"Pat Buchanan")</f>
        <v>Pat Buchanan</v>
      </c>
      <c r="AE4195" s="12"/>
    </row>
    <row r="4196" customHeight="1" spans="1:31">
      <c r="A4196" s="11" t="s">
        <v>30</v>
      </c>
      <c r="B4196" s="11" t="s">
        <v>19863</v>
      </c>
      <c r="C4196" s="11">
        <v>80</v>
      </c>
      <c r="D4196" s="11">
        <v>101</v>
      </c>
      <c r="E4196" s="11">
        <v>34</v>
      </c>
      <c r="F4196" s="11">
        <v>40</v>
      </c>
      <c r="G4196" s="11">
        <v>56</v>
      </c>
      <c r="H4196" s="11">
        <v>1094998</v>
      </c>
      <c r="I4196" s="11" t="s">
        <v>3410</v>
      </c>
      <c r="J4196" s="11" t="s">
        <v>19864</v>
      </c>
      <c r="K4196" s="11" t="s">
        <v>19865</v>
      </c>
      <c r="L4196" s="11" t="s">
        <v>19866</v>
      </c>
      <c r="M4196" s="11" t="s">
        <v>19867</v>
      </c>
      <c r="N4196" s="11">
        <v>2560</v>
      </c>
      <c r="O4196" s="11">
        <v>150</v>
      </c>
      <c r="P4196" s="11">
        <v>1</v>
      </c>
      <c r="Q4196" s="11" t="s">
        <v>19868</v>
      </c>
      <c r="R4196" s="14" t="s">
        <v>19869</v>
      </c>
      <c r="S4196" s="11">
        <v>29</v>
      </c>
      <c r="T4196" s="11" t="s">
        <v>39</v>
      </c>
      <c r="U4196" s="11" t="s">
        <v>58</v>
      </c>
      <c r="V4196" s="11" t="s">
        <v>41</v>
      </c>
      <c r="W4196" s="13"/>
      <c r="X4196" s="11">
        <v>2007</v>
      </c>
      <c r="Y4196" s="11">
        <v>41</v>
      </c>
      <c r="Z4196" s="11">
        <v>6.7</v>
      </c>
      <c r="AA4196" s="11">
        <v>2.35</v>
      </c>
      <c r="AB4196" s="11">
        <v>430</v>
      </c>
      <c r="AC4196" s="11"/>
      <c r="AD4196" s="11" t="str">
        <f>IFERROR(__xludf.DUMMYFUNCTION("""COMPUTED_VALUE"""),"Bill Baird")</f>
        <v>Bill Baird</v>
      </c>
      <c r="AE4196" s="11"/>
    </row>
    <row r="4197" customHeight="1" spans="1:31">
      <c r="A4197" s="12" t="s">
        <v>30</v>
      </c>
      <c r="B4197" s="12" t="s">
        <v>14185</v>
      </c>
      <c r="C4197" s="12">
        <v>252</v>
      </c>
      <c r="D4197" s="12">
        <v>89</v>
      </c>
      <c r="E4197" s="12">
        <v>14</v>
      </c>
      <c r="F4197" s="12">
        <v>215</v>
      </c>
      <c r="G4197" s="12">
        <v>902</v>
      </c>
      <c r="H4197" s="12">
        <v>3325638</v>
      </c>
      <c r="I4197" s="12" t="s">
        <v>19870</v>
      </c>
      <c r="J4197" s="12" t="s">
        <v>122</v>
      </c>
      <c r="K4197" s="12" t="s">
        <v>19871</v>
      </c>
      <c r="L4197" s="12" t="s">
        <v>19872</v>
      </c>
      <c r="M4197" s="12" t="s">
        <v>19873</v>
      </c>
      <c r="N4197" s="12">
        <v>52509</v>
      </c>
      <c r="O4197" s="12">
        <v>1980</v>
      </c>
      <c r="P4197" s="12">
        <v>3</v>
      </c>
      <c r="Q4197" s="12" t="s">
        <v>19874</v>
      </c>
      <c r="R4197" s="15" t="s">
        <v>19875</v>
      </c>
      <c r="S4197" s="12">
        <v>84</v>
      </c>
      <c r="T4197" s="12" t="s">
        <v>39</v>
      </c>
      <c r="U4197" s="12" t="s">
        <v>40</v>
      </c>
      <c r="V4197" s="12" t="s">
        <v>41</v>
      </c>
      <c r="W4197" s="12">
        <v>2500000</v>
      </c>
      <c r="X4197" s="12">
        <v>2012</v>
      </c>
      <c r="Y4197" s="12">
        <v>291</v>
      </c>
      <c r="Z4197" s="12">
        <v>7.1</v>
      </c>
      <c r="AA4197" s="12">
        <v>2.35</v>
      </c>
      <c r="AB4197" s="12">
        <v>13000</v>
      </c>
      <c r="AC4197" s="12"/>
      <c r="AD4197" s="12" t="str">
        <f>IFERROR(__xludf.DUMMYFUNCTION("""COMPUTED_VALUE"""),"Catherine Bell")</f>
        <v>Catherine Bell</v>
      </c>
      <c r="AE4197" s="12"/>
    </row>
    <row r="4198" customHeight="1" spans="1:31">
      <c r="A4198" s="11" t="s">
        <v>30</v>
      </c>
      <c r="B4198" s="11" t="s">
        <v>19876</v>
      </c>
      <c r="C4198" s="11">
        <v>72</v>
      </c>
      <c r="D4198" s="11">
        <v>106</v>
      </c>
      <c r="E4198" s="11">
        <v>148</v>
      </c>
      <c r="F4198" s="11">
        <v>471</v>
      </c>
      <c r="G4198" s="11">
        <v>900</v>
      </c>
      <c r="H4198" s="11">
        <v>395592</v>
      </c>
      <c r="I4198" s="11" t="s">
        <v>214</v>
      </c>
      <c r="J4198" s="11" t="s">
        <v>8555</v>
      </c>
      <c r="K4198" s="11" t="s">
        <v>7954</v>
      </c>
      <c r="L4198" s="11" t="s">
        <v>19877</v>
      </c>
      <c r="M4198" s="11" t="s">
        <v>19878</v>
      </c>
      <c r="N4198" s="11">
        <v>21202</v>
      </c>
      <c r="O4198" s="11">
        <v>2972</v>
      </c>
      <c r="P4198" s="11">
        <v>1</v>
      </c>
      <c r="Q4198" s="11" t="s">
        <v>19879</v>
      </c>
      <c r="R4198" s="14" t="s">
        <v>19880</v>
      </c>
      <c r="S4198" s="11">
        <v>134</v>
      </c>
      <c r="T4198" s="11" t="s">
        <v>39</v>
      </c>
      <c r="U4198" s="11" t="s">
        <v>3572</v>
      </c>
      <c r="V4198" s="11" t="s">
        <v>586</v>
      </c>
      <c r="W4198" s="11">
        <v>2000000</v>
      </c>
      <c r="X4198" s="11">
        <v>2003</v>
      </c>
      <c r="Y4198" s="11">
        <v>648</v>
      </c>
      <c r="Z4198" s="11">
        <v>7.6</v>
      </c>
      <c r="AA4198" s="11">
        <v>1.85</v>
      </c>
      <c r="AB4198" s="11">
        <v>0</v>
      </c>
      <c r="AC4198" s="11"/>
      <c r="AD4198" s="11" t="str">
        <f>IFERROR(__xludf.DUMMYFUNCTION("""COMPUTED_VALUE"""),"Robert Wahlberg")</f>
        <v>Robert Wahlberg</v>
      </c>
      <c r="AE4198" s="11"/>
    </row>
    <row r="4199" customHeight="1" spans="1:31">
      <c r="A4199" s="12" t="s">
        <v>30</v>
      </c>
      <c r="B4199" s="12" t="s">
        <v>19881</v>
      </c>
      <c r="C4199" s="12">
        <v>220</v>
      </c>
      <c r="D4199" s="12">
        <v>95</v>
      </c>
      <c r="E4199" s="12">
        <v>53</v>
      </c>
      <c r="F4199" s="12">
        <v>478</v>
      </c>
      <c r="G4199" s="12">
        <v>8000</v>
      </c>
      <c r="H4199" s="12">
        <v>6851969</v>
      </c>
      <c r="I4199" s="12" t="s">
        <v>1415</v>
      </c>
      <c r="J4199" s="12" t="s">
        <v>10706</v>
      </c>
      <c r="K4199" s="12" t="s">
        <v>2620</v>
      </c>
      <c r="L4199" s="12" t="s">
        <v>19882</v>
      </c>
      <c r="M4199" s="12" t="s">
        <v>19883</v>
      </c>
      <c r="N4199" s="12">
        <v>105591</v>
      </c>
      <c r="O4199" s="12">
        <v>10040</v>
      </c>
      <c r="P4199" s="12">
        <v>1</v>
      </c>
      <c r="Q4199" s="12" t="s">
        <v>19884</v>
      </c>
      <c r="R4199" s="15" t="s">
        <v>19885</v>
      </c>
      <c r="S4199" s="12">
        <v>178</v>
      </c>
      <c r="T4199" s="12" t="s">
        <v>39</v>
      </c>
      <c r="U4199" s="12" t="s">
        <v>40</v>
      </c>
      <c r="V4199" s="12" t="s">
        <v>586</v>
      </c>
      <c r="W4199" s="12">
        <v>2500000</v>
      </c>
      <c r="X4199" s="12">
        <v>2013</v>
      </c>
      <c r="Y4199" s="12">
        <v>1000</v>
      </c>
      <c r="Z4199" s="12">
        <v>7.1</v>
      </c>
      <c r="AA4199" s="12">
        <v>2.35</v>
      </c>
      <c r="AB4199" s="12">
        <v>10000</v>
      </c>
      <c r="AC4199" s="12"/>
      <c r="AD4199" s="12" t="str">
        <f>IFERROR(__xludf.DUMMYFUNCTION("""COMPUTED_VALUE"""),"John Bell")</f>
        <v>John Bell</v>
      </c>
      <c r="AE4199" s="12"/>
    </row>
    <row r="4200" customHeight="1" spans="1:31">
      <c r="A4200" s="11" t="s">
        <v>30</v>
      </c>
      <c r="B4200" s="11" t="s">
        <v>17874</v>
      </c>
      <c r="C4200" s="11">
        <v>1</v>
      </c>
      <c r="D4200" s="11">
        <v>34</v>
      </c>
      <c r="E4200" s="11">
        <v>19</v>
      </c>
      <c r="F4200" s="11">
        <v>362</v>
      </c>
      <c r="G4200" s="11">
        <v>882</v>
      </c>
      <c r="H4200" s="11">
        <v>333658</v>
      </c>
      <c r="I4200" s="11" t="s">
        <v>19886</v>
      </c>
      <c r="J4200" s="11" t="s">
        <v>191</v>
      </c>
      <c r="K4200" s="11" t="s">
        <v>2630</v>
      </c>
      <c r="L4200" s="11" t="s">
        <v>19887</v>
      </c>
      <c r="M4200" s="11" t="s">
        <v>19888</v>
      </c>
      <c r="N4200" s="11">
        <v>97</v>
      </c>
      <c r="O4200" s="11">
        <v>1967</v>
      </c>
      <c r="P4200" s="11">
        <v>0</v>
      </c>
      <c r="Q4200" s="11" t="s">
        <v>19889</v>
      </c>
      <c r="R4200" s="14" t="s">
        <v>19890</v>
      </c>
      <c r="S4200" s="11">
        <v>2</v>
      </c>
      <c r="T4200" s="11" t="s">
        <v>39</v>
      </c>
      <c r="U4200" s="11" t="s">
        <v>40</v>
      </c>
      <c r="V4200" s="13"/>
      <c r="W4200" s="11">
        <v>34000</v>
      </c>
      <c r="X4200" s="11">
        <v>1990</v>
      </c>
      <c r="Y4200" s="11">
        <v>577</v>
      </c>
      <c r="Z4200" s="11">
        <v>7.1</v>
      </c>
      <c r="AA4200" s="13"/>
      <c r="AB4200" s="11">
        <v>16</v>
      </c>
      <c r="AC4200" s="11"/>
      <c r="AD4200" s="11" t="str">
        <f>IFERROR(__xludf.DUMMYFUNCTION("""COMPUTED_VALUE"""),"Sean Cook")</f>
        <v>Sean Cook</v>
      </c>
      <c r="AE4200" s="11"/>
    </row>
    <row r="4201" customHeight="1" spans="1:31">
      <c r="A4201" s="12" t="s">
        <v>30</v>
      </c>
      <c r="B4201" s="12" t="s">
        <v>3723</v>
      </c>
      <c r="C4201" s="12">
        <v>197</v>
      </c>
      <c r="D4201" s="12">
        <v>101</v>
      </c>
      <c r="E4201" s="12">
        <v>119</v>
      </c>
      <c r="F4201" s="12">
        <v>0</v>
      </c>
      <c r="G4201" s="12">
        <v>334</v>
      </c>
      <c r="H4201" s="12">
        <v>12995673</v>
      </c>
      <c r="I4201" s="12" t="s">
        <v>19891</v>
      </c>
      <c r="J4201" s="12" t="s">
        <v>19892</v>
      </c>
      <c r="K4201" s="12" t="s">
        <v>19893</v>
      </c>
      <c r="L4201" s="12" t="s">
        <v>19894</v>
      </c>
      <c r="M4201" s="12" t="s">
        <v>19895</v>
      </c>
      <c r="N4201" s="12">
        <v>52286</v>
      </c>
      <c r="O4201" s="12">
        <v>338</v>
      </c>
      <c r="P4201" s="12">
        <v>1</v>
      </c>
      <c r="Q4201" s="12" t="s">
        <v>19896</v>
      </c>
      <c r="R4201" s="15" t="s">
        <v>19897</v>
      </c>
      <c r="S4201" s="12">
        <v>345</v>
      </c>
      <c r="T4201" s="12" t="s">
        <v>39</v>
      </c>
      <c r="U4201" s="12" t="s">
        <v>40</v>
      </c>
      <c r="V4201" s="12" t="s">
        <v>586</v>
      </c>
      <c r="W4201" s="12">
        <v>2500000</v>
      </c>
      <c r="X4201" s="12">
        <v>2008</v>
      </c>
      <c r="Y4201" s="12">
        <v>4</v>
      </c>
      <c r="Z4201" s="12">
        <v>7.7</v>
      </c>
      <c r="AA4201" s="12">
        <v>1.78</v>
      </c>
      <c r="AB4201" s="12">
        <v>24000</v>
      </c>
      <c r="AC4201" s="12"/>
      <c r="AD4201" s="12" t="str">
        <f>IFERROR(__xludf.DUMMYFUNCTION("""COMPUTED_VALUE"""),"Blake Ritson")</f>
        <v>Blake Ritson</v>
      </c>
      <c r="AE4201" s="12"/>
    </row>
    <row r="4202" customHeight="1" spans="1:31">
      <c r="A4202" s="11" t="s">
        <v>30</v>
      </c>
      <c r="B4202" s="11" t="s">
        <v>19898</v>
      </c>
      <c r="C4202" s="11">
        <v>14</v>
      </c>
      <c r="D4202" s="11">
        <v>112</v>
      </c>
      <c r="E4202" s="11">
        <v>9</v>
      </c>
      <c r="F4202" s="11">
        <v>125</v>
      </c>
      <c r="G4202" s="11">
        <v>860</v>
      </c>
      <c r="H4202" s="11">
        <v>173783</v>
      </c>
      <c r="I4202" s="11" t="s">
        <v>68</v>
      </c>
      <c r="J4202" s="11" t="s">
        <v>8326</v>
      </c>
      <c r="K4202" s="11" t="s">
        <v>19899</v>
      </c>
      <c r="L4202" s="11" t="s">
        <v>19900</v>
      </c>
      <c r="M4202" s="11" t="s">
        <v>19901</v>
      </c>
      <c r="N4202" s="11">
        <v>578</v>
      </c>
      <c r="O4202" s="11">
        <v>1252</v>
      </c>
      <c r="P4202" s="11">
        <v>0</v>
      </c>
      <c r="Q4202" s="11" t="s">
        <v>19902</v>
      </c>
      <c r="R4202" s="14" t="s">
        <v>19903</v>
      </c>
      <c r="S4202" s="11">
        <v>34</v>
      </c>
      <c r="T4202" s="11" t="s">
        <v>39</v>
      </c>
      <c r="U4202" s="11" t="s">
        <v>40</v>
      </c>
      <c r="V4202" s="11" t="s">
        <v>4831</v>
      </c>
      <c r="W4202" s="11">
        <v>2500000</v>
      </c>
      <c r="X4202" s="11">
        <v>2008</v>
      </c>
      <c r="Y4202" s="11">
        <v>130</v>
      </c>
      <c r="Z4202" s="11">
        <v>7.6</v>
      </c>
      <c r="AA4202" s="11">
        <v>1.85</v>
      </c>
      <c r="AB4202" s="11">
        <v>588</v>
      </c>
      <c r="AC4202" s="11"/>
      <c r="AD4202" s="11" t="str">
        <f>IFERROR(__xludf.DUMMYFUNCTION("""COMPUTED_VALUE"""),"Debbie Harry")</f>
        <v>Debbie Harry</v>
      </c>
      <c r="AE4202" s="11"/>
    </row>
    <row r="4203" customHeight="1" spans="1:31">
      <c r="A4203" s="12" t="s">
        <v>30</v>
      </c>
      <c r="B4203" s="12" t="s">
        <v>19904</v>
      </c>
      <c r="C4203" s="12">
        <v>3</v>
      </c>
      <c r="D4203" s="12">
        <v>100</v>
      </c>
      <c r="E4203" s="12">
        <v>10</v>
      </c>
      <c r="F4203" s="12">
        <v>107</v>
      </c>
      <c r="G4203" s="12">
        <v>655</v>
      </c>
      <c r="H4203" s="12">
        <v>118666</v>
      </c>
      <c r="I4203" s="12" t="s">
        <v>3410</v>
      </c>
      <c r="J4203" s="12" t="s">
        <v>2285</v>
      </c>
      <c r="K4203" s="12" t="s">
        <v>17654</v>
      </c>
      <c r="L4203" s="12" t="s">
        <v>11021</v>
      </c>
      <c r="M4203" s="12" t="s">
        <v>19905</v>
      </c>
      <c r="N4203" s="12">
        <v>91</v>
      </c>
      <c r="O4203" s="12">
        <v>1064</v>
      </c>
      <c r="P4203" s="12">
        <v>7</v>
      </c>
      <c r="Q4203" s="16"/>
      <c r="R4203" s="15" t="s">
        <v>19906</v>
      </c>
      <c r="S4203" s="12">
        <v>3</v>
      </c>
      <c r="T4203" s="12" t="s">
        <v>39</v>
      </c>
      <c r="U4203" s="12" t="s">
        <v>40</v>
      </c>
      <c r="V4203" s="16"/>
      <c r="W4203" s="12">
        <v>2500000</v>
      </c>
      <c r="X4203" s="12">
        <v>2006</v>
      </c>
      <c r="Y4203" s="12">
        <v>157</v>
      </c>
      <c r="Z4203" s="12">
        <v>6.6</v>
      </c>
      <c r="AA4203" s="12">
        <v>1.85</v>
      </c>
      <c r="AB4203" s="12">
        <v>144</v>
      </c>
      <c r="AC4203" s="12"/>
      <c r="AD4203" s="12" t="str">
        <f>IFERROR(__xludf.DUMMYFUNCTION("""COMPUTED_VALUE"""),"Leslie Carlson")</f>
        <v>Leslie Carlson</v>
      </c>
      <c r="AE4203" s="12"/>
    </row>
    <row r="4204" customHeight="1" spans="1:31">
      <c r="A4204" s="11" t="s">
        <v>748</v>
      </c>
      <c r="B4204" s="11" t="s">
        <v>5060</v>
      </c>
      <c r="C4204" s="11">
        <v>191</v>
      </c>
      <c r="D4204" s="11">
        <v>92</v>
      </c>
      <c r="E4204" s="11">
        <v>43</v>
      </c>
      <c r="F4204" s="11">
        <v>936</v>
      </c>
      <c r="G4204" s="11">
        <v>989</v>
      </c>
      <c r="H4204" s="11">
        <v>114324072</v>
      </c>
      <c r="I4204" s="11" t="s">
        <v>3914</v>
      </c>
      <c r="J4204" s="11" t="s">
        <v>3230</v>
      </c>
      <c r="K4204" s="11" t="s">
        <v>1147</v>
      </c>
      <c r="L4204" s="11" t="s">
        <v>34</v>
      </c>
      <c r="M4204" s="11" t="s">
        <v>8122</v>
      </c>
      <c r="N4204" s="11">
        <v>185345</v>
      </c>
      <c r="O4204" s="11">
        <v>4730</v>
      </c>
      <c r="P4204" s="11">
        <v>0</v>
      </c>
      <c r="Q4204" s="11" t="s">
        <v>8123</v>
      </c>
      <c r="R4204" s="14" t="s">
        <v>8124</v>
      </c>
      <c r="S4204" s="11">
        <v>392</v>
      </c>
      <c r="T4204" s="11" t="s">
        <v>39</v>
      </c>
      <c r="U4204" s="11" t="s">
        <v>40</v>
      </c>
      <c r="V4204" s="11" t="s">
        <v>41</v>
      </c>
      <c r="W4204" s="11">
        <v>20000000</v>
      </c>
      <c r="X4204" s="11">
        <v>2004</v>
      </c>
      <c r="Y4204" s="11">
        <v>939</v>
      </c>
      <c r="Z4204" s="11">
        <v>6.7</v>
      </c>
      <c r="AA4204" s="11">
        <v>2.35</v>
      </c>
      <c r="AB4204" s="11">
        <v>0</v>
      </c>
      <c r="AC4204" s="11"/>
      <c r="AD4204" s="11" t="str">
        <f>IFERROR(__xludf.DUMMYFUNCTION("""COMPUTED_VALUE"""),"Reiner Schwarz")</f>
        <v>Reiner Schwarz</v>
      </c>
      <c r="AE4204" s="11"/>
    </row>
    <row r="4205" customHeight="1" spans="1:31">
      <c r="A4205" s="12" t="s">
        <v>30</v>
      </c>
      <c r="B4205" s="12" t="s">
        <v>19907</v>
      </c>
      <c r="C4205" s="12">
        <v>18</v>
      </c>
      <c r="D4205" s="12">
        <v>100</v>
      </c>
      <c r="E4205" s="12">
        <v>0</v>
      </c>
      <c r="F4205" s="12">
        <v>249</v>
      </c>
      <c r="G4205" s="12">
        <v>640</v>
      </c>
      <c r="H4205" s="12">
        <v>71904</v>
      </c>
      <c r="I4205" s="12" t="s">
        <v>3932</v>
      </c>
      <c r="J4205" s="12" t="s">
        <v>16988</v>
      </c>
      <c r="K4205" s="12" t="s">
        <v>15716</v>
      </c>
      <c r="L4205" s="12" t="s">
        <v>2217</v>
      </c>
      <c r="M4205" s="12" t="s">
        <v>19908</v>
      </c>
      <c r="N4205" s="12">
        <v>806</v>
      </c>
      <c r="O4205" s="12">
        <v>1491</v>
      </c>
      <c r="P4205" s="12">
        <v>1</v>
      </c>
      <c r="Q4205" s="12" t="s">
        <v>19909</v>
      </c>
      <c r="R4205" s="15" t="s">
        <v>19910</v>
      </c>
      <c r="S4205" s="12">
        <v>18</v>
      </c>
      <c r="T4205" s="12" t="s">
        <v>39</v>
      </c>
      <c r="U4205" s="12" t="s">
        <v>40</v>
      </c>
      <c r="V4205" s="12" t="s">
        <v>41</v>
      </c>
      <c r="W4205" s="12">
        <v>2500000</v>
      </c>
      <c r="X4205" s="12">
        <v>2006</v>
      </c>
      <c r="Y4205" s="12">
        <v>261</v>
      </c>
      <c r="Z4205" s="12">
        <v>5.7</v>
      </c>
      <c r="AA4205" s="12">
        <v>1.85</v>
      </c>
      <c r="AB4205" s="12">
        <v>140</v>
      </c>
      <c r="AC4205" s="12"/>
      <c r="AD4205" s="12" t="str">
        <f>IFERROR(__xludf.DUMMYFUNCTION("""COMPUTED_VALUE"""),"Shawn Parsons")</f>
        <v>Shawn Parsons</v>
      </c>
      <c r="AE4205" s="12"/>
    </row>
    <row r="4206" customHeight="1" spans="1:31">
      <c r="A4206" s="11" t="s">
        <v>30</v>
      </c>
      <c r="B4206" s="11" t="s">
        <v>19911</v>
      </c>
      <c r="C4206" s="11">
        <v>28</v>
      </c>
      <c r="D4206" s="11">
        <v>80</v>
      </c>
      <c r="E4206" s="11">
        <v>0</v>
      </c>
      <c r="F4206" s="11">
        <v>5</v>
      </c>
      <c r="G4206" s="11">
        <v>191</v>
      </c>
      <c r="H4206" s="11">
        <v>99851</v>
      </c>
      <c r="I4206" s="11" t="s">
        <v>68</v>
      </c>
      <c r="J4206" s="11" t="s">
        <v>19912</v>
      </c>
      <c r="K4206" s="11" t="s">
        <v>19913</v>
      </c>
      <c r="L4206" s="11" t="s">
        <v>19914</v>
      </c>
      <c r="M4206" s="11" t="s">
        <v>19915</v>
      </c>
      <c r="N4206" s="11">
        <v>1138</v>
      </c>
      <c r="O4206" s="11">
        <v>210</v>
      </c>
      <c r="P4206" s="11">
        <v>0</v>
      </c>
      <c r="Q4206" s="11" t="s">
        <v>19916</v>
      </c>
      <c r="R4206" s="14" t="s">
        <v>19917</v>
      </c>
      <c r="S4206" s="11">
        <v>30</v>
      </c>
      <c r="T4206" s="11" t="s">
        <v>39</v>
      </c>
      <c r="U4206" s="11" t="s">
        <v>40</v>
      </c>
      <c r="V4206" s="11" t="s">
        <v>586</v>
      </c>
      <c r="W4206" s="11">
        <v>2500000</v>
      </c>
      <c r="X4206" s="11">
        <v>2010</v>
      </c>
      <c r="Y4206" s="11">
        <v>12</v>
      </c>
      <c r="Z4206" s="11">
        <v>7.1</v>
      </c>
      <c r="AA4206" s="11">
        <v>1.78</v>
      </c>
      <c r="AB4206" s="11">
        <v>0</v>
      </c>
      <c r="AC4206" s="11"/>
      <c r="AD4206" s="11" t="str">
        <f>IFERROR(__xludf.DUMMYFUNCTION("""COMPUTED_VALUE"""),"Li Jun Li")</f>
        <v>Li Jun Li</v>
      </c>
      <c r="AE4206" s="11"/>
    </row>
    <row r="4207" customHeight="1" spans="1:31">
      <c r="A4207" s="12" t="s">
        <v>30</v>
      </c>
      <c r="B4207" s="12" t="s">
        <v>19918</v>
      </c>
      <c r="C4207" s="12">
        <v>22</v>
      </c>
      <c r="D4207" s="12">
        <v>106</v>
      </c>
      <c r="E4207" s="12">
        <v>8</v>
      </c>
      <c r="F4207" s="12">
        <v>315</v>
      </c>
      <c r="G4207" s="12">
        <v>611</v>
      </c>
      <c r="H4207" s="12">
        <v>115504</v>
      </c>
      <c r="I4207" s="12" t="s">
        <v>1415</v>
      </c>
      <c r="J4207" s="12" t="s">
        <v>2470</v>
      </c>
      <c r="K4207" s="12" t="s">
        <v>16600</v>
      </c>
      <c r="L4207" s="12" t="s">
        <v>19919</v>
      </c>
      <c r="M4207" s="12" t="s">
        <v>19920</v>
      </c>
      <c r="N4207" s="12">
        <v>4820</v>
      </c>
      <c r="O4207" s="12">
        <v>1739</v>
      </c>
      <c r="P4207" s="12">
        <v>2</v>
      </c>
      <c r="Q4207" s="12" t="s">
        <v>19921</v>
      </c>
      <c r="R4207" s="15" t="s">
        <v>19922</v>
      </c>
      <c r="S4207" s="12">
        <v>26</v>
      </c>
      <c r="T4207" s="12" t="s">
        <v>39</v>
      </c>
      <c r="U4207" s="12" t="s">
        <v>58</v>
      </c>
      <c r="V4207" s="12" t="s">
        <v>41</v>
      </c>
      <c r="W4207" s="12">
        <v>14000000</v>
      </c>
      <c r="X4207" s="12">
        <v>2008</v>
      </c>
      <c r="Y4207" s="12">
        <v>397</v>
      </c>
      <c r="Z4207" s="12">
        <v>6.2</v>
      </c>
      <c r="AA4207" s="12">
        <v>2.35</v>
      </c>
      <c r="AB4207" s="12">
        <v>0</v>
      </c>
      <c r="AC4207" s="12"/>
      <c r="AD4207" s="12" t="str">
        <f>IFERROR(__xludf.DUMMYFUNCTION("""COMPUTED_VALUE"""),"Yorick van Wageningen")</f>
        <v>Yorick van Wageningen</v>
      </c>
      <c r="AE4207" s="12"/>
    </row>
    <row r="4208" customHeight="1" spans="1:31">
      <c r="A4208" s="11" t="s">
        <v>30</v>
      </c>
      <c r="B4208" s="11" t="s">
        <v>13272</v>
      </c>
      <c r="C4208" s="11">
        <v>62</v>
      </c>
      <c r="D4208" s="11">
        <v>103</v>
      </c>
      <c r="E4208" s="11">
        <v>24</v>
      </c>
      <c r="F4208" s="11">
        <v>10</v>
      </c>
      <c r="G4208" s="11">
        <v>127</v>
      </c>
      <c r="H4208" s="11">
        <v>5725</v>
      </c>
      <c r="I4208" s="11" t="s">
        <v>5544</v>
      </c>
      <c r="J4208" s="11" t="s">
        <v>7670</v>
      </c>
      <c r="K4208" s="11" t="s">
        <v>19923</v>
      </c>
      <c r="L4208" s="11" t="s">
        <v>19924</v>
      </c>
      <c r="M4208" s="11" t="s">
        <v>19925</v>
      </c>
      <c r="N4208" s="11">
        <v>10220</v>
      </c>
      <c r="O4208" s="11">
        <v>163</v>
      </c>
      <c r="P4208" s="11">
        <v>0</v>
      </c>
      <c r="Q4208" s="11" t="s">
        <v>19926</v>
      </c>
      <c r="R4208" s="14" t="s">
        <v>19927</v>
      </c>
      <c r="S4208" s="11">
        <v>110</v>
      </c>
      <c r="T4208" s="11" t="s">
        <v>8732</v>
      </c>
      <c r="U4208" s="11" t="s">
        <v>768</v>
      </c>
      <c r="V4208" s="11" t="s">
        <v>586</v>
      </c>
      <c r="W4208" s="11">
        <v>8400000</v>
      </c>
      <c r="X4208" s="11">
        <v>2000</v>
      </c>
      <c r="Y4208" s="11">
        <v>10</v>
      </c>
      <c r="Z4208" s="11">
        <v>6.1</v>
      </c>
      <c r="AA4208" s="11">
        <v>2.35</v>
      </c>
      <c r="AB4208" s="11">
        <v>560</v>
      </c>
      <c r="AC4208" s="11"/>
      <c r="AD4208" s="11" t="str">
        <f>IFERROR(__xludf.DUMMYFUNCTION("""COMPUTED_VALUE"""),"Tygo Gernandt")</f>
        <v>Tygo Gernandt</v>
      </c>
      <c r="AE4208" s="11"/>
    </row>
    <row r="4209" customHeight="1" spans="1:31">
      <c r="A4209" s="12" t="s">
        <v>30</v>
      </c>
      <c r="B4209" s="12" t="s">
        <v>19928</v>
      </c>
      <c r="C4209" s="12">
        <v>47</v>
      </c>
      <c r="D4209" s="12">
        <v>90</v>
      </c>
      <c r="E4209" s="12">
        <v>8</v>
      </c>
      <c r="F4209" s="12">
        <v>35</v>
      </c>
      <c r="G4209" s="12">
        <v>426</v>
      </c>
      <c r="H4209" s="12">
        <v>75727</v>
      </c>
      <c r="I4209" s="12" t="s">
        <v>16384</v>
      </c>
      <c r="J4209" s="12" t="s">
        <v>7068</v>
      </c>
      <c r="K4209" s="12" t="s">
        <v>5516</v>
      </c>
      <c r="L4209" s="12" t="s">
        <v>19929</v>
      </c>
      <c r="M4209" s="12" t="s">
        <v>19930</v>
      </c>
      <c r="N4209" s="12">
        <v>5699</v>
      </c>
      <c r="O4209" s="12">
        <v>862</v>
      </c>
      <c r="P4209" s="12">
        <v>0</v>
      </c>
      <c r="Q4209" s="12" t="s">
        <v>19931</v>
      </c>
      <c r="R4209" s="15" t="s">
        <v>19932</v>
      </c>
      <c r="S4209" s="12">
        <v>40</v>
      </c>
      <c r="T4209" s="12" t="s">
        <v>2779</v>
      </c>
      <c r="U4209" s="12" t="s">
        <v>40</v>
      </c>
      <c r="V4209" s="12" t="s">
        <v>41</v>
      </c>
      <c r="W4209" s="12">
        <v>2500000</v>
      </c>
      <c r="X4209" s="12">
        <v>2008</v>
      </c>
      <c r="Y4209" s="12">
        <v>399</v>
      </c>
      <c r="Z4209" s="12">
        <v>5.9</v>
      </c>
      <c r="AA4209" s="12">
        <v>1.85</v>
      </c>
      <c r="AB4209" s="12">
        <v>0</v>
      </c>
      <c r="AC4209" s="12"/>
      <c r="AD4209" s="12" t="str">
        <f>IFERROR(__xludf.DUMMYFUNCTION("""COMPUTED_VALUE"""),"Martijn Lakemeier")</f>
        <v>Martijn Lakemeier</v>
      </c>
      <c r="AE4209" s="12"/>
    </row>
    <row r="4210" customHeight="1" spans="1:31">
      <c r="A4210" s="11" t="s">
        <v>30</v>
      </c>
      <c r="B4210" s="11" t="s">
        <v>654</v>
      </c>
      <c r="C4210" s="11">
        <v>238</v>
      </c>
      <c r="D4210" s="11">
        <v>96</v>
      </c>
      <c r="E4210" s="11">
        <v>571</v>
      </c>
      <c r="F4210" s="11">
        <v>370</v>
      </c>
      <c r="G4210" s="11">
        <v>2000</v>
      </c>
      <c r="H4210" s="11">
        <v>322157</v>
      </c>
      <c r="I4210" s="11" t="s">
        <v>9194</v>
      </c>
      <c r="J4210" s="11" t="s">
        <v>2478</v>
      </c>
      <c r="K4210" s="11" t="s">
        <v>480</v>
      </c>
      <c r="L4210" s="11" t="s">
        <v>19933</v>
      </c>
      <c r="M4210" s="11" t="s">
        <v>19934</v>
      </c>
      <c r="N4210" s="11">
        <v>61787</v>
      </c>
      <c r="O4210" s="11">
        <v>4590</v>
      </c>
      <c r="P4210" s="11">
        <v>0</v>
      </c>
      <c r="Q4210" s="11" t="s">
        <v>19935</v>
      </c>
      <c r="R4210" s="14" t="s">
        <v>19936</v>
      </c>
      <c r="S4210" s="11">
        <v>203</v>
      </c>
      <c r="T4210" s="11" t="s">
        <v>39</v>
      </c>
      <c r="U4210" s="11" t="s">
        <v>40</v>
      </c>
      <c r="V4210" s="11" t="s">
        <v>586</v>
      </c>
      <c r="W4210" s="11">
        <v>2500000</v>
      </c>
      <c r="X4210" s="11">
        <v>2010</v>
      </c>
      <c r="Y4210" s="11">
        <v>973</v>
      </c>
      <c r="Z4210" s="11">
        <v>6.8</v>
      </c>
      <c r="AA4210" s="11">
        <v>1.85</v>
      </c>
      <c r="AB4210" s="11">
        <v>19000</v>
      </c>
      <c r="AC4210" s="11"/>
      <c r="AD4210" s="11" t="str">
        <f>IFERROR(__xludf.DUMMYFUNCTION("""COMPUTED_VALUE"""),"Paul Scofield")</f>
        <v>Paul Scofield</v>
      </c>
      <c r="AE4210" s="11"/>
    </row>
    <row r="4211" customHeight="1" spans="1:31">
      <c r="A4211" s="12" t="s">
        <v>30</v>
      </c>
      <c r="B4211" s="12" t="s">
        <v>19937</v>
      </c>
      <c r="C4211" s="12">
        <v>2</v>
      </c>
      <c r="D4211" s="12">
        <v>89</v>
      </c>
      <c r="E4211" s="12">
        <v>20</v>
      </c>
      <c r="F4211" s="12">
        <v>555</v>
      </c>
      <c r="G4211" s="12">
        <v>794</v>
      </c>
      <c r="H4211" s="16"/>
      <c r="I4211" s="12" t="s">
        <v>9106</v>
      </c>
      <c r="J4211" s="12" t="s">
        <v>4557</v>
      </c>
      <c r="K4211" s="12" t="s">
        <v>872</v>
      </c>
      <c r="L4211" s="12" t="s">
        <v>5546</v>
      </c>
      <c r="M4211" s="12" t="s">
        <v>19938</v>
      </c>
      <c r="N4211" s="12">
        <v>858</v>
      </c>
      <c r="O4211" s="12">
        <v>2579</v>
      </c>
      <c r="P4211" s="12">
        <v>2</v>
      </c>
      <c r="Q4211" s="12" t="s">
        <v>19939</v>
      </c>
      <c r="R4211" s="15" t="s">
        <v>19940</v>
      </c>
      <c r="S4211" s="12">
        <v>7</v>
      </c>
      <c r="T4211" s="12" t="s">
        <v>39</v>
      </c>
      <c r="U4211" s="12" t="s">
        <v>40</v>
      </c>
      <c r="V4211" s="12" t="s">
        <v>1569</v>
      </c>
      <c r="W4211" s="12">
        <v>2500000</v>
      </c>
      <c r="X4211" s="12">
        <v>2010</v>
      </c>
      <c r="Y4211" s="12">
        <v>607</v>
      </c>
      <c r="Z4211" s="12">
        <v>5.8</v>
      </c>
      <c r="AA4211" s="16"/>
      <c r="AB4211" s="12">
        <v>190</v>
      </c>
      <c r="AC4211" s="12"/>
      <c r="AD4211" s="12" t="str">
        <f>IFERROR(__xludf.DUMMYFUNCTION("""COMPUTED_VALUE"""),"Michel Simon")</f>
        <v>Michel Simon</v>
      </c>
      <c r="AE4211" s="12"/>
    </row>
    <row r="4212" customHeight="1" spans="1:31">
      <c r="A4212" s="11" t="s">
        <v>30</v>
      </c>
      <c r="B4212" s="11" t="s">
        <v>19941</v>
      </c>
      <c r="C4212" s="11">
        <v>95</v>
      </c>
      <c r="D4212" s="11">
        <v>87</v>
      </c>
      <c r="E4212" s="11">
        <v>2</v>
      </c>
      <c r="F4212" s="11">
        <v>577</v>
      </c>
      <c r="G4212" s="11">
        <v>968</v>
      </c>
      <c r="H4212" s="13"/>
      <c r="I4212" s="11" t="s">
        <v>7579</v>
      </c>
      <c r="J4212" s="11" t="s">
        <v>381</v>
      </c>
      <c r="K4212" s="11" t="s">
        <v>19942</v>
      </c>
      <c r="L4212" s="11" t="s">
        <v>11965</v>
      </c>
      <c r="M4212" s="11" t="s">
        <v>19943</v>
      </c>
      <c r="N4212" s="11">
        <v>3119</v>
      </c>
      <c r="O4212" s="11">
        <v>3157</v>
      </c>
      <c r="P4212" s="11">
        <v>0</v>
      </c>
      <c r="Q4212" s="11" t="s">
        <v>19944</v>
      </c>
      <c r="R4212" s="14" t="s">
        <v>19945</v>
      </c>
      <c r="S4212" s="11">
        <v>23</v>
      </c>
      <c r="T4212" s="11" t="s">
        <v>39</v>
      </c>
      <c r="U4212" s="11" t="s">
        <v>768</v>
      </c>
      <c r="V4212" s="11" t="s">
        <v>4831</v>
      </c>
      <c r="W4212" s="11">
        <v>2500000</v>
      </c>
      <c r="X4212" s="11">
        <v>2015</v>
      </c>
      <c r="Y4212" s="11">
        <v>625</v>
      </c>
      <c r="Z4212" s="11">
        <v>5</v>
      </c>
      <c r="AA4212" s="11">
        <v>2.35</v>
      </c>
      <c r="AB4212" s="11">
        <v>0</v>
      </c>
      <c r="AC4212" s="11"/>
      <c r="AD4212" s="11" t="str">
        <f>IFERROR(__xludf.DUMMYFUNCTION("""COMPUTED_VALUE"""),"Trieu Tran")</f>
        <v>Trieu Tran</v>
      </c>
      <c r="AE4212" s="11"/>
    </row>
    <row r="4213" customHeight="1" spans="1:31">
      <c r="A4213" s="12" t="s">
        <v>30</v>
      </c>
      <c r="B4213" s="12" t="s">
        <v>19946</v>
      </c>
      <c r="C4213" s="12">
        <v>10</v>
      </c>
      <c r="D4213" s="12">
        <v>94</v>
      </c>
      <c r="E4213" s="12">
        <v>0</v>
      </c>
      <c r="F4213" s="12">
        <v>442</v>
      </c>
      <c r="G4213" s="12">
        <v>1000</v>
      </c>
      <c r="H4213" s="16"/>
      <c r="I4213" s="12" t="s">
        <v>6403</v>
      </c>
      <c r="J4213" s="12" t="s">
        <v>3752</v>
      </c>
      <c r="K4213" s="12" t="s">
        <v>19947</v>
      </c>
      <c r="L4213" s="12" t="s">
        <v>11480</v>
      </c>
      <c r="M4213" s="12" t="s">
        <v>19948</v>
      </c>
      <c r="N4213" s="12">
        <v>63</v>
      </c>
      <c r="O4213" s="12">
        <v>2406</v>
      </c>
      <c r="P4213" s="12">
        <v>1</v>
      </c>
      <c r="Q4213" s="16"/>
      <c r="R4213" s="15" t="s">
        <v>19949</v>
      </c>
      <c r="S4213" s="12">
        <v>2</v>
      </c>
      <c r="T4213" s="12" t="s">
        <v>39</v>
      </c>
      <c r="U4213" s="12" t="s">
        <v>40</v>
      </c>
      <c r="V4213" s="16"/>
      <c r="W4213" s="12">
        <v>3500000</v>
      </c>
      <c r="X4213" s="12">
        <v>2016</v>
      </c>
      <c r="Y4213" s="12">
        <v>677</v>
      </c>
      <c r="Z4213" s="12">
        <v>6.3</v>
      </c>
      <c r="AA4213" s="16"/>
      <c r="AB4213" s="12">
        <v>89</v>
      </c>
      <c r="AC4213" s="12"/>
      <c r="AD4213" s="12" t="str">
        <f>IFERROR(__xludf.DUMMYFUNCTION("""COMPUTED_VALUE"""),"Nathan Jones")</f>
        <v>Nathan Jones</v>
      </c>
      <c r="AE4213" s="12"/>
    </row>
    <row r="4214" customHeight="1" spans="1:31">
      <c r="A4214" s="11" t="s">
        <v>30</v>
      </c>
      <c r="B4214" s="11" t="s">
        <v>5077</v>
      </c>
      <c r="C4214" s="11">
        <v>28</v>
      </c>
      <c r="D4214" s="11">
        <v>120</v>
      </c>
      <c r="E4214" s="11">
        <v>0</v>
      </c>
      <c r="F4214" s="11">
        <v>702</v>
      </c>
      <c r="G4214" s="11">
        <v>1000</v>
      </c>
      <c r="H4214" s="11">
        <v>5731103</v>
      </c>
      <c r="I4214" s="11" t="s">
        <v>6520</v>
      </c>
      <c r="J4214" s="11" t="s">
        <v>804</v>
      </c>
      <c r="K4214" s="11" t="s">
        <v>143</v>
      </c>
      <c r="L4214" s="11" t="s">
        <v>714</v>
      </c>
      <c r="M4214" s="11" t="s">
        <v>19950</v>
      </c>
      <c r="N4214" s="11">
        <v>4100</v>
      </c>
      <c r="O4214" s="11">
        <v>5963</v>
      </c>
      <c r="P4214" s="11">
        <v>10</v>
      </c>
      <c r="Q4214" s="11" t="s">
        <v>19951</v>
      </c>
      <c r="R4214" s="14" t="s">
        <v>19952</v>
      </c>
      <c r="S4214" s="11">
        <v>35</v>
      </c>
      <c r="T4214" s="11" t="s">
        <v>39</v>
      </c>
      <c r="U4214" s="11" t="s">
        <v>40</v>
      </c>
      <c r="V4214" s="11" t="s">
        <v>586</v>
      </c>
      <c r="W4214" s="11">
        <v>2400000</v>
      </c>
      <c r="X4214" s="11">
        <v>1996</v>
      </c>
      <c r="Y4214" s="11">
        <v>748</v>
      </c>
      <c r="Z4214" s="11">
        <v>6.8</v>
      </c>
      <c r="AA4214" s="11">
        <v>1.85</v>
      </c>
      <c r="AB4214" s="11">
        <v>352</v>
      </c>
      <c r="AC4214" s="11"/>
      <c r="AD4214" s="11" t="str">
        <f>IFERROR(__xludf.DUMMYFUNCTION("""COMPUTED_VALUE"""),"Johnny Nguyen")</f>
        <v>Johnny Nguyen</v>
      </c>
      <c r="AE4214" s="11"/>
    </row>
    <row r="4215" customHeight="1" spans="1:31">
      <c r="A4215" s="12" t="s">
        <v>30</v>
      </c>
      <c r="B4215" s="12" t="s">
        <v>19953</v>
      </c>
      <c r="C4215" s="12">
        <v>25</v>
      </c>
      <c r="D4215" s="12">
        <v>101</v>
      </c>
      <c r="E4215" s="12">
        <v>9</v>
      </c>
      <c r="F4215" s="12">
        <v>201</v>
      </c>
      <c r="G4215" s="12">
        <v>973</v>
      </c>
      <c r="H4215" s="12">
        <v>978908</v>
      </c>
      <c r="I4215" s="12" t="s">
        <v>6133</v>
      </c>
      <c r="J4215" s="12" t="s">
        <v>1424</v>
      </c>
      <c r="K4215" s="12" t="s">
        <v>2973</v>
      </c>
      <c r="L4215" s="12" t="s">
        <v>19954</v>
      </c>
      <c r="M4215" s="12" t="s">
        <v>19955</v>
      </c>
      <c r="N4215" s="12">
        <v>4057</v>
      </c>
      <c r="O4215" s="12">
        <v>2306</v>
      </c>
      <c r="P4215" s="12">
        <v>0</v>
      </c>
      <c r="Q4215" s="12" t="s">
        <v>19956</v>
      </c>
      <c r="R4215" s="15" t="s">
        <v>19957</v>
      </c>
      <c r="S4215" s="12">
        <v>90</v>
      </c>
      <c r="T4215" s="12" t="s">
        <v>39</v>
      </c>
      <c r="U4215" s="12" t="s">
        <v>13607</v>
      </c>
      <c r="V4215" s="12" t="s">
        <v>41</v>
      </c>
      <c r="W4215" s="12">
        <v>2400000</v>
      </c>
      <c r="X4215" s="12">
        <v>2006</v>
      </c>
      <c r="Y4215" s="12">
        <v>872</v>
      </c>
      <c r="Z4215" s="12">
        <v>5.1</v>
      </c>
      <c r="AA4215" s="12">
        <v>2.35</v>
      </c>
      <c r="AB4215" s="12">
        <v>250</v>
      </c>
      <c r="AC4215" s="12"/>
      <c r="AD4215" s="12" t="str">
        <f>IFERROR(__xludf.DUMMYFUNCTION("""COMPUTED_VALUE"""),"Simon Bird")</f>
        <v>Simon Bird</v>
      </c>
      <c r="AE4215" s="12"/>
    </row>
    <row r="4216" customHeight="1" spans="1:31">
      <c r="A4216" s="11" t="s">
        <v>30</v>
      </c>
      <c r="B4216" s="11" t="s">
        <v>14062</v>
      </c>
      <c r="C4216" s="11">
        <v>121</v>
      </c>
      <c r="D4216" s="11">
        <v>84</v>
      </c>
      <c r="E4216" s="11">
        <v>406</v>
      </c>
      <c r="F4216" s="11">
        <v>233</v>
      </c>
      <c r="G4216" s="11">
        <v>586</v>
      </c>
      <c r="H4216" s="11">
        <v>438653</v>
      </c>
      <c r="I4216" s="11" t="s">
        <v>1875</v>
      </c>
      <c r="J4216" s="11" t="s">
        <v>19958</v>
      </c>
      <c r="K4216" s="11" t="s">
        <v>3985</v>
      </c>
      <c r="L4216" s="11" t="s">
        <v>1012</v>
      </c>
      <c r="M4216" s="11" t="s">
        <v>19959</v>
      </c>
      <c r="N4216" s="11">
        <v>108052</v>
      </c>
      <c r="O4216" s="11">
        <v>1490</v>
      </c>
      <c r="P4216" s="11">
        <v>0</v>
      </c>
      <c r="Q4216" s="11" t="s">
        <v>19960</v>
      </c>
      <c r="R4216" s="14" t="s">
        <v>19961</v>
      </c>
      <c r="S4216" s="11">
        <v>434</v>
      </c>
      <c r="T4216" s="11" t="s">
        <v>39</v>
      </c>
      <c r="U4216" s="11" t="s">
        <v>40</v>
      </c>
      <c r="V4216" s="11" t="s">
        <v>586</v>
      </c>
      <c r="W4216" s="13"/>
      <c r="X4216" s="11">
        <v>2006</v>
      </c>
      <c r="Y4216" s="11">
        <v>497</v>
      </c>
      <c r="Z4216" s="11">
        <v>6.6</v>
      </c>
      <c r="AA4216" s="11">
        <v>1.85</v>
      </c>
      <c r="AB4216" s="11">
        <v>79000</v>
      </c>
      <c r="AC4216" s="11"/>
      <c r="AD4216" s="11" t="str">
        <f>IFERROR(__xludf.DUMMYFUNCTION("""COMPUTED_VALUE"""),"Belinda Stewart-Wilson")</f>
        <v>Belinda Stewart-Wilson</v>
      </c>
      <c r="AE4216" s="11"/>
    </row>
    <row r="4217" customHeight="1" spans="1:31">
      <c r="A4217" s="16"/>
      <c r="B4217" s="12" t="s">
        <v>19962</v>
      </c>
      <c r="C4217" s="12">
        <v>10</v>
      </c>
      <c r="D4217" s="12">
        <v>110</v>
      </c>
      <c r="E4217" s="12">
        <v>0</v>
      </c>
      <c r="F4217" s="12">
        <v>109</v>
      </c>
      <c r="G4217" s="12">
        <v>490</v>
      </c>
      <c r="H4217" s="16"/>
      <c r="I4217" s="12" t="s">
        <v>1936</v>
      </c>
      <c r="J4217" s="12" t="s">
        <v>896</v>
      </c>
      <c r="K4217" s="12" t="s">
        <v>19963</v>
      </c>
      <c r="L4217" s="12" t="s">
        <v>19964</v>
      </c>
      <c r="M4217" s="12" t="s">
        <v>19965</v>
      </c>
      <c r="N4217" s="12">
        <v>1510</v>
      </c>
      <c r="O4217" s="12">
        <v>881</v>
      </c>
      <c r="P4217" s="12">
        <v>0</v>
      </c>
      <c r="Q4217" s="16"/>
      <c r="R4217" s="15" t="s">
        <v>19966</v>
      </c>
      <c r="S4217" s="12">
        <v>26</v>
      </c>
      <c r="T4217" s="12" t="s">
        <v>39</v>
      </c>
      <c r="U4217" s="12" t="s">
        <v>58</v>
      </c>
      <c r="V4217" s="12" t="s">
        <v>586</v>
      </c>
      <c r="W4217" s="12">
        <v>2500000</v>
      </c>
      <c r="X4217" s="12">
        <v>2015</v>
      </c>
      <c r="Y4217" s="12">
        <v>159</v>
      </c>
      <c r="Z4217" s="12">
        <v>5</v>
      </c>
      <c r="AA4217" s="16"/>
      <c r="AB4217" s="12">
        <v>0</v>
      </c>
      <c r="AC4217" s="12"/>
      <c r="AD4217" s="12" t="str">
        <f>IFERROR(__xludf.DUMMYFUNCTION("""COMPUTED_VALUE"""),"James Buckley")</f>
        <v>James Buckley</v>
      </c>
      <c r="AE4217" s="12"/>
    </row>
    <row r="4218" customHeight="1" spans="1:31">
      <c r="A4218" s="11" t="s">
        <v>30</v>
      </c>
      <c r="B4218" s="11" t="s">
        <v>17484</v>
      </c>
      <c r="C4218" s="11">
        <v>172</v>
      </c>
      <c r="D4218" s="11">
        <v>101</v>
      </c>
      <c r="E4218" s="11">
        <v>222</v>
      </c>
      <c r="F4218" s="11">
        <v>698</v>
      </c>
      <c r="G4218" s="11">
        <v>1000</v>
      </c>
      <c r="H4218" s="11">
        <v>327919</v>
      </c>
      <c r="I4218" s="11" t="s">
        <v>1936</v>
      </c>
      <c r="J4218" s="11" t="s">
        <v>160</v>
      </c>
      <c r="K4218" s="11" t="s">
        <v>2871</v>
      </c>
      <c r="L4218" s="11" t="s">
        <v>3690</v>
      </c>
      <c r="M4218" s="11" t="s">
        <v>19967</v>
      </c>
      <c r="N4218" s="11">
        <v>99177</v>
      </c>
      <c r="O4218" s="11">
        <v>3282</v>
      </c>
      <c r="P4218" s="11">
        <v>0</v>
      </c>
      <c r="Q4218" s="11" t="s">
        <v>19968</v>
      </c>
      <c r="R4218" s="14" t="s">
        <v>19969</v>
      </c>
      <c r="S4218" s="11">
        <v>192</v>
      </c>
      <c r="T4218" s="11" t="s">
        <v>39</v>
      </c>
      <c r="U4218" s="11" t="s">
        <v>58</v>
      </c>
      <c r="V4218" s="11" t="s">
        <v>5614</v>
      </c>
      <c r="W4218" s="11">
        <v>1500000</v>
      </c>
      <c r="X4218" s="11">
        <v>2006</v>
      </c>
      <c r="Y4218" s="11">
        <v>788</v>
      </c>
      <c r="Z4218" s="11">
        <v>7.7</v>
      </c>
      <c r="AA4218" s="11">
        <v>1.85</v>
      </c>
      <c r="AB4218" s="11">
        <v>11000</v>
      </c>
      <c r="AC4218" s="11"/>
      <c r="AD4218" s="11" t="str">
        <f>IFERROR(__xludf.DUMMYFUNCTION("""COMPUTED_VALUE"""),"Parminder Nagra")</f>
        <v>Parminder Nagra</v>
      </c>
      <c r="AE4218" s="11"/>
    </row>
    <row r="4219" customHeight="1" spans="1:31">
      <c r="A4219" s="12" t="s">
        <v>30</v>
      </c>
      <c r="B4219" s="12" t="s">
        <v>19970</v>
      </c>
      <c r="C4219" s="12">
        <v>20</v>
      </c>
      <c r="D4219" s="12">
        <v>101</v>
      </c>
      <c r="E4219" s="12">
        <v>15</v>
      </c>
      <c r="F4219" s="12">
        <v>663</v>
      </c>
      <c r="G4219" s="12">
        <v>844</v>
      </c>
      <c r="H4219" s="16"/>
      <c r="I4219" s="12" t="s">
        <v>5483</v>
      </c>
      <c r="J4219" s="12" t="s">
        <v>955</v>
      </c>
      <c r="K4219" s="12" t="s">
        <v>3166</v>
      </c>
      <c r="L4219" s="12" t="s">
        <v>19971</v>
      </c>
      <c r="M4219" s="12" t="s">
        <v>19972</v>
      </c>
      <c r="N4219" s="12">
        <v>2753</v>
      </c>
      <c r="O4219" s="12">
        <v>3132</v>
      </c>
      <c r="P4219" s="12">
        <v>0</v>
      </c>
      <c r="Q4219" s="12" t="s">
        <v>19973</v>
      </c>
      <c r="R4219" s="15" t="s">
        <v>19974</v>
      </c>
      <c r="S4219" s="12">
        <v>82</v>
      </c>
      <c r="T4219" s="12" t="s">
        <v>39</v>
      </c>
      <c r="U4219" s="12" t="s">
        <v>58</v>
      </c>
      <c r="V4219" s="12" t="s">
        <v>586</v>
      </c>
      <c r="W4219" s="12">
        <v>2500000</v>
      </c>
      <c r="X4219" s="12">
        <v>2012</v>
      </c>
      <c r="Y4219" s="12">
        <v>722</v>
      </c>
      <c r="Z4219" s="12">
        <v>3.1</v>
      </c>
      <c r="AA4219" s="12">
        <v>2.35</v>
      </c>
      <c r="AB4219" s="12">
        <v>0</v>
      </c>
      <c r="AC4219" s="12"/>
      <c r="AD4219" s="12" t="str">
        <f>IFERROR(__xludf.DUMMYFUNCTION("""COMPUTED_VALUE"""),"Edie Falco")</f>
        <v>Edie Falco</v>
      </c>
      <c r="AE4219" s="12"/>
    </row>
    <row r="4220" customHeight="1" spans="1:31">
      <c r="A4220" s="11" t="s">
        <v>30</v>
      </c>
      <c r="B4220" s="11" t="s">
        <v>18812</v>
      </c>
      <c r="C4220" s="11">
        <v>8</v>
      </c>
      <c r="D4220" s="11">
        <v>101</v>
      </c>
      <c r="E4220" s="11">
        <v>24</v>
      </c>
      <c r="F4220" s="11">
        <v>226</v>
      </c>
      <c r="G4220" s="11">
        <v>675</v>
      </c>
      <c r="H4220" s="13"/>
      <c r="I4220" s="11" t="s">
        <v>5927</v>
      </c>
      <c r="J4220" s="11" t="s">
        <v>19736</v>
      </c>
      <c r="K4220" s="11" t="s">
        <v>19975</v>
      </c>
      <c r="L4220" s="11" t="s">
        <v>19976</v>
      </c>
      <c r="M4220" s="11" t="s">
        <v>19977</v>
      </c>
      <c r="N4220" s="11">
        <v>1079</v>
      </c>
      <c r="O4220" s="11">
        <v>1627</v>
      </c>
      <c r="P4220" s="11">
        <v>2</v>
      </c>
      <c r="Q4220" s="11" t="s">
        <v>19978</v>
      </c>
      <c r="R4220" s="14" t="s">
        <v>19979</v>
      </c>
      <c r="S4220" s="11">
        <v>28</v>
      </c>
      <c r="T4220" s="11" t="s">
        <v>39</v>
      </c>
      <c r="U4220" s="11" t="s">
        <v>40</v>
      </c>
      <c r="V4220" s="11" t="s">
        <v>15938</v>
      </c>
      <c r="W4220" s="11">
        <v>2361000</v>
      </c>
      <c r="X4220" s="11">
        <v>1944</v>
      </c>
      <c r="Y4220" s="11">
        <v>659</v>
      </c>
      <c r="Z4220" s="11">
        <v>6.5</v>
      </c>
      <c r="AA4220" s="11">
        <v>1.37</v>
      </c>
      <c r="AB4220" s="11">
        <v>144</v>
      </c>
      <c r="AC4220" s="11"/>
      <c r="AD4220" s="11" t="str">
        <f>IFERROR(__xludf.DUMMYFUNCTION("""COMPUTED_VALUE"""),"Wesley Jonathan")</f>
        <v>Wesley Jonathan</v>
      </c>
      <c r="AE4220" s="11"/>
    </row>
    <row r="4221" customHeight="1" spans="1:31">
      <c r="A4221" s="12" t="s">
        <v>30</v>
      </c>
      <c r="B4221" s="12" t="s">
        <v>19980</v>
      </c>
      <c r="C4221" s="12">
        <v>8</v>
      </c>
      <c r="D4221" s="12">
        <v>105</v>
      </c>
      <c r="E4221" s="12">
        <v>29</v>
      </c>
      <c r="F4221" s="12">
        <v>76</v>
      </c>
      <c r="G4221" s="12">
        <v>847</v>
      </c>
      <c r="H4221" s="12">
        <v>178739</v>
      </c>
      <c r="I4221" s="12" t="s">
        <v>18256</v>
      </c>
      <c r="J4221" s="12" t="s">
        <v>19981</v>
      </c>
      <c r="K4221" s="12" t="s">
        <v>7264</v>
      </c>
      <c r="L4221" s="12" t="s">
        <v>19982</v>
      </c>
      <c r="M4221" s="12" t="s">
        <v>19983</v>
      </c>
      <c r="N4221" s="12">
        <v>1015</v>
      </c>
      <c r="O4221" s="12">
        <v>1668</v>
      </c>
      <c r="P4221" s="12">
        <v>0</v>
      </c>
      <c r="Q4221" s="12" t="s">
        <v>19984</v>
      </c>
      <c r="R4221" s="15" t="s">
        <v>19985</v>
      </c>
      <c r="S4221" s="12">
        <v>10</v>
      </c>
      <c r="T4221" s="12" t="s">
        <v>39</v>
      </c>
      <c r="U4221" s="12" t="s">
        <v>40</v>
      </c>
      <c r="V4221" s="12" t="s">
        <v>41</v>
      </c>
      <c r="W4221" s="12">
        <v>2450000</v>
      </c>
      <c r="X4221" s="12">
        <v>2011</v>
      </c>
      <c r="Y4221" s="12">
        <v>618</v>
      </c>
      <c r="Z4221" s="12">
        <v>3.9</v>
      </c>
      <c r="AA4221" s="12">
        <v>1.85</v>
      </c>
      <c r="AB4221" s="12">
        <v>566</v>
      </c>
      <c r="AC4221" s="12"/>
      <c r="AD4221" s="12" t="str">
        <f>IFERROR(__xludf.DUMMYFUNCTION("""COMPUTED_VALUE"""),"Wayne Brady")</f>
        <v>Wayne Brady</v>
      </c>
      <c r="AE4221" s="12"/>
    </row>
    <row r="4222" customHeight="1" spans="1:31">
      <c r="A4222" s="11" t="s">
        <v>30</v>
      </c>
      <c r="B4222" s="11" t="s">
        <v>8356</v>
      </c>
      <c r="C4222" s="11">
        <v>15</v>
      </c>
      <c r="D4222" s="11">
        <v>97</v>
      </c>
      <c r="E4222" s="11">
        <v>23</v>
      </c>
      <c r="F4222" s="11">
        <v>326</v>
      </c>
      <c r="G4222" s="11">
        <v>982</v>
      </c>
      <c r="H4222" s="11">
        <v>565592</v>
      </c>
      <c r="I4222" s="11" t="s">
        <v>3932</v>
      </c>
      <c r="J4222" s="11" t="s">
        <v>2643</v>
      </c>
      <c r="K4222" s="11" t="s">
        <v>757</v>
      </c>
      <c r="L4222" s="11" t="s">
        <v>12504</v>
      </c>
      <c r="M4222" s="11" t="s">
        <v>19986</v>
      </c>
      <c r="N4222" s="11">
        <v>2189</v>
      </c>
      <c r="O4222" s="11">
        <v>2580</v>
      </c>
      <c r="P4222" s="11">
        <v>0</v>
      </c>
      <c r="Q4222" s="11" t="s">
        <v>19987</v>
      </c>
      <c r="R4222" s="14" t="s">
        <v>19988</v>
      </c>
      <c r="S4222" s="11">
        <v>63</v>
      </c>
      <c r="T4222" s="11" t="s">
        <v>39</v>
      </c>
      <c r="U4222" s="11" t="s">
        <v>40</v>
      </c>
      <c r="V4222" s="11" t="s">
        <v>96</v>
      </c>
      <c r="W4222" s="13"/>
      <c r="X4222" s="11">
        <v>1998</v>
      </c>
      <c r="Y4222" s="11">
        <v>599</v>
      </c>
      <c r="Z4222" s="11">
        <v>6.8</v>
      </c>
      <c r="AA4222" s="11">
        <v>1.85</v>
      </c>
      <c r="AB4222" s="11">
        <v>500</v>
      </c>
      <c r="AC4222" s="11"/>
      <c r="AD4222" s="11" t="str">
        <f>IFERROR(__xludf.DUMMYFUNCTION("""COMPUTED_VALUE"""),"Eva Marcille")</f>
        <v>Eva Marcille</v>
      </c>
      <c r="AE4222" s="11"/>
    </row>
    <row r="4223" customHeight="1" spans="1:31">
      <c r="A4223" s="12" t="s">
        <v>30</v>
      </c>
      <c r="B4223" s="12" t="s">
        <v>18812</v>
      </c>
      <c r="C4223" s="12">
        <v>14</v>
      </c>
      <c r="D4223" s="12">
        <v>108</v>
      </c>
      <c r="E4223" s="12">
        <v>24</v>
      </c>
      <c r="F4223" s="12">
        <v>244</v>
      </c>
      <c r="G4223" s="12">
        <v>960</v>
      </c>
      <c r="H4223" s="16"/>
      <c r="I4223" s="12" t="s">
        <v>12149</v>
      </c>
      <c r="J4223" s="12" t="s">
        <v>2745</v>
      </c>
      <c r="K4223" s="12" t="s">
        <v>12257</v>
      </c>
      <c r="L4223" s="12" t="s">
        <v>18815</v>
      </c>
      <c r="M4223" s="12" t="s">
        <v>19989</v>
      </c>
      <c r="N4223" s="12">
        <v>3538</v>
      </c>
      <c r="O4223" s="12">
        <v>2329</v>
      </c>
      <c r="P4223" s="12">
        <v>3</v>
      </c>
      <c r="Q4223" s="12" t="s">
        <v>19990</v>
      </c>
      <c r="R4223" s="15" t="s">
        <v>19991</v>
      </c>
      <c r="S4223" s="12">
        <v>46</v>
      </c>
      <c r="T4223" s="12" t="s">
        <v>39</v>
      </c>
      <c r="U4223" s="12" t="s">
        <v>40</v>
      </c>
      <c r="V4223" s="12" t="s">
        <v>6037</v>
      </c>
      <c r="W4223" s="12">
        <v>2295429</v>
      </c>
      <c r="X4223" s="12">
        <v>1951</v>
      </c>
      <c r="Y4223" s="12">
        <v>715</v>
      </c>
      <c r="Z4223" s="12">
        <v>7</v>
      </c>
      <c r="AA4223" s="12">
        <v>1.33</v>
      </c>
      <c r="AB4223" s="12">
        <v>438</v>
      </c>
      <c r="AC4223" s="12"/>
      <c r="AD4223" s="12" t="str">
        <f>IFERROR(__xludf.DUMMYFUNCTION("""COMPUTED_VALUE"""),"Asin")</f>
        <v>Asin</v>
      </c>
      <c r="AE4223" s="12"/>
    </row>
    <row r="4224" customHeight="1" spans="1:31">
      <c r="A4224" s="11" t="s">
        <v>30</v>
      </c>
      <c r="B4224" s="11" t="s">
        <v>9330</v>
      </c>
      <c r="C4224" s="11">
        <v>12</v>
      </c>
      <c r="D4224" s="11">
        <v>95</v>
      </c>
      <c r="E4224" s="11">
        <v>535</v>
      </c>
      <c r="F4224" s="11">
        <v>608</v>
      </c>
      <c r="G4224" s="11">
        <v>1000</v>
      </c>
      <c r="H4224" s="11">
        <v>27012</v>
      </c>
      <c r="I4224" s="11" t="s">
        <v>3410</v>
      </c>
      <c r="J4224" s="11" t="s">
        <v>2203</v>
      </c>
      <c r="K4224" s="11" t="s">
        <v>12950</v>
      </c>
      <c r="L4224" s="11" t="s">
        <v>15484</v>
      </c>
      <c r="M4224" s="11" t="s">
        <v>19992</v>
      </c>
      <c r="N4224" s="11">
        <v>440</v>
      </c>
      <c r="O4224" s="11">
        <v>3586</v>
      </c>
      <c r="P4224" s="11">
        <v>4</v>
      </c>
      <c r="Q4224" s="11" t="s">
        <v>19993</v>
      </c>
      <c r="R4224" s="14" t="s">
        <v>19994</v>
      </c>
      <c r="S4224" s="11">
        <v>9</v>
      </c>
      <c r="T4224" s="11" t="s">
        <v>39</v>
      </c>
      <c r="U4224" s="11" t="s">
        <v>40</v>
      </c>
      <c r="V4224" s="11" t="s">
        <v>41</v>
      </c>
      <c r="W4224" s="13"/>
      <c r="X4224" s="11">
        <v>2010</v>
      </c>
      <c r="Y4224" s="11">
        <v>646</v>
      </c>
      <c r="Z4224" s="11">
        <v>5.9</v>
      </c>
      <c r="AA4224" s="11">
        <v>2.35</v>
      </c>
      <c r="AB4224" s="11">
        <v>279</v>
      </c>
      <c r="AC4224" s="11"/>
      <c r="AD4224" s="11" t="str">
        <f>IFERROR(__xludf.DUMMYFUNCTION("""COMPUTED_VALUE"""),"Mithun Chakraborty")</f>
        <v>Mithun Chakraborty</v>
      </c>
      <c r="AE4224" s="11"/>
    </row>
    <row r="4225" customHeight="1" spans="1:31">
      <c r="A4225" s="12" t="s">
        <v>30</v>
      </c>
      <c r="B4225" s="12" t="s">
        <v>19995</v>
      </c>
      <c r="C4225" s="12">
        <v>48</v>
      </c>
      <c r="D4225" s="12">
        <v>108</v>
      </c>
      <c r="E4225" s="12">
        <v>14</v>
      </c>
      <c r="F4225" s="12">
        <v>826</v>
      </c>
      <c r="G4225" s="12">
        <v>2000</v>
      </c>
      <c r="H4225" s="16"/>
      <c r="I4225" s="12" t="s">
        <v>10413</v>
      </c>
      <c r="J4225" s="12" t="s">
        <v>6474</v>
      </c>
      <c r="K4225" s="12" t="s">
        <v>7764</v>
      </c>
      <c r="L4225" s="12" t="s">
        <v>1861</v>
      </c>
      <c r="M4225" s="12" t="s">
        <v>19996</v>
      </c>
      <c r="N4225" s="12">
        <v>6025</v>
      </c>
      <c r="O4225" s="12">
        <v>4385</v>
      </c>
      <c r="P4225" s="12">
        <v>2</v>
      </c>
      <c r="Q4225" s="12" t="s">
        <v>19997</v>
      </c>
      <c r="R4225" s="15" t="s">
        <v>19998</v>
      </c>
      <c r="S4225" s="12">
        <v>28</v>
      </c>
      <c r="T4225" s="12" t="s">
        <v>39</v>
      </c>
      <c r="U4225" s="12" t="s">
        <v>40</v>
      </c>
      <c r="V4225" s="12" t="s">
        <v>586</v>
      </c>
      <c r="W4225" s="16"/>
      <c r="X4225" s="12">
        <v>2014</v>
      </c>
      <c r="Y4225" s="12">
        <v>1000</v>
      </c>
      <c r="Z4225" s="12">
        <v>5.8</v>
      </c>
      <c r="AA4225" s="16"/>
      <c r="AB4225" s="12">
        <v>0</v>
      </c>
      <c r="AC4225" s="12"/>
      <c r="AD4225" s="12" t="str">
        <f>IFERROR(__xludf.DUMMYFUNCTION("""COMPUTED_VALUE"""),"Johnny Lever")</f>
        <v>Johnny Lever</v>
      </c>
      <c r="AE4225" s="12"/>
    </row>
    <row r="4226" customHeight="1" spans="1:31">
      <c r="A4226" s="11" t="s">
        <v>30</v>
      </c>
      <c r="B4226" s="11" t="s">
        <v>19999</v>
      </c>
      <c r="C4226" s="11">
        <v>17</v>
      </c>
      <c r="D4226" s="11">
        <v>90</v>
      </c>
      <c r="E4226" s="11">
        <v>115</v>
      </c>
      <c r="F4226" s="11">
        <v>385</v>
      </c>
      <c r="G4226" s="11">
        <v>11000</v>
      </c>
      <c r="H4226" s="13"/>
      <c r="I4226" s="11" t="s">
        <v>829</v>
      </c>
      <c r="J4226" s="11" t="s">
        <v>1957</v>
      </c>
      <c r="K4226" s="11" t="s">
        <v>6965</v>
      </c>
      <c r="L4226" s="11" t="s">
        <v>20000</v>
      </c>
      <c r="M4226" s="11" t="s">
        <v>20001</v>
      </c>
      <c r="N4226" s="11">
        <v>19650</v>
      </c>
      <c r="O4226" s="11">
        <v>12359</v>
      </c>
      <c r="P4226" s="11">
        <v>0</v>
      </c>
      <c r="Q4226" s="11" t="s">
        <v>20002</v>
      </c>
      <c r="R4226" s="14" t="s">
        <v>20003</v>
      </c>
      <c r="S4226" s="11">
        <v>62</v>
      </c>
      <c r="T4226" s="11" t="s">
        <v>39</v>
      </c>
      <c r="U4226" s="11" t="s">
        <v>40</v>
      </c>
      <c r="V4226" s="11" t="s">
        <v>4831</v>
      </c>
      <c r="W4226" s="11">
        <v>2300000</v>
      </c>
      <c r="X4226" s="11">
        <v>1987</v>
      </c>
      <c r="Y4226" s="11">
        <v>516</v>
      </c>
      <c r="Z4226" s="11">
        <v>7.3</v>
      </c>
      <c r="AA4226" s="13"/>
      <c r="AB4226" s="11">
        <v>0</v>
      </c>
      <c r="AC4226" s="11"/>
      <c r="AD4226" s="11" t="str">
        <f>IFERROR(__xludf.DUMMYFUNCTION("""COMPUTED_VALUE"""),"Jonathan D. Mellor")</f>
        <v>Jonathan D. Mellor</v>
      </c>
      <c r="AE4226" s="11"/>
    </row>
    <row r="4227" customHeight="1" spans="1:31">
      <c r="A4227" s="12" t="s">
        <v>30</v>
      </c>
      <c r="B4227" s="12" t="s">
        <v>2751</v>
      </c>
      <c r="C4227" s="12">
        <v>99</v>
      </c>
      <c r="D4227" s="12">
        <v>120</v>
      </c>
      <c r="E4227" s="12">
        <v>11</v>
      </c>
      <c r="F4227" s="16"/>
      <c r="G4227" s="12">
        <v>16</v>
      </c>
      <c r="H4227" s="12">
        <v>76400000</v>
      </c>
      <c r="I4227" s="12" t="s">
        <v>2752</v>
      </c>
      <c r="J4227" s="12" t="s">
        <v>20004</v>
      </c>
      <c r="K4227" s="12" t="s">
        <v>20005</v>
      </c>
      <c r="L4227" s="16"/>
      <c r="M4227" s="12" t="s">
        <v>20006</v>
      </c>
      <c r="N4227" s="12">
        <v>71321</v>
      </c>
      <c r="O4227" s="12">
        <v>16</v>
      </c>
      <c r="P4227" s="12">
        <v>0</v>
      </c>
      <c r="Q4227" s="12" t="s">
        <v>20007</v>
      </c>
      <c r="R4227" s="15" t="s">
        <v>20008</v>
      </c>
      <c r="S4227" s="12">
        <v>230</v>
      </c>
      <c r="T4227" s="12" t="s">
        <v>39</v>
      </c>
      <c r="U4227" s="12" t="s">
        <v>40</v>
      </c>
      <c r="V4227" s="12" t="s">
        <v>278</v>
      </c>
      <c r="W4227" s="12">
        <v>2280000</v>
      </c>
      <c r="X4227" s="12">
        <v>1940</v>
      </c>
      <c r="Y4227" s="12">
        <v>0</v>
      </c>
      <c r="Z4227" s="12">
        <v>7.8</v>
      </c>
      <c r="AA4227" s="12">
        <v>1.37</v>
      </c>
      <c r="AB4227" s="12">
        <v>3000</v>
      </c>
      <c r="AC4227" s="12"/>
      <c r="AD4227" s="12" t="str">
        <f>IFERROR(__xludf.DUMMYFUNCTION("""COMPUTED_VALUE"""),"Pablo Rosso")</f>
        <v>Pablo Rosso</v>
      </c>
      <c r="AE4227" s="12"/>
    </row>
    <row r="4228" customHeight="1" spans="1:31">
      <c r="A4228" s="11" t="s">
        <v>30</v>
      </c>
      <c r="B4228" s="11" t="s">
        <v>4734</v>
      </c>
      <c r="C4228" s="11">
        <v>138</v>
      </c>
      <c r="D4228" s="11">
        <v>104</v>
      </c>
      <c r="E4228" s="11">
        <v>607</v>
      </c>
      <c r="F4228" s="11">
        <v>109</v>
      </c>
      <c r="G4228" s="11">
        <v>813</v>
      </c>
      <c r="H4228" s="13"/>
      <c r="I4228" s="11" t="s">
        <v>464</v>
      </c>
      <c r="J4228" s="11" t="s">
        <v>2443</v>
      </c>
      <c r="K4228" s="11" t="s">
        <v>10748</v>
      </c>
      <c r="L4228" s="11" t="s">
        <v>10749</v>
      </c>
      <c r="M4228" s="11" t="s">
        <v>10750</v>
      </c>
      <c r="N4228" s="11">
        <v>82476</v>
      </c>
      <c r="O4228" s="11">
        <v>1196</v>
      </c>
      <c r="P4228" s="11">
        <v>0</v>
      </c>
      <c r="Q4228" s="11" t="s">
        <v>10751</v>
      </c>
      <c r="R4228" s="14" t="s">
        <v>10752</v>
      </c>
      <c r="S4228" s="11">
        <v>280</v>
      </c>
      <c r="T4228" s="11" t="s">
        <v>39</v>
      </c>
      <c r="U4228" s="11" t="s">
        <v>40</v>
      </c>
      <c r="V4228" s="11" t="s">
        <v>586</v>
      </c>
      <c r="W4228" s="11">
        <v>1800000</v>
      </c>
      <c r="X4228" s="11">
        <v>1971</v>
      </c>
      <c r="Y4228" s="11">
        <v>165</v>
      </c>
      <c r="Z4228" s="11">
        <v>7.8</v>
      </c>
      <c r="AA4228" s="11">
        <v>1.85</v>
      </c>
      <c r="AB4228" s="11">
        <v>0</v>
      </c>
      <c r="AC4228" s="11"/>
      <c r="AD4228" s="11" t="str">
        <f>IFERROR(__xludf.DUMMYFUNCTION("""COMPUTED_VALUE"""),"Andrea Ros")</f>
        <v>Andrea Ros</v>
      </c>
      <c r="AE4228" s="11"/>
    </row>
    <row r="4229" customHeight="1" spans="1:31">
      <c r="A4229" s="12" t="s">
        <v>30</v>
      </c>
      <c r="B4229" s="12" t="s">
        <v>20009</v>
      </c>
      <c r="C4229" s="16"/>
      <c r="D4229" s="12">
        <v>90</v>
      </c>
      <c r="E4229" s="12">
        <v>37</v>
      </c>
      <c r="F4229" s="12">
        <v>0</v>
      </c>
      <c r="G4229" s="12">
        <v>210</v>
      </c>
      <c r="H4229" s="16"/>
      <c r="I4229" s="12" t="s">
        <v>4075</v>
      </c>
      <c r="J4229" s="12" t="s">
        <v>20010</v>
      </c>
      <c r="K4229" s="12" t="s">
        <v>20011</v>
      </c>
      <c r="L4229" s="12" t="s">
        <v>20012</v>
      </c>
      <c r="M4229" s="12" t="s">
        <v>20013</v>
      </c>
      <c r="N4229" s="12">
        <v>44</v>
      </c>
      <c r="O4229" s="12">
        <v>210</v>
      </c>
      <c r="P4229" s="12">
        <v>1</v>
      </c>
      <c r="Q4229" s="16"/>
      <c r="R4229" s="15" t="s">
        <v>20014</v>
      </c>
      <c r="S4229" s="12">
        <v>3</v>
      </c>
      <c r="T4229" s="12" t="s">
        <v>39</v>
      </c>
      <c r="U4229" s="12" t="s">
        <v>40</v>
      </c>
      <c r="V4229" s="12" t="s">
        <v>41</v>
      </c>
      <c r="W4229" s="12">
        <v>2500000</v>
      </c>
      <c r="X4229" s="12">
        <v>2014</v>
      </c>
      <c r="Y4229" s="12">
        <v>0</v>
      </c>
      <c r="Z4229" s="12">
        <v>6.9</v>
      </c>
      <c r="AA4229" s="16"/>
      <c r="AB4229" s="12">
        <v>224</v>
      </c>
      <c r="AC4229" s="12"/>
      <c r="AD4229" s="12" t="str">
        <f>IFERROR(__xludf.DUMMYFUNCTION("""COMPUTED_VALUE"""),"Kayla Jackson")</f>
        <v>Kayla Jackson</v>
      </c>
      <c r="AE4229" s="12"/>
    </row>
    <row r="4230" customHeight="1" spans="1:31">
      <c r="A4230" s="11" t="s">
        <v>30</v>
      </c>
      <c r="B4230" s="11" t="s">
        <v>7065</v>
      </c>
      <c r="C4230" s="11">
        <v>235</v>
      </c>
      <c r="D4230" s="11">
        <v>91</v>
      </c>
      <c r="E4230" s="11">
        <v>49</v>
      </c>
      <c r="F4230" s="11">
        <v>20</v>
      </c>
      <c r="G4230" s="11">
        <v>72</v>
      </c>
      <c r="H4230" s="11">
        <v>36200000</v>
      </c>
      <c r="I4230" s="11" t="s">
        <v>5544</v>
      </c>
      <c r="J4230" s="11" t="s">
        <v>20015</v>
      </c>
      <c r="K4230" s="11" t="s">
        <v>20016</v>
      </c>
      <c r="L4230" s="11" t="s">
        <v>20017</v>
      </c>
      <c r="M4230" s="11" t="s">
        <v>20018</v>
      </c>
      <c r="N4230" s="11">
        <v>31952</v>
      </c>
      <c r="O4230" s="11">
        <v>174</v>
      </c>
      <c r="P4230" s="11">
        <v>0</v>
      </c>
      <c r="Q4230" s="11" t="s">
        <v>20019</v>
      </c>
      <c r="R4230" s="14" t="s">
        <v>20020</v>
      </c>
      <c r="S4230" s="11">
        <v>372</v>
      </c>
      <c r="T4230" s="11" t="s">
        <v>39</v>
      </c>
      <c r="U4230" s="11" t="s">
        <v>40</v>
      </c>
      <c r="V4230" s="11" t="s">
        <v>586</v>
      </c>
      <c r="W4230" s="11">
        <v>4000000</v>
      </c>
      <c r="X4230" s="11">
        <v>1982</v>
      </c>
      <c r="Y4230" s="11">
        <v>31</v>
      </c>
      <c r="Z4230" s="11">
        <v>5.7</v>
      </c>
      <c r="AA4230" s="11">
        <v>2.35</v>
      </c>
      <c r="AB4230" s="11">
        <v>0</v>
      </c>
      <c r="AC4230" s="11"/>
      <c r="AD4230" s="11" t="str">
        <f>IFERROR(__xludf.DUMMYFUNCTION("""COMPUTED_VALUE"""),"Alexis Biesiada")</f>
        <v>Alexis Biesiada</v>
      </c>
      <c r="AE4230" s="11"/>
    </row>
    <row r="4231" customHeight="1" spans="1:31">
      <c r="A4231" s="12" t="s">
        <v>30</v>
      </c>
      <c r="B4231" s="12" t="s">
        <v>20021</v>
      </c>
      <c r="C4231" s="12">
        <v>160</v>
      </c>
      <c r="D4231" s="12">
        <v>92</v>
      </c>
      <c r="E4231" s="12">
        <v>13</v>
      </c>
      <c r="F4231" s="12">
        <v>17</v>
      </c>
      <c r="G4231" s="12">
        <v>42</v>
      </c>
      <c r="H4231" s="12">
        <v>21300000</v>
      </c>
      <c r="I4231" s="12" t="s">
        <v>3030</v>
      </c>
      <c r="J4231" s="12" t="s">
        <v>20022</v>
      </c>
      <c r="K4231" s="12" t="s">
        <v>20023</v>
      </c>
      <c r="L4231" s="12" t="s">
        <v>20024</v>
      </c>
      <c r="M4231" s="12" t="s">
        <v>20025</v>
      </c>
      <c r="N4231" s="12">
        <v>22521</v>
      </c>
      <c r="O4231" s="12">
        <v>170</v>
      </c>
      <c r="P4231" s="12">
        <v>0</v>
      </c>
      <c r="Q4231" s="12" t="s">
        <v>20026</v>
      </c>
      <c r="R4231" s="15" t="s">
        <v>20027</v>
      </c>
      <c r="S4231" s="12">
        <v>342</v>
      </c>
      <c r="T4231" s="12" t="s">
        <v>39</v>
      </c>
      <c r="U4231" s="12" t="s">
        <v>40</v>
      </c>
      <c r="V4231" s="12" t="s">
        <v>586</v>
      </c>
      <c r="W4231" s="12">
        <v>2200000</v>
      </c>
      <c r="X4231" s="12">
        <v>1985</v>
      </c>
      <c r="Y4231" s="12">
        <v>27</v>
      </c>
      <c r="Z4231" s="12">
        <v>4.7</v>
      </c>
      <c r="AA4231" s="12">
        <v>1.85</v>
      </c>
      <c r="AB4231" s="12">
        <v>1000</v>
      </c>
      <c r="AC4231" s="12"/>
      <c r="AD4231" s="12" t="str">
        <f>IFERROR(__xludf.DUMMYFUNCTION("""COMPUTED_VALUE"""),"Kayla Raparelli")</f>
        <v>Kayla Raparelli</v>
      </c>
      <c r="AE4231" s="12"/>
    </row>
    <row r="4232" customHeight="1" spans="1:31">
      <c r="A4232" s="11" t="s">
        <v>30</v>
      </c>
      <c r="B4232" s="11" t="s">
        <v>19459</v>
      </c>
      <c r="C4232" s="11">
        <v>18</v>
      </c>
      <c r="D4232" s="11">
        <v>117</v>
      </c>
      <c r="E4232" s="11">
        <v>84</v>
      </c>
      <c r="F4232" s="11">
        <v>275</v>
      </c>
      <c r="G4232" s="11">
        <v>861</v>
      </c>
      <c r="H4232" s="11">
        <v>379643</v>
      </c>
      <c r="I4232" s="11" t="s">
        <v>3410</v>
      </c>
      <c r="J4232" s="11" t="s">
        <v>5937</v>
      </c>
      <c r="K4232" s="11" t="s">
        <v>14576</v>
      </c>
      <c r="L4232" s="11" t="s">
        <v>398</v>
      </c>
      <c r="M4232" s="11" t="s">
        <v>20028</v>
      </c>
      <c r="N4232" s="11">
        <v>1573</v>
      </c>
      <c r="O4232" s="11">
        <v>2161</v>
      </c>
      <c r="P4232" s="11">
        <v>0</v>
      </c>
      <c r="Q4232" s="11" t="s">
        <v>20029</v>
      </c>
      <c r="R4232" s="14" t="s">
        <v>20030</v>
      </c>
      <c r="S4232" s="11">
        <v>29</v>
      </c>
      <c r="T4232" s="11" t="s">
        <v>39</v>
      </c>
      <c r="U4232" s="11" t="s">
        <v>40</v>
      </c>
      <c r="V4232" s="11" t="s">
        <v>41</v>
      </c>
      <c r="W4232" s="11">
        <v>2200000</v>
      </c>
      <c r="X4232" s="11">
        <v>2007</v>
      </c>
      <c r="Y4232" s="11">
        <v>425</v>
      </c>
      <c r="Z4232" s="11">
        <v>5.9</v>
      </c>
      <c r="AA4232" s="11">
        <v>1.85</v>
      </c>
      <c r="AB4232" s="11">
        <v>285</v>
      </c>
      <c r="AC4232" s="11"/>
      <c r="AD4232" s="11" t="str">
        <f>IFERROR(__xludf.DUMMYFUNCTION("""COMPUTED_VALUE"""),"Nicholas Bell")</f>
        <v>Nicholas Bell</v>
      </c>
      <c r="AE4232" s="11"/>
    </row>
    <row r="4233" customHeight="1" spans="1:31">
      <c r="A4233" s="12" t="s">
        <v>30</v>
      </c>
      <c r="B4233" s="12" t="s">
        <v>20031</v>
      </c>
      <c r="C4233" s="12">
        <v>11</v>
      </c>
      <c r="D4233" s="12">
        <v>120</v>
      </c>
      <c r="E4233" s="12">
        <v>16</v>
      </c>
      <c r="F4233" s="12">
        <v>835</v>
      </c>
      <c r="G4233" s="12">
        <v>2000</v>
      </c>
      <c r="H4233" s="12">
        <v>12985267</v>
      </c>
      <c r="I4233" s="12" t="s">
        <v>3410</v>
      </c>
      <c r="J4233" s="12" t="s">
        <v>5903</v>
      </c>
      <c r="K4233" s="12" t="s">
        <v>472</v>
      </c>
      <c r="L4233" s="12" t="s">
        <v>4842</v>
      </c>
      <c r="M4233" s="12" t="s">
        <v>20032</v>
      </c>
      <c r="N4233" s="12">
        <v>4977</v>
      </c>
      <c r="O4233" s="12">
        <v>6752</v>
      </c>
      <c r="P4233" s="12">
        <v>5</v>
      </c>
      <c r="Q4233" s="12" t="s">
        <v>20033</v>
      </c>
      <c r="R4233" s="15" t="s">
        <v>20034</v>
      </c>
      <c r="S4233" s="12">
        <v>63</v>
      </c>
      <c r="T4233" s="12" t="s">
        <v>39</v>
      </c>
      <c r="U4233" s="12" t="s">
        <v>40</v>
      </c>
      <c r="V4233" s="12" t="s">
        <v>41</v>
      </c>
      <c r="W4233" s="12">
        <v>2300000</v>
      </c>
      <c r="X4233" s="12">
        <v>2015</v>
      </c>
      <c r="Y4233" s="12">
        <v>848</v>
      </c>
      <c r="Z4233" s="12">
        <v>5.9</v>
      </c>
      <c r="AA4233" s="16"/>
      <c r="AB4233" s="12">
        <v>13000</v>
      </c>
      <c r="AC4233" s="12"/>
      <c r="AD4233" s="12" t="str">
        <f>IFERROR(__xludf.DUMMYFUNCTION("""COMPUTED_VALUE"""),"Tony Danza")</f>
        <v>Tony Danza</v>
      </c>
      <c r="AE4233" s="12"/>
    </row>
    <row r="4234" customHeight="1" spans="1:31">
      <c r="A4234" s="11" t="s">
        <v>30</v>
      </c>
      <c r="B4234" s="11" t="s">
        <v>20035</v>
      </c>
      <c r="C4234" s="11">
        <v>11</v>
      </c>
      <c r="D4234" s="11">
        <v>90</v>
      </c>
      <c r="E4234" s="11">
        <v>0</v>
      </c>
      <c r="F4234" s="11">
        <v>306</v>
      </c>
      <c r="G4234" s="11">
        <v>676</v>
      </c>
      <c r="H4234" s="13"/>
      <c r="I4234" s="11" t="s">
        <v>10413</v>
      </c>
      <c r="J4234" s="11" t="s">
        <v>4547</v>
      </c>
      <c r="K4234" s="11" t="s">
        <v>20036</v>
      </c>
      <c r="L4234" s="11" t="s">
        <v>20037</v>
      </c>
      <c r="M4234" s="11" t="s">
        <v>20038</v>
      </c>
      <c r="N4234" s="11">
        <v>1118</v>
      </c>
      <c r="O4234" s="11">
        <v>1651</v>
      </c>
      <c r="P4234" s="11">
        <v>2</v>
      </c>
      <c r="Q4234" s="11" t="s">
        <v>20039</v>
      </c>
      <c r="R4234" s="14" t="s">
        <v>20040</v>
      </c>
      <c r="S4234" s="11">
        <v>9</v>
      </c>
      <c r="T4234" s="11" t="s">
        <v>39</v>
      </c>
      <c r="U4234" s="11" t="s">
        <v>40</v>
      </c>
      <c r="V4234" s="11" t="s">
        <v>586</v>
      </c>
      <c r="W4234" s="11">
        <v>2200000</v>
      </c>
      <c r="X4234" s="11">
        <v>2008</v>
      </c>
      <c r="Y4234" s="11">
        <v>399</v>
      </c>
      <c r="Z4234" s="11">
        <v>4.3</v>
      </c>
      <c r="AA4234" s="13"/>
      <c r="AB4234" s="11">
        <v>77</v>
      </c>
      <c r="AC4234" s="11"/>
      <c r="AD4234" s="11" t="str">
        <f>IFERROR(__xludf.DUMMYFUNCTION("""COMPUTED_VALUE"""),"John Hillerman")</f>
        <v>John Hillerman</v>
      </c>
      <c r="AE4234" s="11"/>
    </row>
    <row r="4235" customHeight="1" spans="1:31">
      <c r="A4235" s="12" t="s">
        <v>748</v>
      </c>
      <c r="B4235" s="12" t="s">
        <v>20041</v>
      </c>
      <c r="C4235" s="12">
        <v>7</v>
      </c>
      <c r="D4235" s="12">
        <v>119</v>
      </c>
      <c r="E4235" s="12">
        <v>10</v>
      </c>
      <c r="F4235" s="12">
        <v>275</v>
      </c>
      <c r="G4235" s="12">
        <v>509</v>
      </c>
      <c r="H4235" s="16"/>
      <c r="I4235" s="12" t="s">
        <v>3410</v>
      </c>
      <c r="J4235" s="12" t="s">
        <v>16313</v>
      </c>
      <c r="K4235" s="12" t="s">
        <v>20042</v>
      </c>
      <c r="L4235" s="12" t="s">
        <v>19170</v>
      </c>
      <c r="M4235" s="12" t="s">
        <v>20043</v>
      </c>
      <c r="N4235" s="12">
        <v>1314</v>
      </c>
      <c r="O4235" s="12">
        <v>1490</v>
      </c>
      <c r="P4235" s="12">
        <v>0</v>
      </c>
      <c r="Q4235" s="12" t="s">
        <v>20044</v>
      </c>
      <c r="R4235" s="15" t="s">
        <v>20045</v>
      </c>
      <c r="S4235" s="12">
        <v>29</v>
      </c>
      <c r="T4235" s="12" t="s">
        <v>39</v>
      </c>
      <c r="U4235" s="12" t="s">
        <v>40</v>
      </c>
      <c r="V4235" s="12" t="s">
        <v>15938</v>
      </c>
      <c r="W4235" s="12">
        <v>2160000</v>
      </c>
      <c r="X4235" s="12">
        <v>1945</v>
      </c>
      <c r="Y4235" s="12">
        <v>284</v>
      </c>
      <c r="Z4235" s="12">
        <v>7.5</v>
      </c>
      <c r="AA4235" s="12">
        <v>1.37</v>
      </c>
      <c r="AB4235" s="12">
        <v>68</v>
      </c>
      <c r="AC4235" s="12"/>
      <c r="AD4235" s="12" t="str">
        <f>IFERROR(__xludf.DUMMYFUNCTION("""COMPUTED_VALUE"""),"Stephen Macht")</f>
        <v>Stephen Macht</v>
      </c>
      <c r="AE4235" s="12"/>
    </row>
    <row r="4236" customHeight="1" spans="1:31">
      <c r="A4236" s="11" t="s">
        <v>30</v>
      </c>
      <c r="B4236" s="11" t="s">
        <v>20046</v>
      </c>
      <c r="C4236" s="11">
        <v>5</v>
      </c>
      <c r="D4236" s="11">
        <v>90</v>
      </c>
      <c r="E4236" s="11">
        <v>0</v>
      </c>
      <c r="F4236" s="11">
        <v>708</v>
      </c>
      <c r="G4236" s="11">
        <v>1000</v>
      </c>
      <c r="H4236" s="13"/>
      <c r="I4236" s="11" t="s">
        <v>4075</v>
      </c>
      <c r="J4236" s="11" t="s">
        <v>12128</v>
      </c>
      <c r="K4236" s="11" t="s">
        <v>20047</v>
      </c>
      <c r="L4236" s="11" t="s">
        <v>20048</v>
      </c>
      <c r="M4236" s="11" t="s">
        <v>20049</v>
      </c>
      <c r="N4236" s="11">
        <v>1351</v>
      </c>
      <c r="O4236" s="11">
        <v>3799</v>
      </c>
      <c r="P4236" s="11">
        <v>2</v>
      </c>
      <c r="Q4236" s="11" t="s">
        <v>20050</v>
      </c>
      <c r="R4236" s="14" t="s">
        <v>20051</v>
      </c>
      <c r="S4236" s="11">
        <v>4</v>
      </c>
      <c r="T4236" s="11" t="s">
        <v>39</v>
      </c>
      <c r="U4236" s="11" t="s">
        <v>3572</v>
      </c>
      <c r="V4236" s="11" t="s">
        <v>586</v>
      </c>
      <c r="W4236" s="13"/>
      <c r="X4236" s="11">
        <v>2015</v>
      </c>
      <c r="Y4236" s="11">
        <v>800</v>
      </c>
      <c r="Z4236" s="11">
        <v>4.8</v>
      </c>
      <c r="AA4236" s="13"/>
      <c r="AB4236" s="11">
        <v>452</v>
      </c>
      <c r="AC4236" s="11"/>
      <c r="AD4236" s="11" t="str">
        <f>IFERROR(__xludf.DUMMYFUNCTION("""COMPUTED_VALUE"""),"Avery Schreiber")</f>
        <v>Avery Schreiber</v>
      </c>
      <c r="AE4236" s="11"/>
    </row>
    <row r="4237" customHeight="1" spans="1:31">
      <c r="A4237" s="12" t="s">
        <v>30</v>
      </c>
      <c r="B4237" s="12" t="s">
        <v>20052</v>
      </c>
      <c r="C4237" s="12">
        <v>10</v>
      </c>
      <c r="D4237" s="12">
        <v>90</v>
      </c>
      <c r="E4237" s="12">
        <v>11</v>
      </c>
      <c r="F4237" s="12">
        <v>18</v>
      </c>
      <c r="G4237" s="12">
        <v>114</v>
      </c>
      <c r="H4237" s="16"/>
      <c r="I4237" s="12" t="s">
        <v>1415</v>
      </c>
      <c r="J4237" s="12" t="s">
        <v>20053</v>
      </c>
      <c r="K4237" s="12" t="s">
        <v>20054</v>
      </c>
      <c r="L4237" s="12" t="s">
        <v>20055</v>
      </c>
      <c r="M4237" s="12" t="s">
        <v>20056</v>
      </c>
      <c r="N4237" s="12">
        <v>480</v>
      </c>
      <c r="O4237" s="12">
        <v>244</v>
      </c>
      <c r="P4237" s="12">
        <v>3</v>
      </c>
      <c r="Q4237" s="12" t="s">
        <v>20057</v>
      </c>
      <c r="R4237" s="15" t="s">
        <v>20058</v>
      </c>
      <c r="S4237" s="12">
        <v>14</v>
      </c>
      <c r="T4237" s="12" t="s">
        <v>39</v>
      </c>
      <c r="U4237" s="12" t="s">
        <v>58</v>
      </c>
      <c r="V4237" s="16"/>
      <c r="W4237" s="12">
        <v>1200000</v>
      </c>
      <c r="X4237" s="12">
        <v>2005</v>
      </c>
      <c r="Y4237" s="12">
        <v>79</v>
      </c>
      <c r="Z4237" s="12">
        <v>5.8</v>
      </c>
      <c r="AA4237" s="12">
        <v>1.85</v>
      </c>
      <c r="AB4237" s="12">
        <v>172</v>
      </c>
      <c r="AC4237" s="12"/>
      <c r="AD4237" s="12" t="str">
        <f>IFERROR(__xludf.DUMMYFUNCTION("""COMPUTED_VALUE"""),"Jean-Baptiste Maunier")</f>
        <v>Jean-Baptiste Maunier</v>
      </c>
      <c r="AE4237" s="12"/>
    </row>
    <row r="4238" customHeight="1" spans="1:31">
      <c r="A4238" s="11" t="s">
        <v>30</v>
      </c>
      <c r="B4238" s="11" t="s">
        <v>20059</v>
      </c>
      <c r="C4238" s="11">
        <v>5</v>
      </c>
      <c r="D4238" s="11">
        <v>97</v>
      </c>
      <c r="E4238" s="11">
        <v>5</v>
      </c>
      <c r="F4238" s="11">
        <v>782</v>
      </c>
      <c r="G4238" s="11">
        <v>3000</v>
      </c>
      <c r="H4238" s="13"/>
      <c r="I4238" s="11" t="s">
        <v>6546</v>
      </c>
      <c r="J4238" s="11" t="s">
        <v>7838</v>
      </c>
      <c r="K4238" s="11" t="s">
        <v>10947</v>
      </c>
      <c r="L4238" s="11" t="s">
        <v>9427</v>
      </c>
      <c r="M4238" s="11" t="s">
        <v>20060</v>
      </c>
      <c r="N4238" s="11">
        <v>485</v>
      </c>
      <c r="O4238" s="11">
        <v>6085</v>
      </c>
      <c r="P4238" s="11">
        <v>5</v>
      </c>
      <c r="Q4238" s="11" t="s">
        <v>20061</v>
      </c>
      <c r="R4238" s="14" t="s">
        <v>20062</v>
      </c>
      <c r="S4238" s="11">
        <v>6</v>
      </c>
      <c r="T4238" s="11" t="s">
        <v>39</v>
      </c>
      <c r="U4238" s="11" t="s">
        <v>40</v>
      </c>
      <c r="V4238" s="13"/>
      <c r="W4238" s="11">
        <v>2400000</v>
      </c>
      <c r="X4238" s="11">
        <v>2014</v>
      </c>
      <c r="Y4238" s="11">
        <v>938</v>
      </c>
      <c r="Z4238" s="11">
        <v>5.3</v>
      </c>
      <c r="AA4238" s="13"/>
      <c r="AB4238" s="11">
        <v>107</v>
      </c>
      <c r="AC4238" s="11"/>
      <c r="AD4238" s="11" t="str">
        <f>IFERROR(__xludf.DUMMYFUNCTION("""COMPUTED_VALUE"""),"François Berléand")</f>
        <v>François Berléand</v>
      </c>
      <c r="AE4238" s="11"/>
    </row>
    <row r="4239" customHeight="1" spans="1:31">
      <c r="A4239" s="12" t="s">
        <v>30</v>
      </c>
      <c r="B4239" s="12" t="s">
        <v>17173</v>
      </c>
      <c r="C4239" s="12">
        <v>95</v>
      </c>
      <c r="D4239" s="12">
        <v>90</v>
      </c>
      <c r="E4239" s="12">
        <v>10</v>
      </c>
      <c r="F4239" s="12">
        <v>42</v>
      </c>
      <c r="G4239" s="12">
        <v>371</v>
      </c>
      <c r="H4239" s="16"/>
      <c r="I4239" s="12" t="s">
        <v>8536</v>
      </c>
      <c r="J4239" s="12" t="s">
        <v>20063</v>
      </c>
      <c r="K4239" s="12" t="s">
        <v>20064</v>
      </c>
      <c r="L4239" s="12" t="s">
        <v>20065</v>
      </c>
      <c r="M4239" s="12" t="s">
        <v>20066</v>
      </c>
      <c r="N4239" s="12">
        <v>5187</v>
      </c>
      <c r="O4239" s="12">
        <v>558</v>
      </c>
      <c r="P4239" s="12">
        <v>2</v>
      </c>
      <c r="Q4239" s="12" t="s">
        <v>20067</v>
      </c>
      <c r="R4239" s="15" t="s">
        <v>20068</v>
      </c>
      <c r="S4239" s="12">
        <v>46</v>
      </c>
      <c r="T4239" s="12" t="s">
        <v>39</v>
      </c>
      <c r="U4239" s="12" t="s">
        <v>269</v>
      </c>
      <c r="V4239" s="12" t="s">
        <v>586</v>
      </c>
      <c r="W4239" s="12">
        <v>2500000</v>
      </c>
      <c r="X4239" s="12">
        <v>2007</v>
      </c>
      <c r="Y4239" s="12">
        <v>52</v>
      </c>
      <c r="Z4239" s="12">
        <v>6</v>
      </c>
      <c r="AA4239" s="12">
        <v>1.85</v>
      </c>
      <c r="AB4239" s="12">
        <v>870</v>
      </c>
      <c r="AC4239" s="12"/>
      <c r="AD4239" s="12" t="str">
        <f>IFERROR(__xludf.DUMMYFUNCTION("""COMPUTED_VALUE"""),"Gérard Jugnot")</f>
        <v>Gérard Jugnot</v>
      </c>
      <c r="AE4239" s="12"/>
    </row>
    <row r="4240" customHeight="1" spans="1:31">
      <c r="A4240" s="11" t="s">
        <v>748</v>
      </c>
      <c r="B4240" s="11" t="s">
        <v>20069</v>
      </c>
      <c r="C4240" s="11">
        <v>97</v>
      </c>
      <c r="D4240" s="11">
        <v>172</v>
      </c>
      <c r="E4240" s="11">
        <v>355</v>
      </c>
      <c r="F4240" s="11">
        <v>188</v>
      </c>
      <c r="G4240" s="11">
        <v>749</v>
      </c>
      <c r="H4240" s="11">
        <v>23650000</v>
      </c>
      <c r="I4240" s="11" t="s">
        <v>5605</v>
      </c>
      <c r="J4240" s="11" t="s">
        <v>20070</v>
      </c>
      <c r="K4240" s="11" t="s">
        <v>17511</v>
      </c>
      <c r="L4240" s="11" t="s">
        <v>18249</v>
      </c>
      <c r="M4240" s="11" t="s">
        <v>20071</v>
      </c>
      <c r="N4240" s="11">
        <v>40359</v>
      </c>
      <c r="O4240" s="11">
        <v>1941</v>
      </c>
      <c r="P4240" s="11">
        <v>5</v>
      </c>
      <c r="Q4240" s="11" t="s">
        <v>20072</v>
      </c>
      <c r="R4240" s="14" t="s">
        <v>20073</v>
      </c>
      <c r="S4240" s="11">
        <v>235</v>
      </c>
      <c r="T4240" s="11" t="s">
        <v>39</v>
      </c>
      <c r="U4240" s="11" t="s">
        <v>40</v>
      </c>
      <c r="V4240" s="11" t="s">
        <v>4831</v>
      </c>
      <c r="W4240" s="11">
        <v>2100000</v>
      </c>
      <c r="X4240" s="11">
        <v>1946</v>
      </c>
      <c r="Y4240" s="11">
        <v>208</v>
      </c>
      <c r="Z4240" s="11">
        <v>8.1</v>
      </c>
      <c r="AA4240" s="11">
        <v>1.37</v>
      </c>
      <c r="AB4240" s="11">
        <v>0</v>
      </c>
      <c r="AC4240" s="11"/>
      <c r="AD4240" s="11" t="str">
        <f>IFERROR(__xludf.DUMMYFUNCTION("""COMPUTED_VALUE"""),"Luke Kirby")</f>
        <v>Luke Kirby</v>
      </c>
      <c r="AE4240" s="11"/>
    </row>
    <row r="4241" customHeight="1" spans="1:31">
      <c r="A4241" s="12" t="s">
        <v>30</v>
      </c>
      <c r="B4241" s="12" t="s">
        <v>20074</v>
      </c>
      <c r="C4241" s="12">
        <v>76</v>
      </c>
      <c r="D4241" s="12">
        <v>115</v>
      </c>
      <c r="E4241" s="12">
        <v>184</v>
      </c>
      <c r="F4241" s="12">
        <v>551</v>
      </c>
      <c r="G4241" s="12">
        <v>730</v>
      </c>
      <c r="H4241" s="12">
        <v>510092</v>
      </c>
      <c r="I4241" s="12" t="s">
        <v>1726</v>
      </c>
      <c r="J4241" s="12" t="s">
        <v>871</v>
      </c>
      <c r="K4241" s="12" t="s">
        <v>649</v>
      </c>
      <c r="L4241" s="12" t="s">
        <v>5728</v>
      </c>
      <c r="M4241" s="12" t="s">
        <v>20075</v>
      </c>
      <c r="N4241" s="12">
        <v>29424</v>
      </c>
      <c r="O4241" s="12">
        <v>3293</v>
      </c>
      <c r="P4241" s="12">
        <v>0</v>
      </c>
      <c r="Q4241" s="12" t="s">
        <v>20076</v>
      </c>
      <c r="R4241" s="15" t="s">
        <v>20077</v>
      </c>
      <c r="S4241" s="12">
        <v>336</v>
      </c>
      <c r="T4241" s="12" t="s">
        <v>39</v>
      </c>
      <c r="U4241" s="12" t="s">
        <v>40</v>
      </c>
      <c r="V4241" s="12" t="s">
        <v>586</v>
      </c>
      <c r="W4241" s="16"/>
      <c r="X4241" s="12">
        <v>2001</v>
      </c>
      <c r="Y4241" s="12">
        <v>648</v>
      </c>
      <c r="Z4241" s="12">
        <v>7</v>
      </c>
      <c r="AA4241" s="12">
        <v>1.85</v>
      </c>
      <c r="AB4241" s="12">
        <v>0</v>
      </c>
      <c r="AC4241" s="12"/>
      <c r="AD4241" s="12" t="str">
        <f>IFERROR(__xludf.DUMMYFUNCTION("""COMPUTED_VALUE"""),"Claudia Ferri")</f>
        <v>Claudia Ferri</v>
      </c>
      <c r="AE4241" s="12"/>
    </row>
    <row r="4242" customHeight="1" spans="1:31">
      <c r="A4242" s="11" t="s">
        <v>30</v>
      </c>
      <c r="B4242" s="11" t="s">
        <v>20078</v>
      </c>
      <c r="C4242" s="11">
        <v>67</v>
      </c>
      <c r="D4242" s="11">
        <v>89</v>
      </c>
      <c r="E4242" s="11">
        <v>16</v>
      </c>
      <c r="F4242" s="11">
        <v>14</v>
      </c>
      <c r="G4242" s="11">
        <v>117</v>
      </c>
      <c r="H4242" s="11">
        <v>313436</v>
      </c>
      <c r="I4242" s="11" t="s">
        <v>2528</v>
      </c>
      <c r="J4242" s="11" t="s">
        <v>20079</v>
      </c>
      <c r="K4242" s="11" t="s">
        <v>20080</v>
      </c>
      <c r="L4242" s="11" t="s">
        <v>20081</v>
      </c>
      <c r="M4242" s="11" t="s">
        <v>20082</v>
      </c>
      <c r="N4242" s="11">
        <v>12244</v>
      </c>
      <c r="O4242" s="11">
        <v>155</v>
      </c>
      <c r="P4242" s="11">
        <v>0</v>
      </c>
      <c r="Q4242" s="11" t="s">
        <v>20083</v>
      </c>
      <c r="R4242" s="14" t="s">
        <v>20084</v>
      </c>
      <c r="S4242" s="11">
        <v>95</v>
      </c>
      <c r="T4242" s="11" t="s">
        <v>17494</v>
      </c>
      <c r="U4242" s="11" t="s">
        <v>12617</v>
      </c>
      <c r="V4242" s="11" t="s">
        <v>586</v>
      </c>
      <c r="W4242" s="11">
        <v>15500000</v>
      </c>
      <c r="X4242" s="11">
        <v>2001</v>
      </c>
      <c r="Y4242" s="11">
        <v>21</v>
      </c>
      <c r="Z4242" s="11">
        <v>7.6</v>
      </c>
      <c r="AA4242" s="11">
        <v>1.85</v>
      </c>
      <c r="AB4242" s="11">
        <v>0</v>
      </c>
      <c r="AC4242" s="11"/>
      <c r="AD4242" s="11" t="str">
        <f>IFERROR(__xludf.DUMMYFUNCTION("""COMPUTED_VALUE"""),"Franky G")</f>
        <v>Franky G</v>
      </c>
      <c r="AE4242" s="11"/>
    </row>
    <row r="4243" customHeight="1" spans="1:31">
      <c r="A4243" s="12" t="s">
        <v>30</v>
      </c>
      <c r="B4243" s="12" t="s">
        <v>20085</v>
      </c>
      <c r="C4243" s="12">
        <v>4</v>
      </c>
      <c r="D4243" s="12">
        <v>125</v>
      </c>
      <c r="E4243" s="12">
        <v>7</v>
      </c>
      <c r="F4243" s="12">
        <v>17</v>
      </c>
      <c r="G4243" s="12">
        <v>128</v>
      </c>
      <c r="H4243" s="12">
        <v>3330</v>
      </c>
      <c r="I4243" s="12" t="s">
        <v>1936</v>
      </c>
      <c r="J4243" s="12" t="s">
        <v>20086</v>
      </c>
      <c r="K4243" s="12" t="s">
        <v>20087</v>
      </c>
      <c r="L4243" s="12" t="s">
        <v>20088</v>
      </c>
      <c r="M4243" s="12" t="s">
        <v>20089</v>
      </c>
      <c r="N4243" s="12">
        <v>22</v>
      </c>
      <c r="O4243" s="12">
        <v>214</v>
      </c>
      <c r="P4243" s="12">
        <v>0</v>
      </c>
      <c r="Q4243" s="16"/>
      <c r="R4243" s="15" t="s">
        <v>20090</v>
      </c>
      <c r="S4243" s="12">
        <v>1</v>
      </c>
      <c r="T4243" s="12" t="s">
        <v>39</v>
      </c>
      <c r="U4243" s="12" t="s">
        <v>40</v>
      </c>
      <c r="V4243" s="12" t="s">
        <v>586</v>
      </c>
      <c r="W4243" s="12">
        <v>2100000</v>
      </c>
      <c r="X4243" s="12">
        <v>2015</v>
      </c>
      <c r="Y4243" s="12">
        <v>22</v>
      </c>
      <c r="Z4243" s="12">
        <v>7.2</v>
      </c>
      <c r="AA4243" s="12">
        <v>2.35</v>
      </c>
      <c r="AB4243" s="12">
        <v>305</v>
      </c>
      <c r="AC4243" s="12"/>
      <c r="AD4243" s="12" t="str">
        <f>IFERROR(__xludf.DUMMYFUNCTION("""COMPUTED_VALUE"""),"Danny Aiello")</f>
        <v>Danny Aiello</v>
      </c>
      <c r="AE4243" s="12"/>
    </row>
    <row r="4244" customHeight="1" spans="1:31">
      <c r="A4244" s="11" t="s">
        <v>30</v>
      </c>
      <c r="B4244" s="11" t="s">
        <v>14720</v>
      </c>
      <c r="C4244" s="11">
        <v>252</v>
      </c>
      <c r="D4244" s="11">
        <v>78</v>
      </c>
      <c r="E4244" s="11">
        <v>57</v>
      </c>
      <c r="F4244" s="11">
        <v>7</v>
      </c>
      <c r="G4244" s="11">
        <v>120</v>
      </c>
      <c r="H4244" s="13"/>
      <c r="I4244" s="11" t="s">
        <v>6403</v>
      </c>
      <c r="J4244" s="11" t="s">
        <v>20091</v>
      </c>
      <c r="K4244" s="11" t="s">
        <v>17372</v>
      </c>
      <c r="L4244" s="11" t="s">
        <v>20092</v>
      </c>
      <c r="M4244" s="11" t="s">
        <v>20093</v>
      </c>
      <c r="N4244" s="11">
        <v>131462</v>
      </c>
      <c r="O4244" s="11">
        <v>145</v>
      </c>
      <c r="P4244" s="11">
        <v>0</v>
      </c>
      <c r="Q4244" s="11" t="s">
        <v>20094</v>
      </c>
      <c r="R4244" s="14" t="s">
        <v>20095</v>
      </c>
      <c r="S4244" s="11">
        <v>374</v>
      </c>
      <c r="T4244" s="11" t="s">
        <v>2779</v>
      </c>
      <c r="U4244" s="11" t="s">
        <v>3572</v>
      </c>
      <c r="V4244" s="11" t="s">
        <v>586</v>
      </c>
      <c r="W4244" s="11">
        <v>1500000</v>
      </c>
      <c r="X4244" s="11">
        <v>2007</v>
      </c>
      <c r="Y4244" s="11">
        <v>9</v>
      </c>
      <c r="Z4244" s="11">
        <v>7.5</v>
      </c>
      <c r="AA4244" s="11">
        <v>1.85</v>
      </c>
      <c r="AB4244" s="11">
        <v>15000</v>
      </c>
      <c r="AC4244" s="11"/>
      <c r="AD4244" s="11" t="str">
        <f>IFERROR(__xludf.DUMMYFUNCTION("""COMPUTED_VALUE"""),"Jean-Pierre Léaud")</f>
        <v>Jean-Pierre Léaud</v>
      </c>
      <c r="AE4244" s="11"/>
    </row>
    <row r="4245" customHeight="1" spans="1:31">
      <c r="A4245" s="12" t="s">
        <v>30</v>
      </c>
      <c r="B4245" s="12" t="s">
        <v>19345</v>
      </c>
      <c r="C4245" s="16"/>
      <c r="D4245" s="12">
        <v>89</v>
      </c>
      <c r="E4245" s="12">
        <v>15</v>
      </c>
      <c r="F4245" s="12">
        <v>650</v>
      </c>
      <c r="G4245" s="12">
        <v>919</v>
      </c>
      <c r="H4245" s="16"/>
      <c r="I4245" s="12" t="s">
        <v>3410</v>
      </c>
      <c r="J4245" s="12" t="s">
        <v>1987</v>
      </c>
      <c r="K4245" s="12" t="s">
        <v>20096</v>
      </c>
      <c r="L4245" s="12" t="s">
        <v>20097</v>
      </c>
      <c r="M4245" s="12" t="s">
        <v>20098</v>
      </c>
      <c r="N4245" s="12">
        <v>544</v>
      </c>
      <c r="O4245" s="12">
        <v>3873</v>
      </c>
      <c r="P4245" s="12">
        <v>1</v>
      </c>
      <c r="Q4245" s="16"/>
      <c r="R4245" s="15" t="s">
        <v>20099</v>
      </c>
      <c r="S4245" s="12">
        <v>4</v>
      </c>
      <c r="T4245" s="12" t="s">
        <v>39</v>
      </c>
      <c r="U4245" s="12" t="s">
        <v>40</v>
      </c>
      <c r="V4245" s="12" t="s">
        <v>1569</v>
      </c>
      <c r="W4245" s="12">
        <v>2100000</v>
      </c>
      <c r="X4245" s="12">
        <v>2010</v>
      </c>
      <c r="Y4245" s="12">
        <v>718</v>
      </c>
      <c r="Z4245" s="12">
        <v>6.3</v>
      </c>
      <c r="AA4245" s="12">
        <v>1.78</v>
      </c>
      <c r="AB4245" s="12">
        <v>162</v>
      </c>
      <c r="AC4245" s="12"/>
      <c r="AD4245" s="12" t="str">
        <f>IFERROR(__xludf.DUMMYFUNCTION("""COMPUTED_VALUE"""),"Kati Outinen")</f>
        <v>Kati Outinen</v>
      </c>
      <c r="AE4245" s="12"/>
    </row>
    <row r="4246" customHeight="1" spans="1:31">
      <c r="A4246" s="11" t="s">
        <v>30</v>
      </c>
      <c r="B4246" s="11" t="s">
        <v>20100</v>
      </c>
      <c r="C4246" s="11">
        <v>1</v>
      </c>
      <c r="D4246" s="11">
        <v>100</v>
      </c>
      <c r="E4246" s="11">
        <v>0</v>
      </c>
      <c r="F4246" s="11">
        <v>338</v>
      </c>
      <c r="G4246" s="11">
        <v>749</v>
      </c>
      <c r="H4246" s="13"/>
      <c r="I4246" s="11" t="s">
        <v>20101</v>
      </c>
      <c r="J4246" s="11" t="s">
        <v>20102</v>
      </c>
      <c r="K4246" s="11" t="s">
        <v>6681</v>
      </c>
      <c r="L4246" s="11" t="s">
        <v>20103</v>
      </c>
      <c r="M4246" s="11" t="s">
        <v>20104</v>
      </c>
      <c r="N4246" s="11">
        <v>6</v>
      </c>
      <c r="O4246" s="11">
        <v>1814</v>
      </c>
      <c r="P4246" s="11">
        <v>0</v>
      </c>
      <c r="Q4246" s="13"/>
      <c r="R4246" s="14" t="s">
        <v>20105</v>
      </c>
      <c r="S4246" s="11">
        <v>1</v>
      </c>
      <c r="T4246" s="11" t="s">
        <v>39</v>
      </c>
      <c r="U4246" s="11" t="s">
        <v>40</v>
      </c>
      <c r="V4246" s="13"/>
      <c r="W4246" s="11">
        <v>2100000</v>
      </c>
      <c r="X4246" s="11">
        <v>2015</v>
      </c>
      <c r="Y4246" s="11">
        <v>354</v>
      </c>
      <c r="Z4246" s="11">
        <v>6.7</v>
      </c>
      <c r="AA4246" s="11">
        <v>2.39</v>
      </c>
      <c r="AB4246" s="11">
        <v>14</v>
      </c>
      <c r="AC4246" s="11"/>
      <c r="AD4246" s="11" t="str">
        <f>IFERROR(__xludf.DUMMYFUNCTION("""COMPUTED_VALUE"""),"Jean-Pierre Darroussin")</f>
        <v>Jean-Pierre Darroussin</v>
      </c>
      <c r="AE4246" s="11"/>
    </row>
    <row r="4247" customHeight="1" spans="1:31">
      <c r="A4247" s="12" t="s">
        <v>30</v>
      </c>
      <c r="B4247" s="12" t="s">
        <v>20106</v>
      </c>
      <c r="C4247" s="12">
        <v>33</v>
      </c>
      <c r="D4247" s="12">
        <v>77</v>
      </c>
      <c r="E4247" s="12">
        <v>0</v>
      </c>
      <c r="F4247" s="12">
        <v>260</v>
      </c>
      <c r="G4247" s="12">
        <v>846</v>
      </c>
      <c r="H4247" s="16"/>
      <c r="I4247" s="12" t="s">
        <v>4333</v>
      </c>
      <c r="J4247" s="12" t="s">
        <v>20107</v>
      </c>
      <c r="K4247" s="12" t="s">
        <v>13187</v>
      </c>
      <c r="L4247" s="12" t="s">
        <v>20108</v>
      </c>
      <c r="M4247" s="12" t="s">
        <v>20109</v>
      </c>
      <c r="N4247" s="12">
        <v>1355</v>
      </c>
      <c r="O4247" s="12">
        <v>2044</v>
      </c>
      <c r="P4247" s="12">
        <v>0</v>
      </c>
      <c r="Q4247" s="12" t="s">
        <v>20110</v>
      </c>
      <c r="R4247" s="15" t="s">
        <v>20111</v>
      </c>
      <c r="S4247" s="12">
        <v>21</v>
      </c>
      <c r="T4247" s="12" t="s">
        <v>39</v>
      </c>
      <c r="U4247" s="12" t="s">
        <v>58</v>
      </c>
      <c r="V4247" s="16"/>
      <c r="W4247" s="16"/>
      <c r="X4247" s="12">
        <v>2015</v>
      </c>
      <c r="Y4247" s="12">
        <v>366</v>
      </c>
      <c r="Z4247" s="12">
        <v>4.8</v>
      </c>
      <c r="AA4247" s="16"/>
      <c r="AB4247" s="12">
        <v>275</v>
      </c>
      <c r="AC4247" s="12"/>
      <c r="AD4247" s="12" t="str">
        <f>IFERROR(__xludf.DUMMYFUNCTION("""COMPUTED_VALUE"""),"Jo Prestia")</f>
        <v>Jo Prestia</v>
      </c>
      <c r="AE4247" s="12"/>
    </row>
    <row r="4248" customHeight="1" spans="1:31">
      <c r="A4248" s="11" t="s">
        <v>30</v>
      </c>
      <c r="B4248" s="11" t="s">
        <v>20112</v>
      </c>
      <c r="C4248" s="11">
        <v>19</v>
      </c>
      <c r="D4248" s="11">
        <v>81</v>
      </c>
      <c r="E4248" s="11">
        <v>7</v>
      </c>
      <c r="F4248" s="11">
        <v>106</v>
      </c>
      <c r="G4248" s="11">
        <v>412</v>
      </c>
      <c r="H4248" s="13"/>
      <c r="I4248" s="11" t="s">
        <v>6039</v>
      </c>
      <c r="J4248" s="11" t="s">
        <v>5078</v>
      </c>
      <c r="K4248" s="11" t="s">
        <v>20113</v>
      </c>
      <c r="L4248" s="11" t="s">
        <v>20114</v>
      </c>
      <c r="M4248" s="11" t="s">
        <v>20115</v>
      </c>
      <c r="N4248" s="11">
        <v>1274</v>
      </c>
      <c r="O4248" s="11">
        <v>1020</v>
      </c>
      <c r="P4248" s="11">
        <v>1</v>
      </c>
      <c r="Q4248" s="13"/>
      <c r="R4248" s="14" t="s">
        <v>20116</v>
      </c>
      <c r="S4248" s="11">
        <v>17</v>
      </c>
      <c r="T4248" s="11" t="s">
        <v>39</v>
      </c>
      <c r="U4248" s="11" t="s">
        <v>40</v>
      </c>
      <c r="V4248" s="13"/>
      <c r="W4248" s="11">
        <v>2100000</v>
      </c>
      <c r="X4248" s="11">
        <v>2015</v>
      </c>
      <c r="Y4248" s="11">
        <v>308</v>
      </c>
      <c r="Z4248" s="11">
        <v>5.5</v>
      </c>
      <c r="AA4248" s="11">
        <v>2.35</v>
      </c>
      <c r="AB4248" s="11">
        <v>380</v>
      </c>
      <c r="AC4248" s="11"/>
      <c r="AD4248" s="11" t="str">
        <f>IFERROR(__xludf.DUMMYFUNCTION("""COMPUTED_VALUE"""),"Lindsay Kay Hayward")</f>
        <v>Lindsay Kay Hayward</v>
      </c>
      <c r="AE4248" s="11"/>
    </row>
    <row r="4249" customHeight="1" spans="1:31">
      <c r="A4249" s="12" t="s">
        <v>30</v>
      </c>
      <c r="B4249" s="12" t="s">
        <v>5690</v>
      </c>
      <c r="C4249" s="12">
        <v>167</v>
      </c>
      <c r="D4249" s="12">
        <v>115</v>
      </c>
      <c r="E4249" s="12">
        <v>92</v>
      </c>
      <c r="F4249" s="12">
        <v>177</v>
      </c>
      <c r="G4249" s="12">
        <v>559</v>
      </c>
      <c r="H4249" s="12">
        <v>24800000</v>
      </c>
      <c r="I4249" s="12" t="s">
        <v>51</v>
      </c>
      <c r="J4249" s="12" t="s">
        <v>14011</v>
      </c>
      <c r="K4249" s="12" t="s">
        <v>20117</v>
      </c>
      <c r="L4249" s="12" t="s">
        <v>4827</v>
      </c>
      <c r="M4249" s="12" t="s">
        <v>20118</v>
      </c>
      <c r="N4249" s="12">
        <v>89403</v>
      </c>
      <c r="O4249" s="12">
        <v>1456</v>
      </c>
      <c r="P4249" s="12">
        <v>0</v>
      </c>
      <c r="Q4249" s="12" t="s">
        <v>20119</v>
      </c>
      <c r="R4249" s="15" t="s">
        <v>20120</v>
      </c>
      <c r="S4249" s="12">
        <v>358</v>
      </c>
      <c r="T4249" s="12" t="s">
        <v>39</v>
      </c>
      <c r="U4249" s="12" t="s">
        <v>58</v>
      </c>
      <c r="V4249" s="12" t="s">
        <v>6037</v>
      </c>
      <c r="W4249" s="12">
        <v>2000000</v>
      </c>
      <c r="X4249" s="12">
        <v>1963</v>
      </c>
      <c r="Y4249" s="12">
        <v>201</v>
      </c>
      <c r="Z4249" s="12">
        <v>7.5</v>
      </c>
      <c r="AA4249" s="12">
        <v>1.37</v>
      </c>
      <c r="AB4249" s="12">
        <v>0</v>
      </c>
      <c r="AC4249" s="12"/>
      <c r="AD4249" s="12" t="str">
        <f>IFERROR(__xludf.DUMMYFUNCTION("""COMPUTED_VALUE"""),"Hitoshi Matsumoto")</f>
        <v>Hitoshi Matsumoto</v>
      </c>
      <c r="AE4249" s="12"/>
    </row>
    <row r="4250" customHeight="1" spans="1:31">
      <c r="A4250" s="11" t="s">
        <v>30</v>
      </c>
      <c r="B4250" s="11" t="s">
        <v>20121</v>
      </c>
      <c r="C4250" s="11">
        <v>49</v>
      </c>
      <c r="D4250" s="11">
        <v>96</v>
      </c>
      <c r="E4250" s="11">
        <v>6</v>
      </c>
      <c r="F4250" s="11">
        <v>14</v>
      </c>
      <c r="G4250" s="11">
        <v>40</v>
      </c>
      <c r="H4250" s="11">
        <v>792966</v>
      </c>
      <c r="I4250" s="11" t="s">
        <v>20122</v>
      </c>
      <c r="J4250" s="11" t="s">
        <v>20123</v>
      </c>
      <c r="K4250" s="11" t="s">
        <v>20124</v>
      </c>
      <c r="L4250" s="11" t="s">
        <v>20125</v>
      </c>
      <c r="M4250" s="11" t="s">
        <v>20126</v>
      </c>
      <c r="N4250" s="11">
        <v>4663</v>
      </c>
      <c r="O4250" s="11">
        <v>99</v>
      </c>
      <c r="P4250" s="11">
        <v>2</v>
      </c>
      <c r="Q4250" s="11" t="s">
        <v>20127</v>
      </c>
      <c r="R4250" s="14" t="s">
        <v>20128</v>
      </c>
      <c r="S4250" s="11">
        <v>40</v>
      </c>
      <c r="T4250" s="11" t="s">
        <v>39</v>
      </c>
      <c r="U4250" s="11" t="s">
        <v>40</v>
      </c>
      <c r="V4250" s="11" t="s">
        <v>586</v>
      </c>
      <c r="W4250" s="11">
        <v>2300000</v>
      </c>
      <c r="X4250" s="11">
        <v>1989</v>
      </c>
      <c r="Y4250" s="11">
        <v>30</v>
      </c>
      <c r="Z4250" s="11">
        <v>5.1</v>
      </c>
      <c r="AA4250" s="11">
        <v>1.33</v>
      </c>
      <c r="AB4250" s="11">
        <v>321</v>
      </c>
      <c r="AC4250" s="11"/>
      <c r="AD4250" s="11" t="str">
        <f>IFERROR(__xludf.DUMMYFUNCTION("""COMPUTED_VALUE"""),"Shinobu Terajima")</f>
        <v>Shinobu Terajima</v>
      </c>
      <c r="AE4250" s="11"/>
    </row>
    <row r="4251" customHeight="1" spans="1:31">
      <c r="A4251" s="12" t="s">
        <v>30</v>
      </c>
      <c r="B4251" s="16"/>
      <c r="C4251" s="12">
        <v>1</v>
      </c>
      <c r="D4251" s="12">
        <v>60</v>
      </c>
      <c r="E4251" s="16"/>
      <c r="F4251" s="12">
        <v>213</v>
      </c>
      <c r="G4251" s="12">
        <v>480</v>
      </c>
      <c r="H4251" s="16"/>
      <c r="I4251" s="12" t="s">
        <v>3082</v>
      </c>
      <c r="J4251" s="12" t="s">
        <v>19570</v>
      </c>
      <c r="K4251" s="12" t="s">
        <v>20129</v>
      </c>
      <c r="L4251" s="12" t="s">
        <v>20130</v>
      </c>
      <c r="M4251" s="12" t="s">
        <v>20131</v>
      </c>
      <c r="N4251" s="12">
        <v>2258</v>
      </c>
      <c r="O4251" s="12">
        <v>1736</v>
      </c>
      <c r="P4251" s="12">
        <v>1</v>
      </c>
      <c r="Q4251" s="12" t="s">
        <v>20132</v>
      </c>
      <c r="R4251" s="15" t="s">
        <v>20133</v>
      </c>
      <c r="S4251" s="12">
        <v>24</v>
      </c>
      <c r="T4251" s="12" t="s">
        <v>39</v>
      </c>
      <c r="U4251" s="12" t="s">
        <v>40</v>
      </c>
      <c r="V4251" s="16"/>
      <c r="W4251" s="16"/>
      <c r="X4251" s="16"/>
      <c r="Y4251" s="12">
        <v>360</v>
      </c>
      <c r="Z4251" s="12">
        <v>7.4</v>
      </c>
      <c r="AA4251" s="12">
        <v>1.33</v>
      </c>
      <c r="AB4251" s="12">
        <v>763</v>
      </c>
      <c r="AC4251" s="12"/>
      <c r="AD4251" s="12" t="str">
        <f>IFERROR(__xludf.DUMMYFUNCTION("""COMPUTED_VALUE"""),"Madhavan")</f>
        <v>Madhavan</v>
      </c>
      <c r="AE4251" s="12"/>
    </row>
    <row r="4252" customHeight="1" spans="1:31">
      <c r="A4252" s="11" t="s">
        <v>30</v>
      </c>
      <c r="B4252" s="11" t="s">
        <v>4004</v>
      </c>
      <c r="C4252" s="11">
        <v>66</v>
      </c>
      <c r="D4252" s="11">
        <v>89</v>
      </c>
      <c r="E4252" s="11">
        <v>11000</v>
      </c>
      <c r="F4252" s="11">
        <v>45</v>
      </c>
      <c r="G4252" s="11">
        <v>11000</v>
      </c>
      <c r="H4252" s="13"/>
      <c r="I4252" s="11" t="s">
        <v>5483</v>
      </c>
      <c r="J4252" s="11" t="s">
        <v>4004</v>
      </c>
      <c r="K4252" s="11" t="s">
        <v>20134</v>
      </c>
      <c r="L4252" s="11" t="s">
        <v>20135</v>
      </c>
      <c r="M4252" s="11" t="s">
        <v>20136</v>
      </c>
      <c r="N4252" s="11">
        <v>33335</v>
      </c>
      <c r="O4252" s="11">
        <v>11192</v>
      </c>
      <c r="P4252" s="11">
        <v>0</v>
      </c>
      <c r="Q4252" s="11" t="s">
        <v>20137</v>
      </c>
      <c r="R4252" s="14" t="s">
        <v>20138</v>
      </c>
      <c r="S4252" s="11">
        <v>128</v>
      </c>
      <c r="T4252" s="11" t="s">
        <v>39</v>
      </c>
      <c r="U4252" s="11" t="s">
        <v>40</v>
      </c>
      <c r="V4252" s="11" t="s">
        <v>96</v>
      </c>
      <c r="W4252" s="11">
        <v>2000000</v>
      </c>
      <c r="X4252" s="11">
        <v>1973</v>
      </c>
      <c r="Y4252" s="11">
        <v>66</v>
      </c>
      <c r="Z4252" s="11">
        <v>7.3</v>
      </c>
      <c r="AA4252" s="11">
        <v>1.85</v>
      </c>
      <c r="AB4252" s="11">
        <v>0</v>
      </c>
      <c r="AC4252" s="11"/>
      <c r="AD4252" s="11" t="str">
        <f>IFERROR(__xludf.DUMMYFUNCTION("""COMPUTED_VALUE"""),"David Dastmalchian")</f>
        <v>David Dastmalchian</v>
      </c>
      <c r="AE4252" s="11"/>
    </row>
    <row r="4253" customHeight="1" spans="1:31">
      <c r="A4253" s="12" t="s">
        <v>30</v>
      </c>
      <c r="B4253" s="12" t="s">
        <v>20139</v>
      </c>
      <c r="C4253" s="12">
        <v>533</v>
      </c>
      <c r="D4253" s="12">
        <v>100</v>
      </c>
      <c r="E4253" s="12">
        <v>421</v>
      </c>
      <c r="F4253" s="12">
        <v>159</v>
      </c>
      <c r="G4253" s="12">
        <v>314</v>
      </c>
      <c r="H4253" s="12">
        <v>14673301</v>
      </c>
      <c r="I4253" s="12" t="s">
        <v>5104</v>
      </c>
      <c r="J4253" s="12" t="s">
        <v>20140</v>
      </c>
      <c r="K4253" s="12" t="s">
        <v>20141</v>
      </c>
      <c r="L4253" s="12" t="s">
        <v>20142</v>
      </c>
      <c r="M4253" s="12" t="s">
        <v>20143</v>
      </c>
      <c r="N4253" s="12">
        <v>112899</v>
      </c>
      <c r="O4253" s="12">
        <v>1062</v>
      </c>
      <c r="P4253" s="12">
        <v>0</v>
      </c>
      <c r="Q4253" s="12" t="s">
        <v>20144</v>
      </c>
      <c r="R4253" s="15" t="s">
        <v>20145</v>
      </c>
      <c r="S4253" s="12">
        <v>631</v>
      </c>
      <c r="T4253" s="12" t="s">
        <v>39</v>
      </c>
      <c r="U4253" s="12" t="s">
        <v>40</v>
      </c>
      <c r="V4253" s="12" t="s">
        <v>586</v>
      </c>
      <c r="W4253" s="12">
        <v>2000000</v>
      </c>
      <c r="X4253" s="12">
        <v>2014</v>
      </c>
      <c r="Y4253" s="12">
        <v>189</v>
      </c>
      <c r="Z4253" s="12">
        <v>6.9</v>
      </c>
      <c r="AA4253" s="12">
        <v>2.35</v>
      </c>
      <c r="AB4253" s="12">
        <v>45000</v>
      </c>
      <c r="AC4253" s="12"/>
      <c r="AD4253" s="12" t="str">
        <f>IFERROR(__xludf.DUMMYFUNCTION("""COMPUTED_VALUE"""),"Cree Kelly")</f>
        <v>Cree Kelly</v>
      </c>
      <c r="AE4253" s="12"/>
    </row>
    <row r="4254" customHeight="1" spans="1:31">
      <c r="A4254" s="11" t="s">
        <v>748</v>
      </c>
      <c r="B4254" s="11" t="s">
        <v>4004</v>
      </c>
      <c r="C4254" s="11">
        <v>50</v>
      </c>
      <c r="D4254" s="11">
        <v>88</v>
      </c>
      <c r="E4254" s="11">
        <v>11000</v>
      </c>
      <c r="F4254" s="11">
        <v>258</v>
      </c>
      <c r="G4254" s="11">
        <v>11000</v>
      </c>
      <c r="H4254" s="13"/>
      <c r="I4254" s="11" t="s">
        <v>1672</v>
      </c>
      <c r="J4254" s="11" t="s">
        <v>4004</v>
      </c>
      <c r="K4254" s="11" t="s">
        <v>15711</v>
      </c>
      <c r="L4254" s="11" t="s">
        <v>12562</v>
      </c>
      <c r="M4254" s="11" t="s">
        <v>20146</v>
      </c>
      <c r="N4254" s="11">
        <v>31077</v>
      </c>
      <c r="O4254" s="11">
        <v>12034</v>
      </c>
      <c r="P4254" s="11">
        <v>5</v>
      </c>
      <c r="Q4254" s="11" t="s">
        <v>20147</v>
      </c>
      <c r="R4254" s="14" t="s">
        <v>20148</v>
      </c>
      <c r="S4254" s="11">
        <v>78</v>
      </c>
      <c r="T4254" s="11" t="s">
        <v>39</v>
      </c>
      <c r="U4254" s="11" t="s">
        <v>40</v>
      </c>
      <c r="V4254" s="11" t="s">
        <v>586</v>
      </c>
      <c r="W4254" s="11">
        <v>2000000</v>
      </c>
      <c r="X4254" s="11">
        <v>1972</v>
      </c>
      <c r="Y4254" s="11">
        <v>300</v>
      </c>
      <c r="Z4254" s="11">
        <v>6.8</v>
      </c>
      <c r="AA4254" s="11">
        <v>1.85</v>
      </c>
      <c r="AB4254" s="11">
        <v>0</v>
      </c>
      <c r="AC4254" s="11"/>
      <c r="AD4254" s="11" t="str">
        <f>IFERROR(__xludf.DUMMYFUNCTION("""COMPUTED_VALUE"""),"Mike Eshaq")</f>
        <v>Mike Eshaq</v>
      </c>
      <c r="AE4254" s="11"/>
    </row>
    <row r="4255" customHeight="1" spans="1:31">
      <c r="A4255" s="12" t="s">
        <v>748</v>
      </c>
      <c r="B4255" s="12" t="s">
        <v>20149</v>
      </c>
      <c r="C4255" s="12">
        <v>127</v>
      </c>
      <c r="D4255" s="12">
        <v>129</v>
      </c>
      <c r="E4255" s="12">
        <v>89</v>
      </c>
      <c r="F4255" s="12">
        <v>161</v>
      </c>
      <c r="G4255" s="12">
        <v>3000</v>
      </c>
      <c r="H4255" s="16"/>
      <c r="I4255" s="12" t="s">
        <v>1936</v>
      </c>
      <c r="J4255" s="12" t="s">
        <v>1689</v>
      </c>
      <c r="K4255" s="12" t="s">
        <v>20150</v>
      </c>
      <c r="L4255" s="12" t="s">
        <v>20151</v>
      </c>
      <c r="M4255" s="12" t="s">
        <v>20152</v>
      </c>
      <c r="N4255" s="12">
        <v>215086</v>
      </c>
      <c r="O4255" s="12">
        <v>3833</v>
      </c>
      <c r="P4255" s="12">
        <v>0</v>
      </c>
      <c r="Q4255" s="12" t="s">
        <v>20153</v>
      </c>
      <c r="R4255" s="15" t="s">
        <v>20154</v>
      </c>
      <c r="S4255" s="12">
        <v>471</v>
      </c>
      <c r="T4255" s="12" t="s">
        <v>39</v>
      </c>
      <c r="U4255" s="12" t="s">
        <v>40</v>
      </c>
      <c r="V4255" s="12" t="s">
        <v>4831</v>
      </c>
      <c r="W4255" s="12">
        <v>2000000</v>
      </c>
      <c r="X4255" s="12">
        <v>1962</v>
      </c>
      <c r="Y4255" s="12">
        <v>226</v>
      </c>
      <c r="Z4255" s="12">
        <v>8.4</v>
      </c>
      <c r="AA4255" s="12">
        <v>1.85</v>
      </c>
      <c r="AB4255" s="12">
        <v>15000</v>
      </c>
      <c r="AC4255" s="12"/>
      <c r="AD4255" s="12" t="str">
        <f>IFERROR(__xludf.DUMMYFUNCTION("""COMPUTED_VALUE"""),"Ron Silver")</f>
        <v>Ron Silver</v>
      </c>
      <c r="AE4255" s="12"/>
    </row>
    <row r="4256" customHeight="1" spans="1:31">
      <c r="A4256" s="11" t="s">
        <v>748</v>
      </c>
      <c r="B4256" s="11" t="s">
        <v>846</v>
      </c>
      <c r="C4256" s="11">
        <v>177</v>
      </c>
      <c r="D4256" s="11">
        <v>87</v>
      </c>
      <c r="E4256" s="11">
        <v>750</v>
      </c>
      <c r="F4256" s="11">
        <v>41</v>
      </c>
      <c r="G4256" s="11">
        <v>745</v>
      </c>
      <c r="H4256" s="11">
        <v>9003011</v>
      </c>
      <c r="I4256" s="11" t="s">
        <v>227</v>
      </c>
      <c r="J4256" s="11" t="s">
        <v>14866</v>
      </c>
      <c r="K4256" s="11" t="s">
        <v>743</v>
      </c>
      <c r="L4256" s="11" t="s">
        <v>20155</v>
      </c>
      <c r="M4256" s="11" t="s">
        <v>20156</v>
      </c>
      <c r="N4256" s="11">
        <v>133966</v>
      </c>
      <c r="O4256" s="11">
        <v>1396</v>
      </c>
      <c r="P4256" s="11">
        <v>0</v>
      </c>
      <c r="Q4256" s="11" t="s">
        <v>20157</v>
      </c>
      <c r="R4256" s="14" t="s">
        <v>20158</v>
      </c>
      <c r="S4256" s="11">
        <v>294</v>
      </c>
      <c r="T4256" s="11" t="s">
        <v>39</v>
      </c>
      <c r="U4256" s="11" t="s">
        <v>371</v>
      </c>
      <c r="V4256" s="11" t="s">
        <v>586</v>
      </c>
      <c r="W4256" s="11">
        <v>2000000</v>
      </c>
      <c r="X4256" s="11">
        <v>1981</v>
      </c>
      <c r="Y4256" s="11">
        <v>531</v>
      </c>
      <c r="Z4256" s="11">
        <v>7.6</v>
      </c>
      <c r="AA4256" s="11">
        <v>2.35</v>
      </c>
      <c r="AB4256" s="11">
        <v>0</v>
      </c>
      <c r="AC4256" s="11"/>
      <c r="AD4256" s="11" t="str">
        <f>IFERROR(__xludf.DUMMYFUNCTION("""COMPUTED_VALUE"""),"Shane Meadows")</f>
        <v>Shane Meadows</v>
      </c>
      <c r="AE4256" s="11"/>
    </row>
    <row r="4257" customHeight="1" spans="1:31">
      <c r="A4257" s="12" t="s">
        <v>30</v>
      </c>
      <c r="B4257" s="12" t="s">
        <v>20159</v>
      </c>
      <c r="C4257" s="12">
        <v>77</v>
      </c>
      <c r="D4257" s="12">
        <v>102</v>
      </c>
      <c r="E4257" s="12">
        <v>32</v>
      </c>
      <c r="F4257" s="12">
        <v>75</v>
      </c>
      <c r="G4257" s="12">
        <v>483</v>
      </c>
      <c r="H4257" s="12">
        <v>11546543</v>
      </c>
      <c r="I4257" s="12" t="s">
        <v>2137</v>
      </c>
      <c r="J4257" s="12" t="s">
        <v>6883</v>
      </c>
      <c r="K4257" s="12" t="s">
        <v>16323</v>
      </c>
      <c r="L4257" s="12" t="s">
        <v>20160</v>
      </c>
      <c r="M4257" s="12" t="s">
        <v>20161</v>
      </c>
      <c r="N4257" s="12">
        <v>34520</v>
      </c>
      <c r="O4257" s="12">
        <v>768</v>
      </c>
      <c r="P4257" s="12">
        <v>1</v>
      </c>
      <c r="Q4257" s="12" t="s">
        <v>20162</v>
      </c>
      <c r="R4257" s="15" t="s">
        <v>20163</v>
      </c>
      <c r="S4257" s="12">
        <v>146</v>
      </c>
      <c r="T4257" s="12" t="s">
        <v>7242</v>
      </c>
      <c r="U4257" s="12" t="s">
        <v>3860</v>
      </c>
      <c r="V4257" s="12" t="s">
        <v>586</v>
      </c>
      <c r="W4257" s="12">
        <v>2000000</v>
      </c>
      <c r="X4257" s="12">
        <v>1994</v>
      </c>
      <c r="Y4257" s="12">
        <v>147</v>
      </c>
      <c r="Z4257" s="12">
        <v>7.6</v>
      </c>
      <c r="AA4257" s="12">
        <v>2.35</v>
      </c>
      <c r="AB4257" s="12">
        <v>0</v>
      </c>
      <c r="AC4257" s="12"/>
      <c r="AD4257" s="12" t="str">
        <f>IFERROR(__xludf.DUMMYFUNCTION("""COMPUTED_VALUE"""),"Aksel Hennie")</f>
        <v>Aksel Hennie</v>
      </c>
      <c r="AE4257" s="12"/>
    </row>
    <row r="4258" customHeight="1" spans="1:31">
      <c r="A4258" s="11" t="s">
        <v>748</v>
      </c>
      <c r="B4258" s="11" t="s">
        <v>3728</v>
      </c>
      <c r="C4258" s="11">
        <v>103</v>
      </c>
      <c r="D4258" s="11">
        <v>152</v>
      </c>
      <c r="E4258" s="11">
        <v>0</v>
      </c>
      <c r="F4258" s="11">
        <v>177</v>
      </c>
      <c r="G4258" s="11">
        <v>618</v>
      </c>
      <c r="H4258" s="13"/>
      <c r="I4258" s="11" t="s">
        <v>4824</v>
      </c>
      <c r="J4258" s="11" t="s">
        <v>4825</v>
      </c>
      <c r="K4258" s="11" t="s">
        <v>4826</v>
      </c>
      <c r="L4258" s="11" t="s">
        <v>4827</v>
      </c>
      <c r="M4258" s="11" t="s">
        <v>4828</v>
      </c>
      <c r="N4258" s="11">
        <v>67825</v>
      </c>
      <c r="O4258" s="11">
        <v>1404</v>
      </c>
      <c r="P4258" s="11">
        <v>0</v>
      </c>
      <c r="Q4258" s="11" t="s">
        <v>4829</v>
      </c>
      <c r="R4258" s="14" t="s">
        <v>4830</v>
      </c>
      <c r="S4258" s="11">
        <v>207</v>
      </c>
      <c r="T4258" s="11" t="s">
        <v>39</v>
      </c>
      <c r="U4258" s="11" t="s">
        <v>58</v>
      </c>
      <c r="V4258" s="11" t="s">
        <v>4831</v>
      </c>
      <c r="W4258" s="11">
        <v>2000000</v>
      </c>
      <c r="X4258" s="11">
        <v>1962</v>
      </c>
      <c r="Y4258" s="11">
        <v>367</v>
      </c>
      <c r="Z4258" s="11">
        <v>7.7</v>
      </c>
      <c r="AA4258" s="11">
        <v>1.66</v>
      </c>
      <c r="AB4258" s="11">
        <v>0</v>
      </c>
      <c r="AC4258" s="11"/>
      <c r="AD4258" s="11" t="str">
        <f>IFERROR(__xludf.DUMMYFUNCTION("""COMPUTED_VALUE"""),"Synnøve Macody Lund")</f>
        <v>Synnøve Macody Lund</v>
      </c>
      <c r="AE4258" s="11"/>
    </row>
    <row r="4259" customHeight="1" spans="1:31">
      <c r="A4259" s="12" t="s">
        <v>30</v>
      </c>
      <c r="B4259" s="12" t="s">
        <v>8418</v>
      </c>
      <c r="C4259" s="12">
        <v>123</v>
      </c>
      <c r="D4259" s="12">
        <v>118</v>
      </c>
      <c r="E4259" s="12">
        <v>108</v>
      </c>
      <c r="F4259" s="12">
        <v>103</v>
      </c>
      <c r="G4259" s="12">
        <v>173</v>
      </c>
      <c r="H4259" s="12">
        <v>11533945</v>
      </c>
      <c r="I4259" s="12" t="s">
        <v>15074</v>
      </c>
      <c r="J4259" s="12" t="s">
        <v>20164</v>
      </c>
      <c r="K4259" s="12" t="s">
        <v>11260</v>
      </c>
      <c r="L4259" s="12" t="s">
        <v>20165</v>
      </c>
      <c r="M4259" s="12" t="s">
        <v>20166</v>
      </c>
      <c r="N4259" s="12">
        <v>77551</v>
      </c>
      <c r="O4259" s="12">
        <v>563</v>
      </c>
      <c r="P4259" s="12">
        <v>0</v>
      </c>
      <c r="Q4259" s="12" t="s">
        <v>20167</v>
      </c>
      <c r="R4259" s="15" t="s">
        <v>20168</v>
      </c>
      <c r="S4259" s="12">
        <v>434</v>
      </c>
      <c r="T4259" s="12" t="s">
        <v>39</v>
      </c>
      <c r="U4259" s="12" t="s">
        <v>40</v>
      </c>
      <c r="V4259" s="12" t="s">
        <v>586</v>
      </c>
      <c r="W4259" s="12">
        <v>2000000</v>
      </c>
      <c r="X4259" s="12">
        <v>1999</v>
      </c>
      <c r="Y4259" s="12">
        <v>148</v>
      </c>
      <c r="Z4259" s="12">
        <v>7.6</v>
      </c>
      <c r="AA4259" s="12">
        <v>1.85</v>
      </c>
      <c r="AB4259" s="12">
        <v>0</v>
      </c>
      <c r="AC4259" s="12"/>
      <c r="AD4259" s="12" t="str">
        <f>IFERROR(__xludf.DUMMYFUNCTION("""COMPUTED_VALUE"""),"Julie R. Ølgaard")</f>
        <v>Julie R. Ølgaard</v>
      </c>
      <c r="AE4259" s="12"/>
    </row>
    <row r="4260" customHeight="1" spans="1:31">
      <c r="A4260" s="11" t="s">
        <v>30</v>
      </c>
      <c r="B4260" s="11" t="s">
        <v>20169</v>
      </c>
      <c r="C4260" s="11">
        <v>218</v>
      </c>
      <c r="D4260" s="11">
        <v>86</v>
      </c>
      <c r="E4260" s="11">
        <v>9</v>
      </c>
      <c r="F4260" s="11">
        <v>32</v>
      </c>
      <c r="G4260" s="11">
        <v>120</v>
      </c>
      <c r="H4260" s="11">
        <v>12555230</v>
      </c>
      <c r="I4260" s="11" t="s">
        <v>6133</v>
      </c>
      <c r="J4260" s="11" t="s">
        <v>20170</v>
      </c>
      <c r="K4260" s="11" t="s">
        <v>20171</v>
      </c>
      <c r="L4260" s="11" t="s">
        <v>20172</v>
      </c>
      <c r="M4260" s="11" t="s">
        <v>20173</v>
      </c>
      <c r="N4260" s="11">
        <v>18566</v>
      </c>
      <c r="O4260" s="11">
        <v>218</v>
      </c>
      <c r="P4260" s="11">
        <v>0</v>
      </c>
      <c r="Q4260" s="11" t="s">
        <v>20174</v>
      </c>
      <c r="R4260" s="14" t="s">
        <v>20175</v>
      </c>
      <c r="S4260" s="11">
        <v>154</v>
      </c>
      <c r="T4260" s="11" t="s">
        <v>39</v>
      </c>
      <c r="U4260" s="11" t="s">
        <v>1466</v>
      </c>
      <c r="V4260" s="11" t="s">
        <v>586</v>
      </c>
      <c r="W4260" s="11">
        <v>2000000</v>
      </c>
      <c r="X4260" s="11">
        <v>2011</v>
      </c>
      <c r="Y4260" s="11">
        <v>44</v>
      </c>
      <c r="Z4260" s="11">
        <v>5.3</v>
      </c>
      <c r="AA4260" s="11">
        <v>1.85</v>
      </c>
      <c r="AB4260" s="11">
        <v>0</v>
      </c>
      <c r="AC4260" s="11"/>
      <c r="AD4260" s="11" t="str">
        <f>IFERROR(__xludf.DUMMYFUNCTION("""COMPUTED_VALUE"""),"Adam Butcher")</f>
        <v>Adam Butcher</v>
      </c>
      <c r="AE4260" s="11"/>
    </row>
    <row r="4261" customHeight="1" spans="1:31">
      <c r="A4261" s="12" t="s">
        <v>30</v>
      </c>
      <c r="B4261" s="12" t="s">
        <v>1814</v>
      </c>
      <c r="C4261" s="12">
        <v>215</v>
      </c>
      <c r="D4261" s="12">
        <v>137</v>
      </c>
      <c r="E4261" s="12">
        <v>207</v>
      </c>
      <c r="F4261" s="12">
        <v>155</v>
      </c>
      <c r="G4261" s="12">
        <v>380</v>
      </c>
      <c r="H4261" s="12">
        <v>11284657</v>
      </c>
      <c r="I4261" s="12" t="s">
        <v>4075</v>
      </c>
      <c r="J4261" s="12" t="s">
        <v>10487</v>
      </c>
      <c r="K4261" s="12" t="s">
        <v>13561</v>
      </c>
      <c r="L4261" s="12" t="s">
        <v>11549</v>
      </c>
      <c r="M4261" s="12" t="s">
        <v>20176</v>
      </c>
      <c r="N4261" s="12">
        <v>259379</v>
      </c>
      <c r="O4261" s="12">
        <v>927</v>
      </c>
      <c r="P4261" s="12">
        <v>3</v>
      </c>
      <c r="Q4261" s="12" t="s">
        <v>20177</v>
      </c>
      <c r="R4261" s="15" t="s">
        <v>20178</v>
      </c>
      <c r="S4261" s="12">
        <v>407</v>
      </c>
      <c r="T4261" s="12" t="s">
        <v>8732</v>
      </c>
      <c r="U4261" s="12" t="s">
        <v>768</v>
      </c>
      <c r="V4261" s="12" t="s">
        <v>586</v>
      </c>
      <c r="W4261" s="12">
        <v>2000000</v>
      </c>
      <c r="X4261" s="12">
        <v>2006</v>
      </c>
      <c r="Y4261" s="12">
        <v>284</v>
      </c>
      <c r="Z4261" s="12">
        <v>8.5</v>
      </c>
      <c r="AA4261" s="12">
        <v>2.35</v>
      </c>
      <c r="AB4261" s="12">
        <v>39000</v>
      </c>
      <c r="AC4261" s="12"/>
      <c r="AD4261" s="12" t="str">
        <f>IFERROR(__xludf.DUMMYFUNCTION("""COMPUTED_VALUE"""),"Jessica Chastain")</f>
        <v>Jessica Chastain</v>
      </c>
      <c r="AE4261" s="12"/>
    </row>
    <row r="4262" customHeight="1" spans="1:31">
      <c r="A4262" s="11" t="s">
        <v>30</v>
      </c>
      <c r="B4262" s="11" t="s">
        <v>18268</v>
      </c>
      <c r="C4262" s="11">
        <v>34</v>
      </c>
      <c r="D4262" s="11">
        <v>129</v>
      </c>
      <c r="E4262" s="11">
        <v>589</v>
      </c>
      <c r="F4262" s="11">
        <v>341</v>
      </c>
      <c r="G4262" s="11">
        <v>690</v>
      </c>
      <c r="H4262" s="11">
        <v>34522221</v>
      </c>
      <c r="I4262" s="11" t="s">
        <v>3410</v>
      </c>
      <c r="J4262" s="11" t="s">
        <v>20179</v>
      </c>
      <c r="K4262" s="11" t="s">
        <v>18268</v>
      </c>
      <c r="L4262" s="11" t="s">
        <v>20180</v>
      </c>
      <c r="M4262" s="11" t="s">
        <v>20181</v>
      </c>
      <c r="N4262" s="11">
        <v>15401</v>
      </c>
      <c r="O4262" s="11">
        <v>2300</v>
      </c>
      <c r="P4262" s="11">
        <v>7</v>
      </c>
      <c r="Q4262" s="11" t="s">
        <v>20182</v>
      </c>
      <c r="R4262" s="14" t="s">
        <v>20183</v>
      </c>
      <c r="S4262" s="11">
        <v>175</v>
      </c>
      <c r="T4262" s="11" t="s">
        <v>39</v>
      </c>
      <c r="U4262" s="11" t="s">
        <v>40</v>
      </c>
      <c r="V4262" s="11" t="s">
        <v>41</v>
      </c>
      <c r="W4262" s="11">
        <v>2000000</v>
      </c>
      <c r="X4262" s="11">
        <v>2011</v>
      </c>
      <c r="Y4262" s="11">
        <v>589</v>
      </c>
      <c r="Z4262" s="11">
        <v>7</v>
      </c>
      <c r="AA4262" s="11">
        <v>2.35</v>
      </c>
      <c r="AB4262" s="11">
        <v>10000</v>
      </c>
      <c r="AC4262" s="11"/>
      <c r="AD4262" s="11" t="str">
        <f>IFERROR(__xludf.DUMMYFUNCTION("""COMPUTED_VALUE"""),"Colin Farrell")</f>
        <v>Colin Farrell</v>
      </c>
      <c r="AE4262" s="11"/>
    </row>
    <row r="4263" customHeight="1" spans="1:31">
      <c r="A4263" s="12" t="s">
        <v>748</v>
      </c>
      <c r="B4263" s="12" t="s">
        <v>20184</v>
      </c>
      <c r="C4263" s="12">
        <v>100</v>
      </c>
      <c r="D4263" s="12">
        <v>134</v>
      </c>
      <c r="E4263" s="12">
        <v>31</v>
      </c>
      <c r="F4263" s="12">
        <v>366</v>
      </c>
      <c r="G4263" s="12">
        <v>654</v>
      </c>
      <c r="H4263" s="16"/>
      <c r="I4263" s="12" t="s">
        <v>3794</v>
      </c>
      <c r="J4263" s="12" t="s">
        <v>12978</v>
      </c>
      <c r="K4263" s="12" t="s">
        <v>9149</v>
      </c>
      <c r="L4263" s="12" t="s">
        <v>10675</v>
      </c>
      <c r="M4263" s="12" t="s">
        <v>20185</v>
      </c>
      <c r="N4263" s="12">
        <v>62860</v>
      </c>
      <c r="O4263" s="12">
        <v>2290</v>
      </c>
      <c r="P4263" s="12">
        <v>1</v>
      </c>
      <c r="Q4263" s="12" t="s">
        <v>20186</v>
      </c>
      <c r="R4263" s="15" t="s">
        <v>20187</v>
      </c>
      <c r="S4263" s="12">
        <v>167</v>
      </c>
      <c r="T4263" s="12" t="s">
        <v>39</v>
      </c>
      <c r="U4263" s="12" t="s">
        <v>40</v>
      </c>
      <c r="V4263" s="12" t="s">
        <v>5614</v>
      </c>
      <c r="W4263" s="12">
        <v>2000000</v>
      </c>
      <c r="X4263" s="12">
        <v>1961</v>
      </c>
      <c r="Y4263" s="12">
        <v>491</v>
      </c>
      <c r="Z4263" s="12">
        <v>8</v>
      </c>
      <c r="AA4263" s="12">
        <v>2.35</v>
      </c>
      <c r="AB4263" s="12">
        <v>0</v>
      </c>
      <c r="AC4263" s="12"/>
      <c r="AD4263" s="12" t="str">
        <f>IFERROR(__xludf.DUMMYFUNCTION("""COMPUTED_VALUE"""),"Teresa Wright")</f>
        <v>Teresa Wright</v>
      </c>
      <c r="AE4263" s="12"/>
    </row>
    <row r="4264" customHeight="1" spans="1:31">
      <c r="A4264" s="11" t="s">
        <v>748</v>
      </c>
      <c r="B4264" s="11" t="s">
        <v>20188</v>
      </c>
      <c r="C4264" s="11">
        <v>12</v>
      </c>
      <c r="D4264" s="11">
        <v>119</v>
      </c>
      <c r="E4264" s="11">
        <v>6</v>
      </c>
      <c r="F4264" s="11">
        <v>380</v>
      </c>
      <c r="G4264" s="11">
        <v>1000</v>
      </c>
      <c r="H4264" s="13"/>
      <c r="I4264" s="11" t="s">
        <v>20189</v>
      </c>
      <c r="J4264" s="11" t="s">
        <v>20190</v>
      </c>
      <c r="K4264" s="11" t="s">
        <v>15539</v>
      </c>
      <c r="L4264" s="11" t="s">
        <v>20191</v>
      </c>
      <c r="M4264" s="11" t="s">
        <v>20192</v>
      </c>
      <c r="N4264" s="11">
        <v>2269</v>
      </c>
      <c r="O4264" s="11">
        <v>2555</v>
      </c>
      <c r="P4264" s="11">
        <v>8</v>
      </c>
      <c r="Q4264" s="11" t="s">
        <v>20193</v>
      </c>
      <c r="R4264" s="14" t="s">
        <v>20194</v>
      </c>
      <c r="S4264" s="11">
        <v>34</v>
      </c>
      <c r="T4264" s="11" t="s">
        <v>39</v>
      </c>
      <c r="U4264" s="11" t="s">
        <v>40</v>
      </c>
      <c r="V4264" s="11" t="s">
        <v>15938</v>
      </c>
      <c r="W4264" s="11">
        <v>1614000</v>
      </c>
      <c r="X4264" s="11">
        <v>1940</v>
      </c>
      <c r="Y4264" s="11">
        <v>760</v>
      </c>
      <c r="Z4264" s="11">
        <v>7.1</v>
      </c>
      <c r="AA4264" s="11">
        <v>1.37</v>
      </c>
      <c r="AB4264" s="11">
        <v>236</v>
      </c>
      <c r="AC4264" s="11"/>
      <c r="AD4264" s="11" t="str">
        <f>IFERROR(__xludf.DUMMYFUNCTION("""COMPUTED_VALUE"""),"George Voskovec")</f>
        <v>George Voskovec</v>
      </c>
      <c r="AE4264" s="11"/>
    </row>
    <row r="4265" customHeight="1" spans="1:31">
      <c r="A4265" s="12" t="s">
        <v>30</v>
      </c>
      <c r="B4265" s="12" t="s">
        <v>20195</v>
      </c>
      <c r="C4265" s="12">
        <v>167</v>
      </c>
      <c r="D4265" s="12">
        <v>80</v>
      </c>
      <c r="E4265" s="12">
        <v>162</v>
      </c>
      <c r="F4265" s="12">
        <v>0</v>
      </c>
      <c r="G4265" s="12">
        <v>23</v>
      </c>
      <c r="H4265" s="12">
        <v>7002255</v>
      </c>
      <c r="I4265" s="12" t="s">
        <v>20196</v>
      </c>
      <c r="J4265" s="12" t="s">
        <v>20197</v>
      </c>
      <c r="K4265" s="12" t="s">
        <v>20198</v>
      </c>
      <c r="L4265" s="12" t="s">
        <v>20199</v>
      </c>
      <c r="M4265" s="12" t="s">
        <v>20200</v>
      </c>
      <c r="N4265" s="12">
        <v>42462</v>
      </c>
      <c r="O4265" s="12">
        <v>29</v>
      </c>
      <c r="P4265" s="12">
        <v>0</v>
      </c>
      <c r="Q4265" s="12" t="s">
        <v>20201</v>
      </c>
      <c r="R4265" s="15" t="s">
        <v>20202</v>
      </c>
      <c r="S4265" s="12">
        <v>312</v>
      </c>
      <c r="T4265" s="12" t="s">
        <v>1465</v>
      </c>
      <c r="U4265" s="12" t="s">
        <v>1466</v>
      </c>
      <c r="V4265" s="12" t="s">
        <v>41</v>
      </c>
      <c r="W4265" s="12">
        <v>9500000</v>
      </c>
      <c r="X4265" s="12">
        <v>2003</v>
      </c>
      <c r="Y4265" s="12">
        <v>6</v>
      </c>
      <c r="Z4265" s="12">
        <v>7.8</v>
      </c>
      <c r="AA4265" s="12">
        <v>1.66</v>
      </c>
      <c r="AB4265" s="12">
        <v>0</v>
      </c>
      <c r="AC4265" s="12"/>
      <c r="AD4265" s="12" t="str">
        <f>IFERROR(__xludf.DUMMYFUNCTION("""COMPUTED_VALUE"""),"Abhishek Bachchan")</f>
        <v>Abhishek Bachchan</v>
      </c>
      <c r="AE4265" s="12"/>
    </row>
    <row r="4266" customHeight="1" spans="1:31">
      <c r="A4266" s="11" t="s">
        <v>30</v>
      </c>
      <c r="B4266" s="11" t="s">
        <v>20203</v>
      </c>
      <c r="C4266" s="11">
        <v>56</v>
      </c>
      <c r="D4266" s="11">
        <v>89</v>
      </c>
      <c r="E4266" s="11">
        <v>149</v>
      </c>
      <c r="F4266" s="11">
        <v>580</v>
      </c>
      <c r="G4266" s="11">
        <v>912</v>
      </c>
      <c r="H4266" s="11">
        <v>6719300</v>
      </c>
      <c r="I4266" s="11" t="s">
        <v>2528</v>
      </c>
      <c r="J4266" s="11" t="s">
        <v>8593</v>
      </c>
      <c r="K4266" s="11" t="s">
        <v>4577</v>
      </c>
      <c r="L4266" s="11" t="s">
        <v>3546</v>
      </c>
      <c r="M4266" s="11" t="s">
        <v>20204</v>
      </c>
      <c r="N4266" s="11">
        <v>8224</v>
      </c>
      <c r="O4266" s="11">
        <v>3163</v>
      </c>
      <c r="P4266" s="11">
        <v>3</v>
      </c>
      <c r="Q4266" s="11" t="s">
        <v>20205</v>
      </c>
      <c r="R4266" s="14" t="s">
        <v>20206</v>
      </c>
      <c r="S4266" s="11">
        <v>132</v>
      </c>
      <c r="T4266" s="11" t="s">
        <v>39</v>
      </c>
      <c r="U4266" s="11" t="s">
        <v>269</v>
      </c>
      <c r="V4266" s="11" t="s">
        <v>41</v>
      </c>
      <c r="W4266" s="11">
        <v>2000000</v>
      </c>
      <c r="X4266" s="11">
        <v>1998</v>
      </c>
      <c r="Y4266" s="11">
        <v>752</v>
      </c>
      <c r="Z4266" s="11">
        <v>7.2</v>
      </c>
      <c r="AA4266" s="11">
        <v>1.85</v>
      </c>
      <c r="AB4266" s="11">
        <v>0</v>
      </c>
      <c r="AC4266" s="11"/>
      <c r="AD4266" s="11" t="str">
        <f>IFERROR(__xludf.DUMMYFUNCTION("""COMPUTED_VALUE"""),"Prateik")</f>
        <v>Prateik</v>
      </c>
      <c r="AE4266" s="11"/>
    </row>
    <row r="4267" customHeight="1" spans="1:31">
      <c r="A4267" s="12" t="s">
        <v>30</v>
      </c>
      <c r="B4267" s="12" t="s">
        <v>16722</v>
      </c>
      <c r="C4267" s="12">
        <v>180</v>
      </c>
      <c r="D4267" s="12">
        <v>101</v>
      </c>
      <c r="E4267" s="12">
        <v>30</v>
      </c>
      <c r="F4267" s="12">
        <v>92</v>
      </c>
      <c r="G4267" s="12">
        <v>14000</v>
      </c>
      <c r="H4267" s="12">
        <v>6003587</v>
      </c>
      <c r="I4267" s="12" t="s">
        <v>4168</v>
      </c>
      <c r="J4267" s="12" t="s">
        <v>700</v>
      </c>
      <c r="K4267" s="12" t="s">
        <v>20207</v>
      </c>
      <c r="L4267" s="12" t="s">
        <v>20208</v>
      </c>
      <c r="M4267" s="12" t="s">
        <v>20209</v>
      </c>
      <c r="N4267" s="12">
        <v>41999</v>
      </c>
      <c r="O4267" s="12">
        <v>14412</v>
      </c>
      <c r="P4267" s="12">
        <v>0</v>
      </c>
      <c r="Q4267" s="12" t="s">
        <v>20210</v>
      </c>
      <c r="R4267" s="15" t="s">
        <v>20211</v>
      </c>
      <c r="S4267" s="12">
        <v>226</v>
      </c>
      <c r="T4267" s="12" t="s">
        <v>39</v>
      </c>
      <c r="U4267" s="12" t="s">
        <v>40</v>
      </c>
      <c r="V4267" s="12" t="s">
        <v>586</v>
      </c>
      <c r="W4267" s="16"/>
      <c r="X4267" s="12">
        <v>2003</v>
      </c>
      <c r="Y4267" s="12">
        <v>119</v>
      </c>
      <c r="Z4267" s="12">
        <v>7.5</v>
      </c>
      <c r="AA4267" s="12">
        <v>1.85</v>
      </c>
      <c r="AB4267" s="12">
        <v>0</v>
      </c>
      <c r="AC4267" s="12"/>
      <c r="AD4267" s="12" t="str">
        <f>IFERROR(__xludf.DUMMYFUNCTION("""COMPUTED_VALUE"""),"Sumalee Montano")</f>
        <v>Sumalee Montano</v>
      </c>
      <c r="AE4267" s="12"/>
    </row>
    <row r="4268" customHeight="1" spans="1:31">
      <c r="A4268" s="11" t="s">
        <v>30</v>
      </c>
      <c r="B4268" s="11" t="s">
        <v>9163</v>
      </c>
      <c r="C4268" s="11">
        <v>211</v>
      </c>
      <c r="D4268" s="11">
        <v>80</v>
      </c>
      <c r="E4268" s="11">
        <v>0</v>
      </c>
      <c r="F4268" s="11">
        <v>3</v>
      </c>
      <c r="G4268" s="11">
        <v>50</v>
      </c>
      <c r="H4268" s="11">
        <v>5792822</v>
      </c>
      <c r="I4268" s="11" t="s">
        <v>214</v>
      </c>
      <c r="J4268" s="11" t="s">
        <v>10472</v>
      </c>
      <c r="K4268" s="11" t="s">
        <v>20212</v>
      </c>
      <c r="L4268" s="11" t="s">
        <v>20213</v>
      </c>
      <c r="M4268" s="11" t="s">
        <v>20214</v>
      </c>
      <c r="N4268" s="11">
        <v>168398</v>
      </c>
      <c r="O4268" s="11">
        <v>65</v>
      </c>
      <c r="P4268" s="11">
        <v>0</v>
      </c>
      <c r="Q4268" s="11" t="s">
        <v>20215</v>
      </c>
      <c r="R4268" s="14" t="s">
        <v>20216</v>
      </c>
      <c r="S4268" s="11">
        <v>492</v>
      </c>
      <c r="T4268" s="11" t="s">
        <v>39</v>
      </c>
      <c r="U4268" s="11" t="s">
        <v>40</v>
      </c>
      <c r="V4268" s="11" t="s">
        <v>586</v>
      </c>
      <c r="W4268" s="11">
        <v>2700000</v>
      </c>
      <c r="X4268" s="11">
        <v>2004</v>
      </c>
      <c r="Y4268" s="11">
        <v>8</v>
      </c>
      <c r="Z4268" s="11">
        <v>8</v>
      </c>
      <c r="AA4268" s="11">
        <v>1.85</v>
      </c>
      <c r="AB4268" s="11">
        <v>13000</v>
      </c>
      <c r="AC4268" s="11"/>
      <c r="AD4268" s="11" t="str">
        <f>IFERROR(__xludf.DUMMYFUNCTION("""COMPUTED_VALUE"""),"Amiah Miller")</f>
        <v>Amiah Miller</v>
      </c>
      <c r="AE4268" s="11"/>
    </row>
    <row r="4269" customHeight="1" spans="1:31">
      <c r="A4269" s="12" t="s">
        <v>30</v>
      </c>
      <c r="B4269" s="12" t="s">
        <v>1134</v>
      </c>
      <c r="C4269" s="12">
        <v>157</v>
      </c>
      <c r="D4269" s="12">
        <v>115</v>
      </c>
      <c r="E4269" s="12">
        <v>0</v>
      </c>
      <c r="F4269" s="12">
        <v>35</v>
      </c>
      <c r="G4269" s="12">
        <v>85</v>
      </c>
      <c r="H4269" s="12">
        <v>5383834</v>
      </c>
      <c r="I4269" s="12" t="s">
        <v>4075</v>
      </c>
      <c r="J4269" s="12" t="s">
        <v>18662</v>
      </c>
      <c r="K4269" s="12" t="s">
        <v>20217</v>
      </c>
      <c r="L4269" s="12" t="s">
        <v>20218</v>
      </c>
      <c r="M4269" s="12" t="s">
        <v>20219</v>
      </c>
      <c r="N4269" s="12">
        <v>173551</v>
      </c>
      <c r="O4269" s="12">
        <v>318</v>
      </c>
      <c r="P4269" s="12">
        <v>0</v>
      </c>
      <c r="Q4269" s="12" t="s">
        <v>20220</v>
      </c>
      <c r="R4269" s="15" t="s">
        <v>20221</v>
      </c>
      <c r="S4269" s="12">
        <v>361</v>
      </c>
      <c r="T4269" s="12" t="s">
        <v>2779</v>
      </c>
      <c r="U4269" s="12" t="s">
        <v>2914</v>
      </c>
      <c r="V4269" s="12" t="s">
        <v>586</v>
      </c>
      <c r="W4269" s="12">
        <v>2000000</v>
      </c>
      <c r="X4269" s="12">
        <v>2000</v>
      </c>
      <c r="Y4269" s="12">
        <v>79</v>
      </c>
      <c r="Z4269" s="12">
        <v>8.1</v>
      </c>
      <c r="AA4269" s="12">
        <v>1.85</v>
      </c>
      <c r="AB4269" s="12">
        <v>11000</v>
      </c>
      <c r="AC4269" s="12"/>
      <c r="AD4269" s="12" t="str">
        <f>IFERROR(__xludf.DUMMYFUNCTION("""COMPUTED_VALUE"""),"Sprague Grayden")</f>
        <v>Sprague Grayden</v>
      </c>
      <c r="AE4269" s="12"/>
    </row>
    <row r="4270" customHeight="1" spans="1:31">
      <c r="A4270" s="11" t="s">
        <v>30</v>
      </c>
      <c r="B4270" s="11" t="s">
        <v>6149</v>
      </c>
      <c r="C4270" s="11">
        <v>126</v>
      </c>
      <c r="D4270" s="11">
        <v>100</v>
      </c>
      <c r="E4270" s="11">
        <v>308</v>
      </c>
      <c r="F4270" s="11">
        <v>374</v>
      </c>
      <c r="G4270" s="11">
        <v>1000</v>
      </c>
      <c r="H4270" s="11">
        <v>4599680</v>
      </c>
      <c r="I4270" s="11" t="s">
        <v>3410</v>
      </c>
      <c r="J4270" s="11" t="s">
        <v>2061</v>
      </c>
      <c r="K4270" s="11" t="s">
        <v>20222</v>
      </c>
      <c r="L4270" s="11" t="s">
        <v>15335</v>
      </c>
      <c r="M4270" s="11" t="s">
        <v>20223</v>
      </c>
      <c r="N4270" s="11">
        <v>68222</v>
      </c>
      <c r="O4270" s="11">
        <v>2186</v>
      </c>
      <c r="P4270" s="11">
        <v>2</v>
      </c>
      <c r="Q4270" s="11" t="s">
        <v>20224</v>
      </c>
      <c r="R4270" s="14" t="s">
        <v>20225</v>
      </c>
      <c r="S4270" s="11">
        <v>545</v>
      </c>
      <c r="T4270" s="11" t="s">
        <v>39</v>
      </c>
      <c r="U4270" s="11" t="s">
        <v>40</v>
      </c>
      <c r="V4270" s="11" t="s">
        <v>586</v>
      </c>
      <c r="W4270" s="11">
        <v>1500000</v>
      </c>
      <c r="X4270" s="11">
        <v>2003</v>
      </c>
      <c r="Y4270" s="11">
        <v>482</v>
      </c>
      <c r="Z4270" s="11">
        <v>6.8</v>
      </c>
      <c r="AA4270" s="11">
        <v>1.85</v>
      </c>
      <c r="AB4270" s="11">
        <v>0</v>
      </c>
      <c r="AC4270" s="11"/>
      <c r="AD4270" s="11" t="str">
        <f>IFERROR(__xludf.DUMMYFUNCTION("""COMPUTED_VALUE"""),"Shelley Hennig")</f>
        <v>Shelley Hennig</v>
      </c>
      <c r="AE4270" s="11"/>
    </row>
    <row r="4271" customHeight="1" spans="1:31">
      <c r="A4271" s="12" t="s">
        <v>748</v>
      </c>
      <c r="B4271" s="12" t="s">
        <v>20226</v>
      </c>
      <c r="C4271" s="12">
        <v>61</v>
      </c>
      <c r="D4271" s="12">
        <v>118</v>
      </c>
      <c r="E4271" s="12">
        <v>603</v>
      </c>
      <c r="F4271" s="12">
        <v>167</v>
      </c>
      <c r="G4271" s="12">
        <v>936</v>
      </c>
      <c r="H4271" s="16"/>
      <c r="I4271" s="12" t="s">
        <v>214</v>
      </c>
      <c r="J4271" s="12" t="s">
        <v>2324</v>
      </c>
      <c r="K4271" s="12" t="s">
        <v>20227</v>
      </c>
      <c r="L4271" s="12" t="s">
        <v>20228</v>
      </c>
      <c r="M4271" s="12" t="s">
        <v>20229</v>
      </c>
      <c r="N4271" s="12">
        <v>10791</v>
      </c>
      <c r="O4271" s="12">
        <v>1846</v>
      </c>
      <c r="P4271" s="12">
        <v>3</v>
      </c>
      <c r="Q4271" s="12" t="s">
        <v>20230</v>
      </c>
      <c r="R4271" s="15" t="s">
        <v>20231</v>
      </c>
      <c r="S4271" s="12">
        <v>113</v>
      </c>
      <c r="T4271" s="12" t="s">
        <v>39</v>
      </c>
      <c r="U4271" s="12" t="s">
        <v>40</v>
      </c>
      <c r="V4271" s="12" t="s">
        <v>6037</v>
      </c>
      <c r="W4271" s="12">
        <v>2000000</v>
      </c>
      <c r="X4271" s="12">
        <v>1947</v>
      </c>
      <c r="Y4271" s="12">
        <v>297</v>
      </c>
      <c r="Z4271" s="12">
        <v>7.4</v>
      </c>
      <c r="AA4271" s="12">
        <v>1.37</v>
      </c>
      <c r="AB4271" s="12">
        <v>0</v>
      </c>
      <c r="AC4271" s="12"/>
      <c r="AD4271" s="12" t="str">
        <f>IFERROR(__xludf.DUMMYFUNCTION("""COMPUTED_VALUE"""),"Daren Kagasoff")</f>
        <v>Daren Kagasoff</v>
      </c>
      <c r="AE4271" s="12"/>
    </row>
    <row r="4272" customHeight="1" spans="1:31">
      <c r="A4272" s="11" t="s">
        <v>30</v>
      </c>
      <c r="B4272" s="11" t="s">
        <v>20232</v>
      </c>
      <c r="C4272" s="11">
        <v>365</v>
      </c>
      <c r="D4272" s="11">
        <v>100</v>
      </c>
      <c r="E4272" s="11">
        <v>81</v>
      </c>
      <c r="F4272" s="11">
        <v>179</v>
      </c>
      <c r="G4272" s="11">
        <v>34000</v>
      </c>
      <c r="H4272" s="11">
        <v>6531491</v>
      </c>
      <c r="I4272" s="11" t="s">
        <v>3410</v>
      </c>
      <c r="J4272" s="11" t="s">
        <v>348</v>
      </c>
      <c r="K4272" s="11" t="s">
        <v>20233</v>
      </c>
      <c r="L4272" s="11" t="s">
        <v>20234</v>
      </c>
      <c r="M4272" s="11" t="s">
        <v>20235</v>
      </c>
      <c r="N4272" s="11">
        <v>111658</v>
      </c>
      <c r="O4272" s="11">
        <v>34446</v>
      </c>
      <c r="P4272" s="11">
        <v>2</v>
      </c>
      <c r="Q4272" s="11" t="s">
        <v>20236</v>
      </c>
      <c r="R4272" s="14" t="s">
        <v>20237</v>
      </c>
      <c r="S4272" s="11">
        <v>297</v>
      </c>
      <c r="T4272" s="11" t="s">
        <v>39</v>
      </c>
      <c r="U4272" s="11" t="s">
        <v>40</v>
      </c>
      <c r="V4272" s="11" t="s">
        <v>586</v>
      </c>
      <c r="W4272" s="11">
        <v>2000000</v>
      </c>
      <c r="X4272" s="11">
        <v>2010</v>
      </c>
      <c r="Y4272" s="11">
        <v>248</v>
      </c>
      <c r="Z4272" s="11">
        <v>7.2</v>
      </c>
      <c r="AA4272" s="11">
        <v>1.85</v>
      </c>
      <c r="AB4272" s="11">
        <v>20000</v>
      </c>
      <c r="AC4272" s="11"/>
      <c r="AD4272" s="11" t="str">
        <f>IFERROR(__xludf.DUMMYFUNCTION("""COMPUTED_VALUE"""),"John Saxon")</f>
        <v>John Saxon</v>
      </c>
      <c r="AE4272" s="11"/>
    </row>
    <row r="4273" customHeight="1" spans="1:31">
      <c r="A4273" s="12" t="s">
        <v>30</v>
      </c>
      <c r="B4273" s="12" t="s">
        <v>4230</v>
      </c>
      <c r="C4273" s="12">
        <v>121</v>
      </c>
      <c r="D4273" s="12">
        <v>106</v>
      </c>
      <c r="E4273" s="12">
        <v>162</v>
      </c>
      <c r="F4273" s="12">
        <v>3</v>
      </c>
      <c r="G4273" s="12">
        <v>21</v>
      </c>
      <c r="H4273" s="12">
        <v>4581222</v>
      </c>
      <c r="I4273" s="12" t="s">
        <v>20238</v>
      </c>
      <c r="J4273" s="12" t="s">
        <v>20239</v>
      </c>
      <c r="K4273" s="12" t="s">
        <v>20240</v>
      </c>
      <c r="L4273" s="12" t="s">
        <v>20241</v>
      </c>
      <c r="M4273" s="12" t="s">
        <v>20242</v>
      </c>
      <c r="N4273" s="12">
        <v>26926</v>
      </c>
      <c r="O4273" s="12">
        <v>29</v>
      </c>
      <c r="P4273" s="12">
        <v>0</v>
      </c>
      <c r="Q4273" s="12" t="s">
        <v>20243</v>
      </c>
      <c r="R4273" s="15" t="s">
        <v>20244</v>
      </c>
      <c r="S4273" s="12">
        <v>156</v>
      </c>
      <c r="T4273" s="12" t="s">
        <v>39</v>
      </c>
      <c r="U4273" s="12" t="s">
        <v>58</v>
      </c>
      <c r="V4273" s="12" t="s">
        <v>586</v>
      </c>
      <c r="W4273" s="16"/>
      <c r="X4273" s="12">
        <v>2003</v>
      </c>
      <c r="Y4273" s="12">
        <v>5</v>
      </c>
      <c r="Z4273" s="12">
        <v>8.1</v>
      </c>
      <c r="AA4273" s="12">
        <v>1.85</v>
      </c>
      <c r="AB4273" s="12">
        <v>0</v>
      </c>
      <c r="AC4273" s="12"/>
      <c r="AD4273" s="12" t="str">
        <f>IFERROR(__xludf.DUMMYFUNCTION("""COMPUTED_VALUE"""),"Jennifer Rubin")</f>
        <v>Jennifer Rubin</v>
      </c>
      <c r="AE4273" s="12"/>
    </row>
    <row r="4274" customHeight="1" spans="1:31">
      <c r="A4274" s="11" t="s">
        <v>748</v>
      </c>
      <c r="B4274" s="11" t="s">
        <v>20245</v>
      </c>
      <c r="C4274" s="11">
        <v>10</v>
      </c>
      <c r="D4274" s="11">
        <v>106</v>
      </c>
      <c r="E4274" s="11">
        <v>85</v>
      </c>
      <c r="F4274" s="11">
        <v>300</v>
      </c>
      <c r="G4274" s="11">
        <v>480</v>
      </c>
      <c r="H4274" s="13"/>
      <c r="I4274" s="11" t="s">
        <v>2850</v>
      </c>
      <c r="J4274" s="11" t="s">
        <v>20246</v>
      </c>
      <c r="K4274" s="11" t="s">
        <v>15659</v>
      </c>
      <c r="L4274" s="11" t="s">
        <v>15711</v>
      </c>
      <c r="M4274" s="11" t="s">
        <v>20247</v>
      </c>
      <c r="N4274" s="11">
        <v>1381</v>
      </c>
      <c r="O4274" s="11">
        <v>1833</v>
      </c>
      <c r="P4274" s="11">
        <v>2</v>
      </c>
      <c r="Q4274" s="11" t="s">
        <v>20248</v>
      </c>
      <c r="R4274" s="14" t="s">
        <v>20249</v>
      </c>
      <c r="S4274" s="11">
        <v>29</v>
      </c>
      <c r="T4274" s="11" t="s">
        <v>39</v>
      </c>
      <c r="U4274" s="11" t="s">
        <v>40</v>
      </c>
      <c r="V4274" s="11" t="s">
        <v>6037</v>
      </c>
      <c r="W4274" s="11">
        <v>2000000</v>
      </c>
      <c r="X4274" s="11">
        <v>1938</v>
      </c>
      <c r="Y4274" s="11">
        <v>392</v>
      </c>
      <c r="Z4274" s="11">
        <v>7</v>
      </c>
      <c r="AA4274" s="11">
        <v>1.37</v>
      </c>
      <c r="AB4274" s="11">
        <v>60</v>
      </c>
      <c r="AC4274" s="11"/>
      <c r="AD4274" s="11" t="str">
        <f>IFERROR(__xludf.DUMMYFUNCTION("""COMPUTED_VALUE"""),"Eugenio Derbez")</f>
        <v>Eugenio Derbez</v>
      </c>
      <c r="AE4274" s="11"/>
    </row>
    <row r="4275" customHeight="1" spans="1:31">
      <c r="A4275" s="12" t="s">
        <v>30</v>
      </c>
      <c r="B4275" s="12" t="s">
        <v>20250</v>
      </c>
      <c r="C4275" s="12">
        <v>151</v>
      </c>
      <c r="D4275" s="12">
        <v>91</v>
      </c>
      <c r="E4275" s="12">
        <v>244</v>
      </c>
      <c r="F4275" s="12">
        <v>244</v>
      </c>
      <c r="G4275" s="12">
        <v>538</v>
      </c>
      <c r="H4275" s="12">
        <v>3885134</v>
      </c>
      <c r="I4275" s="12" t="s">
        <v>2528</v>
      </c>
      <c r="J4275" s="12" t="s">
        <v>20251</v>
      </c>
      <c r="K4275" s="12" t="s">
        <v>12516</v>
      </c>
      <c r="L4275" s="12" t="s">
        <v>20250</v>
      </c>
      <c r="M4275" s="12" t="s">
        <v>20252</v>
      </c>
      <c r="N4275" s="12">
        <v>31130</v>
      </c>
      <c r="O4275" s="12">
        <v>1349</v>
      </c>
      <c r="P4275" s="12">
        <v>0</v>
      </c>
      <c r="Q4275" s="12" t="s">
        <v>20253</v>
      </c>
      <c r="R4275" s="15" t="s">
        <v>20254</v>
      </c>
      <c r="S4275" s="12">
        <v>243</v>
      </c>
      <c r="T4275" s="12" t="s">
        <v>39</v>
      </c>
      <c r="U4275" s="12" t="s">
        <v>40</v>
      </c>
      <c r="V4275" s="12" t="s">
        <v>586</v>
      </c>
      <c r="W4275" s="12">
        <v>2000000</v>
      </c>
      <c r="X4275" s="12">
        <v>2005</v>
      </c>
      <c r="Y4275" s="12">
        <v>363</v>
      </c>
      <c r="Z4275" s="12">
        <v>7.4</v>
      </c>
      <c r="AA4275" s="12">
        <v>1.85</v>
      </c>
      <c r="AB4275" s="12">
        <v>0</v>
      </c>
      <c r="AC4275" s="12"/>
      <c r="AD4275" s="12" t="str">
        <f>IFERROR(__xludf.DUMMYFUNCTION("""COMPUTED_VALUE"""),"Jessica Lindsey")</f>
        <v>Jessica Lindsey</v>
      </c>
      <c r="AE4275" s="12"/>
    </row>
    <row r="4276" customHeight="1" spans="1:31">
      <c r="A4276" s="11" t="s">
        <v>30</v>
      </c>
      <c r="B4276" s="11" t="s">
        <v>19022</v>
      </c>
      <c r="C4276" s="11">
        <v>171</v>
      </c>
      <c r="D4276" s="11">
        <v>105</v>
      </c>
      <c r="E4276" s="11">
        <v>117</v>
      </c>
      <c r="F4276" s="11">
        <v>18</v>
      </c>
      <c r="G4276" s="11">
        <v>13000</v>
      </c>
      <c r="H4276" s="11">
        <v>4311834</v>
      </c>
      <c r="I4276" s="11" t="s">
        <v>20255</v>
      </c>
      <c r="J4276" s="11" t="s">
        <v>1158</v>
      </c>
      <c r="K4276" s="11" t="s">
        <v>19900</v>
      </c>
      <c r="L4276" s="11" t="s">
        <v>20256</v>
      </c>
      <c r="M4276" s="11" t="s">
        <v>20257</v>
      </c>
      <c r="N4276" s="11">
        <v>55382</v>
      </c>
      <c r="O4276" s="11">
        <v>13145</v>
      </c>
      <c r="P4276" s="11">
        <v>0</v>
      </c>
      <c r="Q4276" s="11" t="s">
        <v>20258</v>
      </c>
      <c r="R4276" s="14" t="s">
        <v>20259</v>
      </c>
      <c r="S4276" s="11">
        <v>129</v>
      </c>
      <c r="T4276" s="11" t="s">
        <v>39</v>
      </c>
      <c r="U4276" s="11" t="s">
        <v>40</v>
      </c>
      <c r="V4276" s="11" t="s">
        <v>41</v>
      </c>
      <c r="W4276" s="13"/>
      <c r="X4276" s="11">
        <v>2010</v>
      </c>
      <c r="Y4276" s="11">
        <v>125</v>
      </c>
      <c r="Z4276" s="11">
        <v>8.3</v>
      </c>
      <c r="AA4276" s="11">
        <v>2.35</v>
      </c>
      <c r="AB4276" s="11">
        <v>63000</v>
      </c>
      <c r="AC4276" s="11"/>
      <c r="AD4276" s="11" t="str">
        <f>IFERROR(__xludf.DUMMYFUNCTION("""COMPUTED_VALUE"""),"Hugo Stiglitz")</f>
        <v>Hugo Stiglitz</v>
      </c>
      <c r="AE4276" s="11"/>
    </row>
    <row r="4277" customHeight="1" spans="1:31">
      <c r="A4277" s="12" t="s">
        <v>30</v>
      </c>
      <c r="B4277" s="12" t="s">
        <v>20260</v>
      </c>
      <c r="C4277" s="12">
        <v>158</v>
      </c>
      <c r="D4277" s="12">
        <v>96</v>
      </c>
      <c r="E4277" s="12">
        <v>31</v>
      </c>
      <c r="F4277" s="12">
        <v>328</v>
      </c>
      <c r="G4277" s="12">
        <v>804</v>
      </c>
      <c r="H4277" s="12">
        <v>3590010</v>
      </c>
      <c r="I4277" s="12" t="s">
        <v>7837</v>
      </c>
      <c r="J4277" s="12" t="s">
        <v>11001</v>
      </c>
      <c r="K4277" s="12" t="s">
        <v>3953</v>
      </c>
      <c r="L4277" s="12" t="s">
        <v>14257</v>
      </c>
      <c r="M4277" s="12" t="s">
        <v>20261</v>
      </c>
      <c r="N4277" s="12">
        <v>20885</v>
      </c>
      <c r="O4277" s="12">
        <v>3013</v>
      </c>
      <c r="P4277" s="12">
        <v>0</v>
      </c>
      <c r="Q4277" s="12" t="s">
        <v>20262</v>
      </c>
      <c r="R4277" s="15" t="s">
        <v>20263</v>
      </c>
      <c r="S4277" s="12">
        <v>60</v>
      </c>
      <c r="T4277" s="12" t="s">
        <v>39</v>
      </c>
      <c r="U4277" s="12" t="s">
        <v>58</v>
      </c>
      <c r="V4277" s="12" t="s">
        <v>586</v>
      </c>
      <c r="W4277" s="12">
        <v>2000000</v>
      </c>
      <c r="X4277" s="12">
        <v>2015</v>
      </c>
      <c r="Y4277" s="12">
        <v>625</v>
      </c>
      <c r="Z4277" s="12">
        <v>6.1</v>
      </c>
      <c r="AA4277" s="12">
        <v>1.85</v>
      </c>
      <c r="AB4277" s="12">
        <v>0</v>
      </c>
      <c r="AC4277" s="12"/>
      <c r="AD4277" s="12" t="str">
        <f>IFERROR(__xludf.DUMMYFUNCTION("""COMPUTED_VALUE"""),"Matt Shively")</f>
        <v>Matt Shively</v>
      </c>
      <c r="AE4277" s="12"/>
    </row>
    <row r="4278" customHeight="1" spans="1:31">
      <c r="A4278" s="11" t="s">
        <v>30</v>
      </c>
      <c r="B4278" s="11" t="s">
        <v>20264</v>
      </c>
      <c r="C4278" s="11">
        <v>167</v>
      </c>
      <c r="D4278" s="11">
        <v>116</v>
      </c>
      <c r="E4278" s="11">
        <v>0</v>
      </c>
      <c r="F4278" s="11">
        <v>116</v>
      </c>
      <c r="G4278" s="11">
        <v>251</v>
      </c>
      <c r="H4278" s="11">
        <v>3300230</v>
      </c>
      <c r="I4278" s="11" t="s">
        <v>464</v>
      </c>
      <c r="J4278" s="11" t="s">
        <v>11987</v>
      </c>
      <c r="K4278" s="11" t="s">
        <v>20265</v>
      </c>
      <c r="L4278" s="11" t="s">
        <v>20266</v>
      </c>
      <c r="M4278" s="11" t="s">
        <v>20267</v>
      </c>
      <c r="N4278" s="11">
        <v>70084</v>
      </c>
      <c r="O4278" s="11">
        <v>675</v>
      </c>
      <c r="P4278" s="11">
        <v>1</v>
      </c>
      <c r="Q4278" s="11" t="s">
        <v>20268</v>
      </c>
      <c r="R4278" s="14" t="s">
        <v>20269</v>
      </c>
      <c r="S4278" s="11">
        <v>346</v>
      </c>
      <c r="T4278" s="11" t="s">
        <v>39</v>
      </c>
      <c r="U4278" s="11" t="s">
        <v>1466</v>
      </c>
      <c r="V4278" s="11" t="s">
        <v>586</v>
      </c>
      <c r="W4278" s="13"/>
      <c r="X4278" s="11">
        <v>1999</v>
      </c>
      <c r="Y4278" s="11">
        <v>147</v>
      </c>
      <c r="Z4278" s="11">
        <v>7.5</v>
      </c>
      <c r="AA4278" s="11">
        <v>1.85</v>
      </c>
      <c r="AB4278" s="11">
        <v>0</v>
      </c>
      <c r="AC4278" s="11"/>
      <c r="AD4278" s="11" t="str">
        <f>IFERROR(__xludf.DUMMYFUNCTION("""COMPUTED_VALUE"""),"Brendon Eggertsen")</f>
        <v>Brendon Eggertsen</v>
      </c>
      <c r="AE4278" s="11"/>
    </row>
    <row r="4279" customHeight="1" spans="1:31">
      <c r="A4279" s="12" t="s">
        <v>30</v>
      </c>
      <c r="B4279" s="12" t="s">
        <v>508</v>
      </c>
      <c r="C4279" s="12">
        <v>118</v>
      </c>
      <c r="D4279" s="12">
        <v>116</v>
      </c>
      <c r="E4279" s="12">
        <v>453</v>
      </c>
      <c r="F4279" s="12">
        <v>2000</v>
      </c>
      <c r="G4279" s="12">
        <v>24000</v>
      </c>
      <c r="H4279" s="12">
        <v>3335839</v>
      </c>
      <c r="I4279" s="12" t="s">
        <v>464</v>
      </c>
      <c r="J4279" s="12" t="s">
        <v>82</v>
      </c>
      <c r="K4279" s="12" t="s">
        <v>62</v>
      </c>
      <c r="L4279" s="12" t="s">
        <v>5732</v>
      </c>
      <c r="M4279" s="12" t="s">
        <v>20270</v>
      </c>
      <c r="N4279" s="12">
        <v>54657</v>
      </c>
      <c r="O4279" s="12">
        <v>50313</v>
      </c>
      <c r="P4279" s="12">
        <v>2</v>
      </c>
      <c r="Q4279" s="12" t="s">
        <v>20271</v>
      </c>
      <c r="R4279" s="15" t="s">
        <v>20272</v>
      </c>
      <c r="S4279" s="12">
        <v>222</v>
      </c>
      <c r="T4279" s="12" t="s">
        <v>39</v>
      </c>
      <c r="U4279" s="12" t="s">
        <v>40</v>
      </c>
      <c r="V4279" s="12" t="s">
        <v>586</v>
      </c>
      <c r="W4279" s="12">
        <v>2000000</v>
      </c>
      <c r="X4279" s="12">
        <v>2005</v>
      </c>
      <c r="Y4279" s="12">
        <v>23000</v>
      </c>
      <c r="Z4279" s="12">
        <v>7</v>
      </c>
      <c r="AA4279" s="12">
        <v>1.85</v>
      </c>
      <c r="AB4279" s="12">
        <v>0</v>
      </c>
      <c r="AC4279" s="12"/>
      <c r="AD4279" s="12" t="str">
        <f>IFERROR(__xludf.DUMMYFUNCTION("""COMPUTED_VALUE"""),"Alisha Boe")</f>
        <v>Alisha Boe</v>
      </c>
      <c r="AE4279" s="12"/>
    </row>
    <row r="4280" customHeight="1" spans="1:31">
      <c r="A4280" s="11" t="s">
        <v>30</v>
      </c>
      <c r="B4280" s="11" t="s">
        <v>6805</v>
      </c>
      <c r="C4280" s="11">
        <v>39</v>
      </c>
      <c r="D4280" s="11">
        <v>97</v>
      </c>
      <c r="E4280" s="11">
        <v>5</v>
      </c>
      <c r="F4280" s="11">
        <v>349</v>
      </c>
      <c r="G4280" s="11">
        <v>1000</v>
      </c>
      <c r="H4280" s="11">
        <v>2557668</v>
      </c>
      <c r="I4280" s="11" t="s">
        <v>2126</v>
      </c>
      <c r="J4280" s="11" t="s">
        <v>2039</v>
      </c>
      <c r="K4280" s="11" t="s">
        <v>7068</v>
      </c>
      <c r="L4280" s="11" t="s">
        <v>20273</v>
      </c>
      <c r="M4280" s="11" t="s">
        <v>20274</v>
      </c>
      <c r="N4280" s="11">
        <v>3911</v>
      </c>
      <c r="O4280" s="11">
        <v>2739</v>
      </c>
      <c r="P4280" s="11">
        <v>1</v>
      </c>
      <c r="Q4280" s="11" t="s">
        <v>20275</v>
      </c>
      <c r="R4280" s="14" t="s">
        <v>20276</v>
      </c>
      <c r="S4280" s="11">
        <v>22</v>
      </c>
      <c r="T4280" s="11" t="s">
        <v>39</v>
      </c>
      <c r="U4280" s="11" t="s">
        <v>40</v>
      </c>
      <c r="V4280" s="11" t="s">
        <v>41</v>
      </c>
      <c r="W4280" s="11">
        <v>2000000</v>
      </c>
      <c r="X4280" s="11">
        <v>2015</v>
      </c>
      <c r="Y4280" s="11">
        <v>426</v>
      </c>
      <c r="Z4280" s="11">
        <v>5.3</v>
      </c>
      <c r="AA4280" s="11">
        <v>1.85</v>
      </c>
      <c r="AB4280" s="11">
        <v>0</v>
      </c>
      <c r="AC4280" s="11"/>
      <c r="AD4280" s="11" t="str">
        <f>IFERROR(__xludf.DUMMYFUNCTION("""COMPUTED_VALUE"""),"Victor Mature")</f>
        <v>Victor Mature</v>
      </c>
      <c r="AE4280" s="11"/>
    </row>
    <row r="4281" customHeight="1" spans="1:31">
      <c r="A4281" s="12" t="s">
        <v>30</v>
      </c>
      <c r="B4281" s="12" t="s">
        <v>1527</v>
      </c>
      <c r="C4281" s="12">
        <v>108</v>
      </c>
      <c r="D4281" s="12">
        <v>101</v>
      </c>
      <c r="E4281" s="12">
        <v>0</v>
      </c>
      <c r="F4281" s="12">
        <v>685</v>
      </c>
      <c r="G4281" s="12">
        <v>8000</v>
      </c>
      <c r="H4281" s="12">
        <v>2506446</v>
      </c>
      <c r="I4281" s="12" t="s">
        <v>1681</v>
      </c>
      <c r="J4281" s="12" t="s">
        <v>1529</v>
      </c>
      <c r="K4281" s="12" t="s">
        <v>5751</v>
      </c>
      <c r="L4281" s="12" t="s">
        <v>7214</v>
      </c>
      <c r="M4281" s="12" t="s">
        <v>20277</v>
      </c>
      <c r="N4281" s="12">
        <v>8662</v>
      </c>
      <c r="O4281" s="12">
        <v>11327</v>
      </c>
      <c r="P4281" s="12">
        <v>0</v>
      </c>
      <c r="Q4281" s="12" t="s">
        <v>20278</v>
      </c>
      <c r="R4281" s="15" t="s">
        <v>20279</v>
      </c>
      <c r="S4281" s="12">
        <v>172</v>
      </c>
      <c r="T4281" s="12" t="s">
        <v>39</v>
      </c>
      <c r="U4281" s="12" t="s">
        <v>40</v>
      </c>
      <c r="V4281" s="12" t="s">
        <v>586</v>
      </c>
      <c r="W4281" s="12">
        <v>2000000</v>
      </c>
      <c r="X4281" s="12">
        <v>2002</v>
      </c>
      <c r="Y4281" s="12">
        <v>724</v>
      </c>
      <c r="Z4281" s="12">
        <v>4.7</v>
      </c>
      <c r="AA4281" s="12">
        <v>1.85</v>
      </c>
      <c r="AB4281" s="12">
        <v>134</v>
      </c>
      <c r="AC4281" s="12"/>
      <c r="AD4281" s="12" t="str">
        <f>IFERROR(__xludf.DUMMYFUNCTION("""COMPUTED_VALUE"""),"Catherine Schell")</f>
        <v>Catherine Schell</v>
      </c>
      <c r="AE4281" s="12"/>
    </row>
    <row r="4282" customHeight="1" spans="1:31">
      <c r="A4282" s="11" t="s">
        <v>30</v>
      </c>
      <c r="B4282" s="11" t="s">
        <v>20280</v>
      </c>
      <c r="C4282" s="11">
        <v>65</v>
      </c>
      <c r="D4282" s="11">
        <v>98</v>
      </c>
      <c r="E4282" s="11">
        <v>85</v>
      </c>
      <c r="F4282" s="11">
        <v>186</v>
      </c>
      <c r="G4282" s="11">
        <v>265</v>
      </c>
      <c r="H4282" s="11">
        <v>7369373</v>
      </c>
      <c r="I4282" s="11" t="s">
        <v>3030</v>
      </c>
      <c r="J4282" s="11" t="s">
        <v>10124</v>
      </c>
      <c r="K4282" s="11" t="s">
        <v>20281</v>
      </c>
      <c r="L4282" s="11" t="s">
        <v>20282</v>
      </c>
      <c r="M4282" s="11" t="s">
        <v>20283</v>
      </c>
      <c r="N4282" s="11">
        <v>4288</v>
      </c>
      <c r="O4282" s="11">
        <v>901</v>
      </c>
      <c r="P4282" s="11">
        <v>1</v>
      </c>
      <c r="Q4282" s="11" t="s">
        <v>20284</v>
      </c>
      <c r="R4282" s="14" t="s">
        <v>20285</v>
      </c>
      <c r="S4282" s="11">
        <v>74</v>
      </c>
      <c r="T4282" s="11" t="s">
        <v>39</v>
      </c>
      <c r="U4282" s="11" t="s">
        <v>58</v>
      </c>
      <c r="V4282" s="11" t="s">
        <v>586</v>
      </c>
      <c r="W4282" s="11">
        <v>2000000</v>
      </c>
      <c r="X4282" s="11">
        <v>1986</v>
      </c>
      <c r="Y4282" s="11">
        <v>194</v>
      </c>
      <c r="Z4282" s="11">
        <v>5.7</v>
      </c>
      <c r="AA4282" s="11">
        <v>1.85</v>
      </c>
      <c r="AB4282" s="11">
        <v>0</v>
      </c>
      <c r="AC4282" s="11"/>
      <c r="AD4282" s="11" t="str">
        <f>IFERROR(__xludf.DUMMYFUNCTION("""COMPUTED_VALUE"""),"Robert J. Wilke")</f>
        <v>Robert J. Wilke</v>
      </c>
      <c r="AE4282" s="11"/>
    </row>
    <row r="4283" customHeight="1" spans="1:31">
      <c r="A4283" s="12" t="s">
        <v>30</v>
      </c>
      <c r="B4283" s="16"/>
      <c r="C4283" s="12">
        <v>8</v>
      </c>
      <c r="D4283" s="12">
        <v>22</v>
      </c>
      <c r="E4283" s="16"/>
      <c r="F4283" s="12">
        <v>344</v>
      </c>
      <c r="G4283" s="12">
        <v>459</v>
      </c>
      <c r="H4283" s="16"/>
      <c r="I4283" s="12" t="s">
        <v>1672</v>
      </c>
      <c r="J4283" s="12" t="s">
        <v>481</v>
      </c>
      <c r="K4283" s="12" t="s">
        <v>1195</v>
      </c>
      <c r="L4283" s="12" t="s">
        <v>8223</v>
      </c>
      <c r="M4283" s="12" t="s">
        <v>20286</v>
      </c>
      <c r="N4283" s="12">
        <v>4181</v>
      </c>
      <c r="O4283" s="12">
        <v>1359</v>
      </c>
      <c r="P4283" s="12">
        <v>3</v>
      </c>
      <c r="Q4283" s="12" t="s">
        <v>20287</v>
      </c>
      <c r="R4283" s="15" t="s">
        <v>20288</v>
      </c>
      <c r="S4283" s="12">
        <v>62</v>
      </c>
      <c r="T4283" s="12" t="s">
        <v>39</v>
      </c>
      <c r="U4283" s="12" t="s">
        <v>40</v>
      </c>
      <c r="V4283" s="12" t="s">
        <v>1127</v>
      </c>
      <c r="W4283" s="16"/>
      <c r="X4283" s="16"/>
      <c r="Y4283" s="12">
        <v>396</v>
      </c>
      <c r="Z4283" s="12">
        <v>8.1</v>
      </c>
      <c r="AA4283" s="12">
        <v>4</v>
      </c>
      <c r="AB4283" s="12">
        <v>558</v>
      </c>
      <c r="AC4283" s="12"/>
      <c r="AD4283" s="12" t="str">
        <f>IFERROR(__xludf.DUMMYFUNCTION("""COMPUTED_VALUE"""),"Paul Lukas")</f>
        <v>Paul Lukas</v>
      </c>
      <c r="AE4283" s="12"/>
    </row>
    <row r="4284" customHeight="1" spans="1:31">
      <c r="A4284" s="11" t="s">
        <v>30</v>
      </c>
      <c r="B4284" s="11" t="s">
        <v>858</v>
      </c>
      <c r="C4284" s="11">
        <v>85</v>
      </c>
      <c r="D4284" s="11">
        <v>150</v>
      </c>
      <c r="E4284" s="11">
        <v>0</v>
      </c>
      <c r="F4284" s="11">
        <v>401</v>
      </c>
      <c r="G4284" s="11">
        <v>597</v>
      </c>
      <c r="H4284" s="11">
        <v>4414535</v>
      </c>
      <c r="I4284" s="11" t="s">
        <v>3410</v>
      </c>
      <c r="J4284" s="11" t="s">
        <v>11991</v>
      </c>
      <c r="K4284" s="11" t="s">
        <v>764</v>
      </c>
      <c r="L4284" s="11" t="s">
        <v>9677</v>
      </c>
      <c r="M4284" s="11" t="s">
        <v>11992</v>
      </c>
      <c r="N4284" s="11">
        <v>30618</v>
      </c>
      <c r="O4284" s="11">
        <v>1645</v>
      </c>
      <c r="P4284" s="11">
        <v>0</v>
      </c>
      <c r="Q4284" s="11" t="s">
        <v>11993</v>
      </c>
      <c r="R4284" s="14" t="s">
        <v>11994</v>
      </c>
      <c r="S4284" s="11">
        <v>224</v>
      </c>
      <c r="T4284" s="11" t="s">
        <v>39</v>
      </c>
      <c r="U4284" s="11" t="s">
        <v>58</v>
      </c>
      <c r="V4284" s="11" t="s">
        <v>41</v>
      </c>
      <c r="W4284" s="11">
        <v>18000000</v>
      </c>
      <c r="X4284" s="11">
        <v>1996</v>
      </c>
      <c r="Y4284" s="11">
        <v>591</v>
      </c>
      <c r="Z4284" s="11">
        <v>7.8</v>
      </c>
      <c r="AA4284" s="11">
        <v>2.2</v>
      </c>
      <c r="AB4284" s="11">
        <v>0</v>
      </c>
      <c r="AC4284" s="11"/>
      <c r="AD4284" s="11" t="str">
        <f>IFERROR(__xludf.DUMMYFUNCTION("""COMPUTED_VALUE"""),"Richard Cabral")</f>
        <v>Richard Cabral</v>
      </c>
      <c r="AE4284" s="11"/>
    </row>
    <row r="4285" customHeight="1" spans="1:31">
      <c r="A4285" s="12" t="s">
        <v>30</v>
      </c>
      <c r="B4285" s="12" t="s">
        <v>17163</v>
      </c>
      <c r="C4285" s="12">
        <v>160</v>
      </c>
      <c r="D4285" s="12">
        <v>101</v>
      </c>
      <c r="E4285" s="12">
        <v>263</v>
      </c>
      <c r="F4285" s="12">
        <v>37</v>
      </c>
      <c r="G4285" s="12">
        <v>71</v>
      </c>
      <c r="H4285" s="12">
        <v>1984378</v>
      </c>
      <c r="I4285" s="12" t="s">
        <v>1415</v>
      </c>
      <c r="J4285" s="12" t="s">
        <v>20289</v>
      </c>
      <c r="K4285" s="12" t="s">
        <v>20290</v>
      </c>
      <c r="L4285" s="12" t="s">
        <v>20291</v>
      </c>
      <c r="M4285" s="12" t="s">
        <v>20292</v>
      </c>
      <c r="N4285" s="12">
        <v>27346</v>
      </c>
      <c r="O4285" s="12">
        <v>226</v>
      </c>
      <c r="P4285" s="12">
        <v>3</v>
      </c>
      <c r="Q4285" s="12" t="s">
        <v>20293</v>
      </c>
      <c r="R4285" s="15" t="s">
        <v>20294</v>
      </c>
      <c r="S4285" s="12">
        <v>206</v>
      </c>
      <c r="T4285" s="12" t="s">
        <v>39</v>
      </c>
      <c r="U4285" s="12" t="s">
        <v>40</v>
      </c>
      <c r="V4285" s="12" t="s">
        <v>5614</v>
      </c>
      <c r="W4285" s="12">
        <v>2000000</v>
      </c>
      <c r="X4285" s="12">
        <v>2006</v>
      </c>
      <c r="Y4285" s="12">
        <v>51</v>
      </c>
      <c r="Z4285" s="12">
        <v>6.5</v>
      </c>
      <c r="AA4285" s="12">
        <v>1.78</v>
      </c>
      <c r="AB4285" s="12">
        <v>0</v>
      </c>
      <c r="AC4285" s="12"/>
      <c r="AD4285" s="12" t="str">
        <f>IFERROR(__xludf.DUMMYFUNCTION("""COMPUTED_VALUE"""),"Gloria Sandoval")</f>
        <v>Gloria Sandoval</v>
      </c>
      <c r="AE4285" s="12"/>
    </row>
    <row r="4286" customHeight="1" spans="1:31">
      <c r="A4286" s="11" t="s">
        <v>30</v>
      </c>
      <c r="B4286" s="11" t="s">
        <v>20295</v>
      </c>
      <c r="C4286" s="11">
        <v>231</v>
      </c>
      <c r="D4286" s="11">
        <v>90</v>
      </c>
      <c r="E4286" s="11">
        <v>56</v>
      </c>
      <c r="F4286" s="11">
        <v>0</v>
      </c>
      <c r="G4286" s="11">
        <v>56</v>
      </c>
      <c r="H4286" s="11">
        <v>2283276</v>
      </c>
      <c r="I4286" s="11" t="s">
        <v>20296</v>
      </c>
      <c r="J4286" s="11" t="s">
        <v>20295</v>
      </c>
      <c r="K4286" s="11" t="s">
        <v>20297</v>
      </c>
      <c r="L4286" s="11" t="s">
        <v>20298</v>
      </c>
      <c r="M4286" s="11" t="s">
        <v>20299</v>
      </c>
      <c r="N4286" s="11">
        <v>46107</v>
      </c>
      <c r="O4286" s="11">
        <v>56</v>
      </c>
      <c r="P4286" s="11">
        <v>0</v>
      </c>
      <c r="Q4286" s="11" t="s">
        <v>20300</v>
      </c>
      <c r="R4286" s="14" t="s">
        <v>20301</v>
      </c>
      <c r="S4286" s="11">
        <v>156</v>
      </c>
      <c r="T4286" s="11" t="s">
        <v>11691</v>
      </c>
      <c r="U4286" s="11" t="s">
        <v>20302</v>
      </c>
      <c r="V4286" s="11" t="s">
        <v>586</v>
      </c>
      <c r="W4286" s="11">
        <v>1500000</v>
      </c>
      <c r="X4286" s="11">
        <v>2008</v>
      </c>
      <c r="Y4286" s="11">
        <v>0</v>
      </c>
      <c r="Z4286" s="11">
        <v>8</v>
      </c>
      <c r="AA4286" s="11">
        <v>1.85</v>
      </c>
      <c r="AB4286" s="11">
        <v>0</v>
      </c>
      <c r="AC4286" s="11"/>
      <c r="AD4286" s="11" t="str">
        <f>IFERROR(__xludf.DUMMYFUNCTION("""COMPUTED_VALUE"""),"Molly Ephraim")</f>
        <v>Molly Ephraim</v>
      </c>
      <c r="AE4286" s="11"/>
    </row>
    <row r="4287" customHeight="1" spans="1:31">
      <c r="A4287" s="12" t="s">
        <v>30</v>
      </c>
      <c r="B4287" s="12" t="s">
        <v>20303</v>
      </c>
      <c r="C4287" s="12">
        <v>7</v>
      </c>
      <c r="D4287" s="12">
        <v>120</v>
      </c>
      <c r="E4287" s="12">
        <v>0</v>
      </c>
      <c r="F4287" s="12">
        <v>40</v>
      </c>
      <c r="G4287" s="12">
        <v>178</v>
      </c>
      <c r="H4287" s="12">
        <v>1098224</v>
      </c>
      <c r="I4287" s="12" t="s">
        <v>954</v>
      </c>
      <c r="J4287" s="12" t="s">
        <v>20304</v>
      </c>
      <c r="K4287" s="12" t="s">
        <v>20305</v>
      </c>
      <c r="L4287" s="12" t="s">
        <v>20306</v>
      </c>
      <c r="M4287" s="12" t="s">
        <v>20307</v>
      </c>
      <c r="N4287" s="12">
        <v>397</v>
      </c>
      <c r="O4287" s="12">
        <v>359</v>
      </c>
      <c r="P4287" s="12">
        <v>1</v>
      </c>
      <c r="Q4287" s="12" t="s">
        <v>20308</v>
      </c>
      <c r="R4287" s="15" t="s">
        <v>20309</v>
      </c>
      <c r="S4287" s="12">
        <v>30</v>
      </c>
      <c r="T4287" s="12" t="s">
        <v>39</v>
      </c>
      <c r="U4287" s="12" t="s">
        <v>40</v>
      </c>
      <c r="V4287" s="12" t="s">
        <v>41</v>
      </c>
      <c r="W4287" s="12">
        <v>2000000</v>
      </c>
      <c r="X4287" s="12">
        <v>2003</v>
      </c>
      <c r="Y4287" s="12">
        <v>69</v>
      </c>
      <c r="Z4287" s="12">
        <v>3.3</v>
      </c>
      <c r="AA4287" s="12">
        <v>1.85</v>
      </c>
      <c r="AB4287" s="12">
        <v>32</v>
      </c>
      <c r="AC4287" s="12"/>
      <c r="AD4287" s="12" t="str">
        <f>IFERROR(__xludf.DUMMYFUNCTION("""COMPUTED_VALUE"""),"Jorja Fox")</f>
        <v>Jorja Fox</v>
      </c>
      <c r="AE4287" s="12"/>
    </row>
    <row r="4288" customHeight="1" spans="1:31">
      <c r="A4288" s="11" t="s">
        <v>30</v>
      </c>
      <c r="B4288" s="11" t="s">
        <v>19022</v>
      </c>
      <c r="C4288" s="11">
        <v>79</v>
      </c>
      <c r="D4288" s="11">
        <v>102</v>
      </c>
      <c r="E4288" s="11">
        <v>117</v>
      </c>
      <c r="F4288" s="11">
        <v>17</v>
      </c>
      <c r="G4288" s="11">
        <v>393</v>
      </c>
      <c r="H4288" s="11">
        <v>1430185</v>
      </c>
      <c r="I4288" s="11" t="s">
        <v>20310</v>
      </c>
      <c r="J4288" s="11" t="s">
        <v>1927</v>
      </c>
      <c r="K4288" s="11" t="s">
        <v>20311</v>
      </c>
      <c r="L4288" s="11" t="s">
        <v>20312</v>
      </c>
      <c r="M4288" s="11" t="s">
        <v>20313</v>
      </c>
      <c r="N4288" s="11">
        <v>7314</v>
      </c>
      <c r="O4288" s="11">
        <v>446</v>
      </c>
      <c r="P4288" s="11">
        <v>0</v>
      </c>
      <c r="Q4288" s="11" t="s">
        <v>20314</v>
      </c>
      <c r="R4288" s="14" t="s">
        <v>20315</v>
      </c>
      <c r="S4288" s="11">
        <v>55</v>
      </c>
      <c r="T4288" s="11" t="s">
        <v>39</v>
      </c>
      <c r="U4288" s="11" t="s">
        <v>40</v>
      </c>
      <c r="V4288" s="13"/>
      <c r="W4288" s="11">
        <v>2000000</v>
      </c>
      <c r="X4288" s="11">
        <v>2007</v>
      </c>
      <c r="Y4288" s="11">
        <v>21</v>
      </c>
      <c r="Z4288" s="11">
        <v>8.3</v>
      </c>
      <c r="AA4288" s="11">
        <v>1.85</v>
      </c>
      <c r="AB4288" s="11">
        <v>0</v>
      </c>
      <c r="AC4288" s="11"/>
      <c r="AD4288" s="11" t="str">
        <f>IFERROR(__xludf.DUMMYFUNCTION("""COMPUTED_VALUE"""),"James Lafferty")</f>
        <v>James Lafferty</v>
      </c>
      <c r="AE4288" s="11"/>
    </row>
    <row r="4289" customHeight="1" spans="1:31">
      <c r="A4289" s="12" t="s">
        <v>30</v>
      </c>
      <c r="B4289" s="12" t="s">
        <v>20316</v>
      </c>
      <c r="C4289" s="12">
        <v>168</v>
      </c>
      <c r="D4289" s="12">
        <v>102</v>
      </c>
      <c r="E4289" s="12">
        <v>22</v>
      </c>
      <c r="F4289" s="12">
        <v>80</v>
      </c>
      <c r="G4289" s="12">
        <v>10000</v>
      </c>
      <c r="H4289" s="12">
        <v>1477002</v>
      </c>
      <c r="I4289" s="12" t="s">
        <v>214</v>
      </c>
      <c r="J4289" s="12" t="s">
        <v>229</v>
      </c>
      <c r="K4289" s="12" t="s">
        <v>6643</v>
      </c>
      <c r="L4289" s="12" t="s">
        <v>20317</v>
      </c>
      <c r="M4289" s="12" t="s">
        <v>20318</v>
      </c>
      <c r="N4289" s="12">
        <v>16645</v>
      </c>
      <c r="O4289" s="12">
        <v>11184</v>
      </c>
      <c r="P4289" s="12">
        <v>3</v>
      </c>
      <c r="Q4289" s="12" t="s">
        <v>20319</v>
      </c>
      <c r="R4289" s="15" t="s">
        <v>20320</v>
      </c>
      <c r="S4289" s="12">
        <v>72</v>
      </c>
      <c r="T4289" s="12" t="s">
        <v>39</v>
      </c>
      <c r="U4289" s="12" t="s">
        <v>40</v>
      </c>
      <c r="V4289" s="12" t="s">
        <v>586</v>
      </c>
      <c r="W4289" s="12">
        <v>2000000</v>
      </c>
      <c r="X4289" s="12">
        <v>2015</v>
      </c>
      <c r="Y4289" s="12">
        <v>1000</v>
      </c>
      <c r="Z4289" s="12">
        <v>6.9</v>
      </c>
      <c r="AA4289" s="12">
        <v>2.35</v>
      </c>
      <c r="AB4289" s="12">
        <v>0</v>
      </c>
      <c r="AC4289" s="12"/>
      <c r="AD4289" s="12" t="str">
        <f>IFERROR(__xludf.DUMMYFUNCTION("""COMPUTED_VALUE"""),"Garrett Ryan")</f>
        <v>Garrett Ryan</v>
      </c>
      <c r="AE4289" s="12"/>
    </row>
    <row r="4290" customHeight="1" spans="1:31">
      <c r="A4290" s="11" t="s">
        <v>30</v>
      </c>
      <c r="B4290" s="13"/>
      <c r="C4290" s="11">
        <v>1</v>
      </c>
      <c r="D4290" s="11">
        <v>60</v>
      </c>
      <c r="E4290" s="13"/>
      <c r="F4290" s="11">
        <v>143</v>
      </c>
      <c r="G4290" s="11">
        <v>11000</v>
      </c>
      <c r="H4290" s="13"/>
      <c r="I4290" s="11" t="s">
        <v>1415</v>
      </c>
      <c r="J4290" s="11" t="s">
        <v>257</v>
      </c>
      <c r="K4290" s="11" t="s">
        <v>5247</v>
      </c>
      <c r="L4290" s="11" t="s">
        <v>20321</v>
      </c>
      <c r="M4290" s="11" t="s">
        <v>20322</v>
      </c>
      <c r="N4290" s="11">
        <v>415</v>
      </c>
      <c r="O4290" s="11">
        <v>11618</v>
      </c>
      <c r="P4290" s="11">
        <v>5</v>
      </c>
      <c r="Q4290" s="11" t="s">
        <v>20323</v>
      </c>
      <c r="R4290" s="14" t="s">
        <v>20324</v>
      </c>
      <c r="S4290" s="11">
        <v>26</v>
      </c>
      <c r="T4290" s="11" t="s">
        <v>39</v>
      </c>
      <c r="U4290" s="11" t="s">
        <v>40</v>
      </c>
      <c r="V4290" s="13"/>
      <c r="W4290" s="13"/>
      <c r="X4290" s="13"/>
      <c r="Y4290" s="11">
        <v>289</v>
      </c>
      <c r="Z4290" s="11">
        <v>7.3</v>
      </c>
      <c r="AA4290" s="11">
        <v>1.33</v>
      </c>
      <c r="AB4290" s="11">
        <v>43</v>
      </c>
      <c r="AC4290" s="11"/>
      <c r="AD4290" s="11" t="str">
        <f>IFERROR(__xludf.DUMMYFUNCTION("""COMPUTED_VALUE"""),"Brian O'Halloran")</f>
        <v>Brian O'Halloran</v>
      </c>
      <c r="AE4290" s="11"/>
    </row>
    <row r="4291" customHeight="1" spans="1:31">
      <c r="A4291" s="12" t="s">
        <v>748</v>
      </c>
      <c r="B4291" s="12" t="s">
        <v>20325</v>
      </c>
      <c r="C4291" s="12">
        <v>107</v>
      </c>
      <c r="D4291" s="12">
        <v>100</v>
      </c>
      <c r="E4291" s="12">
        <v>90</v>
      </c>
      <c r="F4291" s="12">
        <v>65</v>
      </c>
      <c r="G4291" s="12">
        <v>168</v>
      </c>
      <c r="H4291" s="12">
        <v>1134049</v>
      </c>
      <c r="I4291" s="12" t="s">
        <v>20326</v>
      </c>
      <c r="J4291" s="12" t="s">
        <v>20327</v>
      </c>
      <c r="K4291" s="12" t="s">
        <v>20328</v>
      </c>
      <c r="L4291" s="12" t="s">
        <v>20329</v>
      </c>
      <c r="M4291" s="12" t="s">
        <v>20330</v>
      </c>
      <c r="N4291" s="12">
        <v>5475</v>
      </c>
      <c r="O4291" s="12">
        <v>408</v>
      </c>
      <c r="P4291" s="12">
        <v>0</v>
      </c>
      <c r="Q4291" s="12" t="s">
        <v>20331</v>
      </c>
      <c r="R4291" s="15" t="s">
        <v>20332</v>
      </c>
      <c r="S4291" s="12">
        <v>44</v>
      </c>
      <c r="T4291" s="12" t="s">
        <v>39</v>
      </c>
      <c r="U4291" s="12" t="s">
        <v>58</v>
      </c>
      <c r="V4291" s="12" t="s">
        <v>96</v>
      </c>
      <c r="W4291" s="12">
        <v>2000000</v>
      </c>
      <c r="X4291" s="12">
        <v>2007</v>
      </c>
      <c r="Y4291" s="12">
        <v>142</v>
      </c>
      <c r="Z4291" s="12">
        <v>8.1</v>
      </c>
      <c r="AA4291" s="12">
        <v>1.85</v>
      </c>
      <c r="AB4291" s="12">
        <v>0</v>
      </c>
      <c r="AC4291" s="12"/>
      <c r="AD4291" s="12" t="str">
        <f>IFERROR(__xludf.DUMMYFUNCTION("""COMPUTED_VALUE"""),"Jamie Draven")</f>
        <v>Jamie Draven</v>
      </c>
      <c r="AE4291" s="12"/>
    </row>
    <row r="4292" customHeight="1" spans="1:31">
      <c r="A4292" s="11" t="s">
        <v>30</v>
      </c>
      <c r="B4292" s="11" t="s">
        <v>20333</v>
      </c>
      <c r="C4292" s="11">
        <v>200</v>
      </c>
      <c r="D4292" s="11">
        <v>104</v>
      </c>
      <c r="E4292" s="11">
        <v>129</v>
      </c>
      <c r="F4292" s="11">
        <v>887</v>
      </c>
      <c r="G4292" s="11">
        <v>991</v>
      </c>
      <c r="H4292" s="11">
        <v>977600</v>
      </c>
      <c r="I4292" s="11" t="s">
        <v>1766</v>
      </c>
      <c r="J4292" s="11" t="s">
        <v>354</v>
      </c>
      <c r="K4292" s="11" t="s">
        <v>2379</v>
      </c>
      <c r="L4292" s="11" t="s">
        <v>2292</v>
      </c>
      <c r="M4292" s="11" t="s">
        <v>20334</v>
      </c>
      <c r="N4292" s="11">
        <v>8204</v>
      </c>
      <c r="O4292" s="11">
        <v>3427</v>
      </c>
      <c r="P4292" s="11">
        <v>1</v>
      </c>
      <c r="Q4292" s="11" t="s">
        <v>20335</v>
      </c>
      <c r="R4292" s="14" t="s">
        <v>20336</v>
      </c>
      <c r="S4292" s="11">
        <v>98</v>
      </c>
      <c r="T4292" s="11" t="s">
        <v>39</v>
      </c>
      <c r="U4292" s="11" t="s">
        <v>40</v>
      </c>
      <c r="V4292" s="11" t="s">
        <v>96</v>
      </c>
      <c r="W4292" s="13"/>
      <c r="X4292" s="11">
        <v>2010</v>
      </c>
      <c r="Y4292" s="11">
        <v>962</v>
      </c>
      <c r="Z4292" s="11">
        <v>6.5</v>
      </c>
      <c r="AA4292" s="11">
        <v>1.33</v>
      </c>
      <c r="AB4292" s="11">
        <v>0</v>
      </c>
      <c r="AC4292" s="11"/>
      <c r="AD4292" s="11" t="str">
        <f>IFERROR(__xludf.DUMMYFUNCTION("""COMPUTED_VALUE"""),"William Schallert")</f>
        <v>William Schallert</v>
      </c>
      <c r="AE4292" s="11"/>
    </row>
    <row r="4293" customHeight="1" spans="1:31">
      <c r="A4293" s="12" t="s">
        <v>748</v>
      </c>
      <c r="B4293" s="12" t="s">
        <v>17918</v>
      </c>
      <c r="C4293" s="12">
        <v>123</v>
      </c>
      <c r="D4293" s="12">
        <v>89</v>
      </c>
      <c r="E4293" s="12">
        <v>13</v>
      </c>
      <c r="F4293" s="12">
        <v>218</v>
      </c>
      <c r="G4293" s="12">
        <v>373</v>
      </c>
      <c r="H4293" s="12">
        <v>653621</v>
      </c>
      <c r="I4293" s="12" t="s">
        <v>20337</v>
      </c>
      <c r="J4293" s="12" t="s">
        <v>17144</v>
      </c>
      <c r="K4293" s="12" t="s">
        <v>19892</v>
      </c>
      <c r="L4293" s="12" t="s">
        <v>20338</v>
      </c>
      <c r="M4293" s="12" t="s">
        <v>20339</v>
      </c>
      <c r="N4293" s="12">
        <v>5615</v>
      </c>
      <c r="O4293" s="12">
        <v>1136</v>
      </c>
      <c r="P4293" s="12">
        <v>0</v>
      </c>
      <c r="Q4293" s="12" t="s">
        <v>20340</v>
      </c>
      <c r="R4293" s="15" t="s">
        <v>20341</v>
      </c>
      <c r="S4293" s="12">
        <v>64</v>
      </c>
      <c r="T4293" s="12" t="s">
        <v>39</v>
      </c>
      <c r="U4293" s="12" t="s">
        <v>40</v>
      </c>
      <c r="V4293" s="12" t="s">
        <v>6724</v>
      </c>
      <c r="W4293" s="12">
        <v>2000000</v>
      </c>
      <c r="X4293" s="12">
        <v>2005</v>
      </c>
      <c r="Y4293" s="12">
        <v>334</v>
      </c>
      <c r="Z4293" s="12">
        <v>6.8</v>
      </c>
      <c r="AA4293" s="12">
        <v>1.85</v>
      </c>
      <c r="AB4293" s="12">
        <v>592</v>
      </c>
      <c r="AC4293" s="12"/>
      <c r="AD4293" s="12" t="str">
        <f>IFERROR(__xludf.DUMMYFUNCTION("""COMPUTED_VALUE"""),"Helen Martin")</f>
        <v>Helen Martin</v>
      </c>
      <c r="AE4293" s="12"/>
    </row>
    <row r="4294" customHeight="1" spans="1:31">
      <c r="A4294" s="11" t="s">
        <v>30</v>
      </c>
      <c r="B4294" s="11" t="s">
        <v>20342</v>
      </c>
      <c r="C4294" s="11">
        <v>39</v>
      </c>
      <c r="D4294" s="11">
        <v>99</v>
      </c>
      <c r="E4294" s="11">
        <v>34</v>
      </c>
      <c r="F4294" s="11">
        <v>120</v>
      </c>
      <c r="G4294" s="11">
        <v>388</v>
      </c>
      <c r="H4294" s="11">
        <v>110000</v>
      </c>
      <c r="I4294" s="11" t="s">
        <v>4824</v>
      </c>
      <c r="J4294" s="11" t="s">
        <v>17437</v>
      </c>
      <c r="K4294" s="11" t="s">
        <v>20343</v>
      </c>
      <c r="L4294" s="11" t="s">
        <v>17037</v>
      </c>
      <c r="M4294" s="11" t="s">
        <v>20344</v>
      </c>
      <c r="N4294" s="11">
        <v>4359</v>
      </c>
      <c r="O4294" s="11">
        <v>1156</v>
      </c>
      <c r="P4294" s="11">
        <v>1</v>
      </c>
      <c r="Q4294" s="11" t="s">
        <v>20345</v>
      </c>
      <c r="R4294" s="14" t="s">
        <v>20346</v>
      </c>
      <c r="S4294" s="11">
        <v>73</v>
      </c>
      <c r="T4294" s="11" t="s">
        <v>39</v>
      </c>
      <c r="U4294" s="11" t="s">
        <v>40</v>
      </c>
      <c r="V4294" s="11" t="s">
        <v>586</v>
      </c>
      <c r="W4294" s="13"/>
      <c r="X4294" s="11">
        <v>2000</v>
      </c>
      <c r="Y4294" s="11">
        <v>159</v>
      </c>
      <c r="Z4294" s="11">
        <v>7.3</v>
      </c>
      <c r="AA4294" s="11">
        <v>1.85</v>
      </c>
      <c r="AB4294" s="11">
        <v>495</v>
      </c>
      <c r="AC4294" s="11"/>
      <c r="AD4294" s="11" t="str">
        <f>IFERROR(__xludf.DUMMYFUNCTION("""COMPUTED_VALUE"""),"Tony Bonner")</f>
        <v>Tony Bonner</v>
      </c>
      <c r="AE4294" s="11"/>
    </row>
    <row r="4295" customHeight="1" spans="1:31">
      <c r="A4295" s="12" t="s">
        <v>30</v>
      </c>
      <c r="B4295" s="12" t="s">
        <v>19399</v>
      </c>
      <c r="C4295" s="12">
        <v>41</v>
      </c>
      <c r="D4295" s="12">
        <v>96</v>
      </c>
      <c r="E4295" s="12">
        <v>11</v>
      </c>
      <c r="F4295" s="12">
        <v>490</v>
      </c>
      <c r="G4295" s="12">
        <v>584</v>
      </c>
      <c r="H4295" s="12">
        <v>444354</v>
      </c>
      <c r="I4295" s="12" t="s">
        <v>2528</v>
      </c>
      <c r="J4295" s="12" t="s">
        <v>11734</v>
      </c>
      <c r="K4295" s="12" t="s">
        <v>3355</v>
      </c>
      <c r="L4295" s="12" t="s">
        <v>1891</v>
      </c>
      <c r="M4295" s="12" t="s">
        <v>20347</v>
      </c>
      <c r="N4295" s="12">
        <v>4049</v>
      </c>
      <c r="O4295" s="12">
        <v>3011</v>
      </c>
      <c r="P4295" s="12">
        <v>4</v>
      </c>
      <c r="Q4295" s="12" t="s">
        <v>20348</v>
      </c>
      <c r="R4295" s="15" t="s">
        <v>20349</v>
      </c>
      <c r="S4295" s="12">
        <v>111</v>
      </c>
      <c r="T4295" s="12" t="s">
        <v>39</v>
      </c>
      <c r="U4295" s="12" t="s">
        <v>58</v>
      </c>
      <c r="V4295" s="12" t="s">
        <v>41</v>
      </c>
      <c r="W4295" s="16"/>
      <c r="X4295" s="12">
        <v>1997</v>
      </c>
      <c r="Y4295" s="12">
        <v>559</v>
      </c>
      <c r="Z4295" s="12">
        <v>6.4</v>
      </c>
      <c r="AA4295" s="16"/>
      <c r="AB4295" s="12">
        <v>166</v>
      </c>
      <c r="AC4295" s="12"/>
      <c r="AD4295" s="12" t="str">
        <f>IFERROR(__xludf.DUMMYFUNCTION("""COMPUTED_VALUE"""),"Tom Burlinson")</f>
        <v>Tom Burlinson</v>
      </c>
      <c r="AE4295" s="12"/>
    </row>
    <row r="4296" customHeight="1" spans="1:31">
      <c r="A4296" s="11" t="s">
        <v>30</v>
      </c>
      <c r="B4296" s="11" t="s">
        <v>20350</v>
      </c>
      <c r="C4296" s="11">
        <v>46</v>
      </c>
      <c r="D4296" s="11">
        <v>86</v>
      </c>
      <c r="E4296" s="11">
        <v>10</v>
      </c>
      <c r="F4296" s="11">
        <v>126</v>
      </c>
      <c r="G4296" s="11">
        <v>189</v>
      </c>
      <c r="H4296" s="11">
        <v>535249</v>
      </c>
      <c r="I4296" s="11" t="s">
        <v>1672</v>
      </c>
      <c r="J4296" s="11" t="s">
        <v>20351</v>
      </c>
      <c r="K4296" s="11" t="s">
        <v>20352</v>
      </c>
      <c r="L4296" s="11" t="s">
        <v>20353</v>
      </c>
      <c r="M4296" s="11" t="s">
        <v>20354</v>
      </c>
      <c r="N4296" s="11">
        <v>3467</v>
      </c>
      <c r="O4296" s="11">
        <v>768</v>
      </c>
      <c r="P4296" s="11">
        <v>0</v>
      </c>
      <c r="Q4296" s="11" t="s">
        <v>20355</v>
      </c>
      <c r="R4296" s="14" t="s">
        <v>20356</v>
      </c>
      <c r="S4296" s="11">
        <v>13</v>
      </c>
      <c r="T4296" s="11" t="s">
        <v>39</v>
      </c>
      <c r="U4296" s="11" t="s">
        <v>40</v>
      </c>
      <c r="V4296" s="11" t="s">
        <v>586</v>
      </c>
      <c r="W4296" s="11">
        <v>3400000</v>
      </c>
      <c r="X4296" s="11">
        <v>2010</v>
      </c>
      <c r="Y4296" s="11">
        <v>131</v>
      </c>
      <c r="Z4296" s="11">
        <v>4.6</v>
      </c>
      <c r="AA4296" s="11">
        <v>1.85</v>
      </c>
      <c r="AB4296" s="11">
        <v>974</v>
      </c>
      <c r="AC4296" s="11"/>
      <c r="AD4296" s="11" t="str">
        <f>IFERROR(__xludf.DUMMYFUNCTION("""COMPUTED_VALUE"""),"Constance Shulman")</f>
        <v>Constance Shulman</v>
      </c>
      <c r="AE4296" s="11"/>
    </row>
    <row r="4297" customHeight="1" spans="1:31">
      <c r="A4297" s="12" t="s">
        <v>30</v>
      </c>
      <c r="B4297" s="12" t="s">
        <v>1972</v>
      </c>
      <c r="C4297" s="12">
        <v>30</v>
      </c>
      <c r="D4297" s="12">
        <v>98</v>
      </c>
      <c r="E4297" s="12">
        <v>0</v>
      </c>
      <c r="F4297" s="12">
        <v>164</v>
      </c>
      <c r="G4297" s="12">
        <v>1000</v>
      </c>
      <c r="H4297" s="16"/>
      <c r="I4297" s="12" t="s">
        <v>5599</v>
      </c>
      <c r="J4297" s="12" t="s">
        <v>4534</v>
      </c>
      <c r="K4297" s="12" t="s">
        <v>6746</v>
      </c>
      <c r="L4297" s="12" t="s">
        <v>20357</v>
      </c>
      <c r="M4297" s="12" t="s">
        <v>20358</v>
      </c>
      <c r="N4297" s="12">
        <v>11031</v>
      </c>
      <c r="O4297" s="12">
        <v>1917</v>
      </c>
      <c r="P4297" s="12">
        <v>1</v>
      </c>
      <c r="Q4297" s="12" t="s">
        <v>20359</v>
      </c>
      <c r="R4297" s="15" t="s">
        <v>20360</v>
      </c>
      <c r="S4297" s="12">
        <v>45</v>
      </c>
      <c r="T4297" s="12" t="s">
        <v>1465</v>
      </c>
      <c r="U4297" s="12" t="s">
        <v>1466</v>
      </c>
      <c r="V4297" s="12" t="s">
        <v>586</v>
      </c>
      <c r="W4297" s="12">
        <v>17000000</v>
      </c>
      <c r="X4297" s="12">
        <v>1985</v>
      </c>
      <c r="Y4297" s="12">
        <v>572</v>
      </c>
      <c r="Z4297" s="12">
        <v>6.5</v>
      </c>
      <c r="AA4297" s="12">
        <v>2.35</v>
      </c>
      <c r="AB4297" s="12">
        <v>739</v>
      </c>
      <c r="AC4297" s="12"/>
      <c r="AD4297" s="12" t="str">
        <f>IFERROR(__xludf.DUMMYFUNCTION("""COMPUTED_VALUE"""),"Alice Playten")</f>
        <v>Alice Playten</v>
      </c>
      <c r="AE4297" s="12"/>
    </row>
    <row r="4298" customHeight="1" spans="1:31">
      <c r="A4298" s="11" t="s">
        <v>30</v>
      </c>
      <c r="B4298" s="11" t="s">
        <v>20361</v>
      </c>
      <c r="C4298" s="11">
        <v>46</v>
      </c>
      <c r="D4298" s="11">
        <v>96</v>
      </c>
      <c r="E4298" s="11">
        <v>0</v>
      </c>
      <c r="F4298" s="11">
        <v>902</v>
      </c>
      <c r="G4298" s="11">
        <v>49000</v>
      </c>
      <c r="H4298" s="11">
        <v>371081</v>
      </c>
      <c r="I4298" s="11" t="s">
        <v>2528</v>
      </c>
      <c r="J4298" s="11" t="s">
        <v>811</v>
      </c>
      <c r="K4298" s="11" t="s">
        <v>1822</v>
      </c>
      <c r="L4298" s="11" t="s">
        <v>122</v>
      </c>
      <c r="M4298" s="11" t="s">
        <v>20362</v>
      </c>
      <c r="N4298" s="11">
        <v>7479</v>
      </c>
      <c r="O4298" s="11">
        <v>51441</v>
      </c>
      <c r="P4298" s="11">
        <v>2</v>
      </c>
      <c r="Q4298" s="11" t="s">
        <v>20363</v>
      </c>
      <c r="R4298" s="14" t="s">
        <v>20364</v>
      </c>
      <c r="S4298" s="11">
        <v>86</v>
      </c>
      <c r="T4298" s="11" t="s">
        <v>39</v>
      </c>
      <c r="U4298" s="11" t="s">
        <v>40</v>
      </c>
      <c r="V4298" s="11" t="s">
        <v>41</v>
      </c>
      <c r="W4298" s="11">
        <v>6000000</v>
      </c>
      <c r="X4298" s="11">
        <v>2004</v>
      </c>
      <c r="Y4298" s="11">
        <v>1000</v>
      </c>
      <c r="Z4298" s="11">
        <v>7</v>
      </c>
      <c r="AA4298" s="11">
        <v>1.85</v>
      </c>
      <c r="AB4298" s="11">
        <v>857</v>
      </c>
      <c r="AC4298" s="11"/>
      <c r="AD4298" s="11" t="str">
        <f>IFERROR(__xludf.DUMMYFUNCTION("""COMPUTED_VALUE"""),"John Beasley")</f>
        <v>John Beasley</v>
      </c>
      <c r="AE4298" s="11"/>
    </row>
    <row r="4299" customHeight="1" spans="1:31">
      <c r="A4299" s="12" t="s">
        <v>30</v>
      </c>
      <c r="B4299" s="12" t="s">
        <v>20365</v>
      </c>
      <c r="C4299" s="12">
        <v>221</v>
      </c>
      <c r="D4299" s="12">
        <v>94</v>
      </c>
      <c r="E4299" s="12">
        <v>53</v>
      </c>
      <c r="F4299" s="12">
        <v>268</v>
      </c>
      <c r="G4299" s="12">
        <v>386</v>
      </c>
      <c r="H4299" s="12">
        <v>347578</v>
      </c>
      <c r="I4299" s="12" t="s">
        <v>8066</v>
      </c>
      <c r="J4299" s="12" t="s">
        <v>20366</v>
      </c>
      <c r="K4299" s="12" t="s">
        <v>20367</v>
      </c>
      <c r="L4299" s="12" t="s">
        <v>20368</v>
      </c>
      <c r="M4299" s="12" t="s">
        <v>20369</v>
      </c>
      <c r="N4299" s="12">
        <v>34556</v>
      </c>
      <c r="O4299" s="12">
        <v>1511</v>
      </c>
      <c r="P4299" s="12">
        <v>1</v>
      </c>
      <c r="Q4299" s="12" t="s">
        <v>20370</v>
      </c>
      <c r="R4299" s="15" t="s">
        <v>20371</v>
      </c>
      <c r="S4299" s="12">
        <v>161</v>
      </c>
      <c r="T4299" s="12" t="s">
        <v>39</v>
      </c>
      <c r="U4299" s="12" t="s">
        <v>40</v>
      </c>
      <c r="V4299" s="12" t="s">
        <v>586</v>
      </c>
      <c r="W4299" s="16"/>
      <c r="X4299" s="12">
        <v>2007</v>
      </c>
      <c r="Y4299" s="12">
        <v>357</v>
      </c>
      <c r="Z4299" s="12">
        <v>5.4</v>
      </c>
      <c r="AA4299" s="12">
        <v>1.85</v>
      </c>
      <c r="AB4299" s="12">
        <v>17000</v>
      </c>
      <c r="AC4299" s="12"/>
      <c r="AD4299" s="12" t="str">
        <f>IFERROR(__xludf.DUMMYFUNCTION("""COMPUTED_VALUE"""),"June Carter Cash")</f>
        <v>June Carter Cash</v>
      </c>
      <c r="AE4299" s="12"/>
    </row>
    <row r="4300" customHeight="1" spans="1:31">
      <c r="A4300" s="11" t="s">
        <v>30</v>
      </c>
      <c r="B4300" s="11" t="s">
        <v>20372</v>
      </c>
      <c r="C4300" s="11">
        <v>51</v>
      </c>
      <c r="D4300" s="11">
        <v>91</v>
      </c>
      <c r="E4300" s="11">
        <v>4</v>
      </c>
      <c r="F4300" s="11">
        <v>0</v>
      </c>
      <c r="G4300" s="11">
        <v>33</v>
      </c>
      <c r="H4300" s="11">
        <v>124494</v>
      </c>
      <c r="I4300" s="11" t="s">
        <v>20373</v>
      </c>
      <c r="J4300" s="11" t="s">
        <v>20374</v>
      </c>
      <c r="K4300" s="11" t="s">
        <v>20375</v>
      </c>
      <c r="L4300" s="11" t="s">
        <v>20376</v>
      </c>
      <c r="M4300" s="11" t="s">
        <v>20377</v>
      </c>
      <c r="N4300" s="11">
        <v>5613</v>
      </c>
      <c r="O4300" s="11">
        <v>36</v>
      </c>
      <c r="P4300" s="11">
        <v>1</v>
      </c>
      <c r="Q4300" s="11" t="s">
        <v>20378</v>
      </c>
      <c r="R4300" s="14" t="s">
        <v>20379</v>
      </c>
      <c r="S4300" s="11">
        <v>102</v>
      </c>
      <c r="T4300" s="11" t="s">
        <v>39</v>
      </c>
      <c r="U4300" s="11" t="s">
        <v>40</v>
      </c>
      <c r="V4300" s="11" t="s">
        <v>41</v>
      </c>
      <c r="W4300" s="11">
        <v>2000000</v>
      </c>
      <c r="X4300" s="11">
        <v>1998</v>
      </c>
      <c r="Y4300" s="11">
        <v>3</v>
      </c>
      <c r="Z4300" s="11">
        <v>6.7</v>
      </c>
      <c r="AA4300" s="11">
        <v>1.85</v>
      </c>
      <c r="AB4300" s="11">
        <v>0</v>
      </c>
      <c r="AC4300" s="11"/>
      <c r="AD4300" s="11" t="str">
        <f>IFERROR(__xludf.DUMMYFUNCTION("""COMPUTED_VALUE"""),"Diana Scarwid")</f>
        <v>Diana Scarwid</v>
      </c>
      <c r="AE4300" s="11"/>
    </row>
    <row r="4301" customHeight="1" spans="1:31">
      <c r="A4301" s="12" t="s">
        <v>30</v>
      </c>
      <c r="B4301" s="12" t="s">
        <v>20380</v>
      </c>
      <c r="C4301" s="12">
        <v>1</v>
      </c>
      <c r="D4301" s="16"/>
      <c r="E4301" s="12">
        <v>4</v>
      </c>
      <c r="F4301" s="12">
        <v>72</v>
      </c>
      <c r="G4301" s="12">
        <v>353</v>
      </c>
      <c r="H4301" s="16"/>
      <c r="I4301" s="12" t="s">
        <v>3104</v>
      </c>
      <c r="J4301" s="12" t="s">
        <v>20381</v>
      </c>
      <c r="K4301" s="12" t="s">
        <v>20382</v>
      </c>
      <c r="L4301" s="12" t="s">
        <v>20383</v>
      </c>
      <c r="M4301" s="12" t="s">
        <v>20384</v>
      </c>
      <c r="N4301" s="12">
        <v>275</v>
      </c>
      <c r="O4301" s="12">
        <v>613</v>
      </c>
      <c r="P4301" s="12">
        <v>2</v>
      </c>
      <c r="Q4301" s="12" t="s">
        <v>20385</v>
      </c>
      <c r="R4301" s="15" t="s">
        <v>20386</v>
      </c>
      <c r="S4301" s="12">
        <v>1</v>
      </c>
      <c r="T4301" s="12" t="s">
        <v>5612</v>
      </c>
      <c r="U4301" s="12" t="s">
        <v>5613</v>
      </c>
      <c r="V4301" s="16"/>
      <c r="W4301" s="16"/>
      <c r="X4301" s="12">
        <v>2000</v>
      </c>
      <c r="Y4301" s="12">
        <v>89</v>
      </c>
      <c r="Z4301" s="12">
        <v>2.8</v>
      </c>
      <c r="AA4301" s="16"/>
      <c r="AB4301" s="12">
        <v>10</v>
      </c>
      <c r="AC4301" s="12"/>
      <c r="AD4301" s="12" t="str">
        <f>IFERROR(__xludf.DUMMYFUNCTION("""COMPUTED_VALUE"""),"Monica Calhoun")</f>
        <v>Monica Calhoun</v>
      </c>
      <c r="AE4301" s="12"/>
    </row>
    <row r="4302" customHeight="1" spans="1:31">
      <c r="A4302" s="11" t="s">
        <v>30</v>
      </c>
      <c r="B4302" s="11" t="s">
        <v>11665</v>
      </c>
      <c r="C4302" s="11">
        <v>58</v>
      </c>
      <c r="D4302" s="11">
        <v>90</v>
      </c>
      <c r="E4302" s="11">
        <v>31</v>
      </c>
      <c r="F4302" s="11">
        <v>137</v>
      </c>
      <c r="G4302" s="11">
        <v>326</v>
      </c>
      <c r="H4302" s="11">
        <v>120620</v>
      </c>
      <c r="I4302" s="11" t="s">
        <v>20387</v>
      </c>
      <c r="J4302" s="11" t="s">
        <v>20388</v>
      </c>
      <c r="K4302" s="11" t="s">
        <v>3520</v>
      </c>
      <c r="L4302" s="11" t="s">
        <v>20389</v>
      </c>
      <c r="M4302" s="11" t="s">
        <v>20390</v>
      </c>
      <c r="N4302" s="11">
        <v>16828</v>
      </c>
      <c r="O4302" s="11">
        <v>865</v>
      </c>
      <c r="P4302" s="11">
        <v>1</v>
      </c>
      <c r="Q4302" s="11" t="s">
        <v>20391</v>
      </c>
      <c r="R4302" s="14" t="s">
        <v>20392</v>
      </c>
      <c r="S4302" s="11">
        <v>67</v>
      </c>
      <c r="T4302" s="11" t="s">
        <v>39</v>
      </c>
      <c r="U4302" s="11" t="s">
        <v>58</v>
      </c>
      <c r="V4302" s="11" t="s">
        <v>586</v>
      </c>
      <c r="W4302" s="13"/>
      <c r="X4302" s="11">
        <v>2004</v>
      </c>
      <c r="Y4302" s="11">
        <v>246</v>
      </c>
      <c r="Z4302" s="11">
        <v>7.4</v>
      </c>
      <c r="AA4302" s="11">
        <v>2.35</v>
      </c>
      <c r="AB4302" s="11">
        <v>0</v>
      </c>
      <c r="AC4302" s="11"/>
      <c r="AD4302" s="11" t="str">
        <f>IFERROR(__xludf.DUMMYFUNCTION("""COMPUTED_VALUE"""),"Chrystale Wilson")</f>
        <v>Chrystale Wilson</v>
      </c>
      <c r="AE4302" s="11"/>
    </row>
    <row r="4303" customHeight="1" spans="1:31">
      <c r="A4303" s="12" t="s">
        <v>30</v>
      </c>
      <c r="B4303" s="12" t="s">
        <v>20393</v>
      </c>
      <c r="C4303" s="12">
        <v>45</v>
      </c>
      <c r="D4303" s="12">
        <v>85</v>
      </c>
      <c r="E4303" s="12">
        <v>0</v>
      </c>
      <c r="F4303" s="12">
        <v>966</v>
      </c>
      <c r="G4303" s="12">
        <v>22000</v>
      </c>
      <c r="H4303" s="12">
        <v>100669</v>
      </c>
      <c r="I4303" s="12" t="s">
        <v>2528</v>
      </c>
      <c r="J4303" s="12" t="s">
        <v>149</v>
      </c>
      <c r="K4303" s="12" t="s">
        <v>272</v>
      </c>
      <c r="L4303" s="12" t="s">
        <v>3899</v>
      </c>
      <c r="M4303" s="12" t="s">
        <v>20394</v>
      </c>
      <c r="N4303" s="12">
        <v>2522</v>
      </c>
      <c r="O4303" s="12">
        <v>36885</v>
      </c>
      <c r="P4303" s="12">
        <v>1</v>
      </c>
      <c r="Q4303" s="12" t="s">
        <v>20395</v>
      </c>
      <c r="R4303" s="15" t="s">
        <v>20396</v>
      </c>
      <c r="S4303" s="12">
        <v>11</v>
      </c>
      <c r="T4303" s="12" t="s">
        <v>39</v>
      </c>
      <c r="U4303" s="12" t="s">
        <v>40</v>
      </c>
      <c r="V4303" s="12" t="s">
        <v>586</v>
      </c>
      <c r="W4303" s="12">
        <v>3800000</v>
      </c>
      <c r="X4303" s="12">
        <v>2009</v>
      </c>
      <c r="Y4303" s="12">
        <v>12000</v>
      </c>
      <c r="Z4303" s="12">
        <v>5.8</v>
      </c>
      <c r="AA4303" s="12">
        <v>2.35</v>
      </c>
      <c r="AB4303" s="12">
        <v>407</v>
      </c>
      <c r="AC4303" s="12"/>
      <c r="AD4303" s="12" t="str">
        <f>IFERROR(__xludf.DUMMYFUNCTION("""COMPUTED_VALUE"""),"Edwin Hodge")</f>
        <v>Edwin Hodge</v>
      </c>
      <c r="AE4303" s="12"/>
    </row>
    <row r="4304" customHeight="1" spans="1:31">
      <c r="A4304" s="11" t="s">
        <v>748</v>
      </c>
      <c r="B4304" s="11" t="s">
        <v>17484</v>
      </c>
      <c r="C4304" s="11">
        <v>44</v>
      </c>
      <c r="D4304" s="11">
        <v>96</v>
      </c>
      <c r="E4304" s="11">
        <v>222</v>
      </c>
      <c r="F4304" s="11">
        <v>20</v>
      </c>
      <c r="G4304" s="11">
        <v>5000</v>
      </c>
      <c r="H4304" s="13"/>
      <c r="I4304" s="11" t="s">
        <v>4479</v>
      </c>
      <c r="J4304" s="11" t="s">
        <v>2398</v>
      </c>
      <c r="K4304" s="11" t="s">
        <v>17139</v>
      </c>
      <c r="L4304" s="11" t="s">
        <v>20397</v>
      </c>
      <c r="M4304" s="11" t="s">
        <v>20398</v>
      </c>
      <c r="N4304" s="11">
        <v>2081</v>
      </c>
      <c r="O4304" s="11">
        <v>5535</v>
      </c>
      <c r="P4304" s="11">
        <v>2</v>
      </c>
      <c r="Q4304" s="11" t="s">
        <v>20399</v>
      </c>
      <c r="R4304" s="14" t="s">
        <v>20400</v>
      </c>
      <c r="S4304" s="11">
        <v>21</v>
      </c>
      <c r="T4304" s="11" t="s">
        <v>39</v>
      </c>
      <c r="U4304" s="11" t="s">
        <v>58</v>
      </c>
      <c r="V4304" s="11" t="s">
        <v>586</v>
      </c>
      <c r="W4304" s="13"/>
      <c r="X4304" s="11">
        <v>1997</v>
      </c>
      <c r="Y4304" s="11">
        <v>497</v>
      </c>
      <c r="Z4304" s="11">
        <v>7.1</v>
      </c>
      <c r="AA4304" s="11">
        <v>1.85</v>
      </c>
      <c r="AB4304" s="11">
        <v>224</v>
      </c>
      <c r="AC4304" s="11"/>
      <c r="AD4304" s="11" t="str">
        <f>IFERROR(__xludf.DUMMYFUNCTION("""COMPUTED_VALUE"""),"Perdita Weeks")</f>
        <v>Perdita Weeks</v>
      </c>
      <c r="AE4304" s="11"/>
    </row>
    <row r="4305" customHeight="1" spans="1:31">
      <c r="A4305" s="12" t="s">
        <v>30</v>
      </c>
      <c r="B4305" s="12" t="s">
        <v>429</v>
      </c>
      <c r="C4305" s="12">
        <v>74</v>
      </c>
      <c r="D4305" s="12">
        <v>129</v>
      </c>
      <c r="E4305" s="12">
        <v>776</v>
      </c>
      <c r="F4305" s="12">
        <v>256</v>
      </c>
      <c r="G4305" s="12">
        <v>25000</v>
      </c>
      <c r="H4305" s="12">
        <v>186354</v>
      </c>
      <c r="I4305" s="12" t="s">
        <v>3410</v>
      </c>
      <c r="J4305" s="12" t="s">
        <v>3398</v>
      </c>
      <c r="K4305" s="12" t="s">
        <v>19164</v>
      </c>
      <c r="L4305" s="12" t="s">
        <v>925</v>
      </c>
      <c r="M4305" s="12" t="s">
        <v>20401</v>
      </c>
      <c r="N4305" s="12">
        <v>1758</v>
      </c>
      <c r="O4305" s="12">
        <v>26176</v>
      </c>
      <c r="P4305" s="12">
        <v>0</v>
      </c>
      <c r="Q4305" s="12" t="s">
        <v>20402</v>
      </c>
      <c r="R4305" s="15" t="s">
        <v>20403</v>
      </c>
      <c r="S4305" s="12">
        <v>30</v>
      </c>
      <c r="T4305" s="12" t="s">
        <v>39</v>
      </c>
      <c r="U4305" s="12" t="s">
        <v>40</v>
      </c>
      <c r="V4305" s="12" t="s">
        <v>586</v>
      </c>
      <c r="W4305" s="12">
        <v>13500000</v>
      </c>
      <c r="X4305" s="12">
        <v>2015</v>
      </c>
      <c r="Y4305" s="12">
        <v>463</v>
      </c>
      <c r="Z4305" s="12">
        <v>4.5</v>
      </c>
      <c r="AA4305" s="12">
        <v>2.35</v>
      </c>
      <c r="AB4305" s="12">
        <v>0</v>
      </c>
      <c r="AC4305" s="12"/>
      <c r="AD4305" s="12" t="str">
        <f>IFERROR(__xludf.DUMMYFUNCTION("""COMPUTED_VALUE"""),"Cameron Mills")</f>
        <v>Cameron Mills</v>
      </c>
      <c r="AE4305" s="12"/>
    </row>
    <row r="4306" customHeight="1" spans="1:31">
      <c r="A4306" s="11" t="s">
        <v>30</v>
      </c>
      <c r="B4306" s="13"/>
      <c r="C4306" s="11">
        <v>20</v>
      </c>
      <c r="D4306" s="11">
        <v>60</v>
      </c>
      <c r="E4306" s="13"/>
      <c r="F4306" s="11">
        <v>543</v>
      </c>
      <c r="G4306" s="11">
        <v>780</v>
      </c>
      <c r="H4306" s="13"/>
      <c r="I4306" s="11" t="s">
        <v>2257</v>
      </c>
      <c r="J4306" s="11" t="s">
        <v>1047</v>
      </c>
      <c r="K4306" s="11" t="s">
        <v>6926</v>
      </c>
      <c r="L4306" s="11" t="s">
        <v>9642</v>
      </c>
      <c r="M4306" s="11" t="s">
        <v>20404</v>
      </c>
      <c r="N4306" s="11">
        <v>39559</v>
      </c>
      <c r="O4306" s="11">
        <v>4280</v>
      </c>
      <c r="P4306" s="11">
        <v>2</v>
      </c>
      <c r="Q4306" s="11" t="s">
        <v>20405</v>
      </c>
      <c r="R4306" s="14" t="s">
        <v>20406</v>
      </c>
      <c r="S4306" s="11">
        <v>136</v>
      </c>
      <c r="T4306" s="11" t="s">
        <v>39</v>
      </c>
      <c r="U4306" s="11" t="s">
        <v>40</v>
      </c>
      <c r="V4306" s="11" t="s">
        <v>1127</v>
      </c>
      <c r="W4306" s="13"/>
      <c r="X4306" s="13"/>
      <c r="Y4306" s="11">
        <v>747</v>
      </c>
      <c r="Z4306" s="11">
        <v>7.9</v>
      </c>
      <c r="AA4306" s="11">
        <v>1.78</v>
      </c>
      <c r="AB4306" s="11">
        <v>3000</v>
      </c>
      <c r="AC4306" s="11"/>
      <c r="AD4306" s="11" t="str">
        <f>IFERROR(__xludf.DUMMYFUNCTION("""COMPUTED_VALUE"""),"Gene Tierney")</f>
        <v>Gene Tierney</v>
      </c>
      <c r="AE4306" s="11"/>
    </row>
    <row r="4307" customHeight="1" spans="1:31">
      <c r="A4307" s="12" t="s">
        <v>30</v>
      </c>
      <c r="B4307" s="12" t="s">
        <v>20407</v>
      </c>
      <c r="C4307" s="12">
        <v>6</v>
      </c>
      <c r="D4307" s="12">
        <v>93</v>
      </c>
      <c r="E4307" s="12">
        <v>32</v>
      </c>
      <c r="F4307" s="12">
        <v>24</v>
      </c>
      <c r="G4307" s="12">
        <v>532</v>
      </c>
      <c r="H4307" s="12">
        <v>55202</v>
      </c>
      <c r="I4307" s="12" t="s">
        <v>20408</v>
      </c>
      <c r="J4307" s="12" t="s">
        <v>16404</v>
      </c>
      <c r="K4307" s="12" t="s">
        <v>20409</v>
      </c>
      <c r="L4307" s="12" t="s">
        <v>20410</v>
      </c>
      <c r="M4307" s="12" t="s">
        <v>20411</v>
      </c>
      <c r="N4307" s="12">
        <v>922</v>
      </c>
      <c r="O4307" s="12">
        <v>653</v>
      </c>
      <c r="P4307" s="12">
        <v>0</v>
      </c>
      <c r="Q4307" s="12" t="s">
        <v>20412</v>
      </c>
      <c r="R4307" s="15" t="s">
        <v>20413</v>
      </c>
      <c r="S4307" s="12">
        <v>17</v>
      </c>
      <c r="T4307" s="12" t="s">
        <v>5612</v>
      </c>
      <c r="U4307" s="12" t="s">
        <v>5613</v>
      </c>
      <c r="V4307" s="12" t="s">
        <v>96</v>
      </c>
      <c r="W4307" s="16"/>
      <c r="X4307" s="12">
        <v>2008</v>
      </c>
      <c r="Y4307" s="12">
        <v>85</v>
      </c>
      <c r="Z4307" s="12">
        <v>5.3</v>
      </c>
      <c r="AA4307" s="12">
        <v>2.35</v>
      </c>
      <c r="AB4307" s="12">
        <v>39</v>
      </c>
      <c r="AC4307" s="12"/>
      <c r="AD4307" s="12" t="str">
        <f>IFERROR(__xludf.DUMMYFUNCTION("""COMPUTED_VALUE"""),"Lindsay Wagner")</f>
        <v>Lindsay Wagner</v>
      </c>
      <c r="AE4307" s="12"/>
    </row>
    <row r="4308" customHeight="1" spans="1:31">
      <c r="A4308" s="11" t="s">
        <v>30</v>
      </c>
      <c r="B4308" s="11" t="s">
        <v>20414</v>
      </c>
      <c r="C4308" s="11">
        <v>5</v>
      </c>
      <c r="D4308" s="11">
        <v>100</v>
      </c>
      <c r="E4308" s="11">
        <v>84</v>
      </c>
      <c r="F4308" s="11">
        <v>267</v>
      </c>
      <c r="G4308" s="11">
        <v>584</v>
      </c>
      <c r="H4308" s="13"/>
      <c r="I4308" s="11" t="s">
        <v>1936</v>
      </c>
      <c r="J4308" s="11" t="s">
        <v>3555</v>
      </c>
      <c r="K4308" s="11" t="s">
        <v>11857</v>
      </c>
      <c r="L4308" s="11" t="s">
        <v>20415</v>
      </c>
      <c r="M4308" s="11" t="s">
        <v>20416</v>
      </c>
      <c r="N4308" s="11">
        <v>508</v>
      </c>
      <c r="O4308" s="11">
        <v>1307</v>
      </c>
      <c r="P4308" s="11">
        <v>4</v>
      </c>
      <c r="Q4308" s="11" t="s">
        <v>20417</v>
      </c>
      <c r="R4308" s="14" t="s">
        <v>20418</v>
      </c>
      <c r="S4308" s="11">
        <v>18</v>
      </c>
      <c r="T4308" s="11" t="s">
        <v>39</v>
      </c>
      <c r="U4308" s="11" t="s">
        <v>40</v>
      </c>
      <c r="V4308" s="11" t="s">
        <v>4831</v>
      </c>
      <c r="W4308" s="13"/>
      <c r="X4308" s="11">
        <v>2003</v>
      </c>
      <c r="Y4308" s="11">
        <v>356</v>
      </c>
      <c r="Z4308" s="11">
        <v>5.4</v>
      </c>
      <c r="AA4308" s="11">
        <v>1.85</v>
      </c>
      <c r="AB4308" s="11">
        <v>61</v>
      </c>
      <c r="AC4308" s="11"/>
      <c r="AD4308" s="11" t="str">
        <f>IFERROR(__xludf.DUMMYFUNCTION("""COMPUTED_VALUE"""),"Persis Khambatta")</f>
        <v>Persis Khambatta</v>
      </c>
      <c r="AE4308" s="11"/>
    </row>
    <row r="4309" customHeight="1" spans="1:31">
      <c r="A4309" s="12" t="s">
        <v>30</v>
      </c>
      <c r="B4309" s="12" t="s">
        <v>20419</v>
      </c>
      <c r="C4309" s="12">
        <v>10</v>
      </c>
      <c r="D4309" s="12">
        <v>97</v>
      </c>
      <c r="E4309" s="12">
        <v>19</v>
      </c>
      <c r="F4309" s="12">
        <v>395</v>
      </c>
      <c r="G4309" s="12">
        <v>589</v>
      </c>
      <c r="H4309" s="12">
        <v>549632</v>
      </c>
      <c r="I4309" s="12" t="s">
        <v>200</v>
      </c>
      <c r="J4309" s="12" t="s">
        <v>18268</v>
      </c>
      <c r="K4309" s="12" t="s">
        <v>20420</v>
      </c>
      <c r="L4309" s="12" t="s">
        <v>2833</v>
      </c>
      <c r="M4309" s="12" t="s">
        <v>20421</v>
      </c>
      <c r="N4309" s="12">
        <v>1278</v>
      </c>
      <c r="O4309" s="12">
        <v>2522</v>
      </c>
      <c r="P4309" s="16"/>
      <c r="Q4309" s="12" t="s">
        <v>20422</v>
      </c>
      <c r="R4309" s="15" t="s">
        <v>20423</v>
      </c>
      <c r="S4309" s="12">
        <v>16</v>
      </c>
      <c r="T4309" s="12" t="s">
        <v>39</v>
      </c>
      <c r="U4309" s="12" t="s">
        <v>13248</v>
      </c>
      <c r="V4309" s="12" t="s">
        <v>96</v>
      </c>
      <c r="W4309" s="16"/>
      <c r="X4309" s="12">
        <v>2013</v>
      </c>
      <c r="Y4309" s="12">
        <v>488</v>
      </c>
      <c r="Z4309" s="12">
        <v>4.8</v>
      </c>
      <c r="AA4309" s="12">
        <v>2.35</v>
      </c>
      <c r="AB4309" s="12">
        <v>715</v>
      </c>
      <c r="AC4309" s="12"/>
      <c r="AD4309" s="12" t="str">
        <f>IFERROR(__xludf.DUMMYFUNCTION("""COMPUTED_VALUE"""),"Peter Mark Richman")</f>
        <v>Peter Mark Richman</v>
      </c>
      <c r="AE4309" s="12"/>
    </row>
    <row r="4310" customHeight="1" spans="1:31">
      <c r="A4310" s="11" t="s">
        <v>30</v>
      </c>
      <c r="B4310" s="11" t="s">
        <v>5463</v>
      </c>
      <c r="C4310" s="11">
        <v>81</v>
      </c>
      <c r="D4310" s="11">
        <v>94</v>
      </c>
      <c r="E4310" s="11">
        <v>98</v>
      </c>
      <c r="F4310" s="11">
        <v>89</v>
      </c>
      <c r="G4310" s="11">
        <v>10000</v>
      </c>
      <c r="H4310" s="11">
        <v>137945</v>
      </c>
      <c r="I4310" s="11" t="s">
        <v>3464</v>
      </c>
      <c r="J4310" s="11" t="s">
        <v>2456</v>
      </c>
      <c r="K4310" s="11" t="s">
        <v>9112</v>
      </c>
      <c r="L4310" s="11" t="s">
        <v>20424</v>
      </c>
      <c r="M4310" s="11" t="s">
        <v>20425</v>
      </c>
      <c r="N4310" s="11">
        <v>6223</v>
      </c>
      <c r="O4310" s="11">
        <v>10869</v>
      </c>
      <c r="P4310" s="11">
        <v>7</v>
      </c>
      <c r="Q4310" s="11" t="s">
        <v>20426</v>
      </c>
      <c r="R4310" s="14" t="s">
        <v>20427</v>
      </c>
      <c r="S4310" s="11">
        <v>40</v>
      </c>
      <c r="T4310" s="11" t="s">
        <v>39</v>
      </c>
      <c r="U4310" s="11" t="s">
        <v>40</v>
      </c>
      <c r="V4310" s="11" t="s">
        <v>41</v>
      </c>
      <c r="W4310" s="13"/>
      <c r="X4310" s="11">
        <v>2014</v>
      </c>
      <c r="Y4310" s="11">
        <v>773</v>
      </c>
      <c r="Z4310" s="11">
        <v>5.9</v>
      </c>
      <c r="AA4310" s="11">
        <v>2.35</v>
      </c>
      <c r="AB4310" s="11">
        <v>0</v>
      </c>
      <c r="AC4310" s="11"/>
      <c r="AD4310" s="11" t="str">
        <f>IFERROR(__xludf.DUMMYFUNCTION("""COMPUTED_VALUE"""),"Scott Reeves")</f>
        <v>Scott Reeves</v>
      </c>
      <c r="AE4310" s="11"/>
    </row>
    <row r="4311" customHeight="1" spans="1:31">
      <c r="A4311" s="12" t="s">
        <v>30</v>
      </c>
      <c r="B4311" s="12" t="s">
        <v>20428</v>
      </c>
      <c r="C4311" s="12">
        <v>66</v>
      </c>
      <c r="D4311" s="12">
        <v>95</v>
      </c>
      <c r="E4311" s="12">
        <v>8</v>
      </c>
      <c r="F4311" s="12">
        <v>399</v>
      </c>
      <c r="G4311" s="12">
        <v>529</v>
      </c>
      <c r="H4311" s="12">
        <v>17580</v>
      </c>
      <c r="I4311" s="12" t="s">
        <v>3410</v>
      </c>
      <c r="J4311" s="12" t="s">
        <v>3288</v>
      </c>
      <c r="K4311" s="12" t="s">
        <v>5686</v>
      </c>
      <c r="L4311" s="12" t="s">
        <v>4263</v>
      </c>
      <c r="M4311" s="12" t="s">
        <v>20429</v>
      </c>
      <c r="N4311" s="12">
        <v>1268</v>
      </c>
      <c r="O4311" s="12">
        <v>2749</v>
      </c>
      <c r="P4311" s="12">
        <v>3</v>
      </c>
      <c r="Q4311" s="12" t="s">
        <v>20430</v>
      </c>
      <c r="R4311" s="15" t="s">
        <v>20431</v>
      </c>
      <c r="S4311" s="12">
        <v>23</v>
      </c>
      <c r="T4311" s="12" t="s">
        <v>39</v>
      </c>
      <c r="U4311" s="12" t="s">
        <v>40</v>
      </c>
      <c r="V4311" s="16"/>
      <c r="W4311" s="12">
        <v>1500000</v>
      </c>
      <c r="X4311" s="12">
        <v>2009</v>
      </c>
      <c r="Y4311" s="12">
        <v>423</v>
      </c>
      <c r="Z4311" s="12">
        <v>6.2</v>
      </c>
      <c r="AA4311" s="12">
        <v>1.85</v>
      </c>
      <c r="AB4311" s="12">
        <v>195</v>
      </c>
      <c r="AC4311" s="12"/>
      <c r="AD4311" s="12" t="str">
        <f>IFERROR(__xludf.DUMMYFUNCTION("""COMPUTED_VALUE"""),"Rachel Korine")</f>
        <v>Rachel Korine</v>
      </c>
      <c r="AE4311" s="12"/>
    </row>
    <row r="4312" customHeight="1" spans="1:31">
      <c r="A4312" s="11" t="s">
        <v>30</v>
      </c>
      <c r="B4312" s="11" t="s">
        <v>20432</v>
      </c>
      <c r="C4312" s="11">
        <v>46</v>
      </c>
      <c r="D4312" s="11">
        <v>97</v>
      </c>
      <c r="E4312" s="11">
        <v>97</v>
      </c>
      <c r="F4312" s="11">
        <v>163</v>
      </c>
      <c r="G4312" s="11">
        <v>787</v>
      </c>
      <c r="H4312" s="13"/>
      <c r="I4312" s="11" t="s">
        <v>20433</v>
      </c>
      <c r="J4312" s="11" t="s">
        <v>11802</v>
      </c>
      <c r="K4312" s="11" t="s">
        <v>20434</v>
      </c>
      <c r="L4312" s="11" t="s">
        <v>20435</v>
      </c>
      <c r="M4312" s="11" t="s">
        <v>20436</v>
      </c>
      <c r="N4312" s="11">
        <v>10182</v>
      </c>
      <c r="O4312" s="11">
        <v>1362</v>
      </c>
      <c r="P4312" s="11">
        <v>1</v>
      </c>
      <c r="Q4312" s="11" t="s">
        <v>20437</v>
      </c>
      <c r="R4312" s="14" t="s">
        <v>20438</v>
      </c>
      <c r="S4312" s="11">
        <v>130</v>
      </c>
      <c r="T4312" s="11" t="s">
        <v>39</v>
      </c>
      <c r="U4312" s="11" t="s">
        <v>40</v>
      </c>
      <c r="V4312" s="11" t="s">
        <v>586</v>
      </c>
      <c r="W4312" s="11">
        <v>2000000</v>
      </c>
      <c r="X4312" s="11">
        <v>1993</v>
      </c>
      <c r="Y4312" s="11">
        <v>196</v>
      </c>
      <c r="Z4312" s="11">
        <v>5.9</v>
      </c>
      <c r="AA4312" s="11">
        <v>1.85</v>
      </c>
      <c r="AB4312" s="11">
        <v>810</v>
      </c>
      <c r="AC4312" s="11"/>
      <c r="AD4312" s="11" t="str">
        <f>IFERROR(__xludf.DUMMYFUNCTION("""COMPUTED_VALUE"""),"Kim Darby")</f>
        <v>Kim Darby</v>
      </c>
      <c r="AE4312" s="11"/>
    </row>
    <row r="4313" customHeight="1" spans="1:31">
      <c r="A4313" s="12" t="s">
        <v>30</v>
      </c>
      <c r="B4313" s="12" t="s">
        <v>20439</v>
      </c>
      <c r="C4313" s="12">
        <v>34</v>
      </c>
      <c r="D4313" s="12">
        <v>92</v>
      </c>
      <c r="E4313" s="12">
        <v>11</v>
      </c>
      <c r="F4313" s="12">
        <v>1000</v>
      </c>
      <c r="G4313" s="12">
        <v>26000</v>
      </c>
      <c r="H4313" s="12">
        <v>12667</v>
      </c>
      <c r="I4313" s="12" t="s">
        <v>214</v>
      </c>
      <c r="J4313" s="12" t="s">
        <v>335</v>
      </c>
      <c r="K4313" s="12" t="s">
        <v>222</v>
      </c>
      <c r="L4313" s="12" t="s">
        <v>6712</v>
      </c>
      <c r="M4313" s="12" t="s">
        <v>20440</v>
      </c>
      <c r="N4313" s="12">
        <v>19336</v>
      </c>
      <c r="O4313" s="12">
        <v>39518</v>
      </c>
      <c r="P4313" s="12">
        <v>2</v>
      </c>
      <c r="Q4313" s="12" t="s">
        <v>20441</v>
      </c>
      <c r="R4313" s="15" t="s">
        <v>20442</v>
      </c>
      <c r="S4313" s="12">
        <v>90</v>
      </c>
      <c r="T4313" s="12" t="s">
        <v>39</v>
      </c>
      <c r="U4313" s="12" t="s">
        <v>58</v>
      </c>
      <c r="V4313" s="12" t="s">
        <v>586</v>
      </c>
      <c r="W4313" s="12">
        <v>14000</v>
      </c>
      <c r="X4313" s="12">
        <v>2005</v>
      </c>
      <c r="Y4313" s="12">
        <v>11000</v>
      </c>
      <c r="Z4313" s="12">
        <v>6.6</v>
      </c>
      <c r="AA4313" s="12">
        <v>2.35</v>
      </c>
      <c r="AB4313" s="12">
        <v>0</v>
      </c>
      <c r="AC4313" s="12"/>
      <c r="AD4313" s="12" t="str">
        <f>IFERROR(__xludf.DUMMYFUNCTION("""COMPUTED_VALUE"""),"Daniel Giménez Cacho")</f>
        <v>Daniel Giménez Cacho</v>
      </c>
      <c r="AE4313" s="12"/>
    </row>
    <row r="4314" customHeight="1" spans="1:31">
      <c r="A4314" s="11" t="s">
        <v>30</v>
      </c>
      <c r="B4314" s="11" t="s">
        <v>20443</v>
      </c>
      <c r="C4314" s="11">
        <v>78</v>
      </c>
      <c r="D4314" s="11">
        <v>96</v>
      </c>
      <c r="E4314" s="11">
        <v>38</v>
      </c>
      <c r="F4314" s="11">
        <v>85</v>
      </c>
      <c r="G4314" s="11">
        <v>363</v>
      </c>
      <c r="H4314" s="11">
        <v>198407</v>
      </c>
      <c r="I4314" s="11" t="s">
        <v>3410</v>
      </c>
      <c r="J4314" s="11" t="s">
        <v>12516</v>
      </c>
      <c r="K4314" s="11" t="s">
        <v>9885</v>
      </c>
      <c r="L4314" s="11" t="s">
        <v>20444</v>
      </c>
      <c r="M4314" s="11" t="s">
        <v>20445</v>
      </c>
      <c r="N4314" s="11">
        <v>10282</v>
      </c>
      <c r="O4314" s="11">
        <v>774</v>
      </c>
      <c r="P4314" s="11">
        <v>1</v>
      </c>
      <c r="Q4314" s="11" t="s">
        <v>20446</v>
      </c>
      <c r="R4314" s="14" t="s">
        <v>20447</v>
      </c>
      <c r="S4314" s="11">
        <v>78</v>
      </c>
      <c r="T4314" s="11" t="s">
        <v>39</v>
      </c>
      <c r="U4314" s="11" t="s">
        <v>40</v>
      </c>
      <c r="V4314" s="11" t="s">
        <v>586</v>
      </c>
      <c r="W4314" s="11">
        <v>2000000</v>
      </c>
      <c r="X4314" s="11">
        <v>2006</v>
      </c>
      <c r="Y4314" s="11">
        <v>223</v>
      </c>
      <c r="Z4314" s="11">
        <v>6.6</v>
      </c>
      <c r="AA4314" s="11">
        <v>1.85</v>
      </c>
      <c r="AB4314" s="11">
        <v>474</v>
      </c>
      <c r="AC4314" s="11"/>
      <c r="AD4314" s="11" t="str">
        <f>IFERROR(__xludf.DUMMYFUNCTION("""COMPUTED_VALUE"""),"María Aura")</f>
        <v>María Aura</v>
      </c>
      <c r="AE4314" s="11"/>
    </row>
    <row r="4315" customHeight="1" spans="1:31">
      <c r="A4315" s="12" t="s">
        <v>30</v>
      </c>
      <c r="B4315" s="12" t="s">
        <v>9835</v>
      </c>
      <c r="C4315" s="12">
        <v>52</v>
      </c>
      <c r="D4315" s="12">
        <v>85</v>
      </c>
      <c r="E4315" s="12">
        <v>54</v>
      </c>
      <c r="F4315" s="12">
        <v>455</v>
      </c>
      <c r="G4315" s="12">
        <v>985</v>
      </c>
      <c r="H4315" s="12">
        <v>13973532</v>
      </c>
      <c r="I4315" s="12" t="s">
        <v>1009</v>
      </c>
      <c r="J4315" s="12" t="s">
        <v>9054</v>
      </c>
      <c r="K4315" s="12" t="s">
        <v>3180</v>
      </c>
      <c r="L4315" s="12" t="s">
        <v>4528</v>
      </c>
      <c r="M4315" s="12" t="s">
        <v>9836</v>
      </c>
      <c r="N4315" s="12">
        <v>11211</v>
      </c>
      <c r="O4315" s="12">
        <v>3065</v>
      </c>
      <c r="P4315" s="12">
        <v>1</v>
      </c>
      <c r="Q4315" s="12" t="s">
        <v>9837</v>
      </c>
      <c r="R4315" s="15" t="s">
        <v>9838</v>
      </c>
      <c r="S4315" s="12">
        <v>92</v>
      </c>
      <c r="T4315" s="12" t="s">
        <v>39</v>
      </c>
      <c r="U4315" s="12" t="s">
        <v>40</v>
      </c>
      <c r="V4315" s="12" t="s">
        <v>41</v>
      </c>
      <c r="W4315" s="12">
        <v>25000000</v>
      </c>
      <c r="X4315" s="12">
        <v>2002</v>
      </c>
      <c r="Y4315" s="12">
        <v>637</v>
      </c>
      <c r="Z4315" s="12">
        <v>5.1</v>
      </c>
      <c r="AA4315" s="12">
        <v>1.85</v>
      </c>
      <c r="AB4315" s="12">
        <v>215</v>
      </c>
      <c r="AC4315" s="12"/>
      <c r="AD4315" s="12" t="str">
        <f>IFERROR(__xludf.DUMMYFUNCTION("""COMPUTED_VALUE"""),"Peter Serafinowicz")</f>
        <v>Peter Serafinowicz</v>
      </c>
      <c r="AE4315" s="12"/>
    </row>
    <row r="4316" customHeight="1" spans="1:31">
      <c r="A4316" s="11" t="s">
        <v>30</v>
      </c>
      <c r="B4316" s="11" t="s">
        <v>20448</v>
      </c>
      <c r="C4316" s="11">
        <v>29</v>
      </c>
      <c r="D4316" s="11">
        <v>87</v>
      </c>
      <c r="E4316" s="11">
        <v>0</v>
      </c>
      <c r="F4316" s="11">
        <v>94</v>
      </c>
      <c r="G4316" s="11">
        <v>160</v>
      </c>
      <c r="H4316" s="13"/>
      <c r="I4316" s="11" t="s">
        <v>17529</v>
      </c>
      <c r="J4316" s="11" t="s">
        <v>20449</v>
      </c>
      <c r="K4316" s="11" t="s">
        <v>20450</v>
      </c>
      <c r="L4316" s="11" t="s">
        <v>20451</v>
      </c>
      <c r="M4316" s="11" t="s">
        <v>20452</v>
      </c>
      <c r="N4316" s="11">
        <v>13279</v>
      </c>
      <c r="O4316" s="11">
        <v>776</v>
      </c>
      <c r="P4316" s="11">
        <v>0</v>
      </c>
      <c r="Q4316" s="11" t="s">
        <v>20453</v>
      </c>
      <c r="R4316" s="14" t="s">
        <v>20454</v>
      </c>
      <c r="S4316" s="11">
        <v>59</v>
      </c>
      <c r="T4316" s="11" t="s">
        <v>39</v>
      </c>
      <c r="U4316" s="11" t="s">
        <v>40</v>
      </c>
      <c r="V4316" s="11" t="s">
        <v>4831</v>
      </c>
      <c r="W4316" s="13"/>
      <c r="X4316" s="11">
        <v>2015</v>
      </c>
      <c r="Y4316" s="11">
        <v>152</v>
      </c>
      <c r="Z4316" s="11">
        <v>6</v>
      </c>
      <c r="AA4316" s="13"/>
      <c r="AB4316" s="11">
        <v>0</v>
      </c>
      <c r="AC4316" s="11"/>
      <c r="AD4316" s="11" t="str">
        <f>IFERROR(__xludf.DUMMYFUNCTION("""COMPUTED_VALUE"""),"Randy Wayne")</f>
        <v>Randy Wayne</v>
      </c>
      <c r="AE4316" s="11"/>
    </row>
    <row r="4317" customHeight="1" spans="1:31">
      <c r="A4317" s="12" t="s">
        <v>30</v>
      </c>
      <c r="B4317" s="12" t="s">
        <v>12749</v>
      </c>
      <c r="C4317" s="12">
        <v>161</v>
      </c>
      <c r="D4317" s="12">
        <v>91</v>
      </c>
      <c r="E4317" s="12">
        <v>43</v>
      </c>
      <c r="F4317" s="12">
        <v>418</v>
      </c>
      <c r="G4317" s="12">
        <v>13000</v>
      </c>
      <c r="H4317" s="12">
        <v>5824</v>
      </c>
      <c r="I4317" s="12" t="s">
        <v>5544</v>
      </c>
      <c r="J4317" s="12" t="s">
        <v>459</v>
      </c>
      <c r="K4317" s="12" t="s">
        <v>3690</v>
      </c>
      <c r="L4317" s="12" t="s">
        <v>20455</v>
      </c>
      <c r="M4317" s="12" t="s">
        <v>20456</v>
      </c>
      <c r="N4317" s="12">
        <v>57811</v>
      </c>
      <c r="O4317" s="12">
        <v>14561</v>
      </c>
      <c r="P4317" s="12">
        <v>1</v>
      </c>
      <c r="Q4317" s="12" t="s">
        <v>20457</v>
      </c>
      <c r="R4317" s="15" t="s">
        <v>20458</v>
      </c>
      <c r="S4317" s="12">
        <v>357</v>
      </c>
      <c r="T4317" s="12" t="s">
        <v>39</v>
      </c>
      <c r="U4317" s="12" t="s">
        <v>58</v>
      </c>
      <c r="V4317" s="12" t="s">
        <v>586</v>
      </c>
      <c r="W4317" s="16"/>
      <c r="X4317" s="12">
        <v>2008</v>
      </c>
      <c r="Y4317" s="12">
        <v>698</v>
      </c>
      <c r="Z4317" s="12">
        <v>6.8</v>
      </c>
      <c r="AA4317" s="12">
        <v>2.35</v>
      </c>
      <c r="AB4317" s="12">
        <v>0</v>
      </c>
      <c r="AC4317" s="12"/>
      <c r="AD4317" s="12" t="str">
        <f>IFERROR(__xludf.DUMMYFUNCTION("""COMPUTED_VALUE"""),"Miriam Colon")</f>
        <v>Miriam Colon</v>
      </c>
      <c r="AE4317" s="12"/>
    </row>
    <row r="4318" customHeight="1" spans="1:31">
      <c r="A4318" s="11" t="s">
        <v>30</v>
      </c>
      <c r="B4318" s="11" t="s">
        <v>6149</v>
      </c>
      <c r="C4318" s="11">
        <v>18</v>
      </c>
      <c r="D4318" s="11">
        <v>99</v>
      </c>
      <c r="E4318" s="11">
        <v>308</v>
      </c>
      <c r="F4318" s="11">
        <v>395</v>
      </c>
      <c r="G4318" s="11">
        <v>638</v>
      </c>
      <c r="H4318" s="11">
        <v>2843</v>
      </c>
      <c r="I4318" s="11" t="s">
        <v>10413</v>
      </c>
      <c r="J4318" s="11" t="s">
        <v>3224</v>
      </c>
      <c r="K4318" s="11" t="s">
        <v>16020</v>
      </c>
      <c r="L4318" s="11" t="s">
        <v>20459</v>
      </c>
      <c r="M4318" s="11" t="s">
        <v>20460</v>
      </c>
      <c r="N4318" s="11">
        <v>2895</v>
      </c>
      <c r="O4318" s="11">
        <v>2341</v>
      </c>
      <c r="P4318" s="11">
        <v>2</v>
      </c>
      <c r="Q4318" s="11" t="s">
        <v>20461</v>
      </c>
      <c r="R4318" s="14" t="s">
        <v>20462</v>
      </c>
      <c r="S4318" s="11">
        <v>24</v>
      </c>
      <c r="T4318" s="11" t="s">
        <v>39</v>
      </c>
      <c r="U4318" s="11" t="s">
        <v>40</v>
      </c>
      <c r="V4318" s="11" t="s">
        <v>586</v>
      </c>
      <c r="W4318" s="13"/>
      <c r="X4318" s="11">
        <v>2013</v>
      </c>
      <c r="Y4318" s="11">
        <v>449</v>
      </c>
      <c r="Z4318" s="11">
        <v>5.4</v>
      </c>
      <c r="AA4318" s="11">
        <v>1.78</v>
      </c>
      <c r="AB4318" s="11">
        <v>604</v>
      </c>
      <c r="AC4318" s="11"/>
      <c r="AD4318" s="11" t="str">
        <f>IFERROR(__xludf.DUMMYFUNCTION("""COMPUTED_VALUE"""),"Kathleen Kinmont")</f>
        <v>Kathleen Kinmont</v>
      </c>
      <c r="AE4318" s="11"/>
    </row>
    <row r="4319" customHeight="1" spans="1:31">
      <c r="A4319" s="12" t="s">
        <v>30</v>
      </c>
      <c r="B4319" s="12" t="s">
        <v>20463</v>
      </c>
      <c r="C4319" s="12">
        <v>107</v>
      </c>
      <c r="D4319" s="12">
        <v>88</v>
      </c>
      <c r="E4319" s="12">
        <v>6</v>
      </c>
      <c r="F4319" s="12">
        <v>161</v>
      </c>
      <c r="G4319" s="12">
        <v>513</v>
      </c>
      <c r="H4319" s="16"/>
      <c r="I4319" s="12" t="s">
        <v>20464</v>
      </c>
      <c r="J4319" s="12" t="s">
        <v>16521</v>
      </c>
      <c r="K4319" s="12" t="s">
        <v>1550</v>
      </c>
      <c r="L4319" s="12" t="s">
        <v>20465</v>
      </c>
      <c r="M4319" s="12" t="s">
        <v>20466</v>
      </c>
      <c r="N4319" s="12">
        <v>17296</v>
      </c>
      <c r="O4319" s="12">
        <v>1593</v>
      </c>
      <c r="P4319" s="12">
        <v>3</v>
      </c>
      <c r="Q4319" s="12" t="s">
        <v>20467</v>
      </c>
      <c r="R4319" s="15" t="s">
        <v>20468</v>
      </c>
      <c r="S4319" s="12">
        <v>91</v>
      </c>
      <c r="T4319" s="12" t="s">
        <v>39</v>
      </c>
      <c r="U4319" s="12" t="s">
        <v>58</v>
      </c>
      <c r="V4319" s="12" t="s">
        <v>586</v>
      </c>
      <c r="W4319" s="16"/>
      <c r="X4319" s="12">
        <v>2009</v>
      </c>
      <c r="Y4319" s="12">
        <v>480</v>
      </c>
      <c r="Z4319" s="12">
        <v>5.2</v>
      </c>
      <c r="AA4319" s="12">
        <v>2.35</v>
      </c>
      <c r="AB4319" s="12">
        <v>0</v>
      </c>
      <c r="AC4319" s="12"/>
      <c r="AD4319" s="12" t="str">
        <f>IFERROR(__xludf.DUMMYFUNCTION("""COMPUTED_VALUE"""),"Ellie Cornell")</f>
        <v>Ellie Cornell</v>
      </c>
      <c r="AE4319" s="12"/>
    </row>
    <row r="4320" customHeight="1" spans="1:31">
      <c r="A4320" s="11" t="s">
        <v>30</v>
      </c>
      <c r="B4320" s="11" t="s">
        <v>20469</v>
      </c>
      <c r="C4320" s="11">
        <v>30</v>
      </c>
      <c r="D4320" s="11">
        <v>119</v>
      </c>
      <c r="E4320" s="11">
        <v>5</v>
      </c>
      <c r="F4320" s="11">
        <v>12</v>
      </c>
      <c r="G4320" s="11">
        <v>29</v>
      </c>
      <c r="H4320" s="11">
        <v>4958</v>
      </c>
      <c r="I4320" s="11" t="s">
        <v>15140</v>
      </c>
      <c r="J4320" s="11" t="s">
        <v>19417</v>
      </c>
      <c r="K4320" s="11" t="s">
        <v>20470</v>
      </c>
      <c r="L4320" s="11" t="s">
        <v>20471</v>
      </c>
      <c r="M4320" s="11" t="s">
        <v>20472</v>
      </c>
      <c r="N4320" s="11">
        <v>9689</v>
      </c>
      <c r="O4320" s="11">
        <v>86</v>
      </c>
      <c r="P4320" s="11">
        <v>2</v>
      </c>
      <c r="Q4320" s="11" t="s">
        <v>20473</v>
      </c>
      <c r="R4320" s="14" t="s">
        <v>20474</v>
      </c>
      <c r="S4320" s="11">
        <v>23</v>
      </c>
      <c r="T4320" s="11" t="s">
        <v>39</v>
      </c>
      <c r="U4320" s="11" t="s">
        <v>8145</v>
      </c>
      <c r="V4320" s="11" t="s">
        <v>586</v>
      </c>
      <c r="W4320" s="11">
        <v>2000000</v>
      </c>
      <c r="X4320" s="11">
        <v>2008</v>
      </c>
      <c r="Y4320" s="11">
        <v>18</v>
      </c>
      <c r="Z4320" s="11">
        <v>7.8</v>
      </c>
      <c r="AA4320" s="11">
        <v>2.35</v>
      </c>
      <c r="AB4320" s="11">
        <v>1000</v>
      </c>
      <c r="AC4320" s="11"/>
      <c r="AD4320" s="11" t="str">
        <f>IFERROR(__xludf.DUMMYFUNCTION("""COMPUTED_VALUE"""),"Deborah Foreman")</f>
        <v>Deborah Foreman</v>
      </c>
      <c r="AE4320" s="11"/>
    </row>
    <row r="4321" customHeight="1" spans="1:31">
      <c r="A4321" s="12" t="s">
        <v>30</v>
      </c>
      <c r="B4321" s="12" t="s">
        <v>20475</v>
      </c>
      <c r="C4321" s="12">
        <v>24</v>
      </c>
      <c r="D4321" s="12">
        <v>99</v>
      </c>
      <c r="E4321" s="12">
        <v>0</v>
      </c>
      <c r="F4321" s="12">
        <v>268</v>
      </c>
      <c r="G4321" s="12">
        <v>766</v>
      </c>
      <c r="H4321" s="16"/>
      <c r="I4321" s="12" t="s">
        <v>2126</v>
      </c>
      <c r="J4321" s="12" t="s">
        <v>965</v>
      </c>
      <c r="K4321" s="12" t="s">
        <v>6217</v>
      </c>
      <c r="L4321" s="12" t="s">
        <v>3819</v>
      </c>
      <c r="M4321" s="12" t="s">
        <v>20476</v>
      </c>
      <c r="N4321" s="12">
        <v>2588</v>
      </c>
      <c r="O4321" s="12">
        <v>1650</v>
      </c>
      <c r="P4321" s="12">
        <v>1</v>
      </c>
      <c r="Q4321" s="12" t="s">
        <v>20477</v>
      </c>
      <c r="R4321" s="15" t="s">
        <v>20478</v>
      </c>
      <c r="S4321" s="12">
        <v>41</v>
      </c>
      <c r="T4321" s="12" t="s">
        <v>39</v>
      </c>
      <c r="U4321" s="12" t="s">
        <v>58</v>
      </c>
      <c r="V4321" s="12" t="s">
        <v>586</v>
      </c>
      <c r="W4321" s="12">
        <v>2000000</v>
      </c>
      <c r="X4321" s="12">
        <v>2004</v>
      </c>
      <c r="Y4321" s="12">
        <v>312</v>
      </c>
      <c r="Z4321" s="12">
        <v>6.4</v>
      </c>
      <c r="AA4321" s="12">
        <v>2.35</v>
      </c>
      <c r="AB4321" s="12">
        <v>205</v>
      </c>
      <c r="AC4321" s="12"/>
      <c r="AD4321" s="12" t="str">
        <f>IFERROR(__xludf.DUMMYFUNCTION("""COMPUTED_VALUE"""),"Clayton Rohner")</f>
        <v>Clayton Rohner</v>
      </c>
      <c r="AE4321" s="12"/>
    </row>
    <row r="4322" customHeight="1" spans="1:31">
      <c r="A4322" s="11" t="s">
        <v>30</v>
      </c>
      <c r="B4322" s="11" t="s">
        <v>20479</v>
      </c>
      <c r="C4322" s="11">
        <v>116</v>
      </c>
      <c r="D4322" s="11">
        <v>92</v>
      </c>
      <c r="E4322" s="11">
        <v>6</v>
      </c>
      <c r="F4322" s="11">
        <v>103</v>
      </c>
      <c r="G4322" s="11">
        <v>253</v>
      </c>
      <c r="H4322" s="13"/>
      <c r="I4322" s="11" t="s">
        <v>6403</v>
      </c>
      <c r="J4322" s="11" t="s">
        <v>12040</v>
      </c>
      <c r="K4322" s="11" t="s">
        <v>20480</v>
      </c>
      <c r="L4322" s="11" t="s">
        <v>20481</v>
      </c>
      <c r="M4322" s="11" t="s">
        <v>20482</v>
      </c>
      <c r="N4322" s="11">
        <v>40380</v>
      </c>
      <c r="O4322" s="11">
        <v>762</v>
      </c>
      <c r="P4322" s="11">
        <v>0</v>
      </c>
      <c r="Q4322" s="11" t="s">
        <v>20483</v>
      </c>
      <c r="R4322" s="14" t="s">
        <v>20484</v>
      </c>
      <c r="S4322" s="11">
        <v>235</v>
      </c>
      <c r="T4322" s="11" t="s">
        <v>39</v>
      </c>
      <c r="U4322" s="11" t="s">
        <v>269</v>
      </c>
      <c r="V4322" s="11" t="s">
        <v>4831</v>
      </c>
      <c r="W4322" s="11">
        <v>100000</v>
      </c>
      <c r="X4322" s="11">
        <v>2011</v>
      </c>
      <c r="Y4322" s="11">
        <v>113</v>
      </c>
      <c r="Z4322" s="11">
        <v>6.1</v>
      </c>
      <c r="AA4322" s="11">
        <v>1.78</v>
      </c>
      <c r="AB4322" s="11">
        <v>0</v>
      </c>
      <c r="AC4322" s="11"/>
      <c r="AD4322" s="11" t="str">
        <f>IFERROR(__xludf.DUMMYFUNCTION("""COMPUTED_VALUE"""),"William Sanderson")</f>
        <v>William Sanderson</v>
      </c>
      <c r="AE4322" s="11"/>
    </row>
    <row r="4323" customHeight="1" spans="1:31">
      <c r="A4323" s="12" t="s">
        <v>30</v>
      </c>
      <c r="B4323" s="12" t="s">
        <v>20485</v>
      </c>
      <c r="C4323" s="12">
        <v>98</v>
      </c>
      <c r="D4323" s="12">
        <v>86</v>
      </c>
      <c r="E4323" s="12">
        <v>5</v>
      </c>
      <c r="F4323" s="12">
        <v>47</v>
      </c>
      <c r="G4323" s="12">
        <v>121</v>
      </c>
      <c r="H4323" s="16"/>
      <c r="I4323" s="12" t="s">
        <v>7579</v>
      </c>
      <c r="J4323" s="12" t="s">
        <v>20486</v>
      </c>
      <c r="K4323" s="12" t="s">
        <v>20487</v>
      </c>
      <c r="L4323" s="12" t="s">
        <v>20488</v>
      </c>
      <c r="M4323" s="12" t="s">
        <v>20489</v>
      </c>
      <c r="N4323" s="12">
        <v>6585</v>
      </c>
      <c r="O4323" s="12">
        <v>322</v>
      </c>
      <c r="P4323" s="12">
        <v>0</v>
      </c>
      <c r="Q4323" s="12" t="s">
        <v>20490</v>
      </c>
      <c r="R4323" s="15" t="s">
        <v>20491</v>
      </c>
      <c r="S4323" s="12">
        <v>53</v>
      </c>
      <c r="T4323" s="12" t="s">
        <v>39</v>
      </c>
      <c r="U4323" s="12" t="s">
        <v>7988</v>
      </c>
      <c r="V4323" s="12" t="s">
        <v>586</v>
      </c>
      <c r="W4323" s="16"/>
      <c r="X4323" s="12">
        <v>2012</v>
      </c>
      <c r="Y4323" s="12">
        <v>94</v>
      </c>
      <c r="Z4323" s="12">
        <v>5.7</v>
      </c>
      <c r="AA4323" s="12">
        <v>1.85</v>
      </c>
      <c r="AB4323" s="12">
        <v>0</v>
      </c>
      <c r="AC4323" s="12"/>
      <c r="AD4323" s="12" t="str">
        <f>IFERROR(__xludf.DUMMYFUNCTION("""COMPUTED_VALUE"""),"Robert Beltran")</f>
        <v>Robert Beltran</v>
      </c>
      <c r="AE4323" s="12"/>
    </row>
    <row r="4324" customHeight="1" spans="1:31">
      <c r="A4324" s="11" t="s">
        <v>30</v>
      </c>
      <c r="B4324" s="11" t="s">
        <v>20492</v>
      </c>
      <c r="C4324" s="11">
        <v>25</v>
      </c>
      <c r="D4324" s="11">
        <v>83</v>
      </c>
      <c r="E4324" s="11">
        <v>0</v>
      </c>
      <c r="F4324" s="11">
        <v>107</v>
      </c>
      <c r="G4324" s="11">
        <v>413</v>
      </c>
      <c r="H4324" s="13"/>
      <c r="I4324" s="11" t="s">
        <v>2348</v>
      </c>
      <c r="J4324" s="11" t="s">
        <v>20493</v>
      </c>
      <c r="K4324" s="11" t="s">
        <v>20494</v>
      </c>
      <c r="L4324" s="11" t="s">
        <v>10783</v>
      </c>
      <c r="M4324" s="11" t="s">
        <v>20495</v>
      </c>
      <c r="N4324" s="11">
        <v>9280</v>
      </c>
      <c r="O4324" s="11">
        <v>1149</v>
      </c>
      <c r="P4324" s="11">
        <v>0</v>
      </c>
      <c r="Q4324" s="11" t="s">
        <v>20496</v>
      </c>
      <c r="R4324" s="14" t="s">
        <v>20497</v>
      </c>
      <c r="S4324" s="11">
        <v>64</v>
      </c>
      <c r="T4324" s="11" t="s">
        <v>39</v>
      </c>
      <c r="U4324" s="11" t="s">
        <v>40</v>
      </c>
      <c r="V4324" s="11" t="s">
        <v>586</v>
      </c>
      <c r="W4324" s="11">
        <v>2000000</v>
      </c>
      <c r="X4324" s="11">
        <v>2010</v>
      </c>
      <c r="Y4324" s="11">
        <v>167</v>
      </c>
      <c r="Z4324" s="11">
        <v>5.5</v>
      </c>
      <c r="AA4324" s="11">
        <v>2.35</v>
      </c>
      <c r="AB4324" s="11">
        <v>0</v>
      </c>
      <c r="AC4324" s="11"/>
      <c r="AD4324" s="11" t="str">
        <f>IFERROR(__xludf.DUMMYFUNCTION("""COMPUTED_VALUE"""),"Ryan Robbins")</f>
        <v>Ryan Robbins</v>
      </c>
      <c r="AE4324" s="11"/>
    </row>
    <row r="4325" customHeight="1" spans="1:31">
      <c r="A4325" s="12" t="s">
        <v>30</v>
      </c>
      <c r="B4325" s="12" t="s">
        <v>20498</v>
      </c>
      <c r="C4325" s="16"/>
      <c r="D4325" s="12">
        <v>81</v>
      </c>
      <c r="E4325" s="12">
        <v>0</v>
      </c>
      <c r="F4325" s="12">
        <v>8</v>
      </c>
      <c r="G4325" s="12">
        <v>674</v>
      </c>
      <c r="H4325" s="16"/>
      <c r="I4325" s="12" t="s">
        <v>68</v>
      </c>
      <c r="J4325" s="12" t="s">
        <v>20499</v>
      </c>
      <c r="K4325" s="12" t="s">
        <v>20500</v>
      </c>
      <c r="L4325" s="12" t="s">
        <v>20501</v>
      </c>
      <c r="M4325" s="12" t="s">
        <v>20502</v>
      </c>
      <c r="N4325" s="12">
        <v>7</v>
      </c>
      <c r="O4325" s="12">
        <v>712</v>
      </c>
      <c r="P4325" s="12">
        <v>0</v>
      </c>
      <c r="Q4325" s="16"/>
      <c r="R4325" s="15" t="s">
        <v>20503</v>
      </c>
      <c r="S4325" s="16"/>
      <c r="T4325" s="12" t="s">
        <v>39</v>
      </c>
      <c r="U4325" s="12" t="s">
        <v>58</v>
      </c>
      <c r="V4325" s="16"/>
      <c r="W4325" s="12">
        <v>2000000</v>
      </c>
      <c r="X4325" s="12">
        <v>2015</v>
      </c>
      <c r="Y4325" s="12">
        <v>27</v>
      </c>
      <c r="Z4325" s="12">
        <v>7.4</v>
      </c>
      <c r="AA4325" s="16"/>
      <c r="AB4325" s="12">
        <v>0</v>
      </c>
      <c r="AC4325" s="12"/>
      <c r="AD4325" s="12" t="str">
        <f>IFERROR(__xludf.DUMMYFUNCTION("""COMPUTED_VALUE"""),"Andrew Airlie")</f>
        <v>Andrew Airlie</v>
      </c>
      <c r="AE4325" s="12"/>
    </row>
    <row r="4326" customHeight="1" spans="1:31">
      <c r="A4326" s="11" t="s">
        <v>30</v>
      </c>
      <c r="B4326" s="11" t="s">
        <v>4004</v>
      </c>
      <c r="C4326" s="11">
        <v>40</v>
      </c>
      <c r="D4326" s="11">
        <v>82</v>
      </c>
      <c r="E4326" s="11">
        <v>11000</v>
      </c>
      <c r="F4326" s="11">
        <v>167</v>
      </c>
      <c r="G4326" s="11">
        <v>11000</v>
      </c>
      <c r="H4326" s="13"/>
      <c r="I4326" s="11" t="s">
        <v>1672</v>
      </c>
      <c r="J4326" s="11" t="s">
        <v>4004</v>
      </c>
      <c r="K4326" s="11" t="s">
        <v>20504</v>
      </c>
      <c r="L4326" s="11" t="s">
        <v>18244</v>
      </c>
      <c r="M4326" s="11" t="s">
        <v>20505</v>
      </c>
      <c r="N4326" s="11">
        <v>27646</v>
      </c>
      <c r="O4326" s="11">
        <v>11700</v>
      </c>
      <c r="P4326" s="11">
        <v>3</v>
      </c>
      <c r="Q4326" s="11" t="s">
        <v>20506</v>
      </c>
      <c r="R4326" s="14" t="s">
        <v>20507</v>
      </c>
      <c r="S4326" s="11">
        <v>105</v>
      </c>
      <c r="T4326" s="11" t="s">
        <v>39</v>
      </c>
      <c r="U4326" s="11" t="s">
        <v>40</v>
      </c>
      <c r="V4326" s="11" t="s">
        <v>14105</v>
      </c>
      <c r="W4326" s="11">
        <v>2000000</v>
      </c>
      <c r="X4326" s="11">
        <v>1971</v>
      </c>
      <c r="Y4326" s="11">
        <v>430</v>
      </c>
      <c r="Z4326" s="11">
        <v>7.1</v>
      </c>
      <c r="AA4326" s="11">
        <v>1.37</v>
      </c>
      <c r="AB4326" s="11">
        <v>0</v>
      </c>
      <c r="AC4326" s="11"/>
      <c r="AD4326" s="11" t="str">
        <f>IFERROR(__xludf.DUMMYFUNCTION("""COMPUTED_VALUE"""),"Sterling Jerins")</f>
        <v>Sterling Jerins</v>
      </c>
      <c r="AE4326" s="11"/>
    </row>
    <row r="4327" customHeight="1" spans="1:31">
      <c r="A4327" s="12" t="s">
        <v>30</v>
      </c>
      <c r="B4327" s="12" t="s">
        <v>20508</v>
      </c>
      <c r="C4327" s="12">
        <v>20</v>
      </c>
      <c r="D4327" s="12">
        <v>102</v>
      </c>
      <c r="E4327" s="12">
        <v>0</v>
      </c>
      <c r="F4327" s="12">
        <v>46</v>
      </c>
      <c r="G4327" s="12">
        <v>473</v>
      </c>
      <c r="H4327" s="12">
        <v>13220</v>
      </c>
      <c r="I4327" s="12" t="s">
        <v>10413</v>
      </c>
      <c r="J4327" s="12" t="s">
        <v>20509</v>
      </c>
      <c r="K4327" s="12" t="s">
        <v>13319</v>
      </c>
      <c r="L4327" s="12" t="s">
        <v>20510</v>
      </c>
      <c r="M4327" s="12" t="s">
        <v>20511</v>
      </c>
      <c r="N4327" s="12">
        <v>289</v>
      </c>
      <c r="O4327" s="12">
        <v>892</v>
      </c>
      <c r="P4327" s="12">
        <v>0</v>
      </c>
      <c r="Q4327" s="16"/>
      <c r="R4327" s="15" t="s">
        <v>20512</v>
      </c>
      <c r="S4327" s="12">
        <v>9</v>
      </c>
      <c r="T4327" s="12" t="s">
        <v>39</v>
      </c>
      <c r="U4327" s="12" t="s">
        <v>40</v>
      </c>
      <c r="V4327" s="12" t="s">
        <v>4831</v>
      </c>
      <c r="W4327" s="16"/>
      <c r="X4327" s="12">
        <v>2012</v>
      </c>
      <c r="Y4327" s="12">
        <v>303</v>
      </c>
      <c r="Z4327" s="12">
        <v>3.9</v>
      </c>
      <c r="AA4327" s="16"/>
      <c r="AB4327" s="12">
        <v>115</v>
      </c>
      <c r="AC4327" s="12"/>
      <c r="AD4327" s="12" t="str">
        <f>IFERROR(__xludf.DUMMYFUNCTION("""COMPUTED_VALUE"""),"Claire Geare")</f>
        <v>Claire Geare</v>
      </c>
      <c r="AE4327" s="12"/>
    </row>
    <row r="4328" customHeight="1" spans="1:31">
      <c r="A4328" s="11" t="s">
        <v>30</v>
      </c>
      <c r="B4328" s="11" t="s">
        <v>20513</v>
      </c>
      <c r="C4328" s="11">
        <v>8</v>
      </c>
      <c r="D4328" s="11">
        <v>90</v>
      </c>
      <c r="E4328" s="11">
        <v>5</v>
      </c>
      <c r="F4328" s="11">
        <v>372</v>
      </c>
      <c r="G4328" s="11">
        <v>601</v>
      </c>
      <c r="H4328" s="13"/>
      <c r="I4328" s="11" t="s">
        <v>464</v>
      </c>
      <c r="J4328" s="11" t="s">
        <v>9641</v>
      </c>
      <c r="K4328" s="11" t="s">
        <v>20514</v>
      </c>
      <c r="L4328" s="11" t="s">
        <v>20515</v>
      </c>
      <c r="M4328" s="11" t="s">
        <v>20516</v>
      </c>
      <c r="N4328" s="11">
        <v>355</v>
      </c>
      <c r="O4328" s="11">
        <v>2395</v>
      </c>
      <c r="P4328" s="11">
        <v>1</v>
      </c>
      <c r="Q4328" s="11" t="s">
        <v>16937</v>
      </c>
      <c r="R4328" s="14" t="s">
        <v>20517</v>
      </c>
      <c r="S4328" s="11">
        <v>6</v>
      </c>
      <c r="T4328" s="11" t="s">
        <v>39</v>
      </c>
      <c r="U4328" s="11" t="s">
        <v>40</v>
      </c>
      <c r="V4328" s="11" t="s">
        <v>586</v>
      </c>
      <c r="W4328" s="11">
        <v>2000000</v>
      </c>
      <c r="X4328" s="11">
        <v>2007</v>
      </c>
      <c r="Y4328" s="11">
        <v>453</v>
      </c>
      <c r="Z4328" s="11">
        <v>4.6</v>
      </c>
      <c r="AA4328" s="11">
        <v>2.35</v>
      </c>
      <c r="AB4328" s="11">
        <v>44</v>
      </c>
      <c r="AC4328" s="11"/>
      <c r="AD4328" s="11" t="str">
        <f>IFERROR(__xludf.DUMMYFUNCTION("""COMPUTED_VALUE"""),"Sahajak Boonthanakit")</f>
        <v>Sahajak Boonthanakit</v>
      </c>
      <c r="AE4328" s="11"/>
    </row>
    <row r="4329" customHeight="1" spans="1:31">
      <c r="A4329" s="12" t="s">
        <v>30</v>
      </c>
      <c r="B4329" s="16"/>
      <c r="C4329" s="12">
        <v>19</v>
      </c>
      <c r="D4329" s="12">
        <v>30</v>
      </c>
      <c r="E4329" s="16"/>
      <c r="F4329" s="12">
        <v>424</v>
      </c>
      <c r="G4329" s="12">
        <v>685</v>
      </c>
      <c r="H4329" s="16"/>
      <c r="I4329" s="12" t="s">
        <v>2528</v>
      </c>
      <c r="J4329" s="12" t="s">
        <v>6707</v>
      </c>
      <c r="K4329" s="12" t="s">
        <v>5357</v>
      </c>
      <c r="L4329" s="12" t="s">
        <v>11720</v>
      </c>
      <c r="M4329" s="12" t="s">
        <v>20518</v>
      </c>
      <c r="N4329" s="12">
        <v>7646</v>
      </c>
      <c r="O4329" s="12">
        <v>1884</v>
      </c>
      <c r="P4329" s="12">
        <v>5</v>
      </c>
      <c r="Q4329" s="12" t="s">
        <v>20519</v>
      </c>
      <c r="R4329" s="15" t="s">
        <v>20520</v>
      </c>
      <c r="S4329" s="12">
        <v>56</v>
      </c>
      <c r="T4329" s="12" t="s">
        <v>39</v>
      </c>
      <c r="U4329" s="12" t="s">
        <v>40</v>
      </c>
      <c r="V4329" s="16"/>
      <c r="W4329" s="16"/>
      <c r="X4329" s="16"/>
      <c r="Y4329" s="12">
        <v>511</v>
      </c>
      <c r="Z4329" s="12">
        <v>7.3</v>
      </c>
      <c r="AA4329" s="12">
        <v>1.33</v>
      </c>
      <c r="AB4329" s="12">
        <v>1000</v>
      </c>
      <c r="AC4329" s="12"/>
      <c r="AD4329" s="12" t="str">
        <f>IFERROR(__xludf.DUMMYFUNCTION("""COMPUTED_VALUE"""),"Vanna Bonta")</f>
        <v>Vanna Bonta</v>
      </c>
      <c r="AE4329" s="12"/>
    </row>
    <row r="4330" customHeight="1" spans="1:31">
      <c r="A4330" s="11" t="s">
        <v>748</v>
      </c>
      <c r="B4330" s="11" t="s">
        <v>20521</v>
      </c>
      <c r="C4330" s="11">
        <v>90</v>
      </c>
      <c r="D4330" s="11">
        <v>92</v>
      </c>
      <c r="E4330" s="11">
        <v>0</v>
      </c>
      <c r="F4330" s="11">
        <v>18</v>
      </c>
      <c r="G4330" s="11">
        <v>1000</v>
      </c>
      <c r="H4330" s="11">
        <v>7927</v>
      </c>
      <c r="I4330" s="11" t="s">
        <v>20522</v>
      </c>
      <c r="J4330" s="11" t="s">
        <v>20523</v>
      </c>
      <c r="K4330" s="11" t="s">
        <v>20524</v>
      </c>
      <c r="L4330" s="11" t="s">
        <v>20525</v>
      </c>
      <c r="M4330" s="11" t="s">
        <v>20526</v>
      </c>
      <c r="N4330" s="11">
        <v>19236</v>
      </c>
      <c r="O4330" s="11">
        <v>1055</v>
      </c>
      <c r="P4330" s="11">
        <v>1</v>
      </c>
      <c r="Q4330" s="11" t="s">
        <v>20527</v>
      </c>
      <c r="R4330" s="14" t="s">
        <v>20528</v>
      </c>
      <c r="S4330" s="11">
        <v>175</v>
      </c>
      <c r="T4330" s="11" t="s">
        <v>39</v>
      </c>
      <c r="U4330" s="11" t="s">
        <v>40</v>
      </c>
      <c r="V4330" s="11" t="s">
        <v>4831</v>
      </c>
      <c r="W4330" s="11">
        <v>2300000</v>
      </c>
      <c r="X4330" s="11">
        <v>1947</v>
      </c>
      <c r="Y4330" s="11">
        <v>29</v>
      </c>
      <c r="Z4330" s="11">
        <v>7.7</v>
      </c>
      <c r="AA4330" s="11">
        <v>1.37</v>
      </c>
      <c r="AB4330" s="11">
        <v>0</v>
      </c>
      <c r="AC4330" s="11"/>
      <c r="AD4330" s="11" t="str">
        <f>IFERROR(__xludf.DUMMYFUNCTION("""COMPUTED_VALUE"""),"Gina Lollobrigida")</f>
        <v>Gina Lollobrigida</v>
      </c>
      <c r="AE4330" s="11"/>
    </row>
    <row r="4331" customHeight="1" spans="1:31">
      <c r="A4331" s="12" t="s">
        <v>30</v>
      </c>
      <c r="B4331" s="12" t="s">
        <v>20529</v>
      </c>
      <c r="C4331" s="12">
        <v>21</v>
      </c>
      <c r="D4331" s="12">
        <v>88</v>
      </c>
      <c r="E4331" s="12">
        <v>0</v>
      </c>
      <c r="F4331" s="12">
        <v>332</v>
      </c>
      <c r="G4331" s="12">
        <v>633</v>
      </c>
      <c r="H4331" s="16"/>
      <c r="I4331" s="12" t="s">
        <v>5544</v>
      </c>
      <c r="J4331" s="12" t="s">
        <v>4952</v>
      </c>
      <c r="K4331" s="12" t="s">
        <v>9165</v>
      </c>
      <c r="L4331" s="12" t="s">
        <v>9265</v>
      </c>
      <c r="M4331" s="12" t="s">
        <v>20530</v>
      </c>
      <c r="N4331" s="12">
        <v>2701</v>
      </c>
      <c r="O4331" s="12">
        <v>2620</v>
      </c>
      <c r="P4331" s="12">
        <v>0</v>
      </c>
      <c r="Q4331" s="12" t="s">
        <v>20531</v>
      </c>
      <c r="R4331" s="15" t="s">
        <v>20532</v>
      </c>
      <c r="S4331" s="12">
        <v>31</v>
      </c>
      <c r="T4331" s="12" t="s">
        <v>39</v>
      </c>
      <c r="U4331" s="12" t="s">
        <v>40</v>
      </c>
      <c r="V4331" s="12" t="s">
        <v>586</v>
      </c>
      <c r="W4331" s="12">
        <v>2000000</v>
      </c>
      <c r="X4331" s="12">
        <v>2008</v>
      </c>
      <c r="Y4331" s="12">
        <v>597</v>
      </c>
      <c r="Z4331" s="12">
        <v>4.9</v>
      </c>
      <c r="AA4331" s="12">
        <v>1.78</v>
      </c>
      <c r="AB4331" s="12">
        <v>153</v>
      </c>
      <c r="AC4331" s="12"/>
      <c r="AD4331" s="12" t="str">
        <f>IFERROR(__xludf.DUMMYFUNCTION("""COMPUTED_VALUE"""),"George Sanders")</f>
        <v>George Sanders</v>
      </c>
      <c r="AE4331" s="12"/>
    </row>
    <row r="4332" customHeight="1" spans="1:31">
      <c r="A4332" s="11" t="s">
        <v>30</v>
      </c>
      <c r="B4332" s="11" t="s">
        <v>17432</v>
      </c>
      <c r="C4332" s="11">
        <v>12</v>
      </c>
      <c r="D4332" s="11">
        <v>97</v>
      </c>
      <c r="E4332" s="11">
        <v>10</v>
      </c>
      <c r="F4332" s="11">
        <v>171</v>
      </c>
      <c r="G4332" s="11">
        <v>15000</v>
      </c>
      <c r="H4332" s="13"/>
      <c r="I4332" s="11" t="s">
        <v>1936</v>
      </c>
      <c r="J4332" s="11" t="s">
        <v>373</v>
      </c>
      <c r="K4332" s="11" t="s">
        <v>92</v>
      </c>
      <c r="L4332" s="11" t="s">
        <v>20533</v>
      </c>
      <c r="M4332" s="11" t="s">
        <v>20534</v>
      </c>
      <c r="N4332" s="11">
        <v>5182</v>
      </c>
      <c r="O4332" s="11">
        <v>15740</v>
      </c>
      <c r="P4332" s="11">
        <v>3</v>
      </c>
      <c r="Q4332" s="11" t="s">
        <v>20535</v>
      </c>
      <c r="R4332" s="14" t="s">
        <v>20536</v>
      </c>
      <c r="S4332" s="11">
        <v>67</v>
      </c>
      <c r="T4332" s="11" t="s">
        <v>39</v>
      </c>
      <c r="U4332" s="11" t="s">
        <v>40</v>
      </c>
      <c r="V4332" s="11" t="s">
        <v>586</v>
      </c>
      <c r="W4332" s="11">
        <v>14000000</v>
      </c>
      <c r="X4332" s="11">
        <v>2002</v>
      </c>
      <c r="Y4332" s="11">
        <v>284</v>
      </c>
      <c r="Z4332" s="11">
        <v>6.3</v>
      </c>
      <c r="AA4332" s="11">
        <v>2.35</v>
      </c>
      <c r="AB4332" s="11">
        <v>912</v>
      </c>
      <c r="AC4332" s="11"/>
      <c r="AD4332" s="11" t="str">
        <f>IFERROR(__xludf.DUMMYFUNCTION("""COMPUTED_VALUE"""),"Finlay Currie")</f>
        <v>Finlay Currie</v>
      </c>
      <c r="AE4332" s="11"/>
    </row>
    <row r="4333" customHeight="1" spans="1:31">
      <c r="A4333" s="16"/>
      <c r="B4333" s="12" t="s">
        <v>18292</v>
      </c>
      <c r="C4333" s="12">
        <v>33</v>
      </c>
      <c r="D4333" s="12">
        <v>96</v>
      </c>
      <c r="E4333" s="12">
        <v>68</v>
      </c>
      <c r="F4333" s="12">
        <v>722</v>
      </c>
      <c r="G4333" s="12">
        <v>2000</v>
      </c>
      <c r="H4333" s="16"/>
      <c r="I4333" s="12" t="s">
        <v>9194</v>
      </c>
      <c r="J4333" s="12" t="s">
        <v>5732</v>
      </c>
      <c r="K4333" s="12" t="s">
        <v>4063</v>
      </c>
      <c r="L4333" s="12" t="s">
        <v>4724</v>
      </c>
      <c r="M4333" s="12" t="s">
        <v>20537</v>
      </c>
      <c r="N4333" s="12">
        <v>5732</v>
      </c>
      <c r="O4333" s="12">
        <v>3683</v>
      </c>
      <c r="P4333" s="12">
        <v>6</v>
      </c>
      <c r="Q4333" s="12" t="s">
        <v>20538</v>
      </c>
      <c r="R4333" s="15" t="s">
        <v>20539</v>
      </c>
      <c r="S4333" s="12">
        <v>26</v>
      </c>
      <c r="T4333" s="12" t="s">
        <v>39</v>
      </c>
      <c r="U4333" s="12" t="s">
        <v>40</v>
      </c>
      <c r="V4333" s="12" t="s">
        <v>586</v>
      </c>
      <c r="W4333" s="12">
        <v>2000000</v>
      </c>
      <c r="X4333" s="12">
        <v>2012</v>
      </c>
      <c r="Y4333" s="12">
        <v>811</v>
      </c>
      <c r="Z4333" s="12">
        <v>6.1</v>
      </c>
      <c r="AA4333" s="12">
        <v>1.85</v>
      </c>
      <c r="AB4333" s="12">
        <v>0</v>
      </c>
      <c r="AC4333" s="12"/>
      <c r="AD4333" s="12" t="str">
        <f>IFERROR(__xludf.DUMMYFUNCTION("""COMPUTED_VALUE"""),"Gary Cooper")</f>
        <v>Gary Cooper</v>
      </c>
      <c r="AE4333" s="12"/>
    </row>
    <row r="4334" customHeight="1" spans="1:31">
      <c r="A4334" s="11" t="s">
        <v>30</v>
      </c>
      <c r="B4334" s="11" t="s">
        <v>20540</v>
      </c>
      <c r="C4334" s="11">
        <v>9</v>
      </c>
      <c r="D4334" s="11">
        <v>87</v>
      </c>
      <c r="E4334" s="11">
        <v>8</v>
      </c>
      <c r="F4334" s="11">
        <v>424</v>
      </c>
      <c r="G4334" s="11">
        <v>34000</v>
      </c>
      <c r="H4334" s="13"/>
      <c r="I4334" s="11" t="s">
        <v>1672</v>
      </c>
      <c r="J4334" s="11" t="s">
        <v>20541</v>
      </c>
      <c r="K4334" s="11" t="s">
        <v>1142</v>
      </c>
      <c r="L4334" s="11" t="s">
        <v>9255</v>
      </c>
      <c r="M4334" s="11" t="s">
        <v>20542</v>
      </c>
      <c r="N4334" s="11">
        <v>4204</v>
      </c>
      <c r="O4334" s="11">
        <v>35796</v>
      </c>
      <c r="P4334" s="11">
        <v>3</v>
      </c>
      <c r="Q4334" s="11" t="s">
        <v>20543</v>
      </c>
      <c r="R4334" s="14" t="s">
        <v>20544</v>
      </c>
      <c r="S4334" s="11">
        <v>19</v>
      </c>
      <c r="T4334" s="11" t="s">
        <v>39</v>
      </c>
      <c r="U4334" s="11" t="s">
        <v>40</v>
      </c>
      <c r="V4334" s="13"/>
      <c r="W4334" s="11">
        <v>2000000</v>
      </c>
      <c r="X4334" s="11">
        <v>2013</v>
      </c>
      <c r="Y4334" s="11">
        <v>463</v>
      </c>
      <c r="Z4334" s="11">
        <v>6.6</v>
      </c>
      <c r="AA4334" s="11">
        <v>2.35</v>
      </c>
      <c r="AB4334" s="11">
        <v>0</v>
      </c>
      <c r="AC4334" s="11"/>
      <c r="AD4334" s="11" t="str">
        <f>IFERROR(__xludf.DUMMYFUNCTION("""COMPUTED_VALUE"""),"Helen Hayes")</f>
        <v>Helen Hayes</v>
      </c>
      <c r="AE4334" s="11"/>
    </row>
    <row r="4335" customHeight="1" spans="1:31">
      <c r="A4335" s="12" t="s">
        <v>748</v>
      </c>
      <c r="B4335" s="12" t="s">
        <v>20545</v>
      </c>
      <c r="C4335" s="12">
        <v>94</v>
      </c>
      <c r="D4335" s="12">
        <v>106</v>
      </c>
      <c r="E4335" s="12">
        <v>5</v>
      </c>
      <c r="F4335" s="12">
        <v>356</v>
      </c>
      <c r="G4335" s="12">
        <v>416</v>
      </c>
      <c r="H4335" s="12">
        <v>2436</v>
      </c>
      <c r="I4335" s="12" t="s">
        <v>20546</v>
      </c>
      <c r="J4335" s="12" t="s">
        <v>20547</v>
      </c>
      <c r="K4335" s="12" t="s">
        <v>18530</v>
      </c>
      <c r="L4335" s="12" t="s">
        <v>20548</v>
      </c>
      <c r="M4335" s="12" t="s">
        <v>20549</v>
      </c>
      <c r="N4335" s="12">
        <v>344</v>
      </c>
      <c r="O4335" s="12">
        <v>1611</v>
      </c>
      <c r="P4335" s="12">
        <v>2</v>
      </c>
      <c r="Q4335" s="12" t="s">
        <v>20550</v>
      </c>
      <c r="R4335" s="15" t="s">
        <v>20551</v>
      </c>
      <c r="S4335" s="12">
        <v>19</v>
      </c>
      <c r="T4335" s="12" t="s">
        <v>39</v>
      </c>
      <c r="U4335" s="12" t="s">
        <v>40</v>
      </c>
      <c r="V4335" s="12" t="s">
        <v>4831</v>
      </c>
      <c r="W4335" s="12">
        <v>2000000</v>
      </c>
      <c r="X4335" s="12">
        <v>2012</v>
      </c>
      <c r="Y4335" s="12">
        <v>403</v>
      </c>
      <c r="Z4335" s="12">
        <v>5.7</v>
      </c>
      <c r="AA4335" s="12">
        <v>2.35</v>
      </c>
      <c r="AB4335" s="12">
        <v>655</v>
      </c>
      <c r="AC4335" s="12"/>
      <c r="AD4335" s="12" t="str">
        <f>IFERROR(__xludf.DUMMYFUNCTION("""COMPUTED_VALUE"""),"Adolphe Menjou")</f>
        <v>Adolphe Menjou</v>
      </c>
      <c r="AE4335" s="12"/>
    </row>
    <row r="4336" customHeight="1" spans="1:31">
      <c r="A4336" s="11" t="s">
        <v>30</v>
      </c>
      <c r="B4336" s="11" t="s">
        <v>20552</v>
      </c>
      <c r="C4336" s="11">
        <v>41</v>
      </c>
      <c r="D4336" s="11">
        <v>107</v>
      </c>
      <c r="E4336" s="11">
        <v>17</v>
      </c>
      <c r="F4336" s="11">
        <v>322</v>
      </c>
      <c r="G4336" s="11">
        <v>594</v>
      </c>
      <c r="H4336" s="11">
        <v>4556</v>
      </c>
      <c r="I4336" s="11" t="s">
        <v>2528</v>
      </c>
      <c r="J4336" s="11" t="s">
        <v>4725</v>
      </c>
      <c r="K4336" s="11" t="s">
        <v>2216</v>
      </c>
      <c r="L4336" s="11" t="s">
        <v>14169</v>
      </c>
      <c r="M4336" s="11" t="s">
        <v>20553</v>
      </c>
      <c r="N4336" s="11">
        <v>4478</v>
      </c>
      <c r="O4336" s="11">
        <v>2020</v>
      </c>
      <c r="P4336" s="11">
        <v>1</v>
      </c>
      <c r="Q4336" s="11" t="s">
        <v>20554</v>
      </c>
      <c r="R4336" s="14" t="s">
        <v>20555</v>
      </c>
      <c r="S4336" s="11">
        <v>23</v>
      </c>
      <c r="T4336" s="11" t="s">
        <v>39</v>
      </c>
      <c r="U4336" s="11" t="s">
        <v>40</v>
      </c>
      <c r="V4336" s="11" t="s">
        <v>586</v>
      </c>
      <c r="W4336" s="13"/>
      <c r="X4336" s="11">
        <v>2013</v>
      </c>
      <c r="Y4336" s="11">
        <v>591</v>
      </c>
      <c r="Z4336" s="11">
        <v>5.6</v>
      </c>
      <c r="AA4336" s="13"/>
      <c r="AB4336" s="11">
        <v>825</v>
      </c>
      <c r="AC4336" s="11"/>
      <c r="AD4336" s="11" t="str">
        <f>IFERROR(__xludf.DUMMYFUNCTION("""COMPUTED_VALUE"""),"Lauren London")</f>
        <v>Lauren London</v>
      </c>
      <c r="AE4336" s="11"/>
    </row>
    <row r="4337" customHeight="1" spans="1:31">
      <c r="A4337" s="12" t="s">
        <v>30</v>
      </c>
      <c r="B4337" s="12" t="s">
        <v>20556</v>
      </c>
      <c r="C4337" s="12">
        <v>38</v>
      </c>
      <c r="D4337" s="12">
        <v>80</v>
      </c>
      <c r="E4337" s="12">
        <v>2</v>
      </c>
      <c r="F4337" s="12">
        <v>51</v>
      </c>
      <c r="G4337" s="12">
        <v>16000</v>
      </c>
      <c r="H4337" s="16"/>
      <c r="I4337" s="12" t="s">
        <v>5104</v>
      </c>
      <c r="J4337" s="12" t="s">
        <v>201</v>
      </c>
      <c r="K4337" s="12" t="s">
        <v>20557</v>
      </c>
      <c r="L4337" s="12" t="s">
        <v>20558</v>
      </c>
      <c r="M4337" s="12" t="s">
        <v>20559</v>
      </c>
      <c r="N4337" s="12">
        <v>952</v>
      </c>
      <c r="O4337" s="12">
        <v>16110</v>
      </c>
      <c r="P4337" s="12">
        <v>0</v>
      </c>
      <c r="Q4337" s="12" t="s">
        <v>20560</v>
      </c>
      <c r="R4337" s="15" t="s">
        <v>20561</v>
      </c>
      <c r="S4337" s="12">
        <v>36</v>
      </c>
      <c r="T4337" s="12" t="s">
        <v>8732</v>
      </c>
      <c r="U4337" s="12" t="s">
        <v>9140</v>
      </c>
      <c r="V4337" s="12" t="s">
        <v>16052</v>
      </c>
      <c r="W4337" s="16"/>
      <c r="X4337" s="12">
        <v>1967</v>
      </c>
      <c r="Y4337" s="12">
        <v>57</v>
      </c>
      <c r="Z4337" s="12">
        <v>6</v>
      </c>
      <c r="AA4337" s="12">
        <v>1.66</v>
      </c>
      <c r="AB4337" s="12">
        <v>200</v>
      </c>
      <c r="AC4337" s="12"/>
      <c r="AD4337" s="12" t="str">
        <f>IFERROR(__xludf.DUMMYFUNCTION("""COMPUTED_VALUE"""),"Lara Jill Miller")</f>
        <v>Lara Jill Miller</v>
      </c>
      <c r="AE4337" s="12"/>
    </row>
    <row r="4338" customHeight="1" spans="1:31">
      <c r="A4338" s="11" t="s">
        <v>30</v>
      </c>
      <c r="B4338" s="11" t="s">
        <v>17432</v>
      </c>
      <c r="C4338" s="11">
        <v>12</v>
      </c>
      <c r="D4338" s="11">
        <v>91</v>
      </c>
      <c r="E4338" s="11">
        <v>10</v>
      </c>
      <c r="F4338" s="11">
        <v>293</v>
      </c>
      <c r="G4338" s="11">
        <v>924</v>
      </c>
      <c r="H4338" s="13"/>
      <c r="I4338" s="11" t="s">
        <v>2528</v>
      </c>
      <c r="J4338" s="11" t="s">
        <v>20562</v>
      </c>
      <c r="K4338" s="11" t="s">
        <v>6361</v>
      </c>
      <c r="L4338" s="11" t="s">
        <v>20563</v>
      </c>
      <c r="M4338" s="11" t="s">
        <v>20564</v>
      </c>
      <c r="N4338" s="11">
        <v>3605</v>
      </c>
      <c r="O4338" s="11">
        <v>2654</v>
      </c>
      <c r="P4338" s="11">
        <v>3</v>
      </c>
      <c r="Q4338" s="11" t="s">
        <v>20565</v>
      </c>
      <c r="R4338" s="14" t="s">
        <v>20566</v>
      </c>
      <c r="S4338" s="11">
        <v>20</v>
      </c>
      <c r="T4338" s="11" t="s">
        <v>39</v>
      </c>
      <c r="U4338" s="11" t="s">
        <v>40</v>
      </c>
      <c r="V4338" s="11" t="s">
        <v>586</v>
      </c>
      <c r="W4338" s="11">
        <v>2000000</v>
      </c>
      <c r="X4338" s="11">
        <v>2013</v>
      </c>
      <c r="Y4338" s="11">
        <v>472</v>
      </c>
      <c r="Z4338" s="11">
        <v>5.7</v>
      </c>
      <c r="AA4338" s="13"/>
      <c r="AB4338" s="11">
        <v>0</v>
      </c>
      <c r="AC4338" s="11"/>
      <c r="AD4338" s="11" t="str">
        <f>IFERROR(__xludf.DUMMYFUNCTION("""COMPUTED_VALUE"""),"Colleen O'Shaughnessey")</f>
        <v>Colleen O'Shaughnessey</v>
      </c>
      <c r="AE4338" s="11"/>
    </row>
    <row r="4339" customHeight="1" spans="1:31">
      <c r="A4339" s="12" t="s">
        <v>30</v>
      </c>
      <c r="B4339" s="12" t="s">
        <v>4864</v>
      </c>
      <c r="C4339" s="12">
        <v>25</v>
      </c>
      <c r="D4339" s="12">
        <v>99</v>
      </c>
      <c r="E4339" s="12">
        <v>44</v>
      </c>
      <c r="F4339" s="12">
        <v>137</v>
      </c>
      <c r="G4339" s="12">
        <v>907</v>
      </c>
      <c r="H4339" s="16"/>
      <c r="I4339" s="12" t="s">
        <v>5927</v>
      </c>
      <c r="J4339" s="12" t="s">
        <v>20567</v>
      </c>
      <c r="K4339" s="12" t="s">
        <v>20568</v>
      </c>
      <c r="L4339" s="12" t="s">
        <v>20569</v>
      </c>
      <c r="M4339" s="12" t="s">
        <v>20570</v>
      </c>
      <c r="N4339" s="12">
        <v>6804</v>
      </c>
      <c r="O4339" s="12">
        <v>1807</v>
      </c>
      <c r="P4339" s="12">
        <v>0</v>
      </c>
      <c r="Q4339" s="12" t="s">
        <v>20571</v>
      </c>
      <c r="R4339" s="15" t="s">
        <v>20572</v>
      </c>
      <c r="S4339" s="12">
        <v>72</v>
      </c>
      <c r="T4339" s="12" t="s">
        <v>39</v>
      </c>
      <c r="U4339" s="12" t="s">
        <v>40</v>
      </c>
      <c r="V4339" s="12" t="s">
        <v>6037</v>
      </c>
      <c r="W4339" s="12">
        <v>2000000</v>
      </c>
      <c r="X4339" s="12">
        <v>1966</v>
      </c>
      <c r="Y4339" s="12">
        <v>164</v>
      </c>
      <c r="Z4339" s="12">
        <v>7</v>
      </c>
      <c r="AA4339" s="12">
        <v>1.85</v>
      </c>
      <c r="AB4339" s="12">
        <v>805</v>
      </c>
      <c r="AC4339" s="12"/>
      <c r="AD4339" s="12" t="str">
        <f>IFERROR(__xludf.DUMMYFUNCTION("""COMPUTED_VALUE"""),"Mona Marshall")</f>
        <v>Mona Marshall</v>
      </c>
      <c r="AE4339" s="12"/>
    </row>
    <row r="4340" customHeight="1" spans="1:31">
      <c r="A4340" s="11" t="s">
        <v>30</v>
      </c>
      <c r="B4340" s="11" t="s">
        <v>3807</v>
      </c>
      <c r="C4340" s="11">
        <v>27</v>
      </c>
      <c r="D4340" s="11">
        <v>102</v>
      </c>
      <c r="E4340" s="11">
        <v>909</v>
      </c>
      <c r="F4340" s="11">
        <v>119</v>
      </c>
      <c r="G4340" s="11">
        <v>909</v>
      </c>
      <c r="H4340" s="13"/>
      <c r="I4340" s="11" t="s">
        <v>68</v>
      </c>
      <c r="J4340" s="11" t="s">
        <v>3807</v>
      </c>
      <c r="K4340" s="11" t="s">
        <v>20573</v>
      </c>
      <c r="L4340" s="11" t="s">
        <v>20574</v>
      </c>
      <c r="M4340" s="11" t="s">
        <v>20575</v>
      </c>
      <c r="N4340" s="11">
        <v>2242</v>
      </c>
      <c r="O4340" s="11">
        <v>1674</v>
      </c>
      <c r="P4340" s="11">
        <v>0</v>
      </c>
      <c r="Q4340" s="11" t="s">
        <v>20576</v>
      </c>
      <c r="R4340" s="14" t="s">
        <v>20577</v>
      </c>
      <c r="S4340" s="11">
        <v>15</v>
      </c>
      <c r="T4340" s="11" t="s">
        <v>39</v>
      </c>
      <c r="U4340" s="11" t="s">
        <v>40</v>
      </c>
      <c r="V4340" s="13"/>
      <c r="W4340" s="11">
        <v>2000000</v>
      </c>
      <c r="X4340" s="11">
        <v>2007</v>
      </c>
      <c r="Y4340" s="11">
        <v>562</v>
      </c>
      <c r="Z4340" s="11">
        <v>5.3</v>
      </c>
      <c r="AA4340" s="13"/>
      <c r="AB4340" s="11">
        <v>69</v>
      </c>
      <c r="AC4340" s="11"/>
      <c r="AD4340" s="11" t="str">
        <f>IFERROR(__xludf.DUMMYFUNCTION("""COMPUTED_VALUE"""),"Stéphane Rousseau")</f>
        <v>Stéphane Rousseau</v>
      </c>
      <c r="AE4340" s="11"/>
    </row>
    <row r="4341" customHeight="1" spans="1:31">
      <c r="A4341" s="12" t="s">
        <v>30</v>
      </c>
      <c r="B4341" s="12" t="s">
        <v>20578</v>
      </c>
      <c r="C4341" s="12">
        <v>2</v>
      </c>
      <c r="D4341" s="12">
        <v>108</v>
      </c>
      <c r="E4341" s="12">
        <v>531</v>
      </c>
      <c r="F4341" s="12">
        <v>894</v>
      </c>
      <c r="G4341" s="12">
        <v>10000</v>
      </c>
      <c r="H4341" s="16"/>
      <c r="I4341" s="12" t="s">
        <v>20579</v>
      </c>
      <c r="J4341" s="12" t="s">
        <v>10880</v>
      </c>
      <c r="K4341" s="12" t="s">
        <v>11324</v>
      </c>
      <c r="L4341" s="12" t="s">
        <v>280</v>
      </c>
      <c r="M4341" s="12" t="s">
        <v>20580</v>
      </c>
      <c r="N4341" s="12">
        <v>583</v>
      </c>
      <c r="O4341" s="12">
        <v>15707</v>
      </c>
      <c r="P4341" s="12">
        <v>1</v>
      </c>
      <c r="Q4341" s="12" t="s">
        <v>20581</v>
      </c>
      <c r="R4341" s="15" t="s">
        <v>20582</v>
      </c>
      <c r="S4341" s="12">
        <v>14</v>
      </c>
      <c r="T4341" s="12" t="s">
        <v>39</v>
      </c>
      <c r="U4341" s="12" t="s">
        <v>40</v>
      </c>
      <c r="V4341" s="12" t="s">
        <v>41</v>
      </c>
      <c r="W4341" s="12">
        <v>2000000</v>
      </c>
      <c r="X4341" s="12">
        <v>2011</v>
      </c>
      <c r="Y4341" s="12">
        <v>1000</v>
      </c>
      <c r="Z4341" s="12">
        <v>4.4</v>
      </c>
      <c r="AA4341" s="16"/>
      <c r="AB4341" s="12">
        <v>651</v>
      </c>
      <c r="AC4341" s="12"/>
      <c r="AD4341" s="12" t="str">
        <f>IFERROR(__xludf.DUMMYFUNCTION("""COMPUTED_VALUE"""),"Marina Hands")</f>
        <v>Marina Hands</v>
      </c>
      <c r="AE4341" s="12"/>
    </row>
    <row r="4342" customHeight="1" spans="1:31">
      <c r="A4342" s="11" t="s">
        <v>30</v>
      </c>
      <c r="B4342" s="11" t="s">
        <v>20583</v>
      </c>
      <c r="C4342" s="11">
        <v>23</v>
      </c>
      <c r="D4342" s="11">
        <v>88</v>
      </c>
      <c r="E4342" s="11">
        <v>6</v>
      </c>
      <c r="F4342" s="11">
        <v>233</v>
      </c>
      <c r="G4342" s="11">
        <v>680</v>
      </c>
      <c r="H4342" s="13"/>
      <c r="I4342" s="11" t="s">
        <v>7579</v>
      </c>
      <c r="J4342" s="11" t="s">
        <v>20584</v>
      </c>
      <c r="K4342" s="11" t="s">
        <v>20585</v>
      </c>
      <c r="L4342" s="11" t="s">
        <v>20586</v>
      </c>
      <c r="M4342" s="11" t="s">
        <v>20587</v>
      </c>
      <c r="N4342" s="11">
        <v>2348</v>
      </c>
      <c r="O4342" s="11">
        <v>1425</v>
      </c>
      <c r="P4342" s="11">
        <v>0</v>
      </c>
      <c r="Q4342" s="11" t="s">
        <v>20588</v>
      </c>
      <c r="R4342" s="14" t="s">
        <v>20589</v>
      </c>
      <c r="S4342" s="11">
        <v>25</v>
      </c>
      <c r="T4342" s="11" t="s">
        <v>39</v>
      </c>
      <c r="U4342" s="11" t="s">
        <v>40</v>
      </c>
      <c r="V4342" s="11" t="s">
        <v>586</v>
      </c>
      <c r="W4342" s="11">
        <v>1250000</v>
      </c>
      <c r="X4342" s="11">
        <v>2015</v>
      </c>
      <c r="Y4342" s="11">
        <v>418</v>
      </c>
      <c r="Z4342" s="11">
        <v>3.4</v>
      </c>
      <c r="AA4342" s="13"/>
      <c r="AB4342" s="11">
        <v>0</v>
      </c>
      <c r="AC4342" s="11"/>
      <c r="AD4342" s="11" t="str">
        <f>IFERROR(__xludf.DUMMYFUNCTION("""COMPUTED_VALUE"""),"Nicol Williamson")</f>
        <v>Nicol Williamson</v>
      </c>
      <c r="AE4342" s="11"/>
    </row>
    <row r="4343" customHeight="1" spans="1:31">
      <c r="A4343" s="12" t="s">
        <v>30</v>
      </c>
      <c r="B4343" s="12" t="s">
        <v>20590</v>
      </c>
      <c r="C4343" s="12">
        <v>32</v>
      </c>
      <c r="D4343" s="12">
        <v>89</v>
      </c>
      <c r="E4343" s="12">
        <v>20000</v>
      </c>
      <c r="F4343" s="12">
        <v>618</v>
      </c>
      <c r="G4343" s="12">
        <v>2000</v>
      </c>
      <c r="H4343" s="16"/>
      <c r="I4343" s="12" t="s">
        <v>6133</v>
      </c>
      <c r="J4343" s="12" t="s">
        <v>4373</v>
      </c>
      <c r="K4343" s="12" t="s">
        <v>9016</v>
      </c>
      <c r="L4343" s="12" t="s">
        <v>1736</v>
      </c>
      <c r="M4343" s="12" t="s">
        <v>20591</v>
      </c>
      <c r="N4343" s="12">
        <v>1040</v>
      </c>
      <c r="O4343" s="12">
        <v>4968</v>
      </c>
      <c r="P4343" s="12">
        <v>1</v>
      </c>
      <c r="Q4343" s="16"/>
      <c r="R4343" s="15" t="s">
        <v>20592</v>
      </c>
      <c r="S4343" s="12">
        <v>22</v>
      </c>
      <c r="T4343" s="12" t="s">
        <v>39</v>
      </c>
      <c r="U4343" s="12" t="s">
        <v>40</v>
      </c>
      <c r="V4343" s="16"/>
      <c r="W4343" s="12">
        <v>2000000</v>
      </c>
      <c r="X4343" s="12">
        <v>2015</v>
      </c>
      <c r="Y4343" s="12">
        <v>860</v>
      </c>
      <c r="Z4343" s="12">
        <v>4.5</v>
      </c>
      <c r="AA4343" s="16"/>
      <c r="AB4343" s="12">
        <v>0</v>
      </c>
      <c r="AC4343" s="12"/>
      <c r="AD4343" s="12" t="str">
        <f>IFERROR(__xludf.DUMMYFUNCTION("""COMPUTED_VALUE"""),"Michael Richards")</f>
        <v>Michael Richards</v>
      </c>
      <c r="AE4343" s="12"/>
    </row>
    <row r="4344" customHeight="1" spans="1:31">
      <c r="A4344" s="11" t="s">
        <v>30</v>
      </c>
      <c r="B4344" s="11" t="s">
        <v>20593</v>
      </c>
      <c r="C4344" s="11">
        <v>18</v>
      </c>
      <c r="D4344" s="11">
        <v>92</v>
      </c>
      <c r="E4344" s="11">
        <v>3</v>
      </c>
      <c r="F4344" s="11">
        <v>412</v>
      </c>
      <c r="G4344" s="11">
        <v>11000</v>
      </c>
      <c r="H4344" s="13"/>
      <c r="I4344" s="11" t="s">
        <v>10413</v>
      </c>
      <c r="J4344" s="11" t="s">
        <v>20594</v>
      </c>
      <c r="K4344" s="11" t="s">
        <v>20595</v>
      </c>
      <c r="L4344" s="11" t="s">
        <v>20596</v>
      </c>
      <c r="M4344" s="11" t="s">
        <v>20597</v>
      </c>
      <c r="N4344" s="11">
        <v>838</v>
      </c>
      <c r="O4344" s="11">
        <v>13583</v>
      </c>
      <c r="P4344" s="11">
        <v>0</v>
      </c>
      <c r="Q4344" s="11" t="s">
        <v>20598</v>
      </c>
      <c r="R4344" s="14" t="s">
        <v>20599</v>
      </c>
      <c r="S4344" s="11">
        <v>17</v>
      </c>
      <c r="T4344" s="11" t="s">
        <v>39</v>
      </c>
      <c r="U4344" s="11" t="s">
        <v>40</v>
      </c>
      <c r="V4344" s="11" t="s">
        <v>4831</v>
      </c>
      <c r="W4344" s="11">
        <v>2000000</v>
      </c>
      <c r="X4344" s="11">
        <v>2015</v>
      </c>
      <c r="Y4344" s="11">
        <v>1000</v>
      </c>
      <c r="Z4344" s="11">
        <v>3.4</v>
      </c>
      <c r="AA4344" s="13"/>
      <c r="AB4344" s="11">
        <v>728</v>
      </c>
      <c r="AC4344" s="11"/>
      <c r="AD4344" s="11" t="str">
        <f>IFERROR(__xludf.DUMMYFUNCTION("""COMPUTED_VALUE"""),"Shirley Jones")</f>
        <v>Shirley Jones</v>
      </c>
      <c r="AE4344" s="11"/>
    </row>
    <row r="4345" customHeight="1" spans="1:31">
      <c r="A4345" s="12" t="s">
        <v>748</v>
      </c>
      <c r="B4345" s="12" t="s">
        <v>20600</v>
      </c>
      <c r="C4345" s="12">
        <v>45</v>
      </c>
      <c r="D4345" s="12">
        <v>99</v>
      </c>
      <c r="E4345" s="12">
        <v>28</v>
      </c>
      <c r="F4345" s="12">
        <v>223</v>
      </c>
      <c r="G4345" s="12">
        <v>18000</v>
      </c>
      <c r="H4345" s="12">
        <v>4600000</v>
      </c>
      <c r="I4345" s="12" t="s">
        <v>1936</v>
      </c>
      <c r="J4345" s="12" t="s">
        <v>588</v>
      </c>
      <c r="K4345" s="12" t="s">
        <v>6010</v>
      </c>
      <c r="L4345" s="12" t="s">
        <v>6599</v>
      </c>
      <c r="M4345" s="12" t="s">
        <v>20601</v>
      </c>
      <c r="N4345" s="12">
        <v>11763</v>
      </c>
      <c r="O4345" s="12">
        <v>19649</v>
      </c>
      <c r="P4345" s="12">
        <v>2</v>
      </c>
      <c r="Q4345" s="12" t="s">
        <v>20602</v>
      </c>
      <c r="R4345" s="15" t="s">
        <v>20603</v>
      </c>
      <c r="S4345" s="12">
        <v>111</v>
      </c>
      <c r="T4345" s="12" t="s">
        <v>39</v>
      </c>
      <c r="U4345" s="12" t="s">
        <v>40</v>
      </c>
      <c r="V4345" s="12" t="s">
        <v>586</v>
      </c>
      <c r="W4345" s="12">
        <v>1900000</v>
      </c>
      <c r="X4345" s="12">
        <v>1986</v>
      </c>
      <c r="Y4345" s="12">
        <v>1000</v>
      </c>
      <c r="Z4345" s="12">
        <v>7.1</v>
      </c>
      <c r="AA4345" s="12">
        <v>1.85</v>
      </c>
      <c r="AB4345" s="12">
        <v>0</v>
      </c>
      <c r="AC4345" s="12"/>
      <c r="AD4345" s="12" t="str">
        <f>IFERROR(__xludf.DUMMYFUNCTION("""COMPUTED_VALUE"""),"Jessica Walter")</f>
        <v>Jessica Walter</v>
      </c>
      <c r="AE4345" s="12"/>
    </row>
    <row r="4346" customHeight="1" spans="1:31">
      <c r="A4346" s="11" t="s">
        <v>30</v>
      </c>
      <c r="B4346" s="11" t="s">
        <v>13778</v>
      </c>
      <c r="C4346" s="11">
        <v>60</v>
      </c>
      <c r="D4346" s="11">
        <v>103</v>
      </c>
      <c r="E4346" s="11">
        <v>35</v>
      </c>
      <c r="F4346" s="11">
        <v>482</v>
      </c>
      <c r="G4346" s="11">
        <v>548</v>
      </c>
      <c r="H4346" s="11">
        <v>1420578</v>
      </c>
      <c r="I4346" s="11" t="s">
        <v>5324</v>
      </c>
      <c r="J4346" s="11" t="s">
        <v>3202</v>
      </c>
      <c r="K4346" s="11" t="s">
        <v>2520</v>
      </c>
      <c r="L4346" s="11" t="s">
        <v>5591</v>
      </c>
      <c r="M4346" s="11" t="s">
        <v>20604</v>
      </c>
      <c r="N4346" s="11">
        <v>4894</v>
      </c>
      <c r="O4346" s="11">
        <v>2389</v>
      </c>
      <c r="P4346" s="11">
        <v>0</v>
      </c>
      <c r="Q4346" s="11" t="s">
        <v>20605</v>
      </c>
      <c r="R4346" s="14" t="s">
        <v>20606</v>
      </c>
      <c r="S4346" s="11">
        <v>122</v>
      </c>
      <c r="T4346" s="11" t="s">
        <v>39</v>
      </c>
      <c r="U4346" s="11" t="s">
        <v>40</v>
      </c>
      <c r="V4346" s="11" t="s">
        <v>41</v>
      </c>
      <c r="W4346" s="11">
        <v>1900000</v>
      </c>
      <c r="X4346" s="11">
        <v>2003</v>
      </c>
      <c r="Y4346" s="11">
        <v>495</v>
      </c>
      <c r="Z4346" s="11">
        <v>6.4</v>
      </c>
      <c r="AA4346" s="11">
        <v>2.35</v>
      </c>
      <c r="AB4346" s="11">
        <v>298</v>
      </c>
      <c r="AC4346" s="11"/>
      <c r="AD4346" s="11" t="str">
        <f>IFERROR(__xludf.DUMMYFUNCTION("""COMPUTED_VALUE"""),"Claudia Cardinale")</f>
        <v>Claudia Cardinale</v>
      </c>
      <c r="AE4346" s="11"/>
    </row>
    <row r="4347" customHeight="1" spans="1:31">
      <c r="A4347" s="12" t="s">
        <v>30</v>
      </c>
      <c r="B4347" s="12" t="s">
        <v>17286</v>
      </c>
      <c r="C4347" s="12">
        <v>23</v>
      </c>
      <c r="D4347" s="12">
        <v>90</v>
      </c>
      <c r="E4347" s="12">
        <v>58</v>
      </c>
      <c r="F4347" s="12">
        <v>164</v>
      </c>
      <c r="G4347" s="12">
        <v>405</v>
      </c>
      <c r="H4347" s="16"/>
      <c r="I4347" s="12" t="s">
        <v>60</v>
      </c>
      <c r="J4347" s="12" t="s">
        <v>20607</v>
      </c>
      <c r="K4347" s="12" t="s">
        <v>20608</v>
      </c>
      <c r="L4347" s="12" t="s">
        <v>20609</v>
      </c>
      <c r="M4347" s="12" t="s">
        <v>20610</v>
      </c>
      <c r="N4347" s="12">
        <v>2032</v>
      </c>
      <c r="O4347" s="12">
        <v>1204</v>
      </c>
      <c r="P4347" s="12">
        <v>2</v>
      </c>
      <c r="Q4347" s="12" t="s">
        <v>20611</v>
      </c>
      <c r="R4347" s="15" t="s">
        <v>20612</v>
      </c>
      <c r="S4347" s="12">
        <v>15</v>
      </c>
      <c r="T4347" s="12" t="s">
        <v>39</v>
      </c>
      <c r="U4347" s="12" t="s">
        <v>40</v>
      </c>
      <c r="V4347" s="12" t="s">
        <v>586</v>
      </c>
      <c r="W4347" s="12">
        <v>1950000</v>
      </c>
      <c r="X4347" s="12">
        <v>2015</v>
      </c>
      <c r="Y4347" s="12">
        <v>217</v>
      </c>
      <c r="Z4347" s="12">
        <v>5.2</v>
      </c>
      <c r="AA4347" s="12">
        <v>1.78</v>
      </c>
      <c r="AB4347" s="12">
        <v>620</v>
      </c>
      <c r="AC4347" s="12"/>
      <c r="AD4347" s="12" t="str">
        <f>IFERROR(__xludf.DUMMYFUNCTION("""COMPUTED_VALUE"""),"Woody Strode")</f>
        <v>Woody Strode</v>
      </c>
      <c r="AE4347" s="12"/>
    </row>
    <row r="4348" customHeight="1" spans="1:31">
      <c r="A4348" s="11" t="s">
        <v>30</v>
      </c>
      <c r="B4348" s="11" t="s">
        <v>12086</v>
      </c>
      <c r="C4348" s="11">
        <v>363</v>
      </c>
      <c r="D4348" s="11">
        <v>95</v>
      </c>
      <c r="E4348" s="11">
        <v>89</v>
      </c>
      <c r="F4348" s="11">
        <v>263</v>
      </c>
      <c r="G4348" s="11">
        <v>16000</v>
      </c>
      <c r="H4348" s="11">
        <v>1028658</v>
      </c>
      <c r="I4348" s="11" t="s">
        <v>1924</v>
      </c>
      <c r="J4348" s="11" t="s">
        <v>315</v>
      </c>
      <c r="K4348" s="11" t="s">
        <v>3706</v>
      </c>
      <c r="L4348" s="11" t="s">
        <v>20613</v>
      </c>
      <c r="M4348" s="11" t="s">
        <v>20614</v>
      </c>
      <c r="N4348" s="11">
        <v>118684</v>
      </c>
      <c r="O4348" s="11">
        <v>17471</v>
      </c>
      <c r="P4348" s="11">
        <v>0</v>
      </c>
      <c r="Q4348" s="11" t="s">
        <v>20615</v>
      </c>
      <c r="R4348" s="14" t="s">
        <v>20616</v>
      </c>
      <c r="S4348" s="11">
        <v>447</v>
      </c>
      <c r="T4348" s="11" t="s">
        <v>39</v>
      </c>
      <c r="U4348" s="11" t="s">
        <v>3572</v>
      </c>
      <c r="V4348" s="11" t="s">
        <v>586</v>
      </c>
      <c r="W4348" s="11">
        <v>3000000</v>
      </c>
      <c r="X4348" s="11">
        <v>2010</v>
      </c>
      <c r="Y4348" s="11">
        <v>517</v>
      </c>
      <c r="Z4348" s="11">
        <v>7</v>
      </c>
      <c r="AA4348" s="11">
        <v>2.35</v>
      </c>
      <c r="AB4348" s="11">
        <v>24000</v>
      </c>
      <c r="AC4348" s="11"/>
      <c r="AD4348" s="11" t="str">
        <f>IFERROR(__xludf.DUMMYFUNCTION("""COMPUTED_VALUE"""),"Jack Elam")</f>
        <v>Jack Elam</v>
      </c>
      <c r="AE4348" s="11"/>
    </row>
    <row r="4349" customHeight="1" spans="1:31">
      <c r="A4349" s="12" t="s">
        <v>30</v>
      </c>
      <c r="B4349" s="12" t="s">
        <v>20617</v>
      </c>
      <c r="C4349" s="12">
        <v>249</v>
      </c>
      <c r="D4349" s="12">
        <v>97</v>
      </c>
      <c r="E4349" s="12">
        <v>0</v>
      </c>
      <c r="F4349" s="12">
        <v>594</v>
      </c>
      <c r="G4349" s="12">
        <v>920</v>
      </c>
      <c r="H4349" s="12">
        <v>466702</v>
      </c>
      <c r="I4349" s="12" t="s">
        <v>1415</v>
      </c>
      <c r="J4349" s="12" t="s">
        <v>5047</v>
      </c>
      <c r="K4349" s="12" t="s">
        <v>2284</v>
      </c>
      <c r="L4349" s="12" t="s">
        <v>4725</v>
      </c>
      <c r="M4349" s="12" t="s">
        <v>20618</v>
      </c>
      <c r="N4349" s="12">
        <v>65877</v>
      </c>
      <c r="O4349" s="12">
        <v>3275</v>
      </c>
      <c r="P4349" s="12">
        <v>1</v>
      </c>
      <c r="Q4349" s="12" t="s">
        <v>20619</v>
      </c>
      <c r="R4349" s="15" t="s">
        <v>20620</v>
      </c>
      <c r="S4349" s="12">
        <v>100</v>
      </c>
      <c r="T4349" s="12" t="s">
        <v>39</v>
      </c>
      <c r="U4349" s="12" t="s">
        <v>58</v>
      </c>
      <c r="V4349" s="12" t="s">
        <v>586</v>
      </c>
      <c r="W4349" s="16"/>
      <c r="X4349" s="12">
        <v>2010</v>
      </c>
      <c r="Y4349" s="12">
        <v>680</v>
      </c>
      <c r="Z4349" s="12">
        <v>7.3</v>
      </c>
      <c r="AA4349" s="12">
        <v>1.85</v>
      </c>
      <c r="AB4349" s="12">
        <v>17000</v>
      </c>
      <c r="AC4349" s="12"/>
      <c r="AD4349" s="12" t="str">
        <f>IFERROR(__xludf.DUMMYFUNCTION("""COMPUTED_VALUE"""),"Jonathan Silverman")</f>
        <v>Jonathan Silverman</v>
      </c>
      <c r="AE4349" s="12"/>
    </row>
    <row r="4350" customHeight="1" spans="1:31">
      <c r="A4350" s="11" t="s">
        <v>30</v>
      </c>
      <c r="B4350" s="11" t="s">
        <v>20621</v>
      </c>
      <c r="C4350" s="11">
        <v>68</v>
      </c>
      <c r="D4350" s="11">
        <v>108</v>
      </c>
      <c r="E4350" s="11">
        <v>63</v>
      </c>
      <c r="F4350" s="11">
        <v>5</v>
      </c>
      <c r="G4350" s="11">
        <v>161</v>
      </c>
      <c r="H4350" s="13"/>
      <c r="I4350" s="11" t="s">
        <v>20622</v>
      </c>
      <c r="J4350" s="11" t="s">
        <v>11114</v>
      </c>
      <c r="K4350" s="11" t="s">
        <v>20623</v>
      </c>
      <c r="L4350" s="11" t="s">
        <v>20624</v>
      </c>
      <c r="M4350" s="11" t="s">
        <v>20625</v>
      </c>
      <c r="N4350" s="11">
        <v>6678</v>
      </c>
      <c r="O4350" s="11">
        <v>176</v>
      </c>
      <c r="P4350" s="11">
        <v>0</v>
      </c>
      <c r="Q4350" s="13"/>
      <c r="R4350" s="14" t="s">
        <v>20626</v>
      </c>
      <c r="S4350" s="11">
        <v>42</v>
      </c>
      <c r="T4350" s="11" t="s">
        <v>15950</v>
      </c>
      <c r="U4350" s="11" t="s">
        <v>20627</v>
      </c>
      <c r="V4350" s="11" t="s">
        <v>4831</v>
      </c>
      <c r="W4350" s="11">
        <v>1500000</v>
      </c>
      <c r="X4350" s="11">
        <v>2013</v>
      </c>
      <c r="Y4350" s="11">
        <v>10</v>
      </c>
      <c r="Z4350" s="11">
        <v>8.1</v>
      </c>
      <c r="AA4350" s="11">
        <v>1.85</v>
      </c>
      <c r="AB4350" s="11">
        <v>0</v>
      </c>
      <c r="AC4350" s="11"/>
      <c r="AD4350" s="11" t="str">
        <f>IFERROR(__xludf.DUMMYFUNCTION("""COMPUTED_VALUE"""),"Matt Berry")</f>
        <v>Matt Berry</v>
      </c>
      <c r="AE4350" s="11"/>
    </row>
    <row r="4351" customHeight="1" spans="1:31">
      <c r="A4351" s="12" t="s">
        <v>30</v>
      </c>
      <c r="B4351" s="12" t="s">
        <v>20628</v>
      </c>
      <c r="C4351" s="12">
        <v>14</v>
      </c>
      <c r="D4351" s="12">
        <v>95</v>
      </c>
      <c r="E4351" s="12">
        <v>0</v>
      </c>
      <c r="F4351" s="12">
        <v>164</v>
      </c>
      <c r="G4351" s="12">
        <v>533</v>
      </c>
      <c r="H4351" s="12">
        <v>18435</v>
      </c>
      <c r="I4351" s="12" t="s">
        <v>3410</v>
      </c>
      <c r="J4351" s="12" t="s">
        <v>20629</v>
      </c>
      <c r="K4351" s="12" t="s">
        <v>20630</v>
      </c>
      <c r="L4351" s="12" t="s">
        <v>5980</v>
      </c>
      <c r="M4351" s="12" t="s">
        <v>20631</v>
      </c>
      <c r="N4351" s="12">
        <v>1010</v>
      </c>
      <c r="O4351" s="12">
        <v>1082</v>
      </c>
      <c r="P4351" s="12">
        <v>5</v>
      </c>
      <c r="Q4351" s="12" t="s">
        <v>20632</v>
      </c>
      <c r="R4351" s="15" t="s">
        <v>20633</v>
      </c>
      <c r="S4351" s="12">
        <v>15</v>
      </c>
      <c r="T4351" s="12" t="s">
        <v>1465</v>
      </c>
      <c r="U4351" s="12" t="s">
        <v>1466</v>
      </c>
      <c r="V4351" s="12" t="s">
        <v>5614</v>
      </c>
      <c r="W4351" s="12">
        <v>1400000</v>
      </c>
      <c r="X4351" s="12">
        <v>2006</v>
      </c>
      <c r="Y4351" s="12">
        <v>323</v>
      </c>
      <c r="Z4351" s="12">
        <v>5.8</v>
      </c>
      <c r="AA4351" s="12">
        <v>1.85</v>
      </c>
      <c r="AB4351" s="12">
        <v>104</v>
      </c>
      <c r="AC4351" s="12"/>
      <c r="AD4351" s="12" t="str">
        <f>IFERROR(__xludf.DUMMYFUNCTION("""COMPUTED_VALUE"""),"Norbert Ferrer")</f>
        <v>Norbert Ferrer</v>
      </c>
      <c r="AE4351" s="12"/>
    </row>
    <row r="4352" customHeight="1" spans="1:31">
      <c r="A4352" s="11" t="s">
        <v>30</v>
      </c>
      <c r="B4352" s="11" t="s">
        <v>8418</v>
      </c>
      <c r="C4352" s="11">
        <v>359</v>
      </c>
      <c r="D4352" s="11">
        <v>100</v>
      </c>
      <c r="E4352" s="11">
        <v>108</v>
      </c>
      <c r="F4352" s="11">
        <v>534</v>
      </c>
      <c r="G4352" s="11">
        <v>17000</v>
      </c>
      <c r="H4352" s="11">
        <v>35266619</v>
      </c>
      <c r="I4352" s="11" t="s">
        <v>5052</v>
      </c>
      <c r="J4352" s="11" t="s">
        <v>490</v>
      </c>
      <c r="K4352" s="11" t="s">
        <v>236</v>
      </c>
      <c r="L4352" s="11" t="s">
        <v>7935</v>
      </c>
      <c r="M4352" s="11" t="s">
        <v>8419</v>
      </c>
      <c r="N4352" s="11">
        <v>108248</v>
      </c>
      <c r="O4352" s="11">
        <v>20051</v>
      </c>
      <c r="P4352" s="11">
        <v>1</v>
      </c>
      <c r="Q4352" s="11" t="s">
        <v>8420</v>
      </c>
      <c r="R4352" s="14" t="s">
        <v>8421</v>
      </c>
      <c r="S4352" s="11">
        <v>371</v>
      </c>
      <c r="T4352" s="11" t="s">
        <v>39</v>
      </c>
      <c r="U4352" s="11" t="s">
        <v>40</v>
      </c>
      <c r="V4352" s="11" t="s">
        <v>586</v>
      </c>
      <c r="W4352" s="11">
        <v>30000000</v>
      </c>
      <c r="X4352" s="11">
        <v>2013</v>
      </c>
      <c r="Y4352" s="11">
        <v>2000</v>
      </c>
      <c r="Z4352" s="11">
        <v>5.9</v>
      </c>
      <c r="AA4352" s="11">
        <v>2.35</v>
      </c>
      <c r="AB4352" s="11">
        <v>39000</v>
      </c>
      <c r="AC4352" s="11"/>
      <c r="AD4352" s="11" t="str">
        <f>IFERROR(__xludf.DUMMYFUNCTION("""COMPUTED_VALUE"""),"Guillaume Denaiffe")</f>
        <v>Guillaume Denaiffe</v>
      </c>
      <c r="AE4352" s="11"/>
    </row>
    <row r="4353" customHeight="1" spans="1:31">
      <c r="A4353" s="12" t="s">
        <v>30</v>
      </c>
      <c r="B4353" s="12" t="s">
        <v>20634</v>
      </c>
      <c r="C4353" s="12">
        <v>15</v>
      </c>
      <c r="D4353" s="12">
        <v>160</v>
      </c>
      <c r="E4353" s="12">
        <v>168</v>
      </c>
      <c r="F4353" s="12">
        <v>71</v>
      </c>
      <c r="G4353" s="12">
        <v>733</v>
      </c>
      <c r="H4353" s="12">
        <v>95236</v>
      </c>
      <c r="I4353" s="12" t="s">
        <v>18256</v>
      </c>
      <c r="J4353" s="12" t="s">
        <v>2581</v>
      </c>
      <c r="K4353" s="12" t="s">
        <v>20634</v>
      </c>
      <c r="L4353" s="12" t="s">
        <v>20635</v>
      </c>
      <c r="M4353" s="12" t="s">
        <v>20636</v>
      </c>
      <c r="N4353" s="12">
        <v>5018</v>
      </c>
      <c r="O4353" s="12">
        <v>1182</v>
      </c>
      <c r="P4353" s="12">
        <v>3</v>
      </c>
      <c r="Q4353" s="16"/>
      <c r="R4353" s="15" t="s">
        <v>20637</v>
      </c>
      <c r="S4353" s="12">
        <v>38</v>
      </c>
      <c r="T4353" s="12" t="s">
        <v>5612</v>
      </c>
      <c r="U4353" s="12" t="s">
        <v>5613</v>
      </c>
      <c r="V4353" s="12" t="s">
        <v>4831</v>
      </c>
      <c r="W4353" s="16"/>
      <c r="X4353" s="12">
        <v>2013</v>
      </c>
      <c r="Y4353" s="12">
        <v>168</v>
      </c>
      <c r="Z4353" s="12">
        <v>6.4</v>
      </c>
      <c r="AA4353" s="16"/>
      <c r="AB4353" s="12">
        <v>1000</v>
      </c>
      <c r="AC4353" s="12"/>
      <c r="AD4353" s="12" t="str">
        <f>IFERROR(__xludf.DUMMYFUNCTION("""COMPUTED_VALUE"""),"Chloe Hollings")</f>
        <v>Chloe Hollings</v>
      </c>
      <c r="AE4353" s="12"/>
    </row>
    <row r="4354" customHeight="1" spans="1:31">
      <c r="A4354" s="11" t="s">
        <v>30</v>
      </c>
      <c r="B4354" s="11" t="s">
        <v>6309</v>
      </c>
      <c r="C4354" s="11">
        <v>256</v>
      </c>
      <c r="D4354" s="11">
        <v>101</v>
      </c>
      <c r="E4354" s="11">
        <v>0</v>
      </c>
      <c r="F4354" s="11">
        <v>574</v>
      </c>
      <c r="G4354" s="11">
        <v>40000</v>
      </c>
      <c r="H4354" s="11">
        <v>26505000</v>
      </c>
      <c r="I4354" s="11" t="s">
        <v>6403</v>
      </c>
      <c r="J4354" s="11" t="s">
        <v>44</v>
      </c>
      <c r="K4354" s="11" t="s">
        <v>7330</v>
      </c>
      <c r="L4354" s="11" t="s">
        <v>7331</v>
      </c>
      <c r="M4354" s="11" t="s">
        <v>7332</v>
      </c>
      <c r="N4354" s="11">
        <v>149293</v>
      </c>
      <c r="O4354" s="11">
        <v>42918</v>
      </c>
      <c r="P4354" s="11">
        <v>1</v>
      </c>
      <c r="Q4354" s="11" t="s">
        <v>7333</v>
      </c>
      <c r="R4354" s="14" t="s">
        <v>7334</v>
      </c>
      <c r="S4354" s="11">
        <v>668</v>
      </c>
      <c r="T4354" s="11" t="s">
        <v>39</v>
      </c>
      <c r="U4354" s="11" t="s">
        <v>40</v>
      </c>
      <c r="V4354" s="11" t="s">
        <v>7335</v>
      </c>
      <c r="W4354" s="11">
        <v>1800000</v>
      </c>
      <c r="X4354" s="11">
        <v>1984</v>
      </c>
      <c r="Y4354" s="11">
        <v>852</v>
      </c>
      <c r="Z4354" s="11">
        <v>7.5</v>
      </c>
      <c r="AA4354" s="11">
        <v>1.85</v>
      </c>
      <c r="AB4354" s="11">
        <v>10000</v>
      </c>
      <c r="AC4354" s="11"/>
      <c r="AD4354" s="11" t="str">
        <f>IFERROR(__xludf.DUMMYFUNCTION("""COMPUTED_VALUE"""),"Simon Baker")</f>
        <v>Simon Baker</v>
      </c>
      <c r="AE4354" s="11"/>
    </row>
    <row r="4355" customHeight="1" spans="1:31">
      <c r="A4355" s="12" t="s">
        <v>30</v>
      </c>
      <c r="B4355" s="12" t="s">
        <v>12808</v>
      </c>
      <c r="C4355" s="12">
        <v>194</v>
      </c>
      <c r="D4355" s="12">
        <v>90</v>
      </c>
      <c r="E4355" s="12">
        <v>120</v>
      </c>
      <c r="F4355" s="12">
        <v>0</v>
      </c>
      <c r="G4355" s="12">
        <v>41</v>
      </c>
      <c r="H4355" s="12">
        <v>2957978</v>
      </c>
      <c r="I4355" s="12" t="s">
        <v>20638</v>
      </c>
      <c r="J4355" s="12" t="s">
        <v>20639</v>
      </c>
      <c r="K4355" s="12" t="s">
        <v>20640</v>
      </c>
      <c r="L4355" s="12" t="s">
        <v>20641</v>
      </c>
      <c r="M4355" s="12" t="s">
        <v>20642</v>
      </c>
      <c r="N4355" s="12">
        <v>40481</v>
      </c>
      <c r="O4355" s="12">
        <v>68</v>
      </c>
      <c r="P4355" s="12">
        <v>0</v>
      </c>
      <c r="Q4355" s="12" t="s">
        <v>20643</v>
      </c>
      <c r="R4355" s="15" t="s">
        <v>20644</v>
      </c>
      <c r="S4355" s="12">
        <v>134</v>
      </c>
      <c r="T4355" s="12" t="s">
        <v>39</v>
      </c>
      <c r="U4355" s="12" t="s">
        <v>58</v>
      </c>
      <c r="V4355" s="12" t="s">
        <v>41</v>
      </c>
      <c r="W4355" s="12">
        <v>1000000</v>
      </c>
      <c r="X4355" s="12">
        <v>2008</v>
      </c>
      <c r="Y4355" s="12">
        <v>27</v>
      </c>
      <c r="Z4355" s="12">
        <v>7.8</v>
      </c>
      <c r="AA4355" s="12">
        <v>1.85</v>
      </c>
      <c r="AB4355" s="12">
        <v>0</v>
      </c>
      <c r="AC4355" s="12"/>
      <c r="AD4355" s="12" t="str">
        <f>IFERROR(__xludf.DUMMYFUNCTION("""COMPUTED_VALUE"""),"Olivier Rabourdin")</f>
        <v>Olivier Rabourdin</v>
      </c>
      <c r="AE4355" s="12"/>
    </row>
    <row r="4356" customHeight="1" spans="1:31">
      <c r="A4356" s="11" t="s">
        <v>30</v>
      </c>
      <c r="B4356" s="11" t="s">
        <v>20645</v>
      </c>
      <c r="C4356" s="13"/>
      <c r="D4356" s="11">
        <v>86</v>
      </c>
      <c r="E4356" s="11">
        <v>0</v>
      </c>
      <c r="F4356" s="11">
        <v>3</v>
      </c>
      <c r="G4356" s="11">
        <v>42</v>
      </c>
      <c r="H4356" s="13"/>
      <c r="I4356" s="11" t="s">
        <v>3410</v>
      </c>
      <c r="J4356" s="11" t="s">
        <v>20646</v>
      </c>
      <c r="K4356" s="11" t="s">
        <v>20647</v>
      </c>
      <c r="L4356" s="11" t="s">
        <v>20648</v>
      </c>
      <c r="M4356" s="11" t="s">
        <v>20649</v>
      </c>
      <c r="N4356" s="11">
        <v>333</v>
      </c>
      <c r="O4356" s="11">
        <v>90</v>
      </c>
      <c r="P4356" s="11">
        <v>5</v>
      </c>
      <c r="Q4356" s="11" t="s">
        <v>20650</v>
      </c>
      <c r="R4356" s="14" t="s">
        <v>20651</v>
      </c>
      <c r="S4356" s="11">
        <v>6</v>
      </c>
      <c r="T4356" s="11" t="s">
        <v>39</v>
      </c>
      <c r="U4356" s="11" t="s">
        <v>180</v>
      </c>
      <c r="V4356" s="13"/>
      <c r="W4356" s="13"/>
      <c r="X4356" s="11">
        <v>2015</v>
      </c>
      <c r="Y4356" s="11">
        <v>40</v>
      </c>
      <c r="Z4356" s="11">
        <v>6.3</v>
      </c>
      <c r="AA4356" s="13"/>
      <c r="AB4356" s="11">
        <v>213</v>
      </c>
      <c r="AC4356" s="11"/>
      <c r="AD4356" s="11" t="str">
        <f>IFERROR(__xludf.DUMMYFUNCTION("""COMPUTED_VALUE"""),"Cassandra Peterson")</f>
        <v>Cassandra Peterson</v>
      </c>
      <c r="AE4356" s="11"/>
    </row>
    <row r="4357" customHeight="1" spans="1:31">
      <c r="A4357" s="12" t="s">
        <v>30</v>
      </c>
      <c r="B4357" s="12" t="s">
        <v>20652</v>
      </c>
      <c r="C4357" s="12">
        <v>10</v>
      </c>
      <c r="D4357" s="12">
        <v>89</v>
      </c>
      <c r="E4357" s="12">
        <v>47</v>
      </c>
      <c r="F4357" s="12">
        <v>585</v>
      </c>
      <c r="G4357" s="12">
        <v>628</v>
      </c>
      <c r="H4357" s="12">
        <v>444044</v>
      </c>
      <c r="I4357" s="12" t="s">
        <v>3410</v>
      </c>
      <c r="J4357" s="12" t="s">
        <v>7436</v>
      </c>
      <c r="K4357" s="12" t="s">
        <v>20653</v>
      </c>
      <c r="L4357" s="12" t="s">
        <v>5227</v>
      </c>
      <c r="M4357" s="12" t="s">
        <v>20654</v>
      </c>
      <c r="N4357" s="12">
        <v>744</v>
      </c>
      <c r="O4357" s="12">
        <v>4249</v>
      </c>
      <c r="P4357" s="12">
        <v>6</v>
      </c>
      <c r="Q4357" s="12" t="s">
        <v>20655</v>
      </c>
      <c r="R4357" s="15" t="s">
        <v>20656</v>
      </c>
      <c r="S4357" s="12">
        <v>19</v>
      </c>
      <c r="T4357" s="12" t="s">
        <v>39</v>
      </c>
      <c r="U4357" s="12" t="s">
        <v>40</v>
      </c>
      <c r="V4357" s="12" t="s">
        <v>586</v>
      </c>
      <c r="W4357" s="12">
        <v>1900000</v>
      </c>
      <c r="X4357" s="12">
        <v>2015</v>
      </c>
      <c r="Y4357" s="12">
        <v>606</v>
      </c>
      <c r="Z4357" s="12">
        <v>7.2</v>
      </c>
      <c r="AA4357" s="12">
        <v>1.85</v>
      </c>
      <c r="AB4357" s="12">
        <v>1000</v>
      </c>
      <c r="AC4357" s="12"/>
      <c r="AD4357" s="12" t="str">
        <f>IFERROR(__xludf.DUMMYFUNCTION("""COMPUTED_VALUE"""),"Tim Thomerson")</f>
        <v>Tim Thomerson</v>
      </c>
      <c r="AE4357" s="12"/>
    </row>
    <row r="4358" customHeight="1" spans="1:31">
      <c r="A4358" s="11" t="s">
        <v>30</v>
      </c>
      <c r="B4358" s="11" t="s">
        <v>20657</v>
      </c>
      <c r="C4358" s="11">
        <v>311</v>
      </c>
      <c r="D4358" s="11">
        <v>87</v>
      </c>
      <c r="E4358" s="11">
        <v>13</v>
      </c>
      <c r="F4358" s="11">
        <v>308</v>
      </c>
      <c r="G4358" s="11">
        <v>463</v>
      </c>
      <c r="H4358" s="11">
        <v>40990055</v>
      </c>
      <c r="I4358" s="11" t="s">
        <v>4384</v>
      </c>
      <c r="J4358" s="11" t="s">
        <v>19164</v>
      </c>
      <c r="K4358" s="11" t="s">
        <v>18504</v>
      </c>
      <c r="L4358" s="11" t="s">
        <v>20658</v>
      </c>
      <c r="M4358" s="11" t="s">
        <v>20659</v>
      </c>
      <c r="N4358" s="11">
        <v>41509</v>
      </c>
      <c r="O4358" s="11">
        <v>1958</v>
      </c>
      <c r="P4358" s="11">
        <v>0</v>
      </c>
      <c r="Q4358" s="11" t="s">
        <v>20660</v>
      </c>
      <c r="R4358" s="14" t="s">
        <v>20661</v>
      </c>
      <c r="S4358" s="11">
        <v>300</v>
      </c>
      <c r="T4358" s="11" t="s">
        <v>39</v>
      </c>
      <c r="U4358" s="11" t="s">
        <v>1466</v>
      </c>
      <c r="V4358" s="11" t="s">
        <v>41</v>
      </c>
      <c r="W4358" s="11">
        <v>1800000</v>
      </c>
      <c r="X4358" s="11">
        <v>2010</v>
      </c>
      <c r="Y4358" s="11">
        <v>400</v>
      </c>
      <c r="Z4358" s="11">
        <v>5.6</v>
      </c>
      <c r="AA4358" s="11">
        <v>1.85</v>
      </c>
      <c r="AB4358" s="11">
        <v>0</v>
      </c>
      <c r="AC4358" s="11"/>
      <c r="AD4358" s="11" t="str">
        <f>IFERROR(__xludf.DUMMYFUNCTION("""COMPUTED_VALUE"""),"Bess Armstrong")</f>
        <v>Bess Armstrong</v>
      </c>
      <c r="AE4358" s="11"/>
    </row>
    <row r="4359" customHeight="1" spans="1:31">
      <c r="A4359" s="12" t="s">
        <v>30</v>
      </c>
      <c r="B4359" s="12" t="s">
        <v>6263</v>
      </c>
      <c r="C4359" s="12">
        <v>205</v>
      </c>
      <c r="D4359" s="12">
        <v>98</v>
      </c>
      <c r="E4359" s="12">
        <v>456</v>
      </c>
      <c r="F4359" s="12">
        <v>231</v>
      </c>
      <c r="G4359" s="12">
        <v>1000</v>
      </c>
      <c r="H4359" s="12">
        <v>1445366</v>
      </c>
      <c r="I4359" s="12" t="s">
        <v>4297</v>
      </c>
      <c r="J4359" s="12" t="s">
        <v>203</v>
      </c>
      <c r="K4359" s="12" t="s">
        <v>4686</v>
      </c>
      <c r="L4359" s="12" t="s">
        <v>10508</v>
      </c>
      <c r="M4359" s="12" t="s">
        <v>20662</v>
      </c>
      <c r="N4359" s="12">
        <v>29019</v>
      </c>
      <c r="O4359" s="12">
        <v>2032</v>
      </c>
      <c r="P4359" s="12">
        <v>1</v>
      </c>
      <c r="Q4359" s="12" t="s">
        <v>20663</v>
      </c>
      <c r="R4359" s="15" t="s">
        <v>20664</v>
      </c>
      <c r="S4359" s="12">
        <v>75</v>
      </c>
      <c r="T4359" s="12" t="s">
        <v>39</v>
      </c>
      <c r="U4359" s="12" t="s">
        <v>58</v>
      </c>
      <c r="V4359" s="12" t="s">
        <v>586</v>
      </c>
      <c r="W4359" s="16"/>
      <c r="X4359" s="12">
        <v>2009</v>
      </c>
      <c r="Y4359" s="12">
        <v>548</v>
      </c>
      <c r="Z4359" s="12">
        <v>7.2</v>
      </c>
      <c r="AA4359" s="12">
        <v>2.35</v>
      </c>
      <c r="AB4359" s="12">
        <v>10000</v>
      </c>
      <c r="AC4359" s="12"/>
      <c r="AD4359" s="12" t="str">
        <f>IFERROR(__xludf.DUMMYFUNCTION("""COMPUTED_VALUE"""),"Liz Mullane")</f>
        <v>Liz Mullane</v>
      </c>
      <c r="AE4359" s="12"/>
    </row>
    <row r="4360" customHeight="1" spans="1:31">
      <c r="A4360" s="11" t="s">
        <v>748</v>
      </c>
      <c r="B4360" s="11" t="s">
        <v>20226</v>
      </c>
      <c r="C4360" s="11">
        <v>94</v>
      </c>
      <c r="D4360" s="11">
        <v>125</v>
      </c>
      <c r="E4360" s="11">
        <v>603</v>
      </c>
      <c r="F4360" s="11">
        <v>114</v>
      </c>
      <c r="G4360" s="11">
        <v>10000</v>
      </c>
      <c r="H4360" s="13"/>
      <c r="I4360" s="11" t="s">
        <v>3410</v>
      </c>
      <c r="J4360" s="11" t="s">
        <v>121</v>
      </c>
      <c r="K4360" s="11" t="s">
        <v>12526</v>
      </c>
      <c r="L4360" s="11" t="s">
        <v>20665</v>
      </c>
      <c r="M4360" s="11" t="s">
        <v>20666</v>
      </c>
      <c r="N4360" s="11">
        <v>78454</v>
      </c>
      <c r="O4360" s="11">
        <v>10570</v>
      </c>
      <c r="P4360" s="11">
        <v>0</v>
      </c>
      <c r="Q4360" s="11" t="s">
        <v>20667</v>
      </c>
      <c r="R4360" s="14" t="s">
        <v>20668</v>
      </c>
      <c r="S4360" s="11">
        <v>233</v>
      </c>
      <c r="T4360" s="11" t="s">
        <v>39</v>
      </c>
      <c r="U4360" s="11" t="s">
        <v>40</v>
      </c>
      <c r="V4360" s="11" t="s">
        <v>96</v>
      </c>
      <c r="W4360" s="11">
        <v>1800000</v>
      </c>
      <c r="X4360" s="11">
        <v>1951</v>
      </c>
      <c r="Y4360" s="11">
        <v>416</v>
      </c>
      <c r="Z4360" s="11">
        <v>8</v>
      </c>
      <c r="AA4360" s="11">
        <v>1.37</v>
      </c>
      <c r="AB4360" s="11">
        <v>5000</v>
      </c>
      <c r="AC4360" s="11"/>
      <c r="AD4360" s="11" t="str">
        <f>IFERROR(__xludf.DUMMYFUNCTION("""COMPUTED_VALUE"""),"Bobby Batson")</f>
        <v>Bobby Batson</v>
      </c>
      <c r="AE4360" s="11"/>
    </row>
    <row r="4361" customHeight="1" spans="1:31">
      <c r="A4361" s="12" t="s">
        <v>748</v>
      </c>
      <c r="B4361" s="12" t="s">
        <v>3728</v>
      </c>
      <c r="C4361" s="12">
        <v>192</v>
      </c>
      <c r="D4361" s="12">
        <v>95</v>
      </c>
      <c r="E4361" s="12">
        <v>0</v>
      </c>
      <c r="F4361" s="12">
        <v>277</v>
      </c>
      <c r="G4361" s="12">
        <v>654</v>
      </c>
      <c r="H4361" s="16"/>
      <c r="I4361" s="12" t="s">
        <v>1672</v>
      </c>
      <c r="J4361" s="12" t="s">
        <v>12978</v>
      </c>
      <c r="K4361" s="12" t="s">
        <v>18804</v>
      </c>
      <c r="L4361" s="12" t="s">
        <v>18814</v>
      </c>
      <c r="M4361" s="12" t="s">
        <v>20669</v>
      </c>
      <c r="N4361" s="12">
        <v>342585</v>
      </c>
      <c r="O4361" s="12">
        <v>1991</v>
      </c>
      <c r="P4361" s="12">
        <v>0</v>
      </c>
      <c r="Q4361" s="12" t="s">
        <v>20670</v>
      </c>
      <c r="R4361" s="15" t="s">
        <v>20671</v>
      </c>
      <c r="S4361" s="12">
        <v>839</v>
      </c>
      <c r="T4361" s="12" t="s">
        <v>39</v>
      </c>
      <c r="U4361" s="12" t="s">
        <v>40</v>
      </c>
      <c r="V4361" s="12" t="s">
        <v>96</v>
      </c>
      <c r="W4361" s="12">
        <v>1800000</v>
      </c>
      <c r="X4361" s="12">
        <v>1964</v>
      </c>
      <c r="Y4361" s="12">
        <v>575</v>
      </c>
      <c r="Z4361" s="12">
        <v>8.5</v>
      </c>
      <c r="AA4361" s="12">
        <v>1.66</v>
      </c>
      <c r="AB4361" s="12">
        <v>18000</v>
      </c>
      <c r="AC4361" s="12"/>
      <c r="AD4361" s="12" t="str">
        <f>IFERROR(__xludf.DUMMYFUNCTION("""COMPUTED_VALUE"""),"Cynthia Barrett")</f>
        <v>Cynthia Barrett</v>
      </c>
      <c r="AE4361" s="12"/>
    </row>
    <row r="4362" customHeight="1" spans="1:31">
      <c r="A4362" s="11" t="s">
        <v>30</v>
      </c>
      <c r="B4362" s="11" t="s">
        <v>20672</v>
      </c>
      <c r="C4362" s="11">
        <v>85</v>
      </c>
      <c r="D4362" s="11">
        <v>118</v>
      </c>
      <c r="E4362" s="11">
        <v>12</v>
      </c>
      <c r="F4362" s="11">
        <v>67</v>
      </c>
      <c r="G4362" s="11">
        <v>201</v>
      </c>
      <c r="H4362" s="11">
        <v>5709616</v>
      </c>
      <c r="I4362" s="11" t="s">
        <v>214</v>
      </c>
      <c r="J4362" s="11" t="s">
        <v>151</v>
      </c>
      <c r="K4362" s="11" t="s">
        <v>20673</v>
      </c>
      <c r="L4362" s="11" t="s">
        <v>2891</v>
      </c>
      <c r="M4362" s="11" t="s">
        <v>20674</v>
      </c>
      <c r="N4362" s="11">
        <v>11088</v>
      </c>
      <c r="O4362" s="11">
        <v>546</v>
      </c>
      <c r="P4362" s="11">
        <v>0</v>
      </c>
      <c r="Q4362" s="11" t="s">
        <v>20675</v>
      </c>
      <c r="R4362" s="14" t="s">
        <v>20676</v>
      </c>
      <c r="S4362" s="11">
        <v>110</v>
      </c>
      <c r="T4362" s="11" t="s">
        <v>2779</v>
      </c>
      <c r="U4362" s="11" t="s">
        <v>2914</v>
      </c>
      <c r="V4362" s="11" t="s">
        <v>586</v>
      </c>
      <c r="W4362" s="11">
        <v>1800000</v>
      </c>
      <c r="X4362" s="11">
        <v>2002</v>
      </c>
      <c r="Y4362" s="11">
        <v>163</v>
      </c>
      <c r="Z4362" s="11">
        <v>6.8</v>
      </c>
      <c r="AA4362" s="11">
        <v>1.85</v>
      </c>
      <c r="AB4362" s="11">
        <v>544</v>
      </c>
      <c r="AC4362" s="11"/>
      <c r="AD4362" s="11" t="str">
        <f>IFERROR(__xludf.DUMMYFUNCTION("""COMPUTED_VALUE"""),"Marilyn Manson")</f>
        <v>Marilyn Manson</v>
      </c>
      <c r="AE4362" s="11"/>
    </row>
    <row r="4363" customHeight="1" spans="1:31">
      <c r="A4363" s="12" t="s">
        <v>30</v>
      </c>
      <c r="B4363" s="12" t="s">
        <v>20677</v>
      </c>
      <c r="C4363" s="12">
        <v>663</v>
      </c>
      <c r="D4363" s="12">
        <v>93</v>
      </c>
      <c r="E4363" s="12">
        <v>188</v>
      </c>
      <c r="F4363" s="12">
        <v>168</v>
      </c>
      <c r="G4363" s="12">
        <v>2000</v>
      </c>
      <c r="H4363" s="12">
        <v>12784397</v>
      </c>
      <c r="I4363" s="12" t="s">
        <v>5324</v>
      </c>
      <c r="J4363" s="12" t="s">
        <v>3735</v>
      </c>
      <c r="K4363" s="12" t="s">
        <v>20678</v>
      </c>
      <c r="L4363" s="12" t="s">
        <v>20679</v>
      </c>
      <c r="M4363" s="12" t="s">
        <v>20680</v>
      </c>
      <c r="N4363" s="12">
        <v>70336</v>
      </c>
      <c r="O4363" s="12">
        <v>2658</v>
      </c>
      <c r="P4363" s="12">
        <v>0</v>
      </c>
      <c r="Q4363" s="12" t="s">
        <v>20681</v>
      </c>
      <c r="R4363" s="15" t="s">
        <v>20682</v>
      </c>
      <c r="S4363" s="12">
        <v>269</v>
      </c>
      <c r="T4363" s="12" t="s">
        <v>39</v>
      </c>
      <c r="U4363" s="12" t="s">
        <v>40</v>
      </c>
      <c r="V4363" s="12" t="s">
        <v>41</v>
      </c>
      <c r="W4363" s="12">
        <v>1800000</v>
      </c>
      <c r="X4363" s="12">
        <v>2012</v>
      </c>
      <c r="Y4363" s="12">
        <v>458</v>
      </c>
      <c r="Z4363" s="12">
        <v>7.3</v>
      </c>
      <c r="AA4363" s="12">
        <v>1.85</v>
      </c>
      <c r="AB4363" s="12">
        <v>31000</v>
      </c>
      <c r="AC4363" s="12"/>
      <c r="AD4363" s="12" t="str">
        <f>IFERROR(__xludf.DUMMYFUNCTION("""COMPUTED_VALUE"""),"Tim Russ")</f>
        <v>Tim Russ</v>
      </c>
      <c r="AE4363" s="12"/>
    </row>
    <row r="4364" customHeight="1" spans="1:31">
      <c r="A4364" s="11" t="s">
        <v>30</v>
      </c>
      <c r="B4364" s="11" t="s">
        <v>20683</v>
      </c>
      <c r="C4364" s="11">
        <v>62</v>
      </c>
      <c r="D4364" s="11">
        <v>96</v>
      </c>
      <c r="E4364" s="11">
        <v>88</v>
      </c>
      <c r="F4364" s="11">
        <v>196</v>
      </c>
      <c r="G4364" s="11">
        <v>595</v>
      </c>
      <c r="H4364" s="13"/>
      <c r="I4364" s="11" t="s">
        <v>648</v>
      </c>
      <c r="J4364" s="11" t="s">
        <v>6115</v>
      </c>
      <c r="K4364" s="11" t="s">
        <v>20548</v>
      </c>
      <c r="L4364" s="11" t="s">
        <v>20684</v>
      </c>
      <c r="M4364" s="11" t="s">
        <v>20685</v>
      </c>
      <c r="N4364" s="11">
        <v>22764</v>
      </c>
      <c r="O4364" s="11">
        <v>1432</v>
      </c>
      <c r="P4364" s="11">
        <v>4</v>
      </c>
      <c r="Q4364" s="11" t="s">
        <v>20686</v>
      </c>
      <c r="R4364" s="14" t="s">
        <v>20687</v>
      </c>
      <c r="S4364" s="11">
        <v>91</v>
      </c>
      <c r="T4364" s="11" t="s">
        <v>39</v>
      </c>
      <c r="U4364" s="11" t="s">
        <v>40</v>
      </c>
      <c r="V4364" s="11" t="s">
        <v>278</v>
      </c>
      <c r="W4364" s="11">
        <v>1800000</v>
      </c>
      <c r="X4364" s="11">
        <v>1973</v>
      </c>
      <c r="Y4364" s="11">
        <v>356</v>
      </c>
      <c r="Z4364" s="11">
        <v>5.5</v>
      </c>
      <c r="AA4364" s="11">
        <v>2.35</v>
      </c>
      <c r="AB4364" s="11">
        <v>511</v>
      </c>
      <c r="AC4364" s="11"/>
      <c r="AD4364" s="11" t="str">
        <f>IFERROR(__xludf.DUMMYFUNCTION("""COMPUTED_VALUE"""),"Winter Ave Zoli")</f>
        <v>Winter Ave Zoli</v>
      </c>
      <c r="AE4364" s="11"/>
    </row>
    <row r="4365" customHeight="1" spans="1:31">
      <c r="A4365" s="12" t="s">
        <v>30</v>
      </c>
      <c r="B4365" s="12" t="s">
        <v>20688</v>
      </c>
      <c r="C4365" s="12">
        <v>39</v>
      </c>
      <c r="D4365" s="12">
        <v>109</v>
      </c>
      <c r="E4365" s="12">
        <v>9</v>
      </c>
      <c r="F4365" s="12">
        <v>280</v>
      </c>
      <c r="G4365" s="12">
        <v>767</v>
      </c>
      <c r="H4365" s="12">
        <v>3050934</v>
      </c>
      <c r="I4365" s="12" t="s">
        <v>6200</v>
      </c>
      <c r="J4365" s="12" t="s">
        <v>6446</v>
      </c>
      <c r="K4365" s="12" t="s">
        <v>5506</v>
      </c>
      <c r="L4365" s="12" t="s">
        <v>13511</v>
      </c>
      <c r="M4365" s="12" t="s">
        <v>20689</v>
      </c>
      <c r="N4365" s="12">
        <v>2794</v>
      </c>
      <c r="O4365" s="12">
        <v>2187</v>
      </c>
      <c r="P4365" s="12">
        <v>1</v>
      </c>
      <c r="Q4365" s="12" t="s">
        <v>20690</v>
      </c>
      <c r="R4365" s="15" t="s">
        <v>20691</v>
      </c>
      <c r="S4365" s="12">
        <v>78</v>
      </c>
      <c r="T4365" s="12" t="s">
        <v>39</v>
      </c>
      <c r="U4365" s="12" t="s">
        <v>40</v>
      </c>
      <c r="V4365" s="12" t="s">
        <v>41</v>
      </c>
      <c r="W4365" s="12">
        <v>1800000</v>
      </c>
      <c r="X4365" s="12">
        <v>2000</v>
      </c>
      <c r="Y4365" s="12">
        <v>380</v>
      </c>
      <c r="Z4365" s="12">
        <v>7.3</v>
      </c>
      <c r="AA4365" s="12">
        <v>1.85</v>
      </c>
      <c r="AB4365" s="12">
        <v>0</v>
      </c>
      <c r="AC4365" s="12"/>
      <c r="AD4365" s="12" t="str">
        <f>IFERROR(__xludf.DUMMYFUNCTION("""COMPUTED_VALUE"""),"Kristoffer Polaha")</f>
        <v>Kristoffer Polaha</v>
      </c>
      <c r="AE4365" s="12"/>
    </row>
    <row r="4366" customHeight="1" spans="1:31">
      <c r="A4366" s="11" t="s">
        <v>30</v>
      </c>
      <c r="B4366" s="11" t="s">
        <v>20692</v>
      </c>
      <c r="C4366" s="11">
        <v>68</v>
      </c>
      <c r="D4366" s="11">
        <v>109</v>
      </c>
      <c r="E4366" s="11">
        <v>0</v>
      </c>
      <c r="F4366" s="11">
        <v>186</v>
      </c>
      <c r="G4366" s="11">
        <v>553</v>
      </c>
      <c r="H4366" s="11">
        <v>841206</v>
      </c>
      <c r="I4366" s="11" t="s">
        <v>3410</v>
      </c>
      <c r="J4366" s="11" t="s">
        <v>91</v>
      </c>
      <c r="K4366" s="11" t="s">
        <v>14222</v>
      </c>
      <c r="L4366" s="11" t="s">
        <v>4605</v>
      </c>
      <c r="M4366" s="11" t="s">
        <v>20693</v>
      </c>
      <c r="N4366" s="11">
        <v>2603</v>
      </c>
      <c r="O4366" s="11">
        <v>1439</v>
      </c>
      <c r="P4366" s="11">
        <v>0</v>
      </c>
      <c r="Q4366" s="11" t="s">
        <v>20694</v>
      </c>
      <c r="R4366" s="14" t="s">
        <v>20695</v>
      </c>
      <c r="S4366" s="11">
        <v>34</v>
      </c>
      <c r="T4366" s="11" t="s">
        <v>39</v>
      </c>
      <c r="U4366" s="11" t="s">
        <v>40</v>
      </c>
      <c r="V4366" s="11" t="s">
        <v>586</v>
      </c>
      <c r="W4366" s="13"/>
      <c r="X4366" s="11">
        <v>2011</v>
      </c>
      <c r="Y4366" s="11">
        <v>471</v>
      </c>
      <c r="Z4366" s="11">
        <v>6.3</v>
      </c>
      <c r="AA4366" s="11">
        <v>1.85</v>
      </c>
      <c r="AB4366" s="11">
        <v>952</v>
      </c>
      <c r="AC4366" s="11"/>
      <c r="AD4366" s="11" t="str">
        <f>IFERROR(__xludf.DUMMYFUNCTION("""COMPUTED_VALUE"""),"Darryl Cox")</f>
        <v>Darryl Cox</v>
      </c>
      <c r="AE4366" s="11"/>
    </row>
    <row r="4367" customHeight="1" spans="1:31">
      <c r="A4367" s="12" t="s">
        <v>30</v>
      </c>
      <c r="B4367" s="12" t="s">
        <v>20696</v>
      </c>
      <c r="C4367" s="12">
        <v>3</v>
      </c>
      <c r="D4367" s="12">
        <v>155</v>
      </c>
      <c r="E4367" s="12">
        <v>0</v>
      </c>
      <c r="F4367" s="12">
        <v>61</v>
      </c>
      <c r="G4367" s="12">
        <v>141</v>
      </c>
      <c r="H4367" s="16"/>
      <c r="I4367" s="12" t="s">
        <v>1681</v>
      </c>
      <c r="J4367" s="12" t="s">
        <v>20697</v>
      </c>
      <c r="K4367" s="12" t="s">
        <v>20698</v>
      </c>
      <c r="L4367" s="12" t="s">
        <v>20699</v>
      </c>
      <c r="M4367" s="12" t="s">
        <v>20700</v>
      </c>
      <c r="N4367" s="12">
        <v>563</v>
      </c>
      <c r="O4367" s="12">
        <v>349</v>
      </c>
      <c r="P4367" s="12">
        <v>2</v>
      </c>
      <c r="Q4367" s="16"/>
      <c r="R4367" s="15" t="s">
        <v>20701</v>
      </c>
      <c r="S4367" s="12">
        <v>6</v>
      </c>
      <c r="T4367" s="12" t="s">
        <v>20702</v>
      </c>
      <c r="U4367" s="12" t="s">
        <v>5613</v>
      </c>
      <c r="V4367" s="16"/>
      <c r="W4367" s="12">
        <v>150000000</v>
      </c>
      <c r="X4367" s="12">
        <v>2015</v>
      </c>
      <c r="Y4367" s="12">
        <v>77</v>
      </c>
      <c r="Z4367" s="12">
        <v>5.1</v>
      </c>
      <c r="AA4367" s="16"/>
      <c r="AB4367" s="12">
        <v>82</v>
      </c>
      <c r="AC4367" s="12"/>
      <c r="AD4367" s="12" t="str">
        <f>IFERROR(__xludf.DUMMYFUNCTION("""COMPUTED_VALUE"""),"Lumi Cavazos")</f>
        <v>Lumi Cavazos</v>
      </c>
      <c r="AE4367" s="12"/>
    </row>
    <row r="4368" customHeight="1" spans="1:31">
      <c r="A4368" s="11" t="s">
        <v>30</v>
      </c>
      <c r="B4368" s="11" t="s">
        <v>15027</v>
      </c>
      <c r="C4368" s="11">
        <v>130</v>
      </c>
      <c r="D4368" s="11">
        <v>90</v>
      </c>
      <c r="E4368" s="11">
        <v>293</v>
      </c>
      <c r="F4368" s="11">
        <v>808</v>
      </c>
      <c r="G4368" s="11">
        <v>16000</v>
      </c>
      <c r="H4368" s="11">
        <v>638476</v>
      </c>
      <c r="I4368" s="11" t="s">
        <v>17534</v>
      </c>
      <c r="J4368" s="11" t="s">
        <v>1765</v>
      </c>
      <c r="K4368" s="11" t="s">
        <v>352</v>
      </c>
      <c r="L4368" s="11" t="s">
        <v>20703</v>
      </c>
      <c r="M4368" s="11" t="s">
        <v>20704</v>
      </c>
      <c r="N4368" s="11">
        <v>13223</v>
      </c>
      <c r="O4368" s="11">
        <v>32405</v>
      </c>
      <c r="P4368" s="11">
        <v>1</v>
      </c>
      <c r="Q4368" s="11" t="s">
        <v>20705</v>
      </c>
      <c r="R4368" s="14" t="s">
        <v>20706</v>
      </c>
      <c r="S4368" s="11">
        <v>45</v>
      </c>
      <c r="T4368" s="11" t="s">
        <v>39</v>
      </c>
      <c r="U4368" s="11" t="s">
        <v>40</v>
      </c>
      <c r="V4368" s="11" t="s">
        <v>41</v>
      </c>
      <c r="W4368" s="11">
        <v>1500000</v>
      </c>
      <c r="X4368" s="11">
        <v>2011</v>
      </c>
      <c r="Y4368" s="11">
        <v>14000</v>
      </c>
      <c r="Z4368" s="11">
        <v>6.6</v>
      </c>
      <c r="AA4368" s="13"/>
      <c r="AB4368" s="11">
        <v>0</v>
      </c>
      <c r="AC4368" s="11"/>
      <c r="AD4368" s="11" t="str">
        <f>IFERROR(__xludf.DUMMYFUNCTION("""COMPUTED_VALUE"""),"Akshaye Khanna")</f>
        <v>Akshaye Khanna</v>
      </c>
      <c r="AE4368" s="11"/>
    </row>
    <row r="4369" customHeight="1" spans="1:31">
      <c r="A4369" s="12" t="s">
        <v>748</v>
      </c>
      <c r="B4369" s="12" t="s">
        <v>20707</v>
      </c>
      <c r="C4369" s="12">
        <v>13</v>
      </c>
      <c r="D4369" s="12">
        <v>93</v>
      </c>
      <c r="E4369" s="12">
        <v>0</v>
      </c>
      <c r="F4369" s="12">
        <v>482</v>
      </c>
      <c r="G4369" s="12">
        <v>12000</v>
      </c>
      <c r="H4369" s="16"/>
      <c r="I4369" s="12" t="s">
        <v>7579</v>
      </c>
      <c r="J4369" s="12" t="s">
        <v>272</v>
      </c>
      <c r="K4369" s="12" t="s">
        <v>3546</v>
      </c>
      <c r="L4369" s="12" t="s">
        <v>5591</v>
      </c>
      <c r="M4369" s="12" t="s">
        <v>20708</v>
      </c>
      <c r="N4369" s="12">
        <v>1435</v>
      </c>
      <c r="O4369" s="12">
        <v>14620</v>
      </c>
      <c r="P4369" s="12">
        <v>0</v>
      </c>
      <c r="Q4369" s="12" t="s">
        <v>20709</v>
      </c>
      <c r="R4369" s="15" t="s">
        <v>20710</v>
      </c>
      <c r="S4369" s="12">
        <v>17</v>
      </c>
      <c r="T4369" s="12" t="s">
        <v>39</v>
      </c>
      <c r="U4369" s="12" t="s">
        <v>40</v>
      </c>
      <c r="V4369" s="12" t="s">
        <v>41</v>
      </c>
      <c r="W4369" s="12">
        <v>1800000</v>
      </c>
      <c r="X4369" s="12">
        <v>1993</v>
      </c>
      <c r="Y4369" s="12">
        <v>580</v>
      </c>
      <c r="Z4369" s="12">
        <v>6.1</v>
      </c>
      <c r="AA4369" s="12">
        <v>1.78</v>
      </c>
      <c r="AB4369" s="12">
        <v>266</v>
      </c>
      <c r="AC4369" s="12"/>
      <c r="AD4369" s="12" t="str">
        <f>IFERROR(__xludf.DUMMYFUNCTION("""COMPUTED_VALUE"""),"Bhoomika Chawla")</f>
        <v>Bhoomika Chawla</v>
      </c>
      <c r="AE4369" s="12"/>
    </row>
    <row r="4370" customHeight="1" spans="1:31">
      <c r="A4370" s="11" t="s">
        <v>30</v>
      </c>
      <c r="B4370" s="11" t="s">
        <v>20711</v>
      </c>
      <c r="C4370" s="11">
        <v>44</v>
      </c>
      <c r="D4370" s="11">
        <v>108</v>
      </c>
      <c r="E4370" s="11">
        <v>28</v>
      </c>
      <c r="F4370" s="11">
        <v>0</v>
      </c>
      <c r="G4370" s="11">
        <v>0</v>
      </c>
      <c r="H4370" s="11">
        <v>505295</v>
      </c>
      <c r="I4370" s="11" t="s">
        <v>7043</v>
      </c>
      <c r="J4370" s="11" t="s">
        <v>20712</v>
      </c>
      <c r="K4370" s="11" t="s">
        <v>20713</v>
      </c>
      <c r="L4370" s="11" t="s">
        <v>20714</v>
      </c>
      <c r="M4370" s="11" t="s">
        <v>20715</v>
      </c>
      <c r="N4370" s="11">
        <v>1747</v>
      </c>
      <c r="O4370" s="11">
        <v>0</v>
      </c>
      <c r="P4370" s="11">
        <v>0</v>
      </c>
      <c r="Q4370" s="11" t="s">
        <v>20716</v>
      </c>
      <c r="R4370" s="14" t="s">
        <v>20717</v>
      </c>
      <c r="S4370" s="11">
        <v>28</v>
      </c>
      <c r="T4370" s="11" t="s">
        <v>20718</v>
      </c>
      <c r="U4370" s="11" t="s">
        <v>371</v>
      </c>
      <c r="V4370" s="13"/>
      <c r="W4370" s="11">
        <v>1800000</v>
      </c>
      <c r="X4370" s="11">
        <v>2003</v>
      </c>
      <c r="Y4370" s="11">
        <v>0</v>
      </c>
      <c r="Z4370" s="11">
        <v>7.5</v>
      </c>
      <c r="AA4370" s="11">
        <v>1.85</v>
      </c>
      <c r="AB4370" s="11">
        <v>353</v>
      </c>
      <c r="AC4370" s="11"/>
      <c r="AD4370" s="11" t="str">
        <f>IFERROR(__xludf.DUMMYFUNCTION("""COMPUTED_VALUE"""),"Darshan Jariwala")</f>
        <v>Darshan Jariwala</v>
      </c>
      <c r="AE4370" s="11"/>
    </row>
    <row r="4371" customHeight="1" spans="1:31">
      <c r="A4371" s="12" t="s">
        <v>30</v>
      </c>
      <c r="B4371" s="12" t="s">
        <v>19224</v>
      </c>
      <c r="C4371" s="12">
        <v>26</v>
      </c>
      <c r="D4371" s="12">
        <v>114</v>
      </c>
      <c r="E4371" s="12">
        <v>57</v>
      </c>
      <c r="F4371" s="12">
        <v>426</v>
      </c>
      <c r="G4371" s="12">
        <v>16000</v>
      </c>
      <c r="H4371" s="16"/>
      <c r="I4371" s="12" t="s">
        <v>15011</v>
      </c>
      <c r="J4371" s="12" t="s">
        <v>3695</v>
      </c>
      <c r="K4371" s="12" t="s">
        <v>10437</v>
      </c>
      <c r="L4371" s="12" t="s">
        <v>20719</v>
      </c>
      <c r="M4371" s="12" t="s">
        <v>20720</v>
      </c>
      <c r="N4371" s="12">
        <v>25472</v>
      </c>
      <c r="O4371" s="12">
        <v>18263</v>
      </c>
      <c r="P4371" s="12">
        <v>3</v>
      </c>
      <c r="Q4371" s="12" t="s">
        <v>20721</v>
      </c>
      <c r="R4371" s="15" t="s">
        <v>20722</v>
      </c>
      <c r="S4371" s="12">
        <v>109</v>
      </c>
      <c r="T4371" s="12" t="s">
        <v>39</v>
      </c>
      <c r="U4371" s="12" t="s">
        <v>40</v>
      </c>
      <c r="V4371" s="12" t="s">
        <v>16052</v>
      </c>
      <c r="W4371" s="12">
        <v>1800000</v>
      </c>
      <c r="X4371" s="12">
        <v>1968</v>
      </c>
      <c r="Y4371" s="12">
        <v>844</v>
      </c>
      <c r="Z4371" s="12">
        <v>7</v>
      </c>
      <c r="AA4371" s="12">
        <v>1.85</v>
      </c>
      <c r="AB4371" s="12">
        <v>0</v>
      </c>
      <c r="AC4371" s="12"/>
      <c r="AD4371" s="12" t="str">
        <f>IFERROR(__xludf.DUMMYFUNCTION("""COMPUTED_VALUE"""),"Jeffrey Frost")</f>
        <v>Jeffrey Frost</v>
      </c>
      <c r="AE4371" s="12"/>
    </row>
    <row r="4372" customHeight="1" spans="1:31">
      <c r="A4372" s="11" t="s">
        <v>748</v>
      </c>
      <c r="B4372" s="11" t="s">
        <v>18897</v>
      </c>
      <c r="C4372" s="11">
        <v>27</v>
      </c>
      <c r="D4372" s="11">
        <v>87</v>
      </c>
      <c r="E4372" s="11">
        <v>174</v>
      </c>
      <c r="F4372" s="11">
        <v>114</v>
      </c>
      <c r="G4372" s="11">
        <v>2000</v>
      </c>
      <c r="H4372" s="13"/>
      <c r="I4372" s="11" t="s">
        <v>20723</v>
      </c>
      <c r="J4372" s="11" t="s">
        <v>20724</v>
      </c>
      <c r="K4372" s="11" t="s">
        <v>20725</v>
      </c>
      <c r="L4372" s="11" t="s">
        <v>20665</v>
      </c>
      <c r="M4372" s="11" t="s">
        <v>20726</v>
      </c>
      <c r="N4372" s="11">
        <v>1756</v>
      </c>
      <c r="O4372" s="11">
        <v>2831</v>
      </c>
      <c r="P4372" s="11">
        <v>0</v>
      </c>
      <c r="Q4372" s="11" t="s">
        <v>20727</v>
      </c>
      <c r="R4372" s="14" t="s">
        <v>20728</v>
      </c>
      <c r="S4372" s="11">
        <v>28</v>
      </c>
      <c r="T4372" s="11" t="s">
        <v>39</v>
      </c>
      <c r="U4372" s="11" t="s">
        <v>40</v>
      </c>
      <c r="V4372" s="13"/>
      <c r="W4372" s="13"/>
      <c r="X4372" s="11">
        <v>1952</v>
      </c>
      <c r="Y4372" s="11">
        <v>399</v>
      </c>
      <c r="Z4372" s="11">
        <v>7.2</v>
      </c>
      <c r="AA4372" s="11">
        <v>1.37</v>
      </c>
      <c r="AB4372" s="11">
        <v>169</v>
      </c>
      <c r="AC4372" s="11"/>
      <c r="AD4372" s="11" t="str">
        <f>IFERROR(__xludf.DUMMYFUNCTION("""COMPUTED_VALUE"""),"Megan Ambuhl Graner")</f>
        <v>Megan Ambuhl Graner</v>
      </c>
      <c r="AE4372" s="11"/>
    </row>
    <row r="4373" customHeight="1" spans="1:31">
      <c r="A4373" s="12" t="s">
        <v>30</v>
      </c>
      <c r="B4373" s="12" t="s">
        <v>20729</v>
      </c>
      <c r="C4373" s="12">
        <v>53</v>
      </c>
      <c r="D4373" s="12">
        <v>113</v>
      </c>
      <c r="E4373" s="12">
        <v>15</v>
      </c>
      <c r="F4373" s="12">
        <v>491</v>
      </c>
      <c r="G4373" s="12">
        <v>647</v>
      </c>
      <c r="H4373" s="16"/>
      <c r="I4373" s="12" t="s">
        <v>5544</v>
      </c>
      <c r="J4373" s="12" t="s">
        <v>14552</v>
      </c>
      <c r="K4373" s="12" t="s">
        <v>2705</v>
      </c>
      <c r="L4373" s="12" t="s">
        <v>7939</v>
      </c>
      <c r="M4373" s="12" t="s">
        <v>20730</v>
      </c>
      <c r="N4373" s="12">
        <v>6267</v>
      </c>
      <c r="O4373" s="12">
        <v>2439</v>
      </c>
      <c r="P4373" s="12">
        <v>0</v>
      </c>
      <c r="Q4373" s="12" t="s">
        <v>20731</v>
      </c>
      <c r="R4373" s="15" t="s">
        <v>20732</v>
      </c>
      <c r="S4373" s="12">
        <v>103</v>
      </c>
      <c r="T4373" s="12" t="s">
        <v>39</v>
      </c>
      <c r="U4373" s="12" t="s">
        <v>40</v>
      </c>
      <c r="V4373" s="12" t="s">
        <v>586</v>
      </c>
      <c r="W4373" s="12">
        <v>1800000</v>
      </c>
      <c r="X4373" s="12">
        <v>2007</v>
      </c>
      <c r="Y4373" s="12">
        <v>642</v>
      </c>
      <c r="Z4373" s="12">
        <v>5.3</v>
      </c>
      <c r="AA4373" s="12">
        <v>2.35</v>
      </c>
      <c r="AB4373" s="12">
        <v>368</v>
      </c>
      <c r="AC4373" s="12"/>
      <c r="AD4373" s="12" t="str">
        <f>IFERROR(__xludf.DUMMYFUNCTION("""COMPUTED_VALUE"""),"Ken Davis")</f>
        <v>Ken Davis</v>
      </c>
      <c r="AE4373" s="12"/>
    </row>
    <row r="4374" customHeight="1" spans="1:31">
      <c r="A4374" s="11" t="s">
        <v>30</v>
      </c>
      <c r="B4374" s="11" t="s">
        <v>20733</v>
      </c>
      <c r="C4374" s="13"/>
      <c r="D4374" s="11">
        <v>87</v>
      </c>
      <c r="E4374" s="11">
        <v>9</v>
      </c>
      <c r="F4374" s="11">
        <v>165</v>
      </c>
      <c r="G4374" s="11">
        <v>467</v>
      </c>
      <c r="H4374" s="13"/>
      <c r="I4374" s="11" t="s">
        <v>12839</v>
      </c>
      <c r="J4374" s="11" t="s">
        <v>20734</v>
      </c>
      <c r="K4374" s="11" t="s">
        <v>20735</v>
      </c>
      <c r="L4374" s="11" t="s">
        <v>20736</v>
      </c>
      <c r="M4374" s="11" t="s">
        <v>20737</v>
      </c>
      <c r="N4374" s="11">
        <v>13</v>
      </c>
      <c r="O4374" s="11">
        <v>1270</v>
      </c>
      <c r="P4374" s="11">
        <v>0</v>
      </c>
      <c r="Q4374" s="13"/>
      <c r="R4374" s="14" t="s">
        <v>20738</v>
      </c>
      <c r="S4374" s="13"/>
      <c r="T4374" s="11" t="s">
        <v>39</v>
      </c>
      <c r="U4374" s="11" t="s">
        <v>40</v>
      </c>
      <c r="V4374" s="13"/>
      <c r="W4374" s="13"/>
      <c r="X4374" s="11">
        <v>2016</v>
      </c>
      <c r="Y4374" s="11">
        <v>258</v>
      </c>
      <c r="Z4374" s="11">
        <v>8.7</v>
      </c>
      <c r="AA4374" s="13"/>
      <c r="AB4374" s="11">
        <v>8</v>
      </c>
      <c r="AC4374" s="11"/>
      <c r="AD4374" s="11" t="str">
        <f>IFERROR(__xludf.DUMMYFUNCTION("""COMPUTED_VALUE"""),"Raymond Burr")</f>
        <v>Raymond Burr</v>
      </c>
      <c r="AE4374" s="11"/>
    </row>
    <row r="4375" customHeight="1" spans="1:31">
      <c r="A4375" s="12" t="s">
        <v>30</v>
      </c>
      <c r="B4375" s="12" t="s">
        <v>20739</v>
      </c>
      <c r="C4375" s="12">
        <v>10</v>
      </c>
      <c r="D4375" s="12">
        <v>90</v>
      </c>
      <c r="E4375" s="12">
        <v>4</v>
      </c>
      <c r="F4375" s="12">
        <v>91</v>
      </c>
      <c r="G4375" s="12">
        <v>433</v>
      </c>
      <c r="H4375" s="16"/>
      <c r="I4375" s="12" t="s">
        <v>648</v>
      </c>
      <c r="J4375" s="12" t="s">
        <v>932</v>
      </c>
      <c r="K4375" s="12" t="s">
        <v>20740</v>
      </c>
      <c r="L4375" s="12" t="s">
        <v>20741</v>
      </c>
      <c r="M4375" s="12" t="s">
        <v>20742</v>
      </c>
      <c r="N4375" s="12">
        <v>761</v>
      </c>
      <c r="O4375" s="12">
        <v>984</v>
      </c>
      <c r="P4375" s="12">
        <v>0</v>
      </c>
      <c r="Q4375" s="12" t="s">
        <v>20743</v>
      </c>
      <c r="R4375" s="15" t="s">
        <v>20744</v>
      </c>
      <c r="S4375" s="12">
        <v>12</v>
      </c>
      <c r="T4375" s="12" t="s">
        <v>39</v>
      </c>
      <c r="U4375" s="12" t="s">
        <v>269</v>
      </c>
      <c r="V4375" s="12" t="s">
        <v>41</v>
      </c>
      <c r="W4375" s="12">
        <v>1800000</v>
      </c>
      <c r="X4375" s="12">
        <v>2013</v>
      </c>
      <c r="Y4375" s="12">
        <v>108</v>
      </c>
      <c r="Z4375" s="12">
        <v>3.4</v>
      </c>
      <c r="AA4375" s="16"/>
      <c r="AB4375" s="12">
        <v>566</v>
      </c>
      <c r="AC4375" s="12"/>
      <c r="AD4375" s="12" t="str">
        <f>IFERROR(__xludf.DUMMYFUNCTION("""COMPUTED_VALUE"""),"Don Gordon")</f>
        <v>Don Gordon</v>
      </c>
      <c r="AE4375" s="12"/>
    </row>
    <row r="4376" customHeight="1" spans="1:31">
      <c r="A4376" s="11" t="s">
        <v>30</v>
      </c>
      <c r="B4376" s="11" t="s">
        <v>20745</v>
      </c>
      <c r="C4376" s="11">
        <v>4</v>
      </c>
      <c r="D4376" s="11">
        <v>111</v>
      </c>
      <c r="E4376" s="11">
        <v>21</v>
      </c>
      <c r="F4376" s="11">
        <v>685</v>
      </c>
      <c r="G4376" s="11">
        <v>761</v>
      </c>
      <c r="H4376" s="13"/>
      <c r="I4376" s="11" t="s">
        <v>2528</v>
      </c>
      <c r="J4376" s="11" t="s">
        <v>20746</v>
      </c>
      <c r="K4376" s="11" t="s">
        <v>9690</v>
      </c>
      <c r="L4376" s="11" t="s">
        <v>9095</v>
      </c>
      <c r="M4376" s="11" t="s">
        <v>20747</v>
      </c>
      <c r="N4376" s="11">
        <v>686</v>
      </c>
      <c r="O4376" s="11">
        <v>4306</v>
      </c>
      <c r="P4376" s="11">
        <v>13</v>
      </c>
      <c r="Q4376" s="11" t="s">
        <v>20748</v>
      </c>
      <c r="R4376" s="14" t="s">
        <v>20749</v>
      </c>
      <c r="S4376" s="11">
        <v>8</v>
      </c>
      <c r="T4376" s="11" t="s">
        <v>39</v>
      </c>
      <c r="U4376" s="11" t="s">
        <v>40</v>
      </c>
      <c r="V4376" s="11" t="s">
        <v>4831</v>
      </c>
      <c r="W4376" s="11">
        <v>1800000</v>
      </c>
      <c r="X4376" s="11">
        <v>2012</v>
      </c>
      <c r="Y4376" s="11">
        <v>713</v>
      </c>
      <c r="Z4376" s="11">
        <v>5.4</v>
      </c>
      <c r="AA4376" s="11">
        <v>1.85</v>
      </c>
      <c r="AB4376" s="11">
        <v>569</v>
      </c>
      <c r="AC4376" s="11"/>
      <c r="AD4376" s="11" t="str">
        <f>IFERROR(__xludf.DUMMYFUNCTION("""COMPUTED_VALUE"""),"Jim Byrnes")</f>
        <v>Jim Byrnes</v>
      </c>
      <c r="AE4376" s="11"/>
    </row>
    <row r="4377" customHeight="1" spans="1:31">
      <c r="A4377" s="12" t="s">
        <v>748</v>
      </c>
      <c r="B4377" s="12" t="s">
        <v>1848</v>
      </c>
      <c r="C4377" s="12">
        <v>181</v>
      </c>
      <c r="D4377" s="12">
        <v>81</v>
      </c>
      <c r="E4377" s="12">
        <v>670</v>
      </c>
      <c r="F4377" s="12">
        <v>34</v>
      </c>
      <c r="G4377" s="12">
        <v>486</v>
      </c>
      <c r="H4377" s="12">
        <v>7267324</v>
      </c>
      <c r="I4377" s="12" t="s">
        <v>1936</v>
      </c>
      <c r="J4377" s="12" t="s">
        <v>3095</v>
      </c>
      <c r="K4377" s="12" t="s">
        <v>20750</v>
      </c>
      <c r="L4377" s="12" t="s">
        <v>20751</v>
      </c>
      <c r="M4377" s="12" t="s">
        <v>20752</v>
      </c>
      <c r="N4377" s="12">
        <v>161471</v>
      </c>
      <c r="O4377" s="12">
        <v>623</v>
      </c>
      <c r="P4377" s="12">
        <v>1</v>
      </c>
      <c r="Q4377" s="12" t="s">
        <v>20753</v>
      </c>
      <c r="R4377" s="15" t="s">
        <v>20754</v>
      </c>
      <c r="S4377" s="12">
        <v>709</v>
      </c>
      <c r="T4377" s="12" t="s">
        <v>8732</v>
      </c>
      <c r="U4377" s="12" t="s">
        <v>768</v>
      </c>
      <c r="V4377" s="12" t="s">
        <v>586</v>
      </c>
      <c r="W4377" s="12">
        <v>3500000</v>
      </c>
      <c r="X4377" s="12">
        <v>1998</v>
      </c>
      <c r="Y4377" s="12">
        <v>37</v>
      </c>
      <c r="Z4377" s="12">
        <v>7.8</v>
      </c>
      <c r="AA4377" s="12">
        <v>1.85</v>
      </c>
      <c r="AB4377" s="12">
        <v>0</v>
      </c>
      <c r="AC4377" s="12"/>
      <c r="AD4377" s="12" t="str">
        <f>IFERROR(__xludf.DUMMYFUNCTION("""COMPUTED_VALUE"""),"Judith Anderson")</f>
        <v>Judith Anderson</v>
      </c>
      <c r="AE4377" s="12"/>
    </row>
    <row r="4378" customHeight="1" spans="1:31">
      <c r="A4378" s="11" t="s">
        <v>30</v>
      </c>
      <c r="B4378" s="11" t="s">
        <v>20755</v>
      </c>
      <c r="C4378" s="11">
        <v>114</v>
      </c>
      <c r="D4378" s="11">
        <v>93</v>
      </c>
      <c r="E4378" s="11">
        <v>75</v>
      </c>
      <c r="F4378" s="11">
        <v>446</v>
      </c>
      <c r="G4378" s="11">
        <v>701</v>
      </c>
      <c r="H4378" s="11">
        <v>145540</v>
      </c>
      <c r="I4378" s="11" t="s">
        <v>11575</v>
      </c>
      <c r="J4378" s="11" t="s">
        <v>18273</v>
      </c>
      <c r="K4378" s="11" t="s">
        <v>20756</v>
      </c>
      <c r="L4378" s="11" t="s">
        <v>11386</v>
      </c>
      <c r="M4378" s="11" t="s">
        <v>20757</v>
      </c>
      <c r="N4378" s="11">
        <v>26773</v>
      </c>
      <c r="O4378" s="11">
        <v>2489</v>
      </c>
      <c r="P4378" s="11">
        <v>1</v>
      </c>
      <c r="Q4378" s="11" t="s">
        <v>20758</v>
      </c>
      <c r="R4378" s="14" t="s">
        <v>20759</v>
      </c>
      <c r="S4378" s="11">
        <v>277</v>
      </c>
      <c r="T4378" s="11" t="s">
        <v>39</v>
      </c>
      <c r="U4378" s="11" t="s">
        <v>40</v>
      </c>
      <c r="V4378" s="11" t="s">
        <v>586</v>
      </c>
      <c r="W4378" s="11">
        <v>500000</v>
      </c>
      <c r="X4378" s="11">
        <v>2002</v>
      </c>
      <c r="Y4378" s="11">
        <v>461</v>
      </c>
      <c r="Z4378" s="11">
        <v>6.7</v>
      </c>
      <c r="AA4378" s="11">
        <v>1.85</v>
      </c>
      <c r="AB4378" s="11">
        <v>0</v>
      </c>
      <c r="AC4378" s="11"/>
      <c r="AD4378" s="11" t="str">
        <f>IFERROR(__xludf.DUMMYFUNCTION("""COMPUTED_VALUE"""),"Paul Fix")</f>
        <v>Paul Fix</v>
      </c>
      <c r="AE4378" s="11"/>
    </row>
    <row r="4379" customHeight="1" spans="1:31">
      <c r="A4379" s="12" t="s">
        <v>30</v>
      </c>
      <c r="B4379" s="12" t="s">
        <v>20760</v>
      </c>
      <c r="C4379" s="12">
        <v>11</v>
      </c>
      <c r="D4379" s="12">
        <v>90</v>
      </c>
      <c r="E4379" s="12">
        <v>15</v>
      </c>
      <c r="F4379" s="12">
        <v>120</v>
      </c>
      <c r="G4379" s="12">
        <v>900</v>
      </c>
      <c r="H4379" s="16"/>
      <c r="I4379" s="12" t="s">
        <v>9353</v>
      </c>
      <c r="J4379" s="12" t="s">
        <v>7324</v>
      </c>
      <c r="K4379" s="12" t="s">
        <v>20761</v>
      </c>
      <c r="L4379" s="12" t="s">
        <v>20762</v>
      </c>
      <c r="M4379" s="12" t="s">
        <v>20763</v>
      </c>
      <c r="N4379" s="12">
        <v>840</v>
      </c>
      <c r="O4379" s="12">
        <v>1724</v>
      </c>
      <c r="P4379" s="12">
        <v>3</v>
      </c>
      <c r="Q4379" s="12" t="s">
        <v>20764</v>
      </c>
      <c r="R4379" s="15" t="s">
        <v>20765</v>
      </c>
      <c r="S4379" s="12">
        <v>9</v>
      </c>
      <c r="T4379" s="12" t="s">
        <v>39</v>
      </c>
      <c r="U4379" s="12" t="s">
        <v>269</v>
      </c>
      <c r="V4379" s="12" t="s">
        <v>96</v>
      </c>
      <c r="W4379" s="12">
        <v>2000000</v>
      </c>
      <c r="X4379" s="12">
        <v>2013</v>
      </c>
      <c r="Y4379" s="12">
        <v>450</v>
      </c>
      <c r="Z4379" s="12">
        <v>4.7</v>
      </c>
      <c r="AA4379" s="16"/>
      <c r="AB4379" s="12">
        <v>326</v>
      </c>
      <c r="AC4379" s="12"/>
      <c r="AD4379" s="12" t="str">
        <f>IFERROR(__xludf.DUMMYFUNCTION("""COMPUTED_VALUE"""),"Laraine Day")</f>
        <v>Laraine Day</v>
      </c>
      <c r="AE4379" s="12"/>
    </row>
    <row r="4380" customHeight="1" spans="1:31">
      <c r="A4380" s="11" t="s">
        <v>30</v>
      </c>
      <c r="B4380" s="11" t="s">
        <v>20766</v>
      </c>
      <c r="C4380" s="11">
        <v>1</v>
      </c>
      <c r="D4380" s="11">
        <v>112</v>
      </c>
      <c r="E4380" s="11">
        <v>0</v>
      </c>
      <c r="F4380" s="11">
        <v>11</v>
      </c>
      <c r="G4380" s="11">
        <v>86</v>
      </c>
      <c r="H4380" s="13"/>
      <c r="I4380" s="11" t="s">
        <v>6403</v>
      </c>
      <c r="J4380" s="11" t="s">
        <v>20767</v>
      </c>
      <c r="K4380" s="11" t="s">
        <v>20768</v>
      </c>
      <c r="L4380" s="11" t="s">
        <v>20769</v>
      </c>
      <c r="M4380" s="11" t="s">
        <v>20770</v>
      </c>
      <c r="N4380" s="11">
        <v>28</v>
      </c>
      <c r="O4380" s="11">
        <v>139</v>
      </c>
      <c r="P4380" s="11">
        <v>0</v>
      </c>
      <c r="Q4380" s="11" t="s">
        <v>20771</v>
      </c>
      <c r="R4380" s="14" t="s">
        <v>20772</v>
      </c>
      <c r="S4380" s="11">
        <v>1</v>
      </c>
      <c r="T4380" s="11" t="s">
        <v>39</v>
      </c>
      <c r="U4380" s="11" t="s">
        <v>40</v>
      </c>
      <c r="V4380" s="11" t="s">
        <v>41</v>
      </c>
      <c r="W4380" s="11">
        <v>1750000</v>
      </c>
      <c r="X4380" s="11">
        <v>2013</v>
      </c>
      <c r="Y4380" s="11">
        <v>42</v>
      </c>
      <c r="Z4380" s="11">
        <v>6.3</v>
      </c>
      <c r="AA4380" s="11">
        <v>1.85</v>
      </c>
      <c r="AB4380" s="11">
        <v>73</v>
      </c>
      <c r="AC4380" s="11"/>
      <c r="AD4380" s="11" t="str">
        <f>IFERROR(__xludf.DUMMYFUNCTION("""COMPUTED_VALUE"""),"Sara Gilbert")</f>
        <v>Sara Gilbert</v>
      </c>
      <c r="AE4380" s="11"/>
    </row>
    <row r="4381" customHeight="1" spans="1:31">
      <c r="A4381" s="12" t="s">
        <v>30</v>
      </c>
      <c r="B4381" s="12" t="s">
        <v>9879</v>
      </c>
      <c r="C4381" s="12">
        <v>75</v>
      </c>
      <c r="D4381" s="12">
        <v>106</v>
      </c>
      <c r="E4381" s="12">
        <v>36</v>
      </c>
      <c r="F4381" s="12">
        <v>345</v>
      </c>
      <c r="G4381" s="12">
        <v>953</v>
      </c>
      <c r="H4381" s="12">
        <v>12589108</v>
      </c>
      <c r="I4381" s="12" t="s">
        <v>7043</v>
      </c>
      <c r="J4381" s="12" t="s">
        <v>642</v>
      </c>
      <c r="K4381" s="12" t="s">
        <v>17558</v>
      </c>
      <c r="L4381" s="12" t="s">
        <v>13738</v>
      </c>
      <c r="M4381" s="12" t="s">
        <v>20773</v>
      </c>
      <c r="N4381" s="12">
        <v>5526</v>
      </c>
      <c r="O4381" s="12">
        <v>2198</v>
      </c>
      <c r="P4381" s="12">
        <v>1</v>
      </c>
      <c r="Q4381" s="12" t="s">
        <v>20774</v>
      </c>
      <c r="R4381" s="15" t="s">
        <v>20775</v>
      </c>
      <c r="S4381" s="12">
        <v>58</v>
      </c>
      <c r="T4381" s="12" t="s">
        <v>2779</v>
      </c>
      <c r="U4381" s="12" t="s">
        <v>2914</v>
      </c>
      <c r="V4381" s="12" t="s">
        <v>41</v>
      </c>
      <c r="W4381" s="16"/>
      <c r="X4381" s="12">
        <v>2007</v>
      </c>
      <c r="Y4381" s="12">
        <v>399</v>
      </c>
      <c r="Z4381" s="12">
        <v>7.4</v>
      </c>
      <c r="AA4381" s="12">
        <v>1.85</v>
      </c>
      <c r="AB4381" s="12">
        <v>0</v>
      </c>
      <c r="AC4381" s="12"/>
      <c r="AD4381" s="12" t="str">
        <f>IFERROR(__xludf.DUMMYFUNCTION("""COMPUTED_VALUE"""),"Meghan Ory")</f>
        <v>Meghan Ory</v>
      </c>
      <c r="AE4381" s="12"/>
    </row>
    <row r="4382" customHeight="1" spans="1:31">
      <c r="A4382" s="11" t="s">
        <v>30</v>
      </c>
      <c r="B4382" s="11" t="s">
        <v>20683</v>
      </c>
      <c r="C4382" s="11">
        <v>80</v>
      </c>
      <c r="D4382" s="11">
        <v>88</v>
      </c>
      <c r="E4382" s="11">
        <v>88</v>
      </c>
      <c r="F4382" s="11">
        <v>67</v>
      </c>
      <c r="G4382" s="11">
        <v>595</v>
      </c>
      <c r="H4382" s="13"/>
      <c r="I4382" s="11" t="s">
        <v>648</v>
      </c>
      <c r="J4382" s="11" t="s">
        <v>6115</v>
      </c>
      <c r="K4382" s="11" t="s">
        <v>20776</v>
      </c>
      <c r="L4382" s="11" t="s">
        <v>20777</v>
      </c>
      <c r="M4382" s="11" t="s">
        <v>20778</v>
      </c>
      <c r="N4382" s="11">
        <v>23268</v>
      </c>
      <c r="O4382" s="11">
        <v>941</v>
      </c>
      <c r="P4382" s="11">
        <v>0</v>
      </c>
      <c r="Q4382" s="11" t="s">
        <v>20779</v>
      </c>
      <c r="R4382" s="14" t="s">
        <v>20780</v>
      </c>
      <c r="S4382" s="11">
        <v>95</v>
      </c>
      <c r="T4382" s="11" t="s">
        <v>39</v>
      </c>
      <c r="U4382" s="11" t="s">
        <v>40</v>
      </c>
      <c r="V4382" s="11" t="s">
        <v>96</v>
      </c>
      <c r="W4382" s="11">
        <v>1700000</v>
      </c>
      <c r="X4382" s="11">
        <v>1972</v>
      </c>
      <c r="Y4382" s="11">
        <v>70</v>
      </c>
      <c r="Z4382" s="11">
        <v>6.1</v>
      </c>
      <c r="AA4382" s="11">
        <v>2.35</v>
      </c>
      <c r="AB4382" s="11">
        <v>794</v>
      </c>
      <c r="AC4382" s="11"/>
      <c r="AD4382" s="11" t="str">
        <f>IFERROR(__xludf.DUMMYFUNCTION("""COMPUTED_VALUE"""),"Marc Trottier")</f>
        <v>Marc Trottier</v>
      </c>
      <c r="AE4382" s="11"/>
    </row>
    <row r="4383" customHeight="1" spans="1:31">
      <c r="A4383" s="12" t="s">
        <v>30</v>
      </c>
      <c r="B4383" s="12" t="s">
        <v>13510</v>
      </c>
      <c r="C4383" s="12">
        <v>179</v>
      </c>
      <c r="D4383" s="12">
        <v>138</v>
      </c>
      <c r="E4383" s="12">
        <v>143</v>
      </c>
      <c r="F4383" s="12">
        <v>783</v>
      </c>
      <c r="G4383" s="12">
        <v>1000</v>
      </c>
      <c r="H4383" s="12">
        <v>35918429</v>
      </c>
      <c r="I4383" s="12" t="s">
        <v>1936</v>
      </c>
      <c r="J4383" s="12" t="s">
        <v>138</v>
      </c>
      <c r="K4383" s="12" t="s">
        <v>5105</v>
      </c>
      <c r="L4383" s="12" t="s">
        <v>1346</v>
      </c>
      <c r="M4383" s="12" t="s">
        <v>20781</v>
      </c>
      <c r="N4383" s="12">
        <v>32415</v>
      </c>
      <c r="O4383" s="12">
        <v>3970</v>
      </c>
      <c r="P4383" s="12">
        <v>1</v>
      </c>
      <c r="Q4383" s="12" t="s">
        <v>20782</v>
      </c>
      <c r="R4383" s="15" t="s">
        <v>20783</v>
      </c>
      <c r="S4383" s="12">
        <v>510</v>
      </c>
      <c r="T4383" s="12" t="s">
        <v>39</v>
      </c>
      <c r="U4383" s="12" t="s">
        <v>40</v>
      </c>
      <c r="V4383" s="12" t="s">
        <v>586</v>
      </c>
      <c r="W4383" s="12">
        <v>1700000</v>
      </c>
      <c r="X4383" s="12">
        <v>2001</v>
      </c>
      <c r="Y4383" s="12">
        <v>874</v>
      </c>
      <c r="Z4383" s="12">
        <v>7.5</v>
      </c>
      <c r="AA4383" s="12">
        <v>2.35</v>
      </c>
      <c r="AB4383" s="12">
        <v>951</v>
      </c>
      <c r="AC4383" s="12"/>
      <c r="AD4383" s="12" t="str">
        <f>IFERROR(__xludf.DUMMYFUNCTION("""COMPUTED_VALUE"""),"Corey Sevier")</f>
        <v>Corey Sevier</v>
      </c>
      <c r="AE4383" s="12"/>
    </row>
    <row r="4384" customHeight="1" spans="1:31">
      <c r="A4384" s="11" t="s">
        <v>30</v>
      </c>
      <c r="B4384" s="11" t="s">
        <v>20784</v>
      </c>
      <c r="C4384" s="11">
        <v>225</v>
      </c>
      <c r="D4384" s="11">
        <v>105</v>
      </c>
      <c r="E4384" s="11">
        <v>68</v>
      </c>
      <c r="F4384" s="11">
        <v>374</v>
      </c>
      <c r="G4384" s="11">
        <v>635</v>
      </c>
      <c r="H4384" s="11">
        <v>92401</v>
      </c>
      <c r="I4384" s="11" t="s">
        <v>5544</v>
      </c>
      <c r="J4384" s="11" t="s">
        <v>20785</v>
      </c>
      <c r="K4384" s="11" t="s">
        <v>1019</v>
      </c>
      <c r="L4384" s="11" t="s">
        <v>20786</v>
      </c>
      <c r="M4384" s="11" t="s">
        <v>20787</v>
      </c>
      <c r="N4384" s="11">
        <v>56402</v>
      </c>
      <c r="O4384" s="11">
        <v>2423</v>
      </c>
      <c r="P4384" s="11">
        <v>0</v>
      </c>
      <c r="Q4384" s="11" t="s">
        <v>20788</v>
      </c>
      <c r="R4384" s="14" t="s">
        <v>20789</v>
      </c>
      <c r="S4384" s="11">
        <v>209</v>
      </c>
      <c r="T4384" s="11" t="s">
        <v>39</v>
      </c>
      <c r="U4384" s="11" t="s">
        <v>40</v>
      </c>
      <c r="V4384" s="11" t="s">
        <v>586</v>
      </c>
      <c r="W4384" s="11">
        <v>2000000</v>
      </c>
      <c r="X4384" s="11">
        <v>2010</v>
      </c>
      <c r="Y4384" s="11">
        <v>445</v>
      </c>
      <c r="Z4384" s="11">
        <v>6.3</v>
      </c>
      <c r="AA4384" s="11">
        <v>2.35</v>
      </c>
      <c r="AB4384" s="11">
        <v>17000</v>
      </c>
      <c r="AC4384" s="11"/>
      <c r="AD4384" s="11" t="str">
        <f>IFERROR(__xludf.DUMMYFUNCTION("""COMPUTED_VALUE"""),"Ocean James")</f>
        <v>Ocean James</v>
      </c>
      <c r="AE4384" s="11"/>
    </row>
    <row r="4385" customHeight="1" spans="1:31">
      <c r="A4385" s="12" t="s">
        <v>30</v>
      </c>
      <c r="B4385" s="12" t="s">
        <v>20790</v>
      </c>
      <c r="C4385" s="12">
        <v>77</v>
      </c>
      <c r="D4385" s="12">
        <v>98</v>
      </c>
      <c r="E4385" s="12">
        <v>3</v>
      </c>
      <c r="F4385" s="12">
        <v>327</v>
      </c>
      <c r="G4385" s="12">
        <v>349</v>
      </c>
      <c r="H4385" s="12">
        <v>1943649</v>
      </c>
      <c r="I4385" s="12" t="s">
        <v>4262</v>
      </c>
      <c r="J4385" s="12" t="s">
        <v>20791</v>
      </c>
      <c r="K4385" s="12" t="s">
        <v>7944</v>
      </c>
      <c r="L4385" s="12" t="s">
        <v>2956</v>
      </c>
      <c r="M4385" s="12" t="s">
        <v>20792</v>
      </c>
      <c r="N4385" s="12">
        <v>8697</v>
      </c>
      <c r="O4385" s="12">
        <v>2095</v>
      </c>
      <c r="P4385" s="12">
        <v>3</v>
      </c>
      <c r="Q4385" s="12" t="s">
        <v>20793</v>
      </c>
      <c r="R4385" s="15" t="s">
        <v>20794</v>
      </c>
      <c r="S4385" s="12">
        <v>122</v>
      </c>
      <c r="T4385" s="12" t="s">
        <v>39</v>
      </c>
      <c r="U4385" s="12" t="s">
        <v>40</v>
      </c>
      <c r="V4385" s="12" t="s">
        <v>41</v>
      </c>
      <c r="W4385" s="12">
        <v>1700000</v>
      </c>
      <c r="X4385" s="12">
        <v>1999</v>
      </c>
      <c r="Y4385" s="12">
        <v>347</v>
      </c>
      <c r="Z4385" s="12">
        <v>6.3</v>
      </c>
      <c r="AA4385" s="12">
        <v>1.85</v>
      </c>
      <c r="AB4385" s="12">
        <v>374</v>
      </c>
      <c r="AC4385" s="12"/>
      <c r="AD4385" s="12" t="str">
        <f>IFERROR(__xludf.DUMMYFUNCTION("""COMPUTED_VALUE"""),"Patch Darragh")</f>
        <v>Patch Darragh</v>
      </c>
      <c r="AE4385" s="12"/>
    </row>
    <row r="4386" customHeight="1" spans="1:31">
      <c r="A4386" s="11" t="s">
        <v>30</v>
      </c>
      <c r="B4386" s="11" t="s">
        <v>19750</v>
      </c>
      <c r="C4386" s="11">
        <v>124</v>
      </c>
      <c r="D4386" s="11">
        <v>86</v>
      </c>
      <c r="E4386" s="11">
        <v>84</v>
      </c>
      <c r="F4386" s="11">
        <v>34</v>
      </c>
      <c r="G4386" s="11">
        <v>680</v>
      </c>
      <c r="H4386" s="11">
        <v>992238</v>
      </c>
      <c r="I4386" s="11" t="s">
        <v>214</v>
      </c>
      <c r="J4386" s="11" t="s">
        <v>2284</v>
      </c>
      <c r="K4386" s="11" t="s">
        <v>20795</v>
      </c>
      <c r="L4386" s="11" t="s">
        <v>20796</v>
      </c>
      <c r="M4386" s="11" t="s">
        <v>20797</v>
      </c>
      <c r="N4386" s="11">
        <v>16349</v>
      </c>
      <c r="O4386" s="11">
        <v>763</v>
      </c>
      <c r="P4386" s="11">
        <v>0</v>
      </c>
      <c r="Q4386" s="11" t="s">
        <v>20798</v>
      </c>
      <c r="R4386" s="14" t="s">
        <v>20799</v>
      </c>
      <c r="S4386" s="11">
        <v>103</v>
      </c>
      <c r="T4386" s="11" t="s">
        <v>39</v>
      </c>
      <c r="U4386" s="11" t="s">
        <v>58</v>
      </c>
      <c r="V4386" s="11" t="s">
        <v>586</v>
      </c>
      <c r="W4386" s="11">
        <v>1700000</v>
      </c>
      <c r="X4386" s="11">
        <v>2004</v>
      </c>
      <c r="Y4386" s="11">
        <v>46</v>
      </c>
      <c r="Z4386" s="11">
        <v>6.8</v>
      </c>
      <c r="AA4386" s="11">
        <v>1.85</v>
      </c>
      <c r="AB4386" s="11">
        <v>869</v>
      </c>
      <c r="AC4386" s="11"/>
      <c r="AD4386" s="11" t="str">
        <f>IFERROR(__xludf.DUMMYFUNCTION("""COMPUTED_VALUE"""),"Olivia DeJonge")</f>
        <v>Olivia DeJonge</v>
      </c>
      <c r="AE4386" s="11"/>
    </row>
    <row r="4387" customHeight="1" spans="1:31">
      <c r="A4387" s="12" t="s">
        <v>30</v>
      </c>
      <c r="B4387" s="12" t="s">
        <v>20800</v>
      </c>
      <c r="C4387" s="12">
        <v>195</v>
      </c>
      <c r="D4387" s="12">
        <v>104</v>
      </c>
      <c r="E4387" s="12">
        <v>25</v>
      </c>
      <c r="F4387" s="12">
        <v>73</v>
      </c>
      <c r="G4387" s="12">
        <v>638</v>
      </c>
      <c r="H4387" s="12">
        <v>4231500</v>
      </c>
      <c r="I4387" s="12" t="s">
        <v>214</v>
      </c>
      <c r="J4387" s="12" t="s">
        <v>20801</v>
      </c>
      <c r="K4387" s="12" t="s">
        <v>11187</v>
      </c>
      <c r="L4387" s="12" t="s">
        <v>10310</v>
      </c>
      <c r="M4387" s="12" t="s">
        <v>20802</v>
      </c>
      <c r="N4387" s="12">
        <v>30479</v>
      </c>
      <c r="O4387" s="12">
        <v>822</v>
      </c>
      <c r="P4387" s="12">
        <v>2</v>
      </c>
      <c r="Q4387" s="12" t="s">
        <v>20803</v>
      </c>
      <c r="R4387" s="15" t="s">
        <v>20804</v>
      </c>
      <c r="S4387" s="12">
        <v>162</v>
      </c>
      <c r="T4387" s="12" t="s">
        <v>5612</v>
      </c>
      <c r="U4387" s="12" t="s">
        <v>5613</v>
      </c>
      <c r="V4387" s="12" t="s">
        <v>96</v>
      </c>
      <c r="W4387" s="12">
        <v>1000000</v>
      </c>
      <c r="X4387" s="12">
        <v>2013</v>
      </c>
      <c r="Y4387" s="12">
        <v>85</v>
      </c>
      <c r="Z4387" s="12">
        <v>7.8</v>
      </c>
      <c r="AA4387" s="12">
        <v>2.35</v>
      </c>
      <c r="AB4387" s="12">
        <v>16000</v>
      </c>
      <c r="AC4387" s="12"/>
      <c r="AD4387" s="12" t="str">
        <f>IFERROR(__xludf.DUMMYFUNCTION("""COMPUTED_VALUE"""),"Mike Figueroa")</f>
        <v>Mike Figueroa</v>
      </c>
      <c r="AE4387" s="12"/>
    </row>
    <row r="4388" customHeight="1" spans="1:31">
      <c r="A4388" s="11" t="s">
        <v>30</v>
      </c>
      <c r="B4388" s="11" t="s">
        <v>20805</v>
      </c>
      <c r="C4388" s="11">
        <v>76</v>
      </c>
      <c r="D4388" s="11">
        <v>100</v>
      </c>
      <c r="E4388" s="11">
        <v>87</v>
      </c>
      <c r="F4388" s="11">
        <v>420</v>
      </c>
      <c r="G4388" s="11">
        <v>887</v>
      </c>
      <c r="H4388" s="11">
        <v>396035</v>
      </c>
      <c r="I4388" s="11" t="s">
        <v>214</v>
      </c>
      <c r="J4388" s="11" t="s">
        <v>2292</v>
      </c>
      <c r="K4388" s="11" t="s">
        <v>2319</v>
      </c>
      <c r="L4388" s="11" t="s">
        <v>18601</v>
      </c>
      <c r="M4388" s="11" t="s">
        <v>20806</v>
      </c>
      <c r="N4388" s="11">
        <v>2725</v>
      </c>
      <c r="O4388" s="11">
        <v>2721</v>
      </c>
      <c r="P4388" s="11">
        <v>0</v>
      </c>
      <c r="Q4388" s="11" t="s">
        <v>20807</v>
      </c>
      <c r="R4388" s="14" t="s">
        <v>20808</v>
      </c>
      <c r="S4388" s="11">
        <v>48</v>
      </c>
      <c r="T4388" s="11" t="s">
        <v>39</v>
      </c>
      <c r="U4388" s="11" t="s">
        <v>58</v>
      </c>
      <c r="V4388" s="11" t="s">
        <v>586</v>
      </c>
      <c r="W4388" s="11">
        <v>1000000</v>
      </c>
      <c r="X4388" s="11">
        <v>2004</v>
      </c>
      <c r="Y4388" s="11">
        <v>805</v>
      </c>
      <c r="Z4388" s="11">
        <v>6.9</v>
      </c>
      <c r="AA4388" s="11">
        <v>1.85</v>
      </c>
      <c r="AB4388" s="11">
        <v>305</v>
      </c>
      <c r="AC4388" s="11"/>
      <c r="AD4388" s="11" t="str">
        <f>IFERROR(__xludf.DUMMYFUNCTION("""COMPUTED_VALUE"""),"Daniel Stewart Sherman")</f>
        <v>Daniel Stewart Sherman</v>
      </c>
      <c r="AE4388" s="11"/>
    </row>
    <row r="4389" customHeight="1" spans="1:31">
      <c r="A4389" s="12" t="s">
        <v>748</v>
      </c>
      <c r="B4389" s="12" t="s">
        <v>19168</v>
      </c>
      <c r="C4389" s="12">
        <v>51</v>
      </c>
      <c r="D4389" s="12">
        <v>126</v>
      </c>
      <c r="E4389" s="12">
        <v>964</v>
      </c>
      <c r="F4389" s="12">
        <v>275</v>
      </c>
      <c r="G4389" s="12">
        <v>319</v>
      </c>
      <c r="H4389" s="16"/>
      <c r="I4389" s="12" t="s">
        <v>1415</v>
      </c>
      <c r="J4389" s="12" t="s">
        <v>20809</v>
      </c>
      <c r="K4389" s="12" t="s">
        <v>20810</v>
      </c>
      <c r="L4389" s="12" t="s">
        <v>19170</v>
      </c>
      <c r="M4389" s="12" t="s">
        <v>20811</v>
      </c>
      <c r="N4389" s="12">
        <v>17799</v>
      </c>
      <c r="O4389" s="12">
        <v>1363</v>
      </c>
      <c r="P4389" s="12">
        <v>10</v>
      </c>
      <c r="Q4389" s="12" t="s">
        <v>20812</v>
      </c>
      <c r="R4389" s="15" t="s">
        <v>20813</v>
      </c>
      <c r="S4389" s="12">
        <v>133</v>
      </c>
      <c r="T4389" s="12" t="s">
        <v>39</v>
      </c>
      <c r="U4389" s="12" t="s">
        <v>40</v>
      </c>
      <c r="V4389" s="12" t="s">
        <v>6037</v>
      </c>
      <c r="W4389" s="12">
        <v>1644736</v>
      </c>
      <c r="X4389" s="12">
        <v>1938</v>
      </c>
      <c r="Y4389" s="12">
        <v>302</v>
      </c>
      <c r="Z4389" s="12">
        <v>8</v>
      </c>
      <c r="AA4389" s="12">
        <v>1.37</v>
      </c>
      <c r="AB4389" s="12">
        <v>0</v>
      </c>
      <c r="AC4389" s="12"/>
      <c r="AD4389" s="12" t="str">
        <f>IFERROR(__xludf.DUMMYFUNCTION("""COMPUTED_VALUE"""),"Kel O'Neill")</f>
        <v>Kel O'Neill</v>
      </c>
      <c r="AE4389" s="12"/>
    </row>
    <row r="4390" customHeight="1" spans="1:31">
      <c r="A4390" s="11" t="s">
        <v>748</v>
      </c>
      <c r="B4390" s="11" t="s">
        <v>17251</v>
      </c>
      <c r="C4390" s="11">
        <v>101</v>
      </c>
      <c r="D4390" s="11">
        <v>118</v>
      </c>
      <c r="E4390" s="11">
        <v>160</v>
      </c>
      <c r="F4390" s="11">
        <v>426</v>
      </c>
      <c r="G4390" s="11">
        <v>862</v>
      </c>
      <c r="H4390" s="13"/>
      <c r="I4390" s="11" t="s">
        <v>5605</v>
      </c>
      <c r="J4390" s="11" t="s">
        <v>18529</v>
      </c>
      <c r="K4390" s="11" t="s">
        <v>19169</v>
      </c>
      <c r="L4390" s="11" t="s">
        <v>15933</v>
      </c>
      <c r="M4390" s="11" t="s">
        <v>20814</v>
      </c>
      <c r="N4390" s="11">
        <v>33987</v>
      </c>
      <c r="O4390" s="11">
        <v>2247</v>
      </c>
      <c r="P4390" s="11">
        <v>5</v>
      </c>
      <c r="Q4390" s="11" t="s">
        <v>20815</v>
      </c>
      <c r="R4390" s="14" t="s">
        <v>20816</v>
      </c>
      <c r="S4390" s="11">
        <v>150</v>
      </c>
      <c r="T4390" s="11" t="s">
        <v>39</v>
      </c>
      <c r="U4390" s="11" t="s">
        <v>40</v>
      </c>
      <c r="V4390" s="11" t="s">
        <v>4831</v>
      </c>
      <c r="W4390" s="11">
        <v>1650000</v>
      </c>
      <c r="X4390" s="11">
        <v>1953</v>
      </c>
      <c r="Y4390" s="11">
        <v>488</v>
      </c>
      <c r="Z4390" s="11">
        <v>7.8</v>
      </c>
      <c r="AA4390" s="11">
        <v>1.37</v>
      </c>
      <c r="AB4390" s="11">
        <v>0</v>
      </c>
      <c r="AC4390" s="11"/>
      <c r="AD4390" s="11" t="str">
        <f>IFERROR(__xludf.DUMMYFUNCTION("""COMPUTED_VALUE"""),"Alice Evans")</f>
        <v>Alice Evans</v>
      </c>
      <c r="AE4390" s="11"/>
    </row>
    <row r="4391" customHeight="1" spans="1:31">
      <c r="A4391" s="12" t="s">
        <v>30</v>
      </c>
      <c r="B4391" s="12" t="s">
        <v>19130</v>
      </c>
      <c r="C4391" s="12">
        <v>55</v>
      </c>
      <c r="D4391" s="12">
        <v>103</v>
      </c>
      <c r="E4391" s="12">
        <v>673</v>
      </c>
      <c r="F4391" s="12">
        <v>89</v>
      </c>
      <c r="G4391" s="12">
        <v>281</v>
      </c>
      <c r="H4391" s="16"/>
      <c r="I4391" s="12" t="s">
        <v>15011</v>
      </c>
      <c r="J4391" s="12" t="s">
        <v>14479</v>
      </c>
      <c r="K4391" s="12" t="s">
        <v>20817</v>
      </c>
      <c r="L4391" s="12" t="s">
        <v>20818</v>
      </c>
      <c r="M4391" s="12" t="s">
        <v>20819</v>
      </c>
      <c r="N4391" s="12">
        <v>11920</v>
      </c>
      <c r="O4391" s="12">
        <v>955</v>
      </c>
      <c r="P4391" s="12">
        <v>1</v>
      </c>
      <c r="Q4391" s="12" t="s">
        <v>20820</v>
      </c>
      <c r="R4391" s="15" t="s">
        <v>20821</v>
      </c>
      <c r="S4391" s="12">
        <v>90</v>
      </c>
      <c r="T4391" s="12" t="s">
        <v>39</v>
      </c>
      <c r="U4391" s="12" t="s">
        <v>40</v>
      </c>
      <c r="V4391" s="12" t="s">
        <v>5614</v>
      </c>
      <c r="W4391" s="12">
        <v>1600000</v>
      </c>
      <c r="X4391" s="12">
        <v>1949</v>
      </c>
      <c r="Y4391" s="12">
        <v>230</v>
      </c>
      <c r="Z4391" s="12">
        <v>7.4</v>
      </c>
      <c r="AA4391" s="12">
        <v>1.37</v>
      </c>
      <c r="AB4391" s="12">
        <v>721</v>
      </c>
      <c r="AC4391" s="12"/>
      <c r="AD4391" s="12" t="str">
        <f>IFERROR(__xludf.DUMMYFUNCTION("""COMPUTED_VALUE"""),"Glenn Campbell")</f>
        <v>Glenn Campbell</v>
      </c>
      <c r="AE4391" s="12"/>
    </row>
    <row r="4392" customHeight="1" spans="1:31">
      <c r="A4392" s="11" t="s">
        <v>30</v>
      </c>
      <c r="B4392" s="11" t="s">
        <v>20822</v>
      </c>
      <c r="C4392" s="11">
        <v>15</v>
      </c>
      <c r="D4392" s="11">
        <v>102</v>
      </c>
      <c r="E4392" s="11">
        <v>11</v>
      </c>
      <c r="F4392" s="11">
        <v>575</v>
      </c>
      <c r="G4392" s="11">
        <v>651</v>
      </c>
      <c r="H4392" s="11">
        <v>2507106</v>
      </c>
      <c r="I4392" s="11" t="s">
        <v>6200</v>
      </c>
      <c r="J4392" s="11" t="s">
        <v>14551</v>
      </c>
      <c r="K4392" s="11" t="s">
        <v>20823</v>
      </c>
      <c r="L4392" s="11" t="s">
        <v>2539</v>
      </c>
      <c r="M4392" s="11" t="s">
        <v>20824</v>
      </c>
      <c r="N4392" s="11">
        <v>2561</v>
      </c>
      <c r="O4392" s="11">
        <v>3894</v>
      </c>
      <c r="P4392" s="11">
        <v>0</v>
      </c>
      <c r="Q4392" s="11" t="s">
        <v>20825</v>
      </c>
      <c r="R4392" s="14" t="s">
        <v>20826</v>
      </c>
      <c r="S4392" s="11">
        <v>21</v>
      </c>
      <c r="T4392" s="11" t="s">
        <v>39</v>
      </c>
      <c r="U4392" s="11" t="s">
        <v>40</v>
      </c>
      <c r="V4392" s="11" t="s">
        <v>96</v>
      </c>
      <c r="W4392" s="13"/>
      <c r="X4392" s="11">
        <v>2013</v>
      </c>
      <c r="Y4392" s="11">
        <v>611</v>
      </c>
      <c r="Z4392" s="11">
        <v>6.1</v>
      </c>
      <c r="AA4392" s="13"/>
      <c r="AB4392" s="11">
        <v>0</v>
      </c>
      <c r="AC4392" s="11"/>
      <c r="AD4392" s="11" t="str">
        <f>IFERROR(__xludf.DUMMYFUNCTION("""COMPUTED_VALUE"""),"Sandra Staggs")</f>
        <v>Sandra Staggs</v>
      </c>
      <c r="AE4392" s="11"/>
    </row>
    <row r="4393" customHeight="1" spans="1:31">
      <c r="A4393" s="12" t="s">
        <v>30</v>
      </c>
      <c r="B4393" s="12" t="s">
        <v>20827</v>
      </c>
      <c r="C4393" s="12">
        <v>16</v>
      </c>
      <c r="D4393" s="12">
        <v>84</v>
      </c>
      <c r="E4393" s="12">
        <v>11</v>
      </c>
      <c r="F4393" s="12">
        <v>249</v>
      </c>
      <c r="G4393" s="12">
        <v>489</v>
      </c>
      <c r="H4393" s="12">
        <v>6026908</v>
      </c>
      <c r="I4393" s="12" t="s">
        <v>2528</v>
      </c>
      <c r="J4393" s="12" t="s">
        <v>9578</v>
      </c>
      <c r="K4393" s="12" t="s">
        <v>19341</v>
      </c>
      <c r="L4393" s="12" t="s">
        <v>20828</v>
      </c>
      <c r="M4393" s="12" t="s">
        <v>20829</v>
      </c>
      <c r="N4393" s="12">
        <v>536</v>
      </c>
      <c r="O4393" s="12">
        <v>2196</v>
      </c>
      <c r="P4393" s="12">
        <v>0</v>
      </c>
      <c r="Q4393" s="12" t="s">
        <v>20830</v>
      </c>
      <c r="R4393" s="15" t="s">
        <v>20831</v>
      </c>
      <c r="S4393" s="12">
        <v>13</v>
      </c>
      <c r="T4393" s="12" t="s">
        <v>39</v>
      </c>
      <c r="U4393" s="12" t="s">
        <v>40</v>
      </c>
      <c r="V4393" s="12" t="s">
        <v>586</v>
      </c>
      <c r="W4393" s="12">
        <v>2000000</v>
      </c>
      <c r="X4393" s="12">
        <v>1999</v>
      </c>
      <c r="Y4393" s="12">
        <v>469</v>
      </c>
      <c r="Z4393" s="12">
        <v>4.3</v>
      </c>
      <c r="AA4393" s="16"/>
      <c r="AB4393" s="12">
        <v>43</v>
      </c>
      <c r="AC4393" s="12"/>
      <c r="AD4393" s="12" t="str">
        <f>IFERROR(__xludf.DUMMYFUNCTION("""COMPUTED_VALUE"""),"Jelena Nik")</f>
        <v>Jelena Nik</v>
      </c>
      <c r="AE4393" s="12"/>
    </row>
    <row r="4394" customHeight="1" spans="1:31">
      <c r="A4394" s="11" t="s">
        <v>30</v>
      </c>
      <c r="B4394" s="11" t="s">
        <v>20832</v>
      </c>
      <c r="C4394" s="11">
        <v>5</v>
      </c>
      <c r="D4394" s="13"/>
      <c r="E4394" s="11">
        <v>8</v>
      </c>
      <c r="F4394" s="11">
        <v>394</v>
      </c>
      <c r="G4394" s="11">
        <v>713</v>
      </c>
      <c r="H4394" s="11">
        <v>2592808</v>
      </c>
      <c r="I4394" s="11" t="s">
        <v>2126</v>
      </c>
      <c r="J4394" s="11" t="s">
        <v>9690</v>
      </c>
      <c r="K4394" s="11" t="s">
        <v>10802</v>
      </c>
      <c r="L4394" s="11" t="s">
        <v>19640</v>
      </c>
      <c r="M4394" s="11" t="s">
        <v>20833</v>
      </c>
      <c r="N4394" s="11">
        <v>548</v>
      </c>
      <c r="O4394" s="11">
        <v>3137</v>
      </c>
      <c r="P4394" s="11">
        <v>5</v>
      </c>
      <c r="Q4394" s="11" t="s">
        <v>20834</v>
      </c>
      <c r="R4394" s="14" t="s">
        <v>20835</v>
      </c>
      <c r="S4394" s="11">
        <v>15</v>
      </c>
      <c r="T4394" s="11" t="s">
        <v>39</v>
      </c>
      <c r="U4394" s="11" t="s">
        <v>40</v>
      </c>
      <c r="V4394" s="11" t="s">
        <v>586</v>
      </c>
      <c r="W4394" s="13"/>
      <c r="X4394" s="11">
        <v>2010</v>
      </c>
      <c r="Y4394" s="11">
        <v>607</v>
      </c>
      <c r="Z4394" s="11">
        <v>3.5</v>
      </c>
      <c r="AA4394" s="11">
        <v>2.35</v>
      </c>
      <c r="AB4394" s="11">
        <v>588</v>
      </c>
      <c r="AC4394" s="11"/>
      <c r="AD4394" s="11" t="str">
        <f>IFERROR(__xludf.DUMMYFUNCTION("""COMPUTED_VALUE"""),"Luis Tosar")</f>
        <v>Luis Tosar</v>
      </c>
      <c r="AE4394" s="11"/>
    </row>
    <row r="4395" customHeight="1" spans="1:31">
      <c r="A4395" s="12" t="s">
        <v>30</v>
      </c>
      <c r="B4395" s="12" t="s">
        <v>20836</v>
      </c>
      <c r="C4395" s="12">
        <v>109</v>
      </c>
      <c r="D4395" s="12">
        <v>95</v>
      </c>
      <c r="E4395" s="12">
        <v>0</v>
      </c>
      <c r="F4395" s="12">
        <v>0</v>
      </c>
      <c r="G4395" s="12">
        <v>227</v>
      </c>
      <c r="H4395" s="12">
        <v>1060591</v>
      </c>
      <c r="I4395" s="12" t="s">
        <v>1415</v>
      </c>
      <c r="J4395" s="12" t="s">
        <v>20837</v>
      </c>
      <c r="K4395" s="12" t="s">
        <v>20838</v>
      </c>
      <c r="L4395" s="12" t="s">
        <v>20836</v>
      </c>
      <c r="M4395" s="12" t="s">
        <v>20839</v>
      </c>
      <c r="N4395" s="12">
        <v>9750</v>
      </c>
      <c r="O4395" s="12">
        <v>231</v>
      </c>
      <c r="P4395" s="12">
        <v>0</v>
      </c>
      <c r="Q4395" s="12" t="s">
        <v>20840</v>
      </c>
      <c r="R4395" s="15" t="s">
        <v>20841</v>
      </c>
      <c r="S4395" s="12">
        <v>66</v>
      </c>
      <c r="T4395" s="12" t="s">
        <v>15950</v>
      </c>
      <c r="U4395" s="12" t="s">
        <v>1466</v>
      </c>
      <c r="V4395" s="12" t="s">
        <v>96</v>
      </c>
      <c r="W4395" s="12">
        <v>1300000</v>
      </c>
      <c r="X4395" s="12">
        <v>2007</v>
      </c>
      <c r="Y4395" s="12">
        <v>4</v>
      </c>
      <c r="Z4395" s="12">
        <v>7.2</v>
      </c>
      <c r="AA4395" s="12">
        <v>1.85</v>
      </c>
      <c r="AB4395" s="12">
        <v>0</v>
      </c>
      <c r="AC4395" s="12"/>
      <c r="AD4395" s="12" t="str">
        <f>IFERROR(__xludf.DUMMYFUNCTION("""COMPUTED_VALUE"""),"Tony Corvillo")</f>
        <v>Tony Corvillo</v>
      </c>
      <c r="AE4395" s="12"/>
    </row>
    <row r="4396" customHeight="1" spans="1:31">
      <c r="A4396" s="11" t="s">
        <v>30</v>
      </c>
      <c r="B4396" s="11" t="s">
        <v>20842</v>
      </c>
      <c r="C4396" s="11">
        <v>40</v>
      </c>
      <c r="D4396" s="11">
        <v>92</v>
      </c>
      <c r="E4396" s="11">
        <v>0</v>
      </c>
      <c r="F4396" s="11">
        <v>2</v>
      </c>
      <c r="G4396" s="11">
        <v>327</v>
      </c>
      <c r="H4396" s="13"/>
      <c r="I4396" s="11" t="s">
        <v>5544</v>
      </c>
      <c r="J4396" s="11" t="s">
        <v>3459</v>
      </c>
      <c r="K4396" s="11" t="s">
        <v>20843</v>
      </c>
      <c r="L4396" s="11" t="s">
        <v>20844</v>
      </c>
      <c r="M4396" s="11" t="s">
        <v>20845</v>
      </c>
      <c r="N4396" s="11">
        <v>2621</v>
      </c>
      <c r="O4396" s="11">
        <v>380</v>
      </c>
      <c r="P4396" s="11">
        <v>3</v>
      </c>
      <c r="Q4396" s="11" t="s">
        <v>20846</v>
      </c>
      <c r="R4396" s="14" t="s">
        <v>20847</v>
      </c>
      <c r="S4396" s="11">
        <v>18</v>
      </c>
      <c r="T4396" s="11" t="s">
        <v>39</v>
      </c>
      <c r="U4396" s="11" t="s">
        <v>40</v>
      </c>
      <c r="V4396" s="11" t="s">
        <v>586</v>
      </c>
      <c r="W4396" s="13"/>
      <c r="X4396" s="11">
        <v>2014</v>
      </c>
      <c r="Y4396" s="11">
        <v>51</v>
      </c>
      <c r="Z4396" s="11">
        <v>4.7</v>
      </c>
      <c r="AA4396" s="11">
        <v>2.35</v>
      </c>
      <c r="AB4396" s="11">
        <v>844</v>
      </c>
      <c r="AC4396" s="11"/>
      <c r="AD4396" s="11" t="str">
        <f>IFERROR(__xludf.DUMMYFUNCTION("""COMPUTED_VALUE"""),"Marta Etura")</f>
        <v>Marta Etura</v>
      </c>
      <c r="AE4396" s="11"/>
    </row>
    <row r="4397" customHeight="1" spans="1:31">
      <c r="A4397" s="12" t="s">
        <v>30</v>
      </c>
      <c r="B4397" s="12" t="s">
        <v>20848</v>
      </c>
      <c r="C4397" s="12">
        <v>51</v>
      </c>
      <c r="D4397" s="12">
        <v>90</v>
      </c>
      <c r="E4397" s="12">
        <v>21</v>
      </c>
      <c r="F4397" s="12">
        <v>27</v>
      </c>
      <c r="G4397" s="12">
        <v>53</v>
      </c>
      <c r="H4397" s="12">
        <v>155972</v>
      </c>
      <c r="I4397" s="12" t="s">
        <v>1415</v>
      </c>
      <c r="J4397" s="12" t="s">
        <v>20849</v>
      </c>
      <c r="K4397" s="12" t="s">
        <v>20850</v>
      </c>
      <c r="L4397" s="12" t="s">
        <v>20851</v>
      </c>
      <c r="M4397" s="12" t="s">
        <v>20852</v>
      </c>
      <c r="N4397" s="12">
        <v>4702</v>
      </c>
      <c r="O4397" s="12">
        <v>137</v>
      </c>
      <c r="P4397" s="12">
        <v>0</v>
      </c>
      <c r="Q4397" s="12" t="s">
        <v>20853</v>
      </c>
      <c r="R4397" s="15" t="s">
        <v>20854</v>
      </c>
      <c r="S4397" s="12">
        <v>23</v>
      </c>
      <c r="T4397" s="12" t="s">
        <v>11691</v>
      </c>
      <c r="U4397" s="12" t="s">
        <v>20302</v>
      </c>
      <c r="V4397" s="12" t="s">
        <v>5614</v>
      </c>
      <c r="W4397" s="12">
        <v>1500000</v>
      </c>
      <c r="X4397" s="12">
        <v>2006</v>
      </c>
      <c r="Y4397" s="12">
        <v>30</v>
      </c>
      <c r="Z4397" s="12">
        <v>7.3</v>
      </c>
      <c r="AA4397" s="16"/>
      <c r="AB4397" s="12">
        <v>0</v>
      </c>
      <c r="AC4397" s="12"/>
      <c r="AD4397" s="12" t="str">
        <f>IFERROR(__xludf.DUMMYFUNCTION("""COMPUTED_VALUE"""),"Doug Bradley")</f>
        <v>Doug Bradley</v>
      </c>
      <c r="AE4397" s="12"/>
    </row>
    <row r="4398" customHeight="1" spans="1:31">
      <c r="A4398" s="11" t="s">
        <v>30</v>
      </c>
      <c r="B4398" s="11" t="s">
        <v>4851</v>
      </c>
      <c r="C4398" s="11">
        <v>149</v>
      </c>
      <c r="D4398" s="11">
        <v>113</v>
      </c>
      <c r="E4398" s="11">
        <v>0</v>
      </c>
      <c r="F4398" s="11">
        <v>324</v>
      </c>
      <c r="G4398" s="11">
        <v>11000</v>
      </c>
      <c r="H4398" s="13"/>
      <c r="I4398" s="11" t="s">
        <v>1924</v>
      </c>
      <c r="J4398" s="11" t="s">
        <v>391</v>
      </c>
      <c r="K4398" s="11" t="s">
        <v>10642</v>
      </c>
      <c r="L4398" s="11" t="s">
        <v>20855</v>
      </c>
      <c r="M4398" s="11" t="s">
        <v>20856</v>
      </c>
      <c r="N4398" s="11">
        <v>74651</v>
      </c>
      <c r="O4398" s="11">
        <v>12157</v>
      </c>
      <c r="P4398" s="11">
        <v>2</v>
      </c>
      <c r="Q4398" s="11" t="s">
        <v>20857</v>
      </c>
      <c r="R4398" s="14" t="s">
        <v>20858</v>
      </c>
      <c r="S4398" s="11">
        <v>313</v>
      </c>
      <c r="T4398" s="11" t="s">
        <v>39</v>
      </c>
      <c r="U4398" s="11" t="s">
        <v>40</v>
      </c>
      <c r="V4398" s="11" t="s">
        <v>96</v>
      </c>
      <c r="W4398" s="11">
        <v>1600000</v>
      </c>
      <c r="X4398" s="11">
        <v>1974</v>
      </c>
      <c r="Y4398" s="11">
        <v>481</v>
      </c>
      <c r="Z4398" s="11">
        <v>7.9</v>
      </c>
      <c r="AA4398" s="11">
        <v>1.37</v>
      </c>
      <c r="AB4398" s="11">
        <v>6000</v>
      </c>
      <c r="AC4398" s="11"/>
      <c r="AD4398" s="11" t="str">
        <f>IFERROR(__xludf.DUMMYFUNCTION("""COMPUTED_VALUE"""),"Georgia Groome")</f>
        <v>Georgia Groome</v>
      </c>
      <c r="AE4398" s="11"/>
    </row>
    <row r="4399" customHeight="1" spans="1:31">
      <c r="A4399" s="12" t="s">
        <v>30</v>
      </c>
      <c r="B4399" s="12" t="s">
        <v>20859</v>
      </c>
      <c r="C4399" s="12">
        <v>4</v>
      </c>
      <c r="D4399" s="16"/>
      <c r="E4399" s="12">
        <v>0</v>
      </c>
      <c r="F4399" s="12">
        <v>45</v>
      </c>
      <c r="G4399" s="12">
        <v>421</v>
      </c>
      <c r="H4399" s="12">
        <v>129319</v>
      </c>
      <c r="I4399" s="12" t="s">
        <v>19710</v>
      </c>
      <c r="J4399" s="12" t="s">
        <v>16842</v>
      </c>
      <c r="K4399" s="12" t="s">
        <v>20860</v>
      </c>
      <c r="L4399" s="12" t="s">
        <v>17949</v>
      </c>
      <c r="M4399" s="12" t="s">
        <v>20861</v>
      </c>
      <c r="N4399" s="12">
        <v>257</v>
      </c>
      <c r="O4399" s="12">
        <v>622</v>
      </c>
      <c r="P4399" s="12">
        <v>4</v>
      </c>
      <c r="Q4399" s="16"/>
      <c r="R4399" s="15" t="s">
        <v>20862</v>
      </c>
      <c r="S4399" s="12">
        <v>4</v>
      </c>
      <c r="T4399" s="12" t="s">
        <v>39</v>
      </c>
      <c r="U4399" s="12" t="s">
        <v>5613</v>
      </c>
      <c r="V4399" s="16"/>
      <c r="W4399" s="12">
        <v>70000000</v>
      </c>
      <c r="X4399" s="12">
        <v>2005</v>
      </c>
      <c r="Y4399" s="12">
        <v>96</v>
      </c>
      <c r="Z4399" s="12">
        <v>5.1</v>
      </c>
      <c r="AA4399" s="16"/>
      <c r="AB4399" s="12">
        <v>9</v>
      </c>
      <c r="AC4399" s="12"/>
      <c r="AD4399" s="12" t="str">
        <f>IFERROR(__xludf.DUMMYFUNCTION("""COMPUTED_VALUE"""),"John Stamos")</f>
        <v>John Stamos</v>
      </c>
      <c r="AE4399" s="12"/>
    </row>
    <row r="4400" customHeight="1" spans="1:31">
      <c r="A4400" s="11" t="s">
        <v>30</v>
      </c>
      <c r="B4400" s="11" t="s">
        <v>20863</v>
      </c>
      <c r="C4400" s="11">
        <v>35</v>
      </c>
      <c r="D4400" s="11">
        <v>123</v>
      </c>
      <c r="E4400" s="11">
        <v>0</v>
      </c>
      <c r="F4400" s="11">
        <v>21</v>
      </c>
      <c r="G4400" s="11">
        <v>963</v>
      </c>
      <c r="H4400" s="11">
        <v>26893</v>
      </c>
      <c r="I4400" s="11" t="s">
        <v>4824</v>
      </c>
      <c r="J4400" s="11" t="s">
        <v>6663</v>
      </c>
      <c r="K4400" s="11" t="s">
        <v>20864</v>
      </c>
      <c r="L4400" s="11" t="s">
        <v>20865</v>
      </c>
      <c r="M4400" s="11" t="s">
        <v>20866</v>
      </c>
      <c r="N4400" s="11">
        <v>4391</v>
      </c>
      <c r="O4400" s="11">
        <v>1694</v>
      </c>
      <c r="P4400" s="11">
        <v>0</v>
      </c>
      <c r="Q4400" s="11" t="s">
        <v>20867</v>
      </c>
      <c r="R4400" s="14" t="s">
        <v>20868</v>
      </c>
      <c r="S4400" s="11">
        <v>26</v>
      </c>
      <c r="T4400" s="11" t="s">
        <v>1465</v>
      </c>
      <c r="U4400" s="11" t="s">
        <v>1466</v>
      </c>
      <c r="V4400" s="11" t="s">
        <v>586</v>
      </c>
      <c r="W4400" s="11">
        <v>1600000</v>
      </c>
      <c r="X4400" s="11">
        <v>1969</v>
      </c>
      <c r="Y4400" s="11">
        <v>710</v>
      </c>
      <c r="Z4400" s="11">
        <v>7.2</v>
      </c>
      <c r="AA4400" s="11">
        <v>2.35</v>
      </c>
      <c r="AB4400" s="11">
        <v>278</v>
      </c>
      <c r="AC4400" s="11"/>
      <c r="AD4400" s="11" t="str">
        <f>IFERROR(__xludf.DUMMYFUNCTION("""COMPUTED_VALUE"""),"Patricia Neal")</f>
        <v>Patricia Neal</v>
      </c>
      <c r="AE4400" s="11"/>
    </row>
    <row r="4401" customHeight="1" spans="1:31">
      <c r="A4401" s="12" t="s">
        <v>30</v>
      </c>
      <c r="B4401" s="12" t="s">
        <v>2866</v>
      </c>
      <c r="C4401" s="12">
        <v>22</v>
      </c>
      <c r="D4401" s="12">
        <v>111</v>
      </c>
      <c r="E4401" s="12">
        <v>1000</v>
      </c>
      <c r="F4401" s="12">
        <v>127</v>
      </c>
      <c r="G4401" s="12">
        <v>2000</v>
      </c>
      <c r="H4401" s="12">
        <v>2580</v>
      </c>
      <c r="I4401" s="12" t="s">
        <v>8061</v>
      </c>
      <c r="J4401" s="12" t="s">
        <v>236</v>
      </c>
      <c r="K4401" s="12" t="s">
        <v>20869</v>
      </c>
      <c r="L4401" s="12" t="s">
        <v>15688</v>
      </c>
      <c r="M4401" s="12" t="s">
        <v>20870</v>
      </c>
      <c r="N4401" s="12">
        <v>1618</v>
      </c>
      <c r="O4401" s="12">
        <v>2564</v>
      </c>
      <c r="P4401" s="12">
        <v>2</v>
      </c>
      <c r="Q4401" s="12" t="s">
        <v>20871</v>
      </c>
      <c r="R4401" s="15" t="s">
        <v>20872</v>
      </c>
      <c r="S4401" s="12">
        <v>40</v>
      </c>
      <c r="T4401" s="12" t="s">
        <v>39</v>
      </c>
      <c r="U4401" s="12" t="s">
        <v>40</v>
      </c>
      <c r="V4401" s="12" t="s">
        <v>586</v>
      </c>
      <c r="W4401" s="12">
        <v>1650000</v>
      </c>
      <c r="X4401" s="12">
        <v>2003</v>
      </c>
      <c r="Y4401" s="12">
        <v>163</v>
      </c>
      <c r="Z4401" s="12">
        <v>5.4</v>
      </c>
      <c r="AA4401" s="12">
        <v>2.35</v>
      </c>
      <c r="AB4401" s="12">
        <v>63</v>
      </c>
      <c r="AC4401" s="12"/>
      <c r="AD4401" s="12" t="str">
        <f>IFERROR(__xludf.DUMMYFUNCTION("""COMPUTED_VALUE"""),"Katie Leclerc")</f>
        <v>Katie Leclerc</v>
      </c>
      <c r="AE4401" s="12"/>
    </row>
    <row r="4402" customHeight="1" spans="1:31">
      <c r="A4402" s="11" t="s">
        <v>30</v>
      </c>
      <c r="B4402" s="11" t="s">
        <v>20873</v>
      </c>
      <c r="C4402" s="11">
        <v>68</v>
      </c>
      <c r="D4402" s="11">
        <v>99</v>
      </c>
      <c r="E4402" s="11">
        <v>4</v>
      </c>
      <c r="F4402" s="11">
        <v>114</v>
      </c>
      <c r="G4402" s="11">
        <v>427</v>
      </c>
      <c r="H4402" s="13"/>
      <c r="I4402" s="11" t="s">
        <v>6403</v>
      </c>
      <c r="J4402" s="11" t="s">
        <v>20874</v>
      </c>
      <c r="K4402" s="11" t="s">
        <v>20875</v>
      </c>
      <c r="L4402" s="11" t="s">
        <v>20876</v>
      </c>
      <c r="M4402" s="11" t="s">
        <v>20877</v>
      </c>
      <c r="N4402" s="11">
        <v>3313</v>
      </c>
      <c r="O4402" s="11">
        <v>992</v>
      </c>
      <c r="P4402" s="11">
        <v>0</v>
      </c>
      <c r="Q4402" s="11" t="s">
        <v>20878</v>
      </c>
      <c r="R4402" s="14" t="s">
        <v>20879</v>
      </c>
      <c r="S4402" s="11">
        <v>40</v>
      </c>
      <c r="T4402" s="11" t="s">
        <v>39</v>
      </c>
      <c r="U4402" s="11" t="s">
        <v>40</v>
      </c>
      <c r="V4402" s="11" t="s">
        <v>4831</v>
      </c>
      <c r="W4402" s="13"/>
      <c r="X4402" s="11">
        <v>2016</v>
      </c>
      <c r="Y4402" s="11">
        <v>253</v>
      </c>
      <c r="Z4402" s="11">
        <v>3.7</v>
      </c>
      <c r="AA4402" s="13"/>
      <c r="AB4402" s="11">
        <v>2000</v>
      </c>
      <c r="AC4402" s="11"/>
      <c r="AD4402" s="11" t="str">
        <f>IFERROR(__xludf.DUMMYFUNCTION("""COMPUTED_VALUE"""),"Timothy Omundson")</f>
        <v>Timothy Omundson</v>
      </c>
      <c r="AE4402" s="11"/>
    </row>
    <row r="4403" customHeight="1" spans="1:31">
      <c r="A4403" s="12" t="s">
        <v>30</v>
      </c>
      <c r="B4403" s="12" t="s">
        <v>112</v>
      </c>
      <c r="C4403" s="12">
        <v>287</v>
      </c>
      <c r="D4403" s="12">
        <v>110</v>
      </c>
      <c r="E4403" s="12">
        <v>0</v>
      </c>
      <c r="F4403" s="12">
        <v>1000</v>
      </c>
      <c r="G4403" s="12">
        <v>3000</v>
      </c>
      <c r="H4403" s="12">
        <v>58885635</v>
      </c>
      <c r="I4403" s="12" t="s">
        <v>4905</v>
      </c>
      <c r="J4403" s="12" t="s">
        <v>948</v>
      </c>
      <c r="K4403" s="12" t="s">
        <v>4373</v>
      </c>
      <c r="L4403" s="12" t="s">
        <v>1540</v>
      </c>
      <c r="M4403" s="12" t="s">
        <v>8878</v>
      </c>
      <c r="N4403" s="12">
        <v>194426</v>
      </c>
      <c r="O4403" s="12">
        <v>10438</v>
      </c>
      <c r="P4403" s="12">
        <v>0</v>
      </c>
      <c r="Q4403" s="12" t="s">
        <v>8879</v>
      </c>
      <c r="R4403" s="15" t="s">
        <v>8880</v>
      </c>
      <c r="S4403" s="12">
        <v>1057</v>
      </c>
      <c r="T4403" s="12" t="s">
        <v>39</v>
      </c>
      <c r="U4403" s="12" t="s">
        <v>40</v>
      </c>
      <c r="V4403" s="12" t="s">
        <v>586</v>
      </c>
      <c r="W4403" s="12">
        <v>26000000</v>
      </c>
      <c r="X4403" s="12">
        <v>2004</v>
      </c>
      <c r="Y4403" s="12">
        <v>2000</v>
      </c>
      <c r="Z4403" s="12">
        <v>7.4</v>
      </c>
      <c r="AA4403" s="12">
        <v>2.35</v>
      </c>
      <c r="AB4403" s="12">
        <v>7000</v>
      </c>
      <c r="AC4403" s="12"/>
      <c r="AD4403" s="12" t="str">
        <f>IFERROR(__xludf.DUMMYFUNCTION("""COMPUTED_VALUE"""),"David Adam Flannery")</f>
        <v>David Adam Flannery</v>
      </c>
      <c r="AE4403" s="12"/>
    </row>
    <row r="4404" customHeight="1" spans="1:31">
      <c r="A4404" s="11" t="s">
        <v>30</v>
      </c>
      <c r="B4404" s="11" t="s">
        <v>20880</v>
      </c>
      <c r="C4404" s="11">
        <v>173</v>
      </c>
      <c r="D4404" s="11">
        <v>108</v>
      </c>
      <c r="E4404" s="11">
        <v>191</v>
      </c>
      <c r="F4404" s="11">
        <v>336</v>
      </c>
      <c r="G4404" s="11">
        <v>597</v>
      </c>
      <c r="H4404" s="11">
        <v>19067631</v>
      </c>
      <c r="I4404" s="11" t="s">
        <v>1415</v>
      </c>
      <c r="J4404" s="11" t="s">
        <v>9165</v>
      </c>
      <c r="K4404" s="11" t="s">
        <v>5161</v>
      </c>
      <c r="L4404" s="11" t="s">
        <v>7855</v>
      </c>
      <c r="M4404" s="11" t="s">
        <v>20881</v>
      </c>
      <c r="N4404" s="11">
        <v>37714</v>
      </c>
      <c r="O4404" s="11">
        <v>1981</v>
      </c>
      <c r="P4404" s="11">
        <v>1</v>
      </c>
      <c r="Q4404" s="11" t="s">
        <v>20882</v>
      </c>
      <c r="R4404" s="14" t="s">
        <v>20883</v>
      </c>
      <c r="S4404" s="11">
        <v>204</v>
      </c>
      <c r="T4404" s="11" t="s">
        <v>39</v>
      </c>
      <c r="U4404" s="11" t="s">
        <v>40</v>
      </c>
      <c r="V4404" s="11" t="s">
        <v>41</v>
      </c>
      <c r="W4404" s="11">
        <v>2000000</v>
      </c>
      <c r="X4404" s="11">
        <v>2007</v>
      </c>
      <c r="Y4404" s="11">
        <v>541</v>
      </c>
      <c r="Z4404" s="11">
        <v>7.1</v>
      </c>
      <c r="AA4404" s="11">
        <v>1.85</v>
      </c>
      <c r="AB4404" s="11">
        <v>0</v>
      </c>
      <c r="AC4404" s="11"/>
      <c r="AD4404" s="11" t="str">
        <f>IFERROR(__xludf.DUMMYFUNCTION("""COMPUTED_VALUE"""),"Cyndi Lauper")</f>
        <v>Cyndi Lauper</v>
      </c>
      <c r="AE4404" s="11"/>
    </row>
    <row r="4405" customHeight="1" spans="1:31">
      <c r="A4405" s="12" t="s">
        <v>30</v>
      </c>
      <c r="B4405" s="12" t="s">
        <v>20884</v>
      </c>
      <c r="C4405" s="12">
        <v>61</v>
      </c>
      <c r="D4405" s="12">
        <v>92</v>
      </c>
      <c r="E4405" s="12">
        <v>15</v>
      </c>
      <c r="F4405" s="12">
        <v>49</v>
      </c>
      <c r="G4405" s="12">
        <v>633</v>
      </c>
      <c r="H4405" s="12">
        <v>11806119</v>
      </c>
      <c r="I4405" s="12" t="s">
        <v>7124</v>
      </c>
      <c r="J4405" s="12" t="s">
        <v>12450</v>
      </c>
      <c r="K4405" s="12" t="s">
        <v>20885</v>
      </c>
      <c r="L4405" s="12" t="s">
        <v>20886</v>
      </c>
      <c r="M4405" s="12" t="s">
        <v>20887</v>
      </c>
      <c r="N4405" s="12">
        <v>57578</v>
      </c>
      <c r="O4405" s="12">
        <v>1168</v>
      </c>
      <c r="P4405" s="12">
        <v>1</v>
      </c>
      <c r="Q4405" s="12" t="s">
        <v>20888</v>
      </c>
      <c r="R4405" s="15" t="s">
        <v>20889</v>
      </c>
      <c r="S4405" s="12">
        <v>210</v>
      </c>
      <c r="T4405" s="12" t="s">
        <v>39</v>
      </c>
      <c r="U4405" s="12" t="s">
        <v>40</v>
      </c>
      <c r="V4405" s="12" t="s">
        <v>586</v>
      </c>
      <c r="W4405" s="12">
        <v>1100000</v>
      </c>
      <c r="X4405" s="12">
        <v>1988</v>
      </c>
      <c r="Y4405" s="12">
        <v>403</v>
      </c>
      <c r="Z4405" s="12">
        <v>6.8</v>
      </c>
      <c r="AA4405" s="12">
        <v>1.85</v>
      </c>
      <c r="AB4405" s="12">
        <v>0</v>
      </c>
      <c r="AC4405" s="12"/>
      <c r="AD4405" s="12" t="str">
        <f>IFERROR(__xludf.DUMMYFUNCTION("""COMPUTED_VALUE"""),"Irène Jacob")</f>
        <v>Irène Jacob</v>
      </c>
      <c r="AE4405" s="12"/>
    </row>
    <row r="4406" customHeight="1" spans="1:31">
      <c r="A4406" s="11" t="s">
        <v>748</v>
      </c>
      <c r="B4406" s="11" t="s">
        <v>19168</v>
      </c>
      <c r="C4406" s="11">
        <v>96</v>
      </c>
      <c r="D4406" s="11">
        <v>120</v>
      </c>
      <c r="E4406" s="11">
        <v>964</v>
      </c>
      <c r="F4406" s="11">
        <v>248</v>
      </c>
      <c r="G4406" s="11">
        <v>607</v>
      </c>
      <c r="H4406" s="13"/>
      <c r="I4406" s="11" t="s">
        <v>2528</v>
      </c>
      <c r="J4406" s="11" t="s">
        <v>12819</v>
      </c>
      <c r="K4406" s="11" t="s">
        <v>20809</v>
      </c>
      <c r="L4406" s="11" t="s">
        <v>18794</v>
      </c>
      <c r="M4406" s="11" t="s">
        <v>20890</v>
      </c>
      <c r="N4406" s="11">
        <v>77392</v>
      </c>
      <c r="O4406" s="11">
        <v>1573</v>
      </c>
      <c r="P4406" s="11">
        <v>7</v>
      </c>
      <c r="Q4406" s="11" t="s">
        <v>20891</v>
      </c>
      <c r="R4406" s="14" t="s">
        <v>20892</v>
      </c>
      <c r="S4406" s="11">
        <v>245</v>
      </c>
      <c r="T4406" s="11" t="s">
        <v>39</v>
      </c>
      <c r="U4406" s="11" t="s">
        <v>40</v>
      </c>
      <c r="V4406" s="11" t="s">
        <v>4831</v>
      </c>
      <c r="W4406" s="11">
        <v>1500000</v>
      </c>
      <c r="X4406" s="11">
        <v>1939</v>
      </c>
      <c r="Y4406" s="11">
        <v>319</v>
      </c>
      <c r="Z4406" s="11">
        <v>8.2</v>
      </c>
      <c r="AA4406" s="11">
        <v>1.37</v>
      </c>
      <c r="AB4406" s="11">
        <v>0</v>
      </c>
      <c r="AC4406" s="11"/>
      <c r="AD4406" s="11" t="str">
        <f>IFERROR(__xludf.DUMMYFUNCTION("""COMPUTED_VALUE"""),"Tomiwa Edun")</f>
        <v>Tomiwa Edun</v>
      </c>
      <c r="AE4406" s="11"/>
    </row>
    <row r="4407" customHeight="1" spans="1:31">
      <c r="A4407" s="12" t="s">
        <v>30</v>
      </c>
      <c r="B4407" s="12" t="s">
        <v>20074</v>
      </c>
      <c r="C4407" s="12">
        <v>71</v>
      </c>
      <c r="D4407" s="12">
        <v>91</v>
      </c>
      <c r="E4407" s="12">
        <v>184</v>
      </c>
      <c r="F4407" s="12">
        <v>82</v>
      </c>
      <c r="G4407" s="12">
        <v>3000</v>
      </c>
      <c r="H4407" s="12">
        <v>7417210</v>
      </c>
      <c r="I4407" s="12" t="s">
        <v>3410</v>
      </c>
      <c r="J4407" s="12" t="s">
        <v>984</v>
      </c>
      <c r="K4407" s="12" t="s">
        <v>20893</v>
      </c>
      <c r="L4407" s="12" t="s">
        <v>20894</v>
      </c>
      <c r="M4407" s="12" t="s">
        <v>20895</v>
      </c>
      <c r="N4407" s="12">
        <v>59041</v>
      </c>
      <c r="O4407" s="12">
        <v>3310</v>
      </c>
      <c r="P4407" s="12">
        <v>1</v>
      </c>
      <c r="Q4407" s="12" t="s">
        <v>20896</v>
      </c>
      <c r="R4407" s="15" t="s">
        <v>20897</v>
      </c>
      <c r="S4407" s="12">
        <v>408</v>
      </c>
      <c r="T4407" s="12" t="s">
        <v>39</v>
      </c>
      <c r="U4407" s="12" t="s">
        <v>40</v>
      </c>
      <c r="V4407" s="16"/>
      <c r="W4407" s="12">
        <v>1500000</v>
      </c>
      <c r="X4407" s="12">
        <v>1995</v>
      </c>
      <c r="Y4407" s="12">
        <v>202</v>
      </c>
      <c r="Z4407" s="12">
        <v>7</v>
      </c>
      <c r="AA4407" s="12">
        <v>1.85</v>
      </c>
      <c r="AB4407" s="12">
        <v>0</v>
      </c>
      <c r="AC4407" s="12"/>
      <c r="AD4407" s="12" t="str">
        <f>IFERROR(__xludf.DUMMYFUNCTION("""COMPUTED_VALUE"""),"Lisa Kay")</f>
        <v>Lisa Kay</v>
      </c>
      <c r="AE4407" s="12"/>
    </row>
    <row r="4408" customHeight="1" spans="1:31">
      <c r="A4408" s="11" t="s">
        <v>30</v>
      </c>
      <c r="B4408" s="11" t="s">
        <v>15234</v>
      </c>
      <c r="C4408" s="11">
        <v>110</v>
      </c>
      <c r="D4408" s="11">
        <v>88</v>
      </c>
      <c r="E4408" s="11">
        <v>387</v>
      </c>
      <c r="F4408" s="11">
        <v>18</v>
      </c>
      <c r="G4408" s="11">
        <v>436</v>
      </c>
      <c r="H4408" s="11">
        <v>7362100</v>
      </c>
      <c r="I4408" s="11" t="s">
        <v>2528</v>
      </c>
      <c r="J4408" s="11" t="s">
        <v>20898</v>
      </c>
      <c r="K4408" s="11" t="s">
        <v>20899</v>
      </c>
      <c r="L4408" s="11" t="s">
        <v>20900</v>
      </c>
      <c r="M4408" s="11" t="s">
        <v>20901</v>
      </c>
      <c r="N4408" s="11">
        <v>60295</v>
      </c>
      <c r="O4408" s="11">
        <v>479</v>
      </c>
      <c r="P4408" s="11">
        <v>0</v>
      </c>
      <c r="Q4408" s="11" t="s">
        <v>20902</v>
      </c>
      <c r="R4408" s="14" t="s">
        <v>20903</v>
      </c>
      <c r="S4408" s="11">
        <v>232</v>
      </c>
      <c r="T4408" s="11" t="s">
        <v>39</v>
      </c>
      <c r="U4408" s="11" t="s">
        <v>40</v>
      </c>
      <c r="V4408" s="11" t="s">
        <v>586</v>
      </c>
      <c r="W4408" s="11">
        <v>1500000</v>
      </c>
      <c r="X4408" s="11">
        <v>2005</v>
      </c>
      <c r="Y4408" s="11">
        <v>25</v>
      </c>
      <c r="Z4408" s="11">
        <v>7.4</v>
      </c>
      <c r="AA4408" s="11">
        <v>1.85</v>
      </c>
      <c r="AB4408" s="11">
        <v>0</v>
      </c>
      <c r="AC4408" s="11"/>
      <c r="AD4408" s="11" t="str">
        <f>IFERROR(__xludf.DUMMYFUNCTION("""COMPUTED_VALUE"""),"David Huddleston")</f>
        <v>David Huddleston</v>
      </c>
      <c r="AE4408" s="11"/>
    </row>
    <row r="4409" customHeight="1" spans="1:31">
      <c r="A4409" s="12" t="s">
        <v>30</v>
      </c>
      <c r="B4409" s="12" t="s">
        <v>9471</v>
      </c>
      <c r="C4409" s="12">
        <v>110</v>
      </c>
      <c r="D4409" s="12">
        <v>97</v>
      </c>
      <c r="E4409" s="12">
        <v>0</v>
      </c>
      <c r="F4409" s="12">
        <v>117</v>
      </c>
      <c r="G4409" s="12">
        <v>378</v>
      </c>
      <c r="H4409" s="12">
        <v>7022940</v>
      </c>
      <c r="I4409" s="12" t="s">
        <v>1415</v>
      </c>
      <c r="J4409" s="12" t="s">
        <v>20904</v>
      </c>
      <c r="K4409" s="12" t="s">
        <v>20905</v>
      </c>
      <c r="L4409" s="12" t="s">
        <v>20906</v>
      </c>
      <c r="M4409" s="12" t="s">
        <v>20907</v>
      </c>
      <c r="N4409" s="12">
        <v>14018</v>
      </c>
      <c r="O4409" s="12">
        <v>1173</v>
      </c>
      <c r="P4409" s="12">
        <v>1</v>
      </c>
      <c r="Q4409" s="12" t="s">
        <v>20908</v>
      </c>
      <c r="R4409" s="15" t="s">
        <v>20909</v>
      </c>
      <c r="S4409" s="12">
        <v>190</v>
      </c>
      <c r="T4409" s="12" t="s">
        <v>39</v>
      </c>
      <c r="U4409" s="12" t="s">
        <v>40</v>
      </c>
      <c r="V4409" s="12" t="s">
        <v>586</v>
      </c>
      <c r="W4409" s="12">
        <v>1000000</v>
      </c>
      <c r="X4409" s="12">
        <v>2001</v>
      </c>
      <c r="Y4409" s="12">
        <v>321</v>
      </c>
      <c r="Z4409" s="12">
        <v>6.7</v>
      </c>
      <c r="AA4409" s="12">
        <v>1.85</v>
      </c>
      <c r="AB4409" s="12">
        <v>682</v>
      </c>
      <c r="AC4409" s="12"/>
      <c r="AD4409" s="12" t="str">
        <f>IFERROR(__xludf.DUMMYFUNCTION("""COMPUTED_VALUE"""),"David Raizor")</f>
        <v>David Raizor</v>
      </c>
      <c r="AE4409" s="12"/>
    </row>
    <row r="4410" customHeight="1" spans="1:31">
      <c r="A4410" s="11" t="s">
        <v>30</v>
      </c>
      <c r="B4410" s="11" t="s">
        <v>1940</v>
      </c>
      <c r="C4410" s="11">
        <v>101</v>
      </c>
      <c r="D4410" s="11">
        <v>95</v>
      </c>
      <c r="E4410" s="11">
        <v>611</v>
      </c>
      <c r="F4410" s="11">
        <v>3</v>
      </c>
      <c r="G4410" s="11">
        <v>9</v>
      </c>
      <c r="H4410" s="11">
        <v>190666</v>
      </c>
      <c r="I4410" s="11" t="s">
        <v>2528</v>
      </c>
      <c r="J4410" s="11" t="s">
        <v>11977</v>
      </c>
      <c r="K4410" s="11" t="s">
        <v>14400</v>
      </c>
      <c r="L4410" s="11" t="s">
        <v>14401</v>
      </c>
      <c r="M4410" s="11" t="s">
        <v>14402</v>
      </c>
      <c r="N4410" s="11">
        <v>2410</v>
      </c>
      <c r="O4410" s="11">
        <v>18</v>
      </c>
      <c r="P4410" s="11">
        <v>1</v>
      </c>
      <c r="Q4410" s="11" t="s">
        <v>14403</v>
      </c>
      <c r="R4410" s="14" t="s">
        <v>14404</v>
      </c>
      <c r="S4410" s="11">
        <v>20</v>
      </c>
      <c r="T4410" s="11" t="s">
        <v>1947</v>
      </c>
      <c r="U4410" s="11" t="s">
        <v>893</v>
      </c>
      <c r="V4410" s="11" t="s">
        <v>586</v>
      </c>
      <c r="W4410" s="13"/>
      <c r="X4410" s="11">
        <v>2009</v>
      </c>
      <c r="Y4410" s="11">
        <v>4</v>
      </c>
      <c r="Z4410" s="11">
        <v>5.7</v>
      </c>
      <c r="AA4410" s="11">
        <v>2.35</v>
      </c>
      <c r="AB4410" s="11">
        <v>784</v>
      </c>
      <c r="AC4410" s="11"/>
      <c r="AD4410" s="11" t="str">
        <f>IFERROR(__xludf.DUMMYFUNCTION("""COMPUTED_VALUE"""),"Cody Howard")</f>
        <v>Cody Howard</v>
      </c>
      <c r="AE4410" s="11"/>
    </row>
    <row r="4411" customHeight="1" spans="1:31">
      <c r="A4411" s="16"/>
      <c r="B4411" s="12" t="s">
        <v>5409</v>
      </c>
      <c r="C4411" s="12">
        <v>2</v>
      </c>
      <c r="D4411" s="12">
        <v>90</v>
      </c>
      <c r="E4411" s="12">
        <v>134</v>
      </c>
      <c r="F4411" s="12">
        <v>354</v>
      </c>
      <c r="G4411" s="12">
        <v>260000</v>
      </c>
      <c r="H4411" s="16"/>
      <c r="I4411" s="12" t="s">
        <v>1326</v>
      </c>
      <c r="J4411" s="12" t="s">
        <v>20910</v>
      </c>
      <c r="K4411" s="12" t="s">
        <v>20911</v>
      </c>
      <c r="L4411" s="12" t="s">
        <v>20912</v>
      </c>
      <c r="M4411" s="12" t="s">
        <v>20913</v>
      </c>
      <c r="N4411" s="12">
        <v>246</v>
      </c>
      <c r="O4411" s="12">
        <v>261818</v>
      </c>
      <c r="P4411" s="12">
        <v>5</v>
      </c>
      <c r="Q4411" s="16"/>
      <c r="R4411" s="15" t="s">
        <v>20914</v>
      </c>
      <c r="S4411" s="12">
        <v>1</v>
      </c>
      <c r="T4411" s="16"/>
      <c r="U4411" s="12" t="s">
        <v>40</v>
      </c>
      <c r="V4411" s="16"/>
      <c r="W4411" s="12">
        <v>17000000</v>
      </c>
      <c r="X4411" s="12">
        <v>2016</v>
      </c>
      <c r="Y4411" s="12">
        <v>454</v>
      </c>
      <c r="Z4411" s="12">
        <v>9.1</v>
      </c>
      <c r="AA4411" s="16"/>
      <c r="AB4411" s="12">
        <v>0</v>
      </c>
      <c r="AC4411" s="12"/>
      <c r="AD4411" s="12" t="str">
        <f>IFERROR(__xludf.DUMMYFUNCTION("""COMPUTED_VALUE"""),"Mikal Vega")</f>
        <v>Mikal Vega</v>
      </c>
      <c r="AE4411" s="12"/>
    </row>
    <row r="4412" customHeight="1" spans="1:31">
      <c r="A4412" s="11" t="s">
        <v>30</v>
      </c>
      <c r="B4412" s="11" t="s">
        <v>11033</v>
      </c>
      <c r="C4412" s="11">
        <v>97</v>
      </c>
      <c r="D4412" s="11">
        <v>95</v>
      </c>
      <c r="E4412" s="11">
        <v>13000</v>
      </c>
      <c r="F4412" s="11">
        <v>82</v>
      </c>
      <c r="G4412" s="11">
        <v>472</v>
      </c>
      <c r="H4412" s="13"/>
      <c r="I4412" s="11" t="s">
        <v>20915</v>
      </c>
      <c r="J4412" s="11" t="s">
        <v>20916</v>
      </c>
      <c r="K4412" s="11" t="s">
        <v>20917</v>
      </c>
      <c r="L4412" s="11" t="s">
        <v>20918</v>
      </c>
      <c r="M4412" s="11" t="s">
        <v>20919</v>
      </c>
      <c r="N4412" s="11">
        <v>32927</v>
      </c>
      <c r="O4412" s="11">
        <v>896</v>
      </c>
      <c r="P4412" s="11">
        <v>1</v>
      </c>
      <c r="Q4412" s="11" t="s">
        <v>20920</v>
      </c>
      <c r="R4412" s="14" t="s">
        <v>20921</v>
      </c>
      <c r="S4412" s="11">
        <v>161</v>
      </c>
      <c r="T4412" s="11" t="s">
        <v>39</v>
      </c>
      <c r="U4412" s="11" t="s">
        <v>40</v>
      </c>
      <c r="V4412" s="11" t="s">
        <v>5614</v>
      </c>
      <c r="W4412" s="11">
        <v>1696377</v>
      </c>
      <c r="X4412" s="11">
        <v>1945</v>
      </c>
      <c r="Y4412" s="11">
        <v>239</v>
      </c>
      <c r="Z4412" s="11">
        <v>7.6</v>
      </c>
      <c r="AA4412" s="11">
        <v>1.37</v>
      </c>
      <c r="AB4412" s="11">
        <v>0</v>
      </c>
      <c r="AC4412" s="11"/>
      <c r="AD4412" s="11" t="str">
        <f>IFERROR(__xludf.DUMMYFUNCTION("""COMPUTED_VALUE"""),"Michael Dudikoff")</f>
        <v>Michael Dudikoff</v>
      </c>
      <c r="AE4412" s="11"/>
    </row>
    <row r="4413" customHeight="1" spans="1:31">
      <c r="A4413" s="12" t="s">
        <v>30</v>
      </c>
      <c r="B4413" s="12" t="s">
        <v>8639</v>
      </c>
      <c r="C4413" s="12">
        <v>53</v>
      </c>
      <c r="D4413" s="12">
        <v>103</v>
      </c>
      <c r="E4413" s="12">
        <v>460</v>
      </c>
      <c r="F4413" s="12">
        <v>900</v>
      </c>
      <c r="G4413" s="12">
        <v>991</v>
      </c>
      <c r="H4413" s="12">
        <v>5132222</v>
      </c>
      <c r="I4413" s="12" t="s">
        <v>3832</v>
      </c>
      <c r="J4413" s="12" t="s">
        <v>354</v>
      </c>
      <c r="K4413" s="12" t="s">
        <v>4342</v>
      </c>
      <c r="L4413" s="12" t="s">
        <v>8555</v>
      </c>
      <c r="M4413" s="12" t="s">
        <v>20922</v>
      </c>
      <c r="N4413" s="12">
        <v>14112</v>
      </c>
      <c r="O4413" s="12">
        <v>2990</v>
      </c>
      <c r="P4413" s="12">
        <v>1</v>
      </c>
      <c r="Q4413" s="12" t="s">
        <v>20923</v>
      </c>
      <c r="R4413" s="15" t="s">
        <v>20924</v>
      </c>
      <c r="S4413" s="12">
        <v>83</v>
      </c>
      <c r="T4413" s="12" t="s">
        <v>39</v>
      </c>
      <c r="U4413" s="12" t="s">
        <v>269</v>
      </c>
      <c r="V4413" s="12" t="s">
        <v>586</v>
      </c>
      <c r="W4413" s="12">
        <v>2000000</v>
      </c>
      <c r="X4413" s="12">
        <v>1994</v>
      </c>
      <c r="Y4413" s="12">
        <v>971</v>
      </c>
      <c r="Z4413" s="12">
        <v>7.2</v>
      </c>
      <c r="AA4413" s="12">
        <v>1.85</v>
      </c>
      <c r="AB4413" s="12">
        <v>619</v>
      </c>
      <c r="AC4413" s="12"/>
      <c r="AD4413" s="12" t="str">
        <f>IFERROR(__xludf.DUMMYFUNCTION("""COMPUTED_VALUE"""),"Ed Quinn")</f>
        <v>Ed Quinn</v>
      </c>
      <c r="AE4413" s="12"/>
    </row>
    <row r="4414" customHeight="1" spans="1:31">
      <c r="A4414" s="11" t="s">
        <v>30</v>
      </c>
      <c r="B4414" s="11" t="s">
        <v>13976</v>
      </c>
      <c r="C4414" s="11">
        <v>106</v>
      </c>
      <c r="D4414" s="11">
        <v>110</v>
      </c>
      <c r="E4414" s="11">
        <v>787</v>
      </c>
      <c r="F4414" s="11">
        <v>642</v>
      </c>
      <c r="G4414" s="11">
        <v>1000</v>
      </c>
      <c r="H4414" s="11">
        <v>2365931</v>
      </c>
      <c r="I4414" s="11" t="s">
        <v>3124</v>
      </c>
      <c r="J4414" s="11" t="s">
        <v>3981</v>
      </c>
      <c r="K4414" s="11" t="s">
        <v>13976</v>
      </c>
      <c r="L4414" s="11" t="s">
        <v>12333</v>
      </c>
      <c r="M4414" s="11" t="s">
        <v>20925</v>
      </c>
      <c r="N4414" s="11">
        <v>36657</v>
      </c>
      <c r="O4414" s="11">
        <v>4762</v>
      </c>
      <c r="P4414" s="11">
        <v>2</v>
      </c>
      <c r="Q4414" s="11" t="s">
        <v>20926</v>
      </c>
      <c r="R4414" s="14" t="s">
        <v>20927</v>
      </c>
      <c r="S4414" s="11">
        <v>318</v>
      </c>
      <c r="T4414" s="11" t="s">
        <v>39</v>
      </c>
      <c r="U4414" s="11" t="s">
        <v>40</v>
      </c>
      <c r="V4414" s="11" t="s">
        <v>586</v>
      </c>
      <c r="W4414" s="11">
        <v>1500000</v>
      </c>
      <c r="X4414" s="11">
        <v>1998</v>
      </c>
      <c r="Y4414" s="11">
        <v>787</v>
      </c>
      <c r="Z4414" s="11">
        <v>7.5</v>
      </c>
      <c r="AA4414" s="11">
        <v>1.85</v>
      </c>
      <c r="AB4414" s="11">
        <v>0</v>
      </c>
      <c r="AC4414" s="11"/>
      <c r="AD4414" s="11" t="str">
        <f>IFERROR(__xludf.DUMMYFUNCTION("""COMPUTED_VALUE"""),"Julia Jentsch")</f>
        <v>Julia Jentsch</v>
      </c>
      <c r="AE4414" s="11"/>
    </row>
    <row r="4415" customHeight="1" spans="1:31">
      <c r="A4415" s="12" t="s">
        <v>30</v>
      </c>
      <c r="B4415" s="12" t="s">
        <v>333</v>
      </c>
      <c r="C4415" s="12">
        <v>445</v>
      </c>
      <c r="D4415" s="12">
        <v>103</v>
      </c>
      <c r="E4415" s="12">
        <v>0</v>
      </c>
      <c r="F4415" s="12">
        <v>588</v>
      </c>
      <c r="G4415" s="12">
        <v>852</v>
      </c>
      <c r="H4415" s="12">
        <v>53991137</v>
      </c>
      <c r="I4415" s="12" t="s">
        <v>2664</v>
      </c>
      <c r="J4415" s="12" t="s">
        <v>7330</v>
      </c>
      <c r="K4415" s="12" t="s">
        <v>16591</v>
      </c>
      <c r="L4415" s="12" t="s">
        <v>20928</v>
      </c>
      <c r="M4415" s="12" t="s">
        <v>20929</v>
      </c>
      <c r="N4415" s="12">
        <v>202800</v>
      </c>
      <c r="O4415" s="12">
        <v>3030</v>
      </c>
      <c r="P4415" s="12">
        <v>1</v>
      </c>
      <c r="Q4415" s="12" t="s">
        <v>20930</v>
      </c>
      <c r="R4415" s="15" t="s">
        <v>20931</v>
      </c>
      <c r="S4415" s="12">
        <v>752</v>
      </c>
      <c r="T4415" s="12" t="s">
        <v>39</v>
      </c>
      <c r="U4415" s="12" t="s">
        <v>40</v>
      </c>
      <c r="V4415" s="12" t="s">
        <v>41</v>
      </c>
      <c r="W4415" s="12">
        <v>1500000</v>
      </c>
      <c r="X4415" s="12">
        <v>2010</v>
      </c>
      <c r="Y4415" s="12">
        <v>618</v>
      </c>
      <c r="Z4415" s="12">
        <v>6.8</v>
      </c>
      <c r="AA4415" s="12">
        <v>2.35</v>
      </c>
      <c r="AB4415" s="12">
        <v>60000</v>
      </c>
      <c r="AC4415" s="12"/>
      <c r="AD4415" s="12" t="str">
        <f>IFERROR(__xludf.DUMMYFUNCTION("""COMPUTED_VALUE"""),"Ivan Barnev")</f>
        <v>Ivan Barnev</v>
      </c>
      <c r="AE4415" s="12"/>
    </row>
    <row r="4416" customHeight="1" spans="1:31">
      <c r="A4416" s="11" t="s">
        <v>30</v>
      </c>
      <c r="B4416" s="11" t="s">
        <v>20932</v>
      </c>
      <c r="C4416" s="11">
        <v>131</v>
      </c>
      <c r="D4416" s="11">
        <v>92</v>
      </c>
      <c r="E4416" s="11">
        <v>92</v>
      </c>
      <c r="F4416" s="11">
        <v>166</v>
      </c>
      <c r="G4416" s="11">
        <v>752</v>
      </c>
      <c r="H4416" s="13"/>
      <c r="I4416" s="11" t="s">
        <v>20933</v>
      </c>
      <c r="J4416" s="11" t="s">
        <v>1682</v>
      </c>
      <c r="K4416" s="11" t="s">
        <v>12490</v>
      </c>
      <c r="L4416" s="11" t="s">
        <v>20934</v>
      </c>
      <c r="M4416" s="11" t="s">
        <v>20935</v>
      </c>
      <c r="N4416" s="11">
        <v>25332</v>
      </c>
      <c r="O4416" s="11">
        <v>1652</v>
      </c>
      <c r="P4416" s="11">
        <v>3</v>
      </c>
      <c r="Q4416" s="11" t="s">
        <v>20936</v>
      </c>
      <c r="R4416" s="14" t="s">
        <v>20937</v>
      </c>
      <c r="S4416" s="11">
        <v>148</v>
      </c>
      <c r="T4416" s="11" t="s">
        <v>39</v>
      </c>
      <c r="U4416" s="11" t="s">
        <v>40</v>
      </c>
      <c r="V4416" s="11" t="s">
        <v>586</v>
      </c>
      <c r="W4416" s="11">
        <v>1500000</v>
      </c>
      <c r="X4416" s="11">
        <v>1984</v>
      </c>
      <c r="Y4416" s="11">
        <v>324</v>
      </c>
      <c r="Z4416" s="11">
        <v>6.9</v>
      </c>
      <c r="AA4416" s="11">
        <v>1.85</v>
      </c>
      <c r="AB4416" s="11">
        <v>0</v>
      </c>
      <c r="AC4416" s="11"/>
      <c r="AD4416" s="11" t="str">
        <f>IFERROR(__xludf.DUMMYFUNCTION("""COMPUTED_VALUE"""),"Milan Lasica")</f>
        <v>Milan Lasica</v>
      </c>
      <c r="AE4416" s="11"/>
    </row>
    <row r="4417" customHeight="1" spans="1:31">
      <c r="A4417" s="12" t="s">
        <v>30</v>
      </c>
      <c r="B4417" s="12" t="s">
        <v>20938</v>
      </c>
      <c r="C4417" s="12">
        <v>94</v>
      </c>
      <c r="D4417" s="12">
        <v>114</v>
      </c>
      <c r="E4417" s="12">
        <v>44</v>
      </c>
      <c r="F4417" s="12">
        <v>7</v>
      </c>
      <c r="G4417" s="12">
        <v>827</v>
      </c>
      <c r="H4417" s="12">
        <v>1221261</v>
      </c>
      <c r="I4417" s="12" t="s">
        <v>2126</v>
      </c>
      <c r="J4417" s="12" t="s">
        <v>18936</v>
      </c>
      <c r="K4417" s="12" t="s">
        <v>20939</v>
      </c>
      <c r="L4417" s="12" t="s">
        <v>20940</v>
      </c>
      <c r="M4417" s="12" t="s">
        <v>20941</v>
      </c>
      <c r="N4417" s="12">
        <v>38215</v>
      </c>
      <c r="O4417" s="12">
        <v>856</v>
      </c>
      <c r="P4417" s="12">
        <v>0</v>
      </c>
      <c r="Q4417" s="12" t="s">
        <v>20942</v>
      </c>
      <c r="R4417" s="15" t="s">
        <v>20943</v>
      </c>
      <c r="S4417" s="12">
        <v>125</v>
      </c>
      <c r="T4417" s="12" t="s">
        <v>2779</v>
      </c>
      <c r="U4417" s="12" t="s">
        <v>18942</v>
      </c>
      <c r="V4417" s="12" t="s">
        <v>586</v>
      </c>
      <c r="W4417" s="12">
        <v>1500000</v>
      </c>
      <c r="X4417" s="12">
        <v>2000</v>
      </c>
      <c r="Y4417" s="12">
        <v>22</v>
      </c>
      <c r="Z4417" s="12">
        <v>7.9</v>
      </c>
      <c r="AA4417" s="12">
        <v>1.85</v>
      </c>
      <c r="AB4417" s="12">
        <v>0</v>
      </c>
      <c r="AC4417" s="12"/>
      <c r="AD4417" s="12" t="str">
        <f>IFERROR(__xludf.DUMMYFUNCTION("""COMPUTED_VALUE"""),"Birol Ünel")</f>
        <v>Birol Ünel</v>
      </c>
      <c r="AE4417" s="12"/>
    </row>
    <row r="4418" customHeight="1" spans="1:31">
      <c r="A4418" s="11" t="s">
        <v>30</v>
      </c>
      <c r="B4418" s="11" t="s">
        <v>20944</v>
      </c>
      <c r="C4418" s="11">
        <v>105</v>
      </c>
      <c r="D4418" s="11">
        <v>101</v>
      </c>
      <c r="E4418" s="11">
        <v>4</v>
      </c>
      <c r="F4418" s="11">
        <v>0</v>
      </c>
      <c r="G4418" s="11">
        <v>0</v>
      </c>
      <c r="H4418" s="11">
        <v>2408553</v>
      </c>
      <c r="I4418" s="11" t="s">
        <v>20310</v>
      </c>
      <c r="J4418" s="11" t="s">
        <v>20945</v>
      </c>
      <c r="K4418" s="11" t="s">
        <v>20946</v>
      </c>
      <c r="L4418" s="11" t="s">
        <v>20947</v>
      </c>
      <c r="M4418" s="11" t="s">
        <v>20948</v>
      </c>
      <c r="N4418" s="11">
        <v>4547</v>
      </c>
      <c r="O4418" s="11">
        <v>0</v>
      </c>
      <c r="P4418" s="11">
        <v>3</v>
      </c>
      <c r="Q4418" s="11" t="s">
        <v>20949</v>
      </c>
      <c r="R4418" s="14" t="s">
        <v>20950</v>
      </c>
      <c r="S4418" s="11">
        <v>33</v>
      </c>
      <c r="T4418" s="11" t="s">
        <v>11691</v>
      </c>
      <c r="U4418" s="11" t="s">
        <v>20302</v>
      </c>
      <c r="V4418" s="11" t="s">
        <v>41</v>
      </c>
      <c r="W4418" s="13"/>
      <c r="X4418" s="11">
        <v>2012</v>
      </c>
      <c r="Y4418" s="11">
        <v>0</v>
      </c>
      <c r="Z4418" s="11">
        <v>7.6</v>
      </c>
      <c r="AA4418" s="11">
        <v>1.85</v>
      </c>
      <c r="AB4418" s="11">
        <v>0</v>
      </c>
      <c r="AC4418" s="11"/>
      <c r="AD4418" s="11" t="str">
        <f>IFERROR(__xludf.DUMMYFUNCTION("""COMPUTED_VALUE"""),"Joseph Mawle")</f>
        <v>Joseph Mawle</v>
      </c>
      <c r="AE4418" s="11"/>
    </row>
    <row r="4419" customHeight="1" spans="1:31">
      <c r="A4419" s="12" t="s">
        <v>30</v>
      </c>
      <c r="B4419" s="12" t="s">
        <v>20951</v>
      </c>
      <c r="C4419" s="12">
        <v>75</v>
      </c>
      <c r="D4419" s="12">
        <v>112</v>
      </c>
      <c r="E4419" s="12">
        <v>58</v>
      </c>
      <c r="F4419" s="12">
        <v>42</v>
      </c>
      <c r="G4419" s="12">
        <v>552</v>
      </c>
      <c r="H4419" s="12">
        <v>712294</v>
      </c>
      <c r="I4419" s="12" t="s">
        <v>3410</v>
      </c>
      <c r="J4419" s="12" t="s">
        <v>7415</v>
      </c>
      <c r="K4419" s="12" t="s">
        <v>4338</v>
      </c>
      <c r="L4419" s="12" t="s">
        <v>20952</v>
      </c>
      <c r="M4419" s="12" t="s">
        <v>20953</v>
      </c>
      <c r="N4419" s="12">
        <v>9408</v>
      </c>
      <c r="O4419" s="12">
        <v>859</v>
      </c>
      <c r="P4419" s="12">
        <v>1</v>
      </c>
      <c r="Q4419" s="12" t="s">
        <v>20954</v>
      </c>
      <c r="R4419" s="15" t="s">
        <v>20955</v>
      </c>
      <c r="S4419" s="12">
        <v>68</v>
      </c>
      <c r="T4419" s="12" t="s">
        <v>39</v>
      </c>
      <c r="U4419" s="12" t="s">
        <v>40</v>
      </c>
      <c r="V4419" s="12" t="s">
        <v>586</v>
      </c>
      <c r="W4419" s="12">
        <v>1500000</v>
      </c>
      <c r="X4419" s="12">
        <v>2005</v>
      </c>
      <c r="Y4419" s="12">
        <v>265</v>
      </c>
      <c r="Z4419" s="12">
        <v>6.7</v>
      </c>
      <c r="AA4419" s="12">
        <v>1.66</v>
      </c>
      <c r="AB4419" s="12">
        <v>608</v>
      </c>
      <c r="AC4419" s="12"/>
      <c r="AD4419" s="12" t="str">
        <f>IFERROR(__xludf.DUMMYFUNCTION("""COMPUTED_VALUE"""),"Takashi Miike")</f>
        <v>Takashi Miike</v>
      </c>
      <c r="AE4419" s="12"/>
    </row>
    <row r="4420" customHeight="1" spans="1:31">
      <c r="A4420" s="11" t="s">
        <v>30</v>
      </c>
      <c r="B4420" s="11" t="s">
        <v>20956</v>
      </c>
      <c r="C4420" s="11">
        <v>97</v>
      </c>
      <c r="D4420" s="11">
        <v>104</v>
      </c>
      <c r="E4420" s="11">
        <v>38</v>
      </c>
      <c r="F4420" s="11">
        <v>690</v>
      </c>
      <c r="G4420" s="11">
        <v>801</v>
      </c>
      <c r="H4420" s="11">
        <v>3447339</v>
      </c>
      <c r="I4420" s="11" t="s">
        <v>1681</v>
      </c>
      <c r="J4420" s="11" t="s">
        <v>1666</v>
      </c>
      <c r="K4420" s="11" t="s">
        <v>4990</v>
      </c>
      <c r="L4420" s="11" t="s">
        <v>1408</v>
      </c>
      <c r="M4420" s="11" t="s">
        <v>20957</v>
      </c>
      <c r="N4420" s="11">
        <v>29517</v>
      </c>
      <c r="O4420" s="11">
        <v>2667</v>
      </c>
      <c r="P4420" s="11">
        <v>7</v>
      </c>
      <c r="Q4420" s="11" t="s">
        <v>20958</v>
      </c>
      <c r="R4420" s="14" t="s">
        <v>20959</v>
      </c>
      <c r="S4420" s="11">
        <v>79</v>
      </c>
      <c r="T4420" s="11" t="s">
        <v>39</v>
      </c>
      <c r="U4420" s="11" t="s">
        <v>40</v>
      </c>
      <c r="V4420" s="11" t="s">
        <v>586</v>
      </c>
      <c r="W4420" s="11">
        <v>1500000</v>
      </c>
      <c r="X4420" s="11">
        <v>2013</v>
      </c>
      <c r="Y4420" s="11">
        <v>727</v>
      </c>
      <c r="Z4420" s="11">
        <v>5.8</v>
      </c>
      <c r="AA4420" s="11">
        <v>1.78</v>
      </c>
      <c r="AB4420" s="11">
        <v>0</v>
      </c>
      <c r="AC4420" s="11"/>
      <c r="AD4420" s="11" t="str">
        <f>IFERROR(__xludf.DUMMYFUNCTION("""COMPUTED_VALUE"""),"Robert Longstreet")</f>
        <v>Robert Longstreet</v>
      </c>
      <c r="AE4420" s="11"/>
    </row>
    <row r="4421" customHeight="1" spans="1:31">
      <c r="A4421" s="12" t="s">
        <v>30</v>
      </c>
      <c r="B4421" s="12" t="s">
        <v>18553</v>
      </c>
      <c r="C4421" s="12">
        <v>37</v>
      </c>
      <c r="D4421" s="12">
        <v>99</v>
      </c>
      <c r="E4421" s="12">
        <v>675</v>
      </c>
      <c r="F4421" s="12">
        <v>164</v>
      </c>
      <c r="G4421" s="12">
        <v>902</v>
      </c>
      <c r="H4421" s="12">
        <v>418953</v>
      </c>
      <c r="I4421" s="12" t="s">
        <v>2126</v>
      </c>
      <c r="J4421" s="12" t="s">
        <v>5783</v>
      </c>
      <c r="K4421" s="12" t="s">
        <v>20960</v>
      </c>
      <c r="L4421" s="12" t="s">
        <v>20357</v>
      </c>
      <c r="M4421" s="12" t="s">
        <v>20961</v>
      </c>
      <c r="N4421" s="12">
        <v>17322</v>
      </c>
      <c r="O4421" s="12">
        <v>1582</v>
      </c>
      <c r="P4421" s="12">
        <v>0</v>
      </c>
      <c r="Q4421" s="12" t="s">
        <v>20962</v>
      </c>
      <c r="R4421" s="15" t="s">
        <v>20963</v>
      </c>
      <c r="S4421" s="12">
        <v>93</v>
      </c>
      <c r="T4421" s="12" t="s">
        <v>39</v>
      </c>
      <c r="U4421" s="12" t="s">
        <v>1466</v>
      </c>
      <c r="V4421" s="12" t="s">
        <v>586</v>
      </c>
      <c r="W4421" s="12">
        <v>1500000</v>
      </c>
      <c r="X4421" s="12">
        <v>1993</v>
      </c>
      <c r="Y4421" s="12">
        <v>424</v>
      </c>
      <c r="Z4421" s="12">
        <v>6.5</v>
      </c>
      <c r="AA4421" s="12">
        <v>1.85</v>
      </c>
      <c r="AB4421" s="12">
        <v>853</v>
      </c>
      <c r="AC4421" s="12"/>
      <c r="AD4421" s="12" t="str">
        <f>IFERROR(__xludf.DUMMYFUNCTION("""COMPUTED_VALUE"""),"Katherine Helmond")</f>
        <v>Katherine Helmond</v>
      </c>
      <c r="AE4421" s="12"/>
    </row>
    <row r="4422" customHeight="1" spans="1:31">
      <c r="A4422" s="11" t="s">
        <v>748</v>
      </c>
      <c r="B4422" s="11" t="s">
        <v>20964</v>
      </c>
      <c r="C4422" s="11">
        <v>84</v>
      </c>
      <c r="D4422" s="11">
        <v>98</v>
      </c>
      <c r="E4422" s="11">
        <v>21</v>
      </c>
      <c r="F4422" s="11">
        <v>76</v>
      </c>
      <c r="G4422" s="11">
        <v>33000</v>
      </c>
      <c r="H4422" s="11">
        <v>406035</v>
      </c>
      <c r="I4422" s="11" t="s">
        <v>3410</v>
      </c>
      <c r="J4422" s="11" t="s">
        <v>4214</v>
      </c>
      <c r="K4422" s="11" t="s">
        <v>20965</v>
      </c>
      <c r="L4422" s="11" t="s">
        <v>20966</v>
      </c>
      <c r="M4422" s="11" t="s">
        <v>20967</v>
      </c>
      <c r="N4422" s="11">
        <v>30314</v>
      </c>
      <c r="O4422" s="11">
        <v>33441</v>
      </c>
      <c r="P4422" s="11">
        <v>0</v>
      </c>
      <c r="Q4422" s="11" t="s">
        <v>20968</v>
      </c>
      <c r="R4422" s="14" t="s">
        <v>20969</v>
      </c>
      <c r="S4422" s="11">
        <v>159</v>
      </c>
      <c r="T4422" s="11" t="s">
        <v>39</v>
      </c>
      <c r="U4422" s="11" t="s">
        <v>40</v>
      </c>
      <c r="V4422" s="11" t="s">
        <v>586</v>
      </c>
      <c r="W4422" s="11">
        <v>1500000</v>
      </c>
      <c r="X4422" s="11">
        <v>2001</v>
      </c>
      <c r="Y4422" s="11">
        <v>243</v>
      </c>
      <c r="Z4422" s="11">
        <v>7.2</v>
      </c>
      <c r="AA4422" s="11">
        <v>1.66</v>
      </c>
      <c r="AB4422" s="11">
        <v>0</v>
      </c>
      <c r="AC4422" s="11"/>
      <c r="AD4422" s="11" t="str">
        <f>IFERROR(__xludf.DUMMYFUNCTION("""COMPUTED_VALUE"""),"Bill Johnson")</f>
        <v>Bill Johnson</v>
      </c>
      <c r="AE4422" s="11"/>
    </row>
    <row r="4423" customHeight="1" spans="1:31">
      <c r="A4423" s="12" t="s">
        <v>30</v>
      </c>
      <c r="B4423" s="12" t="s">
        <v>5419</v>
      </c>
      <c r="C4423" s="12">
        <v>88</v>
      </c>
      <c r="D4423" s="12">
        <v>107</v>
      </c>
      <c r="E4423" s="12">
        <v>234</v>
      </c>
      <c r="F4423" s="12">
        <v>442</v>
      </c>
      <c r="G4423" s="12">
        <v>947</v>
      </c>
      <c r="H4423" s="12">
        <v>402820</v>
      </c>
      <c r="I4423" s="12" t="s">
        <v>214</v>
      </c>
      <c r="J4423" s="12" t="s">
        <v>2299</v>
      </c>
      <c r="K4423" s="12" t="s">
        <v>18695</v>
      </c>
      <c r="L4423" s="12" t="s">
        <v>2409</v>
      </c>
      <c r="M4423" s="12" t="s">
        <v>20970</v>
      </c>
      <c r="N4423" s="12">
        <v>10896</v>
      </c>
      <c r="O4423" s="12">
        <v>2747</v>
      </c>
      <c r="P4423" s="12">
        <v>0</v>
      </c>
      <c r="Q4423" s="12" t="s">
        <v>20971</v>
      </c>
      <c r="R4423" s="15" t="s">
        <v>20972</v>
      </c>
      <c r="S4423" s="12">
        <v>57</v>
      </c>
      <c r="T4423" s="12" t="s">
        <v>39</v>
      </c>
      <c r="U4423" s="12" t="s">
        <v>40</v>
      </c>
      <c r="V4423" s="12" t="s">
        <v>586</v>
      </c>
      <c r="W4423" s="16"/>
      <c r="X4423" s="12">
        <v>2007</v>
      </c>
      <c r="Y4423" s="12">
        <v>530</v>
      </c>
      <c r="Z4423" s="12">
        <v>6.9</v>
      </c>
      <c r="AA4423" s="12">
        <v>2.35</v>
      </c>
      <c r="AB4423" s="12">
        <v>415</v>
      </c>
      <c r="AC4423" s="12"/>
      <c r="AD4423" s="12" t="str">
        <f>IFERROR(__xludf.DUMMYFUNCTION("""COMPUTED_VALUE"""),"Lou Perryman")</f>
        <v>Lou Perryman</v>
      </c>
      <c r="AE4423" s="12"/>
    </row>
    <row r="4424" customHeight="1" spans="1:31">
      <c r="A4424" s="11" t="s">
        <v>30</v>
      </c>
      <c r="B4424" s="11" t="s">
        <v>20973</v>
      </c>
      <c r="C4424" s="11">
        <v>6</v>
      </c>
      <c r="D4424" s="11">
        <v>93</v>
      </c>
      <c r="E4424" s="11">
        <v>6</v>
      </c>
      <c r="F4424" s="11">
        <v>56</v>
      </c>
      <c r="G4424" s="11">
        <v>393</v>
      </c>
      <c r="H4424" s="13"/>
      <c r="I4424" s="11" t="s">
        <v>4905</v>
      </c>
      <c r="J4424" s="11" t="s">
        <v>20974</v>
      </c>
      <c r="K4424" s="11" t="s">
        <v>20975</v>
      </c>
      <c r="L4424" s="11" t="s">
        <v>20976</v>
      </c>
      <c r="M4424" s="11" t="s">
        <v>20977</v>
      </c>
      <c r="N4424" s="11">
        <v>95</v>
      </c>
      <c r="O4424" s="11">
        <v>792</v>
      </c>
      <c r="P4424" s="11">
        <v>1</v>
      </c>
      <c r="Q4424" s="13"/>
      <c r="R4424" s="14" t="s">
        <v>20978</v>
      </c>
      <c r="S4424" s="11">
        <v>3</v>
      </c>
      <c r="T4424" s="11" t="s">
        <v>39</v>
      </c>
      <c r="U4424" s="11" t="s">
        <v>40</v>
      </c>
      <c r="V4424" s="11" t="s">
        <v>586</v>
      </c>
      <c r="W4424" s="11">
        <v>1500000</v>
      </c>
      <c r="X4424" s="11">
        <v>2014</v>
      </c>
      <c r="Y4424" s="11">
        <v>191</v>
      </c>
      <c r="Z4424" s="11">
        <v>5.5</v>
      </c>
      <c r="AA4424" s="11">
        <v>2.35</v>
      </c>
      <c r="AB4424" s="11">
        <v>307</v>
      </c>
      <c r="AC4424" s="11"/>
      <c r="AD4424" s="11" t="str">
        <f>IFERROR(__xludf.DUMMYFUNCTION("""COMPUTED_VALUE"""),"Jim Siedow")</f>
        <v>Jim Siedow</v>
      </c>
      <c r="AE4424" s="11"/>
    </row>
    <row r="4425" customHeight="1" spans="1:31">
      <c r="A4425" s="12" t="s">
        <v>30</v>
      </c>
      <c r="B4425" s="12" t="s">
        <v>13182</v>
      </c>
      <c r="C4425" s="12">
        <v>127</v>
      </c>
      <c r="D4425" s="12">
        <v>100</v>
      </c>
      <c r="E4425" s="12">
        <v>122</v>
      </c>
      <c r="F4425" s="12">
        <v>83</v>
      </c>
      <c r="G4425" s="12">
        <v>210</v>
      </c>
      <c r="H4425" s="12">
        <v>373967</v>
      </c>
      <c r="I4425" s="12" t="s">
        <v>5104</v>
      </c>
      <c r="J4425" s="12" t="s">
        <v>3763</v>
      </c>
      <c r="K4425" s="12" t="s">
        <v>11260</v>
      </c>
      <c r="L4425" s="12" t="s">
        <v>15336</v>
      </c>
      <c r="M4425" s="12" t="s">
        <v>20979</v>
      </c>
      <c r="N4425" s="12">
        <v>43839</v>
      </c>
      <c r="O4425" s="12">
        <v>469</v>
      </c>
      <c r="P4425" s="12">
        <v>0</v>
      </c>
      <c r="Q4425" s="12" t="s">
        <v>20980</v>
      </c>
      <c r="R4425" s="15" t="s">
        <v>20981</v>
      </c>
      <c r="S4425" s="12">
        <v>481</v>
      </c>
      <c r="T4425" s="12" t="s">
        <v>39</v>
      </c>
      <c r="U4425" s="12" t="s">
        <v>40</v>
      </c>
      <c r="V4425" s="12" t="s">
        <v>586</v>
      </c>
      <c r="W4425" s="12">
        <v>1500000</v>
      </c>
      <c r="X4425" s="12">
        <v>2001</v>
      </c>
      <c r="Y4425" s="12">
        <v>148</v>
      </c>
      <c r="Z4425" s="12">
        <v>6.5</v>
      </c>
      <c r="AA4425" s="12">
        <v>2.35</v>
      </c>
      <c r="AB4425" s="12">
        <v>0</v>
      </c>
      <c r="AC4425" s="12"/>
      <c r="AD4425" s="12" t="str">
        <f>IFERROR(__xludf.DUMMYFUNCTION("""COMPUTED_VALUE"""),"Bob Dylan")</f>
        <v>Bob Dylan</v>
      </c>
      <c r="AE4425" s="12"/>
    </row>
    <row r="4426" customHeight="1" spans="1:31">
      <c r="A4426" s="11" t="s">
        <v>30</v>
      </c>
      <c r="B4426" s="11" t="s">
        <v>418</v>
      </c>
      <c r="C4426" s="11">
        <v>32</v>
      </c>
      <c r="D4426" s="11">
        <v>80</v>
      </c>
      <c r="E4426" s="11">
        <v>522</v>
      </c>
      <c r="F4426" s="11">
        <v>423</v>
      </c>
      <c r="G4426" s="11">
        <v>813</v>
      </c>
      <c r="H4426" s="11">
        <v>194568</v>
      </c>
      <c r="I4426" s="11" t="s">
        <v>1681</v>
      </c>
      <c r="J4426" s="11" t="s">
        <v>20982</v>
      </c>
      <c r="K4426" s="11" t="s">
        <v>418</v>
      </c>
      <c r="L4426" s="11" t="s">
        <v>2116</v>
      </c>
      <c r="M4426" s="11" t="s">
        <v>20983</v>
      </c>
      <c r="N4426" s="11">
        <v>2963</v>
      </c>
      <c r="O4426" s="11">
        <v>2179</v>
      </c>
      <c r="P4426" s="11">
        <v>0</v>
      </c>
      <c r="Q4426" s="11" t="s">
        <v>20984</v>
      </c>
      <c r="R4426" s="14" t="s">
        <v>20985</v>
      </c>
      <c r="S4426" s="11">
        <v>28</v>
      </c>
      <c r="T4426" s="11" t="s">
        <v>39</v>
      </c>
      <c r="U4426" s="11" t="s">
        <v>40</v>
      </c>
      <c r="V4426" s="11" t="s">
        <v>586</v>
      </c>
      <c r="W4426" s="11">
        <v>1500000</v>
      </c>
      <c r="X4426" s="11">
        <v>2006</v>
      </c>
      <c r="Y4426" s="11">
        <v>522</v>
      </c>
      <c r="Z4426" s="11">
        <v>6.2</v>
      </c>
      <c r="AA4426" s="11">
        <v>1.85</v>
      </c>
      <c r="AB4426" s="11">
        <v>0</v>
      </c>
      <c r="AC4426" s="11"/>
      <c r="AD4426" s="11" t="str">
        <f>IFERROR(__xludf.DUMMYFUNCTION("""COMPUTED_VALUE"""),"Yayaying Rhatha Phongam")</f>
        <v>Yayaying Rhatha Phongam</v>
      </c>
      <c r="AE4426" s="11"/>
    </row>
    <row r="4427" customHeight="1" spans="1:31">
      <c r="A4427" s="12" t="s">
        <v>30</v>
      </c>
      <c r="B4427" s="12" t="s">
        <v>20986</v>
      </c>
      <c r="C4427" s="12">
        <v>8</v>
      </c>
      <c r="D4427" s="12">
        <v>94</v>
      </c>
      <c r="E4427" s="12">
        <v>13</v>
      </c>
      <c r="F4427" s="12">
        <v>616</v>
      </c>
      <c r="G4427" s="12">
        <v>1000</v>
      </c>
      <c r="H4427" s="16"/>
      <c r="I4427" s="12" t="s">
        <v>7144</v>
      </c>
      <c r="J4427" s="12" t="s">
        <v>2730</v>
      </c>
      <c r="K4427" s="12" t="s">
        <v>6383</v>
      </c>
      <c r="L4427" s="12" t="s">
        <v>15177</v>
      </c>
      <c r="M4427" s="12" t="s">
        <v>20987</v>
      </c>
      <c r="N4427" s="12">
        <v>919</v>
      </c>
      <c r="O4427" s="12">
        <v>3288</v>
      </c>
      <c r="P4427" s="12">
        <v>1</v>
      </c>
      <c r="Q4427" s="12" t="s">
        <v>16937</v>
      </c>
      <c r="R4427" s="15" t="s">
        <v>20988</v>
      </c>
      <c r="S4427" s="12">
        <v>14</v>
      </c>
      <c r="T4427" s="12" t="s">
        <v>39</v>
      </c>
      <c r="U4427" s="12" t="s">
        <v>40</v>
      </c>
      <c r="V4427" s="12" t="s">
        <v>41</v>
      </c>
      <c r="W4427" s="16"/>
      <c r="X4427" s="12">
        <v>2010</v>
      </c>
      <c r="Y4427" s="12">
        <v>826</v>
      </c>
      <c r="Z4427" s="12">
        <v>6.7</v>
      </c>
      <c r="AA4427" s="16"/>
      <c r="AB4427" s="12">
        <v>0</v>
      </c>
      <c r="AC4427" s="12"/>
      <c r="AD4427" s="12" t="str">
        <f>IFERROR(__xludf.DUMMYFUNCTION("""COMPUTED_VALUE"""),"Isild Le Besco")</f>
        <v>Isild Le Besco</v>
      </c>
      <c r="AE4427" s="12"/>
    </row>
    <row r="4428" customHeight="1" spans="1:31">
      <c r="A4428" s="11" t="s">
        <v>30</v>
      </c>
      <c r="B4428" s="11" t="s">
        <v>20989</v>
      </c>
      <c r="C4428" s="11">
        <v>229</v>
      </c>
      <c r="D4428" s="11">
        <v>93</v>
      </c>
      <c r="E4428" s="11">
        <v>134</v>
      </c>
      <c r="F4428" s="11">
        <v>488</v>
      </c>
      <c r="G4428" s="11">
        <v>936</v>
      </c>
      <c r="H4428" s="13"/>
      <c r="I4428" s="11" t="s">
        <v>7579</v>
      </c>
      <c r="J4428" s="11" t="s">
        <v>34</v>
      </c>
      <c r="K4428" s="11" t="s">
        <v>13485</v>
      </c>
      <c r="L4428" s="11" t="s">
        <v>20990</v>
      </c>
      <c r="M4428" s="11" t="s">
        <v>20991</v>
      </c>
      <c r="N4428" s="11">
        <v>23349</v>
      </c>
      <c r="O4428" s="11">
        <v>3668</v>
      </c>
      <c r="P4428" s="11">
        <v>0</v>
      </c>
      <c r="Q4428" s="11" t="s">
        <v>20992</v>
      </c>
      <c r="R4428" s="14" t="s">
        <v>20993</v>
      </c>
      <c r="S4428" s="11">
        <v>235</v>
      </c>
      <c r="T4428" s="11" t="s">
        <v>39</v>
      </c>
      <c r="U4428" s="11" t="s">
        <v>40</v>
      </c>
      <c r="V4428" s="11" t="s">
        <v>586</v>
      </c>
      <c r="W4428" s="11">
        <v>1500000</v>
      </c>
      <c r="X4428" s="11">
        <v>2006</v>
      </c>
      <c r="Y4428" s="11">
        <v>935</v>
      </c>
      <c r="Z4428" s="11">
        <v>5.7</v>
      </c>
      <c r="AA4428" s="11">
        <v>1.85</v>
      </c>
      <c r="AB4428" s="11">
        <v>0</v>
      </c>
      <c r="AC4428" s="11"/>
      <c r="AD4428" s="11" t="str">
        <f>IFERROR(__xludf.DUMMYFUNCTION("""COMPUTED_VALUE"""),"Emmanuelle Bercot")</f>
        <v>Emmanuelle Bercot</v>
      </c>
      <c r="AE4428" s="11"/>
    </row>
    <row r="4429" customHeight="1" spans="1:31">
      <c r="A4429" s="12" t="s">
        <v>748</v>
      </c>
      <c r="B4429" s="12" t="s">
        <v>20994</v>
      </c>
      <c r="C4429" s="12">
        <v>120</v>
      </c>
      <c r="D4429" s="12">
        <v>87</v>
      </c>
      <c r="E4429" s="12">
        <v>0</v>
      </c>
      <c r="F4429" s="12">
        <v>8</v>
      </c>
      <c r="G4429" s="12">
        <v>309</v>
      </c>
      <c r="H4429" s="12">
        <v>163245</v>
      </c>
      <c r="I4429" s="12" t="s">
        <v>3932</v>
      </c>
      <c r="J4429" s="12" t="s">
        <v>20995</v>
      </c>
      <c r="K4429" s="12" t="s">
        <v>20996</v>
      </c>
      <c r="L4429" s="12" t="s">
        <v>20997</v>
      </c>
      <c r="M4429" s="12" t="s">
        <v>20998</v>
      </c>
      <c r="N4429" s="12">
        <v>143086</v>
      </c>
      <c r="O4429" s="12">
        <v>352</v>
      </c>
      <c r="P4429" s="12">
        <v>1</v>
      </c>
      <c r="Q4429" s="12" t="s">
        <v>20999</v>
      </c>
      <c r="R4429" s="15" t="s">
        <v>21000</v>
      </c>
      <c r="S4429" s="12">
        <v>211</v>
      </c>
      <c r="T4429" s="12" t="s">
        <v>39</v>
      </c>
      <c r="U4429" s="12" t="s">
        <v>40</v>
      </c>
      <c r="V4429" s="12" t="s">
        <v>278</v>
      </c>
      <c r="W4429" s="12">
        <v>1500000</v>
      </c>
      <c r="X4429" s="12">
        <v>1936</v>
      </c>
      <c r="Y4429" s="12">
        <v>8</v>
      </c>
      <c r="Z4429" s="12">
        <v>8.6</v>
      </c>
      <c r="AA4429" s="12">
        <v>1.37</v>
      </c>
      <c r="AB4429" s="12">
        <v>0</v>
      </c>
      <c r="AC4429" s="12"/>
      <c r="AD4429" s="12" t="str">
        <f>IFERROR(__xludf.DUMMYFUNCTION("""COMPUTED_VALUE"""),"Bhama")</f>
        <v>Bhama</v>
      </c>
      <c r="AE4429" s="12"/>
    </row>
    <row r="4430" customHeight="1" spans="1:31">
      <c r="A4430" s="11" t="s">
        <v>30</v>
      </c>
      <c r="B4430" s="11" t="s">
        <v>21001</v>
      </c>
      <c r="C4430" s="11">
        <v>31</v>
      </c>
      <c r="D4430" s="11">
        <v>91</v>
      </c>
      <c r="E4430" s="11">
        <v>18</v>
      </c>
      <c r="F4430" s="11">
        <v>597</v>
      </c>
      <c r="G4430" s="11">
        <v>954</v>
      </c>
      <c r="H4430" s="11">
        <v>119841</v>
      </c>
      <c r="I4430" s="11" t="s">
        <v>3410</v>
      </c>
      <c r="J4430" s="11" t="s">
        <v>795</v>
      </c>
      <c r="K4430" s="11" t="s">
        <v>6446</v>
      </c>
      <c r="L4430" s="11" t="s">
        <v>5011</v>
      </c>
      <c r="M4430" s="11" t="s">
        <v>21002</v>
      </c>
      <c r="N4430" s="11">
        <v>2419</v>
      </c>
      <c r="O4430" s="11">
        <v>3901</v>
      </c>
      <c r="P4430" s="11">
        <v>1</v>
      </c>
      <c r="Q4430" s="11" t="s">
        <v>21003</v>
      </c>
      <c r="R4430" s="14" t="s">
        <v>21004</v>
      </c>
      <c r="S4430" s="11">
        <v>55</v>
      </c>
      <c r="T4430" s="11" t="s">
        <v>39</v>
      </c>
      <c r="U4430" s="11" t="s">
        <v>40</v>
      </c>
      <c r="V4430" s="11" t="s">
        <v>96</v>
      </c>
      <c r="W4430" s="11">
        <v>1500000</v>
      </c>
      <c r="X4430" s="11">
        <v>2002</v>
      </c>
      <c r="Y4430" s="11">
        <v>767</v>
      </c>
      <c r="Z4430" s="11">
        <v>6.5</v>
      </c>
      <c r="AA4430" s="11">
        <v>1.85</v>
      </c>
      <c r="AB4430" s="11">
        <v>304</v>
      </c>
      <c r="AC4430" s="11"/>
      <c r="AD4430" s="11" t="str">
        <f>IFERROR(__xludf.DUMMYFUNCTION("""COMPUTED_VALUE"""),"Diganth")</f>
        <v>Diganth</v>
      </c>
      <c r="AE4430" s="11"/>
    </row>
    <row r="4431" customHeight="1" spans="1:31">
      <c r="A4431" s="12" t="s">
        <v>30</v>
      </c>
      <c r="B4431" s="12" t="s">
        <v>6251</v>
      </c>
      <c r="C4431" s="12">
        <v>100</v>
      </c>
      <c r="D4431" s="12">
        <v>84</v>
      </c>
      <c r="E4431" s="12">
        <v>0</v>
      </c>
      <c r="F4431" s="12">
        <v>158</v>
      </c>
      <c r="G4431" s="12">
        <v>634</v>
      </c>
      <c r="H4431" s="12">
        <v>173066</v>
      </c>
      <c r="I4431" s="12" t="s">
        <v>2787</v>
      </c>
      <c r="J4431" s="12" t="s">
        <v>14828</v>
      </c>
      <c r="K4431" s="12" t="s">
        <v>18950</v>
      </c>
      <c r="L4431" s="12" t="s">
        <v>21005</v>
      </c>
      <c r="M4431" s="12" t="s">
        <v>21006</v>
      </c>
      <c r="N4431" s="12">
        <v>21379</v>
      </c>
      <c r="O4431" s="12">
        <v>1238</v>
      </c>
      <c r="P4431" s="12">
        <v>1</v>
      </c>
      <c r="Q4431" s="12" t="s">
        <v>21007</v>
      </c>
      <c r="R4431" s="15" t="s">
        <v>21008</v>
      </c>
      <c r="S4431" s="12">
        <v>88</v>
      </c>
      <c r="T4431" s="12" t="s">
        <v>39</v>
      </c>
      <c r="U4431" s="12" t="s">
        <v>40</v>
      </c>
      <c r="V4431" s="12" t="s">
        <v>586</v>
      </c>
      <c r="W4431" s="12">
        <v>1500000</v>
      </c>
      <c r="X4431" s="12">
        <v>2007</v>
      </c>
      <c r="Y4431" s="12">
        <v>328</v>
      </c>
      <c r="Z4431" s="12">
        <v>6.3</v>
      </c>
      <c r="AA4431" s="12">
        <v>1.85</v>
      </c>
      <c r="AB4431" s="12">
        <v>0</v>
      </c>
      <c r="AC4431" s="12"/>
      <c r="AD4431" s="12" t="str">
        <f>IFERROR(__xludf.DUMMYFUNCTION("""COMPUTED_VALUE"""),"Dileep Raj")</f>
        <v>Dileep Raj</v>
      </c>
      <c r="AE4431" s="12"/>
    </row>
    <row r="4432" customHeight="1" spans="1:31">
      <c r="A4432" s="11" t="s">
        <v>30</v>
      </c>
      <c r="B4432" s="11" t="s">
        <v>13757</v>
      </c>
      <c r="C4432" s="11">
        <v>14</v>
      </c>
      <c r="D4432" s="11">
        <v>90</v>
      </c>
      <c r="E4432" s="11">
        <v>7</v>
      </c>
      <c r="F4432" s="11">
        <v>424</v>
      </c>
      <c r="G4432" s="11">
        <v>890</v>
      </c>
      <c r="H4432" s="11">
        <v>92362</v>
      </c>
      <c r="I4432" s="11" t="s">
        <v>2528</v>
      </c>
      <c r="J4432" s="11" t="s">
        <v>634</v>
      </c>
      <c r="K4432" s="11" t="s">
        <v>17666</v>
      </c>
      <c r="L4432" s="11" t="s">
        <v>10272</v>
      </c>
      <c r="M4432" s="11" t="s">
        <v>21009</v>
      </c>
      <c r="N4432" s="11">
        <v>444</v>
      </c>
      <c r="O4432" s="11">
        <v>3138</v>
      </c>
      <c r="P4432" s="11">
        <v>7</v>
      </c>
      <c r="Q4432" s="13"/>
      <c r="R4432" s="14" t="s">
        <v>21010</v>
      </c>
      <c r="S4432" s="11">
        <v>5</v>
      </c>
      <c r="T4432" s="11" t="s">
        <v>39</v>
      </c>
      <c r="U4432" s="11" t="s">
        <v>40</v>
      </c>
      <c r="V4432" s="11" t="s">
        <v>41</v>
      </c>
      <c r="W4432" s="11">
        <v>1500000</v>
      </c>
      <c r="X4432" s="11">
        <v>2005</v>
      </c>
      <c r="Y4432" s="11">
        <v>597</v>
      </c>
      <c r="Z4432" s="11">
        <v>4.3</v>
      </c>
      <c r="AA4432" s="11">
        <v>1.85</v>
      </c>
      <c r="AB4432" s="11">
        <v>68</v>
      </c>
      <c r="AC4432" s="11"/>
      <c r="AD4432" s="11" t="str">
        <f>IFERROR(__xludf.DUMMYFUNCTION("""COMPUTED_VALUE"""),"Jack McElhone")</f>
        <v>Jack McElhone</v>
      </c>
      <c r="AE4432" s="11"/>
    </row>
    <row r="4433" customHeight="1" spans="1:31">
      <c r="A4433" s="12" t="s">
        <v>30</v>
      </c>
      <c r="B4433" s="12" t="s">
        <v>21011</v>
      </c>
      <c r="C4433" s="12">
        <v>14</v>
      </c>
      <c r="D4433" s="12">
        <v>98</v>
      </c>
      <c r="E4433" s="12">
        <v>102</v>
      </c>
      <c r="F4433" s="12">
        <v>360</v>
      </c>
      <c r="G4433" s="12">
        <v>563</v>
      </c>
      <c r="H4433" s="12">
        <v>105943</v>
      </c>
      <c r="I4433" s="12" t="s">
        <v>1672</v>
      </c>
      <c r="J4433" s="12" t="s">
        <v>5325</v>
      </c>
      <c r="K4433" s="12" t="s">
        <v>21012</v>
      </c>
      <c r="L4433" s="12" t="s">
        <v>17081</v>
      </c>
      <c r="M4433" s="12" t="s">
        <v>21013</v>
      </c>
      <c r="N4433" s="12">
        <v>1351</v>
      </c>
      <c r="O4433" s="12">
        <v>2628</v>
      </c>
      <c r="P4433" s="12">
        <v>0</v>
      </c>
      <c r="Q4433" s="12" t="s">
        <v>21014</v>
      </c>
      <c r="R4433" s="15" t="s">
        <v>21015</v>
      </c>
      <c r="S4433" s="12">
        <v>11</v>
      </c>
      <c r="T4433" s="12" t="s">
        <v>39</v>
      </c>
      <c r="U4433" s="12" t="s">
        <v>40</v>
      </c>
      <c r="V4433" s="16"/>
      <c r="W4433" s="12">
        <v>1500000</v>
      </c>
      <c r="X4433" s="12">
        <v>2015</v>
      </c>
      <c r="Y4433" s="12">
        <v>485</v>
      </c>
      <c r="Z4433" s="12">
        <v>6.1</v>
      </c>
      <c r="AA4433" s="16"/>
      <c r="AB4433" s="12">
        <v>212</v>
      </c>
      <c r="AC4433" s="12"/>
      <c r="AD4433" s="12" t="str">
        <f>IFERROR(__xludf.DUMMYFUNCTION("""COMPUTED_VALUE"""),"Keith Carradine")</f>
        <v>Keith Carradine</v>
      </c>
      <c r="AE4433" s="12"/>
    </row>
    <row r="4434" customHeight="1" spans="1:31">
      <c r="A4434" s="11" t="s">
        <v>30</v>
      </c>
      <c r="B4434" s="11" t="s">
        <v>14350</v>
      </c>
      <c r="C4434" s="11">
        <v>39</v>
      </c>
      <c r="D4434" s="11">
        <v>108</v>
      </c>
      <c r="E4434" s="11">
        <v>60</v>
      </c>
      <c r="F4434" s="11">
        <v>121</v>
      </c>
      <c r="G4434" s="11">
        <v>826</v>
      </c>
      <c r="H4434" s="13"/>
      <c r="I4434" s="11" t="s">
        <v>7837</v>
      </c>
      <c r="J4434" s="11" t="s">
        <v>904</v>
      </c>
      <c r="K4434" s="11" t="s">
        <v>21016</v>
      </c>
      <c r="L4434" s="11" t="s">
        <v>21017</v>
      </c>
      <c r="M4434" s="11" t="s">
        <v>21018</v>
      </c>
      <c r="N4434" s="11">
        <v>1134</v>
      </c>
      <c r="O4434" s="11">
        <v>1240</v>
      </c>
      <c r="P4434" s="11">
        <v>0</v>
      </c>
      <c r="Q4434" s="11" t="s">
        <v>21019</v>
      </c>
      <c r="R4434" s="14" t="s">
        <v>21020</v>
      </c>
      <c r="S4434" s="11">
        <v>26</v>
      </c>
      <c r="T4434" s="11" t="s">
        <v>39</v>
      </c>
      <c r="U4434" s="11" t="s">
        <v>40</v>
      </c>
      <c r="V4434" s="11" t="s">
        <v>586</v>
      </c>
      <c r="W4434" s="11">
        <v>1500000</v>
      </c>
      <c r="X4434" s="11">
        <v>2005</v>
      </c>
      <c r="Y4434" s="11">
        <v>189</v>
      </c>
      <c r="Z4434" s="11">
        <v>6</v>
      </c>
      <c r="AA4434" s="11">
        <v>1.85</v>
      </c>
      <c r="AB4434" s="11">
        <v>216</v>
      </c>
      <c r="AC4434" s="11"/>
      <c r="AD4434" s="11" t="str">
        <f>IFERROR(__xludf.DUMMYFUNCTION("""COMPUTED_VALUE"""),"Jacques Gamblin")</f>
        <v>Jacques Gamblin</v>
      </c>
      <c r="AE4434" s="11"/>
    </row>
    <row r="4435" customHeight="1" spans="1:31">
      <c r="A4435" s="12" t="s">
        <v>30</v>
      </c>
      <c r="B4435" s="12" t="s">
        <v>15906</v>
      </c>
      <c r="C4435" s="12">
        <v>35</v>
      </c>
      <c r="D4435" s="12">
        <v>124</v>
      </c>
      <c r="E4435" s="12">
        <v>407</v>
      </c>
      <c r="F4435" s="12">
        <v>7</v>
      </c>
      <c r="G4435" s="12">
        <v>38</v>
      </c>
      <c r="H4435" s="12">
        <v>183490</v>
      </c>
      <c r="I4435" s="12" t="s">
        <v>3397</v>
      </c>
      <c r="J4435" s="12" t="s">
        <v>21021</v>
      </c>
      <c r="K4435" s="12" t="s">
        <v>21022</v>
      </c>
      <c r="L4435" s="12" t="s">
        <v>21023</v>
      </c>
      <c r="M4435" s="12" t="s">
        <v>21024</v>
      </c>
      <c r="N4435" s="12">
        <v>463</v>
      </c>
      <c r="O4435" s="12">
        <v>60</v>
      </c>
      <c r="P4435" s="12">
        <v>0</v>
      </c>
      <c r="Q4435" s="12" t="s">
        <v>21025</v>
      </c>
      <c r="R4435" s="15" t="s">
        <v>21026</v>
      </c>
      <c r="S4435" s="12">
        <v>8</v>
      </c>
      <c r="T4435" s="12" t="s">
        <v>39</v>
      </c>
      <c r="U4435" s="12" t="s">
        <v>40</v>
      </c>
      <c r="V4435" s="12" t="s">
        <v>586</v>
      </c>
      <c r="W4435" s="12">
        <v>1700000</v>
      </c>
      <c r="X4435" s="12">
        <v>2010</v>
      </c>
      <c r="Y4435" s="12">
        <v>8</v>
      </c>
      <c r="Z4435" s="12">
        <v>5.8</v>
      </c>
      <c r="AA4435" s="16"/>
      <c r="AB4435" s="12">
        <v>594</v>
      </c>
      <c r="AC4435" s="12"/>
      <c r="AD4435" s="12" t="str">
        <f>IFERROR(__xludf.DUMMYFUNCTION("""COMPUTED_VALUE"""),"Zinedine Soualem")</f>
        <v>Zinedine Soualem</v>
      </c>
      <c r="AE4435" s="12"/>
    </row>
    <row r="4436" customHeight="1" spans="1:31">
      <c r="A4436" s="11" t="s">
        <v>30</v>
      </c>
      <c r="B4436" s="11" t="s">
        <v>21027</v>
      </c>
      <c r="C4436" s="11">
        <v>178</v>
      </c>
      <c r="D4436" s="11">
        <v>95</v>
      </c>
      <c r="E4436" s="11">
        <v>49</v>
      </c>
      <c r="F4436" s="11">
        <v>57</v>
      </c>
      <c r="G4436" s="11">
        <v>413</v>
      </c>
      <c r="H4436" s="11">
        <v>3478</v>
      </c>
      <c r="I4436" s="11" t="s">
        <v>7406</v>
      </c>
      <c r="J4436" s="11" t="s">
        <v>1055</v>
      </c>
      <c r="K4436" s="11" t="s">
        <v>21028</v>
      </c>
      <c r="L4436" s="11" t="s">
        <v>21029</v>
      </c>
      <c r="M4436" s="11" t="s">
        <v>21030</v>
      </c>
      <c r="N4436" s="11">
        <v>22212</v>
      </c>
      <c r="O4436" s="11">
        <v>721</v>
      </c>
      <c r="P4436" s="11">
        <v>0</v>
      </c>
      <c r="Q4436" s="11" t="s">
        <v>21031</v>
      </c>
      <c r="R4436" s="14" t="s">
        <v>21032</v>
      </c>
      <c r="S4436" s="11">
        <v>142</v>
      </c>
      <c r="T4436" s="11" t="s">
        <v>39</v>
      </c>
      <c r="U4436" s="11" t="s">
        <v>269</v>
      </c>
      <c r="V4436" s="11" t="s">
        <v>4831</v>
      </c>
      <c r="W4436" s="11">
        <v>1500000</v>
      </c>
      <c r="X4436" s="11">
        <v>2008</v>
      </c>
      <c r="Y4436" s="11">
        <v>98</v>
      </c>
      <c r="Z4436" s="11">
        <v>6.7</v>
      </c>
      <c r="AA4436" s="11">
        <v>2.35</v>
      </c>
      <c r="AB4436" s="11">
        <v>0</v>
      </c>
      <c r="AC4436" s="11"/>
      <c r="AD4436" s="11" t="str">
        <f>IFERROR(__xludf.DUMMYFUNCTION("""COMPUTED_VALUE"""),"Kim Ly")</f>
        <v>Kim Ly</v>
      </c>
      <c r="AE4436" s="11"/>
    </row>
    <row r="4437" customHeight="1" spans="1:31">
      <c r="A4437" s="12" t="s">
        <v>30</v>
      </c>
      <c r="B4437" s="12" t="s">
        <v>21033</v>
      </c>
      <c r="C4437" s="12">
        <v>46</v>
      </c>
      <c r="D4437" s="12">
        <v>90</v>
      </c>
      <c r="E4437" s="12">
        <v>7</v>
      </c>
      <c r="F4437" s="12">
        <v>711</v>
      </c>
      <c r="G4437" s="12">
        <v>87000</v>
      </c>
      <c r="H4437" s="12">
        <v>52166</v>
      </c>
      <c r="I4437" s="12" t="s">
        <v>3410</v>
      </c>
      <c r="J4437" s="12" t="s">
        <v>517</v>
      </c>
      <c r="K4437" s="12" t="s">
        <v>8089</v>
      </c>
      <c r="L4437" s="12" t="s">
        <v>9375</v>
      </c>
      <c r="M4437" s="12" t="s">
        <v>21034</v>
      </c>
      <c r="N4437" s="12">
        <v>2792</v>
      </c>
      <c r="O4437" s="12">
        <v>89263</v>
      </c>
      <c r="P4437" s="12">
        <v>3</v>
      </c>
      <c r="Q4437" s="12" t="s">
        <v>21035</v>
      </c>
      <c r="R4437" s="15" t="s">
        <v>21036</v>
      </c>
      <c r="S4437" s="12">
        <v>22</v>
      </c>
      <c r="T4437" s="12" t="s">
        <v>39</v>
      </c>
      <c r="U4437" s="12" t="s">
        <v>40</v>
      </c>
      <c r="V4437" s="12" t="s">
        <v>586</v>
      </c>
      <c r="W4437" s="12">
        <v>2000000</v>
      </c>
      <c r="X4437" s="12">
        <v>2008</v>
      </c>
      <c r="Y4437" s="12">
        <v>781</v>
      </c>
      <c r="Z4437" s="12">
        <v>6.7</v>
      </c>
      <c r="AA4437" s="12">
        <v>2.35</v>
      </c>
      <c r="AB4437" s="12">
        <v>371</v>
      </c>
      <c r="AC4437" s="12"/>
      <c r="AD4437" s="12" t="str">
        <f>IFERROR(__xludf.DUMMYFUNCTION("""COMPUTED_VALUE"""),"William Kircher")</f>
        <v>William Kircher</v>
      </c>
      <c r="AE4437" s="12"/>
    </row>
    <row r="4438" customHeight="1" spans="1:31">
      <c r="A4438" s="11" t="s">
        <v>30</v>
      </c>
      <c r="B4438" s="11" t="s">
        <v>21037</v>
      </c>
      <c r="C4438" s="13"/>
      <c r="D4438" s="11">
        <v>93</v>
      </c>
      <c r="E4438" s="11">
        <v>228</v>
      </c>
      <c r="F4438" s="11">
        <v>134</v>
      </c>
      <c r="G4438" s="11">
        <v>310</v>
      </c>
      <c r="H4438" s="13"/>
      <c r="I4438" s="11" t="s">
        <v>1415</v>
      </c>
      <c r="J4438" s="11" t="s">
        <v>12557</v>
      </c>
      <c r="K4438" s="11" t="s">
        <v>21037</v>
      </c>
      <c r="L4438" s="11" t="s">
        <v>21038</v>
      </c>
      <c r="M4438" s="11" t="s">
        <v>21039</v>
      </c>
      <c r="N4438" s="11">
        <v>7</v>
      </c>
      <c r="O4438" s="11">
        <v>771</v>
      </c>
      <c r="P4438" s="11">
        <v>1</v>
      </c>
      <c r="Q4438" s="13"/>
      <c r="R4438" s="14" t="s">
        <v>21040</v>
      </c>
      <c r="S4438" s="13"/>
      <c r="T4438" s="11" t="s">
        <v>39</v>
      </c>
      <c r="U4438" s="11" t="s">
        <v>40</v>
      </c>
      <c r="V4438" s="13"/>
      <c r="W4438" s="11">
        <v>1500000</v>
      </c>
      <c r="X4438" s="11">
        <v>2015</v>
      </c>
      <c r="Y4438" s="11">
        <v>228</v>
      </c>
      <c r="Z4438" s="11">
        <v>7.6</v>
      </c>
      <c r="AA4438" s="13"/>
      <c r="AB4438" s="11">
        <v>132</v>
      </c>
      <c r="AC4438" s="11"/>
      <c r="AD4438" s="11" t="str">
        <f>IFERROR(__xludf.DUMMYFUNCTION("""COMPUTED_VALUE"""),"Matthew Sunderland")</f>
        <v>Matthew Sunderland</v>
      </c>
      <c r="AE4438" s="11"/>
    </row>
    <row r="4439" customHeight="1" spans="1:31">
      <c r="A4439" s="12" t="s">
        <v>30</v>
      </c>
      <c r="B4439" s="12" t="s">
        <v>12823</v>
      </c>
      <c r="C4439" s="12">
        <v>234</v>
      </c>
      <c r="D4439" s="12">
        <v>101</v>
      </c>
      <c r="E4439" s="12">
        <v>0</v>
      </c>
      <c r="F4439" s="12">
        <v>721</v>
      </c>
      <c r="G4439" s="12">
        <v>1000</v>
      </c>
      <c r="H4439" s="12">
        <v>1163508</v>
      </c>
      <c r="I4439" s="12" t="s">
        <v>895</v>
      </c>
      <c r="J4439" s="12" t="s">
        <v>14067</v>
      </c>
      <c r="K4439" s="12" t="s">
        <v>14732</v>
      </c>
      <c r="L4439" s="12" t="s">
        <v>17218</v>
      </c>
      <c r="M4439" s="12" t="s">
        <v>21041</v>
      </c>
      <c r="N4439" s="12">
        <v>20376</v>
      </c>
      <c r="O4439" s="12">
        <v>5158</v>
      </c>
      <c r="P4439" s="12">
        <v>1</v>
      </c>
      <c r="Q4439" s="12" t="s">
        <v>21042</v>
      </c>
      <c r="R4439" s="15" t="s">
        <v>21043</v>
      </c>
      <c r="S4439" s="12">
        <v>166</v>
      </c>
      <c r="T4439" s="12" t="s">
        <v>39</v>
      </c>
      <c r="U4439" s="12" t="s">
        <v>40</v>
      </c>
      <c r="V4439" s="12" t="s">
        <v>586</v>
      </c>
      <c r="W4439" s="12">
        <v>2500000</v>
      </c>
      <c r="X4439" s="12">
        <v>2012</v>
      </c>
      <c r="Y4439" s="12">
        <v>725</v>
      </c>
      <c r="Z4439" s="12">
        <v>5.1</v>
      </c>
      <c r="AA4439" s="12">
        <v>2.35</v>
      </c>
      <c r="AB4439" s="12">
        <v>15000</v>
      </c>
      <c r="AC4439" s="12"/>
      <c r="AD4439" s="12" t="str">
        <f>IFERROR(__xludf.DUMMYFUNCTION("""COMPUTED_VALUE"""),"Paul Glover")</f>
        <v>Paul Glover</v>
      </c>
      <c r="AE4439" s="12"/>
    </row>
    <row r="4440" customHeight="1" spans="1:31">
      <c r="A4440" s="11" t="s">
        <v>30</v>
      </c>
      <c r="B4440" s="11" t="s">
        <v>21044</v>
      </c>
      <c r="C4440" s="11">
        <v>166</v>
      </c>
      <c r="D4440" s="11">
        <v>107</v>
      </c>
      <c r="E4440" s="11">
        <v>3</v>
      </c>
      <c r="F4440" s="11">
        <v>28</v>
      </c>
      <c r="G4440" s="11">
        <v>61</v>
      </c>
      <c r="H4440" s="13"/>
      <c r="I4440" s="11" t="s">
        <v>18651</v>
      </c>
      <c r="J4440" s="11" t="s">
        <v>21045</v>
      </c>
      <c r="K4440" s="11" t="s">
        <v>21046</v>
      </c>
      <c r="L4440" s="11" t="s">
        <v>21047</v>
      </c>
      <c r="M4440" s="11" t="s">
        <v>21048</v>
      </c>
      <c r="N4440" s="11">
        <v>23323</v>
      </c>
      <c r="O4440" s="11">
        <v>165</v>
      </c>
      <c r="P4440" s="11">
        <v>3</v>
      </c>
      <c r="Q4440" s="11" t="s">
        <v>21049</v>
      </c>
      <c r="R4440" s="14" t="s">
        <v>21050</v>
      </c>
      <c r="S4440" s="11">
        <v>83</v>
      </c>
      <c r="T4440" s="11" t="s">
        <v>39</v>
      </c>
      <c r="U4440" s="11" t="s">
        <v>180</v>
      </c>
      <c r="V4440" s="11" t="s">
        <v>4831</v>
      </c>
      <c r="W4440" s="11">
        <v>350000</v>
      </c>
      <c r="X4440" s="11">
        <v>2014</v>
      </c>
      <c r="Y4440" s="11">
        <v>46</v>
      </c>
      <c r="Z4440" s="11">
        <v>6.8</v>
      </c>
      <c r="AA4440" s="11">
        <v>2.35</v>
      </c>
      <c r="AB4440" s="11">
        <v>10000</v>
      </c>
      <c r="AC4440" s="11"/>
      <c r="AD4440" s="11" t="str">
        <f>IFERROR(__xludf.DUMMYFUNCTION("""COMPUTED_VALUE"""),"Bubba Smith")</f>
        <v>Bubba Smith</v>
      </c>
      <c r="AE4440" s="11"/>
    </row>
    <row r="4441" customHeight="1" spans="1:31">
      <c r="A4441" s="12" t="s">
        <v>30</v>
      </c>
      <c r="B4441" s="12" t="s">
        <v>21051</v>
      </c>
      <c r="C4441" s="12">
        <v>56</v>
      </c>
      <c r="D4441" s="12">
        <v>20</v>
      </c>
      <c r="E4441" s="12">
        <v>21</v>
      </c>
      <c r="F4441" s="12">
        <v>0</v>
      </c>
      <c r="G4441" s="12">
        <v>0</v>
      </c>
      <c r="H4441" s="16"/>
      <c r="I4441" s="12" t="s">
        <v>68</v>
      </c>
      <c r="J4441" s="12" t="s">
        <v>21052</v>
      </c>
      <c r="K4441" s="12" t="s">
        <v>21053</v>
      </c>
      <c r="L4441" s="12" t="s">
        <v>21054</v>
      </c>
      <c r="M4441" s="12" t="s">
        <v>21055</v>
      </c>
      <c r="N4441" s="12">
        <v>4120</v>
      </c>
      <c r="O4441" s="12">
        <v>0</v>
      </c>
      <c r="P4441" s="12">
        <v>0</v>
      </c>
      <c r="Q4441" s="12" t="s">
        <v>21056</v>
      </c>
      <c r="R4441" s="15" t="s">
        <v>21057</v>
      </c>
      <c r="S4441" s="12">
        <v>70</v>
      </c>
      <c r="T4441" s="12" t="s">
        <v>39</v>
      </c>
      <c r="U4441" s="12" t="s">
        <v>40</v>
      </c>
      <c r="V4441" s="12" t="s">
        <v>4831</v>
      </c>
      <c r="W4441" s="12">
        <v>1500000</v>
      </c>
      <c r="X4441" s="12">
        <v>2005</v>
      </c>
      <c r="Y4441" s="12">
        <v>0</v>
      </c>
      <c r="Z4441" s="12">
        <v>6.8</v>
      </c>
      <c r="AA4441" s="12">
        <v>1.85</v>
      </c>
      <c r="AB4441" s="12">
        <v>0</v>
      </c>
      <c r="AC4441" s="12"/>
      <c r="AD4441" s="12" t="str">
        <f>IFERROR(__xludf.DUMMYFUNCTION("""COMPUTED_VALUE"""),"Christopher Atkins")</f>
        <v>Christopher Atkins</v>
      </c>
      <c r="AE4441" s="12"/>
    </row>
    <row r="4442" customHeight="1" spans="1:31">
      <c r="A4442" s="11" t="s">
        <v>30</v>
      </c>
      <c r="B4442" s="11" t="s">
        <v>21058</v>
      </c>
      <c r="C4442" s="11">
        <v>16</v>
      </c>
      <c r="D4442" s="11">
        <v>87</v>
      </c>
      <c r="E4442" s="11">
        <v>0</v>
      </c>
      <c r="F4442" s="11">
        <v>108</v>
      </c>
      <c r="G4442" s="11">
        <v>199</v>
      </c>
      <c r="H4442" s="13"/>
      <c r="I4442" s="11" t="s">
        <v>687</v>
      </c>
      <c r="J4442" s="11" t="s">
        <v>21059</v>
      </c>
      <c r="K4442" s="11" t="s">
        <v>21060</v>
      </c>
      <c r="L4442" s="11" t="s">
        <v>21061</v>
      </c>
      <c r="M4442" s="11" t="s">
        <v>21062</v>
      </c>
      <c r="N4442" s="11">
        <v>1232</v>
      </c>
      <c r="O4442" s="11">
        <v>596</v>
      </c>
      <c r="P4442" s="11">
        <v>2</v>
      </c>
      <c r="Q4442" s="11" t="s">
        <v>21063</v>
      </c>
      <c r="R4442" s="14" t="s">
        <v>21064</v>
      </c>
      <c r="S4442" s="11">
        <v>10</v>
      </c>
      <c r="T4442" s="11" t="s">
        <v>39</v>
      </c>
      <c r="U4442" s="11" t="s">
        <v>269</v>
      </c>
      <c r="V4442" s="13"/>
      <c r="W4442" s="11">
        <v>1500000</v>
      </c>
      <c r="X4442" s="11">
        <v>2005</v>
      </c>
      <c r="Y4442" s="11">
        <v>134</v>
      </c>
      <c r="Z4442" s="11">
        <v>6.8</v>
      </c>
      <c r="AA4442" s="13"/>
      <c r="AB4442" s="11">
        <v>193</v>
      </c>
      <c r="AC4442" s="11"/>
      <c r="AD4442" s="11" t="str">
        <f>IFERROR(__xludf.DUMMYFUNCTION("""COMPUTED_VALUE"""),"James Fleet")</f>
        <v>James Fleet</v>
      </c>
      <c r="AE4442" s="11"/>
    </row>
    <row r="4443" customHeight="1" spans="1:31">
      <c r="A4443" s="16"/>
      <c r="B4443" s="12" t="s">
        <v>21065</v>
      </c>
      <c r="C4443" s="12">
        <v>9</v>
      </c>
      <c r="D4443" s="12">
        <v>98</v>
      </c>
      <c r="E4443" s="12">
        <v>11</v>
      </c>
      <c r="F4443" s="12">
        <v>636</v>
      </c>
      <c r="G4443" s="12">
        <v>979</v>
      </c>
      <c r="H4443" s="16"/>
      <c r="I4443" s="12" t="s">
        <v>2528</v>
      </c>
      <c r="J4443" s="12" t="s">
        <v>1654</v>
      </c>
      <c r="K4443" s="12" t="s">
        <v>2524</v>
      </c>
      <c r="L4443" s="12" t="s">
        <v>7659</v>
      </c>
      <c r="M4443" s="12" t="s">
        <v>21066</v>
      </c>
      <c r="N4443" s="12">
        <v>291</v>
      </c>
      <c r="O4443" s="12">
        <v>4036</v>
      </c>
      <c r="P4443" s="12">
        <v>2</v>
      </c>
      <c r="Q4443" s="16"/>
      <c r="R4443" s="15" t="s">
        <v>21067</v>
      </c>
      <c r="S4443" s="12">
        <v>7</v>
      </c>
      <c r="T4443" s="12" t="s">
        <v>39</v>
      </c>
      <c r="U4443" s="12" t="s">
        <v>40</v>
      </c>
      <c r="V4443" s="12" t="s">
        <v>586</v>
      </c>
      <c r="W4443" s="12">
        <v>1500000</v>
      </c>
      <c r="X4443" s="12">
        <v>2013</v>
      </c>
      <c r="Y4443" s="12">
        <v>975</v>
      </c>
      <c r="Z4443" s="12">
        <v>6.3</v>
      </c>
      <c r="AA4443" s="12">
        <v>1.89</v>
      </c>
      <c r="AB4443" s="12">
        <v>283</v>
      </c>
      <c r="AC4443" s="12"/>
      <c r="AD4443" s="12" t="str">
        <f>IFERROR(__xludf.DUMMYFUNCTION("""COMPUTED_VALUE"""),"Royal Dano")</f>
        <v>Royal Dano</v>
      </c>
      <c r="AE4443" s="12"/>
    </row>
    <row r="4444" customHeight="1" spans="1:31">
      <c r="A4444" s="11" t="s">
        <v>30</v>
      </c>
      <c r="B4444" s="11" t="s">
        <v>21068</v>
      </c>
      <c r="C4444" s="11">
        <v>18</v>
      </c>
      <c r="D4444" s="11">
        <v>112</v>
      </c>
      <c r="E4444" s="11">
        <v>34</v>
      </c>
      <c r="F4444" s="11">
        <v>71</v>
      </c>
      <c r="G4444" s="11">
        <v>129</v>
      </c>
      <c r="H4444" s="13"/>
      <c r="I4444" s="11" t="s">
        <v>2528</v>
      </c>
      <c r="J4444" s="11" t="s">
        <v>21069</v>
      </c>
      <c r="K4444" s="11" t="s">
        <v>21070</v>
      </c>
      <c r="L4444" s="11" t="s">
        <v>21071</v>
      </c>
      <c r="M4444" s="11" t="s">
        <v>21072</v>
      </c>
      <c r="N4444" s="11">
        <v>2841</v>
      </c>
      <c r="O4444" s="11">
        <v>588</v>
      </c>
      <c r="P4444" s="11">
        <v>2</v>
      </c>
      <c r="Q4444" s="13"/>
      <c r="R4444" s="14" t="s">
        <v>21073</v>
      </c>
      <c r="S4444" s="11">
        <v>13</v>
      </c>
      <c r="T4444" s="11" t="s">
        <v>39</v>
      </c>
      <c r="U4444" s="11" t="s">
        <v>8820</v>
      </c>
      <c r="V4444" s="11" t="s">
        <v>4831</v>
      </c>
      <c r="W4444" s="11">
        <v>5000000</v>
      </c>
      <c r="X4444" s="11">
        <v>2014</v>
      </c>
      <c r="Y4444" s="11">
        <v>98</v>
      </c>
      <c r="Z4444" s="11">
        <v>7.1</v>
      </c>
      <c r="AA4444" s="11">
        <v>2.35</v>
      </c>
      <c r="AB4444" s="11">
        <v>0</v>
      </c>
      <c r="AC4444" s="11"/>
      <c r="AD4444" s="11" t="str">
        <f>IFERROR(__xludf.DUMMYFUNCTION("""COMPUTED_VALUE"""),"Richard Basehart")</f>
        <v>Richard Basehart</v>
      </c>
      <c r="AE4444" s="11"/>
    </row>
    <row r="4445" customHeight="1" spans="1:31">
      <c r="A4445" s="12" t="s">
        <v>30</v>
      </c>
      <c r="B4445" s="12" t="s">
        <v>21074</v>
      </c>
      <c r="C4445" s="12">
        <v>4</v>
      </c>
      <c r="D4445" s="12">
        <v>82</v>
      </c>
      <c r="E4445" s="12">
        <v>65</v>
      </c>
      <c r="F4445" s="12">
        <v>146</v>
      </c>
      <c r="G4445" s="12">
        <v>341</v>
      </c>
      <c r="H4445" s="16"/>
      <c r="I4445" s="12" t="s">
        <v>12332</v>
      </c>
      <c r="J4445" s="12" t="s">
        <v>21075</v>
      </c>
      <c r="K4445" s="12" t="s">
        <v>21076</v>
      </c>
      <c r="L4445" s="12" t="s">
        <v>21077</v>
      </c>
      <c r="M4445" s="12" t="s">
        <v>21078</v>
      </c>
      <c r="N4445" s="12">
        <v>459</v>
      </c>
      <c r="O4445" s="12">
        <v>967</v>
      </c>
      <c r="P4445" s="12">
        <v>0</v>
      </c>
      <c r="Q4445" s="16"/>
      <c r="R4445" s="15" t="s">
        <v>21079</v>
      </c>
      <c r="S4445" s="12">
        <v>10</v>
      </c>
      <c r="T4445" s="12" t="s">
        <v>39</v>
      </c>
      <c r="U4445" s="12" t="s">
        <v>269</v>
      </c>
      <c r="V4445" s="16"/>
      <c r="W4445" s="12">
        <v>1500000</v>
      </c>
      <c r="X4445" s="12">
        <v>2014</v>
      </c>
      <c r="Y4445" s="12">
        <v>265</v>
      </c>
      <c r="Z4445" s="12">
        <v>2.8</v>
      </c>
      <c r="AA4445" s="16"/>
      <c r="AB4445" s="12">
        <v>236</v>
      </c>
      <c r="AC4445" s="12"/>
      <c r="AD4445" s="12" t="str">
        <f>IFERROR(__xludf.DUMMYFUNCTION("""COMPUTED_VALUE"""),"James Robertson Justice")</f>
        <v>James Robertson Justice</v>
      </c>
      <c r="AE4445" s="12"/>
    </row>
    <row r="4446" customHeight="1" spans="1:31">
      <c r="A4446" s="11" t="s">
        <v>30</v>
      </c>
      <c r="B4446" s="11" t="s">
        <v>21080</v>
      </c>
      <c r="C4446" s="13"/>
      <c r="D4446" s="11">
        <v>102</v>
      </c>
      <c r="E4446" s="11">
        <v>5</v>
      </c>
      <c r="F4446" s="11">
        <v>259</v>
      </c>
      <c r="G4446" s="11">
        <v>3000</v>
      </c>
      <c r="H4446" s="13"/>
      <c r="I4446" s="11" t="s">
        <v>3932</v>
      </c>
      <c r="J4446" s="11" t="s">
        <v>13669</v>
      </c>
      <c r="K4446" s="11" t="s">
        <v>1842</v>
      </c>
      <c r="L4446" s="11" t="s">
        <v>6820</v>
      </c>
      <c r="M4446" s="11" t="s">
        <v>21081</v>
      </c>
      <c r="N4446" s="11">
        <v>108</v>
      </c>
      <c r="O4446" s="11">
        <v>4320</v>
      </c>
      <c r="P4446" s="13"/>
      <c r="Q4446" s="11" t="s">
        <v>21082</v>
      </c>
      <c r="R4446" s="14" t="s">
        <v>21083</v>
      </c>
      <c r="S4446" s="11">
        <v>1</v>
      </c>
      <c r="T4446" s="11" t="s">
        <v>39</v>
      </c>
      <c r="U4446" s="11" t="s">
        <v>40</v>
      </c>
      <c r="V4446" s="11" t="s">
        <v>41</v>
      </c>
      <c r="W4446" s="11">
        <v>2000000</v>
      </c>
      <c r="X4446" s="11">
        <v>2015</v>
      </c>
      <c r="Y4446" s="11">
        <v>660</v>
      </c>
      <c r="Z4446" s="11">
        <v>8.2</v>
      </c>
      <c r="AA4446" s="11">
        <v>1.85</v>
      </c>
      <c r="AB4446" s="11">
        <v>232</v>
      </c>
      <c r="AC4446" s="11"/>
      <c r="AD4446" s="11" t="str">
        <f>IFERROR(__xludf.DUMMYFUNCTION("""COMPUTED_VALUE"""),"Indiana Evans")</f>
        <v>Indiana Evans</v>
      </c>
      <c r="AE4446" s="11"/>
    </row>
    <row r="4447" customHeight="1" spans="1:31">
      <c r="A4447" s="12" t="s">
        <v>30</v>
      </c>
      <c r="B4447" s="12" t="s">
        <v>21084</v>
      </c>
      <c r="C4447" s="12">
        <v>6</v>
      </c>
      <c r="D4447" s="12">
        <v>97</v>
      </c>
      <c r="E4447" s="12">
        <v>764</v>
      </c>
      <c r="F4447" s="12">
        <v>492</v>
      </c>
      <c r="G4447" s="12">
        <v>835</v>
      </c>
      <c r="H4447" s="16"/>
      <c r="I4447" s="12" t="s">
        <v>334</v>
      </c>
      <c r="J4447" s="12" t="s">
        <v>21085</v>
      </c>
      <c r="K4447" s="12" t="s">
        <v>9643</v>
      </c>
      <c r="L4447" s="12" t="s">
        <v>9986</v>
      </c>
      <c r="M4447" s="12" t="s">
        <v>21086</v>
      </c>
      <c r="N4447" s="12">
        <v>735</v>
      </c>
      <c r="O4447" s="12">
        <v>2882</v>
      </c>
      <c r="P4447" s="12">
        <v>3</v>
      </c>
      <c r="Q4447" s="16"/>
      <c r="R4447" s="15" t="s">
        <v>21087</v>
      </c>
      <c r="S4447" s="12">
        <v>18</v>
      </c>
      <c r="T4447" s="12" t="s">
        <v>39</v>
      </c>
      <c r="U4447" s="12" t="s">
        <v>40</v>
      </c>
      <c r="V4447" s="16"/>
      <c r="W4447" s="12">
        <v>1500000</v>
      </c>
      <c r="X4447" s="12">
        <v>2015</v>
      </c>
      <c r="Y4447" s="12">
        <v>522</v>
      </c>
      <c r="Z4447" s="12">
        <v>3.1</v>
      </c>
      <c r="AA4447" s="12">
        <v>2.35</v>
      </c>
      <c r="AB4447" s="12">
        <v>402</v>
      </c>
      <c r="AC4447" s="12"/>
      <c r="AD4447" s="12" t="str">
        <f>IFERROR(__xludf.DUMMYFUNCTION("""COMPUTED_VALUE"""),"Kevin Michael Richardson")</f>
        <v>Kevin Michael Richardson</v>
      </c>
      <c r="AE4447" s="12"/>
    </row>
    <row r="4448" customHeight="1" spans="1:31">
      <c r="A4448" s="11" t="s">
        <v>30</v>
      </c>
      <c r="B4448" s="11" t="s">
        <v>887</v>
      </c>
      <c r="C4448" s="11">
        <v>387</v>
      </c>
      <c r="D4448" s="11">
        <v>130</v>
      </c>
      <c r="E4448" s="11">
        <v>188</v>
      </c>
      <c r="F4448" s="11">
        <v>1000</v>
      </c>
      <c r="G4448" s="11">
        <v>10000</v>
      </c>
      <c r="H4448" s="11">
        <v>80033643</v>
      </c>
      <c r="I4448" s="11" t="s">
        <v>1200</v>
      </c>
      <c r="J4448" s="11" t="s">
        <v>523</v>
      </c>
      <c r="K4448" s="11" t="s">
        <v>1689</v>
      </c>
      <c r="L4448" s="11" t="s">
        <v>2039</v>
      </c>
      <c r="M4448" s="11" t="s">
        <v>4060</v>
      </c>
      <c r="N4448" s="11">
        <v>226583</v>
      </c>
      <c r="O4448" s="11">
        <v>16385</v>
      </c>
      <c r="P4448" s="11">
        <v>2</v>
      </c>
      <c r="Q4448" s="11" t="s">
        <v>4061</v>
      </c>
      <c r="R4448" s="14" t="s">
        <v>4062</v>
      </c>
      <c r="S4448" s="11">
        <v>448</v>
      </c>
      <c r="T4448" s="11" t="s">
        <v>39</v>
      </c>
      <c r="U4448" s="11" t="s">
        <v>40</v>
      </c>
      <c r="V4448" s="11" t="s">
        <v>41</v>
      </c>
      <c r="W4448" s="11">
        <v>60000000</v>
      </c>
      <c r="X4448" s="11">
        <v>2012</v>
      </c>
      <c r="Y4448" s="11">
        <v>3000</v>
      </c>
      <c r="Z4448" s="11">
        <v>7</v>
      </c>
      <c r="AA4448" s="11">
        <v>2.35</v>
      </c>
      <c r="AB4448" s="11">
        <v>38000</v>
      </c>
      <c r="AC4448" s="11"/>
      <c r="AD4448" s="11" t="str">
        <f>IFERROR(__xludf.DUMMYFUNCTION("""COMPUTED_VALUE"""),"Peter Spellos")</f>
        <v>Peter Spellos</v>
      </c>
      <c r="AE4448" s="11"/>
    </row>
    <row r="4449" customHeight="1" spans="1:31">
      <c r="A4449" s="12" t="s">
        <v>30</v>
      </c>
      <c r="B4449" s="12" t="s">
        <v>21088</v>
      </c>
      <c r="C4449" s="12">
        <v>35</v>
      </c>
      <c r="D4449" s="12">
        <v>101</v>
      </c>
      <c r="E4449" s="12">
        <v>37</v>
      </c>
      <c r="F4449" s="12">
        <v>56</v>
      </c>
      <c r="G4449" s="12">
        <v>501</v>
      </c>
      <c r="H4449" s="16"/>
      <c r="I4449" s="12" t="s">
        <v>6133</v>
      </c>
      <c r="J4449" s="12" t="s">
        <v>3965</v>
      </c>
      <c r="K4449" s="12" t="s">
        <v>21089</v>
      </c>
      <c r="L4449" s="12" t="s">
        <v>21090</v>
      </c>
      <c r="M4449" s="12" t="s">
        <v>21091</v>
      </c>
      <c r="N4449" s="12">
        <v>1547</v>
      </c>
      <c r="O4449" s="12">
        <v>1044</v>
      </c>
      <c r="P4449" s="12">
        <v>1</v>
      </c>
      <c r="Q4449" s="12" t="s">
        <v>21092</v>
      </c>
      <c r="R4449" s="15" t="s">
        <v>21093</v>
      </c>
      <c r="S4449" s="12">
        <v>42</v>
      </c>
      <c r="T4449" s="12" t="s">
        <v>39</v>
      </c>
      <c r="U4449" s="12" t="s">
        <v>40</v>
      </c>
      <c r="V4449" s="12" t="s">
        <v>4831</v>
      </c>
      <c r="W4449" s="12">
        <v>1500000</v>
      </c>
      <c r="X4449" s="12">
        <v>2015</v>
      </c>
      <c r="Y4449" s="12">
        <v>418</v>
      </c>
      <c r="Z4449" s="12">
        <v>3.3</v>
      </c>
      <c r="AA4449" s="16"/>
      <c r="AB4449" s="12">
        <v>750</v>
      </c>
      <c r="AC4449" s="12"/>
      <c r="AD4449" s="12" t="str">
        <f>IFERROR(__xludf.DUMMYFUNCTION("""COMPUTED_VALUE"""),"Louise Lasser")</f>
        <v>Louise Lasser</v>
      </c>
      <c r="AE4449" s="12"/>
    </row>
    <row r="4450" customHeight="1" spans="1:31">
      <c r="A4450" s="11" t="s">
        <v>30</v>
      </c>
      <c r="B4450" s="11" t="s">
        <v>21094</v>
      </c>
      <c r="C4450" s="11">
        <v>27</v>
      </c>
      <c r="D4450" s="11">
        <v>93</v>
      </c>
      <c r="E4450" s="11">
        <v>9</v>
      </c>
      <c r="F4450" s="11">
        <v>485</v>
      </c>
      <c r="G4450" s="11">
        <v>708</v>
      </c>
      <c r="H4450" s="13"/>
      <c r="I4450" s="11" t="s">
        <v>4905</v>
      </c>
      <c r="J4450" s="11" t="s">
        <v>6463</v>
      </c>
      <c r="K4450" s="11" t="s">
        <v>14784</v>
      </c>
      <c r="L4450" s="11" t="s">
        <v>21095</v>
      </c>
      <c r="M4450" s="11" t="s">
        <v>21096</v>
      </c>
      <c r="N4450" s="11">
        <v>133</v>
      </c>
      <c r="O4450" s="11">
        <v>2870</v>
      </c>
      <c r="P4450" s="13"/>
      <c r="Q4450" s="11" t="s">
        <v>21097</v>
      </c>
      <c r="R4450" s="14" t="s">
        <v>21098</v>
      </c>
      <c r="S4450" s="11">
        <v>2</v>
      </c>
      <c r="T4450" s="11" t="s">
        <v>39</v>
      </c>
      <c r="U4450" s="11" t="s">
        <v>40</v>
      </c>
      <c r="V4450" s="11" t="s">
        <v>586</v>
      </c>
      <c r="W4450" s="11">
        <v>2000000</v>
      </c>
      <c r="X4450" s="11">
        <v>2015</v>
      </c>
      <c r="Y4450" s="11">
        <v>571</v>
      </c>
      <c r="Z4450" s="11">
        <v>3.6</v>
      </c>
      <c r="AA4450" s="13"/>
      <c r="AB4450" s="11">
        <v>135</v>
      </c>
      <c r="AC4450" s="11"/>
      <c r="AD4450" s="11" t="str">
        <f>IFERROR(__xludf.DUMMYFUNCTION("""COMPUTED_VALUE"""),"Dana Andrews")</f>
        <v>Dana Andrews</v>
      </c>
      <c r="AE4450" s="11"/>
    </row>
    <row r="4451" customHeight="1" spans="1:31">
      <c r="A4451" s="12" t="s">
        <v>30</v>
      </c>
      <c r="B4451" s="12" t="s">
        <v>21099</v>
      </c>
      <c r="C4451" s="12">
        <v>145</v>
      </c>
      <c r="D4451" s="12">
        <v>83</v>
      </c>
      <c r="E4451" s="12">
        <v>0</v>
      </c>
      <c r="F4451" s="12">
        <v>31</v>
      </c>
      <c r="G4451" s="12">
        <v>82</v>
      </c>
      <c r="H4451" s="12">
        <v>184925485</v>
      </c>
      <c r="I4451" s="12" t="s">
        <v>6030</v>
      </c>
      <c r="J4451" s="12" t="s">
        <v>21100</v>
      </c>
      <c r="K4451" s="12" t="s">
        <v>21101</v>
      </c>
      <c r="L4451" s="12" t="s">
        <v>21102</v>
      </c>
      <c r="M4451" s="12" t="s">
        <v>21103</v>
      </c>
      <c r="N4451" s="12">
        <v>133348</v>
      </c>
      <c r="O4451" s="12">
        <v>229</v>
      </c>
      <c r="P4451" s="12">
        <v>1</v>
      </c>
      <c r="Q4451" s="12" t="s">
        <v>21104</v>
      </c>
      <c r="R4451" s="15" t="s">
        <v>21105</v>
      </c>
      <c r="S4451" s="12">
        <v>204</v>
      </c>
      <c r="T4451" s="12" t="s">
        <v>39</v>
      </c>
      <c r="U4451" s="12" t="s">
        <v>40</v>
      </c>
      <c r="V4451" s="12" t="s">
        <v>6037</v>
      </c>
      <c r="W4451" s="12">
        <v>2000000</v>
      </c>
      <c r="X4451" s="12">
        <v>1937</v>
      </c>
      <c r="Y4451" s="12">
        <v>47</v>
      </c>
      <c r="Z4451" s="12">
        <v>7.7</v>
      </c>
      <c r="AA4451" s="12">
        <v>1.37</v>
      </c>
      <c r="AB4451" s="12">
        <v>0</v>
      </c>
      <c r="AC4451" s="12"/>
      <c r="AD4451" s="12" t="str">
        <f>IFERROR(__xludf.DUMMYFUNCTION("""COMPUTED_VALUE"""),"Jeanne Crain")</f>
        <v>Jeanne Crain</v>
      </c>
      <c r="AE4451" s="12"/>
    </row>
    <row r="4452" customHeight="1" spans="1:31">
      <c r="A4452" s="11" t="s">
        <v>30</v>
      </c>
      <c r="B4452" s="11" t="s">
        <v>21106</v>
      </c>
      <c r="C4452" s="11">
        <v>78</v>
      </c>
      <c r="D4452" s="11">
        <v>106</v>
      </c>
      <c r="E4452" s="11">
        <v>33</v>
      </c>
      <c r="F4452" s="11">
        <v>3</v>
      </c>
      <c r="G4452" s="11">
        <v>341</v>
      </c>
      <c r="H4452" s="11">
        <v>304124</v>
      </c>
      <c r="I4452" s="11" t="s">
        <v>3410</v>
      </c>
      <c r="J4452" s="11" t="s">
        <v>18257</v>
      </c>
      <c r="K4452" s="11" t="s">
        <v>21107</v>
      </c>
      <c r="L4452" s="11" t="s">
        <v>21108</v>
      </c>
      <c r="M4452" s="11" t="s">
        <v>21109</v>
      </c>
      <c r="N4452" s="11">
        <v>2720</v>
      </c>
      <c r="O4452" s="11">
        <v>358</v>
      </c>
      <c r="P4452" s="11">
        <v>0</v>
      </c>
      <c r="Q4452" s="11" t="s">
        <v>21110</v>
      </c>
      <c r="R4452" s="14" t="s">
        <v>21111</v>
      </c>
      <c r="S4452" s="11">
        <v>37</v>
      </c>
      <c r="T4452" s="11" t="s">
        <v>2779</v>
      </c>
      <c r="U4452" s="11" t="s">
        <v>18942</v>
      </c>
      <c r="V4452" s="11" t="s">
        <v>586</v>
      </c>
      <c r="W4452" s="11">
        <v>1400000</v>
      </c>
      <c r="X4452" s="11">
        <v>2004</v>
      </c>
      <c r="Y4452" s="11">
        <v>5</v>
      </c>
      <c r="Z4452" s="11">
        <v>6.7</v>
      </c>
      <c r="AA4452" s="11">
        <v>1.85</v>
      </c>
      <c r="AB4452" s="11">
        <v>57</v>
      </c>
      <c r="AC4452" s="11"/>
      <c r="AD4452" s="11" t="str">
        <f>IFERROR(__xludf.DUMMYFUNCTION("""COMPUTED_VALUE"""),"Frank McHugh")</f>
        <v>Frank McHugh</v>
      </c>
      <c r="AE4452" s="11"/>
    </row>
    <row r="4453" customHeight="1" spans="1:31">
      <c r="A4453" s="12" t="s">
        <v>30</v>
      </c>
      <c r="B4453" s="12" t="s">
        <v>21112</v>
      </c>
      <c r="C4453" s="12">
        <v>10</v>
      </c>
      <c r="D4453" s="12">
        <v>113</v>
      </c>
      <c r="E4453" s="12">
        <v>74</v>
      </c>
      <c r="F4453" s="12">
        <v>387</v>
      </c>
      <c r="G4453" s="12">
        <v>984</v>
      </c>
      <c r="H4453" s="16"/>
      <c r="I4453" s="12" t="s">
        <v>15011</v>
      </c>
      <c r="J4453" s="12" t="s">
        <v>21113</v>
      </c>
      <c r="K4453" s="12" t="s">
        <v>17842</v>
      </c>
      <c r="L4453" s="12" t="s">
        <v>19158</v>
      </c>
      <c r="M4453" s="12" t="s">
        <v>21114</v>
      </c>
      <c r="N4453" s="12">
        <v>1978</v>
      </c>
      <c r="O4453" s="12">
        <v>2140</v>
      </c>
      <c r="P4453" s="12">
        <v>2</v>
      </c>
      <c r="Q4453" s="12" t="s">
        <v>21115</v>
      </c>
      <c r="R4453" s="15" t="s">
        <v>21116</v>
      </c>
      <c r="S4453" s="12">
        <v>41</v>
      </c>
      <c r="T4453" s="12" t="s">
        <v>39</v>
      </c>
      <c r="U4453" s="12" t="s">
        <v>58</v>
      </c>
      <c r="V4453" s="12" t="s">
        <v>96</v>
      </c>
      <c r="W4453" s="12">
        <v>1455000</v>
      </c>
      <c r="X4453" s="12">
        <v>1968</v>
      </c>
      <c r="Y4453" s="12">
        <v>423</v>
      </c>
      <c r="Z4453" s="12">
        <v>5.5</v>
      </c>
      <c r="AA4453" s="12">
        <v>2.35</v>
      </c>
      <c r="AB4453" s="12">
        <v>209</v>
      </c>
      <c r="AC4453" s="12"/>
      <c r="AD4453" s="12" t="str">
        <f>IFERROR(__xludf.DUMMYFUNCTION("""COMPUTED_VALUE"""),"Mía Maestro")</f>
        <v>Mía Maestro</v>
      </c>
      <c r="AE4453" s="12"/>
    </row>
    <row r="4454" customHeight="1" spans="1:31">
      <c r="A4454" s="11" t="s">
        <v>30</v>
      </c>
      <c r="B4454" s="11" t="s">
        <v>21117</v>
      </c>
      <c r="C4454" s="11">
        <v>60</v>
      </c>
      <c r="D4454" s="11">
        <v>94</v>
      </c>
      <c r="E4454" s="11">
        <v>87</v>
      </c>
      <c r="F4454" s="11">
        <v>37</v>
      </c>
      <c r="G4454" s="11">
        <v>87</v>
      </c>
      <c r="H4454" s="11">
        <v>36830</v>
      </c>
      <c r="I4454" s="11" t="s">
        <v>21118</v>
      </c>
      <c r="J4454" s="11" t="s">
        <v>21117</v>
      </c>
      <c r="K4454" s="11" t="s">
        <v>21119</v>
      </c>
      <c r="L4454" s="11" t="s">
        <v>21120</v>
      </c>
      <c r="M4454" s="11" t="s">
        <v>21121</v>
      </c>
      <c r="N4454" s="11">
        <v>3291</v>
      </c>
      <c r="O4454" s="11">
        <v>256</v>
      </c>
      <c r="P4454" s="11">
        <v>0</v>
      </c>
      <c r="Q4454" s="11" t="s">
        <v>21122</v>
      </c>
      <c r="R4454" s="14" t="s">
        <v>21123</v>
      </c>
      <c r="S4454" s="11">
        <v>63</v>
      </c>
      <c r="T4454" s="11" t="s">
        <v>39</v>
      </c>
      <c r="U4454" s="11" t="s">
        <v>58</v>
      </c>
      <c r="V4454" s="11" t="s">
        <v>41</v>
      </c>
      <c r="W4454" s="11">
        <v>1400000</v>
      </c>
      <c r="X4454" s="11">
        <v>2004</v>
      </c>
      <c r="Y4454" s="11">
        <v>70</v>
      </c>
      <c r="Z4454" s="11">
        <v>6.6</v>
      </c>
      <c r="AA4454" s="11">
        <v>1.85</v>
      </c>
      <c r="AB4454" s="11">
        <v>400</v>
      </c>
      <c r="AC4454" s="11"/>
      <c r="AD4454" s="11" t="str">
        <f>IFERROR(__xludf.DUMMYFUNCTION("""COMPUTED_VALUE"""),"Juan Luis Galiardo")</f>
        <v>Juan Luis Galiardo</v>
      </c>
      <c r="AE4454" s="11"/>
    </row>
    <row r="4455" customHeight="1" spans="1:31">
      <c r="A4455" s="12" t="s">
        <v>30</v>
      </c>
      <c r="B4455" s="12" t="s">
        <v>21124</v>
      </c>
      <c r="C4455" s="12">
        <v>9</v>
      </c>
      <c r="D4455" s="12">
        <v>101</v>
      </c>
      <c r="E4455" s="12">
        <v>20</v>
      </c>
      <c r="F4455" s="12">
        <v>256</v>
      </c>
      <c r="G4455" s="12">
        <v>1000</v>
      </c>
      <c r="H4455" s="16"/>
      <c r="I4455" s="12" t="s">
        <v>3410</v>
      </c>
      <c r="J4455" s="12" t="s">
        <v>3756</v>
      </c>
      <c r="K4455" s="12" t="s">
        <v>21125</v>
      </c>
      <c r="L4455" s="12" t="s">
        <v>21126</v>
      </c>
      <c r="M4455" s="12" t="s">
        <v>21127</v>
      </c>
      <c r="N4455" s="12">
        <v>162</v>
      </c>
      <c r="O4455" s="12">
        <v>2419</v>
      </c>
      <c r="P4455" s="16"/>
      <c r="Q4455" s="16"/>
      <c r="R4455" s="15" t="s">
        <v>21128</v>
      </c>
      <c r="S4455" s="12">
        <v>8</v>
      </c>
      <c r="T4455" s="12" t="s">
        <v>39</v>
      </c>
      <c r="U4455" s="12" t="s">
        <v>40</v>
      </c>
      <c r="V4455" s="12" t="s">
        <v>96</v>
      </c>
      <c r="W4455" s="12">
        <v>2000000</v>
      </c>
      <c r="X4455" s="12">
        <v>2016</v>
      </c>
      <c r="Y4455" s="12">
        <v>301</v>
      </c>
      <c r="Z4455" s="12">
        <v>4.8</v>
      </c>
      <c r="AA4455" s="12">
        <v>2.35</v>
      </c>
      <c r="AB4455" s="12">
        <v>724</v>
      </c>
      <c r="AC4455" s="12"/>
      <c r="AD4455" s="12" t="str">
        <f>IFERROR(__xludf.DUMMYFUNCTION("""COMPUTED_VALUE"""),"Miguel Ángel Solá")</f>
        <v>Miguel Ángel Solá</v>
      </c>
      <c r="AE4455" s="12"/>
    </row>
    <row r="4456" customHeight="1" spans="1:31">
      <c r="A4456" s="11" t="s">
        <v>30</v>
      </c>
      <c r="B4456" s="11" t="s">
        <v>17173</v>
      </c>
      <c r="C4456" s="11">
        <v>63</v>
      </c>
      <c r="D4456" s="11">
        <v>99</v>
      </c>
      <c r="E4456" s="11">
        <v>10</v>
      </c>
      <c r="F4456" s="11">
        <v>295</v>
      </c>
      <c r="G4456" s="11">
        <v>756</v>
      </c>
      <c r="H4456" s="13"/>
      <c r="I4456" s="11" t="s">
        <v>5544</v>
      </c>
      <c r="J4456" s="11" t="s">
        <v>21129</v>
      </c>
      <c r="K4456" s="11" t="s">
        <v>21130</v>
      </c>
      <c r="L4456" s="11" t="s">
        <v>21131</v>
      </c>
      <c r="M4456" s="11" t="s">
        <v>21132</v>
      </c>
      <c r="N4456" s="11">
        <v>4948</v>
      </c>
      <c r="O4456" s="11">
        <v>2072</v>
      </c>
      <c r="P4456" s="11">
        <v>0</v>
      </c>
      <c r="Q4456" s="11" t="s">
        <v>21133</v>
      </c>
      <c r="R4456" s="14" t="s">
        <v>21134</v>
      </c>
      <c r="S4456" s="11">
        <v>33</v>
      </c>
      <c r="T4456" s="11" t="s">
        <v>39</v>
      </c>
      <c r="U4456" s="11" t="s">
        <v>269</v>
      </c>
      <c r="V4456" s="13"/>
      <c r="W4456" s="11">
        <v>3150000</v>
      </c>
      <c r="X4456" s="11">
        <v>2014</v>
      </c>
      <c r="Y4456" s="11">
        <v>382</v>
      </c>
      <c r="Z4456" s="11">
        <v>5.5</v>
      </c>
      <c r="AA4456" s="11">
        <v>2.35</v>
      </c>
      <c r="AB4456" s="11">
        <v>969</v>
      </c>
      <c r="AC4456" s="11"/>
      <c r="AD4456" s="11" t="str">
        <f>IFERROR(__xludf.DUMMYFUNCTION("""COMPUTED_VALUE"""),"Juan Fernández")</f>
        <v>Juan Fernández</v>
      </c>
      <c r="AE4456" s="11"/>
    </row>
    <row r="4457" customHeight="1" spans="1:31">
      <c r="A4457" s="12" t="s">
        <v>30</v>
      </c>
      <c r="B4457" s="12" t="s">
        <v>129</v>
      </c>
      <c r="C4457" s="12">
        <v>92</v>
      </c>
      <c r="D4457" s="12">
        <v>76</v>
      </c>
      <c r="E4457" s="12">
        <v>412</v>
      </c>
      <c r="F4457" s="12">
        <v>3</v>
      </c>
      <c r="G4457" s="12">
        <v>412</v>
      </c>
      <c r="H4457" s="12">
        <v>231186</v>
      </c>
      <c r="I4457" s="12" t="s">
        <v>5620</v>
      </c>
      <c r="J4457" s="12" t="s">
        <v>129</v>
      </c>
      <c r="K4457" s="12" t="s">
        <v>21135</v>
      </c>
      <c r="L4457" s="12" t="s">
        <v>21136</v>
      </c>
      <c r="M4457" s="12" t="s">
        <v>21137</v>
      </c>
      <c r="N4457" s="12">
        <v>2082</v>
      </c>
      <c r="O4457" s="12">
        <v>421</v>
      </c>
      <c r="P4457" s="12">
        <v>0</v>
      </c>
      <c r="Q4457" s="12" t="s">
        <v>21138</v>
      </c>
      <c r="R4457" s="15" t="s">
        <v>21139</v>
      </c>
      <c r="S4457" s="12">
        <v>16</v>
      </c>
      <c r="T4457" s="12" t="s">
        <v>1465</v>
      </c>
      <c r="U4457" s="12" t="s">
        <v>1466</v>
      </c>
      <c r="V4457" s="12" t="s">
        <v>586</v>
      </c>
      <c r="W4457" s="16"/>
      <c r="X4457" s="12">
        <v>2014</v>
      </c>
      <c r="Y4457" s="12">
        <v>4</v>
      </c>
      <c r="Z4457" s="12">
        <v>6.3</v>
      </c>
      <c r="AA4457" s="12">
        <v>1.33</v>
      </c>
      <c r="AB4457" s="12">
        <v>389</v>
      </c>
      <c r="AC4457" s="12"/>
      <c r="AD4457" s="12" t="str">
        <f>IFERROR(__xludf.DUMMYFUNCTION("""COMPUTED_VALUE"""),"Alex Kendrick")</f>
        <v>Alex Kendrick</v>
      </c>
      <c r="AE4457" s="12"/>
    </row>
    <row r="4458" customHeight="1" spans="1:31">
      <c r="A4458" s="11" t="s">
        <v>30</v>
      </c>
      <c r="B4458" s="11" t="s">
        <v>21140</v>
      </c>
      <c r="C4458" s="11">
        <v>4</v>
      </c>
      <c r="D4458" s="11">
        <v>91</v>
      </c>
      <c r="E4458" s="11">
        <v>58</v>
      </c>
      <c r="F4458" s="11">
        <v>69</v>
      </c>
      <c r="G4458" s="11">
        <v>847</v>
      </c>
      <c r="H4458" s="13"/>
      <c r="I4458" s="11" t="s">
        <v>5544</v>
      </c>
      <c r="J4458" s="11" t="s">
        <v>4495</v>
      </c>
      <c r="K4458" s="11" t="s">
        <v>21141</v>
      </c>
      <c r="L4458" s="11" t="s">
        <v>21142</v>
      </c>
      <c r="M4458" s="11" t="s">
        <v>21143</v>
      </c>
      <c r="N4458" s="11">
        <v>330</v>
      </c>
      <c r="O4458" s="11">
        <v>1159</v>
      </c>
      <c r="P4458" s="11">
        <v>0</v>
      </c>
      <c r="Q4458" s="11" t="s">
        <v>21144</v>
      </c>
      <c r="R4458" s="14" t="s">
        <v>21145</v>
      </c>
      <c r="S4458" s="11">
        <v>6</v>
      </c>
      <c r="T4458" s="11" t="s">
        <v>39</v>
      </c>
      <c r="U4458" s="11" t="s">
        <v>40</v>
      </c>
      <c r="V4458" s="11" t="s">
        <v>586</v>
      </c>
      <c r="W4458" s="11">
        <v>1400000</v>
      </c>
      <c r="X4458" s="11">
        <v>2014</v>
      </c>
      <c r="Y4458" s="11">
        <v>147</v>
      </c>
      <c r="Z4458" s="11">
        <v>6.9</v>
      </c>
      <c r="AA4458" s="13"/>
      <c r="AB4458" s="11">
        <v>223</v>
      </c>
      <c r="AC4458" s="11"/>
      <c r="AD4458" s="11" t="str">
        <f>IFERROR(__xludf.DUMMYFUNCTION("""COMPUTED_VALUE"""),"Sarah Drew")</f>
        <v>Sarah Drew</v>
      </c>
      <c r="AE4458" s="11"/>
    </row>
    <row r="4459" customHeight="1" spans="1:31">
      <c r="A4459" s="12" t="s">
        <v>30</v>
      </c>
      <c r="B4459" s="12" t="s">
        <v>21146</v>
      </c>
      <c r="C4459" s="12">
        <v>53</v>
      </c>
      <c r="D4459" s="12">
        <v>105</v>
      </c>
      <c r="E4459" s="12">
        <v>7</v>
      </c>
      <c r="F4459" s="12">
        <v>356</v>
      </c>
      <c r="G4459" s="12">
        <v>1000</v>
      </c>
      <c r="H4459" s="16"/>
      <c r="I4459" s="12" t="s">
        <v>2359</v>
      </c>
      <c r="J4459" s="12" t="s">
        <v>21147</v>
      </c>
      <c r="K4459" s="12" t="s">
        <v>19724</v>
      </c>
      <c r="L4459" s="12" t="s">
        <v>21148</v>
      </c>
      <c r="M4459" s="12" t="s">
        <v>21149</v>
      </c>
      <c r="N4459" s="12">
        <v>22975</v>
      </c>
      <c r="O4459" s="12">
        <v>2658</v>
      </c>
      <c r="P4459" s="12">
        <v>1</v>
      </c>
      <c r="Q4459" s="12" t="s">
        <v>21150</v>
      </c>
      <c r="R4459" s="15" t="s">
        <v>21151</v>
      </c>
      <c r="S4459" s="12">
        <v>155</v>
      </c>
      <c r="T4459" s="12" t="s">
        <v>39</v>
      </c>
      <c r="U4459" s="12" t="s">
        <v>40</v>
      </c>
      <c r="V4459" s="12" t="s">
        <v>6037</v>
      </c>
      <c r="W4459" s="12">
        <v>1377800</v>
      </c>
      <c r="X4459" s="12">
        <v>1966</v>
      </c>
      <c r="Y4459" s="12">
        <v>370</v>
      </c>
      <c r="Z4459" s="12">
        <v>6.5</v>
      </c>
      <c r="AA4459" s="12">
        <v>1.85</v>
      </c>
      <c r="AB4459" s="12">
        <v>0</v>
      </c>
      <c r="AC4459" s="12"/>
      <c r="AD4459" s="12" t="str">
        <f>IFERROR(__xludf.DUMMYFUNCTION("""COMPUTED_VALUE"""),"James Duval")</f>
        <v>James Duval</v>
      </c>
      <c r="AE4459" s="12"/>
    </row>
    <row r="4460" customHeight="1" spans="1:31">
      <c r="A4460" s="11" t="s">
        <v>30</v>
      </c>
      <c r="B4460" s="11" t="s">
        <v>1295</v>
      </c>
      <c r="C4460" s="11">
        <v>116</v>
      </c>
      <c r="D4460" s="11">
        <v>120</v>
      </c>
      <c r="E4460" s="11">
        <v>0</v>
      </c>
      <c r="F4460" s="11">
        <v>452</v>
      </c>
      <c r="G4460" s="11">
        <v>26000</v>
      </c>
      <c r="H4460" s="11">
        <v>3650677</v>
      </c>
      <c r="I4460" s="11" t="s">
        <v>1009</v>
      </c>
      <c r="J4460" s="11" t="s">
        <v>335</v>
      </c>
      <c r="K4460" s="11" t="s">
        <v>688</v>
      </c>
      <c r="L4460" s="11" t="s">
        <v>3448</v>
      </c>
      <c r="M4460" s="11" t="s">
        <v>21152</v>
      </c>
      <c r="N4460" s="11">
        <v>414976</v>
      </c>
      <c r="O4460" s="11">
        <v>28294</v>
      </c>
      <c r="P4460" s="11">
        <v>1</v>
      </c>
      <c r="Q4460" s="11" t="s">
        <v>21153</v>
      </c>
      <c r="R4460" s="14" t="s">
        <v>21154</v>
      </c>
      <c r="S4460" s="11">
        <v>523</v>
      </c>
      <c r="T4460" s="11" t="s">
        <v>39</v>
      </c>
      <c r="U4460" s="11" t="s">
        <v>58</v>
      </c>
      <c r="V4460" s="11" t="s">
        <v>586</v>
      </c>
      <c r="W4460" s="11">
        <v>960000</v>
      </c>
      <c r="X4460" s="11">
        <v>1998</v>
      </c>
      <c r="Y4460" s="11">
        <v>1000</v>
      </c>
      <c r="Z4460" s="11">
        <v>8.2</v>
      </c>
      <c r="AA4460" s="11">
        <v>1.85</v>
      </c>
      <c r="AB4460" s="11">
        <v>21000</v>
      </c>
      <c r="AC4460" s="11"/>
      <c r="AD4460" s="11" t="str">
        <f>IFERROR(__xludf.DUMMYFUNCTION("""COMPUTED_VALUE"""),"Jaime Camil")</f>
        <v>Jaime Camil</v>
      </c>
      <c r="AE4460" s="11"/>
    </row>
    <row r="4461" customHeight="1" spans="1:31">
      <c r="A4461" s="12" t="s">
        <v>30</v>
      </c>
      <c r="B4461" s="12" t="s">
        <v>21155</v>
      </c>
      <c r="C4461" s="16"/>
      <c r="D4461" s="12">
        <v>105</v>
      </c>
      <c r="E4461" s="12">
        <v>0</v>
      </c>
      <c r="F4461" s="12">
        <v>467</v>
      </c>
      <c r="G4461" s="12">
        <v>883</v>
      </c>
      <c r="H4461" s="16"/>
      <c r="I4461" s="12" t="s">
        <v>15011</v>
      </c>
      <c r="J4461" s="12" t="s">
        <v>4545</v>
      </c>
      <c r="K4461" s="12" t="s">
        <v>2285</v>
      </c>
      <c r="L4461" s="12" t="s">
        <v>4184</v>
      </c>
      <c r="M4461" s="12" t="s">
        <v>21156</v>
      </c>
      <c r="N4461" s="12">
        <v>39</v>
      </c>
      <c r="O4461" s="12">
        <v>3164</v>
      </c>
      <c r="P4461" s="12">
        <v>0</v>
      </c>
      <c r="Q4461" s="16"/>
      <c r="R4461" s="15" t="s">
        <v>21157</v>
      </c>
      <c r="S4461" s="12">
        <v>2</v>
      </c>
      <c r="T4461" s="12" t="s">
        <v>39</v>
      </c>
      <c r="U4461" s="12" t="s">
        <v>40</v>
      </c>
      <c r="V4461" s="16"/>
      <c r="W4461" s="12">
        <v>1250000</v>
      </c>
      <c r="X4461" s="12">
        <v>1982</v>
      </c>
      <c r="Y4461" s="12">
        <v>655</v>
      </c>
      <c r="Z4461" s="12">
        <v>7.1</v>
      </c>
      <c r="AA4461" s="16"/>
      <c r="AB4461" s="12">
        <v>32</v>
      </c>
      <c r="AC4461" s="12"/>
      <c r="AD4461" s="12" t="str">
        <f>IFERROR(__xludf.DUMMYFUNCTION("""COMPUTED_VALUE"""),"Gerardo Taracena")</f>
        <v>Gerardo Taracena</v>
      </c>
      <c r="AE4461" s="12"/>
    </row>
    <row r="4462" customHeight="1" spans="1:31">
      <c r="A4462" s="11" t="s">
        <v>30</v>
      </c>
      <c r="B4462" s="13"/>
      <c r="C4462" s="11">
        <v>13</v>
      </c>
      <c r="D4462" s="11">
        <v>120</v>
      </c>
      <c r="E4462" s="13"/>
      <c r="F4462" s="13"/>
      <c r="G4462" s="11">
        <v>416</v>
      </c>
      <c r="H4462" s="13"/>
      <c r="I4462" s="11" t="s">
        <v>21158</v>
      </c>
      <c r="J4462" s="11" t="s">
        <v>12526</v>
      </c>
      <c r="K4462" s="11" t="s">
        <v>21159</v>
      </c>
      <c r="L4462" s="13"/>
      <c r="M4462" s="11" t="s">
        <v>21160</v>
      </c>
      <c r="N4462" s="11">
        <v>3405</v>
      </c>
      <c r="O4462" s="11">
        <v>416</v>
      </c>
      <c r="P4462" s="11">
        <v>0</v>
      </c>
      <c r="Q4462" s="11" t="s">
        <v>21161</v>
      </c>
      <c r="R4462" s="14" t="s">
        <v>21162</v>
      </c>
      <c r="S4462" s="11">
        <v>13</v>
      </c>
      <c r="T4462" s="11" t="s">
        <v>39</v>
      </c>
      <c r="U4462" s="11" t="s">
        <v>40</v>
      </c>
      <c r="V4462" s="13"/>
      <c r="W4462" s="13"/>
      <c r="X4462" s="13"/>
      <c r="Y4462" s="11">
        <v>0</v>
      </c>
      <c r="Z4462" s="11">
        <v>7.3</v>
      </c>
      <c r="AA4462" s="11">
        <v>4</v>
      </c>
      <c r="AB4462" s="11">
        <v>533</v>
      </c>
      <c r="AC4462" s="11"/>
      <c r="AD4462" s="11" t="str">
        <f>IFERROR(__xludf.DUMMYFUNCTION("""COMPUTED_VALUE"""),"Joaquín Cosio")</f>
        <v>Joaquín Cosio</v>
      </c>
      <c r="AE4462" s="11"/>
    </row>
    <row r="4463" customHeight="1" spans="1:31">
      <c r="A4463" s="12" t="s">
        <v>30</v>
      </c>
      <c r="B4463" s="12" t="s">
        <v>16244</v>
      </c>
      <c r="C4463" s="12">
        <v>98</v>
      </c>
      <c r="D4463" s="12">
        <v>105</v>
      </c>
      <c r="E4463" s="12">
        <v>346</v>
      </c>
      <c r="F4463" s="12">
        <v>141</v>
      </c>
      <c r="G4463" s="12">
        <v>280</v>
      </c>
      <c r="H4463" s="12">
        <v>1647780</v>
      </c>
      <c r="I4463" s="12" t="s">
        <v>3410</v>
      </c>
      <c r="J4463" s="12" t="s">
        <v>4405</v>
      </c>
      <c r="K4463" s="12" t="s">
        <v>21163</v>
      </c>
      <c r="L4463" s="12" t="s">
        <v>21164</v>
      </c>
      <c r="M4463" s="12" t="s">
        <v>21165</v>
      </c>
      <c r="N4463" s="12">
        <v>65951</v>
      </c>
      <c r="O4463" s="12">
        <v>821</v>
      </c>
      <c r="P4463" s="12">
        <v>1</v>
      </c>
      <c r="Q4463" s="12" t="s">
        <v>21166</v>
      </c>
      <c r="R4463" s="15" t="s">
        <v>21167</v>
      </c>
      <c r="S4463" s="12">
        <v>258</v>
      </c>
      <c r="T4463" s="12" t="s">
        <v>15778</v>
      </c>
      <c r="U4463" s="12" t="s">
        <v>7712</v>
      </c>
      <c r="V4463" s="12" t="s">
        <v>586</v>
      </c>
      <c r="W4463" s="12">
        <v>1300000</v>
      </c>
      <c r="X4463" s="12">
        <v>1998</v>
      </c>
      <c r="Y4463" s="12">
        <v>278</v>
      </c>
      <c r="Z4463" s="12">
        <v>8.1</v>
      </c>
      <c r="AA4463" s="12">
        <v>1.33</v>
      </c>
      <c r="AB4463" s="12">
        <v>5000</v>
      </c>
      <c r="AC4463" s="12"/>
      <c r="AD4463" s="12" t="str">
        <f>IFERROR(__xludf.DUMMYFUNCTION("""COMPUTED_VALUE"""),"Jan Decleir")</f>
        <v>Jan Decleir</v>
      </c>
      <c r="AE4463" s="12"/>
    </row>
    <row r="4464" customHeight="1" spans="1:31">
      <c r="A4464" s="11" t="s">
        <v>30</v>
      </c>
      <c r="B4464" s="11" t="s">
        <v>272</v>
      </c>
      <c r="C4464" s="11">
        <v>43</v>
      </c>
      <c r="D4464" s="11">
        <v>95</v>
      </c>
      <c r="E4464" s="11">
        <v>12000</v>
      </c>
      <c r="F4464" s="11">
        <v>636</v>
      </c>
      <c r="G4464" s="11">
        <v>12000</v>
      </c>
      <c r="H4464" s="11">
        <v>695229</v>
      </c>
      <c r="I4464" s="11" t="s">
        <v>2528</v>
      </c>
      <c r="J4464" s="11" t="s">
        <v>272</v>
      </c>
      <c r="K4464" s="11" t="s">
        <v>1837</v>
      </c>
      <c r="L4464" s="11" t="s">
        <v>6745</v>
      </c>
      <c r="M4464" s="11" t="s">
        <v>21168</v>
      </c>
      <c r="N4464" s="11">
        <v>11369</v>
      </c>
      <c r="O4464" s="11">
        <v>14420</v>
      </c>
      <c r="P4464" s="11">
        <v>1</v>
      </c>
      <c r="Q4464" s="11" t="s">
        <v>21169</v>
      </c>
      <c r="R4464" s="14" t="s">
        <v>21170</v>
      </c>
      <c r="S4464" s="11">
        <v>65</v>
      </c>
      <c r="T4464" s="11" t="s">
        <v>39</v>
      </c>
      <c r="U4464" s="11" t="s">
        <v>40</v>
      </c>
      <c r="V4464" s="11" t="s">
        <v>586</v>
      </c>
      <c r="W4464" s="11">
        <v>1300000</v>
      </c>
      <c r="X4464" s="11">
        <v>1996</v>
      </c>
      <c r="Y4464" s="11">
        <v>680</v>
      </c>
      <c r="Z4464" s="11">
        <v>7.2</v>
      </c>
      <c r="AA4464" s="11">
        <v>1.85</v>
      </c>
      <c r="AB4464" s="11">
        <v>872</v>
      </c>
      <c r="AC4464" s="11"/>
      <c r="AD4464" s="11" t="str">
        <f>IFERROR(__xludf.DUMMYFUNCTION("""COMPUTED_VALUE"""),"Fedja van Huêt")</f>
        <v>Fedja van Huêt</v>
      </c>
      <c r="AE4464" s="11"/>
    </row>
    <row r="4465" customHeight="1" spans="1:31">
      <c r="A4465" s="12" t="s">
        <v>30</v>
      </c>
      <c r="B4465" s="12" t="s">
        <v>21171</v>
      </c>
      <c r="C4465" s="12">
        <v>15</v>
      </c>
      <c r="D4465" s="12">
        <v>135</v>
      </c>
      <c r="E4465" s="12">
        <v>5</v>
      </c>
      <c r="F4465" s="12">
        <v>5</v>
      </c>
      <c r="G4465" s="12">
        <v>51</v>
      </c>
      <c r="H4465" s="12">
        <v>638951</v>
      </c>
      <c r="I4465" s="12" t="s">
        <v>3410</v>
      </c>
      <c r="J4465" s="12" t="s">
        <v>21172</v>
      </c>
      <c r="K4465" s="12" t="s">
        <v>21173</v>
      </c>
      <c r="L4465" s="12" t="s">
        <v>21174</v>
      </c>
      <c r="M4465" s="12" t="s">
        <v>21175</v>
      </c>
      <c r="N4465" s="12">
        <v>775</v>
      </c>
      <c r="O4465" s="12">
        <v>83</v>
      </c>
      <c r="P4465" s="12">
        <v>2</v>
      </c>
      <c r="Q4465" s="12" t="s">
        <v>21176</v>
      </c>
      <c r="R4465" s="15" t="s">
        <v>21177</v>
      </c>
      <c r="S4465" s="12">
        <v>19</v>
      </c>
      <c r="T4465" s="12" t="s">
        <v>21178</v>
      </c>
      <c r="U4465" s="12" t="s">
        <v>40</v>
      </c>
      <c r="V4465" s="12" t="s">
        <v>586</v>
      </c>
      <c r="W4465" s="12">
        <v>1592000</v>
      </c>
      <c r="X4465" s="12">
        <v>2006</v>
      </c>
      <c r="Y4465" s="12">
        <v>24</v>
      </c>
      <c r="Z4465" s="12">
        <v>7.4</v>
      </c>
      <c r="AA4465" s="12">
        <v>1.85</v>
      </c>
      <c r="AB4465" s="12">
        <v>100</v>
      </c>
      <c r="AC4465" s="12"/>
      <c r="AD4465" s="12" t="str">
        <f>IFERROR(__xludf.DUMMYFUNCTION("""COMPUTED_VALUE"""),"Hans Kesting")</f>
        <v>Hans Kesting</v>
      </c>
      <c r="AE4465" s="12"/>
    </row>
    <row r="4466" customHeight="1" spans="1:31">
      <c r="A4466" s="11" t="s">
        <v>30</v>
      </c>
      <c r="B4466" s="11" t="s">
        <v>21179</v>
      </c>
      <c r="C4466" s="11">
        <v>14</v>
      </c>
      <c r="D4466" s="11">
        <v>105</v>
      </c>
      <c r="E4466" s="11">
        <v>7</v>
      </c>
      <c r="F4466" s="11">
        <v>548</v>
      </c>
      <c r="G4466" s="11">
        <v>2000</v>
      </c>
      <c r="H4466" s="11">
        <v>609042</v>
      </c>
      <c r="I4466" s="11" t="s">
        <v>3410</v>
      </c>
      <c r="J4466" s="11" t="s">
        <v>3933</v>
      </c>
      <c r="K4466" s="11" t="s">
        <v>1346</v>
      </c>
      <c r="L4466" s="11" t="s">
        <v>3202</v>
      </c>
      <c r="M4466" s="11" t="s">
        <v>21180</v>
      </c>
      <c r="N4466" s="11">
        <v>449</v>
      </c>
      <c r="O4466" s="11">
        <v>3475</v>
      </c>
      <c r="P4466" s="11">
        <v>2</v>
      </c>
      <c r="Q4466" s="11" t="s">
        <v>21181</v>
      </c>
      <c r="R4466" s="14" t="s">
        <v>21182</v>
      </c>
      <c r="S4466" s="11">
        <v>38</v>
      </c>
      <c r="T4466" s="11" t="s">
        <v>39</v>
      </c>
      <c r="U4466" s="11" t="s">
        <v>40</v>
      </c>
      <c r="V4466" s="11" t="s">
        <v>96</v>
      </c>
      <c r="W4466" s="11">
        <v>1300000</v>
      </c>
      <c r="X4466" s="11">
        <v>1999</v>
      </c>
      <c r="Y4466" s="11">
        <v>783</v>
      </c>
      <c r="Z4466" s="11">
        <v>6.5</v>
      </c>
      <c r="AA4466" s="11">
        <v>1.85</v>
      </c>
      <c r="AB4466" s="11">
        <v>117</v>
      </c>
      <c r="AC4466" s="11"/>
      <c r="AD4466" s="11" t="str">
        <f>IFERROR(__xludf.DUMMYFUNCTION("""COMPUTED_VALUE"""),"Rich Pecci")</f>
        <v>Rich Pecci</v>
      </c>
      <c r="AE4466" s="11"/>
    </row>
    <row r="4467" customHeight="1" spans="1:31">
      <c r="A4467" s="12" t="s">
        <v>30</v>
      </c>
      <c r="B4467" s="12" t="s">
        <v>21183</v>
      </c>
      <c r="C4467" s="12">
        <v>56</v>
      </c>
      <c r="D4467" s="12">
        <v>83</v>
      </c>
      <c r="E4467" s="12">
        <v>5</v>
      </c>
      <c r="F4467" s="12">
        <v>98</v>
      </c>
      <c r="G4467" s="12">
        <v>413</v>
      </c>
      <c r="H4467" s="12">
        <v>1521</v>
      </c>
      <c r="I4467" s="12" t="s">
        <v>7579</v>
      </c>
      <c r="J4467" s="12" t="s">
        <v>1055</v>
      </c>
      <c r="K4467" s="12" t="s">
        <v>15774</v>
      </c>
      <c r="L4467" s="12" t="s">
        <v>21028</v>
      </c>
      <c r="M4467" s="12" t="s">
        <v>21184</v>
      </c>
      <c r="N4467" s="12">
        <v>1231</v>
      </c>
      <c r="O4467" s="12">
        <v>843</v>
      </c>
      <c r="P4467" s="12">
        <v>0</v>
      </c>
      <c r="Q4467" s="12" t="s">
        <v>21185</v>
      </c>
      <c r="R4467" s="15" t="s">
        <v>21186</v>
      </c>
      <c r="S4467" s="12">
        <v>10</v>
      </c>
      <c r="T4467" s="12" t="s">
        <v>39</v>
      </c>
      <c r="U4467" s="12" t="s">
        <v>269</v>
      </c>
      <c r="V4467" s="12" t="s">
        <v>4831</v>
      </c>
      <c r="W4467" s="12">
        <v>1500000</v>
      </c>
      <c r="X4467" s="12">
        <v>2012</v>
      </c>
      <c r="Y4467" s="12">
        <v>197</v>
      </c>
      <c r="Z4467" s="12">
        <v>5.7</v>
      </c>
      <c r="AA4467" s="16"/>
      <c r="AB4467" s="12">
        <v>932</v>
      </c>
      <c r="AC4467" s="12"/>
      <c r="AD4467" s="12" t="str">
        <f>IFERROR(__xludf.DUMMYFUNCTION("""COMPUTED_VALUE"""),"Yeong-ae Lee")</f>
        <v>Yeong-ae Lee</v>
      </c>
      <c r="AE4467" s="12"/>
    </row>
    <row r="4468" customHeight="1" spans="1:31">
      <c r="A4468" s="11" t="s">
        <v>30</v>
      </c>
      <c r="B4468" s="11" t="s">
        <v>4292</v>
      </c>
      <c r="C4468" s="11">
        <v>79</v>
      </c>
      <c r="D4468" s="11">
        <v>111</v>
      </c>
      <c r="E4468" s="11">
        <v>17</v>
      </c>
      <c r="F4468" s="11">
        <v>652</v>
      </c>
      <c r="G4468" s="11">
        <v>13000</v>
      </c>
      <c r="H4468" s="11">
        <v>32940507</v>
      </c>
      <c r="I4468" s="11" t="s">
        <v>464</v>
      </c>
      <c r="J4468" s="11" t="s">
        <v>978</v>
      </c>
      <c r="K4468" s="11" t="s">
        <v>3653</v>
      </c>
      <c r="L4468" s="11" t="s">
        <v>4293</v>
      </c>
      <c r="M4468" s="11" t="s">
        <v>4294</v>
      </c>
      <c r="N4468" s="11">
        <v>54316</v>
      </c>
      <c r="O4468" s="11">
        <v>16537</v>
      </c>
      <c r="P4468" s="11">
        <v>1</v>
      </c>
      <c r="Q4468" s="11" t="s">
        <v>4295</v>
      </c>
      <c r="R4468" s="14" t="s">
        <v>4296</v>
      </c>
      <c r="S4468" s="11">
        <v>127</v>
      </c>
      <c r="T4468" s="11" t="s">
        <v>39</v>
      </c>
      <c r="U4468" s="11" t="s">
        <v>40</v>
      </c>
      <c r="V4468" s="11" t="s">
        <v>586</v>
      </c>
      <c r="W4468" s="11">
        <v>60000000</v>
      </c>
      <c r="X4468" s="11">
        <v>1998</v>
      </c>
      <c r="Y4468" s="11">
        <v>969</v>
      </c>
      <c r="Z4468" s="11">
        <v>6.1</v>
      </c>
      <c r="AA4468" s="11">
        <v>2.35</v>
      </c>
      <c r="AB4468" s="11">
        <v>0</v>
      </c>
      <c r="AC4468" s="11"/>
      <c r="AD4468" s="11" t="str">
        <f>IFERROR(__xludf.DUMMYFUNCTION("""COMPUTED_VALUE"""),"Hye-jeong Kang")</f>
        <v>Hye-jeong Kang</v>
      </c>
      <c r="AE4468" s="11"/>
    </row>
    <row r="4469" customHeight="1" spans="1:31">
      <c r="A4469" s="12" t="s">
        <v>30</v>
      </c>
      <c r="B4469" s="16"/>
      <c r="C4469" s="12">
        <v>8</v>
      </c>
      <c r="D4469" s="12">
        <v>60</v>
      </c>
      <c r="E4469" s="16"/>
      <c r="F4469" s="12">
        <v>109</v>
      </c>
      <c r="G4469" s="12">
        <v>210</v>
      </c>
      <c r="H4469" s="16"/>
      <c r="I4469" s="12" t="s">
        <v>1849</v>
      </c>
      <c r="J4469" s="12" t="s">
        <v>3249</v>
      </c>
      <c r="K4469" s="12" t="s">
        <v>21187</v>
      </c>
      <c r="L4469" s="12" t="s">
        <v>21188</v>
      </c>
      <c r="M4469" s="12" t="s">
        <v>21189</v>
      </c>
      <c r="N4469" s="12">
        <v>6381</v>
      </c>
      <c r="O4469" s="12">
        <v>611</v>
      </c>
      <c r="P4469" s="12">
        <v>0</v>
      </c>
      <c r="Q4469" s="12" t="s">
        <v>21190</v>
      </c>
      <c r="R4469" s="15" t="s">
        <v>21191</v>
      </c>
      <c r="S4469" s="12">
        <v>79</v>
      </c>
      <c r="T4469" s="12" t="s">
        <v>39</v>
      </c>
      <c r="U4469" s="12" t="s">
        <v>40</v>
      </c>
      <c r="V4469" s="16"/>
      <c r="W4469" s="12">
        <v>5000000</v>
      </c>
      <c r="X4469" s="16"/>
      <c r="Y4469" s="12">
        <v>121</v>
      </c>
      <c r="Z4469" s="12">
        <v>7.7</v>
      </c>
      <c r="AA4469" s="12">
        <v>1.33</v>
      </c>
      <c r="AB4469" s="12">
        <v>963</v>
      </c>
      <c r="AC4469" s="12"/>
      <c r="AD4469" s="12" t="str">
        <f>IFERROR(__xludf.DUMMYFUNCTION("""COMPUTED_VALUE"""),"Nicolas Giraud")</f>
        <v>Nicolas Giraud</v>
      </c>
      <c r="AE4469" s="12"/>
    </row>
    <row r="4470" customHeight="1" spans="1:31">
      <c r="A4470" s="11" t="s">
        <v>30</v>
      </c>
      <c r="B4470" s="11" t="s">
        <v>21192</v>
      </c>
      <c r="C4470" s="11">
        <v>16</v>
      </c>
      <c r="D4470" s="11">
        <v>135</v>
      </c>
      <c r="E4470" s="11">
        <v>135</v>
      </c>
      <c r="F4470" s="11">
        <v>0</v>
      </c>
      <c r="G4470" s="11">
        <v>0</v>
      </c>
      <c r="H4470" s="13"/>
      <c r="I4470" s="11" t="s">
        <v>7236</v>
      </c>
      <c r="J4470" s="11" t="s">
        <v>21193</v>
      </c>
      <c r="K4470" s="11" t="s">
        <v>21194</v>
      </c>
      <c r="L4470" s="11" t="s">
        <v>21195</v>
      </c>
      <c r="M4470" s="11" t="s">
        <v>21196</v>
      </c>
      <c r="N4470" s="11">
        <v>3144</v>
      </c>
      <c r="O4470" s="11">
        <v>0</v>
      </c>
      <c r="P4470" s="11">
        <v>1</v>
      </c>
      <c r="Q4470" s="11" t="s">
        <v>21197</v>
      </c>
      <c r="R4470" s="14" t="s">
        <v>21198</v>
      </c>
      <c r="S4470" s="11">
        <v>24</v>
      </c>
      <c r="T4470" s="11" t="s">
        <v>39</v>
      </c>
      <c r="U4470" s="11" t="s">
        <v>21199</v>
      </c>
      <c r="V4470" s="11" t="s">
        <v>41</v>
      </c>
      <c r="W4470" s="11">
        <v>1400000</v>
      </c>
      <c r="X4470" s="11">
        <v>2014</v>
      </c>
      <c r="Y4470" s="11">
        <v>0</v>
      </c>
      <c r="Z4470" s="11">
        <v>8.7</v>
      </c>
      <c r="AA4470" s="11">
        <v>2.35</v>
      </c>
      <c r="AB4470" s="11">
        <v>0</v>
      </c>
      <c r="AC4470" s="11"/>
      <c r="AD4470" s="11" t="str">
        <f>IFERROR(__xludf.DUMMYFUNCTION("""COMPUTED_VALUE"""),"Clovis Fouin")</f>
        <v>Clovis Fouin</v>
      </c>
      <c r="AE4470" s="11"/>
    </row>
    <row r="4471" customHeight="1" spans="1:31">
      <c r="A4471" s="12" t="s">
        <v>30</v>
      </c>
      <c r="B4471" s="12" t="s">
        <v>21200</v>
      </c>
      <c r="C4471" s="12">
        <v>18</v>
      </c>
      <c r="D4471" s="12">
        <v>88</v>
      </c>
      <c r="E4471" s="12">
        <v>4</v>
      </c>
      <c r="F4471" s="12">
        <v>13</v>
      </c>
      <c r="G4471" s="12">
        <v>232</v>
      </c>
      <c r="H4471" s="16"/>
      <c r="I4471" s="12" t="s">
        <v>648</v>
      </c>
      <c r="J4471" s="12" t="s">
        <v>3605</v>
      </c>
      <c r="K4471" s="12" t="s">
        <v>21201</v>
      </c>
      <c r="L4471" s="12" t="s">
        <v>21202</v>
      </c>
      <c r="M4471" s="12" t="s">
        <v>21203</v>
      </c>
      <c r="N4471" s="12">
        <v>1339</v>
      </c>
      <c r="O4471" s="12">
        <v>289</v>
      </c>
      <c r="P4471" s="12">
        <v>0</v>
      </c>
      <c r="Q4471" s="12" t="s">
        <v>21204</v>
      </c>
      <c r="R4471" s="15" t="s">
        <v>21205</v>
      </c>
      <c r="S4471" s="12">
        <v>46</v>
      </c>
      <c r="T4471" s="12" t="s">
        <v>39</v>
      </c>
      <c r="U4471" s="12" t="s">
        <v>269</v>
      </c>
      <c r="V4471" s="12" t="s">
        <v>586</v>
      </c>
      <c r="W4471" s="12">
        <v>1750000</v>
      </c>
      <c r="X4471" s="12">
        <v>1985</v>
      </c>
      <c r="Y4471" s="12">
        <v>23</v>
      </c>
      <c r="Z4471" s="12">
        <v>4.3</v>
      </c>
      <c r="AA4471" s="12">
        <v>1.85</v>
      </c>
      <c r="AB4471" s="12">
        <v>220</v>
      </c>
      <c r="AC4471" s="12"/>
      <c r="AD4471" s="12" t="str">
        <f>IFERROR(__xludf.DUMMYFUNCTION("""COMPUTED_VALUE"""),"Marie Féret")</f>
        <v>Marie Féret</v>
      </c>
      <c r="AE4471" s="12"/>
    </row>
    <row r="4472" customHeight="1" spans="1:31">
      <c r="A4472" s="11" t="s">
        <v>748</v>
      </c>
      <c r="B4472" s="11" t="s">
        <v>21206</v>
      </c>
      <c r="C4472" s="11">
        <v>35</v>
      </c>
      <c r="D4472" s="11">
        <v>87</v>
      </c>
      <c r="E4472" s="11">
        <v>4</v>
      </c>
      <c r="F4472" s="11">
        <v>624</v>
      </c>
      <c r="G4472" s="11">
        <v>2000</v>
      </c>
      <c r="H4472" s="11">
        <v>19539</v>
      </c>
      <c r="I4472" s="11" t="s">
        <v>1672</v>
      </c>
      <c r="J4472" s="11" t="s">
        <v>236</v>
      </c>
      <c r="K4472" s="11" t="s">
        <v>2866</v>
      </c>
      <c r="L4472" s="11" t="s">
        <v>4978</v>
      </c>
      <c r="M4472" s="11" t="s">
        <v>21207</v>
      </c>
      <c r="N4472" s="11">
        <v>4182</v>
      </c>
      <c r="O4472" s="11">
        <v>6227</v>
      </c>
      <c r="P4472" s="11">
        <v>1</v>
      </c>
      <c r="Q4472" s="11" t="s">
        <v>21208</v>
      </c>
      <c r="R4472" s="14" t="s">
        <v>21209</v>
      </c>
      <c r="S4472" s="11">
        <v>53</v>
      </c>
      <c r="T4472" s="11" t="s">
        <v>39</v>
      </c>
      <c r="U4472" s="11" t="s">
        <v>40</v>
      </c>
      <c r="V4472" s="11" t="s">
        <v>586</v>
      </c>
      <c r="W4472" s="11">
        <v>1000000</v>
      </c>
      <c r="X4472" s="11">
        <v>2003</v>
      </c>
      <c r="Y4472" s="11">
        <v>1000</v>
      </c>
      <c r="Z4472" s="11">
        <v>6.2</v>
      </c>
      <c r="AA4472" s="11">
        <v>1.85</v>
      </c>
      <c r="AB4472" s="11">
        <v>3000</v>
      </c>
      <c r="AC4472" s="11"/>
      <c r="AD4472" s="11" t="str">
        <f>IFERROR(__xludf.DUMMYFUNCTION("""COMPUTED_VALUE"""),"Artyom Bogucharskiy")</f>
        <v>Artyom Bogucharskiy</v>
      </c>
      <c r="AE4472" s="11"/>
    </row>
    <row r="4473" customHeight="1" spans="1:31">
      <c r="A4473" s="12" t="s">
        <v>30</v>
      </c>
      <c r="B4473" s="12" t="s">
        <v>21210</v>
      </c>
      <c r="C4473" s="12">
        <v>5</v>
      </c>
      <c r="D4473" s="12">
        <v>97</v>
      </c>
      <c r="E4473" s="12">
        <v>0</v>
      </c>
      <c r="F4473" s="12">
        <v>40</v>
      </c>
      <c r="G4473" s="12">
        <v>374</v>
      </c>
      <c r="H4473" s="12">
        <v>100358</v>
      </c>
      <c r="I4473" s="12" t="s">
        <v>11251</v>
      </c>
      <c r="J4473" s="12" t="s">
        <v>17517</v>
      </c>
      <c r="K4473" s="12" t="s">
        <v>21211</v>
      </c>
      <c r="L4473" s="12" t="s">
        <v>21212</v>
      </c>
      <c r="M4473" s="12" t="s">
        <v>21213</v>
      </c>
      <c r="N4473" s="12">
        <v>1167</v>
      </c>
      <c r="O4473" s="12">
        <v>602</v>
      </c>
      <c r="P4473" s="12">
        <v>2</v>
      </c>
      <c r="Q4473" s="12" t="s">
        <v>21214</v>
      </c>
      <c r="R4473" s="15" t="s">
        <v>21215</v>
      </c>
      <c r="S4473" s="12">
        <v>24</v>
      </c>
      <c r="T4473" s="12" t="s">
        <v>39</v>
      </c>
      <c r="U4473" s="12" t="s">
        <v>5613</v>
      </c>
      <c r="V4473" s="16"/>
      <c r="W4473" s="12">
        <v>1500000</v>
      </c>
      <c r="X4473" s="12">
        <v>2005</v>
      </c>
      <c r="Y4473" s="12">
        <v>145</v>
      </c>
      <c r="Z4473" s="12">
        <v>3.3</v>
      </c>
      <c r="AA4473" s="12">
        <v>2.35</v>
      </c>
      <c r="AB4473" s="12">
        <v>66</v>
      </c>
      <c r="AC4473" s="12"/>
      <c r="AD4473" s="12" t="str">
        <f>IFERROR(__xludf.DUMMYFUNCTION("""COMPUTED_VALUE"""),"Lyubov Agapova")</f>
        <v>Lyubov Agapova</v>
      </c>
      <c r="AE4473" s="12"/>
    </row>
    <row r="4474" customHeight="1" spans="1:31">
      <c r="A4474" s="11" t="s">
        <v>30</v>
      </c>
      <c r="B4474" s="11" t="s">
        <v>19558</v>
      </c>
      <c r="C4474" s="11">
        <v>16</v>
      </c>
      <c r="D4474" s="11">
        <v>82</v>
      </c>
      <c r="E4474" s="11">
        <v>19</v>
      </c>
      <c r="F4474" s="11">
        <v>134</v>
      </c>
      <c r="G4474" s="11">
        <v>700</v>
      </c>
      <c r="H4474" s="13"/>
      <c r="I4474" s="11" t="s">
        <v>1672</v>
      </c>
      <c r="J4474" s="11" t="s">
        <v>4546</v>
      </c>
      <c r="K4474" s="11" t="s">
        <v>9458</v>
      </c>
      <c r="L4474" s="11" t="s">
        <v>21216</v>
      </c>
      <c r="M4474" s="11" t="s">
        <v>21217</v>
      </c>
      <c r="N4474" s="11">
        <v>5579</v>
      </c>
      <c r="O4474" s="11">
        <v>1499</v>
      </c>
      <c r="P4474" s="11">
        <v>3</v>
      </c>
      <c r="Q4474" s="11" t="s">
        <v>21218</v>
      </c>
      <c r="R4474" s="14" t="s">
        <v>21219</v>
      </c>
      <c r="S4474" s="11">
        <v>42</v>
      </c>
      <c r="T4474" s="11" t="s">
        <v>39</v>
      </c>
      <c r="U4474" s="11" t="s">
        <v>40</v>
      </c>
      <c r="V4474" s="11" t="s">
        <v>586</v>
      </c>
      <c r="W4474" s="11">
        <v>1300000</v>
      </c>
      <c r="X4474" s="11">
        <v>2010</v>
      </c>
      <c r="Y4474" s="11">
        <v>460</v>
      </c>
      <c r="Z4474" s="11">
        <v>2.7</v>
      </c>
      <c r="AA4474" s="11">
        <v>1.85</v>
      </c>
      <c r="AB4474" s="11">
        <v>0</v>
      </c>
      <c r="AC4474" s="11"/>
      <c r="AD4474" s="11" t="str">
        <f>IFERROR(__xludf.DUMMYFUNCTION("""COMPUTED_VALUE"""),"Sana Saeed")</f>
        <v>Sana Saeed</v>
      </c>
      <c r="AE4474" s="11"/>
    </row>
    <row r="4475" customHeight="1" spans="1:31">
      <c r="A4475" s="12" t="s">
        <v>30</v>
      </c>
      <c r="B4475" s="12" t="s">
        <v>21220</v>
      </c>
      <c r="C4475" s="12">
        <v>24</v>
      </c>
      <c r="D4475" s="12">
        <v>103</v>
      </c>
      <c r="E4475" s="12">
        <v>0</v>
      </c>
      <c r="F4475" s="12">
        <v>511</v>
      </c>
      <c r="G4475" s="12">
        <v>35000</v>
      </c>
      <c r="H4475" s="16"/>
      <c r="I4475" s="12" t="s">
        <v>21221</v>
      </c>
      <c r="J4475" s="12" t="s">
        <v>2169</v>
      </c>
      <c r="K4475" s="12" t="s">
        <v>21222</v>
      </c>
      <c r="L4475" s="12" t="s">
        <v>18215</v>
      </c>
      <c r="M4475" s="12" t="s">
        <v>21223</v>
      </c>
      <c r="N4475" s="12">
        <v>4866</v>
      </c>
      <c r="O4475" s="12">
        <v>38121</v>
      </c>
      <c r="P4475" s="12">
        <v>1</v>
      </c>
      <c r="Q4475" s="16"/>
      <c r="R4475" s="15" t="s">
        <v>21224</v>
      </c>
      <c r="S4475" s="12">
        <v>38</v>
      </c>
      <c r="T4475" s="12" t="s">
        <v>39</v>
      </c>
      <c r="U4475" s="12" t="s">
        <v>40</v>
      </c>
      <c r="V4475" s="12" t="s">
        <v>586</v>
      </c>
      <c r="W4475" s="12">
        <v>1300000</v>
      </c>
      <c r="X4475" s="12">
        <v>2009</v>
      </c>
      <c r="Y4475" s="12">
        <v>516</v>
      </c>
      <c r="Z4475" s="12">
        <v>5.2</v>
      </c>
      <c r="AA4475" s="12">
        <v>2.35</v>
      </c>
      <c r="AB4475" s="12">
        <v>969</v>
      </c>
      <c r="AC4475" s="12"/>
      <c r="AD4475" s="12" t="str">
        <f>IFERROR(__xludf.DUMMYFUNCTION("""COMPUTED_VALUE"""),"Dimple Kapadia")</f>
        <v>Dimple Kapadia</v>
      </c>
      <c r="AE4475" s="12"/>
    </row>
    <row r="4476" customHeight="1" spans="1:31">
      <c r="A4476" s="11" t="s">
        <v>748</v>
      </c>
      <c r="B4476" s="11" t="s">
        <v>11033</v>
      </c>
      <c r="C4476" s="11">
        <v>144</v>
      </c>
      <c r="D4476" s="11">
        <v>130</v>
      </c>
      <c r="E4476" s="11">
        <v>13000</v>
      </c>
      <c r="F4476" s="11">
        <v>333</v>
      </c>
      <c r="G4476" s="11">
        <v>1000</v>
      </c>
      <c r="H4476" s="13"/>
      <c r="I4476" s="11" t="s">
        <v>21225</v>
      </c>
      <c r="J4476" s="11" t="s">
        <v>3513</v>
      </c>
      <c r="K4476" s="11" t="s">
        <v>21226</v>
      </c>
      <c r="L4476" s="11" t="s">
        <v>17777</v>
      </c>
      <c r="M4476" s="11" t="s">
        <v>21227</v>
      </c>
      <c r="N4476" s="11">
        <v>87424</v>
      </c>
      <c r="O4476" s="11">
        <v>2888</v>
      </c>
      <c r="P4476" s="11">
        <v>2</v>
      </c>
      <c r="Q4476" s="11" t="s">
        <v>21228</v>
      </c>
      <c r="R4476" s="14" t="s">
        <v>21229</v>
      </c>
      <c r="S4476" s="11">
        <v>276</v>
      </c>
      <c r="T4476" s="11" t="s">
        <v>39</v>
      </c>
      <c r="U4476" s="11" t="s">
        <v>40</v>
      </c>
      <c r="V4476" s="11" t="s">
        <v>4831</v>
      </c>
      <c r="W4476" s="11">
        <v>1288000</v>
      </c>
      <c r="X4476" s="11">
        <v>1940</v>
      </c>
      <c r="Y4476" s="11">
        <v>991</v>
      </c>
      <c r="Z4476" s="11">
        <v>8.2</v>
      </c>
      <c r="AA4476" s="11">
        <v>1.37</v>
      </c>
      <c r="AB4476" s="11">
        <v>0</v>
      </c>
      <c r="AC4476" s="11"/>
      <c r="AD4476" s="11" t="str">
        <f>IFERROR(__xludf.DUMMYFUNCTION("""COMPUTED_VALUE"""),"Katherine McNamara")</f>
        <v>Katherine McNamara</v>
      </c>
      <c r="AE4476" s="11"/>
    </row>
    <row r="4477" customHeight="1" spans="1:31">
      <c r="A4477" s="12" t="s">
        <v>30</v>
      </c>
      <c r="B4477" s="12" t="s">
        <v>7065</v>
      </c>
      <c r="C4477" s="12">
        <v>242</v>
      </c>
      <c r="D4477" s="12">
        <v>87</v>
      </c>
      <c r="E4477" s="12">
        <v>49</v>
      </c>
      <c r="F4477" s="12">
        <v>59</v>
      </c>
      <c r="G4477" s="12">
        <v>309</v>
      </c>
      <c r="H4477" s="12">
        <v>19100000</v>
      </c>
      <c r="I4477" s="12" t="s">
        <v>3030</v>
      </c>
      <c r="J4477" s="12" t="s">
        <v>21230</v>
      </c>
      <c r="K4477" s="12" t="s">
        <v>21231</v>
      </c>
      <c r="L4477" s="12" t="s">
        <v>21232</v>
      </c>
      <c r="M4477" s="12" t="s">
        <v>21233</v>
      </c>
      <c r="N4477" s="12">
        <v>39690</v>
      </c>
      <c r="O4477" s="12">
        <v>707</v>
      </c>
      <c r="P4477" s="12">
        <v>0</v>
      </c>
      <c r="Q4477" s="12" t="s">
        <v>21234</v>
      </c>
      <c r="R4477" s="15" t="s">
        <v>21235</v>
      </c>
      <c r="S4477" s="12">
        <v>394</v>
      </c>
      <c r="T4477" s="12" t="s">
        <v>39</v>
      </c>
      <c r="U4477" s="12" t="s">
        <v>40</v>
      </c>
      <c r="V4477" s="12" t="s">
        <v>586</v>
      </c>
      <c r="W4477" s="12">
        <v>1250000</v>
      </c>
      <c r="X4477" s="12">
        <v>1981</v>
      </c>
      <c r="Y4477" s="12">
        <v>121</v>
      </c>
      <c r="Z4477" s="12">
        <v>6.1</v>
      </c>
      <c r="AA4477" s="12">
        <v>1.85</v>
      </c>
      <c r="AB4477" s="12">
        <v>0</v>
      </c>
      <c r="AC4477" s="12"/>
      <c r="AD4477" s="12" t="str">
        <f>IFERROR(__xludf.DUMMYFUNCTION("""COMPUTED_VALUE"""),"Dove Cameron")</f>
        <v>Dove Cameron</v>
      </c>
      <c r="AE4477" s="12"/>
    </row>
    <row r="4478" customHeight="1" spans="1:31">
      <c r="A4478" s="11" t="s">
        <v>748</v>
      </c>
      <c r="B4478" s="11" t="s">
        <v>18467</v>
      </c>
      <c r="C4478" s="11">
        <v>97</v>
      </c>
      <c r="D4478" s="11">
        <v>101</v>
      </c>
      <c r="E4478" s="11">
        <v>0</v>
      </c>
      <c r="F4478" s="11">
        <v>66</v>
      </c>
      <c r="G4478" s="11">
        <v>287</v>
      </c>
      <c r="H4478" s="13"/>
      <c r="I4478" s="11" t="s">
        <v>21236</v>
      </c>
      <c r="J4478" s="11" t="s">
        <v>21237</v>
      </c>
      <c r="K4478" s="11" t="s">
        <v>21238</v>
      </c>
      <c r="L4478" s="11" t="s">
        <v>21239</v>
      </c>
      <c r="M4478" s="11" t="s">
        <v>21240</v>
      </c>
      <c r="N4478" s="11">
        <v>24959</v>
      </c>
      <c r="O4478" s="11">
        <v>581</v>
      </c>
      <c r="P4478" s="11">
        <v>4</v>
      </c>
      <c r="Q4478" s="11" t="s">
        <v>21241</v>
      </c>
      <c r="R4478" s="14" t="s">
        <v>21242</v>
      </c>
      <c r="S4478" s="11">
        <v>136</v>
      </c>
      <c r="T4478" s="11" t="s">
        <v>39</v>
      </c>
      <c r="U4478" s="11" t="s">
        <v>40</v>
      </c>
      <c r="V4478" s="11" t="s">
        <v>4831</v>
      </c>
      <c r="W4478" s="11">
        <v>1250000</v>
      </c>
      <c r="X4478" s="11">
        <v>1945</v>
      </c>
      <c r="Y4478" s="11">
        <v>160</v>
      </c>
      <c r="Z4478" s="11">
        <v>8</v>
      </c>
      <c r="AA4478" s="11">
        <v>1.37</v>
      </c>
      <c r="AB4478" s="11">
        <v>0</v>
      </c>
      <c r="AC4478" s="11"/>
      <c r="AD4478" s="11" t="str">
        <f>IFERROR(__xludf.DUMMYFUNCTION("""COMPUTED_VALUE"""),"Braeden Lemasters")</f>
        <v>Braeden Lemasters</v>
      </c>
      <c r="AE4478" s="11"/>
    </row>
    <row r="4479" customHeight="1" spans="1:31">
      <c r="A4479" s="12" t="s">
        <v>30</v>
      </c>
      <c r="B4479" s="12" t="s">
        <v>21243</v>
      </c>
      <c r="C4479" s="12">
        <v>77</v>
      </c>
      <c r="D4479" s="12">
        <v>96</v>
      </c>
      <c r="E4479" s="12">
        <v>4</v>
      </c>
      <c r="F4479" s="12">
        <v>132</v>
      </c>
      <c r="G4479" s="12">
        <v>796</v>
      </c>
      <c r="H4479" s="16"/>
      <c r="I4479" s="12" t="s">
        <v>10223</v>
      </c>
      <c r="J4479" s="12" t="s">
        <v>8510</v>
      </c>
      <c r="K4479" s="12" t="s">
        <v>3198</v>
      </c>
      <c r="L4479" s="12" t="s">
        <v>9943</v>
      </c>
      <c r="M4479" s="12" t="s">
        <v>21244</v>
      </c>
      <c r="N4479" s="12">
        <v>7528</v>
      </c>
      <c r="O4479" s="12">
        <v>1866</v>
      </c>
      <c r="P4479" s="12">
        <v>0</v>
      </c>
      <c r="Q4479" s="12" t="s">
        <v>21245</v>
      </c>
      <c r="R4479" s="15" t="s">
        <v>21246</v>
      </c>
      <c r="S4479" s="12">
        <v>88</v>
      </c>
      <c r="T4479" s="12" t="s">
        <v>39</v>
      </c>
      <c r="U4479" s="12" t="s">
        <v>40</v>
      </c>
      <c r="V4479" s="12" t="s">
        <v>586</v>
      </c>
      <c r="W4479" s="12">
        <v>1250000</v>
      </c>
      <c r="X4479" s="12">
        <v>1984</v>
      </c>
      <c r="Y4479" s="12">
        <v>697</v>
      </c>
      <c r="Z4479" s="12">
        <v>5.5</v>
      </c>
      <c r="AA4479" s="12">
        <v>1.85</v>
      </c>
      <c r="AB4479" s="12">
        <v>0</v>
      </c>
      <c r="AC4479" s="12"/>
      <c r="AD4479" s="12" t="str">
        <f>IFERROR(__xludf.DUMMYFUNCTION("""COMPUTED_VALUE"""),"Sameer Ali Khan")</f>
        <v>Sameer Ali Khan</v>
      </c>
      <c r="AE4479" s="12"/>
    </row>
    <row r="4480" customHeight="1" spans="1:31">
      <c r="A4480" s="11" t="s">
        <v>30</v>
      </c>
      <c r="B4480" s="11" t="s">
        <v>19580</v>
      </c>
      <c r="C4480" s="11">
        <v>16</v>
      </c>
      <c r="D4480" s="11">
        <v>80</v>
      </c>
      <c r="E4480" s="11">
        <v>8</v>
      </c>
      <c r="F4480" s="11">
        <v>183</v>
      </c>
      <c r="G4480" s="11">
        <v>2000</v>
      </c>
      <c r="H4480" s="11">
        <v>2833383</v>
      </c>
      <c r="I4480" s="11" t="s">
        <v>6200</v>
      </c>
      <c r="J4480" s="11" t="s">
        <v>5732</v>
      </c>
      <c r="K4480" s="11" t="s">
        <v>21247</v>
      </c>
      <c r="L4480" s="11" t="s">
        <v>21248</v>
      </c>
      <c r="M4480" s="11" t="s">
        <v>21249</v>
      </c>
      <c r="N4480" s="11">
        <v>910</v>
      </c>
      <c r="O4480" s="11">
        <v>2459</v>
      </c>
      <c r="P4480" s="11">
        <v>1</v>
      </c>
      <c r="Q4480" s="13"/>
      <c r="R4480" s="14" t="s">
        <v>21250</v>
      </c>
      <c r="S4480" s="11">
        <v>11</v>
      </c>
      <c r="T4480" s="11" t="s">
        <v>39</v>
      </c>
      <c r="U4480" s="11" t="s">
        <v>40</v>
      </c>
      <c r="V4480" s="11" t="s">
        <v>586</v>
      </c>
      <c r="W4480" s="11">
        <v>427000</v>
      </c>
      <c r="X4480" s="11">
        <v>2012</v>
      </c>
      <c r="Y4480" s="11">
        <v>245</v>
      </c>
      <c r="Z4480" s="11">
        <v>5.7</v>
      </c>
      <c r="AA4480" s="11">
        <v>2.35</v>
      </c>
      <c r="AB4480" s="11">
        <v>0</v>
      </c>
      <c r="AC4480" s="11"/>
      <c r="AD4480" s="11" t="str">
        <f>IFERROR(__xludf.DUMMYFUNCTION("""COMPUTED_VALUE"""),"Purab Kohli")</f>
        <v>Purab Kohli</v>
      </c>
      <c r="AE4480" s="11"/>
    </row>
    <row r="4481" customHeight="1" spans="1:31">
      <c r="A4481" s="12" t="s">
        <v>30</v>
      </c>
      <c r="B4481" s="12" t="s">
        <v>21251</v>
      </c>
      <c r="C4481" s="12">
        <v>7</v>
      </c>
      <c r="D4481" s="12">
        <v>87</v>
      </c>
      <c r="E4481" s="12">
        <v>11</v>
      </c>
      <c r="F4481" s="12">
        <v>397</v>
      </c>
      <c r="G4481" s="12">
        <v>578</v>
      </c>
      <c r="H4481" s="16"/>
      <c r="I4481" s="12" t="s">
        <v>11526</v>
      </c>
      <c r="J4481" s="12" t="s">
        <v>21252</v>
      </c>
      <c r="K4481" s="12" t="s">
        <v>706</v>
      </c>
      <c r="L4481" s="12" t="s">
        <v>16600</v>
      </c>
      <c r="M4481" s="12" t="s">
        <v>21253</v>
      </c>
      <c r="N4481" s="12">
        <v>458</v>
      </c>
      <c r="O4481" s="12">
        <v>1730</v>
      </c>
      <c r="P4481" s="12">
        <v>0</v>
      </c>
      <c r="Q4481" s="12" t="s">
        <v>21254</v>
      </c>
      <c r="R4481" s="15" t="s">
        <v>21255</v>
      </c>
      <c r="S4481" s="12">
        <v>3</v>
      </c>
      <c r="T4481" s="12" t="s">
        <v>39</v>
      </c>
      <c r="U4481" s="12" t="s">
        <v>40</v>
      </c>
      <c r="V4481" s="12" t="s">
        <v>96</v>
      </c>
      <c r="W4481" s="12">
        <v>15000000</v>
      </c>
      <c r="X4481" s="12">
        <v>2011</v>
      </c>
      <c r="Y4481" s="12">
        <v>418</v>
      </c>
      <c r="Z4481" s="12">
        <v>3.7</v>
      </c>
      <c r="AA4481" s="12">
        <v>1.78</v>
      </c>
      <c r="AB4481" s="12">
        <v>381</v>
      </c>
      <c r="AC4481" s="12"/>
      <c r="AD4481" s="12" t="str">
        <f>IFERROR(__xludf.DUMMYFUNCTION("""COMPUTED_VALUE"""),"Jonathan Crombie")</f>
        <v>Jonathan Crombie</v>
      </c>
      <c r="AE4481" s="12"/>
    </row>
    <row r="4482" customHeight="1" spans="1:31">
      <c r="A4482" s="11" t="s">
        <v>30</v>
      </c>
      <c r="B4482" s="11" t="s">
        <v>21256</v>
      </c>
      <c r="C4482" s="11">
        <v>74</v>
      </c>
      <c r="D4482" s="11">
        <v>92</v>
      </c>
      <c r="E4482" s="11">
        <v>83</v>
      </c>
      <c r="F4482" s="11">
        <v>48</v>
      </c>
      <c r="G4482" s="11">
        <v>469</v>
      </c>
      <c r="H4482" s="13"/>
      <c r="I4482" s="11" t="s">
        <v>21257</v>
      </c>
      <c r="J4482" s="11" t="s">
        <v>9669</v>
      </c>
      <c r="K4482" s="11" t="s">
        <v>21258</v>
      </c>
      <c r="L4482" s="11" t="s">
        <v>21259</v>
      </c>
      <c r="M4482" s="11" t="s">
        <v>21260</v>
      </c>
      <c r="N4482" s="11">
        <v>11047</v>
      </c>
      <c r="O4482" s="11">
        <v>683</v>
      </c>
      <c r="P4482" s="11">
        <v>0</v>
      </c>
      <c r="Q4482" s="11" t="s">
        <v>21261</v>
      </c>
      <c r="R4482" s="14" t="s">
        <v>21262</v>
      </c>
      <c r="S4482" s="11">
        <v>116</v>
      </c>
      <c r="T4482" s="11" t="s">
        <v>39</v>
      </c>
      <c r="U4482" s="11" t="s">
        <v>40</v>
      </c>
      <c r="V4482" s="11" t="s">
        <v>6037</v>
      </c>
      <c r="W4482" s="11">
        <v>1250000</v>
      </c>
      <c r="X4482" s="11">
        <v>1953</v>
      </c>
      <c r="Y4482" s="11">
        <v>79</v>
      </c>
      <c r="Z4482" s="11">
        <v>7.1</v>
      </c>
      <c r="AA4482" s="11">
        <v>1.37</v>
      </c>
      <c r="AB4482" s="11">
        <v>1000</v>
      </c>
      <c r="AC4482" s="11"/>
      <c r="AD4482" s="11" t="str">
        <f>IFERROR(__xludf.DUMMYFUNCTION("""COMPUTED_VALUE"""),"Megan Follows")</f>
        <v>Megan Follows</v>
      </c>
      <c r="AE4482" s="11"/>
    </row>
    <row r="4483" customHeight="1" spans="1:31">
      <c r="A4483" s="12" t="s">
        <v>748</v>
      </c>
      <c r="B4483" s="12" t="s">
        <v>19130</v>
      </c>
      <c r="C4483" s="12">
        <v>74</v>
      </c>
      <c r="D4483" s="12">
        <v>118</v>
      </c>
      <c r="E4483" s="12">
        <v>673</v>
      </c>
      <c r="F4483" s="12">
        <v>137</v>
      </c>
      <c r="G4483" s="12">
        <v>595</v>
      </c>
      <c r="H4483" s="16"/>
      <c r="I4483" s="12" t="s">
        <v>7144</v>
      </c>
      <c r="J4483" s="12" t="s">
        <v>6115</v>
      </c>
      <c r="K4483" s="12" t="s">
        <v>21263</v>
      </c>
      <c r="L4483" s="12" t="s">
        <v>21264</v>
      </c>
      <c r="M4483" s="12" t="s">
        <v>21265</v>
      </c>
      <c r="N4483" s="12">
        <v>15840</v>
      </c>
      <c r="O4483" s="12">
        <v>1129</v>
      </c>
      <c r="P4483" s="12">
        <v>5</v>
      </c>
      <c r="Q4483" s="12" t="s">
        <v>21266</v>
      </c>
      <c r="R4483" s="15" t="s">
        <v>21267</v>
      </c>
      <c r="S4483" s="12">
        <v>124</v>
      </c>
      <c r="T4483" s="12" t="s">
        <v>39</v>
      </c>
      <c r="U4483" s="12" t="s">
        <v>40</v>
      </c>
      <c r="V4483" s="12" t="s">
        <v>6037</v>
      </c>
      <c r="W4483" s="12">
        <v>1250000</v>
      </c>
      <c r="X4483" s="12">
        <v>1941</v>
      </c>
      <c r="Y4483" s="12">
        <v>176</v>
      </c>
      <c r="Z4483" s="12">
        <v>7.8</v>
      </c>
      <c r="AA4483" s="12">
        <v>1.37</v>
      </c>
      <c r="AB4483" s="12">
        <v>0</v>
      </c>
      <c r="AC4483" s="12"/>
      <c r="AD4483" s="12" t="str">
        <f>IFERROR(__xludf.DUMMYFUNCTION("""COMPUTED_VALUE"""),"Michael J. Morris")</f>
        <v>Michael J. Morris</v>
      </c>
      <c r="AE4483" s="12"/>
    </row>
    <row r="4484" customHeight="1" spans="1:31">
      <c r="A4484" s="11" t="s">
        <v>30</v>
      </c>
      <c r="B4484" s="13"/>
      <c r="C4484" s="11">
        <v>19</v>
      </c>
      <c r="D4484" s="11">
        <v>27</v>
      </c>
      <c r="E4484" s="13"/>
      <c r="F4484" s="11">
        <v>201</v>
      </c>
      <c r="G4484" s="11">
        <v>934</v>
      </c>
      <c r="H4484" s="13"/>
      <c r="I4484" s="11" t="s">
        <v>3410</v>
      </c>
      <c r="J4484" s="11" t="s">
        <v>5206</v>
      </c>
      <c r="K4484" s="11" t="s">
        <v>21268</v>
      </c>
      <c r="L4484" s="11" t="s">
        <v>12001</v>
      </c>
      <c r="M4484" s="11" t="s">
        <v>21269</v>
      </c>
      <c r="N4484" s="11">
        <v>3282</v>
      </c>
      <c r="O4484" s="11">
        <v>1961</v>
      </c>
      <c r="P4484" s="11">
        <v>0</v>
      </c>
      <c r="Q4484" s="11" t="s">
        <v>21270</v>
      </c>
      <c r="R4484" s="14" t="s">
        <v>21271</v>
      </c>
      <c r="S4484" s="11">
        <v>17</v>
      </c>
      <c r="T4484" s="11" t="s">
        <v>39</v>
      </c>
      <c r="U4484" s="11" t="s">
        <v>40</v>
      </c>
      <c r="V4484" s="11" t="s">
        <v>2636</v>
      </c>
      <c r="W4484" s="13"/>
      <c r="X4484" s="13"/>
      <c r="Y4484" s="11">
        <v>691</v>
      </c>
      <c r="Z4484" s="11">
        <v>7.3</v>
      </c>
      <c r="AA4484" s="13"/>
      <c r="AB4484" s="11">
        <v>632</v>
      </c>
      <c r="AC4484" s="11"/>
      <c r="AD4484" s="11" t="str">
        <f>IFERROR(__xludf.DUMMYFUNCTION("""COMPUTED_VALUE"""),"Lateef Crowder")</f>
        <v>Lateef Crowder</v>
      </c>
      <c r="AE4484" s="11"/>
    </row>
    <row r="4485" customHeight="1" spans="1:31">
      <c r="A4485" s="12" t="s">
        <v>30</v>
      </c>
      <c r="B4485" s="12" t="s">
        <v>5077</v>
      </c>
      <c r="C4485" s="12">
        <v>46</v>
      </c>
      <c r="D4485" s="12">
        <v>123</v>
      </c>
      <c r="E4485" s="12">
        <v>0</v>
      </c>
      <c r="F4485" s="12">
        <v>161</v>
      </c>
      <c r="G4485" s="12">
        <v>3000</v>
      </c>
      <c r="H4485" s="16"/>
      <c r="I4485" s="12" t="s">
        <v>15070</v>
      </c>
      <c r="J4485" s="12" t="s">
        <v>812</v>
      </c>
      <c r="K4485" s="12" t="s">
        <v>21272</v>
      </c>
      <c r="L4485" s="12" t="s">
        <v>21273</v>
      </c>
      <c r="M4485" s="12" t="s">
        <v>21274</v>
      </c>
      <c r="N4485" s="12">
        <v>794</v>
      </c>
      <c r="O4485" s="12">
        <v>4040</v>
      </c>
      <c r="P4485" s="12">
        <v>0</v>
      </c>
      <c r="Q4485" s="12" t="s">
        <v>21275</v>
      </c>
      <c r="R4485" s="15" t="s">
        <v>21276</v>
      </c>
      <c r="S4485" s="12">
        <v>9</v>
      </c>
      <c r="T4485" s="12" t="s">
        <v>39</v>
      </c>
      <c r="U4485" s="12" t="s">
        <v>40</v>
      </c>
      <c r="V4485" s="16"/>
      <c r="W4485" s="12">
        <v>1420000</v>
      </c>
      <c r="X4485" s="12">
        <v>2014</v>
      </c>
      <c r="Y4485" s="12">
        <v>372</v>
      </c>
      <c r="Z4485" s="12">
        <v>4.1</v>
      </c>
      <c r="AA4485" s="12">
        <v>2.35</v>
      </c>
      <c r="AB4485" s="12">
        <v>447</v>
      </c>
      <c r="AC4485" s="12"/>
      <c r="AD4485" s="12" t="str">
        <f>IFERROR(__xludf.DUMMYFUNCTION("""COMPUTED_VALUE"""),"James Fox")</f>
        <v>James Fox</v>
      </c>
      <c r="AE4485" s="12"/>
    </row>
    <row r="4486" customHeight="1" spans="1:31">
      <c r="A4486" s="11" t="s">
        <v>30</v>
      </c>
      <c r="B4486" s="11" t="s">
        <v>1527</v>
      </c>
      <c r="C4486" s="11">
        <v>58</v>
      </c>
      <c r="D4486" s="11">
        <v>100</v>
      </c>
      <c r="E4486" s="11">
        <v>0</v>
      </c>
      <c r="F4486" s="11">
        <v>65</v>
      </c>
      <c r="G4486" s="11">
        <v>828</v>
      </c>
      <c r="H4486" s="11">
        <v>24741700</v>
      </c>
      <c r="I4486" s="11" t="s">
        <v>3410</v>
      </c>
      <c r="J4486" s="11" t="s">
        <v>4812</v>
      </c>
      <c r="K4486" s="11" t="s">
        <v>21277</v>
      </c>
      <c r="L4486" s="11" t="s">
        <v>2786</v>
      </c>
      <c r="M4486" s="11" t="s">
        <v>21278</v>
      </c>
      <c r="N4486" s="11">
        <v>37785</v>
      </c>
      <c r="O4486" s="11">
        <v>1431</v>
      </c>
      <c r="P4486" s="11">
        <v>2</v>
      </c>
      <c r="Q4486" s="11" t="s">
        <v>21279</v>
      </c>
      <c r="R4486" s="14" t="s">
        <v>21280</v>
      </c>
      <c r="S4486" s="11">
        <v>95</v>
      </c>
      <c r="T4486" s="11" t="s">
        <v>39</v>
      </c>
      <c r="U4486" s="11" t="s">
        <v>40</v>
      </c>
      <c r="V4486" s="11" t="s">
        <v>586</v>
      </c>
      <c r="W4486" s="11">
        <v>1200000</v>
      </c>
      <c r="X4486" s="11">
        <v>1989</v>
      </c>
      <c r="Y4486" s="11">
        <v>531</v>
      </c>
      <c r="Z4486" s="11">
        <v>7.2</v>
      </c>
      <c r="AA4486" s="11">
        <v>1.85</v>
      </c>
      <c r="AB4486" s="11">
        <v>2000</v>
      </c>
      <c r="AC4486" s="11"/>
      <c r="AD4486" s="11" t="str">
        <f>IFERROR(__xludf.DUMMYFUNCTION("""COMPUTED_VALUE"""),"Amanda Redman")</f>
        <v>Amanda Redman</v>
      </c>
      <c r="AE4486" s="11"/>
    </row>
    <row r="4487" customHeight="1" spans="1:31">
      <c r="A4487" s="12" t="s">
        <v>30</v>
      </c>
      <c r="B4487" s="12" t="s">
        <v>333</v>
      </c>
      <c r="C4487" s="12">
        <v>287</v>
      </c>
      <c r="D4487" s="12">
        <v>103</v>
      </c>
      <c r="E4487" s="12">
        <v>0</v>
      </c>
      <c r="F4487" s="12">
        <v>651</v>
      </c>
      <c r="G4487" s="12">
        <v>2000</v>
      </c>
      <c r="H4487" s="12">
        <v>55153403</v>
      </c>
      <c r="I4487" s="12" t="s">
        <v>3030</v>
      </c>
      <c r="J4487" s="12" t="s">
        <v>2773</v>
      </c>
      <c r="K4487" s="12" t="s">
        <v>2637</v>
      </c>
      <c r="L4487" s="12" t="s">
        <v>14551</v>
      </c>
      <c r="M4487" s="12" t="s">
        <v>21281</v>
      </c>
      <c r="N4487" s="12">
        <v>299127</v>
      </c>
      <c r="O4487" s="12">
        <v>5161</v>
      </c>
      <c r="P4487" s="12">
        <v>0</v>
      </c>
      <c r="Q4487" s="12" t="s">
        <v>21282</v>
      </c>
      <c r="R4487" s="15" t="s">
        <v>21283</v>
      </c>
      <c r="S4487" s="12">
        <v>1509</v>
      </c>
      <c r="T4487" s="12" t="s">
        <v>39</v>
      </c>
      <c r="U4487" s="12" t="s">
        <v>40</v>
      </c>
      <c r="V4487" s="12" t="s">
        <v>586</v>
      </c>
      <c r="W4487" s="12">
        <v>1200000</v>
      </c>
      <c r="X4487" s="12">
        <v>2004</v>
      </c>
      <c r="Y4487" s="12">
        <v>878</v>
      </c>
      <c r="Z4487" s="12">
        <v>7.7</v>
      </c>
      <c r="AA4487" s="12">
        <v>1.85</v>
      </c>
      <c r="AB4487" s="12">
        <v>0</v>
      </c>
      <c r="AC4487" s="12"/>
      <c r="AD4487" s="12" t="str">
        <f>IFERROR(__xludf.DUMMYFUNCTION("""COMPUTED_VALUE"""),"Fabian Bolin")</f>
        <v>Fabian Bolin</v>
      </c>
      <c r="AE4487" s="12"/>
    </row>
    <row r="4488" customHeight="1" spans="1:31">
      <c r="A4488" s="11" t="s">
        <v>30</v>
      </c>
      <c r="B4488" s="11" t="s">
        <v>4940</v>
      </c>
      <c r="C4488" s="11">
        <v>100</v>
      </c>
      <c r="D4488" s="11">
        <v>100</v>
      </c>
      <c r="E4488" s="11">
        <v>422</v>
      </c>
      <c r="F4488" s="11">
        <v>422</v>
      </c>
      <c r="G4488" s="11">
        <v>816</v>
      </c>
      <c r="H4488" s="11">
        <v>18488314</v>
      </c>
      <c r="I4488" s="11" t="s">
        <v>12489</v>
      </c>
      <c r="J4488" s="11" t="s">
        <v>11310</v>
      </c>
      <c r="K4488" s="11" t="s">
        <v>3711</v>
      </c>
      <c r="L4488" s="11" t="s">
        <v>4940</v>
      </c>
      <c r="M4488" s="11" t="s">
        <v>21284</v>
      </c>
      <c r="N4488" s="11">
        <v>76151</v>
      </c>
      <c r="O4488" s="11">
        <v>2893</v>
      </c>
      <c r="P4488" s="11">
        <v>0</v>
      </c>
      <c r="Q4488" s="11" t="s">
        <v>21285</v>
      </c>
      <c r="R4488" s="14" t="s">
        <v>21286</v>
      </c>
      <c r="S4488" s="11">
        <v>333</v>
      </c>
      <c r="T4488" s="11" t="s">
        <v>39</v>
      </c>
      <c r="U4488" s="11" t="s">
        <v>40</v>
      </c>
      <c r="V4488" s="11" t="s">
        <v>586</v>
      </c>
      <c r="W4488" s="11">
        <v>1200000</v>
      </c>
      <c r="X4488" s="11">
        <v>2001</v>
      </c>
      <c r="Y4488" s="11">
        <v>577</v>
      </c>
      <c r="Z4488" s="11">
        <v>7.1</v>
      </c>
      <c r="AA4488" s="11">
        <v>1.85</v>
      </c>
      <c r="AB4488" s="11">
        <v>0</v>
      </c>
      <c r="AC4488" s="11"/>
      <c r="AD4488" s="11" t="str">
        <f>IFERROR(__xludf.DUMMYFUNCTION("""COMPUTED_VALUE"""),"Matias Varela")</f>
        <v>Matias Varela</v>
      </c>
      <c r="AE4488" s="11"/>
    </row>
    <row r="4489" customHeight="1" spans="1:31">
      <c r="A4489" s="12" t="s">
        <v>30</v>
      </c>
      <c r="B4489" s="12" t="s">
        <v>21287</v>
      </c>
      <c r="C4489" s="12">
        <v>5</v>
      </c>
      <c r="D4489" s="12">
        <v>99</v>
      </c>
      <c r="E4489" s="12">
        <v>4</v>
      </c>
      <c r="F4489" s="12">
        <v>434</v>
      </c>
      <c r="G4489" s="12">
        <v>18000</v>
      </c>
      <c r="H4489" s="16"/>
      <c r="I4489" s="12" t="s">
        <v>1815</v>
      </c>
      <c r="J4489" s="12" t="s">
        <v>21288</v>
      </c>
      <c r="K4489" s="12" t="s">
        <v>143</v>
      </c>
      <c r="L4489" s="12" t="s">
        <v>21289</v>
      </c>
      <c r="M4489" s="12" t="s">
        <v>21290</v>
      </c>
      <c r="N4489" s="12">
        <v>101</v>
      </c>
      <c r="O4489" s="12">
        <v>20218</v>
      </c>
      <c r="P4489" s="12">
        <v>6</v>
      </c>
      <c r="Q4489" s="12" t="s">
        <v>21291</v>
      </c>
      <c r="R4489" s="15" t="s">
        <v>21292</v>
      </c>
      <c r="S4489" s="12">
        <v>1</v>
      </c>
      <c r="T4489" s="12" t="s">
        <v>39</v>
      </c>
      <c r="U4489" s="12" t="s">
        <v>40</v>
      </c>
      <c r="V4489" s="16"/>
      <c r="W4489" s="12">
        <v>1300000</v>
      </c>
      <c r="X4489" s="12">
        <v>2014</v>
      </c>
      <c r="Y4489" s="12">
        <v>748</v>
      </c>
      <c r="Z4489" s="12">
        <v>7.6</v>
      </c>
      <c r="AA4489" s="12">
        <v>1.85</v>
      </c>
      <c r="AB4489" s="12">
        <v>221</v>
      </c>
      <c r="AC4489" s="12"/>
      <c r="AD4489" s="12" t="str">
        <f>IFERROR(__xludf.DUMMYFUNCTION("""COMPUTED_VALUE"""),"Rawiri Paratene")</f>
        <v>Rawiri Paratene</v>
      </c>
      <c r="AE4489" s="12"/>
    </row>
    <row r="4490" customHeight="1" spans="1:31">
      <c r="A4490" s="11" t="s">
        <v>30</v>
      </c>
      <c r="B4490" s="11" t="s">
        <v>21293</v>
      </c>
      <c r="C4490" s="11">
        <v>50</v>
      </c>
      <c r="D4490" s="11">
        <v>89</v>
      </c>
      <c r="E4490" s="11">
        <v>0</v>
      </c>
      <c r="F4490" s="11">
        <v>3</v>
      </c>
      <c r="G4490" s="11">
        <v>31</v>
      </c>
      <c r="H4490" s="11">
        <v>11278</v>
      </c>
      <c r="I4490" s="11" t="s">
        <v>2528</v>
      </c>
      <c r="J4490" s="11" t="s">
        <v>21294</v>
      </c>
      <c r="K4490" s="11" t="s">
        <v>21295</v>
      </c>
      <c r="L4490" s="11" t="s">
        <v>21296</v>
      </c>
      <c r="M4490" s="11" t="s">
        <v>21297</v>
      </c>
      <c r="N4490" s="11">
        <v>1229</v>
      </c>
      <c r="O4490" s="11">
        <v>58</v>
      </c>
      <c r="P4490" s="11">
        <v>0</v>
      </c>
      <c r="Q4490" s="11" t="s">
        <v>21298</v>
      </c>
      <c r="R4490" s="14" t="s">
        <v>21299</v>
      </c>
      <c r="S4490" s="11">
        <v>2</v>
      </c>
      <c r="T4490" s="11" t="s">
        <v>2779</v>
      </c>
      <c r="U4490" s="11" t="s">
        <v>2914</v>
      </c>
      <c r="V4490" s="13"/>
      <c r="W4490" s="11">
        <v>1300000</v>
      </c>
      <c r="X4490" s="11">
        <v>2013</v>
      </c>
      <c r="Y4490" s="11">
        <v>24</v>
      </c>
      <c r="Z4490" s="11">
        <v>7</v>
      </c>
      <c r="AA4490" s="13"/>
      <c r="AB4490" s="11">
        <v>407</v>
      </c>
      <c r="AC4490" s="11"/>
      <c r="AD4490" s="11" t="str">
        <f>IFERROR(__xludf.DUMMYFUNCTION("""COMPUTED_VALUE"""),"Tammy Davis")</f>
        <v>Tammy Davis</v>
      </c>
      <c r="AE4490" s="11"/>
    </row>
    <row r="4491" customHeight="1" spans="1:31">
      <c r="A4491" s="12" t="s">
        <v>30</v>
      </c>
      <c r="B4491" s="12" t="s">
        <v>2683</v>
      </c>
      <c r="C4491" s="12">
        <v>276</v>
      </c>
      <c r="D4491" s="12">
        <v>104</v>
      </c>
      <c r="E4491" s="12">
        <v>301</v>
      </c>
      <c r="F4491" s="12">
        <v>71</v>
      </c>
      <c r="G4491" s="12">
        <v>18000</v>
      </c>
      <c r="H4491" s="12">
        <v>79363785</v>
      </c>
      <c r="I4491" s="12" t="s">
        <v>2684</v>
      </c>
      <c r="J4491" s="12" t="s">
        <v>588</v>
      </c>
      <c r="K4491" s="12" t="s">
        <v>599</v>
      </c>
      <c r="L4491" s="12" t="s">
        <v>2685</v>
      </c>
      <c r="M4491" s="12" t="s">
        <v>2686</v>
      </c>
      <c r="N4491" s="12">
        <v>139426</v>
      </c>
      <c r="O4491" s="12">
        <v>22194</v>
      </c>
      <c r="P4491" s="12">
        <v>0</v>
      </c>
      <c r="Q4491" s="12" t="s">
        <v>2687</v>
      </c>
      <c r="R4491" s="15" t="s">
        <v>2688</v>
      </c>
      <c r="S4491" s="12">
        <v>698</v>
      </c>
      <c r="T4491" s="12" t="s">
        <v>39</v>
      </c>
      <c r="U4491" s="12" t="s">
        <v>40</v>
      </c>
      <c r="V4491" s="12" t="s">
        <v>41</v>
      </c>
      <c r="W4491" s="12">
        <v>80000000</v>
      </c>
      <c r="X4491" s="12">
        <v>2008</v>
      </c>
      <c r="Y4491" s="12">
        <v>4000</v>
      </c>
      <c r="Z4491" s="12">
        <v>5.5</v>
      </c>
      <c r="AA4491" s="12">
        <v>2.35</v>
      </c>
      <c r="AB4491" s="12">
        <v>0</v>
      </c>
      <c r="AC4491" s="12"/>
      <c r="AD4491" s="12" t="str">
        <f>IFERROR(__xludf.DUMMYFUNCTION("""COMPUTED_VALUE"""),"Vidya Balan")</f>
        <v>Vidya Balan</v>
      </c>
      <c r="AE4491" s="12"/>
    </row>
    <row r="4492" customHeight="1" spans="1:31">
      <c r="A4492" s="11" t="s">
        <v>30</v>
      </c>
      <c r="B4492" s="11" t="s">
        <v>10307</v>
      </c>
      <c r="C4492" s="11">
        <v>137</v>
      </c>
      <c r="D4492" s="11">
        <v>114</v>
      </c>
      <c r="E4492" s="11">
        <v>300</v>
      </c>
      <c r="F4492" s="11">
        <v>73</v>
      </c>
      <c r="G4492" s="11">
        <v>307</v>
      </c>
      <c r="H4492" s="11">
        <v>13876974</v>
      </c>
      <c r="I4492" s="11" t="s">
        <v>1415</v>
      </c>
      <c r="J4492" s="11" t="s">
        <v>15259</v>
      </c>
      <c r="K4492" s="11" t="s">
        <v>21300</v>
      </c>
      <c r="L4492" s="11" t="s">
        <v>10310</v>
      </c>
      <c r="M4492" s="11" t="s">
        <v>21301</v>
      </c>
      <c r="N4492" s="11">
        <v>19397</v>
      </c>
      <c r="O4492" s="11">
        <v>809</v>
      </c>
      <c r="P4492" s="11">
        <v>0</v>
      </c>
      <c r="Q4492" s="11" t="s">
        <v>21302</v>
      </c>
      <c r="R4492" s="14" t="s">
        <v>21303</v>
      </c>
      <c r="S4492" s="11">
        <v>214</v>
      </c>
      <c r="T4492" s="11" t="s">
        <v>5612</v>
      </c>
      <c r="U4492" s="11" t="s">
        <v>5613</v>
      </c>
      <c r="V4492" s="11" t="s">
        <v>586</v>
      </c>
      <c r="W4492" s="11">
        <v>7000000</v>
      </c>
      <c r="X4492" s="11">
        <v>2001</v>
      </c>
      <c r="Y4492" s="11">
        <v>209</v>
      </c>
      <c r="Z4492" s="11">
        <v>7.4</v>
      </c>
      <c r="AA4492" s="11">
        <v>1.85</v>
      </c>
      <c r="AB4492" s="11">
        <v>0</v>
      </c>
      <c r="AC4492" s="11"/>
      <c r="AD4492" s="11" t="str">
        <f>IFERROR(__xludf.DUMMYFUNCTION("""COMPUTED_VALUE"""),"Paresh Rawal")</f>
        <v>Paresh Rawal</v>
      </c>
      <c r="AE4492" s="11"/>
    </row>
    <row r="4493" customHeight="1" spans="1:31">
      <c r="A4493" s="12" t="s">
        <v>30</v>
      </c>
      <c r="B4493" s="12" t="s">
        <v>13574</v>
      </c>
      <c r="C4493" s="12">
        <v>122</v>
      </c>
      <c r="D4493" s="12">
        <v>111</v>
      </c>
      <c r="E4493" s="12">
        <v>50</v>
      </c>
      <c r="F4493" s="12">
        <v>612</v>
      </c>
      <c r="G4493" s="12">
        <v>2000</v>
      </c>
      <c r="H4493" s="12">
        <v>9180275</v>
      </c>
      <c r="I4493" s="12" t="s">
        <v>3410</v>
      </c>
      <c r="J4493" s="12" t="s">
        <v>902</v>
      </c>
      <c r="K4493" s="12" t="s">
        <v>3287</v>
      </c>
      <c r="L4493" s="12" t="s">
        <v>2263</v>
      </c>
      <c r="M4493" s="12" t="s">
        <v>21304</v>
      </c>
      <c r="N4493" s="12">
        <v>22145</v>
      </c>
      <c r="O4493" s="12">
        <v>4288</v>
      </c>
      <c r="P4493" s="12">
        <v>0</v>
      </c>
      <c r="Q4493" s="12" t="s">
        <v>21305</v>
      </c>
      <c r="R4493" s="15" t="s">
        <v>21306</v>
      </c>
      <c r="S4493" s="12">
        <v>231</v>
      </c>
      <c r="T4493" s="12" t="s">
        <v>39</v>
      </c>
      <c r="U4493" s="12" t="s">
        <v>40</v>
      </c>
      <c r="V4493" s="12" t="s">
        <v>586</v>
      </c>
      <c r="W4493" s="12">
        <v>1200000</v>
      </c>
      <c r="X4493" s="12">
        <v>2000</v>
      </c>
      <c r="Y4493" s="12">
        <v>710</v>
      </c>
      <c r="Z4493" s="12">
        <v>7.7</v>
      </c>
      <c r="AA4493" s="12">
        <v>1.85</v>
      </c>
      <c r="AB4493" s="12">
        <v>756</v>
      </c>
      <c r="AC4493" s="12"/>
      <c r="AD4493" s="12" t="str">
        <f>IFERROR(__xludf.DUMMYFUNCTION("""COMPUTED_VALUE"""),"Yangzom Brauen")</f>
        <v>Yangzom Brauen</v>
      </c>
      <c r="AE4493" s="12"/>
    </row>
    <row r="4494" customHeight="1" spans="1:31">
      <c r="A4494" s="11" t="s">
        <v>30</v>
      </c>
      <c r="B4494" s="11" t="s">
        <v>11033</v>
      </c>
      <c r="C4494" s="11">
        <v>73</v>
      </c>
      <c r="D4494" s="11">
        <v>99</v>
      </c>
      <c r="E4494" s="11">
        <v>13000</v>
      </c>
      <c r="F4494" s="11">
        <v>232</v>
      </c>
      <c r="G4494" s="11">
        <v>282</v>
      </c>
      <c r="H4494" s="13"/>
      <c r="I4494" s="11" t="s">
        <v>13494</v>
      </c>
      <c r="J4494" s="11" t="s">
        <v>21307</v>
      </c>
      <c r="K4494" s="11" t="s">
        <v>18898</v>
      </c>
      <c r="L4494" s="11" t="s">
        <v>18227</v>
      </c>
      <c r="M4494" s="11" t="s">
        <v>21308</v>
      </c>
      <c r="N4494" s="11">
        <v>24891</v>
      </c>
      <c r="O4494" s="11">
        <v>1041</v>
      </c>
      <c r="P4494" s="11">
        <v>0</v>
      </c>
      <c r="Q4494" s="11" t="s">
        <v>21309</v>
      </c>
      <c r="R4494" s="14" t="s">
        <v>21310</v>
      </c>
      <c r="S4494" s="11">
        <v>150</v>
      </c>
      <c r="T4494" s="11" t="s">
        <v>39</v>
      </c>
      <c r="U4494" s="11" t="s">
        <v>40</v>
      </c>
      <c r="V4494" s="11" t="s">
        <v>6037</v>
      </c>
      <c r="W4494" s="11">
        <v>1200000</v>
      </c>
      <c r="X4494" s="11">
        <v>1955</v>
      </c>
      <c r="Y4494" s="11">
        <v>255</v>
      </c>
      <c r="Z4494" s="11">
        <v>7.2</v>
      </c>
      <c r="AA4494" s="11">
        <v>1.5</v>
      </c>
      <c r="AB4494" s="11">
        <v>0</v>
      </c>
      <c r="AC4494" s="11"/>
      <c r="AD4494" s="11" t="str">
        <f>IFERROR(__xludf.DUMMYFUNCTION("""COMPUTED_VALUE"""),"Claude-Oliver Rudolph")</f>
        <v>Claude-Oliver Rudolph</v>
      </c>
      <c r="AE4494" s="11"/>
    </row>
    <row r="4495" customHeight="1" spans="1:31">
      <c r="A4495" s="12" t="s">
        <v>30</v>
      </c>
      <c r="B4495" s="12" t="s">
        <v>6047</v>
      </c>
      <c r="C4495" s="12">
        <v>202</v>
      </c>
      <c r="D4495" s="12">
        <v>110</v>
      </c>
      <c r="E4495" s="12">
        <v>118</v>
      </c>
      <c r="F4495" s="12">
        <v>1000</v>
      </c>
      <c r="G4495" s="12">
        <v>13000</v>
      </c>
      <c r="H4495" s="12">
        <v>22494487</v>
      </c>
      <c r="I4495" s="12" t="s">
        <v>2142</v>
      </c>
      <c r="J4495" s="12" t="s">
        <v>978</v>
      </c>
      <c r="K4495" s="12" t="s">
        <v>466</v>
      </c>
      <c r="L4495" s="12" t="s">
        <v>2730</v>
      </c>
      <c r="M4495" s="12" t="s">
        <v>9126</v>
      </c>
      <c r="N4495" s="12">
        <v>262160</v>
      </c>
      <c r="O4495" s="12">
        <v>26451</v>
      </c>
      <c r="P4495" s="12">
        <v>3</v>
      </c>
      <c r="Q4495" s="12" t="s">
        <v>9127</v>
      </c>
      <c r="R4495" s="15" t="s">
        <v>9128</v>
      </c>
      <c r="S4495" s="12">
        <v>507</v>
      </c>
      <c r="T4495" s="12" t="s">
        <v>39</v>
      </c>
      <c r="U4495" s="12" t="s">
        <v>768</v>
      </c>
      <c r="V4495" s="12" t="s">
        <v>586</v>
      </c>
      <c r="W4495" s="12">
        <v>27000000</v>
      </c>
      <c r="X4495" s="12">
        <v>2006</v>
      </c>
      <c r="Y4495" s="12">
        <v>11000</v>
      </c>
      <c r="Z4495" s="12">
        <v>7.8</v>
      </c>
      <c r="AA4495" s="12">
        <v>2.35</v>
      </c>
      <c r="AB4495" s="12">
        <v>10000</v>
      </c>
      <c r="AC4495" s="12"/>
      <c r="AD4495" s="12" t="str">
        <f>IFERROR(__xludf.DUMMYFUNCTION("""COMPUTED_VALUE"""),"Anna Katharina Schwabroh")</f>
        <v>Anna Katharina Schwabroh</v>
      </c>
      <c r="AE4495" s="12"/>
    </row>
    <row r="4496" customHeight="1" spans="1:31">
      <c r="A4496" s="11" t="s">
        <v>30</v>
      </c>
      <c r="B4496" s="11" t="s">
        <v>21311</v>
      </c>
      <c r="C4496" s="11">
        <v>99</v>
      </c>
      <c r="D4496" s="11">
        <v>85</v>
      </c>
      <c r="E4496" s="11">
        <v>91</v>
      </c>
      <c r="F4496" s="11">
        <v>849</v>
      </c>
      <c r="G4496" s="11">
        <v>1000</v>
      </c>
      <c r="H4496" s="11">
        <v>2199853</v>
      </c>
      <c r="I4496" s="11" t="s">
        <v>2528</v>
      </c>
      <c r="J4496" s="11" t="s">
        <v>3752</v>
      </c>
      <c r="K4496" s="11" t="s">
        <v>6005</v>
      </c>
      <c r="L4496" s="11" t="s">
        <v>8572</v>
      </c>
      <c r="M4496" s="11" t="s">
        <v>21312</v>
      </c>
      <c r="N4496" s="11">
        <v>19986</v>
      </c>
      <c r="O4496" s="11">
        <v>4289</v>
      </c>
      <c r="P4496" s="11">
        <v>1</v>
      </c>
      <c r="Q4496" s="11" t="s">
        <v>21313</v>
      </c>
      <c r="R4496" s="14" t="s">
        <v>21314</v>
      </c>
      <c r="S4496" s="11">
        <v>186</v>
      </c>
      <c r="T4496" s="11" t="s">
        <v>39</v>
      </c>
      <c r="U4496" s="11" t="s">
        <v>40</v>
      </c>
      <c r="V4496" s="11" t="s">
        <v>586</v>
      </c>
      <c r="W4496" s="11">
        <v>1200000</v>
      </c>
      <c r="X4496" s="11">
        <v>1999</v>
      </c>
      <c r="Y4496" s="11">
        <v>1000</v>
      </c>
      <c r="Z4496" s="11">
        <v>6.6</v>
      </c>
      <c r="AA4496" s="11">
        <v>1.85</v>
      </c>
      <c r="AB4496" s="11">
        <v>0</v>
      </c>
      <c r="AC4496" s="11"/>
      <c r="AD4496" s="11" t="str">
        <f>IFERROR(__xludf.DUMMYFUNCTION("""COMPUTED_VALUE"""),"Aleksey Chadov")</f>
        <v>Aleksey Chadov</v>
      </c>
      <c r="AE4496" s="11"/>
    </row>
    <row r="4497" customHeight="1" spans="1:31">
      <c r="A4497" s="12" t="s">
        <v>30</v>
      </c>
      <c r="B4497" s="12" t="s">
        <v>21315</v>
      </c>
      <c r="C4497" s="12">
        <v>10</v>
      </c>
      <c r="D4497" s="12">
        <v>113</v>
      </c>
      <c r="E4497" s="12">
        <v>29</v>
      </c>
      <c r="F4497" s="12">
        <v>449</v>
      </c>
      <c r="G4497" s="12">
        <v>890</v>
      </c>
      <c r="H4497" s="12">
        <v>2859955</v>
      </c>
      <c r="I4497" s="12" t="s">
        <v>3794</v>
      </c>
      <c r="J4497" s="12" t="s">
        <v>634</v>
      </c>
      <c r="K4497" s="12" t="s">
        <v>15414</v>
      </c>
      <c r="L4497" s="12" t="s">
        <v>6278</v>
      </c>
      <c r="M4497" s="12" t="s">
        <v>21316</v>
      </c>
      <c r="N4497" s="12">
        <v>2417</v>
      </c>
      <c r="O4497" s="12">
        <v>2681</v>
      </c>
      <c r="P4497" s="12">
        <v>2</v>
      </c>
      <c r="Q4497" s="12" t="s">
        <v>21317</v>
      </c>
      <c r="R4497" s="15" t="s">
        <v>21318</v>
      </c>
      <c r="S4497" s="12">
        <v>32</v>
      </c>
      <c r="T4497" s="12" t="s">
        <v>39</v>
      </c>
      <c r="U4497" s="12" t="s">
        <v>40</v>
      </c>
      <c r="V4497" s="12" t="s">
        <v>41</v>
      </c>
      <c r="W4497" s="12">
        <v>1200000</v>
      </c>
      <c r="X4497" s="12">
        <v>2013</v>
      </c>
      <c r="Y4497" s="12">
        <v>848</v>
      </c>
      <c r="Z4497" s="12">
        <v>6</v>
      </c>
      <c r="AA4497" s="12">
        <v>2.35</v>
      </c>
      <c r="AB4497" s="12">
        <v>0</v>
      </c>
      <c r="AC4497" s="12"/>
      <c r="AD4497" s="12" t="str">
        <f>IFERROR(__xludf.DUMMYFUNCTION("""COMPUTED_VALUE"""),"Zhanna Friske")</f>
        <v>Zhanna Friske</v>
      </c>
      <c r="AE4497" s="12"/>
    </row>
    <row r="4498" customHeight="1" spans="1:31">
      <c r="A4498" s="11" t="s">
        <v>30</v>
      </c>
      <c r="B4498" s="11" t="s">
        <v>1765</v>
      </c>
      <c r="C4498" s="11">
        <v>173</v>
      </c>
      <c r="D4498" s="11">
        <v>99</v>
      </c>
      <c r="E4498" s="11">
        <v>16000</v>
      </c>
      <c r="F4498" s="11">
        <v>455</v>
      </c>
      <c r="G4498" s="11">
        <v>16000</v>
      </c>
      <c r="H4498" s="11">
        <v>2812029</v>
      </c>
      <c r="I4498" s="11" t="s">
        <v>2126</v>
      </c>
      <c r="J4498" s="11" t="s">
        <v>1765</v>
      </c>
      <c r="K4498" s="11" t="s">
        <v>272</v>
      </c>
      <c r="L4498" s="11" t="s">
        <v>4528</v>
      </c>
      <c r="M4498" s="11" t="s">
        <v>21319</v>
      </c>
      <c r="N4498" s="11">
        <v>664719</v>
      </c>
      <c r="O4498" s="11">
        <v>28994</v>
      </c>
      <c r="P4498" s="11">
        <v>0</v>
      </c>
      <c r="Q4498" s="11" t="s">
        <v>21320</v>
      </c>
      <c r="R4498" s="14" t="s">
        <v>21321</v>
      </c>
      <c r="S4498" s="11">
        <v>931</v>
      </c>
      <c r="T4498" s="11" t="s">
        <v>39</v>
      </c>
      <c r="U4498" s="11" t="s">
        <v>40</v>
      </c>
      <c r="V4498" s="11" t="s">
        <v>586</v>
      </c>
      <c r="W4498" s="11">
        <v>1200000</v>
      </c>
      <c r="X4498" s="11">
        <v>1992</v>
      </c>
      <c r="Y4498" s="11">
        <v>12000</v>
      </c>
      <c r="Z4498" s="11">
        <v>8.4</v>
      </c>
      <c r="AA4498" s="11">
        <v>2.35</v>
      </c>
      <c r="AB4498" s="11">
        <v>19000</v>
      </c>
      <c r="AC4498" s="11"/>
      <c r="AD4498" s="11" t="str">
        <f>IFERROR(__xludf.DUMMYFUNCTION("""COMPUTED_VALUE"""),"Art Hindle")</f>
        <v>Art Hindle</v>
      </c>
      <c r="AE4498" s="11"/>
    </row>
    <row r="4499" customHeight="1" spans="1:31">
      <c r="A4499" s="12" t="s">
        <v>748</v>
      </c>
      <c r="B4499" s="12" t="s">
        <v>18248</v>
      </c>
      <c r="C4499" s="12">
        <v>7</v>
      </c>
      <c r="D4499" s="12">
        <v>83</v>
      </c>
      <c r="E4499" s="12">
        <v>9</v>
      </c>
      <c r="F4499" s="12">
        <v>51</v>
      </c>
      <c r="G4499" s="12">
        <v>94</v>
      </c>
      <c r="H4499" s="16"/>
      <c r="I4499" s="12" t="s">
        <v>5851</v>
      </c>
      <c r="J4499" s="12" t="s">
        <v>21322</v>
      </c>
      <c r="K4499" s="12" t="s">
        <v>21323</v>
      </c>
      <c r="L4499" s="12" t="s">
        <v>21324</v>
      </c>
      <c r="M4499" s="12" t="s">
        <v>21325</v>
      </c>
      <c r="N4499" s="12">
        <v>1047</v>
      </c>
      <c r="O4499" s="12">
        <v>293</v>
      </c>
      <c r="P4499" s="12">
        <v>1</v>
      </c>
      <c r="Q4499" s="12" t="s">
        <v>21326</v>
      </c>
      <c r="R4499" s="15" t="s">
        <v>21327</v>
      </c>
      <c r="S4499" s="12">
        <v>25</v>
      </c>
      <c r="T4499" s="12" t="s">
        <v>39</v>
      </c>
      <c r="U4499" s="12" t="s">
        <v>40</v>
      </c>
      <c r="V4499" s="12" t="s">
        <v>6037</v>
      </c>
      <c r="W4499" s="16"/>
      <c r="X4499" s="12">
        <v>1940</v>
      </c>
      <c r="Y4499" s="12">
        <v>62</v>
      </c>
      <c r="Z4499" s="12">
        <v>6.5</v>
      </c>
      <c r="AA4499" s="12">
        <v>1.37</v>
      </c>
      <c r="AB4499" s="12">
        <v>548</v>
      </c>
      <c r="AC4499" s="12"/>
      <c r="AD4499" s="12" t="str">
        <f>IFERROR(__xludf.DUMMYFUNCTION("""COMPUTED_VALUE"""),"Susan Clark")</f>
        <v>Susan Clark</v>
      </c>
      <c r="AE4499" s="12"/>
    </row>
    <row r="4500" customHeight="1" spans="1:31">
      <c r="A4500" s="11" t="s">
        <v>30</v>
      </c>
      <c r="B4500" s="11" t="s">
        <v>8663</v>
      </c>
      <c r="C4500" s="11">
        <v>181</v>
      </c>
      <c r="D4500" s="11">
        <v>142</v>
      </c>
      <c r="E4500" s="11">
        <v>0</v>
      </c>
      <c r="F4500" s="11">
        <v>24</v>
      </c>
      <c r="G4500" s="11">
        <v>16000</v>
      </c>
      <c r="H4500" s="11">
        <v>6100000</v>
      </c>
      <c r="I4500" s="11" t="s">
        <v>15011</v>
      </c>
      <c r="J4500" s="11" t="s">
        <v>3695</v>
      </c>
      <c r="K4500" s="11" t="s">
        <v>21328</v>
      </c>
      <c r="L4500" s="11" t="s">
        <v>21329</v>
      </c>
      <c r="M4500" s="11" t="s">
        <v>21330</v>
      </c>
      <c r="N4500" s="11">
        <v>503509</v>
      </c>
      <c r="O4500" s="11">
        <v>16089</v>
      </c>
      <c r="P4500" s="11">
        <v>3</v>
      </c>
      <c r="Q4500" s="11" t="s">
        <v>21331</v>
      </c>
      <c r="R4500" s="14" t="s">
        <v>21332</v>
      </c>
      <c r="S4500" s="11">
        <v>780</v>
      </c>
      <c r="T4500" s="11" t="s">
        <v>9796</v>
      </c>
      <c r="U4500" s="11" t="s">
        <v>7091</v>
      </c>
      <c r="V4500" s="11" t="s">
        <v>6037</v>
      </c>
      <c r="W4500" s="11">
        <v>1200000</v>
      </c>
      <c r="X4500" s="11">
        <v>1966</v>
      </c>
      <c r="Y4500" s="11">
        <v>34</v>
      </c>
      <c r="Z4500" s="11">
        <v>8.9</v>
      </c>
      <c r="AA4500" s="11">
        <v>2.35</v>
      </c>
      <c r="AB4500" s="11">
        <v>20000</v>
      </c>
      <c r="AC4500" s="11"/>
      <c r="AD4500" s="11" t="str">
        <f>IFERROR(__xludf.DUMMYFUNCTION("""COMPUTED_VALUE"""),"Tony Ganios")</f>
        <v>Tony Ganios</v>
      </c>
      <c r="AE4500" s="11"/>
    </row>
    <row r="4501" customHeight="1" spans="1:31">
      <c r="A4501" s="12" t="s">
        <v>30</v>
      </c>
      <c r="B4501" s="12" t="s">
        <v>21333</v>
      </c>
      <c r="C4501" s="12">
        <v>111</v>
      </c>
      <c r="D4501" s="12">
        <v>112</v>
      </c>
      <c r="E4501" s="12">
        <v>9</v>
      </c>
      <c r="F4501" s="12">
        <v>4</v>
      </c>
      <c r="G4501" s="12">
        <v>61</v>
      </c>
      <c r="H4501" s="12">
        <v>375723</v>
      </c>
      <c r="I4501" s="12" t="s">
        <v>2528</v>
      </c>
      <c r="J4501" s="12" t="s">
        <v>21334</v>
      </c>
      <c r="K4501" s="12" t="s">
        <v>21335</v>
      </c>
      <c r="L4501" s="12" t="s">
        <v>21336</v>
      </c>
      <c r="M4501" s="12" t="s">
        <v>21337</v>
      </c>
      <c r="N4501" s="12">
        <v>7025</v>
      </c>
      <c r="O4501" s="12">
        <v>76</v>
      </c>
      <c r="P4501" s="12">
        <v>1</v>
      </c>
      <c r="Q4501" s="12" t="s">
        <v>21338</v>
      </c>
      <c r="R4501" s="15" t="s">
        <v>21339</v>
      </c>
      <c r="S4501" s="12">
        <v>26</v>
      </c>
      <c r="T4501" s="12" t="s">
        <v>14504</v>
      </c>
      <c r="U4501" s="12" t="s">
        <v>16841</v>
      </c>
      <c r="V4501" s="12" t="s">
        <v>586</v>
      </c>
      <c r="W4501" s="12">
        <v>4000000</v>
      </c>
      <c r="X4501" s="12">
        <v>2015</v>
      </c>
      <c r="Y4501" s="12">
        <v>9</v>
      </c>
      <c r="Z4501" s="12">
        <v>7.9</v>
      </c>
      <c r="AA4501" s="12">
        <v>2.35</v>
      </c>
      <c r="AB4501" s="12">
        <v>0</v>
      </c>
      <c r="AC4501" s="12"/>
      <c r="AD4501" s="12" t="str">
        <f>IFERROR(__xludf.DUMMYFUNCTION("""COMPUTED_VALUE"""),"Kathleen Munroe")</f>
        <v>Kathleen Munroe</v>
      </c>
      <c r="AE4501" s="12"/>
    </row>
    <row r="4502" customHeight="1" spans="1:31">
      <c r="A4502" s="11" t="s">
        <v>30</v>
      </c>
      <c r="B4502" s="11" t="s">
        <v>21340</v>
      </c>
      <c r="C4502" s="11">
        <v>38</v>
      </c>
      <c r="D4502" s="11">
        <v>108</v>
      </c>
      <c r="E4502" s="11">
        <v>14</v>
      </c>
      <c r="F4502" s="11">
        <v>274</v>
      </c>
      <c r="G4502" s="11">
        <v>1000</v>
      </c>
      <c r="H4502" s="11">
        <v>594904</v>
      </c>
      <c r="I4502" s="11" t="s">
        <v>2528</v>
      </c>
      <c r="J4502" s="11" t="s">
        <v>7044</v>
      </c>
      <c r="K4502" s="11" t="s">
        <v>21341</v>
      </c>
      <c r="L4502" s="11" t="s">
        <v>21342</v>
      </c>
      <c r="M4502" s="11" t="s">
        <v>21343</v>
      </c>
      <c r="N4502" s="11">
        <v>2582</v>
      </c>
      <c r="O4502" s="11">
        <v>1805</v>
      </c>
      <c r="P4502" s="11">
        <v>0</v>
      </c>
      <c r="Q4502" s="11" t="s">
        <v>21344</v>
      </c>
      <c r="R4502" s="14" t="s">
        <v>21345</v>
      </c>
      <c r="S4502" s="11">
        <v>89</v>
      </c>
      <c r="T4502" s="11" t="s">
        <v>39</v>
      </c>
      <c r="U4502" s="11" t="s">
        <v>40</v>
      </c>
      <c r="V4502" s="11" t="s">
        <v>41</v>
      </c>
      <c r="W4502" s="11">
        <v>1200000</v>
      </c>
      <c r="X4502" s="11">
        <v>2012</v>
      </c>
      <c r="Y4502" s="11">
        <v>330</v>
      </c>
      <c r="Z4502" s="11">
        <v>6</v>
      </c>
      <c r="AA4502" s="11">
        <v>1.85</v>
      </c>
      <c r="AB4502" s="11">
        <v>0</v>
      </c>
      <c r="AC4502" s="11"/>
      <c r="AD4502" s="11" t="str">
        <f>IFERROR(__xludf.DUMMYFUNCTION("""COMPUTED_VALUE"""),"Judith O'Dea")</f>
        <v>Judith O'Dea</v>
      </c>
      <c r="AE4502" s="11"/>
    </row>
    <row r="4503" customHeight="1" spans="1:31">
      <c r="A4503" s="12" t="s">
        <v>30</v>
      </c>
      <c r="B4503" s="12" t="s">
        <v>21346</v>
      </c>
      <c r="C4503" s="12">
        <v>12</v>
      </c>
      <c r="D4503" s="12">
        <v>88</v>
      </c>
      <c r="E4503" s="12">
        <v>0</v>
      </c>
      <c r="F4503" s="12">
        <v>3</v>
      </c>
      <c r="G4503" s="12">
        <v>268</v>
      </c>
      <c r="H4503" s="12">
        <v>58936</v>
      </c>
      <c r="I4503" s="12" t="s">
        <v>6419</v>
      </c>
      <c r="J4503" s="12" t="s">
        <v>21347</v>
      </c>
      <c r="K4503" s="12" t="s">
        <v>21348</v>
      </c>
      <c r="L4503" s="12" t="s">
        <v>21349</v>
      </c>
      <c r="M4503" s="12" t="s">
        <v>21350</v>
      </c>
      <c r="N4503" s="12">
        <v>91</v>
      </c>
      <c r="O4503" s="12">
        <v>318</v>
      </c>
      <c r="P4503" s="12">
        <v>0</v>
      </c>
      <c r="Q4503" s="12" t="s">
        <v>21351</v>
      </c>
      <c r="R4503" s="15" t="s">
        <v>21352</v>
      </c>
      <c r="S4503" s="12">
        <v>4</v>
      </c>
      <c r="T4503" s="12" t="s">
        <v>39</v>
      </c>
      <c r="U4503" s="12" t="s">
        <v>40</v>
      </c>
      <c r="V4503" s="12" t="s">
        <v>586</v>
      </c>
      <c r="W4503" s="12">
        <v>1200000</v>
      </c>
      <c r="X4503" s="12">
        <v>2001</v>
      </c>
      <c r="Y4503" s="12">
        <v>44</v>
      </c>
      <c r="Z4503" s="12">
        <v>6.1</v>
      </c>
      <c r="AA4503" s="12">
        <v>1.78</v>
      </c>
      <c r="AB4503" s="12">
        <v>27</v>
      </c>
      <c r="AC4503" s="12"/>
      <c r="AD4503" s="12" t="str">
        <f>IFERROR(__xludf.DUMMYFUNCTION("""COMPUTED_VALUE"""),"Duane Jones")</f>
        <v>Duane Jones</v>
      </c>
      <c r="AE4503" s="12"/>
    </row>
    <row r="4504" customHeight="1" spans="1:31">
      <c r="A4504" s="11" t="s">
        <v>30</v>
      </c>
      <c r="B4504" s="11" t="s">
        <v>14740</v>
      </c>
      <c r="C4504" s="11">
        <v>23</v>
      </c>
      <c r="D4504" s="11">
        <v>97</v>
      </c>
      <c r="E4504" s="11">
        <v>4</v>
      </c>
      <c r="F4504" s="13"/>
      <c r="G4504" s="13"/>
      <c r="H4504" s="11">
        <v>24784</v>
      </c>
      <c r="I4504" s="11" t="s">
        <v>68</v>
      </c>
      <c r="J4504" s="13"/>
      <c r="K4504" s="13"/>
      <c r="L4504" s="13"/>
      <c r="M4504" s="11" t="s">
        <v>21353</v>
      </c>
      <c r="N4504" s="11">
        <v>591</v>
      </c>
      <c r="O4504" s="11">
        <v>0</v>
      </c>
      <c r="P4504" s="11">
        <v>0</v>
      </c>
      <c r="Q4504" s="11" t="s">
        <v>21354</v>
      </c>
      <c r="R4504" s="14" t="s">
        <v>21355</v>
      </c>
      <c r="S4504" s="11">
        <v>10</v>
      </c>
      <c r="T4504" s="11" t="s">
        <v>39</v>
      </c>
      <c r="U4504" s="11" t="s">
        <v>269</v>
      </c>
      <c r="V4504" s="11" t="s">
        <v>4831</v>
      </c>
      <c r="W4504" s="11">
        <v>1200000</v>
      </c>
      <c r="X4504" s="11">
        <v>2011</v>
      </c>
      <c r="Y4504" s="13"/>
      <c r="Z4504" s="11">
        <v>7.4</v>
      </c>
      <c r="AA4504" s="13"/>
      <c r="AB4504" s="11">
        <v>5000</v>
      </c>
      <c r="AC4504" s="11"/>
      <c r="AD4504" s="11" t="str">
        <f>IFERROR(__xludf.DUMMYFUNCTION("""COMPUTED_VALUE"""),"S. William Hinzman")</f>
        <v>S. William Hinzman</v>
      </c>
      <c r="AE4504" s="11"/>
    </row>
    <row r="4505" customHeight="1" spans="1:31">
      <c r="A4505" s="12" t="s">
        <v>30</v>
      </c>
      <c r="B4505" s="12" t="s">
        <v>21356</v>
      </c>
      <c r="C4505" s="12">
        <v>17</v>
      </c>
      <c r="D4505" s="12">
        <v>85</v>
      </c>
      <c r="E4505" s="12">
        <v>0</v>
      </c>
      <c r="F4505" s="12">
        <v>924</v>
      </c>
      <c r="G4505" s="12">
        <v>49000</v>
      </c>
      <c r="H4505" s="12">
        <v>7826</v>
      </c>
      <c r="I4505" s="12" t="s">
        <v>17534</v>
      </c>
      <c r="J4505" s="12" t="s">
        <v>811</v>
      </c>
      <c r="K4505" s="12" t="s">
        <v>623</v>
      </c>
      <c r="L4505" s="12" t="s">
        <v>2961</v>
      </c>
      <c r="M4505" s="12" t="s">
        <v>21357</v>
      </c>
      <c r="N4505" s="12">
        <v>132</v>
      </c>
      <c r="O4505" s="12">
        <v>54484</v>
      </c>
      <c r="P4505" s="12">
        <v>10</v>
      </c>
      <c r="Q4505" s="12" t="s">
        <v>21358</v>
      </c>
      <c r="R4505" s="15" t="s">
        <v>21359</v>
      </c>
      <c r="S4505" s="12">
        <v>2</v>
      </c>
      <c r="T4505" s="12" t="s">
        <v>39</v>
      </c>
      <c r="U4505" s="12" t="s">
        <v>40</v>
      </c>
      <c r="V4505" s="16"/>
      <c r="W4505" s="12">
        <v>1200000</v>
      </c>
      <c r="X4505" s="12">
        <v>2007</v>
      </c>
      <c r="Y4505" s="12">
        <v>931</v>
      </c>
      <c r="Z4505" s="12">
        <v>6.2</v>
      </c>
      <c r="AA4505" s="16"/>
      <c r="AB4505" s="12">
        <v>87</v>
      </c>
      <c r="AC4505" s="12"/>
      <c r="AD4505" s="12" t="str">
        <f>IFERROR(__xludf.DUMMYFUNCTION("""COMPUTED_VALUE"""),"Catherine Lambert")</f>
        <v>Catherine Lambert</v>
      </c>
      <c r="AE4505" s="12"/>
    </row>
    <row r="4506" customHeight="1" spans="1:31">
      <c r="A4506" s="11" t="s">
        <v>30</v>
      </c>
      <c r="B4506" s="11" t="s">
        <v>21360</v>
      </c>
      <c r="C4506" s="11">
        <v>9</v>
      </c>
      <c r="D4506" s="11">
        <v>103</v>
      </c>
      <c r="E4506" s="11">
        <v>0</v>
      </c>
      <c r="F4506" s="11">
        <v>24</v>
      </c>
      <c r="G4506" s="11">
        <v>34</v>
      </c>
      <c r="H4506" s="13"/>
      <c r="I4506" s="11" t="s">
        <v>3410</v>
      </c>
      <c r="J4506" s="11" t="s">
        <v>21361</v>
      </c>
      <c r="K4506" s="11" t="s">
        <v>21362</v>
      </c>
      <c r="L4506" s="11" t="s">
        <v>21363</v>
      </c>
      <c r="M4506" s="11" t="s">
        <v>21364</v>
      </c>
      <c r="N4506" s="11">
        <v>4068</v>
      </c>
      <c r="O4506" s="11">
        <v>114</v>
      </c>
      <c r="P4506" s="11">
        <v>1</v>
      </c>
      <c r="Q4506" s="11" t="s">
        <v>21365</v>
      </c>
      <c r="R4506" s="14" t="s">
        <v>21366</v>
      </c>
      <c r="S4506" s="11">
        <v>16</v>
      </c>
      <c r="T4506" s="11" t="s">
        <v>1465</v>
      </c>
      <c r="U4506" s="11" t="s">
        <v>1466</v>
      </c>
      <c r="V4506" s="13"/>
      <c r="W4506" s="11">
        <v>1500000</v>
      </c>
      <c r="X4506" s="11">
        <v>2011</v>
      </c>
      <c r="Y4506" s="11">
        <v>29</v>
      </c>
      <c r="Z4506" s="11">
        <v>5.6</v>
      </c>
      <c r="AA4506" s="11">
        <v>1.78</v>
      </c>
      <c r="AB4506" s="11">
        <v>754</v>
      </c>
      <c r="AC4506" s="11"/>
      <c r="AD4506" s="11" t="str">
        <f>IFERROR(__xludf.DUMMYFUNCTION("""COMPUTED_VALUE"""),"Gloria Grahame")</f>
        <v>Gloria Grahame</v>
      </c>
      <c r="AE4506" s="11"/>
    </row>
    <row r="4507" customHeight="1" spans="1:31">
      <c r="A4507" s="12" t="s">
        <v>30</v>
      </c>
      <c r="B4507" s="12" t="s">
        <v>21367</v>
      </c>
      <c r="C4507" s="12">
        <v>1</v>
      </c>
      <c r="D4507" s="12">
        <v>110</v>
      </c>
      <c r="E4507" s="12">
        <v>0</v>
      </c>
      <c r="F4507" s="12">
        <v>0</v>
      </c>
      <c r="G4507" s="12">
        <v>3</v>
      </c>
      <c r="H4507" s="12">
        <v>3830</v>
      </c>
      <c r="I4507" s="12" t="s">
        <v>2528</v>
      </c>
      <c r="J4507" s="12" t="s">
        <v>21368</v>
      </c>
      <c r="K4507" s="12" t="s">
        <v>21369</v>
      </c>
      <c r="L4507" s="12" t="s">
        <v>21370</v>
      </c>
      <c r="M4507" s="12" t="s">
        <v>21371</v>
      </c>
      <c r="N4507" s="12">
        <v>27</v>
      </c>
      <c r="O4507" s="12">
        <v>5</v>
      </c>
      <c r="P4507" s="12">
        <v>3</v>
      </c>
      <c r="Q4507" s="16"/>
      <c r="R4507" s="15" t="s">
        <v>21372</v>
      </c>
      <c r="S4507" s="12">
        <v>1</v>
      </c>
      <c r="T4507" s="12" t="s">
        <v>2779</v>
      </c>
      <c r="U4507" s="12" t="s">
        <v>40</v>
      </c>
      <c r="V4507" s="16"/>
      <c r="W4507" s="12">
        <v>1200000</v>
      </c>
      <c r="X4507" s="12">
        <v>2013</v>
      </c>
      <c r="Y4507" s="12">
        <v>2</v>
      </c>
      <c r="Z4507" s="12">
        <v>7.2</v>
      </c>
      <c r="AA4507" s="16"/>
      <c r="AB4507" s="12">
        <v>75</v>
      </c>
      <c r="AC4507" s="12"/>
      <c r="AD4507" s="12" t="str">
        <f>IFERROR(__xludf.DUMMYFUNCTION("""COMPUTED_VALUE"""),"Dorothy Lamour")</f>
        <v>Dorothy Lamour</v>
      </c>
      <c r="AE4507" s="12"/>
    </row>
    <row r="4508" customHeight="1" spans="1:31">
      <c r="A4508" s="11" t="s">
        <v>30</v>
      </c>
      <c r="B4508" s="11" t="s">
        <v>21373</v>
      </c>
      <c r="C4508" s="11">
        <v>51</v>
      </c>
      <c r="D4508" s="11">
        <v>88</v>
      </c>
      <c r="E4508" s="11">
        <v>4</v>
      </c>
      <c r="F4508" s="11">
        <v>95</v>
      </c>
      <c r="G4508" s="11">
        <v>690</v>
      </c>
      <c r="H4508" s="13"/>
      <c r="I4508" s="11" t="s">
        <v>5384</v>
      </c>
      <c r="J4508" s="11" t="s">
        <v>7689</v>
      </c>
      <c r="K4508" s="11" t="s">
        <v>8248</v>
      </c>
      <c r="L4508" s="11" t="s">
        <v>21374</v>
      </c>
      <c r="M4508" s="11" t="s">
        <v>21375</v>
      </c>
      <c r="N4508" s="11">
        <v>2953</v>
      </c>
      <c r="O4508" s="11">
        <v>1438</v>
      </c>
      <c r="P4508" s="11">
        <v>1</v>
      </c>
      <c r="Q4508" s="11" t="s">
        <v>21376</v>
      </c>
      <c r="R4508" s="14" t="s">
        <v>21377</v>
      </c>
      <c r="S4508" s="11">
        <v>38</v>
      </c>
      <c r="T4508" s="11" t="s">
        <v>39</v>
      </c>
      <c r="U4508" s="11" t="s">
        <v>40</v>
      </c>
      <c r="V4508" s="11" t="s">
        <v>41</v>
      </c>
      <c r="W4508" s="13"/>
      <c r="X4508" s="11">
        <v>2003</v>
      </c>
      <c r="Y4508" s="11">
        <v>316</v>
      </c>
      <c r="Z4508" s="11">
        <v>6.1</v>
      </c>
      <c r="AA4508" s="11">
        <v>1.85</v>
      </c>
      <c r="AB4508" s="11">
        <v>480</v>
      </c>
      <c r="AC4508" s="11"/>
      <c r="AD4508" s="11" t="str">
        <f>IFERROR(__xludf.DUMMYFUNCTION("""COMPUTED_VALUE"""),"Cornel Wilde")</f>
        <v>Cornel Wilde</v>
      </c>
      <c r="AE4508" s="11"/>
    </row>
    <row r="4509" customHeight="1" spans="1:31">
      <c r="A4509" s="12" t="s">
        <v>30</v>
      </c>
      <c r="B4509" s="12" t="s">
        <v>21378</v>
      </c>
      <c r="C4509" s="12">
        <v>14</v>
      </c>
      <c r="D4509" s="12">
        <v>76</v>
      </c>
      <c r="E4509" s="12">
        <v>0</v>
      </c>
      <c r="F4509" s="12">
        <v>227</v>
      </c>
      <c r="G4509" s="12">
        <v>387</v>
      </c>
      <c r="H4509" s="16"/>
      <c r="I4509" s="12" t="s">
        <v>1672</v>
      </c>
      <c r="J4509" s="12" t="s">
        <v>21379</v>
      </c>
      <c r="K4509" s="12" t="s">
        <v>10804</v>
      </c>
      <c r="L4509" s="12" t="s">
        <v>2988</v>
      </c>
      <c r="M4509" s="12" t="s">
        <v>21380</v>
      </c>
      <c r="N4509" s="12">
        <v>9560</v>
      </c>
      <c r="O4509" s="12">
        <v>1190</v>
      </c>
      <c r="P4509" s="12">
        <v>6</v>
      </c>
      <c r="Q4509" s="12" t="s">
        <v>21381</v>
      </c>
      <c r="R4509" s="15" t="s">
        <v>21382</v>
      </c>
      <c r="S4509" s="12">
        <v>35</v>
      </c>
      <c r="T4509" s="12" t="s">
        <v>39</v>
      </c>
      <c r="U4509" s="12" t="s">
        <v>40</v>
      </c>
      <c r="V4509" s="12" t="s">
        <v>586</v>
      </c>
      <c r="W4509" s="16"/>
      <c r="X4509" s="12">
        <v>2008</v>
      </c>
      <c r="Y4509" s="12">
        <v>295</v>
      </c>
      <c r="Z4509" s="12">
        <v>3.8</v>
      </c>
      <c r="AA4509" s="12">
        <v>1.85</v>
      </c>
      <c r="AB4509" s="12">
        <v>636</v>
      </c>
      <c r="AC4509" s="12"/>
      <c r="AD4509" s="12" t="str">
        <f>IFERROR(__xludf.DUMMYFUNCTION("""COMPUTED_VALUE"""),"Marcus Lyle Brown")</f>
        <v>Marcus Lyle Brown</v>
      </c>
      <c r="AE4509" s="12"/>
    </row>
    <row r="4510" customHeight="1" spans="1:31">
      <c r="A4510" s="11" t="s">
        <v>748</v>
      </c>
      <c r="B4510" s="11" t="s">
        <v>17687</v>
      </c>
      <c r="C4510" s="11">
        <v>24</v>
      </c>
      <c r="D4510" s="11">
        <v>100</v>
      </c>
      <c r="E4510" s="11">
        <v>345</v>
      </c>
      <c r="F4510" s="11">
        <v>94</v>
      </c>
      <c r="G4510" s="11">
        <v>843</v>
      </c>
      <c r="H4510" s="13"/>
      <c r="I4510" s="11" t="s">
        <v>21383</v>
      </c>
      <c r="J4510" s="11" t="s">
        <v>21384</v>
      </c>
      <c r="K4510" s="11" t="s">
        <v>12258</v>
      </c>
      <c r="L4510" s="11" t="s">
        <v>21322</v>
      </c>
      <c r="M4510" s="11" t="s">
        <v>21385</v>
      </c>
      <c r="N4510" s="11">
        <v>3418</v>
      </c>
      <c r="O4510" s="11">
        <v>1621</v>
      </c>
      <c r="P4510" s="11">
        <v>3</v>
      </c>
      <c r="Q4510" s="11" t="s">
        <v>21386</v>
      </c>
      <c r="R4510" s="14" t="s">
        <v>21387</v>
      </c>
      <c r="S4510" s="11">
        <v>52</v>
      </c>
      <c r="T4510" s="11" t="s">
        <v>39</v>
      </c>
      <c r="U4510" s="11" t="s">
        <v>40</v>
      </c>
      <c r="V4510" s="11" t="s">
        <v>6037</v>
      </c>
      <c r="W4510" s="11">
        <v>1200000</v>
      </c>
      <c r="X4510" s="11">
        <v>1936</v>
      </c>
      <c r="Y4510" s="11">
        <v>490</v>
      </c>
      <c r="Z4510" s="11">
        <v>7.1</v>
      </c>
      <c r="AA4510" s="11">
        <v>1.37</v>
      </c>
      <c r="AB4510" s="11">
        <v>204</v>
      </c>
      <c r="AC4510" s="11"/>
      <c r="AD4510" s="11" t="str">
        <f>IFERROR(__xludf.DUMMYFUNCTION("""COMPUTED_VALUE"""),"David A Cole")</f>
        <v>David A Cole</v>
      </c>
      <c r="AE4510" s="11"/>
    </row>
    <row r="4511" customHeight="1" spans="1:31">
      <c r="A4511" s="12" t="s">
        <v>30</v>
      </c>
      <c r="B4511" s="12" t="s">
        <v>21388</v>
      </c>
      <c r="C4511" s="12">
        <v>18</v>
      </c>
      <c r="D4511" s="12">
        <v>99</v>
      </c>
      <c r="E4511" s="12">
        <v>0</v>
      </c>
      <c r="F4511" s="12">
        <v>5</v>
      </c>
      <c r="G4511" s="12">
        <v>721</v>
      </c>
      <c r="H4511" s="16"/>
      <c r="I4511" s="12" t="s">
        <v>10413</v>
      </c>
      <c r="J4511" s="12" t="s">
        <v>17218</v>
      </c>
      <c r="K4511" s="12" t="s">
        <v>21389</v>
      </c>
      <c r="L4511" s="12" t="s">
        <v>21390</v>
      </c>
      <c r="M4511" s="12" t="s">
        <v>21391</v>
      </c>
      <c r="N4511" s="12">
        <v>652</v>
      </c>
      <c r="O4511" s="12">
        <v>862</v>
      </c>
      <c r="P4511" s="12">
        <v>2</v>
      </c>
      <c r="Q4511" s="16"/>
      <c r="R4511" s="15" t="s">
        <v>21392</v>
      </c>
      <c r="S4511" s="12">
        <v>11</v>
      </c>
      <c r="T4511" s="12" t="s">
        <v>39</v>
      </c>
      <c r="U4511" s="12" t="s">
        <v>269</v>
      </c>
      <c r="V4511" s="12" t="s">
        <v>586</v>
      </c>
      <c r="W4511" s="12">
        <v>1200000</v>
      </c>
      <c r="X4511" s="12">
        <v>2011</v>
      </c>
      <c r="Y4511" s="12">
        <v>134</v>
      </c>
      <c r="Z4511" s="12">
        <v>4.5</v>
      </c>
      <c r="AA4511" s="16"/>
      <c r="AB4511" s="12">
        <v>161</v>
      </c>
      <c r="AC4511" s="12"/>
      <c r="AD4511" s="12" t="str">
        <f>IFERROR(__xludf.DUMMYFUNCTION("""COMPUTED_VALUE"""),"Harold Gould")</f>
        <v>Harold Gould</v>
      </c>
      <c r="AE4511" s="12"/>
    </row>
    <row r="4512" customHeight="1" spans="1:31">
      <c r="A4512" s="11" t="s">
        <v>30</v>
      </c>
      <c r="B4512" s="11" t="s">
        <v>21393</v>
      </c>
      <c r="C4512" s="11">
        <v>22</v>
      </c>
      <c r="D4512" s="11">
        <v>84</v>
      </c>
      <c r="E4512" s="11">
        <v>0</v>
      </c>
      <c r="F4512" s="11">
        <v>63</v>
      </c>
      <c r="G4512" s="11">
        <v>380</v>
      </c>
      <c r="H4512" s="13"/>
      <c r="I4512" s="11" t="s">
        <v>21394</v>
      </c>
      <c r="J4512" s="11" t="s">
        <v>21395</v>
      </c>
      <c r="K4512" s="11" t="s">
        <v>21396</v>
      </c>
      <c r="L4512" s="11" t="s">
        <v>21397</v>
      </c>
      <c r="M4512" s="11" t="s">
        <v>21398</v>
      </c>
      <c r="N4512" s="11">
        <v>1321</v>
      </c>
      <c r="O4512" s="11">
        <v>630</v>
      </c>
      <c r="P4512" s="11">
        <v>0</v>
      </c>
      <c r="Q4512" s="11" t="s">
        <v>21399</v>
      </c>
      <c r="R4512" s="14" t="s">
        <v>21400</v>
      </c>
      <c r="S4512" s="11">
        <v>51</v>
      </c>
      <c r="T4512" s="11" t="s">
        <v>39</v>
      </c>
      <c r="U4512" s="11" t="s">
        <v>269</v>
      </c>
      <c r="V4512" s="11" t="s">
        <v>586</v>
      </c>
      <c r="W4512" s="11">
        <v>1200000</v>
      </c>
      <c r="X4512" s="11">
        <v>2012</v>
      </c>
      <c r="Y4512" s="11">
        <v>91</v>
      </c>
      <c r="Z4512" s="11">
        <v>3.8</v>
      </c>
      <c r="AA4512" s="13"/>
      <c r="AB4512" s="11">
        <v>238</v>
      </c>
      <c r="AC4512" s="11"/>
      <c r="AD4512" s="11" t="str">
        <f>IFERROR(__xludf.DUMMYFUNCTION("""COMPUTED_VALUE"""),"Adam Hicks")</f>
        <v>Adam Hicks</v>
      </c>
      <c r="AE4512" s="11"/>
    </row>
    <row r="4513" customHeight="1" spans="1:31">
      <c r="A4513" s="12" t="s">
        <v>30</v>
      </c>
      <c r="B4513" s="12" t="s">
        <v>3614</v>
      </c>
      <c r="C4513" s="12">
        <v>9</v>
      </c>
      <c r="D4513" s="12">
        <v>91</v>
      </c>
      <c r="E4513" s="12">
        <v>38</v>
      </c>
      <c r="F4513" s="12">
        <v>117</v>
      </c>
      <c r="G4513" s="12">
        <v>584</v>
      </c>
      <c r="H4513" s="12">
        <v>2850263</v>
      </c>
      <c r="I4513" s="12" t="s">
        <v>21401</v>
      </c>
      <c r="J4513" s="12" t="s">
        <v>11734</v>
      </c>
      <c r="K4513" s="12" t="s">
        <v>5516</v>
      </c>
      <c r="L4513" s="12" t="s">
        <v>21402</v>
      </c>
      <c r="M4513" s="12" t="s">
        <v>21403</v>
      </c>
      <c r="N4513" s="12">
        <v>5061</v>
      </c>
      <c r="O4513" s="12">
        <v>1218</v>
      </c>
      <c r="P4513" s="12">
        <v>0</v>
      </c>
      <c r="Q4513" s="12" t="s">
        <v>21404</v>
      </c>
      <c r="R4513" s="15" t="s">
        <v>21405</v>
      </c>
      <c r="S4513" s="12">
        <v>70</v>
      </c>
      <c r="T4513" s="12" t="s">
        <v>39</v>
      </c>
      <c r="U4513" s="12" t="s">
        <v>40</v>
      </c>
      <c r="V4513" s="12" t="s">
        <v>96</v>
      </c>
      <c r="W4513" s="12">
        <v>2600000</v>
      </c>
      <c r="X4513" s="12">
        <v>1993</v>
      </c>
      <c r="Y4513" s="12">
        <v>399</v>
      </c>
      <c r="Z4513" s="12">
        <v>6.2</v>
      </c>
      <c r="AA4513" s="12">
        <v>1.85</v>
      </c>
      <c r="AB4513" s="12">
        <v>0</v>
      </c>
      <c r="AC4513" s="12"/>
      <c r="AD4513" s="12" t="str">
        <f>IFERROR(__xludf.DUMMYFUNCTION("""COMPUTED_VALUE"""),"Katy Jurado")</f>
        <v>Katy Jurado</v>
      </c>
      <c r="AE4513" s="12"/>
    </row>
    <row r="4514" customHeight="1" spans="1:31">
      <c r="A4514" s="11" t="s">
        <v>30</v>
      </c>
      <c r="B4514" s="11" t="s">
        <v>17054</v>
      </c>
      <c r="C4514" s="11">
        <v>30</v>
      </c>
      <c r="D4514" s="11">
        <v>97</v>
      </c>
      <c r="E4514" s="11">
        <v>282</v>
      </c>
      <c r="F4514" s="11">
        <v>148</v>
      </c>
      <c r="G4514" s="11">
        <v>586</v>
      </c>
      <c r="H4514" s="13"/>
      <c r="I4514" s="11" t="s">
        <v>2137</v>
      </c>
      <c r="J4514" s="11" t="s">
        <v>21406</v>
      </c>
      <c r="K4514" s="11" t="s">
        <v>21407</v>
      </c>
      <c r="L4514" s="11" t="s">
        <v>21408</v>
      </c>
      <c r="M4514" s="11" t="s">
        <v>21409</v>
      </c>
      <c r="N4514" s="11">
        <v>1172</v>
      </c>
      <c r="O4514" s="11">
        <v>1581</v>
      </c>
      <c r="P4514" s="11">
        <v>1</v>
      </c>
      <c r="Q4514" s="11" t="s">
        <v>21410</v>
      </c>
      <c r="R4514" s="14" t="s">
        <v>21411</v>
      </c>
      <c r="S4514" s="11">
        <v>27</v>
      </c>
      <c r="T4514" s="11" t="s">
        <v>39</v>
      </c>
      <c r="U4514" s="11" t="s">
        <v>40</v>
      </c>
      <c r="V4514" s="11" t="s">
        <v>586</v>
      </c>
      <c r="W4514" s="11">
        <v>1200000</v>
      </c>
      <c r="X4514" s="11">
        <v>1970</v>
      </c>
      <c r="Y4514" s="11">
        <v>434</v>
      </c>
      <c r="Z4514" s="11">
        <v>6.6</v>
      </c>
      <c r="AA4514" s="11">
        <v>1.85</v>
      </c>
      <c r="AB4514" s="11">
        <v>477</v>
      </c>
      <c r="AC4514" s="11"/>
      <c r="AD4514" s="11" t="str">
        <f>IFERROR(__xludf.DUMMYFUNCTION("""COMPUTED_VALUE"""),"Sidney James")</f>
        <v>Sidney James</v>
      </c>
      <c r="AE4514" s="11"/>
    </row>
    <row r="4515" customHeight="1" spans="1:31">
      <c r="A4515" s="12" t="s">
        <v>30</v>
      </c>
      <c r="B4515" s="12" t="s">
        <v>21412</v>
      </c>
      <c r="C4515" s="12">
        <v>9</v>
      </c>
      <c r="D4515" s="12">
        <v>84</v>
      </c>
      <c r="E4515" s="12">
        <v>2</v>
      </c>
      <c r="F4515" s="12">
        <v>475</v>
      </c>
      <c r="G4515" s="12">
        <v>10000</v>
      </c>
      <c r="H4515" s="16"/>
      <c r="I4515" s="12" t="s">
        <v>6403</v>
      </c>
      <c r="J4515" s="12" t="s">
        <v>10880</v>
      </c>
      <c r="K4515" s="12" t="s">
        <v>21413</v>
      </c>
      <c r="L4515" s="12" t="s">
        <v>1843</v>
      </c>
      <c r="M4515" s="12" t="s">
        <v>21414</v>
      </c>
      <c r="N4515" s="12">
        <v>742</v>
      </c>
      <c r="O4515" s="12">
        <v>11257</v>
      </c>
      <c r="P4515" s="12">
        <v>0</v>
      </c>
      <c r="Q4515" s="12" t="s">
        <v>21097</v>
      </c>
      <c r="R4515" s="15" t="s">
        <v>21415</v>
      </c>
      <c r="S4515" s="12">
        <v>7</v>
      </c>
      <c r="T4515" s="12" t="s">
        <v>39</v>
      </c>
      <c r="U4515" s="12" t="s">
        <v>40</v>
      </c>
      <c r="V4515" s="12" t="s">
        <v>586</v>
      </c>
      <c r="W4515" s="12">
        <v>1200000</v>
      </c>
      <c r="X4515" s="12">
        <v>2015</v>
      </c>
      <c r="Y4515" s="12">
        <v>500</v>
      </c>
      <c r="Z4515" s="12">
        <v>4.6</v>
      </c>
      <c r="AA4515" s="16"/>
      <c r="AB4515" s="12">
        <v>479</v>
      </c>
      <c r="AC4515" s="12"/>
      <c r="AD4515" s="12" t="str">
        <f>IFERROR(__xludf.DUMMYFUNCTION("""COMPUTED_VALUE"""),"Meg Foster")</f>
        <v>Meg Foster</v>
      </c>
      <c r="AE4515" s="12"/>
    </row>
    <row r="4516" customHeight="1" spans="1:31">
      <c r="A4516" s="11" t="s">
        <v>30</v>
      </c>
      <c r="B4516" s="11" t="s">
        <v>21416</v>
      </c>
      <c r="C4516" s="11">
        <v>7</v>
      </c>
      <c r="D4516" s="11">
        <v>100</v>
      </c>
      <c r="E4516" s="11">
        <v>0</v>
      </c>
      <c r="F4516" s="11">
        <v>312</v>
      </c>
      <c r="G4516" s="11">
        <v>498</v>
      </c>
      <c r="H4516" s="13"/>
      <c r="I4516" s="11" t="s">
        <v>6403</v>
      </c>
      <c r="J4516" s="11" t="s">
        <v>21417</v>
      </c>
      <c r="K4516" s="11" t="s">
        <v>21418</v>
      </c>
      <c r="L4516" s="11" t="s">
        <v>21419</v>
      </c>
      <c r="M4516" s="11" t="s">
        <v>21420</v>
      </c>
      <c r="N4516" s="11">
        <v>71</v>
      </c>
      <c r="O4516" s="11">
        <v>1810</v>
      </c>
      <c r="P4516" s="11">
        <v>1</v>
      </c>
      <c r="Q4516" s="11" t="s">
        <v>21421</v>
      </c>
      <c r="R4516" s="14" t="s">
        <v>21422</v>
      </c>
      <c r="S4516" s="11">
        <v>2</v>
      </c>
      <c r="T4516" s="11" t="s">
        <v>39</v>
      </c>
      <c r="U4516" s="11" t="s">
        <v>40</v>
      </c>
      <c r="V4516" s="13"/>
      <c r="W4516" s="11">
        <v>1200000</v>
      </c>
      <c r="X4516" s="11">
        <v>2015</v>
      </c>
      <c r="Y4516" s="11">
        <v>350</v>
      </c>
      <c r="Z4516" s="11">
        <v>4.2</v>
      </c>
      <c r="AA4516" s="13"/>
      <c r="AB4516" s="11">
        <v>242</v>
      </c>
      <c r="AC4516" s="11"/>
      <c r="AD4516" s="11" t="str">
        <f>IFERROR(__xludf.DUMMYFUNCTION("""COMPUTED_VALUE"""),"George 'Buck' Flower")</f>
        <v>George 'Buck' Flower</v>
      </c>
      <c r="AE4516" s="11"/>
    </row>
    <row r="4517" customHeight="1" spans="1:31">
      <c r="A4517" s="12" t="s">
        <v>30</v>
      </c>
      <c r="B4517" s="12" t="s">
        <v>21423</v>
      </c>
      <c r="C4517" s="12">
        <v>91</v>
      </c>
      <c r="D4517" s="12">
        <v>94</v>
      </c>
      <c r="E4517" s="12">
        <v>6</v>
      </c>
      <c r="F4517" s="12">
        <v>804</v>
      </c>
      <c r="G4517" s="12">
        <v>16000</v>
      </c>
      <c r="H4517" s="12">
        <v>16101109</v>
      </c>
      <c r="I4517" s="12" t="s">
        <v>1672</v>
      </c>
      <c r="J4517" s="12" t="s">
        <v>315</v>
      </c>
      <c r="K4517" s="12" t="s">
        <v>6712</v>
      </c>
      <c r="L4517" s="12" t="s">
        <v>11001</v>
      </c>
      <c r="M4517" s="12" t="s">
        <v>21424</v>
      </c>
      <c r="N4517" s="12">
        <v>76467</v>
      </c>
      <c r="O4517" s="12">
        <v>19957</v>
      </c>
      <c r="P4517" s="12">
        <v>3</v>
      </c>
      <c r="Q4517" s="12" t="s">
        <v>21425</v>
      </c>
      <c r="R4517" s="15" t="s">
        <v>21426</v>
      </c>
      <c r="S4517" s="12">
        <v>236</v>
      </c>
      <c r="T4517" s="12" t="s">
        <v>39</v>
      </c>
      <c r="U4517" s="12" t="s">
        <v>40</v>
      </c>
      <c r="V4517" s="12" t="s">
        <v>586</v>
      </c>
      <c r="W4517" s="12">
        <v>3000000</v>
      </c>
      <c r="X4517" s="12">
        <v>2005</v>
      </c>
      <c r="Y4517" s="12">
        <v>1000</v>
      </c>
      <c r="Z4517" s="12">
        <v>6.8</v>
      </c>
      <c r="AA4517" s="12">
        <v>1.85</v>
      </c>
      <c r="AB4517" s="12">
        <v>0</v>
      </c>
      <c r="AC4517" s="12"/>
      <c r="AD4517" s="12" t="str">
        <f>IFERROR(__xludf.DUMMYFUNCTION("""COMPUTED_VALUE"""),"Gordon Jackson")</f>
        <v>Gordon Jackson</v>
      </c>
      <c r="AE4517" s="12"/>
    </row>
    <row r="4518" customHeight="1" spans="1:31">
      <c r="A4518" s="11" t="s">
        <v>748</v>
      </c>
      <c r="B4518" s="11" t="s">
        <v>17484</v>
      </c>
      <c r="C4518" s="11">
        <v>99</v>
      </c>
      <c r="D4518" s="11">
        <v>90</v>
      </c>
      <c r="E4518" s="11">
        <v>222</v>
      </c>
      <c r="F4518" s="11">
        <v>68</v>
      </c>
      <c r="G4518" s="11">
        <v>680</v>
      </c>
      <c r="H4518" s="11">
        <v>6013</v>
      </c>
      <c r="I4518" s="11" t="s">
        <v>2126</v>
      </c>
      <c r="J4518" s="11" t="s">
        <v>2284</v>
      </c>
      <c r="K4518" s="11" t="s">
        <v>5858</v>
      </c>
      <c r="L4518" s="11" t="s">
        <v>21427</v>
      </c>
      <c r="M4518" s="11" t="s">
        <v>21428</v>
      </c>
      <c r="N4518" s="11">
        <v>39929</v>
      </c>
      <c r="O4518" s="11">
        <v>1311</v>
      </c>
      <c r="P4518" s="11">
        <v>0</v>
      </c>
      <c r="Q4518" s="11" t="s">
        <v>21429</v>
      </c>
      <c r="R4518" s="14" t="s">
        <v>21430</v>
      </c>
      <c r="S4518" s="11">
        <v>207</v>
      </c>
      <c r="T4518" s="11" t="s">
        <v>39</v>
      </c>
      <c r="U4518" s="11" t="s">
        <v>58</v>
      </c>
      <c r="V4518" s="13"/>
      <c r="W4518" s="11">
        <v>695393</v>
      </c>
      <c r="X4518" s="11">
        <v>2004</v>
      </c>
      <c r="Y4518" s="11">
        <v>404</v>
      </c>
      <c r="Z4518" s="11">
        <v>7.7</v>
      </c>
      <c r="AA4518" s="11">
        <v>1.85</v>
      </c>
      <c r="AB4518" s="11">
        <v>0</v>
      </c>
      <c r="AC4518" s="11"/>
      <c r="AD4518" s="11" t="str">
        <f>IFERROR(__xludf.DUMMYFUNCTION("""COMPUTED_VALUE"""),"Marlee Matlin")</f>
        <v>Marlee Matlin</v>
      </c>
      <c r="AE4518" s="11"/>
    </row>
    <row r="4519" customHeight="1" spans="1:31">
      <c r="A4519" s="12" t="s">
        <v>30</v>
      </c>
      <c r="B4519" s="16"/>
      <c r="C4519" s="12">
        <v>2</v>
      </c>
      <c r="D4519" s="16"/>
      <c r="E4519" s="16"/>
      <c r="F4519" s="12">
        <v>206</v>
      </c>
      <c r="G4519" s="12">
        <v>511</v>
      </c>
      <c r="H4519" s="16"/>
      <c r="I4519" s="12" t="s">
        <v>4384</v>
      </c>
      <c r="J4519" s="12" t="s">
        <v>21431</v>
      </c>
      <c r="K4519" s="12" t="s">
        <v>21432</v>
      </c>
      <c r="L4519" s="12" t="s">
        <v>16287</v>
      </c>
      <c r="M4519" s="12" t="s">
        <v>21433</v>
      </c>
      <c r="N4519" s="12">
        <v>726</v>
      </c>
      <c r="O4519" s="12">
        <v>1617</v>
      </c>
      <c r="P4519" s="12">
        <v>0</v>
      </c>
      <c r="Q4519" s="12" t="s">
        <v>21434</v>
      </c>
      <c r="R4519" s="15" t="s">
        <v>21435</v>
      </c>
      <c r="S4519" s="12">
        <v>6</v>
      </c>
      <c r="T4519" s="12" t="s">
        <v>39</v>
      </c>
      <c r="U4519" s="12" t="s">
        <v>371</v>
      </c>
      <c r="V4519" s="16"/>
      <c r="W4519" s="16"/>
      <c r="X4519" s="16"/>
      <c r="Y4519" s="12">
        <v>457</v>
      </c>
      <c r="Z4519" s="12">
        <v>7.1</v>
      </c>
      <c r="AA4519" s="12">
        <v>2</v>
      </c>
      <c r="AB4519" s="12">
        <v>954</v>
      </c>
      <c r="AC4519" s="12"/>
      <c r="AD4519" s="12" t="str">
        <f>IFERROR(__xludf.DUMMYFUNCTION("""COMPUTED_VALUE"""),"Armin Shimerman")</f>
        <v>Armin Shimerman</v>
      </c>
      <c r="AE4519" s="12"/>
    </row>
    <row r="4520" customHeight="1" spans="1:31">
      <c r="A4520" s="11" t="s">
        <v>30</v>
      </c>
      <c r="B4520" s="11" t="s">
        <v>21436</v>
      </c>
      <c r="C4520" s="11">
        <v>57</v>
      </c>
      <c r="D4520" s="11">
        <v>92</v>
      </c>
      <c r="E4520" s="11">
        <v>155</v>
      </c>
      <c r="F4520" s="11">
        <v>147</v>
      </c>
      <c r="G4520" s="11">
        <v>448</v>
      </c>
      <c r="H4520" s="11">
        <v>1400000</v>
      </c>
      <c r="I4520" s="11" t="s">
        <v>19847</v>
      </c>
      <c r="J4520" s="11" t="s">
        <v>19674</v>
      </c>
      <c r="K4520" s="11" t="s">
        <v>16958</v>
      </c>
      <c r="L4520" s="11" t="s">
        <v>21437</v>
      </c>
      <c r="M4520" s="11" t="s">
        <v>21438</v>
      </c>
      <c r="N4520" s="11">
        <v>1324</v>
      </c>
      <c r="O4520" s="11">
        <v>1329</v>
      </c>
      <c r="P4520" s="11">
        <v>0</v>
      </c>
      <c r="Q4520" s="11" t="s">
        <v>21439</v>
      </c>
      <c r="R4520" s="14" t="s">
        <v>21440</v>
      </c>
      <c r="S4520" s="11">
        <v>37</v>
      </c>
      <c r="T4520" s="11" t="s">
        <v>39</v>
      </c>
      <c r="U4520" s="11" t="s">
        <v>40</v>
      </c>
      <c r="V4520" s="11" t="s">
        <v>586</v>
      </c>
      <c r="W4520" s="11">
        <v>1100000</v>
      </c>
      <c r="X4520" s="11">
        <v>1987</v>
      </c>
      <c r="Y4520" s="11">
        <v>426</v>
      </c>
      <c r="Z4520" s="11">
        <v>5.9</v>
      </c>
      <c r="AA4520" s="11">
        <v>1.85</v>
      </c>
      <c r="AB4520" s="11">
        <v>241</v>
      </c>
      <c r="AC4520" s="11"/>
      <c r="AD4520" s="11" t="str">
        <f>IFERROR(__xludf.DUMMYFUNCTION("""COMPUTED_VALUE"""),"Ashley Bell")</f>
        <v>Ashley Bell</v>
      </c>
      <c r="AE4520" s="11"/>
    </row>
    <row r="4521" customHeight="1" spans="1:31">
      <c r="A4521" s="12" t="s">
        <v>30</v>
      </c>
      <c r="B4521" s="12" t="s">
        <v>21441</v>
      </c>
      <c r="C4521" s="12">
        <v>12</v>
      </c>
      <c r="D4521" s="12">
        <v>105</v>
      </c>
      <c r="E4521" s="12">
        <v>0</v>
      </c>
      <c r="F4521" s="16"/>
      <c r="G4521" s="16"/>
      <c r="H4521" s="12">
        <v>247740</v>
      </c>
      <c r="I4521" s="12" t="s">
        <v>2890</v>
      </c>
      <c r="J4521" s="16"/>
      <c r="K4521" s="16"/>
      <c r="L4521" s="16"/>
      <c r="M4521" s="12" t="s">
        <v>21442</v>
      </c>
      <c r="N4521" s="12">
        <v>285</v>
      </c>
      <c r="O4521" s="12">
        <v>0</v>
      </c>
      <c r="P4521" s="12">
        <v>0</v>
      </c>
      <c r="Q4521" s="12" t="s">
        <v>21443</v>
      </c>
      <c r="R4521" s="15" t="s">
        <v>21444</v>
      </c>
      <c r="S4521" s="12">
        <v>8</v>
      </c>
      <c r="T4521" s="12" t="s">
        <v>39</v>
      </c>
      <c r="U4521" s="12" t="s">
        <v>40</v>
      </c>
      <c r="V4521" s="16"/>
      <c r="W4521" s="16"/>
      <c r="X4521" s="12">
        <v>2002</v>
      </c>
      <c r="Y4521" s="16"/>
      <c r="Z4521" s="12">
        <v>4.7</v>
      </c>
      <c r="AA4521" s="12">
        <v>1.33</v>
      </c>
      <c r="AB4521" s="12">
        <v>51</v>
      </c>
      <c r="AC4521" s="12"/>
      <c r="AD4521" s="12" t="str">
        <f>IFERROR(__xludf.DUMMYFUNCTION("""COMPUTED_VALUE"""),"Ellar Coltrane")</f>
        <v>Ellar Coltrane</v>
      </c>
      <c r="AE4521" s="12"/>
    </row>
    <row r="4522" customHeight="1" spans="1:31">
      <c r="A4522" s="11" t="s">
        <v>748</v>
      </c>
      <c r="B4522" s="11" t="s">
        <v>21445</v>
      </c>
      <c r="C4522" s="11">
        <v>58</v>
      </c>
      <c r="D4522" s="11">
        <v>73</v>
      </c>
      <c r="E4522" s="11">
        <v>126</v>
      </c>
      <c r="F4522" s="11">
        <v>3</v>
      </c>
      <c r="G4522" s="11">
        <v>14</v>
      </c>
      <c r="H4522" s="11">
        <v>39659</v>
      </c>
      <c r="I4522" s="11" t="s">
        <v>21446</v>
      </c>
      <c r="J4522" s="11" t="s">
        <v>21447</v>
      </c>
      <c r="K4522" s="11" t="s">
        <v>21448</v>
      </c>
      <c r="L4522" s="11" t="s">
        <v>21449</v>
      </c>
      <c r="M4522" s="11" t="s">
        <v>21450</v>
      </c>
      <c r="N4522" s="11">
        <v>1555</v>
      </c>
      <c r="O4522" s="11">
        <v>21</v>
      </c>
      <c r="P4522" s="11">
        <v>1</v>
      </c>
      <c r="Q4522" s="11" t="s">
        <v>21451</v>
      </c>
      <c r="R4522" s="14" t="s">
        <v>21452</v>
      </c>
      <c r="S4522" s="11">
        <v>32</v>
      </c>
      <c r="T4522" s="11" t="s">
        <v>39</v>
      </c>
      <c r="U4522" s="11" t="s">
        <v>269</v>
      </c>
      <c r="V4522" s="13"/>
      <c r="W4522" s="11">
        <v>1600000</v>
      </c>
      <c r="X4522" s="11">
        <v>2002</v>
      </c>
      <c r="Y4522" s="11">
        <v>4</v>
      </c>
      <c r="Z4522" s="11">
        <v>7</v>
      </c>
      <c r="AA4522" s="11">
        <v>1.85</v>
      </c>
      <c r="AB4522" s="11">
        <v>131</v>
      </c>
      <c r="AC4522" s="11"/>
      <c r="AD4522" s="11" t="str">
        <f>IFERROR(__xludf.DUMMYFUNCTION("""COMPUTED_VALUE"""),"Lorelei Linklater")</f>
        <v>Lorelei Linklater</v>
      </c>
      <c r="AE4522" s="11"/>
    </row>
    <row r="4523" customHeight="1" spans="1:31">
      <c r="A4523" s="12" t="s">
        <v>30</v>
      </c>
      <c r="B4523" s="12" t="s">
        <v>21453</v>
      </c>
      <c r="C4523" s="12">
        <v>5</v>
      </c>
      <c r="D4523" s="12">
        <v>116</v>
      </c>
      <c r="E4523" s="12">
        <v>12</v>
      </c>
      <c r="F4523" s="12">
        <v>25</v>
      </c>
      <c r="G4523" s="12">
        <v>412</v>
      </c>
      <c r="H4523" s="16"/>
      <c r="I4523" s="12" t="s">
        <v>3410</v>
      </c>
      <c r="J4523" s="12" t="s">
        <v>21454</v>
      </c>
      <c r="K4523" s="12" t="s">
        <v>21455</v>
      </c>
      <c r="L4523" s="12" t="s">
        <v>21456</v>
      </c>
      <c r="M4523" s="12" t="s">
        <v>21457</v>
      </c>
      <c r="N4523" s="12">
        <v>2050</v>
      </c>
      <c r="O4523" s="12">
        <v>521</v>
      </c>
      <c r="P4523" s="12">
        <v>2</v>
      </c>
      <c r="Q4523" s="12" t="s">
        <v>21458</v>
      </c>
      <c r="R4523" s="15" t="s">
        <v>21459</v>
      </c>
      <c r="S4523" s="12">
        <v>36</v>
      </c>
      <c r="T4523" s="12" t="s">
        <v>19421</v>
      </c>
      <c r="U4523" s="12" t="s">
        <v>8145</v>
      </c>
      <c r="V4523" s="12" t="s">
        <v>96</v>
      </c>
      <c r="W4523" s="12">
        <v>10000000</v>
      </c>
      <c r="X4523" s="12">
        <v>2006</v>
      </c>
      <c r="Y4523" s="12">
        <v>48</v>
      </c>
      <c r="Z4523" s="12">
        <v>6.9</v>
      </c>
      <c r="AA4523" s="12">
        <v>1.85</v>
      </c>
      <c r="AB4523" s="12">
        <v>0</v>
      </c>
      <c r="AC4523" s="12"/>
      <c r="AD4523" s="12" t="str">
        <f>IFERROR(__xludf.DUMMYFUNCTION("""COMPUTED_VALUE"""),"Libby Villari")</f>
        <v>Libby Villari</v>
      </c>
      <c r="AE4523" s="12"/>
    </row>
    <row r="4524" customHeight="1" spans="1:31">
      <c r="A4524" s="11" t="s">
        <v>30</v>
      </c>
      <c r="B4524" s="11" t="s">
        <v>21460</v>
      </c>
      <c r="C4524" s="11">
        <v>97</v>
      </c>
      <c r="D4524" s="11">
        <v>110</v>
      </c>
      <c r="E4524" s="11">
        <v>22</v>
      </c>
      <c r="F4524" s="11">
        <v>48</v>
      </c>
      <c r="G4524" s="11">
        <v>434</v>
      </c>
      <c r="H4524" s="11">
        <v>56129</v>
      </c>
      <c r="I4524" s="11" t="s">
        <v>2954</v>
      </c>
      <c r="J4524" s="11" t="s">
        <v>9538</v>
      </c>
      <c r="K4524" s="11" t="s">
        <v>21461</v>
      </c>
      <c r="L4524" s="11" t="s">
        <v>21462</v>
      </c>
      <c r="M4524" s="11" t="s">
        <v>21463</v>
      </c>
      <c r="N4524" s="11">
        <v>6555</v>
      </c>
      <c r="O4524" s="11">
        <v>645</v>
      </c>
      <c r="P4524" s="11">
        <v>1</v>
      </c>
      <c r="Q4524" s="11" t="s">
        <v>21464</v>
      </c>
      <c r="R4524" s="14" t="s">
        <v>21465</v>
      </c>
      <c r="S4524" s="11">
        <v>82</v>
      </c>
      <c r="T4524" s="11" t="s">
        <v>39</v>
      </c>
      <c r="U4524" s="11" t="s">
        <v>269</v>
      </c>
      <c r="V4524" s="11" t="s">
        <v>586</v>
      </c>
      <c r="W4524" s="11">
        <v>1100000</v>
      </c>
      <c r="X4524" s="11">
        <v>2010</v>
      </c>
      <c r="Y4524" s="11">
        <v>95</v>
      </c>
      <c r="Z4524" s="11">
        <v>6.1</v>
      </c>
      <c r="AA4524" s="11">
        <v>2.35</v>
      </c>
      <c r="AB4524" s="11">
        <v>0</v>
      </c>
      <c r="AC4524" s="11"/>
      <c r="AD4524" s="11" t="str">
        <f>IFERROR(__xludf.DUMMYFUNCTION("""COMPUTED_VALUE"""),"Dr. Dre")</f>
        <v>Dr. Dre</v>
      </c>
      <c r="AE4524" s="11"/>
    </row>
    <row r="4525" customHeight="1" spans="1:31">
      <c r="A4525" s="12" t="s">
        <v>30</v>
      </c>
      <c r="B4525" s="12" t="s">
        <v>21466</v>
      </c>
      <c r="C4525" s="12">
        <v>481</v>
      </c>
      <c r="D4525" s="12">
        <v>102</v>
      </c>
      <c r="E4525" s="12">
        <v>338</v>
      </c>
      <c r="F4525" s="12">
        <v>60</v>
      </c>
      <c r="G4525" s="12">
        <v>1000</v>
      </c>
      <c r="H4525" s="12">
        <v>4105123</v>
      </c>
      <c r="I4525" s="12" t="s">
        <v>334</v>
      </c>
      <c r="J4525" s="12" t="s">
        <v>21467</v>
      </c>
      <c r="K4525" s="12" t="s">
        <v>21468</v>
      </c>
      <c r="L4525" s="12" t="s">
        <v>21469</v>
      </c>
      <c r="M4525" s="12" t="s">
        <v>21470</v>
      </c>
      <c r="N4525" s="12">
        <v>148221</v>
      </c>
      <c r="O4525" s="12">
        <v>1445</v>
      </c>
      <c r="P4525" s="12">
        <v>0</v>
      </c>
      <c r="Q4525" s="12" t="s">
        <v>21471</v>
      </c>
      <c r="R4525" s="15" t="s">
        <v>21472</v>
      </c>
      <c r="S4525" s="12">
        <v>316</v>
      </c>
      <c r="T4525" s="12" t="s">
        <v>21473</v>
      </c>
      <c r="U4525" s="12" t="s">
        <v>21474</v>
      </c>
      <c r="V4525" s="12" t="s">
        <v>586</v>
      </c>
      <c r="W4525" s="12">
        <v>1100000</v>
      </c>
      <c r="X4525" s="12">
        <v>2011</v>
      </c>
      <c r="Y4525" s="12">
        <v>342</v>
      </c>
      <c r="Z4525" s="12">
        <v>7.6</v>
      </c>
      <c r="AA4525" s="12">
        <v>1.85</v>
      </c>
      <c r="AB4525" s="12">
        <v>51000</v>
      </c>
      <c r="AC4525" s="12"/>
      <c r="AD4525" s="12" t="str">
        <f>IFERROR(__xludf.DUMMYFUNCTION("""COMPUTED_VALUE"""),"DJ Pooh")</f>
        <v>DJ Pooh</v>
      </c>
      <c r="AE4525" s="12"/>
    </row>
    <row r="4526" customHeight="1" spans="1:31">
      <c r="A4526" s="11" t="s">
        <v>30</v>
      </c>
      <c r="B4526" s="11" t="s">
        <v>21475</v>
      </c>
      <c r="C4526" s="11">
        <v>17</v>
      </c>
      <c r="D4526" s="11">
        <v>89</v>
      </c>
      <c r="E4526" s="11">
        <v>252</v>
      </c>
      <c r="F4526" s="11">
        <v>252</v>
      </c>
      <c r="G4526" s="11">
        <v>1000</v>
      </c>
      <c r="H4526" s="13"/>
      <c r="I4526" s="11" t="s">
        <v>4178</v>
      </c>
      <c r="J4526" s="11" t="s">
        <v>19508</v>
      </c>
      <c r="K4526" s="11" t="s">
        <v>14866</v>
      </c>
      <c r="L4526" s="11" t="s">
        <v>21475</v>
      </c>
      <c r="M4526" s="11" t="s">
        <v>21476</v>
      </c>
      <c r="N4526" s="11">
        <v>737</v>
      </c>
      <c r="O4526" s="11">
        <v>2510</v>
      </c>
      <c r="P4526" s="11">
        <v>1</v>
      </c>
      <c r="Q4526" s="11" t="s">
        <v>21477</v>
      </c>
      <c r="R4526" s="14" t="s">
        <v>21478</v>
      </c>
      <c r="S4526" s="11">
        <v>15</v>
      </c>
      <c r="T4526" s="11" t="s">
        <v>39</v>
      </c>
      <c r="U4526" s="11" t="s">
        <v>40</v>
      </c>
      <c r="V4526" s="11" t="s">
        <v>586</v>
      </c>
      <c r="W4526" s="11">
        <v>1100000</v>
      </c>
      <c r="X4526" s="11">
        <v>2010</v>
      </c>
      <c r="Y4526" s="11">
        <v>745</v>
      </c>
      <c r="Z4526" s="11">
        <v>3</v>
      </c>
      <c r="AA4526" s="11">
        <v>1.85</v>
      </c>
      <c r="AB4526" s="11">
        <v>444</v>
      </c>
      <c r="AC4526" s="11"/>
      <c r="AD4526" s="11" t="str">
        <f>IFERROR(__xludf.DUMMYFUNCTION("""COMPUTED_VALUE"""),"Montgomery Clift")</f>
        <v>Montgomery Clift</v>
      </c>
      <c r="AE4526" s="11"/>
    </row>
    <row r="4527" customHeight="1" spans="1:31">
      <c r="A4527" s="12" t="s">
        <v>30</v>
      </c>
      <c r="B4527" s="12" t="s">
        <v>21479</v>
      </c>
      <c r="C4527" s="12">
        <v>9</v>
      </c>
      <c r="D4527" s="12">
        <v>76</v>
      </c>
      <c r="E4527" s="12">
        <v>0</v>
      </c>
      <c r="F4527" s="12">
        <v>0</v>
      </c>
      <c r="G4527" s="12">
        <v>12</v>
      </c>
      <c r="H4527" s="16"/>
      <c r="I4527" s="12" t="s">
        <v>6403</v>
      </c>
      <c r="J4527" s="12" t="s">
        <v>21480</v>
      </c>
      <c r="K4527" s="12" t="s">
        <v>21481</v>
      </c>
      <c r="L4527" s="12" t="s">
        <v>21479</v>
      </c>
      <c r="M4527" s="12" t="s">
        <v>21482</v>
      </c>
      <c r="N4527" s="12">
        <v>332</v>
      </c>
      <c r="O4527" s="12">
        <v>12</v>
      </c>
      <c r="P4527" s="12">
        <v>0</v>
      </c>
      <c r="Q4527" s="16"/>
      <c r="R4527" s="15" t="s">
        <v>21483</v>
      </c>
      <c r="S4527" s="12">
        <v>10</v>
      </c>
      <c r="T4527" s="12" t="s">
        <v>39</v>
      </c>
      <c r="U4527" s="12" t="s">
        <v>7091</v>
      </c>
      <c r="V4527" s="12" t="s">
        <v>586</v>
      </c>
      <c r="W4527" s="12">
        <v>1100000</v>
      </c>
      <c r="X4527" s="12">
        <v>2013</v>
      </c>
      <c r="Y4527" s="12">
        <v>0</v>
      </c>
      <c r="Z4527" s="12">
        <v>2.6</v>
      </c>
      <c r="AA4527" s="12">
        <v>2.35</v>
      </c>
      <c r="AB4527" s="12">
        <v>200</v>
      </c>
      <c r="AC4527" s="12"/>
      <c r="AD4527" s="12" t="str">
        <f>IFERROR(__xludf.DUMMYFUNCTION("""COMPUTED_VALUE"""),"Kevin McCarthy")</f>
        <v>Kevin McCarthy</v>
      </c>
      <c r="AE4527" s="12"/>
    </row>
    <row r="4528" customHeight="1" spans="1:31">
      <c r="A4528" s="11" t="s">
        <v>30</v>
      </c>
      <c r="B4528" s="11" t="s">
        <v>17687</v>
      </c>
      <c r="C4528" s="11">
        <v>242</v>
      </c>
      <c r="D4528" s="11">
        <v>82</v>
      </c>
      <c r="E4528" s="11">
        <v>345</v>
      </c>
      <c r="F4528" s="11">
        <v>269</v>
      </c>
      <c r="G4528" s="11">
        <v>2000</v>
      </c>
      <c r="H4528" s="13"/>
      <c r="I4528" s="11" t="s">
        <v>5605</v>
      </c>
      <c r="J4528" s="11" t="s">
        <v>20724</v>
      </c>
      <c r="K4528" s="11" t="s">
        <v>12819</v>
      </c>
      <c r="L4528" s="11" t="s">
        <v>21484</v>
      </c>
      <c r="M4528" s="11" t="s">
        <v>21485</v>
      </c>
      <c r="N4528" s="11">
        <v>387508</v>
      </c>
      <c r="O4528" s="11">
        <v>3442</v>
      </c>
      <c r="P4528" s="11">
        <v>4</v>
      </c>
      <c r="Q4528" s="11" t="s">
        <v>21486</v>
      </c>
      <c r="R4528" s="14" t="s">
        <v>21487</v>
      </c>
      <c r="S4528" s="11">
        <v>1123</v>
      </c>
      <c r="T4528" s="11" t="s">
        <v>39</v>
      </c>
      <c r="U4528" s="11" t="s">
        <v>40</v>
      </c>
      <c r="V4528" s="11" t="s">
        <v>96</v>
      </c>
      <c r="W4528" s="11">
        <v>950000</v>
      </c>
      <c r="X4528" s="11">
        <v>1942</v>
      </c>
      <c r="Y4528" s="11">
        <v>607</v>
      </c>
      <c r="Z4528" s="11">
        <v>8.6</v>
      </c>
      <c r="AA4528" s="11">
        <v>1.37</v>
      </c>
      <c r="AB4528" s="11">
        <v>23000</v>
      </c>
      <c r="AC4528" s="11"/>
      <c r="AD4528" s="11" t="str">
        <f>IFERROR(__xludf.DUMMYFUNCTION("""COMPUTED_VALUE"""),"Thelma Ritter")</f>
        <v>Thelma Ritter</v>
      </c>
      <c r="AE4528" s="11"/>
    </row>
    <row r="4529" customHeight="1" spans="1:31">
      <c r="A4529" s="12" t="s">
        <v>30</v>
      </c>
      <c r="B4529" s="12" t="s">
        <v>21488</v>
      </c>
      <c r="C4529" s="12">
        <v>95</v>
      </c>
      <c r="D4529" s="12">
        <v>89</v>
      </c>
      <c r="E4529" s="12">
        <v>0</v>
      </c>
      <c r="F4529" s="12">
        <v>5</v>
      </c>
      <c r="G4529" s="12">
        <v>12</v>
      </c>
      <c r="H4529" s="16"/>
      <c r="I4529" s="12" t="s">
        <v>6133</v>
      </c>
      <c r="J4529" s="12" t="s">
        <v>21489</v>
      </c>
      <c r="K4529" s="12" t="s">
        <v>21490</v>
      </c>
      <c r="L4529" s="12" t="s">
        <v>21491</v>
      </c>
      <c r="M4529" s="12" t="s">
        <v>21492</v>
      </c>
      <c r="N4529" s="12">
        <v>9465</v>
      </c>
      <c r="O4529" s="12">
        <v>29</v>
      </c>
      <c r="P4529" s="12">
        <v>0</v>
      </c>
      <c r="Q4529" s="12" t="s">
        <v>21493</v>
      </c>
      <c r="R4529" s="15" t="s">
        <v>21494</v>
      </c>
      <c r="S4529" s="12">
        <v>85</v>
      </c>
      <c r="T4529" s="12" t="s">
        <v>39</v>
      </c>
      <c r="U4529" s="12" t="s">
        <v>371</v>
      </c>
      <c r="V4529" s="12" t="s">
        <v>586</v>
      </c>
      <c r="W4529" s="12">
        <v>1400000</v>
      </c>
      <c r="X4529" s="12">
        <v>2008</v>
      </c>
      <c r="Y4529" s="12">
        <v>5</v>
      </c>
      <c r="Z4529" s="12">
        <v>6.1</v>
      </c>
      <c r="AA4529" s="12">
        <v>1.85</v>
      </c>
      <c r="AB4529" s="12">
        <v>0</v>
      </c>
      <c r="AC4529" s="12"/>
      <c r="AD4529" s="12" t="str">
        <f>IFERROR(__xludf.DUMMYFUNCTION("""COMPUTED_VALUE"""),"William Hickey")</f>
        <v>William Hickey</v>
      </c>
      <c r="AE4529" s="12"/>
    </row>
    <row r="4530" customHeight="1" spans="1:31">
      <c r="A4530" s="11" t="s">
        <v>30</v>
      </c>
      <c r="B4530" s="11" t="s">
        <v>21495</v>
      </c>
      <c r="C4530" s="11">
        <v>14</v>
      </c>
      <c r="D4530" s="11">
        <v>150</v>
      </c>
      <c r="E4530" s="11">
        <v>6</v>
      </c>
      <c r="F4530" s="11">
        <v>20</v>
      </c>
      <c r="G4530" s="11">
        <v>964</v>
      </c>
      <c r="H4530" s="13"/>
      <c r="I4530" s="11" t="s">
        <v>2528</v>
      </c>
      <c r="J4530" s="11" t="s">
        <v>15925</v>
      </c>
      <c r="K4530" s="11" t="s">
        <v>21496</v>
      </c>
      <c r="L4530" s="11" t="s">
        <v>21497</v>
      </c>
      <c r="M4530" s="11" t="s">
        <v>21498</v>
      </c>
      <c r="N4530" s="11">
        <v>11010</v>
      </c>
      <c r="O4530" s="11">
        <v>1052</v>
      </c>
      <c r="P4530" s="11">
        <v>1</v>
      </c>
      <c r="Q4530" s="11" t="s">
        <v>21499</v>
      </c>
      <c r="R4530" s="14" t="s">
        <v>21500</v>
      </c>
      <c r="S4530" s="11">
        <v>35</v>
      </c>
      <c r="T4530" s="11" t="s">
        <v>5612</v>
      </c>
      <c r="U4530" s="11" t="s">
        <v>5613</v>
      </c>
      <c r="V4530" s="13"/>
      <c r="W4530" s="13"/>
      <c r="X4530" s="11">
        <v>2009</v>
      </c>
      <c r="Y4530" s="11">
        <v>22</v>
      </c>
      <c r="Z4530" s="11">
        <v>7.5</v>
      </c>
      <c r="AA4530" s="13"/>
      <c r="AB4530" s="11">
        <v>773</v>
      </c>
      <c r="AC4530" s="11"/>
      <c r="AD4530" s="11" t="str">
        <f>IFERROR(__xludf.DUMMYFUNCTION("""COMPUTED_VALUE"""),"Peter Appel")</f>
        <v>Peter Appel</v>
      </c>
      <c r="AE4530" s="11"/>
    </row>
    <row r="4531" customHeight="1" spans="1:31">
      <c r="A4531" s="12" t="s">
        <v>30</v>
      </c>
      <c r="B4531" s="12" t="s">
        <v>21501</v>
      </c>
      <c r="C4531" s="12">
        <v>87</v>
      </c>
      <c r="D4531" s="12">
        <v>89</v>
      </c>
      <c r="E4531" s="12">
        <v>136</v>
      </c>
      <c r="F4531" s="12">
        <v>42</v>
      </c>
      <c r="G4531" s="12">
        <v>844</v>
      </c>
      <c r="H4531" s="16"/>
      <c r="I4531" s="12" t="s">
        <v>1849</v>
      </c>
      <c r="J4531" s="12" t="s">
        <v>10437</v>
      </c>
      <c r="K4531" s="12" t="s">
        <v>3393</v>
      </c>
      <c r="L4531" s="12" t="s">
        <v>21502</v>
      </c>
      <c r="M4531" s="12" t="s">
        <v>21503</v>
      </c>
      <c r="N4531" s="12">
        <v>20678</v>
      </c>
      <c r="O4531" s="12">
        <v>1080</v>
      </c>
      <c r="P4531" s="12">
        <v>1</v>
      </c>
      <c r="Q4531" s="12" t="s">
        <v>21504</v>
      </c>
      <c r="R4531" s="15" t="s">
        <v>21505</v>
      </c>
      <c r="S4531" s="12">
        <v>199</v>
      </c>
      <c r="T4531" s="12" t="s">
        <v>39</v>
      </c>
      <c r="U4531" s="12" t="s">
        <v>40</v>
      </c>
      <c r="V4531" s="12" t="s">
        <v>14105</v>
      </c>
      <c r="W4531" s="12">
        <v>1000000</v>
      </c>
      <c r="X4531" s="12">
        <v>1972</v>
      </c>
      <c r="Y4531" s="12">
        <v>184</v>
      </c>
      <c r="Z4531" s="12">
        <v>6.7</v>
      </c>
      <c r="AA4531" s="12">
        <v>1.85</v>
      </c>
      <c r="AB4531" s="12">
        <v>0</v>
      </c>
      <c r="AC4531" s="12"/>
      <c r="AD4531" s="12" t="str">
        <f>IFERROR(__xludf.DUMMYFUNCTION("""COMPUTED_VALUE"""),"Fernando Cayo")</f>
        <v>Fernando Cayo</v>
      </c>
      <c r="AE4531" s="12"/>
    </row>
    <row r="4532" customHeight="1" spans="1:31">
      <c r="A4532" s="11" t="s">
        <v>30</v>
      </c>
      <c r="B4532" s="11" t="s">
        <v>6235</v>
      </c>
      <c r="C4532" s="11">
        <v>141</v>
      </c>
      <c r="D4532" s="11">
        <v>145</v>
      </c>
      <c r="E4532" s="11">
        <v>80</v>
      </c>
      <c r="F4532" s="11">
        <v>794</v>
      </c>
      <c r="G4532" s="11">
        <v>13000</v>
      </c>
      <c r="H4532" s="11">
        <v>117235247</v>
      </c>
      <c r="I4532" s="11" t="s">
        <v>3794</v>
      </c>
      <c r="J4532" s="11" t="s">
        <v>1785</v>
      </c>
      <c r="K4532" s="11" t="s">
        <v>21147</v>
      </c>
      <c r="L4532" s="11" t="s">
        <v>11778</v>
      </c>
      <c r="M4532" s="11" t="s">
        <v>21506</v>
      </c>
      <c r="N4532" s="11">
        <v>375240</v>
      </c>
      <c r="O4532" s="11">
        <v>16094</v>
      </c>
      <c r="P4532" s="11">
        <v>0</v>
      </c>
      <c r="Q4532" s="11" t="s">
        <v>21507</v>
      </c>
      <c r="R4532" s="14" t="s">
        <v>21508</v>
      </c>
      <c r="S4532" s="11">
        <v>542</v>
      </c>
      <c r="T4532" s="11" t="s">
        <v>39</v>
      </c>
      <c r="U4532" s="11" t="s">
        <v>40</v>
      </c>
      <c r="V4532" s="11" t="s">
        <v>96</v>
      </c>
      <c r="W4532" s="11">
        <v>960000</v>
      </c>
      <c r="X4532" s="11">
        <v>1976</v>
      </c>
      <c r="Y4532" s="11">
        <v>1000</v>
      </c>
      <c r="Z4532" s="11">
        <v>8.1</v>
      </c>
      <c r="AA4532" s="11">
        <v>1.33</v>
      </c>
      <c r="AB4532" s="11">
        <v>0</v>
      </c>
      <c r="AC4532" s="11"/>
      <c r="AD4532" s="11" t="str">
        <f>IFERROR(__xludf.DUMMYFUNCTION("""COMPUTED_VALUE"""),"Ashley Rickards")</f>
        <v>Ashley Rickards</v>
      </c>
      <c r="AE4532" s="11"/>
    </row>
    <row r="4533" customHeight="1" spans="1:31">
      <c r="A4533" s="12" t="s">
        <v>30</v>
      </c>
      <c r="B4533" s="12" t="s">
        <v>21509</v>
      </c>
      <c r="C4533" s="12">
        <v>16</v>
      </c>
      <c r="D4533" s="12">
        <v>91</v>
      </c>
      <c r="E4533" s="12">
        <v>2</v>
      </c>
      <c r="F4533" s="12">
        <v>9</v>
      </c>
      <c r="G4533" s="12">
        <v>321</v>
      </c>
      <c r="H4533" s="16"/>
      <c r="I4533" s="12" t="s">
        <v>3410</v>
      </c>
      <c r="J4533" s="12" t="s">
        <v>21510</v>
      </c>
      <c r="K4533" s="12" t="s">
        <v>4806</v>
      </c>
      <c r="L4533" s="12" t="s">
        <v>21511</v>
      </c>
      <c r="M4533" s="12" t="s">
        <v>21512</v>
      </c>
      <c r="N4533" s="12">
        <v>512</v>
      </c>
      <c r="O4533" s="12">
        <v>622</v>
      </c>
      <c r="P4533" s="12">
        <v>1</v>
      </c>
      <c r="Q4533" s="12" t="s">
        <v>21513</v>
      </c>
      <c r="R4533" s="15" t="s">
        <v>21514</v>
      </c>
      <c r="S4533" s="12">
        <v>2</v>
      </c>
      <c r="T4533" s="12" t="s">
        <v>39</v>
      </c>
      <c r="U4533" s="12" t="s">
        <v>12617</v>
      </c>
      <c r="V4533" s="12" t="s">
        <v>4831</v>
      </c>
      <c r="W4533" s="12">
        <v>1100000</v>
      </c>
      <c r="X4533" s="12">
        <v>2014</v>
      </c>
      <c r="Y4533" s="12">
        <v>287</v>
      </c>
      <c r="Z4533" s="12">
        <v>4.9</v>
      </c>
      <c r="AA4533" s="12">
        <v>2.35</v>
      </c>
      <c r="AB4533" s="12">
        <v>234</v>
      </c>
      <c r="AC4533" s="12"/>
      <c r="AD4533" s="12" t="str">
        <f>IFERROR(__xludf.DUMMYFUNCTION("""COMPUTED_VALUE"""),"Gabriel Iglesias")</f>
        <v>Gabriel Iglesias</v>
      </c>
      <c r="AE4533" s="12"/>
    </row>
    <row r="4534" customHeight="1" spans="1:31">
      <c r="A4534" s="11" t="s">
        <v>30</v>
      </c>
      <c r="B4534" s="11" t="s">
        <v>5368</v>
      </c>
      <c r="C4534" s="11">
        <v>212</v>
      </c>
      <c r="D4534" s="11">
        <v>89</v>
      </c>
      <c r="E4534" s="11">
        <v>0</v>
      </c>
      <c r="F4534" s="11">
        <v>606</v>
      </c>
      <c r="G4534" s="11">
        <v>2000</v>
      </c>
      <c r="H4534" s="11">
        <v>21378000</v>
      </c>
      <c r="I4534" s="11" t="s">
        <v>7406</v>
      </c>
      <c r="J4534" s="11" t="s">
        <v>1734</v>
      </c>
      <c r="K4534" s="11" t="s">
        <v>2498</v>
      </c>
      <c r="L4534" s="11" t="s">
        <v>11034</v>
      </c>
      <c r="M4534" s="11" t="s">
        <v>11833</v>
      </c>
      <c r="N4534" s="11">
        <v>46493</v>
      </c>
      <c r="O4534" s="11">
        <v>4878</v>
      </c>
      <c r="P4534" s="11">
        <v>0</v>
      </c>
      <c r="Q4534" s="11" t="s">
        <v>11834</v>
      </c>
      <c r="R4534" s="14" t="s">
        <v>11835</v>
      </c>
      <c r="S4534" s="11">
        <v>335</v>
      </c>
      <c r="T4534" s="11" t="s">
        <v>39</v>
      </c>
      <c r="U4534" s="11" t="s">
        <v>40</v>
      </c>
      <c r="V4534" s="11" t="s">
        <v>586</v>
      </c>
      <c r="W4534" s="11">
        <v>1000000</v>
      </c>
      <c r="X4534" s="11">
        <v>1980</v>
      </c>
      <c r="Y4534" s="11">
        <v>826</v>
      </c>
      <c r="Z4534" s="11">
        <v>6.8</v>
      </c>
      <c r="AA4534" s="11">
        <v>2.35</v>
      </c>
      <c r="AB4534" s="11">
        <v>7000</v>
      </c>
      <c r="AC4534" s="11"/>
      <c r="AD4534" s="11" t="str">
        <f>IFERROR(__xludf.DUMMYFUNCTION("""COMPUTED_VALUE"""),"Philippe Noiret")</f>
        <v>Philippe Noiret</v>
      </c>
      <c r="AE4534" s="11"/>
    </row>
    <row r="4535" customHeight="1" spans="1:31">
      <c r="A4535" s="12" t="s">
        <v>30</v>
      </c>
      <c r="B4535" s="12" t="s">
        <v>16351</v>
      </c>
      <c r="C4535" s="12">
        <v>30</v>
      </c>
      <c r="D4535" s="12">
        <v>121</v>
      </c>
      <c r="E4535" s="12">
        <v>62</v>
      </c>
      <c r="F4535" s="12">
        <v>69</v>
      </c>
      <c r="G4535" s="12">
        <v>883</v>
      </c>
      <c r="H4535" s="16"/>
      <c r="I4535" s="12" t="s">
        <v>21515</v>
      </c>
      <c r="J4535" s="12" t="s">
        <v>241</v>
      </c>
      <c r="K4535" s="12" t="s">
        <v>18784</v>
      </c>
      <c r="L4535" s="12" t="s">
        <v>21516</v>
      </c>
      <c r="M4535" s="12" t="s">
        <v>21517</v>
      </c>
      <c r="N4535" s="12">
        <v>8508</v>
      </c>
      <c r="O4535" s="12">
        <v>1371</v>
      </c>
      <c r="P4535" s="12">
        <v>1</v>
      </c>
      <c r="Q4535" s="12" t="s">
        <v>21518</v>
      </c>
      <c r="R4535" s="15" t="s">
        <v>21519</v>
      </c>
      <c r="S4535" s="12">
        <v>56</v>
      </c>
      <c r="T4535" s="12" t="s">
        <v>39</v>
      </c>
      <c r="U4535" s="12" t="s">
        <v>58</v>
      </c>
      <c r="V4535" s="12" t="s">
        <v>5614</v>
      </c>
      <c r="W4535" s="12">
        <v>1000000</v>
      </c>
      <c r="X4535" s="12">
        <v>1963</v>
      </c>
      <c r="Y4535" s="12">
        <v>269</v>
      </c>
      <c r="Z4535" s="12">
        <v>6.8</v>
      </c>
      <c r="AA4535" s="12">
        <v>1.37</v>
      </c>
      <c r="AB4535" s="12">
        <v>328</v>
      </c>
      <c r="AC4535" s="12"/>
      <c r="AD4535" s="12" t="str">
        <f>IFERROR(__xludf.DUMMYFUNCTION("""COMPUTED_VALUE"""),"Amy Hill")</f>
        <v>Amy Hill</v>
      </c>
      <c r="AE4535" s="12"/>
    </row>
    <row r="4536" customHeight="1" spans="1:31">
      <c r="A4536" s="11" t="s">
        <v>30</v>
      </c>
      <c r="B4536" s="11" t="s">
        <v>21520</v>
      </c>
      <c r="C4536" s="11">
        <v>270</v>
      </c>
      <c r="D4536" s="11">
        <v>83</v>
      </c>
      <c r="E4536" s="11">
        <v>6</v>
      </c>
      <c r="F4536" s="11">
        <v>142</v>
      </c>
      <c r="G4536" s="11">
        <v>707</v>
      </c>
      <c r="H4536" s="11">
        <v>31537320</v>
      </c>
      <c r="I4536" s="11" t="s">
        <v>3030</v>
      </c>
      <c r="J4536" s="11" t="s">
        <v>17548</v>
      </c>
      <c r="K4536" s="11" t="s">
        <v>21521</v>
      </c>
      <c r="L4536" s="11" t="s">
        <v>21522</v>
      </c>
      <c r="M4536" s="11" t="s">
        <v>21523</v>
      </c>
      <c r="N4536" s="11">
        <v>44329</v>
      </c>
      <c r="O4536" s="11">
        <v>1565</v>
      </c>
      <c r="P4536" s="11">
        <v>0</v>
      </c>
      <c r="Q4536" s="11" t="s">
        <v>21524</v>
      </c>
      <c r="R4536" s="14" t="s">
        <v>21525</v>
      </c>
      <c r="S4536" s="11">
        <v>309</v>
      </c>
      <c r="T4536" s="11" t="s">
        <v>39</v>
      </c>
      <c r="U4536" s="11" t="s">
        <v>40</v>
      </c>
      <c r="V4536" s="11" t="s">
        <v>586</v>
      </c>
      <c r="W4536" s="11">
        <v>1000000</v>
      </c>
      <c r="X4536" s="11">
        <v>2014</v>
      </c>
      <c r="Y4536" s="11">
        <v>305</v>
      </c>
      <c r="Z4536" s="11">
        <v>5.7</v>
      </c>
      <c r="AA4536" s="11">
        <v>1.85</v>
      </c>
      <c r="AB4536" s="11">
        <v>13000</v>
      </c>
      <c r="AC4536" s="11"/>
      <c r="AD4536" s="11" t="str">
        <f>IFERROR(__xludf.DUMMYFUNCTION("""COMPUTED_VALUE"""),"Alan Taylor")</f>
        <v>Alan Taylor</v>
      </c>
      <c r="AE4536" s="11"/>
    </row>
    <row r="4537" customHeight="1" spans="1:31">
      <c r="A4537" s="12" t="s">
        <v>30</v>
      </c>
      <c r="B4537" s="12" t="s">
        <v>488</v>
      </c>
      <c r="C4537" s="12">
        <v>211</v>
      </c>
      <c r="D4537" s="12">
        <v>110</v>
      </c>
      <c r="E4537" s="12">
        <v>17000</v>
      </c>
      <c r="F4537" s="12">
        <v>595</v>
      </c>
      <c r="G4537" s="12">
        <v>22000</v>
      </c>
      <c r="H4537" s="16"/>
      <c r="I4537" s="12" t="s">
        <v>1936</v>
      </c>
      <c r="J4537" s="12" t="s">
        <v>1746</v>
      </c>
      <c r="K4537" s="12" t="s">
        <v>2968</v>
      </c>
      <c r="L4537" s="12" t="s">
        <v>3283</v>
      </c>
      <c r="M4537" s="12" t="s">
        <v>21526</v>
      </c>
      <c r="N4537" s="12">
        <v>507063</v>
      </c>
      <c r="O4537" s="12">
        <v>23525</v>
      </c>
      <c r="P4537" s="12">
        <v>1</v>
      </c>
      <c r="Q4537" s="12" t="s">
        <v>21527</v>
      </c>
      <c r="R4537" s="15" t="s">
        <v>21528</v>
      </c>
      <c r="S4537" s="12">
        <v>881</v>
      </c>
      <c r="T4537" s="12" t="s">
        <v>39</v>
      </c>
      <c r="U4537" s="12" t="s">
        <v>40</v>
      </c>
      <c r="V4537" s="12" t="s">
        <v>586</v>
      </c>
      <c r="W4537" s="12">
        <v>1300000</v>
      </c>
      <c r="X4537" s="12">
        <v>1976</v>
      </c>
      <c r="Y4537" s="12">
        <v>745</v>
      </c>
      <c r="Z4537" s="12">
        <v>8.3</v>
      </c>
      <c r="AA4537" s="12">
        <v>1.85</v>
      </c>
      <c r="AB4537" s="12">
        <v>35000</v>
      </c>
      <c r="AC4537" s="12"/>
      <c r="AD4537" s="12" t="str">
        <f>IFERROR(__xludf.DUMMYFUNCTION("""COMPUTED_VALUE"""),"Benjamin Fletcher")</f>
        <v>Benjamin Fletcher</v>
      </c>
      <c r="AE4537" s="12"/>
    </row>
    <row r="4538" customHeight="1" spans="1:31">
      <c r="A4538" s="11" t="s">
        <v>30</v>
      </c>
      <c r="B4538" s="11" t="s">
        <v>2844</v>
      </c>
      <c r="C4538" s="11">
        <v>161</v>
      </c>
      <c r="D4538" s="11">
        <v>91</v>
      </c>
      <c r="E4538" s="11">
        <v>287</v>
      </c>
      <c r="F4538" s="11">
        <v>725</v>
      </c>
      <c r="G4538" s="11">
        <v>1000</v>
      </c>
      <c r="H4538" s="11">
        <v>17986000</v>
      </c>
      <c r="I4538" s="11" t="s">
        <v>6403</v>
      </c>
      <c r="J4538" s="11" t="s">
        <v>8289</v>
      </c>
      <c r="K4538" s="11" t="s">
        <v>5252</v>
      </c>
      <c r="L4538" s="11" t="s">
        <v>14732</v>
      </c>
      <c r="M4538" s="11" t="s">
        <v>21529</v>
      </c>
      <c r="N4538" s="11">
        <v>22773</v>
      </c>
      <c r="O4538" s="11">
        <v>4438</v>
      </c>
      <c r="P4538" s="11">
        <v>0</v>
      </c>
      <c r="Q4538" s="11" t="s">
        <v>21530</v>
      </c>
      <c r="R4538" s="14" t="s">
        <v>21531</v>
      </c>
      <c r="S4538" s="11">
        <v>195</v>
      </c>
      <c r="T4538" s="11" t="s">
        <v>39</v>
      </c>
      <c r="U4538" s="11" t="s">
        <v>40</v>
      </c>
      <c r="V4538" s="11" t="s">
        <v>586</v>
      </c>
      <c r="W4538" s="11">
        <v>1000000</v>
      </c>
      <c r="X4538" s="11">
        <v>1981</v>
      </c>
      <c r="Y4538" s="11">
        <v>823</v>
      </c>
      <c r="Z4538" s="11">
        <v>6.6</v>
      </c>
      <c r="AA4538" s="11">
        <v>1.85</v>
      </c>
      <c r="AB4538" s="11">
        <v>0</v>
      </c>
      <c r="AC4538" s="11"/>
      <c r="AD4538" s="11" t="str">
        <f>IFERROR(__xludf.DUMMYFUNCTION("""COMPUTED_VALUE"""),"Aaron Hughes")</f>
        <v>Aaron Hughes</v>
      </c>
      <c r="AE4538" s="11"/>
    </row>
    <row r="4539" customHeight="1" spans="1:31">
      <c r="A4539" s="12" t="s">
        <v>30</v>
      </c>
      <c r="B4539" s="12" t="s">
        <v>5690</v>
      </c>
      <c r="C4539" s="12">
        <v>184</v>
      </c>
      <c r="D4539" s="12">
        <v>110</v>
      </c>
      <c r="E4539" s="12">
        <v>92</v>
      </c>
      <c r="F4539" s="12">
        <v>177</v>
      </c>
      <c r="G4539" s="12">
        <v>650</v>
      </c>
      <c r="H4539" s="12">
        <v>16067035</v>
      </c>
      <c r="I4539" s="12" t="s">
        <v>51</v>
      </c>
      <c r="J4539" s="12" t="s">
        <v>21532</v>
      </c>
      <c r="K4539" s="12" t="s">
        <v>21533</v>
      </c>
      <c r="L4539" s="12" t="s">
        <v>4827</v>
      </c>
      <c r="M4539" s="12" t="s">
        <v>21534</v>
      </c>
      <c r="N4539" s="12">
        <v>116642</v>
      </c>
      <c r="O4539" s="12">
        <v>1421</v>
      </c>
      <c r="P4539" s="12">
        <v>4</v>
      </c>
      <c r="Q4539" s="12" t="s">
        <v>21535</v>
      </c>
      <c r="R4539" s="15" t="s">
        <v>21536</v>
      </c>
      <c r="S4539" s="12">
        <v>389</v>
      </c>
      <c r="T4539" s="12" t="s">
        <v>39</v>
      </c>
      <c r="U4539" s="12" t="s">
        <v>58</v>
      </c>
      <c r="V4539" s="12" t="s">
        <v>6037</v>
      </c>
      <c r="W4539" s="12">
        <v>1100000</v>
      </c>
      <c r="X4539" s="12">
        <v>1962</v>
      </c>
      <c r="Y4539" s="12">
        <v>275</v>
      </c>
      <c r="Z4539" s="12">
        <v>7.3</v>
      </c>
      <c r="AA4539" s="12">
        <v>1.37</v>
      </c>
      <c r="AB4539" s="12">
        <v>5000</v>
      </c>
      <c r="AC4539" s="12"/>
      <c r="AD4539" s="12" t="str">
        <f>IFERROR(__xludf.DUMMYFUNCTION("""COMPUTED_VALUE"""),"Anna Gunn")</f>
        <v>Anna Gunn</v>
      </c>
      <c r="AE4539" s="12"/>
    </row>
    <row r="4540" customHeight="1" spans="1:31">
      <c r="A4540" s="11" t="s">
        <v>30</v>
      </c>
      <c r="B4540" s="11" t="s">
        <v>21537</v>
      </c>
      <c r="C4540" s="11">
        <v>270</v>
      </c>
      <c r="D4540" s="11">
        <v>86</v>
      </c>
      <c r="E4540" s="11">
        <v>18</v>
      </c>
      <c r="F4540" s="11">
        <v>300</v>
      </c>
      <c r="G4540" s="11">
        <v>1000</v>
      </c>
      <c r="H4540" s="11">
        <v>18112929</v>
      </c>
      <c r="I4540" s="11" t="s">
        <v>4277</v>
      </c>
      <c r="J4540" s="11" t="s">
        <v>2171</v>
      </c>
      <c r="K4540" s="11" t="s">
        <v>1866</v>
      </c>
      <c r="L4540" s="11" t="s">
        <v>1619</v>
      </c>
      <c r="M4540" s="11" t="s">
        <v>21538</v>
      </c>
      <c r="N4540" s="11">
        <v>52642</v>
      </c>
      <c r="O4540" s="11">
        <v>2665</v>
      </c>
      <c r="P4540" s="11">
        <v>0</v>
      </c>
      <c r="Q4540" s="11" t="s">
        <v>21539</v>
      </c>
      <c r="R4540" s="14" t="s">
        <v>21540</v>
      </c>
      <c r="S4540" s="11">
        <v>271</v>
      </c>
      <c r="T4540" s="11" t="s">
        <v>39</v>
      </c>
      <c r="U4540" s="11" t="s">
        <v>40</v>
      </c>
      <c r="V4540" s="11" t="s">
        <v>586</v>
      </c>
      <c r="W4540" s="11">
        <v>1000000</v>
      </c>
      <c r="X4540" s="11">
        <v>2012</v>
      </c>
      <c r="Y4540" s="11">
        <v>466</v>
      </c>
      <c r="Z4540" s="11">
        <v>5</v>
      </c>
      <c r="AA4540" s="11">
        <v>1.85</v>
      </c>
      <c r="AB4540" s="11">
        <v>24000</v>
      </c>
      <c r="AC4540" s="11"/>
      <c r="AD4540" s="11" t="str">
        <f>IFERROR(__xludf.DUMMYFUNCTION("""COMPUTED_VALUE"""),"Stephanie Leonidas")</f>
        <v>Stephanie Leonidas</v>
      </c>
      <c r="AE4540" s="11"/>
    </row>
    <row r="4541" customHeight="1" spans="1:31">
      <c r="A4541" s="12" t="s">
        <v>30</v>
      </c>
      <c r="B4541" s="12" t="s">
        <v>21541</v>
      </c>
      <c r="C4541" s="12">
        <v>203</v>
      </c>
      <c r="D4541" s="12">
        <v>86</v>
      </c>
      <c r="E4541" s="12">
        <v>385</v>
      </c>
      <c r="F4541" s="12">
        <v>100</v>
      </c>
      <c r="G4541" s="12">
        <v>266</v>
      </c>
      <c r="H4541" s="12">
        <v>14564027</v>
      </c>
      <c r="I4541" s="12" t="s">
        <v>7406</v>
      </c>
      <c r="J4541" s="12" t="s">
        <v>21542</v>
      </c>
      <c r="K4541" s="12" t="s">
        <v>21543</v>
      </c>
      <c r="L4541" s="12" t="s">
        <v>21544</v>
      </c>
      <c r="M4541" s="12" t="s">
        <v>21545</v>
      </c>
      <c r="N4541" s="12">
        <v>76407</v>
      </c>
      <c r="O4541" s="12">
        <v>673</v>
      </c>
      <c r="P4541" s="12">
        <v>0</v>
      </c>
      <c r="Q4541" s="12" t="s">
        <v>21546</v>
      </c>
      <c r="R4541" s="15" t="s">
        <v>21547</v>
      </c>
      <c r="S4541" s="12">
        <v>335</v>
      </c>
      <c r="T4541" s="12" t="s">
        <v>39</v>
      </c>
      <c r="U4541" s="12" t="s">
        <v>58</v>
      </c>
      <c r="V4541" s="12" t="s">
        <v>586</v>
      </c>
      <c r="W4541" s="12">
        <v>1000000</v>
      </c>
      <c r="X4541" s="12">
        <v>1987</v>
      </c>
      <c r="Y4541" s="12">
        <v>209</v>
      </c>
      <c r="Z4541" s="12">
        <v>7</v>
      </c>
      <c r="AA4541" s="12">
        <v>1.85</v>
      </c>
      <c r="AB4541" s="12">
        <v>0</v>
      </c>
      <c r="AC4541" s="12"/>
      <c r="AD4541" s="12" t="str">
        <f>IFERROR(__xludf.DUMMYFUNCTION("""COMPUTED_VALUE"""),"Rob Brydon")</f>
        <v>Rob Brydon</v>
      </c>
      <c r="AE4541" s="12"/>
    </row>
    <row r="4542" customHeight="1" spans="1:31">
      <c r="A4542" s="11" t="s">
        <v>30</v>
      </c>
      <c r="B4542" s="11" t="s">
        <v>21548</v>
      </c>
      <c r="C4542" s="11">
        <v>29</v>
      </c>
      <c r="D4542" s="11">
        <v>120</v>
      </c>
      <c r="E4542" s="11">
        <v>18</v>
      </c>
      <c r="F4542" s="11">
        <v>295</v>
      </c>
      <c r="G4542" s="11">
        <v>634</v>
      </c>
      <c r="H4542" s="11">
        <v>20773070</v>
      </c>
      <c r="I4542" s="11" t="s">
        <v>3410</v>
      </c>
      <c r="J4542" s="11" t="s">
        <v>21549</v>
      </c>
      <c r="K4542" s="11" t="s">
        <v>21550</v>
      </c>
      <c r="L4542" s="11" t="s">
        <v>21551</v>
      </c>
      <c r="M4542" s="11" t="s">
        <v>21552</v>
      </c>
      <c r="N4542" s="11">
        <v>4501</v>
      </c>
      <c r="O4542" s="11">
        <v>1810</v>
      </c>
      <c r="P4542" s="11">
        <v>11</v>
      </c>
      <c r="Q4542" s="11" t="s">
        <v>21553</v>
      </c>
      <c r="R4542" s="14" t="s">
        <v>21554</v>
      </c>
      <c r="S4542" s="11">
        <v>102</v>
      </c>
      <c r="T4542" s="11" t="s">
        <v>39</v>
      </c>
      <c r="U4542" s="11" t="s">
        <v>40</v>
      </c>
      <c r="V4542" s="11" t="s">
        <v>96</v>
      </c>
      <c r="W4542" s="11">
        <v>5000000</v>
      </c>
      <c r="X4542" s="11">
        <v>2016</v>
      </c>
      <c r="Y4542" s="11">
        <v>420</v>
      </c>
      <c r="Z4542" s="11">
        <v>3.4</v>
      </c>
      <c r="AA4542" s="11">
        <v>2.35</v>
      </c>
      <c r="AB4542" s="11">
        <v>0</v>
      </c>
      <c r="AC4542" s="11"/>
      <c r="AD4542" s="11" t="str">
        <f>IFERROR(__xludf.DUMMYFUNCTION("""COMPUTED_VALUE"""),"Collin Alfredo St. Dic")</f>
        <v>Collin Alfredo St. Dic</v>
      </c>
      <c r="AE4542" s="11"/>
    </row>
    <row r="4543" customHeight="1" spans="1:31">
      <c r="A4543" s="12" t="s">
        <v>30</v>
      </c>
      <c r="B4543" s="12" t="s">
        <v>9032</v>
      </c>
      <c r="C4543" s="12">
        <v>137</v>
      </c>
      <c r="D4543" s="12">
        <v>90</v>
      </c>
      <c r="E4543" s="12">
        <v>65</v>
      </c>
      <c r="F4543" s="12">
        <v>683</v>
      </c>
      <c r="G4543" s="12">
        <v>1000</v>
      </c>
      <c r="H4543" s="12">
        <v>10042266</v>
      </c>
      <c r="I4543" s="12" t="s">
        <v>6133</v>
      </c>
      <c r="J4543" s="12" t="s">
        <v>13946</v>
      </c>
      <c r="K4543" s="12" t="s">
        <v>3230</v>
      </c>
      <c r="L4543" s="12" t="s">
        <v>15007</v>
      </c>
      <c r="M4543" s="12" t="s">
        <v>21555</v>
      </c>
      <c r="N4543" s="12">
        <v>23021</v>
      </c>
      <c r="O4543" s="12">
        <v>3155</v>
      </c>
      <c r="P4543" s="12">
        <v>0</v>
      </c>
      <c r="Q4543" s="12" t="s">
        <v>21556</v>
      </c>
      <c r="R4543" s="15" t="s">
        <v>21557</v>
      </c>
      <c r="S4543" s="12">
        <v>220</v>
      </c>
      <c r="T4543" s="12" t="s">
        <v>39</v>
      </c>
      <c r="U4543" s="12" t="s">
        <v>40</v>
      </c>
      <c r="V4543" s="12" t="s">
        <v>41</v>
      </c>
      <c r="W4543" s="12">
        <v>1000000</v>
      </c>
      <c r="X4543" s="12">
        <v>2005</v>
      </c>
      <c r="Y4543" s="12">
        <v>989</v>
      </c>
      <c r="Z4543" s="12">
        <v>5.9</v>
      </c>
      <c r="AA4543" s="12">
        <v>2.35</v>
      </c>
      <c r="AB4543" s="12">
        <v>816</v>
      </c>
      <c r="AC4543" s="12"/>
      <c r="AD4543" s="12" t="str">
        <f>IFERROR(__xludf.DUMMYFUNCTION("""COMPUTED_VALUE"""),"Balinese Tari Legong Dancers")</f>
        <v>Balinese Tari Legong Dancers</v>
      </c>
      <c r="AE4543" s="12"/>
    </row>
    <row r="4544" customHeight="1" spans="1:31">
      <c r="A4544" s="11" t="s">
        <v>30</v>
      </c>
      <c r="B4544" s="11" t="s">
        <v>21558</v>
      </c>
      <c r="C4544" s="11">
        <v>107</v>
      </c>
      <c r="D4544" s="11">
        <v>99</v>
      </c>
      <c r="E4544" s="11">
        <v>2</v>
      </c>
      <c r="F4544" s="11">
        <v>3</v>
      </c>
      <c r="G4544" s="11">
        <v>43</v>
      </c>
      <c r="H4544" s="11">
        <v>10037390</v>
      </c>
      <c r="I4544" s="11" t="s">
        <v>5665</v>
      </c>
      <c r="J4544" s="11" t="s">
        <v>21559</v>
      </c>
      <c r="K4544" s="11" t="s">
        <v>21560</v>
      </c>
      <c r="L4544" s="11" t="s">
        <v>21561</v>
      </c>
      <c r="M4544" s="11" t="s">
        <v>21562</v>
      </c>
      <c r="N4544" s="11">
        <v>5442</v>
      </c>
      <c r="O4544" s="11">
        <v>53</v>
      </c>
      <c r="P4544" s="11">
        <v>0</v>
      </c>
      <c r="Q4544" s="11" t="s">
        <v>21563</v>
      </c>
      <c r="R4544" s="14" t="s">
        <v>21564</v>
      </c>
      <c r="S4544" s="11">
        <v>140</v>
      </c>
      <c r="T4544" s="11" t="s">
        <v>677</v>
      </c>
      <c r="U4544" s="11" t="s">
        <v>678</v>
      </c>
      <c r="V4544" s="11" t="s">
        <v>96</v>
      </c>
      <c r="W4544" s="11">
        <v>1000000000</v>
      </c>
      <c r="X4544" s="11">
        <v>1999</v>
      </c>
      <c r="Y4544" s="11">
        <v>3</v>
      </c>
      <c r="Z4544" s="11">
        <v>6</v>
      </c>
      <c r="AA4544" s="11">
        <v>2.35</v>
      </c>
      <c r="AB4544" s="11">
        <v>339</v>
      </c>
      <c r="AC4544" s="11"/>
      <c r="AD4544" s="11" t="str">
        <f>IFERROR(__xludf.DUMMYFUNCTION("""COMPUTED_VALUE"""),"Puti Sri Candra Dewi")</f>
        <v>Puti Sri Candra Dewi</v>
      </c>
      <c r="AE4544" s="11"/>
    </row>
    <row r="4545" customHeight="1" spans="1:31">
      <c r="A4545" s="12" t="s">
        <v>30</v>
      </c>
      <c r="B4545" s="12" t="s">
        <v>12959</v>
      </c>
      <c r="C4545" s="12">
        <v>377</v>
      </c>
      <c r="D4545" s="12">
        <v>112</v>
      </c>
      <c r="E4545" s="12">
        <v>310</v>
      </c>
      <c r="F4545" s="12">
        <v>616</v>
      </c>
      <c r="G4545" s="12">
        <v>33000</v>
      </c>
      <c r="H4545" s="12">
        <v>9701559</v>
      </c>
      <c r="I4545" s="12" t="s">
        <v>214</v>
      </c>
      <c r="J4545" s="12" t="s">
        <v>4214</v>
      </c>
      <c r="K4545" s="12" t="s">
        <v>713</v>
      </c>
      <c r="L4545" s="12" t="s">
        <v>6701</v>
      </c>
      <c r="M4545" s="12" t="s">
        <v>21565</v>
      </c>
      <c r="N4545" s="12">
        <v>141425</v>
      </c>
      <c r="O4545" s="12">
        <v>35941</v>
      </c>
      <c r="P4545" s="12">
        <v>0</v>
      </c>
      <c r="Q4545" s="12" t="s">
        <v>21566</v>
      </c>
      <c r="R4545" s="15" t="s">
        <v>21567</v>
      </c>
      <c r="S4545" s="12">
        <v>283</v>
      </c>
      <c r="T4545" s="12" t="s">
        <v>39</v>
      </c>
      <c r="U4545" s="12" t="s">
        <v>40</v>
      </c>
      <c r="V4545" s="12" t="s">
        <v>586</v>
      </c>
      <c r="W4545" s="12">
        <v>3500000</v>
      </c>
      <c r="X4545" s="12">
        <v>2010</v>
      </c>
      <c r="Y4545" s="12">
        <v>2000</v>
      </c>
      <c r="Z4545" s="12">
        <v>7.4</v>
      </c>
      <c r="AA4545" s="12">
        <v>1.66</v>
      </c>
      <c r="AB4545" s="12">
        <v>25000</v>
      </c>
      <c r="AC4545" s="12"/>
      <c r="AD4545" s="12" t="str">
        <f>IFERROR(__xludf.DUMMYFUNCTION("""COMPUTED_VALUE"""),"Eva LaRue")</f>
        <v>Eva LaRue</v>
      </c>
      <c r="AE4545" s="12"/>
    </row>
    <row r="4546" customHeight="1" spans="1:31">
      <c r="A4546" s="11" t="s">
        <v>30</v>
      </c>
      <c r="B4546" s="11" t="s">
        <v>21568</v>
      </c>
      <c r="C4546" s="11">
        <v>169</v>
      </c>
      <c r="D4546" s="11">
        <v>103</v>
      </c>
      <c r="E4546" s="11">
        <v>2</v>
      </c>
      <c r="F4546" s="11">
        <v>226</v>
      </c>
      <c r="G4546" s="11">
        <v>2000</v>
      </c>
      <c r="H4546" s="11">
        <v>9013113</v>
      </c>
      <c r="I4546" s="11" t="s">
        <v>5384</v>
      </c>
      <c r="J4546" s="11" t="s">
        <v>4373</v>
      </c>
      <c r="K4546" s="11" t="s">
        <v>1926</v>
      </c>
      <c r="L4546" s="11" t="s">
        <v>21569</v>
      </c>
      <c r="M4546" s="11" t="s">
        <v>21570</v>
      </c>
      <c r="N4546" s="11">
        <v>36321</v>
      </c>
      <c r="O4546" s="11">
        <v>3192</v>
      </c>
      <c r="P4546" s="11">
        <v>2</v>
      </c>
      <c r="Q4546" s="11" t="s">
        <v>21571</v>
      </c>
      <c r="R4546" s="14" t="s">
        <v>21572</v>
      </c>
      <c r="S4546" s="11">
        <v>230</v>
      </c>
      <c r="T4546" s="11" t="s">
        <v>39</v>
      </c>
      <c r="U4546" s="11" t="s">
        <v>40</v>
      </c>
      <c r="V4546" s="11" t="s">
        <v>586</v>
      </c>
      <c r="W4546" s="11">
        <v>1000000</v>
      </c>
      <c r="X4546" s="11">
        <v>2005</v>
      </c>
      <c r="Y4546" s="11">
        <v>508</v>
      </c>
      <c r="Z4546" s="11">
        <v>7.4</v>
      </c>
      <c r="AA4546" s="11">
        <v>1.85</v>
      </c>
      <c r="AB4546" s="11">
        <v>0</v>
      </c>
      <c r="AC4546" s="11"/>
      <c r="AD4546" s="11" t="str">
        <f>IFERROR(__xludf.DUMMYFUNCTION("""COMPUTED_VALUE"""),"Elena Satine")</f>
        <v>Elena Satine</v>
      </c>
      <c r="AE4546" s="11"/>
    </row>
    <row r="4547" customHeight="1" spans="1:31">
      <c r="A4547" s="12" t="s">
        <v>30</v>
      </c>
      <c r="B4547" s="12" t="s">
        <v>10984</v>
      </c>
      <c r="C4547" s="12">
        <v>225</v>
      </c>
      <c r="D4547" s="12">
        <v>83</v>
      </c>
      <c r="E4547" s="12">
        <v>19</v>
      </c>
      <c r="F4547" s="12">
        <v>128</v>
      </c>
      <c r="G4547" s="12">
        <v>403</v>
      </c>
      <c r="H4547" s="12">
        <v>53245055</v>
      </c>
      <c r="I4547" s="12" t="s">
        <v>6403</v>
      </c>
      <c r="J4547" s="12" t="s">
        <v>21573</v>
      </c>
      <c r="K4547" s="12" t="s">
        <v>21574</v>
      </c>
      <c r="L4547" s="12" t="s">
        <v>10231</v>
      </c>
      <c r="M4547" s="12" t="s">
        <v>21575</v>
      </c>
      <c r="N4547" s="12">
        <v>30570</v>
      </c>
      <c r="O4547" s="12">
        <v>988</v>
      </c>
      <c r="P4547" s="12">
        <v>0</v>
      </c>
      <c r="Q4547" s="12" t="s">
        <v>21576</v>
      </c>
      <c r="R4547" s="15" t="s">
        <v>21577</v>
      </c>
      <c r="S4547" s="12">
        <v>290</v>
      </c>
      <c r="T4547" s="12" t="s">
        <v>39</v>
      </c>
      <c r="U4547" s="12" t="s">
        <v>40</v>
      </c>
      <c r="V4547" s="12" t="s">
        <v>586</v>
      </c>
      <c r="W4547" s="12">
        <v>1000000</v>
      </c>
      <c r="X4547" s="12">
        <v>2012</v>
      </c>
      <c r="Y4547" s="12">
        <v>169</v>
      </c>
      <c r="Z4547" s="12">
        <v>4.2</v>
      </c>
      <c r="AA4547" s="12">
        <v>1.85</v>
      </c>
      <c r="AB4547" s="12">
        <v>12000</v>
      </c>
      <c r="AC4547" s="12"/>
      <c r="AD4547" s="12" t="str">
        <f>IFERROR(__xludf.DUMMYFUNCTION("""COMPUTED_VALUE"""),"Leos Carax")</f>
        <v>Leos Carax</v>
      </c>
      <c r="AE4547" s="12"/>
    </row>
    <row r="4548" customHeight="1" spans="1:31">
      <c r="A4548" s="11" t="s">
        <v>30</v>
      </c>
      <c r="B4548" s="11" t="s">
        <v>21578</v>
      </c>
      <c r="C4548" s="11">
        <v>101</v>
      </c>
      <c r="D4548" s="11">
        <v>109</v>
      </c>
      <c r="E4548" s="11">
        <v>199</v>
      </c>
      <c r="F4548" s="11">
        <v>44</v>
      </c>
      <c r="G4548" s="11">
        <v>503</v>
      </c>
      <c r="H4548" s="11">
        <v>9000000</v>
      </c>
      <c r="I4548" s="11" t="s">
        <v>5511</v>
      </c>
      <c r="J4548" s="11" t="s">
        <v>2712</v>
      </c>
      <c r="K4548" s="11" t="s">
        <v>21579</v>
      </c>
      <c r="L4548" s="11" t="s">
        <v>21580</v>
      </c>
      <c r="M4548" s="11" t="s">
        <v>21581</v>
      </c>
      <c r="N4548" s="11">
        <v>7584</v>
      </c>
      <c r="O4548" s="11">
        <v>731</v>
      </c>
      <c r="P4548" s="11">
        <v>8</v>
      </c>
      <c r="Q4548" s="11" t="s">
        <v>21582</v>
      </c>
      <c r="R4548" s="14" t="s">
        <v>21583</v>
      </c>
      <c r="S4548" s="11">
        <v>137</v>
      </c>
      <c r="T4548" s="11" t="s">
        <v>39</v>
      </c>
      <c r="U4548" s="11" t="s">
        <v>40</v>
      </c>
      <c r="V4548" s="11" t="s">
        <v>7335</v>
      </c>
      <c r="W4548" s="11">
        <v>900000</v>
      </c>
      <c r="X4548" s="11">
        <v>1970</v>
      </c>
      <c r="Y4548" s="11">
        <v>46</v>
      </c>
      <c r="Z4548" s="11">
        <v>6.2</v>
      </c>
      <c r="AA4548" s="11">
        <v>2.35</v>
      </c>
      <c r="AB4548" s="11">
        <v>0</v>
      </c>
      <c r="AC4548" s="11"/>
      <c r="AD4548" s="11" t="str">
        <f>IFERROR(__xludf.DUMMYFUNCTION("""COMPUTED_VALUE"""),"Ronnie Gene Blevins")</f>
        <v>Ronnie Gene Blevins</v>
      </c>
      <c r="AE4548" s="11"/>
    </row>
    <row r="4549" customHeight="1" spans="1:31">
      <c r="A4549" s="12" t="s">
        <v>748</v>
      </c>
      <c r="B4549" s="12" t="s">
        <v>21584</v>
      </c>
      <c r="C4549" s="12">
        <v>39</v>
      </c>
      <c r="D4549" s="12">
        <v>89</v>
      </c>
      <c r="E4549" s="12">
        <v>0</v>
      </c>
      <c r="F4549" s="12">
        <v>102</v>
      </c>
      <c r="G4549" s="12">
        <v>356</v>
      </c>
      <c r="H4549" s="16"/>
      <c r="I4549" s="12" t="s">
        <v>4043</v>
      </c>
      <c r="J4549" s="12" t="s">
        <v>21585</v>
      </c>
      <c r="K4549" s="12" t="s">
        <v>21586</v>
      </c>
      <c r="L4549" s="12" t="s">
        <v>21587</v>
      </c>
      <c r="M4549" s="12" t="s">
        <v>21588</v>
      </c>
      <c r="N4549" s="12">
        <v>2636</v>
      </c>
      <c r="O4549" s="12">
        <v>831</v>
      </c>
      <c r="P4549" s="12">
        <v>1</v>
      </c>
      <c r="Q4549" s="12" t="s">
        <v>21589</v>
      </c>
      <c r="R4549" s="15" t="s">
        <v>21590</v>
      </c>
      <c r="S4549" s="12">
        <v>36</v>
      </c>
      <c r="T4549" s="12" t="s">
        <v>39</v>
      </c>
      <c r="U4549" s="12" t="s">
        <v>40</v>
      </c>
      <c r="V4549" s="16"/>
      <c r="W4549" s="12">
        <v>1000000</v>
      </c>
      <c r="X4549" s="12">
        <v>1956</v>
      </c>
      <c r="Y4549" s="12">
        <v>110</v>
      </c>
      <c r="Z4549" s="12">
        <v>6.2</v>
      </c>
      <c r="AA4549" s="12">
        <v>2.35</v>
      </c>
      <c r="AB4549" s="12">
        <v>365</v>
      </c>
      <c r="AC4549" s="12"/>
      <c r="AD4549" s="12" t="str">
        <f>IFERROR(__xludf.DUMMYFUNCTION("""COMPUTED_VALUE"""),"Hal Landon Jr.")</f>
        <v>Hal Landon Jr.</v>
      </c>
      <c r="AE4549" s="12"/>
    </row>
    <row r="4550" customHeight="1" spans="1:31">
      <c r="A4550" s="11" t="s">
        <v>30</v>
      </c>
      <c r="B4550" s="11" t="s">
        <v>13515</v>
      </c>
      <c r="C4550" s="11">
        <v>372</v>
      </c>
      <c r="D4550" s="11">
        <v>96</v>
      </c>
      <c r="E4550" s="11">
        <v>49</v>
      </c>
      <c r="F4550" s="13"/>
      <c r="G4550" s="11">
        <v>861</v>
      </c>
      <c r="H4550" s="11">
        <v>23808111</v>
      </c>
      <c r="I4550" s="11" t="s">
        <v>68</v>
      </c>
      <c r="J4550" s="11" t="s">
        <v>3316</v>
      </c>
      <c r="K4550" s="11" t="s">
        <v>21591</v>
      </c>
      <c r="L4550" s="13"/>
      <c r="M4550" s="11" t="s">
        <v>21592</v>
      </c>
      <c r="N4550" s="11">
        <v>67654</v>
      </c>
      <c r="O4550" s="11">
        <v>929</v>
      </c>
      <c r="P4550" s="11">
        <v>0</v>
      </c>
      <c r="Q4550" s="11" t="s">
        <v>21593</v>
      </c>
      <c r="R4550" s="14" t="s">
        <v>21594</v>
      </c>
      <c r="S4550" s="11">
        <v>504</v>
      </c>
      <c r="T4550" s="11" t="s">
        <v>39</v>
      </c>
      <c r="U4550" s="11" t="s">
        <v>40</v>
      </c>
      <c r="V4550" s="11" t="s">
        <v>96</v>
      </c>
      <c r="W4550" s="13"/>
      <c r="X4550" s="11">
        <v>2006</v>
      </c>
      <c r="Y4550" s="11">
        <v>68</v>
      </c>
      <c r="Z4550" s="11">
        <v>7.5</v>
      </c>
      <c r="AA4550" s="11">
        <v>1.85</v>
      </c>
      <c r="AB4550" s="11">
        <v>0</v>
      </c>
      <c r="AC4550" s="11"/>
      <c r="AD4550" s="11" t="str">
        <f>IFERROR(__xludf.DUMMYFUNCTION("""COMPUTED_VALUE"""),"Kathleen Robertson")</f>
        <v>Kathleen Robertson</v>
      </c>
      <c r="AE4550" s="11"/>
    </row>
    <row r="4551" customHeight="1" spans="1:31">
      <c r="A4551" s="12" t="s">
        <v>748</v>
      </c>
      <c r="B4551" s="12" t="s">
        <v>21595</v>
      </c>
      <c r="C4551" s="12">
        <v>40</v>
      </c>
      <c r="D4551" s="12">
        <v>109</v>
      </c>
      <c r="E4551" s="12">
        <v>23</v>
      </c>
      <c r="F4551" s="12">
        <v>88</v>
      </c>
      <c r="G4551" s="12">
        <v>183</v>
      </c>
      <c r="H4551" s="16"/>
      <c r="I4551" s="12" t="s">
        <v>21596</v>
      </c>
      <c r="J4551" s="12" t="s">
        <v>21597</v>
      </c>
      <c r="K4551" s="12" t="s">
        <v>21598</v>
      </c>
      <c r="L4551" s="12" t="s">
        <v>21599</v>
      </c>
      <c r="M4551" s="12" t="s">
        <v>21600</v>
      </c>
      <c r="N4551" s="12">
        <v>7346</v>
      </c>
      <c r="O4551" s="12">
        <v>510</v>
      </c>
      <c r="P4551" s="12">
        <v>0</v>
      </c>
      <c r="Q4551" s="12" t="s">
        <v>21601</v>
      </c>
      <c r="R4551" s="15" t="s">
        <v>21602</v>
      </c>
      <c r="S4551" s="12">
        <v>69</v>
      </c>
      <c r="T4551" s="12" t="s">
        <v>39</v>
      </c>
      <c r="U4551" s="12" t="s">
        <v>40</v>
      </c>
      <c r="V4551" s="12" t="s">
        <v>6037</v>
      </c>
      <c r="W4551" s="12">
        <v>1000000</v>
      </c>
      <c r="X4551" s="12">
        <v>1949</v>
      </c>
      <c r="Y4551" s="12">
        <v>102</v>
      </c>
      <c r="Z4551" s="12">
        <v>7.2</v>
      </c>
      <c r="AA4551" s="12">
        <v>1.37</v>
      </c>
      <c r="AB4551" s="12">
        <v>624</v>
      </c>
      <c r="AC4551" s="12"/>
      <c r="AD4551" s="12" t="str">
        <f>IFERROR(__xludf.DUMMYFUNCTION("""COMPUTED_VALUE"""),"Beth Broderick")</f>
        <v>Beth Broderick</v>
      </c>
      <c r="AE4551" s="12"/>
    </row>
    <row r="4552" customHeight="1" spans="1:31">
      <c r="A4552" s="11" t="s">
        <v>30</v>
      </c>
      <c r="B4552" s="11" t="s">
        <v>488</v>
      </c>
      <c r="C4552" s="11">
        <v>129</v>
      </c>
      <c r="D4552" s="11">
        <v>122</v>
      </c>
      <c r="E4552" s="11">
        <v>17000</v>
      </c>
      <c r="F4552" s="11">
        <v>184</v>
      </c>
      <c r="G4552" s="11">
        <v>543</v>
      </c>
      <c r="H4552" s="11">
        <v>5355376</v>
      </c>
      <c r="I4552" s="11" t="s">
        <v>21603</v>
      </c>
      <c r="J4552" s="11" t="s">
        <v>21604</v>
      </c>
      <c r="K4552" s="11" t="s">
        <v>21605</v>
      </c>
      <c r="L4552" s="11" t="s">
        <v>21606</v>
      </c>
      <c r="M4552" s="11" t="s">
        <v>21607</v>
      </c>
      <c r="N4552" s="11">
        <v>9638</v>
      </c>
      <c r="O4552" s="11">
        <v>1218</v>
      </c>
      <c r="P4552" s="11">
        <v>0</v>
      </c>
      <c r="Q4552" s="11" t="s">
        <v>21608</v>
      </c>
      <c r="R4552" s="14" t="s">
        <v>21609</v>
      </c>
      <c r="S4552" s="11">
        <v>67</v>
      </c>
      <c r="T4552" s="11" t="s">
        <v>39</v>
      </c>
      <c r="U4552" s="11" t="s">
        <v>40</v>
      </c>
      <c r="V4552" s="11" t="s">
        <v>41</v>
      </c>
      <c r="W4552" s="13"/>
      <c r="X4552" s="11">
        <v>2008</v>
      </c>
      <c r="Y4552" s="11">
        <v>426</v>
      </c>
      <c r="Z4552" s="11">
        <v>7.2</v>
      </c>
      <c r="AA4552" s="11">
        <v>1.85</v>
      </c>
      <c r="AB4552" s="11">
        <v>0</v>
      </c>
      <c r="AC4552" s="11"/>
      <c r="AD4552" s="11" t="str">
        <f>IFERROR(__xludf.DUMMYFUNCTION("""COMPUTED_VALUE"""),"Hector Kotsifakis")</f>
        <v>Hector Kotsifakis</v>
      </c>
      <c r="AE4552" s="11"/>
    </row>
    <row r="4553" customHeight="1" spans="1:31">
      <c r="A4553" s="12" t="s">
        <v>30</v>
      </c>
      <c r="B4553" s="12" t="s">
        <v>16339</v>
      </c>
      <c r="C4553" s="12">
        <v>285</v>
      </c>
      <c r="D4553" s="12">
        <v>100</v>
      </c>
      <c r="E4553" s="12">
        <v>0</v>
      </c>
      <c r="F4553" s="12">
        <v>389</v>
      </c>
      <c r="G4553" s="12">
        <v>640</v>
      </c>
      <c r="H4553" s="12">
        <v>7186670</v>
      </c>
      <c r="I4553" s="12" t="s">
        <v>17699</v>
      </c>
      <c r="J4553" s="12" t="s">
        <v>74</v>
      </c>
      <c r="K4553" s="12" t="s">
        <v>1011</v>
      </c>
      <c r="L4553" s="12" t="s">
        <v>21610</v>
      </c>
      <c r="M4553" s="12" t="s">
        <v>21611</v>
      </c>
      <c r="N4553" s="12">
        <v>21468</v>
      </c>
      <c r="O4553" s="12">
        <v>2082</v>
      </c>
      <c r="P4553" s="12">
        <v>0</v>
      </c>
      <c r="Q4553" s="12" t="s">
        <v>21612</v>
      </c>
      <c r="R4553" s="15" t="s">
        <v>21613</v>
      </c>
      <c r="S4553" s="12">
        <v>164</v>
      </c>
      <c r="T4553" s="12" t="s">
        <v>39</v>
      </c>
      <c r="U4553" s="12" t="s">
        <v>40</v>
      </c>
      <c r="V4553" s="12" t="s">
        <v>586</v>
      </c>
      <c r="W4553" s="12">
        <v>6000000</v>
      </c>
      <c r="X4553" s="12">
        <v>2013</v>
      </c>
      <c r="Y4553" s="12">
        <v>550</v>
      </c>
      <c r="Z4553" s="12">
        <v>5.4</v>
      </c>
      <c r="AA4553" s="12">
        <v>2.35</v>
      </c>
      <c r="AB4553" s="12">
        <v>12000</v>
      </c>
      <c r="AC4553" s="12"/>
      <c r="AD4553" s="12" t="str">
        <f>IFERROR(__xludf.DUMMYFUNCTION("""COMPUTED_VALUE"""),"Adriana Barraza")</f>
        <v>Adriana Barraza</v>
      </c>
      <c r="AE4553" s="12"/>
    </row>
    <row r="4554" customHeight="1" spans="1:31">
      <c r="A4554" s="11" t="s">
        <v>30</v>
      </c>
      <c r="B4554" s="11" t="s">
        <v>21614</v>
      </c>
      <c r="C4554" s="11">
        <v>29</v>
      </c>
      <c r="D4554" s="11">
        <v>109</v>
      </c>
      <c r="E4554" s="11">
        <v>0</v>
      </c>
      <c r="F4554" s="11">
        <v>30</v>
      </c>
      <c r="G4554" s="11">
        <v>202</v>
      </c>
      <c r="H4554" s="13"/>
      <c r="I4554" s="11" t="s">
        <v>12745</v>
      </c>
      <c r="J4554" s="11" t="s">
        <v>11949</v>
      </c>
      <c r="K4554" s="11" t="s">
        <v>21615</v>
      </c>
      <c r="L4554" s="11" t="s">
        <v>21616</v>
      </c>
      <c r="M4554" s="11" t="s">
        <v>21617</v>
      </c>
      <c r="N4554" s="11">
        <v>162</v>
      </c>
      <c r="O4554" s="11">
        <v>283</v>
      </c>
      <c r="P4554" s="11">
        <v>0</v>
      </c>
      <c r="Q4554" s="11" t="s">
        <v>21618</v>
      </c>
      <c r="R4554" s="14" t="s">
        <v>21619</v>
      </c>
      <c r="S4554" s="11">
        <v>5</v>
      </c>
      <c r="T4554" s="11" t="s">
        <v>39</v>
      </c>
      <c r="U4554" s="11" t="s">
        <v>58</v>
      </c>
      <c r="V4554" s="13"/>
      <c r="W4554" s="11">
        <v>1100000</v>
      </c>
      <c r="X4554" s="11">
        <v>2015</v>
      </c>
      <c r="Y4554" s="11">
        <v>47</v>
      </c>
      <c r="Z4554" s="11">
        <v>7</v>
      </c>
      <c r="AA4554" s="11">
        <v>1.85</v>
      </c>
      <c r="AB4554" s="11">
        <v>75</v>
      </c>
      <c r="AC4554" s="11"/>
      <c r="AD4554" s="11" t="str">
        <f>IFERROR(__xludf.DUMMYFUNCTION("""COMPUTED_VALUE"""),"Arcelia Ramírez")</f>
        <v>Arcelia Ramírez</v>
      </c>
      <c r="AE4554" s="11"/>
    </row>
    <row r="4555" customHeight="1" spans="1:31">
      <c r="A4555" s="12" t="s">
        <v>30</v>
      </c>
      <c r="B4555" s="12" t="s">
        <v>21620</v>
      </c>
      <c r="C4555" s="12">
        <v>337</v>
      </c>
      <c r="D4555" s="12">
        <v>95</v>
      </c>
      <c r="E4555" s="12">
        <v>20</v>
      </c>
      <c r="F4555" s="12">
        <v>365</v>
      </c>
      <c r="G4555" s="12">
        <v>422</v>
      </c>
      <c r="H4555" s="12">
        <v>5997134</v>
      </c>
      <c r="I4555" s="12" t="s">
        <v>5023</v>
      </c>
      <c r="J4555" s="12" t="s">
        <v>11568</v>
      </c>
      <c r="K4555" s="12" t="s">
        <v>3083</v>
      </c>
      <c r="L4555" s="12" t="s">
        <v>21621</v>
      </c>
      <c r="M4555" s="12" t="s">
        <v>21622</v>
      </c>
      <c r="N4555" s="12">
        <v>36381</v>
      </c>
      <c r="O4555" s="12">
        <v>1899</v>
      </c>
      <c r="P4555" s="12">
        <v>3</v>
      </c>
      <c r="Q4555" s="12" t="s">
        <v>21623</v>
      </c>
      <c r="R4555" s="15" t="s">
        <v>21624</v>
      </c>
      <c r="S4555" s="12">
        <v>126</v>
      </c>
      <c r="T4555" s="12" t="s">
        <v>39</v>
      </c>
      <c r="U4555" s="12" t="s">
        <v>40</v>
      </c>
      <c r="V4555" s="12" t="s">
        <v>586</v>
      </c>
      <c r="W4555" s="12">
        <v>1000000</v>
      </c>
      <c r="X4555" s="12">
        <v>2012</v>
      </c>
      <c r="Y4555" s="12">
        <v>374</v>
      </c>
      <c r="Z4555" s="12">
        <v>7.2</v>
      </c>
      <c r="AA4555" s="12">
        <v>1.85</v>
      </c>
      <c r="AB4555" s="12">
        <v>11000</v>
      </c>
      <c r="AC4555" s="12"/>
      <c r="AD4555" s="12" t="str">
        <f>IFERROR(__xludf.DUMMYFUNCTION("""COMPUTED_VALUE"""),"Jordan Trovillion")</f>
        <v>Jordan Trovillion</v>
      </c>
      <c r="AE4555" s="12"/>
    </row>
    <row r="4556" customHeight="1" spans="1:31">
      <c r="A4556" s="11" t="s">
        <v>30</v>
      </c>
      <c r="B4556" s="11" t="s">
        <v>21625</v>
      </c>
      <c r="C4556" s="11">
        <v>120</v>
      </c>
      <c r="D4556" s="11">
        <v>94</v>
      </c>
      <c r="E4556" s="11">
        <v>11</v>
      </c>
      <c r="F4556" s="11">
        <v>2</v>
      </c>
      <c r="G4556" s="11">
        <v>37</v>
      </c>
      <c r="H4556" s="11">
        <v>4417124</v>
      </c>
      <c r="I4556" s="11" t="s">
        <v>68</v>
      </c>
      <c r="J4556" s="11" t="s">
        <v>21626</v>
      </c>
      <c r="K4556" s="11" t="s">
        <v>21627</v>
      </c>
      <c r="L4556" s="11" t="s">
        <v>21628</v>
      </c>
      <c r="M4556" s="11" t="s">
        <v>21629</v>
      </c>
      <c r="N4556" s="11">
        <v>42389</v>
      </c>
      <c r="O4556" s="11">
        <v>42</v>
      </c>
      <c r="P4556" s="11">
        <v>0</v>
      </c>
      <c r="Q4556" s="11" t="s">
        <v>21630</v>
      </c>
      <c r="R4556" s="14" t="s">
        <v>21631</v>
      </c>
      <c r="S4556" s="11">
        <v>183</v>
      </c>
      <c r="T4556" s="11" t="s">
        <v>39</v>
      </c>
      <c r="U4556" s="11" t="s">
        <v>40</v>
      </c>
      <c r="V4556" s="11" t="s">
        <v>96</v>
      </c>
      <c r="W4556" s="13"/>
      <c r="X4556" s="11">
        <v>2008</v>
      </c>
      <c r="Y4556" s="11">
        <v>3</v>
      </c>
      <c r="Z4556" s="11">
        <v>7.9</v>
      </c>
      <c r="AA4556" s="11">
        <v>1.78</v>
      </c>
      <c r="AB4556" s="11">
        <v>37000</v>
      </c>
      <c r="AC4556" s="11"/>
      <c r="AD4556" s="11" t="str">
        <f>IFERROR(__xludf.DUMMYFUNCTION("""COMPUTED_VALUE"""),"Zoe Levin")</f>
        <v>Zoe Levin</v>
      </c>
      <c r="AE4556" s="11"/>
    </row>
    <row r="4557" customHeight="1" spans="1:31">
      <c r="A4557" s="12" t="s">
        <v>30</v>
      </c>
      <c r="B4557" s="12" t="s">
        <v>18267</v>
      </c>
      <c r="C4557" s="12">
        <v>40</v>
      </c>
      <c r="D4557" s="12">
        <v>107</v>
      </c>
      <c r="E4557" s="12">
        <v>10</v>
      </c>
      <c r="F4557" s="12">
        <v>245</v>
      </c>
      <c r="G4557" s="12">
        <v>544</v>
      </c>
      <c r="H4557" s="12">
        <v>5355847</v>
      </c>
      <c r="I4557" s="12" t="s">
        <v>3410</v>
      </c>
      <c r="J4557" s="12" t="s">
        <v>18779</v>
      </c>
      <c r="K4557" s="12" t="s">
        <v>21632</v>
      </c>
      <c r="L4557" s="12" t="s">
        <v>21633</v>
      </c>
      <c r="M4557" s="12" t="s">
        <v>21634</v>
      </c>
      <c r="N4557" s="12">
        <v>6110</v>
      </c>
      <c r="O4557" s="12">
        <v>1147</v>
      </c>
      <c r="P4557" s="12">
        <v>1</v>
      </c>
      <c r="Q4557" s="12" t="s">
        <v>21635</v>
      </c>
      <c r="R4557" s="15" t="s">
        <v>21636</v>
      </c>
      <c r="S4557" s="12">
        <v>82</v>
      </c>
      <c r="T4557" s="12" t="s">
        <v>39</v>
      </c>
      <c r="U4557" s="12" t="s">
        <v>40</v>
      </c>
      <c r="V4557" s="12" t="s">
        <v>41</v>
      </c>
      <c r="W4557" s="16"/>
      <c r="X4557" s="12">
        <v>2011</v>
      </c>
      <c r="Y4557" s="12">
        <v>264</v>
      </c>
      <c r="Z4557" s="12">
        <v>6.8</v>
      </c>
      <c r="AA4557" s="16"/>
      <c r="AB4557" s="12">
        <v>0</v>
      </c>
      <c r="AC4557" s="12"/>
      <c r="AD4557" s="12" t="str">
        <f>IFERROR(__xludf.DUMMYFUNCTION("""COMPUTED_VALUE"""),"Rachel Griffiths")</f>
        <v>Rachel Griffiths</v>
      </c>
      <c r="AE4557" s="12"/>
    </row>
    <row r="4558" customHeight="1" spans="1:31">
      <c r="A4558" s="11" t="s">
        <v>30</v>
      </c>
      <c r="B4558" s="11" t="s">
        <v>13182</v>
      </c>
      <c r="C4558" s="11">
        <v>38</v>
      </c>
      <c r="D4558" s="11">
        <v>104</v>
      </c>
      <c r="E4558" s="11">
        <v>122</v>
      </c>
      <c r="F4558" s="11">
        <v>458</v>
      </c>
      <c r="G4558" s="11">
        <v>22000</v>
      </c>
      <c r="H4558" s="11">
        <v>3386698</v>
      </c>
      <c r="I4558" s="11" t="s">
        <v>1415</v>
      </c>
      <c r="J4558" s="11" t="s">
        <v>699</v>
      </c>
      <c r="K4558" s="11" t="s">
        <v>19363</v>
      </c>
      <c r="L4558" s="11" t="s">
        <v>4594</v>
      </c>
      <c r="M4558" s="11" t="s">
        <v>21637</v>
      </c>
      <c r="N4558" s="11">
        <v>4195</v>
      </c>
      <c r="O4558" s="11">
        <v>23461</v>
      </c>
      <c r="P4558" s="11">
        <v>1</v>
      </c>
      <c r="Q4558" s="11" t="s">
        <v>21638</v>
      </c>
      <c r="R4558" s="14" t="s">
        <v>21639</v>
      </c>
      <c r="S4558" s="11">
        <v>86</v>
      </c>
      <c r="T4558" s="11" t="s">
        <v>39</v>
      </c>
      <c r="U4558" s="11" t="s">
        <v>40</v>
      </c>
      <c r="V4558" s="11" t="s">
        <v>586</v>
      </c>
      <c r="W4558" s="11">
        <v>1000000</v>
      </c>
      <c r="X4558" s="11">
        <v>1998</v>
      </c>
      <c r="Y4558" s="11">
        <v>472</v>
      </c>
      <c r="Z4558" s="11">
        <v>6.7</v>
      </c>
      <c r="AA4558" s="11">
        <v>1.85</v>
      </c>
      <c r="AB4558" s="11">
        <v>392</v>
      </c>
      <c r="AC4558" s="11"/>
      <c r="AD4558" s="11" t="str">
        <f>IFERROR(__xludf.DUMMYFUNCTION("""COMPUTED_VALUE"""),"Alan Williams")</f>
        <v>Alan Williams</v>
      </c>
      <c r="AE4558" s="11"/>
    </row>
    <row r="4559" customHeight="1" spans="1:31">
      <c r="A4559" s="12" t="s">
        <v>30</v>
      </c>
      <c r="B4559" s="12" t="s">
        <v>8187</v>
      </c>
      <c r="C4559" s="12">
        <v>387</v>
      </c>
      <c r="D4559" s="12">
        <v>96</v>
      </c>
      <c r="E4559" s="12">
        <v>655</v>
      </c>
      <c r="F4559" s="12">
        <v>973</v>
      </c>
      <c r="G4559" s="12">
        <v>24000</v>
      </c>
      <c r="H4559" s="12">
        <v>143492840</v>
      </c>
      <c r="I4559" s="12" t="s">
        <v>1415</v>
      </c>
      <c r="J4559" s="12" t="s">
        <v>82</v>
      </c>
      <c r="K4559" s="12" t="s">
        <v>750</v>
      </c>
      <c r="L4559" s="12" t="s">
        <v>480</v>
      </c>
      <c r="M4559" s="12" t="s">
        <v>16441</v>
      </c>
      <c r="N4559" s="12">
        <v>414345</v>
      </c>
      <c r="O4559" s="12">
        <v>28817</v>
      </c>
      <c r="P4559" s="12">
        <v>0</v>
      </c>
      <c r="Q4559" s="12" t="s">
        <v>16442</v>
      </c>
      <c r="R4559" s="15" t="s">
        <v>16443</v>
      </c>
      <c r="S4559" s="12">
        <v>881</v>
      </c>
      <c r="T4559" s="12" t="s">
        <v>39</v>
      </c>
      <c r="U4559" s="12" t="s">
        <v>40</v>
      </c>
      <c r="V4559" s="12" t="s">
        <v>41</v>
      </c>
      <c r="W4559" s="12">
        <v>7500000</v>
      </c>
      <c r="X4559" s="12">
        <v>2007</v>
      </c>
      <c r="Y4559" s="12">
        <v>3000</v>
      </c>
      <c r="Z4559" s="12">
        <v>7.5</v>
      </c>
      <c r="AA4559" s="12">
        <v>1.85</v>
      </c>
      <c r="AB4559" s="12">
        <v>10000</v>
      </c>
      <c r="AC4559" s="12"/>
      <c r="AD4559" s="12" t="str">
        <f>IFERROR(__xludf.DUMMYFUNCTION("""COMPUTED_VALUE"""),"Rob Jarvis")</f>
        <v>Rob Jarvis</v>
      </c>
      <c r="AE4559" s="12"/>
    </row>
    <row r="4560" customHeight="1" spans="1:31">
      <c r="A4560" s="11" t="s">
        <v>30</v>
      </c>
      <c r="B4560" s="11" t="s">
        <v>21640</v>
      </c>
      <c r="C4560" s="11">
        <v>185</v>
      </c>
      <c r="D4560" s="11">
        <v>93</v>
      </c>
      <c r="E4560" s="11">
        <v>7</v>
      </c>
      <c r="F4560" s="11">
        <v>180</v>
      </c>
      <c r="G4560" s="11">
        <v>3000</v>
      </c>
      <c r="H4560" s="11">
        <v>5283379</v>
      </c>
      <c r="I4560" s="11" t="s">
        <v>2528</v>
      </c>
      <c r="J4560" s="11" t="s">
        <v>948</v>
      </c>
      <c r="K4560" s="11" t="s">
        <v>9232</v>
      </c>
      <c r="L4560" s="11" t="s">
        <v>21641</v>
      </c>
      <c r="M4560" s="11" t="s">
        <v>21642</v>
      </c>
      <c r="N4560" s="11">
        <v>31254</v>
      </c>
      <c r="O4560" s="11">
        <v>3986</v>
      </c>
      <c r="P4560" s="11">
        <v>2</v>
      </c>
      <c r="Q4560" s="11" t="s">
        <v>21643</v>
      </c>
      <c r="R4560" s="14" t="s">
        <v>21644</v>
      </c>
      <c r="S4560" s="11">
        <v>79</v>
      </c>
      <c r="T4560" s="11" t="s">
        <v>39</v>
      </c>
      <c r="U4560" s="11" t="s">
        <v>40</v>
      </c>
      <c r="V4560" s="11" t="s">
        <v>586</v>
      </c>
      <c r="W4560" s="13"/>
      <c r="X4560" s="11">
        <v>2014</v>
      </c>
      <c r="Y4560" s="11">
        <v>439</v>
      </c>
      <c r="Z4560" s="11">
        <v>6.8</v>
      </c>
      <c r="AA4560" s="11">
        <v>2.35</v>
      </c>
      <c r="AB4560" s="11">
        <v>0</v>
      </c>
      <c r="AC4560" s="11"/>
      <c r="AD4560" s="11" t="str">
        <f>IFERROR(__xludf.DUMMYFUNCTION("""COMPUTED_VALUE"""),"Danny Arroyo")</f>
        <v>Danny Arroyo</v>
      </c>
      <c r="AE4560" s="11"/>
    </row>
    <row r="4561" customHeight="1" spans="1:31">
      <c r="A4561" s="12" t="s">
        <v>30</v>
      </c>
      <c r="B4561" s="12" t="s">
        <v>21645</v>
      </c>
      <c r="C4561" s="12">
        <v>348</v>
      </c>
      <c r="D4561" s="12">
        <v>102</v>
      </c>
      <c r="E4561" s="12">
        <v>46</v>
      </c>
      <c r="F4561" s="12">
        <v>287</v>
      </c>
      <c r="G4561" s="12">
        <v>321</v>
      </c>
      <c r="H4561" s="12">
        <v>2981638</v>
      </c>
      <c r="I4561" s="12" t="s">
        <v>1924</v>
      </c>
      <c r="J4561" s="12" t="s">
        <v>21510</v>
      </c>
      <c r="K4561" s="12" t="s">
        <v>21646</v>
      </c>
      <c r="L4561" s="12" t="s">
        <v>4806</v>
      </c>
      <c r="M4561" s="12" t="s">
        <v>21647</v>
      </c>
      <c r="N4561" s="12">
        <v>40425</v>
      </c>
      <c r="O4561" s="12">
        <v>1263</v>
      </c>
      <c r="P4561" s="12">
        <v>0</v>
      </c>
      <c r="Q4561" s="12" t="s">
        <v>21648</v>
      </c>
      <c r="R4561" s="15" t="s">
        <v>21649</v>
      </c>
      <c r="S4561" s="12">
        <v>186</v>
      </c>
      <c r="T4561" s="12" t="s">
        <v>39</v>
      </c>
      <c r="U4561" s="12" t="s">
        <v>40</v>
      </c>
      <c r="V4561" s="12" t="s">
        <v>586</v>
      </c>
      <c r="W4561" s="16"/>
      <c r="X4561" s="12">
        <v>2011</v>
      </c>
      <c r="Y4561" s="12">
        <v>300</v>
      </c>
      <c r="Z4561" s="12">
        <v>6.9</v>
      </c>
      <c r="AA4561" s="12">
        <v>2.35</v>
      </c>
      <c r="AB4561" s="12">
        <v>0</v>
      </c>
      <c r="AC4561" s="12"/>
      <c r="AD4561" s="12" t="str">
        <f>IFERROR(__xludf.DUMMYFUNCTION("""COMPUTED_VALUE"""),"Enrique Villén")</f>
        <v>Enrique Villén</v>
      </c>
      <c r="AE4561" s="12"/>
    </row>
    <row r="4562" customHeight="1" spans="1:31">
      <c r="A4562" s="11" t="s">
        <v>30</v>
      </c>
      <c r="B4562" s="11" t="s">
        <v>21650</v>
      </c>
      <c r="C4562" s="11">
        <v>155</v>
      </c>
      <c r="D4562" s="11">
        <v>84</v>
      </c>
      <c r="E4562" s="11">
        <v>9</v>
      </c>
      <c r="F4562" s="11">
        <v>313</v>
      </c>
      <c r="G4562" s="11">
        <v>612</v>
      </c>
      <c r="H4562" s="11">
        <v>3122616</v>
      </c>
      <c r="I4562" s="11" t="s">
        <v>2528</v>
      </c>
      <c r="J4562" s="11" t="s">
        <v>2263</v>
      </c>
      <c r="K4562" s="11" t="s">
        <v>21651</v>
      </c>
      <c r="L4562" s="11" t="s">
        <v>21652</v>
      </c>
      <c r="M4562" s="11" t="s">
        <v>21653</v>
      </c>
      <c r="N4562" s="11">
        <v>16594</v>
      </c>
      <c r="O4562" s="11">
        <v>1587</v>
      </c>
      <c r="P4562" s="11">
        <v>1</v>
      </c>
      <c r="Q4562" s="11" t="s">
        <v>21654</v>
      </c>
      <c r="R4562" s="14" t="s">
        <v>21655</v>
      </c>
      <c r="S4562" s="11">
        <v>73</v>
      </c>
      <c r="T4562" s="11" t="s">
        <v>39</v>
      </c>
      <c r="U4562" s="11" t="s">
        <v>40</v>
      </c>
      <c r="V4562" s="11" t="s">
        <v>586</v>
      </c>
      <c r="W4562" s="13"/>
      <c r="X4562" s="11">
        <v>2014</v>
      </c>
      <c r="Y4562" s="11">
        <v>457</v>
      </c>
      <c r="Z4562" s="11">
        <v>6.8</v>
      </c>
      <c r="AA4562" s="11">
        <v>2.35</v>
      </c>
      <c r="AB4562" s="11">
        <v>0</v>
      </c>
      <c r="AC4562" s="11"/>
      <c r="AD4562" s="11" t="str">
        <f>IFERROR(__xludf.DUMMYFUNCTION("""COMPUTED_VALUE"""),"Aida Folch")</f>
        <v>Aida Folch</v>
      </c>
      <c r="AE4562" s="11"/>
    </row>
    <row r="4563" customHeight="1" spans="1:31">
      <c r="A4563" s="12" t="s">
        <v>30</v>
      </c>
      <c r="B4563" s="12" t="s">
        <v>21656</v>
      </c>
      <c r="C4563" s="12">
        <v>181</v>
      </c>
      <c r="D4563" s="12">
        <v>97</v>
      </c>
      <c r="E4563" s="12">
        <v>33</v>
      </c>
      <c r="F4563" s="12">
        <v>229</v>
      </c>
      <c r="G4563" s="12">
        <v>496</v>
      </c>
      <c r="H4563" s="12">
        <v>2508841</v>
      </c>
      <c r="I4563" s="12" t="s">
        <v>1936</v>
      </c>
      <c r="J4563" s="12" t="s">
        <v>7183</v>
      </c>
      <c r="K4563" s="12" t="s">
        <v>21657</v>
      </c>
      <c r="L4563" s="12" t="s">
        <v>21658</v>
      </c>
      <c r="M4563" s="12" t="s">
        <v>21659</v>
      </c>
      <c r="N4563" s="12">
        <v>21746</v>
      </c>
      <c r="O4563" s="12">
        <v>994</v>
      </c>
      <c r="P4563" s="12">
        <v>1</v>
      </c>
      <c r="Q4563" s="12" t="s">
        <v>21660</v>
      </c>
      <c r="R4563" s="15" t="s">
        <v>21661</v>
      </c>
      <c r="S4563" s="12">
        <v>93</v>
      </c>
      <c r="T4563" s="12" t="s">
        <v>39</v>
      </c>
      <c r="U4563" s="12" t="s">
        <v>40</v>
      </c>
      <c r="V4563" s="12" t="s">
        <v>586</v>
      </c>
      <c r="W4563" s="12">
        <v>1000000</v>
      </c>
      <c r="X4563" s="12">
        <v>2008</v>
      </c>
      <c r="Y4563" s="12">
        <v>238</v>
      </c>
      <c r="Z4563" s="12">
        <v>7.2</v>
      </c>
      <c r="AA4563" s="12">
        <v>1.85</v>
      </c>
      <c r="AB4563" s="12">
        <v>0</v>
      </c>
      <c r="AC4563" s="12"/>
      <c r="AD4563" s="12" t="str">
        <f>IFERROR(__xludf.DUMMYFUNCTION("""COMPUTED_VALUE"""),"Connor Paolo")</f>
        <v>Connor Paolo</v>
      </c>
      <c r="AE4563" s="12"/>
    </row>
    <row r="4564" customHeight="1" spans="1:31">
      <c r="A4564" s="11" t="s">
        <v>30</v>
      </c>
      <c r="B4564" s="11" t="s">
        <v>21662</v>
      </c>
      <c r="C4564" s="11">
        <v>149</v>
      </c>
      <c r="D4564" s="11">
        <v>91</v>
      </c>
      <c r="E4564" s="11">
        <v>9</v>
      </c>
      <c r="F4564" s="11">
        <v>13</v>
      </c>
      <c r="G4564" s="11">
        <v>130</v>
      </c>
      <c r="H4564" s="11">
        <v>4946250</v>
      </c>
      <c r="I4564" s="11" t="s">
        <v>4068</v>
      </c>
      <c r="J4564" s="11" t="s">
        <v>19899</v>
      </c>
      <c r="K4564" s="11" t="s">
        <v>21663</v>
      </c>
      <c r="L4564" s="11" t="s">
        <v>21664</v>
      </c>
      <c r="M4564" s="11" t="s">
        <v>21665</v>
      </c>
      <c r="N4564" s="11">
        <v>9540</v>
      </c>
      <c r="O4564" s="11">
        <v>198</v>
      </c>
      <c r="P4564" s="11">
        <v>0</v>
      </c>
      <c r="Q4564" s="11" t="s">
        <v>21666</v>
      </c>
      <c r="R4564" s="14" t="s">
        <v>21667</v>
      </c>
      <c r="S4564" s="11">
        <v>80</v>
      </c>
      <c r="T4564" s="11" t="s">
        <v>39</v>
      </c>
      <c r="U4564" s="11" t="s">
        <v>40</v>
      </c>
      <c r="V4564" s="11" t="s">
        <v>41</v>
      </c>
      <c r="W4564" s="11">
        <v>1000000</v>
      </c>
      <c r="X4564" s="11">
        <v>2013</v>
      </c>
      <c r="Y4564" s="11">
        <v>19</v>
      </c>
      <c r="Z4564" s="11">
        <v>7.4</v>
      </c>
      <c r="AA4564" s="11">
        <v>1.78</v>
      </c>
      <c r="AB4564" s="11">
        <v>14000</v>
      </c>
      <c r="AC4564" s="11"/>
      <c r="AD4564" s="11" t="str">
        <f>IFERROR(__xludf.DUMMYFUNCTION("""COMPUTED_VALUE"""),"Michael Cerveris")</f>
        <v>Michael Cerveris</v>
      </c>
      <c r="AE4564" s="11"/>
    </row>
    <row r="4565" customHeight="1" spans="1:31">
      <c r="A4565" s="12" t="s">
        <v>30</v>
      </c>
      <c r="B4565" s="12" t="s">
        <v>17441</v>
      </c>
      <c r="C4565" s="12">
        <v>54</v>
      </c>
      <c r="D4565" s="12">
        <v>84</v>
      </c>
      <c r="E4565" s="12">
        <v>56</v>
      </c>
      <c r="F4565" s="12">
        <v>13</v>
      </c>
      <c r="G4565" s="12">
        <v>21000</v>
      </c>
      <c r="H4565" s="12">
        <v>1950218</v>
      </c>
      <c r="I4565" s="12" t="s">
        <v>2528</v>
      </c>
      <c r="J4565" s="12" t="s">
        <v>99</v>
      </c>
      <c r="K4565" s="12" t="s">
        <v>21668</v>
      </c>
      <c r="L4565" s="12" t="s">
        <v>21669</v>
      </c>
      <c r="M4565" s="12" t="s">
        <v>21670</v>
      </c>
      <c r="N4565" s="12">
        <v>5933</v>
      </c>
      <c r="O4565" s="12">
        <v>21124</v>
      </c>
      <c r="P4565" s="12">
        <v>3</v>
      </c>
      <c r="Q4565" s="12" t="s">
        <v>21671</v>
      </c>
      <c r="R4565" s="15" t="s">
        <v>21672</v>
      </c>
      <c r="S4565" s="12">
        <v>102</v>
      </c>
      <c r="T4565" s="12" t="s">
        <v>39</v>
      </c>
      <c r="U4565" s="12" t="s">
        <v>40</v>
      </c>
      <c r="V4565" s="12" t="s">
        <v>586</v>
      </c>
      <c r="W4565" s="12">
        <v>1000000</v>
      </c>
      <c r="X4565" s="12">
        <v>1997</v>
      </c>
      <c r="Y4565" s="12">
        <v>104</v>
      </c>
      <c r="Z4565" s="12">
        <v>5.6</v>
      </c>
      <c r="AA4565" s="12">
        <v>1.85</v>
      </c>
      <c r="AB4565" s="12">
        <v>387</v>
      </c>
      <c r="AC4565" s="12"/>
      <c r="AD4565" s="12" t="str">
        <f>IFERROR(__xludf.DUMMYFUNCTION("""COMPUTED_VALUE"""),"Doug Brochu")</f>
        <v>Doug Brochu</v>
      </c>
      <c r="AE4565" s="12"/>
    </row>
    <row r="4566" customHeight="1" spans="1:31">
      <c r="A4566" s="11" t="s">
        <v>30</v>
      </c>
      <c r="B4566" s="11" t="s">
        <v>16101</v>
      </c>
      <c r="C4566" s="11">
        <v>18</v>
      </c>
      <c r="D4566" s="11">
        <v>86</v>
      </c>
      <c r="E4566" s="11">
        <v>132</v>
      </c>
      <c r="F4566" s="11">
        <v>584</v>
      </c>
      <c r="G4566" s="11">
        <v>778</v>
      </c>
      <c r="H4566" s="11">
        <v>1277257</v>
      </c>
      <c r="I4566" s="11" t="s">
        <v>1415</v>
      </c>
      <c r="J4566" s="11" t="s">
        <v>4367</v>
      </c>
      <c r="K4566" s="11" t="s">
        <v>2262</v>
      </c>
      <c r="L4566" s="11" t="s">
        <v>3555</v>
      </c>
      <c r="M4566" s="11" t="s">
        <v>21673</v>
      </c>
      <c r="N4566" s="11">
        <v>2629</v>
      </c>
      <c r="O4566" s="11">
        <v>2400</v>
      </c>
      <c r="P4566" s="11">
        <v>2</v>
      </c>
      <c r="Q4566" s="11" t="s">
        <v>21674</v>
      </c>
      <c r="R4566" s="14" t="s">
        <v>21675</v>
      </c>
      <c r="S4566" s="11">
        <v>32</v>
      </c>
      <c r="T4566" s="11" t="s">
        <v>39</v>
      </c>
      <c r="U4566" s="11" t="s">
        <v>58</v>
      </c>
      <c r="V4566" s="11" t="s">
        <v>586</v>
      </c>
      <c r="W4566" s="11">
        <v>1000000</v>
      </c>
      <c r="X4566" s="11">
        <v>1996</v>
      </c>
      <c r="Y4566" s="11">
        <v>695</v>
      </c>
      <c r="Z4566" s="11">
        <v>6.8</v>
      </c>
      <c r="AA4566" s="11">
        <v>1.85</v>
      </c>
      <c r="AB4566" s="11">
        <v>227</v>
      </c>
      <c r="AC4566" s="11"/>
      <c r="AD4566" s="11" t="str">
        <f>IFERROR(__xludf.DUMMYFUNCTION("""COMPUTED_VALUE"""),"Tiffany Thornton")</f>
        <v>Tiffany Thornton</v>
      </c>
      <c r="AE4566" s="11"/>
    </row>
    <row r="4567" customHeight="1" spans="1:31">
      <c r="A4567" s="12" t="s">
        <v>30</v>
      </c>
      <c r="B4567" s="12" t="s">
        <v>13126</v>
      </c>
      <c r="C4567" s="12">
        <v>122</v>
      </c>
      <c r="D4567" s="12">
        <v>91</v>
      </c>
      <c r="E4567" s="12">
        <v>11</v>
      </c>
      <c r="F4567" s="12">
        <v>121</v>
      </c>
      <c r="G4567" s="12">
        <v>1000</v>
      </c>
      <c r="H4567" s="12">
        <v>45857453</v>
      </c>
      <c r="I4567" s="12" t="s">
        <v>5511</v>
      </c>
      <c r="J4567" s="12" t="s">
        <v>138</v>
      </c>
      <c r="K4567" s="12" t="s">
        <v>190</v>
      </c>
      <c r="L4567" s="12" t="s">
        <v>18863</v>
      </c>
      <c r="M4567" s="12" t="s">
        <v>18864</v>
      </c>
      <c r="N4567" s="12">
        <v>82232</v>
      </c>
      <c r="O4567" s="12">
        <v>2323</v>
      </c>
      <c r="P4567" s="12">
        <v>3</v>
      </c>
      <c r="Q4567" s="12" t="s">
        <v>18865</v>
      </c>
      <c r="R4567" s="15" t="s">
        <v>18866</v>
      </c>
      <c r="S4567" s="12">
        <v>174</v>
      </c>
      <c r="T4567" s="12" t="s">
        <v>39</v>
      </c>
      <c r="U4567" s="12" t="s">
        <v>58</v>
      </c>
      <c r="V4567" s="12" t="s">
        <v>586</v>
      </c>
      <c r="W4567" s="12">
        <v>3500000</v>
      </c>
      <c r="X4567" s="12">
        <v>1997</v>
      </c>
      <c r="Y4567" s="12">
        <v>891</v>
      </c>
      <c r="Z4567" s="12">
        <v>7.2</v>
      </c>
      <c r="AA4567" s="12">
        <v>1.85</v>
      </c>
      <c r="AB4567" s="12">
        <v>0</v>
      </c>
      <c r="AC4567" s="12"/>
      <c r="AD4567" s="12" t="str">
        <f>IFERROR(__xludf.DUMMYFUNCTION("""COMPUTED_VALUE"""),"Brandon Mychal Smith")</f>
        <v>Brandon Mychal Smith</v>
      </c>
      <c r="AE4567" s="12"/>
    </row>
    <row r="4568" customHeight="1" spans="1:31">
      <c r="A4568" s="11" t="s">
        <v>30</v>
      </c>
      <c r="B4568" s="11" t="s">
        <v>21676</v>
      </c>
      <c r="C4568" s="11">
        <v>87</v>
      </c>
      <c r="D4568" s="11">
        <v>92</v>
      </c>
      <c r="E4568" s="11">
        <v>2</v>
      </c>
      <c r="F4568" s="11">
        <v>5</v>
      </c>
      <c r="G4568" s="11">
        <v>783</v>
      </c>
      <c r="H4568" s="11">
        <v>1677838</v>
      </c>
      <c r="I4568" s="11" t="s">
        <v>68</v>
      </c>
      <c r="J4568" s="11" t="s">
        <v>972</v>
      </c>
      <c r="K4568" s="11" t="s">
        <v>21677</v>
      </c>
      <c r="L4568" s="11" t="s">
        <v>21678</v>
      </c>
      <c r="M4568" s="11" t="s">
        <v>21679</v>
      </c>
      <c r="N4568" s="11">
        <v>11283</v>
      </c>
      <c r="O4568" s="11">
        <v>1447</v>
      </c>
      <c r="P4568" s="11">
        <v>0</v>
      </c>
      <c r="Q4568" s="11" t="s">
        <v>21680</v>
      </c>
      <c r="R4568" s="14" t="s">
        <v>21681</v>
      </c>
      <c r="S4568" s="11">
        <v>155</v>
      </c>
      <c r="T4568" s="11" t="s">
        <v>39</v>
      </c>
      <c r="U4568" s="11" t="s">
        <v>40</v>
      </c>
      <c r="V4568" s="11" t="s">
        <v>96</v>
      </c>
      <c r="W4568" s="11">
        <v>1000000</v>
      </c>
      <c r="X4568" s="11">
        <v>2006</v>
      </c>
      <c r="Y4568" s="11">
        <v>659</v>
      </c>
      <c r="Z4568" s="11">
        <v>7.7</v>
      </c>
      <c r="AA4568" s="11">
        <v>1.75</v>
      </c>
      <c r="AB4568" s="11">
        <v>0</v>
      </c>
      <c r="AC4568" s="11"/>
      <c r="AD4568" s="11" t="str">
        <f>IFERROR(__xludf.DUMMYFUNCTION("""COMPUTED_VALUE"""),"Jesuíta Barbosa")</f>
        <v>Jesuíta Barbosa</v>
      </c>
      <c r="AE4568" s="11"/>
    </row>
    <row r="4569" customHeight="1" spans="1:31">
      <c r="A4569" s="12" t="s">
        <v>30</v>
      </c>
      <c r="B4569" s="12" t="s">
        <v>21682</v>
      </c>
      <c r="C4569" s="12">
        <v>51</v>
      </c>
      <c r="D4569" s="12">
        <v>94</v>
      </c>
      <c r="E4569" s="12">
        <v>112</v>
      </c>
      <c r="F4569" s="12">
        <v>428</v>
      </c>
      <c r="G4569" s="12">
        <v>1000</v>
      </c>
      <c r="H4569" s="12">
        <v>1744858</v>
      </c>
      <c r="I4569" s="12" t="s">
        <v>4479</v>
      </c>
      <c r="J4569" s="12" t="s">
        <v>1377</v>
      </c>
      <c r="K4569" s="12" t="s">
        <v>6383</v>
      </c>
      <c r="L4569" s="12" t="s">
        <v>8993</v>
      </c>
      <c r="M4569" s="12" t="s">
        <v>21683</v>
      </c>
      <c r="N4569" s="12">
        <v>6084</v>
      </c>
      <c r="O4569" s="12">
        <v>3085</v>
      </c>
      <c r="P4569" s="12">
        <v>1</v>
      </c>
      <c r="Q4569" s="12" t="s">
        <v>21684</v>
      </c>
      <c r="R4569" s="15" t="s">
        <v>21685</v>
      </c>
      <c r="S4569" s="12">
        <v>120</v>
      </c>
      <c r="T4569" s="12" t="s">
        <v>39</v>
      </c>
      <c r="U4569" s="12" t="s">
        <v>40</v>
      </c>
      <c r="V4569" s="12" t="s">
        <v>586</v>
      </c>
      <c r="W4569" s="12">
        <v>1000000</v>
      </c>
      <c r="X4569" s="12">
        <v>2000</v>
      </c>
      <c r="Y4569" s="12">
        <v>826</v>
      </c>
      <c r="Z4569" s="12">
        <v>7</v>
      </c>
      <c r="AA4569" s="12">
        <v>2.35</v>
      </c>
      <c r="AB4569" s="12">
        <v>671</v>
      </c>
      <c r="AC4569" s="12"/>
      <c r="AD4569" s="12" t="str">
        <f>IFERROR(__xludf.DUMMYFUNCTION("""COMPUTED_VALUE"""),"Angelo Tsarouchas")</f>
        <v>Angelo Tsarouchas</v>
      </c>
      <c r="AE4569" s="12"/>
    </row>
    <row r="4570" customHeight="1" spans="1:31">
      <c r="A4570" s="11" t="s">
        <v>30</v>
      </c>
      <c r="B4570" s="11" t="s">
        <v>17771</v>
      </c>
      <c r="C4570" s="11">
        <v>260</v>
      </c>
      <c r="D4570" s="11">
        <v>92</v>
      </c>
      <c r="E4570" s="11">
        <v>152</v>
      </c>
      <c r="F4570" s="11">
        <v>124</v>
      </c>
      <c r="G4570" s="11">
        <v>1000</v>
      </c>
      <c r="H4570" s="13"/>
      <c r="I4570" s="11" t="s">
        <v>21686</v>
      </c>
      <c r="J4570" s="11" t="s">
        <v>6010</v>
      </c>
      <c r="K4570" s="11" t="s">
        <v>17054</v>
      </c>
      <c r="L4570" s="11" t="s">
        <v>21687</v>
      </c>
      <c r="M4570" s="11" t="s">
        <v>21688</v>
      </c>
      <c r="N4570" s="11">
        <v>38893</v>
      </c>
      <c r="O4570" s="11">
        <v>1587</v>
      </c>
      <c r="P4570" s="11">
        <v>2</v>
      </c>
      <c r="Q4570" s="11" t="s">
        <v>21689</v>
      </c>
      <c r="R4570" s="14" t="s">
        <v>21690</v>
      </c>
      <c r="S4570" s="11">
        <v>366</v>
      </c>
      <c r="T4570" s="11" t="s">
        <v>39</v>
      </c>
      <c r="U4570" s="11" t="s">
        <v>40</v>
      </c>
      <c r="V4570" s="11" t="s">
        <v>586</v>
      </c>
      <c r="W4570" s="11">
        <v>1000000</v>
      </c>
      <c r="X4570" s="11">
        <v>2002</v>
      </c>
      <c r="Y4570" s="11">
        <v>282</v>
      </c>
      <c r="Z4570" s="11">
        <v>7.2</v>
      </c>
      <c r="AA4570" s="11">
        <v>1.85</v>
      </c>
      <c r="AB4570" s="11">
        <v>0</v>
      </c>
      <c r="AC4570" s="11"/>
      <c r="AD4570" s="11" t="str">
        <f>IFERROR(__xludf.DUMMYFUNCTION("""COMPUTED_VALUE"""),"Elena Lyadova")</f>
        <v>Elena Lyadova</v>
      </c>
      <c r="AE4570" s="11"/>
    </row>
    <row r="4571" customHeight="1" spans="1:31">
      <c r="A4571" s="12" t="s">
        <v>30</v>
      </c>
      <c r="B4571" s="12" t="s">
        <v>477</v>
      </c>
      <c r="C4571" s="12">
        <v>218</v>
      </c>
      <c r="D4571" s="12">
        <v>103</v>
      </c>
      <c r="E4571" s="12">
        <v>11</v>
      </c>
      <c r="F4571" s="12">
        <v>543</v>
      </c>
      <c r="G4571" s="12">
        <v>2000</v>
      </c>
      <c r="H4571" s="12">
        <v>80021740</v>
      </c>
      <c r="I4571" s="12" t="s">
        <v>4450</v>
      </c>
      <c r="J4571" s="12" t="s">
        <v>4451</v>
      </c>
      <c r="K4571" s="12" t="s">
        <v>4452</v>
      </c>
      <c r="L4571" s="12" t="s">
        <v>4453</v>
      </c>
      <c r="M4571" s="12" t="s">
        <v>4454</v>
      </c>
      <c r="N4571" s="12">
        <v>47988</v>
      </c>
      <c r="O4571" s="12">
        <v>5497</v>
      </c>
      <c r="P4571" s="12">
        <v>4</v>
      </c>
      <c r="Q4571" s="12" t="s">
        <v>4455</v>
      </c>
      <c r="R4571" s="15" t="s">
        <v>4456</v>
      </c>
      <c r="S4571" s="12">
        <v>154</v>
      </c>
      <c r="T4571" s="12" t="s">
        <v>39</v>
      </c>
      <c r="U4571" s="12" t="s">
        <v>40</v>
      </c>
      <c r="V4571" s="12" t="s">
        <v>96</v>
      </c>
      <c r="W4571" s="12">
        <v>58000000</v>
      </c>
      <c r="X4571" s="12">
        <v>2015</v>
      </c>
      <c r="Y4571" s="12">
        <v>1000</v>
      </c>
      <c r="Z4571" s="12">
        <v>6.4</v>
      </c>
      <c r="AA4571" s="12">
        <v>2.35</v>
      </c>
      <c r="AB4571" s="12">
        <v>35000</v>
      </c>
      <c r="AC4571" s="12"/>
      <c r="AD4571" s="12" t="str">
        <f>IFERROR(__xludf.DUMMYFUNCTION("""COMPUTED_VALUE"""),"Eugenia Khirivskaya")</f>
        <v>Eugenia Khirivskaya</v>
      </c>
      <c r="AE4571" s="12"/>
    </row>
    <row r="4572" customHeight="1" spans="1:31">
      <c r="A4572" s="11" t="s">
        <v>30</v>
      </c>
      <c r="B4572" s="11" t="s">
        <v>21691</v>
      </c>
      <c r="C4572" s="11">
        <v>16</v>
      </c>
      <c r="D4572" s="11">
        <v>100</v>
      </c>
      <c r="E4572" s="11">
        <v>12</v>
      </c>
      <c r="F4572" s="11">
        <v>6</v>
      </c>
      <c r="G4572" s="11">
        <v>245</v>
      </c>
      <c r="H4572" s="11">
        <v>982214</v>
      </c>
      <c r="I4572" s="11" t="s">
        <v>3410</v>
      </c>
      <c r="J4572" s="11" t="s">
        <v>7990</v>
      </c>
      <c r="K4572" s="11" t="s">
        <v>21692</v>
      </c>
      <c r="L4572" s="11" t="s">
        <v>21693</v>
      </c>
      <c r="M4572" s="11" t="s">
        <v>21694</v>
      </c>
      <c r="N4572" s="11">
        <v>1976</v>
      </c>
      <c r="O4572" s="11">
        <v>295</v>
      </c>
      <c r="P4572" s="11">
        <v>0</v>
      </c>
      <c r="Q4572" s="11" t="s">
        <v>21695</v>
      </c>
      <c r="R4572" s="14" t="s">
        <v>21696</v>
      </c>
      <c r="S4572" s="11">
        <v>51</v>
      </c>
      <c r="T4572" s="11" t="s">
        <v>39</v>
      </c>
      <c r="U4572" s="11" t="s">
        <v>40</v>
      </c>
      <c r="V4572" s="11" t="s">
        <v>586</v>
      </c>
      <c r="W4572" s="11">
        <v>1000000</v>
      </c>
      <c r="X4572" s="11">
        <v>1998</v>
      </c>
      <c r="Y4572" s="11">
        <v>38</v>
      </c>
      <c r="Z4572" s="11">
        <v>7.2</v>
      </c>
      <c r="AA4572" s="11">
        <v>1.85</v>
      </c>
      <c r="AB4572" s="11">
        <v>603</v>
      </c>
      <c r="AC4572" s="11"/>
      <c r="AD4572" s="11" t="str">
        <f>IFERROR(__xludf.DUMMYFUNCTION("""COMPUTED_VALUE"""),"Howard Caine")</f>
        <v>Howard Caine</v>
      </c>
      <c r="AE4572" s="11"/>
    </row>
    <row r="4573" customHeight="1" spans="1:31">
      <c r="A4573" s="12" t="s">
        <v>30</v>
      </c>
      <c r="B4573" s="12" t="s">
        <v>21697</v>
      </c>
      <c r="C4573" s="12">
        <v>12</v>
      </c>
      <c r="D4573" s="12">
        <v>119</v>
      </c>
      <c r="E4573" s="12">
        <v>13</v>
      </c>
      <c r="F4573" s="12">
        <v>25</v>
      </c>
      <c r="G4573" s="12">
        <v>957</v>
      </c>
      <c r="H4573" s="12">
        <v>798341</v>
      </c>
      <c r="I4573" s="12" t="s">
        <v>3082</v>
      </c>
      <c r="J4573" s="12" t="s">
        <v>6071</v>
      </c>
      <c r="K4573" s="12" t="s">
        <v>21698</v>
      </c>
      <c r="L4573" s="12" t="s">
        <v>21699</v>
      </c>
      <c r="M4573" s="12" t="s">
        <v>21700</v>
      </c>
      <c r="N4573" s="12">
        <v>983</v>
      </c>
      <c r="O4573" s="12">
        <v>1107</v>
      </c>
      <c r="P4573" s="12">
        <v>0</v>
      </c>
      <c r="Q4573" s="12" t="s">
        <v>21701</v>
      </c>
      <c r="R4573" s="15" t="s">
        <v>21702</v>
      </c>
      <c r="S4573" s="12">
        <v>63</v>
      </c>
      <c r="T4573" s="12" t="s">
        <v>39</v>
      </c>
      <c r="U4573" s="12" t="s">
        <v>40</v>
      </c>
      <c r="V4573" s="12" t="s">
        <v>41</v>
      </c>
      <c r="W4573" s="12">
        <v>1000000</v>
      </c>
      <c r="X4573" s="12">
        <v>2001</v>
      </c>
      <c r="Y4573" s="12">
        <v>81</v>
      </c>
      <c r="Z4573" s="12">
        <v>7.2</v>
      </c>
      <c r="AA4573" s="12">
        <v>1.85</v>
      </c>
      <c r="AB4573" s="12">
        <v>100</v>
      </c>
      <c r="AC4573" s="12"/>
      <c r="AD4573" s="12" t="str">
        <f>IFERROR(__xludf.DUMMYFUNCTION("""COMPUTED_VALUE"""),"Saad Siddiqui")</f>
        <v>Saad Siddiqui</v>
      </c>
      <c r="AE4573" s="12"/>
    </row>
    <row r="4574" customHeight="1" spans="1:31">
      <c r="A4574" s="11" t="s">
        <v>748</v>
      </c>
      <c r="B4574" s="11" t="s">
        <v>21703</v>
      </c>
      <c r="C4574" s="11">
        <v>1</v>
      </c>
      <c r="D4574" s="11">
        <v>167</v>
      </c>
      <c r="E4574" s="11">
        <v>10</v>
      </c>
      <c r="F4574" s="11">
        <v>97</v>
      </c>
      <c r="G4574" s="11">
        <v>353</v>
      </c>
      <c r="H4574" s="11">
        <v>610991</v>
      </c>
      <c r="I4574" s="11" t="s">
        <v>214</v>
      </c>
      <c r="J4574" s="11" t="s">
        <v>20381</v>
      </c>
      <c r="K4574" s="11" t="s">
        <v>21704</v>
      </c>
      <c r="L4574" s="11" t="s">
        <v>21705</v>
      </c>
      <c r="M4574" s="11" t="s">
        <v>21706</v>
      </c>
      <c r="N4574" s="11">
        <v>2715</v>
      </c>
      <c r="O4574" s="11">
        <v>773</v>
      </c>
      <c r="P4574" s="11">
        <v>3</v>
      </c>
      <c r="Q4574" s="11" t="s">
        <v>21707</v>
      </c>
      <c r="R4574" s="14" t="s">
        <v>21708</v>
      </c>
      <c r="S4574" s="11">
        <v>19</v>
      </c>
      <c r="T4574" s="11" t="s">
        <v>5612</v>
      </c>
      <c r="U4574" s="11" t="s">
        <v>5613</v>
      </c>
      <c r="V4574" s="13"/>
      <c r="W4574" s="11">
        <v>1000000</v>
      </c>
      <c r="X4574" s="11">
        <v>2000</v>
      </c>
      <c r="Y4574" s="11">
        <v>186</v>
      </c>
      <c r="Z4574" s="11">
        <v>6.2</v>
      </c>
      <c r="AA4574" s="11">
        <v>2.35</v>
      </c>
      <c r="AB4574" s="11">
        <v>92</v>
      </c>
      <c r="AC4574" s="11"/>
      <c r="AD4574" s="11" t="str">
        <f>IFERROR(__xludf.DUMMYFUNCTION("""COMPUTED_VALUE"""),"Bonnie Lee Bouman")</f>
        <v>Bonnie Lee Bouman</v>
      </c>
      <c r="AE4574" s="11"/>
    </row>
    <row r="4575" customHeight="1" spans="1:31">
      <c r="A4575" s="12" t="s">
        <v>30</v>
      </c>
      <c r="B4575" s="12" t="s">
        <v>10326</v>
      </c>
      <c r="C4575" s="12">
        <v>48</v>
      </c>
      <c r="D4575" s="12">
        <v>92</v>
      </c>
      <c r="E4575" s="12">
        <v>0</v>
      </c>
      <c r="F4575" s="12">
        <v>842</v>
      </c>
      <c r="G4575" s="12">
        <v>1000</v>
      </c>
      <c r="H4575" s="16"/>
      <c r="I4575" s="12" t="s">
        <v>1672</v>
      </c>
      <c r="J4575" s="12" t="s">
        <v>5798</v>
      </c>
      <c r="K4575" s="12" t="s">
        <v>14556</v>
      </c>
      <c r="L4575" s="12" t="s">
        <v>10629</v>
      </c>
      <c r="M4575" s="12" t="s">
        <v>14557</v>
      </c>
      <c r="N4575" s="12">
        <v>36559</v>
      </c>
      <c r="O4575" s="12">
        <v>3931</v>
      </c>
      <c r="P4575" s="12">
        <v>0</v>
      </c>
      <c r="Q4575" s="12" t="s">
        <v>14558</v>
      </c>
      <c r="R4575" s="15" t="s">
        <v>14559</v>
      </c>
      <c r="S4575" s="12">
        <v>131</v>
      </c>
      <c r="T4575" s="12" t="s">
        <v>39</v>
      </c>
      <c r="U4575" s="12" t="s">
        <v>40</v>
      </c>
      <c r="V4575" s="12" t="s">
        <v>586</v>
      </c>
      <c r="W4575" s="12">
        <v>11000000</v>
      </c>
      <c r="X4575" s="12">
        <v>1981</v>
      </c>
      <c r="Y4575" s="12">
        <v>898</v>
      </c>
      <c r="Z4575" s="12">
        <v>6.9</v>
      </c>
      <c r="AA4575" s="12">
        <v>2.35</v>
      </c>
      <c r="AB4575" s="12">
        <v>0</v>
      </c>
      <c r="AC4575" s="12"/>
      <c r="AD4575" s="12" t="str">
        <f>IFERROR(__xludf.DUMMYFUNCTION("""COMPUTED_VALUE"""),"Fadia Nadda")</f>
        <v>Fadia Nadda</v>
      </c>
      <c r="AE4575" s="12"/>
    </row>
    <row r="4576" customHeight="1" spans="1:31">
      <c r="A4576" s="11" t="s">
        <v>30</v>
      </c>
      <c r="B4576" s="11" t="s">
        <v>10559</v>
      </c>
      <c r="C4576" s="11">
        <v>59</v>
      </c>
      <c r="D4576" s="11">
        <v>92</v>
      </c>
      <c r="E4576" s="11">
        <v>406</v>
      </c>
      <c r="F4576" s="11">
        <v>194</v>
      </c>
      <c r="G4576" s="11">
        <v>406</v>
      </c>
      <c r="H4576" s="11">
        <v>582024</v>
      </c>
      <c r="I4576" s="11" t="s">
        <v>5483</v>
      </c>
      <c r="J4576" s="11" t="s">
        <v>10559</v>
      </c>
      <c r="K4576" s="11" t="s">
        <v>21709</v>
      </c>
      <c r="L4576" s="11" t="s">
        <v>21710</v>
      </c>
      <c r="M4576" s="11" t="s">
        <v>21711</v>
      </c>
      <c r="N4576" s="11">
        <v>30396</v>
      </c>
      <c r="O4576" s="11">
        <v>904</v>
      </c>
      <c r="P4576" s="11">
        <v>0</v>
      </c>
      <c r="Q4576" s="11" t="s">
        <v>21712</v>
      </c>
      <c r="R4576" s="14" t="s">
        <v>21713</v>
      </c>
      <c r="S4576" s="11">
        <v>168</v>
      </c>
      <c r="T4576" s="11" t="s">
        <v>39</v>
      </c>
      <c r="U4576" s="11" t="s">
        <v>40</v>
      </c>
      <c r="V4576" s="11" t="s">
        <v>6724</v>
      </c>
      <c r="W4576" s="11">
        <v>1000000</v>
      </c>
      <c r="X4576" s="11">
        <v>1997</v>
      </c>
      <c r="Y4576" s="11">
        <v>203</v>
      </c>
      <c r="Z4576" s="11">
        <v>6.2</v>
      </c>
      <c r="AA4576" s="11">
        <v>1.85</v>
      </c>
      <c r="AB4576" s="11">
        <v>0</v>
      </c>
      <c r="AC4576" s="11"/>
      <c r="AD4576" s="11" t="str">
        <f>IFERROR(__xludf.DUMMYFUNCTION("""COMPUTED_VALUE"""),"Jean Harlow")</f>
        <v>Jean Harlow</v>
      </c>
      <c r="AE4576" s="11"/>
    </row>
    <row r="4577" customHeight="1" spans="1:31">
      <c r="A4577" s="12" t="s">
        <v>30</v>
      </c>
      <c r="B4577" s="12" t="s">
        <v>5419</v>
      </c>
      <c r="C4577" s="12">
        <v>88</v>
      </c>
      <c r="D4577" s="12">
        <v>108</v>
      </c>
      <c r="E4577" s="12">
        <v>234</v>
      </c>
      <c r="F4577" s="12">
        <v>463</v>
      </c>
      <c r="G4577" s="12">
        <v>11000</v>
      </c>
      <c r="H4577" s="12">
        <v>548712</v>
      </c>
      <c r="I4577" s="12" t="s">
        <v>214</v>
      </c>
      <c r="J4577" s="12" t="s">
        <v>1950</v>
      </c>
      <c r="K4577" s="12" t="s">
        <v>11754</v>
      </c>
      <c r="L4577" s="12" t="s">
        <v>5857</v>
      </c>
      <c r="M4577" s="12" t="s">
        <v>21714</v>
      </c>
      <c r="N4577" s="12">
        <v>9233</v>
      </c>
      <c r="O4577" s="12">
        <v>12385</v>
      </c>
      <c r="P4577" s="12">
        <v>0</v>
      </c>
      <c r="Q4577" s="12" t="s">
        <v>21715</v>
      </c>
      <c r="R4577" s="15" t="s">
        <v>21716</v>
      </c>
      <c r="S4577" s="12">
        <v>126</v>
      </c>
      <c r="T4577" s="12" t="s">
        <v>39</v>
      </c>
      <c r="U4577" s="12" t="s">
        <v>40</v>
      </c>
      <c r="V4577" s="12" t="s">
        <v>586</v>
      </c>
      <c r="W4577" s="12">
        <v>2500000</v>
      </c>
      <c r="X4577" s="12">
        <v>2003</v>
      </c>
      <c r="Y4577" s="12">
        <v>552</v>
      </c>
      <c r="Z4577" s="12">
        <v>6.9</v>
      </c>
      <c r="AA4577" s="12">
        <v>2.35</v>
      </c>
      <c r="AB4577" s="12">
        <v>571</v>
      </c>
      <c r="AC4577" s="12"/>
      <c r="AD4577" s="12" t="str">
        <f>IFERROR(__xludf.DUMMYFUNCTION("""COMPUTED_VALUE"""),"Marian Marsh")</f>
        <v>Marian Marsh</v>
      </c>
      <c r="AE4577" s="12"/>
    </row>
    <row r="4578" customHeight="1" spans="1:31">
      <c r="A4578" s="11" t="s">
        <v>30</v>
      </c>
      <c r="B4578" s="11" t="s">
        <v>21717</v>
      </c>
      <c r="C4578" s="11">
        <v>28</v>
      </c>
      <c r="D4578" s="11">
        <v>97</v>
      </c>
      <c r="E4578" s="11">
        <v>4</v>
      </c>
      <c r="F4578" s="11">
        <v>301</v>
      </c>
      <c r="G4578" s="11">
        <v>611</v>
      </c>
      <c r="H4578" s="11">
        <v>464655</v>
      </c>
      <c r="I4578" s="11" t="s">
        <v>2528</v>
      </c>
      <c r="J4578" s="11" t="s">
        <v>10142</v>
      </c>
      <c r="K4578" s="11" t="s">
        <v>4284</v>
      </c>
      <c r="L4578" s="11" t="s">
        <v>14157</v>
      </c>
      <c r="M4578" s="11" t="s">
        <v>21718</v>
      </c>
      <c r="N4578" s="11">
        <v>1524</v>
      </c>
      <c r="O4578" s="11">
        <v>1692</v>
      </c>
      <c r="P4578" s="11">
        <v>0</v>
      </c>
      <c r="Q4578" s="11" t="s">
        <v>21719</v>
      </c>
      <c r="R4578" s="14" t="s">
        <v>21720</v>
      </c>
      <c r="S4578" s="11">
        <v>29</v>
      </c>
      <c r="T4578" s="11" t="s">
        <v>39</v>
      </c>
      <c r="U4578" s="11" t="s">
        <v>40</v>
      </c>
      <c r="V4578" s="11" t="s">
        <v>586</v>
      </c>
      <c r="W4578" s="11">
        <v>1000000</v>
      </c>
      <c r="X4578" s="11">
        <v>1997</v>
      </c>
      <c r="Y4578" s="11">
        <v>394</v>
      </c>
      <c r="Z4578" s="11">
        <v>7</v>
      </c>
      <c r="AA4578" s="11">
        <v>1.85</v>
      </c>
      <c r="AB4578" s="11">
        <v>166</v>
      </c>
      <c r="AC4578" s="11"/>
      <c r="AD4578" s="11" t="str">
        <f>IFERROR(__xludf.DUMMYFUNCTION("""COMPUTED_VALUE"""),"James Hall")</f>
        <v>James Hall</v>
      </c>
      <c r="AE4578" s="11"/>
    </row>
    <row r="4579" customHeight="1" spans="1:31">
      <c r="A4579" s="12" t="s">
        <v>30</v>
      </c>
      <c r="B4579" s="12" t="s">
        <v>19088</v>
      </c>
      <c r="C4579" s="12">
        <v>44</v>
      </c>
      <c r="D4579" s="12">
        <v>88</v>
      </c>
      <c r="E4579" s="12">
        <v>22</v>
      </c>
      <c r="F4579" s="12">
        <v>275</v>
      </c>
      <c r="G4579" s="12">
        <v>638</v>
      </c>
      <c r="H4579" s="12">
        <v>464126</v>
      </c>
      <c r="I4579" s="12" t="s">
        <v>3410</v>
      </c>
      <c r="J4579" s="12" t="s">
        <v>3224</v>
      </c>
      <c r="K4579" s="12" t="s">
        <v>5330</v>
      </c>
      <c r="L4579" s="12" t="s">
        <v>398</v>
      </c>
      <c r="M4579" s="12" t="s">
        <v>21721</v>
      </c>
      <c r="N4579" s="12">
        <v>3142</v>
      </c>
      <c r="O4579" s="12">
        <v>1641</v>
      </c>
      <c r="P4579" s="12">
        <v>0</v>
      </c>
      <c r="Q4579" s="12" t="s">
        <v>21722</v>
      </c>
      <c r="R4579" s="15" t="s">
        <v>21723</v>
      </c>
      <c r="S4579" s="12">
        <v>68</v>
      </c>
      <c r="T4579" s="12" t="s">
        <v>39</v>
      </c>
      <c r="U4579" s="12" t="s">
        <v>40</v>
      </c>
      <c r="V4579" s="12" t="s">
        <v>586</v>
      </c>
      <c r="W4579" s="12">
        <v>1000000</v>
      </c>
      <c r="X4579" s="12">
        <v>2002</v>
      </c>
      <c r="Y4579" s="12">
        <v>400</v>
      </c>
      <c r="Z4579" s="12">
        <v>6.7</v>
      </c>
      <c r="AA4579" s="12">
        <v>1.85</v>
      </c>
      <c r="AB4579" s="12">
        <v>115</v>
      </c>
      <c r="AC4579" s="12"/>
      <c r="AD4579" s="12" t="str">
        <f>IFERROR(__xludf.DUMMYFUNCTION("""COMPUTED_VALUE"""),"Peter Jacobson")</f>
        <v>Peter Jacobson</v>
      </c>
      <c r="AE4579" s="12"/>
    </row>
    <row r="4580" customHeight="1" spans="1:31">
      <c r="A4580" s="11" t="s">
        <v>30</v>
      </c>
      <c r="B4580" s="11" t="s">
        <v>21724</v>
      </c>
      <c r="C4580" s="11">
        <v>13</v>
      </c>
      <c r="D4580" s="11">
        <v>100</v>
      </c>
      <c r="E4580" s="11">
        <v>0</v>
      </c>
      <c r="F4580" s="11">
        <v>268</v>
      </c>
      <c r="G4580" s="11">
        <v>844</v>
      </c>
      <c r="H4580" s="11">
        <v>428535</v>
      </c>
      <c r="I4580" s="11" t="s">
        <v>1681</v>
      </c>
      <c r="J4580" s="11" t="s">
        <v>3299</v>
      </c>
      <c r="K4580" s="11" t="s">
        <v>5018</v>
      </c>
      <c r="L4580" s="11" t="s">
        <v>17751</v>
      </c>
      <c r="M4580" s="11" t="s">
        <v>21725</v>
      </c>
      <c r="N4580" s="11">
        <v>505</v>
      </c>
      <c r="O4580" s="11">
        <v>2289</v>
      </c>
      <c r="P4580" s="11">
        <v>1</v>
      </c>
      <c r="Q4580" s="11" t="s">
        <v>21726</v>
      </c>
      <c r="R4580" s="14" t="s">
        <v>21727</v>
      </c>
      <c r="S4580" s="11">
        <v>32</v>
      </c>
      <c r="T4580" s="11" t="s">
        <v>39</v>
      </c>
      <c r="U4580" s="11" t="s">
        <v>40</v>
      </c>
      <c r="V4580" s="11" t="s">
        <v>586</v>
      </c>
      <c r="W4580" s="11">
        <v>1000000</v>
      </c>
      <c r="X4580" s="11">
        <v>2000</v>
      </c>
      <c r="Y4580" s="11">
        <v>625</v>
      </c>
      <c r="Z4580" s="11">
        <v>3.6</v>
      </c>
      <c r="AA4580" s="13"/>
      <c r="AB4580" s="11">
        <v>24</v>
      </c>
      <c r="AC4580" s="11"/>
      <c r="AD4580" s="11" t="str">
        <f>IFERROR(__xludf.DUMMYFUNCTION("""COMPUTED_VALUE"""),"Shannon Woodward")</f>
        <v>Shannon Woodward</v>
      </c>
      <c r="AE4580" s="11"/>
    </row>
    <row r="4581" customHeight="1" spans="1:31">
      <c r="A4581" s="12" t="s">
        <v>30</v>
      </c>
      <c r="B4581" s="12" t="s">
        <v>21728</v>
      </c>
      <c r="C4581" s="12">
        <v>117</v>
      </c>
      <c r="D4581" s="12">
        <v>100</v>
      </c>
      <c r="E4581" s="12">
        <v>71</v>
      </c>
      <c r="F4581" s="12">
        <v>145</v>
      </c>
      <c r="G4581" s="12">
        <v>11000</v>
      </c>
      <c r="H4581" s="12">
        <v>750100</v>
      </c>
      <c r="I4581" s="12" t="s">
        <v>3410</v>
      </c>
      <c r="J4581" s="12" t="s">
        <v>83</v>
      </c>
      <c r="K4581" s="12" t="s">
        <v>14141</v>
      </c>
      <c r="L4581" s="12" t="s">
        <v>21729</v>
      </c>
      <c r="M4581" s="12" t="s">
        <v>21730</v>
      </c>
      <c r="N4581" s="12">
        <v>19752</v>
      </c>
      <c r="O4581" s="12">
        <v>12234</v>
      </c>
      <c r="P4581" s="12">
        <v>0</v>
      </c>
      <c r="Q4581" s="12" t="s">
        <v>21731</v>
      </c>
      <c r="R4581" s="15" t="s">
        <v>21732</v>
      </c>
      <c r="S4581" s="12">
        <v>61</v>
      </c>
      <c r="T4581" s="12" t="s">
        <v>39</v>
      </c>
      <c r="U4581" s="12" t="s">
        <v>40</v>
      </c>
      <c r="V4581" s="12" t="s">
        <v>586</v>
      </c>
      <c r="W4581" s="16"/>
      <c r="X4581" s="12">
        <v>2013</v>
      </c>
      <c r="Y4581" s="12">
        <v>733</v>
      </c>
      <c r="Z4581" s="12">
        <v>6.3</v>
      </c>
      <c r="AA4581" s="12">
        <v>1.85</v>
      </c>
      <c r="AB4581" s="12">
        <v>0</v>
      </c>
      <c r="AC4581" s="12"/>
      <c r="AD4581" s="12" t="str">
        <f>IFERROR(__xludf.DUMMYFUNCTION("""COMPUTED_VALUE"""),"Kira McLean")</f>
        <v>Kira McLean</v>
      </c>
      <c r="AE4581" s="12"/>
    </row>
    <row r="4582" customHeight="1" spans="1:31">
      <c r="A4582" s="11" t="s">
        <v>30</v>
      </c>
      <c r="B4582" s="11" t="s">
        <v>21733</v>
      </c>
      <c r="C4582" s="11">
        <v>100</v>
      </c>
      <c r="D4582" s="11">
        <v>124</v>
      </c>
      <c r="E4582" s="11">
        <v>13</v>
      </c>
      <c r="F4582" s="11">
        <v>7</v>
      </c>
      <c r="G4582" s="11">
        <v>20</v>
      </c>
      <c r="H4582" s="11">
        <v>621240</v>
      </c>
      <c r="I4582" s="11" t="s">
        <v>1936</v>
      </c>
      <c r="J4582" s="11" t="s">
        <v>21734</v>
      </c>
      <c r="K4582" s="11" t="s">
        <v>21733</v>
      </c>
      <c r="L4582" s="11" t="s">
        <v>21735</v>
      </c>
      <c r="M4582" s="11" t="s">
        <v>21736</v>
      </c>
      <c r="N4582" s="11">
        <v>4999</v>
      </c>
      <c r="O4582" s="11">
        <v>42</v>
      </c>
      <c r="P4582" s="11">
        <v>6</v>
      </c>
      <c r="Q4582" s="11" t="s">
        <v>21737</v>
      </c>
      <c r="R4582" s="14" t="s">
        <v>21738</v>
      </c>
      <c r="S4582" s="11">
        <v>32</v>
      </c>
      <c r="T4582" s="11" t="s">
        <v>15950</v>
      </c>
      <c r="U4582" s="11" t="s">
        <v>768</v>
      </c>
      <c r="V4582" s="13"/>
      <c r="W4582" s="13"/>
      <c r="X4582" s="11">
        <v>2009</v>
      </c>
      <c r="Y4582" s="11">
        <v>13</v>
      </c>
      <c r="Z4582" s="11">
        <v>7.4</v>
      </c>
      <c r="AA4582" s="11">
        <v>1.85</v>
      </c>
      <c r="AB4582" s="11">
        <v>0</v>
      </c>
      <c r="AC4582" s="11"/>
      <c r="AD4582" s="11" t="str">
        <f>IFERROR(__xludf.DUMMYFUNCTION("""COMPUTED_VALUE"""),"Robin McLeavy")</f>
        <v>Robin McLeavy</v>
      </c>
      <c r="AE4582" s="11"/>
    </row>
    <row r="4583" customHeight="1" spans="1:31">
      <c r="A4583" s="12" t="s">
        <v>30</v>
      </c>
      <c r="B4583" s="12" t="s">
        <v>21739</v>
      </c>
      <c r="C4583" s="12">
        <v>117</v>
      </c>
      <c r="D4583" s="12">
        <v>88</v>
      </c>
      <c r="E4583" s="12">
        <v>21</v>
      </c>
      <c r="F4583" s="12">
        <v>772</v>
      </c>
      <c r="G4583" s="12">
        <v>1000</v>
      </c>
      <c r="H4583" s="12">
        <v>104077</v>
      </c>
      <c r="I4583" s="12" t="s">
        <v>2490</v>
      </c>
      <c r="J4583" s="12" t="s">
        <v>2718</v>
      </c>
      <c r="K4583" s="12" t="s">
        <v>3952</v>
      </c>
      <c r="L4583" s="12" t="s">
        <v>15057</v>
      </c>
      <c r="M4583" s="12" t="s">
        <v>21740</v>
      </c>
      <c r="N4583" s="12">
        <v>46076</v>
      </c>
      <c r="O4583" s="12">
        <v>4720</v>
      </c>
      <c r="P4583" s="12">
        <v>2</v>
      </c>
      <c r="Q4583" s="12" t="s">
        <v>21741</v>
      </c>
      <c r="R4583" s="15" t="s">
        <v>21742</v>
      </c>
      <c r="S4583" s="12">
        <v>88</v>
      </c>
      <c r="T4583" s="12" t="s">
        <v>39</v>
      </c>
      <c r="U4583" s="12" t="s">
        <v>40</v>
      </c>
      <c r="V4583" s="12" t="s">
        <v>586</v>
      </c>
      <c r="W4583" s="12">
        <v>1000000</v>
      </c>
      <c r="X4583" s="12">
        <v>2006</v>
      </c>
      <c r="Y4583" s="12">
        <v>835</v>
      </c>
      <c r="Z4583" s="12">
        <v>7.4</v>
      </c>
      <c r="AA4583" s="12">
        <v>1.78</v>
      </c>
      <c r="AB4583" s="12">
        <v>11000</v>
      </c>
      <c r="AC4583" s="12"/>
      <c r="AD4583" s="12" t="str">
        <f>IFERROR(__xludf.DUMMYFUNCTION("""COMPUTED_VALUE"""),"Jessica McNamee")</f>
        <v>Jessica McNamee</v>
      </c>
      <c r="AE4583" s="12"/>
    </row>
    <row r="4584" customHeight="1" spans="1:31">
      <c r="A4584" s="11" t="s">
        <v>30</v>
      </c>
      <c r="B4584" s="11" t="s">
        <v>21743</v>
      </c>
      <c r="C4584" s="11">
        <v>140</v>
      </c>
      <c r="D4584" s="11">
        <v>106</v>
      </c>
      <c r="E4584" s="11">
        <v>135</v>
      </c>
      <c r="F4584" s="11">
        <v>11</v>
      </c>
      <c r="G4584" s="11">
        <v>7000</v>
      </c>
      <c r="H4584" s="11">
        <v>334658</v>
      </c>
      <c r="I4584" s="11" t="s">
        <v>5500</v>
      </c>
      <c r="J4584" s="11" t="s">
        <v>21744</v>
      </c>
      <c r="K4584" s="11" t="s">
        <v>17234</v>
      </c>
      <c r="L4584" s="11" t="s">
        <v>21745</v>
      </c>
      <c r="M4584" s="11" t="s">
        <v>21746</v>
      </c>
      <c r="N4584" s="11">
        <v>75633</v>
      </c>
      <c r="O4584" s="11">
        <v>7098</v>
      </c>
      <c r="P4584" s="11">
        <v>0</v>
      </c>
      <c r="Q4584" s="11" t="s">
        <v>21747</v>
      </c>
      <c r="R4584" s="14" t="s">
        <v>21748</v>
      </c>
      <c r="S4584" s="11">
        <v>160</v>
      </c>
      <c r="T4584" s="11" t="s">
        <v>39</v>
      </c>
      <c r="U4584" s="11" t="s">
        <v>40</v>
      </c>
      <c r="V4584" s="11" t="s">
        <v>586</v>
      </c>
      <c r="W4584" s="13"/>
      <c r="X4584" s="11">
        <v>2014</v>
      </c>
      <c r="Y4584" s="11">
        <v>71</v>
      </c>
      <c r="Z4584" s="11">
        <v>7.3</v>
      </c>
      <c r="AA4584" s="11">
        <v>2.39</v>
      </c>
      <c r="AB4584" s="11">
        <v>32000</v>
      </c>
      <c r="AC4584" s="11"/>
      <c r="AD4584" s="11" t="str">
        <f>IFERROR(__xludf.DUMMYFUNCTION("""COMPUTED_VALUE"""),"Victoria Thaine")</f>
        <v>Victoria Thaine</v>
      </c>
      <c r="AE4584" s="11"/>
    </row>
    <row r="4585" customHeight="1" spans="1:31">
      <c r="A4585" s="12" t="s">
        <v>30</v>
      </c>
      <c r="B4585" s="12" t="s">
        <v>21749</v>
      </c>
      <c r="C4585" s="12">
        <v>29</v>
      </c>
      <c r="D4585" s="12">
        <v>79</v>
      </c>
      <c r="E4585" s="12">
        <v>2</v>
      </c>
      <c r="F4585" s="12">
        <v>551</v>
      </c>
      <c r="G4585" s="12">
        <v>855</v>
      </c>
      <c r="H4585" s="12">
        <v>279282</v>
      </c>
      <c r="I4585" s="12" t="s">
        <v>1415</v>
      </c>
      <c r="J4585" s="12" t="s">
        <v>14918</v>
      </c>
      <c r="K4585" s="12" t="s">
        <v>2630</v>
      </c>
      <c r="L4585" s="12" t="s">
        <v>3654</v>
      </c>
      <c r="M4585" s="12" t="s">
        <v>21750</v>
      </c>
      <c r="N4585" s="12">
        <v>3806</v>
      </c>
      <c r="O4585" s="12">
        <v>2489</v>
      </c>
      <c r="P4585" s="12">
        <v>2</v>
      </c>
      <c r="Q4585" s="12" t="s">
        <v>21751</v>
      </c>
      <c r="R4585" s="15" t="s">
        <v>21752</v>
      </c>
      <c r="S4585" s="12">
        <v>49</v>
      </c>
      <c r="T4585" s="12" t="s">
        <v>39</v>
      </c>
      <c r="U4585" s="12" t="s">
        <v>40</v>
      </c>
      <c r="V4585" s="12" t="s">
        <v>41</v>
      </c>
      <c r="W4585" s="12">
        <v>1000000</v>
      </c>
      <c r="X4585" s="12">
        <v>2003</v>
      </c>
      <c r="Y4585" s="12">
        <v>577</v>
      </c>
      <c r="Z4585" s="12">
        <v>6.1</v>
      </c>
      <c r="AA4585" s="12">
        <v>1.85</v>
      </c>
      <c r="AB4585" s="12">
        <v>150</v>
      </c>
      <c r="AC4585" s="12"/>
      <c r="AD4585" s="12" t="str">
        <f>IFERROR(__xludf.DUMMYFUNCTION("""COMPUTED_VALUE"""),"Kristen Quintrall")</f>
        <v>Kristen Quintrall</v>
      </c>
      <c r="AE4585" s="12"/>
    </row>
    <row r="4586" customHeight="1" spans="1:31">
      <c r="A4586" s="11" t="s">
        <v>30</v>
      </c>
      <c r="B4586" s="11" t="s">
        <v>172</v>
      </c>
      <c r="C4586" s="11">
        <v>308</v>
      </c>
      <c r="D4586" s="11">
        <v>135</v>
      </c>
      <c r="E4586" s="11">
        <v>0</v>
      </c>
      <c r="F4586" s="11">
        <v>310</v>
      </c>
      <c r="G4586" s="11">
        <v>873</v>
      </c>
      <c r="H4586" s="11">
        <v>43982842</v>
      </c>
      <c r="I4586" s="11" t="s">
        <v>2001</v>
      </c>
      <c r="J4586" s="11" t="s">
        <v>2002</v>
      </c>
      <c r="K4586" s="11" t="s">
        <v>2003</v>
      </c>
      <c r="L4586" s="11" t="s">
        <v>432</v>
      </c>
      <c r="M4586" s="11" t="s">
        <v>2004</v>
      </c>
      <c r="N4586" s="11">
        <v>125114</v>
      </c>
      <c r="O4586" s="11">
        <v>2369</v>
      </c>
      <c r="P4586" s="11">
        <v>1</v>
      </c>
      <c r="Q4586" s="11" t="s">
        <v>2005</v>
      </c>
      <c r="R4586" s="14" t="s">
        <v>2006</v>
      </c>
      <c r="S4586" s="11">
        <v>593</v>
      </c>
      <c r="T4586" s="11" t="s">
        <v>39</v>
      </c>
      <c r="U4586" s="11" t="s">
        <v>40</v>
      </c>
      <c r="V4586" s="11" t="s">
        <v>41</v>
      </c>
      <c r="W4586" s="11">
        <v>65000000</v>
      </c>
      <c r="X4586" s="11">
        <v>2009</v>
      </c>
      <c r="Y4586" s="11">
        <v>559</v>
      </c>
      <c r="Z4586" s="11">
        <v>6.7</v>
      </c>
      <c r="AA4586" s="11">
        <v>2.35</v>
      </c>
      <c r="AB4586" s="11">
        <v>16000</v>
      </c>
      <c r="AC4586" s="11"/>
      <c r="AD4586" s="11" t="str">
        <f>IFERROR(__xludf.DUMMYFUNCTION("""COMPUTED_VALUE"""),"Rachel Sterling")</f>
        <v>Rachel Sterling</v>
      </c>
      <c r="AE4586" s="11"/>
    </row>
    <row r="4587" customHeight="1" spans="1:31">
      <c r="A4587" s="12" t="s">
        <v>30</v>
      </c>
      <c r="B4587" s="12" t="s">
        <v>21753</v>
      </c>
      <c r="C4587" s="12">
        <v>248</v>
      </c>
      <c r="D4587" s="12">
        <v>96</v>
      </c>
      <c r="E4587" s="12">
        <v>50</v>
      </c>
      <c r="F4587" s="12">
        <v>0</v>
      </c>
      <c r="G4587" s="12">
        <v>3</v>
      </c>
      <c r="H4587" s="12">
        <v>484221</v>
      </c>
      <c r="I4587" s="12" t="s">
        <v>21754</v>
      </c>
      <c r="J4587" s="12" t="s">
        <v>21755</v>
      </c>
      <c r="K4587" s="12" t="s">
        <v>21756</v>
      </c>
      <c r="L4587" s="12" t="s">
        <v>21757</v>
      </c>
      <c r="M4587" s="12" t="s">
        <v>21758</v>
      </c>
      <c r="N4587" s="12">
        <v>23836</v>
      </c>
      <c r="O4587" s="12">
        <v>6</v>
      </c>
      <c r="P4587" s="12">
        <v>1</v>
      </c>
      <c r="Q4587" s="12" t="s">
        <v>21759</v>
      </c>
      <c r="R4587" s="15" t="s">
        <v>21760</v>
      </c>
      <c r="S4587" s="12">
        <v>107</v>
      </c>
      <c r="T4587" s="12" t="s">
        <v>21473</v>
      </c>
      <c r="U4587" s="12" t="s">
        <v>58</v>
      </c>
      <c r="V4587" s="12" t="s">
        <v>4831</v>
      </c>
      <c r="W4587" s="12">
        <v>1000000</v>
      </c>
      <c r="X4587" s="12">
        <v>2012</v>
      </c>
      <c r="Y4587" s="12">
        <v>3</v>
      </c>
      <c r="Z4587" s="12">
        <v>8.2</v>
      </c>
      <c r="AA4587" s="12">
        <v>1.85</v>
      </c>
      <c r="AB4587" s="12">
        <v>20000</v>
      </c>
      <c r="AC4587" s="12"/>
      <c r="AD4587" s="12" t="str">
        <f>IFERROR(__xludf.DUMMYFUNCTION("""COMPUTED_VALUE"""),"Black Thomas")</f>
        <v>Black Thomas</v>
      </c>
      <c r="AE4587" s="12"/>
    </row>
    <row r="4588" customHeight="1" spans="1:31">
      <c r="A4588" s="11" t="s">
        <v>30</v>
      </c>
      <c r="B4588" s="11" t="s">
        <v>21761</v>
      </c>
      <c r="C4588" s="11">
        <v>84</v>
      </c>
      <c r="D4588" s="11">
        <v>53</v>
      </c>
      <c r="E4588" s="11">
        <v>141</v>
      </c>
      <c r="F4588" s="11">
        <v>23</v>
      </c>
      <c r="G4588" s="11">
        <v>141</v>
      </c>
      <c r="H4588" s="11">
        <v>274661</v>
      </c>
      <c r="I4588" s="11" t="s">
        <v>17955</v>
      </c>
      <c r="J4588" s="11" t="s">
        <v>21761</v>
      </c>
      <c r="K4588" s="11" t="s">
        <v>19900</v>
      </c>
      <c r="L4588" s="11" t="s">
        <v>21762</v>
      </c>
      <c r="M4588" s="11" t="s">
        <v>21763</v>
      </c>
      <c r="N4588" s="11">
        <v>10564</v>
      </c>
      <c r="O4588" s="11">
        <v>313</v>
      </c>
      <c r="P4588" s="11">
        <v>0</v>
      </c>
      <c r="Q4588" s="11" t="s">
        <v>21764</v>
      </c>
      <c r="R4588" s="14" t="s">
        <v>21765</v>
      </c>
      <c r="S4588" s="11">
        <v>40</v>
      </c>
      <c r="T4588" s="11" t="s">
        <v>39</v>
      </c>
      <c r="U4588" s="11" t="s">
        <v>40</v>
      </c>
      <c r="V4588" s="11" t="s">
        <v>586</v>
      </c>
      <c r="W4588" s="11">
        <v>1000000</v>
      </c>
      <c r="X4588" s="11">
        <v>2007</v>
      </c>
      <c r="Y4588" s="11">
        <v>125</v>
      </c>
      <c r="Z4588" s="11">
        <v>7.7</v>
      </c>
      <c r="AA4588" s="11">
        <v>1.85</v>
      </c>
      <c r="AB4588" s="11">
        <v>0</v>
      </c>
      <c r="AC4588" s="11"/>
      <c r="AD4588" s="11" t="str">
        <f>IFERROR(__xludf.DUMMYFUNCTION("""COMPUTED_VALUE"""),"Brooke D'Orsay")</f>
        <v>Brooke D'Orsay</v>
      </c>
      <c r="AE4588" s="11"/>
    </row>
    <row r="4589" customHeight="1" spans="1:31">
      <c r="A4589" s="12" t="s">
        <v>30</v>
      </c>
      <c r="B4589" s="12" t="s">
        <v>21766</v>
      </c>
      <c r="C4589" s="12">
        <v>40</v>
      </c>
      <c r="D4589" s="12">
        <v>97</v>
      </c>
      <c r="E4589" s="12">
        <v>10</v>
      </c>
      <c r="F4589" s="12">
        <v>5</v>
      </c>
      <c r="G4589" s="12">
        <v>102</v>
      </c>
      <c r="H4589" s="12">
        <v>144431</v>
      </c>
      <c r="I4589" s="12" t="s">
        <v>16528</v>
      </c>
      <c r="J4589" s="12" t="s">
        <v>21767</v>
      </c>
      <c r="K4589" s="12" t="s">
        <v>21768</v>
      </c>
      <c r="L4589" s="12" t="s">
        <v>21769</v>
      </c>
      <c r="M4589" s="12" t="s">
        <v>21770</v>
      </c>
      <c r="N4589" s="12">
        <v>1290</v>
      </c>
      <c r="O4589" s="12">
        <v>118</v>
      </c>
      <c r="P4589" s="12">
        <v>0</v>
      </c>
      <c r="Q4589" s="12" t="s">
        <v>21771</v>
      </c>
      <c r="R4589" s="15" t="s">
        <v>21772</v>
      </c>
      <c r="S4589" s="12">
        <v>13</v>
      </c>
      <c r="T4589" s="12" t="s">
        <v>39</v>
      </c>
      <c r="U4589" s="12" t="s">
        <v>58</v>
      </c>
      <c r="V4589" s="12" t="s">
        <v>41</v>
      </c>
      <c r="W4589" s="12">
        <v>1000000</v>
      </c>
      <c r="X4589" s="12">
        <v>2006</v>
      </c>
      <c r="Y4589" s="12">
        <v>7</v>
      </c>
      <c r="Z4589" s="12">
        <v>7.3</v>
      </c>
      <c r="AA4589" s="12">
        <v>1.85</v>
      </c>
      <c r="AB4589" s="12">
        <v>587</v>
      </c>
      <c r="AC4589" s="12"/>
      <c r="AD4589" s="12" t="str">
        <f>IFERROR(__xludf.DUMMYFUNCTION("""COMPUTED_VALUE"""),"Rachel Hendrix")</f>
        <v>Rachel Hendrix</v>
      </c>
      <c r="AE4589" s="12"/>
    </row>
    <row r="4590" customHeight="1" spans="1:31">
      <c r="A4590" s="11" t="s">
        <v>30</v>
      </c>
      <c r="B4590" s="11" t="s">
        <v>21773</v>
      </c>
      <c r="C4590" s="13"/>
      <c r="D4590" s="11">
        <v>120</v>
      </c>
      <c r="E4590" s="11">
        <v>0</v>
      </c>
      <c r="F4590" s="11">
        <v>0</v>
      </c>
      <c r="G4590" s="11">
        <v>12</v>
      </c>
      <c r="H4590" s="11">
        <v>227241</v>
      </c>
      <c r="I4590" s="11" t="s">
        <v>3410</v>
      </c>
      <c r="J4590" s="11" t="s">
        <v>21774</v>
      </c>
      <c r="K4590" s="11" t="s">
        <v>21775</v>
      </c>
      <c r="L4590" s="11" t="s">
        <v>21776</v>
      </c>
      <c r="M4590" s="11" t="s">
        <v>21777</v>
      </c>
      <c r="N4590" s="11">
        <v>56</v>
      </c>
      <c r="O4590" s="11">
        <v>15</v>
      </c>
      <c r="P4590" s="11">
        <v>0</v>
      </c>
      <c r="Q4590" s="11" t="s">
        <v>21778</v>
      </c>
      <c r="R4590" s="14" t="s">
        <v>21779</v>
      </c>
      <c r="S4590" s="11">
        <v>2</v>
      </c>
      <c r="T4590" s="11" t="s">
        <v>39</v>
      </c>
      <c r="U4590" s="11" t="s">
        <v>40</v>
      </c>
      <c r="V4590" s="11" t="s">
        <v>5614</v>
      </c>
      <c r="W4590" s="13"/>
      <c r="X4590" s="11">
        <v>2004</v>
      </c>
      <c r="Y4590" s="11">
        <v>3</v>
      </c>
      <c r="Z4590" s="11">
        <v>7.4</v>
      </c>
      <c r="AA4590" s="13"/>
      <c r="AB4590" s="11">
        <v>32</v>
      </c>
      <c r="AC4590" s="11"/>
      <c r="AD4590" s="11" t="str">
        <f>IFERROR(__xludf.DUMMYFUNCTION("""COMPUTED_VALUE"""),"Diana Vickers")</f>
        <v>Diana Vickers</v>
      </c>
      <c r="AE4590" s="11"/>
    </row>
    <row r="4591" customHeight="1" spans="1:31">
      <c r="A4591" s="12" t="s">
        <v>30</v>
      </c>
      <c r="B4591" s="12" t="s">
        <v>4195</v>
      </c>
      <c r="C4591" s="12">
        <v>13</v>
      </c>
      <c r="D4591" s="12">
        <v>90</v>
      </c>
      <c r="E4591" s="12">
        <v>165</v>
      </c>
      <c r="F4591" s="12">
        <v>679</v>
      </c>
      <c r="G4591" s="12">
        <v>978</v>
      </c>
      <c r="H4591" s="12">
        <v>112521</v>
      </c>
      <c r="I4591" s="12" t="s">
        <v>2528</v>
      </c>
      <c r="J4591" s="12" t="s">
        <v>6706</v>
      </c>
      <c r="K4591" s="12" t="s">
        <v>6158</v>
      </c>
      <c r="L4591" s="12" t="s">
        <v>21780</v>
      </c>
      <c r="M4591" s="12" t="s">
        <v>21781</v>
      </c>
      <c r="N4591" s="12">
        <v>455</v>
      </c>
      <c r="O4591" s="12">
        <v>3258</v>
      </c>
      <c r="P4591" s="12">
        <v>1</v>
      </c>
      <c r="Q4591" s="12" t="s">
        <v>21782</v>
      </c>
      <c r="R4591" s="15" t="s">
        <v>21783</v>
      </c>
      <c r="S4591" s="12">
        <v>16</v>
      </c>
      <c r="T4591" s="12" t="s">
        <v>39</v>
      </c>
      <c r="U4591" s="12" t="s">
        <v>40</v>
      </c>
      <c r="V4591" s="12" t="s">
        <v>41</v>
      </c>
      <c r="W4591" s="16"/>
      <c r="X4591" s="12">
        <v>2000</v>
      </c>
      <c r="Y4591" s="12">
        <v>922</v>
      </c>
      <c r="Z4591" s="12">
        <v>5.7</v>
      </c>
      <c r="AA4591" s="16"/>
      <c r="AB4591" s="12">
        <v>25</v>
      </c>
      <c r="AC4591" s="12"/>
      <c r="AD4591" s="12" t="str">
        <f>IFERROR(__xludf.DUMMYFUNCTION("""COMPUTED_VALUE"""),"Susannah York")</f>
        <v>Susannah York</v>
      </c>
      <c r="AE4591" s="12"/>
    </row>
    <row r="4592" customHeight="1" spans="1:31">
      <c r="A4592" s="11" t="s">
        <v>30</v>
      </c>
      <c r="B4592" s="11" t="s">
        <v>21784</v>
      </c>
      <c r="C4592" s="11">
        <v>31</v>
      </c>
      <c r="D4592" s="11">
        <v>91</v>
      </c>
      <c r="E4592" s="11">
        <v>9</v>
      </c>
      <c r="F4592" s="11">
        <v>9</v>
      </c>
      <c r="G4592" s="11">
        <v>53</v>
      </c>
      <c r="H4592" s="11">
        <v>287761</v>
      </c>
      <c r="I4592" s="11" t="s">
        <v>21785</v>
      </c>
      <c r="J4592" s="11" t="s">
        <v>21786</v>
      </c>
      <c r="K4592" s="11" t="s">
        <v>21787</v>
      </c>
      <c r="L4592" s="11" t="s">
        <v>21784</v>
      </c>
      <c r="M4592" s="11" t="s">
        <v>21788</v>
      </c>
      <c r="N4592" s="11">
        <v>2482</v>
      </c>
      <c r="O4592" s="11">
        <v>86</v>
      </c>
      <c r="P4592" s="11">
        <v>1</v>
      </c>
      <c r="Q4592" s="11" t="s">
        <v>21789</v>
      </c>
      <c r="R4592" s="14" t="s">
        <v>21790</v>
      </c>
      <c r="S4592" s="11">
        <v>16</v>
      </c>
      <c r="T4592" s="11" t="s">
        <v>39</v>
      </c>
      <c r="U4592" s="11" t="s">
        <v>180</v>
      </c>
      <c r="V4592" s="11" t="s">
        <v>96</v>
      </c>
      <c r="W4592" s="11">
        <v>1000000</v>
      </c>
      <c r="X4592" s="11">
        <v>2013</v>
      </c>
      <c r="Y4592" s="11">
        <v>24</v>
      </c>
      <c r="Z4592" s="11">
        <v>7.6</v>
      </c>
      <c r="AA4592" s="11">
        <v>1.85</v>
      </c>
      <c r="AB4592" s="11">
        <v>0</v>
      </c>
      <c r="AC4592" s="11"/>
      <c r="AD4592" s="11" t="str">
        <f>IFERROR(__xludf.DUMMYFUNCTION("""COMPUTED_VALUE"""),"Hattie McDaniel")</f>
        <v>Hattie McDaniel</v>
      </c>
      <c r="AE4592" s="11"/>
    </row>
    <row r="4593" customHeight="1" spans="1:31">
      <c r="A4593" s="12" t="s">
        <v>30</v>
      </c>
      <c r="B4593" s="12" t="s">
        <v>21791</v>
      </c>
      <c r="C4593" s="12">
        <v>43</v>
      </c>
      <c r="D4593" s="12">
        <v>93</v>
      </c>
      <c r="E4593" s="12">
        <v>0</v>
      </c>
      <c r="F4593" s="12">
        <v>0</v>
      </c>
      <c r="G4593" s="12">
        <v>20</v>
      </c>
      <c r="H4593" s="12">
        <v>100240</v>
      </c>
      <c r="I4593" s="12" t="s">
        <v>68</v>
      </c>
      <c r="J4593" s="12" t="s">
        <v>21792</v>
      </c>
      <c r="K4593" s="12" t="s">
        <v>21793</v>
      </c>
      <c r="L4593" s="12" t="s">
        <v>15144</v>
      </c>
      <c r="M4593" s="12" t="s">
        <v>21794</v>
      </c>
      <c r="N4593" s="12">
        <v>1220</v>
      </c>
      <c r="O4593" s="12">
        <v>28</v>
      </c>
      <c r="P4593" s="12">
        <v>0</v>
      </c>
      <c r="Q4593" s="12" t="s">
        <v>21795</v>
      </c>
      <c r="R4593" s="15" t="s">
        <v>21796</v>
      </c>
      <c r="S4593" s="12">
        <v>11</v>
      </c>
      <c r="T4593" s="12" t="s">
        <v>39</v>
      </c>
      <c r="U4593" s="12" t="s">
        <v>7712</v>
      </c>
      <c r="V4593" s="12" t="s">
        <v>278</v>
      </c>
      <c r="W4593" s="12">
        <v>1000000</v>
      </c>
      <c r="X4593" s="12">
        <v>2014</v>
      </c>
      <c r="Y4593" s="12">
        <v>8</v>
      </c>
      <c r="Z4593" s="12">
        <v>6.8</v>
      </c>
      <c r="AA4593" s="16"/>
      <c r="AB4593" s="12">
        <v>0</v>
      </c>
      <c r="AC4593" s="12"/>
      <c r="AD4593" s="12" t="str">
        <f>IFERROR(__xludf.DUMMYFUNCTION("""COMPUTED_VALUE"""),"George Reeves")</f>
        <v>George Reeves</v>
      </c>
      <c r="AE4593" s="12"/>
    </row>
    <row r="4594" customHeight="1" spans="1:31">
      <c r="A4594" s="11" t="s">
        <v>30</v>
      </c>
      <c r="B4594" s="11" t="s">
        <v>21797</v>
      </c>
      <c r="C4594" s="11">
        <v>2</v>
      </c>
      <c r="D4594" s="11">
        <v>112</v>
      </c>
      <c r="E4594" s="11">
        <v>74</v>
      </c>
      <c r="F4594" s="11">
        <v>891</v>
      </c>
      <c r="G4594" s="11">
        <v>260000</v>
      </c>
      <c r="H4594" s="11">
        <v>96734</v>
      </c>
      <c r="I4594" s="11" t="s">
        <v>777</v>
      </c>
      <c r="J4594" s="11" t="s">
        <v>20910</v>
      </c>
      <c r="K4594" s="11" t="s">
        <v>17727</v>
      </c>
      <c r="L4594" s="11" t="s">
        <v>21798</v>
      </c>
      <c r="M4594" s="11" t="s">
        <v>21799</v>
      </c>
      <c r="N4594" s="11">
        <v>606</v>
      </c>
      <c r="O4594" s="11">
        <v>263584</v>
      </c>
      <c r="P4594" s="11">
        <v>3</v>
      </c>
      <c r="Q4594" s="11" t="s">
        <v>21800</v>
      </c>
      <c r="R4594" s="14" t="s">
        <v>21801</v>
      </c>
      <c r="S4594" s="11">
        <v>5</v>
      </c>
      <c r="T4594" s="11" t="s">
        <v>39</v>
      </c>
      <c r="U4594" s="11" t="s">
        <v>40</v>
      </c>
      <c r="V4594" s="11" t="s">
        <v>41</v>
      </c>
      <c r="W4594" s="11">
        <v>1000000</v>
      </c>
      <c r="X4594" s="11">
        <v>2012</v>
      </c>
      <c r="Y4594" s="11">
        <v>984</v>
      </c>
      <c r="Z4594" s="11">
        <v>5.6</v>
      </c>
      <c r="AA4594" s="11">
        <v>1.85</v>
      </c>
      <c r="AB4594" s="11">
        <v>706</v>
      </c>
      <c r="AC4594" s="11"/>
      <c r="AD4594" s="11" t="str">
        <f>IFERROR(__xludf.DUMMYFUNCTION("""COMPUTED_VALUE"""),"Thomas Mitchell")</f>
        <v>Thomas Mitchell</v>
      </c>
      <c r="AE4594" s="11"/>
    </row>
    <row r="4595" customHeight="1" spans="1:31">
      <c r="A4595" s="12" t="s">
        <v>30</v>
      </c>
      <c r="B4595" s="12" t="s">
        <v>21802</v>
      </c>
      <c r="C4595" s="12">
        <v>4</v>
      </c>
      <c r="D4595" s="12">
        <v>160</v>
      </c>
      <c r="E4595" s="12">
        <v>5</v>
      </c>
      <c r="F4595" s="12">
        <v>219</v>
      </c>
      <c r="G4595" s="12">
        <v>724</v>
      </c>
      <c r="H4595" s="12">
        <v>49000</v>
      </c>
      <c r="I4595" s="12" t="s">
        <v>10413</v>
      </c>
      <c r="J4595" s="12" t="s">
        <v>21803</v>
      </c>
      <c r="K4595" s="12" t="s">
        <v>13354</v>
      </c>
      <c r="L4595" s="12" t="s">
        <v>21804</v>
      </c>
      <c r="M4595" s="12" t="s">
        <v>21805</v>
      </c>
      <c r="N4595" s="12">
        <v>1524</v>
      </c>
      <c r="O4595" s="12">
        <v>2024</v>
      </c>
      <c r="P4595" s="12">
        <v>5</v>
      </c>
      <c r="Q4595" s="12" t="s">
        <v>21806</v>
      </c>
      <c r="R4595" s="15" t="s">
        <v>21807</v>
      </c>
      <c r="S4595" s="12">
        <v>30</v>
      </c>
      <c r="T4595" s="12" t="s">
        <v>5612</v>
      </c>
      <c r="U4595" s="12" t="s">
        <v>5613</v>
      </c>
      <c r="V4595" s="16"/>
      <c r="W4595" s="12">
        <v>1500000</v>
      </c>
      <c r="X4595" s="12">
        <v>2005</v>
      </c>
      <c r="Y4595" s="12">
        <v>668</v>
      </c>
      <c r="Z4595" s="12">
        <v>4.8</v>
      </c>
      <c r="AA4595" s="16"/>
      <c r="AB4595" s="12">
        <v>31</v>
      </c>
      <c r="AC4595" s="12"/>
      <c r="AD4595" s="12" t="str">
        <f>IFERROR(__xludf.DUMMYFUNCTION("""COMPUTED_VALUE"""),"Marama Corlett")</f>
        <v>Marama Corlett</v>
      </c>
      <c r="AE4595" s="12"/>
    </row>
    <row r="4596" customHeight="1" spans="1:31">
      <c r="A4596" s="11" t="s">
        <v>30</v>
      </c>
      <c r="B4596" s="11" t="s">
        <v>21808</v>
      </c>
      <c r="C4596" s="11">
        <v>238</v>
      </c>
      <c r="D4596" s="11">
        <v>95</v>
      </c>
      <c r="E4596" s="11">
        <v>243</v>
      </c>
      <c r="F4596" s="11">
        <v>725</v>
      </c>
      <c r="G4596" s="11">
        <v>969</v>
      </c>
      <c r="H4596" s="11">
        <v>100659</v>
      </c>
      <c r="I4596" s="11" t="s">
        <v>6403</v>
      </c>
      <c r="J4596" s="11" t="s">
        <v>21809</v>
      </c>
      <c r="K4596" s="11" t="s">
        <v>9480</v>
      </c>
      <c r="L4596" s="11" t="s">
        <v>14732</v>
      </c>
      <c r="M4596" s="11" t="s">
        <v>21810</v>
      </c>
      <c r="N4596" s="11">
        <v>30160</v>
      </c>
      <c r="O4596" s="11">
        <v>3833</v>
      </c>
      <c r="P4596" s="11">
        <v>0</v>
      </c>
      <c r="Q4596" s="11" t="s">
        <v>21811</v>
      </c>
      <c r="R4596" s="14" t="s">
        <v>21812</v>
      </c>
      <c r="S4596" s="11">
        <v>193</v>
      </c>
      <c r="T4596" s="11" t="s">
        <v>39</v>
      </c>
      <c r="U4596" s="11" t="s">
        <v>40</v>
      </c>
      <c r="V4596" s="11" t="s">
        <v>586</v>
      </c>
      <c r="W4596" s="11">
        <v>900000</v>
      </c>
      <c r="X4596" s="11">
        <v>2009</v>
      </c>
      <c r="Y4596" s="11">
        <v>962</v>
      </c>
      <c r="Z4596" s="11">
        <v>6.4</v>
      </c>
      <c r="AA4596" s="11">
        <v>1.85</v>
      </c>
      <c r="AB4596" s="11">
        <v>0</v>
      </c>
      <c r="AC4596" s="11"/>
      <c r="AD4596" s="11" t="str">
        <f>IFERROR(__xludf.DUMMYFUNCTION("""COMPUTED_VALUE"""),"Slim Pickens")</f>
        <v>Slim Pickens</v>
      </c>
      <c r="AE4596" s="11"/>
    </row>
    <row r="4597" customHeight="1" spans="1:31">
      <c r="A4597" s="12" t="s">
        <v>30</v>
      </c>
      <c r="B4597" s="12" t="s">
        <v>21813</v>
      </c>
      <c r="C4597" s="12">
        <v>112</v>
      </c>
      <c r="D4597" s="12">
        <v>93</v>
      </c>
      <c r="E4597" s="12">
        <v>11</v>
      </c>
      <c r="F4597" s="12">
        <v>271</v>
      </c>
      <c r="G4597" s="12">
        <v>443</v>
      </c>
      <c r="H4597" s="12">
        <v>48430</v>
      </c>
      <c r="I4597" s="12" t="s">
        <v>5968</v>
      </c>
      <c r="J4597" s="12" t="s">
        <v>3391</v>
      </c>
      <c r="K4597" s="12" t="s">
        <v>4425</v>
      </c>
      <c r="L4597" s="12" t="s">
        <v>3427</v>
      </c>
      <c r="M4597" s="12" t="s">
        <v>21814</v>
      </c>
      <c r="N4597" s="12">
        <v>20176</v>
      </c>
      <c r="O4597" s="12">
        <v>1452</v>
      </c>
      <c r="P4597" s="12">
        <v>1</v>
      </c>
      <c r="Q4597" s="12" t="s">
        <v>21815</v>
      </c>
      <c r="R4597" s="15" t="s">
        <v>21816</v>
      </c>
      <c r="S4597" s="12">
        <v>73</v>
      </c>
      <c r="T4597" s="12" t="s">
        <v>39</v>
      </c>
      <c r="U4597" s="12" t="s">
        <v>40</v>
      </c>
      <c r="V4597" s="12" t="s">
        <v>586</v>
      </c>
      <c r="W4597" s="12">
        <v>500000</v>
      </c>
      <c r="X4597" s="12">
        <v>2010</v>
      </c>
      <c r="Y4597" s="12">
        <v>298</v>
      </c>
      <c r="Z4597" s="12">
        <v>6.8</v>
      </c>
      <c r="AA4597" s="12">
        <v>1.85</v>
      </c>
      <c r="AB4597" s="12">
        <v>0</v>
      </c>
      <c r="AC4597" s="12"/>
      <c r="AD4597" s="12" t="str">
        <f>IFERROR(__xludf.DUMMYFUNCTION("""COMPUTED_VALUE"""),"Keenan Wynn")</f>
        <v>Keenan Wynn</v>
      </c>
      <c r="AE4597" s="12"/>
    </row>
    <row r="4598" customHeight="1" spans="1:31">
      <c r="A4598" s="11" t="s">
        <v>30</v>
      </c>
      <c r="B4598" s="11" t="s">
        <v>6098</v>
      </c>
      <c r="C4598" s="11">
        <v>33</v>
      </c>
      <c r="D4598" s="11">
        <v>88</v>
      </c>
      <c r="E4598" s="11">
        <v>29</v>
      </c>
      <c r="F4598" s="11">
        <v>117</v>
      </c>
      <c r="G4598" s="11">
        <v>499</v>
      </c>
      <c r="H4598" s="11">
        <v>21210</v>
      </c>
      <c r="I4598" s="11" t="s">
        <v>1009</v>
      </c>
      <c r="J4598" s="11" t="s">
        <v>2132</v>
      </c>
      <c r="K4598" s="11" t="s">
        <v>4243</v>
      </c>
      <c r="L4598" s="11" t="s">
        <v>16029</v>
      </c>
      <c r="M4598" s="11" t="s">
        <v>21817</v>
      </c>
      <c r="N4598" s="11">
        <v>2735</v>
      </c>
      <c r="O4598" s="11">
        <v>1141</v>
      </c>
      <c r="P4598" s="11">
        <v>0</v>
      </c>
      <c r="Q4598" s="11" t="s">
        <v>21818</v>
      </c>
      <c r="R4598" s="14" t="s">
        <v>21819</v>
      </c>
      <c r="S4598" s="11">
        <v>52</v>
      </c>
      <c r="T4598" s="11" t="s">
        <v>39</v>
      </c>
      <c r="U4598" s="11" t="s">
        <v>40</v>
      </c>
      <c r="V4598" s="11" t="s">
        <v>586</v>
      </c>
      <c r="W4598" s="11">
        <v>1000000</v>
      </c>
      <c r="X4598" s="11">
        <v>1998</v>
      </c>
      <c r="Y4598" s="11">
        <v>230</v>
      </c>
      <c r="Z4598" s="11">
        <v>6.1</v>
      </c>
      <c r="AA4598" s="11">
        <v>1.85</v>
      </c>
      <c r="AB4598" s="11">
        <v>157</v>
      </c>
      <c r="AC4598" s="11"/>
      <c r="AD4598" s="11" t="str">
        <f>IFERROR(__xludf.DUMMYFUNCTION("""COMPUTED_VALUE"""),"Howard Keel")</f>
        <v>Howard Keel</v>
      </c>
      <c r="AE4598" s="11"/>
    </row>
    <row r="4599" customHeight="1" spans="1:31">
      <c r="A4599" s="12" t="s">
        <v>30</v>
      </c>
      <c r="B4599" s="12" t="s">
        <v>21820</v>
      </c>
      <c r="C4599" s="12">
        <v>8</v>
      </c>
      <c r="D4599" s="12">
        <v>105</v>
      </c>
      <c r="E4599" s="12">
        <v>5</v>
      </c>
      <c r="F4599" s="12">
        <v>73</v>
      </c>
      <c r="G4599" s="12">
        <v>590</v>
      </c>
      <c r="H4599" s="16"/>
      <c r="I4599" s="12" t="s">
        <v>4824</v>
      </c>
      <c r="J4599" s="12" t="s">
        <v>21821</v>
      </c>
      <c r="K4599" s="12" t="s">
        <v>21822</v>
      </c>
      <c r="L4599" s="12" t="s">
        <v>21823</v>
      </c>
      <c r="M4599" s="12" t="s">
        <v>21824</v>
      </c>
      <c r="N4599" s="12">
        <v>1434</v>
      </c>
      <c r="O4599" s="12">
        <v>1042</v>
      </c>
      <c r="P4599" s="12">
        <v>2</v>
      </c>
      <c r="Q4599" s="12" t="s">
        <v>21825</v>
      </c>
      <c r="R4599" s="15" t="s">
        <v>21826</v>
      </c>
      <c r="S4599" s="12">
        <v>43</v>
      </c>
      <c r="T4599" s="12" t="s">
        <v>39</v>
      </c>
      <c r="U4599" s="12" t="s">
        <v>40</v>
      </c>
      <c r="V4599" s="12" t="s">
        <v>586</v>
      </c>
      <c r="W4599" s="12">
        <v>1000000</v>
      </c>
      <c r="X4599" s="12">
        <v>1999</v>
      </c>
      <c r="Y4599" s="12">
        <v>231</v>
      </c>
      <c r="Z4599" s="12">
        <v>5.2</v>
      </c>
      <c r="AA4599" s="16"/>
      <c r="AB4599" s="12">
        <v>27</v>
      </c>
      <c r="AC4599" s="12"/>
      <c r="AD4599" s="12" t="str">
        <f>IFERROR(__xludf.DUMMYFUNCTION("""COMPUTED_VALUE"""),"Betty Hutton")</f>
        <v>Betty Hutton</v>
      </c>
      <c r="AE4599" s="12"/>
    </row>
    <row r="4600" customHeight="1" spans="1:31">
      <c r="A4600" s="11" t="s">
        <v>30</v>
      </c>
      <c r="B4600" s="11" t="s">
        <v>21827</v>
      </c>
      <c r="C4600" s="11">
        <v>95</v>
      </c>
      <c r="D4600" s="11">
        <v>98</v>
      </c>
      <c r="E4600" s="11">
        <v>8</v>
      </c>
      <c r="F4600" s="11">
        <v>14</v>
      </c>
      <c r="G4600" s="11">
        <v>96</v>
      </c>
      <c r="H4600" s="11">
        <v>22434</v>
      </c>
      <c r="I4600" s="11" t="s">
        <v>2528</v>
      </c>
      <c r="J4600" s="11" t="s">
        <v>21828</v>
      </c>
      <c r="K4600" s="11" t="s">
        <v>21829</v>
      </c>
      <c r="L4600" s="11" t="s">
        <v>21830</v>
      </c>
      <c r="M4600" s="11" t="s">
        <v>21831</v>
      </c>
      <c r="N4600" s="11">
        <v>334</v>
      </c>
      <c r="O4600" s="11">
        <v>196</v>
      </c>
      <c r="P4600" s="11">
        <v>1</v>
      </c>
      <c r="Q4600" s="11" t="s">
        <v>21832</v>
      </c>
      <c r="R4600" s="14" t="s">
        <v>21833</v>
      </c>
      <c r="S4600" s="11">
        <v>17</v>
      </c>
      <c r="T4600" s="11" t="s">
        <v>39</v>
      </c>
      <c r="U4600" s="11" t="s">
        <v>40</v>
      </c>
      <c r="V4600" s="11" t="s">
        <v>586</v>
      </c>
      <c r="W4600" s="13"/>
      <c r="X4600" s="11">
        <v>1996</v>
      </c>
      <c r="Y4600" s="11">
        <v>71</v>
      </c>
      <c r="Z4600" s="11">
        <v>6.9</v>
      </c>
      <c r="AA4600" s="11">
        <v>1.85</v>
      </c>
      <c r="AB4600" s="11">
        <v>43</v>
      </c>
      <c r="AC4600" s="11"/>
      <c r="AD4600" s="11" t="str">
        <f>IFERROR(__xludf.DUMMYFUNCTION("""COMPUTED_VALUE"""),"Alex Macqueen")</f>
        <v>Alex Macqueen</v>
      </c>
      <c r="AE4600" s="11"/>
    </row>
    <row r="4601" customHeight="1" spans="1:31">
      <c r="A4601" s="12" t="s">
        <v>30</v>
      </c>
      <c r="B4601" s="12" t="s">
        <v>7566</v>
      </c>
      <c r="C4601" s="12">
        <v>29</v>
      </c>
      <c r="D4601" s="12">
        <v>82</v>
      </c>
      <c r="E4601" s="12">
        <v>82</v>
      </c>
      <c r="F4601" s="12">
        <v>490</v>
      </c>
      <c r="G4601" s="12">
        <v>2000</v>
      </c>
      <c r="H4601" s="12">
        <v>12996</v>
      </c>
      <c r="I4601" s="12" t="s">
        <v>971</v>
      </c>
      <c r="J4601" s="12" t="s">
        <v>236</v>
      </c>
      <c r="K4601" s="12" t="s">
        <v>654</v>
      </c>
      <c r="L4601" s="12" t="s">
        <v>1891</v>
      </c>
      <c r="M4601" s="12" t="s">
        <v>21834</v>
      </c>
      <c r="N4601" s="12">
        <v>1938</v>
      </c>
      <c r="O4601" s="12">
        <v>3905</v>
      </c>
      <c r="P4601" s="12">
        <v>0</v>
      </c>
      <c r="Q4601" s="12" t="s">
        <v>21835</v>
      </c>
      <c r="R4601" s="15" t="s">
        <v>21836</v>
      </c>
      <c r="S4601" s="12">
        <v>54</v>
      </c>
      <c r="T4601" s="12" t="s">
        <v>39</v>
      </c>
      <c r="U4601" s="12" t="s">
        <v>40</v>
      </c>
      <c r="V4601" s="12" t="s">
        <v>586</v>
      </c>
      <c r="W4601" s="12">
        <v>1000000</v>
      </c>
      <c r="X4601" s="12">
        <v>2000</v>
      </c>
      <c r="Y4601" s="12">
        <v>571</v>
      </c>
      <c r="Z4601" s="12">
        <v>6</v>
      </c>
      <c r="AA4601" s="12">
        <v>1.85</v>
      </c>
      <c r="AB4601" s="12">
        <v>210</v>
      </c>
      <c r="AC4601" s="12"/>
      <c r="AD4601" s="12" t="str">
        <f>IFERROR(__xludf.DUMMYFUNCTION("""COMPUTED_VALUE"""),"Fernanda Montenegro")</f>
        <v>Fernanda Montenegro</v>
      </c>
      <c r="AE4601" s="12"/>
    </row>
    <row r="4602" customHeight="1" spans="1:31">
      <c r="A4602" s="11" t="s">
        <v>30</v>
      </c>
      <c r="B4602" s="11" t="s">
        <v>21837</v>
      </c>
      <c r="C4602" s="11">
        <v>3</v>
      </c>
      <c r="D4602" s="11">
        <v>89</v>
      </c>
      <c r="E4602" s="11">
        <v>32</v>
      </c>
      <c r="F4602" s="11">
        <v>256</v>
      </c>
      <c r="G4602" s="11">
        <v>386</v>
      </c>
      <c r="H4602" s="13"/>
      <c r="I4602" s="11" t="s">
        <v>1681</v>
      </c>
      <c r="J4602" s="11" t="s">
        <v>21838</v>
      </c>
      <c r="K4602" s="11" t="s">
        <v>21839</v>
      </c>
      <c r="L4602" s="11" t="s">
        <v>21840</v>
      </c>
      <c r="M4602" s="11" t="s">
        <v>21841</v>
      </c>
      <c r="N4602" s="11">
        <v>397</v>
      </c>
      <c r="O4602" s="11">
        <v>1647</v>
      </c>
      <c r="P4602" s="11">
        <v>1</v>
      </c>
      <c r="Q4602" s="11" t="s">
        <v>21842</v>
      </c>
      <c r="R4602" s="14" t="s">
        <v>21843</v>
      </c>
      <c r="S4602" s="11">
        <v>6</v>
      </c>
      <c r="T4602" s="11" t="s">
        <v>39</v>
      </c>
      <c r="U4602" s="11" t="s">
        <v>40</v>
      </c>
      <c r="V4602" s="13"/>
      <c r="W4602" s="11">
        <v>1000000</v>
      </c>
      <c r="X4602" s="11">
        <v>2009</v>
      </c>
      <c r="Y4602" s="11">
        <v>261</v>
      </c>
      <c r="Z4602" s="11">
        <v>6.3</v>
      </c>
      <c r="AA4602" s="11">
        <v>1.78</v>
      </c>
      <c r="AB4602" s="11">
        <v>143</v>
      </c>
      <c r="AC4602" s="11"/>
      <c r="AD4602" s="11" t="str">
        <f>IFERROR(__xludf.DUMMYFUNCTION("""COMPUTED_VALUE"""),"Seu Jorge")</f>
        <v>Seu Jorge</v>
      </c>
      <c r="AE4602" s="11"/>
    </row>
    <row r="4603" customHeight="1" spans="1:31">
      <c r="A4603" s="12" t="s">
        <v>748</v>
      </c>
      <c r="B4603" s="12" t="s">
        <v>21844</v>
      </c>
      <c r="C4603" s="12">
        <v>71</v>
      </c>
      <c r="D4603" s="12">
        <v>78</v>
      </c>
      <c r="E4603" s="12">
        <v>0</v>
      </c>
      <c r="F4603" s="12">
        <v>61</v>
      </c>
      <c r="G4603" s="12">
        <v>262</v>
      </c>
      <c r="H4603" s="12">
        <v>10018</v>
      </c>
      <c r="I4603" s="12" t="s">
        <v>2126</v>
      </c>
      <c r="J4603" s="12" t="s">
        <v>21845</v>
      </c>
      <c r="K4603" s="12" t="s">
        <v>20673</v>
      </c>
      <c r="L4603" s="12" t="s">
        <v>21846</v>
      </c>
      <c r="M4603" s="12" t="s">
        <v>21847</v>
      </c>
      <c r="N4603" s="12">
        <v>3228</v>
      </c>
      <c r="O4603" s="12">
        <v>509</v>
      </c>
      <c r="P4603" s="12">
        <v>0</v>
      </c>
      <c r="Q4603" s="12" t="s">
        <v>21848</v>
      </c>
      <c r="R4603" s="15" t="s">
        <v>21849</v>
      </c>
      <c r="S4603" s="12">
        <v>31</v>
      </c>
      <c r="T4603" s="12" t="s">
        <v>39</v>
      </c>
      <c r="U4603" s="12" t="s">
        <v>40</v>
      </c>
      <c r="V4603" s="12" t="s">
        <v>4831</v>
      </c>
      <c r="W4603" s="12">
        <v>1000000</v>
      </c>
      <c r="X4603" s="12">
        <v>2006</v>
      </c>
      <c r="Y4603" s="12">
        <v>163</v>
      </c>
      <c r="Z4603" s="12">
        <v>6.1</v>
      </c>
      <c r="AA4603" s="12">
        <v>1.85</v>
      </c>
      <c r="AB4603" s="12">
        <v>244</v>
      </c>
      <c r="AC4603" s="12"/>
      <c r="AD4603" s="12" t="str">
        <f>IFERROR(__xludf.DUMMYFUNCTION("""COMPUTED_VALUE"""),"Fernanda Torres")</f>
        <v>Fernanda Torres</v>
      </c>
      <c r="AE4603" s="12"/>
    </row>
    <row r="4604" customHeight="1" spans="1:31">
      <c r="A4604" s="11" t="s">
        <v>30</v>
      </c>
      <c r="B4604" s="11" t="s">
        <v>21850</v>
      </c>
      <c r="C4604" s="11">
        <v>36</v>
      </c>
      <c r="D4604" s="11">
        <v>97</v>
      </c>
      <c r="E4604" s="11">
        <v>4</v>
      </c>
      <c r="F4604" s="11">
        <v>150</v>
      </c>
      <c r="G4604" s="11">
        <v>446</v>
      </c>
      <c r="H4604" s="11">
        <v>62480</v>
      </c>
      <c r="I4604" s="11" t="s">
        <v>1849</v>
      </c>
      <c r="J4604" s="11" t="s">
        <v>11386</v>
      </c>
      <c r="K4604" s="11" t="s">
        <v>21851</v>
      </c>
      <c r="L4604" s="11" t="s">
        <v>21852</v>
      </c>
      <c r="M4604" s="11" t="s">
        <v>21853</v>
      </c>
      <c r="N4604" s="11">
        <v>1048</v>
      </c>
      <c r="O4604" s="11">
        <v>928</v>
      </c>
      <c r="P4604" s="11">
        <v>1</v>
      </c>
      <c r="Q4604" s="11" t="s">
        <v>21854</v>
      </c>
      <c r="R4604" s="14" t="s">
        <v>21855</v>
      </c>
      <c r="S4604" s="11">
        <v>7</v>
      </c>
      <c r="T4604" s="11" t="s">
        <v>39</v>
      </c>
      <c r="U4604" s="11" t="s">
        <v>40</v>
      </c>
      <c r="V4604" s="11" t="s">
        <v>586</v>
      </c>
      <c r="W4604" s="11">
        <v>1000000</v>
      </c>
      <c r="X4604" s="11">
        <v>2015</v>
      </c>
      <c r="Y4604" s="11">
        <v>171</v>
      </c>
      <c r="Z4604" s="11">
        <v>5.5</v>
      </c>
      <c r="AA4604" s="11">
        <v>2.39</v>
      </c>
      <c r="AB4604" s="11">
        <v>793</v>
      </c>
      <c r="AC4604" s="11"/>
      <c r="AD4604" s="11" t="str">
        <f>IFERROR(__xludf.DUMMYFUNCTION("""COMPUTED_VALUE"""),"Gladys Cooper")</f>
        <v>Gladys Cooper</v>
      </c>
      <c r="AE4604" s="11"/>
    </row>
    <row r="4605" customHeight="1" spans="1:31">
      <c r="A4605" s="12" t="s">
        <v>30</v>
      </c>
      <c r="B4605" s="12" t="s">
        <v>21856</v>
      </c>
      <c r="C4605" s="12">
        <v>56</v>
      </c>
      <c r="D4605" s="12">
        <v>81</v>
      </c>
      <c r="E4605" s="12">
        <v>0</v>
      </c>
      <c r="F4605" s="12">
        <v>394</v>
      </c>
      <c r="G4605" s="12">
        <v>975</v>
      </c>
      <c r="H4605" s="12">
        <v>6387</v>
      </c>
      <c r="I4605" s="12" t="s">
        <v>2257</v>
      </c>
      <c r="J4605" s="12" t="s">
        <v>2524</v>
      </c>
      <c r="K4605" s="12" t="s">
        <v>21857</v>
      </c>
      <c r="L4605" s="12" t="s">
        <v>21858</v>
      </c>
      <c r="M4605" s="12" t="s">
        <v>21859</v>
      </c>
      <c r="N4605" s="12">
        <v>4862</v>
      </c>
      <c r="O4605" s="12">
        <v>2694</v>
      </c>
      <c r="P4605" s="12">
        <v>0</v>
      </c>
      <c r="Q4605" s="12" t="s">
        <v>21860</v>
      </c>
      <c r="R4605" s="15" t="s">
        <v>21861</v>
      </c>
      <c r="S4605" s="12">
        <v>37</v>
      </c>
      <c r="T4605" s="12" t="s">
        <v>39</v>
      </c>
      <c r="U4605" s="12" t="s">
        <v>40</v>
      </c>
      <c r="V4605" s="12" t="s">
        <v>586</v>
      </c>
      <c r="W4605" s="12">
        <v>1000000</v>
      </c>
      <c r="X4605" s="12">
        <v>2006</v>
      </c>
      <c r="Y4605" s="12">
        <v>645</v>
      </c>
      <c r="Z4605" s="12">
        <v>6.9</v>
      </c>
      <c r="AA4605" s="12">
        <v>1.85</v>
      </c>
      <c r="AB4605" s="12">
        <v>0</v>
      </c>
      <c r="AC4605" s="12"/>
      <c r="AD4605" s="12" t="str">
        <f>IFERROR(__xludf.DUMMYFUNCTION("""COMPUTED_VALUE"""),"Reginald Owen")</f>
        <v>Reginald Owen</v>
      </c>
      <c r="AE4605" s="12"/>
    </row>
    <row r="4606" customHeight="1" spans="1:31">
      <c r="A4606" s="11" t="s">
        <v>30</v>
      </c>
      <c r="B4606" s="11" t="s">
        <v>19403</v>
      </c>
      <c r="C4606" s="11">
        <v>8</v>
      </c>
      <c r="D4606" s="11">
        <v>90</v>
      </c>
      <c r="E4606" s="11">
        <v>18</v>
      </c>
      <c r="F4606" s="11">
        <v>422</v>
      </c>
      <c r="G4606" s="11">
        <v>491</v>
      </c>
      <c r="H4606" s="11">
        <v>5494</v>
      </c>
      <c r="I4606" s="11" t="s">
        <v>2528</v>
      </c>
      <c r="J4606" s="11" t="s">
        <v>14832</v>
      </c>
      <c r="K4606" s="11" t="s">
        <v>1891</v>
      </c>
      <c r="L4606" s="11" t="s">
        <v>2955</v>
      </c>
      <c r="M4606" s="11" t="s">
        <v>21862</v>
      </c>
      <c r="N4606" s="11">
        <v>377</v>
      </c>
      <c r="O4606" s="11">
        <v>2633</v>
      </c>
      <c r="P4606" s="11">
        <v>3</v>
      </c>
      <c r="Q4606" s="11" t="s">
        <v>21863</v>
      </c>
      <c r="R4606" s="14" t="s">
        <v>21864</v>
      </c>
      <c r="S4606" s="11">
        <v>13</v>
      </c>
      <c r="T4606" s="11" t="s">
        <v>39</v>
      </c>
      <c r="U4606" s="11" t="s">
        <v>40</v>
      </c>
      <c r="V4606" s="11" t="s">
        <v>586</v>
      </c>
      <c r="W4606" s="13"/>
      <c r="X4606" s="11">
        <v>1997</v>
      </c>
      <c r="Y4606" s="11">
        <v>490</v>
      </c>
      <c r="Z4606" s="11">
        <v>5.6</v>
      </c>
      <c r="AA4606" s="13"/>
      <c r="AB4606" s="11">
        <v>17</v>
      </c>
      <c r="AC4606" s="11"/>
      <c r="AD4606" s="11" t="str">
        <f>IFERROR(__xludf.DUMMYFUNCTION("""COMPUTED_VALUE"""),"Ellen Ross")</f>
        <v>Ellen Ross</v>
      </c>
      <c r="AE4606" s="11"/>
    </row>
    <row r="4607" customHeight="1" spans="1:31">
      <c r="A4607" s="12" t="s">
        <v>30</v>
      </c>
      <c r="B4607" s="12" t="s">
        <v>21865</v>
      </c>
      <c r="C4607" s="12">
        <v>3</v>
      </c>
      <c r="D4607" s="12">
        <v>97</v>
      </c>
      <c r="E4607" s="12">
        <v>0</v>
      </c>
      <c r="F4607" s="12">
        <v>94</v>
      </c>
      <c r="G4607" s="12">
        <v>639</v>
      </c>
      <c r="H4607" s="16"/>
      <c r="I4607" s="12" t="s">
        <v>21866</v>
      </c>
      <c r="J4607" s="12" t="s">
        <v>21867</v>
      </c>
      <c r="K4607" s="12" t="s">
        <v>21868</v>
      </c>
      <c r="L4607" s="12" t="s">
        <v>21869</v>
      </c>
      <c r="M4607" s="12" t="s">
        <v>21870</v>
      </c>
      <c r="N4607" s="12">
        <v>534</v>
      </c>
      <c r="O4607" s="12">
        <v>1188</v>
      </c>
      <c r="P4607" s="12">
        <v>2</v>
      </c>
      <c r="Q4607" s="12" t="s">
        <v>21871</v>
      </c>
      <c r="R4607" s="15" t="s">
        <v>21872</v>
      </c>
      <c r="S4607" s="12">
        <v>9</v>
      </c>
      <c r="T4607" s="12" t="s">
        <v>39</v>
      </c>
      <c r="U4607" s="12" t="s">
        <v>40</v>
      </c>
      <c r="V4607" s="12" t="s">
        <v>586</v>
      </c>
      <c r="W4607" s="12">
        <v>1000000</v>
      </c>
      <c r="X4607" s="12">
        <v>2005</v>
      </c>
      <c r="Y4607" s="12">
        <v>361</v>
      </c>
      <c r="Z4607" s="12">
        <v>1.9</v>
      </c>
      <c r="AA4607" s="12">
        <v>1.78</v>
      </c>
      <c r="AB4607" s="12">
        <v>128</v>
      </c>
      <c r="AC4607" s="12"/>
      <c r="AD4607" s="12" t="str">
        <f>IFERROR(__xludf.DUMMYFUNCTION("""COMPUTED_VALUE"""),"Alice Olivia Clarke")</f>
        <v>Alice Olivia Clarke</v>
      </c>
      <c r="AE4607" s="12"/>
    </row>
    <row r="4608" customHeight="1" spans="1:31">
      <c r="A4608" s="11" t="s">
        <v>30</v>
      </c>
      <c r="B4608" s="11" t="s">
        <v>10465</v>
      </c>
      <c r="C4608" s="11">
        <v>8</v>
      </c>
      <c r="D4608" s="11">
        <v>88</v>
      </c>
      <c r="E4608" s="11">
        <v>53</v>
      </c>
      <c r="F4608" s="11">
        <v>176</v>
      </c>
      <c r="G4608" s="11">
        <v>563</v>
      </c>
      <c r="H4608" s="11">
        <v>721</v>
      </c>
      <c r="I4608" s="11" t="s">
        <v>777</v>
      </c>
      <c r="J4608" s="11" t="s">
        <v>3888</v>
      </c>
      <c r="K4608" s="11" t="s">
        <v>21873</v>
      </c>
      <c r="L4608" s="11" t="s">
        <v>21874</v>
      </c>
      <c r="M4608" s="11" t="s">
        <v>21875</v>
      </c>
      <c r="N4608" s="11">
        <v>783</v>
      </c>
      <c r="O4608" s="11">
        <v>1284</v>
      </c>
      <c r="P4608" s="11">
        <v>2</v>
      </c>
      <c r="Q4608" s="11" t="s">
        <v>21876</v>
      </c>
      <c r="R4608" s="14" t="s">
        <v>21877</v>
      </c>
      <c r="S4608" s="11">
        <v>12</v>
      </c>
      <c r="T4608" s="11" t="s">
        <v>39</v>
      </c>
      <c r="U4608" s="11" t="s">
        <v>768</v>
      </c>
      <c r="V4608" s="11" t="s">
        <v>586</v>
      </c>
      <c r="W4608" s="11">
        <v>1000000</v>
      </c>
      <c r="X4608" s="11">
        <v>2006</v>
      </c>
      <c r="Y4608" s="11">
        <v>288</v>
      </c>
      <c r="Z4608" s="11">
        <v>4.1</v>
      </c>
      <c r="AA4608" s="11">
        <v>1.85</v>
      </c>
      <c r="AB4608" s="11">
        <v>42</v>
      </c>
      <c r="AC4608" s="11"/>
      <c r="AD4608" s="11" t="str">
        <f>IFERROR(__xludf.DUMMYFUNCTION("""COMPUTED_VALUE"""),"Jamie Farr")</f>
        <v>Jamie Farr</v>
      </c>
      <c r="AE4608" s="11"/>
    </row>
    <row r="4609" customHeight="1" spans="1:31">
      <c r="A4609" s="12" t="s">
        <v>30</v>
      </c>
      <c r="B4609" s="12" t="s">
        <v>7532</v>
      </c>
      <c r="C4609" s="12">
        <v>9</v>
      </c>
      <c r="D4609" s="12">
        <v>96</v>
      </c>
      <c r="E4609" s="12">
        <v>436</v>
      </c>
      <c r="F4609" s="12">
        <v>4</v>
      </c>
      <c r="G4609" s="12">
        <v>474</v>
      </c>
      <c r="H4609" s="12">
        <v>703</v>
      </c>
      <c r="I4609" s="12" t="s">
        <v>2528</v>
      </c>
      <c r="J4609" s="12" t="s">
        <v>11234</v>
      </c>
      <c r="K4609" s="12" t="s">
        <v>7532</v>
      </c>
      <c r="L4609" s="12" t="s">
        <v>21878</v>
      </c>
      <c r="M4609" s="12" t="s">
        <v>21879</v>
      </c>
      <c r="N4609" s="12">
        <v>480</v>
      </c>
      <c r="O4609" s="12">
        <v>920</v>
      </c>
      <c r="P4609" s="12">
        <v>3</v>
      </c>
      <c r="Q4609" s="12" t="s">
        <v>21880</v>
      </c>
      <c r="R4609" s="15" t="s">
        <v>21881</v>
      </c>
      <c r="S4609" s="12">
        <v>21</v>
      </c>
      <c r="T4609" s="12" t="s">
        <v>39</v>
      </c>
      <c r="U4609" s="12" t="s">
        <v>40</v>
      </c>
      <c r="V4609" s="12" t="s">
        <v>586</v>
      </c>
      <c r="W4609" s="12">
        <v>1500000</v>
      </c>
      <c r="X4609" s="12">
        <v>2001</v>
      </c>
      <c r="Y4609" s="12">
        <v>436</v>
      </c>
      <c r="Z4609" s="12">
        <v>5.4</v>
      </c>
      <c r="AA4609" s="12">
        <v>1.85</v>
      </c>
      <c r="AB4609" s="12">
        <v>47</v>
      </c>
      <c r="AC4609" s="12"/>
      <c r="AD4609" s="12" t="str">
        <f>IFERROR(__xludf.DUMMYFUNCTION("""COMPUTED_VALUE"""),"Mike Farrell")</f>
        <v>Mike Farrell</v>
      </c>
      <c r="AE4609" s="12"/>
    </row>
    <row r="4610" customHeight="1" spans="1:31">
      <c r="A4610" s="11" t="s">
        <v>30</v>
      </c>
      <c r="B4610" s="11" t="s">
        <v>21882</v>
      </c>
      <c r="C4610" s="11">
        <v>87</v>
      </c>
      <c r="D4610" s="11">
        <v>105</v>
      </c>
      <c r="E4610" s="11">
        <v>50</v>
      </c>
      <c r="F4610" s="11">
        <v>8</v>
      </c>
      <c r="G4610" s="11">
        <v>327</v>
      </c>
      <c r="H4610" s="13"/>
      <c r="I4610" s="11" t="s">
        <v>4824</v>
      </c>
      <c r="J4610" s="11" t="s">
        <v>21883</v>
      </c>
      <c r="K4610" s="11" t="s">
        <v>21884</v>
      </c>
      <c r="L4610" s="11" t="s">
        <v>21885</v>
      </c>
      <c r="M4610" s="11" t="s">
        <v>21886</v>
      </c>
      <c r="N4610" s="11">
        <v>3499</v>
      </c>
      <c r="O4610" s="11">
        <v>351</v>
      </c>
      <c r="P4610" s="11">
        <v>0</v>
      </c>
      <c r="Q4610" s="11" t="s">
        <v>21887</v>
      </c>
      <c r="R4610" s="14" t="s">
        <v>21888</v>
      </c>
      <c r="S4610" s="11">
        <v>15</v>
      </c>
      <c r="T4610" s="11" t="s">
        <v>2779</v>
      </c>
      <c r="U4610" s="11" t="s">
        <v>2914</v>
      </c>
      <c r="V4610" s="11" t="s">
        <v>4831</v>
      </c>
      <c r="W4610" s="11">
        <v>1000000</v>
      </c>
      <c r="X4610" s="11">
        <v>2013</v>
      </c>
      <c r="Y4610" s="11">
        <v>9</v>
      </c>
      <c r="Z4610" s="11">
        <v>6.8</v>
      </c>
      <c r="AA4610" s="11">
        <v>1.85</v>
      </c>
      <c r="AB4610" s="11">
        <v>0</v>
      </c>
      <c r="AC4610" s="11"/>
      <c r="AD4610" s="11" t="str">
        <f>IFERROR(__xludf.DUMMYFUNCTION("""COMPUTED_VALUE"""),"Brenda Vaccaro")</f>
        <v>Brenda Vaccaro</v>
      </c>
      <c r="AE4610" s="11"/>
    </row>
    <row r="4611" customHeight="1" spans="1:31">
      <c r="A4611" s="12" t="s">
        <v>30</v>
      </c>
      <c r="B4611" s="12" t="s">
        <v>21889</v>
      </c>
      <c r="C4611" s="12">
        <v>6</v>
      </c>
      <c r="D4611" s="16"/>
      <c r="E4611" s="12">
        <v>3</v>
      </c>
      <c r="F4611" s="12">
        <v>4</v>
      </c>
      <c r="G4611" s="12">
        <v>7</v>
      </c>
      <c r="H4611" s="16"/>
      <c r="I4611" s="12" t="s">
        <v>3057</v>
      </c>
      <c r="J4611" s="12" t="s">
        <v>21890</v>
      </c>
      <c r="K4611" s="12" t="s">
        <v>21891</v>
      </c>
      <c r="L4611" s="12" t="s">
        <v>21892</v>
      </c>
      <c r="M4611" s="12" t="s">
        <v>21893</v>
      </c>
      <c r="N4611" s="12">
        <v>876</v>
      </c>
      <c r="O4611" s="12">
        <v>19</v>
      </c>
      <c r="P4611" s="12">
        <v>9</v>
      </c>
      <c r="Q4611" s="12" t="s">
        <v>21894</v>
      </c>
      <c r="R4611" s="15" t="s">
        <v>21895</v>
      </c>
      <c r="S4611" s="12">
        <v>15</v>
      </c>
      <c r="T4611" s="12" t="s">
        <v>21896</v>
      </c>
      <c r="U4611" s="12" t="s">
        <v>21897</v>
      </c>
      <c r="V4611" s="16"/>
      <c r="W4611" s="12">
        <v>1000000</v>
      </c>
      <c r="X4611" s="12">
        <v>2015</v>
      </c>
      <c r="Y4611" s="12">
        <v>5</v>
      </c>
      <c r="Z4611" s="12">
        <v>7</v>
      </c>
      <c r="AA4611" s="16"/>
      <c r="AB4611" s="12">
        <v>259</v>
      </c>
      <c r="AC4611" s="12"/>
      <c r="AD4611" s="12" t="str">
        <f>IFERROR(__xludf.DUMMYFUNCTION("""COMPUTED_VALUE"""),"Barnard Hughes")</f>
        <v>Barnard Hughes</v>
      </c>
      <c r="AE4611" s="12"/>
    </row>
    <row r="4612" customHeight="1" spans="1:31">
      <c r="A4612" s="11" t="s">
        <v>30</v>
      </c>
      <c r="B4612" s="11" t="s">
        <v>21898</v>
      </c>
      <c r="C4612" s="11">
        <v>14</v>
      </c>
      <c r="D4612" s="11">
        <v>76</v>
      </c>
      <c r="E4612" s="11">
        <v>57</v>
      </c>
      <c r="F4612" s="11">
        <v>228</v>
      </c>
      <c r="G4612" s="11">
        <v>442</v>
      </c>
      <c r="H4612" s="13"/>
      <c r="I4612" s="11" t="s">
        <v>214</v>
      </c>
      <c r="J4612" s="11" t="s">
        <v>21899</v>
      </c>
      <c r="K4612" s="11" t="s">
        <v>18530</v>
      </c>
      <c r="L4612" s="11" t="s">
        <v>21900</v>
      </c>
      <c r="M4612" s="11" t="s">
        <v>21901</v>
      </c>
      <c r="N4612" s="11">
        <v>9190</v>
      </c>
      <c r="O4612" s="11">
        <v>1635</v>
      </c>
      <c r="P4612" s="11">
        <v>0</v>
      </c>
      <c r="Q4612" s="11" t="s">
        <v>21902</v>
      </c>
      <c r="R4612" s="14" t="s">
        <v>21903</v>
      </c>
      <c r="S4612" s="11">
        <v>75</v>
      </c>
      <c r="T4612" s="11" t="s">
        <v>39</v>
      </c>
      <c r="U4612" s="11" t="s">
        <v>40</v>
      </c>
      <c r="V4612" s="11" t="s">
        <v>4831</v>
      </c>
      <c r="W4612" s="11">
        <v>1000000</v>
      </c>
      <c r="X4612" s="11">
        <v>2006</v>
      </c>
      <c r="Y4612" s="11">
        <v>403</v>
      </c>
      <c r="Z4612" s="11">
        <v>6.7</v>
      </c>
      <c r="AA4612" s="11">
        <v>1.85</v>
      </c>
      <c r="AB4612" s="11">
        <v>501</v>
      </c>
      <c r="AC4612" s="11"/>
      <c r="AD4612" s="11" t="str">
        <f>IFERROR(__xludf.DUMMYFUNCTION("""COMPUTED_VALUE"""),"John McGiver")</f>
        <v>John McGiver</v>
      </c>
      <c r="AE4612" s="11"/>
    </row>
    <row r="4613" customHeight="1" spans="1:31">
      <c r="A4613" s="12" t="s">
        <v>30</v>
      </c>
      <c r="B4613" s="12" t="s">
        <v>21904</v>
      </c>
      <c r="C4613" s="12">
        <v>20</v>
      </c>
      <c r="D4613" s="12">
        <v>96</v>
      </c>
      <c r="E4613" s="12">
        <v>0</v>
      </c>
      <c r="F4613" s="12">
        <v>396</v>
      </c>
      <c r="G4613" s="12">
        <v>782</v>
      </c>
      <c r="H4613" s="16"/>
      <c r="I4613" s="12" t="s">
        <v>2528</v>
      </c>
      <c r="J4613" s="12" t="s">
        <v>9427</v>
      </c>
      <c r="K4613" s="12" t="s">
        <v>3684</v>
      </c>
      <c r="L4613" s="12" t="s">
        <v>1195</v>
      </c>
      <c r="M4613" s="12" t="s">
        <v>21905</v>
      </c>
      <c r="N4613" s="12">
        <v>1359</v>
      </c>
      <c r="O4613" s="12">
        <v>2607</v>
      </c>
      <c r="P4613" s="12">
        <v>1</v>
      </c>
      <c r="Q4613" s="12" t="s">
        <v>21906</v>
      </c>
      <c r="R4613" s="15" t="s">
        <v>21907</v>
      </c>
      <c r="S4613" s="12">
        <v>8</v>
      </c>
      <c r="T4613" s="12" t="s">
        <v>39</v>
      </c>
      <c r="U4613" s="12" t="s">
        <v>40</v>
      </c>
      <c r="V4613" s="16"/>
      <c r="W4613" s="12">
        <v>1000000</v>
      </c>
      <c r="X4613" s="12">
        <v>2014</v>
      </c>
      <c r="Y4613" s="12">
        <v>490</v>
      </c>
      <c r="Z4613" s="12">
        <v>5.8</v>
      </c>
      <c r="AA4613" s="12">
        <v>1.78</v>
      </c>
      <c r="AB4613" s="12">
        <v>903</v>
      </c>
      <c r="AC4613" s="12"/>
      <c r="AD4613" s="12" t="str">
        <f>IFERROR(__xludf.DUMMYFUNCTION("""COMPUTED_VALUE"""),"Lesley Sharp")</f>
        <v>Lesley Sharp</v>
      </c>
      <c r="AE4613" s="12"/>
    </row>
    <row r="4614" customHeight="1" spans="1:31">
      <c r="A4614" s="11" t="s">
        <v>30</v>
      </c>
      <c r="B4614" s="11" t="s">
        <v>21908</v>
      </c>
      <c r="C4614" s="11">
        <v>23</v>
      </c>
      <c r="D4614" s="11">
        <v>99</v>
      </c>
      <c r="E4614" s="11">
        <v>0</v>
      </c>
      <c r="F4614" s="11">
        <v>131</v>
      </c>
      <c r="G4614" s="11">
        <v>363</v>
      </c>
      <c r="H4614" s="13"/>
      <c r="I4614" s="11" t="s">
        <v>2126</v>
      </c>
      <c r="J4614" s="11" t="s">
        <v>21909</v>
      </c>
      <c r="K4614" s="11" t="s">
        <v>398</v>
      </c>
      <c r="L4614" s="11" t="s">
        <v>21910</v>
      </c>
      <c r="M4614" s="11" t="s">
        <v>21911</v>
      </c>
      <c r="N4614" s="11">
        <v>1420</v>
      </c>
      <c r="O4614" s="11">
        <v>997</v>
      </c>
      <c r="P4614" s="11">
        <v>2</v>
      </c>
      <c r="Q4614" s="11" t="s">
        <v>21912</v>
      </c>
      <c r="R4614" s="14" t="s">
        <v>21913</v>
      </c>
      <c r="S4614" s="11">
        <v>26</v>
      </c>
      <c r="T4614" s="11" t="s">
        <v>39</v>
      </c>
      <c r="U4614" s="11" t="s">
        <v>40</v>
      </c>
      <c r="V4614" s="11" t="s">
        <v>586</v>
      </c>
      <c r="W4614" s="11">
        <v>1000000</v>
      </c>
      <c r="X4614" s="11">
        <v>2006</v>
      </c>
      <c r="Y4614" s="11">
        <v>275</v>
      </c>
      <c r="Z4614" s="11">
        <v>6.2</v>
      </c>
      <c r="AA4614" s="13"/>
      <c r="AB4614" s="11">
        <v>138</v>
      </c>
      <c r="AC4614" s="11"/>
      <c r="AD4614" s="11" t="str">
        <f>IFERROR(__xludf.DUMMYFUNCTION("""COMPUTED_VALUE"""),"Peter Graves")</f>
        <v>Peter Graves</v>
      </c>
      <c r="AE4614" s="11"/>
    </row>
    <row r="4615" customHeight="1" spans="1:31">
      <c r="A4615" s="12" t="s">
        <v>30</v>
      </c>
      <c r="B4615" s="12" t="s">
        <v>21914</v>
      </c>
      <c r="C4615" s="12">
        <v>6</v>
      </c>
      <c r="D4615" s="12">
        <v>90</v>
      </c>
      <c r="E4615" s="12">
        <v>15</v>
      </c>
      <c r="F4615" s="12">
        <v>106</v>
      </c>
      <c r="G4615" s="12">
        <v>984</v>
      </c>
      <c r="H4615" s="16"/>
      <c r="I4615" s="12" t="s">
        <v>1672</v>
      </c>
      <c r="J4615" s="12" t="s">
        <v>17727</v>
      </c>
      <c r="K4615" s="12" t="s">
        <v>21915</v>
      </c>
      <c r="L4615" s="12" t="s">
        <v>21916</v>
      </c>
      <c r="M4615" s="12" t="s">
        <v>21917</v>
      </c>
      <c r="N4615" s="12">
        <v>1612</v>
      </c>
      <c r="O4615" s="12">
        <v>1752</v>
      </c>
      <c r="P4615" s="12">
        <v>4</v>
      </c>
      <c r="Q4615" s="12" t="s">
        <v>21918</v>
      </c>
      <c r="R4615" s="15" t="s">
        <v>21919</v>
      </c>
      <c r="S4615" s="12">
        <v>28</v>
      </c>
      <c r="T4615" s="12" t="s">
        <v>39</v>
      </c>
      <c r="U4615" s="12" t="s">
        <v>40</v>
      </c>
      <c r="V4615" s="12" t="s">
        <v>586</v>
      </c>
      <c r="W4615" s="12">
        <v>1000000</v>
      </c>
      <c r="X4615" s="12">
        <v>2009</v>
      </c>
      <c r="Y4615" s="12">
        <v>157</v>
      </c>
      <c r="Z4615" s="12">
        <v>2.8</v>
      </c>
      <c r="AA4615" s="12">
        <v>16</v>
      </c>
      <c r="AB4615" s="12">
        <v>297</v>
      </c>
      <c r="AC4615" s="12"/>
      <c r="AD4615" s="12" t="str">
        <f>IFERROR(__xludf.DUMMYFUNCTION("""COMPUTED_VALUE"""),"Lloyd Bridges")</f>
        <v>Lloyd Bridges</v>
      </c>
      <c r="AE4615" s="12"/>
    </row>
    <row r="4616" customHeight="1" spans="1:31">
      <c r="A4616" s="11" t="s">
        <v>748</v>
      </c>
      <c r="B4616" s="11" t="s">
        <v>16450</v>
      </c>
      <c r="C4616" s="11">
        <v>12</v>
      </c>
      <c r="D4616" s="11">
        <v>94</v>
      </c>
      <c r="E4616" s="11">
        <v>82</v>
      </c>
      <c r="F4616" s="11">
        <v>47</v>
      </c>
      <c r="G4616" s="11">
        <v>694</v>
      </c>
      <c r="H4616" s="13"/>
      <c r="I4616" s="11" t="s">
        <v>3410</v>
      </c>
      <c r="J4616" s="11" t="s">
        <v>1695</v>
      </c>
      <c r="K4616" s="11" t="s">
        <v>14821</v>
      </c>
      <c r="L4616" s="11" t="s">
        <v>21920</v>
      </c>
      <c r="M4616" s="11" t="s">
        <v>21921</v>
      </c>
      <c r="N4616" s="11">
        <v>340</v>
      </c>
      <c r="O4616" s="11">
        <v>964</v>
      </c>
      <c r="P4616" s="11">
        <v>1</v>
      </c>
      <c r="Q4616" s="11" t="s">
        <v>21922</v>
      </c>
      <c r="R4616" s="14" t="s">
        <v>21923</v>
      </c>
      <c r="S4616" s="11">
        <v>7</v>
      </c>
      <c r="T4616" s="11" t="s">
        <v>39</v>
      </c>
      <c r="U4616" s="11" t="s">
        <v>58</v>
      </c>
      <c r="V4616" s="13"/>
      <c r="W4616" s="13"/>
      <c r="X4616" s="11">
        <v>1965</v>
      </c>
      <c r="Y4616" s="11">
        <v>196</v>
      </c>
      <c r="Z4616" s="11">
        <v>7.3</v>
      </c>
      <c r="AA4616" s="11">
        <v>1.37</v>
      </c>
      <c r="AB4616" s="11">
        <v>32</v>
      </c>
      <c r="AC4616" s="11"/>
      <c r="AD4616" s="11" t="str">
        <f>IFERROR(__xludf.DUMMYFUNCTION("""COMPUTED_VALUE"""),"Barbara Billingsley")</f>
        <v>Barbara Billingsley</v>
      </c>
      <c r="AE4616" s="11"/>
    </row>
    <row r="4617" customHeight="1" spans="1:31">
      <c r="A4617" s="12" t="s">
        <v>30</v>
      </c>
      <c r="B4617" s="12" t="s">
        <v>21924</v>
      </c>
      <c r="C4617" s="12">
        <v>2</v>
      </c>
      <c r="D4617" s="12">
        <v>87</v>
      </c>
      <c r="E4617" s="12">
        <v>3</v>
      </c>
      <c r="F4617" s="12">
        <v>149</v>
      </c>
      <c r="G4617" s="12">
        <v>767</v>
      </c>
      <c r="H4617" s="16"/>
      <c r="I4617" s="12" t="s">
        <v>3410</v>
      </c>
      <c r="J4617" s="12" t="s">
        <v>6446</v>
      </c>
      <c r="K4617" s="12" t="s">
        <v>17054</v>
      </c>
      <c r="L4617" s="12" t="s">
        <v>21925</v>
      </c>
      <c r="M4617" s="12" t="s">
        <v>21926</v>
      </c>
      <c r="N4617" s="12">
        <v>275</v>
      </c>
      <c r="O4617" s="12">
        <v>1593</v>
      </c>
      <c r="P4617" s="12">
        <v>2</v>
      </c>
      <c r="Q4617" s="16"/>
      <c r="R4617" s="15" t="s">
        <v>21927</v>
      </c>
      <c r="S4617" s="12">
        <v>22</v>
      </c>
      <c r="T4617" s="12" t="s">
        <v>39</v>
      </c>
      <c r="U4617" s="12" t="s">
        <v>40</v>
      </c>
      <c r="V4617" s="12" t="s">
        <v>96</v>
      </c>
      <c r="W4617" s="12">
        <v>1000000</v>
      </c>
      <c r="X4617" s="12">
        <v>2004</v>
      </c>
      <c r="Y4617" s="12">
        <v>282</v>
      </c>
      <c r="Z4617" s="12">
        <v>5.8</v>
      </c>
      <c r="AA4617" s="16"/>
      <c r="AB4617" s="12">
        <v>141</v>
      </c>
      <c r="AC4617" s="12"/>
      <c r="AD4617" s="12" t="str">
        <f>IFERROR(__xludf.DUMMYFUNCTION("""COMPUTED_VALUE"""),"Jon Osbeck")</f>
        <v>Jon Osbeck</v>
      </c>
      <c r="AE4617" s="12"/>
    </row>
    <row r="4618" customHeight="1" spans="1:31">
      <c r="A4618" s="11" t="s">
        <v>30</v>
      </c>
      <c r="B4618" s="11" t="s">
        <v>6284</v>
      </c>
      <c r="C4618" s="11">
        <v>12</v>
      </c>
      <c r="D4618" s="11">
        <v>93</v>
      </c>
      <c r="E4618" s="11">
        <v>923</v>
      </c>
      <c r="F4618" s="11">
        <v>904</v>
      </c>
      <c r="G4618" s="11">
        <v>34000</v>
      </c>
      <c r="H4618" s="13"/>
      <c r="I4618" s="11" t="s">
        <v>3410</v>
      </c>
      <c r="J4618" s="11" t="s">
        <v>348</v>
      </c>
      <c r="K4618" s="11" t="s">
        <v>490</v>
      </c>
      <c r="L4618" s="11" t="s">
        <v>3009</v>
      </c>
      <c r="M4618" s="11" t="s">
        <v>21928</v>
      </c>
      <c r="N4618" s="11">
        <v>3943</v>
      </c>
      <c r="O4618" s="11">
        <v>52113</v>
      </c>
      <c r="P4618" s="11">
        <v>3</v>
      </c>
      <c r="Q4618" s="11" t="s">
        <v>21929</v>
      </c>
      <c r="R4618" s="14" t="s">
        <v>21930</v>
      </c>
      <c r="S4618" s="11">
        <v>24</v>
      </c>
      <c r="T4618" s="11" t="s">
        <v>39</v>
      </c>
      <c r="U4618" s="11" t="s">
        <v>40</v>
      </c>
      <c r="V4618" s="11" t="s">
        <v>586</v>
      </c>
      <c r="W4618" s="13"/>
      <c r="X4618" s="11">
        <v>2008</v>
      </c>
      <c r="Y4618" s="11">
        <v>17000</v>
      </c>
      <c r="Z4618" s="11">
        <v>6.5</v>
      </c>
      <c r="AA4618" s="11">
        <v>1.85</v>
      </c>
      <c r="AB4618" s="11">
        <v>599</v>
      </c>
      <c r="AC4618" s="11"/>
      <c r="AD4618" s="11" t="str">
        <f>IFERROR(__xludf.DUMMYFUNCTION("""COMPUTED_VALUE"""),"Ta'Rhonda Jones")</f>
        <v>Ta'Rhonda Jones</v>
      </c>
      <c r="AE4618" s="11"/>
    </row>
    <row r="4619" customHeight="1" spans="1:31">
      <c r="A4619" s="12" t="s">
        <v>30</v>
      </c>
      <c r="B4619" s="12" t="s">
        <v>21931</v>
      </c>
      <c r="C4619" s="16"/>
      <c r="D4619" s="12">
        <v>90</v>
      </c>
      <c r="E4619" s="12">
        <v>0</v>
      </c>
      <c r="F4619" s="12">
        <v>171</v>
      </c>
      <c r="G4619" s="12">
        <v>1000</v>
      </c>
      <c r="H4619" s="16"/>
      <c r="I4619" s="12" t="s">
        <v>3410</v>
      </c>
      <c r="J4619" s="12" t="s">
        <v>309</v>
      </c>
      <c r="K4619" s="12" t="s">
        <v>16591</v>
      </c>
      <c r="L4619" s="12" t="s">
        <v>21932</v>
      </c>
      <c r="M4619" s="12" t="s">
        <v>21933</v>
      </c>
      <c r="N4619" s="12">
        <v>33</v>
      </c>
      <c r="O4619" s="12">
        <v>1996</v>
      </c>
      <c r="P4619" s="12">
        <v>5</v>
      </c>
      <c r="Q4619" s="16"/>
      <c r="R4619" s="15" t="s">
        <v>21934</v>
      </c>
      <c r="S4619" s="16"/>
      <c r="T4619" s="12" t="s">
        <v>39</v>
      </c>
      <c r="U4619" s="12" t="s">
        <v>40</v>
      </c>
      <c r="V4619" s="12" t="s">
        <v>586</v>
      </c>
      <c r="W4619" s="12">
        <v>1000000</v>
      </c>
      <c r="X4619" s="12">
        <v>2008</v>
      </c>
      <c r="Y4619" s="12">
        <v>618</v>
      </c>
      <c r="Z4619" s="12">
        <v>6.1</v>
      </c>
      <c r="AA4619" s="16"/>
      <c r="AB4619" s="12">
        <v>3</v>
      </c>
      <c r="AC4619" s="12"/>
      <c r="AD4619" s="12" t="str">
        <f>IFERROR(__xludf.DUMMYFUNCTION("""COMPUTED_VALUE"""),"John Forsythe")</f>
        <v>John Forsythe</v>
      </c>
      <c r="AE4619" s="12"/>
    </row>
    <row r="4620" customHeight="1" spans="1:31">
      <c r="A4620" s="11" t="s">
        <v>30</v>
      </c>
      <c r="B4620" s="11" t="s">
        <v>21935</v>
      </c>
      <c r="C4620" s="11">
        <v>64</v>
      </c>
      <c r="D4620" s="11">
        <v>89</v>
      </c>
      <c r="E4620" s="11">
        <v>23</v>
      </c>
      <c r="F4620" s="11">
        <v>23</v>
      </c>
      <c r="G4620" s="11">
        <v>199</v>
      </c>
      <c r="H4620" s="13"/>
      <c r="I4620" s="11" t="s">
        <v>12640</v>
      </c>
      <c r="J4620" s="11" t="s">
        <v>21936</v>
      </c>
      <c r="K4620" s="11" t="s">
        <v>21937</v>
      </c>
      <c r="L4620" s="11" t="s">
        <v>21935</v>
      </c>
      <c r="M4620" s="11" t="s">
        <v>21938</v>
      </c>
      <c r="N4620" s="11">
        <v>3650</v>
      </c>
      <c r="O4620" s="11">
        <v>292</v>
      </c>
      <c r="P4620" s="11">
        <v>0</v>
      </c>
      <c r="Q4620" s="11" t="s">
        <v>21939</v>
      </c>
      <c r="R4620" s="14" t="s">
        <v>21940</v>
      </c>
      <c r="S4620" s="11">
        <v>39</v>
      </c>
      <c r="T4620" s="11" t="s">
        <v>39</v>
      </c>
      <c r="U4620" s="11" t="s">
        <v>40</v>
      </c>
      <c r="V4620" s="11" t="s">
        <v>586</v>
      </c>
      <c r="W4620" s="11">
        <v>500000</v>
      </c>
      <c r="X4620" s="11">
        <v>2009</v>
      </c>
      <c r="Y4620" s="11">
        <v>37</v>
      </c>
      <c r="Z4620" s="11">
        <v>5.1</v>
      </c>
      <c r="AA4620" s="11">
        <v>1.85</v>
      </c>
      <c r="AB4620" s="11">
        <v>0</v>
      </c>
      <c r="AC4620" s="11"/>
      <c r="AD4620" s="11" t="str">
        <f>IFERROR(__xludf.DUMMYFUNCTION("""COMPUTED_VALUE"""),"Will Geer")</f>
        <v>Will Geer</v>
      </c>
      <c r="AE4620" s="11"/>
    </row>
    <row r="4621" customHeight="1" spans="1:31">
      <c r="A4621" s="12" t="s">
        <v>30</v>
      </c>
      <c r="B4621" s="12" t="s">
        <v>21941</v>
      </c>
      <c r="C4621" s="12">
        <v>7</v>
      </c>
      <c r="D4621" s="12">
        <v>83</v>
      </c>
      <c r="E4621" s="12">
        <v>142</v>
      </c>
      <c r="F4621" s="12">
        <v>317</v>
      </c>
      <c r="G4621" s="12">
        <v>458</v>
      </c>
      <c r="H4621" s="16"/>
      <c r="I4621" s="12" t="s">
        <v>6403</v>
      </c>
      <c r="J4621" s="12" t="s">
        <v>21942</v>
      </c>
      <c r="K4621" s="12" t="s">
        <v>15612</v>
      </c>
      <c r="L4621" s="12" t="s">
        <v>21943</v>
      </c>
      <c r="M4621" s="12" t="s">
        <v>21944</v>
      </c>
      <c r="N4621" s="12">
        <v>634</v>
      </c>
      <c r="O4621" s="12">
        <v>1549</v>
      </c>
      <c r="P4621" s="12">
        <v>1</v>
      </c>
      <c r="Q4621" s="12" t="s">
        <v>21945</v>
      </c>
      <c r="R4621" s="15" t="s">
        <v>21946</v>
      </c>
      <c r="S4621" s="12">
        <v>14</v>
      </c>
      <c r="T4621" s="12" t="s">
        <v>39</v>
      </c>
      <c r="U4621" s="12" t="s">
        <v>40</v>
      </c>
      <c r="V4621" s="12" t="s">
        <v>41</v>
      </c>
      <c r="W4621" s="12">
        <v>1000000</v>
      </c>
      <c r="X4621" s="12">
        <v>2012</v>
      </c>
      <c r="Y4621" s="12">
        <v>383</v>
      </c>
      <c r="Z4621" s="12">
        <v>2.2</v>
      </c>
      <c r="AA4621" s="12">
        <v>1.78</v>
      </c>
      <c r="AB4621" s="12">
        <v>150</v>
      </c>
      <c r="AC4621" s="12"/>
      <c r="AD4621" s="12" t="str">
        <f>IFERROR(__xludf.DUMMYFUNCTION("""COMPUTED_VALUE"""),"Colleen Dewhurst")</f>
        <v>Colleen Dewhurst</v>
      </c>
      <c r="AE4621" s="12"/>
    </row>
    <row r="4622" customHeight="1" spans="1:31">
      <c r="A4622" s="11" t="s">
        <v>30</v>
      </c>
      <c r="B4622" s="11" t="s">
        <v>21947</v>
      </c>
      <c r="C4622" s="11">
        <v>9</v>
      </c>
      <c r="D4622" s="11">
        <v>96</v>
      </c>
      <c r="E4622" s="11">
        <v>0</v>
      </c>
      <c r="F4622" s="11">
        <v>0</v>
      </c>
      <c r="G4622" s="11">
        <v>90</v>
      </c>
      <c r="H4622" s="13"/>
      <c r="I4622" s="11" t="s">
        <v>214</v>
      </c>
      <c r="J4622" s="11" t="s">
        <v>21948</v>
      </c>
      <c r="K4622" s="11" t="s">
        <v>21949</v>
      </c>
      <c r="L4622" s="11" t="s">
        <v>21950</v>
      </c>
      <c r="M4622" s="11" t="s">
        <v>21951</v>
      </c>
      <c r="N4622" s="11">
        <v>955</v>
      </c>
      <c r="O4622" s="11">
        <v>90</v>
      </c>
      <c r="P4622" s="11">
        <v>0</v>
      </c>
      <c r="Q4622" s="11" t="s">
        <v>21952</v>
      </c>
      <c r="R4622" s="14" t="s">
        <v>21953</v>
      </c>
      <c r="S4622" s="11">
        <v>7</v>
      </c>
      <c r="T4622" s="11" t="s">
        <v>2779</v>
      </c>
      <c r="U4622" s="11" t="s">
        <v>3572</v>
      </c>
      <c r="V4622" s="11" t="s">
        <v>5614</v>
      </c>
      <c r="W4622" s="13"/>
      <c r="X4622" s="11">
        <v>2014</v>
      </c>
      <c r="Y4622" s="11">
        <v>0</v>
      </c>
      <c r="Z4622" s="11">
        <v>7.2</v>
      </c>
      <c r="AA4622" s="11">
        <v>2.35</v>
      </c>
      <c r="AB4622" s="11">
        <v>68</v>
      </c>
      <c r="AC4622" s="11"/>
      <c r="AD4622" s="11" t="str">
        <f>IFERROR(__xludf.DUMMYFUNCTION("""COMPUTED_VALUE"""),"Peter Finch")</f>
        <v>Peter Finch</v>
      </c>
      <c r="AE4622" s="11"/>
    </row>
    <row r="4623" customHeight="1" spans="1:31">
      <c r="A4623" s="12" t="s">
        <v>30</v>
      </c>
      <c r="B4623" s="12" t="s">
        <v>21954</v>
      </c>
      <c r="C4623" s="12">
        <v>21</v>
      </c>
      <c r="D4623" s="12">
        <v>90</v>
      </c>
      <c r="E4623" s="12">
        <v>0</v>
      </c>
      <c r="F4623" s="12">
        <v>360</v>
      </c>
      <c r="G4623" s="12">
        <v>898</v>
      </c>
      <c r="H4623" s="16"/>
      <c r="I4623" s="12" t="s">
        <v>1415</v>
      </c>
      <c r="J4623" s="12" t="s">
        <v>3342</v>
      </c>
      <c r="K4623" s="12" t="s">
        <v>20459</v>
      </c>
      <c r="L4623" s="12" t="s">
        <v>1503</v>
      </c>
      <c r="M4623" s="12" t="s">
        <v>21955</v>
      </c>
      <c r="N4623" s="12">
        <v>982</v>
      </c>
      <c r="O4623" s="12">
        <v>2116</v>
      </c>
      <c r="P4623" s="12">
        <v>1</v>
      </c>
      <c r="Q4623" s="12" t="s">
        <v>21956</v>
      </c>
      <c r="R4623" s="15" t="s">
        <v>21957</v>
      </c>
      <c r="S4623" s="12">
        <v>12</v>
      </c>
      <c r="T4623" s="12" t="s">
        <v>39</v>
      </c>
      <c r="U4623" s="12" t="s">
        <v>40</v>
      </c>
      <c r="V4623" s="16"/>
      <c r="W4623" s="12">
        <v>1000000</v>
      </c>
      <c r="X4623" s="12">
        <v>2011</v>
      </c>
      <c r="Y4623" s="12">
        <v>395</v>
      </c>
      <c r="Z4623" s="12">
        <v>5.7</v>
      </c>
      <c r="AA4623" s="12">
        <v>1.66</v>
      </c>
      <c r="AB4623" s="12">
        <v>370</v>
      </c>
      <c r="AC4623" s="12"/>
      <c r="AD4623" s="12" t="str">
        <f>IFERROR(__xludf.DUMMYFUNCTION("""COMPUTED_VALUE"""),"Beatrice Straight")</f>
        <v>Beatrice Straight</v>
      </c>
      <c r="AE4623" s="12"/>
    </row>
    <row r="4624" customHeight="1" spans="1:31">
      <c r="A4624" s="11" t="s">
        <v>30</v>
      </c>
      <c r="B4624" s="11" t="s">
        <v>21958</v>
      </c>
      <c r="C4624" s="13"/>
      <c r="D4624" s="11">
        <v>138</v>
      </c>
      <c r="E4624" s="11">
        <v>105</v>
      </c>
      <c r="F4624" s="11">
        <v>110</v>
      </c>
      <c r="G4624" s="11">
        <v>592</v>
      </c>
      <c r="H4624" s="13"/>
      <c r="I4624" s="11" t="s">
        <v>6419</v>
      </c>
      <c r="J4624" s="11" t="s">
        <v>17358</v>
      </c>
      <c r="K4624" s="11" t="s">
        <v>21959</v>
      </c>
      <c r="L4624" s="11" t="s">
        <v>21960</v>
      </c>
      <c r="M4624" s="11" t="s">
        <v>21961</v>
      </c>
      <c r="N4624" s="11">
        <v>293</v>
      </c>
      <c r="O4624" s="11">
        <v>1350</v>
      </c>
      <c r="P4624" s="11">
        <v>6</v>
      </c>
      <c r="Q4624" s="13"/>
      <c r="R4624" s="14" t="s">
        <v>21962</v>
      </c>
      <c r="S4624" s="11">
        <v>1</v>
      </c>
      <c r="T4624" s="11" t="s">
        <v>39</v>
      </c>
      <c r="U4624" s="11" t="s">
        <v>40</v>
      </c>
      <c r="V4624" s="11" t="s">
        <v>41</v>
      </c>
      <c r="W4624" s="11">
        <v>1000000</v>
      </c>
      <c r="X4624" s="11">
        <v>2009</v>
      </c>
      <c r="Y4624" s="11">
        <v>207</v>
      </c>
      <c r="Z4624" s="11">
        <v>3.4</v>
      </c>
      <c r="AA4624" s="13"/>
      <c r="AB4624" s="11">
        <v>41</v>
      </c>
      <c r="AC4624" s="11"/>
      <c r="AD4624" s="11" t="str">
        <f>IFERROR(__xludf.DUMMYFUNCTION("""COMPUTED_VALUE"""),"Bernard Cribbins")</f>
        <v>Bernard Cribbins</v>
      </c>
      <c r="AE4624" s="11"/>
    </row>
    <row r="4625" customHeight="1" spans="1:31">
      <c r="A4625" s="12" t="s">
        <v>30</v>
      </c>
      <c r="B4625" s="12" t="s">
        <v>21941</v>
      </c>
      <c r="C4625" s="12">
        <v>1</v>
      </c>
      <c r="D4625" s="12">
        <v>84</v>
      </c>
      <c r="E4625" s="12">
        <v>142</v>
      </c>
      <c r="F4625" s="12">
        <v>402</v>
      </c>
      <c r="G4625" s="12">
        <v>10000</v>
      </c>
      <c r="H4625" s="16"/>
      <c r="I4625" s="12" t="s">
        <v>15011</v>
      </c>
      <c r="J4625" s="12" t="s">
        <v>10880</v>
      </c>
      <c r="K4625" s="12" t="s">
        <v>4834</v>
      </c>
      <c r="L4625" s="12" t="s">
        <v>21963</v>
      </c>
      <c r="M4625" s="12" t="s">
        <v>21964</v>
      </c>
      <c r="N4625" s="12">
        <v>93</v>
      </c>
      <c r="O4625" s="12">
        <v>11466</v>
      </c>
      <c r="P4625" s="12">
        <v>3</v>
      </c>
      <c r="Q4625" s="12" t="s">
        <v>21965</v>
      </c>
      <c r="R4625" s="15" t="s">
        <v>21966</v>
      </c>
      <c r="S4625" s="12">
        <v>6</v>
      </c>
      <c r="T4625" s="12" t="s">
        <v>39</v>
      </c>
      <c r="U4625" s="12" t="s">
        <v>40</v>
      </c>
      <c r="V4625" s="12" t="s">
        <v>41</v>
      </c>
      <c r="W4625" s="12">
        <v>1000000</v>
      </c>
      <c r="X4625" s="12">
        <v>2014</v>
      </c>
      <c r="Y4625" s="12">
        <v>854</v>
      </c>
      <c r="Z4625" s="12">
        <v>3.8</v>
      </c>
      <c r="AA4625" s="12">
        <v>1.78</v>
      </c>
      <c r="AB4625" s="12">
        <v>54</v>
      </c>
      <c r="AC4625" s="12"/>
      <c r="AD4625" s="12" t="str">
        <f>IFERROR(__xludf.DUMMYFUNCTION("""COMPUTED_VALUE"""),"Clive Swift")</f>
        <v>Clive Swift</v>
      </c>
      <c r="AE4625" s="12"/>
    </row>
    <row r="4626" customHeight="1" spans="1:31">
      <c r="A4626" s="11" t="s">
        <v>30</v>
      </c>
      <c r="B4626" s="11" t="s">
        <v>16640</v>
      </c>
      <c r="C4626" s="11">
        <v>95</v>
      </c>
      <c r="D4626" s="11">
        <v>83</v>
      </c>
      <c r="E4626" s="11">
        <v>224</v>
      </c>
      <c r="F4626" s="11">
        <v>37</v>
      </c>
      <c r="G4626" s="11">
        <v>224</v>
      </c>
      <c r="H4626" s="13"/>
      <c r="I4626" s="11" t="s">
        <v>5544</v>
      </c>
      <c r="J4626" s="11" t="s">
        <v>16640</v>
      </c>
      <c r="K4626" s="11" t="s">
        <v>21967</v>
      </c>
      <c r="L4626" s="11" t="s">
        <v>21968</v>
      </c>
      <c r="M4626" s="11" t="s">
        <v>21969</v>
      </c>
      <c r="N4626" s="11">
        <v>6531</v>
      </c>
      <c r="O4626" s="11">
        <v>344</v>
      </c>
      <c r="P4626" s="11">
        <v>1</v>
      </c>
      <c r="Q4626" s="11" t="s">
        <v>21970</v>
      </c>
      <c r="R4626" s="14" t="s">
        <v>21971</v>
      </c>
      <c r="S4626" s="11">
        <v>47</v>
      </c>
      <c r="T4626" s="11" t="s">
        <v>39</v>
      </c>
      <c r="U4626" s="11" t="s">
        <v>40</v>
      </c>
      <c r="V4626" s="11" t="s">
        <v>586</v>
      </c>
      <c r="W4626" s="13"/>
      <c r="X4626" s="11">
        <v>2012</v>
      </c>
      <c r="Y4626" s="11">
        <v>59</v>
      </c>
      <c r="Z4626" s="11">
        <v>4.7</v>
      </c>
      <c r="AA4626" s="11">
        <v>1.85</v>
      </c>
      <c r="AB4626" s="11">
        <v>0</v>
      </c>
      <c r="AC4626" s="11"/>
      <c r="AD4626" s="11" t="str">
        <f>IFERROR(__xludf.DUMMYFUNCTION("""COMPUTED_VALUE"""),"Kate Dickie")</f>
        <v>Kate Dickie</v>
      </c>
      <c r="AE4626" s="11"/>
    </row>
    <row r="4627" customHeight="1" spans="1:31">
      <c r="A4627" s="12" t="s">
        <v>30</v>
      </c>
      <c r="B4627" s="12" t="s">
        <v>21972</v>
      </c>
      <c r="C4627" s="12">
        <v>40</v>
      </c>
      <c r="D4627" s="12">
        <v>96</v>
      </c>
      <c r="E4627" s="12">
        <v>0</v>
      </c>
      <c r="F4627" s="12">
        <v>177</v>
      </c>
      <c r="G4627" s="12">
        <v>335</v>
      </c>
      <c r="H4627" s="16"/>
      <c r="I4627" s="12" t="s">
        <v>5104</v>
      </c>
      <c r="J4627" s="12" t="s">
        <v>21973</v>
      </c>
      <c r="K4627" s="12" t="s">
        <v>21974</v>
      </c>
      <c r="L4627" s="12" t="s">
        <v>21975</v>
      </c>
      <c r="M4627" s="12" t="s">
        <v>21976</v>
      </c>
      <c r="N4627" s="12">
        <v>6513</v>
      </c>
      <c r="O4627" s="12">
        <v>1226</v>
      </c>
      <c r="P4627" s="12">
        <v>2</v>
      </c>
      <c r="Q4627" s="12" t="s">
        <v>21977</v>
      </c>
      <c r="R4627" s="15" t="s">
        <v>21978</v>
      </c>
      <c r="S4627" s="12">
        <v>41</v>
      </c>
      <c r="T4627" s="12" t="s">
        <v>39</v>
      </c>
      <c r="U4627" s="12" t="s">
        <v>58</v>
      </c>
      <c r="V4627" s="12" t="s">
        <v>4831</v>
      </c>
      <c r="W4627" s="12">
        <v>1000000</v>
      </c>
      <c r="X4627" s="12">
        <v>2012</v>
      </c>
      <c r="Y4627" s="12">
        <v>334</v>
      </c>
      <c r="Z4627" s="12">
        <v>5.6</v>
      </c>
      <c r="AA4627" s="12">
        <v>2.35</v>
      </c>
      <c r="AB4627" s="12">
        <v>968</v>
      </c>
      <c r="AC4627" s="12"/>
      <c r="AD4627" s="12" t="str">
        <f>IFERROR(__xludf.DUMMYFUNCTION("""COMPUTED_VALUE"""),"Joe Estevez")</f>
        <v>Joe Estevez</v>
      </c>
      <c r="AE4627" s="12"/>
    </row>
    <row r="4628" customHeight="1" spans="1:31">
      <c r="A4628" s="11" t="s">
        <v>30</v>
      </c>
      <c r="B4628" s="11" t="s">
        <v>21979</v>
      </c>
      <c r="C4628" s="11">
        <v>6</v>
      </c>
      <c r="D4628" s="11">
        <v>94</v>
      </c>
      <c r="E4628" s="11">
        <v>6</v>
      </c>
      <c r="F4628" s="11">
        <v>0</v>
      </c>
      <c r="G4628" s="11">
        <v>92</v>
      </c>
      <c r="H4628" s="13"/>
      <c r="I4628" s="11" t="s">
        <v>4075</v>
      </c>
      <c r="J4628" s="11" t="s">
        <v>21980</v>
      </c>
      <c r="K4628" s="11" t="s">
        <v>21981</v>
      </c>
      <c r="L4628" s="11" t="s">
        <v>21982</v>
      </c>
      <c r="M4628" s="11" t="s">
        <v>21983</v>
      </c>
      <c r="N4628" s="11">
        <v>425</v>
      </c>
      <c r="O4628" s="11">
        <v>109</v>
      </c>
      <c r="P4628" s="11">
        <v>0</v>
      </c>
      <c r="Q4628" s="11" t="s">
        <v>21984</v>
      </c>
      <c r="R4628" s="14" t="s">
        <v>21985</v>
      </c>
      <c r="S4628" s="11">
        <v>24</v>
      </c>
      <c r="T4628" s="11" t="s">
        <v>39</v>
      </c>
      <c r="U4628" s="11" t="s">
        <v>40</v>
      </c>
      <c r="V4628" s="13"/>
      <c r="W4628" s="11">
        <v>1000000</v>
      </c>
      <c r="X4628" s="11">
        <v>2006</v>
      </c>
      <c r="Y4628" s="11">
        <v>17</v>
      </c>
      <c r="Z4628" s="11">
        <v>3.9</v>
      </c>
      <c r="AA4628" s="13"/>
      <c r="AB4628" s="11">
        <v>91</v>
      </c>
      <c r="AC4628" s="11"/>
      <c r="AD4628" s="11" t="str">
        <f>IFERROR(__xludf.DUMMYFUNCTION("""COMPUTED_VALUE"""),"Master P")</f>
        <v>Master P</v>
      </c>
      <c r="AE4628" s="11"/>
    </row>
    <row r="4629" customHeight="1" spans="1:31">
      <c r="A4629" s="12" t="s">
        <v>30</v>
      </c>
      <c r="B4629" s="12" t="s">
        <v>21986</v>
      </c>
      <c r="C4629" s="12">
        <v>16</v>
      </c>
      <c r="D4629" s="12">
        <v>90</v>
      </c>
      <c r="E4629" s="12">
        <v>0</v>
      </c>
      <c r="F4629" s="12">
        <v>36</v>
      </c>
      <c r="G4629" s="12">
        <v>57</v>
      </c>
      <c r="H4629" s="16"/>
      <c r="I4629" s="12" t="s">
        <v>21987</v>
      </c>
      <c r="J4629" s="12" t="s">
        <v>21029</v>
      </c>
      <c r="K4629" s="12" t="s">
        <v>21988</v>
      </c>
      <c r="L4629" s="12" t="s">
        <v>21989</v>
      </c>
      <c r="M4629" s="12" t="s">
        <v>21990</v>
      </c>
      <c r="N4629" s="12">
        <v>137</v>
      </c>
      <c r="O4629" s="12">
        <v>231</v>
      </c>
      <c r="P4629" s="12">
        <v>2</v>
      </c>
      <c r="Q4629" s="16"/>
      <c r="R4629" s="15" t="s">
        <v>21991</v>
      </c>
      <c r="S4629" s="12">
        <v>16</v>
      </c>
      <c r="T4629" s="12" t="s">
        <v>39</v>
      </c>
      <c r="U4629" s="12" t="s">
        <v>269</v>
      </c>
      <c r="V4629" s="16"/>
      <c r="W4629" s="12">
        <v>1000000</v>
      </c>
      <c r="X4629" s="12">
        <v>2014</v>
      </c>
      <c r="Y4629" s="12">
        <v>40</v>
      </c>
      <c r="Z4629" s="12">
        <v>5.4</v>
      </c>
      <c r="AA4629" s="16"/>
      <c r="AB4629" s="12">
        <v>48</v>
      </c>
      <c r="AC4629" s="12"/>
      <c r="AD4629" s="12" t="str">
        <f>IFERROR(__xludf.DUMMYFUNCTION("""COMPUTED_VALUE"""),"Anthony Johnson")</f>
        <v>Anthony Johnson</v>
      </c>
      <c r="AE4629" s="12"/>
    </row>
    <row r="4630" customHeight="1" spans="1:31">
      <c r="A4630" s="11" t="s">
        <v>30</v>
      </c>
      <c r="B4630" s="11" t="s">
        <v>21992</v>
      </c>
      <c r="C4630" s="11">
        <v>39</v>
      </c>
      <c r="D4630" s="11">
        <v>95</v>
      </c>
      <c r="E4630" s="11">
        <v>53</v>
      </c>
      <c r="F4630" s="11">
        <v>253</v>
      </c>
      <c r="G4630" s="11">
        <v>677</v>
      </c>
      <c r="H4630" s="13"/>
      <c r="I4630" s="11" t="s">
        <v>6403</v>
      </c>
      <c r="J4630" s="11" t="s">
        <v>21993</v>
      </c>
      <c r="K4630" s="11" t="s">
        <v>13027</v>
      </c>
      <c r="L4630" s="11" t="s">
        <v>21994</v>
      </c>
      <c r="M4630" s="11" t="s">
        <v>21995</v>
      </c>
      <c r="N4630" s="11">
        <v>6256</v>
      </c>
      <c r="O4630" s="11">
        <v>1825</v>
      </c>
      <c r="P4630" s="11">
        <v>0</v>
      </c>
      <c r="Q4630" s="11" t="s">
        <v>21996</v>
      </c>
      <c r="R4630" s="14" t="s">
        <v>21997</v>
      </c>
      <c r="S4630" s="11">
        <v>19</v>
      </c>
      <c r="T4630" s="11" t="s">
        <v>39</v>
      </c>
      <c r="U4630" s="11" t="s">
        <v>40</v>
      </c>
      <c r="V4630" s="11" t="s">
        <v>586</v>
      </c>
      <c r="W4630" s="11">
        <v>1000000</v>
      </c>
      <c r="X4630" s="11">
        <v>2015</v>
      </c>
      <c r="Y4630" s="11">
        <v>366</v>
      </c>
      <c r="Z4630" s="11">
        <v>5.2</v>
      </c>
      <c r="AA4630" s="11">
        <v>2.35</v>
      </c>
      <c r="AB4630" s="11">
        <v>936</v>
      </c>
      <c r="AC4630" s="11"/>
      <c r="AD4630" s="11" t="str">
        <f>IFERROR(__xludf.DUMMYFUNCTION("""COMPUTED_VALUE"""),"Michael McGlone")</f>
        <v>Michael McGlone</v>
      </c>
      <c r="AE4630" s="11"/>
    </row>
    <row r="4631" customHeight="1" spans="1:31">
      <c r="A4631" s="12" t="s">
        <v>30</v>
      </c>
      <c r="B4631" s="12" t="s">
        <v>21998</v>
      </c>
      <c r="C4631" s="12">
        <v>150</v>
      </c>
      <c r="D4631" s="12">
        <v>93</v>
      </c>
      <c r="E4631" s="12">
        <v>3</v>
      </c>
      <c r="F4631" s="12">
        <v>115</v>
      </c>
      <c r="G4631" s="12">
        <v>214</v>
      </c>
      <c r="H4631" s="16"/>
      <c r="I4631" s="12" t="s">
        <v>8536</v>
      </c>
      <c r="J4631" s="12" t="s">
        <v>21999</v>
      </c>
      <c r="K4631" s="12" t="s">
        <v>22000</v>
      </c>
      <c r="L4631" s="12" t="s">
        <v>22001</v>
      </c>
      <c r="M4631" s="12" t="s">
        <v>22002</v>
      </c>
      <c r="N4631" s="12">
        <v>2057</v>
      </c>
      <c r="O4631" s="12">
        <v>656</v>
      </c>
      <c r="P4631" s="12">
        <v>2</v>
      </c>
      <c r="Q4631" s="12" t="s">
        <v>22003</v>
      </c>
      <c r="R4631" s="15" t="s">
        <v>22004</v>
      </c>
      <c r="S4631" s="12">
        <v>30</v>
      </c>
      <c r="T4631" s="12" t="s">
        <v>39</v>
      </c>
      <c r="U4631" s="12" t="s">
        <v>40</v>
      </c>
      <c r="V4631" s="12" t="s">
        <v>4831</v>
      </c>
      <c r="W4631" s="12">
        <v>1000000</v>
      </c>
      <c r="X4631" s="12">
        <v>2013</v>
      </c>
      <c r="Y4631" s="12">
        <v>211</v>
      </c>
      <c r="Z4631" s="12">
        <v>3.5</v>
      </c>
      <c r="AA4631" s="12">
        <v>2.35</v>
      </c>
      <c r="AB4631" s="12">
        <v>0</v>
      </c>
      <c r="AC4631" s="12"/>
      <c r="AD4631" s="12" t="str">
        <f>IFERROR(__xludf.DUMMYFUNCTION("""COMPUTED_VALUE"""),"Ricardo Darín")</f>
        <v>Ricardo Darín</v>
      </c>
      <c r="AE4631" s="12"/>
    </row>
    <row r="4632" customHeight="1" spans="1:31">
      <c r="A4632" s="13"/>
      <c r="B4632" s="11" t="s">
        <v>22005</v>
      </c>
      <c r="C4632" s="11">
        <v>1</v>
      </c>
      <c r="D4632" s="11">
        <v>111</v>
      </c>
      <c r="E4632" s="11">
        <v>0</v>
      </c>
      <c r="F4632" s="11">
        <v>426</v>
      </c>
      <c r="G4632" s="11">
        <v>657</v>
      </c>
      <c r="H4632" s="13"/>
      <c r="I4632" s="11" t="s">
        <v>3410</v>
      </c>
      <c r="J4632" s="11" t="s">
        <v>22006</v>
      </c>
      <c r="K4632" s="11" t="s">
        <v>15484</v>
      </c>
      <c r="L4632" s="11" t="s">
        <v>7068</v>
      </c>
      <c r="M4632" s="11" t="s">
        <v>22007</v>
      </c>
      <c r="N4632" s="11">
        <v>207</v>
      </c>
      <c r="O4632" s="11">
        <v>2677</v>
      </c>
      <c r="P4632" s="11">
        <v>0</v>
      </c>
      <c r="Q4632" s="13"/>
      <c r="R4632" s="14" t="s">
        <v>22008</v>
      </c>
      <c r="S4632" s="11">
        <v>1</v>
      </c>
      <c r="T4632" s="13"/>
      <c r="U4632" s="11" t="s">
        <v>40</v>
      </c>
      <c r="V4632" s="11" t="s">
        <v>96</v>
      </c>
      <c r="W4632" s="11">
        <v>1000000</v>
      </c>
      <c r="X4632" s="11">
        <v>2014</v>
      </c>
      <c r="Y4632" s="11">
        <v>608</v>
      </c>
      <c r="Z4632" s="11">
        <v>5.3</v>
      </c>
      <c r="AA4632" s="13"/>
      <c r="AB4632" s="11">
        <v>212</v>
      </c>
      <c r="AC4632" s="11"/>
      <c r="AD4632" s="11" t="str">
        <f>IFERROR(__xludf.DUMMYFUNCTION("""COMPUTED_VALUE"""),"Soledad Villamil")</f>
        <v>Soledad Villamil</v>
      </c>
      <c r="AE4632" s="11"/>
    </row>
    <row r="4633" customHeight="1" spans="1:31">
      <c r="A4633" s="12" t="s">
        <v>30</v>
      </c>
      <c r="B4633" s="12" t="s">
        <v>5290</v>
      </c>
      <c r="C4633" s="12">
        <v>393</v>
      </c>
      <c r="D4633" s="12">
        <v>101</v>
      </c>
      <c r="E4633" s="12">
        <v>0</v>
      </c>
      <c r="F4633" s="12">
        <v>888</v>
      </c>
      <c r="G4633" s="12">
        <v>3000</v>
      </c>
      <c r="H4633" s="12">
        <v>2319187</v>
      </c>
      <c r="I4633" s="12" t="s">
        <v>2142</v>
      </c>
      <c r="J4633" s="12" t="s">
        <v>984</v>
      </c>
      <c r="K4633" s="12" t="s">
        <v>4533</v>
      </c>
      <c r="L4633" s="12" t="s">
        <v>12566</v>
      </c>
      <c r="M4633" s="12" t="s">
        <v>12567</v>
      </c>
      <c r="N4633" s="12">
        <v>92640</v>
      </c>
      <c r="O4633" s="12">
        <v>5056</v>
      </c>
      <c r="P4633" s="12">
        <v>0</v>
      </c>
      <c r="Q4633" s="12" t="s">
        <v>12568</v>
      </c>
      <c r="R4633" s="15" t="s">
        <v>12569</v>
      </c>
      <c r="S4633" s="12">
        <v>212</v>
      </c>
      <c r="T4633" s="12" t="s">
        <v>39</v>
      </c>
      <c r="U4633" s="12" t="s">
        <v>58</v>
      </c>
      <c r="V4633" s="12" t="s">
        <v>586</v>
      </c>
      <c r="W4633" s="12">
        <v>20000000</v>
      </c>
      <c r="X4633" s="12">
        <v>2013</v>
      </c>
      <c r="Y4633" s="12">
        <v>1000</v>
      </c>
      <c r="Z4633" s="12">
        <v>7</v>
      </c>
      <c r="AA4633" s="12">
        <v>2.35</v>
      </c>
      <c r="AB4633" s="12">
        <v>23000</v>
      </c>
      <c r="AC4633" s="12"/>
      <c r="AD4633" s="12" t="str">
        <f>IFERROR(__xludf.DUMMYFUNCTION("""COMPUTED_VALUE"""),"Guillermo Francella")</f>
        <v>Guillermo Francella</v>
      </c>
      <c r="AE4633" s="12"/>
    </row>
    <row r="4634" customHeight="1" spans="1:31">
      <c r="A4634" s="11" t="s">
        <v>30</v>
      </c>
      <c r="B4634" s="11" t="s">
        <v>22009</v>
      </c>
      <c r="C4634" s="11">
        <v>32</v>
      </c>
      <c r="D4634" s="11">
        <v>103</v>
      </c>
      <c r="E4634" s="11">
        <v>17</v>
      </c>
      <c r="F4634" s="11">
        <v>113</v>
      </c>
      <c r="G4634" s="11">
        <v>754</v>
      </c>
      <c r="H4634" s="13"/>
      <c r="I4634" s="11" t="s">
        <v>5500</v>
      </c>
      <c r="J4634" s="11" t="s">
        <v>6685</v>
      </c>
      <c r="K4634" s="11" t="s">
        <v>10328</v>
      </c>
      <c r="L4634" s="11" t="s">
        <v>22010</v>
      </c>
      <c r="M4634" s="11" t="s">
        <v>22011</v>
      </c>
      <c r="N4634" s="11">
        <v>4998</v>
      </c>
      <c r="O4634" s="11">
        <v>1567</v>
      </c>
      <c r="P4634" s="11">
        <v>0</v>
      </c>
      <c r="Q4634" s="11" t="s">
        <v>22012</v>
      </c>
      <c r="R4634" s="14" t="s">
        <v>22013</v>
      </c>
      <c r="S4634" s="11">
        <v>55</v>
      </c>
      <c r="T4634" s="11" t="s">
        <v>39</v>
      </c>
      <c r="U4634" s="11" t="s">
        <v>40</v>
      </c>
      <c r="V4634" s="11" t="s">
        <v>96</v>
      </c>
      <c r="W4634" s="13"/>
      <c r="X4634" s="11">
        <v>1968</v>
      </c>
      <c r="Y4634" s="11">
        <v>605</v>
      </c>
      <c r="Z4634" s="11">
        <v>7.1</v>
      </c>
      <c r="AA4634" s="11">
        <v>2.35</v>
      </c>
      <c r="AB4634" s="11">
        <v>785</v>
      </c>
      <c r="AC4634" s="11"/>
      <c r="AD4634" s="11" t="str">
        <f>IFERROR(__xludf.DUMMYFUNCTION("""COMPUTED_VALUE"""),"Gideon Emery")</f>
        <v>Gideon Emery</v>
      </c>
      <c r="AE4634" s="11"/>
    </row>
    <row r="4635" customHeight="1" spans="1:31">
      <c r="A4635" s="12" t="s">
        <v>30</v>
      </c>
      <c r="B4635" s="12" t="s">
        <v>22014</v>
      </c>
      <c r="C4635" s="12">
        <v>78</v>
      </c>
      <c r="D4635" s="12">
        <v>87</v>
      </c>
      <c r="E4635" s="12">
        <v>0</v>
      </c>
      <c r="F4635" s="12">
        <v>302</v>
      </c>
      <c r="G4635" s="12">
        <v>696</v>
      </c>
      <c r="H4635" s="16"/>
      <c r="I4635" s="12" t="s">
        <v>5544</v>
      </c>
      <c r="J4635" s="12" t="s">
        <v>22015</v>
      </c>
      <c r="K4635" s="12" t="s">
        <v>3343</v>
      </c>
      <c r="L4635" s="12" t="s">
        <v>22016</v>
      </c>
      <c r="M4635" s="12" t="s">
        <v>22017</v>
      </c>
      <c r="N4635" s="12">
        <v>6265</v>
      </c>
      <c r="O4635" s="12">
        <v>1618</v>
      </c>
      <c r="P4635" s="12">
        <v>1</v>
      </c>
      <c r="Q4635" s="12" t="s">
        <v>22018</v>
      </c>
      <c r="R4635" s="15" t="s">
        <v>22019</v>
      </c>
      <c r="S4635" s="12">
        <v>56</v>
      </c>
      <c r="T4635" s="12" t="s">
        <v>39</v>
      </c>
      <c r="U4635" s="12" t="s">
        <v>768</v>
      </c>
      <c r="V4635" s="12" t="s">
        <v>586</v>
      </c>
      <c r="W4635" s="12">
        <v>950000</v>
      </c>
      <c r="X4635" s="12">
        <v>2013</v>
      </c>
      <c r="Y4635" s="12">
        <v>371</v>
      </c>
      <c r="Z4635" s="12">
        <v>5.5</v>
      </c>
      <c r="AA4635" s="16"/>
      <c r="AB4635" s="12">
        <v>2000</v>
      </c>
      <c r="AC4635" s="12"/>
      <c r="AD4635" s="12" t="str">
        <f>IFERROR(__xludf.DUMMYFUNCTION("""COMPUTED_VALUE"""),"Gloria Votsis")</f>
        <v>Gloria Votsis</v>
      </c>
      <c r="AE4635" s="12"/>
    </row>
    <row r="4636" customHeight="1" spans="1:31">
      <c r="A4636" s="11" t="s">
        <v>30</v>
      </c>
      <c r="B4636" s="13"/>
      <c r="C4636" s="13"/>
      <c r="D4636" s="11">
        <v>30</v>
      </c>
      <c r="E4636" s="13"/>
      <c r="F4636" s="11">
        <v>223</v>
      </c>
      <c r="G4636" s="11">
        <v>775</v>
      </c>
      <c r="H4636" s="13"/>
      <c r="I4636" s="11" t="s">
        <v>1672</v>
      </c>
      <c r="J4636" s="11" t="s">
        <v>3661</v>
      </c>
      <c r="K4636" s="11" t="s">
        <v>22020</v>
      </c>
      <c r="L4636" s="11" t="s">
        <v>22021</v>
      </c>
      <c r="M4636" s="11" t="s">
        <v>22022</v>
      </c>
      <c r="N4636" s="11">
        <v>954</v>
      </c>
      <c r="O4636" s="11">
        <v>1713</v>
      </c>
      <c r="P4636" s="11">
        <v>8</v>
      </c>
      <c r="Q4636" s="11" t="s">
        <v>22023</v>
      </c>
      <c r="R4636" s="14" t="s">
        <v>22024</v>
      </c>
      <c r="S4636" s="11">
        <v>14</v>
      </c>
      <c r="T4636" s="11" t="s">
        <v>39</v>
      </c>
      <c r="U4636" s="11" t="s">
        <v>40</v>
      </c>
      <c r="V4636" s="13"/>
      <c r="W4636" s="13"/>
      <c r="X4636" s="13"/>
      <c r="Y4636" s="11">
        <v>275</v>
      </c>
      <c r="Z4636" s="11">
        <v>5.9</v>
      </c>
      <c r="AA4636" s="13"/>
      <c r="AB4636" s="11">
        <v>57</v>
      </c>
      <c r="AC4636" s="11"/>
      <c r="AD4636" s="11" t="str">
        <f>IFERROR(__xludf.DUMMYFUNCTION("""COMPUTED_VALUE"""),"Derek Magyar")</f>
        <v>Derek Magyar</v>
      </c>
      <c r="AE4636" s="11"/>
    </row>
    <row r="4637" customHeight="1" spans="1:31">
      <c r="A4637" s="12" t="s">
        <v>30</v>
      </c>
      <c r="B4637" s="12" t="s">
        <v>22025</v>
      </c>
      <c r="C4637" s="12">
        <v>8</v>
      </c>
      <c r="D4637" s="12">
        <v>100</v>
      </c>
      <c r="E4637" s="12">
        <v>12</v>
      </c>
      <c r="F4637" s="12">
        <v>354</v>
      </c>
      <c r="G4637" s="12">
        <v>529</v>
      </c>
      <c r="H4637" s="16"/>
      <c r="I4637" s="12" t="s">
        <v>3410</v>
      </c>
      <c r="J4637" s="12" t="s">
        <v>3795</v>
      </c>
      <c r="K4637" s="12" t="s">
        <v>22026</v>
      </c>
      <c r="L4637" s="12" t="s">
        <v>9929</v>
      </c>
      <c r="M4637" s="12" t="s">
        <v>22027</v>
      </c>
      <c r="N4637" s="12">
        <v>7870</v>
      </c>
      <c r="O4637" s="12">
        <v>2468</v>
      </c>
      <c r="P4637" s="12">
        <v>1</v>
      </c>
      <c r="Q4637" s="12" t="s">
        <v>22028</v>
      </c>
      <c r="R4637" s="15" t="s">
        <v>22029</v>
      </c>
      <c r="S4637" s="12">
        <v>64</v>
      </c>
      <c r="T4637" s="12" t="s">
        <v>39</v>
      </c>
      <c r="U4637" s="12" t="s">
        <v>40</v>
      </c>
      <c r="V4637" s="12" t="s">
        <v>4831</v>
      </c>
      <c r="W4637" s="12">
        <v>950000</v>
      </c>
      <c r="X4637" s="12">
        <v>2014</v>
      </c>
      <c r="Y4637" s="12">
        <v>413</v>
      </c>
      <c r="Z4637" s="12">
        <v>6</v>
      </c>
      <c r="AA4637" s="16"/>
      <c r="AB4637" s="12">
        <v>884</v>
      </c>
      <c r="AC4637" s="12"/>
      <c r="AD4637" s="12" t="str">
        <f>IFERROR(__xludf.DUMMYFUNCTION("""COMPUTED_VALUE"""),"Dan Hicks")</f>
        <v>Dan Hicks</v>
      </c>
      <c r="AE4637" s="12"/>
    </row>
    <row r="4638" customHeight="1" spans="1:31">
      <c r="A4638" s="11" t="s">
        <v>30</v>
      </c>
      <c r="B4638" s="11" t="s">
        <v>22030</v>
      </c>
      <c r="C4638" s="11">
        <v>6</v>
      </c>
      <c r="D4638" s="11">
        <v>90</v>
      </c>
      <c r="E4638" s="11">
        <v>29</v>
      </c>
      <c r="F4638" s="11">
        <v>558</v>
      </c>
      <c r="G4638" s="11">
        <v>1000</v>
      </c>
      <c r="H4638" s="13"/>
      <c r="I4638" s="11" t="s">
        <v>1681</v>
      </c>
      <c r="J4638" s="11" t="s">
        <v>1760</v>
      </c>
      <c r="K4638" s="11" t="s">
        <v>8156</v>
      </c>
      <c r="L4638" s="11" t="s">
        <v>1778</v>
      </c>
      <c r="M4638" s="11" t="s">
        <v>22031</v>
      </c>
      <c r="N4638" s="11">
        <v>443</v>
      </c>
      <c r="O4638" s="11">
        <v>2504</v>
      </c>
      <c r="P4638" s="11">
        <v>1</v>
      </c>
      <c r="Q4638" s="11" t="s">
        <v>22032</v>
      </c>
      <c r="R4638" s="14" t="s">
        <v>22033</v>
      </c>
      <c r="S4638" s="11">
        <v>4</v>
      </c>
      <c r="T4638" s="11" t="s">
        <v>39</v>
      </c>
      <c r="U4638" s="11" t="s">
        <v>40</v>
      </c>
      <c r="V4638" s="13"/>
      <c r="W4638" s="11">
        <v>989000</v>
      </c>
      <c r="X4638" s="11">
        <v>2007</v>
      </c>
      <c r="Y4638" s="11">
        <v>569</v>
      </c>
      <c r="Z4638" s="11">
        <v>4.8</v>
      </c>
      <c r="AA4638" s="13"/>
      <c r="AB4638" s="11">
        <v>42</v>
      </c>
      <c r="AC4638" s="11"/>
      <c r="AD4638" s="11" t="str">
        <f>IFERROR(__xludf.DUMMYFUNCTION("""COMPUTED_VALUE"""),"Kassie Wesley DePaiva")</f>
        <v>Kassie Wesley DePaiva</v>
      </c>
      <c r="AE4638" s="11"/>
    </row>
    <row r="4639" customHeight="1" spans="1:31">
      <c r="A4639" s="12" t="s">
        <v>30</v>
      </c>
      <c r="B4639" s="12" t="s">
        <v>22034</v>
      </c>
      <c r="C4639" s="12">
        <v>9</v>
      </c>
      <c r="D4639" s="12">
        <v>83</v>
      </c>
      <c r="E4639" s="12">
        <v>0</v>
      </c>
      <c r="F4639" s="12">
        <v>17</v>
      </c>
      <c r="G4639" s="12">
        <v>56</v>
      </c>
      <c r="H4639" s="16"/>
      <c r="I4639" s="12" t="s">
        <v>22035</v>
      </c>
      <c r="J4639" s="12" t="s">
        <v>22036</v>
      </c>
      <c r="K4639" s="12" t="s">
        <v>22037</v>
      </c>
      <c r="L4639" s="12" t="s">
        <v>22038</v>
      </c>
      <c r="M4639" s="12" t="s">
        <v>22039</v>
      </c>
      <c r="N4639" s="12">
        <v>265</v>
      </c>
      <c r="O4639" s="12">
        <v>104</v>
      </c>
      <c r="P4639" s="12">
        <v>0</v>
      </c>
      <c r="Q4639" s="12" t="s">
        <v>22040</v>
      </c>
      <c r="R4639" s="15" t="s">
        <v>22041</v>
      </c>
      <c r="S4639" s="12">
        <v>3</v>
      </c>
      <c r="T4639" s="12" t="s">
        <v>39</v>
      </c>
      <c r="U4639" s="12" t="s">
        <v>40</v>
      </c>
      <c r="V4639" s="16"/>
      <c r="W4639" s="12">
        <v>913000</v>
      </c>
      <c r="X4639" s="12">
        <v>2014</v>
      </c>
      <c r="Y4639" s="12">
        <v>28</v>
      </c>
      <c r="Z4639" s="12">
        <v>7.1</v>
      </c>
      <c r="AA4639" s="16"/>
      <c r="AB4639" s="12">
        <v>489</v>
      </c>
      <c r="AC4639" s="12"/>
      <c r="AD4639" s="12" t="str">
        <f>IFERROR(__xludf.DUMMYFUNCTION("""COMPUTED_VALUE"""),"Cassandra Scerbo")</f>
        <v>Cassandra Scerbo</v>
      </c>
      <c r="AE4639" s="12"/>
    </row>
    <row r="4640" customHeight="1" spans="1:31">
      <c r="A4640" s="11" t="s">
        <v>748</v>
      </c>
      <c r="B4640" s="11" t="s">
        <v>20226</v>
      </c>
      <c r="C4640" s="11">
        <v>134</v>
      </c>
      <c r="D4640" s="11">
        <v>108</v>
      </c>
      <c r="E4640" s="11">
        <v>603</v>
      </c>
      <c r="F4640" s="11">
        <v>279</v>
      </c>
      <c r="G4640" s="11">
        <v>10000</v>
      </c>
      <c r="H4640" s="11">
        <v>9600000</v>
      </c>
      <c r="I4640" s="11" t="s">
        <v>4824</v>
      </c>
      <c r="J4640" s="11" t="s">
        <v>121</v>
      </c>
      <c r="K4640" s="11" t="s">
        <v>12526</v>
      </c>
      <c r="L4640" s="11" t="s">
        <v>5807</v>
      </c>
      <c r="M4640" s="11" t="s">
        <v>22042</v>
      </c>
      <c r="N4640" s="11">
        <v>100890</v>
      </c>
      <c r="O4640" s="11">
        <v>11094</v>
      </c>
      <c r="P4640" s="11">
        <v>2</v>
      </c>
      <c r="Q4640" s="11" t="s">
        <v>22043</v>
      </c>
      <c r="R4640" s="14" t="s">
        <v>22044</v>
      </c>
      <c r="S4640" s="11">
        <v>281</v>
      </c>
      <c r="T4640" s="11" t="s">
        <v>39</v>
      </c>
      <c r="U4640" s="11" t="s">
        <v>40</v>
      </c>
      <c r="V4640" s="11" t="s">
        <v>4831</v>
      </c>
      <c r="W4640" s="11">
        <v>910000</v>
      </c>
      <c r="X4640" s="11">
        <v>1954</v>
      </c>
      <c r="Y4640" s="11">
        <v>416</v>
      </c>
      <c r="Z4640" s="11">
        <v>8.2</v>
      </c>
      <c r="AA4640" s="11">
        <v>1.85</v>
      </c>
      <c r="AB4640" s="11">
        <v>0</v>
      </c>
      <c r="AC4640" s="11"/>
      <c r="AD4640" s="11" t="str">
        <f>IFERROR(__xludf.DUMMYFUNCTION("""COMPUTED_VALUE"""),"Elpidia Carrillo")</f>
        <v>Elpidia Carrillo</v>
      </c>
      <c r="AE4640" s="11"/>
    </row>
    <row r="4641" customHeight="1" spans="1:31">
      <c r="A4641" s="12" t="s">
        <v>30</v>
      </c>
      <c r="B4641" s="12" t="s">
        <v>22045</v>
      </c>
      <c r="C4641" s="12">
        <v>18</v>
      </c>
      <c r="D4641" s="12">
        <v>100</v>
      </c>
      <c r="E4641" s="12">
        <v>28</v>
      </c>
      <c r="F4641" s="12">
        <v>501</v>
      </c>
      <c r="G4641" s="12">
        <v>945</v>
      </c>
      <c r="H4641" s="12">
        <v>20186</v>
      </c>
      <c r="I4641" s="12" t="s">
        <v>1672</v>
      </c>
      <c r="J4641" s="12" t="s">
        <v>12589</v>
      </c>
      <c r="K4641" s="12" t="s">
        <v>10974</v>
      </c>
      <c r="L4641" s="12" t="s">
        <v>6988</v>
      </c>
      <c r="M4641" s="12" t="s">
        <v>22046</v>
      </c>
      <c r="N4641" s="12">
        <v>6025</v>
      </c>
      <c r="O4641" s="12">
        <v>2924</v>
      </c>
      <c r="P4641" s="12">
        <v>8</v>
      </c>
      <c r="Q4641" s="12" t="s">
        <v>22047</v>
      </c>
      <c r="R4641" s="15" t="s">
        <v>22048</v>
      </c>
      <c r="S4641" s="12">
        <v>15</v>
      </c>
      <c r="T4641" s="12" t="s">
        <v>39</v>
      </c>
      <c r="U4641" s="12" t="s">
        <v>40</v>
      </c>
      <c r="V4641" s="12" t="s">
        <v>586</v>
      </c>
      <c r="W4641" s="12">
        <v>930000</v>
      </c>
      <c r="X4641" s="12">
        <v>2011</v>
      </c>
      <c r="Y4641" s="12">
        <v>756</v>
      </c>
      <c r="Z4641" s="12">
        <v>5.7</v>
      </c>
      <c r="AA4641" s="12">
        <v>2.35</v>
      </c>
      <c r="AB4641" s="12">
        <v>995</v>
      </c>
      <c r="AC4641" s="12"/>
      <c r="AD4641" s="12" t="str">
        <f>IFERROR(__xludf.DUMMYFUNCTION("""COMPUTED_VALUE"""),"Zaide Silvia Gutiérrez")</f>
        <v>Zaide Silvia Gutiérrez</v>
      </c>
      <c r="AE4641" s="12"/>
    </row>
    <row r="4642" customHeight="1" spans="1:31">
      <c r="A4642" s="11" t="s">
        <v>30</v>
      </c>
      <c r="B4642" s="11" t="s">
        <v>22049</v>
      </c>
      <c r="C4642" s="11">
        <v>233</v>
      </c>
      <c r="D4642" s="11">
        <v>113</v>
      </c>
      <c r="E4642" s="11">
        <v>163</v>
      </c>
      <c r="F4642" s="11">
        <v>27</v>
      </c>
      <c r="G4642" s="11">
        <v>131</v>
      </c>
      <c r="H4642" s="11">
        <v>1185783</v>
      </c>
      <c r="I4642" s="11" t="s">
        <v>3410</v>
      </c>
      <c r="J4642" s="11" t="s">
        <v>22050</v>
      </c>
      <c r="K4642" s="11" t="s">
        <v>22051</v>
      </c>
      <c r="L4642" s="11" t="s">
        <v>22052</v>
      </c>
      <c r="M4642" s="11" t="s">
        <v>22053</v>
      </c>
      <c r="N4642" s="11">
        <v>44763</v>
      </c>
      <c r="O4642" s="11">
        <v>264</v>
      </c>
      <c r="P4642" s="11">
        <v>0</v>
      </c>
      <c r="Q4642" s="11" t="s">
        <v>22054</v>
      </c>
      <c r="R4642" s="14" t="s">
        <v>22055</v>
      </c>
      <c r="S4642" s="11">
        <v>172</v>
      </c>
      <c r="T4642" s="11" t="s">
        <v>22056</v>
      </c>
      <c r="U4642" s="11" t="s">
        <v>8820</v>
      </c>
      <c r="V4642" s="11" t="s">
        <v>4831</v>
      </c>
      <c r="W4642" s="11">
        <v>590000</v>
      </c>
      <c r="X4642" s="11">
        <v>2007</v>
      </c>
      <c r="Y4642" s="11">
        <v>60</v>
      </c>
      <c r="Z4642" s="11">
        <v>7.9</v>
      </c>
      <c r="AA4642" s="11">
        <v>1.85</v>
      </c>
      <c r="AB4642" s="11">
        <v>14000</v>
      </c>
      <c r="AC4642" s="11"/>
      <c r="AD4642" s="11" t="str">
        <f>IFERROR(__xludf.DUMMYFUNCTION("""COMPUTED_VALUE"""),"Damián Delgado")</f>
        <v>Damián Delgado</v>
      </c>
      <c r="AE4642" s="11"/>
    </row>
    <row r="4643" customHeight="1" spans="1:31">
      <c r="A4643" s="12" t="s">
        <v>30</v>
      </c>
      <c r="B4643" s="12" t="s">
        <v>22057</v>
      </c>
      <c r="C4643" s="12">
        <v>10</v>
      </c>
      <c r="D4643" s="12">
        <v>97</v>
      </c>
      <c r="E4643" s="12">
        <v>171</v>
      </c>
      <c r="F4643" s="12">
        <v>76</v>
      </c>
      <c r="G4643" s="12">
        <v>1000</v>
      </c>
      <c r="H4643" s="16"/>
      <c r="I4643" s="12" t="s">
        <v>6403</v>
      </c>
      <c r="J4643" s="12" t="s">
        <v>6289</v>
      </c>
      <c r="K4643" s="12" t="s">
        <v>22057</v>
      </c>
      <c r="L4643" s="12" t="s">
        <v>10899</v>
      </c>
      <c r="M4643" s="12" t="s">
        <v>22058</v>
      </c>
      <c r="N4643" s="12">
        <v>139</v>
      </c>
      <c r="O4643" s="12">
        <v>1343</v>
      </c>
      <c r="P4643" s="12">
        <v>0</v>
      </c>
      <c r="Q4643" s="12" t="s">
        <v>22059</v>
      </c>
      <c r="R4643" s="15" t="s">
        <v>22060</v>
      </c>
      <c r="S4643" s="12">
        <v>3</v>
      </c>
      <c r="T4643" s="12" t="s">
        <v>39</v>
      </c>
      <c r="U4643" s="12" t="s">
        <v>40</v>
      </c>
      <c r="V4643" s="16"/>
      <c r="W4643" s="12">
        <v>3000000</v>
      </c>
      <c r="X4643" s="12">
        <v>2015</v>
      </c>
      <c r="Y4643" s="12">
        <v>171</v>
      </c>
      <c r="Z4643" s="12">
        <v>7.3</v>
      </c>
      <c r="AA4643" s="16"/>
      <c r="AB4643" s="12">
        <v>52</v>
      </c>
      <c r="AC4643" s="12"/>
      <c r="AD4643" s="12" t="str">
        <f>IFERROR(__xludf.DUMMYFUNCTION("""COMPUTED_VALUE"""),"Otto Jespersen")</f>
        <v>Otto Jespersen</v>
      </c>
      <c r="AE4643" s="12"/>
    </row>
    <row r="4644" customHeight="1" spans="1:31">
      <c r="A4644" s="11" t="s">
        <v>30</v>
      </c>
      <c r="B4644" s="11" t="s">
        <v>3542</v>
      </c>
      <c r="C4644" s="11">
        <v>231</v>
      </c>
      <c r="D4644" s="11">
        <v>104</v>
      </c>
      <c r="E4644" s="11">
        <v>171</v>
      </c>
      <c r="F4644" s="11">
        <v>0</v>
      </c>
      <c r="G4644" s="11">
        <v>109</v>
      </c>
      <c r="H4644" s="11">
        <v>1007962</v>
      </c>
      <c r="I4644" s="11" t="s">
        <v>2126</v>
      </c>
      <c r="J4644" s="11" t="s">
        <v>22061</v>
      </c>
      <c r="K4644" s="11" t="s">
        <v>22062</v>
      </c>
      <c r="L4644" s="11" t="s">
        <v>22063</v>
      </c>
      <c r="M4644" s="11" t="s">
        <v>22064</v>
      </c>
      <c r="N4644" s="11">
        <v>131969</v>
      </c>
      <c r="O4644" s="11">
        <v>117</v>
      </c>
      <c r="P4644" s="11">
        <v>0</v>
      </c>
      <c r="Q4644" s="11" t="s">
        <v>22065</v>
      </c>
      <c r="R4644" s="14" t="s">
        <v>22066</v>
      </c>
      <c r="S4644" s="11">
        <v>651</v>
      </c>
      <c r="T4644" s="11" t="s">
        <v>39</v>
      </c>
      <c r="U4644" s="11" t="s">
        <v>40</v>
      </c>
      <c r="V4644" s="11" t="s">
        <v>586</v>
      </c>
      <c r="W4644" s="11">
        <v>950000</v>
      </c>
      <c r="X4644" s="11">
        <v>2005</v>
      </c>
      <c r="Y4644" s="11">
        <v>8</v>
      </c>
      <c r="Z4644" s="11">
        <v>7.1</v>
      </c>
      <c r="AA4644" s="11">
        <v>2.35</v>
      </c>
      <c r="AB4644" s="11">
        <v>12000</v>
      </c>
      <c r="AC4644" s="11"/>
      <c r="AD4644" s="11" t="str">
        <f>IFERROR(__xludf.DUMMYFUNCTION("""COMPUTED_VALUE"""),"Johanna Mørck")</f>
        <v>Johanna Mørck</v>
      </c>
      <c r="AE4644" s="11"/>
    </row>
    <row r="4645" customHeight="1" spans="1:31">
      <c r="A4645" s="12" t="s">
        <v>30</v>
      </c>
      <c r="B4645" s="12" t="s">
        <v>21311</v>
      </c>
      <c r="C4645" s="12">
        <v>65</v>
      </c>
      <c r="D4645" s="12">
        <v>91</v>
      </c>
      <c r="E4645" s="12">
        <v>91</v>
      </c>
      <c r="F4645" s="12">
        <v>659</v>
      </c>
      <c r="G4645" s="12">
        <v>982</v>
      </c>
      <c r="H4645" s="12">
        <v>381186</v>
      </c>
      <c r="I4645" s="12" t="s">
        <v>4075</v>
      </c>
      <c r="J4645" s="12" t="s">
        <v>2601</v>
      </c>
      <c r="K4645" s="12" t="s">
        <v>7894</v>
      </c>
      <c r="L4645" s="12" t="s">
        <v>17353</v>
      </c>
      <c r="M4645" s="12" t="s">
        <v>22067</v>
      </c>
      <c r="N4645" s="12">
        <v>13485</v>
      </c>
      <c r="O4645" s="12">
        <v>3299</v>
      </c>
      <c r="P4645" s="12">
        <v>0</v>
      </c>
      <c r="Q4645" s="12" t="s">
        <v>22068</v>
      </c>
      <c r="R4645" s="15" t="s">
        <v>22069</v>
      </c>
      <c r="S4645" s="12">
        <v>90</v>
      </c>
      <c r="T4645" s="12" t="s">
        <v>39</v>
      </c>
      <c r="U4645" s="12" t="s">
        <v>40</v>
      </c>
      <c r="V4645" s="12" t="s">
        <v>586</v>
      </c>
      <c r="W4645" s="12">
        <v>900000</v>
      </c>
      <c r="X4645" s="12">
        <v>2005</v>
      </c>
      <c r="Y4645" s="12">
        <v>796</v>
      </c>
      <c r="Z4645" s="12">
        <v>6.4</v>
      </c>
      <c r="AA4645" s="12">
        <v>2.35</v>
      </c>
      <c r="AB4645" s="12">
        <v>698</v>
      </c>
      <c r="AC4645" s="12"/>
      <c r="AD4645" s="12" t="str">
        <f>IFERROR(__xludf.DUMMYFUNCTION("""COMPUTED_VALUE"""),"Glenn Erland Tosterud")</f>
        <v>Glenn Erland Tosterud</v>
      </c>
      <c r="AE4645" s="12"/>
    </row>
    <row r="4646" customHeight="1" spans="1:31">
      <c r="A4646" s="11" t="s">
        <v>30</v>
      </c>
      <c r="B4646" s="11" t="s">
        <v>22070</v>
      </c>
      <c r="C4646" s="11">
        <v>76</v>
      </c>
      <c r="D4646" s="11">
        <v>107</v>
      </c>
      <c r="E4646" s="11">
        <v>32</v>
      </c>
      <c r="F4646" s="11">
        <v>127</v>
      </c>
      <c r="G4646" s="11">
        <v>144</v>
      </c>
      <c r="H4646" s="11">
        <v>439958</v>
      </c>
      <c r="I4646" s="11" t="s">
        <v>3410</v>
      </c>
      <c r="J4646" s="11" t="s">
        <v>22071</v>
      </c>
      <c r="K4646" s="11" t="s">
        <v>22072</v>
      </c>
      <c r="L4646" s="11" t="s">
        <v>22073</v>
      </c>
      <c r="M4646" s="11" t="s">
        <v>22074</v>
      </c>
      <c r="N4646" s="11">
        <v>6277</v>
      </c>
      <c r="O4646" s="11">
        <v>509</v>
      </c>
      <c r="P4646" s="11">
        <v>1</v>
      </c>
      <c r="Q4646" s="11" t="s">
        <v>22075</v>
      </c>
      <c r="R4646" s="14" t="s">
        <v>22076</v>
      </c>
      <c r="S4646" s="11">
        <v>43</v>
      </c>
      <c r="T4646" s="11" t="s">
        <v>22077</v>
      </c>
      <c r="U4646" s="11" t="s">
        <v>1466</v>
      </c>
      <c r="V4646" s="11" t="s">
        <v>586</v>
      </c>
      <c r="W4646" s="13"/>
      <c r="X4646" s="11">
        <v>2011</v>
      </c>
      <c r="Y4646" s="11">
        <v>127</v>
      </c>
      <c r="Z4646" s="11">
        <v>5.9</v>
      </c>
      <c r="AA4646" s="11">
        <v>2.35</v>
      </c>
      <c r="AB4646" s="11">
        <v>0</v>
      </c>
      <c r="AC4646" s="11"/>
      <c r="AD4646" s="11" t="str">
        <f>IFERROR(__xludf.DUMMYFUNCTION("""COMPUTED_VALUE"""),"Mykel Shannon Jenkins")</f>
        <v>Mykel Shannon Jenkins</v>
      </c>
      <c r="AE4646" s="11"/>
    </row>
    <row r="4647" customHeight="1" spans="1:31">
      <c r="A4647" s="12" t="s">
        <v>30</v>
      </c>
      <c r="B4647" s="12" t="s">
        <v>7101</v>
      </c>
      <c r="C4647" s="12">
        <v>327</v>
      </c>
      <c r="D4647" s="12">
        <v>85</v>
      </c>
      <c r="E4647" s="12">
        <v>0</v>
      </c>
      <c r="F4647" s="12">
        <v>88</v>
      </c>
      <c r="G4647" s="12">
        <v>282</v>
      </c>
      <c r="H4647" s="12">
        <v>16097842</v>
      </c>
      <c r="I4647" s="12" t="s">
        <v>6327</v>
      </c>
      <c r="J4647" s="12" t="s">
        <v>22078</v>
      </c>
      <c r="K4647" s="12" t="s">
        <v>11221</v>
      </c>
      <c r="L4647" s="12" t="s">
        <v>22079</v>
      </c>
      <c r="M4647" s="12" t="s">
        <v>22080</v>
      </c>
      <c r="N4647" s="12">
        <v>53919</v>
      </c>
      <c r="O4647" s="12">
        <v>687</v>
      </c>
      <c r="P4647" s="12">
        <v>0</v>
      </c>
      <c r="Q4647" s="12" t="s">
        <v>22081</v>
      </c>
      <c r="R4647" s="15" t="s">
        <v>22082</v>
      </c>
      <c r="S4647" s="12">
        <v>168</v>
      </c>
      <c r="T4647" s="12" t="s">
        <v>39</v>
      </c>
      <c r="U4647" s="12" t="s">
        <v>40</v>
      </c>
      <c r="V4647" s="12" t="s">
        <v>586</v>
      </c>
      <c r="W4647" s="12">
        <v>900000</v>
      </c>
      <c r="X4647" s="12">
        <v>2013</v>
      </c>
      <c r="Y4647" s="12">
        <v>270</v>
      </c>
      <c r="Z4647" s="12">
        <v>7.5</v>
      </c>
      <c r="AA4647" s="12">
        <v>1.85</v>
      </c>
      <c r="AB4647" s="12">
        <v>17000</v>
      </c>
      <c r="AC4647" s="12"/>
      <c r="AD4647" s="12" t="str">
        <f>IFERROR(__xludf.DUMMYFUNCTION("""COMPUTED_VALUE"""),"Lara Jean Chorostecki")</f>
        <v>Lara Jean Chorostecki</v>
      </c>
      <c r="AE4647" s="12"/>
    </row>
    <row r="4648" customHeight="1" spans="1:31">
      <c r="A4648" s="11" t="s">
        <v>30</v>
      </c>
      <c r="B4648" s="11" t="s">
        <v>22083</v>
      </c>
      <c r="C4648" s="11">
        <v>62</v>
      </c>
      <c r="D4648" s="11">
        <v>101</v>
      </c>
      <c r="E4648" s="11">
        <v>6</v>
      </c>
      <c r="F4648" s="11">
        <v>727</v>
      </c>
      <c r="G4648" s="11">
        <v>975</v>
      </c>
      <c r="H4648" s="11">
        <v>6643</v>
      </c>
      <c r="I4648" s="11" t="s">
        <v>22084</v>
      </c>
      <c r="J4648" s="11" t="s">
        <v>622</v>
      </c>
      <c r="K4648" s="11" t="s">
        <v>2299</v>
      </c>
      <c r="L4648" s="11" t="s">
        <v>4990</v>
      </c>
      <c r="M4648" s="11" t="s">
        <v>22085</v>
      </c>
      <c r="N4648" s="11">
        <v>11965</v>
      </c>
      <c r="O4648" s="11">
        <v>4184</v>
      </c>
      <c r="P4648" s="11">
        <v>2</v>
      </c>
      <c r="Q4648" s="11" t="s">
        <v>22086</v>
      </c>
      <c r="R4648" s="14" t="s">
        <v>22087</v>
      </c>
      <c r="S4648" s="11">
        <v>39</v>
      </c>
      <c r="T4648" s="11" t="s">
        <v>39</v>
      </c>
      <c r="U4648" s="11" t="s">
        <v>40</v>
      </c>
      <c r="V4648" s="11" t="s">
        <v>586</v>
      </c>
      <c r="W4648" s="11">
        <v>900000</v>
      </c>
      <c r="X4648" s="11">
        <v>2012</v>
      </c>
      <c r="Y4648" s="11">
        <v>947</v>
      </c>
      <c r="Z4648" s="11">
        <v>6.4</v>
      </c>
      <c r="AA4648" s="11">
        <v>2.35</v>
      </c>
      <c r="AB4648" s="11">
        <v>0</v>
      </c>
      <c r="AC4648" s="11"/>
      <c r="AD4648" s="11" t="str">
        <f>IFERROR(__xludf.DUMMYFUNCTION("""COMPUTED_VALUE"""),"Blaine Anderson")</f>
        <v>Blaine Anderson</v>
      </c>
      <c r="AE4648" s="11"/>
    </row>
    <row r="4649" customHeight="1" spans="1:31">
      <c r="A4649" s="12" t="s">
        <v>30</v>
      </c>
      <c r="B4649" s="12" t="s">
        <v>2751</v>
      </c>
      <c r="C4649" s="12">
        <v>116</v>
      </c>
      <c r="D4649" s="12">
        <v>70</v>
      </c>
      <c r="E4649" s="12">
        <v>11</v>
      </c>
      <c r="F4649" s="12">
        <v>8</v>
      </c>
      <c r="G4649" s="12">
        <v>16</v>
      </c>
      <c r="H4649" s="12">
        <v>102797150</v>
      </c>
      <c r="I4649" s="12" t="s">
        <v>22088</v>
      </c>
      <c r="J4649" s="12" t="s">
        <v>22089</v>
      </c>
      <c r="K4649" s="12" t="s">
        <v>22090</v>
      </c>
      <c r="L4649" s="12" t="s">
        <v>22091</v>
      </c>
      <c r="M4649" s="12" t="s">
        <v>22092</v>
      </c>
      <c r="N4649" s="12">
        <v>94225</v>
      </c>
      <c r="O4649" s="12">
        <v>63</v>
      </c>
      <c r="P4649" s="12">
        <v>0</v>
      </c>
      <c r="Q4649" s="12" t="s">
        <v>22093</v>
      </c>
      <c r="R4649" s="15" t="s">
        <v>22094</v>
      </c>
      <c r="S4649" s="12">
        <v>136</v>
      </c>
      <c r="T4649" s="12" t="s">
        <v>39</v>
      </c>
      <c r="U4649" s="12" t="s">
        <v>40</v>
      </c>
      <c r="V4649" s="12" t="s">
        <v>6037</v>
      </c>
      <c r="W4649" s="16"/>
      <c r="X4649" s="12">
        <v>1942</v>
      </c>
      <c r="Y4649" s="12">
        <v>12</v>
      </c>
      <c r="Z4649" s="12">
        <v>7.4</v>
      </c>
      <c r="AA4649" s="12">
        <v>1.33</v>
      </c>
      <c r="AB4649" s="12">
        <v>0</v>
      </c>
      <c r="AC4649" s="12"/>
      <c r="AD4649" s="12" t="str">
        <f>IFERROR(__xludf.DUMMYFUNCTION("""COMPUTED_VALUE"""),"Robert Townsend")</f>
        <v>Robert Townsend</v>
      </c>
      <c r="AE4649" s="12"/>
    </row>
    <row r="4650" customHeight="1" spans="1:31">
      <c r="A4650" s="11" t="s">
        <v>30</v>
      </c>
      <c r="B4650" s="11" t="s">
        <v>9471</v>
      </c>
      <c r="C4650" s="11">
        <v>73</v>
      </c>
      <c r="D4650" s="11">
        <v>88</v>
      </c>
      <c r="E4650" s="11">
        <v>0</v>
      </c>
      <c r="F4650" s="11">
        <v>102</v>
      </c>
      <c r="G4650" s="11">
        <v>465</v>
      </c>
      <c r="H4650" s="11">
        <v>442638</v>
      </c>
      <c r="I4650" s="11" t="s">
        <v>3898</v>
      </c>
      <c r="J4650" s="11" t="s">
        <v>14535</v>
      </c>
      <c r="K4650" s="11" t="s">
        <v>22095</v>
      </c>
      <c r="L4650" s="11" t="s">
        <v>21011</v>
      </c>
      <c r="M4650" s="11" t="s">
        <v>22096</v>
      </c>
      <c r="N4650" s="11">
        <v>5489</v>
      </c>
      <c r="O4650" s="11">
        <v>897</v>
      </c>
      <c r="P4650" s="11">
        <v>1</v>
      </c>
      <c r="Q4650" s="11" t="s">
        <v>22097</v>
      </c>
      <c r="R4650" s="14" t="s">
        <v>22098</v>
      </c>
      <c r="S4650" s="11">
        <v>23</v>
      </c>
      <c r="T4650" s="11" t="s">
        <v>39</v>
      </c>
      <c r="U4650" s="11" t="s">
        <v>40</v>
      </c>
      <c r="V4650" s="11" t="s">
        <v>586</v>
      </c>
      <c r="W4650" s="11">
        <v>850000</v>
      </c>
      <c r="X4650" s="11">
        <v>2007</v>
      </c>
      <c r="Y4650" s="11">
        <v>140</v>
      </c>
      <c r="Z4650" s="11">
        <v>7.3</v>
      </c>
      <c r="AA4650" s="13"/>
      <c r="AB4650" s="11">
        <v>337</v>
      </c>
      <c r="AC4650" s="11"/>
      <c r="AD4650" s="11" t="str">
        <f>IFERROR(__xludf.DUMMYFUNCTION("""COMPUTED_VALUE"""),"Ash Cook")</f>
        <v>Ash Cook</v>
      </c>
      <c r="AE4650" s="11"/>
    </row>
    <row r="4651" customHeight="1" spans="1:31">
      <c r="A4651" s="12" t="s">
        <v>30</v>
      </c>
      <c r="B4651" s="12" t="s">
        <v>12775</v>
      </c>
      <c r="C4651" s="12">
        <v>238</v>
      </c>
      <c r="D4651" s="12">
        <v>112</v>
      </c>
      <c r="E4651" s="12">
        <v>29</v>
      </c>
      <c r="F4651" s="12">
        <v>874</v>
      </c>
      <c r="G4651" s="12">
        <v>12000</v>
      </c>
      <c r="H4651" s="12">
        <v>42919096</v>
      </c>
      <c r="I4651" s="12" t="s">
        <v>923</v>
      </c>
      <c r="J4651" s="12" t="s">
        <v>1073</v>
      </c>
      <c r="K4651" s="12" t="s">
        <v>2808</v>
      </c>
      <c r="L4651" s="12" t="s">
        <v>6347</v>
      </c>
      <c r="M4651" s="12" t="s">
        <v>12776</v>
      </c>
      <c r="N4651" s="12">
        <v>64748</v>
      </c>
      <c r="O4651" s="12">
        <v>15800</v>
      </c>
      <c r="P4651" s="12">
        <v>1</v>
      </c>
      <c r="Q4651" s="12" t="s">
        <v>12777</v>
      </c>
      <c r="R4651" s="15" t="s">
        <v>12778</v>
      </c>
      <c r="S4651" s="12">
        <v>122</v>
      </c>
      <c r="T4651" s="12" t="s">
        <v>39</v>
      </c>
      <c r="U4651" s="12" t="s">
        <v>40</v>
      </c>
      <c r="V4651" s="12" t="s">
        <v>41</v>
      </c>
      <c r="W4651" s="12">
        <v>15000000</v>
      </c>
      <c r="X4651" s="12">
        <v>2013</v>
      </c>
      <c r="Y4651" s="12">
        <v>1000</v>
      </c>
      <c r="Z4651" s="12">
        <v>6.5</v>
      </c>
      <c r="AA4651" s="12">
        <v>2.35</v>
      </c>
      <c r="AB4651" s="12">
        <v>12000</v>
      </c>
      <c r="AC4651" s="12"/>
      <c r="AD4651" s="12" t="str">
        <f>IFERROR(__xludf.DUMMYFUNCTION("""COMPUTED_VALUE"""),"Genevieve O'Reilly")</f>
        <v>Genevieve O'Reilly</v>
      </c>
      <c r="AE4651" s="12"/>
    </row>
    <row r="4652" customHeight="1" spans="1:31">
      <c r="A4652" s="11" t="s">
        <v>30</v>
      </c>
      <c r="B4652" s="11" t="s">
        <v>22099</v>
      </c>
      <c r="C4652" s="11">
        <v>35</v>
      </c>
      <c r="D4652" s="11">
        <v>107</v>
      </c>
      <c r="E4652" s="11">
        <v>6</v>
      </c>
      <c r="F4652" s="11">
        <v>522</v>
      </c>
      <c r="G4652" s="11">
        <v>23000</v>
      </c>
      <c r="H4652" s="11">
        <v>819939</v>
      </c>
      <c r="I4652" s="11" t="s">
        <v>1415</v>
      </c>
      <c r="J4652" s="11" t="s">
        <v>63</v>
      </c>
      <c r="K4652" s="11" t="s">
        <v>9253</v>
      </c>
      <c r="L4652" s="11" t="s">
        <v>5691</v>
      </c>
      <c r="M4652" s="11" t="s">
        <v>22100</v>
      </c>
      <c r="N4652" s="11">
        <v>14580</v>
      </c>
      <c r="O4652" s="11">
        <v>26017</v>
      </c>
      <c r="P4652" s="11">
        <v>2</v>
      </c>
      <c r="Q4652" s="11" t="s">
        <v>22101</v>
      </c>
      <c r="R4652" s="14" t="s">
        <v>22102</v>
      </c>
      <c r="S4652" s="11">
        <v>252</v>
      </c>
      <c r="T4652" s="11" t="s">
        <v>39</v>
      </c>
      <c r="U4652" s="11" t="s">
        <v>40</v>
      </c>
      <c r="V4652" s="11" t="s">
        <v>586</v>
      </c>
      <c r="W4652" s="11">
        <v>850000</v>
      </c>
      <c r="X4652" s="11">
        <v>2003</v>
      </c>
      <c r="Y4652" s="11">
        <v>813</v>
      </c>
      <c r="Z4652" s="11">
        <v>7.2</v>
      </c>
      <c r="AA4652" s="11">
        <v>1.85</v>
      </c>
      <c r="AB4652" s="11">
        <v>0</v>
      </c>
      <c r="AC4652" s="11"/>
      <c r="AD4652" s="11" t="str">
        <f>IFERROR(__xludf.DUMMYFUNCTION("""COMPUTED_VALUE"""),"Grey Griffin")</f>
        <v>Grey Griffin</v>
      </c>
      <c r="AE4652" s="11"/>
    </row>
    <row r="4653" customHeight="1" spans="1:31">
      <c r="A4653" s="12" t="s">
        <v>30</v>
      </c>
      <c r="B4653" s="12" t="s">
        <v>22103</v>
      </c>
      <c r="C4653" s="12">
        <v>2</v>
      </c>
      <c r="D4653" s="12">
        <v>78</v>
      </c>
      <c r="E4653" s="12">
        <v>0</v>
      </c>
      <c r="F4653" s="12">
        <v>0</v>
      </c>
      <c r="G4653" s="12">
        <v>0</v>
      </c>
      <c r="H4653" s="16"/>
      <c r="I4653" s="12" t="s">
        <v>3410</v>
      </c>
      <c r="J4653" s="12" t="s">
        <v>22104</v>
      </c>
      <c r="K4653" s="12" t="s">
        <v>22105</v>
      </c>
      <c r="L4653" s="12" t="s">
        <v>22106</v>
      </c>
      <c r="M4653" s="12" t="s">
        <v>22107</v>
      </c>
      <c r="N4653" s="12">
        <v>19</v>
      </c>
      <c r="O4653" s="12">
        <v>0</v>
      </c>
      <c r="P4653" s="12">
        <v>1</v>
      </c>
      <c r="Q4653" s="12" t="s">
        <v>22108</v>
      </c>
      <c r="R4653" s="15" t="s">
        <v>22109</v>
      </c>
      <c r="S4653" s="12">
        <v>2</v>
      </c>
      <c r="T4653" s="12" t="s">
        <v>1465</v>
      </c>
      <c r="U4653" s="12" t="s">
        <v>1466</v>
      </c>
      <c r="V4653" s="16"/>
      <c r="W4653" s="12">
        <v>900000</v>
      </c>
      <c r="X4653" s="12">
        <v>2011</v>
      </c>
      <c r="Y4653" s="12">
        <v>0</v>
      </c>
      <c r="Z4653" s="12">
        <v>6.7</v>
      </c>
      <c r="AA4653" s="12">
        <v>16</v>
      </c>
      <c r="AB4653" s="12">
        <v>24</v>
      </c>
      <c r="AC4653" s="12"/>
      <c r="AD4653" s="12" t="str">
        <f>IFERROR(__xludf.DUMMYFUNCTION("""COMPUTED_VALUE"""),"Jane Goodall")</f>
        <v>Jane Goodall</v>
      </c>
      <c r="AE4653" s="12"/>
    </row>
    <row r="4654" customHeight="1" spans="1:31">
      <c r="A4654" s="11" t="s">
        <v>30</v>
      </c>
      <c r="B4654" s="11" t="s">
        <v>22110</v>
      </c>
      <c r="C4654" s="11">
        <v>6</v>
      </c>
      <c r="D4654" s="11">
        <v>90</v>
      </c>
      <c r="E4654" s="11">
        <v>66</v>
      </c>
      <c r="F4654" s="11">
        <v>734</v>
      </c>
      <c r="G4654" s="11">
        <v>904</v>
      </c>
      <c r="H4654" s="13"/>
      <c r="I4654" s="11" t="s">
        <v>3410</v>
      </c>
      <c r="J4654" s="11" t="s">
        <v>3009</v>
      </c>
      <c r="K4654" s="11" t="s">
        <v>1728</v>
      </c>
      <c r="L4654" s="11" t="s">
        <v>7259</v>
      </c>
      <c r="M4654" s="11" t="s">
        <v>22111</v>
      </c>
      <c r="N4654" s="11">
        <v>122</v>
      </c>
      <c r="O4654" s="11">
        <v>5435</v>
      </c>
      <c r="P4654" s="11">
        <v>4</v>
      </c>
      <c r="Q4654" s="11" t="s">
        <v>22112</v>
      </c>
      <c r="R4654" s="14" t="s">
        <v>22113</v>
      </c>
      <c r="S4654" s="11">
        <v>3</v>
      </c>
      <c r="T4654" s="11" t="s">
        <v>39</v>
      </c>
      <c r="U4654" s="11" t="s">
        <v>40</v>
      </c>
      <c r="V4654" s="11" t="s">
        <v>586</v>
      </c>
      <c r="W4654" s="11">
        <v>1000000</v>
      </c>
      <c r="X4654" s="11">
        <v>2013</v>
      </c>
      <c r="Y4654" s="11">
        <v>782</v>
      </c>
      <c r="Z4654" s="11">
        <v>7.1</v>
      </c>
      <c r="AA4654" s="13"/>
      <c r="AB4654" s="11">
        <v>181</v>
      </c>
      <c r="AC4654" s="11"/>
      <c r="AD4654" s="11" t="str">
        <f>IFERROR(__xludf.DUMMYFUNCTION("""COMPUTED_VALUE"""),"Jerry Brown")</f>
        <v>Jerry Brown</v>
      </c>
      <c r="AE4654" s="11"/>
    </row>
    <row r="4655" customHeight="1" spans="1:31">
      <c r="A4655" s="12" t="s">
        <v>30</v>
      </c>
      <c r="B4655" s="12" t="s">
        <v>22114</v>
      </c>
      <c r="C4655" s="12">
        <v>115</v>
      </c>
      <c r="D4655" s="12">
        <v>88</v>
      </c>
      <c r="E4655" s="12">
        <v>15</v>
      </c>
      <c r="F4655" s="12">
        <v>567</v>
      </c>
      <c r="G4655" s="12">
        <v>938</v>
      </c>
      <c r="H4655" s="12">
        <v>1243961</v>
      </c>
      <c r="I4655" s="12" t="s">
        <v>1672</v>
      </c>
      <c r="J4655" s="12" t="s">
        <v>10947</v>
      </c>
      <c r="K4655" s="12" t="s">
        <v>9682</v>
      </c>
      <c r="L4655" s="12" t="s">
        <v>11279</v>
      </c>
      <c r="M4655" s="12" t="s">
        <v>22115</v>
      </c>
      <c r="N4655" s="12">
        <v>13421</v>
      </c>
      <c r="O4655" s="12">
        <v>3770</v>
      </c>
      <c r="P4655" s="12">
        <v>0</v>
      </c>
      <c r="Q4655" s="12" t="s">
        <v>22116</v>
      </c>
      <c r="R4655" s="15" t="s">
        <v>22117</v>
      </c>
      <c r="S4655" s="12">
        <v>34</v>
      </c>
      <c r="T4655" s="12" t="s">
        <v>39</v>
      </c>
      <c r="U4655" s="12" t="s">
        <v>40</v>
      </c>
      <c r="V4655" s="12" t="s">
        <v>586</v>
      </c>
      <c r="W4655" s="12">
        <v>850000</v>
      </c>
      <c r="X4655" s="12">
        <v>2012</v>
      </c>
      <c r="Y4655" s="12">
        <v>904</v>
      </c>
      <c r="Z4655" s="12">
        <v>6</v>
      </c>
      <c r="AA4655" s="12">
        <v>2.35</v>
      </c>
      <c r="AB4655" s="12">
        <v>0</v>
      </c>
      <c r="AC4655" s="12"/>
      <c r="AD4655" s="12" t="str">
        <f>IFERROR(__xludf.DUMMYFUNCTION("""COMPUTED_VALUE"""),"Peter Agnefjall")</f>
        <v>Peter Agnefjall</v>
      </c>
      <c r="AE4655" s="12"/>
    </row>
    <row r="4656" customHeight="1" spans="1:31">
      <c r="A4656" s="11" t="s">
        <v>30</v>
      </c>
      <c r="B4656" s="11" t="s">
        <v>8352</v>
      </c>
      <c r="C4656" s="11">
        <v>193</v>
      </c>
      <c r="D4656" s="11">
        <v>92</v>
      </c>
      <c r="E4656" s="11">
        <v>43</v>
      </c>
      <c r="F4656" s="11">
        <v>172</v>
      </c>
      <c r="G4656" s="11">
        <v>904</v>
      </c>
      <c r="H4656" s="11">
        <v>3094687</v>
      </c>
      <c r="I4656" s="11" t="s">
        <v>1415</v>
      </c>
      <c r="J4656" s="11" t="s">
        <v>9682</v>
      </c>
      <c r="K4656" s="11" t="s">
        <v>22118</v>
      </c>
      <c r="L4656" s="11" t="s">
        <v>15103</v>
      </c>
      <c r="M4656" s="11" t="s">
        <v>22119</v>
      </c>
      <c r="N4656" s="11">
        <v>24391</v>
      </c>
      <c r="O4656" s="11">
        <v>1751</v>
      </c>
      <c r="P4656" s="11">
        <v>2</v>
      </c>
      <c r="Q4656" s="11" t="s">
        <v>22120</v>
      </c>
      <c r="R4656" s="14" t="s">
        <v>22121</v>
      </c>
      <c r="S4656" s="11">
        <v>61</v>
      </c>
      <c r="T4656" s="11" t="s">
        <v>39</v>
      </c>
      <c r="U4656" s="11" t="s">
        <v>40</v>
      </c>
      <c r="V4656" s="11" t="s">
        <v>586</v>
      </c>
      <c r="W4656" s="13"/>
      <c r="X4656" s="11">
        <v>2012</v>
      </c>
      <c r="Y4656" s="11">
        <v>517</v>
      </c>
      <c r="Z4656" s="11">
        <v>6.7</v>
      </c>
      <c r="AA4656" s="11">
        <v>2.35</v>
      </c>
      <c r="AB4656" s="11">
        <v>0</v>
      </c>
      <c r="AC4656" s="11"/>
      <c r="AD4656" s="11" t="str">
        <f>IFERROR(__xludf.DUMMYFUNCTION("""COMPUTED_VALUE"""),"Shelly Varod")</f>
        <v>Shelly Varod</v>
      </c>
      <c r="AE4656" s="11"/>
    </row>
    <row r="4657" customHeight="1" spans="1:31">
      <c r="A4657" s="12" t="s">
        <v>30</v>
      </c>
      <c r="B4657" s="12" t="s">
        <v>22122</v>
      </c>
      <c r="C4657" s="12">
        <v>16</v>
      </c>
      <c r="D4657" s="12">
        <v>95</v>
      </c>
      <c r="E4657" s="12">
        <v>14</v>
      </c>
      <c r="F4657" s="12">
        <v>221</v>
      </c>
      <c r="G4657" s="12">
        <v>284</v>
      </c>
      <c r="H4657" s="12">
        <v>15278</v>
      </c>
      <c r="I4657" s="12" t="s">
        <v>22123</v>
      </c>
      <c r="J4657" s="12" t="s">
        <v>6191</v>
      </c>
      <c r="K4657" s="12" t="s">
        <v>22124</v>
      </c>
      <c r="L4657" s="12" t="s">
        <v>22125</v>
      </c>
      <c r="M4657" s="12" t="s">
        <v>22126</v>
      </c>
      <c r="N4657" s="12">
        <v>1742</v>
      </c>
      <c r="O4657" s="12">
        <v>1185</v>
      </c>
      <c r="P4657" s="12">
        <v>1</v>
      </c>
      <c r="Q4657" s="12" t="s">
        <v>22127</v>
      </c>
      <c r="R4657" s="15" t="s">
        <v>22128</v>
      </c>
      <c r="S4657" s="12">
        <v>158</v>
      </c>
      <c r="T4657" s="12" t="s">
        <v>39</v>
      </c>
      <c r="U4657" s="12" t="s">
        <v>40</v>
      </c>
      <c r="V4657" s="12" t="s">
        <v>96</v>
      </c>
      <c r="W4657" s="12">
        <v>825000</v>
      </c>
      <c r="X4657" s="12">
        <v>2002</v>
      </c>
      <c r="Y4657" s="12">
        <v>234</v>
      </c>
      <c r="Z4657" s="12">
        <v>5.6</v>
      </c>
      <c r="AA4657" s="12">
        <v>1.85</v>
      </c>
      <c r="AB4657" s="12">
        <v>409</v>
      </c>
      <c r="AC4657" s="12"/>
      <c r="AD4657" s="12" t="str">
        <f>IFERROR(__xludf.DUMMYFUNCTION("""COMPUTED_VALUE"""),"Ralitsa Paskaleva")</f>
        <v>Ralitsa Paskaleva</v>
      </c>
      <c r="AE4657" s="12"/>
    </row>
    <row r="4658" customHeight="1" spans="1:31">
      <c r="A4658" s="11" t="s">
        <v>30</v>
      </c>
      <c r="B4658" s="11" t="s">
        <v>18030</v>
      </c>
      <c r="C4658" s="11">
        <v>68</v>
      </c>
      <c r="D4658" s="11">
        <v>85</v>
      </c>
      <c r="E4658" s="11">
        <v>46</v>
      </c>
      <c r="F4658" s="11">
        <v>141</v>
      </c>
      <c r="G4658" s="11">
        <v>418</v>
      </c>
      <c r="H4658" s="13"/>
      <c r="I4658" s="11" t="s">
        <v>2126</v>
      </c>
      <c r="J4658" s="11" t="s">
        <v>20455</v>
      </c>
      <c r="K4658" s="11" t="s">
        <v>22129</v>
      </c>
      <c r="L4658" s="11" t="s">
        <v>18033</v>
      </c>
      <c r="M4658" s="11" t="s">
        <v>22130</v>
      </c>
      <c r="N4658" s="11">
        <v>7308</v>
      </c>
      <c r="O4658" s="11">
        <v>926</v>
      </c>
      <c r="P4658" s="11">
        <v>0</v>
      </c>
      <c r="Q4658" s="11" t="s">
        <v>22131</v>
      </c>
      <c r="R4658" s="14" t="s">
        <v>22132</v>
      </c>
      <c r="S4658" s="11">
        <v>72</v>
      </c>
      <c r="T4658" s="11" t="s">
        <v>39</v>
      </c>
      <c r="U4658" s="11" t="s">
        <v>58</v>
      </c>
      <c r="V4658" s="11" t="s">
        <v>586</v>
      </c>
      <c r="W4658" s="11">
        <v>500000</v>
      </c>
      <c r="X4658" s="11">
        <v>2006</v>
      </c>
      <c r="Y4658" s="11">
        <v>146</v>
      </c>
      <c r="Z4658" s="11">
        <v>7</v>
      </c>
      <c r="AA4658" s="11">
        <v>2.35</v>
      </c>
      <c r="AB4658" s="11">
        <v>933</v>
      </c>
      <c r="AC4658" s="11"/>
      <c r="AD4658" s="11" t="str">
        <f>IFERROR(__xludf.DUMMYFUNCTION("""COMPUTED_VALUE"""),"Joe Egan")</f>
        <v>Joe Egan</v>
      </c>
      <c r="AE4658" s="11"/>
    </row>
    <row r="4659" customHeight="1" spans="1:31">
      <c r="A4659" s="12" t="s">
        <v>30</v>
      </c>
      <c r="B4659" s="12" t="s">
        <v>18369</v>
      </c>
      <c r="C4659" s="12">
        <v>16</v>
      </c>
      <c r="D4659" s="12">
        <v>86</v>
      </c>
      <c r="E4659" s="12">
        <v>63</v>
      </c>
      <c r="F4659" s="12">
        <v>175</v>
      </c>
      <c r="G4659" s="12">
        <v>489</v>
      </c>
      <c r="H4659" s="16"/>
      <c r="I4659" s="12" t="s">
        <v>22133</v>
      </c>
      <c r="J4659" s="12" t="s">
        <v>9578</v>
      </c>
      <c r="K4659" s="12" t="s">
        <v>22134</v>
      </c>
      <c r="L4659" s="12" t="s">
        <v>22135</v>
      </c>
      <c r="M4659" s="12" t="s">
        <v>22136</v>
      </c>
      <c r="N4659" s="12">
        <v>2706</v>
      </c>
      <c r="O4659" s="12">
        <v>1278</v>
      </c>
      <c r="P4659" s="12">
        <v>2</v>
      </c>
      <c r="Q4659" s="12" t="s">
        <v>22137</v>
      </c>
      <c r="R4659" s="15" t="s">
        <v>22138</v>
      </c>
      <c r="S4659" s="12">
        <v>23</v>
      </c>
      <c r="T4659" s="12" t="s">
        <v>39</v>
      </c>
      <c r="U4659" s="12" t="s">
        <v>40</v>
      </c>
      <c r="V4659" s="16"/>
      <c r="W4659" s="12">
        <v>990000</v>
      </c>
      <c r="X4659" s="12">
        <v>2015</v>
      </c>
      <c r="Y4659" s="12">
        <v>207</v>
      </c>
      <c r="Z4659" s="12">
        <v>4.9</v>
      </c>
      <c r="AA4659" s="16"/>
      <c r="AB4659" s="12">
        <v>549</v>
      </c>
      <c r="AC4659" s="12"/>
      <c r="AD4659" s="12" t="str">
        <f>IFERROR(__xludf.DUMMYFUNCTION("""COMPUTED_VALUE"""),"Glen Murphy")</f>
        <v>Glen Murphy</v>
      </c>
      <c r="AE4659" s="12"/>
    </row>
    <row r="4660" customHeight="1" spans="1:31">
      <c r="A4660" s="11" t="s">
        <v>30</v>
      </c>
      <c r="B4660" s="11" t="s">
        <v>22139</v>
      </c>
      <c r="C4660" s="11">
        <v>7</v>
      </c>
      <c r="D4660" s="11">
        <v>90</v>
      </c>
      <c r="E4660" s="11">
        <v>8</v>
      </c>
      <c r="F4660" s="11">
        <v>487</v>
      </c>
      <c r="G4660" s="11">
        <v>1000</v>
      </c>
      <c r="H4660" s="13"/>
      <c r="I4660" s="11" t="s">
        <v>852</v>
      </c>
      <c r="J4660" s="11" t="s">
        <v>22140</v>
      </c>
      <c r="K4660" s="11" t="s">
        <v>8989</v>
      </c>
      <c r="L4660" s="11" t="s">
        <v>19512</v>
      </c>
      <c r="M4660" s="11" t="s">
        <v>22141</v>
      </c>
      <c r="N4660" s="11">
        <v>169</v>
      </c>
      <c r="O4660" s="11">
        <v>3336</v>
      </c>
      <c r="P4660" s="11">
        <v>1</v>
      </c>
      <c r="Q4660" s="13"/>
      <c r="R4660" s="14" t="s">
        <v>22142</v>
      </c>
      <c r="S4660" s="11">
        <v>6</v>
      </c>
      <c r="T4660" s="11" t="s">
        <v>39</v>
      </c>
      <c r="U4660" s="11" t="s">
        <v>40</v>
      </c>
      <c r="V4660" s="13"/>
      <c r="W4660" s="11">
        <v>100000</v>
      </c>
      <c r="X4660" s="11">
        <v>2015</v>
      </c>
      <c r="Y4660" s="11">
        <v>806</v>
      </c>
      <c r="Z4660" s="11">
        <v>3.2</v>
      </c>
      <c r="AA4660" s="13"/>
      <c r="AB4660" s="11">
        <v>312</v>
      </c>
      <c r="AC4660" s="11"/>
      <c r="AD4660" s="11" t="str">
        <f>IFERROR(__xludf.DUMMYFUNCTION("""COMPUTED_VALUE"""),"Sofie Gråbøl")</f>
        <v>Sofie Gråbøl</v>
      </c>
      <c r="AE4660" s="11"/>
    </row>
    <row r="4661" customHeight="1" spans="1:31">
      <c r="A4661" s="12" t="s">
        <v>30</v>
      </c>
      <c r="B4661" s="12" t="s">
        <v>22143</v>
      </c>
      <c r="C4661" s="12">
        <v>354</v>
      </c>
      <c r="D4661" s="12">
        <v>123</v>
      </c>
      <c r="E4661" s="12">
        <v>0</v>
      </c>
      <c r="F4661" s="12">
        <v>620</v>
      </c>
      <c r="G4661" s="12">
        <v>786</v>
      </c>
      <c r="H4661" s="12">
        <v>7098492</v>
      </c>
      <c r="I4661" s="12" t="s">
        <v>8061</v>
      </c>
      <c r="J4661" s="12" t="s">
        <v>22144</v>
      </c>
      <c r="K4661" s="12" t="s">
        <v>22145</v>
      </c>
      <c r="L4661" s="12" t="s">
        <v>22146</v>
      </c>
      <c r="M4661" s="12" t="s">
        <v>22147</v>
      </c>
      <c r="N4661" s="12">
        <v>151812</v>
      </c>
      <c r="O4661" s="12">
        <v>2501</v>
      </c>
      <c r="P4661" s="12">
        <v>2</v>
      </c>
      <c r="Q4661" s="12" t="s">
        <v>22148</v>
      </c>
      <c r="R4661" s="15" t="s">
        <v>22149</v>
      </c>
      <c r="S4661" s="12">
        <v>264</v>
      </c>
      <c r="T4661" s="12" t="s">
        <v>22077</v>
      </c>
      <c r="U4661" s="12" t="s">
        <v>13548</v>
      </c>
      <c r="V4661" s="12" t="s">
        <v>41</v>
      </c>
      <c r="W4661" s="12">
        <v>500000</v>
      </c>
      <c r="X4661" s="12">
        <v>2011</v>
      </c>
      <c r="Y4661" s="12">
        <v>712</v>
      </c>
      <c r="Z4661" s="12">
        <v>8.4</v>
      </c>
      <c r="AA4661" s="12">
        <v>1.85</v>
      </c>
      <c r="AB4661" s="12">
        <v>48000</v>
      </c>
      <c r="AC4661" s="12"/>
      <c r="AD4661" s="12" t="str">
        <f>IFERROR(__xludf.DUMMYFUNCTION("""COMPUTED_VALUE"""),"Murray Bartlett")</f>
        <v>Murray Bartlett</v>
      </c>
      <c r="AE4661" s="12"/>
    </row>
    <row r="4662" customHeight="1" spans="1:31">
      <c r="A4662" s="11" t="s">
        <v>30</v>
      </c>
      <c r="B4662" s="11" t="s">
        <v>22150</v>
      </c>
      <c r="C4662" s="11">
        <v>16</v>
      </c>
      <c r="D4662" s="11">
        <v>93</v>
      </c>
      <c r="E4662" s="11">
        <v>5</v>
      </c>
      <c r="F4662" s="11">
        <v>10</v>
      </c>
      <c r="G4662" s="11">
        <v>49</v>
      </c>
      <c r="H4662" s="13"/>
      <c r="I4662" s="11" t="s">
        <v>10413</v>
      </c>
      <c r="J4662" s="11" t="s">
        <v>22151</v>
      </c>
      <c r="K4662" s="11" t="s">
        <v>22152</v>
      </c>
      <c r="L4662" s="11" t="s">
        <v>22153</v>
      </c>
      <c r="M4662" s="11" t="s">
        <v>22154</v>
      </c>
      <c r="N4662" s="11">
        <v>190</v>
      </c>
      <c r="O4662" s="11">
        <v>81</v>
      </c>
      <c r="P4662" s="11">
        <v>1</v>
      </c>
      <c r="Q4662" s="11" t="s">
        <v>22155</v>
      </c>
      <c r="R4662" s="14" t="s">
        <v>22156</v>
      </c>
      <c r="S4662" s="11">
        <v>6</v>
      </c>
      <c r="T4662" s="11" t="s">
        <v>39</v>
      </c>
      <c r="U4662" s="11" t="s">
        <v>58</v>
      </c>
      <c r="V4662" s="13"/>
      <c r="W4662" s="13"/>
      <c r="X4662" s="11">
        <v>2009</v>
      </c>
      <c r="Y4662" s="11">
        <v>11</v>
      </c>
      <c r="Z4662" s="11">
        <v>6.9</v>
      </c>
      <c r="AA4662" s="13"/>
      <c r="AB4662" s="11">
        <v>33</v>
      </c>
      <c r="AC4662" s="11"/>
      <c r="AD4662" s="11" t="str">
        <f>IFERROR(__xludf.DUMMYFUNCTION("""COMPUTED_VALUE"""),"Adrian Gonzalez")</f>
        <v>Adrian Gonzalez</v>
      </c>
      <c r="AE4662" s="11"/>
    </row>
    <row r="4663" customHeight="1" spans="1:31">
      <c r="A4663" s="12" t="s">
        <v>30</v>
      </c>
      <c r="B4663" s="12" t="s">
        <v>18296</v>
      </c>
      <c r="C4663" s="12">
        <v>74</v>
      </c>
      <c r="D4663" s="12">
        <v>88</v>
      </c>
      <c r="E4663" s="12">
        <v>377</v>
      </c>
      <c r="F4663" s="12">
        <v>236</v>
      </c>
      <c r="G4663" s="12">
        <v>529</v>
      </c>
      <c r="H4663" s="12">
        <v>4771000</v>
      </c>
      <c r="I4663" s="12" t="s">
        <v>2528</v>
      </c>
      <c r="J4663" s="12" t="s">
        <v>8132</v>
      </c>
      <c r="K4663" s="12" t="s">
        <v>22157</v>
      </c>
      <c r="L4663" s="12" t="s">
        <v>22158</v>
      </c>
      <c r="M4663" s="12" t="s">
        <v>22159</v>
      </c>
      <c r="N4663" s="12">
        <v>26513</v>
      </c>
      <c r="O4663" s="12">
        <v>1502</v>
      </c>
      <c r="P4663" s="12">
        <v>1</v>
      </c>
      <c r="Q4663" s="12" t="s">
        <v>22160</v>
      </c>
      <c r="R4663" s="15" t="s">
        <v>22161</v>
      </c>
      <c r="S4663" s="12">
        <v>174</v>
      </c>
      <c r="T4663" s="12" t="s">
        <v>39</v>
      </c>
      <c r="U4663" s="12" t="s">
        <v>40</v>
      </c>
      <c r="V4663" s="12" t="s">
        <v>586</v>
      </c>
      <c r="W4663" s="12">
        <v>800000</v>
      </c>
      <c r="X4663" s="12">
        <v>1995</v>
      </c>
      <c r="Y4663" s="12">
        <v>502</v>
      </c>
      <c r="Z4663" s="12">
        <v>7.5</v>
      </c>
      <c r="AA4663" s="12">
        <v>1.85</v>
      </c>
      <c r="AB4663" s="12">
        <v>0</v>
      </c>
      <c r="AC4663" s="12"/>
      <c r="AD4663" s="12" t="str">
        <f>IFERROR(__xludf.DUMMYFUNCTION("""COMPUTED_VALUE"""),"Edward Conna")</f>
        <v>Edward Conna</v>
      </c>
      <c r="AE4663" s="12"/>
    </row>
    <row r="4664" customHeight="1" spans="1:31">
      <c r="A4664" s="11" t="s">
        <v>30</v>
      </c>
      <c r="B4664" s="11" t="s">
        <v>19697</v>
      </c>
      <c r="C4664" s="11">
        <v>11</v>
      </c>
      <c r="D4664" s="11">
        <v>114</v>
      </c>
      <c r="E4664" s="11">
        <v>9</v>
      </c>
      <c r="F4664" s="11">
        <v>86</v>
      </c>
      <c r="G4664" s="11">
        <v>159</v>
      </c>
      <c r="H4664" s="11">
        <v>1001437</v>
      </c>
      <c r="I4664" s="11" t="s">
        <v>214</v>
      </c>
      <c r="J4664" s="11" t="s">
        <v>22162</v>
      </c>
      <c r="K4664" s="11" t="s">
        <v>13510</v>
      </c>
      <c r="L4664" s="11" t="s">
        <v>22163</v>
      </c>
      <c r="M4664" s="11" t="s">
        <v>22164</v>
      </c>
      <c r="N4664" s="11">
        <v>2039</v>
      </c>
      <c r="O4664" s="11">
        <v>423</v>
      </c>
      <c r="P4664" s="11">
        <v>1</v>
      </c>
      <c r="Q4664" s="11" t="s">
        <v>22165</v>
      </c>
      <c r="R4664" s="14" t="s">
        <v>22166</v>
      </c>
      <c r="S4664" s="11">
        <v>28</v>
      </c>
      <c r="T4664" s="11" t="s">
        <v>39</v>
      </c>
      <c r="U4664" s="11" t="s">
        <v>40</v>
      </c>
      <c r="V4664" s="11" t="s">
        <v>586</v>
      </c>
      <c r="W4664" s="11">
        <v>800000</v>
      </c>
      <c r="X4664" s="11">
        <v>1993</v>
      </c>
      <c r="Y4664" s="11">
        <v>143</v>
      </c>
      <c r="Z4664" s="11">
        <v>7.2</v>
      </c>
      <c r="AA4664" s="11">
        <v>1.85</v>
      </c>
      <c r="AB4664" s="11">
        <v>81</v>
      </c>
      <c r="AC4664" s="11"/>
      <c r="AD4664" s="11" t="str">
        <f>IFERROR(__xludf.DUMMYFUNCTION("""COMPUTED_VALUE"""),"Alexandre Rodrigues")</f>
        <v>Alexandre Rodrigues</v>
      </c>
      <c r="AE4664" s="11"/>
    </row>
    <row r="4665" customHeight="1" spans="1:31">
      <c r="A4665" s="12" t="s">
        <v>30</v>
      </c>
      <c r="B4665" s="12" t="s">
        <v>14896</v>
      </c>
      <c r="C4665" s="12">
        <v>59</v>
      </c>
      <c r="D4665" s="12">
        <v>88</v>
      </c>
      <c r="E4665" s="12">
        <v>6</v>
      </c>
      <c r="F4665" s="12">
        <v>68</v>
      </c>
      <c r="G4665" s="12">
        <v>302</v>
      </c>
      <c r="H4665" s="12">
        <v>2073984</v>
      </c>
      <c r="I4665" s="12" t="s">
        <v>214</v>
      </c>
      <c r="J4665" s="12" t="s">
        <v>22167</v>
      </c>
      <c r="K4665" s="12" t="s">
        <v>11221</v>
      </c>
      <c r="L4665" s="12" t="s">
        <v>22168</v>
      </c>
      <c r="M4665" s="12" t="s">
        <v>22169</v>
      </c>
      <c r="N4665" s="12">
        <v>4743</v>
      </c>
      <c r="O4665" s="12">
        <v>663</v>
      </c>
      <c r="P4665" s="12">
        <v>1</v>
      </c>
      <c r="Q4665" s="12" t="s">
        <v>22170</v>
      </c>
      <c r="R4665" s="15" t="s">
        <v>22171</v>
      </c>
      <c r="S4665" s="12">
        <v>135</v>
      </c>
      <c r="T4665" s="12" t="s">
        <v>39</v>
      </c>
      <c r="U4665" s="12" t="s">
        <v>1466</v>
      </c>
      <c r="V4665" s="12" t="s">
        <v>586</v>
      </c>
      <c r="W4665" s="12">
        <v>800000</v>
      </c>
      <c r="X4665" s="12">
        <v>2002</v>
      </c>
      <c r="Y4665" s="12">
        <v>270</v>
      </c>
      <c r="Z4665" s="12">
        <v>7.2</v>
      </c>
      <c r="AA4665" s="12">
        <v>1.85</v>
      </c>
      <c r="AB4665" s="12">
        <v>219</v>
      </c>
      <c r="AC4665" s="12"/>
      <c r="AD4665" s="12" t="str">
        <f>IFERROR(__xludf.DUMMYFUNCTION("""COMPUTED_VALUE"""),"John Simm")</f>
        <v>John Simm</v>
      </c>
      <c r="AE4665" s="12"/>
    </row>
    <row r="4666" customHeight="1" spans="1:31">
      <c r="A4666" s="11" t="s">
        <v>748</v>
      </c>
      <c r="B4666" s="11" t="s">
        <v>22172</v>
      </c>
      <c r="C4666" s="11">
        <v>71</v>
      </c>
      <c r="D4666" s="11">
        <v>110</v>
      </c>
      <c r="E4666" s="11">
        <v>21</v>
      </c>
      <c r="F4666" s="11">
        <v>3</v>
      </c>
      <c r="G4666" s="11">
        <v>426</v>
      </c>
      <c r="H4666" s="11">
        <v>9950</v>
      </c>
      <c r="I4666" s="11" t="s">
        <v>4824</v>
      </c>
      <c r="J4666" s="11" t="s">
        <v>22173</v>
      </c>
      <c r="K4666" s="11" t="s">
        <v>22174</v>
      </c>
      <c r="L4666" s="11" t="s">
        <v>22175</v>
      </c>
      <c r="M4666" s="11" t="s">
        <v>22176</v>
      </c>
      <c r="N4666" s="11">
        <v>7431</v>
      </c>
      <c r="O4666" s="11">
        <v>455</v>
      </c>
      <c r="P4666" s="11">
        <v>1</v>
      </c>
      <c r="Q4666" s="11" t="s">
        <v>22177</v>
      </c>
      <c r="R4666" s="14" t="s">
        <v>22178</v>
      </c>
      <c r="S4666" s="11">
        <v>84</v>
      </c>
      <c r="T4666" s="11" t="s">
        <v>8732</v>
      </c>
      <c r="U4666" s="11" t="s">
        <v>768</v>
      </c>
      <c r="V4666" s="11" t="s">
        <v>4831</v>
      </c>
      <c r="W4666" s="13"/>
      <c r="X4666" s="11">
        <v>1929</v>
      </c>
      <c r="Y4666" s="11">
        <v>20</v>
      </c>
      <c r="Z4666" s="11">
        <v>8</v>
      </c>
      <c r="AA4666" s="11">
        <v>1.33</v>
      </c>
      <c r="AB4666" s="11">
        <v>926</v>
      </c>
      <c r="AC4666" s="11"/>
      <c r="AD4666" s="11" t="str">
        <f>IFERROR(__xludf.DUMMYFUNCTION("""COMPUTED_VALUE"""),"Rus Blackwell")</f>
        <v>Rus Blackwell</v>
      </c>
      <c r="AE4666" s="11"/>
    </row>
    <row r="4667" customHeight="1" spans="1:31">
      <c r="A4667" s="12" t="s">
        <v>30</v>
      </c>
      <c r="B4667" s="12" t="s">
        <v>22179</v>
      </c>
      <c r="C4667" s="12">
        <v>5</v>
      </c>
      <c r="D4667" s="12">
        <v>95</v>
      </c>
      <c r="E4667" s="12">
        <v>0</v>
      </c>
      <c r="F4667" s="12">
        <v>167</v>
      </c>
      <c r="G4667" s="12">
        <v>940</v>
      </c>
      <c r="H4667" s="16"/>
      <c r="I4667" s="12" t="s">
        <v>3410</v>
      </c>
      <c r="J4667" s="12" t="s">
        <v>3261</v>
      </c>
      <c r="K4667" s="12" t="s">
        <v>22180</v>
      </c>
      <c r="L4667" s="12" t="s">
        <v>22181</v>
      </c>
      <c r="M4667" s="12" t="s">
        <v>22182</v>
      </c>
      <c r="N4667" s="12">
        <v>59</v>
      </c>
      <c r="O4667" s="12">
        <v>1484</v>
      </c>
      <c r="P4667" s="12">
        <v>2</v>
      </c>
      <c r="Q4667" s="12" t="s">
        <v>22183</v>
      </c>
      <c r="R4667" s="15" t="s">
        <v>22184</v>
      </c>
      <c r="S4667" s="12">
        <v>1</v>
      </c>
      <c r="T4667" s="12" t="s">
        <v>39</v>
      </c>
      <c r="U4667" s="12" t="s">
        <v>40</v>
      </c>
      <c r="V4667" s="16"/>
      <c r="W4667" s="12">
        <v>850000</v>
      </c>
      <c r="X4667" s="12">
        <v>2008</v>
      </c>
      <c r="Y4667" s="12">
        <v>188</v>
      </c>
      <c r="Z4667" s="12">
        <v>7.4</v>
      </c>
      <c r="AA4667" s="12">
        <v>1.78</v>
      </c>
      <c r="AB4667" s="12">
        <v>18</v>
      </c>
      <c r="AC4667" s="12"/>
      <c r="AD4667" s="12" t="str">
        <f>IFERROR(__xludf.DUMMYFUNCTION("""COMPUTED_VALUE"""),"Luis Antonio")</f>
        <v>Luis Antonio</v>
      </c>
      <c r="AE4667" s="12"/>
    </row>
    <row r="4668" customHeight="1" spans="1:31">
      <c r="A4668" s="11" t="s">
        <v>30</v>
      </c>
      <c r="B4668" s="11" t="s">
        <v>22185</v>
      </c>
      <c r="C4668" s="11">
        <v>25</v>
      </c>
      <c r="D4668" s="11">
        <v>83</v>
      </c>
      <c r="E4668" s="11">
        <v>0</v>
      </c>
      <c r="F4668" s="11">
        <v>0</v>
      </c>
      <c r="G4668" s="11">
        <v>24</v>
      </c>
      <c r="H4668" s="13"/>
      <c r="I4668" s="11" t="s">
        <v>3410</v>
      </c>
      <c r="J4668" s="11" t="s">
        <v>22186</v>
      </c>
      <c r="K4668" s="11" t="s">
        <v>22187</v>
      </c>
      <c r="L4668" s="11" t="s">
        <v>22188</v>
      </c>
      <c r="M4668" s="11" t="s">
        <v>22189</v>
      </c>
      <c r="N4668" s="11">
        <v>772</v>
      </c>
      <c r="O4668" s="11">
        <v>29</v>
      </c>
      <c r="P4668" s="11">
        <v>0</v>
      </c>
      <c r="Q4668" s="11" t="s">
        <v>22190</v>
      </c>
      <c r="R4668" s="14" t="s">
        <v>22191</v>
      </c>
      <c r="S4668" s="11">
        <v>11</v>
      </c>
      <c r="T4668" s="11" t="s">
        <v>2779</v>
      </c>
      <c r="U4668" s="11" t="s">
        <v>18942</v>
      </c>
      <c r="V4668" s="11" t="s">
        <v>5614</v>
      </c>
      <c r="W4668" s="11">
        <v>800000</v>
      </c>
      <c r="X4668" s="11">
        <v>2004</v>
      </c>
      <c r="Y4668" s="11">
        <v>5</v>
      </c>
      <c r="Z4668" s="11">
        <v>7.2</v>
      </c>
      <c r="AA4668" s="13"/>
      <c r="AB4668" s="11">
        <v>83</v>
      </c>
      <c r="AC4668" s="11"/>
      <c r="AD4668" s="11" t="str">
        <f>IFERROR(__xludf.DUMMYFUNCTION("""COMPUTED_VALUE"""),"Thomas Bo Larsen")</f>
        <v>Thomas Bo Larsen</v>
      </c>
      <c r="AE4668" s="11"/>
    </row>
    <row r="4669" customHeight="1" spans="1:31">
      <c r="A4669" s="12" t="s">
        <v>30</v>
      </c>
      <c r="B4669" s="12" t="s">
        <v>4352</v>
      </c>
      <c r="C4669" s="12">
        <v>29</v>
      </c>
      <c r="D4669" s="12">
        <v>104</v>
      </c>
      <c r="E4669" s="12">
        <v>37</v>
      </c>
      <c r="F4669" s="12">
        <v>501</v>
      </c>
      <c r="G4669" s="12">
        <v>574</v>
      </c>
      <c r="H4669" s="12">
        <v>144583</v>
      </c>
      <c r="I4669" s="12" t="s">
        <v>4075</v>
      </c>
      <c r="J4669" s="12" t="s">
        <v>3236</v>
      </c>
      <c r="K4669" s="12" t="s">
        <v>13832</v>
      </c>
      <c r="L4669" s="12" t="s">
        <v>3965</v>
      </c>
      <c r="M4669" s="12" t="s">
        <v>22192</v>
      </c>
      <c r="N4669" s="12">
        <v>2256</v>
      </c>
      <c r="O4669" s="12">
        <v>1983</v>
      </c>
      <c r="P4669" s="12">
        <v>0</v>
      </c>
      <c r="Q4669" s="12" t="s">
        <v>22193</v>
      </c>
      <c r="R4669" s="15" t="s">
        <v>22194</v>
      </c>
      <c r="S4669" s="12">
        <v>79</v>
      </c>
      <c r="T4669" s="12" t="s">
        <v>39</v>
      </c>
      <c r="U4669" s="12" t="s">
        <v>1466</v>
      </c>
      <c r="V4669" s="12" t="s">
        <v>586</v>
      </c>
      <c r="W4669" s="12">
        <v>800000</v>
      </c>
      <c r="X4669" s="12">
        <v>1999</v>
      </c>
      <c r="Y4669" s="12">
        <v>573</v>
      </c>
      <c r="Z4669" s="12">
        <v>6.5</v>
      </c>
      <c r="AA4669" s="12">
        <v>1.85</v>
      </c>
      <c r="AB4669" s="12">
        <v>130</v>
      </c>
      <c r="AC4669" s="12"/>
      <c r="AD4669" s="12" t="str">
        <f>IFERROR(__xludf.DUMMYFUNCTION("""COMPUTED_VALUE"""),"Alexandra Rapaport")</f>
        <v>Alexandra Rapaport</v>
      </c>
      <c r="AE4669" s="12"/>
    </row>
    <row r="4670" customHeight="1" spans="1:31">
      <c r="A4670" s="11" t="s">
        <v>30</v>
      </c>
      <c r="B4670" s="11" t="s">
        <v>22195</v>
      </c>
      <c r="C4670" s="11">
        <v>17</v>
      </c>
      <c r="D4670" s="11">
        <v>94</v>
      </c>
      <c r="E4670" s="11">
        <v>3</v>
      </c>
      <c r="F4670" s="11">
        <v>181</v>
      </c>
      <c r="G4670" s="11">
        <v>262</v>
      </c>
      <c r="H4670" s="13"/>
      <c r="I4670" s="11" t="s">
        <v>4824</v>
      </c>
      <c r="J4670" s="11" t="s">
        <v>22196</v>
      </c>
      <c r="K4670" s="11" t="s">
        <v>8152</v>
      </c>
      <c r="L4670" s="11" t="s">
        <v>11354</v>
      </c>
      <c r="M4670" s="11" t="s">
        <v>22197</v>
      </c>
      <c r="N4670" s="11">
        <v>3480</v>
      </c>
      <c r="O4670" s="11">
        <v>991</v>
      </c>
      <c r="P4670" s="11">
        <v>1</v>
      </c>
      <c r="Q4670" s="11" t="s">
        <v>22198</v>
      </c>
      <c r="R4670" s="14" t="s">
        <v>22199</v>
      </c>
      <c r="S4670" s="11">
        <v>30</v>
      </c>
      <c r="T4670" s="11" t="s">
        <v>39</v>
      </c>
      <c r="U4670" s="11" t="s">
        <v>40</v>
      </c>
      <c r="V4670" s="11" t="s">
        <v>586</v>
      </c>
      <c r="W4670" s="11">
        <v>800000</v>
      </c>
      <c r="X4670" s="11">
        <v>2003</v>
      </c>
      <c r="Y4670" s="11">
        <v>262</v>
      </c>
      <c r="Z4670" s="11">
        <v>7.2</v>
      </c>
      <c r="AA4670" s="13"/>
      <c r="AB4670" s="11">
        <v>396</v>
      </c>
      <c r="AC4670" s="11"/>
      <c r="AD4670" s="11" t="str">
        <f>IFERROR(__xludf.DUMMYFUNCTION("""COMPUTED_VALUE"""),"Hana Shuan")</f>
        <v>Hana Shuan</v>
      </c>
      <c r="AE4670" s="11"/>
    </row>
    <row r="4671" customHeight="1" spans="1:31">
      <c r="A4671" s="12" t="s">
        <v>30</v>
      </c>
      <c r="B4671" s="12" t="s">
        <v>22200</v>
      </c>
      <c r="C4671" s="12">
        <v>13</v>
      </c>
      <c r="D4671" s="12">
        <v>87</v>
      </c>
      <c r="E4671" s="12">
        <v>0</v>
      </c>
      <c r="F4671" s="12">
        <v>258</v>
      </c>
      <c r="G4671" s="12">
        <v>1000</v>
      </c>
      <c r="H4671" s="12">
        <v>58163</v>
      </c>
      <c r="I4671" s="12" t="s">
        <v>3410</v>
      </c>
      <c r="J4671" s="12" t="s">
        <v>2718</v>
      </c>
      <c r="K4671" s="12" t="s">
        <v>9198</v>
      </c>
      <c r="L4671" s="12" t="s">
        <v>22201</v>
      </c>
      <c r="M4671" s="12" t="s">
        <v>22202</v>
      </c>
      <c r="N4671" s="12">
        <v>122</v>
      </c>
      <c r="O4671" s="12">
        <v>2359</v>
      </c>
      <c r="P4671" s="12">
        <v>0</v>
      </c>
      <c r="Q4671" s="12" t="s">
        <v>22203</v>
      </c>
      <c r="R4671" s="15" t="s">
        <v>22204</v>
      </c>
      <c r="S4671" s="12">
        <v>3</v>
      </c>
      <c r="T4671" s="12" t="s">
        <v>39</v>
      </c>
      <c r="U4671" s="12" t="s">
        <v>40</v>
      </c>
      <c r="V4671" s="12" t="s">
        <v>586</v>
      </c>
      <c r="W4671" s="16"/>
      <c r="X4671" s="12">
        <v>2000</v>
      </c>
      <c r="Y4671" s="12">
        <v>749</v>
      </c>
      <c r="Z4671" s="12">
        <v>4.2</v>
      </c>
      <c r="AA4671" s="16"/>
      <c r="AB4671" s="12">
        <v>4</v>
      </c>
      <c r="AC4671" s="12"/>
      <c r="AD4671" s="12" t="str">
        <f>IFERROR(__xludf.DUMMYFUNCTION("""COMPUTED_VALUE"""),"Darren McGavin")</f>
        <v>Darren McGavin</v>
      </c>
      <c r="AE4671" s="12"/>
    </row>
    <row r="4672" customHeight="1" spans="1:31">
      <c r="A4672" s="11" t="s">
        <v>30</v>
      </c>
      <c r="B4672" s="11" t="s">
        <v>22205</v>
      </c>
      <c r="C4672" s="11">
        <v>6</v>
      </c>
      <c r="D4672" s="11">
        <v>93</v>
      </c>
      <c r="E4672" s="11">
        <v>247</v>
      </c>
      <c r="F4672" s="11">
        <v>152</v>
      </c>
      <c r="G4672" s="11">
        <v>247</v>
      </c>
      <c r="H4672" s="11">
        <v>35688</v>
      </c>
      <c r="I4672" s="11" t="s">
        <v>1672</v>
      </c>
      <c r="J4672" s="11" t="s">
        <v>22205</v>
      </c>
      <c r="K4672" s="11" t="s">
        <v>22206</v>
      </c>
      <c r="L4672" s="11" t="s">
        <v>22207</v>
      </c>
      <c r="M4672" s="11" t="s">
        <v>22208</v>
      </c>
      <c r="N4672" s="11">
        <v>4167</v>
      </c>
      <c r="O4672" s="11">
        <v>954</v>
      </c>
      <c r="P4672" s="11">
        <v>4</v>
      </c>
      <c r="Q4672" s="13"/>
      <c r="R4672" s="14" t="s">
        <v>22209</v>
      </c>
      <c r="S4672" s="11">
        <v>72</v>
      </c>
      <c r="T4672" s="11" t="s">
        <v>39</v>
      </c>
      <c r="U4672" s="11" t="s">
        <v>40</v>
      </c>
      <c r="V4672" s="11" t="s">
        <v>4831</v>
      </c>
      <c r="W4672" s="11">
        <v>600000</v>
      </c>
      <c r="X4672" s="11">
        <v>2014</v>
      </c>
      <c r="Y4672" s="11">
        <v>217</v>
      </c>
      <c r="Z4672" s="11">
        <v>5.1</v>
      </c>
      <c r="AA4672" s="13"/>
      <c r="AB4672" s="11">
        <v>0</v>
      </c>
      <c r="AC4672" s="11"/>
      <c r="AD4672" s="11" t="str">
        <f>IFERROR(__xludf.DUMMYFUNCTION("""COMPUTED_VALUE"""),"Scott Schwartz")</f>
        <v>Scott Schwartz</v>
      </c>
      <c r="AE4672" s="11"/>
    </row>
    <row r="4673" customHeight="1" spans="1:31">
      <c r="A4673" s="12" t="s">
        <v>30</v>
      </c>
      <c r="B4673" s="12" t="s">
        <v>5171</v>
      </c>
      <c r="C4673" s="12">
        <v>224</v>
      </c>
      <c r="D4673" s="12">
        <v>91</v>
      </c>
      <c r="E4673" s="12">
        <v>75</v>
      </c>
      <c r="F4673" s="12">
        <v>13</v>
      </c>
      <c r="G4673" s="12">
        <v>35</v>
      </c>
      <c r="H4673" s="12">
        <v>41709</v>
      </c>
      <c r="I4673" s="12" t="s">
        <v>7579</v>
      </c>
      <c r="J4673" s="12" t="s">
        <v>15861</v>
      </c>
      <c r="K4673" s="12" t="s">
        <v>22210</v>
      </c>
      <c r="L4673" s="12" t="s">
        <v>22211</v>
      </c>
      <c r="M4673" s="12" t="s">
        <v>22212</v>
      </c>
      <c r="N4673" s="12">
        <v>54601</v>
      </c>
      <c r="O4673" s="12">
        <v>116</v>
      </c>
      <c r="P4673" s="12">
        <v>0</v>
      </c>
      <c r="Q4673" s="12" t="s">
        <v>22213</v>
      </c>
      <c r="R4673" s="15" t="s">
        <v>22214</v>
      </c>
      <c r="S4673" s="12">
        <v>200</v>
      </c>
      <c r="T4673" s="12" t="s">
        <v>17494</v>
      </c>
      <c r="U4673" s="12" t="s">
        <v>12617</v>
      </c>
      <c r="V4673" s="12" t="s">
        <v>4831</v>
      </c>
      <c r="W4673" s="12">
        <v>800000</v>
      </c>
      <c r="X4673" s="12">
        <v>2009</v>
      </c>
      <c r="Y4673" s="12">
        <v>16</v>
      </c>
      <c r="Z4673" s="12">
        <v>6.4</v>
      </c>
      <c r="AA4673" s="12">
        <v>1.85</v>
      </c>
      <c r="AB4673" s="12">
        <v>23000</v>
      </c>
      <c r="AC4673" s="12"/>
      <c r="AD4673" s="12" t="str">
        <f>IFERROR(__xludf.DUMMYFUNCTION("""COMPUTED_VALUE"""),"Perry King")</f>
        <v>Perry King</v>
      </c>
      <c r="AE4673" s="12"/>
    </row>
    <row r="4674" customHeight="1" spans="1:31">
      <c r="A4674" s="11" t="s">
        <v>30</v>
      </c>
      <c r="B4674" s="11" t="s">
        <v>22215</v>
      </c>
      <c r="C4674" s="11">
        <v>33</v>
      </c>
      <c r="D4674" s="11">
        <v>90</v>
      </c>
      <c r="E4674" s="11">
        <v>38</v>
      </c>
      <c r="F4674" s="11">
        <v>69</v>
      </c>
      <c r="G4674" s="11">
        <v>214</v>
      </c>
      <c r="H4674" s="11">
        <v>1310270</v>
      </c>
      <c r="I4674" s="11" t="s">
        <v>22216</v>
      </c>
      <c r="J4674" s="11" t="s">
        <v>22217</v>
      </c>
      <c r="K4674" s="11" t="s">
        <v>8929</v>
      </c>
      <c r="L4674" s="11" t="s">
        <v>20305</v>
      </c>
      <c r="M4674" s="11" t="s">
        <v>22218</v>
      </c>
      <c r="N4674" s="11">
        <v>17725</v>
      </c>
      <c r="O4674" s="11">
        <v>587</v>
      </c>
      <c r="P4674" s="11">
        <v>0</v>
      </c>
      <c r="Q4674" s="11" t="s">
        <v>22219</v>
      </c>
      <c r="R4674" s="14" t="s">
        <v>22220</v>
      </c>
      <c r="S4674" s="11">
        <v>157</v>
      </c>
      <c r="T4674" s="11" t="s">
        <v>39</v>
      </c>
      <c r="U4674" s="11" t="s">
        <v>40</v>
      </c>
      <c r="V4674" s="11" t="s">
        <v>41</v>
      </c>
      <c r="W4674" s="11">
        <v>780000</v>
      </c>
      <c r="X4674" s="11">
        <v>2003</v>
      </c>
      <c r="Y4674" s="11">
        <v>115</v>
      </c>
      <c r="Z4674" s="11">
        <v>6.8</v>
      </c>
      <c r="AA4674" s="13"/>
      <c r="AB4674" s="11">
        <v>1000</v>
      </c>
      <c r="AC4674" s="11"/>
      <c r="AD4674" s="11" t="str">
        <f>IFERROR(__xludf.DUMMYFUNCTION("""COMPUTED_VALUE"""),"Timothy Van Patten")</f>
        <v>Timothy Van Patten</v>
      </c>
      <c r="AE4674" s="11"/>
    </row>
    <row r="4675" customHeight="1" spans="1:31">
      <c r="A4675" s="12" t="s">
        <v>30</v>
      </c>
      <c r="B4675" s="12" t="s">
        <v>22221</v>
      </c>
      <c r="C4675" s="12">
        <v>1</v>
      </c>
      <c r="D4675" s="12">
        <v>14</v>
      </c>
      <c r="E4675" s="12">
        <v>0</v>
      </c>
      <c r="F4675" s="12">
        <v>37</v>
      </c>
      <c r="G4675" s="12">
        <v>134</v>
      </c>
      <c r="H4675" s="16"/>
      <c r="I4675" s="12" t="s">
        <v>22222</v>
      </c>
      <c r="J4675" s="12" t="s">
        <v>22223</v>
      </c>
      <c r="K4675" s="12" t="s">
        <v>22224</v>
      </c>
      <c r="L4675" s="12" t="s">
        <v>22225</v>
      </c>
      <c r="M4675" s="12" t="s">
        <v>22226</v>
      </c>
      <c r="N4675" s="12">
        <v>292</v>
      </c>
      <c r="O4675" s="12">
        <v>315</v>
      </c>
      <c r="P4675" s="12">
        <v>1</v>
      </c>
      <c r="Q4675" s="12" t="s">
        <v>22227</v>
      </c>
      <c r="R4675" s="15" t="s">
        <v>22228</v>
      </c>
      <c r="S4675" s="12">
        <v>3</v>
      </c>
      <c r="T4675" s="12" t="s">
        <v>39</v>
      </c>
      <c r="U4675" s="12" t="s">
        <v>40</v>
      </c>
      <c r="V4675" s="16"/>
      <c r="W4675" s="16"/>
      <c r="X4675" s="12">
        <v>2012</v>
      </c>
      <c r="Y4675" s="12">
        <v>93</v>
      </c>
      <c r="Z4675" s="12">
        <v>6.2</v>
      </c>
      <c r="AA4675" s="16"/>
      <c r="AB4675" s="12">
        <v>14</v>
      </c>
      <c r="AC4675" s="12"/>
      <c r="AD4675" s="12" t="str">
        <f>IFERROR(__xludf.DUMMYFUNCTION("""COMPUTED_VALUE"""),"François Bégaudeau")</f>
        <v>François Bégaudeau</v>
      </c>
      <c r="AE4675" s="12"/>
    </row>
    <row r="4676" customHeight="1" spans="1:31">
      <c r="A4676" s="11" t="s">
        <v>30</v>
      </c>
      <c r="B4676" s="11" t="s">
        <v>1433</v>
      </c>
      <c r="C4676" s="11">
        <v>100</v>
      </c>
      <c r="D4676" s="11">
        <v>112</v>
      </c>
      <c r="E4676" s="11">
        <v>0</v>
      </c>
      <c r="F4676" s="11">
        <v>425</v>
      </c>
      <c r="G4676" s="11">
        <v>11000</v>
      </c>
      <c r="H4676" s="11">
        <v>115000000</v>
      </c>
      <c r="I4676" s="11" t="s">
        <v>5511</v>
      </c>
      <c r="J4676" s="11" t="s">
        <v>391</v>
      </c>
      <c r="K4676" s="11" t="s">
        <v>851</v>
      </c>
      <c r="L4676" s="11" t="s">
        <v>22229</v>
      </c>
      <c r="M4676" s="11" t="s">
        <v>22230</v>
      </c>
      <c r="N4676" s="11">
        <v>63839</v>
      </c>
      <c r="O4676" s="11">
        <v>14954</v>
      </c>
      <c r="P4676" s="11">
        <v>1</v>
      </c>
      <c r="Q4676" s="11" t="s">
        <v>22231</v>
      </c>
      <c r="R4676" s="14" t="s">
        <v>22232</v>
      </c>
      <c r="S4676" s="11">
        <v>238</v>
      </c>
      <c r="T4676" s="11" t="s">
        <v>39</v>
      </c>
      <c r="U4676" s="11" t="s">
        <v>40</v>
      </c>
      <c r="V4676" s="11" t="s">
        <v>96</v>
      </c>
      <c r="W4676" s="11">
        <v>777000</v>
      </c>
      <c r="X4676" s="11">
        <v>1973</v>
      </c>
      <c r="Y4676" s="11">
        <v>2000</v>
      </c>
      <c r="Z4676" s="11">
        <v>7.5</v>
      </c>
      <c r="AA4676" s="11">
        <v>2.35</v>
      </c>
      <c r="AB4676" s="11">
        <v>0</v>
      </c>
      <c r="AC4676" s="11"/>
      <c r="AD4676" s="11" t="str">
        <f>IFERROR(__xludf.DUMMYFUNCTION("""COMPUTED_VALUE"""),"Agame Malembo-Emene")</f>
        <v>Agame Malembo-Emene</v>
      </c>
      <c r="AE4676" s="11"/>
    </row>
    <row r="4677" customHeight="1" spans="1:31">
      <c r="A4677" s="12" t="s">
        <v>30</v>
      </c>
      <c r="B4677" s="12" t="s">
        <v>21051</v>
      </c>
      <c r="C4677" s="12">
        <v>21</v>
      </c>
      <c r="D4677" s="12">
        <v>75</v>
      </c>
      <c r="E4677" s="12">
        <v>21</v>
      </c>
      <c r="F4677" s="12">
        <v>0</v>
      </c>
      <c r="G4677" s="12">
        <v>25</v>
      </c>
      <c r="H4677" s="16"/>
      <c r="I4677" s="12" t="s">
        <v>20310</v>
      </c>
      <c r="J4677" s="12" t="s">
        <v>22233</v>
      </c>
      <c r="K4677" s="12" t="s">
        <v>22234</v>
      </c>
      <c r="L4677" s="12" t="s">
        <v>22235</v>
      </c>
      <c r="M4677" s="12" t="s">
        <v>22236</v>
      </c>
      <c r="N4677" s="12">
        <v>1477</v>
      </c>
      <c r="O4677" s="12">
        <v>25</v>
      </c>
      <c r="P4677" s="12">
        <v>0</v>
      </c>
      <c r="Q4677" s="12" t="s">
        <v>22237</v>
      </c>
      <c r="R4677" s="15" t="s">
        <v>22238</v>
      </c>
      <c r="S4677" s="12">
        <v>24</v>
      </c>
      <c r="T4677" s="12" t="s">
        <v>39</v>
      </c>
      <c r="U4677" s="12" t="s">
        <v>40</v>
      </c>
      <c r="V4677" s="16"/>
      <c r="W4677" s="12">
        <v>750000</v>
      </c>
      <c r="X4677" s="12">
        <v>2006</v>
      </c>
      <c r="Y4677" s="12">
        <v>0</v>
      </c>
      <c r="Z4677" s="12">
        <v>7.7</v>
      </c>
      <c r="AA4677" s="12">
        <v>1.78</v>
      </c>
      <c r="AB4677" s="12">
        <v>274</v>
      </c>
      <c r="AC4677" s="12"/>
      <c r="AD4677" s="12" t="str">
        <f>IFERROR(__xludf.DUMMYFUNCTION("""COMPUTED_VALUE"""),"Angélica Sancio")</f>
        <v>Angélica Sancio</v>
      </c>
      <c r="AE4677" s="12"/>
    </row>
    <row r="4678" customHeight="1" spans="1:31">
      <c r="A4678" s="11" t="s">
        <v>30</v>
      </c>
      <c r="B4678" s="11" t="s">
        <v>22239</v>
      </c>
      <c r="C4678" s="11">
        <v>82</v>
      </c>
      <c r="D4678" s="11">
        <v>86</v>
      </c>
      <c r="E4678" s="11">
        <v>8</v>
      </c>
      <c r="F4678" s="11">
        <v>357</v>
      </c>
      <c r="G4678" s="11">
        <v>2000</v>
      </c>
      <c r="H4678" s="11">
        <v>5518918</v>
      </c>
      <c r="I4678" s="11" t="s">
        <v>22240</v>
      </c>
      <c r="J4678" s="11" t="s">
        <v>4801</v>
      </c>
      <c r="K4678" s="11" t="s">
        <v>16107</v>
      </c>
      <c r="L4678" s="11" t="s">
        <v>12194</v>
      </c>
      <c r="M4678" s="11" t="s">
        <v>22241</v>
      </c>
      <c r="N4678" s="11">
        <v>12160</v>
      </c>
      <c r="O4678" s="11">
        <v>3071</v>
      </c>
      <c r="P4678" s="11">
        <v>0</v>
      </c>
      <c r="Q4678" s="11" t="s">
        <v>22242</v>
      </c>
      <c r="R4678" s="14" t="s">
        <v>22243</v>
      </c>
      <c r="S4678" s="11">
        <v>73</v>
      </c>
      <c r="T4678" s="11" t="s">
        <v>39</v>
      </c>
      <c r="U4678" s="11" t="s">
        <v>40</v>
      </c>
      <c r="V4678" s="11" t="s">
        <v>586</v>
      </c>
      <c r="W4678" s="11">
        <v>750000</v>
      </c>
      <c r="X4678" s="11">
        <v>2007</v>
      </c>
      <c r="Y4678" s="11">
        <v>424</v>
      </c>
      <c r="Z4678" s="11">
        <v>6.9</v>
      </c>
      <c r="AA4678" s="11">
        <v>1.85</v>
      </c>
      <c r="AB4678" s="11">
        <v>307</v>
      </c>
      <c r="AC4678" s="11"/>
      <c r="AD4678" s="11" t="str">
        <f>IFERROR(__xludf.DUMMYFUNCTION("""COMPUTED_VALUE"""),"Charles Grodin")</f>
        <v>Charles Grodin</v>
      </c>
      <c r="AE4678" s="11"/>
    </row>
    <row r="4679" customHeight="1" spans="1:31">
      <c r="A4679" s="12" t="s">
        <v>30</v>
      </c>
      <c r="B4679" s="12" t="s">
        <v>234</v>
      </c>
      <c r="C4679" s="12">
        <v>271</v>
      </c>
      <c r="D4679" s="12">
        <v>86</v>
      </c>
      <c r="E4679" s="12">
        <v>365</v>
      </c>
      <c r="F4679" s="12">
        <v>522</v>
      </c>
      <c r="G4679" s="12">
        <v>934</v>
      </c>
      <c r="H4679" s="12">
        <v>4007792</v>
      </c>
      <c r="I4679" s="12" t="s">
        <v>1415</v>
      </c>
      <c r="J4679" s="12" t="s">
        <v>5206</v>
      </c>
      <c r="K4679" s="12" t="s">
        <v>10692</v>
      </c>
      <c r="L4679" s="12" t="s">
        <v>418</v>
      </c>
      <c r="M4679" s="12" t="s">
        <v>22244</v>
      </c>
      <c r="N4679" s="12">
        <v>101287</v>
      </c>
      <c r="O4679" s="12">
        <v>2714</v>
      </c>
      <c r="P4679" s="12">
        <v>0</v>
      </c>
      <c r="Q4679" s="12" t="s">
        <v>22245</v>
      </c>
      <c r="R4679" s="15" t="s">
        <v>22246</v>
      </c>
      <c r="S4679" s="12">
        <v>260</v>
      </c>
      <c r="T4679" s="12" t="s">
        <v>39</v>
      </c>
      <c r="U4679" s="12" t="s">
        <v>40</v>
      </c>
      <c r="V4679" s="12" t="s">
        <v>586</v>
      </c>
      <c r="W4679" s="12">
        <v>750000</v>
      </c>
      <c r="X4679" s="12">
        <v>2012</v>
      </c>
      <c r="Y4679" s="12">
        <v>830</v>
      </c>
      <c r="Z4679" s="12">
        <v>7</v>
      </c>
      <c r="AA4679" s="12">
        <v>2.35</v>
      </c>
      <c r="AB4679" s="12">
        <v>31000</v>
      </c>
      <c r="AC4679" s="12"/>
      <c r="AD4679" s="12" t="str">
        <f>IFERROR(__xludf.DUMMYFUNCTION("""COMPUTED_VALUE"""),"Terry Walters")</f>
        <v>Terry Walters</v>
      </c>
      <c r="AE4679" s="12"/>
    </row>
    <row r="4680" customHeight="1" spans="1:31">
      <c r="A4680" s="11" t="s">
        <v>30</v>
      </c>
      <c r="B4680" s="11" t="s">
        <v>19826</v>
      </c>
      <c r="C4680" s="11">
        <v>5</v>
      </c>
      <c r="D4680" s="11">
        <v>89</v>
      </c>
      <c r="E4680" s="11">
        <v>15</v>
      </c>
      <c r="F4680" s="11">
        <v>95</v>
      </c>
      <c r="G4680" s="11">
        <v>312</v>
      </c>
      <c r="H4680" s="11">
        <v>7705974</v>
      </c>
      <c r="I4680" s="11" t="s">
        <v>17534</v>
      </c>
      <c r="J4680" s="11" t="s">
        <v>22247</v>
      </c>
      <c r="K4680" s="11" t="s">
        <v>2204</v>
      </c>
      <c r="L4680" s="11" t="s">
        <v>22248</v>
      </c>
      <c r="M4680" s="11" t="s">
        <v>22249</v>
      </c>
      <c r="N4680" s="11">
        <v>3543</v>
      </c>
      <c r="O4680" s="11">
        <v>548</v>
      </c>
      <c r="P4680" s="11">
        <v>1</v>
      </c>
      <c r="Q4680" s="11" t="s">
        <v>22250</v>
      </c>
      <c r="R4680" s="14" t="s">
        <v>22251</v>
      </c>
      <c r="S4680" s="11">
        <v>8</v>
      </c>
      <c r="T4680" s="11" t="s">
        <v>39</v>
      </c>
      <c r="U4680" s="11" t="s">
        <v>40</v>
      </c>
      <c r="V4680" s="11" t="s">
        <v>586</v>
      </c>
      <c r="W4680" s="13"/>
      <c r="X4680" s="11">
        <v>2011</v>
      </c>
      <c r="Y4680" s="11">
        <v>135</v>
      </c>
      <c r="Z4680" s="11">
        <v>7.5</v>
      </c>
      <c r="AA4680" s="11">
        <v>1.85</v>
      </c>
      <c r="AB4680" s="11">
        <v>614</v>
      </c>
      <c r="AC4680" s="11"/>
      <c r="AD4680" s="11" t="str">
        <f>IFERROR(__xludf.DUMMYFUNCTION("""COMPUTED_VALUE"""),"Wilson Guerrero")</f>
        <v>Wilson Guerrero</v>
      </c>
      <c r="AE4680" s="11"/>
    </row>
    <row r="4681" customHeight="1" spans="1:31">
      <c r="A4681" s="12" t="s">
        <v>30</v>
      </c>
      <c r="B4681" s="12" t="s">
        <v>22252</v>
      </c>
      <c r="C4681" s="12">
        <v>255</v>
      </c>
      <c r="D4681" s="12">
        <v>95</v>
      </c>
      <c r="E4681" s="12">
        <v>214</v>
      </c>
      <c r="F4681" s="12">
        <v>246</v>
      </c>
      <c r="G4681" s="12">
        <v>513</v>
      </c>
      <c r="H4681" s="12">
        <v>26297</v>
      </c>
      <c r="I4681" s="12" t="s">
        <v>6790</v>
      </c>
      <c r="J4681" s="12" t="s">
        <v>16521</v>
      </c>
      <c r="K4681" s="12" t="s">
        <v>10507</v>
      </c>
      <c r="L4681" s="12" t="s">
        <v>3520</v>
      </c>
      <c r="M4681" s="12" t="s">
        <v>22253</v>
      </c>
      <c r="N4681" s="12">
        <v>25750</v>
      </c>
      <c r="O4681" s="12">
        <v>1269</v>
      </c>
      <c r="P4681" s="12">
        <v>0</v>
      </c>
      <c r="Q4681" s="12" t="s">
        <v>22254</v>
      </c>
      <c r="R4681" s="15" t="s">
        <v>22255</v>
      </c>
      <c r="S4681" s="12">
        <v>209</v>
      </c>
      <c r="T4681" s="12" t="s">
        <v>39</v>
      </c>
      <c r="U4681" s="12" t="s">
        <v>58</v>
      </c>
      <c r="V4681" s="12" t="s">
        <v>4831</v>
      </c>
      <c r="W4681" s="12">
        <v>500000</v>
      </c>
      <c r="X4681" s="12">
        <v>2011</v>
      </c>
      <c r="Y4681" s="12">
        <v>257</v>
      </c>
      <c r="Z4681" s="12">
        <v>6.3</v>
      </c>
      <c r="AA4681" s="12">
        <v>2.35</v>
      </c>
      <c r="AB4681" s="12">
        <v>0</v>
      </c>
      <c r="AC4681" s="12"/>
      <c r="AD4681" s="12" t="str">
        <f>IFERROR(__xludf.DUMMYFUNCTION("""COMPUTED_VALUE"""),"Yenny Paola Vega")</f>
        <v>Yenny Paola Vega</v>
      </c>
      <c r="AE4681" s="12"/>
    </row>
    <row r="4682" customHeight="1" spans="1:31">
      <c r="A4682" s="11" t="s">
        <v>30</v>
      </c>
      <c r="B4682" s="11" t="s">
        <v>21808</v>
      </c>
      <c r="C4682" s="11">
        <v>292</v>
      </c>
      <c r="D4682" s="11">
        <v>101</v>
      </c>
      <c r="E4682" s="11">
        <v>243</v>
      </c>
      <c r="F4682" s="11">
        <v>74</v>
      </c>
      <c r="G4682" s="11">
        <v>969</v>
      </c>
      <c r="H4682" s="11">
        <v>77501</v>
      </c>
      <c r="I4682" s="11" t="s">
        <v>6403</v>
      </c>
      <c r="J4682" s="11" t="s">
        <v>21809</v>
      </c>
      <c r="K4682" s="11" t="s">
        <v>22256</v>
      </c>
      <c r="L4682" s="11" t="s">
        <v>22257</v>
      </c>
      <c r="M4682" s="11" t="s">
        <v>22258</v>
      </c>
      <c r="N4682" s="11">
        <v>27260</v>
      </c>
      <c r="O4682" s="11">
        <v>1252</v>
      </c>
      <c r="P4682" s="11">
        <v>0</v>
      </c>
      <c r="Q4682" s="11" t="s">
        <v>22259</v>
      </c>
      <c r="R4682" s="14" t="s">
        <v>22260</v>
      </c>
      <c r="S4682" s="11">
        <v>247</v>
      </c>
      <c r="T4682" s="11" t="s">
        <v>39</v>
      </c>
      <c r="U4682" s="11" t="s">
        <v>40</v>
      </c>
      <c r="V4682" s="11" t="s">
        <v>586</v>
      </c>
      <c r="W4682" s="11">
        <v>750000</v>
      </c>
      <c r="X4682" s="11">
        <v>2011</v>
      </c>
      <c r="Y4682" s="11">
        <v>128</v>
      </c>
      <c r="Z4682" s="11">
        <v>5.5</v>
      </c>
      <c r="AA4682" s="11">
        <v>2.35</v>
      </c>
      <c r="AB4682" s="11">
        <v>0</v>
      </c>
      <c r="AC4682" s="11"/>
      <c r="AD4682" s="11" t="str">
        <f>IFERROR(__xludf.DUMMYFUNCTION("""COMPUTED_VALUE"""),"Mary Page Keller")</f>
        <v>Mary Page Keller</v>
      </c>
      <c r="AE4682" s="11"/>
    </row>
    <row r="4683" customHeight="1" spans="1:31">
      <c r="A4683" s="12" t="s">
        <v>30</v>
      </c>
      <c r="B4683" s="12" t="s">
        <v>3750</v>
      </c>
      <c r="C4683" s="12">
        <v>178</v>
      </c>
      <c r="D4683" s="12">
        <v>89</v>
      </c>
      <c r="E4683" s="12">
        <v>687</v>
      </c>
      <c r="F4683" s="12">
        <v>389</v>
      </c>
      <c r="G4683" s="12">
        <v>10000</v>
      </c>
      <c r="H4683" s="12">
        <v>42638165</v>
      </c>
      <c r="I4683" s="12" t="s">
        <v>2094</v>
      </c>
      <c r="J4683" s="12" t="s">
        <v>440</v>
      </c>
      <c r="K4683" s="12" t="s">
        <v>6931</v>
      </c>
      <c r="L4683" s="12" t="s">
        <v>12405</v>
      </c>
      <c r="M4683" s="12" t="s">
        <v>12406</v>
      </c>
      <c r="N4683" s="12">
        <v>42183</v>
      </c>
      <c r="O4683" s="12">
        <v>12183</v>
      </c>
      <c r="P4683" s="12">
        <v>1</v>
      </c>
      <c r="Q4683" s="12" t="s">
        <v>12407</v>
      </c>
      <c r="R4683" s="15" t="s">
        <v>12408</v>
      </c>
      <c r="S4683" s="12">
        <v>230</v>
      </c>
      <c r="T4683" s="12" t="s">
        <v>39</v>
      </c>
      <c r="U4683" s="12" t="s">
        <v>40</v>
      </c>
      <c r="V4683" s="12" t="s">
        <v>41</v>
      </c>
      <c r="W4683" s="12">
        <v>16000000</v>
      </c>
      <c r="X4683" s="12">
        <v>2009</v>
      </c>
      <c r="Y4683" s="12">
        <v>787</v>
      </c>
      <c r="Z4683" s="12">
        <v>4.8</v>
      </c>
      <c r="AA4683" s="12">
        <v>2.35</v>
      </c>
      <c r="AB4683" s="12">
        <v>0</v>
      </c>
      <c r="AC4683" s="12"/>
      <c r="AD4683" s="12" t="str">
        <f>IFERROR(__xludf.DUMMYFUNCTION("""COMPUTED_VALUE"""),"Honor Blackman")</f>
        <v>Honor Blackman</v>
      </c>
      <c r="AE4683" s="12"/>
    </row>
    <row r="4684" customHeight="1" spans="1:31">
      <c r="A4684" s="11" t="s">
        <v>30</v>
      </c>
      <c r="B4684" s="11" t="s">
        <v>9552</v>
      </c>
      <c r="C4684" s="11">
        <v>120</v>
      </c>
      <c r="D4684" s="11">
        <v>106</v>
      </c>
      <c r="E4684" s="11">
        <v>973</v>
      </c>
      <c r="F4684" s="11">
        <v>48</v>
      </c>
      <c r="G4684" s="11">
        <v>319</v>
      </c>
      <c r="H4684" s="13"/>
      <c r="I4684" s="11" t="s">
        <v>3410</v>
      </c>
      <c r="J4684" s="11" t="s">
        <v>15525</v>
      </c>
      <c r="K4684" s="11" t="s">
        <v>22261</v>
      </c>
      <c r="L4684" s="11" t="s">
        <v>22262</v>
      </c>
      <c r="M4684" s="11" t="s">
        <v>22263</v>
      </c>
      <c r="N4684" s="11">
        <v>17813</v>
      </c>
      <c r="O4684" s="11">
        <v>500</v>
      </c>
      <c r="P4684" s="11">
        <v>1</v>
      </c>
      <c r="Q4684" s="11" t="s">
        <v>22264</v>
      </c>
      <c r="R4684" s="14" t="s">
        <v>22265</v>
      </c>
      <c r="S4684" s="11">
        <v>101</v>
      </c>
      <c r="T4684" s="11" t="s">
        <v>9796</v>
      </c>
      <c r="U4684" s="11" t="s">
        <v>7091</v>
      </c>
      <c r="V4684" s="11" t="s">
        <v>586</v>
      </c>
      <c r="W4684" s="11">
        <v>750000</v>
      </c>
      <c r="X4684" s="11">
        <v>1970</v>
      </c>
      <c r="Y4684" s="11">
        <v>90</v>
      </c>
      <c r="Z4684" s="11">
        <v>8.1</v>
      </c>
      <c r="AA4684" s="11">
        <v>1.66</v>
      </c>
      <c r="AB4684" s="11">
        <v>0</v>
      </c>
      <c r="AC4684" s="11"/>
      <c r="AD4684" s="11" t="str">
        <f>IFERROR(__xludf.DUMMYFUNCTION("""COMPUTED_VALUE"""),"Gert Fröbe")</f>
        <v>Gert Fröbe</v>
      </c>
      <c r="AE4684" s="11"/>
    </row>
    <row r="4685" customHeight="1" spans="1:31">
      <c r="A4685" s="12" t="s">
        <v>30</v>
      </c>
      <c r="B4685" s="12" t="s">
        <v>2393</v>
      </c>
      <c r="C4685" s="12">
        <v>31</v>
      </c>
      <c r="D4685" s="12">
        <v>88</v>
      </c>
      <c r="E4685" s="12">
        <v>168</v>
      </c>
      <c r="F4685" s="12">
        <v>21</v>
      </c>
      <c r="G4685" s="12">
        <v>108</v>
      </c>
      <c r="H4685" s="12">
        <v>47329</v>
      </c>
      <c r="I4685" s="12" t="s">
        <v>3410</v>
      </c>
      <c r="J4685" s="12" t="s">
        <v>22266</v>
      </c>
      <c r="K4685" s="12" t="s">
        <v>22267</v>
      </c>
      <c r="L4685" s="12" t="s">
        <v>22268</v>
      </c>
      <c r="M4685" s="12" t="s">
        <v>22269</v>
      </c>
      <c r="N4685" s="12">
        <v>1661</v>
      </c>
      <c r="O4685" s="12">
        <v>243</v>
      </c>
      <c r="P4685" s="12">
        <v>0</v>
      </c>
      <c r="Q4685" s="12" t="s">
        <v>22270</v>
      </c>
      <c r="R4685" s="15" t="s">
        <v>22271</v>
      </c>
      <c r="S4685" s="12">
        <v>31</v>
      </c>
      <c r="T4685" s="12" t="s">
        <v>39</v>
      </c>
      <c r="U4685" s="12" t="s">
        <v>40</v>
      </c>
      <c r="V4685" s="12" t="s">
        <v>586</v>
      </c>
      <c r="W4685" s="12">
        <v>750000</v>
      </c>
      <c r="X4685" s="12">
        <v>2002</v>
      </c>
      <c r="Y4685" s="12">
        <v>72</v>
      </c>
      <c r="Z4685" s="12">
        <v>6.6</v>
      </c>
      <c r="AA4685" s="12">
        <v>1.78</v>
      </c>
      <c r="AB4685" s="12">
        <v>163</v>
      </c>
      <c r="AC4685" s="12"/>
      <c r="AD4685" s="12" t="str">
        <f>IFERROR(__xludf.DUMMYFUNCTION("""COMPUTED_VALUE"""),"Caleb Landry Jones")</f>
        <v>Caleb Landry Jones</v>
      </c>
      <c r="AE4685" s="12"/>
    </row>
    <row r="4686" customHeight="1" spans="1:31">
      <c r="A4686" s="11" t="s">
        <v>30</v>
      </c>
      <c r="B4686" s="11" t="s">
        <v>22272</v>
      </c>
      <c r="C4686" s="11">
        <v>114</v>
      </c>
      <c r="D4686" s="11">
        <v>99</v>
      </c>
      <c r="E4686" s="11">
        <v>4</v>
      </c>
      <c r="F4686" s="11">
        <v>201</v>
      </c>
      <c r="G4686" s="11">
        <v>1000</v>
      </c>
      <c r="H4686" s="11">
        <v>18378</v>
      </c>
      <c r="I4686" s="11" t="s">
        <v>6648</v>
      </c>
      <c r="J4686" s="11" t="s">
        <v>13946</v>
      </c>
      <c r="K4686" s="11" t="s">
        <v>22273</v>
      </c>
      <c r="L4686" s="11" t="s">
        <v>10298</v>
      </c>
      <c r="M4686" s="11" t="s">
        <v>22274</v>
      </c>
      <c r="N4686" s="11">
        <v>9376</v>
      </c>
      <c r="O4686" s="11">
        <v>1558</v>
      </c>
      <c r="P4686" s="11">
        <v>0</v>
      </c>
      <c r="Q4686" s="11" t="s">
        <v>22275</v>
      </c>
      <c r="R4686" s="14" t="s">
        <v>22276</v>
      </c>
      <c r="S4686" s="11">
        <v>74</v>
      </c>
      <c r="T4686" s="11" t="s">
        <v>39</v>
      </c>
      <c r="U4686" s="11" t="s">
        <v>58</v>
      </c>
      <c r="V4686" s="11" t="s">
        <v>586</v>
      </c>
      <c r="W4686" s="11">
        <v>900000</v>
      </c>
      <c r="X4686" s="11">
        <v>2008</v>
      </c>
      <c r="Y4686" s="11">
        <v>233</v>
      </c>
      <c r="Z4686" s="11">
        <v>5.2</v>
      </c>
      <c r="AA4686" s="11">
        <v>1.85</v>
      </c>
      <c r="AB4686" s="11">
        <v>0</v>
      </c>
      <c r="AC4686" s="11"/>
      <c r="AD4686" s="11" t="str">
        <f>IFERROR(__xludf.DUMMYFUNCTION("""COMPUTED_VALUE"""),"Donna Reed")</f>
        <v>Donna Reed</v>
      </c>
      <c r="AE4686" s="11"/>
    </row>
    <row r="4687" customHeight="1" spans="1:31">
      <c r="A4687" s="12" t="s">
        <v>30</v>
      </c>
      <c r="B4687" s="12" t="s">
        <v>8198</v>
      </c>
      <c r="C4687" s="12">
        <v>233</v>
      </c>
      <c r="D4687" s="12">
        <v>90</v>
      </c>
      <c r="E4687" s="12">
        <v>129</v>
      </c>
      <c r="F4687" s="12">
        <v>280</v>
      </c>
      <c r="G4687" s="12">
        <v>935</v>
      </c>
      <c r="H4687" s="16"/>
      <c r="I4687" s="12" t="s">
        <v>6403</v>
      </c>
      <c r="J4687" s="12" t="s">
        <v>5699</v>
      </c>
      <c r="K4687" s="12" t="s">
        <v>20823</v>
      </c>
      <c r="L4687" s="12" t="s">
        <v>22277</v>
      </c>
      <c r="M4687" s="12" t="s">
        <v>22278</v>
      </c>
      <c r="N4687" s="12">
        <v>25951</v>
      </c>
      <c r="O4687" s="12">
        <v>2170</v>
      </c>
      <c r="P4687" s="12">
        <v>1</v>
      </c>
      <c r="Q4687" s="12" t="s">
        <v>22279</v>
      </c>
      <c r="R4687" s="15" t="s">
        <v>22280</v>
      </c>
      <c r="S4687" s="12">
        <v>129</v>
      </c>
      <c r="T4687" s="12" t="s">
        <v>39</v>
      </c>
      <c r="U4687" s="12" t="s">
        <v>40</v>
      </c>
      <c r="V4687" s="12" t="s">
        <v>586</v>
      </c>
      <c r="W4687" s="12">
        <v>750000</v>
      </c>
      <c r="X4687" s="12">
        <v>2006</v>
      </c>
      <c r="Y4687" s="12">
        <v>611</v>
      </c>
      <c r="Z4687" s="12">
        <v>5.6</v>
      </c>
      <c r="AA4687" s="12">
        <v>2.35</v>
      </c>
      <c r="AB4687" s="12">
        <v>2000</v>
      </c>
      <c r="AC4687" s="12"/>
      <c r="AD4687" s="12" t="str">
        <f>IFERROR(__xludf.DUMMYFUNCTION("""COMPUTED_VALUE"""),"Lionel Barrymore")</f>
        <v>Lionel Barrymore</v>
      </c>
      <c r="AE4687" s="12"/>
    </row>
    <row r="4688" customHeight="1" spans="1:31">
      <c r="A4688" s="11" t="s">
        <v>30</v>
      </c>
      <c r="B4688" s="11" t="s">
        <v>22281</v>
      </c>
      <c r="C4688" s="11">
        <v>8</v>
      </c>
      <c r="D4688" s="11">
        <v>95</v>
      </c>
      <c r="E4688" s="11">
        <v>3</v>
      </c>
      <c r="F4688" s="11">
        <v>118</v>
      </c>
      <c r="G4688" s="11">
        <v>717</v>
      </c>
      <c r="H4688" s="13"/>
      <c r="I4688" s="11" t="s">
        <v>6403</v>
      </c>
      <c r="J4688" s="11" t="s">
        <v>14181</v>
      </c>
      <c r="K4688" s="11" t="s">
        <v>22282</v>
      </c>
      <c r="L4688" s="11" t="s">
        <v>22283</v>
      </c>
      <c r="M4688" s="11" t="s">
        <v>22284</v>
      </c>
      <c r="N4688" s="11">
        <v>851</v>
      </c>
      <c r="O4688" s="11">
        <v>1117</v>
      </c>
      <c r="P4688" s="11">
        <v>0</v>
      </c>
      <c r="Q4688" s="11" t="s">
        <v>22285</v>
      </c>
      <c r="R4688" s="14" t="s">
        <v>22286</v>
      </c>
      <c r="S4688" s="11">
        <v>30</v>
      </c>
      <c r="T4688" s="11" t="s">
        <v>39</v>
      </c>
      <c r="U4688" s="11" t="s">
        <v>40</v>
      </c>
      <c r="V4688" s="11" t="s">
        <v>586</v>
      </c>
      <c r="W4688" s="11">
        <v>750000</v>
      </c>
      <c r="X4688" s="11">
        <v>2009</v>
      </c>
      <c r="Y4688" s="11">
        <v>134</v>
      </c>
      <c r="Z4688" s="11">
        <v>3.1</v>
      </c>
      <c r="AA4688" s="11">
        <v>1.85</v>
      </c>
      <c r="AB4688" s="11">
        <v>128</v>
      </c>
      <c r="AC4688" s="11"/>
      <c r="AD4688" s="11" t="str">
        <f>IFERROR(__xludf.DUMMYFUNCTION("""COMPUTED_VALUE"""),"Micah Sloat")</f>
        <v>Micah Sloat</v>
      </c>
      <c r="AE4688" s="11"/>
    </row>
    <row r="4689" customHeight="1" spans="1:31">
      <c r="A4689" s="12" t="s">
        <v>748</v>
      </c>
      <c r="B4689" s="12" t="s">
        <v>17251</v>
      </c>
      <c r="C4689" s="12">
        <v>153</v>
      </c>
      <c r="D4689" s="12">
        <v>85</v>
      </c>
      <c r="E4689" s="12">
        <v>160</v>
      </c>
      <c r="F4689" s="12">
        <v>433</v>
      </c>
      <c r="G4689" s="12">
        <v>998</v>
      </c>
      <c r="H4689" s="16"/>
      <c r="I4689" s="12" t="s">
        <v>22287</v>
      </c>
      <c r="J4689" s="12" t="s">
        <v>17790</v>
      </c>
      <c r="K4689" s="12" t="s">
        <v>18869</v>
      </c>
      <c r="L4689" s="12" t="s">
        <v>22288</v>
      </c>
      <c r="M4689" s="12" t="s">
        <v>22289</v>
      </c>
      <c r="N4689" s="12">
        <v>80193</v>
      </c>
      <c r="O4689" s="12">
        <v>2496</v>
      </c>
      <c r="P4689" s="12">
        <v>0</v>
      </c>
      <c r="Q4689" s="12" t="s">
        <v>22290</v>
      </c>
      <c r="R4689" s="15" t="s">
        <v>22291</v>
      </c>
      <c r="S4689" s="12">
        <v>333</v>
      </c>
      <c r="T4689" s="12" t="s">
        <v>39</v>
      </c>
      <c r="U4689" s="12" t="s">
        <v>40</v>
      </c>
      <c r="V4689" s="12" t="s">
        <v>96</v>
      </c>
      <c r="W4689" s="12">
        <v>750000</v>
      </c>
      <c r="X4689" s="12">
        <v>1952</v>
      </c>
      <c r="Y4689" s="12">
        <v>575</v>
      </c>
      <c r="Z4689" s="12">
        <v>8.1</v>
      </c>
      <c r="AA4689" s="12">
        <v>1.37</v>
      </c>
      <c r="AB4689" s="12">
        <v>3000</v>
      </c>
      <c r="AC4689" s="12"/>
      <c r="AD4689" s="12" t="str">
        <f>IFERROR(__xludf.DUMMYFUNCTION("""COMPUTED_VALUE"""),"Daoming Chen")</f>
        <v>Daoming Chen</v>
      </c>
      <c r="AE4689" s="12"/>
    </row>
    <row r="4690" customHeight="1" spans="1:31">
      <c r="A4690" s="11" t="s">
        <v>30</v>
      </c>
      <c r="B4690" s="11" t="s">
        <v>16174</v>
      </c>
      <c r="C4690" s="11">
        <v>53</v>
      </c>
      <c r="D4690" s="11">
        <v>170</v>
      </c>
      <c r="E4690" s="11">
        <v>23</v>
      </c>
      <c r="F4690" s="11">
        <v>2</v>
      </c>
      <c r="G4690" s="11">
        <v>7</v>
      </c>
      <c r="H4690" s="11">
        <v>7830611</v>
      </c>
      <c r="I4690" s="11" t="s">
        <v>22292</v>
      </c>
      <c r="J4690" s="11" t="s">
        <v>22293</v>
      </c>
      <c r="K4690" s="11" t="s">
        <v>22294</v>
      </c>
      <c r="L4690" s="11" t="s">
        <v>22295</v>
      </c>
      <c r="M4690" s="11" t="s">
        <v>22296</v>
      </c>
      <c r="N4690" s="11">
        <v>18980</v>
      </c>
      <c r="O4690" s="11">
        <v>15</v>
      </c>
      <c r="P4690" s="11">
        <v>0</v>
      </c>
      <c r="Q4690" s="11" t="s">
        <v>22297</v>
      </c>
      <c r="R4690" s="14" t="s">
        <v>22298</v>
      </c>
      <c r="S4690" s="11">
        <v>74</v>
      </c>
      <c r="T4690" s="11" t="s">
        <v>39</v>
      </c>
      <c r="U4690" s="11" t="s">
        <v>40</v>
      </c>
      <c r="V4690" s="11" t="s">
        <v>41</v>
      </c>
      <c r="W4690" s="11">
        <v>700000</v>
      </c>
      <c r="X4690" s="11">
        <v>1994</v>
      </c>
      <c r="Y4690" s="11">
        <v>6</v>
      </c>
      <c r="Z4690" s="11">
        <v>8.3</v>
      </c>
      <c r="AA4690" s="11">
        <v>1.33</v>
      </c>
      <c r="AB4690" s="11">
        <v>0</v>
      </c>
      <c r="AC4690" s="11"/>
      <c r="AD4690" s="11" t="str">
        <f>IFERROR(__xludf.DUMMYFUNCTION("""COMPUTED_VALUE"""),"Robert Rusler")</f>
        <v>Robert Rusler</v>
      </c>
      <c r="AE4690" s="11"/>
    </row>
    <row r="4691" customHeight="1" spans="1:31">
      <c r="A4691" s="12" t="s">
        <v>30</v>
      </c>
      <c r="B4691" s="12" t="s">
        <v>22299</v>
      </c>
      <c r="C4691" s="12">
        <v>49</v>
      </c>
      <c r="D4691" s="12">
        <v>86</v>
      </c>
      <c r="E4691" s="12">
        <v>30</v>
      </c>
      <c r="F4691" s="12">
        <v>14</v>
      </c>
      <c r="G4691" s="12">
        <v>262</v>
      </c>
      <c r="H4691" s="12">
        <v>3278611</v>
      </c>
      <c r="I4691" s="12" t="s">
        <v>4068</v>
      </c>
      <c r="J4691" s="12" t="s">
        <v>22300</v>
      </c>
      <c r="K4691" s="12" t="s">
        <v>22301</v>
      </c>
      <c r="L4691" s="12" t="s">
        <v>22302</v>
      </c>
      <c r="M4691" s="12" t="s">
        <v>22303</v>
      </c>
      <c r="N4691" s="12">
        <v>2877</v>
      </c>
      <c r="O4691" s="12">
        <v>321</v>
      </c>
      <c r="P4691" s="12">
        <v>0</v>
      </c>
      <c r="Q4691" s="12" t="s">
        <v>22304</v>
      </c>
      <c r="R4691" s="15" t="s">
        <v>22305</v>
      </c>
      <c r="S4691" s="12">
        <v>46</v>
      </c>
      <c r="T4691" s="12" t="s">
        <v>39</v>
      </c>
      <c r="U4691" s="12" t="s">
        <v>40</v>
      </c>
      <c r="V4691" s="12" t="s">
        <v>41</v>
      </c>
      <c r="W4691" s="16"/>
      <c r="X4691" s="12">
        <v>2005</v>
      </c>
      <c r="Y4691" s="12">
        <v>23</v>
      </c>
      <c r="Z4691" s="12">
        <v>7.1</v>
      </c>
      <c r="AA4691" s="12">
        <v>1.33</v>
      </c>
      <c r="AB4691" s="12">
        <v>903</v>
      </c>
      <c r="AC4691" s="12"/>
      <c r="AD4691" s="12" t="str">
        <f>IFERROR(__xludf.DUMMYFUNCTION("""COMPUTED_VALUE"""),"Adelaide Kane")</f>
        <v>Adelaide Kane</v>
      </c>
      <c r="AE4691" s="12"/>
    </row>
    <row r="4692" customHeight="1" spans="1:31">
      <c r="A4692" s="11" t="s">
        <v>30</v>
      </c>
      <c r="B4692" s="11" t="s">
        <v>300</v>
      </c>
      <c r="C4692" s="11">
        <v>4</v>
      </c>
      <c r="D4692" s="13"/>
      <c r="E4692" s="11">
        <v>364</v>
      </c>
      <c r="F4692" s="11">
        <v>567</v>
      </c>
      <c r="G4692" s="11">
        <v>22000</v>
      </c>
      <c r="H4692" s="13"/>
      <c r="I4692" s="11" t="s">
        <v>32</v>
      </c>
      <c r="J4692" s="11" t="s">
        <v>149</v>
      </c>
      <c r="K4692" s="11" t="s">
        <v>114</v>
      </c>
      <c r="L4692" s="11" t="s">
        <v>1713</v>
      </c>
      <c r="M4692" s="11" t="s">
        <v>22306</v>
      </c>
      <c r="N4692" s="11">
        <v>3089</v>
      </c>
      <c r="O4692" s="11">
        <v>26578</v>
      </c>
      <c r="P4692" s="11">
        <v>0</v>
      </c>
      <c r="Q4692" s="11" t="s">
        <v>22307</v>
      </c>
      <c r="R4692" s="14" t="s">
        <v>22308</v>
      </c>
      <c r="S4692" s="11">
        <v>11</v>
      </c>
      <c r="T4692" s="11" t="s">
        <v>39</v>
      </c>
      <c r="U4692" s="11" t="s">
        <v>40</v>
      </c>
      <c r="V4692" s="13"/>
      <c r="W4692" s="13"/>
      <c r="X4692" s="11">
        <v>2014</v>
      </c>
      <c r="Y4692" s="11">
        <v>4000</v>
      </c>
      <c r="Z4692" s="11">
        <v>8.1</v>
      </c>
      <c r="AA4692" s="13"/>
      <c r="AB4692" s="11">
        <v>1000</v>
      </c>
      <c r="AC4692" s="11"/>
      <c r="AD4692" s="11" t="str">
        <f>IFERROR(__xludf.DUMMYFUNCTION("""COMPUTED_VALUE"""),"Danielle Kotch")</f>
        <v>Danielle Kotch</v>
      </c>
      <c r="AE4692" s="11"/>
    </row>
    <row r="4693" customHeight="1" spans="1:31">
      <c r="A4693" s="12" t="s">
        <v>30</v>
      </c>
      <c r="B4693" s="12" t="s">
        <v>17910</v>
      </c>
      <c r="C4693" s="12">
        <v>64</v>
      </c>
      <c r="D4693" s="12">
        <v>97</v>
      </c>
      <c r="E4693" s="12">
        <v>52</v>
      </c>
      <c r="F4693" s="12">
        <v>36</v>
      </c>
      <c r="G4693" s="12">
        <v>80</v>
      </c>
      <c r="H4693" s="12">
        <v>1141829</v>
      </c>
      <c r="I4693" s="12" t="s">
        <v>1936</v>
      </c>
      <c r="J4693" s="12" t="s">
        <v>2884</v>
      </c>
      <c r="K4693" s="12" t="s">
        <v>5777</v>
      </c>
      <c r="L4693" s="12" t="s">
        <v>22309</v>
      </c>
      <c r="M4693" s="12" t="s">
        <v>22310</v>
      </c>
      <c r="N4693" s="12">
        <v>8509</v>
      </c>
      <c r="O4693" s="12">
        <v>209</v>
      </c>
      <c r="P4693" s="12">
        <v>1</v>
      </c>
      <c r="Q4693" s="12" t="s">
        <v>22311</v>
      </c>
      <c r="R4693" s="15" t="s">
        <v>22312</v>
      </c>
      <c r="S4693" s="12">
        <v>109</v>
      </c>
      <c r="T4693" s="12" t="s">
        <v>39</v>
      </c>
      <c r="U4693" s="12" t="s">
        <v>40</v>
      </c>
      <c r="V4693" s="12" t="s">
        <v>6724</v>
      </c>
      <c r="W4693" s="12">
        <v>700000</v>
      </c>
      <c r="X4693" s="12">
        <v>2001</v>
      </c>
      <c r="Y4693" s="12">
        <v>67</v>
      </c>
      <c r="Z4693" s="12">
        <v>7.2</v>
      </c>
      <c r="AA4693" s="12">
        <v>1.85</v>
      </c>
      <c r="AB4693" s="12">
        <v>420</v>
      </c>
      <c r="AC4693" s="12"/>
      <c r="AD4693" s="12" t="str">
        <f>IFERROR(__xludf.DUMMYFUNCTION("""COMPUTED_VALUE"""),"Victoria Leigh")</f>
        <v>Victoria Leigh</v>
      </c>
      <c r="AE4693" s="12"/>
    </row>
    <row r="4694" customHeight="1" spans="1:31">
      <c r="A4694" s="11" t="s">
        <v>30</v>
      </c>
      <c r="B4694" s="11" t="s">
        <v>22313</v>
      </c>
      <c r="C4694" s="11">
        <v>23</v>
      </c>
      <c r="D4694" s="11">
        <v>104</v>
      </c>
      <c r="E4694" s="11">
        <v>0</v>
      </c>
      <c r="F4694" s="11">
        <v>195</v>
      </c>
      <c r="G4694" s="11">
        <v>601</v>
      </c>
      <c r="H4694" s="13"/>
      <c r="I4694" s="11" t="s">
        <v>1924</v>
      </c>
      <c r="J4694" s="11" t="s">
        <v>22314</v>
      </c>
      <c r="K4694" s="11" t="s">
        <v>22315</v>
      </c>
      <c r="L4694" s="11" t="s">
        <v>22316</v>
      </c>
      <c r="M4694" s="11" t="s">
        <v>22317</v>
      </c>
      <c r="N4694" s="11">
        <v>1354</v>
      </c>
      <c r="O4694" s="11">
        <v>1581</v>
      </c>
      <c r="P4694" s="13"/>
      <c r="Q4694" s="11" t="s">
        <v>22318</v>
      </c>
      <c r="R4694" s="14" t="s">
        <v>22319</v>
      </c>
      <c r="S4694" s="11">
        <v>17</v>
      </c>
      <c r="T4694" s="11" t="s">
        <v>39</v>
      </c>
      <c r="U4694" s="11" t="s">
        <v>40</v>
      </c>
      <c r="V4694" s="11" t="s">
        <v>41</v>
      </c>
      <c r="W4694" s="11">
        <v>1000000</v>
      </c>
      <c r="X4694" s="11">
        <v>2014</v>
      </c>
      <c r="Y4694" s="11">
        <v>524</v>
      </c>
      <c r="Z4694" s="11">
        <v>6.3</v>
      </c>
      <c r="AA4694" s="11">
        <v>2.35</v>
      </c>
      <c r="AB4694" s="11">
        <v>523</v>
      </c>
      <c r="AC4694" s="11"/>
      <c r="AD4694" s="11" t="str">
        <f>IFERROR(__xludf.DUMMYFUNCTION("""COMPUTED_VALUE"""),"Mikki Padilla")</f>
        <v>Mikki Padilla</v>
      </c>
      <c r="AE4694" s="11"/>
    </row>
    <row r="4695" customHeight="1" spans="1:31">
      <c r="A4695" s="12" t="s">
        <v>30</v>
      </c>
      <c r="B4695" s="12" t="s">
        <v>22320</v>
      </c>
      <c r="C4695" s="12">
        <v>8</v>
      </c>
      <c r="D4695" s="12">
        <v>88</v>
      </c>
      <c r="E4695" s="12">
        <v>0</v>
      </c>
      <c r="F4695" s="12">
        <v>311</v>
      </c>
      <c r="G4695" s="12">
        <v>618</v>
      </c>
      <c r="H4695" s="16"/>
      <c r="I4695" s="12" t="s">
        <v>7837</v>
      </c>
      <c r="J4695" s="12" t="s">
        <v>7264</v>
      </c>
      <c r="K4695" s="12" t="s">
        <v>17358</v>
      </c>
      <c r="L4695" s="12" t="s">
        <v>3945</v>
      </c>
      <c r="M4695" s="12" t="s">
        <v>22321</v>
      </c>
      <c r="N4695" s="12">
        <v>551</v>
      </c>
      <c r="O4695" s="12">
        <v>2476</v>
      </c>
      <c r="P4695" s="12">
        <v>0</v>
      </c>
      <c r="Q4695" s="12" t="s">
        <v>22322</v>
      </c>
      <c r="R4695" s="15" t="s">
        <v>22323</v>
      </c>
      <c r="S4695" s="12">
        <v>10</v>
      </c>
      <c r="T4695" s="12" t="s">
        <v>39</v>
      </c>
      <c r="U4695" s="12" t="s">
        <v>40</v>
      </c>
      <c r="V4695" s="12" t="s">
        <v>41</v>
      </c>
      <c r="W4695" s="16"/>
      <c r="X4695" s="12">
        <v>2009</v>
      </c>
      <c r="Y4695" s="12">
        <v>592</v>
      </c>
      <c r="Z4695" s="12">
        <v>4</v>
      </c>
      <c r="AA4695" s="16"/>
      <c r="AB4695" s="12">
        <v>303</v>
      </c>
      <c r="AC4695" s="12"/>
      <c r="AD4695" s="12" t="str">
        <f>IFERROR(__xludf.DUMMYFUNCTION("""COMPUTED_VALUE"""),"Dayna Devon")</f>
        <v>Dayna Devon</v>
      </c>
      <c r="AE4695" s="12"/>
    </row>
    <row r="4696" customHeight="1" spans="1:31">
      <c r="A4696" s="11" t="s">
        <v>30</v>
      </c>
      <c r="B4696" s="11" t="s">
        <v>172</v>
      </c>
      <c r="C4696" s="11">
        <v>446</v>
      </c>
      <c r="D4696" s="11">
        <v>201</v>
      </c>
      <c r="E4696" s="11">
        <v>0</v>
      </c>
      <c r="F4696" s="11">
        <v>84</v>
      </c>
      <c r="G4696" s="11">
        <v>6000</v>
      </c>
      <c r="H4696" s="11">
        <v>218051260</v>
      </c>
      <c r="I4696" s="11" t="s">
        <v>207</v>
      </c>
      <c r="J4696" s="11" t="s">
        <v>208</v>
      </c>
      <c r="K4696" s="11" t="s">
        <v>209</v>
      </c>
      <c r="L4696" s="11" t="s">
        <v>210</v>
      </c>
      <c r="M4696" s="11" t="s">
        <v>211</v>
      </c>
      <c r="N4696" s="11">
        <v>316027</v>
      </c>
      <c r="O4696" s="11">
        <v>7122</v>
      </c>
      <c r="P4696" s="11">
        <v>0</v>
      </c>
      <c r="Q4696" s="11" t="s">
        <v>212</v>
      </c>
      <c r="R4696" s="14" t="s">
        <v>213</v>
      </c>
      <c r="S4696" s="11">
        <v>2618</v>
      </c>
      <c r="T4696" s="11" t="s">
        <v>39</v>
      </c>
      <c r="U4696" s="11" t="s">
        <v>180</v>
      </c>
      <c r="V4696" s="11" t="s">
        <v>41</v>
      </c>
      <c r="W4696" s="11">
        <v>207000000</v>
      </c>
      <c r="X4696" s="11">
        <v>2005</v>
      </c>
      <c r="Y4696" s="11">
        <v>918</v>
      </c>
      <c r="Z4696" s="11">
        <v>7.2</v>
      </c>
      <c r="AA4696" s="11">
        <v>2.35</v>
      </c>
      <c r="AB4696" s="11">
        <v>0</v>
      </c>
      <c r="AC4696" s="11"/>
      <c r="AD4696" s="11" t="str">
        <f>IFERROR(__xludf.DUMMYFUNCTION("""COMPUTED_VALUE"""),"Burl Ives")</f>
        <v>Burl Ives</v>
      </c>
      <c r="AE4696" s="11"/>
    </row>
    <row r="4697" customHeight="1" spans="1:31">
      <c r="A4697" s="12" t="s">
        <v>30</v>
      </c>
      <c r="B4697" s="12" t="s">
        <v>5129</v>
      </c>
      <c r="C4697" s="12">
        <v>228</v>
      </c>
      <c r="D4697" s="12">
        <v>108</v>
      </c>
      <c r="E4697" s="12">
        <v>174</v>
      </c>
      <c r="F4697" s="12">
        <v>324</v>
      </c>
      <c r="G4697" s="12">
        <v>730</v>
      </c>
      <c r="H4697" s="12">
        <v>32048809</v>
      </c>
      <c r="I4697" s="12" t="s">
        <v>6403</v>
      </c>
      <c r="J4697" s="12" t="s">
        <v>5771</v>
      </c>
      <c r="K4697" s="12" t="s">
        <v>7469</v>
      </c>
      <c r="L4697" s="12" t="s">
        <v>7470</v>
      </c>
      <c r="M4697" s="12" t="s">
        <v>7471</v>
      </c>
      <c r="N4697" s="12">
        <v>94463</v>
      </c>
      <c r="O4697" s="12">
        <v>2160</v>
      </c>
      <c r="P4697" s="12">
        <v>0</v>
      </c>
      <c r="Q4697" s="12" t="s">
        <v>7472</v>
      </c>
      <c r="R4697" s="15" t="s">
        <v>7473</v>
      </c>
      <c r="S4697" s="12">
        <v>576</v>
      </c>
      <c r="T4697" s="12" t="s">
        <v>39</v>
      </c>
      <c r="U4697" s="12" t="s">
        <v>371</v>
      </c>
      <c r="V4697" s="12" t="s">
        <v>586</v>
      </c>
      <c r="W4697" s="12">
        <v>30000000</v>
      </c>
      <c r="X4697" s="12">
        <v>2005</v>
      </c>
      <c r="Y4697" s="12">
        <v>716</v>
      </c>
      <c r="Z4697" s="12">
        <v>5.3</v>
      </c>
      <c r="AA4697" s="12">
        <v>1.85</v>
      </c>
      <c r="AB4697" s="12">
        <v>0</v>
      </c>
      <c r="AC4697" s="12"/>
      <c r="AD4697" s="12" t="str">
        <f>IFERROR(__xludf.DUMMYFUNCTION("""COMPUTED_VALUE"""),"Jack Carson")</f>
        <v>Jack Carson</v>
      </c>
      <c r="AE4697" s="12"/>
    </row>
    <row r="4698" customHeight="1" spans="1:31">
      <c r="A4698" s="11" t="s">
        <v>30</v>
      </c>
      <c r="B4698" s="11" t="s">
        <v>22324</v>
      </c>
      <c r="C4698" s="11">
        <v>208</v>
      </c>
      <c r="D4698" s="11">
        <v>106</v>
      </c>
      <c r="E4698" s="11">
        <v>31</v>
      </c>
      <c r="F4698" s="11">
        <v>71</v>
      </c>
      <c r="G4698" s="11">
        <v>33000</v>
      </c>
      <c r="H4698" s="11">
        <v>2694973</v>
      </c>
      <c r="I4698" s="11" t="s">
        <v>3410</v>
      </c>
      <c r="J4698" s="11" t="s">
        <v>4214</v>
      </c>
      <c r="K4698" s="11" t="s">
        <v>4506</v>
      </c>
      <c r="L4698" s="11" t="s">
        <v>22325</v>
      </c>
      <c r="M4698" s="11" t="s">
        <v>22326</v>
      </c>
      <c r="N4698" s="11">
        <v>70885</v>
      </c>
      <c r="O4698" s="11">
        <v>33734</v>
      </c>
      <c r="P4698" s="11">
        <v>2</v>
      </c>
      <c r="Q4698" s="11" t="s">
        <v>22327</v>
      </c>
      <c r="R4698" s="14" t="s">
        <v>22328</v>
      </c>
      <c r="S4698" s="11">
        <v>189</v>
      </c>
      <c r="T4698" s="11" t="s">
        <v>39</v>
      </c>
      <c r="U4698" s="11" t="s">
        <v>40</v>
      </c>
      <c r="V4698" s="11" t="s">
        <v>586</v>
      </c>
      <c r="W4698" s="11">
        <v>700000</v>
      </c>
      <c r="X4698" s="11">
        <v>2006</v>
      </c>
      <c r="Y4698" s="11">
        <v>519</v>
      </c>
      <c r="Z4698" s="11">
        <v>7.2</v>
      </c>
      <c r="AA4698" s="11">
        <v>1.85</v>
      </c>
      <c r="AB4698" s="11">
        <v>0</v>
      </c>
      <c r="AC4698" s="11"/>
      <c r="AD4698" s="11" t="str">
        <f>IFERROR(__xludf.DUMMYFUNCTION("""COMPUTED_VALUE"""),"Linda Harrison")</f>
        <v>Linda Harrison</v>
      </c>
      <c r="AE4698" s="11"/>
    </row>
    <row r="4699" customHeight="1" spans="1:31">
      <c r="A4699" s="12" t="s">
        <v>30</v>
      </c>
      <c r="B4699" s="12" t="s">
        <v>22329</v>
      </c>
      <c r="C4699" s="12">
        <v>2</v>
      </c>
      <c r="D4699" s="12">
        <v>107</v>
      </c>
      <c r="E4699" s="12">
        <v>0</v>
      </c>
      <c r="F4699" s="12">
        <v>236</v>
      </c>
      <c r="G4699" s="12">
        <v>752</v>
      </c>
      <c r="H4699" s="12">
        <v>10508</v>
      </c>
      <c r="I4699" s="12" t="s">
        <v>3410</v>
      </c>
      <c r="J4699" s="12" t="s">
        <v>4577</v>
      </c>
      <c r="K4699" s="12" t="s">
        <v>22330</v>
      </c>
      <c r="L4699" s="12" t="s">
        <v>22331</v>
      </c>
      <c r="M4699" s="12" t="s">
        <v>22332</v>
      </c>
      <c r="N4699" s="12">
        <v>103</v>
      </c>
      <c r="O4699" s="12">
        <v>1763</v>
      </c>
      <c r="P4699" s="12">
        <v>4</v>
      </c>
      <c r="Q4699" s="12" t="s">
        <v>22333</v>
      </c>
      <c r="R4699" s="15" t="s">
        <v>22334</v>
      </c>
      <c r="S4699" s="12">
        <v>6</v>
      </c>
      <c r="T4699" s="12" t="s">
        <v>39</v>
      </c>
      <c r="U4699" s="12" t="s">
        <v>40</v>
      </c>
      <c r="V4699" s="12" t="s">
        <v>41</v>
      </c>
      <c r="W4699" s="12">
        <v>700000</v>
      </c>
      <c r="X4699" s="12">
        <v>1998</v>
      </c>
      <c r="Y4699" s="12">
        <v>282</v>
      </c>
      <c r="Z4699" s="12">
        <v>6.5</v>
      </c>
      <c r="AA4699" s="16"/>
      <c r="AB4699" s="12">
        <v>102</v>
      </c>
      <c r="AC4699" s="12"/>
      <c r="AD4699" s="12" t="str">
        <f>IFERROR(__xludf.DUMMYFUNCTION("""COMPUTED_VALUE"""),"Gregory Sierra")</f>
        <v>Gregory Sierra</v>
      </c>
      <c r="AE4699" s="12"/>
    </row>
    <row r="4700" customHeight="1" spans="1:31">
      <c r="A4700" s="11" t="s">
        <v>30</v>
      </c>
      <c r="B4700" s="11" t="s">
        <v>22335</v>
      </c>
      <c r="C4700" s="11">
        <v>25</v>
      </c>
      <c r="D4700" s="11">
        <v>84</v>
      </c>
      <c r="E4700" s="11">
        <v>21</v>
      </c>
      <c r="F4700" s="11">
        <v>48</v>
      </c>
      <c r="G4700" s="11">
        <v>465</v>
      </c>
      <c r="H4700" s="11">
        <v>2301777</v>
      </c>
      <c r="I4700" s="11" t="s">
        <v>1672</v>
      </c>
      <c r="J4700" s="11" t="s">
        <v>4911</v>
      </c>
      <c r="K4700" s="11" t="s">
        <v>22336</v>
      </c>
      <c r="L4700" s="11" t="s">
        <v>22337</v>
      </c>
      <c r="M4700" s="11" t="s">
        <v>22338</v>
      </c>
      <c r="N4700" s="11">
        <v>819</v>
      </c>
      <c r="O4700" s="11">
        <v>714</v>
      </c>
      <c r="P4700" s="11">
        <v>2</v>
      </c>
      <c r="Q4700" s="11" t="s">
        <v>22339</v>
      </c>
      <c r="R4700" s="14" t="s">
        <v>22340</v>
      </c>
      <c r="S4700" s="11">
        <v>36</v>
      </c>
      <c r="T4700" s="11" t="s">
        <v>39</v>
      </c>
      <c r="U4700" s="11" t="s">
        <v>40</v>
      </c>
      <c r="V4700" s="11" t="s">
        <v>586</v>
      </c>
      <c r="W4700" s="11">
        <v>650000</v>
      </c>
      <c r="X4700" s="11">
        <v>1997</v>
      </c>
      <c r="Y4700" s="11">
        <v>170</v>
      </c>
      <c r="Z4700" s="11">
        <v>6.5</v>
      </c>
      <c r="AA4700" s="13"/>
      <c r="AB4700" s="11">
        <v>161</v>
      </c>
      <c r="AC4700" s="11"/>
      <c r="AD4700" s="11" t="str">
        <f>IFERROR(__xludf.DUMMYFUNCTION("""COMPUTED_VALUE"""),"Victor Buono")</f>
        <v>Victor Buono</v>
      </c>
      <c r="AE4700" s="11"/>
    </row>
    <row r="4701" customHeight="1" spans="1:31">
      <c r="A4701" s="12" t="s">
        <v>30</v>
      </c>
      <c r="B4701" s="12" t="s">
        <v>22341</v>
      </c>
      <c r="C4701" s="12">
        <v>8</v>
      </c>
      <c r="D4701" s="12">
        <v>91</v>
      </c>
      <c r="E4701" s="12">
        <v>0</v>
      </c>
      <c r="F4701" s="12">
        <v>137</v>
      </c>
      <c r="G4701" s="12">
        <v>696</v>
      </c>
      <c r="H4701" s="16"/>
      <c r="I4701" s="12" t="s">
        <v>2126</v>
      </c>
      <c r="J4701" s="12" t="s">
        <v>8335</v>
      </c>
      <c r="K4701" s="12" t="s">
        <v>22342</v>
      </c>
      <c r="L4701" s="12" t="s">
        <v>22343</v>
      </c>
      <c r="M4701" s="12" t="s">
        <v>22344</v>
      </c>
      <c r="N4701" s="12">
        <v>514</v>
      </c>
      <c r="O4701" s="12">
        <v>1210</v>
      </c>
      <c r="P4701" s="12">
        <v>3</v>
      </c>
      <c r="Q4701" s="12" t="s">
        <v>22345</v>
      </c>
      <c r="R4701" s="15" t="s">
        <v>22346</v>
      </c>
      <c r="S4701" s="12">
        <v>1</v>
      </c>
      <c r="T4701" s="12" t="s">
        <v>39</v>
      </c>
      <c r="U4701" s="12" t="s">
        <v>40</v>
      </c>
      <c r="V4701" s="16"/>
      <c r="W4701" s="12">
        <v>750000</v>
      </c>
      <c r="X4701" s="12">
        <v>2015</v>
      </c>
      <c r="Y4701" s="12">
        <v>320</v>
      </c>
      <c r="Z4701" s="12">
        <v>4.9</v>
      </c>
      <c r="AA4701" s="12">
        <v>2.35</v>
      </c>
      <c r="AB4701" s="12">
        <v>158</v>
      </c>
      <c r="AC4701" s="12"/>
      <c r="AD4701" s="12" t="str">
        <f>IFERROR(__xludf.DUMMYFUNCTION("""COMPUTED_VALUE"""),"Veronica Taylor")</f>
        <v>Veronica Taylor</v>
      </c>
      <c r="AE4701" s="12"/>
    </row>
    <row r="4702" customHeight="1" spans="1:31">
      <c r="A4702" s="11" t="s">
        <v>748</v>
      </c>
      <c r="B4702" s="11" t="s">
        <v>22347</v>
      </c>
      <c r="C4702" s="11">
        <v>143</v>
      </c>
      <c r="D4702" s="11">
        <v>90</v>
      </c>
      <c r="E4702" s="11">
        <v>13</v>
      </c>
      <c r="F4702" s="11">
        <v>432</v>
      </c>
      <c r="G4702" s="11">
        <v>977</v>
      </c>
      <c r="H4702" s="11">
        <v>169719</v>
      </c>
      <c r="I4702" s="11" t="s">
        <v>7406</v>
      </c>
      <c r="J4702" s="11" t="s">
        <v>22348</v>
      </c>
      <c r="K4702" s="11" t="s">
        <v>22349</v>
      </c>
      <c r="L4702" s="11" t="s">
        <v>22350</v>
      </c>
      <c r="M4702" s="11" t="s">
        <v>22351</v>
      </c>
      <c r="N4702" s="11">
        <v>7384</v>
      </c>
      <c r="O4702" s="11">
        <v>2483</v>
      </c>
      <c r="P4702" s="11">
        <v>0</v>
      </c>
      <c r="Q4702" s="11" t="s">
        <v>22352</v>
      </c>
      <c r="R4702" s="14" t="s">
        <v>22353</v>
      </c>
      <c r="S4702" s="11">
        <v>79</v>
      </c>
      <c r="T4702" s="11" t="s">
        <v>39</v>
      </c>
      <c r="U4702" s="11" t="s">
        <v>40</v>
      </c>
      <c r="V4702" s="11" t="s">
        <v>4831</v>
      </c>
      <c r="W4702" s="13"/>
      <c r="X4702" s="11">
        <v>2013</v>
      </c>
      <c r="Y4702" s="11">
        <v>511</v>
      </c>
      <c r="Z4702" s="11">
        <v>5.2</v>
      </c>
      <c r="AA4702" s="11">
        <v>1.85</v>
      </c>
      <c r="AB4702" s="11">
        <v>0</v>
      </c>
      <c r="AC4702" s="11"/>
      <c r="AD4702" s="11" t="str">
        <f>IFERROR(__xludf.DUMMYFUNCTION("""COMPUTED_VALUE"""),"Eric Stuart")</f>
        <v>Eric Stuart</v>
      </c>
      <c r="AE4702" s="11"/>
    </row>
    <row r="4703" customHeight="1" spans="1:31">
      <c r="A4703" s="12" t="s">
        <v>30</v>
      </c>
      <c r="B4703" s="12" t="s">
        <v>22354</v>
      </c>
      <c r="C4703" s="12">
        <v>21</v>
      </c>
      <c r="D4703" s="12">
        <v>103</v>
      </c>
      <c r="E4703" s="12">
        <v>2</v>
      </c>
      <c r="F4703" s="12">
        <v>442</v>
      </c>
      <c r="G4703" s="12">
        <v>628</v>
      </c>
      <c r="H4703" s="16"/>
      <c r="I4703" s="12" t="s">
        <v>68</v>
      </c>
      <c r="J4703" s="12" t="s">
        <v>5510</v>
      </c>
      <c r="K4703" s="12" t="s">
        <v>15382</v>
      </c>
      <c r="L4703" s="12" t="s">
        <v>1988</v>
      </c>
      <c r="M4703" s="12" t="s">
        <v>22355</v>
      </c>
      <c r="N4703" s="12">
        <v>474</v>
      </c>
      <c r="O4703" s="12">
        <v>1683</v>
      </c>
      <c r="P4703" s="12">
        <v>0</v>
      </c>
      <c r="Q4703" s="12" t="s">
        <v>22356</v>
      </c>
      <c r="R4703" s="15" t="s">
        <v>22357</v>
      </c>
      <c r="S4703" s="12">
        <v>8</v>
      </c>
      <c r="T4703" s="12" t="s">
        <v>39</v>
      </c>
      <c r="U4703" s="12" t="s">
        <v>58</v>
      </c>
      <c r="V4703" s="16"/>
      <c r="W4703" s="12">
        <v>400000</v>
      </c>
      <c r="X4703" s="12">
        <v>2009</v>
      </c>
      <c r="Y4703" s="12">
        <v>474</v>
      </c>
      <c r="Z4703" s="12">
        <v>7.4</v>
      </c>
      <c r="AA4703" s="16"/>
      <c r="AB4703" s="12">
        <v>203</v>
      </c>
      <c r="AC4703" s="12"/>
      <c r="AD4703" s="12" t="str">
        <f>IFERROR(__xludf.DUMMYFUNCTION("""COMPUTED_VALUE"""),"Lisa Ortiz")</f>
        <v>Lisa Ortiz</v>
      </c>
      <c r="AE4703" s="12"/>
    </row>
    <row r="4704" customHeight="1" spans="1:31">
      <c r="A4704" s="11" t="s">
        <v>30</v>
      </c>
      <c r="B4704" s="11" t="s">
        <v>22358</v>
      </c>
      <c r="C4704" s="11">
        <v>1</v>
      </c>
      <c r="D4704" s="11">
        <v>71</v>
      </c>
      <c r="E4704" s="11">
        <v>0</v>
      </c>
      <c r="F4704" s="11">
        <v>21</v>
      </c>
      <c r="G4704" s="11">
        <v>1000</v>
      </c>
      <c r="H4704" s="13"/>
      <c r="I4704" s="11" t="s">
        <v>68</v>
      </c>
      <c r="J4704" s="11" t="s">
        <v>1232</v>
      </c>
      <c r="K4704" s="11" t="s">
        <v>22359</v>
      </c>
      <c r="L4704" s="11" t="s">
        <v>19023</v>
      </c>
      <c r="M4704" s="11" t="s">
        <v>22360</v>
      </c>
      <c r="N4704" s="11">
        <v>5</v>
      </c>
      <c r="O4704" s="11">
        <v>1359</v>
      </c>
      <c r="P4704" s="11">
        <v>1</v>
      </c>
      <c r="Q4704" s="11" t="s">
        <v>22361</v>
      </c>
      <c r="R4704" s="14" t="s">
        <v>22362</v>
      </c>
      <c r="S4704" s="11">
        <v>1</v>
      </c>
      <c r="T4704" s="11" t="s">
        <v>39</v>
      </c>
      <c r="U4704" s="11" t="s">
        <v>40</v>
      </c>
      <c r="V4704" s="13"/>
      <c r="W4704" s="11">
        <v>650000</v>
      </c>
      <c r="X4704" s="11">
        <v>2014</v>
      </c>
      <c r="Y4704" s="11">
        <v>338</v>
      </c>
      <c r="Z4704" s="11">
        <v>7.4</v>
      </c>
      <c r="AA4704" s="13"/>
      <c r="AB4704" s="11">
        <v>5</v>
      </c>
      <c r="AC4704" s="11"/>
      <c r="AD4704" s="11" t="str">
        <f>IFERROR(__xludf.DUMMYFUNCTION("""COMPUTED_VALUE"""),"Ron Palillo")</f>
        <v>Ron Palillo</v>
      </c>
      <c r="AE4704" s="11"/>
    </row>
    <row r="4705" customHeight="1" spans="1:31">
      <c r="A4705" s="12" t="s">
        <v>30</v>
      </c>
      <c r="B4705" s="12" t="s">
        <v>22363</v>
      </c>
      <c r="C4705" s="12">
        <v>34</v>
      </c>
      <c r="D4705" s="12">
        <v>90</v>
      </c>
      <c r="E4705" s="12">
        <v>4</v>
      </c>
      <c r="F4705" s="12">
        <v>258</v>
      </c>
      <c r="G4705" s="12">
        <v>523</v>
      </c>
      <c r="H4705" s="16"/>
      <c r="I4705" s="12" t="s">
        <v>2664</v>
      </c>
      <c r="J4705" s="12" t="s">
        <v>1172</v>
      </c>
      <c r="K4705" s="12" t="s">
        <v>22364</v>
      </c>
      <c r="L4705" s="12" t="s">
        <v>22365</v>
      </c>
      <c r="M4705" s="12" t="s">
        <v>22366</v>
      </c>
      <c r="N4705" s="12">
        <v>3699</v>
      </c>
      <c r="O4705" s="12">
        <v>1553</v>
      </c>
      <c r="P4705" s="12">
        <v>0</v>
      </c>
      <c r="Q4705" s="12" t="s">
        <v>22367</v>
      </c>
      <c r="R4705" s="15" t="s">
        <v>22368</v>
      </c>
      <c r="S4705" s="12">
        <v>27</v>
      </c>
      <c r="T4705" s="12" t="s">
        <v>39</v>
      </c>
      <c r="U4705" s="12" t="s">
        <v>40</v>
      </c>
      <c r="V4705" s="12" t="s">
        <v>41</v>
      </c>
      <c r="W4705" s="12">
        <v>650000</v>
      </c>
      <c r="X4705" s="12">
        <v>2012</v>
      </c>
      <c r="Y4705" s="12">
        <v>385</v>
      </c>
      <c r="Z4705" s="12">
        <v>5.4</v>
      </c>
      <c r="AA4705" s="12">
        <v>2.35</v>
      </c>
      <c r="AB4705" s="12">
        <v>1000</v>
      </c>
      <c r="AC4705" s="12"/>
      <c r="AD4705" s="12" t="str">
        <f>IFERROR(__xludf.DUMMYFUNCTION("""COMPUTED_VALUE"""),"Vincent Guastaferro")</f>
        <v>Vincent Guastaferro</v>
      </c>
      <c r="AE4705" s="12"/>
    </row>
    <row r="4706" customHeight="1" spans="1:31">
      <c r="A4706" s="11" t="s">
        <v>30</v>
      </c>
      <c r="B4706" s="11" t="s">
        <v>22369</v>
      </c>
      <c r="C4706" s="11">
        <v>5</v>
      </c>
      <c r="D4706" s="11">
        <v>67</v>
      </c>
      <c r="E4706" s="11">
        <v>4</v>
      </c>
      <c r="F4706" s="11">
        <v>2000</v>
      </c>
      <c r="G4706" s="11">
        <v>260000</v>
      </c>
      <c r="H4706" s="13"/>
      <c r="I4706" s="11" t="s">
        <v>4075</v>
      </c>
      <c r="J4706" s="11" t="s">
        <v>20910</v>
      </c>
      <c r="K4706" s="11" t="s">
        <v>22370</v>
      </c>
      <c r="L4706" s="11" t="s">
        <v>3008</v>
      </c>
      <c r="M4706" s="11" t="s">
        <v>22371</v>
      </c>
      <c r="N4706" s="11">
        <v>344</v>
      </c>
      <c r="O4706" s="11">
        <v>283939</v>
      </c>
      <c r="P4706" s="11">
        <v>5</v>
      </c>
      <c r="Q4706" s="11" t="s">
        <v>22372</v>
      </c>
      <c r="R4706" s="14" t="s">
        <v>22373</v>
      </c>
      <c r="S4706" s="11">
        <v>5</v>
      </c>
      <c r="T4706" s="11" t="s">
        <v>39</v>
      </c>
      <c r="U4706" s="11" t="s">
        <v>40</v>
      </c>
      <c r="V4706" s="13"/>
      <c r="W4706" s="11">
        <v>625000</v>
      </c>
      <c r="X4706" s="11">
        <v>2013</v>
      </c>
      <c r="Y4706" s="11">
        <v>21000</v>
      </c>
      <c r="Z4706" s="11">
        <v>3.9</v>
      </c>
      <c r="AA4706" s="13"/>
      <c r="AB4706" s="11">
        <v>0</v>
      </c>
      <c r="AC4706" s="11"/>
      <c r="AD4706" s="11" t="str">
        <f>IFERROR(__xludf.DUMMYFUNCTION("""COMPUTED_VALUE"""),"Sessue Hayakawa")</f>
        <v>Sessue Hayakawa</v>
      </c>
      <c r="AE4706" s="11"/>
    </row>
    <row r="4707" customHeight="1" spans="1:31">
      <c r="A4707" s="12" t="s">
        <v>30</v>
      </c>
      <c r="B4707" s="12" t="s">
        <v>22374</v>
      </c>
      <c r="C4707" s="12">
        <v>10</v>
      </c>
      <c r="D4707" s="12">
        <v>94</v>
      </c>
      <c r="E4707" s="12">
        <v>7</v>
      </c>
      <c r="F4707" s="12">
        <v>912</v>
      </c>
      <c r="G4707" s="12">
        <v>956</v>
      </c>
      <c r="H4707" s="16"/>
      <c r="I4707" s="12" t="s">
        <v>2528</v>
      </c>
      <c r="J4707" s="12" t="s">
        <v>2224</v>
      </c>
      <c r="K4707" s="12" t="s">
        <v>12589</v>
      </c>
      <c r="L4707" s="12" t="s">
        <v>2666</v>
      </c>
      <c r="M4707" s="12" t="s">
        <v>22375</v>
      </c>
      <c r="N4707" s="12">
        <v>1432</v>
      </c>
      <c r="O4707" s="12">
        <v>4767</v>
      </c>
      <c r="P4707" s="12">
        <v>2</v>
      </c>
      <c r="Q4707" s="12" t="s">
        <v>22376</v>
      </c>
      <c r="R4707" s="15" t="s">
        <v>22377</v>
      </c>
      <c r="S4707" s="12">
        <v>19</v>
      </c>
      <c r="T4707" s="12" t="s">
        <v>39</v>
      </c>
      <c r="U4707" s="12" t="s">
        <v>40</v>
      </c>
      <c r="V4707" s="16"/>
      <c r="W4707" s="12">
        <v>700000</v>
      </c>
      <c r="X4707" s="12">
        <v>2015</v>
      </c>
      <c r="Y4707" s="12">
        <v>945</v>
      </c>
      <c r="Z4707" s="12">
        <v>5.3</v>
      </c>
      <c r="AA4707" s="16"/>
      <c r="AB4707" s="12">
        <v>0</v>
      </c>
      <c r="AC4707" s="12"/>
      <c r="AD4707" s="12" t="str">
        <f>IFERROR(__xludf.DUMMYFUNCTION("""COMPUTED_VALUE"""),"Tonya Lee Williams")</f>
        <v>Tonya Lee Williams</v>
      </c>
      <c r="AE4707" s="12"/>
    </row>
    <row r="4708" customHeight="1" spans="1:31">
      <c r="A4708" s="11" t="s">
        <v>748</v>
      </c>
      <c r="B4708" s="11" t="s">
        <v>22378</v>
      </c>
      <c r="C4708" s="11">
        <v>66</v>
      </c>
      <c r="D4708" s="11">
        <v>81</v>
      </c>
      <c r="E4708" s="11">
        <v>10</v>
      </c>
      <c r="F4708" s="11">
        <v>23</v>
      </c>
      <c r="G4708" s="11">
        <v>610</v>
      </c>
      <c r="H4708" s="11">
        <v>3000000</v>
      </c>
      <c r="I4708" s="11" t="s">
        <v>11251</v>
      </c>
      <c r="J4708" s="11" t="s">
        <v>22379</v>
      </c>
      <c r="K4708" s="11" t="s">
        <v>22380</v>
      </c>
      <c r="L4708" s="11" t="s">
        <v>22381</v>
      </c>
      <c r="M4708" s="11" t="s">
        <v>22382</v>
      </c>
      <c r="N4708" s="11">
        <v>13269</v>
      </c>
      <c r="O4708" s="11">
        <v>824</v>
      </c>
      <c r="P4708" s="11">
        <v>2</v>
      </c>
      <c r="Q4708" s="11" t="s">
        <v>22383</v>
      </c>
      <c r="R4708" s="14" t="s">
        <v>22384</v>
      </c>
      <c r="S4708" s="11">
        <v>98</v>
      </c>
      <c r="T4708" s="11" t="s">
        <v>39</v>
      </c>
      <c r="U4708" s="11" t="s">
        <v>40</v>
      </c>
      <c r="V4708" s="11" t="s">
        <v>6037</v>
      </c>
      <c r="W4708" s="11">
        <v>609000</v>
      </c>
      <c r="X4708" s="11">
        <v>1935</v>
      </c>
      <c r="Y4708" s="11">
        <v>172</v>
      </c>
      <c r="Z4708" s="11">
        <v>7.8</v>
      </c>
      <c r="AA4708" s="11">
        <v>1.37</v>
      </c>
      <c r="AB4708" s="11">
        <v>1000</v>
      </c>
      <c r="AC4708" s="11"/>
      <c r="AD4708" s="11" t="str">
        <f>IFERROR(__xludf.DUMMYFUNCTION("""COMPUTED_VALUE"""),"Fred MacMurray")</f>
        <v>Fred MacMurray</v>
      </c>
      <c r="AE4708" s="11"/>
    </row>
    <row r="4709" customHeight="1" spans="1:31">
      <c r="A4709" s="12" t="s">
        <v>748</v>
      </c>
      <c r="B4709" s="12" t="s">
        <v>22385</v>
      </c>
      <c r="C4709" s="12">
        <v>360</v>
      </c>
      <c r="D4709" s="12">
        <v>81</v>
      </c>
      <c r="E4709" s="12">
        <v>19</v>
      </c>
      <c r="F4709" s="12">
        <v>39</v>
      </c>
      <c r="G4709" s="12">
        <v>170</v>
      </c>
      <c r="H4709" s="12">
        <v>140530114</v>
      </c>
      <c r="I4709" s="12" t="s">
        <v>6403</v>
      </c>
      <c r="J4709" s="12" t="s">
        <v>22386</v>
      </c>
      <c r="K4709" s="12" t="s">
        <v>22387</v>
      </c>
      <c r="L4709" s="12" t="s">
        <v>22388</v>
      </c>
      <c r="M4709" s="12" t="s">
        <v>22389</v>
      </c>
      <c r="N4709" s="12">
        <v>186786</v>
      </c>
      <c r="O4709" s="12">
        <v>399</v>
      </c>
      <c r="P4709" s="12">
        <v>0</v>
      </c>
      <c r="Q4709" s="12" t="s">
        <v>22390</v>
      </c>
      <c r="R4709" s="15" t="s">
        <v>22391</v>
      </c>
      <c r="S4709" s="12">
        <v>3400</v>
      </c>
      <c r="T4709" s="12" t="s">
        <v>39</v>
      </c>
      <c r="U4709" s="12" t="s">
        <v>40</v>
      </c>
      <c r="V4709" s="12" t="s">
        <v>586</v>
      </c>
      <c r="W4709" s="12">
        <v>60000</v>
      </c>
      <c r="X4709" s="12">
        <v>1999</v>
      </c>
      <c r="Y4709" s="12">
        <v>170</v>
      </c>
      <c r="Z4709" s="12">
        <v>6.4</v>
      </c>
      <c r="AA4709" s="12">
        <v>1.33</v>
      </c>
      <c r="AB4709" s="12">
        <v>0</v>
      </c>
      <c r="AC4709" s="12"/>
      <c r="AD4709" s="12" t="str">
        <f>IFERROR(__xludf.DUMMYFUNCTION("""COMPUTED_VALUE"""),"David White")</f>
        <v>David White</v>
      </c>
      <c r="AE4709" s="12"/>
    </row>
    <row r="4710" customHeight="1" spans="1:31">
      <c r="A4710" s="11" t="s">
        <v>30</v>
      </c>
      <c r="B4710" s="11" t="s">
        <v>22392</v>
      </c>
      <c r="C4710" s="11">
        <v>53</v>
      </c>
      <c r="D4710" s="11">
        <v>215</v>
      </c>
      <c r="E4710" s="11">
        <v>14</v>
      </c>
      <c r="F4710" s="11">
        <v>136</v>
      </c>
      <c r="G4710" s="11">
        <v>262</v>
      </c>
      <c r="H4710" s="11">
        <v>13300000</v>
      </c>
      <c r="I4710" s="11" t="s">
        <v>22393</v>
      </c>
      <c r="J4710" s="11" t="s">
        <v>22394</v>
      </c>
      <c r="K4710" s="11" t="s">
        <v>22395</v>
      </c>
      <c r="L4710" s="11" t="s">
        <v>22396</v>
      </c>
      <c r="M4710" s="11" t="s">
        <v>22397</v>
      </c>
      <c r="N4710" s="11">
        <v>12631</v>
      </c>
      <c r="O4710" s="11">
        <v>778</v>
      </c>
      <c r="P4710" s="11">
        <v>0</v>
      </c>
      <c r="Q4710" s="11" t="s">
        <v>22398</v>
      </c>
      <c r="R4710" s="14" t="s">
        <v>22399</v>
      </c>
      <c r="S4710" s="11">
        <v>63</v>
      </c>
      <c r="T4710" s="11" t="s">
        <v>39</v>
      </c>
      <c r="U4710" s="11" t="s">
        <v>40</v>
      </c>
      <c r="V4710" s="11" t="s">
        <v>586</v>
      </c>
      <c r="W4710" s="11">
        <v>600000</v>
      </c>
      <c r="X4710" s="11">
        <v>1970</v>
      </c>
      <c r="Y4710" s="11">
        <v>227</v>
      </c>
      <c r="Z4710" s="11">
        <v>8.1</v>
      </c>
      <c r="AA4710" s="11">
        <v>2.2</v>
      </c>
      <c r="AB4710" s="11">
        <v>0</v>
      </c>
      <c r="AC4710" s="11"/>
      <c r="AD4710" s="11" t="str">
        <f>IFERROR(__xludf.DUMMYFUNCTION("""COMPUTED_VALUE"""),"Leslie Jordan")</f>
        <v>Leslie Jordan</v>
      </c>
      <c r="AE4710" s="11"/>
    </row>
    <row r="4711" customHeight="1" spans="1:31">
      <c r="A4711" s="12" t="s">
        <v>30</v>
      </c>
      <c r="B4711" s="12" t="s">
        <v>5246</v>
      </c>
      <c r="C4711" s="12">
        <v>82</v>
      </c>
      <c r="D4711" s="12">
        <v>83</v>
      </c>
      <c r="E4711" s="12">
        <v>644</v>
      </c>
      <c r="F4711" s="12">
        <v>11</v>
      </c>
      <c r="G4711" s="12">
        <v>119</v>
      </c>
      <c r="H4711" s="16"/>
      <c r="I4711" s="12" t="s">
        <v>1672</v>
      </c>
      <c r="J4711" s="12" t="s">
        <v>5703</v>
      </c>
      <c r="K4711" s="12" t="s">
        <v>22400</v>
      </c>
      <c r="L4711" s="12" t="s">
        <v>22401</v>
      </c>
      <c r="M4711" s="12" t="s">
        <v>22402</v>
      </c>
      <c r="N4711" s="12">
        <v>13915</v>
      </c>
      <c r="O4711" s="12">
        <v>190</v>
      </c>
      <c r="P4711" s="12">
        <v>0</v>
      </c>
      <c r="Q4711" s="12" t="s">
        <v>22403</v>
      </c>
      <c r="R4711" s="15" t="s">
        <v>22404</v>
      </c>
      <c r="S4711" s="12">
        <v>109</v>
      </c>
      <c r="T4711" s="12" t="s">
        <v>39</v>
      </c>
      <c r="U4711" s="12" t="s">
        <v>40</v>
      </c>
      <c r="V4711" s="12" t="s">
        <v>586</v>
      </c>
      <c r="W4711" s="12">
        <v>650000</v>
      </c>
      <c r="X4711" s="12">
        <v>1977</v>
      </c>
      <c r="Y4711" s="12">
        <v>29</v>
      </c>
      <c r="Z4711" s="12">
        <v>6.5</v>
      </c>
      <c r="AA4711" s="12">
        <v>1.85</v>
      </c>
      <c r="AB4711" s="12">
        <v>0</v>
      </c>
      <c r="AC4711" s="12"/>
      <c r="AD4711" s="12" t="str">
        <f>IFERROR(__xludf.DUMMYFUNCTION("""COMPUTED_VALUE"""),"Erin Gray")</f>
        <v>Erin Gray</v>
      </c>
      <c r="AE4711" s="12"/>
    </row>
    <row r="4712" customHeight="1" spans="1:31">
      <c r="A4712" s="11" t="s">
        <v>30</v>
      </c>
      <c r="B4712" s="11" t="s">
        <v>20031</v>
      </c>
      <c r="C4712" s="11">
        <v>15</v>
      </c>
      <c r="D4712" s="11">
        <v>106</v>
      </c>
      <c r="E4712" s="11">
        <v>16</v>
      </c>
      <c r="F4712" s="11">
        <v>254</v>
      </c>
      <c r="G4712" s="11">
        <v>602</v>
      </c>
      <c r="H4712" s="11">
        <v>171988</v>
      </c>
      <c r="I4712" s="11" t="s">
        <v>15140</v>
      </c>
      <c r="J4712" s="11" t="s">
        <v>1321</v>
      </c>
      <c r="K4712" s="11" t="s">
        <v>22405</v>
      </c>
      <c r="L4712" s="11" t="s">
        <v>22406</v>
      </c>
      <c r="M4712" s="11" t="s">
        <v>22407</v>
      </c>
      <c r="N4712" s="11">
        <v>448</v>
      </c>
      <c r="O4712" s="11">
        <v>1281</v>
      </c>
      <c r="P4712" s="11">
        <v>1</v>
      </c>
      <c r="Q4712" s="11" t="s">
        <v>22408</v>
      </c>
      <c r="R4712" s="14" t="s">
        <v>22409</v>
      </c>
      <c r="S4712" s="11">
        <v>16</v>
      </c>
      <c r="T4712" s="11" t="s">
        <v>39</v>
      </c>
      <c r="U4712" s="11" t="s">
        <v>40</v>
      </c>
      <c r="V4712" s="11" t="s">
        <v>41</v>
      </c>
      <c r="W4712" s="11">
        <v>600000</v>
      </c>
      <c r="X4712" s="11">
        <v>2000</v>
      </c>
      <c r="Y4712" s="11">
        <v>266</v>
      </c>
      <c r="Z4712" s="11">
        <v>5.6</v>
      </c>
      <c r="AA4712" s="11">
        <v>1.85</v>
      </c>
      <c r="AB4712" s="11">
        <v>12</v>
      </c>
      <c r="AC4712" s="11"/>
      <c r="AD4712" s="11" t="str">
        <f>IFERROR(__xludf.DUMMYFUNCTION("""COMPUTED_VALUE"""),"Tamara Toumanova")</f>
        <v>Tamara Toumanova</v>
      </c>
      <c r="AE4712" s="11"/>
    </row>
    <row r="4713" customHeight="1" spans="1:31">
      <c r="A4713" s="12" t="s">
        <v>30</v>
      </c>
      <c r="B4713" s="12" t="s">
        <v>22410</v>
      </c>
      <c r="C4713" s="16"/>
      <c r="D4713" s="12">
        <v>103</v>
      </c>
      <c r="E4713" s="12">
        <v>0</v>
      </c>
      <c r="F4713" s="12">
        <v>20</v>
      </c>
      <c r="G4713" s="12">
        <v>23</v>
      </c>
      <c r="H4713" s="12">
        <v>23616</v>
      </c>
      <c r="I4713" s="12" t="s">
        <v>852</v>
      </c>
      <c r="J4713" s="12" t="s">
        <v>22411</v>
      </c>
      <c r="K4713" s="12" t="s">
        <v>22412</v>
      </c>
      <c r="L4713" s="12" t="s">
        <v>22413</v>
      </c>
      <c r="M4713" s="12" t="s">
        <v>22414</v>
      </c>
      <c r="N4713" s="12">
        <v>94</v>
      </c>
      <c r="O4713" s="12">
        <v>85</v>
      </c>
      <c r="P4713" s="12">
        <v>4</v>
      </c>
      <c r="Q4713" s="16"/>
      <c r="R4713" s="15" t="s">
        <v>22415</v>
      </c>
      <c r="S4713" s="12">
        <v>4</v>
      </c>
      <c r="T4713" s="12" t="s">
        <v>39</v>
      </c>
      <c r="U4713" s="12" t="s">
        <v>40</v>
      </c>
      <c r="V4713" s="12" t="s">
        <v>41</v>
      </c>
      <c r="W4713" s="12">
        <v>600000</v>
      </c>
      <c r="X4713" s="12">
        <v>2007</v>
      </c>
      <c r="Y4713" s="12">
        <v>20</v>
      </c>
      <c r="Z4713" s="12">
        <v>5.6</v>
      </c>
      <c r="AA4713" s="12">
        <v>1.78</v>
      </c>
      <c r="AB4713" s="12">
        <v>11</v>
      </c>
      <c r="AC4713" s="12"/>
      <c r="AD4713" s="12" t="str">
        <f>IFERROR(__xludf.DUMMYFUNCTION("""COMPUTED_VALUE"""),"Lila Kedrova")</f>
        <v>Lila Kedrova</v>
      </c>
      <c r="AE4713" s="12"/>
    </row>
    <row r="4714" customHeight="1" spans="1:31">
      <c r="A4714" s="11" t="s">
        <v>30</v>
      </c>
      <c r="B4714" s="11" t="s">
        <v>22416</v>
      </c>
      <c r="C4714" s="11">
        <v>18</v>
      </c>
      <c r="D4714" s="11">
        <v>90</v>
      </c>
      <c r="E4714" s="11">
        <v>4</v>
      </c>
      <c r="F4714" s="11">
        <v>218</v>
      </c>
      <c r="G4714" s="11">
        <v>919</v>
      </c>
      <c r="H4714" s="11">
        <v>13493</v>
      </c>
      <c r="I4714" s="11" t="s">
        <v>3410</v>
      </c>
      <c r="J4714" s="11" t="s">
        <v>2279</v>
      </c>
      <c r="K4714" s="11" t="s">
        <v>10595</v>
      </c>
      <c r="L4714" s="11" t="s">
        <v>22417</v>
      </c>
      <c r="M4714" s="11" t="s">
        <v>22418</v>
      </c>
      <c r="N4714" s="11">
        <v>531</v>
      </c>
      <c r="O4714" s="11">
        <v>2288</v>
      </c>
      <c r="P4714" s="11">
        <v>0</v>
      </c>
      <c r="Q4714" s="11" t="s">
        <v>22419</v>
      </c>
      <c r="R4714" s="14" t="s">
        <v>22420</v>
      </c>
      <c r="S4714" s="11">
        <v>19</v>
      </c>
      <c r="T4714" s="11" t="s">
        <v>39</v>
      </c>
      <c r="U4714" s="11" t="s">
        <v>40</v>
      </c>
      <c r="V4714" s="11" t="s">
        <v>586</v>
      </c>
      <c r="W4714" s="11">
        <v>600000</v>
      </c>
      <c r="X4714" s="11">
        <v>1998</v>
      </c>
      <c r="Y4714" s="11">
        <v>711</v>
      </c>
      <c r="Z4714" s="11">
        <v>6.6</v>
      </c>
      <c r="AA4714" s="11">
        <v>1.85</v>
      </c>
      <c r="AB4714" s="11">
        <v>51</v>
      </c>
      <c r="AC4714" s="11"/>
      <c r="AD4714" s="11" t="str">
        <f>IFERROR(__xludf.DUMMYFUNCTION("""COMPUTED_VALUE"""),"David Opatoshu")</f>
        <v>David Opatoshu</v>
      </c>
      <c r="AE4714" s="11"/>
    </row>
    <row r="4715" customHeight="1" spans="1:31">
      <c r="A4715" s="12" t="s">
        <v>30</v>
      </c>
      <c r="B4715" s="12" t="s">
        <v>22421</v>
      </c>
      <c r="C4715" s="16"/>
      <c r="D4715" s="12">
        <v>88</v>
      </c>
      <c r="E4715" s="12">
        <v>12</v>
      </c>
      <c r="F4715" s="12">
        <v>359</v>
      </c>
      <c r="G4715" s="12">
        <v>601</v>
      </c>
      <c r="H4715" s="12">
        <v>79043</v>
      </c>
      <c r="I4715" s="12" t="s">
        <v>1936</v>
      </c>
      <c r="J4715" s="12" t="s">
        <v>9641</v>
      </c>
      <c r="K4715" s="12" t="s">
        <v>22422</v>
      </c>
      <c r="L4715" s="12" t="s">
        <v>22423</v>
      </c>
      <c r="M4715" s="12" t="s">
        <v>22424</v>
      </c>
      <c r="N4715" s="12">
        <v>85</v>
      </c>
      <c r="O4715" s="12">
        <v>2241</v>
      </c>
      <c r="P4715" s="12">
        <v>0</v>
      </c>
      <c r="Q4715" s="16"/>
      <c r="R4715" s="15" t="s">
        <v>22425</v>
      </c>
      <c r="S4715" s="16"/>
      <c r="T4715" s="12" t="s">
        <v>39</v>
      </c>
      <c r="U4715" s="12" t="s">
        <v>40</v>
      </c>
      <c r="V4715" s="12" t="s">
        <v>4831</v>
      </c>
      <c r="W4715" s="16"/>
      <c r="X4715" s="12">
        <v>2013</v>
      </c>
      <c r="Y4715" s="12">
        <v>371</v>
      </c>
      <c r="Z4715" s="12">
        <v>6.3</v>
      </c>
      <c r="AA4715" s="16"/>
      <c r="AB4715" s="12">
        <v>358</v>
      </c>
      <c r="AC4715" s="12"/>
      <c r="AD4715" s="12" t="str">
        <f>IFERROR(__xludf.DUMMYFUNCTION("""COMPUTED_VALUE"""),"Lauryn Hill")</f>
        <v>Lauryn Hill</v>
      </c>
      <c r="AE4715" s="12"/>
    </row>
    <row r="4716" customHeight="1" spans="1:31">
      <c r="A4716" s="11" t="s">
        <v>30</v>
      </c>
      <c r="B4716" s="11" t="s">
        <v>22426</v>
      </c>
      <c r="C4716" s="11">
        <v>22</v>
      </c>
      <c r="D4716" s="11">
        <v>105</v>
      </c>
      <c r="E4716" s="11">
        <v>0</v>
      </c>
      <c r="F4716" s="11">
        <v>0</v>
      </c>
      <c r="G4716" s="11">
        <v>0</v>
      </c>
      <c r="H4716" s="13"/>
      <c r="I4716" s="11" t="s">
        <v>68</v>
      </c>
      <c r="J4716" s="11" t="s">
        <v>22427</v>
      </c>
      <c r="K4716" s="11" t="s">
        <v>22428</v>
      </c>
      <c r="L4716" s="11" t="s">
        <v>22429</v>
      </c>
      <c r="M4716" s="11" t="s">
        <v>22430</v>
      </c>
      <c r="N4716" s="11">
        <v>74</v>
      </c>
      <c r="O4716" s="11">
        <v>0</v>
      </c>
      <c r="P4716" s="11">
        <v>3</v>
      </c>
      <c r="Q4716" s="13"/>
      <c r="R4716" s="14" t="s">
        <v>22431</v>
      </c>
      <c r="S4716" s="11">
        <v>2</v>
      </c>
      <c r="T4716" s="11" t="s">
        <v>1465</v>
      </c>
      <c r="U4716" s="11" t="s">
        <v>58</v>
      </c>
      <c r="V4716" s="13"/>
      <c r="W4716" s="11">
        <v>400000</v>
      </c>
      <c r="X4716" s="11">
        <v>2015</v>
      </c>
      <c r="Y4716" s="11">
        <v>0</v>
      </c>
      <c r="Z4716" s="11">
        <v>7.7</v>
      </c>
      <c r="AA4716" s="13"/>
      <c r="AB4716" s="11">
        <v>34</v>
      </c>
      <c r="AC4716" s="11"/>
      <c r="AD4716" s="11" t="str">
        <f>IFERROR(__xludf.DUMMYFUNCTION("""COMPUTED_VALUE"""),"LisaGay Hamilton")</f>
        <v>LisaGay Hamilton</v>
      </c>
      <c r="AE4716" s="11"/>
    </row>
    <row r="4717" customHeight="1" spans="1:31">
      <c r="A4717" s="12" t="s">
        <v>30</v>
      </c>
      <c r="B4717" s="12" t="s">
        <v>22432</v>
      </c>
      <c r="C4717" s="12">
        <v>15</v>
      </c>
      <c r="D4717" s="12">
        <v>115</v>
      </c>
      <c r="E4717" s="12">
        <v>3</v>
      </c>
      <c r="F4717" s="12">
        <v>0</v>
      </c>
      <c r="G4717" s="12">
        <v>0</v>
      </c>
      <c r="H4717" s="16"/>
      <c r="I4717" s="12" t="s">
        <v>68</v>
      </c>
      <c r="J4717" s="12" t="s">
        <v>22433</v>
      </c>
      <c r="K4717" s="12" t="s">
        <v>22434</v>
      </c>
      <c r="L4717" s="12" t="s">
        <v>22435</v>
      </c>
      <c r="M4717" s="12" t="s">
        <v>22436</v>
      </c>
      <c r="N4717" s="12">
        <v>204</v>
      </c>
      <c r="O4717" s="12">
        <v>0</v>
      </c>
      <c r="P4717" s="12">
        <v>0</v>
      </c>
      <c r="Q4717" s="12" t="s">
        <v>22437</v>
      </c>
      <c r="R4717" s="15" t="s">
        <v>22438</v>
      </c>
      <c r="S4717" s="12">
        <v>13</v>
      </c>
      <c r="T4717" s="12" t="s">
        <v>39</v>
      </c>
      <c r="U4717" s="12" t="s">
        <v>40</v>
      </c>
      <c r="V4717" s="16"/>
      <c r="W4717" s="12">
        <v>750000</v>
      </c>
      <c r="X4717" s="12">
        <v>2002</v>
      </c>
      <c r="Y4717" s="12">
        <v>0</v>
      </c>
      <c r="Z4717" s="12">
        <v>7</v>
      </c>
      <c r="AA4717" s="16"/>
      <c r="AB4717" s="12">
        <v>32</v>
      </c>
      <c r="AC4717" s="12"/>
      <c r="AD4717" s="12" t="str">
        <f>IFERROR(__xludf.DUMMYFUNCTION("""COMPUTED_VALUE"""),"Bobby Brown")</f>
        <v>Bobby Brown</v>
      </c>
      <c r="AE4717" s="12"/>
    </row>
    <row r="4718" customHeight="1" spans="1:31">
      <c r="A4718" s="11" t="s">
        <v>30</v>
      </c>
      <c r="B4718" s="11" t="s">
        <v>22439</v>
      </c>
      <c r="C4718" s="13"/>
      <c r="D4718" s="11">
        <v>90</v>
      </c>
      <c r="E4718" s="11">
        <v>0</v>
      </c>
      <c r="F4718" s="11">
        <v>271</v>
      </c>
      <c r="G4718" s="11">
        <v>595</v>
      </c>
      <c r="H4718" s="13"/>
      <c r="I4718" s="11" t="s">
        <v>923</v>
      </c>
      <c r="J4718" s="11" t="s">
        <v>504</v>
      </c>
      <c r="K4718" s="11" t="s">
        <v>15572</v>
      </c>
      <c r="L4718" s="11" t="s">
        <v>22440</v>
      </c>
      <c r="M4718" s="11" t="s">
        <v>22441</v>
      </c>
      <c r="N4718" s="11">
        <v>6</v>
      </c>
      <c r="O4718" s="11">
        <v>1754</v>
      </c>
      <c r="P4718" s="11">
        <v>0</v>
      </c>
      <c r="Q4718" s="11" t="s">
        <v>22442</v>
      </c>
      <c r="R4718" s="14" t="s">
        <v>22443</v>
      </c>
      <c r="S4718" s="11">
        <v>1</v>
      </c>
      <c r="T4718" s="11" t="s">
        <v>39</v>
      </c>
      <c r="U4718" s="11" t="s">
        <v>40</v>
      </c>
      <c r="V4718" s="11" t="s">
        <v>41</v>
      </c>
      <c r="W4718" s="11">
        <v>600000</v>
      </c>
      <c r="X4718" s="11">
        <v>2014</v>
      </c>
      <c r="Y4718" s="11">
        <v>412</v>
      </c>
      <c r="Z4718" s="11">
        <v>8</v>
      </c>
      <c r="AA4718" s="13"/>
      <c r="AB4718" s="11">
        <v>9</v>
      </c>
      <c r="AC4718" s="11"/>
      <c r="AD4718" s="11" t="str">
        <f>IFERROR(__xludf.DUMMYFUNCTION("""COMPUTED_VALUE"""),"Edward Andrews")</f>
        <v>Edward Andrews</v>
      </c>
      <c r="AE4718" s="11"/>
    </row>
    <row r="4719" customHeight="1" spans="1:31">
      <c r="A4719" s="12" t="s">
        <v>30</v>
      </c>
      <c r="B4719" s="12" t="s">
        <v>22444</v>
      </c>
      <c r="C4719" s="12">
        <v>18</v>
      </c>
      <c r="D4719" s="12">
        <v>102</v>
      </c>
      <c r="E4719" s="12">
        <v>12</v>
      </c>
      <c r="F4719" s="12">
        <v>2</v>
      </c>
      <c r="G4719" s="12">
        <v>541</v>
      </c>
      <c r="H4719" s="16"/>
      <c r="I4719" s="12" t="s">
        <v>2528</v>
      </c>
      <c r="J4719" s="12" t="s">
        <v>6898</v>
      </c>
      <c r="K4719" s="12" t="s">
        <v>22445</v>
      </c>
      <c r="L4719" s="12" t="s">
        <v>22446</v>
      </c>
      <c r="M4719" s="12" t="s">
        <v>22447</v>
      </c>
      <c r="N4719" s="12">
        <v>389</v>
      </c>
      <c r="O4719" s="12">
        <v>553</v>
      </c>
      <c r="P4719" s="12">
        <v>2</v>
      </c>
      <c r="Q4719" s="12" t="s">
        <v>22448</v>
      </c>
      <c r="R4719" s="15" t="s">
        <v>22449</v>
      </c>
      <c r="S4719" s="12">
        <v>1</v>
      </c>
      <c r="T4719" s="12" t="s">
        <v>1465</v>
      </c>
      <c r="U4719" s="12" t="s">
        <v>1466</v>
      </c>
      <c r="V4719" s="16"/>
      <c r="W4719" s="16"/>
      <c r="X4719" s="12">
        <v>2016</v>
      </c>
      <c r="Y4719" s="12">
        <v>8</v>
      </c>
      <c r="Z4719" s="12">
        <v>7.2</v>
      </c>
      <c r="AA4719" s="16"/>
      <c r="AB4719" s="12">
        <v>36</v>
      </c>
      <c r="AC4719" s="12"/>
      <c r="AD4719" s="12" t="str">
        <f>IFERROR(__xludf.DUMMYFUNCTION("""COMPUTED_VALUE"""),"Deon Richmond")</f>
        <v>Deon Richmond</v>
      </c>
      <c r="AE4719" s="12"/>
    </row>
    <row r="4720" customHeight="1" spans="1:31">
      <c r="A4720" s="11" t="s">
        <v>30</v>
      </c>
      <c r="B4720" s="11" t="s">
        <v>22450</v>
      </c>
      <c r="C4720" s="11">
        <v>8</v>
      </c>
      <c r="D4720" s="11">
        <v>98</v>
      </c>
      <c r="E4720" s="11">
        <v>5</v>
      </c>
      <c r="F4720" s="11">
        <v>233</v>
      </c>
      <c r="G4720" s="11">
        <v>587</v>
      </c>
      <c r="H4720" s="13"/>
      <c r="I4720" s="11" t="s">
        <v>10413</v>
      </c>
      <c r="J4720" s="11" t="s">
        <v>9292</v>
      </c>
      <c r="K4720" s="11" t="s">
        <v>2781</v>
      </c>
      <c r="L4720" s="11" t="s">
        <v>22451</v>
      </c>
      <c r="M4720" s="11" t="s">
        <v>22452</v>
      </c>
      <c r="N4720" s="11">
        <v>719</v>
      </c>
      <c r="O4720" s="11">
        <v>1707</v>
      </c>
      <c r="P4720" s="11">
        <v>0</v>
      </c>
      <c r="Q4720" s="13"/>
      <c r="R4720" s="14" t="s">
        <v>22453</v>
      </c>
      <c r="S4720" s="11">
        <v>9</v>
      </c>
      <c r="T4720" s="11" t="s">
        <v>39</v>
      </c>
      <c r="U4720" s="11" t="s">
        <v>40</v>
      </c>
      <c r="V4720" s="13"/>
      <c r="W4720" s="11">
        <v>600000</v>
      </c>
      <c r="X4720" s="11">
        <v>2013</v>
      </c>
      <c r="Y4720" s="11">
        <v>448</v>
      </c>
      <c r="Z4720" s="11">
        <v>4.5</v>
      </c>
      <c r="AA4720" s="13"/>
      <c r="AB4720" s="11">
        <v>128</v>
      </c>
      <c r="AC4720" s="11"/>
      <c r="AD4720" s="11" t="str">
        <f>IFERROR(__xludf.DUMMYFUNCTION("""COMPUTED_VALUE"""),"Countess Vaughn")</f>
        <v>Countess Vaughn</v>
      </c>
      <c r="AE4720" s="11"/>
    </row>
    <row r="4721" customHeight="1" spans="1:31">
      <c r="A4721" s="12" t="s">
        <v>748</v>
      </c>
      <c r="B4721" s="12" t="s">
        <v>4864</v>
      </c>
      <c r="C4721" s="12">
        <v>105</v>
      </c>
      <c r="D4721" s="12">
        <v>87</v>
      </c>
      <c r="E4721" s="12">
        <v>44</v>
      </c>
      <c r="F4721" s="12">
        <v>704</v>
      </c>
      <c r="G4721" s="12">
        <v>785</v>
      </c>
      <c r="H4721" s="12">
        <v>515005</v>
      </c>
      <c r="I4721" s="12" t="s">
        <v>5927</v>
      </c>
      <c r="J4721" s="12" t="s">
        <v>22454</v>
      </c>
      <c r="K4721" s="12" t="s">
        <v>22455</v>
      </c>
      <c r="L4721" s="12" t="s">
        <v>22456</v>
      </c>
      <c r="M4721" s="12" t="s">
        <v>22457</v>
      </c>
      <c r="N4721" s="12">
        <v>31429</v>
      </c>
      <c r="O4721" s="12">
        <v>2538</v>
      </c>
      <c r="P4721" s="12">
        <v>1</v>
      </c>
      <c r="Q4721" s="12" t="s">
        <v>22458</v>
      </c>
      <c r="R4721" s="15" t="s">
        <v>22459</v>
      </c>
      <c r="S4721" s="12">
        <v>219</v>
      </c>
      <c r="T4721" s="12" t="s">
        <v>39</v>
      </c>
      <c r="U4721" s="12" t="s">
        <v>58</v>
      </c>
      <c r="V4721" s="12" t="s">
        <v>6037</v>
      </c>
      <c r="W4721" s="12">
        <v>560000</v>
      </c>
      <c r="X4721" s="12">
        <v>1964</v>
      </c>
      <c r="Y4721" s="12">
        <v>725</v>
      </c>
      <c r="Z4721" s="12">
        <v>7.7</v>
      </c>
      <c r="AA4721" s="12">
        <v>1.75</v>
      </c>
      <c r="AB4721" s="12">
        <v>0</v>
      </c>
      <c r="AC4721" s="12"/>
      <c r="AD4721" s="12" t="str">
        <f>IFERROR(__xludf.DUMMYFUNCTION("""COMPUTED_VALUE"""),"Matthew Senreich")</f>
        <v>Matthew Senreich</v>
      </c>
      <c r="AE4721" s="12"/>
    </row>
    <row r="4722" customHeight="1" spans="1:31">
      <c r="A4722" s="11" t="s">
        <v>30</v>
      </c>
      <c r="B4722" s="11" t="s">
        <v>22460</v>
      </c>
      <c r="C4722" s="11">
        <v>3</v>
      </c>
      <c r="D4722" s="11">
        <v>80</v>
      </c>
      <c r="E4722" s="11">
        <v>6</v>
      </c>
      <c r="F4722" s="13"/>
      <c r="G4722" s="13"/>
      <c r="H4722" s="11">
        <v>2245</v>
      </c>
      <c r="I4722" s="11" t="s">
        <v>68</v>
      </c>
      <c r="J4722" s="13"/>
      <c r="K4722" s="13"/>
      <c r="L4722" s="13"/>
      <c r="M4722" s="11" t="s">
        <v>22461</v>
      </c>
      <c r="N4722" s="11">
        <v>57</v>
      </c>
      <c r="O4722" s="11">
        <v>0</v>
      </c>
      <c r="P4722" s="11">
        <v>0</v>
      </c>
      <c r="Q4722" s="11" t="s">
        <v>22462</v>
      </c>
      <c r="R4722" s="14" t="s">
        <v>22463</v>
      </c>
      <c r="S4722" s="11">
        <v>2</v>
      </c>
      <c r="T4722" s="11" t="s">
        <v>39</v>
      </c>
      <c r="U4722" s="11" t="s">
        <v>40</v>
      </c>
      <c r="V4722" s="13"/>
      <c r="W4722" s="11">
        <v>560000</v>
      </c>
      <c r="X4722" s="11">
        <v>2011</v>
      </c>
      <c r="Y4722" s="13"/>
      <c r="Z4722" s="11">
        <v>7.2</v>
      </c>
      <c r="AA4722" s="13"/>
      <c r="AB4722" s="11">
        <v>88</v>
      </c>
      <c r="AC4722" s="11"/>
      <c r="AD4722" s="11" t="str">
        <f>IFERROR(__xludf.DUMMYFUNCTION("""COMPUTED_VALUE"""),"Seth Green")</f>
        <v>Seth Green</v>
      </c>
      <c r="AE4722" s="11"/>
    </row>
    <row r="4723" customHeight="1" spans="1:31">
      <c r="A4723" s="12" t="s">
        <v>30</v>
      </c>
      <c r="B4723" s="12" t="s">
        <v>22464</v>
      </c>
      <c r="C4723" s="12">
        <v>4</v>
      </c>
      <c r="D4723" s="12">
        <v>88</v>
      </c>
      <c r="E4723" s="12">
        <v>11</v>
      </c>
      <c r="F4723" s="12">
        <v>221</v>
      </c>
      <c r="G4723" s="12">
        <v>2000</v>
      </c>
      <c r="H4723" s="16"/>
      <c r="I4723" s="12" t="s">
        <v>214</v>
      </c>
      <c r="J4723" s="12" t="s">
        <v>1734</v>
      </c>
      <c r="K4723" s="12" t="s">
        <v>6377</v>
      </c>
      <c r="L4723" s="12" t="s">
        <v>17105</v>
      </c>
      <c r="M4723" s="12" t="s">
        <v>22465</v>
      </c>
      <c r="N4723" s="12">
        <v>487</v>
      </c>
      <c r="O4723" s="12">
        <v>2996</v>
      </c>
      <c r="P4723" s="12">
        <v>1</v>
      </c>
      <c r="Q4723" s="12" t="s">
        <v>22466</v>
      </c>
      <c r="R4723" s="15" t="s">
        <v>22467</v>
      </c>
      <c r="S4723" s="12">
        <v>9</v>
      </c>
      <c r="T4723" s="12" t="s">
        <v>39</v>
      </c>
      <c r="U4723" s="12" t="s">
        <v>40</v>
      </c>
      <c r="V4723" s="12" t="s">
        <v>586</v>
      </c>
      <c r="W4723" s="12">
        <v>550000</v>
      </c>
      <c r="X4723" s="12">
        <v>1983</v>
      </c>
      <c r="Y4723" s="12">
        <v>433</v>
      </c>
      <c r="Z4723" s="12">
        <v>6.1</v>
      </c>
      <c r="AA4723" s="16"/>
      <c r="AB4723" s="12">
        <v>7</v>
      </c>
      <c r="AC4723" s="12"/>
      <c r="AD4723" s="12" t="str">
        <f>IFERROR(__xludf.DUMMYFUNCTION("""COMPUTED_VALUE"""),"Breckin Meyer")</f>
        <v>Breckin Meyer</v>
      </c>
      <c r="AE4723" s="12"/>
    </row>
    <row r="4724" customHeight="1" spans="1:31">
      <c r="A4724" s="11" t="s">
        <v>30</v>
      </c>
      <c r="B4724" s="11" t="s">
        <v>22468</v>
      </c>
      <c r="C4724" s="11">
        <v>2</v>
      </c>
      <c r="D4724" s="11">
        <v>83</v>
      </c>
      <c r="E4724" s="11">
        <v>0</v>
      </c>
      <c r="F4724" s="11">
        <v>0</v>
      </c>
      <c r="G4724" s="11">
        <v>0</v>
      </c>
      <c r="H4724" s="13"/>
      <c r="I4724" s="11" t="s">
        <v>1672</v>
      </c>
      <c r="J4724" s="11" t="s">
        <v>22469</v>
      </c>
      <c r="K4724" s="11" t="s">
        <v>22470</v>
      </c>
      <c r="L4724" s="11" t="s">
        <v>22471</v>
      </c>
      <c r="M4724" s="11" t="s">
        <v>22472</v>
      </c>
      <c r="N4724" s="11">
        <v>86</v>
      </c>
      <c r="O4724" s="11">
        <v>0</v>
      </c>
      <c r="P4724" s="11">
        <v>6</v>
      </c>
      <c r="Q4724" s="13"/>
      <c r="R4724" s="14" t="s">
        <v>22473</v>
      </c>
      <c r="S4724" s="11">
        <v>2</v>
      </c>
      <c r="T4724" s="11" t="s">
        <v>22474</v>
      </c>
      <c r="U4724" s="11" t="s">
        <v>22475</v>
      </c>
      <c r="V4724" s="13"/>
      <c r="W4724" s="11">
        <v>500000</v>
      </c>
      <c r="X4724" s="11">
        <v>2015</v>
      </c>
      <c r="Y4724" s="11">
        <v>0</v>
      </c>
      <c r="Z4724" s="11">
        <v>6.4</v>
      </c>
      <c r="AA4724" s="11">
        <v>2.35</v>
      </c>
      <c r="AB4724" s="11">
        <v>18</v>
      </c>
      <c r="AC4724" s="11"/>
      <c r="AD4724" s="11" t="str">
        <f>IFERROR(__xludf.DUMMYFUNCTION("""COMPUTED_VALUE"""),"Walter Brennan")</f>
        <v>Walter Brennan</v>
      </c>
      <c r="AE4724" s="11"/>
    </row>
    <row r="4725" customHeight="1" spans="1:31">
      <c r="A4725" s="12" t="s">
        <v>30</v>
      </c>
      <c r="B4725" s="12" t="s">
        <v>18268</v>
      </c>
      <c r="C4725" s="12">
        <v>50</v>
      </c>
      <c r="D4725" s="12">
        <v>122</v>
      </c>
      <c r="E4725" s="12">
        <v>589</v>
      </c>
      <c r="F4725" s="12">
        <v>150</v>
      </c>
      <c r="G4725" s="12">
        <v>848</v>
      </c>
      <c r="H4725" s="12">
        <v>33451479</v>
      </c>
      <c r="I4725" s="12" t="s">
        <v>214</v>
      </c>
      <c r="J4725" s="12" t="s">
        <v>22476</v>
      </c>
      <c r="K4725" s="12" t="s">
        <v>22477</v>
      </c>
      <c r="L4725" s="12" t="s">
        <v>22478</v>
      </c>
      <c r="M4725" s="12" t="s">
        <v>22479</v>
      </c>
      <c r="N4725" s="12">
        <v>17068</v>
      </c>
      <c r="O4725" s="12">
        <v>1164</v>
      </c>
      <c r="P4725" s="12">
        <v>0</v>
      </c>
      <c r="Q4725" s="12" t="s">
        <v>22480</v>
      </c>
      <c r="R4725" s="15" t="s">
        <v>22481</v>
      </c>
      <c r="S4725" s="12">
        <v>215</v>
      </c>
      <c r="T4725" s="12" t="s">
        <v>39</v>
      </c>
      <c r="U4725" s="12" t="s">
        <v>40</v>
      </c>
      <c r="V4725" s="12" t="s">
        <v>96</v>
      </c>
      <c r="W4725" s="12">
        <v>500000</v>
      </c>
      <c r="X4725" s="12">
        <v>2008</v>
      </c>
      <c r="Y4725" s="12">
        <v>153</v>
      </c>
      <c r="Z4725" s="12">
        <v>6.5</v>
      </c>
      <c r="AA4725" s="12">
        <v>1.85</v>
      </c>
      <c r="AB4725" s="12">
        <v>0</v>
      </c>
      <c r="AC4725" s="12"/>
      <c r="AD4725" s="12" t="str">
        <f>IFERROR(__xludf.DUMMYFUNCTION("""COMPUTED_VALUE"""),"Joyful Drake")</f>
        <v>Joyful Drake</v>
      </c>
      <c r="AE4725" s="12"/>
    </row>
    <row r="4726" customHeight="1" spans="1:31">
      <c r="A4726" s="11" t="s">
        <v>30</v>
      </c>
      <c r="B4726" s="11" t="s">
        <v>22482</v>
      </c>
      <c r="C4726" s="11">
        <v>19</v>
      </c>
      <c r="D4726" s="11">
        <v>115</v>
      </c>
      <c r="E4726" s="11">
        <v>95</v>
      </c>
      <c r="F4726" s="11">
        <v>0</v>
      </c>
      <c r="G4726" s="11">
        <v>0</v>
      </c>
      <c r="H4726" s="13"/>
      <c r="I4726" s="11" t="s">
        <v>22483</v>
      </c>
      <c r="J4726" s="11" t="s">
        <v>22484</v>
      </c>
      <c r="K4726" s="11" t="s">
        <v>22485</v>
      </c>
      <c r="L4726" s="11" t="s">
        <v>22486</v>
      </c>
      <c r="M4726" s="11" t="s">
        <v>22487</v>
      </c>
      <c r="N4726" s="11">
        <v>113</v>
      </c>
      <c r="O4726" s="11">
        <v>0</v>
      </c>
      <c r="P4726" s="11">
        <v>1</v>
      </c>
      <c r="Q4726" s="11" t="s">
        <v>22488</v>
      </c>
      <c r="R4726" s="14" t="s">
        <v>22489</v>
      </c>
      <c r="S4726" s="11">
        <v>3</v>
      </c>
      <c r="T4726" s="11" t="s">
        <v>5612</v>
      </c>
      <c r="U4726" s="11" t="s">
        <v>5613</v>
      </c>
      <c r="V4726" s="13"/>
      <c r="W4726" s="11">
        <v>550000</v>
      </c>
      <c r="X4726" s="11">
        <v>2013</v>
      </c>
      <c r="Y4726" s="11">
        <v>0</v>
      </c>
      <c r="Z4726" s="11">
        <v>7</v>
      </c>
      <c r="AA4726" s="11">
        <v>1.85</v>
      </c>
      <c r="AB4726" s="11">
        <v>126</v>
      </c>
      <c r="AC4726" s="11"/>
      <c r="AD4726" s="11" t="str">
        <f>IFERROR(__xludf.DUMMYFUNCTION("""COMPUTED_VALUE"""),"Seamus Davey-Fitzpatrick")</f>
        <v>Seamus Davey-Fitzpatrick</v>
      </c>
      <c r="AE4726" s="11"/>
    </row>
    <row r="4727" customHeight="1" spans="1:31">
      <c r="A4727" s="12" t="s">
        <v>30</v>
      </c>
      <c r="B4727" s="12" t="s">
        <v>22490</v>
      </c>
      <c r="C4727" s="12">
        <v>5</v>
      </c>
      <c r="D4727" s="12">
        <v>86</v>
      </c>
      <c r="E4727" s="12">
        <v>24</v>
      </c>
      <c r="F4727" s="12">
        <v>142</v>
      </c>
      <c r="G4727" s="12">
        <v>407</v>
      </c>
      <c r="H4727" s="12">
        <v>39552600</v>
      </c>
      <c r="I4727" s="12" t="s">
        <v>22491</v>
      </c>
      <c r="J4727" s="12" t="s">
        <v>22492</v>
      </c>
      <c r="K4727" s="12" t="s">
        <v>22493</v>
      </c>
      <c r="L4727" s="12" t="s">
        <v>22494</v>
      </c>
      <c r="M4727" s="12" t="s">
        <v>22495</v>
      </c>
      <c r="N4727" s="12">
        <v>3411</v>
      </c>
      <c r="O4727" s="12">
        <v>1090</v>
      </c>
      <c r="P4727" s="12">
        <v>0</v>
      </c>
      <c r="Q4727" s="12" t="s">
        <v>22496</v>
      </c>
      <c r="R4727" s="15" t="s">
        <v>22497</v>
      </c>
      <c r="S4727" s="12">
        <v>36</v>
      </c>
      <c r="T4727" s="12" t="s">
        <v>39</v>
      </c>
      <c r="U4727" s="12" t="s">
        <v>40</v>
      </c>
      <c r="V4727" s="12" t="s">
        <v>278</v>
      </c>
      <c r="W4727" s="12">
        <v>500000</v>
      </c>
      <c r="X4727" s="12">
        <v>1974</v>
      </c>
      <c r="Y4727" s="12">
        <v>189</v>
      </c>
      <c r="Z4727" s="12">
        <v>6.1</v>
      </c>
      <c r="AA4727" s="12">
        <v>1.85</v>
      </c>
      <c r="AB4727" s="12">
        <v>816</v>
      </c>
      <c r="AC4727" s="12"/>
      <c r="AD4727" s="12" t="str">
        <f>IFERROR(__xludf.DUMMYFUNCTION("""COMPUTED_VALUE"""),"Ariane Labed")</f>
        <v>Ariane Labed</v>
      </c>
      <c r="AE4727" s="12"/>
    </row>
    <row r="4728" customHeight="1" spans="1:31">
      <c r="A4728" s="11" t="s">
        <v>30</v>
      </c>
      <c r="B4728" s="11" t="s">
        <v>20169</v>
      </c>
      <c r="C4728" s="11">
        <v>235</v>
      </c>
      <c r="D4728" s="11">
        <v>79</v>
      </c>
      <c r="E4728" s="11">
        <v>9</v>
      </c>
      <c r="F4728" s="11">
        <v>7</v>
      </c>
      <c r="G4728" s="11">
        <v>48</v>
      </c>
      <c r="H4728" s="11">
        <v>30500882</v>
      </c>
      <c r="I4728" s="11" t="s">
        <v>22498</v>
      </c>
      <c r="J4728" s="11" t="s">
        <v>22499</v>
      </c>
      <c r="K4728" s="11" t="s">
        <v>22500</v>
      </c>
      <c r="L4728" s="11" t="s">
        <v>22501</v>
      </c>
      <c r="M4728" s="11" t="s">
        <v>22502</v>
      </c>
      <c r="N4728" s="11">
        <v>42256</v>
      </c>
      <c r="O4728" s="11">
        <v>67</v>
      </c>
      <c r="P4728" s="11">
        <v>1</v>
      </c>
      <c r="Q4728" s="11" t="s">
        <v>22503</v>
      </c>
      <c r="R4728" s="14" t="s">
        <v>22504</v>
      </c>
      <c r="S4728" s="11">
        <v>916</v>
      </c>
      <c r="T4728" s="11" t="s">
        <v>39</v>
      </c>
      <c r="U4728" s="11" t="s">
        <v>40</v>
      </c>
      <c r="V4728" s="11" t="s">
        <v>586</v>
      </c>
      <c r="W4728" s="11">
        <v>500000</v>
      </c>
      <c r="X4728" s="11">
        <v>2003</v>
      </c>
      <c r="Y4728" s="11">
        <v>10</v>
      </c>
      <c r="Z4728" s="11">
        <v>5.7</v>
      </c>
      <c r="AA4728" s="11">
        <v>1.85</v>
      </c>
      <c r="AB4728" s="11">
        <v>0</v>
      </c>
      <c r="AC4728" s="11"/>
      <c r="AD4728" s="11" t="str">
        <f>IFERROR(__xludf.DUMMYFUNCTION("""COMPUTED_VALUE"""),"Athina Rachel Tsangari")</f>
        <v>Athina Rachel Tsangari</v>
      </c>
      <c r="AE4728" s="11"/>
    </row>
    <row r="4729" customHeight="1" spans="1:31">
      <c r="A4729" s="12" t="s">
        <v>30</v>
      </c>
      <c r="B4729" s="12" t="s">
        <v>3684</v>
      </c>
      <c r="C4729" s="12">
        <v>8</v>
      </c>
      <c r="D4729" s="12">
        <v>87</v>
      </c>
      <c r="E4729" s="12">
        <v>490</v>
      </c>
      <c r="F4729" s="12">
        <v>201</v>
      </c>
      <c r="G4729" s="12">
        <v>833</v>
      </c>
      <c r="H4729" s="16"/>
      <c r="I4729" s="12" t="s">
        <v>1672</v>
      </c>
      <c r="J4729" s="12" t="s">
        <v>624</v>
      </c>
      <c r="K4729" s="12" t="s">
        <v>1179</v>
      </c>
      <c r="L4729" s="12" t="s">
        <v>22505</v>
      </c>
      <c r="M4729" s="12" t="s">
        <v>22506</v>
      </c>
      <c r="N4729" s="12">
        <v>1305</v>
      </c>
      <c r="O4729" s="12">
        <v>2295</v>
      </c>
      <c r="P4729" s="12">
        <v>6</v>
      </c>
      <c r="Q4729" s="16"/>
      <c r="R4729" s="15" t="s">
        <v>22507</v>
      </c>
      <c r="S4729" s="12">
        <v>3</v>
      </c>
      <c r="T4729" s="12" t="s">
        <v>39</v>
      </c>
      <c r="U4729" s="12" t="s">
        <v>40</v>
      </c>
      <c r="V4729" s="12" t="s">
        <v>586</v>
      </c>
      <c r="W4729" s="16"/>
      <c r="X4729" s="12">
        <v>2011</v>
      </c>
      <c r="Y4729" s="12">
        <v>523</v>
      </c>
      <c r="Z4729" s="12">
        <v>5.4</v>
      </c>
      <c r="AA4729" s="16"/>
      <c r="AB4729" s="12">
        <v>244</v>
      </c>
      <c r="AC4729" s="12"/>
      <c r="AD4729" s="12" t="str">
        <f>IFERROR(__xludf.DUMMYFUNCTION("""COMPUTED_VALUE"""),"John Astin")</f>
        <v>John Astin</v>
      </c>
      <c r="AE4729" s="12"/>
    </row>
    <row r="4730" customHeight="1" spans="1:31">
      <c r="A4730" s="11" t="s">
        <v>30</v>
      </c>
      <c r="B4730" s="11" t="s">
        <v>22508</v>
      </c>
      <c r="C4730" s="11">
        <v>95</v>
      </c>
      <c r="D4730" s="11">
        <v>97</v>
      </c>
      <c r="E4730" s="11">
        <v>8</v>
      </c>
      <c r="F4730" s="11">
        <v>22</v>
      </c>
      <c r="G4730" s="11">
        <v>423</v>
      </c>
      <c r="H4730" s="11">
        <v>17000000</v>
      </c>
      <c r="I4730" s="11" t="s">
        <v>10223</v>
      </c>
      <c r="J4730" s="11" t="s">
        <v>17842</v>
      </c>
      <c r="K4730" s="11" t="s">
        <v>22509</v>
      </c>
      <c r="L4730" s="11" t="s">
        <v>22510</v>
      </c>
      <c r="M4730" s="11" t="s">
        <v>22511</v>
      </c>
      <c r="N4730" s="11">
        <v>3274</v>
      </c>
      <c r="O4730" s="11">
        <v>516</v>
      </c>
      <c r="P4730" s="11">
        <v>0</v>
      </c>
      <c r="Q4730" s="11" t="s">
        <v>22512</v>
      </c>
      <c r="R4730" s="14" t="s">
        <v>22513</v>
      </c>
      <c r="S4730" s="11">
        <v>84</v>
      </c>
      <c r="T4730" s="11" t="s">
        <v>39</v>
      </c>
      <c r="U4730" s="11" t="s">
        <v>40</v>
      </c>
      <c r="V4730" s="11" t="s">
        <v>96</v>
      </c>
      <c r="W4730" s="11">
        <v>500000</v>
      </c>
      <c r="X4730" s="11">
        <v>1977</v>
      </c>
      <c r="Y4730" s="11">
        <v>23</v>
      </c>
      <c r="Z4730" s="11">
        <v>5.9</v>
      </c>
      <c r="AA4730" s="11">
        <v>1.85</v>
      </c>
      <c r="AB4730" s="11">
        <v>0</v>
      </c>
      <c r="AC4730" s="11"/>
      <c r="AD4730" s="11" t="str">
        <f>IFERROR(__xludf.DUMMYFUNCTION("""COMPUTED_VALUE"""),"Robert Neary")</f>
        <v>Robert Neary</v>
      </c>
      <c r="AE4730" s="11"/>
    </row>
    <row r="4731" customHeight="1" spans="1:31">
      <c r="A4731" s="12" t="s">
        <v>30</v>
      </c>
      <c r="B4731" s="12" t="s">
        <v>22514</v>
      </c>
      <c r="C4731" s="12">
        <v>84</v>
      </c>
      <c r="D4731" s="12">
        <v>105</v>
      </c>
      <c r="E4731" s="12">
        <v>2</v>
      </c>
      <c r="F4731" s="12">
        <v>0</v>
      </c>
      <c r="G4731" s="12">
        <v>0</v>
      </c>
      <c r="H4731" s="12">
        <v>8044906</v>
      </c>
      <c r="I4731" s="12" t="s">
        <v>22515</v>
      </c>
      <c r="J4731" s="12" t="s">
        <v>22516</v>
      </c>
      <c r="K4731" s="12" t="s">
        <v>22517</v>
      </c>
      <c r="L4731" s="12" t="s">
        <v>22518</v>
      </c>
      <c r="M4731" s="12" t="s">
        <v>22519</v>
      </c>
      <c r="N4731" s="12">
        <v>3156</v>
      </c>
      <c r="O4731" s="12">
        <v>0</v>
      </c>
      <c r="P4731" s="12">
        <v>2</v>
      </c>
      <c r="Q4731" s="12" t="s">
        <v>22520</v>
      </c>
      <c r="R4731" s="15" t="s">
        <v>22521</v>
      </c>
      <c r="S4731" s="12">
        <v>65</v>
      </c>
      <c r="T4731" s="12" t="s">
        <v>39</v>
      </c>
      <c r="U4731" s="12" t="s">
        <v>40</v>
      </c>
      <c r="V4731" s="12" t="s">
        <v>96</v>
      </c>
      <c r="W4731" s="16"/>
      <c r="X4731" s="12">
        <v>2005</v>
      </c>
      <c r="Y4731" s="12">
        <v>0</v>
      </c>
      <c r="Z4731" s="12">
        <v>7.5</v>
      </c>
      <c r="AA4731" s="12">
        <v>1.85</v>
      </c>
      <c r="AB4731" s="12">
        <v>588</v>
      </c>
      <c r="AC4731" s="12"/>
      <c r="AD4731" s="12" t="str">
        <f>IFERROR(__xludf.DUMMYFUNCTION("""COMPUTED_VALUE"""),"Angus Scrimm")</f>
        <v>Angus Scrimm</v>
      </c>
      <c r="AE4731" s="12"/>
    </row>
    <row r="4732" customHeight="1" spans="1:31">
      <c r="A4732" s="11" t="s">
        <v>30</v>
      </c>
      <c r="B4732" s="11" t="s">
        <v>432</v>
      </c>
      <c r="C4732" s="11">
        <v>154</v>
      </c>
      <c r="D4732" s="11">
        <v>89</v>
      </c>
      <c r="E4732" s="11">
        <v>310</v>
      </c>
      <c r="F4732" s="11">
        <v>587</v>
      </c>
      <c r="G4732" s="11">
        <v>22000</v>
      </c>
      <c r="H4732" s="11">
        <v>5739376</v>
      </c>
      <c r="I4732" s="11" t="s">
        <v>2528</v>
      </c>
      <c r="J4732" s="11" t="s">
        <v>149</v>
      </c>
      <c r="K4732" s="11" t="s">
        <v>624</v>
      </c>
      <c r="L4732" s="11" t="s">
        <v>9292</v>
      </c>
      <c r="M4732" s="11" t="s">
        <v>22522</v>
      </c>
      <c r="N4732" s="11">
        <v>58260</v>
      </c>
      <c r="O4732" s="11">
        <v>24419</v>
      </c>
      <c r="P4732" s="11">
        <v>0</v>
      </c>
      <c r="Q4732" s="11" t="s">
        <v>22523</v>
      </c>
      <c r="R4732" s="14" t="s">
        <v>22524</v>
      </c>
      <c r="S4732" s="11">
        <v>286</v>
      </c>
      <c r="T4732" s="11" t="s">
        <v>39</v>
      </c>
      <c r="U4732" s="11" t="s">
        <v>40</v>
      </c>
      <c r="V4732" s="11" t="s">
        <v>586</v>
      </c>
      <c r="W4732" s="11">
        <v>500000</v>
      </c>
      <c r="X4732" s="11">
        <v>2003</v>
      </c>
      <c r="Y4732" s="11">
        <v>833</v>
      </c>
      <c r="Z4732" s="11">
        <v>7.7</v>
      </c>
      <c r="AA4732" s="11">
        <v>1.85</v>
      </c>
      <c r="AB4732" s="11">
        <v>0</v>
      </c>
      <c r="AC4732" s="11"/>
      <c r="AD4732" s="11" t="str">
        <f>IFERROR(__xludf.DUMMYFUNCTION("""COMPUTED_VALUE"""),"A. Michael Baldwin")</f>
        <v>A. Michael Baldwin</v>
      </c>
      <c r="AE4732" s="11"/>
    </row>
    <row r="4733" customHeight="1" spans="1:31">
      <c r="A4733" s="12" t="s">
        <v>30</v>
      </c>
      <c r="B4733" s="12" t="s">
        <v>22525</v>
      </c>
      <c r="C4733" s="12">
        <v>20</v>
      </c>
      <c r="D4733" s="12">
        <v>120</v>
      </c>
      <c r="E4733" s="12">
        <v>3</v>
      </c>
      <c r="F4733" s="12">
        <v>234</v>
      </c>
      <c r="G4733" s="12">
        <v>984</v>
      </c>
      <c r="H4733" s="12">
        <v>3773863</v>
      </c>
      <c r="I4733" s="12" t="s">
        <v>3410</v>
      </c>
      <c r="J4733" s="12" t="s">
        <v>17727</v>
      </c>
      <c r="K4733" s="12" t="s">
        <v>16068</v>
      </c>
      <c r="L4733" s="12" t="s">
        <v>22124</v>
      </c>
      <c r="M4733" s="12" t="s">
        <v>22526</v>
      </c>
      <c r="N4733" s="12">
        <v>4583</v>
      </c>
      <c r="O4733" s="12">
        <v>2563</v>
      </c>
      <c r="P4733" s="12">
        <v>1</v>
      </c>
      <c r="Q4733" s="12" t="s">
        <v>22527</v>
      </c>
      <c r="R4733" s="15" t="s">
        <v>22528</v>
      </c>
      <c r="S4733" s="12">
        <v>55</v>
      </c>
      <c r="T4733" s="12" t="s">
        <v>39</v>
      </c>
      <c r="U4733" s="12" t="s">
        <v>40</v>
      </c>
      <c r="V4733" s="12" t="s">
        <v>41</v>
      </c>
      <c r="W4733" s="12">
        <v>1000000</v>
      </c>
      <c r="X4733" s="12">
        <v>2009</v>
      </c>
      <c r="Y4733" s="12">
        <v>801</v>
      </c>
      <c r="Z4733" s="12">
        <v>7.1</v>
      </c>
      <c r="AA4733" s="12">
        <v>2.35</v>
      </c>
      <c r="AB4733" s="12">
        <v>0</v>
      </c>
      <c r="AC4733" s="12"/>
      <c r="AD4733" s="12" t="str">
        <f>IFERROR(__xludf.DUMMYFUNCTION("""COMPUTED_VALUE"""),"James Le Gros")</f>
        <v>James Le Gros</v>
      </c>
      <c r="AE4733" s="12"/>
    </row>
    <row r="4734" customHeight="1" spans="1:31">
      <c r="A4734" s="11" t="s">
        <v>30</v>
      </c>
      <c r="B4734" s="11" t="s">
        <v>22529</v>
      </c>
      <c r="C4734" s="11">
        <v>88</v>
      </c>
      <c r="D4734" s="11">
        <v>94</v>
      </c>
      <c r="E4734" s="11">
        <v>3</v>
      </c>
      <c r="F4734" s="11">
        <v>2</v>
      </c>
      <c r="G4734" s="11">
        <v>196</v>
      </c>
      <c r="H4734" s="11">
        <v>3117666</v>
      </c>
      <c r="I4734" s="11" t="s">
        <v>68</v>
      </c>
      <c r="J4734" s="11" t="s">
        <v>22530</v>
      </c>
      <c r="K4734" s="11" t="s">
        <v>15637</v>
      </c>
      <c r="L4734" s="11" t="s">
        <v>22531</v>
      </c>
      <c r="M4734" s="11" t="s">
        <v>22532</v>
      </c>
      <c r="N4734" s="11">
        <v>3394</v>
      </c>
      <c r="O4734" s="11">
        <v>382</v>
      </c>
      <c r="P4734" s="11">
        <v>0</v>
      </c>
      <c r="Q4734" s="11" t="s">
        <v>22533</v>
      </c>
      <c r="R4734" s="14" t="s">
        <v>22534</v>
      </c>
      <c r="S4734" s="11">
        <v>43</v>
      </c>
      <c r="T4734" s="11" t="s">
        <v>39</v>
      </c>
      <c r="U4734" s="11" t="s">
        <v>40</v>
      </c>
      <c r="V4734" s="11" t="s">
        <v>96</v>
      </c>
      <c r="W4734" s="13"/>
      <c r="X4734" s="11">
        <v>2006</v>
      </c>
      <c r="Y4734" s="11">
        <v>184</v>
      </c>
      <c r="Z4734" s="11">
        <v>7.4</v>
      </c>
      <c r="AA4734" s="11">
        <v>1.66</v>
      </c>
      <c r="AB4734" s="11">
        <v>694</v>
      </c>
      <c r="AC4734" s="11"/>
      <c r="AD4734" s="11" t="str">
        <f>IFERROR(__xludf.DUMMYFUNCTION("""COMPUTED_VALUE"""),"Clifton Powell")</f>
        <v>Clifton Powell</v>
      </c>
      <c r="AE4734" s="11"/>
    </row>
    <row r="4735" customHeight="1" spans="1:31">
      <c r="A4735" s="12" t="s">
        <v>30</v>
      </c>
      <c r="B4735" s="12" t="s">
        <v>22535</v>
      </c>
      <c r="C4735" s="12">
        <v>70</v>
      </c>
      <c r="D4735" s="12">
        <v>108</v>
      </c>
      <c r="E4735" s="12">
        <v>6</v>
      </c>
      <c r="F4735" s="12">
        <v>43</v>
      </c>
      <c r="G4735" s="12">
        <v>54</v>
      </c>
      <c r="H4735" s="12">
        <v>2047570</v>
      </c>
      <c r="I4735" s="12" t="s">
        <v>22536</v>
      </c>
      <c r="J4735" s="12" t="s">
        <v>22537</v>
      </c>
      <c r="K4735" s="12" t="s">
        <v>22538</v>
      </c>
      <c r="L4735" s="12" t="s">
        <v>22539</v>
      </c>
      <c r="M4735" s="12" t="s">
        <v>22540</v>
      </c>
      <c r="N4735" s="12">
        <v>6790</v>
      </c>
      <c r="O4735" s="12">
        <v>194</v>
      </c>
      <c r="P4735" s="12">
        <v>3</v>
      </c>
      <c r="Q4735" s="12" t="s">
        <v>22541</v>
      </c>
      <c r="R4735" s="15" t="s">
        <v>22542</v>
      </c>
      <c r="S4735" s="12">
        <v>80</v>
      </c>
      <c r="T4735" s="12" t="s">
        <v>39</v>
      </c>
      <c r="U4735" s="12" t="s">
        <v>40</v>
      </c>
      <c r="V4735" s="12" t="s">
        <v>586</v>
      </c>
      <c r="W4735" s="12">
        <v>500000</v>
      </c>
      <c r="X4735" s="12">
        <v>1999</v>
      </c>
      <c r="Y4735" s="12">
        <v>44</v>
      </c>
      <c r="Z4735" s="12">
        <v>7.6</v>
      </c>
      <c r="AA4735" s="12">
        <v>1.85</v>
      </c>
      <c r="AB4735" s="12">
        <v>491</v>
      </c>
      <c r="AC4735" s="12"/>
      <c r="AD4735" s="12" t="str">
        <f>IFERROR(__xludf.DUMMYFUNCTION("""COMPUTED_VALUE"""),"Jessica De Gouw")</f>
        <v>Jessica De Gouw</v>
      </c>
      <c r="AE4735" s="12"/>
    </row>
    <row r="4736" customHeight="1" spans="1:31">
      <c r="A4736" s="11" t="s">
        <v>30</v>
      </c>
      <c r="B4736" s="11" t="s">
        <v>22543</v>
      </c>
      <c r="C4736" s="11">
        <v>5</v>
      </c>
      <c r="D4736" s="11">
        <v>102</v>
      </c>
      <c r="E4736" s="11">
        <v>0</v>
      </c>
      <c r="F4736" s="11">
        <v>15</v>
      </c>
      <c r="G4736" s="11">
        <v>69</v>
      </c>
      <c r="H4736" s="11">
        <v>1250798</v>
      </c>
      <c r="I4736" s="11" t="s">
        <v>1415</v>
      </c>
      <c r="J4736" s="11" t="s">
        <v>20305</v>
      </c>
      <c r="K4736" s="11" t="s">
        <v>22544</v>
      </c>
      <c r="L4736" s="11" t="s">
        <v>22545</v>
      </c>
      <c r="M4736" s="11" t="s">
        <v>22546</v>
      </c>
      <c r="N4736" s="11">
        <v>1099</v>
      </c>
      <c r="O4736" s="11">
        <v>161</v>
      </c>
      <c r="P4736" s="11">
        <v>0</v>
      </c>
      <c r="Q4736" s="11" t="s">
        <v>22547</v>
      </c>
      <c r="R4736" s="14" t="s">
        <v>22548</v>
      </c>
      <c r="S4736" s="11">
        <v>53</v>
      </c>
      <c r="T4736" s="11" t="s">
        <v>39</v>
      </c>
      <c r="U4736" s="11" t="s">
        <v>40</v>
      </c>
      <c r="V4736" s="11" t="s">
        <v>96</v>
      </c>
      <c r="W4736" s="11">
        <v>500000</v>
      </c>
      <c r="X4736" s="11">
        <v>2002</v>
      </c>
      <c r="Y4736" s="11">
        <v>24</v>
      </c>
      <c r="Z4736" s="11">
        <v>6.4</v>
      </c>
      <c r="AA4736" s="13"/>
      <c r="AB4736" s="11">
        <v>43</v>
      </c>
      <c r="AC4736" s="11"/>
      <c r="AD4736" s="11" t="str">
        <f>IFERROR(__xludf.DUMMYFUNCTION("""COMPUTED_VALUE"""),"Lisa Ray")</f>
        <v>Lisa Ray</v>
      </c>
      <c r="AE4736" s="11"/>
    </row>
    <row r="4737" customHeight="1" spans="1:31">
      <c r="A4737" s="12" t="s">
        <v>30</v>
      </c>
      <c r="B4737" s="12" t="s">
        <v>22549</v>
      </c>
      <c r="C4737" s="12">
        <v>105</v>
      </c>
      <c r="D4737" s="12">
        <v>83</v>
      </c>
      <c r="E4737" s="12">
        <v>6</v>
      </c>
      <c r="F4737" s="12">
        <v>0</v>
      </c>
      <c r="G4737" s="12">
        <v>30</v>
      </c>
      <c r="H4737" s="12">
        <v>1127331</v>
      </c>
      <c r="I4737" s="12" t="s">
        <v>3410</v>
      </c>
      <c r="J4737" s="12" t="s">
        <v>22550</v>
      </c>
      <c r="K4737" s="12" t="s">
        <v>22551</v>
      </c>
      <c r="L4737" s="12" t="s">
        <v>22552</v>
      </c>
      <c r="M4737" s="12" t="s">
        <v>22553</v>
      </c>
      <c r="N4737" s="12">
        <v>7559</v>
      </c>
      <c r="O4737" s="12">
        <v>30</v>
      </c>
      <c r="P4737" s="12">
        <v>1</v>
      </c>
      <c r="Q4737" s="12" t="s">
        <v>22554</v>
      </c>
      <c r="R4737" s="15" t="s">
        <v>22555</v>
      </c>
      <c r="S4737" s="12">
        <v>77</v>
      </c>
      <c r="T4737" s="12" t="s">
        <v>11118</v>
      </c>
      <c r="U4737" s="12" t="s">
        <v>22556</v>
      </c>
      <c r="V4737" s="12" t="s">
        <v>41</v>
      </c>
      <c r="W4737" s="12">
        <v>46000</v>
      </c>
      <c r="X4737" s="12">
        <v>2003</v>
      </c>
      <c r="Y4737" s="12">
        <v>0</v>
      </c>
      <c r="Z4737" s="12">
        <v>7.4</v>
      </c>
      <c r="AA4737" s="12">
        <v>1.85</v>
      </c>
      <c r="AB4737" s="12">
        <v>0</v>
      </c>
      <c r="AC4737" s="12"/>
      <c r="AD4737" s="12" t="str">
        <f>IFERROR(__xludf.DUMMYFUNCTION("""COMPUTED_VALUE"""),"Seema Biswas")</f>
        <v>Seema Biswas</v>
      </c>
      <c r="AE4737" s="12"/>
    </row>
    <row r="4738" customHeight="1" spans="1:31">
      <c r="A4738" s="11" t="s">
        <v>30</v>
      </c>
      <c r="B4738" s="11" t="s">
        <v>22557</v>
      </c>
      <c r="C4738" s="11">
        <v>29</v>
      </c>
      <c r="D4738" s="11">
        <v>93</v>
      </c>
      <c r="E4738" s="11">
        <v>0</v>
      </c>
      <c r="F4738" s="11">
        <v>59</v>
      </c>
      <c r="G4738" s="11">
        <v>399</v>
      </c>
      <c r="H4738" s="11">
        <v>906666</v>
      </c>
      <c r="I4738" s="11" t="s">
        <v>68</v>
      </c>
      <c r="J4738" s="11" t="s">
        <v>12270</v>
      </c>
      <c r="K4738" s="11" t="s">
        <v>22558</v>
      </c>
      <c r="L4738" s="11" t="s">
        <v>22559</v>
      </c>
      <c r="M4738" s="11" t="s">
        <v>22560</v>
      </c>
      <c r="N4738" s="11">
        <v>154</v>
      </c>
      <c r="O4738" s="11">
        <v>660</v>
      </c>
      <c r="P4738" s="11">
        <v>1</v>
      </c>
      <c r="Q4738" s="11" t="s">
        <v>22561</v>
      </c>
      <c r="R4738" s="14" t="s">
        <v>22562</v>
      </c>
      <c r="S4738" s="11">
        <v>5</v>
      </c>
      <c r="T4738" s="11" t="s">
        <v>39</v>
      </c>
      <c r="U4738" s="11" t="s">
        <v>40</v>
      </c>
      <c r="V4738" s="11" t="s">
        <v>5614</v>
      </c>
      <c r="W4738" s="11">
        <v>500000</v>
      </c>
      <c r="X4738" s="11">
        <v>2011</v>
      </c>
      <c r="Y4738" s="11">
        <v>169</v>
      </c>
      <c r="Z4738" s="11">
        <v>6.8</v>
      </c>
      <c r="AA4738" s="11">
        <v>16</v>
      </c>
      <c r="AB4738" s="11">
        <v>287</v>
      </c>
      <c r="AC4738" s="11"/>
      <c r="AD4738" s="11" t="str">
        <f>IFERROR(__xludf.DUMMYFUNCTION("""COMPUTED_VALUE"""),"Callie Thorne")</f>
        <v>Callie Thorne</v>
      </c>
      <c r="AE4738" s="11"/>
    </row>
    <row r="4739" customHeight="1" spans="1:31">
      <c r="A4739" s="12" t="s">
        <v>30</v>
      </c>
      <c r="B4739" s="12" t="s">
        <v>22563</v>
      </c>
      <c r="C4739" s="12">
        <v>46</v>
      </c>
      <c r="D4739" s="12">
        <v>86</v>
      </c>
      <c r="E4739" s="12">
        <v>7</v>
      </c>
      <c r="F4739" s="12">
        <v>17</v>
      </c>
      <c r="G4739" s="12">
        <v>328</v>
      </c>
      <c r="H4739" s="12">
        <v>1114943</v>
      </c>
      <c r="I4739" s="12" t="s">
        <v>6200</v>
      </c>
      <c r="J4739" s="12" t="s">
        <v>12897</v>
      </c>
      <c r="K4739" s="12" t="s">
        <v>22564</v>
      </c>
      <c r="L4739" s="12" t="s">
        <v>22565</v>
      </c>
      <c r="M4739" s="12" t="s">
        <v>22566</v>
      </c>
      <c r="N4739" s="12">
        <v>3562</v>
      </c>
      <c r="O4739" s="12">
        <v>407</v>
      </c>
      <c r="P4739" s="12">
        <v>0</v>
      </c>
      <c r="Q4739" s="12" t="s">
        <v>22567</v>
      </c>
      <c r="R4739" s="15" t="s">
        <v>22568</v>
      </c>
      <c r="S4739" s="12">
        <v>74</v>
      </c>
      <c r="T4739" s="12" t="s">
        <v>39</v>
      </c>
      <c r="U4739" s="12" t="s">
        <v>40</v>
      </c>
      <c r="V4739" s="12" t="s">
        <v>586</v>
      </c>
      <c r="W4739" s="12">
        <v>500000</v>
      </c>
      <c r="X4739" s="12">
        <v>2000</v>
      </c>
      <c r="Y4739" s="12">
        <v>27</v>
      </c>
      <c r="Z4739" s="12">
        <v>6.5</v>
      </c>
      <c r="AA4739" s="12">
        <v>1.85</v>
      </c>
      <c r="AB4739" s="12">
        <v>0</v>
      </c>
      <c r="AC4739" s="12"/>
      <c r="AD4739" s="12" t="str">
        <f>IFERROR(__xludf.DUMMYFUNCTION("""COMPUTED_VALUE"""),"David Heyman")</f>
        <v>David Heyman</v>
      </c>
      <c r="AE4739" s="12"/>
    </row>
    <row r="4740" customHeight="1" spans="1:31">
      <c r="A4740" s="11" t="s">
        <v>30</v>
      </c>
      <c r="B4740" s="11" t="s">
        <v>22543</v>
      </c>
      <c r="C4740" s="11">
        <v>3</v>
      </c>
      <c r="D4740" s="11">
        <v>101</v>
      </c>
      <c r="E4740" s="11">
        <v>0</v>
      </c>
      <c r="F4740" s="11">
        <v>17</v>
      </c>
      <c r="G4740" s="11">
        <v>69</v>
      </c>
      <c r="H4740" s="11">
        <v>1111615</v>
      </c>
      <c r="I4740" s="11" t="s">
        <v>14201</v>
      </c>
      <c r="J4740" s="11" t="s">
        <v>20305</v>
      </c>
      <c r="K4740" s="11" t="s">
        <v>22569</v>
      </c>
      <c r="L4740" s="11" t="s">
        <v>22570</v>
      </c>
      <c r="M4740" s="11" t="s">
        <v>22571</v>
      </c>
      <c r="N4740" s="11">
        <v>651</v>
      </c>
      <c r="O4740" s="11">
        <v>155</v>
      </c>
      <c r="P4740" s="11">
        <v>0</v>
      </c>
      <c r="Q4740" s="11" t="s">
        <v>22572</v>
      </c>
      <c r="R4740" s="14" t="s">
        <v>22573</v>
      </c>
      <c r="S4740" s="11">
        <v>34</v>
      </c>
      <c r="T4740" s="11" t="s">
        <v>39</v>
      </c>
      <c r="U4740" s="11" t="s">
        <v>40</v>
      </c>
      <c r="V4740" s="11" t="s">
        <v>96</v>
      </c>
      <c r="W4740" s="11">
        <v>500000</v>
      </c>
      <c r="X4740" s="11">
        <v>2003</v>
      </c>
      <c r="Y4740" s="11">
        <v>34</v>
      </c>
      <c r="Z4740" s="11">
        <v>6</v>
      </c>
      <c r="AA4740" s="13"/>
      <c r="AB4740" s="11">
        <v>44</v>
      </c>
      <c r="AC4740" s="11"/>
      <c r="AD4740" s="11" t="str">
        <f>IFERROR(__xludf.DUMMYFUNCTION("""COMPUTED_VALUE"""),"Ann Morgan Guilbert")</f>
        <v>Ann Morgan Guilbert</v>
      </c>
      <c r="AE4740" s="11"/>
    </row>
    <row r="4741" customHeight="1" spans="1:31">
      <c r="A4741" s="12" t="s">
        <v>30</v>
      </c>
      <c r="B4741" s="12" t="s">
        <v>13778</v>
      </c>
      <c r="C4741" s="12">
        <v>54</v>
      </c>
      <c r="D4741" s="12">
        <v>111</v>
      </c>
      <c r="E4741" s="12">
        <v>35</v>
      </c>
      <c r="F4741" s="12">
        <v>482</v>
      </c>
      <c r="G4741" s="12">
        <v>980</v>
      </c>
      <c r="H4741" s="12">
        <v>985341</v>
      </c>
      <c r="I4741" s="12" t="s">
        <v>3410</v>
      </c>
      <c r="J4741" s="12" t="s">
        <v>11862</v>
      </c>
      <c r="K4741" s="12" t="s">
        <v>22574</v>
      </c>
      <c r="L4741" s="12" t="s">
        <v>5591</v>
      </c>
      <c r="M4741" s="12" t="s">
        <v>22575</v>
      </c>
      <c r="N4741" s="12">
        <v>3479</v>
      </c>
      <c r="O4741" s="12">
        <v>3166</v>
      </c>
      <c r="P4741" s="12">
        <v>0</v>
      </c>
      <c r="Q4741" s="12" t="s">
        <v>22576</v>
      </c>
      <c r="R4741" s="15" t="s">
        <v>22577</v>
      </c>
      <c r="S4741" s="12">
        <v>87</v>
      </c>
      <c r="T4741" s="12" t="s">
        <v>39</v>
      </c>
      <c r="U4741" s="12" t="s">
        <v>40</v>
      </c>
      <c r="V4741" s="12" t="s">
        <v>586</v>
      </c>
      <c r="W4741" s="12">
        <v>500000</v>
      </c>
      <c r="X4741" s="12">
        <v>1999</v>
      </c>
      <c r="Y4741" s="12">
        <v>505</v>
      </c>
      <c r="Z4741" s="12">
        <v>7.3</v>
      </c>
      <c r="AA4741" s="12">
        <v>1.85</v>
      </c>
      <c r="AB4741" s="12">
        <v>180</v>
      </c>
      <c r="AC4741" s="12"/>
      <c r="AD4741" s="12" t="str">
        <f>IFERROR(__xludf.DUMMYFUNCTION("""COMPUTED_VALUE"""),"Peter Ostrum")</f>
        <v>Peter Ostrum</v>
      </c>
      <c r="AE4741" s="12"/>
    </row>
    <row r="4742" customHeight="1" spans="1:31">
      <c r="A4742" s="11" t="s">
        <v>30</v>
      </c>
      <c r="B4742" s="11" t="s">
        <v>22578</v>
      </c>
      <c r="C4742" s="11">
        <v>126</v>
      </c>
      <c r="D4742" s="11">
        <v>90</v>
      </c>
      <c r="E4742" s="11">
        <v>9</v>
      </c>
      <c r="F4742" s="11">
        <v>595</v>
      </c>
      <c r="G4742" s="11">
        <v>710</v>
      </c>
      <c r="H4742" s="11">
        <v>603943</v>
      </c>
      <c r="I4742" s="11" t="s">
        <v>1936</v>
      </c>
      <c r="J4742" s="11" t="s">
        <v>3287</v>
      </c>
      <c r="K4742" s="11" t="s">
        <v>9769</v>
      </c>
      <c r="L4742" s="11" t="s">
        <v>2033</v>
      </c>
      <c r="M4742" s="11" t="s">
        <v>22579</v>
      </c>
      <c r="N4742" s="11">
        <v>26407</v>
      </c>
      <c r="O4742" s="11">
        <v>2655</v>
      </c>
      <c r="P4742" s="11">
        <v>0</v>
      </c>
      <c r="Q4742" s="11" t="s">
        <v>22580</v>
      </c>
      <c r="R4742" s="14" t="s">
        <v>22581</v>
      </c>
      <c r="S4742" s="11">
        <v>154</v>
      </c>
      <c r="T4742" s="11" t="s">
        <v>39</v>
      </c>
      <c r="U4742" s="11" t="s">
        <v>40</v>
      </c>
      <c r="V4742" s="11" t="s">
        <v>586</v>
      </c>
      <c r="W4742" s="11">
        <v>500000</v>
      </c>
      <c r="X4742" s="11">
        <v>2004</v>
      </c>
      <c r="Y4742" s="11">
        <v>634</v>
      </c>
      <c r="Z4742" s="11">
        <v>7.3</v>
      </c>
      <c r="AA4742" s="11">
        <v>1.85</v>
      </c>
      <c r="AB4742" s="11">
        <v>1000</v>
      </c>
      <c r="AC4742" s="11"/>
      <c r="AD4742" s="11" t="str">
        <f>IFERROR(__xludf.DUMMYFUNCTION("""COMPUTED_VALUE"""),"Jack Albertson")</f>
        <v>Jack Albertson</v>
      </c>
      <c r="AE4742" s="11"/>
    </row>
    <row r="4743" customHeight="1" spans="1:31">
      <c r="A4743" s="12" t="s">
        <v>748</v>
      </c>
      <c r="B4743" s="12" t="s">
        <v>17984</v>
      </c>
      <c r="C4743" s="12">
        <v>17</v>
      </c>
      <c r="D4743" s="12">
        <v>86</v>
      </c>
      <c r="E4743" s="12">
        <v>204</v>
      </c>
      <c r="F4743" s="12">
        <v>474</v>
      </c>
      <c r="G4743" s="12">
        <v>659</v>
      </c>
      <c r="H4743" s="12">
        <v>334041</v>
      </c>
      <c r="I4743" s="12" t="s">
        <v>4824</v>
      </c>
      <c r="J4743" s="12" t="s">
        <v>17353</v>
      </c>
      <c r="K4743" s="12" t="s">
        <v>8132</v>
      </c>
      <c r="L4743" s="12" t="s">
        <v>11234</v>
      </c>
      <c r="M4743" s="12" t="s">
        <v>22582</v>
      </c>
      <c r="N4743" s="12">
        <v>1038</v>
      </c>
      <c r="O4743" s="12">
        <v>2322</v>
      </c>
      <c r="P4743" s="12">
        <v>3</v>
      </c>
      <c r="Q4743" s="12" t="s">
        <v>22583</v>
      </c>
      <c r="R4743" s="15" t="s">
        <v>22584</v>
      </c>
      <c r="S4743" s="12">
        <v>21</v>
      </c>
      <c r="T4743" s="12" t="s">
        <v>39</v>
      </c>
      <c r="U4743" s="12" t="s">
        <v>40</v>
      </c>
      <c r="V4743" s="12" t="s">
        <v>586</v>
      </c>
      <c r="W4743" s="12">
        <v>500000</v>
      </c>
      <c r="X4743" s="12">
        <v>1997</v>
      </c>
      <c r="Y4743" s="12">
        <v>529</v>
      </c>
      <c r="Z4743" s="12">
        <v>6.5</v>
      </c>
      <c r="AA4743" s="12">
        <v>1.85</v>
      </c>
      <c r="AB4743" s="12">
        <v>51</v>
      </c>
      <c r="AC4743" s="12"/>
      <c r="AD4743" s="12" t="str">
        <f>IFERROR(__xludf.DUMMYFUNCTION("""COMPUTED_VALUE"""),"Julie Dawn Cole")</f>
        <v>Julie Dawn Cole</v>
      </c>
      <c r="AE4743" s="12"/>
    </row>
    <row r="4744" customHeight="1" spans="1:31">
      <c r="A4744" s="11" t="s">
        <v>30</v>
      </c>
      <c r="B4744" s="11" t="s">
        <v>22585</v>
      </c>
      <c r="C4744" s="11">
        <v>25</v>
      </c>
      <c r="D4744" s="11">
        <v>98</v>
      </c>
      <c r="E4744" s="11">
        <v>71</v>
      </c>
      <c r="F4744" s="11">
        <v>658</v>
      </c>
      <c r="G4744" s="11">
        <v>22000</v>
      </c>
      <c r="H4744" s="11">
        <v>295468</v>
      </c>
      <c r="I4744" s="11" t="s">
        <v>1681</v>
      </c>
      <c r="J4744" s="11" t="s">
        <v>149</v>
      </c>
      <c r="K4744" s="11" t="s">
        <v>5083</v>
      </c>
      <c r="L4744" s="11" t="s">
        <v>2788</v>
      </c>
      <c r="M4744" s="11" t="s">
        <v>22586</v>
      </c>
      <c r="N4744" s="11">
        <v>709</v>
      </c>
      <c r="O4744" s="11">
        <v>24382</v>
      </c>
      <c r="P4744" s="11">
        <v>1</v>
      </c>
      <c r="Q4744" s="11" t="s">
        <v>22587</v>
      </c>
      <c r="R4744" s="14" t="s">
        <v>22588</v>
      </c>
      <c r="S4744" s="11">
        <v>34</v>
      </c>
      <c r="T4744" s="11" t="s">
        <v>39</v>
      </c>
      <c r="U4744" s="11" t="s">
        <v>40</v>
      </c>
      <c r="V4744" s="11" t="s">
        <v>586</v>
      </c>
      <c r="W4744" s="11">
        <v>500000</v>
      </c>
      <c r="X4744" s="11">
        <v>2001</v>
      </c>
      <c r="Y4744" s="11">
        <v>1000</v>
      </c>
      <c r="Z4744" s="11">
        <v>6</v>
      </c>
      <c r="AA4744" s="11">
        <v>1.85</v>
      </c>
      <c r="AB4744" s="11">
        <v>139</v>
      </c>
      <c r="AC4744" s="11"/>
      <c r="AD4744" s="11" t="str">
        <f>IFERROR(__xludf.DUMMYFUNCTION("""COMPUTED_VALUE"""),"Paula Marshall")</f>
        <v>Paula Marshall</v>
      </c>
      <c r="AE4744" s="11"/>
    </row>
    <row r="4745" customHeight="1" spans="1:31">
      <c r="A4745" s="12" t="s">
        <v>30</v>
      </c>
      <c r="B4745" s="12" t="s">
        <v>22589</v>
      </c>
      <c r="C4745" s="12">
        <v>11</v>
      </c>
      <c r="D4745" s="12">
        <v>91</v>
      </c>
      <c r="E4745" s="12">
        <v>21</v>
      </c>
      <c r="F4745" s="12">
        <v>469</v>
      </c>
      <c r="G4745" s="12">
        <v>597</v>
      </c>
      <c r="H4745" s="12">
        <v>243347</v>
      </c>
      <c r="I4745" s="12" t="s">
        <v>2126</v>
      </c>
      <c r="J4745" s="12" t="s">
        <v>17666</v>
      </c>
      <c r="K4745" s="12" t="s">
        <v>9596</v>
      </c>
      <c r="L4745" s="12" t="s">
        <v>19341</v>
      </c>
      <c r="M4745" s="12" t="s">
        <v>22590</v>
      </c>
      <c r="N4745" s="12">
        <v>553</v>
      </c>
      <c r="O4745" s="12">
        <v>2555</v>
      </c>
      <c r="P4745" s="12">
        <v>3</v>
      </c>
      <c r="Q4745" s="12" t="s">
        <v>22591</v>
      </c>
      <c r="R4745" s="15" t="s">
        <v>22592</v>
      </c>
      <c r="S4745" s="12">
        <v>24</v>
      </c>
      <c r="T4745" s="12" t="s">
        <v>39</v>
      </c>
      <c r="U4745" s="12" t="s">
        <v>40</v>
      </c>
      <c r="V4745" s="12" t="s">
        <v>586</v>
      </c>
      <c r="W4745" s="12">
        <v>500000</v>
      </c>
      <c r="X4745" s="12">
        <v>2002</v>
      </c>
      <c r="Y4745" s="12">
        <v>485</v>
      </c>
      <c r="Z4745" s="12">
        <v>5.3</v>
      </c>
      <c r="AA4745" s="12">
        <v>1.85</v>
      </c>
      <c r="AB4745" s="12">
        <v>86</v>
      </c>
      <c r="AC4745" s="12"/>
      <c r="AD4745" s="12" t="str">
        <f>IFERROR(__xludf.DUMMYFUNCTION("""COMPUTED_VALUE"""),"George Hamilton")</f>
        <v>George Hamilton</v>
      </c>
      <c r="AE4745" s="12"/>
    </row>
    <row r="4746" customHeight="1" spans="1:31">
      <c r="A4746" s="11" t="s">
        <v>30</v>
      </c>
      <c r="B4746" s="11" t="s">
        <v>272</v>
      </c>
      <c r="C4746" s="11">
        <v>81</v>
      </c>
      <c r="D4746" s="11">
        <v>91</v>
      </c>
      <c r="E4746" s="11">
        <v>12000</v>
      </c>
      <c r="F4746" s="11">
        <v>213</v>
      </c>
      <c r="G4746" s="11">
        <v>778</v>
      </c>
      <c r="H4746" s="11">
        <v>154077</v>
      </c>
      <c r="I4746" s="11" t="s">
        <v>2528</v>
      </c>
      <c r="J4746" s="11" t="s">
        <v>4367</v>
      </c>
      <c r="K4746" s="11" t="s">
        <v>4745</v>
      </c>
      <c r="L4746" s="11" t="s">
        <v>601</v>
      </c>
      <c r="M4746" s="11" t="s">
        <v>22593</v>
      </c>
      <c r="N4746" s="11">
        <v>6884</v>
      </c>
      <c r="O4746" s="11">
        <v>1440</v>
      </c>
      <c r="P4746" s="11">
        <v>0</v>
      </c>
      <c r="Q4746" s="11" t="s">
        <v>22594</v>
      </c>
      <c r="R4746" s="14" t="s">
        <v>22595</v>
      </c>
      <c r="S4746" s="11">
        <v>53</v>
      </c>
      <c r="T4746" s="11" t="s">
        <v>39</v>
      </c>
      <c r="U4746" s="11" t="s">
        <v>40</v>
      </c>
      <c r="V4746" s="11" t="s">
        <v>586</v>
      </c>
      <c r="W4746" s="11">
        <v>500000</v>
      </c>
      <c r="X4746" s="11">
        <v>2005</v>
      </c>
      <c r="Y4746" s="11">
        <v>327</v>
      </c>
      <c r="Z4746" s="11">
        <v>6.6</v>
      </c>
      <c r="AA4746" s="11">
        <v>1.85</v>
      </c>
      <c r="AB4746" s="11">
        <v>238</v>
      </c>
      <c r="AC4746" s="11"/>
      <c r="AD4746" s="11" t="str">
        <f>IFERROR(__xludf.DUMMYFUNCTION("""COMPUTED_VALUE"""),"Stuart Margolin")</f>
        <v>Stuart Margolin</v>
      </c>
      <c r="AE4746" s="11"/>
    </row>
    <row r="4747" customHeight="1" spans="1:31">
      <c r="A4747" s="12" t="s">
        <v>30</v>
      </c>
      <c r="B4747" s="12" t="s">
        <v>22596</v>
      </c>
      <c r="C4747" s="12">
        <v>155</v>
      </c>
      <c r="D4747" s="12">
        <v>90</v>
      </c>
      <c r="E4747" s="12">
        <v>217</v>
      </c>
      <c r="F4747" s="12">
        <v>243</v>
      </c>
      <c r="G4747" s="12">
        <v>10000</v>
      </c>
      <c r="H4747" s="12">
        <v>342936</v>
      </c>
      <c r="I4747" s="12" t="s">
        <v>1415</v>
      </c>
      <c r="J4747" s="12" t="s">
        <v>302</v>
      </c>
      <c r="K4747" s="12" t="s">
        <v>2456</v>
      </c>
      <c r="L4747" s="12" t="s">
        <v>21808</v>
      </c>
      <c r="M4747" s="12" t="s">
        <v>22597</v>
      </c>
      <c r="N4747" s="12">
        <v>45928</v>
      </c>
      <c r="O4747" s="12">
        <v>20480</v>
      </c>
      <c r="P4747" s="12">
        <v>5</v>
      </c>
      <c r="Q4747" s="12" t="s">
        <v>22598</v>
      </c>
      <c r="R4747" s="15" t="s">
        <v>22599</v>
      </c>
      <c r="S4747" s="12">
        <v>106</v>
      </c>
      <c r="T4747" s="12" t="s">
        <v>39</v>
      </c>
      <c r="U4747" s="12" t="s">
        <v>40</v>
      </c>
      <c r="V4747" s="12" t="s">
        <v>586</v>
      </c>
      <c r="W4747" s="16"/>
      <c r="X4747" s="12">
        <v>2013</v>
      </c>
      <c r="Y4747" s="12">
        <v>10000</v>
      </c>
      <c r="Z4747" s="12">
        <v>6.1</v>
      </c>
      <c r="AA4747" s="12">
        <v>2.35</v>
      </c>
      <c r="AB4747" s="12">
        <v>0</v>
      </c>
      <c r="AC4747" s="12"/>
      <c r="AD4747" s="12" t="str">
        <f>IFERROR(__xludf.DUMMYFUNCTION("""COMPUTED_VALUE"""),"Richard Libertini")</f>
        <v>Richard Libertini</v>
      </c>
      <c r="AE4747" s="12"/>
    </row>
    <row r="4748" customHeight="1" spans="1:31">
      <c r="A4748" s="11" t="s">
        <v>30</v>
      </c>
      <c r="B4748" s="11" t="s">
        <v>22600</v>
      </c>
      <c r="C4748" s="11">
        <v>39</v>
      </c>
      <c r="D4748" s="11">
        <v>88</v>
      </c>
      <c r="E4748" s="11">
        <v>0</v>
      </c>
      <c r="F4748" s="11">
        <v>49</v>
      </c>
      <c r="G4748" s="11">
        <v>342</v>
      </c>
      <c r="H4748" s="11">
        <v>151389</v>
      </c>
      <c r="I4748" s="11" t="s">
        <v>68</v>
      </c>
      <c r="J4748" s="11" t="s">
        <v>1923</v>
      </c>
      <c r="K4748" s="11" t="s">
        <v>22601</v>
      </c>
      <c r="L4748" s="11" t="s">
        <v>22602</v>
      </c>
      <c r="M4748" s="11" t="s">
        <v>22603</v>
      </c>
      <c r="N4748" s="11">
        <v>774</v>
      </c>
      <c r="O4748" s="11">
        <v>483</v>
      </c>
      <c r="P4748" s="11">
        <v>0</v>
      </c>
      <c r="Q4748" s="11" t="s">
        <v>22604</v>
      </c>
      <c r="R4748" s="14" t="s">
        <v>22605</v>
      </c>
      <c r="S4748" s="11">
        <v>7</v>
      </c>
      <c r="T4748" s="11" t="s">
        <v>39</v>
      </c>
      <c r="U4748" s="11" t="s">
        <v>40</v>
      </c>
      <c r="V4748" s="13"/>
      <c r="W4748" s="11">
        <v>500000</v>
      </c>
      <c r="X4748" s="11">
        <v>2012</v>
      </c>
      <c r="Y4748" s="11">
        <v>79</v>
      </c>
      <c r="Z4748" s="11">
        <v>7.1</v>
      </c>
      <c r="AA4748" s="13"/>
      <c r="AB4748" s="11">
        <v>590</v>
      </c>
      <c r="AC4748" s="11"/>
      <c r="AD4748" s="11" t="str">
        <f>IFERROR(__xludf.DUMMYFUNCTION("""COMPUTED_VALUE"""),"Jeff Conaway")</f>
        <v>Jeff Conaway</v>
      </c>
      <c r="AE4748" s="11"/>
    </row>
    <row r="4749" customHeight="1" spans="1:31">
      <c r="A4749" s="12" t="s">
        <v>748</v>
      </c>
      <c r="B4749" s="12" t="s">
        <v>14463</v>
      </c>
      <c r="C4749" s="12">
        <v>153</v>
      </c>
      <c r="D4749" s="12">
        <v>202</v>
      </c>
      <c r="E4749" s="12">
        <v>0</v>
      </c>
      <c r="F4749" s="12">
        <v>4</v>
      </c>
      <c r="G4749" s="12">
        <v>304</v>
      </c>
      <c r="H4749" s="12">
        <v>269061</v>
      </c>
      <c r="I4749" s="12" t="s">
        <v>1023</v>
      </c>
      <c r="J4749" s="12" t="s">
        <v>22606</v>
      </c>
      <c r="K4749" s="12" t="s">
        <v>22607</v>
      </c>
      <c r="L4749" s="12" t="s">
        <v>22608</v>
      </c>
      <c r="M4749" s="12" t="s">
        <v>22609</v>
      </c>
      <c r="N4749" s="12">
        <v>229012</v>
      </c>
      <c r="O4749" s="12">
        <v>338</v>
      </c>
      <c r="P4749" s="12">
        <v>6</v>
      </c>
      <c r="Q4749" s="12" t="s">
        <v>22610</v>
      </c>
      <c r="R4749" s="15" t="s">
        <v>22611</v>
      </c>
      <c r="S4749" s="12">
        <v>596</v>
      </c>
      <c r="T4749" s="12" t="s">
        <v>677</v>
      </c>
      <c r="U4749" s="12" t="s">
        <v>678</v>
      </c>
      <c r="V4749" s="12" t="s">
        <v>5614</v>
      </c>
      <c r="W4749" s="12">
        <v>2000000</v>
      </c>
      <c r="X4749" s="12">
        <v>1954</v>
      </c>
      <c r="Y4749" s="12">
        <v>8</v>
      </c>
      <c r="Z4749" s="12">
        <v>8.7</v>
      </c>
      <c r="AA4749" s="12">
        <v>1.37</v>
      </c>
      <c r="AB4749" s="12">
        <v>11000</v>
      </c>
      <c r="AC4749" s="12"/>
      <c r="AD4749" s="12" t="str">
        <f>IFERROR(__xludf.DUMMYFUNCTION("""COMPUTED_VALUE"""),"Courtney Love")</f>
        <v>Courtney Love</v>
      </c>
      <c r="AE4749" s="12"/>
    </row>
    <row r="4750" customHeight="1" spans="1:31">
      <c r="A4750" s="11" t="s">
        <v>30</v>
      </c>
      <c r="B4750" s="11" t="s">
        <v>22612</v>
      </c>
      <c r="C4750" s="11">
        <v>26</v>
      </c>
      <c r="D4750" s="11">
        <v>89</v>
      </c>
      <c r="E4750" s="11">
        <v>6</v>
      </c>
      <c r="F4750" s="11">
        <v>8</v>
      </c>
      <c r="G4750" s="11">
        <v>14</v>
      </c>
      <c r="H4750" s="11">
        <v>133778</v>
      </c>
      <c r="I4750" s="11" t="s">
        <v>16528</v>
      </c>
      <c r="J4750" s="11" t="s">
        <v>22613</v>
      </c>
      <c r="K4750" s="11" t="s">
        <v>22614</v>
      </c>
      <c r="L4750" s="11" t="s">
        <v>22615</v>
      </c>
      <c r="M4750" s="11" t="s">
        <v>22616</v>
      </c>
      <c r="N4750" s="11">
        <v>3086</v>
      </c>
      <c r="O4750" s="11">
        <v>44</v>
      </c>
      <c r="P4750" s="11">
        <v>1</v>
      </c>
      <c r="Q4750" s="11" t="s">
        <v>22617</v>
      </c>
      <c r="R4750" s="14" t="s">
        <v>22618</v>
      </c>
      <c r="S4750" s="11">
        <v>9</v>
      </c>
      <c r="T4750" s="11" t="s">
        <v>39</v>
      </c>
      <c r="U4750" s="11" t="s">
        <v>40</v>
      </c>
      <c r="V4750" s="11" t="s">
        <v>4831</v>
      </c>
      <c r="W4750" s="11">
        <v>500000</v>
      </c>
      <c r="X4750" s="11">
        <v>2012</v>
      </c>
      <c r="Y4750" s="11">
        <v>9</v>
      </c>
      <c r="Z4750" s="11">
        <v>8.4</v>
      </c>
      <c r="AA4750" s="13"/>
      <c r="AB4750" s="11">
        <v>0</v>
      </c>
      <c r="AC4750" s="11"/>
      <c r="AD4750" s="11" t="str">
        <f>IFERROR(__xludf.DUMMYFUNCTION("""COMPUTED_VALUE"""),"Grace Gummer")</f>
        <v>Grace Gummer</v>
      </c>
      <c r="AE4750" s="11"/>
    </row>
    <row r="4751" customHeight="1" spans="1:31">
      <c r="A4751" s="12" t="s">
        <v>748</v>
      </c>
      <c r="B4751" s="12" t="s">
        <v>22619</v>
      </c>
      <c r="C4751" s="12">
        <v>10</v>
      </c>
      <c r="D4751" s="12">
        <v>97</v>
      </c>
      <c r="E4751" s="12">
        <v>32</v>
      </c>
      <c r="F4751" s="12">
        <v>329</v>
      </c>
      <c r="G4751" s="12">
        <v>11000</v>
      </c>
      <c r="H4751" s="16"/>
      <c r="I4751" s="12" t="s">
        <v>6546</v>
      </c>
      <c r="J4751" s="12" t="s">
        <v>343</v>
      </c>
      <c r="K4751" s="12" t="s">
        <v>22620</v>
      </c>
      <c r="L4751" s="12" t="s">
        <v>22621</v>
      </c>
      <c r="M4751" s="12" t="s">
        <v>22622</v>
      </c>
      <c r="N4751" s="12">
        <v>3013</v>
      </c>
      <c r="O4751" s="12">
        <v>11839</v>
      </c>
      <c r="P4751" s="12">
        <v>0</v>
      </c>
      <c r="Q4751" s="12" t="s">
        <v>22623</v>
      </c>
      <c r="R4751" s="15" t="s">
        <v>22624</v>
      </c>
      <c r="S4751" s="12">
        <v>24</v>
      </c>
      <c r="T4751" s="12" t="s">
        <v>39</v>
      </c>
      <c r="U4751" s="12" t="s">
        <v>8747</v>
      </c>
      <c r="V4751" s="12" t="s">
        <v>586</v>
      </c>
      <c r="W4751" s="12">
        <v>500000</v>
      </c>
      <c r="X4751" s="12">
        <v>1991</v>
      </c>
      <c r="Y4751" s="12">
        <v>422</v>
      </c>
      <c r="Z4751" s="12">
        <v>5.8</v>
      </c>
      <c r="AA4751" s="12">
        <v>1.85</v>
      </c>
      <c r="AB4751" s="12">
        <v>344</v>
      </c>
      <c r="AC4751" s="12"/>
      <c r="AD4751" s="12" t="str">
        <f>IFERROR(__xludf.DUMMYFUNCTION("""COMPUTED_VALUE"""),"Nambitha Mpumlwana")</f>
        <v>Nambitha Mpumlwana</v>
      </c>
      <c r="AE4751" s="12"/>
    </row>
    <row r="4752" customHeight="1" spans="1:31">
      <c r="A4752" s="11" t="s">
        <v>30</v>
      </c>
      <c r="B4752" s="11" t="s">
        <v>409</v>
      </c>
      <c r="C4752" s="11">
        <v>35</v>
      </c>
      <c r="D4752" s="11">
        <v>84</v>
      </c>
      <c r="E4752" s="11">
        <v>681</v>
      </c>
      <c r="F4752" s="11">
        <v>143</v>
      </c>
      <c r="G4752" s="11">
        <v>239</v>
      </c>
      <c r="H4752" s="11">
        <v>52850</v>
      </c>
      <c r="I4752" s="11" t="s">
        <v>1672</v>
      </c>
      <c r="J4752" s="11" t="s">
        <v>4076</v>
      </c>
      <c r="K4752" s="11" t="s">
        <v>22625</v>
      </c>
      <c r="L4752" s="11" t="s">
        <v>22626</v>
      </c>
      <c r="M4752" s="11" t="s">
        <v>22627</v>
      </c>
      <c r="N4752" s="11">
        <v>1656</v>
      </c>
      <c r="O4752" s="11">
        <v>734</v>
      </c>
      <c r="P4752" s="11">
        <v>0</v>
      </c>
      <c r="Q4752" s="11" t="s">
        <v>22628</v>
      </c>
      <c r="R4752" s="14" t="s">
        <v>22629</v>
      </c>
      <c r="S4752" s="11">
        <v>12</v>
      </c>
      <c r="T4752" s="11" t="s">
        <v>39</v>
      </c>
      <c r="U4752" s="11" t="s">
        <v>40</v>
      </c>
      <c r="V4752" s="11" t="s">
        <v>4831</v>
      </c>
      <c r="W4752" s="11">
        <v>500000</v>
      </c>
      <c r="X4752" s="11">
        <v>2007</v>
      </c>
      <c r="Y4752" s="11">
        <v>172</v>
      </c>
      <c r="Z4752" s="11">
        <v>6.2</v>
      </c>
      <c r="AA4752" s="11">
        <v>1.85</v>
      </c>
      <c r="AB4752" s="11">
        <v>155</v>
      </c>
      <c r="AC4752" s="11"/>
      <c r="AD4752" s="11" t="str">
        <f>IFERROR(__xludf.DUMMYFUNCTION("""COMPUTED_VALUE"""),"Rapulana Seiphemo")</f>
        <v>Rapulana Seiphemo</v>
      </c>
      <c r="AE4752" s="11"/>
    </row>
    <row r="4753" customHeight="1" spans="1:31">
      <c r="A4753" s="12" t="s">
        <v>30</v>
      </c>
      <c r="B4753" s="12" t="s">
        <v>22630</v>
      </c>
      <c r="C4753" s="12">
        <v>230</v>
      </c>
      <c r="D4753" s="12">
        <v>82</v>
      </c>
      <c r="E4753" s="12">
        <v>248</v>
      </c>
      <c r="F4753" s="12">
        <v>196</v>
      </c>
      <c r="G4753" s="12">
        <v>353</v>
      </c>
      <c r="H4753" s="12">
        <v>98017</v>
      </c>
      <c r="I4753" s="12" t="s">
        <v>883</v>
      </c>
      <c r="J4753" s="12" t="s">
        <v>4636</v>
      </c>
      <c r="K4753" s="12" t="s">
        <v>9963</v>
      </c>
      <c r="L4753" s="12" t="s">
        <v>22631</v>
      </c>
      <c r="M4753" s="12" t="s">
        <v>22632</v>
      </c>
      <c r="N4753" s="12">
        <v>26185</v>
      </c>
      <c r="O4753" s="12">
        <v>1498</v>
      </c>
      <c r="P4753" s="12">
        <v>0</v>
      </c>
      <c r="Q4753" s="12" t="s">
        <v>22633</v>
      </c>
      <c r="R4753" s="15" t="s">
        <v>22634</v>
      </c>
      <c r="S4753" s="12">
        <v>170</v>
      </c>
      <c r="T4753" s="12" t="s">
        <v>39</v>
      </c>
      <c r="U4753" s="12" t="s">
        <v>1466</v>
      </c>
      <c r="V4753" s="12" t="s">
        <v>586</v>
      </c>
      <c r="W4753" s="12">
        <v>500000</v>
      </c>
      <c r="X4753" s="12">
        <v>2010</v>
      </c>
      <c r="Y4753" s="12">
        <v>248</v>
      </c>
      <c r="Z4753" s="12">
        <v>5.8</v>
      </c>
      <c r="AA4753" s="12">
        <v>1.85</v>
      </c>
      <c r="AB4753" s="12">
        <v>46000</v>
      </c>
      <c r="AC4753" s="12"/>
      <c r="AD4753" s="12" t="str">
        <f>IFERROR(__xludf.DUMMYFUNCTION("""COMPUTED_VALUE"""),"Joe Howard")</f>
        <v>Joe Howard</v>
      </c>
      <c r="AE4753" s="12"/>
    </row>
    <row r="4754" customHeight="1" spans="1:31">
      <c r="A4754" s="11" t="s">
        <v>30</v>
      </c>
      <c r="B4754" s="11" t="s">
        <v>1176</v>
      </c>
      <c r="C4754" s="11">
        <v>165</v>
      </c>
      <c r="D4754" s="11">
        <v>94</v>
      </c>
      <c r="E4754" s="11">
        <v>12</v>
      </c>
      <c r="F4754" s="11">
        <v>183</v>
      </c>
      <c r="G4754" s="11">
        <v>17000</v>
      </c>
      <c r="H4754" s="11">
        <v>177343675</v>
      </c>
      <c r="I4754" s="11" t="s">
        <v>1177</v>
      </c>
      <c r="J4754" s="11" t="s">
        <v>1178</v>
      </c>
      <c r="K4754" s="11" t="s">
        <v>1179</v>
      </c>
      <c r="L4754" s="11" t="s">
        <v>1180</v>
      </c>
      <c r="M4754" s="11" t="s">
        <v>1181</v>
      </c>
      <c r="N4754" s="11">
        <v>70136</v>
      </c>
      <c r="O4754" s="11">
        <v>17883</v>
      </c>
      <c r="P4754" s="11">
        <v>0</v>
      </c>
      <c r="Q4754" s="11" t="s">
        <v>1182</v>
      </c>
      <c r="R4754" s="14" t="s">
        <v>1183</v>
      </c>
      <c r="S4754" s="11">
        <v>214</v>
      </c>
      <c r="T4754" s="11" t="s">
        <v>39</v>
      </c>
      <c r="U4754" s="11" t="s">
        <v>40</v>
      </c>
      <c r="V4754" s="11" t="s">
        <v>96</v>
      </c>
      <c r="W4754" s="11">
        <v>135000000</v>
      </c>
      <c r="X4754" s="11">
        <v>2015</v>
      </c>
      <c r="Y4754" s="11">
        <v>523</v>
      </c>
      <c r="Z4754" s="11">
        <v>6.7</v>
      </c>
      <c r="AA4754" s="11">
        <v>1.85</v>
      </c>
      <c r="AB4754" s="11">
        <v>26000</v>
      </c>
      <c r="AC4754" s="11"/>
      <c r="AD4754" s="11" t="str">
        <f>IFERROR(__xludf.DUMMYFUNCTION("""COMPUTED_VALUE"""),"Robert Noble")</f>
        <v>Robert Noble</v>
      </c>
      <c r="AE4754" s="11"/>
    </row>
    <row r="4755" customHeight="1" spans="1:31">
      <c r="A4755" s="12" t="s">
        <v>30</v>
      </c>
      <c r="B4755" s="12" t="s">
        <v>22099</v>
      </c>
      <c r="C4755" s="12">
        <v>9</v>
      </c>
      <c r="D4755" s="12">
        <v>100</v>
      </c>
      <c r="E4755" s="12">
        <v>6</v>
      </c>
      <c r="F4755" s="12">
        <v>325</v>
      </c>
      <c r="G4755" s="12">
        <v>396</v>
      </c>
      <c r="H4755" s="12">
        <v>31937</v>
      </c>
      <c r="I4755" s="12" t="s">
        <v>1681</v>
      </c>
      <c r="J4755" s="12" t="s">
        <v>22635</v>
      </c>
      <c r="K4755" s="12" t="s">
        <v>22636</v>
      </c>
      <c r="L4755" s="12" t="s">
        <v>22637</v>
      </c>
      <c r="M4755" s="12" t="s">
        <v>22638</v>
      </c>
      <c r="N4755" s="12">
        <v>1358</v>
      </c>
      <c r="O4755" s="12">
        <v>2310</v>
      </c>
      <c r="P4755" s="12">
        <v>3</v>
      </c>
      <c r="Q4755" s="12" t="s">
        <v>22639</v>
      </c>
      <c r="R4755" s="15" t="s">
        <v>22640</v>
      </c>
      <c r="S4755" s="12">
        <v>10</v>
      </c>
      <c r="T4755" s="12" t="s">
        <v>39</v>
      </c>
      <c r="U4755" s="12" t="s">
        <v>40</v>
      </c>
      <c r="V4755" s="12" t="s">
        <v>586</v>
      </c>
      <c r="W4755" s="12">
        <v>500000</v>
      </c>
      <c r="X4755" s="12">
        <v>2007</v>
      </c>
      <c r="Y4755" s="12">
        <v>326</v>
      </c>
      <c r="Z4755" s="12">
        <v>5.7</v>
      </c>
      <c r="AA4755" s="12">
        <v>1.85</v>
      </c>
      <c r="AB4755" s="12">
        <v>60</v>
      </c>
      <c r="AC4755" s="12"/>
      <c r="AD4755" s="12" t="str">
        <f>IFERROR(__xludf.DUMMYFUNCTION("""COMPUTED_VALUE"""),"Ji-tae Yu")</f>
        <v>Ji-tae Yu</v>
      </c>
      <c r="AE4755" s="12"/>
    </row>
    <row r="4756" customHeight="1" spans="1:31">
      <c r="A4756" s="11" t="s">
        <v>30</v>
      </c>
      <c r="B4756" s="11" t="s">
        <v>22641</v>
      </c>
      <c r="C4756" s="11">
        <v>17</v>
      </c>
      <c r="D4756" s="11">
        <v>112</v>
      </c>
      <c r="E4756" s="11">
        <v>12</v>
      </c>
      <c r="F4756" s="11">
        <v>699</v>
      </c>
      <c r="G4756" s="11">
        <v>33000</v>
      </c>
      <c r="H4756" s="11">
        <v>13134</v>
      </c>
      <c r="I4756" s="11" t="s">
        <v>3794</v>
      </c>
      <c r="J4756" s="11" t="s">
        <v>4214</v>
      </c>
      <c r="K4756" s="11" t="s">
        <v>6005</v>
      </c>
      <c r="L4756" s="11" t="s">
        <v>22642</v>
      </c>
      <c r="M4756" s="11" t="s">
        <v>22643</v>
      </c>
      <c r="N4756" s="11">
        <v>2004</v>
      </c>
      <c r="O4756" s="11">
        <v>35294</v>
      </c>
      <c r="P4756" s="11">
        <v>2</v>
      </c>
      <c r="Q4756" s="11" t="s">
        <v>22644</v>
      </c>
      <c r="R4756" s="14" t="s">
        <v>22645</v>
      </c>
      <c r="S4756" s="11">
        <v>32</v>
      </c>
      <c r="T4756" s="11" t="s">
        <v>39</v>
      </c>
      <c r="U4756" s="11" t="s">
        <v>40</v>
      </c>
      <c r="V4756" s="11" t="s">
        <v>586</v>
      </c>
      <c r="W4756" s="11">
        <v>500000</v>
      </c>
      <c r="X4756" s="11">
        <v>2002</v>
      </c>
      <c r="Y4756" s="11">
        <v>1000</v>
      </c>
      <c r="Z4756" s="11">
        <v>6.1</v>
      </c>
      <c r="AA4756" s="11">
        <v>2.35</v>
      </c>
      <c r="AB4756" s="11">
        <v>183</v>
      </c>
      <c r="AC4756" s="11"/>
      <c r="AD4756" s="11" t="str">
        <f>IFERROR(__xludf.DUMMYFUNCTION("""COMPUTED_VALUE"""),"Robyn Lively")</f>
        <v>Robyn Lively</v>
      </c>
      <c r="AE4756" s="11"/>
    </row>
    <row r="4757" customHeight="1" spans="1:31">
      <c r="A4757" s="12" t="s">
        <v>30</v>
      </c>
      <c r="B4757" s="12" t="s">
        <v>22646</v>
      </c>
      <c r="C4757" s="12">
        <v>344</v>
      </c>
      <c r="D4757" s="12">
        <v>94</v>
      </c>
      <c r="E4757" s="12">
        <v>380</v>
      </c>
      <c r="F4757" s="12">
        <v>113</v>
      </c>
      <c r="G4757" s="12">
        <v>660</v>
      </c>
      <c r="H4757" s="12">
        <v>237301</v>
      </c>
      <c r="I4757" s="12" t="s">
        <v>2684</v>
      </c>
      <c r="J4757" s="12" t="s">
        <v>5130</v>
      </c>
      <c r="K4757" s="12" t="s">
        <v>22277</v>
      </c>
      <c r="L4757" s="12" t="s">
        <v>22647</v>
      </c>
      <c r="M4757" s="12" t="s">
        <v>22648</v>
      </c>
      <c r="N4757" s="12">
        <v>75669</v>
      </c>
      <c r="O4757" s="12">
        <v>1118</v>
      </c>
      <c r="P4757" s="12">
        <v>0</v>
      </c>
      <c r="Q4757" s="12" t="s">
        <v>22649</v>
      </c>
      <c r="R4757" s="15" t="s">
        <v>22650</v>
      </c>
      <c r="S4757" s="12">
        <v>451</v>
      </c>
      <c r="T4757" s="12" t="s">
        <v>39</v>
      </c>
      <c r="U4757" s="12" t="s">
        <v>58</v>
      </c>
      <c r="V4757" s="12" t="s">
        <v>586</v>
      </c>
      <c r="W4757" s="12">
        <v>500000</v>
      </c>
      <c r="X4757" s="12">
        <v>2010</v>
      </c>
      <c r="Y4757" s="12">
        <v>280</v>
      </c>
      <c r="Z4757" s="12">
        <v>6.4</v>
      </c>
      <c r="AA4757" s="12">
        <v>2.35</v>
      </c>
      <c r="AB4757" s="12">
        <v>19000</v>
      </c>
      <c r="AC4757" s="12"/>
      <c r="AD4757" s="12" t="str">
        <f>IFERROR(__xludf.DUMMYFUNCTION("""COMPUTED_VALUE"""),"Michael Bolten")</f>
        <v>Michael Bolten</v>
      </c>
      <c r="AE4757" s="12"/>
    </row>
    <row r="4758" customHeight="1" spans="1:31">
      <c r="A4758" s="11" t="s">
        <v>30</v>
      </c>
      <c r="B4758" s="11" t="s">
        <v>22651</v>
      </c>
      <c r="C4758" s="11">
        <v>2</v>
      </c>
      <c r="D4758" s="11">
        <v>87</v>
      </c>
      <c r="E4758" s="11">
        <v>0</v>
      </c>
      <c r="F4758" s="11">
        <v>347</v>
      </c>
      <c r="G4758" s="11">
        <v>584</v>
      </c>
      <c r="H4758" s="13"/>
      <c r="I4758" s="11" t="s">
        <v>3410</v>
      </c>
      <c r="J4758" s="11" t="s">
        <v>18187</v>
      </c>
      <c r="K4758" s="11" t="s">
        <v>11161</v>
      </c>
      <c r="L4758" s="11" t="s">
        <v>7944</v>
      </c>
      <c r="M4758" s="11" t="s">
        <v>22652</v>
      </c>
      <c r="N4758" s="11">
        <v>299</v>
      </c>
      <c r="O4758" s="11">
        <v>1924</v>
      </c>
      <c r="P4758" s="11">
        <v>3</v>
      </c>
      <c r="Q4758" s="11" t="s">
        <v>7748</v>
      </c>
      <c r="R4758" s="14" t="s">
        <v>22653</v>
      </c>
      <c r="S4758" s="11">
        <v>11</v>
      </c>
      <c r="T4758" s="11" t="s">
        <v>39</v>
      </c>
      <c r="U4758" s="11" t="s">
        <v>40</v>
      </c>
      <c r="V4758" s="11" t="s">
        <v>96</v>
      </c>
      <c r="W4758" s="13"/>
      <c r="X4758" s="11">
        <v>2005</v>
      </c>
      <c r="Y4758" s="11">
        <v>507</v>
      </c>
      <c r="Z4758" s="11">
        <v>5</v>
      </c>
      <c r="AA4758" s="11">
        <v>1.85</v>
      </c>
      <c r="AB4758" s="11">
        <v>29</v>
      </c>
      <c r="AC4758" s="11"/>
      <c r="AD4758" s="11" t="str">
        <f>IFERROR(__xludf.DUMMYFUNCTION("""COMPUTED_VALUE"""),"Christopher Schmidt")</f>
        <v>Christopher Schmidt</v>
      </c>
      <c r="AE4758" s="11"/>
    </row>
    <row r="4759" customHeight="1" spans="1:31">
      <c r="A4759" s="12" t="s">
        <v>30</v>
      </c>
      <c r="B4759" s="12" t="s">
        <v>22654</v>
      </c>
      <c r="C4759" s="12">
        <v>28</v>
      </c>
      <c r="D4759" s="12">
        <v>91</v>
      </c>
      <c r="E4759" s="12">
        <v>0</v>
      </c>
      <c r="F4759" s="12">
        <v>170</v>
      </c>
      <c r="G4759" s="12">
        <v>472</v>
      </c>
      <c r="H4759" s="12">
        <v>12055</v>
      </c>
      <c r="I4759" s="12" t="s">
        <v>1672</v>
      </c>
      <c r="J4759" s="12" t="s">
        <v>7588</v>
      </c>
      <c r="K4759" s="12" t="s">
        <v>22655</v>
      </c>
      <c r="L4759" s="12" t="s">
        <v>22656</v>
      </c>
      <c r="M4759" s="12" t="s">
        <v>22657</v>
      </c>
      <c r="N4759" s="12">
        <v>739</v>
      </c>
      <c r="O4759" s="12">
        <v>1047</v>
      </c>
      <c r="P4759" s="12">
        <v>2</v>
      </c>
      <c r="Q4759" s="12" t="s">
        <v>22658</v>
      </c>
      <c r="R4759" s="15" t="s">
        <v>22659</v>
      </c>
      <c r="S4759" s="12">
        <v>10</v>
      </c>
      <c r="T4759" s="12" t="s">
        <v>39</v>
      </c>
      <c r="U4759" s="12" t="s">
        <v>40</v>
      </c>
      <c r="V4759" s="12" t="s">
        <v>41</v>
      </c>
      <c r="W4759" s="12">
        <v>500000</v>
      </c>
      <c r="X4759" s="12">
        <v>2007</v>
      </c>
      <c r="Y4759" s="12">
        <v>185</v>
      </c>
      <c r="Z4759" s="12">
        <v>6.5</v>
      </c>
      <c r="AA4759" s="16"/>
      <c r="AB4759" s="12">
        <v>339</v>
      </c>
      <c r="AC4759" s="12"/>
      <c r="AD4759" s="12" t="str">
        <f>IFERROR(__xludf.DUMMYFUNCTION("""COMPUTED_VALUE"""),"Robb Wells")</f>
        <v>Robb Wells</v>
      </c>
      <c r="AE4759" s="12"/>
    </row>
    <row r="4760" customHeight="1" spans="1:31">
      <c r="A4760" s="11" t="s">
        <v>30</v>
      </c>
      <c r="B4760" s="11" t="s">
        <v>22660</v>
      </c>
      <c r="C4760" s="11">
        <v>29</v>
      </c>
      <c r="D4760" s="11">
        <v>87</v>
      </c>
      <c r="E4760" s="11">
        <v>38</v>
      </c>
      <c r="F4760" s="11">
        <v>445</v>
      </c>
      <c r="G4760" s="11">
        <v>552</v>
      </c>
      <c r="H4760" s="11">
        <v>1332</v>
      </c>
      <c r="I4760" s="11" t="s">
        <v>7579</v>
      </c>
      <c r="J4760" s="11" t="s">
        <v>13821</v>
      </c>
      <c r="K4760" s="11" t="s">
        <v>8253</v>
      </c>
      <c r="L4760" s="11" t="s">
        <v>22661</v>
      </c>
      <c r="M4760" s="11" t="s">
        <v>22662</v>
      </c>
      <c r="N4760" s="11">
        <v>2038</v>
      </c>
      <c r="O4760" s="11">
        <v>2251</v>
      </c>
      <c r="P4760" s="11">
        <v>6</v>
      </c>
      <c r="Q4760" s="11" t="s">
        <v>22663</v>
      </c>
      <c r="R4760" s="14" t="s">
        <v>22664</v>
      </c>
      <c r="S4760" s="11">
        <v>20</v>
      </c>
      <c r="T4760" s="11" t="s">
        <v>39</v>
      </c>
      <c r="U4760" s="11" t="s">
        <v>40</v>
      </c>
      <c r="V4760" s="11" t="s">
        <v>4831</v>
      </c>
      <c r="W4760" s="11">
        <v>500000</v>
      </c>
      <c r="X4760" s="11">
        <v>2012</v>
      </c>
      <c r="Y4760" s="11">
        <v>533</v>
      </c>
      <c r="Z4760" s="11">
        <v>4.6</v>
      </c>
      <c r="AA4760" s="11">
        <v>2.35</v>
      </c>
      <c r="AB4760" s="11">
        <v>898</v>
      </c>
      <c r="AC4760" s="11"/>
      <c r="AD4760" s="11" t="str">
        <f>IFERROR(__xludf.DUMMYFUNCTION("""COMPUTED_VALUE"""),"Molly Dunsworth")</f>
        <v>Molly Dunsworth</v>
      </c>
      <c r="AE4760" s="11"/>
    </row>
    <row r="4761" customHeight="1" spans="1:31">
      <c r="A4761" s="12" t="s">
        <v>30</v>
      </c>
      <c r="B4761" s="12" t="s">
        <v>19779</v>
      </c>
      <c r="C4761" s="12">
        <v>11</v>
      </c>
      <c r="D4761" s="12">
        <v>98</v>
      </c>
      <c r="E4761" s="12">
        <v>0</v>
      </c>
      <c r="F4761" s="12">
        <v>0</v>
      </c>
      <c r="G4761" s="12">
        <v>4</v>
      </c>
      <c r="H4761" s="16"/>
      <c r="I4761" s="12" t="s">
        <v>1009</v>
      </c>
      <c r="J4761" s="12" t="s">
        <v>19780</v>
      </c>
      <c r="K4761" s="12" t="s">
        <v>19781</v>
      </c>
      <c r="L4761" s="12" t="s">
        <v>22665</v>
      </c>
      <c r="M4761" s="12" t="s">
        <v>22666</v>
      </c>
      <c r="N4761" s="12">
        <v>2097</v>
      </c>
      <c r="O4761" s="12">
        <v>8</v>
      </c>
      <c r="P4761" s="12">
        <v>1</v>
      </c>
      <c r="Q4761" s="12" t="s">
        <v>22667</v>
      </c>
      <c r="R4761" s="15" t="s">
        <v>22668</v>
      </c>
      <c r="S4761" s="12">
        <v>9</v>
      </c>
      <c r="T4761" s="12" t="s">
        <v>1947</v>
      </c>
      <c r="U4761" s="12" t="s">
        <v>893</v>
      </c>
      <c r="V4761" s="16"/>
      <c r="W4761" s="12">
        <v>3000000</v>
      </c>
      <c r="X4761" s="12">
        <v>2006</v>
      </c>
      <c r="Y4761" s="12">
        <v>4</v>
      </c>
      <c r="Z4761" s="12">
        <v>7.7</v>
      </c>
      <c r="AA4761" s="12">
        <v>2.35</v>
      </c>
      <c r="AB4761" s="12">
        <v>23</v>
      </c>
      <c r="AC4761" s="12"/>
      <c r="AD4761" s="12" t="str">
        <f>IFERROR(__xludf.DUMMYFUNCTION("""COMPUTED_VALUE"""),"Erick Elias")</f>
        <v>Erick Elias</v>
      </c>
      <c r="AE4761" s="12"/>
    </row>
    <row r="4762" customHeight="1" spans="1:31">
      <c r="A4762" s="11" t="s">
        <v>30</v>
      </c>
      <c r="B4762" s="11" t="s">
        <v>22669</v>
      </c>
      <c r="C4762" s="11">
        <v>48</v>
      </c>
      <c r="D4762" s="11">
        <v>95</v>
      </c>
      <c r="E4762" s="11">
        <v>3</v>
      </c>
      <c r="F4762" s="11">
        <v>25</v>
      </c>
      <c r="G4762" s="11">
        <v>30</v>
      </c>
      <c r="H4762" s="13"/>
      <c r="I4762" s="11" t="s">
        <v>21603</v>
      </c>
      <c r="J4762" s="11" t="s">
        <v>22670</v>
      </c>
      <c r="K4762" s="11" t="s">
        <v>22671</v>
      </c>
      <c r="L4762" s="11" t="s">
        <v>22672</v>
      </c>
      <c r="M4762" s="11" t="s">
        <v>22673</v>
      </c>
      <c r="N4762" s="11">
        <v>1006</v>
      </c>
      <c r="O4762" s="11">
        <v>119</v>
      </c>
      <c r="P4762" s="11">
        <v>0</v>
      </c>
      <c r="Q4762" s="11" t="s">
        <v>22674</v>
      </c>
      <c r="R4762" s="14" t="s">
        <v>22675</v>
      </c>
      <c r="S4762" s="11">
        <v>11</v>
      </c>
      <c r="T4762" s="11" t="s">
        <v>39</v>
      </c>
      <c r="U4762" s="11" t="s">
        <v>58</v>
      </c>
      <c r="V4762" s="13"/>
      <c r="W4762" s="11">
        <v>500000</v>
      </c>
      <c r="X4762" s="11">
        <v>2006</v>
      </c>
      <c r="Y4762" s="11">
        <v>27</v>
      </c>
      <c r="Z4762" s="11">
        <v>7.3</v>
      </c>
      <c r="AA4762" s="11">
        <v>1.85</v>
      </c>
      <c r="AB4762" s="11">
        <v>808</v>
      </c>
      <c r="AC4762" s="11"/>
      <c r="AD4762" s="11" t="str">
        <f>IFERROR(__xludf.DUMMYFUNCTION("""COMPUTED_VALUE"""),"Brianna Brown")</f>
        <v>Brianna Brown</v>
      </c>
      <c r="AE4762" s="11"/>
    </row>
    <row r="4763" customHeight="1" spans="1:31">
      <c r="A4763" s="12" t="s">
        <v>30</v>
      </c>
      <c r="B4763" s="12" t="s">
        <v>126</v>
      </c>
      <c r="C4763" s="12">
        <v>24</v>
      </c>
      <c r="D4763" s="12">
        <v>87</v>
      </c>
      <c r="E4763" s="12">
        <v>395</v>
      </c>
      <c r="F4763" s="12">
        <v>637</v>
      </c>
      <c r="G4763" s="12">
        <v>991</v>
      </c>
      <c r="H4763" s="16"/>
      <c r="I4763" s="12" t="s">
        <v>3410</v>
      </c>
      <c r="J4763" s="12" t="s">
        <v>3373</v>
      </c>
      <c r="K4763" s="12" t="s">
        <v>2303</v>
      </c>
      <c r="L4763" s="12" t="s">
        <v>3180</v>
      </c>
      <c r="M4763" s="12" t="s">
        <v>22676</v>
      </c>
      <c r="N4763" s="12">
        <v>601</v>
      </c>
      <c r="O4763" s="12">
        <v>3309</v>
      </c>
      <c r="P4763" s="12">
        <v>0</v>
      </c>
      <c r="Q4763" s="12" t="s">
        <v>22677</v>
      </c>
      <c r="R4763" s="15" t="s">
        <v>22678</v>
      </c>
      <c r="S4763" s="12">
        <v>10</v>
      </c>
      <c r="T4763" s="12" t="s">
        <v>39</v>
      </c>
      <c r="U4763" s="12" t="s">
        <v>40</v>
      </c>
      <c r="V4763" s="12" t="s">
        <v>586</v>
      </c>
      <c r="W4763" s="12">
        <v>100000</v>
      </c>
      <c r="X4763" s="12">
        <v>2000</v>
      </c>
      <c r="Y4763" s="12">
        <v>946</v>
      </c>
      <c r="Z4763" s="12">
        <v>6.6</v>
      </c>
      <c r="AA4763" s="12">
        <v>1.85</v>
      </c>
      <c r="AB4763" s="12">
        <v>22</v>
      </c>
      <c r="AC4763" s="12"/>
      <c r="AD4763" s="12" t="str">
        <f>IFERROR(__xludf.DUMMYFUNCTION("""COMPUTED_VALUE"""),"Jason Maza")</f>
        <v>Jason Maza</v>
      </c>
      <c r="AE4763" s="12"/>
    </row>
    <row r="4764" customHeight="1" spans="1:31">
      <c r="A4764" s="11" t="s">
        <v>30</v>
      </c>
      <c r="B4764" s="11" t="s">
        <v>5350</v>
      </c>
      <c r="C4764" s="11">
        <v>166</v>
      </c>
      <c r="D4764" s="11">
        <v>102</v>
      </c>
      <c r="E4764" s="11">
        <v>487</v>
      </c>
      <c r="F4764" s="11">
        <v>118</v>
      </c>
      <c r="G4764" s="11">
        <v>991</v>
      </c>
      <c r="H4764" s="11">
        <v>316842</v>
      </c>
      <c r="I4764" s="11" t="s">
        <v>4075</v>
      </c>
      <c r="J4764" s="11" t="s">
        <v>354</v>
      </c>
      <c r="K4764" s="11" t="s">
        <v>847</v>
      </c>
      <c r="L4764" s="11" t="s">
        <v>22679</v>
      </c>
      <c r="M4764" s="11" t="s">
        <v>22680</v>
      </c>
      <c r="N4764" s="11">
        <v>15756</v>
      </c>
      <c r="O4764" s="11">
        <v>2099</v>
      </c>
      <c r="P4764" s="11">
        <v>0</v>
      </c>
      <c r="Q4764" s="11" t="s">
        <v>22681</v>
      </c>
      <c r="R4764" s="14" t="s">
        <v>22682</v>
      </c>
      <c r="S4764" s="11">
        <v>68</v>
      </c>
      <c r="T4764" s="11" t="s">
        <v>39</v>
      </c>
      <c r="U4764" s="11" t="s">
        <v>40</v>
      </c>
      <c r="V4764" s="11" t="s">
        <v>586</v>
      </c>
      <c r="W4764" s="13"/>
      <c r="X4764" s="11">
        <v>2014</v>
      </c>
      <c r="Y4764" s="11">
        <v>943</v>
      </c>
      <c r="Z4764" s="11">
        <v>6.4</v>
      </c>
      <c r="AA4764" s="11">
        <v>2.35</v>
      </c>
      <c r="AB4764" s="11">
        <v>0</v>
      </c>
      <c r="AC4764" s="11"/>
      <c r="AD4764" s="11" t="str">
        <f>IFERROR(__xludf.DUMMYFUNCTION("""COMPUTED_VALUE"""),"Andrew Rannells")</f>
        <v>Andrew Rannells</v>
      </c>
      <c r="AE4764" s="11"/>
    </row>
    <row r="4765" customHeight="1" spans="1:31">
      <c r="A4765" s="12" t="s">
        <v>30</v>
      </c>
      <c r="B4765" s="12" t="s">
        <v>22683</v>
      </c>
      <c r="C4765" s="16"/>
      <c r="D4765" s="12">
        <v>127</v>
      </c>
      <c r="E4765" s="12">
        <v>2</v>
      </c>
      <c r="F4765" s="12">
        <v>0</v>
      </c>
      <c r="G4765" s="12">
        <v>2</v>
      </c>
      <c r="H4765" s="16"/>
      <c r="I4765" s="12" t="s">
        <v>10413</v>
      </c>
      <c r="J4765" s="12" t="s">
        <v>22683</v>
      </c>
      <c r="K4765" s="12" t="s">
        <v>22684</v>
      </c>
      <c r="L4765" s="12" t="s">
        <v>22685</v>
      </c>
      <c r="M4765" s="12" t="s">
        <v>22686</v>
      </c>
      <c r="N4765" s="12">
        <v>16</v>
      </c>
      <c r="O4765" s="12">
        <v>2</v>
      </c>
      <c r="P4765" s="12">
        <v>0</v>
      </c>
      <c r="Q4765" s="16"/>
      <c r="R4765" s="15" t="s">
        <v>22687</v>
      </c>
      <c r="S4765" s="12">
        <v>3</v>
      </c>
      <c r="T4765" s="12" t="s">
        <v>39</v>
      </c>
      <c r="U4765" s="12" t="s">
        <v>40</v>
      </c>
      <c r="V4765" s="16"/>
      <c r="W4765" s="12">
        <v>500000</v>
      </c>
      <c r="X4765" s="12">
        <v>2005</v>
      </c>
      <c r="Y4765" s="12">
        <v>0</v>
      </c>
      <c r="Z4765" s="12">
        <v>5.8</v>
      </c>
      <c r="AA4765" s="12">
        <v>1.33</v>
      </c>
      <c r="AB4765" s="12">
        <v>0</v>
      </c>
      <c r="AC4765" s="12"/>
      <c r="AD4765" s="12" t="str">
        <f>IFERROR(__xludf.DUMMYFUNCTION("""COMPUTED_VALUE"""),"Megan Hilty")</f>
        <v>Megan Hilty</v>
      </c>
      <c r="AE4765" s="12"/>
    </row>
    <row r="4766" customHeight="1" spans="1:31">
      <c r="A4766" s="11" t="s">
        <v>30</v>
      </c>
      <c r="B4766" s="11" t="s">
        <v>22432</v>
      </c>
      <c r="C4766" s="11">
        <v>9</v>
      </c>
      <c r="D4766" s="11">
        <v>96</v>
      </c>
      <c r="E4766" s="11">
        <v>3</v>
      </c>
      <c r="F4766" s="11">
        <v>205</v>
      </c>
      <c r="G4766" s="11">
        <v>387</v>
      </c>
      <c r="H4766" s="13"/>
      <c r="I4766" s="11" t="s">
        <v>68</v>
      </c>
      <c r="J4766" s="11" t="s">
        <v>22688</v>
      </c>
      <c r="K4766" s="11" t="s">
        <v>22689</v>
      </c>
      <c r="L4766" s="11" t="s">
        <v>22690</v>
      </c>
      <c r="M4766" s="11" t="s">
        <v>22691</v>
      </c>
      <c r="N4766" s="11">
        <v>38</v>
      </c>
      <c r="O4766" s="11">
        <v>1235</v>
      </c>
      <c r="P4766" s="11">
        <v>1</v>
      </c>
      <c r="Q4766" s="13"/>
      <c r="R4766" s="14" t="s">
        <v>22692</v>
      </c>
      <c r="S4766" s="11">
        <v>3</v>
      </c>
      <c r="T4766" s="11" t="s">
        <v>39</v>
      </c>
      <c r="U4766" s="11" t="s">
        <v>40</v>
      </c>
      <c r="V4766" s="13"/>
      <c r="W4766" s="11">
        <v>500000</v>
      </c>
      <c r="X4766" s="11">
        <v>2014</v>
      </c>
      <c r="Y4766" s="11">
        <v>244</v>
      </c>
      <c r="Z4766" s="11">
        <v>7.2</v>
      </c>
      <c r="AA4766" s="11">
        <v>1.33</v>
      </c>
      <c r="AB4766" s="11">
        <v>16</v>
      </c>
      <c r="AC4766" s="11"/>
      <c r="AD4766" s="11" t="str">
        <f>IFERROR(__xludf.DUMMYFUNCTION("""COMPUTED_VALUE"""),"Lindsey Haun")</f>
        <v>Lindsey Haun</v>
      </c>
      <c r="AE4766" s="11"/>
    </row>
    <row r="4767" customHeight="1" spans="1:31">
      <c r="A4767" s="12" t="s">
        <v>30</v>
      </c>
      <c r="B4767" s="12" t="s">
        <v>16281</v>
      </c>
      <c r="C4767" s="12">
        <v>48</v>
      </c>
      <c r="D4767" s="12">
        <v>103</v>
      </c>
      <c r="E4767" s="12">
        <v>21</v>
      </c>
      <c r="F4767" s="12">
        <v>680</v>
      </c>
      <c r="G4767" s="12">
        <v>25000</v>
      </c>
      <c r="H4767" s="16"/>
      <c r="I4767" s="12" t="s">
        <v>214</v>
      </c>
      <c r="J4767" s="12" t="s">
        <v>3398</v>
      </c>
      <c r="K4767" s="12" t="s">
        <v>2019</v>
      </c>
      <c r="L4767" s="12" t="s">
        <v>2284</v>
      </c>
      <c r="M4767" s="12" t="s">
        <v>22693</v>
      </c>
      <c r="N4767" s="12">
        <v>26863</v>
      </c>
      <c r="O4767" s="12">
        <v>26999</v>
      </c>
      <c r="P4767" s="12">
        <v>3</v>
      </c>
      <c r="Q4767" s="12" t="s">
        <v>22694</v>
      </c>
      <c r="R4767" s="15" t="s">
        <v>22695</v>
      </c>
      <c r="S4767" s="12">
        <v>54</v>
      </c>
      <c r="T4767" s="12" t="s">
        <v>39</v>
      </c>
      <c r="U4767" s="12" t="s">
        <v>58</v>
      </c>
      <c r="V4767" s="12" t="s">
        <v>41</v>
      </c>
      <c r="W4767" s="16"/>
      <c r="X4767" s="12">
        <v>2012</v>
      </c>
      <c r="Y4767" s="12">
        <v>766</v>
      </c>
      <c r="Z4767" s="12">
        <v>7.2</v>
      </c>
      <c r="AA4767" s="12">
        <v>2.35</v>
      </c>
      <c r="AB4767" s="12">
        <v>0</v>
      </c>
      <c r="AC4767" s="12"/>
      <c r="AD4767" s="12" t="str">
        <f>IFERROR(__xludf.DUMMYFUNCTION("""COMPUTED_VALUE"""),"Bob Ross")</f>
        <v>Bob Ross</v>
      </c>
      <c r="AE4767" s="12"/>
    </row>
    <row r="4768" customHeight="1" spans="1:31">
      <c r="A4768" s="11" t="s">
        <v>30</v>
      </c>
      <c r="B4768" s="11" t="s">
        <v>22696</v>
      </c>
      <c r="C4768" s="11">
        <v>64</v>
      </c>
      <c r="D4768" s="11">
        <v>104</v>
      </c>
      <c r="E4768" s="11">
        <v>32</v>
      </c>
      <c r="F4768" s="11">
        <v>238</v>
      </c>
      <c r="G4768" s="11">
        <v>685</v>
      </c>
      <c r="H4768" s="13"/>
      <c r="I4768" s="11" t="s">
        <v>7579</v>
      </c>
      <c r="J4768" s="11" t="s">
        <v>22697</v>
      </c>
      <c r="K4768" s="11" t="s">
        <v>22698</v>
      </c>
      <c r="L4768" s="11" t="s">
        <v>22699</v>
      </c>
      <c r="M4768" s="11" t="s">
        <v>22700</v>
      </c>
      <c r="N4768" s="11">
        <v>2012</v>
      </c>
      <c r="O4768" s="11">
        <v>2102</v>
      </c>
      <c r="P4768" s="11">
        <v>2</v>
      </c>
      <c r="Q4768" s="11" t="s">
        <v>22701</v>
      </c>
      <c r="R4768" s="14" t="s">
        <v>22702</v>
      </c>
      <c r="S4768" s="11">
        <v>28</v>
      </c>
      <c r="T4768" s="11" t="s">
        <v>39</v>
      </c>
      <c r="U4768" s="11" t="s">
        <v>40</v>
      </c>
      <c r="V4768" s="11" t="s">
        <v>586</v>
      </c>
      <c r="W4768" s="11">
        <v>500000</v>
      </c>
      <c r="X4768" s="11">
        <v>2012</v>
      </c>
      <c r="Y4768" s="11">
        <v>492</v>
      </c>
      <c r="Z4768" s="11">
        <v>3.5</v>
      </c>
      <c r="AA4768" s="11">
        <v>2.35</v>
      </c>
      <c r="AB4768" s="11">
        <v>0</v>
      </c>
      <c r="AC4768" s="11"/>
      <c r="AD4768" s="11" t="str">
        <f>IFERROR(__xludf.DUMMYFUNCTION("""COMPUTED_VALUE"""),"Susan Hampshire")</f>
        <v>Susan Hampshire</v>
      </c>
      <c r="AE4768" s="11"/>
    </row>
    <row r="4769" customHeight="1" spans="1:31">
      <c r="A4769" s="12" t="s">
        <v>30</v>
      </c>
      <c r="B4769" s="12" t="s">
        <v>22703</v>
      </c>
      <c r="C4769" s="16"/>
      <c r="D4769" s="12">
        <v>90</v>
      </c>
      <c r="E4769" s="12">
        <v>0</v>
      </c>
      <c r="F4769" s="12">
        <v>569</v>
      </c>
      <c r="G4769" s="12">
        <v>970</v>
      </c>
      <c r="H4769" s="16"/>
      <c r="I4769" s="12" t="s">
        <v>22704</v>
      </c>
      <c r="J4769" s="12" t="s">
        <v>16474</v>
      </c>
      <c r="K4769" s="12" t="s">
        <v>4640</v>
      </c>
      <c r="L4769" s="12" t="s">
        <v>8156</v>
      </c>
      <c r="M4769" s="12" t="s">
        <v>22705</v>
      </c>
      <c r="N4769" s="12">
        <v>22</v>
      </c>
      <c r="O4769" s="12">
        <v>3359</v>
      </c>
      <c r="P4769" s="12">
        <v>0</v>
      </c>
      <c r="Q4769" s="16"/>
      <c r="R4769" s="15" t="s">
        <v>22706</v>
      </c>
      <c r="S4769" s="16"/>
      <c r="T4769" s="12" t="s">
        <v>39</v>
      </c>
      <c r="U4769" s="12" t="s">
        <v>40</v>
      </c>
      <c r="V4769" s="16"/>
      <c r="W4769" s="16"/>
      <c r="X4769" s="12">
        <v>2015</v>
      </c>
      <c r="Y4769" s="12">
        <v>812</v>
      </c>
      <c r="Z4769" s="12">
        <v>7.5</v>
      </c>
      <c r="AA4769" s="16"/>
      <c r="AB4769" s="12">
        <v>337</v>
      </c>
      <c r="AC4769" s="12"/>
      <c r="AD4769" s="12" t="str">
        <f>IFERROR(__xludf.DUMMYFUNCTION("""COMPUTED_VALUE"""),"Amanda Mealing")</f>
        <v>Amanda Mealing</v>
      </c>
      <c r="AE4769" s="12"/>
    </row>
    <row r="4770" customHeight="1" spans="1:31">
      <c r="A4770" s="11" t="s">
        <v>30</v>
      </c>
      <c r="B4770" s="11" t="s">
        <v>22707</v>
      </c>
      <c r="C4770" s="11">
        <v>1</v>
      </c>
      <c r="D4770" s="11">
        <v>122</v>
      </c>
      <c r="E4770" s="11">
        <v>406</v>
      </c>
      <c r="F4770" s="11">
        <v>152</v>
      </c>
      <c r="G4770" s="11">
        <v>358</v>
      </c>
      <c r="H4770" s="13"/>
      <c r="I4770" s="11" t="s">
        <v>1157</v>
      </c>
      <c r="J4770" s="11" t="s">
        <v>22708</v>
      </c>
      <c r="K4770" s="11" t="s">
        <v>21943</v>
      </c>
      <c r="L4770" s="11" t="s">
        <v>22709</v>
      </c>
      <c r="M4770" s="11" t="s">
        <v>22710</v>
      </c>
      <c r="N4770" s="11">
        <v>292</v>
      </c>
      <c r="O4770" s="11">
        <v>1038</v>
      </c>
      <c r="P4770" s="11">
        <v>0</v>
      </c>
      <c r="Q4770" s="11" t="s">
        <v>22711</v>
      </c>
      <c r="R4770" s="14" t="s">
        <v>22712</v>
      </c>
      <c r="S4770" s="11">
        <v>16</v>
      </c>
      <c r="T4770" s="11" t="s">
        <v>39</v>
      </c>
      <c r="U4770" s="11" t="s">
        <v>40</v>
      </c>
      <c r="V4770" s="11" t="s">
        <v>586</v>
      </c>
      <c r="W4770" s="13"/>
      <c r="X4770" s="11">
        <v>2015</v>
      </c>
      <c r="Y4770" s="11">
        <v>317</v>
      </c>
      <c r="Z4770" s="11">
        <v>2.2</v>
      </c>
      <c r="AA4770" s="13"/>
      <c r="AB4770" s="11">
        <v>353</v>
      </c>
      <c r="AC4770" s="11"/>
      <c r="AD4770" s="11" t="str">
        <f>IFERROR(__xludf.DUMMYFUNCTION("""COMPUTED_VALUE"""),"Tim Healy")</f>
        <v>Tim Healy</v>
      </c>
      <c r="AE4770" s="11"/>
    </row>
    <row r="4771" customHeight="1" spans="1:31">
      <c r="A4771" s="12" t="s">
        <v>30</v>
      </c>
      <c r="B4771" s="12" t="s">
        <v>14087</v>
      </c>
      <c r="C4771" s="12">
        <v>111</v>
      </c>
      <c r="D4771" s="12">
        <v>93</v>
      </c>
      <c r="E4771" s="12">
        <v>33</v>
      </c>
      <c r="F4771" s="12">
        <v>135</v>
      </c>
      <c r="G4771" s="12">
        <v>1000</v>
      </c>
      <c r="H4771" s="12">
        <v>37188667</v>
      </c>
      <c r="I4771" s="12" t="s">
        <v>2528</v>
      </c>
      <c r="J4771" s="12" t="s">
        <v>14088</v>
      </c>
      <c r="K4771" s="12" t="s">
        <v>14089</v>
      </c>
      <c r="L4771" s="12" t="s">
        <v>14090</v>
      </c>
      <c r="M4771" s="12" t="s">
        <v>14091</v>
      </c>
      <c r="N4771" s="12">
        <v>34219</v>
      </c>
      <c r="O4771" s="12">
        <v>1531</v>
      </c>
      <c r="P4771" s="12">
        <v>1</v>
      </c>
      <c r="Q4771" s="12" t="s">
        <v>14092</v>
      </c>
      <c r="R4771" s="15" t="s">
        <v>14093</v>
      </c>
      <c r="S4771" s="12">
        <v>578</v>
      </c>
      <c r="T4771" s="12" t="s">
        <v>39</v>
      </c>
      <c r="U4771" s="12" t="s">
        <v>40</v>
      </c>
      <c r="V4771" s="12" t="s">
        <v>41</v>
      </c>
      <c r="W4771" s="12">
        <v>12000000</v>
      </c>
      <c r="X4771" s="12">
        <v>2002</v>
      </c>
      <c r="Y4771" s="12">
        <v>188</v>
      </c>
      <c r="Z4771" s="12">
        <v>3.3</v>
      </c>
      <c r="AA4771" s="12">
        <v>1.85</v>
      </c>
      <c r="AB4771" s="12">
        <v>0</v>
      </c>
      <c r="AC4771" s="12"/>
      <c r="AD4771" s="12" t="str">
        <f>IFERROR(__xludf.DUMMYFUNCTION("""COMPUTED_VALUE"""),"Kostja Ullmann")</f>
        <v>Kostja Ullmann</v>
      </c>
      <c r="AE4771" s="12"/>
    </row>
    <row r="4772" customHeight="1" spans="1:31">
      <c r="A4772" s="11" t="s">
        <v>30</v>
      </c>
      <c r="B4772" s="11" t="s">
        <v>22713</v>
      </c>
      <c r="C4772" s="11">
        <v>26</v>
      </c>
      <c r="D4772" s="11">
        <v>90</v>
      </c>
      <c r="E4772" s="11">
        <v>0</v>
      </c>
      <c r="F4772" s="11">
        <v>120</v>
      </c>
      <c r="G4772" s="11">
        <v>322</v>
      </c>
      <c r="H4772" s="13"/>
      <c r="I4772" s="11" t="s">
        <v>852</v>
      </c>
      <c r="J4772" s="11" t="s">
        <v>10876</v>
      </c>
      <c r="K4772" s="11" t="s">
        <v>11291</v>
      </c>
      <c r="L4772" s="11" t="s">
        <v>22714</v>
      </c>
      <c r="M4772" s="11" t="s">
        <v>22715</v>
      </c>
      <c r="N4772" s="11">
        <v>5025</v>
      </c>
      <c r="O4772" s="11">
        <v>630</v>
      </c>
      <c r="P4772" s="11">
        <v>3</v>
      </c>
      <c r="Q4772" s="11" t="s">
        <v>22716</v>
      </c>
      <c r="R4772" s="14" t="s">
        <v>22717</v>
      </c>
      <c r="S4772" s="11">
        <v>45</v>
      </c>
      <c r="T4772" s="11" t="s">
        <v>39</v>
      </c>
      <c r="U4772" s="11" t="s">
        <v>40</v>
      </c>
      <c r="V4772" s="11" t="s">
        <v>586</v>
      </c>
      <c r="W4772" s="11">
        <v>500000</v>
      </c>
      <c r="X4772" s="11">
        <v>2011</v>
      </c>
      <c r="Y4772" s="11">
        <v>178</v>
      </c>
      <c r="Z4772" s="11">
        <v>6.6</v>
      </c>
      <c r="AA4772" s="13"/>
      <c r="AB4772" s="11">
        <v>701</v>
      </c>
      <c r="AC4772" s="11"/>
      <c r="AD4772" s="11" t="str">
        <f>IFERROR(__xludf.DUMMYFUNCTION("""COMPUTED_VALUE"""),"Robert Stadlober")</f>
        <v>Robert Stadlober</v>
      </c>
      <c r="AE4772" s="11"/>
    </row>
    <row r="4773" customHeight="1" spans="1:31">
      <c r="A4773" s="12" t="s">
        <v>30</v>
      </c>
      <c r="B4773" s="12" t="s">
        <v>22718</v>
      </c>
      <c r="C4773" s="12">
        <v>1</v>
      </c>
      <c r="D4773" s="12">
        <v>101</v>
      </c>
      <c r="E4773" s="12">
        <v>0</v>
      </c>
      <c r="F4773" s="12">
        <v>15</v>
      </c>
      <c r="G4773" s="12">
        <v>159</v>
      </c>
      <c r="H4773" s="16"/>
      <c r="I4773" s="12" t="s">
        <v>1936</v>
      </c>
      <c r="J4773" s="12" t="s">
        <v>20343</v>
      </c>
      <c r="K4773" s="12" t="s">
        <v>22719</v>
      </c>
      <c r="L4773" s="12" t="s">
        <v>22720</v>
      </c>
      <c r="M4773" s="12" t="s">
        <v>22721</v>
      </c>
      <c r="N4773" s="12">
        <v>197</v>
      </c>
      <c r="O4773" s="12">
        <v>206</v>
      </c>
      <c r="P4773" s="12">
        <v>1</v>
      </c>
      <c r="Q4773" s="16"/>
      <c r="R4773" s="15" t="s">
        <v>22722</v>
      </c>
      <c r="S4773" s="12">
        <v>1</v>
      </c>
      <c r="T4773" s="12" t="s">
        <v>2779</v>
      </c>
      <c r="U4773" s="12" t="s">
        <v>22723</v>
      </c>
      <c r="V4773" s="12" t="s">
        <v>586</v>
      </c>
      <c r="W4773" s="12">
        <v>500000</v>
      </c>
      <c r="X4773" s="12">
        <v>2012</v>
      </c>
      <c r="Y4773" s="12">
        <v>15</v>
      </c>
      <c r="Z4773" s="12">
        <v>6.9</v>
      </c>
      <c r="AA4773" s="12">
        <v>16</v>
      </c>
      <c r="AB4773" s="12">
        <v>126</v>
      </c>
      <c r="AC4773" s="12"/>
      <c r="AD4773" s="12" t="str">
        <f>IFERROR(__xludf.DUMMYFUNCTION("""COMPUTED_VALUE"""),"Johnny Pacar")</f>
        <v>Johnny Pacar</v>
      </c>
      <c r="AE4773" s="12"/>
    </row>
    <row r="4774" customHeight="1" spans="1:31">
      <c r="A4774" s="11" t="s">
        <v>30</v>
      </c>
      <c r="B4774" s="11" t="s">
        <v>22724</v>
      </c>
      <c r="C4774" s="11">
        <v>3</v>
      </c>
      <c r="D4774" s="11">
        <v>94</v>
      </c>
      <c r="E4774" s="11">
        <v>0</v>
      </c>
      <c r="F4774" s="11">
        <v>212</v>
      </c>
      <c r="G4774" s="11">
        <v>918</v>
      </c>
      <c r="H4774" s="13"/>
      <c r="I4774" s="11" t="s">
        <v>22725</v>
      </c>
      <c r="J4774" s="11" t="s">
        <v>9867</v>
      </c>
      <c r="K4774" s="11" t="s">
        <v>21963</v>
      </c>
      <c r="L4774" s="11" t="s">
        <v>22726</v>
      </c>
      <c r="M4774" s="11" t="s">
        <v>22727</v>
      </c>
      <c r="N4774" s="11">
        <v>60</v>
      </c>
      <c r="O4774" s="11">
        <v>2091</v>
      </c>
      <c r="P4774" s="11">
        <v>0</v>
      </c>
      <c r="Q4774" s="11" t="s">
        <v>22728</v>
      </c>
      <c r="R4774" s="14" t="s">
        <v>22729</v>
      </c>
      <c r="S4774" s="11">
        <v>2</v>
      </c>
      <c r="T4774" s="11" t="s">
        <v>39</v>
      </c>
      <c r="U4774" s="11" t="s">
        <v>40</v>
      </c>
      <c r="V4774" s="11" t="s">
        <v>41</v>
      </c>
      <c r="W4774" s="11">
        <v>150000</v>
      </c>
      <c r="X4774" s="11">
        <v>2016</v>
      </c>
      <c r="Y4774" s="11">
        <v>402</v>
      </c>
      <c r="Z4774" s="11">
        <v>4</v>
      </c>
      <c r="AA4774" s="13"/>
      <c r="AB4774" s="11">
        <v>381</v>
      </c>
      <c r="AC4774" s="11"/>
      <c r="AD4774" s="11" t="str">
        <f>IFERROR(__xludf.DUMMYFUNCTION("""COMPUTED_VALUE"""),"Matt Cohen")</f>
        <v>Matt Cohen</v>
      </c>
      <c r="AE4774" s="11"/>
    </row>
    <row r="4775" customHeight="1" spans="1:31">
      <c r="A4775" s="12" t="s">
        <v>30</v>
      </c>
      <c r="B4775" s="12" t="s">
        <v>14788</v>
      </c>
      <c r="C4775" s="12">
        <v>10</v>
      </c>
      <c r="D4775" s="12">
        <v>97</v>
      </c>
      <c r="E4775" s="12">
        <v>163</v>
      </c>
      <c r="F4775" s="12">
        <v>303</v>
      </c>
      <c r="G4775" s="12">
        <v>636</v>
      </c>
      <c r="H4775" s="16"/>
      <c r="I4775" s="12" t="s">
        <v>22730</v>
      </c>
      <c r="J4775" s="12" t="s">
        <v>7659</v>
      </c>
      <c r="K4775" s="12" t="s">
        <v>11828</v>
      </c>
      <c r="L4775" s="12" t="s">
        <v>22731</v>
      </c>
      <c r="M4775" s="12" t="s">
        <v>22732</v>
      </c>
      <c r="N4775" s="12">
        <v>259</v>
      </c>
      <c r="O4775" s="12">
        <v>2438</v>
      </c>
      <c r="P4775" s="12">
        <v>5</v>
      </c>
      <c r="Q4775" s="12" t="s">
        <v>22733</v>
      </c>
      <c r="R4775" s="15" t="s">
        <v>22734</v>
      </c>
      <c r="S4775" s="12">
        <v>20</v>
      </c>
      <c r="T4775" s="12" t="s">
        <v>39</v>
      </c>
      <c r="U4775" s="12" t="s">
        <v>40</v>
      </c>
      <c r="V4775" s="16"/>
      <c r="W4775" s="12">
        <v>500000</v>
      </c>
      <c r="X4775" s="12">
        <v>2016</v>
      </c>
      <c r="Y4775" s="12">
        <v>456</v>
      </c>
      <c r="Z4775" s="12">
        <v>7.4</v>
      </c>
      <c r="AA4775" s="12">
        <v>1.78</v>
      </c>
      <c r="AB4775" s="12">
        <v>707</v>
      </c>
      <c r="AC4775" s="12"/>
      <c r="AD4775" s="12" t="str">
        <f>IFERROR(__xludf.DUMMYFUNCTION("""COMPUTED_VALUE"""),"Noah Segan")</f>
        <v>Noah Segan</v>
      </c>
      <c r="AE4775" s="12"/>
    </row>
    <row r="4776" customHeight="1" spans="1:31">
      <c r="A4776" s="11" t="s">
        <v>30</v>
      </c>
      <c r="B4776" s="11" t="s">
        <v>22735</v>
      </c>
      <c r="C4776" s="11">
        <v>1</v>
      </c>
      <c r="D4776" s="11">
        <v>90</v>
      </c>
      <c r="E4776" s="11">
        <v>0</v>
      </c>
      <c r="F4776" s="11">
        <v>33</v>
      </c>
      <c r="G4776" s="11">
        <v>84</v>
      </c>
      <c r="H4776" s="13"/>
      <c r="I4776" s="11" t="s">
        <v>22736</v>
      </c>
      <c r="J4776" s="11" t="s">
        <v>22737</v>
      </c>
      <c r="K4776" s="11" t="s">
        <v>22738</v>
      </c>
      <c r="L4776" s="11" t="s">
        <v>22739</v>
      </c>
      <c r="M4776" s="11" t="s">
        <v>22740</v>
      </c>
      <c r="N4776" s="11">
        <v>30</v>
      </c>
      <c r="O4776" s="11">
        <v>254</v>
      </c>
      <c r="P4776" s="11">
        <v>0</v>
      </c>
      <c r="Q4776" s="13"/>
      <c r="R4776" s="14" t="s">
        <v>22741</v>
      </c>
      <c r="S4776" s="11">
        <v>1</v>
      </c>
      <c r="T4776" s="11" t="s">
        <v>39</v>
      </c>
      <c r="U4776" s="11" t="s">
        <v>40</v>
      </c>
      <c r="V4776" s="11" t="s">
        <v>586</v>
      </c>
      <c r="W4776" s="13"/>
      <c r="X4776" s="11">
        <v>2014</v>
      </c>
      <c r="Y4776" s="11">
        <v>41</v>
      </c>
      <c r="Z4776" s="11">
        <v>8.3</v>
      </c>
      <c r="AA4776" s="13"/>
      <c r="AB4776" s="11">
        <v>70</v>
      </c>
      <c r="AC4776" s="11"/>
      <c r="AD4776" s="11" t="str">
        <f>IFERROR(__xludf.DUMMYFUNCTION("""COMPUTED_VALUE"""),"Peter Onorati")</f>
        <v>Peter Onorati</v>
      </c>
      <c r="AE4776" s="11"/>
    </row>
    <row r="4777" customHeight="1" spans="1:31">
      <c r="A4777" s="12" t="s">
        <v>30</v>
      </c>
      <c r="B4777" s="12" t="s">
        <v>22742</v>
      </c>
      <c r="C4777" s="12">
        <v>1</v>
      </c>
      <c r="D4777" s="12">
        <v>108</v>
      </c>
      <c r="E4777" s="12">
        <v>431</v>
      </c>
      <c r="F4777" s="12">
        <v>317</v>
      </c>
      <c r="G4777" s="12">
        <v>466</v>
      </c>
      <c r="H4777" s="16"/>
      <c r="I4777" s="12" t="s">
        <v>18088</v>
      </c>
      <c r="J4777" s="12" t="s">
        <v>22743</v>
      </c>
      <c r="K4777" s="12" t="s">
        <v>22742</v>
      </c>
      <c r="L4777" s="12" t="s">
        <v>22744</v>
      </c>
      <c r="M4777" s="12" t="s">
        <v>22745</v>
      </c>
      <c r="N4777" s="12">
        <v>62</v>
      </c>
      <c r="O4777" s="12">
        <v>1628</v>
      </c>
      <c r="P4777" s="12">
        <v>2</v>
      </c>
      <c r="Q4777" s="16"/>
      <c r="R4777" s="15" t="s">
        <v>22746</v>
      </c>
      <c r="S4777" s="12">
        <v>4</v>
      </c>
      <c r="T4777" s="12" t="s">
        <v>39</v>
      </c>
      <c r="U4777" s="12" t="s">
        <v>40</v>
      </c>
      <c r="V4777" s="12" t="s">
        <v>96</v>
      </c>
      <c r="W4777" s="12">
        <v>500000</v>
      </c>
      <c r="X4777" s="12">
        <v>2016</v>
      </c>
      <c r="Y4777" s="12">
        <v>431</v>
      </c>
      <c r="Z4777" s="12">
        <v>5.7</v>
      </c>
      <c r="AA4777" s="16"/>
      <c r="AB4777" s="12">
        <v>0</v>
      </c>
      <c r="AC4777" s="12"/>
      <c r="AD4777" s="12" t="str">
        <f>IFERROR(__xludf.DUMMYFUNCTION("""COMPUTED_VALUE"""),"Jim Norton")</f>
        <v>Jim Norton</v>
      </c>
      <c r="AE4777" s="12"/>
    </row>
    <row r="4778" customHeight="1" spans="1:31">
      <c r="A4778" s="11" t="s">
        <v>30</v>
      </c>
      <c r="B4778" s="11" t="s">
        <v>22747</v>
      </c>
      <c r="C4778" s="11">
        <v>10</v>
      </c>
      <c r="D4778" s="11">
        <v>82</v>
      </c>
      <c r="E4778" s="11">
        <v>0</v>
      </c>
      <c r="F4778" s="11">
        <v>0</v>
      </c>
      <c r="G4778" s="11">
        <v>0</v>
      </c>
      <c r="H4778" s="11">
        <v>21199</v>
      </c>
      <c r="I4778" s="11" t="s">
        <v>22748</v>
      </c>
      <c r="J4778" s="11" t="s">
        <v>22749</v>
      </c>
      <c r="K4778" s="11" t="s">
        <v>22750</v>
      </c>
      <c r="L4778" s="11" t="s">
        <v>22751</v>
      </c>
      <c r="M4778" s="11" t="s">
        <v>22752</v>
      </c>
      <c r="N4778" s="11">
        <v>40</v>
      </c>
      <c r="O4778" s="11">
        <v>0</v>
      </c>
      <c r="P4778" s="11">
        <v>1</v>
      </c>
      <c r="Q4778" s="11" t="s">
        <v>22753</v>
      </c>
      <c r="R4778" s="14" t="s">
        <v>22754</v>
      </c>
      <c r="S4778" s="11">
        <v>10</v>
      </c>
      <c r="T4778" s="11" t="s">
        <v>39</v>
      </c>
      <c r="U4778" s="11" t="s">
        <v>40</v>
      </c>
      <c r="V4778" s="13"/>
      <c r="W4778" s="11">
        <v>500000</v>
      </c>
      <c r="X4778" s="11">
        <v>2014</v>
      </c>
      <c r="Y4778" s="11">
        <v>0</v>
      </c>
      <c r="Z4778" s="11">
        <v>6.8</v>
      </c>
      <c r="AA4778" s="13"/>
      <c r="AB4778" s="11">
        <v>44</v>
      </c>
      <c r="AC4778" s="11"/>
      <c r="AD4778" s="11" t="str">
        <f>IFERROR(__xludf.DUMMYFUNCTION("""COMPUTED_VALUE"""),"Neil Hopkins")</f>
        <v>Neil Hopkins</v>
      </c>
      <c r="AE4778" s="11"/>
    </row>
    <row r="4779" customHeight="1" spans="1:31">
      <c r="A4779" s="12" t="s">
        <v>30</v>
      </c>
      <c r="B4779" s="12" t="s">
        <v>22755</v>
      </c>
      <c r="C4779" s="12">
        <v>1</v>
      </c>
      <c r="D4779" s="12">
        <v>84</v>
      </c>
      <c r="E4779" s="12">
        <v>0</v>
      </c>
      <c r="F4779" s="12">
        <v>53</v>
      </c>
      <c r="G4779" s="12">
        <v>385</v>
      </c>
      <c r="H4779" s="16"/>
      <c r="I4779" s="12" t="s">
        <v>18088</v>
      </c>
      <c r="J4779" s="12" t="s">
        <v>22756</v>
      </c>
      <c r="K4779" s="12" t="s">
        <v>22757</v>
      </c>
      <c r="L4779" s="12" t="s">
        <v>22758</v>
      </c>
      <c r="M4779" s="12" t="s">
        <v>22759</v>
      </c>
      <c r="N4779" s="12">
        <v>15</v>
      </c>
      <c r="O4779" s="12">
        <v>683</v>
      </c>
      <c r="P4779" s="12">
        <v>2</v>
      </c>
      <c r="Q4779" s="16"/>
      <c r="R4779" s="15" t="s">
        <v>22760</v>
      </c>
      <c r="S4779" s="12">
        <v>1</v>
      </c>
      <c r="T4779" s="12" t="s">
        <v>39</v>
      </c>
      <c r="U4779" s="12" t="s">
        <v>40</v>
      </c>
      <c r="V4779" s="16"/>
      <c r="W4779" s="12">
        <v>500000</v>
      </c>
      <c r="X4779" s="12">
        <v>2016</v>
      </c>
      <c r="Y4779" s="12">
        <v>169</v>
      </c>
      <c r="Z4779" s="12">
        <v>5.2</v>
      </c>
      <c r="AA4779" s="12">
        <v>16</v>
      </c>
      <c r="AB4779" s="12">
        <v>9</v>
      </c>
      <c r="AC4779" s="12"/>
      <c r="AD4779" s="12" t="str">
        <f>IFERROR(__xludf.DUMMYFUNCTION("""COMPUTED_VALUE"""),"Darren Keefe Reiher")</f>
        <v>Darren Keefe Reiher</v>
      </c>
      <c r="AE4779" s="12"/>
    </row>
    <row r="4780" customHeight="1" spans="1:31">
      <c r="A4780" s="11" t="s">
        <v>30</v>
      </c>
      <c r="B4780" s="11" t="s">
        <v>80</v>
      </c>
      <c r="C4780" s="11">
        <v>525</v>
      </c>
      <c r="D4780" s="11">
        <v>130</v>
      </c>
      <c r="E4780" s="11">
        <v>0</v>
      </c>
      <c r="F4780" s="11">
        <v>11000</v>
      </c>
      <c r="G4780" s="11">
        <v>44000</v>
      </c>
      <c r="H4780" s="11">
        <v>234903076</v>
      </c>
      <c r="I4780" s="11" t="s">
        <v>200</v>
      </c>
      <c r="J4780" s="11" t="s">
        <v>291</v>
      </c>
      <c r="K4780" s="11" t="s">
        <v>292</v>
      </c>
      <c r="L4780" s="11" t="s">
        <v>83</v>
      </c>
      <c r="M4780" s="11" t="s">
        <v>293</v>
      </c>
      <c r="N4780" s="11">
        <v>175413</v>
      </c>
      <c r="O4780" s="11">
        <v>73441</v>
      </c>
      <c r="P4780" s="11">
        <v>4</v>
      </c>
      <c r="Q4780" s="11" t="s">
        <v>294</v>
      </c>
      <c r="R4780" s="14" t="s">
        <v>295</v>
      </c>
      <c r="S4780" s="11">
        <v>511</v>
      </c>
      <c r="T4780" s="11" t="s">
        <v>39</v>
      </c>
      <c r="U4780" s="11" t="s">
        <v>40</v>
      </c>
      <c r="V4780" s="11" t="s">
        <v>96</v>
      </c>
      <c r="W4780" s="11">
        <v>215000000</v>
      </c>
      <c r="X4780" s="11">
        <v>2013</v>
      </c>
      <c r="Y4780" s="11">
        <v>15000</v>
      </c>
      <c r="Z4780" s="11">
        <v>6.4</v>
      </c>
      <c r="AA4780" s="11">
        <v>2.35</v>
      </c>
      <c r="AB4780" s="11">
        <v>60000</v>
      </c>
      <c r="AC4780" s="11"/>
      <c r="AD4780" s="11" t="str">
        <f>IFERROR(__xludf.DUMMYFUNCTION("""COMPUTED_VALUE"""),"David Douglas")</f>
        <v>David Douglas</v>
      </c>
      <c r="AE4780" s="11"/>
    </row>
    <row r="4781" customHeight="1" spans="1:31">
      <c r="A4781" s="12" t="s">
        <v>30</v>
      </c>
      <c r="B4781" s="12" t="s">
        <v>20121</v>
      </c>
      <c r="C4781" s="12">
        <v>96</v>
      </c>
      <c r="D4781" s="12">
        <v>91</v>
      </c>
      <c r="E4781" s="12">
        <v>6</v>
      </c>
      <c r="F4781" s="12">
        <v>10</v>
      </c>
      <c r="G4781" s="12">
        <v>488</v>
      </c>
      <c r="H4781" s="16"/>
      <c r="I4781" s="12" t="s">
        <v>20122</v>
      </c>
      <c r="J4781" s="12" t="s">
        <v>4158</v>
      </c>
      <c r="K4781" s="12" t="s">
        <v>22761</v>
      </c>
      <c r="L4781" s="12" t="s">
        <v>22762</v>
      </c>
      <c r="M4781" s="12" t="s">
        <v>22763</v>
      </c>
      <c r="N4781" s="12">
        <v>19253</v>
      </c>
      <c r="O4781" s="12">
        <v>553</v>
      </c>
      <c r="P4781" s="12">
        <v>0</v>
      </c>
      <c r="Q4781" s="12" t="s">
        <v>22764</v>
      </c>
      <c r="R4781" s="15" t="s">
        <v>22765</v>
      </c>
      <c r="S4781" s="12">
        <v>147</v>
      </c>
      <c r="T4781" s="12" t="s">
        <v>39</v>
      </c>
      <c r="U4781" s="12" t="s">
        <v>40</v>
      </c>
      <c r="V4781" s="12" t="s">
        <v>5614</v>
      </c>
      <c r="W4781" s="12">
        <v>475000</v>
      </c>
      <c r="X4781" s="12">
        <v>1984</v>
      </c>
      <c r="Y4781" s="12">
        <v>11</v>
      </c>
      <c r="Z4781" s="12">
        <v>6.2</v>
      </c>
      <c r="AA4781" s="12">
        <v>1.85</v>
      </c>
      <c r="AB4781" s="12">
        <v>0</v>
      </c>
      <c r="AC4781" s="12"/>
      <c r="AD4781" s="12" t="str">
        <f>IFERROR(__xludf.DUMMYFUNCTION("""COMPUTED_VALUE"""),"Kristi Clainos")</f>
        <v>Kristi Clainos</v>
      </c>
      <c r="AE4781" s="12"/>
    </row>
    <row r="4782" customHeight="1" spans="1:31">
      <c r="A4782" s="11" t="s">
        <v>30</v>
      </c>
      <c r="B4782" s="11" t="s">
        <v>16111</v>
      </c>
      <c r="C4782" s="11">
        <v>8</v>
      </c>
      <c r="D4782" s="11">
        <v>91</v>
      </c>
      <c r="E4782" s="11">
        <v>10</v>
      </c>
      <c r="F4782" s="11">
        <v>10</v>
      </c>
      <c r="G4782" s="11">
        <v>353</v>
      </c>
      <c r="H4782" s="11">
        <v>2712293</v>
      </c>
      <c r="I4782" s="11" t="s">
        <v>1936</v>
      </c>
      <c r="J4782" s="11" t="s">
        <v>17155</v>
      </c>
      <c r="K4782" s="11" t="s">
        <v>22766</v>
      </c>
      <c r="L4782" s="11" t="s">
        <v>16111</v>
      </c>
      <c r="M4782" s="11" t="s">
        <v>22767</v>
      </c>
      <c r="N4782" s="11">
        <v>475</v>
      </c>
      <c r="O4782" s="11">
        <v>380</v>
      </c>
      <c r="P4782" s="11">
        <v>4</v>
      </c>
      <c r="Q4782" s="11" t="s">
        <v>22768</v>
      </c>
      <c r="R4782" s="14" t="s">
        <v>22769</v>
      </c>
      <c r="S4782" s="11">
        <v>11</v>
      </c>
      <c r="T4782" s="11" t="s">
        <v>39</v>
      </c>
      <c r="U4782" s="11" t="s">
        <v>40</v>
      </c>
      <c r="V4782" s="11" t="s">
        <v>586</v>
      </c>
      <c r="W4782" s="11">
        <v>450000</v>
      </c>
      <c r="X4782" s="11">
        <v>1991</v>
      </c>
      <c r="Y4782" s="11">
        <v>12</v>
      </c>
      <c r="Z4782" s="11">
        <v>5.9</v>
      </c>
      <c r="AA4782" s="11">
        <v>1.85</v>
      </c>
      <c r="AB4782" s="11">
        <v>123</v>
      </c>
      <c r="AC4782" s="11"/>
      <c r="AD4782" s="11" t="str">
        <f>IFERROR(__xludf.DUMMYFUNCTION("""COMPUTED_VALUE"""),"Emily Nelson")</f>
        <v>Emily Nelson</v>
      </c>
      <c r="AE4782" s="11"/>
    </row>
    <row r="4783" customHeight="1" spans="1:31">
      <c r="A4783" s="12" t="s">
        <v>30</v>
      </c>
      <c r="B4783" s="12" t="s">
        <v>1156</v>
      </c>
      <c r="C4783" s="12">
        <v>92</v>
      </c>
      <c r="D4783" s="12">
        <v>107</v>
      </c>
      <c r="E4783" s="12">
        <v>521</v>
      </c>
      <c r="F4783" s="12">
        <v>80</v>
      </c>
      <c r="G4783" s="12">
        <v>773</v>
      </c>
      <c r="H4783" s="12">
        <v>768045</v>
      </c>
      <c r="I4783" s="12" t="s">
        <v>1962</v>
      </c>
      <c r="J4783" s="12" t="s">
        <v>176</v>
      </c>
      <c r="K4783" s="12" t="s">
        <v>22770</v>
      </c>
      <c r="L4783" s="12" t="s">
        <v>22771</v>
      </c>
      <c r="M4783" s="12" t="s">
        <v>22772</v>
      </c>
      <c r="N4783" s="12">
        <v>19732</v>
      </c>
      <c r="O4783" s="12">
        <v>976</v>
      </c>
      <c r="P4783" s="12">
        <v>0</v>
      </c>
      <c r="Q4783" s="12" t="s">
        <v>22773</v>
      </c>
      <c r="R4783" s="15" t="s">
        <v>22774</v>
      </c>
      <c r="S4783" s="12">
        <v>120</v>
      </c>
      <c r="T4783" s="12" t="s">
        <v>39</v>
      </c>
      <c r="U4783" s="12" t="s">
        <v>58</v>
      </c>
      <c r="V4783" s="12" t="s">
        <v>586</v>
      </c>
      <c r="W4783" s="12">
        <v>2000000</v>
      </c>
      <c r="X4783" s="12">
        <v>2002</v>
      </c>
      <c r="Y4783" s="12">
        <v>89</v>
      </c>
      <c r="Z4783" s="12">
        <v>7.7</v>
      </c>
      <c r="AA4783" s="12">
        <v>1.85</v>
      </c>
      <c r="AB4783" s="12">
        <v>0</v>
      </c>
      <c r="AC4783" s="12"/>
      <c r="AD4783" s="12" t="str">
        <f>IFERROR(__xludf.DUMMYFUNCTION("""COMPUTED_VALUE"""),"French Stewart")</f>
        <v>French Stewart</v>
      </c>
      <c r="AE4783" s="12"/>
    </row>
    <row r="4784" customHeight="1" spans="1:31">
      <c r="A4784" s="11" t="s">
        <v>30</v>
      </c>
      <c r="B4784" s="11" t="s">
        <v>22775</v>
      </c>
      <c r="C4784" s="11">
        <v>1</v>
      </c>
      <c r="D4784" s="11">
        <v>82</v>
      </c>
      <c r="E4784" s="11">
        <v>5</v>
      </c>
      <c r="F4784" s="11">
        <v>237</v>
      </c>
      <c r="G4784" s="11">
        <v>472</v>
      </c>
      <c r="H4784" s="13"/>
      <c r="I4784" s="11" t="s">
        <v>1326</v>
      </c>
      <c r="J4784" s="11" t="s">
        <v>22776</v>
      </c>
      <c r="K4784" s="11" t="s">
        <v>22777</v>
      </c>
      <c r="L4784" s="11" t="s">
        <v>13659</v>
      </c>
      <c r="M4784" s="11" t="s">
        <v>22778</v>
      </c>
      <c r="N4784" s="11">
        <v>53</v>
      </c>
      <c r="O4784" s="11">
        <v>1752</v>
      </c>
      <c r="P4784" s="11">
        <v>6</v>
      </c>
      <c r="Q4784" s="11" t="s">
        <v>22779</v>
      </c>
      <c r="R4784" s="14" t="s">
        <v>22780</v>
      </c>
      <c r="S4784" s="11">
        <v>5</v>
      </c>
      <c r="T4784" s="11" t="s">
        <v>39</v>
      </c>
      <c r="U4784" s="11" t="s">
        <v>40</v>
      </c>
      <c r="V4784" s="11" t="s">
        <v>586</v>
      </c>
      <c r="W4784" s="11">
        <v>500000</v>
      </c>
      <c r="X4784" s="11">
        <v>2015</v>
      </c>
      <c r="Y4784" s="11">
        <v>251</v>
      </c>
      <c r="Z4784" s="11">
        <v>4.3</v>
      </c>
      <c r="AA4784" s="13"/>
      <c r="AB4784" s="11">
        <v>62</v>
      </c>
      <c r="AC4784" s="11"/>
      <c r="AD4784" s="11" t="str">
        <f>IFERROR(__xludf.DUMMYFUNCTION("""COMPUTED_VALUE"""),"Ashley Martin")</f>
        <v>Ashley Martin</v>
      </c>
      <c r="AE4784" s="11"/>
    </row>
    <row r="4785" customHeight="1" spans="1:31">
      <c r="A4785" s="12" t="s">
        <v>30</v>
      </c>
      <c r="B4785" s="12" t="s">
        <v>22781</v>
      </c>
      <c r="C4785" s="12">
        <v>365</v>
      </c>
      <c r="D4785" s="12">
        <v>84</v>
      </c>
      <c r="E4785" s="12">
        <v>3</v>
      </c>
      <c r="F4785" s="12">
        <v>446</v>
      </c>
      <c r="G4785" s="12">
        <v>10000</v>
      </c>
      <c r="H4785" s="12">
        <v>379122</v>
      </c>
      <c r="I4785" s="12" t="s">
        <v>1415</v>
      </c>
      <c r="J4785" s="12" t="s">
        <v>302</v>
      </c>
      <c r="K4785" s="12" t="s">
        <v>5043</v>
      </c>
      <c r="L4785" s="12" t="s">
        <v>11386</v>
      </c>
      <c r="M4785" s="12" t="s">
        <v>22782</v>
      </c>
      <c r="N4785" s="12">
        <v>10143</v>
      </c>
      <c r="O4785" s="12">
        <v>12496</v>
      </c>
      <c r="P4785" s="12">
        <v>0</v>
      </c>
      <c r="Q4785" s="12" t="s">
        <v>22783</v>
      </c>
      <c r="R4785" s="15" t="s">
        <v>22784</v>
      </c>
      <c r="S4785" s="12">
        <v>54</v>
      </c>
      <c r="T4785" s="12" t="s">
        <v>39</v>
      </c>
      <c r="U4785" s="12" t="s">
        <v>58</v>
      </c>
      <c r="V4785" s="12" t="s">
        <v>586</v>
      </c>
      <c r="W4785" s="12">
        <v>450000</v>
      </c>
      <c r="X4785" s="12">
        <v>2005</v>
      </c>
      <c r="Y4785" s="12">
        <v>651</v>
      </c>
      <c r="Z4785" s="12">
        <v>7.1</v>
      </c>
      <c r="AA4785" s="12">
        <v>2.39</v>
      </c>
      <c r="AB4785" s="12">
        <v>0</v>
      </c>
      <c r="AC4785" s="12"/>
      <c r="AD4785" s="12" t="str">
        <f>IFERROR(__xludf.DUMMYFUNCTION("""COMPUTED_VALUE"""),"Olivia Alexander")</f>
        <v>Olivia Alexander</v>
      </c>
      <c r="AE4785" s="12"/>
    </row>
    <row r="4786" customHeight="1" spans="1:31">
      <c r="A4786" s="11" t="s">
        <v>30</v>
      </c>
      <c r="B4786" s="11" t="s">
        <v>22785</v>
      </c>
      <c r="C4786" s="11">
        <v>88</v>
      </c>
      <c r="D4786" s="11">
        <v>103</v>
      </c>
      <c r="E4786" s="11">
        <v>365</v>
      </c>
      <c r="F4786" s="11">
        <v>49</v>
      </c>
      <c r="G4786" s="11">
        <v>907</v>
      </c>
      <c r="H4786" s="11">
        <v>23000</v>
      </c>
      <c r="I4786" s="11" t="s">
        <v>21446</v>
      </c>
      <c r="J4786" s="11" t="s">
        <v>22786</v>
      </c>
      <c r="K4786" s="11" t="s">
        <v>22785</v>
      </c>
      <c r="L4786" s="11" t="s">
        <v>22787</v>
      </c>
      <c r="M4786" s="11" t="s">
        <v>22788</v>
      </c>
      <c r="N4786" s="11">
        <v>5931</v>
      </c>
      <c r="O4786" s="11">
        <v>1411</v>
      </c>
      <c r="P4786" s="11">
        <v>0</v>
      </c>
      <c r="Q4786" s="11" t="s">
        <v>22789</v>
      </c>
      <c r="R4786" s="14" t="s">
        <v>22790</v>
      </c>
      <c r="S4786" s="11">
        <v>58</v>
      </c>
      <c r="T4786" s="11" t="s">
        <v>39</v>
      </c>
      <c r="U4786" s="11" t="s">
        <v>40</v>
      </c>
      <c r="V4786" s="11" t="s">
        <v>5614</v>
      </c>
      <c r="W4786" s="11">
        <v>500000</v>
      </c>
      <c r="X4786" s="11">
        <v>2006</v>
      </c>
      <c r="Y4786" s="11">
        <v>365</v>
      </c>
      <c r="Z4786" s="11">
        <v>6.2</v>
      </c>
      <c r="AA4786" s="11">
        <v>1.85</v>
      </c>
      <c r="AB4786" s="11">
        <v>0</v>
      </c>
      <c r="AC4786" s="11"/>
      <c r="AD4786" s="11" t="str">
        <f>IFERROR(__xludf.DUMMYFUNCTION("""COMPUTED_VALUE"""),"Alex Meraz")</f>
        <v>Alex Meraz</v>
      </c>
      <c r="AE4786" s="11"/>
    </row>
    <row r="4787" customHeight="1" spans="1:31">
      <c r="A4787" s="12" t="s">
        <v>30</v>
      </c>
      <c r="B4787" s="12" t="s">
        <v>22791</v>
      </c>
      <c r="C4787" s="12">
        <v>3</v>
      </c>
      <c r="D4787" s="12">
        <v>86</v>
      </c>
      <c r="E4787" s="12">
        <v>0</v>
      </c>
      <c r="F4787" s="12">
        <v>304</v>
      </c>
      <c r="G4787" s="12">
        <v>873</v>
      </c>
      <c r="H4787" s="16"/>
      <c r="I4787" s="12" t="s">
        <v>1681</v>
      </c>
      <c r="J4787" s="12" t="s">
        <v>22792</v>
      </c>
      <c r="K4787" s="12" t="s">
        <v>22793</v>
      </c>
      <c r="L4787" s="12" t="s">
        <v>22794</v>
      </c>
      <c r="M4787" s="12" t="s">
        <v>22795</v>
      </c>
      <c r="N4787" s="12">
        <v>64</v>
      </c>
      <c r="O4787" s="12">
        <v>2830</v>
      </c>
      <c r="P4787" s="12">
        <v>1</v>
      </c>
      <c r="Q4787" s="12" t="s">
        <v>22796</v>
      </c>
      <c r="R4787" s="15" t="s">
        <v>22797</v>
      </c>
      <c r="S4787" s="12">
        <v>3</v>
      </c>
      <c r="T4787" s="12" t="s">
        <v>39</v>
      </c>
      <c r="U4787" s="12" t="s">
        <v>40</v>
      </c>
      <c r="V4787" s="16"/>
      <c r="W4787" s="12">
        <v>450000</v>
      </c>
      <c r="X4787" s="12">
        <v>2013</v>
      </c>
      <c r="Y4787" s="12">
        <v>469</v>
      </c>
      <c r="Z4787" s="12">
        <v>6.8</v>
      </c>
      <c r="AA4787" s="16"/>
      <c r="AB4787" s="12">
        <v>31</v>
      </c>
      <c r="AC4787" s="12"/>
      <c r="AD4787" s="12" t="str">
        <f>IFERROR(__xludf.DUMMYFUNCTION("""COMPUTED_VALUE"""),"Jillian Murray")</f>
        <v>Jillian Murray</v>
      </c>
      <c r="AE4787" s="12"/>
    </row>
    <row r="4788" customHeight="1" spans="1:31">
      <c r="A4788" s="11" t="s">
        <v>748</v>
      </c>
      <c r="B4788" s="11" t="s">
        <v>22798</v>
      </c>
      <c r="C4788" s="11">
        <v>65</v>
      </c>
      <c r="D4788" s="11">
        <v>89</v>
      </c>
      <c r="E4788" s="11">
        <v>24</v>
      </c>
      <c r="F4788" s="11">
        <v>45</v>
      </c>
      <c r="G4788" s="11">
        <v>610</v>
      </c>
      <c r="H4788" s="11">
        <v>2300000</v>
      </c>
      <c r="I4788" s="11" t="s">
        <v>11251</v>
      </c>
      <c r="J4788" s="11" t="s">
        <v>22379</v>
      </c>
      <c r="K4788" s="11" t="s">
        <v>22799</v>
      </c>
      <c r="L4788" s="11" t="s">
        <v>22800</v>
      </c>
      <c r="M4788" s="11" t="s">
        <v>22801</v>
      </c>
      <c r="N4788" s="11">
        <v>7921</v>
      </c>
      <c r="O4788" s="11">
        <v>995</v>
      </c>
      <c r="P4788" s="11">
        <v>2</v>
      </c>
      <c r="Q4788" s="11" t="s">
        <v>22802</v>
      </c>
      <c r="R4788" s="14" t="s">
        <v>22803</v>
      </c>
      <c r="S4788" s="11">
        <v>97</v>
      </c>
      <c r="T4788" s="11" t="s">
        <v>39</v>
      </c>
      <c r="U4788" s="11" t="s">
        <v>40</v>
      </c>
      <c r="V4788" s="11" t="s">
        <v>5614</v>
      </c>
      <c r="W4788" s="11">
        <v>439000</v>
      </c>
      <c r="X4788" s="11">
        <v>1933</v>
      </c>
      <c r="Y4788" s="11">
        <v>105</v>
      </c>
      <c r="Z4788" s="11">
        <v>7.7</v>
      </c>
      <c r="AA4788" s="11">
        <v>1.37</v>
      </c>
      <c r="AB4788" s="11">
        <v>439</v>
      </c>
      <c r="AC4788" s="11"/>
      <c r="AD4788" s="11" t="str">
        <f>IFERROR(__xludf.DUMMYFUNCTION("""COMPUTED_VALUE"""),"Carroll O'Connor")</f>
        <v>Carroll O'Connor</v>
      </c>
      <c r="AE4788" s="11"/>
    </row>
    <row r="4789" customHeight="1" spans="1:31">
      <c r="A4789" s="12" t="s">
        <v>30</v>
      </c>
      <c r="B4789" s="12" t="s">
        <v>22804</v>
      </c>
      <c r="C4789" s="16"/>
      <c r="D4789" s="12">
        <v>52</v>
      </c>
      <c r="E4789" s="12">
        <v>0</v>
      </c>
      <c r="F4789" s="12">
        <v>0</v>
      </c>
      <c r="G4789" s="12">
        <v>8</v>
      </c>
      <c r="H4789" s="16"/>
      <c r="I4789" s="12" t="s">
        <v>68</v>
      </c>
      <c r="J4789" s="12" t="s">
        <v>22805</v>
      </c>
      <c r="K4789" s="12" t="s">
        <v>22806</v>
      </c>
      <c r="L4789" s="12" t="s">
        <v>22807</v>
      </c>
      <c r="M4789" s="12" t="s">
        <v>22808</v>
      </c>
      <c r="N4789" s="12">
        <v>78</v>
      </c>
      <c r="O4789" s="12">
        <v>10</v>
      </c>
      <c r="P4789" s="12">
        <v>0</v>
      </c>
      <c r="Q4789" s="12" t="s">
        <v>22809</v>
      </c>
      <c r="R4789" s="15" t="s">
        <v>22810</v>
      </c>
      <c r="S4789" s="12">
        <v>10</v>
      </c>
      <c r="T4789" s="12" t="s">
        <v>39</v>
      </c>
      <c r="U4789" s="12" t="s">
        <v>40</v>
      </c>
      <c r="V4789" s="12" t="s">
        <v>278</v>
      </c>
      <c r="W4789" s="12">
        <v>450000</v>
      </c>
      <c r="X4789" s="12">
        <v>2014</v>
      </c>
      <c r="Y4789" s="12">
        <v>2</v>
      </c>
      <c r="Z4789" s="12">
        <v>8.2</v>
      </c>
      <c r="AA4789" s="16"/>
      <c r="AB4789" s="12">
        <v>460</v>
      </c>
      <c r="AC4789" s="12"/>
      <c r="AD4789" s="12" t="str">
        <f>IFERROR(__xludf.DUMMYFUNCTION("""COMPUTED_VALUE"""),"Sarah Rafferty")</f>
        <v>Sarah Rafferty</v>
      </c>
      <c r="AE4789" s="12"/>
    </row>
    <row r="4790" customHeight="1" spans="1:31">
      <c r="A4790" s="11" t="s">
        <v>30</v>
      </c>
      <c r="B4790" s="11" t="s">
        <v>19470</v>
      </c>
      <c r="C4790" s="11">
        <v>71</v>
      </c>
      <c r="D4790" s="11">
        <v>98</v>
      </c>
      <c r="E4790" s="11">
        <v>89</v>
      </c>
      <c r="F4790" s="11">
        <v>3</v>
      </c>
      <c r="G4790" s="11">
        <v>88</v>
      </c>
      <c r="H4790" s="11">
        <v>2938208</v>
      </c>
      <c r="I4790" s="11" t="s">
        <v>1415</v>
      </c>
      <c r="J4790" s="11" t="s">
        <v>22811</v>
      </c>
      <c r="K4790" s="11" t="s">
        <v>22812</v>
      </c>
      <c r="L4790" s="11" t="s">
        <v>22813</v>
      </c>
      <c r="M4790" s="11" t="s">
        <v>22814</v>
      </c>
      <c r="N4790" s="11">
        <v>7143</v>
      </c>
      <c r="O4790" s="11">
        <v>173</v>
      </c>
      <c r="P4790" s="11">
        <v>1</v>
      </c>
      <c r="Q4790" s="11" t="s">
        <v>22815</v>
      </c>
      <c r="R4790" s="14" t="s">
        <v>22816</v>
      </c>
      <c r="S4790" s="11">
        <v>52</v>
      </c>
      <c r="T4790" s="11" t="s">
        <v>39</v>
      </c>
      <c r="U4790" s="11" t="s">
        <v>40</v>
      </c>
      <c r="V4790" s="11" t="s">
        <v>41</v>
      </c>
      <c r="W4790" s="11">
        <v>225000</v>
      </c>
      <c r="X4790" s="11">
        <v>1990</v>
      </c>
      <c r="Y4790" s="11">
        <v>74</v>
      </c>
      <c r="Z4790" s="11">
        <v>7.5</v>
      </c>
      <c r="AA4790" s="11">
        <v>1.66</v>
      </c>
      <c r="AB4790" s="11">
        <v>865</v>
      </c>
      <c r="AC4790" s="11"/>
      <c r="AD4790" s="11" t="str">
        <f>IFERROR(__xludf.DUMMYFUNCTION("""COMPUTED_VALUE"""),"Salvatore Santone")</f>
        <v>Salvatore Santone</v>
      </c>
      <c r="AE4790" s="11"/>
    </row>
    <row r="4791" customHeight="1" spans="1:31">
      <c r="A4791" s="12" t="s">
        <v>30</v>
      </c>
      <c r="B4791" s="12" t="s">
        <v>22817</v>
      </c>
      <c r="C4791" s="12">
        <v>34</v>
      </c>
      <c r="D4791" s="12">
        <v>133</v>
      </c>
      <c r="E4791" s="12">
        <v>10</v>
      </c>
      <c r="F4791" s="12">
        <v>19</v>
      </c>
      <c r="G4791" s="12">
        <v>690</v>
      </c>
      <c r="H4791" s="12">
        <v>9910</v>
      </c>
      <c r="I4791" s="12" t="s">
        <v>5788</v>
      </c>
      <c r="J4791" s="12" t="s">
        <v>998</v>
      </c>
      <c r="K4791" s="12" t="s">
        <v>22818</v>
      </c>
      <c r="L4791" s="12" t="s">
        <v>22819</v>
      </c>
      <c r="M4791" s="12" t="s">
        <v>22820</v>
      </c>
      <c r="N4791" s="12">
        <v>13543</v>
      </c>
      <c r="O4791" s="12">
        <v>774</v>
      </c>
      <c r="P4791" s="12">
        <v>15</v>
      </c>
      <c r="Q4791" s="12" t="s">
        <v>22821</v>
      </c>
      <c r="R4791" s="15" t="s">
        <v>22822</v>
      </c>
      <c r="S4791" s="12">
        <v>94</v>
      </c>
      <c r="T4791" s="12" t="s">
        <v>12473</v>
      </c>
      <c r="U4791" s="12" t="s">
        <v>12474</v>
      </c>
      <c r="V4791" s="16"/>
      <c r="W4791" s="12">
        <v>25000000</v>
      </c>
      <c r="X4791" s="12">
        <v>2004</v>
      </c>
      <c r="Y4791" s="12">
        <v>24</v>
      </c>
      <c r="Z4791" s="12">
        <v>7.6</v>
      </c>
      <c r="AA4791" s="12">
        <v>1.85</v>
      </c>
      <c r="AB4791" s="12">
        <v>0</v>
      </c>
      <c r="AC4791" s="12"/>
      <c r="AD4791" s="12" t="str">
        <f>IFERROR(__xludf.DUMMYFUNCTION("""COMPUTED_VALUE"""),"David Bianchi")</f>
        <v>David Bianchi</v>
      </c>
      <c r="AE4791" s="12"/>
    </row>
    <row r="4792" customHeight="1" spans="1:31">
      <c r="A4792" s="11" t="s">
        <v>30</v>
      </c>
      <c r="B4792" s="11" t="s">
        <v>22823</v>
      </c>
      <c r="C4792" s="11">
        <v>15</v>
      </c>
      <c r="D4792" s="11">
        <v>81</v>
      </c>
      <c r="E4792" s="11">
        <v>15</v>
      </c>
      <c r="F4792" s="11">
        <v>93</v>
      </c>
      <c r="G4792" s="11">
        <v>847</v>
      </c>
      <c r="H4792" s="13"/>
      <c r="I4792" s="11" t="s">
        <v>6133</v>
      </c>
      <c r="J4792" s="11" t="s">
        <v>22824</v>
      </c>
      <c r="K4792" s="11" t="s">
        <v>22825</v>
      </c>
      <c r="L4792" s="11" t="s">
        <v>22224</v>
      </c>
      <c r="M4792" s="11" t="s">
        <v>22826</v>
      </c>
      <c r="N4792" s="11">
        <v>268</v>
      </c>
      <c r="O4792" s="11">
        <v>1151</v>
      </c>
      <c r="P4792" s="11">
        <v>0</v>
      </c>
      <c r="Q4792" s="11" t="s">
        <v>22827</v>
      </c>
      <c r="R4792" s="14" t="s">
        <v>22828</v>
      </c>
      <c r="S4792" s="11">
        <v>6</v>
      </c>
      <c r="T4792" s="11" t="s">
        <v>39</v>
      </c>
      <c r="U4792" s="11" t="s">
        <v>40</v>
      </c>
      <c r="V4792" s="13"/>
      <c r="W4792" s="13"/>
      <c r="X4792" s="11">
        <v>2013</v>
      </c>
      <c r="Y4792" s="11">
        <v>94</v>
      </c>
      <c r="Z4792" s="11">
        <v>4.1</v>
      </c>
      <c r="AA4792" s="11">
        <v>16</v>
      </c>
      <c r="AB4792" s="11">
        <v>61</v>
      </c>
      <c r="AC4792" s="11"/>
      <c r="AD4792" s="11" t="str">
        <f>IFERROR(__xludf.DUMMYFUNCTION("""COMPUTED_VALUE"""),"John Robinson")</f>
        <v>John Robinson</v>
      </c>
      <c r="AE4792" s="11"/>
    </row>
    <row r="4793" customHeight="1" spans="1:31">
      <c r="A4793" s="12" t="s">
        <v>30</v>
      </c>
      <c r="B4793" s="12" t="s">
        <v>7906</v>
      </c>
      <c r="C4793" s="12">
        <v>220</v>
      </c>
      <c r="D4793" s="12">
        <v>92</v>
      </c>
      <c r="E4793" s="12">
        <v>100</v>
      </c>
      <c r="F4793" s="12">
        <v>482</v>
      </c>
      <c r="G4793" s="12">
        <v>970</v>
      </c>
      <c r="H4793" s="12">
        <v>44540956</v>
      </c>
      <c r="I4793" s="12" t="s">
        <v>1672</v>
      </c>
      <c r="J4793" s="12" t="s">
        <v>1951</v>
      </c>
      <c r="K4793" s="12" t="s">
        <v>864</v>
      </c>
      <c r="L4793" s="12" t="s">
        <v>5591</v>
      </c>
      <c r="M4793" s="12" t="s">
        <v>22829</v>
      </c>
      <c r="N4793" s="12">
        <v>161448</v>
      </c>
      <c r="O4793" s="12">
        <v>3950</v>
      </c>
      <c r="P4793" s="12">
        <v>0</v>
      </c>
      <c r="Q4793" s="12" t="s">
        <v>22830</v>
      </c>
      <c r="R4793" s="15" t="s">
        <v>22831</v>
      </c>
      <c r="S4793" s="12">
        <v>1473</v>
      </c>
      <c r="T4793" s="12" t="s">
        <v>39</v>
      </c>
      <c r="U4793" s="12" t="s">
        <v>40</v>
      </c>
      <c r="V4793" s="12" t="s">
        <v>96</v>
      </c>
      <c r="W4793" s="12">
        <v>400000</v>
      </c>
      <c r="X4793" s="12">
        <v>2004</v>
      </c>
      <c r="Y4793" s="12">
        <v>759</v>
      </c>
      <c r="Z4793" s="12">
        <v>6.9</v>
      </c>
      <c r="AA4793" s="12">
        <v>1.85</v>
      </c>
      <c r="AB4793" s="12">
        <v>0</v>
      </c>
      <c r="AC4793" s="12"/>
      <c r="AD4793" s="12" t="str">
        <f>IFERROR(__xludf.DUMMYFUNCTION("""COMPUTED_VALUE"""),"Brooke Newton")</f>
        <v>Brooke Newton</v>
      </c>
      <c r="AE4793" s="12"/>
    </row>
    <row r="4794" customHeight="1" spans="1:31">
      <c r="A4794" s="11" t="s">
        <v>30</v>
      </c>
      <c r="B4794" s="11" t="s">
        <v>17923</v>
      </c>
      <c r="C4794" s="11">
        <v>279</v>
      </c>
      <c r="D4794" s="11">
        <v>90</v>
      </c>
      <c r="E4794" s="11">
        <v>57</v>
      </c>
      <c r="F4794" s="11">
        <v>92</v>
      </c>
      <c r="G4794" s="11">
        <v>1000</v>
      </c>
      <c r="H4794" s="11">
        <v>258113</v>
      </c>
      <c r="I4794" s="11" t="s">
        <v>2126</v>
      </c>
      <c r="J4794" s="11" t="s">
        <v>2814</v>
      </c>
      <c r="K4794" s="11" t="s">
        <v>22832</v>
      </c>
      <c r="L4794" s="11" t="s">
        <v>22833</v>
      </c>
      <c r="M4794" s="11" t="s">
        <v>22834</v>
      </c>
      <c r="N4794" s="11">
        <v>42678</v>
      </c>
      <c r="O4794" s="11">
        <v>1528</v>
      </c>
      <c r="P4794" s="11">
        <v>0</v>
      </c>
      <c r="Q4794" s="11" t="s">
        <v>22835</v>
      </c>
      <c r="R4794" s="14" t="s">
        <v>22836</v>
      </c>
      <c r="S4794" s="11">
        <v>135</v>
      </c>
      <c r="T4794" s="11" t="s">
        <v>39</v>
      </c>
      <c r="U4794" s="11" t="s">
        <v>40</v>
      </c>
      <c r="V4794" s="11" t="s">
        <v>586</v>
      </c>
      <c r="W4794" s="11">
        <v>1066167</v>
      </c>
      <c r="X4794" s="11">
        <v>2013</v>
      </c>
      <c r="Y4794" s="11">
        <v>235</v>
      </c>
      <c r="Z4794" s="11">
        <v>7.1</v>
      </c>
      <c r="AA4794" s="11">
        <v>2.35</v>
      </c>
      <c r="AB4794" s="11">
        <v>0</v>
      </c>
      <c r="AC4794" s="11"/>
      <c r="AD4794" s="11" t="str">
        <f>IFERROR(__xludf.DUMMYFUNCTION("""COMPUTED_VALUE"""),"Brett Wagner")</f>
        <v>Brett Wagner</v>
      </c>
      <c r="AE4794" s="11"/>
    </row>
    <row r="4795" customHeight="1" spans="1:31">
      <c r="A4795" s="12" t="s">
        <v>30</v>
      </c>
      <c r="B4795" s="12" t="s">
        <v>18017</v>
      </c>
      <c r="C4795" s="12">
        <v>409</v>
      </c>
      <c r="D4795" s="12">
        <v>84</v>
      </c>
      <c r="E4795" s="12">
        <v>110</v>
      </c>
      <c r="F4795" s="12">
        <v>21</v>
      </c>
      <c r="G4795" s="12">
        <v>189</v>
      </c>
      <c r="H4795" s="12">
        <v>107917283</v>
      </c>
      <c r="I4795" s="12" t="s">
        <v>6403</v>
      </c>
      <c r="J4795" s="12" t="s">
        <v>19181</v>
      </c>
      <c r="K4795" s="12" t="s">
        <v>22837</v>
      </c>
      <c r="L4795" s="12" t="s">
        <v>22838</v>
      </c>
      <c r="M4795" s="12" t="s">
        <v>22839</v>
      </c>
      <c r="N4795" s="12">
        <v>184824</v>
      </c>
      <c r="O4795" s="12">
        <v>330</v>
      </c>
      <c r="P4795" s="12">
        <v>0</v>
      </c>
      <c r="Q4795" s="12" t="s">
        <v>22840</v>
      </c>
      <c r="R4795" s="15" t="s">
        <v>22841</v>
      </c>
      <c r="S4795" s="12">
        <v>1189</v>
      </c>
      <c r="T4795" s="12" t="s">
        <v>39</v>
      </c>
      <c r="U4795" s="12" t="s">
        <v>40</v>
      </c>
      <c r="V4795" s="12" t="s">
        <v>586</v>
      </c>
      <c r="W4795" s="12">
        <v>15000</v>
      </c>
      <c r="X4795" s="12">
        <v>2007</v>
      </c>
      <c r="Y4795" s="12">
        <v>109</v>
      </c>
      <c r="Z4795" s="12">
        <v>6.3</v>
      </c>
      <c r="AA4795" s="12">
        <v>1.85</v>
      </c>
      <c r="AB4795" s="12">
        <v>12000</v>
      </c>
      <c r="AC4795" s="12"/>
      <c r="AD4795" s="12" t="str">
        <f>IFERROR(__xludf.DUMMYFUNCTION("""COMPUTED_VALUE"""),"Jack Taylor")</f>
        <v>Jack Taylor</v>
      </c>
      <c r="AE4795" s="12"/>
    </row>
    <row r="4796" customHeight="1" spans="1:31">
      <c r="A4796" s="11" t="s">
        <v>748</v>
      </c>
      <c r="B4796" s="11" t="s">
        <v>19765</v>
      </c>
      <c r="C4796" s="11">
        <v>86</v>
      </c>
      <c r="D4796" s="11">
        <v>91</v>
      </c>
      <c r="E4796" s="11">
        <v>147</v>
      </c>
      <c r="F4796" s="11">
        <v>5</v>
      </c>
      <c r="G4796" s="11">
        <v>22</v>
      </c>
      <c r="H4796" s="11">
        <v>1293295</v>
      </c>
      <c r="I4796" s="11" t="s">
        <v>16528</v>
      </c>
      <c r="J4796" s="11" t="s">
        <v>22842</v>
      </c>
      <c r="K4796" s="11" t="s">
        <v>22843</v>
      </c>
      <c r="L4796" s="11" t="s">
        <v>22844</v>
      </c>
      <c r="M4796" s="11" t="s">
        <v>22845</v>
      </c>
      <c r="N4796" s="11">
        <v>10366</v>
      </c>
      <c r="O4796" s="11">
        <v>54</v>
      </c>
      <c r="P4796" s="11">
        <v>0</v>
      </c>
      <c r="Q4796" s="11" t="s">
        <v>22846</v>
      </c>
      <c r="R4796" s="14" t="s">
        <v>22847</v>
      </c>
      <c r="S4796" s="11">
        <v>88</v>
      </c>
      <c r="T4796" s="11" t="s">
        <v>39</v>
      </c>
      <c r="U4796" s="11" t="s">
        <v>40</v>
      </c>
      <c r="V4796" s="11" t="s">
        <v>41</v>
      </c>
      <c r="W4796" s="13"/>
      <c r="X4796" s="11">
        <v>2001</v>
      </c>
      <c r="Y4796" s="11">
        <v>20</v>
      </c>
      <c r="Z4796" s="11">
        <v>7.7</v>
      </c>
      <c r="AA4796" s="11">
        <v>1.37</v>
      </c>
      <c r="AB4796" s="11">
        <v>0</v>
      </c>
      <c r="AC4796" s="11"/>
      <c r="AD4796" s="11" t="str">
        <f>IFERROR(__xludf.DUMMYFUNCTION("""COMPUTED_VALUE"""),"Fabio Testi")</f>
        <v>Fabio Testi</v>
      </c>
      <c r="AE4796" s="11"/>
    </row>
    <row r="4797" customHeight="1" spans="1:31">
      <c r="A4797" s="12" t="s">
        <v>30</v>
      </c>
      <c r="B4797" s="12" t="s">
        <v>2792</v>
      </c>
      <c r="C4797" s="12">
        <v>131</v>
      </c>
      <c r="D4797" s="12">
        <v>91</v>
      </c>
      <c r="E4797" s="12">
        <v>0</v>
      </c>
      <c r="F4797" s="12">
        <v>332</v>
      </c>
      <c r="G4797" s="12">
        <v>795</v>
      </c>
      <c r="H4797" s="12">
        <v>1229197</v>
      </c>
      <c r="I4797" s="12" t="s">
        <v>5420</v>
      </c>
      <c r="J4797" s="12" t="s">
        <v>724</v>
      </c>
      <c r="K4797" s="12" t="s">
        <v>2426</v>
      </c>
      <c r="L4797" s="12" t="s">
        <v>22848</v>
      </c>
      <c r="M4797" s="12" t="s">
        <v>22849</v>
      </c>
      <c r="N4797" s="12">
        <v>382240</v>
      </c>
      <c r="O4797" s="12">
        <v>2158</v>
      </c>
      <c r="P4797" s="12">
        <v>0</v>
      </c>
      <c r="Q4797" s="12" t="s">
        <v>22850</v>
      </c>
      <c r="R4797" s="15" t="s">
        <v>22851</v>
      </c>
      <c r="S4797" s="12">
        <v>660</v>
      </c>
      <c r="T4797" s="12" t="s">
        <v>39</v>
      </c>
      <c r="U4797" s="12" t="s">
        <v>58</v>
      </c>
      <c r="V4797" s="12" t="s">
        <v>96</v>
      </c>
      <c r="W4797" s="12">
        <v>229575</v>
      </c>
      <c r="X4797" s="12">
        <v>1975</v>
      </c>
      <c r="Y4797" s="12">
        <v>561</v>
      </c>
      <c r="Z4797" s="12">
        <v>8.3</v>
      </c>
      <c r="AA4797" s="12">
        <v>1.66</v>
      </c>
      <c r="AB4797" s="12">
        <v>14000</v>
      </c>
      <c r="AC4797" s="12"/>
      <c r="AD4797" s="12" t="str">
        <f>IFERROR(__xludf.DUMMYFUNCTION("""COMPUTED_VALUE"""),"Cybill Shepherd")</f>
        <v>Cybill Shepherd</v>
      </c>
      <c r="AE4797" s="12"/>
    </row>
    <row r="4798" customHeight="1" spans="1:31">
      <c r="A4798" s="11" t="s">
        <v>30</v>
      </c>
      <c r="B4798" s="11" t="s">
        <v>17683</v>
      </c>
      <c r="C4798" s="11">
        <v>69</v>
      </c>
      <c r="D4798" s="11">
        <v>90</v>
      </c>
      <c r="E4798" s="11">
        <v>25</v>
      </c>
      <c r="F4798" s="11">
        <v>138</v>
      </c>
      <c r="G4798" s="11">
        <v>231</v>
      </c>
      <c r="H4798" s="11">
        <v>1689999</v>
      </c>
      <c r="I4798" s="11" t="s">
        <v>3410</v>
      </c>
      <c r="J4798" s="11" t="s">
        <v>22852</v>
      </c>
      <c r="K4798" s="11" t="s">
        <v>15534</v>
      </c>
      <c r="L4798" s="11" t="s">
        <v>22853</v>
      </c>
      <c r="M4798" s="11" t="s">
        <v>22854</v>
      </c>
      <c r="N4798" s="11">
        <v>3675</v>
      </c>
      <c r="O4798" s="11">
        <v>771</v>
      </c>
      <c r="P4798" s="11">
        <v>1</v>
      </c>
      <c r="Q4798" s="11" t="s">
        <v>22855</v>
      </c>
      <c r="R4798" s="14" t="s">
        <v>22856</v>
      </c>
      <c r="S4798" s="11">
        <v>48</v>
      </c>
      <c r="T4798" s="11" t="s">
        <v>2779</v>
      </c>
      <c r="U4798" s="11" t="s">
        <v>40</v>
      </c>
      <c r="V4798" s="11" t="s">
        <v>586</v>
      </c>
      <c r="W4798" s="11">
        <v>400000</v>
      </c>
      <c r="X4798" s="11">
        <v>2006</v>
      </c>
      <c r="Y4798" s="11">
        <v>200</v>
      </c>
      <c r="Z4798" s="11">
        <v>7.1</v>
      </c>
      <c r="AA4798" s="11">
        <v>2.35</v>
      </c>
      <c r="AB4798" s="11">
        <v>426</v>
      </c>
      <c r="AC4798" s="11"/>
      <c r="AD4798" s="11" t="str">
        <f>IFERROR(__xludf.DUMMYFUNCTION("""COMPUTED_VALUE"""),"Matheus Nachtergaele")</f>
        <v>Matheus Nachtergaele</v>
      </c>
      <c r="AE4798" s="11"/>
    </row>
    <row r="4799" customHeight="1" spans="1:31">
      <c r="A4799" s="12" t="s">
        <v>30</v>
      </c>
      <c r="B4799" s="12" t="s">
        <v>22857</v>
      </c>
      <c r="C4799" s="12">
        <v>8</v>
      </c>
      <c r="D4799" s="12">
        <v>96</v>
      </c>
      <c r="E4799" s="12">
        <v>14</v>
      </c>
      <c r="F4799" s="12">
        <v>6</v>
      </c>
      <c r="G4799" s="12">
        <v>361</v>
      </c>
      <c r="H4799" s="12">
        <v>11798</v>
      </c>
      <c r="I4799" s="12" t="s">
        <v>22858</v>
      </c>
      <c r="J4799" s="12" t="s">
        <v>22859</v>
      </c>
      <c r="K4799" s="12" t="s">
        <v>22857</v>
      </c>
      <c r="L4799" s="12" t="s">
        <v>22860</v>
      </c>
      <c r="M4799" s="12" t="s">
        <v>22861</v>
      </c>
      <c r="N4799" s="12">
        <v>179</v>
      </c>
      <c r="O4799" s="12">
        <v>387</v>
      </c>
      <c r="P4799" s="12">
        <v>2</v>
      </c>
      <c r="Q4799" s="12" t="s">
        <v>22862</v>
      </c>
      <c r="R4799" s="15" t="s">
        <v>22863</v>
      </c>
      <c r="S4799" s="12">
        <v>18</v>
      </c>
      <c r="T4799" s="12" t="s">
        <v>39</v>
      </c>
      <c r="U4799" s="12" t="s">
        <v>40</v>
      </c>
      <c r="V4799" s="16"/>
      <c r="W4799" s="12">
        <v>100000</v>
      </c>
      <c r="X4799" s="12">
        <v>2003</v>
      </c>
      <c r="Y4799" s="12">
        <v>14</v>
      </c>
      <c r="Z4799" s="12">
        <v>4.7</v>
      </c>
      <c r="AA4799" s="12">
        <v>1.78</v>
      </c>
      <c r="AB4799" s="12">
        <v>39</v>
      </c>
      <c r="AC4799" s="12"/>
      <c r="AD4799" s="12" t="str">
        <f>IFERROR(__xludf.DUMMYFUNCTION("""COMPUTED_VALUE"""),"Othon Bastos")</f>
        <v>Othon Bastos</v>
      </c>
      <c r="AE4799" s="12"/>
    </row>
    <row r="4800" customHeight="1" spans="1:31">
      <c r="A4800" s="11" t="s">
        <v>30</v>
      </c>
      <c r="B4800" s="13"/>
      <c r="C4800" s="11">
        <v>75</v>
      </c>
      <c r="D4800" s="11">
        <v>60</v>
      </c>
      <c r="E4800" s="13"/>
      <c r="F4800" s="11">
        <v>833</v>
      </c>
      <c r="G4800" s="11">
        <v>1000</v>
      </c>
      <c r="H4800" s="13"/>
      <c r="I4800" s="11" t="s">
        <v>22864</v>
      </c>
      <c r="J4800" s="11" t="s">
        <v>15469</v>
      </c>
      <c r="K4800" s="11" t="s">
        <v>6099</v>
      </c>
      <c r="L4800" s="11" t="s">
        <v>2209</v>
      </c>
      <c r="M4800" s="11" t="s">
        <v>22865</v>
      </c>
      <c r="N4800" s="11">
        <v>202115</v>
      </c>
      <c r="O4800" s="11">
        <v>4908</v>
      </c>
      <c r="P4800" s="11">
        <v>4</v>
      </c>
      <c r="Q4800" s="11" t="s">
        <v>22866</v>
      </c>
      <c r="R4800" s="14" t="s">
        <v>22867</v>
      </c>
      <c r="S4800" s="11">
        <v>379</v>
      </c>
      <c r="T4800" s="11" t="s">
        <v>39</v>
      </c>
      <c r="U4800" s="11" t="s">
        <v>40</v>
      </c>
      <c r="V4800" s="11" t="s">
        <v>1127</v>
      </c>
      <c r="W4800" s="13"/>
      <c r="X4800" s="13"/>
      <c r="Y4800" s="11">
        <v>923</v>
      </c>
      <c r="Z4800" s="11">
        <v>7.7</v>
      </c>
      <c r="AA4800" s="11">
        <v>16</v>
      </c>
      <c r="AB4800" s="11">
        <v>0</v>
      </c>
      <c r="AC4800" s="11"/>
      <c r="AD4800" s="11" t="str">
        <f>IFERROR(__xludf.DUMMYFUNCTION("""COMPUTED_VALUE"""),"Glenn Ford")</f>
        <v>Glenn Ford</v>
      </c>
      <c r="AE4800" s="11"/>
    </row>
    <row r="4801" customHeight="1" spans="1:31">
      <c r="A4801" s="12" t="s">
        <v>30</v>
      </c>
      <c r="B4801" s="12" t="s">
        <v>22868</v>
      </c>
      <c r="C4801" s="12">
        <v>72</v>
      </c>
      <c r="D4801" s="12">
        <v>88</v>
      </c>
      <c r="E4801" s="12">
        <v>20</v>
      </c>
      <c r="F4801" s="12">
        <v>0</v>
      </c>
      <c r="G4801" s="12">
        <v>58</v>
      </c>
      <c r="H4801" s="12">
        <v>592014</v>
      </c>
      <c r="I4801" s="12" t="s">
        <v>22869</v>
      </c>
      <c r="J4801" s="12" t="s">
        <v>22870</v>
      </c>
      <c r="K4801" s="12" t="s">
        <v>22868</v>
      </c>
      <c r="L4801" s="12" t="s">
        <v>22871</v>
      </c>
      <c r="M4801" s="12" t="s">
        <v>22872</v>
      </c>
      <c r="N4801" s="12">
        <v>5709</v>
      </c>
      <c r="O4801" s="12">
        <v>78</v>
      </c>
      <c r="P4801" s="12">
        <v>3</v>
      </c>
      <c r="Q4801" s="12" t="s">
        <v>22873</v>
      </c>
      <c r="R4801" s="15" t="s">
        <v>22874</v>
      </c>
      <c r="S4801" s="12">
        <v>114</v>
      </c>
      <c r="T4801" s="12" t="s">
        <v>39</v>
      </c>
      <c r="U4801" s="12" t="s">
        <v>40</v>
      </c>
      <c r="V4801" s="12" t="s">
        <v>5614</v>
      </c>
      <c r="W4801" s="12">
        <v>218</v>
      </c>
      <c r="X4801" s="12">
        <v>2003</v>
      </c>
      <c r="Y4801" s="12">
        <v>20</v>
      </c>
      <c r="Z4801" s="12">
        <v>7.2</v>
      </c>
      <c r="AA4801" s="12">
        <v>1.37</v>
      </c>
      <c r="AB4801" s="12">
        <v>754</v>
      </c>
      <c r="AC4801" s="12"/>
      <c r="AD4801" s="12" t="str">
        <f>IFERROR(__xludf.DUMMYFUNCTION("""COMPUTED_VALUE"""),"Anthony L. Fernandez")</f>
        <v>Anthony L. Fernandez</v>
      </c>
      <c r="AE4801" s="12"/>
    </row>
    <row r="4802" customHeight="1" spans="1:31">
      <c r="A4802" s="11" t="s">
        <v>30</v>
      </c>
      <c r="B4802" s="11" t="s">
        <v>22875</v>
      </c>
      <c r="C4802" s="11">
        <v>4</v>
      </c>
      <c r="D4802" s="11">
        <v>92</v>
      </c>
      <c r="E4802" s="11">
        <v>4</v>
      </c>
      <c r="F4802" s="11">
        <v>12</v>
      </c>
      <c r="G4802" s="11">
        <v>93</v>
      </c>
      <c r="H4802" s="11">
        <v>425899</v>
      </c>
      <c r="I4802" s="11" t="s">
        <v>68</v>
      </c>
      <c r="J4802" s="11" t="s">
        <v>22876</v>
      </c>
      <c r="K4802" s="11" t="s">
        <v>22877</v>
      </c>
      <c r="L4802" s="11" t="s">
        <v>22878</v>
      </c>
      <c r="M4802" s="11" t="s">
        <v>22879</v>
      </c>
      <c r="N4802" s="11">
        <v>1123</v>
      </c>
      <c r="O4802" s="11">
        <v>168</v>
      </c>
      <c r="P4802" s="11">
        <v>0</v>
      </c>
      <c r="Q4802" s="13"/>
      <c r="R4802" s="14" t="s">
        <v>22880</v>
      </c>
      <c r="S4802" s="11">
        <v>31</v>
      </c>
      <c r="T4802" s="11" t="s">
        <v>39</v>
      </c>
      <c r="U4802" s="11" t="s">
        <v>40</v>
      </c>
      <c r="V4802" s="11" t="s">
        <v>96</v>
      </c>
      <c r="W4802" s="11">
        <v>400000</v>
      </c>
      <c r="X4802" s="11">
        <v>2010</v>
      </c>
      <c r="Y4802" s="11">
        <v>31</v>
      </c>
      <c r="Z4802" s="11">
        <v>5.1</v>
      </c>
      <c r="AA4802" s="11">
        <v>1.78</v>
      </c>
      <c r="AB4802" s="11">
        <v>638</v>
      </c>
      <c r="AC4802" s="11"/>
      <c r="AD4802" s="11" t="str">
        <f>IFERROR(__xludf.DUMMYFUNCTION("""COMPUTED_VALUE"""),"Scott Evans")</f>
        <v>Scott Evans</v>
      </c>
      <c r="AE4802" s="11"/>
    </row>
    <row r="4803" customHeight="1" spans="1:31">
      <c r="A4803" s="12" t="s">
        <v>30</v>
      </c>
      <c r="B4803" s="12" t="s">
        <v>22881</v>
      </c>
      <c r="C4803" s="12">
        <v>9</v>
      </c>
      <c r="D4803" s="12">
        <v>97</v>
      </c>
      <c r="E4803" s="12">
        <v>0</v>
      </c>
      <c r="F4803" s="12">
        <v>271</v>
      </c>
      <c r="G4803" s="12">
        <v>935</v>
      </c>
      <c r="H4803" s="16"/>
      <c r="I4803" s="12" t="s">
        <v>7579</v>
      </c>
      <c r="J4803" s="12" t="s">
        <v>13485</v>
      </c>
      <c r="K4803" s="12" t="s">
        <v>22882</v>
      </c>
      <c r="L4803" s="12" t="s">
        <v>22883</v>
      </c>
      <c r="M4803" s="12" t="s">
        <v>22884</v>
      </c>
      <c r="N4803" s="12">
        <v>143</v>
      </c>
      <c r="O4803" s="12">
        <v>2350</v>
      </c>
      <c r="P4803" s="12">
        <v>3</v>
      </c>
      <c r="Q4803" s="12" t="s">
        <v>22885</v>
      </c>
      <c r="R4803" s="15" t="s">
        <v>22886</v>
      </c>
      <c r="S4803" s="12">
        <v>5</v>
      </c>
      <c r="T4803" s="12" t="s">
        <v>39</v>
      </c>
      <c r="U4803" s="12" t="s">
        <v>40</v>
      </c>
      <c r="V4803" s="16"/>
      <c r="W4803" s="12">
        <v>500000</v>
      </c>
      <c r="X4803" s="12">
        <v>2014</v>
      </c>
      <c r="Y4803" s="12">
        <v>709</v>
      </c>
      <c r="Z4803" s="12">
        <v>5.4</v>
      </c>
      <c r="AA4803" s="16"/>
      <c r="AB4803" s="12">
        <v>194</v>
      </c>
      <c r="AC4803" s="12"/>
      <c r="AD4803" s="12" t="str">
        <f>IFERROR(__xludf.DUMMYFUNCTION("""COMPUTED_VALUE"""),"Olivia Rose Keegan")</f>
        <v>Olivia Rose Keegan</v>
      </c>
      <c r="AE4803" s="12"/>
    </row>
    <row r="4804" customHeight="1" spans="1:31">
      <c r="A4804" s="11" t="s">
        <v>748</v>
      </c>
      <c r="B4804" s="11" t="s">
        <v>22887</v>
      </c>
      <c r="C4804" s="11">
        <v>203</v>
      </c>
      <c r="D4804" s="11">
        <v>82</v>
      </c>
      <c r="E4804" s="11">
        <v>385</v>
      </c>
      <c r="F4804" s="11">
        <v>22</v>
      </c>
      <c r="G4804" s="11">
        <v>48</v>
      </c>
      <c r="H4804" s="11">
        <v>126387</v>
      </c>
      <c r="I4804" s="11" t="s">
        <v>6403</v>
      </c>
      <c r="J4804" s="11" t="s">
        <v>22888</v>
      </c>
      <c r="K4804" s="11" t="s">
        <v>22889</v>
      </c>
      <c r="L4804" s="11" t="s">
        <v>22890</v>
      </c>
      <c r="M4804" s="11" t="s">
        <v>22891</v>
      </c>
      <c r="N4804" s="11">
        <v>14985</v>
      </c>
      <c r="O4804" s="11">
        <v>123</v>
      </c>
      <c r="P4804" s="11">
        <v>0</v>
      </c>
      <c r="Q4804" s="11" t="s">
        <v>22892</v>
      </c>
      <c r="R4804" s="14" t="s">
        <v>22893</v>
      </c>
      <c r="S4804" s="11">
        <v>253</v>
      </c>
      <c r="T4804" s="11" t="s">
        <v>9796</v>
      </c>
      <c r="U4804" s="11" t="s">
        <v>7091</v>
      </c>
      <c r="V4804" s="11" t="s">
        <v>7335</v>
      </c>
      <c r="W4804" s="11">
        <v>400000</v>
      </c>
      <c r="X4804" s="11">
        <v>1981</v>
      </c>
      <c r="Y4804" s="11">
        <v>22</v>
      </c>
      <c r="Z4804" s="11">
        <v>6.9</v>
      </c>
      <c r="AA4804" s="11">
        <v>2.35</v>
      </c>
      <c r="AB4804" s="11">
        <v>2000</v>
      </c>
      <c r="AC4804" s="11"/>
      <c r="AD4804" s="11" t="str">
        <f>IFERROR(__xludf.DUMMYFUNCTION("""COMPUTED_VALUE"""),"Patrick Bauchau")</f>
        <v>Patrick Bauchau</v>
      </c>
      <c r="AE4804" s="11"/>
    </row>
    <row r="4805" customHeight="1" spans="1:31">
      <c r="A4805" s="12" t="s">
        <v>30</v>
      </c>
      <c r="B4805" s="16"/>
      <c r="C4805" s="12">
        <v>11</v>
      </c>
      <c r="D4805" s="12">
        <v>22</v>
      </c>
      <c r="E4805" s="16"/>
      <c r="F4805" s="12">
        <v>6</v>
      </c>
      <c r="G4805" s="12">
        <v>59</v>
      </c>
      <c r="H4805" s="16"/>
      <c r="I4805" s="12" t="s">
        <v>20196</v>
      </c>
      <c r="J4805" s="12" t="s">
        <v>22894</v>
      </c>
      <c r="K4805" s="12" t="s">
        <v>22895</v>
      </c>
      <c r="L4805" s="12" t="s">
        <v>22896</v>
      </c>
      <c r="M4805" s="12" t="s">
        <v>22897</v>
      </c>
      <c r="N4805" s="12">
        <v>7458</v>
      </c>
      <c r="O4805" s="12">
        <v>81</v>
      </c>
      <c r="P4805" s="12">
        <v>0</v>
      </c>
      <c r="Q4805" s="12" t="s">
        <v>22898</v>
      </c>
      <c r="R4805" s="15" t="s">
        <v>22899</v>
      </c>
      <c r="S4805" s="12">
        <v>82</v>
      </c>
      <c r="T4805" s="12" t="s">
        <v>39</v>
      </c>
      <c r="U4805" s="12" t="s">
        <v>40</v>
      </c>
      <c r="V4805" s="12" t="s">
        <v>1569</v>
      </c>
      <c r="W4805" s="16"/>
      <c r="X4805" s="16"/>
      <c r="Y4805" s="12">
        <v>11</v>
      </c>
      <c r="Z4805" s="12">
        <v>8.2</v>
      </c>
      <c r="AA4805" s="12">
        <v>1.33</v>
      </c>
      <c r="AB4805" s="12">
        <v>526</v>
      </c>
      <c r="AC4805" s="12"/>
      <c r="AD4805" s="12" t="str">
        <f>IFERROR(__xludf.DUMMYFUNCTION("""COMPUTED_VALUE"""),"Mia Barron")</f>
        <v>Mia Barron</v>
      </c>
      <c r="AE4805" s="12"/>
    </row>
    <row r="4806" customHeight="1" spans="1:31">
      <c r="A4806" s="11" t="s">
        <v>30</v>
      </c>
      <c r="B4806" s="11" t="s">
        <v>8109</v>
      </c>
      <c r="C4806" s="11">
        <v>148</v>
      </c>
      <c r="D4806" s="11">
        <v>101</v>
      </c>
      <c r="E4806" s="11">
        <v>12</v>
      </c>
      <c r="F4806" s="11">
        <v>149</v>
      </c>
      <c r="G4806" s="11">
        <v>642</v>
      </c>
      <c r="H4806" s="11">
        <v>80276912</v>
      </c>
      <c r="I4806" s="11" t="s">
        <v>1681</v>
      </c>
      <c r="J4806" s="11" t="s">
        <v>4206</v>
      </c>
      <c r="K4806" s="11" t="s">
        <v>6780</v>
      </c>
      <c r="L4806" s="11" t="s">
        <v>22900</v>
      </c>
      <c r="M4806" s="11" t="s">
        <v>22901</v>
      </c>
      <c r="N4806" s="11">
        <v>140740</v>
      </c>
      <c r="O4806" s="11">
        <v>1026</v>
      </c>
      <c r="P4806" s="11">
        <v>2</v>
      </c>
      <c r="Q4806" s="11" t="s">
        <v>22902</v>
      </c>
      <c r="R4806" s="14" t="s">
        <v>22903</v>
      </c>
      <c r="S4806" s="11">
        <v>151</v>
      </c>
      <c r="T4806" s="11" t="s">
        <v>39</v>
      </c>
      <c r="U4806" s="11" t="s">
        <v>40</v>
      </c>
      <c r="V4806" s="11" t="s">
        <v>41</v>
      </c>
      <c r="W4806" s="11">
        <v>35000000</v>
      </c>
      <c r="X4806" s="11">
        <v>2008</v>
      </c>
      <c r="Y4806" s="11">
        <v>171</v>
      </c>
      <c r="Z4806" s="11">
        <v>6.1</v>
      </c>
      <c r="AA4806" s="11">
        <v>2.35</v>
      </c>
      <c r="AB4806" s="11">
        <v>0</v>
      </c>
      <c r="AC4806" s="11"/>
      <c r="AD4806" s="11" t="str">
        <f>IFERROR(__xludf.DUMMYFUNCTION("""COMPUTED_VALUE"""),"Greg Crowe")</f>
        <v>Greg Crowe</v>
      </c>
      <c r="AE4806" s="11"/>
    </row>
    <row r="4807" customHeight="1" spans="1:31">
      <c r="A4807" s="12" t="s">
        <v>30</v>
      </c>
      <c r="B4807" s="12" t="s">
        <v>22904</v>
      </c>
      <c r="C4807" s="12">
        <v>80</v>
      </c>
      <c r="D4807" s="12">
        <v>80</v>
      </c>
      <c r="E4807" s="12">
        <v>3</v>
      </c>
      <c r="F4807" s="12">
        <v>39</v>
      </c>
      <c r="G4807" s="12">
        <v>108</v>
      </c>
      <c r="H4807" s="16"/>
      <c r="I4807" s="12" t="s">
        <v>5544</v>
      </c>
      <c r="J4807" s="12" t="s">
        <v>22905</v>
      </c>
      <c r="K4807" s="12" t="s">
        <v>22906</v>
      </c>
      <c r="L4807" s="12" t="s">
        <v>22907</v>
      </c>
      <c r="M4807" s="12" t="s">
        <v>22908</v>
      </c>
      <c r="N4807" s="12">
        <v>4788</v>
      </c>
      <c r="O4807" s="12">
        <v>272</v>
      </c>
      <c r="P4807" s="12">
        <v>0</v>
      </c>
      <c r="Q4807" s="12" t="s">
        <v>22909</v>
      </c>
      <c r="R4807" s="15" t="s">
        <v>22910</v>
      </c>
      <c r="S4807" s="12">
        <v>52</v>
      </c>
      <c r="T4807" s="12" t="s">
        <v>39</v>
      </c>
      <c r="U4807" s="12" t="s">
        <v>269</v>
      </c>
      <c r="V4807" s="12" t="s">
        <v>586</v>
      </c>
      <c r="W4807" s="12">
        <v>500000</v>
      </c>
      <c r="X4807" s="12">
        <v>2005</v>
      </c>
      <c r="Y4807" s="12">
        <v>64</v>
      </c>
      <c r="Z4807" s="12">
        <v>6.1</v>
      </c>
      <c r="AA4807" s="12">
        <v>1.85</v>
      </c>
      <c r="AB4807" s="12">
        <v>166</v>
      </c>
      <c r="AC4807" s="12"/>
      <c r="AD4807" s="12" t="str">
        <f>IFERROR(__xludf.DUMMYFUNCTION("""COMPUTED_VALUE"""),"Tempestt Bledsoe")</f>
        <v>Tempestt Bledsoe</v>
      </c>
      <c r="AE4807" s="12"/>
    </row>
    <row r="4808" customHeight="1" spans="1:31">
      <c r="A4808" s="11" t="s">
        <v>30</v>
      </c>
      <c r="B4808" s="11" t="s">
        <v>5648</v>
      </c>
      <c r="C4808" s="11">
        <v>46</v>
      </c>
      <c r="D4808" s="11">
        <v>97</v>
      </c>
      <c r="E4808" s="11">
        <v>350</v>
      </c>
      <c r="F4808" s="11">
        <v>33</v>
      </c>
      <c r="G4808" s="11">
        <v>114</v>
      </c>
      <c r="H4808" s="13"/>
      <c r="I4808" s="11" t="s">
        <v>1415</v>
      </c>
      <c r="J4808" s="11" t="s">
        <v>20053</v>
      </c>
      <c r="K4808" s="11" t="s">
        <v>22911</v>
      </c>
      <c r="L4808" s="11" t="s">
        <v>22912</v>
      </c>
      <c r="M4808" s="11" t="s">
        <v>22913</v>
      </c>
      <c r="N4808" s="11">
        <v>10577</v>
      </c>
      <c r="O4808" s="11">
        <v>260</v>
      </c>
      <c r="P4808" s="11">
        <v>1</v>
      </c>
      <c r="Q4808" s="11" t="s">
        <v>22914</v>
      </c>
      <c r="R4808" s="14" t="s">
        <v>22915</v>
      </c>
      <c r="S4808" s="11">
        <v>64</v>
      </c>
      <c r="T4808" s="11" t="s">
        <v>39</v>
      </c>
      <c r="U4808" s="11" t="s">
        <v>58</v>
      </c>
      <c r="V4808" s="11" t="s">
        <v>586</v>
      </c>
      <c r="W4808" s="11">
        <v>650000</v>
      </c>
      <c r="X4808" s="11">
        <v>1985</v>
      </c>
      <c r="Y4808" s="11">
        <v>61</v>
      </c>
      <c r="Z4808" s="11">
        <v>6.9</v>
      </c>
      <c r="AA4808" s="11">
        <v>1.66</v>
      </c>
      <c r="AB4808" s="11">
        <v>0</v>
      </c>
      <c r="AC4808" s="11"/>
      <c r="AD4808" s="11" t="str">
        <f>IFERROR(__xludf.DUMMYFUNCTION("""COMPUTED_VALUE"""),"Oana Pellea")</f>
        <v>Oana Pellea</v>
      </c>
      <c r="AE4808" s="11"/>
    </row>
    <row r="4809" customHeight="1" spans="1:31">
      <c r="A4809" s="12" t="s">
        <v>748</v>
      </c>
      <c r="B4809" s="12" t="s">
        <v>22916</v>
      </c>
      <c r="C4809" s="12">
        <v>8</v>
      </c>
      <c r="D4809" s="12">
        <v>84</v>
      </c>
      <c r="E4809" s="12">
        <v>0</v>
      </c>
      <c r="F4809" s="12">
        <v>36</v>
      </c>
      <c r="G4809" s="12">
        <v>169</v>
      </c>
      <c r="H4809" s="12">
        <v>25918</v>
      </c>
      <c r="I4809" s="12" t="s">
        <v>6133</v>
      </c>
      <c r="J4809" s="12" t="s">
        <v>22917</v>
      </c>
      <c r="K4809" s="12" t="s">
        <v>2884</v>
      </c>
      <c r="L4809" s="12" t="s">
        <v>22918</v>
      </c>
      <c r="M4809" s="12" t="s">
        <v>22919</v>
      </c>
      <c r="N4809" s="12">
        <v>191</v>
      </c>
      <c r="O4809" s="12">
        <v>312</v>
      </c>
      <c r="P4809" s="12">
        <v>0</v>
      </c>
      <c r="Q4809" s="16"/>
      <c r="R4809" s="15" t="s">
        <v>22920</v>
      </c>
      <c r="S4809" s="12">
        <v>10</v>
      </c>
      <c r="T4809" s="12" t="s">
        <v>39</v>
      </c>
      <c r="U4809" s="12" t="s">
        <v>40</v>
      </c>
      <c r="V4809" s="12" t="s">
        <v>586</v>
      </c>
      <c r="W4809" s="16"/>
      <c r="X4809" s="12">
        <v>2002</v>
      </c>
      <c r="Y4809" s="12">
        <v>80</v>
      </c>
      <c r="Z4809" s="12">
        <v>5.8</v>
      </c>
      <c r="AA4809" s="12">
        <v>1.78</v>
      </c>
      <c r="AB4809" s="12">
        <v>7</v>
      </c>
      <c r="AC4809" s="12"/>
      <c r="AD4809" s="12" t="str">
        <f>IFERROR(__xludf.DUMMYFUNCTION("""COMPUTED_VALUE"""),"Maeve Dermody")</f>
        <v>Maeve Dermody</v>
      </c>
      <c r="AE4809" s="12"/>
    </row>
    <row r="4810" customHeight="1" spans="1:31">
      <c r="A4810" s="11" t="s">
        <v>30</v>
      </c>
      <c r="B4810" s="11" t="s">
        <v>22921</v>
      </c>
      <c r="C4810" s="11">
        <v>10</v>
      </c>
      <c r="D4810" s="11">
        <v>97</v>
      </c>
      <c r="E4810" s="11">
        <v>0</v>
      </c>
      <c r="F4810" s="11">
        <v>83</v>
      </c>
      <c r="G4810" s="11">
        <v>918</v>
      </c>
      <c r="H4810" s="13"/>
      <c r="I4810" s="11" t="s">
        <v>4075</v>
      </c>
      <c r="J4810" s="11" t="s">
        <v>9426</v>
      </c>
      <c r="K4810" s="11" t="s">
        <v>6922</v>
      </c>
      <c r="L4810" s="11" t="s">
        <v>22922</v>
      </c>
      <c r="M4810" s="11" t="s">
        <v>22923</v>
      </c>
      <c r="N4810" s="11">
        <v>369</v>
      </c>
      <c r="O4810" s="11">
        <v>1163</v>
      </c>
      <c r="P4810" s="11">
        <v>0</v>
      </c>
      <c r="Q4810" s="11" t="s">
        <v>22924</v>
      </c>
      <c r="R4810" s="14" t="s">
        <v>22925</v>
      </c>
      <c r="S4810" s="11">
        <v>5</v>
      </c>
      <c r="T4810" s="11" t="s">
        <v>1465</v>
      </c>
      <c r="U4810" s="11" t="s">
        <v>269</v>
      </c>
      <c r="V4810" s="11" t="s">
        <v>586</v>
      </c>
      <c r="W4810" s="11">
        <v>900000</v>
      </c>
      <c r="X4810" s="11">
        <v>2004</v>
      </c>
      <c r="Y4810" s="11">
        <v>100</v>
      </c>
      <c r="Z4810" s="11">
        <v>6</v>
      </c>
      <c r="AA4810" s="11">
        <v>1.78</v>
      </c>
      <c r="AB4810" s="11">
        <v>12</v>
      </c>
      <c r="AC4810" s="11"/>
      <c r="AD4810" s="11" t="str">
        <f>IFERROR(__xludf.DUMMYFUNCTION("""COMPUTED_VALUE"""),"Patrick Brammall")</f>
        <v>Patrick Brammall</v>
      </c>
      <c r="AE4810" s="11"/>
    </row>
    <row r="4811" customHeight="1" spans="1:31">
      <c r="A4811" s="12" t="s">
        <v>30</v>
      </c>
      <c r="B4811" s="12" t="s">
        <v>22926</v>
      </c>
      <c r="C4811" s="12">
        <v>76</v>
      </c>
      <c r="D4811" s="12">
        <v>91</v>
      </c>
      <c r="E4811" s="12">
        <v>0</v>
      </c>
      <c r="F4811" s="12">
        <v>92</v>
      </c>
      <c r="G4811" s="12">
        <v>440</v>
      </c>
      <c r="H4811" s="16"/>
      <c r="I4811" s="12" t="s">
        <v>3410</v>
      </c>
      <c r="J4811" s="12" t="s">
        <v>17505</v>
      </c>
      <c r="K4811" s="12" t="s">
        <v>22927</v>
      </c>
      <c r="L4811" s="12" t="s">
        <v>22928</v>
      </c>
      <c r="M4811" s="12" t="s">
        <v>22929</v>
      </c>
      <c r="N4811" s="12">
        <v>19964</v>
      </c>
      <c r="O4811" s="12">
        <v>809</v>
      </c>
      <c r="P4811" s="12">
        <v>0</v>
      </c>
      <c r="Q4811" s="12" t="s">
        <v>22930</v>
      </c>
      <c r="R4811" s="15" t="s">
        <v>22931</v>
      </c>
      <c r="S4811" s="12">
        <v>197</v>
      </c>
      <c r="T4811" s="12" t="s">
        <v>12473</v>
      </c>
      <c r="U4811" s="12" t="s">
        <v>12474</v>
      </c>
      <c r="V4811" s="12" t="s">
        <v>586</v>
      </c>
      <c r="W4811" s="12">
        <v>400000</v>
      </c>
      <c r="X4811" s="12">
        <v>1972</v>
      </c>
      <c r="Y4811" s="12">
        <v>132</v>
      </c>
      <c r="Z4811" s="12">
        <v>8.2</v>
      </c>
      <c r="AA4811" s="12">
        <v>1.66</v>
      </c>
      <c r="AB4811" s="12">
        <v>0</v>
      </c>
      <c r="AC4811" s="12"/>
      <c r="AD4811" s="12" t="str">
        <f>IFERROR(__xludf.DUMMYFUNCTION("""COMPUTED_VALUE"""),"Kelly Paterniti")</f>
        <v>Kelly Paterniti</v>
      </c>
      <c r="AE4811" s="12"/>
    </row>
    <row r="4812" customHeight="1" spans="1:31">
      <c r="A4812" s="11" t="s">
        <v>748</v>
      </c>
      <c r="B4812" s="11" t="s">
        <v>22932</v>
      </c>
      <c r="C4812" s="11">
        <v>69</v>
      </c>
      <c r="D4812" s="11">
        <v>123</v>
      </c>
      <c r="E4812" s="11">
        <v>204</v>
      </c>
      <c r="F4812" s="11">
        <v>9</v>
      </c>
      <c r="G4812" s="11">
        <v>436</v>
      </c>
      <c r="H4812" s="13"/>
      <c r="I4812" s="11" t="s">
        <v>1962</v>
      </c>
      <c r="J4812" s="11" t="s">
        <v>17042</v>
      </c>
      <c r="K4812" s="11" t="s">
        <v>22933</v>
      </c>
      <c r="L4812" s="11" t="s">
        <v>22934</v>
      </c>
      <c r="M4812" s="11" t="s">
        <v>22935</v>
      </c>
      <c r="N4812" s="11">
        <v>10718</v>
      </c>
      <c r="O4812" s="11">
        <v>481</v>
      </c>
      <c r="P4812" s="11">
        <v>1</v>
      </c>
      <c r="Q4812" s="11" t="s">
        <v>22936</v>
      </c>
      <c r="R4812" s="14" t="s">
        <v>22937</v>
      </c>
      <c r="S4812" s="11">
        <v>88</v>
      </c>
      <c r="T4812" s="13"/>
      <c r="U4812" s="11" t="s">
        <v>40</v>
      </c>
      <c r="V4812" s="11" t="s">
        <v>4831</v>
      </c>
      <c r="W4812" s="11">
        <v>385907</v>
      </c>
      <c r="X4812" s="11">
        <v>1916</v>
      </c>
      <c r="Y4812" s="11">
        <v>22</v>
      </c>
      <c r="Z4812" s="11">
        <v>8</v>
      </c>
      <c r="AA4812" s="11">
        <v>1.33</v>
      </c>
      <c r="AB4812" s="11">
        <v>691</v>
      </c>
      <c r="AC4812" s="11"/>
      <c r="AD4812" s="11" t="str">
        <f>IFERROR(__xludf.DUMMYFUNCTION("""COMPUTED_VALUE"""),"Gregory Cruz")</f>
        <v>Gregory Cruz</v>
      </c>
      <c r="AE4812" s="11"/>
    </row>
    <row r="4813" customHeight="1" spans="1:31">
      <c r="A4813" s="12" t="s">
        <v>30</v>
      </c>
      <c r="B4813" s="12" t="s">
        <v>22938</v>
      </c>
      <c r="C4813" s="12">
        <v>43</v>
      </c>
      <c r="D4813" s="12">
        <v>86</v>
      </c>
      <c r="E4813" s="12">
        <v>3</v>
      </c>
      <c r="F4813" s="12">
        <v>513</v>
      </c>
      <c r="G4813" s="12">
        <v>643</v>
      </c>
      <c r="H4813" s="12">
        <v>617172</v>
      </c>
      <c r="I4813" s="12" t="s">
        <v>68</v>
      </c>
      <c r="J4813" s="12" t="s">
        <v>7284</v>
      </c>
      <c r="K4813" s="12" t="s">
        <v>22939</v>
      </c>
      <c r="L4813" s="12" t="s">
        <v>22940</v>
      </c>
      <c r="M4813" s="12" t="s">
        <v>22941</v>
      </c>
      <c r="N4813" s="12">
        <v>4407</v>
      </c>
      <c r="O4813" s="12">
        <v>2864</v>
      </c>
      <c r="P4813" s="12">
        <v>1</v>
      </c>
      <c r="Q4813" s="12" t="s">
        <v>22942</v>
      </c>
      <c r="R4813" s="15" t="s">
        <v>22943</v>
      </c>
      <c r="S4813" s="12">
        <v>75</v>
      </c>
      <c r="T4813" s="12" t="s">
        <v>39</v>
      </c>
      <c r="U4813" s="12" t="s">
        <v>40</v>
      </c>
      <c r="V4813" s="12" t="s">
        <v>96</v>
      </c>
      <c r="W4813" s="12">
        <v>375000</v>
      </c>
      <c r="X4813" s="12">
        <v>1997</v>
      </c>
      <c r="Y4813" s="12">
        <v>606</v>
      </c>
      <c r="Z4813" s="12">
        <v>7</v>
      </c>
      <c r="AA4813" s="16"/>
      <c r="AB4813" s="12">
        <v>672</v>
      </c>
      <c r="AC4813" s="12"/>
      <c r="AD4813" s="12" t="str">
        <f>IFERROR(__xludf.DUMMYFUNCTION("""COMPUTED_VALUE"""),"Allegra Carpenter")</f>
        <v>Allegra Carpenter</v>
      </c>
      <c r="AE4813" s="12"/>
    </row>
    <row r="4814" customHeight="1" spans="1:31">
      <c r="A4814" s="11" t="s">
        <v>748</v>
      </c>
      <c r="B4814" s="11" t="s">
        <v>22944</v>
      </c>
      <c r="C4814" s="11">
        <v>36</v>
      </c>
      <c r="D4814" s="11">
        <v>100</v>
      </c>
      <c r="E4814" s="11">
        <v>4</v>
      </c>
      <c r="F4814" s="11">
        <v>4</v>
      </c>
      <c r="G4814" s="11">
        <v>77</v>
      </c>
      <c r="H4814" s="11">
        <v>2808000</v>
      </c>
      <c r="I4814" s="11" t="s">
        <v>16971</v>
      </c>
      <c r="J4814" s="11" t="s">
        <v>22945</v>
      </c>
      <c r="K4814" s="11" t="s">
        <v>22946</v>
      </c>
      <c r="L4814" s="11" t="s">
        <v>22947</v>
      </c>
      <c r="M4814" s="11" t="s">
        <v>22948</v>
      </c>
      <c r="N4814" s="11">
        <v>4546</v>
      </c>
      <c r="O4814" s="11">
        <v>109</v>
      </c>
      <c r="P4814" s="11">
        <v>8</v>
      </c>
      <c r="Q4814" s="11" t="s">
        <v>22949</v>
      </c>
      <c r="R4814" s="14" t="s">
        <v>22950</v>
      </c>
      <c r="S4814" s="11">
        <v>71</v>
      </c>
      <c r="T4814" s="11" t="s">
        <v>39</v>
      </c>
      <c r="U4814" s="11" t="s">
        <v>40</v>
      </c>
      <c r="V4814" s="11" t="s">
        <v>15938</v>
      </c>
      <c r="W4814" s="11">
        <v>379000</v>
      </c>
      <c r="X4814" s="11">
        <v>1929</v>
      </c>
      <c r="Y4814" s="11">
        <v>28</v>
      </c>
      <c r="Z4814" s="11">
        <v>6.3</v>
      </c>
      <c r="AA4814" s="11">
        <v>1.37</v>
      </c>
      <c r="AB4814" s="11">
        <v>167</v>
      </c>
      <c r="AC4814" s="11"/>
      <c r="AD4814" s="11" t="str">
        <f>IFERROR(__xludf.DUMMYFUNCTION("""COMPUTED_VALUE"""),"Isaac Hayes")</f>
        <v>Isaac Hayes</v>
      </c>
      <c r="AE4814" s="11"/>
    </row>
    <row r="4815" customHeight="1" spans="1:31">
      <c r="A4815" s="12" t="s">
        <v>30</v>
      </c>
      <c r="B4815" s="12" t="s">
        <v>80</v>
      </c>
      <c r="C4815" s="12">
        <v>304</v>
      </c>
      <c r="D4815" s="12">
        <v>96</v>
      </c>
      <c r="E4815" s="12">
        <v>0</v>
      </c>
      <c r="F4815" s="12">
        <v>58</v>
      </c>
      <c r="G4815" s="12">
        <v>634</v>
      </c>
      <c r="H4815" s="16"/>
      <c r="I4815" s="12" t="s">
        <v>7406</v>
      </c>
      <c r="J4815" s="12" t="s">
        <v>14828</v>
      </c>
      <c r="K4815" s="12" t="s">
        <v>22951</v>
      </c>
      <c r="L4815" s="12" t="s">
        <v>12265</v>
      </c>
      <c r="M4815" s="12" t="s">
        <v>22952</v>
      </c>
      <c r="N4815" s="12">
        <v>141219</v>
      </c>
      <c r="O4815" s="12">
        <v>813</v>
      </c>
      <c r="P4815" s="12">
        <v>0</v>
      </c>
      <c r="Q4815" s="12" t="s">
        <v>22953</v>
      </c>
      <c r="R4815" s="15" t="s">
        <v>22954</v>
      </c>
      <c r="S4815" s="12">
        <v>740</v>
      </c>
      <c r="T4815" s="12" t="s">
        <v>39</v>
      </c>
      <c r="U4815" s="12" t="s">
        <v>40</v>
      </c>
      <c r="V4815" s="12" t="s">
        <v>6724</v>
      </c>
      <c r="W4815" s="12">
        <v>375000</v>
      </c>
      <c r="X4815" s="12">
        <v>1981</v>
      </c>
      <c r="Y4815" s="12">
        <v>66</v>
      </c>
      <c r="Z4815" s="12">
        <v>7.6</v>
      </c>
      <c r="AA4815" s="12">
        <v>1.37</v>
      </c>
      <c r="AB4815" s="12">
        <v>12000</v>
      </c>
      <c r="AC4815" s="12"/>
      <c r="AD4815" s="12" t="str">
        <f>IFERROR(__xludf.DUMMYFUNCTION("""COMPUTED_VALUE"""),"Paula Jai Parker")</f>
        <v>Paula Jai Parker</v>
      </c>
      <c r="AE4815" s="12"/>
    </row>
    <row r="4816" customHeight="1" spans="1:31">
      <c r="A4816" s="11" t="s">
        <v>30</v>
      </c>
      <c r="B4816" s="11" t="s">
        <v>22955</v>
      </c>
      <c r="C4816" s="11">
        <v>279</v>
      </c>
      <c r="D4816" s="11">
        <v>89</v>
      </c>
      <c r="E4816" s="11">
        <v>33</v>
      </c>
      <c r="F4816" s="11">
        <v>118</v>
      </c>
      <c r="G4816" s="11">
        <v>470</v>
      </c>
      <c r="H4816" s="11">
        <v>12843</v>
      </c>
      <c r="I4816" s="11" t="s">
        <v>5544</v>
      </c>
      <c r="J4816" s="11" t="s">
        <v>22956</v>
      </c>
      <c r="K4816" s="11" t="s">
        <v>22957</v>
      </c>
      <c r="L4816" s="11" t="s">
        <v>22958</v>
      </c>
      <c r="M4816" s="11" t="s">
        <v>22959</v>
      </c>
      <c r="N4816" s="11">
        <v>27297</v>
      </c>
      <c r="O4816" s="11">
        <v>1233</v>
      </c>
      <c r="P4816" s="11">
        <v>0</v>
      </c>
      <c r="Q4816" s="11" t="s">
        <v>22960</v>
      </c>
      <c r="R4816" s="14" t="s">
        <v>22961</v>
      </c>
      <c r="S4816" s="11">
        <v>131</v>
      </c>
      <c r="T4816" s="11" t="s">
        <v>39</v>
      </c>
      <c r="U4816" s="11" t="s">
        <v>1466</v>
      </c>
      <c r="V4816" s="11" t="s">
        <v>4831</v>
      </c>
      <c r="W4816" s="11">
        <v>6000000</v>
      </c>
      <c r="X4816" s="11">
        <v>2012</v>
      </c>
      <c r="Y4816" s="11">
        <v>378</v>
      </c>
      <c r="Z4816" s="11">
        <v>6.1</v>
      </c>
      <c r="AA4816" s="11">
        <v>2.35</v>
      </c>
      <c r="AB4816" s="11">
        <v>0</v>
      </c>
      <c r="AC4816" s="11"/>
      <c r="AD4816" s="11" t="str">
        <f>IFERROR(__xludf.DUMMYFUNCTION("""COMPUTED_VALUE"""),"Elise Neal")</f>
        <v>Elise Neal</v>
      </c>
      <c r="AE4816" s="11"/>
    </row>
    <row r="4817" customHeight="1" spans="1:31">
      <c r="A4817" s="12" t="s">
        <v>30</v>
      </c>
      <c r="B4817" s="12" t="s">
        <v>22962</v>
      </c>
      <c r="C4817" s="12">
        <v>23</v>
      </c>
      <c r="D4817" s="12">
        <v>84</v>
      </c>
      <c r="E4817" s="12">
        <v>0</v>
      </c>
      <c r="F4817" s="16"/>
      <c r="G4817" s="12">
        <v>3</v>
      </c>
      <c r="H4817" s="12">
        <v>34151</v>
      </c>
      <c r="I4817" s="12" t="s">
        <v>20326</v>
      </c>
      <c r="J4817" s="12" t="s">
        <v>22963</v>
      </c>
      <c r="K4817" s="16"/>
      <c r="L4817" s="16"/>
      <c r="M4817" s="12" t="s">
        <v>22964</v>
      </c>
      <c r="N4817" s="12">
        <v>186</v>
      </c>
      <c r="O4817" s="12">
        <v>3</v>
      </c>
      <c r="P4817" s="12">
        <v>0</v>
      </c>
      <c r="Q4817" s="16"/>
      <c r="R4817" s="15" t="s">
        <v>22965</v>
      </c>
      <c r="S4817" s="12">
        <v>3</v>
      </c>
      <c r="T4817" s="12" t="s">
        <v>11691</v>
      </c>
      <c r="U4817" s="12" t="s">
        <v>20302</v>
      </c>
      <c r="V4817" s="16"/>
      <c r="W4817" s="12">
        <v>450000</v>
      </c>
      <c r="X4817" s="12">
        <v>2015</v>
      </c>
      <c r="Y4817" s="16"/>
      <c r="Z4817" s="12">
        <v>7.2</v>
      </c>
      <c r="AA4817" s="12">
        <v>1.78</v>
      </c>
      <c r="AB4817" s="12">
        <v>111</v>
      </c>
      <c r="AC4817" s="12"/>
      <c r="AD4817" s="12" t="str">
        <f>IFERROR(__xludf.DUMMYFUNCTION("""COMPUTED_VALUE"""),"Nehemiah Persoff")</f>
        <v>Nehemiah Persoff</v>
      </c>
      <c r="AE4817" s="12"/>
    </row>
    <row r="4818" customHeight="1" spans="1:31">
      <c r="A4818" s="11" t="s">
        <v>30</v>
      </c>
      <c r="B4818" s="11" t="s">
        <v>22966</v>
      </c>
      <c r="C4818" s="11">
        <v>110</v>
      </c>
      <c r="D4818" s="11">
        <v>88</v>
      </c>
      <c r="E4818" s="11">
        <v>30</v>
      </c>
      <c r="F4818" s="11">
        <v>0</v>
      </c>
      <c r="G4818" s="11">
        <v>15</v>
      </c>
      <c r="H4818" s="11">
        <v>1523883</v>
      </c>
      <c r="I4818" s="11" t="s">
        <v>16528</v>
      </c>
      <c r="J4818" s="11" t="s">
        <v>22967</v>
      </c>
      <c r="K4818" s="11" t="s">
        <v>22968</v>
      </c>
      <c r="L4818" s="11" t="s">
        <v>22969</v>
      </c>
      <c r="M4818" s="11" t="s">
        <v>22970</v>
      </c>
      <c r="N4818" s="11">
        <v>9037</v>
      </c>
      <c r="O4818" s="11">
        <v>15</v>
      </c>
      <c r="P4818" s="11">
        <v>1</v>
      </c>
      <c r="Q4818" s="11" t="s">
        <v>22971</v>
      </c>
      <c r="R4818" s="14" t="s">
        <v>22972</v>
      </c>
      <c r="S4818" s="11">
        <v>70</v>
      </c>
      <c r="T4818" s="11" t="s">
        <v>39</v>
      </c>
      <c r="U4818" s="11" t="s">
        <v>40</v>
      </c>
      <c r="V4818" s="11" t="s">
        <v>586</v>
      </c>
      <c r="W4818" s="11">
        <v>1750211</v>
      </c>
      <c r="X4818" s="11">
        <v>2005</v>
      </c>
      <c r="Y4818" s="11">
        <v>0</v>
      </c>
      <c r="Z4818" s="11">
        <v>7.8</v>
      </c>
      <c r="AA4818" s="11">
        <v>1.85</v>
      </c>
      <c r="AB4818" s="11">
        <v>0</v>
      </c>
      <c r="AC4818" s="11"/>
      <c r="AD4818" s="11" t="str">
        <f>IFERROR(__xludf.DUMMYFUNCTION("""COMPUTED_VALUE"""),"Joe E. Brown")</f>
        <v>Joe E. Brown</v>
      </c>
      <c r="AE4818" s="11"/>
    </row>
    <row r="4819" customHeight="1" spans="1:31">
      <c r="A4819" s="12" t="s">
        <v>30</v>
      </c>
      <c r="B4819" s="12" t="s">
        <v>22973</v>
      </c>
      <c r="C4819" s="12">
        <v>40</v>
      </c>
      <c r="D4819" s="12">
        <v>90</v>
      </c>
      <c r="E4819" s="12">
        <v>44</v>
      </c>
      <c r="F4819" s="12">
        <v>93</v>
      </c>
      <c r="G4819" s="12">
        <v>615</v>
      </c>
      <c r="H4819" s="12">
        <v>4000000</v>
      </c>
      <c r="I4819" s="12" t="s">
        <v>777</v>
      </c>
      <c r="J4819" s="12" t="s">
        <v>18098</v>
      </c>
      <c r="K4819" s="12" t="s">
        <v>16174</v>
      </c>
      <c r="L4819" s="12" t="s">
        <v>22974</v>
      </c>
      <c r="M4819" s="12" t="s">
        <v>22975</v>
      </c>
      <c r="N4819" s="12">
        <v>6046</v>
      </c>
      <c r="O4819" s="12">
        <v>872</v>
      </c>
      <c r="P4819" s="12">
        <v>0</v>
      </c>
      <c r="Q4819" s="12" t="s">
        <v>22976</v>
      </c>
      <c r="R4819" s="15" t="s">
        <v>22977</v>
      </c>
      <c r="S4819" s="12">
        <v>46</v>
      </c>
      <c r="T4819" s="12" t="s">
        <v>39</v>
      </c>
      <c r="U4819" s="12" t="s">
        <v>40</v>
      </c>
      <c r="V4819" s="12" t="s">
        <v>586</v>
      </c>
      <c r="W4819" s="12">
        <v>350000</v>
      </c>
      <c r="X4819" s="12">
        <v>1987</v>
      </c>
      <c r="Y4819" s="12">
        <v>96</v>
      </c>
      <c r="Z4819" s="12">
        <v>4.7</v>
      </c>
      <c r="AA4819" s="12">
        <v>1.85</v>
      </c>
      <c r="AB4819" s="12">
        <v>583</v>
      </c>
      <c r="AC4819" s="12"/>
      <c r="AD4819" s="12" t="str">
        <f>IFERROR(__xludf.DUMMYFUNCTION("""COMPUTED_VALUE"""),"George Raft")</f>
        <v>George Raft</v>
      </c>
      <c r="AE4819" s="12"/>
    </row>
    <row r="4820" customHeight="1" spans="1:31">
      <c r="A4820" s="11" t="s">
        <v>30</v>
      </c>
      <c r="B4820" s="11" t="s">
        <v>22978</v>
      </c>
      <c r="C4820" s="11">
        <v>45</v>
      </c>
      <c r="D4820" s="11">
        <v>90</v>
      </c>
      <c r="E4820" s="11">
        <v>0</v>
      </c>
      <c r="F4820" s="11">
        <v>0</v>
      </c>
      <c r="G4820" s="11">
        <v>0</v>
      </c>
      <c r="H4820" s="11">
        <v>84689</v>
      </c>
      <c r="I4820" s="11" t="s">
        <v>68</v>
      </c>
      <c r="J4820" s="11" t="s">
        <v>22979</v>
      </c>
      <c r="K4820" s="11" t="s">
        <v>22980</v>
      </c>
      <c r="L4820" s="11" t="s">
        <v>22981</v>
      </c>
      <c r="M4820" s="11" t="s">
        <v>22982</v>
      </c>
      <c r="N4820" s="11">
        <v>695</v>
      </c>
      <c r="O4820" s="11">
        <v>0</v>
      </c>
      <c r="P4820" s="11">
        <v>2</v>
      </c>
      <c r="Q4820" s="11" t="s">
        <v>22983</v>
      </c>
      <c r="R4820" s="14" t="s">
        <v>22984</v>
      </c>
      <c r="S4820" s="11">
        <v>16</v>
      </c>
      <c r="T4820" s="11" t="s">
        <v>39</v>
      </c>
      <c r="U4820" s="11" t="s">
        <v>768</v>
      </c>
      <c r="V4820" s="11" t="s">
        <v>5614</v>
      </c>
      <c r="W4820" s="13"/>
      <c r="X4820" s="11">
        <v>2005</v>
      </c>
      <c r="Y4820" s="11">
        <v>0</v>
      </c>
      <c r="Z4820" s="11">
        <v>7.5</v>
      </c>
      <c r="AA4820" s="13"/>
      <c r="AB4820" s="11">
        <v>70</v>
      </c>
      <c r="AC4820" s="11"/>
      <c r="AD4820" s="11" t="str">
        <f>IFERROR(__xludf.DUMMYFUNCTION("""COMPUTED_VALUE"""),"Terry Kiser")</f>
        <v>Terry Kiser</v>
      </c>
      <c r="AE4820" s="11"/>
    </row>
    <row r="4821" customHeight="1" spans="1:31">
      <c r="A4821" s="12" t="s">
        <v>30</v>
      </c>
      <c r="B4821" s="16"/>
      <c r="C4821" s="12">
        <v>23</v>
      </c>
      <c r="D4821" s="12">
        <v>43</v>
      </c>
      <c r="E4821" s="16"/>
      <c r="F4821" s="12">
        <v>576</v>
      </c>
      <c r="G4821" s="12">
        <v>2000</v>
      </c>
      <c r="H4821" s="16"/>
      <c r="I4821" s="12" t="s">
        <v>572</v>
      </c>
      <c r="J4821" s="12" t="s">
        <v>4055</v>
      </c>
      <c r="K4821" s="12" t="s">
        <v>22985</v>
      </c>
      <c r="L4821" s="12" t="s">
        <v>8922</v>
      </c>
      <c r="M4821" s="12" t="s">
        <v>22986</v>
      </c>
      <c r="N4821" s="12">
        <v>72017</v>
      </c>
      <c r="O4821" s="12">
        <v>5052</v>
      </c>
      <c r="P4821" s="12">
        <v>6</v>
      </c>
      <c r="Q4821" s="12" t="s">
        <v>22987</v>
      </c>
      <c r="R4821" s="15" t="s">
        <v>22988</v>
      </c>
      <c r="S4821" s="12">
        <v>323</v>
      </c>
      <c r="T4821" s="12" t="s">
        <v>39</v>
      </c>
      <c r="U4821" s="12" t="s">
        <v>40</v>
      </c>
      <c r="V4821" s="12" t="s">
        <v>1127</v>
      </c>
      <c r="W4821" s="16"/>
      <c r="X4821" s="16"/>
      <c r="Y4821" s="12">
        <v>821</v>
      </c>
      <c r="Z4821" s="12">
        <v>6.7</v>
      </c>
      <c r="AA4821" s="12">
        <v>16</v>
      </c>
      <c r="AB4821" s="12">
        <v>17000</v>
      </c>
      <c r="AC4821" s="12"/>
      <c r="AD4821" s="12" t="str">
        <f>IFERROR(__xludf.DUMMYFUNCTION("""COMPUTED_VALUE"""),"William Butler")</f>
        <v>William Butler</v>
      </c>
      <c r="AE4821" s="12"/>
    </row>
    <row r="4822" customHeight="1" spans="1:31">
      <c r="A4822" s="11" t="s">
        <v>30</v>
      </c>
      <c r="B4822" s="11" t="s">
        <v>22989</v>
      </c>
      <c r="C4822" s="11">
        <v>4</v>
      </c>
      <c r="D4822" s="11">
        <v>98</v>
      </c>
      <c r="E4822" s="11">
        <v>0</v>
      </c>
      <c r="F4822" s="11">
        <v>0</v>
      </c>
      <c r="G4822" s="11">
        <v>196</v>
      </c>
      <c r="H4822" s="13"/>
      <c r="I4822" s="11" t="s">
        <v>14731</v>
      </c>
      <c r="J4822" s="11" t="s">
        <v>22990</v>
      </c>
      <c r="K4822" s="11" t="s">
        <v>22991</v>
      </c>
      <c r="L4822" s="11" t="s">
        <v>22992</v>
      </c>
      <c r="M4822" s="11" t="s">
        <v>22993</v>
      </c>
      <c r="N4822" s="11">
        <v>209</v>
      </c>
      <c r="O4822" s="11">
        <v>199</v>
      </c>
      <c r="P4822" s="11">
        <v>2</v>
      </c>
      <c r="Q4822" s="11" t="s">
        <v>22994</v>
      </c>
      <c r="R4822" s="14" t="s">
        <v>22995</v>
      </c>
      <c r="S4822" s="11">
        <v>8</v>
      </c>
      <c r="T4822" s="11" t="s">
        <v>39</v>
      </c>
      <c r="U4822" s="11" t="s">
        <v>40</v>
      </c>
      <c r="V4822" s="13"/>
      <c r="W4822" s="11">
        <v>350000</v>
      </c>
      <c r="X4822" s="11">
        <v>2015</v>
      </c>
      <c r="Y4822" s="11">
        <v>3</v>
      </c>
      <c r="Z4822" s="11">
        <v>3.4</v>
      </c>
      <c r="AA4822" s="11">
        <v>2.35</v>
      </c>
      <c r="AB4822" s="11">
        <v>240</v>
      </c>
      <c r="AC4822" s="11"/>
      <c r="AD4822" s="11" t="str">
        <f>IFERROR(__xludf.DUMMYFUNCTION("""COMPUTED_VALUE"""),"Margaret Hamilton")</f>
        <v>Margaret Hamilton</v>
      </c>
      <c r="AE4822" s="11"/>
    </row>
    <row r="4823" customHeight="1" spans="1:31">
      <c r="A4823" s="12" t="s">
        <v>30</v>
      </c>
      <c r="B4823" s="12" t="s">
        <v>5368</v>
      </c>
      <c r="C4823" s="12">
        <v>318</v>
      </c>
      <c r="D4823" s="12">
        <v>101</v>
      </c>
      <c r="E4823" s="12">
        <v>0</v>
      </c>
      <c r="F4823" s="12">
        <v>598</v>
      </c>
      <c r="G4823" s="12">
        <v>2000</v>
      </c>
      <c r="H4823" s="12">
        <v>47000000</v>
      </c>
      <c r="I4823" s="12" t="s">
        <v>5544</v>
      </c>
      <c r="J4823" s="12" t="s">
        <v>1734</v>
      </c>
      <c r="K4823" s="12" t="s">
        <v>10179</v>
      </c>
      <c r="L4823" s="12" t="s">
        <v>5545</v>
      </c>
      <c r="M4823" s="12" t="s">
        <v>12171</v>
      </c>
      <c r="N4823" s="12">
        <v>157863</v>
      </c>
      <c r="O4823" s="12">
        <v>4400</v>
      </c>
      <c r="P4823" s="12">
        <v>0</v>
      </c>
      <c r="Q4823" s="12" t="s">
        <v>12172</v>
      </c>
      <c r="R4823" s="15" t="s">
        <v>12173</v>
      </c>
      <c r="S4823" s="12">
        <v>1191</v>
      </c>
      <c r="T4823" s="12" t="s">
        <v>39</v>
      </c>
      <c r="U4823" s="12" t="s">
        <v>40</v>
      </c>
      <c r="V4823" s="12" t="s">
        <v>586</v>
      </c>
      <c r="W4823" s="12">
        <v>300000</v>
      </c>
      <c r="X4823" s="12">
        <v>1978</v>
      </c>
      <c r="Y4823" s="12">
        <v>742</v>
      </c>
      <c r="Z4823" s="12">
        <v>7.9</v>
      </c>
      <c r="AA4823" s="12">
        <v>2.35</v>
      </c>
      <c r="AB4823" s="12">
        <v>12000</v>
      </c>
      <c r="AC4823" s="12"/>
      <c r="AD4823" s="12" t="str">
        <f>IFERROR(__xludf.DUMMYFUNCTION("""COMPUTED_VALUE"""),"Terry")</f>
        <v>Terry</v>
      </c>
      <c r="AE4823" s="12"/>
    </row>
    <row r="4824" customHeight="1" spans="1:31">
      <c r="A4824" s="11" t="s">
        <v>748</v>
      </c>
      <c r="B4824" s="11" t="s">
        <v>10146</v>
      </c>
      <c r="C4824" s="11">
        <v>177</v>
      </c>
      <c r="D4824" s="11">
        <v>96</v>
      </c>
      <c r="E4824" s="11">
        <v>0</v>
      </c>
      <c r="F4824" s="11">
        <v>253</v>
      </c>
      <c r="G4824" s="11">
        <v>359</v>
      </c>
      <c r="H4824" s="13"/>
      <c r="I4824" s="11" t="s">
        <v>1936</v>
      </c>
      <c r="J4824" s="11" t="s">
        <v>12389</v>
      </c>
      <c r="K4824" s="11" t="s">
        <v>14007</v>
      </c>
      <c r="L4824" s="11" t="s">
        <v>1780</v>
      </c>
      <c r="M4824" s="11" t="s">
        <v>22996</v>
      </c>
      <c r="N4824" s="11">
        <v>447785</v>
      </c>
      <c r="O4824" s="11">
        <v>1433</v>
      </c>
      <c r="P4824" s="11">
        <v>1</v>
      </c>
      <c r="Q4824" s="11" t="s">
        <v>22997</v>
      </c>
      <c r="R4824" s="14" t="s">
        <v>22998</v>
      </c>
      <c r="S4824" s="11">
        <v>888</v>
      </c>
      <c r="T4824" s="11" t="s">
        <v>39</v>
      </c>
      <c r="U4824" s="11" t="s">
        <v>40</v>
      </c>
      <c r="V4824" s="11" t="s">
        <v>4831</v>
      </c>
      <c r="W4824" s="11">
        <v>350000</v>
      </c>
      <c r="X4824" s="11">
        <v>1957</v>
      </c>
      <c r="Y4824" s="11">
        <v>259</v>
      </c>
      <c r="Z4824" s="11">
        <v>8.9</v>
      </c>
      <c r="AA4824" s="11">
        <v>1.66</v>
      </c>
      <c r="AB4824" s="11">
        <v>40000</v>
      </c>
      <c r="AC4824" s="11"/>
      <c r="AD4824" s="11" t="str">
        <f>IFERROR(__xludf.DUMMYFUNCTION("""COMPUTED_VALUE"""),"Billie Burke")</f>
        <v>Billie Burke</v>
      </c>
      <c r="AE4824" s="11"/>
    </row>
    <row r="4825" customHeight="1" spans="1:31">
      <c r="A4825" s="12" t="s">
        <v>30</v>
      </c>
      <c r="B4825" s="12" t="s">
        <v>22999</v>
      </c>
      <c r="C4825" s="12">
        <v>51</v>
      </c>
      <c r="D4825" s="12">
        <v>83</v>
      </c>
      <c r="E4825" s="12">
        <v>3</v>
      </c>
      <c r="F4825" s="12">
        <v>258</v>
      </c>
      <c r="G4825" s="12">
        <v>812</v>
      </c>
      <c r="H4825" s="12">
        <v>246574</v>
      </c>
      <c r="I4825" s="12" t="s">
        <v>23000</v>
      </c>
      <c r="J4825" s="12" t="s">
        <v>3866</v>
      </c>
      <c r="K4825" s="12" t="s">
        <v>3392</v>
      </c>
      <c r="L4825" s="12" t="s">
        <v>12562</v>
      </c>
      <c r="M4825" s="12" t="s">
        <v>23001</v>
      </c>
      <c r="N4825" s="12">
        <v>1272</v>
      </c>
      <c r="O4825" s="12">
        <v>1370</v>
      </c>
      <c r="P4825" s="12">
        <v>0</v>
      </c>
      <c r="Q4825" s="12" t="s">
        <v>23002</v>
      </c>
      <c r="R4825" s="15" t="s">
        <v>23003</v>
      </c>
      <c r="S4825" s="12">
        <v>15</v>
      </c>
      <c r="T4825" s="12" t="s">
        <v>39</v>
      </c>
      <c r="U4825" s="12" t="s">
        <v>40</v>
      </c>
      <c r="V4825" s="16"/>
      <c r="W4825" s="16"/>
      <c r="X4825" s="12">
        <v>2009</v>
      </c>
      <c r="Y4825" s="12">
        <v>277</v>
      </c>
      <c r="Z4825" s="12">
        <v>6.9</v>
      </c>
      <c r="AA4825" s="12">
        <v>1.85</v>
      </c>
      <c r="AB4825" s="12">
        <v>675</v>
      </c>
      <c r="AC4825" s="12"/>
      <c r="AD4825" s="12" t="str">
        <f>IFERROR(__xludf.DUMMYFUNCTION("""COMPUTED_VALUE"""),"Joe Dinicol")</f>
        <v>Joe Dinicol</v>
      </c>
      <c r="AE4825" s="12"/>
    </row>
    <row r="4826" customHeight="1" spans="1:31">
      <c r="A4826" s="11" t="s">
        <v>748</v>
      </c>
      <c r="B4826" s="11" t="s">
        <v>19168</v>
      </c>
      <c r="C4826" s="11">
        <v>124</v>
      </c>
      <c r="D4826" s="11">
        <v>65</v>
      </c>
      <c r="E4826" s="11">
        <v>964</v>
      </c>
      <c r="F4826" s="11">
        <v>21</v>
      </c>
      <c r="G4826" s="11">
        <v>380</v>
      </c>
      <c r="H4826" s="13"/>
      <c r="I4826" s="11" t="s">
        <v>1681</v>
      </c>
      <c r="J4826" s="11" t="s">
        <v>20191</v>
      </c>
      <c r="K4826" s="11" t="s">
        <v>23004</v>
      </c>
      <c r="L4826" s="11" t="s">
        <v>23005</v>
      </c>
      <c r="M4826" s="11" t="s">
        <v>23006</v>
      </c>
      <c r="N4826" s="11">
        <v>64888</v>
      </c>
      <c r="O4826" s="11">
        <v>540</v>
      </c>
      <c r="P4826" s="11">
        <v>1</v>
      </c>
      <c r="Q4826" s="11" t="s">
        <v>23007</v>
      </c>
      <c r="R4826" s="14" t="s">
        <v>23008</v>
      </c>
      <c r="S4826" s="11">
        <v>235</v>
      </c>
      <c r="T4826" s="11" t="s">
        <v>39</v>
      </c>
      <c r="U4826" s="11" t="s">
        <v>40</v>
      </c>
      <c r="V4826" s="11" t="s">
        <v>5614</v>
      </c>
      <c r="W4826" s="11">
        <v>325000</v>
      </c>
      <c r="X4826" s="11">
        <v>1934</v>
      </c>
      <c r="Y4826" s="11">
        <v>114</v>
      </c>
      <c r="Z4826" s="11">
        <v>8.2</v>
      </c>
      <c r="AA4826" s="11">
        <v>1.37</v>
      </c>
      <c r="AB4826" s="11">
        <v>0</v>
      </c>
      <c r="AC4826" s="11"/>
      <c r="AD4826" s="11" t="str">
        <f>IFERROR(__xludf.DUMMYFUNCTION("""COMPUTED_VALUE"""),"Sanjay Dutt")</f>
        <v>Sanjay Dutt</v>
      </c>
      <c r="AE4826" s="11"/>
    </row>
    <row r="4827" customHeight="1" spans="1:31">
      <c r="A4827" s="12" t="s">
        <v>30</v>
      </c>
      <c r="B4827" s="12" t="s">
        <v>23009</v>
      </c>
      <c r="C4827" s="12">
        <v>211</v>
      </c>
      <c r="D4827" s="12">
        <v>94</v>
      </c>
      <c r="E4827" s="12">
        <v>252</v>
      </c>
      <c r="F4827" s="12">
        <v>14</v>
      </c>
      <c r="G4827" s="12">
        <v>47</v>
      </c>
      <c r="H4827" s="12">
        <v>110197</v>
      </c>
      <c r="I4827" s="12" t="s">
        <v>4075</v>
      </c>
      <c r="J4827" s="12" t="s">
        <v>23010</v>
      </c>
      <c r="K4827" s="12" t="s">
        <v>23011</v>
      </c>
      <c r="L4827" s="12" t="s">
        <v>23012</v>
      </c>
      <c r="M4827" s="12" t="s">
        <v>23013</v>
      </c>
      <c r="N4827" s="12">
        <v>44864</v>
      </c>
      <c r="O4827" s="12">
        <v>126</v>
      </c>
      <c r="P4827" s="12">
        <v>0</v>
      </c>
      <c r="Q4827" s="12" t="s">
        <v>23014</v>
      </c>
      <c r="R4827" s="15" t="s">
        <v>23015</v>
      </c>
      <c r="S4827" s="12">
        <v>170</v>
      </c>
      <c r="T4827" s="12" t="s">
        <v>23016</v>
      </c>
      <c r="U4827" s="12" t="s">
        <v>12005</v>
      </c>
      <c r="V4827" s="12" t="s">
        <v>5614</v>
      </c>
      <c r="W4827" s="16"/>
      <c r="X4827" s="12">
        <v>2009</v>
      </c>
      <c r="Y4827" s="12">
        <v>37</v>
      </c>
      <c r="Z4827" s="12">
        <v>7.3</v>
      </c>
      <c r="AA4827" s="12">
        <v>2.35</v>
      </c>
      <c r="AB4827" s="12">
        <v>13000</v>
      </c>
      <c r="AC4827" s="12"/>
      <c r="AD4827" s="12" t="str">
        <f>IFERROR(__xludf.DUMMYFUNCTION("""COMPUTED_VALUE"""),"Patricia Richardson")</f>
        <v>Patricia Richardson</v>
      </c>
      <c r="AE4827" s="12"/>
    </row>
    <row r="4828" customHeight="1" spans="1:31">
      <c r="A4828" s="11" t="s">
        <v>30</v>
      </c>
      <c r="B4828" s="11" t="s">
        <v>23017</v>
      </c>
      <c r="C4828" s="11">
        <v>26</v>
      </c>
      <c r="D4828" s="11">
        <v>112</v>
      </c>
      <c r="E4828" s="11">
        <v>2</v>
      </c>
      <c r="F4828" s="11">
        <v>321</v>
      </c>
      <c r="G4828" s="11">
        <v>786</v>
      </c>
      <c r="H4828" s="11">
        <v>7707563</v>
      </c>
      <c r="I4828" s="11" t="s">
        <v>21603</v>
      </c>
      <c r="J4828" s="11" t="s">
        <v>23018</v>
      </c>
      <c r="K4828" s="11" t="s">
        <v>11311</v>
      </c>
      <c r="L4828" s="11" t="s">
        <v>23019</v>
      </c>
      <c r="M4828" s="11" t="s">
        <v>23020</v>
      </c>
      <c r="N4828" s="11">
        <v>7687</v>
      </c>
      <c r="O4828" s="11">
        <v>2638</v>
      </c>
      <c r="P4828" s="11">
        <v>0</v>
      </c>
      <c r="Q4828" s="11" t="s">
        <v>23021</v>
      </c>
      <c r="R4828" s="14" t="s">
        <v>23022</v>
      </c>
      <c r="S4828" s="11">
        <v>32</v>
      </c>
      <c r="T4828" s="11" t="s">
        <v>39</v>
      </c>
      <c r="U4828" s="11" t="s">
        <v>40</v>
      </c>
      <c r="V4828" s="11" t="s">
        <v>586</v>
      </c>
      <c r="W4828" s="13"/>
      <c r="X4828" s="11">
        <v>2003</v>
      </c>
      <c r="Y4828" s="11">
        <v>633</v>
      </c>
      <c r="Z4828" s="11">
        <v>8</v>
      </c>
      <c r="AA4828" s="11">
        <v>1.85</v>
      </c>
      <c r="AB4828" s="11">
        <v>0</v>
      </c>
      <c r="AC4828" s="11"/>
      <c r="AD4828" s="11" t="str">
        <f>IFERROR(__xludf.DUMMYFUNCTION("""COMPUTED_VALUE"""),"Vanessa Zima")</f>
        <v>Vanessa Zima</v>
      </c>
      <c r="AE4828" s="11"/>
    </row>
    <row r="4829" customHeight="1" spans="1:31">
      <c r="A4829" s="12" t="s">
        <v>30</v>
      </c>
      <c r="B4829" s="12" t="s">
        <v>8566</v>
      </c>
      <c r="C4829" s="12">
        <v>64</v>
      </c>
      <c r="D4829" s="12">
        <v>102</v>
      </c>
      <c r="E4829" s="12">
        <v>149</v>
      </c>
      <c r="F4829" s="12">
        <v>276</v>
      </c>
      <c r="G4829" s="12">
        <v>409</v>
      </c>
      <c r="H4829" s="12">
        <v>1281176</v>
      </c>
      <c r="I4829" s="12" t="s">
        <v>2528</v>
      </c>
      <c r="J4829" s="12" t="s">
        <v>10654</v>
      </c>
      <c r="K4829" s="12" t="s">
        <v>15726</v>
      </c>
      <c r="L4829" s="12" t="s">
        <v>13360</v>
      </c>
      <c r="M4829" s="12" t="s">
        <v>23023</v>
      </c>
      <c r="N4829" s="12">
        <v>2932</v>
      </c>
      <c r="O4829" s="12">
        <v>1986</v>
      </c>
      <c r="P4829" s="12">
        <v>1</v>
      </c>
      <c r="Q4829" s="12" t="s">
        <v>23024</v>
      </c>
      <c r="R4829" s="15" t="s">
        <v>23025</v>
      </c>
      <c r="S4829" s="12">
        <v>73</v>
      </c>
      <c r="T4829" s="12" t="s">
        <v>39</v>
      </c>
      <c r="U4829" s="12" t="s">
        <v>40</v>
      </c>
      <c r="V4829" s="12" t="s">
        <v>41</v>
      </c>
      <c r="W4829" s="12">
        <v>312000</v>
      </c>
      <c r="X4829" s="12">
        <v>1999</v>
      </c>
      <c r="Y4829" s="12">
        <v>277</v>
      </c>
      <c r="Z4829" s="12">
        <v>6.7</v>
      </c>
      <c r="AA4829" s="12">
        <v>1.85</v>
      </c>
      <c r="AB4829" s="12">
        <v>121</v>
      </c>
      <c r="AC4829" s="12"/>
      <c r="AD4829" s="12" t="str">
        <f>IFERROR(__xludf.DUMMYFUNCTION("""COMPUTED_VALUE"""),"Kelly Reno")</f>
        <v>Kelly Reno</v>
      </c>
      <c r="AE4829" s="12"/>
    </row>
    <row r="4830" customHeight="1" spans="1:31">
      <c r="A4830" s="11" t="s">
        <v>30</v>
      </c>
      <c r="B4830" s="11" t="s">
        <v>23026</v>
      </c>
      <c r="C4830" s="11">
        <v>56</v>
      </c>
      <c r="D4830" s="11">
        <v>98</v>
      </c>
      <c r="E4830" s="11">
        <v>10</v>
      </c>
      <c r="F4830" s="11">
        <v>912</v>
      </c>
      <c r="G4830" s="11">
        <v>10000</v>
      </c>
      <c r="H4830" s="11">
        <v>16115878</v>
      </c>
      <c r="I4830" s="11" t="s">
        <v>23027</v>
      </c>
      <c r="J4830" s="11" t="s">
        <v>2825</v>
      </c>
      <c r="K4830" s="11" t="s">
        <v>2866</v>
      </c>
      <c r="L4830" s="11" t="s">
        <v>2666</v>
      </c>
      <c r="M4830" s="11" t="s">
        <v>23028</v>
      </c>
      <c r="N4830" s="11">
        <v>24438</v>
      </c>
      <c r="O4830" s="11">
        <v>13433</v>
      </c>
      <c r="P4830" s="11">
        <v>0</v>
      </c>
      <c r="Q4830" s="11" t="s">
        <v>23029</v>
      </c>
      <c r="R4830" s="14" t="s">
        <v>23030</v>
      </c>
      <c r="S4830" s="11">
        <v>194</v>
      </c>
      <c r="T4830" s="11" t="s">
        <v>39</v>
      </c>
      <c r="U4830" s="11" t="s">
        <v>40</v>
      </c>
      <c r="V4830" s="11" t="s">
        <v>586</v>
      </c>
      <c r="W4830" s="11">
        <v>8000000</v>
      </c>
      <c r="X4830" s="11">
        <v>1995</v>
      </c>
      <c r="Y4830" s="11">
        <v>1000</v>
      </c>
      <c r="Z4830" s="11">
        <v>6.6</v>
      </c>
      <c r="AA4830" s="11">
        <v>2.35</v>
      </c>
      <c r="AB4830" s="11">
        <v>0</v>
      </c>
      <c r="AC4830" s="11"/>
      <c r="AD4830" s="11" t="str">
        <f>IFERROR(__xludf.DUMMYFUNCTION("""COMPUTED_VALUE"""),"Hoyt Axton")</f>
        <v>Hoyt Axton</v>
      </c>
      <c r="AE4830" s="11"/>
    </row>
    <row r="4831" customHeight="1" spans="1:31">
      <c r="A4831" s="12" t="s">
        <v>30</v>
      </c>
      <c r="B4831" s="12" t="s">
        <v>17301</v>
      </c>
      <c r="C4831" s="12">
        <v>29</v>
      </c>
      <c r="D4831" s="12">
        <v>91</v>
      </c>
      <c r="E4831" s="12">
        <v>82</v>
      </c>
      <c r="F4831" s="12">
        <v>8</v>
      </c>
      <c r="G4831" s="12">
        <v>75</v>
      </c>
      <c r="H4831" s="12">
        <v>1652472</v>
      </c>
      <c r="I4831" s="12" t="s">
        <v>1681</v>
      </c>
      <c r="J4831" s="12" t="s">
        <v>23031</v>
      </c>
      <c r="K4831" s="12" t="s">
        <v>18193</v>
      </c>
      <c r="L4831" s="12" t="s">
        <v>23032</v>
      </c>
      <c r="M4831" s="12" t="s">
        <v>23033</v>
      </c>
      <c r="N4831" s="12">
        <v>2843</v>
      </c>
      <c r="O4831" s="12">
        <v>102</v>
      </c>
      <c r="P4831" s="12">
        <v>7</v>
      </c>
      <c r="Q4831" s="12" t="s">
        <v>23034</v>
      </c>
      <c r="R4831" s="15" t="s">
        <v>23035</v>
      </c>
      <c r="S4831" s="12">
        <v>25</v>
      </c>
      <c r="T4831" s="12" t="s">
        <v>1465</v>
      </c>
      <c r="U4831" s="12" t="s">
        <v>1466</v>
      </c>
      <c r="V4831" s="12" t="s">
        <v>586</v>
      </c>
      <c r="W4831" s="12">
        <v>300000</v>
      </c>
      <c r="X4831" s="12">
        <v>1996</v>
      </c>
      <c r="Y4831" s="12">
        <v>9</v>
      </c>
      <c r="Z4831" s="12">
        <v>6.9</v>
      </c>
      <c r="AA4831" s="12">
        <v>1.66</v>
      </c>
      <c r="AB4831" s="12">
        <v>166</v>
      </c>
      <c r="AC4831" s="12"/>
      <c r="AD4831" s="12" t="str">
        <f>IFERROR(__xludf.DUMMYFUNCTION("""COMPUTED_VALUE"""),"Bhavkhandan Singh Rakhra")</f>
        <v>Bhavkhandan Singh Rakhra</v>
      </c>
      <c r="AE4831" s="12"/>
    </row>
    <row r="4832" customHeight="1" spans="1:31">
      <c r="A4832" s="11" t="s">
        <v>30</v>
      </c>
      <c r="B4832" s="11" t="s">
        <v>6497</v>
      </c>
      <c r="C4832" s="11">
        <v>131</v>
      </c>
      <c r="D4832" s="11">
        <v>80</v>
      </c>
      <c r="E4832" s="11">
        <v>54</v>
      </c>
      <c r="F4832" s="11">
        <v>543</v>
      </c>
      <c r="G4832" s="11">
        <v>1000</v>
      </c>
      <c r="H4832" s="11">
        <v>2360184</v>
      </c>
      <c r="I4832" s="11" t="s">
        <v>2528</v>
      </c>
      <c r="J4832" s="11" t="s">
        <v>430</v>
      </c>
      <c r="K4832" s="11" t="s">
        <v>2115</v>
      </c>
      <c r="L4832" s="11" t="s">
        <v>8336</v>
      </c>
      <c r="M4832" s="11" t="s">
        <v>23036</v>
      </c>
      <c r="N4832" s="11">
        <v>18035</v>
      </c>
      <c r="O4832" s="11">
        <v>3010</v>
      </c>
      <c r="P4832" s="11">
        <v>3</v>
      </c>
      <c r="Q4832" s="11" t="s">
        <v>23037</v>
      </c>
      <c r="R4832" s="14" t="s">
        <v>23038</v>
      </c>
      <c r="S4832" s="11">
        <v>177</v>
      </c>
      <c r="T4832" s="11" t="s">
        <v>39</v>
      </c>
      <c r="U4832" s="11" t="s">
        <v>40</v>
      </c>
      <c r="V4832" s="11" t="s">
        <v>41</v>
      </c>
      <c r="W4832" s="11">
        <v>300000</v>
      </c>
      <c r="X4832" s="11">
        <v>2003</v>
      </c>
      <c r="Y4832" s="11">
        <v>806</v>
      </c>
      <c r="Z4832" s="11">
        <v>7.1</v>
      </c>
      <c r="AA4832" s="11">
        <v>1.85</v>
      </c>
      <c r="AB4832" s="11">
        <v>0</v>
      </c>
      <c r="AC4832" s="11"/>
      <c r="AD4832" s="11" t="str">
        <f>IFERROR(__xludf.DUMMYFUNCTION("""COMPUTED_VALUE"""),"Neeru Bajwa")</f>
        <v>Neeru Bajwa</v>
      </c>
      <c r="AE4832" s="11"/>
    </row>
    <row r="4833" customHeight="1" spans="1:31">
      <c r="A4833" s="12" t="s">
        <v>30</v>
      </c>
      <c r="B4833" s="12" t="s">
        <v>23039</v>
      </c>
      <c r="C4833" s="12">
        <v>4</v>
      </c>
      <c r="D4833" s="12">
        <v>114</v>
      </c>
      <c r="E4833" s="12">
        <v>7</v>
      </c>
      <c r="F4833" s="12">
        <v>2</v>
      </c>
      <c r="G4833" s="12">
        <v>19</v>
      </c>
      <c r="H4833" s="16"/>
      <c r="I4833" s="12" t="s">
        <v>3410</v>
      </c>
      <c r="J4833" s="12" t="s">
        <v>23040</v>
      </c>
      <c r="K4833" s="12" t="s">
        <v>23041</v>
      </c>
      <c r="L4833" s="12" t="s">
        <v>23042</v>
      </c>
      <c r="M4833" s="12" t="s">
        <v>23043</v>
      </c>
      <c r="N4833" s="12">
        <v>270</v>
      </c>
      <c r="O4833" s="12">
        <v>37</v>
      </c>
      <c r="P4833" s="12">
        <v>0</v>
      </c>
      <c r="Q4833" s="12" t="s">
        <v>23044</v>
      </c>
      <c r="R4833" s="15" t="s">
        <v>23045</v>
      </c>
      <c r="S4833" s="12">
        <v>7</v>
      </c>
      <c r="T4833" s="12" t="s">
        <v>39</v>
      </c>
      <c r="U4833" s="12" t="s">
        <v>58</v>
      </c>
      <c r="V4833" s="16"/>
      <c r="W4833" s="16"/>
      <c r="X4833" s="12">
        <v>1998</v>
      </c>
      <c r="Y4833" s="12">
        <v>16</v>
      </c>
      <c r="Z4833" s="12">
        <v>5.6</v>
      </c>
      <c r="AA4833" s="12">
        <v>1.33</v>
      </c>
      <c r="AB4833" s="12">
        <v>29</v>
      </c>
      <c r="AC4833" s="12"/>
      <c r="AD4833" s="12" t="str">
        <f>IFERROR(__xludf.DUMMYFUNCTION("""COMPUTED_VALUE"""),"Diljit Dosanjh")</f>
        <v>Diljit Dosanjh</v>
      </c>
      <c r="AE4833" s="12"/>
    </row>
    <row r="4834" customHeight="1" spans="1:31">
      <c r="A4834" s="11" t="s">
        <v>30</v>
      </c>
      <c r="B4834" s="11" t="s">
        <v>20333</v>
      </c>
      <c r="C4834" s="11">
        <v>88</v>
      </c>
      <c r="D4834" s="11">
        <v>76</v>
      </c>
      <c r="E4834" s="11">
        <v>129</v>
      </c>
      <c r="F4834" s="11">
        <v>26</v>
      </c>
      <c r="G4834" s="11">
        <v>52</v>
      </c>
      <c r="H4834" s="11">
        <v>255352</v>
      </c>
      <c r="I4834" s="11" t="s">
        <v>3410</v>
      </c>
      <c r="J4834" s="11" t="s">
        <v>23046</v>
      </c>
      <c r="K4834" s="11" t="s">
        <v>23047</v>
      </c>
      <c r="L4834" s="11" t="s">
        <v>23048</v>
      </c>
      <c r="M4834" s="11" t="s">
        <v>23049</v>
      </c>
      <c r="N4834" s="11">
        <v>4423</v>
      </c>
      <c r="O4834" s="11">
        <v>132</v>
      </c>
      <c r="P4834" s="11">
        <v>2</v>
      </c>
      <c r="Q4834" s="11" t="s">
        <v>23050</v>
      </c>
      <c r="R4834" s="14" t="s">
        <v>23051</v>
      </c>
      <c r="S4834" s="11">
        <v>57</v>
      </c>
      <c r="T4834" s="11" t="s">
        <v>39</v>
      </c>
      <c r="U4834" s="11" t="s">
        <v>40</v>
      </c>
      <c r="V4834" s="11" t="s">
        <v>5614</v>
      </c>
      <c r="W4834" s="11">
        <v>300000</v>
      </c>
      <c r="X4834" s="11">
        <v>2006</v>
      </c>
      <c r="Y4834" s="11">
        <v>44</v>
      </c>
      <c r="Z4834" s="11">
        <v>6.7</v>
      </c>
      <c r="AA4834" s="11">
        <v>1.66</v>
      </c>
      <c r="AB4834" s="11">
        <v>594</v>
      </c>
      <c r="AC4834" s="11"/>
      <c r="AD4834" s="11" t="str">
        <f>IFERROR(__xludf.DUMMYFUNCTION("""COMPUTED_VALUE"""),"Frank Hvam")</f>
        <v>Frank Hvam</v>
      </c>
      <c r="AE4834" s="11"/>
    </row>
    <row r="4835" customHeight="1" spans="1:31">
      <c r="A4835" s="12" t="s">
        <v>30</v>
      </c>
      <c r="B4835" s="12" t="s">
        <v>20333</v>
      </c>
      <c r="C4835" s="12">
        <v>189</v>
      </c>
      <c r="D4835" s="12">
        <v>80</v>
      </c>
      <c r="E4835" s="12">
        <v>129</v>
      </c>
      <c r="F4835" s="12">
        <v>26</v>
      </c>
      <c r="G4835" s="12">
        <v>375</v>
      </c>
      <c r="H4835" s="12">
        <v>856942</v>
      </c>
      <c r="I4835" s="12" t="s">
        <v>3410</v>
      </c>
      <c r="J4835" s="12" t="s">
        <v>19586</v>
      </c>
      <c r="K4835" s="12" t="s">
        <v>23047</v>
      </c>
      <c r="L4835" s="12" t="s">
        <v>23048</v>
      </c>
      <c r="M4835" s="12" t="s">
        <v>23052</v>
      </c>
      <c r="N4835" s="12">
        <v>12241</v>
      </c>
      <c r="O4835" s="12">
        <v>460</v>
      </c>
      <c r="P4835" s="12">
        <v>1</v>
      </c>
      <c r="Q4835" s="12" t="s">
        <v>23053</v>
      </c>
      <c r="R4835" s="15" t="s">
        <v>23054</v>
      </c>
      <c r="S4835" s="12">
        <v>112</v>
      </c>
      <c r="T4835" s="12" t="s">
        <v>39</v>
      </c>
      <c r="U4835" s="12" t="s">
        <v>40</v>
      </c>
      <c r="V4835" s="12" t="s">
        <v>586</v>
      </c>
      <c r="W4835" s="12">
        <v>200000</v>
      </c>
      <c r="X4835" s="12">
        <v>2008</v>
      </c>
      <c r="Y4835" s="12">
        <v>44</v>
      </c>
      <c r="Z4835" s="12">
        <v>7.1</v>
      </c>
      <c r="AA4835" s="12">
        <v>1.85</v>
      </c>
      <c r="AB4835" s="12">
        <v>0</v>
      </c>
      <c r="AC4835" s="12"/>
      <c r="AD4835" s="12" t="str">
        <f>IFERROR(__xludf.DUMMYFUNCTION("""COMPUTED_VALUE"""),"Casper Christensen")</f>
        <v>Casper Christensen</v>
      </c>
      <c r="AE4835" s="12"/>
    </row>
    <row r="4836" customHeight="1" spans="1:31">
      <c r="A4836" s="11" t="s">
        <v>30</v>
      </c>
      <c r="B4836" s="11" t="s">
        <v>23055</v>
      </c>
      <c r="C4836" s="11">
        <v>20</v>
      </c>
      <c r="D4836" s="11">
        <v>88</v>
      </c>
      <c r="E4836" s="11">
        <v>5</v>
      </c>
      <c r="F4836" s="11">
        <v>301</v>
      </c>
      <c r="G4836" s="11">
        <v>795</v>
      </c>
      <c r="H4836" s="13"/>
      <c r="I4836" s="11" t="s">
        <v>3410</v>
      </c>
      <c r="J4836" s="11" t="s">
        <v>9403</v>
      </c>
      <c r="K4836" s="11" t="s">
        <v>17353</v>
      </c>
      <c r="L4836" s="11" t="s">
        <v>14157</v>
      </c>
      <c r="M4836" s="11" t="s">
        <v>23056</v>
      </c>
      <c r="N4836" s="11">
        <v>554</v>
      </c>
      <c r="O4836" s="11">
        <v>1884</v>
      </c>
      <c r="P4836" s="11">
        <v>0</v>
      </c>
      <c r="Q4836" s="11" t="s">
        <v>23057</v>
      </c>
      <c r="R4836" s="14" t="s">
        <v>23058</v>
      </c>
      <c r="S4836" s="11">
        <v>23</v>
      </c>
      <c r="T4836" s="11" t="s">
        <v>39</v>
      </c>
      <c r="U4836" s="11" t="s">
        <v>40</v>
      </c>
      <c r="V4836" s="11" t="s">
        <v>586</v>
      </c>
      <c r="W4836" s="11">
        <v>300000</v>
      </c>
      <c r="X4836" s="11">
        <v>2010</v>
      </c>
      <c r="Y4836" s="11">
        <v>659</v>
      </c>
      <c r="Z4836" s="11">
        <v>5.2</v>
      </c>
      <c r="AA4836" s="13"/>
      <c r="AB4836" s="11">
        <v>92</v>
      </c>
      <c r="AC4836" s="11"/>
      <c r="AD4836" s="11" t="str">
        <f>IFERROR(__xludf.DUMMYFUNCTION("""COMPUTED_VALUE"""),"Cesar Romero")</f>
        <v>Cesar Romero</v>
      </c>
      <c r="AE4836" s="11"/>
    </row>
    <row r="4837" customHeight="1" spans="1:31">
      <c r="A4837" s="12" t="s">
        <v>30</v>
      </c>
      <c r="B4837" s="12" t="s">
        <v>23059</v>
      </c>
      <c r="C4837" s="12">
        <v>96</v>
      </c>
      <c r="D4837" s="12">
        <v>110</v>
      </c>
      <c r="E4837" s="12">
        <v>0</v>
      </c>
      <c r="F4837" s="12">
        <v>0</v>
      </c>
      <c r="G4837" s="12">
        <v>710</v>
      </c>
      <c r="H4837" s="16"/>
      <c r="I4837" s="12" t="s">
        <v>4824</v>
      </c>
      <c r="J4837" s="12" t="s">
        <v>20864</v>
      </c>
      <c r="K4837" s="12" t="s">
        <v>23060</v>
      </c>
      <c r="L4837" s="12" t="s">
        <v>23061</v>
      </c>
      <c r="M4837" s="12" t="s">
        <v>23062</v>
      </c>
      <c r="N4837" s="12">
        <v>19386</v>
      </c>
      <c r="O4837" s="12">
        <v>967</v>
      </c>
      <c r="P4837" s="12">
        <v>1</v>
      </c>
      <c r="Q4837" s="12" t="s">
        <v>23063</v>
      </c>
      <c r="R4837" s="15" t="s">
        <v>23064</v>
      </c>
      <c r="S4837" s="12">
        <v>74</v>
      </c>
      <c r="T4837" s="12" t="s">
        <v>1465</v>
      </c>
      <c r="U4837" s="12" t="s">
        <v>1466</v>
      </c>
      <c r="V4837" s="12" t="s">
        <v>4831</v>
      </c>
      <c r="W4837" s="12">
        <v>300000</v>
      </c>
      <c r="X4837" s="12">
        <v>1965</v>
      </c>
      <c r="Y4837" s="12">
        <v>257</v>
      </c>
      <c r="Z4837" s="12">
        <v>7.7</v>
      </c>
      <c r="AA4837" s="12">
        <v>2.35</v>
      </c>
      <c r="AB4837" s="12">
        <v>2000</v>
      </c>
      <c r="AC4837" s="12"/>
      <c r="AD4837" s="12" t="str">
        <f>IFERROR(__xludf.DUMMYFUNCTION("""COMPUTED_VALUE"""),"Rijk de Gooyer")</f>
        <v>Rijk de Gooyer</v>
      </c>
      <c r="AE4837" s="12"/>
    </row>
    <row r="4838" customHeight="1" spans="1:31">
      <c r="A4838" s="11" t="s">
        <v>30</v>
      </c>
      <c r="B4838" s="11" t="s">
        <v>23065</v>
      </c>
      <c r="C4838" s="11">
        <v>27</v>
      </c>
      <c r="D4838" s="11">
        <v>104</v>
      </c>
      <c r="E4838" s="11">
        <v>0</v>
      </c>
      <c r="F4838" s="13"/>
      <c r="G4838" s="11">
        <v>2</v>
      </c>
      <c r="H4838" s="11">
        <v>32631</v>
      </c>
      <c r="I4838" s="11" t="s">
        <v>68</v>
      </c>
      <c r="J4838" s="11" t="s">
        <v>23066</v>
      </c>
      <c r="K4838" s="11" t="s">
        <v>23067</v>
      </c>
      <c r="L4838" s="13"/>
      <c r="M4838" s="11" t="s">
        <v>23068</v>
      </c>
      <c r="N4838" s="11">
        <v>291</v>
      </c>
      <c r="O4838" s="11">
        <v>2</v>
      </c>
      <c r="P4838" s="11">
        <v>1</v>
      </c>
      <c r="Q4838" s="13"/>
      <c r="R4838" s="14" t="s">
        <v>23069</v>
      </c>
      <c r="S4838" s="11">
        <v>8</v>
      </c>
      <c r="T4838" s="11" t="s">
        <v>39</v>
      </c>
      <c r="U4838" s="11" t="s">
        <v>23070</v>
      </c>
      <c r="V4838" s="11" t="s">
        <v>4831</v>
      </c>
      <c r="W4838" s="13"/>
      <c r="X4838" s="11">
        <v>2005</v>
      </c>
      <c r="Y4838" s="11">
        <v>0</v>
      </c>
      <c r="Z4838" s="11">
        <v>7.5</v>
      </c>
      <c r="AA4838" s="13"/>
      <c r="AB4838" s="11">
        <v>50</v>
      </c>
      <c r="AC4838" s="11"/>
      <c r="AD4838" s="11" t="str">
        <f>IFERROR(__xludf.DUMMYFUNCTION("""COMPUTED_VALUE"""),"Ariane Schluter")</f>
        <v>Ariane Schluter</v>
      </c>
      <c r="AE4838" s="11"/>
    </row>
    <row r="4839" customHeight="1" spans="1:31">
      <c r="A4839" s="12" t="s">
        <v>30</v>
      </c>
      <c r="B4839" s="12" t="s">
        <v>22482</v>
      </c>
      <c r="C4839" s="12">
        <v>15</v>
      </c>
      <c r="D4839" s="12">
        <v>102</v>
      </c>
      <c r="E4839" s="12">
        <v>95</v>
      </c>
      <c r="F4839" s="16"/>
      <c r="G4839" s="16"/>
      <c r="H4839" s="12">
        <v>16892</v>
      </c>
      <c r="I4839" s="12" t="s">
        <v>68</v>
      </c>
      <c r="J4839" s="16"/>
      <c r="K4839" s="16"/>
      <c r="L4839" s="16"/>
      <c r="M4839" s="12" t="s">
        <v>23071</v>
      </c>
      <c r="N4839" s="12">
        <v>341</v>
      </c>
      <c r="O4839" s="12">
        <v>0</v>
      </c>
      <c r="P4839" s="12">
        <v>0</v>
      </c>
      <c r="Q4839" s="12" t="s">
        <v>23072</v>
      </c>
      <c r="R4839" s="15" t="s">
        <v>23073</v>
      </c>
      <c r="S4839" s="12">
        <v>12</v>
      </c>
      <c r="T4839" s="12" t="s">
        <v>39</v>
      </c>
      <c r="U4839" s="12" t="s">
        <v>5613</v>
      </c>
      <c r="V4839" s="16"/>
      <c r="W4839" s="12">
        <v>300000</v>
      </c>
      <c r="X4839" s="12">
        <v>2001</v>
      </c>
      <c r="Y4839" s="16"/>
      <c r="Z4839" s="12">
        <v>7.6</v>
      </c>
      <c r="AA4839" s="12">
        <v>1.85</v>
      </c>
      <c r="AB4839" s="12">
        <v>379</v>
      </c>
      <c r="AC4839" s="12"/>
      <c r="AD4839" s="12" t="str">
        <f>IFERROR(__xludf.DUMMYFUNCTION("""COMPUTED_VALUE"""),"Henri Garcin")</f>
        <v>Henri Garcin</v>
      </c>
      <c r="AE4839" s="12"/>
    </row>
    <row r="4840" customHeight="1" spans="1:31">
      <c r="A4840" s="11" t="s">
        <v>748</v>
      </c>
      <c r="B4840" s="11" t="s">
        <v>23074</v>
      </c>
      <c r="C4840" s="11">
        <v>24</v>
      </c>
      <c r="D4840" s="11">
        <v>95</v>
      </c>
      <c r="E4840" s="11">
        <v>0</v>
      </c>
      <c r="F4840" s="11">
        <v>87</v>
      </c>
      <c r="G4840" s="11">
        <v>581</v>
      </c>
      <c r="H4840" s="11">
        <v>12438</v>
      </c>
      <c r="I4840" s="11" t="s">
        <v>214</v>
      </c>
      <c r="J4840" s="11" t="s">
        <v>8388</v>
      </c>
      <c r="K4840" s="11" t="s">
        <v>3649</v>
      </c>
      <c r="L4840" s="11" t="s">
        <v>23075</v>
      </c>
      <c r="M4840" s="11" t="s">
        <v>23076</v>
      </c>
      <c r="N4840" s="11">
        <v>891</v>
      </c>
      <c r="O4840" s="11">
        <v>835</v>
      </c>
      <c r="P4840" s="11">
        <v>1</v>
      </c>
      <c r="Q4840" s="11" t="s">
        <v>23077</v>
      </c>
      <c r="R4840" s="14" t="s">
        <v>23078</v>
      </c>
      <c r="S4840" s="11">
        <v>26</v>
      </c>
      <c r="T4840" s="11" t="s">
        <v>39</v>
      </c>
      <c r="U4840" s="11" t="s">
        <v>40</v>
      </c>
      <c r="V4840" s="11" t="s">
        <v>4831</v>
      </c>
      <c r="W4840" s="11">
        <v>160000</v>
      </c>
      <c r="X4840" s="11">
        <v>1964</v>
      </c>
      <c r="Y4840" s="11">
        <v>99</v>
      </c>
      <c r="Z4840" s="11">
        <v>8.1</v>
      </c>
      <c r="AA4840" s="13"/>
      <c r="AB4840" s="11">
        <v>363</v>
      </c>
      <c r="AC4840" s="11"/>
      <c r="AD4840" s="11" t="str">
        <f>IFERROR(__xludf.DUMMYFUNCTION("""COMPUTED_VALUE"""),"Esther Williams")</f>
        <v>Esther Williams</v>
      </c>
      <c r="AE4840" s="11"/>
    </row>
    <row r="4841" customHeight="1" spans="1:31">
      <c r="A4841" s="12" t="s">
        <v>30</v>
      </c>
      <c r="B4841" s="12" t="s">
        <v>17658</v>
      </c>
      <c r="C4841" s="12">
        <v>16</v>
      </c>
      <c r="D4841" s="12">
        <v>94</v>
      </c>
      <c r="E4841" s="12">
        <v>37</v>
      </c>
      <c r="F4841" s="12">
        <v>104</v>
      </c>
      <c r="G4841" s="12">
        <v>318</v>
      </c>
      <c r="H4841" s="12">
        <v>40542</v>
      </c>
      <c r="I4841" s="12" t="s">
        <v>214</v>
      </c>
      <c r="J4841" s="12" t="s">
        <v>7864</v>
      </c>
      <c r="K4841" s="12" t="s">
        <v>23079</v>
      </c>
      <c r="L4841" s="12" t="s">
        <v>21668</v>
      </c>
      <c r="M4841" s="12" t="s">
        <v>23080</v>
      </c>
      <c r="N4841" s="12">
        <v>294</v>
      </c>
      <c r="O4841" s="12">
        <v>751</v>
      </c>
      <c r="P4841" s="12">
        <v>0</v>
      </c>
      <c r="Q4841" s="12" t="s">
        <v>23081</v>
      </c>
      <c r="R4841" s="15" t="s">
        <v>23082</v>
      </c>
      <c r="S4841" s="12">
        <v>16</v>
      </c>
      <c r="T4841" s="12" t="s">
        <v>39</v>
      </c>
      <c r="U4841" s="12" t="s">
        <v>40</v>
      </c>
      <c r="V4841" s="12" t="s">
        <v>586</v>
      </c>
      <c r="W4841" s="12">
        <v>300000</v>
      </c>
      <c r="X4841" s="12">
        <v>1997</v>
      </c>
      <c r="Y4841" s="12">
        <v>157</v>
      </c>
      <c r="Z4841" s="12">
        <v>5.5</v>
      </c>
      <c r="AA4841" s="16"/>
      <c r="AB4841" s="12">
        <v>26</v>
      </c>
      <c r="AC4841" s="12"/>
      <c r="AD4841" s="12" t="str">
        <f>IFERROR(__xludf.DUMMYFUNCTION("""COMPUTED_VALUE"""),"Irene Dunne")</f>
        <v>Irene Dunne</v>
      </c>
      <c r="AE4841" s="12"/>
    </row>
    <row r="4842" customHeight="1" spans="1:31">
      <c r="A4842" s="11" t="s">
        <v>30</v>
      </c>
      <c r="B4842" s="11" t="s">
        <v>23083</v>
      </c>
      <c r="C4842" s="11">
        <v>13</v>
      </c>
      <c r="D4842" s="11">
        <v>109</v>
      </c>
      <c r="E4842" s="11">
        <v>3</v>
      </c>
      <c r="F4842" s="11">
        <v>25</v>
      </c>
      <c r="G4842" s="11">
        <v>54</v>
      </c>
      <c r="H4842" s="11">
        <v>5199</v>
      </c>
      <c r="I4842" s="11" t="s">
        <v>3794</v>
      </c>
      <c r="J4842" s="11" t="s">
        <v>23084</v>
      </c>
      <c r="K4842" s="11" t="s">
        <v>14967</v>
      </c>
      <c r="L4842" s="11" t="s">
        <v>23085</v>
      </c>
      <c r="M4842" s="11" t="s">
        <v>23086</v>
      </c>
      <c r="N4842" s="11">
        <v>720</v>
      </c>
      <c r="O4842" s="11">
        <v>185</v>
      </c>
      <c r="P4842" s="11">
        <v>0</v>
      </c>
      <c r="Q4842" s="11" t="s">
        <v>23087</v>
      </c>
      <c r="R4842" s="14" t="s">
        <v>23088</v>
      </c>
      <c r="S4842" s="11">
        <v>23</v>
      </c>
      <c r="T4842" s="11" t="s">
        <v>39</v>
      </c>
      <c r="U4842" s="11" t="s">
        <v>40</v>
      </c>
      <c r="V4842" s="11" t="s">
        <v>586</v>
      </c>
      <c r="W4842" s="11">
        <v>200000</v>
      </c>
      <c r="X4842" s="11">
        <v>2004</v>
      </c>
      <c r="Y4842" s="11">
        <v>53</v>
      </c>
      <c r="Z4842" s="11">
        <v>6.6</v>
      </c>
      <c r="AA4842" s="11">
        <v>2.35</v>
      </c>
      <c r="AB4842" s="11">
        <v>30</v>
      </c>
      <c r="AC4842" s="11"/>
      <c r="AD4842" s="11" t="str">
        <f>IFERROR(__xludf.DUMMYFUNCTION("""COMPUTED_VALUE"""),"Judie Aronson")</f>
        <v>Judie Aronson</v>
      </c>
      <c r="AE4842" s="11"/>
    </row>
    <row r="4843" customHeight="1" spans="1:31">
      <c r="A4843" s="12" t="s">
        <v>30</v>
      </c>
      <c r="B4843" s="12" t="s">
        <v>23089</v>
      </c>
      <c r="C4843" s="12">
        <v>8</v>
      </c>
      <c r="D4843" s="12">
        <v>90</v>
      </c>
      <c r="E4843" s="12">
        <v>0</v>
      </c>
      <c r="F4843" s="12">
        <v>32</v>
      </c>
      <c r="G4843" s="12">
        <v>502</v>
      </c>
      <c r="H4843" s="16"/>
      <c r="I4843" s="12" t="s">
        <v>60</v>
      </c>
      <c r="J4843" s="12" t="s">
        <v>23090</v>
      </c>
      <c r="K4843" s="12" t="s">
        <v>23091</v>
      </c>
      <c r="L4843" s="12" t="s">
        <v>23092</v>
      </c>
      <c r="M4843" s="12" t="s">
        <v>23093</v>
      </c>
      <c r="N4843" s="12">
        <v>476</v>
      </c>
      <c r="O4843" s="12">
        <v>689</v>
      </c>
      <c r="P4843" s="12">
        <v>0</v>
      </c>
      <c r="Q4843" s="12" t="s">
        <v>23094</v>
      </c>
      <c r="R4843" s="15" t="s">
        <v>23095</v>
      </c>
      <c r="S4843" s="12">
        <v>18</v>
      </c>
      <c r="T4843" s="12" t="s">
        <v>39</v>
      </c>
      <c r="U4843" s="12" t="s">
        <v>40</v>
      </c>
      <c r="V4843" s="12" t="s">
        <v>41</v>
      </c>
      <c r="W4843" s="12">
        <v>350000</v>
      </c>
      <c r="X4843" s="12">
        <v>2009</v>
      </c>
      <c r="Y4843" s="12">
        <v>119</v>
      </c>
      <c r="Z4843" s="12">
        <v>3.2</v>
      </c>
      <c r="AA4843" s="16"/>
      <c r="AB4843" s="12">
        <v>53</v>
      </c>
      <c r="AC4843" s="12"/>
      <c r="AD4843" s="12" t="str">
        <f>IFERROR(__xludf.DUMMYFUNCTION("""COMPUTED_VALUE"""),"Tom Everett")</f>
        <v>Tom Everett</v>
      </c>
      <c r="AE4843" s="12"/>
    </row>
    <row r="4844" customHeight="1" spans="1:31">
      <c r="A4844" s="11" t="s">
        <v>30</v>
      </c>
      <c r="B4844" s="11" t="s">
        <v>5883</v>
      </c>
      <c r="C4844" s="11">
        <v>156</v>
      </c>
      <c r="D4844" s="11">
        <v>133</v>
      </c>
      <c r="E4844" s="11">
        <v>278</v>
      </c>
      <c r="F4844" s="11">
        <v>107</v>
      </c>
      <c r="G4844" s="11">
        <v>5000</v>
      </c>
      <c r="H4844" s="11">
        <v>24343673</v>
      </c>
      <c r="I4844" s="11" t="s">
        <v>5884</v>
      </c>
      <c r="J4844" s="11" t="s">
        <v>1850</v>
      </c>
      <c r="K4844" s="11" t="s">
        <v>5885</v>
      </c>
      <c r="L4844" s="11" t="s">
        <v>5886</v>
      </c>
      <c r="M4844" s="11" t="s">
        <v>5887</v>
      </c>
      <c r="N4844" s="11">
        <v>91863</v>
      </c>
      <c r="O4844" s="11">
        <v>5405</v>
      </c>
      <c r="P4844" s="11">
        <v>0</v>
      </c>
      <c r="Q4844" s="11" t="s">
        <v>5888</v>
      </c>
      <c r="R4844" s="14" t="s">
        <v>5889</v>
      </c>
      <c r="S4844" s="11">
        <v>524</v>
      </c>
      <c r="T4844" s="11" t="s">
        <v>39</v>
      </c>
      <c r="U4844" s="11" t="s">
        <v>40</v>
      </c>
      <c r="V4844" s="11" t="s">
        <v>41</v>
      </c>
      <c r="W4844" s="11">
        <v>45000000</v>
      </c>
      <c r="X4844" s="11">
        <v>2007</v>
      </c>
      <c r="Y4844" s="11">
        <v>117</v>
      </c>
      <c r="Z4844" s="11">
        <v>7.4</v>
      </c>
      <c r="AA4844" s="11">
        <v>2.35</v>
      </c>
      <c r="AB4844" s="11">
        <v>14000</v>
      </c>
      <c r="AC4844" s="11"/>
      <c r="AD4844" s="11" t="str">
        <f>IFERROR(__xludf.DUMMYFUNCTION("""COMPUTED_VALUE"""),"Kimberly Beck")</f>
        <v>Kimberly Beck</v>
      </c>
      <c r="AE4844" s="11"/>
    </row>
    <row r="4845" customHeight="1" spans="1:31">
      <c r="A4845" s="12" t="s">
        <v>30</v>
      </c>
      <c r="B4845" s="12" t="s">
        <v>23096</v>
      </c>
      <c r="C4845" s="12">
        <v>4</v>
      </c>
      <c r="D4845" s="12">
        <v>110</v>
      </c>
      <c r="E4845" s="12">
        <v>44</v>
      </c>
      <c r="F4845" s="12">
        <v>221</v>
      </c>
      <c r="G4845" s="12">
        <v>644</v>
      </c>
      <c r="H4845" s="12">
        <v>1711</v>
      </c>
      <c r="I4845" s="12" t="s">
        <v>6200</v>
      </c>
      <c r="J4845" s="12" t="s">
        <v>23097</v>
      </c>
      <c r="K4845" s="12" t="s">
        <v>23098</v>
      </c>
      <c r="L4845" s="12" t="s">
        <v>23099</v>
      </c>
      <c r="M4845" s="12" t="s">
        <v>23100</v>
      </c>
      <c r="N4845" s="12">
        <v>82</v>
      </c>
      <c r="O4845" s="12">
        <v>1440</v>
      </c>
      <c r="P4845" s="12">
        <v>0</v>
      </c>
      <c r="Q4845" s="16"/>
      <c r="R4845" s="15" t="s">
        <v>23101</v>
      </c>
      <c r="S4845" s="12">
        <v>1</v>
      </c>
      <c r="T4845" s="12" t="s">
        <v>39</v>
      </c>
      <c r="U4845" s="12" t="s">
        <v>40</v>
      </c>
      <c r="V4845" s="16"/>
      <c r="W4845" s="16"/>
      <c r="X4845" s="12">
        <v>2015</v>
      </c>
      <c r="Y4845" s="12">
        <v>503</v>
      </c>
      <c r="Z4845" s="12">
        <v>6.6</v>
      </c>
      <c r="AA4845" s="16"/>
      <c r="AB4845" s="12">
        <v>175</v>
      </c>
      <c r="AC4845" s="12"/>
      <c r="AD4845" s="12" t="str">
        <f>IFERROR(__xludf.DUMMYFUNCTION("""COMPUTED_VALUE"""),"Joanna Kulig")</f>
        <v>Joanna Kulig</v>
      </c>
      <c r="AE4845" s="12"/>
    </row>
    <row r="4846" customHeight="1" spans="1:31">
      <c r="A4846" s="11" t="s">
        <v>30</v>
      </c>
      <c r="B4846" s="11" t="s">
        <v>23102</v>
      </c>
      <c r="C4846" s="11">
        <v>164</v>
      </c>
      <c r="D4846" s="11">
        <v>80</v>
      </c>
      <c r="E4846" s="11">
        <v>43</v>
      </c>
      <c r="F4846" s="11">
        <v>668</v>
      </c>
      <c r="G4846" s="11">
        <v>13000</v>
      </c>
      <c r="H4846" s="13"/>
      <c r="I4846" s="11" t="s">
        <v>23103</v>
      </c>
      <c r="J4846" s="11" t="s">
        <v>1785</v>
      </c>
      <c r="K4846" s="11" t="s">
        <v>4647</v>
      </c>
      <c r="L4846" s="11" t="s">
        <v>6021</v>
      </c>
      <c r="M4846" s="11" t="s">
        <v>23104</v>
      </c>
      <c r="N4846" s="11">
        <v>19875</v>
      </c>
      <c r="O4846" s="11">
        <v>14950</v>
      </c>
      <c r="P4846" s="11">
        <v>0</v>
      </c>
      <c r="Q4846" s="11" t="s">
        <v>23105</v>
      </c>
      <c r="R4846" s="14" t="s">
        <v>23106</v>
      </c>
      <c r="S4846" s="11">
        <v>147</v>
      </c>
      <c r="T4846" s="11" t="s">
        <v>39</v>
      </c>
      <c r="U4846" s="11" t="s">
        <v>40</v>
      </c>
      <c r="V4846" s="11" t="s">
        <v>586</v>
      </c>
      <c r="W4846" s="11">
        <v>300000</v>
      </c>
      <c r="X4846" s="11">
        <v>1975</v>
      </c>
      <c r="Y4846" s="11">
        <v>926</v>
      </c>
      <c r="Z4846" s="11">
        <v>6.2</v>
      </c>
      <c r="AA4846" s="11">
        <v>1.85</v>
      </c>
      <c r="AB4846" s="11">
        <v>0</v>
      </c>
      <c r="AC4846" s="11"/>
      <c r="AD4846" s="11" t="str">
        <f>IFERROR(__xludf.DUMMYFUNCTION("""COMPUTED_VALUE"""),"Agata Trzebuchowska")</f>
        <v>Agata Trzebuchowska</v>
      </c>
      <c r="AE4846" s="11"/>
    </row>
    <row r="4847" customHeight="1" spans="1:31">
      <c r="A4847" s="12" t="s">
        <v>30</v>
      </c>
      <c r="B4847" s="12" t="s">
        <v>23107</v>
      </c>
      <c r="C4847" s="12">
        <v>10</v>
      </c>
      <c r="D4847" s="12">
        <v>95</v>
      </c>
      <c r="E4847" s="12">
        <v>0</v>
      </c>
      <c r="F4847" s="12">
        <v>309</v>
      </c>
      <c r="G4847" s="12">
        <v>685</v>
      </c>
      <c r="H4847" s="12">
        <v>2468</v>
      </c>
      <c r="I4847" s="12" t="s">
        <v>10413</v>
      </c>
      <c r="J4847" s="12" t="s">
        <v>9095</v>
      </c>
      <c r="K4847" s="12" t="s">
        <v>4625</v>
      </c>
      <c r="L4847" s="12" t="s">
        <v>12543</v>
      </c>
      <c r="M4847" s="12" t="s">
        <v>23108</v>
      </c>
      <c r="N4847" s="12">
        <v>241</v>
      </c>
      <c r="O4847" s="12">
        <v>2048</v>
      </c>
      <c r="P4847" s="12">
        <v>3</v>
      </c>
      <c r="Q4847" s="12" t="s">
        <v>23109</v>
      </c>
      <c r="R4847" s="15" t="s">
        <v>23110</v>
      </c>
      <c r="S4847" s="12">
        <v>5</v>
      </c>
      <c r="T4847" s="12" t="s">
        <v>39</v>
      </c>
      <c r="U4847" s="12" t="s">
        <v>40</v>
      </c>
      <c r="V4847" s="12" t="s">
        <v>586</v>
      </c>
      <c r="W4847" s="12">
        <v>300000</v>
      </c>
      <c r="X4847" s="12">
        <v>2014</v>
      </c>
      <c r="Y4847" s="12">
        <v>665</v>
      </c>
      <c r="Z4847" s="12">
        <v>4.8</v>
      </c>
      <c r="AA4847" s="12">
        <v>1.85</v>
      </c>
      <c r="AB4847" s="12">
        <v>261</v>
      </c>
      <c r="AC4847" s="12"/>
      <c r="AD4847" s="12" t="str">
        <f>IFERROR(__xludf.DUMMYFUNCTION("""COMPUTED_VALUE"""),"Agata Kulesza")</f>
        <v>Agata Kulesza</v>
      </c>
      <c r="AE4847" s="12"/>
    </row>
    <row r="4848" customHeight="1" spans="1:31">
      <c r="A4848" s="13"/>
      <c r="B4848" s="11" t="s">
        <v>23111</v>
      </c>
      <c r="C4848" s="11">
        <v>1</v>
      </c>
      <c r="D4848" s="11">
        <v>94</v>
      </c>
      <c r="E4848" s="11">
        <v>0</v>
      </c>
      <c r="F4848" s="11">
        <v>87</v>
      </c>
      <c r="G4848" s="11">
        <v>156</v>
      </c>
      <c r="H4848" s="13"/>
      <c r="I4848" s="11" t="s">
        <v>6403</v>
      </c>
      <c r="J4848" s="11" t="s">
        <v>23112</v>
      </c>
      <c r="K4848" s="11" t="s">
        <v>23113</v>
      </c>
      <c r="L4848" s="11" t="s">
        <v>23114</v>
      </c>
      <c r="M4848" s="11" t="s">
        <v>23115</v>
      </c>
      <c r="N4848" s="11">
        <v>47</v>
      </c>
      <c r="O4848" s="11">
        <v>544</v>
      </c>
      <c r="P4848" s="11">
        <v>0</v>
      </c>
      <c r="Q4848" s="11" t="s">
        <v>23116</v>
      </c>
      <c r="R4848" s="14" t="s">
        <v>23117</v>
      </c>
      <c r="S4848" s="11">
        <v>4</v>
      </c>
      <c r="T4848" s="11" t="s">
        <v>39</v>
      </c>
      <c r="U4848" s="11" t="s">
        <v>40</v>
      </c>
      <c r="V4848" s="11" t="s">
        <v>586</v>
      </c>
      <c r="W4848" s="13"/>
      <c r="X4848" s="11">
        <v>1990</v>
      </c>
      <c r="Y4848" s="11">
        <v>102</v>
      </c>
      <c r="Z4848" s="11">
        <v>4.5</v>
      </c>
      <c r="AA4848" s="13"/>
      <c r="AB4848" s="11">
        <v>4</v>
      </c>
      <c r="AC4848" s="11"/>
      <c r="AD4848" s="11" t="str">
        <f>IFERROR(__xludf.DUMMYFUNCTION("""COMPUTED_VALUE"""),"Laurie Metcalf")</f>
        <v>Laurie Metcalf</v>
      </c>
      <c r="AE4848" s="11"/>
    </row>
    <row r="4849" customHeight="1" spans="1:31">
      <c r="A4849" s="12" t="s">
        <v>30</v>
      </c>
      <c r="B4849" s="12" t="s">
        <v>23118</v>
      </c>
      <c r="C4849" s="12">
        <v>8</v>
      </c>
      <c r="D4849" s="12">
        <v>98</v>
      </c>
      <c r="E4849" s="12">
        <v>3</v>
      </c>
      <c r="F4849" s="12">
        <v>248</v>
      </c>
      <c r="G4849" s="12">
        <v>500</v>
      </c>
      <c r="H4849" s="16"/>
      <c r="I4849" s="12" t="s">
        <v>1415</v>
      </c>
      <c r="J4849" s="12" t="s">
        <v>10724</v>
      </c>
      <c r="K4849" s="12" t="s">
        <v>23119</v>
      </c>
      <c r="L4849" s="12" t="s">
        <v>23120</v>
      </c>
      <c r="M4849" s="12" t="s">
        <v>23121</v>
      </c>
      <c r="N4849" s="12">
        <v>95</v>
      </c>
      <c r="O4849" s="12">
        <v>1545</v>
      </c>
      <c r="P4849" s="12">
        <v>7</v>
      </c>
      <c r="Q4849" s="12" t="s">
        <v>23122</v>
      </c>
      <c r="R4849" s="15" t="s">
        <v>23123</v>
      </c>
      <c r="S4849" s="12">
        <v>7</v>
      </c>
      <c r="T4849" s="12" t="s">
        <v>39</v>
      </c>
      <c r="U4849" s="12" t="s">
        <v>40</v>
      </c>
      <c r="V4849" s="12" t="s">
        <v>586</v>
      </c>
      <c r="W4849" s="12">
        <v>300000</v>
      </c>
      <c r="X4849" s="12">
        <v>2010</v>
      </c>
      <c r="Y4849" s="12">
        <v>317</v>
      </c>
      <c r="Z4849" s="12">
        <v>7.2</v>
      </c>
      <c r="AA4849" s="16"/>
      <c r="AB4849" s="12">
        <v>7</v>
      </c>
      <c r="AC4849" s="12"/>
      <c r="AD4849" s="12" t="str">
        <f>IFERROR(__xludf.DUMMYFUNCTION("""COMPUTED_VALUE"""),"Gerry Lopez")</f>
        <v>Gerry Lopez</v>
      </c>
      <c r="AE4849" s="12"/>
    </row>
    <row r="4850" customHeight="1" spans="1:31">
      <c r="A4850" s="11" t="s">
        <v>30</v>
      </c>
      <c r="B4850" s="11" t="s">
        <v>23124</v>
      </c>
      <c r="C4850" s="11">
        <v>9</v>
      </c>
      <c r="D4850" s="11">
        <v>98</v>
      </c>
      <c r="E4850" s="11">
        <v>77</v>
      </c>
      <c r="F4850" s="11">
        <v>0</v>
      </c>
      <c r="G4850" s="11">
        <v>19</v>
      </c>
      <c r="H4850" s="13"/>
      <c r="I4850" s="11" t="s">
        <v>2850</v>
      </c>
      <c r="J4850" s="11" t="s">
        <v>23125</v>
      </c>
      <c r="K4850" s="11" t="s">
        <v>23126</v>
      </c>
      <c r="L4850" s="11" t="s">
        <v>23127</v>
      </c>
      <c r="M4850" s="11" t="s">
        <v>23128</v>
      </c>
      <c r="N4850" s="11">
        <v>569</v>
      </c>
      <c r="O4850" s="11">
        <v>19</v>
      </c>
      <c r="P4850" s="11">
        <v>0</v>
      </c>
      <c r="Q4850" s="11" t="s">
        <v>23129</v>
      </c>
      <c r="R4850" s="14" t="s">
        <v>23130</v>
      </c>
      <c r="S4850" s="11">
        <v>1</v>
      </c>
      <c r="T4850" s="11" t="s">
        <v>39</v>
      </c>
      <c r="U4850" s="11" t="s">
        <v>1466</v>
      </c>
      <c r="V4850" s="11" t="s">
        <v>5614</v>
      </c>
      <c r="W4850" s="11">
        <v>500000</v>
      </c>
      <c r="X4850" s="11">
        <v>2015</v>
      </c>
      <c r="Y4850" s="11">
        <v>0</v>
      </c>
      <c r="Z4850" s="11">
        <v>4.3</v>
      </c>
      <c r="AA4850" s="11">
        <v>1.78</v>
      </c>
      <c r="AB4850" s="11">
        <v>114</v>
      </c>
      <c r="AC4850" s="11"/>
      <c r="AD4850" s="11" t="str">
        <f>IFERROR(__xludf.DUMMYFUNCTION("""COMPUTED_VALUE"""),"Gabrielle Reece")</f>
        <v>Gabrielle Reece</v>
      </c>
      <c r="AE4850" s="11"/>
    </row>
    <row r="4851" customHeight="1" spans="1:31">
      <c r="A4851" s="12" t="s">
        <v>30</v>
      </c>
      <c r="B4851" s="12" t="s">
        <v>23131</v>
      </c>
      <c r="C4851" s="12">
        <v>78</v>
      </c>
      <c r="D4851" s="12">
        <v>96</v>
      </c>
      <c r="E4851" s="12">
        <v>5</v>
      </c>
      <c r="F4851" s="12">
        <v>180</v>
      </c>
      <c r="G4851" s="12">
        <v>431</v>
      </c>
      <c r="H4851" s="16"/>
      <c r="I4851" s="12" t="s">
        <v>5104</v>
      </c>
      <c r="J4851" s="12" t="s">
        <v>16957</v>
      </c>
      <c r="K4851" s="12" t="s">
        <v>20103</v>
      </c>
      <c r="L4851" s="12" t="s">
        <v>23132</v>
      </c>
      <c r="M4851" s="12" t="s">
        <v>23133</v>
      </c>
      <c r="N4851" s="12">
        <v>1905</v>
      </c>
      <c r="O4851" s="12">
        <v>1228</v>
      </c>
      <c r="P4851" s="12">
        <v>0</v>
      </c>
      <c r="Q4851" s="12" t="s">
        <v>23134</v>
      </c>
      <c r="R4851" s="15" t="s">
        <v>23135</v>
      </c>
      <c r="S4851" s="12">
        <v>58</v>
      </c>
      <c r="T4851" s="12" t="s">
        <v>39</v>
      </c>
      <c r="U4851" s="12" t="s">
        <v>40</v>
      </c>
      <c r="V4851" s="12" t="s">
        <v>586</v>
      </c>
      <c r="W4851" s="12">
        <v>250000</v>
      </c>
      <c r="X4851" s="12">
        <v>1981</v>
      </c>
      <c r="Y4851" s="12">
        <v>338</v>
      </c>
      <c r="Z4851" s="12">
        <v>4.5</v>
      </c>
      <c r="AA4851" s="12">
        <v>1.85</v>
      </c>
      <c r="AB4851" s="12">
        <v>249</v>
      </c>
      <c r="AC4851" s="12"/>
      <c r="AD4851" s="12" t="str">
        <f>IFERROR(__xludf.DUMMYFUNCTION("""COMPUTED_VALUE"""),"Laird John Hamilton")</f>
        <v>Laird John Hamilton</v>
      </c>
      <c r="AE4851" s="12"/>
    </row>
    <row r="4852" customHeight="1" spans="1:31">
      <c r="A4852" s="11" t="s">
        <v>30</v>
      </c>
      <c r="B4852" s="11" t="s">
        <v>23136</v>
      </c>
      <c r="C4852" s="11">
        <v>131</v>
      </c>
      <c r="D4852" s="11">
        <v>97</v>
      </c>
      <c r="E4852" s="11">
        <v>19</v>
      </c>
      <c r="F4852" s="11">
        <v>313</v>
      </c>
      <c r="G4852" s="11">
        <v>778</v>
      </c>
      <c r="H4852" s="13"/>
      <c r="I4852" s="11" t="s">
        <v>23137</v>
      </c>
      <c r="J4852" s="11" t="s">
        <v>4367</v>
      </c>
      <c r="K4852" s="11" t="s">
        <v>11828</v>
      </c>
      <c r="L4852" s="11" t="s">
        <v>23138</v>
      </c>
      <c r="M4852" s="11" t="s">
        <v>23139</v>
      </c>
      <c r="N4852" s="11">
        <v>4550</v>
      </c>
      <c r="O4852" s="11">
        <v>2515</v>
      </c>
      <c r="P4852" s="11">
        <v>2</v>
      </c>
      <c r="Q4852" s="13"/>
      <c r="R4852" s="14" t="s">
        <v>23140</v>
      </c>
      <c r="S4852" s="11">
        <v>58</v>
      </c>
      <c r="T4852" s="11" t="s">
        <v>39</v>
      </c>
      <c r="U4852" s="11" t="s">
        <v>40</v>
      </c>
      <c r="V4852" s="11" t="s">
        <v>586</v>
      </c>
      <c r="W4852" s="11">
        <v>300000</v>
      </c>
      <c r="X4852" s="11">
        <v>2011</v>
      </c>
      <c r="Y4852" s="11">
        <v>456</v>
      </c>
      <c r="Z4852" s="11">
        <v>6.4</v>
      </c>
      <c r="AA4852" s="11">
        <v>1.85</v>
      </c>
      <c r="AB4852" s="11">
        <v>0</v>
      </c>
      <c r="AC4852" s="11"/>
      <c r="AD4852" s="11" t="str">
        <f>IFERROR(__xludf.DUMMYFUNCTION("""COMPUTED_VALUE"""),"Karra Elejalde")</f>
        <v>Karra Elejalde</v>
      </c>
      <c r="AE4852" s="11"/>
    </row>
    <row r="4853" customHeight="1" spans="1:31">
      <c r="A4853" s="12" t="s">
        <v>30</v>
      </c>
      <c r="B4853" s="12" t="s">
        <v>23141</v>
      </c>
      <c r="C4853" s="12">
        <v>286</v>
      </c>
      <c r="D4853" s="12">
        <v>90</v>
      </c>
      <c r="E4853" s="12">
        <v>25</v>
      </c>
      <c r="F4853" s="12">
        <v>235</v>
      </c>
      <c r="G4853" s="12">
        <v>601</v>
      </c>
      <c r="H4853" s="12">
        <v>318622</v>
      </c>
      <c r="I4853" s="12" t="s">
        <v>5685</v>
      </c>
      <c r="J4853" s="12" t="s">
        <v>9382</v>
      </c>
      <c r="K4853" s="12" t="s">
        <v>12350</v>
      </c>
      <c r="L4853" s="12" t="s">
        <v>23142</v>
      </c>
      <c r="M4853" s="12" t="s">
        <v>23143</v>
      </c>
      <c r="N4853" s="12">
        <v>24668</v>
      </c>
      <c r="O4853" s="12">
        <v>1734</v>
      </c>
      <c r="P4853" s="12">
        <v>0</v>
      </c>
      <c r="Q4853" s="12" t="s">
        <v>23144</v>
      </c>
      <c r="R4853" s="15" t="s">
        <v>23145</v>
      </c>
      <c r="S4853" s="12">
        <v>175</v>
      </c>
      <c r="T4853" s="12" t="s">
        <v>39</v>
      </c>
      <c r="U4853" s="12" t="s">
        <v>40</v>
      </c>
      <c r="V4853" s="12" t="s">
        <v>586</v>
      </c>
      <c r="W4853" s="12">
        <v>270000</v>
      </c>
      <c r="X4853" s="12">
        <v>2012</v>
      </c>
      <c r="Y4853" s="12">
        <v>260</v>
      </c>
      <c r="Z4853" s="12">
        <v>6.4</v>
      </c>
      <c r="AA4853" s="12">
        <v>2.35</v>
      </c>
      <c r="AB4853" s="12">
        <v>0</v>
      </c>
      <c r="AC4853" s="12"/>
      <c r="AD4853" s="12" t="str">
        <f>IFERROR(__xludf.DUMMYFUNCTION("""COMPUTED_VALUE"""),"Nacho Vigalondo")</f>
        <v>Nacho Vigalondo</v>
      </c>
      <c r="AE4853" s="12"/>
    </row>
    <row r="4854" customHeight="1" spans="1:31">
      <c r="A4854" s="11" t="s">
        <v>30</v>
      </c>
      <c r="B4854" s="11" t="s">
        <v>7135</v>
      </c>
      <c r="C4854" s="11">
        <v>147</v>
      </c>
      <c r="D4854" s="11">
        <v>113</v>
      </c>
      <c r="E4854" s="11">
        <v>0</v>
      </c>
      <c r="F4854" s="11">
        <v>781</v>
      </c>
      <c r="G4854" s="11">
        <v>13000</v>
      </c>
      <c r="H4854" s="11">
        <v>12006514</v>
      </c>
      <c r="I4854" s="11" t="s">
        <v>1415</v>
      </c>
      <c r="J4854" s="11" t="s">
        <v>1158</v>
      </c>
      <c r="K4854" s="11" t="s">
        <v>2084</v>
      </c>
      <c r="L4854" s="11" t="s">
        <v>8089</v>
      </c>
      <c r="M4854" s="11" t="s">
        <v>23146</v>
      </c>
      <c r="N4854" s="11">
        <v>114070</v>
      </c>
      <c r="O4854" s="11">
        <v>15765</v>
      </c>
      <c r="P4854" s="11">
        <v>5</v>
      </c>
      <c r="Q4854" s="11" t="s">
        <v>23147</v>
      </c>
      <c r="R4854" s="14" t="s">
        <v>23148</v>
      </c>
      <c r="S4854" s="11">
        <v>500</v>
      </c>
      <c r="T4854" s="11" t="s">
        <v>39</v>
      </c>
      <c r="U4854" s="11" t="s">
        <v>40</v>
      </c>
      <c r="V4854" s="11" t="s">
        <v>586</v>
      </c>
      <c r="W4854" s="11">
        <v>250000</v>
      </c>
      <c r="X4854" s="11">
        <v>1997</v>
      </c>
      <c r="Y4854" s="11">
        <v>1000</v>
      </c>
      <c r="Z4854" s="11">
        <v>7.3</v>
      </c>
      <c r="AA4854" s="11">
        <v>1.85</v>
      </c>
      <c r="AB4854" s="11">
        <v>0</v>
      </c>
      <c r="AC4854" s="11"/>
      <c r="AD4854" s="11" t="str">
        <f>IFERROR(__xludf.DUMMYFUNCTION("""COMPUTED_VALUE"""),"Bárbara Goenaga")</f>
        <v>Bárbara Goenaga</v>
      </c>
      <c r="AE4854" s="11"/>
    </row>
    <row r="4855" customHeight="1" spans="1:31">
      <c r="A4855" s="12" t="s">
        <v>30</v>
      </c>
      <c r="B4855" s="12" t="s">
        <v>16101</v>
      </c>
      <c r="C4855" s="12">
        <v>71</v>
      </c>
      <c r="D4855" s="12">
        <v>91</v>
      </c>
      <c r="E4855" s="12">
        <v>132</v>
      </c>
      <c r="F4855" s="12">
        <v>225</v>
      </c>
      <c r="G4855" s="12">
        <v>400</v>
      </c>
      <c r="H4855" s="12">
        <v>4186931</v>
      </c>
      <c r="I4855" s="12" t="s">
        <v>1415</v>
      </c>
      <c r="J4855" s="12" t="s">
        <v>8474</v>
      </c>
      <c r="K4855" s="12" t="s">
        <v>8312</v>
      </c>
      <c r="L4855" s="12" t="s">
        <v>23149</v>
      </c>
      <c r="M4855" s="12" t="s">
        <v>23150</v>
      </c>
      <c r="N4855" s="12">
        <v>6041</v>
      </c>
      <c r="O4855" s="12">
        <v>1330</v>
      </c>
      <c r="P4855" s="12">
        <v>3</v>
      </c>
      <c r="Q4855" s="12" t="s">
        <v>23151</v>
      </c>
      <c r="R4855" s="15" t="s">
        <v>23152</v>
      </c>
      <c r="S4855" s="12">
        <v>85</v>
      </c>
      <c r="T4855" s="12" t="s">
        <v>39</v>
      </c>
      <c r="U4855" s="12" t="s">
        <v>40</v>
      </c>
      <c r="V4855" s="12" t="s">
        <v>586</v>
      </c>
      <c r="W4855" s="12">
        <v>250000</v>
      </c>
      <c r="X4855" s="12">
        <v>2001</v>
      </c>
      <c r="Y4855" s="12">
        <v>286</v>
      </c>
      <c r="Z4855" s="12">
        <v>6.9</v>
      </c>
      <c r="AA4855" s="12">
        <v>1.85</v>
      </c>
      <c r="AB4855" s="12">
        <v>169</v>
      </c>
      <c r="AC4855" s="12"/>
      <c r="AD4855" s="12" t="str">
        <f>IFERROR(__xludf.DUMMYFUNCTION("""COMPUTED_VALUE"""),"Bo Huang")</f>
        <v>Bo Huang</v>
      </c>
      <c r="AE4855" s="12"/>
    </row>
    <row r="4856" customHeight="1" spans="1:31">
      <c r="A4856" s="11" t="s">
        <v>30</v>
      </c>
      <c r="B4856" s="11" t="s">
        <v>23153</v>
      </c>
      <c r="C4856" s="13"/>
      <c r="D4856" s="11">
        <v>90</v>
      </c>
      <c r="E4856" s="11">
        <v>2</v>
      </c>
      <c r="F4856" s="11">
        <v>99</v>
      </c>
      <c r="G4856" s="11">
        <v>466</v>
      </c>
      <c r="H4856" s="13"/>
      <c r="I4856" s="11" t="s">
        <v>23154</v>
      </c>
      <c r="J4856" s="11" t="s">
        <v>23155</v>
      </c>
      <c r="K4856" s="11" t="s">
        <v>11133</v>
      </c>
      <c r="L4856" s="11" t="s">
        <v>23156</v>
      </c>
      <c r="M4856" s="11" t="s">
        <v>23157</v>
      </c>
      <c r="N4856" s="11">
        <v>30</v>
      </c>
      <c r="O4856" s="11">
        <v>842</v>
      </c>
      <c r="P4856" s="11">
        <v>2</v>
      </c>
      <c r="Q4856" s="11" t="s">
        <v>23158</v>
      </c>
      <c r="R4856" s="14" t="s">
        <v>23159</v>
      </c>
      <c r="S4856" s="13"/>
      <c r="T4856" s="11" t="s">
        <v>39</v>
      </c>
      <c r="U4856" s="11" t="s">
        <v>40</v>
      </c>
      <c r="V4856" s="11" t="s">
        <v>586</v>
      </c>
      <c r="W4856" s="11">
        <v>290000</v>
      </c>
      <c r="X4856" s="11">
        <v>2010</v>
      </c>
      <c r="Y4856" s="11">
        <v>216</v>
      </c>
      <c r="Z4856" s="11">
        <v>4.3</v>
      </c>
      <c r="AA4856" s="11">
        <v>1.85</v>
      </c>
      <c r="AB4856" s="11">
        <v>16</v>
      </c>
      <c r="AC4856" s="11"/>
      <c r="AD4856" s="11" t="str">
        <f>IFERROR(__xludf.DUMMYFUNCTION("""COMPUTED_VALUE"""),"Zheng Xu")</f>
        <v>Zheng Xu</v>
      </c>
      <c r="AE4856" s="11"/>
    </row>
    <row r="4857" customHeight="1" spans="1:31">
      <c r="A4857" s="12" t="s">
        <v>30</v>
      </c>
      <c r="B4857" s="12" t="s">
        <v>409</v>
      </c>
      <c r="C4857" s="12">
        <v>51</v>
      </c>
      <c r="D4857" s="12">
        <v>98</v>
      </c>
      <c r="E4857" s="12">
        <v>681</v>
      </c>
      <c r="F4857" s="12">
        <v>13</v>
      </c>
      <c r="G4857" s="12">
        <v>94</v>
      </c>
      <c r="H4857" s="12">
        <v>3799339</v>
      </c>
      <c r="I4857" s="12" t="s">
        <v>4824</v>
      </c>
      <c r="J4857" s="12" t="s">
        <v>23160</v>
      </c>
      <c r="K4857" s="12" t="s">
        <v>23161</v>
      </c>
      <c r="L4857" s="12" t="s">
        <v>23162</v>
      </c>
      <c r="M4857" s="12" t="s">
        <v>23163</v>
      </c>
      <c r="N4857" s="12">
        <v>8000</v>
      </c>
      <c r="O4857" s="12">
        <v>139</v>
      </c>
      <c r="P4857" s="12">
        <v>1</v>
      </c>
      <c r="Q4857" s="12" t="s">
        <v>23164</v>
      </c>
      <c r="R4857" s="15" t="s">
        <v>23165</v>
      </c>
      <c r="S4857" s="12">
        <v>138</v>
      </c>
      <c r="T4857" s="12" t="s">
        <v>39</v>
      </c>
      <c r="U4857" s="12" t="s">
        <v>40</v>
      </c>
      <c r="V4857" s="12" t="s">
        <v>586</v>
      </c>
      <c r="W4857" s="12">
        <v>250000</v>
      </c>
      <c r="X4857" s="12">
        <v>2002</v>
      </c>
      <c r="Y4857" s="12">
        <v>26</v>
      </c>
      <c r="Z4857" s="12">
        <v>7.2</v>
      </c>
      <c r="AA4857" s="12">
        <v>1.85</v>
      </c>
      <c r="AB4857" s="12">
        <v>661</v>
      </c>
      <c r="AC4857" s="12"/>
      <c r="AD4857" s="12" t="str">
        <f>IFERROR(__xludf.DUMMYFUNCTION("""COMPUTED_VALUE"""),"Cyd Charisse")</f>
        <v>Cyd Charisse</v>
      </c>
      <c r="AE4857" s="12"/>
    </row>
    <row r="4858" customHeight="1" spans="1:31">
      <c r="A4858" s="11" t="s">
        <v>30</v>
      </c>
      <c r="B4858" s="11" t="s">
        <v>23166</v>
      </c>
      <c r="C4858" s="11">
        <v>23</v>
      </c>
      <c r="D4858" s="11">
        <v>94</v>
      </c>
      <c r="E4858" s="11">
        <v>4</v>
      </c>
      <c r="F4858" s="11">
        <v>10</v>
      </c>
      <c r="G4858" s="11">
        <v>360</v>
      </c>
      <c r="H4858" s="11">
        <v>1977544</v>
      </c>
      <c r="I4858" s="11" t="s">
        <v>1415</v>
      </c>
      <c r="J4858" s="11" t="s">
        <v>12915</v>
      </c>
      <c r="K4858" s="11" t="s">
        <v>16175</v>
      </c>
      <c r="L4858" s="11" t="s">
        <v>23167</v>
      </c>
      <c r="M4858" s="11" t="s">
        <v>23168</v>
      </c>
      <c r="N4858" s="11">
        <v>3513</v>
      </c>
      <c r="O4858" s="11">
        <v>656</v>
      </c>
      <c r="P4858" s="11">
        <v>0</v>
      </c>
      <c r="Q4858" s="11" t="s">
        <v>23169</v>
      </c>
      <c r="R4858" s="14" t="s">
        <v>23170</v>
      </c>
      <c r="S4858" s="11">
        <v>36</v>
      </c>
      <c r="T4858" s="11" t="s">
        <v>39</v>
      </c>
      <c r="U4858" s="11" t="s">
        <v>40</v>
      </c>
      <c r="V4858" s="11" t="s">
        <v>586</v>
      </c>
      <c r="W4858" s="11">
        <v>250000</v>
      </c>
      <c r="X4858" s="11">
        <v>1995</v>
      </c>
      <c r="Y4858" s="11">
        <v>273</v>
      </c>
      <c r="Z4858" s="11">
        <v>6.5</v>
      </c>
      <c r="AA4858" s="11">
        <v>1.85</v>
      </c>
      <c r="AB4858" s="11">
        <v>423</v>
      </c>
      <c r="AC4858" s="11"/>
      <c r="AD4858" s="11" t="str">
        <f>IFERROR(__xludf.DUMMYFUNCTION("""COMPUTED_VALUE"""),"Joe Cross")</f>
        <v>Joe Cross</v>
      </c>
      <c r="AE4858" s="11"/>
    </row>
    <row r="4859" customHeight="1" spans="1:31">
      <c r="A4859" s="12" t="s">
        <v>30</v>
      </c>
      <c r="B4859" s="12" t="s">
        <v>8951</v>
      </c>
      <c r="C4859" s="12">
        <v>59</v>
      </c>
      <c r="D4859" s="12">
        <v>96</v>
      </c>
      <c r="E4859" s="12">
        <v>44</v>
      </c>
      <c r="F4859" s="12">
        <v>129</v>
      </c>
      <c r="G4859" s="12">
        <v>625</v>
      </c>
      <c r="H4859" s="12">
        <v>1050600</v>
      </c>
      <c r="I4859" s="12" t="s">
        <v>2528</v>
      </c>
      <c r="J4859" s="12" t="s">
        <v>5018</v>
      </c>
      <c r="K4859" s="12" t="s">
        <v>10696</v>
      </c>
      <c r="L4859" s="12" t="s">
        <v>199</v>
      </c>
      <c r="M4859" s="12" t="s">
        <v>23171</v>
      </c>
      <c r="N4859" s="12">
        <v>4662</v>
      </c>
      <c r="O4859" s="12">
        <v>1378</v>
      </c>
      <c r="P4859" s="12">
        <v>0</v>
      </c>
      <c r="Q4859" s="12" t="s">
        <v>23172</v>
      </c>
      <c r="R4859" s="15" t="s">
        <v>23173</v>
      </c>
      <c r="S4859" s="12">
        <v>136</v>
      </c>
      <c r="T4859" s="12" t="s">
        <v>39</v>
      </c>
      <c r="U4859" s="12" t="s">
        <v>40</v>
      </c>
      <c r="V4859" s="12" t="s">
        <v>586</v>
      </c>
      <c r="W4859" s="12">
        <v>250000</v>
      </c>
      <c r="X4859" s="12">
        <v>2000</v>
      </c>
      <c r="Y4859" s="12">
        <v>487</v>
      </c>
      <c r="Z4859" s="12">
        <v>6.6</v>
      </c>
      <c r="AA4859" s="12">
        <v>1.85</v>
      </c>
      <c r="AB4859" s="12">
        <v>170</v>
      </c>
      <c r="AC4859" s="12"/>
      <c r="AD4859" s="12" t="str">
        <f>IFERROR(__xludf.DUMMYFUNCTION("""COMPUTED_VALUE"""),"Joel Fuhrman")</f>
        <v>Joel Fuhrman</v>
      </c>
      <c r="AE4859" s="12"/>
    </row>
    <row r="4860" customHeight="1" spans="1:31">
      <c r="A4860" s="11" t="s">
        <v>30</v>
      </c>
      <c r="B4860" s="11" t="s">
        <v>23174</v>
      </c>
      <c r="C4860" s="11">
        <v>9</v>
      </c>
      <c r="D4860" s="11">
        <v>100</v>
      </c>
      <c r="E4860" s="11">
        <v>0</v>
      </c>
      <c r="F4860" s="11">
        <v>51</v>
      </c>
      <c r="G4860" s="11">
        <v>250</v>
      </c>
      <c r="H4860" s="11">
        <v>902835</v>
      </c>
      <c r="I4860" s="11" t="s">
        <v>1415</v>
      </c>
      <c r="J4860" s="11" t="s">
        <v>23175</v>
      </c>
      <c r="K4860" s="11" t="s">
        <v>23176</v>
      </c>
      <c r="L4860" s="11" t="s">
        <v>23177</v>
      </c>
      <c r="M4860" s="11" t="s">
        <v>23178</v>
      </c>
      <c r="N4860" s="11">
        <v>1489</v>
      </c>
      <c r="O4860" s="11">
        <v>454</v>
      </c>
      <c r="P4860" s="11">
        <v>2</v>
      </c>
      <c r="Q4860" s="11" t="s">
        <v>23179</v>
      </c>
      <c r="R4860" s="14" t="s">
        <v>23180</v>
      </c>
      <c r="S4860" s="11">
        <v>40</v>
      </c>
      <c r="T4860" s="11" t="s">
        <v>39</v>
      </c>
      <c r="U4860" s="11" t="s">
        <v>40</v>
      </c>
      <c r="V4860" s="11" t="s">
        <v>5614</v>
      </c>
      <c r="W4860" s="11">
        <v>250000</v>
      </c>
      <c r="X4860" s="11">
        <v>2001</v>
      </c>
      <c r="Y4860" s="11">
        <v>89</v>
      </c>
      <c r="Z4860" s="11">
        <v>6.7</v>
      </c>
      <c r="AA4860" s="11">
        <v>1.85</v>
      </c>
      <c r="AB4860" s="11">
        <v>133</v>
      </c>
      <c r="AC4860" s="11"/>
      <c r="AD4860" s="11" t="str">
        <f>IFERROR(__xludf.DUMMYFUNCTION("""COMPUTED_VALUE"""),"Amy Badberg")</f>
        <v>Amy Badberg</v>
      </c>
      <c r="AE4860" s="11"/>
    </row>
    <row r="4861" customHeight="1" spans="1:31">
      <c r="A4861" s="12" t="s">
        <v>30</v>
      </c>
      <c r="B4861" s="12" t="s">
        <v>23181</v>
      </c>
      <c r="C4861" s="16"/>
      <c r="D4861" s="12">
        <v>90</v>
      </c>
      <c r="E4861" s="12">
        <v>0</v>
      </c>
      <c r="F4861" s="12">
        <v>185</v>
      </c>
      <c r="G4861" s="12">
        <v>569</v>
      </c>
      <c r="H4861" s="16"/>
      <c r="I4861" s="12" t="s">
        <v>15140</v>
      </c>
      <c r="J4861" s="12" t="s">
        <v>23182</v>
      </c>
      <c r="K4861" s="12" t="s">
        <v>23183</v>
      </c>
      <c r="L4861" s="12" t="s">
        <v>23184</v>
      </c>
      <c r="M4861" s="12" t="s">
        <v>23185</v>
      </c>
      <c r="N4861" s="12">
        <v>28</v>
      </c>
      <c r="O4861" s="12">
        <v>1461</v>
      </c>
      <c r="P4861" s="12">
        <v>0</v>
      </c>
      <c r="Q4861" s="16"/>
      <c r="R4861" s="15" t="s">
        <v>23186</v>
      </c>
      <c r="S4861" s="16"/>
      <c r="T4861" s="12" t="s">
        <v>39</v>
      </c>
      <c r="U4861" s="12" t="s">
        <v>40</v>
      </c>
      <c r="V4861" s="16"/>
      <c r="W4861" s="12">
        <v>300000</v>
      </c>
      <c r="X4861" s="12">
        <v>2014</v>
      </c>
      <c r="Y4861" s="12">
        <v>553</v>
      </c>
      <c r="Z4861" s="12">
        <v>4.3</v>
      </c>
      <c r="AA4861" s="16"/>
      <c r="AB4861" s="12">
        <v>17</v>
      </c>
      <c r="AC4861" s="12"/>
      <c r="AD4861" s="12" t="str">
        <f>IFERROR(__xludf.DUMMYFUNCTION("""COMPUTED_VALUE"""),"Barack Obama")</f>
        <v>Barack Obama</v>
      </c>
      <c r="AE4861" s="12"/>
    </row>
    <row r="4862" customHeight="1" spans="1:31">
      <c r="A4862" s="11" t="s">
        <v>30</v>
      </c>
      <c r="B4862" s="11" t="s">
        <v>8554</v>
      </c>
      <c r="C4862" s="11">
        <v>99</v>
      </c>
      <c r="D4862" s="11">
        <v>90</v>
      </c>
      <c r="E4862" s="11">
        <v>165</v>
      </c>
      <c r="F4862" s="11">
        <v>319</v>
      </c>
      <c r="G4862" s="11">
        <v>686</v>
      </c>
      <c r="H4862" s="11">
        <v>489220</v>
      </c>
      <c r="I4862" s="11" t="s">
        <v>5033</v>
      </c>
      <c r="J4862" s="11" t="s">
        <v>8556</v>
      </c>
      <c r="K4862" s="11" t="s">
        <v>7954</v>
      </c>
      <c r="L4862" s="11" t="s">
        <v>13071</v>
      </c>
      <c r="M4862" s="11" t="s">
        <v>23187</v>
      </c>
      <c r="N4862" s="11">
        <v>160511</v>
      </c>
      <c r="O4862" s="11">
        <v>1743</v>
      </c>
      <c r="P4862" s="11">
        <v>0</v>
      </c>
      <c r="Q4862" s="11" t="s">
        <v>23188</v>
      </c>
      <c r="R4862" s="14" t="s">
        <v>23189</v>
      </c>
      <c r="S4862" s="11">
        <v>696</v>
      </c>
      <c r="T4862" s="11" t="s">
        <v>39</v>
      </c>
      <c r="U4862" s="11" t="s">
        <v>269</v>
      </c>
      <c r="V4862" s="11" t="s">
        <v>586</v>
      </c>
      <c r="W4862" s="11">
        <v>365000</v>
      </c>
      <c r="X4862" s="11">
        <v>1997</v>
      </c>
      <c r="Y4862" s="11">
        <v>648</v>
      </c>
      <c r="Z4862" s="11">
        <v>7.3</v>
      </c>
      <c r="AA4862" s="11">
        <v>1.85</v>
      </c>
      <c r="AB4862" s="11">
        <v>11000</v>
      </c>
      <c r="AC4862" s="11"/>
      <c r="AD4862" s="11" t="str">
        <f>IFERROR(__xludf.DUMMYFUNCTION("""COMPUTED_VALUE"""),"Zackary Steven Graham")</f>
        <v>Zackary Steven Graham</v>
      </c>
      <c r="AE4862" s="11"/>
    </row>
    <row r="4863" customHeight="1" spans="1:31">
      <c r="A4863" s="12" t="s">
        <v>30</v>
      </c>
      <c r="B4863" s="12" t="s">
        <v>23190</v>
      </c>
      <c r="C4863" s="12">
        <v>21</v>
      </c>
      <c r="D4863" s="12">
        <v>76</v>
      </c>
      <c r="E4863" s="12">
        <v>0</v>
      </c>
      <c r="F4863" s="12">
        <v>62</v>
      </c>
      <c r="G4863" s="12">
        <v>991</v>
      </c>
      <c r="H4863" s="12">
        <v>212285</v>
      </c>
      <c r="I4863" s="12" t="s">
        <v>1681</v>
      </c>
      <c r="J4863" s="12" t="s">
        <v>3373</v>
      </c>
      <c r="K4863" s="12" t="s">
        <v>3799</v>
      </c>
      <c r="L4863" s="12" t="s">
        <v>23191</v>
      </c>
      <c r="M4863" s="12" t="s">
        <v>23192</v>
      </c>
      <c r="N4863" s="12">
        <v>1727</v>
      </c>
      <c r="O4863" s="12">
        <v>1661</v>
      </c>
      <c r="P4863" s="12">
        <v>1</v>
      </c>
      <c r="Q4863" s="12" t="s">
        <v>23193</v>
      </c>
      <c r="R4863" s="15" t="s">
        <v>23194</v>
      </c>
      <c r="S4863" s="12">
        <v>21</v>
      </c>
      <c r="T4863" s="12" t="s">
        <v>39</v>
      </c>
      <c r="U4863" s="12" t="s">
        <v>371</v>
      </c>
      <c r="V4863" s="12" t="s">
        <v>586</v>
      </c>
      <c r="W4863" s="12">
        <v>250000</v>
      </c>
      <c r="X4863" s="12">
        <v>1996</v>
      </c>
      <c r="Y4863" s="12">
        <v>575</v>
      </c>
      <c r="Z4863" s="12">
        <v>6.4</v>
      </c>
      <c r="AA4863" s="16"/>
      <c r="AB4863" s="12">
        <v>46</v>
      </c>
      <c r="AC4863" s="12"/>
      <c r="AD4863" s="12" t="str">
        <f>IFERROR(__xludf.DUMMYFUNCTION("""COMPUTED_VALUE"""),"Dinesh D'Souza")</f>
        <v>Dinesh D'Souza</v>
      </c>
      <c r="AE4863" s="12"/>
    </row>
    <row r="4864" customHeight="1" spans="1:31">
      <c r="A4864" s="11" t="s">
        <v>30</v>
      </c>
      <c r="B4864" s="11" t="s">
        <v>23195</v>
      </c>
      <c r="C4864" s="11">
        <v>19</v>
      </c>
      <c r="D4864" s="11">
        <v>75</v>
      </c>
      <c r="E4864" s="11">
        <v>45</v>
      </c>
      <c r="F4864" s="11">
        <v>0</v>
      </c>
      <c r="G4864" s="11">
        <v>5</v>
      </c>
      <c r="H4864" s="11">
        <v>203134</v>
      </c>
      <c r="I4864" s="11" t="s">
        <v>23196</v>
      </c>
      <c r="J4864" s="11" t="s">
        <v>23197</v>
      </c>
      <c r="K4864" s="11" t="s">
        <v>23198</v>
      </c>
      <c r="L4864" s="11" t="s">
        <v>23199</v>
      </c>
      <c r="M4864" s="11" t="s">
        <v>23200</v>
      </c>
      <c r="N4864" s="11">
        <v>1428</v>
      </c>
      <c r="O4864" s="11">
        <v>7</v>
      </c>
      <c r="P4864" s="11">
        <v>0</v>
      </c>
      <c r="Q4864" s="11" t="s">
        <v>23201</v>
      </c>
      <c r="R4864" s="14" t="s">
        <v>23202</v>
      </c>
      <c r="S4864" s="11">
        <v>21</v>
      </c>
      <c r="T4864" s="11" t="s">
        <v>39</v>
      </c>
      <c r="U4864" s="11" t="s">
        <v>40</v>
      </c>
      <c r="V4864" s="11" t="s">
        <v>586</v>
      </c>
      <c r="W4864" s="11">
        <v>250000</v>
      </c>
      <c r="X4864" s="11">
        <v>1997</v>
      </c>
      <c r="Y4864" s="11">
        <v>2</v>
      </c>
      <c r="Z4864" s="11">
        <v>7</v>
      </c>
      <c r="AA4864" s="11">
        <v>1.85</v>
      </c>
      <c r="AB4864" s="11">
        <v>178</v>
      </c>
      <c r="AC4864" s="11"/>
      <c r="AD4864" s="11" t="str">
        <f>IFERROR(__xludf.DUMMYFUNCTION("""COMPUTED_VALUE"""),"Nancy Kyes")</f>
        <v>Nancy Kyes</v>
      </c>
      <c r="AE4864" s="11"/>
    </row>
    <row r="4865" customHeight="1" spans="1:31">
      <c r="A4865" s="12" t="s">
        <v>30</v>
      </c>
      <c r="B4865" s="12" t="s">
        <v>22563</v>
      </c>
      <c r="C4865" s="12">
        <v>43</v>
      </c>
      <c r="D4865" s="12">
        <v>78</v>
      </c>
      <c r="E4865" s="12">
        <v>7</v>
      </c>
      <c r="F4865" s="12">
        <v>142</v>
      </c>
      <c r="G4865" s="12">
        <v>308</v>
      </c>
      <c r="H4865" s="12">
        <v>191309</v>
      </c>
      <c r="I4865" s="12" t="s">
        <v>1924</v>
      </c>
      <c r="J4865" s="12" t="s">
        <v>23203</v>
      </c>
      <c r="K4865" s="12" t="s">
        <v>6639</v>
      </c>
      <c r="L4865" s="12" t="s">
        <v>7984</v>
      </c>
      <c r="M4865" s="12" t="s">
        <v>23204</v>
      </c>
      <c r="N4865" s="12">
        <v>2787</v>
      </c>
      <c r="O4865" s="12">
        <v>1008</v>
      </c>
      <c r="P4865" s="12">
        <v>1</v>
      </c>
      <c r="Q4865" s="12" t="s">
        <v>23205</v>
      </c>
      <c r="R4865" s="15" t="s">
        <v>23206</v>
      </c>
      <c r="S4865" s="12">
        <v>64</v>
      </c>
      <c r="T4865" s="12" t="s">
        <v>39</v>
      </c>
      <c r="U4865" s="12" t="s">
        <v>40</v>
      </c>
      <c r="V4865" s="12" t="s">
        <v>586</v>
      </c>
      <c r="W4865" s="12">
        <v>150000</v>
      </c>
      <c r="X4865" s="12">
        <v>2004</v>
      </c>
      <c r="Y4865" s="12">
        <v>249</v>
      </c>
      <c r="Z4865" s="12">
        <v>5.5</v>
      </c>
      <c r="AA4865" s="12">
        <v>1.85</v>
      </c>
      <c r="AB4865" s="12">
        <v>98</v>
      </c>
      <c r="AC4865" s="12"/>
      <c r="AD4865" s="12" t="str">
        <f>IFERROR(__xludf.DUMMYFUNCTION("""COMPUTED_VALUE"""),"Sal Mineo")</f>
        <v>Sal Mineo</v>
      </c>
      <c r="AE4865" s="12"/>
    </row>
    <row r="4866" customHeight="1" spans="1:31">
      <c r="A4866" s="11" t="s">
        <v>30</v>
      </c>
      <c r="B4866" s="11" t="s">
        <v>23207</v>
      </c>
      <c r="C4866" s="11">
        <v>206</v>
      </c>
      <c r="D4866" s="11">
        <v>90</v>
      </c>
      <c r="E4866" s="11">
        <v>52</v>
      </c>
      <c r="F4866" s="11">
        <v>224</v>
      </c>
      <c r="G4866" s="11">
        <v>34000</v>
      </c>
      <c r="H4866" s="11">
        <v>3388210</v>
      </c>
      <c r="I4866" s="11" t="s">
        <v>214</v>
      </c>
      <c r="J4866" s="11" t="s">
        <v>348</v>
      </c>
      <c r="K4866" s="11" t="s">
        <v>23208</v>
      </c>
      <c r="L4866" s="11" t="s">
        <v>23209</v>
      </c>
      <c r="M4866" s="11" t="s">
        <v>23210</v>
      </c>
      <c r="N4866" s="11">
        <v>46813</v>
      </c>
      <c r="O4866" s="11">
        <v>34983</v>
      </c>
      <c r="P4866" s="11">
        <v>1</v>
      </c>
      <c r="Q4866" s="11" t="s">
        <v>23211</v>
      </c>
      <c r="R4866" s="14" t="s">
        <v>23212</v>
      </c>
      <c r="S4866" s="11">
        <v>150</v>
      </c>
      <c r="T4866" s="11" t="s">
        <v>39</v>
      </c>
      <c r="U4866" s="11" t="s">
        <v>40</v>
      </c>
      <c r="V4866" s="11" t="s">
        <v>41</v>
      </c>
      <c r="W4866" s="11">
        <v>250000</v>
      </c>
      <c r="X4866" s="11">
        <v>2011</v>
      </c>
      <c r="Y4866" s="11">
        <v>487</v>
      </c>
      <c r="Z4866" s="11">
        <v>6.7</v>
      </c>
      <c r="AA4866" s="11">
        <v>1.78</v>
      </c>
      <c r="AB4866" s="11">
        <v>12000</v>
      </c>
      <c r="AC4866" s="11"/>
      <c r="AD4866" s="11" t="str">
        <f>IFERROR(__xludf.DUMMYFUNCTION("""COMPUTED_VALUE"""),"Melvyn Douglas")</f>
        <v>Melvyn Douglas</v>
      </c>
      <c r="AE4866" s="11"/>
    </row>
    <row r="4867" customHeight="1" spans="1:31">
      <c r="A4867" s="12" t="s">
        <v>30</v>
      </c>
      <c r="B4867" s="12" t="s">
        <v>23213</v>
      </c>
      <c r="C4867" s="16"/>
      <c r="D4867" s="12">
        <v>96</v>
      </c>
      <c r="E4867" s="12">
        <v>0</v>
      </c>
      <c r="F4867" s="12">
        <v>270</v>
      </c>
      <c r="G4867" s="12">
        <v>471</v>
      </c>
      <c r="H4867" s="16"/>
      <c r="I4867" s="12" t="s">
        <v>6403</v>
      </c>
      <c r="J4867" s="12" t="s">
        <v>23214</v>
      </c>
      <c r="K4867" s="12" t="s">
        <v>22342</v>
      </c>
      <c r="L4867" s="12" t="s">
        <v>23215</v>
      </c>
      <c r="M4867" s="12" t="s">
        <v>23216</v>
      </c>
      <c r="N4867" s="12">
        <v>24</v>
      </c>
      <c r="O4867" s="12">
        <v>1399</v>
      </c>
      <c r="P4867" s="12">
        <v>0</v>
      </c>
      <c r="Q4867" s="12" t="s">
        <v>23217</v>
      </c>
      <c r="R4867" s="15" t="s">
        <v>23218</v>
      </c>
      <c r="S4867" s="12">
        <v>2</v>
      </c>
      <c r="T4867" s="12" t="s">
        <v>39</v>
      </c>
      <c r="U4867" s="12" t="s">
        <v>40</v>
      </c>
      <c r="V4867" s="16"/>
      <c r="W4867" s="12">
        <v>300000</v>
      </c>
      <c r="X4867" s="12">
        <v>2015</v>
      </c>
      <c r="Y4867" s="12">
        <v>320</v>
      </c>
      <c r="Z4867" s="12">
        <v>4.3</v>
      </c>
      <c r="AA4867" s="12">
        <v>16</v>
      </c>
      <c r="AB4867" s="12">
        <v>85</v>
      </c>
      <c r="AC4867" s="12"/>
      <c r="AD4867" s="12" t="str">
        <f>IFERROR(__xludf.DUMMYFUNCTION("""COMPUTED_VALUE"""),"Whit Bissell")</f>
        <v>Whit Bissell</v>
      </c>
      <c r="AE4867" s="12"/>
    </row>
    <row r="4868" customHeight="1" spans="1:31">
      <c r="A4868" s="11" t="s">
        <v>30</v>
      </c>
      <c r="B4868" s="11" t="s">
        <v>18565</v>
      </c>
      <c r="C4868" s="11">
        <v>29</v>
      </c>
      <c r="D4868" s="11">
        <v>92</v>
      </c>
      <c r="E4868" s="11">
        <v>99</v>
      </c>
      <c r="F4868" s="11">
        <v>181</v>
      </c>
      <c r="G4868" s="11">
        <v>793</v>
      </c>
      <c r="H4868" s="11">
        <v>177840</v>
      </c>
      <c r="I4868" s="11" t="s">
        <v>6419</v>
      </c>
      <c r="J4868" s="11" t="s">
        <v>14042</v>
      </c>
      <c r="K4868" s="11" t="s">
        <v>7627</v>
      </c>
      <c r="L4868" s="11" t="s">
        <v>9916</v>
      </c>
      <c r="M4868" s="11" t="s">
        <v>23219</v>
      </c>
      <c r="N4868" s="11">
        <v>708</v>
      </c>
      <c r="O4868" s="11">
        <v>1987</v>
      </c>
      <c r="P4868" s="11">
        <v>2</v>
      </c>
      <c r="Q4868" s="11" t="s">
        <v>23220</v>
      </c>
      <c r="R4868" s="14" t="s">
        <v>23221</v>
      </c>
      <c r="S4868" s="11">
        <v>22</v>
      </c>
      <c r="T4868" s="11" t="s">
        <v>39</v>
      </c>
      <c r="U4868" s="11" t="s">
        <v>58</v>
      </c>
      <c r="V4868" s="11" t="s">
        <v>586</v>
      </c>
      <c r="W4868" s="11">
        <v>250000</v>
      </c>
      <c r="X4868" s="11">
        <v>1999</v>
      </c>
      <c r="Y4868" s="11">
        <v>605</v>
      </c>
      <c r="Z4868" s="11">
        <v>6.1</v>
      </c>
      <c r="AA4868" s="13"/>
      <c r="AB4868" s="11">
        <v>93</v>
      </c>
      <c r="AC4868" s="11"/>
      <c r="AD4868" s="11" t="str">
        <f>IFERROR(__xludf.DUMMYFUNCTION("""COMPUTED_VALUE"""),"David Jason Perez")</f>
        <v>David Jason Perez</v>
      </c>
      <c r="AE4868" s="11"/>
    </row>
    <row r="4869" customHeight="1" spans="1:31">
      <c r="A4869" s="12" t="s">
        <v>30</v>
      </c>
      <c r="B4869" s="12" t="s">
        <v>23222</v>
      </c>
      <c r="C4869" s="12">
        <v>27</v>
      </c>
      <c r="D4869" s="12">
        <v>75</v>
      </c>
      <c r="E4869" s="12">
        <v>269</v>
      </c>
      <c r="F4869" s="12">
        <v>7</v>
      </c>
      <c r="G4869" s="12">
        <v>100</v>
      </c>
      <c r="H4869" s="12">
        <v>47111</v>
      </c>
      <c r="I4869" s="12" t="s">
        <v>2528</v>
      </c>
      <c r="J4869" s="12" t="s">
        <v>23223</v>
      </c>
      <c r="K4869" s="12" t="s">
        <v>23224</v>
      </c>
      <c r="L4869" s="12" t="s">
        <v>23225</v>
      </c>
      <c r="M4869" s="12" t="s">
        <v>23226</v>
      </c>
      <c r="N4869" s="12">
        <v>1227</v>
      </c>
      <c r="O4869" s="12">
        <v>127</v>
      </c>
      <c r="P4869" s="12">
        <v>1</v>
      </c>
      <c r="Q4869" s="12" t="s">
        <v>23227</v>
      </c>
      <c r="R4869" s="15" t="s">
        <v>23228</v>
      </c>
      <c r="S4869" s="12">
        <v>11</v>
      </c>
      <c r="T4869" s="12" t="s">
        <v>7242</v>
      </c>
      <c r="U4869" s="12" t="s">
        <v>40</v>
      </c>
      <c r="V4869" s="16"/>
      <c r="W4869" s="16"/>
      <c r="X4869" s="12">
        <v>2005</v>
      </c>
      <c r="Y4869" s="12">
        <v>8</v>
      </c>
      <c r="Z4869" s="12">
        <v>6.8</v>
      </c>
      <c r="AA4869" s="12">
        <v>1.85</v>
      </c>
      <c r="AB4869" s="12">
        <v>62</v>
      </c>
      <c r="AC4869" s="12"/>
      <c r="AD4869" s="12" t="str">
        <f>IFERROR(__xludf.DUMMYFUNCTION("""COMPUTED_VALUE"""),"La'Princess Jackson")</f>
        <v>La'Princess Jackson</v>
      </c>
      <c r="AE4869" s="12"/>
    </row>
    <row r="4870" customHeight="1" spans="1:31">
      <c r="A4870" s="11" t="s">
        <v>30</v>
      </c>
      <c r="B4870" s="11" t="s">
        <v>13941</v>
      </c>
      <c r="C4870" s="11">
        <v>162</v>
      </c>
      <c r="D4870" s="11">
        <v>99</v>
      </c>
      <c r="E4870" s="11">
        <v>261</v>
      </c>
      <c r="F4870" s="11">
        <v>461</v>
      </c>
      <c r="G4870" s="11">
        <v>924</v>
      </c>
      <c r="H4870" s="11">
        <v>49494</v>
      </c>
      <c r="I4870" s="11" t="s">
        <v>4075</v>
      </c>
      <c r="J4870" s="11" t="s">
        <v>7054</v>
      </c>
      <c r="K4870" s="11" t="s">
        <v>6052</v>
      </c>
      <c r="L4870" s="11" t="s">
        <v>23229</v>
      </c>
      <c r="M4870" s="11" t="s">
        <v>23230</v>
      </c>
      <c r="N4870" s="11">
        <v>8511</v>
      </c>
      <c r="O4870" s="11">
        <v>2862</v>
      </c>
      <c r="P4870" s="11">
        <v>0</v>
      </c>
      <c r="Q4870" s="11" t="s">
        <v>23231</v>
      </c>
      <c r="R4870" s="14" t="s">
        <v>23232</v>
      </c>
      <c r="S4870" s="11">
        <v>87</v>
      </c>
      <c r="T4870" s="11" t="s">
        <v>39</v>
      </c>
      <c r="U4870" s="11" t="s">
        <v>40</v>
      </c>
      <c r="V4870" s="11" t="s">
        <v>586</v>
      </c>
      <c r="W4870" s="11">
        <v>250000</v>
      </c>
      <c r="X4870" s="11">
        <v>2013</v>
      </c>
      <c r="Y4870" s="11">
        <v>835</v>
      </c>
      <c r="Z4870" s="11">
        <v>3.9</v>
      </c>
      <c r="AA4870" s="11">
        <v>2.35</v>
      </c>
      <c r="AB4870" s="11">
        <v>0</v>
      </c>
      <c r="AC4870" s="11"/>
      <c r="AD4870" s="11" t="str">
        <f>IFERROR(__xludf.DUMMYFUNCTION("""COMPUTED_VALUE"""),"Dana Hanna")</f>
        <v>Dana Hanna</v>
      </c>
      <c r="AE4870" s="11"/>
    </row>
    <row r="4871" customHeight="1" spans="1:31">
      <c r="A4871" s="12" t="s">
        <v>30</v>
      </c>
      <c r="B4871" s="16"/>
      <c r="C4871" s="12">
        <v>11</v>
      </c>
      <c r="D4871" s="12">
        <v>58</v>
      </c>
      <c r="E4871" s="16"/>
      <c r="F4871" s="12">
        <v>250</v>
      </c>
      <c r="G4871" s="12">
        <v>887</v>
      </c>
      <c r="H4871" s="16"/>
      <c r="I4871" s="12" t="s">
        <v>1936</v>
      </c>
      <c r="J4871" s="12" t="s">
        <v>2292</v>
      </c>
      <c r="K4871" s="12" t="s">
        <v>23233</v>
      </c>
      <c r="L4871" s="12" t="s">
        <v>23234</v>
      </c>
      <c r="M4871" s="12" t="s">
        <v>23235</v>
      </c>
      <c r="N4871" s="12">
        <v>12848</v>
      </c>
      <c r="O4871" s="12">
        <v>2572</v>
      </c>
      <c r="P4871" s="12">
        <v>1</v>
      </c>
      <c r="Q4871" s="12" t="s">
        <v>23236</v>
      </c>
      <c r="R4871" s="15" t="s">
        <v>23237</v>
      </c>
      <c r="S4871" s="12">
        <v>59</v>
      </c>
      <c r="T4871" s="12" t="s">
        <v>39</v>
      </c>
      <c r="U4871" s="12" t="s">
        <v>58</v>
      </c>
      <c r="V4871" s="12" t="s">
        <v>2636</v>
      </c>
      <c r="W4871" s="16"/>
      <c r="X4871" s="16"/>
      <c r="Y4871" s="12">
        <v>340</v>
      </c>
      <c r="Z4871" s="12">
        <v>8.5</v>
      </c>
      <c r="AA4871" s="12">
        <v>16</v>
      </c>
      <c r="AB4871" s="12">
        <v>10000</v>
      </c>
      <c r="AC4871" s="12"/>
      <c r="AD4871" s="12" t="str">
        <f>IFERROR(__xludf.DUMMYFUNCTION("""COMPUTED_VALUE"""),"Jill Flint")</f>
        <v>Jill Flint</v>
      </c>
      <c r="AE4871" s="12"/>
    </row>
    <row r="4872" customHeight="1" spans="1:31">
      <c r="A4872" s="11" t="s">
        <v>30</v>
      </c>
      <c r="B4872" s="11" t="s">
        <v>23238</v>
      </c>
      <c r="C4872" s="11">
        <v>26</v>
      </c>
      <c r="D4872" s="11">
        <v>86</v>
      </c>
      <c r="E4872" s="11">
        <v>5</v>
      </c>
      <c r="F4872" s="11">
        <v>41</v>
      </c>
      <c r="G4872" s="11">
        <v>68</v>
      </c>
      <c r="H4872" s="13"/>
      <c r="I4872" s="11" t="s">
        <v>3410</v>
      </c>
      <c r="J4872" s="11" t="s">
        <v>22168</v>
      </c>
      <c r="K4872" s="11" t="s">
        <v>23239</v>
      </c>
      <c r="L4872" s="11" t="s">
        <v>23240</v>
      </c>
      <c r="M4872" s="11" t="s">
        <v>23241</v>
      </c>
      <c r="N4872" s="11">
        <v>603</v>
      </c>
      <c r="O4872" s="11">
        <v>216</v>
      </c>
      <c r="P4872" s="11">
        <v>3</v>
      </c>
      <c r="Q4872" s="11" t="s">
        <v>23242</v>
      </c>
      <c r="R4872" s="14" t="s">
        <v>23243</v>
      </c>
      <c r="S4872" s="11">
        <v>15</v>
      </c>
      <c r="T4872" s="11" t="s">
        <v>39</v>
      </c>
      <c r="U4872" s="11" t="s">
        <v>40</v>
      </c>
      <c r="V4872" s="11" t="s">
        <v>586</v>
      </c>
      <c r="W4872" s="13"/>
      <c r="X4872" s="11">
        <v>2004</v>
      </c>
      <c r="Y4872" s="11">
        <v>64</v>
      </c>
      <c r="Z4872" s="11">
        <v>6.9</v>
      </c>
      <c r="AA4872" s="13"/>
      <c r="AB4872" s="11">
        <v>122</v>
      </c>
      <c r="AC4872" s="11"/>
      <c r="AD4872" s="11" t="str">
        <f>IFERROR(__xludf.DUMMYFUNCTION("""COMPUTED_VALUE"""),"Hanno Pöschl")</f>
        <v>Hanno Pöschl</v>
      </c>
      <c r="AE4872" s="11"/>
    </row>
    <row r="4873" customHeight="1" spans="1:31">
      <c r="A4873" s="12" t="s">
        <v>30</v>
      </c>
      <c r="B4873" s="12" t="s">
        <v>12000</v>
      </c>
      <c r="C4873" s="12">
        <v>85</v>
      </c>
      <c r="D4873" s="12">
        <v>92</v>
      </c>
      <c r="E4873" s="12">
        <v>337</v>
      </c>
      <c r="F4873" s="12">
        <v>22</v>
      </c>
      <c r="G4873" s="12">
        <v>35</v>
      </c>
      <c r="H4873" s="12">
        <v>45661</v>
      </c>
      <c r="I4873" s="12" t="s">
        <v>4075</v>
      </c>
      <c r="J4873" s="12" t="s">
        <v>23244</v>
      </c>
      <c r="K4873" s="12" t="s">
        <v>23245</v>
      </c>
      <c r="L4873" s="12" t="s">
        <v>23246</v>
      </c>
      <c r="M4873" s="12" t="s">
        <v>23247</v>
      </c>
      <c r="N4873" s="12">
        <v>7148</v>
      </c>
      <c r="O4873" s="12">
        <v>114</v>
      </c>
      <c r="P4873" s="12">
        <v>0</v>
      </c>
      <c r="Q4873" s="12" t="s">
        <v>23248</v>
      </c>
      <c r="R4873" s="15" t="s">
        <v>23249</v>
      </c>
      <c r="S4873" s="12">
        <v>32</v>
      </c>
      <c r="T4873" s="12" t="s">
        <v>39</v>
      </c>
      <c r="U4873" s="12" t="s">
        <v>40</v>
      </c>
      <c r="V4873" s="12" t="s">
        <v>41</v>
      </c>
      <c r="W4873" s="16"/>
      <c r="X4873" s="12">
        <v>2007</v>
      </c>
      <c r="Y4873" s="12">
        <v>32</v>
      </c>
      <c r="Z4873" s="12">
        <v>7.3</v>
      </c>
      <c r="AA4873" s="12">
        <v>2.35</v>
      </c>
      <c r="AB4873" s="12">
        <v>773</v>
      </c>
      <c r="AC4873" s="12"/>
      <c r="AD4873" s="12" t="str">
        <f>IFERROR(__xludf.DUMMYFUNCTION("""COMPUTED_VALUE"""),"Hans Weingartner")</f>
        <v>Hans Weingartner</v>
      </c>
      <c r="AE4873" s="12"/>
    </row>
    <row r="4874" customHeight="1" spans="1:31">
      <c r="A4874" s="11" t="s">
        <v>30</v>
      </c>
      <c r="B4874" s="11" t="s">
        <v>23250</v>
      </c>
      <c r="C4874" s="11">
        <v>77</v>
      </c>
      <c r="D4874" s="11">
        <v>101</v>
      </c>
      <c r="E4874" s="11">
        <v>17</v>
      </c>
      <c r="F4874" s="11">
        <v>289</v>
      </c>
      <c r="G4874" s="11">
        <v>766</v>
      </c>
      <c r="H4874" s="13"/>
      <c r="I4874" s="11" t="s">
        <v>852</v>
      </c>
      <c r="J4874" s="11" t="s">
        <v>965</v>
      </c>
      <c r="K4874" s="11" t="s">
        <v>8452</v>
      </c>
      <c r="L4874" s="11" t="s">
        <v>23251</v>
      </c>
      <c r="M4874" s="11" t="s">
        <v>23252</v>
      </c>
      <c r="N4874" s="11">
        <v>70076</v>
      </c>
      <c r="O4874" s="11">
        <v>2123</v>
      </c>
      <c r="P4874" s="11">
        <v>0</v>
      </c>
      <c r="Q4874" s="11" t="s">
        <v>23253</v>
      </c>
      <c r="R4874" s="14" t="s">
        <v>23254</v>
      </c>
      <c r="S4874" s="11">
        <v>120</v>
      </c>
      <c r="T4874" s="11" t="s">
        <v>39</v>
      </c>
      <c r="U4874" s="11" t="s">
        <v>58</v>
      </c>
      <c r="V4874" s="11" t="s">
        <v>4831</v>
      </c>
      <c r="W4874" s="13"/>
      <c r="X4874" s="11">
        <v>2009</v>
      </c>
      <c r="Y4874" s="11">
        <v>438</v>
      </c>
      <c r="Z4874" s="11">
        <v>6.9</v>
      </c>
      <c r="AA4874" s="11">
        <v>2.35</v>
      </c>
      <c r="AB4874" s="11">
        <v>14000</v>
      </c>
      <c r="AC4874" s="11"/>
      <c r="AD4874" s="11" t="str">
        <f>IFERROR(__xludf.DUMMYFUNCTION("""COMPUTED_VALUE"""),"Dominik Castell")</f>
        <v>Dominik Castell</v>
      </c>
      <c r="AE4874" s="11"/>
    </row>
    <row r="4875" customHeight="1" spans="1:31">
      <c r="A4875" s="12" t="s">
        <v>748</v>
      </c>
      <c r="B4875" s="12" t="s">
        <v>23255</v>
      </c>
      <c r="C4875" s="12">
        <v>8</v>
      </c>
      <c r="D4875" s="12">
        <v>81</v>
      </c>
      <c r="E4875" s="12">
        <v>0</v>
      </c>
      <c r="F4875" s="12">
        <v>5</v>
      </c>
      <c r="G4875" s="12">
        <v>119</v>
      </c>
      <c r="H4875" s="12">
        <v>18195</v>
      </c>
      <c r="I4875" s="12" t="s">
        <v>12332</v>
      </c>
      <c r="J4875" s="12" t="s">
        <v>20207</v>
      </c>
      <c r="K4875" s="12" t="s">
        <v>23256</v>
      </c>
      <c r="L4875" s="12" t="s">
        <v>23257</v>
      </c>
      <c r="M4875" s="12" t="s">
        <v>23258</v>
      </c>
      <c r="N4875" s="12">
        <v>336</v>
      </c>
      <c r="O4875" s="12">
        <v>154</v>
      </c>
      <c r="P4875" s="12">
        <v>0</v>
      </c>
      <c r="Q4875" s="12" t="s">
        <v>23259</v>
      </c>
      <c r="R4875" s="15" t="s">
        <v>23260</v>
      </c>
      <c r="S4875" s="12">
        <v>7</v>
      </c>
      <c r="T4875" s="12" t="s">
        <v>39</v>
      </c>
      <c r="U4875" s="12" t="s">
        <v>40</v>
      </c>
      <c r="V4875" s="16"/>
      <c r="W4875" s="12">
        <v>250000</v>
      </c>
      <c r="X4875" s="12">
        <v>1997</v>
      </c>
      <c r="Y4875" s="12">
        <v>24</v>
      </c>
      <c r="Z4875" s="12">
        <v>6.3</v>
      </c>
      <c r="AA4875" s="12">
        <v>1.85</v>
      </c>
      <c r="AB4875" s="12">
        <v>67</v>
      </c>
      <c r="AC4875" s="12"/>
      <c r="AD4875" s="12" t="str">
        <f>IFERROR(__xludf.DUMMYFUNCTION("""COMPUTED_VALUE"""),"Patrick Huard")</f>
        <v>Patrick Huard</v>
      </c>
      <c r="AE4875" s="12"/>
    </row>
    <row r="4876" customHeight="1" spans="1:31">
      <c r="A4876" s="11" t="s">
        <v>30</v>
      </c>
      <c r="B4876" s="11" t="s">
        <v>23261</v>
      </c>
      <c r="C4876" s="11">
        <v>5</v>
      </c>
      <c r="D4876" s="11">
        <v>93</v>
      </c>
      <c r="E4876" s="11">
        <v>7</v>
      </c>
      <c r="F4876" s="11">
        <v>73</v>
      </c>
      <c r="G4876" s="11">
        <v>349</v>
      </c>
      <c r="H4876" s="13"/>
      <c r="I4876" s="11" t="s">
        <v>18256</v>
      </c>
      <c r="J4876" s="11" t="s">
        <v>6293</v>
      </c>
      <c r="K4876" s="11" t="s">
        <v>23262</v>
      </c>
      <c r="L4876" s="11" t="s">
        <v>23263</v>
      </c>
      <c r="M4876" s="11" t="s">
        <v>23264</v>
      </c>
      <c r="N4876" s="11">
        <v>602</v>
      </c>
      <c r="O4876" s="11">
        <v>631</v>
      </c>
      <c r="P4876" s="11">
        <v>0</v>
      </c>
      <c r="Q4876" s="11" t="s">
        <v>23265</v>
      </c>
      <c r="R4876" s="14" t="s">
        <v>23266</v>
      </c>
      <c r="S4876" s="11">
        <v>18</v>
      </c>
      <c r="T4876" s="11" t="s">
        <v>39</v>
      </c>
      <c r="U4876" s="11" t="s">
        <v>40</v>
      </c>
      <c r="V4876" s="11" t="s">
        <v>278</v>
      </c>
      <c r="W4876" s="13"/>
      <c r="X4876" s="11">
        <v>2008</v>
      </c>
      <c r="Y4876" s="11">
        <v>168</v>
      </c>
      <c r="Z4876" s="11">
        <v>2.5</v>
      </c>
      <c r="AA4876" s="11">
        <v>1.85</v>
      </c>
      <c r="AB4876" s="11">
        <v>777</v>
      </c>
      <c r="AC4876" s="11"/>
      <c r="AD4876" s="11" t="str">
        <f>IFERROR(__xludf.DUMMYFUNCTION("""COMPUTED_VALUE"""),"Michel Côté")</f>
        <v>Michel Côté</v>
      </c>
      <c r="AE4876" s="11"/>
    </row>
    <row r="4877" customHeight="1" spans="1:31">
      <c r="A4877" s="12" t="s">
        <v>30</v>
      </c>
      <c r="B4877" s="12" t="s">
        <v>13154</v>
      </c>
      <c r="C4877" s="12">
        <v>3</v>
      </c>
      <c r="D4877" s="12">
        <v>95</v>
      </c>
      <c r="E4877" s="12">
        <v>1000</v>
      </c>
      <c r="F4877" s="12">
        <v>3</v>
      </c>
      <c r="G4877" s="12">
        <v>1000</v>
      </c>
      <c r="H4877" s="16"/>
      <c r="I4877" s="12" t="s">
        <v>3410</v>
      </c>
      <c r="J4877" s="12" t="s">
        <v>13154</v>
      </c>
      <c r="K4877" s="12" t="s">
        <v>23267</v>
      </c>
      <c r="L4877" s="12" t="s">
        <v>23268</v>
      </c>
      <c r="M4877" s="12" t="s">
        <v>23269</v>
      </c>
      <c r="N4877" s="12">
        <v>300</v>
      </c>
      <c r="O4877" s="12">
        <v>1056</v>
      </c>
      <c r="P4877" s="12">
        <v>1</v>
      </c>
      <c r="Q4877" s="16"/>
      <c r="R4877" s="15" t="s">
        <v>23270</v>
      </c>
      <c r="S4877" s="12">
        <v>8</v>
      </c>
      <c r="T4877" s="12" t="s">
        <v>39</v>
      </c>
      <c r="U4877" s="12" t="s">
        <v>269</v>
      </c>
      <c r="V4877" s="12" t="s">
        <v>96</v>
      </c>
      <c r="W4877" s="12">
        <v>250000</v>
      </c>
      <c r="X4877" s="12">
        <v>2010</v>
      </c>
      <c r="Y4877" s="12">
        <v>53</v>
      </c>
      <c r="Z4877" s="12">
        <v>5.7</v>
      </c>
      <c r="AA4877" s="12">
        <v>1.78</v>
      </c>
      <c r="AB4877" s="12">
        <v>141</v>
      </c>
      <c r="AC4877" s="12"/>
      <c r="AD4877" s="12" t="str">
        <f>IFERROR(__xludf.DUMMYFUNCTION("""COMPUTED_VALUE"""),"Jean Pierre Bergeron")</f>
        <v>Jean Pierre Bergeron</v>
      </c>
      <c r="AE4877" s="12"/>
    </row>
    <row r="4878" customHeight="1" spans="1:31">
      <c r="A4878" s="11" t="s">
        <v>30</v>
      </c>
      <c r="B4878" s="11" t="s">
        <v>23271</v>
      </c>
      <c r="C4878" s="11">
        <v>66</v>
      </c>
      <c r="D4878" s="11">
        <v>107</v>
      </c>
      <c r="E4878" s="11">
        <v>63</v>
      </c>
      <c r="F4878" s="11">
        <v>76</v>
      </c>
      <c r="G4878" s="11">
        <v>135</v>
      </c>
      <c r="H4878" s="13"/>
      <c r="I4878" s="11" t="s">
        <v>23272</v>
      </c>
      <c r="J4878" s="11" t="s">
        <v>23273</v>
      </c>
      <c r="K4878" s="11" t="s">
        <v>23274</v>
      </c>
      <c r="L4878" s="11" t="s">
        <v>23275</v>
      </c>
      <c r="M4878" s="11" t="s">
        <v>23276</v>
      </c>
      <c r="N4878" s="11">
        <v>18486</v>
      </c>
      <c r="O4878" s="11">
        <v>457</v>
      </c>
      <c r="P4878" s="11">
        <v>0</v>
      </c>
      <c r="Q4878" s="11" t="s">
        <v>23277</v>
      </c>
      <c r="R4878" s="14" t="s">
        <v>23278</v>
      </c>
      <c r="S4878" s="11">
        <v>215</v>
      </c>
      <c r="T4878" s="11" t="s">
        <v>39</v>
      </c>
      <c r="U4878" s="11" t="s">
        <v>40</v>
      </c>
      <c r="V4878" s="13"/>
      <c r="W4878" s="13"/>
      <c r="X4878" s="11">
        <v>2009</v>
      </c>
      <c r="Y4878" s="11">
        <v>115</v>
      </c>
      <c r="Z4878" s="11">
        <v>7</v>
      </c>
      <c r="AA4878" s="11">
        <v>1.78</v>
      </c>
      <c r="AB4878" s="11">
        <v>11000</v>
      </c>
      <c r="AC4878" s="11"/>
      <c r="AD4878" s="11" t="str">
        <f>IFERROR(__xludf.DUMMYFUNCTION("""COMPUTED_VALUE"""),"Jessica Hecht")</f>
        <v>Jessica Hecht</v>
      </c>
      <c r="AE4878" s="11"/>
    </row>
    <row r="4879" customHeight="1" spans="1:31">
      <c r="A4879" s="12" t="s">
        <v>30</v>
      </c>
      <c r="B4879" s="12" t="s">
        <v>23279</v>
      </c>
      <c r="C4879" s="12">
        <v>4</v>
      </c>
      <c r="D4879" s="12">
        <v>98</v>
      </c>
      <c r="E4879" s="12">
        <v>3</v>
      </c>
      <c r="F4879" s="12">
        <v>104</v>
      </c>
      <c r="G4879" s="12">
        <v>337</v>
      </c>
      <c r="H4879" s="16"/>
      <c r="I4879" s="12" t="s">
        <v>7144</v>
      </c>
      <c r="J4879" s="12" t="s">
        <v>23280</v>
      </c>
      <c r="K4879" s="12" t="s">
        <v>23281</v>
      </c>
      <c r="L4879" s="12" t="s">
        <v>23282</v>
      </c>
      <c r="M4879" s="12" t="s">
        <v>23283</v>
      </c>
      <c r="N4879" s="12">
        <v>450</v>
      </c>
      <c r="O4879" s="12">
        <v>694</v>
      </c>
      <c r="P4879" s="12">
        <v>2</v>
      </c>
      <c r="Q4879" s="12" t="s">
        <v>23284</v>
      </c>
      <c r="R4879" s="15" t="s">
        <v>23285</v>
      </c>
      <c r="S4879" s="12">
        <v>10</v>
      </c>
      <c r="T4879" s="12" t="s">
        <v>39</v>
      </c>
      <c r="U4879" s="12" t="s">
        <v>40</v>
      </c>
      <c r="V4879" s="12" t="s">
        <v>96</v>
      </c>
      <c r="W4879" s="12">
        <v>250000</v>
      </c>
      <c r="X4879" s="12">
        <v>2010</v>
      </c>
      <c r="Y4879" s="12">
        <v>168</v>
      </c>
      <c r="Z4879" s="12">
        <v>6.2</v>
      </c>
      <c r="AA4879" s="16"/>
      <c r="AB4879" s="12">
        <v>0</v>
      </c>
      <c r="AC4879" s="12"/>
      <c r="AD4879" s="12" t="str">
        <f>IFERROR(__xludf.DUMMYFUNCTION("""COMPUTED_VALUE"""),"Satish Kaushik")</f>
        <v>Satish Kaushik</v>
      </c>
      <c r="AE4879" s="12"/>
    </row>
    <row r="4880" customHeight="1" spans="1:31">
      <c r="A4880" s="11" t="s">
        <v>30</v>
      </c>
      <c r="B4880" s="11" t="s">
        <v>23286</v>
      </c>
      <c r="C4880" s="13"/>
      <c r="D4880" s="11">
        <v>35</v>
      </c>
      <c r="E4880" s="11">
        <v>2</v>
      </c>
      <c r="F4880" s="11">
        <v>152</v>
      </c>
      <c r="G4880" s="11">
        <v>338</v>
      </c>
      <c r="H4880" s="13"/>
      <c r="I4880" s="11" t="s">
        <v>23287</v>
      </c>
      <c r="J4880" s="11" t="s">
        <v>23288</v>
      </c>
      <c r="K4880" s="11" t="s">
        <v>23289</v>
      </c>
      <c r="L4880" s="11" t="s">
        <v>23290</v>
      </c>
      <c r="M4880" s="11" t="s">
        <v>23291</v>
      </c>
      <c r="N4880" s="11">
        <v>31</v>
      </c>
      <c r="O4880" s="11">
        <v>968</v>
      </c>
      <c r="P4880" s="11">
        <v>5</v>
      </c>
      <c r="Q4880" s="11" t="s">
        <v>23292</v>
      </c>
      <c r="R4880" s="14" t="s">
        <v>23293</v>
      </c>
      <c r="S4880" s="13"/>
      <c r="T4880" s="11" t="s">
        <v>39</v>
      </c>
      <c r="U4880" s="11" t="s">
        <v>40</v>
      </c>
      <c r="V4880" s="13"/>
      <c r="W4880" s="13"/>
      <c r="X4880" s="11">
        <v>2007</v>
      </c>
      <c r="Y4880" s="11">
        <v>219</v>
      </c>
      <c r="Z4880" s="11">
        <v>6.9</v>
      </c>
      <c r="AA4880" s="13"/>
      <c r="AB4880" s="11">
        <v>0</v>
      </c>
      <c r="AC4880" s="11"/>
      <c r="AD4880" s="11" t="str">
        <f>IFERROR(__xludf.DUMMYFUNCTION("""COMPUTED_VALUE"""),"Christopher Simpson")</f>
        <v>Christopher Simpson</v>
      </c>
      <c r="AE4880" s="11"/>
    </row>
    <row r="4881" customHeight="1" spans="1:31">
      <c r="A4881" s="12" t="s">
        <v>30</v>
      </c>
      <c r="B4881" s="12" t="s">
        <v>23294</v>
      </c>
      <c r="C4881" s="12">
        <v>15</v>
      </c>
      <c r="D4881" s="12">
        <v>108</v>
      </c>
      <c r="E4881" s="12">
        <v>32</v>
      </c>
      <c r="F4881" s="12">
        <v>180</v>
      </c>
      <c r="G4881" s="12">
        <v>602</v>
      </c>
      <c r="H4881" s="16"/>
      <c r="I4881" s="12" t="s">
        <v>1936</v>
      </c>
      <c r="J4881" s="12" t="s">
        <v>1321</v>
      </c>
      <c r="K4881" s="12" t="s">
        <v>2725</v>
      </c>
      <c r="L4881" s="12" t="s">
        <v>23295</v>
      </c>
      <c r="M4881" s="12" t="s">
        <v>23296</v>
      </c>
      <c r="N4881" s="12">
        <v>870</v>
      </c>
      <c r="O4881" s="12">
        <v>1991</v>
      </c>
      <c r="P4881" s="12">
        <v>0</v>
      </c>
      <c r="Q4881" s="12" t="s">
        <v>23297</v>
      </c>
      <c r="R4881" s="15" t="s">
        <v>23298</v>
      </c>
      <c r="S4881" s="12">
        <v>18</v>
      </c>
      <c r="T4881" s="12" t="s">
        <v>39</v>
      </c>
      <c r="U4881" s="12" t="s">
        <v>40</v>
      </c>
      <c r="V4881" s="12" t="s">
        <v>586</v>
      </c>
      <c r="W4881" s="16"/>
      <c r="X4881" s="12">
        <v>1982</v>
      </c>
      <c r="Y4881" s="12">
        <v>427</v>
      </c>
      <c r="Z4881" s="12">
        <v>4.5</v>
      </c>
      <c r="AA4881" s="12">
        <v>1.85</v>
      </c>
      <c r="AB4881" s="12">
        <v>76</v>
      </c>
      <c r="AC4881" s="12"/>
      <c r="AD4881" s="12" t="str">
        <f>IFERROR(__xludf.DUMMYFUNCTION("""COMPUTED_VALUE"""),"Tannishtha Chatterjee")</f>
        <v>Tannishtha Chatterjee</v>
      </c>
      <c r="AE4881" s="12"/>
    </row>
    <row r="4882" customHeight="1" spans="1:31">
      <c r="A4882" s="11" t="s">
        <v>30</v>
      </c>
      <c r="B4882" s="11" t="s">
        <v>23299</v>
      </c>
      <c r="C4882" s="11">
        <v>1</v>
      </c>
      <c r="D4882" s="11">
        <v>66</v>
      </c>
      <c r="E4882" s="11">
        <v>0</v>
      </c>
      <c r="F4882" s="11">
        <v>0</v>
      </c>
      <c r="G4882" s="11">
        <v>0</v>
      </c>
      <c r="H4882" s="13"/>
      <c r="I4882" s="11" t="s">
        <v>68</v>
      </c>
      <c r="J4882" s="11" t="s">
        <v>23300</v>
      </c>
      <c r="K4882" s="11" t="s">
        <v>23301</v>
      </c>
      <c r="L4882" s="11" t="s">
        <v>23302</v>
      </c>
      <c r="M4882" s="11" t="s">
        <v>23303</v>
      </c>
      <c r="N4882" s="11">
        <v>6</v>
      </c>
      <c r="O4882" s="11">
        <v>0</v>
      </c>
      <c r="P4882" s="11">
        <v>2</v>
      </c>
      <c r="Q4882" s="13"/>
      <c r="R4882" s="14" t="s">
        <v>23304</v>
      </c>
      <c r="S4882" s="11">
        <v>1</v>
      </c>
      <c r="T4882" s="11" t="s">
        <v>39</v>
      </c>
      <c r="U4882" s="11" t="s">
        <v>40</v>
      </c>
      <c r="V4882" s="11" t="s">
        <v>96</v>
      </c>
      <c r="W4882" s="11">
        <v>250000</v>
      </c>
      <c r="X4882" s="11">
        <v>2013</v>
      </c>
      <c r="Y4882" s="11">
        <v>0</v>
      </c>
      <c r="Z4882" s="11">
        <v>7.8</v>
      </c>
      <c r="AA4882" s="13"/>
      <c r="AB4882" s="11">
        <v>53</v>
      </c>
      <c r="AC4882" s="11"/>
      <c r="AD4882" s="11" t="str">
        <f>IFERROR(__xludf.DUMMYFUNCTION("""COMPUTED_VALUE"""),"Joshua Ormond")</f>
        <v>Joshua Ormond</v>
      </c>
      <c r="AE4882" s="11"/>
    </row>
    <row r="4883" customHeight="1" spans="1:31">
      <c r="A4883" s="12" t="s">
        <v>30</v>
      </c>
      <c r="B4883" s="12" t="s">
        <v>23305</v>
      </c>
      <c r="C4883" s="12">
        <v>12</v>
      </c>
      <c r="D4883" s="12">
        <v>95</v>
      </c>
      <c r="E4883" s="12">
        <v>7</v>
      </c>
      <c r="F4883" s="12">
        <v>89</v>
      </c>
      <c r="G4883" s="12">
        <v>236</v>
      </c>
      <c r="H4883" s="16"/>
      <c r="I4883" s="12" t="s">
        <v>5544</v>
      </c>
      <c r="J4883" s="12" t="s">
        <v>19513</v>
      </c>
      <c r="K4883" s="12" t="s">
        <v>23306</v>
      </c>
      <c r="L4883" s="12" t="s">
        <v>23307</v>
      </c>
      <c r="M4883" s="12" t="s">
        <v>23308</v>
      </c>
      <c r="N4883" s="12">
        <v>1488</v>
      </c>
      <c r="O4883" s="12">
        <v>537</v>
      </c>
      <c r="P4883" s="12">
        <v>1</v>
      </c>
      <c r="Q4883" s="12" t="s">
        <v>22040</v>
      </c>
      <c r="R4883" s="15" t="s">
        <v>23309</v>
      </c>
      <c r="S4883" s="12">
        <v>28</v>
      </c>
      <c r="T4883" s="12" t="s">
        <v>39</v>
      </c>
      <c r="U4883" s="12" t="s">
        <v>40</v>
      </c>
      <c r="V4883" s="12" t="s">
        <v>41</v>
      </c>
      <c r="W4883" s="12">
        <v>250000</v>
      </c>
      <c r="X4883" s="12">
        <v>2012</v>
      </c>
      <c r="Y4883" s="12">
        <v>206</v>
      </c>
      <c r="Z4883" s="12">
        <v>4.4</v>
      </c>
      <c r="AA4883" s="16"/>
      <c r="AB4883" s="12">
        <v>519</v>
      </c>
      <c r="AC4883" s="12"/>
      <c r="AD4883" s="12" t="str">
        <f>IFERROR(__xludf.DUMMYFUNCTION("""COMPUTED_VALUE"""),"Ana Gasteyer")</f>
        <v>Ana Gasteyer</v>
      </c>
      <c r="AE4883" s="12"/>
    </row>
    <row r="4884" customHeight="1" spans="1:31">
      <c r="A4884" s="11" t="s">
        <v>30</v>
      </c>
      <c r="B4884" s="11" t="s">
        <v>13105</v>
      </c>
      <c r="C4884" s="13"/>
      <c r="D4884" s="11">
        <v>99</v>
      </c>
      <c r="E4884" s="11">
        <v>45</v>
      </c>
      <c r="F4884" s="11">
        <v>224</v>
      </c>
      <c r="G4884" s="11">
        <v>1000</v>
      </c>
      <c r="H4884" s="13"/>
      <c r="I4884" s="11" t="s">
        <v>10735</v>
      </c>
      <c r="J4884" s="11" t="s">
        <v>2620</v>
      </c>
      <c r="K4884" s="11" t="s">
        <v>1927</v>
      </c>
      <c r="L4884" s="11" t="s">
        <v>13106</v>
      </c>
      <c r="M4884" s="11" t="s">
        <v>13107</v>
      </c>
      <c r="N4884" s="11">
        <v>1465</v>
      </c>
      <c r="O4884" s="11">
        <v>2166</v>
      </c>
      <c r="P4884" s="11">
        <v>1</v>
      </c>
      <c r="Q4884" s="11" t="s">
        <v>13108</v>
      </c>
      <c r="R4884" s="14" t="s">
        <v>13109</v>
      </c>
      <c r="S4884" s="11">
        <v>56</v>
      </c>
      <c r="T4884" s="11" t="s">
        <v>39</v>
      </c>
      <c r="U4884" s="11" t="s">
        <v>40</v>
      </c>
      <c r="V4884" s="11" t="s">
        <v>5614</v>
      </c>
      <c r="W4884" s="13"/>
      <c r="X4884" s="11">
        <v>1998</v>
      </c>
      <c r="Y4884" s="11">
        <v>393</v>
      </c>
      <c r="Z4884" s="11">
        <v>7.4</v>
      </c>
      <c r="AA4884" s="11">
        <v>1.33</v>
      </c>
      <c r="AB4884" s="11">
        <v>515</v>
      </c>
      <c r="AC4884" s="11"/>
      <c r="AD4884" s="11" t="str">
        <f>IFERROR(__xludf.DUMMYFUNCTION("""COMPUTED_VALUE"""),"Amanda Plummer")</f>
        <v>Amanda Plummer</v>
      </c>
      <c r="AE4884" s="11"/>
    </row>
    <row r="4885" customHeight="1" spans="1:31">
      <c r="A4885" s="12" t="s">
        <v>30</v>
      </c>
      <c r="B4885" s="12" t="s">
        <v>22742</v>
      </c>
      <c r="C4885" s="12">
        <v>1</v>
      </c>
      <c r="D4885" s="12">
        <v>108</v>
      </c>
      <c r="E4885" s="12">
        <v>431</v>
      </c>
      <c r="F4885" s="12">
        <v>3</v>
      </c>
      <c r="G4885" s="12">
        <v>288</v>
      </c>
      <c r="H4885" s="16"/>
      <c r="I4885" s="12" t="s">
        <v>18088</v>
      </c>
      <c r="J4885" s="12" t="s">
        <v>23310</v>
      </c>
      <c r="K4885" s="12" t="s">
        <v>23311</v>
      </c>
      <c r="L4885" s="12" t="s">
        <v>23312</v>
      </c>
      <c r="M4885" s="12" t="s">
        <v>23313</v>
      </c>
      <c r="N4885" s="12">
        <v>25</v>
      </c>
      <c r="O4885" s="12">
        <v>387</v>
      </c>
      <c r="P4885" s="12">
        <v>6</v>
      </c>
      <c r="Q4885" s="16"/>
      <c r="R4885" s="15" t="s">
        <v>23314</v>
      </c>
      <c r="S4885" s="12">
        <v>1</v>
      </c>
      <c r="T4885" s="12" t="s">
        <v>39</v>
      </c>
      <c r="U4885" s="12" t="s">
        <v>40</v>
      </c>
      <c r="V4885" s="12" t="s">
        <v>96</v>
      </c>
      <c r="W4885" s="12">
        <v>250000</v>
      </c>
      <c r="X4885" s="12">
        <v>2014</v>
      </c>
      <c r="Y4885" s="12">
        <v>96</v>
      </c>
      <c r="Z4885" s="12">
        <v>6.6</v>
      </c>
      <c r="AA4885" s="16"/>
      <c r="AB4885" s="12">
        <v>71</v>
      </c>
      <c r="AC4885" s="12"/>
      <c r="AD4885" s="12" t="str">
        <f>IFERROR(__xludf.DUMMYFUNCTION("""COMPUTED_VALUE"""),"Dayo Okeniyi")</f>
        <v>Dayo Okeniyi</v>
      </c>
      <c r="AE4885" s="12"/>
    </row>
    <row r="4886" customHeight="1" spans="1:31">
      <c r="A4886" s="11" t="s">
        <v>30</v>
      </c>
      <c r="B4886" s="11" t="s">
        <v>23315</v>
      </c>
      <c r="C4886" s="11">
        <v>6</v>
      </c>
      <c r="D4886" s="11">
        <v>90</v>
      </c>
      <c r="E4886" s="11">
        <v>30</v>
      </c>
      <c r="F4886" s="11">
        <v>670</v>
      </c>
      <c r="G4886" s="11">
        <v>699</v>
      </c>
      <c r="H4886" s="13"/>
      <c r="I4886" s="11" t="s">
        <v>68</v>
      </c>
      <c r="J4886" s="11" t="s">
        <v>11458</v>
      </c>
      <c r="K4886" s="11" t="s">
        <v>6144</v>
      </c>
      <c r="L4886" s="11" t="s">
        <v>10620</v>
      </c>
      <c r="M4886" s="11" t="s">
        <v>23316</v>
      </c>
      <c r="N4886" s="11">
        <v>37</v>
      </c>
      <c r="O4886" s="11">
        <v>3967</v>
      </c>
      <c r="P4886" s="11">
        <v>0</v>
      </c>
      <c r="Q4886" s="11" t="s">
        <v>23317</v>
      </c>
      <c r="R4886" s="14" t="s">
        <v>23318</v>
      </c>
      <c r="S4886" s="11">
        <v>2</v>
      </c>
      <c r="T4886" s="11" t="s">
        <v>39</v>
      </c>
      <c r="U4886" s="11" t="s">
        <v>40</v>
      </c>
      <c r="V4886" s="13"/>
      <c r="W4886" s="11">
        <v>250000</v>
      </c>
      <c r="X4886" s="11">
        <v>2014</v>
      </c>
      <c r="Y4886" s="11">
        <v>683</v>
      </c>
      <c r="Z4886" s="11">
        <v>8</v>
      </c>
      <c r="AA4886" s="13"/>
      <c r="AB4886" s="11">
        <v>199</v>
      </c>
      <c r="AC4886" s="11"/>
      <c r="AD4886" s="11" t="str">
        <f>IFERROR(__xludf.DUMMYFUNCTION("""COMPUTED_VALUE"""),"Michael Bower")</f>
        <v>Michael Bower</v>
      </c>
      <c r="AE4886" s="11"/>
    </row>
    <row r="4887" customHeight="1" spans="1:31">
      <c r="A4887" s="12" t="s">
        <v>748</v>
      </c>
      <c r="B4887" s="12" t="s">
        <v>17041</v>
      </c>
      <c r="C4887" s="12">
        <v>48</v>
      </c>
      <c r="D4887" s="12">
        <v>151</v>
      </c>
      <c r="E4887" s="12">
        <v>54</v>
      </c>
      <c r="F4887" s="12">
        <v>6</v>
      </c>
      <c r="G4887" s="12">
        <v>81</v>
      </c>
      <c r="H4887" s="16"/>
      <c r="I4887" s="12" t="s">
        <v>5605</v>
      </c>
      <c r="J4887" s="12" t="s">
        <v>23319</v>
      </c>
      <c r="K4887" s="12" t="s">
        <v>23320</v>
      </c>
      <c r="L4887" s="12" t="s">
        <v>23321</v>
      </c>
      <c r="M4887" s="12" t="s">
        <v>23322</v>
      </c>
      <c r="N4887" s="12">
        <v>4849</v>
      </c>
      <c r="O4887" s="12">
        <v>108</v>
      </c>
      <c r="P4887" s="12">
        <v>0</v>
      </c>
      <c r="Q4887" s="12" t="s">
        <v>23323</v>
      </c>
      <c r="R4887" s="15" t="s">
        <v>23324</v>
      </c>
      <c r="S4887" s="12">
        <v>45</v>
      </c>
      <c r="T4887" s="16"/>
      <c r="U4887" s="12" t="s">
        <v>40</v>
      </c>
      <c r="V4887" s="12" t="s">
        <v>4831</v>
      </c>
      <c r="W4887" s="12">
        <v>245000</v>
      </c>
      <c r="X4887" s="12">
        <v>1925</v>
      </c>
      <c r="Y4887" s="12">
        <v>12</v>
      </c>
      <c r="Z4887" s="12">
        <v>8.3</v>
      </c>
      <c r="AA4887" s="12">
        <v>1.33</v>
      </c>
      <c r="AB4887" s="12">
        <v>226</v>
      </c>
      <c r="AC4887" s="12"/>
      <c r="AD4887" s="12" t="str">
        <f>IFERROR(__xludf.DUMMYFUNCTION("""COMPUTED_VALUE"""),"Bill Maher")</f>
        <v>Bill Maher</v>
      </c>
      <c r="AE4887" s="12"/>
    </row>
    <row r="4888" customHeight="1" spans="1:31">
      <c r="A4888" s="11" t="s">
        <v>30</v>
      </c>
      <c r="B4888" s="11" t="s">
        <v>23325</v>
      </c>
      <c r="C4888" s="11">
        <v>2</v>
      </c>
      <c r="D4888" s="11">
        <v>83</v>
      </c>
      <c r="E4888" s="11">
        <v>12</v>
      </c>
      <c r="F4888" s="11">
        <v>29</v>
      </c>
      <c r="G4888" s="11">
        <v>1000</v>
      </c>
      <c r="H4888" s="13"/>
      <c r="I4888" s="11" t="s">
        <v>1672</v>
      </c>
      <c r="J4888" s="11" t="s">
        <v>14067</v>
      </c>
      <c r="K4888" s="11" t="s">
        <v>23326</v>
      </c>
      <c r="L4888" s="11" t="s">
        <v>23327</v>
      </c>
      <c r="M4888" s="11" t="s">
        <v>23328</v>
      </c>
      <c r="N4888" s="11">
        <v>110</v>
      </c>
      <c r="O4888" s="11">
        <v>1244</v>
      </c>
      <c r="P4888" s="11">
        <v>0</v>
      </c>
      <c r="Q4888" s="11" t="s">
        <v>23329</v>
      </c>
      <c r="R4888" s="14" t="s">
        <v>23330</v>
      </c>
      <c r="S4888" s="11">
        <v>1</v>
      </c>
      <c r="T4888" s="11" t="s">
        <v>39</v>
      </c>
      <c r="U4888" s="11" t="s">
        <v>40</v>
      </c>
      <c r="V4888" s="13"/>
      <c r="W4888" s="11">
        <v>240000</v>
      </c>
      <c r="X4888" s="11">
        <v>2006</v>
      </c>
      <c r="Y4888" s="11">
        <v>185</v>
      </c>
      <c r="Z4888" s="11">
        <v>6.5</v>
      </c>
      <c r="AA4888" s="13"/>
      <c r="AB4888" s="11">
        <v>72</v>
      </c>
      <c r="AC4888" s="11"/>
      <c r="AD4888" s="11" t="str">
        <f>IFERROR(__xludf.DUMMYFUNCTION("""COMPUTED_VALUE"""),"Tal Bachman")</f>
        <v>Tal Bachman</v>
      </c>
      <c r="AE4888" s="11"/>
    </row>
    <row r="4889" customHeight="1" spans="1:31">
      <c r="A4889" s="12" t="s">
        <v>30</v>
      </c>
      <c r="B4889" s="12" t="s">
        <v>23331</v>
      </c>
      <c r="C4889" s="12">
        <v>17</v>
      </c>
      <c r="D4889" s="12">
        <v>108</v>
      </c>
      <c r="E4889" s="12">
        <v>0</v>
      </c>
      <c r="F4889" s="12">
        <v>142</v>
      </c>
      <c r="G4889" s="12">
        <v>431</v>
      </c>
      <c r="H4889" s="16"/>
      <c r="I4889" s="12" t="s">
        <v>6546</v>
      </c>
      <c r="J4889" s="12" t="s">
        <v>23332</v>
      </c>
      <c r="K4889" s="12" t="s">
        <v>23333</v>
      </c>
      <c r="L4889" s="12" t="s">
        <v>23334</v>
      </c>
      <c r="M4889" s="12" t="s">
        <v>23335</v>
      </c>
      <c r="N4889" s="12">
        <v>330</v>
      </c>
      <c r="O4889" s="12">
        <v>1087</v>
      </c>
      <c r="P4889" s="12">
        <v>3</v>
      </c>
      <c r="Q4889" s="16"/>
      <c r="R4889" s="15" t="s">
        <v>23336</v>
      </c>
      <c r="S4889" s="12">
        <v>2</v>
      </c>
      <c r="T4889" s="12" t="s">
        <v>39</v>
      </c>
      <c r="U4889" s="12" t="s">
        <v>40</v>
      </c>
      <c r="V4889" s="16"/>
      <c r="W4889" s="12">
        <v>250000</v>
      </c>
      <c r="X4889" s="12">
        <v>2013</v>
      </c>
      <c r="Y4889" s="12">
        <v>297</v>
      </c>
      <c r="Z4889" s="12">
        <v>7.1</v>
      </c>
      <c r="AA4889" s="12">
        <v>1.85</v>
      </c>
      <c r="AB4889" s="12">
        <v>231</v>
      </c>
      <c r="AC4889" s="12"/>
      <c r="AD4889" s="12" t="str">
        <f>IFERROR(__xludf.DUMMYFUNCTION("""COMPUTED_VALUE"""),"Steve Burg")</f>
        <v>Steve Burg</v>
      </c>
      <c r="AE4889" s="12"/>
    </row>
    <row r="4890" customHeight="1" spans="1:31">
      <c r="A4890" s="11" t="s">
        <v>30</v>
      </c>
      <c r="B4890" s="11" t="s">
        <v>12850</v>
      </c>
      <c r="C4890" s="11">
        <v>225</v>
      </c>
      <c r="D4890" s="11">
        <v>92</v>
      </c>
      <c r="E4890" s="11">
        <v>0</v>
      </c>
      <c r="F4890" s="11">
        <v>146</v>
      </c>
      <c r="G4890" s="11">
        <v>27000</v>
      </c>
      <c r="H4890" s="11">
        <v>104792</v>
      </c>
      <c r="I4890" s="11" t="s">
        <v>8723</v>
      </c>
      <c r="J4890" s="11" t="s">
        <v>61</v>
      </c>
      <c r="K4890" s="11" t="s">
        <v>23337</v>
      </c>
      <c r="L4890" s="11" t="s">
        <v>23338</v>
      </c>
      <c r="M4890" s="11" t="s">
        <v>23339</v>
      </c>
      <c r="N4890" s="11">
        <v>84817</v>
      </c>
      <c r="O4890" s="11">
        <v>27507</v>
      </c>
      <c r="P4890" s="11">
        <v>0</v>
      </c>
      <c r="Q4890" s="11" t="s">
        <v>23340</v>
      </c>
      <c r="R4890" s="14" t="s">
        <v>23341</v>
      </c>
      <c r="S4890" s="11">
        <v>145</v>
      </c>
      <c r="T4890" s="11" t="s">
        <v>39</v>
      </c>
      <c r="U4890" s="11" t="s">
        <v>58</v>
      </c>
      <c r="V4890" s="11" t="s">
        <v>586</v>
      </c>
      <c r="W4890" s="13"/>
      <c r="X4890" s="11">
        <v>2008</v>
      </c>
      <c r="Y4890" s="11">
        <v>161</v>
      </c>
      <c r="Z4890" s="11">
        <v>7.1</v>
      </c>
      <c r="AA4890" s="11">
        <v>1.85</v>
      </c>
      <c r="AB4890" s="11">
        <v>22000</v>
      </c>
      <c r="AC4890" s="11"/>
      <c r="AD4890" s="11" t="str">
        <f>IFERROR(__xludf.DUMMYFUNCTION("""COMPUTED_VALUE"""),"Sheryl Crow")</f>
        <v>Sheryl Crow</v>
      </c>
      <c r="AE4890" s="11"/>
    </row>
    <row r="4891" customHeight="1" spans="1:31">
      <c r="A4891" s="12" t="s">
        <v>30</v>
      </c>
      <c r="B4891" s="12" t="s">
        <v>23342</v>
      </c>
      <c r="C4891" s="12">
        <v>5</v>
      </c>
      <c r="D4891" s="12">
        <v>105</v>
      </c>
      <c r="E4891" s="12">
        <v>7</v>
      </c>
      <c r="F4891" s="12">
        <v>494</v>
      </c>
      <c r="G4891" s="12">
        <v>814</v>
      </c>
      <c r="H4891" s="16"/>
      <c r="I4891" s="12" t="s">
        <v>23343</v>
      </c>
      <c r="J4891" s="12" t="s">
        <v>23344</v>
      </c>
      <c r="K4891" s="12" t="s">
        <v>23345</v>
      </c>
      <c r="L4891" s="12" t="s">
        <v>23346</v>
      </c>
      <c r="M4891" s="12" t="s">
        <v>23347</v>
      </c>
      <c r="N4891" s="12">
        <v>146</v>
      </c>
      <c r="O4891" s="12">
        <v>2970</v>
      </c>
      <c r="P4891" s="12">
        <v>0</v>
      </c>
      <c r="Q4891" s="12" t="s">
        <v>23348</v>
      </c>
      <c r="R4891" s="15" t="s">
        <v>23349</v>
      </c>
      <c r="S4891" s="12">
        <v>4</v>
      </c>
      <c r="T4891" s="12" t="s">
        <v>39</v>
      </c>
      <c r="U4891" s="12" t="s">
        <v>40</v>
      </c>
      <c r="V4891" s="16"/>
      <c r="W4891" s="12">
        <v>250000</v>
      </c>
      <c r="X4891" s="12">
        <v>2015</v>
      </c>
      <c r="Y4891" s="12">
        <v>755</v>
      </c>
      <c r="Z4891" s="12">
        <v>4</v>
      </c>
      <c r="AA4891" s="16"/>
      <c r="AB4891" s="12">
        <v>244</v>
      </c>
      <c r="AC4891" s="12"/>
      <c r="AD4891" s="12" t="str">
        <f>IFERROR(__xludf.DUMMYFUNCTION("""COMPUTED_VALUE"""),"George W. Bush")</f>
        <v>George W. Bush</v>
      </c>
      <c r="AE4891" s="12"/>
    </row>
    <row r="4892" customHeight="1" spans="1:31">
      <c r="A4892" s="11" t="s">
        <v>30</v>
      </c>
      <c r="B4892" s="11" t="s">
        <v>23350</v>
      </c>
      <c r="C4892" s="11">
        <v>22</v>
      </c>
      <c r="D4892" s="11">
        <v>86</v>
      </c>
      <c r="E4892" s="11">
        <v>15</v>
      </c>
      <c r="F4892" s="11">
        <v>0</v>
      </c>
      <c r="G4892" s="11">
        <v>2</v>
      </c>
      <c r="H4892" s="11">
        <v>111300</v>
      </c>
      <c r="I4892" s="11" t="s">
        <v>68</v>
      </c>
      <c r="J4892" s="11" t="s">
        <v>23351</v>
      </c>
      <c r="K4892" s="11" t="s">
        <v>23352</v>
      </c>
      <c r="L4892" s="11" t="s">
        <v>23353</v>
      </c>
      <c r="M4892" s="11" t="s">
        <v>23354</v>
      </c>
      <c r="N4892" s="11">
        <v>575</v>
      </c>
      <c r="O4892" s="11">
        <v>2</v>
      </c>
      <c r="P4892" s="11">
        <v>0</v>
      </c>
      <c r="Q4892" s="11" t="s">
        <v>23355</v>
      </c>
      <c r="R4892" s="14" t="s">
        <v>23356</v>
      </c>
      <c r="S4892" s="11">
        <v>6</v>
      </c>
      <c r="T4892" s="11" t="s">
        <v>39</v>
      </c>
      <c r="U4892" s="11" t="s">
        <v>40</v>
      </c>
      <c r="V4892" s="11" t="s">
        <v>4831</v>
      </c>
      <c r="W4892" s="11">
        <v>225000</v>
      </c>
      <c r="X4892" s="11">
        <v>2012</v>
      </c>
      <c r="Y4892" s="11">
        <v>0</v>
      </c>
      <c r="Z4892" s="11">
        <v>7.5</v>
      </c>
      <c r="AA4892" s="11">
        <v>2.35</v>
      </c>
      <c r="AB4892" s="11">
        <v>801</v>
      </c>
      <c r="AC4892" s="11"/>
      <c r="AD4892" s="11" t="str">
        <f>IFERROR(__xludf.DUMMYFUNCTION("""COMPUTED_VALUE"""),"Dustin Lance Black")</f>
        <v>Dustin Lance Black</v>
      </c>
      <c r="AE4892" s="11"/>
    </row>
    <row r="4893" customHeight="1" spans="1:31">
      <c r="A4893" s="12" t="s">
        <v>30</v>
      </c>
      <c r="B4893" s="12" t="s">
        <v>23357</v>
      </c>
      <c r="C4893" s="12">
        <v>38</v>
      </c>
      <c r="D4893" s="12">
        <v>106</v>
      </c>
      <c r="E4893" s="12">
        <v>0</v>
      </c>
      <c r="F4893" s="12">
        <v>131</v>
      </c>
      <c r="G4893" s="12">
        <v>254</v>
      </c>
      <c r="H4893" s="12">
        <v>1027119</v>
      </c>
      <c r="I4893" s="12" t="s">
        <v>3410</v>
      </c>
      <c r="J4893" s="12" t="s">
        <v>13089</v>
      </c>
      <c r="K4893" s="12" t="s">
        <v>3957</v>
      </c>
      <c r="L4893" s="12" t="s">
        <v>23358</v>
      </c>
      <c r="M4893" s="12" t="s">
        <v>23359</v>
      </c>
      <c r="N4893" s="12">
        <v>2742</v>
      </c>
      <c r="O4893" s="12">
        <v>964</v>
      </c>
      <c r="P4893" s="12">
        <v>1</v>
      </c>
      <c r="Q4893" s="12" t="s">
        <v>23360</v>
      </c>
      <c r="R4893" s="15" t="s">
        <v>23361</v>
      </c>
      <c r="S4893" s="12">
        <v>73</v>
      </c>
      <c r="T4893" s="12" t="s">
        <v>39</v>
      </c>
      <c r="U4893" s="12" t="s">
        <v>40</v>
      </c>
      <c r="V4893" s="12" t="s">
        <v>586</v>
      </c>
      <c r="W4893" s="12">
        <v>225000</v>
      </c>
      <c r="X4893" s="12">
        <v>2000</v>
      </c>
      <c r="Y4893" s="12">
        <v>147</v>
      </c>
      <c r="Z4893" s="12">
        <v>7</v>
      </c>
      <c r="AA4893" s="12">
        <v>1.85</v>
      </c>
      <c r="AB4893" s="12">
        <v>72</v>
      </c>
      <c r="AC4893" s="12"/>
      <c r="AD4893" s="12" t="str">
        <f>IFERROR(__xludf.DUMMYFUNCTION("""COMPUTED_VALUE"""),"Emily Pearson")</f>
        <v>Emily Pearson</v>
      </c>
      <c r="AE4893" s="12"/>
    </row>
    <row r="4894" customHeight="1" spans="1:31">
      <c r="A4894" s="11" t="s">
        <v>30</v>
      </c>
      <c r="B4894" s="11" t="s">
        <v>23362</v>
      </c>
      <c r="C4894" s="11">
        <v>21</v>
      </c>
      <c r="D4894" s="11">
        <v>93</v>
      </c>
      <c r="E4894" s="11">
        <v>0</v>
      </c>
      <c r="F4894" s="11">
        <v>0</v>
      </c>
      <c r="G4894" s="11">
        <v>12</v>
      </c>
      <c r="H4894" s="13"/>
      <c r="I4894" s="11" t="s">
        <v>2528</v>
      </c>
      <c r="J4894" s="11" t="s">
        <v>23363</v>
      </c>
      <c r="K4894" s="11" t="s">
        <v>23364</v>
      </c>
      <c r="L4894" s="11" t="s">
        <v>23365</v>
      </c>
      <c r="M4894" s="11" t="s">
        <v>23366</v>
      </c>
      <c r="N4894" s="11">
        <v>161</v>
      </c>
      <c r="O4894" s="11">
        <v>24</v>
      </c>
      <c r="P4894" s="11">
        <v>0</v>
      </c>
      <c r="Q4894" s="11" t="s">
        <v>23367</v>
      </c>
      <c r="R4894" s="14" t="s">
        <v>23368</v>
      </c>
      <c r="S4894" s="11">
        <v>5</v>
      </c>
      <c r="T4894" s="11" t="s">
        <v>39</v>
      </c>
      <c r="U4894" s="11" t="s">
        <v>40</v>
      </c>
      <c r="V4894" s="11" t="s">
        <v>7335</v>
      </c>
      <c r="W4894" s="11">
        <v>100000</v>
      </c>
      <c r="X4894" s="11">
        <v>1969</v>
      </c>
      <c r="Y4894" s="11">
        <v>12</v>
      </c>
      <c r="Z4894" s="11">
        <v>4</v>
      </c>
      <c r="AA4894" s="11">
        <v>1.37</v>
      </c>
      <c r="AB4894" s="11">
        <v>17</v>
      </c>
      <c r="AC4894" s="11"/>
      <c r="AD4894" s="11" t="str">
        <f>IFERROR(__xludf.DUMMYFUNCTION("""COMPUTED_VALUE"""),"Gavin Newsom")</f>
        <v>Gavin Newsom</v>
      </c>
      <c r="AE4894" s="11"/>
    </row>
    <row r="4895" customHeight="1" spans="1:31">
      <c r="A4895" s="12" t="s">
        <v>748</v>
      </c>
      <c r="B4895" s="12" t="s">
        <v>23369</v>
      </c>
      <c r="C4895" s="12">
        <v>67</v>
      </c>
      <c r="D4895" s="12">
        <v>80</v>
      </c>
      <c r="E4895" s="12">
        <v>7</v>
      </c>
      <c r="F4895" s="12">
        <v>21</v>
      </c>
      <c r="G4895" s="12">
        <v>57</v>
      </c>
      <c r="H4895" s="12">
        <v>5000000</v>
      </c>
      <c r="I4895" s="12" t="s">
        <v>23370</v>
      </c>
      <c r="J4895" s="12" t="s">
        <v>23371</v>
      </c>
      <c r="K4895" s="12" t="s">
        <v>23372</v>
      </c>
      <c r="L4895" s="12" t="s">
        <v>23373</v>
      </c>
      <c r="M4895" s="12" t="s">
        <v>23374</v>
      </c>
      <c r="N4895" s="12">
        <v>4812</v>
      </c>
      <c r="O4895" s="12">
        <v>205</v>
      </c>
      <c r="P4895" s="12">
        <v>0</v>
      </c>
      <c r="Q4895" s="12" t="s">
        <v>23375</v>
      </c>
      <c r="R4895" s="15" t="s">
        <v>23376</v>
      </c>
      <c r="S4895" s="12">
        <v>88</v>
      </c>
      <c r="T4895" s="12" t="s">
        <v>39</v>
      </c>
      <c r="U4895" s="12" t="s">
        <v>40</v>
      </c>
      <c r="V4895" s="12" t="s">
        <v>6037</v>
      </c>
      <c r="W4895" s="12">
        <v>210000</v>
      </c>
      <c r="X4895" s="12">
        <v>1953</v>
      </c>
      <c r="Y4895" s="12">
        <v>40</v>
      </c>
      <c r="Z4895" s="12">
        <v>6.7</v>
      </c>
      <c r="AA4895" s="12">
        <v>1.37</v>
      </c>
      <c r="AB4895" s="12">
        <v>465</v>
      </c>
      <c r="AC4895" s="12"/>
      <c r="AD4895" s="12" t="str">
        <f>IFERROR(__xludf.DUMMYFUNCTION("""COMPUTED_VALUE"""),"Shriya Saran")</f>
        <v>Shriya Saran</v>
      </c>
      <c r="AE4895" s="12"/>
    </row>
    <row r="4896" customHeight="1" spans="1:31">
      <c r="A4896" s="11" t="s">
        <v>30</v>
      </c>
      <c r="B4896" s="11" t="s">
        <v>9668</v>
      </c>
      <c r="C4896" s="11">
        <v>69</v>
      </c>
      <c r="D4896" s="11">
        <v>127</v>
      </c>
      <c r="E4896" s="11">
        <v>130</v>
      </c>
      <c r="F4896" s="11">
        <v>51</v>
      </c>
      <c r="G4896" s="11">
        <v>618</v>
      </c>
      <c r="H4896" s="13"/>
      <c r="I4896" s="11" t="s">
        <v>17586</v>
      </c>
      <c r="J4896" s="11" t="s">
        <v>4825</v>
      </c>
      <c r="K4896" s="11" t="s">
        <v>17587</v>
      </c>
      <c r="L4896" s="11" t="s">
        <v>17588</v>
      </c>
      <c r="M4896" s="11" t="s">
        <v>17589</v>
      </c>
      <c r="N4896" s="11">
        <v>22124</v>
      </c>
      <c r="O4896" s="11">
        <v>800</v>
      </c>
      <c r="P4896" s="11">
        <v>0</v>
      </c>
      <c r="Q4896" s="11" t="s">
        <v>17590</v>
      </c>
      <c r="R4896" s="14" t="s">
        <v>17591</v>
      </c>
      <c r="S4896" s="11">
        <v>108</v>
      </c>
      <c r="T4896" s="11" t="s">
        <v>39</v>
      </c>
      <c r="U4896" s="11" t="s">
        <v>40</v>
      </c>
      <c r="V4896" s="11" t="s">
        <v>6037</v>
      </c>
      <c r="W4896" s="11">
        <v>5000000</v>
      </c>
      <c r="X4896" s="11">
        <v>1954</v>
      </c>
      <c r="Y4896" s="11">
        <v>53</v>
      </c>
      <c r="Z4896" s="11">
        <v>7.2</v>
      </c>
      <c r="AA4896" s="11">
        <v>1.37</v>
      </c>
      <c r="AB4896" s="11">
        <v>0</v>
      </c>
      <c r="AC4896" s="11"/>
      <c r="AD4896" s="11" t="str">
        <f>IFERROR(__xludf.DUMMYFUNCTION("""COMPUTED_VALUE"""),"Rüdiger Vogler")</f>
        <v>Rüdiger Vogler</v>
      </c>
      <c r="AE4896" s="11"/>
    </row>
    <row r="4897" customHeight="1" spans="1:31">
      <c r="A4897" s="12" t="s">
        <v>30</v>
      </c>
      <c r="B4897" s="12" t="s">
        <v>846</v>
      </c>
      <c r="C4897" s="12">
        <v>208</v>
      </c>
      <c r="D4897" s="12">
        <v>93</v>
      </c>
      <c r="E4897" s="12">
        <v>750</v>
      </c>
      <c r="F4897" s="12">
        <v>28</v>
      </c>
      <c r="G4897" s="12">
        <v>728</v>
      </c>
      <c r="H4897" s="16"/>
      <c r="I4897" s="12" t="s">
        <v>227</v>
      </c>
      <c r="J4897" s="12" t="s">
        <v>23377</v>
      </c>
      <c r="K4897" s="12" t="s">
        <v>367</v>
      </c>
      <c r="L4897" s="12" t="s">
        <v>23378</v>
      </c>
      <c r="M4897" s="12" t="s">
        <v>23379</v>
      </c>
      <c r="N4897" s="12">
        <v>152232</v>
      </c>
      <c r="O4897" s="12">
        <v>928</v>
      </c>
      <c r="P4897" s="12">
        <v>0</v>
      </c>
      <c r="Q4897" s="12" t="s">
        <v>23380</v>
      </c>
      <c r="R4897" s="15" t="s">
        <v>23381</v>
      </c>
      <c r="S4897" s="12">
        <v>303</v>
      </c>
      <c r="T4897" s="12" t="s">
        <v>39</v>
      </c>
      <c r="U4897" s="12" t="s">
        <v>371</v>
      </c>
      <c r="V4897" s="12" t="s">
        <v>586</v>
      </c>
      <c r="W4897" s="12">
        <v>200000</v>
      </c>
      <c r="X4897" s="12">
        <v>1979</v>
      </c>
      <c r="Y4897" s="12">
        <v>76</v>
      </c>
      <c r="Z4897" s="12">
        <v>7</v>
      </c>
      <c r="AA4897" s="12">
        <v>2.35</v>
      </c>
      <c r="AB4897" s="12">
        <v>10000</v>
      </c>
      <c r="AC4897" s="12"/>
      <c r="AD4897" s="12" t="str">
        <f>IFERROR(__xludf.DUMMYFUNCTION("""COMPUTED_VALUE"""),"Sebastian Blomberg")</f>
        <v>Sebastian Blomberg</v>
      </c>
      <c r="AE4897" s="12"/>
    </row>
    <row r="4898" customHeight="1" spans="1:31">
      <c r="A4898" s="11" t="s">
        <v>30</v>
      </c>
      <c r="B4898" s="11" t="s">
        <v>522</v>
      </c>
      <c r="C4898" s="11">
        <v>77</v>
      </c>
      <c r="D4898" s="11">
        <v>96</v>
      </c>
      <c r="E4898" s="11">
        <v>218</v>
      </c>
      <c r="F4898" s="11">
        <v>31</v>
      </c>
      <c r="G4898" s="11">
        <v>4000</v>
      </c>
      <c r="H4898" s="11">
        <v>4505922</v>
      </c>
      <c r="I4898" s="11" t="s">
        <v>2528</v>
      </c>
      <c r="J4898" s="11" t="s">
        <v>251</v>
      </c>
      <c r="K4898" s="11" t="s">
        <v>23382</v>
      </c>
      <c r="L4898" s="11" t="s">
        <v>23383</v>
      </c>
      <c r="M4898" s="11" t="s">
        <v>23384</v>
      </c>
      <c r="N4898" s="11">
        <v>63951</v>
      </c>
      <c r="O4898" s="11">
        <v>4230</v>
      </c>
      <c r="P4898" s="11">
        <v>0</v>
      </c>
      <c r="Q4898" s="11" t="s">
        <v>23385</v>
      </c>
      <c r="R4898" s="14" t="s">
        <v>23386</v>
      </c>
      <c r="S4898" s="11">
        <v>252</v>
      </c>
      <c r="T4898" s="11" t="s">
        <v>39</v>
      </c>
      <c r="U4898" s="11" t="s">
        <v>40</v>
      </c>
      <c r="V4898" s="11" t="s">
        <v>586</v>
      </c>
      <c r="W4898" s="11">
        <v>200000</v>
      </c>
      <c r="X4898" s="11">
        <v>1996</v>
      </c>
      <c r="Y4898" s="11">
        <v>135</v>
      </c>
      <c r="Z4898" s="11">
        <v>7.4</v>
      </c>
      <c r="AA4898" s="11">
        <v>1.85</v>
      </c>
      <c r="AB4898" s="11">
        <v>0</v>
      </c>
      <c r="AC4898" s="11"/>
      <c r="AD4898" s="11" t="str">
        <f>IFERROR(__xludf.DUMMYFUNCTION("""COMPUTED_VALUE"""),"Tenoch Huerta")</f>
        <v>Tenoch Huerta</v>
      </c>
      <c r="AE4898" s="11"/>
    </row>
    <row r="4899" customHeight="1" spans="1:31">
      <c r="A4899" s="12" t="s">
        <v>30</v>
      </c>
      <c r="B4899" s="12" t="s">
        <v>8663</v>
      </c>
      <c r="C4899" s="12">
        <v>122</v>
      </c>
      <c r="D4899" s="12">
        <v>99</v>
      </c>
      <c r="E4899" s="12">
        <v>0</v>
      </c>
      <c r="F4899" s="12">
        <v>93</v>
      </c>
      <c r="G4899" s="12">
        <v>16000</v>
      </c>
      <c r="H4899" s="12">
        <v>3500000</v>
      </c>
      <c r="I4899" s="12" t="s">
        <v>10089</v>
      </c>
      <c r="J4899" s="12" t="s">
        <v>3695</v>
      </c>
      <c r="K4899" s="12" t="s">
        <v>23387</v>
      </c>
      <c r="L4899" s="12" t="s">
        <v>23388</v>
      </c>
      <c r="M4899" s="12" t="s">
        <v>23389</v>
      </c>
      <c r="N4899" s="12">
        <v>147566</v>
      </c>
      <c r="O4899" s="12">
        <v>16534</v>
      </c>
      <c r="P4899" s="12">
        <v>1</v>
      </c>
      <c r="Q4899" s="12" t="s">
        <v>23390</v>
      </c>
      <c r="R4899" s="15" t="s">
        <v>23391</v>
      </c>
      <c r="S4899" s="12">
        <v>235</v>
      </c>
      <c r="T4899" s="12" t="s">
        <v>9796</v>
      </c>
      <c r="U4899" s="12" t="s">
        <v>7091</v>
      </c>
      <c r="V4899" s="12" t="s">
        <v>586</v>
      </c>
      <c r="W4899" s="12">
        <v>200000</v>
      </c>
      <c r="X4899" s="12">
        <v>1964</v>
      </c>
      <c r="Y4899" s="12">
        <v>360</v>
      </c>
      <c r="Z4899" s="12">
        <v>8</v>
      </c>
      <c r="AA4899" s="12">
        <v>2.35</v>
      </c>
      <c r="AB4899" s="12">
        <v>0</v>
      </c>
      <c r="AC4899" s="12"/>
      <c r="AD4899" s="12" t="str">
        <f>IFERROR(__xludf.DUMMYFUNCTION("""COMPUTED_VALUE"""),"Paul T. Taylor")</f>
        <v>Paul T. Taylor</v>
      </c>
      <c r="AE4899" s="12"/>
    </row>
    <row r="4900" customHeight="1" spans="1:31">
      <c r="A4900" s="11" t="s">
        <v>748</v>
      </c>
      <c r="B4900" s="11" t="s">
        <v>23392</v>
      </c>
      <c r="C4900" s="11">
        <v>35</v>
      </c>
      <c r="D4900" s="11">
        <v>66</v>
      </c>
      <c r="E4900" s="11">
        <v>16</v>
      </c>
      <c r="F4900" s="11">
        <v>28</v>
      </c>
      <c r="G4900" s="11">
        <v>418</v>
      </c>
      <c r="H4900" s="13"/>
      <c r="I4900" s="11" t="s">
        <v>23393</v>
      </c>
      <c r="J4900" s="11" t="s">
        <v>23394</v>
      </c>
      <c r="K4900" s="11" t="s">
        <v>23395</v>
      </c>
      <c r="L4900" s="11" t="s">
        <v>23396</v>
      </c>
      <c r="M4900" s="11" t="s">
        <v>23397</v>
      </c>
      <c r="N4900" s="11">
        <v>4152</v>
      </c>
      <c r="O4900" s="11">
        <v>583</v>
      </c>
      <c r="P4900" s="11">
        <v>1</v>
      </c>
      <c r="Q4900" s="11" t="s">
        <v>23398</v>
      </c>
      <c r="R4900" s="14" t="s">
        <v>23399</v>
      </c>
      <c r="S4900" s="11">
        <v>59</v>
      </c>
      <c r="T4900" s="11" t="s">
        <v>39</v>
      </c>
      <c r="U4900" s="11" t="s">
        <v>40</v>
      </c>
      <c r="V4900" s="11" t="s">
        <v>6037</v>
      </c>
      <c r="W4900" s="11">
        <v>200000</v>
      </c>
      <c r="X4900" s="11">
        <v>1933</v>
      </c>
      <c r="Y4900" s="11">
        <v>85</v>
      </c>
      <c r="Z4900" s="11">
        <v>6.5</v>
      </c>
      <c r="AA4900" s="11">
        <v>1.37</v>
      </c>
      <c r="AB4900" s="11">
        <v>328</v>
      </c>
      <c r="AC4900" s="11"/>
      <c r="AD4900" s="11" t="str">
        <f>IFERROR(__xludf.DUMMYFUNCTION("""COMPUTED_VALUE"""),"Cecilia Pillado")</f>
        <v>Cecilia Pillado</v>
      </c>
      <c r="AE4900" s="11"/>
    </row>
    <row r="4901" customHeight="1" spans="1:31">
      <c r="A4901" s="12" t="s">
        <v>30</v>
      </c>
      <c r="B4901" s="12" t="s">
        <v>23400</v>
      </c>
      <c r="C4901" s="12">
        <v>15</v>
      </c>
      <c r="D4901" s="12">
        <v>85</v>
      </c>
      <c r="E4901" s="12">
        <v>0</v>
      </c>
      <c r="F4901" s="12">
        <v>0</v>
      </c>
      <c r="G4901" s="12">
        <v>66</v>
      </c>
      <c r="H4901" s="12">
        <v>381225</v>
      </c>
      <c r="I4901" s="12" t="s">
        <v>68</v>
      </c>
      <c r="J4901" s="12" t="s">
        <v>23401</v>
      </c>
      <c r="K4901" s="12" t="s">
        <v>23402</v>
      </c>
      <c r="L4901" s="12" t="s">
        <v>23403</v>
      </c>
      <c r="M4901" s="12" t="s">
        <v>23404</v>
      </c>
      <c r="N4901" s="12">
        <v>131</v>
      </c>
      <c r="O4901" s="12">
        <v>66</v>
      </c>
      <c r="P4901" s="12">
        <v>0</v>
      </c>
      <c r="Q4901" s="16"/>
      <c r="R4901" s="15" t="s">
        <v>23405</v>
      </c>
      <c r="S4901" s="12">
        <v>13</v>
      </c>
      <c r="T4901" s="12" t="s">
        <v>39</v>
      </c>
      <c r="U4901" s="12" t="s">
        <v>40</v>
      </c>
      <c r="V4901" s="12" t="s">
        <v>5614</v>
      </c>
      <c r="W4901" s="12">
        <v>200000</v>
      </c>
      <c r="X4901" s="12">
        <v>2004</v>
      </c>
      <c r="Y4901" s="12">
        <v>0</v>
      </c>
      <c r="Z4901" s="12">
        <v>7.2</v>
      </c>
      <c r="AA4901" s="12">
        <v>1.78</v>
      </c>
      <c r="AB4901" s="12">
        <v>30</v>
      </c>
      <c r="AC4901" s="12"/>
      <c r="AD4901" s="12" t="str">
        <f>IFERROR(__xludf.DUMMYFUNCTION("""COMPUTED_VALUE"""),"Emmanuel Kabongo")</f>
        <v>Emmanuel Kabongo</v>
      </c>
      <c r="AE4901" s="12"/>
    </row>
    <row r="4902" customHeight="1" spans="1:31">
      <c r="A4902" s="11" t="s">
        <v>30</v>
      </c>
      <c r="B4902" s="11" t="s">
        <v>23406</v>
      </c>
      <c r="C4902" s="11">
        <v>25</v>
      </c>
      <c r="D4902" s="11">
        <v>101</v>
      </c>
      <c r="E4902" s="11">
        <v>0</v>
      </c>
      <c r="F4902" s="11">
        <v>16</v>
      </c>
      <c r="G4902" s="11">
        <v>77000</v>
      </c>
      <c r="H4902" s="11">
        <v>2428241</v>
      </c>
      <c r="I4902" s="11" t="s">
        <v>3410</v>
      </c>
      <c r="J4902" s="11" t="s">
        <v>23407</v>
      </c>
      <c r="K4902" s="11" t="s">
        <v>23408</v>
      </c>
      <c r="L4902" s="11" t="s">
        <v>23409</v>
      </c>
      <c r="M4902" s="11" t="s">
        <v>23410</v>
      </c>
      <c r="N4902" s="11">
        <v>2099</v>
      </c>
      <c r="O4902" s="11">
        <v>77046</v>
      </c>
      <c r="P4902" s="11">
        <v>7</v>
      </c>
      <c r="Q4902" s="11" t="s">
        <v>23411</v>
      </c>
      <c r="R4902" s="14" t="s">
        <v>23412</v>
      </c>
      <c r="S4902" s="11">
        <v>26</v>
      </c>
      <c r="T4902" s="11" t="s">
        <v>39</v>
      </c>
      <c r="U4902" s="11" t="s">
        <v>40</v>
      </c>
      <c r="V4902" s="11" t="s">
        <v>41</v>
      </c>
      <c r="W4902" s="11">
        <v>200000</v>
      </c>
      <c r="X4902" s="11">
        <v>2010</v>
      </c>
      <c r="Y4902" s="11">
        <v>21</v>
      </c>
      <c r="Z4902" s="11">
        <v>6.4</v>
      </c>
      <c r="AA4902" s="13"/>
      <c r="AB4902" s="11">
        <v>0</v>
      </c>
      <c r="AC4902" s="11"/>
      <c r="AD4902" s="11" t="str">
        <f>IFERROR(__xludf.DUMMYFUNCTION("""COMPUTED_VALUE"""),"Justine Waddell")</f>
        <v>Justine Waddell</v>
      </c>
      <c r="AE4902" s="11"/>
    </row>
    <row r="4903" customHeight="1" spans="1:31">
      <c r="A4903" s="12" t="s">
        <v>30</v>
      </c>
      <c r="B4903" s="12" t="s">
        <v>10765</v>
      </c>
      <c r="C4903" s="12">
        <v>37</v>
      </c>
      <c r="D4903" s="12">
        <v>97</v>
      </c>
      <c r="E4903" s="12">
        <v>151</v>
      </c>
      <c r="F4903" s="12">
        <v>305</v>
      </c>
      <c r="G4903" s="12">
        <v>1000</v>
      </c>
      <c r="H4903" s="12">
        <v>78030</v>
      </c>
      <c r="I4903" s="12" t="s">
        <v>3410</v>
      </c>
      <c r="J4903" s="12" t="s">
        <v>5952</v>
      </c>
      <c r="K4903" s="12" t="s">
        <v>2039</v>
      </c>
      <c r="L4903" s="12" t="s">
        <v>23413</v>
      </c>
      <c r="M4903" s="12" t="s">
        <v>23414</v>
      </c>
      <c r="N4903" s="12">
        <v>1034</v>
      </c>
      <c r="O4903" s="12">
        <v>3021</v>
      </c>
      <c r="P4903" s="12">
        <v>2</v>
      </c>
      <c r="Q4903" s="16"/>
      <c r="R4903" s="15" t="s">
        <v>23415</v>
      </c>
      <c r="S4903" s="12">
        <v>10</v>
      </c>
      <c r="T4903" s="12" t="s">
        <v>39</v>
      </c>
      <c r="U4903" s="12" t="s">
        <v>40</v>
      </c>
      <c r="V4903" s="12" t="s">
        <v>586</v>
      </c>
      <c r="W4903" s="12">
        <v>200000</v>
      </c>
      <c r="X4903" s="12">
        <v>2012</v>
      </c>
      <c r="Y4903" s="12">
        <v>1000</v>
      </c>
      <c r="Z4903" s="12">
        <v>6.5</v>
      </c>
      <c r="AA4903" s="12">
        <v>2.35</v>
      </c>
      <c r="AB4903" s="12">
        <v>569</v>
      </c>
      <c r="AC4903" s="12"/>
      <c r="AD4903" s="12" t="str">
        <f>IFERROR(__xludf.DUMMYFUNCTION("""COMPUTED_VALUE"""),"Anthony 'Citric' Campos")</f>
        <v>Anthony 'Citric' Campos</v>
      </c>
      <c r="AE4903" s="12"/>
    </row>
    <row r="4904" customHeight="1" spans="1:31">
      <c r="A4904" s="11" t="s">
        <v>30</v>
      </c>
      <c r="B4904" s="11" t="s">
        <v>1848</v>
      </c>
      <c r="C4904" s="11">
        <v>76</v>
      </c>
      <c r="D4904" s="11">
        <v>119</v>
      </c>
      <c r="E4904" s="11">
        <v>670</v>
      </c>
      <c r="F4904" s="11">
        <v>9</v>
      </c>
      <c r="G4904" s="11">
        <v>24</v>
      </c>
      <c r="H4904" s="11">
        <v>59774</v>
      </c>
      <c r="I4904" s="11" t="s">
        <v>1415</v>
      </c>
      <c r="J4904" s="11" t="s">
        <v>23416</v>
      </c>
      <c r="K4904" s="11" t="s">
        <v>23417</v>
      </c>
      <c r="L4904" s="11" t="s">
        <v>23418</v>
      </c>
      <c r="M4904" s="11" t="s">
        <v>23419</v>
      </c>
      <c r="N4904" s="11">
        <v>4212</v>
      </c>
      <c r="O4904" s="11">
        <v>69</v>
      </c>
      <c r="P4904" s="11">
        <v>0</v>
      </c>
      <c r="Q4904" s="11" t="s">
        <v>23420</v>
      </c>
      <c r="R4904" s="14" t="s">
        <v>23421</v>
      </c>
      <c r="S4904" s="11">
        <v>18</v>
      </c>
      <c r="T4904" s="11" t="s">
        <v>8732</v>
      </c>
      <c r="U4904" s="11" t="s">
        <v>768</v>
      </c>
      <c r="V4904" s="11" t="s">
        <v>5614</v>
      </c>
      <c r="W4904" s="13"/>
      <c r="X4904" s="11">
        <v>2010</v>
      </c>
      <c r="Y4904" s="11">
        <v>20</v>
      </c>
      <c r="Z4904" s="11">
        <v>6.8</v>
      </c>
      <c r="AA4904" s="11">
        <v>2.35</v>
      </c>
      <c r="AB4904" s="11">
        <v>2000</v>
      </c>
      <c r="AC4904" s="11"/>
      <c r="AD4904" s="11" t="str">
        <f>IFERROR(__xludf.DUMMYFUNCTION("""COMPUTED_VALUE"""),"Kevin Leslie")</f>
        <v>Kevin Leslie</v>
      </c>
      <c r="AE4904" s="11"/>
    </row>
    <row r="4905" customHeight="1" spans="1:31">
      <c r="A4905" s="12" t="s">
        <v>30</v>
      </c>
      <c r="B4905" s="12" t="s">
        <v>23422</v>
      </c>
      <c r="C4905" s="12">
        <v>12</v>
      </c>
      <c r="D4905" s="12">
        <v>103</v>
      </c>
      <c r="E4905" s="12">
        <v>18</v>
      </c>
      <c r="F4905" s="12">
        <v>61</v>
      </c>
      <c r="G4905" s="12">
        <v>96</v>
      </c>
      <c r="H4905" s="12">
        <v>174682</v>
      </c>
      <c r="I4905" s="12" t="s">
        <v>6200</v>
      </c>
      <c r="J4905" s="12" t="s">
        <v>23423</v>
      </c>
      <c r="K4905" s="12" t="s">
        <v>23424</v>
      </c>
      <c r="L4905" s="12" t="s">
        <v>23425</v>
      </c>
      <c r="M4905" s="12" t="s">
        <v>23426</v>
      </c>
      <c r="N4905" s="12">
        <v>460</v>
      </c>
      <c r="O4905" s="12">
        <v>314</v>
      </c>
      <c r="P4905" s="12">
        <v>0</v>
      </c>
      <c r="Q4905" s="12" t="s">
        <v>23427</v>
      </c>
      <c r="R4905" s="15" t="s">
        <v>23428</v>
      </c>
      <c r="S4905" s="12">
        <v>14</v>
      </c>
      <c r="T4905" s="12" t="s">
        <v>39</v>
      </c>
      <c r="U4905" s="12" t="s">
        <v>40</v>
      </c>
      <c r="V4905" s="16"/>
      <c r="W4905" s="12">
        <v>200000</v>
      </c>
      <c r="X4905" s="12">
        <v>2002</v>
      </c>
      <c r="Y4905" s="12">
        <v>90</v>
      </c>
      <c r="Z4905" s="12">
        <v>6.9</v>
      </c>
      <c r="AA4905" s="16"/>
      <c r="AB4905" s="12">
        <v>96</v>
      </c>
      <c r="AC4905" s="12"/>
      <c r="AD4905" s="12" t="str">
        <f>IFERROR(__xludf.DUMMYFUNCTION("""COMPUTED_VALUE"""),"Kris Sommerville")</f>
        <v>Kris Sommerville</v>
      </c>
      <c r="AE4905" s="12"/>
    </row>
    <row r="4906" customHeight="1" spans="1:31">
      <c r="A4906" s="11" t="s">
        <v>30</v>
      </c>
      <c r="B4906" s="11" t="s">
        <v>23429</v>
      </c>
      <c r="C4906" s="11">
        <v>7</v>
      </c>
      <c r="D4906" s="11">
        <v>86</v>
      </c>
      <c r="E4906" s="11">
        <v>0</v>
      </c>
      <c r="F4906" s="11">
        <v>15</v>
      </c>
      <c r="G4906" s="11">
        <v>178</v>
      </c>
      <c r="H4906" s="11">
        <v>215185</v>
      </c>
      <c r="I4906" s="11" t="s">
        <v>22393</v>
      </c>
      <c r="J4906" s="11" t="s">
        <v>23430</v>
      </c>
      <c r="K4906" s="11" t="s">
        <v>23431</v>
      </c>
      <c r="L4906" s="11" t="s">
        <v>23432</v>
      </c>
      <c r="M4906" s="11" t="s">
        <v>23433</v>
      </c>
      <c r="N4906" s="11">
        <v>48</v>
      </c>
      <c r="O4906" s="11">
        <v>279</v>
      </c>
      <c r="P4906" s="11">
        <v>3</v>
      </c>
      <c r="Q4906" s="11" t="s">
        <v>23434</v>
      </c>
      <c r="R4906" s="14" t="s">
        <v>23435</v>
      </c>
      <c r="S4906" s="11">
        <v>2</v>
      </c>
      <c r="T4906" s="11" t="s">
        <v>39</v>
      </c>
      <c r="U4906" s="11" t="s">
        <v>40</v>
      </c>
      <c r="V4906" s="11" t="s">
        <v>41</v>
      </c>
      <c r="W4906" s="11">
        <v>200000</v>
      </c>
      <c r="X4906" s="11">
        <v>2008</v>
      </c>
      <c r="Y4906" s="11">
        <v>58</v>
      </c>
      <c r="Z4906" s="11">
        <v>7.5</v>
      </c>
      <c r="AA4906" s="13"/>
      <c r="AB4906" s="11">
        <v>26</v>
      </c>
      <c r="AC4906" s="11"/>
      <c r="AD4906" s="11" t="str">
        <f>IFERROR(__xludf.DUMMYFUNCTION("""COMPUTED_VALUE"""),"Bianca Brigitte VanDamme")</f>
        <v>Bianca Brigitte VanDamme</v>
      </c>
      <c r="AE4906" s="11"/>
    </row>
    <row r="4907" customHeight="1" spans="1:31">
      <c r="A4907" s="12" t="s">
        <v>30</v>
      </c>
      <c r="B4907" s="12" t="s">
        <v>1527</v>
      </c>
      <c r="C4907" s="12">
        <v>450</v>
      </c>
      <c r="D4907" s="12">
        <v>106</v>
      </c>
      <c r="E4907" s="12">
        <v>0</v>
      </c>
      <c r="F4907" s="12">
        <v>273</v>
      </c>
      <c r="G4907" s="12">
        <v>17000</v>
      </c>
      <c r="H4907" s="12">
        <v>32154410</v>
      </c>
      <c r="I4907" s="12" t="s">
        <v>2126</v>
      </c>
      <c r="J4907" s="12" t="s">
        <v>445</v>
      </c>
      <c r="K4907" s="12" t="s">
        <v>5196</v>
      </c>
      <c r="L4907" s="12" t="s">
        <v>8447</v>
      </c>
      <c r="M4907" s="12" t="s">
        <v>8448</v>
      </c>
      <c r="N4907" s="12">
        <v>148334</v>
      </c>
      <c r="O4907" s="12">
        <v>18469</v>
      </c>
      <c r="P4907" s="12">
        <v>0</v>
      </c>
      <c r="Q4907" s="12" t="s">
        <v>8449</v>
      </c>
      <c r="R4907" s="15" t="s">
        <v>8450</v>
      </c>
      <c r="S4907" s="12">
        <v>274</v>
      </c>
      <c r="T4907" s="12" t="s">
        <v>39</v>
      </c>
      <c r="U4907" s="12" t="s">
        <v>40</v>
      </c>
      <c r="V4907" s="12" t="s">
        <v>586</v>
      </c>
      <c r="W4907" s="12">
        <v>30000000</v>
      </c>
      <c r="X4907" s="12">
        <v>2013</v>
      </c>
      <c r="Y4907" s="12">
        <v>681</v>
      </c>
      <c r="Z4907" s="12">
        <v>7.1</v>
      </c>
      <c r="AA4907" s="12">
        <v>1.85</v>
      </c>
      <c r="AB4907" s="12">
        <v>29000</v>
      </c>
      <c r="AC4907" s="12"/>
      <c r="AD4907" s="12" t="str">
        <f>IFERROR(__xludf.DUMMYFUNCTION("""COMPUTED_VALUE"""),"Basil Rathbone")</f>
        <v>Basil Rathbone</v>
      </c>
      <c r="AE4907" s="12"/>
    </row>
    <row r="4908" customHeight="1" spans="1:31">
      <c r="A4908" s="11" t="s">
        <v>30</v>
      </c>
      <c r="B4908" s="11" t="s">
        <v>23436</v>
      </c>
      <c r="C4908" s="11">
        <v>60</v>
      </c>
      <c r="D4908" s="11">
        <v>90</v>
      </c>
      <c r="E4908" s="11">
        <v>25</v>
      </c>
      <c r="F4908" s="11">
        <v>10</v>
      </c>
      <c r="G4908" s="11">
        <v>169</v>
      </c>
      <c r="H4908" s="13"/>
      <c r="I4908" s="11" t="s">
        <v>4833</v>
      </c>
      <c r="J4908" s="11" t="s">
        <v>22917</v>
      </c>
      <c r="K4908" s="11" t="s">
        <v>23436</v>
      </c>
      <c r="L4908" s="11" t="s">
        <v>23437</v>
      </c>
      <c r="M4908" s="11" t="s">
        <v>23438</v>
      </c>
      <c r="N4908" s="11">
        <v>2413</v>
      </c>
      <c r="O4908" s="11">
        <v>206</v>
      </c>
      <c r="P4908" s="11">
        <v>0</v>
      </c>
      <c r="Q4908" s="11" t="s">
        <v>23439</v>
      </c>
      <c r="R4908" s="14" t="s">
        <v>23440</v>
      </c>
      <c r="S4908" s="11">
        <v>112</v>
      </c>
      <c r="T4908" s="11" t="s">
        <v>39</v>
      </c>
      <c r="U4908" s="11" t="s">
        <v>40</v>
      </c>
      <c r="V4908" s="11" t="s">
        <v>586</v>
      </c>
      <c r="W4908" s="11">
        <v>200000</v>
      </c>
      <c r="X4908" s="11">
        <v>2003</v>
      </c>
      <c r="Y4908" s="11">
        <v>25</v>
      </c>
      <c r="Z4908" s="11">
        <v>5.1</v>
      </c>
      <c r="AA4908" s="11">
        <v>1.33</v>
      </c>
      <c r="AB4908" s="11">
        <v>198</v>
      </c>
      <c r="AC4908" s="11"/>
      <c r="AD4908" s="11" t="str">
        <f>IFERROR(__xludf.DUMMYFUNCTION("""COMPUTED_VALUE"""),"Red Skelton")</f>
        <v>Red Skelton</v>
      </c>
      <c r="AE4908" s="11"/>
    </row>
    <row r="4909" customHeight="1" spans="1:31">
      <c r="A4909" s="12" t="s">
        <v>30</v>
      </c>
      <c r="B4909" s="12" t="s">
        <v>12538</v>
      </c>
      <c r="C4909" s="12">
        <v>4</v>
      </c>
      <c r="D4909" s="12">
        <v>95</v>
      </c>
      <c r="E4909" s="12">
        <v>89</v>
      </c>
      <c r="F4909" s="12">
        <v>45</v>
      </c>
      <c r="G4909" s="12">
        <v>471</v>
      </c>
      <c r="H4909" s="16"/>
      <c r="I4909" s="12" t="s">
        <v>2528</v>
      </c>
      <c r="J4909" s="12" t="s">
        <v>23441</v>
      </c>
      <c r="K4909" s="12" t="s">
        <v>12538</v>
      </c>
      <c r="L4909" s="12" t="s">
        <v>23442</v>
      </c>
      <c r="M4909" s="12" t="s">
        <v>23443</v>
      </c>
      <c r="N4909" s="12">
        <v>81</v>
      </c>
      <c r="O4909" s="12">
        <v>705</v>
      </c>
      <c r="P4909" s="12">
        <v>0</v>
      </c>
      <c r="Q4909" s="12" t="s">
        <v>23444</v>
      </c>
      <c r="R4909" s="15" t="s">
        <v>23445</v>
      </c>
      <c r="S4909" s="12">
        <v>1</v>
      </c>
      <c r="T4909" s="12" t="s">
        <v>39</v>
      </c>
      <c r="U4909" s="12" t="s">
        <v>40</v>
      </c>
      <c r="V4909" s="16"/>
      <c r="W4909" s="12">
        <v>250000</v>
      </c>
      <c r="X4909" s="12">
        <v>2015</v>
      </c>
      <c r="Y4909" s="12">
        <v>89</v>
      </c>
      <c r="Z4909" s="12">
        <v>6.2</v>
      </c>
      <c r="AA4909" s="16"/>
      <c r="AB4909" s="12">
        <v>47</v>
      </c>
      <c r="AC4909" s="12"/>
      <c r="AD4909" s="12" t="str">
        <f>IFERROR(__xludf.DUMMYFUNCTION("""COMPUTED_VALUE"""),"Jossara Jinaro")</f>
        <v>Jossara Jinaro</v>
      </c>
      <c r="AE4909" s="12"/>
    </row>
    <row r="4910" customHeight="1" spans="1:31">
      <c r="A4910" s="11" t="s">
        <v>30</v>
      </c>
      <c r="B4910" s="11" t="s">
        <v>10932</v>
      </c>
      <c r="C4910" s="11">
        <v>42</v>
      </c>
      <c r="D4910" s="11">
        <v>94</v>
      </c>
      <c r="E4910" s="11">
        <v>2</v>
      </c>
      <c r="F4910" s="11">
        <v>156</v>
      </c>
      <c r="G4910" s="11">
        <v>259</v>
      </c>
      <c r="H4910" s="13"/>
      <c r="I4910" s="11" t="s">
        <v>4333</v>
      </c>
      <c r="J4910" s="11" t="s">
        <v>23446</v>
      </c>
      <c r="K4910" s="11" t="s">
        <v>23447</v>
      </c>
      <c r="L4910" s="11" t="s">
        <v>23448</v>
      </c>
      <c r="M4910" s="11" t="s">
        <v>23449</v>
      </c>
      <c r="N4910" s="11">
        <v>1328</v>
      </c>
      <c r="O4910" s="11">
        <v>711</v>
      </c>
      <c r="P4910" s="11">
        <v>0</v>
      </c>
      <c r="Q4910" s="11" t="s">
        <v>23450</v>
      </c>
      <c r="R4910" s="14" t="s">
        <v>23451</v>
      </c>
      <c r="S4910" s="11">
        <v>22</v>
      </c>
      <c r="T4910" s="11" t="s">
        <v>39</v>
      </c>
      <c r="U4910" s="11" t="s">
        <v>40</v>
      </c>
      <c r="V4910" s="11" t="s">
        <v>41</v>
      </c>
      <c r="W4910" s="11">
        <v>13000000</v>
      </c>
      <c r="X4910" s="11">
        <v>2010</v>
      </c>
      <c r="Y4910" s="11">
        <v>165</v>
      </c>
      <c r="Z4910" s="11">
        <v>3.9</v>
      </c>
      <c r="AA4910" s="11">
        <v>2.35</v>
      </c>
      <c r="AB4910" s="11">
        <v>0</v>
      </c>
      <c r="AC4910" s="11"/>
      <c r="AD4910" s="11" t="str">
        <f>IFERROR(__xludf.DUMMYFUNCTION("""COMPUTED_VALUE"""),"Rene Rosado")</f>
        <v>Rene Rosado</v>
      </c>
      <c r="AE4910" s="11"/>
    </row>
    <row r="4911" customHeight="1" spans="1:31">
      <c r="A4911" s="12" t="s">
        <v>30</v>
      </c>
      <c r="B4911" s="12" t="s">
        <v>15176</v>
      </c>
      <c r="C4911" s="12">
        <v>93</v>
      </c>
      <c r="D4911" s="12">
        <v>84</v>
      </c>
      <c r="E4911" s="12">
        <v>157</v>
      </c>
      <c r="F4911" s="12">
        <v>98</v>
      </c>
      <c r="G4911" s="12">
        <v>962</v>
      </c>
      <c r="H4911" s="12">
        <v>140016</v>
      </c>
      <c r="I4911" s="12" t="s">
        <v>15468</v>
      </c>
      <c r="J4911" s="12" t="s">
        <v>9480</v>
      </c>
      <c r="K4911" s="12" t="s">
        <v>22792</v>
      </c>
      <c r="L4911" s="12" t="s">
        <v>23452</v>
      </c>
      <c r="M4911" s="12" t="s">
        <v>23453</v>
      </c>
      <c r="N4911" s="12">
        <v>3507</v>
      </c>
      <c r="O4911" s="12">
        <v>2016</v>
      </c>
      <c r="P4911" s="12">
        <v>0</v>
      </c>
      <c r="Q4911" s="12" t="s">
        <v>23454</v>
      </c>
      <c r="R4911" s="15" t="s">
        <v>23455</v>
      </c>
      <c r="S4911" s="12">
        <v>40</v>
      </c>
      <c r="T4911" s="12" t="s">
        <v>39</v>
      </c>
      <c r="U4911" s="12" t="s">
        <v>40</v>
      </c>
      <c r="V4911" s="12" t="s">
        <v>586</v>
      </c>
      <c r="W4911" s="16"/>
      <c r="X4911" s="12">
        <v>2008</v>
      </c>
      <c r="Y4911" s="12">
        <v>873</v>
      </c>
      <c r="Z4911" s="12">
        <v>6</v>
      </c>
      <c r="AA4911" s="12">
        <v>1.85</v>
      </c>
      <c r="AB4911" s="12">
        <v>443</v>
      </c>
      <c r="AC4911" s="12"/>
      <c r="AD4911" s="12" t="str">
        <f>IFERROR(__xludf.DUMMYFUNCTION("""COMPUTED_VALUE"""),"Mindy Sterling")</f>
        <v>Mindy Sterling</v>
      </c>
      <c r="AE4911" s="12"/>
    </row>
    <row r="4912" customHeight="1" spans="1:31">
      <c r="A4912" s="11" t="s">
        <v>30</v>
      </c>
      <c r="B4912" s="11" t="s">
        <v>23456</v>
      </c>
      <c r="C4912" s="11">
        <v>1</v>
      </c>
      <c r="D4912" s="11">
        <v>89</v>
      </c>
      <c r="E4912" s="11">
        <v>0</v>
      </c>
      <c r="F4912" s="11">
        <v>15</v>
      </c>
      <c r="G4912" s="11">
        <v>138</v>
      </c>
      <c r="H4912" s="13"/>
      <c r="I4912" s="11" t="s">
        <v>23457</v>
      </c>
      <c r="J4912" s="11" t="s">
        <v>23458</v>
      </c>
      <c r="K4912" s="11" t="s">
        <v>23459</v>
      </c>
      <c r="L4912" s="11" t="s">
        <v>23460</v>
      </c>
      <c r="M4912" s="11" t="s">
        <v>23461</v>
      </c>
      <c r="N4912" s="11">
        <v>78</v>
      </c>
      <c r="O4912" s="11">
        <v>192</v>
      </c>
      <c r="P4912" s="11">
        <v>0</v>
      </c>
      <c r="Q4912" s="13"/>
      <c r="R4912" s="14" t="s">
        <v>23462</v>
      </c>
      <c r="S4912" s="11">
        <v>1</v>
      </c>
      <c r="T4912" s="11" t="s">
        <v>39</v>
      </c>
      <c r="U4912" s="11" t="s">
        <v>40</v>
      </c>
      <c r="V4912" s="13"/>
      <c r="W4912" s="13"/>
      <c r="X4912" s="11">
        <v>2014</v>
      </c>
      <c r="Y4912" s="11">
        <v>18</v>
      </c>
      <c r="Z4912" s="11">
        <v>6.8</v>
      </c>
      <c r="AA4912" s="13"/>
      <c r="AB4912" s="11">
        <v>267</v>
      </c>
      <c r="AC4912" s="11"/>
      <c r="AD4912" s="11" t="str">
        <f>IFERROR(__xludf.DUMMYFUNCTION("""COMPUTED_VALUE"""),"Leopold Stokowski")</f>
        <v>Leopold Stokowski</v>
      </c>
      <c r="AE4912" s="11"/>
    </row>
    <row r="4913" customHeight="1" spans="1:31">
      <c r="A4913" s="12" t="s">
        <v>30</v>
      </c>
      <c r="B4913" s="12" t="s">
        <v>23463</v>
      </c>
      <c r="C4913" s="12">
        <v>16</v>
      </c>
      <c r="D4913" s="12">
        <v>59</v>
      </c>
      <c r="E4913" s="12">
        <v>121</v>
      </c>
      <c r="F4913" s="12">
        <v>0</v>
      </c>
      <c r="G4913" s="12">
        <v>27</v>
      </c>
      <c r="H4913" s="16"/>
      <c r="I4913" s="12" t="s">
        <v>68</v>
      </c>
      <c r="J4913" s="12" t="s">
        <v>23464</v>
      </c>
      <c r="K4913" s="12" t="s">
        <v>23465</v>
      </c>
      <c r="L4913" s="12" t="s">
        <v>23466</v>
      </c>
      <c r="M4913" s="12" t="s">
        <v>23467</v>
      </c>
      <c r="N4913" s="12">
        <v>352</v>
      </c>
      <c r="O4913" s="12">
        <v>27</v>
      </c>
      <c r="P4913" s="12">
        <v>0</v>
      </c>
      <c r="Q4913" s="16"/>
      <c r="R4913" s="15" t="s">
        <v>23468</v>
      </c>
      <c r="S4913" s="12">
        <v>4</v>
      </c>
      <c r="T4913" s="12" t="s">
        <v>1465</v>
      </c>
      <c r="U4913" s="12" t="s">
        <v>1466</v>
      </c>
      <c r="V4913" s="16"/>
      <c r="W4913" s="12">
        <v>150000</v>
      </c>
      <c r="X4913" s="12">
        <v>2004</v>
      </c>
      <c r="Y4913" s="12">
        <v>0</v>
      </c>
      <c r="Z4913" s="12">
        <v>7.4</v>
      </c>
      <c r="AA4913" s="12">
        <v>1.37</v>
      </c>
      <c r="AB4913" s="12">
        <v>44</v>
      </c>
      <c r="AC4913" s="12"/>
      <c r="AD4913" s="12" t="str">
        <f>IFERROR(__xludf.DUMMYFUNCTION("""COMPUTED_VALUE"""),"Deems Taylor")</f>
        <v>Deems Taylor</v>
      </c>
      <c r="AE4913" s="12"/>
    </row>
    <row r="4914" customHeight="1" spans="1:31">
      <c r="A4914" s="11" t="s">
        <v>748</v>
      </c>
      <c r="B4914" s="11" t="s">
        <v>23469</v>
      </c>
      <c r="C4914" s="11">
        <v>54</v>
      </c>
      <c r="D4914" s="11">
        <v>126</v>
      </c>
      <c r="E4914" s="11">
        <v>147</v>
      </c>
      <c r="F4914" s="11">
        <v>0</v>
      </c>
      <c r="G4914" s="11">
        <v>0</v>
      </c>
      <c r="H4914" s="13"/>
      <c r="I4914" s="11" t="s">
        <v>5324</v>
      </c>
      <c r="J4914" s="11" t="s">
        <v>23470</v>
      </c>
      <c r="K4914" s="11" t="s">
        <v>23471</v>
      </c>
      <c r="L4914" s="11" t="s">
        <v>23472</v>
      </c>
      <c r="M4914" s="11" t="s">
        <v>23473</v>
      </c>
      <c r="N4914" s="11">
        <v>9903</v>
      </c>
      <c r="O4914" s="11">
        <v>0</v>
      </c>
      <c r="P4914" s="11">
        <v>0</v>
      </c>
      <c r="Q4914" s="11" t="s">
        <v>23474</v>
      </c>
      <c r="R4914" s="14" t="s">
        <v>23475</v>
      </c>
      <c r="S4914" s="11">
        <v>49</v>
      </c>
      <c r="T4914" s="11" t="s">
        <v>15778</v>
      </c>
      <c r="U4914" s="11" t="s">
        <v>7712</v>
      </c>
      <c r="V4914" s="11" t="s">
        <v>4831</v>
      </c>
      <c r="W4914" s="13"/>
      <c r="X4914" s="11">
        <v>1955</v>
      </c>
      <c r="Y4914" s="11">
        <v>0</v>
      </c>
      <c r="Z4914" s="11">
        <v>8.1</v>
      </c>
      <c r="AA4914" s="11">
        <v>1.37</v>
      </c>
      <c r="AB4914" s="11">
        <v>863</v>
      </c>
      <c r="AC4914" s="11"/>
      <c r="AD4914" s="11" t="str">
        <f>IFERROR(__xludf.DUMMYFUNCTION("""COMPUTED_VALUE"""),"Nicole Smolen")</f>
        <v>Nicole Smolen</v>
      </c>
      <c r="AE4914" s="11"/>
    </row>
    <row r="4915" customHeight="1" spans="1:31">
      <c r="A4915" s="12" t="s">
        <v>30</v>
      </c>
      <c r="B4915" s="12" t="s">
        <v>23476</v>
      </c>
      <c r="C4915" s="12">
        <v>38</v>
      </c>
      <c r="D4915" s="12">
        <v>86</v>
      </c>
      <c r="E4915" s="12">
        <v>123</v>
      </c>
      <c r="F4915" s="12">
        <v>782</v>
      </c>
      <c r="G4915" s="12">
        <v>3000</v>
      </c>
      <c r="H4915" s="12">
        <v>15542</v>
      </c>
      <c r="I4915" s="12" t="s">
        <v>1415</v>
      </c>
      <c r="J4915" s="12" t="s">
        <v>235</v>
      </c>
      <c r="K4915" s="12" t="s">
        <v>9054</v>
      </c>
      <c r="L4915" s="12" t="s">
        <v>9427</v>
      </c>
      <c r="M4915" s="12" t="s">
        <v>23477</v>
      </c>
      <c r="N4915" s="12">
        <v>6689</v>
      </c>
      <c r="O4915" s="12">
        <v>7144</v>
      </c>
      <c r="P4915" s="12">
        <v>0</v>
      </c>
      <c r="Q4915" s="12" t="s">
        <v>23478</v>
      </c>
      <c r="R4915" s="15" t="s">
        <v>23479</v>
      </c>
      <c r="S4915" s="12">
        <v>51</v>
      </c>
      <c r="T4915" s="12" t="s">
        <v>39</v>
      </c>
      <c r="U4915" s="12" t="s">
        <v>40</v>
      </c>
      <c r="V4915" s="12" t="s">
        <v>586</v>
      </c>
      <c r="W4915" s="16"/>
      <c r="X4915" s="12">
        <v>2008</v>
      </c>
      <c r="Y4915" s="12">
        <v>985</v>
      </c>
      <c r="Z4915" s="12">
        <v>6.5</v>
      </c>
      <c r="AA4915" s="12">
        <v>1.85</v>
      </c>
      <c r="AB4915" s="12">
        <v>0</v>
      </c>
      <c r="AC4915" s="12"/>
      <c r="AD4915" s="12" t="str">
        <f>IFERROR(__xludf.DUMMYFUNCTION("""COMPUTED_VALUE"""),"Sebastian Aguilar")</f>
        <v>Sebastian Aguilar</v>
      </c>
      <c r="AE4915" s="12"/>
    </row>
    <row r="4916" customHeight="1" spans="1:31">
      <c r="A4916" s="11" t="s">
        <v>30</v>
      </c>
      <c r="B4916" s="11" t="s">
        <v>22030</v>
      </c>
      <c r="C4916" s="11">
        <v>66</v>
      </c>
      <c r="D4916" s="11">
        <v>87</v>
      </c>
      <c r="E4916" s="11">
        <v>29</v>
      </c>
      <c r="F4916" s="11">
        <v>131</v>
      </c>
      <c r="G4916" s="11">
        <v>505</v>
      </c>
      <c r="H4916" s="13"/>
      <c r="I4916" s="11" t="s">
        <v>5500</v>
      </c>
      <c r="J4916" s="11" t="s">
        <v>22574</v>
      </c>
      <c r="K4916" s="11" t="s">
        <v>5276</v>
      </c>
      <c r="L4916" s="11" t="s">
        <v>23480</v>
      </c>
      <c r="M4916" s="11" t="s">
        <v>23481</v>
      </c>
      <c r="N4916" s="11">
        <v>129799</v>
      </c>
      <c r="O4916" s="11">
        <v>1181</v>
      </c>
      <c r="P4916" s="11">
        <v>0</v>
      </c>
      <c r="Q4916" s="11" t="s">
        <v>23482</v>
      </c>
      <c r="R4916" s="14" t="s">
        <v>23483</v>
      </c>
      <c r="S4916" s="11">
        <v>638</v>
      </c>
      <c r="T4916" s="11" t="s">
        <v>39</v>
      </c>
      <c r="U4916" s="11" t="s">
        <v>40</v>
      </c>
      <c r="V4916" s="11" t="s">
        <v>4831</v>
      </c>
      <c r="W4916" s="11">
        <v>200000</v>
      </c>
      <c r="X4916" s="11">
        <v>2007</v>
      </c>
      <c r="Y4916" s="11">
        <v>323</v>
      </c>
      <c r="Z4916" s="11">
        <v>8</v>
      </c>
      <c r="AA4916" s="11">
        <v>1.78</v>
      </c>
      <c r="AB4916" s="11">
        <v>46000</v>
      </c>
      <c r="AC4916" s="11"/>
      <c r="AD4916" s="11" t="str">
        <f>IFERROR(__xludf.DUMMYFUNCTION("""COMPUTED_VALUE"""),"Ivette Alvarez")</f>
        <v>Ivette Alvarez</v>
      </c>
      <c r="AE4916" s="11"/>
    </row>
    <row r="4917" customHeight="1" spans="1:31">
      <c r="A4917" s="12" t="s">
        <v>30</v>
      </c>
      <c r="B4917" s="12" t="s">
        <v>23484</v>
      </c>
      <c r="C4917" s="12">
        <v>11</v>
      </c>
      <c r="D4917" s="12">
        <v>106</v>
      </c>
      <c r="E4917" s="12">
        <v>15</v>
      </c>
      <c r="F4917" s="12">
        <v>0</v>
      </c>
      <c r="G4917" s="12">
        <v>2</v>
      </c>
      <c r="H4917" s="12">
        <v>1111</v>
      </c>
      <c r="I4917" s="12" t="s">
        <v>20255</v>
      </c>
      <c r="J4917" s="12" t="s">
        <v>23485</v>
      </c>
      <c r="K4917" s="12" t="s">
        <v>23486</v>
      </c>
      <c r="L4917" s="12" t="s">
        <v>23487</v>
      </c>
      <c r="M4917" s="12" t="s">
        <v>23488</v>
      </c>
      <c r="N4917" s="12">
        <v>771</v>
      </c>
      <c r="O4917" s="12">
        <v>2</v>
      </c>
      <c r="P4917" s="12">
        <v>0</v>
      </c>
      <c r="Q4917" s="12" t="s">
        <v>23489</v>
      </c>
      <c r="R4917" s="15" t="s">
        <v>23490</v>
      </c>
      <c r="S4917" s="12">
        <v>10</v>
      </c>
      <c r="T4917" s="12" t="s">
        <v>39</v>
      </c>
      <c r="U4917" s="12" t="s">
        <v>40</v>
      </c>
      <c r="V4917" s="12" t="s">
        <v>41</v>
      </c>
      <c r="W4917" s="12">
        <v>200000</v>
      </c>
      <c r="X4917" s="12">
        <v>2006</v>
      </c>
      <c r="Y4917" s="12">
        <v>0</v>
      </c>
      <c r="Z4917" s="12">
        <v>7.7</v>
      </c>
      <c r="AA4917" s="12">
        <v>1.66</v>
      </c>
      <c r="AB4917" s="12">
        <v>246</v>
      </c>
      <c r="AC4917" s="12"/>
      <c r="AD4917" s="12" t="str">
        <f>IFERROR(__xludf.DUMMYFUNCTION("""COMPUTED_VALUE"""),"Richard Brooker")</f>
        <v>Richard Brooker</v>
      </c>
      <c r="AE4917" s="12"/>
    </row>
    <row r="4918" customHeight="1" spans="1:31">
      <c r="A4918" s="11" t="s">
        <v>30</v>
      </c>
      <c r="B4918" s="11" t="s">
        <v>23491</v>
      </c>
      <c r="C4918" s="11">
        <v>6</v>
      </c>
      <c r="D4918" s="11">
        <v>86</v>
      </c>
      <c r="E4918" s="11">
        <v>20</v>
      </c>
      <c r="F4918" s="11">
        <v>32</v>
      </c>
      <c r="G4918" s="11">
        <v>563</v>
      </c>
      <c r="H4918" s="13"/>
      <c r="I4918" s="11" t="s">
        <v>7144</v>
      </c>
      <c r="J4918" s="11" t="s">
        <v>2883</v>
      </c>
      <c r="K4918" s="11" t="s">
        <v>23492</v>
      </c>
      <c r="L4918" s="11" t="s">
        <v>23493</v>
      </c>
      <c r="M4918" s="11" t="s">
        <v>23494</v>
      </c>
      <c r="N4918" s="11">
        <v>1338</v>
      </c>
      <c r="O4918" s="11">
        <v>828</v>
      </c>
      <c r="P4918" s="11">
        <v>1</v>
      </c>
      <c r="Q4918" s="11" t="s">
        <v>23495</v>
      </c>
      <c r="R4918" s="14" t="s">
        <v>23496</v>
      </c>
      <c r="S4918" s="11">
        <v>32</v>
      </c>
      <c r="T4918" s="11" t="s">
        <v>39</v>
      </c>
      <c r="U4918" s="11" t="s">
        <v>40</v>
      </c>
      <c r="V4918" s="13"/>
      <c r="W4918" s="11">
        <v>200000</v>
      </c>
      <c r="X4918" s="11">
        <v>2004</v>
      </c>
      <c r="Y4918" s="11">
        <v>194</v>
      </c>
      <c r="Z4918" s="11">
        <v>7.2</v>
      </c>
      <c r="AA4918" s="11">
        <v>1.33</v>
      </c>
      <c r="AB4918" s="11">
        <v>90</v>
      </c>
      <c r="AC4918" s="11"/>
      <c r="AD4918" s="11" t="str">
        <f>IFERROR(__xludf.DUMMYFUNCTION("""COMPUTED_VALUE"""),"Dana Kimmell")</f>
        <v>Dana Kimmell</v>
      </c>
      <c r="AE4918" s="11"/>
    </row>
    <row r="4919" customHeight="1" spans="1:31">
      <c r="A4919" s="12" t="s">
        <v>748</v>
      </c>
      <c r="B4919" s="12" t="s">
        <v>23497</v>
      </c>
      <c r="C4919" s="12">
        <v>25</v>
      </c>
      <c r="D4919" s="12">
        <v>89</v>
      </c>
      <c r="E4919" s="12">
        <v>0</v>
      </c>
      <c r="F4919" s="12">
        <v>31</v>
      </c>
      <c r="G4919" s="12">
        <v>236</v>
      </c>
      <c r="H4919" s="16"/>
      <c r="I4919" s="12" t="s">
        <v>23498</v>
      </c>
      <c r="J4919" s="12" t="s">
        <v>23499</v>
      </c>
      <c r="K4919" s="12" t="s">
        <v>23500</v>
      </c>
      <c r="L4919" s="12" t="s">
        <v>23501</v>
      </c>
      <c r="M4919" s="12" t="s">
        <v>23502</v>
      </c>
      <c r="N4919" s="12">
        <v>374</v>
      </c>
      <c r="O4919" s="12">
        <v>518</v>
      </c>
      <c r="P4919" s="12">
        <v>3</v>
      </c>
      <c r="Q4919" s="12" t="s">
        <v>23503</v>
      </c>
      <c r="R4919" s="15" t="s">
        <v>23504</v>
      </c>
      <c r="S4919" s="12">
        <v>10</v>
      </c>
      <c r="T4919" s="12" t="s">
        <v>39</v>
      </c>
      <c r="U4919" s="12" t="s">
        <v>40</v>
      </c>
      <c r="V4919" s="12" t="s">
        <v>96</v>
      </c>
      <c r="W4919" s="12">
        <v>2500000</v>
      </c>
      <c r="X4919" s="12">
        <v>2008</v>
      </c>
      <c r="Y4919" s="12">
        <v>189</v>
      </c>
      <c r="Z4919" s="12">
        <v>5.4</v>
      </c>
      <c r="AA4919" s="12">
        <v>1.78</v>
      </c>
      <c r="AB4919" s="12">
        <v>83</v>
      </c>
      <c r="AC4919" s="12"/>
      <c r="AD4919" s="12" t="str">
        <f>IFERROR(__xludf.DUMMYFUNCTION("""COMPUTED_VALUE"""),"Catherine Parks")</f>
        <v>Catherine Parks</v>
      </c>
      <c r="AE4919" s="12"/>
    </row>
    <row r="4920" customHeight="1" spans="1:31">
      <c r="A4920" s="11" t="s">
        <v>30</v>
      </c>
      <c r="B4920" s="11" t="s">
        <v>23505</v>
      </c>
      <c r="C4920" s="11">
        <v>13</v>
      </c>
      <c r="D4920" s="11">
        <v>105</v>
      </c>
      <c r="E4920" s="11">
        <v>0</v>
      </c>
      <c r="F4920" s="11">
        <v>27</v>
      </c>
      <c r="G4920" s="11">
        <v>178</v>
      </c>
      <c r="H4920" s="13"/>
      <c r="I4920" s="11" t="s">
        <v>5511</v>
      </c>
      <c r="J4920" s="11" t="s">
        <v>23506</v>
      </c>
      <c r="K4920" s="11" t="s">
        <v>23507</v>
      </c>
      <c r="L4920" s="11" t="s">
        <v>23508</v>
      </c>
      <c r="M4920" s="11" t="s">
        <v>23509</v>
      </c>
      <c r="N4920" s="11">
        <v>37</v>
      </c>
      <c r="O4920" s="11">
        <v>263</v>
      </c>
      <c r="P4920" s="11">
        <v>0</v>
      </c>
      <c r="Q4920" s="13"/>
      <c r="R4920" s="14" t="s">
        <v>23510</v>
      </c>
      <c r="S4920" s="11">
        <v>1</v>
      </c>
      <c r="T4920" s="11" t="s">
        <v>39</v>
      </c>
      <c r="U4920" s="11" t="s">
        <v>40</v>
      </c>
      <c r="V4920" s="13"/>
      <c r="W4920" s="11">
        <v>200000</v>
      </c>
      <c r="X4920" s="11">
        <v>2012</v>
      </c>
      <c r="Y4920" s="11">
        <v>32</v>
      </c>
      <c r="Z4920" s="11">
        <v>6.7</v>
      </c>
      <c r="AA4920" s="13"/>
      <c r="AB4920" s="11">
        <v>38</v>
      </c>
      <c r="AC4920" s="11"/>
      <c r="AD4920" s="11" t="str">
        <f>IFERROR(__xludf.DUMMYFUNCTION("""COMPUTED_VALUE"""),"Tiffany Helm")</f>
        <v>Tiffany Helm</v>
      </c>
      <c r="AE4920" s="11"/>
    </row>
    <row r="4921" customHeight="1" spans="1:31">
      <c r="A4921" s="12" t="s">
        <v>30</v>
      </c>
      <c r="B4921" s="12" t="s">
        <v>23511</v>
      </c>
      <c r="C4921" s="12">
        <v>18</v>
      </c>
      <c r="D4921" s="12">
        <v>93</v>
      </c>
      <c r="E4921" s="12">
        <v>0</v>
      </c>
      <c r="F4921" s="12">
        <v>75</v>
      </c>
      <c r="G4921" s="12">
        <v>110</v>
      </c>
      <c r="H4921" s="16"/>
      <c r="I4921" s="12" t="s">
        <v>2684</v>
      </c>
      <c r="J4921" s="12" t="s">
        <v>23512</v>
      </c>
      <c r="K4921" s="12" t="s">
        <v>23513</v>
      </c>
      <c r="L4921" s="12" t="s">
        <v>4969</v>
      </c>
      <c r="M4921" s="12" t="s">
        <v>23514</v>
      </c>
      <c r="N4921" s="12">
        <v>191</v>
      </c>
      <c r="O4921" s="12">
        <v>338</v>
      </c>
      <c r="P4921" s="12">
        <v>0</v>
      </c>
      <c r="Q4921" s="16"/>
      <c r="R4921" s="15" t="s">
        <v>23515</v>
      </c>
      <c r="S4921" s="12">
        <v>1</v>
      </c>
      <c r="T4921" s="12" t="s">
        <v>39</v>
      </c>
      <c r="U4921" s="12" t="s">
        <v>40</v>
      </c>
      <c r="V4921" s="16"/>
      <c r="W4921" s="16"/>
      <c r="X4921" s="12">
        <v>2014</v>
      </c>
      <c r="Y4921" s="12">
        <v>79</v>
      </c>
      <c r="Z4921" s="12">
        <v>6.3</v>
      </c>
      <c r="AA4921" s="16"/>
      <c r="AB4921" s="12">
        <v>142</v>
      </c>
      <c r="AC4921" s="12"/>
      <c r="AD4921" s="12" t="str">
        <f>IFERROR(__xludf.DUMMYFUNCTION("""COMPUTED_VALUE"""),"Melanie Kinnaman")</f>
        <v>Melanie Kinnaman</v>
      </c>
      <c r="AE4921" s="12"/>
    </row>
    <row r="4922" customHeight="1" spans="1:31">
      <c r="A4922" s="11" t="s">
        <v>30</v>
      </c>
      <c r="B4922" s="11" t="s">
        <v>23516</v>
      </c>
      <c r="C4922" s="11">
        <v>3</v>
      </c>
      <c r="D4922" s="11">
        <v>94</v>
      </c>
      <c r="E4922" s="11">
        <v>0</v>
      </c>
      <c r="F4922" s="11">
        <v>178</v>
      </c>
      <c r="G4922" s="11">
        <v>433</v>
      </c>
      <c r="H4922" s="13"/>
      <c r="I4922" s="11" t="s">
        <v>3410</v>
      </c>
      <c r="J4922" s="11" t="s">
        <v>6377</v>
      </c>
      <c r="K4922" s="11" t="s">
        <v>23517</v>
      </c>
      <c r="L4922" s="11" t="s">
        <v>23506</v>
      </c>
      <c r="M4922" s="11" t="s">
        <v>23518</v>
      </c>
      <c r="N4922" s="11">
        <v>15</v>
      </c>
      <c r="O4922" s="11">
        <v>1112</v>
      </c>
      <c r="P4922" s="11">
        <v>1</v>
      </c>
      <c r="Q4922" s="13"/>
      <c r="R4922" s="14" t="s">
        <v>23519</v>
      </c>
      <c r="S4922" s="11">
        <v>3</v>
      </c>
      <c r="T4922" s="11" t="s">
        <v>39</v>
      </c>
      <c r="U4922" s="11" t="s">
        <v>40</v>
      </c>
      <c r="V4922" s="13"/>
      <c r="W4922" s="11">
        <v>200000</v>
      </c>
      <c r="X4922" s="11">
        <v>2012</v>
      </c>
      <c r="Y4922" s="11">
        <v>375</v>
      </c>
      <c r="Z4922" s="11">
        <v>8.1</v>
      </c>
      <c r="AA4922" s="11">
        <v>1.78</v>
      </c>
      <c r="AB4922" s="11">
        <v>66</v>
      </c>
      <c r="AC4922" s="11"/>
      <c r="AD4922" s="11" t="str">
        <f>IFERROR(__xludf.DUMMYFUNCTION("""COMPUTED_VALUE"""),"Dominick Brascia")</f>
        <v>Dominick Brascia</v>
      </c>
      <c r="AE4922" s="11"/>
    </row>
    <row r="4923" customHeight="1" spans="1:31">
      <c r="A4923" s="12" t="s">
        <v>30</v>
      </c>
      <c r="B4923" s="12" t="s">
        <v>23520</v>
      </c>
      <c r="C4923" s="12">
        <v>46</v>
      </c>
      <c r="D4923" s="12">
        <v>89</v>
      </c>
      <c r="E4923" s="12">
        <v>373</v>
      </c>
      <c r="F4923" s="12">
        <v>27</v>
      </c>
      <c r="G4923" s="12">
        <v>36</v>
      </c>
      <c r="H4923" s="12">
        <v>925402</v>
      </c>
      <c r="I4923" s="12" t="s">
        <v>7144</v>
      </c>
      <c r="J4923" s="12" t="s">
        <v>23521</v>
      </c>
      <c r="K4923" s="12" t="s">
        <v>23522</v>
      </c>
      <c r="L4923" s="12" t="s">
        <v>23523</v>
      </c>
      <c r="M4923" s="12" t="s">
        <v>23524</v>
      </c>
      <c r="N4923" s="12">
        <v>27882</v>
      </c>
      <c r="O4923" s="12">
        <v>100</v>
      </c>
      <c r="P4923" s="12">
        <v>0</v>
      </c>
      <c r="Q4923" s="12" t="s">
        <v>23525</v>
      </c>
      <c r="R4923" s="15" t="s">
        <v>23526</v>
      </c>
      <c r="S4923" s="12">
        <v>130</v>
      </c>
      <c r="T4923" s="12" t="s">
        <v>22077</v>
      </c>
      <c r="U4923" s="12" t="s">
        <v>13548</v>
      </c>
      <c r="V4923" s="12" t="s">
        <v>96</v>
      </c>
      <c r="W4923" s="12">
        <v>180000</v>
      </c>
      <c r="X4923" s="12">
        <v>1997</v>
      </c>
      <c r="Y4923" s="12">
        <v>35</v>
      </c>
      <c r="Z4923" s="12">
        <v>8.5</v>
      </c>
      <c r="AA4923" s="12">
        <v>1.85</v>
      </c>
      <c r="AB4923" s="12">
        <v>0</v>
      </c>
      <c r="AC4923" s="12"/>
      <c r="AD4923" s="12" t="str">
        <f>IFERROR(__xludf.DUMMYFUNCTION("""COMPUTED_VALUE"""),"Kayla Ewell")</f>
        <v>Kayla Ewell</v>
      </c>
      <c r="AE4923" s="12"/>
    </row>
    <row r="4924" customHeight="1" spans="1:31">
      <c r="A4924" s="11" t="s">
        <v>30</v>
      </c>
      <c r="B4924" s="11" t="s">
        <v>23527</v>
      </c>
      <c r="C4924" s="11">
        <v>143</v>
      </c>
      <c r="D4924" s="11">
        <v>97</v>
      </c>
      <c r="E4924" s="11">
        <v>131</v>
      </c>
      <c r="F4924" s="11">
        <v>67</v>
      </c>
      <c r="G4924" s="11">
        <v>507</v>
      </c>
      <c r="H4924" s="11">
        <v>469947</v>
      </c>
      <c r="I4924" s="11" t="s">
        <v>214</v>
      </c>
      <c r="J4924" s="11" t="s">
        <v>14716</v>
      </c>
      <c r="K4924" s="11" t="s">
        <v>23528</v>
      </c>
      <c r="L4924" s="11" t="s">
        <v>23529</v>
      </c>
      <c r="M4924" s="11" t="s">
        <v>23530</v>
      </c>
      <c r="N4924" s="11">
        <v>19846</v>
      </c>
      <c r="O4924" s="11">
        <v>654</v>
      </c>
      <c r="P4924" s="11">
        <v>0</v>
      </c>
      <c r="Q4924" s="11" t="s">
        <v>23531</v>
      </c>
      <c r="R4924" s="14" t="s">
        <v>23532</v>
      </c>
      <c r="S4924" s="11">
        <v>68</v>
      </c>
      <c r="T4924" s="11" t="s">
        <v>39</v>
      </c>
      <c r="U4924" s="11" t="s">
        <v>58</v>
      </c>
      <c r="V4924" s="11" t="s">
        <v>4831</v>
      </c>
      <c r="W4924" s="11">
        <v>120000</v>
      </c>
      <c r="X4924" s="11">
        <v>2011</v>
      </c>
      <c r="Y4924" s="11">
        <v>75</v>
      </c>
      <c r="Z4924" s="11">
        <v>7.7</v>
      </c>
      <c r="AA4924" s="11">
        <v>1.85</v>
      </c>
      <c r="AB4924" s="11">
        <v>0</v>
      </c>
      <c r="AC4924" s="11"/>
      <c r="AD4924" s="11" t="str">
        <f>IFERROR(__xludf.DUMMYFUNCTION("""COMPUTED_VALUE"""),"Linden Ashby")</f>
        <v>Linden Ashby</v>
      </c>
      <c r="AE4924" s="11"/>
    </row>
    <row r="4925" customHeight="1" spans="1:31">
      <c r="A4925" s="12" t="s">
        <v>748</v>
      </c>
      <c r="B4925" s="12" t="s">
        <v>5077</v>
      </c>
      <c r="C4925" s="12">
        <v>26</v>
      </c>
      <c r="D4925" s="12">
        <v>88</v>
      </c>
      <c r="E4925" s="12">
        <v>0</v>
      </c>
      <c r="F4925" s="12">
        <v>46</v>
      </c>
      <c r="G4925" s="12">
        <v>539</v>
      </c>
      <c r="H4925" s="12">
        <v>7137502</v>
      </c>
      <c r="I4925" s="12" t="s">
        <v>1681</v>
      </c>
      <c r="J4925" s="12" t="s">
        <v>1718</v>
      </c>
      <c r="K4925" s="12" t="s">
        <v>23533</v>
      </c>
      <c r="L4925" s="12" t="s">
        <v>23534</v>
      </c>
      <c r="M4925" s="12" t="s">
        <v>23535</v>
      </c>
      <c r="N4925" s="12">
        <v>4769</v>
      </c>
      <c r="O4925" s="12">
        <v>708</v>
      </c>
      <c r="P4925" s="12">
        <v>0</v>
      </c>
      <c r="Q4925" s="12" t="s">
        <v>23536</v>
      </c>
      <c r="R4925" s="15" t="s">
        <v>23537</v>
      </c>
      <c r="S4925" s="12">
        <v>26</v>
      </c>
      <c r="T4925" s="12" t="s">
        <v>39</v>
      </c>
      <c r="U4925" s="12" t="s">
        <v>40</v>
      </c>
      <c r="V4925" s="12" t="s">
        <v>586</v>
      </c>
      <c r="W4925" s="12">
        <v>175000</v>
      </c>
      <c r="X4925" s="12">
        <v>1986</v>
      </c>
      <c r="Y4925" s="12">
        <v>53</v>
      </c>
      <c r="Z4925" s="12">
        <v>6.5</v>
      </c>
      <c r="AA4925" s="12">
        <v>1.85</v>
      </c>
      <c r="AB4925" s="12">
        <v>406</v>
      </c>
      <c r="AC4925" s="12"/>
      <c r="AD4925" s="12" t="str">
        <f>IFERROR(__xludf.DUMMYFUNCTION("""COMPUTED_VALUE"""),"Greer Garson")</f>
        <v>Greer Garson</v>
      </c>
      <c r="AE4925" s="12"/>
    </row>
    <row r="4926" customHeight="1" spans="1:31">
      <c r="A4926" s="11" t="s">
        <v>30</v>
      </c>
      <c r="B4926" s="11" t="s">
        <v>23538</v>
      </c>
      <c r="C4926" s="13"/>
      <c r="D4926" s="11">
        <v>78</v>
      </c>
      <c r="E4926" s="11">
        <v>0</v>
      </c>
      <c r="F4926" s="11">
        <v>0</v>
      </c>
      <c r="G4926" s="11">
        <v>0</v>
      </c>
      <c r="H4926" s="13"/>
      <c r="I4926" s="11" t="s">
        <v>68</v>
      </c>
      <c r="J4926" s="11" t="s">
        <v>23539</v>
      </c>
      <c r="K4926" s="11" t="s">
        <v>23540</v>
      </c>
      <c r="L4926" s="11" t="s">
        <v>23541</v>
      </c>
      <c r="M4926" s="11" t="s">
        <v>23542</v>
      </c>
      <c r="N4926" s="11">
        <v>27</v>
      </c>
      <c r="O4926" s="11">
        <v>0</v>
      </c>
      <c r="P4926" s="11">
        <v>0</v>
      </c>
      <c r="Q4926" s="13"/>
      <c r="R4926" s="14" t="s">
        <v>23543</v>
      </c>
      <c r="S4926" s="11">
        <v>1</v>
      </c>
      <c r="T4926" s="11" t="s">
        <v>39</v>
      </c>
      <c r="U4926" s="11" t="s">
        <v>40</v>
      </c>
      <c r="V4926" s="13"/>
      <c r="W4926" s="11">
        <v>180000</v>
      </c>
      <c r="X4926" s="11">
        <v>2014</v>
      </c>
      <c r="Y4926" s="11">
        <v>0</v>
      </c>
      <c r="Z4926" s="11">
        <v>8.7</v>
      </c>
      <c r="AA4926" s="13"/>
      <c r="AB4926" s="11">
        <v>88</v>
      </c>
      <c r="AC4926" s="11"/>
      <c r="AD4926" s="11" t="str">
        <f>IFERROR(__xludf.DUMMYFUNCTION("""COMPUTED_VALUE"""),"Ethan Peck")</f>
        <v>Ethan Peck</v>
      </c>
      <c r="AE4926" s="11"/>
    </row>
    <row r="4927" customHeight="1" spans="1:31">
      <c r="A4927" s="12" t="s">
        <v>30</v>
      </c>
      <c r="B4927" s="12" t="s">
        <v>23544</v>
      </c>
      <c r="C4927" s="12">
        <v>5</v>
      </c>
      <c r="D4927" s="12">
        <v>104</v>
      </c>
      <c r="E4927" s="12">
        <v>0</v>
      </c>
      <c r="F4927" s="12">
        <v>0</v>
      </c>
      <c r="G4927" s="12">
        <v>0</v>
      </c>
      <c r="H4927" s="16"/>
      <c r="I4927" s="12" t="s">
        <v>3410</v>
      </c>
      <c r="J4927" s="12" t="s">
        <v>23545</v>
      </c>
      <c r="K4927" s="12" t="s">
        <v>23546</v>
      </c>
      <c r="L4927" s="12" t="s">
        <v>23547</v>
      </c>
      <c r="M4927" s="12" t="s">
        <v>23548</v>
      </c>
      <c r="N4927" s="12">
        <v>354</v>
      </c>
      <c r="O4927" s="12">
        <v>0</v>
      </c>
      <c r="P4927" s="12">
        <v>1</v>
      </c>
      <c r="Q4927" s="16"/>
      <c r="R4927" s="15" t="s">
        <v>23549</v>
      </c>
      <c r="S4927" s="12">
        <v>1</v>
      </c>
      <c r="T4927" s="12" t="s">
        <v>22056</v>
      </c>
      <c r="U4927" s="12" t="s">
        <v>8820</v>
      </c>
      <c r="V4927" s="16"/>
      <c r="W4927" s="12">
        <v>168000</v>
      </c>
      <c r="X4927" s="12">
        <v>2015</v>
      </c>
      <c r="Y4927" s="12">
        <v>0</v>
      </c>
      <c r="Z4927" s="12">
        <v>6.5</v>
      </c>
      <c r="AA4927" s="16"/>
      <c r="AB4927" s="12">
        <v>34</v>
      </c>
      <c r="AC4927" s="12"/>
      <c r="AD4927" s="12" t="str">
        <f>IFERROR(__xludf.DUMMYFUNCTION("""COMPUTED_VALUE"""),"Brad Schmidt")</f>
        <v>Brad Schmidt</v>
      </c>
      <c r="AE4927" s="12"/>
    </row>
    <row r="4928" customHeight="1" spans="1:31">
      <c r="A4928" s="11" t="s">
        <v>30</v>
      </c>
      <c r="B4928" s="11" t="s">
        <v>21743</v>
      </c>
      <c r="C4928" s="11">
        <v>242</v>
      </c>
      <c r="D4928" s="11">
        <v>92</v>
      </c>
      <c r="E4928" s="11">
        <v>135</v>
      </c>
      <c r="F4928" s="11">
        <v>259</v>
      </c>
      <c r="G4928" s="11">
        <v>574</v>
      </c>
      <c r="H4928" s="11">
        <v>1316074</v>
      </c>
      <c r="I4928" s="11" t="s">
        <v>5500</v>
      </c>
      <c r="J4928" s="11" t="s">
        <v>23550</v>
      </c>
      <c r="K4928" s="11" t="s">
        <v>9174</v>
      </c>
      <c r="L4928" s="11" t="s">
        <v>23551</v>
      </c>
      <c r="M4928" s="11" t="s">
        <v>23552</v>
      </c>
      <c r="N4928" s="11">
        <v>71387</v>
      </c>
      <c r="O4928" s="11">
        <v>1303</v>
      </c>
      <c r="P4928" s="11">
        <v>1</v>
      </c>
      <c r="Q4928" s="11" t="s">
        <v>23553</v>
      </c>
      <c r="R4928" s="14" t="s">
        <v>23554</v>
      </c>
      <c r="S4928" s="11">
        <v>228</v>
      </c>
      <c r="T4928" s="11" t="s">
        <v>39</v>
      </c>
      <c r="U4928" s="11" t="s">
        <v>40</v>
      </c>
      <c r="V4928" s="11" t="s">
        <v>41</v>
      </c>
      <c r="W4928" s="11">
        <v>100000</v>
      </c>
      <c r="X4928" s="11">
        <v>2011</v>
      </c>
      <c r="Y4928" s="11">
        <v>399</v>
      </c>
      <c r="Z4928" s="11">
        <v>7</v>
      </c>
      <c r="AA4928" s="11">
        <v>1.85</v>
      </c>
      <c r="AB4928" s="11">
        <v>21000</v>
      </c>
      <c r="AC4928" s="11"/>
      <c r="AD4928" s="11" t="str">
        <f>IFERROR(__xludf.DUMMYFUNCTION("""COMPUTED_VALUE"""),"Saeed Jaffrey")</f>
        <v>Saeed Jaffrey</v>
      </c>
      <c r="AE4928" s="11"/>
    </row>
    <row r="4929" customHeight="1" spans="1:31">
      <c r="A4929" s="12" t="s">
        <v>30</v>
      </c>
      <c r="B4929" s="12" t="s">
        <v>19995</v>
      </c>
      <c r="C4929" s="12">
        <v>48</v>
      </c>
      <c r="D4929" s="12">
        <v>108</v>
      </c>
      <c r="E4929" s="12">
        <v>14</v>
      </c>
      <c r="F4929" s="12">
        <v>826</v>
      </c>
      <c r="G4929" s="12">
        <v>2000</v>
      </c>
      <c r="H4929" s="16"/>
      <c r="I4929" s="12" t="s">
        <v>10413</v>
      </c>
      <c r="J4929" s="12" t="s">
        <v>6474</v>
      </c>
      <c r="K4929" s="12" t="s">
        <v>7764</v>
      </c>
      <c r="L4929" s="12" t="s">
        <v>1861</v>
      </c>
      <c r="M4929" s="12" t="s">
        <v>19996</v>
      </c>
      <c r="N4929" s="12">
        <v>6025</v>
      </c>
      <c r="O4929" s="12">
        <v>4385</v>
      </c>
      <c r="P4929" s="12">
        <v>2</v>
      </c>
      <c r="Q4929" s="12" t="s">
        <v>19997</v>
      </c>
      <c r="R4929" s="15" t="s">
        <v>19998</v>
      </c>
      <c r="S4929" s="12">
        <v>28</v>
      </c>
      <c r="T4929" s="12" t="s">
        <v>39</v>
      </c>
      <c r="U4929" s="12" t="s">
        <v>40</v>
      </c>
      <c r="V4929" s="12" t="s">
        <v>586</v>
      </c>
      <c r="W4929" s="16"/>
      <c r="X4929" s="12">
        <v>2014</v>
      </c>
      <c r="Y4929" s="12">
        <v>1000</v>
      </c>
      <c r="Z4929" s="12">
        <v>5.8</v>
      </c>
      <c r="AA4929" s="16"/>
      <c r="AB4929" s="12">
        <v>0</v>
      </c>
      <c r="AC4929" s="12"/>
      <c r="AD4929" s="12" t="str">
        <f>IFERROR(__xludf.DUMMYFUNCTION("""COMPUTED_VALUE"""),"Zohra Segal")</f>
        <v>Zohra Segal</v>
      </c>
      <c r="AE4929" s="12"/>
    </row>
    <row r="4930" customHeight="1" spans="1:31">
      <c r="A4930" s="11" t="s">
        <v>30</v>
      </c>
      <c r="B4930" s="11" t="s">
        <v>23555</v>
      </c>
      <c r="C4930" s="11">
        <v>38</v>
      </c>
      <c r="D4930" s="11">
        <v>97</v>
      </c>
      <c r="E4930" s="11">
        <v>101</v>
      </c>
      <c r="F4930" s="11">
        <v>101</v>
      </c>
      <c r="G4930" s="11">
        <v>982</v>
      </c>
      <c r="H4930" s="11">
        <v>15180000</v>
      </c>
      <c r="I4930" s="11" t="s">
        <v>2126</v>
      </c>
      <c r="J4930" s="11" t="s">
        <v>3330</v>
      </c>
      <c r="K4930" s="11" t="s">
        <v>9330</v>
      </c>
      <c r="L4930" s="11" t="s">
        <v>23555</v>
      </c>
      <c r="M4930" s="11" t="s">
        <v>23556</v>
      </c>
      <c r="N4930" s="11">
        <v>3340</v>
      </c>
      <c r="O4930" s="11">
        <v>1631</v>
      </c>
      <c r="P4930" s="11">
        <v>1</v>
      </c>
      <c r="Q4930" s="11" t="s">
        <v>23557</v>
      </c>
      <c r="R4930" s="14" t="s">
        <v>23558</v>
      </c>
      <c r="S4930" s="11">
        <v>50</v>
      </c>
      <c r="T4930" s="11" t="s">
        <v>39</v>
      </c>
      <c r="U4930" s="11" t="s">
        <v>40</v>
      </c>
      <c r="V4930" s="11" t="s">
        <v>586</v>
      </c>
      <c r="W4930" s="11">
        <v>500000</v>
      </c>
      <c r="X4930" s="11">
        <v>1971</v>
      </c>
      <c r="Y4930" s="11">
        <v>535</v>
      </c>
      <c r="Z4930" s="11">
        <v>5.5</v>
      </c>
      <c r="AA4930" s="11">
        <v>1.37</v>
      </c>
      <c r="AB4930" s="11">
        <v>566</v>
      </c>
      <c r="AC4930" s="11"/>
      <c r="AD4930" s="11" t="str">
        <f>IFERROR(__xludf.DUMMYFUNCTION("""COMPUTED_VALUE"""),"Shobu Kapoor")</f>
        <v>Shobu Kapoor</v>
      </c>
      <c r="AE4930" s="11"/>
    </row>
    <row r="4931" customHeight="1" spans="1:31">
      <c r="A4931" s="12" t="s">
        <v>30</v>
      </c>
      <c r="B4931" s="12" t="s">
        <v>23559</v>
      </c>
      <c r="C4931" s="16"/>
      <c r="D4931" s="12">
        <v>109</v>
      </c>
      <c r="E4931" s="12">
        <v>0</v>
      </c>
      <c r="F4931" s="12">
        <v>26</v>
      </c>
      <c r="G4931" s="12">
        <v>270</v>
      </c>
      <c r="H4931" s="16"/>
      <c r="I4931" s="12" t="s">
        <v>3410</v>
      </c>
      <c r="J4931" s="12" t="s">
        <v>23560</v>
      </c>
      <c r="K4931" s="12" t="s">
        <v>23561</v>
      </c>
      <c r="L4931" s="12" t="s">
        <v>23562</v>
      </c>
      <c r="M4931" s="12" t="s">
        <v>23563</v>
      </c>
      <c r="N4931" s="12">
        <v>8</v>
      </c>
      <c r="O4931" s="12">
        <v>364</v>
      </c>
      <c r="P4931" s="12">
        <v>3</v>
      </c>
      <c r="Q4931" s="12" t="s">
        <v>23564</v>
      </c>
      <c r="R4931" s="15" t="s">
        <v>23565</v>
      </c>
      <c r="S4931" s="16"/>
      <c r="T4931" s="12" t="s">
        <v>39</v>
      </c>
      <c r="U4931" s="12" t="s">
        <v>40</v>
      </c>
      <c r="V4931" s="16"/>
      <c r="W4931" s="12">
        <v>200000</v>
      </c>
      <c r="X4931" s="12">
        <v>2014</v>
      </c>
      <c r="Y4931" s="12">
        <v>54</v>
      </c>
      <c r="Z4931" s="12">
        <v>7</v>
      </c>
      <c r="AA4931" s="16"/>
      <c r="AB4931" s="12">
        <v>65</v>
      </c>
      <c r="AC4931" s="12"/>
      <c r="AD4931" s="12" t="str">
        <f>IFERROR(__xludf.DUMMYFUNCTION("""COMPUTED_VALUE"""),"Rachel Skarsten")</f>
        <v>Rachel Skarsten</v>
      </c>
      <c r="AE4931" s="12"/>
    </row>
    <row r="4932" customHeight="1" spans="1:31">
      <c r="A4932" s="11" t="s">
        <v>30</v>
      </c>
      <c r="B4932" s="11" t="s">
        <v>2562</v>
      </c>
      <c r="C4932" s="11">
        <v>91</v>
      </c>
      <c r="D4932" s="11">
        <v>78</v>
      </c>
      <c r="E4932" s="11">
        <v>56</v>
      </c>
      <c r="F4932" s="11">
        <v>184</v>
      </c>
      <c r="G4932" s="11">
        <v>376</v>
      </c>
      <c r="H4932" s="11">
        <v>2882062</v>
      </c>
      <c r="I4932" s="11" t="s">
        <v>1415</v>
      </c>
      <c r="J4932" s="11" t="s">
        <v>9792</v>
      </c>
      <c r="K4932" s="11" t="s">
        <v>1288</v>
      </c>
      <c r="L4932" s="11" t="s">
        <v>3393</v>
      </c>
      <c r="M4932" s="11" t="s">
        <v>23566</v>
      </c>
      <c r="N4932" s="11">
        <v>5178</v>
      </c>
      <c r="O4932" s="11">
        <v>1144</v>
      </c>
      <c r="P4932" s="11">
        <v>2</v>
      </c>
      <c r="Q4932" s="11" t="s">
        <v>23567</v>
      </c>
      <c r="R4932" s="14" t="s">
        <v>23568</v>
      </c>
      <c r="S4932" s="11">
        <v>101</v>
      </c>
      <c r="T4932" s="11" t="s">
        <v>39</v>
      </c>
      <c r="U4932" s="11" t="s">
        <v>40</v>
      </c>
      <c r="V4932" s="11" t="s">
        <v>41</v>
      </c>
      <c r="W4932" s="11">
        <v>150000</v>
      </c>
      <c r="X4932" s="11">
        <v>2000</v>
      </c>
      <c r="Y4932" s="11">
        <v>346</v>
      </c>
      <c r="Z4932" s="11">
        <v>6.3</v>
      </c>
      <c r="AA4932" s="11">
        <v>1.85</v>
      </c>
      <c r="AB4932" s="11">
        <v>132</v>
      </c>
      <c r="AC4932" s="11"/>
      <c r="AD4932" s="11" t="str">
        <f>IFERROR(__xludf.DUMMYFUNCTION("""COMPUTED_VALUE"""),"Daniel Kash")</f>
        <v>Daniel Kash</v>
      </c>
      <c r="AE4932" s="11"/>
    </row>
    <row r="4933" customHeight="1" spans="1:31">
      <c r="A4933" s="12" t="s">
        <v>30</v>
      </c>
      <c r="B4933" s="12" t="s">
        <v>16192</v>
      </c>
      <c r="C4933" s="12">
        <v>232</v>
      </c>
      <c r="D4933" s="12">
        <v>85</v>
      </c>
      <c r="E4933" s="12">
        <v>109</v>
      </c>
      <c r="F4933" s="12">
        <v>18</v>
      </c>
      <c r="G4933" s="12">
        <v>200</v>
      </c>
      <c r="H4933" s="12">
        <v>9437933</v>
      </c>
      <c r="I4933" s="12" t="s">
        <v>7837</v>
      </c>
      <c r="J4933" s="12" t="s">
        <v>23569</v>
      </c>
      <c r="K4933" s="12" t="s">
        <v>23570</v>
      </c>
      <c r="L4933" s="12" t="s">
        <v>23571</v>
      </c>
      <c r="M4933" s="12" t="s">
        <v>23572</v>
      </c>
      <c r="N4933" s="12">
        <v>90827</v>
      </c>
      <c r="O4933" s="12">
        <v>332</v>
      </c>
      <c r="P4933" s="12">
        <v>0</v>
      </c>
      <c r="Q4933" s="12" t="s">
        <v>23573</v>
      </c>
      <c r="R4933" s="15" t="s">
        <v>23574</v>
      </c>
      <c r="S4933" s="12">
        <v>329</v>
      </c>
      <c r="T4933" s="12" t="s">
        <v>39</v>
      </c>
      <c r="U4933" s="12" t="s">
        <v>7988</v>
      </c>
      <c r="V4933" s="12" t="s">
        <v>586</v>
      </c>
      <c r="W4933" s="12">
        <v>180000</v>
      </c>
      <c r="X4933" s="12">
        <v>2007</v>
      </c>
      <c r="Y4933" s="12">
        <v>96</v>
      </c>
      <c r="Z4933" s="12">
        <v>7.9</v>
      </c>
      <c r="AA4933" s="12">
        <v>1.85</v>
      </c>
      <c r="AB4933" s="12">
        <v>26000</v>
      </c>
      <c r="AC4933" s="12"/>
      <c r="AD4933" s="12" t="str">
        <f>IFERROR(__xludf.DUMMYFUNCTION("""COMPUTED_VALUE"""),"Stefanie Drummond")</f>
        <v>Stefanie Drummond</v>
      </c>
      <c r="AE4933" s="12"/>
    </row>
    <row r="4934" customHeight="1" spans="1:31">
      <c r="A4934" s="11" t="s">
        <v>748</v>
      </c>
      <c r="B4934" s="11" t="s">
        <v>23575</v>
      </c>
      <c r="C4934" s="11">
        <v>18</v>
      </c>
      <c r="D4934" s="11">
        <v>88</v>
      </c>
      <c r="E4934" s="11">
        <v>14</v>
      </c>
      <c r="F4934" s="11">
        <v>3</v>
      </c>
      <c r="G4934" s="11">
        <v>142</v>
      </c>
      <c r="H4934" s="11">
        <v>110720</v>
      </c>
      <c r="I4934" s="11" t="s">
        <v>1672</v>
      </c>
      <c r="J4934" s="11" t="s">
        <v>23576</v>
      </c>
      <c r="K4934" s="11" t="s">
        <v>23577</v>
      </c>
      <c r="L4934" s="11" t="s">
        <v>23578</v>
      </c>
      <c r="M4934" s="11" t="s">
        <v>23579</v>
      </c>
      <c r="N4934" s="11">
        <v>524</v>
      </c>
      <c r="O4934" s="11">
        <v>168</v>
      </c>
      <c r="P4934" s="11">
        <v>0</v>
      </c>
      <c r="Q4934" s="11" t="s">
        <v>23580</v>
      </c>
      <c r="R4934" s="14" t="s">
        <v>23581</v>
      </c>
      <c r="S4934" s="11">
        <v>22</v>
      </c>
      <c r="T4934" s="11" t="s">
        <v>39</v>
      </c>
      <c r="U4934" s="11" t="s">
        <v>40</v>
      </c>
      <c r="V4934" s="13"/>
      <c r="W4934" s="11">
        <v>1200000</v>
      </c>
      <c r="X4934" s="11">
        <v>1999</v>
      </c>
      <c r="Y4934" s="11">
        <v>23</v>
      </c>
      <c r="Z4934" s="11">
        <v>7.3</v>
      </c>
      <c r="AA4934" s="13"/>
      <c r="AB4934" s="11">
        <v>73</v>
      </c>
      <c r="AC4934" s="11"/>
      <c r="AD4934" s="11" t="str">
        <f>IFERROR(__xludf.DUMMYFUNCTION("""COMPUTED_VALUE"""),"Myrna Loy")</f>
        <v>Myrna Loy</v>
      </c>
      <c r="AE4934" s="11"/>
    </row>
    <row r="4935" customHeight="1" spans="1:31">
      <c r="A4935" s="12" t="s">
        <v>30</v>
      </c>
      <c r="B4935" s="12" t="s">
        <v>23582</v>
      </c>
      <c r="C4935" s="12">
        <v>29</v>
      </c>
      <c r="D4935" s="12">
        <v>93</v>
      </c>
      <c r="E4935" s="12">
        <v>0</v>
      </c>
      <c r="F4935" s="12">
        <v>2</v>
      </c>
      <c r="G4935" s="12">
        <v>58</v>
      </c>
      <c r="H4935" s="12">
        <v>155984</v>
      </c>
      <c r="I4935" s="12" t="s">
        <v>68</v>
      </c>
      <c r="J4935" s="12" t="s">
        <v>23583</v>
      </c>
      <c r="K4935" s="12" t="s">
        <v>23584</v>
      </c>
      <c r="L4935" s="12" t="s">
        <v>23585</v>
      </c>
      <c r="M4935" s="12" t="s">
        <v>23586</v>
      </c>
      <c r="N4935" s="12">
        <v>586</v>
      </c>
      <c r="O4935" s="12">
        <v>62</v>
      </c>
      <c r="P4935" s="12">
        <v>0</v>
      </c>
      <c r="Q4935" s="12" t="s">
        <v>23587</v>
      </c>
      <c r="R4935" s="15" t="s">
        <v>23588</v>
      </c>
      <c r="S4935" s="12">
        <v>9</v>
      </c>
      <c r="T4935" s="12" t="s">
        <v>39</v>
      </c>
      <c r="U4935" s="12" t="s">
        <v>40</v>
      </c>
      <c r="V4935" s="12" t="s">
        <v>5614</v>
      </c>
      <c r="W4935" s="12">
        <v>160000</v>
      </c>
      <c r="X4935" s="12">
        <v>2009</v>
      </c>
      <c r="Y4935" s="12">
        <v>2</v>
      </c>
      <c r="Z4935" s="12">
        <v>7.4</v>
      </c>
      <c r="AA4935" s="12">
        <v>1.85</v>
      </c>
      <c r="AB4935" s="12">
        <v>0</v>
      </c>
      <c r="AC4935" s="12"/>
      <c r="AD4935" s="12" t="str">
        <f>IFERROR(__xludf.DUMMYFUNCTION("""COMPUTED_VALUE"""),"Jørgen Langhelle")</f>
        <v>Jørgen Langhelle</v>
      </c>
      <c r="AE4935" s="12"/>
    </row>
    <row r="4936" customHeight="1" spans="1:31">
      <c r="A4936" s="11" t="s">
        <v>30</v>
      </c>
      <c r="B4936" s="11" t="s">
        <v>23589</v>
      </c>
      <c r="C4936" s="11">
        <v>44</v>
      </c>
      <c r="D4936" s="11">
        <v>86</v>
      </c>
      <c r="E4936" s="11">
        <v>6</v>
      </c>
      <c r="F4936" s="11">
        <v>115</v>
      </c>
      <c r="G4936" s="11">
        <v>498</v>
      </c>
      <c r="H4936" s="13"/>
      <c r="I4936" s="11" t="s">
        <v>6403</v>
      </c>
      <c r="J4936" s="11" t="s">
        <v>23590</v>
      </c>
      <c r="K4936" s="11" t="s">
        <v>23591</v>
      </c>
      <c r="L4936" s="11" t="s">
        <v>23592</v>
      </c>
      <c r="M4936" s="11" t="s">
        <v>23593</v>
      </c>
      <c r="N4936" s="11">
        <v>3813</v>
      </c>
      <c r="O4936" s="11">
        <v>895</v>
      </c>
      <c r="P4936" s="11">
        <v>0</v>
      </c>
      <c r="Q4936" s="11" t="s">
        <v>23594</v>
      </c>
      <c r="R4936" s="14" t="s">
        <v>23595</v>
      </c>
      <c r="S4936" s="11">
        <v>27</v>
      </c>
      <c r="T4936" s="11" t="s">
        <v>39</v>
      </c>
      <c r="U4936" s="11" t="s">
        <v>58</v>
      </c>
      <c r="V4936" s="13"/>
      <c r="W4936" s="13"/>
      <c r="X4936" s="11">
        <v>2012</v>
      </c>
      <c r="Y4936" s="11">
        <v>204</v>
      </c>
      <c r="Z4936" s="11">
        <v>5.4</v>
      </c>
      <c r="AA4936" s="11">
        <v>2.35</v>
      </c>
      <c r="AB4936" s="11">
        <v>0</v>
      </c>
      <c r="AC4936" s="11"/>
      <c r="AD4936" s="11" t="str">
        <f>IFERROR(__xludf.DUMMYFUNCTION("""COMPUTED_VALUE"""),"Per Christian Ellefsen")</f>
        <v>Per Christian Ellefsen</v>
      </c>
      <c r="AE4936" s="11"/>
    </row>
    <row r="4937" customHeight="1" spans="1:31">
      <c r="A4937" s="12" t="s">
        <v>30</v>
      </c>
      <c r="B4937" s="12" t="s">
        <v>23596</v>
      </c>
      <c r="C4937" s="12">
        <v>2</v>
      </c>
      <c r="D4937" s="12">
        <v>98</v>
      </c>
      <c r="E4937" s="12">
        <v>0</v>
      </c>
      <c r="F4937" s="12">
        <v>21</v>
      </c>
      <c r="G4937" s="12">
        <v>52</v>
      </c>
      <c r="H4937" s="16"/>
      <c r="I4937" s="12" t="s">
        <v>3266</v>
      </c>
      <c r="J4937" s="12" t="s">
        <v>23597</v>
      </c>
      <c r="K4937" s="12" t="s">
        <v>23598</v>
      </c>
      <c r="L4937" s="12" t="s">
        <v>23599</v>
      </c>
      <c r="M4937" s="12" t="s">
        <v>23600</v>
      </c>
      <c r="N4937" s="12">
        <v>53</v>
      </c>
      <c r="O4937" s="12">
        <v>130</v>
      </c>
      <c r="P4937" s="12">
        <v>0</v>
      </c>
      <c r="Q4937" s="12" t="s">
        <v>23601</v>
      </c>
      <c r="R4937" s="15" t="s">
        <v>23602</v>
      </c>
      <c r="S4937" s="12">
        <v>1</v>
      </c>
      <c r="T4937" s="12" t="s">
        <v>39</v>
      </c>
      <c r="U4937" s="12" t="s">
        <v>40</v>
      </c>
      <c r="V4937" s="12" t="s">
        <v>41</v>
      </c>
      <c r="W4937" s="16"/>
      <c r="X4937" s="12">
        <v>2015</v>
      </c>
      <c r="Y4937" s="12">
        <v>36</v>
      </c>
      <c r="Z4937" s="12">
        <v>7.1</v>
      </c>
      <c r="AA4937" s="16"/>
      <c r="AB4937" s="12">
        <v>197</v>
      </c>
      <c r="AC4937" s="12"/>
      <c r="AD4937" s="12" t="str">
        <f>IFERROR(__xludf.DUMMYFUNCTION("""COMPUTED_VALUE"""),"Sven Nordin")</f>
        <v>Sven Nordin</v>
      </c>
      <c r="AE4937" s="12"/>
    </row>
    <row r="4938" customHeight="1" spans="1:31">
      <c r="A4938" s="11" t="s">
        <v>30</v>
      </c>
      <c r="B4938" s="11" t="s">
        <v>7405</v>
      </c>
      <c r="C4938" s="11">
        <v>277</v>
      </c>
      <c r="D4938" s="11">
        <v>88</v>
      </c>
      <c r="E4938" s="11">
        <v>365</v>
      </c>
      <c r="F4938" s="11">
        <v>177</v>
      </c>
      <c r="G4938" s="11">
        <v>383</v>
      </c>
      <c r="H4938" s="11">
        <v>30859000</v>
      </c>
      <c r="I4938" s="11" t="s">
        <v>5544</v>
      </c>
      <c r="J4938" s="11" t="s">
        <v>10874</v>
      </c>
      <c r="K4938" s="11" t="s">
        <v>15595</v>
      </c>
      <c r="L4938" s="11" t="s">
        <v>15596</v>
      </c>
      <c r="M4938" s="11" t="s">
        <v>15597</v>
      </c>
      <c r="N4938" s="11">
        <v>96411</v>
      </c>
      <c r="O4938" s="11">
        <v>1094</v>
      </c>
      <c r="P4938" s="11">
        <v>0</v>
      </c>
      <c r="Q4938" s="11" t="s">
        <v>15598</v>
      </c>
      <c r="R4938" s="14" t="s">
        <v>15599</v>
      </c>
      <c r="S4938" s="11">
        <v>826</v>
      </c>
      <c r="T4938" s="11" t="s">
        <v>39</v>
      </c>
      <c r="U4938" s="11" t="s">
        <v>40</v>
      </c>
      <c r="V4938" s="11" t="s">
        <v>586</v>
      </c>
      <c r="W4938" s="11">
        <v>83532</v>
      </c>
      <c r="X4938" s="11">
        <v>1974</v>
      </c>
      <c r="Y4938" s="11">
        <v>371</v>
      </c>
      <c r="Z4938" s="11">
        <v>7.5</v>
      </c>
      <c r="AA4938" s="11">
        <v>1.85</v>
      </c>
      <c r="AB4938" s="11">
        <v>0</v>
      </c>
      <c r="AC4938" s="11"/>
      <c r="AD4938" s="11" t="str">
        <f>IFERROR(__xludf.DUMMYFUNCTION("""COMPUTED_VALUE"""),"Michael Derek")</f>
        <v>Michael Derek</v>
      </c>
      <c r="AE4938" s="11"/>
    </row>
    <row r="4939" customHeight="1" spans="1:31">
      <c r="A4939" s="12" t="s">
        <v>30</v>
      </c>
      <c r="B4939" s="12" t="s">
        <v>1919</v>
      </c>
      <c r="C4939" s="12">
        <v>43</v>
      </c>
      <c r="D4939" s="12">
        <v>25</v>
      </c>
      <c r="E4939" s="12">
        <v>36</v>
      </c>
      <c r="F4939" s="12">
        <v>27</v>
      </c>
      <c r="G4939" s="12">
        <v>39</v>
      </c>
      <c r="H4939" s="16"/>
      <c r="I4939" s="12" t="s">
        <v>2966</v>
      </c>
      <c r="J4939" s="12" t="s">
        <v>23603</v>
      </c>
      <c r="K4939" s="12" t="s">
        <v>1919</v>
      </c>
      <c r="L4939" s="12" t="s">
        <v>23604</v>
      </c>
      <c r="M4939" s="12" t="s">
        <v>23605</v>
      </c>
      <c r="N4939" s="12">
        <v>21826</v>
      </c>
      <c r="O4939" s="12">
        <v>139</v>
      </c>
      <c r="P4939" s="12">
        <v>0</v>
      </c>
      <c r="Q4939" s="12" t="s">
        <v>23606</v>
      </c>
      <c r="R4939" s="15" t="s">
        <v>23607</v>
      </c>
      <c r="S4939" s="12">
        <v>126</v>
      </c>
      <c r="T4939" s="12" t="s">
        <v>39</v>
      </c>
      <c r="U4939" s="12" t="s">
        <v>40</v>
      </c>
      <c r="V4939" s="12" t="s">
        <v>2750</v>
      </c>
      <c r="W4939" s="12">
        <v>150000</v>
      </c>
      <c r="X4939" s="12">
        <v>1965</v>
      </c>
      <c r="Y4939" s="12">
        <v>36</v>
      </c>
      <c r="Z4939" s="12">
        <v>8.4</v>
      </c>
      <c r="AA4939" s="12">
        <v>1.33</v>
      </c>
      <c r="AB4939" s="12">
        <v>0</v>
      </c>
      <c r="AC4939" s="12"/>
      <c r="AD4939" s="12" t="str">
        <f>IFERROR(__xludf.DUMMYFUNCTION("""COMPUTED_VALUE"""),"Arturo Castro")</f>
        <v>Arturo Castro</v>
      </c>
      <c r="AE4939" s="12"/>
    </row>
    <row r="4940" customHeight="1" spans="1:31">
      <c r="A4940" s="11" t="s">
        <v>30</v>
      </c>
      <c r="B4940" s="11" t="s">
        <v>23608</v>
      </c>
      <c r="C4940" s="11">
        <v>5</v>
      </c>
      <c r="D4940" s="11">
        <v>72</v>
      </c>
      <c r="E4940" s="11">
        <v>0</v>
      </c>
      <c r="F4940" s="11">
        <v>0</v>
      </c>
      <c r="G4940" s="11">
        <v>0</v>
      </c>
      <c r="H4940" s="11">
        <v>4914</v>
      </c>
      <c r="I4940" s="11" t="s">
        <v>23609</v>
      </c>
      <c r="J4940" s="11" t="s">
        <v>23610</v>
      </c>
      <c r="K4940" s="11" t="s">
        <v>23611</v>
      </c>
      <c r="L4940" s="11" t="s">
        <v>23612</v>
      </c>
      <c r="M4940" s="11" t="s">
        <v>23613</v>
      </c>
      <c r="N4940" s="11">
        <v>123</v>
      </c>
      <c r="O4940" s="11">
        <v>0</v>
      </c>
      <c r="P4940" s="11">
        <v>0</v>
      </c>
      <c r="Q4940" s="13"/>
      <c r="R4940" s="14" t="s">
        <v>23614</v>
      </c>
      <c r="S4940" s="11">
        <v>2</v>
      </c>
      <c r="T4940" s="11" t="s">
        <v>39</v>
      </c>
      <c r="U4940" s="11" t="s">
        <v>40</v>
      </c>
      <c r="V4940" s="13"/>
      <c r="W4940" s="11">
        <v>150000</v>
      </c>
      <c r="X4940" s="11">
        <v>2015</v>
      </c>
      <c r="Y4940" s="11">
        <v>0</v>
      </c>
      <c r="Z4940" s="11">
        <v>7</v>
      </c>
      <c r="AA4940" s="13"/>
      <c r="AB4940" s="11">
        <v>215</v>
      </c>
      <c r="AC4940" s="11"/>
      <c r="AD4940" s="11" t="str">
        <f>IFERROR(__xludf.DUMMYFUNCTION("""COMPUTED_VALUE"""),"Brad Lee Wind")</f>
        <v>Brad Lee Wind</v>
      </c>
      <c r="AE4940" s="11"/>
    </row>
    <row r="4941" customHeight="1" spans="1:31">
      <c r="A4941" s="12" t="s">
        <v>748</v>
      </c>
      <c r="B4941" s="12" t="s">
        <v>23615</v>
      </c>
      <c r="C4941" s="12">
        <v>16</v>
      </c>
      <c r="D4941" s="12">
        <v>66</v>
      </c>
      <c r="E4941" s="12">
        <v>4</v>
      </c>
      <c r="F4941" s="12">
        <v>232</v>
      </c>
      <c r="G4941" s="12">
        <v>502</v>
      </c>
      <c r="H4941" s="16"/>
      <c r="I4941" s="12" t="s">
        <v>68</v>
      </c>
      <c r="J4941" s="12" t="s">
        <v>23616</v>
      </c>
      <c r="K4941" s="12" t="s">
        <v>23617</v>
      </c>
      <c r="L4941" s="12" t="s">
        <v>23618</v>
      </c>
      <c r="M4941" s="12" t="s">
        <v>23619</v>
      </c>
      <c r="N4941" s="12">
        <v>502</v>
      </c>
      <c r="O4941" s="12">
        <v>1796</v>
      </c>
      <c r="P4941" s="12">
        <v>0</v>
      </c>
      <c r="Q4941" s="12" t="s">
        <v>23620</v>
      </c>
      <c r="R4941" s="15" t="s">
        <v>23621</v>
      </c>
      <c r="S4941" s="12">
        <v>9</v>
      </c>
      <c r="T4941" s="12" t="s">
        <v>39</v>
      </c>
      <c r="U4941" s="12" t="s">
        <v>40</v>
      </c>
      <c r="V4941" s="16"/>
      <c r="W4941" s="12">
        <v>150000</v>
      </c>
      <c r="X4941" s="12">
        <v>2013</v>
      </c>
      <c r="Y4941" s="12">
        <v>366</v>
      </c>
      <c r="Z4941" s="12">
        <v>5.3</v>
      </c>
      <c r="AA4941" s="16"/>
      <c r="AB4941" s="12">
        <v>207</v>
      </c>
      <c r="AC4941" s="12"/>
      <c r="AD4941" s="12" t="str">
        <f>IFERROR(__xludf.DUMMYFUNCTION("""COMPUTED_VALUE"""),"Manuela Velasco")</f>
        <v>Manuela Velasco</v>
      </c>
      <c r="AE4941" s="12"/>
    </row>
    <row r="4942" customHeight="1" spans="1:31">
      <c r="A4942" s="11" t="s">
        <v>30</v>
      </c>
      <c r="B4942" s="11" t="s">
        <v>23622</v>
      </c>
      <c r="C4942" s="11">
        <v>18</v>
      </c>
      <c r="D4942" s="11">
        <v>80</v>
      </c>
      <c r="E4942" s="11">
        <v>0</v>
      </c>
      <c r="F4942" s="11">
        <v>0</v>
      </c>
      <c r="G4942" s="11">
        <v>0</v>
      </c>
      <c r="H4942" s="11">
        <v>5858</v>
      </c>
      <c r="I4942" s="11" t="s">
        <v>68</v>
      </c>
      <c r="J4942" s="11" t="s">
        <v>23623</v>
      </c>
      <c r="K4942" s="11" t="s">
        <v>23624</v>
      </c>
      <c r="L4942" s="11" t="s">
        <v>23625</v>
      </c>
      <c r="M4942" s="11" t="s">
        <v>23626</v>
      </c>
      <c r="N4942" s="11">
        <v>260</v>
      </c>
      <c r="O4942" s="11">
        <v>0</v>
      </c>
      <c r="P4942" s="11">
        <v>0</v>
      </c>
      <c r="Q4942" s="13"/>
      <c r="R4942" s="14" t="s">
        <v>23627</v>
      </c>
      <c r="S4942" s="11">
        <v>2</v>
      </c>
      <c r="T4942" s="11" t="s">
        <v>39</v>
      </c>
      <c r="U4942" s="11" t="s">
        <v>40</v>
      </c>
      <c r="V4942" s="13"/>
      <c r="W4942" s="11">
        <v>150000</v>
      </c>
      <c r="X4942" s="11">
        <v>2014</v>
      </c>
      <c r="Y4942" s="11">
        <v>0</v>
      </c>
      <c r="Z4942" s="11">
        <v>7.1</v>
      </c>
      <c r="AA4942" s="13"/>
      <c r="AB4942" s="11">
        <v>116</v>
      </c>
      <c r="AC4942" s="11"/>
      <c r="AD4942" s="11" t="str">
        <f>IFERROR(__xludf.DUMMYFUNCTION("""COMPUTED_VALUE"""),"Carlos Lasarte")</f>
        <v>Carlos Lasarte</v>
      </c>
      <c r="AE4942" s="11"/>
    </row>
    <row r="4943" customHeight="1" spans="1:31">
      <c r="A4943" s="12" t="s">
        <v>30</v>
      </c>
      <c r="B4943" s="12" t="s">
        <v>3807</v>
      </c>
      <c r="C4943" s="12">
        <v>40</v>
      </c>
      <c r="D4943" s="12">
        <v>91</v>
      </c>
      <c r="E4943" s="12">
        <v>909</v>
      </c>
      <c r="F4943" s="12">
        <v>42</v>
      </c>
      <c r="G4943" s="12">
        <v>909</v>
      </c>
      <c r="H4943" s="12">
        <v>6706368</v>
      </c>
      <c r="I4943" s="12" t="s">
        <v>68</v>
      </c>
      <c r="J4943" s="12" t="s">
        <v>3807</v>
      </c>
      <c r="K4943" s="12" t="s">
        <v>23628</v>
      </c>
      <c r="L4943" s="12" t="s">
        <v>23629</v>
      </c>
      <c r="M4943" s="12" t="s">
        <v>23630</v>
      </c>
      <c r="N4943" s="12">
        <v>22800</v>
      </c>
      <c r="O4943" s="12">
        <v>1048</v>
      </c>
      <c r="P4943" s="12">
        <v>0</v>
      </c>
      <c r="Q4943" s="12" t="s">
        <v>23631</v>
      </c>
      <c r="R4943" s="15" t="s">
        <v>23632</v>
      </c>
      <c r="S4943" s="12">
        <v>133</v>
      </c>
      <c r="T4943" s="12" t="s">
        <v>39</v>
      </c>
      <c r="U4943" s="12" t="s">
        <v>40</v>
      </c>
      <c r="V4943" s="12" t="s">
        <v>586</v>
      </c>
      <c r="W4943" s="12">
        <v>160000</v>
      </c>
      <c r="X4943" s="12">
        <v>1989</v>
      </c>
      <c r="Y4943" s="12">
        <v>91</v>
      </c>
      <c r="Z4943" s="12">
        <v>7.5</v>
      </c>
      <c r="AA4943" s="12">
        <v>1.66</v>
      </c>
      <c r="AB4943" s="12">
        <v>667</v>
      </c>
      <c r="AC4943" s="12"/>
      <c r="AD4943" s="12" t="str">
        <f>IFERROR(__xludf.DUMMYFUNCTION("""COMPUTED_VALUE"""),"Martha Higareda")</f>
        <v>Martha Higareda</v>
      </c>
      <c r="AE4943" s="12"/>
    </row>
    <row r="4944" customHeight="1" spans="1:31">
      <c r="A4944" s="11" t="s">
        <v>30</v>
      </c>
      <c r="B4944" s="11" t="s">
        <v>13941</v>
      </c>
      <c r="C4944" s="11">
        <v>130</v>
      </c>
      <c r="D4944" s="11">
        <v>93</v>
      </c>
      <c r="E4944" s="11">
        <v>261</v>
      </c>
      <c r="F4944" s="11">
        <v>697</v>
      </c>
      <c r="G4944" s="11">
        <v>783</v>
      </c>
      <c r="H4944" s="13"/>
      <c r="I4944" s="11" t="s">
        <v>9755</v>
      </c>
      <c r="J4944" s="11" t="s">
        <v>972</v>
      </c>
      <c r="K4944" s="11" t="s">
        <v>1728</v>
      </c>
      <c r="L4944" s="11" t="s">
        <v>3198</v>
      </c>
      <c r="M4944" s="11" t="s">
        <v>13942</v>
      </c>
      <c r="N4944" s="11">
        <v>14193</v>
      </c>
      <c r="O4944" s="11">
        <v>3700</v>
      </c>
      <c r="P4944" s="11">
        <v>1</v>
      </c>
      <c r="Q4944" s="11" t="s">
        <v>13943</v>
      </c>
      <c r="R4944" s="14" t="s">
        <v>13944</v>
      </c>
      <c r="S4944" s="11">
        <v>106</v>
      </c>
      <c r="T4944" s="11" t="s">
        <v>39</v>
      </c>
      <c r="U4944" s="11" t="s">
        <v>40</v>
      </c>
      <c r="V4944" s="11" t="s">
        <v>586</v>
      </c>
      <c r="W4944" s="11">
        <v>18000000</v>
      </c>
      <c r="X4944" s="11">
        <v>1982</v>
      </c>
      <c r="Y4944" s="11">
        <v>782</v>
      </c>
      <c r="Z4944" s="11">
        <v>6.1</v>
      </c>
      <c r="AA4944" s="11">
        <v>1.85</v>
      </c>
      <c r="AB4944" s="11">
        <v>0</v>
      </c>
      <c r="AC4944" s="11"/>
      <c r="AD4944" s="11" t="str">
        <f>IFERROR(__xludf.DUMMYFUNCTION("""COMPUTED_VALUE"""),"Cheyenne Haynes")</f>
        <v>Cheyenne Haynes</v>
      </c>
      <c r="AE4944" s="11"/>
    </row>
    <row r="4945" customHeight="1" spans="1:31">
      <c r="A4945" s="12" t="s">
        <v>30</v>
      </c>
      <c r="B4945" s="12" t="s">
        <v>23633</v>
      </c>
      <c r="C4945" s="12">
        <v>3</v>
      </c>
      <c r="D4945" s="12">
        <v>89</v>
      </c>
      <c r="E4945" s="12">
        <v>0</v>
      </c>
      <c r="F4945" s="12">
        <v>163</v>
      </c>
      <c r="G4945" s="12">
        <v>196</v>
      </c>
      <c r="H4945" s="16"/>
      <c r="I4945" s="12" t="s">
        <v>3410</v>
      </c>
      <c r="J4945" s="12" t="s">
        <v>23634</v>
      </c>
      <c r="K4945" s="12" t="s">
        <v>23635</v>
      </c>
      <c r="L4945" s="12" t="s">
        <v>23636</v>
      </c>
      <c r="M4945" s="12" t="s">
        <v>23637</v>
      </c>
      <c r="N4945" s="12">
        <v>100</v>
      </c>
      <c r="O4945" s="12">
        <v>942</v>
      </c>
      <c r="P4945" s="12">
        <v>0</v>
      </c>
      <c r="Q4945" s="12" t="s">
        <v>23638</v>
      </c>
      <c r="R4945" s="15" t="s">
        <v>23639</v>
      </c>
      <c r="S4945" s="12">
        <v>3</v>
      </c>
      <c r="T4945" s="12" t="s">
        <v>39</v>
      </c>
      <c r="U4945" s="12" t="s">
        <v>40</v>
      </c>
      <c r="V4945" s="12" t="s">
        <v>586</v>
      </c>
      <c r="W4945" s="12">
        <v>125000</v>
      </c>
      <c r="X4945" s="12">
        <v>2014</v>
      </c>
      <c r="Y4945" s="12">
        <v>180</v>
      </c>
      <c r="Z4945" s="12">
        <v>7.2</v>
      </c>
      <c r="AA4945" s="16"/>
      <c r="AB4945" s="12">
        <v>72</v>
      </c>
      <c r="AC4945" s="12"/>
      <c r="AD4945" s="12" t="str">
        <f>IFERROR(__xludf.DUMMYFUNCTION("""COMPUTED_VALUE"""),"Travis Myers")</f>
        <v>Travis Myers</v>
      </c>
      <c r="AE4945" s="12"/>
    </row>
    <row r="4946" customHeight="1" spans="1:31">
      <c r="A4946" s="11" t="s">
        <v>30</v>
      </c>
      <c r="B4946" s="11" t="s">
        <v>16917</v>
      </c>
      <c r="C4946" s="11">
        <v>136</v>
      </c>
      <c r="D4946" s="11">
        <v>85</v>
      </c>
      <c r="E4946" s="11">
        <v>129</v>
      </c>
      <c r="F4946" s="11">
        <v>100</v>
      </c>
      <c r="G4946" s="11">
        <v>120</v>
      </c>
      <c r="H4946" s="11">
        <v>405614</v>
      </c>
      <c r="I4946" s="11" t="s">
        <v>2202</v>
      </c>
      <c r="J4946" s="11" t="s">
        <v>22714</v>
      </c>
      <c r="K4946" s="11" t="s">
        <v>20207</v>
      </c>
      <c r="L4946" s="11" t="s">
        <v>23640</v>
      </c>
      <c r="M4946" s="11" t="s">
        <v>23641</v>
      </c>
      <c r="N4946" s="11">
        <v>15775</v>
      </c>
      <c r="O4946" s="11">
        <v>511</v>
      </c>
      <c r="P4946" s="11">
        <v>0</v>
      </c>
      <c r="Q4946" s="11" t="s">
        <v>23642</v>
      </c>
      <c r="R4946" s="14" t="s">
        <v>23643</v>
      </c>
      <c r="S4946" s="11">
        <v>69</v>
      </c>
      <c r="T4946" s="11" t="s">
        <v>39</v>
      </c>
      <c r="U4946" s="11" t="s">
        <v>40</v>
      </c>
      <c r="V4946" s="11" t="s">
        <v>586</v>
      </c>
      <c r="W4946" s="13"/>
      <c r="X4946" s="11">
        <v>2011</v>
      </c>
      <c r="Y4946" s="11">
        <v>119</v>
      </c>
      <c r="Z4946" s="11">
        <v>6.7</v>
      </c>
      <c r="AA4946" s="11">
        <v>1.85</v>
      </c>
      <c r="AB4946" s="11">
        <v>0</v>
      </c>
      <c r="AC4946" s="11"/>
      <c r="AD4946" s="11" t="str">
        <f>IFERROR(__xludf.DUMMYFUNCTION("""COMPUTED_VALUE"""),"Carmen Argenziano")</f>
        <v>Carmen Argenziano</v>
      </c>
      <c r="AE4946" s="11"/>
    </row>
    <row r="4947" customHeight="1" spans="1:31">
      <c r="A4947" s="12" t="s">
        <v>30</v>
      </c>
      <c r="B4947" s="12" t="s">
        <v>23644</v>
      </c>
      <c r="C4947" s="16"/>
      <c r="D4947" s="12">
        <v>62</v>
      </c>
      <c r="E4947" s="12">
        <v>58</v>
      </c>
      <c r="F4947" s="16"/>
      <c r="G4947" s="16"/>
      <c r="H4947" s="16"/>
      <c r="I4947" s="12" t="s">
        <v>23645</v>
      </c>
      <c r="J4947" s="16"/>
      <c r="K4947" s="16"/>
      <c r="L4947" s="16"/>
      <c r="M4947" s="12" t="s">
        <v>23646</v>
      </c>
      <c r="N4947" s="12">
        <v>18</v>
      </c>
      <c r="O4947" s="12">
        <v>0</v>
      </c>
      <c r="P4947" s="12">
        <v>1</v>
      </c>
      <c r="Q4947" s="12" t="s">
        <v>23647</v>
      </c>
      <c r="R4947" s="15" t="s">
        <v>23648</v>
      </c>
      <c r="S4947" s="16"/>
      <c r="T4947" s="12" t="s">
        <v>15950</v>
      </c>
      <c r="U4947" s="12" t="s">
        <v>23649</v>
      </c>
      <c r="V4947" s="16"/>
      <c r="W4947" s="12">
        <v>125000</v>
      </c>
      <c r="X4947" s="12">
        <v>2013</v>
      </c>
      <c r="Y4947" s="16"/>
      <c r="Z4947" s="12">
        <v>8.2</v>
      </c>
      <c r="AA4947" s="16"/>
      <c r="AB4947" s="12">
        <v>54</v>
      </c>
      <c r="AC4947" s="12"/>
      <c r="AD4947" s="12" t="str">
        <f>IFERROR(__xludf.DUMMYFUNCTION("""COMPUTED_VALUE"""),"Walter Hendrix III")</f>
        <v>Walter Hendrix III</v>
      </c>
      <c r="AE4947" s="12"/>
    </row>
    <row r="4948" customHeight="1" spans="1:31">
      <c r="A4948" s="11" t="s">
        <v>30</v>
      </c>
      <c r="B4948" s="11" t="s">
        <v>23650</v>
      </c>
      <c r="C4948" s="11">
        <v>12</v>
      </c>
      <c r="D4948" s="11">
        <v>90</v>
      </c>
      <c r="E4948" s="11">
        <v>0</v>
      </c>
      <c r="F4948" s="13"/>
      <c r="G4948" s="13"/>
      <c r="H4948" s="13"/>
      <c r="I4948" s="11" t="s">
        <v>20310</v>
      </c>
      <c r="J4948" s="13"/>
      <c r="K4948" s="13"/>
      <c r="L4948" s="13"/>
      <c r="M4948" s="11" t="s">
        <v>23651</v>
      </c>
      <c r="N4948" s="11">
        <v>102</v>
      </c>
      <c r="O4948" s="11">
        <v>0</v>
      </c>
      <c r="P4948" s="11">
        <v>1</v>
      </c>
      <c r="Q4948" s="11" t="s">
        <v>23652</v>
      </c>
      <c r="R4948" s="14" t="s">
        <v>23653</v>
      </c>
      <c r="S4948" s="11">
        <v>7</v>
      </c>
      <c r="T4948" s="11" t="s">
        <v>39</v>
      </c>
      <c r="U4948" s="11" t="s">
        <v>40</v>
      </c>
      <c r="V4948" s="13"/>
      <c r="W4948" s="11">
        <v>120000</v>
      </c>
      <c r="X4948" s="11">
        <v>2005</v>
      </c>
      <c r="Y4948" s="13"/>
      <c r="Z4948" s="11">
        <v>6.6</v>
      </c>
      <c r="AA4948" s="11">
        <v>1.66</v>
      </c>
      <c r="AB4948" s="11">
        <v>14</v>
      </c>
      <c r="AC4948" s="11"/>
      <c r="AD4948" s="11" t="str">
        <f>IFERROR(__xludf.DUMMYFUNCTION("""COMPUTED_VALUE"""),"Michael Chapman")</f>
        <v>Michael Chapman</v>
      </c>
      <c r="AE4948" s="11"/>
    </row>
    <row r="4949" customHeight="1" spans="1:31">
      <c r="A4949" s="12" t="s">
        <v>30</v>
      </c>
      <c r="B4949" s="12" t="s">
        <v>23654</v>
      </c>
      <c r="C4949" s="12">
        <v>171</v>
      </c>
      <c r="D4949" s="12">
        <v>90</v>
      </c>
      <c r="E4949" s="12">
        <v>100</v>
      </c>
      <c r="F4949" s="12">
        <v>9</v>
      </c>
      <c r="G4949" s="12">
        <v>830</v>
      </c>
      <c r="H4949" s="12">
        <v>1573712</v>
      </c>
      <c r="I4949" s="12" t="s">
        <v>2528</v>
      </c>
      <c r="J4949" s="12" t="s">
        <v>10692</v>
      </c>
      <c r="K4949" s="12" t="s">
        <v>23655</v>
      </c>
      <c r="L4949" s="12" t="s">
        <v>23656</v>
      </c>
      <c r="M4949" s="12" t="s">
        <v>23657</v>
      </c>
      <c r="N4949" s="12">
        <v>21618</v>
      </c>
      <c r="O4949" s="12">
        <v>973</v>
      </c>
      <c r="P4949" s="12">
        <v>2</v>
      </c>
      <c r="Q4949" s="12" t="s">
        <v>23658</v>
      </c>
      <c r="R4949" s="15" t="s">
        <v>23659</v>
      </c>
      <c r="S4949" s="12">
        <v>62</v>
      </c>
      <c r="T4949" s="12" t="s">
        <v>39</v>
      </c>
      <c r="U4949" s="12" t="s">
        <v>40</v>
      </c>
      <c r="V4949" s="12" t="s">
        <v>586</v>
      </c>
      <c r="W4949" s="12">
        <v>125000</v>
      </c>
      <c r="X4949" s="12">
        <v>2011</v>
      </c>
      <c r="Y4949" s="12">
        <v>128</v>
      </c>
      <c r="Z4949" s="12">
        <v>6.7</v>
      </c>
      <c r="AA4949" s="16"/>
      <c r="AB4949" s="12">
        <v>3000</v>
      </c>
      <c r="AC4949" s="12"/>
      <c r="AD4949" s="12" t="str">
        <f>IFERROR(__xludf.DUMMYFUNCTION("""COMPUTED_VALUE"""),"Louise Brealey")</f>
        <v>Louise Brealey</v>
      </c>
      <c r="AE4949" s="12"/>
    </row>
    <row r="4950" customHeight="1" spans="1:31">
      <c r="A4950" s="11" t="s">
        <v>30</v>
      </c>
      <c r="B4950" s="11" t="s">
        <v>23660</v>
      </c>
      <c r="C4950" s="13"/>
      <c r="D4950" s="13"/>
      <c r="E4950" s="11">
        <v>0</v>
      </c>
      <c r="F4950" s="13"/>
      <c r="G4950" s="11">
        <v>17</v>
      </c>
      <c r="H4950" s="13"/>
      <c r="I4950" s="11" t="s">
        <v>19710</v>
      </c>
      <c r="J4950" s="11" t="s">
        <v>23661</v>
      </c>
      <c r="K4950" s="11" t="s">
        <v>23660</v>
      </c>
      <c r="L4950" s="13"/>
      <c r="M4950" s="11" t="s">
        <v>23662</v>
      </c>
      <c r="N4950" s="11">
        <v>172</v>
      </c>
      <c r="O4950" s="11">
        <v>17</v>
      </c>
      <c r="P4950" s="11">
        <v>2</v>
      </c>
      <c r="Q4950" s="13"/>
      <c r="R4950" s="14" t="s">
        <v>23663</v>
      </c>
      <c r="S4950" s="13"/>
      <c r="T4950" s="11" t="s">
        <v>39</v>
      </c>
      <c r="U4950" s="11" t="s">
        <v>40</v>
      </c>
      <c r="V4950" s="11" t="s">
        <v>41</v>
      </c>
      <c r="W4950" s="11">
        <v>125000</v>
      </c>
      <c r="X4950" s="11">
        <v>2015</v>
      </c>
      <c r="Y4950" s="11">
        <v>0</v>
      </c>
      <c r="Z4950" s="11">
        <v>5.1</v>
      </c>
      <c r="AA4950" s="13"/>
      <c r="AB4950" s="11">
        <v>0</v>
      </c>
      <c r="AC4950" s="11"/>
      <c r="AD4950" s="11" t="str">
        <f>IFERROR(__xludf.DUMMYFUNCTION("""COMPUTED_VALUE"""),"Maria Doyle Kennedy")</f>
        <v>Maria Doyle Kennedy</v>
      </c>
      <c r="AE4950" s="11"/>
    </row>
    <row r="4951" customHeight="1" spans="1:31">
      <c r="A4951" s="12" t="s">
        <v>30</v>
      </c>
      <c r="B4951" s="12" t="s">
        <v>8556</v>
      </c>
      <c r="C4951" s="12">
        <v>8</v>
      </c>
      <c r="D4951" s="12">
        <v>88</v>
      </c>
      <c r="E4951" s="12">
        <v>686</v>
      </c>
      <c r="F4951" s="12">
        <v>405</v>
      </c>
      <c r="G4951" s="12">
        <v>847</v>
      </c>
      <c r="H4951" s="16"/>
      <c r="I4951" s="12" t="s">
        <v>1672</v>
      </c>
      <c r="J4951" s="12" t="s">
        <v>4656</v>
      </c>
      <c r="K4951" s="12" t="s">
        <v>8556</v>
      </c>
      <c r="L4951" s="12" t="s">
        <v>20607</v>
      </c>
      <c r="M4951" s="12" t="s">
        <v>23664</v>
      </c>
      <c r="N4951" s="12">
        <v>3262</v>
      </c>
      <c r="O4951" s="12">
        <v>2364</v>
      </c>
      <c r="P4951" s="12">
        <v>2</v>
      </c>
      <c r="Q4951" s="12" t="s">
        <v>23665</v>
      </c>
      <c r="R4951" s="15" t="s">
        <v>23666</v>
      </c>
      <c r="S4951" s="12">
        <v>46</v>
      </c>
      <c r="T4951" s="12" t="s">
        <v>39</v>
      </c>
      <c r="U4951" s="12" t="s">
        <v>269</v>
      </c>
      <c r="V4951" s="16"/>
      <c r="W4951" s="12">
        <v>120000</v>
      </c>
      <c r="X4951" s="12">
        <v>2007</v>
      </c>
      <c r="Y4951" s="12">
        <v>686</v>
      </c>
      <c r="Z4951" s="12">
        <v>7</v>
      </c>
      <c r="AA4951" s="12">
        <v>1.78</v>
      </c>
      <c r="AB4951" s="12">
        <v>377</v>
      </c>
      <c r="AC4951" s="12"/>
      <c r="AD4951" s="12" t="str">
        <f>IFERROR(__xludf.DUMMYFUNCTION("""COMPUTED_VALUE"""),"Shaun O'Hagan")</f>
        <v>Shaun O'Hagan</v>
      </c>
      <c r="AE4951" s="12"/>
    </row>
    <row r="4952" customHeight="1" spans="1:31">
      <c r="A4952" s="11" t="s">
        <v>30</v>
      </c>
      <c r="B4952" s="11" t="s">
        <v>8556</v>
      </c>
      <c r="C4952" s="11">
        <v>8</v>
      </c>
      <c r="D4952" s="11">
        <v>88</v>
      </c>
      <c r="E4952" s="11">
        <v>686</v>
      </c>
      <c r="F4952" s="11">
        <v>405</v>
      </c>
      <c r="G4952" s="11">
        <v>847</v>
      </c>
      <c r="H4952" s="13"/>
      <c r="I4952" s="11" t="s">
        <v>1672</v>
      </c>
      <c r="J4952" s="11" t="s">
        <v>4656</v>
      </c>
      <c r="K4952" s="11" t="s">
        <v>8556</v>
      </c>
      <c r="L4952" s="11" t="s">
        <v>20607</v>
      </c>
      <c r="M4952" s="11" t="s">
        <v>23664</v>
      </c>
      <c r="N4952" s="11">
        <v>3262</v>
      </c>
      <c r="O4952" s="11">
        <v>2364</v>
      </c>
      <c r="P4952" s="11">
        <v>2</v>
      </c>
      <c r="Q4952" s="11" t="s">
        <v>23665</v>
      </c>
      <c r="R4952" s="14" t="s">
        <v>23666</v>
      </c>
      <c r="S4952" s="11">
        <v>46</v>
      </c>
      <c r="T4952" s="11" t="s">
        <v>39</v>
      </c>
      <c r="U4952" s="11" t="s">
        <v>269</v>
      </c>
      <c r="V4952" s="13"/>
      <c r="W4952" s="11">
        <v>120000</v>
      </c>
      <c r="X4952" s="11">
        <v>2007</v>
      </c>
      <c r="Y4952" s="11">
        <v>686</v>
      </c>
      <c r="Z4952" s="11">
        <v>7</v>
      </c>
      <c r="AA4952" s="11">
        <v>1.78</v>
      </c>
      <c r="AB4952" s="11">
        <v>377</v>
      </c>
      <c r="AC4952" s="11"/>
      <c r="AD4952" s="11" t="str">
        <f>IFERROR(__xludf.DUMMYFUNCTION("""COMPUTED_VALUE"""),"Daniela Bianchi")</f>
        <v>Daniela Bianchi</v>
      </c>
      <c r="AE4952" s="11"/>
    </row>
    <row r="4953" customHeight="1" spans="1:31">
      <c r="A4953" s="12" t="s">
        <v>748</v>
      </c>
      <c r="B4953" s="12" t="s">
        <v>2496</v>
      </c>
      <c r="C4953" s="12">
        <v>284</v>
      </c>
      <c r="D4953" s="12">
        <v>96</v>
      </c>
      <c r="E4953" s="12">
        <v>0</v>
      </c>
      <c r="F4953" s="12">
        <v>56</v>
      </c>
      <c r="G4953" s="12">
        <v>125</v>
      </c>
      <c r="H4953" s="16"/>
      <c r="I4953" s="12" t="s">
        <v>18429</v>
      </c>
      <c r="J4953" s="12" t="s">
        <v>18430</v>
      </c>
      <c r="K4953" s="12" t="s">
        <v>18431</v>
      </c>
      <c r="L4953" s="12" t="s">
        <v>18432</v>
      </c>
      <c r="M4953" s="12" t="s">
        <v>18433</v>
      </c>
      <c r="N4953" s="12">
        <v>87978</v>
      </c>
      <c r="O4953" s="12">
        <v>403</v>
      </c>
      <c r="P4953" s="12">
        <v>5</v>
      </c>
      <c r="Q4953" s="12" t="s">
        <v>18434</v>
      </c>
      <c r="R4953" s="15" t="s">
        <v>18435</v>
      </c>
      <c r="S4953" s="12">
        <v>580</v>
      </c>
      <c r="T4953" s="12" t="s">
        <v>39</v>
      </c>
      <c r="U4953" s="12" t="s">
        <v>40</v>
      </c>
      <c r="V4953" s="12" t="s">
        <v>5614</v>
      </c>
      <c r="W4953" s="12">
        <v>114000</v>
      </c>
      <c r="X4953" s="12">
        <v>1968</v>
      </c>
      <c r="Y4953" s="12">
        <v>108</v>
      </c>
      <c r="Z4953" s="12">
        <v>8</v>
      </c>
      <c r="AA4953" s="12">
        <v>1.85</v>
      </c>
      <c r="AB4953" s="12">
        <v>0</v>
      </c>
      <c r="AC4953" s="12"/>
      <c r="AD4953" s="12" t="str">
        <f>IFERROR(__xludf.DUMMYFUNCTION("""COMPUTED_VALUE"""),"Phoebe Legere")</f>
        <v>Phoebe Legere</v>
      </c>
      <c r="AE4953" s="12"/>
    </row>
    <row r="4954" customHeight="1" spans="1:31">
      <c r="A4954" s="11" t="s">
        <v>748</v>
      </c>
      <c r="B4954" s="11" t="s">
        <v>23059</v>
      </c>
      <c r="C4954" s="11">
        <v>36</v>
      </c>
      <c r="D4954" s="11">
        <v>94</v>
      </c>
      <c r="E4954" s="11">
        <v>0</v>
      </c>
      <c r="F4954" s="11">
        <v>5</v>
      </c>
      <c r="G4954" s="11">
        <v>12</v>
      </c>
      <c r="H4954" s="13"/>
      <c r="I4954" s="11" t="s">
        <v>3410</v>
      </c>
      <c r="J4954" s="11" t="s">
        <v>23667</v>
      </c>
      <c r="K4954" s="11" t="s">
        <v>23668</v>
      </c>
      <c r="L4954" s="11" t="s">
        <v>23669</v>
      </c>
      <c r="M4954" s="11" t="s">
        <v>23670</v>
      </c>
      <c r="N4954" s="11">
        <v>1962</v>
      </c>
      <c r="O4954" s="11">
        <v>27</v>
      </c>
      <c r="P4954" s="11">
        <v>0</v>
      </c>
      <c r="Q4954" s="11" t="s">
        <v>23671</v>
      </c>
      <c r="R4954" s="14" t="s">
        <v>23672</v>
      </c>
      <c r="S4954" s="11">
        <v>10</v>
      </c>
      <c r="T4954" s="11" t="s">
        <v>1465</v>
      </c>
      <c r="U4954" s="11" t="s">
        <v>1466</v>
      </c>
      <c r="V4954" s="13"/>
      <c r="W4954" s="11">
        <v>120000</v>
      </c>
      <c r="X4954" s="11">
        <v>1964</v>
      </c>
      <c r="Y4954" s="11">
        <v>7</v>
      </c>
      <c r="Z4954" s="11">
        <v>7.4</v>
      </c>
      <c r="AA4954" s="11">
        <v>1.37</v>
      </c>
      <c r="AB4954" s="11">
        <v>187</v>
      </c>
      <c r="AC4954" s="11"/>
      <c r="AD4954" s="11" t="str">
        <f>IFERROR(__xludf.DUMMYFUNCTION("""COMPUTED_VALUE"""),"Jessica Dublin")</f>
        <v>Jessica Dublin</v>
      </c>
      <c r="AE4954" s="11"/>
    </row>
    <row r="4955" customHeight="1" spans="1:31">
      <c r="A4955" s="12" t="s">
        <v>30</v>
      </c>
      <c r="B4955" s="12" t="s">
        <v>4505</v>
      </c>
      <c r="C4955" s="12">
        <v>21</v>
      </c>
      <c r="D4955" s="12">
        <v>120</v>
      </c>
      <c r="E4955" s="12">
        <v>664</v>
      </c>
      <c r="F4955" s="12">
        <v>400</v>
      </c>
      <c r="G4955" s="12">
        <v>990</v>
      </c>
      <c r="H4955" s="16"/>
      <c r="I4955" s="12" t="s">
        <v>1544</v>
      </c>
      <c r="J4955" s="12" t="s">
        <v>23673</v>
      </c>
      <c r="K4955" s="12" t="s">
        <v>4505</v>
      </c>
      <c r="L4955" s="12" t="s">
        <v>8474</v>
      </c>
      <c r="M4955" s="12" t="s">
        <v>23674</v>
      </c>
      <c r="N4955" s="12">
        <v>1197</v>
      </c>
      <c r="O4955" s="12">
        <v>3525</v>
      </c>
      <c r="P4955" s="12">
        <v>1</v>
      </c>
      <c r="Q4955" s="16"/>
      <c r="R4955" s="15" t="s">
        <v>23675</v>
      </c>
      <c r="S4955" s="12">
        <v>8</v>
      </c>
      <c r="T4955" s="12" t="s">
        <v>39</v>
      </c>
      <c r="U4955" s="12" t="s">
        <v>40</v>
      </c>
      <c r="V4955" s="12" t="s">
        <v>586</v>
      </c>
      <c r="W4955" s="12">
        <v>10000000</v>
      </c>
      <c r="X4955" s="12">
        <v>2016</v>
      </c>
      <c r="Y4955" s="12">
        <v>664</v>
      </c>
      <c r="Z4955" s="12">
        <v>5.4</v>
      </c>
      <c r="AA4955" s="12">
        <v>2.35</v>
      </c>
      <c r="AB4955" s="12">
        <v>0</v>
      </c>
      <c r="AC4955" s="12"/>
      <c r="AD4955" s="12" t="str">
        <f>IFERROR(__xludf.DUMMYFUNCTION("""COMPUTED_VALUE"""),"Lisa Gaye")</f>
        <v>Lisa Gaye</v>
      </c>
      <c r="AE4955" s="12"/>
    </row>
    <row r="4956" customHeight="1" spans="1:31">
      <c r="A4956" s="11" t="s">
        <v>30</v>
      </c>
      <c r="B4956" s="11" t="s">
        <v>23676</v>
      </c>
      <c r="C4956" s="11">
        <v>1</v>
      </c>
      <c r="D4956" s="11">
        <v>77</v>
      </c>
      <c r="E4956" s="11">
        <v>7</v>
      </c>
      <c r="F4956" s="11">
        <v>69</v>
      </c>
      <c r="G4956" s="11">
        <v>206</v>
      </c>
      <c r="H4956" s="13"/>
      <c r="I4956" s="11" t="s">
        <v>1672</v>
      </c>
      <c r="J4956" s="11" t="s">
        <v>23677</v>
      </c>
      <c r="K4956" s="11" t="s">
        <v>21698</v>
      </c>
      <c r="L4956" s="11" t="s">
        <v>23678</v>
      </c>
      <c r="M4956" s="11" t="s">
        <v>23679</v>
      </c>
      <c r="N4956" s="11">
        <v>98</v>
      </c>
      <c r="O4956" s="11">
        <v>516</v>
      </c>
      <c r="P4956" s="11">
        <v>0</v>
      </c>
      <c r="Q4956" s="11" t="s">
        <v>23680</v>
      </c>
      <c r="R4956" s="14" t="s">
        <v>23681</v>
      </c>
      <c r="S4956" s="11">
        <v>5</v>
      </c>
      <c r="T4956" s="11" t="s">
        <v>39</v>
      </c>
      <c r="U4956" s="11" t="s">
        <v>40</v>
      </c>
      <c r="V4956" s="13"/>
      <c r="W4956" s="11">
        <v>103000</v>
      </c>
      <c r="X4956" s="11">
        <v>2003</v>
      </c>
      <c r="Y4956" s="11">
        <v>81</v>
      </c>
      <c r="Z4956" s="11">
        <v>5.7</v>
      </c>
      <c r="AA4956" s="13"/>
      <c r="AB4956" s="11">
        <v>0</v>
      </c>
      <c r="AC4956" s="11"/>
      <c r="AD4956" s="11" t="str">
        <f>IFERROR(__xludf.DUMMYFUNCTION("""COMPUTED_VALUE"""),"Alan Autry")</f>
        <v>Alan Autry</v>
      </c>
      <c r="AE4956" s="11"/>
    </row>
    <row r="4957" customHeight="1" spans="1:31">
      <c r="A4957" s="12" t="s">
        <v>30</v>
      </c>
      <c r="B4957" s="12" t="s">
        <v>18268</v>
      </c>
      <c r="C4957" s="12">
        <v>31</v>
      </c>
      <c r="D4957" s="12">
        <v>111</v>
      </c>
      <c r="E4957" s="12">
        <v>589</v>
      </c>
      <c r="F4957" s="12">
        <v>51</v>
      </c>
      <c r="G4957" s="12">
        <v>589</v>
      </c>
      <c r="H4957" s="12">
        <v>10174663</v>
      </c>
      <c r="I4957" s="12" t="s">
        <v>3794</v>
      </c>
      <c r="J4957" s="12" t="s">
        <v>18268</v>
      </c>
      <c r="K4957" s="12" t="s">
        <v>22478</v>
      </c>
      <c r="L4957" s="12" t="s">
        <v>23682</v>
      </c>
      <c r="M4957" s="12" t="s">
        <v>23683</v>
      </c>
      <c r="N4957" s="12">
        <v>12399</v>
      </c>
      <c r="O4957" s="12">
        <v>916</v>
      </c>
      <c r="P4957" s="12">
        <v>0</v>
      </c>
      <c r="Q4957" s="12" t="s">
        <v>23684</v>
      </c>
      <c r="R4957" s="15" t="s">
        <v>23685</v>
      </c>
      <c r="S4957" s="12">
        <v>382</v>
      </c>
      <c r="T4957" s="12" t="s">
        <v>39</v>
      </c>
      <c r="U4957" s="12" t="s">
        <v>40</v>
      </c>
      <c r="V4957" s="12" t="s">
        <v>96</v>
      </c>
      <c r="W4957" s="12">
        <v>100000</v>
      </c>
      <c r="X4957" s="12">
        <v>2006</v>
      </c>
      <c r="Y4957" s="12">
        <v>150</v>
      </c>
      <c r="Z4957" s="12">
        <v>6.7</v>
      </c>
      <c r="AA4957" s="12">
        <v>1.85</v>
      </c>
      <c r="AB4957" s="12">
        <v>0</v>
      </c>
      <c r="AC4957" s="12"/>
      <c r="AD4957" s="12" t="str">
        <f>IFERROR(__xludf.DUMMYFUNCTION("""COMPUTED_VALUE"""),"Crystal R. Fox")</f>
        <v>Crystal R. Fox</v>
      </c>
      <c r="AE4957" s="12"/>
    </row>
    <row r="4958" customHeight="1" spans="1:31">
      <c r="A4958" s="11" t="s">
        <v>30</v>
      </c>
      <c r="B4958" s="11" t="s">
        <v>23686</v>
      </c>
      <c r="C4958" s="11">
        <v>159</v>
      </c>
      <c r="D4958" s="11">
        <v>81</v>
      </c>
      <c r="E4958" s="11">
        <v>3</v>
      </c>
      <c r="F4958" s="11">
        <v>7</v>
      </c>
      <c r="G4958" s="11">
        <v>220</v>
      </c>
      <c r="H4958" s="11">
        <v>22757819</v>
      </c>
      <c r="I4958" s="11" t="s">
        <v>5544</v>
      </c>
      <c r="J4958" s="11" t="s">
        <v>23687</v>
      </c>
      <c r="K4958" s="11" t="s">
        <v>23688</v>
      </c>
      <c r="L4958" s="11" t="s">
        <v>23689</v>
      </c>
      <c r="M4958" s="11" t="s">
        <v>23690</v>
      </c>
      <c r="N4958" s="11">
        <v>13521</v>
      </c>
      <c r="O4958" s="11">
        <v>276</v>
      </c>
      <c r="P4958" s="11">
        <v>0</v>
      </c>
      <c r="Q4958" s="11" t="s">
        <v>23691</v>
      </c>
      <c r="R4958" s="14" t="s">
        <v>23692</v>
      </c>
      <c r="S4958" s="11">
        <v>150</v>
      </c>
      <c r="T4958" s="11" t="s">
        <v>39</v>
      </c>
      <c r="U4958" s="11" t="s">
        <v>40</v>
      </c>
      <c r="V4958" s="11" t="s">
        <v>586</v>
      </c>
      <c r="W4958" s="11">
        <v>100000</v>
      </c>
      <c r="X4958" s="11">
        <v>2015</v>
      </c>
      <c r="Y4958" s="11">
        <v>40</v>
      </c>
      <c r="Z4958" s="11">
        <v>4.2</v>
      </c>
      <c r="AA4958" s="11">
        <v>1.85</v>
      </c>
      <c r="AB4958" s="11">
        <v>0</v>
      </c>
      <c r="AC4958" s="11"/>
      <c r="AD4958" s="11" t="str">
        <f>IFERROR(__xludf.DUMMYFUNCTION("""COMPUTED_VALUE"""),"John Beck")</f>
        <v>John Beck</v>
      </c>
      <c r="AE4958" s="11"/>
    </row>
    <row r="4959" customHeight="1" spans="1:31">
      <c r="A4959" s="12" t="s">
        <v>748</v>
      </c>
      <c r="B4959" s="12" t="s">
        <v>5878</v>
      </c>
      <c r="C4959" s="12">
        <v>152</v>
      </c>
      <c r="D4959" s="12">
        <v>89</v>
      </c>
      <c r="E4959" s="12">
        <v>0</v>
      </c>
      <c r="F4959" s="12">
        <v>121</v>
      </c>
      <c r="G4959" s="12">
        <v>195</v>
      </c>
      <c r="H4959" s="16"/>
      <c r="I4959" s="12" t="s">
        <v>14908</v>
      </c>
      <c r="J4959" s="12" t="s">
        <v>18646</v>
      </c>
      <c r="K4959" s="12" t="s">
        <v>23693</v>
      </c>
      <c r="L4959" s="12" t="s">
        <v>23694</v>
      </c>
      <c r="M4959" s="12" t="s">
        <v>23695</v>
      </c>
      <c r="N4959" s="12">
        <v>69831</v>
      </c>
      <c r="O4959" s="12">
        <v>837</v>
      </c>
      <c r="P4959" s="12">
        <v>1</v>
      </c>
      <c r="Q4959" s="12" t="s">
        <v>23696</v>
      </c>
      <c r="R4959" s="15" t="s">
        <v>23697</v>
      </c>
      <c r="S4959" s="12">
        <v>535</v>
      </c>
      <c r="T4959" s="12" t="s">
        <v>39</v>
      </c>
      <c r="U4959" s="12" t="s">
        <v>40</v>
      </c>
      <c r="V4959" s="12" t="s">
        <v>5614</v>
      </c>
      <c r="W4959" s="12">
        <v>20000</v>
      </c>
      <c r="X4959" s="12">
        <v>1977</v>
      </c>
      <c r="Y4959" s="12">
        <v>158</v>
      </c>
      <c r="Z4959" s="12">
        <v>7.4</v>
      </c>
      <c r="AA4959" s="12">
        <v>1.37</v>
      </c>
      <c r="AB4959" s="12">
        <v>0</v>
      </c>
      <c r="AC4959" s="12"/>
      <c r="AD4959" s="12" t="str">
        <f>IFERROR(__xludf.DUMMYFUNCTION("""COMPUTED_VALUE"""),"Mews Small")</f>
        <v>Mews Small</v>
      </c>
      <c r="AE4959" s="12"/>
    </row>
    <row r="4960" customHeight="1" spans="1:31">
      <c r="A4960" s="11" t="s">
        <v>748</v>
      </c>
      <c r="B4960" s="11" t="s">
        <v>23698</v>
      </c>
      <c r="C4960" s="11">
        <v>1</v>
      </c>
      <c r="D4960" s="11">
        <v>110</v>
      </c>
      <c r="E4960" s="11">
        <v>0</v>
      </c>
      <c r="F4960" s="11">
        <v>0</v>
      </c>
      <c r="G4960" s="11">
        <v>2</v>
      </c>
      <c r="H4960" s="11">
        <v>3000000</v>
      </c>
      <c r="I4960" s="11" t="s">
        <v>1936</v>
      </c>
      <c r="J4960" s="11" t="s">
        <v>23699</v>
      </c>
      <c r="K4960" s="11" t="s">
        <v>23700</v>
      </c>
      <c r="L4960" s="11" t="s">
        <v>23701</v>
      </c>
      <c r="M4960" s="11" t="s">
        <v>23702</v>
      </c>
      <c r="N4960" s="11">
        <v>5</v>
      </c>
      <c r="O4960" s="11">
        <v>4</v>
      </c>
      <c r="P4960" s="11">
        <v>1</v>
      </c>
      <c r="Q4960" s="11" t="s">
        <v>23703</v>
      </c>
      <c r="R4960" s="14" t="s">
        <v>23704</v>
      </c>
      <c r="S4960" s="11">
        <v>1</v>
      </c>
      <c r="T4960" s="13"/>
      <c r="U4960" s="11" t="s">
        <v>40</v>
      </c>
      <c r="V4960" s="13"/>
      <c r="W4960" s="11">
        <v>100000</v>
      </c>
      <c r="X4960" s="11">
        <v>1920</v>
      </c>
      <c r="Y4960" s="11">
        <v>2</v>
      </c>
      <c r="Z4960" s="11">
        <v>4.8</v>
      </c>
      <c r="AA4960" s="11">
        <v>1.33</v>
      </c>
      <c r="AB4960" s="11">
        <v>0</v>
      </c>
      <c r="AC4960" s="11"/>
      <c r="AD4960" s="11" t="str">
        <f>IFERROR(__xludf.DUMMYFUNCTION("""COMPUTED_VALUE"""),"Maika Monroe")</f>
        <v>Maika Monroe</v>
      </c>
      <c r="AE4960" s="11"/>
    </row>
    <row r="4961" customHeight="1" spans="1:31">
      <c r="A4961" s="12" t="s">
        <v>30</v>
      </c>
      <c r="B4961" s="12" t="s">
        <v>19003</v>
      </c>
      <c r="C4961" s="12">
        <v>21</v>
      </c>
      <c r="D4961" s="12">
        <v>81</v>
      </c>
      <c r="E4961" s="12">
        <v>467</v>
      </c>
      <c r="F4961" s="12">
        <v>287</v>
      </c>
      <c r="G4961" s="12">
        <v>467</v>
      </c>
      <c r="H4961" s="12">
        <v>5228617</v>
      </c>
      <c r="I4961" s="12" t="s">
        <v>1672</v>
      </c>
      <c r="J4961" s="12" t="s">
        <v>19003</v>
      </c>
      <c r="K4961" s="12" t="s">
        <v>3881</v>
      </c>
      <c r="L4961" s="12" t="s">
        <v>17632</v>
      </c>
      <c r="M4961" s="12" t="s">
        <v>23705</v>
      </c>
      <c r="N4961" s="12">
        <v>2770</v>
      </c>
      <c r="O4961" s="12">
        <v>1431</v>
      </c>
      <c r="P4961" s="12">
        <v>1</v>
      </c>
      <c r="Q4961" s="12" t="s">
        <v>23706</v>
      </c>
      <c r="R4961" s="15" t="s">
        <v>23707</v>
      </c>
      <c r="S4961" s="12">
        <v>32</v>
      </c>
      <c r="T4961" s="12" t="s">
        <v>39</v>
      </c>
      <c r="U4961" s="12" t="s">
        <v>40</v>
      </c>
      <c r="V4961" s="12" t="s">
        <v>586</v>
      </c>
      <c r="W4961" s="12">
        <v>100000</v>
      </c>
      <c r="X4961" s="12">
        <v>1987</v>
      </c>
      <c r="Y4961" s="12">
        <v>322</v>
      </c>
      <c r="Z4961" s="12">
        <v>7</v>
      </c>
      <c r="AA4961" s="12">
        <v>1.85</v>
      </c>
      <c r="AB4961" s="12">
        <v>471</v>
      </c>
      <c r="AC4961" s="12"/>
      <c r="AD4961" s="12" t="str">
        <f>IFERROR(__xludf.DUMMYFUNCTION("""COMPUTED_VALUE"""),"Ruby Harris")</f>
        <v>Ruby Harris</v>
      </c>
      <c r="AE4961" s="12"/>
    </row>
    <row r="4962" customHeight="1" spans="1:31">
      <c r="A4962" s="11" t="s">
        <v>30</v>
      </c>
      <c r="B4962" s="11" t="s">
        <v>1680</v>
      </c>
      <c r="C4962" s="11">
        <v>57</v>
      </c>
      <c r="D4962" s="11">
        <v>100</v>
      </c>
      <c r="E4962" s="11">
        <v>23</v>
      </c>
      <c r="F4962" s="11">
        <v>545</v>
      </c>
      <c r="G4962" s="11">
        <v>1000</v>
      </c>
      <c r="H4962" s="11">
        <v>2643689</v>
      </c>
      <c r="I4962" s="11" t="s">
        <v>2528</v>
      </c>
      <c r="J4962" s="11" t="s">
        <v>2457</v>
      </c>
      <c r="K4962" s="11" t="s">
        <v>2630</v>
      </c>
      <c r="L4962" s="11" t="s">
        <v>6491</v>
      </c>
      <c r="M4962" s="11" t="s">
        <v>23708</v>
      </c>
      <c r="N4962" s="11">
        <v>10499</v>
      </c>
      <c r="O4962" s="11">
        <v>2283</v>
      </c>
      <c r="P4962" s="11">
        <v>4</v>
      </c>
      <c r="Q4962" s="11" t="s">
        <v>23709</v>
      </c>
      <c r="R4962" s="14" t="s">
        <v>23710</v>
      </c>
      <c r="S4962" s="11">
        <v>113</v>
      </c>
      <c r="T4962" s="11" t="s">
        <v>39</v>
      </c>
      <c r="U4962" s="11" t="s">
        <v>40</v>
      </c>
      <c r="V4962" s="11" t="s">
        <v>41</v>
      </c>
      <c r="W4962" s="13"/>
      <c r="X4962" s="11">
        <v>1998</v>
      </c>
      <c r="Y4962" s="11">
        <v>577</v>
      </c>
      <c r="Z4962" s="11">
        <v>7.3</v>
      </c>
      <c r="AA4962" s="11">
        <v>1.85</v>
      </c>
      <c r="AB4962" s="11">
        <v>0</v>
      </c>
      <c r="AC4962" s="11"/>
      <c r="AD4962" s="11" t="str">
        <f>IFERROR(__xludf.DUMMYFUNCTION("""COMPUTED_VALUE"""),"Jake Weary")</f>
        <v>Jake Weary</v>
      </c>
      <c r="AE4962" s="11"/>
    </row>
    <row r="4963" customHeight="1" spans="1:31">
      <c r="A4963" s="12" t="s">
        <v>30</v>
      </c>
      <c r="B4963" s="12" t="s">
        <v>23711</v>
      </c>
      <c r="C4963" s="12">
        <v>23</v>
      </c>
      <c r="D4963" s="12">
        <v>99</v>
      </c>
      <c r="E4963" s="12">
        <v>9</v>
      </c>
      <c r="F4963" s="12">
        <v>10</v>
      </c>
      <c r="G4963" s="12">
        <v>116</v>
      </c>
      <c r="H4963" s="16"/>
      <c r="I4963" s="12" t="s">
        <v>8432</v>
      </c>
      <c r="J4963" s="12" t="s">
        <v>23712</v>
      </c>
      <c r="K4963" s="12" t="s">
        <v>23713</v>
      </c>
      <c r="L4963" s="12" t="s">
        <v>23714</v>
      </c>
      <c r="M4963" s="12" t="s">
        <v>23715</v>
      </c>
      <c r="N4963" s="12">
        <v>509</v>
      </c>
      <c r="O4963" s="12">
        <v>170</v>
      </c>
      <c r="P4963" s="12">
        <v>2</v>
      </c>
      <c r="Q4963" s="12" t="s">
        <v>23716</v>
      </c>
      <c r="R4963" s="15" t="s">
        <v>23717</v>
      </c>
      <c r="S4963" s="12">
        <v>10</v>
      </c>
      <c r="T4963" s="12" t="s">
        <v>39</v>
      </c>
      <c r="U4963" s="12" t="s">
        <v>40</v>
      </c>
      <c r="V4963" s="12" t="s">
        <v>586</v>
      </c>
      <c r="W4963" s="12">
        <v>100000</v>
      </c>
      <c r="X4963" s="12">
        <v>1979</v>
      </c>
      <c r="Y4963" s="12">
        <v>24</v>
      </c>
      <c r="Z4963" s="12">
        <v>5.8</v>
      </c>
      <c r="AA4963" s="12">
        <v>1.85</v>
      </c>
      <c r="AB4963" s="12">
        <v>157</v>
      </c>
      <c r="AC4963" s="12"/>
      <c r="AD4963" s="12" t="str">
        <f>IFERROR(__xludf.DUMMYFUNCTION("""COMPUTED_VALUE"""),"Brock Peters")</f>
        <v>Brock Peters</v>
      </c>
      <c r="AE4963" s="12"/>
    </row>
    <row r="4964" customHeight="1" spans="1:31">
      <c r="A4964" s="11" t="s">
        <v>748</v>
      </c>
      <c r="B4964" s="11" t="s">
        <v>23718</v>
      </c>
      <c r="C4964" s="11">
        <v>88</v>
      </c>
      <c r="D4964" s="11">
        <v>90</v>
      </c>
      <c r="E4964" s="11">
        <v>56</v>
      </c>
      <c r="F4964" s="11">
        <v>56</v>
      </c>
      <c r="G4964" s="11">
        <v>126</v>
      </c>
      <c r="H4964" s="11">
        <v>110536</v>
      </c>
      <c r="I4964" s="11" t="s">
        <v>12640</v>
      </c>
      <c r="J4964" s="11" t="s">
        <v>23719</v>
      </c>
      <c r="K4964" s="11" t="s">
        <v>23720</v>
      </c>
      <c r="L4964" s="11" t="s">
        <v>23718</v>
      </c>
      <c r="M4964" s="11" t="s">
        <v>23721</v>
      </c>
      <c r="N4964" s="11">
        <v>4117</v>
      </c>
      <c r="O4964" s="11">
        <v>284</v>
      </c>
      <c r="P4964" s="11">
        <v>1</v>
      </c>
      <c r="Q4964" s="11" t="s">
        <v>23722</v>
      </c>
      <c r="R4964" s="14" t="s">
        <v>23723</v>
      </c>
      <c r="S4964" s="11">
        <v>118</v>
      </c>
      <c r="T4964" s="11" t="s">
        <v>39</v>
      </c>
      <c r="U4964" s="11" t="s">
        <v>40</v>
      </c>
      <c r="V4964" s="11" t="s">
        <v>96</v>
      </c>
      <c r="W4964" s="11">
        <v>40000</v>
      </c>
      <c r="X4964" s="11">
        <v>2001</v>
      </c>
      <c r="Y4964" s="11">
        <v>76</v>
      </c>
      <c r="Z4964" s="11">
        <v>7</v>
      </c>
      <c r="AA4964" s="11">
        <v>1.85</v>
      </c>
      <c r="AB4964" s="11">
        <v>0</v>
      </c>
      <c r="AC4964" s="11"/>
      <c r="AD4964" s="11" t="str">
        <f>IFERROR(__xludf.DUMMYFUNCTION("""COMPUTED_VALUE"""),"William Windom")</f>
        <v>William Windom</v>
      </c>
      <c r="AE4964" s="11"/>
    </row>
    <row r="4965" customHeight="1" spans="1:31">
      <c r="A4965" s="12" t="s">
        <v>30</v>
      </c>
      <c r="B4965" s="12" t="s">
        <v>23724</v>
      </c>
      <c r="C4965" s="12">
        <v>2</v>
      </c>
      <c r="D4965" s="12">
        <v>82</v>
      </c>
      <c r="E4965" s="12">
        <v>7</v>
      </c>
      <c r="F4965" s="12">
        <v>50</v>
      </c>
      <c r="G4965" s="12">
        <v>143</v>
      </c>
      <c r="H4965" s="16"/>
      <c r="I4965" s="12" t="s">
        <v>18088</v>
      </c>
      <c r="J4965" s="12" t="s">
        <v>23725</v>
      </c>
      <c r="K4965" s="12" t="s">
        <v>23726</v>
      </c>
      <c r="L4965" s="12" t="s">
        <v>23727</v>
      </c>
      <c r="M4965" s="12" t="s">
        <v>23728</v>
      </c>
      <c r="N4965" s="12">
        <v>73</v>
      </c>
      <c r="O4965" s="12">
        <v>417</v>
      </c>
      <c r="P4965" s="12">
        <v>0</v>
      </c>
      <c r="Q4965" s="16"/>
      <c r="R4965" s="15" t="s">
        <v>23729</v>
      </c>
      <c r="S4965" s="12">
        <v>4</v>
      </c>
      <c r="T4965" s="12" t="s">
        <v>39</v>
      </c>
      <c r="U4965" s="12" t="s">
        <v>40</v>
      </c>
      <c r="V4965" s="12" t="s">
        <v>96</v>
      </c>
      <c r="W4965" s="12">
        <v>20000</v>
      </c>
      <c r="X4965" s="12">
        <v>2014</v>
      </c>
      <c r="Y4965" s="12">
        <v>134</v>
      </c>
      <c r="Z4965" s="12">
        <v>3.2</v>
      </c>
      <c r="AA4965" s="12">
        <v>1.85</v>
      </c>
      <c r="AB4965" s="12">
        <v>178</v>
      </c>
      <c r="AC4965" s="12"/>
      <c r="AD4965" s="12" t="str">
        <f>IFERROR(__xludf.DUMMYFUNCTION("""COMPUTED_VALUE"""),"Kjell Nilsson")</f>
        <v>Kjell Nilsson</v>
      </c>
      <c r="AE4965" s="12"/>
    </row>
    <row r="4966" customHeight="1" spans="1:31">
      <c r="A4966" s="11" t="s">
        <v>30</v>
      </c>
      <c r="B4966" s="11" t="s">
        <v>23730</v>
      </c>
      <c r="C4966" s="11">
        <v>193</v>
      </c>
      <c r="D4966" s="11">
        <v>88</v>
      </c>
      <c r="E4966" s="11">
        <v>3</v>
      </c>
      <c r="F4966" s="11">
        <v>307</v>
      </c>
      <c r="G4966" s="11">
        <v>3000</v>
      </c>
      <c r="H4966" s="11">
        <v>59379</v>
      </c>
      <c r="I4966" s="11" t="s">
        <v>23731</v>
      </c>
      <c r="J4966" s="11" t="s">
        <v>13669</v>
      </c>
      <c r="K4966" s="11" t="s">
        <v>2643</v>
      </c>
      <c r="L4966" s="11" t="s">
        <v>23732</v>
      </c>
      <c r="M4966" s="11" t="s">
        <v>23733</v>
      </c>
      <c r="N4966" s="11">
        <v>12796</v>
      </c>
      <c r="O4966" s="11">
        <v>4729</v>
      </c>
      <c r="P4966" s="11">
        <v>3</v>
      </c>
      <c r="Q4966" s="11" t="s">
        <v>23734</v>
      </c>
      <c r="R4966" s="14" t="s">
        <v>23735</v>
      </c>
      <c r="S4966" s="11">
        <v>52</v>
      </c>
      <c r="T4966" s="11" t="s">
        <v>39</v>
      </c>
      <c r="U4966" s="11" t="s">
        <v>40</v>
      </c>
      <c r="V4966" s="11" t="s">
        <v>4831</v>
      </c>
      <c r="W4966" s="11">
        <v>200000</v>
      </c>
      <c r="X4966" s="11">
        <v>2013</v>
      </c>
      <c r="Y4966" s="11">
        <v>982</v>
      </c>
      <c r="Z4966" s="11">
        <v>6.8</v>
      </c>
      <c r="AA4966" s="11">
        <v>2.35</v>
      </c>
      <c r="AB4966" s="11">
        <v>0</v>
      </c>
      <c r="AC4966" s="11"/>
      <c r="AD4966" s="11" t="str">
        <f>IFERROR(__xludf.DUMMYFUNCTION("""COMPUTED_VALUE"""),"Ho-Sung Pak")</f>
        <v>Ho-Sung Pak</v>
      </c>
      <c r="AE4966" s="11"/>
    </row>
    <row r="4967" customHeight="1" spans="1:31">
      <c r="A4967" s="12" t="s">
        <v>30</v>
      </c>
      <c r="B4967" s="12" t="s">
        <v>23736</v>
      </c>
      <c r="C4967" s="12">
        <v>50</v>
      </c>
      <c r="D4967" s="12">
        <v>103</v>
      </c>
      <c r="E4967" s="12">
        <v>0</v>
      </c>
      <c r="F4967" s="12">
        <v>0</v>
      </c>
      <c r="G4967" s="12">
        <v>0</v>
      </c>
      <c r="H4967" s="16"/>
      <c r="I4967" s="12" t="s">
        <v>68</v>
      </c>
      <c r="J4967" s="12" t="s">
        <v>23737</v>
      </c>
      <c r="K4967" s="12" t="s">
        <v>23738</v>
      </c>
      <c r="L4967" s="12" t="s">
        <v>23739</v>
      </c>
      <c r="M4967" s="12" t="s">
        <v>23740</v>
      </c>
      <c r="N4967" s="12">
        <v>16701</v>
      </c>
      <c r="O4967" s="12">
        <v>0</v>
      </c>
      <c r="P4967" s="12">
        <v>0</v>
      </c>
      <c r="Q4967" s="12" t="s">
        <v>23741</v>
      </c>
      <c r="R4967" s="15" t="s">
        <v>23742</v>
      </c>
      <c r="S4967" s="12">
        <v>23</v>
      </c>
      <c r="T4967" s="12" t="s">
        <v>39</v>
      </c>
      <c r="U4967" s="12" t="s">
        <v>269</v>
      </c>
      <c r="V4967" s="12" t="s">
        <v>4831</v>
      </c>
      <c r="W4967" s="12">
        <v>100000</v>
      </c>
      <c r="X4967" s="12">
        <v>2012</v>
      </c>
      <c r="Y4967" s="12">
        <v>0</v>
      </c>
      <c r="Z4967" s="12">
        <v>7.7</v>
      </c>
      <c r="AA4967" s="12">
        <v>16</v>
      </c>
      <c r="AB4967" s="12">
        <v>0</v>
      </c>
      <c r="AC4967" s="12"/>
      <c r="AD4967" s="12" t="str">
        <f>IFERROR(__xludf.DUMMYFUNCTION("""COMPUTED_VALUE"""),"Alicia Goranson")</f>
        <v>Alicia Goranson</v>
      </c>
      <c r="AE4967" s="12"/>
    </row>
    <row r="4968" customHeight="1" spans="1:31">
      <c r="A4968" s="11" t="s">
        <v>30</v>
      </c>
      <c r="B4968" s="11" t="s">
        <v>23743</v>
      </c>
      <c r="C4968" s="11">
        <v>61</v>
      </c>
      <c r="D4968" s="11">
        <v>80</v>
      </c>
      <c r="E4968" s="11">
        <v>3</v>
      </c>
      <c r="F4968" s="11">
        <v>140</v>
      </c>
      <c r="G4968" s="11">
        <v>798</v>
      </c>
      <c r="H4968" s="13"/>
      <c r="I4968" s="11" t="s">
        <v>10413</v>
      </c>
      <c r="J4968" s="11" t="s">
        <v>15342</v>
      </c>
      <c r="K4968" s="11" t="s">
        <v>23744</v>
      </c>
      <c r="L4968" s="11" t="s">
        <v>361</v>
      </c>
      <c r="M4968" s="11" t="s">
        <v>23745</v>
      </c>
      <c r="N4968" s="11">
        <v>5747</v>
      </c>
      <c r="O4968" s="11">
        <v>1401</v>
      </c>
      <c r="P4968" s="11">
        <v>1</v>
      </c>
      <c r="Q4968" s="11" t="s">
        <v>23746</v>
      </c>
      <c r="R4968" s="14" t="s">
        <v>23747</v>
      </c>
      <c r="S4968" s="11">
        <v>44</v>
      </c>
      <c r="T4968" s="11" t="s">
        <v>39</v>
      </c>
      <c r="U4968" s="11" t="s">
        <v>58</v>
      </c>
      <c r="V4968" s="11" t="s">
        <v>586</v>
      </c>
      <c r="W4968" s="11">
        <v>1800000</v>
      </c>
      <c r="X4968" s="11">
        <v>2007</v>
      </c>
      <c r="Y4968" s="11">
        <v>279</v>
      </c>
      <c r="Z4968" s="11">
        <v>5.6</v>
      </c>
      <c r="AA4968" s="11">
        <v>1.85</v>
      </c>
      <c r="AB4968" s="11">
        <v>246</v>
      </c>
      <c r="AC4968" s="11"/>
      <c r="AD4968" s="11" t="str">
        <f>IFERROR(__xludf.DUMMYFUNCTION("""COMPUTED_VALUE"""),"Jeannetta Arnette")</f>
        <v>Jeannetta Arnette</v>
      </c>
      <c r="AE4968" s="11"/>
    </row>
    <row r="4969" customHeight="1" spans="1:31">
      <c r="A4969" s="12" t="s">
        <v>748</v>
      </c>
      <c r="B4969" s="12" t="s">
        <v>23748</v>
      </c>
      <c r="C4969" s="12">
        <v>1</v>
      </c>
      <c r="D4969" s="12">
        <v>68</v>
      </c>
      <c r="E4969" s="12">
        <v>2</v>
      </c>
      <c r="F4969" s="12">
        <v>75</v>
      </c>
      <c r="G4969" s="12">
        <v>142</v>
      </c>
      <c r="H4969" s="16"/>
      <c r="I4969" s="12" t="s">
        <v>1936</v>
      </c>
      <c r="J4969" s="12" t="s">
        <v>23749</v>
      </c>
      <c r="K4969" s="12" t="s">
        <v>12259</v>
      </c>
      <c r="L4969" s="12" t="s">
        <v>23750</v>
      </c>
      <c r="M4969" s="12" t="s">
        <v>23751</v>
      </c>
      <c r="N4969" s="12">
        <v>67</v>
      </c>
      <c r="O4969" s="12">
        <v>354</v>
      </c>
      <c r="P4969" s="12">
        <v>3</v>
      </c>
      <c r="Q4969" s="12" t="s">
        <v>23752</v>
      </c>
      <c r="R4969" s="15" t="s">
        <v>23753</v>
      </c>
      <c r="S4969" s="12">
        <v>9</v>
      </c>
      <c r="T4969" s="12" t="s">
        <v>39</v>
      </c>
      <c r="U4969" s="12" t="s">
        <v>40</v>
      </c>
      <c r="V4969" s="12" t="s">
        <v>6037</v>
      </c>
      <c r="W4969" s="16"/>
      <c r="X4969" s="12">
        <v>1948</v>
      </c>
      <c r="Y4969" s="12">
        <v>86</v>
      </c>
      <c r="Z4969" s="12">
        <v>7.1</v>
      </c>
      <c r="AA4969" s="12">
        <v>1.37</v>
      </c>
      <c r="AB4969" s="12">
        <v>10</v>
      </c>
      <c r="AC4969" s="12"/>
      <c r="AD4969" s="12" t="str">
        <f>IFERROR(__xludf.DUMMYFUNCTION("""COMPUTED_VALUE"""),"Eric Sheffer Stevens")</f>
        <v>Eric Sheffer Stevens</v>
      </c>
      <c r="AE4969" s="12"/>
    </row>
    <row r="4970" customHeight="1" spans="1:31">
      <c r="A4970" s="11" t="s">
        <v>30</v>
      </c>
      <c r="B4970" s="11" t="s">
        <v>23754</v>
      </c>
      <c r="C4970" s="11">
        <v>5</v>
      </c>
      <c r="D4970" s="11">
        <v>81</v>
      </c>
      <c r="E4970" s="11">
        <v>0</v>
      </c>
      <c r="F4970" s="11">
        <v>10</v>
      </c>
      <c r="G4970" s="11">
        <v>416</v>
      </c>
      <c r="H4970" s="13"/>
      <c r="I4970" s="11" t="s">
        <v>1391</v>
      </c>
      <c r="J4970" s="11" t="s">
        <v>23755</v>
      </c>
      <c r="K4970" s="11" t="s">
        <v>23756</v>
      </c>
      <c r="L4970" s="11" t="s">
        <v>23757</v>
      </c>
      <c r="M4970" s="11" t="s">
        <v>23758</v>
      </c>
      <c r="N4970" s="11">
        <v>101</v>
      </c>
      <c r="O4970" s="11">
        <v>459</v>
      </c>
      <c r="P4970" s="11">
        <v>2</v>
      </c>
      <c r="Q4970" s="11" t="s">
        <v>23759</v>
      </c>
      <c r="R4970" s="14" t="s">
        <v>23760</v>
      </c>
      <c r="S4970" s="11">
        <v>1</v>
      </c>
      <c r="T4970" s="11" t="s">
        <v>39</v>
      </c>
      <c r="U4970" s="11" t="s">
        <v>40</v>
      </c>
      <c r="V4970" s="13"/>
      <c r="W4970" s="11">
        <v>100000</v>
      </c>
      <c r="X4970" s="11">
        <v>2013</v>
      </c>
      <c r="Y4970" s="11">
        <v>18</v>
      </c>
      <c r="Z4970" s="11">
        <v>3.6</v>
      </c>
      <c r="AA4970" s="11">
        <v>1.78</v>
      </c>
      <c r="AB4970" s="11">
        <v>17</v>
      </c>
      <c r="AC4970" s="11"/>
      <c r="AD4970" s="11" t="str">
        <f>IFERROR(__xludf.DUMMYFUNCTION("""COMPUTED_VALUE"""),"Julia Taylor Ross")</f>
        <v>Julia Taylor Ross</v>
      </c>
      <c r="AE4970" s="11"/>
    </row>
    <row r="4971" customHeight="1" spans="1:31">
      <c r="A4971" s="12" t="s">
        <v>30</v>
      </c>
      <c r="B4971" s="12" t="s">
        <v>23761</v>
      </c>
      <c r="C4971" s="12">
        <v>14</v>
      </c>
      <c r="D4971" s="12">
        <v>106</v>
      </c>
      <c r="E4971" s="12">
        <v>6</v>
      </c>
      <c r="F4971" s="12">
        <v>13</v>
      </c>
      <c r="G4971" s="12">
        <v>440</v>
      </c>
      <c r="H4971" s="16"/>
      <c r="I4971" s="12" t="s">
        <v>6790</v>
      </c>
      <c r="J4971" s="12" t="s">
        <v>17505</v>
      </c>
      <c r="K4971" s="12" t="s">
        <v>23762</v>
      </c>
      <c r="L4971" s="12" t="s">
        <v>23763</v>
      </c>
      <c r="M4971" s="12" t="s">
        <v>23764</v>
      </c>
      <c r="N4971" s="12">
        <v>544</v>
      </c>
      <c r="O4971" s="12">
        <v>564</v>
      </c>
      <c r="P4971" s="12">
        <v>1</v>
      </c>
      <c r="Q4971" s="12" t="s">
        <v>23765</v>
      </c>
      <c r="R4971" s="15" t="s">
        <v>23766</v>
      </c>
      <c r="S4971" s="12">
        <v>19</v>
      </c>
      <c r="T4971" s="12" t="s">
        <v>39</v>
      </c>
      <c r="U4971" s="12" t="s">
        <v>40</v>
      </c>
      <c r="V4971" s="12" t="s">
        <v>14105</v>
      </c>
      <c r="W4971" s="16"/>
      <c r="X4971" s="12">
        <v>1971</v>
      </c>
      <c r="Y4971" s="12">
        <v>98</v>
      </c>
      <c r="Z4971" s="12">
        <v>6.8</v>
      </c>
      <c r="AA4971" s="16"/>
      <c r="AB4971" s="12">
        <v>65</v>
      </c>
      <c r="AC4971" s="12"/>
      <c r="AD4971" s="12" t="str">
        <f>IFERROR(__xludf.DUMMYFUNCTION("""COMPUTED_VALUE"""),"Adam Trese")</f>
        <v>Adam Trese</v>
      </c>
      <c r="AE4971" s="12"/>
    </row>
    <row r="4972" customHeight="1" spans="1:31">
      <c r="A4972" s="11" t="s">
        <v>30</v>
      </c>
      <c r="B4972" s="11" t="s">
        <v>23767</v>
      </c>
      <c r="C4972" s="11">
        <v>5</v>
      </c>
      <c r="D4972" s="11">
        <v>77</v>
      </c>
      <c r="E4972" s="11">
        <v>0</v>
      </c>
      <c r="F4972" s="11">
        <v>0</v>
      </c>
      <c r="G4972" s="11">
        <v>45</v>
      </c>
      <c r="H4972" s="13"/>
      <c r="I4972" s="11" t="s">
        <v>21603</v>
      </c>
      <c r="J4972" s="11" t="s">
        <v>23768</v>
      </c>
      <c r="K4972" s="11" t="s">
        <v>23769</v>
      </c>
      <c r="L4972" s="11" t="s">
        <v>23770</v>
      </c>
      <c r="M4972" s="11" t="s">
        <v>23771</v>
      </c>
      <c r="N4972" s="11">
        <v>80</v>
      </c>
      <c r="O4972" s="11">
        <v>45</v>
      </c>
      <c r="P4972" s="11">
        <v>0</v>
      </c>
      <c r="Q4972" s="11" t="s">
        <v>23772</v>
      </c>
      <c r="R4972" s="14" t="s">
        <v>23773</v>
      </c>
      <c r="S4972" s="11">
        <v>1</v>
      </c>
      <c r="T4972" s="11" t="s">
        <v>39</v>
      </c>
      <c r="U4972" s="11" t="s">
        <v>40</v>
      </c>
      <c r="V4972" s="11" t="s">
        <v>5614</v>
      </c>
      <c r="W4972" s="11">
        <v>100000</v>
      </c>
      <c r="X4972" s="11">
        <v>2014</v>
      </c>
      <c r="Y4972" s="11">
        <v>0</v>
      </c>
      <c r="Z4972" s="11">
        <v>7.6</v>
      </c>
      <c r="AA4972" s="11">
        <v>1.78</v>
      </c>
      <c r="AB4972" s="11">
        <v>82</v>
      </c>
      <c r="AC4972" s="11"/>
      <c r="AD4972" s="11" t="str">
        <f>IFERROR(__xludf.DUMMYFUNCTION("""COMPUTED_VALUE"""),"Ben Davies")</f>
        <v>Ben Davies</v>
      </c>
      <c r="AE4972" s="11"/>
    </row>
    <row r="4973" customHeight="1" spans="1:31">
      <c r="A4973" s="12" t="s">
        <v>30</v>
      </c>
      <c r="B4973" s="12" t="s">
        <v>12830</v>
      </c>
      <c r="C4973" s="12">
        <v>241</v>
      </c>
      <c r="D4973" s="12">
        <v>114</v>
      </c>
      <c r="E4973" s="12">
        <v>29</v>
      </c>
      <c r="F4973" s="12">
        <v>616</v>
      </c>
      <c r="G4973" s="12">
        <v>956</v>
      </c>
      <c r="H4973" s="12">
        <v>32721635</v>
      </c>
      <c r="I4973" s="12" t="s">
        <v>6790</v>
      </c>
      <c r="J4973" s="12" t="s">
        <v>1018</v>
      </c>
      <c r="K4973" s="12" t="s">
        <v>2637</v>
      </c>
      <c r="L4973" s="12" t="s">
        <v>12831</v>
      </c>
      <c r="M4973" s="12" t="s">
        <v>12832</v>
      </c>
      <c r="N4973" s="12">
        <v>67824</v>
      </c>
      <c r="O4973" s="12">
        <v>3861</v>
      </c>
      <c r="P4973" s="12">
        <v>0</v>
      </c>
      <c r="Q4973" s="12" t="s">
        <v>12833</v>
      </c>
      <c r="R4973" s="15" t="s">
        <v>12834</v>
      </c>
      <c r="S4973" s="12">
        <v>279</v>
      </c>
      <c r="T4973" s="12" t="s">
        <v>39</v>
      </c>
      <c r="U4973" s="12" t="s">
        <v>40</v>
      </c>
      <c r="V4973" s="12" t="s">
        <v>586</v>
      </c>
      <c r="W4973" s="12">
        <v>15000000</v>
      </c>
      <c r="X4973" s="12">
        <v>2009</v>
      </c>
      <c r="Y4973" s="12">
        <v>878</v>
      </c>
      <c r="Z4973" s="12">
        <v>6.6</v>
      </c>
      <c r="AA4973" s="12">
        <v>1.85</v>
      </c>
      <c r="AB4973" s="12">
        <v>0</v>
      </c>
      <c r="AC4973" s="12"/>
      <c r="AD4973" s="12" t="str">
        <f>IFERROR(__xludf.DUMMYFUNCTION("""COMPUTED_VALUE"""),"T.C. Stallings")</f>
        <v>T.C. Stallings</v>
      </c>
      <c r="AE4973" s="12"/>
    </row>
    <row r="4974" customHeight="1" spans="1:31">
      <c r="A4974" s="11" t="s">
        <v>30</v>
      </c>
      <c r="B4974" s="11" t="s">
        <v>23774</v>
      </c>
      <c r="C4974" s="11">
        <v>16</v>
      </c>
      <c r="D4974" s="11">
        <v>80</v>
      </c>
      <c r="E4974" s="11">
        <v>3</v>
      </c>
      <c r="F4974" s="11">
        <v>0</v>
      </c>
      <c r="G4974" s="11">
        <v>103</v>
      </c>
      <c r="H4974" s="13"/>
      <c r="I4974" s="11" t="s">
        <v>68</v>
      </c>
      <c r="J4974" s="11" t="s">
        <v>17259</v>
      </c>
      <c r="K4974" s="11" t="s">
        <v>23775</v>
      </c>
      <c r="L4974" s="11" t="s">
        <v>23776</v>
      </c>
      <c r="M4974" s="11" t="s">
        <v>23777</v>
      </c>
      <c r="N4974" s="11">
        <v>496</v>
      </c>
      <c r="O4974" s="11">
        <v>103</v>
      </c>
      <c r="P4974" s="11">
        <v>3</v>
      </c>
      <c r="Q4974" s="11" t="s">
        <v>23778</v>
      </c>
      <c r="R4974" s="14" t="s">
        <v>23779</v>
      </c>
      <c r="S4974" s="11">
        <v>13</v>
      </c>
      <c r="T4974" s="11" t="s">
        <v>39</v>
      </c>
      <c r="U4974" s="11" t="s">
        <v>40</v>
      </c>
      <c r="V4974" s="13"/>
      <c r="W4974" s="11">
        <v>70000</v>
      </c>
      <c r="X4974" s="11">
        <v>2004</v>
      </c>
      <c r="Y4974" s="11">
        <v>0</v>
      </c>
      <c r="Z4974" s="11">
        <v>8.3</v>
      </c>
      <c r="AA4974" s="13"/>
      <c r="AB4974" s="11">
        <v>110</v>
      </c>
      <c r="AC4974" s="11"/>
      <c r="AD4974" s="11" t="str">
        <f>IFERROR(__xludf.DUMMYFUNCTION("""COMPUTED_VALUE"""),"Hedy Lamarr")</f>
        <v>Hedy Lamarr</v>
      </c>
      <c r="AE4974" s="11"/>
    </row>
    <row r="4975" customHeight="1" spans="1:31">
      <c r="A4975" s="12" t="s">
        <v>748</v>
      </c>
      <c r="B4975" s="12" t="s">
        <v>1205</v>
      </c>
      <c r="C4975" s="12">
        <v>138</v>
      </c>
      <c r="D4975" s="12">
        <v>84</v>
      </c>
      <c r="E4975" s="12">
        <v>0</v>
      </c>
      <c r="F4975" s="12">
        <v>194</v>
      </c>
      <c r="G4975" s="12">
        <v>1000</v>
      </c>
      <c r="H4975" s="12">
        <v>3216970</v>
      </c>
      <c r="I4975" s="12" t="s">
        <v>1924</v>
      </c>
      <c r="J4975" s="12" t="s">
        <v>1822</v>
      </c>
      <c r="K4975" s="12" t="s">
        <v>23780</v>
      </c>
      <c r="L4975" s="12" t="s">
        <v>23781</v>
      </c>
      <c r="M4975" s="12" t="s">
        <v>23782</v>
      </c>
      <c r="N4975" s="12">
        <v>142619</v>
      </c>
      <c r="O4975" s="12">
        <v>2065</v>
      </c>
      <c r="P4975" s="12">
        <v>0</v>
      </c>
      <c r="Q4975" s="12" t="s">
        <v>23783</v>
      </c>
      <c r="R4975" s="15" t="s">
        <v>23784</v>
      </c>
      <c r="S4975" s="12">
        <v>586</v>
      </c>
      <c r="T4975" s="12" t="s">
        <v>39</v>
      </c>
      <c r="U4975" s="12" t="s">
        <v>40</v>
      </c>
      <c r="V4975" s="12" t="s">
        <v>586</v>
      </c>
      <c r="W4975" s="12">
        <v>60000</v>
      </c>
      <c r="X4975" s="12">
        <v>1998</v>
      </c>
      <c r="Y4975" s="12">
        <v>512</v>
      </c>
      <c r="Z4975" s="12">
        <v>7.5</v>
      </c>
      <c r="AA4975" s="12">
        <v>1.66</v>
      </c>
      <c r="AB4975" s="12">
        <v>24000</v>
      </c>
      <c r="AC4975" s="12"/>
      <c r="AD4975" s="12" t="str">
        <f>IFERROR(__xludf.DUMMYFUNCTION("""COMPUTED_VALUE"""),"Claudette Colbert")</f>
        <v>Claudette Colbert</v>
      </c>
      <c r="AE4975" s="12"/>
    </row>
    <row r="4976" customHeight="1" spans="1:31">
      <c r="A4976" s="11" t="s">
        <v>30</v>
      </c>
      <c r="B4976" s="11" t="s">
        <v>23785</v>
      </c>
      <c r="C4976" s="11">
        <v>5</v>
      </c>
      <c r="D4976" s="11">
        <v>86</v>
      </c>
      <c r="E4976" s="11">
        <v>12</v>
      </c>
      <c r="F4976" s="11">
        <v>117</v>
      </c>
      <c r="G4976" s="11">
        <v>238</v>
      </c>
      <c r="H4976" s="11">
        <v>33598</v>
      </c>
      <c r="I4976" s="11" t="s">
        <v>1681</v>
      </c>
      <c r="J4976" s="11" t="s">
        <v>14508</v>
      </c>
      <c r="K4976" s="11" t="s">
        <v>23786</v>
      </c>
      <c r="L4976" s="11" t="s">
        <v>23787</v>
      </c>
      <c r="M4976" s="11" t="s">
        <v>23788</v>
      </c>
      <c r="N4976" s="11">
        <v>405</v>
      </c>
      <c r="O4976" s="11">
        <v>623</v>
      </c>
      <c r="P4976" s="11">
        <v>1</v>
      </c>
      <c r="Q4976" s="11" t="s">
        <v>23789</v>
      </c>
      <c r="R4976" s="14" t="s">
        <v>23790</v>
      </c>
      <c r="S4976" s="11">
        <v>15</v>
      </c>
      <c r="T4976" s="11" t="s">
        <v>39</v>
      </c>
      <c r="U4976" s="11" t="s">
        <v>40</v>
      </c>
      <c r="V4976" s="11" t="s">
        <v>586</v>
      </c>
      <c r="W4976" s="13"/>
      <c r="X4976" s="11">
        <v>1997</v>
      </c>
      <c r="Y4976" s="11">
        <v>166</v>
      </c>
      <c r="Z4976" s="11">
        <v>5.4</v>
      </c>
      <c r="AA4976" s="13"/>
      <c r="AB4976" s="11">
        <v>97</v>
      </c>
      <c r="AC4976" s="11"/>
      <c r="AD4976" s="11" t="str">
        <f>IFERROR(__xludf.DUMMYFUNCTION("""COMPUTED_VALUE"""),"Michel Robin")</f>
        <v>Michel Robin</v>
      </c>
      <c r="AE4976" s="11"/>
    </row>
    <row r="4977" customHeight="1" spans="1:31">
      <c r="A4977" s="12" t="s">
        <v>30</v>
      </c>
      <c r="B4977" s="12" t="s">
        <v>23791</v>
      </c>
      <c r="C4977" s="12">
        <v>32</v>
      </c>
      <c r="D4977" s="12">
        <v>87</v>
      </c>
      <c r="E4977" s="12">
        <v>0</v>
      </c>
      <c r="F4977" s="12">
        <v>153</v>
      </c>
      <c r="G4977" s="12">
        <v>1000</v>
      </c>
      <c r="H4977" s="12">
        <v>536767</v>
      </c>
      <c r="I4977" s="12" t="s">
        <v>7219</v>
      </c>
      <c r="J4977" s="12" t="s">
        <v>1735</v>
      </c>
      <c r="K4977" s="12" t="s">
        <v>23792</v>
      </c>
      <c r="L4977" s="12" t="s">
        <v>23793</v>
      </c>
      <c r="M4977" s="12" t="s">
        <v>23794</v>
      </c>
      <c r="N4977" s="12">
        <v>1622</v>
      </c>
      <c r="O4977" s="12">
        <v>1362</v>
      </c>
      <c r="P4977" s="12">
        <v>0</v>
      </c>
      <c r="Q4977" s="12" t="s">
        <v>23795</v>
      </c>
      <c r="R4977" s="15" t="s">
        <v>23796</v>
      </c>
      <c r="S4977" s="12">
        <v>83</v>
      </c>
      <c r="T4977" s="12" t="s">
        <v>39</v>
      </c>
      <c r="U4977" s="12" t="s">
        <v>40</v>
      </c>
      <c r="V4977" s="12" t="s">
        <v>586</v>
      </c>
      <c r="W4977" s="12">
        <v>60000</v>
      </c>
      <c r="X4977" s="12">
        <v>1998</v>
      </c>
      <c r="Y4977" s="12">
        <v>184</v>
      </c>
      <c r="Z4977" s="12">
        <v>5.3</v>
      </c>
      <c r="AA4977" s="12">
        <v>1.85</v>
      </c>
      <c r="AB4977" s="12">
        <v>30</v>
      </c>
      <c r="AC4977" s="12"/>
      <c r="AD4977" s="12" t="str">
        <f>IFERROR(__xludf.DUMMYFUNCTION("""COMPUTED_VALUE"""),"Charles Linton")</f>
        <v>Charles Linton</v>
      </c>
      <c r="AE4977" s="12"/>
    </row>
    <row r="4978" customHeight="1" spans="1:31">
      <c r="A4978" s="11" t="s">
        <v>30</v>
      </c>
      <c r="B4978" s="11" t="s">
        <v>23797</v>
      </c>
      <c r="C4978" s="11">
        <v>18</v>
      </c>
      <c r="D4978" s="11">
        <v>80</v>
      </c>
      <c r="E4978" s="11">
        <v>7</v>
      </c>
      <c r="F4978" s="11">
        <v>3</v>
      </c>
      <c r="G4978" s="11">
        <v>118</v>
      </c>
      <c r="H4978" s="13"/>
      <c r="I4978" s="11" t="s">
        <v>2813</v>
      </c>
      <c r="J4978" s="11" t="s">
        <v>23798</v>
      </c>
      <c r="K4978" s="11" t="s">
        <v>23799</v>
      </c>
      <c r="L4978" s="11" t="s">
        <v>23800</v>
      </c>
      <c r="M4978" s="11" t="s">
        <v>23801</v>
      </c>
      <c r="N4978" s="11">
        <v>48</v>
      </c>
      <c r="O4978" s="11">
        <v>138</v>
      </c>
      <c r="P4978" s="11">
        <v>0</v>
      </c>
      <c r="Q4978" s="13"/>
      <c r="R4978" s="14" t="s">
        <v>23802</v>
      </c>
      <c r="S4978" s="11">
        <v>18</v>
      </c>
      <c r="T4978" s="11" t="s">
        <v>39</v>
      </c>
      <c r="U4978" s="11" t="s">
        <v>40</v>
      </c>
      <c r="V4978" s="13"/>
      <c r="W4978" s="11">
        <v>75000</v>
      </c>
      <c r="X4978" s="11">
        <v>2015</v>
      </c>
      <c r="Y4978" s="11">
        <v>15</v>
      </c>
      <c r="Z4978" s="11">
        <v>4.5</v>
      </c>
      <c r="AA4978" s="13"/>
      <c r="AB4978" s="11">
        <v>34</v>
      </c>
      <c r="AC4978" s="11"/>
      <c r="AD4978" s="11" t="str">
        <f>IFERROR(__xludf.DUMMYFUNCTION("""COMPUTED_VALUE"""),"Béatrice Bonifassi")</f>
        <v>Béatrice Bonifassi</v>
      </c>
      <c r="AE4978" s="11"/>
    </row>
    <row r="4979" customHeight="1" spans="1:31">
      <c r="A4979" s="12" t="s">
        <v>30</v>
      </c>
      <c r="B4979" s="12" t="s">
        <v>15027</v>
      </c>
      <c r="C4979" s="12">
        <v>193</v>
      </c>
      <c r="D4979" s="12">
        <v>100</v>
      </c>
      <c r="E4979" s="12">
        <v>293</v>
      </c>
      <c r="F4979" s="12">
        <v>0</v>
      </c>
      <c r="G4979" s="12">
        <v>0</v>
      </c>
      <c r="H4979" s="12">
        <v>11529368</v>
      </c>
      <c r="I4979" s="12" t="s">
        <v>23803</v>
      </c>
      <c r="J4979" s="12" t="s">
        <v>23804</v>
      </c>
      <c r="K4979" s="12" t="s">
        <v>23805</v>
      </c>
      <c r="L4979" s="12" t="s">
        <v>23806</v>
      </c>
      <c r="M4979" s="12" t="s">
        <v>23807</v>
      </c>
      <c r="N4979" s="12">
        <v>85028</v>
      </c>
      <c r="O4979" s="12">
        <v>0</v>
      </c>
      <c r="P4979" s="12">
        <v>2</v>
      </c>
      <c r="Q4979" s="12" t="s">
        <v>23808</v>
      </c>
      <c r="R4979" s="15" t="s">
        <v>23809</v>
      </c>
      <c r="S4979" s="12">
        <v>404</v>
      </c>
      <c r="T4979" s="12" t="s">
        <v>39</v>
      </c>
      <c r="U4979" s="12" t="s">
        <v>40</v>
      </c>
      <c r="V4979" s="12" t="s">
        <v>96</v>
      </c>
      <c r="W4979" s="12">
        <v>65000</v>
      </c>
      <c r="X4979" s="12">
        <v>2004</v>
      </c>
      <c r="Y4979" s="12">
        <v>0</v>
      </c>
      <c r="Z4979" s="12">
        <v>7.3</v>
      </c>
      <c r="AA4979" s="12">
        <v>1.78</v>
      </c>
      <c r="AB4979" s="12">
        <v>0</v>
      </c>
      <c r="AC4979" s="12"/>
      <c r="AD4979" s="12" t="str">
        <f>IFERROR(__xludf.DUMMYFUNCTION("""COMPUTED_VALUE"""),"James Urbaniak")</f>
        <v>James Urbaniak</v>
      </c>
      <c r="AE4979" s="12"/>
    </row>
    <row r="4980" customHeight="1" spans="1:31">
      <c r="A4980" s="11" t="s">
        <v>30</v>
      </c>
      <c r="B4980" s="11" t="s">
        <v>23810</v>
      </c>
      <c r="C4980" s="11">
        <v>66</v>
      </c>
      <c r="D4980" s="11">
        <v>82</v>
      </c>
      <c r="E4980" s="11">
        <v>32</v>
      </c>
      <c r="F4980" s="11">
        <v>128</v>
      </c>
      <c r="G4980" s="11">
        <v>968</v>
      </c>
      <c r="H4980" s="11">
        <v>40557</v>
      </c>
      <c r="I4980" s="11" t="s">
        <v>1672</v>
      </c>
      <c r="J4980" s="11" t="s">
        <v>381</v>
      </c>
      <c r="K4980" s="11" t="s">
        <v>23811</v>
      </c>
      <c r="L4980" s="11" t="s">
        <v>23812</v>
      </c>
      <c r="M4980" s="11" t="s">
        <v>23813</v>
      </c>
      <c r="N4980" s="11">
        <v>1389</v>
      </c>
      <c r="O4980" s="11">
        <v>2046</v>
      </c>
      <c r="P4980" s="11">
        <v>0</v>
      </c>
      <c r="Q4980" s="11" t="s">
        <v>23814</v>
      </c>
      <c r="R4980" s="14" t="s">
        <v>23815</v>
      </c>
      <c r="S4980" s="11">
        <v>22</v>
      </c>
      <c r="T4980" s="11" t="s">
        <v>39</v>
      </c>
      <c r="U4980" s="11" t="s">
        <v>40</v>
      </c>
      <c r="V4980" s="11" t="s">
        <v>586</v>
      </c>
      <c r="W4980" s="11">
        <v>60000</v>
      </c>
      <c r="X4980" s="11">
        <v>2011</v>
      </c>
      <c r="Y4980" s="11">
        <v>407</v>
      </c>
      <c r="Z4980" s="11">
        <v>5.6</v>
      </c>
      <c r="AA4980" s="11">
        <v>2.35</v>
      </c>
      <c r="AB4980" s="11">
        <v>0</v>
      </c>
      <c r="AC4980" s="11"/>
      <c r="AD4980" s="11" t="str">
        <f>IFERROR(__xludf.DUMMYFUNCTION("""COMPUTED_VALUE"""),"Daniel Tay")</f>
        <v>Daniel Tay</v>
      </c>
      <c r="AE4980" s="11"/>
    </row>
    <row r="4981" customHeight="1" spans="1:31">
      <c r="A4981" s="12" t="s">
        <v>30</v>
      </c>
      <c r="B4981" s="12" t="s">
        <v>22596</v>
      </c>
      <c r="C4981" s="12">
        <v>65</v>
      </c>
      <c r="D4981" s="12">
        <v>82</v>
      </c>
      <c r="E4981" s="12">
        <v>217</v>
      </c>
      <c r="F4981" s="12">
        <v>442</v>
      </c>
      <c r="G4981" s="12">
        <v>10000</v>
      </c>
      <c r="H4981" s="12">
        <v>30084</v>
      </c>
      <c r="I4981" s="12" t="s">
        <v>2528</v>
      </c>
      <c r="J4981" s="12" t="s">
        <v>2456</v>
      </c>
      <c r="K4981" s="12" t="s">
        <v>21809</v>
      </c>
      <c r="L4981" s="12" t="s">
        <v>11480</v>
      </c>
      <c r="M4981" s="12" t="s">
        <v>23816</v>
      </c>
      <c r="N4981" s="12">
        <v>5507</v>
      </c>
      <c r="O4981" s="12">
        <v>11642</v>
      </c>
      <c r="P4981" s="12">
        <v>3</v>
      </c>
      <c r="Q4981" s="12" t="s">
        <v>23817</v>
      </c>
      <c r="R4981" s="15" t="s">
        <v>23818</v>
      </c>
      <c r="S4981" s="12">
        <v>23</v>
      </c>
      <c r="T4981" s="12" t="s">
        <v>39</v>
      </c>
      <c r="U4981" s="12" t="s">
        <v>40</v>
      </c>
      <c r="V4981" s="12" t="s">
        <v>586</v>
      </c>
      <c r="W4981" s="12">
        <v>70000</v>
      </c>
      <c r="X4981" s="12">
        <v>2014</v>
      </c>
      <c r="Y4981" s="12">
        <v>969</v>
      </c>
      <c r="Z4981" s="12">
        <v>5.6</v>
      </c>
      <c r="AA4981" s="12">
        <v>1.85</v>
      </c>
      <c r="AB4981" s="12">
        <v>812</v>
      </c>
      <c r="AC4981" s="12"/>
      <c r="AD4981" s="12" t="str">
        <f>IFERROR(__xludf.DUMMYFUNCTION("""COMPUTED_VALUE"""),"Albert Delpy")</f>
        <v>Albert Delpy</v>
      </c>
      <c r="AE4981" s="12"/>
    </row>
    <row r="4982" customHeight="1" spans="1:31">
      <c r="A4982" s="11" t="s">
        <v>748</v>
      </c>
      <c r="B4982" s="11" t="s">
        <v>23819</v>
      </c>
      <c r="C4982" s="11">
        <v>95</v>
      </c>
      <c r="D4982" s="11">
        <v>70</v>
      </c>
      <c r="E4982" s="11">
        <v>2</v>
      </c>
      <c r="F4982" s="11">
        <v>6</v>
      </c>
      <c r="G4982" s="11">
        <v>24</v>
      </c>
      <c r="H4982" s="13"/>
      <c r="I4982" s="11" t="s">
        <v>10223</v>
      </c>
      <c r="J4982" s="11" t="s">
        <v>23820</v>
      </c>
      <c r="K4982" s="11" t="s">
        <v>23821</v>
      </c>
      <c r="L4982" s="11" t="s">
        <v>23822</v>
      </c>
      <c r="M4982" s="11" t="s">
        <v>23823</v>
      </c>
      <c r="N4982" s="11">
        <v>4752</v>
      </c>
      <c r="O4982" s="11">
        <v>52</v>
      </c>
      <c r="P4982" s="11">
        <v>1</v>
      </c>
      <c r="Q4982" s="11" t="s">
        <v>23824</v>
      </c>
      <c r="R4982" s="14" t="s">
        <v>23825</v>
      </c>
      <c r="S4982" s="11">
        <v>152</v>
      </c>
      <c r="T4982" s="11" t="s">
        <v>39</v>
      </c>
      <c r="U4982" s="11" t="s">
        <v>40</v>
      </c>
      <c r="V4982" s="11" t="s">
        <v>6037</v>
      </c>
      <c r="W4982" s="11">
        <v>62000</v>
      </c>
      <c r="X4982" s="11">
        <v>1962</v>
      </c>
      <c r="Y4982" s="11">
        <v>16</v>
      </c>
      <c r="Z4982" s="11">
        <v>4.1</v>
      </c>
      <c r="AA4982" s="11">
        <v>1.66</v>
      </c>
      <c r="AB4982" s="11">
        <v>1000</v>
      </c>
      <c r="AC4982" s="11"/>
      <c r="AD4982" s="11" t="str">
        <f>IFERROR(__xludf.DUMMYFUNCTION("""COMPUTED_VALUE"""),"Marie Pillet")</f>
        <v>Marie Pillet</v>
      </c>
      <c r="AE4982" s="11"/>
    </row>
    <row r="4983" customHeight="1" spans="1:31">
      <c r="A4983" s="12" t="s">
        <v>30</v>
      </c>
      <c r="B4983" s="12" t="s">
        <v>23826</v>
      </c>
      <c r="C4983" s="12">
        <v>13</v>
      </c>
      <c r="D4983" s="12">
        <v>75</v>
      </c>
      <c r="E4983" s="12">
        <v>0</v>
      </c>
      <c r="F4983" s="12">
        <v>46</v>
      </c>
      <c r="G4983" s="12">
        <v>267</v>
      </c>
      <c r="H4983" s="16"/>
      <c r="I4983" s="12" t="s">
        <v>3410</v>
      </c>
      <c r="J4983" s="12" t="s">
        <v>23827</v>
      </c>
      <c r="K4983" s="12" t="s">
        <v>23828</v>
      </c>
      <c r="L4983" s="12" t="s">
        <v>23829</v>
      </c>
      <c r="M4983" s="12" t="s">
        <v>23830</v>
      </c>
      <c r="N4983" s="12">
        <v>683</v>
      </c>
      <c r="O4983" s="12">
        <v>488</v>
      </c>
      <c r="P4983" s="12">
        <v>2</v>
      </c>
      <c r="Q4983" s="12" t="s">
        <v>23831</v>
      </c>
      <c r="R4983" s="15" t="s">
        <v>23832</v>
      </c>
      <c r="S4983" s="12">
        <v>8</v>
      </c>
      <c r="T4983" s="12" t="s">
        <v>39</v>
      </c>
      <c r="U4983" s="12" t="s">
        <v>40</v>
      </c>
      <c r="V4983" s="12" t="s">
        <v>5614</v>
      </c>
      <c r="W4983" s="12">
        <v>100000</v>
      </c>
      <c r="X4983" s="12">
        <v>2014</v>
      </c>
      <c r="Y4983" s="12">
        <v>87</v>
      </c>
      <c r="Z4983" s="12">
        <v>6.8</v>
      </c>
      <c r="AA4983" s="12">
        <v>1.78</v>
      </c>
      <c r="AB4983" s="12">
        <v>182</v>
      </c>
      <c r="AC4983" s="12"/>
      <c r="AD4983" s="12" t="str">
        <f>IFERROR(__xludf.DUMMYFUNCTION("""COMPUTED_VALUE"""),"Jorge Salinas")</f>
        <v>Jorge Salinas</v>
      </c>
      <c r="AE4983" s="12"/>
    </row>
    <row r="4984" customHeight="1" spans="1:31">
      <c r="A4984" s="11" t="s">
        <v>30</v>
      </c>
      <c r="B4984" s="11" t="s">
        <v>23833</v>
      </c>
      <c r="C4984" s="11">
        <v>15</v>
      </c>
      <c r="D4984" s="11">
        <v>87</v>
      </c>
      <c r="E4984" s="11">
        <v>8</v>
      </c>
      <c r="F4984" s="11">
        <v>272</v>
      </c>
      <c r="G4984" s="11">
        <v>969</v>
      </c>
      <c r="H4984" s="13"/>
      <c r="I4984" s="11" t="s">
        <v>1672</v>
      </c>
      <c r="J4984" s="11" t="s">
        <v>21809</v>
      </c>
      <c r="K4984" s="11" t="s">
        <v>4367</v>
      </c>
      <c r="L4984" s="11" t="s">
        <v>14648</v>
      </c>
      <c r="M4984" s="11" t="s">
        <v>23834</v>
      </c>
      <c r="N4984" s="11">
        <v>760</v>
      </c>
      <c r="O4984" s="11">
        <v>2398</v>
      </c>
      <c r="P4984" s="11">
        <v>0</v>
      </c>
      <c r="Q4984" s="11" t="s">
        <v>23835</v>
      </c>
      <c r="R4984" s="14" t="s">
        <v>23836</v>
      </c>
      <c r="S4984" s="11">
        <v>4</v>
      </c>
      <c r="T4984" s="11" t="s">
        <v>39</v>
      </c>
      <c r="U4984" s="11" t="s">
        <v>40</v>
      </c>
      <c r="V4984" s="11" t="s">
        <v>4831</v>
      </c>
      <c r="W4984" s="13"/>
      <c r="X4984" s="11">
        <v>2012</v>
      </c>
      <c r="Y4984" s="11">
        <v>778</v>
      </c>
      <c r="Z4984" s="11">
        <v>6.3</v>
      </c>
      <c r="AA4984" s="13"/>
      <c r="AB4984" s="11">
        <v>209</v>
      </c>
      <c r="AC4984" s="11"/>
      <c r="AD4984" s="11" t="str">
        <f>IFERROR(__xludf.DUMMYFUNCTION("""COMPUTED_VALUE"""),"Goya Toledo")</f>
        <v>Goya Toledo</v>
      </c>
      <c r="AE4984" s="11"/>
    </row>
    <row r="4985" customHeight="1" spans="1:31">
      <c r="A4985" s="12" t="s">
        <v>30</v>
      </c>
      <c r="B4985" s="12" t="s">
        <v>17613</v>
      </c>
      <c r="C4985" s="12">
        <v>125</v>
      </c>
      <c r="D4985" s="12">
        <v>87</v>
      </c>
      <c r="E4985" s="12">
        <v>59</v>
      </c>
      <c r="F4985" s="12">
        <v>9</v>
      </c>
      <c r="G4985" s="12">
        <v>35</v>
      </c>
      <c r="H4985" s="16"/>
      <c r="I4985" s="12" t="s">
        <v>18429</v>
      </c>
      <c r="J4985" s="12" t="s">
        <v>23837</v>
      </c>
      <c r="K4985" s="12" t="s">
        <v>23838</v>
      </c>
      <c r="L4985" s="12" t="s">
        <v>23839</v>
      </c>
      <c r="M4985" s="12" t="s">
        <v>23840</v>
      </c>
      <c r="N4985" s="12">
        <v>13065</v>
      </c>
      <c r="O4985" s="12">
        <v>97</v>
      </c>
      <c r="P4985" s="12">
        <v>0</v>
      </c>
      <c r="Q4985" s="12" t="s">
        <v>23841</v>
      </c>
      <c r="R4985" s="15" t="s">
        <v>23842</v>
      </c>
      <c r="S4985" s="12">
        <v>136</v>
      </c>
      <c r="T4985" s="12" t="s">
        <v>39</v>
      </c>
      <c r="U4985" s="12" t="s">
        <v>40</v>
      </c>
      <c r="V4985" s="12" t="s">
        <v>586</v>
      </c>
      <c r="W4985" s="12">
        <v>70000</v>
      </c>
      <c r="X4985" s="12">
        <v>2011</v>
      </c>
      <c r="Y4985" s="12">
        <v>28</v>
      </c>
      <c r="Z4985" s="12">
        <v>5.8</v>
      </c>
      <c r="AA4985" s="12">
        <v>1.78</v>
      </c>
      <c r="AB4985" s="12">
        <v>3000</v>
      </c>
      <c r="AC4985" s="12"/>
      <c r="AD4985" s="12" t="str">
        <f>IFERROR(__xludf.DUMMYFUNCTION("""COMPUTED_VALUE"""),"Sarah Clarke")</f>
        <v>Sarah Clarke</v>
      </c>
      <c r="AE4985" s="12"/>
    </row>
    <row r="4986" customHeight="1" spans="1:31">
      <c r="A4986" s="11" t="s">
        <v>30</v>
      </c>
      <c r="B4986" s="11" t="s">
        <v>18750</v>
      </c>
      <c r="C4986" s="11">
        <v>36</v>
      </c>
      <c r="D4986" s="11">
        <v>98</v>
      </c>
      <c r="E4986" s="11">
        <v>0</v>
      </c>
      <c r="F4986" s="11">
        <v>73</v>
      </c>
      <c r="G4986" s="11">
        <v>138</v>
      </c>
      <c r="H4986" s="11">
        <v>10246600</v>
      </c>
      <c r="I4986" s="11" t="s">
        <v>1415</v>
      </c>
      <c r="J4986" s="11" t="s">
        <v>23843</v>
      </c>
      <c r="K4986" s="11" t="s">
        <v>18929</v>
      </c>
      <c r="L4986" s="11" t="s">
        <v>23844</v>
      </c>
      <c r="M4986" s="11" t="s">
        <v>23845</v>
      </c>
      <c r="N4986" s="11">
        <v>6375</v>
      </c>
      <c r="O4986" s="11">
        <v>388</v>
      </c>
      <c r="P4986" s="11">
        <v>0</v>
      </c>
      <c r="Q4986" s="11" t="s">
        <v>23846</v>
      </c>
      <c r="R4986" s="14" t="s">
        <v>23847</v>
      </c>
      <c r="S4986" s="11">
        <v>36</v>
      </c>
      <c r="T4986" s="11" t="s">
        <v>39</v>
      </c>
      <c r="U4986" s="11" t="s">
        <v>40</v>
      </c>
      <c r="V4986" s="11" t="s">
        <v>586</v>
      </c>
      <c r="W4986" s="11">
        <v>25000</v>
      </c>
      <c r="X4986" s="11">
        <v>1995</v>
      </c>
      <c r="Y4986" s="11">
        <v>111</v>
      </c>
      <c r="Z4986" s="11">
        <v>6.6</v>
      </c>
      <c r="AA4986" s="11">
        <v>1.85</v>
      </c>
      <c r="AB4986" s="11">
        <v>265</v>
      </c>
      <c r="AC4986" s="11"/>
      <c r="AD4986" s="11" t="str">
        <f>IFERROR(__xludf.DUMMYFUNCTION("""COMPUTED_VALUE"""),"Celeste Holm")</f>
        <v>Celeste Holm</v>
      </c>
      <c r="AE4986" s="11"/>
    </row>
    <row r="4987" customHeight="1" spans="1:31">
      <c r="A4987" s="12" t="s">
        <v>30</v>
      </c>
      <c r="B4987" s="12" t="s">
        <v>23848</v>
      </c>
      <c r="C4987" s="12">
        <v>73</v>
      </c>
      <c r="D4987" s="12">
        <v>83</v>
      </c>
      <c r="E4987" s="12">
        <v>8</v>
      </c>
      <c r="F4987" s="12">
        <v>8</v>
      </c>
      <c r="G4987" s="12">
        <v>111</v>
      </c>
      <c r="H4987" s="16"/>
      <c r="I4987" s="12" t="s">
        <v>2126</v>
      </c>
      <c r="J4987" s="12" t="s">
        <v>23849</v>
      </c>
      <c r="K4987" s="12" t="s">
        <v>23850</v>
      </c>
      <c r="L4987" s="12" t="s">
        <v>23848</v>
      </c>
      <c r="M4987" s="12" t="s">
        <v>23851</v>
      </c>
      <c r="N4987" s="12">
        <v>3885</v>
      </c>
      <c r="O4987" s="12">
        <v>147</v>
      </c>
      <c r="P4987" s="12">
        <v>0</v>
      </c>
      <c r="Q4987" s="12" t="s">
        <v>23852</v>
      </c>
      <c r="R4987" s="15" t="s">
        <v>23853</v>
      </c>
      <c r="S4987" s="12">
        <v>40</v>
      </c>
      <c r="T4987" s="12" t="s">
        <v>39</v>
      </c>
      <c r="U4987" s="12" t="s">
        <v>269</v>
      </c>
      <c r="V4987" s="12" t="s">
        <v>4831</v>
      </c>
      <c r="W4987" s="16"/>
      <c r="X4987" s="12">
        <v>2013</v>
      </c>
      <c r="Y4987" s="12">
        <v>19</v>
      </c>
      <c r="Z4987" s="12">
        <v>6.7</v>
      </c>
      <c r="AA4987" s="16"/>
      <c r="AB4987" s="12">
        <v>1000</v>
      </c>
      <c r="AC4987" s="12"/>
      <c r="AD4987" s="12" t="str">
        <f>IFERROR(__xludf.DUMMYFUNCTION("""COMPUTED_VALUE"""),"John Garfield")</f>
        <v>John Garfield</v>
      </c>
      <c r="AE4987" s="12"/>
    </row>
    <row r="4988" customHeight="1" spans="1:31">
      <c r="A4988" s="11" t="s">
        <v>30</v>
      </c>
      <c r="B4988" s="11" t="s">
        <v>23854</v>
      </c>
      <c r="C4988" s="11">
        <v>1</v>
      </c>
      <c r="D4988" s="11">
        <v>99</v>
      </c>
      <c r="E4988" s="11">
        <v>9</v>
      </c>
      <c r="F4988" s="11">
        <v>3</v>
      </c>
      <c r="G4988" s="11">
        <v>866</v>
      </c>
      <c r="H4988" s="13"/>
      <c r="I4988" s="11" t="s">
        <v>1415</v>
      </c>
      <c r="J4988" s="11" t="s">
        <v>23855</v>
      </c>
      <c r="K4988" s="11" t="s">
        <v>7017</v>
      </c>
      <c r="L4988" s="11" t="s">
        <v>23856</v>
      </c>
      <c r="M4988" s="11" t="s">
        <v>23857</v>
      </c>
      <c r="N4988" s="11">
        <v>712</v>
      </c>
      <c r="O4988" s="11">
        <v>1179</v>
      </c>
      <c r="P4988" s="11">
        <v>0</v>
      </c>
      <c r="Q4988" s="11" t="s">
        <v>23858</v>
      </c>
      <c r="R4988" s="14" t="s">
        <v>23859</v>
      </c>
      <c r="S4988" s="11">
        <v>9</v>
      </c>
      <c r="T4988" s="11" t="s">
        <v>14504</v>
      </c>
      <c r="U4988" s="11" t="s">
        <v>16841</v>
      </c>
      <c r="V4988" s="11" t="s">
        <v>586</v>
      </c>
      <c r="W4988" s="13"/>
      <c r="X4988" s="11">
        <v>1983</v>
      </c>
      <c r="Y4988" s="11">
        <v>308</v>
      </c>
      <c r="Z4988" s="11">
        <v>6.4</v>
      </c>
      <c r="AA4988" s="11">
        <v>2.35</v>
      </c>
      <c r="AB4988" s="11">
        <v>114</v>
      </c>
      <c r="AC4988" s="11"/>
      <c r="AD4988" s="11" t="str">
        <f>IFERROR(__xludf.DUMMYFUNCTION("""COMPUTED_VALUE"""),"Shelley Waggener")</f>
        <v>Shelley Waggener</v>
      </c>
      <c r="AE4988" s="11"/>
    </row>
    <row r="4989" customHeight="1" spans="1:31">
      <c r="A4989" s="12" t="s">
        <v>30</v>
      </c>
      <c r="B4989" s="12" t="s">
        <v>21809</v>
      </c>
      <c r="C4989" s="12">
        <v>113</v>
      </c>
      <c r="D4989" s="12">
        <v>98</v>
      </c>
      <c r="E4989" s="12">
        <v>969</v>
      </c>
      <c r="F4989" s="12">
        <v>433</v>
      </c>
      <c r="G4989" s="12">
        <v>969</v>
      </c>
      <c r="H4989" s="12">
        <v>389804</v>
      </c>
      <c r="I4989" s="12" t="s">
        <v>1415</v>
      </c>
      <c r="J4989" s="12" t="s">
        <v>21809</v>
      </c>
      <c r="K4989" s="12" t="s">
        <v>3288</v>
      </c>
      <c r="L4989" s="12" t="s">
        <v>23860</v>
      </c>
      <c r="M4989" s="12" t="s">
        <v>23861</v>
      </c>
      <c r="N4989" s="12">
        <v>11816</v>
      </c>
      <c r="O4989" s="12">
        <v>2530</v>
      </c>
      <c r="P4989" s="12">
        <v>0</v>
      </c>
      <c r="Q4989" s="12" t="s">
        <v>23862</v>
      </c>
      <c r="R4989" s="15" t="s">
        <v>23863</v>
      </c>
      <c r="S4989" s="12">
        <v>35</v>
      </c>
      <c r="T4989" s="12" t="s">
        <v>39</v>
      </c>
      <c r="U4989" s="12" t="s">
        <v>40</v>
      </c>
      <c r="V4989" s="12" t="s">
        <v>4831</v>
      </c>
      <c r="W4989" s="12">
        <v>65000</v>
      </c>
      <c r="X4989" s="12">
        <v>2010</v>
      </c>
      <c r="Y4989" s="12">
        <v>529</v>
      </c>
      <c r="Z4989" s="12">
        <v>6.3</v>
      </c>
      <c r="AA4989" s="12">
        <v>2.35</v>
      </c>
      <c r="AB4989" s="12">
        <v>0</v>
      </c>
      <c r="AC4989" s="12"/>
      <c r="AD4989" s="12" t="str">
        <f>IFERROR(__xludf.DUMMYFUNCTION("""COMPUTED_VALUE"""),"Lauren Sweetser")</f>
        <v>Lauren Sweetser</v>
      </c>
      <c r="AE4989" s="12"/>
    </row>
    <row r="4990" customHeight="1" spans="1:31">
      <c r="A4990" s="11" t="s">
        <v>30</v>
      </c>
      <c r="B4990" s="11" t="s">
        <v>23864</v>
      </c>
      <c r="C4990" s="11">
        <v>13</v>
      </c>
      <c r="D4990" s="11">
        <v>93</v>
      </c>
      <c r="E4990" s="11">
        <v>9</v>
      </c>
      <c r="F4990" s="11">
        <v>133</v>
      </c>
      <c r="G4990" s="11">
        <v>743</v>
      </c>
      <c r="H4990" s="13"/>
      <c r="I4990" s="11" t="s">
        <v>23865</v>
      </c>
      <c r="J4990" s="11" t="s">
        <v>2839</v>
      </c>
      <c r="K4990" s="11" t="s">
        <v>23866</v>
      </c>
      <c r="L4990" s="11" t="s">
        <v>23867</v>
      </c>
      <c r="M4990" s="11" t="s">
        <v>23868</v>
      </c>
      <c r="N4990" s="11">
        <v>485</v>
      </c>
      <c r="O4990" s="11">
        <v>1527</v>
      </c>
      <c r="P4990" s="11">
        <v>0</v>
      </c>
      <c r="Q4990" s="13"/>
      <c r="R4990" s="14" t="s">
        <v>23869</v>
      </c>
      <c r="S4990" s="11">
        <v>5</v>
      </c>
      <c r="T4990" s="11" t="s">
        <v>39</v>
      </c>
      <c r="U4990" s="11" t="s">
        <v>40</v>
      </c>
      <c r="V4990" s="11" t="s">
        <v>4831</v>
      </c>
      <c r="W4990" s="11">
        <v>60000</v>
      </c>
      <c r="X4990" s="11">
        <v>2012</v>
      </c>
      <c r="Y4990" s="11">
        <v>413</v>
      </c>
      <c r="Z4990" s="11">
        <v>3.4</v>
      </c>
      <c r="AA4990" s="11">
        <v>1.78</v>
      </c>
      <c r="AB4990" s="11">
        <v>284</v>
      </c>
      <c r="AC4990" s="11"/>
      <c r="AD4990" s="11" t="str">
        <f>IFERROR(__xludf.DUMMYFUNCTION("""COMPUTED_VALUE"""),"Nicholas Aaron")</f>
        <v>Nicholas Aaron</v>
      </c>
      <c r="AE4990" s="11"/>
    </row>
    <row r="4991" customHeight="1" spans="1:31">
      <c r="A4991" s="12" t="s">
        <v>30</v>
      </c>
      <c r="B4991" s="12" t="s">
        <v>23870</v>
      </c>
      <c r="C4991" s="16"/>
      <c r="D4991" s="16"/>
      <c r="E4991" s="12">
        <v>0</v>
      </c>
      <c r="F4991" s="12">
        <v>15</v>
      </c>
      <c r="G4991" s="12">
        <v>1000</v>
      </c>
      <c r="H4991" s="16"/>
      <c r="I4991" s="12" t="s">
        <v>2528</v>
      </c>
      <c r="J4991" s="12" t="s">
        <v>13154</v>
      </c>
      <c r="K4991" s="12" t="s">
        <v>23871</v>
      </c>
      <c r="L4991" s="12" t="s">
        <v>23872</v>
      </c>
      <c r="M4991" s="12" t="s">
        <v>23873</v>
      </c>
      <c r="N4991" s="12">
        <v>128</v>
      </c>
      <c r="O4991" s="12">
        <v>1077</v>
      </c>
      <c r="P4991" s="12">
        <v>0</v>
      </c>
      <c r="Q4991" s="12" t="s">
        <v>23874</v>
      </c>
      <c r="R4991" s="15" t="s">
        <v>23875</v>
      </c>
      <c r="S4991" s="12">
        <v>3</v>
      </c>
      <c r="T4991" s="12" t="s">
        <v>39</v>
      </c>
      <c r="U4991" s="12" t="s">
        <v>40</v>
      </c>
      <c r="V4991" s="16"/>
      <c r="W4991" s="16"/>
      <c r="X4991" s="12">
        <v>2006</v>
      </c>
      <c r="Y4991" s="12">
        <v>36</v>
      </c>
      <c r="Z4991" s="12">
        <v>4.7</v>
      </c>
      <c r="AA4991" s="16"/>
      <c r="AB4991" s="12">
        <v>2</v>
      </c>
      <c r="AC4991" s="12"/>
      <c r="AD4991" s="12" t="str">
        <f>IFERROR(__xludf.DUMMYFUNCTION("""COMPUTED_VALUE"""),"Brendan Mackey")</f>
        <v>Brendan Mackey</v>
      </c>
      <c r="AE4991" s="12"/>
    </row>
    <row r="4992" customHeight="1" spans="1:31">
      <c r="A4992" s="11" t="s">
        <v>30</v>
      </c>
      <c r="B4992" s="11" t="s">
        <v>23876</v>
      </c>
      <c r="C4992" s="11">
        <v>12</v>
      </c>
      <c r="D4992" s="11">
        <v>111</v>
      </c>
      <c r="E4992" s="11">
        <v>6</v>
      </c>
      <c r="F4992" s="13"/>
      <c r="G4992" s="13"/>
      <c r="H4992" s="13"/>
      <c r="I4992" s="11" t="s">
        <v>68</v>
      </c>
      <c r="J4992" s="13"/>
      <c r="K4992" s="13"/>
      <c r="L4992" s="13"/>
      <c r="M4992" s="11" t="s">
        <v>23877</v>
      </c>
      <c r="N4992" s="11">
        <v>61</v>
      </c>
      <c r="O4992" s="11">
        <v>0</v>
      </c>
      <c r="P4992" s="11">
        <v>0</v>
      </c>
      <c r="Q4992" s="11" t="s">
        <v>23878</v>
      </c>
      <c r="R4992" s="14" t="s">
        <v>23879</v>
      </c>
      <c r="S4992" s="11">
        <v>1</v>
      </c>
      <c r="T4992" s="11" t="s">
        <v>39</v>
      </c>
      <c r="U4992" s="11" t="s">
        <v>40</v>
      </c>
      <c r="V4992" s="13"/>
      <c r="W4992" s="11">
        <v>50000</v>
      </c>
      <c r="X4992" s="11">
        <v>2015</v>
      </c>
      <c r="Y4992" s="13"/>
      <c r="Z4992" s="11">
        <v>6</v>
      </c>
      <c r="AA4992" s="11">
        <v>1.78</v>
      </c>
      <c r="AB4992" s="11">
        <v>5</v>
      </c>
      <c r="AC4992" s="11"/>
      <c r="AD4992" s="11" t="str">
        <f>IFERROR(__xludf.DUMMYFUNCTION("""COMPUTED_VALUE"""),"Joe Simpson")</f>
        <v>Joe Simpson</v>
      </c>
      <c r="AE4992" s="11"/>
    </row>
    <row r="4993" customHeight="1" spans="1:31">
      <c r="A4993" s="12" t="s">
        <v>748</v>
      </c>
      <c r="B4993" s="12" t="s">
        <v>23880</v>
      </c>
      <c r="C4993" s="12">
        <v>60</v>
      </c>
      <c r="D4993" s="12">
        <v>47</v>
      </c>
      <c r="E4993" s="12">
        <v>2</v>
      </c>
      <c r="F4993" s="12">
        <v>5</v>
      </c>
      <c r="G4993" s="12">
        <v>19</v>
      </c>
      <c r="H4993" s="16"/>
      <c r="I4993" s="12" t="s">
        <v>2664</v>
      </c>
      <c r="J4993" s="12" t="s">
        <v>23881</v>
      </c>
      <c r="K4993" s="12" t="s">
        <v>23882</v>
      </c>
      <c r="L4993" s="12" t="s">
        <v>23883</v>
      </c>
      <c r="M4993" s="12" t="s">
        <v>23884</v>
      </c>
      <c r="N4993" s="12">
        <v>6261</v>
      </c>
      <c r="O4993" s="12">
        <v>43</v>
      </c>
      <c r="P4993" s="12">
        <v>0</v>
      </c>
      <c r="Q4993" s="12" t="s">
        <v>23885</v>
      </c>
      <c r="R4993" s="15" t="s">
        <v>23886</v>
      </c>
      <c r="S4993" s="12">
        <v>99</v>
      </c>
      <c r="T4993" s="12" t="s">
        <v>39</v>
      </c>
      <c r="U4993" s="12" t="s">
        <v>40</v>
      </c>
      <c r="V4993" s="16"/>
      <c r="W4993" s="12">
        <v>50000</v>
      </c>
      <c r="X4993" s="12">
        <v>2005</v>
      </c>
      <c r="Y4993" s="12">
        <v>9</v>
      </c>
      <c r="Z4993" s="12">
        <v>7.3</v>
      </c>
      <c r="AA4993" s="12">
        <v>1.33</v>
      </c>
      <c r="AB4993" s="12">
        <v>0</v>
      </c>
      <c r="AC4993" s="12"/>
      <c r="AD4993" s="12" t="str">
        <f>IFERROR(__xludf.DUMMYFUNCTION("""COMPUTED_VALUE"""),"Tyrone Power")</f>
        <v>Tyrone Power</v>
      </c>
      <c r="AE4993" s="12"/>
    </row>
    <row r="4994" customHeight="1" spans="1:31">
      <c r="A4994" s="11" t="s">
        <v>30</v>
      </c>
      <c r="B4994" s="11" t="s">
        <v>23887</v>
      </c>
      <c r="C4994" s="11">
        <v>10</v>
      </c>
      <c r="D4994" s="11">
        <v>92</v>
      </c>
      <c r="E4994" s="11">
        <v>0</v>
      </c>
      <c r="F4994" s="13"/>
      <c r="G4994" s="11">
        <v>0</v>
      </c>
      <c r="H4994" s="13"/>
      <c r="I4994" s="11" t="s">
        <v>68</v>
      </c>
      <c r="J4994" s="11" t="s">
        <v>23888</v>
      </c>
      <c r="K4994" s="13"/>
      <c r="L4994" s="13"/>
      <c r="M4994" s="11" t="s">
        <v>23889</v>
      </c>
      <c r="N4994" s="11">
        <v>53</v>
      </c>
      <c r="O4994" s="11">
        <v>0</v>
      </c>
      <c r="P4994" s="11">
        <v>0</v>
      </c>
      <c r="Q4994" s="13"/>
      <c r="R4994" s="14" t="s">
        <v>23890</v>
      </c>
      <c r="S4994" s="11">
        <v>10</v>
      </c>
      <c r="T4994" s="11" t="s">
        <v>39</v>
      </c>
      <c r="U4994" s="11" t="s">
        <v>40</v>
      </c>
      <c r="V4994" s="13"/>
      <c r="W4994" s="11">
        <v>50000</v>
      </c>
      <c r="X4994" s="11">
        <v>2013</v>
      </c>
      <c r="Y4994" s="13"/>
      <c r="Z4994" s="11">
        <v>7.9</v>
      </c>
      <c r="AA4994" s="11">
        <v>16</v>
      </c>
      <c r="AB4994" s="11">
        <v>33</v>
      </c>
      <c r="AC4994" s="11"/>
      <c r="AD4994" s="11" t="str">
        <f>IFERROR(__xludf.DUMMYFUNCTION("""COMPUTED_VALUE"""),"Najarra Townsend")</f>
        <v>Najarra Townsend</v>
      </c>
      <c r="AE4994" s="11"/>
    </row>
    <row r="4995" customHeight="1" spans="1:31">
      <c r="A4995" s="12" t="s">
        <v>30</v>
      </c>
      <c r="B4995" s="12" t="s">
        <v>23891</v>
      </c>
      <c r="C4995" s="12">
        <v>161</v>
      </c>
      <c r="D4995" s="12">
        <v>97</v>
      </c>
      <c r="E4995" s="12">
        <v>18</v>
      </c>
      <c r="F4995" s="12">
        <v>236</v>
      </c>
      <c r="G4995" s="12">
        <v>852</v>
      </c>
      <c r="H4995" s="16"/>
      <c r="I4995" s="12" t="s">
        <v>2954</v>
      </c>
      <c r="J4995" s="12" t="s">
        <v>7330</v>
      </c>
      <c r="K4995" s="12" t="s">
        <v>23892</v>
      </c>
      <c r="L4995" s="12" t="s">
        <v>23893</v>
      </c>
      <c r="M4995" s="12" t="s">
        <v>23894</v>
      </c>
      <c r="N4995" s="12">
        <v>48236</v>
      </c>
      <c r="O4995" s="12">
        <v>1922</v>
      </c>
      <c r="P4995" s="12">
        <v>0</v>
      </c>
      <c r="Q4995" s="12" t="s">
        <v>23895</v>
      </c>
      <c r="R4995" s="15" t="s">
        <v>23896</v>
      </c>
      <c r="S4995" s="12">
        <v>180</v>
      </c>
      <c r="T4995" s="12" t="s">
        <v>39</v>
      </c>
      <c r="U4995" s="12" t="s">
        <v>40</v>
      </c>
      <c r="V4995" s="12" t="s">
        <v>41</v>
      </c>
      <c r="W4995" s="12">
        <v>4000000</v>
      </c>
      <c r="X4995" s="12">
        <v>2014</v>
      </c>
      <c r="Y4995" s="12">
        <v>680</v>
      </c>
      <c r="Z4995" s="12">
        <v>6.1</v>
      </c>
      <c r="AA4995" s="12">
        <v>2.35</v>
      </c>
      <c r="AB4995" s="12">
        <v>10000</v>
      </c>
      <c r="AC4995" s="12"/>
      <c r="AD4995" s="12" t="str">
        <f>IFERROR(__xludf.DUMMYFUNCTION("""COMPUTED_VALUE"""),"Miranda July")</f>
        <v>Miranda July</v>
      </c>
      <c r="AE4995" s="12"/>
    </row>
    <row r="4996" customHeight="1" spans="1:31">
      <c r="A4996" s="11" t="s">
        <v>30</v>
      </c>
      <c r="B4996" s="11" t="s">
        <v>23897</v>
      </c>
      <c r="C4996" s="11">
        <v>7</v>
      </c>
      <c r="D4996" s="11">
        <v>81</v>
      </c>
      <c r="E4996" s="11">
        <v>3</v>
      </c>
      <c r="F4996" s="11">
        <v>18</v>
      </c>
      <c r="G4996" s="11">
        <v>26</v>
      </c>
      <c r="H4996" s="13"/>
      <c r="I4996" s="11" t="s">
        <v>22869</v>
      </c>
      <c r="J4996" s="11" t="s">
        <v>23898</v>
      </c>
      <c r="K4996" s="11" t="s">
        <v>23899</v>
      </c>
      <c r="L4996" s="11" t="s">
        <v>23900</v>
      </c>
      <c r="M4996" s="11" t="s">
        <v>23901</v>
      </c>
      <c r="N4996" s="11">
        <v>66</v>
      </c>
      <c r="O4996" s="11">
        <v>70</v>
      </c>
      <c r="P4996" s="11">
        <v>7</v>
      </c>
      <c r="Q4996" s="11" t="s">
        <v>23902</v>
      </c>
      <c r="R4996" s="14" t="s">
        <v>23903</v>
      </c>
      <c r="S4996" s="11">
        <v>2</v>
      </c>
      <c r="T4996" s="11" t="s">
        <v>39</v>
      </c>
      <c r="U4996" s="11" t="s">
        <v>40</v>
      </c>
      <c r="V4996" s="13"/>
      <c r="W4996" s="11">
        <v>50000</v>
      </c>
      <c r="X4996" s="11">
        <v>2014</v>
      </c>
      <c r="Y4996" s="11">
        <v>20</v>
      </c>
      <c r="Z4996" s="11">
        <v>7.4</v>
      </c>
      <c r="AA4996" s="13"/>
      <c r="AB4996" s="11">
        <v>83</v>
      </c>
      <c r="AC4996" s="11"/>
      <c r="AD4996" s="11" t="str">
        <f>IFERROR(__xludf.DUMMYFUNCTION("""COMPUTED_VALUE"""),"Barney Frank")</f>
        <v>Barney Frank</v>
      </c>
      <c r="AE4996" s="11"/>
    </row>
    <row r="4997" customHeight="1" spans="1:31">
      <c r="A4997" s="12" t="s">
        <v>30</v>
      </c>
      <c r="B4997" s="12" t="s">
        <v>23904</v>
      </c>
      <c r="C4997" s="12">
        <v>34</v>
      </c>
      <c r="D4997" s="12">
        <v>83</v>
      </c>
      <c r="E4997" s="12">
        <v>3</v>
      </c>
      <c r="F4997" s="12">
        <v>69</v>
      </c>
      <c r="G4997" s="12">
        <v>695</v>
      </c>
      <c r="H4997" s="16"/>
      <c r="I4997" s="12" t="s">
        <v>3410</v>
      </c>
      <c r="J4997" s="12" t="s">
        <v>23905</v>
      </c>
      <c r="K4997" s="12" t="s">
        <v>23906</v>
      </c>
      <c r="L4997" s="12" t="s">
        <v>23907</v>
      </c>
      <c r="M4997" s="12" t="s">
        <v>23908</v>
      </c>
      <c r="N4997" s="12">
        <v>733</v>
      </c>
      <c r="O4997" s="12">
        <v>1438</v>
      </c>
      <c r="P4997" s="12">
        <v>0</v>
      </c>
      <c r="Q4997" s="12" t="s">
        <v>23909</v>
      </c>
      <c r="R4997" s="15" t="s">
        <v>23910</v>
      </c>
      <c r="S4997" s="12">
        <v>7</v>
      </c>
      <c r="T4997" s="12" t="s">
        <v>39</v>
      </c>
      <c r="U4997" s="12" t="s">
        <v>40</v>
      </c>
      <c r="V4997" s="12" t="s">
        <v>586</v>
      </c>
      <c r="W4997" s="12">
        <v>42000</v>
      </c>
      <c r="X4997" s="12">
        <v>2013</v>
      </c>
      <c r="Y4997" s="12">
        <v>571</v>
      </c>
      <c r="Z4997" s="12">
        <v>6.6</v>
      </c>
      <c r="AA4997" s="12">
        <v>16</v>
      </c>
      <c r="AB4997" s="12">
        <v>234</v>
      </c>
      <c r="AC4997" s="12"/>
      <c r="AD4997" s="12" t="str">
        <f>IFERROR(__xludf.DUMMYFUNCTION("""COMPUTED_VALUE"""),"Gano Grills")</f>
        <v>Gano Grills</v>
      </c>
      <c r="AE4997" s="12"/>
    </row>
    <row r="4998" customHeight="1" spans="1:31">
      <c r="A4998" s="11" t="s">
        <v>30</v>
      </c>
      <c r="B4998" s="11" t="s">
        <v>4481</v>
      </c>
      <c r="C4998" s="13"/>
      <c r="D4998" s="11">
        <v>96</v>
      </c>
      <c r="E4998" s="11">
        <v>117</v>
      </c>
      <c r="F4998" s="11">
        <v>281</v>
      </c>
      <c r="G4998" s="11">
        <v>948</v>
      </c>
      <c r="H4998" s="13"/>
      <c r="I4998" s="11" t="s">
        <v>1672</v>
      </c>
      <c r="J4998" s="11" t="s">
        <v>11650</v>
      </c>
      <c r="K4998" s="11" t="s">
        <v>5591</v>
      </c>
      <c r="L4998" s="11" t="s">
        <v>23911</v>
      </c>
      <c r="M4998" s="11" t="s">
        <v>23912</v>
      </c>
      <c r="N4998" s="11">
        <v>181</v>
      </c>
      <c r="O4998" s="11">
        <v>2058</v>
      </c>
      <c r="P4998" s="11">
        <v>5</v>
      </c>
      <c r="Q4998" s="11" t="s">
        <v>23913</v>
      </c>
      <c r="R4998" s="14" t="s">
        <v>23914</v>
      </c>
      <c r="S4998" s="11">
        <v>4</v>
      </c>
      <c r="T4998" s="11" t="s">
        <v>39</v>
      </c>
      <c r="U4998" s="11" t="s">
        <v>40</v>
      </c>
      <c r="V4998" s="13"/>
      <c r="W4998" s="11">
        <v>45000</v>
      </c>
      <c r="X4998" s="11">
        <v>2013</v>
      </c>
      <c r="Y4998" s="11">
        <v>482</v>
      </c>
      <c r="Z4998" s="11">
        <v>5.5</v>
      </c>
      <c r="AA4998" s="11">
        <v>2.35</v>
      </c>
      <c r="AB4998" s="11">
        <v>72</v>
      </c>
      <c r="AC4998" s="11"/>
      <c r="AD4998" s="11" t="str">
        <f>IFERROR(__xludf.DUMMYFUNCTION("""COMPUTED_VALUE"""),"Richard Portnow")</f>
        <v>Richard Portnow</v>
      </c>
      <c r="AE4998" s="11"/>
    </row>
    <row r="4999" customHeight="1" spans="1:31">
      <c r="A4999" s="12" t="s">
        <v>30</v>
      </c>
      <c r="B4999" s="12" t="s">
        <v>5419</v>
      </c>
      <c r="C4999" s="12">
        <v>75</v>
      </c>
      <c r="D4999" s="12">
        <v>90</v>
      </c>
      <c r="E4999" s="12">
        <v>234</v>
      </c>
      <c r="F4999" s="12">
        <v>15</v>
      </c>
      <c r="G4999" s="12">
        <v>552</v>
      </c>
      <c r="H4999" s="12">
        <v>241816</v>
      </c>
      <c r="I4999" s="12" t="s">
        <v>3410</v>
      </c>
      <c r="J4999" s="12" t="s">
        <v>11754</v>
      </c>
      <c r="K4999" s="12" t="s">
        <v>6816</v>
      </c>
      <c r="L4999" s="12" t="s">
        <v>23915</v>
      </c>
      <c r="M4999" s="12" t="s">
        <v>23916</v>
      </c>
      <c r="N4999" s="12">
        <v>6246</v>
      </c>
      <c r="O4999" s="12">
        <v>642</v>
      </c>
      <c r="P4999" s="12">
        <v>0</v>
      </c>
      <c r="Q4999" s="12" t="s">
        <v>23917</v>
      </c>
      <c r="R4999" s="15" t="s">
        <v>23918</v>
      </c>
      <c r="S4999" s="12">
        <v>76</v>
      </c>
      <c r="T4999" s="12" t="s">
        <v>39</v>
      </c>
      <c r="U4999" s="12" t="s">
        <v>40</v>
      </c>
      <c r="V4999" s="12" t="s">
        <v>5614</v>
      </c>
      <c r="W4999" s="12">
        <v>42000</v>
      </c>
      <c r="X4999" s="12">
        <v>2000</v>
      </c>
      <c r="Y4999" s="12">
        <v>61</v>
      </c>
      <c r="Z4999" s="12">
        <v>7.5</v>
      </c>
      <c r="AA4999" s="12">
        <v>2.35</v>
      </c>
      <c r="AB4999" s="12">
        <v>451</v>
      </c>
      <c r="AC4999" s="12"/>
      <c r="AD4999" s="12" t="str">
        <f>IFERROR(__xludf.DUMMYFUNCTION("""COMPUTED_VALUE"""),"Sydelle Noel")</f>
        <v>Sydelle Noel</v>
      </c>
      <c r="AE4999" s="12"/>
    </row>
    <row r="5000" customHeight="1" spans="1:31">
      <c r="A5000" s="11" t="s">
        <v>30</v>
      </c>
      <c r="B5000" s="11" t="s">
        <v>23919</v>
      </c>
      <c r="C5000" s="11">
        <v>21</v>
      </c>
      <c r="D5000" s="11">
        <v>90</v>
      </c>
      <c r="E5000" s="11">
        <v>4</v>
      </c>
      <c r="F5000" s="11">
        <v>113</v>
      </c>
      <c r="G5000" s="11">
        <v>20000</v>
      </c>
      <c r="H5000" s="11">
        <v>277233</v>
      </c>
      <c r="I5000" s="11" t="s">
        <v>1681</v>
      </c>
      <c r="J5000" s="11" t="s">
        <v>20590</v>
      </c>
      <c r="K5000" s="11" t="s">
        <v>23920</v>
      </c>
      <c r="L5000" s="11" t="s">
        <v>23921</v>
      </c>
      <c r="M5000" s="11" t="s">
        <v>23922</v>
      </c>
      <c r="N5000" s="11">
        <v>2631</v>
      </c>
      <c r="O5000" s="11">
        <v>20814</v>
      </c>
      <c r="P5000" s="11">
        <v>5</v>
      </c>
      <c r="Q5000" s="11" t="s">
        <v>23923</v>
      </c>
      <c r="R5000" s="14" t="s">
        <v>23924</v>
      </c>
      <c r="S5000" s="11">
        <v>26</v>
      </c>
      <c r="T5000" s="11" t="s">
        <v>39</v>
      </c>
      <c r="U5000" s="11" t="s">
        <v>40</v>
      </c>
      <c r="V5000" s="11" t="s">
        <v>586</v>
      </c>
      <c r="W5000" s="11">
        <v>40000</v>
      </c>
      <c r="X5000" s="11">
        <v>1999</v>
      </c>
      <c r="Y5000" s="11">
        <v>467</v>
      </c>
      <c r="Z5000" s="11">
        <v>7.6</v>
      </c>
      <c r="AA5000" s="11">
        <v>1.85</v>
      </c>
      <c r="AB5000" s="11">
        <v>0</v>
      </c>
      <c r="AC5000" s="11"/>
      <c r="AD5000" s="11" t="str">
        <f>IFERROR(__xludf.DUMMYFUNCTION("""COMPUTED_VALUE"""),"Tawny Kitaen")</f>
        <v>Tawny Kitaen</v>
      </c>
      <c r="AE5000" s="11"/>
    </row>
    <row r="5001" customHeight="1" spans="1:31">
      <c r="A5001" s="12" t="s">
        <v>30</v>
      </c>
      <c r="B5001" s="12" t="s">
        <v>23925</v>
      </c>
      <c r="C5001" s="12">
        <v>3</v>
      </c>
      <c r="D5001" s="12">
        <v>95</v>
      </c>
      <c r="E5001" s="12">
        <v>0</v>
      </c>
      <c r="F5001" s="12">
        <v>279</v>
      </c>
      <c r="G5001" s="12">
        <v>883</v>
      </c>
      <c r="H5001" s="16"/>
      <c r="I5001" s="12" t="s">
        <v>2684</v>
      </c>
      <c r="J5001" s="12" t="s">
        <v>4545</v>
      </c>
      <c r="K5001" s="12" t="s">
        <v>23926</v>
      </c>
      <c r="L5001" s="12" t="s">
        <v>23927</v>
      </c>
      <c r="M5001" s="12" t="s">
        <v>23928</v>
      </c>
      <c r="N5001" s="12">
        <v>34</v>
      </c>
      <c r="O5001" s="12">
        <v>2618</v>
      </c>
      <c r="P5001" s="12">
        <v>0</v>
      </c>
      <c r="Q5001" s="16"/>
      <c r="R5001" s="15" t="s">
        <v>23929</v>
      </c>
      <c r="S5001" s="12">
        <v>2</v>
      </c>
      <c r="T5001" s="12" t="s">
        <v>39</v>
      </c>
      <c r="U5001" s="12" t="s">
        <v>40</v>
      </c>
      <c r="V5001" s="16"/>
      <c r="W5001" s="12">
        <v>75000</v>
      </c>
      <c r="X5001" s="12">
        <v>2014</v>
      </c>
      <c r="Y5001" s="12">
        <v>507</v>
      </c>
      <c r="Z5001" s="12">
        <v>5</v>
      </c>
      <c r="AA5001" s="16"/>
      <c r="AB5001" s="12">
        <v>87</v>
      </c>
      <c r="AC5001" s="12"/>
      <c r="AD5001" s="12" t="str">
        <f>IFERROR(__xludf.DUMMYFUNCTION("""COMPUTED_VALUE"""),"Rose Marie")</f>
        <v>Rose Marie</v>
      </c>
      <c r="AE5001" s="12"/>
    </row>
    <row r="5002" customHeight="1" spans="1:31">
      <c r="A5002" s="11" t="s">
        <v>30</v>
      </c>
      <c r="B5002" s="11" t="s">
        <v>23930</v>
      </c>
      <c r="C5002" s="11">
        <v>2</v>
      </c>
      <c r="D5002" s="11">
        <v>83</v>
      </c>
      <c r="E5002" s="11">
        <v>138</v>
      </c>
      <c r="F5002" s="11">
        <v>76</v>
      </c>
      <c r="G5002" s="11">
        <v>307</v>
      </c>
      <c r="H5002" s="13"/>
      <c r="I5002" s="11" t="s">
        <v>6403</v>
      </c>
      <c r="J5002" s="11" t="s">
        <v>23732</v>
      </c>
      <c r="K5002" s="11" t="s">
        <v>23931</v>
      </c>
      <c r="L5002" s="11" t="s">
        <v>23932</v>
      </c>
      <c r="M5002" s="11" t="s">
        <v>23933</v>
      </c>
      <c r="N5002" s="11">
        <v>192</v>
      </c>
      <c r="O5002" s="11">
        <v>619</v>
      </c>
      <c r="P5002" s="11">
        <v>0</v>
      </c>
      <c r="Q5002" s="11" t="s">
        <v>23934</v>
      </c>
      <c r="R5002" s="14" t="s">
        <v>23935</v>
      </c>
      <c r="S5002" s="11">
        <v>6</v>
      </c>
      <c r="T5002" s="11" t="s">
        <v>39</v>
      </c>
      <c r="U5002" s="11" t="s">
        <v>40</v>
      </c>
      <c r="V5002" s="11" t="s">
        <v>5614</v>
      </c>
      <c r="W5002" s="11">
        <v>40000</v>
      </c>
      <c r="X5002" s="11">
        <v>2011</v>
      </c>
      <c r="Y5002" s="11">
        <v>114</v>
      </c>
      <c r="Z5002" s="11">
        <v>3.2</v>
      </c>
      <c r="AA5002" s="11">
        <v>2.35</v>
      </c>
      <c r="AB5002" s="11">
        <v>239</v>
      </c>
      <c r="AC5002" s="11"/>
      <c r="AD5002" s="11" t="str">
        <f>IFERROR(__xludf.DUMMYFUNCTION("""COMPUTED_VALUE"""),"Sook-Yin Lee")</f>
        <v>Sook-Yin Lee</v>
      </c>
      <c r="AE5002" s="11"/>
    </row>
    <row r="5003" customHeight="1" spans="1:31">
      <c r="A5003" s="12" t="s">
        <v>30</v>
      </c>
      <c r="B5003" s="12" t="s">
        <v>488</v>
      </c>
      <c r="C5003" s="12">
        <v>71</v>
      </c>
      <c r="D5003" s="12">
        <v>117</v>
      </c>
      <c r="E5003" s="12">
        <v>17000</v>
      </c>
      <c r="F5003" s="12">
        <v>476</v>
      </c>
      <c r="G5003" s="12">
        <v>725</v>
      </c>
      <c r="H5003" s="12">
        <v>321952</v>
      </c>
      <c r="I5003" s="12" t="s">
        <v>4068</v>
      </c>
      <c r="J5003" s="12" t="s">
        <v>22455</v>
      </c>
      <c r="K5003" s="12" t="s">
        <v>12711</v>
      </c>
      <c r="L5003" s="12" t="s">
        <v>18156</v>
      </c>
      <c r="M5003" s="12" t="s">
        <v>23936</v>
      </c>
      <c r="N5003" s="12">
        <v>12611</v>
      </c>
      <c r="O5003" s="12">
        <v>2783</v>
      </c>
      <c r="P5003" s="12">
        <v>0</v>
      </c>
      <c r="Q5003" s="12" t="s">
        <v>23937</v>
      </c>
      <c r="R5003" s="15" t="s">
        <v>23938</v>
      </c>
      <c r="S5003" s="12">
        <v>113</v>
      </c>
      <c r="T5003" s="12" t="s">
        <v>39</v>
      </c>
      <c r="U5003" s="12" t="s">
        <v>40</v>
      </c>
      <c r="V5003" s="12" t="s">
        <v>96</v>
      </c>
      <c r="W5003" s="16"/>
      <c r="X5003" s="12">
        <v>1978</v>
      </c>
      <c r="Y5003" s="12">
        <v>572</v>
      </c>
      <c r="Z5003" s="12">
        <v>8.2</v>
      </c>
      <c r="AA5003" s="12">
        <v>1.85</v>
      </c>
      <c r="AB5003" s="12">
        <v>0</v>
      </c>
      <c r="AC5003" s="12"/>
      <c r="AD5003" s="12" t="str">
        <f>IFERROR(__xludf.DUMMYFUNCTION("""COMPUTED_VALUE"""),"Peter Stickles")</f>
        <v>Peter Stickles</v>
      </c>
      <c r="AE5003" s="12"/>
    </row>
    <row r="5004" customHeight="1" spans="1:31">
      <c r="A5004" s="11" t="s">
        <v>30</v>
      </c>
      <c r="B5004" s="11" t="s">
        <v>23939</v>
      </c>
      <c r="C5004" s="11">
        <v>7</v>
      </c>
      <c r="D5004" s="11">
        <v>75</v>
      </c>
      <c r="E5004" s="11">
        <v>14</v>
      </c>
      <c r="F5004" s="11">
        <v>130</v>
      </c>
      <c r="G5004" s="11">
        <v>252</v>
      </c>
      <c r="H5004" s="13"/>
      <c r="I5004" s="11" t="s">
        <v>5544</v>
      </c>
      <c r="J5004" s="11" t="s">
        <v>23940</v>
      </c>
      <c r="K5004" s="11" t="s">
        <v>23941</v>
      </c>
      <c r="L5004" s="11" t="s">
        <v>23942</v>
      </c>
      <c r="M5004" s="11" t="s">
        <v>23943</v>
      </c>
      <c r="N5004" s="11">
        <v>106</v>
      </c>
      <c r="O5004" s="11">
        <v>638</v>
      </c>
      <c r="P5004" s="11">
        <v>0</v>
      </c>
      <c r="Q5004" s="13"/>
      <c r="R5004" s="14" t="s">
        <v>23944</v>
      </c>
      <c r="S5004" s="11">
        <v>5</v>
      </c>
      <c r="T5004" s="11" t="s">
        <v>39</v>
      </c>
      <c r="U5004" s="11" t="s">
        <v>40</v>
      </c>
      <c r="V5004" s="13"/>
      <c r="W5004" s="11">
        <v>50000</v>
      </c>
      <c r="X5004" s="11">
        <v>2012</v>
      </c>
      <c r="Y5004" s="11">
        <v>132</v>
      </c>
      <c r="Z5004" s="11">
        <v>3.7</v>
      </c>
      <c r="AA5004" s="11">
        <v>2.35</v>
      </c>
      <c r="AB5004" s="11">
        <v>225</v>
      </c>
      <c r="AC5004" s="11"/>
      <c r="AD5004" s="11" t="str">
        <f>IFERROR(__xludf.DUMMYFUNCTION("""COMPUTED_VALUE"""),"Raphael Barker")</f>
        <v>Raphael Barker</v>
      </c>
      <c r="AE5004" s="11"/>
    </row>
    <row r="5005" customHeight="1" spans="1:31">
      <c r="A5005" s="12" t="s">
        <v>30</v>
      </c>
      <c r="B5005" s="12" t="s">
        <v>23945</v>
      </c>
      <c r="C5005" s="12">
        <v>61</v>
      </c>
      <c r="D5005" s="12">
        <v>79</v>
      </c>
      <c r="E5005" s="12">
        <v>2</v>
      </c>
      <c r="F5005" s="12">
        <v>20</v>
      </c>
      <c r="G5005" s="12">
        <v>962</v>
      </c>
      <c r="H5005" s="12">
        <v>24705</v>
      </c>
      <c r="I5005" s="12" t="s">
        <v>3410</v>
      </c>
      <c r="J5005" s="12" t="s">
        <v>2379</v>
      </c>
      <c r="K5005" s="12" t="s">
        <v>8374</v>
      </c>
      <c r="L5005" s="12" t="s">
        <v>23946</v>
      </c>
      <c r="M5005" s="12" t="s">
        <v>23947</v>
      </c>
      <c r="N5005" s="12">
        <v>1516</v>
      </c>
      <c r="O5005" s="12">
        <v>1054</v>
      </c>
      <c r="P5005" s="12">
        <v>0</v>
      </c>
      <c r="Q5005" s="12" t="s">
        <v>23948</v>
      </c>
      <c r="R5005" s="15" t="s">
        <v>23949</v>
      </c>
      <c r="S5005" s="12">
        <v>10</v>
      </c>
      <c r="T5005" s="12" t="s">
        <v>39</v>
      </c>
      <c r="U5005" s="12" t="s">
        <v>40</v>
      </c>
      <c r="V5005" s="12" t="s">
        <v>5614</v>
      </c>
      <c r="W5005" s="16"/>
      <c r="X5005" s="12">
        <v>2009</v>
      </c>
      <c r="Y5005" s="12">
        <v>72</v>
      </c>
      <c r="Z5005" s="12">
        <v>6.3</v>
      </c>
      <c r="AA5005" s="16"/>
      <c r="AB5005" s="12">
        <v>377</v>
      </c>
      <c r="AC5005" s="12"/>
      <c r="AD5005" s="12" t="str">
        <f>IFERROR(__xludf.DUMMYFUNCTION("""COMPUTED_VALUE"""),"Ari Folman")</f>
        <v>Ari Folman</v>
      </c>
      <c r="AE5005" s="12"/>
    </row>
    <row r="5006" customHeight="1" spans="1:31">
      <c r="A5006" s="11" t="s">
        <v>30</v>
      </c>
      <c r="B5006" s="11" t="s">
        <v>23950</v>
      </c>
      <c r="C5006" s="11">
        <v>3</v>
      </c>
      <c r="D5006" s="11">
        <v>78</v>
      </c>
      <c r="E5006" s="11">
        <v>6</v>
      </c>
      <c r="F5006" s="11">
        <v>17</v>
      </c>
      <c r="G5006" s="11">
        <v>32</v>
      </c>
      <c r="H5006" s="11">
        <v>243768</v>
      </c>
      <c r="I5006" s="11" t="s">
        <v>15011</v>
      </c>
      <c r="J5006" s="11" t="s">
        <v>23951</v>
      </c>
      <c r="K5006" s="11" t="s">
        <v>23952</v>
      </c>
      <c r="L5006" s="11" t="s">
        <v>23953</v>
      </c>
      <c r="M5006" s="11" t="s">
        <v>23954</v>
      </c>
      <c r="N5006" s="11">
        <v>143</v>
      </c>
      <c r="O5006" s="11">
        <v>72</v>
      </c>
      <c r="P5006" s="11">
        <v>0</v>
      </c>
      <c r="Q5006" s="13"/>
      <c r="R5006" s="14" t="s">
        <v>23955</v>
      </c>
      <c r="S5006" s="11">
        <v>9</v>
      </c>
      <c r="T5006" s="11" t="s">
        <v>39</v>
      </c>
      <c r="U5006" s="11" t="s">
        <v>40</v>
      </c>
      <c r="V5006" s="11" t="s">
        <v>586</v>
      </c>
      <c r="W5006" s="11">
        <v>30000</v>
      </c>
      <c r="X5006" s="11">
        <v>2007</v>
      </c>
      <c r="Y5006" s="11">
        <v>17</v>
      </c>
      <c r="Z5006" s="11">
        <v>4.1</v>
      </c>
      <c r="AA5006" s="11">
        <v>2.35</v>
      </c>
      <c r="AB5006" s="11">
        <v>13</v>
      </c>
      <c r="AC5006" s="11"/>
      <c r="AD5006" s="11" t="str">
        <f>IFERROR(__xludf.DUMMYFUNCTION("""COMPUTED_VALUE"""),"Ronny Dayag")</f>
        <v>Ronny Dayag</v>
      </c>
      <c r="AE5006" s="11"/>
    </row>
    <row r="5007" customHeight="1" spans="1:31">
      <c r="A5007" s="12" t="s">
        <v>748</v>
      </c>
      <c r="B5007" s="12" t="s">
        <v>23956</v>
      </c>
      <c r="C5007" s="12">
        <v>52</v>
      </c>
      <c r="D5007" s="12">
        <v>109</v>
      </c>
      <c r="E5007" s="12">
        <v>26</v>
      </c>
      <c r="F5007" s="12">
        <v>3</v>
      </c>
      <c r="G5007" s="12">
        <v>26</v>
      </c>
      <c r="H5007" s="16"/>
      <c r="I5007" s="12" t="s">
        <v>1672</v>
      </c>
      <c r="J5007" s="12" t="s">
        <v>23956</v>
      </c>
      <c r="K5007" s="12" t="s">
        <v>23957</v>
      </c>
      <c r="L5007" s="12" t="s">
        <v>23958</v>
      </c>
      <c r="M5007" s="12" t="s">
        <v>23959</v>
      </c>
      <c r="N5007" s="12">
        <v>1578</v>
      </c>
      <c r="O5007" s="12">
        <v>38</v>
      </c>
      <c r="P5007" s="12">
        <v>0</v>
      </c>
      <c r="Q5007" s="12" t="s">
        <v>23960</v>
      </c>
      <c r="R5007" s="15" t="s">
        <v>23961</v>
      </c>
      <c r="S5007" s="12">
        <v>23</v>
      </c>
      <c r="T5007" s="12" t="s">
        <v>39</v>
      </c>
      <c r="U5007" s="12" t="s">
        <v>40</v>
      </c>
      <c r="V5007" s="12" t="s">
        <v>586</v>
      </c>
      <c r="W5007" s="16"/>
      <c r="X5007" s="12">
        <v>2005</v>
      </c>
      <c r="Y5007" s="12">
        <v>6</v>
      </c>
      <c r="Z5007" s="12">
        <v>6.9</v>
      </c>
      <c r="AA5007" s="12">
        <v>1.66</v>
      </c>
      <c r="AB5007" s="12">
        <v>91</v>
      </c>
      <c r="AC5007" s="12"/>
      <c r="AD5007" s="12" t="str">
        <f>IFERROR(__xludf.DUMMYFUNCTION("""COMPUTED_VALUE"""),"Zahava Solomon")</f>
        <v>Zahava Solomon</v>
      </c>
      <c r="AE5007" s="12"/>
    </row>
    <row r="5008" customHeight="1" spans="1:31">
      <c r="A5008" s="11" t="s">
        <v>30</v>
      </c>
      <c r="B5008" s="11" t="s">
        <v>23962</v>
      </c>
      <c r="C5008" s="13"/>
      <c r="D5008" s="11">
        <v>89</v>
      </c>
      <c r="E5008" s="11">
        <v>2</v>
      </c>
      <c r="F5008" s="11">
        <v>0</v>
      </c>
      <c r="G5008" s="11">
        <v>5</v>
      </c>
      <c r="H5008" s="13"/>
      <c r="I5008" s="11" t="s">
        <v>6403</v>
      </c>
      <c r="J5008" s="11" t="s">
        <v>23963</v>
      </c>
      <c r="K5008" s="11" t="s">
        <v>23964</v>
      </c>
      <c r="L5008" s="11" t="s">
        <v>23965</v>
      </c>
      <c r="M5008" s="11" t="s">
        <v>23966</v>
      </c>
      <c r="N5008" s="11">
        <v>23</v>
      </c>
      <c r="O5008" s="11">
        <v>5</v>
      </c>
      <c r="P5008" s="11">
        <v>0</v>
      </c>
      <c r="Q5008" s="11" t="s">
        <v>23967</v>
      </c>
      <c r="R5008" s="14" t="s">
        <v>23968</v>
      </c>
      <c r="S5008" s="11">
        <v>2</v>
      </c>
      <c r="T5008" s="11" t="s">
        <v>39</v>
      </c>
      <c r="U5008" s="11" t="s">
        <v>40</v>
      </c>
      <c r="V5008" s="11" t="s">
        <v>4831</v>
      </c>
      <c r="W5008" s="11">
        <v>60000</v>
      </c>
      <c r="X5008" s="11">
        <v>2013</v>
      </c>
      <c r="Y5008" s="11">
        <v>0</v>
      </c>
      <c r="Z5008" s="11">
        <v>5.4</v>
      </c>
      <c r="AA5008" s="13"/>
      <c r="AB5008" s="11">
        <v>48</v>
      </c>
      <c r="AC5008" s="11"/>
      <c r="AD5008" s="11" t="str">
        <f>IFERROR(__xludf.DUMMYFUNCTION("""COMPUTED_VALUE"""),"Noah Danby")</f>
        <v>Noah Danby</v>
      </c>
      <c r="AE5008" s="11"/>
    </row>
    <row r="5009" customHeight="1" spans="1:31">
      <c r="A5009" s="12" t="s">
        <v>30</v>
      </c>
      <c r="B5009" s="12" t="s">
        <v>22252</v>
      </c>
      <c r="C5009" s="12">
        <v>53</v>
      </c>
      <c r="D5009" s="12">
        <v>93</v>
      </c>
      <c r="E5009" s="12">
        <v>214</v>
      </c>
      <c r="F5009" s="12">
        <v>59</v>
      </c>
      <c r="G5009" s="12">
        <v>177</v>
      </c>
      <c r="H5009" s="12">
        <v>9609</v>
      </c>
      <c r="I5009" s="12" t="s">
        <v>9194</v>
      </c>
      <c r="J5009" s="12" t="s">
        <v>3845</v>
      </c>
      <c r="K5009" s="12" t="s">
        <v>23969</v>
      </c>
      <c r="L5009" s="12" t="s">
        <v>23970</v>
      </c>
      <c r="M5009" s="12" t="s">
        <v>23971</v>
      </c>
      <c r="N5009" s="12">
        <v>2646</v>
      </c>
      <c r="O5009" s="12">
        <v>365</v>
      </c>
      <c r="P5009" s="12">
        <v>4</v>
      </c>
      <c r="Q5009" s="12" t="s">
        <v>23972</v>
      </c>
      <c r="R5009" s="15" t="s">
        <v>23973</v>
      </c>
      <c r="S5009" s="12">
        <v>22</v>
      </c>
      <c r="T5009" s="12" t="s">
        <v>39</v>
      </c>
      <c r="U5009" s="12" t="s">
        <v>58</v>
      </c>
      <c r="V5009" s="12" t="s">
        <v>586</v>
      </c>
      <c r="W5009" s="16"/>
      <c r="X5009" s="12">
        <v>2009</v>
      </c>
      <c r="Y5009" s="12">
        <v>95</v>
      </c>
      <c r="Z5009" s="12">
        <v>6.5</v>
      </c>
      <c r="AA5009" s="16"/>
      <c r="AB5009" s="12">
        <v>535</v>
      </c>
      <c r="AC5009" s="12"/>
      <c r="AD5009" s="12" t="str">
        <f>IFERROR(__xludf.DUMMYFUNCTION("""COMPUTED_VALUE"""),"Kirby Heyborne")</f>
        <v>Kirby Heyborne</v>
      </c>
      <c r="AE5009" s="12"/>
    </row>
    <row r="5010" customHeight="1" spans="1:31">
      <c r="A5010" s="11" t="s">
        <v>748</v>
      </c>
      <c r="B5010" s="11" t="s">
        <v>7135</v>
      </c>
      <c r="C5010" s="11">
        <v>136</v>
      </c>
      <c r="D5010" s="11">
        <v>102</v>
      </c>
      <c r="E5010" s="11">
        <v>0</v>
      </c>
      <c r="F5010" s="11">
        <v>216</v>
      </c>
      <c r="G5010" s="11">
        <v>898</v>
      </c>
      <c r="H5010" s="11">
        <v>3151130</v>
      </c>
      <c r="I5010" s="11" t="s">
        <v>1672</v>
      </c>
      <c r="J5010" s="11" t="s">
        <v>10432</v>
      </c>
      <c r="K5010" s="11" t="s">
        <v>17619</v>
      </c>
      <c r="L5010" s="11" t="s">
        <v>10118</v>
      </c>
      <c r="M5010" s="11" t="s">
        <v>23974</v>
      </c>
      <c r="N5010" s="11">
        <v>181749</v>
      </c>
      <c r="O5010" s="11">
        <v>2103</v>
      </c>
      <c r="P5010" s="11">
        <v>4</v>
      </c>
      <c r="Q5010" s="11" t="s">
        <v>23975</v>
      </c>
      <c r="R5010" s="14" t="s">
        <v>23976</v>
      </c>
      <c r="S5010" s="11">
        <v>615</v>
      </c>
      <c r="T5010" s="11" t="s">
        <v>39</v>
      </c>
      <c r="U5010" s="11" t="s">
        <v>40</v>
      </c>
      <c r="V5010" s="11" t="s">
        <v>586</v>
      </c>
      <c r="W5010" s="11">
        <v>230000</v>
      </c>
      <c r="X5010" s="11">
        <v>1994</v>
      </c>
      <c r="Y5010" s="11">
        <v>657</v>
      </c>
      <c r="Z5010" s="11">
        <v>7.8</v>
      </c>
      <c r="AA5010" s="11">
        <v>1.37</v>
      </c>
      <c r="AB5010" s="11">
        <v>0</v>
      </c>
      <c r="AC5010" s="11"/>
      <c r="AD5010" s="11" t="str">
        <f>IFERROR(__xludf.DUMMYFUNCTION("""COMPUTED_VALUE"""),"Bruce Newbold")</f>
        <v>Bruce Newbold</v>
      </c>
      <c r="AE5010" s="11"/>
    </row>
    <row r="5011" customHeight="1" spans="1:31">
      <c r="A5011" s="12" t="s">
        <v>30</v>
      </c>
      <c r="B5011" s="12" t="s">
        <v>23977</v>
      </c>
      <c r="C5011" s="12">
        <v>8</v>
      </c>
      <c r="D5011" s="12">
        <v>65</v>
      </c>
      <c r="E5011" s="12">
        <v>0</v>
      </c>
      <c r="F5011" s="16"/>
      <c r="G5011" s="12">
        <v>0</v>
      </c>
      <c r="H5011" s="12">
        <v>8231</v>
      </c>
      <c r="I5011" s="12" t="s">
        <v>5324</v>
      </c>
      <c r="J5011" s="12" t="s">
        <v>23978</v>
      </c>
      <c r="K5011" s="12" t="s">
        <v>23979</v>
      </c>
      <c r="L5011" s="16"/>
      <c r="M5011" s="12" t="s">
        <v>23980</v>
      </c>
      <c r="N5011" s="12">
        <v>803</v>
      </c>
      <c r="O5011" s="12">
        <v>0</v>
      </c>
      <c r="P5011" s="12">
        <v>1</v>
      </c>
      <c r="Q5011" s="12" t="s">
        <v>23981</v>
      </c>
      <c r="R5011" s="15" t="s">
        <v>23982</v>
      </c>
      <c r="S5011" s="12">
        <v>16</v>
      </c>
      <c r="T5011" s="12" t="s">
        <v>39</v>
      </c>
      <c r="U5011" s="12" t="s">
        <v>40</v>
      </c>
      <c r="V5011" s="12" t="s">
        <v>4831</v>
      </c>
      <c r="W5011" s="12">
        <v>27000</v>
      </c>
      <c r="X5011" s="12">
        <v>1971</v>
      </c>
      <c r="Y5011" s="12">
        <v>0</v>
      </c>
      <c r="Z5011" s="12">
        <v>6.7</v>
      </c>
      <c r="AA5011" s="12">
        <v>1.37</v>
      </c>
      <c r="AB5011" s="12">
        <v>85</v>
      </c>
      <c r="AC5011" s="12"/>
      <c r="AD5011" s="12" t="str">
        <f>IFERROR(__xludf.DUMMYFUNCTION("""COMPUTED_VALUE"""),"Dick Cheney")</f>
        <v>Dick Cheney</v>
      </c>
      <c r="AE5011" s="12"/>
    </row>
    <row r="5012" customHeight="1" spans="1:31">
      <c r="A5012" s="11" t="s">
        <v>30</v>
      </c>
      <c r="B5012" s="11" t="s">
        <v>23956</v>
      </c>
      <c r="C5012" s="11">
        <v>43</v>
      </c>
      <c r="D5012" s="11">
        <v>85</v>
      </c>
      <c r="E5012" s="11">
        <v>26</v>
      </c>
      <c r="F5012" s="11">
        <v>3</v>
      </c>
      <c r="G5012" s="11">
        <v>26</v>
      </c>
      <c r="H5012" s="13"/>
      <c r="I5012" s="11" t="s">
        <v>2528</v>
      </c>
      <c r="J5012" s="11" t="s">
        <v>23956</v>
      </c>
      <c r="K5012" s="11" t="s">
        <v>23957</v>
      </c>
      <c r="L5012" s="11" t="s">
        <v>23958</v>
      </c>
      <c r="M5012" s="11" t="s">
        <v>23983</v>
      </c>
      <c r="N5012" s="11">
        <v>1894</v>
      </c>
      <c r="O5012" s="11">
        <v>40</v>
      </c>
      <c r="P5012" s="11">
        <v>1</v>
      </c>
      <c r="Q5012" s="11" t="s">
        <v>23984</v>
      </c>
      <c r="R5012" s="14" t="s">
        <v>23985</v>
      </c>
      <c r="S5012" s="11">
        <v>61</v>
      </c>
      <c r="T5012" s="11" t="s">
        <v>39</v>
      </c>
      <c r="U5012" s="11" t="s">
        <v>40</v>
      </c>
      <c r="V5012" s="13"/>
      <c r="W5012" s="13"/>
      <c r="X5012" s="11">
        <v>2002</v>
      </c>
      <c r="Y5012" s="11">
        <v>6</v>
      </c>
      <c r="Z5012" s="11">
        <v>6.4</v>
      </c>
      <c r="AA5012" s="11">
        <v>1.37</v>
      </c>
      <c r="AB5012" s="11">
        <v>108</v>
      </c>
      <c r="AC5012" s="11"/>
      <c r="AD5012" s="11" t="str">
        <f>IFERROR(__xludf.DUMMYFUNCTION("""COMPUTED_VALUE"""),"Donald Rumsfeld")</f>
        <v>Donald Rumsfeld</v>
      </c>
      <c r="AE5012" s="11"/>
    </row>
    <row r="5013" customHeight="1" spans="1:31">
      <c r="A5013" s="12" t="s">
        <v>30</v>
      </c>
      <c r="B5013" s="12" t="s">
        <v>10123</v>
      </c>
      <c r="C5013" s="12">
        <v>80</v>
      </c>
      <c r="D5013" s="12">
        <v>97</v>
      </c>
      <c r="E5013" s="12">
        <v>119</v>
      </c>
      <c r="F5013" s="12">
        <v>7</v>
      </c>
      <c r="G5013" s="12">
        <v>136</v>
      </c>
      <c r="H5013" s="12">
        <v>2856622</v>
      </c>
      <c r="I5013" s="12" t="s">
        <v>2528</v>
      </c>
      <c r="J5013" s="12" t="s">
        <v>23986</v>
      </c>
      <c r="K5013" s="12" t="s">
        <v>5776</v>
      </c>
      <c r="L5013" s="12" t="s">
        <v>23987</v>
      </c>
      <c r="M5013" s="12" t="s">
        <v>23988</v>
      </c>
      <c r="N5013" s="12">
        <v>11550</v>
      </c>
      <c r="O5013" s="12">
        <v>254</v>
      </c>
      <c r="P5013" s="12">
        <v>0</v>
      </c>
      <c r="Q5013" s="12" t="s">
        <v>23989</v>
      </c>
      <c r="R5013" s="15" t="s">
        <v>23990</v>
      </c>
      <c r="S5013" s="12">
        <v>197</v>
      </c>
      <c r="T5013" s="12" t="s">
        <v>39</v>
      </c>
      <c r="U5013" s="12" t="s">
        <v>269</v>
      </c>
      <c r="V5013" s="12" t="s">
        <v>586</v>
      </c>
      <c r="W5013" s="12">
        <v>25000</v>
      </c>
      <c r="X5013" s="12">
        <v>1997</v>
      </c>
      <c r="Y5013" s="12">
        <v>108</v>
      </c>
      <c r="Z5013" s="12">
        <v>7.3</v>
      </c>
      <c r="AA5013" s="12">
        <v>1.85</v>
      </c>
      <c r="AB5013" s="12">
        <v>489</v>
      </c>
      <c r="AC5013" s="12"/>
      <c r="AD5013" s="12" t="str">
        <f>IFERROR(__xludf.DUMMYFUNCTION("""COMPUTED_VALUE"""),"Austin Lyon")</f>
        <v>Austin Lyon</v>
      </c>
      <c r="AE5013" s="12"/>
    </row>
    <row r="5014" customHeight="1" spans="1:31">
      <c r="A5014" s="11" t="s">
        <v>30</v>
      </c>
      <c r="B5014" s="11" t="s">
        <v>508</v>
      </c>
      <c r="C5014" s="11">
        <v>233</v>
      </c>
      <c r="D5014" s="11">
        <v>109</v>
      </c>
      <c r="E5014" s="11">
        <v>453</v>
      </c>
      <c r="F5014" s="11">
        <v>120</v>
      </c>
      <c r="G5014" s="11">
        <v>1000</v>
      </c>
      <c r="H5014" s="11">
        <v>10499968</v>
      </c>
      <c r="I5014" s="11" t="s">
        <v>464</v>
      </c>
      <c r="J5014" s="11" t="s">
        <v>344</v>
      </c>
      <c r="K5014" s="11" t="s">
        <v>4249</v>
      </c>
      <c r="L5014" s="11" t="s">
        <v>7666</v>
      </c>
      <c r="M5014" s="11" t="s">
        <v>7667</v>
      </c>
      <c r="N5014" s="11">
        <v>47502</v>
      </c>
      <c r="O5014" s="11">
        <v>1458</v>
      </c>
      <c r="P5014" s="11">
        <v>3</v>
      </c>
      <c r="Q5014" s="11" t="s">
        <v>7668</v>
      </c>
      <c r="R5014" s="14" t="s">
        <v>7669</v>
      </c>
      <c r="S5014" s="11">
        <v>212</v>
      </c>
      <c r="T5014" s="11" t="s">
        <v>39</v>
      </c>
      <c r="U5014" s="11" t="s">
        <v>40</v>
      </c>
      <c r="V5014" s="11" t="s">
        <v>586</v>
      </c>
      <c r="W5014" s="11">
        <v>35000000</v>
      </c>
      <c r="X5014" s="11">
        <v>2014</v>
      </c>
      <c r="Y5014" s="11">
        <v>206</v>
      </c>
      <c r="Z5014" s="11">
        <v>5.7</v>
      </c>
      <c r="AA5014" s="11">
        <v>1.85</v>
      </c>
      <c r="AB5014" s="11">
        <v>10000</v>
      </c>
      <c r="AC5014" s="11"/>
      <c r="AD5014" s="11" t="str">
        <f>IFERROR(__xludf.DUMMYFUNCTION("""COMPUTED_VALUE"""),"Debrah Farentino")</f>
        <v>Debrah Farentino</v>
      </c>
      <c r="AE5014" s="11"/>
    </row>
    <row r="5015" customHeight="1" spans="1:31">
      <c r="A5015" s="12" t="s">
        <v>30</v>
      </c>
      <c r="B5015" s="12" t="s">
        <v>23991</v>
      </c>
      <c r="C5015" s="12">
        <v>28</v>
      </c>
      <c r="D5015" s="12">
        <v>79</v>
      </c>
      <c r="E5015" s="12">
        <v>3</v>
      </c>
      <c r="F5015" s="12">
        <v>42</v>
      </c>
      <c r="G5015" s="12">
        <v>93</v>
      </c>
      <c r="H5015" s="16"/>
      <c r="I5015" s="12" t="s">
        <v>7144</v>
      </c>
      <c r="J5015" s="12" t="s">
        <v>17433</v>
      </c>
      <c r="K5015" s="12" t="s">
        <v>23992</v>
      </c>
      <c r="L5015" s="12" t="s">
        <v>23993</v>
      </c>
      <c r="M5015" s="12" t="s">
        <v>23994</v>
      </c>
      <c r="N5015" s="12">
        <v>493</v>
      </c>
      <c r="O5015" s="12">
        <v>243</v>
      </c>
      <c r="P5015" s="12">
        <v>0</v>
      </c>
      <c r="Q5015" s="12" t="s">
        <v>23995</v>
      </c>
      <c r="R5015" s="15" t="s">
        <v>23996</v>
      </c>
      <c r="S5015" s="12">
        <v>21</v>
      </c>
      <c r="T5015" s="12" t="s">
        <v>39</v>
      </c>
      <c r="U5015" s="12" t="s">
        <v>40</v>
      </c>
      <c r="V5015" s="16"/>
      <c r="W5015" s="12">
        <v>24000</v>
      </c>
      <c r="X5015" s="12">
        <v>2002</v>
      </c>
      <c r="Y5015" s="12">
        <v>46</v>
      </c>
      <c r="Z5015" s="12">
        <v>7</v>
      </c>
      <c r="AA5015" s="12">
        <v>1.78</v>
      </c>
      <c r="AB5015" s="12">
        <v>61</v>
      </c>
      <c r="AC5015" s="12"/>
      <c r="AD5015" s="12" t="str">
        <f>IFERROR(__xludf.DUMMYFUNCTION("""COMPUTED_VALUE"""),"John F. Kennedy")</f>
        <v>John F. Kennedy</v>
      </c>
      <c r="AE5015" s="12"/>
    </row>
    <row r="5016" customHeight="1" spans="1:31">
      <c r="A5016" s="11" t="s">
        <v>30</v>
      </c>
      <c r="B5016" s="11" t="s">
        <v>4409</v>
      </c>
      <c r="C5016" s="11">
        <v>58</v>
      </c>
      <c r="D5016" s="11">
        <v>80</v>
      </c>
      <c r="E5016" s="11">
        <v>892</v>
      </c>
      <c r="F5016" s="11">
        <v>492</v>
      </c>
      <c r="G5016" s="11">
        <v>986</v>
      </c>
      <c r="H5016" s="13"/>
      <c r="I5016" s="11" t="s">
        <v>334</v>
      </c>
      <c r="J5016" s="11" t="s">
        <v>1053</v>
      </c>
      <c r="K5016" s="11" t="s">
        <v>9426</v>
      </c>
      <c r="L5016" s="11" t="s">
        <v>9986</v>
      </c>
      <c r="M5016" s="11" t="s">
        <v>23997</v>
      </c>
      <c r="N5016" s="11">
        <v>15091</v>
      </c>
      <c r="O5016" s="11">
        <v>3197</v>
      </c>
      <c r="P5016" s="11">
        <v>0</v>
      </c>
      <c r="Q5016" s="11" t="s">
        <v>23998</v>
      </c>
      <c r="R5016" s="14" t="s">
        <v>23999</v>
      </c>
      <c r="S5016" s="11">
        <v>129</v>
      </c>
      <c r="T5016" s="11" t="s">
        <v>39</v>
      </c>
      <c r="U5016" s="11" t="s">
        <v>269</v>
      </c>
      <c r="V5016" s="11" t="s">
        <v>586</v>
      </c>
      <c r="W5016" s="13"/>
      <c r="X5016" s="11">
        <v>2009</v>
      </c>
      <c r="Y5016" s="11">
        <v>918</v>
      </c>
      <c r="Z5016" s="11">
        <v>6.3</v>
      </c>
      <c r="AA5016" s="11">
        <v>2.35</v>
      </c>
      <c r="AB5016" s="11">
        <v>0</v>
      </c>
      <c r="AC5016" s="11"/>
      <c r="AD5016" s="11" t="str">
        <f>IFERROR(__xludf.DUMMYFUNCTION("""COMPUTED_VALUE"""),"Buzz Aldrin")</f>
        <v>Buzz Aldrin</v>
      </c>
      <c r="AE5016" s="11"/>
    </row>
    <row r="5017" customHeight="1" spans="1:31">
      <c r="A5017" s="12" t="s">
        <v>748</v>
      </c>
      <c r="B5017" s="12" t="s">
        <v>9163</v>
      </c>
      <c r="C5017" s="12">
        <v>61</v>
      </c>
      <c r="D5017" s="12">
        <v>100</v>
      </c>
      <c r="E5017" s="12">
        <v>0</v>
      </c>
      <c r="F5017" s="12">
        <v>0</v>
      </c>
      <c r="G5017" s="12">
        <v>5</v>
      </c>
      <c r="H5017" s="12">
        <v>1227508</v>
      </c>
      <c r="I5017" s="12" t="s">
        <v>2528</v>
      </c>
      <c r="J5017" s="12" t="s">
        <v>24000</v>
      </c>
      <c r="K5017" s="12" t="s">
        <v>9163</v>
      </c>
      <c r="L5017" s="12" t="s">
        <v>24001</v>
      </c>
      <c r="M5017" s="12" t="s">
        <v>24002</v>
      </c>
      <c r="N5017" s="12">
        <v>15103</v>
      </c>
      <c r="O5017" s="12">
        <v>5</v>
      </c>
      <c r="P5017" s="12">
        <v>0</v>
      </c>
      <c r="Q5017" s="12" t="s">
        <v>24003</v>
      </c>
      <c r="R5017" s="15" t="s">
        <v>24004</v>
      </c>
      <c r="S5017" s="12">
        <v>80</v>
      </c>
      <c r="T5017" s="12" t="s">
        <v>39</v>
      </c>
      <c r="U5017" s="12" t="s">
        <v>40</v>
      </c>
      <c r="V5017" s="12" t="s">
        <v>586</v>
      </c>
      <c r="W5017" s="12">
        <v>23000</v>
      </c>
      <c r="X5017" s="12">
        <v>1991</v>
      </c>
      <c r="Y5017" s="12">
        <v>0</v>
      </c>
      <c r="Z5017" s="12">
        <v>7.1</v>
      </c>
      <c r="AA5017" s="12">
        <v>1.37</v>
      </c>
      <c r="AB5017" s="12">
        <v>2000</v>
      </c>
      <c r="AC5017" s="12"/>
      <c r="AD5017" s="12" t="str">
        <f>IFERROR(__xludf.DUMMYFUNCTION("""COMPUTED_VALUE"""),"Neil Armstrong")</f>
        <v>Neil Armstrong</v>
      </c>
      <c r="AE5017" s="12"/>
    </row>
    <row r="5018" customHeight="1" spans="1:31">
      <c r="A5018" s="11" t="s">
        <v>30</v>
      </c>
      <c r="B5018" s="11" t="s">
        <v>24005</v>
      </c>
      <c r="C5018" s="13"/>
      <c r="D5018" s="11">
        <v>90</v>
      </c>
      <c r="E5018" s="11">
        <v>0</v>
      </c>
      <c r="F5018" s="11">
        <v>9</v>
      </c>
      <c r="G5018" s="11">
        <v>313</v>
      </c>
      <c r="H5018" s="13"/>
      <c r="I5018" s="11" t="s">
        <v>2126</v>
      </c>
      <c r="J5018" s="11" t="s">
        <v>24006</v>
      </c>
      <c r="K5018" s="11" t="s">
        <v>24007</v>
      </c>
      <c r="L5018" s="11" t="s">
        <v>24008</v>
      </c>
      <c r="M5018" s="11" t="s">
        <v>24009</v>
      </c>
      <c r="N5018" s="11">
        <v>57</v>
      </c>
      <c r="O5018" s="11">
        <v>366</v>
      </c>
      <c r="P5018" s="11">
        <v>2</v>
      </c>
      <c r="Q5018" s="13"/>
      <c r="R5018" s="14" t="s">
        <v>24010</v>
      </c>
      <c r="S5018" s="11">
        <v>2</v>
      </c>
      <c r="T5018" s="11" t="s">
        <v>39</v>
      </c>
      <c r="U5018" s="11" t="s">
        <v>40</v>
      </c>
      <c r="V5018" s="13"/>
      <c r="W5018" s="11">
        <v>25000</v>
      </c>
      <c r="X5018" s="11">
        <v>2015</v>
      </c>
      <c r="Y5018" s="11">
        <v>25</v>
      </c>
      <c r="Z5018" s="11">
        <v>4.8</v>
      </c>
      <c r="AA5018" s="13"/>
      <c r="AB5018" s="11">
        <v>33</v>
      </c>
      <c r="AC5018" s="11"/>
      <c r="AD5018" s="11" t="str">
        <f>IFERROR(__xludf.DUMMYFUNCTION("""COMPUTED_VALUE"""),"Linda Lovelace")</f>
        <v>Linda Lovelace</v>
      </c>
      <c r="AE5018" s="11"/>
    </row>
    <row r="5019" customHeight="1" spans="1:31">
      <c r="A5019" s="12" t="s">
        <v>30</v>
      </c>
      <c r="B5019" s="12" t="s">
        <v>23930</v>
      </c>
      <c r="C5019" s="12">
        <v>1</v>
      </c>
      <c r="D5019" s="12">
        <v>90</v>
      </c>
      <c r="E5019" s="12">
        <v>138</v>
      </c>
      <c r="F5019" s="12">
        <v>138</v>
      </c>
      <c r="G5019" s="12">
        <v>370</v>
      </c>
      <c r="H5019" s="16"/>
      <c r="I5019" s="12" t="s">
        <v>1681</v>
      </c>
      <c r="J5019" s="12" t="s">
        <v>24011</v>
      </c>
      <c r="K5019" s="12" t="s">
        <v>24012</v>
      </c>
      <c r="L5019" s="12" t="s">
        <v>23930</v>
      </c>
      <c r="M5019" s="12" t="s">
        <v>24013</v>
      </c>
      <c r="N5019" s="12">
        <v>114</v>
      </c>
      <c r="O5019" s="12">
        <v>841</v>
      </c>
      <c r="P5019" s="12">
        <v>1</v>
      </c>
      <c r="Q5019" s="12" t="s">
        <v>24014</v>
      </c>
      <c r="R5019" s="15" t="s">
        <v>24015</v>
      </c>
      <c r="S5019" s="12">
        <v>3</v>
      </c>
      <c r="T5019" s="12" t="s">
        <v>39</v>
      </c>
      <c r="U5019" s="12" t="s">
        <v>40</v>
      </c>
      <c r="V5019" s="16"/>
      <c r="W5019" s="12">
        <v>22000</v>
      </c>
      <c r="X5019" s="12">
        <v>2013</v>
      </c>
      <c r="Y5019" s="12">
        <v>184</v>
      </c>
      <c r="Z5019" s="12">
        <v>3.3</v>
      </c>
      <c r="AA5019" s="12">
        <v>1.78</v>
      </c>
      <c r="AB5019" s="12">
        <v>200</v>
      </c>
      <c r="AC5019" s="12"/>
      <c r="AD5019" s="12" t="str">
        <f>IFERROR(__xludf.DUMMYFUNCTION("""COMPUTED_VALUE"""),"Manny Perez")</f>
        <v>Manny Perez</v>
      </c>
      <c r="AE5019" s="12"/>
    </row>
    <row r="5020" customHeight="1" spans="1:31">
      <c r="A5020" s="11" t="s">
        <v>30</v>
      </c>
      <c r="B5020" s="11" t="s">
        <v>18268</v>
      </c>
      <c r="C5020" s="11">
        <v>5</v>
      </c>
      <c r="D5020" s="11">
        <v>120</v>
      </c>
      <c r="E5020" s="11">
        <v>589</v>
      </c>
      <c r="F5020" s="11">
        <v>4</v>
      </c>
      <c r="G5020" s="11">
        <v>51</v>
      </c>
      <c r="H5020" s="13"/>
      <c r="I5020" s="11" t="s">
        <v>3410</v>
      </c>
      <c r="J5020" s="11" t="s">
        <v>23682</v>
      </c>
      <c r="K5020" s="11" t="s">
        <v>24016</v>
      </c>
      <c r="L5020" s="11" t="s">
        <v>24017</v>
      </c>
      <c r="M5020" s="11" t="s">
        <v>24018</v>
      </c>
      <c r="N5020" s="11">
        <v>2986</v>
      </c>
      <c r="O5020" s="11">
        <v>108</v>
      </c>
      <c r="P5020" s="11">
        <v>1</v>
      </c>
      <c r="Q5020" s="11" t="s">
        <v>24019</v>
      </c>
      <c r="R5020" s="14" t="s">
        <v>24020</v>
      </c>
      <c r="S5020" s="11">
        <v>49</v>
      </c>
      <c r="T5020" s="11" t="s">
        <v>39</v>
      </c>
      <c r="U5020" s="11" t="s">
        <v>40</v>
      </c>
      <c r="V5020" s="13"/>
      <c r="W5020" s="11">
        <v>20000</v>
      </c>
      <c r="X5020" s="11">
        <v>2003</v>
      </c>
      <c r="Y5020" s="11">
        <v>49</v>
      </c>
      <c r="Z5020" s="11">
        <v>6.9</v>
      </c>
      <c r="AA5020" s="11">
        <v>1.85</v>
      </c>
      <c r="AB5020" s="11">
        <v>725</v>
      </c>
      <c r="AC5020" s="11"/>
      <c r="AD5020" s="11" t="str">
        <f>IFERROR(__xludf.DUMMYFUNCTION("""COMPUTED_VALUE"""),"Matt Bennett")</f>
        <v>Matt Bennett</v>
      </c>
      <c r="AE5020" s="11"/>
    </row>
    <row r="5021" customHeight="1" spans="1:31">
      <c r="A5021" s="12" t="s">
        <v>30</v>
      </c>
      <c r="B5021" s="12" t="s">
        <v>24021</v>
      </c>
      <c r="C5021" s="12">
        <v>43</v>
      </c>
      <c r="D5021" s="12">
        <v>91</v>
      </c>
      <c r="E5021" s="12">
        <v>158</v>
      </c>
      <c r="F5021" s="12">
        <v>265</v>
      </c>
      <c r="G5021" s="12">
        <v>630</v>
      </c>
      <c r="H5021" s="16"/>
      <c r="I5021" s="12" t="s">
        <v>3030</v>
      </c>
      <c r="J5021" s="12" t="s">
        <v>24022</v>
      </c>
      <c r="K5021" s="12" t="s">
        <v>5375</v>
      </c>
      <c r="L5021" s="12" t="s">
        <v>24023</v>
      </c>
      <c r="M5021" s="12" t="s">
        <v>24024</v>
      </c>
      <c r="N5021" s="12">
        <v>3836</v>
      </c>
      <c r="O5021" s="12">
        <v>2679</v>
      </c>
      <c r="P5021" s="12">
        <v>0</v>
      </c>
      <c r="Q5021" s="12" t="s">
        <v>24025</v>
      </c>
      <c r="R5021" s="15" t="s">
        <v>24026</v>
      </c>
      <c r="S5021" s="12">
        <v>33</v>
      </c>
      <c r="T5021" s="12" t="s">
        <v>39</v>
      </c>
      <c r="U5021" s="12" t="s">
        <v>40</v>
      </c>
      <c r="V5021" s="12" t="s">
        <v>586</v>
      </c>
      <c r="W5021" s="16"/>
      <c r="X5021" s="12">
        <v>2015</v>
      </c>
      <c r="Y5021" s="12">
        <v>512</v>
      </c>
      <c r="Z5021" s="12">
        <v>4.6</v>
      </c>
      <c r="AA5021" s="12">
        <v>1.85</v>
      </c>
      <c r="AB5021" s="12">
        <v>0</v>
      </c>
      <c r="AC5021" s="12"/>
      <c r="AD5021" s="12" t="str">
        <f>IFERROR(__xludf.DUMMYFUNCTION("""COMPUTED_VALUE"""),"Krysta Rodriguez")</f>
        <v>Krysta Rodriguez</v>
      </c>
      <c r="AE5021" s="12"/>
    </row>
    <row r="5022" customHeight="1" spans="1:31">
      <c r="A5022" s="13"/>
      <c r="B5022" s="11" t="s">
        <v>24027</v>
      </c>
      <c r="C5022" s="13"/>
      <c r="D5022" s="11">
        <v>143</v>
      </c>
      <c r="E5022" s="11">
        <v>8</v>
      </c>
      <c r="F5022" s="11">
        <v>8</v>
      </c>
      <c r="G5022" s="11">
        <v>720</v>
      </c>
      <c r="H5022" s="13"/>
      <c r="I5022" s="11" t="s">
        <v>4384</v>
      </c>
      <c r="J5022" s="11" t="s">
        <v>24028</v>
      </c>
      <c r="K5022" s="11" t="s">
        <v>24029</v>
      </c>
      <c r="L5022" s="11" t="s">
        <v>24027</v>
      </c>
      <c r="M5022" s="11" t="s">
        <v>24030</v>
      </c>
      <c r="N5022" s="11">
        <v>125</v>
      </c>
      <c r="O5022" s="11">
        <v>770</v>
      </c>
      <c r="P5022" s="11">
        <v>0</v>
      </c>
      <c r="Q5022" s="11" t="s">
        <v>24031</v>
      </c>
      <c r="R5022" s="14" t="s">
        <v>24032</v>
      </c>
      <c r="S5022" s="11">
        <v>8</v>
      </c>
      <c r="T5022" s="11" t="s">
        <v>39</v>
      </c>
      <c r="U5022" s="11" t="s">
        <v>40</v>
      </c>
      <c r="V5022" s="13"/>
      <c r="W5022" s="11">
        <v>17350</v>
      </c>
      <c r="X5022" s="11">
        <v>2011</v>
      </c>
      <c r="Y5022" s="11">
        <v>19</v>
      </c>
      <c r="Z5022" s="11">
        <v>3</v>
      </c>
      <c r="AA5022" s="13"/>
      <c r="AB5022" s="11">
        <v>33</v>
      </c>
      <c r="AC5022" s="11"/>
      <c r="AD5022" s="11" t="str">
        <f>IFERROR(__xludf.DUMMYFUNCTION("""COMPUTED_VALUE"""),"Zack Pearlman")</f>
        <v>Zack Pearlman</v>
      </c>
      <c r="AE5022" s="11"/>
    </row>
    <row r="5023" customHeight="1" spans="1:31">
      <c r="A5023" s="12" t="s">
        <v>30</v>
      </c>
      <c r="B5023" s="12" t="s">
        <v>15176</v>
      </c>
      <c r="C5023" s="12">
        <v>51</v>
      </c>
      <c r="D5023" s="12">
        <v>85</v>
      </c>
      <c r="E5023" s="12">
        <v>157</v>
      </c>
      <c r="F5023" s="12">
        <v>10</v>
      </c>
      <c r="G5023" s="12">
        <v>830</v>
      </c>
      <c r="H5023" s="12">
        <v>192467</v>
      </c>
      <c r="I5023" s="12" t="s">
        <v>1415</v>
      </c>
      <c r="J5023" s="12" t="s">
        <v>10692</v>
      </c>
      <c r="K5023" s="12" t="s">
        <v>16640</v>
      </c>
      <c r="L5023" s="12" t="s">
        <v>24033</v>
      </c>
      <c r="M5023" s="12" t="s">
        <v>24034</v>
      </c>
      <c r="N5023" s="12">
        <v>4067</v>
      </c>
      <c r="O5023" s="12">
        <v>1064</v>
      </c>
      <c r="P5023" s="12">
        <v>0</v>
      </c>
      <c r="Q5023" s="12" t="s">
        <v>24035</v>
      </c>
      <c r="R5023" s="15" t="s">
        <v>24036</v>
      </c>
      <c r="S5023" s="12">
        <v>71</v>
      </c>
      <c r="T5023" s="12" t="s">
        <v>39</v>
      </c>
      <c r="U5023" s="12" t="s">
        <v>40</v>
      </c>
      <c r="V5023" s="12" t="s">
        <v>586</v>
      </c>
      <c r="W5023" s="12">
        <v>15000</v>
      </c>
      <c r="X5023" s="12">
        <v>2005</v>
      </c>
      <c r="Y5023" s="12">
        <v>224</v>
      </c>
      <c r="Z5023" s="12">
        <v>6.6</v>
      </c>
      <c r="AA5023" s="16"/>
      <c r="AB5023" s="12">
        <v>297</v>
      </c>
      <c r="AC5023" s="12"/>
      <c r="AD5023" s="12" t="str">
        <f>IFERROR(__xludf.DUMMYFUNCTION("""COMPUTED_VALUE"""),"Jean-Hugues Anglade")</f>
        <v>Jean-Hugues Anglade</v>
      </c>
      <c r="AE5023" s="12"/>
    </row>
    <row r="5024" customHeight="1" spans="1:31">
      <c r="A5024" s="11" t="s">
        <v>748</v>
      </c>
      <c r="B5024" s="11" t="s">
        <v>24037</v>
      </c>
      <c r="C5024" s="11">
        <v>6</v>
      </c>
      <c r="D5024" s="11">
        <v>60</v>
      </c>
      <c r="E5024" s="11">
        <v>0</v>
      </c>
      <c r="F5024" s="11">
        <v>4</v>
      </c>
      <c r="G5024" s="11">
        <v>147</v>
      </c>
      <c r="H5024" s="13"/>
      <c r="I5024" s="11" t="s">
        <v>3410</v>
      </c>
      <c r="J5024" s="11" t="s">
        <v>24038</v>
      </c>
      <c r="K5024" s="11" t="s">
        <v>24039</v>
      </c>
      <c r="L5024" s="11" t="s">
        <v>24040</v>
      </c>
      <c r="M5024" s="11" t="s">
        <v>24041</v>
      </c>
      <c r="N5024" s="11">
        <v>70</v>
      </c>
      <c r="O5024" s="11">
        <v>170</v>
      </c>
      <c r="P5024" s="11">
        <v>0</v>
      </c>
      <c r="Q5024" s="13"/>
      <c r="R5024" s="14" t="s">
        <v>24042</v>
      </c>
      <c r="S5024" s="11">
        <v>1</v>
      </c>
      <c r="T5024" s="11" t="s">
        <v>24043</v>
      </c>
      <c r="U5024" s="11" t="s">
        <v>24044</v>
      </c>
      <c r="V5024" s="13"/>
      <c r="W5024" s="11">
        <v>15000</v>
      </c>
      <c r="X5024" s="11">
        <v>2014</v>
      </c>
      <c r="Y5024" s="11">
        <v>19</v>
      </c>
      <c r="Z5024" s="11">
        <v>7.4</v>
      </c>
      <c r="AA5024" s="13"/>
      <c r="AB5024" s="11">
        <v>45</v>
      </c>
      <c r="AC5024" s="11"/>
      <c r="AD5024" s="11" t="str">
        <f>IFERROR(__xludf.DUMMYFUNCTION("""COMPUTED_VALUE"""),"Jess Weixler")</f>
        <v>Jess Weixler</v>
      </c>
      <c r="AE5024" s="11"/>
    </row>
    <row r="5025" customHeight="1" spans="1:31">
      <c r="A5025" s="12" t="s">
        <v>30</v>
      </c>
      <c r="B5025" s="12" t="s">
        <v>24045</v>
      </c>
      <c r="C5025" s="12">
        <v>22</v>
      </c>
      <c r="D5025" s="12">
        <v>88</v>
      </c>
      <c r="E5025" s="12">
        <v>38</v>
      </c>
      <c r="F5025" s="12">
        <v>211</v>
      </c>
      <c r="G5025" s="12">
        <v>331</v>
      </c>
      <c r="H5025" s="12">
        <v>76382</v>
      </c>
      <c r="I5025" s="12" t="s">
        <v>19710</v>
      </c>
      <c r="J5025" s="12" t="s">
        <v>24046</v>
      </c>
      <c r="K5025" s="12" t="s">
        <v>5713</v>
      </c>
      <c r="L5025" s="12" t="s">
        <v>6487</v>
      </c>
      <c r="M5025" s="12" t="s">
        <v>24047</v>
      </c>
      <c r="N5025" s="12">
        <v>1194</v>
      </c>
      <c r="O5025" s="12">
        <v>1546</v>
      </c>
      <c r="P5025" s="12">
        <v>2</v>
      </c>
      <c r="Q5025" s="16"/>
      <c r="R5025" s="15" t="s">
        <v>24048</v>
      </c>
      <c r="S5025" s="12">
        <v>8</v>
      </c>
      <c r="T5025" s="12" t="s">
        <v>39</v>
      </c>
      <c r="U5025" s="12" t="s">
        <v>40</v>
      </c>
      <c r="V5025" s="16"/>
      <c r="W5025" s="12">
        <v>15000</v>
      </c>
      <c r="X5025" s="12">
        <v>2009</v>
      </c>
      <c r="Y5025" s="12">
        <v>212</v>
      </c>
      <c r="Z5025" s="12">
        <v>6.2</v>
      </c>
      <c r="AA5025" s="12">
        <v>2.35</v>
      </c>
      <c r="AB5025" s="12">
        <v>324</v>
      </c>
      <c r="AC5025" s="12"/>
      <c r="AD5025" s="12" t="str">
        <f>IFERROR(__xludf.DUMMYFUNCTION("""COMPUTED_VALUE"""),"Nathan Parsons")</f>
        <v>Nathan Parsons</v>
      </c>
      <c r="AE5025" s="12"/>
    </row>
    <row r="5026" customHeight="1" spans="1:31">
      <c r="A5026" s="11" t="s">
        <v>30</v>
      </c>
      <c r="B5026" s="11" t="s">
        <v>24049</v>
      </c>
      <c r="C5026" s="11">
        <v>42</v>
      </c>
      <c r="D5026" s="11">
        <v>78</v>
      </c>
      <c r="E5026" s="11">
        <v>91</v>
      </c>
      <c r="F5026" s="11">
        <v>86</v>
      </c>
      <c r="G5026" s="11">
        <v>407</v>
      </c>
      <c r="H5026" s="13"/>
      <c r="I5026" s="11" t="s">
        <v>2954</v>
      </c>
      <c r="J5026" s="11" t="s">
        <v>23811</v>
      </c>
      <c r="K5026" s="11" t="s">
        <v>24049</v>
      </c>
      <c r="L5026" s="11" t="s">
        <v>24050</v>
      </c>
      <c r="M5026" s="11" t="s">
        <v>24051</v>
      </c>
      <c r="N5026" s="11">
        <v>1771</v>
      </c>
      <c r="O5026" s="11">
        <v>674</v>
      </c>
      <c r="P5026" s="11">
        <v>0</v>
      </c>
      <c r="Q5026" s="11" t="s">
        <v>24052</v>
      </c>
      <c r="R5026" s="14" t="s">
        <v>24053</v>
      </c>
      <c r="S5026" s="11">
        <v>35</v>
      </c>
      <c r="T5026" s="11" t="s">
        <v>39</v>
      </c>
      <c r="U5026" s="11" t="s">
        <v>40</v>
      </c>
      <c r="V5026" s="11" t="s">
        <v>5614</v>
      </c>
      <c r="W5026" s="11">
        <v>20000</v>
      </c>
      <c r="X5026" s="11">
        <v>2011</v>
      </c>
      <c r="Y5026" s="11">
        <v>91</v>
      </c>
      <c r="Z5026" s="11">
        <v>4</v>
      </c>
      <c r="AA5026" s="11">
        <v>2.35</v>
      </c>
      <c r="AB5026" s="11">
        <v>835</v>
      </c>
      <c r="AC5026" s="11"/>
      <c r="AD5026" s="11" t="str">
        <f>IFERROR(__xludf.DUMMYFUNCTION("""COMPUTED_VALUE"""),"John Hensley")</f>
        <v>John Hensley</v>
      </c>
      <c r="AE5026" s="11"/>
    </row>
    <row r="5027" customHeight="1" spans="1:31">
      <c r="A5027" s="12" t="s">
        <v>30</v>
      </c>
      <c r="B5027" s="12" t="s">
        <v>13793</v>
      </c>
      <c r="C5027" s="12">
        <v>73</v>
      </c>
      <c r="D5027" s="12">
        <v>108</v>
      </c>
      <c r="E5027" s="12">
        <v>0</v>
      </c>
      <c r="F5027" s="12">
        <v>105</v>
      </c>
      <c r="G5027" s="12">
        <v>462</v>
      </c>
      <c r="H5027" s="12">
        <v>180483</v>
      </c>
      <c r="I5027" s="12" t="s">
        <v>24054</v>
      </c>
      <c r="J5027" s="12" t="s">
        <v>24055</v>
      </c>
      <c r="K5027" s="12" t="s">
        <v>24056</v>
      </c>
      <c r="L5027" s="12" t="s">
        <v>24057</v>
      </c>
      <c r="M5027" s="12" t="s">
        <v>24058</v>
      </c>
      <c r="N5027" s="12">
        <v>16792</v>
      </c>
      <c r="O5027" s="12">
        <v>760</v>
      </c>
      <c r="P5027" s="12">
        <v>2</v>
      </c>
      <c r="Q5027" s="12" t="s">
        <v>24059</v>
      </c>
      <c r="R5027" s="15" t="s">
        <v>24060</v>
      </c>
      <c r="S5027" s="12">
        <v>183</v>
      </c>
      <c r="T5027" s="12" t="s">
        <v>39</v>
      </c>
      <c r="U5027" s="12" t="s">
        <v>40</v>
      </c>
      <c r="V5027" s="12" t="s">
        <v>6724</v>
      </c>
      <c r="W5027" s="12">
        <v>10000</v>
      </c>
      <c r="X5027" s="12">
        <v>1972</v>
      </c>
      <c r="Y5027" s="12">
        <v>143</v>
      </c>
      <c r="Z5027" s="12">
        <v>6.1</v>
      </c>
      <c r="AA5027" s="12">
        <v>1.37</v>
      </c>
      <c r="AB5027" s="12">
        <v>0</v>
      </c>
      <c r="AC5027" s="12"/>
      <c r="AD5027" s="12" t="str">
        <f>IFERROR(__xludf.DUMMYFUNCTION("""COMPUTED_VALUE"""),"Jeffrey Falcon")</f>
        <v>Jeffrey Falcon</v>
      </c>
      <c r="AE5027" s="12"/>
    </row>
    <row r="5028" customHeight="1" spans="1:31">
      <c r="A5028" s="11" t="s">
        <v>30</v>
      </c>
      <c r="B5028" s="11" t="s">
        <v>13827</v>
      </c>
      <c r="C5028" s="11">
        <v>81</v>
      </c>
      <c r="D5028" s="11">
        <v>110</v>
      </c>
      <c r="E5028" s="11">
        <v>107</v>
      </c>
      <c r="F5028" s="11">
        <v>45</v>
      </c>
      <c r="G5028" s="11">
        <v>576</v>
      </c>
      <c r="H5028" s="11">
        <v>136007</v>
      </c>
      <c r="I5028" s="11" t="s">
        <v>7837</v>
      </c>
      <c r="J5028" s="11" t="s">
        <v>6168</v>
      </c>
      <c r="K5028" s="11" t="s">
        <v>24061</v>
      </c>
      <c r="L5028" s="11" t="s">
        <v>9979</v>
      </c>
      <c r="M5028" s="11" t="s">
        <v>24062</v>
      </c>
      <c r="N5028" s="11">
        <v>3924</v>
      </c>
      <c r="O5028" s="11">
        <v>776</v>
      </c>
      <c r="P5028" s="11">
        <v>1</v>
      </c>
      <c r="Q5028" s="11" t="s">
        <v>24063</v>
      </c>
      <c r="R5028" s="14" t="s">
        <v>24064</v>
      </c>
      <c r="S5028" s="11">
        <v>39</v>
      </c>
      <c r="T5028" s="11" t="s">
        <v>1465</v>
      </c>
      <c r="U5028" s="11" t="s">
        <v>1466</v>
      </c>
      <c r="V5028" s="11" t="s">
        <v>586</v>
      </c>
      <c r="W5028" s="11">
        <v>4500</v>
      </c>
      <c r="X5028" s="11">
        <v>2004</v>
      </c>
      <c r="Y5028" s="11">
        <v>133</v>
      </c>
      <c r="Z5028" s="11">
        <v>6.9</v>
      </c>
      <c r="AA5028" s="11">
        <v>2.35</v>
      </c>
      <c r="AB5028" s="11">
        <v>171</v>
      </c>
      <c r="AC5028" s="11"/>
      <c r="AD5028" s="11" t="str">
        <f>IFERROR(__xludf.DUMMYFUNCTION("""COMPUTED_VALUE"""),"Stephane Gauger")</f>
        <v>Stephane Gauger</v>
      </c>
      <c r="AE5028" s="11"/>
    </row>
    <row r="5029" customHeight="1" spans="1:31">
      <c r="A5029" s="12" t="s">
        <v>30</v>
      </c>
      <c r="B5029" s="12" t="s">
        <v>24065</v>
      </c>
      <c r="C5029" s="12">
        <v>64</v>
      </c>
      <c r="D5029" s="12">
        <v>90</v>
      </c>
      <c r="E5029" s="12">
        <v>397</v>
      </c>
      <c r="F5029" s="12">
        <v>0</v>
      </c>
      <c r="G5029" s="12">
        <v>5</v>
      </c>
      <c r="H5029" s="12">
        <v>673780</v>
      </c>
      <c r="I5029" s="12" t="s">
        <v>3410</v>
      </c>
      <c r="J5029" s="12" t="s">
        <v>24066</v>
      </c>
      <c r="K5029" s="12" t="s">
        <v>24067</v>
      </c>
      <c r="L5029" s="12" t="s">
        <v>24068</v>
      </c>
      <c r="M5029" s="12" t="s">
        <v>24069</v>
      </c>
      <c r="N5029" s="12">
        <v>4555</v>
      </c>
      <c r="O5029" s="12">
        <v>5</v>
      </c>
      <c r="P5029" s="12">
        <v>0</v>
      </c>
      <c r="Q5029" s="12" t="s">
        <v>24070</v>
      </c>
      <c r="R5029" s="15" t="s">
        <v>24071</v>
      </c>
      <c r="S5029" s="12">
        <v>26</v>
      </c>
      <c r="T5029" s="12" t="s">
        <v>22077</v>
      </c>
      <c r="U5029" s="12" t="s">
        <v>13548</v>
      </c>
      <c r="V5029" s="12" t="s">
        <v>4831</v>
      </c>
      <c r="W5029" s="12">
        <v>10000</v>
      </c>
      <c r="X5029" s="12">
        <v>2000</v>
      </c>
      <c r="Y5029" s="12">
        <v>0</v>
      </c>
      <c r="Z5029" s="12">
        <v>7.5</v>
      </c>
      <c r="AA5029" s="12">
        <v>1.85</v>
      </c>
      <c r="AB5029" s="12">
        <v>697</v>
      </c>
      <c r="AC5029" s="12"/>
      <c r="AD5029" s="12" t="str">
        <f>IFERROR(__xludf.DUMMYFUNCTION("""COMPUTED_VALUE"""),"Kim De Angelo")</f>
        <v>Kim De Angelo</v>
      </c>
      <c r="AE5029" s="12"/>
    </row>
    <row r="5030" customHeight="1" spans="1:31">
      <c r="A5030" s="11" t="s">
        <v>748</v>
      </c>
      <c r="B5030" s="11" t="s">
        <v>24072</v>
      </c>
      <c r="C5030" s="11">
        <v>12</v>
      </c>
      <c r="D5030" s="11">
        <v>83</v>
      </c>
      <c r="E5030" s="11">
        <v>18</v>
      </c>
      <c r="F5030" s="11">
        <v>0</v>
      </c>
      <c r="G5030" s="11">
        <v>10</v>
      </c>
      <c r="H5030" s="13"/>
      <c r="I5030" s="11" t="s">
        <v>6403</v>
      </c>
      <c r="J5030" s="11" t="s">
        <v>24073</v>
      </c>
      <c r="K5030" s="11" t="s">
        <v>24074</v>
      </c>
      <c r="L5030" s="11" t="s">
        <v>24075</v>
      </c>
      <c r="M5030" s="11" t="s">
        <v>24076</v>
      </c>
      <c r="N5030" s="11">
        <v>57</v>
      </c>
      <c r="O5030" s="11">
        <v>15</v>
      </c>
      <c r="P5030" s="11">
        <v>0</v>
      </c>
      <c r="Q5030" s="13"/>
      <c r="R5030" s="14" t="s">
        <v>24077</v>
      </c>
      <c r="S5030" s="11">
        <v>1</v>
      </c>
      <c r="T5030" s="11" t="s">
        <v>39</v>
      </c>
      <c r="U5030" s="11" t="s">
        <v>7988</v>
      </c>
      <c r="V5030" s="13"/>
      <c r="W5030" s="11">
        <v>10000</v>
      </c>
      <c r="X5030" s="11">
        <v>2007</v>
      </c>
      <c r="Y5030" s="11">
        <v>5</v>
      </c>
      <c r="Z5030" s="11">
        <v>6.7</v>
      </c>
      <c r="AA5030" s="11">
        <v>1.33</v>
      </c>
      <c r="AB5030" s="11">
        <v>105</v>
      </c>
      <c r="AC5030" s="11"/>
      <c r="AD5030" s="11" t="str">
        <f>IFERROR(__xludf.DUMMYFUNCTION("""COMPUTED_VALUE"""),"Karisma Kapoor")</f>
        <v>Karisma Kapoor</v>
      </c>
      <c r="AE5030" s="11"/>
    </row>
    <row r="5031" customHeight="1" spans="1:31">
      <c r="A5031" s="12" t="s">
        <v>30</v>
      </c>
      <c r="B5031" s="12" t="s">
        <v>24078</v>
      </c>
      <c r="C5031" s="12">
        <v>78</v>
      </c>
      <c r="D5031" s="12">
        <v>111</v>
      </c>
      <c r="E5031" s="12">
        <v>62</v>
      </c>
      <c r="F5031" s="12">
        <v>6</v>
      </c>
      <c r="G5031" s="12">
        <v>89</v>
      </c>
      <c r="H5031" s="12">
        <v>94596</v>
      </c>
      <c r="I5031" s="12" t="s">
        <v>4833</v>
      </c>
      <c r="J5031" s="12" t="s">
        <v>24079</v>
      </c>
      <c r="K5031" s="12" t="s">
        <v>24080</v>
      </c>
      <c r="L5031" s="12" t="s">
        <v>24081</v>
      </c>
      <c r="M5031" s="12" t="s">
        <v>24082</v>
      </c>
      <c r="N5031" s="12">
        <v>6318</v>
      </c>
      <c r="O5031" s="12">
        <v>115</v>
      </c>
      <c r="P5031" s="12">
        <v>0</v>
      </c>
      <c r="Q5031" s="12" t="s">
        <v>24083</v>
      </c>
      <c r="R5031" s="15" t="s">
        <v>24084</v>
      </c>
      <c r="S5031" s="12">
        <v>50</v>
      </c>
      <c r="T5031" s="12" t="s">
        <v>677</v>
      </c>
      <c r="U5031" s="12" t="s">
        <v>678</v>
      </c>
      <c r="V5031" s="16"/>
      <c r="W5031" s="12">
        <v>1000000</v>
      </c>
      <c r="X5031" s="12">
        <v>1997</v>
      </c>
      <c r="Y5031" s="12">
        <v>13</v>
      </c>
      <c r="Z5031" s="12">
        <v>7.4</v>
      </c>
      <c r="AA5031" s="12">
        <v>1.85</v>
      </c>
      <c r="AB5031" s="12">
        <v>817</v>
      </c>
      <c r="AC5031" s="12"/>
      <c r="AD5031" s="12" t="str">
        <f>IFERROR(__xludf.DUMMYFUNCTION("""COMPUTED_VALUE"""),"Bobby Deol")</f>
        <v>Bobby Deol</v>
      </c>
      <c r="AE5031" s="12"/>
    </row>
    <row r="5032" customHeight="1" spans="1:31">
      <c r="A5032" s="11" t="s">
        <v>30</v>
      </c>
      <c r="B5032" s="11" t="s">
        <v>24085</v>
      </c>
      <c r="C5032" s="13"/>
      <c r="D5032" s="11">
        <v>84</v>
      </c>
      <c r="E5032" s="11">
        <v>5</v>
      </c>
      <c r="F5032" s="11">
        <v>12</v>
      </c>
      <c r="G5032" s="11">
        <v>21</v>
      </c>
      <c r="H5032" s="13"/>
      <c r="I5032" s="11" t="s">
        <v>3410</v>
      </c>
      <c r="J5032" s="11" t="s">
        <v>24086</v>
      </c>
      <c r="K5032" s="11" t="s">
        <v>24087</v>
      </c>
      <c r="L5032" s="11" t="s">
        <v>24088</v>
      </c>
      <c r="M5032" s="11" t="s">
        <v>24089</v>
      </c>
      <c r="N5032" s="11">
        <v>156</v>
      </c>
      <c r="O5032" s="11">
        <v>62</v>
      </c>
      <c r="P5032" s="11">
        <v>2</v>
      </c>
      <c r="Q5032" s="11" t="s">
        <v>24090</v>
      </c>
      <c r="R5032" s="14" t="s">
        <v>24091</v>
      </c>
      <c r="S5032" s="11">
        <v>3</v>
      </c>
      <c r="T5032" s="11" t="s">
        <v>39</v>
      </c>
      <c r="U5032" s="11" t="s">
        <v>40</v>
      </c>
      <c r="V5032" s="13"/>
      <c r="W5032" s="13"/>
      <c r="X5032" s="11">
        <v>2004</v>
      </c>
      <c r="Y5032" s="11">
        <v>20</v>
      </c>
      <c r="Z5032" s="11">
        <v>6.1</v>
      </c>
      <c r="AA5032" s="13"/>
      <c r="AB5032" s="11">
        <v>22</v>
      </c>
      <c r="AC5032" s="11"/>
      <c r="AD5032" s="11" t="str">
        <f>IFERROR(__xludf.DUMMYFUNCTION("""COMPUTED_VALUE"""),"Shakti Kapoor")</f>
        <v>Shakti Kapoor</v>
      </c>
      <c r="AE5032" s="11"/>
    </row>
    <row r="5033" customHeight="1" spans="1:31">
      <c r="A5033" s="12" t="s">
        <v>30</v>
      </c>
      <c r="B5033" s="12" t="s">
        <v>24092</v>
      </c>
      <c r="C5033" s="12">
        <v>13</v>
      </c>
      <c r="D5033" s="12">
        <v>82</v>
      </c>
      <c r="E5033" s="12">
        <v>120</v>
      </c>
      <c r="F5033" s="12">
        <v>84</v>
      </c>
      <c r="G5033" s="12">
        <v>785</v>
      </c>
      <c r="H5033" s="16"/>
      <c r="I5033" s="12" t="s">
        <v>12839</v>
      </c>
      <c r="J5033" s="12" t="s">
        <v>24093</v>
      </c>
      <c r="K5033" s="12" t="s">
        <v>24094</v>
      </c>
      <c r="L5033" s="12" t="s">
        <v>24095</v>
      </c>
      <c r="M5033" s="12" t="s">
        <v>24096</v>
      </c>
      <c r="N5033" s="12">
        <v>133</v>
      </c>
      <c r="O5033" s="12">
        <v>1111</v>
      </c>
      <c r="P5033" s="16"/>
      <c r="Q5033" s="12" t="s">
        <v>24097</v>
      </c>
      <c r="R5033" s="15" t="s">
        <v>24098</v>
      </c>
      <c r="S5033" s="12">
        <v>8</v>
      </c>
      <c r="T5033" s="12" t="s">
        <v>39</v>
      </c>
      <c r="U5033" s="12" t="s">
        <v>40</v>
      </c>
      <c r="V5033" s="16"/>
      <c r="W5033" s="12">
        <v>200000</v>
      </c>
      <c r="X5033" s="12">
        <v>2012</v>
      </c>
      <c r="Y5033" s="12">
        <v>98</v>
      </c>
      <c r="Z5033" s="12">
        <v>5.4</v>
      </c>
      <c r="AA5033" s="12">
        <v>16</v>
      </c>
      <c r="AB5033" s="12">
        <v>424</v>
      </c>
      <c r="AC5033" s="12"/>
      <c r="AD5033" s="12" t="str">
        <f>IFERROR(__xludf.DUMMYFUNCTION("""COMPUTED_VALUE"""),"Paul Kaye")</f>
        <v>Paul Kaye</v>
      </c>
      <c r="AE5033" s="12"/>
    </row>
    <row r="5034" customHeight="1" spans="1:31">
      <c r="A5034" s="11" t="s">
        <v>30</v>
      </c>
      <c r="B5034" s="11" t="s">
        <v>24099</v>
      </c>
      <c r="C5034" s="11">
        <v>10</v>
      </c>
      <c r="D5034" s="11">
        <v>98</v>
      </c>
      <c r="E5034" s="11">
        <v>3</v>
      </c>
      <c r="F5034" s="11">
        <v>152</v>
      </c>
      <c r="G5034" s="11">
        <v>789</v>
      </c>
      <c r="H5034" s="13"/>
      <c r="I5034" s="11" t="s">
        <v>1936</v>
      </c>
      <c r="J5034" s="11" t="s">
        <v>4156</v>
      </c>
      <c r="K5034" s="11" t="s">
        <v>23781</v>
      </c>
      <c r="L5034" s="11" t="s">
        <v>24100</v>
      </c>
      <c r="M5034" s="11" t="s">
        <v>24101</v>
      </c>
      <c r="N5034" s="11">
        <v>438</v>
      </c>
      <c r="O5034" s="11">
        <v>1186</v>
      </c>
      <c r="P5034" s="11">
        <v>1</v>
      </c>
      <c r="Q5034" s="11" t="s">
        <v>24102</v>
      </c>
      <c r="R5034" s="14" t="s">
        <v>24103</v>
      </c>
      <c r="S5034" s="11">
        <v>14</v>
      </c>
      <c r="T5034" s="11" t="s">
        <v>39</v>
      </c>
      <c r="U5034" s="11" t="s">
        <v>40</v>
      </c>
      <c r="V5034" s="13"/>
      <c r="W5034" s="13"/>
      <c r="X5034" s="11">
        <v>1995</v>
      </c>
      <c r="Y5034" s="11">
        <v>194</v>
      </c>
      <c r="Z5034" s="11">
        <v>6.4</v>
      </c>
      <c r="AA5034" s="13"/>
      <c r="AB5034" s="11">
        <v>20</v>
      </c>
      <c r="AC5034" s="11"/>
      <c r="AD5034" s="11" t="str">
        <f>IFERROR(__xludf.DUMMYFUNCTION("""COMPUTED_VALUE"""),"Kate Magowan")</f>
        <v>Kate Magowan</v>
      </c>
      <c r="AE5034" s="11"/>
    </row>
    <row r="5035" customHeight="1" spans="1:31">
      <c r="A5035" s="12" t="s">
        <v>30</v>
      </c>
      <c r="B5035" s="12" t="s">
        <v>24104</v>
      </c>
      <c r="C5035" s="12">
        <v>143</v>
      </c>
      <c r="D5035" s="12">
        <v>77</v>
      </c>
      <c r="E5035" s="12">
        <v>291</v>
      </c>
      <c r="F5035" s="12">
        <v>8</v>
      </c>
      <c r="G5035" s="12">
        <v>291</v>
      </c>
      <c r="H5035" s="12">
        <v>424760</v>
      </c>
      <c r="I5035" s="12" t="s">
        <v>2684</v>
      </c>
      <c r="J5035" s="12" t="s">
        <v>24104</v>
      </c>
      <c r="K5035" s="12" t="s">
        <v>24105</v>
      </c>
      <c r="L5035" s="12" t="s">
        <v>24106</v>
      </c>
      <c r="M5035" s="12" t="s">
        <v>24107</v>
      </c>
      <c r="N5035" s="12">
        <v>72639</v>
      </c>
      <c r="O5035" s="12">
        <v>368</v>
      </c>
      <c r="P5035" s="12">
        <v>0</v>
      </c>
      <c r="Q5035" s="12" t="s">
        <v>24108</v>
      </c>
      <c r="R5035" s="15" t="s">
        <v>24109</v>
      </c>
      <c r="S5035" s="12">
        <v>371</v>
      </c>
      <c r="T5035" s="12" t="s">
        <v>39</v>
      </c>
      <c r="U5035" s="12" t="s">
        <v>40</v>
      </c>
      <c r="V5035" s="12" t="s">
        <v>41</v>
      </c>
      <c r="W5035" s="12">
        <v>7000</v>
      </c>
      <c r="X5035" s="12">
        <v>2004</v>
      </c>
      <c r="Y5035" s="12">
        <v>45</v>
      </c>
      <c r="Z5035" s="12">
        <v>7</v>
      </c>
      <c r="AA5035" s="12">
        <v>1.85</v>
      </c>
      <c r="AB5035" s="12">
        <v>19000</v>
      </c>
      <c r="AC5035" s="12"/>
      <c r="AD5035" s="12" t="str">
        <f>IFERROR(__xludf.DUMMYFUNCTION("""COMPUTED_VALUE"""),"Karl Collins")</f>
        <v>Karl Collins</v>
      </c>
      <c r="AE5035" s="12"/>
    </row>
    <row r="5036" customHeight="1" spans="1:31">
      <c r="A5036" s="11" t="s">
        <v>30</v>
      </c>
      <c r="B5036" s="11" t="s">
        <v>24110</v>
      </c>
      <c r="C5036" s="11">
        <v>35</v>
      </c>
      <c r="D5036" s="11">
        <v>80</v>
      </c>
      <c r="E5036" s="11">
        <v>0</v>
      </c>
      <c r="F5036" s="11">
        <v>0</v>
      </c>
      <c r="G5036" s="11">
        <v>0</v>
      </c>
      <c r="H5036" s="11">
        <v>70071</v>
      </c>
      <c r="I5036" s="11" t="s">
        <v>10413</v>
      </c>
      <c r="J5036" s="11" t="s">
        <v>24111</v>
      </c>
      <c r="K5036" s="11" t="s">
        <v>24112</v>
      </c>
      <c r="L5036" s="11" t="s">
        <v>24113</v>
      </c>
      <c r="M5036" s="11" t="s">
        <v>24114</v>
      </c>
      <c r="N5036" s="11">
        <v>589</v>
      </c>
      <c r="O5036" s="11">
        <v>0</v>
      </c>
      <c r="P5036" s="11">
        <v>0</v>
      </c>
      <c r="Q5036" s="11" t="s">
        <v>24115</v>
      </c>
      <c r="R5036" s="14" t="s">
        <v>24116</v>
      </c>
      <c r="S5036" s="11">
        <v>35</v>
      </c>
      <c r="T5036" s="11" t="s">
        <v>39</v>
      </c>
      <c r="U5036" s="11" t="s">
        <v>24117</v>
      </c>
      <c r="V5036" s="11" t="s">
        <v>4831</v>
      </c>
      <c r="W5036" s="11">
        <v>7000</v>
      </c>
      <c r="X5036" s="11">
        <v>2005</v>
      </c>
      <c r="Y5036" s="11">
        <v>0</v>
      </c>
      <c r="Z5036" s="11">
        <v>6.3</v>
      </c>
      <c r="AA5036" s="13"/>
      <c r="AB5036" s="11">
        <v>74</v>
      </c>
      <c r="AC5036" s="11"/>
      <c r="AD5036" s="11" t="str">
        <f>IFERROR(__xludf.DUMMYFUNCTION("""COMPUTED_VALUE"""),"Sanjay Mishra")</f>
        <v>Sanjay Mishra</v>
      </c>
      <c r="AE5036" s="11"/>
    </row>
    <row r="5037" customHeight="1" spans="1:31">
      <c r="A5037" s="12" t="s">
        <v>30</v>
      </c>
      <c r="B5037" s="12" t="s">
        <v>4904</v>
      </c>
      <c r="C5037" s="12">
        <v>56</v>
      </c>
      <c r="D5037" s="12">
        <v>81</v>
      </c>
      <c r="E5037" s="12">
        <v>0</v>
      </c>
      <c r="F5037" s="12">
        <v>6</v>
      </c>
      <c r="G5037" s="12">
        <v>121</v>
      </c>
      <c r="H5037" s="12">
        <v>2040920</v>
      </c>
      <c r="I5037" s="12" t="s">
        <v>5806</v>
      </c>
      <c r="J5037" s="12" t="s">
        <v>24118</v>
      </c>
      <c r="K5037" s="12" t="s">
        <v>24119</v>
      </c>
      <c r="L5037" s="12" t="s">
        <v>24120</v>
      </c>
      <c r="M5037" s="12" t="s">
        <v>24121</v>
      </c>
      <c r="N5037" s="12">
        <v>52055</v>
      </c>
      <c r="O5037" s="12">
        <v>147</v>
      </c>
      <c r="P5037" s="12">
        <v>0</v>
      </c>
      <c r="Q5037" s="12" t="s">
        <v>24122</v>
      </c>
      <c r="R5037" s="15" t="s">
        <v>24123</v>
      </c>
      <c r="S5037" s="12">
        <v>130</v>
      </c>
      <c r="T5037" s="12" t="s">
        <v>2779</v>
      </c>
      <c r="U5037" s="12" t="s">
        <v>40</v>
      </c>
      <c r="V5037" s="12" t="s">
        <v>586</v>
      </c>
      <c r="W5037" s="12">
        <v>7000</v>
      </c>
      <c r="X5037" s="12">
        <v>1992</v>
      </c>
      <c r="Y5037" s="12">
        <v>20</v>
      </c>
      <c r="Z5037" s="12">
        <v>6.9</v>
      </c>
      <c r="AA5037" s="12">
        <v>1.37</v>
      </c>
      <c r="AB5037" s="12">
        <v>0</v>
      </c>
      <c r="AC5037" s="12"/>
      <c r="AD5037" s="12" t="str">
        <f>IFERROR(__xludf.DUMMYFUNCTION("""COMPUTED_VALUE"""),"Javed Jaffrey")</f>
        <v>Javed Jaffrey</v>
      </c>
      <c r="AE5037" s="12"/>
    </row>
    <row r="5038" customHeight="1" spans="1:31">
      <c r="A5038" s="11" t="s">
        <v>30</v>
      </c>
      <c r="B5038" s="11" t="s">
        <v>24124</v>
      </c>
      <c r="C5038" s="13"/>
      <c r="D5038" s="11">
        <v>84</v>
      </c>
      <c r="E5038" s="11">
        <v>2</v>
      </c>
      <c r="F5038" s="11">
        <v>2</v>
      </c>
      <c r="G5038" s="11">
        <v>45</v>
      </c>
      <c r="H5038" s="13"/>
      <c r="I5038" s="11" t="s">
        <v>1936</v>
      </c>
      <c r="J5038" s="11" t="s">
        <v>24125</v>
      </c>
      <c r="K5038" s="11" t="s">
        <v>24126</v>
      </c>
      <c r="L5038" s="11" t="s">
        <v>24127</v>
      </c>
      <c r="M5038" s="11" t="s">
        <v>24128</v>
      </c>
      <c r="N5038" s="11">
        <v>36</v>
      </c>
      <c r="O5038" s="11">
        <v>93</v>
      </c>
      <c r="P5038" s="11">
        <v>0</v>
      </c>
      <c r="Q5038" s="11" t="s">
        <v>24129</v>
      </c>
      <c r="R5038" s="14" t="s">
        <v>24130</v>
      </c>
      <c r="S5038" s="11">
        <v>1</v>
      </c>
      <c r="T5038" s="11" t="s">
        <v>39</v>
      </c>
      <c r="U5038" s="11" t="s">
        <v>40</v>
      </c>
      <c r="V5038" s="11" t="s">
        <v>41</v>
      </c>
      <c r="W5038" s="11">
        <v>3250</v>
      </c>
      <c r="X5038" s="11">
        <v>2005</v>
      </c>
      <c r="Y5038" s="11">
        <v>44</v>
      </c>
      <c r="Z5038" s="11">
        <v>7.8</v>
      </c>
      <c r="AA5038" s="13"/>
      <c r="AB5038" s="11">
        <v>4</v>
      </c>
      <c r="AC5038" s="11"/>
      <c r="AD5038" s="11" t="str">
        <f>IFERROR(__xludf.DUMMYFUNCTION("""COMPUTED_VALUE"""),"Chuck Zito")</f>
        <v>Chuck Zito</v>
      </c>
      <c r="AE5038" s="11"/>
    </row>
    <row r="5039" customHeight="1" spans="1:31">
      <c r="A5039" s="12" t="s">
        <v>30</v>
      </c>
      <c r="B5039" s="12" t="s">
        <v>18750</v>
      </c>
      <c r="C5039" s="12">
        <v>14</v>
      </c>
      <c r="D5039" s="12">
        <v>95</v>
      </c>
      <c r="E5039" s="12">
        <v>0</v>
      </c>
      <c r="F5039" s="12">
        <v>133</v>
      </c>
      <c r="G5039" s="12">
        <v>296</v>
      </c>
      <c r="H5039" s="12">
        <v>4584</v>
      </c>
      <c r="I5039" s="12" t="s">
        <v>2528</v>
      </c>
      <c r="J5039" s="12" t="s">
        <v>24131</v>
      </c>
      <c r="K5039" s="12" t="s">
        <v>24132</v>
      </c>
      <c r="L5039" s="12" t="s">
        <v>24133</v>
      </c>
      <c r="M5039" s="12" t="s">
        <v>24134</v>
      </c>
      <c r="N5039" s="12">
        <v>1338</v>
      </c>
      <c r="O5039" s="12">
        <v>690</v>
      </c>
      <c r="P5039" s="12">
        <v>1</v>
      </c>
      <c r="Q5039" s="12" t="s">
        <v>24135</v>
      </c>
      <c r="R5039" s="15" t="s">
        <v>24136</v>
      </c>
      <c r="S5039" s="12">
        <v>14</v>
      </c>
      <c r="T5039" s="12" t="s">
        <v>39</v>
      </c>
      <c r="U5039" s="12" t="s">
        <v>40</v>
      </c>
      <c r="V5039" s="12" t="s">
        <v>4831</v>
      </c>
      <c r="W5039" s="12">
        <v>9000</v>
      </c>
      <c r="X5039" s="12">
        <v>2011</v>
      </c>
      <c r="Y5039" s="12">
        <v>205</v>
      </c>
      <c r="Z5039" s="12">
        <v>6.4</v>
      </c>
      <c r="AA5039" s="16"/>
      <c r="AB5039" s="12">
        <v>413</v>
      </c>
      <c r="AC5039" s="12"/>
      <c r="AD5039" s="12" t="str">
        <f>IFERROR(__xludf.DUMMYFUNCTION("""COMPUTED_VALUE"""),"Jansen Panettiere")</f>
        <v>Jansen Panettiere</v>
      </c>
      <c r="AE5039" s="12"/>
    </row>
    <row r="5040" customHeight="1" spans="1:31">
      <c r="A5040" s="11" t="s">
        <v>30</v>
      </c>
      <c r="B5040" s="11" t="s">
        <v>24137</v>
      </c>
      <c r="C5040" s="11">
        <v>1</v>
      </c>
      <c r="D5040" s="11">
        <v>87</v>
      </c>
      <c r="E5040" s="11">
        <v>2</v>
      </c>
      <c r="F5040" s="11">
        <v>318</v>
      </c>
      <c r="G5040" s="11">
        <v>637</v>
      </c>
      <c r="H5040" s="13"/>
      <c r="I5040" s="11" t="s">
        <v>2528</v>
      </c>
      <c r="J5040" s="11" t="s">
        <v>14547</v>
      </c>
      <c r="K5040" s="11" t="s">
        <v>24138</v>
      </c>
      <c r="L5040" s="11" t="s">
        <v>5661</v>
      </c>
      <c r="M5040" s="11" t="s">
        <v>24139</v>
      </c>
      <c r="N5040" s="11">
        <v>629</v>
      </c>
      <c r="O5040" s="11">
        <v>2283</v>
      </c>
      <c r="P5040" s="11">
        <v>2</v>
      </c>
      <c r="Q5040" s="11" t="s">
        <v>24140</v>
      </c>
      <c r="R5040" s="14" t="s">
        <v>24141</v>
      </c>
      <c r="S5040" s="11">
        <v>6</v>
      </c>
      <c r="T5040" s="11" t="s">
        <v>39</v>
      </c>
      <c r="U5040" s="11" t="s">
        <v>269</v>
      </c>
      <c r="V5040" s="13"/>
      <c r="W5040" s="13"/>
      <c r="X5040" s="11">
        <v>2013</v>
      </c>
      <c r="Y5040" s="11">
        <v>470</v>
      </c>
      <c r="Z5040" s="11">
        <v>7.7</v>
      </c>
      <c r="AA5040" s="13"/>
      <c r="AB5040" s="11">
        <v>84</v>
      </c>
      <c r="AC5040" s="11"/>
      <c r="AD5040" s="11" t="str">
        <f>IFERROR(__xludf.DUMMYFUNCTION("""COMPUTED_VALUE"""),"Charly Bivona")</f>
        <v>Charly Bivona</v>
      </c>
      <c r="AE5040" s="11"/>
    </row>
    <row r="5041" customHeight="1" spans="1:31">
      <c r="A5041" s="12" t="s">
        <v>30</v>
      </c>
      <c r="B5041" s="16"/>
      <c r="C5041" s="12">
        <v>43</v>
      </c>
      <c r="D5041" s="12">
        <v>43</v>
      </c>
      <c r="E5041" s="16"/>
      <c r="F5041" s="12">
        <v>319</v>
      </c>
      <c r="G5041" s="12">
        <v>841</v>
      </c>
      <c r="H5041" s="16"/>
      <c r="I5041" s="12" t="s">
        <v>2142</v>
      </c>
      <c r="J5041" s="12" t="s">
        <v>24142</v>
      </c>
      <c r="K5041" s="12" t="s">
        <v>24143</v>
      </c>
      <c r="L5041" s="12" t="s">
        <v>24144</v>
      </c>
      <c r="M5041" s="12" t="s">
        <v>24145</v>
      </c>
      <c r="N5041" s="12">
        <v>73839</v>
      </c>
      <c r="O5041" s="12">
        <v>1753</v>
      </c>
      <c r="P5041" s="12">
        <v>1</v>
      </c>
      <c r="Q5041" s="12" t="s">
        <v>24146</v>
      </c>
      <c r="R5041" s="15" t="s">
        <v>24147</v>
      </c>
      <c r="S5041" s="12">
        <v>359</v>
      </c>
      <c r="T5041" s="12" t="s">
        <v>39</v>
      </c>
      <c r="U5041" s="12" t="s">
        <v>40</v>
      </c>
      <c r="V5041" s="12" t="s">
        <v>1127</v>
      </c>
      <c r="W5041" s="16"/>
      <c r="X5041" s="16"/>
      <c r="Y5041" s="12">
        <v>593</v>
      </c>
      <c r="Z5041" s="12">
        <v>7.5</v>
      </c>
      <c r="AA5041" s="12">
        <v>16</v>
      </c>
      <c r="AB5041" s="12">
        <v>32000</v>
      </c>
      <c r="AC5041" s="12"/>
      <c r="AD5041" s="12" t="str">
        <f>IFERROR(__xludf.DUMMYFUNCTION("""COMPUTED_VALUE"""),"Kent McCord")</f>
        <v>Kent McCord</v>
      </c>
      <c r="AE5041" s="12"/>
    </row>
    <row r="5042" customHeight="1" spans="1:31">
      <c r="A5042" s="11" t="s">
        <v>30</v>
      </c>
      <c r="B5042" s="11" t="s">
        <v>24148</v>
      </c>
      <c r="C5042" s="11">
        <v>13</v>
      </c>
      <c r="D5042" s="11">
        <v>76</v>
      </c>
      <c r="E5042" s="11">
        <v>0</v>
      </c>
      <c r="F5042" s="11">
        <v>0</v>
      </c>
      <c r="G5042" s="11">
        <v>0</v>
      </c>
      <c r="H5042" s="13"/>
      <c r="I5042" s="11" t="s">
        <v>4384</v>
      </c>
      <c r="J5042" s="11" t="s">
        <v>24149</v>
      </c>
      <c r="K5042" s="11" t="s">
        <v>24150</v>
      </c>
      <c r="L5042" s="11" t="s">
        <v>24151</v>
      </c>
      <c r="M5042" s="11" t="s">
        <v>24152</v>
      </c>
      <c r="N5042" s="11">
        <v>38</v>
      </c>
      <c r="O5042" s="11">
        <v>0</v>
      </c>
      <c r="P5042" s="11">
        <v>0</v>
      </c>
      <c r="Q5042" s="13"/>
      <c r="R5042" s="14" t="s">
        <v>24153</v>
      </c>
      <c r="S5042" s="11">
        <v>3</v>
      </c>
      <c r="T5042" s="11" t="s">
        <v>39</v>
      </c>
      <c r="U5042" s="11" t="s">
        <v>40</v>
      </c>
      <c r="V5042" s="13"/>
      <c r="W5042" s="11">
        <v>1400</v>
      </c>
      <c r="X5042" s="11">
        <v>2013</v>
      </c>
      <c r="Y5042" s="11">
        <v>0</v>
      </c>
      <c r="Z5042" s="11">
        <v>6.3</v>
      </c>
      <c r="AA5042" s="13"/>
      <c r="AB5042" s="11">
        <v>16</v>
      </c>
      <c r="AC5042" s="11"/>
      <c r="AD5042" s="11" t="str">
        <f>IFERROR(__xludf.DUMMYFUNCTION("""COMPUTED_VALUE"""),"Sarah Douglas")</f>
        <v>Sarah Douglas</v>
      </c>
      <c r="AE5042" s="11"/>
    </row>
    <row r="5043" customHeight="1" spans="1:31">
      <c r="A5043" s="12" t="s">
        <v>30</v>
      </c>
      <c r="B5043" s="12" t="s">
        <v>24154</v>
      </c>
      <c r="C5043" s="12">
        <v>14</v>
      </c>
      <c r="D5043" s="12">
        <v>100</v>
      </c>
      <c r="E5043" s="12">
        <v>0</v>
      </c>
      <c r="F5043" s="12">
        <v>489</v>
      </c>
      <c r="G5043" s="12">
        <v>946</v>
      </c>
      <c r="H5043" s="12">
        <v>10443</v>
      </c>
      <c r="I5043" s="12" t="s">
        <v>1415</v>
      </c>
      <c r="J5043" s="12" t="s">
        <v>2303</v>
      </c>
      <c r="K5043" s="12" t="s">
        <v>615</v>
      </c>
      <c r="L5043" s="12" t="s">
        <v>13480</v>
      </c>
      <c r="M5043" s="12" t="s">
        <v>24155</v>
      </c>
      <c r="N5043" s="12">
        <v>1255</v>
      </c>
      <c r="O5043" s="12">
        <v>2386</v>
      </c>
      <c r="P5043" s="12">
        <v>5</v>
      </c>
      <c r="Q5043" s="16"/>
      <c r="R5043" s="15" t="s">
        <v>24156</v>
      </c>
      <c r="S5043" s="12">
        <v>9</v>
      </c>
      <c r="T5043" s="12" t="s">
        <v>39</v>
      </c>
      <c r="U5043" s="12" t="s">
        <v>40</v>
      </c>
      <c r="V5043" s="12" t="s">
        <v>41</v>
      </c>
      <c r="W5043" s="16"/>
      <c r="X5043" s="12">
        <v>2012</v>
      </c>
      <c r="Y5043" s="12">
        <v>719</v>
      </c>
      <c r="Z5043" s="12">
        <v>6.3</v>
      </c>
      <c r="AA5043" s="12">
        <v>2.35</v>
      </c>
      <c r="AB5043" s="12">
        <v>660</v>
      </c>
      <c r="AC5043" s="12"/>
      <c r="AD5043" s="12" t="str">
        <f>IFERROR(__xludf.DUMMYFUNCTION("""COMPUTED_VALUE"""),"Michelle Hurst")</f>
        <v>Michelle Hurst</v>
      </c>
      <c r="AE5043" s="12"/>
    </row>
    <row r="5044" customHeight="1" spans="1:31">
      <c r="A5044" s="11" t="s">
        <v>30</v>
      </c>
      <c r="B5044" s="11" t="s">
        <v>20031</v>
      </c>
      <c r="C5044" s="11">
        <v>43</v>
      </c>
      <c r="D5044" s="11">
        <v>90</v>
      </c>
      <c r="E5044" s="11">
        <v>16</v>
      </c>
      <c r="F5044" s="11">
        <v>16</v>
      </c>
      <c r="G5044" s="11">
        <v>86</v>
      </c>
      <c r="H5044" s="11">
        <v>85222</v>
      </c>
      <c r="I5044" s="11" t="s">
        <v>68</v>
      </c>
      <c r="J5044" s="11" t="s">
        <v>24157</v>
      </c>
      <c r="K5044" s="11" t="s">
        <v>24158</v>
      </c>
      <c r="L5044" s="11" t="s">
        <v>20031</v>
      </c>
      <c r="M5044" s="11" t="s">
        <v>24159</v>
      </c>
      <c r="N5044" s="11">
        <v>4285</v>
      </c>
      <c r="O5044" s="11">
        <v>163</v>
      </c>
      <c r="P5044" s="11">
        <v>0</v>
      </c>
      <c r="Q5044" s="11" t="s">
        <v>24160</v>
      </c>
      <c r="R5044" s="14" t="s">
        <v>24161</v>
      </c>
      <c r="S5044" s="11">
        <v>84</v>
      </c>
      <c r="T5044" s="11" t="s">
        <v>39</v>
      </c>
      <c r="U5044" s="11" t="s">
        <v>40</v>
      </c>
      <c r="V5044" s="11" t="s">
        <v>96</v>
      </c>
      <c r="W5044" s="11">
        <v>1100</v>
      </c>
      <c r="X5044" s="11">
        <v>2004</v>
      </c>
      <c r="Y5044" s="11">
        <v>23</v>
      </c>
      <c r="Z5044" s="11">
        <v>6.6</v>
      </c>
      <c r="AA5044" s="11">
        <v>1.85</v>
      </c>
      <c r="AB5044" s="11">
        <v>456</v>
      </c>
      <c r="AC5044" s="11"/>
      <c r="AD5044" s="11" t="str">
        <f>IFERROR(__xludf.DUMMYFUNCTION("""COMPUTED_VALUE"""),"Jordi Vilasuso")</f>
        <v>Jordi Vilasuso</v>
      </c>
      <c r="AE5044" s="11"/>
    </row>
    <row r="5045" customHeight="1" spans="30:30">
      <c r="AD5045" s="5" t="str">
        <f>IFERROR(__xludf.DUMMYFUNCTION("""COMPUTED_VALUE"""),"Michael McLafferty")</f>
        <v>Michael McLafferty</v>
      </c>
    </row>
    <row r="5046" customHeight="1" spans="30:30">
      <c r="AD5046" s="5" t="str">
        <f>IFERROR(__xludf.DUMMYFUNCTION("""COMPUTED_VALUE"""),"Kaiwi Lyman-Mersereau")</f>
        <v>Kaiwi Lyman-Mersereau</v>
      </c>
    </row>
    <row r="5047" customHeight="1" spans="30:30">
      <c r="AD5047" s="5" t="str">
        <f>IFERROR(__xludf.DUMMYFUNCTION("""COMPUTED_VALUE"""),"Lorraine Stanley")</f>
        <v>Lorraine Stanley</v>
      </c>
    </row>
    <row r="5048" customHeight="1" spans="30:30">
      <c r="AD5048" s="5" t="str">
        <f>IFERROR(__xludf.DUMMYFUNCTION("""COMPUTED_VALUE"""),"Marlene Forte")</f>
        <v>Marlene Forte</v>
      </c>
    </row>
    <row r="5049" customHeight="1" spans="30:30">
      <c r="AD5049" s="5" t="str">
        <f>IFERROR(__xludf.DUMMYFUNCTION("""COMPUTED_VALUE"""),"Silvia Colloca")</f>
        <v>Silvia Colloca</v>
      </c>
    </row>
    <row r="5050" customHeight="1" spans="30:30">
      <c r="AD5050" s="5" t="str">
        <f>IFERROR(__xludf.DUMMYFUNCTION("""COMPUTED_VALUE"""),"Kenneth Nkosi")</f>
        <v>Kenneth Nkosi</v>
      </c>
    </row>
    <row r="5051" customHeight="1" spans="30:30">
      <c r="AD5051" s="5" t="str">
        <f>IFERROR(__xludf.DUMMYFUNCTION("""COMPUTED_VALUE"""),"Robert Hobbs")</f>
        <v>Robert Hobbs</v>
      </c>
    </row>
    <row r="5052" customHeight="1" spans="30:30">
      <c r="AD5052" s="5" t="str">
        <f>IFERROR(__xludf.DUMMYFUNCTION("""COMPUTED_VALUE"""),"Sean Rogerson")</f>
        <v>Sean Rogerson</v>
      </c>
    </row>
    <row r="5053" customHeight="1" spans="30:30">
      <c r="AD5053" s="5" t="str">
        <f>IFERROR(__xludf.DUMMYFUNCTION("""COMPUTED_VALUE"""),"Ashleigh Gryzko")</f>
        <v>Ashleigh Gryzko</v>
      </c>
    </row>
    <row r="5054" customHeight="1" spans="30:30">
      <c r="AD5054" s="5" t="str">
        <f>IFERROR(__xludf.DUMMYFUNCTION("""COMPUTED_VALUE"""),"Peter McQuinn")</f>
        <v>Peter McQuinn</v>
      </c>
    </row>
    <row r="5055" customHeight="1" spans="30:30">
      <c r="AD5055" s="5" t="str">
        <f>IFERROR(__xludf.DUMMYFUNCTION("""COMPUTED_VALUE"""),"Tommy Knight")</f>
        <v>Tommy Knight</v>
      </c>
    </row>
    <row r="5056" customHeight="1" spans="30:30">
      <c r="AD5056" s="5" t="str">
        <f>IFERROR(__xludf.DUMMYFUNCTION("""COMPUTED_VALUE"""),"Jemma Curran")</f>
        <v>Jemma Curran</v>
      </c>
    </row>
    <row r="5057" customHeight="1" spans="30:30">
      <c r="AD5057" s="5" t="str">
        <f>IFERROR(__xludf.DUMMYFUNCTION("""COMPUTED_VALUE"""),"Daniel Baldwin")</f>
        <v>Daniel Baldwin</v>
      </c>
    </row>
    <row r="5058" customHeight="1" spans="30:30">
      <c r="AD5058" s="5" t="str">
        <f>IFERROR(__xludf.DUMMYFUNCTION("""COMPUTED_VALUE"""),"William Lee Scott")</f>
        <v>William Lee Scott</v>
      </c>
    </row>
    <row r="5059" customHeight="1" spans="30:30">
      <c r="AD5059" s="5" t="str">
        <f>IFERROR(__xludf.DUMMYFUNCTION("""COMPUTED_VALUE"""),"Alice Cooper")</f>
        <v>Alice Cooper</v>
      </c>
    </row>
    <row r="5060" customHeight="1" spans="30:30">
      <c r="AD5060" s="5" t="str">
        <f>IFERROR(__xludf.DUMMYFUNCTION("""COMPUTED_VALUE"""),"Tim Rice")</f>
        <v>Tim Rice</v>
      </c>
    </row>
    <row r="5061" customHeight="1" spans="30:30">
      <c r="AD5061" s="5" t="str">
        <f>IFERROR(__xludf.DUMMYFUNCTION("""COMPUTED_VALUE"""),"Louis Walsh")</f>
        <v>Louis Walsh</v>
      </c>
    </row>
    <row r="5062" customHeight="1" spans="30:30">
      <c r="AD5062" s="5" t="str">
        <f>IFERROR(__xludf.DUMMYFUNCTION("""COMPUTED_VALUE"""),"Charlotte Rae")</f>
        <v>Charlotte Rae</v>
      </c>
    </row>
    <row r="5063" customHeight="1" spans="30:30">
      <c r="AD5063" s="5" t="str">
        <f>IFERROR(__xludf.DUMMYFUNCTION("""COMPUTED_VALUE"""),"Paul Sheehan")</f>
        <v>Paul Sheehan</v>
      </c>
    </row>
    <row r="5064" customHeight="1" spans="30:30">
      <c r="AD5064" s="5" t="str">
        <f>IFERROR(__xludf.DUMMYFUNCTION("""COMPUTED_VALUE"""),"Kathy Uyen")</f>
        <v>Kathy Uyen</v>
      </c>
    </row>
    <row r="5065" customHeight="1" spans="30:30">
      <c r="AD5065" s="5" t="str">
        <f>IFERROR(__xludf.DUMMYFUNCTION("""COMPUTED_VALUE"""),"Mario Cimarro")</f>
        <v>Mario Cimarro</v>
      </c>
    </row>
    <row r="5066" customHeight="1" spans="30:30">
      <c r="AD5066" s="5" t="str">
        <f>IFERROR(__xludf.DUMMYFUNCTION("""COMPUTED_VALUE"""),"Ricardo Chavira")</f>
        <v>Ricardo Chavira</v>
      </c>
    </row>
    <row r="5067" customHeight="1" spans="30:30">
      <c r="AD5067" s="5" t="str">
        <f>IFERROR(__xludf.DUMMYFUNCTION("""COMPUTED_VALUE"""),"Rita Hayworth")</f>
        <v>Rita Hayworth</v>
      </c>
    </row>
    <row r="5068" customHeight="1" spans="30:30">
      <c r="AD5068" s="5" t="str">
        <f>IFERROR(__xludf.DUMMYFUNCTION("""COMPUTED_VALUE"""),"Everett Sloane")</f>
        <v>Everett Sloane</v>
      </c>
    </row>
    <row r="5069" customHeight="1" spans="30:30">
      <c r="AD5069" s="5" t="str">
        <f>IFERROR(__xludf.DUMMYFUNCTION("""COMPUTED_VALUE"""),"Ted de Corsia")</f>
        <v>Ted de Corsia</v>
      </c>
    </row>
    <row r="5070" customHeight="1" spans="30:30">
      <c r="AD5070" s="5" t="str">
        <f>IFERROR(__xludf.DUMMYFUNCTION("""COMPUTED_VALUE"""),"Mark Rolston")</f>
        <v>Mark Rolston</v>
      </c>
    </row>
    <row r="5071" customHeight="1" spans="30:30">
      <c r="AD5071" s="5" t="str">
        <f>IFERROR(__xludf.DUMMYFUNCTION("""COMPUTED_VALUE"""),"Sunil Narkar")</f>
        <v>Sunil Narkar</v>
      </c>
    </row>
    <row r="5072" customHeight="1" spans="30:30">
      <c r="AD5072" s="5" t="str">
        <f>IFERROR(__xludf.DUMMYFUNCTION("""COMPUTED_VALUE"""),"Kate Maberly")</f>
        <v>Kate Maberly</v>
      </c>
    </row>
    <row r="5073" customHeight="1" spans="30:30">
      <c r="AD5073" s="5" t="str">
        <f>IFERROR(__xludf.DUMMYFUNCTION("""COMPUTED_VALUE"""),"Paul Williams")</f>
        <v>Paul Williams</v>
      </c>
    </row>
    <row r="5074" customHeight="1" spans="30:30">
      <c r="AD5074" s="5" t="str">
        <f>IFERROR(__xludf.DUMMYFUNCTION("""COMPUTED_VALUE"""),"Lex Barker")</f>
        <v>Lex Barker</v>
      </c>
    </row>
    <row r="5075" customHeight="1" spans="30:30">
      <c r="AD5075" s="5" t="str">
        <f>IFERROR(__xludf.DUMMYFUNCTION("""COMPUTED_VALUE"""),"Karin Dor")</f>
        <v>Karin Dor</v>
      </c>
    </row>
    <row r="5076" customHeight="1" spans="30:30">
      <c r="AD5076" s="5" t="str">
        <f>IFERROR(__xludf.DUMMYFUNCTION("""COMPUTED_VALUE"""),"Jon Mack")</f>
        <v>Jon Mack</v>
      </c>
    </row>
    <row r="5077" customHeight="1" spans="30:30">
      <c r="AD5077" s="5" t="str">
        <f>IFERROR(__xludf.DUMMYFUNCTION("""COMPUTED_VALUE"""),"Josh Meyers")</f>
        <v>Josh Meyers</v>
      </c>
    </row>
    <row r="5078" customHeight="1" spans="30:30">
      <c r="AD5078" s="5" t="str">
        <f>IFERROR(__xludf.DUMMYFUNCTION("""COMPUTED_VALUE"""),"Buster Keaton")</f>
        <v>Buster Keaton</v>
      </c>
    </row>
    <row r="5079" customHeight="1" spans="30:30">
      <c r="AD5079" s="5" t="str">
        <f>IFERROR(__xludf.DUMMYFUNCTION("""COMPUTED_VALUE"""),"Zero Mostel")</f>
        <v>Zero Mostel</v>
      </c>
    </row>
    <row r="5080" customHeight="1" spans="30:30">
      <c r="AD5080" s="5" t="str">
        <f>IFERROR(__xludf.DUMMYFUNCTION("""COMPUTED_VALUE"""),"Phil Silvers")</f>
        <v>Phil Silvers</v>
      </c>
    </row>
    <row r="5081" customHeight="1" spans="30:30">
      <c r="AD5081" s="5" t="str">
        <f>IFERROR(__xludf.DUMMYFUNCTION("""COMPUTED_VALUE"""),"Eddie Vedder")</f>
        <v>Eddie Vedder</v>
      </c>
    </row>
    <row r="5082" customHeight="1" spans="30:30">
      <c r="AD5082" s="5" t="str">
        <f>IFERROR(__xludf.DUMMYFUNCTION("""COMPUTED_VALUE"""),"Steve Earle")</f>
        <v>Steve Earle</v>
      </c>
    </row>
    <row r="5083" customHeight="1" spans="30:30">
      <c r="AD5083" s="5" t="str">
        <f>IFERROR(__xludf.DUMMYFUNCTION("""COMPUTED_VALUE"""),"Trenton Rostedt")</f>
        <v>Trenton Rostedt</v>
      </c>
    </row>
    <row r="5084" customHeight="1" spans="30:30">
      <c r="AD5084" s="5" t="str">
        <f>IFERROR(__xludf.DUMMYFUNCTION("""COMPUTED_VALUE"""),"Wray Crawford")</f>
        <v>Wray Crawford</v>
      </c>
    </row>
    <row r="5085" customHeight="1" spans="30:30">
      <c r="AD5085" s="5" t="str">
        <f>IFERROR(__xludf.DUMMYFUNCTION("""COMPUTED_VALUE"""),"Dave Sheridan")</f>
        <v>Dave Sheridan</v>
      </c>
    </row>
    <row r="5086" customHeight="1" spans="30:30">
      <c r="AD5086" s="5" t="str">
        <f>IFERROR(__xludf.DUMMYFUNCTION("""COMPUTED_VALUE"""),"Melissa Bolona")</f>
        <v>Melissa Bolona</v>
      </c>
    </row>
    <row r="5087" customHeight="1" spans="30:30">
      <c r="AD5087" s="5" t="str">
        <f>IFERROR(__xludf.DUMMYFUNCTION("""COMPUTED_VALUE"""),"Michael Aaron Milligan")</f>
        <v>Michael Aaron Milligan</v>
      </c>
    </row>
    <row r="5088" customHeight="1" spans="30:30">
      <c r="AD5088" s="5" t="str">
        <f>IFERROR(__xludf.DUMMYFUNCTION("""COMPUTED_VALUE"""),"James Chalke")</f>
        <v>James Chalke</v>
      </c>
    </row>
    <row r="5089" customHeight="1" spans="30:30">
      <c r="AD5089" s="5" t="str">
        <f>IFERROR(__xludf.DUMMYFUNCTION("""COMPUTED_VALUE"""),"Paul McGillion")</f>
        <v>Paul McGillion</v>
      </c>
    </row>
    <row r="5090" customHeight="1" spans="30:30">
      <c r="AD5090" s="5" t="str">
        <f>IFERROR(__xludf.DUMMYFUNCTION("""COMPUTED_VALUE"""),"Mike 'The Miz' Mizanin")</f>
        <v>Mike 'The Miz' Mizanin</v>
      </c>
    </row>
    <row r="5091" customHeight="1" spans="30:30">
      <c r="AD5091" s="5" t="str">
        <f>IFERROR(__xludf.DUMMYFUNCTION("""COMPUTED_VALUE"""),"David Lewis")</f>
        <v>David Lewis</v>
      </c>
    </row>
    <row r="5092" customHeight="1" spans="30:30">
      <c r="AD5092" s="5" t="str">
        <f>IFERROR(__xludf.DUMMYFUNCTION("""COMPUTED_VALUE"""),"Erik Palladino")</f>
        <v>Erik Palladino</v>
      </c>
    </row>
    <row r="5093" customHeight="1" spans="30:30">
      <c r="AD5093" s="5" t="str">
        <f>IFERROR(__xludf.DUMMYFUNCTION("""COMPUTED_VALUE"""),"Ahmed Hassan")</f>
        <v>Ahmed Hassan</v>
      </c>
    </row>
    <row r="5094" customHeight="1" spans="30:30">
      <c r="AD5094" s="5" t="str">
        <f>IFERROR(__xludf.DUMMYFUNCTION("""COMPUTED_VALUE"""),"Aida Elkashef")</f>
        <v>Aida Elkashef</v>
      </c>
    </row>
    <row r="5095" customHeight="1" spans="30:30">
      <c r="AD5095" s="5" t="str">
        <f>IFERROR(__xludf.DUMMYFUNCTION("""COMPUTED_VALUE"""),"Karl E. Landler")</f>
        <v>Karl E. Landler</v>
      </c>
    </row>
    <row r="5096" customHeight="1" spans="30:30">
      <c r="AD5096" s="5" t="str">
        <f>IFERROR(__xludf.DUMMYFUNCTION("""COMPUTED_VALUE"""),"Lizzie Brocheré")</f>
        <v>Lizzie Brocheré</v>
      </c>
    </row>
    <row r="5097" customHeight="1" spans="30:30">
      <c r="AD5097" s="5" t="str">
        <f>IFERROR(__xludf.DUMMYFUNCTION("""COMPUTED_VALUE"""),"Remo")</f>
        <v>Remo</v>
      </c>
    </row>
    <row r="5098" customHeight="1" spans="30:30">
      <c r="AD5098" s="5" t="str">
        <f>IFERROR(__xludf.DUMMYFUNCTION("""COMPUTED_VALUE"""),"Prabhudheva")</f>
        <v>Prabhudheva</v>
      </c>
    </row>
    <row r="5099" customHeight="1" spans="30:30">
      <c r="AD5099" s="5" t="str">
        <f>IFERROR(__xludf.DUMMYFUNCTION("""COMPUTED_VALUE"""),"Paul McGill")</f>
        <v>Paul McGill</v>
      </c>
    </row>
    <row r="5100" customHeight="1" spans="30:30">
      <c r="AD5100" s="5" t="str">
        <f>IFERROR(__xludf.DUMMYFUNCTION("""COMPUTED_VALUE"""),"Philippe Petit")</f>
        <v>Philippe Petit</v>
      </c>
    </row>
    <row r="5101" customHeight="1" spans="30:30">
      <c r="AD5101" s="5" t="str">
        <f>IFERROR(__xludf.DUMMYFUNCTION("""COMPUTED_VALUE"""),"Jean-Louis Blondeau")</f>
        <v>Jean-Louis Blondeau</v>
      </c>
    </row>
    <row r="5102" customHeight="1" spans="30:30">
      <c r="AD5102" s="5" t="str">
        <f>IFERROR(__xludf.DUMMYFUNCTION("""COMPUTED_VALUE"""),"Siobhan Marshall")</f>
        <v>Siobhan Marshall</v>
      </c>
    </row>
    <row r="5103" customHeight="1" spans="30:30">
      <c r="AD5103" s="5" t="str">
        <f>IFERROR(__xludf.DUMMYFUNCTION("""COMPUTED_VALUE"""),"Peter Feeney")</f>
        <v>Peter Feeney</v>
      </c>
    </row>
    <row r="5104" customHeight="1" spans="30:30">
      <c r="AD5104" s="5" t="str">
        <f>IFERROR(__xludf.DUMMYFUNCTION("""COMPUTED_VALUE"""),"Rachel Nash")</f>
        <v>Rachel Nash</v>
      </c>
    </row>
    <row r="5105" customHeight="1" spans="30:30">
      <c r="AD5105" s="5" t="str">
        <f>IFERROR(__xludf.DUMMYFUNCTION("""COMPUTED_VALUE"""),"Adam Ratcliffe")</f>
        <v>Adam Ratcliffe</v>
      </c>
    </row>
    <row r="5106" customHeight="1" spans="30:30">
      <c r="AD5106" s="5" t="str">
        <f>IFERROR(__xludf.DUMMYFUNCTION("""COMPUTED_VALUE"""),"Patrick Fabian")</f>
        <v>Patrick Fabian</v>
      </c>
    </row>
    <row r="5107" customHeight="1" spans="30:30">
      <c r="AD5107" s="5" t="str">
        <f>IFERROR(__xludf.DUMMYFUNCTION("""COMPUTED_VALUE"""),"Kim Hunter")</f>
        <v>Kim Hunter</v>
      </c>
    </row>
    <row r="5108" customHeight="1" spans="30:30">
      <c r="AD5108" s="5" t="str">
        <f>IFERROR(__xludf.DUMMYFUNCTION("""COMPUTED_VALUE"""),"Ana Claudia Talancón")</f>
        <v>Ana Claudia Talancón</v>
      </c>
    </row>
    <row r="5109" customHeight="1" spans="30:30">
      <c r="AD5109" s="5" t="str">
        <f>IFERROR(__xludf.DUMMYFUNCTION("""COMPUTED_VALUE"""),"Gina Montana")</f>
        <v>Gina Montana</v>
      </c>
    </row>
    <row r="5110" customHeight="1" spans="30:30">
      <c r="AD5110" s="5" t="str">
        <f>IFERROR(__xludf.DUMMYFUNCTION("""COMPUTED_VALUE"""),"Dwight Henry")</f>
        <v>Dwight Henry</v>
      </c>
    </row>
    <row r="5111" customHeight="1" spans="30:30">
      <c r="AD5111" s="5" t="str">
        <f>IFERROR(__xludf.DUMMYFUNCTION("""COMPUTED_VALUE"""),"Claude Akins")</f>
        <v>Claude Akins</v>
      </c>
    </row>
    <row r="5112" customHeight="1" spans="30:30">
      <c r="AD5112" s="5" t="str">
        <f>IFERROR(__xludf.DUMMYFUNCTION("""COMPUTED_VALUE"""),"Hansika Motwani")</f>
        <v>Hansika Motwani</v>
      </c>
    </row>
    <row r="5113" customHeight="1" spans="30:30">
      <c r="AD5113" s="5" t="str">
        <f>IFERROR(__xludf.DUMMYFUNCTION("""COMPUTED_VALUE"""),"T.R. Silambarasan")</f>
        <v>T.R. Silambarasan</v>
      </c>
    </row>
    <row r="5114" customHeight="1" spans="30:30">
      <c r="AD5114" s="5" t="str">
        <f>IFERROR(__xludf.DUMMYFUNCTION("""COMPUTED_VALUE"""),"Brahmanandam")</f>
        <v>Brahmanandam</v>
      </c>
    </row>
    <row r="5115" customHeight="1" spans="30:30">
      <c r="AD5115" s="5" t="str">
        <f>IFERROR(__xludf.DUMMYFUNCTION("""COMPUTED_VALUE"""),"J.J. Abrams")</f>
        <v>J.J. Abrams</v>
      </c>
    </row>
    <row r="5116" customHeight="1" spans="30:30">
      <c r="AD5116" s="5" t="str">
        <f>IFERROR(__xludf.DUMMYFUNCTION("""COMPUTED_VALUE"""),"Donald Trump")</f>
        <v>Donald Trump</v>
      </c>
    </row>
    <row r="5117" customHeight="1" spans="30:30">
      <c r="AD5117" s="5" t="str">
        <f>IFERROR(__xludf.DUMMYFUNCTION("""COMPUTED_VALUE"""),"Tshewang Dendup")</f>
        <v>Tshewang Dendup</v>
      </c>
    </row>
    <row r="5118" customHeight="1" spans="30:30">
      <c r="AD5118" s="5" t="str">
        <f>IFERROR(__xludf.DUMMYFUNCTION("""COMPUTED_VALUE"""),"Lhakpa Dorji")</f>
        <v>Lhakpa Dorji</v>
      </c>
    </row>
    <row r="5119" customHeight="1" spans="30:30">
      <c r="AD5119" s="5" t="str">
        <f>IFERROR(__xludf.DUMMYFUNCTION("""COMPUTED_VALUE"""),"Sonam Kinga")</f>
        <v>Sonam Kinga</v>
      </c>
    </row>
    <row r="5120" customHeight="1" spans="30:30">
      <c r="AD5120" s="5" t="str">
        <f>IFERROR(__xludf.DUMMYFUNCTION("""COMPUTED_VALUE"""),"Alan Hale Jr.")</f>
        <v>Alan Hale Jr.</v>
      </c>
    </row>
    <row r="5121" customHeight="1" spans="30:30">
      <c r="AD5121" s="5" t="str">
        <f>IFERROR(__xludf.DUMMYFUNCTION("""COMPUTED_VALUE"""),"Humphrey Bogart")</f>
        <v>Humphrey Bogart</v>
      </c>
    </row>
    <row r="5122" customHeight="1" spans="30:30">
      <c r="AD5122" s="5" t="str">
        <f>IFERROR(__xludf.DUMMYFUNCTION("""COMPUTED_VALUE"""),"Jim Backus")</f>
        <v>Jim Backus</v>
      </c>
    </row>
    <row r="5123" customHeight="1" spans="30:30">
      <c r="AD5123" s="5" t="str">
        <f>IFERROR(__xludf.DUMMYFUNCTION("""COMPUTED_VALUE"""),"Kimberley Crossman")</f>
        <v>Kimberley Crossman</v>
      </c>
    </row>
    <row r="5124" customHeight="1" spans="30:30">
      <c r="AD5124" s="5" t="str">
        <f>IFERROR(__xludf.DUMMYFUNCTION("""COMPUTED_VALUE"""),"Luke Edwards")</f>
        <v>Luke Edwards</v>
      </c>
    </row>
    <row r="5125" customHeight="1" spans="30:30">
      <c r="AD5125" s="5" t="str">
        <f>IFERROR(__xludf.DUMMYFUNCTION("""COMPUTED_VALUE"""),"Bree Williamson")</f>
        <v>Bree Williamson</v>
      </c>
    </row>
    <row r="5126" customHeight="1" spans="30:30">
      <c r="AD5126" s="5" t="str">
        <f>IFERROR(__xludf.DUMMYFUNCTION("""COMPUTED_VALUE"""),"Keenan Tracey")</f>
        <v>Keenan Tracey</v>
      </c>
    </row>
    <row r="5127" customHeight="1" spans="30:30">
      <c r="AD5127" s="5" t="str">
        <f>IFERROR(__xludf.DUMMYFUNCTION("""COMPUTED_VALUE"""),"Nicholas Carella")</f>
        <v>Nicholas Carella</v>
      </c>
    </row>
    <row r="5128" customHeight="1" spans="30:30">
      <c r="AD5128" s="5" t="str">
        <f>IFERROR(__xludf.DUMMYFUNCTION("""COMPUTED_VALUE"""),"Christian Keyes")</f>
        <v>Christian Keyes</v>
      </c>
    </row>
    <row r="5129" customHeight="1" spans="30:30">
      <c r="AD5129" s="5" t="str">
        <f>IFERROR(__xludf.DUMMYFUNCTION("""COMPUTED_VALUE"""),"Ludger Pistor")</f>
        <v>Ludger Pistor</v>
      </c>
    </row>
    <row r="5130" customHeight="1" spans="30:30">
      <c r="AD5130" s="5" t="str">
        <f>IFERROR(__xludf.DUMMYFUNCTION("""COMPUTED_VALUE"""),"Armin Rohde")</f>
        <v>Armin Rohde</v>
      </c>
    </row>
    <row r="5131" customHeight="1" spans="30:30">
      <c r="AD5131" s="5" t="str">
        <f>IFERROR(__xludf.DUMMYFUNCTION("""COMPUTED_VALUE"""),"Will Estes")</f>
        <v>Will Estes</v>
      </c>
    </row>
    <row r="5132" customHeight="1" spans="30:30">
      <c r="AD5132" s="5" t="str">
        <f>IFERROR(__xludf.DUMMYFUNCTION("""COMPUTED_VALUE"""),"CJ Adams")</f>
        <v>CJ Adams</v>
      </c>
    </row>
    <row r="5133" customHeight="1" spans="30:30">
      <c r="AD5133" s="5" t="str">
        <f>IFERROR(__xludf.DUMMYFUNCTION("""COMPUTED_VALUE"""),"Erin Pitt")</f>
        <v>Erin Pitt</v>
      </c>
    </row>
    <row r="5134" customHeight="1" spans="30:30">
      <c r="AD5134" s="5" t="str">
        <f>IFERROR(__xludf.DUMMYFUNCTION("""COMPUTED_VALUE"""),"Matthew Alan")</f>
        <v>Matthew Alan</v>
      </c>
    </row>
    <row r="5135" customHeight="1" spans="30:30">
      <c r="AD5135" s="5" t="str">
        <f>IFERROR(__xludf.DUMMYFUNCTION("""COMPUTED_VALUE"""),"Chris Cleveland")</f>
        <v>Chris Cleveland</v>
      </c>
    </row>
    <row r="5136" customHeight="1" spans="30:30">
      <c r="AD5136" s="5" t="str">
        <f>IFERROR(__xludf.DUMMYFUNCTION("""COMPUTED_VALUE"""),"Circus-Szalewski")</f>
        <v>Circus-Szalewski</v>
      </c>
    </row>
    <row r="5137" customHeight="1" spans="30:30">
      <c r="AD5137" s="5" t="str">
        <f>IFERROR(__xludf.DUMMYFUNCTION("""COMPUTED_VALUE"""),"Gordon Jump")</f>
        <v>Gordon Jump</v>
      </c>
    </row>
    <row r="5138" customHeight="1" spans="30:30">
      <c r="AD5138" s="5" t="str">
        <f>IFERROR(__xludf.DUMMYFUNCTION("""COMPUTED_VALUE"""),"John Randolph")</f>
        <v>John Randolph</v>
      </c>
    </row>
    <row r="5139" customHeight="1" spans="30:30">
      <c r="AD5139" s="5" t="str">
        <f>IFERROR(__xludf.DUMMYFUNCTION("""COMPUTED_VALUE"""),"Sarah Butler")</f>
        <v>Sarah Butler</v>
      </c>
    </row>
    <row r="5140" customHeight="1" spans="30:30">
      <c r="AD5140" s="5" t="str">
        <f>IFERROR(__xludf.DUMMYFUNCTION("""COMPUTED_VALUE"""),"Daniel Franzese")</f>
        <v>Daniel Franzese</v>
      </c>
    </row>
    <row r="5141" customHeight="1" spans="30:30">
      <c r="AD5141" s="5" t="str">
        <f>IFERROR(__xludf.DUMMYFUNCTION("""COMPUTED_VALUE"""),"Ally Walker")</f>
        <v>Ally Walker</v>
      </c>
    </row>
    <row r="5142" customHeight="1" spans="30:30">
      <c r="AD5142" s="5" t="str">
        <f>IFERROR(__xludf.DUMMYFUNCTION("""COMPUTED_VALUE"""),"Natalie Press")</f>
        <v>Natalie Press</v>
      </c>
    </row>
    <row r="5143" customHeight="1" spans="30:30">
      <c r="AD5143" s="5" t="str">
        <f>IFERROR(__xludf.DUMMYFUNCTION("""COMPUTED_VALUE"""),"Dean Andrews")</f>
        <v>Dean Andrews</v>
      </c>
    </row>
    <row r="5144" customHeight="1" spans="30:30">
      <c r="AD5144" s="5" t="str">
        <f>IFERROR(__xludf.DUMMYFUNCTION("""COMPUTED_VALUE"""),"Nawazuddin Siddiqui")</f>
        <v>Nawazuddin Siddiqui</v>
      </c>
    </row>
    <row r="5145" customHeight="1" spans="30:30">
      <c r="AD5145" s="5" t="str">
        <f>IFERROR(__xludf.DUMMYFUNCTION("""COMPUTED_VALUE"""),"Jean Arthur")</f>
        <v>Jean Arthur</v>
      </c>
    </row>
    <row r="5146" customHeight="1" spans="30:30">
      <c r="AD5146" s="5" t="str">
        <f>IFERROR(__xludf.DUMMYFUNCTION("""COMPUTED_VALUE"""),"Ann Miller")</f>
        <v>Ann Miller</v>
      </c>
    </row>
    <row r="5147" customHeight="1" spans="30:30">
      <c r="AD5147" s="5" t="str">
        <f>IFERROR(__xludf.DUMMYFUNCTION("""COMPUTED_VALUE"""),"Ben Johnson")</f>
        <v>Ben Johnson</v>
      </c>
    </row>
    <row r="5148" customHeight="1" spans="30:30">
      <c r="AD5148" s="5" t="str">
        <f>IFERROR(__xludf.DUMMYFUNCTION("""COMPUTED_VALUE"""),"Victor McLaglen")</f>
        <v>Victor McLaglen</v>
      </c>
    </row>
    <row r="5149" customHeight="1" spans="30:30">
      <c r="AD5149" s="5" t="str">
        <f>IFERROR(__xludf.DUMMYFUNCTION("""COMPUTED_VALUE"""),"Michael Welch")</f>
        <v>Michael Welch</v>
      </c>
    </row>
    <row r="5150" customHeight="1" spans="30:30">
      <c r="AD5150" s="5" t="str">
        <f>IFERROR(__xludf.DUMMYFUNCTION("""COMPUTED_VALUE"""),"Marla Gibbs")</f>
        <v>Marla Gibbs</v>
      </c>
    </row>
    <row r="5151" customHeight="1" spans="30:30">
      <c r="AD5151" s="5" t="str">
        <f>IFERROR(__xludf.DUMMYFUNCTION("""COMPUTED_VALUE"""),"Yasmine Al Massri")</f>
        <v>Yasmine Al Massri</v>
      </c>
    </row>
    <row r="5152" customHeight="1" spans="30:30">
      <c r="AD5152" s="5" t="str">
        <f>IFERROR(__xludf.DUMMYFUNCTION("""COMPUTED_VALUE"""),"Adel Karam")</f>
        <v>Adel Karam</v>
      </c>
    </row>
    <row r="5153" customHeight="1" spans="30:30">
      <c r="AD5153" s="5" t="str">
        <f>IFERROR(__xludf.DUMMYFUNCTION("""COMPUTED_VALUE"""),"Nadine Labaki")</f>
        <v>Nadine Labaki</v>
      </c>
    </row>
    <row r="5154" customHeight="1" spans="30:30">
      <c r="AD5154" s="5" t="str">
        <f>IFERROR(__xludf.DUMMYFUNCTION("""COMPUTED_VALUE"""),"Pixie Davies")</f>
        <v>Pixie Davies</v>
      </c>
    </row>
    <row r="5155" customHeight="1" spans="30:30">
      <c r="AD5155" s="5" t="str">
        <f>IFERROR(__xludf.DUMMYFUNCTION("""COMPUTED_VALUE"""),"Alejandro Furth")</f>
        <v>Alejandro Furth</v>
      </c>
    </row>
    <row r="5156" customHeight="1" spans="30:30">
      <c r="AD5156" s="5" t="str">
        <f>IFERROR(__xludf.DUMMYFUNCTION("""COMPUTED_VALUE"""),"Ohad Knoller")</f>
        <v>Ohad Knoller</v>
      </c>
    </row>
    <row r="5157" customHeight="1" spans="30:30">
      <c r="AD5157" s="5" t="str">
        <f>IFERROR(__xludf.DUMMYFUNCTION("""COMPUTED_VALUE"""),"Lior Ashkenazi")</f>
        <v>Lior Ashkenazi</v>
      </c>
    </row>
    <row r="5158" customHeight="1" spans="30:30">
      <c r="AD5158" s="5" t="str">
        <f>IFERROR(__xludf.DUMMYFUNCTION("""COMPUTED_VALUE"""),"Yousef 'Joe' Sweid")</f>
        <v>Yousef 'Joe' Sweid</v>
      </c>
    </row>
    <row r="5159" customHeight="1" spans="30:30">
      <c r="AD5159" s="5" t="str">
        <f>IFERROR(__xludf.DUMMYFUNCTION("""COMPUTED_VALUE"""),"Cindy Williams")</f>
        <v>Cindy Williams</v>
      </c>
    </row>
    <row r="5160" customHeight="1" spans="30:30">
      <c r="AD5160" s="5" t="str">
        <f>IFERROR(__xludf.DUMMYFUNCTION("""COMPUTED_VALUE"""),"Revathy")</f>
        <v>Revathy</v>
      </c>
    </row>
    <row r="5161" customHeight="1" spans="30:30">
      <c r="AD5161" s="5" t="str">
        <f>IFERROR(__xludf.DUMMYFUNCTION("""COMPUTED_VALUE"""),"Jean-Paul Belmondo")</f>
        <v>Jean-Paul Belmondo</v>
      </c>
    </row>
    <row r="5162" customHeight="1" spans="30:30">
      <c r="AD5162" s="5" t="str">
        <f>IFERROR(__xludf.DUMMYFUNCTION("""COMPUTED_VALUE"""),"Michel Bouquet")</f>
        <v>Michel Bouquet</v>
      </c>
    </row>
    <row r="5163" customHeight="1" spans="30:30">
      <c r="AD5163" s="5" t="str">
        <f>IFERROR(__xludf.DUMMYFUNCTION("""COMPUTED_VALUE"""),"Marisa Coughlan")</f>
        <v>Marisa Coughlan</v>
      </c>
    </row>
    <row r="5164" customHeight="1" spans="30:30">
      <c r="AD5164" s="5" t="str">
        <f>IFERROR(__xludf.DUMMYFUNCTION("""COMPUTED_VALUE"""),"Dustin Ingram")</f>
        <v>Dustin Ingram</v>
      </c>
    </row>
    <row r="5165" customHeight="1" spans="30:30">
      <c r="AD5165" s="5" t="str">
        <f>IFERROR(__xludf.DUMMYFUNCTION("""COMPUTED_VALUE"""),"Gage Golightly")</f>
        <v>Gage Golightly</v>
      </c>
    </row>
    <row r="5166" customHeight="1" spans="30:30">
      <c r="AD5166" s="5" t="str">
        <f>IFERROR(__xludf.DUMMYFUNCTION("""COMPUTED_VALUE"""),"Samuel Davis")</f>
        <v>Samuel Davis</v>
      </c>
    </row>
    <row r="5167" customHeight="1" spans="30:30">
      <c r="AD5167" s="5" t="str">
        <f>IFERROR(__xludf.DUMMYFUNCTION("""COMPUTED_VALUE"""),"Donald Gibb")</f>
        <v>Donald Gibb</v>
      </c>
    </row>
    <row r="5168" customHeight="1" spans="30:30">
      <c r="AD5168" s="5" t="str">
        <f>IFERROR(__xludf.DUMMYFUNCTION("""COMPUTED_VALUE"""),"Ken Siu")</f>
        <v>Ken Siu</v>
      </c>
    </row>
    <row r="5169" customHeight="1" spans="30:30">
      <c r="AD5169" s="5" t="str">
        <f>IFERROR(__xludf.DUMMYFUNCTION("""COMPUTED_VALUE"""),"Leo Fitzpatrick")</f>
        <v>Leo Fitzpatrick</v>
      </c>
    </row>
    <row r="5170" customHeight="1" spans="30:30">
      <c r="AD5170" s="5" t="str">
        <f>IFERROR(__xludf.DUMMYFUNCTION("""COMPUTED_VALUE"""),"Justin Pierce")</f>
        <v>Justin Pierce</v>
      </c>
    </row>
    <row r="5171" customHeight="1" spans="30:30">
      <c r="AD5171" s="5" t="str">
        <f>IFERROR(__xludf.DUMMYFUNCTION("""COMPUTED_VALUE"""),"William Baldwin")</f>
        <v>William Baldwin</v>
      </c>
    </row>
    <row r="5172" customHeight="1" spans="30:30">
      <c r="AD5172" s="5" t="str">
        <f>IFERROR(__xludf.DUMMYFUNCTION("""COMPUTED_VALUE"""),"Elizabeth Meriwether")</f>
        <v>Elizabeth Meriwether</v>
      </c>
    </row>
    <row r="5173" customHeight="1" spans="30:30">
      <c r="AD5173" s="5" t="str">
        <f>IFERROR(__xludf.DUMMYFUNCTION("""COMPUTED_VALUE"""),"Owen Kline")</f>
        <v>Owen Kline</v>
      </c>
    </row>
    <row r="5174" customHeight="1" spans="30:30">
      <c r="AD5174" s="5" t="str">
        <f>IFERROR(__xludf.DUMMYFUNCTION("""COMPUTED_VALUE"""),"Scott Cohen")</f>
        <v>Scott Cohen</v>
      </c>
    </row>
    <row r="5175" customHeight="1" spans="30:30">
      <c r="AD5175" s="5" t="str">
        <f>IFERROR(__xludf.DUMMYFUNCTION("""COMPUTED_VALUE"""),"Jennifer Westfeldt")</f>
        <v>Jennifer Westfeldt</v>
      </c>
    </row>
    <row r="5176" customHeight="1" spans="30:30">
      <c r="AD5176" s="5" t="str">
        <f>IFERROR(__xludf.DUMMYFUNCTION("""COMPUTED_VALUE"""),"Brian Stepanek")</f>
        <v>Brian Stepanek</v>
      </c>
    </row>
    <row r="5177" customHeight="1" spans="30:30">
      <c r="AD5177" s="5" t="str">
        <f>IFERROR(__xludf.DUMMYFUNCTION("""COMPUTED_VALUE"""),"Matthew Ziff")</f>
        <v>Matthew Ziff</v>
      </c>
    </row>
    <row r="5178" customHeight="1" spans="30:30">
      <c r="AD5178" s="5" t="str">
        <f>IFERROR(__xludf.DUMMYFUNCTION("""COMPUTED_VALUE"""),"T.J. Storm")</f>
        <v>T.J. Storm</v>
      </c>
    </row>
    <row r="5179" customHeight="1" spans="30:30">
      <c r="AD5179" s="5" t="str">
        <f>IFERROR(__xludf.DUMMYFUNCTION("""COMPUTED_VALUE"""),"Sam Medina")</f>
        <v>Sam Medina</v>
      </c>
    </row>
    <row r="5180" customHeight="1" spans="30:30">
      <c r="AD5180" s="5" t="str">
        <f>IFERROR(__xludf.DUMMYFUNCTION("""COMPUTED_VALUE"""),"Norman Lloyd")</f>
        <v>Norman Lloyd</v>
      </c>
    </row>
    <row r="5181" customHeight="1" spans="30:30">
      <c r="AD5181" s="5" t="str">
        <f>IFERROR(__xludf.DUMMYFUNCTION("""COMPUTED_VALUE"""),"Rhonda Fleming")</f>
        <v>Rhonda Fleming</v>
      </c>
    </row>
    <row r="5182" customHeight="1" spans="30:30">
      <c r="AD5182" s="5" t="str">
        <f>IFERROR(__xludf.DUMMYFUNCTION("""COMPUTED_VALUE"""),"Leo G. Carroll")</f>
        <v>Leo G. Carroll</v>
      </c>
    </row>
    <row r="5183" customHeight="1" spans="30:30">
      <c r="AD5183" s="5" t="str">
        <f>IFERROR(__xludf.DUMMYFUNCTION("""COMPUTED_VALUE"""),"Philip Friedman")</f>
        <v>Philip Friedman</v>
      </c>
    </row>
    <row r="5184" customHeight="1" spans="30:30">
      <c r="AD5184" s="5" t="str">
        <f>IFERROR(__xludf.DUMMYFUNCTION("""COMPUTED_VALUE"""),"Miguel Sandoval")</f>
        <v>Miguel Sandoval</v>
      </c>
    </row>
    <row r="5185" customHeight="1" spans="30:30">
      <c r="AD5185" s="5" t="str">
        <f>IFERROR(__xludf.DUMMYFUNCTION("""COMPUTED_VALUE"""),"Gastón Pauls")</f>
        <v>Gastón Pauls</v>
      </c>
    </row>
    <row r="5186" customHeight="1" spans="30:30">
      <c r="AD5186" s="5" t="str">
        <f>IFERROR(__xludf.DUMMYFUNCTION("""COMPUTED_VALUE"""),"Leticia Brédice")</f>
        <v>Leticia Brédice</v>
      </c>
    </row>
    <row r="5187" customHeight="1" spans="30:30">
      <c r="AD5187" s="5" t="str">
        <f>IFERROR(__xludf.DUMMYFUNCTION("""COMPUTED_VALUE"""),"Ami Ayalon")</f>
        <v>Ami Ayalon</v>
      </c>
    </row>
    <row r="5188" customHeight="1" spans="30:30">
      <c r="AD5188" s="5" t="str">
        <f>IFERROR(__xludf.DUMMYFUNCTION("""COMPUTED_VALUE"""),"Yuval Diskin")</f>
        <v>Yuval Diskin</v>
      </c>
    </row>
    <row r="5189" customHeight="1" spans="30:30">
      <c r="AD5189" s="5" t="str">
        <f>IFERROR(__xludf.DUMMYFUNCTION("""COMPUTED_VALUE"""),"Yaakov Peri")</f>
        <v>Yaakov Peri</v>
      </c>
    </row>
    <row r="5190" customHeight="1" spans="30:30">
      <c r="AD5190" s="5" t="str">
        <f>IFERROR(__xludf.DUMMYFUNCTION("""COMPUTED_VALUE"""),"Ryan McDonald")</f>
        <v>Ryan McDonald</v>
      </c>
    </row>
    <row r="5191" customHeight="1" spans="30:30">
      <c r="AD5191" s="5" t="str">
        <f>IFERROR(__xludf.DUMMYFUNCTION("""COMPUTED_VALUE"""),"Salvator Xuereb")</f>
        <v>Salvator Xuereb</v>
      </c>
    </row>
    <row r="5192" customHeight="1" spans="30:30">
      <c r="AD5192" s="5" t="str">
        <f>IFERROR(__xludf.DUMMYFUNCTION("""COMPUTED_VALUE"""),"Theresa Russell")</f>
        <v>Theresa Russell</v>
      </c>
    </row>
    <row r="5193" customHeight="1" spans="30:30">
      <c r="AD5193" s="5" t="str">
        <f>IFERROR(__xludf.DUMMYFUNCTION("""COMPUTED_VALUE"""),"Summer Phoenix")</f>
        <v>Summer Phoenix</v>
      </c>
    </row>
    <row r="5194" customHeight="1" spans="30:30">
      <c r="AD5194" s="5" t="str">
        <f>IFERROR(__xludf.DUMMYFUNCTION("""COMPUTED_VALUE"""),"Ward G. Smith")</f>
        <v>Ward G. Smith</v>
      </c>
    </row>
    <row r="5195" customHeight="1" spans="30:30">
      <c r="AD5195" s="5" t="str">
        <f>IFERROR(__xludf.DUMMYFUNCTION("""COMPUTED_VALUE"""),"Lisa Brave")</f>
        <v>Lisa Brave</v>
      </c>
    </row>
    <row r="5196" customHeight="1" spans="30:30">
      <c r="AD5196" s="5" t="str">
        <f>IFERROR(__xludf.DUMMYFUNCTION("""COMPUTED_VALUE"""),"Malone Thomas")</f>
        <v>Malone Thomas</v>
      </c>
    </row>
    <row r="5197" customHeight="1" spans="30:30">
      <c r="AD5197" s="5" t="str">
        <f>IFERROR(__xludf.DUMMYFUNCTION("""COMPUTED_VALUE"""),"Jessy Schram")</f>
        <v>Jessy Schram</v>
      </c>
    </row>
    <row r="5198" customHeight="1" spans="30:30">
      <c r="AD5198" s="5" t="str">
        <f>IFERROR(__xludf.DUMMYFUNCTION("""COMPUTED_VALUE"""),"Joel Murray")</f>
        <v>Joel Murray</v>
      </c>
    </row>
    <row r="5199" customHeight="1" spans="30:30">
      <c r="AD5199" s="5" t="str">
        <f>IFERROR(__xludf.DUMMYFUNCTION("""COMPUTED_VALUE"""),"Paulette Goddard")</f>
        <v>Paulette Goddard</v>
      </c>
    </row>
    <row r="5200" customHeight="1" spans="30:30">
      <c r="AD5200" s="5" t="str">
        <f>IFERROR(__xludf.DUMMYFUNCTION("""COMPUTED_VALUE"""),"Stanley Blystone")</f>
        <v>Stanley Blystone</v>
      </c>
    </row>
    <row r="5201" customHeight="1" spans="30:30">
      <c r="AD5201" s="5" t="str">
        <f>IFERROR(__xludf.DUMMYFUNCTION("""COMPUTED_VALUE"""),"Fred Malatesta")</f>
        <v>Fred Malatesta</v>
      </c>
    </row>
    <row r="5202" customHeight="1" spans="30:30">
      <c r="AD5202" s="5" t="str">
        <f>IFERROR(__xludf.DUMMYFUNCTION("""COMPUTED_VALUE"""),"Timothy Patrick Quill")</f>
        <v>Timothy Patrick Quill</v>
      </c>
    </row>
    <row r="5203" customHeight="1" spans="30:30">
      <c r="AD5203" s="5" t="str">
        <f>IFERROR(__xludf.DUMMYFUNCTION("""COMPUTED_VALUE"""),"Jim O'Heir")</f>
        <v>Jim O'Heir</v>
      </c>
    </row>
    <row r="5204" customHeight="1" spans="30:30">
      <c r="AD5204" s="5" t="str">
        <f>IFERROR(__xludf.DUMMYFUNCTION("""COMPUTED_VALUE"""),"Jenny O'Hara")</f>
        <v>Jenny O'Hara</v>
      </c>
    </row>
    <row r="5205" customHeight="1" spans="30:30">
      <c r="AD5205" s="5" t="str">
        <f>IFERROR(__xludf.DUMMYFUNCTION("""COMPUTED_VALUE"""),"Darren E. Burrows")</f>
        <v>Darren E. Burrows</v>
      </c>
    </row>
    <row r="5206" customHeight="1" spans="30:30">
      <c r="AD5206" s="5" t="str">
        <f>IFERROR(__xludf.DUMMYFUNCTION("""COMPUTED_VALUE"""),"Brian Lee Franklin")</f>
        <v>Brian Lee Franklin</v>
      </c>
    </row>
    <row r="5207" customHeight="1" spans="30:30">
      <c r="AD5207" s="5" t="str">
        <f>IFERROR(__xludf.DUMMYFUNCTION("""COMPUTED_VALUE"""),"John Arcilla")</f>
        <v>John Arcilla</v>
      </c>
    </row>
    <row r="5208" customHeight="1" spans="30:30">
      <c r="AD5208" s="5" t="str">
        <f>IFERROR(__xludf.DUMMYFUNCTION("""COMPUTED_VALUE"""),"Ronnie Lazaro")</f>
        <v>Ronnie Lazaro</v>
      </c>
    </row>
    <row r="5209" customHeight="1" spans="30:30">
      <c r="AD5209" s="5" t="str">
        <f>IFERROR(__xludf.DUMMYFUNCTION("""COMPUTED_VALUE"""),"Georgina Reilly")</f>
        <v>Georgina Reilly</v>
      </c>
    </row>
    <row r="5210" customHeight="1" spans="30:30">
      <c r="AD5210" s="5" t="str">
        <f>IFERROR(__xludf.DUMMYFUNCTION("""COMPUTED_VALUE"""),"Boyd Banks")</f>
        <v>Boyd Banks</v>
      </c>
    </row>
    <row r="5211" customHeight="1" spans="30:30">
      <c r="AD5211" s="5" t="str">
        <f>IFERROR(__xludf.DUMMYFUNCTION("""COMPUTED_VALUE"""),"Jaime Zevallos")</f>
        <v>Jaime Zevallos</v>
      </c>
    </row>
    <row r="5212" customHeight="1" spans="30:30">
      <c r="AD5212" s="5" t="str">
        <f>IFERROR(__xludf.DUMMYFUNCTION("""COMPUTED_VALUE"""),"Michael Elian")</f>
        <v>Michael Elian</v>
      </c>
    </row>
    <row r="5213" customHeight="1" spans="30:30">
      <c r="AD5213" s="5" t="str">
        <f>IFERROR(__xludf.DUMMYFUNCTION("""COMPUTED_VALUE"""),"Morgana O'Reilly")</f>
        <v>Morgana O'Reilly</v>
      </c>
    </row>
    <row r="5214" customHeight="1" spans="30:30">
      <c r="AD5214" s="5" t="str">
        <f>IFERROR(__xludf.DUMMYFUNCTION("""COMPUTED_VALUE"""),"Bruce Hopkins")</f>
        <v>Bruce Hopkins</v>
      </c>
    </row>
    <row r="5215" customHeight="1" spans="30:30">
      <c r="AD5215" s="5" t="str">
        <f>IFERROR(__xludf.DUMMYFUNCTION("""COMPUTED_VALUE"""),"Cameron Rhodes")</f>
        <v>Cameron Rhodes</v>
      </c>
    </row>
    <row r="5216" customHeight="1" spans="30:30">
      <c r="AD5216" s="5" t="str">
        <f>IFERROR(__xludf.DUMMYFUNCTION("""COMPUTED_VALUE"""),"Lee Scott")</f>
        <v>Lee Scott</v>
      </c>
    </row>
    <row r="5217" customHeight="1" spans="30:30">
      <c r="AD5217" s="5" t="str">
        <f>IFERROR(__xludf.DUMMYFUNCTION("""COMPUTED_VALUE"""),"Jon Hunter")</f>
        <v>Jon Hunter</v>
      </c>
    </row>
    <row r="5218" customHeight="1" spans="30:30">
      <c r="AD5218" s="5" t="str">
        <f>IFERROR(__xludf.DUMMYFUNCTION("""COMPUTED_VALUE"""),"Matt Hunter")</f>
        <v>Matt Hunter</v>
      </c>
    </row>
    <row r="5219" customHeight="1" spans="30:30">
      <c r="AD5219" s="5" t="str">
        <f>IFERROR(__xludf.DUMMYFUNCTION("""COMPUTED_VALUE"""),"Nicole Muñoz")</f>
        <v>Nicole Muñoz</v>
      </c>
    </row>
    <row r="5220" customHeight="1" spans="30:30">
      <c r="AD5220" s="5" t="str">
        <f>IFERROR(__xludf.DUMMYFUNCTION("""COMPUTED_VALUE"""),"Sarah Lind")</f>
        <v>Sarah Lind</v>
      </c>
    </row>
    <row r="5221" customHeight="1" spans="30:30">
      <c r="AD5221" s="5" t="str">
        <f>IFERROR(__xludf.DUMMYFUNCTION("""COMPUTED_VALUE"""),"Kyla Wise")</f>
        <v>Kyla Wise</v>
      </c>
    </row>
    <row r="5222" customHeight="1" spans="30:30">
      <c r="AD5222" s="5" t="str">
        <f>IFERROR(__xludf.DUMMYFUNCTION("""COMPUTED_VALUE"""),"Monica Barladeanu")</f>
        <v>Monica Barladeanu</v>
      </c>
    </row>
    <row r="5223" customHeight="1" spans="30:30">
      <c r="AD5223" s="5" t="str">
        <f>IFERROR(__xludf.DUMMYFUNCTION("""COMPUTED_VALUE"""),"Joe Armstrong")</f>
        <v>Joe Armstrong</v>
      </c>
    </row>
    <row r="5224" customHeight="1" spans="30:30">
      <c r="AD5224" s="5" t="str">
        <f>IFERROR(__xludf.DUMMYFUNCTION("""COMPUTED_VALUE"""),"Martin Hancock")</f>
        <v>Martin Hancock</v>
      </c>
    </row>
    <row r="5225" customHeight="1" spans="30:30">
      <c r="AD5225" s="5" t="str">
        <f>IFERROR(__xludf.DUMMYFUNCTION("""COMPUTED_VALUE"""),"Ashanti")</f>
        <v>Ashanti</v>
      </c>
    </row>
    <row r="5226" customHeight="1" spans="30:30">
      <c r="AD5226" s="5" t="str">
        <f>IFERROR(__xludf.DUMMYFUNCTION("""COMPUTED_VALUE"""),"Amber Marshall")</f>
        <v>Amber Marshall</v>
      </c>
    </row>
    <row r="5227" customHeight="1" spans="30:30">
      <c r="AD5227" s="5" t="str">
        <f>IFERROR(__xludf.DUMMYFUNCTION("""COMPUTED_VALUE"""),"John DeSantis")</f>
        <v>John DeSantis</v>
      </c>
    </row>
    <row r="5228" customHeight="1" spans="30:30">
      <c r="AD5228" s="5" t="str">
        <f>IFERROR(__xludf.DUMMYFUNCTION("""COMPUTED_VALUE"""),"Katrina Law")</f>
        <v>Katrina Law</v>
      </c>
    </row>
    <row r="5229" customHeight="1" spans="30:30">
      <c r="AD5229" s="5" t="str">
        <f>IFERROR(__xludf.DUMMYFUNCTION("""COMPUTED_VALUE"""),"Balthazar Getty")</f>
        <v>Balthazar Getty</v>
      </c>
    </row>
    <row r="5230" customHeight="1" spans="30:30">
      <c r="AD5230" s="5" t="str">
        <f>IFERROR(__xludf.DUMMYFUNCTION("""COMPUTED_VALUE"""),"Lydia Hearst")</f>
        <v>Lydia Hearst</v>
      </c>
    </row>
    <row r="5231" customHeight="1" spans="30:30">
      <c r="AD5231" s="5" t="str">
        <f>IFERROR(__xludf.DUMMYFUNCTION("""COMPUTED_VALUE"""),"Kiowa Gordon")</f>
        <v>Kiowa Gordon</v>
      </c>
    </row>
    <row r="5232" customHeight="1" spans="30:30">
      <c r="AD5232" s="5" t="str">
        <f>IFERROR(__xludf.DUMMYFUNCTION("""COMPUTED_VALUE"""),"Adriana Caselotti")</f>
        <v>Adriana Caselotti</v>
      </c>
    </row>
    <row r="5233" customHeight="1" spans="30:30">
      <c r="AD5233" s="5" t="str">
        <f>IFERROR(__xludf.DUMMYFUNCTION("""COMPUTED_VALUE"""),"Billy Gilbert")</f>
        <v>Billy Gilbert</v>
      </c>
    </row>
    <row r="5234" customHeight="1" spans="30:30">
      <c r="AD5234" s="5" t="str">
        <f>IFERROR(__xludf.DUMMYFUNCTION("""COMPUTED_VALUE"""),"Lucille La Verne")</f>
        <v>Lucille La Verne</v>
      </c>
    </row>
    <row r="5235" customHeight="1" spans="30:30">
      <c r="AD5235" s="5" t="str">
        <f>IFERROR(__xludf.DUMMYFUNCTION("""COMPUTED_VALUE"""),"Mercedes Morán")</f>
        <v>Mercedes Morán</v>
      </c>
    </row>
    <row r="5236" customHeight="1" spans="30:30">
      <c r="AD5236" s="5" t="str">
        <f>IFERROR(__xludf.DUMMYFUNCTION("""COMPUTED_VALUE"""),"María Alche")</f>
        <v>María Alche</v>
      </c>
    </row>
    <row r="5237" customHeight="1" spans="30:30">
      <c r="AD5237" s="5" t="str">
        <f>IFERROR(__xludf.DUMMYFUNCTION("""COMPUTED_VALUE"""),"Brigitte Bardot")</f>
        <v>Brigitte Bardot</v>
      </c>
    </row>
    <row r="5238" customHeight="1" spans="30:30">
      <c r="AD5238" s="5" t="str">
        <f>IFERROR(__xludf.DUMMYFUNCTION("""COMPUTED_VALUE"""),"Zak Penn")</f>
        <v>Zak Penn</v>
      </c>
    </row>
    <row r="5239" customHeight="1" spans="30:30">
      <c r="AD5239" s="5" t="str">
        <f>IFERROR(__xludf.DUMMYFUNCTION("""COMPUTED_VALUE"""),"Gabriel Beristain")</f>
        <v>Gabriel Beristain</v>
      </c>
    </row>
    <row r="5240" customHeight="1" spans="30:30">
      <c r="AD5240" s="5" t="str">
        <f>IFERROR(__xludf.DUMMYFUNCTION("""COMPUTED_VALUE"""),"John Bailey")</f>
        <v>John Bailey</v>
      </c>
    </row>
    <row r="5241" customHeight="1" spans="30:30">
      <c r="AD5241" s="5" t="str">
        <f>IFERROR(__xludf.DUMMYFUNCTION("""COMPUTED_VALUE"""),"Christina Moore")</f>
        <v>Christina Moore</v>
      </c>
    </row>
    <row r="5242" customHeight="1" spans="30:30">
      <c r="AD5242" s="5" t="str">
        <f>IFERROR(__xludf.DUMMYFUNCTION("""COMPUTED_VALUE"""),"Cullen Douglas")</f>
        <v>Cullen Douglas</v>
      </c>
    </row>
    <row r="5243" customHeight="1" spans="30:30">
      <c r="AD5243" s="5" t="str">
        <f>IFERROR(__xludf.DUMMYFUNCTION("""COMPUTED_VALUE"""),"Camren Bicondova")</f>
        <v>Camren Bicondova</v>
      </c>
    </row>
    <row r="5244" customHeight="1" spans="30:30">
      <c r="AD5244" s="5" t="str">
        <f>IFERROR(__xludf.DUMMYFUNCTION("""COMPUTED_VALUE"""),"Adam DiMarco")</f>
        <v>Adam DiMarco</v>
      </c>
    </row>
    <row r="5245" customHeight="1" spans="30:30">
      <c r="AD5245" s="5" t="str">
        <f>IFERROR(__xludf.DUMMYFUNCTION("""COMPUTED_VALUE"""),"Chasty Ballesteros")</f>
        <v>Chasty Ballesteros</v>
      </c>
    </row>
    <row r="5246" customHeight="1" spans="30:30">
      <c r="AD5246" s="5" t="str">
        <f>IFERROR(__xludf.DUMMYFUNCTION("""COMPUTED_VALUE"""),"Léa Drucker")</f>
        <v>Léa Drucker</v>
      </c>
    </row>
    <row r="5247" customHeight="1" spans="30:30">
      <c r="AD5247" s="5" t="str">
        <f>IFERROR(__xludf.DUMMYFUNCTION("""COMPUTED_VALUE"""),"Laurent Poitrenaux")</f>
        <v>Laurent Poitrenaux</v>
      </c>
    </row>
    <row r="5248" customHeight="1" spans="30:30">
      <c r="AD5248" s="5" t="str">
        <f>IFERROR(__xludf.DUMMYFUNCTION("""COMPUTED_VALUE"""),"Jonathan Mangum")</f>
        <v>Jonathan Mangum</v>
      </c>
    </row>
    <row r="5249" customHeight="1" spans="30:30">
      <c r="AD5249" s="5" t="str">
        <f>IFERROR(__xludf.DUMMYFUNCTION("""COMPUTED_VALUE"""),"Angela Jones")</f>
        <v>Angela Jones</v>
      </c>
    </row>
    <row r="5250" customHeight="1" spans="30:30">
      <c r="AD5250" s="5" t="str">
        <f>IFERROR(__xludf.DUMMYFUNCTION("""COMPUTED_VALUE"""),"Burgess Meredith")</f>
        <v>Burgess Meredith</v>
      </c>
    </row>
    <row r="5251" customHeight="1" spans="30:30">
      <c r="AD5251" s="5" t="str">
        <f>IFERROR(__xludf.DUMMYFUNCTION("""COMPUTED_VALUE"""),"Burt Ward")</f>
        <v>Burt Ward</v>
      </c>
    </row>
    <row r="5252" customHeight="1" spans="30:30">
      <c r="AD5252" s="5" t="str">
        <f>IFERROR(__xludf.DUMMYFUNCTION("""COMPUTED_VALUE"""),"Michael Douglas")</f>
        <v>Michael Douglas</v>
      </c>
    </row>
    <row r="5253" customHeight="1" spans="30:30">
      <c r="AD5253" s="5" t="str">
        <f>IFERROR(__xludf.DUMMYFUNCTION("""COMPUTED_VALUE"""),"Paprika Steen")</f>
        <v>Paprika Steen</v>
      </c>
    </row>
    <row r="5254" customHeight="1" spans="30:30">
      <c r="AD5254" s="5" t="str">
        <f>IFERROR(__xludf.DUMMYFUNCTION("""COMPUTED_VALUE"""),"Trine Dyrholm")</f>
        <v>Trine Dyrholm</v>
      </c>
    </row>
    <row r="5255" customHeight="1" spans="30:30">
      <c r="AD5255" s="5" t="str">
        <f>IFERROR(__xludf.DUMMYFUNCTION("""COMPUTED_VALUE"""),"Long Nguyen")</f>
        <v>Long Nguyen</v>
      </c>
    </row>
    <row r="5256" customHeight="1" spans="30:30">
      <c r="AD5256" s="5" t="str">
        <f>IFERROR(__xludf.DUMMYFUNCTION("""COMPUTED_VALUE"""),"Kieu Chinh")</f>
        <v>Kieu Chinh</v>
      </c>
    </row>
    <row r="5257" customHeight="1" spans="30:30">
      <c r="AD5257" s="5" t="str">
        <f>IFERROR(__xludf.DUMMYFUNCTION("""COMPUTED_VALUE"""),"Cat Ly")</f>
        <v>Cat Ly</v>
      </c>
    </row>
    <row r="5258" customHeight="1" spans="30:30">
      <c r="AD5258" s="5" t="str">
        <f>IFERROR(__xludf.DUMMYFUNCTION("""COMPUTED_VALUE"""),"Tucker Smallwood")</f>
        <v>Tucker Smallwood</v>
      </c>
    </row>
    <row r="5259" customHeight="1" spans="30:30">
      <c r="AD5259" s="5" t="str">
        <f>IFERROR(__xludf.DUMMYFUNCTION("""COMPUTED_VALUE"""),"Kristen Cloke")</f>
        <v>Kristen Cloke</v>
      </c>
    </row>
    <row r="5260" customHeight="1" spans="30:30">
      <c r="AD5260" s="5" t="str">
        <f>IFERROR(__xludf.DUMMYFUNCTION("""COMPUTED_VALUE"""),"Elina Abai Kyzy")</f>
        <v>Elina Abai Kyzy</v>
      </c>
    </row>
    <row r="5261" customHeight="1" spans="30:30">
      <c r="AD5261" s="5" t="str">
        <f>IFERROR(__xludf.DUMMYFUNCTION("""COMPUTED_VALUE"""),"Aziz Muradillayev")</f>
        <v>Aziz Muradillayev</v>
      </c>
    </row>
    <row r="5262" customHeight="1" spans="30:30">
      <c r="AD5262" s="5" t="str">
        <f>IFERROR(__xludf.DUMMYFUNCTION("""COMPUTED_VALUE"""),"Mirlan Abdulayev")</f>
        <v>Mirlan Abdulayev</v>
      </c>
    </row>
    <row r="5263" customHeight="1" spans="30:30">
      <c r="AD5263" s="5" t="str">
        <f>IFERROR(__xludf.DUMMYFUNCTION("""COMPUTED_VALUE"""),"Lenore Zann")</f>
        <v>Lenore Zann</v>
      </c>
    </row>
    <row r="5264" customHeight="1" spans="30:30">
      <c r="AD5264" s="5" t="str">
        <f>IFERROR(__xludf.DUMMYFUNCTION("""COMPUTED_VALUE"""),"Tim Choate")</f>
        <v>Tim Choate</v>
      </c>
    </row>
    <row r="5265" customHeight="1" spans="30:30">
      <c r="AD5265" s="5" t="str">
        <f>IFERROR(__xludf.DUMMYFUNCTION("""COMPUTED_VALUE"""),"Uday Chopra")</f>
        <v>Uday Chopra</v>
      </c>
    </row>
    <row r="5266" customHeight="1" spans="30:30">
      <c r="AD5266" s="5" t="str">
        <f>IFERROR(__xludf.DUMMYFUNCTION("""COMPUTED_VALUE"""),"Samantha McLeod")</f>
        <v>Samantha McLeod</v>
      </c>
    </row>
    <row r="5267" customHeight="1" spans="30:30">
      <c r="AD5267" s="5" t="str">
        <f>IFERROR(__xludf.DUMMYFUNCTION("""COMPUTED_VALUE"""),"Matt Crabtree")</f>
        <v>Matt Crabtree</v>
      </c>
    </row>
    <row r="5268" customHeight="1" spans="30:30">
      <c r="AD5268" s="5" t="str">
        <f>IFERROR(__xludf.DUMMYFUNCTION("""COMPUTED_VALUE"""),"Chloe Bridges")</f>
        <v>Chloe Bridges</v>
      </c>
    </row>
    <row r="5269" customHeight="1" spans="30:30">
      <c r="AD5269" s="5" t="str">
        <f>IFERROR(__xludf.DUMMYFUNCTION("""COMPUTED_VALUE"""),"Joan Fontaine")</f>
        <v>Joan Fontaine</v>
      </c>
    </row>
    <row r="5270" customHeight="1" spans="30:30">
      <c r="AD5270" s="5" t="str">
        <f>IFERROR(__xludf.DUMMYFUNCTION("""COMPUTED_VALUE"""),"Betsy Palmer")</f>
        <v>Betsy Palmer</v>
      </c>
    </row>
    <row r="5271" customHeight="1" spans="30:30">
      <c r="AD5271" s="5" t="str">
        <f>IFERROR(__xludf.DUMMYFUNCTION("""COMPUTED_VALUE"""),"Adrienne King")</f>
        <v>Adrienne King</v>
      </c>
    </row>
    <row r="5272" customHeight="1" spans="30:30">
      <c r="AD5272" s="5" t="str">
        <f>IFERROR(__xludf.DUMMYFUNCTION("""COMPUTED_VALUE"""),"Amy Steel")</f>
        <v>Amy Steel</v>
      </c>
    </row>
    <row r="5273" customHeight="1" spans="30:30">
      <c r="AD5273" s="5" t="str">
        <f>IFERROR(__xludf.DUMMYFUNCTION("""COMPUTED_VALUE"""),"Ray Milland")</f>
        <v>Ray Milland</v>
      </c>
    </row>
    <row r="5274" customHeight="1" spans="30:30">
      <c r="AD5274" s="5" t="str">
        <f>IFERROR(__xludf.DUMMYFUNCTION("""COMPUTED_VALUE"""),"Jane Wyman")</f>
        <v>Jane Wyman</v>
      </c>
    </row>
    <row r="5275" customHeight="1" spans="30:30">
      <c r="AD5275" s="5" t="str">
        <f>IFERROR(__xludf.DUMMYFUNCTION("""COMPUTED_VALUE"""),"Frank Faylen")</f>
        <v>Frank Faylen</v>
      </c>
    </row>
    <row r="5276" customHeight="1" spans="30:30">
      <c r="AD5276" s="5" t="str">
        <f>IFERROR(__xludf.DUMMYFUNCTION("""COMPUTED_VALUE"""),"Jenni Rivera")</f>
        <v>Jenni Rivera</v>
      </c>
    </row>
    <row r="5277" customHeight="1" spans="30:30">
      <c r="AD5277" s="5" t="str">
        <f>IFERROR(__xludf.DUMMYFUNCTION("""COMPUTED_VALUE"""),"Jorge Diaz")</f>
        <v>Jorge Diaz</v>
      </c>
    </row>
    <row r="5278" customHeight="1" spans="30:30">
      <c r="AD5278" s="5" t="str">
        <f>IFERROR(__xludf.DUMMYFUNCTION("""COMPUTED_VALUE"""),"Vic Mignogna")</f>
        <v>Vic Mignogna</v>
      </c>
    </row>
    <row r="5279" customHeight="1" spans="30:30">
      <c r="AD5279" s="5" t="str">
        <f>IFERROR(__xludf.DUMMYFUNCTION("""COMPUTED_VALUE"""),"Jean Peters")</f>
        <v>Jean Peters</v>
      </c>
    </row>
    <row r="5280" customHeight="1" spans="30:30">
      <c r="AD5280" s="5" t="str">
        <f>IFERROR(__xludf.DUMMYFUNCTION("""COMPUTED_VALUE"""),"Will Wright")</f>
        <v>Will Wright</v>
      </c>
    </row>
    <row r="5281" customHeight="1" spans="30:30">
      <c r="AD5281" s="5" t="str">
        <f>IFERROR(__xludf.DUMMYFUNCTION("""COMPUTED_VALUE"""),"Walter Pidgeon")</f>
        <v>Walter Pidgeon</v>
      </c>
    </row>
    <row r="5282" customHeight="1" spans="30:30">
      <c r="AD5282" s="5" t="str">
        <f>IFERROR(__xludf.DUMMYFUNCTION("""COMPUTED_VALUE"""),"Barry Fitzgerald")</f>
        <v>Barry Fitzgerald</v>
      </c>
    </row>
    <row r="5283" customHeight="1" spans="30:30">
      <c r="AD5283" s="5" t="str">
        <f>IFERROR(__xludf.DUMMYFUNCTION("""COMPUTED_VALUE"""),"Riley Keough")</f>
        <v>Riley Keough</v>
      </c>
    </row>
    <row r="5284" customHeight="1" spans="30:30">
      <c r="AD5284" s="5" t="str">
        <f>IFERROR(__xludf.DUMMYFUNCTION("""COMPUTED_VALUE"""),"Elvis Nolasco")</f>
        <v>Elvis Nolasco</v>
      </c>
    </row>
    <row r="5285" customHeight="1" spans="30:30">
      <c r="AD5285" s="5" t="str">
        <f>IFERROR(__xludf.DUMMYFUNCTION("""COMPUTED_VALUE"""),"Felicia Pearson")</f>
        <v>Felicia Pearson</v>
      </c>
    </row>
    <row r="5286" customHeight="1" spans="30:30">
      <c r="AD5286" s="5" t="str">
        <f>IFERROR(__xludf.DUMMYFUNCTION("""COMPUTED_VALUE"""),"Laura San Giacomo")</f>
        <v>Laura San Giacomo</v>
      </c>
    </row>
    <row r="5287" customHeight="1" spans="30:30">
      <c r="AD5287" s="5" t="str">
        <f>IFERROR(__xludf.DUMMYFUNCTION("""COMPUTED_VALUE"""),"Steven Brill")</f>
        <v>Steven Brill</v>
      </c>
    </row>
    <row r="5288" customHeight="1" spans="30:30">
      <c r="AD5288" s="5" t="str">
        <f>IFERROR(__xludf.DUMMYFUNCTION("""COMPUTED_VALUE"""),"Zuhair Haddad")</f>
        <v>Zuhair Haddad</v>
      </c>
    </row>
    <row r="5289" customHeight="1" spans="30:30">
      <c r="AD5289" s="5" t="str">
        <f>IFERROR(__xludf.DUMMYFUNCTION("""COMPUTED_VALUE"""),"Ben Youcef")</f>
        <v>Ben Youcef</v>
      </c>
    </row>
    <row r="5290" customHeight="1" spans="30:30">
      <c r="AD5290" s="5" t="str">
        <f>IFERROR(__xludf.DUMMYFUNCTION("""COMPUTED_VALUE"""),"Ximena Ayala")</f>
        <v>Ximena Ayala</v>
      </c>
    </row>
    <row r="5291" customHeight="1" spans="30:30">
      <c r="AD5291" s="5" t="str">
        <f>IFERROR(__xludf.DUMMYFUNCTION("""COMPUTED_VALUE"""),"Vera Wilson")</f>
        <v>Vera Wilson</v>
      </c>
    </row>
    <row r="5292" customHeight="1" spans="30:30">
      <c r="AD5292" s="5" t="str">
        <f>IFERROR(__xludf.DUMMYFUNCTION("""COMPUTED_VALUE"""),"José Manuel Orozco Angulo")</f>
        <v>José Manuel Orozco Angulo</v>
      </c>
    </row>
    <row r="5293" customHeight="1" spans="30:30">
      <c r="AD5293" s="5" t="str">
        <f>IFERROR(__xludf.DUMMYFUNCTION("""COMPUTED_VALUE"""),"Randeep Hooda")</f>
        <v>Randeep Hooda</v>
      </c>
    </row>
    <row r="5294" customHeight="1" spans="30:30">
      <c r="AD5294" s="5" t="str">
        <f>IFERROR(__xludf.DUMMYFUNCTION("""COMPUTED_VALUE"""),"Jerry Mathers")</f>
        <v>Jerry Mathers</v>
      </c>
    </row>
    <row r="5295" customHeight="1" spans="30:30">
      <c r="AD5295" s="5" t="str">
        <f>IFERROR(__xludf.DUMMYFUNCTION("""COMPUTED_VALUE"""),"Spring Byington")</f>
        <v>Spring Byington</v>
      </c>
    </row>
    <row r="5296" customHeight="1" spans="30:30">
      <c r="AD5296" s="5" t="str">
        <f>IFERROR(__xludf.DUMMYFUNCTION("""COMPUTED_VALUE"""),"Nigel Bruce")</f>
        <v>Nigel Bruce</v>
      </c>
    </row>
    <row r="5297" customHeight="1" spans="30:30">
      <c r="AD5297" s="5" t="str">
        <f>IFERROR(__xludf.DUMMYFUNCTION("""COMPUTED_VALUE"""),"Gale Sondergaard")</f>
        <v>Gale Sondergaard</v>
      </c>
    </row>
    <row r="5298" customHeight="1" spans="30:30">
      <c r="AD5298" s="5" t="str">
        <f>IFERROR(__xludf.DUMMYFUNCTION("""COMPUTED_VALUE"""),"Luigi Pistilli")</f>
        <v>Luigi Pistilli</v>
      </c>
    </row>
    <row r="5299" customHeight="1" spans="30:30">
      <c r="AD5299" s="5" t="str">
        <f>IFERROR(__xludf.DUMMYFUNCTION("""COMPUTED_VALUE"""),"Enzo Petito")</f>
        <v>Enzo Petito</v>
      </c>
    </row>
    <row r="5300" customHeight="1" spans="30:30">
      <c r="AD5300" s="5" t="str">
        <f>IFERROR(__xludf.DUMMYFUNCTION("""COMPUTED_VALUE"""),"Alex Huszar")</f>
        <v>Alex Huszar</v>
      </c>
    </row>
    <row r="5301" customHeight="1" spans="30:30">
      <c r="AD5301" s="5" t="str">
        <f>IFERROR(__xludf.DUMMYFUNCTION("""COMPUTED_VALUE"""),"Regina Casé")</f>
        <v>Regina Casé</v>
      </c>
    </row>
    <row r="5302" customHeight="1" spans="30:30">
      <c r="AD5302" s="5" t="str">
        <f>IFERROR(__xludf.DUMMYFUNCTION("""COMPUTED_VALUE"""),"Luis Miranda")</f>
        <v>Luis Miranda</v>
      </c>
    </row>
    <row r="5303" customHeight="1" spans="30:30">
      <c r="AD5303" s="5" t="str">
        <f>IFERROR(__xludf.DUMMYFUNCTION("""COMPUTED_VALUE"""),"Marshall Allman")</f>
        <v>Marshall Allman</v>
      </c>
    </row>
    <row r="5304" customHeight="1" spans="30:30">
      <c r="AD5304" s="5" t="str">
        <f>IFERROR(__xludf.DUMMYFUNCTION("""COMPUTED_VALUE"""),"Eric Lange")</f>
        <v>Eric Lange</v>
      </c>
    </row>
    <row r="5305" customHeight="1" spans="30:30">
      <c r="AD5305" s="5" t="str">
        <f>IFERROR(__xludf.DUMMYFUNCTION("""COMPUTED_VALUE"""),"Lemmy")</f>
        <v>Lemmy</v>
      </c>
    </row>
    <row r="5306" customHeight="1" spans="30:30">
      <c r="AD5306" s="5" t="str">
        <f>IFERROR(__xludf.DUMMYFUNCTION("""COMPUTED_VALUE"""),"Coyote Shivers")</f>
        <v>Coyote Shivers</v>
      </c>
    </row>
    <row r="5307" customHeight="1" spans="30:30">
      <c r="AD5307" s="5" t="str">
        <f>IFERROR(__xludf.DUMMYFUNCTION("""COMPUTED_VALUE"""),"Zoë Poledouris")</f>
        <v>Zoë Poledouris</v>
      </c>
    </row>
    <row r="5308" customHeight="1" spans="30:30">
      <c r="AD5308" s="5" t="str">
        <f>IFERROR(__xludf.DUMMYFUNCTION("""COMPUTED_VALUE"""),"Déborah Révy")</f>
        <v>Déborah Révy</v>
      </c>
    </row>
    <row r="5309" customHeight="1" spans="30:30">
      <c r="AD5309" s="5" t="str">
        <f>IFERROR(__xludf.DUMMYFUNCTION("""COMPUTED_VALUE"""),"Johnny Amaro")</f>
        <v>Johnny Amaro</v>
      </c>
    </row>
    <row r="5310" customHeight="1" spans="30:30">
      <c r="AD5310" s="5" t="str">
        <f>IFERROR(__xludf.DUMMYFUNCTION("""COMPUTED_VALUE"""),"Yassine Azzouz")</f>
        <v>Yassine Azzouz</v>
      </c>
    </row>
    <row r="5311" customHeight="1" spans="30:30">
      <c r="AD5311" s="5" t="str">
        <f>IFERROR(__xludf.DUMMYFUNCTION("""COMPUTED_VALUE"""),"Nataniel Sánchez")</f>
        <v>Nataniel Sánchez</v>
      </c>
    </row>
    <row r="5312" customHeight="1" spans="30:30">
      <c r="AD5312" s="5" t="str">
        <f>IFERROR(__xludf.DUMMYFUNCTION("""COMPUTED_VALUE"""),"Antonio Arrué")</f>
        <v>Antonio Arrué</v>
      </c>
    </row>
    <row r="5313" customHeight="1" spans="30:30">
      <c r="AD5313" s="5" t="str">
        <f>IFERROR(__xludf.DUMMYFUNCTION("""COMPUTED_VALUE"""),"Juan Carlos Montoya")</f>
        <v>Juan Carlos Montoya</v>
      </c>
    </row>
    <row r="5314" customHeight="1" spans="30:30">
      <c r="AD5314" s="5" t="str">
        <f>IFERROR(__xludf.DUMMYFUNCTION("""COMPUTED_VALUE"""),"Jim Cody Williams")</f>
        <v>Jim Cody Williams</v>
      </c>
    </row>
    <row r="5315" customHeight="1" spans="30:30">
      <c r="AD5315" s="5" t="str">
        <f>IFERROR(__xludf.DUMMYFUNCTION("""COMPUTED_VALUE"""),"Rich Ceraulo")</f>
        <v>Rich Ceraulo</v>
      </c>
    </row>
    <row r="5316" customHeight="1" spans="30:30">
      <c r="AD5316" s="5" t="str">
        <f>IFERROR(__xludf.DUMMYFUNCTION("""COMPUTED_VALUE"""),"Errol Flynn")</f>
        <v>Errol Flynn</v>
      </c>
    </row>
    <row r="5317" customHeight="1" spans="30:30">
      <c r="AD5317" s="5" t="str">
        <f>IFERROR(__xludf.DUMMYFUNCTION("""COMPUTED_VALUE"""),"Kristin Booth")</f>
        <v>Kristin Booth</v>
      </c>
    </row>
    <row r="5318" customHeight="1" spans="30:30">
      <c r="AD5318" s="5" t="str">
        <f>IFERROR(__xludf.DUMMYFUNCTION("""COMPUTED_VALUE"""),"Michael Eisner")</f>
        <v>Michael Eisner</v>
      </c>
    </row>
    <row r="5319" customHeight="1" spans="30:30">
      <c r="AD5319" s="5" t="str">
        <f>IFERROR(__xludf.DUMMYFUNCTION("""COMPUTED_VALUE"""),"Christie Burke")</f>
        <v>Christie Burke</v>
      </c>
    </row>
    <row r="5320" customHeight="1" spans="30:30">
      <c r="AD5320" s="5" t="str">
        <f>IFERROR(__xludf.DUMMYFUNCTION("""COMPUTED_VALUE"""),"Victor Zinck Jr.")</f>
        <v>Victor Zinck Jr.</v>
      </c>
    </row>
    <row r="5321" customHeight="1" spans="30:30">
      <c r="AD5321" s="5" t="str">
        <f>IFERROR(__xludf.DUMMYFUNCTION("""COMPUTED_VALUE"""),"Chelsey Reist")</f>
        <v>Chelsey Reist</v>
      </c>
    </row>
    <row r="5322" customHeight="1" spans="30:30">
      <c r="AD5322" s="5" t="str">
        <f>IFERROR(__xludf.DUMMYFUNCTION("""COMPUTED_VALUE"""),"Brittney Powell")</f>
        <v>Brittney Powell</v>
      </c>
    </row>
    <row r="5323" customHeight="1" spans="30:30">
      <c r="AD5323" s="5" t="str">
        <f>IFERROR(__xludf.DUMMYFUNCTION("""COMPUTED_VALUE"""),"Redd Foxx")</f>
        <v>Redd Foxx</v>
      </c>
    </row>
    <row r="5324" customHeight="1" spans="30:30">
      <c r="AD5324" s="5" t="str">
        <f>IFERROR(__xludf.DUMMYFUNCTION("""COMPUTED_VALUE"""),"Cleavon Little")</f>
        <v>Cleavon Little</v>
      </c>
    </row>
    <row r="5325" customHeight="1" spans="30:30">
      <c r="AD5325" s="5" t="str">
        <f>IFERROR(__xludf.DUMMYFUNCTION("""COMPUTED_VALUE"""),"Calvin Lockhart")</f>
        <v>Calvin Lockhart</v>
      </c>
    </row>
    <row r="5326" customHeight="1" spans="30:30">
      <c r="AD5326" s="5" t="str">
        <f>IFERROR(__xludf.DUMMYFUNCTION("""COMPUTED_VALUE"""),"Sabrina Carmichael")</f>
        <v>Sabrina Carmichael</v>
      </c>
    </row>
    <row r="5327" customHeight="1" spans="30:30">
      <c r="AD5327" s="5" t="str">
        <f>IFERROR(__xludf.DUMMYFUNCTION("""COMPUTED_VALUE"""),"Seregon O'Dassey")</f>
        <v>Seregon O'Dassey</v>
      </c>
    </row>
    <row r="5328" customHeight="1" spans="30:30">
      <c r="AD5328" s="5" t="str">
        <f>IFERROR(__xludf.DUMMYFUNCTION("""COMPUTED_VALUE"""),"Deirdre Lorenz")</f>
        <v>Deirdre Lorenz</v>
      </c>
    </row>
    <row r="5329" customHeight="1" spans="30:30">
      <c r="AD5329" s="5" t="str">
        <f>IFERROR(__xludf.DUMMYFUNCTION("""COMPUTED_VALUE"""),"Dustin Diamond")</f>
        <v>Dustin Diamond</v>
      </c>
    </row>
    <row r="5330" customHeight="1" spans="30:30">
      <c r="AD5330" s="5" t="str">
        <f>IFERROR(__xludf.DUMMYFUNCTION("""COMPUTED_VALUE"""),"George Newton")</f>
        <v>George Newton</v>
      </c>
    </row>
    <row r="5331" customHeight="1" spans="30:30">
      <c r="AD5331" s="5" t="str">
        <f>IFERROR(__xludf.DUMMYFUNCTION("""COMPUTED_VALUE"""),"Richard Cawthorne")</f>
        <v>Richard Cawthorne</v>
      </c>
    </row>
    <row r="5332" customHeight="1" spans="30:30">
      <c r="AD5332" s="5" t="str">
        <f>IFERROR(__xludf.DUMMYFUNCTION("""COMPUTED_VALUE"""),"John Jarratt")</f>
        <v>John Jarratt</v>
      </c>
    </row>
    <row r="5333" customHeight="1" spans="30:30">
      <c r="AD5333" s="5" t="str">
        <f>IFERROR(__xludf.DUMMYFUNCTION("""COMPUTED_VALUE"""),"Susan Tyrrell")</f>
        <v>Susan Tyrrell</v>
      </c>
    </row>
    <row r="5334" customHeight="1" spans="30:30">
      <c r="AD5334" s="5" t="str">
        <f>IFERROR(__xludf.DUMMYFUNCTION("""COMPUTED_VALUE"""),"Sarah Murphy-Dyson")</f>
        <v>Sarah Murphy-Dyson</v>
      </c>
    </row>
    <row r="5335" customHeight="1" spans="30:30">
      <c r="AD5335" s="5" t="str">
        <f>IFERROR(__xludf.DUMMYFUNCTION("""COMPUTED_VALUE"""),"CindyMarie Small")</f>
        <v>CindyMarie Small</v>
      </c>
    </row>
    <row r="5336" customHeight="1" spans="30:30">
      <c r="AD5336" s="5" t="str">
        <f>IFERROR(__xludf.DUMMYFUNCTION("""COMPUTED_VALUE"""),"Brent Neale")</f>
        <v>Brent Neale</v>
      </c>
    </row>
    <row r="5337" customHeight="1" spans="30:30">
      <c r="AD5337" s="5" t="str">
        <f>IFERROR(__xludf.DUMMYFUNCTION("""COMPUTED_VALUE"""),"Sean Cameron Michael")</f>
        <v>Sean Cameron Michael</v>
      </c>
    </row>
    <row r="5338" customHeight="1" spans="30:30">
      <c r="AD5338" s="5" t="str">
        <f>IFERROR(__xludf.DUMMYFUNCTION("""COMPUTED_VALUE"""),"Frank Rautenbach")</f>
        <v>Frank Rautenbach</v>
      </c>
    </row>
    <row r="5339" customHeight="1" spans="30:30">
      <c r="AD5339" s="5" t="str">
        <f>IFERROR(__xludf.DUMMYFUNCTION("""COMPUTED_VALUE"""),"Jeanne Neilson")</f>
        <v>Jeanne Neilson</v>
      </c>
    </row>
    <row r="5340" customHeight="1" spans="30:30">
      <c r="AD5340" s="5" t="str">
        <f>IFERROR(__xludf.DUMMYFUNCTION("""COMPUTED_VALUE"""),"Marilyn Norry")</f>
        <v>Marilyn Norry</v>
      </c>
    </row>
    <row r="5341" customHeight="1" spans="30:30">
      <c r="AD5341" s="5" t="str">
        <f>IFERROR(__xludf.DUMMYFUNCTION("""COMPUTED_VALUE"""),"Eva Bourne")</f>
        <v>Eva Bourne</v>
      </c>
    </row>
    <row r="5342" customHeight="1" spans="30:30">
      <c r="AD5342" s="5" t="str">
        <f>IFERROR(__xludf.DUMMYFUNCTION("""COMPUTED_VALUE"""),"Iko Uwais")</f>
        <v>Iko Uwais</v>
      </c>
    </row>
    <row r="5343" customHeight="1" spans="30:30">
      <c r="AD5343" s="5" t="str">
        <f>IFERROR(__xludf.DUMMYFUNCTION("""COMPUTED_VALUE"""),"Yayan Ruhian")</f>
        <v>Yayan Ruhian</v>
      </c>
    </row>
    <row r="5344" customHeight="1" spans="30:30">
      <c r="AD5344" s="5" t="str">
        <f>IFERROR(__xludf.DUMMYFUNCTION("""COMPUTED_VALUE"""),"Donny Alamsyah")</f>
        <v>Donny Alamsyah</v>
      </c>
    </row>
    <row r="5345" customHeight="1" spans="30:30">
      <c r="AD5345" s="5" t="str">
        <f>IFERROR(__xludf.DUMMYFUNCTION("""COMPUTED_VALUE"""),"Matthew R. Anderson")</f>
        <v>Matthew R. Anderson</v>
      </c>
    </row>
    <row r="5346" customHeight="1" spans="30:30">
      <c r="AD5346" s="5" t="str">
        <f>IFERROR(__xludf.DUMMYFUNCTION("""COMPUTED_VALUE"""),"Piero Maggiò")</f>
        <v>Piero Maggiò</v>
      </c>
    </row>
    <row r="5347" customHeight="1" spans="30:30">
      <c r="AD5347" s="5" t="str">
        <f>IFERROR(__xludf.DUMMYFUNCTION("""COMPUTED_VALUE"""),"Anella Vastola")</f>
        <v>Anella Vastola</v>
      </c>
    </row>
    <row r="5348" customHeight="1" spans="30:30">
      <c r="AD5348" s="5" t="str">
        <f>IFERROR(__xludf.DUMMYFUNCTION("""COMPUTED_VALUE"""),"Joe Marino")</f>
        <v>Joe Marino</v>
      </c>
    </row>
    <row r="5349" customHeight="1" spans="30:30">
      <c r="AD5349" s="5" t="str">
        <f>IFERROR(__xludf.DUMMYFUNCTION("""COMPUTED_VALUE"""),"Conrad Veidt")</f>
        <v>Conrad Veidt</v>
      </c>
    </row>
    <row r="5350" customHeight="1" spans="30:30">
      <c r="AD5350" s="5" t="str">
        <f>IFERROR(__xludf.DUMMYFUNCTION("""COMPUTED_VALUE"""),"Talia Zucker")</f>
        <v>Talia Zucker</v>
      </c>
    </row>
    <row r="5351" customHeight="1" spans="30:30">
      <c r="AD5351" s="5" t="str">
        <f>IFERROR(__xludf.DUMMYFUNCTION("""COMPUTED_VALUE"""),"Rosie Traynor")</f>
        <v>Rosie Traynor</v>
      </c>
    </row>
    <row r="5352" customHeight="1" spans="30:30">
      <c r="AD5352" s="5" t="str">
        <f>IFERROR(__xludf.DUMMYFUNCTION("""COMPUTED_VALUE"""),"Martin Sharpe")</f>
        <v>Martin Sharpe</v>
      </c>
    </row>
    <row r="5353" customHeight="1" spans="30:30">
      <c r="AD5353" s="5" t="str">
        <f>IFERROR(__xludf.DUMMYFUNCTION("""COMPUTED_VALUE"""),"Shazahn Padamsee")</f>
        <v>Shazahn Padamsee</v>
      </c>
    </row>
    <row r="5354" customHeight="1" spans="30:30">
      <c r="AD5354" s="5" t="str">
        <f>IFERROR(__xludf.DUMMYFUNCTION("""COMPUTED_VALUE"""),"Gauhar Khan")</f>
        <v>Gauhar Khan</v>
      </c>
    </row>
    <row r="5355" customHeight="1" spans="30:30">
      <c r="AD5355" s="5" t="str">
        <f>IFERROR(__xludf.DUMMYFUNCTION("""COMPUTED_VALUE"""),"Jesse Vint")</f>
        <v>Jesse Vint</v>
      </c>
    </row>
    <row r="5356" customHeight="1" spans="30:30">
      <c r="AD5356" s="5" t="str">
        <f>IFERROR(__xludf.DUMMYFUNCTION("""COMPUTED_VALUE"""),"Christopher Abbott")</f>
        <v>Christopher Abbott</v>
      </c>
    </row>
    <row r="5357" customHeight="1" spans="30:30">
      <c r="AD5357" s="5" t="str">
        <f>IFERROR(__xludf.DUMMYFUNCTION("""COMPUTED_VALUE"""),"Gitte Witt")</f>
        <v>Gitte Witt</v>
      </c>
    </row>
    <row r="5358" customHeight="1" spans="30:30">
      <c r="AD5358" s="5" t="str">
        <f>IFERROR(__xludf.DUMMYFUNCTION("""COMPUTED_VALUE"""),"Hugh Griffith")</f>
        <v>Hugh Griffith</v>
      </c>
    </row>
    <row r="5359" customHeight="1" spans="30:30">
      <c r="AD5359" s="5" t="str">
        <f>IFERROR(__xludf.DUMMYFUNCTION("""COMPUTED_VALUE"""),"Renee Olstead")</f>
        <v>Renee Olstead</v>
      </c>
    </row>
    <row r="5360" customHeight="1" spans="30:30">
      <c r="AD5360" s="5" t="str">
        <f>IFERROR(__xludf.DUMMYFUNCTION("""COMPUTED_VALUE"""),"Heather Sossaman")</f>
        <v>Heather Sossaman</v>
      </c>
    </row>
    <row r="5361" customHeight="1" spans="30:30">
      <c r="AD5361" s="5" t="str">
        <f>IFERROR(__xludf.DUMMYFUNCTION("""COMPUTED_VALUE"""),"Ursula Andress")</f>
        <v>Ursula Andress</v>
      </c>
    </row>
    <row r="5362" customHeight="1" spans="30:30">
      <c r="AD5362" s="5" t="str">
        <f>IFERROR(__xludf.DUMMYFUNCTION("""COMPUTED_VALUE"""),"Jack Lord")</f>
        <v>Jack Lord</v>
      </c>
    </row>
    <row r="5363" customHeight="1" spans="30:30">
      <c r="AD5363" s="5" t="str">
        <f>IFERROR(__xludf.DUMMYFUNCTION("""COMPUTED_VALUE"""),"Andrew Robinson")</f>
        <v>Andrew Robinson</v>
      </c>
    </row>
    <row r="5364" customHeight="1" spans="30:30">
      <c r="AD5364" s="5" t="str">
        <f>IFERROR(__xludf.DUMMYFUNCTION("""COMPUTED_VALUE"""),"Ashley Laurence")</f>
        <v>Ashley Laurence</v>
      </c>
    </row>
    <row r="5365" customHeight="1" spans="30:30">
      <c r="AD5365" s="5" t="str">
        <f>IFERROR(__xludf.DUMMYFUNCTION("""COMPUTED_VALUE"""),"Clare Higgins")</f>
        <v>Clare Higgins</v>
      </c>
    </row>
    <row r="5366" customHeight="1" spans="30:30">
      <c r="AD5366" s="5" t="str">
        <f>IFERROR(__xludf.DUMMYFUNCTION("""COMPUTED_VALUE"""),"Benjamin A. Onyango")</f>
        <v>Benjamin A. Onyango</v>
      </c>
    </row>
    <row r="5367" customHeight="1" spans="30:30">
      <c r="AD5367" s="5" t="str">
        <f>IFERROR(__xludf.DUMMYFUNCTION("""COMPUTED_VALUE"""),"Robin Givens")</f>
        <v>Robin Givens</v>
      </c>
    </row>
    <row r="5368" customHeight="1" spans="30:30">
      <c r="AD5368" s="5" t="str">
        <f>IFERROR(__xludf.DUMMYFUNCTION("""COMPUTED_VALUE"""),"Maria Canals-Barrera")</f>
        <v>Maria Canals-Barrera</v>
      </c>
    </row>
    <row r="5369" customHeight="1" spans="30:30">
      <c r="AD5369" s="5" t="str">
        <f>IFERROR(__xludf.DUMMYFUNCTION("""COMPUTED_VALUE"""),"Hiroshi Abe")</f>
        <v>Hiroshi Abe</v>
      </c>
    </row>
    <row r="5370" customHeight="1" spans="30:30">
      <c r="AD5370" s="5" t="str">
        <f>IFERROR(__xludf.DUMMYFUNCTION("""COMPUTED_VALUE"""),"Naomi Nishida")</f>
        <v>Naomi Nishida</v>
      </c>
    </row>
    <row r="5371" customHeight="1" spans="30:30">
      <c r="AD5371" s="5" t="str">
        <f>IFERROR(__xludf.DUMMYFUNCTION("""COMPUTED_VALUE"""),"Sakae Kimura")</f>
        <v>Sakae Kimura</v>
      </c>
    </row>
    <row r="5372" customHeight="1" spans="30:30">
      <c r="AD5372" s="5" t="str">
        <f>IFERROR(__xludf.DUMMYFUNCTION("""COMPUTED_VALUE"""),"Paul Borghese")</f>
        <v>Paul Borghese</v>
      </c>
    </row>
    <row r="5373" customHeight="1" spans="30:30">
      <c r="AD5373" s="5" t="str">
        <f>IFERROR(__xludf.DUMMYFUNCTION("""COMPUTED_VALUE"""),"Fernanda Andrade")</f>
        <v>Fernanda Andrade</v>
      </c>
    </row>
    <row r="5374" customHeight="1" spans="30:30">
      <c r="AD5374" s="5" t="str">
        <f>IFERROR(__xludf.DUMMYFUNCTION("""COMPUTED_VALUE"""),"Claudiu Trandafir")</f>
        <v>Claudiu Trandafir</v>
      </c>
    </row>
    <row r="5375" customHeight="1" spans="30:30">
      <c r="AD5375" s="5" t="str">
        <f>IFERROR(__xludf.DUMMYFUNCTION("""COMPUTED_VALUE"""),"Cynthia Myers")</f>
        <v>Cynthia Myers</v>
      </c>
    </row>
    <row r="5376" customHeight="1" spans="30:30">
      <c r="AD5376" s="5" t="str">
        <f>IFERROR(__xludf.DUMMYFUNCTION("""COMPUTED_VALUE"""),"Harrison Page")</f>
        <v>Harrison Page</v>
      </c>
    </row>
    <row r="5377" customHeight="1" spans="30:30">
      <c r="AD5377" s="5" t="str">
        <f>IFERROR(__xludf.DUMMYFUNCTION("""COMPUTED_VALUE"""),"James Drury")</f>
        <v>James Drury</v>
      </c>
    </row>
    <row r="5378" customHeight="1" spans="30:30">
      <c r="AD5378" s="5" t="str">
        <f>IFERROR(__xludf.DUMMYFUNCTION("""COMPUTED_VALUE"""),"Neville Brand")</f>
        <v>Neville Brand</v>
      </c>
    </row>
    <row r="5379" customHeight="1" spans="30:30">
      <c r="AD5379" s="5" t="str">
        <f>IFERROR(__xludf.DUMMYFUNCTION("""COMPUTED_VALUE"""),"Debra Paget")</f>
        <v>Debra Paget</v>
      </c>
    </row>
    <row r="5380" customHeight="1" spans="30:30">
      <c r="AD5380" s="5" t="str">
        <f>IFERROR(__xludf.DUMMYFUNCTION("""COMPUTED_VALUE"""),"Al Gore")</f>
        <v>Al Gore</v>
      </c>
    </row>
    <row r="5381" customHeight="1" spans="30:30">
      <c r="AD5381" s="5" t="str">
        <f>IFERROR(__xludf.DUMMYFUNCTION("""COMPUTED_VALUE"""),"James Brown")</f>
        <v>James Brown</v>
      </c>
    </row>
    <row r="5382" customHeight="1" spans="30:30">
      <c r="AD5382" s="5" t="str">
        <f>IFERROR(__xludf.DUMMYFUNCTION("""COMPUTED_VALUE"""),"Richard Jaeckel")</f>
        <v>Richard Jaeckel</v>
      </c>
    </row>
    <row r="5383" customHeight="1" spans="30:30">
      <c r="AD5383" s="5" t="str">
        <f>IFERROR(__xludf.DUMMYFUNCTION("""COMPUTED_VALUE"""),"Forrest Tucker")</f>
        <v>Forrest Tucker</v>
      </c>
    </row>
    <row r="5384" customHeight="1" spans="30:30">
      <c r="AD5384" s="5" t="str">
        <f>IFERROR(__xludf.DUMMYFUNCTION("""COMPUTED_VALUE"""),"Mick Jagger")</f>
        <v>Mick Jagger</v>
      </c>
    </row>
    <row r="5385" customHeight="1" spans="30:30">
      <c r="AD5385" s="5" t="str">
        <f>IFERROR(__xludf.DUMMYFUNCTION("""COMPUTED_VALUE"""),"Keith Richards")</f>
        <v>Keith Richards</v>
      </c>
    </row>
    <row r="5386" customHeight="1" spans="30:30">
      <c r="AD5386" s="5" t="str">
        <f>IFERROR(__xludf.DUMMYFUNCTION("""COMPUTED_VALUE"""),"Albert Maysles")</f>
        <v>Albert Maysles</v>
      </c>
    </row>
    <row r="5387" customHeight="1" spans="30:30">
      <c r="AD5387" s="5" t="str">
        <f>IFERROR(__xludf.DUMMYFUNCTION("""COMPUTED_VALUE"""),"Magda Apanowicz")</f>
        <v>Magda Apanowicz</v>
      </c>
    </row>
    <row r="5388" customHeight="1" spans="30:30">
      <c r="AD5388" s="5" t="str">
        <f>IFERROR(__xludf.DUMMYFUNCTION("""COMPUTED_VALUE"""),"Alex Lawther")</f>
        <v>Alex Lawther</v>
      </c>
    </row>
    <row r="5389" customHeight="1" spans="30:30">
      <c r="AD5389" s="5" t="str">
        <f>IFERROR(__xludf.DUMMYFUNCTION("""COMPUTED_VALUE"""),"Niamh Cusack")</f>
        <v>Niamh Cusack</v>
      </c>
    </row>
    <row r="5390" customHeight="1" spans="30:30">
      <c r="AD5390" s="5" t="str">
        <f>IFERROR(__xludf.DUMMYFUNCTION("""COMPUTED_VALUE"""),"Rhea Perlman")</f>
        <v>Rhea Perlman</v>
      </c>
    </row>
    <row r="5391" customHeight="1" spans="30:30">
      <c r="AD5391" s="5" t="str">
        <f>IFERROR(__xludf.DUMMYFUNCTION("""COMPUTED_VALUE"""),"Michael Pollan")</f>
        <v>Michael Pollan</v>
      </c>
    </row>
    <row r="5392" customHeight="1" spans="30:30">
      <c r="AD5392" s="5" t="str">
        <f>IFERROR(__xludf.DUMMYFUNCTION("""COMPUTED_VALUE"""),"Eric Schlosser")</f>
        <v>Eric Schlosser</v>
      </c>
    </row>
    <row r="5393" customHeight="1" spans="30:30">
      <c r="AD5393" s="5" t="str">
        <f>IFERROR(__xludf.DUMMYFUNCTION("""COMPUTED_VALUE"""),"Barbara Kowalcyk")</f>
        <v>Barbara Kowalcyk</v>
      </c>
    </row>
    <row r="5394" customHeight="1" spans="30:30">
      <c r="AD5394" s="5" t="str">
        <f>IFERROR(__xludf.DUMMYFUNCTION("""COMPUTED_VALUE"""),"Robert Amaya")</f>
        <v>Robert Amaya</v>
      </c>
    </row>
    <row r="5395" customHeight="1" spans="30:30">
      <c r="AD5395" s="5" t="str">
        <f>IFERROR(__xludf.DUMMYFUNCTION("""COMPUTED_VALUE"""),"Jason Burkey")</f>
        <v>Jason Burkey</v>
      </c>
    </row>
    <row r="5396" customHeight="1" spans="30:30">
      <c r="AD5396" s="5" t="str">
        <f>IFERROR(__xludf.DUMMYFUNCTION("""COMPUTED_VALUE"""),"Kathleen Rose Perkins")</f>
        <v>Kathleen Rose Perkins</v>
      </c>
    </row>
    <row r="5397" customHeight="1" spans="30:30">
      <c r="AD5397" s="5" t="str">
        <f>IFERROR(__xludf.DUMMYFUNCTION("""COMPUTED_VALUE"""),"Julia Garner")</f>
        <v>Julia Garner</v>
      </c>
    </row>
    <row r="5398" customHeight="1" spans="30:30">
      <c r="AD5398" s="5" t="str">
        <f>IFERROR(__xludf.DUMMYFUNCTION("""COMPUTED_VALUE"""),"Jenny Slate")</f>
        <v>Jenny Slate</v>
      </c>
    </row>
    <row r="5399" customHeight="1" spans="30:30">
      <c r="AD5399" s="5" t="str">
        <f>IFERROR(__xludf.DUMMYFUNCTION("""COMPUTED_VALUE"""),"Jake Lacy")</f>
        <v>Jake Lacy</v>
      </c>
    </row>
    <row r="5400" customHeight="1" spans="30:30">
      <c r="AD5400" s="5" t="str">
        <f>IFERROR(__xludf.DUMMYFUNCTION("""COMPUTED_VALUE"""),"Michael O'Keefe")</f>
        <v>Michael O'Keefe</v>
      </c>
    </row>
    <row r="5401" customHeight="1" spans="30:30">
      <c r="AD5401" s="5" t="str">
        <f>IFERROR(__xludf.DUMMYFUNCTION("""COMPUTED_VALUE"""),"Misty Upham")</f>
        <v>Misty Upham</v>
      </c>
    </row>
    <row r="5402" customHeight="1" spans="30:30">
      <c r="AD5402" s="5" t="str">
        <f>IFERROR(__xludf.DUMMYFUNCTION("""COMPUTED_VALUE"""),"Lou Adler")</f>
        <v>Lou Adler</v>
      </c>
    </row>
    <row r="5403" customHeight="1" spans="30:30">
      <c r="AD5403" s="5" t="str">
        <f>IFERROR(__xludf.DUMMYFUNCTION("""COMPUTED_VALUE"""),"Merry Clayton")</f>
        <v>Merry Clayton</v>
      </c>
    </row>
    <row r="5404" customHeight="1" spans="30:30">
      <c r="AD5404" s="5" t="str">
        <f>IFERROR(__xludf.DUMMYFUNCTION("""COMPUTED_VALUE"""),"Natasha Gregson Wagner")</f>
        <v>Natasha Gregson Wagner</v>
      </c>
    </row>
    <row r="5405" customHeight="1" spans="30:30">
      <c r="AD5405" s="5" t="str">
        <f>IFERROR(__xludf.DUMMYFUNCTION("""COMPUTED_VALUE"""),"Angel David")</f>
        <v>Angel David</v>
      </c>
    </row>
    <row r="5406" customHeight="1" spans="30:30">
      <c r="AD5406" s="5" t="str">
        <f>IFERROR(__xludf.DUMMYFUNCTION("""COMPUTED_VALUE"""),"Phyllis Diller")</f>
        <v>Phyllis Diller</v>
      </c>
    </row>
    <row r="5407" customHeight="1" spans="30:30">
      <c r="AD5407" s="5" t="str">
        <f>IFERROR(__xludf.DUMMYFUNCTION("""COMPUTED_VALUE"""),"Colette Divine")</f>
        <v>Colette Divine</v>
      </c>
    </row>
    <row r="5408" customHeight="1" spans="30:30">
      <c r="AD5408" s="5" t="str">
        <f>IFERROR(__xludf.DUMMYFUNCTION("""COMPUTED_VALUE"""),"Ella Joyce")</f>
        <v>Ella Joyce</v>
      </c>
    </row>
    <row r="5409" customHeight="1" spans="30:30">
      <c r="AD5409" s="5" t="str">
        <f>IFERROR(__xludf.DUMMYFUNCTION("""COMPUTED_VALUE"""),"Saul Williams")</f>
        <v>Saul Williams</v>
      </c>
    </row>
    <row r="5410" customHeight="1" spans="30:30">
      <c r="AD5410" s="5" t="str">
        <f>IFERROR(__xludf.DUMMYFUNCTION("""COMPUTED_VALUE"""),"Bonz Malone")</f>
        <v>Bonz Malone</v>
      </c>
    </row>
    <row r="5411" customHeight="1" spans="30:30">
      <c r="AD5411" s="5" t="str">
        <f>IFERROR(__xludf.DUMMYFUNCTION("""COMPUTED_VALUE"""),"Frank Gerrish")</f>
        <v>Frank Gerrish</v>
      </c>
    </row>
    <row r="5412" customHeight="1" spans="30:30">
      <c r="AD5412" s="5" t="str">
        <f>IFERROR(__xludf.DUMMYFUNCTION("""COMPUTED_VALUE"""),"Rick Macy")</f>
        <v>Rick Macy</v>
      </c>
    </row>
    <row r="5413" customHeight="1" spans="30:30">
      <c r="AD5413" s="5" t="str">
        <f>IFERROR(__xludf.DUMMYFUNCTION("""COMPUTED_VALUE"""),"Manoj Bajpayee")</f>
        <v>Manoj Bajpayee</v>
      </c>
    </row>
    <row r="5414" customHeight="1" spans="30:30">
      <c r="AD5414" s="5" t="str">
        <f>IFERROR(__xludf.DUMMYFUNCTION("""COMPUTED_VALUE"""),"Jaya Bhaduri")</f>
        <v>Jaya Bhaduri</v>
      </c>
    </row>
    <row r="5415" customHeight="1" spans="30:30">
      <c r="AD5415" s="5" t="str">
        <f>IFERROR(__xludf.DUMMYFUNCTION("""COMPUTED_VALUE"""),"Dian Bachar")</f>
        <v>Dian Bachar</v>
      </c>
    </row>
    <row r="5416" customHeight="1" spans="30:30">
      <c r="AD5416" s="5" t="str">
        <f>IFERROR(__xludf.DUMMYFUNCTION("""COMPUTED_VALUE"""),"Matt Stone")</f>
        <v>Matt Stone</v>
      </c>
    </row>
    <row r="5417" customHeight="1" spans="30:30">
      <c r="AD5417" s="5" t="str">
        <f>IFERROR(__xludf.DUMMYFUNCTION("""COMPUTED_VALUE"""),"Olivia Crocicchia")</f>
        <v>Olivia Crocicchia</v>
      </c>
    </row>
    <row r="5418" customHeight="1" spans="30:30">
      <c r="AD5418" s="5" t="str">
        <f>IFERROR(__xludf.DUMMYFUNCTION("""COMPUTED_VALUE"""),"Shahir Kabaha")</f>
        <v>Shahir Kabaha</v>
      </c>
    </row>
    <row r="5419" customHeight="1" spans="30:30">
      <c r="AD5419" s="5" t="str">
        <f>IFERROR(__xludf.DUMMYFUNCTION("""COMPUTED_VALUE"""),"Scandar Copti")</f>
        <v>Scandar Copti</v>
      </c>
    </row>
    <row r="5420" customHeight="1" spans="30:30">
      <c r="AD5420" s="5" t="str">
        <f>IFERROR(__xludf.DUMMYFUNCTION("""COMPUTED_VALUE"""),"Ranin Karim")</f>
        <v>Ranin Karim</v>
      </c>
    </row>
    <row r="5421" customHeight="1" spans="30:30">
      <c r="AD5421" s="5" t="str">
        <f>IFERROR(__xludf.DUMMYFUNCTION("""COMPUTED_VALUE"""),"Steven Yeun")</f>
        <v>Steven Yeun</v>
      </c>
    </row>
    <row r="5422" customHeight="1" spans="30:30">
      <c r="AD5422" s="5" t="str">
        <f>IFERROR(__xludf.DUMMYFUNCTION("""COMPUTED_VALUE"""),"Venida Evans")</f>
        <v>Venida Evans</v>
      </c>
    </row>
    <row r="5423" customHeight="1" spans="30:30">
      <c r="AD5423" s="5" t="str">
        <f>IFERROR(__xludf.DUMMYFUNCTION("""COMPUTED_VALUE"""),"Anwar Congo")</f>
        <v>Anwar Congo</v>
      </c>
    </row>
    <row r="5424" customHeight="1" spans="30:30">
      <c r="AD5424" s="5" t="str">
        <f>IFERROR(__xludf.DUMMYFUNCTION("""COMPUTED_VALUE"""),"Herman Koto")</f>
        <v>Herman Koto</v>
      </c>
    </row>
    <row r="5425" customHeight="1" spans="30:30">
      <c r="AD5425" s="5" t="str">
        <f>IFERROR(__xludf.DUMMYFUNCTION("""COMPUTED_VALUE"""),"Syamsul Arifin")</f>
        <v>Syamsul Arifin</v>
      </c>
    </row>
    <row r="5426" customHeight="1" spans="30:30">
      <c r="AD5426" s="5" t="str">
        <f>IFERROR(__xludf.DUMMYFUNCTION("""COMPUTED_VALUE"""),"Alex Gibney")</f>
        <v>Alex Gibney</v>
      </c>
    </row>
    <row r="5427" customHeight="1" spans="30:30">
      <c r="AD5427" s="5" t="str">
        <f>IFERROR(__xludf.DUMMYFUNCTION("""COMPUTED_VALUE"""),"Greg D'Agostino")</f>
        <v>Greg D'Agostino</v>
      </c>
    </row>
    <row r="5428" customHeight="1" spans="30:30">
      <c r="AD5428" s="5" t="str">
        <f>IFERROR(__xludf.DUMMYFUNCTION("""COMPUTED_VALUE"""),"Pelé")</f>
        <v>Pelé</v>
      </c>
    </row>
    <row r="5429" customHeight="1" spans="30:30">
      <c r="AD5429" s="5" t="str">
        <f>IFERROR(__xludf.DUMMYFUNCTION("""COMPUTED_VALUE"""),"Marv Albert")</f>
        <v>Marv Albert</v>
      </c>
    </row>
    <row r="5430" customHeight="1" spans="30:30">
      <c r="AD5430" s="5" t="str">
        <f>IFERROR(__xludf.DUMMYFUNCTION("""COMPUTED_VALUE"""),"Ahmet Ertegun")</f>
        <v>Ahmet Ertegun</v>
      </c>
    </row>
    <row r="5431" customHeight="1" spans="30:30">
      <c r="AD5431" s="5" t="str">
        <f>IFERROR(__xludf.DUMMYFUNCTION("""COMPUTED_VALUE"""),"Kumar Gaurav")</f>
        <v>Kumar Gaurav</v>
      </c>
    </row>
    <row r="5432" customHeight="1" spans="30:30">
      <c r="AD5432" s="5" t="str">
        <f>IFERROR(__xludf.DUMMYFUNCTION("""COMPUTED_VALUE"""),"Rufus Graham")</f>
        <v>Rufus Graham</v>
      </c>
    </row>
    <row r="5433" customHeight="1" spans="30:30">
      <c r="AD5433" s="5" t="str">
        <f>IFERROR(__xludf.DUMMYFUNCTION("""COMPUTED_VALUE"""),"Aasheekaa Bathija")</f>
        <v>Aasheekaa Bathija</v>
      </c>
    </row>
    <row r="5434" customHeight="1" spans="30:30">
      <c r="AD5434" s="5" t="str">
        <f>IFERROR(__xludf.DUMMYFUNCTION("""COMPUTED_VALUE"""),"Melissa Gilbert")</f>
        <v>Melissa Gilbert</v>
      </c>
    </row>
    <row r="5435" customHeight="1" spans="30:30">
      <c r="AD5435" s="5" t="str">
        <f>IFERROR(__xludf.DUMMYFUNCTION("""COMPUTED_VALUE"""),"Josh Swanson")</f>
        <v>Josh Swanson</v>
      </c>
    </row>
    <row r="5436" customHeight="1" spans="30:30">
      <c r="AD5436" s="5" t="str">
        <f>IFERROR(__xludf.DUMMYFUNCTION("""COMPUTED_VALUE"""),"Tom Hamann")</f>
        <v>Tom Hamann</v>
      </c>
    </row>
    <row r="5437" customHeight="1" spans="30:30">
      <c r="AD5437" s="5" t="str">
        <f>IFERROR(__xludf.DUMMYFUNCTION("""COMPUTED_VALUE"""),"Anthony Powell")</f>
        <v>Anthony Powell</v>
      </c>
    </row>
    <row r="5438" customHeight="1" spans="30:30">
      <c r="AD5438" s="5" t="str">
        <f>IFERROR(__xludf.DUMMYFUNCTION("""COMPUTED_VALUE"""),"G.W. Krauss")</f>
        <v>G.W. Krauss</v>
      </c>
    </row>
    <row r="5439" customHeight="1" spans="30:30">
      <c r="AD5439" s="5" t="str">
        <f>IFERROR(__xludf.DUMMYFUNCTION("""COMPUTED_VALUE"""),"Brian Whitaker")</f>
        <v>Brian Whitaker</v>
      </c>
    </row>
    <row r="5440" customHeight="1" spans="30:30">
      <c r="AD5440" s="5" t="str">
        <f>IFERROR(__xludf.DUMMYFUNCTION("""COMPUTED_VALUE"""),"Jason Bateman")</f>
        <v>Jason Bateman</v>
      </c>
    </row>
    <row r="5441" customHeight="1" spans="30:30">
      <c r="AD5441" s="5" t="str">
        <f>IFERROR(__xludf.DUMMYFUNCTION("""COMPUTED_VALUE"""),"Raquel Elizabeth Ames")</f>
        <v>Raquel Elizabeth Ames</v>
      </c>
    </row>
    <row r="5442" customHeight="1" spans="30:30">
      <c r="AD5442" s="5" t="str">
        <f>IFERROR(__xludf.DUMMYFUNCTION("""COMPUTED_VALUE"""),"Emraan Hashmi")</f>
        <v>Emraan Hashmi</v>
      </c>
    </row>
    <row r="5443" customHeight="1" spans="30:30">
      <c r="AD5443" s="5" t="str">
        <f>IFERROR(__xludf.DUMMYFUNCTION("""COMPUTED_VALUE"""),"Sunil Shetty")</f>
        <v>Sunil Shetty</v>
      </c>
    </row>
    <row r="5444" customHeight="1" spans="30:30">
      <c r="AD5444" s="5" t="str">
        <f>IFERROR(__xludf.DUMMYFUNCTION("""COMPUTED_VALUE"""),"Lena Dunham")</f>
        <v>Lena Dunham</v>
      </c>
    </row>
    <row r="5445" customHeight="1" spans="30:30">
      <c r="AD5445" s="5" t="str">
        <f>IFERROR(__xludf.DUMMYFUNCTION("""COMPUTED_VALUE"""),"Patrick Renna")</f>
        <v>Patrick Renna</v>
      </c>
    </row>
    <row r="5446" customHeight="1" spans="30:30">
      <c r="AD5446" s="5" t="str">
        <f>IFERROR(__xludf.DUMMYFUNCTION("""COMPUTED_VALUE"""),"Patsy Kensit")</f>
        <v>Patsy Kensit</v>
      </c>
    </row>
    <row r="5447" customHeight="1" spans="30:30">
      <c r="AD5447" s="5" t="str">
        <f>IFERROR(__xludf.DUMMYFUNCTION("""COMPUTED_VALUE"""),"Adrienne Frantz")</f>
        <v>Adrienne Frantz</v>
      </c>
    </row>
    <row r="5448" customHeight="1" spans="30:30">
      <c r="AD5448" s="5" t="str">
        <f>IFERROR(__xludf.DUMMYFUNCTION("""COMPUTED_VALUE"""),"Yul Vazquez")</f>
        <v>Yul Vazquez</v>
      </c>
    </row>
    <row r="5449" customHeight="1" spans="30:30">
      <c r="AD5449" s="5" t="str">
        <f>IFERROR(__xludf.DUMMYFUNCTION("""COMPUTED_VALUE"""),"Louis Mustillo")</f>
        <v>Louis Mustillo</v>
      </c>
    </row>
    <row r="5450" customHeight="1" spans="30:30">
      <c r="AD5450" s="5" t="str">
        <f>IFERROR(__xludf.DUMMYFUNCTION("""COMPUTED_VALUE"""),"James Lorinz")</f>
        <v>James Lorinz</v>
      </c>
    </row>
    <row r="5451" customHeight="1" spans="30:30">
      <c r="AD5451" s="5" t="str">
        <f>IFERROR(__xludf.DUMMYFUNCTION("""COMPUTED_VALUE"""),"James Gunn")</f>
        <v>James Gunn</v>
      </c>
    </row>
    <row r="5452" customHeight="1" spans="30:30">
      <c r="AD5452" s="5" t="str">
        <f>IFERROR(__xludf.DUMMYFUNCTION("""COMPUTED_VALUE"""),"Will Rothhaar")</f>
        <v>Will Rothhaar</v>
      </c>
    </row>
    <row r="5453" customHeight="1" spans="30:30">
      <c r="AD5453" s="5" t="str">
        <f>IFERROR(__xludf.DUMMYFUNCTION("""COMPUTED_VALUE"""),"Emily Baldoni")</f>
        <v>Emily Baldoni</v>
      </c>
    </row>
    <row r="5454" customHeight="1" spans="30:30">
      <c r="AD5454" s="5" t="str">
        <f>IFERROR(__xludf.DUMMYFUNCTION("""COMPUTED_VALUE"""),"Hallee Hirsh")</f>
        <v>Hallee Hirsh</v>
      </c>
    </row>
    <row r="5455" customHeight="1" spans="30:30">
      <c r="AD5455" s="5" t="str">
        <f>IFERROR(__xludf.DUMMYFUNCTION("""COMPUTED_VALUE"""),"Jordana Spiro")</f>
        <v>Jordana Spiro</v>
      </c>
    </row>
    <row r="5456" customHeight="1" spans="30:30">
      <c r="AD5456" s="5" t="str">
        <f>IFERROR(__xludf.DUMMYFUNCTION("""COMPUTED_VALUE"""),"Jonathon Trent")</f>
        <v>Jonathon Trent</v>
      </c>
    </row>
    <row r="5457" customHeight="1" spans="30:30">
      <c r="AD5457" s="5" t="str">
        <f>IFERROR(__xludf.DUMMYFUNCTION("""COMPUTED_VALUE"""),"Alexia Rasmussen")</f>
        <v>Alexia Rasmussen</v>
      </c>
    </row>
    <row r="5458" customHeight="1" spans="30:30">
      <c r="AD5458" s="5" t="str">
        <f>IFERROR(__xludf.DUMMYFUNCTION("""COMPUTED_VALUE"""),"Meredith Hagner")</f>
        <v>Meredith Hagner</v>
      </c>
    </row>
    <row r="5459" customHeight="1" spans="30:30">
      <c r="AD5459" s="5" t="str">
        <f>IFERROR(__xludf.DUMMYFUNCTION("""COMPUTED_VALUE"""),"Paul Blackthorne")</f>
        <v>Paul Blackthorne</v>
      </c>
    </row>
    <row r="5460" customHeight="1" spans="30:30">
      <c r="AD5460" s="5" t="str">
        <f>IFERROR(__xludf.DUMMYFUNCTION("""COMPUTED_VALUE"""),"Ian Bohen")</f>
        <v>Ian Bohen</v>
      </c>
    </row>
    <row r="5461" customHeight="1" spans="30:30">
      <c r="AD5461" s="5" t="str">
        <f>IFERROR(__xludf.DUMMYFUNCTION("""COMPUTED_VALUE"""),"Scott Levy")</f>
        <v>Scott Levy</v>
      </c>
    </row>
    <row r="5462" customHeight="1" spans="30:30">
      <c r="AD5462" s="5" t="str">
        <f>IFERROR(__xludf.DUMMYFUNCTION("""COMPUTED_VALUE"""),"Vanilla Ice")</f>
        <v>Vanilla Ice</v>
      </c>
    </row>
    <row r="5463" customHeight="1" spans="30:30">
      <c r="AD5463" s="5" t="str">
        <f>IFERROR(__xludf.DUMMYFUNCTION("""COMPUTED_VALUE"""),"Jennifer Sky")</f>
        <v>Jennifer Sky</v>
      </c>
    </row>
    <row r="5464" customHeight="1" spans="30:30">
      <c r="AD5464" s="5" t="str">
        <f>IFERROR(__xludf.DUMMYFUNCTION("""COMPUTED_VALUE"""),"Mariel Hemingway")</f>
        <v>Mariel Hemingway</v>
      </c>
    </row>
    <row r="5465" customHeight="1" spans="30:30">
      <c r="AD5465" s="5" t="str">
        <f>IFERROR(__xludf.DUMMYFUNCTION("""COMPUTED_VALUE"""),"Jesse Hutch")</f>
        <v>Jesse Hutch</v>
      </c>
    </row>
    <row r="5466" customHeight="1" spans="30:30">
      <c r="AD5466" s="5" t="str">
        <f>IFERROR(__xludf.DUMMYFUNCTION("""COMPUTED_VALUE"""),"Heather Bucha")</f>
        <v>Heather Bucha</v>
      </c>
    </row>
    <row r="5467" customHeight="1" spans="30:30">
      <c r="AD5467" s="5" t="str">
        <f>IFERROR(__xludf.DUMMYFUNCTION("""COMPUTED_VALUE"""),"Kenny Johnston")</f>
        <v>Kenny Johnston</v>
      </c>
    </row>
    <row r="5468" customHeight="1" spans="30:30">
      <c r="AD5468" s="5" t="str">
        <f>IFERROR(__xludf.DUMMYFUNCTION("""COMPUTED_VALUE"""),"Andrea Vergara")</f>
        <v>Andrea Vergara</v>
      </c>
    </row>
    <row r="5469" customHeight="1" spans="30:30">
      <c r="AD5469" s="5" t="str">
        <f>IFERROR(__xludf.DUMMYFUNCTION("""COMPUTED_VALUE"""),"Gabriel Reyes")</f>
        <v>Gabriel Reyes</v>
      </c>
    </row>
    <row r="5470" customHeight="1" spans="30:30">
      <c r="AD5470" s="5" t="str">
        <f>IFERROR(__xludf.DUMMYFUNCTION("""COMPUTED_VALUE"""),"Rasheed Naz")</f>
        <v>Rasheed Naz</v>
      </c>
    </row>
    <row r="5471" customHeight="1" spans="30:30">
      <c r="AD5471" s="5" t="str">
        <f>IFERROR(__xludf.DUMMYFUNCTION("""COMPUTED_VALUE"""),"Ayesha Omar")</f>
        <v>Ayesha Omar</v>
      </c>
    </row>
    <row r="5472" customHeight="1" spans="30:30">
      <c r="AD5472" s="5" t="str">
        <f>IFERROR(__xludf.DUMMYFUNCTION("""COMPUTED_VALUE"""),"Javed Sheikh")</f>
        <v>Javed Sheikh</v>
      </c>
    </row>
    <row r="5473" customHeight="1" spans="30:30">
      <c r="AD5473" s="5" t="str">
        <f>IFERROR(__xludf.DUMMYFUNCTION("""COMPUTED_VALUE"""),"Ilene Graff")</f>
        <v>Ilene Graff</v>
      </c>
    </row>
    <row r="5474" customHeight="1" spans="30:30">
      <c r="AD5474" s="5" t="str">
        <f>IFERROR(__xludf.DUMMYFUNCTION("""COMPUTED_VALUE"""),"Laura Breckenridge")</f>
        <v>Laura Breckenridge</v>
      </c>
    </row>
    <row r="5475" customHeight="1" spans="30:30">
      <c r="AD5475" s="5" t="str">
        <f>IFERROR(__xludf.DUMMYFUNCTION("""COMPUTED_VALUE"""),"Nicole Randall Johnson")</f>
        <v>Nicole Randall Johnson</v>
      </c>
    </row>
    <row r="5476" customHeight="1" spans="30:30">
      <c r="AD5476" s="5" t="str">
        <f>IFERROR(__xludf.DUMMYFUNCTION("""COMPUTED_VALUE"""),"James Eckhouse")</f>
        <v>James Eckhouse</v>
      </c>
    </row>
    <row r="5477" customHeight="1" spans="30:30">
      <c r="AD5477" s="5" t="str">
        <f>IFERROR(__xludf.DUMMYFUNCTION("""COMPUTED_VALUE"""),"Lauren C. Mayhew")</f>
        <v>Lauren C. Mayhew</v>
      </c>
    </row>
    <row r="5478" customHeight="1" spans="30:30">
      <c r="AD5478" s="5" t="str">
        <f>IFERROR(__xludf.DUMMYFUNCTION("""COMPUTED_VALUE"""),"Alicia Ziegler")</f>
        <v>Alicia Ziegler</v>
      </c>
    </row>
    <row r="5479" customHeight="1" spans="30:30">
      <c r="AD5479" s="5" t="str">
        <f>IFERROR(__xludf.DUMMYFUNCTION("""COMPUTED_VALUE"""),"Louise Sorel")</f>
        <v>Louise Sorel</v>
      </c>
    </row>
    <row r="5480" customHeight="1" spans="30:30">
      <c r="AD5480" s="5" t="str">
        <f>IFERROR(__xludf.DUMMYFUNCTION("""COMPUTED_VALUE"""),"Janet Hubert")</f>
        <v>Janet Hubert</v>
      </c>
    </row>
    <row r="5481" customHeight="1" spans="30:30">
      <c r="AD5481" s="5" t="str">
        <f>IFERROR(__xludf.DUMMYFUNCTION("""COMPUTED_VALUE"""),"Diane Venora")</f>
        <v>Diane Venora</v>
      </c>
    </row>
    <row r="5482" customHeight="1" spans="30:30">
      <c r="AD5482" s="5" t="str">
        <f>IFERROR(__xludf.DUMMYFUNCTION("""COMPUTED_VALUE"""),"Russell Hodgkinson")</f>
        <v>Russell Hodgkinson</v>
      </c>
    </row>
    <row r="5483" customHeight="1" spans="30:30">
      <c r="AD5483" s="5" t="str">
        <f>IFERROR(__xludf.DUMMYFUNCTION("""COMPUTED_VALUE"""),"Janette Armand")</f>
        <v>Janette Armand</v>
      </c>
    </row>
    <row r="5484" customHeight="1" spans="30:30">
      <c r="AD5484" s="5" t="str">
        <f>IFERROR(__xludf.DUMMYFUNCTION("""COMPUTED_VALUE"""),"Kevin Hamedani")</f>
        <v>Kevin Hamedani</v>
      </c>
    </row>
    <row r="5485" customHeight="1" spans="30:30">
      <c r="AD5485" s="5" t="str">
        <f>IFERROR(__xludf.DUMMYFUNCTION("""COMPUTED_VALUE"""),"Maureen McCormick")</f>
        <v>Maureen McCormick</v>
      </c>
    </row>
    <row r="5486" customHeight="1" spans="30:30">
      <c r="AD5486" s="5" t="str">
        <f>IFERROR(__xludf.DUMMYFUNCTION("""COMPUTED_VALUE"""),"Tim Abell")</f>
        <v>Tim Abell</v>
      </c>
    </row>
    <row r="5487" customHeight="1" spans="30:30">
      <c r="AD5487" s="5" t="str">
        <f>IFERROR(__xludf.DUMMYFUNCTION("""COMPUTED_VALUE"""),"Álex Angulo")</f>
        <v>Álex Angulo</v>
      </c>
    </row>
    <row r="5488" customHeight="1" spans="30:30">
      <c r="AD5488" s="5" t="str">
        <f>IFERROR(__xludf.DUMMYFUNCTION("""COMPUTED_VALUE"""),"Germán Alcarazu")</f>
        <v>Germán Alcarazu</v>
      </c>
    </row>
    <row r="5489" customHeight="1" spans="30:30">
      <c r="AD5489" s="5" t="str">
        <f>IFERROR(__xludf.DUMMYFUNCTION("""COMPUTED_VALUE"""),"Joseba Ugalde")</f>
        <v>Joseba Ugalde</v>
      </c>
    </row>
    <row r="5490" customHeight="1" spans="30:30">
      <c r="AD5490" s="5" t="str">
        <f>IFERROR(__xludf.DUMMYFUNCTION("""COMPUTED_VALUE"""),"Sticky Fingaz")</f>
        <v>Sticky Fingaz</v>
      </c>
    </row>
    <row r="5491" customHeight="1" spans="30:30">
      <c r="AD5491" s="5" t="str">
        <f>IFERROR(__xludf.DUMMYFUNCTION("""COMPUTED_VALUE"""),"Chrystee Pharris")</f>
        <v>Chrystee Pharris</v>
      </c>
    </row>
    <row r="5492" customHeight="1" spans="30:30">
      <c r="AD5492" s="5" t="str">
        <f>IFERROR(__xludf.DUMMYFUNCTION("""COMPUTED_VALUE"""),"Randy Jay Burrell")</f>
        <v>Randy Jay Burrell</v>
      </c>
    </row>
    <row r="5493" customHeight="1" spans="30:30">
      <c r="AD5493" s="5" t="str">
        <f>IFERROR(__xludf.DUMMYFUNCTION("""COMPUTED_VALUE"""),"Anslem Richardson")</f>
        <v>Anslem Richardson</v>
      </c>
    </row>
    <row r="5494" customHeight="1" spans="30:30">
      <c r="AD5494" s="5" t="str">
        <f>IFERROR(__xludf.DUMMYFUNCTION("""COMPUTED_VALUE"""),"Jay Paulson")</f>
        <v>Jay Paulson</v>
      </c>
    </row>
    <row r="5495" customHeight="1" spans="30:30">
      <c r="AD5495" s="5" t="str">
        <f>IFERROR(__xludf.DUMMYFUNCTION("""COMPUTED_VALUE"""),"David Oakes")</f>
        <v>David Oakes</v>
      </c>
    </row>
    <row r="5496" customHeight="1" spans="30:30">
      <c r="AD5496" s="5" t="str">
        <f>IFERROR(__xludf.DUMMYFUNCTION("""COMPUTED_VALUE"""),"Alexander Vlahos")</f>
        <v>Alexander Vlahos</v>
      </c>
    </row>
    <row r="5497" customHeight="1" spans="30:30">
      <c r="AD5497" s="5" t="str">
        <f>IFERROR(__xludf.DUMMYFUNCTION("""COMPUTED_VALUE"""),"Jennie Jacques")</f>
        <v>Jennie Jacques</v>
      </c>
    </row>
    <row r="5498" customHeight="1" spans="30:30">
      <c r="AD5498" s="5" t="str">
        <f>IFERROR(__xludf.DUMMYFUNCTION("""COMPUTED_VALUE"""),"Magi Avila")</f>
        <v>Magi Avila</v>
      </c>
    </row>
    <row r="5499" customHeight="1" spans="30:30">
      <c r="AD5499" s="5" t="str">
        <f>IFERROR(__xludf.DUMMYFUNCTION("""COMPUTED_VALUE"""),"Pierre Dulat")</f>
        <v>Pierre Dulat</v>
      </c>
    </row>
    <row r="5500" customHeight="1" spans="30:30">
      <c r="AD5500" s="5" t="str">
        <f>IFERROR(__xludf.DUMMYFUNCTION("""COMPUTED_VALUE"""),"Summer Napoles")</f>
        <v>Summer Napoles</v>
      </c>
    </row>
    <row r="5501" customHeight="1" spans="30:30">
      <c r="AD5501" s="5" t="str">
        <f>IFERROR(__xludf.DUMMYFUNCTION("""COMPUTED_VALUE"""),"Chloe Rose")</f>
        <v>Chloe Rose</v>
      </c>
    </row>
    <row r="5502" customHeight="1" spans="30:30">
      <c r="AD5502" s="5" t="str">
        <f>IFERROR(__xludf.DUMMYFUNCTION("""COMPUTED_VALUE"""),"Kristian Bruun")</f>
        <v>Kristian Bruun</v>
      </c>
    </row>
    <row r="5503" customHeight="1" spans="30:30">
      <c r="AD5503" s="5" t="str">
        <f>IFERROR(__xludf.DUMMYFUNCTION("""COMPUTED_VALUE"""),"Angelina Armani")</f>
        <v>Angelina Armani</v>
      </c>
    </row>
    <row r="5504" customHeight="1" spans="30:30">
      <c r="AD5504" s="5" t="str">
        <f>IFERROR(__xludf.DUMMYFUNCTION("""COMPUTED_VALUE"""),"Fiona Dourif")</f>
        <v>Fiona Dourif</v>
      </c>
    </row>
    <row r="5505" customHeight="1" spans="30:30">
      <c r="AD5505" s="5" t="str">
        <f>IFERROR(__xludf.DUMMYFUNCTION("""COMPUTED_VALUE"""),"Jason K. Wixom")</f>
        <v>Jason K. Wixom</v>
      </c>
    </row>
    <row r="5506" customHeight="1" spans="30:30">
      <c r="AD5506" s="5" t="str">
        <f>IFERROR(__xludf.DUMMYFUNCTION("""COMPUTED_VALUE"""),"Shona Kay")</f>
        <v>Shona Kay</v>
      </c>
    </row>
    <row r="5507" customHeight="1" spans="30:30">
      <c r="AD5507" s="5" t="str">
        <f>IFERROR(__xludf.DUMMYFUNCTION("""COMPUTED_VALUE"""),"Jarrod Phillips")</f>
        <v>Jarrod Phillips</v>
      </c>
    </row>
    <row r="5508" customHeight="1" spans="30:30">
      <c r="AD5508" s="5" t="str">
        <f>IFERROR(__xludf.DUMMYFUNCTION("""COMPUTED_VALUE"""),"Justin Baldoni")</f>
        <v>Justin Baldoni</v>
      </c>
    </row>
    <row r="5509" customHeight="1" spans="30:30">
      <c r="AD5509" s="5" t="str">
        <f>IFERROR(__xludf.DUMMYFUNCTION("""COMPUTED_VALUE"""),"Claire Bloom")</f>
        <v>Claire Bloom</v>
      </c>
    </row>
    <row r="5510" customHeight="1" spans="30:30">
      <c r="AD5510" s="5" t="str">
        <f>IFERROR(__xludf.DUMMYFUNCTION("""COMPUTED_VALUE"""),"Monique Candelaria")</f>
        <v>Monique Candelaria</v>
      </c>
    </row>
    <row r="5511" customHeight="1" spans="30:30">
      <c r="AD5511" s="5" t="str">
        <f>IFERROR(__xludf.DUMMYFUNCTION("""COMPUTED_VALUE"""),"Michael McMillian")</f>
        <v>Michael McMillian</v>
      </c>
    </row>
    <row r="5512" customHeight="1" spans="30:30">
      <c r="AD5512" s="5" t="str">
        <f>IFERROR(__xludf.DUMMYFUNCTION("""COMPUTED_VALUE"""),"David DeLuise")</f>
        <v>David DeLuise</v>
      </c>
    </row>
    <row r="5513" customHeight="1" spans="30:30">
      <c r="AD5513" s="5" t="str">
        <f>IFERROR(__xludf.DUMMYFUNCTION("""COMPUTED_VALUE"""),"Bruno Campos")</f>
        <v>Bruno Campos</v>
      </c>
    </row>
    <row r="5514" customHeight="1" spans="30:30">
      <c r="AD5514" s="5" t="str">
        <f>IFERROR(__xludf.DUMMYFUNCTION("""COMPUTED_VALUE"""),"Gia Mantegna")</f>
        <v>Gia Mantegna</v>
      </c>
    </row>
    <row r="5515" customHeight="1" spans="30:30">
      <c r="AD5515" s="5" t="str">
        <f>IFERROR(__xludf.DUMMYFUNCTION("""COMPUTED_VALUE"""),"Alma Martinez")</f>
        <v>Alma Martinez</v>
      </c>
    </row>
    <row r="5516" customHeight="1" spans="30:30">
      <c r="AD5516" s="5" t="str">
        <f>IFERROR(__xludf.DUMMYFUNCTION("""COMPUTED_VALUE"""),"Robert Kennedy Jr.")</f>
        <v>Robert Kennedy Jr.</v>
      </c>
    </row>
    <row r="5517" customHeight="1" spans="30:30">
      <c r="AD5517" s="5" t="str">
        <f>IFERROR(__xludf.DUMMYFUNCTION("""COMPUTED_VALUE"""),"Eve Ensler")</f>
        <v>Eve Ensler</v>
      </c>
    </row>
    <row r="5518" customHeight="1" spans="30:30">
      <c r="AD5518" s="5" t="str">
        <f>IFERROR(__xludf.DUMMYFUNCTION("""COMPUTED_VALUE"""),"Anamaria Marinca")</f>
        <v>Anamaria Marinca</v>
      </c>
    </row>
    <row r="5519" customHeight="1" spans="30:30">
      <c r="AD5519" s="5" t="str">
        <f>IFERROR(__xludf.DUMMYFUNCTION("""COMPUTED_VALUE"""),"Vlad Ivanov")</f>
        <v>Vlad Ivanov</v>
      </c>
    </row>
    <row r="5520" customHeight="1" spans="30:30">
      <c r="AD5520" s="5" t="str">
        <f>IFERROR(__xludf.DUMMYFUNCTION("""COMPUTED_VALUE"""),"Alexandru Potocean")</f>
        <v>Alexandru Potocean</v>
      </c>
    </row>
    <row r="5521" customHeight="1" spans="30:30">
      <c r="AD5521" s="5" t="str">
        <f>IFERROR(__xludf.DUMMYFUNCTION("""COMPUTED_VALUE"""),"Brian Dorton")</f>
        <v>Brian Dorton</v>
      </c>
    </row>
    <row r="5522" customHeight="1" spans="30:30">
      <c r="AD5522" s="5" t="str">
        <f>IFERROR(__xludf.DUMMYFUNCTION("""COMPUTED_VALUE"""),"Odessa Rae")</f>
        <v>Odessa Rae</v>
      </c>
    </row>
    <row r="5523" customHeight="1" spans="30:30">
      <c r="AD5523" s="5" t="str">
        <f>IFERROR(__xludf.DUMMYFUNCTION("""COMPUTED_VALUE"""),"G.J. Echternkamp")</f>
        <v>G.J. Echternkamp</v>
      </c>
    </row>
    <row r="5524" customHeight="1" spans="30:30">
      <c r="AD5524" s="5" t="str">
        <f>IFERROR(__xludf.DUMMYFUNCTION("""COMPUTED_VALUE"""),"Patrick Wilson")</f>
        <v>Patrick Wilson</v>
      </c>
    </row>
    <row r="5525" customHeight="1" spans="30:30">
      <c r="AD5525" s="5" t="str">
        <f>IFERROR(__xludf.DUMMYFUNCTION("""COMPUTED_VALUE"""),"Sarah Kazemy")</f>
        <v>Sarah Kazemy</v>
      </c>
    </row>
    <row r="5526" customHeight="1" spans="30:30">
      <c r="AD5526" s="5" t="str">
        <f>IFERROR(__xludf.DUMMYFUNCTION("""COMPUTED_VALUE"""),"Reza Sixo Safai")</f>
        <v>Reza Sixo Safai</v>
      </c>
    </row>
    <row r="5527" customHeight="1" spans="30:30">
      <c r="AD5527" s="5" t="str">
        <f>IFERROR(__xludf.DUMMYFUNCTION("""COMPUTED_VALUE"""),"Sina Amedson")</f>
        <v>Sina Amedson</v>
      </c>
    </row>
    <row r="5528" customHeight="1" spans="30:30">
      <c r="AD5528" s="5" t="str">
        <f>IFERROR(__xludf.DUMMYFUNCTION("""COMPUTED_VALUE"""),"Ahna O'Reilly")</f>
        <v>Ahna O'Reilly</v>
      </c>
    </row>
    <row r="5529" customHeight="1" spans="30:30">
      <c r="AD5529" s="5" t="str">
        <f>IFERROR(__xludf.DUMMYFUNCTION("""COMPUTED_VALUE"""),"Ariana Neal")</f>
        <v>Ariana Neal</v>
      </c>
    </row>
    <row r="5530" customHeight="1" spans="30:30">
      <c r="AD5530" s="5" t="str">
        <f>IFERROR(__xludf.DUMMYFUNCTION("""COMPUTED_VALUE"""),"Sam Edwards")</f>
        <v>Sam Edwards</v>
      </c>
    </row>
    <row r="5531" customHeight="1" spans="30:30">
      <c r="AD5531" s="5" t="str">
        <f>IFERROR(__xludf.DUMMYFUNCTION("""COMPUTED_VALUE"""),"Donnie Dunagan")</f>
        <v>Donnie Dunagan</v>
      </c>
    </row>
    <row r="5532" customHeight="1" spans="30:30">
      <c r="AD5532" s="5" t="str">
        <f>IFERROR(__xludf.DUMMYFUNCTION("""COMPUTED_VALUE"""),"Ann Gillis")</f>
        <v>Ann Gillis</v>
      </c>
    </row>
    <row r="5533" customHeight="1" spans="30:30">
      <c r="AD5533" s="5" t="str">
        <f>IFERROR(__xludf.DUMMYFUNCTION("""COMPUTED_VALUE"""),"Rian Bishop")</f>
        <v>Rian Bishop</v>
      </c>
    </row>
    <row r="5534" customHeight="1" spans="30:30">
      <c r="AD5534" s="5" t="str">
        <f>IFERROR(__xludf.DUMMYFUNCTION("""COMPUTED_VALUE"""),"Adam Carolla")</f>
        <v>Adam Carolla</v>
      </c>
    </row>
    <row r="5535" customHeight="1" spans="30:30">
      <c r="AD5535" s="5" t="str">
        <f>IFERROR(__xludf.DUMMYFUNCTION("""COMPUTED_VALUE"""),"Stana Roumillac")</f>
        <v>Stana Roumillac</v>
      </c>
    </row>
    <row r="5536" customHeight="1" spans="30:30">
      <c r="AD5536" s="5" t="str">
        <f>IFERROR(__xludf.DUMMYFUNCTION("""COMPUTED_VALUE"""),"Christophe Cherki")</f>
        <v>Christophe Cherki</v>
      </c>
    </row>
    <row r="5537" customHeight="1" spans="30:30">
      <c r="AD5537" s="5" t="str">
        <f>IFERROR(__xludf.DUMMYFUNCTION("""COMPUTED_VALUE"""),"Teddy Doloir")</f>
        <v>Teddy Doloir</v>
      </c>
    </row>
    <row r="5538" customHeight="1" spans="30:30">
      <c r="AD5538" s="5" t="str">
        <f>IFERROR(__xludf.DUMMYFUNCTION("""COMPUTED_VALUE"""),"Janel Parrish")</f>
        <v>Janel Parrish</v>
      </c>
    </row>
    <row r="5539" customHeight="1" spans="30:30">
      <c r="AD5539" s="5" t="str">
        <f>IFERROR(__xludf.DUMMYFUNCTION("""COMPUTED_VALUE"""),"D. David Morin")</f>
        <v>D. David Morin</v>
      </c>
    </row>
    <row r="5540" customHeight="1" spans="30:30">
      <c r="AD5540" s="5" t="str">
        <f>IFERROR(__xludf.DUMMYFUNCTION("""COMPUTED_VALUE"""),"Hal Linden")</f>
        <v>Hal Linden</v>
      </c>
    </row>
    <row r="5541" customHeight="1" spans="30:30">
      <c r="AD5541" s="5" t="str">
        <f>IFERROR(__xludf.DUMMYFUNCTION("""COMPUTED_VALUE"""),"Johnny Harris")</f>
        <v>Johnny Harris</v>
      </c>
    </row>
    <row r="5542" customHeight="1" spans="30:30">
      <c r="AD5542" s="5" t="str">
        <f>IFERROR(__xludf.DUMMYFUNCTION("""COMPUTED_VALUE"""),"Christopher Berry")</f>
        <v>Christopher Berry</v>
      </c>
    </row>
    <row r="5543" customHeight="1" spans="30:30">
      <c r="AD5543" s="5" t="str">
        <f>IFERROR(__xludf.DUMMYFUNCTION("""COMPUTED_VALUE"""),"Michelle Tabora")</f>
        <v>Michelle Tabora</v>
      </c>
    </row>
    <row r="5544" customHeight="1" spans="30:30">
      <c r="AD5544" s="5" t="str">
        <f>IFERROR(__xludf.DUMMYFUNCTION("""COMPUTED_VALUE"""),"Tommy O'Reilly")</f>
        <v>Tommy O'Reilly</v>
      </c>
    </row>
    <row r="5545" customHeight="1" spans="30:30">
      <c r="AD5545" s="5" t="str">
        <f>IFERROR(__xludf.DUMMYFUNCTION("""COMPUTED_VALUE"""),"Shahab Hosseini")</f>
        <v>Shahab Hosseini</v>
      </c>
    </row>
    <row r="5546" customHeight="1" spans="30:30">
      <c r="AD5546" s="5" t="str">
        <f>IFERROR(__xludf.DUMMYFUNCTION("""COMPUTED_VALUE"""),"Leila Hatami")</f>
        <v>Leila Hatami</v>
      </c>
    </row>
    <row r="5547" customHeight="1" spans="30:30">
      <c r="AD5547" s="5" t="str">
        <f>IFERROR(__xludf.DUMMYFUNCTION("""COMPUTED_VALUE"""),"Peyman Moaadi")</f>
        <v>Peyman Moaadi</v>
      </c>
    </row>
    <row r="5548" customHeight="1" spans="30:30">
      <c r="AD5548" s="5" t="str">
        <f>IFERROR(__xludf.DUMMYFUNCTION("""COMPUTED_VALUE"""),"Jo Hartley")</f>
        <v>Jo Hartley</v>
      </c>
    </row>
    <row r="5549" customHeight="1" spans="30:30">
      <c r="AD5549" s="5" t="str">
        <f>IFERROR(__xludf.DUMMYFUNCTION("""COMPUTED_VALUE"""),"Stephen McCole")</f>
        <v>Stephen McCole</v>
      </c>
    </row>
    <row r="5550" customHeight="1" spans="30:30">
      <c r="AD5550" s="5" t="str">
        <f>IFERROR(__xludf.DUMMYFUNCTION("""COMPUTED_VALUE"""),"Joe Cassidy")</f>
        <v>Joe Cassidy</v>
      </c>
    </row>
    <row r="5551" customHeight="1" spans="30:30">
      <c r="AD5551" s="5" t="str">
        <f>IFERROR(__xludf.DUMMYFUNCTION("""COMPUTED_VALUE"""),"Ken Leung")</f>
        <v>Ken Leung</v>
      </c>
    </row>
    <row r="5552" customHeight="1" spans="30:30">
      <c r="AD5552" s="5" t="str">
        <f>IFERROR(__xludf.DUMMYFUNCTION("""COMPUTED_VALUE"""),"Christina Vidal")</f>
        <v>Christina Vidal</v>
      </c>
    </row>
    <row r="5553" customHeight="1" spans="30:30">
      <c r="AD5553" s="5" t="str">
        <f>IFERROR(__xludf.DUMMYFUNCTION("""COMPUTED_VALUE"""),"Allison Dean")</f>
        <v>Allison Dean</v>
      </c>
    </row>
    <row r="5554" customHeight="1" spans="30:30">
      <c r="AD5554" s="5" t="str">
        <f>IFERROR(__xludf.DUMMYFUNCTION("""COMPUTED_VALUE"""),"Todd Field")</f>
        <v>Todd Field</v>
      </c>
    </row>
    <row r="5555" customHeight="1" spans="30:30">
      <c r="AD5555" s="5" t="str">
        <f>IFERROR(__xludf.DUMMYFUNCTION("""COMPUTED_VALUE"""),"Dorothy Lyman")</f>
        <v>Dorothy Lyman</v>
      </c>
    </row>
    <row r="5556" customHeight="1" spans="30:30">
      <c r="AD5556" s="5" t="str">
        <f>IFERROR(__xludf.DUMMYFUNCTION("""COMPUTED_VALUE"""),"Victor Rasuk")</f>
        <v>Victor Rasuk</v>
      </c>
    </row>
    <row r="5557" customHeight="1" spans="30:30">
      <c r="AD5557" s="5" t="str">
        <f>IFERROR(__xludf.DUMMYFUNCTION("""COMPUTED_VALUE"""),"Judy Marte")</f>
        <v>Judy Marte</v>
      </c>
    </row>
    <row r="5558" customHeight="1" spans="30:30">
      <c r="AD5558" s="5" t="str">
        <f>IFERROR(__xludf.DUMMYFUNCTION("""COMPUTED_VALUE"""),"Louise Brooks")</f>
        <v>Louise Brooks</v>
      </c>
    </row>
    <row r="5559" customHeight="1" spans="30:30">
      <c r="AD5559" s="5" t="str">
        <f>IFERROR(__xludf.DUMMYFUNCTION("""COMPUTED_VALUE"""),"Francis Lederer")</f>
        <v>Francis Lederer</v>
      </c>
    </row>
    <row r="5560" customHeight="1" spans="30:30">
      <c r="AD5560" s="5" t="str">
        <f>IFERROR(__xludf.DUMMYFUNCTION("""COMPUTED_VALUE"""),"Fritz Kortner")</f>
        <v>Fritz Kortner</v>
      </c>
    </row>
    <row r="5561" customHeight="1" spans="30:30">
      <c r="AD5561" s="5" t="str">
        <f>IFERROR(__xludf.DUMMYFUNCTION("""COMPUTED_VALUE"""),"Melora Walters")</f>
        <v>Melora Walters</v>
      </c>
    </row>
    <row r="5562" customHeight="1" spans="30:30">
      <c r="AD5562" s="5" t="str">
        <f>IFERROR(__xludf.DUMMYFUNCTION("""COMPUTED_VALUE"""),"Diane Baker")</f>
        <v>Diane Baker</v>
      </c>
    </row>
    <row r="5563" customHeight="1" spans="30:30">
      <c r="AD5563" s="5" t="str">
        <f>IFERROR(__xludf.DUMMYFUNCTION("""COMPUTED_VALUE"""),"Norma Aleandro")</f>
        <v>Norma Aleandro</v>
      </c>
    </row>
    <row r="5564" customHeight="1" spans="30:30">
      <c r="AD5564" s="5" t="str">
        <f>IFERROR(__xludf.DUMMYFUNCTION("""COMPUTED_VALUE"""),"Hilda Bernard")</f>
        <v>Hilda Bernard</v>
      </c>
    </row>
    <row r="5565" customHeight="1" spans="30:30">
      <c r="AD5565" s="5" t="str">
        <f>IFERROR(__xludf.DUMMYFUNCTION("""COMPUTED_VALUE"""),"Claudia Lapacó")</f>
        <v>Claudia Lapacó</v>
      </c>
    </row>
    <row r="5566" customHeight="1" spans="30:30">
      <c r="AD5566" s="5" t="str">
        <f>IFERROR(__xludf.DUMMYFUNCTION("""COMPUTED_VALUE"""),"Zachary Knighton")</f>
        <v>Zachary Knighton</v>
      </c>
    </row>
    <row r="5567" customHeight="1" spans="30:30">
      <c r="AD5567" s="5" t="str">
        <f>IFERROR(__xludf.DUMMYFUNCTION("""COMPUTED_VALUE"""),"Arly Jover")</f>
        <v>Arly Jover</v>
      </c>
    </row>
    <row r="5568" customHeight="1" spans="30:30">
      <c r="AD5568" s="5" t="str">
        <f>IFERROR(__xludf.DUMMYFUNCTION("""COMPUTED_VALUE"""),"Shane Dawson")</f>
        <v>Shane Dawson</v>
      </c>
    </row>
    <row r="5569" customHeight="1" spans="30:30">
      <c r="AD5569" s="5" t="str">
        <f>IFERROR(__xludf.DUMMYFUNCTION("""COMPUTED_VALUE"""),"Kurt Angle")</f>
        <v>Kurt Angle</v>
      </c>
    </row>
    <row r="5570" customHeight="1" spans="30:30">
      <c r="AD5570" s="5" t="str">
        <f>IFERROR(__xludf.DUMMYFUNCTION("""COMPUTED_VALUE"""),"Cherami Leigh")</f>
        <v>Cherami Leigh</v>
      </c>
    </row>
    <row r="5571" customHeight="1" spans="30:30">
      <c r="AD5571" s="5" t="str">
        <f>IFERROR(__xludf.DUMMYFUNCTION("""COMPUTED_VALUE"""),"Stig Frode Henriksen")</f>
        <v>Stig Frode Henriksen</v>
      </c>
    </row>
    <row r="5572" customHeight="1" spans="30:30">
      <c r="AD5572" s="5" t="str">
        <f>IFERROR(__xludf.DUMMYFUNCTION("""COMPUTED_VALUE"""),"Ane Dahl Torp")</f>
        <v>Ane Dahl Torp</v>
      </c>
    </row>
    <row r="5573" customHeight="1" spans="30:30">
      <c r="AD5573" s="5" t="str">
        <f>IFERROR(__xludf.DUMMYFUNCTION("""COMPUTED_VALUE"""),"Corbin Allred")</f>
        <v>Corbin Allred</v>
      </c>
    </row>
    <row r="5574" customHeight="1" spans="30:30">
      <c r="AD5574" s="5" t="str">
        <f>IFERROR(__xludf.DUMMYFUNCTION("""COMPUTED_VALUE"""),"Taylor Pigeon")</f>
        <v>Taylor Pigeon</v>
      </c>
    </row>
    <row r="5575" customHeight="1" spans="30:30">
      <c r="AD5575" s="5" t="str">
        <f>IFERROR(__xludf.DUMMYFUNCTION("""COMPUTED_VALUE"""),"Alan Pietruszewski")</f>
        <v>Alan Pietruszewski</v>
      </c>
    </row>
    <row r="5576" customHeight="1" spans="30:30">
      <c r="AD5576" s="5" t="str">
        <f>IFERROR(__xludf.DUMMYFUNCTION("""COMPUTED_VALUE"""),"Whit Spurgeon")</f>
        <v>Whit Spurgeon</v>
      </c>
    </row>
    <row r="5577" customHeight="1" spans="30:30">
      <c r="AD5577" s="5" t="str">
        <f>IFERROR(__xludf.DUMMYFUNCTION("""COMPUTED_VALUE"""),"Mackenzie Phillips")</f>
        <v>Mackenzie Phillips</v>
      </c>
    </row>
    <row r="5578" customHeight="1" spans="30:30">
      <c r="AD5578" s="5" t="str">
        <f>IFERROR(__xludf.DUMMYFUNCTION("""COMPUTED_VALUE"""),"Scott Helvenston")</f>
        <v>Scott Helvenston</v>
      </c>
    </row>
    <row r="5579" customHeight="1" spans="30:30">
      <c r="AD5579" s="5" t="str">
        <f>IFERROR(__xludf.DUMMYFUNCTION("""COMPUTED_VALUE"""),"Katy Helvenston-Wettengal")</f>
        <v>Katy Helvenston-Wettengal</v>
      </c>
    </row>
    <row r="5580" customHeight="1" spans="30:30">
      <c r="AD5580" s="5" t="str">
        <f>IFERROR(__xludf.DUMMYFUNCTION("""COMPUTED_VALUE"""),"Donna Zovko")</f>
        <v>Donna Zovko</v>
      </c>
    </row>
    <row r="5581" customHeight="1" spans="30:30">
      <c r="AD5581" s="5" t="str">
        <f>IFERROR(__xludf.DUMMYFUNCTION("""COMPUTED_VALUE"""),"Isaac C. Singleton Jr.")</f>
        <v>Isaac C. Singleton Jr.</v>
      </c>
    </row>
    <row r="5582" customHeight="1" spans="30:30">
      <c r="AD5582" s="5" t="str">
        <f>IFERROR(__xludf.DUMMYFUNCTION("""COMPUTED_VALUE"""),"Jeanette Branch")</f>
        <v>Jeanette Branch</v>
      </c>
    </row>
    <row r="5583" customHeight="1" spans="30:30">
      <c r="AD5583" s="5" t="str">
        <f>IFERROR(__xludf.DUMMYFUNCTION("""COMPUTED_VALUE"""),"Jake Ryan")</f>
        <v>Jake Ryan</v>
      </c>
    </row>
    <row r="5584" customHeight="1" spans="30:30">
      <c r="AD5584" s="5" t="str">
        <f>IFERROR(__xludf.DUMMYFUNCTION("""COMPUTED_VALUE"""),"Pat Healy")</f>
        <v>Pat Healy</v>
      </c>
    </row>
    <row r="5585" customHeight="1" spans="30:30">
      <c r="AD5585" s="5" t="str">
        <f>IFERROR(__xludf.DUMMYFUNCTION("""COMPUTED_VALUE"""),"Stefania Sandrelli")</f>
        <v>Stefania Sandrelli</v>
      </c>
    </row>
    <row r="5586" customHeight="1" spans="30:30">
      <c r="AD5586" s="5" t="str">
        <f>IFERROR(__xludf.DUMMYFUNCTION("""COMPUTED_VALUE"""),"Dominique Sanda")</f>
        <v>Dominique Sanda</v>
      </c>
    </row>
    <row r="5587" customHeight="1" spans="30:30">
      <c r="AD5587" s="5" t="str">
        <f>IFERROR(__xludf.DUMMYFUNCTION("""COMPUTED_VALUE"""),"Raymond J. Barry")</f>
        <v>Raymond J. Barry</v>
      </c>
    </row>
    <row r="5588" customHeight="1" spans="30:30">
      <c r="AD5588" s="5" t="str">
        <f>IFERROR(__xludf.DUMMYFUNCTION("""COMPUTED_VALUE"""),"Christel Khalil")</f>
        <v>Christel Khalil</v>
      </c>
    </row>
    <row r="5589" customHeight="1" spans="30:30">
      <c r="AD5589" s="5" t="str">
        <f>IFERROR(__xludf.DUMMYFUNCTION("""COMPUTED_VALUE"""),"Renee Faia")</f>
        <v>Renee Faia</v>
      </c>
    </row>
    <row r="5590" customHeight="1" spans="30:30">
      <c r="AD5590" s="5" t="str">
        <f>IFERROR(__xludf.DUMMYFUNCTION("""COMPUTED_VALUE"""),"Nichola Burley")</f>
        <v>Nichola Burley</v>
      </c>
    </row>
    <row r="5591" customHeight="1" spans="30:30">
      <c r="AD5591" s="5" t="str">
        <f>IFERROR(__xludf.DUMMYFUNCTION("""COMPUTED_VALUE"""),"Whitney Able")</f>
        <v>Whitney Able</v>
      </c>
    </row>
    <row r="5592" customHeight="1" spans="30:30">
      <c r="AD5592" s="5" t="str">
        <f>IFERROR(__xludf.DUMMYFUNCTION("""COMPUTED_VALUE"""),"Jennifer Lee Wiggins")</f>
        <v>Jennifer Lee Wiggins</v>
      </c>
    </row>
    <row r="5593" customHeight="1" spans="30:30">
      <c r="AD5593" s="5" t="str">
        <f>IFERROR(__xludf.DUMMYFUNCTION("""COMPUTED_VALUE"""),"Michele Morrow")</f>
        <v>Michele Morrow</v>
      </c>
    </row>
    <row r="5594" customHeight="1" spans="30:30">
      <c r="AD5594" s="5" t="str">
        <f>IFERROR(__xludf.DUMMYFUNCTION("""COMPUTED_VALUE"""),"Lon Chaney Jr.")</f>
        <v>Lon Chaney Jr.</v>
      </c>
    </row>
    <row r="5595" customHeight="1" spans="30:30">
      <c r="AD5595" s="5" t="str">
        <f>IFERROR(__xludf.DUMMYFUNCTION("""COMPUTED_VALUE"""),"William Gates")</f>
        <v>William Gates</v>
      </c>
    </row>
    <row r="5596" customHeight="1" spans="30:30">
      <c r="AD5596" s="5" t="str">
        <f>IFERROR(__xludf.DUMMYFUNCTION("""COMPUTED_VALUE"""),"Arthur Agee")</f>
        <v>Arthur Agee</v>
      </c>
    </row>
    <row r="5597" customHeight="1" spans="30:30">
      <c r="AD5597" s="5" t="str">
        <f>IFERROR(__xludf.DUMMYFUNCTION("""COMPUTED_VALUE"""),"Isiah Thomas")</f>
        <v>Isiah Thomas</v>
      </c>
    </row>
    <row r="5598" customHeight="1" spans="30:30">
      <c r="AD5598" s="5" t="str">
        <f>IFERROR(__xludf.DUMMYFUNCTION("""COMPUTED_VALUE"""),"Kevin Scott Richardson")</f>
        <v>Kevin Scott Richardson</v>
      </c>
    </row>
    <row r="5599" customHeight="1" spans="30:30">
      <c r="AD5599" s="5" t="str">
        <f>IFERROR(__xludf.DUMMYFUNCTION("""COMPUTED_VALUE"""),"Christopher Toler")</f>
        <v>Christopher Toler</v>
      </c>
    </row>
    <row r="5600" customHeight="1" spans="30:30">
      <c r="AD5600" s="5" t="str">
        <f>IFERROR(__xludf.DUMMYFUNCTION("""COMPUTED_VALUE"""),"Tommy the Clown")</f>
        <v>Tommy the Clown</v>
      </c>
    </row>
    <row r="5601" customHeight="1" spans="30:30">
      <c r="AD5601" s="5" t="str">
        <f>IFERROR(__xludf.DUMMYFUNCTION("""COMPUTED_VALUE"""),"Walter Masterson")</f>
        <v>Walter Masterson</v>
      </c>
    </row>
    <row r="5602" customHeight="1" spans="30:30">
      <c r="AD5602" s="5" t="str">
        <f>IFERROR(__xludf.DUMMYFUNCTION("""COMPUTED_VALUE"""),"Laura Fraser")</f>
        <v>Laura Fraser</v>
      </c>
    </row>
    <row r="5603" customHeight="1" spans="30:30">
      <c r="AD5603" s="5" t="str">
        <f>IFERROR(__xludf.DUMMYFUNCTION("""COMPUTED_VALUE"""),"Kara Hayward")</f>
        <v>Kara Hayward</v>
      </c>
    </row>
    <row r="5604" customHeight="1" spans="30:30">
      <c r="AD5604" s="5" t="str">
        <f>IFERROR(__xludf.DUMMYFUNCTION("""COMPUTED_VALUE"""),"Louis Ozawa Changchien")</f>
        <v>Louis Ozawa Changchien</v>
      </c>
    </row>
    <row r="5605" customHeight="1" spans="30:30">
      <c r="AD5605" s="5" t="str">
        <f>IFERROR(__xludf.DUMMYFUNCTION("""COMPUTED_VALUE"""),"Jeff Lima")</f>
        <v>Jeff Lima</v>
      </c>
    </row>
    <row r="5606" customHeight="1" spans="30:30">
      <c r="AD5606" s="5" t="str">
        <f>IFERROR(__xludf.DUMMYFUNCTION("""COMPUTED_VALUE"""),"Akima")</f>
        <v>Akima</v>
      </c>
    </row>
    <row r="5607" customHeight="1" spans="30:30">
      <c r="AD5607" s="5" t="str">
        <f>IFERROR(__xludf.DUMMYFUNCTION("""COMPUTED_VALUE"""),"Max Gail")</f>
        <v>Max Gail</v>
      </c>
    </row>
    <row r="5608" customHeight="1" spans="30:30">
      <c r="AD5608" s="5" t="str">
        <f>IFERROR(__xludf.DUMMYFUNCTION("""COMPUTED_VALUE"""),"Robinne Lee")</f>
        <v>Robinne Lee</v>
      </c>
    </row>
    <row r="5609" customHeight="1" spans="30:30">
      <c r="AD5609" s="5" t="str">
        <f>IFERROR(__xludf.DUMMYFUNCTION("""COMPUTED_VALUE"""),"Chenoa Maxwell")</f>
        <v>Chenoa Maxwell</v>
      </c>
    </row>
    <row r="5610" customHeight="1" spans="30:30">
      <c r="AD5610" s="5" t="str">
        <f>IFERROR(__xludf.DUMMYFUNCTION("""COMPUTED_VALUE"""),"Steffinnie Phrommany")</f>
        <v>Steffinnie Phrommany</v>
      </c>
    </row>
    <row r="5611" customHeight="1" spans="30:30">
      <c r="AD5611" s="5" t="str">
        <f>IFERROR(__xludf.DUMMYFUNCTION("""COMPUTED_VALUE"""),"Danielle Savre")</f>
        <v>Danielle Savre</v>
      </c>
    </row>
    <row r="5612" customHeight="1" spans="30:30">
      <c r="AD5612" s="5" t="str">
        <f>IFERROR(__xludf.DUMMYFUNCTION("""COMPUTED_VALUE"""),"Trey Loney")</f>
        <v>Trey Loney</v>
      </c>
    </row>
    <row r="5613" customHeight="1" spans="30:30">
      <c r="AD5613" s="5" t="str">
        <f>IFERROR(__xludf.DUMMYFUNCTION("""COMPUTED_VALUE"""),"Lee Armstrong")</f>
        <v>Lee Armstrong</v>
      </c>
    </row>
    <row r="5614" customHeight="1" spans="30:30">
      <c r="AD5614" s="5" t="str">
        <f>IFERROR(__xludf.DUMMYFUNCTION("""COMPUTED_VALUE"""),"Amy Lucas")</f>
        <v>Amy Lucas</v>
      </c>
    </row>
    <row r="5615" customHeight="1" spans="30:30">
      <c r="AD5615" s="5" t="str">
        <f>IFERROR(__xludf.DUMMYFUNCTION("""COMPUTED_VALUE"""),"Richard Curtis")</f>
        <v>Richard Curtis</v>
      </c>
    </row>
    <row r="5616" customHeight="1" spans="30:30">
      <c r="AD5616" s="5" t="str">
        <f>IFERROR(__xludf.DUMMYFUNCTION("""COMPUTED_VALUE"""),"Dave Fennoy")</f>
        <v>Dave Fennoy</v>
      </c>
    </row>
    <row r="5617" customHeight="1" spans="30:30">
      <c r="AD5617" s="5" t="str">
        <f>IFERROR(__xludf.DUMMYFUNCTION("""COMPUTED_VALUE"""),"Madison Lintz")</f>
        <v>Madison Lintz</v>
      </c>
    </row>
    <row r="5618" customHeight="1" spans="30:30">
      <c r="AD5618" s="5" t="str">
        <f>IFERROR(__xludf.DUMMYFUNCTION("""COMPUTED_VALUE"""),"Karolina Wydra")</f>
        <v>Karolina Wydra</v>
      </c>
    </row>
    <row r="5619" customHeight="1" spans="30:30">
      <c r="AD5619" s="5" t="str">
        <f>IFERROR(__xludf.DUMMYFUNCTION("""COMPUTED_VALUE"""),"Lorraine Ziff")</f>
        <v>Lorraine Ziff</v>
      </c>
    </row>
    <row r="5620" customHeight="1" spans="30:30">
      <c r="AD5620" s="5" t="str">
        <f>IFERROR(__xludf.DUMMYFUNCTION("""COMPUTED_VALUE"""),"Ginger Rogers")</f>
        <v>Ginger Rogers</v>
      </c>
    </row>
    <row r="5621" customHeight="1" spans="30:30">
      <c r="AD5621" s="5" t="str">
        <f>IFERROR(__xludf.DUMMYFUNCTION("""COMPUTED_VALUE"""),"Edward Everett Horton")</f>
        <v>Edward Everett Horton</v>
      </c>
    </row>
    <row r="5622" customHeight="1" spans="30:30">
      <c r="AD5622" s="5" t="str">
        <f>IFERROR(__xludf.DUMMYFUNCTION("""COMPUTED_VALUE"""),"Eric Blore")</f>
        <v>Eric Blore</v>
      </c>
    </row>
    <row r="5623" customHeight="1" spans="30:30">
      <c r="AD5623" s="5" t="str">
        <f>IFERROR(__xludf.DUMMYFUNCTION("""COMPUTED_VALUE"""),"Heather Donahue")</f>
        <v>Heather Donahue</v>
      </c>
    </row>
    <row r="5624" customHeight="1" spans="30:30">
      <c r="AD5624" s="5" t="str">
        <f>IFERROR(__xludf.DUMMYFUNCTION("""COMPUTED_VALUE"""),"Joshua Leonard")</f>
        <v>Joshua Leonard</v>
      </c>
    </row>
    <row r="5625" customHeight="1" spans="30:30">
      <c r="AD5625" s="5" t="str">
        <f>IFERROR(__xludf.DUMMYFUNCTION("""COMPUTED_VALUE"""),"Michael C. Williams")</f>
        <v>Michael C. Williams</v>
      </c>
    </row>
    <row r="5626" customHeight="1" spans="30:30">
      <c r="AD5626" s="5" t="str">
        <f>IFERROR(__xludf.DUMMYFUNCTION("""COMPUTED_VALUE"""),"Joe Cocker")</f>
        <v>Joe Cocker</v>
      </c>
    </row>
    <row r="5627" customHeight="1" spans="30:30">
      <c r="AD5627" s="5" t="str">
        <f>IFERROR(__xludf.DUMMYFUNCTION("""COMPUTED_VALUE"""),"Jimi Hendrix")</f>
        <v>Jimi Hendrix</v>
      </c>
    </row>
    <row r="5628" customHeight="1" spans="30:30">
      <c r="AD5628" s="5" t="str">
        <f>IFERROR(__xludf.DUMMYFUNCTION("""COMPUTED_VALUE"""),"Joan Baez")</f>
        <v>Joan Baez</v>
      </c>
    </row>
    <row r="5629" customHeight="1" spans="30:30">
      <c r="AD5629" s="5" t="str">
        <f>IFERROR(__xludf.DUMMYFUNCTION("""COMPUTED_VALUE"""),"David Zucker")</f>
        <v>David Zucker</v>
      </c>
    </row>
    <row r="5630" customHeight="1" spans="30:30">
      <c r="AD5630" s="5" t="str">
        <f>IFERROR(__xludf.DUMMYFUNCTION("""COMPUTED_VALUE"""),"Barry Dennen")</f>
        <v>Barry Dennen</v>
      </c>
    </row>
    <row r="5631" customHeight="1" spans="30:30">
      <c r="AD5631" s="5" t="str">
        <f>IFERROR(__xludf.DUMMYFUNCTION("""COMPUTED_VALUE"""),"Tara Strohmeier")</f>
        <v>Tara Strohmeier</v>
      </c>
    </row>
    <row r="5632" customHeight="1" spans="30:30">
      <c r="AD5632" s="5" t="str">
        <f>IFERROR(__xludf.DUMMYFUNCTION("""COMPUTED_VALUE"""),"David A.R. White")</f>
        <v>David A.R. White</v>
      </c>
    </row>
    <row r="5633" customHeight="1" spans="30:30">
      <c r="AD5633" s="5" t="str">
        <f>IFERROR(__xludf.DUMMYFUNCTION("""COMPUTED_VALUE"""),"Cynthia Watros")</f>
        <v>Cynthia Watros</v>
      </c>
    </row>
    <row r="5634" customHeight="1" spans="30:30">
      <c r="AD5634" s="5" t="str">
        <f>IFERROR(__xludf.DUMMYFUNCTION("""COMPUTED_VALUE"""),"Kendyl Joi")</f>
        <v>Kendyl Joi</v>
      </c>
    </row>
    <row r="5635" customHeight="1" spans="30:30">
      <c r="AD5635" s="5" t="str">
        <f>IFERROR(__xludf.DUMMYFUNCTION("""COMPUTED_VALUE"""),"Matthew Feeney")</f>
        <v>Matthew Feeney</v>
      </c>
    </row>
    <row r="5636" customHeight="1" spans="30:30">
      <c r="AD5636" s="5" t="str">
        <f>IFERROR(__xludf.DUMMYFUNCTION("""COMPUTED_VALUE"""),"Tac Fitzgerald")</f>
        <v>Tac Fitzgerald</v>
      </c>
    </row>
    <row r="5637" customHeight="1" spans="30:30">
      <c r="AD5637" s="5" t="str">
        <f>IFERROR(__xludf.DUMMYFUNCTION("""COMPUTED_VALUE"""),"Brent David Fraser")</f>
        <v>Brent David Fraser</v>
      </c>
    </row>
    <row r="5638" customHeight="1" spans="30:30">
      <c r="AD5638" s="5" t="str">
        <f>IFERROR(__xludf.DUMMYFUNCTION("""COMPUTED_VALUE"""),"Angela Nordeng")</f>
        <v>Angela Nordeng</v>
      </c>
    </row>
    <row r="5639" customHeight="1" spans="30:30">
      <c r="AD5639" s="5" t="str">
        <f>IFERROR(__xludf.DUMMYFUNCTION("""COMPUTED_VALUE"""),"Exie Booker")</f>
        <v>Exie Booker</v>
      </c>
    </row>
    <row r="5640" customHeight="1" spans="30:30">
      <c r="AD5640" s="5" t="str">
        <f>IFERROR(__xludf.DUMMYFUNCTION("""COMPUTED_VALUE"""),"Aliou Touré")</f>
        <v>Aliou Touré</v>
      </c>
    </row>
    <row r="5641" customHeight="1" spans="30:30">
      <c r="AD5641" s="5" t="str">
        <f>IFERROR(__xludf.DUMMYFUNCTION("""COMPUTED_VALUE"""),"Garba Touré")</f>
        <v>Garba Touré</v>
      </c>
    </row>
    <row r="5642" customHeight="1" spans="30:30">
      <c r="AD5642" s="5" t="str">
        <f>IFERROR(__xludf.DUMMYFUNCTION("""COMPUTED_VALUE"""),"Khaira Arby")</f>
        <v>Khaira Arby</v>
      </c>
    </row>
    <row r="5643" customHeight="1" spans="30:30">
      <c r="AD5643" s="5" t="str">
        <f>IFERROR(__xludf.DUMMYFUNCTION("""COMPUTED_VALUE"""),"Karen Alexander")</f>
        <v>Karen Alexander</v>
      </c>
    </row>
    <row r="5644" customHeight="1" spans="30:30">
      <c r="AD5644" s="5" t="str">
        <f>IFERROR(__xludf.DUMMYFUNCTION("""COMPUTED_VALUE"""),"Colin Andrews")</f>
        <v>Colin Andrews</v>
      </c>
    </row>
    <row r="5645" customHeight="1" spans="30:30">
      <c r="AD5645" s="5" t="str">
        <f>IFERROR(__xludf.DUMMYFUNCTION("""COMPUTED_VALUE"""),"Francine Blake")</f>
        <v>Francine Blake</v>
      </c>
    </row>
    <row r="5646" customHeight="1" spans="30:30">
      <c r="AD5646" s="5" t="str">
        <f>IFERROR(__xludf.DUMMYFUNCTION("""COMPUTED_VALUE"""),"Lymari Nadal")</f>
        <v>Lymari Nadal</v>
      </c>
    </row>
    <row r="5647" customHeight="1" spans="30:30">
      <c r="AD5647" s="5" t="str">
        <f>IFERROR(__xludf.DUMMYFUNCTION("""COMPUTED_VALUE"""),"Félix Moati")</f>
        <v>Félix Moati</v>
      </c>
    </row>
    <row r="5648" customHeight="1" spans="30:30">
      <c r="AD5648" s="5" t="str">
        <f>IFERROR(__xludf.DUMMYFUNCTION("""COMPUTED_VALUE"""),"Marianne Denicourt")</f>
        <v>Marianne Denicourt</v>
      </c>
    </row>
    <row r="5649" customHeight="1" spans="30:30">
      <c r="AD5649" s="5" t="str">
        <f>IFERROR(__xludf.DUMMYFUNCTION("""COMPUTED_VALUE"""),"John Brodsky")</f>
        <v>John Brodsky</v>
      </c>
    </row>
    <row r="5650" customHeight="1" spans="30:30">
      <c r="AD5650" s="5" t="str">
        <f>IFERROR(__xludf.DUMMYFUNCTION("""COMPUTED_VALUE"""),"Paul McCartney")</f>
        <v>Paul McCartney</v>
      </c>
    </row>
    <row r="5651" customHeight="1" spans="30:30">
      <c r="AD5651" s="5" t="str">
        <f>IFERROR(__xludf.DUMMYFUNCTION("""COMPUTED_VALUE"""),"Ringo Starr")</f>
        <v>Ringo Starr</v>
      </c>
    </row>
    <row r="5652" customHeight="1" spans="30:30">
      <c r="AD5652" s="5" t="str">
        <f>IFERROR(__xludf.DUMMYFUNCTION("""COMPUTED_VALUE"""),"George Harrison")</f>
        <v>George Harrison</v>
      </c>
    </row>
    <row r="5653" customHeight="1" spans="30:30">
      <c r="AD5653" s="5" t="str">
        <f>IFERROR(__xludf.DUMMYFUNCTION("""COMPUTED_VALUE"""),"Dario Nozic Serini")</f>
        <v>Dario Nozic Serini</v>
      </c>
    </row>
    <row r="5654" customHeight="1" spans="30:30">
      <c r="AD5654" s="5" t="str">
        <f>IFERROR(__xludf.DUMMYFUNCTION("""COMPUTED_VALUE"""),"Spela Colja")</f>
        <v>Spela Colja</v>
      </c>
    </row>
    <row r="5655" customHeight="1" spans="30:30">
      <c r="AD5655" s="5" t="str">
        <f>IFERROR(__xludf.DUMMYFUNCTION("""COMPUTED_VALUE"""),"Andrej Nahtigal")</f>
        <v>Andrej Nahtigal</v>
      </c>
    </row>
    <row r="5656" customHeight="1" spans="30:30">
      <c r="AD5656" s="5" t="str">
        <f>IFERROR(__xludf.DUMMYFUNCTION("""COMPUTED_VALUE"""),"Kirk Cameron")</f>
        <v>Kirk Cameron</v>
      </c>
    </row>
    <row r="5657" customHeight="1" spans="30:30">
      <c r="AD5657" s="5" t="str">
        <f>IFERROR(__xludf.DUMMYFUNCTION("""COMPUTED_VALUE"""),"Ken Bevel")</f>
        <v>Ken Bevel</v>
      </c>
    </row>
    <row r="5658" customHeight="1" spans="30:30">
      <c r="AD5658" s="5" t="str">
        <f>IFERROR(__xludf.DUMMYFUNCTION("""COMPUTED_VALUE"""),"Erin Bethea")</f>
        <v>Erin Bethea</v>
      </c>
    </row>
    <row r="5659" customHeight="1" spans="30:30">
      <c r="AD5659" s="5" t="str">
        <f>IFERROR(__xludf.DUMMYFUNCTION("""COMPUTED_VALUE"""),"Bhole Baba")</f>
        <v>Bhole Baba</v>
      </c>
    </row>
    <row r="5660" customHeight="1" spans="30:30">
      <c r="AD5660" s="5" t="str">
        <f>IFERROR(__xludf.DUMMYFUNCTION("""COMPUTED_VALUE"""),"Pant Shirt Baba")</f>
        <v>Pant Shirt Baba</v>
      </c>
    </row>
    <row r="5661" customHeight="1" spans="30:30">
      <c r="AD5661" s="5" t="str">
        <f>IFERROR(__xludf.DUMMYFUNCTION("""COMPUTED_VALUE"""),"Shriman Umeshanad Brahmachari")</f>
        <v>Shriman Umeshanad Brahmachari</v>
      </c>
    </row>
    <row r="5662" customHeight="1" spans="30:30">
      <c r="AD5662" s="5" t="str">
        <f>IFERROR(__xludf.DUMMYFUNCTION("""COMPUTED_VALUE"""),"Frances Bavier")</f>
        <v>Frances Bavier</v>
      </c>
    </row>
    <row r="5663" customHeight="1" spans="30:30">
      <c r="AD5663" s="5" t="str">
        <f>IFERROR(__xludf.DUMMYFUNCTION("""COMPUTED_VALUE"""),"Peter Breck")</f>
        <v>Peter Breck</v>
      </c>
    </row>
    <row r="5664" customHeight="1" spans="30:30">
      <c r="AD5664" s="5" t="str">
        <f>IFERROR(__xludf.DUMMYFUNCTION("""COMPUTED_VALUE"""),"Edgar Buchanan")</f>
        <v>Edgar Buchanan</v>
      </c>
    </row>
    <row r="5665" customHeight="1" spans="30:30">
      <c r="AD5665" s="5" t="str">
        <f>IFERROR(__xludf.DUMMYFUNCTION("""COMPUTED_VALUE"""),"Blanchard Ryan")</f>
        <v>Blanchard Ryan</v>
      </c>
    </row>
    <row r="5666" customHeight="1" spans="30:30">
      <c r="AD5666" s="5" t="str">
        <f>IFERROR(__xludf.DUMMYFUNCTION("""COMPUTED_VALUE"""),"Saul Stein")</f>
        <v>Saul Stein</v>
      </c>
    </row>
    <row r="5667" customHeight="1" spans="30:30">
      <c r="AD5667" s="5" t="str">
        <f>IFERROR(__xludf.DUMMYFUNCTION("""COMPUTED_VALUE"""),"Daniel Travis")</f>
        <v>Daniel Travis</v>
      </c>
    </row>
    <row r="5668" customHeight="1" spans="30:30">
      <c r="AD5668" s="5" t="str">
        <f>IFERROR(__xludf.DUMMYFUNCTION("""COMPUTED_VALUE"""),"Abby Elliott")</f>
        <v>Abby Elliott</v>
      </c>
    </row>
    <row r="5669" customHeight="1" spans="30:30">
      <c r="AD5669" s="5" t="str">
        <f>IFERROR(__xludf.DUMMYFUNCTION("""COMPUTED_VALUE"""),"Hoke Howell")</f>
        <v>Hoke Howell</v>
      </c>
    </row>
    <row r="5670" customHeight="1" spans="30:30">
      <c r="AD5670" s="5" t="str">
        <f>IFERROR(__xludf.DUMMYFUNCTION("""COMPUTED_VALUE"""),"Tiffany Bolling")</f>
        <v>Tiffany Bolling</v>
      </c>
    </row>
    <row r="5671" customHeight="1" spans="30:30">
      <c r="AD5671" s="5" t="str">
        <f>IFERROR(__xludf.DUMMYFUNCTION("""COMPUTED_VALUE"""),"Heather Berman")</f>
        <v>Heather Berman</v>
      </c>
    </row>
    <row r="5672" customHeight="1" spans="30:30">
      <c r="AD5672" s="5" t="str">
        <f>IFERROR(__xludf.DUMMYFUNCTION("""COMPUTED_VALUE"""),"Eva Carrozza")</f>
        <v>Eva Carrozza</v>
      </c>
    </row>
    <row r="5673" customHeight="1" spans="30:30">
      <c r="AD5673" s="5" t="str">
        <f>IFERROR(__xludf.DUMMYFUNCTION("""COMPUTED_VALUE"""),"Paul Daggett")</f>
        <v>Paul Daggett</v>
      </c>
    </row>
    <row r="5674" customHeight="1" spans="30:30">
      <c r="AD5674" s="5" t="str">
        <f>IFERROR(__xludf.DUMMYFUNCTION("""COMPUTED_VALUE"""),"Ken Burns")</f>
        <v>Ken Burns</v>
      </c>
    </row>
    <row r="5675" customHeight="1" spans="30:30">
      <c r="AD5675" s="5" t="str">
        <f>IFERROR(__xludf.DUMMYFUNCTION("""COMPUTED_VALUE"""),"Bob Dole")</f>
        <v>Bob Dole</v>
      </c>
    </row>
    <row r="5676" customHeight="1" spans="30:30">
      <c r="AD5676" s="5" t="str">
        <f>IFERROR(__xludf.DUMMYFUNCTION("""COMPUTED_VALUE"""),"Terry Funk")</f>
        <v>Terry Funk</v>
      </c>
    </row>
    <row r="5677" customHeight="1" spans="30:30">
      <c r="AD5677" s="5" t="str">
        <f>IFERROR(__xludf.DUMMYFUNCTION("""COMPUTED_VALUE"""),"Vince McMahon")</f>
        <v>Vince McMahon</v>
      </c>
    </row>
    <row r="5678" customHeight="1" spans="30:30">
      <c r="AD5678" s="5" t="str">
        <f>IFERROR(__xludf.DUMMYFUNCTION("""COMPUTED_VALUE"""),"Mick Foley")</f>
        <v>Mick Foley</v>
      </c>
    </row>
    <row r="5679" customHeight="1" spans="30:30">
      <c r="AD5679" s="5" t="str">
        <f>IFERROR(__xludf.DUMMYFUNCTION("""COMPUTED_VALUE"""),"Lincoln Hoppe")</f>
        <v>Lincoln Hoppe</v>
      </c>
    </row>
    <row r="5680" customHeight="1" spans="30:30">
      <c r="AD5680" s="5" t="str">
        <f>IFERROR(__xludf.DUMMYFUNCTION("""COMPUTED_VALUE"""),"Daryn Tufts")</f>
        <v>Daryn Tufts</v>
      </c>
    </row>
    <row r="5681" customHeight="1" spans="30:30">
      <c r="AD5681" s="5" t="str">
        <f>IFERROR(__xludf.DUMMYFUNCTION("""COMPUTED_VALUE"""),"Marina Golbahari")</f>
        <v>Marina Golbahari</v>
      </c>
    </row>
    <row r="5682" customHeight="1" spans="30:30">
      <c r="AD5682" s="5" t="str">
        <f>IFERROR(__xludf.DUMMYFUNCTION("""COMPUTED_VALUE"""),"Zubaida Sahar")</f>
        <v>Zubaida Sahar</v>
      </c>
    </row>
    <row r="5683" customHeight="1" spans="30:30">
      <c r="AD5683" s="5" t="str">
        <f>IFERROR(__xludf.DUMMYFUNCTION("""COMPUTED_VALUE"""),"Mohamad Haref Harati")</f>
        <v>Mohamad Haref Harati</v>
      </c>
    </row>
    <row r="5684" customHeight="1" spans="30:30">
      <c r="AD5684" s="5" t="str">
        <f>IFERROR(__xludf.DUMMYFUNCTION("""COMPUTED_VALUE"""),"Peter Riegert")</f>
        <v>Peter Riegert</v>
      </c>
    </row>
    <row r="5685" customHeight="1" spans="30:30">
      <c r="AD5685" s="5" t="str">
        <f>IFERROR(__xludf.DUMMYFUNCTION("""COMPUTED_VALUE"""),"Jason Kravits")</f>
        <v>Jason Kravits</v>
      </c>
    </row>
    <row r="5686" customHeight="1" spans="30:30">
      <c r="AD5686" s="5" t="str">
        <f>IFERROR(__xludf.DUMMYFUNCTION("""COMPUTED_VALUE"""),"Ari Gold")</f>
        <v>Ari Gold</v>
      </c>
    </row>
    <row r="5687" customHeight="1" spans="30:30">
      <c r="AD5687" s="5" t="str">
        <f>IFERROR(__xludf.DUMMYFUNCTION("""COMPUTED_VALUE"""),"Denny Kirkwood")</f>
        <v>Denny Kirkwood</v>
      </c>
    </row>
    <row r="5688" customHeight="1" spans="30:30">
      <c r="AD5688" s="5" t="str">
        <f>IFERROR(__xludf.DUMMYFUNCTION("""COMPUTED_VALUE"""),"Big Budah")</f>
        <v>Big Budah</v>
      </c>
    </row>
    <row r="5689" customHeight="1" spans="30:30">
      <c r="AD5689" s="5" t="str">
        <f>IFERROR(__xludf.DUMMYFUNCTION("""COMPUTED_VALUE"""),"Curt Doussett")</f>
        <v>Curt Doussett</v>
      </c>
    </row>
    <row r="5690" customHeight="1" spans="30:30">
      <c r="AD5690" s="5" t="str">
        <f>IFERROR(__xludf.DUMMYFUNCTION("""COMPUTED_VALUE"""),"William Katt")</f>
        <v>William Katt</v>
      </c>
    </row>
    <row r="5691" customHeight="1" spans="30:30">
      <c r="AD5691" s="5" t="str">
        <f>IFERROR(__xludf.DUMMYFUNCTION("""COMPUTED_VALUE"""),"Ti West")</f>
        <v>Ti West</v>
      </c>
    </row>
    <row r="5692" customHeight="1" spans="30:30">
      <c r="AD5692" s="5" t="str">
        <f>IFERROR(__xludf.DUMMYFUNCTION("""COMPUTED_VALUE"""),"David Mamet")</f>
        <v>David Mamet</v>
      </c>
    </row>
    <row r="5693" customHeight="1" spans="30:30">
      <c r="AD5693" s="5" t="str">
        <f>IFERROR(__xludf.DUMMYFUNCTION("""COMPUTED_VALUE"""),"Ricky Jay")</f>
        <v>Ricky Jay</v>
      </c>
    </row>
    <row r="5694" customHeight="1" spans="30:30">
      <c r="AD5694" s="5" t="str">
        <f>IFERROR(__xludf.DUMMYFUNCTION("""COMPUTED_VALUE"""),"Dick Cavett")</f>
        <v>Dick Cavett</v>
      </c>
    </row>
    <row r="5695" customHeight="1" spans="30:30">
      <c r="AD5695" s="5" t="str">
        <f>IFERROR(__xludf.DUMMYFUNCTION("""COMPUTED_VALUE"""),"Takashi Shimura")</f>
        <v>Takashi Shimura</v>
      </c>
    </row>
    <row r="5696" customHeight="1" spans="30:30">
      <c r="AD5696" s="5" t="str">
        <f>IFERROR(__xludf.DUMMYFUNCTION("""COMPUTED_VALUE"""),"Minoru Chiaki")</f>
        <v>Minoru Chiaki</v>
      </c>
    </row>
    <row r="5697" customHeight="1" spans="30:30">
      <c r="AD5697" s="5" t="str">
        <f>IFERROR(__xludf.DUMMYFUNCTION("""COMPUTED_VALUE"""),"Kamatari Fujiwara")</f>
        <v>Kamatari Fujiwara</v>
      </c>
    </row>
    <row r="5698" customHeight="1" spans="30:30">
      <c r="AD5698" s="5" t="str">
        <f>IFERROR(__xludf.DUMMYFUNCTION("""COMPUTED_VALUE"""),"Tommy Sheppard")</f>
        <v>Tommy Sheppard</v>
      </c>
    </row>
    <row r="5699" customHeight="1" spans="30:30">
      <c r="AD5699" s="5" t="str">
        <f>IFERROR(__xludf.DUMMYFUNCTION("""COMPUTED_VALUE"""),"Greg Speirs")</f>
        <v>Greg Speirs</v>
      </c>
    </row>
    <row r="5700" customHeight="1" spans="30:30">
      <c r="AD5700" s="5" t="str">
        <f>IFERROR(__xludf.DUMMYFUNCTION("""COMPUTED_VALUE"""),"Mickey Hart")</f>
        <v>Mickey Hart</v>
      </c>
    </row>
    <row r="5701" customHeight="1" spans="30:30">
      <c r="AD5701" s="5" t="str">
        <f>IFERROR(__xludf.DUMMYFUNCTION("""COMPUTED_VALUE"""),"Tina Louise")</f>
        <v>Tina Louise</v>
      </c>
    </row>
    <row r="5702" customHeight="1" spans="30:30">
      <c r="AD5702" s="5" t="str">
        <f>IFERROR(__xludf.DUMMYFUNCTION("""COMPUTED_VALUE"""),"Nick Cave")</f>
        <v>Nick Cave</v>
      </c>
    </row>
    <row r="5703" customHeight="1" spans="30:30">
      <c r="AD5703" s="5" t="str">
        <f>IFERROR(__xludf.DUMMYFUNCTION("""COMPUTED_VALUE"""),"Jake Sandvig")</f>
        <v>Jake Sandvig</v>
      </c>
    </row>
    <row r="5704" customHeight="1" spans="30:30">
      <c r="AD5704" s="5" t="str">
        <f>IFERROR(__xludf.DUMMYFUNCTION("""COMPUTED_VALUE"""),"Joe McQueen")</f>
        <v>Joe McQueen</v>
      </c>
    </row>
    <row r="5705" customHeight="1" spans="30:30">
      <c r="AD5705" s="5" t="str">
        <f>IFERROR(__xludf.DUMMYFUNCTION("""COMPUTED_VALUE"""),"Cecelia Antoinette")</f>
        <v>Cecelia Antoinette</v>
      </c>
    </row>
    <row r="5706" customHeight="1" spans="30:30">
      <c r="AD5706" s="5" t="str">
        <f>IFERROR(__xludf.DUMMYFUNCTION("""COMPUTED_VALUE"""),"Tori Spelling")</f>
        <v>Tori Spelling</v>
      </c>
    </row>
    <row r="5707" customHeight="1" spans="30:30">
      <c r="AD5707" s="5" t="str">
        <f>IFERROR(__xludf.DUMMYFUNCTION("""COMPUTED_VALUE"""),"Amber Benson")</f>
        <v>Amber Benson</v>
      </c>
    </row>
    <row r="5708" customHeight="1" spans="30:30">
      <c r="AD5708" s="5" t="str">
        <f>IFERROR(__xludf.DUMMYFUNCTION("""COMPUTED_VALUE"""),"Garrett M. Brown")</f>
        <v>Garrett M. Brown</v>
      </c>
    </row>
    <row r="5709" customHeight="1" spans="30:30">
      <c r="AD5709" s="5" t="str">
        <f>IFERROR(__xludf.DUMMYFUNCTION("""COMPUTED_VALUE"""),"Eddie Spears")</f>
        <v>Eddie Spears</v>
      </c>
    </row>
    <row r="5710" customHeight="1" spans="30:30">
      <c r="AD5710" s="5" t="str">
        <f>IFERROR(__xludf.DUMMYFUNCTION("""COMPUTED_VALUE"""),"Ricky Catter")</f>
        <v>Ricky Catter</v>
      </c>
    </row>
    <row r="5711" customHeight="1" spans="30:30">
      <c r="AD5711" s="5" t="str">
        <f>IFERROR(__xludf.DUMMYFUNCTION("""COMPUTED_VALUE"""),"Ann Dowd")</f>
        <v>Ann Dowd</v>
      </c>
    </row>
    <row r="5712" customHeight="1" spans="30:30">
      <c r="AD5712" s="5" t="str">
        <f>IFERROR(__xludf.DUMMYFUNCTION("""COMPUTED_VALUE"""),"Matthew Cowles")</f>
        <v>Matthew Cowles</v>
      </c>
    </row>
    <row r="5713" customHeight="1" spans="30:30">
      <c r="AD5713" s="5" t="str">
        <f>IFERROR(__xludf.DUMMYFUNCTION("""COMPUTED_VALUE"""),"Max Adler")</f>
        <v>Max Adler</v>
      </c>
    </row>
    <row r="5714" customHeight="1" spans="30:30">
      <c r="AD5714" s="5" t="str">
        <f>IFERROR(__xludf.DUMMYFUNCTION("""COMPUTED_VALUE"""),"Zhonghua Chen")</f>
        <v>Zhonghua Chen</v>
      </c>
    </row>
    <row r="5715" customHeight="1" spans="30:30">
      <c r="AD5715" s="5" t="str">
        <f>IFERROR(__xludf.DUMMYFUNCTION("""COMPUTED_VALUE"""),"Brian Eno")</f>
        <v>Brian Eno</v>
      </c>
    </row>
    <row r="5716" customHeight="1" spans="30:30">
      <c r="AD5716" s="5" t="str">
        <f>IFERROR(__xludf.DUMMYFUNCTION("""COMPUTED_VALUE"""),"Jacques Brel")</f>
        <v>Jacques Brel</v>
      </c>
    </row>
    <row r="5717" customHeight="1" spans="30:30">
      <c r="AD5717" s="5" t="str">
        <f>IFERROR(__xludf.DUMMYFUNCTION("""COMPUTED_VALUE"""),"Damon Albarn")</f>
        <v>Damon Albarn</v>
      </c>
    </row>
    <row r="5718" customHeight="1" spans="30:30">
      <c r="AD5718" s="5" t="str">
        <f>IFERROR(__xludf.DUMMYFUNCTION("""COMPUTED_VALUE"""),"Stafford Douglas")</f>
        <v>Stafford Douglas</v>
      </c>
    </row>
    <row r="5719" customHeight="1" spans="30:30">
      <c r="AD5719" s="5" t="str">
        <f>IFERROR(__xludf.DUMMYFUNCTION("""COMPUTED_VALUE"""),"Daston Kalili")</f>
        <v>Daston Kalili</v>
      </c>
    </row>
    <row r="5720" customHeight="1" spans="30:30">
      <c r="AD5720" s="5" t="str">
        <f>IFERROR(__xludf.DUMMYFUNCTION("""COMPUTED_VALUE"""),"Rai Alexandra")</f>
        <v>Rai Alexandra</v>
      </c>
    </row>
    <row r="5721" customHeight="1" spans="30:30">
      <c r="AD5721" s="5" t="str">
        <f>IFERROR(__xludf.DUMMYFUNCTION("""COMPUTED_VALUE"""),"Chin-Chien Chang")</f>
        <v>Chin-Chien Chang</v>
      </c>
    </row>
    <row r="5722" customHeight="1" spans="30:30">
      <c r="AD5722" s="5" t="str">
        <f>IFERROR(__xludf.DUMMYFUNCTION("""COMPUTED_VALUE"""),"Carol Channing")</f>
        <v>Carol Channing</v>
      </c>
    </row>
    <row r="5723" customHeight="1" spans="30:30">
      <c r="AD5723" s="5" t="str">
        <f>IFERROR(__xludf.DUMMYFUNCTION("""COMPUTED_VALUE"""),"Bruce Vilanch")</f>
        <v>Bruce Vilanch</v>
      </c>
    </row>
    <row r="5724" customHeight="1" spans="30:30">
      <c r="AD5724" s="5" t="str">
        <f>IFERROR(__xludf.DUMMYFUNCTION("""COMPUTED_VALUE"""),"Tony Bennett")</f>
        <v>Tony Bennett</v>
      </c>
    </row>
    <row r="5725" customHeight="1" spans="30:30">
      <c r="AD5725" s="5" t="str">
        <f>IFERROR(__xludf.DUMMYFUNCTION("""COMPUTED_VALUE"""),"Vincent Chimato")</f>
        <v>Vincent Chimato</v>
      </c>
    </row>
    <row r="5726" customHeight="1" spans="30:30">
      <c r="AD5726" s="5" t="str">
        <f>IFERROR(__xludf.DUMMYFUNCTION("""COMPUTED_VALUE"""),"John McGlothlin")</f>
        <v>John McGlothlin</v>
      </c>
    </row>
    <row r="5727" customHeight="1" spans="30:30">
      <c r="AD5727" s="5" t="str">
        <f>IFERROR(__xludf.DUMMYFUNCTION("""COMPUTED_VALUE"""),"Al Sapienza")</f>
        <v>Al Sapienza</v>
      </c>
    </row>
    <row r="5728" customHeight="1" spans="30:30">
      <c r="AD5728" s="5" t="str">
        <f>IFERROR(__xludf.DUMMYFUNCTION("""COMPUTED_VALUE"""),"Mike Beckingham")</f>
        <v>Mike Beckingham</v>
      </c>
    </row>
    <row r="5729" customHeight="1" spans="30:30">
      <c r="AD5729" s="5" t="str">
        <f>IFERROR(__xludf.DUMMYFUNCTION("""COMPUTED_VALUE"""),"Tom Stedham")</f>
        <v>Tom Stedham</v>
      </c>
    </row>
    <row r="5730" customHeight="1" spans="30:30">
      <c r="AD5730" s="5" t="str">
        <f>IFERROR(__xludf.DUMMYFUNCTION("""COMPUTED_VALUE"""),"Christopher Denham")</f>
        <v>Christopher Denham</v>
      </c>
    </row>
    <row r="5731" customHeight="1" spans="30:30">
      <c r="AD5731" s="5" t="str">
        <f>IFERROR(__xludf.DUMMYFUNCTION("""COMPUTED_VALUE"""),"Christian Alvarez")</f>
        <v>Christian Alvarez</v>
      </c>
    </row>
    <row r="5732" customHeight="1" spans="30:30">
      <c r="AD5732" s="5" t="str">
        <f>IFERROR(__xludf.DUMMYFUNCTION("""COMPUTED_VALUE"""),"Claudette Lalí")</f>
        <v>Claudette Lalí</v>
      </c>
    </row>
    <row r="5733" customHeight="1" spans="30:30">
      <c r="AD5733" s="5" t="str">
        <f>IFERROR(__xludf.DUMMYFUNCTION("""COMPUTED_VALUE"""),"Vincent De Paul")</f>
        <v>Vincent De Paul</v>
      </c>
    </row>
    <row r="5734" customHeight="1" spans="30:30">
      <c r="AD5734" s="5" t="str">
        <f>IFERROR(__xludf.DUMMYFUNCTION("""COMPUTED_VALUE"""),"Terrance Zdunich")</f>
        <v>Terrance Zdunich</v>
      </c>
    </row>
    <row r="5735" customHeight="1" spans="30:30">
      <c r="AD5735" s="5" t="str">
        <f>IFERROR(__xludf.DUMMYFUNCTION("""COMPUTED_VALUE"""),"Mary Kate Wiles")</f>
        <v>Mary Kate Wiles</v>
      </c>
    </row>
    <row r="5736" customHeight="1" spans="30:30">
      <c r="AD5736" s="5" t="str">
        <f>IFERROR(__xludf.DUMMYFUNCTION("""COMPUTED_VALUE"""),"Jennifer Landa")</f>
        <v>Jennifer Landa</v>
      </c>
    </row>
    <row r="5737" customHeight="1" spans="30:30">
      <c r="AD5737" s="5" t="str">
        <f>IFERROR(__xludf.DUMMYFUNCTION("""COMPUTED_VALUE"""),"Felix Avitia")</f>
        <v>Felix Avitia</v>
      </c>
    </row>
    <row r="5738" customHeight="1" spans="30:30">
      <c r="AD5738" s="5" t="str">
        <f>IFERROR(__xludf.DUMMYFUNCTION("""COMPUTED_VALUE"""),"Carrie Bradstreet")</f>
        <v>Carrie Bradstreet</v>
      </c>
    </row>
    <row r="5739" customHeight="1" spans="30:30">
      <c r="AD5739" s="5" t="str">
        <f>IFERROR(__xludf.DUMMYFUNCTION("""COMPUTED_VALUE"""),"Joel Paul Reisig")</f>
        <v>Joel Paul Reisig</v>
      </c>
    </row>
    <row r="5740" customHeight="1" spans="30:30">
      <c r="AD5740" s="5" t="str">
        <f>IFERROR(__xludf.DUMMYFUNCTION("""COMPUTED_VALUE"""),"Yassie Hawkes")</f>
        <v>Yassie Hawkes</v>
      </c>
    </row>
    <row r="5741" customHeight="1" spans="30:30">
      <c r="AD5741" s="5" t="str">
        <f>IFERROR(__xludf.DUMMYFUNCTION("""COMPUTED_VALUE"""),"Elizabeth Streb")</f>
        <v>Elizabeth Streb</v>
      </c>
    </row>
    <row r="5742" customHeight="1" spans="30:30">
      <c r="AD5742" s="5" t="str">
        <f>IFERROR(__xludf.DUMMYFUNCTION("""COMPUTED_VALUE"""),"Sarah Callan")</f>
        <v>Sarah Callan</v>
      </c>
    </row>
    <row r="5743" customHeight="1" spans="30:30">
      <c r="AD5743" s="5" t="str">
        <f>IFERROR(__xludf.DUMMYFUNCTION("""COMPUTED_VALUE"""),"Laura Flanders")</f>
        <v>Laura Flanders</v>
      </c>
    </row>
    <row r="5744" customHeight="1" spans="30:30">
      <c r="AD5744" s="5" t="str">
        <f>IFERROR(__xludf.DUMMYFUNCTION("""COMPUTED_VALUE"""),"Mike Stanley")</f>
        <v>Mike Stanley</v>
      </c>
    </row>
    <row r="5745" customHeight="1" spans="30:30">
      <c r="AD5745" s="5" t="str">
        <f>IFERROR(__xludf.DUMMYFUNCTION("""COMPUTED_VALUE"""),"Jeff Delaney")</f>
        <v>Jeff Delaney</v>
      </c>
    </row>
    <row r="5746" customHeight="1" spans="30:30">
      <c r="AD5746" s="5" t="str">
        <f>IFERROR(__xludf.DUMMYFUNCTION("""COMPUTED_VALUE"""),"Jamison Stalsworth")</f>
        <v>Jamison Stalsworth</v>
      </c>
    </row>
    <row r="5747" customHeight="1" spans="30:30">
      <c r="AD5747" s="5" t="str">
        <f>IFERROR(__xludf.DUMMYFUNCTION("""COMPUTED_VALUE"""),"Mark Torgl")</f>
        <v>Mark Torgl</v>
      </c>
    </row>
    <row r="5748" customHeight="1" spans="30:30">
      <c r="AD5748" s="5" t="str">
        <f>IFERROR(__xludf.DUMMYFUNCTION("""COMPUTED_VALUE"""),"Pat Ryan")</f>
        <v>Pat Ryan</v>
      </c>
    </row>
    <row r="5749" customHeight="1" spans="30:30">
      <c r="AD5749" s="5" t="str">
        <f>IFERROR(__xludf.DUMMYFUNCTION("""COMPUTED_VALUE"""),"George T. Odom")</f>
        <v>George T. Odom</v>
      </c>
    </row>
    <row r="5750" customHeight="1" spans="30:30">
      <c r="AD5750" s="5" t="str">
        <f>IFERROR(__xludf.DUMMYFUNCTION("""COMPUTED_VALUE"""),"Matty Rich")</f>
        <v>Matty Rich</v>
      </c>
    </row>
    <row r="5751" customHeight="1" spans="30:30">
      <c r="AD5751" s="5" t="str">
        <f>IFERROR(__xludf.DUMMYFUNCTION("""COMPUTED_VALUE"""),"Nicholas Farrell")</f>
        <v>Nicholas Farrell</v>
      </c>
    </row>
    <row r="5752" customHeight="1" spans="30:30">
      <c r="AD5752" s="5" t="str">
        <f>IFERROR(__xludf.DUMMYFUNCTION("""COMPUTED_VALUE"""),"Tim Pigott-Smith")</f>
        <v>Tim Pigott-Smith</v>
      </c>
    </row>
    <row r="5753" customHeight="1" spans="30:30">
      <c r="AD5753" s="5" t="str">
        <f>IFERROR(__xludf.DUMMYFUNCTION("""COMPUTED_VALUE"""),"Luis Sanchez")</f>
        <v>Luis Sanchez</v>
      </c>
    </row>
    <row r="5754" customHeight="1" spans="30:30">
      <c r="AD5754" s="5" t="str">
        <f>IFERROR(__xludf.DUMMYFUNCTION("""COMPUTED_VALUE"""),"Dennis L.A. White")</f>
        <v>Dennis L.A. White</v>
      </c>
    </row>
    <row r="5755" customHeight="1" spans="30:30">
      <c r="AD5755" s="5" t="str">
        <f>IFERROR(__xludf.DUMMYFUNCTION("""COMPUTED_VALUE"""),"John Karyus")</f>
        <v>John Karyus</v>
      </c>
    </row>
    <row r="5756" customHeight="1" spans="30:30">
      <c r="AD5756" s="5" t="str">
        <f>IFERROR(__xludf.DUMMYFUNCTION("""COMPUTED_VALUE"""),"Lloyd Kaufman")</f>
        <v>Lloyd Kaufman</v>
      </c>
    </row>
    <row r="5757" customHeight="1" spans="30:30">
      <c r="AD5757" s="5" t="str">
        <f>IFERROR(__xludf.DUMMYFUNCTION("""COMPUTED_VALUE"""),"Kate Graham")</f>
        <v>Kate Graham</v>
      </c>
    </row>
    <row r="5758" customHeight="1" spans="30:30">
      <c r="AD5758" s="5" t="str">
        <f>IFERROR(__xludf.DUMMYFUNCTION("""COMPUTED_VALUE"""),"Jennifer Lafleur")</f>
        <v>Jennifer Lafleur</v>
      </c>
    </row>
    <row r="5759" customHeight="1" spans="30:30">
      <c r="AD5759" s="5" t="str">
        <f>IFERROR(__xludf.DUMMYFUNCTION("""COMPUTED_VALUE"""),"Cheyenne Jackson")</f>
        <v>Cheyenne Jackson</v>
      </c>
    </row>
    <row r="5760" customHeight="1" spans="30:30">
      <c r="AD5760" s="5" t="str">
        <f>IFERROR(__xludf.DUMMYFUNCTION("""COMPUTED_VALUE"""),"Michael Stahl-David")</f>
        <v>Michael Stahl-David</v>
      </c>
    </row>
    <row r="5761" customHeight="1" spans="30:30">
      <c r="AD5761" s="5" t="str">
        <f>IFERROR(__xludf.DUMMYFUNCTION("""COMPUTED_VALUE"""),"Dick Powell")</f>
        <v>Dick Powell</v>
      </c>
    </row>
    <row r="5762" customHeight="1" spans="30:30">
      <c r="AD5762" s="5" t="str">
        <f>IFERROR(__xludf.DUMMYFUNCTION("""COMPUTED_VALUE"""),"George Brent")</f>
        <v>George Brent</v>
      </c>
    </row>
    <row r="5763" customHeight="1" spans="30:30">
      <c r="AD5763" s="5" t="str">
        <f>IFERROR(__xludf.DUMMYFUNCTION("""COMPUTED_VALUE"""),"Bob Proctor")</f>
        <v>Bob Proctor</v>
      </c>
    </row>
    <row r="5764" customHeight="1" spans="30:30">
      <c r="AD5764" s="5" t="str">
        <f>IFERROR(__xludf.DUMMYFUNCTION("""COMPUTED_VALUE"""),"Jack Canfield")</f>
        <v>Jack Canfield</v>
      </c>
    </row>
    <row r="5765" customHeight="1" spans="30:30">
      <c r="AD5765" s="5" t="str">
        <f>IFERROR(__xludf.DUMMYFUNCTION("""COMPUTED_VALUE"""),"Eric Worre")</f>
        <v>Eric Worre</v>
      </c>
    </row>
    <row r="5766" customHeight="1" spans="30:30">
      <c r="AD5766" s="5" t="str">
        <f>IFERROR(__xludf.DUMMYFUNCTION("""COMPUTED_VALUE"""),"Chris Eigeman")</f>
        <v>Chris Eigeman</v>
      </c>
    </row>
    <row r="5767" customHeight="1" spans="30:30">
      <c r="AD5767" s="5" t="str">
        <f>IFERROR(__xludf.DUMMYFUNCTION("""COMPUTED_VALUE"""),"Taylor Nichols")</f>
        <v>Taylor Nichols</v>
      </c>
    </row>
    <row r="5768" customHeight="1" spans="30:30">
      <c r="AD5768" s="5" t="str">
        <f>IFERROR(__xludf.DUMMYFUNCTION("""COMPUTED_VALUE"""),"Ellia Thompson")</f>
        <v>Ellia Thompson</v>
      </c>
    </row>
    <row r="5769" customHeight="1" spans="30:30">
      <c r="AD5769" s="5" t="str">
        <f>IFERROR(__xludf.DUMMYFUNCTION("""COMPUTED_VALUE"""),"Frida Hallgren")</f>
        <v>Frida Hallgren</v>
      </c>
    </row>
    <row r="5770" customHeight="1" spans="30:30">
      <c r="AD5770" s="5" t="str">
        <f>IFERROR(__xludf.DUMMYFUNCTION("""COMPUTED_VALUE"""),"Nils-Anders Vallgårda")</f>
        <v>Nils-Anders Vallgårda</v>
      </c>
    </row>
    <row r="5771" customHeight="1" spans="30:30">
      <c r="AD5771" s="5" t="str">
        <f>IFERROR(__xludf.DUMMYFUNCTION("""COMPUTED_VALUE"""),"Jack E. Curenton")</f>
        <v>Jack E. Curenton</v>
      </c>
    </row>
    <row r="5772" customHeight="1" spans="30:30">
      <c r="AD5772" s="5" t="str">
        <f>IFERROR(__xludf.DUMMYFUNCTION("""COMPUTED_VALUE"""),"Ace Marrero")</f>
        <v>Ace Marrero</v>
      </c>
    </row>
    <row r="5773" customHeight="1" spans="30:30">
      <c r="AD5773" s="5" t="str">
        <f>IFERROR(__xludf.DUMMYFUNCTION("""COMPUTED_VALUE"""),"Eve Plumb")</f>
        <v>Eve Plumb</v>
      </c>
    </row>
    <row r="5774" customHeight="1" spans="30:30">
      <c r="AD5774" s="5" t="str">
        <f>IFERROR(__xludf.DUMMYFUNCTION("""COMPUTED_VALUE"""),"Amy Hargreaves")</f>
        <v>Amy Hargreaves</v>
      </c>
    </row>
    <row r="5775" customHeight="1" spans="30:30">
      <c r="AD5775" s="5" t="str">
        <f>IFERROR(__xludf.DUMMYFUNCTION("""COMPUTED_VALUE"""),"Ashley Palmer")</f>
        <v>Ashley Palmer</v>
      </c>
    </row>
    <row r="5776" customHeight="1" spans="30:30">
      <c r="AD5776" s="5" t="str">
        <f>IFERROR(__xludf.DUMMYFUNCTION("""COMPUTED_VALUE"""),"Amber Armstrong")</f>
        <v>Amber Armstrong</v>
      </c>
    </row>
    <row r="5777" customHeight="1" spans="30:30">
      <c r="AD5777" s="5" t="str">
        <f>IFERROR(__xludf.DUMMYFUNCTION("""COMPUTED_VALUE"""),"Tony Alva")</f>
        <v>Tony Alva</v>
      </c>
    </row>
    <row r="5778" customHeight="1" spans="30:30">
      <c r="AD5778" s="5" t="str">
        <f>IFERROR(__xludf.DUMMYFUNCTION("""COMPUTED_VALUE"""),"Jay Adams")</f>
        <v>Jay Adams</v>
      </c>
    </row>
    <row r="5779" customHeight="1" spans="30:30">
      <c r="AD5779" s="5" t="str">
        <f>IFERROR(__xludf.DUMMYFUNCTION("""COMPUTED_VALUE"""),"Jeff Ament")</f>
        <v>Jeff Ament</v>
      </c>
    </row>
    <row r="5780" customHeight="1" spans="30:30">
      <c r="AD5780" s="5" t="str">
        <f>IFERROR(__xludf.DUMMYFUNCTION("""COMPUTED_VALUE"""),"Terry Jones")</f>
        <v>Terry Jones</v>
      </c>
    </row>
    <row r="5781" customHeight="1" spans="30:30">
      <c r="AD5781" s="5" t="str">
        <f>IFERROR(__xludf.DUMMYFUNCTION("""COMPUTED_VALUE"""),"Emily Rios")</f>
        <v>Emily Rios</v>
      </c>
    </row>
    <row r="5782" customHeight="1" spans="30:30">
      <c r="AD5782" s="5" t="str">
        <f>IFERROR(__xludf.DUMMYFUNCTION("""COMPUTED_VALUE"""),"Alicia Sixtos")</f>
        <v>Alicia Sixtos</v>
      </c>
    </row>
    <row r="5783" customHeight="1" spans="30:30">
      <c r="AD5783" s="5" t="str">
        <f>IFERROR(__xludf.DUMMYFUNCTION("""COMPUTED_VALUE"""),"Tony Doupe")</f>
        <v>Tony Doupe</v>
      </c>
    </row>
    <row r="5784" customHeight="1" spans="30:30">
      <c r="AD5784" s="5" t="str">
        <f>IFERROR(__xludf.DUMMYFUNCTION("""COMPUTED_VALUE"""),"Sue Corcoran")</f>
        <v>Sue Corcoran</v>
      </c>
    </row>
    <row r="5785" customHeight="1" spans="30:30">
      <c r="AD5785" s="5" t="str">
        <f>IFERROR(__xludf.DUMMYFUNCTION("""COMPUTED_VALUE"""),"David Frederick White")</f>
        <v>David Frederick White</v>
      </c>
    </row>
    <row r="5786" customHeight="1" spans="30:30">
      <c r="AD5786" s="5" t="str">
        <f>IFERROR(__xludf.DUMMYFUNCTION("""COMPUTED_VALUE"""),"Greg Ayres")</f>
        <v>Greg Ayres</v>
      </c>
    </row>
    <row r="5787" customHeight="1" spans="30:30">
      <c r="AD5787" s="5" t="str">
        <f>IFERROR(__xludf.DUMMYFUNCTION("""COMPUTED_VALUE"""),"Jonathan Caouette")</f>
        <v>Jonathan Caouette</v>
      </c>
    </row>
    <row r="5788" customHeight="1" spans="30:30">
      <c r="AD5788" s="5" t="str">
        <f>IFERROR(__xludf.DUMMYFUNCTION("""COMPUTED_VALUE"""),"Renee Leblanc")</f>
        <v>Renee Leblanc</v>
      </c>
    </row>
    <row r="5789" customHeight="1" spans="30:30">
      <c r="AD5789" s="5" t="str">
        <f>IFERROR(__xludf.DUMMYFUNCTION("""COMPUTED_VALUE"""),"Bill Farmer")</f>
        <v>Bill Farmer</v>
      </c>
    </row>
    <row r="5790" customHeight="1" spans="30:30">
      <c r="AD5790" s="5" t="str">
        <f>IFERROR(__xludf.DUMMYFUNCTION("""COMPUTED_VALUE"""),"Chris Cox")</f>
        <v>Chris Cox</v>
      </c>
    </row>
    <row r="5791" customHeight="1" spans="30:30">
      <c r="AD5791" s="5" t="str">
        <f>IFERROR(__xludf.DUMMYFUNCTION("""COMPUTED_VALUE"""),"Mike Huckabee")</f>
        <v>Mike Huckabee</v>
      </c>
    </row>
    <row r="5792" customHeight="1" spans="30:30">
      <c r="AD5792" s="5" t="str">
        <f>IFERROR(__xludf.DUMMYFUNCTION("""COMPUTED_VALUE"""),"Paul Elia")</f>
        <v>Paul Elia</v>
      </c>
    </row>
    <row r="5793" customHeight="1" spans="30:30">
      <c r="AD5793" s="5" t="str">
        <f>IFERROR(__xludf.DUMMYFUNCTION("""COMPUTED_VALUE"""),"Alex Sanborn")</f>
        <v>Alex Sanborn</v>
      </c>
    </row>
    <row r="5794" customHeight="1" spans="30:30">
      <c r="AD5794" s="5" t="str">
        <f>IFERROR(__xludf.DUMMYFUNCTION("""COMPUTED_VALUE"""),"Catriona MacColl")</f>
        <v>Catriona MacColl</v>
      </c>
    </row>
    <row r="5795" customHeight="1" spans="30:30">
      <c r="AD5795" s="5" t="str">
        <f>IFERROR(__xludf.DUMMYFUNCTION("""COMPUTED_VALUE"""),"David Warbeck")</f>
        <v>David Warbeck</v>
      </c>
    </row>
    <row r="5796" customHeight="1" spans="30:30">
      <c r="AD5796" s="5" t="str">
        <f>IFERROR(__xludf.DUMMYFUNCTION("""COMPUTED_VALUE"""),"Al Cliver")</f>
        <v>Al Cliver</v>
      </c>
    </row>
    <row r="5797" customHeight="1" spans="30:30">
      <c r="AD5797" s="5" t="str">
        <f>IFERROR(__xludf.DUMMYFUNCTION("""COMPUTED_VALUE"""),"Brendon Small")</f>
        <v>Brendon Small</v>
      </c>
    </row>
    <row r="5798" customHeight="1" spans="30:30">
      <c r="AD5798" s="5" t="str">
        <f>IFERROR(__xludf.DUMMYFUNCTION("""COMPUTED_VALUE"""),"Ron Lynch")</f>
        <v>Ron Lynch</v>
      </c>
    </row>
    <row r="5799" customHeight="1" spans="30:30">
      <c r="AD5799" s="5" t="str">
        <f>IFERROR(__xludf.DUMMYFUNCTION("""COMPUTED_VALUE"""),"Melissa Bardin Galsky")</f>
        <v>Melissa Bardin Galsky</v>
      </c>
    </row>
    <row r="5800" customHeight="1" spans="30:30">
      <c r="AD5800" s="5" t="str">
        <f>IFERROR(__xludf.DUMMYFUNCTION("""COMPUTED_VALUE"""),"Michelle Krusiec")</f>
        <v>Michelle Krusiec</v>
      </c>
    </row>
    <row r="5801" customHeight="1" spans="30:30">
      <c r="AD5801" s="5" t="str">
        <f>IFERROR(__xludf.DUMMYFUNCTION("""COMPUTED_VALUE"""),"Dov Tiefenbach")</f>
        <v>Dov Tiefenbach</v>
      </c>
    </row>
    <row r="5802" customHeight="1" spans="30:30">
      <c r="AD5802" s="5" t="str">
        <f>IFERROR(__xludf.DUMMYFUNCTION("""COMPUTED_VALUE"""),"Jeff Seymour")</f>
        <v>Jeff Seymour</v>
      </c>
    </row>
    <row r="5803" customHeight="1" spans="30:30">
      <c r="AD5803" s="5" t="str">
        <f>IFERROR(__xludf.DUMMYFUNCTION("""COMPUTED_VALUE"""),"Gordon Currie")</f>
        <v>Gordon Currie</v>
      </c>
    </row>
    <row r="5804" customHeight="1" spans="30:30">
      <c r="AD5804" s="5" t="str">
        <f>IFERROR(__xludf.DUMMYFUNCTION("""COMPUTED_VALUE"""),"Roshan Seth")</f>
        <v>Roshan Seth</v>
      </c>
    </row>
    <row r="5805" customHeight="1" spans="30:30">
      <c r="AD5805" s="5" t="str">
        <f>IFERROR(__xludf.DUMMYFUNCTION("""COMPUTED_VALUE"""),"Garry Cooper")</f>
        <v>Garry Cooper</v>
      </c>
    </row>
    <row r="5806" customHeight="1" spans="30:30">
      <c r="AD5806" s="5" t="str">
        <f>IFERROR(__xludf.DUMMYFUNCTION("""COMPUTED_VALUE"""),"R. Brandon Johnson")</f>
        <v>R. Brandon Johnson</v>
      </c>
    </row>
    <row r="5807" customHeight="1" spans="30:30">
      <c r="AD5807" s="5" t="str">
        <f>IFERROR(__xludf.DUMMYFUNCTION("""COMPUTED_VALUE"""),"Desmond Askew")</f>
        <v>Desmond Askew</v>
      </c>
    </row>
    <row r="5808" customHeight="1" spans="30:30">
      <c r="AD5808" s="5" t="str">
        <f>IFERROR(__xludf.DUMMYFUNCTION("""COMPUTED_VALUE"""),"Gabriel Hogan")</f>
        <v>Gabriel Hogan</v>
      </c>
    </row>
    <row r="5809" customHeight="1" spans="30:30">
      <c r="AD5809" s="5" t="str">
        <f>IFERROR(__xludf.DUMMYFUNCTION("""COMPUTED_VALUE"""),"Liv Ullmann")</f>
        <v>Liv Ullmann</v>
      </c>
    </row>
    <row r="5810" customHeight="1" spans="30:30">
      <c r="AD5810" s="5" t="str">
        <f>IFERROR(__xludf.DUMMYFUNCTION("""COMPUTED_VALUE"""),"Ingrid Thulin")</f>
        <v>Ingrid Thulin</v>
      </c>
    </row>
    <row r="5811" customHeight="1" spans="30:30">
      <c r="AD5811" s="5" t="str">
        <f>IFERROR(__xludf.DUMMYFUNCTION("""COMPUTED_VALUE"""),"Erland Josephson")</f>
        <v>Erland Josephson</v>
      </c>
    </row>
    <row r="5812" customHeight="1" spans="30:30">
      <c r="AD5812" s="5" t="str">
        <f>IFERROR(__xludf.DUMMYFUNCTION("""COMPUTED_VALUE"""),"Mae Marsh")</f>
        <v>Mae Marsh</v>
      </c>
    </row>
    <row r="5813" customHeight="1" spans="30:30">
      <c r="AD5813" s="5" t="str">
        <f>IFERROR(__xludf.DUMMYFUNCTION("""COMPUTED_VALUE"""),"Walter Long")</f>
        <v>Walter Long</v>
      </c>
    </row>
    <row r="5814" customHeight="1" spans="30:30">
      <c r="AD5814" s="5" t="str">
        <f>IFERROR(__xludf.DUMMYFUNCTION("""COMPUTED_VALUE"""),"DeForest Kelley")</f>
        <v>DeForest Kelley</v>
      </c>
    </row>
    <row r="5815" customHeight="1" spans="30:30">
      <c r="AD5815" s="5" t="str">
        <f>IFERROR(__xludf.DUMMYFUNCTION("""COMPUTED_VALUE"""),"James Doohan")</f>
        <v>James Doohan</v>
      </c>
    </row>
    <row r="5816" customHeight="1" spans="30:30">
      <c r="AD5816" s="5" t="str">
        <f>IFERROR(__xludf.DUMMYFUNCTION("""COMPUTED_VALUE"""),"Anita Page")</f>
        <v>Anita Page</v>
      </c>
    </row>
    <row r="5817" customHeight="1" spans="30:30">
      <c r="AD5817" s="5" t="str">
        <f>IFERROR(__xludf.DUMMYFUNCTION("""COMPUTED_VALUE"""),"Bessie Love")</f>
        <v>Bessie Love</v>
      </c>
    </row>
    <row r="5818" customHeight="1" spans="30:30">
      <c r="AD5818" s="5" t="str">
        <f>IFERROR(__xludf.DUMMYFUNCTION("""COMPUTED_VALUE"""),"Charles King")</f>
        <v>Charles King</v>
      </c>
    </row>
    <row r="5819" customHeight="1" spans="30:30">
      <c r="AD5819" s="5" t="str">
        <f>IFERROR(__xludf.DUMMYFUNCTION("""COMPUTED_VALUE"""),"Betsy Baker")</f>
        <v>Betsy Baker</v>
      </c>
    </row>
    <row r="5820" customHeight="1" spans="30:30">
      <c r="AD5820" s="5" t="str">
        <f>IFERROR(__xludf.DUMMYFUNCTION("""COMPUTED_VALUE"""),"America Olivo")</f>
        <v>America Olivo</v>
      </c>
    </row>
    <row r="5821" customHeight="1" spans="30:30">
      <c r="AD5821" s="5" t="str">
        <f>IFERROR(__xludf.DUMMYFUNCTION("""COMPUTED_VALUE"""),"Nora Arnezeder")</f>
        <v>Nora Arnezeder</v>
      </c>
    </row>
    <row r="5822" customHeight="1" spans="30:30">
      <c r="AD5822" s="5" t="str">
        <f>IFERROR(__xludf.DUMMYFUNCTION("""COMPUTED_VALUE"""),"Liane Balaban")</f>
        <v>Liane Balaban</v>
      </c>
    </row>
    <row r="5823" customHeight="1" spans="30:30">
      <c r="AD5823" s="5" t="str">
        <f>IFERROR(__xludf.DUMMYFUNCTION("""COMPUTED_VALUE"""),"Amos Oz")</f>
        <v>Amos Oz</v>
      </c>
    </row>
    <row r="5824" customHeight="1" spans="30:30">
      <c r="AD5824" s="5" t="str">
        <f>IFERROR(__xludf.DUMMYFUNCTION("""COMPUTED_VALUE"""),"Mark Zupan")</f>
        <v>Mark Zupan</v>
      </c>
    </row>
    <row r="5825" customHeight="1" spans="30:30">
      <c r="AD5825" s="5" t="str">
        <f>IFERROR(__xludf.DUMMYFUNCTION("""COMPUTED_VALUE"""),"Joe Bishop")</f>
        <v>Joe Bishop</v>
      </c>
    </row>
    <row r="5826" customHeight="1" spans="30:30">
      <c r="AD5826" s="5" t="str">
        <f>IFERROR(__xludf.DUMMYFUNCTION("""COMPUTED_VALUE"""),"Andy Cohn")</f>
        <v>Andy Cohn</v>
      </c>
    </row>
    <row r="5827" customHeight="1" spans="30:30">
      <c r="AD5827" s="5" t="str">
        <f>IFERROR(__xludf.DUMMYFUNCTION("""COMPUTED_VALUE"""),"Steve James")</f>
        <v>Steve James</v>
      </c>
    </row>
    <row r="5828" customHeight="1" spans="30:30">
      <c r="AD5828" s="5" t="str">
        <f>IFERROR(__xludf.DUMMYFUNCTION("""COMPUTED_VALUE"""),"Larry Poindexter")</f>
        <v>Larry Poindexter</v>
      </c>
    </row>
    <row r="5829" customHeight="1" spans="30:30">
      <c r="AD5829" s="5" t="str">
        <f>IFERROR(__xludf.DUMMYFUNCTION("""COMPUTED_VALUE"""),"Carol Block")</f>
        <v>Carol Block</v>
      </c>
    </row>
    <row r="5830" customHeight="1" spans="30:30">
      <c r="AD5830" s="5" t="str">
        <f>IFERROR(__xludf.DUMMYFUNCTION("""COMPUTED_VALUE"""),"Ellen Block")</f>
        <v>Ellen Block</v>
      </c>
    </row>
    <row r="5831" customHeight="1" spans="30:30">
      <c r="AD5831" s="5" t="str">
        <f>IFERROR(__xludf.DUMMYFUNCTION("""COMPUTED_VALUE"""),"Mike Block")</f>
        <v>Mike Block</v>
      </c>
    </row>
    <row r="5832" customHeight="1" spans="30:30">
      <c r="AD5832" s="5" t="str">
        <f>IFERROR(__xludf.DUMMYFUNCTION("""COMPUTED_VALUE"""),"Tracy Spiridakos")</f>
        <v>Tracy Spiridakos</v>
      </c>
    </row>
    <row r="5833" customHeight="1" spans="30:30">
      <c r="AD5833" s="5" t="str">
        <f>IFERROR(__xludf.DUMMYFUNCTION("""COMPUTED_VALUE"""),"Tom E. Nicholson")</f>
        <v>Tom E. Nicholson</v>
      </c>
    </row>
    <row r="5834" customHeight="1" spans="30:30">
      <c r="AD5834" s="5" t="str">
        <f>IFERROR(__xludf.DUMMYFUNCTION("""COMPUTED_VALUE"""),"Natalie Welch")</f>
        <v>Natalie Welch</v>
      </c>
    </row>
    <row r="5835" customHeight="1" spans="30:30">
      <c r="AD5835" s="5" t="str">
        <f>IFERROR(__xludf.DUMMYFUNCTION("""COMPUTED_VALUE"""),"Christian Kapper")</f>
        <v>Christian Kapper</v>
      </c>
    </row>
    <row r="5836" customHeight="1" spans="30:30">
      <c r="AD5836" s="5" t="str">
        <f>IFERROR(__xludf.DUMMYFUNCTION("""COMPUTED_VALUE"""),"Alan Hale")</f>
        <v>Alan Hale</v>
      </c>
    </row>
    <row r="5837" customHeight="1" spans="30:30">
      <c r="AD5837" s="5" t="str">
        <f>IFERROR(__xludf.DUMMYFUNCTION("""COMPUTED_VALUE"""),"Walter Connolly")</f>
        <v>Walter Connolly</v>
      </c>
    </row>
    <row r="5838" customHeight="1" spans="30:30">
      <c r="AD5838" s="5" t="str">
        <f>IFERROR(__xludf.DUMMYFUNCTION("""COMPUTED_VALUE"""),"Angeliki Papoulia")</f>
        <v>Angeliki Papoulia</v>
      </c>
    </row>
    <row r="5839" customHeight="1" spans="30:30">
      <c r="AD5839" s="5" t="str">
        <f>IFERROR(__xludf.DUMMYFUNCTION("""COMPUTED_VALUE"""),"Mary Tsoni")</f>
        <v>Mary Tsoni</v>
      </c>
    </row>
    <row r="5840" customHeight="1" spans="30:30">
      <c r="AD5840" s="5" t="str">
        <f>IFERROR(__xludf.DUMMYFUNCTION("""COMPUTED_VALUE"""),"Sissy Petropoulou")</f>
        <v>Sissy Petropoulou</v>
      </c>
    </row>
    <row r="5841" customHeight="1" spans="30:30">
      <c r="AD5841" s="5" t="str">
        <f>IFERROR(__xludf.DUMMYFUNCTION("""COMPUTED_VALUE"""),"James Cagney")</f>
        <v>James Cagney</v>
      </c>
    </row>
    <row r="5842" customHeight="1" spans="30:30">
      <c r="AD5842" s="5" t="str">
        <f>IFERROR(__xludf.DUMMYFUNCTION("""COMPUTED_VALUE"""),"Todd Bridges")</f>
        <v>Todd Bridges</v>
      </c>
    </row>
    <row r="5843" customHeight="1" spans="30:30">
      <c r="AD5843" s="5" t="str">
        <f>IFERROR(__xludf.DUMMYFUNCTION("""COMPUTED_VALUE"""),"Simon Abkarian")</f>
        <v>Simon Abkarian</v>
      </c>
    </row>
    <row r="5844" customHeight="1" spans="30:30">
      <c r="AD5844" s="5" t="str">
        <f>IFERROR(__xludf.DUMMYFUNCTION("""COMPUTED_VALUE"""),"Jane Bradbury")</f>
        <v>Jane Bradbury</v>
      </c>
    </row>
    <row r="5845" customHeight="1" spans="30:30">
      <c r="AD5845" s="5" t="str">
        <f>IFERROR(__xludf.DUMMYFUNCTION("""COMPUTED_VALUE"""),"Kevin Howarth")</f>
        <v>Kevin Howarth</v>
      </c>
    </row>
    <row r="5846" customHeight="1" spans="30:30">
      <c r="AD5846" s="5" t="str">
        <f>IFERROR(__xludf.DUMMYFUNCTION("""COMPUTED_VALUE"""),"Mark Caven")</f>
        <v>Mark Caven</v>
      </c>
    </row>
    <row r="5847" customHeight="1" spans="30:30">
      <c r="AD5847" s="5" t="str">
        <f>IFERROR(__xludf.DUMMYFUNCTION("""COMPUTED_VALUE"""),"Thierry Harcourt")</f>
        <v>Thierry Harcourt</v>
      </c>
    </row>
    <row r="5848" customHeight="1" spans="30:30">
      <c r="AD5848" s="5" t="str">
        <f>IFERROR(__xludf.DUMMYFUNCTION("""COMPUTED_VALUE"""),"Daniel London")</f>
        <v>Daniel London</v>
      </c>
    </row>
    <row r="5849" customHeight="1" spans="30:30">
      <c r="AD5849" s="5" t="str">
        <f>IFERROR(__xludf.DUMMYFUNCTION("""COMPUTED_VALUE"""),"Lucy")</f>
        <v>Lucy</v>
      </c>
    </row>
    <row r="5850" customHeight="1" spans="30:30">
      <c r="AD5850" s="5" t="str">
        <f>IFERROR(__xludf.DUMMYFUNCTION("""COMPUTED_VALUE"""),"Will Oldham")</f>
        <v>Will Oldham</v>
      </c>
    </row>
    <row r="5851" customHeight="1" spans="30:30">
      <c r="AD5851" s="5" t="str">
        <f>IFERROR(__xludf.DUMMYFUNCTION("""COMPUTED_VALUE"""),"Anna Karina")</f>
        <v>Anna Karina</v>
      </c>
    </row>
    <row r="5852" customHeight="1" spans="30:30">
      <c r="AD5852" s="5" t="str">
        <f>IFERROR(__xludf.DUMMYFUNCTION("""COMPUTED_VALUE"""),"Graziella Galvani")</f>
        <v>Graziella Galvani</v>
      </c>
    </row>
    <row r="5853" customHeight="1" spans="30:30">
      <c r="AD5853" s="5" t="str">
        <f>IFERROR(__xludf.DUMMYFUNCTION("""COMPUTED_VALUE"""),"Vera Ngassa")</f>
        <v>Vera Ngassa</v>
      </c>
    </row>
    <row r="5854" customHeight="1" spans="30:30">
      <c r="AD5854" s="5" t="str">
        <f>IFERROR(__xludf.DUMMYFUNCTION("""COMPUTED_VALUE"""),"Beatrice Ntuba")</f>
        <v>Beatrice Ntuba</v>
      </c>
    </row>
    <row r="5855" customHeight="1" spans="30:30">
      <c r="AD5855" s="5" t="str">
        <f>IFERROR(__xludf.DUMMYFUNCTION("""COMPUTED_VALUE"""),"Ivan Dixon")</f>
        <v>Ivan Dixon</v>
      </c>
    </row>
    <row r="5856" customHeight="1" spans="30:30">
      <c r="AD5856" s="5" t="str">
        <f>IFERROR(__xludf.DUMMYFUNCTION("""COMPUTED_VALUE"""),"Eli Marienthal")</f>
        <v>Eli Marienthal</v>
      </c>
    </row>
    <row r="5857" customHeight="1" spans="30:30">
      <c r="AD5857" s="5" t="str">
        <f>IFERROR(__xludf.DUMMYFUNCTION("""COMPUTED_VALUE"""),"Don Wallace")</f>
        <v>Don Wallace</v>
      </c>
    </row>
    <row r="5858" customHeight="1" spans="30:30">
      <c r="AD5858" s="5" t="str">
        <f>IFERROR(__xludf.DUMMYFUNCTION("""COMPUTED_VALUE"""),"Christina Chambers")</f>
        <v>Christina Chambers</v>
      </c>
    </row>
    <row r="5859" customHeight="1" spans="30:30">
      <c r="AD5859" s="5" t="str">
        <f>IFERROR(__xludf.DUMMYFUNCTION("""COMPUTED_VALUE"""),"Lalaine")</f>
        <v>Lalaine</v>
      </c>
    </row>
    <row r="5860" customHeight="1" spans="30:30">
      <c r="AD5860" s="5" t="str">
        <f>IFERROR(__xludf.DUMMYFUNCTION("""COMPUTED_VALUE"""),"Alexander Wraith")</f>
        <v>Alexander Wraith</v>
      </c>
    </row>
    <row r="5861" customHeight="1" spans="30:30">
      <c r="AD5861" s="5" t="str">
        <f>IFERROR(__xludf.DUMMYFUNCTION("""COMPUTED_VALUE"""),"Darren Kendrick")</f>
        <v>Darren Kendrick</v>
      </c>
    </row>
    <row r="5862" customHeight="1" spans="30:30">
      <c r="AD5862" s="5" t="str">
        <f>IFERROR(__xludf.DUMMYFUNCTION("""COMPUTED_VALUE"""),"Trish Basinger")</f>
        <v>Trish Basinger</v>
      </c>
    </row>
    <row r="5863" customHeight="1" spans="30:30">
      <c r="AD5863" s="5" t="str">
        <f>IFERROR(__xludf.DUMMYFUNCTION("""COMPUTED_VALUE"""),"Elizabeth Stenholt")</f>
        <v>Elizabeth Stenholt</v>
      </c>
    </row>
    <row r="5864" customHeight="1" spans="30:30">
      <c r="AD5864" s="5" t="str">
        <f>IFERROR(__xludf.DUMMYFUNCTION("""COMPUTED_VALUE"""),"Mary Norwood")</f>
        <v>Mary Norwood</v>
      </c>
    </row>
    <row r="5865" customHeight="1" spans="30:30">
      <c r="AD5865" s="5" t="str">
        <f>IFERROR(__xludf.DUMMYFUNCTION("""COMPUTED_VALUE"""),"Michael Des Barres")</f>
        <v>Michael Des Barres</v>
      </c>
    </row>
    <row r="5866" customHeight="1" spans="30:30">
      <c r="AD5866" s="5" t="str">
        <f>IFERROR(__xludf.DUMMYFUNCTION("""COMPUTED_VALUE"""),"Wilhelm von Homburg")</f>
        <v>Wilhelm von Homburg</v>
      </c>
    </row>
    <row r="5867" customHeight="1" spans="30:30">
      <c r="AD5867" s="5" t="str">
        <f>IFERROR(__xludf.DUMMYFUNCTION("""COMPUTED_VALUE"""),"Thom Mathews")</f>
        <v>Thom Mathews</v>
      </c>
    </row>
    <row r="5868" customHeight="1" spans="30:30">
      <c r="AD5868" s="5" t="str">
        <f>IFERROR(__xludf.DUMMYFUNCTION("""COMPUTED_VALUE"""),"Joanna Cassidy")</f>
        <v>Joanna Cassidy</v>
      </c>
    </row>
    <row r="5869" customHeight="1" spans="30:30">
      <c r="AD5869" s="5" t="str">
        <f>IFERROR(__xludf.DUMMYFUNCTION("""COMPUTED_VALUE"""),"Ryan Carnes")</f>
        <v>Ryan Carnes</v>
      </c>
    </row>
    <row r="5870" customHeight="1" spans="30:30">
      <c r="AD5870" s="5" t="str">
        <f>IFERROR(__xludf.DUMMYFUNCTION("""COMPUTED_VALUE"""),"Rumi Missabu")</f>
        <v>Rumi Missabu</v>
      </c>
    </row>
    <row r="5871" customHeight="1" spans="30:30">
      <c r="AD5871" s="5" t="str">
        <f>IFERROR(__xludf.DUMMYFUNCTION("""COMPUTED_VALUE"""),"Pierre Prieur")</f>
        <v>Pierre Prieur</v>
      </c>
    </row>
    <row r="5872" customHeight="1" spans="30:30">
      <c r="AD5872" s="5" t="str">
        <f>IFERROR(__xludf.DUMMYFUNCTION("""COMPUTED_VALUE"""),"Raquel Nave")</f>
        <v>Raquel Nave</v>
      </c>
    </row>
    <row r="5873" customHeight="1" spans="30:30">
      <c r="AD5873" s="5" t="str">
        <f>IFERROR(__xludf.DUMMYFUNCTION("""COMPUTED_VALUE"""),"Vanna White")</f>
        <v>Vanna White</v>
      </c>
    </row>
    <row r="5874" customHeight="1" spans="30:30">
      <c r="AD5874" s="5" t="str">
        <f>IFERROR(__xludf.DUMMYFUNCTION("""COMPUTED_VALUE"""),"Ahmed Best")</f>
        <v>Ahmed Best</v>
      </c>
    </row>
    <row r="5875" customHeight="1" spans="30:30">
      <c r="AD5875" s="5" t="str">
        <f>IFERROR(__xludf.DUMMYFUNCTION("""COMPUTED_VALUE"""),"James McCaffrey")</f>
        <v>James McCaffrey</v>
      </c>
    </row>
    <row r="5876" customHeight="1" spans="30:30">
      <c r="AD5876" s="5" t="str">
        <f>IFERROR(__xludf.DUMMYFUNCTION("""COMPUTED_VALUE"""),"Raven Goodwin")</f>
        <v>Raven Goodwin</v>
      </c>
    </row>
    <row r="5877" customHeight="1" spans="30:30">
      <c r="AD5877" s="5" t="str">
        <f>IFERROR(__xludf.DUMMYFUNCTION("""COMPUTED_VALUE"""),"Hector Echavarria")</f>
        <v>Hector Echavarria</v>
      </c>
    </row>
    <row r="5878" customHeight="1" spans="30:30">
      <c r="AD5878" s="5" t="str">
        <f>IFERROR(__xludf.DUMMYFUNCTION("""COMPUTED_VALUE"""),"Ron Roggé")</f>
        <v>Ron Roggé</v>
      </c>
    </row>
    <row r="5879" customHeight="1" spans="30:30">
      <c r="AD5879" s="5" t="str">
        <f>IFERROR(__xludf.DUMMYFUNCTION("""COMPUTED_VALUE"""),"Parry Shen")</f>
        <v>Parry Shen</v>
      </c>
    </row>
    <row r="5880" customHeight="1" spans="30:30">
      <c r="AD5880" s="5" t="str">
        <f>IFERROR(__xludf.DUMMYFUNCTION("""COMPUTED_VALUE"""),"Jason Tobin")</f>
        <v>Jason Tobin</v>
      </c>
    </row>
    <row r="5881" customHeight="1" spans="30:30">
      <c r="AD5881" s="5" t="str">
        <f>IFERROR(__xludf.DUMMYFUNCTION("""COMPUTED_VALUE"""),"Collin Kahey")</f>
        <v>Collin Kahey</v>
      </c>
    </row>
    <row r="5882" customHeight="1" spans="30:30">
      <c r="AD5882" s="5" t="str">
        <f>IFERROR(__xludf.DUMMYFUNCTION("""COMPUTED_VALUE"""),"Stephanie Berry")</f>
        <v>Stephanie Berry</v>
      </c>
    </row>
    <row r="5883" customHeight="1" spans="30:30">
      <c r="AD5883" s="5" t="str">
        <f>IFERROR(__xludf.DUMMYFUNCTION("""COMPUTED_VALUE"""),"Chris Weitz")</f>
        <v>Chris Weitz</v>
      </c>
    </row>
    <row r="5884" customHeight="1" spans="30:30">
      <c r="AD5884" s="5" t="str">
        <f>IFERROR(__xludf.DUMMYFUNCTION("""COMPUTED_VALUE"""),"Purva Bedi")</f>
        <v>Purva Bedi</v>
      </c>
    </row>
    <row r="5885" customHeight="1" spans="30:30">
      <c r="AD5885" s="5" t="str">
        <f>IFERROR(__xludf.DUMMYFUNCTION("""COMPUTED_VALUE"""),"Rizwan Manji")</f>
        <v>Rizwan Manji</v>
      </c>
    </row>
    <row r="5886" customHeight="1" spans="30:30">
      <c r="AD5886" s="5" t="str">
        <f>IFERROR(__xludf.DUMMYFUNCTION("""COMPUTED_VALUE"""),"Anil Kumar")</f>
        <v>Anil Kumar</v>
      </c>
    </row>
    <row r="5887" customHeight="1" spans="30:30">
      <c r="AD5887" s="5" t="str">
        <f>IFERROR(__xludf.DUMMYFUNCTION("""COMPUTED_VALUE"""),"Keri Maletto")</f>
        <v>Keri Maletto</v>
      </c>
    </row>
    <row r="5888" customHeight="1" spans="30:30">
      <c r="AD5888" s="5" t="str">
        <f>IFERROR(__xludf.DUMMYFUNCTION("""COMPUTED_VALUE"""),"Nicholas Simmons")</f>
        <v>Nicholas Simmons</v>
      </c>
    </row>
    <row r="5889" customHeight="1" spans="30:30">
      <c r="AD5889" s="5" t="str">
        <f>IFERROR(__xludf.DUMMYFUNCTION("""COMPUTED_VALUE"""),"Barbie Castro")</f>
        <v>Barbie Castro</v>
      </c>
    </row>
    <row r="5890" customHeight="1" spans="30:30">
      <c r="AD5890" s="5" t="str">
        <f>IFERROR(__xludf.DUMMYFUNCTION("""COMPUTED_VALUE"""),"Matt Day")</f>
        <v>Matt Day</v>
      </c>
    </row>
    <row r="5891" customHeight="1" spans="30:30">
      <c r="AD5891" s="5" t="str">
        <f>IFERROR(__xludf.DUMMYFUNCTION("""COMPUTED_VALUE"""),"Charis Michelsen")</f>
        <v>Charis Michelsen</v>
      </c>
    </row>
    <row r="5892" customHeight="1" spans="30:30">
      <c r="AD5892" s="5" t="str">
        <f>IFERROR(__xludf.DUMMYFUNCTION("""COMPUTED_VALUE"""),"Bill Martone")</f>
        <v>Bill Martone</v>
      </c>
    </row>
    <row r="5893" customHeight="1" spans="30:30">
      <c r="AD5893" s="5" t="str">
        <f>IFERROR(__xludf.DUMMYFUNCTION("""COMPUTED_VALUE"""),"Richard Spore")</f>
        <v>Richard Spore</v>
      </c>
    </row>
    <row r="5894" customHeight="1" spans="30:30">
      <c r="AD5894" s="5" t="str">
        <f>IFERROR(__xludf.DUMMYFUNCTION("""COMPUTED_VALUE"""),"Amir Talai")</f>
        <v>Amir Talai</v>
      </c>
    </row>
    <row r="5895" customHeight="1" spans="30:30">
      <c r="AD5895" s="5" t="str">
        <f>IFERROR(__xludf.DUMMYFUNCTION("""COMPUTED_VALUE"""),"Charlie Bewley")</f>
        <v>Charlie Bewley</v>
      </c>
    </row>
    <row r="5896" customHeight="1" spans="30:30">
      <c r="AD5896" s="5" t="str">
        <f>IFERROR(__xludf.DUMMYFUNCTION("""COMPUTED_VALUE"""),"Finola Hughes")</f>
        <v>Finola Hughes</v>
      </c>
    </row>
    <row r="5897" customHeight="1" spans="30:30">
      <c r="AD5897" s="5" t="str">
        <f>IFERROR(__xludf.DUMMYFUNCTION("""COMPUTED_VALUE"""),"Marshal Hilton")</f>
        <v>Marshal Hilton</v>
      </c>
    </row>
    <row r="5898" customHeight="1" spans="30:30">
      <c r="AD5898" s="5" t="str">
        <f>IFERROR(__xludf.DUMMYFUNCTION("""COMPUTED_VALUE"""),"Clint Jung")</f>
        <v>Clint Jung</v>
      </c>
    </row>
    <row r="5899" customHeight="1" spans="30:30">
      <c r="AD5899" s="5" t="str">
        <f>IFERROR(__xludf.DUMMYFUNCTION("""COMPUTED_VALUE"""),"Samantha Futerman")</f>
        <v>Samantha Futerman</v>
      </c>
    </row>
    <row r="5900" customHeight="1" spans="30:30">
      <c r="AD5900" s="5" t="str">
        <f>IFERROR(__xludf.DUMMYFUNCTION("""COMPUTED_VALUE"""),"Clint Jordan")</f>
        <v>Clint Jordan</v>
      </c>
    </row>
    <row r="5901" customHeight="1" spans="30:30">
      <c r="AD5901" s="5" t="str">
        <f>IFERROR(__xludf.DUMMYFUNCTION("""COMPUTED_VALUE"""),"Jackie Nova")</f>
        <v>Jackie Nova</v>
      </c>
    </row>
    <row r="5902" customHeight="1" spans="30:30">
      <c r="AD5902" s="5" t="str">
        <f>IFERROR(__xludf.DUMMYFUNCTION("""COMPUTED_VALUE"""),"Gus Van Sant")</f>
        <v>Gus Van Sant</v>
      </c>
    </row>
    <row r="5903" customHeight="1" spans="30:30">
      <c r="AD5903" s="5" t="str">
        <f>IFERROR(__xludf.DUMMYFUNCTION("""COMPUTED_VALUE"""),"James Deen")</f>
        <v>James Deen</v>
      </c>
    </row>
    <row r="5904" customHeight="1" spans="30:30">
      <c r="AD5904" s="5" t="str">
        <f>IFERROR(__xludf.DUMMYFUNCTION("""COMPUTED_VALUE"""),"James Norton")</f>
        <v>James Norton</v>
      </c>
    </row>
    <row r="5905" customHeight="1" spans="30:30">
      <c r="AD5905" s="5" t="str">
        <f>IFERROR(__xludf.DUMMYFUNCTION("""COMPUTED_VALUE"""),"Sarah Lancashire")</f>
        <v>Sarah Lancashire</v>
      </c>
    </row>
    <row r="5906" customHeight="1" spans="30:30">
      <c r="AD5906" s="5" t="str">
        <f>IFERROR(__xludf.DUMMYFUNCTION("""COMPUTED_VALUE"""),"Flaco Navaja")</f>
        <v>Flaco Navaja</v>
      </c>
    </row>
    <row r="5907" customHeight="1" spans="30:30">
      <c r="AD5907" s="5" t="str">
        <f>IFERROR(__xludf.DUMMYFUNCTION("""COMPUTED_VALUE"""),"Dominic Colón")</f>
        <v>Dominic Colón</v>
      </c>
    </row>
    <row r="5908" customHeight="1" spans="30:30">
      <c r="AD5908" s="5" t="str">
        <f>IFERROR(__xludf.DUMMYFUNCTION("""COMPUTED_VALUE"""),"Michael Abbott Jr.")</f>
        <v>Michael Abbott Jr.</v>
      </c>
    </row>
    <row r="5909" customHeight="1" spans="30:30">
      <c r="AD5909" s="5" t="str">
        <f>IFERROR(__xludf.DUMMYFUNCTION("""COMPUTED_VALUE"""),"Natalie Canerday")</f>
        <v>Natalie Canerday</v>
      </c>
    </row>
    <row r="5910" customHeight="1" spans="30:30">
      <c r="AD5910" s="5" t="str">
        <f>IFERROR(__xludf.DUMMYFUNCTION("""COMPUTED_VALUE"""),"Travis Smith")</f>
        <v>Travis Smith</v>
      </c>
    </row>
    <row r="5911" customHeight="1" spans="30:30">
      <c r="AD5911" s="5" t="str">
        <f>IFERROR(__xludf.DUMMYFUNCTION("""COMPUTED_VALUE"""),"Pollyanna McIntosh")</f>
        <v>Pollyanna McIntosh</v>
      </c>
    </row>
    <row r="5912" customHeight="1" spans="30:30">
      <c r="AD5912" s="5" t="str">
        <f>IFERROR(__xludf.DUMMYFUNCTION("""COMPUTED_VALUE"""),"Samantha Buck")</f>
        <v>Samantha Buck</v>
      </c>
    </row>
    <row r="5913" customHeight="1" spans="30:30">
      <c r="AD5913" s="5" t="str">
        <f>IFERROR(__xludf.DUMMYFUNCTION("""COMPUTED_VALUE"""),"Terumi Matthews")</f>
        <v>Terumi Matthews</v>
      </c>
    </row>
    <row r="5914" customHeight="1" spans="30:30">
      <c r="AD5914" s="5" t="str">
        <f>IFERROR(__xludf.DUMMYFUNCTION("""COMPUTED_VALUE"""),"Mark Hengst")</f>
        <v>Mark Hengst</v>
      </c>
    </row>
    <row r="5915" customHeight="1" spans="30:30">
      <c r="AD5915" s="5" t="str">
        <f>IFERROR(__xludf.DUMMYFUNCTION("""COMPUTED_VALUE"""),"Debra Lynn Hull")</f>
        <v>Debra Lynn Hull</v>
      </c>
    </row>
    <row r="5916" customHeight="1" spans="30:30">
      <c r="AD5916" s="5" t="str">
        <f>IFERROR(__xludf.DUMMYFUNCTION("""COMPUTED_VALUE"""),"Lorne Cardinal")</f>
        <v>Lorne Cardinal</v>
      </c>
    </row>
    <row r="5917" customHeight="1" spans="30:30">
      <c r="AD5917" s="5" t="str">
        <f>IFERROR(__xludf.DUMMYFUNCTION("""COMPUTED_VALUE"""),"Kirsten Collins")</f>
        <v>Kirsten Collins</v>
      </c>
    </row>
    <row r="5918" customHeight="1" spans="30:30">
      <c r="AD5918" s="5" t="str">
        <f>IFERROR(__xludf.DUMMYFUNCTION("""COMPUTED_VALUE"""),"Eme Ikwuakor")</f>
        <v>Eme Ikwuakor</v>
      </c>
    </row>
    <row r="5919" customHeight="1" spans="30:30">
      <c r="AD5919" s="5" t="str">
        <f>IFERROR(__xludf.DUMMYFUNCTION("""COMPUTED_VALUE"""),"Marty Lindsey")</f>
        <v>Marty Lindsey</v>
      </c>
    </row>
    <row r="5920" customHeight="1" spans="30:30">
      <c r="AD5920" s="5" t="str">
        <f>IFERROR(__xludf.DUMMYFUNCTION("""COMPUTED_VALUE"""),"Jessica Duffy")</f>
        <v>Jessica Duffy</v>
      </c>
    </row>
    <row r="5921" customHeight="1" spans="30:30">
      <c r="AD5921" s="5" t="str">
        <f>IFERROR(__xludf.DUMMYFUNCTION("""COMPUTED_VALUE"""),"Florence Henderson")</f>
        <v>Florence Henderson</v>
      </c>
    </row>
    <row r="5922" customHeight="1" spans="30:30">
      <c r="AD5922" s="5" t="str">
        <f>IFERROR(__xludf.DUMMYFUNCTION("""COMPUTED_VALUE"""),"Derek Brandon")</f>
        <v>Derek Brandon</v>
      </c>
    </row>
    <row r="5923" customHeight="1" spans="30:30">
      <c r="AD5923" s="5" t="str">
        <f>IFERROR(__xludf.DUMMYFUNCTION("""COMPUTED_VALUE"""),"Charles Irving Beale")</f>
        <v>Charles Irving Beale</v>
      </c>
    </row>
    <row r="5924" customHeight="1" spans="30:30">
      <c r="AD5924" s="5" t="str">
        <f>IFERROR(__xludf.DUMMYFUNCTION("""COMPUTED_VALUE"""),"Victoria Jackson")</f>
        <v>Victoria Jackson</v>
      </c>
    </row>
    <row r="5925" customHeight="1" spans="30:30">
      <c r="AD5925" s="5" t="str">
        <f>IFERROR(__xludf.DUMMYFUNCTION("""COMPUTED_VALUE"""),"Kate Flannery")</f>
        <v>Kate Flannery</v>
      </c>
    </row>
    <row r="5926" customHeight="1" spans="30:30">
      <c r="AD5926" s="5" t="str">
        <f>IFERROR(__xludf.DUMMYFUNCTION("""COMPUTED_VALUE"""),"Tim Bagley")</f>
        <v>Tim Bagley</v>
      </c>
    </row>
    <row r="5927" customHeight="1" spans="30:30">
      <c r="AD5927" s="5" t="str">
        <f>IFERROR(__xludf.DUMMYFUNCTION("""COMPUTED_VALUE"""),"Stuart Whitman")</f>
        <v>Stuart Whitman</v>
      </c>
    </row>
    <row r="5928" customHeight="1" spans="30:30">
      <c r="AD5928" s="5" t="str">
        <f>IFERROR(__xludf.DUMMYFUNCTION("""COMPUTED_VALUE"""),"Sam Adams")</f>
        <v>Sam Adams</v>
      </c>
    </row>
    <row r="5929" customHeight="1" spans="30:30">
      <c r="AD5929" s="5" t="str">
        <f>IFERROR(__xludf.DUMMYFUNCTION("""COMPUTED_VALUE"""),"Steve Duin")</f>
        <v>Steve Duin</v>
      </c>
    </row>
    <row r="5930" customHeight="1" spans="30:30">
      <c r="AD5930" s="5" t="str">
        <f>IFERROR(__xludf.DUMMYFUNCTION("""COMPUTED_VALUE"""),"Jeff Jacob")</f>
        <v>Jeff Jacob</v>
      </c>
    </row>
    <row r="5931" customHeight="1" spans="30:30">
      <c r="AD5931" s="5" t="str">
        <f>IFERROR(__xludf.DUMMYFUNCTION("""COMPUTED_VALUE"""),"Brit Morgan")</f>
        <v>Brit Morgan</v>
      </c>
    </row>
    <row r="5932" customHeight="1" spans="30:30">
      <c r="AD5932" s="5" t="str">
        <f>IFERROR(__xludf.DUMMYFUNCTION("""COMPUTED_VALUE"""),"Sedona James")</f>
        <v>Sedona James</v>
      </c>
    </row>
    <row r="5933" customHeight="1" spans="30:30">
      <c r="AD5933" s="5" t="str">
        <f>IFERROR(__xludf.DUMMYFUNCTION("""COMPUTED_VALUE"""),"Joshua Ray Bell")</f>
        <v>Joshua Ray Bell</v>
      </c>
    </row>
    <row r="5934" customHeight="1" spans="30:30">
      <c r="AD5934" s="5" t="str">
        <f>IFERROR(__xludf.DUMMYFUNCTION("""COMPUTED_VALUE"""),"Dana Blackstone")</f>
        <v>Dana Blackstone</v>
      </c>
    </row>
    <row r="5935" customHeight="1" spans="30:30">
      <c r="AD5935" s="5" t="str">
        <f>IFERROR(__xludf.DUMMYFUNCTION("""COMPUTED_VALUE"""),"Annelyse Ahmad")</f>
        <v>Annelyse Ahmad</v>
      </c>
    </row>
    <row r="5936" customHeight="1" spans="30:30">
      <c r="AD5936" s="5" t="str">
        <f>IFERROR(__xludf.DUMMYFUNCTION("""COMPUTED_VALUE"""),"John Gilbert")</f>
        <v>John Gilbert</v>
      </c>
    </row>
    <row r="5937" customHeight="1" spans="30:30">
      <c r="AD5937" s="5" t="str">
        <f>IFERROR(__xludf.DUMMYFUNCTION("""COMPUTED_VALUE"""),"Renée Adorée")</f>
        <v>Renée Adorée</v>
      </c>
    </row>
    <row r="5938" customHeight="1" spans="30:30">
      <c r="AD5938" s="5" t="str">
        <f>IFERROR(__xludf.DUMMYFUNCTION("""COMPUTED_VALUE"""),"Claire Adams")</f>
        <v>Claire Adams</v>
      </c>
    </row>
    <row r="5939" customHeight="1" spans="30:30">
      <c r="AD5939" s="5" t="str">
        <f>IFERROR(__xludf.DUMMYFUNCTION("""COMPUTED_VALUE"""),"Jacob Zachar")</f>
        <v>Jacob Zachar</v>
      </c>
    </row>
    <row r="5940" customHeight="1" spans="30:30">
      <c r="AD5940" s="5" t="str">
        <f>IFERROR(__xludf.DUMMYFUNCTION("""COMPUTED_VALUE"""),"Travis Betz")</f>
        <v>Travis Betz</v>
      </c>
    </row>
    <row r="5941" customHeight="1" spans="30:30">
      <c r="AD5941" s="5" t="str">
        <f>IFERROR(__xludf.DUMMYFUNCTION("""COMPUTED_VALUE"""),"Matthew Emerick")</f>
        <v>Matthew Emerick</v>
      </c>
    </row>
    <row r="5942" customHeight="1" spans="30:30">
      <c r="AD5942" s="5" t="str">
        <f>IFERROR(__xludf.DUMMYFUNCTION("""COMPUTED_VALUE"""),"Brock Baker")</f>
        <v>Brock Baker</v>
      </c>
    </row>
    <row r="5943" customHeight="1" spans="30:30">
      <c r="AD5943" s="5" t="str">
        <f>IFERROR(__xludf.DUMMYFUNCTION("""COMPUTED_VALUE"""),"Sheldon Bailey")</f>
        <v>Sheldon Bailey</v>
      </c>
    </row>
    <row r="5944" customHeight="1" spans="30:30">
      <c r="AD5944" s="5" t="str">
        <f>IFERROR(__xludf.DUMMYFUNCTION("""COMPUTED_VALUE"""),"James Lance")</f>
        <v>James Lance</v>
      </c>
    </row>
    <row r="5945" customHeight="1" spans="30:30">
      <c r="AD5945" s="5" t="str">
        <f>IFERROR(__xludf.DUMMYFUNCTION("""COMPUTED_VALUE"""),"Matt King")</f>
        <v>Matt King</v>
      </c>
    </row>
    <row r="5946" customHeight="1" spans="30:30">
      <c r="AD5946" s="5" t="str">
        <f>IFERROR(__xludf.DUMMYFUNCTION("""COMPUTED_VALUE"""),"Mark Fantasia")</f>
        <v>Mark Fantasia</v>
      </c>
    </row>
    <row r="5947" customHeight="1" spans="30:30">
      <c r="AD5947" s="5" t="str">
        <f>IFERROR(__xludf.DUMMYFUNCTION("""COMPUTED_VALUE"""),"Vivian Lamolli")</f>
        <v>Vivian Lamolli</v>
      </c>
    </row>
    <row r="5948" customHeight="1" spans="30:30">
      <c r="AD5948" s="5" t="str">
        <f>IFERROR(__xludf.DUMMYFUNCTION("""COMPUTED_VALUE"""),"Greg Jackson")</f>
        <v>Greg Jackson</v>
      </c>
    </row>
    <row r="5949" customHeight="1" spans="30:30">
      <c r="AD5949" s="5" t="str">
        <f>IFERROR(__xludf.DUMMYFUNCTION("""COMPUTED_VALUE"""),"Brendan Doogie Milewski")</f>
        <v>Brendan Doogie Milewski</v>
      </c>
    </row>
    <row r="5950" customHeight="1" spans="30:30">
      <c r="AD5950" s="5" t="str">
        <f>IFERROR(__xludf.DUMMYFUNCTION("""COMPUTED_VALUE"""),"Donald Austin")</f>
        <v>Donald Austin</v>
      </c>
    </row>
    <row r="5951" customHeight="1" spans="30:30">
      <c r="AD5951" s="5" t="str">
        <f>IFERROR(__xludf.DUMMYFUNCTION("""COMPUTED_VALUE"""),"Craig Dougherty")</f>
        <v>Craig Dougherty</v>
      </c>
    </row>
    <row r="5952" customHeight="1" spans="30:30">
      <c r="AD5952" s="5" t="str">
        <f>IFERROR(__xludf.DUMMYFUNCTION("""COMPUTED_VALUE"""),"Matt Keeslar")</f>
        <v>Matt Keeslar</v>
      </c>
    </row>
    <row r="5953" customHeight="1" spans="30:30">
      <c r="AD5953" s="5" t="str">
        <f>IFERROR(__xludf.DUMMYFUNCTION("""COMPUTED_VALUE"""),"Christina Hart")</f>
        <v>Christina Hart</v>
      </c>
    </row>
    <row r="5954" customHeight="1" spans="30:30">
      <c r="AD5954" s="5" t="str">
        <f>IFERROR(__xludf.DUMMYFUNCTION("""COMPUTED_VALUE"""),"Nancy Ison")</f>
        <v>Nancy Ison</v>
      </c>
    </row>
    <row r="5955" customHeight="1" spans="30:30">
      <c r="AD5955" s="5" t="str">
        <f>IFERROR(__xludf.DUMMYFUNCTION("""COMPUTED_VALUE"""),"William Condos")</f>
        <v>William Condos</v>
      </c>
    </row>
    <row r="5956" customHeight="1" spans="30:30">
      <c r="AD5956" s="5" t="str">
        <f>IFERROR(__xludf.DUMMYFUNCTION("""COMPUTED_VALUE"""),"Kenneth Tobey")</f>
        <v>Kenneth Tobey</v>
      </c>
    </row>
    <row r="5957" customHeight="1" spans="30:30">
      <c r="AD5957" s="5" t="str">
        <f>IFERROR(__xludf.DUMMYFUNCTION("""COMPUTED_VALUE"""),"Cecil Kellaway")</f>
        <v>Cecil Kellaway</v>
      </c>
    </row>
    <row r="5958" customHeight="1" spans="30:30">
      <c r="AD5958" s="5" t="str">
        <f>IFERROR(__xludf.DUMMYFUNCTION("""COMPUTED_VALUE"""),"Ross Elliott")</f>
        <v>Ross Elliott</v>
      </c>
    </row>
    <row r="5959" customHeight="1" spans="30:30">
      <c r="AD5959" s="5" t="str">
        <f>IFERROR(__xludf.DUMMYFUNCTION("""COMPUTED_VALUE"""),"Hugh Keays-Byrne")</f>
        <v>Hugh Keays-Byrne</v>
      </c>
    </row>
    <row r="5960" customHeight="1" spans="30:30">
      <c r="AD5960" s="5" t="str">
        <f>IFERROR(__xludf.DUMMYFUNCTION("""COMPUTED_VALUE"""),"Joanne Samuel")</f>
        <v>Joanne Samuel</v>
      </c>
    </row>
    <row r="5961" customHeight="1" spans="30:30">
      <c r="AD5961" s="5" t="str">
        <f>IFERROR(__xludf.DUMMYFUNCTION("""COMPUTED_VALUE"""),"Alex Désert")</f>
        <v>Alex Désert</v>
      </c>
    </row>
    <row r="5962" customHeight="1" spans="30:30">
      <c r="AD5962" s="5" t="str">
        <f>IFERROR(__xludf.DUMMYFUNCTION("""COMPUTED_VALUE"""),"Blake Lindsley")</f>
        <v>Blake Lindsley</v>
      </c>
    </row>
    <row r="5963" customHeight="1" spans="30:30">
      <c r="AD5963" s="5" t="str">
        <f>IFERROR(__xludf.DUMMYFUNCTION("""COMPUTED_VALUE"""),"Gian Maria Volontè")</f>
        <v>Gian Maria Volontè</v>
      </c>
    </row>
    <row r="5964" customHeight="1" spans="30:30">
      <c r="AD5964" s="5" t="str">
        <f>IFERROR(__xludf.DUMMYFUNCTION("""COMPUTED_VALUE"""),"Aldo Sambrell")</f>
        <v>Aldo Sambrell</v>
      </c>
    </row>
    <row r="5965" customHeight="1" spans="30:30">
      <c r="AD5965" s="5" t="str">
        <f>IFERROR(__xludf.DUMMYFUNCTION("""COMPUTED_VALUE"""),"Mae West")</f>
        <v>Mae West</v>
      </c>
    </row>
    <row r="5966" customHeight="1" spans="30:30">
      <c r="AD5966" s="5" t="str">
        <f>IFERROR(__xludf.DUMMYFUNCTION("""COMPUTED_VALUE"""),"Gilbert Roland")</f>
        <v>Gilbert Roland</v>
      </c>
    </row>
    <row r="5967" customHeight="1" spans="30:30">
      <c r="AD5967" s="5" t="str">
        <f>IFERROR(__xludf.DUMMYFUNCTION("""COMPUTED_VALUE"""),"Louise Beavers")</f>
        <v>Louise Beavers</v>
      </c>
    </row>
    <row r="5968" customHeight="1" spans="30:30">
      <c r="AD5968" s="5" t="str">
        <f>IFERROR(__xludf.DUMMYFUNCTION("""COMPUTED_VALUE"""),"The Dalai Lama")</f>
        <v>The Dalai Lama</v>
      </c>
    </row>
    <row r="5969" customHeight="1" spans="30:30">
      <c r="AD5969" s="5" t="str">
        <f>IFERROR(__xludf.DUMMYFUNCTION("""COMPUTED_VALUE"""),"Jasper Johal")</f>
        <v>Jasper Johal</v>
      </c>
    </row>
    <row r="5970" customHeight="1" spans="30:30">
      <c r="AD5970" s="5" t="str">
        <f>IFERROR(__xludf.DUMMYFUNCTION("""COMPUTED_VALUE"""),"Swami Krishnanad")</f>
        <v>Swami Krishnanad</v>
      </c>
    </row>
    <row r="5971" customHeight="1" spans="30:30">
      <c r="AD5971" s="5" t="str">
        <f>IFERROR(__xludf.DUMMYFUNCTION("""COMPUTED_VALUE"""),"Michael Joiner")</f>
        <v>Michael Joiner</v>
      </c>
    </row>
    <row r="5972" customHeight="1" spans="30:30">
      <c r="AD5972" s="5" t="str">
        <f>IFERROR(__xludf.DUMMYFUNCTION("""COMPUTED_VALUE"""),"Chris Thomas")</f>
        <v>Chris Thomas</v>
      </c>
    </row>
    <row r="5973" customHeight="1" spans="30:30">
      <c r="AD5973" s="5" t="str">
        <f>IFERROR(__xludf.DUMMYFUNCTION("""COMPUTED_VALUE"""),"Michael Higgenbottom")</f>
        <v>Michael Higgenbottom</v>
      </c>
    </row>
    <row r="5974" customHeight="1" spans="30:30">
      <c r="AD5974" s="5" t="str">
        <f>IFERROR(__xludf.DUMMYFUNCTION("""COMPUTED_VALUE"""),"Lorraine Toussaint")</f>
        <v>Lorraine Toussaint</v>
      </c>
    </row>
    <row r="5975" customHeight="1" spans="30:30">
      <c r="AD5975" s="5" t="str">
        <f>IFERROR(__xludf.DUMMYFUNCTION("""COMPUTED_VALUE"""),"Devid Striesow")</f>
        <v>Devid Striesow</v>
      </c>
    </row>
    <row r="5976" customHeight="1" spans="30:30">
      <c r="AD5976" s="5" t="str">
        <f>IFERROR(__xludf.DUMMYFUNCTION("""COMPUTED_VALUE"""),"Sebastian Schipper")</f>
        <v>Sebastian Schipper</v>
      </c>
    </row>
    <row r="5977" customHeight="1" spans="30:30">
      <c r="AD5977" s="5" t="str">
        <f>IFERROR(__xludf.DUMMYFUNCTION("""COMPUTED_VALUE"""),"Sophie Rois")</f>
        <v>Sophie Rois</v>
      </c>
    </row>
    <row r="5978" customHeight="1" spans="30:30">
      <c r="AD5978" s="5" t="str">
        <f>IFERROR(__xludf.DUMMYFUNCTION("""COMPUTED_VALUE"""),"William Joseph Elk III")</f>
        <v>William Joseph Elk III</v>
      </c>
    </row>
    <row r="5979" customHeight="1" spans="30:30">
      <c r="AD5979" s="5" t="str">
        <f>IFERROR(__xludf.DUMMYFUNCTION("""COMPUTED_VALUE"""),"Leo Rossi")</f>
        <v>Leo Rossi</v>
      </c>
    </row>
    <row r="5980" customHeight="1" spans="30:30">
      <c r="AD5980" s="5" t="str">
        <f>IFERROR(__xludf.DUMMYFUNCTION("""COMPUTED_VALUE"""),"Cynthia Geary")</f>
        <v>Cynthia Geary</v>
      </c>
    </row>
    <row r="5981" customHeight="1" spans="30:30">
      <c r="AD5981" s="5" t="str">
        <f>IFERROR(__xludf.DUMMYFUNCTION("""COMPUTED_VALUE"""),"Matisyahu")</f>
        <v>Matisyahu</v>
      </c>
    </row>
    <row r="5982" customHeight="1" spans="30:30">
      <c r="AD5982" s="5" t="str">
        <f>IFERROR(__xludf.DUMMYFUNCTION("""COMPUTED_VALUE"""),"Natasha Bedingfield")</f>
        <v>Natasha Bedingfield</v>
      </c>
    </row>
    <row r="5983" customHeight="1" spans="30:30">
      <c r="AD5983" s="5" t="str">
        <f>IFERROR(__xludf.DUMMYFUNCTION("""COMPUTED_VALUE"""),"Madeleine Albright")</f>
        <v>Madeleine Albright</v>
      </c>
    </row>
    <row r="5984" customHeight="1" spans="30:30">
      <c r="AD5984" s="5" t="str">
        <f>IFERROR(__xludf.DUMMYFUNCTION("""COMPUTED_VALUE"""),"Stevan Mena")</f>
        <v>Stevan Mena</v>
      </c>
    </row>
    <row r="5985" customHeight="1" spans="30:30">
      <c r="AD5985" s="5" t="str">
        <f>IFERROR(__xludf.DUMMYFUNCTION("""COMPUTED_VALUE"""),"Richard Glover")</f>
        <v>Richard Glover</v>
      </c>
    </row>
    <row r="5986" customHeight="1" spans="30:30">
      <c r="AD5986" s="5" t="str">
        <f>IFERROR(__xludf.DUMMYFUNCTION("""COMPUTED_VALUE"""),"Marri Savinar")</f>
        <v>Marri Savinar</v>
      </c>
    </row>
    <row r="5987" customHeight="1" spans="30:30">
      <c r="AD5987" s="5" t="str">
        <f>IFERROR(__xludf.DUMMYFUNCTION("""COMPUTED_VALUE"""),"Adam Rifkin")</f>
        <v>Adam Rifkin</v>
      </c>
    </row>
    <row r="5988" customHeight="1" spans="30:30">
      <c r="AD5988" s="5" t="str">
        <f>IFERROR(__xludf.DUMMYFUNCTION("""COMPUTED_VALUE"""),"Bethany Blakey")</f>
        <v>Bethany Blakey</v>
      </c>
    </row>
    <row r="5989" customHeight="1" spans="30:30">
      <c r="AD5989" s="5" t="str">
        <f>IFERROR(__xludf.DUMMYFUNCTION("""COMPUTED_VALUE"""),"Melanie Papalia")</f>
        <v>Melanie Papalia</v>
      </c>
    </row>
    <row r="5990" customHeight="1" spans="30:30">
      <c r="AD5990" s="5" t="str">
        <f>IFERROR(__xludf.DUMMYFUNCTION("""COMPUTED_VALUE"""),"Ryan Kennedy")</f>
        <v>Ryan Kennedy</v>
      </c>
    </row>
    <row r="5991" customHeight="1" spans="30:30">
      <c r="AD5991" s="5" t="str">
        <f>IFERROR(__xludf.DUMMYFUNCTION("""COMPUTED_VALUE"""),"John Reardon")</f>
        <v>John Reardon</v>
      </c>
    </row>
    <row r="5992" customHeight="1" spans="30:30">
      <c r="AD5992" s="5" t="str">
        <f>IFERROR(__xludf.DUMMYFUNCTION("""COMPUTED_VALUE"""),"Elise Muller")</f>
        <v>Elise Muller</v>
      </c>
    </row>
    <row r="5993" customHeight="1" spans="30:30">
      <c r="AD5993" s="5" t="str">
        <f>IFERROR(__xludf.DUMMYFUNCTION("""COMPUTED_VALUE"""),"Susan Chambers")</f>
        <v>Susan Chambers</v>
      </c>
    </row>
    <row r="5994" customHeight="1" spans="30:30">
      <c r="AD5994" s="5" t="str">
        <f>IFERROR(__xludf.DUMMYFUNCTION("""COMPUTED_VALUE"""),"Victoria Lachelle")</f>
        <v>Victoria Lachelle</v>
      </c>
    </row>
    <row r="5995" customHeight="1" spans="30:30">
      <c r="AD5995" s="5" t="str">
        <f>IFERROR(__xludf.DUMMYFUNCTION("""COMPUTED_VALUE"""),"Ali Daniels")</f>
        <v>Ali Daniels</v>
      </c>
    </row>
    <row r="5996" customHeight="1" spans="30:30">
      <c r="AD5996" s="5" t="str">
        <f>IFERROR(__xludf.DUMMYFUNCTION("""COMPUTED_VALUE"""),"Marina Vlady")</f>
        <v>Marina Vlady</v>
      </c>
    </row>
    <row r="5997" customHeight="1" spans="30:30">
      <c r="AD5997" s="5" t="str">
        <f>IFERROR(__xludf.DUMMYFUNCTION("""COMPUTED_VALUE"""),"Bertrand Cantat")</f>
        <v>Bertrand Cantat</v>
      </c>
    </row>
    <row r="5998" customHeight="1" spans="30:30">
      <c r="AD5998" s="5" t="str">
        <f>IFERROR(__xludf.DUMMYFUNCTION("""COMPUTED_VALUE"""),"Léon Schwartzenberg")</f>
        <v>Léon Schwartzenberg</v>
      </c>
    </row>
    <row r="5999" customHeight="1" spans="30:30">
      <c r="AD5999" s="5" t="str">
        <f>IFERROR(__xludf.DUMMYFUNCTION("""COMPUTED_VALUE"""),"Hanne Aagesen")</f>
        <v>Hanne Aagesen</v>
      </c>
    </row>
    <row r="6000" customHeight="1" spans="30:30">
      <c r="AD6000" s="5" t="str">
        <f>IFERROR(__xludf.DUMMYFUNCTION("""COMPUTED_VALUE"""),"Sylvia Eckhausen")</f>
        <v>Sylvia Eckhausen</v>
      </c>
    </row>
    <row r="6001" customHeight="1" spans="30:30">
      <c r="AD6001" s="5" t="str">
        <f>IFERROR(__xludf.DUMMYFUNCTION("""COMPUTED_VALUE"""),"Ejner Federspiel")</f>
        <v>Ejner Federspiel</v>
      </c>
    </row>
    <row r="6002" customHeight="1" spans="30:30">
      <c r="AD6002" s="5" t="str">
        <f>IFERROR(__xludf.DUMMYFUNCTION("""COMPUTED_VALUE"""),"David Lee Smith")</f>
        <v>David Lee Smith</v>
      </c>
    </row>
    <row r="6003" customHeight="1" spans="30:30">
      <c r="AD6003" s="5" t="str">
        <f>IFERROR(__xludf.DUMMYFUNCTION("""COMPUTED_VALUE"""),"Darryl Hunt")</f>
        <v>Darryl Hunt</v>
      </c>
    </row>
    <row r="6004" customHeight="1" spans="30:30">
      <c r="AD6004" s="5" t="str">
        <f>IFERROR(__xludf.DUMMYFUNCTION("""COMPUTED_VALUE"""),"Evelyn Jefferson")</f>
        <v>Evelyn Jefferson</v>
      </c>
    </row>
    <row r="6005" customHeight="1" spans="30:30">
      <c r="AD6005" s="5" t="str">
        <f>IFERROR(__xludf.DUMMYFUNCTION("""COMPUTED_VALUE"""),"John Reeves")</f>
        <v>John Reeves</v>
      </c>
    </row>
    <row r="6006" customHeight="1" spans="30:30">
      <c r="AD6006" s="5" t="str">
        <f>IFERROR(__xludf.DUMMYFUNCTION("""COMPUTED_VALUE"""),"Jordan Bridges")</f>
        <v>Jordan Bridges</v>
      </c>
    </row>
    <row r="6007" customHeight="1" spans="30:30">
      <c r="AD6007" s="5" t="str">
        <f>IFERROR(__xludf.DUMMYFUNCTION("""COMPUTED_VALUE"""),"Bruce Gooch")</f>
        <v>Bruce Gooch</v>
      </c>
    </row>
    <row r="6008" customHeight="1" spans="30:30">
      <c r="AD6008" s="5" t="str">
        <f>IFERROR(__xludf.DUMMYFUNCTION("""COMPUTED_VALUE"""),"John Newton")</f>
        <v>John Newton</v>
      </c>
    </row>
    <row r="6009" customHeight="1" spans="30:30">
      <c r="AD6009" s="5" t="str">
        <f>IFERROR(__xludf.DUMMYFUNCTION("""COMPUTED_VALUE"""),"Chase Masterson")</f>
        <v>Chase Masterson</v>
      </c>
    </row>
    <row r="6010" customHeight="1" spans="30:30">
      <c r="AD6010" s="5" t="str">
        <f>IFERROR(__xludf.DUMMYFUNCTION("""COMPUTED_VALUE"""),"H.M. Wynant")</f>
        <v>H.M. Wynant</v>
      </c>
    </row>
    <row r="6011" customHeight="1" spans="30:30">
      <c r="AD6011" s="5" t="str">
        <f>IFERROR(__xludf.DUMMYFUNCTION("""COMPUTED_VALUE"""),"Elaine Bromka")</f>
        <v>Elaine Bromka</v>
      </c>
    </row>
    <row r="6012" customHeight="1" spans="30:30">
      <c r="AD6012" s="5" t="str">
        <f>IFERROR(__xludf.DUMMYFUNCTION("""COMPUTED_VALUE"""),"Robert Turano")</f>
        <v>Robert Turano</v>
      </c>
    </row>
    <row r="6013" customHeight="1" spans="30:30">
      <c r="AD6013" s="5" t="str">
        <f>IFERROR(__xludf.DUMMYFUNCTION("""COMPUTED_VALUE"""),"Matthew Gumley")</f>
        <v>Matthew Gumley</v>
      </c>
    </row>
    <row r="6014" customHeight="1" spans="30:30">
      <c r="AD6014" s="5" t="str">
        <f>IFERROR(__xludf.DUMMYFUNCTION("""COMPUTED_VALUE"""),"Paul Hickert")</f>
        <v>Paul Hickert</v>
      </c>
    </row>
    <row r="6015" customHeight="1" spans="30:30">
      <c r="AD6015" s="5" t="str">
        <f>IFERROR(__xludf.DUMMYFUNCTION("""COMPUTED_VALUE"""),"Robin Bartlett")</f>
        <v>Robin Bartlett</v>
      </c>
    </row>
    <row r="6016" customHeight="1" spans="30:30">
      <c r="AD6016" s="5" t="str">
        <f>IFERROR(__xludf.DUMMYFUNCTION("""COMPUTED_VALUE"""),"Alex Emanuel")</f>
        <v>Alex Emanuel</v>
      </c>
    </row>
    <row r="6017" customHeight="1" spans="30:30">
      <c r="AD6017" s="5" t="str">
        <f>IFERROR(__xludf.DUMMYFUNCTION("""COMPUTED_VALUE"""),"Bahare Seddiqi")</f>
        <v>Bahare Seddiqi</v>
      </c>
    </row>
    <row r="6018" customHeight="1" spans="30:30">
      <c r="AD6018" s="5" t="str">
        <f>IFERROR(__xludf.DUMMYFUNCTION("""COMPUTED_VALUE"""),"Amir Farrokh Hashemian")</f>
        <v>Amir Farrokh Hashemian</v>
      </c>
    </row>
    <row r="6019" customHeight="1" spans="30:30">
      <c r="AD6019" s="5" t="str">
        <f>IFERROR(__xludf.DUMMYFUNCTION("""COMPUTED_VALUE"""),"Mohammad Amir Naji")</f>
        <v>Mohammad Amir Naji</v>
      </c>
    </row>
    <row r="6020" customHeight="1" spans="30:30">
      <c r="AD6020" s="5" t="str">
        <f>IFERROR(__xludf.DUMMYFUNCTION("""COMPUTED_VALUE"""),"Chris New")</f>
        <v>Chris New</v>
      </c>
    </row>
    <row r="6021" customHeight="1" spans="30:30">
      <c r="AD6021" s="5" t="str">
        <f>IFERROR(__xludf.DUMMYFUNCTION("""COMPUTED_VALUE"""),"Vauxhall Jermaine")</f>
        <v>Vauxhall Jermaine</v>
      </c>
    </row>
    <row r="6022" customHeight="1" spans="30:30">
      <c r="AD6022" s="5" t="str">
        <f>IFERROR(__xludf.DUMMYFUNCTION("""COMPUTED_VALUE"""),"Joie Lee")</f>
        <v>Joie Lee</v>
      </c>
    </row>
    <row r="6023" customHeight="1" spans="30:30">
      <c r="AD6023" s="5" t="str">
        <f>IFERROR(__xludf.DUMMYFUNCTION("""COMPUTED_VALUE"""),"Tracy Camilla Johns")</f>
        <v>Tracy Camilla Johns</v>
      </c>
    </row>
    <row r="6024" customHeight="1" spans="30:30">
      <c r="AD6024" s="5" t="str">
        <f>IFERROR(__xludf.DUMMYFUNCTION("""COMPUTED_VALUE"""),"Abigail Evans")</f>
        <v>Abigail Evans</v>
      </c>
    </row>
    <row r="6025" customHeight="1" spans="30:30">
      <c r="AD6025" s="5" t="str">
        <f>IFERROR(__xludf.DUMMYFUNCTION("""COMPUTED_VALUE"""),"Stacie Evans")</f>
        <v>Stacie Evans</v>
      </c>
    </row>
    <row r="6026" customHeight="1" spans="30:30">
      <c r="AD6026" s="5" t="str">
        <f>IFERROR(__xludf.DUMMYFUNCTION("""COMPUTED_VALUE"""),"Emily Gorell")</f>
        <v>Emily Gorell</v>
      </c>
    </row>
    <row r="6027" customHeight="1" spans="30:30">
      <c r="AD6027" s="5" t="str">
        <f>IFERROR(__xludf.DUMMYFUNCTION("""COMPUTED_VALUE"""),"Iulia Ciochina")</f>
        <v>Iulia Ciochina</v>
      </c>
    </row>
    <row r="6028" customHeight="1" spans="30:30">
      <c r="AD6028" s="5" t="str">
        <f>IFERROR(__xludf.DUMMYFUNCTION("""COMPUTED_VALUE"""),"Ana Maria Guran")</f>
        <v>Ana Maria Guran</v>
      </c>
    </row>
    <row r="6029" customHeight="1" spans="30:30">
      <c r="AD6029" s="5" t="str">
        <f>IFERROR(__xludf.DUMMYFUNCTION("""COMPUTED_VALUE"""),"Ana Vatamanu")</f>
        <v>Ana Vatamanu</v>
      </c>
    </row>
    <row r="6030" customHeight="1" spans="30:30">
      <c r="AD6030" s="5" t="str">
        <f>IFERROR(__xludf.DUMMYFUNCTION("""COMPUTED_VALUE"""),"Robin Lord Taylor")</f>
        <v>Robin Lord Taylor</v>
      </c>
    </row>
    <row r="6031" customHeight="1" spans="30:30">
      <c r="AD6031" s="5" t="str">
        <f>IFERROR(__xludf.DUMMYFUNCTION("""COMPUTED_VALUE"""),"Flint Beverage")</f>
        <v>Flint Beverage</v>
      </c>
    </row>
    <row r="6032" customHeight="1" spans="30:30">
      <c r="AD6032" s="5" t="str">
        <f>IFERROR(__xludf.DUMMYFUNCTION("""COMPUTED_VALUE"""),"Melvin Van Peebles")</f>
        <v>Melvin Van Peebles</v>
      </c>
    </row>
    <row r="6033" customHeight="1" spans="30:30">
      <c r="AD6033" s="5" t="str">
        <f>IFERROR(__xludf.DUMMYFUNCTION("""COMPUTED_VALUE"""),"Charla Cochran")</f>
        <v>Charla Cochran</v>
      </c>
    </row>
    <row r="6034" customHeight="1" spans="30:30">
      <c r="AD6034" s="5" t="str">
        <f>IFERROR(__xludf.DUMMYFUNCTION("""COMPUTED_VALUE"""),"Joe Lev")</f>
        <v>Joe Lev</v>
      </c>
    </row>
    <row r="6035" customHeight="1" spans="30:30">
      <c r="AD6035" s="5" t="str">
        <f>IFERROR(__xludf.DUMMYFUNCTION("""COMPUTED_VALUE"""),"Sienna Beckman")</f>
        <v>Sienna Beckman</v>
      </c>
    </row>
    <row r="6036" customHeight="1" spans="30:30">
      <c r="AD6036" s="5" t="str">
        <f>IFERROR(__xludf.DUMMYFUNCTION("""COMPUTED_VALUE"""),"Glen Hansard")</f>
        <v>Glen Hansard</v>
      </c>
    </row>
    <row r="6037" customHeight="1" spans="30:30">
      <c r="AD6037" s="5" t="str">
        <f>IFERROR(__xludf.DUMMYFUNCTION("""COMPUTED_VALUE"""),"Markéta Irglová")</f>
        <v>Markéta Irglová</v>
      </c>
    </row>
    <row r="6038" customHeight="1" spans="30:30">
      <c r="AD6038" s="5" t="str">
        <f>IFERROR(__xludf.DUMMYFUNCTION("""COMPUTED_VALUE"""),"Darren Healy")</f>
        <v>Darren Healy</v>
      </c>
    </row>
    <row r="6039" customHeight="1" spans="30:30">
      <c r="AD6039" s="5" t="str">
        <f>IFERROR(__xludf.DUMMYFUNCTION("""COMPUTED_VALUE"""),"Marilyn Rising")</f>
        <v>Marilyn Rising</v>
      </c>
    </row>
    <row r="6040" customHeight="1" spans="30:30">
      <c r="AD6040" s="5" t="str">
        <f>IFERROR(__xludf.DUMMYFUNCTION("""COMPUTED_VALUE"""),"Eugene Roche")</f>
        <v>Eugene Roche</v>
      </c>
    </row>
    <row r="6041" customHeight="1" spans="30:30">
      <c r="AD6041" s="5" t="str">
        <f>IFERROR(__xludf.DUMMYFUNCTION("""COMPUTED_VALUE"""),"Max Kerstein")</f>
        <v>Max Kerstein</v>
      </c>
    </row>
    <row r="6042" customHeight="1" spans="30:30">
      <c r="AD6042" s="5" t="str">
        <f>IFERROR(__xludf.DUMMYFUNCTION("""COMPUTED_VALUE"""),"Temple Grandin")</f>
        <v>Temple Grandin</v>
      </c>
    </row>
    <row r="6043" customHeight="1" spans="30:30">
      <c r="AD6043" s="5" t="str">
        <f>IFERROR(__xludf.DUMMYFUNCTION("""COMPUTED_VALUE"""),"Rowan Isaacson")</f>
        <v>Rowan Isaacson</v>
      </c>
    </row>
    <row r="6044" customHeight="1" spans="30:30">
      <c r="AD6044" s="5" t="str">
        <f>IFERROR(__xludf.DUMMYFUNCTION("""COMPUTED_VALUE"""),"Simon Baron-Cohen")</f>
        <v>Simon Baron-Cohen</v>
      </c>
    </row>
    <row r="6045" customHeight="1" spans="30:30">
      <c r="AD6045" s="5" t="str">
        <f>IFERROR(__xludf.DUMMYFUNCTION("""COMPUTED_VALUE"""),"Alan Brent")</f>
        <v>Alan Brent</v>
      </c>
    </row>
    <row r="6046" customHeight="1" spans="30:30">
      <c r="AD6046" s="5" t="str">
        <f>IFERROR(__xludf.DUMMYFUNCTION("""COMPUTED_VALUE"""),"Martin Compston")</f>
        <v>Martin Compston</v>
      </c>
    </row>
    <row r="6047" customHeight="1" spans="30:30">
      <c r="AD6047" s="5" t="str">
        <f>IFERROR(__xludf.DUMMYFUNCTION("""COMPUTED_VALUE"""),"Kate Ashfield")</f>
        <v>Kate Ashfield</v>
      </c>
    </row>
    <row r="6048" customHeight="1" spans="30:30">
      <c r="AD6048" s="5" t="str">
        <f>IFERROR(__xludf.DUMMYFUNCTION("""COMPUTED_VALUE"""),"Joel Moody")</f>
        <v>Joel Moody</v>
      </c>
    </row>
    <row r="6049" customHeight="1" spans="30:30">
      <c r="AD6049" s="5" t="str">
        <f>IFERROR(__xludf.DUMMYFUNCTION("""COMPUTED_VALUE"""),"Bill Allen")</f>
        <v>Bill Allen</v>
      </c>
    </row>
    <row r="6050" customHeight="1" spans="30:30">
      <c r="AD6050" s="5" t="str">
        <f>IFERROR(__xludf.DUMMYFUNCTION("""COMPUTED_VALUE"""),"Lia Tucker")</f>
        <v>Lia Tucker</v>
      </c>
    </row>
    <row r="6051" customHeight="1" spans="30:30">
      <c r="AD6051" s="5" t="str">
        <f>IFERROR(__xludf.DUMMYFUNCTION("""COMPUTED_VALUE"""),"Peter Robbins")</f>
        <v>Peter Robbins</v>
      </c>
    </row>
    <row r="6052" customHeight="1" spans="30:30">
      <c r="AD6052" s="5" t="str">
        <f>IFERROR(__xludf.DUMMYFUNCTION("""COMPUTED_VALUE"""),"Christopher Shea")</f>
        <v>Christopher Shea</v>
      </c>
    </row>
    <row r="6053" customHeight="1" spans="30:30">
      <c r="AD6053" s="5" t="str">
        <f>IFERROR(__xludf.DUMMYFUNCTION("""COMPUTED_VALUE"""),"Naderev Sano")</f>
        <v>Naderev Sano</v>
      </c>
    </row>
    <row r="6054" customHeight="1" spans="30:30">
      <c r="AD6054" s="5" t="str">
        <f>IFERROR(__xludf.DUMMYFUNCTION("""COMPUTED_VALUE"""),"Hugh Ducklow")</f>
        <v>Hugh Ducklow</v>
      </c>
    </row>
    <row r="6055" customHeight="1" spans="30:30">
      <c r="AD6055" s="5" t="str">
        <f>IFERROR(__xludf.DUMMYFUNCTION("""COMPUTED_VALUE"""),"Mike Brett")</f>
        <v>Mike Brett</v>
      </c>
    </row>
    <row r="6056" customHeight="1" spans="30:30">
      <c r="AD6056" s="5" t="str">
        <f>IFERROR(__xludf.DUMMYFUNCTION("""COMPUTED_VALUE"""),"Lisa Ann")</f>
        <v>Lisa Ann</v>
      </c>
    </row>
    <row r="6057" customHeight="1" spans="30:30">
      <c r="AD6057" s="5" t="str">
        <f>IFERROR(__xludf.DUMMYFUNCTION("""COMPUTED_VALUE"""),"Jesse Jane")</f>
        <v>Jesse Jane</v>
      </c>
    </row>
    <row r="6058" customHeight="1" spans="30:30">
      <c r="AD6058" s="5" t="str">
        <f>IFERROR(__xludf.DUMMYFUNCTION("""COMPUTED_VALUE"""),"Kayden Kross")</f>
        <v>Kayden Kross</v>
      </c>
    </row>
    <row r="6059" customHeight="1" spans="30:30">
      <c r="AD6059" s="5" t="str">
        <f>IFERROR(__xludf.DUMMYFUNCTION("""COMPUTED_VALUE"""),"Ariel Hsing")</f>
        <v>Ariel Hsing</v>
      </c>
    </row>
    <row r="6060" customHeight="1" spans="30:30">
      <c r="AD6060" s="5" t="str">
        <f>IFERROR(__xludf.DUMMYFUNCTION("""COMPUTED_VALUE"""),"Xinhua Jiang")</f>
        <v>Xinhua Jiang</v>
      </c>
    </row>
    <row r="6061" customHeight="1" spans="30:30">
      <c r="AD6061" s="5" t="str">
        <f>IFERROR(__xludf.DUMMYFUNCTION("""COMPUTED_VALUE"""),"Michael Landers")</f>
        <v>Michael Landers</v>
      </c>
    </row>
    <row r="6062" customHeight="1" spans="30:30">
      <c r="AD6062" s="5" t="str">
        <f>IFERROR(__xludf.DUMMYFUNCTION("""COMPUTED_VALUE"""),"Pat Boone")</f>
        <v>Pat Boone</v>
      </c>
    </row>
    <row r="6063" customHeight="1" spans="30:30">
      <c r="AD6063" s="5" t="str">
        <f>IFERROR(__xludf.DUMMYFUNCTION("""COMPUTED_VALUE"""),"Bob Eubanks")</f>
        <v>Bob Eubanks</v>
      </c>
    </row>
    <row r="6064" customHeight="1" spans="30:30">
      <c r="AD6064" s="5" t="str">
        <f>IFERROR(__xludf.DUMMYFUNCTION("""COMPUTED_VALUE"""),"J.D. Williams")</f>
        <v>J.D. Williams</v>
      </c>
    </row>
    <row r="6065" customHeight="1" spans="30:30">
      <c r="AD6065" s="5" t="str">
        <f>IFERROR(__xludf.DUMMYFUNCTION("""COMPUTED_VALUE"""),"Hassan Johnson")</f>
        <v>Hassan Johnson</v>
      </c>
    </row>
    <row r="6066" customHeight="1" spans="30:30">
      <c r="AD6066" s="5" t="str">
        <f>IFERROR(__xludf.DUMMYFUNCTION("""COMPUTED_VALUE"""),"Samantha Esteban")</f>
        <v>Samantha Esteban</v>
      </c>
    </row>
    <row r="6067" customHeight="1" spans="30:30">
      <c r="AD6067" s="5" t="str">
        <f>IFERROR(__xludf.DUMMYFUNCTION("""COMPUTED_VALUE"""),"Constance Wu")</f>
        <v>Constance Wu</v>
      </c>
    </row>
    <row r="6068" customHeight="1" spans="30:30">
      <c r="AD6068" s="5" t="str">
        <f>IFERROR(__xludf.DUMMYFUNCTION("""COMPUTED_VALUE"""),"Mike Birbiglia")</f>
        <v>Mike Birbiglia</v>
      </c>
    </row>
    <row r="6069" customHeight="1" spans="30:30">
      <c r="AD6069" s="5" t="str">
        <f>IFERROR(__xludf.DUMMYFUNCTION("""COMPUTED_VALUE"""),"Mel Eslyn")</f>
        <v>Mel Eslyn</v>
      </c>
    </row>
    <row r="6070" customHeight="1" spans="30:30">
      <c r="AD6070" s="5" t="str">
        <f>IFERROR(__xludf.DUMMYFUNCTION("""COMPUTED_VALUE"""),"Diane Sorrentino")</f>
        <v>Diane Sorrentino</v>
      </c>
    </row>
    <row r="6071" customHeight="1" spans="30:30">
      <c r="AD6071" s="5" t="str">
        <f>IFERROR(__xludf.DUMMYFUNCTION("""COMPUTED_VALUE"""),"Valentine")</f>
        <v>Valentine</v>
      </c>
    </row>
    <row r="6072" customHeight="1" spans="30:30">
      <c r="AD6072" s="5" t="str">
        <f>IFERROR(__xludf.DUMMYFUNCTION("""COMPUTED_VALUE"""),"Philippe Leroy")</f>
        <v>Philippe Leroy</v>
      </c>
    </row>
    <row r="6073" customHeight="1" spans="30:30">
      <c r="AD6073" s="5" t="str">
        <f>IFERROR(__xludf.DUMMYFUNCTION("""COMPUTED_VALUE"""),"Macha Méril")</f>
        <v>Macha Méril</v>
      </c>
    </row>
    <row r="6074" customHeight="1" spans="30:30">
      <c r="AD6074" s="5" t="str">
        <f>IFERROR(__xludf.DUMMYFUNCTION("""COMPUTED_VALUE"""),"Rita Maiden")</f>
        <v>Rita Maiden</v>
      </c>
    </row>
    <row r="6075" customHeight="1" spans="30:30">
      <c r="AD6075" s="5" t="str">
        <f>IFERROR(__xludf.DUMMYFUNCTION("""COMPUTED_VALUE"""),"Jason Stuart")</f>
        <v>Jason Stuart</v>
      </c>
    </row>
    <row r="6076" customHeight="1" spans="30:30">
      <c r="AD6076" s="5" t="str">
        <f>IFERROR(__xludf.DUMMYFUNCTION("""COMPUTED_VALUE"""),"Richard Moll")</f>
        <v>Richard Moll</v>
      </c>
    </row>
    <row r="6077" customHeight="1" spans="30:30">
      <c r="AD6077" s="5" t="str">
        <f>IFERROR(__xludf.DUMMYFUNCTION("""COMPUTED_VALUE"""),"Christopher Robin Miller")</f>
        <v>Christopher Robin Miller</v>
      </c>
    </row>
    <row r="6078" customHeight="1" spans="30:30">
      <c r="AD6078" s="5" t="str">
        <f>IFERROR(__xludf.DUMMYFUNCTION("""COMPUTED_VALUE"""),"Shannen Fields")</f>
        <v>Shannen Fields</v>
      </c>
    </row>
    <row r="6079" customHeight="1" spans="30:30">
      <c r="AD6079" s="5" t="str">
        <f>IFERROR(__xludf.DUMMYFUNCTION("""COMPUTED_VALUE"""),"Pfeifer Brown")</f>
        <v>Pfeifer Brown</v>
      </c>
    </row>
    <row r="6080" customHeight="1" spans="30:30">
      <c r="AD6080" s="5" t="str">
        <f>IFERROR(__xludf.DUMMYFUNCTION("""COMPUTED_VALUE"""),"Cassidy Gifford")</f>
        <v>Cassidy Gifford</v>
      </c>
    </row>
    <row r="6081" customHeight="1" spans="30:30">
      <c r="AD6081" s="5" t="str">
        <f>IFERROR(__xludf.DUMMYFUNCTION("""COMPUTED_VALUE"""),"Reese Mishler")</f>
        <v>Reese Mishler</v>
      </c>
    </row>
    <row r="6082" customHeight="1" spans="30:30">
      <c r="AD6082" s="5" t="str">
        <f>IFERROR(__xludf.DUMMYFUNCTION("""COMPUTED_VALUE"""),"Jack Nance")</f>
        <v>Jack Nance</v>
      </c>
    </row>
    <row r="6083" customHeight="1" spans="30:30">
      <c r="AD6083" s="5" t="str">
        <f>IFERROR(__xludf.DUMMYFUNCTION("""COMPUTED_VALUE"""),"Charlotte Stewart")</f>
        <v>Charlotte Stewart</v>
      </c>
    </row>
    <row r="6084" customHeight="1" spans="30:30">
      <c r="AD6084" s="5" t="str">
        <f>IFERROR(__xludf.DUMMYFUNCTION("""COMPUTED_VALUE"""),"Stephen Carr")</f>
        <v>Stephen Carr</v>
      </c>
    </row>
    <row r="6085" customHeight="1" spans="30:30">
      <c r="AD6085" s="5" t="str">
        <f>IFERROR(__xludf.DUMMYFUNCTION("""COMPUTED_VALUE"""),"Johnnie Walker")</f>
        <v>Johnnie Walker</v>
      </c>
    </row>
    <row r="6086" customHeight="1" spans="30:30">
      <c r="AD6086" s="5" t="str">
        <f>IFERROR(__xludf.DUMMYFUNCTION("""COMPUTED_VALUE"""),"Mary Carr")</f>
        <v>Mary Carr</v>
      </c>
    </row>
    <row r="6087" customHeight="1" spans="30:30">
      <c r="AD6087" s="5" t="str">
        <f>IFERROR(__xludf.DUMMYFUNCTION("""COMPUTED_VALUE"""),"Leon Isaac Kennedy")</f>
        <v>Leon Isaac Kennedy</v>
      </c>
    </row>
    <row r="6088" customHeight="1" spans="30:30">
      <c r="AD6088" s="5" t="str">
        <f>IFERROR(__xludf.DUMMYFUNCTION("""COMPUTED_VALUE"""),"Chuck Mitchell")</f>
        <v>Chuck Mitchell</v>
      </c>
    </row>
    <row r="6089" customHeight="1" spans="30:30">
      <c r="AD6089" s="5" t="str">
        <f>IFERROR(__xludf.DUMMYFUNCTION("""COMPUTED_VALUE"""),"Wilbur 'Hi-Fi' White")</f>
        <v>Wilbur 'Hi-Fi' White</v>
      </c>
    </row>
    <row r="6090" customHeight="1" spans="30:30">
      <c r="AD6090" s="5" t="str">
        <f>IFERROR(__xludf.DUMMYFUNCTION("""COMPUTED_VALUE"""),"Fay Masterson")</f>
        <v>Fay Masterson</v>
      </c>
    </row>
    <row r="6091" customHeight="1" spans="30:30">
      <c r="AD6091" s="5" t="str">
        <f>IFERROR(__xludf.DUMMYFUNCTION("""COMPUTED_VALUE"""),"Brian Howe")</f>
        <v>Brian Howe</v>
      </c>
    </row>
    <row r="6092" customHeight="1" spans="30:30">
      <c r="AD6092" s="5" t="str">
        <f>IFERROR(__xludf.DUMMYFUNCTION("""COMPUTED_VALUE"""),"Larry Blamire")</f>
        <v>Larry Blamire</v>
      </c>
    </row>
    <row r="6093" customHeight="1" spans="30:30">
      <c r="AD6093" s="5" t="str">
        <f>IFERROR(__xludf.DUMMYFUNCTION("""COMPUTED_VALUE"""),"Kevin P. Farley")</f>
        <v>Kevin P. Farley</v>
      </c>
    </row>
    <row r="6094" customHeight="1" spans="30:30">
      <c r="AD6094" s="5" t="str">
        <f>IFERROR(__xludf.DUMMYFUNCTION("""COMPUTED_VALUE"""),"Gabriela Castillo")</f>
        <v>Gabriela Castillo</v>
      </c>
    </row>
    <row r="6095" customHeight="1" spans="30:30">
      <c r="AD6095" s="5" t="str">
        <f>IFERROR(__xludf.DUMMYFUNCTION("""COMPUTED_VALUE"""),"Brandon Middleton")</f>
        <v>Brandon Middleton</v>
      </c>
    </row>
    <row r="6096" customHeight="1" spans="30:30">
      <c r="AD6096" s="5" t="str">
        <f>IFERROR(__xludf.DUMMYFUNCTION("""COMPUTED_VALUE"""),"Elissa Dowling")</f>
        <v>Elissa Dowling</v>
      </c>
    </row>
    <row r="6097" customHeight="1" spans="30:30">
      <c r="AD6097" s="5" t="str">
        <f>IFERROR(__xludf.DUMMYFUNCTION("""COMPUTED_VALUE"""),"Jonathan Blow")</f>
        <v>Jonathan Blow</v>
      </c>
    </row>
    <row r="6098" customHeight="1" spans="30:30">
      <c r="AD6098" s="5" t="str">
        <f>IFERROR(__xludf.DUMMYFUNCTION("""COMPUTED_VALUE"""),"Edmund McMillen")</f>
        <v>Edmund McMillen</v>
      </c>
    </row>
    <row r="6099" customHeight="1" spans="30:30">
      <c r="AD6099" s="5" t="str">
        <f>IFERROR(__xludf.DUMMYFUNCTION("""COMPUTED_VALUE"""),"Phil Fish")</f>
        <v>Phil Fish</v>
      </c>
    </row>
    <row r="6100" customHeight="1" spans="30:30">
      <c r="AD6100" s="5" t="str">
        <f>IFERROR(__xludf.DUMMYFUNCTION("""COMPUTED_VALUE"""),"Adam Rayner")</f>
        <v>Adam Rayner</v>
      </c>
    </row>
    <row r="6101" customHeight="1" spans="30:30">
      <c r="AD6101" s="5" t="str">
        <f>IFERROR(__xludf.DUMMYFUNCTION("""COMPUTED_VALUE"""),"Sheldon Leonard")</f>
        <v>Sheldon Leonard</v>
      </c>
    </row>
    <row r="6102" customHeight="1" spans="30:30">
      <c r="AD6102" s="5" t="str">
        <f>IFERROR(__xludf.DUMMYFUNCTION("""COMPUTED_VALUE"""),"Arthur O'Connell")</f>
        <v>Arthur O'Connell</v>
      </c>
    </row>
    <row r="6103" customHeight="1" spans="30:30">
      <c r="AD6103" s="5" t="str">
        <f>IFERROR(__xludf.DUMMYFUNCTION("""COMPUTED_VALUE"""),"Claire Gordon-Harper")</f>
        <v>Claire Gordon-Harper</v>
      </c>
    </row>
    <row r="6104" customHeight="1" spans="30:30">
      <c r="AD6104" s="5" t="str">
        <f>IFERROR(__xludf.DUMMYFUNCTION("""COMPUTED_VALUE"""),"Hugh Mun")</f>
        <v>Hugh Mun</v>
      </c>
    </row>
    <row r="6105" customHeight="1" spans="30:30">
      <c r="AD6105" s="5" t="str">
        <f>IFERROR(__xludf.DUMMYFUNCTION("""COMPUTED_VALUE"""),"Johnathan Hurley")</f>
        <v>Johnathan Hurley</v>
      </c>
    </row>
    <row r="6106" customHeight="1" spans="30:30">
      <c r="AD6106" s="5" t="str">
        <f>IFERROR(__xludf.DUMMYFUNCTION("""COMPUTED_VALUE"""),"Trevor Howard")</f>
        <v>Trevor Howard</v>
      </c>
    </row>
    <row r="6107" customHeight="1" spans="30:30">
      <c r="AD6107" s="5" t="str">
        <f>IFERROR(__xludf.DUMMYFUNCTION("""COMPUTED_VALUE"""),"Andrew Keir")</f>
        <v>Andrew Keir</v>
      </c>
    </row>
    <row r="6108" customHeight="1" spans="30:30">
      <c r="AD6108" s="5" t="str">
        <f>IFERROR(__xludf.DUMMYFUNCTION("""COMPUTED_VALUE"""),"Jon Brion")</f>
        <v>Jon Brion</v>
      </c>
    </row>
    <row r="6109" customHeight="1" spans="30:30">
      <c r="AD6109" s="5" t="str">
        <f>IFERROR(__xludf.DUMMYFUNCTION("""COMPUTED_VALUE"""),"Dottie Alexander")</f>
        <v>Dottie Alexander</v>
      </c>
    </row>
    <row r="6110" customHeight="1" spans="30:30">
      <c r="AD6110" s="5" t="str">
        <f>IFERROR(__xludf.DUMMYFUNCTION("""COMPUTED_VALUE"""),"David Barnes")</f>
        <v>David Barnes</v>
      </c>
    </row>
    <row r="6111" customHeight="1" spans="30:30">
      <c r="AD6111" s="5" t="str">
        <f>IFERROR(__xludf.DUMMYFUNCTION("""COMPUTED_VALUE"""),"Seth Ackerman")</f>
        <v>Seth Ackerman</v>
      </c>
    </row>
    <row r="6112" customHeight="1" spans="30:30">
      <c r="AD6112" s="5" t="str">
        <f>IFERROR(__xludf.DUMMYFUNCTION("""COMPUTED_VALUE"""),"Arik Ascherman")</f>
        <v>Arik Ascherman</v>
      </c>
    </row>
    <row r="6113" customHeight="1" spans="30:30">
      <c r="AD6113" s="5" t="str">
        <f>IFERROR(__xludf.DUMMYFUNCTION("""COMPUTED_VALUE"""),"Clint Mansell")</f>
        <v>Clint Mansell</v>
      </c>
    </row>
    <row r="6114" customHeight="1" spans="30:30">
      <c r="AD6114" s="5" t="str">
        <f>IFERROR(__xludf.DUMMYFUNCTION("""COMPUTED_VALUE"""),"Stanley B. Herman")</f>
        <v>Stanley B. Herman</v>
      </c>
    </row>
    <row r="6115" customHeight="1" spans="30:30">
      <c r="AD6115" s="5" t="str">
        <f>IFERROR(__xludf.DUMMYFUNCTION("""COMPUTED_VALUE"""),"Meredith Scott Lynn")</f>
        <v>Meredith Scott Lynn</v>
      </c>
    </row>
    <row r="6116" customHeight="1" spans="30:30">
      <c r="AD6116" s="5" t="str">
        <f>IFERROR(__xludf.DUMMYFUNCTION("""COMPUTED_VALUE"""),"Tim DeZarn")</f>
        <v>Tim DeZarn</v>
      </c>
    </row>
    <row r="6117" customHeight="1" spans="30:30">
      <c r="AD6117" s="5" t="str">
        <f>IFERROR(__xludf.DUMMYFUNCTION("""COMPUTED_VALUE"""),"Tom Ardavany")</f>
        <v>Tom Ardavany</v>
      </c>
    </row>
    <row r="6118" customHeight="1" spans="30:30">
      <c r="AD6118" s="5" t="str">
        <f>IFERROR(__xludf.DUMMYFUNCTION("""COMPUTED_VALUE"""),"Robert McKee")</f>
        <v>Robert McKee</v>
      </c>
    </row>
    <row r="6119" customHeight="1" spans="30:30">
      <c r="AD6119" s="5" t="str">
        <f>IFERROR(__xludf.DUMMYFUNCTION("""COMPUTED_VALUE"""),"Michelle Simone Miller")</f>
        <v>Michelle Simone Miller</v>
      </c>
    </row>
    <row r="6120" customHeight="1" spans="30:30">
      <c r="AD6120" s="5" t="str">
        <f>IFERROR(__xludf.DUMMYFUNCTION("""COMPUTED_VALUE"""),"Steve Diasparra")</f>
        <v>Steve Diasparra</v>
      </c>
    </row>
    <row r="6121" customHeight="1" spans="30:30">
      <c r="AD6121" s="5" t="str">
        <f>IFERROR(__xludf.DUMMYFUNCTION("""COMPUTED_VALUE"""),"A.J. DeLucia")</f>
        <v>A.J. DeLucia</v>
      </c>
    </row>
    <row r="6122" customHeight="1" spans="30:30">
      <c r="AD6122" s="5" t="str">
        <f>IFERROR(__xludf.DUMMYFUNCTION("""COMPUTED_VALUE"""),"Chemeeka Walker")</f>
        <v>Chemeeka Walker</v>
      </c>
    </row>
    <row r="6123" customHeight="1" spans="30:30">
      <c r="AD6123" s="5" t="str">
        <f>IFERROR(__xludf.DUMMYFUNCTION("""COMPUTED_VALUE"""),"Amanda Kearsan")</f>
        <v>Amanda Kearsan</v>
      </c>
    </row>
    <row r="6124" customHeight="1" spans="30:30">
      <c r="AD6124" s="5" t="str">
        <f>IFERROR(__xludf.DUMMYFUNCTION("""COMPUTED_VALUE"""),"Amelia Giancarlo")</f>
        <v>Amelia Giancarlo</v>
      </c>
    </row>
    <row r="6125" customHeight="1" spans="30:30">
      <c r="AD6125" s="5" t="str">
        <f>IFERROR(__xludf.DUMMYFUNCTION("""COMPUTED_VALUE"""),"Sean Whalen")</f>
        <v>Sean Whalen</v>
      </c>
    </row>
    <row r="6126" customHeight="1" spans="30:30">
      <c r="AD6126" s="5" t="str">
        <f>IFERROR(__xludf.DUMMYFUNCTION("""COMPUTED_VALUE"""),"James DeBello")</f>
        <v>James DeBello</v>
      </c>
    </row>
    <row r="6127" customHeight="1" spans="30:30">
      <c r="AD6127" s="5" t="str">
        <f>IFERROR(__xludf.DUMMYFUNCTION("""COMPUTED_VALUE"""),"Virginia Leith")</f>
        <v>Virginia Leith</v>
      </c>
    </row>
    <row r="6128" customHeight="1" spans="30:30">
      <c r="AD6128" s="5" t="str">
        <f>IFERROR(__xludf.DUMMYFUNCTION("""COMPUTED_VALUE"""),"Jason Evers")</f>
        <v>Jason Evers</v>
      </c>
    </row>
    <row r="6129" customHeight="1" spans="30:30">
      <c r="AD6129" s="5" t="str">
        <f>IFERROR(__xludf.DUMMYFUNCTION("""COMPUTED_VALUE"""),"Bruce Kerr")</f>
        <v>Bruce Kerr</v>
      </c>
    </row>
    <row r="6130" customHeight="1" spans="30:30">
      <c r="AD6130" s="5" t="str">
        <f>IFERROR(__xludf.DUMMYFUNCTION("""COMPUTED_VALUE"""),"Ty Parker")</f>
        <v>Ty Parker</v>
      </c>
    </row>
    <row r="6131" customHeight="1" spans="30:30">
      <c r="AD6131" s="5" t="str">
        <f>IFERROR(__xludf.DUMMYFUNCTION("""COMPUTED_VALUE"""),"Vincent Duvall")</f>
        <v>Vincent Duvall</v>
      </c>
    </row>
    <row r="6132" customHeight="1" spans="30:30">
      <c r="AD6132" s="5" t="str">
        <f>IFERROR(__xludf.DUMMYFUNCTION("""COMPUTED_VALUE"""),"Loanne Bishop")</f>
        <v>Loanne Bishop</v>
      </c>
    </row>
    <row r="6133" customHeight="1" spans="30:30">
      <c r="AD6133" s="5" t="str">
        <f>IFERROR(__xludf.DUMMYFUNCTION("""COMPUTED_VALUE"""),"Justin Gordon")</f>
        <v>Justin Gordon</v>
      </c>
    </row>
    <row r="6134" customHeight="1" spans="30:30">
      <c r="AD6134" s="5" t="str">
        <f>IFERROR(__xludf.DUMMYFUNCTION("""COMPUTED_VALUE"""),"Courtney Bell")</f>
        <v>Courtney Bell</v>
      </c>
    </row>
    <row r="6135" customHeight="1" spans="30:30">
      <c r="AD6135" s="5" t="str">
        <f>IFERROR(__xludf.DUMMYFUNCTION("""COMPUTED_VALUE"""),"Erin Cipolletti")</f>
        <v>Erin Cipolletti</v>
      </c>
    </row>
    <row r="6136" customHeight="1" spans="30:30">
      <c r="AD6136" s="5" t="str">
        <f>IFERROR(__xludf.DUMMYFUNCTION("""COMPUTED_VALUE"""),"Shari Albert")</f>
        <v>Shari Albert</v>
      </c>
    </row>
    <row r="6137" customHeight="1" spans="30:30">
      <c r="AD6137" s="5" t="str">
        <f>IFERROR(__xludf.DUMMYFUNCTION("""COMPUTED_VALUE"""),"Maxine Bahns")</f>
        <v>Maxine Bahns</v>
      </c>
    </row>
    <row r="6138" customHeight="1" spans="30:30">
      <c r="AD6138" s="5" t="str">
        <f>IFERROR(__xludf.DUMMYFUNCTION("""COMPUTED_VALUE"""),"Paul Daniel Ayotte")</f>
        <v>Paul Daniel Ayotte</v>
      </c>
    </row>
    <row r="6139" customHeight="1" spans="30:30">
      <c r="AD6139" s="5" t="str">
        <f>IFERROR(__xludf.DUMMYFUNCTION("""COMPUTED_VALUE"""),"Shailene Garnett")</f>
        <v>Shailene Garnett</v>
      </c>
    </row>
    <row r="6140" customHeight="1" spans="30:30">
      <c r="AD6140" s="5" t="str">
        <f>IFERROR(__xludf.DUMMYFUNCTION("""COMPUTED_VALUE"""),"Matt Johnson")</f>
        <v>Matt Johnson</v>
      </c>
    </row>
    <row r="6141" customHeight="1" spans="30:30">
      <c r="AD6141" s="5" t="str">
        <f>IFERROR(__xludf.DUMMYFUNCTION("""COMPUTED_VALUE"""),"Marcello Mastroianni")</f>
        <v>Marcello Mastroianni</v>
      </c>
    </row>
    <row r="6142" customHeight="1" spans="30:30">
      <c r="AD6142" s="5" t="str">
        <f>IFERROR(__xludf.DUMMYFUNCTION("""COMPUTED_VALUE"""),"Joffre Soares")</f>
        <v>Joffre Soares</v>
      </c>
    </row>
    <row r="6143" customHeight="1" spans="30:30">
      <c r="AD6143" s="5" t="str">
        <f>IFERROR(__xludf.DUMMYFUNCTION("""COMPUTED_VALUE"""),"Jemima Kirke")</f>
        <v>Jemima Kirke</v>
      </c>
    </row>
    <row r="6144" customHeight="1" spans="30:30">
      <c r="AD6144" s="5" t="str">
        <f>IFERROR(__xludf.DUMMYFUNCTION("""COMPUTED_VALUE"""),"Jeremy Sande")</f>
        <v>Jeremy Sande</v>
      </c>
    </row>
    <row r="6145" customHeight="1" spans="30:30">
      <c r="AD6145" s="5" t="str">
        <f>IFERROR(__xludf.DUMMYFUNCTION("""COMPUTED_VALUE"""),"Corlandos Scott")</f>
        <v>Corlandos Scott</v>
      </c>
    </row>
    <row r="6146" customHeight="1" spans="30:30">
      <c r="AD6146" s="5" t="str">
        <f>IFERROR(__xludf.DUMMYFUNCTION("""COMPUTED_VALUE"""),"Chelse Swain")</f>
        <v>Chelse Swain</v>
      </c>
    </row>
    <row r="6147" customHeight="1" spans="30:30">
      <c r="AD6147" s="5" t="str">
        <f>IFERROR(__xludf.DUMMYFUNCTION("""COMPUTED_VALUE"""),"Amanda MacDonald")</f>
        <v>Amanda MacDonald</v>
      </c>
    </row>
    <row r="6148" customHeight="1" spans="30:30">
      <c r="AD6148" s="5" t="str">
        <f>IFERROR(__xludf.DUMMYFUNCTION("""COMPUTED_VALUE"""),"Dan Novy")</f>
        <v>Dan Novy</v>
      </c>
    </row>
    <row r="6149" customHeight="1" spans="30:30">
      <c r="AD6149" s="5" t="str">
        <f>IFERROR(__xludf.DUMMYFUNCTION("""COMPUTED_VALUE"""),"David Mersault")</f>
        <v>David Mersault</v>
      </c>
    </row>
    <row r="6150" customHeight="1" spans="30:30">
      <c r="AD6150" s="5" t="str">
        <f>IFERROR(__xludf.DUMMYFUNCTION("""COMPUTED_VALUE"""),"Barry Lynch")</f>
        <v>Barry Lynch</v>
      </c>
    </row>
    <row r="6151" customHeight="1" spans="30:30">
      <c r="AD6151" s="5" t="str">
        <f>IFERROR(__xludf.DUMMYFUNCTION("""COMPUTED_VALUE"""),"Chris 'Wonder' Schoeck")</f>
        <v>Chris 'Wonder' Schoeck</v>
      </c>
    </row>
    <row r="6152" customHeight="1" spans="30:30">
      <c r="AD6152" s="5" t="str">
        <f>IFERROR(__xludf.DUMMYFUNCTION("""COMPUTED_VALUE"""),"Olivia Cooke")</f>
        <v>Olivia Cooke</v>
      </c>
    </row>
    <row r="6153" customHeight="1" spans="30:30">
      <c r="AD6153" s="5" t="str">
        <f>IFERROR(__xludf.DUMMYFUNCTION("""COMPUTED_VALUE"""),"Beau Knapp")</f>
        <v>Beau Knapp</v>
      </c>
    </row>
    <row r="6154" customHeight="1" spans="30:30">
      <c r="AD6154" s="5" t="str">
        <f>IFERROR(__xludf.DUMMYFUNCTION("""COMPUTED_VALUE"""),"Taliesin Jaffe")</f>
        <v>Taliesin Jaffe</v>
      </c>
    </row>
    <row r="6155" customHeight="1" spans="30:30">
      <c r="AD6155" s="5" t="str">
        <f>IFERROR(__xludf.DUMMYFUNCTION("""COMPUTED_VALUE"""),"Greg Aronowitz")</f>
        <v>Greg Aronowitz</v>
      </c>
    </row>
    <row r="6156" customHeight="1" spans="30:30">
      <c r="AD6156" s="5" t="str">
        <f>IFERROR(__xludf.DUMMYFUNCTION("""COMPUTED_VALUE"""),"Jeff Dowd")</f>
        <v>Jeff Dowd</v>
      </c>
    </row>
    <row r="6157" customHeight="1" spans="30:30">
      <c r="AD6157" s="5" t="str">
        <f>IFERROR(__xludf.DUMMYFUNCTION("""COMPUTED_VALUE"""),"Jan Haley")</f>
        <v>Jan Haley</v>
      </c>
    </row>
    <row r="6158" customHeight="1" spans="30:30">
      <c r="AD6158" s="5" t="str">
        <f>IFERROR(__xludf.DUMMYFUNCTION("""COMPUTED_VALUE"""),"Paul Eenhoorn")</f>
        <v>Paul Eenhoorn</v>
      </c>
    </row>
    <row r="6159" customHeight="1" spans="30:30">
      <c r="AD6159" s="5" t="str">
        <f>IFERROR(__xludf.DUMMYFUNCTION("""COMPUTED_VALUE"""),"Demetrius Grosse")</f>
        <v>Demetrius Grosse</v>
      </c>
    </row>
    <row r="6160" customHeight="1" spans="30:30">
      <c r="AD6160" s="5" t="str">
        <f>IFERROR(__xludf.DUMMYFUNCTION("""COMPUTED_VALUE"""),"Kelen Coleman")</f>
        <v>Kelen Coleman</v>
      </c>
    </row>
    <row r="6161" customHeight="1" spans="30:30">
      <c r="AD6161" s="5" t="str">
        <f>IFERROR(__xludf.DUMMYFUNCTION("""COMPUTED_VALUE"""),"Damian Jewan Lee")</f>
        <v>Damian Jewan Lee</v>
      </c>
    </row>
    <row r="6162" customHeight="1" spans="30:30">
      <c r="AD6162" s="5" t="str">
        <f>IFERROR(__xludf.DUMMYFUNCTION("""COMPUTED_VALUE"""),"Derick Martini")</f>
        <v>Derick Martini</v>
      </c>
    </row>
    <row r="6163" customHeight="1" spans="30:30">
      <c r="AD6163" s="5" t="str">
        <f>IFERROR(__xludf.DUMMYFUNCTION("""COMPUTED_VALUE"""),"Christa Miller")</f>
        <v>Christa Miller</v>
      </c>
    </row>
    <row r="6164" customHeight="1" spans="30:30">
      <c r="AD6164" s="5" t="str">
        <f>IFERROR(__xludf.DUMMYFUNCTION("""COMPUTED_VALUE"""),"Ion Overman")</f>
        <v>Ion Overman</v>
      </c>
    </row>
    <row r="6165" customHeight="1" spans="30:30">
      <c r="AD6165" s="5" t="str">
        <f>IFERROR(__xludf.DUMMYFUNCTION("""COMPUTED_VALUE"""),"Johnny Walter")</f>
        <v>Johnny Walter</v>
      </c>
    </row>
    <row r="6166" customHeight="1" spans="30:30">
      <c r="AD6166" s="5" t="str">
        <f>IFERROR(__xludf.DUMMYFUNCTION("""COMPUTED_VALUE"""),"Shiree Nelson")</f>
        <v>Shiree Nelson</v>
      </c>
    </row>
    <row r="6167" customHeight="1" spans="30:30">
      <c r="AD6167" s="5" t="str">
        <f>IFERROR(__xludf.DUMMYFUNCTION("""COMPUTED_VALUE"""),"Patricia Raven")</f>
        <v>Patricia Raven</v>
      </c>
    </row>
    <row r="6168" customHeight="1" spans="30:30">
      <c r="AD6168" s="5" t="str">
        <f>IFERROR(__xludf.DUMMYFUNCTION("""COMPUTED_VALUE"""),"Lindsay Felton")</f>
        <v>Lindsay Felton</v>
      </c>
    </row>
    <row r="6169" customHeight="1" spans="30:30">
      <c r="AD6169" s="5" t="str">
        <f>IFERROR(__xludf.DUMMYFUNCTION("""COMPUTED_VALUE"""),"Julianne Gabert")</f>
        <v>Julianne Gabert</v>
      </c>
    </row>
    <row r="6170" customHeight="1" spans="30:30">
      <c r="AD6170" s="5" t="str">
        <f>IFERROR(__xludf.DUMMYFUNCTION("""COMPUTED_VALUE"""),"Thomas Brophy")</f>
        <v>Thomas Brophy</v>
      </c>
    </row>
    <row r="6171" customHeight="1" spans="30:30">
      <c r="AD6171" s="5" t="str">
        <f>IFERROR(__xludf.DUMMYFUNCTION("""COMPUTED_VALUE"""),"Ronee Collins")</f>
        <v>Ronee Collins</v>
      </c>
    </row>
    <row r="6172" customHeight="1" spans="30:30">
      <c r="AD6172" s="5" t="str">
        <f>IFERROR(__xludf.DUMMYFUNCTION("""COMPUTED_VALUE"""),"Jordan Scovel")</f>
        <v>Jordan Scovel</v>
      </c>
    </row>
    <row r="6173" customHeight="1" spans="30:30">
      <c r="AD6173" s="5" t="str">
        <f>IFERROR(__xludf.DUMMYFUNCTION("""COMPUTED_VALUE"""),"Joseph Campanella")</f>
        <v>Joseph Campanella</v>
      </c>
    </row>
    <row r="6174" customHeight="1" spans="30:30">
      <c r="AD6174" s="5" t="str">
        <f>IFERROR(__xludf.DUMMYFUNCTION("""COMPUTED_VALUE"""),"Kirpatrick Thomas")</f>
        <v>Kirpatrick Thomas</v>
      </c>
    </row>
    <row r="6175" customHeight="1" spans="30:30">
      <c r="AD6175" s="5" t="str">
        <f>IFERROR(__xludf.DUMMYFUNCTION("""COMPUTED_VALUE"""),"Christian Anderson")</f>
        <v>Christian Anderson</v>
      </c>
    </row>
    <row r="6176" customHeight="1" spans="30:30">
      <c r="AD6176" s="5" t="str">
        <f>IFERROR(__xludf.DUMMYFUNCTION("""COMPUTED_VALUE"""),"Andrew Bujalski")</f>
        <v>Andrew Bujalski</v>
      </c>
    </row>
    <row r="6177" customHeight="1" spans="30:30">
      <c r="AD6177" s="5" t="str">
        <f>IFERROR(__xludf.DUMMYFUNCTION("""COMPUTED_VALUE"""),"Kate Dollenmayer")</f>
        <v>Kate Dollenmayer</v>
      </c>
    </row>
    <row r="6178" customHeight="1" spans="30:30">
      <c r="AD6178" s="5" t="str">
        <f>IFERROR(__xludf.DUMMYFUNCTION("""COMPUTED_VALUE"""),"Justin Rice")</f>
        <v>Justin Rice</v>
      </c>
    </row>
    <row r="6179" customHeight="1" spans="30:30">
      <c r="AD6179" s="5" t="str">
        <f>IFERROR(__xludf.DUMMYFUNCTION("""COMPUTED_VALUE"""),"Nichole Ceballos")</f>
        <v>Nichole Ceballos</v>
      </c>
    </row>
    <row r="6180" customHeight="1" spans="30:30">
      <c r="AD6180" s="5" t="str">
        <f>IFERROR(__xludf.DUMMYFUNCTION("""COMPUTED_VALUE"""),"Ron Gelner")</f>
        <v>Ron Gelner</v>
      </c>
    </row>
    <row r="6181" customHeight="1" spans="30:30">
      <c r="AD6181" s="5" t="str">
        <f>IFERROR(__xludf.DUMMYFUNCTION("""COMPUTED_VALUE"""),"Parker Riggs")</f>
        <v>Parker Riggs</v>
      </c>
    </row>
    <row r="6182" customHeight="1" spans="30:30">
      <c r="AD6182" s="5" t="str">
        <f>IFERROR(__xludf.DUMMYFUNCTION("""COMPUTED_VALUE"""),"Tony Way")</f>
        <v>Tony Way</v>
      </c>
    </row>
    <row r="6183" customHeight="1" spans="30:30">
      <c r="AD6183" s="5" t="str">
        <f>IFERROR(__xludf.DUMMYFUNCTION("""COMPUTED_VALUE"""),"David Schaal")</f>
        <v>David Schaal</v>
      </c>
    </row>
    <row r="6184" customHeight="1" spans="30:30">
      <c r="AD6184" s="5" t="str">
        <f>IFERROR(__xludf.DUMMYFUNCTION("""COMPUTED_VALUE"""),"Don Brooks")</f>
        <v>Don Brooks</v>
      </c>
    </row>
    <row r="6185" customHeight="1" spans="30:30">
      <c r="AD6185" s="5" t="str">
        <f>IFERROR(__xludf.DUMMYFUNCTION("""COMPUTED_VALUE"""),"Bobby Kendall")</f>
        <v>Bobby Kendall</v>
      </c>
    </row>
    <row r="6186" customHeight="1" spans="30:30">
      <c r="AD6186" s="5" t="str">
        <f>IFERROR(__xludf.DUMMYFUNCTION("""COMPUTED_VALUE"""),"Stacy Edwards")</f>
        <v>Stacy Edwards</v>
      </c>
    </row>
    <row r="6187" customHeight="1" spans="30:30">
      <c r="AD6187" s="5" t="str">
        <f>IFERROR(__xludf.DUMMYFUNCTION("""COMPUTED_VALUE"""),"Jason Dixie")</f>
        <v>Jason Dixie</v>
      </c>
    </row>
    <row r="6188" customHeight="1" spans="30:30">
      <c r="AD6188" s="5" t="str">
        <f>IFERROR(__xludf.DUMMYFUNCTION("""COMPUTED_VALUE"""),"Panchito Gómez")</f>
        <v>Panchito Gómez</v>
      </c>
    </row>
    <row r="6189" customHeight="1" spans="30:30">
      <c r="AD6189" s="5" t="str">
        <f>IFERROR(__xludf.DUMMYFUNCTION("""COMPUTED_VALUE"""),"Casper Martinez")</f>
        <v>Casper Martinez</v>
      </c>
    </row>
    <row r="6190" customHeight="1" spans="30:30">
      <c r="AD6190" s="5" t="str">
        <f>IFERROR(__xludf.DUMMYFUNCTION("""COMPUTED_VALUE"""),"Tommy Pallotta")</f>
        <v>Tommy Pallotta</v>
      </c>
    </row>
    <row r="6191" customHeight="1" spans="30:30">
      <c r="AD6191" s="5" t="str">
        <f>IFERROR(__xludf.DUMMYFUNCTION("""COMPUTED_VALUE"""),"Richard Linklater")</f>
        <v>Richard Linklater</v>
      </c>
    </row>
    <row r="6192" customHeight="1" spans="30:30">
      <c r="AD6192" s="5" t="str">
        <f>IFERROR(__xludf.DUMMYFUNCTION("""COMPUTED_VALUE"""),"Jean Caffeine")</f>
        <v>Jean Caffeine</v>
      </c>
    </row>
    <row r="6193" customHeight="1" spans="30:30">
      <c r="AD6193" s="5" t="str">
        <f>IFERROR(__xludf.DUMMYFUNCTION("""COMPUTED_VALUE"""),"Tjasa Ferme")</f>
        <v>Tjasa Ferme</v>
      </c>
    </row>
    <row r="6194" customHeight="1" spans="30:30">
      <c r="AD6194" s="5" t="str">
        <f>IFERROR(__xludf.DUMMYFUNCTION("""COMPUTED_VALUE"""),"Mikaal Bates")</f>
        <v>Mikaal Bates</v>
      </c>
    </row>
    <row r="6195" customHeight="1" spans="30:30">
      <c r="AD6195" s="5" t="str">
        <f>IFERROR(__xludf.DUMMYFUNCTION("""COMPUTED_VALUE"""),"Damon Owlia")</f>
        <v>Damon Owlia</v>
      </c>
    </row>
    <row r="6196" customHeight="1" spans="30:30">
      <c r="AD6196" s="5" t="str">
        <f>IFERROR(__xludf.DUMMYFUNCTION("""COMPUTED_VALUE"""),"Kristen Seavey")</f>
        <v>Kristen Seavey</v>
      </c>
    </row>
    <row r="6197" customHeight="1" spans="30:30">
      <c r="AD6197" s="5" t="str">
        <f>IFERROR(__xludf.DUMMYFUNCTION("""COMPUTED_VALUE"""),"Suzi Lorraine")</f>
        <v>Suzi Lorraine</v>
      </c>
    </row>
    <row r="6198" customHeight="1" spans="30:30">
      <c r="AD6198" s="5" t="str">
        <f>IFERROR(__xludf.DUMMYFUNCTION("""COMPUTED_VALUE"""),"Travis Legge")</f>
        <v>Travis Legge</v>
      </c>
    </row>
    <row r="6199" customHeight="1" spans="30:30">
      <c r="AD6199" s="5" t="str">
        <f>IFERROR(__xludf.DUMMYFUNCTION("""COMPUTED_VALUE"""),"Lisa Arnold")</f>
        <v>Lisa Arnold</v>
      </c>
    </row>
    <row r="6200" customHeight="1" spans="30:30">
      <c r="AD6200" s="5" t="str">
        <f>IFERROR(__xludf.DUMMYFUNCTION("""COMPUTED_VALUE"""),"Janet Lee Dapper")</f>
        <v>Janet Lee Dapper</v>
      </c>
    </row>
    <row r="6201" customHeight="1" spans="30:30">
      <c r="AD6201" s="5" t="str">
        <f>IFERROR(__xludf.DUMMYFUNCTION("""COMPUTED_VALUE"""),"Ashley Tramonte")</f>
        <v>Ashley Tramonte</v>
      </c>
    </row>
    <row r="6202" customHeight="1" spans="30:30">
      <c r="AD6202" s="5" t="str">
        <f>IFERROR(__xludf.DUMMYFUNCTION("""COMPUTED_VALUE"""),"Lindsay MacDonald")</f>
        <v>Lindsay MacDonald</v>
      </c>
    </row>
    <row r="6203" customHeight="1" spans="30:30">
      <c r="AD6203" s="5" t="str">
        <f>IFERROR(__xludf.DUMMYFUNCTION("""COMPUTED_VALUE"""),"Robbie Barnes")</f>
        <v>Robbie Barnes</v>
      </c>
    </row>
    <row r="6204" customHeight="1" spans="30:30">
      <c r="AD6204" s="5" t="str">
        <f>IFERROR(__xludf.DUMMYFUNCTION("""COMPUTED_VALUE"""),"Alana Kaniewski")</f>
        <v>Alana Kaniewski</v>
      </c>
    </row>
    <row r="6205" customHeight="1" spans="30:30">
      <c r="AD6205" s="5" t="str">
        <f>IFERROR(__xludf.DUMMYFUNCTION("""COMPUTED_VALUE"""),"Brandon Landers")</f>
        <v>Brandon Landers</v>
      </c>
    </row>
    <row r="6206" customHeight="1" spans="30:30">
      <c r="AD6206" s="5" t="str">
        <f>IFERROR(__xludf.DUMMYFUNCTION("""COMPUTED_VALUE"""),"Bari Hyman")</f>
        <v>Bari Hyman</v>
      </c>
    </row>
    <row r="6207" customHeight="1" spans="30:30">
      <c r="AD6207" s="5" t="str">
        <f>IFERROR(__xludf.DUMMYFUNCTION("""COMPUTED_VALUE"""),"Paul Ogola")</f>
        <v>Paul Ogola</v>
      </c>
    </row>
    <row r="6208" customHeight="1" spans="30:30">
      <c r="AD6208" s="5" t="str">
        <f>IFERROR(__xludf.DUMMYFUNCTION("""COMPUTED_VALUE"""),"Olwenya Maina")</f>
        <v>Olwenya Maina</v>
      </c>
    </row>
    <row r="6209" customHeight="1" spans="30:30">
      <c r="AD6209" s="5" t="str">
        <f>IFERROR(__xludf.DUMMYFUNCTION("""COMPUTED_VALUE"""),"Mugambi Nthiga")</f>
        <v>Mugambi Nthiga</v>
      </c>
    </row>
    <row r="6210" customHeight="1" spans="30:30">
      <c r="AD6210" s="5" t="str">
        <f>IFERROR(__xludf.DUMMYFUNCTION("""COMPUTED_VALUE"""),"Zoe Lister-Jones")</f>
        <v>Zoe Lister-Jones</v>
      </c>
    </row>
    <row r="6211" customHeight="1" spans="30:30">
      <c r="AD6211" s="5" t="str">
        <f>IFERROR(__xludf.DUMMYFUNCTION("""COMPUTED_VALUE"""),"Jason Trost")</f>
        <v>Jason Trost</v>
      </c>
    </row>
    <row r="6212" customHeight="1" spans="30:30">
      <c r="AD6212" s="5" t="str">
        <f>IFERROR(__xludf.DUMMYFUNCTION("""COMPUTED_VALUE"""),"Nick Principe")</f>
        <v>Nick Principe</v>
      </c>
    </row>
    <row r="6213" customHeight="1" spans="30:30">
      <c r="AD6213" s="5" t="str">
        <f>IFERROR(__xludf.DUMMYFUNCTION("""COMPUTED_VALUE"""),"Divine")</f>
        <v>Divine</v>
      </c>
    </row>
    <row r="6214" customHeight="1" spans="30:30">
      <c r="AD6214" s="5" t="str">
        <f>IFERROR(__xludf.DUMMYFUNCTION("""COMPUTED_VALUE"""),"Mink Stole")</f>
        <v>Mink Stole</v>
      </c>
    </row>
    <row r="6215" customHeight="1" spans="30:30">
      <c r="AD6215" s="5" t="str">
        <f>IFERROR(__xludf.DUMMYFUNCTION("""COMPUTED_VALUE"""),"Edith Massey")</f>
        <v>Edith Massey</v>
      </c>
    </row>
    <row r="6216" customHeight="1" spans="30:30">
      <c r="AD6216" s="5" t="str">
        <f>IFERROR(__xludf.DUMMYFUNCTION("""COMPUTED_VALUE"""),"Béatrice Dalle")</f>
        <v>Béatrice Dalle</v>
      </c>
    </row>
    <row r="6217" customHeight="1" spans="30:30">
      <c r="AD6217" s="5" t="str">
        <f>IFERROR(__xludf.DUMMYFUNCTION("""COMPUTED_VALUE"""),"Fereshteh Sadre Orafaiy")</f>
        <v>Fereshteh Sadre Orafaiy</v>
      </c>
    </row>
    <row r="6218" customHeight="1" spans="30:30">
      <c r="AD6218" s="5" t="str">
        <f>IFERROR(__xludf.DUMMYFUNCTION("""COMPUTED_VALUE"""),"Nargess Mamizadeh")</f>
        <v>Nargess Mamizadeh</v>
      </c>
    </row>
    <row r="6219" customHeight="1" spans="30:30">
      <c r="AD6219" s="5" t="str">
        <f>IFERROR(__xludf.DUMMYFUNCTION("""COMPUTED_VALUE"""),"Mojgan Faramarzi")</f>
        <v>Mojgan Faramarzi</v>
      </c>
    </row>
    <row r="6220" customHeight="1" spans="30:30">
      <c r="AD6220" s="5" t="str">
        <f>IFERROR(__xludf.DUMMYFUNCTION("""COMPUTED_VALUE"""),"Patrick O'Donnell")</f>
        <v>Patrick O'Donnell</v>
      </c>
    </row>
    <row r="6221" customHeight="1" spans="30:30">
      <c r="AD6221" s="5" t="str">
        <f>IFERROR(__xludf.DUMMYFUNCTION("""COMPUTED_VALUE"""),"Michael Parle")</f>
        <v>Michael Parle</v>
      </c>
    </row>
    <row r="6222" customHeight="1" spans="30:30">
      <c r="AD6222" s="5" t="str">
        <f>IFERROR(__xludf.DUMMYFUNCTION("""COMPUTED_VALUE"""),"Emma Eliza Regan")</f>
        <v>Emma Eliza Regan</v>
      </c>
    </row>
    <row r="6223" customHeight="1" spans="30:30">
      <c r="AD6223" s="5" t="str">
        <f>IFERROR(__xludf.DUMMYFUNCTION("""COMPUTED_VALUE"""),"Kôji Yakusho")</f>
        <v>Kôji Yakusho</v>
      </c>
    </row>
    <row r="6224" customHeight="1" spans="30:30">
      <c r="AD6224" s="5" t="str">
        <f>IFERROR(__xludf.DUMMYFUNCTION("""COMPUTED_VALUE"""),"Anna Nakagawa")</f>
        <v>Anna Nakagawa</v>
      </c>
    </row>
    <row r="6225" customHeight="1" spans="30:30">
      <c r="AD6225" s="5" t="str">
        <f>IFERROR(__xludf.DUMMYFUNCTION("""COMPUTED_VALUE"""),"Denden")</f>
        <v>Denden</v>
      </c>
    </row>
    <row r="6226" customHeight="1" spans="30:30">
      <c r="AD6226" s="5" t="str">
        <f>IFERROR(__xludf.DUMMYFUNCTION("""COMPUTED_VALUE"""),"Tatiana Suarez-Pico")</f>
        <v>Tatiana Suarez-Pico</v>
      </c>
    </row>
    <row r="6227" customHeight="1" spans="30:30">
      <c r="AD6227" s="5" t="str">
        <f>IFERROR(__xludf.DUMMYFUNCTION("""COMPUTED_VALUE"""),"Michael Cortez")</f>
        <v>Michael Cortez</v>
      </c>
    </row>
    <row r="6228" customHeight="1" spans="30:30">
      <c r="AD6228" s="5" t="str">
        <f>IFERROR(__xludf.DUMMYFUNCTION("""COMPUTED_VALUE"""),"Eric Ambriz")</f>
        <v>Eric Ambriz</v>
      </c>
    </row>
    <row r="6229" customHeight="1" spans="30:30">
      <c r="AD6229" s="5" t="str">
        <f>IFERROR(__xludf.DUMMYFUNCTION("""COMPUTED_VALUE"""),"Julianna Pitt")</f>
        <v>Julianna Pitt</v>
      </c>
    </row>
    <row r="6230" customHeight="1" spans="30:30">
      <c r="AD6230" s="5" t="str">
        <f>IFERROR(__xludf.DUMMYFUNCTION("""COMPUTED_VALUE"""),"Joe Coffey")</f>
        <v>Joe Coffey</v>
      </c>
    </row>
    <row r="6231" customHeight="1" spans="30:30">
      <c r="AD6231" s="5" t="str">
        <f>IFERROR(__xludf.DUMMYFUNCTION("""COMPUTED_VALUE"""),"John Lucas")</f>
        <v>John Lucas</v>
      </c>
    </row>
    <row r="6232" customHeight="1" spans="30:30">
      <c r="AD6232" s="5" t="str">
        <f>IFERROR(__xludf.DUMMYFUNCTION("""COMPUTED_VALUE"""),"James Noble")</f>
        <v>James Noble</v>
      </c>
    </row>
    <row r="6233" customHeight="1" spans="30:30">
      <c r="AD6233" s="5" t="str">
        <f>IFERROR(__xludf.DUMMYFUNCTION("""COMPUTED_VALUE"""),"Shane Carruth")</f>
        <v>Shane Carruth</v>
      </c>
    </row>
    <row r="6234" customHeight="1" spans="30:30">
      <c r="AD6234" s="5" t="str">
        <f>IFERROR(__xludf.DUMMYFUNCTION("""COMPUTED_VALUE"""),"David Sullivan")</f>
        <v>David Sullivan</v>
      </c>
    </row>
    <row r="6235" customHeight="1" spans="30:30">
      <c r="AD6235" s="5" t="str">
        <f>IFERROR(__xludf.DUMMYFUNCTION("""COMPUTED_VALUE"""),"Casey Gooden")</f>
        <v>Casey Gooden</v>
      </c>
    </row>
    <row r="6236" customHeight="1" spans="30:30">
      <c r="AD6236" s="5" t="str">
        <f>IFERROR(__xludf.DUMMYFUNCTION("""COMPUTED_VALUE"""),"Ian Gamazon")</f>
        <v>Ian Gamazon</v>
      </c>
    </row>
    <row r="6237" customHeight="1" spans="30:30">
      <c r="AD6237" s="5" t="str">
        <f>IFERROR(__xludf.DUMMYFUNCTION("""COMPUTED_VALUE"""),"Edgar Tancangco")</f>
        <v>Edgar Tancangco</v>
      </c>
    </row>
    <row r="6238" customHeight="1" spans="30:30">
      <c r="AD6238" s="5" t="str">
        <f>IFERROR(__xludf.DUMMYFUNCTION("""COMPUTED_VALUE"""),"Quynn Ton")</f>
        <v>Quynn Ton</v>
      </c>
    </row>
    <row r="6239" customHeight="1" spans="30:30">
      <c r="AD6239" s="5" t="str">
        <f>IFERROR(__xludf.DUMMYFUNCTION("""COMPUTED_VALUE"""),"Carlos Gallardo")</f>
        <v>Carlos Gallardo</v>
      </c>
    </row>
    <row r="6240" customHeight="1" spans="30:30">
      <c r="AD6240" s="5" t="str">
        <f>IFERROR(__xludf.DUMMYFUNCTION("""COMPUTED_VALUE"""),"Peter Marquardt")</f>
        <v>Peter Marquardt</v>
      </c>
    </row>
    <row r="6241" customHeight="1" spans="30:30">
      <c r="AD6241" s="5" t="str">
        <f>IFERROR(__xludf.DUMMYFUNCTION("""COMPUTED_VALUE"""),"Consuelo Gómez")</f>
        <v>Consuelo Gómez</v>
      </c>
    </row>
    <row r="6242" customHeight="1" spans="30:30">
      <c r="AD6242" s="5" t="str">
        <f>IFERROR(__xludf.DUMMYFUNCTION("""COMPUTED_VALUE"""),"Richard Jewell")</f>
        <v>Richard Jewell</v>
      </c>
    </row>
    <row r="6243" customHeight="1" spans="30:30">
      <c r="AD6243" s="5" t="str">
        <f>IFERROR(__xludf.DUMMYFUNCTION("""COMPUTED_VALUE"""),"John Considine")</f>
        <v>John Considine</v>
      </c>
    </row>
    <row r="6244" customHeight="1" spans="30:30">
      <c r="AD6244" s="5" t="str">
        <f>IFERROR(__xludf.DUMMYFUNCTION("""COMPUTED_VALUE"""),"Sara Stepnicka")</f>
        <v>Sara Stepnicka</v>
      </c>
    </row>
    <row r="6245" customHeight="1" spans="30:30">
      <c r="AD6245" s="5" t="str">
        <f>IFERROR(__xludf.DUMMYFUNCTION("""COMPUTED_VALUE"""),"Kerry Bishé")</f>
        <v>Kerry Bishé</v>
      </c>
    </row>
    <row r="6246" customHeight="1" spans="30:30">
      <c r="AD6246" s="5" t="str">
        <f>IFERROR(__xludf.DUMMYFUNCTION("""COMPUTED_VALUE"""),"Caitlin FitzGerald")</f>
        <v>Caitlin FitzGerald</v>
      </c>
    </row>
    <row r="6247" customHeight="1" spans="30:30">
      <c r="AD6247" s="5" t="str">
        <f>IFERROR(__xludf.DUMMYFUNCTION("""COMPUTED_VALUE"""),"Daniella Pineda")</f>
        <v>Daniella Pineda</v>
      </c>
    </row>
    <row r="6248" customHeight="1" spans="30:30">
      <c r="AD6248" s="5" t="str">
        <f>IFERROR(__xludf.DUMMYFUNCTION("""COMPUTED_VALUE"""),"Daphne Zuniga")</f>
        <v>Daphne Zuniga</v>
      </c>
    </row>
    <row r="6249" customHeight="1" spans="30:30">
      <c r="AD6249" s="5" t="str">
        <f>IFERROR(__xludf.DUMMYFUNCTION("""COMPUTED_VALUE"""),"Natalie Zea")</f>
        <v>Natalie Zea</v>
      </c>
    </row>
    <row r="6250" customHeight="1" spans="30:30">
      <c r="AD6250" s="5" t="str">
        <f>IFERROR(__xludf.DUMMYFUNCTION("""COMPUTED_VALUE"""),"Valorie Curry")</f>
        <v>Valorie Curry</v>
      </c>
    </row>
    <row r="6251" customHeight="1" spans="30:30">
      <c r="AD6251" s="5" t="str">
        <f>IFERROR(__xludf.DUMMYFUNCTION("""COMPUTED_VALUE"""),"Sam Underwood")</f>
        <v>Sam Underwood</v>
      </c>
    </row>
    <row r="6252" customHeight="1" spans="30:30">
      <c r="AD6252" s="5" t="str">
        <f>IFERROR(__xludf.DUMMYFUNCTION("""COMPUTED_VALUE"""),"Eva Boehnke")</f>
        <v>Eva Boehnke</v>
      </c>
    </row>
    <row r="6253" customHeight="1" spans="30:30">
      <c r="AD6253" s="5" t="str">
        <f>IFERROR(__xludf.DUMMYFUNCTION("""COMPUTED_VALUE"""),"Maxwell Moody")</f>
        <v>Maxwell Moody</v>
      </c>
    </row>
    <row r="6254" customHeight="1" spans="30:30">
      <c r="AD6254" s="5" t="str">
        <f>IFERROR(__xludf.DUMMYFUNCTION("""COMPUTED_VALUE"""),"David Chandler")</f>
        <v>David Chandler</v>
      </c>
    </row>
    <row r="6255" customHeight="1" spans="30:30">
      <c r="AD6255" s="5" t="str">
        <f>IFERROR(__xludf.DUMMYFUNCTION("""COMPUTED_VALUE"""),"John August")</f>
        <v>John August</v>
      </c>
    </row>
    <row r="6256" customHeight="1" spans="30:30">
      <c r="AD6256" s="5" t="str">
        <f>IFERROR(__xludf.DUMMYFUNCTION("""COMPUTED_VALUE"""),"Brian Herzlinger")</f>
        <v>Brian Herzlinger</v>
      </c>
    </row>
    <row r="6257" customHeight="1" spans="30:30">
      <c r="AD6257" s="5" t="str">
        <f>IFERROR(__xludf.DUMMYFUNCTION("""COMPUTED_VALUE"""),"Jon Gunn")</f>
        <v>Jon Gunn</v>
      </c>
    </row>
  </sheetData>
  <autoFilter xmlns:etc="http://www.wps.cn/officeDocument/2017/etCustomData" ref="A1:A5046" etc:filterBottomFollowUsedRange="0">
    <extLst/>
  </autoFilter>
  <hyperlinks>
    <hyperlink ref="R2" r:id="rId1" display="http://www.imdb.com/title/tt0499549/?ref_=fn_tt_tt_1"/>
    <hyperlink ref="R3" r:id="rId2" display="http://www.imdb.com/title/tt0449088/?ref_=fn_tt_tt_1"/>
    <hyperlink ref="R4" r:id="rId3" display="http://www.imdb.com/title/tt2379713/?ref_=fn_tt_tt_1"/>
    <hyperlink ref="R5" r:id="rId4" display="http://www.imdb.com/title/tt1345836/?ref_=fn_tt_tt_1"/>
    <hyperlink ref="R6" r:id="rId5" display="http://www.imdb.com/title/tt5289954/?ref_=fn_tt_tt_1"/>
    <hyperlink ref="R7" r:id="rId6" display="http://www.imdb.com/title/tt0401729/?ref_=fn_tt_tt_1"/>
    <hyperlink ref="R8" r:id="rId7" display="http://www.imdb.com/title/tt0413300/?ref_=fn_tt_tt_1"/>
    <hyperlink ref="R9" r:id="rId8" display="http://www.imdb.com/title/tt0398286/?ref_=fn_tt_tt_1"/>
    <hyperlink ref="R10" r:id="rId9" display="http://www.imdb.com/title/tt2395427/?ref_=fn_tt_tt_1"/>
    <hyperlink ref="R11" r:id="rId10" display="http://www.imdb.com/title/tt0417741/?ref_=fn_tt_tt_1"/>
    <hyperlink ref="R12" r:id="rId11" display="http://www.imdb.com/title/tt2975590/?ref_=fn_tt_tt_1"/>
    <hyperlink ref="R13" r:id="rId12" display="http://www.imdb.com/title/tt0348150/?ref_=fn_tt_tt_1"/>
    <hyperlink ref="R14" r:id="rId13" display="http://www.imdb.com/title/tt0830515/?ref_=fn_tt_tt_1"/>
    <hyperlink ref="R15" r:id="rId14" display="http://www.imdb.com/title/tt0383574/?ref_=fn_tt_tt_1"/>
    <hyperlink ref="R16" r:id="rId15" display="http://www.imdb.com/title/tt1210819/?ref_=fn_tt_tt_1"/>
    <hyperlink ref="R17" r:id="rId16" display="http://www.imdb.com/title/tt0770828/?ref_=fn_tt_tt_1"/>
    <hyperlink ref="R18" r:id="rId17" display="http://www.imdb.com/title/tt0499448/?ref_=fn_tt_tt_1"/>
    <hyperlink ref="R19" r:id="rId18" display="http://www.imdb.com/title/tt0848228/?ref_=fn_tt_tt_1"/>
    <hyperlink ref="R20" r:id="rId19" display="http://www.imdb.com/title/tt1298650/?ref_=fn_tt_tt_1"/>
    <hyperlink ref="R21" r:id="rId20" display="http://www.imdb.com/title/tt1409024/?ref_=fn_tt_tt_1"/>
    <hyperlink ref="R22" r:id="rId21" display="http://www.imdb.com/title/tt2310332/?ref_=fn_tt_tt_1"/>
    <hyperlink ref="R23" r:id="rId22" display="http://www.imdb.com/title/tt0948470/?ref_=fn_tt_tt_1"/>
    <hyperlink ref="R24" r:id="rId23" display="http://www.imdb.com/title/tt0955308/?ref_=fn_tt_tt_1"/>
    <hyperlink ref="R25" r:id="rId24" display="http://www.imdb.com/title/tt1170358/?ref_=fn_tt_tt_1"/>
    <hyperlink ref="R26" r:id="rId25" display="http://www.imdb.com/title/tt0385752/?ref_=fn_tt_tt_1"/>
    <hyperlink ref="R27" r:id="rId26" display="http://www.imdb.com/title/tt0360717/?ref_=fn_tt_tt_1"/>
    <hyperlink ref="R28" r:id="rId27" display="http://www.imdb.com/title/tt0120338/?ref_=fn_tt_tt_1"/>
    <hyperlink ref="R29" r:id="rId28" display="http://www.imdb.com/title/tt3498820/?ref_=fn_tt_tt_1"/>
    <hyperlink ref="R30" r:id="rId29" display="http://www.imdb.com/title/tt1440129/?ref_=fn_tt_tt_1"/>
    <hyperlink ref="R31" r:id="rId30" display="http://www.imdb.com/title/tt0369610/?ref_=fn_tt_tt_1"/>
    <hyperlink ref="R32" r:id="rId31" display="http://www.imdb.com/title/tt1074638/?ref_=fn_tt_tt_1"/>
    <hyperlink ref="R33" r:id="rId32" display="http://www.imdb.com/title/tt0316654/?ref_=fn_tt_tt_1"/>
    <hyperlink ref="R34" r:id="rId33" display="http://www.imdb.com/title/tt1300854/?ref_=fn_tt_tt_1"/>
    <hyperlink ref="R35" r:id="rId34" display="http://www.imdb.com/title/tt1014759/?ref_=fn_tt_tt_1"/>
    <hyperlink ref="R36" r:id="rId35" display="http://www.imdb.com/title/tt0376994/?ref_=fn_tt_tt_1"/>
    <hyperlink ref="R37" r:id="rId36" display="http://www.imdb.com/title/tt1453405/?ref_=fn_tt_tt_1"/>
    <hyperlink ref="R38" r:id="rId37" display="http://www.imdb.com/title/tt1055369/?ref_=fn_tt_tt_1"/>
    <hyperlink ref="R39" r:id="rId38" display="http://www.imdb.com/title/tt2109248/?ref_=fn_tt_tt_1"/>
    <hyperlink ref="R40" r:id="rId39" display="http://www.imdb.com/title/tt1623205/?ref_=fn_tt_tt_1"/>
    <hyperlink ref="R41" r:id="rId40" display="http://www.imdb.com/title/tt1872181/?ref_=fn_tt_tt_1"/>
    <hyperlink ref="R42" r:id="rId41" display="http://www.imdb.com/title/tt1104001/?ref_=fn_tt_tt_1"/>
    <hyperlink ref="R43" r:id="rId42" display="http://www.imdb.com/title/tt1216475/?ref_=fn_tt_tt_1"/>
    <hyperlink ref="R44" r:id="rId43" display="http://www.imdb.com/title/tt1133985/?ref_=fn_tt_tt_1"/>
    <hyperlink ref="R45" r:id="rId44" display="http://www.imdb.com/title/tt0435761/?ref_=fn_tt_tt_1"/>
    <hyperlink ref="R46" r:id="rId45" display="http://www.imdb.com/title/tt0438488/?ref_=fn_tt_tt_1"/>
    <hyperlink ref="R47" r:id="rId46" display="http://www.imdb.com/title/tt2820852/?ref_=fn_tt_tt_1"/>
    <hyperlink ref="R48" r:id="rId47" display="http://www.imdb.com/title/tt0816711/?ref_=fn_tt_tt_1"/>
    <hyperlink ref="R49" r:id="rId48" display="http://www.imdb.com/title/tt1877832/?ref_=fn_tt_tt_1"/>
    <hyperlink ref="R50" r:id="rId49" display="http://www.imdb.com/title/tt1408101/?ref_=fn_tt_tt_1"/>
    <hyperlink ref="R51" r:id="rId50" display="http://www.imdb.com/title/tt1351685/?ref_=fn_tt_tt_1"/>
    <hyperlink ref="R52" r:id="rId51" display="http://www.imdb.com/title/tt1343092/?ref_=fn_tt_tt_1"/>
    <hyperlink ref="R53" r:id="rId52" display="http://www.imdb.com/title/tt0473075/?ref_=fn_tt_tt_1"/>
    <hyperlink ref="R54" r:id="rId53" display="http://www.imdb.com/title/tt1663662/?ref_=fn_tt_tt_1"/>
    <hyperlink ref="R55" r:id="rId54" display="http://www.imdb.com/title/tt1399103/?ref_=fn_tt_tt_1"/>
    <hyperlink ref="R56" r:id="rId55" display="http://www.imdb.com/title/tt0367882/?ref_=fn_tt_tt_1"/>
    <hyperlink ref="R57" r:id="rId56" display="http://www.imdb.com/title/tt1979388/?ref_=fn_tt_tt_1"/>
    <hyperlink ref="R58" r:id="rId57" display="http://www.imdb.com/title/tt1217209/?ref_=fn_tt_tt_1"/>
    <hyperlink ref="R59" r:id="rId58" display="http://www.imdb.com/title/tt2660888/?ref_=fn_tt_tt_1"/>
    <hyperlink ref="R60" r:id="rId59" display="http://www.imdb.com/title/tt0910970/?ref_=fn_tt_tt_1"/>
    <hyperlink ref="R61" r:id="rId60" display="http://www.imdb.com/title/tt0293564/?ref_=fn_tt_tt_1"/>
    <hyperlink ref="R62" r:id="rId61" display="http://www.imdb.com/title/tt1190080/?ref_=fn_tt_tt_1"/>
    <hyperlink ref="R63" r:id="rId62" display="http://www.imdb.com/title/tt1067106/?ref_=fn_tt_tt_1"/>
    <hyperlink ref="R64" r:id="rId63" display="http://www.imdb.com/title/tt1617661/?ref_=fn_tt_tt_1"/>
    <hyperlink ref="R65" r:id="rId64" display="http://www.imdb.com/title/tt0918940/?ref_=fn_tt_tt_1"/>
    <hyperlink ref="R66" r:id="rId65" display="http://www.imdb.com/title/tt0363771/?ref_=fn_tt_tt_1"/>
    <hyperlink ref="R67" r:id="rId66" display="http://www.imdb.com/title/tt3385516/?ref_=fn_tt_tt_1"/>
    <hyperlink ref="R68" r:id="rId67" display="http://www.imdb.com/title/tt0468569/?ref_=fn_tt_tt_1"/>
    <hyperlink ref="R69" r:id="rId68" display="http://www.imdb.com/title/tt1049413/?ref_=fn_tt_tt_1"/>
    <hyperlink ref="R70" r:id="rId69" display="http://www.imdb.com/title/tt0892782/?ref_=fn_tt_tt_1"/>
    <hyperlink ref="R71" r:id="rId70" display="http://www.imdb.com/title/tt0371746/?ref_=fn_tt_tt_1"/>
    <hyperlink ref="R72" r:id="rId71" display="http://www.imdb.com/title/tt0970179/?ref_=fn_tt_tt_1"/>
    <hyperlink ref="R73" r:id="rId72" display="http://www.imdb.com/title/tt0120891/?ref_=fn_tt_tt_1"/>
    <hyperlink ref="R74" r:id="rId73" display="http://www.imdb.com/title/tt0859163/?ref_=fn_tt_tt_1"/>
    <hyperlink ref="R75" r:id="rId74" display="http://www.imdb.com/title/tt1386697/?ref_=fn_tt_tt_1"/>
    <hyperlink ref="R76" r:id="rId75" display="http://www.imdb.com/title/tt0413099/?ref_=fn_tt_tt_1"/>
    <hyperlink ref="R77" r:id="rId76" display="http://www.imdb.com/title/tt1631867/?ref_=fn_tt_tt_1"/>
    <hyperlink ref="R78" r:id="rId77" display="http://www.imdb.com/title/tt0114898/?ref_=fn_tt_tt_1"/>
    <hyperlink ref="R79" r:id="rId78" display="http://www.imdb.com/title/tt1046173/?ref_=fn_tt_tt_1"/>
    <hyperlink ref="R80" r:id="rId79" display="http://www.imdb.com/title/tt2096673/?ref_=fn_tt_tt_1"/>
    <hyperlink ref="R81" r:id="rId80" display="http://www.imdb.com/title/tt3040964/?ref_=fn_tt_tt_1"/>
    <hyperlink ref="R82" r:id="rId81" display="http://www.imdb.com/title/tt1228705/?ref_=fn_tt_tt_1"/>
    <hyperlink ref="R83" r:id="rId82" display="http://www.imdb.com/title/tt1735898/?ref_=fn_tt_tt_1"/>
    <hyperlink ref="R84" r:id="rId83" display="http://www.imdb.com/title/tt1587310/?ref_=fn_tt_tt_1"/>
    <hyperlink ref="R85" r:id="rId84" display="http://www.imdb.com/title/tt2103281/?ref_=fn_tt_tt_1"/>
    <hyperlink ref="R86" r:id="rId85" display="http://www.imdb.com/title/tt1321869/?ref_=fn_tt_tt_1"/>
    <hyperlink ref="R87" r:id="rId86" display="http://www.imdb.com/title/tt1335975/?ref_=fn_tt_tt_1"/>
    <hyperlink ref="R88" r:id="rId87" display="http://www.imdb.com/title/tt1843866/?ref_=fn_tt_tt_1"/>
    <hyperlink ref="R89" r:id="rId88" display="http://www.imdb.com/title/tt0892791/?ref_=fn_tt_tt_1"/>
    <hyperlink ref="R90" r:id="rId89" display="http://www.imdb.com/title/tt1964418/?ref_=fn_tt_tt_1"/>
    <hyperlink ref="R91" r:id="rId90" display="http://www.imdb.com/title/tt2245084/?ref_=fn_tt_tt_1"/>
    <hyperlink ref="R92" r:id="rId91" display="http://www.imdb.com/title/tt1772341/?ref_=fn_tt_tt_1"/>
    <hyperlink ref="R93" r:id="rId92" display="http://www.imdb.com/title/tt0338348/?ref_=fn_tt_tt_1"/>
    <hyperlink ref="R94" r:id="rId93" display="http://www.imdb.com/title/tt1628841/?ref_=fn_tt_tt_1"/>
    <hyperlink ref="R95" r:id="rId94" display="http://www.imdb.com/title/tt0892769/?ref_=fn_tt_tt_1"/>
    <hyperlink ref="R96" r:id="rId95" display="http://www.imdb.com/title/tt0181852/?ref_=fn_tt_tt_1"/>
    <hyperlink ref="R97" r:id="rId96" display="http://www.imdb.com/title/tt2015381/?ref_=fn_tt_tt_1"/>
    <hyperlink ref="R98" r:id="rId97" display="http://www.imdb.com/title/tt0816692/?ref_=fn_tt_tt_1"/>
    <hyperlink ref="R99" r:id="rId98" display="http://www.imdb.com/title/tt1375666/?ref_=fn_tt_tt_1"/>
    <hyperlink ref="R100" r:id="rId99" display="http://www.imdb.com/title/tt4262980/?ref_=fn_tt_tt_1"/>
    <hyperlink ref="R101" r:id="rId100" display="http://www.imdb.com/title/tt0903624/?ref_=fn_tt_tt_1"/>
    <hyperlink ref="R102" r:id="rId101" display="http://www.imdb.com/title/tt0232500/?ref_=fn_tt_tt_1"/>
    <hyperlink ref="R103" r:id="rId102" display="http://www.imdb.com/title/tt0421715/?ref_=fn_tt_tt_1"/>
    <hyperlink ref="R104" r:id="rId103" display="http://www.imdb.com/title/tt1270798/?ref_=fn_tt_tt_1"/>
    <hyperlink ref="R105" r:id="rId104" display="http://www.imdb.com/title/tt1951266/?ref_=fn_tt_tt_1"/>
    <hyperlink ref="R106" r:id="rId105" display="http://www.imdb.com/title/tt0963966/?ref_=fn_tt_tt_1"/>
    <hyperlink ref="R107" r:id="rId106" display="http://www.imdb.com/title/tt0409182/?ref_=fn_tt_tt_1"/>
    <hyperlink ref="R108" r:id="rId107" display="http://www.imdb.com/title/tt2567026/?ref_=fn_tt_tt_1"/>
    <hyperlink ref="R109" r:id="rId108" display="http://www.imdb.com/title/tt0413267/?ref_=fn_tt_tt_1"/>
    <hyperlink ref="R110" r:id="rId109" display="http://www.imdb.com/title/tt0803096/?ref_=fn_tt_tt_1"/>
    <hyperlink ref="R111" r:id="rId110" display="http://www.imdb.com/title/tt1340138/?ref_=fn_tt_tt_1"/>
    <hyperlink ref="R112" r:id="rId111" display="http://www.imdb.com/title/tt0980970/?ref_=fn_tt_tt_1"/>
    <hyperlink ref="R113" r:id="rId112" display="http://www.imdb.com/title/tt0213149/?ref_=fn_tt_tt_1"/>
    <hyperlink ref="R114" r:id="rId113" display="http://www.imdb.com/title/tt0418279/?ref_=fn_tt_tt_1"/>
    <hyperlink ref="R115" r:id="rId114" display="http://www.imdb.com/title/tt0346491/?ref_=fn_tt_tt_1"/>
    <hyperlink ref="R116" r:id="rId115" display="http://www.imdb.com/title/tt0373889/?ref_=fn_tt_tt_1"/>
    <hyperlink ref="R117" r:id="rId116" display="http://www.imdb.com/title/tt0330373/?ref_=fn_tt_tt_1"/>
    <hyperlink ref="R118" r:id="rId117" display="http://www.imdb.com/title/tt0448157/?ref_=fn_tt_tt_1"/>
    <hyperlink ref="R119" r:id="rId118" display="http://www.imdb.com/title/tt0480249/?ref_=fn_tt_tt_1"/>
    <hyperlink ref="R120" r:id="rId119" display="http://www.imdb.com/title/tt0367594/?ref_=fn_tt_tt_1"/>
    <hyperlink ref="R121" r:id="rId120" display="http://www.imdb.com/title/tt0382932/?ref_=fn_tt_tt_1"/>
    <hyperlink ref="R122" r:id="rId121" display="http://www.imdb.com/title/tt0372784/?ref_=fn_tt_tt_1"/>
    <hyperlink ref="R123" r:id="rId122" display="http://www.imdb.com/title/tt0479952/?ref_=fn_tt_tt_1"/>
    <hyperlink ref="R124" r:id="rId123" display="http://www.imdb.com/title/tt1078912/?ref_=fn_tt_tt_1"/>
    <hyperlink ref="R125" r:id="rId124" display="http://www.imdb.com/title/tt0458525/?ref_=fn_tt_tt_1"/>
    <hyperlink ref="R126" r:id="rId125" display="http://www.imdb.com/title/tt0242653/?ref_=fn_tt_tt_1"/>
    <hyperlink ref="R127" r:id="rId126" display="http://www.imdb.com/title/tt2294629/?ref_=fn_tt_tt_1"/>
    <hyperlink ref="R128" r:id="rId127" display="http://www.imdb.com/title/tt0234215/?ref_=fn_tt_tt_1"/>
    <hyperlink ref="R129" r:id="rId128" display="http://www.imdb.com/title/tt1981115/?ref_=fn_tt_tt_1"/>
    <hyperlink ref="R130" r:id="rId129" display="http://www.imdb.com/title/tt1392190/?ref_=fn_tt_tt_1"/>
    <hyperlink ref="R131" r:id="rId130" display="http://www.imdb.com/title/tt0808151/?ref_=fn_tt_tt_1"/>
    <hyperlink ref="R132" r:id="rId131" display="http://www.imdb.com/title/tt0800369/?ref_=fn_tt_tt_1"/>
    <hyperlink ref="R133" r:id="rId132" display="http://www.imdb.com/title/tt0397892/?ref_=fn_tt_tt_1"/>
    <hyperlink ref="R134" r:id="rId133" display="http://www.imdb.com/title/tt0436339/?ref_=fn_tt_tt_1"/>
    <hyperlink ref="R135" r:id="rId134" display="http://www.imdb.com/title/tt1646987/?ref_=fn_tt_tt_1"/>
    <hyperlink ref="R136" r:id="rId135" display="http://www.imdb.com/title/tt1077368/?ref_=fn_tt_tt_1"/>
    <hyperlink ref="R137" r:id="rId136" display="http://www.imdb.com/title/tt2381249/?ref_=fn_tt_tt_1"/>
    <hyperlink ref="R138" r:id="rId137" display="http://www.imdb.com/title/tt0780653/?ref_=fn_tt_tt_1"/>
    <hyperlink ref="R139" r:id="rId64" display="http://www.imdb.com/title/tt0918940/?ref_=fn_tt_tt_1"/>
    <hyperlink ref="R140" r:id="rId138" display="http://www.imdb.com/title/tt0389790/?ref_=fn_tt_tt_1"/>
    <hyperlink ref="R141" r:id="rId139" display="http://www.imdb.com/title/tt1302011/?ref_=fn_tt_tt_1"/>
    <hyperlink ref="R142" r:id="rId140" display="http://www.imdb.com/title/tt0938283/?ref_=fn_tt_tt_1"/>
    <hyperlink ref="R143" r:id="rId141" display="http://www.imdb.com/title/tt0317919/?ref_=fn_tt_tt_1"/>
    <hyperlink ref="R144" r:id="rId142" display="http://www.imdb.com/title/tt2334879/?ref_=fn_tt_tt_1"/>
    <hyperlink ref="R145" r:id="rId143" display="http://www.imdb.com/title/tt1305591/?ref_=fn_tt_tt_1"/>
    <hyperlink ref="R146" r:id="rId144" display="http://www.imdb.com/title/tt0424095/?ref_=fn_tt_tt_1"/>
    <hyperlink ref="R147" r:id="rId145" display="http://www.imdb.com/title/tt3332064/?ref_=fn_tt_tt_1"/>
    <hyperlink ref="R148" r:id="rId146" display="http://www.imdb.com/title/tt0864835/?ref_=fn_tt_tt_1"/>
    <hyperlink ref="R149" r:id="rId147" display="http://www.imdb.com/title/tt0332452/?ref_=fn_tt_tt_1"/>
    <hyperlink ref="R150" r:id="rId148" display="http://www.imdb.com/title/tt1277953/?ref_=fn_tt_tt_1"/>
    <hyperlink ref="R151" r:id="rId149" display="http://www.imdb.com/title/tt0246460/?ref_=fn_tt_tt_1"/>
    <hyperlink ref="R152" r:id="rId150" display="http://www.imdb.com/title/tt1289401/?ref_=fn_tt_tt_1"/>
    <hyperlink ref="R153" r:id="rId151" display="http://www.imdb.com/title/tt0120591/?ref_=fn_tt_tt_1"/>
    <hyperlink ref="R154" r:id="rId152" display="http://www.imdb.com/title/tt0120912/?ref_=fn_tt_tt_1"/>
    <hyperlink ref="R155" r:id="rId153" display="http://www.imdb.com/title/tt0442933/?ref_=fn_tt_tt_1"/>
    <hyperlink ref="R156" r:id="rId154" display="http://www.imdb.com/title/tt2267968/?ref_=fn_tt_tt_1"/>
    <hyperlink ref="R157" r:id="rId155" display="http://www.imdb.com/title/tt1229238/?ref_=fn_tt_tt_1"/>
    <hyperlink ref="R158" r:id="rId156" display="http://www.imdb.com/title/tt1446192/?ref_=fn_tt_tt_1"/>
    <hyperlink ref="R159" r:id="rId157" display="http://www.imdb.com/title/tt0369441/?ref_=fn_tt_tt_1"/>
    <hyperlink ref="R160" r:id="rId158" display="http://www.imdb.com/title/tt0325710/?ref_=fn_tt_tt_1"/>
    <hyperlink ref="R161" r:id="rId159" display="http://www.imdb.com/title/tt1528100/?ref_=fn_tt_tt_1"/>
    <hyperlink ref="R162" r:id="rId160" display="http://www.imdb.com/title/tt0796366/?ref_=fn_tt_tt_1"/>
    <hyperlink ref="R163" r:id="rId161" display="http://www.imdb.com/title/tt0145487/?ref_=fn_tt_tt_1"/>
    <hyperlink ref="R164" r:id="rId162" display="http://www.imdb.com/title/tt1646971/?ref_=fn_tt_tt_1"/>
    <hyperlink ref="R165" r:id="rId163" display="http://www.imdb.com/title/tt2404233/?ref_=fn_tt_tt_1"/>
    <hyperlink ref="R166" r:id="rId164" display="http://www.imdb.com/title/tt0382992/?ref_=fn_tt_tt_1"/>
    <hyperlink ref="R167" r:id="rId165" display="http://www.imdb.com/title/tt0409459/?ref_=fn_tt_tt_1"/>
    <hyperlink ref="R168" r:id="rId166" display="http://www.imdb.com/title/tt0122151/?ref_=fn_tt_tt_1"/>
    <hyperlink ref="R169" r:id="rId167" display="http://www.imdb.com/title/tt0286716/?ref_=fn_tt_tt_1"/>
    <hyperlink ref="R170" r:id="rId168" display="http://www.imdb.com/title/tt1583421/?ref_=fn_tt_tt_1"/>
    <hyperlink ref="R171" r:id="rId169" display="http://www.imdb.com/title/tt0318649/?ref_=fn_tt_tt_1"/>
    <hyperlink ref="R172" r:id="rId170" display="http://www.imdb.com/title/tt0173840/?ref_=fn_tt_tt_1"/>
    <hyperlink ref="R173" r:id="rId171" display="http://www.imdb.com/title/tt0458339/?ref_=fn_tt_tt_1"/>
    <hyperlink ref="R174" r:id="rId172" display="http://www.imdb.com/title/tt0143145/?ref_=fn_tt_tt_1"/>
    <hyperlink ref="R175" r:id="rId173" display="http://www.imdb.com/title/tt0311113/?ref_=fn_tt_tt_1"/>
    <hyperlink ref="R176" r:id="rId174" display="http://www.imdb.com/title/tt1673434/?ref_=fn_tt_tt_1"/>
    <hyperlink ref="R177" r:id="rId175" display="http://www.imdb.com/title/tt1402488/?ref_=fn_tt_tt_1"/>
    <hyperlink ref="R178" r:id="rId176" display="http://www.imdb.com/title/tt0800080/?ref_=fn_tt_tt_1"/>
    <hyperlink ref="R179" r:id="rId177" display="http://www.imdb.com/title/tt0086759/?ref_=fn_tt_tt_1"/>
    <hyperlink ref="R180" r:id="rId178" display="http://www.imdb.com/title/tt3691740/?ref_=fn_tt_tt_1"/>
    <hyperlink ref="R181" r:id="rId179" display="http://www.imdb.com/title/tt1663202/?ref_=fn_tt_tt_1"/>
    <hyperlink ref="R182" r:id="rId180" display="http://www.imdb.com/title/tt1860353/?ref_=fn_tt_tt_1"/>
    <hyperlink ref="R183" r:id="rId181" display="http://www.imdb.com/title/tt1192628/?ref_=fn_tt_tt_1"/>
    <hyperlink ref="R184" r:id="rId182" display="http://www.imdb.com/title/tt1911658/?ref_=fn_tt_tt_1"/>
    <hyperlink ref="R185" r:id="rId183" display="http://www.imdb.com/title/tt0440963/?ref_=fn_tt_tt_1"/>
    <hyperlink ref="R186" r:id="rId184" display="http://www.imdb.com/title/tt0441773/?ref_=fn_tt_tt_1"/>
    <hyperlink ref="R187" r:id="rId185" display="http://www.imdb.com/title/tt0478970/?ref_=fn_tt_tt_1"/>
    <hyperlink ref="R188" r:id="rId186" display="http://www.imdb.com/title/tt1951264/?ref_=fn_tt_tt_1"/>
    <hyperlink ref="R189" r:id="rId174" display="http://www.imdb.com/title/tt1673434/?ref_=fn_tt_tt_1"/>
    <hyperlink ref="R190" r:id="rId187" display="http://www.imdb.com/title/tt2224026/?ref_=fn_tt_tt_1"/>
    <hyperlink ref="R191" r:id="rId188" display="http://www.imdb.com/title/tt0407304/?ref_=fn_tt_tt_1"/>
    <hyperlink ref="R192" r:id="rId189" display="http://www.imdb.com/title/tt0172156/?ref_=fn_tt_tt_1"/>
    <hyperlink ref="R193" r:id="rId190" display="http://www.imdb.com/title/tt0448694/?ref_=fn_tt_tt_1"/>
    <hyperlink ref="R194" r:id="rId191" display="http://www.imdb.com/title/tt0944835/?ref_=fn_tt_tt_1"/>
    <hyperlink ref="R195" r:id="rId192" display="http://www.imdb.com/title/tt1959490/?ref_=fn_tt_tt_1"/>
    <hyperlink ref="R196" r:id="rId193" display="http://www.imdb.com/title/tt0983193/?ref_=fn_tt_tt_1"/>
    <hyperlink ref="R197" r:id="rId194" display="http://www.imdb.com/title/tt0304141/?ref_=fn_tt_tt_1"/>
    <hyperlink ref="R198" r:id="rId195" display="http://www.imdb.com/title/tt0455824/?ref_=fn_tt_tt_1"/>
    <hyperlink ref="R199" r:id="rId196" display="http://www.imdb.com/title/tt1815862/?ref_=fn_tt_tt_1"/>
    <hyperlink ref="R200" r:id="rId197" display="http://www.imdb.com/title/tt0130623/?ref_=fn_tt_tt_1"/>
    <hyperlink ref="R201" r:id="rId198" display="http://www.imdb.com/title/tt1680310/?ref_=fn_tt_tt_1"/>
    <hyperlink ref="R202" r:id="rId199" display="http://www.imdb.com/title/tt2692250/?ref_=fn_tt_tt_1"/>
    <hyperlink ref="R203" r:id="rId200" display="http://www.imdb.com/title/tt1001526/?ref_=fn_tt_tt_1"/>
    <hyperlink ref="R204" r:id="rId201" display="http://www.imdb.com/title/tt0241527/?ref_=fn_tt_tt_1"/>
    <hyperlink ref="R205" r:id="rId202" display="http://www.imdb.com/title/tt0790736/?ref_=fn_tt_tt_1"/>
    <hyperlink ref="R206" r:id="rId99" display="http://www.imdb.com/title/tt4262980/?ref_=fn_tt_tt_1"/>
    <hyperlink ref="R207" r:id="rId203" display="http://www.imdb.com/title/tt0325980/?ref_=fn_tt_tt_1"/>
    <hyperlink ref="R208" r:id="rId204" display="http://www.imdb.com/title/tt1571403/?ref_=fn_tt_tt_1"/>
    <hyperlink ref="R209" r:id="rId205" display="http://www.imdb.com/title/tt1951265/?ref_=fn_tt_tt_1"/>
    <hyperlink ref="R210" r:id="rId206" display="http://www.imdb.com/title/tt0382625/?ref_=fn_tt_tt_1"/>
    <hyperlink ref="R211" r:id="rId207" display="http://www.imdb.com/title/tt2357291/?ref_=fn_tt_tt_1"/>
    <hyperlink ref="R212" r:id="rId208" display="http://www.imdb.com/title/tt0290334/?ref_=fn_tt_tt_1"/>
    <hyperlink ref="R213" r:id="rId209" display="http://www.imdb.com/title/tt1596343/?ref_=fn_tt_tt_1"/>
    <hyperlink ref="R214" r:id="rId210" display="http://www.imdb.com/title/tt1515091/?ref_=fn_tt_tt_1"/>
    <hyperlink ref="R215" r:id="rId211" display="http://www.imdb.com/title/tt0800320/?ref_=fn_tt_tt_1"/>
    <hyperlink ref="R216" r:id="rId212" display="http://www.imdb.com/title/tt0100802/?ref_=fn_tt_tt_1"/>
    <hyperlink ref="R217" r:id="rId213" display="http://www.imdb.com/title/tt0120657/?ref_=fn_tt_tt_1"/>
    <hyperlink ref="R218" r:id="rId214" display="http://www.imdb.com/title/tt1194173/?ref_=fn_tt_tt_1"/>
    <hyperlink ref="R219" r:id="rId215" display="http://www.imdb.com/title/tt0118688/?ref_=fn_tt_tt_1"/>
    <hyperlink ref="R220" r:id="rId216" display="http://www.imdb.com/title/tt0170016/?ref_=fn_tt_tt_1"/>
    <hyperlink ref="R221" r:id="rId217" display="http://www.imdb.com/title/tt0319262/?ref_=fn_tt_tt_1"/>
    <hyperlink ref="R222" r:id="rId218" display="http://www.imdb.com/title/tt0120755/?ref_=fn_tt_tt_1"/>
    <hyperlink ref="R223" r:id="rId219" display="http://www.imdb.com/title/tt0177971/?ref_=fn_tt_tt_1"/>
    <hyperlink ref="R224" r:id="rId220" display="http://www.imdb.com/title/tt0486576/?ref_=fn_tt_tt_1"/>
    <hyperlink ref="R225" r:id="rId221" display="http://www.imdb.com/title/tt0454876/?ref_=fn_tt_tt_1"/>
    <hyperlink ref="R226" r:id="rId222" display="http://www.imdb.com/title/tt0259324/?ref_=fn_tt_tt_1"/>
    <hyperlink ref="R227" r:id="rId223" display="http://www.imdb.com/title/tt4196776/?ref_=fn_tt_tt_1"/>
    <hyperlink ref="R228" r:id="rId224" display="http://www.imdb.com/title/tt0305357/?ref_=fn_tt_tt_1"/>
    <hyperlink ref="R229" r:id="rId225" display="http://www.imdb.com/title/tt1446714/?ref_=fn_tt_tt_1"/>
    <hyperlink ref="R230" r:id="rId226" display="http://www.imdb.com/title/tt0243585/?ref_=fn_tt_tt_1"/>
    <hyperlink ref="R231" r:id="rId227" display="http://www.imdb.com/title/tt1535108/?ref_=fn_tt_tt_1"/>
    <hyperlink ref="R232" r:id="rId228" display="http://www.imdb.com/title/tt0296572/?ref_=fn_tt_tt_1"/>
    <hyperlink ref="R233" r:id="rId229" display="http://www.imdb.com/title/tt1234721/?ref_=fn_tt_tt_1"/>
    <hyperlink ref="R234" r:id="rId230" display="http://www.imdb.com/title/tt0811080/?ref_=fn_tt_tt_1"/>
    <hyperlink ref="R235" r:id="rId231" display="http://www.imdb.com/title/tt1341188/?ref_=fn_tt_tt_1"/>
    <hyperlink ref="R236" r:id="rId232" display="http://www.imdb.com/title/tt1013743/?ref_=fn_tt_tt_1"/>
    <hyperlink ref="R237" r:id="rId233" display="http://www.imdb.com/title/tt1483013/?ref_=fn_tt_tt_1"/>
    <hyperlink ref="R238" r:id="rId234" display="http://www.imdb.com/title/tt0121766/?ref_=fn_tt_tt_1"/>
    <hyperlink ref="R239" r:id="rId235" display="http://www.imdb.com/title/tt0121765/?ref_=fn_tt_tt_1"/>
    <hyperlink ref="R240" r:id="rId236" display="http://www.imdb.com/title/tt0198781/?ref_=fn_tt_tt_1"/>
    <hyperlink ref="R241" r:id="rId237" display="http://www.imdb.com/title/tt1430132/?ref_=fn_tt_tt_1"/>
    <hyperlink ref="R242" r:id="rId238" display="http://www.imdb.com/title/tt0120915/?ref_=fn_tt_tt_1"/>
    <hyperlink ref="R243" r:id="rId239" display="http://www.imdb.com/title/tt0481499/?ref_=fn_tt_tt_1"/>
    <hyperlink ref="R244" r:id="rId240" display="http://www.imdb.com/title/tt0463872/?ref_=fn_tt_tt_1"/>
    <hyperlink ref="R245" r:id="rId241" display="http://www.imdb.com/title/tt0245562/?ref_=fn_tt_tt_1"/>
    <hyperlink ref="R246" r:id="rId242" display="http://www.imdb.com/title/tt2381991/?ref_=fn_tt_tt_1"/>
    <hyperlink ref="R247" r:id="rId243" display="http://www.imdb.com/title/tt1291150/?ref_=fn_tt_tt_1"/>
    <hyperlink ref="R248" r:id="rId244" display="http://www.imdb.com/title/tt1454468/?ref_=fn_tt_tt_1"/>
    <hyperlink ref="R249" r:id="rId245" display="http://www.imdb.com/title/tt0118928/?ref_=fn_tt_tt_1"/>
    <hyperlink ref="R250" r:id="rId246" display="http://www.imdb.com/title/tt3949660/?ref_=fn_tt_tt_1"/>
    <hyperlink ref="R251" r:id="rId247" display="http://www.imdb.com/title/tt1502712/?ref_=fn_tt_tt_1"/>
    <hyperlink ref="R252" r:id="rId248" display="http://www.imdb.com/title/tt0477347/?ref_=fn_tt_tt_1"/>
    <hyperlink ref="R253" r:id="rId249" display="http://www.imdb.com/title/tt2126355/?ref_=fn_tt_tt_1"/>
    <hyperlink ref="R254" r:id="rId250" display="http://www.imdb.com/title/tt0120347/?ref_=fn_tt_tt_1"/>
    <hyperlink ref="R255" r:id="rId251" display="http://www.imdb.com/title/tt0187393/?ref_=fn_tt_tt_1"/>
    <hyperlink ref="R256" r:id="rId252" display="http://www.imdb.com/title/tt0349903/?ref_=fn_tt_tt_1"/>
    <hyperlink ref="R257" r:id="rId253" display="http://www.imdb.com/title/tt0356910/?ref_=fn_tt_tt_1"/>
    <hyperlink ref="R258" r:id="rId254" display="http://www.imdb.com/title/tt2908446/?ref_=fn_tt_tt_1"/>
    <hyperlink ref="R259" r:id="rId255" display="http://www.imdb.com/title/tt0338751/?ref_=fn_tt_tt_1"/>
    <hyperlink ref="R260" r:id="rId256" display="http://www.imdb.com/title/tt1320261/?ref_=fn_tt_tt_1"/>
    <hyperlink ref="R261" r:id="rId257" display="http://www.imdb.com/title/tt0990407/?ref_=fn_tt_tt_1"/>
    <hyperlink ref="R262" r:id="rId258" display="http://www.imdb.com/title/tt0084967/?ref_=fn_tt_tt_1"/>
    <hyperlink ref="R263" r:id="rId259" display="http://www.imdb.com/title/tt1253863/?ref_=fn_tt_tt_1"/>
    <hyperlink ref="R264" r:id="rId260" display="http://www.imdb.com/title/tt0472181/?ref_=fn_tt_tt_1"/>
    <hyperlink ref="R265" r:id="rId261" display="http://www.imdb.com/title/tt0299172/?ref_=fn_tt_tt_1"/>
    <hyperlink ref="R266" r:id="rId262" display="http://www.imdb.com/title/tt3410834/?ref_=fn_tt_tt_1"/>
    <hyperlink ref="R267" r:id="rId263" display="http://www.imdb.com/title/tt0433035/?ref_=fn_tt_tt_1"/>
    <hyperlink ref="R268" r:id="rId264" display="http://www.imdb.com/title/tt2017020/?ref_=fn_tt_tt_1"/>
    <hyperlink ref="R269" r:id="rId265" display="http://www.imdb.com/title/tt0120179/?ref_=fn_tt_tt_1"/>
    <hyperlink ref="R270" r:id="rId266" display="http://www.imdb.com/title/tt1731141/?ref_=fn_tt_tt_1"/>
    <hyperlink ref="R271" r:id="rId267" display="http://www.imdb.com/title/tt0337978/?ref_=fn_tt_tt_1"/>
    <hyperlink ref="R272" r:id="rId268" display="http://www.imdb.com/title/tt0120737/?ref_=fn_tt_tt_1"/>
    <hyperlink ref="R273" r:id="rId269" display="http://www.imdb.com/title/tt0327437/?ref_=fn_tt_tt_1"/>
    <hyperlink ref="R274" r:id="rId270" display="http://www.imdb.com/title/tt0248667/?ref_=fn_tt_tt_1"/>
    <hyperlink ref="R275" r:id="rId271" display="http://www.imdb.com/title/tt0312528/?ref_=fn_tt_tt_1"/>
    <hyperlink ref="R276" r:id="rId272" display="http://www.imdb.com/title/tt0343818/?ref_=fn_tt_tt_1"/>
    <hyperlink ref="R277" r:id="rId273" display="http://www.imdb.com/title/tt0320661/?ref_=fn_tt_tt_1"/>
    <hyperlink ref="R278" r:id="rId274" display="http://www.imdb.com/title/tt0164912/?ref_=fn_tt_tt_1"/>
    <hyperlink ref="R279" r:id="rId275" display="http://www.imdb.com/title/tt0780521/?ref_=fn_tt_tt_1"/>
    <hyperlink ref="R280" r:id="rId276" display="http://www.imdb.com/title/tt3659388/?ref_=fn_tt_tt_1"/>
    <hyperlink ref="R281" r:id="rId277" display="http://www.imdb.com/title/tt1869849/?ref_=fn_tt_tt_1"/>
    <hyperlink ref="R282" r:id="rId278" display="http://www.imdb.com/title/tt0399201/?ref_=fn_tt_tt_1"/>
    <hyperlink ref="R283" r:id="rId279" display="http://www.imdb.com/title/tt0141907/?ref_=fn_tt_tt_1"/>
    <hyperlink ref="R284" r:id="rId280" display="http://www.imdb.com/title/tt0187078/?ref_=fn_tt_tt_1"/>
    <hyperlink ref="R285" r:id="rId281" display="http://www.imdb.com/title/tt0172495/?ref_=fn_tt_tt_1"/>
    <hyperlink ref="R286" r:id="rId282" display="http://www.imdb.com/title/tt0181689/?ref_=fn_tt_tt_1"/>
    <hyperlink ref="R287" r:id="rId283" display="http://www.imdb.com/title/tt0295297/?ref_=fn_tt_tt_1"/>
    <hyperlink ref="R288" r:id="rId284" display="http://www.imdb.com/title/tt0381061/?ref_=fn_tt_tt_1"/>
    <hyperlink ref="R289" r:id="rId285" display="http://www.imdb.com/title/tt0133152/?ref_=fn_tt_tt_1"/>
    <hyperlink ref="R290" r:id="rId286" display="http://www.imdb.com/title/tt0103064/?ref_=fn_tt_tt_1"/>
    <hyperlink ref="R291" r:id="rId287" display="http://www.imdb.com/title/tt1152836/?ref_=fn_tt_tt_1"/>
    <hyperlink ref="R292" r:id="rId288" display="http://www.imdb.com/title/tt0765429/?ref_=fn_tt_tt_1"/>
    <hyperlink ref="R293" r:id="rId289" display="http://www.imdb.com/title/tt0111503/?ref_=fn_tt_tt_1"/>
    <hyperlink ref="R294" r:id="rId290" display="http://www.imdb.com/title/tt1111422/?ref_=fn_tt_tt_1"/>
    <hyperlink ref="R295" r:id="rId291" display="http://www.imdb.com/title/tt0970866/?ref_=fn_tt_tt_1"/>
    <hyperlink ref="R296" r:id="rId292" display="http://www.imdb.com/title/tt1386588/?ref_=fn_tt_tt_1"/>
    <hyperlink ref="R297" r:id="rId293" display="http://www.imdb.com/title/tt0116213/?ref_=fn_tt_tt_1"/>
    <hyperlink ref="R298" r:id="rId294" display="http://www.imdb.com/title/tt1853728/?ref_=fn_tt_tt_1"/>
    <hyperlink ref="R299" r:id="rId295" display="http://www.imdb.com/title/tt0116583/?ref_=fn_tt_tt_1"/>
    <hyperlink ref="R300" r:id="rId296" display="http://www.imdb.com/title/tt0120917/?ref_=fn_tt_tt_1"/>
    <hyperlink ref="R301" r:id="rId297" display="http://www.imdb.com/title/tt1764651/?ref_=fn_tt_tt_1"/>
    <hyperlink ref="R302" r:id="rId298" display="http://www.imdb.com/title/tt0368891/?ref_=fn_tt_tt_1"/>
    <hyperlink ref="R303" r:id="rId299" display="http://www.imdb.com/title/tt0449010/?ref_=fn_tt_tt_1"/>
    <hyperlink ref="R304" r:id="rId300" display="http://www.imdb.com/title/tt0386117/?ref_=fn_tt_tt_1"/>
    <hyperlink ref="R305" r:id="rId145" display="http://www.imdb.com/title/tt3332064/?ref_=fn_tt_tt_1"/>
    <hyperlink ref="R306" r:id="rId301" display="http://www.imdb.com/title/tt0848537/?ref_=fn_tt_tt_1"/>
    <hyperlink ref="R307" r:id="rId302" display="http://www.imdb.com/title/tt1243957/?ref_=fn_tt_tt_1"/>
    <hyperlink ref="R308" r:id="rId303" display="http://www.imdb.com/title/tt0146675/?ref_=fn_tt_tt_1"/>
    <hyperlink ref="R309" r:id="rId304" display="http://www.imdb.com/title/tt0450259/?ref_=fn_tt_tt_1"/>
    <hyperlink ref="R310" r:id="rId305" display="http://www.imdb.com/title/tt0993846/?ref_=fn_tt_tt_1"/>
    <hyperlink ref="R311" r:id="rId306" display="http://www.imdb.com/title/tt0112462/?ref_=fn_tt_tt_1"/>
    <hyperlink ref="R312" r:id="rId307" display="http://www.imdb.com/title/tt0120201/?ref_=fn_tt_tt_1"/>
    <hyperlink ref="R313" r:id="rId308" display="http://www.imdb.com/title/tt1371111/?ref_=fn_tt_tt_1"/>
    <hyperlink ref="R314" r:id="rId309" display="http://www.imdb.com/title/tt1219342/?ref_=fn_tt_tt_1"/>
    <hyperlink ref="R315" r:id="rId310" display="http://www.imdb.com/title/tt0327554/?ref_=fn_tt_tt_1"/>
    <hyperlink ref="R316" r:id="rId311" display="http://www.imdb.com/title/tt1267297/?ref_=fn_tt_tt_1"/>
    <hyperlink ref="R317" r:id="rId312" display="http://www.imdb.com/title/tt0133240/?ref_=fn_tt_tt_1"/>
    <hyperlink ref="R318" r:id="rId313" display="http://www.imdb.com/title/tt0457400/?ref_=fn_tt_tt_1"/>
    <hyperlink ref="R319" r:id="rId314" display="http://www.imdb.com/title/tt2333784/?ref_=fn_tt_tt_1"/>
    <hyperlink ref="R320" r:id="rId315" display="http://www.imdb.com/title/tt2058673/?ref_=fn_tt_tt_1"/>
    <hyperlink ref="R321" r:id="rId316" display="http://www.imdb.com/title/tt0362165/?ref_=fn_tt_tt_1"/>
    <hyperlink ref="R322" r:id="rId317" display="http://www.imdb.com/title/tt1390411/?ref_=fn_tt_tt_1"/>
    <hyperlink ref="R323" r:id="rId318" display="http://www.imdb.com/title/tt0180052/?ref_=fn_tt_tt_1"/>
    <hyperlink ref="R324" r:id="rId319" display="http://www.imdb.com/title/tt0947810/?ref_=fn_tt_tt_1"/>
    <hyperlink ref="R325" r:id="rId320" display="http://www.imdb.com/title/tt2452042/?ref_=fn_tt_tt_1"/>
    <hyperlink ref="R326" r:id="rId321" display="http://www.imdb.com/title/tt0120176/?ref_=fn_tt_tt_1"/>
    <hyperlink ref="R327" r:id="rId322" display="http://www.imdb.com/title/tt0209163/?ref_=fn_tt_tt_1"/>
    <hyperlink ref="R328" r:id="rId323" display="http://www.imdb.com/title/tt0217505/?ref_=fn_tt_tt_1"/>
    <hyperlink ref="R329" r:id="rId324" display="http://www.imdb.com/title/tt1410063/?ref_=fn_tt_tt_1"/>
    <hyperlink ref="R330" r:id="rId325" display="http://www.imdb.com/title/tt0423294/?ref_=fn_tt_tt_1"/>
    <hyperlink ref="R331" r:id="rId326" display="http://www.imdb.com/title/tt0327162/?ref_=fn_tt_tt_1"/>
    <hyperlink ref="R332" r:id="rId327" display="http://www.imdb.com/title/tt0265086/?ref_=fn_tt_tt_1"/>
    <hyperlink ref="R333" r:id="rId328" display="http://www.imdb.com/title/tt1790886/?ref_=fn_tt_tt_1"/>
    <hyperlink ref="R334" r:id="rId329" display="http://www.imdb.com/title/tt0119116/?ref_=fn_tt_tt_1"/>
    <hyperlink ref="R335" r:id="rId330" display="http://www.imdb.com/title/tt1261945/?ref_=fn_tt_tt_1"/>
    <hyperlink ref="R336" r:id="rId331" display="http://www.imdb.com/title/tt0138749/?ref_=fn_tt_tt_1"/>
    <hyperlink ref="R337" r:id="rId332" display="http://www.imdb.com/title/tt1667889/?ref_=fn_tt_tt_1"/>
    <hyperlink ref="R338" r:id="rId333" display="http://www.imdb.com/title/tt1661199/?ref_=fn_tt_tt_1"/>
    <hyperlink ref="R339" r:id="rId334" display="http://www.imdb.com/title/tt0380510/?ref_=fn_tt_tt_1"/>
    <hyperlink ref="R340" r:id="rId335" display="http://www.imdb.com/title/tt0266543/?ref_=fn_tt_tt_1"/>
    <hyperlink ref="R341" r:id="rId336" display="http://www.imdb.com/title/tt0167260/?ref_=fn_tt_tt_1"/>
    <hyperlink ref="R342" r:id="rId337" display="http://www.imdb.com/title/tt0167261/?ref_=fn_tt_tt_1"/>
    <hyperlink ref="R343" r:id="rId338" display="http://www.imdb.com/title/tt1121096/?ref_=fn_tt_tt_1"/>
    <hyperlink ref="R344" r:id="rId339" display="http://www.imdb.com/title/tt0146316/?ref_=fn_tt_tt_1"/>
    <hyperlink ref="R345" r:id="rId340" display="http://www.imdb.com/title/tt2209764/?ref_=fn_tt_tt_1"/>
    <hyperlink ref="R346" r:id="rId341" display="http://www.imdb.com/title/tt0163025/?ref_=fn_tt_tt_1"/>
    <hyperlink ref="R347" r:id="rId342" display="http://www.imdb.com/title/tt1318514/?ref_=fn_tt_tt_1"/>
    <hyperlink ref="R348" r:id="rId343" display="http://www.imdb.com/title/tt0416236/?ref_=fn_tt_tt_1"/>
    <hyperlink ref="R349" r:id="rId344" display="http://www.imdb.com/title/tt1606378/?ref_=fn_tt_tt_1"/>
    <hyperlink ref="R350" r:id="rId345" display="http://www.imdb.com/title/tt0318974/?ref_=fn_tt_tt_1"/>
    <hyperlink ref="R351" r:id="rId346" display="http://www.imdb.com/title/tt0317705/?ref_=fn_tt_tt_1"/>
    <hyperlink ref="R352" r:id="rId347" display="http://www.imdb.com/title/tt0112760/?ref_=fn_tt_tt_1"/>
    <hyperlink ref="R353" r:id="rId348" display="http://www.imdb.com/title/tt0814255/?ref_=fn_tt_tt_1"/>
    <hyperlink ref="R354" r:id="rId349" display="http://www.imdb.com/title/tt0119654/?ref_=fn_tt_tt_1"/>
    <hyperlink ref="R355" r:id="rId350" display="http://www.imdb.com/title/tt0120363/?ref_=fn_tt_tt_1"/>
    <hyperlink ref="R356" r:id="rId351" display="http://www.imdb.com/title/tt0477080/?ref_=fn_tt_tt_1"/>
    <hyperlink ref="R357" r:id="rId352" display="http://www.imdb.com/title/tt0266915/?ref_=fn_tt_tt_1"/>
    <hyperlink ref="R358" r:id="rId353" display="http://www.imdb.com/title/tt0161081/?ref_=fn_tt_tt_1"/>
    <hyperlink ref="R359" r:id="rId354" display="http://www.imdb.com/title/tt0844471/?ref_=fn_tt_tt_1"/>
    <hyperlink ref="R360" r:id="rId355" display="http://www.imdb.com/title/tt1080016/?ref_=fn_tt_tt_1"/>
    <hyperlink ref="R361" r:id="rId356" display="http://www.imdb.com/title/tt0359950/?ref_=fn_tt_tt_1"/>
    <hyperlink ref="R362" r:id="rId357" display="http://www.imdb.com/title/tt0160127/?ref_=fn_tt_tt_1"/>
    <hyperlink ref="R363" r:id="rId358" display="http://www.imdb.com/title/tt0407887/?ref_=fn_tt_tt_1"/>
    <hyperlink ref="R364" r:id="rId359" display="http://www.imdb.com/title/tt0120762/?ref_=fn_tt_tt_1"/>
    <hyperlink ref="R365" r:id="rId360" display="http://www.imdb.com/title/tt0942385/?ref_=fn_tt_tt_1"/>
    <hyperlink ref="R366" r:id="rId361" display="http://www.imdb.com/title/tt1568346/?ref_=fn_tt_tt_1"/>
    <hyperlink ref="R367" r:id="rId362" display="http://www.imdb.com/title/tt0112864/?ref_=fn_tt_tt_1"/>
    <hyperlink ref="R368" r:id="rId363" display="http://www.imdb.com/title/tt0988045/?ref_=fn_tt_tt_1"/>
    <hyperlink ref="R369" r:id="rId364" display="http://www.imdb.com/title/tt2638144/?ref_=fn_tt_tt_1"/>
    <hyperlink ref="R370" r:id="rId365" display="http://www.imdb.com/title/tt0230011/?ref_=fn_tt_tt_1"/>
    <hyperlink ref="R371" r:id="rId366" display="http://www.imdb.com/title/tt2974918/?ref_=fn_tt_tt_1"/>
    <hyperlink ref="R372" r:id="rId367" display="http://www.imdb.com/title/tt0985699/?ref_=fn_tt_tt_1"/>
    <hyperlink ref="R373" r:id="rId368" display="http://www.imdb.com/title/tt0960144/?ref_=fn_tt_tt_1"/>
    <hyperlink ref="R374" r:id="rId369" display="http://www.imdb.com/title/tt2120120/?ref_=fn_tt_tt_1"/>
    <hyperlink ref="R375" r:id="rId370" display="http://www.imdb.com/title/tt0212720/?ref_=fn_tt_tt_1"/>
    <hyperlink ref="R376" r:id="rId371" display="http://www.imdb.com/title/tt0338094/?ref_=fn_tt_tt_1"/>
    <hyperlink ref="R377" r:id="rId372" display="http://www.imdb.com/title/tt0118884/?ref_=fn_tt_tt_1"/>
    <hyperlink ref="R378" r:id="rId373" display="http://www.imdb.com/title/tt0164052/?ref_=fn_tt_tt_1"/>
    <hyperlink ref="R379" r:id="rId374" display="http://www.imdb.com/title/tt0373926/?ref_=fn_tt_tt_1"/>
    <hyperlink ref="R380" r:id="rId375" display="http://www.imdb.com/title/tt1854564/?ref_=fn_tt_tt_1"/>
    <hyperlink ref="R381" r:id="rId376" display="http://www.imdb.com/title/tt0325703/?ref_=fn_tt_tt_1"/>
    <hyperlink ref="R382" r:id="rId377" display="http://www.imdb.com/title/tt3110958/?ref_=fn_tt_tt_1"/>
    <hyperlink ref="R383" r:id="rId378" display="http://www.imdb.com/title/tt0120053/?ref_=fn_tt_tt_1"/>
    <hyperlink ref="R384" r:id="rId379" display="http://www.imdb.com/title/tt0266987/?ref_=fn_tt_tt_1"/>
    <hyperlink ref="R385" r:id="rId380" display="http://www.imdb.com/title/tt0183523/?ref_=fn_tt_tt_1"/>
    <hyperlink ref="L386" r:id="rId381" display="Will.i.am"/>
    <hyperlink ref="R386" r:id="rId382" display="http://www.imdb.com/title/tt1436562/?ref_=fn_tt_tt_1"/>
    <hyperlink ref="R387" r:id="rId383" display="http://www.imdb.com/title/tt0182789/?ref_=fn_tt_tt_1"/>
    <hyperlink ref="R388" r:id="rId384" display="http://www.imdb.com/title/tt0120461/?ref_=fn_tt_tt_1"/>
    <hyperlink ref="R389" r:id="rId385" display="http://www.imdb.com/title/tt0118972/?ref_=fn_tt_tt_1"/>
    <hyperlink ref="R390" r:id="rId386" display="http://www.imdb.com/title/tt0267626/?ref_=fn_tt_tt_1"/>
    <hyperlink ref="R391" r:id="rId247" display="http://www.imdb.com/title/tt1502712/?ref_=fn_tt_tt_1"/>
    <hyperlink ref="R392" r:id="rId387" display="http://www.imdb.com/title/tt0082198/?ref_=fn_tt_tt_1"/>
    <hyperlink ref="R393" r:id="rId388" display="http://www.imdb.com/title/tt0352248/?ref_=fn_tt_tt_1"/>
    <hyperlink ref="R394" r:id="rId389" display="http://www.imdb.com/title/tt1041804/?ref_=fn_tt_tt_1"/>
    <hyperlink ref="R395" r:id="rId390" display="http://www.imdb.com/title/tt0329575/?ref_=fn_tt_tt_1"/>
    <hyperlink ref="R396" r:id="rId391" display="http://www.imdb.com/title/tt0117998/?ref_=fn_tt_tt_1"/>
    <hyperlink ref="R397" r:id="rId101" display="http://www.imdb.com/title/tt0232500/?ref_=fn_tt_tt_1"/>
    <hyperlink ref="R398" r:id="rId392" display="http://www.imdb.com/title/tt0162222/?ref_=fn_tt_tt_1"/>
    <hyperlink ref="R399" r:id="rId393" display="http://www.imdb.com/title/tt0366548/?ref_=fn_tt_tt_1"/>
    <hyperlink ref="R400" r:id="rId394" display="http://www.imdb.com/title/tt0372183/?ref_=fn_tt_tt_1"/>
    <hyperlink ref="R401" r:id="rId395" display="http://www.imdb.com/title/tt0118571/?ref_=fn_tt_tt_1"/>
    <hyperlink ref="R402" r:id="rId396" display="http://www.imdb.com/title/tt0240772/?ref_=fn_tt_tt_1"/>
    <hyperlink ref="R403" r:id="rId397" display="http://www.imdb.com/title/tt1509767/?ref_=fn_tt_tt_1"/>
    <hyperlink ref="R404" r:id="rId398" display="http://www.imdb.com/title/tt0837562/?ref_=fn_tt_tt_1"/>
    <hyperlink ref="R405" r:id="rId399" display="http://www.imdb.com/title/tt0461770/?ref_=fn_tt_tt_1"/>
    <hyperlink ref="R406" r:id="rId400" display="http://www.imdb.com/title/tt2243973/?ref_=fn_tt_tt_1"/>
    <hyperlink ref="R407" r:id="rId401" display="http://www.imdb.com/title/tt1599348/?ref_=fn_tt_tt_1"/>
    <hyperlink ref="R408" r:id="rId402" display="http://www.imdb.com/title/tt0211181/?ref_=fn_tt_tt_1"/>
    <hyperlink ref="R409" r:id="rId403" display="http://www.imdb.com/title/tt0471042/?ref_=fn_tt_tt_1"/>
    <hyperlink ref="R410" r:id="rId404" display="http://www.imdb.com/title/tt0457939/?ref_=fn_tt_tt_1"/>
    <hyperlink ref="R411" r:id="rId405" display="http://www.imdb.com/title/tt0120660/?ref_=fn_tt_tt_1"/>
    <hyperlink ref="R412" r:id="rId406" display="http://www.imdb.com/title/tt1230414/?ref_=fn_tt_tt_1"/>
    <hyperlink ref="R413" r:id="rId407" display="http://www.imdb.com/title/tt0496806/?ref_=fn_tt_tt_1"/>
    <hyperlink ref="R414" r:id="rId408" display="http://www.imdb.com/title/tt0400717/?ref_=fn_tt_tt_1"/>
    <hyperlink ref="R415" r:id="rId409" display="http://www.imdb.com/title/tt1840309/?ref_=fn_tt_tt_1"/>
    <hyperlink ref="R416" r:id="rId410" display="http://www.imdb.com/title/tt0215750/?ref_=fn_tt_tt_1"/>
    <hyperlink ref="R417" r:id="rId411" display="http://www.imdb.com/title/tt0327850/?ref_=fn_tt_tt_1"/>
    <hyperlink ref="R418" r:id="rId412" display="http://www.imdb.com/title/tt0107362/?ref_=fn_tt_tt_1"/>
    <hyperlink ref="R419" r:id="rId413" display="http://www.imdb.com/title/tt0397535/?ref_=fn_tt_tt_1"/>
    <hyperlink ref="R420" r:id="rId414" display="http://www.imdb.com/title/tt0463985/?ref_=fn_tt_tt_1"/>
    <hyperlink ref="R421" r:id="rId415" display="http://www.imdb.com/title/tt1430607/?ref_=fn_tt_tt_1"/>
    <hyperlink ref="R422" r:id="rId416" display="http://www.imdb.com/title/tt0119643/?ref_=fn_tt_tt_1"/>
    <hyperlink ref="R423" r:id="rId417" display="http://www.imdb.com/title/tt0233469/?ref_=fn_tt_tt_1"/>
    <hyperlink ref="R424" r:id="rId418" display="http://www.imdb.com/title/tt0078754/?ref_=fn_tt_tt_1"/>
    <hyperlink ref="R425" r:id="rId419" display="http://www.imdb.com/title/tt1667353/?ref_=fn_tt_tt_1"/>
    <hyperlink ref="R426" r:id="rId420" display="http://www.imdb.com/title/tt0446029/?ref_=fn_tt_tt_1"/>
    <hyperlink ref="R427" r:id="rId421" display="http://www.imdb.com/title/tt0298814/?ref_=fn_tt_tt_1"/>
    <hyperlink ref="R428" r:id="rId422" display="http://www.imdb.com/title/tt0144528/?ref_=fn_tt_tt_1"/>
    <hyperlink ref="R429" r:id="rId423" display="http://www.imdb.com/title/tt0267913/?ref_=fn_tt_tt_1"/>
    <hyperlink ref="R430" r:id="rId424" display="http://www.imdb.com/title/tt1343727/?ref_=fn_tt_tt_1"/>
    <hyperlink ref="R431" r:id="rId425" display="http://www.imdb.com/title/tt0389860/?ref_=fn_tt_tt_1"/>
    <hyperlink ref="R432" r:id="rId426" display="http://www.imdb.com/title/tt0083767/?ref_=fn_tt_tt_1"/>
    <hyperlink ref="R433" r:id="rId427" display="http://www.imdb.com/title/tt1287468/?ref_=fn_tt_tt_1"/>
    <hyperlink ref="R434" r:id="rId428" display="http://www.imdb.com/title/tt0489099/?ref_=fn_tt_tt_1"/>
    <hyperlink ref="R435" r:id="rId429" display="http://www.imdb.com/title/tt0411477/?ref_=fn_tt_tt_1"/>
    <hyperlink ref="R436" r:id="rId430" display="http://www.imdb.com/title/tt0443706/?ref_=fn_tt_tt_1"/>
    <hyperlink ref="R437" r:id="rId431" display="http://www.imdb.com/title/tt0216216/?ref_=fn_tt_tt_1"/>
    <hyperlink ref="R438" r:id="rId432" display="http://www.imdb.com/title/tt0315327/?ref_=fn_tt_tt_1"/>
    <hyperlink ref="R439" r:id="rId433" display="http://www.imdb.com/title/tt1320253/?ref_=fn_tt_tt_1"/>
    <hyperlink ref="R440" r:id="rId434" display="http://www.imdb.com/title/tt0117060/?ref_=fn_tt_tt_1"/>
    <hyperlink ref="R441" r:id="rId435" display="http://www.imdb.com/title/tt1392170/?ref_=fn_tt_tt_1"/>
    <hyperlink ref="R442" r:id="rId436" display="http://www.imdb.com/title/tt1411697/?ref_=fn_tt_tt_1"/>
    <hyperlink ref="R443" r:id="rId437" display="http://www.imdb.com/title/tt0103776/?ref_=fn_tt_tt_1"/>
    <hyperlink ref="R444" r:id="rId438" display="http://www.imdb.com/title/tt0327084/?ref_=fn_tt_tt_1"/>
    <hyperlink ref="R445" r:id="rId439" display="http://www.imdb.com/title/tt0275847/?ref_=fn_tt_tt_1"/>
    <hyperlink ref="R446" r:id="rId440" display="http://www.imdb.com/title/tt0413895/?ref_=fn_tt_tt_1"/>
    <hyperlink ref="R447" r:id="rId441" display="http://www.imdb.com/title/tt0120647/?ref_=fn_tt_tt_1"/>
    <hyperlink ref="R448" r:id="rId442" display="http://www.imdb.com/title/tt1821694/?ref_=fn_tt_tt_1"/>
    <hyperlink ref="R449" r:id="rId443" display="http://www.imdb.com/title/tt0398165/?ref_=fn_tt_tt_1"/>
    <hyperlink ref="R450" r:id="rId444" display="http://www.imdb.com/title/tt1615918/?ref_=fn_tt_tt_1"/>
    <hyperlink ref="R451" r:id="rId445" display="http://www.imdb.com/title/tt2191701/?ref_=fn_tt_tt_1"/>
    <hyperlink ref="R452" r:id="rId446" display="http://www.imdb.com/title/tt0425061/?ref_=fn_tt_tt_1"/>
    <hyperlink ref="R453" r:id="rId447" display="http://www.imdb.com/title/tt0337741/?ref_=fn_tt_tt_1"/>
    <hyperlink ref="R454" r:id="rId448" display="http://www.imdb.com/title/tt1130884/?ref_=fn_tt_tt_1"/>
    <hyperlink ref="R455" r:id="rId449" display="http://www.imdb.com/title/tt0369436/?ref_=fn_tt_tt_1"/>
    <hyperlink ref="R456" r:id="rId450" display="http://www.imdb.com/title/tt0358082/?ref_=fn_tt_tt_1"/>
    <hyperlink ref="R457" r:id="rId451" display="http://www.imdb.com/title/tt0119094/?ref_=fn_tt_tt_1"/>
    <hyperlink ref="R458" r:id="rId452" display="http://www.imdb.com/title/tt0960731/?ref_=fn_tt_tt_1"/>
    <hyperlink ref="R459" r:id="rId453" display="http://www.imdb.com/title/tt0257044/?ref_=fn_tt_tt_1"/>
    <hyperlink ref="R460" r:id="rId454" display="http://www.imdb.com/title/tt1564367/?ref_=fn_tt_tt_1"/>
    <hyperlink ref="R461" r:id="rId455" display="http://www.imdb.com/title/tt3322312/?ref_=fn_tt_tt_1"/>
    <hyperlink ref="R462" r:id="rId456" display="http://www.imdb.com/title/tt0118880/?ref_=fn_tt_tt_1"/>
    <hyperlink ref="R463" r:id="rId457" display="http://www.imdb.com/title/tt1059786/?ref_=fn_tt_tt_1"/>
    <hyperlink ref="R464" r:id="rId458" display="http://www.imdb.com/title/tt0159365/?ref_=fn_tt_tt_1"/>
    <hyperlink ref="R465" r:id="rId459" display="http://www.imdb.com/title/tt1037705/?ref_=fn_tt_tt_1"/>
    <hyperlink ref="R466" r:id="rId460" display="http://www.imdb.com/title/tt0119137/?ref_=fn_tt_tt_1"/>
    <hyperlink ref="R467" r:id="rId461" display="http://www.imdb.com/title/tt0171363/?ref_=fn_tt_tt_1"/>
    <hyperlink ref="R468" r:id="rId462" display="http://www.imdb.com/title/tt0117705/?ref_=fn_tt_tt_1"/>
    <hyperlink ref="R469" r:id="rId463" display="http://www.imdb.com/title/tt0383216/?ref_=fn_tt_tt_1"/>
    <hyperlink ref="R470" r:id="rId464" display="http://www.imdb.com/title/tt0970416/?ref_=fn_tt_tt_1"/>
    <hyperlink ref="R471" r:id="rId465" display="http://www.imdb.com/title/tt0118883/?ref_=fn_tt_tt_1"/>
    <hyperlink ref="R472" r:id="rId466" display="http://www.imdb.com/title/tt2713180/?ref_=fn_tt_tt_1"/>
    <hyperlink ref="R473" r:id="rId467" display="http://www.imdb.com/title/tt0120828/?ref_=fn_tt_tt_1"/>
    <hyperlink ref="R474" r:id="rId468" display="http://www.imdb.com/title/tt1302067/?ref_=fn_tt_tt_1"/>
    <hyperlink ref="R475" r:id="rId469" display="http://www.imdb.com/title/tt0166813/?ref_=fn_tt_tt_1"/>
    <hyperlink ref="R476" r:id="rId470" display="http://www.imdb.com/title/tt1222817/?ref_=fn_tt_tt_1"/>
    <hyperlink ref="R477" r:id="rId471" display="http://www.imdb.com/title/tt0120738/?ref_=fn_tt_tt_1"/>
    <hyperlink ref="R478" r:id="rId472" display="http://www.imdb.com/title/tt0368008/?ref_=fn_tt_tt_1"/>
    <hyperlink ref="R479" r:id="rId473" display="http://www.imdb.com/title/tt0119033/?ref_=fn_tt_tt_1"/>
    <hyperlink ref="R480" r:id="rId474" display="http://www.imdb.com/title/tt2510894/?ref_=fn_tt_tt_1"/>
    <hyperlink ref="R481" r:id="rId475" display="http://www.imdb.com/title/tt0057733/?ref_=fn_tt_tt_1"/>
    <hyperlink ref="R482" r:id="rId476" display="http://www.imdb.com/title/tt0120910/?ref_=fn_tt_tt_1"/>
    <hyperlink ref="R483" r:id="rId477" display="http://www.imdb.com/title/tt0268695/?ref_=fn_tt_tt_1"/>
    <hyperlink ref="R484" r:id="rId478" display="http://www.imdb.com/title/tt0120751/?ref_=fn_tt_tt_1"/>
    <hyperlink ref="R485" r:id="rId479" display="http://www.imdb.com/title/tt0244244/?ref_=fn_tt_tt_1"/>
    <hyperlink ref="R486" r:id="rId480" display="http://www.imdb.com/title/tt0386140/?ref_=fn_tt_tt_1"/>
    <hyperlink ref="R487" r:id="rId481" display="http://www.imdb.com/title/tt0120889/?ref_=fn_tt_tt_1"/>
    <hyperlink ref="R488" r:id="rId482" display="http://www.imdb.com/title/tt0185431/?ref_=fn_tt_tt_1"/>
    <hyperlink ref="R489" r:id="rId483" display="http://www.imdb.com/title/tt0355295/?ref_=fn_tt_tt_1"/>
    <hyperlink ref="R490" r:id="rId484" display="http://www.imdb.com/title/tt0116996/?ref_=fn_tt_tt_1"/>
    <hyperlink ref="R491" r:id="rId485" display="http://www.imdb.com/title/tt4291590/?ref_=fn_tt_tt_1"/>
    <hyperlink ref="R492" r:id="rId486" display="http://www.imdb.com/title/tt0119051/?ref_=fn_tt_tt_1"/>
    <hyperlink ref="R493" r:id="rId487" display="http://www.imdb.com/title/tt0986263/?ref_=fn_tt_tt_1"/>
    <hyperlink ref="R494" r:id="rId488" display="http://www.imdb.com/title/tt0146309/?ref_=fn_tt_tt_1"/>
    <hyperlink ref="R495" r:id="rId489" display="http://www.imdb.com/title/tt0116040/?ref_=fn_tt_tt_1"/>
    <hyperlink ref="R496" r:id="rId490" display="http://www.imdb.com/title/tt1762399/?ref_=fn_tt_tt_1"/>
    <hyperlink ref="R497" r:id="rId491" display="http://www.imdb.com/title/tt0185183/?ref_=fn_tt_tt_1"/>
    <hyperlink ref="R498" r:id="rId492" display="http://www.imdb.com/title/tt0318155/?ref_=fn_tt_tt_1"/>
    <hyperlink ref="R499" r:id="rId493" display="http://www.imdb.com/title/tt0875034/?ref_=fn_tt_tt_1"/>
    <hyperlink ref="R500" r:id="rId494" display="http://www.imdb.com/title/tt0300556/?ref_=fn_tt_tt_1"/>
    <hyperlink ref="R501" r:id="rId495" display="http://www.imdb.com/title/tt0119925/?ref_=fn_tt_tt_1"/>
    <hyperlink ref="R502" r:id="rId496" display="http://www.imdb.com/title/tt0120595/?ref_=fn_tt_tt_1"/>
    <hyperlink ref="R503" r:id="rId497" display="http://www.imdb.com/title/tt1618442/?ref_=fn_tt_tt_1"/>
    <hyperlink ref="R504" r:id="rId498" display="http://www.imdb.com/title/tt0199753/?ref_=fn_tt_tt_1"/>
    <hyperlink ref="R505" r:id="rId499" display="http://www.imdb.com/title/tt0344854/?ref_=fn_tt_tt_1"/>
    <hyperlink ref="R506" r:id="rId500" display="http://www.imdb.com/title/tt0765128/?ref_=fn_tt_tt_1"/>
    <hyperlink ref="R507" r:id="rId501" display="http://www.imdb.com/title/tt0318081/?ref_=fn_tt_tt_1"/>
    <hyperlink ref="R508" r:id="rId502" display="http://www.imdb.com/title/tt1921064/?ref_=fn_tt_tt_1"/>
    <hyperlink ref="R509" r:id="rId503" display="http://www.imdb.com/title/tt4057916/?ref_=fn_tt_tt_1"/>
    <hyperlink ref="R510" r:id="rId504" display="http://www.imdb.com/title/tt0268978/?ref_=fn_tt_tt_1"/>
    <hyperlink ref="R511" r:id="rId505" display="http://www.imdb.com/title/tt0110357/?ref_=fn_tt_tt_1"/>
    <hyperlink ref="R512" r:id="rId506" display="http://www.imdb.com/title/tt1397514/?ref_=fn_tt_tt_1"/>
    <hyperlink ref="R513" r:id="rId507" display="http://www.imdb.com/title/tt1985966/?ref_=fn_tt_tt_1"/>
    <hyperlink ref="R514" r:id="rId508" display="http://www.imdb.com/title/tt0289765/?ref_=fn_tt_tt_1"/>
    <hyperlink ref="R515" r:id="rId509" display="http://www.imdb.com/title/tt0317648/?ref_=fn_tt_tt_1"/>
    <hyperlink ref="R516" r:id="rId510" display="http://www.imdb.com/title/tt0810913/?ref_=fn_tt_tt_1"/>
    <hyperlink ref="R517" r:id="rId511" display="http://www.imdb.com/title/tt0322259/?ref_=fn_tt_tt_1"/>
    <hyperlink ref="R518" r:id="rId512" display="http://www.imdb.com/title/tt1754656/?ref_=fn_tt_tt_1"/>
    <hyperlink ref="R519" r:id="rId513" display="http://www.imdb.com/title/tt0427392/?ref_=fn_tt_tt_1"/>
    <hyperlink ref="R520" r:id="rId514" display="http://www.imdb.com/title/tt0131704/?ref_=fn_tt_tt_1"/>
    <hyperlink ref="R521" r:id="rId515" display="http://www.imdb.com/title/tt2709768/?ref_=fn_tt_tt_1"/>
    <hyperlink ref="R522" r:id="rId516" display="http://www.imdb.com/title/tt0311429/?ref_=fn_tt_tt_1"/>
    <hyperlink ref="R523" r:id="rId517" display="http://www.imdb.com/title/tt1690953/?ref_=fn_tt_tt_1"/>
    <hyperlink ref="R524" r:id="rId518" display="http://www.imdb.com/title/tt0116629/?ref_=fn_tt_tt_1"/>
    <hyperlink ref="R525" r:id="rId519" display="http://www.imdb.com/title/tt0119567/?ref_=fn_tt_tt_1"/>
    <hyperlink ref="R526" r:id="rId520" display="http://www.imdb.com/title/tt0351283/?ref_=fn_tt_tt_1"/>
    <hyperlink ref="R527" r:id="rId521" display="http://www.imdb.com/title/tt0206634/?ref_=fn_tt_tt_1"/>
    <hyperlink ref="R528" r:id="rId522" display="http://www.imdb.com/title/tt0120903/?ref_=fn_tt_tt_1"/>
    <hyperlink ref="R529" r:id="rId523" display="http://www.imdb.com/title/tt0493464/?ref_=fn_tt_tt_1"/>
    <hyperlink ref="R530" r:id="rId524" display="http://www.imdb.com/title/tt0117500/?ref_=fn_tt_tt_1"/>
    <hyperlink ref="R531" r:id="rId525" display="http://www.imdb.com/title/tt0438097/?ref_=fn_tt_tt_1"/>
    <hyperlink ref="R532" r:id="rId526" display="http://www.imdb.com/title/tt0343660/?ref_=fn_tt_tt_1"/>
    <hyperlink ref="R533" r:id="rId527" display="http://www.imdb.com/title/tt0427327/?ref_=fn_tt_tt_1"/>
    <hyperlink ref="R534" r:id="rId528" display="http://www.imdb.com/title/tt0204313/?ref_=fn_tt_tt_1"/>
    <hyperlink ref="R535" r:id="rId529" display="http://www.imdb.com/title/tt0141369/?ref_=fn_tt_tt_1"/>
    <hyperlink ref="R536" r:id="rId530" display="http://www.imdb.com/title/tt1670345/?ref_=fn_tt_tt_1"/>
    <hyperlink ref="R537" r:id="rId531" display="http://www.imdb.com/title/tt1375670/?ref_=fn_tt_tt_1"/>
    <hyperlink ref="R538" r:id="rId532" display="http://www.imdb.com/title/tt0362227/?ref_=fn_tt_tt_1"/>
    <hyperlink ref="R539" r:id="rId533" display="http://www.imdb.com/title/tt3489184/?ref_=fn_tt_tt_1"/>
    <hyperlink ref="R540" r:id="rId534" display="http://www.imdb.com/title/tt0785006/?ref_=fn_tt_tt_1"/>
    <hyperlink ref="R541" r:id="rId535" display="http://www.imdb.com/title/tt0190865/?ref_=fn_tt_tt_1"/>
    <hyperlink ref="R542" r:id="rId536" display="http://www.imdb.com/title/tt0472062/?ref_=fn_tt_tt_1"/>
    <hyperlink ref="R543" r:id="rId537" display="http://www.imdb.com/title/tt0307453/?ref_=fn_tt_tt_1"/>
    <hyperlink ref="R544" r:id="rId538" display="http://www.imdb.com/title/tt0443489/?ref_=fn_tt_tt_1"/>
    <hyperlink ref="R545" r:id="rId539" display="http://www.imdb.com/title/tt0874936/?ref_=fn_tt_tt_1"/>
    <hyperlink ref="R546" r:id="rId540" display="http://www.imdb.com/title/tt0377471/?ref_=fn_tt_tt_1"/>
    <hyperlink ref="R547" r:id="rId541" display="http://www.imdb.com/title/tt0408306/?ref_=fn_tt_tt_1"/>
    <hyperlink ref="R548" r:id="rId542" display="http://www.imdb.com/title/tt0314353/?ref_=fn_tt_tt_1"/>
    <hyperlink ref="R549" r:id="rId543" display="http://www.imdb.com/title/tt1103153/?ref_=fn_tt_tt_1"/>
    <hyperlink ref="R550" r:id="rId544" display="http://www.imdb.com/title/tt1638355/?ref_=fn_tt_tt_1"/>
    <hyperlink ref="R551" r:id="rId545" display="http://www.imdb.com/title/tt0371246/?ref_=fn_tt_tt_1"/>
    <hyperlink ref="R552" r:id="rId546" display="http://www.imdb.com/title/tt0385880/?ref_=fn_tt_tt_1"/>
    <hyperlink ref="R553" r:id="rId547" display="http://www.imdb.com/title/tt0219965/?ref_=fn_tt_tt_1"/>
    <hyperlink ref="R554" r:id="rId548" display="http://www.imdb.com/title/tt0113071/?ref_=fn_tt_tt_1"/>
    <hyperlink ref="R555" r:id="rId549" display="http://www.imdb.com/title/tt0166485/?ref_=fn_tt_tt_1"/>
    <hyperlink ref="R556" r:id="rId550" display="http://www.imdb.com/title/tt1253864/?ref_=fn_tt_tt_1"/>
    <hyperlink ref="R557" r:id="rId551" display="http://www.imdb.com/title/tt0340163/?ref_=fn_tt_tt_1"/>
    <hyperlink ref="R558" r:id="rId552" display="http://www.imdb.com/title/tt0120913/?ref_=fn_tt_tt_1"/>
    <hyperlink ref="R559" r:id="rId553" display="http://www.imdb.com/title/tt0329717/?ref_=fn_tt_tt_1"/>
    <hyperlink ref="R560" r:id="rId554" display="http://www.imdb.com/title/tt0120157/?ref_=fn_tt_tt_1"/>
    <hyperlink ref="R561" r:id="rId555" display="http://www.imdb.com/title/tt0806203/?ref_=fn_tt_tt_1"/>
    <hyperlink ref="R562" r:id="rId556" display="http://www.imdb.com/title/tt0166276/?ref_=fn_tt_tt_1"/>
    <hyperlink ref="R563" r:id="rId557" display="http://www.imdb.com/title/tt0377062/?ref_=fn_tt_tt_1"/>
    <hyperlink ref="R564" r:id="rId558" display="http://www.imdb.com/title/tt0217869/?ref_=fn_tt_tt_1"/>
    <hyperlink ref="R565" r:id="rId559" display="http://www.imdb.com/title/tt2293640/?ref_=fn_tt_tt_1"/>
    <hyperlink ref="R566" r:id="rId560" display="http://www.imdb.com/title/tt0978764/?ref_=fn_tt_tt_1"/>
    <hyperlink ref="R567" r:id="rId561" display="http://www.imdb.com/title/tt0120832/?ref_=fn_tt_tt_1"/>
    <hyperlink ref="R568" r:id="rId562" display="http://www.imdb.com/title/tt0120184/?ref_=fn_tt_tt_1"/>
    <hyperlink ref="R569" r:id="rId563" display="http://www.imdb.com/title/tt1985949/?ref_=fn_tt_tt_1"/>
    <hyperlink ref="R570" r:id="rId564" display="http://www.imdb.com/title/tt0770752/?ref_=fn_tt_tt_1"/>
    <hyperlink ref="R571" r:id="rId565" display="http://www.imdb.com/title/tt1201167/?ref_=fn_tt_tt_1"/>
    <hyperlink ref="R572" r:id="rId566" display="http://www.imdb.com/title/tt0431197/?ref_=fn_tt_tt_1"/>
    <hyperlink ref="R573" r:id="rId567" display="http://www.imdb.com/title/tt0415306/?ref_=fn_tt_tt_1"/>
    <hyperlink ref="R574" r:id="rId568" display="http://www.imdb.com/title/tt0240462/?ref_=fn_tt_tt_1"/>
    <hyperlink ref="R575" r:id="rId569" display="http://www.imdb.com/title/tt0112573/?ref_=fn_tt_tt_1"/>
    <hyperlink ref="R576" r:id="rId570" display="http://www.imdb.com/title/tt0418763/?ref_=fn_tt_tt_1"/>
    <hyperlink ref="R577" r:id="rId571" display="http://www.imdb.com/title/tt0462538/?ref_=fn_tt_tt_1"/>
    <hyperlink ref="R578" r:id="rId572" display="http://www.imdb.com/title/tt0268995/?ref_=fn_tt_tt_1"/>
    <hyperlink ref="R579" r:id="rId573" display="http://www.imdb.com/title/tt0132245/?ref_=fn_tt_tt_1"/>
    <hyperlink ref="R580" r:id="rId574" display="http://www.imdb.com/title/tt0338512/?ref_=fn_tt_tt_1"/>
    <hyperlink ref="R581" r:id="rId575" display="http://www.imdb.com/title/tt0368447/?ref_=fn_tt_tt_1"/>
    <hyperlink ref="R582" r:id="rId576" display="http://www.imdb.com/title/tt0118998/?ref_=fn_tt_tt_1"/>
    <hyperlink ref="R583" r:id="rId577" display="http://www.imdb.com/title/tt0286106/?ref_=fn_tt_tt_1"/>
    <hyperlink ref="R584" r:id="rId578" display="http://www.imdb.com/title/tt0298148/?ref_=fn_tt_tt_1"/>
    <hyperlink ref="R585" r:id="rId579" display="http://www.imdb.com/title/tt0317219/?ref_=fn_tt_tt_1"/>
    <hyperlink ref="R586" r:id="rId580" display="http://www.imdb.com/title/tt0163187/?ref_=fn_tt_tt_1"/>
    <hyperlink ref="R587" r:id="rId581" display="http://www.imdb.com/title/tt0295701/?ref_=fn_tt_tt_1"/>
    <hyperlink ref="R588" r:id="rId582" display="http://www.imdb.com/title/tt2279373/?ref_=fn_tt_tt_1"/>
    <hyperlink ref="R589" r:id="rId583" display="http://www.imdb.com/title/tt0117438/?ref_=fn_tt_tt_1"/>
    <hyperlink ref="R590" r:id="rId584" display="http://www.imdb.com/title/tt0361748/?ref_=fn_tt_tt_1"/>
    <hyperlink ref="R591" r:id="rId585" display="http://www.imdb.com/title/tt0102057/?ref_=fn_tt_tt_1"/>
    <hyperlink ref="R592" r:id="rId311" display="http://www.imdb.com/title/tt1267297/?ref_=fn_tt_tt_1"/>
    <hyperlink ref="R593" r:id="rId586" display="http://www.imdb.com/title/tt0099423/?ref_=fn_tt_tt_1"/>
    <hyperlink ref="R594" r:id="rId587" display="http://www.imdb.com/title/tt0257076/?ref_=fn_tt_tt_1"/>
    <hyperlink ref="R595" r:id="rId588" display="http://www.imdb.com/title/tt2647544/?ref_=fn_tt_tt_1"/>
    <hyperlink ref="R596" r:id="rId589" display="http://www.imdb.com/title/tt0259711/?ref_=fn_tt_tt_1"/>
    <hyperlink ref="R597" r:id="rId590" display="http://www.imdb.com/title/tt0452637/?ref_=fn_tt_tt_1"/>
    <hyperlink ref="R598" r:id="rId591" display="http://www.imdb.com/title/tt0370263/?ref_=fn_tt_tt_1"/>
    <hyperlink ref="R599" r:id="rId592" display="http://www.imdb.com/title/tt1231580/?ref_=fn_tt_tt_1"/>
    <hyperlink ref="R600" r:id="rId593" display="http://www.imdb.com/title/tt0277434/?ref_=fn_tt_tt_1"/>
    <hyperlink ref="R601" r:id="rId594" display="http://www.imdb.com/title/tt2302755/?ref_=fn_tt_tt_1"/>
    <hyperlink ref="R602" r:id="rId595" display="http://www.imdb.com/title/tt0120844/?ref_=fn_tt_tt_1"/>
    <hyperlink ref="R603" r:id="rId596" display="http://www.imdb.com/title/tt1217613/?ref_=fn_tt_tt_1"/>
    <hyperlink ref="R604" r:id="rId597" display="http://www.imdb.com/title/tt0319061/?ref_=fn_tt_tt_1"/>
    <hyperlink ref="R605" r:id="rId598" display="http://www.imdb.com/title/tt0111742/?ref_=fn_tt_tt_1"/>
    <hyperlink ref="R606" r:id="rId599" display="http://www.imdb.com/title/tt1568911/?ref_=fn_tt_tt_1"/>
    <hyperlink ref="R607" r:id="rId600" display="http://www.imdb.com/title/tt2177771/?ref_=fn_tt_tt_1"/>
    <hyperlink ref="R608" r:id="rId601" display="http://www.imdb.com/title/tt0096754/?ref_=fn_tt_tt_1"/>
    <hyperlink ref="R609" r:id="rId602" display="http://www.imdb.com/title/tt1027718/?ref_=fn_tt_tt_1"/>
    <hyperlink ref="R610" r:id="rId603" display="http://www.imdb.com/title/tt0829150/?ref_=fn_tt_tt_1"/>
    <hyperlink ref="R611" r:id="rId604" display="http://www.imdb.com/title/tt0133952/?ref_=fn_tt_tt_1"/>
    <hyperlink ref="R612" r:id="rId605" display="http://www.imdb.com/title/tt0486655/?ref_=fn_tt_tt_1"/>
    <hyperlink ref="R613" r:id="rId606" display="http://www.imdb.com/title/tt0120102/?ref_=fn_tt_tt_1"/>
    <hyperlink ref="R614" r:id="rId607" display="http://www.imdb.com/title/tt1578275/?ref_=fn_tt_tt_1"/>
    <hyperlink ref="R615" r:id="rId608" display="http://www.imdb.com/title/tt0280486/?ref_=fn_tt_tt_1"/>
    <hyperlink ref="R616" r:id="rId609" display="http://www.imdb.com/title/tt0419706/?ref_=fn_tt_tt_1"/>
    <hyperlink ref="R617" r:id="rId610" display="http://www.imdb.com/title/tt0297181/?ref_=fn_tt_tt_1"/>
    <hyperlink ref="R618" r:id="rId611" display="http://www.imdb.com/title/tt1496025/?ref_=fn_tt_tt_1"/>
    <hyperlink ref="R619" r:id="rId612" display="http://www.imdb.com/title/tt1336608/?ref_=fn_tt_tt_1"/>
    <hyperlink ref="R620" r:id="rId613" display="http://www.imdb.com/title/tt0251114/?ref_=fn_tt_tt_1"/>
    <hyperlink ref="R621" r:id="rId614" display="http://www.imdb.com/title/tt1448755/?ref_=fn_tt_tt_1"/>
    <hyperlink ref="R622" r:id="rId615" display="http://www.imdb.com/title/tt0246894/?ref_=fn_tt_tt_1"/>
    <hyperlink ref="R623" r:id="rId616" display="http://www.imdb.com/title/tt0308208/?ref_=fn_tt_tt_1"/>
    <hyperlink ref="R624" r:id="rId617" display="http://www.imdb.com/title/tt0120696/?ref_=fn_tt_tt_1"/>
    <hyperlink ref="R625" r:id="rId618" display="http://www.imdb.com/title/tt0181739/?ref_=fn_tt_tt_1"/>
    <hyperlink ref="R626" r:id="rId619" display="http://www.imdb.com/title/tt0884726/?ref_=fn_tt_tt_1"/>
    <hyperlink ref="R627" r:id="rId620" display="http://www.imdb.com/title/tt2717822/?ref_=fn_tt_tt_1"/>
    <hyperlink ref="R628" r:id="rId621" display="http://www.imdb.com/title/tt0346156/?ref_=fn_tt_tt_1"/>
    <hyperlink ref="R629" r:id="rId622" display="http://www.imdb.com/title/tt0430912/?ref_=fn_tt_tt_1"/>
    <hyperlink ref="R630" r:id="rId623" display="http://www.imdb.com/title/tt1211956/?ref_=fn_tt_tt_1"/>
    <hyperlink ref="R631" r:id="rId624" display="http://www.imdb.com/title/tt1043726/?ref_=fn_tt_tt_1"/>
    <hyperlink ref="R632" r:id="rId625" display="http://www.imdb.com/title/tt0164184/?ref_=fn_tt_tt_1"/>
    <hyperlink ref="R633" r:id="rId626" display="http://www.imdb.com/title/tt1325004/?ref_=fn_tt_tt_1"/>
    <hyperlink ref="R634" r:id="rId627" display="http://www.imdb.com/title/tt0227445/?ref_=fn_tt_tt_1"/>
    <hyperlink ref="R635" r:id="rId628" display="http://www.imdb.com/title/tt1323594/?ref_=fn_tt_tt_1"/>
    <hyperlink ref="R636" r:id="rId629" display="http://www.imdb.com/title/tt0113845/?ref_=fn_tt_tt_1"/>
    <hyperlink ref="R637" r:id="rId630" display="http://www.imdb.com/title/tt2637276/?ref_=fn_tt_tt_1"/>
    <hyperlink ref="R638" r:id="rId631" display="http://www.imdb.com/title/tt1186830/?ref_=fn_tt_tt_1"/>
    <hyperlink ref="R639" r:id="rId632" display="http://www.imdb.com/title/tt0132347/?ref_=fn_tt_tt_1"/>
    <hyperlink ref="R640" r:id="rId633" display="http://www.imdb.com/title/tt0480687/?ref_=fn_tt_tt_1"/>
    <hyperlink ref="R641" r:id="rId634" display="http://www.imdb.com/title/tt0140352/?ref_=fn_tt_tt_1"/>
    <hyperlink ref="R642" r:id="rId635" display="http://www.imdb.com/title/tt2025690/?ref_=fn_tt_tt_1"/>
    <hyperlink ref="R643" r:id="rId636" display="http://www.imdb.com/title/tt0758774/?ref_=fn_tt_tt_1"/>
    <hyperlink ref="R644" r:id="rId637" display="http://www.imdb.com/title/tt0427152/?ref_=fn_tt_tt_1"/>
    <hyperlink ref="R645" r:id="rId638" display="http://www.imdb.com/title/tt1611224/?ref_=fn_tt_tt_1"/>
    <hyperlink ref="R646" r:id="rId639" display="http://www.imdb.com/title/tt0137494/?ref_=fn_tt_tt_1"/>
    <hyperlink ref="R647" r:id="rId640" display="http://www.imdb.com/title/tt1828327/?ref_=fn_tt_tt_1"/>
    <hyperlink ref="R648" r:id="rId641" display="http://www.imdb.com/title/tt0120902/?ref_=fn_tt_tt_1"/>
    <hyperlink ref="R649" r:id="rId642" display="http://www.imdb.com/title/tt0462396/?ref_=fn_tt_tt_1"/>
    <hyperlink ref="R650" r:id="rId643" display="http://www.imdb.com/title/tt0120815/?ref_=fn_tt_tt_1"/>
    <hyperlink ref="R651" r:id="rId644" display="http://www.imdb.com/title/tt2369135/?ref_=fn_tt_tt_1"/>
    <hyperlink ref="R652" r:id="rId645" display="http://www.imdb.com/title/tt0207201/?ref_=fn_tt_tt_1"/>
    <hyperlink ref="R653" r:id="rId646" display="http://www.imdb.com/title/tt0268380/?ref_=fn_tt_tt_1"/>
    <hyperlink ref="R654" r:id="rId647" display="http://www.imdb.com/title/tt0285531/?ref_=fn_tt_tt_1"/>
    <hyperlink ref="R655" r:id="rId648" display="http://www.imdb.com/title/tt0443272/?ref_=fn_tt_tt_1"/>
    <hyperlink ref="R656" r:id="rId649" display="http://www.imdb.com/title/tt0133093/?ref_=fn_tt_tt_1"/>
    <hyperlink ref="R657" r:id="rId650" display="http://www.imdb.com/title/tt0112384/?ref_=fn_tt_tt_1"/>
    <hyperlink ref="R658" r:id="rId212" display="http://www.imdb.com/title/tt0100802/?ref_=fn_tt_tt_1"/>
    <hyperlink ref="R659" r:id="rId651" display="http://www.imdb.com/title/tt0304669/?ref_=fn_tt_tt_1"/>
    <hyperlink ref="R660" r:id="rId652" display="http://www.imdb.com/title/tt1707386/?ref_=fn_tt_tt_1"/>
    <hyperlink ref="R661" r:id="rId653" display="http://www.imdb.com/title/tt0128853/?ref_=fn_tt_tt_1"/>
    <hyperlink ref="R662" r:id="rId654" display="http://www.imdb.com/title/tt0838283/?ref_=fn_tt_tt_1"/>
    <hyperlink ref="R663" r:id="rId655" display="http://www.imdb.com/title/tt0120746/?ref_=fn_tt_tt_1"/>
    <hyperlink ref="R664" r:id="rId656" display="http://www.imdb.com/title/tt1231583/?ref_=fn_tt_tt_1"/>
    <hyperlink ref="R665" r:id="rId657" display="http://www.imdb.com/title/tt1809398/?ref_=fn_tt_tt_1"/>
    <hyperlink ref="R666" r:id="rId658" display="http://www.imdb.com/title/tt0186566/?ref_=fn_tt_tt_1"/>
    <hyperlink ref="R667" r:id="rId659" display="http://www.imdb.com/title/tt0106582/?ref_=fn_tt_tt_1"/>
    <hyperlink ref="R668" r:id="rId660" display="http://www.imdb.com/title/tt0115759/?ref_=fn_tt_tt_1"/>
    <hyperlink ref="R669" r:id="rId661" display="http://www.imdb.com/title/tt0219854/?ref_=fn_tt_tt_1"/>
    <hyperlink ref="R670" r:id="rId662" display="http://www.imdb.com/title/tt0469641/?ref_=fn_tt_tt_1"/>
    <hyperlink ref="R671" r:id="rId663" display="http://www.imdb.com/title/tt0304415/?ref_=fn_tt_tt_1"/>
    <hyperlink ref="R672" r:id="rId664" display="http://www.imdb.com/title/tt1645170/?ref_=fn_tt_tt_1"/>
    <hyperlink ref="R673" r:id="rId665" display="http://www.imdb.com/title/tt0120663/?ref_=fn_tt_tt_1"/>
    <hyperlink ref="R674" r:id="rId666" display="http://www.imdb.com/title/tt1823664/?ref_=fn_tt_tt_1"/>
    <hyperlink ref="R675" r:id="rId667" display="http://www.imdb.com/title/tt2381941/?ref_=fn_tt_tt_1"/>
    <hyperlink ref="R676" r:id="rId668" display="http://www.imdb.com/title/tt1596350/?ref_=fn_tt_tt_1"/>
    <hyperlink ref="R677" r:id="rId669" display="http://www.imdb.com/title/tt0359013/?ref_=fn_tt_tt_1"/>
    <hyperlink ref="R678" r:id="rId670" display="http://www.imdb.com/title/tt0087985/?ref_=fn_tt_tt_1"/>
    <hyperlink ref="R679" r:id="rId671" display="http://www.imdb.com/title/tt0119942/?ref_=fn_tt_tt_1"/>
    <hyperlink ref="AD679" r:id="rId381" display="=IFERROR(@__xludf.DUMMYFUNCTION(&quot;&quot;&quot;COMPUTED_VALUE&quot;&quot;&quot;),&quot;Will.i.am&quot;)"/>
    <hyperlink ref="R680" r:id="rId672" display="http://www.imdb.com/title/tt1855325/?ref_=fn_tt_tt_1"/>
    <hyperlink ref="R681" r:id="rId673" display="http://www.imdb.com/title/tt0452608/?ref_=fn_tt_tt_1"/>
    <hyperlink ref="R682" r:id="rId674" display="http://www.imdb.com/title/tt0116908/?ref_=fn_tt_tt_1"/>
    <hyperlink ref="R683" r:id="rId675" display="http://www.imdb.com/title/tt0228750/?ref_=fn_tt_tt_1"/>
    <hyperlink ref="R684" r:id="rId676" display="http://www.imdb.com/title/tt0406375/?ref_=fn_tt_tt_1"/>
    <hyperlink ref="R685" r:id="rId677" display="http://www.imdb.com/title/tt0137523/?ref_=fn_tt_tt_1"/>
    <hyperlink ref="R686" r:id="rId678" display="http://www.imdb.com/title/tt0758794/?ref_=fn_tt_tt_1"/>
    <hyperlink ref="R687" r:id="rId679" display="http://www.imdb.com/title/tt3877200/?ref_=fn_tt_tt_1"/>
    <hyperlink ref="R688" r:id="rId680" display="http://www.imdb.com/title/tt0102070/?ref_=fn_tt_tt_1"/>
    <hyperlink ref="R689" r:id="rId681" display="http://www.imdb.com/title/tt0219952/?ref_=fn_tt_tt_1"/>
    <hyperlink ref="R690" r:id="rId682" display="http://www.imdb.com/title/tt1418377/?ref_=fn_tt_tt_1"/>
    <hyperlink ref="R691" r:id="rId683" display="http://www.imdb.com/title/tt0380599/?ref_=fn_tt_tt_1"/>
    <hyperlink ref="R692" r:id="rId684" display="http://www.imdb.com/title/tt0357277/?ref_=fn_tt_tt_1"/>
    <hyperlink ref="R693" r:id="rId685" display="http://www.imdb.com/title/tt0458481/?ref_=fn_tt_tt_1"/>
    <hyperlink ref="R694" r:id="rId686" display="http://www.imdb.com/title/tt0156934/?ref_=fn_tt_tt_1"/>
    <hyperlink ref="R695" r:id="rId687" display="http://www.imdb.com/title/tt2719848/?ref_=fn_tt_tt_1"/>
    <hyperlink ref="R696" r:id="rId688" display="http://www.imdb.com/title/tt0396171/?ref_=fn_tt_tt_1"/>
    <hyperlink ref="R697" r:id="rId689" display="http://www.imdb.com/title/tt0295178/?ref_=fn_tt_tt_1"/>
    <hyperlink ref="R698" r:id="rId690" display="http://www.imdb.com/title/tt0375568/?ref_=fn_tt_tt_1"/>
    <hyperlink ref="R699" r:id="rId691" display="http://www.imdb.com/title/tt0107290/?ref_=fn_tt_tt_1"/>
    <hyperlink ref="R700" r:id="rId692" display="http://www.imdb.com/title/tt0111756/?ref_=fn_tt_tt_1"/>
    <hyperlink ref="R701" r:id="rId693" display="http://www.imdb.com/title/tt0109444/?ref_=fn_tt_tt_1"/>
    <hyperlink ref="R702" r:id="rId694" display="http://www.imdb.com/title/tt3672840/?ref_=fn_tt_tt_1"/>
    <hyperlink ref="R703" r:id="rId695" display="http://www.imdb.com/title/tt0430304/?ref_=fn_tt_tt_1"/>
    <hyperlink ref="R704" r:id="rId696" display="http://www.imdb.com/title/tt0141926/?ref_=fn_tt_tt_1"/>
    <hyperlink ref="R705" r:id="rId697" display="http://www.imdb.com/title/tt0112346/?ref_=fn_tt_tt_1"/>
    <hyperlink ref="R706" r:id="rId698" display="http://www.imdb.com/title/tt0811138/?ref_=fn_tt_tt_1"/>
    <hyperlink ref="R707" r:id="rId699" display="http://www.imdb.com/title/tt0233142/?ref_=fn_tt_tt_1"/>
    <hyperlink ref="R708" r:id="rId700" display="http://www.imdb.com/title/tt3460252/?ref_=fn_tt_tt_1"/>
    <hyperlink ref="R709" r:id="rId701" display="http://www.imdb.com/title/tt0445934/?ref_=fn_tt_tt_1"/>
    <hyperlink ref="R710" r:id="rId702" display="http://www.imdb.com/title/tt1411704/?ref_=fn_tt_tt_1"/>
    <hyperlink ref="R711" r:id="rId703" display="http://www.imdb.com/title/tt0416449/?ref_=fn_tt_tt_1"/>
    <hyperlink ref="R712" r:id="rId704" display="http://www.imdb.com/title/tt0290002/?ref_=fn_tt_tt_1"/>
    <hyperlink ref="R713" r:id="rId705" display="http://www.imdb.com/title/tt0822832/?ref_=fn_tt_tt_1"/>
    <hyperlink ref="R714" r:id="rId706" display="http://www.imdb.com/title/tt0120689/?ref_=fn_tt_tt_1"/>
    <hyperlink ref="R715" r:id="rId707" display="http://www.imdb.com/title/tt0486946/?ref_=fn_tt_tt_1"/>
    <hyperlink ref="R716" r:id="rId708" display="http://www.imdb.com/title/tt0371606/?ref_=fn_tt_tt_1"/>
    <hyperlink ref="R717" r:id="rId709" display="http://www.imdb.com/title/tt2267998/?ref_=fn_tt_tt_1"/>
    <hyperlink ref="R718" r:id="rId710" display="http://www.imdb.com/title/tt0258463/?ref_=fn_tt_tt_1"/>
    <hyperlink ref="R719" r:id="rId711" display="http://www.imdb.com/title/tt0113189/?ref_=fn_tt_tt_1"/>
    <hyperlink ref="R720" r:id="rId712" display="http://www.imdb.com/title/tt0144214/?ref_=fn_tt_tt_1"/>
    <hyperlink ref="R721" r:id="rId713" display="http://www.imdb.com/title/tt0120382/?ref_=fn_tt_tt_1"/>
    <hyperlink ref="R722" r:id="rId714" display="http://www.imdb.com/title/tt0120794/?ref_=fn_tt_tt_1"/>
    <hyperlink ref="R723" r:id="rId715" display="http://www.imdb.com/title/tt0317303/?ref_=fn_tt_tt_1"/>
    <hyperlink ref="R724" r:id="rId716" display="http://www.imdb.com/title/tt1272878/?ref_=fn_tt_tt_1"/>
    <hyperlink ref="R725" r:id="rId717" display="http://www.imdb.com/title/tt0239395/?ref_=fn_tt_tt_1"/>
    <hyperlink ref="R726" r:id="rId718" display="http://www.imdb.com/title/tt0317740/?ref_=fn_tt_tt_1"/>
    <hyperlink ref="R727" r:id="rId719" display="http://www.imdb.com/title/tt0313737/?ref_=fn_tt_tt_1"/>
    <hyperlink ref="R728" r:id="rId720" display="http://www.imdb.com/title/tt0120587/?ref_=fn_tt_tt_1"/>
    <hyperlink ref="R729" r:id="rId721" display="http://www.imdb.com/title/tt1078940/?ref_=fn_tt_tt_1"/>
    <hyperlink ref="R730" r:id="rId722" display="http://www.imdb.com/title/tt0099371/?ref_=fn_tt_tt_1"/>
    <hyperlink ref="R731" r:id="rId723" display="http://www.imdb.com/title/tt0452598/?ref_=fn_tt_tt_1"/>
    <hyperlink ref="R732" r:id="rId724" display="http://www.imdb.com/title/tt4046784/?ref_=fn_tt_tt_1"/>
    <hyperlink ref="R733" r:id="rId725" display="http://www.imdb.com/title/tt0879870/?ref_=fn_tt_tt_1"/>
    <hyperlink ref="R734" r:id="rId726" display="http://www.imdb.com/title/tt0218967/?ref_=fn_tt_tt_1"/>
    <hyperlink ref="R735" r:id="rId727" display="http://www.imdb.com/title/tt1245526/?ref_=fn_tt_tt_1"/>
    <hyperlink ref="R736" r:id="rId728" display="http://www.imdb.com/title/tt0146838/?ref_=fn_tt_tt_1"/>
    <hyperlink ref="R737" r:id="rId729" display="http://www.imdb.com/title/tt0119314/?ref_=fn_tt_tt_1"/>
    <hyperlink ref="R738" r:id="rId730" display="http://www.imdb.com/title/tt0369339/?ref_=fn_tt_tt_1"/>
    <hyperlink ref="R739" r:id="rId731" display="http://www.imdb.com/title/tt0277296/?ref_=fn_tt_tt_1"/>
    <hyperlink ref="R740" r:id="rId732" display="http://www.imdb.com/title/tt0349710/?ref_=fn_tt_tt_1"/>
    <hyperlink ref="R741" r:id="rId733" display="http://www.imdb.com/title/tt0790724/?ref_=fn_tt_tt_1"/>
    <hyperlink ref="R742" r:id="rId734" display="http://www.imdb.com/title/tt0149261/?ref_=fn_tt_tt_1"/>
    <hyperlink ref="R743" r:id="rId735" display="http://www.imdb.com/title/tt1477715/?ref_=fn_tt_tt_1"/>
    <hyperlink ref="R744" r:id="rId736" display="http://www.imdb.com/title/tt1598778/?ref_=fn_tt_tt_1"/>
    <hyperlink ref="R745" r:id="rId737" display="http://www.imdb.com/title/tt0257568/?ref_=fn_tt_tt_1"/>
    <hyperlink ref="R746" r:id="rId738" display="http://www.imdb.com/title/tt0327597/?ref_=fn_tt_tt_1"/>
    <hyperlink ref="R747" r:id="rId739" display="http://www.imdb.com/title/tt0949731/?ref_=fn_tt_tt_1"/>
    <hyperlink ref="R748" r:id="rId740" display="http://www.imdb.com/title/tt0328107/?ref_=fn_tt_tt_1"/>
    <hyperlink ref="R749" r:id="rId741" display="http://www.imdb.com/title/tt0393735/?ref_=fn_tt_tt_1"/>
    <hyperlink ref="R750" r:id="rId742" display="http://www.imdb.com/title/tt0335438/?ref_=fn_tt_tt_1"/>
    <hyperlink ref="R751" r:id="rId743" display="http://www.imdb.com/title/tt0116705/?ref_=fn_tt_tt_1"/>
    <hyperlink ref="R752" r:id="rId744" display="http://www.imdb.com/title/tt0167190/?ref_=fn_tt_tt_1"/>
    <hyperlink ref="R753" r:id="rId745" display="http://www.imdb.com/title/tt0120633/?ref_=fn_tt_tt_1"/>
    <hyperlink ref="R754" r:id="rId746" display="http://www.imdb.com/title/tt1623288/?ref_=fn_tt_tt_1"/>
    <hyperlink ref="R755" r:id="rId747" display="http://www.imdb.com/title/tt0119395/?ref_=fn_tt_tt_1"/>
    <hyperlink ref="R756" r:id="rId748" display="http://www.imdb.com/title/tt0338337/?ref_=fn_tt_tt_1"/>
    <hyperlink ref="R757" r:id="rId749" display="http://www.imdb.com/title/tt0118055/?ref_=fn_tt_tt_1"/>
    <hyperlink ref="R758" r:id="rId750" display="http://www.imdb.com/title/tt0420238/?ref_=fn_tt_tt_1"/>
    <hyperlink ref="R759" r:id="rId751" display="http://www.imdb.com/title/tt0790772/?ref_=fn_tt_tt_1"/>
    <hyperlink ref="R760" r:id="rId752" display="http://www.imdb.com/title/tt0290095/?ref_=fn_tt_tt_1"/>
    <hyperlink ref="R761" r:id="rId753" display="http://www.imdb.com/title/tt0114781/?ref_=fn_tt_tt_1"/>
    <hyperlink ref="R762" r:id="rId754" display="http://www.imdb.com/title/tt1205537/?ref_=fn_tt_tt_1"/>
    <hyperlink ref="R763" r:id="rId755" display="http://www.imdb.com/title/tt2446980/?ref_=fn_tt_tt_1"/>
    <hyperlink ref="R764" r:id="rId756" display="http://www.imdb.com/title/tt3300542/?ref_=fn_tt_tt_1"/>
    <hyperlink ref="R765" r:id="rId757" display="http://www.imdb.com/title/tt0118583/?ref_=fn_tt_tt_1"/>
    <hyperlink ref="R766" r:id="rId758" display="http://www.imdb.com/title/tt0822854/?ref_=fn_tt_tt_1"/>
    <hyperlink ref="R767" r:id="rId759" display="http://www.imdb.com/title/tt0787474/?ref_=fn_tt_tt_1"/>
    <hyperlink ref="R768" r:id="rId760" display="http://www.imdb.com/title/tt0120791/?ref_=fn_tt_tt_1"/>
    <hyperlink ref="R769" r:id="rId761" display="http://www.imdb.com/title/tt1490017/?ref_=fn_tt_tt_1"/>
    <hyperlink ref="R770" r:id="rId762" display="http://www.imdb.com/title/tt0385307/?ref_=fn_tt_tt_1"/>
    <hyperlink ref="R771" r:id="rId763" display="http://www.imdb.com/title/tt0253556/?ref_=fn_tt_tt_1"/>
    <hyperlink ref="R772" r:id="rId764" display="http://www.imdb.com/title/tt1321870/?ref_=fn_tt_tt_1"/>
    <hyperlink ref="R773" r:id="rId765" display="http://www.imdb.com/title/tt1045778/?ref_=fn_tt_tt_1"/>
    <hyperlink ref="R774" r:id="rId766" display="http://www.imdb.com/title/tt1057500/?ref_=fn_tt_tt_1"/>
    <hyperlink ref="R775" r:id="rId767" display="http://www.imdb.com/title/tt0473705/?ref_=fn_tt_tt_1"/>
    <hyperlink ref="R776" r:id="rId768" display="http://www.imdb.com/title/tt1135487/?ref_=fn_tt_tt_1"/>
    <hyperlink ref="R777" r:id="rId769" display="http://www.imdb.com/title/tt0120764/?ref_=fn_tt_tt_1"/>
    <hyperlink ref="R778" r:id="rId770" display="http://www.imdb.com/title/tt0443632/?ref_=fn_tt_tt_1"/>
    <hyperlink ref="R779" r:id="rId771" display="http://www.imdb.com/title/tt0762125/?ref_=fn_tt_tt_1"/>
    <hyperlink ref="R780" r:id="rId772" display="http://www.imdb.com/title/tt0253754/?ref_=fn_tt_tt_1"/>
    <hyperlink ref="R781" r:id="rId773" display="http://www.imdb.com/title/tt0138524/?ref_=fn_tt_tt_1"/>
    <hyperlink ref="R782" r:id="rId774" display="http://www.imdb.com/title/tt2083383/?ref_=fn_tt_tt_1"/>
    <hyperlink ref="R783" r:id="rId775" display="http://www.imdb.com/title/tt1226273/?ref_=fn_tt_tt_1"/>
    <hyperlink ref="R784" r:id="rId776" display="http://www.imdb.com/title/tt0120004/?ref_=fn_tt_tt_1"/>
    <hyperlink ref="R785" r:id="rId777" display="http://www.imdb.com/title/tt0289848/?ref_=fn_tt_tt_1"/>
    <hyperlink ref="R786" r:id="rId778" display="http://www.imdb.com/title/tt1034331/?ref_=fn_tt_tt_1"/>
    <hyperlink ref="R787" r:id="rId779" display="http://www.imdb.com/title/tt0120749/?ref_=fn_tt_tt_1"/>
    <hyperlink ref="R788" r:id="rId780" display="http://www.imdb.com/title/tt0821642/?ref_=fn_tt_tt_1"/>
    <hyperlink ref="R789" r:id="rId781" display="http://www.imdb.com/title/tt0146984/?ref_=fn_tt_tt_1"/>
    <hyperlink ref="R790" r:id="rId782" display="http://www.imdb.com/title/tt0181875/?ref_=fn_tt_tt_1"/>
    <hyperlink ref="R791" r:id="rId783" display="http://www.imdb.com/title/tt0455499/?ref_=fn_tt_tt_1"/>
    <hyperlink ref="R792" r:id="rId784" display="http://www.imdb.com/title/tt0329774/?ref_=fn_tt_tt_1"/>
    <hyperlink ref="R793" r:id="rId785" display="http://www.imdb.com/title/tt0822847/?ref_=fn_tt_tt_1"/>
    <hyperlink ref="R794" r:id="rId786" display="http://www.imdb.com/title/tt0165982/?ref_=fn_tt_tt_1"/>
    <hyperlink ref="R795" r:id="rId787" display="http://www.imdb.com/title/tt0119081/?ref_=fn_tt_tt_1"/>
    <hyperlink ref="R796" r:id="rId18" display="http://www.imdb.com/title/tt0848228/?ref_=fn_tt_tt_1"/>
    <hyperlink ref="R797" r:id="rId788" display="http://www.imdb.com/title/tt0259288/?ref_=fn_tt_tt_1"/>
    <hyperlink ref="R798" r:id="rId789" display="http://www.imdb.com/title/tt0387877/?ref_=fn_tt_tt_1"/>
    <hyperlink ref="R799" r:id="rId790" display="http://www.imdb.com/title/tt0454824/?ref_=fn_tt_tt_1"/>
    <hyperlink ref="R800" r:id="rId791" display="http://www.imdb.com/title/tt0272020/?ref_=fn_tt_tt_1"/>
    <hyperlink ref="R801" r:id="rId792" display="http://www.imdb.com/title/tt0134983/?ref_=fn_tt_tt_1"/>
    <hyperlink ref="R802" r:id="rId793" display="http://www.imdb.com/title/tt1837709/?ref_=fn_tt_tt_1"/>
    <hyperlink ref="R803" r:id="rId794" display="http://www.imdb.com/title/tt1538403/?ref_=fn_tt_tt_1"/>
    <hyperlink ref="R804" r:id="rId795" display="http://www.imdb.com/title/tt0765476/?ref_=fn_tt_tt_1"/>
    <hyperlink ref="R805" r:id="rId796" display="http://www.imdb.com/title/tt0382628/?ref_=fn_tt_tt_1"/>
    <hyperlink ref="R806" r:id="rId797" display="http://www.imdb.com/title/tt0131369/?ref_=fn_tt_tt_1"/>
    <hyperlink ref="R807" r:id="rId798" display="http://www.imdb.com/title/tt0494238/?ref_=fn_tt_tt_1"/>
    <hyperlink ref="R808" r:id="rId799" display="http://www.imdb.com/title/tt0831887/?ref_=fn_tt_tt_1"/>
    <hyperlink ref="R809" r:id="rId800" display="http://www.imdb.com/title/tt3045616/?ref_=fn_tt_tt_1"/>
    <hyperlink ref="R810" r:id="rId801" display="http://www.imdb.com/title/tt0460780/?ref_=fn_tt_tt_1"/>
    <hyperlink ref="R811" r:id="rId802" display="http://www.imdb.com/title/tt0294357/?ref_=fn_tt_tt_1"/>
    <hyperlink ref="R812" r:id="rId803" display="http://www.imdb.com/title/tt4591310/?ref_=fn_tt_tt_1"/>
    <hyperlink ref="R813" r:id="rId804" display="http://www.imdb.com/title/tt0326905/?ref_=fn_tt_tt_1"/>
    <hyperlink ref="R814" r:id="rId805" display="http://www.imdb.com/title/tt1431045/?ref_=fn_tt_tt_1"/>
    <hyperlink ref="R815" r:id="rId806" display="http://www.imdb.com/title/tt0120701/?ref_=fn_tt_tt_1"/>
    <hyperlink ref="R816" r:id="rId807" display="http://www.imdb.com/title/tt2179136/?ref_=fn_tt_tt_1"/>
    <hyperlink ref="R817" r:id="rId808" display="http://www.imdb.com/title/tt1051904/?ref_=fn_tt_tt_1"/>
    <hyperlink ref="R818" r:id="rId809" display="http://www.imdb.com/title/tt0115341/?ref_=fn_tt_tt_1"/>
    <hyperlink ref="R819" r:id="rId810" display="http://www.imdb.com/title/tt0425123/?ref_=fn_tt_tt_1"/>
    <hyperlink ref="R820" r:id="rId811" display="http://www.imdb.com/title/tt0158622/?ref_=fn_tt_tt_1"/>
    <hyperlink ref="R821" r:id="rId812" display="http://www.imdb.com/title/tt0095956/?ref_=fn_tt_tt_1"/>
    <hyperlink ref="R822" r:id="rId813" display="http://www.imdb.com/title/tt0379865/?ref_=fn_tt_tt_1"/>
    <hyperlink ref="R823" r:id="rId814" display="http://www.imdb.com/title/tt2479478/?ref_=fn_tt_tt_1"/>
    <hyperlink ref="R824" r:id="rId815" display="http://www.imdb.com/title/tt1314228/?ref_=fn_tt_tt_1"/>
    <hyperlink ref="R825" r:id="rId816" display="http://www.imdb.com/title/tt2234155/?ref_=fn_tt_tt_1"/>
    <hyperlink ref="R826" r:id="rId817" display="http://www.imdb.com/title/tt1220634/?ref_=fn_tt_tt_1"/>
    <hyperlink ref="R827" r:id="rId818" display="http://www.imdb.com/title/tt0485985/?ref_=fn_tt_tt_1"/>
    <hyperlink ref="R828" r:id="rId819" display="http://www.imdb.com/title/tt0159206/?ref_=fn_tt_tt_1"/>
    <hyperlink ref="R829" r:id="rId820" display="http://www.imdb.com/title/tt0118971/?ref_=fn_tt_tt_1"/>
    <hyperlink ref="R830" r:id="rId821" display="http://www.imdb.com/title/tt1232200/?ref_=fn_tt_tt_1"/>
    <hyperlink ref="R831" r:id="rId822" display="http://www.imdb.com/title/tt0116136/?ref_=fn_tt_tt_1"/>
    <hyperlink ref="R832" r:id="rId823" display="http://www.imdb.com/title/tt0367479/?ref_=fn_tt_tt_1"/>
    <hyperlink ref="R833" r:id="rId824" display="http://www.imdb.com/title/tt1071875/?ref_=fn_tt_tt_1"/>
    <hyperlink ref="R834" r:id="rId825" display="http://www.imdb.com/title/tt0238112/?ref_=fn_tt_tt_1"/>
    <hyperlink ref="R835" r:id="rId826" display="http://www.imdb.com/title/tt1986770/?ref_=fn_tt_tt_1"/>
    <hyperlink ref="R836" r:id="rId827" display="http://www.imdb.com/title/tt0395699/?ref_=fn_tt_tt_1"/>
    <hyperlink ref="R837" r:id="rId828" display="http://www.imdb.com/title/tt0351977/?ref_=fn_tt_tt_1"/>
    <hyperlink ref="R838" r:id="rId829" display="http://www.imdb.com/title/tt0109830/?ref_=fn_tt_tt_1"/>
    <hyperlink ref="R839" r:id="rId830" display="http://www.imdb.com/title/tt0952640/?ref_=fn_tt_tt_1"/>
    <hyperlink ref="R840" r:id="rId831" display="http://www.imdb.com/title/tt0212338/?ref_=fn_tt_tt_1"/>
    <hyperlink ref="R841" r:id="rId832" display="http://www.imdb.com/title/tt0114148/?ref_=fn_tt_tt_1"/>
    <hyperlink ref="R842" r:id="rId833" display="http://www.imdb.com/title/tt0078346/?ref_=fn_tt_tt_1"/>
    <hyperlink ref="R843" r:id="rId834" display="http://www.imdb.com/title/tt0117218/?ref_=fn_tt_tt_1"/>
    <hyperlink ref="R844" r:id="rId835" display="http://www.imdb.com/title/tt0386588/?ref_=fn_tt_tt_1"/>
    <hyperlink ref="R845" r:id="rId836" display="http://www.imdb.com/title/tt0119190/?ref_=fn_tt_tt_1"/>
    <hyperlink ref="R846" r:id="rId837" display="http://www.imdb.com/title/tt0328828/?ref_=fn_tt_tt_1"/>
    <hyperlink ref="R847" r:id="rId838" display="http://www.imdb.com/title/tt1535109/?ref_=fn_tt_tt_1"/>
    <hyperlink ref="R848" r:id="rId839" display="http://www.imdb.com/title/tt1279935/?ref_=fn_tt_tt_1"/>
    <hyperlink ref="R849" r:id="rId840" display="http://www.imdb.com/title/tt0112642/?ref_=fn_tt_tt_1"/>
    <hyperlink ref="R850" r:id="rId841" display="http://www.imdb.com/title/tt0455944/?ref_=fn_tt_tt_1"/>
    <hyperlink ref="R851" r:id="rId842" display="http://www.imdb.com/title/tt0252076/?ref_=fn_tt_tt_1"/>
    <hyperlink ref="R852" r:id="rId843" display="http://www.imdb.com/title/tt0112740/?ref_=fn_tt_tt_1"/>
    <hyperlink ref="R853" r:id="rId844" display="http://www.imdb.com/title/tt0454921/?ref_=fn_tt_tt_1"/>
    <hyperlink ref="R854" r:id="rId845" display="http://www.imdb.com/title/tt0408790/?ref_=fn_tt_tt_1"/>
    <hyperlink ref="R855" r:id="rId846" display="http://www.imdb.com/title/tt0109635/?ref_=fn_tt_tt_1"/>
    <hyperlink ref="R856" r:id="rId847" display="http://www.imdb.com/title/tt0120632/?ref_=fn_tt_tt_1"/>
    <hyperlink ref="R857" r:id="rId848" display="http://www.imdb.com/title/tt0266697/?ref_=fn_tt_tt_1"/>
    <hyperlink ref="R858" r:id="rId849" display="http://www.imdb.com/title/tt0131325/?ref_=fn_tt_tt_1"/>
    <hyperlink ref="R859" r:id="rId850" display="http://www.imdb.com/title/tt0118480/?ref_=fn_tt_tt_1"/>
    <hyperlink ref="R860" r:id="rId851" display="http://www.imdb.com/title/tt0378194/?ref_=fn_tt_tt_1"/>
    <hyperlink ref="R861" r:id="rId852" display="http://www.imdb.com/title/tt0098439/?ref_=fn_tt_tt_1"/>
    <hyperlink ref="R862" r:id="rId853" display="http://www.imdb.com/title/tt0104070/?ref_=fn_tt_tt_1"/>
    <hyperlink ref="R863" r:id="rId854" display="http://www.imdb.com/title/tt0184894/?ref_=fn_tt_tt_1"/>
    <hyperlink ref="R864" r:id="rId855" display="http://www.imdb.com/title/tt0116253/?ref_=fn_tt_tt_1"/>
    <hyperlink ref="R865" r:id="rId856" display="http://www.imdb.com/title/tt1396218/?ref_=fn_tt_tt_1"/>
    <hyperlink ref="R866" r:id="rId857" display="http://www.imdb.com/title/tt0865556/?ref_=fn_tt_tt_1"/>
    <hyperlink ref="R867" r:id="rId858" display="http://www.imdb.com/title/tt1621039/?ref_=fn_tt_tt_1"/>
    <hyperlink ref="R868" r:id="rId859" display="http://www.imdb.com/title/tt0103644/?ref_=fn_tt_tt_1"/>
    <hyperlink ref="R869" r:id="rId860" display="http://www.imdb.com/title/tt0116250/?ref_=fn_tt_tt_1"/>
    <hyperlink ref="R870" r:id="rId861" display="http://www.imdb.com/title/tt0122690/?ref_=fn_tt_tt_1"/>
    <hyperlink ref="R871" r:id="rId862" display="http://www.imdb.com/title/tt0116409/?ref_=fn_tt_tt_1"/>
    <hyperlink ref="R872" r:id="rId863" display="http://www.imdb.com/title/tt1109624/?ref_=fn_tt_tt_1"/>
    <hyperlink ref="R873" r:id="rId864" display="http://www.imdb.com/title/tt1298649/?ref_=fn_tt_tt_1"/>
    <hyperlink ref="R874" r:id="rId865" display="http://www.imdb.com/title/tt0269347/?ref_=fn_tt_tt_1"/>
    <hyperlink ref="R875" r:id="rId866" display="http://www.imdb.com/title/tt0128278/?ref_=fn_tt_tt_1"/>
    <hyperlink ref="R876" r:id="rId867" display="http://www.imdb.com/title/tt0338466/?ref_=fn_tt_tt_1"/>
    <hyperlink ref="R877" r:id="rId868" display="http://www.imdb.com/title/tt0839980/?ref_=fn_tt_tt_1"/>
    <hyperlink ref="R878" r:id="rId869" display="http://www.imdb.com/title/tt1430626/?ref_=fn_tt_tt_1"/>
    <hyperlink ref="R879" r:id="rId870" display="http://www.imdb.com/title/tt0824747/?ref_=fn_tt_tt_1"/>
    <hyperlink ref="R880" r:id="rId871" display="http://www.imdb.com/title/tt0115857/?ref_=fn_tt_tt_1"/>
    <hyperlink ref="R881" r:id="rId872" display="http://www.imdb.com/title/tt0116277/?ref_=fn_tt_tt_1"/>
    <hyperlink ref="R882" r:id="rId873" display="http://www.imdb.com/title/tt0293508/?ref_=fn_tt_tt_1"/>
    <hyperlink ref="R883" r:id="rId874" display="http://www.imdb.com/title/tt0414055/?ref_=fn_tt_tt_1"/>
    <hyperlink ref="R884" r:id="rId875" display="http://www.imdb.com/title/tt0402022/?ref_=fn_tt_tt_1"/>
    <hyperlink ref="R885" r:id="rId876" display="http://www.imdb.com/title/tt0279111/?ref_=fn_tt_tt_1"/>
    <hyperlink ref="R886" r:id="rId877" display="http://www.imdb.com/title/tt0120390/?ref_=fn_tt_tt_1"/>
    <hyperlink ref="R887" r:id="rId878" display="http://www.imdb.com/title/tt0780567/?ref_=fn_tt_tt_1"/>
    <hyperlink ref="R888" r:id="rId879" display="http://www.imdb.com/title/tt2281587/?ref_=fn_tt_tt_1"/>
    <hyperlink ref="R889" r:id="rId880" display="http://www.imdb.com/title/tt0167456/?ref_=fn_tt_tt_1"/>
    <hyperlink ref="R890" r:id="rId881" display="http://www.imdb.com/title/tt1126591/?ref_=fn_tt_tt_1"/>
    <hyperlink ref="R891" r:id="rId882" display="http://www.imdb.com/title/tt0344510/?ref_=fn_tt_tt_1"/>
    <hyperlink ref="R892" r:id="rId883" display="http://www.imdb.com/title/tt0056193/?ref_=fn_tt_tt_1"/>
    <hyperlink ref="R893" r:id="rId884" display="http://www.imdb.com/title/tt0160184/?ref_=fn_tt_tt_1"/>
    <hyperlink ref="R894" r:id="rId885" display="http://www.imdb.com/title/tt0187738/?ref_=fn_tt_tt_1"/>
    <hyperlink ref="R895" r:id="rId886" display="http://www.imdb.com/title/tt0814314/?ref_=fn_tt_tt_1"/>
    <hyperlink ref="R896" r:id="rId887" display="http://www.imdb.com/title/tt1308729/?ref_=fn_tt_tt_1"/>
    <hyperlink ref="R897" r:id="rId888" display="http://www.imdb.com/title/tt0099674/?ref_=fn_tt_tt_1"/>
    <hyperlink ref="R898" r:id="rId889" display="http://www.imdb.com/title/tt0368709/?ref_=fn_tt_tt_1"/>
    <hyperlink ref="R899" r:id="rId890" display="http://www.imdb.com/title/tt0463034/?ref_=fn_tt_tt_1"/>
    <hyperlink ref="R900" r:id="rId891" display="http://www.imdb.com/title/tt0081573/?ref_=fn_tt_tt_1"/>
    <hyperlink ref="R901" r:id="rId892" display="http://www.imdb.com/title/tt0299930/?ref_=fn_tt_tt_1"/>
    <hyperlink ref="R902" r:id="rId893" display="http://www.imdb.com/title/tt0405676/?ref_=fn_tt_tt_1"/>
    <hyperlink ref="R903" r:id="rId894" display="http://www.imdb.com/title/tt0162650/?ref_=fn_tt_tt_1"/>
    <hyperlink ref="R904" r:id="rId895" display="http://www.imdb.com/title/tt0118617/?ref_=fn_tt_tt_1"/>
    <hyperlink ref="R905" r:id="rId896" display="http://www.imdb.com/title/tt0203009/?ref_=fn_tt_tt_1"/>
    <hyperlink ref="R906" r:id="rId897" display="http://www.imdb.com/title/tt0249478/?ref_=fn_tt_tt_1"/>
    <hyperlink ref="R907" r:id="rId898" display="http://www.imdb.com/title/tt1355683/?ref_=fn_tt_tt_1"/>
    <hyperlink ref="R908" r:id="rId899" display="http://www.imdb.com/title/tt0418689/?ref_=fn_tt_tt_1"/>
    <hyperlink ref="R909" r:id="rId900" display="http://www.imdb.com/title/tt1197624/?ref_=fn_tt_tt_1"/>
    <hyperlink ref="R910" r:id="rId901" display="http://www.imdb.com/title/tt0462322/?ref_=fn_tt_tt_1"/>
    <hyperlink ref="R911" r:id="rId902" display="http://www.imdb.com/title/tt0120603/?ref_=fn_tt_tt_1"/>
    <hyperlink ref="R912" r:id="rId903" display="http://www.imdb.com/title/tt0338216/?ref_=fn_tt_tt_1"/>
    <hyperlink ref="R913" r:id="rId904" display="http://www.imdb.com/title/tt0264464/?ref_=fn_tt_tt_1"/>
    <hyperlink ref="R914" r:id="rId905" display="http://www.imdb.com/title/tt1790885/?ref_=fn_tt_tt_1"/>
    <hyperlink ref="R915" r:id="rId906" display="http://www.imdb.com/title/tt0452594/?ref_=fn_tt_tt_1"/>
    <hyperlink ref="R916" r:id="rId907" display="http://www.imdb.com/title/tt0795421/?ref_=fn_tt_tt_1"/>
    <hyperlink ref="R917" r:id="rId908" display="http://www.imdb.com/title/tt0817230/?ref_=fn_tt_tt_1"/>
    <hyperlink ref="R918" r:id="rId909" display="http://www.imdb.com/title/tt0377818/?ref_=fn_tt_tt_1"/>
    <hyperlink ref="R919" r:id="rId910" display="http://www.imdb.com/title/tt0120863/?ref_=fn_tt_tt_1"/>
    <hyperlink ref="R920" r:id="rId911" display="http://www.imdb.com/title/tt1488555/?ref_=fn_tt_tt_1"/>
    <hyperlink ref="R921" r:id="rId912" display="http://www.imdb.com/title/tt0125664/?ref_=fn_tt_tt_1"/>
    <hyperlink ref="R922" r:id="rId913" display="http://www.imdb.com/title/tt0112641/?ref_=fn_tt_tt_1"/>
    <hyperlink ref="R923" r:id="rId914" display="http://www.imdb.com/title/tt1179034/?ref_=fn_tt_tt_1"/>
    <hyperlink ref="R924" r:id="rId915" display="http://www.imdb.com/title/tt0245803/?ref_=fn_tt_tt_1"/>
    <hyperlink ref="R925" r:id="rId916" display="http://www.imdb.com/title/tt0183505/?ref_=fn_tt_tt_1"/>
    <hyperlink ref="R926" r:id="rId917" display="http://www.imdb.com/title/tt0414853/?ref_=fn_tt_tt_1"/>
    <hyperlink ref="R927" r:id="rId918" display="http://www.imdb.com/title/tt0790604/?ref_=fn_tt_tt_1"/>
    <hyperlink ref="R928" r:id="rId919" display="http://www.imdb.com/title/tt1259571/?ref_=fn_tt_tt_1"/>
    <hyperlink ref="R929" r:id="rId920" display="http://www.imdb.com/title/tt0126029/?ref_=fn_tt_tt_1"/>
    <hyperlink ref="R930" r:id="rId921" display="http://www.imdb.com/title/tt1385826/?ref_=fn_tt_tt_1"/>
    <hyperlink ref="R931" r:id="rId922" display="http://www.imdb.com/title/tt0102798/?ref_=fn_tt_tt_1"/>
    <hyperlink ref="R932" r:id="rId923" display="http://www.imdb.com/title/tt0116695/?ref_=fn_tt_tt_1"/>
    <hyperlink ref="R933" r:id="rId924" display="http://www.imdb.com/title/tt1637725/?ref_=fn_tt_tt_1"/>
    <hyperlink ref="R934" r:id="rId925" display="http://www.imdb.com/title/tt0119822/?ref_=fn_tt_tt_1"/>
    <hyperlink ref="R935" r:id="rId926" display="http://www.imdb.com/title/tt0129290/?ref_=fn_tt_tt_1"/>
    <hyperlink ref="R936" r:id="rId927" display="http://www.imdb.com/title/tt1229340/?ref_=fn_tt_tt_1"/>
    <hyperlink ref="R937" r:id="rId928" display="http://www.imdb.com/title/tt0280590/?ref_=fn_tt_tt_1"/>
    <hyperlink ref="R938" r:id="rId929" display="http://www.imdb.com/title/tt1650062/?ref_=fn_tt_tt_1"/>
    <hyperlink ref="R939" r:id="rId930" display="http://www.imdb.com/title/tt0195685/?ref_=fn_tt_tt_1"/>
    <hyperlink ref="R940" r:id="rId931" display="http://www.imdb.com/title/tt0251127/?ref_=fn_tt_tt_1"/>
    <hyperlink ref="R941" r:id="rId932" display="http://www.imdb.com/title/tt2294449/?ref_=fn_tt_tt_1"/>
    <hyperlink ref="R942" r:id="rId933" display="http://www.imdb.com/title/tt0110148/?ref_=fn_tt_tt_1"/>
    <hyperlink ref="R943" r:id="rId934" display="http://www.imdb.com/title/tt1068680/?ref_=fn_tt_tt_1"/>
    <hyperlink ref="R944" r:id="rId935" display="http://www.imdb.com/title/tt1489889/?ref_=fn_tt_tt_1"/>
    <hyperlink ref="R945" r:id="rId936" display="http://www.imdb.com/title/tt0120686/?ref_=fn_tt_tt_1"/>
    <hyperlink ref="R946" r:id="rId937" display="http://www.imdb.com/title/tt1528854/?ref_=fn_tt_tt_1"/>
    <hyperlink ref="R947" r:id="rId938" display="http://www.imdb.com/title/tt2180411/?ref_=fn_tt_tt_1"/>
    <hyperlink ref="R948" r:id="rId939" display="http://www.imdb.com/title/tt0454848/?ref_=fn_tt_tt_1"/>
    <hyperlink ref="R949" r:id="rId940" display="http://www.imdb.com/title/tt0120784/?ref_=fn_tt_tt_1"/>
    <hyperlink ref="R950" r:id="rId941" display="http://www.imdb.com/title/tt0112715/?ref_=fn_tt_tt_1"/>
    <hyperlink ref="R951" r:id="rId942" display="http://www.imdb.com/title/tt1389137/?ref_=fn_tt_tt_1"/>
    <hyperlink ref="R952" r:id="rId943" display="http://www.imdb.com/title/tt0448011/?ref_=fn_tt_tt_1"/>
    <hyperlink ref="R953" r:id="rId944" display="http://www.imdb.com/title/tt0427229/?ref_=fn_tt_tt_1"/>
    <hyperlink ref="R954" r:id="rId945" display="http://www.imdb.com/title/tt0377109/?ref_=fn_tt_tt_1"/>
    <hyperlink ref="R955" r:id="rId946" display="http://www.imdb.com/title/tt1570728/?ref_=fn_tt_tt_1"/>
    <hyperlink ref="R956" r:id="rId947" display="http://www.imdb.com/title/tt0356634/?ref_=fn_tt_tt_1"/>
    <hyperlink ref="R957" r:id="rId948" display="http://www.imdb.com/title/tt0388419/?ref_=fn_tt_tt_1"/>
    <hyperlink ref="R958" r:id="rId949" display="http://www.imdb.com/title/tt1210166/?ref_=fn_tt_tt_1"/>
    <hyperlink ref="R959" r:id="rId950" display="http://www.imdb.com/title/tt0114069/?ref_=fn_tt_tt_1"/>
    <hyperlink ref="R960" r:id="rId951" display="http://www.imdb.com/title/tt2024469/?ref_=fn_tt_tt_1"/>
    <hyperlink ref="R961" r:id="rId952" display="http://www.imdb.com/title/tt1075417/?ref_=fn_tt_tt_1"/>
    <hyperlink ref="R962" r:id="rId953" display="http://www.imdb.com/title/tt0434409/?ref_=fn_tt_tt_1"/>
    <hyperlink ref="R963" r:id="rId954" display="http://www.imdb.com/title/tt0300471/?ref_=fn_tt_tt_1"/>
    <hyperlink ref="R964" r:id="rId955" display="http://www.imdb.com/title/tt4192812/?ref_=fn_tt_tt_1"/>
    <hyperlink ref="R965" r:id="rId956" display="http://www.imdb.com/title/tt0381971/?ref_=fn_tt_tt_1"/>
    <hyperlink ref="R966" r:id="rId957" display="http://www.imdb.com/title/tt0400497/?ref_=fn_tt_tt_1"/>
    <hyperlink ref="R967" r:id="rId958" display="http://www.imdb.com/title/tt0260866/?ref_=fn_tt_tt_1"/>
    <hyperlink ref="R968" r:id="rId959" display="http://www.imdb.com/title/tt1428538/?ref_=fn_tt_tt_1"/>
    <hyperlink ref="R969" r:id="rId960" display="http://www.imdb.com/title/tt0250797/?ref_=fn_tt_tt_1"/>
    <hyperlink ref="R970" r:id="rId961" display="http://www.imdb.com/title/tt1464540/?ref_=fn_tt_tt_1"/>
    <hyperlink ref="R971" r:id="rId962" display="http://www.imdb.com/title/tt0365737/?ref_=fn_tt_tt_1"/>
    <hyperlink ref="R972" r:id="rId963" display="http://www.imdb.com/title/tt4172430/?ref_=fn_tt_tt_1"/>
    <hyperlink ref="R973" r:id="rId964" display="http://www.imdb.com/title/tt2262227/?ref_=fn_tt_tt_1"/>
    <hyperlink ref="R974" r:id="rId965" display="http://www.imdb.com/title/tt0408345/?ref_=fn_tt_tt_1"/>
    <hyperlink ref="R975" r:id="rId966" display="http://www.imdb.com/title/tt0118548/?ref_=fn_tt_tt_1"/>
    <hyperlink ref="R976" r:id="rId967" display="http://www.imdb.com/title/tt0119173/?ref_=fn_tt_tt_1"/>
    <hyperlink ref="R977" r:id="rId968" display="http://www.imdb.com/title/tt0119174/?ref_=fn_tt_tt_1"/>
    <hyperlink ref="R978" r:id="rId969" display="http://www.imdb.com/title/tt0384537/?ref_=fn_tt_tt_1"/>
    <hyperlink ref="R979" r:id="rId970" display="http://www.imdb.com/title/tt0191397/?ref_=fn_tt_tt_1"/>
    <hyperlink ref="R980" r:id="rId971" display="http://www.imdb.com/title/tt1605630/?ref_=fn_tt_tt_1"/>
    <hyperlink ref="R981" r:id="rId972" display="http://www.imdb.com/title/tt0120768/?ref_=fn_tt_tt_1"/>
    <hyperlink ref="R982" r:id="rId973" display="http://www.imdb.com/title/tt2106361/?ref_=fn_tt_tt_1"/>
    <hyperlink ref="R983" r:id="rId974" display="http://www.imdb.com/title/tt0109254/?ref_=fn_tt_tt_1"/>
    <hyperlink ref="R984" r:id="rId975" display="http://www.imdb.com/title/tt0099700/?ref_=fn_tt_tt_1"/>
    <hyperlink ref="R985" r:id="rId976" display="http://www.imdb.com/title/tt1872194/?ref_=fn_tt_tt_1"/>
    <hyperlink ref="R986" r:id="rId977" display="http://www.imdb.com/title/tt0119874/?ref_=fn_tt_tt_1"/>
    <hyperlink ref="R987" r:id="rId978" display="http://www.imdb.com/title/tt0318627/?ref_=fn_tt_tt_1"/>
    <hyperlink ref="R988" r:id="rId979" display="http://www.imdb.com/title/tt0317198/?ref_=fn_tt_tt_1"/>
    <hyperlink ref="R989" r:id="rId980" display="http://www.imdb.com/title/tt0313443/?ref_=fn_tt_tt_1"/>
    <hyperlink ref="R990" r:id="rId981" display="http://www.imdb.com/title/tt0110725/?ref_=fn_tt_tt_1"/>
    <hyperlink ref="R991" r:id="rId982" display="http://www.imdb.com/title/tt0424774/?ref_=fn_tt_tt_1"/>
    <hyperlink ref="R992" r:id="rId983" display="http://www.imdb.com/title/tt0163978/?ref_=fn_tt_tt_1"/>
    <hyperlink ref="R993" r:id="rId984" display="http://www.imdb.com/title/tt0350028/?ref_=fn_tt_tt_1"/>
    <hyperlink ref="R994" r:id="rId985" display="http://www.imdb.com/title/tt1186367/?ref_=fn_tt_tt_1"/>
    <hyperlink ref="R995" r:id="rId986" display="http://www.imdb.com/title/tt0126916/?ref_=fn_tt_tt_1"/>
    <hyperlink ref="R996" r:id="rId987" display="http://www.imdb.com/title/tt0108967/?ref_=fn_tt_tt_1"/>
    <hyperlink ref="R997" r:id="rId988" display="http://www.imdb.com/title/tt0117765/?ref_=fn_tt_tt_1"/>
    <hyperlink ref="R998" r:id="rId989" display="http://www.imdb.com/title/tt1392197/?ref_=fn_tt_tt_1"/>
    <hyperlink ref="R999" r:id="rId990" display="http://www.imdb.com/title/tt1212419/?ref_=fn_tt_tt_1"/>
    <hyperlink ref="R1000" r:id="rId991" display="http://www.imdb.com/title/tt0264935/?ref_=fn_tt_tt_1"/>
    <hyperlink ref="R1001" r:id="rId992" display="http://www.imdb.com/title/tt0112401/?ref_=fn_tt_tt_1"/>
    <hyperlink ref="R1002" r:id="rId993" display="http://www.imdb.com/title/tt0367959/?ref_=fn_tt_tt_1"/>
    <hyperlink ref="R1003" r:id="rId994" display="http://www.imdb.com/title/tt0160916/?ref_=fn_tt_tt_1"/>
    <hyperlink ref="R1004" r:id="rId995" display="http://www.imdb.com/title/tt1517260/?ref_=fn_tt_tt_1"/>
    <hyperlink ref="R1005" r:id="rId996" display="http://www.imdb.com/title/tt0264395/?ref_=fn_tt_tt_1"/>
    <hyperlink ref="R1006" r:id="rId997" display="http://www.imdb.com/title/tt0309377/?ref_=fn_tt_tt_1"/>
    <hyperlink ref="R1007" r:id="rId998" display="http://www.imdb.com/title/tt0963178/?ref_=fn_tt_tt_1"/>
    <hyperlink ref="R1008" r:id="rId999" display="http://www.imdb.com/title/tt0116225/?ref_=fn_tt_tt_1"/>
    <hyperlink ref="R1009" r:id="rId1000" display="http://www.imdb.com/title/tt2355844/?ref_=fn_tt_tt_1"/>
    <hyperlink ref="R1010" r:id="rId1001" display="http://www.imdb.com/title/tt0129167/?ref_=fn_tt_tt_1"/>
    <hyperlink ref="R1011" r:id="rId1002" display="http://www.imdb.com/title/tt0362270/?ref_=fn_tt_tt_1"/>
    <hyperlink ref="R1012" r:id="rId1003" display="http://www.imdb.com/title/tt1124037/?ref_=fn_tt_tt_1"/>
    <hyperlink ref="R1013" r:id="rId1004" display="http://www.imdb.com/title/tt0289992/?ref_=fn_tt_tt_1"/>
    <hyperlink ref="R1014" r:id="rId1005" display="http://www.imdb.com/title/tt0331933/?ref_=fn_tt_tt_1"/>
    <hyperlink ref="R1015" r:id="rId1006" display="http://www.imdb.com/title/tt2199571/?ref_=fn_tt_tt_1"/>
    <hyperlink ref="R1016" r:id="rId1007" display="http://www.imdb.com/title/tt0765443/?ref_=fn_tt_tt_1"/>
    <hyperlink ref="R1017" r:id="rId1008" display="http://www.imdb.com/title/tt0378109/?ref_=fn_tt_tt_1"/>
    <hyperlink ref="R1018" r:id="rId1009" display="http://www.imdb.com/title/tt0151137/?ref_=fn_tt_tt_1"/>
    <hyperlink ref="R1019" r:id="rId1010" display="http://www.imdb.com/title/tt1240982/?ref_=fn_tt_tt_1"/>
    <hyperlink ref="R1020" r:id="rId1011" display="http://www.imdb.com/title/tt1462041/?ref_=fn_tt_tt_1"/>
    <hyperlink ref="R1021" r:id="rId1012" display="http://www.imdb.com/title/tt0119592/?ref_=fn_tt_tt_1"/>
    <hyperlink ref="R1022" r:id="rId1013" display="http://www.imdb.com/title/tt0109190/?ref_=fn_tt_tt_1"/>
    <hyperlink ref="R1023" r:id="rId1014" display="http://www.imdb.com/title/tt0114345/?ref_=fn_tt_tt_1"/>
    <hyperlink ref="R1024" r:id="rId1015" display="http://www.imdb.com/title/tt0977855/?ref_=fn_tt_tt_1"/>
    <hyperlink ref="R1025" r:id="rId1016" display="http://www.imdb.com/title/tt2189221/?ref_=fn_tt_tt_1"/>
    <hyperlink ref="R1026" r:id="rId1017" display="http://www.imdb.com/title/tt0421054/?ref_=fn_tt_tt_1"/>
    <hyperlink ref="R1027" r:id="rId1018" display="http://www.imdb.com/title/tt0113451/?ref_=fn_tt_tt_1"/>
    <hyperlink ref="R1028" r:id="rId1019" display="http://www.imdb.com/title/tt1034032/?ref_=fn_tt_tt_1"/>
    <hyperlink ref="R1029" r:id="rId1020" display="http://www.imdb.com/title/tt1559547/?ref_=fn_tt_tt_1"/>
    <hyperlink ref="R1030" r:id="rId1021" display="http://www.imdb.com/title/tt0266452/?ref_=fn_tt_tt_1"/>
    <hyperlink ref="R1031" r:id="rId1022" display="http://www.imdb.com/title/tt1608290/?ref_=fn_tt_tt_1"/>
    <hyperlink ref="R1032" r:id="rId1023" display="http://www.imdb.com/title/tt0315824/?ref_=fn_tt_tt_1"/>
    <hyperlink ref="R1033" r:id="rId1024" display="http://www.imdb.com/title/tt0181151/?ref_=fn_tt_tt_1"/>
    <hyperlink ref="R1034" r:id="rId1025" display="http://www.imdb.com/title/tt1502404/?ref_=fn_tt_tt_1"/>
    <hyperlink ref="R1035" r:id="rId1026" display="http://www.imdb.com/title/tt0891592/?ref_=fn_tt_tt_1"/>
    <hyperlink ref="R1036" r:id="rId1027" display="http://www.imdb.com/title/tt0267804/?ref_=fn_tt_tt_1"/>
    <hyperlink ref="R1037" r:id="rId1028" display="http://www.imdb.com/title/tt3006802/?ref_=fn_tt_tt_1"/>
    <hyperlink ref="R1038" r:id="rId1029" display="http://www.imdb.com/title/tt0098987/?ref_=fn_tt_tt_1"/>
    <hyperlink ref="R1039" r:id="rId1030" display="http://www.imdb.com/title/tt1131729/?ref_=fn_tt_tt_1"/>
    <hyperlink ref="R1040" r:id="rId1031" display="http://www.imdb.com/title/tt0181865/?ref_=fn_tt_tt_1"/>
    <hyperlink ref="R1041" r:id="rId1032" display="http://www.imdb.com/title/tt0097576/?ref_=fn_tt_tt_1"/>
    <hyperlink ref="R1042" r:id="rId1033" display="http://www.imdb.com/title/tt1781769/?ref_=fn_tt_tt_1"/>
    <hyperlink ref="R1043" r:id="rId1034" display="http://www.imdb.com/title/tt1823672/?ref_=fn_tt_tt_1"/>
    <hyperlink ref="R1044" r:id="rId1035" display="http://www.imdb.com/title/tt0145681/?ref_=fn_tt_tt_1"/>
    <hyperlink ref="R1045" r:id="rId1036" display="http://www.imdb.com/title/tt0258000/?ref_=fn_tt_tt_1"/>
    <hyperlink ref="R1046" r:id="rId1037" display="http://www.imdb.com/title/tt0473553/?ref_=fn_tt_tt_1"/>
    <hyperlink ref="R1047" r:id="rId1038" display="http://www.imdb.com/title/tt0120188/?ref_=fn_tt_tt_1"/>
    <hyperlink ref="R1048" r:id="rId1039" display="http://www.imdb.com/title/tt1014763/?ref_=fn_tt_tt_1"/>
    <hyperlink ref="R1049" r:id="rId1040" display="http://www.imdb.com/title/tt0250687/?ref_=fn_tt_tt_1"/>
    <hyperlink ref="R1050" r:id="rId1041" display="http://www.imdb.com/title/tt0272152/?ref_=fn_tt_tt_1"/>
    <hyperlink ref="R1051" r:id="rId1042" display="http://www.imdb.com/title/tt0035423/?ref_=fn_tt_tt_1"/>
    <hyperlink ref="R1052" r:id="rId1043" display="http://www.imdb.com/title/tt0230030/?ref_=fn_tt_tt_1"/>
    <hyperlink ref="R1053" r:id="rId1044" display="http://www.imdb.com/title/tt0087089/?ref_=fn_tt_tt_1"/>
    <hyperlink ref="R1054" r:id="rId1045" display="http://www.imdb.com/title/tt0381849/?ref_=fn_tt_tt_1"/>
    <hyperlink ref="R1055" r:id="rId1046" display="http://www.imdb.com/title/tt2446042/?ref_=fn_tt_tt_1"/>
    <hyperlink ref="R1056" r:id="rId1047" display="http://www.imdb.com/title/tt0120780/?ref_=fn_tt_tt_1"/>
    <hyperlink ref="R1057" r:id="rId1048" display="http://www.imdb.com/title/tt0115798/?ref_=fn_tt_tt_1"/>
    <hyperlink ref="R1058" r:id="rId1049" display="http://www.imdb.com/title/tt0150433/?ref_=fn_tt_tt_1"/>
    <hyperlink ref="R1059" r:id="rId1050" display="http://www.imdb.com/title/tt0099422/?ref_=fn_tt_tt_1"/>
    <hyperlink ref="R1060" r:id="rId1051" display="http://www.imdb.com/title/tt0155267/?ref_=fn_tt_tt_1"/>
    <hyperlink ref="R1061" r:id="rId1052" display="http://www.imdb.com/title/tt0200027/?ref_=fn_tt_tt_1"/>
    <hyperlink ref="R1062" r:id="rId1053" display="http://www.imdb.com/title/tt0083944/?ref_=fn_tt_tt_1"/>
    <hyperlink ref="R1063" r:id="rId1054" display="http://www.imdb.com/title/tt0069293/?ref_=fn_tt_tt_1"/>
    <hyperlink ref="R1064" r:id="rId1055" display="http://www.imdb.com/title/tt0308353/?ref_=fn_tt_tt_1"/>
    <hyperlink ref="R1065" r:id="rId1056" display="http://www.imdb.com/title/tt0117002/?ref_=fn_tt_tt_1"/>
    <hyperlink ref="R1066" r:id="rId1057" display="http://www.imdb.com/title/tt0119738/?ref_=fn_tt_tt_1"/>
    <hyperlink ref="R1067" r:id="rId1058" display="http://www.imdb.com/title/tt0265029/?ref_=fn_tt_tt_1"/>
    <hyperlink ref="R1068" r:id="rId1059" display="http://www.imdb.com/title/tt0278504/?ref_=fn_tt_tt_1"/>
    <hyperlink ref="R1069" r:id="rId1060" display="http://www.imdb.com/title/tt0117731/?ref_=fn_tt_tt_1"/>
    <hyperlink ref="R1070" r:id="rId1061" display="http://www.imdb.com/title/tt1075747/?ref_=fn_tt_tt_1"/>
    <hyperlink ref="R1071" r:id="rId1062" display="http://www.imdb.com/title/tt0115956/?ref_=fn_tt_tt_1"/>
    <hyperlink ref="R1072" r:id="rId1063" display="http://www.imdb.com/title/tt0119528/?ref_=fn_tt_tt_1"/>
    <hyperlink ref="R1073" r:id="rId1064" display="http://www.imdb.com/title/tt1355631/?ref_=fn_tt_tt_1"/>
    <hyperlink ref="R1074" r:id="rId1065" display="http://www.imdb.com/title/tt0084132/?ref_=fn_tt_tt_1"/>
    <hyperlink ref="R1075" r:id="rId1066" display="http://www.imdb.com/title/tt0109813/?ref_=fn_tt_tt_1"/>
    <hyperlink ref="R1076" r:id="rId1067" display="http://www.imdb.com/title/tt1397280/?ref_=fn_tt_tt_1"/>
    <hyperlink ref="R1077" r:id="rId1068" display="http://www.imdb.com/title/tt0306047/?ref_=fn_tt_tt_1"/>
    <hyperlink ref="R1078" r:id="rId1069" display="http://www.imdb.com/title/tt0212346/?ref_=fn_tt_tt_1"/>
    <hyperlink ref="R1079" r:id="rId1070" display="http://www.imdb.com/title/tt0373051/?ref_=fn_tt_tt_1"/>
    <hyperlink ref="R1080" r:id="rId1071" display="http://www.imdb.com/title/tt0368933/?ref_=fn_tt_tt_1"/>
    <hyperlink ref="R1081" r:id="rId1072" display="http://www.imdb.com/title/tt0107798/?ref_=fn_tt_tt_1"/>
    <hyperlink ref="R1082" r:id="rId1073" display="http://www.imdb.com/title/tt0109446/?ref_=fn_tt_tt_1"/>
    <hyperlink ref="R1083" r:id="rId1074" display="http://www.imdb.com/title/tt0825232/?ref_=fn_tt_tt_1"/>
    <hyperlink ref="R1084" r:id="rId1075" display="http://www.imdb.com/title/tt0105112/?ref_=fn_tt_tt_1"/>
    <hyperlink ref="R1085" r:id="rId1076" display="http://www.imdb.com/title/tt0369735/?ref_=fn_tt_tt_1"/>
    <hyperlink ref="R1086" r:id="rId1077" display="http://www.imdb.com/title/tt1392214/?ref_=fn_tt_tt_1"/>
    <hyperlink ref="R1087" r:id="rId1078" display="http://www.imdb.com/title/tt0139654/?ref_=fn_tt_tt_1"/>
    <hyperlink ref="R1088" r:id="rId1079" display="http://www.imdb.com/title/tt0177789/?ref_=fn_tt_tt_1"/>
    <hyperlink ref="R1089" r:id="rId1080" display="http://www.imdb.com/title/tt0257106/?ref_=fn_tt_tt_1"/>
    <hyperlink ref="R1090" r:id="rId1081" display="http://www.imdb.com/title/tt1204342/?ref_=fn_tt_tt_1"/>
    <hyperlink ref="R1091" r:id="rId1082" display="http://www.imdb.com/title/tt0120611/?ref_=fn_tt_tt_1"/>
    <hyperlink ref="R1092" r:id="rId1083" display="http://www.imdb.com/title/tt0393162/?ref_=fn_tt_tt_1"/>
    <hyperlink ref="R1093" r:id="rId1084" display="http://www.imdb.com/title/tt0264472/?ref_=fn_tt_tt_1"/>
    <hyperlink ref="R1094" r:id="rId1085" display="http://www.imdb.com/title/tt0118615/?ref_=fn_tt_tt_1"/>
    <hyperlink ref="R1095" r:id="rId1086" display="http://www.imdb.com/title/tt0200550/?ref_=fn_tt_tt_1"/>
    <hyperlink ref="R1096" r:id="rId1087" display="http://www.imdb.com/title/tt0314331/?ref_=fn_tt_tt_1"/>
    <hyperlink ref="R1097" r:id="rId1088" display="http://www.imdb.com/title/tt0120623/?ref_=fn_tt_tt_1"/>
    <hyperlink ref="R1098" r:id="rId1089" display="http://www.imdb.com/title/tt0120681/?ref_=fn_tt_tt_1"/>
    <hyperlink ref="R1099" r:id="rId1090" display="http://www.imdb.com/title/tt0111255/?ref_=fn_tt_tt_1"/>
    <hyperlink ref="R1100" r:id="rId1091" display="http://www.imdb.com/title/tt0117918/?ref_=fn_tt_tt_1"/>
    <hyperlink ref="R1101" r:id="rId1092" display="http://www.imdb.com/title/tt0063829/?ref_=fn_tt_tt_1"/>
    <hyperlink ref="R1102" r:id="rId1093" display="http://www.imdb.com/title/tt0384642/?ref_=fn_tt_tt_1"/>
    <hyperlink ref="R1103" r:id="rId1094" display="http://www.imdb.com/title/tt0371724/?ref_=fn_tt_tt_1"/>
    <hyperlink ref="R1104" r:id="rId1095" display="http://www.imdb.com/title/tt0396592/?ref_=fn_tt_tt_1"/>
    <hyperlink ref="R1105" r:id="rId1096" display="http://www.imdb.com/title/tt0432021/?ref_=fn_tt_tt_1"/>
    <hyperlink ref="R1106" r:id="rId1097" display="http://www.imdb.com/title/tt1086772/?ref_=fn_tt_tt_1"/>
    <hyperlink ref="R1107" r:id="rId1098" display="http://www.imdb.com/title/tt0408985/?ref_=fn_tt_tt_1"/>
    <hyperlink ref="R1108" r:id="rId1099" display="http://www.imdb.com/title/tt0110997/?ref_=fn_tt_tt_1"/>
    <hyperlink ref="R1109" r:id="rId1100" display="http://www.imdb.com/title/tt0113419/?ref_=fn_tt_tt_1"/>
    <hyperlink ref="R1110" r:id="rId1101" display="http://www.imdb.com/title/tt1615065/?ref_=fn_tt_tt_1"/>
    <hyperlink ref="R1111" r:id="rId1102" display="http://www.imdb.com/title/tt0337921/?ref_=fn_tt_tt_1"/>
    <hyperlink ref="R1112" r:id="rId1103" display="http://www.imdb.com/title/tt0274166/?ref_=fn_tt_tt_1"/>
    <hyperlink ref="R1113" r:id="rId1104" display="http://www.imdb.com/title/tt0429589/?ref_=fn_tt_tt_1"/>
    <hyperlink ref="R1114" r:id="rId1105" display="http://www.imdb.com/title/tt0087182/?ref_=fn_tt_tt_1"/>
    <hyperlink ref="R1115" r:id="rId1106" display="http://www.imdb.com/title/tt0445922/?ref_=fn_tt_tt_1"/>
    <hyperlink ref="R1116" r:id="rId1107" display="http://www.imdb.com/title/tt0959337/?ref_=fn_tt_tt_1"/>
    <hyperlink ref="R1117" r:id="rId1108" display="http://www.imdb.com/title/tt0450232/?ref_=fn_tt_tt_1"/>
    <hyperlink ref="R1118" r:id="rId1109" display="http://www.imdb.com/title/tt0364970/?ref_=fn_tt_tt_1"/>
    <hyperlink ref="R1119" r:id="rId1110" display="http://www.imdb.com/title/tt0116421/?ref_=fn_tt_tt_1"/>
    <hyperlink ref="R1120" r:id="rId1111" display="http://www.imdb.com/title/tt0117108/?ref_=fn_tt_tt_1"/>
    <hyperlink ref="R1121" r:id="rId1112" display="http://www.imdb.com/title/tt0775552/?ref_=fn_tt_tt_1"/>
    <hyperlink ref="R1122" r:id="rId1113" display="http://www.imdb.com/title/tt0237572/?ref_=fn_tt_tt_1"/>
    <hyperlink ref="R1123" r:id="rId1114" display="http://www.imdb.com/title/tt0395251/?ref_=fn_tt_tt_1"/>
    <hyperlink ref="R1124" r:id="rId424" display="http://www.imdb.com/title/tt1343727/?ref_=fn_tt_tt_1"/>
    <hyperlink ref="R1125" r:id="rId1115" display="http://www.imdb.com/title/tt0117331/?ref_=fn_tt_tt_1"/>
    <hyperlink ref="R1126" r:id="rId1116" display="http://www.imdb.com/title/tt0149624/?ref_=fn_tt_tt_1"/>
    <hyperlink ref="R1127" r:id="rId1117" display="http://www.imdb.com/title/tt0113987/?ref_=fn_tt_tt_1"/>
    <hyperlink ref="R1128" r:id="rId1118" display="http://www.imdb.com/title/tt1139328/?ref_=fn_tt_tt_1"/>
    <hyperlink ref="R1129" r:id="rId1119" display="http://www.imdb.com/title/tt0118956/?ref_=fn_tt_tt_1"/>
    <hyperlink ref="R1130" r:id="rId1120" display="http://www.imdb.com/title/tt1046997/?ref_=fn_tt_tt_1"/>
    <hyperlink ref="R1131" r:id="rId1121" display="http://www.imdb.com/title/tt0473444/?ref_=fn_tt_tt_1"/>
    <hyperlink ref="R1132" r:id="rId1122" display="http://www.imdb.com/title/tt0814022/?ref_=fn_tt_tt_1"/>
    <hyperlink ref="R1133" r:id="rId1123" display="http://www.imdb.com/title/tt0246464/?ref_=fn_tt_tt_1"/>
    <hyperlink ref="R1134" r:id="rId1124" display="http://www.imdb.com/title/tt0484740/?ref_=fn_tt_tt_1"/>
    <hyperlink ref="R1135" r:id="rId1125" display="http://www.imdb.com/title/tt2521668/?ref_=fn_tt_tt_1"/>
    <hyperlink ref="R1136" r:id="rId1126" display="http://www.imdb.com/title/tt0120107/?ref_=fn_tt_tt_1"/>
    <hyperlink ref="R1137" r:id="rId1127" display="http://www.imdb.com/title/tt1634122/?ref_=fn_tt_tt_1"/>
    <hyperlink ref="R1138" r:id="rId1128" display="http://www.imdb.com/title/tt0249516/?ref_=fn_tt_tt_1"/>
    <hyperlink ref="R1139" r:id="rId1129" display="http://www.imdb.com/title/tt1024648/?ref_=fn_tt_tt_1"/>
    <hyperlink ref="R1140" r:id="rId1130" display="http://www.imdb.com/title/tt0106977/?ref_=fn_tt_tt_1"/>
    <hyperlink ref="R1141" r:id="rId1131" display="http://www.imdb.com/title/tt1038919/?ref_=fn_tt_tt_1"/>
    <hyperlink ref="R1142" r:id="rId1132" display="http://www.imdb.com/title/tt0117665/?ref_=fn_tt_tt_1"/>
    <hyperlink ref="R1143" r:id="rId1133" display="http://www.imdb.com/title/tt0089880/?ref_=fn_tt_tt_1"/>
    <hyperlink ref="R1144" r:id="rId1134" display="http://www.imdb.com/title/tt0116731/?ref_=fn_tt_tt_1"/>
    <hyperlink ref="R1145" r:id="rId1135" display="http://www.imdb.com/title/tt0032910/?ref_=fn_tt_tt_1"/>
    <hyperlink ref="R1146" r:id="rId1136" display="http://www.imdb.com/title/tt0080855/?ref_=fn_tt_tt_1"/>
    <hyperlink ref="R1147" r:id="rId1137" display="http://www.imdb.com/title/tt0401855/?ref_=fn_tt_tt_1"/>
    <hyperlink ref="R1148" r:id="rId1138" display="http://www.imdb.com/title/tt1976009/?ref_=fn_tt_tt_1"/>
    <hyperlink ref="R1149" r:id="rId1139" display="http://www.imdb.com/title/tt0181536/?ref_=fn_tt_tt_1"/>
    <hyperlink ref="R1150" r:id="rId1140" display="http://www.imdb.com/title/tt0191754/?ref_=fn_tt_tt_1"/>
    <hyperlink ref="R1151" r:id="rId1141" display="http://www.imdb.com/title/tt0342258/?ref_=fn_tt_tt_1"/>
    <hyperlink ref="R1152" r:id="rId1142" display="http://www.imdb.com/title/tt0253867/?ref_=fn_tt_tt_1"/>
    <hyperlink ref="R1153" r:id="rId1143" display="http://www.imdb.com/title/tt0106918/?ref_=fn_tt_tt_1"/>
    <hyperlink ref="R1154" r:id="rId1144" display="http://www.imdb.com/title/tt1438254/?ref_=fn_tt_tt_1"/>
    <hyperlink ref="R1155" r:id="rId1145" display="http://www.imdb.com/title/tt0472399/?ref_=fn_tt_tt_1"/>
    <hyperlink ref="R1156" r:id="rId1146" display="http://www.imdb.com/title/tt1232829/?ref_=fn_tt_tt_1"/>
    <hyperlink ref="R1157" r:id="rId1147" display="http://www.imdb.com/title/tt0125439/?ref_=fn_tt_tt_1"/>
    <hyperlink ref="R1158" r:id="rId1148" display="http://www.imdb.com/title/tt0120630/?ref_=fn_tt_tt_1"/>
    <hyperlink ref="R1159" r:id="rId1149" display="http://www.imdb.com/title/tt0343135/?ref_=fn_tt_tt_1"/>
    <hyperlink ref="R1160" r:id="rId1150" display="http://www.imdb.com/title/tt0103859/?ref_=fn_tt_tt_1"/>
    <hyperlink ref="R1161" r:id="rId1151" display="http://www.imdb.com/title/tt2404463/?ref_=fn_tt_tt_1"/>
    <hyperlink ref="R1162" r:id="rId1152" display="http://www.imdb.com/title/tt0056937/?ref_=fn_tt_tt_1"/>
    <hyperlink ref="R1163" r:id="rId1153" display="http://www.imdb.com/title/tt1648179/?ref_=fn_tt_tt_1"/>
    <hyperlink ref="R1164" r:id="rId1154" display="http://www.imdb.com/title/tt0257756/?ref_=fn_tt_tt_1"/>
    <hyperlink ref="R1165" r:id="rId1155" display="http://www.imdb.com/title/tt0117057/?ref_=fn_tt_tt_1"/>
    <hyperlink ref="R1166" r:id="rId1156" display="http://www.imdb.com/title/tt0265349/?ref_=fn_tt_tt_1"/>
    <hyperlink ref="R1167" r:id="rId1157" display="http://www.imdb.com/title/tt0889583/?ref_=fn_tt_tt_1"/>
    <hyperlink ref="R1168" r:id="rId1158" display="http://www.imdb.com/title/tt0097742/?ref_=fn_tt_tt_1"/>
    <hyperlink ref="R1169" r:id="rId1159" display="http://www.imdb.com/title/tt1486185/?ref_=fn_tt_tt_1"/>
    <hyperlink ref="R1170" r:id="rId1160" display="http://www.imdb.com/title/tt0179626/?ref_=fn_tt_tt_1"/>
    <hyperlink ref="R1171" r:id="rId1161" display="http://www.imdb.com/title/tt0108255/?ref_=fn_tt_tt_1"/>
    <hyperlink ref="R1172" r:id="rId1162" display="http://www.imdb.com/title/tt0399295/?ref_=fn_tt_tt_1"/>
    <hyperlink ref="R1173" r:id="rId1163" display="http://www.imdb.com/title/tt0299977/?ref_=fn_tt_tt_1"/>
    <hyperlink ref="R1174" r:id="rId1164" display="http://www.imdb.com/title/tt1598828/?ref_=fn_tt_tt_1"/>
    <hyperlink ref="R1175" r:id="rId1165" display="http://www.imdb.com/title/tt2788710/?ref_=fn_tt_tt_1"/>
    <hyperlink ref="R1176" r:id="rId1166" display="http://www.imdb.com/title/tt1032751/?ref_=fn_tt_tt_1"/>
    <hyperlink ref="R1177" r:id="rId1167" display="http://www.imdb.com/title/tt0055689/?ref_=fn_tt_tt_1"/>
    <hyperlink ref="R1178" r:id="rId1168" display="http://www.imdb.com/title/tt1149361/?ref_=fn_tt_tt_1"/>
    <hyperlink ref="R1179" r:id="rId1169" display="http://www.imdb.com/title/tt0298203/?ref_=fn_tt_tt_1"/>
    <hyperlink ref="R1180" r:id="rId1170" display="http://www.imdb.com/title/tt1220911/?ref_=fn_tt_tt_1"/>
    <hyperlink ref="R1181" r:id="rId1171" display="http://www.imdb.com/title/tt0183790/?ref_=fn_tt_tt_1"/>
    <hyperlink ref="R1182" r:id="rId1172" display="http://www.imdb.com/title/tt0288045/?ref_=fn_tt_tt_1"/>
    <hyperlink ref="R1183" r:id="rId1173" display="http://www.imdb.com/title/tt0167404/?ref_=fn_tt_tt_1"/>
    <hyperlink ref="R1184" r:id="rId1174" display="http://www.imdb.com/title/tt1568338/?ref_=fn_tt_tt_1"/>
    <hyperlink ref="R1185" r:id="rId1175" display="http://www.imdb.com/title/tt1053810/?ref_=fn_tt_tt_1"/>
    <hyperlink ref="R1186" r:id="rId1176" display="http://www.imdb.com/title/tt0087538/?ref_=fn_tt_tt_1"/>
    <hyperlink ref="R1187" r:id="rId1177" display="http://www.imdb.com/title/tt1800241/?ref_=fn_tt_tt_1"/>
    <hyperlink ref="R1188" r:id="rId1178" display="http://www.imdb.com/title/tt1041829/?ref_=fn_tt_tt_1"/>
    <hyperlink ref="R1189" r:id="rId1179" display="http://www.imdb.com/title/tt0150377/?ref_=fn_tt_tt_1"/>
    <hyperlink ref="R1190" r:id="rId1180" display="http://www.imdb.com/title/tt0096874/?ref_=fn_tt_tt_1"/>
    <hyperlink ref="R1191" r:id="rId1181" display="http://www.imdb.com/title/tt2872732/?ref_=fn_tt_tt_1"/>
    <hyperlink ref="R1192" r:id="rId1182" display="http://www.imdb.com/title/tt2322441/?ref_=fn_tt_tt_1"/>
    <hyperlink ref="R1193" r:id="rId1183" display="http://www.imdb.com/title/tt0338459/?ref_=fn_tt_tt_1"/>
    <hyperlink ref="R1194" r:id="rId1184" display="http://www.imdb.com/title/tt0117913/?ref_=fn_tt_tt_1"/>
    <hyperlink ref="R1195" r:id="rId1185" display="http://www.imdb.com/title/tt0349205/?ref_=fn_tt_tt_1"/>
    <hyperlink ref="R1196" r:id="rId1186" display="http://www.imdb.com/title/tt1091191/?ref_=fn_tt_tt_1"/>
    <hyperlink ref="R1197" r:id="rId1187" display="http://www.imdb.com/title/tt0104694/?ref_=fn_tt_tt_1"/>
    <hyperlink ref="R1198" r:id="rId1188" display="http://www.imdb.com/title/tt3065204/?ref_=fn_tt_tt_1"/>
    <hyperlink ref="R1199" r:id="rId1189" display="http://www.imdb.com/title/tt1285016/?ref_=fn_tt_tt_1"/>
    <hyperlink ref="R1200" r:id="rId1190" display="http://www.imdb.com/title/tt1001508/?ref_=fn_tt_tt_1"/>
    <hyperlink ref="R1201" r:id="rId1191" display="http://www.imdb.com/title/tt0362120/?ref_=fn_tt_tt_1"/>
    <hyperlink ref="R1202" r:id="rId1192" display="http://www.imdb.com/title/tt0134084/?ref_=fn_tt_tt_1"/>
    <hyperlink ref="R1203" r:id="rId1193" display="http://www.imdb.com/title/tt0099088/?ref_=fn_tt_tt_1"/>
    <hyperlink ref="R1204" r:id="rId1194" display="http://www.imdb.com/title/tt2561572/?ref_=fn_tt_tt_1"/>
    <hyperlink ref="R1205" r:id="rId1195" display="http://www.imdb.com/title/tt0103874/?ref_=fn_tt_tt_1"/>
    <hyperlink ref="R1206" r:id="rId1196" display="http://www.imdb.com/title/tt1135503/?ref_=fn_tt_tt_1"/>
    <hyperlink ref="R1207" r:id="rId1197" display="http://www.imdb.com/title/tt0453562/?ref_=fn_tt_tt_1"/>
    <hyperlink ref="R1208" r:id="rId1198" display="http://www.imdb.com/title/tt0134119/?ref_=fn_tt_tt_1"/>
    <hyperlink ref="R1209" r:id="rId1199" display="http://www.imdb.com/title/tt2096672/?ref_=fn_tt_tt_1"/>
    <hyperlink ref="R1210" r:id="rId1200" display="http://www.imdb.com/title/tt0397313/?ref_=fn_tt_tt_1"/>
    <hyperlink ref="R1211" r:id="rId1201" display="http://www.imdb.com/title/tt2361509/?ref_=fn_tt_tt_1"/>
    <hyperlink ref="R1212" r:id="rId1202" display="http://www.imdb.com/title/tt2869728/?ref_=fn_tt_tt_1"/>
    <hyperlink ref="R1213" r:id="rId1203" display="http://www.imdb.com/title/tt0104691/?ref_=fn_tt_tt_1"/>
    <hyperlink ref="R1214" r:id="rId1204" display="http://www.imdb.com/title/tt0350258/?ref_=fn_tt_tt_1"/>
    <hyperlink ref="R1215" r:id="rId1205" display="http://www.imdb.com/title/tt0401792/?ref_=fn_tt_tt_1"/>
    <hyperlink ref="R1216" r:id="rId1206" display="http://www.imdb.com/title/tt0443274/?ref_=fn_tt_tt_1"/>
    <hyperlink ref="R1217" r:id="rId1207" display="http://www.imdb.com/title/tt1155056/?ref_=fn_tt_tt_1"/>
    <hyperlink ref="R1218" r:id="rId1208" display="http://www.imdb.com/title/tt0256380/?ref_=fn_tt_tt_1"/>
    <hyperlink ref="R1219" r:id="rId1209" display="http://www.imdb.com/title/tt0102138/?ref_=fn_tt_tt_1"/>
    <hyperlink ref="R1220" r:id="rId1210" display="http://www.imdb.com/title/tt0421729/?ref_=fn_tt_tt_1"/>
    <hyperlink ref="R1221" r:id="rId1211" display="http://www.imdb.com/title/tt0236493/?ref_=fn_tt_tt_1"/>
    <hyperlink ref="R1222" r:id="rId657" display="http://www.imdb.com/title/tt1809398/?ref_=fn_tt_tt_1"/>
    <hyperlink ref="R1223" r:id="rId1212" display="http://www.imdb.com/title/tt0974661/?ref_=fn_tt_tt_1"/>
    <hyperlink ref="R1224" r:id="rId1213" display="http://www.imdb.com/title/tt2203939/?ref_=fn_tt_tt_1"/>
    <hyperlink ref="R1225" r:id="rId1214" display="http://www.imdb.com/title/tt1144884/?ref_=fn_tt_tt_1"/>
    <hyperlink ref="R1226" r:id="rId1215" display="http://www.imdb.com/title/tt3682448/?ref_=fn_tt_tt_1"/>
    <hyperlink ref="R1227" r:id="rId1216" display="http://www.imdb.com/title/tt0159273/?ref_=fn_tt_tt_1"/>
    <hyperlink ref="R1228" r:id="rId1217" display="http://www.imdb.com/title/tt1226229/?ref_=fn_tt_tt_1"/>
    <hyperlink ref="R1229" r:id="rId1218" display="http://www.imdb.com/title/tt0358135/?ref_=fn_tt_tt_1"/>
    <hyperlink ref="R1230" r:id="rId1219" display="http://www.imdb.com/title/tt0122718/?ref_=fn_tt_tt_1"/>
    <hyperlink ref="R1231" r:id="rId1220" display="http://www.imdb.com/title/tt0120177/?ref_=fn_tt_tt_1"/>
    <hyperlink ref="R1232" r:id="rId1221" display="http://www.imdb.com/title/tt0245844/?ref_=fn_tt_tt_1"/>
    <hyperlink ref="R1233" r:id="rId1222" display="http://www.imdb.com/title/tt1189340/?ref_=fn_tt_tt_1"/>
    <hyperlink ref="R1234" r:id="rId1223" display="http://www.imdb.com/title/tt1401152/?ref_=fn_tt_tt_1"/>
    <hyperlink ref="R1235" r:id="rId1224" display="http://www.imdb.com/title/tt0482571/?ref_=fn_tt_tt_1"/>
    <hyperlink ref="R1236" r:id="rId1225" display="http://www.imdb.com/title/tt2170439/?ref_=fn_tt_tt_1"/>
    <hyperlink ref="R1237" r:id="rId1226" display="http://www.imdb.com/title/tt0765446/?ref_=fn_tt_tt_1"/>
    <hyperlink ref="R1238" r:id="rId1227" display="http://www.imdb.com/title/tt0472043/?ref_=fn_tt_tt_1"/>
    <hyperlink ref="R1239" r:id="rId1228" display="http://www.imdb.com/title/tt0093428/?ref_=fn_tt_tt_1"/>
    <hyperlink ref="R1240" r:id="rId1229" display="http://www.imdb.com/title/tt1424381/?ref_=fn_tt_tt_1"/>
    <hyperlink ref="R1241" r:id="rId1230" display="http://www.imdb.com/title/tt0091396/?ref_=fn_tt_tt_1"/>
    <hyperlink ref="R1242" r:id="rId1231" display="http://www.imdb.com/title/tt0363988/?ref_=fn_tt_tt_1"/>
    <hyperlink ref="R1243" r:id="rId1232" display="http://www.imdb.com/title/tt0410297/?ref_=fn_tt_tt_1"/>
    <hyperlink ref="R1244" r:id="rId1233" display="http://www.imdb.com/title/tt0397101/?ref_=fn_tt_tt_1"/>
    <hyperlink ref="R1245" r:id="rId1234" display="http://www.imdb.com/title/tt1462769/?ref_=fn_tt_tt_1"/>
    <hyperlink ref="R1246" r:id="rId1235" display="http://www.imdb.com/title/tt0866439/?ref_=fn_tt_tt_1"/>
    <hyperlink ref="R1247" r:id="rId1236" display="http://www.imdb.com/title/tt1742044/?ref_=fn_tt_tt_1"/>
    <hyperlink ref="R1248" r:id="rId1237" display="http://www.imdb.com/title/tt0119978/?ref_=fn_tt_tt_1"/>
    <hyperlink ref="R1249" r:id="rId1238" display="http://www.imdb.com/title/tt0348836/?ref_=fn_tt_tt_1"/>
    <hyperlink ref="R1250" r:id="rId1239" display="http://www.imdb.com/title/tt0118607/?ref_=fn_tt_tt_1"/>
    <hyperlink ref="R1251" r:id="rId1240" display="http://www.imdb.com/title/tt0104839/?ref_=fn_tt_tt_1"/>
    <hyperlink ref="R1252" r:id="rId1241" display="http://www.imdb.com/title/tt0758730/?ref_=fn_tt_tt_1"/>
    <hyperlink ref="R1253" r:id="rId1242" display="http://www.imdb.com/title/tt0110989/?ref_=fn_tt_tt_1"/>
    <hyperlink ref="R1254" r:id="rId1243" display="http://www.imdb.com/title/tt0174480/?ref_=fn_tt_tt_1"/>
    <hyperlink ref="R1255" r:id="rId1244" display="http://www.imdb.com/title/tt0758766/?ref_=fn_tt_tt_1"/>
    <hyperlink ref="R1256" r:id="rId1245" display="http://www.imdb.com/title/tt1092026/?ref_=fn_tt_tt_1"/>
    <hyperlink ref="R1257" r:id="rId1246" display="http://www.imdb.com/title/tt1694020/?ref_=fn_tt_tt_1"/>
    <hyperlink ref="R1258" r:id="rId1247" display="http://www.imdb.com/title/tt1262416/?ref_=fn_tt_tt_1"/>
    <hyperlink ref="R1259" r:id="rId1248" display="http://www.imdb.com/title/tt0134273/?ref_=fn_tt_tt_1"/>
    <hyperlink ref="R1260" r:id="rId1249" display="http://www.imdb.com/title/tt0101761/?ref_=fn_tt_tt_1"/>
    <hyperlink ref="R1261" r:id="rId1250" display="http://www.imdb.com/title/tt1956620/?ref_=fn_tt_tt_1"/>
    <hyperlink ref="R1262" r:id="rId1251" display="http://www.imdb.com/title/tt0162983/?ref_=fn_tt_tt_1"/>
    <hyperlink ref="R1263" r:id="rId1252" display="http://www.imdb.com/title/tt1622979/?ref_=fn_tt_tt_1"/>
    <hyperlink ref="R1264" r:id="rId1253" display="http://www.imdb.com/title/tt0130121/?ref_=fn_tt_tt_1"/>
    <hyperlink ref="R1265" r:id="rId1254" display="http://www.imdb.com/title/tt0223897/?ref_=fn_tt_tt_1"/>
    <hyperlink ref="R1266" r:id="rId1255" display="http://www.imdb.com/title/tt0332047/?ref_=fn_tt_tt_1"/>
    <hyperlink ref="R1267" r:id="rId1256" display="http://www.imdb.com/title/tt0169414/?ref_=fn_tt_tt_1"/>
    <hyperlink ref="R1268" r:id="rId1257" display="http://www.imdb.com/title/tt0817538/?ref_=fn_tt_tt_1"/>
    <hyperlink ref="R1269" r:id="rId1258" display="http://www.imdb.com/title/tt2557490/?ref_=fn_tt_tt_1"/>
    <hyperlink ref="R1270" r:id="rId1259" display="http://www.imdb.com/title/tt0111143/?ref_=fn_tt_tt_1"/>
    <hyperlink ref="R1271" r:id="rId1260" display="http://www.imdb.com/title/tt0477302/?ref_=fn_tt_tt_1"/>
    <hyperlink ref="R1272" r:id="rId1261" display="http://www.imdb.com/title/tt1126618/?ref_=fn_tt_tt_1"/>
    <hyperlink ref="R1273" r:id="rId1262" display="http://www.imdb.com/title/tt0430308/?ref_=fn_tt_tt_1"/>
    <hyperlink ref="R1274" r:id="rId1263" display="http://www.imdb.com/title/tt0160009/?ref_=fn_tt_tt_1"/>
    <hyperlink ref="R1275" r:id="rId1264" display="http://www.imdb.com/title/tt0294870/?ref_=fn_tt_tt_1"/>
    <hyperlink ref="R1276" r:id="rId1265" display="http://www.imdb.com/title/tt0163983/?ref_=fn_tt_tt_1"/>
    <hyperlink ref="R1277" r:id="rId1266" display="http://www.imdb.com/title/tt0129280/?ref_=fn_tt_tt_1"/>
    <hyperlink ref="R1278" r:id="rId1267" display="http://www.imdb.com/title/tt0116654/?ref_=fn_tt_tt_1"/>
    <hyperlink ref="R1279" r:id="rId1268" display="http://www.imdb.com/title/tt0246544/?ref_=fn_tt_tt_1"/>
    <hyperlink ref="R1280" r:id="rId1269" display="http://www.imdb.com/title/tt0467200/?ref_=fn_tt_tt_1"/>
    <hyperlink ref="R1281" r:id="rId1270" display="http://www.imdb.com/title/tt0230838/?ref_=fn_tt_tt_1"/>
    <hyperlink ref="R1282" r:id="rId1271" display="http://www.imdb.com/title/tt0444682/?ref_=fn_tt_tt_1"/>
    <hyperlink ref="R1283" r:id="rId1272" display="http://www.imdb.com/title/tt0070379/?ref_=fn_tt_tt_1"/>
    <hyperlink ref="R1284" r:id="rId1273" display="http://www.imdb.com/title/tt0110971/?ref_=fn_tt_tt_1"/>
    <hyperlink ref="R1285" r:id="rId1274" display="http://www.imdb.com/title/tt1657507/?ref_=fn_tt_tt_1"/>
    <hyperlink ref="R1286" r:id="rId1275" display="http://www.imdb.com/title/tt0120800/?ref_=fn_tt_tt_1"/>
    <hyperlink ref="R1287" r:id="rId1276" display="http://www.imdb.com/title/tt0269095/?ref_=fn_tt_tt_1"/>
    <hyperlink ref="R1288" r:id="rId1277" display="http://www.imdb.com/title/tt0132512/?ref_=fn_tt_tt_1"/>
    <hyperlink ref="R1289" r:id="rId1278" display="http://www.imdb.com/title/tt0329691/?ref_=fn_tt_tt_1"/>
    <hyperlink ref="R1290" r:id="rId1279" display="http://www.imdb.com/title/tt0115907/?ref_=fn_tt_tt_1"/>
    <hyperlink ref="R1291" r:id="rId1280" display="http://www.imdb.com/title/tt0114436/?ref_=fn_tt_tt_1"/>
    <hyperlink ref="R1292" r:id="rId1281" display="http://www.imdb.com/title/tt0422720/?ref_=fn_tt_tt_1"/>
    <hyperlink ref="R1293" r:id="rId1282" display="http://www.imdb.com/title/tt0113552/?ref_=fn_tt_tt_1"/>
    <hyperlink ref="R1294" r:id="rId1283" display="http://www.imdb.com/title/tt0208988/?ref_=fn_tt_tt_1"/>
    <hyperlink ref="R1295" r:id="rId1284" display="http://www.imdb.com/title/tt1649419/?ref_=fn_tt_tt_1"/>
    <hyperlink ref="R1296" r:id="rId1285" display="http://www.imdb.com/title/tt0093278/?ref_=fn_tt_tt_1"/>
    <hyperlink ref="R1297" r:id="rId1286" display="http://www.imdb.com/title/tt0432283/?ref_=fn_tt_tt_1"/>
    <hyperlink ref="R1298" r:id="rId1287" display="http://www.imdb.com/title/tt0282687/?ref_=fn_tt_tt_1"/>
    <hyperlink ref="R1299" r:id="rId1288" display="http://www.imdb.com/title/tt0104850/?ref_=fn_tt_tt_1"/>
    <hyperlink ref="R1300" r:id="rId1289" display="http://www.imdb.com/title/tt0211915/?ref_=fn_tt_tt_1"/>
    <hyperlink ref="R1301" r:id="rId1290" display="http://www.imdb.com/title/tt0363282/?ref_=fn_tt_tt_1"/>
    <hyperlink ref="R1302" r:id="rId1291" display="http://www.imdb.com/title/tt0375173/?ref_=fn_tt_tt_1"/>
    <hyperlink ref="R1303" r:id="rId1292" display="http://www.imdb.com/title/tt1430615/?ref_=fn_tt_tt_1"/>
    <hyperlink ref="R1304" r:id="rId1293" display="http://www.imdb.com/title/tt0120646/?ref_=fn_tt_tt_1"/>
    <hyperlink ref="R1305" r:id="rId1294" display="http://www.imdb.com/title/tt0295254/?ref_=fn_tt_tt_1"/>
    <hyperlink ref="R1306" r:id="rId1295" display="http://www.imdb.com/title/tt0450405/?ref_=fn_tt_tt_1"/>
    <hyperlink ref="R1307" r:id="rId1138" display="http://www.imdb.com/title/tt1976009/?ref_=fn_tt_tt_1"/>
    <hyperlink ref="R1308" r:id="rId1296" display="http://www.imdb.com/title/tt0266489/?ref_=fn_tt_tt_1"/>
    <hyperlink ref="R1309" r:id="rId1297" display="http://www.imdb.com/title/tt1111948/?ref_=fn_tt_tt_1"/>
    <hyperlink ref="R1310" r:id="rId1298" display="http://www.imdb.com/title/tt0081400/?ref_=fn_tt_tt_1"/>
    <hyperlink ref="R1311" r:id="rId1299" display="http://www.imdb.com/title/tt0176269/?ref_=fn_tt_tt_1"/>
    <hyperlink ref="R1312" r:id="rId1300" display="http://www.imdb.com/title/tt1188729/?ref_=fn_tt_tt_1"/>
    <hyperlink ref="R1313" r:id="rId1301" display="http://www.imdb.com/title/tt0160399/?ref_=fn_tt_tt_1"/>
    <hyperlink ref="R1314" r:id="rId1302" display="http://www.imdb.com/title/tt0283160/?ref_=fn_tt_tt_1"/>
    <hyperlink ref="R1315" r:id="rId1303" display="http://www.imdb.com/title/tt0189192/?ref_=fn_tt_tt_1"/>
    <hyperlink ref="R1316" r:id="rId1304" display="http://www.imdb.com/title/tt0448134/?ref_=fn_tt_tt_1"/>
    <hyperlink ref="R1317" r:id="rId1305" display="http://www.imdb.com/title/tt0763831/?ref_=fn_tt_tt_1"/>
    <hyperlink ref="R1318" r:id="rId1306" display="http://www.imdb.com/title/tt0361500/?ref_=fn_tt_tt_1"/>
    <hyperlink ref="R1319" r:id="rId1307" display="http://www.imdb.com/title/tt2515034/?ref_=fn_tt_tt_1"/>
    <hyperlink ref="R1320" r:id="rId1308" display="http://www.imdb.com/title/tt0457495/?ref_=fn_tt_tt_1"/>
    <hyperlink ref="R1321" r:id="rId1309" display="http://www.imdb.com/title/tt0486822/?ref_=fn_tt_tt_1"/>
    <hyperlink ref="R1322" r:id="rId1310" display="http://www.imdb.com/title/tt0113243/?ref_=fn_tt_tt_1"/>
    <hyperlink ref="R1323" r:id="rId1311" display="http://www.imdb.com/title/tt0455782/?ref_=fn_tt_tt_1"/>
    <hyperlink ref="R1324" r:id="rId1312" display="http://www.imdb.com/title/tt0110074/?ref_=fn_tt_tt_1"/>
    <hyperlink ref="R1325" r:id="rId1313" display="http://www.imdb.com/title/tt0913968/?ref_=fn_tt_tt_1"/>
    <hyperlink ref="R1326" r:id="rId1314" display="http://www.imdb.com/title/tt0374089/?ref_=fn_tt_tt_1"/>
    <hyperlink ref="R1327" r:id="rId1315" display="http://www.imdb.com/title/tt1706620/?ref_=fn_tt_tt_1"/>
    <hyperlink ref="R1328" r:id="rId1316" display="http://www.imdb.com/title/tt0961097/?ref_=fn_tt_tt_1"/>
    <hyperlink ref="R1329" r:id="rId1317" display="http://www.imdb.com/title/tt0357054/?ref_=fn_tt_tt_1"/>
    <hyperlink ref="R1330" r:id="rId1318" display="http://www.imdb.com/title/tt0109506/?ref_=fn_tt_tt_1"/>
    <hyperlink ref="R1331" r:id="rId1319" display="http://www.imdb.com/title/tt2631186/?ref_=fn_tt_tt_1"/>
    <hyperlink ref="R1332" r:id="rId1320" display="http://www.imdb.com/title/tt0452694/?ref_=fn_tt_tt_1"/>
    <hyperlink ref="R1333" r:id="rId1321" display="http://www.imdb.com/title/tt0490084/?ref_=fn_tt_tt_1"/>
    <hyperlink ref="R1334" r:id="rId101" display="http://www.imdb.com/title/tt0232500/?ref_=fn_tt_tt_1"/>
    <hyperlink ref="R1335" r:id="rId1322" display="http://www.imdb.com/title/tt1142977/?ref_=fn_tt_tt_1"/>
    <hyperlink ref="R1336" r:id="rId1323" display="http://www.imdb.com/title/tt0379786/?ref_=fn_tt_tt_1"/>
    <hyperlink ref="R1337" r:id="rId1324" display="http://www.imdb.com/title/tt0312329/?ref_=fn_tt_tt_1"/>
    <hyperlink ref="R1338" r:id="rId1325" display="http://www.imdb.com/title/tt0086393/?ref_=fn_tt_tt_1"/>
    <hyperlink ref="R1339" r:id="rId1326" display="http://www.imdb.com/title/tt1661382/?ref_=fn_tt_tt_1"/>
    <hyperlink ref="R1340" r:id="rId1327" display="http://www.imdb.com/title/tt0425637/?ref_=fn_tt_tt_1"/>
    <hyperlink ref="R1341" r:id="rId1328" display="http://www.imdb.com/title/tt0256415/?ref_=fn_tt_tt_1"/>
    <hyperlink ref="R1342" r:id="rId1329" display="http://www.imdb.com/title/tt1142988/?ref_=fn_tt_tt_1"/>
    <hyperlink ref="R1343" r:id="rId1330" display="http://www.imdb.com/title/tt0117608/?ref_=fn_tt_tt_1"/>
    <hyperlink ref="R1344" r:id="rId1331" display="http://www.imdb.com/title/tt0287717/?ref_=fn_tt_tt_1"/>
    <hyperlink ref="R1345" r:id="rId1332" display="http://www.imdb.com/title/tt0111280/?ref_=fn_tt_tt_1"/>
    <hyperlink ref="R1346" r:id="rId1333" display="http://www.imdb.com/title/tt1462900/?ref_=fn_tt_tt_1"/>
    <hyperlink ref="R1347" r:id="rId1334" display="http://www.imdb.com/title/tt1067583/?ref_=fn_tt_tt_1"/>
    <hyperlink ref="R1348" r:id="rId1335" display="http://www.imdb.com/title/tt0115082/?ref_=fn_tt_tt_1"/>
    <hyperlink ref="R1349" r:id="rId1336" display="http://www.imdb.com/title/tt2911342/?ref_=fn_tt_tt_1"/>
    <hyperlink ref="R1350" r:id="rId1337" display="http://www.imdb.com/title/tt0174856/?ref_=fn_tt_tt_1"/>
    <hyperlink ref="R1351" r:id="rId1338" display="http://www.imdb.com/title/tt0278435/?ref_=fn_tt_tt_1"/>
    <hyperlink ref="R1352" r:id="rId1339" display="http://www.imdb.com/title/tt0125022/?ref_=fn_tt_tt_1"/>
    <hyperlink ref="R1353" r:id="rId1340" display="http://www.imdb.com/title/tt3450650/?ref_=fn_tt_tt_1"/>
    <hyperlink ref="R1354" r:id="rId1341" display="http://www.imdb.com/title/tt0225071/?ref_=fn_tt_tt_1"/>
    <hyperlink ref="R1355" r:id="rId1342" display="http://www.imdb.com/title/tt0279889/?ref_=fn_tt_tt_1"/>
    <hyperlink ref="R1356" r:id="rId1343" display="http://www.imdb.com/title/tt0142688/?ref_=fn_tt_tt_1"/>
    <hyperlink ref="R1357" r:id="rId1344" display="http://www.imdb.com/title/tt0116259/?ref_=fn_tt_tt_1"/>
    <hyperlink ref="R1358" r:id="rId1345" display="http://www.imdb.com/title/tt0202470/?ref_=fn_tt_tt_1"/>
    <hyperlink ref="R1359" r:id="rId1346" display="http://www.imdb.com/title/tt0929632/?ref_=fn_tt_tt_1"/>
    <hyperlink ref="R1360" r:id="rId1347" display="http://www.imdb.com/title/tt0118158/?ref_=fn_tt_tt_1"/>
    <hyperlink ref="R1361" r:id="rId1348" display="http://www.imdb.com/title/tt0084787/?ref_=fn_tt_tt_1"/>
    <hyperlink ref="R1362" r:id="rId1349" display="http://www.imdb.com/title/tt1411250/?ref_=fn_tt_tt_1"/>
    <hyperlink ref="R1363" r:id="rId1350" display="http://www.imdb.com/title/tt0119210/?ref_=fn_tt_tt_1"/>
    <hyperlink ref="R1364" r:id="rId1351" display="http://www.imdb.com/title/tt0193560/?ref_=fn_tt_tt_1"/>
    <hyperlink ref="R1365" r:id="rId1352" display="http://www.imdb.com/title/tt0970411/?ref_=fn_tt_tt_1"/>
    <hyperlink ref="R1366" r:id="rId1353" display="http://www.imdb.com/title/tt1560747/?ref_=fn_tt_tt_1"/>
    <hyperlink ref="R1367" r:id="rId1354" display="http://www.imdb.com/title/tt0437954/?ref_=fn_tt_tt_1"/>
    <hyperlink ref="R1368" r:id="rId1355" display="http://www.imdb.com/title/tt0469903/?ref_=fn_tt_tt_1"/>
    <hyperlink ref="R1369" r:id="rId1356" display="http://www.imdb.com/title/tt2304933/?ref_=fn_tt_tt_1"/>
    <hyperlink ref="R1370" r:id="rId1357" display="http://www.imdb.com/title/tt3076658/?ref_=fn_tt_tt_1"/>
    <hyperlink ref="R1371" r:id="rId1358" display="http://www.imdb.com/title/tt0840361/?ref_=fn_tt_tt_1"/>
    <hyperlink ref="R1372" r:id="rId1359" display="http://www.imdb.com/title/tt1586265/?ref_=fn_tt_tt_1"/>
    <hyperlink ref="R1373" r:id="rId1360" display="http://www.imdb.com/title/tt0887883/?ref_=fn_tt_tt_1"/>
    <hyperlink ref="R1374" r:id="rId1361" display="http://www.imdb.com/title/tt0410377/?ref_=fn_tt_tt_1"/>
    <hyperlink ref="R1375" r:id="rId1362" display="http://www.imdb.com/title/tt1979320/?ref_=fn_tt_tt_1"/>
    <hyperlink ref="R1376" r:id="rId1363" display="http://www.imdb.com/title/tt0175880/?ref_=fn_tt_tt_1"/>
    <hyperlink ref="R1377" r:id="rId1364" display="http://www.imdb.com/title/tt1385867/?ref_=fn_tt_tt_1"/>
    <hyperlink ref="R1378" r:id="rId1365" display="http://www.imdb.com/title/tt1292566/?ref_=fn_tt_tt_1"/>
    <hyperlink ref="R1379" r:id="rId1366" display="http://www.imdb.com/title/tt1564349/?ref_=fn_tt_tt_1"/>
    <hyperlink ref="R1380" r:id="rId1367" display="http://www.imdb.com/title/tt1099212/?ref_=fn_tt_tt_1"/>
    <hyperlink ref="R1381" r:id="rId1368" display="http://www.imdb.com/title/tt0251160/?ref_=fn_tt_tt_1"/>
    <hyperlink ref="R1382" r:id="rId1369" display="http://www.imdb.com/title/tt0181316/?ref_=fn_tt_tt_1"/>
    <hyperlink ref="R1383" r:id="rId1370" display="http://www.imdb.com/title/tt1723121/?ref_=fn_tt_tt_1"/>
    <hyperlink ref="R1384" r:id="rId1371" display="http://www.imdb.com/title/tt0972558/?ref_=fn_tt_tt_1"/>
    <hyperlink ref="R1385" r:id="rId1372" display="http://www.imdb.com/title/tt0118771/?ref_=fn_tt_tt_1"/>
    <hyperlink ref="R1386" r:id="rId1373" display="http://www.imdb.com/title/tt0086006/?ref_=fn_tt_tt_1"/>
    <hyperlink ref="R1387" r:id="rId1374" display="http://www.imdb.com/title/tt1231587/?ref_=fn_tt_tt_1"/>
    <hyperlink ref="R1388" r:id="rId1375" display="http://www.imdb.com/title/tt2978462/?ref_=fn_tt_tt_1"/>
    <hyperlink ref="R1389" r:id="rId1376" display="http://www.imdb.com/title/tt0184858/?ref_=fn_tt_tt_1"/>
    <hyperlink ref="R1390" r:id="rId1377" display="http://www.imdb.com/title/tt0266465/?ref_=fn_tt_tt_1"/>
    <hyperlink ref="R1391" r:id="rId1378" display="http://www.imdb.com/title/tt1243974/?ref_=fn_tt_tt_1"/>
    <hyperlink ref="R1392" r:id="rId1379" display="http://www.imdb.com/title/tt0116410/?ref_=fn_tt_tt_1"/>
    <hyperlink ref="R1393" r:id="rId1380" display="http://www.imdb.com/title/tt0120834/?ref_=fn_tt_tt_1"/>
    <hyperlink ref="R1394" r:id="rId1381" display="http://www.imdb.com/title/tt1161864/?ref_=fn_tt_tt_1"/>
    <hyperlink ref="R1395" r:id="rId1382" display="http://www.imdb.com/title/tt0119177/?ref_=fn_tt_tt_1"/>
    <hyperlink ref="R1396" r:id="rId1383" display="http://www.imdb.com/title/tt0141399/?ref_=fn_tt_tt_1"/>
    <hyperlink ref="R1397" r:id="rId1384" display="http://www.imdb.com/title/tt0482603/?ref_=fn_tt_tt_1"/>
    <hyperlink ref="R1398" r:id="rId1385" display="http://www.imdb.com/title/tt0325537/?ref_=fn_tt_tt_1"/>
    <hyperlink ref="R1399" r:id="rId1386" display="http://www.imdb.com/title/tt1119646/?ref_=fn_tt_tt_1"/>
    <hyperlink ref="R1400" r:id="rId1387" display="http://www.imdb.com/title/tt2888046/?ref_=fn_tt_tt_1"/>
    <hyperlink ref="R1401" r:id="rId1388" display="http://www.imdb.com/title/tt0145660/?ref_=fn_tt_tt_1"/>
    <hyperlink ref="R1402" r:id="rId1389" display="http://www.imdb.com/title/tt0096895/?ref_=fn_tt_tt_1"/>
    <hyperlink ref="R1403" r:id="rId1390" display="http://www.imdb.com/title/tt1316616/?ref_=fn_tt_tt_1"/>
    <hyperlink ref="R1404" r:id="rId1391" display="http://www.imdb.com/title/tt0104714/?ref_=fn_tt_tt_1"/>
    <hyperlink ref="R1405" r:id="rId1392" display="http://www.imdb.com/title/tt0878804/?ref_=fn_tt_tt_1"/>
    <hyperlink ref="R1406" r:id="rId1393" display="http://www.imdb.com/title/tt4085584/?ref_=fn_tt_tt_1"/>
    <hyperlink ref="R1407" r:id="rId1394" display="http://www.imdb.com/title/tt0227538/?ref_=fn_tt_tt_1"/>
    <hyperlink ref="R1408" r:id="rId1395" display="http://www.imdb.com/title/tt1499658/?ref_=fn_tt_tt_1"/>
    <hyperlink ref="R1409" r:id="rId1396" display="http://www.imdb.com/title/tt1403865/?ref_=fn_tt_tt_1"/>
    <hyperlink ref="R1410" r:id="rId1397" display="http://www.imdb.com/title/tt0458352/?ref_=fn_tt_tt_1"/>
    <hyperlink ref="R1411" r:id="rId1398" display="http://www.imdb.com/title/tt0079945/?ref_=fn_tt_tt_1"/>
    <hyperlink ref="R1412" r:id="rId1399" display="http://www.imdb.com/title/tt2024432/?ref_=fn_tt_tt_1"/>
    <hyperlink ref="R1413" r:id="rId1400" display="http://www.imdb.com/title/tt0101540/?ref_=fn_tt_tt_1"/>
    <hyperlink ref="R1414" r:id="rId1401" display="http://www.imdb.com/title/tt0478087/?ref_=fn_tt_tt_1"/>
    <hyperlink ref="R1415" r:id="rId1402" display="http://www.imdb.com/title/tt3152624/?ref_=fn_tt_tt_1"/>
    <hyperlink ref="R1416" r:id="rId1403" display="http://www.imdb.com/title/tt0372237/?ref_=fn_tt_tt_1"/>
    <hyperlink ref="R1417" r:id="rId1404" display="http://www.imdb.com/title/tt0116209/?ref_=fn_tt_tt_1"/>
    <hyperlink ref="R1418" r:id="rId1405" display="http://www.imdb.com/title/tt0119488/?ref_=fn_tt_tt_1"/>
    <hyperlink ref="R1419" r:id="rId1406" display="http://www.imdb.com/title/tt0405325/?ref_=fn_tt_tt_1"/>
    <hyperlink ref="R1420" r:id="rId1407" display="http://www.imdb.com/title/tt0119360/?ref_=fn_tt_tt_1"/>
    <hyperlink ref="R1421" r:id="rId1408" display="http://www.imdb.com/title/tt0114508/?ref_=fn_tt_tt_1"/>
    <hyperlink ref="R1422" r:id="rId1409" display="http://www.imdb.com/title/tt0087800/?ref_=fn_tt_tt_1"/>
    <hyperlink ref="R1423" r:id="rId1410" display="http://www.imdb.com/title/tt0209958/?ref_=fn_tt_tt_1"/>
    <hyperlink ref="R1424" r:id="rId1411" display="http://www.imdb.com/title/tt0120744/?ref_=fn_tt_tt_1"/>
    <hyperlink ref="R1425" r:id="rId1412" display="http://www.imdb.com/title/tt1028576/?ref_=fn_tt_tt_1"/>
    <hyperlink ref="R1426" r:id="rId1413" display="http://www.imdb.com/title/tt0453556/?ref_=fn_tt_tt_1"/>
    <hyperlink ref="R1427" r:id="rId1414" display="http://www.imdb.com/title/tt0316465/?ref_=fn_tt_tt_1"/>
    <hyperlink ref="R1428" r:id="rId1415" display="http://www.imdb.com/title/tt1632708/?ref_=fn_tt_tt_1"/>
    <hyperlink ref="R1429" r:id="rId1416" display="http://www.imdb.com/title/tt4438848/?ref_=fn_tt_tt_1"/>
    <hyperlink ref="R1430" r:id="rId1417" display="http://www.imdb.com/title/tt2140373/?ref_=fn_tt_tt_1"/>
    <hyperlink ref="R1431" r:id="rId1418" display="http://www.imdb.com/title/tt0104797/?ref_=fn_tt_tt_1"/>
    <hyperlink ref="R1432" r:id="rId1419" display="http://www.imdb.com/title/tt1758830/?ref_=fn_tt_tt_1"/>
    <hyperlink ref="R1433" r:id="rId1420" display="http://www.imdb.com/title/tt0976238/?ref_=fn_tt_tt_1"/>
    <hyperlink ref="R1434" r:id="rId1421" display="http://www.imdb.com/title/tt0834001/?ref_=fn_tt_tt_1"/>
    <hyperlink ref="R1435" r:id="rId1422" display="http://www.imdb.com/title/tt0762114/?ref_=fn_tt_tt_1"/>
    <hyperlink ref="R1436" r:id="rId1423" display="http://www.imdb.com/title/tt0437863/?ref_=fn_tt_tt_1"/>
    <hyperlink ref="R1437" r:id="rId1424" display="http://www.imdb.com/title/tt0417001/?ref_=fn_tt_tt_1"/>
    <hyperlink ref="R1438" r:id="rId1425" display="http://www.imdb.com/title/tt0119008/?ref_=fn_tt_tt_1"/>
    <hyperlink ref="R1439" r:id="rId1426" display="http://www.imdb.com/title/tt0120804/?ref_=fn_tt_tt_1"/>
    <hyperlink ref="R1440" r:id="rId1427" display="http://www.imdb.com/title/tt0084516/?ref_=fn_tt_tt_1"/>
    <hyperlink ref="R1441" r:id="rId1428" display="http://www.imdb.com/title/tt0335245/?ref_=fn_tt_tt_1"/>
    <hyperlink ref="R1442" r:id="rId1429" display="http://www.imdb.com/title/tt0467197/?ref_=fn_tt_tt_1"/>
    <hyperlink ref="R1443" r:id="rId1430" display="http://www.imdb.com/title/tt1637688/?ref_=fn_tt_tt_1"/>
    <hyperlink ref="R1444" r:id="rId1431" display="http://www.imdb.com/title/tt1212436/?ref_=fn_tt_tt_1"/>
    <hyperlink ref="R1445" r:id="rId1432" display="http://www.imdb.com/title/tt0491152/?ref_=fn_tt_tt_1"/>
    <hyperlink ref="R1446" r:id="rId1433" display="http://www.imdb.com/title/tt2368645/?ref_=fn_tt_tt_1"/>
    <hyperlink ref="R1447" r:id="rId1434" display="http://www.imdb.com/title/tt0265087/?ref_=fn_tt_tt_1"/>
    <hyperlink ref="R1448" r:id="rId1435" display="http://www.imdb.com/title/tt0074174/?ref_=fn_tt_tt_1"/>
    <hyperlink ref="R1449" r:id="rId1436" display="http://www.imdb.com/title/tt0111301/?ref_=fn_tt_tt_1"/>
    <hyperlink ref="R1450" r:id="rId1437" display="http://www.imdb.com/title/tt0253474/?ref_=fn_tt_tt_1"/>
    <hyperlink ref="R1451" r:id="rId1089" display="http://www.imdb.com/title/tt0120681/?ref_=fn_tt_tt_1"/>
    <hyperlink ref="R1452" r:id="rId1438" display="http://www.imdb.com/title/tt0762121/?ref_=fn_tt_tt_1"/>
    <hyperlink ref="R1453" r:id="rId1439" display="http://www.imdb.com/title/tt0397065/?ref_=fn_tt_tt_1"/>
    <hyperlink ref="R1454" r:id="rId1440" display="http://www.imdb.com/title/tt0376541/?ref_=fn_tt_tt_1"/>
    <hyperlink ref="R1455" r:id="rId1441" display="http://www.imdb.com/title/tt1616195/?ref_=fn_tt_tt_1"/>
    <hyperlink ref="R1456" r:id="rId1442" display="http://www.imdb.com/title/tt0790686/?ref_=fn_tt_tt_1"/>
    <hyperlink ref="R1457" r:id="rId1443" display="http://www.imdb.com/title/tt0238546/?ref_=fn_tt_tt_1"/>
    <hyperlink ref="R1458" r:id="rId1444" display="http://www.imdb.com/title/tt0100403/?ref_=fn_tt_tt_1"/>
    <hyperlink ref="R1459" r:id="rId1445" display="http://www.imdb.com/title/tt0880578/?ref_=fn_tt_tt_1"/>
    <hyperlink ref="R1460" r:id="rId1446" display="http://www.imdb.com/title/tt0124298/?ref_=fn_tt_tt_1"/>
    <hyperlink ref="R1461" r:id="rId1447" display="http://www.imdb.com/title/tt0080745/?ref_=fn_tt_tt_1"/>
    <hyperlink ref="R1462" r:id="rId1448" display="http://www.imdb.com/title/tt0300051/?ref_=fn_tt_tt_1"/>
    <hyperlink ref="R1463" r:id="rId1449" display="http://www.imdb.com/title/tt1712170/?ref_=fn_tt_tt_1"/>
    <hyperlink ref="R1464" r:id="rId1450" display="http://www.imdb.com/title/tt0119668/?ref_=fn_tt_tt_1"/>
    <hyperlink ref="R1465" r:id="rId1451" display="http://www.imdb.com/title/tt3276924/?ref_=fn_tt_tt_1"/>
    <hyperlink ref="R1466" r:id="rId1452" display="http://www.imdb.com/title/tt1415283/?ref_=fn_tt_tt_1"/>
    <hyperlink ref="R1467" r:id="rId1453" display="http://www.imdb.com/title/tt0104427/?ref_=fn_tt_tt_1"/>
    <hyperlink ref="R1468" r:id="rId1454" display="http://www.imdb.com/title/tt0443701/?ref_=fn_tt_tt_1"/>
    <hyperlink ref="R1469" r:id="rId1455" display="http://www.imdb.com/title/tt0327679/?ref_=fn_tt_tt_1"/>
    <hyperlink ref="R1470" r:id="rId1456" display="http://www.imdb.com/title/tt3322364/?ref_=fn_tt_tt_1"/>
    <hyperlink ref="R1471" r:id="rId1457" display="http://www.imdb.com/title/tt1600195/?ref_=fn_tt_tt_1"/>
    <hyperlink ref="R1472" r:id="rId1458" display="http://www.imdb.com/title/tt0361089/?ref_=fn_tt_tt_1"/>
    <hyperlink ref="R1473" r:id="rId1459" display="http://www.imdb.com/title/tt0185014/?ref_=fn_tt_tt_1"/>
    <hyperlink ref="R1474" r:id="rId1460" display="http://www.imdb.com/title/tt0426592/?ref_=fn_tt_tt_1"/>
    <hyperlink ref="R1475" r:id="rId1461" display="http://www.imdb.com/title/tt1235522/?ref_=fn_tt_tt_1"/>
    <hyperlink ref="R1476" r:id="rId1462" display="http://www.imdb.com/title/tt0257516/?ref_=fn_tt_tt_1"/>
    <hyperlink ref="R1477" r:id="rId1463" display="http://www.imdb.com/title/tt1547234/?ref_=fn_tt_tt_1"/>
    <hyperlink ref="R1478" r:id="rId1464" display="http://www.imdb.com/title/tt2967224/?ref_=fn_tt_tt_1"/>
    <hyperlink ref="R1479" r:id="rId1465" display="http://www.imdb.com/title/tt0240510/?ref_=fn_tt_tt_1"/>
    <hyperlink ref="R1480" r:id="rId1466" display="http://www.imdb.com/title/tt1904996/?ref_=fn_tt_tt_1"/>
    <hyperlink ref="R1481" r:id="rId1467" display="http://www.imdb.com/title/tt0360201/?ref_=fn_tt_tt_1"/>
    <hyperlink ref="R1482" r:id="rId1468" display="http://www.imdb.com/title/tt0492389/?ref_=fn_tt_tt_1"/>
    <hyperlink ref="R1483" r:id="rId1469" display="http://www.imdb.com/title/tt1438173/?ref_=fn_tt_tt_1"/>
    <hyperlink ref="R1484" r:id="rId1470" display="http://www.imdb.com/title/tt0085811/?ref_=fn_tt_tt_1"/>
    <hyperlink ref="R1485" r:id="rId1471" display="http://www.imdb.com/title/tt0891527/?ref_=fn_tt_tt_1"/>
    <hyperlink ref="R1486" r:id="rId1472" display="http://www.imdb.com/title/tt0099587/?ref_=fn_tt_tt_1"/>
    <hyperlink ref="R1487" r:id="rId1473" display="http://www.imdb.com/title/tt0841046/?ref_=fn_tt_tt_1"/>
    <hyperlink ref="R1488" r:id="rId1474" display="http://www.imdb.com/title/tt0120824/?ref_=fn_tt_tt_1"/>
    <hyperlink ref="R1489" r:id="rId1475" display="http://www.imdb.com/title/tt0244000/?ref_=fn_tt_tt_1"/>
    <hyperlink ref="R1490" r:id="rId1476" display="http://www.imdb.com/title/tt0962736/?ref_=fn_tt_tt_1"/>
    <hyperlink ref="R1491" r:id="rId1477" display="http://www.imdb.com/title/tt0365929/?ref_=fn_tt_tt_1"/>
    <hyperlink ref="R1492" r:id="rId1478" display="http://www.imdb.com/title/tt0478304/?ref_=fn_tt_tt_1"/>
    <hyperlink ref="R1493" r:id="rId1479" display="http://www.imdb.com/title/tt0120724/?ref_=fn_tt_tt_1"/>
    <hyperlink ref="R1494" r:id="rId1480" display="http://www.imdb.com/title/tt1742334/?ref_=fn_tt_tt_1"/>
    <hyperlink ref="R1495" r:id="rId1481" display="http://www.imdb.com/title/tt0304711/?ref_=fn_tt_tt_1"/>
    <hyperlink ref="R1496" r:id="rId1482" display="http://www.imdb.com/title/tt0450314/?ref_=fn_tt_tt_1"/>
    <hyperlink ref="R1497" r:id="rId1483" display="http://www.imdb.com/title/tt0383060/?ref_=fn_tt_tt_1"/>
    <hyperlink ref="R1498" r:id="rId1484" display="http://www.imdb.com/title/tt3488710/?ref_=fn_tt_tt_1"/>
    <hyperlink ref="R1499" r:id="rId1485" display="http://www.imdb.com/title/tt0120479/?ref_=fn_tt_tt_1"/>
    <hyperlink ref="R1500" r:id="rId1486" display="http://www.imdb.com/title/tt0401445/?ref_=fn_tt_tt_1"/>
    <hyperlink ref="R1501" r:id="rId1487" display="http://www.imdb.com/title/tt1474684/?ref_=fn_tt_tt_1"/>
    <hyperlink ref="R1502" r:id="rId1488" display="http://www.imdb.com/title/tt0105211/?ref_=fn_tt_tt_1"/>
    <hyperlink ref="R1503" r:id="rId1489" display="http://www.imdb.com/title/tt0106469/?ref_=fn_tt_tt_1"/>
    <hyperlink ref="R1504" r:id="rId1490" display="http://www.imdb.com/title/tt0120152/?ref_=fn_tt_tt_1"/>
    <hyperlink ref="R1505" r:id="rId1491" display="http://www.imdb.com/title/tt0280665/?ref_=fn_tt_tt_1"/>
    <hyperlink ref="R1506" r:id="rId1492" display="http://www.imdb.com/title/tt0081059/?ref_=fn_tt_tt_1"/>
    <hyperlink ref="R1507" r:id="rId1493" display="http://www.imdb.com/title/tt0113362/?ref_=fn_tt_tt_1"/>
    <hyperlink ref="R1508" r:id="rId1494" display="http://www.imdb.com/title/tt0134154/?ref_=fn_tt_tt_1"/>
    <hyperlink ref="R1509" r:id="rId1495" display="http://www.imdb.com/title/tt1164999/?ref_=fn_tt_tt_1"/>
    <hyperlink ref="R1510" r:id="rId85" display="http://www.imdb.com/title/tt1321869/?ref_=fn_tt_tt_1"/>
    <hyperlink ref="R1511" r:id="rId1496" display="http://www.imdb.com/title/tt0416496/?ref_=fn_tt_tt_1"/>
    <hyperlink ref="R1512" r:id="rId1497" display="http://www.imdb.com/title/tt0490087/?ref_=fn_tt_tt_1"/>
    <hyperlink ref="R1513" r:id="rId1498" display="http://www.imdb.com/title/tt1790864/?ref_=fn_tt_tt_1"/>
    <hyperlink ref="R1514" r:id="rId1499" display="http://www.imdb.com/title/tt2358925/?ref_=fn_tt_tt_1"/>
    <hyperlink ref="R1515" r:id="rId1500" display="http://www.imdb.com/title/tt0106226/?ref_=fn_tt_tt_1"/>
    <hyperlink ref="R1516" r:id="rId1501" display="http://www.imdb.com/title/tt0414993/?ref_=fn_tt_tt_1"/>
    <hyperlink ref="R1517" r:id="rId1502" display="http://www.imdb.com/title/tt0163579/?ref_=fn_tt_tt_1"/>
    <hyperlink ref="R1518" r:id="rId1503" display="http://www.imdb.com/title/tt1656186/?ref_=fn_tt_tt_1"/>
    <hyperlink ref="R1519" r:id="rId1504" display="http://www.imdb.com/title/tt0876563/?ref_=fn_tt_tt_1"/>
    <hyperlink ref="R1520" r:id="rId1505" display="http://www.imdb.com/title/tt2726560/?ref_=fn_tt_tt_1"/>
    <hyperlink ref="R1521" r:id="rId1506" display="http://www.imdb.com/title/tt0138304/?ref_=fn_tt_tt_1"/>
    <hyperlink ref="R1522" r:id="rId1507" display="http://www.imdb.com/title/tt0167203/?ref_=fn_tt_tt_1"/>
    <hyperlink ref="R1523" r:id="rId1508" display="http://www.imdb.com/title/tt1540128/?ref_=fn_tt_tt_1"/>
    <hyperlink ref="R1524" r:id="rId1509" display="http://www.imdb.com/title/tt2304771/?ref_=fn_tt_tt_1"/>
    <hyperlink ref="R1525" r:id="rId1510" display="http://www.imdb.com/title/tt0082979/?ref_=fn_tt_tt_1"/>
    <hyperlink ref="R1526" r:id="rId1511" display="http://www.imdb.com/title/tt0104257/?ref_=fn_tt_tt_1"/>
    <hyperlink ref="R1527" r:id="rId1512" display="http://www.imdb.com/title/tt0242445/?ref_=fn_tt_tt_1"/>
    <hyperlink ref="R1528" r:id="rId1513" display="http://www.imdb.com/title/tt0208003/?ref_=fn_tt_tt_1"/>
    <hyperlink ref="R1529" r:id="rId1514" display="http://www.imdb.com/title/tt3148834/?ref_=fn_tt_tt_1"/>
    <hyperlink ref="R1530" r:id="rId1515" display="http://www.imdb.com/title/tt1093357/?ref_=fn_tt_tt_1"/>
    <hyperlink ref="R1531" r:id="rId1516" display="http://www.imdb.com/title/tt1800741/?ref_=fn_tt_tt_1"/>
    <hyperlink ref="R1532" r:id="rId1517" display="http://www.imdb.com/title/tt0417148/?ref_=fn_tt_tt_1"/>
    <hyperlink ref="R1533" r:id="rId1518" display="http://www.imdb.com/title/tt0204626/?ref_=fn_tt_tt_1"/>
    <hyperlink ref="R1534" r:id="rId1519" display="http://www.imdb.com/title/tt0330793/?ref_=fn_tt_tt_1"/>
    <hyperlink ref="R1535" r:id="rId1520" display="http://www.imdb.com/title/tt0380389/?ref_=fn_tt_tt_1"/>
    <hyperlink ref="R1536" r:id="rId1521" display="http://www.imdb.com/title/tt1656190/?ref_=fn_tt_tt_1"/>
    <hyperlink ref="R1537" r:id="rId1522" display="http://www.imdb.com/title/tt0120797/?ref_=fn_tt_tt_1"/>
    <hyperlink ref="R1538" r:id="rId1523" display="http://www.imdb.com/title/tt0086190/?ref_=fn_tt_tt_1"/>
    <hyperlink ref="R1539" r:id="rId1524" display="http://www.imdb.com/title/tt0483607/?ref_=fn_tt_tt_1"/>
    <hyperlink ref="R1540" r:id="rId1525" display="http://www.imdb.com/title/tt0976051/?ref_=fn_tt_tt_1"/>
    <hyperlink ref="R1541" r:id="rId1526" display="http://www.imdb.com/title/tt1655460/?ref_=fn_tt_tt_1"/>
    <hyperlink ref="R1542" r:id="rId1527" display="http://www.imdb.com/title/tt0319343/?ref_=fn_tt_tt_1"/>
    <hyperlink ref="R1543" r:id="rId1528" display="http://www.imdb.com/title/tt0117333/?ref_=fn_tt_tt_1"/>
    <hyperlink ref="R1544" r:id="rId1529" display="http://www.imdb.com/title/tt0281373/?ref_=fn_tt_tt_1"/>
    <hyperlink ref="R1545" r:id="rId1530" display="http://www.imdb.com/title/tt0096061/?ref_=fn_tt_tt_1"/>
    <hyperlink ref="R1546" r:id="rId1531" display="http://www.imdb.com/title/tt0457510/?ref_=fn_tt_tt_1"/>
    <hyperlink ref="R1547" r:id="rId1532" display="http://www.imdb.com/title/tt1478338/?ref_=fn_tt_tt_1"/>
    <hyperlink ref="R1548" r:id="rId1533" display="http://www.imdb.com/title/tt1245492/?ref_=fn_tt_tt_1"/>
    <hyperlink ref="R1549" r:id="rId1534" display="http://www.imdb.com/title/tt0145531/?ref_=fn_tt_tt_1"/>
    <hyperlink ref="R1550" r:id="rId1535" display="http://www.imdb.com/title/tt0203019/?ref_=fn_tt_tt_1"/>
    <hyperlink ref="R1551" r:id="rId1536" display="http://www.imdb.com/title/tt1135084/?ref_=fn_tt_tt_1"/>
    <hyperlink ref="R1552" r:id="rId1537" display="http://www.imdb.com/title/tt1931435/?ref_=fn_tt_tt_1"/>
    <hyperlink ref="R1553" r:id="rId1538" display="http://www.imdb.com/title/tt1464174/?ref_=fn_tt_tt_1"/>
    <hyperlink ref="R1554" r:id="rId1539" display="http://www.imdb.com/title/tt0945513/?ref_=fn_tt_tt_1"/>
    <hyperlink ref="R1555" r:id="rId1540" display="http://www.imdb.com/title/tt0106246/?ref_=fn_tt_tt_1"/>
    <hyperlink ref="R1556" r:id="rId1541" display="http://www.imdb.com/title/tt0481369/?ref_=fn_tt_tt_1"/>
    <hyperlink ref="R1557" r:id="rId1542" display="http://www.imdb.com/title/tt1981107/?ref_=fn_tt_tt_1"/>
    <hyperlink ref="R1558" r:id="rId1543" display="http://www.imdb.com/title/tt0078723/?ref_=fn_tt_tt_1"/>
    <hyperlink ref="R1559" r:id="rId1544" display="http://www.imdb.com/title/tt0418647/?ref_=fn_tt_tt_1"/>
    <hyperlink ref="R1560" r:id="rId1545" display="http://www.imdb.com/title/tt0399146/?ref_=fn_tt_tt_1"/>
    <hyperlink ref="R1561" r:id="rId1546" display="http://www.imdb.com/title/tt0388482/?ref_=fn_tt_tt_1"/>
    <hyperlink ref="R1562" r:id="rId1547" display="http://www.imdb.com/title/tt0114214/?ref_=fn_tt_tt_1"/>
    <hyperlink ref="R1563" r:id="rId1548" display="http://www.imdb.com/title/tt0323033/?ref_=fn_tt_tt_1"/>
    <hyperlink ref="R1564" r:id="rId1549" display="http://www.imdb.com/title/tt0163988/?ref_=fn_tt_tt_1"/>
    <hyperlink ref="R1565" r:id="rId1550" display="http://www.imdb.com/title/tt1053424/?ref_=fn_tt_tt_1"/>
    <hyperlink ref="R1566" r:id="rId1551" display="http://www.imdb.com/title/tt0372873/?ref_=fn_tt_tt_1"/>
    <hyperlink ref="R1567" r:id="rId1552" display="http://www.imdb.com/title/tt0115725/?ref_=fn_tt_tt_1"/>
    <hyperlink ref="R1568" r:id="rId1553" display="http://www.imdb.com/title/tt0790628/?ref_=fn_tt_tt_1"/>
    <hyperlink ref="R1569" r:id="rId1554" display="http://www.imdb.com/title/tt0118829/?ref_=fn_tt_tt_1"/>
    <hyperlink ref="R1570" r:id="rId1555" display="http://www.imdb.com/title/tt0150216/?ref_=fn_tt_tt_1"/>
    <hyperlink ref="R1571" r:id="rId1556" display="http://www.imdb.com/title/tt0452624/?ref_=fn_tt_tt_1"/>
    <hyperlink ref="R1572" r:id="rId1557" display="http://www.imdb.com/title/tt0306892/?ref_=fn_tt_tt_1"/>
    <hyperlink ref="R1573" r:id="rId1558" display="http://www.imdb.com/title/tt0078788/?ref_=fn_tt_tt_1"/>
    <hyperlink ref="R1574" r:id="rId1559" display="http://www.imdb.com/title/tt1322312/?ref_=fn_tt_tt_1"/>
    <hyperlink ref="R1575" r:id="rId1560" display="http://www.imdb.com/title/tt0113862/?ref_=fn_tt_tt_1"/>
    <hyperlink ref="R1576" r:id="rId1561" display="http://www.imdb.com/title/tt3014866/?ref_=fn_tt_tt_1"/>
    <hyperlink ref="R1577" r:id="rId1562" display="http://www.imdb.com/title/tt0089755/?ref_=fn_tt_tt_1"/>
    <hyperlink ref="R1578" r:id="rId1563" display="http://www.imdb.com/title/tt1907668/?ref_=fn_tt_tt_1"/>
    <hyperlink ref="R1579" r:id="rId1564" display="http://www.imdb.com/title/tt0079574/?ref_=fn_tt_tt_1"/>
    <hyperlink ref="R1580" r:id="rId1565" display="http://www.imdb.com/title/tt2278388/?ref_=fn_tt_tt_1"/>
    <hyperlink ref="R1581" r:id="rId1566" display="http://www.imdb.com/title/tt0252501/?ref_=fn_tt_tt_1"/>
    <hyperlink ref="R1582" r:id="rId1567" display="http://www.imdb.com/title/tt0099052/?ref_=fn_tt_tt_1"/>
    <hyperlink ref="R1583" r:id="rId1568" display="http://www.imdb.com/title/tt0186151/?ref_=fn_tt_tt_1"/>
    <hyperlink ref="R1584" r:id="rId150" display="http://www.imdb.com/title/tt1289401/?ref_=fn_tt_tt_1"/>
    <hyperlink ref="R1585" r:id="rId1569" display="http://www.imdb.com/title/tt1524930/?ref_=fn_tt_tt_1"/>
    <hyperlink ref="R1586" r:id="rId1570" display="http://www.imdb.com/title/tt0113161/?ref_=fn_tt_tt_1"/>
    <hyperlink ref="R1587" r:id="rId1571" display="http://www.imdb.com/title/tt0299658/?ref_=fn_tt_tt_1"/>
    <hyperlink ref="R1588" r:id="rId1572" display="http://www.imdb.com/title/tt0142342/?ref_=fn_tt_tt_1"/>
    <hyperlink ref="R1589" r:id="rId1573" display="http://www.imdb.com/title/tt0252866/?ref_=fn_tt_tt_1"/>
    <hyperlink ref="R1590" r:id="rId1574" display="http://www.imdb.com/title/tt0114709/?ref_=fn_tt_tt_1"/>
    <hyperlink ref="R1591" r:id="rId1575" display="http://www.imdb.com/title/tt0111257/?ref_=fn_tt_tt_1"/>
    <hyperlink ref="R1592" r:id="rId1576" display="http://www.imdb.com/title/tt1606389/?ref_=fn_tt_tt_1"/>
    <hyperlink ref="R1593" r:id="rId1577" display="http://www.imdb.com/title/tt1244659/?ref_=fn_tt_tt_1"/>
    <hyperlink ref="R1594" r:id="rId1578" display="http://www.imdb.com/title/tt0210945/?ref_=fn_tt_tt_1"/>
    <hyperlink ref="R1595" r:id="rId1579" display="http://www.imdb.com/title/tt0099810/?ref_=fn_tt_tt_1"/>
    <hyperlink ref="R1596" r:id="rId1580" display="http://www.imdb.com/title/tt1327773/?ref_=fn_tt_tt_1"/>
    <hyperlink ref="R1597" r:id="rId1581" display="http://www.imdb.com/title/tt0364725/?ref_=fn_tt_tt_1"/>
    <hyperlink ref="R1598" r:id="rId1582" display="http://www.imdb.com/title/tt0101272/?ref_=fn_tt_tt_1"/>
    <hyperlink ref="R1599" r:id="rId1583" display="http://www.imdb.com/title/tt0112281/?ref_=fn_tt_tt_1"/>
    <hyperlink ref="R1600" r:id="rId1584" display="http://www.imdb.com/title/tt0247638/?ref_=fn_tt_tt_1"/>
    <hyperlink ref="R1601" r:id="rId1585" display="http://www.imdb.com/title/tt0116313/?ref_=fn_tt_tt_1"/>
    <hyperlink ref="R1602" r:id="rId1586" display="http://www.imdb.com/title/tt0114369/?ref_=fn_tt_tt_1"/>
    <hyperlink ref="R1603" r:id="rId1587" display="http://www.imdb.com/title/tt1136608/?ref_=fn_tt_tt_1"/>
    <hyperlink ref="R1604" r:id="rId1588" display="http://www.imdb.com/title/tt0345950/?ref_=fn_tt_tt_1"/>
    <hyperlink ref="R1605" r:id="rId1589" display="http://www.imdb.com/title/tt0327056/?ref_=fn_tt_tt_1"/>
    <hyperlink ref="R1606" r:id="rId1590" display="http://www.imdb.com/title/tt0405159/?ref_=fn_tt_tt_1"/>
    <hyperlink ref="R1607" r:id="rId1591" display="http://www.imdb.com/title/tt0122933/?ref_=fn_tt_tt_1"/>
    <hyperlink ref="R1608" r:id="rId1592" display="http://www.imdb.com/title/tt0332280/?ref_=fn_tt_tt_1"/>
    <hyperlink ref="R1609" r:id="rId1593" display="http://www.imdb.com/title/tt0988595/?ref_=fn_tt_tt_1"/>
    <hyperlink ref="R1610" r:id="rId1594" display="http://www.imdb.com/title/tt1114677/?ref_=fn_tt_tt_1"/>
    <hyperlink ref="R1611" r:id="rId1595" display="http://www.imdb.com/title/tt0213203/?ref_=fn_tt_tt_1"/>
    <hyperlink ref="R1612" r:id="rId1596" display="http://www.imdb.com/title/tt0102713/?ref_=fn_tt_tt_1"/>
    <hyperlink ref="R1613" r:id="rId1597" display="http://www.imdb.com/title/tt0110322/?ref_=fn_tt_tt_1"/>
    <hyperlink ref="R1614" r:id="rId1598" display="http://www.imdb.com/title/tt1193138/?ref_=fn_tt_tt_1"/>
    <hyperlink ref="R1615" r:id="rId1599" display="http://www.imdb.com/title/tt0257360/?ref_=fn_tt_tt_1"/>
    <hyperlink ref="R1616" r:id="rId1600" display="http://www.imdb.com/title/tt1588173/?ref_=fn_tt_tt_1"/>
    <hyperlink ref="R1617" r:id="rId1601" display="http://www.imdb.com/title/tt1276104/?ref_=fn_tt_tt_1"/>
    <hyperlink ref="R1618" r:id="rId1602" display="http://www.imdb.com/title/tt0231775/?ref_=fn_tt_tt_1"/>
    <hyperlink ref="R1619" r:id="rId1603" display="http://www.imdb.com/title/tt0112431/?ref_=fn_tt_tt_1"/>
    <hyperlink ref="R1620" r:id="rId1604" display="http://www.imdb.com/title/tt1535438/?ref_=fn_tt_tt_1"/>
    <hyperlink ref="R1621" r:id="rId1605" display="http://www.imdb.com/title/tt0800039/?ref_=fn_tt_tt_1"/>
    <hyperlink ref="R1622" r:id="rId1606" display="http://www.imdb.com/title/tt0758745/?ref_=fn_tt_tt_1"/>
    <hyperlink ref="R1623" r:id="rId1607" display="http://www.imdb.com/title/tt0430105/?ref_=fn_tt_tt_1"/>
    <hyperlink ref="R1624" r:id="rId1608" display="http://www.imdb.com/title/tt0871426/?ref_=fn_tt_tt_1"/>
    <hyperlink ref="R1625" r:id="rId1609" display="http://www.imdb.com/title/tt0119313/?ref_=fn_tt_tt_1"/>
    <hyperlink ref="R1626" r:id="rId1610" display="http://www.imdb.com/title/tt0901476/?ref_=fn_tt_tt_1"/>
    <hyperlink ref="R1627" r:id="rId1611" display="http://www.imdb.com/title/tt0364751/?ref_=fn_tt_tt_1"/>
    <hyperlink ref="R1628" r:id="rId1612" display="http://www.imdb.com/title/tt0337563/?ref_=fn_tt_tt_1"/>
    <hyperlink ref="R1629" r:id="rId1613" display="http://www.imdb.com/title/tt1605783/?ref_=fn_tt_tt_1"/>
    <hyperlink ref="R1630" r:id="rId1614" display="http://www.imdb.com/title/tt1821658/?ref_=fn_tt_tt_1"/>
    <hyperlink ref="R1631" r:id="rId1615" display="http://www.imdb.com/title/tt0221027/?ref_=fn_tt_tt_1"/>
    <hyperlink ref="R1632" r:id="rId1616" display="http://www.imdb.com/title/tt0139462/?ref_=fn_tt_tt_1"/>
    <hyperlink ref="R1633" r:id="rId1617" display="http://www.imdb.com/title/tt0098382/?ref_=fn_tt_tt_1"/>
    <hyperlink ref="R1634" r:id="rId1618" display="http://www.imdb.com/title/tt0308506/?ref_=fn_tt_tt_1"/>
    <hyperlink ref="R1635" r:id="rId1619" display="http://www.imdb.com/title/tt0110622/?ref_=fn_tt_tt_1"/>
    <hyperlink ref="R1636" r:id="rId1620" display="http://www.imdb.com/title/tt0090264/?ref_=fn_tt_tt_1"/>
    <hyperlink ref="R1637" r:id="rId1621" display="http://www.imdb.com/title/tt0312004/?ref_=fn_tt_tt_1"/>
    <hyperlink ref="R1638" r:id="rId1622" display="http://www.imdb.com/title/tt0431308/?ref_=fn_tt_tt_1"/>
    <hyperlink ref="R1639" r:id="rId1623" display="http://www.imdb.com/title/tt0376105/?ref_=fn_tt_tt_1"/>
    <hyperlink ref="R1640" r:id="rId1624" display="http://www.imdb.com/title/tt0783233/?ref_=fn_tt_tt_1"/>
    <hyperlink ref="R1641" r:id="rId1625" display="http://www.imdb.com/title/tt0892318/?ref_=fn_tt_tt_1"/>
    <hyperlink ref="R1642" r:id="rId1626" display="http://www.imdb.com/title/tt0096933/?ref_=fn_tt_tt_1"/>
    <hyperlink ref="R1643" r:id="rId1627" display="http://www.imdb.com/title/tt0383010/?ref_=fn_tt_tt_1"/>
    <hyperlink ref="R1644" r:id="rId1628" display="http://www.imdb.com/title/tt0121164/?ref_=fn_tt_tt_1"/>
    <hyperlink ref="R1645" r:id="rId1629" display="http://www.imdb.com/title/tt0385726/?ref_=fn_tt_tt_1"/>
    <hyperlink ref="R1646" r:id="rId1630" display="http://www.imdb.com/title/tt3397884/?ref_=fn_tt_tt_1"/>
    <hyperlink ref="R1647" r:id="rId1631" display="http://www.imdb.com/title/tt1798684/?ref_=fn_tt_tt_1"/>
    <hyperlink ref="R1648" r:id="rId1632" display="http://www.imdb.com/title/tt1127180/?ref_=fn_tt_tt_1"/>
    <hyperlink ref="R1649" r:id="rId1633" display="http://www.imdb.com/title/tt1655441/?ref_=fn_tt_tt_1"/>
    <hyperlink ref="R1650" r:id="rId1634" display="http://www.imdb.com/title/tt0327137/?ref_=fn_tt_tt_1"/>
    <hyperlink ref="R1651" r:id="rId1635" display="http://www.imdb.com/title/tt1193631/?ref_=fn_tt_tt_1"/>
    <hyperlink ref="R1652" r:id="rId1636" display="http://www.imdb.com/title/tt0300532/?ref_=fn_tt_tt_1"/>
    <hyperlink ref="R1653" r:id="rId1637" display="http://www.imdb.com/title/tt0420223/?ref_=fn_tt_tt_1"/>
    <hyperlink ref="R1654" r:id="rId1638" display="http://www.imdb.com/title/tt0389722/?ref_=fn_tt_tt_1"/>
    <hyperlink ref="R1655" r:id="rId1639" display="http://www.imdb.com/title/tt1259521/?ref_=fn_tt_tt_1"/>
    <hyperlink ref="R1656" r:id="rId1640" display="http://www.imdb.com/title/tt1073498/?ref_=fn_tt_tt_1"/>
    <hyperlink ref="R1657" r:id="rId1641" display="http://www.imdb.com/title/tt0095631/?ref_=fn_tt_tt_1"/>
    <hyperlink ref="R1658" r:id="rId1642" display="http://www.imdb.com/title/tt0093894/?ref_=fn_tt_tt_1"/>
    <hyperlink ref="R1659" r:id="rId1643" display="http://www.imdb.com/title/tt0091419/?ref_=fn_tt_tt_1"/>
    <hyperlink ref="R1660" r:id="rId1644" display="http://www.imdb.com/title/tt0993842/?ref_=fn_tt_tt_1"/>
    <hyperlink ref="R1661" r:id="rId1645" display="http://www.imdb.com/title/tt4428038/?ref_=fn_tt_tt_1"/>
    <hyperlink ref="R1662" r:id="rId1646" display="http://www.imdb.com/title/tt0119707/?ref_=fn_tt_tt_1"/>
    <hyperlink ref="R1663" r:id="rId1647" display="http://www.imdb.com/title/tt1583420/?ref_=fn_tt_tt_1"/>
    <hyperlink ref="R1664" r:id="rId1648" display="http://www.imdb.com/title/tt1939659/?ref_=fn_tt_tt_1"/>
    <hyperlink ref="R1665" r:id="rId1649" display="http://www.imdb.com/title/tt0446046/?ref_=fn_tt_tt_1"/>
    <hyperlink ref="R1666" r:id="rId1650" display="http://www.imdb.com/title/tt0387199/?ref_=fn_tt_tt_1"/>
    <hyperlink ref="R1667" r:id="rId1651" display="http://www.imdb.com/title/tt0421206/?ref_=fn_tt_tt_1"/>
    <hyperlink ref="R1668" r:id="rId1652" display="http://www.imdb.com/title/tt0161083/?ref_=fn_tt_tt_1"/>
    <hyperlink ref="R1669" r:id="rId1653" display="http://www.imdb.com/title/tt0472033/?ref_=fn_tt_tt_1"/>
    <hyperlink ref="R1670" r:id="rId1654" display="http://www.imdb.com/title/tt2053463/?ref_=fn_tt_tt_1"/>
    <hyperlink ref="R1671" r:id="rId1655" display="http://www.imdb.com/title/tt0337697/?ref_=fn_tt_tt_1"/>
    <hyperlink ref="R1672" r:id="rId1656" display="http://www.imdb.com/title/tt1449283/?ref_=fn_tt_tt_1"/>
    <hyperlink ref="R1673" r:id="rId1657" display="http://www.imdb.com/title/tt0329028/?ref_=fn_tt_tt_1"/>
    <hyperlink ref="R1674" r:id="rId1658" display="http://www.imdb.com/title/tt0118798/?ref_=fn_tt_tt_1"/>
    <hyperlink ref="R1675" r:id="rId1659" display="http://www.imdb.com/title/tt2473602/?ref_=fn_tt_tt_1"/>
    <hyperlink ref="R1676" r:id="rId1660" display="http://www.imdb.com/title/tt0120776/?ref_=fn_tt_tt_1"/>
    <hyperlink ref="R1677" r:id="rId1661" display="http://www.imdb.com/title/tt0114857/?ref_=fn_tt_tt_1"/>
    <hyperlink ref="R1678" r:id="rId1662" display="http://www.imdb.com/title/tt0465624/?ref_=fn_tt_tt_1"/>
    <hyperlink ref="R1679" r:id="rId1663" display="http://www.imdb.com/title/tt2377322/?ref_=fn_tt_tt_1"/>
    <hyperlink ref="R1680" r:id="rId1664" display="http://www.imdb.com/title/tt0881320/?ref_=fn_tt_tt_1"/>
    <hyperlink ref="R1681" r:id="rId1665" display="http://www.imdb.com/title/tt0361841/?ref_=fn_tt_tt_1"/>
    <hyperlink ref="R1682" r:id="rId1666" display="http://www.imdb.com/title/tt1195478/?ref_=fn_tt_tt_1"/>
    <hyperlink ref="R1683" r:id="rId1667" display="http://www.imdb.com/title/tt0339412/?ref_=fn_tt_tt_1"/>
    <hyperlink ref="R1684" r:id="rId1668" display="http://www.imdb.com/title/tt1458175/?ref_=fn_tt_tt_1"/>
    <hyperlink ref="R1685" r:id="rId1669" display="http://www.imdb.com/title/tt0370032/?ref_=fn_tt_tt_1"/>
    <hyperlink ref="R1686" r:id="rId1670" display="http://www.imdb.com/title/tt0398712/?ref_=fn_tt_tt_1"/>
    <hyperlink ref="R1687" r:id="rId1671" display="http://www.imdb.com/title/tt0120008/?ref_=fn_tt_tt_1"/>
    <hyperlink ref="R1688" r:id="rId1672" display="http://www.imdb.com/title/tt0116320/?ref_=fn_tt_tt_1"/>
    <hyperlink ref="R1689" r:id="rId1673" display="http://www.imdb.com/title/tt0271367/?ref_=fn_tt_tt_1"/>
    <hyperlink ref="R1690" r:id="rId1674" display="http://www.imdb.com/title/tt0758752/?ref_=fn_tt_tt_1"/>
    <hyperlink ref="R1691" r:id="rId1675" display="http://www.imdb.com/title/tt0411061/?ref_=fn_tt_tt_1"/>
    <hyperlink ref="R1692" r:id="rId1676" display="http://www.imdb.com/title/tt0395972/?ref_=fn_tt_tt_1"/>
    <hyperlink ref="R1693" r:id="rId1677" display="http://www.imdb.com/title/tt0327247/?ref_=fn_tt_tt_1"/>
    <hyperlink ref="R1694" r:id="rId1678" display="http://www.imdb.com/title/tt1017460/?ref_=fn_tt_tt_1"/>
    <hyperlink ref="R1695" r:id="rId1679" display="http://www.imdb.com/title/tt0091225/?ref_=fn_tt_tt_1"/>
    <hyperlink ref="R1696" r:id="rId1680" display="http://www.imdb.com/title/tt0482572/?ref_=fn_tt_tt_1"/>
    <hyperlink ref="R1697" r:id="rId1681" display="http://www.imdb.com/title/tt0402901/?ref_=fn_tt_tt_1"/>
    <hyperlink ref="R1698" r:id="rId1682" display="http://www.imdb.com/title/tt0318283/?ref_=fn_tt_tt_1"/>
    <hyperlink ref="R1699" r:id="rId1683" display="http://www.imdb.com/title/tt0324554/?ref_=fn_tt_tt_1"/>
    <hyperlink ref="R1700" r:id="rId1684" display="http://www.imdb.com/title/tt1438176/?ref_=fn_tt_tt_1"/>
    <hyperlink ref="R1701" r:id="rId1685" display="http://www.imdb.com/title/tt0402399/?ref_=fn_tt_tt_1"/>
    <hyperlink ref="R1702" r:id="rId1686" display="http://www.imdb.com/title/tt0131646/?ref_=fn_tt_tt_1"/>
    <hyperlink ref="R1703" r:id="rId1687" display="http://www.imdb.com/title/tt0120710/?ref_=fn_tt_tt_1"/>
    <hyperlink ref="R1704" r:id="rId1688" display="http://www.imdb.com/title/tt1098327/?ref_=fn_tt_tt_1"/>
    <hyperlink ref="R1705" r:id="rId1689" display="http://www.imdb.com/title/tt1549920/?ref_=fn_tt_tt_1"/>
    <hyperlink ref="R1706" r:id="rId1690" display="http://www.imdb.com/title/tt0335121/?ref_=fn_tt_tt_1"/>
    <hyperlink ref="R1707" r:id="rId1691" display="http://www.imdb.com/title/tt0360139/?ref_=fn_tt_tt_1"/>
    <hyperlink ref="R1708" r:id="rId1692" display="http://www.imdb.com/title/tt0844993/?ref_=fn_tt_tt_1"/>
    <hyperlink ref="R1709" r:id="rId1693" display="http://www.imdb.com/title/tt0350261/?ref_=fn_tt_tt_1"/>
    <hyperlink ref="R1710" r:id="rId1694" display="http://www.imdb.com/title/tt1054606/?ref_=fn_tt_tt_1"/>
    <hyperlink ref="R1711" r:id="rId1695" display="http://www.imdb.com/title/tt1423894/?ref_=fn_tt_tt_1"/>
    <hyperlink ref="R1712" r:id="rId1696" display="http://www.imdb.com/title/tt3561180/?ref_=fn_tt_tt_1"/>
    <hyperlink ref="R1713" r:id="rId1697" display="http://www.imdb.com/title/tt2364841/?ref_=fn_tt_tt_1"/>
    <hyperlink ref="R1714" r:id="rId1698" display="http://www.imdb.com/title/tt0218817/?ref_=fn_tt_tt_1"/>
    <hyperlink ref="R1715" r:id="rId1699" display="http://www.imdb.com/title/tt0097441/?ref_=fn_tt_tt_1"/>
    <hyperlink ref="R1716" r:id="rId1700" display="http://www.imdb.com/title/tt0087843/?ref_=fn_tt_tt_1"/>
    <hyperlink ref="R1717" r:id="rId1701" display="http://www.imdb.com/title/tt2101341/?ref_=fn_tt_tt_1"/>
    <hyperlink ref="R1718" r:id="rId1702" display="http://www.imdb.com/title/tt0379889/?ref_=fn_tt_tt_1"/>
    <hyperlink ref="R1719" r:id="rId1703" display="http://www.imdb.com/title/tt0281820/?ref_=fn_tt_tt_1"/>
    <hyperlink ref="R1720" r:id="rId1704" display="http://www.imdb.com/title/tt0403016/?ref_=fn_tt_tt_1"/>
    <hyperlink ref="R1721" r:id="rId1705" display="http://www.imdb.com/title/tt0482546/?ref_=fn_tt_tt_1"/>
    <hyperlink ref="R1722" r:id="rId1706" display="http://www.imdb.com/title/tt0417976/?ref_=fn_tt_tt_1"/>
    <hyperlink ref="R1723" r:id="rId1707" display="http://www.imdb.com/title/tt0398913/?ref_=fn_tt_tt_1"/>
    <hyperlink ref="R1724" r:id="rId1708" display="http://www.imdb.com/title/tt0443680/?ref_=fn_tt_tt_1"/>
    <hyperlink ref="R1725" r:id="rId1709" display="http://www.imdb.com/title/tt1772230/?ref_=fn_tt_tt_1"/>
    <hyperlink ref="R1726" r:id="rId1710" display="http://www.imdb.com/title/tt1264904/?ref_=fn_tt_tt_1"/>
    <hyperlink ref="R1727" r:id="rId1711" display="http://www.imdb.com/title/tt2231253/?ref_=fn_tt_tt_1"/>
    <hyperlink ref="R1728" r:id="rId1712" display="http://www.imdb.com/title/tt1586752/?ref_=fn_tt_tt_1"/>
    <hyperlink ref="R1729" r:id="rId1713" display="http://www.imdb.com/title/tt1620449/?ref_=fn_tt_tt_1"/>
    <hyperlink ref="R1730" r:id="rId1714" display="http://www.imdb.com/title/tt0438859/?ref_=fn_tt_tt_1"/>
    <hyperlink ref="R1731" r:id="rId1715" display="http://www.imdb.com/title/tt2814362/?ref_=fn_tt_tt_1"/>
    <hyperlink ref="R1732" r:id="rId1716" display="http://www.imdb.com/title/tt2095649/?ref_=fn_tt_tt_1"/>
    <hyperlink ref="R1733" r:id="rId1717" display="http://www.imdb.com/title/tt4075322/?ref_=fn_tt_tt_1"/>
    <hyperlink ref="R1734" r:id="rId1718" display="http://www.imdb.com/title/tt0265651/?ref_=fn_tt_tt_1"/>
    <hyperlink ref="R1735" r:id="rId1719" display="http://www.imdb.com/title/tt1700841/?ref_=fn_tt_tt_1"/>
    <hyperlink ref="R1736" r:id="rId1720" display="http://www.imdb.com/title/tt2848292/?ref_=fn_tt_tt_1"/>
    <hyperlink ref="R1737" r:id="rId1721" display="http://www.imdb.com/title/tt0358273/?ref_=fn_tt_tt_1"/>
    <hyperlink ref="R1738" r:id="rId1722" display="http://www.imdb.com/title/tt3148266/?ref_=fn_tt_tt_1"/>
    <hyperlink ref="R1739" r:id="rId1723" display="http://www.imdb.com/title/tt0171433/?ref_=fn_tt_tt_1"/>
    <hyperlink ref="R1740" r:id="rId1724" display="http://www.imdb.com/title/tt0118755/?ref_=fn_tt_tt_1"/>
    <hyperlink ref="R1741" r:id="rId1725" display="http://www.imdb.com/title/tt0870111/?ref_=fn_tt_tt_1"/>
    <hyperlink ref="R1742" r:id="rId1726" display="http://www.imdb.com/title/tt0270288/?ref_=fn_tt_tt_1"/>
    <hyperlink ref="R1743" r:id="rId1727" display="http://www.imdb.com/title/tt0261289/?ref_=fn_tt_tt_1"/>
    <hyperlink ref="R1744" r:id="rId1728" display="http://www.imdb.com/title/tt2702724/?ref_=fn_tt_tt_1"/>
    <hyperlink ref="R1745" r:id="rId1729" display="http://www.imdb.com/title/tt0092804/?ref_=fn_tt_tt_1"/>
    <hyperlink ref="R1746" r:id="rId1730" display="http://www.imdb.com/title/tt0140397/?ref_=fn_tt_tt_1"/>
    <hyperlink ref="R1747" r:id="rId1731" display="http://www.imdb.com/title/tt0387575/?ref_=fn_tt_tt_1"/>
    <hyperlink ref="R1748" r:id="rId1732" display="http://www.imdb.com/title/tt0366627/?ref_=fn_tt_tt_1"/>
    <hyperlink ref="R1749" r:id="rId1733" display="http://www.imdb.com/title/tt0103639/?ref_=fn_tt_tt_1"/>
    <hyperlink ref="R1750" r:id="rId1734" display="http://www.imdb.com/title/tt1398426/?ref_=fn_tt_tt_1"/>
    <hyperlink ref="R1751" r:id="rId1735" display="http://www.imdb.com/title/tt0087469/?ref_=fn_tt_tt_1"/>
    <hyperlink ref="R1752" r:id="rId1736" display="http://www.imdb.com/title/tt0134067/?ref_=fn_tt_tt_1"/>
    <hyperlink ref="R1753" r:id="rId1737" display="http://www.imdb.com/title/tt0164334/?ref_=fn_tt_tt_1"/>
    <hyperlink ref="R1754" r:id="rId1738" display="http://www.imdb.com/title/tt4136084/?ref_=fn_tt_tt_1"/>
    <hyperlink ref="R1755" r:id="rId1739" display="http://www.imdb.com/title/tt0285823/?ref_=fn_tt_tt_1"/>
    <hyperlink ref="R1756" r:id="rId1740" display="http://www.imdb.com/title/tt0095016/?ref_=fn_tt_tt_1"/>
    <hyperlink ref="R1757" r:id="rId1741" display="http://www.imdb.com/title/tt0430922/?ref_=fn_tt_tt_1"/>
    <hyperlink ref="R1758" r:id="rId1742" display="http://www.imdb.com/title/tt1596363/?ref_=fn_tt_tt_1"/>
    <hyperlink ref="R1759" r:id="rId1743" display="http://www.imdb.com/title/tt1127896/?ref_=fn_tt_tt_1"/>
    <hyperlink ref="R1760" r:id="rId1744" display="http://www.imdb.com/title/tt0349825/?ref_=fn_tt_tt_1"/>
    <hyperlink ref="R1761" r:id="rId1745" display="http://www.imdb.com/title/tt0363547/?ref_=fn_tt_tt_1"/>
    <hyperlink ref="R1762" r:id="rId1746" display="http://www.imdb.com/title/tt0209475/?ref_=fn_tt_tt_1"/>
    <hyperlink ref="R1763" r:id="rId1747" display="http://www.imdb.com/title/tt2668134/?ref_=fn_tt_tt_1"/>
    <hyperlink ref="R1764" r:id="rId1748" display="http://www.imdb.com/title/tt0265666/?ref_=fn_tt_tt_1"/>
    <hyperlink ref="R1765" r:id="rId1749" display="http://www.imdb.com/title/tt0309698/?ref_=fn_tt_tt_1"/>
    <hyperlink ref="R1766" r:id="rId1750" display="http://www.imdb.com/title/tt1204975/?ref_=fn_tt_tt_1"/>
    <hyperlink ref="R1767" r:id="rId1751" display="http://www.imdb.com/title/tt0082398/?ref_=fn_tt_tt_1"/>
    <hyperlink ref="R1768" r:id="rId1752" display="http://www.imdb.com/title/tt0240890/?ref_=fn_tt_tt_1"/>
    <hyperlink ref="R1769" r:id="rId1753" display="http://www.imdb.com/title/tt0111438/?ref_=fn_tt_tt_1"/>
    <hyperlink ref="R1770" r:id="rId1754" display="http://www.imdb.com/title/tt0196229/?ref_=fn_tt_tt_1"/>
    <hyperlink ref="R1771" r:id="rId1755" display="http://www.imdb.com/title/tt1702439/?ref_=fn_tt_tt_1"/>
    <hyperlink ref="R1772" r:id="rId1756" display="http://www.imdb.com/title/tt0107120/?ref_=fn_tt_tt_1"/>
    <hyperlink ref="R1773" r:id="rId1757" display="http://www.imdb.com/title/tt0481141/?ref_=fn_tt_tt_1"/>
    <hyperlink ref="R1774" r:id="rId1758" display="http://www.imdb.com/title/tt1250777/?ref_=fn_tt_tt_1"/>
    <hyperlink ref="R1775" r:id="rId1759" display="http://www.imdb.com/title/tt1622547/?ref_=fn_tt_tt_1"/>
    <hyperlink ref="R1776" r:id="rId1760" display="http://www.imdb.com/title/tt0219653/?ref_=fn_tt_tt_1"/>
    <hyperlink ref="R1777" r:id="rId1761" display="http://www.imdb.com/title/tt1698641/?ref_=fn_tt_tt_1"/>
    <hyperlink ref="R1778" r:id="rId1762" display="http://www.imdb.com/title/tt0414387/?ref_=fn_tt_tt_1"/>
    <hyperlink ref="R1779" r:id="rId1763" display="http://www.imdb.com/title/tt0083658/?ref_=fn_tt_tt_1"/>
    <hyperlink ref="R1780" r:id="rId1764" display="http://www.imdb.com/title/tt0114287/?ref_=fn_tt_tt_1"/>
    <hyperlink ref="R1781" r:id="rId1765" display="http://www.imdb.com/title/tt2172934/?ref_=fn_tt_tt_1"/>
    <hyperlink ref="R1782" r:id="rId1766" display="http://www.imdb.com/title/tt0498399/?ref_=fn_tt_tt_1"/>
    <hyperlink ref="R1783" r:id="rId1767" display="http://www.imdb.com/title/tt0160484/?ref_=fn_tt_tt_1"/>
    <hyperlink ref="R1784" r:id="rId1768" display="http://www.imdb.com/title/tt0301727/?ref_=fn_tt_tt_1"/>
    <hyperlink ref="R1785" r:id="rId1769" display="http://www.imdb.com/title/tt0397078/?ref_=fn_tt_tt_1"/>
    <hyperlink ref="R1786" r:id="rId1770" display="http://www.imdb.com/title/tt0134618/?ref_=fn_tt_tt_1"/>
    <hyperlink ref="R1787" r:id="rId1771" display="http://www.imdb.com/title/tt1273678/?ref_=fn_tt_tt_1"/>
    <hyperlink ref="R1788" r:id="rId1772" display="http://www.imdb.com/title/tt0120133/?ref_=fn_tt_tt_1"/>
    <hyperlink ref="R1789" r:id="rId1773" display="http://www.imdb.com/title/tt0228333/?ref_=fn_tt_tt_1"/>
    <hyperlink ref="R1790" r:id="rId1774" display="http://www.imdb.com/title/tt1018765/?ref_=fn_tt_tt_1"/>
    <hyperlink ref="R1791" r:id="rId1775" display="http://www.imdb.com/title/tt1374989/?ref_=fn_tt_tt_1"/>
    <hyperlink ref="R1792" r:id="rId1776" display="http://www.imdb.com/title/tt0119485/?ref_=fn_tt_tt_1"/>
    <hyperlink ref="R1793" r:id="rId1777" display="http://www.imdb.com/title/tt0455538/?ref_=fn_tt_tt_1"/>
    <hyperlink ref="R1794" r:id="rId1778" display="http://www.imdb.com/title/tt1650554/?ref_=fn_tt_tt_1"/>
    <hyperlink ref="R1795" r:id="rId1779" display="http://www.imdb.com/title/tt0395119/?ref_=fn_tt_tt_1"/>
    <hyperlink ref="R1796" r:id="rId1780" display="http://www.imdb.com/title/tt1430612/?ref_=fn_tt_tt_1"/>
    <hyperlink ref="R1797" r:id="rId1781" display="http://www.imdb.com/title/tt0086034/?ref_=fn_tt_tt_1"/>
    <hyperlink ref="R1798" r:id="rId1782" display="http://www.imdb.com/title/tt0478311/?ref_=fn_tt_tt_1"/>
    <hyperlink ref="R1799" r:id="rId1783" display="http://www.imdb.com/title/tt1078588/?ref_=fn_tt_tt_1"/>
    <hyperlink ref="R1800" r:id="rId1784" display="http://www.imdb.com/title/tt0494652/?ref_=fn_tt_tt_1"/>
    <hyperlink ref="R1801" r:id="rId1785" display="http://www.imdb.com/title/tt0087892/?ref_=fn_tt_tt_1"/>
    <hyperlink ref="R1802" r:id="rId1786" display="http://www.imdb.com/title/tt0465551/?ref_=fn_tt_tt_1"/>
    <hyperlink ref="R1803" r:id="rId1787" display="http://www.imdb.com/title/tt0804522/?ref_=fn_tt_tt_1"/>
    <hyperlink ref="R1804" r:id="rId1788" display="http://www.imdb.com/title/tt4422836/?ref_=fn_tt_tt_1"/>
    <hyperlink ref="R1805" r:id="rId1789" display="http://www.imdb.com/title/tt0102975/?ref_=fn_tt_tt_1"/>
    <hyperlink ref="R1806" r:id="rId1790" display="http://www.imdb.com/title/tt0279778/?ref_=fn_tt_tt_1"/>
    <hyperlink ref="R1807" r:id="rId80" display="http://www.imdb.com/title/tt3040964/?ref_=fn_tt_tt_1"/>
    <hyperlink ref="R1808" r:id="rId1791" display="http://www.imdb.com/title/tt0119468/?ref_=fn_tt_tt_1"/>
    <hyperlink ref="R1809" r:id="rId1792" display="http://www.imdb.com/title/tt0080455/?ref_=fn_tt_tt_1"/>
    <hyperlink ref="R1810" r:id="rId1793" display="http://www.imdb.com/title/tt1018785/?ref_=fn_tt_tt_1"/>
    <hyperlink ref="R1811" r:id="rId1794" display="http://www.imdb.com/title/tt1710396/?ref_=fn_tt_tt_1"/>
    <hyperlink ref="R1812" r:id="rId1795" display="http://www.imdb.com/title/tt0276751/?ref_=fn_tt_tt_1"/>
    <hyperlink ref="R1813" r:id="rId1796" display="http://www.imdb.com/title/tt0139414/?ref_=fn_tt_tt_1"/>
    <hyperlink ref="R1814" r:id="rId1797" display="http://www.imdb.com/title/tt0425210/?ref_=fn_tt_tt_1"/>
    <hyperlink ref="R1815" r:id="rId1798" display="http://www.imdb.com/title/tt0086197/?ref_=fn_tt_tt_1"/>
    <hyperlink ref="R1816" r:id="rId1799" display="http://www.imdb.com/title/tt1521197/?ref_=fn_tt_tt_1"/>
    <hyperlink ref="R1817" r:id="rId1800" display="http://www.imdb.com/title/tt0088323/?ref_=fn_tt_tt_1"/>
    <hyperlink ref="R1818" r:id="rId1801" display="http://www.imdb.com/title/tt0118929/?ref_=fn_tt_tt_1"/>
    <hyperlink ref="R1819" r:id="rId1802" display="http://www.imdb.com/title/tt0864761/?ref_=fn_tt_tt_1"/>
    <hyperlink ref="R1820" r:id="rId1803" display="http://www.imdb.com/title/tt0042114/?ref_=fn_tt_tt_1"/>
    <hyperlink ref="R1821" r:id="rId1804" display="http://www.imdb.com/title/tt0089908/?ref_=fn_tt_tt_1"/>
    <hyperlink ref="R1822" r:id="rId1805" display="http://www.imdb.com/title/tt0120769/?ref_=fn_tt_tt_1"/>
    <hyperlink ref="R1823" r:id="rId1806" display="http://www.imdb.com/title/tt0795351/?ref_=fn_tt_tt_1"/>
    <hyperlink ref="R1824" r:id="rId1807" display="http://www.imdb.com/title/tt0324127/?ref_=fn_tt_tt_1"/>
    <hyperlink ref="R1825" r:id="rId1808" display="http://www.imdb.com/title/tt0415965/?ref_=fn_tt_tt_1"/>
    <hyperlink ref="R1826" r:id="rId1809" display="http://www.imdb.com/title/tt1517489/?ref_=fn_tt_tt_1"/>
    <hyperlink ref="R1827" r:id="rId1810" display="http://www.imdb.com/title/tt2241351/?ref_=fn_tt_tt_1"/>
    <hyperlink ref="R1828" r:id="rId1811" display="http://www.imdb.com/title/tt0227984/?ref_=fn_tt_tt_1"/>
    <hyperlink ref="R1829" r:id="rId1812" display="http://www.imdb.com/title/tt0155711/?ref_=fn_tt_tt_1"/>
    <hyperlink ref="R1830" r:id="rId1813" display="http://www.imdb.com/title/tt0297284/?ref_=fn_tt_tt_1"/>
    <hyperlink ref="R1831" r:id="rId1814" display="http://www.imdb.com/title/tt0486674/?ref_=fn_tt_tt_1"/>
    <hyperlink ref="R1832" r:id="rId1815" display="http://www.imdb.com/title/tt0340376/?ref_=fn_tt_tt_1"/>
    <hyperlink ref="R1833" r:id="rId1816" display="http://www.imdb.com/title/tt0475331/?ref_=fn_tt_tt_1"/>
    <hyperlink ref="R1834" r:id="rId1817" display="http://www.imdb.com/title/tt1114740/?ref_=fn_tt_tt_1"/>
    <hyperlink ref="R1835" r:id="rId1818" display="http://www.imdb.com/title/tt0322330/?ref_=fn_tt_tt_1"/>
    <hyperlink ref="R1836" r:id="rId1819" display="http://www.imdb.com/title/tt0405422/?ref_=fn_tt_tt_1"/>
    <hyperlink ref="R1837" r:id="rId1820" display="http://www.imdb.com/title/tt0138097/?ref_=fn_tt_tt_1"/>
    <hyperlink ref="R1838" r:id="rId1821" display="http://www.imdb.com/title/tt0365907/?ref_=fn_tt_tt_1"/>
    <hyperlink ref="R1839" r:id="rId1822" display="http://www.imdb.com/title/tt0099938/?ref_=fn_tt_tt_1"/>
    <hyperlink ref="R1840" r:id="rId1823" display="http://www.imdb.com/title/tt0910936/?ref_=fn_tt_tt_1"/>
    <hyperlink ref="R1841" r:id="rId1824" display="http://www.imdb.com/title/tt0120631/?ref_=fn_tt_tt_1"/>
    <hyperlink ref="R1842" r:id="rId1825" display="http://www.imdb.com/title/tt0316356/?ref_=fn_tt_tt_1"/>
    <hyperlink ref="R1843" r:id="rId1826" display="http://www.imdb.com/title/tt0099582/?ref_=fn_tt_tt_1"/>
    <hyperlink ref="R1844" r:id="rId1827" display="http://www.imdb.com/title/tt0472954/?ref_=fn_tt_tt_1"/>
    <hyperlink ref="R1845" r:id="rId1828" display="http://www.imdb.com/title/tt0075784/?ref_=fn_tt_tt_1"/>
    <hyperlink ref="R1846" r:id="rId1829" display="http://www.imdb.com/title/tt0421239/?ref_=fn_tt_tt_1"/>
    <hyperlink ref="R1847" r:id="rId1830" display="http://www.imdb.com/title/tt0309593/?ref_=fn_tt_tt_1"/>
    <hyperlink ref="R1848" r:id="rId1831" display="http://www.imdb.com/title/tt0190590/?ref_=fn_tt_tt_1"/>
    <hyperlink ref="R1849" r:id="rId1832" display="http://www.imdb.com/title/tt1038686/?ref_=fn_tt_tt_1"/>
    <hyperlink ref="R1850" r:id="rId1833" display="http://www.imdb.com/title/tt1980209/?ref_=fn_tt_tt_1"/>
    <hyperlink ref="R1851" r:id="rId1834" display="http://www.imdb.com/title/tt0385267/?ref_=fn_tt_tt_1"/>
    <hyperlink ref="R1852" r:id="rId1835" display="http://www.imdb.com/title/tt0157472/?ref_=fn_tt_tt_1"/>
    <hyperlink ref="R1853" r:id="rId1836" display="http://www.imdb.com/title/tt0090022/?ref_=fn_tt_tt_1"/>
    <hyperlink ref="R1854" r:id="rId1837" display="http://www.imdb.com/title/tt0765010/?ref_=fn_tt_tt_1"/>
    <hyperlink ref="R1855" r:id="rId1838" display="http://www.imdb.com/title/tt0358349/?ref_=fn_tt_tt_1"/>
    <hyperlink ref="R1856" r:id="rId1839" display="http://www.imdb.com/title/tt1598822/?ref_=fn_tt_tt_1"/>
    <hyperlink ref="R1857" r:id="rId1840" display="http://www.imdb.com/title/tt0218922/?ref_=fn_tt_tt_1"/>
    <hyperlink ref="R1858" r:id="rId1841" display="http://www.imdb.com/title/tt1486192/?ref_=fn_tt_tt_1"/>
    <hyperlink ref="R1859" r:id="rId1842" display="http://www.imdb.com/title/tt0361925/?ref_=fn_tt_tt_1"/>
    <hyperlink ref="R1860" r:id="rId1843" display="http://www.imdb.com/title/tt0110027/?ref_=fn_tt_tt_1"/>
    <hyperlink ref="R1861" r:id="rId1844" display="http://www.imdb.com/title/tt0115710/?ref_=fn_tt_tt_1"/>
    <hyperlink ref="R1862" r:id="rId1845" display="http://www.imdb.com/title/tt0119227/?ref_=fn_tt_tt_1"/>
    <hyperlink ref="R1863" r:id="rId1846" display="http://www.imdb.com/title/tt0256524/?ref_=fn_tt_tt_1"/>
    <hyperlink ref="R1864" r:id="rId1847" display="http://www.imdb.com/title/tt1137470/?ref_=fn_tt_tt_1"/>
    <hyperlink ref="R1865" r:id="rId1848" display="http://www.imdb.com/title/tt0116322/?ref_=fn_tt_tt_1"/>
    <hyperlink ref="R1866" r:id="rId1849" display="http://www.imdb.com/title/tt2140379/?ref_=fn_tt_tt_1"/>
    <hyperlink ref="R1867" r:id="rId1850" display="http://www.imdb.com/title/tt0387131/?ref_=fn_tt_tt_1"/>
    <hyperlink ref="R1868" r:id="rId1851" display="http://www.imdb.com/title/tt0335345/?ref_=fn_tt_tt_1"/>
    <hyperlink ref="R1869" r:id="rId1852" display="http://www.imdb.com/title/tt0107614/?ref_=fn_tt_tt_1"/>
    <hyperlink ref="R1870" r:id="rId1853" display="http://www.imdb.com/title/tt0095953/?ref_=fn_tt_tt_1"/>
    <hyperlink ref="R1871" r:id="rId1854" display="http://www.imdb.com/title/tt1205489/?ref_=fn_tt_tt_1"/>
    <hyperlink ref="R1872" r:id="rId1855" display="http://www.imdb.com/title/tt1175491/?ref_=fn_tt_tt_1"/>
    <hyperlink ref="R1873" r:id="rId1856" display="http://www.imdb.com/title/tt0936501/?ref_=fn_tt_tt_1"/>
    <hyperlink ref="R1874" r:id="rId1857" display="http://www.imdb.com/title/tt1972779/?ref_=fn_tt_tt_1"/>
    <hyperlink ref="R1875" r:id="rId1858" display="http://www.imdb.com/title/tt0103855/?ref_=fn_tt_tt_1"/>
    <hyperlink ref="R1876" r:id="rId1859" display="http://www.imdb.com/title/tt0108052/?ref_=fn_tt_tt_1"/>
    <hyperlink ref="R1877" r:id="rId1860" display="http://www.imdb.com/title/tt1454029/?ref_=fn_tt_tt_1"/>
    <hyperlink ref="R1878" r:id="rId1861" display="http://www.imdb.com/title/tt1837703/?ref_=fn_tt_tt_1"/>
    <hyperlink ref="R1879" r:id="rId1862" display="http://www.imdb.com/title/tt0331632/?ref_=fn_tt_tt_1"/>
    <hyperlink ref="R1880" r:id="rId1863" display="http://www.imdb.com/title/tt1224378/?ref_=fn_tt_tt_1"/>
    <hyperlink ref="R1881" r:id="rId1864" display="http://www.imdb.com/title/tt0329101/?ref_=fn_tt_tt_1"/>
    <hyperlink ref="R1882" r:id="rId1865" display="http://www.imdb.com/title/tt2967008/?ref_=fn_tt_tt_1"/>
    <hyperlink ref="R1883" r:id="rId1866" display="http://www.imdb.com/title/tt0268397/?ref_=fn_tt_tt_1"/>
    <hyperlink ref="R1884" r:id="rId1867" display="http://www.imdb.com/title/tt1060277/?ref_=fn_tt_tt_1"/>
    <hyperlink ref="R1885" r:id="rId1868" display="http://www.imdb.com/title/tt0103060/?ref_=fn_tt_tt_1"/>
    <hyperlink ref="R1886" r:id="rId1869" display="http://www.imdb.com/title/tt0094226/?ref_=fn_tt_tt_1"/>
    <hyperlink ref="R1887" r:id="rId1870" display="http://www.imdb.com/title/tt0477348/?ref_=fn_tt_tt_1"/>
    <hyperlink ref="R1888" r:id="rId1871" display="http://www.imdb.com/title/tt1408253/?ref_=fn_tt_tt_1"/>
    <hyperlink ref="R1889" r:id="rId1872" display="http://www.imdb.com/title/tt0243155/?ref_=fn_tt_tt_1"/>
    <hyperlink ref="R1890" r:id="rId1873" display="http://www.imdb.com/title/tt0241303/?ref_=fn_tt_tt_1"/>
    <hyperlink ref="R1891" r:id="rId1874" display="http://www.imdb.com/title/tt0333780/?ref_=fn_tt_tt_1"/>
    <hyperlink ref="R1892" r:id="rId1875" display="http://www.imdb.com/title/tt1047540/?ref_=fn_tt_tt_1"/>
    <hyperlink ref="R1893" r:id="rId1876" display="http://www.imdb.com/title/tt1411238/?ref_=fn_tt_tt_1"/>
    <hyperlink ref="R1894" r:id="rId1877" display="http://www.imdb.com/title/tt0108358/?ref_=fn_tt_tt_1"/>
    <hyperlink ref="R1895" r:id="rId1878" display="http://www.imdb.com/title/tt0165929/?ref_=fn_tt_tt_1"/>
    <hyperlink ref="R1896" r:id="rId1879" display="http://www.imdb.com/title/tt0075005/?ref_=fn_tt_tt_1"/>
    <hyperlink ref="R1897" r:id="rId1880" display="http://www.imdb.com/title/tt0414982/?ref_=fn_tt_tt_1"/>
    <hyperlink ref="R1898" r:id="rId1881" display="http://www.imdb.com/title/tt1327194/?ref_=fn_tt_tt_1"/>
    <hyperlink ref="R1899" r:id="rId1882" display="http://www.imdb.com/title/tt0398808/?ref_=fn_tt_tt_1"/>
    <hyperlink ref="R1900" r:id="rId1883" display="http://www.imdb.com/title/tt0308644/?ref_=fn_tt_tt_1"/>
    <hyperlink ref="R1901" r:id="rId1884" display="http://www.imdb.com/title/tt2609758/?ref_=fn_tt_tt_1"/>
    <hyperlink ref="R1902" r:id="rId1885" display="http://www.imdb.com/title/tt1601913/?ref_=fn_tt_tt_1"/>
    <hyperlink ref="R1903" r:id="rId1886" display="http://www.imdb.com/title/tt0382077/?ref_=fn_tt_tt_1"/>
    <hyperlink ref="R1904" r:id="rId1887" display="http://www.imdb.com/title/tt0357413/?ref_=fn_tt_tt_1"/>
    <hyperlink ref="R1905" r:id="rId1888" display="http://www.imdb.com/title/tt0099685/?ref_=fn_tt_tt_1"/>
    <hyperlink ref="R1906" r:id="rId1889" display="http://www.imdb.com/title/tt0313911/?ref_=fn_tt_tt_1"/>
    <hyperlink ref="R1907" r:id="rId1890" display="http://www.imdb.com/title/tt0396752/?ref_=fn_tt_tt_1"/>
    <hyperlink ref="R1908" r:id="rId1891" display="http://www.imdb.com/title/tt0086250/?ref_=fn_tt_tt_1"/>
    <hyperlink ref="R1909" r:id="rId1892" display="http://www.imdb.com/title/tt0119807/?ref_=fn_tt_tt_1"/>
    <hyperlink ref="R1910" r:id="rId1893" display="http://www.imdb.com/title/tt0093389/?ref_=fn_tt_tt_1"/>
    <hyperlink ref="R1911" r:id="rId1894" display="http://www.imdb.com/title/tt1524137/?ref_=fn_tt_tt_1"/>
    <hyperlink ref="R1912" r:id="rId1895" display="http://www.imdb.com/title/tt0119695/?ref_=fn_tt_tt_1"/>
    <hyperlink ref="R1913" r:id="rId1896" display="http://www.imdb.com/title/tt0469494/?ref_=fn_tt_tt_1"/>
    <hyperlink ref="R1914" r:id="rId1897" display="http://www.imdb.com/title/tt0282120/?ref_=fn_tt_tt_1"/>
    <hyperlink ref="R1915" r:id="rId1898" display="http://www.imdb.com/title/tt0337711/?ref_=fn_tt_tt_1"/>
    <hyperlink ref="R1916" r:id="rId1899" display="http://www.imdb.com/title/tt0279493/?ref_=fn_tt_tt_1"/>
    <hyperlink ref="R1917" r:id="rId1900" display="http://www.imdb.com/title/tt0403508/?ref_=fn_tt_tt_1"/>
    <hyperlink ref="R1918" r:id="rId1901" display="http://www.imdb.com/title/tt0271027/?ref_=fn_tt_tt_1"/>
    <hyperlink ref="R1919" r:id="rId1902" display="http://www.imdb.com/title/tt0852713/?ref_=fn_tt_tt_1"/>
    <hyperlink ref="R1920" r:id="rId1903" display="http://www.imdb.com/title/tt0388500/?ref_=fn_tt_tt_1"/>
    <hyperlink ref="R1921" r:id="rId1904" display="http://www.imdb.com/title/tt1647668/?ref_=fn_tt_tt_1"/>
    <hyperlink ref="R1922" r:id="rId1905" display="http://www.imdb.com/title/tt0435651/?ref_=fn_tt_tt_1"/>
    <hyperlink ref="R1923" r:id="rId1906" display="http://www.imdb.com/title/tt0286788/?ref_=fn_tt_tt_1"/>
    <hyperlink ref="R1924" r:id="rId1907" display="http://www.imdb.com/title/tt0301470/?ref_=fn_tt_tt_1"/>
    <hyperlink ref="R1925" r:id="rId1908" display="http://www.imdb.com/title/tt0452625/?ref_=fn_tt_tt_1"/>
    <hyperlink ref="R1926" r:id="rId1909" display="http://www.imdb.com/title/tt0306685/?ref_=fn_tt_tt_1"/>
    <hyperlink ref="R1927" r:id="rId1910" display="http://www.imdb.com/title/tt0274558/?ref_=fn_tt_tt_1"/>
    <hyperlink ref="R1928" r:id="rId1911" display="http://www.imdb.com/title/tt0454945/?ref_=fn_tt_tt_1"/>
    <hyperlink ref="R1929" r:id="rId1912" display="http://www.imdb.com/title/tt0453451/?ref_=fn_tt_tt_1"/>
    <hyperlink ref="R1930" r:id="rId1913" display="http://www.imdb.com/title/tt0366174/?ref_=fn_tt_tt_1"/>
    <hyperlink ref="R1931" r:id="rId1914" display="http://www.imdb.com/title/tt1747958/?ref_=fn_tt_tt_1"/>
    <hyperlink ref="R1932" r:id="rId1915" display="http://www.imdb.com/title/tt0426931/?ref_=fn_tt_tt_1"/>
    <hyperlink ref="R1933" r:id="rId1916" display="http://www.imdb.com/title/tt0127536/?ref_=fn_tt_tt_1"/>
    <hyperlink ref="R1934" r:id="rId1917" display="http://www.imdb.com/title/tt0144120/?ref_=fn_tt_tt_1"/>
    <hyperlink ref="R1935" r:id="rId1918" display="http://www.imdb.com/title/tt0066473/?ref_=fn_tt_tt_1"/>
    <hyperlink ref="R1936" r:id="rId1919" display="http://www.imdb.com/title/tt0120185/?ref_=fn_tt_tt_1"/>
    <hyperlink ref="R1937" r:id="rId1920" display="http://www.imdb.com/title/tt1366344/?ref_=fn_tt_tt_1"/>
    <hyperlink ref="R1938" r:id="rId1921" display="http://www.imdb.com/title/tt1153706/?ref_=fn_tt_tt_1"/>
    <hyperlink ref="R1939" r:id="rId1922" display="http://www.imdb.com/title/tt0111161/?ref_=fn_tt_tt_1"/>
    <hyperlink ref="R1940" r:id="rId1923" display="http://www.imdb.com/title/tt0231402/?ref_=fn_tt_tt_1"/>
    <hyperlink ref="R1941" r:id="rId1924" display="http://www.imdb.com/title/tt0116778/?ref_=fn_tt_tt_1"/>
    <hyperlink ref="R1942" r:id="rId1925" display="http://www.imdb.com/title/tt2039393/?ref_=fn_tt_tt_1"/>
    <hyperlink ref="R1943" r:id="rId1926" display="http://www.imdb.com/title/tt1322269/?ref_=fn_tt_tt_1"/>
    <hyperlink ref="R1944" r:id="rId1927" display="http://www.imdb.com/title/tt0396652/?ref_=fn_tt_tt_1"/>
    <hyperlink ref="R1945" r:id="rId1928" display="http://www.imdb.com/title/tt0391304/?ref_=fn_tt_tt_1"/>
    <hyperlink ref="R1946" r:id="rId1929" display="http://www.imdb.com/title/tt1083452/?ref_=fn_tt_tt_1"/>
    <hyperlink ref="R1947" r:id="rId1930" display="http://www.imdb.com/title/tt0124718/?ref_=fn_tt_tt_1"/>
    <hyperlink ref="R1948" r:id="rId1931" display="http://www.imdb.com/title/tt0112883/?ref_=fn_tt_tt_1"/>
    <hyperlink ref="R1949" r:id="rId1932" display="http://www.imdb.com/title/tt0983983/?ref_=fn_tt_tt_1"/>
    <hyperlink ref="R1950" r:id="rId1933" display="http://www.imdb.com/title/tt0989757/?ref_=fn_tt_tt_1"/>
    <hyperlink ref="R1951" r:id="rId1934" display="http://www.imdb.com/title/tt0480255/?ref_=fn_tt_tt_1"/>
    <hyperlink ref="R1952" r:id="rId1935" display="http://www.imdb.com/title/tt1270761/?ref_=fn_tt_tt_1"/>
    <hyperlink ref="R1953" r:id="rId1936" display="http://www.imdb.com/title/tt0499556/?ref_=fn_tt_tt_1"/>
    <hyperlink ref="R1954" r:id="rId1937" display="http://www.imdb.com/title/tt0272338/?ref_=fn_tt_tt_1"/>
    <hyperlink ref="R1955" r:id="rId1938" display="http://www.imdb.com/title/tt0356150/?ref_=fn_tt_tt_1"/>
    <hyperlink ref="R1956" r:id="rId1939" display="http://www.imdb.com/title/tt0297162/?ref_=fn_tt_tt_1"/>
    <hyperlink ref="R1957" r:id="rId1940" display="http://www.imdb.com/title/tt0488658/?ref_=fn_tt_tt_1"/>
    <hyperlink ref="R1958" r:id="rId1941" display="http://www.imdb.com/title/tt0094799/?ref_=fn_tt_tt_1"/>
    <hyperlink ref="R1959" r:id="rId1942" display="http://www.imdb.com/title/tt0115472/?ref_=fn_tt_tt_1"/>
    <hyperlink ref="R1960" r:id="rId1943" display="http://www.imdb.com/title/tt0388980/?ref_=fn_tt_tt_1"/>
    <hyperlink ref="R1961" r:id="rId1944" display="http://www.imdb.com/title/tt0362478/?ref_=fn_tt_tt_1"/>
    <hyperlink ref="R1962" r:id="rId1945" display="http://www.imdb.com/title/tt0963794/?ref_=fn_tt_tt_1"/>
    <hyperlink ref="R1963" r:id="rId1946" display="http://www.imdb.com/title/tt0156841/?ref_=fn_tt_tt_1"/>
    <hyperlink ref="R1964" r:id="rId1947" display="http://www.imdb.com/title/tt0872230/?ref_=fn_tt_tt_1"/>
    <hyperlink ref="R1965" r:id="rId1948" display="http://www.imdb.com/title/tt0265208/?ref_=fn_tt_tt_1"/>
    <hyperlink ref="R1966" r:id="rId1949" display="http://www.imdb.com/title/tt0117011/?ref_=fn_tt_tt_1"/>
    <hyperlink ref="R1967" r:id="rId1950" display="http://www.imdb.com/title/tt0265808/?ref_=fn_tt_tt_1"/>
    <hyperlink ref="R1968" r:id="rId1951" display="http://www.imdb.com/title/tt3569230/?ref_=fn_tt_tt_1"/>
    <hyperlink ref="R1969" r:id="rId1952" display="http://www.imdb.com/title/tt0787475/?ref_=fn_tt_tt_1"/>
    <hyperlink ref="R1970" r:id="rId1953" display="http://www.imdb.com/title/tt1633356/?ref_=fn_tt_tt_1"/>
    <hyperlink ref="R1971" r:id="rId1954" display="http://www.imdb.com/title/tt0145653/?ref_=fn_tt_tt_1"/>
    <hyperlink ref="R1972" r:id="rId1955" display="http://www.imdb.com/title/tt2223990/?ref_=fn_tt_tt_1"/>
    <hyperlink ref="R1973" r:id="rId1956" display="http://www.imdb.com/title/tt0089489/?ref_=fn_tt_tt_1"/>
    <hyperlink ref="R1974" r:id="rId1957" display="http://www.imdb.com/title/tt0175058/?ref_=fn_tt_tt_1"/>
    <hyperlink ref="R1975" r:id="rId1958" display="http://www.imdb.com/title/tt0968264/?ref_=fn_tt_tt_1"/>
    <hyperlink ref="R1976" r:id="rId1959" display="http://www.imdb.com/title/tt0355702/?ref_=fn_tt_tt_1"/>
    <hyperlink ref="R1977" r:id="rId1960" display="http://www.imdb.com/title/tt2006295/?ref_=fn_tt_tt_1"/>
    <hyperlink ref="R1978" r:id="rId1961" display="http://www.imdb.com/title/tt0090728/?ref_=fn_tt_tt_1"/>
    <hyperlink ref="R1979" r:id="rId1962" display="http://www.imdb.com/title/tt1986843/?ref_=fn_tt_tt_1"/>
    <hyperlink ref="R1980" r:id="rId1963" display="http://www.imdb.com/title/tt1291584/?ref_=fn_tt_tt_1"/>
    <hyperlink ref="R1981" r:id="rId1964" display="http://www.imdb.com/title/tt0117039/?ref_=fn_tt_tt_1"/>
    <hyperlink ref="R1982" r:id="rId1965" display="http://www.imdb.com/title/tt0107007/?ref_=fn_tt_tt_1"/>
    <hyperlink ref="R1983" r:id="rId1966" display="http://www.imdb.com/title/tt0489281/?ref_=fn_tt_tt_1"/>
    <hyperlink ref="R1984" r:id="rId1967" display="http://www.imdb.com/title/tt0267248/?ref_=fn_tt_tt_1"/>
    <hyperlink ref="R1985" r:id="rId1968" display="http://www.imdb.com/title/tt0120620/?ref_=fn_tt_tt_1"/>
    <hyperlink ref="R1986" r:id="rId1969" display="http://www.imdb.com/title/tt0431021/?ref_=fn_tt_tt_1"/>
    <hyperlink ref="R1987" r:id="rId1970" display="http://www.imdb.com/title/tt0117104/?ref_=fn_tt_tt_1"/>
    <hyperlink ref="R1988" r:id="rId1971" display="http://www.imdb.com/title/tt0999913/?ref_=fn_tt_tt_1"/>
    <hyperlink ref="R1989" r:id="rId1972" display="http://www.imdb.com/title/tt0462338/?ref_=fn_tt_tt_1"/>
    <hyperlink ref="R1990" r:id="rId1973" display="http://www.imdb.com/title/tt0102984/?ref_=fn_tt_tt_1"/>
    <hyperlink ref="R1991" r:id="rId1974" display="http://www.imdb.com/title/tt0898367/?ref_=fn_tt_tt_1"/>
    <hyperlink ref="R1992" r:id="rId1975" display="http://www.imdb.com/title/tt0088103/?ref_=fn_tt_tt_1"/>
    <hyperlink ref="R1993" r:id="rId1976" display="http://www.imdb.com/title/tt0373416/?ref_=fn_tt_tt_1"/>
    <hyperlink ref="R1994" r:id="rId1977" display="http://www.imdb.com/title/tt0239949/?ref_=fn_tt_tt_1"/>
    <hyperlink ref="R1995" r:id="rId1978" display="http://www.imdb.com/title/tt0412080/?ref_=fn_tt_tt_1"/>
    <hyperlink ref="R1996" r:id="rId1517" display="http://www.imdb.com/title/tt0417148/?ref_=fn_tt_tt_1"/>
    <hyperlink ref="R1997" r:id="rId1979" display="http://www.imdb.com/title/tt0114614/?ref_=fn_tt_tt_1"/>
    <hyperlink ref="R1998" r:id="rId1980" display="http://www.imdb.com/title/tt0388183/?ref_=fn_tt_tt_1"/>
    <hyperlink ref="R1999" r:id="rId1981" display="http://www.imdb.com/title/tt0861689/?ref_=fn_tt_tt_1"/>
    <hyperlink ref="R2000" r:id="rId1982" display="http://www.imdb.com/title/tt0383222/?ref_=fn_tt_tt_1"/>
    <hyperlink ref="R2001" r:id="rId1983" display="http://www.imdb.com/title/tt1692486/?ref_=fn_tt_tt_1"/>
    <hyperlink ref="R2002" r:id="rId1984" display="http://www.imdb.com/title/tt0373450/?ref_=fn_tt_tt_1"/>
    <hyperlink ref="R2003" r:id="rId1985" display="http://www.imdb.com/title/tt1792647/?ref_=fn_tt_tt_1"/>
    <hyperlink ref="R2004" r:id="rId1986" display="http://www.imdb.com/title/tt0119934/?ref_=fn_tt_tt_1"/>
    <hyperlink ref="R2005" r:id="rId1987" display="http://www.imdb.com/title/tt1175506/?ref_=fn_tt_tt_1"/>
    <hyperlink ref="R2006" r:id="rId1988" display="http://www.imdb.com/title/tt1924396/?ref_=fn_tt_tt_1"/>
    <hyperlink ref="R2007" r:id="rId1989" display="http://www.imdb.com/title/tt1095217/?ref_=fn_tt_tt_1"/>
    <hyperlink ref="R2008" r:id="rId1990" display="http://www.imdb.com/title/tt1230204/?ref_=fn_tt_tt_1"/>
    <hyperlink ref="R2009" r:id="rId1991" display="http://www.imdb.com/title/tt1440232/?ref_=fn_tt_tt_1"/>
    <hyperlink ref="R2010" r:id="rId1992" display="http://www.imdb.com/title/tt1125929/?ref_=fn_tt_tt_1"/>
    <hyperlink ref="R2011" r:id="rId1993" display="http://www.imdb.com/title/tt1239462/?ref_=fn_tt_tt_1"/>
    <hyperlink ref="R2012" r:id="rId1994" display="http://www.imdb.com/title/tt1272051/?ref_=fn_tt_tt_1"/>
    <hyperlink ref="R2013" r:id="rId1995" display="http://www.imdb.com/title/tt2193215/?ref_=fn_tt_tt_1"/>
    <hyperlink ref="R2014" r:id="rId1996" display="http://www.imdb.com/title/tt1233301/?ref_=fn_tt_tt_1"/>
    <hyperlink ref="R2015" r:id="rId1997" display="http://www.imdb.com/title/tt0066549/?ref_=fn_tt_tt_1"/>
    <hyperlink ref="R2016" r:id="rId1998" display="http://www.imdb.com/title/tt2952602/?ref_=fn_tt_tt_1"/>
    <hyperlink ref="R2017" r:id="rId1999" display="http://www.imdb.com/title/tt1946381/?ref_=fn_tt_tt_1"/>
    <hyperlink ref="R2018" r:id="rId2000" display="http://www.imdb.com/title/tt0094947/?ref_=fn_tt_tt_1"/>
    <hyperlink ref="R2019" r:id="rId2001" display="http://www.imdb.com/title/tt0337692/?ref_=fn_tt_tt_1"/>
    <hyperlink ref="R2020" r:id="rId2002" display="http://www.imdb.com/title/tt0092007/?ref_=fn_tt_tt_1"/>
    <hyperlink ref="R2021" r:id="rId2003" display="http://www.imdb.com/title/tt0479143/?ref_=fn_tt_tt_1"/>
    <hyperlink ref="R2022" r:id="rId315" display="http://www.imdb.com/title/tt2058673/?ref_=fn_tt_tt_1"/>
    <hyperlink ref="R2023" r:id="rId2004" display="http://www.imdb.com/title/tt0120082/?ref_=fn_tt_tt_1"/>
    <hyperlink ref="R2024" r:id="rId2005" display="http://www.imdb.com/title/tt2140037/?ref_=fn_tt_tt_1"/>
    <hyperlink ref="R2025" r:id="rId2006" display="http://www.imdb.com/title/tt2239832/?ref_=fn_tt_tt_1"/>
    <hyperlink ref="R2026" r:id="rId2007" display="http://www.imdb.com/title/tt0190138/?ref_=fn_tt_tt_1"/>
    <hyperlink ref="R2027" r:id="rId2008" display="http://www.imdb.com/title/tt0087277/?ref_=fn_tt_tt_1"/>
    <hyperlink ref="R2028" r:id="rId2009" display="http://www.imdb.com/title/tt0302886/?ref_=fn_tt_tt_1"/>
    <hyperlink ref="R2029" r:id="rId2010" display="http://www.imdb.com/title/tt0101889/?ref_=fn_tt_tt_1"/>
    <hyperlink ref="R2030" r:id="rId2011" display="http://www.imdb.com/title/tt0130018/?ref_=fn_tt_tt_1"/>
    <hyperlink ref="R2031" r:id="rId2012" display="http://www.imdb.com/title/tt0122459/?ref_=fn_tt_tt_1"/>
    <hyperlink ref="R2032" r:id="rId2013" display="http://www.imdb.com/title/tt1007028/?ref_=fn_tt_tt_1"/>
    <hyperlink ref="R2033" r:id="rId2014" display="http://www.imdb.com/title/tt0171580/?ref_=fn_tt_tt_1"/>
    <hyperlink ref="R2034" r:id="rId2015" display="http://www.imdb.com/title/tt1234548/?ref_=fn_tt_tt_1"/>
    <hyperlink ref="R2035" r:id="rId2016" display="http://www.imdb.com/title/tt0238948/?ref_=fn_tt_tt_1"/>
    <hyperlink ref="R2036" r:id="rId2017" display="http://www.imdb.com/title/tt0172493/?ref_=fn_tt_tt_1"/>
    <hyperlink ref="R2037" r:id="rId2018" display="http://www.imdb.com/title/tt0335559/?ref_=fn_tt_tt_1"/>
    <hyperlink ref="R2038" r:id="rId2019" display="http://www.imdb.com/title/tt0158811/?ref_=fn_tt_tt_1"/>
    <hyperlink ref="R2039" r:id="rId2020" display="http://www.imdb.com/title/tt0078504/?ref_=fn_tt_tt_1"/>
    <hyperlink ref="R2040" r:id="rId2021" display="http://www.imdb.com/title/tt0217756/?ref_=fn_tt_tt_1"/>
    <hyperlink ref="R2041" r:id="rId2022" display="http://www.imdb.com/title/tt0196857/?ref_=fn_tt_tt_1"/>
    <hyperlink ref="R2042" r:id="rId2023" display="http://www.imdb.com/title/tt1742650/?ref_=fn_tt_tt_1"/>
    <hyperlink ref="R2043" r:id="rId2024" display="http://www.imdb.com/title/tt0464154/?ref_=fn_tt_tt_1"/>
    <hyperlink ref="R2044" r:id="rId2025" display="http://www.imdb.com/title/tt0363473/?ref_=fn_tt_tt_1"/>
    <hyperlink ref="R2045" r:id="rId2026" display="http://www.imdb.com/title/tt0120645/?ref_=fn_tt_tt_1"/>
    <hyperlink ref="R2046" r:id="rId2027" display="http://www.imdb.com/title/tt0112389/?ref_=fn_tt_tt_1"/>
    <hyperlink ref="R2047" r:id="rId2028" display="http://www.imdb.com/title/tt0356443/?ref_=fn_tt_tt_1"/>
    <hyperlink ref="R2048" r:id="rId2029" display="http://www.imdb.com/title/tt1433108/?ref_=fn_tt_tt_1"/>
    <hyperlink ref="R2049" r:id="rId2030" display="http://www.imdb.com/title/tt0347149/?ref_=fn_tt_tt_1"/>
    <hyperlink ref="R2050" r:id="rId2031" display="http://www.imdb.com/title/tt1156398/?ref_=fn_tt_tt_1"/>
    <hyperlink ref="R2051" r:id="rId26" display="http://www.imdb.com/title/tt0360717/?ref_=fn_tt_tt_1"/>
    <hyperlink ref="R2052" r:id="rId2032" display="http://www.imdb.com/title/tt0120484/?ref_=fn_tt_tt_1"/>
    <hyperlink ref="R2053" r:id="rId2033" display="http://www.imdb.com/title/tt0080684/?ref_=fn_tt_tt_1"/>
    <hyperlink ref="R2054" r:id="rId2034" display="http://www.imdb.com/title/tt0112442/?ref_=fn_tt_tt_1"/>
    <hyperlink ref="R2055" r:id="rId2035" display="http://www.imdb.com/title/tt0102510/?ref_=fn_tt_tt_1"/>
    <hyperlink ref="R2056" r:id="rId2036" display="http://www.imdb.com/title/tt0195714/?ref_=fn_tt_tt_1"/>
    <hyperlink ref="R2057" r:id="rId2037" display="http://www.imdb.com/title/tt1124035/?ref_=fn_tt_tt_1"/>
    <hyperlink ref="R2058" r:id="rId2038" display="http://www.imdb.com/title/tt0134847/?ref_=fn_tt_tt_1"/>
    <hyperlink ref="R2059" r:id="rId2039" display="http://www.imdb.com/title/tt0244970/?ref_=fn_tt_tt_1"/>
    <hyperlink ref="R2060" r:id="rId2040" display="http://www.imdb.com/title/tt1798709/?ref_=fn_tt_tt_1"/>
    <hyperlink ref="R2061" r:id="rId1929" display="http://www.imdb.com/title/tt1083452/?ref_=fn_tt_tt_1"/>
    <hyperlink ref="R2062" r:id="rId2041" display="http://www.imdb.com/title/tt0206314/?ref_=fn_tt_tt_1"/>
    <hyperlink ref="R2063" r:id="rId2042" display="http://www.imdb.com/title/tt1376213/?ref_=fn_tt_tt_1"/>
    <hyperlink ref="R2064" r:id="rId2043" display="http://www.imdb.com/title/tt0149691/?ref_=fn_tt_tt_1"/>
    <hyperlink ref="R2065" r:id="rId1691" display="http://www.imdb.com/title/tt0360139/?ref_=fn_tt_tt_1"/>
    <hyperlink ref="R2066" r:id="rId2044" display="http://www.imdb.com/title/tt0198386/?ref_=fn_tt_tt_1"/>
    <hyperlink ref="R2067" r:id="rId2045" display="http://www.imdb.com/title/tt1506999/?ref_=fn_tt_tt_1"/>
    <hyperlink ref="R2068" r:id="rId2046" display="http://www.imdb.com/title/tt0093300/?ref_=fn_tt_tt_1"/>
    <hyperlink ref="R2069" r:id="rId2047" display="http://www.imdb.com/title/tt0116999/?ref_=fn_tt_tt_1"/>
    <hyperlink ref="R2070" r:id="rId2048" display="http://www.imdb.com/title/tt1091751/?ref_=fn_tt_tt_1"/>
    <hyperlink ref="R2071" r:id="rId2049" display="http://www.imdb.com/title/tt0172396/?ref_=fn_tt_tt_1"/>
    <hyperlink ref="R2072" r:id="rId2050" display="http://www.imdb.com/title/tt0102005/?ref_=fn_tt_tt_1"/>
    <hyperlink ref="R2073" r:id="rId2051" display="http://www.imdb.com/title/tt0478134/?ref_=fn_tt_tt_1"/>
    <hyperlink ref="R2074" r:id="rId2052" display="http://www.imdb.com/title/tt1035736/?ref_=fn_tt_tt_1"/>
    <hyperlink ref="R2075" r:id="rId2053" display="http://www.imdb.com/title/tt2271563/?ref_=fn_tt_tt_1"/>
    <hyperlink ref="R2076" r:id="rId2054" display="http://www.imdb.com/title/tt1179258/?ref_=fn_tt_tt_1"/>
    <hyperlink ref="R2077" r:id="rId2055" display="http://www.imdb.com/title/tt2397255/?ref_=fn_tt_tt_1"/>
    <hyperlink ref="R2078" r:id="rId2056" display="http://www.imdb.com/title/tt0241025/?ref_=fn_tt_tt_1"/>
    <hyperlink ref="R2079" r:id="rId2057" display="http://www.imdb.com/title/tt1403130/?ref_=fn_tt_tt_1"/>
    <hyperlink ref="R2080" r:id="rId2058" display="http://www.imdb.com/title/tt0450385/?ref_=fn_tt_tt_1"/>
    <hyperlink ref="R2081" r:id="rId2059" display="http://www.imdb.com/title/tt0094012/?ref_=fn_tt_tt_1"/>
    <hyperlink ref="R2082" r:id="rId2060" display="http://www.imdb.com/title/tt3007512/?ref_=fn_tt_tt_1"/>
    <hyperlink ref="R2083" r:id="rId2061" display="http://www.imdb.com/title/tt0099653/?ref_=fn_tt_tt_1"/>
    <hyperlink ref="R2084" r:id="rId2062" display="http://www.imdb.com/title/tt0129387/?ref_=fn_tt_tt_1"/>
    <hyperlink ref="R2085" r:id="rId2063" display="http://www.imdb.com/title/tt0111070/?ref_=fn_tt_tt_1"/>
    <hyperlink ref="R2086" r:id="rId2064" display="http://www.imdb.com/title/tt0265662/?ref_=fn_tt_tt_1"/>
    <hyperlink ref="R2087" r:id="rId2065" display="http://www.imdb.com/title/tt0492956/?ref_=fn_tt_tt_1"/>
    <hyperlink ref="R2088" r:id="rId2066" display="http://www.imdb.com/title/tt0112579/?ref_=fn_tt_tt_1"/>
    <hyperlink ref="R2089" r:id="rId2067" display="http://www.imdb.com/title/tt0255798/?ref_=fn_tt_tt_1"/>
    <hyperlink ref="R2090" r:id="rId2068" display="http://www.imdb.com/title/tt0083987/?ref_=fn_tt_tt_1"/>
    <hyperlink ref="R2091" r:id="rId2069" display="http://www.imdb.com/title/tt2980648/?ref_=fn_tt_tt_1"/>
    <hyperlink ref="R2092" r:id="rId2070" display="http://www.imdb.com/title/tt0113957/?ref_=fn_tt_tt_1"/>
    <hyperlink ref="R2093" r:id="rId2071" display="http://www.imdb.com/title/tt0277027/?ref_=fn_tt_tt_1"/>
    <hyperlink ref="R2094" r:id="rId2072" display="http://www.imdb.com/title/tt3210686/?ref_=fn_tt_tt_1"/>
    <hyperlink ref="R2095" r:id="rId2073" display="http://www.imdb.com/title/tt0320691/?ref_=fn_tt_tt_1"/>
    <hyperlink ref="R2096" r:id="rId2074" display="http://www.imdb.com/title/tt0398017/?ref_=fn_tt_tt_1"/>
    <hyperlink ref="R2097" r:id="rId2075" display="http://www.imdb.com/title/tt1130080/?ref_=fn_tt_tt_1"/>
    <hyperlink ref="R2098" r:id="rId2076" display="http://www.imdb.com/title/tt0108101/?ref_=fn_tt_tt_1"/>
    <hyperlink ref="R2099" r:id="rId2077" display="http://www.imdb.com/title/tt0367652/?ref_=fn_tt_tt_1"/>
    <hyperlink ref="R2100" r:id="rId2078" display="http://www.imdb.com/title/tt2387559/?ref_=fn_tt_tt_1"/>
    <hyperlink ref="R2101" r:id="rId1138" display="http://www.imdb.com/title/tt1976009/?ref_=fn_tt_tt_1"/>
    <hyperlink ref="R2102" r:id="rId2079" display="http://www.imdb.com/title/tt1995390/?ref_=fn_tt_tt_1"/>
    <hyperlink ref="R2103" r:id="rId2080" display="http://www.imdb.com/title/tt0239948/?ref_=fn_tt_tt_1"/>
    <hyperlink ref="R2104" r:id="rId2081" display="http://www.imdb.com/title/tt2023453/?ref_=fn_tt_tt_1"/>
    <hyperlink ref="R2105" r:id="rId2082" display="http://www.imdb.com/title/tt0162677/?ref_=fn_tt_tt_1"/>
    <hyperlink ref="R2106" r:id="rId2083" display="http://www.imdb.com/title/tt0261392/?ref_=fn_tt_tt_1"/>
    <hyperlink ref="R2107" r:id="rId278" display="http://www.imdb.com/title/tt0399201/?ref_=fn_tt_tt_1"/>
    <hyperlink ref="R2108" r:id="rId2084" display="http://www.imdb.com/title/tt0221218/?ref_=fn_tt_tt_1"/>
    <hyperlink ref="R2109" r:id="rId2085" display="http://www.imdb.com/title/tt0475290/?ref_=fn_tt_tt_1"/>
    <hyperlink ref="R2110" r:id="rId2086" display="http://www.imdb.com/title/tt0236348/?ref_=fn_tt_tt_1"/>
    <hyperlink ref="R2111" r:id="rId2087" display="http://www.imdb.com/title/tt2312718/?ref_=fn_tt_tt_1"/>
    <hyperlink ref="R2112" r:id="rId2088" display="http://www.imdb.com/title/tt0192255/?ref_=fn_tt_tt_1"/>
    <hyperlink ref="R2113" r:id="rId2089" display="http://www.imdb.com/title/tt0356721/?ref_=fn_tt_tt_1"/>
    <hyperlink ref="R2114" r:id="rId2090" display="http://www.imdb.com/title/tt0107978/?ref_=fn_tt_tt_1"/>
    <hyperlink ref="R2115" r:id="rId2091" display="http://www.imdb.com/title/tt0263728/?ref_=fn_tt_tt_1"/>
    <hyperlink ref="R2116" r:id="rId2092" display="http://www.imdb.com/title/tt0065611/?ref_=fn_tt_tt_1"/>
    <hyperlink ref="R2117" r:id="rId2093" display="http://www.imdb.com/title/tt0160236/?ref_=fn_tt_tt_1"/>
    <hyperlink ref="R2118" r:id="rId2094" display="http://www.imdb.com/title/tt2938956/?ref_=fn_tt_tt_1"/>
    <hyperlink ref="R2119" r:id="rId2095" display="http://www.imdb.com/title/tt0375920/?ref_=fn_tt_tt_1"/>
    <hyperlink ref="R2120" r:id="rId2096" display="http://www.imdb.com/title/tt0389557/?ref_=fn_tt_tt_1"/>
    <hyperlink ref="R2121" r:id="rId2097" display="http://www.imdb.com/title/tt0424205/?ref_=fn_tt_tt_1"/>
    <hyperlink ref="R2122" r:id="rId2098" display="http://www.imdb.com/title/tt2097307/?ref_=fn_tt_tt_1"/>
    <hyperlink ref="R2123" r:id="rId2099" display="http://www.imdb.com/title/tt0951216/?ref_=fn_tt_tt_1"/>
    <hyperlink ref="R2124" r:id="rId2100" display="http://www.imdb.com/title/tt1726592/?ref_=fn_tt_tt_1"/>
    <hyperlink ref="R2125" r:id="rId2101" display="http://www.imdb.com/title/tt0076740/?ref_=fn_tt_tt_1"/>
    <hyperlink ref="R2126" r:id="rId2102" display="http://www.imdb.com/title/tt1423995/?ref_=fn_tt_tt_1"/>
    <hyperlink ref="R2127" r:id="rId2103" display="http://www.imdb.com/title/tt0796335/?ref_=fn_tt_tt_1"/>
    <hyperlink ref="R2128" r:id="rId2104" display="http://www.imdb.com/title/tt1206543/?ref_=fn_tt_tt_1"/>
    <hyperlink ref="R2129" r:id="rId2105" display="http://www.imdb.com/title/tt0465538/?ref_=fn_tt_tt_1"/>
    <hyperlink ref="R2130" r:id="rId2106" display="http://www.imdb.com/title/tt0117119/?ref_=fn_tt_tt_1"/>
    <hyperlink ref="R2131" r:id="rId2107" display="http://www.imdb.com/title/tt0137363/?ref_=fn_tt_tt_1"/>
    <hyperlink ref="R2132" r:id="rId2108" display="http://www.imdb.com/title/tt1634003/?ref_=fn_tt_tt_1"/>
    <hyperlink ref="R2133" r:id="rId2109" display="http://www.imdb.com/title/tt1859650/?ref_=fn_tt_tt_1"/>
    <hyperlink ref="R2134" r:id="rId2110" display="http://www.imdb.com/title/tt0083943/?ref_=fn_tt_tt_1"/>
    <hyperlink ref="R2135" r:id="rId2111" display="http://www.imdb.com/title/tt0158983/?ref_=fn_tt_tt_1"/>
    <hyperlink ref="R2136" r:id="rId2112" display="http://www.imdb.com/title/tt0795368/?ref_=fn_tt_tt_1"/>
    <hyperlink ref="R2137" r:id="rId2113" display="http://www.imdb.com/title/tt0108308/?ref_=fn_tt_tt_1"/>
    <hyperlink ref="R2138" r:id="rId2114" display="http://www.imdb.com/title/tt0180734/?ref_=fn_tt_tt_1"/>
    <hyperlink ref="R2139" r:id="rId2115" display="http://www.imdb.com/title/tt1045658/?ref_=fn_tt_tt_1"/>
    <hyperlink ref="R2140" r:id="rId2116" display="http://www.imdb.com/title/tt0463998/?ref_=fn_tt_tt_1"/>
    <hyperlink ref="R2141" r:id="rId2117" display="http://www.imdb.com/title/tt1405500/?ref_=fn_tt_tt_1"/>
    <hyperlink ref="R2142" r:id="rId2118" display="http://www.imdb.com/title/tt0293662/?ref_=fn_tt_tt_1"/>
    <hyperlink ref="R2143" r:id="rId2119" display="http://www.imdb.com/title/tt1023111/?ref_=fn_tt_tt_1"/>
    <hyperlink ref="R2144" r:id="rId2120" display="http://www.imdb.com/title/tt0144814/?ref_=fn_tt_tt_1"/>
    <hyperlink ref="R2145" r:id="rId2121" display="http://www.imdb.com/title/tt0313038/?ref_=fn_tt_tt_1"/>
    <hyperlink ref="R2146" r:id="rId2122" display="http://www.imdb.com/title/tt1176740/?ref_=fn_tt_tt_1"/>
    <hyperlink ref="R2147" r:id="rId2123" display="http://www.imdb.com/title/tt1027862/?ref_=fn_tt_tt_1"/>
    <hyperlink ref="R2148" r:id="rId2124" display="http://www.imdb.com/title/tt0179098/?ref_=fn_tt_tt_1"/>
    <hyperlink ref="R2149" r:id="rId2125" display="http://www.imdb.com/title/tt1340800/?ref_=fn_tt_tt_1"/>
    <hyperlink ref="R2150" r:id="rId2126" display="http://www.imdb.com/title/tt0143746/?ref_=fn_tt_tt_1"/>
    <hyperlink ref="R2151" r:id="rId2127" display="http://www.imdb.com/title/tt1321860/?ref_=fn_tt_tt_1"/>
    <hyperlink ref="R2152" r:id="rId2128" display="http://www.imdb.com/title/tt0083642/?ref_=fn_tt_tt_1"/>
    <hyperlink ref="R2153" r:id="rId2129" display="http://www.imdb.com/title/tt0120907/?ref_=fn_tt_tt_1"/>
    <hyperlink ref="R2154" r:id="rId2130" display="http://www.imdb.com/title/tt0082971/?ref_=fn_tt_tt_1"/>
    <hyperlink ref="R2155" r:id="rId2131" display="http://www.imdb.com/title/tt0104431/?ref_=fn_tt_tt_1"/>
    <hyperlink ref="R2156" r:id="rId2132" display="http://www.imdb.com/title/tt0075860/?ref_=fn_tt_tt_1"/>
    <hyperlink ref="R2157" r:id="rId2133" display="http://www.imdb.com/title/tt0454919/?ref_=fn_tt_tt_1"/>
    <hyperlink ref="R2158" r:id="rId2134" display="http://www.imdb.com/title/tt0092644/?ref_=fn_tt_tt_1"/>
    <hyperlink ref="R2159" r:id="rId2135" display="http://www.imdb.com/title/tt0305669/?ref_=fn_tt_tt_1"/>
    <hyperlink ref="R2160" r:id="rId2136" display="http://www.imdb.com/title/tt0102926/?ref_=fn_tt_tt_1"/>
    <hyperlink ref="R2161" r:id="rId2137" display="http://www.imdb.com/title/tt0105793/?ref_=fn_tt_tt_1"/>
    <hyperlink ref="R2162" r:id="rId2138" display="http://www.imdb.com/title/tt1116184/?ref_=fn_tt_tt_1"/>
    <hyperlink ref="R2163" r:id="rId2139" display="http://www.imdb.com/title/tt0077766/?ref_=fn_tt_tt_1"/>
    <hyperlink ref="R2164" r:id="rId2140" display="http://www.imdb.com/title/tt1014775/?ref_=fn_tt_tt_1"/>
    <hyperlink ref="R2165" r:id="rId2141" display="http://www.imdb.com/title/tt1457767/?ref_=fn_tt_tt_1"/>
    <hyperlink ref="R2166" r:id="rId2142" display="http://www.imdb.com/title/tt0368578/?ref_=fn_tt_tt_1"/>
    <hyperlink ref="R2167" r:id="rId2143" display="http://www.imdb.com/title/tt2103254/?ref_=fn_tt_tt_1"/>
    <hyperlink ref="R2168" r:id="rId1309" display="http://www.imdb.com/title/tt0486822/?ref_=fn_tt_tt_1"/>
    <hyperlink ref="R2169" r:id="rId2144" display="http://www.imdb.com/title/tt0332379/?ref_=fn_tt_tt_1"/>
    <hyperlink ref="R2170" r:id="rId2145" display="http://www.imdb.com/title/tt0113855/?ref_=fn_tt_tt_1"/>
    <hyperlink ref="R2171" r:id="rId1683" display="http://www.imdb.com/title/tt0324554/?ref_=fn_tt_tt_1"/>
    <hyperlink ref="R2172" r:id="rId2146" display="http://www.imdb.com/title/tt0381707/?ref_=fn_tt_tt_1"/>
    <hyperlink ref="R2173" r:id="rId2147" display="http://www.imdb.com/title/tt1033575/?ref_=fn_tt_tt_1"/>
    <hyperlink ref="R2174" r:id="rId2148" display="http://www.imdb.com/title/tt0311289/?ref_=fn_tt_tt_1"/>
    <hyperlink ref="R2175" r:id="rId2149" display="http://www.imdb.com/title/tt1294226/?ref_=fn_tt_tt_1"/>
    <hyperlink ref="R2176" r:id="rId2150" display="http://www.imdb.com/title/tt2024544/?ref_=fn_tt_tt_1"/>
    <hyperlink ref="R2177" r:id="rId2151" display="http://www.imdb.com/title/tt0303933/?ref_=fn_tt_tt_1"/>
    <hyperlink ref="R2178" r:id="rId2152" display="http://www.imdb.com/title/tt1391137/?ref_=fn_tt_tt_1"/>
    <hyperlink ref="R2179" r:id="rId2153" display="http://www.imdb.com/title/tt0099487/?ref_=fn_tt_tt_1"/>
    <hyperlink ref="R2180" r:id="rId2154" display="http://www.imdb.com/title/tt2674426/?ref_=fn_tt_tt_1"/>
    <hyperlink ref="R2181" r:id="rId2155" display="http://www.imdb.com/title/tt2215285/?ref_=fn_tt_tt_1"/>
    <hyperlink ref="R2182" r:id="rId2156" display="http://www.imdb.com/title/tt0067116/?ref_=fn_tt_tt_1"/>
    <hyperlink ref="R2183" r:id="rId2157" display="http://www.imdb.com/title/tt4651520/?ref_=fn_tt_tt_1"/>
    <hyperlink ref="R2184" r:id="rId2158" display="http://www.imdb.com/title/tt0466342/?ref_=fn_tt_tt_1"/>
    <hyperlink ref="R2185" r:id="rId2159" display="http://www.imdb.com/title/tt0280030/?ref_=fn_tt_tt_1"/>
    <hyperlink ref="R2186" r:id="rId2160" display="http://www.imdb.com/title/tt1020072/?ref_=fn_tt_tt_1"/>
    <hyperlink ref="R2187" r:id="rId2161" display="http://www.imdb.com/title/tt0283426/?ref_=fn_tt_tt_1"/>
    <hyperlink ref="R2188" r:id="rId2162" display="http://www.imdb.com/title/tt0357507/?ref_=fn_tt_tt_1"/>
    <hyperlink ref="R2189" r:id="rId2163" display="http://www.imdb.com/title/tt0477071/?ref_=fn_tt_tt_1"/>
    <hyperlink ref="R2190" r:id="rId2164" display="http://www.imdb.com/title/tt0220099/?ref_=fn_tt_tt_1"/>
    <hyperlink ref="R2191" r:id="rId2165" display="http://www.imdb.com/title/tt1148204/?ref_=fn_tt_tt_1"/>
    <hyperlink ref="R2192" r:id="rId2166" display="http://www.imdb.com/title/tt3369806/?ref_=fn_tt_tt_1"/>
    <hyperlink ref="R2193" r:id="rId2167" display="http://www.imdb.com/title/tt1319598/?ref_=fn_tt_tt_1"/>
    <hyperlink ref="R2194" r:id="rId2168" display="http://www.imdb.com/title/tt0799949/?ref_=fn_tt_tt_1"/>
    <hyperlink ref="R2195" r:id="rId387" display="http://www.imdb.com/title/tt0082198/?ref_=fn_tt_tt_1"/>
    <hyperlink ref="R2196" r:id="rId2169" display="http://www.imdb.com/title/tt1895587/?ref_=fn_tt_tt_1"/>
    <hyperlink ref="R2197" r:id="rId2170" display="http://www.imdb.com/title/tt0947802/?ref_=fn_tt_tt_1"/>
    <hyperlink ref="R2198" r:id="rId2171" display="http://www.imdb.com/title/tt0433386/?ref_=fn_tt_tt_1"/>
    <hyperlink ref="R2199" r:id="rId2172" display="http://www.imdb.com/title/tt0120703/?ref_=fn_tt_tt_1"/>
    <hyperlink ref="R2200" r:id="rId2173" display="http://www.imdb.com/title/tt0101452/?ref_=fn_tt_tt_1"/>
    <hyperlink ref="R2201" r:id="rId2174" display="http://www.imdb.com/title/tt0483726/?ref_=fn_tt_tt_1"/>
    <hyperlink ref="R2202" r:id="rId2175" display="http://www.imdb.com/title/tt0078869/?ref_=fn_tt_tt_1"/>
    <hyperlink ref="R2203" r:id="rId2176" display="http://www.imdb.com/title/tt1440728/?ref_=fn_tt_tt_1"/>
    <hyperlink ref="R2204" r:id="rId2177" display="http://www.imdb.com/title/tt0120094/?ref_=fn_tt_tt_1"/>
    <hyperlink ref="R2205" r:id="rId2178" display="http://www.imdb.com/title/tt1666186/?ref_=fn_tt_tt_1"/>
    <hyperlink ref="R2206" r:id="rId2179" display="http://www.imdb.com/title/tt0449467/?ref_=fn_tt_tt_1"/>
    <hyperlink ref="R2207" r:id="rId2180" display="http://www.imdb.com/title/tt1371150/?ref_=fn_tt_tt_1"/>
    <hyperlink ref="R2208" r:id="rId2181" display="http://www.imdb.com/title/tt0918927/?ref_=fn_tt_tt_1"/>
    <hyperlink ref="R2209" r:id="rId2182" display="http://www.imdb.com/title/tt0372588/?ref_=fn_tt_tt_1"/>
    <hyperlink ref="R2210" r:id="rId2183" display="http://www.imdb.com/title/tt1572315/?ref_=fn_tt_tt_1"/>
    <hyperlink ref="R2211" r:id="rId2184" display="http://www.imdb.com/title/tt0112722/?ref_=fn_tt_tt_1"/>
    <hyperlink ref="R2212" r:id="rId2185" display="http://www.imdb.com/title/tt0795461/?ref_=fn_tt_tt_1"/>
    <hyperlink ref="R2213" r:id="rId2186" display="http://www.imdb.com/title/tt0064782/?ref_=fn_tt_tt_1"/>
    <hyperlink ref="R2214" r:id="rId2187" display="http://www.imdb.com/title/tt1013753/?ref_=fn_tt_tt_1"/>
    <hyperlink ref="R2215" r:id="rId2188" display="http://www.imdb.com/title/tt3231054/?ref_=fn_tt_tt_1"/>
    <hyperlink ref="R2216" r:id="rId2189" display="http://www.imdb.com/title/tt0288477/?ref_=fn_tt_tt_1"/>
    <hyperlink ref="R2217" r:id="rId2190" display="http://www.imdb.com/title/tt1268799/?ref_=fn_tt_tt_1"/>
    <hyperlink ref="R2218" r:id="rId2191" display="http://www.imdb.com/title/tt0120890/?ref_=fn_tt_tt_1"/>
    <hyperlink ref="R2219" r:id="rId2192" display="http://www.imdb.com/title/tt0814335/?ref_=fn_tt_tt_1"/>
    <hyperlink ref="R2220" r:id="rId2193" display="http://www.imdb.com/title/tt1226753/?ref_=fn_tt_tt_1"/>
    <hyperlink ref="R2221" r:id="rId2194" display="http://www.imdb.com/title/tt0146882/?ref_=fn_tt_tt_1"/>
    <hyperlink ref="R2222" r:id="rId2195" display="http://www.imdb.com/title/tt0479968/?ref_=fn_tt_tt_1"/>
    <hyperlink ref="R2223" r:id="rId2196" display="http://www.imdb.com/title/tt0116260/?ref_=fn_tt_tt_1"/>
    <hyperlink ref="R2224" r:id="rId2197" display="http://www.imdb.com/title/tt0200465/?ref_=fn_tt_tt_1"/>
    <hyperlink ref="R2225" r:id="rId2198" display="http://www.imdb.com/title/tt0338013/?ref_=fn_tt_tt_1"/>
    <hyperlink ref="R2226" r:id="rId2199" display="http://www.imdb.com/title/tt1414382/?ref_=fn_tt_tt_1"/>
    <hyperlink ref="R2227" r:id="rId2200" display="http://www.imdb.com/title/tt0421073/?ref_=fn_tt_tt_1"/>
    <hyperlink ref="R2228" r:id="rId2201" display="http://www.imdb.com/title/tt1213663/?ref_=fn_tt_tt_1"/>
    <hyperlink ref="R2229" r:id="rId2202" display="http://www.imdb.com/title/tt0479500/?ref_=fn_tt_tt_1"/>
    <hyperlink ref="R2230" r:id="rId2203" display="http://www.imdb.com/title/tt0433362/?ref_=fn_tt_tt_1"/>
    <hyperlink ref="R2231" r:id="rId2204" display="http://www.imdb.com/title/tt0815236/?ref_=fn_tt_tt_1"/>
    <hyperlink ref="R2232" r:id="rId2205" display="http://www.imdb.com/title/tt1067774/?ref_=fn_tt_tt_1"/>
    <hyperlink ref="R2233" r:id="rId2206" display="http://www.imdb.com/title/tt0441796/?ref_=fn_tt_tt_1"/>
    <hyperlink ref="R2234" r:id="rId2207" display="http://www.imdb.com/title/tt0102744/?ref_=fn_tt_tt_1"/>
    <hyperlink ref="R2235" r:id="rId2208" display="http://www.imdb.com/title/tt1213012/?ref_=fn_tt_tt_1"/>
    <hyperlink ref="R2236" r:id="rId2209" display="http://www.imdb.com/title/tt0475944/?ref_=fn_tt_tt_1"/>
    <hyperlink ref="R2237" r:id="rId2210" display="http://www.imdb.com/title/tt0430634/?ref_=fn_tt_tt_1"/>
    <hyperlink ref="R2238" r:id="rId2211" display="http://www.imdb.com/title/tt1100119/?ref_=fn_tt_tt_1"/>
    <hyperlink ref="R2239" r:id="rId2212" display="http://www.imdb.com/title/tt0114681/?ref_=fn_tt_tt_1"/>
    <hyperlink ref="R2240" r:id="rId2213" display="http://www.imdb.com/title/tt3531824/?ref_=fn_tt_tt_1"/>
    <hyperlink ref="R2241" r:id="rId2214" display="http://www.imdb.com/title/tt0800308/?ref_=fn_tt_tt_1"/>
    <hyperlink ref="R2242" r:id="rId2215" display="http://www.imdb.com/title/tt0120877/?ref_=fn_tt_tt_1"/>
    <hyperlink ref="R2243" r:id="rId2216" display="http://www.imdb.com/title/tt0249327/?ref_=fn_tt_tt_1"/>
    <hyperlink ref="R2244" r:id="rId2217" display="http://www.imdb.com/title/tt0054215/?ref_=fn_tt_tt_1"/>
    <hyperlink ref="R2245" r:id="rId2218" display="http://www.imdb.com/title/tt1046163/?ref_=fn_tt_tt_1"/>
    <hyperlink ref="R2246" r:id="rId2219" display="http://www.imdb.com/title/tt2318092/?ref_=fn_tt_tt_1"/>
    <hyperlink ref="R2247" r:id="rId2220" display="http://www.imdb.com/title/tt0791304/?ref_=fn_tt_tt_1"/>
    <hyperlink ref="R2248" r:id="rId2221" display="http://www.imdb.com/title/tt0083254/?ref_=fn_tt_tt_1"/>
    <hyperlink ref="R2249" r:id="rId2222" display="http://www.imdb.com/title/tt0089457/?ref_=fn_tt_tt_1"/>
    <hyperlink ref="R2250" r:id="rId2223" display="http://www.imdb.com/title/tt0124879/?ref_=fn_tt_tt_1"/>
    <hyperlink ref="R2251" r:id="rId2224" display="http://www.imdb.com/title/tt0490204/?ref_=fn_tt_tt_1"/>
    <hyperlink ref="R2252" r:id="rId2225" display="http://www.imdb.com/title/tt0758758/?ref_=fn_tt_tt_1"/>
    <hyperlink ref="R2253" r:id="rId2226" display="http://www.imdb.com/title/tt0462519/?ref_=fn_tt_tt_1"/>
    <hyperlink ref="R2254" r:id="rId2227" display="http://www.imdb.com/title/tt0938330/?ref_=fn_tt_tt_1"/>
    <hyperlink ref="R2255" r:id="rId2228" display="http://www.imdb.com/title/tt0116367/?ref_=fn_tt_tt_1"/>
    <hyperlink ref="R2256" r:id="rId2229" display="http://www.imdb.com/title/tt0407121/?ref_=fn_tt_tt_1"/>
    <hyperlink ref="R2257" r:id="rId2230" display="http://www.imdb.com/title/tt0113321/?ref_=fn_tt_tt_1"/>
    <hyperlink ref="R2258" r:id="rId2231" display="http://www.imdb.com/title/tt0373074/?ref_=fn_tt_tt_1"/>
    <hyperlink ref="R2259" r:id="rId2232" display="http://www.imdb.com/title/tt0118315/?ref_=fn_tt_tt_1"/>
    <hyperlink ref="R2260" r:id="rId2233" display="http://www.imdb.com/title/tt0276033/?ref_=fn_tt_tt_1"/>
    <hyperlink ref="R2261" r:id="rId2234" display="http://www.imdb.com/title/tt0419887/?ref_=fn_tt_tt_1"/>
    <hyperlink ref="R2262" r:id="rId2235" display="http://www.imdb.com/title/tt0315733/?ref_=fn_tt_tt_1"/>
    <hyperlink ref="R2263" r:id="rId2236" display="http://www.imdb.com/title/tt0338325/?ref_=fn_tt_tt_1"/>
    <hyperlink ref="R2264" r:id="rId1367" display="http://www.imdb.com/title/tt1099212/?ref_=fn_tt_tt_1"/>
    <hyperlink ref="R2265" r:id="rId2237" display="http://www.imdb.com/title/tt0295289/?ref_=fn_tt_tt_1"/>
    <hyperlink ref="R2266" r:id="rId2238" display="http://www.imdb.com/title/tt0217630/?ref_=fn_tt_tt_1"/>
    <hyperlink ref="R2267" r:id="rId2239" display="http://www.imdb.com/title/tt1232207/?ref_=fn_tt_tt_1"/>
    <hyperlink ref="R2268" r:id="rId2240" display="http://www.imdb.com/title/tt0059245/?ref_=fn_tt_tt_1"/>
    <hyperlink ref="R2269" r:id="rId2241" display="http://www.imdb.com/title/tt1741273/?ref_=fn_tt_tt_1"/>
    <hyperlink ref="R2270" r:id="rId2242" display="http://www.imdb.com/title/tt1213644/?ref_=fn_tt_tt_1"/>
    <hyperlink ref="R2271" r:id="rId2243" display="http://www.imdb.com/title/tt0913354/?ref_=fn_tt_tt_1"/>
    <hyperlink ref="R2272" r:id="rId2244" display="http://www.imdb.com/title/tt0120483/?ref_=fn_tt_tt_1"/>
    <hyperlink ref="R2273" r:id="rId2245" display="http://www.imdb.com/title/tt0770703/?ref_=fn_tt_tt_1"/>
    <hyperlink ref="R2274" r:id="rId2246" display="http://www.imdb.com/title/tt1592525/?ref_=fn_tt_tt_1"/>
    <hyperlink ref="R2275" r:id="rId2247" display="http://www.imdb.com/title/tt0326856/?ref_=fn_tt_tt_1"/>
    <hyperlink ref="R2276" r:id="rId2248" display="http://www.imdb.com/title/tt1121931/?ref_=fn_tt_tt_1"/>
    <hyperlink ref="R2277" r:id="rId2249" display="http://www.imdb.com/title/tt0109348/?ref_=fn_tt_tt_1"/>
    <hyperlink ref="R2278" r:id="rId2250" display="http://www.imdb.com/title/tt0430431/?ref_=fn_tt_tt_1"/>
    <hyperlink ref="R2279" r:id="rId2251" display="http://www.imdb.com/title/tt0258068/?ref_=fn_tt_tt_1"/>
    <hyperlink ref="R2280" r:id="rId2252" display="http://www.imdb.com/title/tt0384680/?ref_=fn_tt_tt_1"/>
    <hyperlink ref="R2281" r:id="rId2253" display="http://www.imdb.com/title/tt0281322/?ref_=fn_tt_tt_1"/>
    <hyperlink ref="R2282" r:id="rId2254" display="http://www.imdb.com/title/tt0995039/?ref_=fn_tt_tt_1"/>
    <hyperlink ref="R2283" r:id="rId2255" display="http://www.imdb.com/title/tt1160368/?ref_=fn_tt_tt_1"/>
    <hyperlink ref="R2284" r:id="rId2256" display="http://www.imdb.com/title/tt1228987/?ref_=fn_tt_tt_1"/>
    <hyperlink ref="R2285" r:id="rId2257" display="http://www.imdb.com/title/tt0109015/?ref_=fn_tt_tt_1"/>
    <hyperlink ref="R2286" r:id="rId2258" display="http://www.imdb.com/title/tt0799934/?ref_=fn_tt_tt_1"/>
    <hyperlink ref="R2287" r:id="rId2259" display="http://www.imdb.com/title/tt0413015/?ref_=fn_tt_tt_1"/>
    <hyperlink ref="R2288" r:id="rId2260" display="http://www.imdb.com/title/tt1712261/?ref_=fn_tt_tt_1"/>
    <hyperlink ref="R2289" r:id="rId2261" display="http://www.imdb.com/title/tt0118954/?ref_=fn_tt_tt_1"/>
    <hyperlink ref="R2290" r:id="rId2262" display="http://www.imdb.com/title/tt0144640/?ref_=fn_tt_tt_1"/>
    <hyperlink ref="R2291" r:id="rId2263" display="http://www.imdb.com/title/tt2503944/?ref_=fn_tt_tt_1"/>
    <hyperlink ref="R2292" r:id="rId2264" display="http://www.imdb.com/title/tt0098625/?ref_=fn_tt_tt_1"/>
    <hyperlink ref="R2293" r:id="rId2265" display="http://www.imdb.com/title/tt0116242/?ref_=fn_tt_tt_1"/>
    <hyperlink ref="R2294" r:id="rId2112" display="http://www.imdb.com/title/tt0795368/?ref_=fn_tt_tt_1"/>
    <hyperlink ref="R2295" r:id="rId2266" display="http://www.imdb.com/title/tt0804461/?ref_=fn_tt_tt_1"/>
    <hyperlink ref="R2296" r:id="rId2267" display="http://www.imdb.com/title/tt0780511/?ref_=fn_tt_tt_1"/>
    <hyperlink ref="R2297" r:id="rId2268" display="http://www.imdb.com/title/tt0270846/?ref_=fn_tt_tt_1"/>
    <hyperlink ref="R2298" r:id="rId2269" display="http://www.imdb.com/title/tt0399327/?ref_=fn_tt_tt_1"/>
    <hyperlink ref="R2299" r:id="rId2270" display="http://www.imdb.com/title/tt0462229/?ref_=fn_tt_tt_1"/>
    <hyperlink ref="R2300" r:id="rId2271" display="http://www.imdb.com/title/tt0345074/?ref_=fn_tt_tt_1"/>
    <hyperlink ref="R2301" r:id="rId2272" display="http://www.imdb.com/title/tt0065054/?ref_=fn_tt_tt_1"/>
    <hyperlink ref="R2302" r:id="rId2273" display="http://www.imdb.com/title/tt1791528/?ref_=fn_tt_tt_1"/>
    <hyperlink ref="R2303" r:id="rId2274" display="http://www.imdb.com/title/tt0763304/?ref_=fn_tt_tt_1"/>
    <hyperlink ref="R2304" r:id="rId2275" display="http://www.imdb.com/title/tt1532958/?ref_=fn_tt_tt_1"/>
    <hyperlink ref="R2305" r:id="rId2276" display="http://www.imdb.com/title/tt1714204/?ref_=fn_tt_tt_1"/>
    <hyperlink ref="R2306" r:id="rId2277" display="http://www.imdb.com/title/tt1190617/?ref_=fn_tt_tt_1"/>
    <hyperlink ref="R2307" r:id="rId2278" display="http://www.imdb.com/title/tt2002718/?ref_=fn_tt_tt_1"/>
    <hyperlink ref="R2308" r:id="rId2279" display="http://www.imdb.com/title/tt0310357/?ref_=fn_tt_tt_1"/>
    <hyperlink ref="R2309" r:id="rId2280" display="http://www.imdb.com/title/tt0489282/?ref_=fn_tt_tt_1"/>
    <hyperlink ref="R2310" r:id="rId2281" display="http://www.imdb.com/title/tt0151568/?ref_=fn_tt_tt_1"/>
    <hyperlink ref="R2311" r:id="rId2282" display="http://www.imdb.com/title/tt1810683/?ref_=fn_tt_tt_1"/>
    <hyperlink ref="R2312" r:id="rId2283" display="http://www.imdb.com/title/tt1571222/?ref_=fn_tt_tt_1"/>
    <hyperlink ref="R2313" r:id="rId2284" display="http://www.imdb.com/title/tt0405296/?ref_=fn_tt_tt_1"/>
    <hyperlink ref="R2314" r:id="rId2285" display="http://www.imdb.com/title/tt1629757/?ref_=fn_tt_tt_1"/>
    <hyperlink ref="R2315" r:id="rId2286" display="http://www.imdb.com/title/tt0369226/?ref_=fn_tt_tt_1"/>
    <hyperlink ref="R2316" r:id="rId2287" display="http://www.imdb.com/title/tt0976222/?ref_=fn_tt_tt_1"/>
    <hyperlink ref="R2317" r:id="rId2288" display="http://www.imdb.com/title/tt0337876/?ref_=fn_tt_tt_1"/>
    <hyperlink ref="R2318" r:id="rId2289" display="http://www.imdb.com/title/tt2937898/?ref_=fn_tt_tt_1"/>
    <hyperlink ref="R2319" r:id="rId2290" display="http://www.imdb.com/title/tt1092082/?ref_=fn_tt_tt_1"/>
    <hyperlink ref="R2320" r:id="rId2291" display="http://www.imdb.com/title/tt1054588/?ref_=fn_tt_tt_1"/>
    <hyperlink ref="R2321" r:id="rId2292" display="http://www.imdb.com/title/tt0368794/?ref_=fn_tt_tt_1"/>
    <hyperlink ref="R2322" r:id="rId2293" display="http://www.imdb.com/title/tt1366365/?ref_=fn_tt_tt_1"/>
    <hyperlink ref="R2323" r:id="rId2294" display="http://www.imdb.com/title/tt0844286/?ref_=fn_tt_tt_1"/>
    <hyperlink ref="R2324" r:id="rId2295" display="http://www.imdb.com/title/tt0383028/?ref_=fn_tt_tt_1"/>
    <hyperlink ref="R2325" r:id="rId2296" display="http://www.imdb.com/title/tt0119698/?ref_=fn_tt_tt_1"/>
    <hyperlink ref="R2326" r:id="rId2297" display="http://www.imdb.com/title/tt0310778/?ref_=fn_tt_tt_1"/>
    <hyperlink ref="R2327" r:id="rId2298" display="http://www.imdb.com/title/tt0080492/?ref_=fn_tt_tt_1"/>
    <hyperlink ref="R2328" r:id="rId2299" display="http://www.imdb.com/title/tt0421238/?ref_=fn_tt_tt_1"/>
    <hyperlink ref="R2329" r:id="rId2300" display="http://www.imdb.com/title/tt3719896/?ref_=fn_tt_tt_1"/>
    <hyperlink ref="R2330" r:id="rId2301" display="http://www.imdb.com/title/tt0266747/?ref_=fn_tt_tt_1"/>
    <hyperlink ref="R2331" r:id="rId2302" display="http://www.imdb.com/title/tt0238380/?ref_=fn_tt_tt_1"/>
    <hyperlink ref="R2332" r:id="rId2303" display="http://www.imdb.com/title/tt0889588/?ref_=fn_tt_tt_1"/>
    <hyperlink ref="R2333" r:id="rId2304" display="http://www.imdb.com/title/tt0138946/?ref_=fn_tt_tt_1"/>
    <hyperlink ref="R2334" r:id="rId2305" display="http://www.imdb.com/title/tt1520498/?ref_=fn_tt_tt_1"/>
    <hyperlink ref="R2335" r:id="rId2306" display="http://www.imdb.com/title/tt3707106/?ref_=fn_tt_tt_1"/>
    <hyperlink ref="R2336" r:id="rId2307" display="http://www.imdb.com/title/tt0348121/?ref_=fn_tt_tt_1"/>
    <hyperlink ref="R2337" r:id="rId2308" display="http://www.imdb.com/title/tt0354595/?ref_=fn_tt_tt_1"/>
    <hyperlink ref="R2338" r:id="rId2309" display="http://www.imdb.com/title/tt1175709/?ref_=fn_tt_tt_1"/>
    <hyperlink ref="R2339" r:id="rId2310" display="http://www.imdb.com/title/tt0110944/?ref_=fn_tt_tt_1"/>
    <hyperlink ref="R2340" r:id="rId2311" display="http://www.imdb.com/title/tt0940709/?ref_=fn_tt_tt_1"/>
    <hyperlink ref="R2341" r:id="rId2312" display="http://www.imdb.com/title/tt0120882/?ref_=fn_tt_tt_1"/>
    <hyperlink ref="R2342" r:id="rId2313" display="http://www.imdb.com/title/tt1013860/?ref_=fn_tt_tt_1"/>
    <hyperlink ref="R2343" r:id="rId2314" display="http://www.imdb.com/title/tt0274711/?ref_=fn_tt_tt_1"/>
    <hyperlink ref="R2344" r:id="rId2315" display="http://www.imdb.com/title/tt0166038/?ref_=fn_tt_tt_1"/>
    <hyperlink ref="R2345" r:id="rId2316" display="http://www.imdb.com/title/tt1274300/?ref_=fn_tt_tt_1"/>
    <hyperlink ref="R2346" r:id="rId2317" display="http://www.imdb.com/title/tt3319920/?ref_=fn_tt_tt_1"/>
    <hyperlink ref="R2347" r:id="rId2318" display="http://www.imdb.com/title/tt1128219/?ref_=fn_tt_tt_1"/>
    <hyperlink ref="R2348" r:id="rId2319" display="http://www.imdb.com/title/tt0882978/?ref_=fn_tt_tt_1"/>
    <hyperlink ref="R2349" r:id="rId2320" display="http://www.imdb.com/title/tt0489664/?ref_=fn_tt_tt_1"/>
    <hyperlink ref="R2350" r:id="rId2321" display="http://www.imdb.com/title/tt1488181/?ref_=fn_tt_tt_1"/>
    <hyperlink ref="R2351" r:id="rId2322" display="http://www.imdb.com/title/tt3037162/?ref_=fn_tt_tt_1"/>
    <hyperlink ref="R2352" r:id="rId2323" display="http://www.imdb.com/title/tt1134666/?ref_=fn_tt_tt_1"/>
    <hyperlink ref="R2353" r:id="rId2324" display="http://www.imdb.com/title/tt1781827/?ref_=fn_tt_tt_1"/>
    <hyperlink ref="R2354" r:id="rId2325" display="http://www.imdb.com/title/tt3247714/?ref_=fn_tt_tt_1"/>
    <hyperlink ref="R2355" r:id="rId2326" display="http://www.imdb.com/title/tt2005374/?ref_=fn_tt_tt_1"/>
    <hyperlink ref="R2356" r:id="rId2327" display="http://www.imdb.com/title/tt0446755/?ref_=fn_tt_tt_1"/>
    <hyperlink ref="R2357" r:id="rId2328" display="http://www.imdb.com/title/tt0765432/?ref_=fn_tt_tt_1"/>
    <hyperlink ref="R2358" r:id="rId2329" display="http://www.imdb.com/title/tt0099348/?ref_=fn_tt_tt_1"/>
    <hyperlink ref="R2359" r:id="rId2330" display="http://www.imdb.com/title/tt1284575/?ref_=fn_tt_tt_1"/>
    <hyperlink ref="R2360" r:id="rId2331" display="http://www.imdb.com/title/tt0098273/?ref_=fn_tt_tt_1"/>
    <hyperlink ref="R2361" r:id="rId2332" display="http://www.imdb.com/title/tt0356470/?ref_=fn_tt_tt_1"/>
    <hyperlink ref="R2362" r:id="rId2333" display="http://www.imdb.com/title/tt0117571/?ref_=fn_tt_tt_1"/>
    <hyperlink ref="R2363" r:id="rId2334" display="http://www.imdb.com/title/tt0245674/?ref_=fn_tt_tt_1"/>
    <hyperlink ref="R2364" r:id="rId2335" display="http://www.imdb.com/title/tt0081505/?ref_=fn_tt_tt_1"/>
    <hyperlink ref="R2365" r:id="rId2336" display="http://www.imdb.com/title/tt0088763/?ref_=fn_tt_tt_1"/>
    <hyperlink ref="R2366" r:id="rId2337" display="http://www.imdb.com/title/tt0185371/?ref_=fn_tt_tt_1"/>
    <hyperlink ref="R2367" r:id="rId2338" display="http://www.imdb.com/title/tt1385912/?ref_=fn_tt_tt_1"/>
    <hyperlink ref="R2368" r:id="rId2339" display="http://www.imdb.com/title/tt4280822/?ref_=fn_tt_tt_1"/>
    <hyperlink ref="R2369" r:id="rId2340" display="http://www.imdb.com/title/tt0889573/?ref_=fn_tt_tt_1"/>
    <hyperlink ref="R2370" r:id="rId2341" display="http://www.imdb.com/title/tt0305711/?ref_=fn_tt_tt_1"/>
    <hyperlink ref="R2371" r:id="rId2342" display="http://www.imdb.com/title/tt1270262/?ref_=fn_tt_tt_1"/>
    <hyperlink ref="R2372" r:id="rId2343" display="http://www.imdb.com/title/tt1697237/?ref_=fn_tt_tt_1"/>
    <hyperlink ref="R2373" r:id="rId2344" display="http://www.imdb.com/title/tt0205461/?ref_=fn_tt_tt_1"/>
    <hyperlink ref="R2374" r:id="rId2345" display="http://www.imdb.com/title/tt0455407/?ref_=fn_tt_tt_1"/>
    <hyperlink ref="R2375" r:id="rId2346" display="http://www.imdb.com/title/tt0245429/?ref_=fn_tt_tt_1"/>
    <hyperlink ref="R2376" r:id="rId2347" display="http://www.imdb.com/title/tt3341072/?ref_=fn_tt_tt_1"/>
    <hyperlink ref="R2377" r:id="rId2348" display="http://www.imdb.com/title/tt0086993/?ref_=fn_tt_tt_1"/>
    <hyperlink ref="R2378" r:id="rId2349" display="http://www.imdb.com/title/tt0816442/?ref_=fn_tt_tt_1"/>
    <hyperlink ref="R2379" r:id="rId2350" display="http://www.imdb.com/title/tt1135985/?ref_=fn_tt_tt_1"/>
    <hyperlink ref="R2380" r:id="rId2351" display="http://www.imdb.com/title/tt1216492/?ref_=fn_tt_tt_1"/>
    <hyperlink ref="R2381" r:id="rId2352" display="http://www.imdb.com/title/tt0058085/?ref_=fn_tt_tt_1"/>
    <hyperlink ref="R2382" r:id="rId2353" display="http://www.imdb.com/title/tt0810922/?ref_=fn_tt_tt_1"/>
    <hyperlink ref="R2383" r:id="rId2354" display="http://www.imdb.com/title/tt1870529/?ref_=fn_tt_tt_1"/>
    <hyperlink ref="R2384" r:id="rId2355" display="http://www.imdb.com/title/tt0107719/?ref_=fn_tt_tt_1"/>
    <hyperlink ref="R2385" r:id="rId2356" display="http://www.imdb.com/title/tt0116745/?ref_=fn_tt_tt_1"/>
    <hyperlink ref="R2386" r:id="rId2357" display="http://www.imdb.com/title/tt4193394/?ref_=fn_tt_tt_1"/>
    <hyperlink ref="R2387" r:id="rId2358" display="http://www.imdb.com/title/tt0384806/?ref_=fn_tt_tt_1"/>
    <hyperlink ref="R2388" r:id="rId2359" display="http://www.imdb.com/title/tt0268126/?ref_=fn_tt_tt_1"/>
    <hyperlink ref="R2389" r:id="rId2360" display="http://www.imdb.com/title/tt0418819/?ref_=fn_tt_tt_1"/>
    <hyperlink ref="R2390" r:id="rId2361" display="http://www.imdb.com/title/tt2957680/?ref_=fn_tt_tt_1"/>
    <hyperlink ref="R2391" r:id="rId2362" display="http://www.imdb.com/title/tt0120669/?ref_=fn_tt_tt_1"/>
    <hyperlink ref="R2392" r:id="rId2363" display="http://www.imdb.com/title/tt1058017/?ref_=fn_tt_tt_1"/>
    <hyperlink ref="R2393" r:id="rId2364" display="http://www.imdb.com/title/tt2004420/?ref_=fn_tt_tt_1"/>
    <hyperlink ref="R2394" r:id="rId2365" display="http://www.imdb.com/title/tt0110475/?ref_=fn_tt_tt_1"/>
    <hyperlink ref="R2395" r:id="rId2366" display="http://www.imdb.com/title/tt0094737/?ref_=fn_tt_tt_1"/>
    <hyperlink ref="R2396" r:id="rId2367" display="http://www.imdb.com/title/tt0443453/?ref_=fn_tt_tt_1"/>
    <hyperlink ref="R2397" r:id="rId2368" display="http://www.imdb.com/title/tt0250494/?ref_=fn_tt_tt_1"/>
    <hyperlink ref="R2398" r:id="rId2369" display="http://www.imdb.com/title/tt0088170/?ref_=fn_tt_tt_1"/>
    <hyperlink ref="R2399" r:id="rId2370" display="http://www.imdb.com/title/tt0404032/?ref_=fn_tt_tt_1"/>
    <hyperlink ref="R2400" r:id="rId2371" display="http://www.imdb.com/title/tt0205000/?ref_=fn_tt_tt_1"/>
    <hyperlink ref="R2401" r:id="rId2372" display="http://www.imdb.com/title/tt2467046/?ref_=fn_tt_tt_1"/>
    <hyperlink ref="R2402" r:id="rId2373" display="http://www.imdb.com/title/tt0356680/?ref_=fn_tt_tt_1"/>
    <hyperlink ref="R2403" r:id="rId2374" display="http://www.imdb.com/title/tt0337579/?ref_=fn_tt_tt_1"/>
    <hyperlink ref="R2404" r:id="rId2375" display="http://www.imdb.com/title/tt0307987/?ref_=fn_tt_tt_1"/>
    <hyperlink ref="R2405" r:id="rId2376" display="http://www.imdb.com/title/tt0118655/?ref_=fn_tt_tt_1"/>
    <hyperlink ref="R2406" r:id="rId2377" display="http://www.imdb.com/title/tt3760922/?ref_=fn_tt_tt_1"/>
    <hyperlink ref="R2407" r:id="rId2378" display="http://www.imdb.com/title/tt1650043/?ref_=fn_tt_tt_1"/>
    <hyperlink ref="R2408" r:id="rId2379" display="http://www.imdb.com/title/tt0093773/?ref_=fn_tt_tt_1"/>
    <hyperlink ref="R2409" r:id="rId2380" display="http://www.imdb.com/title/tt0086879/?ref_=fn_tt_tt_1"/>
    <hyperlink ref="R2410" r:id="rId2381" display="http://www.imdb.com/title/tt0926129/?ref_=fn_tt_tt_1"/>
    <hyperlink ref="R2411" r:id="rId2382" display="http://www.imdb.com/title/tt0377092/?ref_=fn_tt_tt_1"/>
    <hyperlink ref="R2412" r:id="rId2383" display="http://www.imdb.com/title/tt0328589/?ref_=fn_tt_tt_1"/>
    <hyperlink ref="R2413" r:id="rId2384" display="http://www.imdb.com/title/tt0280707/?ref_=fn_tt_tt_1"/>
    <hyperlink ref="R2414" r:id="rId2385" display="http://www.imdb.com/title/tt0362359/?ref_=fn_tt_tt_1"/>
    <hyperlink ref="R2415" r:id="rId2386" display="http://www.imdb.com/title/tt0091738/?ref_=fn_tt_tt_1"/>
    <hyperlink ref="R2416" r:id="rId2387" display="http://www.imdb.com/title/tt2562232/?ref_=fn_tt_tt_1"/>
    <hyperlink ref="R2417" r:id="rId2388" display="http://www.imdb.com/title/tt2334873/?ref_=fn_tt_tt_1"/>
    <hyperlink ref="R2418" r:id="rId2389" display="http://www.imdb.com/title/tt0475276/?ref_=fn_tt_tt_1"/>
    <hyperlink ref="R2419" r:id="rId2390" display="http://www.imdb.com/title/tt0322589/?ref_=fn_tt_tt_1"/>
    <hyperlink ref="R2420" r:id="rId1699" display="http://www.imdb.com/title/tt0097441/?ref_=fn_tt_tt_1"/>
    <hyperlink ref="R2421" r:id="rId2391" display="http://www.imdb.com/title/tt0117723/?ref_=fn_tt_tt_1"/>
    <hyperlink ref="R2422" r:id="rId2392" display="http://www.imdb.com/title/tt0080749/?ref_=fn_tt_tt_1"/>
    <hyperlink ref="R2423" r:id="rId2393" display="http://www.imdb.com/title/tt1596346/?ref_=fn_tt_tt_1"/>
    <hyperlink ref="R2424" r:id="rId2394" display="http://www.imdb.com/title/tt0065528/?ref_=fn_tt_tt_1"/>
    <hyperlink ref="R2425" r:id="rId2395" display="http://www.imdb.com/title/tt1197628/?ref_=fn_tt_tt_1"/>
    <hyperlink ref="R2426" r:id="rId2396" display="http://www.imdb.com/title/tt0087078/?ref_=fn_tt_tt_1"/>
    <hyperlink ref="R2427" r:id="rId2397" display="http://www.imdb.com/title/tt0081398/?ref_=fn_tt_tt_1"/>
    <hyperlink ref="R2428" r:id="rId2398" display="http://www.imdb.com/title/tt0899106/?ref_=fn_tt_tt_1"/>
    <hyperlink ref="R2429" r:id="rId2399" display="http://www.imdb.com/title/tt0090357/?ref_=fn_tt_tt_1"/>
    <hyperlink ref="R2430" r:id="rId2400" display="http://www.imdb.com/title/tt1016075/?ref_=fn_tt_tt_1"/>
    <hyperlink ref="R2431" r:id="rId2401" display="http://www.imdb.com/title/tt1542344/?ref_=fn_tt_tt_1"/>
    <hyperlink ref="R2432" r:id="rId2402" display="http://www.imdb.com/title/tt0196216/?ref_=fn_tt_tt_1"/>
    <hyperlink ref="R2433" r:id="rId2403" display="http://www.imdb.com/title/tt0210616/?ref_=fn_tt_tt_1"/>
    <hyperlink ref="R2434" r:id="rId2404" display="http://www.imdb.com/title/tt2279339/?ref_=fn_tt_tt_1"/>
    <hyperlink ref="R2435" r:id="rId2405" display="http://www.imdb.com/title/tt0337917/?ref_=fn_tt_tt_1"/>
    <hyperlink ref="R2436" r:id="rId2406" display="http://www.imdb.com/title/tt0264796/?ref_=fn_tt_tt_1"/>
    <hyperlink ref="R2437" r:id="rId2407" display="http://www.imdb.com/title/tt2080374/?ref_=fn_tt_tt_1"/>
    <hyperlink ref="R2438" r:id="rId2408" display="http://www.imdb.com/title/tt1032815/?ref_=fn_tt_tt_1"/>
    <hyperlink ref="R2439" r:id="rId2409" display="http://www.imdb.com/title/tt0403702/?ref_=fn_tt_tt_1"/>
    <hyperlink ref="R2440" r:id="rId2410" display="http://www.imdb.com/title/tt0082648/?ref_=fn_tt_tt_1"/>
    <hyperlink ref="R2441" r:id="rId2411" display="http://www.imdb.com/title/tt0236784/?ref_=fn_tt_tt_1"/>
    <hyperlink ref="R2442" r:id="rId2412" display="http://www.imdb.com/title/tt0082085/?ref_=fn_tt_tt_1"/>
    <hyperlink ref="R2443" r:id="rId2413" display="http://www.imdb.com/title/tt2167202/?ref_=fn_tt_tt_1"/>
    <hyperlink ref="R2444" r:id="rId2414" display="http://www.imdb.com/title/tt0119349/?ref_=fn_tt_tt_1"/>
    <hyperlink ref="R2445" r:id="rId2415" display="http://www.imdb.com/title/tt2465146/?ref_=fn_tt_tt_1"/>
    <hyperlink ref="R2446" r:id="rId2416" display="http://www.imdb.com/title/tt0098519/?ref_=fn_tt_tt_1"/>
    <hyperlink ref="R2447" r:id="rId2417" display="http://www.imdb.com/title/tt0340012/?ref_=fn_tt_tt_1"/>
    <hyperlink ref="R2448" r:id="rId2418" display="http://www.imdb.com/title/tt0091635/?ref_=fn_tt_tt_1"/>
    <hyperlink ref="R2449" r:id="rId2419" display="http://www.imdb.com/title/tt0082288/?ref_=fn_tt_tt_1"/>
    <hyperlink ref="R2450" r:id="rId2420" display="http://www.imdb.com/title/tt0824758/?ref_=fn_tt_tt_1"/>
    <hyperlink ref="R2451" r:id="rId2421" display="http://www.imdb.com/title/tt0109707/?ref_=fn_tt_tt_1"/>
    <hyperlink ref="R2452" r:id="rId2422" display="http://www.imdb.com/title/tt1967545/?ref_=fn_tt_tt_1"/>
    <hyperlink ref="R2453" r:id="rId2423" display="http://www.imdb.com/title/tt0416044/?ref_=fn_tt_tt_1"/>
    <hyperlink ref="R2454" r:id="rId2424" display="http://www.imdb.com/title/tt1032755/?ref_=fn_tt_tt_1"/>
    <hyperlink ref="R2455" r:id="rId2425" display="http://www.imdb.com/title/tt0084316/?ref_=fn_tt_tt_1"/>
    <hyperlink ref="R2456" r:id="rId2426" display="http://www.imdb.com/title/tt0116477/?ref_=fn_tt_tt_1"/>
    <hyperlink ref="R2457" r:id="rId2427" display="http://www.imdb.com/title/tt1071812/?ref_=fn_tt_tt_1"/>
    <hyperlink ref="R2458" r:id="rId2428" display="http://www.imdb.com/title/tt2649554/?ref_=fn_tt_tt_1"/>
    <hyperlink ref="R2459" r:id="rId2429" display="http://www.imdb.com/title/tt0313792/?ref_=fn_tt_tt_1"/>
    <hyperlink ref="R2460" r:id="rId2430" display="http://www.imdb.com/title/tt2058107/?ref_=fn_tt_tt_1"/>
    <hyperlink ref="R2461" r:id="rId2431" display="http://www.imdb.com/title/tt1842530/?ref_=fn_tt_tt_1"/>
    <hyperlink ref="R2462" r:id="rId2432" display="http://www.imdb.com/title/tt1149362/?ref_=fn_tt_tt_1"/>
    <hyperlink ref="R2463" r:id="rId2433" display="http://www.imdb.com/title/tt4517738/?ref_=fn_tt_tt_1"/>
    <hyperlink ref="R2464" r:id="rId2434" display="http://www.imdb.com/title/tt0092240/?ref_=fn_tt_tt_1"/>
    <hyperlink ref="R2465" r:id="rId2435" display="http://www.imdb.com/title/tt0235737/?ref_=fn_tt_tt_1"/>
    <hyperlink ref="R2466" r:id="rId2436" display="http://www.imdb.com/title/tt2172935/?ref_=fn_tt_tt_1"/>
    <hyperlink ref="R2467" r:id="rId2437" display="http://www.imdb.com/title/tt0865554/?ref_=fn_tt_tt_1"/>
    <hyperlink ref="R2468" r:id="rId2438" display="http://www.imdb.com/title/tt1321865/?ref_=fn_tt_tt_1"/>
    <hyperlink ref="R2469" r:id="rId2439" display="http://www.imdb.com/title/tt1024744/?ref_=fn_tt_tt_1"/>
    <hyperlink ref="R2470" r:id="rId2440" display="http://www.imdb.com/title/tt0120775/?ref_=fn_tt_tt_1"/>
    <hyperlink ref="R2471" r:id="rId2441" display="http://www.imdb.com/title/tt0088993/?ref_=fn_tt_tt_1"/>
    <hyperlink ref="R2472" r:id="rId2442" display="http://www.imdb.com/title/tt3212232/?ref_=fn_tt_tt_1"/>
    <hyperlink ref="R2473" r:id="rId2443" display="http://www.imdb.com/title/tt0386741/?ref_=fn_tt_tt_1"/>
    <hyperlink ref="R2474" r:id="rId2053" display="http://www.imdb.com/title/tt2271563/?ref_=fn_tt_tt_1"/>
    <hyperlink ref="R2475" r:id="rId2444" display="http://www.imdb.com/title/tt0089893/?ref_=fn_tt_tt_1"/>
    <hyperlink ref="R2476" r:id="rId2445" display="http://www.imdb.com/title/tt1748179/?ref_=fn_tt_tt_1"/>
    <hyperlink ref="R2477" r:id="rId2446" display="http://www.imdb.com/title/tt0829482/?ref_=fn_tt_tt_1"/>
    <hyperlink ref="R2478" r:id="rId2447" display="http://www.imdb.com/title/tt1142800/?ref_=fn_tt_tt_1"/>
    <hyperlink ref="R2479" r:id="rId2448" display="http://www.imdb.com/title/tt1403241/?ref_=fn_tt_tt_1"/>
    <hyperlink ref="R2480" r:id="rId2449" display="http://www.imdb.com/title/tt1023481/?ref_=fn_tt_tt_1"/>
    <hyperlink ref="R2481" r:id="rId2450" display="http://www.imdb.com/title/tt0443536/?ref_=fn_tt_tt_1"/>
    <hyperlink ref="R2482" r:id="rId2451" display="http://www.imdb.com/title/tt0395169/?ref_=fn_tt_tt_1"/>
    <hyperlink ref="R2483" r:id="rId2452" display="http://www.imdb.com/title/tt0465494/?ref_=fn_tt_tt_1"/>
    <hyperlink ref="R2484" r:id="rId2453" display="http://www.imdb.com/title/tt1425922/?ref_=fn_tt_tt_1"/>
    <hyperlink ref="R2485" r:id="rId2454" display="http://www.imdb.com/title/tt1085492/?ref_=fn_tt_tt_1"/>
    <hyperlink ref="R2486" r:id="rId2455" display="http://www.imdb.com/title/tt0164003/?ref_=fn_tt_tt_1"/>
    <hyperlink ref="R2487" r:id="rId2456" display="http://www.imdb.com/title/tt0230600/?ref_=fn_tt_tt_1"/>
    <hyperlink ref="R2488" r:id="rId2457" display="http://www.imdb.com/title/tt0090605/?ref_=fn_tt_tt_1"/>
    <hyperlink ref="R2489" r:id="rId2458" display="http://www.imdb.com/title/tt0058385/?ref_=fn_tt_tt_1"/>
    <hyperlink ref="R2490" r:id="rId2459" display="http://www.imdb.com/title/tt0119345/?ref_=fn_tt_tt_1"/>
    <hyperlink ref="R2491" r:id="rId2460" display="http://www.imdb.com/title/tt1924435/?ref_=fn_tt_tt_1"/>
    <hyperlink ref="R2492" r:id="rId2461" display="http://www.imdb.com/title/tt0375063/?ref_=fn_tt_tt_1"/>
    <hyperlink ref="R2493" r:id="rId2462" display="http://www.imdb.com/title/tt0486551/?ref_=fn_tt_tt_1"/>
    <hyperlink ref="R2494" r:id="rId2463" display="http://www.imdb.com/title/tt0077651/?ref_=fn_tt_tt_1"/>
    <hyperlink ref="R2495" r:id="rId1163" display="http://www.imdb.com/title/tt0299977/?ref_=fn_tt_tt_1"/>
    <hyperlink ref="R2496" r:id="rId2464" display="http://www.imdb.com/title/tt0326900/?ref_=fn_tt_tt_1"/>
    <hyperlink ref="R2497" r:id="rId2465" display="http://www.imdb.com/title/tt2083355/?ref_=fn_tt_tt_1"/>
    <hyperlink ref="R2498" r:id="rId2466" display="http://www.imdb.com/title/tt0475394/?ref_=fn_tt_tt_1"/>
    <hyperlink ref="R2499" r:id="rId2467" display="http://www.imdb.com/title/tt1477076/?ref_=fn_tt_tt_1"/>
    <hyperlink ref="R2500" r:id="rId2468" display="http://www.imdb.com/title/tt0243736/?ref_=fn_tt_tt_1"/>
    <hyperlink ref="R2501" r:id="rId41" display="http://www.imdb.com/title/tt1104001/?ref_=fn_tt_tt_1"/>
    <hyperlink ref="R2502" r:id="rId2469" display="http://www.imdb.com/title/tt0120770/?ref_=fn_tt_tt_1"/>
    <hyperlink ref="R2503" r:id="rId2470" display="http://www.imdb.com/title/tt1152398/?ref_=fn_tt_tt_1"/>
    <hyperlink ref="R2504" r:id="rId2471" display="http://www.imdb.com/title/tt0454841/?ref_=fn_tt_tt_1"/>
    <hyperlink ref="R2505" r:id="rId2472" display="http://www.imdb.com/title/tt0325258/?ref_=fn_tt_tt_1"/>
    <hyperlink ref="R2506" r:id="rId2473" display="http://www.imdb.com/title/tt2097298/?ref_=fn_tt_tt_1"/>
    <hyperlink ref="R2507" r:id="rId2474" display="http://www.imdb.com/title/tt0979434/?ref_=fn_tt_tt_1"/>
    <hyperlink ref="R2508" r:id="rId2475" display="http://www.imdb.com/title/tt0466856/?ref_=fn_tt_tt_1"/>
    <hyperlink ref="R2509" r:id="rId2476" display="http://www.imdb.com/title/tt1981677/?ref_=fn_tt_tt_1"/>
    <hyperlink ref="R2510" r:id="rId2477" display="http://www.imdb.com/title/tt0234829/?ref_=fn_tt_tt_1"/>
    <hyperlink ref="R2511" r:id="rId2478" display="http://www.imdb.com/title/tt0120324/?ref_=fn_tt_tt_1"/>
    <hyperlink ref="R2512" r:id="rId2479" display="http://www.imdb.com/title/tt0283632/?ref_=fn_tt_tt_1"/>
    <hyperlink ref="R2513" r:id="rId2480" display="http://www.imdb.com/title/tt0462395/?ref_=fn_tt_tt_1"/>
    <hyperlink ref="R2514" r:id="rId2481" display="http://www.imdb.com/title/tt0159421/?ref_=fn_tt_tt_1"/>
    <hyperlink ref="R2515" r:id="rId2482" display="http://www.imdb.com/title/tt1210042/?ref_=fn_tt_tt_1"/>
    <hyperlink ref="R2516" r:id="rId2483" display="http://www.imdb.com/title/tt0056800/?ref_=fn_tt_tt_1"/>
    <hyperlink ref="R2517" r:id="rId2484" display="http://www.imdb.com/title/tt1288558/?ref_=fn_tt_tt_1"/>
    <hyperlink ref="R2518" r:id="rId2485" display="http://www.imdb.com/title/tt0865559/?ref_=fn_tt_tt_1"/>
    <hyperlink ref="R2519" r:id="rId2486" display="http://www.imdb.com/title/tt0465142/?ref_=fn_tt_tt_1"/>
    <hyperlink ref="R2520" r:id="rId2487" display="http://www.imdb.com/title/tt0094074/?ref_=fn_tt_tt_1"/>
    <hyperlink ref="R2521" r:id="rId2488" display="http://www.imdb.com/title/tt0770810/?ref_=fn_tt_tt_1"/>
    <hyperlink ref="R2522" r:id="rId2489" display="http://www.imdb.com/title/tt0404390/?ref_=fn_tt_tt_1"/>
    <hyperlink ref="R2523" r:id="rId2490" display="http://www.imdb.com/title/tt0375104/?ref_=fn_tt_tt_1"/>
    <hyperlink ref="R2524" r:id="rId2491" display="http://www.imdb.com/title/tt0091934/?ref_=fn_tt_tt_1"/>
    <hyperlink ref="R2525" r:id="rId2492" display="http://www.imdb.com/title/tt0443543/?ref_=fn_tt_tt_1"/>
    <hyperlink ref="R2526" r:id="rId2493" display="http://www.imdb.com/title/tt0083001/?ref_=fn_tt_tt_1"/>
    <hyperlink ref="R2527" r:id="rId2494" display="http://www.imdb.com/title/tt0312549/?ref_=fn_tt_tt_1"/>
    <hyperlink ref="R2528" r:id="rId2495" display="http://www.imdb.com/title/tt2515030/?ref_=fn_tt_tt_1"/>
    <hyperlink ref="R2529" r:id="rId2496" display="http://www.imdb.com/title/tt0405336/?ref_=fn_tt_tt_1"/>
    <hyperlink ref="R2530" r:id="rId2497" display="http://www.imdb.com/title/tt0944834/?ref_=fn_tt_tt_1"/>
    <hyperlink ref="R2531" r:id="rId2498" display="http://www.imdb.com/title/tt0075909/?ref_=fn_tt_tt_1"/>
    <hyperlink ref="R2532" r:id="rId2499" display="http://www.imdb.com/title/tt1433822/?ref_=fn_tt_tt_1"/>
    <hyperlink ref="R2533" r:id="rId2500" display="http://www.imdb.com/title/tt0102492/?ref_=fn_tt_tt_1"/>
    <hyperlink ref="R2534" r:id="rId2501" display="http://www.imdb.com/title/tt0422295/?ref_=fn_tt_tt_1"/>
    <hyperlink ref="R2535" r:id="rId2492" display="http://www.imdb.com/title/tt0443543/?ref_=fn_tt_tt_1"/>
    <hyperlink ref="R2536" r:id="rId2502" display="http://www.imdb.com/title/tt0094291/?ref_=fn_tt_tt_1"/>
    <hyperlink ref="R2537" r:id="rId2503" display="http://www.imdb.com/title/tt0114388/?ref_=fn_tt_tt_1"/>
    <hyperlink ref="R2538" r:id="rId2504" display="http://www.imdb.com/title/tt0416508/?ref_=fn_tt_tt_1"/>
    <hyperlink ref="R2539" r:id="rId2505" display="http://www.imdb.com/title/tt0815244/?ref_=fn_tt_tt_1"/>
    <hyperlink ref="R2540" r:id="rId2506" display="http://www.imdb.com/title/tt0315983/?ref_=fn_tt_tt_1"/>
    <hyperlink ref="R2541" r:id="rId2507" display="http://www.imdb.com/title/tt0097165/?ref_=fn_tt_tt_1"/>
    <hyperlink ref="R2542" r:id="rId2508" display="http://www.imdb.com/title/tt0109686/?ref_=fn_tt_tt_1"/>
    <hyperlink ref="R2543" r:id="rId2509" display="http://www.imdb.com/title/tt0098635/?ref_=fn_tt_tt_1"/>
    <hyperlink ref="R2544" r:id="rId2510" display="http://www.imdb.com/title/tt0084855/?ref_=fn_tt_tt_1"/>
    <hyperlink ref="R2545" r:id="rId2511" display="http://www.imdb.com/title/tt0215129/?ref_=fn_tt_tt_1"/>
    <hyperlink ref="R2546" r:id="rId2512" display="http://www.imdb.com/title/tt0139699/?ref_=fn_tt_tt_1"/>
    <hyperlink ref="R2547" r:id="rId2513" display="http://www.imdb.com/title/tt1655442/?ref_=fn_tt_tt_1"/>
    <hyperlink ref="R2548" r:id="rId2514" display="http://www.imdb.com/title/tt1139668/?ref_=fn_tt_tt_1"/>
    <hyperlink ref="R2549" r:id="rId2515" display="http://www.imdb.com/title/tt1748122/?ref_=fn_tt_tt_1"/>
    <hyperlink ref="R2550" r:id="rId2516" display="http://www.imdb.com/title/tt0420294/?ref_=fn_tt_tt_1"/>
    <hyperlink ref="R2551" r:id="rId2517" display="http://www.imdb.com/title/tt1002563/?ref_=fn_tt_tt_1"/>
    <hyperlink ref="R2552" r:id="rId2518" display="http://www.imdb.com/title/tt0295427/?ref_=fn_tt_tt_1"/>
    <hyperlink ref="R2553" r:id="rId2519" display="http://www.imdb.com/title/tt0457430/?ref_=fn_tt_tt_1"/>
    <hyperlink ref="R2554" r:id="rId2520" display="http://www.imdb.com/title/tt3513704/?ref_=fn_tt_tt_1"/>
    <hyperlink ref="R2555" r:id="rId2521" display="http://www.imdb.com/title/tt0250720/?ref_=fn_tt_tt_1"/>
    <hyperlink ref="R2556" r:id="rId2522" display="http://www.imdb.com/title/tt0255819/?ref_=fn_tt_tt_1"/>
    <hyperlink ref="R2557" r:id="rId2523" display="http://www.imdb.com/title/tt1265990/?ref_=fn_tt_tt_1"/>
    <hyperlink ref="R2558" r:id="rId2524" display="http://www.imdb.com/title/tt0245686/?ref_=fn_tt_tt_1"/>
    <hyperlink ref="R2559" r:id="rId2525" display="http://www.imdb.com/title/tt0101764/?ref_=fn_tt_tt_1"/>
    <hyperlink ref="R2560" r:id="rId2526" display="http://www.imdb.com/title/tt0425112/?ref_=fn_tt_tt_1"/>
    <hyperlink ref="R2561" r:id="rId2527" display="http://www.imdb.com/title/tt0430770/?ref_=fn_tt_tt_1"/>
    <hyperlink ref="R2562" r:id="rId2528" display="http://www.imdb.com/title/tt0497465/?ref_=fn_tt_tt_1"/>
    <hyperlink ref="R2563" r:id="rId2529" display="http://www.imdb.com/title/tt0837106/?ref_=fn_tt_tt_1"/>
    <hyperlink ref="R2564" r:id="rId2157" display="http://www.imdb.com/title/tt4651520/?ref_=fn_tt_tt_1"/>
    <hyperlink ref="R2565" r:id="rId2530" display="http://www.imdb.com/title/tt0204175/?ref_=fn_tt_tt_1"/>
    <hyperlink ref="R2566" r:id="rId2531" display="http://www.imdb.com/title/tt0283139/?ref_=fn_tt_tt_1"/>
    <hyperlink ref="R2567" r:id="rId2532" display="http://www.imdb.com/title/tt1131734/?ref_=fn_tt_tt_1"/>
    <hyperlink ref="R2568" r:id="rId2533" display="http://www.imdb.com/title/tt0186045/?ref_=fn_tt_tt_1"/>
    <hyperlink ref="R2569" r:id="rId2534" display="http://www.imdb.com/title/tt0093818/?ref_=fn_tt_tt_1"/>
    <hyperlink ref="R2570" r:id="rId2372" display="http://www.imdb.com/title/tt2467046/?ref_=fn_tt_tt_1"/>
    <hyperlink ref="R2571" r:id="rId2535" display="http://www.imdb.com/title/tt1403981/?ref_=fn_tt_tt_1"/>
    <hyperlink ref="R2572" r:id="rId2536" display="http://www.imdb.com/title/tt0319524/?ref_=fn_tt_tt_1"/>
    <hyperlink ref="R2573" r:id="rId2537" display="http://www.imdb.com/title/tt0095687/?ref_=fn_tt_tt_1"/>
    <hyperlink ref="R2574" r:id="rId2538" display="http://www.imdb.com/title/tt0107818/?ref_=fn_tt_tt_1"/>
    <hyperlink ref="R2575" r:id="rId2539" display="http://www.imdb.com/title/tt0139809/?ref_=fn_tt_tt_1"/>
    <hyperlink ref="R2576" r:id="rId2540" display="http://www.imdb.com/title/tt0380277/?ref_=fn_tt_tt_1"/>
    <hyperlink ref="R2577" r:id="rId2541" display="http://www.imdb.com/title/tt0079550/?ref_=fn_tt_tt_1"/>
    <hyperlink ref="R2578" r:id="rId2542" display="http://www.imdb.com/title/tt0134630/?ref_=fn_tt_tt_1"/>
    <hyperlink ref="R2579" r:id="rId2543" display="http://www.imdb.com/title/tt0278823/?ref_=fn_tt_tt_1"/>
    <hyperlink ref="R2580" r:id="rId2544" display="http://www.imdb.com/title/tt0165710/?ref_=fn_tt_tt_1"/>
    <hyperlink ref="R2581" r:id="rId2545" display="http://www.imdb.com/title/tt0091203/?ref_=fn_tt_tt_1"/>
    <hyperlink ref="R2582" r:id="rId2546" display="http://www.imdb.com/title/tt0469623/?ref_=fn_tt_tt_1"/>
    <hyperlink ref="R2583" r:id="rId2547" display="http://www.imdb.com/title/tt0120207/?ref_=fn_tt_tt_1"/>
    <hyperlink ref="R2584" r:id="rId2548" display="http://www.imdb.com/title/tt1951181/?ref_=fn_tt_tt_1"/>
    <hyperlink ref="R2585" r:id="rId2549" display="http://www.imdb.com/title/tt0384686/?ref_=fn_tt_tt_1"/>
    <hyperlink ref="R2586" r:id="rId2550" display="http://www.imdb.com/title/tt1924429/?ref_=fn_tt_tt_1"/>
    <hyperlink ref="R2587" r:id="rId2551" display="http://www.imdb.com/title/tt0367085/?ref_=fn_tt_tt_1"/>
    <hyperlink ref="R2588" r:id="rId2552" display="http://www.imdb.com/title/tt1064932/?ref_=fn_tt_tt_1"/>
    <hyperlink ref="R2589" r:id="rId2553" display="http://www.imdb.com/title/tt0436364/?ref_=fn_tt_tt_1"/>
    <hyperlink ref="R2590" r:id="rId2554" display="http://www.imdb.com/title/tt1191111/?ref_=fn_tt_tt_1"/>
    <hyperlink ref="R2591" r:id="rId2555" display="http://www.imdb.com/title/tt1545106/?ref_=fn_tt_tt_1"/>
    <hyperlink ref="R2592" r:id="rId2556" display="http://www.imdb.com/title/tt1028532/?ref_=fn_tt_tt_1"/>
    <hyperlink ref="R2593" r:id="rId2557" display="http://www.imdb.com/title/tt2249221/?ref_=fn_tt_tt_1"/>
    <hyperlink ref="R2594" r:id="rId2558" display="http://www.imdb.com/title/tt2398231/?ref_=fn_tt_tt_1"/>
    <hyperlink ref="R2595" r:id="rId2559" display="http://www.imdb.com/title/tt0247444/?ref_=fn_tt_tt_1"/>
    <hyperlink ref="R2596" r:id="rId2560" display="http://www.imdb.com/title/tt1958961/?ref_=fn_tt_tt_1"/>
    <hyperlink ref="R2597" r:id="rId2561" display="http://www.imdb.com/title/tt0273435/?ref_=fn_tt_tt_1"/>
    <hyperlink ref="R2598" r:id="rId2562" display="http://www.imdb.com/title/tt0206113/?ref_=fn_tt_tt_1"/>
    <hyperlink ref="R2599" r:id="rId2563" display="http://www.imdb.com/title/tt0376196/?ref_=fn_tt_tt_1"/>
    <hyperlink ref="R2600" r:id="rId2564" display="http://www.imdb.com/title/tt0281364/?ref_=fn_tt_tt_1"/>
    <hyperlink ref="R2601" r:id="rId2565" display="http://www.imdb.com/title/tt0439815/?ref_=fn_tt_tt_1"/>
    <hyperlink ref="R2602" r:id="rId2566" display="http://www.imdb.com/title/tt0086960/?ref_=fn_tt_tt_1"/>
    <hyperlink ref="R2603" r:id="rId2567" display="http://www.imdb.com/title/tt0099785/?ref_=fn_tt_tt_1"/>
    <hyperlink ref="R2604" r:id="rId2568" display="http://www.imdb.com/title/tt0094137/?ref_=fn_tt_tt_1"/>
    <hyperlink ref="R2605" r:id="rId2569" display="http://www.imdb.com/title/tt0084805/?ref_=fn_tt_tt_1"/>
    <hyperlink ref="R2606" r:id="rId2570" display="http://www.imdb.com/title/tt0092099/?ref_=fn_tt_tt_1"/>
    <hyperlink ref="R2607" r:id="rId2571" display="http://www.imdb.com/title/tt0190332/?ref_=fn_tt_tt_1"/>
    <hyperlink ref="R2608" r:id="rId2572" display="http://www.imdb.com/title/tt0169547/?ref_=fn_tt_tt_1"/>
    <hyperlink ref="R2609" r:id="rId2573" display="http://www.imdb.com/title/tt1504320/?ref_=fn_tt_tt_1"/>
    <hyperlink ref="R2610" r:id="rId2574" display="http://www.imdb.com/title/tt0096320/?ref_=fn_tt_tt_1"/>
    <hyperlink ref="R2611" r:id="rId2575" display="http://www.imdb.com/title/tt3921180/?ref_=fn_tt_tt_1"/>
    <hyperlink ref="R2612" r:id="rId2576" display="http://www.imdb.com/title/tt0954990/?ref_=fn_tt_tt_1"/>
    <hyperlink ref="R2613" r:id="rId2577" display="http://www.imdb.com/title/tt0088939/?ref_=fn_tt_tt_1"/>
    <hyperlink ref="R2614" r:id="rId2578" display="http://www.imdb.com/title/tt1153040/?ref_=fn_tt_tt_1"/>
    <hyperlink ref="R2615" r:id="rId364" display="http://www.imdb.com/title/tt2638144/?ref_=fn_tt_tt_1"/>
    <hyperlink ref="R2616" r:id="rId2579" display="http://www.imdb.com/title/tt2084970/?ref_=fn_tt_tt_1"/>
    <hyperlink ref="R2617" r:id="rId2580" display="http://www.imdb.com/title/tt0081375/?ref_=fn_tt_tt_1"/>
    <hyperlink ref="R2618" r:id="rId2581" display="http://www.imdb.com/title/tt0080549/?ref_=fn_tt_tt_1"/>
    <hyperlink ref="R2619" r:id="rId2582" display="http://www.imdb.com/title/tt1196141/?ref_=fn_tt_tt_1"/>
    <hyperlink ref="R2620" r:id="rId2583" display="http://www.imdb.com/title/tt2023587/?ref_=fn_tt_tt_1"/>
    <hyperlink ref="R2621" r:id="rId2463" display="http://www.imdb.com/title/tt0077651/?ref_=fn_tt_tt_1"/>
    <hyperlink ref="R2622" r:id="rId2584" display="http://www.imdb.com/title/tt0085995/?ref_=fn_tt_tt_1"/>
    <hyperlink ref="R2623" r:id="rId2585" display="http://www.imdb.com/title/tt3063516/?ref_=fn_tt_tt_1"/>
    <hyperlink ref="R2624" r:id="rId2586" display="http://www.imdb.com/title/tt0436697/?ref_=fn_tt_tt_1"/>
    <hyperlink ref="R2625" r:id="rId2587" display="http://www.imdb.com/title/tt0094721/?ref_=fn_tt_tt_1"/>
    <hyperlink ref="R2626" r:id="rId2588" display="http://www.imdb.com/title/tt0906108/?ref_=fn_tt_tt_1"/>
    <hyperlink ref="R2627" r:id="rId2589" display="http://www.imdb.com/title/tt0110367/?ref_=fn_tt_tt_1"/>
    <hyperlink ref="R2628" r:id="rId2590" display="http://www.imdb.com/title/tt1596365/?ref_=fn_tt_tt_1"/>
    <hyperlink ref="R2629" r:id="rId2591" display="http://www.imdb.com/title/tt0455857/?ref_=fn_tt_tt_1"/>
    <hyperlink ref="R2630" r:id="rId2592" display="http://www.imdb.com/title/tt0265298/?ref_=fn_tt_tt_1"/>
    <hyperlink ref="R2631" r:id="rId2593" display="http://www.imdb.com/title/tt0077416/?ref_=fn_tt_tt_1"/>
    <hyperlink ref="R2632" r:id="rId2594" display="http://www.imdb.com/title/tt0120885/?ref_=fn_tt_tt_1"/>
    <hyperlink ref="R2633" r:id="rId2595" display="http://www.imdb.com/title/tt0306841/?ref_=fn_tt_tt_1"/>
    <hyperlink ref="R2634" r:id="rId2596" display="http://www.imdb.com/title/tt0882977/?ref_=fn_tt_tt_1"/>
    <hyperlink ref="R2635" r:id="rId2597" display="http://www.imdb.com/title/tt3850590/?ref_=fn_tt_tt_1"/>
    <hyperlink ref="R2636" r:id="rId2598" display="http://www.imdb.com/title/tt0133751/?ref_=fn_tt_tt_1"/>
    <hyperlink ref="R2637" r:id="rId2599" display="http://www.imdb.com/title/tt0108551/?ref_=fn_tt_tt_1"/>
    <hyperlink ref="R2638" r:id="rId2600" display="http://www.imdb.com/title/tt0118887/?ref_=fn_tt_tt_1"/>
    <hyperlink ref="R2639" r:id="rId2601" display="http://www.imdb.com/title/tt0277371/?ref_=fn_tt_tt_1"/>
    <hyperlink ref="R2640" r:id="rId2602" display="http://www.imdb.com/title/tt1855199/?ref_=fn_tt_tt_1"/>
    <hyperlink ref="R2641" r:id="rId1378" display="http://www.imdb.com/title/tt1243974/?ref_=fn_tt_tt_1"/>
    <hyperlink ref="R2642" r:id="rId2603" display="http://www.imdb.com/title/tt0192614/?ref_=fn_tt_tt_1"/>
    <hyperlink ref="R2643" r:id="rId2604" display="http://www.imdb.com/title/tt2980516/?ref_=fn_tt_tt_1"/>
    <hyperlink ref="R2644" r:id="rId2605" display="http://www.imdb.com/title/tt0328099/?ref_=fn_tt_tt_1"/>
    <hyperlink ref="R2645" r:id="rId2606" display="http://www.imdb.com/title/tt0198021/?ref_=fn_tt_tt_1"/>
    <hyperlink ref="R2646" r:id="rId2607" display="http://www.imdb.com/title/tt0056172/?ref_=fn_tt_tt_1"/>
    <hyperlink ref="R2647" r:id="rId2608" display="http://www.imdb.com/title/tt1311067/?ref_=fn_tt_tt_1"/>
    <hyperlink ref="R2648" r:id="rId2609" display="http://www.imdb.com/title/tt2305051/?ref_=fn_tt_tt_1"/>
    <hyperlink ref="R2649" r:id="rId2610" display="http://www.imdb.com/title/tt0844708/?ref_=fn_tt_tt_1"/>
    <hyperlink ref="R2650" r:id="rId2611" display="http://www.imdb.com/title/tt0372532/?ref_=fn_tt_tt_1"/>
    <hyperlink ref="R2651" r:id="rId2612" display="http://www.imdb.com/title/tt0220506/?ref_=fn_tt_tt_1"/>
    <hyperlink ref="R2652" r:id="rId211" display="http://www.imdb.com/title/tt0800320/?ref_=fn_tt_tt_1"/>
    <hyperlink ref="R2653" r:id="rId2613" display="http://www.imdb.com/title/tt0093779/?ref_=fn_tt_tt_1"/>
    <hyperlink ref="R2654" r:id="rId2614" display="http://www.imdb.com/title/tt0427309/?ref_=fn_tt_tt_1"/>
    <hyperlink ref="R2655" r:id="rId2615" display="http://www.imdb.com/title/tt0780504/?ref_=fn_tt_tt_1"/>
    <hyperlink ref="R2656" r:id="rId2616" display="http://www.imdb.com/title/tt0361467/?ref_=fn_tt_tt_1"/>
    <hyperlink ref="R2657" r:id="rId2617" display="http://www.imdb.com/title/tt0120772/?ref_=fn_tt_tt_1"/>
    <hyperlink ref="R2658" r:id="rId2618" display="http://www.imdb.com/title/tt0463854/?ref_=fn_tt_tt_1"/>
    <hyperlink ref="R2659" r:id="rId2619" display="http://www.imdb.com/title/tt2247476/?ref_=fn_tt_tt_1"/>
    <hyperlink ref="R2660" r:id="rId2620" display="http://www.imdb.com/title/tt0317132/?ref_=fn_tt_tt_1"/>
    <hyperlink ref="R2661" r:id="rId2621" display="http://www.imdb.com/title/tt0199725/?ref_=fn_tt_tt_1"/>
    <hyperlink ref="R2662" r:id="rId2622" display="http://www.imdb.com/title/tt0119229/?ref_=fn_tt_tt_1"/>
    <hyperlink ref="R2663" r:id="rId2623" display="http://www.imdb.com/title/tt0881891/?ref_=fn_tt_tt_1"/>
    <hyperlink ref="R2664" r:id="rId2624" display="http://www.imdb.com/title/tt0229260/?ref_=fn_tt_tt_1"/>
    <hyperlink ref="R2665" r:id="rId2625" display="http://www.imdb.com/title/tt0115963/?ref_=fn_tt_tt_1"/>
    <hyperlink ref="R2666" r:id="rId2626" display="http://www.imdb.com/title/tt0416320/?ref_=fn_tt_tt_1"/>
    <hyperlink ref="R2667" r:id="rId2627" display="http://www.imdb.com/title/tt0493949/?ref_=fn_tt_tt_1"/>
    <hyperlink ref="R2668" r:id="rId2628" display="http://www.imdb.com/title/tt0107943/?ref_=fn_tt_tt_1"/>
    <hyperlink ref="R2669" r:id="rId2629" display="http://www.imdb.com/title/tt0118749/?ref_=fn_tt_tt_1"/>
    <hyperlink ref="R2670" r:id="rId2630" display="http://www.imdb.com/title/tt0107711/?ref_=fn_tt_tt_1"/>
    <hyperlink ref="R2671" r:id="rId2631" display="http://www.imdb.com/title/tt0434215/?ref_=fn_tt_tt_1"/>
    <hyperlink ref="R2672" r:id="rId2632" display="http://www.imdb.com/title/tt0800069/?ref_=fn_tt_tt_1"/>
    <hyperlink ref="R2673" r:id="rId2633" display="http://www.imdb.com/title/tt0192731/?ref_=fn_tt_tt_1"/>
    <hyperlink ref="R2674" r:id="rId2634" display="http://www.imdb.com/title/tt0283084/?ref_=fn_tt_tt_1"/>
    <hyperlink ref="R2675" r:id="rId2635" display="http://www.imdb.com/title/tt0419946/?ref_=fn_tt_tt_1"/>
    <hyperlink ref="R2676" r:id="rId2636" display="http://www.imdb.com/title/tt4139124/?ref_=fn_tt_tt_1"/>
    <hyperlink ref="R2677" r:id="rId2637" display="http://www.imdb.com/title/tt1555064/?ref_=fn_tt_tt_1"/>
    <hyperlink ref="R2678" r:id="rId2638" display="http://www.imdb.com/title/tt0134619/?ref_=fn_tt_tt_1"/>
    <hyperlink ref="R2679" r:id="rId2639" display="http://www.imdb.com/title/tt1817273/?ref_=fn_tt_tt_1"/>
    <hyperlink ref="R2680" r:id="rId2640" display="http://www.imdb.com/title/tt2402157/?ref_=fn_tt_tt_1"/>
    <hyperlink ref="R2681" r:id="rId2641" display="http://www.imdb.com/title/tt0120662/?ref_=fn_tt_tt_1"/>
    <hyperlink ref="R2682" r:id="rId2642" display="http://www.imdb.com/title/tt0887912/?ref_=fn_tt_tt_1"/>
    <hyperlink ref="R2683" r:id="rId2643" display="http://www.imdb.com/title/tt0087262/?ref_=fn_tt_tt_1"/>
    <hyperlink ref="R2684" r:id="rId2644" display="http://www.imdb.com/title/tt1764234/?ref_=fn_tt_tt_1"/>
    <hyperlink ref="R2685" r:id="rId2645" display="http://www.imdb.com/title/tt1972571/?ref_=fn_tt_tt_1"/>
    <hyperlink ref="R2686" r:id="rId2646" display="http://www.imdb.com/title/tt0240515/?ref_=fn_tt_tt_1"/>
    <hyperlink ref="R2687" r:id="rId2647" display="http://www.imdb.com/title/tt0475998/?ref_=fn_tt_tt_1"/>
    <hyperlink ref="R2688" r:id="rId2648" display="http://www.imdb.com/title/tt0892375/?ref_=fn_tt_tt_1"/>
    <hyperlink ref="R2689" r:id="rId2649" display="http://www.imdb.com/title/tt0144964/?ref_=fn_tt_tt_1"/>
    <hyperlink ref="R2690" r:id="rId2650" display="http://www.imdb.com/title/tt0417225/?ref_=fn_tt_tt_1"/>
    <hyperlink ref="R2691" r:id="rId2651" display="http://www.imdb.com/title/tt1563738/?ref_=fn_tt_tt_1"/>
    <hyperlink ref="R2692" r:id="rId2652" display="http://www.imdb.com/title/tt1172233/?ref_=fn_tt_tt_1"/>
    <hyperlink ref="R2693" r:id="rId2653" display="http://www.imdb.com/title/tt0211465/?ref_=fn_tt_tt_1"/>
    <hyperlink ref="R2694" r:id="rId2654" display="http://www.imdb.com/title/tt0310910/?ref_=fn_tt_tt_1"/>
    <hyperlink ref="R2695" r:id="rId2655" display="http://www.imdb.com/title/tt0164108/?ref_=fn_tt_tt_1"/>
    <hyperlink ref="R2696" r:id="rId2656" display="http://www.imdb.com/title/tt0352277/?ref_=fn_tt_tt_1"/>
    <hyperlink ref="R2697" r:id="rId2657" display="http://www.imdb.com/title/tt0097965/?ref_=fn_tt_tt_1"/>
    <hyperlink ref="R2698" r:id="rId2658" display="http://www.imdb.com/title/tt0120598/?ref_=fn_tt_tt_1"/>
    <hyperlink ref="R2699" r:id="rId2659" display="http://www.imdb.com/title/tt1258972/?ref_=fn_tt_tt_1"/>
    <hyperlink ref="R2700" r:id="rId2660" display="http://www.imdb.com/title/tt0119304/?ref_=fn_tt_tt_1"/>
    <hyperlink ref="R2701" r:id="rId2661" display="http://www.imdb.com/title/tt0195778/?ref_=fn_tt_tt_1"/>
    <hyperlink ref="R2702" r:id="rId2662" display="http://www.imdb.com/title/tt0088846/?ref_=fn_tt_tt_1"/>
    <hyperlink ref="R2703" r:id="rId2663" display="http://www.imdb.com/title/tt0361696/?ref_=fn_tt_tt_1"/>
    <hyperlink ref="R2704" r:id="rId2664" display="http://www.imdb.com/title/tt0281432/?ref_=fn_tt_tt_1"/>
    <hyperlink ref="R2705" r:id="rId2665" display="http://www.imdb.com/title/tt0118715/?ref_=fn_tt_tt_1"/>
    <hyperlink ref="R2706" r:id="rId2666" display="http://www.imdb.com/title/tt0462200/?ref_=fn_tt_tt_1"/>
    <hyperlink ref="R2707" r:id="rId2667" display="http://www.imdb.com/title/tt0279331/?ref_=fn_tt_tt_1"/>
    <hyperlink ref="R2708" r:id="rId2668" display="http://www.imdb.com/title/tt0829459/?ref_=fn_tt_tt_1"/>
    <hyperlink ref="R2709" r:id="rId2669" display="http://www.imdb.com/title/tt0202402/?ref_=fn_tt_tt_1"/>
    <hyperlink ref="R2710" r:id="rId2670" display="http://www.imdb.com/title/tt0285462/?ref_=fn_tt_tt_1"/>
    <hyperlink ref="R2711" r:id="rId2671" display="http://www.imdb.com/title/tt0278500/?ref_=fn_tt_tt_1"/>
    <hyperlink ref="R2712" r:id="rId2672" display="http://www.imdb.com/title/tt0140340/?ref_=fn_tt_tt_1"/>
    <hyperlink ref="R2713" r:id="rId2673" display="http://www.imdb.com/title/tt0453494/?ref_=fn_tt_tt_1"/>
    <hyperlink ref="R2714" r:id="rId2674" display="http://www.imdb.com/title/tt0780536/?ref_=fn_tt_tt_1"/>
    <hyperlink ref="R2715" r:id="rId2675" display="http://www.imdb.com/title/tt1699755/?ref_=fn_tt_tt_1"/>
    <hyperlink ref="R2716" r:id="rId2676" display="http://www.imdb.com/title/tt1031969/?ref_=fn_tt_tt_1"/>
    <hyperlink ref="R2717" r:id="rId2677" display="http://www.imdb.com/title/tt1142433/?ref_=fn_tt_tt_1"/>
    <hyperlink ref="R2718" r:id="rId2678" display="http://www.imdb.com/title/tt2091473/?ref_=fn_tt_tt_1"/>
    <hyperlink ref="R2719" r:id="rId2679" display="http://www.imdb.com/title/tt1178663/?ref_=fn_tt_tt_1"/>
    <hyperlink ref="R2720" r:id="rId2680" display="http://www.imdb.com/title/tt0163676/?ref_=fn_tt_tt_1"/>
    <hyperlink ref="R2721" r:id="rId2681" display="http://www.imdb.com/title/tt0419294/?ref_=fn_tt_tt_1"/>
    <hyperlink ref="R2722" r:id="rId2682" display="http://www.imdb.com/title/tt0120716/?ref_=fn_tt_tt_1"/>
    <hyperlink ref="R2723" r:id="rId2683" display="http://www.imdb.com/title/tt0373469/?ref_=fn_tt_tt_1"/>
    <hyperlink ref="R2724" r:id="rId2684" display="http://www.imdb.com/title/tt0138510/?ref_=fn_tt_tt_1"/>
    <hyperlink ref="R2725" r:id="rId2685" display="http://www.imdb.com/title/tt0166924/?ref_=fn_tt_tt_1"/>
    <hyperlink ref="R2726" r:id="rId2686" display="http://www.imdb.com/title/tt0397044/?ref_=fn_tt_tt_1"/>
    <hyperlink ref="R2727" r:id="rId2687" display="http://www.imdb.com/title/tt1182350/?ref_=fn_tt_tt_1"/>
    <hyperlink ref="R2728" r:id="rId2688" display="http://www.imdb.com/title/tt1334260/?ref_=fn_tt_tt_1"/>
    <hyperlink ref="R2729" r:id="rId2689" display="http://www.imdb.com/title/tt0488352/?ref_=fn_tt_tt_1"/>
    <hyperlink ref="R2730" r:id="rId2690" display="http://www.imdb.com/title/tt0800241/?ref_=fn_tt_tt_1"/>
    <hyperlink ref="R2731" r:id="rId2691" display="http://www.imdb.com/title/tt0090848/?ref_=fn_tt_tt_1"/>
    <hyperlink ref="R2732" r:id="rId2692" display="http://www.imdb.com/title/tt0142201/?ref_=fn_tt_tt_1"/>
    <hyperlink ref="R2733" r:id="rId2693" display="http://www.imdb.com/title/tt0808279/?ref_=fn_tt_tt_1"/>
    <hyperlink ref="R2734" r:id="rId2694" display="http://www.imdb.com/title/tt3153582/?ref_=fn_tt_tt_1"/>
    <hyperlink ref="R2735" r:id="rId2695" display="http://www.imdb.com/title/tt0165773/?ref_=fn_tt_tt_1"/>
    <hyperlink ref="R2736" r:id="rId2696" display="http://www.imdb.com/title/tt0017136/?ref_=fn_tt_tt_1"/>
    <hyperlink ref="R2737" r:id="rId2697" display="http://www.imdb.com/title/tt0414852/?ref_=fn_tt_tt_1"/>
    <hyperlink ref="R2738" r:id="rId2698" display="http://www.imdb.com/title/tt0114660/?ref_=fn_tt_tt_1"/>
    <hyperlink ref="R2739" r:id="rId2699" display="http://www.imdb.com/title/tt3508840/?ref_=fn_tt_tt_1"/>
    <hyperlink ref="R2740" r:id="rId2700" display="http://www.imdb.com/title/tt0252299/?ref_=fn_tt_tt_1"/>
    <hyperlink ref="R2741" r:id="rId2701" display="http://www.imdb.com/title/tt0376968/?ref_=fn_tt_tt_1"/>
    <hyperlink ref="R2742" r:id="rId2702" display="http://www.imdb.com/title/tt0785035/?ref_=fn_tt_tt_1"/>
    <hyperlink ref="R2743" r:id="rId2703" display="http://www.imdb.com/title/tt1020558/?ref_=fn_tt_tt_1"/>
    <hyperlink ref="R2744" r:id="rId2704" display="http://www.imdb.com/title/tt0117653/?ref_=fn_tt_tt_1"/>
    <hyperlink ref="R2745" r:id="rId2705" display="http://www.imdb.com/title/tt0805570/?ref_=fn_tt_tt_1"/>
    <hyperlink ref="R2746" r:id="rId2706" display="http://www.imdb.com/title/tt1551641/?ref_=fn_tt_tt_1"/>
    <hyperlink ref="R2747" r:id="rId2707" display="http://www.imdb.com/title/tt1535612/?ref_=fn_tt_tt_1"/>
    <hyperlink ref="R2748" r:id="rId2708" display="http://www.imdb.com/title/tt0252223/?ref_=fn_tt_tt_1"/>
    <hyperlink ref="R2749" r:id="rId2709" display="http://www.imdb.com/title/tt0484111/?ref_=fn_tt_tt_1"/>
    <hyperlink ref="R2750" r:id="rId2710" display="http://www.imdb.com/title/tt0469640/?ref_=fn_tt_tt_1"/>
    <hyperlink ref="R2751" r:id="rId2711" display="http://www.imdb.com/title/tt1487931/?ref_=fn_tt_tt_1"/>
    <hyperlink ref="R2752" r:id="rId2712" display="http://www.imdb.com/title/tt1971325/?ref_=fn_tt_tt_1"/>
    <hyperlink ref="R2753" r:id="rId2713" display="http://www.imdb.com/title/tt0406728/?ref_=fn_tt_tt_1"/>
    <hyperlink ref="R2754" r:id="rId2714" display="http://www.imdb.com/title/tt3856124/?ref_=fn_tt_tt_1"/>
    <hyperlink ref="R2755" r:id="rId2715" display="http://www.imdb.com/title/tt1075419/?ref_=fn_tt_tt_1"/>
    <hyperlink ref="R2756" r:id="rId2716" display="http://www.imdb.com/title/tt0210217/?ref_=fn_tt_tt_1"/>
    <hyperlink ref="R2757" r:id="rId2717" display="http://www.imdb.com/title/tt0107048/?ref_=fn_tt_tt_1"/>
    <hyperlink ref="R2758" r:id="rId2718" display="http://www.imdb.com/title/tt2268016/?ref_=fn_tt_tt_1"/>
    <hyperlink ref="R2759" r:id="rId2719" display="http://www.imdb.com/title/tt0117509/?ref_=fn_tt_tt_1"/>
    <hyperlink ref="R2760" r:id="rId2720" display="http://www.imdb.com/title/tt1668200/?ref_=fn_tt_tt_1"/>
    <hyperlink ref="R2761" r:id="rId2721" display="http://www.imdb.com/title/tt2584018/?ref_=fn_tt_tt_1"/>
    <hyperlink ref="R2762" r:id="rId2722" display="http://www.imdb.com/title/tt0105695/?ref_=fn_tt_tt_1"/>
    <hyperlink ref="R2763" r:id="rId2723" display="http://www.imdb.com/title/tt0342735/?ref_=fn_tt_tt_1"/>
    <hyperlink ref="R2764" r:id="rId2724" display="http://www.imdb.com/title/tt1010048/?ref_=fn_tt_tt_1"/>
    <hyperlink ref="R2765" r:id="rId2725" display="http://www.imdb.com/title/tt0093010/?ref_=fn_tt_tt_1"/>
    <hyperlink ref="R2766" r:id="rId2726" display="http://www.imdb.com/title/tt0100405/?ref_=fn_tt_tt_1"/>
    <hyperlink ref="R2767" r:id="rId2727" display="http://www.imdb.com/title/tt0691996/?ref_=fn_tt_tt_1"/>
    <hyperlink ref="R2768" r:id="rId2728" display="http://www.imdb.com/title/tt0092493/?ref_=fn_tt_tt_1"/>
    <hyperlink ref="R2769" r:id="rId2729" display="http://www.imdb.com/title/tt2503954/?ref_=fn_tt_tt_1"/>
    <hyperlink ref="R2770" r:id="rId2730" display="http://www.imdb.com/title/tt0096969/?ref_=fn_tt_tt_1"/>
    <hyperlink ref="R2771" r:id="rId2731" display="http://www.imdb.com/title/tt0106611/?ref_=fn_tt_tt_1"/>
    <hyperlink ref="R2772" r:id="rId2732" display="http://www.imdb.com/title/tt1179891/?ref_=fn_tt_tt_1"/>
    <hyperlink ref="R2773" r:id="rId1969" display="http://www.imdb.com/title/tt0431021/?ref_=fn_tt_tt_1"/>
    <hyperlink ref="R2774" r:id="rId1053" display="http://www.imdb.com/title/tt0083944/?ref_=fn_tt_tt_1"/>
    <hyperlink ref="R2775" r:id="rId2733" display="http://www.imdb.com/title/tt0775539/?ref_=fn_tt_tt_1"/>
    <hyperlink ref="R2776" r:id="rId2734" display="http://www.imdb.com/title/tt0076752/?ref_=fn_tt_tt_1"/>
    <hyperlink ref="R2777" r:id="rId2735" display="http://www.imdb.com/title/tt0426697/?ref_=fn_tt_tt_1"/>
    <hyperlink ref="R2778" r:id="rId2736" display="http://www.imdb.com/title/tt0146336/?ref_=fn_tt_tt_1"/>
    <hyperlink ref="R2779" r:id="rId2000" display="http://www.imdb.com/title/tt0094947/?ref_=fn_tt_tt_1"/>
    <hyperlink ref="R2780" r:id="rId2737" display="http://www.imdb.com/title/tt1885265/?ref_=fn_tt_tt_1"/>
    <hyperlink ref="R2781" r:id="rId2738" display="http://www.imdb.com/title/tt0103247/?ref_=fn_tt_tt_1"/>
    <hyperlink ref="R2782" r:id="rId2739" display="http://www.imdb.com/title/tt0167427/?ref_=fn_tt_tt_1"/>
    <hyperlink ref="R2783" r:id="rId2740" display="http://www.imdb.com/title/tt1007029/?ref_=fn_tt_tt_1"/>
    <hyperlink ref="R2784" r:id="rId2741" display="http://www.imdb.com/title/tt0298388/?ref_=fn_tt_tt_1"/>
    <hyperlink ref="R2785" r:id="rId2742" display="http://www.imdb.com/title/tt0107840/?ref_=fn_tt_tt_1"/>
    <hyperlink ref="R2786" r:id="rId2743" display="http://www.imdb.com/title/tt0278295/?ref_=fn_tt_tt_1"/>
    <hyperlink ref="R2787" r:id="rId2744" display="http://www.imdb.com/title/tt0114825/?ref_=fn_tt_tt_1"/>
    <hyperlink ref="R2788" r:id="rId2745" display="http://www.imdb.com/title/tt0076009/?ref_=fn_tt_tt_1"/>
    <hyperlink ref="R2789" r:id="rId2746" display="http://www.imdb.com/title/tt0429573/?ref_=fn_tt_tt_1"/>
    <hyperlink ref="R2790" r:id="rId2747" display="http://www.imdb.com/title/tt0270980/?ref_=fn_tt_tt_1"/>
    <hyperlink ref="R2791" r:id="rId2748" display="http://www.imdb.com/title/tt0971209/?ref_=fn_tt_tt_1"/>
    <hyperlink ref="R2792" r:id="rId2749" display="http://www.imdb.com/title/tt1305583/?ref_=fn_tt_tt_1"/>
    <hyperlink ref="R2793" r:id="rId2750" display="http://www.imdb.com/title/tt0118301/?ref_=fn_tt_tt_1"/>
    <hyperlink ref="R2794" r:id="rId2751" display="http://www.imdb.com/title/tt0120857/?ref_=fn_tt_tt_1"/>
    <hyperlink ref="R2795" r:id="rId2752" display="http://www.imdb.com/title/tt0117894/?ref_=fn_tt_tt_1"/>
    <hyperlink ref="R2796" r:id="rId2753" display="http://www.imdb.com/title/tt0076451/?ref_=fn_tt_tt_1"/>
    <hyperlink ref="R2797" r:id="rId2754" display="http://www.imdb.com/title/tt0109504/?ref_=fn_tt_tt_1"/>
    <hyperlink ref="R2798" r:id="rId2755" display="http://www.imdb.com/title/tt0770772/?ref_=fn_tt_tt_1"/>
    <hyperlink ref="R2799" r:id="rId2756" display="http://www.imdb.com/title/tt0211443/?ref_=fn_tt_tt_1"/>
    <hyperlink ref="R2800" r:id="rId2592" display="http://www.imdb.com/title/tt0265298/?ref_=fn_tt_tt_1"/>
    <hyperlink ref="R2801" r:id="rId2757" display="http://www.imdb.com/title/tt0308055/?ref_=fn_tt_tt_1"/>
    <hyperlink ref="R2802" r:id="rId2758" display="http://www.imdb.com/title/tt0192111/?ref_=fn_tt_tt_1"/>
    <hyperlink ref="R2803" r:id="rId2759" display="http://www.imdb.com/title/tt1663143/?ref_=fn_tt_tt_1"/>
    <hyperlink ref="R2804" r:id="rId2760" display="http://www.imdb.com/title/tt0401383/?ref_=fn_tt_tt_1"/>
    <hyperlink ref="R2805" r:id="rId2761" display="http://www.imdb.com/title/tt0404203/?ref_=fn_tt_tt_1"/>
    <hyperlink ref="R2806" r:id="rId2762" display="http://www.imdb.com/title/tt0176783/?ref_=fn_tt_tt_1"/>
    <hyperlink ref="R2807" r:id="rId2763" display="http://www.imdb.com/title/tt0120613/?ref_=fn_tt_tt_1"/>
    <hyperlink ref="R2808" r:id="rId2764" display="http://www.imdb.com/title/tt0437232/?ref_=fn_tt_tt_1"/>
    <hyperlink ref="R2809" r:id="rId2765" display="http://www.imdb.com/title/tt0218619/?ref_=fn_tt_tt_1"/>
    <hyperlink ref="R2810" r:id="rId2766" display="http://www.imdb.com/title/tt0113463/?ref_=fn_tt_tt_1"/>
    <hyperlink ref="R2811" r:id="rId2767" display="http://www.imdb.com/title/tt0808244/?ref_=fn_tt_tt_1"/>
    <hyperlink ref="R2812" r:id="rId2768" display="http://www.imdb.com/title/tt0077296/?ref_=fn_tt_tt_1"/>
    <hyperlink ref="R2813" r:id="rId2769" display="http://www.imdb.com/title/tt2473794/?ref_=fn_tt_tt_1"/>
    <hyperlink ref="R2814" r:id="rId2770" display="http://www.imdb.com/title/tt1156143/?ref_=fn_tt_tt_1"/>
    <hyperlink ref="R2815" r:id="rId2771" display="http://www.imdb.com/title/tt0280653/?ref_=fn_tt_tt_1"/>
    <hyperlink ref="R2816" r:id="rId2772" display="http://www.imdb.com/title/tt1460743/?ref_=fn_tt_tt_1"/>
    <hyperlink ref="R2817" r:id="rId2773" display="http://www.imdb.com/title/tt0981072/?ref_=fn_tt_tt_1"/>
    <hyperlink ref="R2818" r:id="rId2774" display="http://www.imdb.com/title/tt0466893/?ref_=fn_tt_tt_1"/>
    <hyperlink ref="R2819" r:id="rId2775" display="http://www.imdb.com/title/tt1185266/?ref_=fn_tt_tt_1"/>
    <hyperlink ref="R2820" r:id="rId2776" display="http://www.imdb.com/title/tt0817177/?ref_=fn_tt_tt_1"/>
    <hyperlink ref="R2821" r:id="rId2777" display="http://www.imdb.com/title/tt0388795/?ref_=fn_tt_tt_1"/>
    <hyperlink ref="R2822" r:id="rId243" display="http://www.imdb.com/title/tt1291150/?ref_=fn_tt_tt_1"/>
    <hyperlink ref="R2823" r:id="rId2778" display="http://www.imdb.com/title/tt0112697/?ref_=fn_tt_tt_1"/>
    <hyperlink ref="R2824" r:id="rId2779" display="http://www.imdb.com/title/tt0297884/?ref_=fn_tt_tt_1"/>
    <hyperlink ref="R2825" r:id="rId2780" display="http://www.imdb.com/title/tt2637294/?ref_=fn_tt_tt_1"/>
    <hyperlink ref="R2826" r:id="rId2781" display="http://www.imdb.com/title/tt0092337/?ref_=fn_tt_tt_1"/>
    <hyperlink ref="R2827" r:id="rId2782" display="http://www.imdb.com/title/tt0180073/?ref_=fn_tt_tt_1"/>
    <hyperlink ref="R2828" r:id="rId2783" display="http://www.imdb.com/title/tt1931533/?ref_=fn_tt_tt_1"/>
    <hyperlink ref="R2829" r:id="rId2784" display="http://www.imdb.com/title/tt0182000/?ref_=fn_tt_tt_1"/>
    <hyperlink ref="R2830" r:id="rId2785" display="http://www.imdb.com/title/tt4048942/?ref_=fn_tt_tt_1"/>
    <hyperlink ref="R2831" r:id="rId2786" display="http://www.imdb.com/title/tt0363163/?ref_=fn_tt_tt_1"/>
    <hyperlink ref="R2832" r:id="rId2787" display="http://www.imdb.com/title/tt0369702/?ref_=fn_tt_tt_1"/>
    <hyperlink ref="R2833" r:id="rId2788" display="http://www.imdb.com/title/tt1441395/?ref_=fn_tt_tt_1"/>
    <hyperlink ref="R2834" r:id="rId2789" display="http://www.imdb.com/title/tt0093105/?ref_=fn_tt_tt_1"/>
    <hyperlink ref="R2835" r:id="rId2790" display="http://www.imdb.com/title/tt1584131/?ref_=fn_tt_tt_1"/>
    <hyperlink ref="R2836" r:id="rId2791" display="http://www.imdb.com/title/tt1702443/?ref_=fn_tt_tt_1"/>
    <hyperlink ref="R2837" r:id="rId2792" display="http://www.imdb.com/title/tt0947798/?ref_=fn_tt_tt_1"/>
    <hyperlink ref="R2838" r:id="rId229" display="http://www.imdb.com/title/tt1234721/?ref_=fn_tt_tt_1"/>
    <hyperlink ref="R2839" r:id="rId2793" display="http://www.imdb.com/title/tt0071562/?ref_=fn_tt_tt_1"/>
    <hyperlink ref="R2840" r:id="rId2794" display="http://www.imdb.com/title/tt0206275/?ref_=fn_tt_tt_1"/>
    <hyperlink ref="R2841" r:id="rId2795" display="http://www.imdb.com/title/tt0095742/?ref_=fn_tt_tt_1"/>
    <hyperlink ref="R2842" r:id="rId2796" display="http://www.imdb.com/title/tt4257926/?ref_=fn_tt_tt_1"/>
    <hyperlink ref="R2843" r:id="rId2797" display="http://www.imdb.com/title/tt0242423/?ref_=fn_tt_tt_1"/>
    <hyperlink ref="R2844" r:id="rId2798" display="http://www.imdb.com/title/tt0096487/?ref_=fn_tt_tt_1"/>
    <hyperlink ref="R2845" r:id="rId2799" display="http://www.imdb.com/title/tt2170593/?ref_=fn_tt_tt_1"/>
    <hyperlink ref="R2846" r:id="rId2800" display="http://www.imdb.com/title/tt1826590/?ref_=fn_tt_tt_1"/>
    <hyperlink ref="R2847" r:id="rId2801" display="http://www.imdb.com/title/tt0147800/?ref_=fn_tt_tt_1"/>
    <hyperlink ref="R2848" r:id="rId2802" display="http://www.imdb.com/title/tt0241760/?ref_=fn_tt_tt_1"/>
    <hyperlink ref="R2849" r:id="rId2803" display="http://www.imdb.com/title/tt0107659/?ref_=fn_tt_tt_1"/>
    <hyperlink ref="R2850" r:id="rId2804" display="http://www.imdb.com/title/tt4052882/?ref_=fn_tt_tt_1"/>
    <hyperlink ref="R2851" r:id="rId2805" display="http://www.imdb.com/title/tt0289879/?ref_=fn_tt_tt_1"/>
    <hyperlink ref="R2852" r:id="rId2806" display="http://www.imdb.com/title/tt0184907/?ref_=fn_tt_tt_1"/>
    <hyperlink ref="R2853" r:id="rId2807" display="http://www.imdb.com/title/tt0937375/?ref_=fn_tt_tt_1"/>
    <hyperlink ref="R2854" r:id="rId2808" display="http://www.imdb.com/title/tt0118665/?ref_=fn_tt_tt_1"/>
    <hyperlink ref="R2855" r:id="rId2809" display="http://www.imdb.com/title/tt0120609/?ref_=fn_tt_tt_1"/>
    <hyperlink ref="R2856" r:id="rId2810" display="http://www.imdb.com/title/tt0116493/?ref_=fn_tt_tt_1"/>
    <hyperlink ref="R2857" r:id="rId2811" display="http://www.imdb.com/title/tt0099253/?ref_=fn_tt_tt_1"/>
    <hyperlink ref="R2858" r:id="rId2812" display="http://www.imdb.com/title/tt2011159/?ref_=fn_tt_tt_1"/>
    <hyperlink ref="R2859" r:id="rId2813" display="http://www.imdb.com/title/tt0884328/?ref_=fn_tt_tt_1"/>
    <hyperlink ref="R2860" r:id="rId2814" display="http://www.imdb.com/title/tt0470752/?ref_=fn_tt_tt_1"/>
    <hyperlink ref="R2861" r:id="rId2815" display="http://www.imdb.com/title/tt0120601/?ref_=fn_tt_tt_1"/>
    <hyperlink ref="R2862" r:id="rId2816" display="http://www.imdb.com/title/tt0269341/?ref_=fn_tt_tt_1"/>
    <hyperlink ref="R2863" r:id="rId2817" display="http://www.imdb.com/title/tt2183034/?ref_=fn_tt_tt_1"/>
    <hyperlink ref="R2864" r:id="rId2818" display="http://www.imdb.com/title/tt0250224/?ref_=fn_tt_tt_1"/>
    <hyperlink ref="R2865" r:id="rId2819" display="http://www.imdb.com/title/tt0498380/?ref_=fn_tt_tt_1"/>
    <hyperlink ref="R2866" r:id="rId2820" display="http://www.imdb.com/title/tt0469263/?ref_=fn_tt_tt_1"/>
    <hyperlink ref="R2867" r:id="rId2821" display="http://www.imdb.com/title/tt0120531/?ref_=fn_tt_tt_1"/>
    <hyperlink ref="R2868" r:id="rId2822" display="http://www.imdb.com/title/tt3170832/?ref_=fn_tt_tt_1"/>
    <hyperlink ref="R2869" r:id="rId2823" display="http://www.imdb.com/title/tt0120654/?ref_=fn_tt_tt_1"/>
    <hyperlink ref="R2870" r:id="rId2824" display="http://www.imdb.com/title/tt0111127/?ref_=fn_tt_tt_1"/>
    <hyperlink ref="R2871" r:id="rId2825" display="http://www.imdb.com/title/tt0144168/?ref_=fn_tt_tt_1"/>
    <hyperlink ref="R2872" r:id="rId2826" display="http://www.imdb.com/title/tt1639008/?ref_=fn_tt_tt_1"/>
    <hyperlink ref="R2873" r:id="rId2827" display="http://www.imdb.com/title/tt0172726/?ref_=fn_tt_tt_1"/>
    <hyperlink ref="R2874" r:id="rId2828" display="http://www.imdb.com/title/tt0120577/?ref_=fn_tt_tt_1"/>
    <hyperlink ref="R2875" r:id="rId2829" display="http://www.imdb.com/title/tt0258470/?ref_=fn_tt_tt_1"/>
    <hyperlink ref="R2876" r:id="rId2830" display="http://www.imdb.com/title/tt0188453/?ref_=fn_tt_tt_1"/>
    <hyperlink ref="R2877" r:id="rId2831" display="http://www.imdb.com/title/tt1711425/?ref_=fn_tt_tt_1"/>
    <hyperlink ref="R2878" r:id="rId2832" display="http://www.imdb.com/title/tt0401711/?ref_=fn_tt_tt_1"/>
    <hyperlink ref="R2879" r:id="rId2833" display="http://www.imdb.com/title/tt0416185/?ref_=fn_tt_tt_1"/>
    <hyperlink ref="R2880" r:id="rId2834" display="http://www.imdb.com/title/tt1814621/?ref_=fn_tt_tt_1"/>
    <hyperlink ref="R2881" r:id="rId2835" display="http://www.imdb.com/title/tt0191636/?ref_=fn_tt_tt_1"/>
    <hyperlink ref="R2882" r:id="rId2836" display="http://www.imdb.com/title/tt1352824/?ref_=fn_tt_tt_1"/>
    <hyperlink ref="R2883" r:id="rId2837" display="http://www.imdb.com/title/tt0116269/?ref_=fn_tt_tt_1"/>
    <hyperlink ref="R2884" r:id="rId1837" display="http://www.imdb.com/title/tt0765010/?ref_=fn_tt_tt_1"/>
    <hyperlink ref="R2885" r:id="rId2838" display="http://www.imdb.com/title/tt0419749/?ref_=fn_tt_tt_1"/>
    <hyperlink ref="R2886" r:id="rId2839" display="http://www.imdb.com/title/tt1659337/?ref_=fn_tt_tt_1"/>
    <hyperlink ref="R2887" r:id="rId2840" display="http://www.imdb.com/title/tt0104215/?ref_=fn_tt_tt_1"/>
    <hyperlink ref="R2888" r:id="rId2841" display="http://www.imdb.com/title/tt0420609/?ref_=fn_tt_tt_1"/>
    <hyperlink ref="R2889" r:id="rId2842" display="http://www.imdb.com/title/tt0218378/?ref_=fn_tt_tt_1"/>
    <hyperlink ref="R2890" r:id="rId2843" display="http://www.imdb.com/title/tt1524575/?ref_=fn_tt_tt_1"/>
    <hyperlink ref="R2891" r:id="rId2844" display="http://www.imdb.com/title/tt1478964/?ref_=fn_tt_tt_1"/>
    <hyperlink ref="R2892" r:id="rId2845" display="http://www.imdb.com/title/tt1714209/?ref_=fn_tt_tt_1"/>
    <hyperlink ref="R2893" r:id="rId2846" display="http://www.imdb.com/title/tt1911644/?ref_=fn_tt_tt_1"/>
    <hyperlink ref="R2894" r:id="rId2847" display="http://www.imdb.com/title/tt4939066/?ref_=fn_tt_tt_1"/>
    <hyperlink ref="R2895" r:id="rId2848" display="http://www.imdb.com/title/tt0305396/?ref_=fn_tt_tt_1"/>
    <hyperlink ref="R2896" r:id="rId2849" display="http://www.imdb.com/title/tt1045772/?ref_=fn_tt_tt_1"/>
    <hyperlink ref="R2897" r:id="rId2850" display="http://www.imdb.com/title/tt0082484/?ref_=fn_tt_tt_1"/>
    <hyperlink ref="R2898" r:id="rId2851" display="http://www.imdb.com/title/tt0168786/?ref_=fn_tt_tt_1"/>
    <hyperlink ref="R2899" r:id="rId2852" display="http://www.imdb.com/title/tt0283530/?ref_=fn_tt_tt_1"/>
    <hyperlink ref="R2900" r:id="rId2853" display="http://www.imdb.com/title/tt0108399/?ref_=fn_tt_tt_1"/>
    <hyperlink ref="R2901" r:id="rId2854" display="http://www.imdb.com/title/tt1216520/?ref_=fn_tt_tt_1"/>
    <hyperlink ref="R2902" r:id="rId2855" display="http://www.imdb.com/title/tt0104348/?ref_=fn_tt_tt_1"/>
    <hyperlink ref="R2903" r:id="rId2856" display="http://www.imdb.com/title/tt0954947/?ref_=fn_tt_tt_1"/>
    <hyperlink ref="R2904" r:id="rId2857" display="http://www.imdb.com/title/tt0083722/?ref_=fn_tt_tt_1"/>
    <hyperlink ref="R2905" r:id="rId2858" display="http://www.imdb.com/title/tt1232783/?ref_=fn_tt_tt_1"/>
    <hyperlink ref="R2906" r:id="rId2859" display="http://www.imdb.com/title/tt0029442/?ref_=fn_tt_tt_1"/>
    <hyperlink ref="R2907" r:id="rId2860" display="http://www.imdb.com/title/tt0805564/?ref_=fn_tt_tt_1"/>
    <hyperlink ref="R2908" r:id="rId2861" display="http://www.imdb.com/title/tt0914798/?ref_=fn_tt_tt_1"/>
    <hyperlink ref="R2909" r:id="rId2862" display="http://www.imdb.com/title/tt0168629/?ref_=fn_tt_tt_1"/>
    <hyperlink ref="R2910" r:id="rId2863" display="http://www.imdb.com/title/tt0119843/?ref_=fn_tt_tt_1"/>
    <hyperlink ref="R2911" r:id="rId2864" display="http://www.imdb.com/title/tt0116378/?ref_=fn_tt_tt_1"/>
    <hyperlink ref="R2912" r:id="rId2865" display="http://www.imdb.com/title/tt1294213/?ref_=fn_tt_tt_1"/>
    <hyperlink ref="R2913" r:id="rId2866" display="http://www.imdb.com/title/tt0985694/?ref_=fn_tt_tt_1"/>
    <hyperlink ref="R2914" r:id="rId2867" display="http://www.imdb.com/title/tt1194417/?ref_=fn_tt_tt_1"/>
    <hyperlink ref="R2915" r:id="rId2868" display="http://www.imdb.com/title/tt0095489/?ref_=fn_tt_tt_1"/>
    <hyperlink ref="R2916" r:id="rId2869" display="http://www.imdb.com/title/tt0386064/?ref_=fn_tt_tt_1"/>
    <hyperlink ref="R2917" r:id="rId2870" display="http://www.imdb.com/title/tt0473102/?ref_=fn_tt_tt_1"/>
    <hyperlink ref="R2918" r:id="rId2871" display="http://www.imdb.com/title/tt0070047/?ref_=fn_tt_tt_1"/>
    <hyperlink ref="R2919" r:id="rId2872" display="http://www.imdb.com/title/tt0073195/?ref_=fn_tt_tt_1"/>
    <hyperlink ref="R2920" r:id="rId2873" display="http://www.imdb.com/title/tt0163651/?ref_=fn_tt_tt_1"/>
    <hyperlink ref="R2921" r:id="rId2874" display="http://www.imdb.com/title/tt1816518/?ref_=fn_tt_tt_1"/>
    <hyperlink ref="R2922" r:id="rId2875" display="http://www.imdb.com/title/tt0091129/?ref_=fn_tt_tt_1"/>
    <hyperlink ref="R2923" r:id="rId2876" display="http://www.imdb.com/title/tt1621045/?ref_=fn_tt_tt_1"/>
    <hyperlink ref="R2924" r:id="rId2877" display="http://www.imdb.com/title/tt0303714/?ref_=fn_tt_tt_1"/>
    <hyperlink ref="R2925" r:id="rId2878" display="http://www.imdb.com/title/tt0084726/?ref_=fn_tt_tt_1"/>
    <hyperlink ref="R2926" r:id="rId2879" display="http://www.imdb.com/title/tt0109040/?ref_=fn_tt_tt_1"/>
    <hyperlink ref="R2927" r:id="rId2880" display="http://www.imdb.com/title/tt0086567/?ref_=fn_tt_tt_1"/>
    <hyperlink ref="R2928" r:id="rId2881" display="http://www.imdb.com/title/tt0090329/?ref_=fn_tt_tt_1"/>
    <hyperlink ref="R2929" r:id="rId2882" display="http://www.imdb.com/title/tt1591479/?ref_=fn_tt_tt_1"/>
    <hyperlink ref="R2930" r:id="rId2883" display="http://www.imdb.com/title/tt0462590/?ref_=fn_tt_tt_1"/>
    <hyperlink ref="R2931" r:id="rId2884" display="http://www.imdb.com/title/tt0115641/?ref_=fn_tt_tt_1"/>
    <hyperlink ref="R2932" r:id="rId2885" display="http://www.imdb.com/title/tt0119396/?ref_=fn_tt_tt_1"/>
    <hyperlink ref="R2933" r:id="rId2886" display="http://www.imdb.com/title/tt0481536/?ref_=fn_tt_tt_1"/>
    <hyperlink ref="R2934" r:id="rId2887" display="http://www.imdb.com/title/tt1706593/?ref_=fn_tt_tt_1"/>
    <hyperlink ref="R2935" r:id="rId2888" display="http://www.imdb.com/title/tt0086619/?ref_=fn_tt_tt_1"/>
    <hyperlink ref="R2936" r:id="rId2889" display="http://www.imdb.com/title/tt0081633/?ref_=fn_tt_tt_1"/>
    <hyperlink ref="R2937" r:id="rId2890" display="http://www.imdb.com/title/tt0275022/?ref_=fn_tt_tt_1"/>
    <hyperlink ref="R2938" r:id="rId2891" display="http://www.imdb.com/title/tt1636826/?ref_=fn_tt_tt_1"/>
    <hyperlink ref="R2939" r:id="rId2892" display="http://www.imdb.com/title/tt0066206/?ref_=fn_tt_tt_1"/>
    <hyperlink ref="R2940" r:id="rId2893" display="http://www.imdb.com/title/tt0265459/?ref_=fn_tt_tt_1"/>
    <hyperlink ref="R2941" r:id="rId2894" display="http://www.imdb.com/title/tt1082868/?ref_=fn_tt_tt_1"/>
    <hyperlink ref="R2942" r:id="rId2895" display="http://www.imdb.com/title/tt0406759/?ref_=fn_tt_tt_1"/>
    <hyperlink ref="R2943" r:id="rId2896" display="http://www.imdb.com/title/tt0359517/?ref_=fn_tt_tt_1"/>
    <hyperlink ref="R2944" r:id="rId2897" display="http://www.imdb.com/title/tt0278488/?ref_=fn_tt_tt_1"/>
    <hyperlink ref="R2945" r:id="rId2898" display="http://www.imdb.com/title/tt0104940/?ref_=fn_tt_tt_1"/>
    <hyperlink ref="R2946" r:id="rId284" display="http://www.imdb.com/title/tt0381061/?ref_=fn_tt_tt_1"/>
    <hyperlink ref="R2947" r:id="rId2899" display="http://www.imdb.com/title/tt0120679/?ref_=fn_tt_tt_1"/>
    <hyperlink ref="R2948" r:id="rId2900" display="http://www.imdb.com/title/tt2215719/?ref_=fn_tt_tt_1"/>
    <hyperlink ref="R2949" r:id="rId2901" display="http://www.imdb.com/title/tt2582846/?ref_=fn_tt_tt_1"/>
    <hyperlink ref="R2950" r:id="rId2902" display="http://www.imdb.com/title/tt0128442/?ref_=fn_tt_tt_1"/>
    <hyperlink ref="R2951" r:id="rId2903" display="http://www.imdb.com/title/tt2784678/?ref_=fn_tt_tt_1"/>
    <hyperlink ref="R2952" r:id="rId2904" display="http://www.imdb.com/title/tt0079758/?ref_=fn_tt_tt_1"/>
    <hyperlink ref="R2953" r:id="rId2905" display="http://www.imdb.com/title/tt0164181/?ref_=fn_tt_tt_1"/>
    <hyperlink ref="R2954" r:id="rId2906" display="http://www.imdb.com/title/tt1442449/?ref_=fn_tt_tt_1"/>
    <hyperlink ref="R2955" r:id="rId2907" display="http://www.imdb.com/title/tt2431286/?ref_=fn_tt_tt_1"/>
    <hyperlink ref="R2956" r:id="rId2908" display="http://www.imdb.com/title/tt0365885/?ref_=fn_tt_tt_1"/>
    <hyperlink ref="R2957" r:id="rId2909" display="http://www.imdb.com/title/tt0077269/?ref_=fn_tt_tt_1"/>
    <hyperlink ref="R2958" r:id="rId2910" display="http://www.imdb.com/title/tt0429591/?ref_=fn_tt_tt_1"/>
    <hyperlink ref="R2959" r:id="rId2911" display="http://www.imdb.com/title/tt3622592/?ref_=fn_tt_tt_1"/>
    <hyperlink ref="R2960" r:id="rId2912" display="http://www.imdb.com/title/tt0332712/?ref_=fn_tt_tt_1"/>
    <hyperlink ref="R2961" r:id="rId2913" display="http://www.imdb.com/title/tt1821549/?ref_=fn_tt_tt_1"/>
    <hyperlink ref="R2962" r:id="rId2914" display="http://www.imdb.com/title/tt0114608/?ref_=fn_tt_tt_1"/>
    <hyperlink ref="R2963" r:id="rId2915" display="http://www.imdb.com/title/tt0273799/?ref_=fn_tt_tt_1"/>
    <hyperlink ref="R2964" r:id="rId2916" display="http://www.imdb.com/title/tt1625346/?ref_=fn_tt_tt_1"/>
    <hyperlink ref="R2965" r:id="rId2917" display="http://www.imdb.com/title/tt0479884/?ref_=fn_tt_tt_1"/>
    <hyperlink ref="R2966" r:id="rId2918" display="http://www.imdb.com/title/tt0119326/?ref_=fn_tt_tt_1"/>
    <hyperlink ref="R2967" r:id="rId2919" display="http://www.imdb.com/title/tt0120722/?ref_=fn_tt_tt_1"/>
    <hyperlink ref="R2968" r:id="rId2920" display="http://www.imdb.com/title/tt1407061/?ref_=fn_tt_tt_1"/>
    <hyperlink ref="R2969" r:id="rId2921" display="http://www.imdb.com/title/tt1084950/?ref_=fn_tt_tt_1"/>
    <hyperlink ref="R2970" r:id="rId2922" display="http://www.imdb.com/title/tt0082934/?ref_=fn_tt_tt_1"/>
    <hyperlink ref="R2971" r:id="rId2923" display="http://www.imdb.com/title/tt0335119/?ref_=fn_tt_tt_1"/>
    <hyperlink ref="R2972" r:id="rId2924" display="http://www.imdb.com/title/tt0082096/?ref_=fn_tt_tt_1"/>
    <hyperlink ref="R2973" r:id="rId345" display="http://www.imdb.com/title/tt0318974/?ref_=fn_tt_tt_1"/>
    <hyperlink ref="R2974" r:id="rId2925" display="http://www.imdb.com/title/tt0279781/?ref_=fn_tt_tt_1"/>
    <hyperlink ref="R2975" r:id="rId2926" display="http://www.imdb.com/title/tt2194499/?ref_=fn_tt_tt_1"/>
    <hyperlink ref="R2976" r:id="rId2927" display="http://www.imdb.com/title/tt0385004/?ref_=fn_tt_tt_1"/>
    <hyperlink ref="R2977" r:id="rId2928" display="http://www.imdb.com/title/tt1764183/?ref_=fn_tt_tt_1"/>
    <hyperlink ref="R2978" r:id="rId2929" display="http://www.imdb.com/title/tt2436386/?ref_=fn_tt_tt_1"/>
    <hyperlink ref="R2979" r:id="rId2930" display="http://www.imdb.com/title/tt1042877/?ref_=fn_tt_tt_1"/>
    <hyperlink ref="R2980" r:id="rId2931" display="http://www.imdb.com/title/tt0156323/?ref_=fn_tt_tt_1"/>
    <hyperlink ref="R2981" r:id="rId2932" display="http://www.imdb.com/title/tt0106950/?ref_=fn_tt_tt_1"/>
    <hyperlink ref="R2982" r:id="rId2933" display="http://www.imdb.com/title/tt0470765/?ref_=fn_tt_tt_1"/>
    <hyperlink ref="R2983" r:id="rId2934" display="http://www.imdb.com/title/tt0120533/?ref_=fn_tt_tt_1"/>
    <hyperlink ref="R2984" r:id="rId2935" display="http://www.imdb.com/title/tt0439289/?ref_=fn_tt_tt_1"/>
    <hyperlink ref="R2985" r:id="rId2936" display="http://www.imdb.com/title/tt0339034/?ref_=fn_tt_tt_1"/>
    <hyperlink ref="R2986" r:id="rId2937" display="http://www.imdb.com/title/tt0116414/?ref_=fn_tt_tt_1"/>
    <hyperlink ref="R2987" r:id="rId2938" display="http://www.imdb.com/title/tt0199626/?ref_=fn_tt_tt_1"/>
    <hyperlink ref="R2988" r:id="rId2939" display="http://www.imdb.com/title/tt1103275/?ref_=fn_tt_tt_1"/>
    <hyperlink ref="R2989" r:id="rId2940" display="http://www.imdb.com/title/tt0253200/?ref_=fn_tt_tt_1"/>
    <hyperlink ref="R2990" r:id="rId2941" display="http://www.imdb.com/title/tt0468492/?ref_=fn_tt_tt_1"/>
    <hyperlink ref="R2991" r:id="rId2942" display="http://www.imdb.com/title/tt0082958/?ref_=fn_tt_tt_1"/>
    <hyperlink ref="R2992" r:id="rId2943" display="http://www.imdb.com/title/tt0129332/?ref_=fn_tt_tt_1"/>
    <hyperlink ref="R2993" r:id="rId2944" display="http://www.imdb.com/title/tt0423977/?ref_=fn_tt_tt_1"/>
    <hyperlink ref="R2994" r:id="rId2945" display="http://www.imdb.com/title/tt2358891/?ref_=fn_tt_tt_1"/>
    <hyperlink ref="R2995" r:id="rId2946" display="http://www.imdb.com/title/tt0238924/?ref_=fn_tt_tt_1"/>
    <hyperlink ref="R2996" r:id="rId2947" display="http://www.imdb.com/title/tt1682180/?ref_=fn_tt_tt_1"/>
    <hyperlink ref="R2997" r:id="rId2948" display="http://www.imdb.com/title/tt0212712/?ref_=fn_tt_tt_1"/>
    <hyperlink ref="R2998" r:id="rId2949" display="http://www.imdb.com/title/tt0804505/?ref_=fn_tt_tt_1"/>
    <hyperlink ref="R2999" r:id="rId2950" display="http://www.imdb.com/title/tt0361715/?ref_=fn_tt_tt_1"/>
    <hyperlink ref="R3000" r:id="rId2951" display="http://www.imdb.com/title/tt1235796/?ref_=fn_tt_tt_1"/>
    <hyperlink ref="R3001" r:id="rId2952" display="http://www.imdb.com/title/tt0222851/?ref_=fn_tt_tt_1"/>
    <hyperlink ref="R3002" r:id="rId2953" display="http://www.imdb.com/title/tt0271259/?ref_=fn_tt_tt_1"/>
    <hyperlink ref="R3003" r:id="rId2954" display="http://www.imdb.com/title/tt0118901/?ref_=fn_tt_tt_1"/>
    <hyperlink ref="R3004" r:id="rId2955" display="http://www.imdb.com/title/tt0815178/?ref_=fn_tt_tt_1"/>
    <hyperlink ref="R3005" r:id="rId2956" display="http://www.imdb.com/title/tt1730687/?ref_=fn_tt_tt_1"/>
    <hyperlink ref="R3006" r:id="rId2957" display="http://www.imdb.com/title/tt0399095/?ref_=fn_tt_tt_1"/>
    <hyperlink ref="R3007" r:id="rId2958" display="http://www.imdb.com/title/tt0367082/?ref_=fn_tt_tt_1"/>
    <hyperlink ref="R3008" r:id="rId2959" display="http://www.imdb.com/title/tt0120618/?ref_=fn_tt_tt_1"/>
    <hyperlink ref="R3009" r:id="rId2960" display="http://www.imdb.com/title/tt1428556/?ref_=fn_tt_tt_1"/>
    <hyperlink ref="R3010" r:id="rId2961" display="http://www.imdb.com/title/tt0284978/?ref_=fn_tt_tt_1"/>
    <hyperlink ref="R3011" r:id="rId2962" display="http://www.imdb.com/title/tt1124052/?ref_=fn_tt_tt_1"/>
    <hyperlink ref="R3012" r:id="rId187" display="http://www.imdb.com/title/tt2224026/?ref_=fn_tt_tt_1"/>
    <hyperlink ref="R3013" r:id="rId2963" display="http://www.imdb.com/title/tt1876517/?ref_=fn_tt_tt_1"/>
    <hyperlink ref="R3014" r:id="rId2964" display="http://www.imdb.com/title/tt1477109/?ref_=fn_tt_tt_1"/>
    <hyperlink ref="R3015" r:id="rId2965" display="http://www.imdb.com/title/tt1486193/?ref_=fn_tt_tt_1"/>
    <hyperlink ref="R3016" r:id="rId2966" display="http://www.imdb.com/title/tt1187064/?ref_=fn_tt_tt_1"/>
    <hyperlink ref="R3017" r:id="rId2967" display="http://www.imdb.com/title/tt3453052/?ref_=fn_tt_tt_1"/>
    <hyperlink ref="R3018" r:id="rId2968" display="http://www.imdb.com/title/tt1929263/?ref_=fn_tt_tt_1"/>
    <hyperlink ref="R3019" r:id="rId2969" display="http://www.imdb.com/title/tt0208092/?ref_=fn_tt_tt_1"/>
    <hyperlink ref="R3020" r:id="rId2970" display="http://www.imdb.com/title/tt2598580/?ref_=fn_tt_tt_1"/>
    <hyperlink ref="R3021" r:id="rId2971" display="http://www.imdb.com/title/tt0098084/?ref_=fn_tt_tt_1"/>
    <hyperlink ref="R3022" r:id="rId2972" display="http://www.imdb.com/title/tt0107474/?ref_=fn_tt_tt_1"/>
    <hyperlink ref="R3023" r:id="rId2973" display="http://www.imdb.com/title/tt1034302/?ref_=fn_tt_tt_1"/>
    <hyperlink ref="R3024" r:id="rId2974" display="http://www.imdb.com/title/tt3682770/?ref_=fn_tt_tt_1"/>
    <hyperlink ref="R3025" r:id="rId2975" display="http://www.imdb.com/title/tt0087363/?ref_=fn_tt_tt_1"/>
    <hyperlink ref="R3026" r:id="rId2976" display="http://www.imdb.com/title/tt0076759/?ref_=fn_tt_tt_1"/>
    <hyperlink ref="R3027" r:id="rId2977" display="http://www.imdb.com/title/tt1860213/?ref_=fn_tt_tt_1"/>
    <hyperlink ref="R3028" r:id="rId2978" display="http://www.imdb.com/title/tt0059113/?ref_=fn_tt_tt_1"/>
    <hyperlink ref="R3029" r:id="rId2979" display="http://www.imdb.com/title/tt1921149/?ref_=fn_tt_tt_1"/>
    <hyperlink ref="R3030" r:id="rId2980" display="http://www.imdb.com/title/tt0962726/?ref_=fn_tt_tt_1"/>
    <hyperlink ref="R3031" r:id="rId2981" display="http://www.imdb.com/title/tt0964517/?ref_=fn_tt_tt_1"/>
    <hyperlink ref="R3032" r:id="rId2982" display="http://www.imdb.com/title/tt0493430/?ref_=fn_tt_tt_1"/>
    <hyperlink ref="R3033" r:id="rId2983" display="http://www.imdb.com/title/tt0104952/?ref_=fn_tt_tt_1"/>
    <hyperlink ref="R3034" r:id="rId2984" display="http://www.imdb.com/title/tt1355630/?ref_=fn_tt_tt_1"/>
    <hyperlink ref="R3035" r:id="rId2985" display="http://www.imdb.com/title/tt2968804/?ref_=fn_tt_tt_1"/>
    <hyperlink ref="R3036" r:id="rId2986" display="http://www.imdb.com/title/tt0097815/?ref_=fn_tt_tt_1"/>
    <hyperlink ref="R3037" r:id="rId2987" display="http://www.imdb.com/title/tt0964587/?ref_=fn_tt_tt_1"/>
    <hyperlink ref="R3038" r:id="rId2988" display="http://www.imdb.com/title/tt0183649/?ref_=fn_tt_tt_1"/>
    <hyperlink ref="R3039" r:id="rId2989" display="http://www.imdb.com/title/tt0281358/?ref_=fn_tt_tt_1"/>
    <hyperlink ref="R3040" r:id="rId2990" display="http://www.imdb.com/title/tt0112818/?ref_=fn_tt_tt_1"/>
    <hyperlink ref="R3041" r:id="rId2991" display="http://www.imdb.com/title/tt0139134/?ref_=fn_tt_tt_1"/>
    <hyperlink ref="R3042" r:id="rId2992" display="http://www.imdb.com/title/tt1233227/?ref_=fn_tt_tt_1"/>
    <hyperlink ref="R3043" r:id="rId2993" display="http://www.imdb.com/title/tt0082517/?ref_=fn_tt_tt_1"/>
    <hyperlink ref="R3044" r:id="rId2994" display="http://www.imdb.com/title/tt0416212/?ref_=fn_tt_tt_1"/>
    <hyperlink ref="R3045" r:id="rId2995" display="http://www.imdb.com/title/tt0250310/?ref_=fn_tt_tt_1"/>
    <hyperlink ref="R3046" r:id="rId2996" display="http://www.imdb.com/title/tt0105217/?ref_=fn_tt_tt_1"/>
    <hyperlink ref="R3047" r:id="rId2997" display="http://www.imdb.com/title/tt0077531/?ref_=fn_tt_tt_1"/>
    <hyperlink ref="R3048" r:id="rId2998" display="http://www.imdb.com/title/tt0091276/?ref_=fn_tt_tt_1"/>
    <hyperlink ref="R3049" r:id="rId2999" display="http://www.imdb.com/title/tt2381111/?ref_=fn_tt_tt_1"/>
    <hyperlink ref="R3050" r:id="rId3000" display="http://www.imdb.com/title/tt0072684/?ref_=fn_tt_tt_1"/>
    <hyperlink ref="R3051" r:id="rId3001" display="http://www.imdb.com/title/tt0253798/?ref_=fn_tt_tt_1"/>
    <hyperlink ref="R3052" r:id="rId3002" display="http://www.imdb.com/title/tt0213790/?ref_=fn_tt_tt_1"/>
    <hyperlink ref="R3053" r:id="rId3003" display="http://www.imdb.com/title/tt1441951/?ref_=fn_tt_tt_1"/>
    <hyperlink ref="R3054" r:id="rId3004" display="http://www.imdb.com/title/tt0246989/?ref_=fn_tt_tt_1"/>
    <hyperlink ref="R3055" r:id="rId3005" display="http://www.imdb.com/title/tt0264616/?ref_=fn_tt_tt_1"/>
    <hyperlink ref="R3056" r:id="rId3006" display="http://www.imdb.com/title/tt2404425/?ref_=fn_tt_tt_1"/>
    <hyperlink ref="R3057" r:id="rId3007" display="http://www.imdb.com/title/tt0362269/?ref_=fn_tt_tt_1"/>
    <hyperlink ref="R3058" r:id="rId3008" display="http://www.imdb.com/title/tt0106308/?ref_=fn_tt_tt_1"/>
    <hyperlink ref="R3059" r:id="rId3009" display="http://www.imdb.com/title/tt0240900/?ref_=fn_tt_tt_1"/>
    <hyperlink ref="R3060" r:id="rId3010" display="http://www.imdb.com/title/tt0108550/?ref_=fn_tt_tt_1"/>
    <hyperlink ref="R3061" r:id="rId3011" display="http://www.imdb.com/title/tt0377992/?ref_=fn_tt_tt_1"/>
    <hyperlink ref="R3062" r:id="rId3012" display="http://www.imdb.com/title/tt0383694/?ref_=fn_tt_tt_1"/>
    <hyperlink ref="R3063" r:id="rId3013" display="http://www.imdb.com/title/tt0280720/?ref_=fn_tt_tt_1"/>
    <hyperlink ref="R3064" r:id="rId3014" display="http://www.imdb.com/title/tt0114113/?ref_=fn_tt_tt_1"/>
    <hyperlink ref="R3065" r:id="rId3015" display="http://www.imdb.com/title/tt2042568/?ref_=fn_tt_tt_1"/>
    <hyperlink ref="R3066" r:id="rId3016" display="http://www.imdb.com/title/tt0184791/?ref_=fn_tt_tt_1"/>
    <hyperlink ref="R3067" r:id="rId3017" display="http://www.imdb.com/title/tt0102782/?ref_=fn_tt_tt_1"/>
    <hyperlink ref="R3068" r:id="rId3018" display="http://www.imdb.com/title/tt0066090/?ref_=fn_tt_tt_1"/>
    <hyperlink ref="R3069" r:id="rId3019" display="http://www.imdb.com/title/tt0368222/?ref_=fn_tt_tt_1"/>
    <hyperlink ref="R3070" r:id="rId3020" display="http://www.imdb.com/title/tt0424908/?ref_=fn_tt_tt_1"/>
    <hyperlink ref="R3071" r:id="rId1427" display="http://www.imdb.com/title/tt0084516/?ref_=fn_tt_tt_1"/>
    <hyperlink ref="R3072" r:id="rId3021" display="http://www.imdb.com/title/tt1233192/?ref_=fn_tt_tt_1"/>
    <hyperlink ref="R3073" r:id="rId3022" display="http://www.imdb.com/title/tt1132626/?ref_=fn_tt_tt_1"/>
    <hyperlink ref="R3074" r:id="rId3023" display="http://www.imdb.com/title/tt0065895/?ref_=fn_tt_tt_1"/>
    <hyperlink ref="R3075" r:id="rId3024" display="http://www.imdb.com/title/tt1592873/?ref_=fn_tt_tt_1"/>
    <hyperlink ref="R3076" r:id="rId3025" display="http://www.imdb.com/title/tt0382765/?ref_=fn_tt_tt_1"/>
    <hyperlink ref="R3077" r:id="rId3026" display="http://www.imdb.com/title/tt0449999/?ref_=fn_tt_tt_1"/>
    <hyperlink ref="R3078" r:id="rId3027" display="http://www.imdb.com/title/tt0122541/?ref_=fn_tt_tt_1"/>
    <hyperlink ref="R3079" r:id="rId3028" display="http://www.imdb.com/title/tt1709143/?ref_=fn_tt_tt_1"/>
    <hyperlink ref="R3080" r:id="rId3029" display="http://www.imdb.com/title/tt0273517/?ref_=fn_tt_tt_1"/>
    <hyperlink ref="R3081" r:id="rId3030" display="http://www.imdb.com/title/tt0062622/?ref_=fn_tt_tt_1"/>
    <hyperlink ref="R3082" r:id="rId3031" display="http://www.imdb.com/title/tt0083866/?ref_=fn_tt_tt_1"/>
    <hyperlink ref="R3083" r:id="rId3032" display="http://www.imdb.com/title/tt0419843/?ref_=fn_tt_tt_1"/>
    <hyperlink ref="R3084" r:id="rId3033" display="http://www.imdb.com/title/tt0313300/?ref_=fn_tt_tt_1"/>
    <hyperlink ref="R3085" r:id="rId3034" display="http://www.imdb.com/title/tt0108320/?ref_=fn_tt_tt_1"/>
    <hyperlink ref="R3086" r:id="rId3035" display="http://www.imdb.com/title/tt4051832/?ref_=fn_tt_tt_1"/>
    <hyperlink ref="R3087" r:id="rId3036" display="http://www.imdb.com/title/tt1573072/?ref_=fn_tt_tt_1"/>
    <hyperlink ref="R3088" r:id="rId3037" display="http://www.imdb.com/title/tt0473700/?ref_=fn_tt_tt_1"/>
    <hyperlink ref="R3089" r:id="rId3038" display="http://www.imdb.com/title/tt1566501/?ref_=fn_tt_tt_1"/>
    <hyperlink ref="R3090" r:id="rId3039" display="http://www.imdb.com/title/tt3547740/?ref_=fn_tt_tt_1"/>
    <hyperlink ref="R3091" r:id="rId3040" display="http://www.imdb.com/title/tt0119217/?ref_=fn_tt_tt_1"/>
    <hyperlink ref="R3092" r:id="rId3041" display="http://www.imdb.com/title/tt3658772/?ref_=fn_tt_tt_1"/>
    <hyperlink ref="R3093" r:id="rId3042" display="http://www.imdb.com/title/tt0489270/?ref_=fn_tt_tt_1"/>
    <hyperlink ref="R3094" r:id="rId3043" display="http://www.imdb.com/title/tt0083131/?ref_=fn_tt_tt_1"/>
    <hyperlink ref="R3095" r:id="rId3044" display="http://www.imdb.com/title/tt0204946/?ref_=fn_tt_tt_1"/>
    <hyperlink ref="R3096" r:id="rId3045" display="http://www.imdb.com/title/tt4094724/?ref_=fn_tt_tt_1"/>
    <hyperlink ref="R3097" r:id="rId3046" display="http://www.imdb.com/title/tt0160862/?ref_=fn_tt_tt_1"/>
    <hyperlink ref="R3098" r:id="rId1346" display="http://www.imdb.com/title/tt0929632/?ref_=fn_tt_tt_1"/>
    <hyperlink ref="R3099" r:id="rId3047" display="http://www.imdb.com/title/tt0890870/?ref_=fn_tt_tt_1"/>
    <hyperlink ref="R3100" r:id="rId3048" display="http://www.imdb.com/title/tt0375210/?ref_=fn_tt_tt_1"/>
    <hyperlink ref="R3101" r:id="rId3049" display="http://www.imdb.com/title/tt0455612/?ref_=fn_tt_tt_1"/>
    <hyperlink ref="R3102" r:id="rId3050" display="http://www.imdb.com/title/tt0090863/?ref_=fn_tt_tt_1"/>
    <hyperlink ref="R3103" r:id="rId3051" display="http://www.imdb.com/title/tt0056197/?ref_=fn_tt_tt_1"/>
    <hyperlink ref="R3104" r:id="rId3052" display="http://www.imdb.com/title/tt0104868/?ref_=fn_tt_tt_1"/>
    <hyperlink ref="R3105" r:id="rId3053" display="http://www.imdb.com/title/tt0391198/?ref_=fn_tt_tt_1"/>
    <hyperlink ref="R3106" r:id="rId3054" display="http://www.imdb.com/title/tt0116483/?ref_=fn_tt_tt_1"/>
    <hyperlink ref="R3107" r:id="rId3055" display="http://www.imdb.com/title/tt0263488/?ref_=fn_tt_tt_1"/>
    <hyperlink ref="R3108" r:id="rId3056" display="http://www.imdb.com/title/tt0096928/?ref_=fn_tt_tt_1"/>
    <hyperlink ref="R3109" r:id="rId3057" display="http://www.imdb.com/title/tt0063385/?ref_=fn_tt_tt_1"/>
    <hyperlink ref="R3110" r:id="rId3058" display="http://www.imdb.com/title/tt1412386/?ref_=fn_tt_tt_1"/>
    <hyperlink ref="R3111" r:id="rId3059" display="http://www.imdb.com/title/tt0265632/?ref_=fn_tt_tt_1"/>
    <hyperlink ref="R3112" r:id="rId3060" display="http://www.imdb.com/title/tt0089530/?ref_=fn_tt_tt_1"/>
    <hyperlink ref="R3113" r:id="rId3061" display="http://www.imdb.com/title/tt0088944/?ref_=fn_tt_tt_1"/>
    <hyperlink ref="R3114" r:id="rId3062" display="http://www.imdb.com/title/tt3882082/?ref_=fn_tt_tt_1"/>
    <hyperlink ref="R3115" r:id="rId3063" display="http://www.imdb.com/title/tt1314655/?ref_=fn_tt_tt_1"/>
    <hyperlink ref="R3116" r:id="rId3064" display="http://www.imdb.com/title/tt0293815/?ref_=fn_tt_tt_1"/>
    <hyperlink ref="R3117" r:id="rId3065" display="http://www.imdb.com/title/tt3195644/?ref_=fn_tt_tt_1"/>
    <hyperlink ref="R3118" r:id="rId3066" display="http://www.imdb.com/title/tt0089461/?ref_=fn_tt_tt_1"/>
    <hyperlink ref="R3119" r:id="rId2969" display="http://www.imdb.com/title/tt0208092/?ref_=fn_tt_tt_1"/>
    <hyperlink ref="R3120" r:id="rId3067" display="http://www.imdb.com/title/tt0104692/?ref_=fn_tt_tt_1"/>
    <hyperlink ref="R3121" r:id="rId3068" display="http://www.imdb.com/title/tt0981227/?ref_=fn_tt_tt_1"/>
    <hyperlink ref="R3122" r:id="rId3069" display="http://www.imdb.com/title/tt0120655/?ref_=fn_tt_tt_1"/>
    <hyperlink ref="R3123" r:id="rId3070" display="http://www.imdb.com/title/tt0280460/?ref_=fn_tt_tt_1"/>
    <hyperlink ref="R3124" r:id="rId3071" display="http://www.imdb.com/title/tt0086491/?ref_=fn_tt_tt_1"/>
    <hyperlink ref="R3125" r:id="rId3072" display="http://www.imdb.com/title/tt0098206/?ref_=fn_tt_tt_1"/>
    <hyperlink ref="R3126" r:id="rId3073" display="http://www.imdb.com/title/tt0110399/?ref_=fn_tt_tt_1"/>
    <hyperlink ref="R3127" r:id="rId3074" display="http://www.imdb.com/title/tt0283026/?ref_=fn_tt_tt_1"/>
    <hyperlink ref="R3128" r:id="rId3075" display="http://www.imdb.com/title/tt0424993/?ref_=fn_tt_tt_1"/>
    <hyperlink ref="R3129" r:id="rId3076" display="http://www.imdb.com/title/tt0127723/?ref_=fn_tt_tt_1"/>
    <hyperlink ref="R3130" r:id="rId3077" display="http://www.imdb.com/title/tt0086066/?ref_=fn_tt_tt_1"/>
    <hyperlink ref="R3131" r:id="rId3078" display="http://www.imdb.com/title/tt2788732/?ref_=fn_tt_tt_1"/>
    <hyperlink ref="R3132" r:id="rId3079" display="http://www.imdb.com/title/tt0085407/?ref_=fn_tt_tt_1"/>
    <hyperlink ref="R3133" r:id="rId3080" display="http://www.imdb.com/title/tt2752772/?ref_=fn_tt_tt_1"/>
    <hyperlink ref="R3134" r:id="rId3081" display="http://www.imdb.com/title/tt1876451/?ref_=fn_tt_tt_1"/>
    <hyperlink ref="R3135" r:id="rId3082" display="http://www.imdb.com/title/tt0242998/?ref_=fn_tt_tt_1"/>
    <hyperlink ref="R3136" r:id="rId3083" display="http://www.imdb.com/title/tt1220198/?ref_=fn_tt_tt_1"/>
    <hyperlink ref="R3137" r:id="rId3084" display="http://www.imdb.com/title/tt0420087/?ref_=fn_tt_tt_1"/>
    <hyperlink ref="R3138" r:id="rId3085" display="http://www.imdb.com/title/tt0107079/?ref_=fn_tt_tt_1"/>
    <hyperlink ref="R3139" r:id="rId3086" display="http://www.imdb.com/title/tt0089348/?ref_=fn_tt_tt_1"/>
    <hyperlink ref="R3140" r:id="rId3087" display="http://www.imdb.com/title/tt0403455/?ref_=fn_tt_tt_1"/>
    <hyperlink ref="R3141" r:id="rId3088" display="http://www.imdb.com/title/tt0128445/?ref_=fn_tt_tt_1"/>
    <hyperlink ref="R3142" r:id="rId3089" display="http://www.imdb.com/title/tt1564585/?ref_=fn_tt_tt_1"/>
    <hyperlink ref="R3143" r:id="rId3090" display="http://www.imdb.com/title/tt2555736/?ref_=fn_tt_tt_1"/>
    <hyperlink ref="R3144" r:id="rId3091" display="http://www.imdb.com/title/tt0846308/?ref_=fn_tt_tt_1"/>
    <hyperlink ref="R3145" r:id="rId3092" display="http://www.imdb.com/title/tt0380623/?ref_=fn_tt_tt_1"/>
    <hyperlink ref="R3146" r:id="rId3093" display="http://www.imdb.com/title/tt0100168/?ref_=fn_tt_tt_1"/>
    <hyperlink ref="R3147" r:id="rId3094" display="http://www.imdb.com/title/tt0240468/?ref_=fn_tt_tt_1"/>
    <hyperlink ref="R3148" r:id="rId3095" display="http://www.imdb.com/title/tt0100814/?ref_=fn_tt_tt_1"/>
    <hyperlink ref="R3149" r:id="rId3096" display="http://www.imdb.com/title/tt0295700/?ref_=fn_tt_tt_1"/>
    <hyperlink ref="R3150" r:id="rId3097" display="http://www.imdb.com/title/tt0081071/?ref_=fn_tt_tt_1"/>
    <hyperlink ref="R3151" r:id="rId3098" display="http://www.imdb.com/title/tt0142192/?ref_=fn_tt_tt_1"/>
    <hyperlink ref="R3152" r:id="rId3099" display="http://www.imdb.com/title/tt1935179/?ref_=fn_tt_tt_1"/>
    <hyperlink ref="R3153" r:id="rId3100" display="http://www.imdb.com/title/tt0499554/?ref_=fn_tt_tt_1"/>
    <hyperlink ref="R3154" r:id="rId3101" display="http://www.imdb.com/title/tt2515086/?ref_=fn_tt_tt_1"/>
    <hyperlink ref="R3155" r:id="rId3102" display="http://www.imdb.com/title/tt1092633/?ref_=fn_tt_tt_1"/>
    <hyperlink ref="R3156" r:id="rId3103" display="http://www.imdb.com/title/tt0314166/?ref_=fn_tt_tt_1"/>
    <hyperlink ref="R3157" r:id="rId3104" display="http://www.imdb.com/title/tt1655420/?ref_=fn_tt_tt_1"/>
    <hyperlink ref="R3158" r:id="rId3105" display="http://www.imdb.com/title/tt0365485/?ref_=fn_tt_tt_1"/>
    <hyperlink ref="R3159" r:id="rId3106" display="http://www.imdb.com/title/tt0119572/?ref_=fn_tt_tt_1"/>
    <hyperlink ref="R3160" r:id="rId3107" display="http://www.imdb.com/title/tt4178092/?ref_=fn_tt_tt_1"/>
    <hyperlink ref="R3161" r:id="rId3108" display="http://www.imdb.com/title/tt0399862/?ref_=fn_tt_tt_1"/>
    <hyperlink ref="R3162" r:id="rId3109" display="http://www.imdb.com/title/tt0192071/?ref_=fn_tt_tt_1"/>
    <hyperlink ref="R3163" r:id="rId3110" display="http://www.imdb.com/title/tt0151804/?ref_=fn_tt_tt_1"/>
    <hyperlink ref="R3164" r:id="rId3111" display="http://www.imdb.com/title/tt0157503/?ref_=fn_tt_tt_1"/>
    <hyperlink ref="R3165" r:id="rId3112" display="http://www.imdb.com/title/tt1126590/?ref_=fn_tt_tt_1"/>
    <hyperlink ref="R3166" r:id="rId3113" display="http://www.imdb.com/title/tt0124198/?ref_=fn_tt_tt_1"/>
    <hyperlink ref="R3167" r:id="rId3114" display="http://www.imdb.com/title/tt0368975/?ref_=fn_tt_tt_1"/>
    <hyperlink ref="R3168" r:id="rId3115" display="http://www.imdb.com/title/tt0086984/?ref_=fn_tt_tt_1"/>
    <hyperlink ref="R3169" r:id="rId3116" display="http://www.imdb.com/title/tt1470023/?ref_=fn_tt_tt_1"/>
    <hyperlink ref="R3170" r:id="rId3117" display="http://www.imdb.com/title/tt0301199/?ref_=fn_tt_tt_1"/>
    <hyperlink ref="R3171" r:id="rId3118" display="http://www.imdb.com/title/tt1333125/?ref_=fn_tt_tt_1"/>
    <hyperlink ref="R3172" r:id="rId302" display="http://www.imdb.com/title/tt1243957/?ref_=fn_tt_tt_1"/>
    <hyperlink ref="R3173" r:id="rId3119" display="http://www.imdb.com/title/tt0785007/?ref_=fn_tt_tt_1"/>
    <hyperlink ref="R3174" r:id="rId3120" display="http://www.imdb.com/title/tt1307068/?ref_=fn_tt_tt_1"/>
    <hyperlink ref="R3175" r:id="rId3121" display="http://www.imdb.com/title/tt1477837/?ref_=fn_tt_tt_1"/>
    <hyperlink ref="R3176" r:id="rId3122" display="http://www.imdb.com/title/tt0460627/?ref_=fn_tt_tt_1"/>
    <hyperlink ref="R3177" r:id="rId3123" display="http://www.imdb.com/title/tt0120586/?ref_=fn_tt_tt_1"/>
    <hyperlink ref="R3178" r:id="rId3124" display="http://www.imdb.com/title/tt1748227/?ref_=fn_tt_tt_1"/>
    <hyperlink ref="R3179" r:id="rId3125" display="http://www.imdb.com/title/tt0350194/?ref_=fn_tt_tt_1"/>
    <hyperlink ref="R3180" r:id="rId3126" display="http://www.imdb.com/title/tt0120802/?ref_=fn_tt_tt_1"/>
    <hyperlink ref="R3181" r:id="rId3127" display="http://www.imdb.com/title/tt0166896/?ref_=fn_tt_tt_1"/>
    <hyperlink ref="R3182" r:id="rId3128" display="http://www.imdb.com/title/tt0231448/?ref_=fn_tt_tt_1"/>
    <hyperlink ref="R3183" r:id="rId3129" display="http://www.imdb.com/title/tt2170299/?ref_=fn_tt_tt_1"/>
    <hyperlink ref="R3184" r:id="rId3130" display="http://www.imdb.com/title/tt0425413/?ref_=fn_tt_tt_1"/>
    <hyperlink ref="R3185" r:id="rId3131" display="http://www.imdb.com/title/tt0082507/?ref_=fn_tt_tt_1"/>
    <hyperlink ref="R3186" r:id="rId3132" display="http://www.imdb.com/title/tt2883434/?ref_=fn_tt_tt_1"/>
    <hyperlink ref="R3187" r:id="rId3133" display="http://www.imdb.com/title/tt0279286/?ref_=fn_tt_tt_1"/>
    <hyperlink ref="R3188" r:id="rId3134" display="http://www.imdb.com/title/tt0462504/?ref_=fn_tt_tt_1"/>
    <hyperlink ref="R3189" r:id="rId3135" display="http://www.imdb.com/title/tt1772288/?ref_=fn_tt_tt_1"/>
    <hyperlink ref="R3190" r:id="rId3136" display="http://www.imdb.com/title/tt1588334/?ref_=fn_tt_tt_1"/>
    <hyperlink ref="R3191" r:id="rId3137" display="http://www.imdb.com/title/tt1226236/?ref_=fn_tt_tt_1"/>
    <hyperlink ref="R3192" r:id="rId3138" display="http://www.imdb.com/title/tt1985017/?ref_=fn_tt_tt_1"/>
    <hyperlink ref="R3193" r:id="rId3139" display="http://www.imdb.com/title/tt0107983/?ref_=fn_tt_tt_1"/>
    <hyperlink ref="R3194" r:id="rId3140" display="http://www.imdb.com/title/tt0165854/?ref_=fn_tt_tt_1"/>
    <hyperlink ref="R3195" r:id="rId3141" display="http://www.imdb.com/title/tt0375679/?ref_=fn_tt_tt_1"/>
    <hyperlink ref="R3196" r:id="rId3142" display="http://www.imdb.com/title/tt0200720/?ref_=fn_tt_tt_1"/>
    <hyperlink ref="R3197" r:id="rId3143" display="http://www.imdb.com/title/tt0093483/?ref_=fn_tt_tt_1"/>
    <hyperlink ref="R3198" r:id="rId3144" display="http://www.imdb.com/title/tt0438315/?ref_=fn_tt_tt_1"/>
    <hyperlink ref="R3199" r:id="rId3145" display="http://www.imdb.com/title/tt1411664/?ref_=fn_tt_tt_1"/>
    <hyperlink ref="R3200" r:id="rId3146" display="http://www.imdb.com/title/tt0215545/?ref_=fn_tt_tt_1"/>
    <hyperlink ref="R3201" r:id="rId3147" display="http://www.imdb.com/title/tt3387542/?ref_=fn_tt_tt_1"/>
    <hyperlink ref="R3202" r:id="rId3148" display="http://www.imdb.com/title/tt0083113/?ref_=fn_tt_tt_1"/>
    <hyperlink ref="R3203" r:id="rId3149" display="http://www.imdb.com/title/tt1791682/?ref_=fn_tt_tt_1"/>
    <hyperlink ref="R3204" r:id="rId3150" display="http://www.imdb.com/title/tt1554091/?ref_=fn_tt_tt_1"/>
    <hyperlink ref="R3205" r:id="rId3151" display="http://www.imdb.com/title/tt0278731/?ref_=fn_tt_tt_1"/>
    <hyperlink ref="R3206" r:id="rId3152" display="http://www.imdb.com/title/tt0171356/?ref_=fn_tt_tt_1"/>
    <hyperlink ref="R3207" r:id="rId3153" display="http://www.imdb.com/title/tt0309912/?ref_=fn_tt_tt_1"/>
    <hyperlink ref="R3208" r:id="rId3154" display="http://www.imdb.com/title/tt1491044/?ref_=fn_tt_tt_1"/>
    <hyperlink ref="R3209" r:id="rId2781" display="http://www.imdb.com/title/tt0092337/?ref_=fn_tt_tt_1"/>
    <hyperlink ref="R3210" r:id="rId3155" display="http://www.imdb.com/title/tt0432637/?ref_=fn_tt_tt_1"/>
    <hyperlink ref="R3211" r:id="rId3156" display="http://www.imdb.com/title/tt0173716/?ref_=fn_tt_tt_1"/>
    <hyperlink ref="R3212" r:id="rId3157" display="http://www.imdb.com/title/tt1726669/?ref_=fn_tt_tt_1"/>
    <hyperlink ref="R3213" r:id="rId3158" display="http://www.imdb.com/title/tt1285309/?ref_=fn_tt_tt_1"/>
    <hyperlink ref="R3214" r:id="rId3159" display="http://www.imdb.com/title/tt0285861/?ref_=fn_tt_tt_1"/>
    <hyperlink ref="R3215" r:id="rId3160" display="http://www.imdb.com/title/tt0784972/?ref_=fn_tt_tt_1"/>
    <hyperlink ref="R3216" r:id="rId3161" display="http://www.imdb.com/title/tt0765120/?ref_=fn_tt_tt_1"/>
    <hyperlink ref="R3217" r:id="rId3162" display="http://www.imdb.com/title/tt0120709/?ref_=fn_tt_tt_1"/>
    <hyperlink ref="R3218" r:id="rId3163" display="http://www.imdb.com/title/tt0291502/?ref_=fn_tt_tt_1"/>
    <hyperlink ref="R3219" r:id="rId3164" display="http://www.imdb.com/title/tt0884224/?ref_=fn_tt_tt_1"/>
    <hyperlink ref="R3220" r:id="rId3165" display="http://www.imdb.com/title/tt0286112/?ref_=fn_tt_tt_1"/>
    <hyperlink ref="R3221" r:id="rId3166" display="http://www.imdb.com/title/tt0330099/?ref_=fn_tt_tt_1"/>
    <hyperlink ref="R3222" r:id="rId3167" display="http://www.imdb.com/title/tt0120018/?ref_=fn_tt_tt_1"/>
    <hyperlink ref="R3223" r:id="rId3168" display="http://www.imdb.com/title/tt2752688/?ref_=fn_tt_tt_1"/>
    <hyperlink ref="R3224" r:id="rId3169" display="http://www.imdb.com/title/tt0129923/?ref_=fn_tt_tt_1"/>
    <hyperlink ref="R3225" r:id="rId3170" display="http://www.imdb.com/title/tt1372686/?ref_=fn_tt_tt_1"/>
    <hyperlink ref="R3226" r:id="rId3171" display="http://www.imdb.com/title/tt0373024/?ref_=fn_tt_tt_1"/>
    <hyperlink ref="R3227" r:id="rId3172" display="http://www.imdb.com/title/tt0253126/?ref_=fn_tt_tt_1"/>
    <hyperlink ref="R3228" r:id="rId3173" display="http://www.imdb.com/title/tt1262981/?ref_=fn_tt_tt_1"/>
    <hyperlink ref="R3229" r:id="rId3174" display="http://www.imdb.com/title/tt0464196/?ref_=fn_tt_tt_1"/>
    <hyperlink ref="R3230" r:id="rId3175" display="http://www.imdb.com/title/tt0443496/?ref_=fn_tt_tt_1"/>
    <hyperlink ref="R3231" r:id="rId3176" display="http://www.imdb.com/title/tt1183923/?ref_=fn_tt_tt_1"/>
    <hyperlink ref="R3232" r:id="rId3177" display="http://www.imdb.com/title/tt0110857/?ref_=fn_tt_tt_1"/>
    <hyperlink ref="R3233" r:id="rId3178" display="http://www.imdb.com/title/tt1210039/?ref_=fn_tt_tt_1"/>
    <hyperlink ref="R3234" r:id="rId3179" display="http://www.imdb.com/title/tt2553908/?ref_=fn_tt_tt_1"/>
    <hyperlink ref="R3235" r:id="rId3180" display="http://www.imdb.com/title/tt2113659/?ref_=fn_tt_tt_1"/>
    <hyperlink ref="R3236" r:id="rId3181" display="http://www.imdb.com/title/tt0118577/?ref_=fn_tt_tt_1"/>
    <hyperlink ref="R3237" r:id="rId3182" display="http://www.imdb.com/title/tt1007018/?ref_=fn_tt_tt_1"/>
    <hyperlink ref="R3238" r:id="rId3183" display="http://www.imdb.com/title/tt1247662/?ref_=fn_tt_tt_1"/>
    <hyperlink ref="R3239" r:id="rId3184" display="http://www.imdb.com/title/tt1220220/?ref_=fn_tt_tt_1"/>
    <hyperlink ref="R3240" r:id="rId3185" display="http://www.imdb.com/title/tt1128071/?ref_=fn_tt_tt_1"/>
    <hyperlink ref="R3241" r:id="rId3186" display="http://www.imdb.com/title/tt2325977/?ref_=fn_tt_tt_1"/>
    <hyperlink ref="R3242" r:id="rId3187" display="http://www.imdb.com/title/tt1210071/?ref_=fn_tt_tt_1"/>
    <hyperlink ref="R3243" r:id="rId3188" display="http://www.imdb.com/title/tt0887719/?ref_=fn_tt_tt_1"/>
    <hyperlink ref="R3244" r:id="rId3189" display="http://www.imdb.com/title/tt0488604/?ref_=fn_tt_tt_1"/>
    <hyperlink ref="R3245" r:id="rId3190" display="http://www.imdb.com/title/tt1320291/?ref_=fn_tt_tt_1"/>
    <hyperlink ref="R3246" r:id="rId3191" display="http://www.imdb.com/title/tt0349416/?ref_=fn_tt_tt_1"/>
    <hyperlink ref="R3247" r:id="rId3192" display="http://www.imdb.com/title/tt0496436/?ref_=fn_tt_tt_1"/>
    <hyperlink ref="R3248" r:id="rId3193" display="http://www.imdb.com/title/tt1568139/?ref_=fn_tt_tt_1"/>
    <hyperlink ref="R3249" r:id="rId3194" display="http://www.imdb.com/title/tt1097643/?ref_=fn_tt_tt_1"/>
    <hyperlink ref="R3250" r:id="rId3195" display="http://www.imdb.com/title/tt2722786/?ref_=fn_tt_tt_1"/>
    <hyperlink ref="R3251" r:id="rId3196" display="http://www.imdb.com/title/tt0479341/?ref_=fn_tt_tt_1"/>
    <hyperlink ref="R3252" r:id="rId3197" display="http://www.imdb.com/title/tt3074732/?ref_=fn_tt_tt_1"/>
    <hyperlink ref="R3253" r:id="rId3198" display="http://www.imdb.com/title/tt1319716/?ref_=fn_tt_tt_1"/>
    <hyperlink ref="R3254" r:id="rId3199" display="http://www.imdb.com/title/tt1147687/?ref_=fn_tt_tt_1"/>
    <hyperlink ref="R3255" r:id="rId3200" display="http://www.imdb.com/title/tt0213985/?ref_=fn_tt_tt_1"/>
    <hyperlink ref="R3256" r:id="rId3201" display="http://www.imdb.com/title/tt1070781/?ref_=fn_tt_tt_1"/>
    <hyperlink ref="R3257" r:id="rId3202" display="http://www.imdb.com/title/tt0901487/?ref_=fn_tt_tt_1"/>
    <hyperlink ref="R3258" r:id="rId3203" display="http://www.imdb.com/title/tt1913166/?ref_=fn_tt_tt_1"/>
    <hyperlink ref="R3259" r:id="rId3204" display="http://www.imdb.com/title/tt1376195/?ref_=fn_tt_tt_1"/>
    <hyperlink ref="R3260" r:id="rId3205" display="http://www.imdb.com/title/tt1091722/?ref_=fn_tt_tt_1"/>
    <hyperlink ref="R3261" r:id="rId3206" display="http://www.imdb.com/title/tt0343996/?ref_=fn_tt_tt_1"/>
    <hyperlink ref="R3262" r:id="rId3207" display="http://www.imdb.com/title/tt0195945/?ref_=fn_tt_tt_1"/>
    <hyperlink ref="R3263" r:id="rId3208" display="http://www.imdb.com/title/tt2923316/?ref_=fn_tt_tt_1"/>
    <hyperlink ref="R3264" r:id="rId3209" display="http://www.imdb.com/title/tt0062512/?ref_=fn_tt_tt_1"/>
    <hyperlink ref="R3265" r:id="rId3210" display="http://www.imdb.com/title/tt2556874/?ref_=fn_tt_tt_1"/>
    <hyperlink ref="R3266" r:id="rId3211" display="http://www.imdb.com/title/tt1602620/?ref_=fn_tt_tt_1"/>
    <hyperlink ref="R3267" r:id="rId3212" display="http://www.imdb.com/title/tt0095889/?ref_=fn_tt_tt_1"/>
    <hyperlink ref="R3268" r:id="rId3213" display="http://www.imdb.com/title/tt1612319/?ref_=fn_tt_tt_1"/>
    <hyperlink ref="R3269" r:id="rId3214" display="http://www.imdb.com/title/tt0057193/?ref_=fn_tt_tt_1"/>
    <hyperlink ref="R3270" r:id="rId3215" display="http://www.imdb.com/title/tt0441909/?ref_=fn_tt_tt_1"/>
    <hyperlink ref="R3271" r:id="rId3216" display="http://www.imdb.com/title/tt0082509/?ref_=fn_tt_tt_1"/>
    <hyperlink ref="R3272" r:id="rId3217" display="http://www.imdb.com/title/tt1161418/?ref_=fn_tt_tt_1"/>
    <hyperlink ref="R3273" r:id="rId3218" display="http://www.imdb.com/title/tt0114279/?ref_=fn_tt_tt_1"/>
    <hyperlink ref="R3274" r:id="rId3219" display="http://www.imdb.com/title/tt1694021/?ref_=fn_tt_tt_1"/>
    <hyperlink ref="R3275" r:id="rId3220" display="http://www.imdb.com/title/tt1198101/?ref_=fn_tt_tt_1"/>
    <hyperlink ref="R3276" r:id="rId3221" display="http://www.imdb.com/title/tt1527186/?ref_=fn_tt_tt_1"/>
    <hyperlink ref="R3277" r:id="rId3222" display="http://www.imdb.com/title/tt0803061/?ref_=fn_tt_tt_1"/>
    <hyperlink ref="R3278" r:id="rId3223" display="http://www.imdb.com/title/tt2176013/?ref_=fn_tt_tt_1"/>
    <hyperlink ref="R3279" r:id="rId3224" display="http://www.imdb.com/title/tt0078748/?ref_=fn_tt_tt_1"/>
    <hyperlink ref="R3280" r:id="rId3225" display="http://www.imdb.com/title/tt0072271/?ref_=fn_tt_tt_1"/>
    <hyperlink ref="R3281" r:id="rId3226" display="http://www.imdb.com/title/tt1017451/?ref_=fn_tt_tt_1"/>
    <hyperlink ref="R3282" r:id="rId3227" display="http://www.imdb.com/title/tt0067093/?ref_=fn_tt_tt_1"/>
    <hyperlink ref="R3283" r:id="rId3228" display="http://www.imdb.com/title/tt0059800/?ref_=fn_tt_tt_1"/>
    <hyperlink ref="R3284" r:id="rId3229" display="http://www.imdb.com/title/tt1701990/?ref_=fn_tt_tt_1"/>
    <hyperlink ref="R3285" r:id="rId3230" display="http://www.imdb.com/title/tt1405810/?ref_=fn_tt_tt_1"/>
    <hyperlink ref="R3286" r:id="rId3231" display="http://www.imdb.com/title/tt0117603/?ref_=fn_tt_tt_1"/>
    <hyperlink ref="R3287" r:id="rId3232" display="http://www.imdb.com/title/tt0168501/?ref_=fn_tt_tt_1"/>
    <hyperlink ref="R3288" r:id="rId3233" display="http://www.imdb.com/title/tt0094862/?ref_=fn_tt_tt_1"/>
    <hyperlink ref="R3289" r:id="rId3234" display="http://www.imdb.com/title/tt0386032/?ref_=fn_tt_tt_1"/>
    <hyperlink ref="R3290" r:id="rId3235" display="http://www.imdb.com/title/tt2975578/?ref_=fn_tt_tt_1"/>
    <hyperlink ref="R3291" r:id="rId3236" display="http://www.imdb.com/title/tt0186975/?ref_=fn_tt_tt_1"/>
    <hyperlink ref="R3292" r:id="rId3237" display="http://www.imdb.com/title/tt0366551/?ref_=fn_tt_tt_1"/>
    <hyperlink ref="R3293" r:id="rId3238" display="http://www.imdb.com/title/tt0208874/?ref_=fn_tt_tt_1"/>
    <hyperlink ref="R3294" r:id="rId3239" display="http://www.imdb.com/title/tt0181984/?ref_=fn_tt_tt_1"/>
    <hyperlink ref="R3295" r:id="rId3240" display="http://www.imdb.com/title/tt0086465/?ref_=fn_tt_tt_1"/>
    <hyperlink ref="R3296" r:id="rId3241" display="http://www.imdb.com/title/tt0454082/?ref_=fn_tt_tt_1"/>
    <hyperlink ref="R3297" r:id="rId3242" display="http://www.imdb.com/title/tt0349169/?ref_=fn_tt_tt_1"/>
    <hyperlink ref="R3298" r:id="rId3243" display="http://www.imdb.com/title/tt0097499/?ref_=fn_tt_tt_1"/>
    <hyperlink ref="R3299" r:id="rId3244" display="http://www.imdb.com/title/tt0775529/?ref_=fn_tt_tt_1"/>
    <hyperlink ref="R3300" r:id="rId3245" display="http://www.imdb.com/title/tt0323572/?ref_=fn_tt_tt_1"/>
    <hyperlink ref="R3301" r:id="rId3246" display="http://www.imdb.com/title/tt0202677/?ref_=fn_tt_tt_1"/>
    <hyperlink ref="R3302" r:id="rId3247" display="http://www.imdb.com/title/tt0280760/?ref_=fn_tt_tt_1"/>
    <hyperlink ref="R3303" r:id="rId3248" display="http://www.imdb.com/title/tt0110759/?ref_=fn_tt_tt_1"/>
    <hyperlink ref="R3304" r:id="rId3249" display="http://www.imdb.com/title/tt0482629/?ref_=fn_tt_tt_1"/>
    <hyperlink ref="R3305" r:id="rId3250" display="http://www.imdb.com/title/tt0092325/?ref_=fn_tt_tt_1"/>
    <hyperlink ref="R3306" r:id="rId3251" display="http://www.imdb.com/title/tt0087451/?ref_=fn_tt_tt_1"/>
    <hyperlink ref="R3307" r:id="rId3252" display="http://www.imdb.com/title/tt0441007/?ref_=fn_tt_tt_1"/>
    <hyperlink ref="R3308" r:id="rId3253" display="http://www.imdb.com/title/tt0427968/?ref_=fn_tt_tt_1"/>
    <hyperlink ref="R3309" r:id="rId3254" display="http://www.imdb.com/title/tt1104733/?ref_=fn_tt_tt_1"/>
    <hyperlink ref="R3310" r:id="rId3255" display="http://www.imdb.com/title/tt0120879/?ref_=fn_tt_tt_1"/>
    <hyperlink ref="R3311" r:id="rId3256" display="http://www.imdb.com/title/tt5215952/?ref_=fn_tt_tt_1"/>
    <hyperlink ref="R3312" r:id="rId3257" display="http://www.imdb.com/title/tt1922612/?ref_=fn_tt_tt_1"/>
    <hyperlink ref="R3313" r:id="rId3258" display="http://www.imdb.com/title/tt0290879/?ref_=fn_tt_tt_1"/>
    <hyperlink ref="R3314" r:id="rId3259" display="http://www.imdb.com/title/tt0100827/?ref_=fn_tt_tt_1"/>
    <hyperlink ref="R3315" r:id="rId3260" display="http://www.imdb.com/title/tt3202120/?ref_=fn_tt_tt_1"/>
    <hyperlink ref="R3316" r:id="rId3261" display="http://www.imdb.com/title/tt0286261/?ref_=fn_tt_tt_1"/>
    <hyperlink ref="R3317" r:id="rId3262" display="http://www.imdb.com/title/tt1185344/?ref_=fn_tt_tt_1"/>
    <hyperlink ref="R3318" r:id="rId3263" display="http://www.imdb.com/title/tt0420835/?ref_=fn_tt_tt_1"/>
    <hyperlink ref="R3319" r:id="rId1451" display="http://www.imdb.com/title/tt3276924/?ref_=fn_tt_tt_1"/>
    <hyperlink ref="R3320" r:id="rId3264" display="http://www.imdb.com/title/tt0920458/?ref_=fn_tt_tt_1"/>
    <hyperlink ref="R3321" r:id="rId3265" display="http://www.imdb.com/title/tt0434424/?ref_=fn_tt_tt_1"/>
    <hyperlink ref="R3322" r:id="rId3266" display="http://www.imdb.com/title/tt1259574/?ref_=fn_tt_tt_1"/>
    <hyperlink ref="R3323" r:id="rId3267" display="http://www.imdb.com/title/tt1183672/?ref_=fn_tt_tt_1"/>
    <hyperlink ref="R3324" r:id="rId3268" display="http://www.imdb.com/title/tt1068678/?ref_=fn_tt_tt_1"/>
    <hyperlink ref="R3325" r:id="rId3269" display="http://www.imdb.com/title/tt0090555/?ref_=fn_tt_tt_1"/>
    <hyperlink ref="R3326" r:id="rId3270" display="http://www.imdb.com/title/tt1679332/?ref_=fn_tt_tt_1"/>
    <hyperlink ref="R3327" r:id="rId3271" display="http://www.imdb.com/title/tt0325596/?ref_=fn_tt_tt_1"/>
    <hyperlink ref="R3328" r:id="rId3272" display="http://www.imdb.com/title/tt1418646/?ref_=fn_tt_tt_1"/>
    <hyperlink ref="R3329" r:id="rId3273" display="http://www.imdb.com/title/tt1661420/?ref_=fn_tt_tt_1"/>
    <hyperlink ref="R3330" r:id="rId3274" display="http://www.imdb.com/title/tt0211933/?ref_=fn_tt_tt_1"/>
    <hyperlink ref="R3331" r:id="rId3275" display="http://www.imdb.com/title/tt0458290/?ref_=fn_tt_tt_1"/>
    <hyperlink ref="R3332" r:id="rId3276" display="http://www.imdb.com/title/tt1641841/?ref_=fn_tt_tt_1"/>
    <hyperlink ref="R3333" r:id="rId3277" display="http://www.imdb.com/title/tt0093437/?ref_=fn_tt_tt_1"/>
    <hyperlink ref="R3334" r:id="rId3278" display="http://www.imdb.com/title/tt1263670/?ref_=fn_tt_tt_1"/>
    <hyperlink ref="R3335" r:id="rId3279" display="http://www.imdb.com/title/tt0079826/?ref_=fn_tt_tt_1"/>
    <hyperlink ref="R3336" r:id="rId3280" display="http://www.imdb.com/title/tt1171222/?ref_=fn_tt_tt_1"/>
    <hyperlink ref="R3337" r:id="rId3281" display="http://www.imdb.com/title/tt0062711/?ref_=fn_tt_tt_1"/>
    <hyperlink ref="R3338" r:id="rId3282" display="http://www.imdb.com/title/tt0099816/?ref_=fn_tt_tt_1"/>
    <hyperlink ref="R3339" r:id="rId3283" display="http://www.imdb.com/title/tt0126886/?ref_=fn_tt_tt_1"/>
    <hyperlink ref="R3340" r:id="rId3284" display="http://www.imdb.com/title/tt0433416/?ref_=fn_tt_tt_1"/>
    <hyperlink ref="R3341" r:id="rId3285" display="http://www.imdb.com/title/tt1666801/?ref_=fn_tt_tt_1"/>
    <hyperlink ref="R3342" r:id="rId3286" display="http://www.imdb.com/title/tt0118589/?ref_=fn_tt_tt_1"/>
    <hyperlink ref="R3343" r:id="rId3287" display="http://www.imdb.com/title/tt1457765/?ref_=fn_tt_tt_1"/>
    <hyperlink ref="R3344" r:id="rId3288" display="http://www.imdb.com/title/tt0387596/?ref_=fn_tt_tt_1"/>
    <hyperlink ref="R3345" r:id="rId3289" display="http://www.imdb.com/title/tt0810784/?ref_=fn_tt_tt_1"/>
    <hyperlink ref="R3346" r:id="rId3290" display="http://www.imdb.com/title/tt1188996/?ref_=fn_tt_tt_1"/>
    <hyperlink ref="R3347" r:id="rId2008" display="http://www.imdb.com/title/tt0087277/?ref_=fn_tt_tt_1"/>
    <hyperlink ref="R3348" r:id="rId3291" display="http://www.imdb.com/title/tt2017038/?ref_=fn_tt_tt_1"/>
    <hyperlink ref="R3349" r:id="rId3292" display="http://www.imdb.com/title/tt0164085/?ref_=fn_tt_tt_1"/>
    <hyperlink ref="R3350" r:id="rId3293" display="http://www.imdb.com/title/tt0795434/?ref_=fn_tt_tt_1"/>
    <hyperlink ref="R3351" r:id="rId3294" display="http://www.imdb.com/title/tt0460989/?ref_=fn_tt_tt_1"/>
    <hyperlink ref="R3352" r:id="rId3295" display="http://www.imdb.com/title/tt2178470/?ref_=fn_tt_tt_1"/>
    <hyperlink ref="R3353" r:id="rId1176" display="http://www.imdb.com/title/tt0087538/?ref_=fn_tt_tt_1"/>
    <hyperlink ref="R3354" r:id="rId3296" display="http://www.imdb.com/title/tt0043949/?ref_=fn_tt_tt_1"/>
    <hyperlink ref="R3355" r:id="rId3297" display="http://www.imdb.com/title/tt0963194/?ref_=fn_tt_tt_1"/>
    <hyperlink ref="R3356" r:id="rId3298" display="http://www.imdb.com/title/tt0493264/?ref_=fn_tt_tt_1"/>
    <hyperlink ref="R3357" r:id="rId3299" display="http://www.imdb.com/title/tt0110912/?ref_=fn_tt_tt_1"/>
    <hyperlink ref="R3358" r:id="rId3300" display="http://www.imdb.com/title/tt0079588/?ref_=fn_tt_tt_1"/>
    <hyperlink ref="R3359" r:id="rId3301" display="http://www.imdb.com/title/tt2872718/?ref_=fn_tt_tt_1"/>
    <hyperlink ref="R3360" r:id="rId3302" display="http://www.imdb.com/title/tt0331953/?ref_=fn_tt_tt_1"/>
    <hyperlink ref="R3361" r:id="rId3303" display="http://www.imdb.com/title/tt0059742/?ref_=fn_tt_tt_1"/>
    <hyperlink ref="R3362" r:id="rId3304" display="http://www.imdb.com/title/tt0088161/?ref_=fn_tt_tt_1"/>
    <hyperlink ref="R3363" r:id="rId3305" display="http://www.imdb.com/title/tt0449059/?ref_=fn_tt_tt_1"/>
    <hyperlink ref="R3364" r:id="rId3306" display="http://www.imdb.com/title/tt0092005/?ref_=fn_tt_tt_1"/>
    <hyperlink ref="R3365" r:id="rId3307" display="http://www.imdb.com/title/tt0289043/?ref_=fn_tt_tt_1"/>
    <hyperlink ref="R3366" r:id="rId3308" display="http://www.imdb.com/title/tt0365957/?ref_=fn_tt_tt_1"/>
    <hyperlink ref="R3367" r:id="rId3309" display="http://www.imdb.com/title/tt0079116/?ref_=fn_tt_tt_1"/>
    <hyperlink ref="R3368" r:id="rId3310" display="http://www.imdb.com/title/tt0297037/?ref_=fn_tt_tt_1"/>
    <hyperlink ref="R3369" r:id="rId3311" display="http://www.imdb.com/title/tt0117891/?ref_=fn_tt_tt_1"/>
    <hyperlink ref="R3370" r:id="rId3312" display="http://www.imdb.com/title/tt1306980/?ref_=fn_tt_tt_1"/>
    <hyperlink ref="R3371" r:id="rId3313" display="http://www.imdb.com/title/tt0482599/?ref_=fn_tt_tt_1"/>
    <hyperlink ref="R3372" r:id="rId426" display="http://www.imdb.com/title/tt0083767/?ref_=fn_tt_tt_1"/>
    <hyperlink ref="R3373" r:id="rId3314" display="http://www.imdb.com/title/tt1800246/?ref_=fn_tt_tt_1"/>
    <hyperlink ref="R3374" r:id="rId3315" display="http://www.imdb.com/title/tt0082763/?ref_=fn_tt_tt_1"/>
    <hyperlink ref="R3375" r:id="rId3316" display="http://www.imdb.com/title/tt4254584/?ref_=fn_tt_tt_1"/>
    <hyperlink ref="R3376" r:id="rId3317" display="http://www.imdb.com/title/tt0107616/?ref_=fn_tt_tt_1"/>
    <hyperlink ref="R3377" r:id="rId3318" display="http://www.imdb.com/title/tt0064757/?ref_=fn_tt_tt_1"/>
    <hyperlink ref="R3378" r:id="rId3319" display="http://www.imdb.com/title/tt4474310/?ref_=fn_tt_tt_1"/>
    <hyperlink ref="R3379" r:id="rId3320" display="http://www.imdb.com/title/tt0111686/?ref_=fn_tt_tt_1"/>
    <hyperlink ref="R3380" r:id="rId3321" display="http://www.imdb.com/title/tt0164114/?ref_=fn_tt_tt_1"/>
    <hyperlink ref="R3381" r:id="rId3322" display="http://www.imdb.com/title/tt0437800/?ref_=fn_tt_tt_1"/>
    <hyperlink ref="R3382" r:id="rId3323" display="http://www.imdb.com/title/tt0120693/?ref_=fn_tt_tt_1"/>
    <hyperlink ref="R3383" r:id="rId3324" display="http://www.imdb.com/title/tt1095174/?ref_=fn_tt_tt_1"/>
    <hyperlink ref="R3384" r:id="rId962" display="http://www.imdb.com/title/tt0365737/?ref_=fn_tt_tt_1"/>
    <hyperlink ref="R3385" r:id="rId3325" display="http://www.imdb.com/title/tt0144084/?ref_=fn_tt_tt_1"/>
    <hyperlink ref="R3386" r:id="rId3326" display="http://www.imdb.com/title/tt0279113/?ref_=fn_tt_tt_1"/>
    <hyperlink ref="R3387" r:id="rId3327" display="http://www.imdb.com/title/tt0479647/?ref_=fn_tt_tt_1"/>
    <hyperlink ref="R3388" r:id="rId3328" display="http://www.imdb.com/title/tt1300851/?ref_=fn_tt_tt_1"/>
    <hyperlink ref="R3389" r:id="rId3329" display="http://www.imdb.com/title/tt0896923/?ref_=fn_tt_tt_1"/>
    <hyperlink ref="R3390" r:id="rId3330" display="http://www.imdb.com/title/tt2390361/?ref_=fn_tt_tt_1"/>
    <hyperlink ref="R3391" r:id="rId3331" display="http://www.imdb.com/title/tt1282140/?ref_=fn_tt_tt_1"/>
    <hyperlink ref="R3392" r:id="rId3332" display="http://www.imdb.com/title/tt0110137/?ref_=fn_tt_tt_1"/>
    <hyperlink ref="R3393" r:id="rId3333" display="http://www.imdb.com/title/tt0189998/?ref_=fn_tt_tt_1"/>
    <hyperlink ref="R3394" r:id="rId3334" display="http://www.imdb.com/title/tt1604171/?ref_=fn_tt_tt_1"/>
    <hyperlink ref="R3395" r:id="rId3335" display="http://www.imdb.com/title/tt0117283/?ref_=fn_tt_tt_1"/>
    <hyperlink ref="R3396" r:id="rId3336" display="http://www.imdb.com/title/tt0165831/?ref_=fn_tt_tt_1"/>
    <hyperlink ref="R3397" r:id="rId3337" display="http://www.imdb.com/title/tt0206420/?ref_=fn_tt_tt_1"/>
    <hyperlink ref="R3398" r:id="rId3338" display="http://www.imdb.com/title/tt0104454/?ref_=fn_tt_tt_1"/>
    <hyperlink ref="R3399" r:id="rId3339" display="http://www.imdb.com/title/tt5016504/?ref_=fn_tt_tt_1"/>
    <hyperlink ref="R3400" r:id="rId3340" display="http://www.imdb.com/title/tt2401878/?ref_=fn_tt_tt_1"/>
    <hyperlink ref="R3401" r:id="rId3341" display="http://www.imdb.com/title/tt1431181/?ref_=fn_tt_tt_1"/>
    <hyperlink ref="R3402" r:id="rId3342" display="http://www.imdb.com/title/tt0283832/?ref_=fn_tt_tt_1"/>
    <hyperlink ref="R3403" r:id="rId3343" display="http://www.imdb.com/title/tt0102915/?ref_=fn_tt_tt_1"/>
    <hyperlink ref="R3404" r:id="rId3344" display="http://www.imdb.com/title/tt0118863/?ref_=fn_tt_tt_1"/>
    <hyperlink ref="R3405" r:id="rId3345" display="http://www.imdb.com/title/tt0804497/?ref_=fn_tt_tt_1"/>
    <hyperlink ref="R3406" r:id="rId3346" display="http://www.imdb.com/title/tt1371155/?ref_=fn_tt_tt_1"/>
    <hyperlink ref="R3407" r:id="rId3347" display="http://www.imdb.com/title/tt0829098/?ref_=fn_tt_tt_1"/>
    <hyperlink ref="R3408" r:id="rId3348" display="http://www.imdb.com/title/tt0119937/?ref_=fn_tt_tt_1"/>
    <hyperlink ref="R3409" r:id="rId3349" display="http://www.imdb.com/title/tt0086582/?ref_=fn_tt_tt_1"/>
    <hyperlink ref="R3410" r:id="rId3350" display="http://www.imdb.com/title/tt0485601/?ref_=fn_tt_tt_1"/>
    <hyperlink ref="R3411" r:id="rId3351" display="http://www.imdb.com/title/tt1980929/?ref_=fn_tt_tt_1"/>
    <hyperlink ref="R3412" r:id="rId3352" display="http://www.imdb.com/title/tt0398027/?ref_=fn_tt_tt_1"/>
    <hyperlink ref="R3413" r:id="rId3353" display="http://www.imdb.com/title/tt0283503/?ref_=fn_tt_tt_1"/>
    <hyperlink ref="R3414" r:id="rId3354" display="http://www.imdb.com/title/tt2241676/?ref_=fn_tt_tt_1"/>
    <hyperlink ref="R3415" r:id="rId3355" display="http://www.imdb.com/title/tt0314676/?ref_=fn_tt_tt_1"/>
    <hyperlink ref="R3416" r:id="rId3356" display="http://www.imdb.com/title/tt0119494/?ref_=fn_tt_tt_1"/>
    <hyperlink ref="R3417" r:id="rId3357" display="http://www.imdb.com/title/tt0457572/?ref_=fn_tt_tt_1"/>
    <hyperlink ref="R3418" r:id="rId3358" display="http://www.imdb.com/title/tt0373445/?ref_=fn_tt_tt_1"/>
    <hyperlink ref="R3419" r:id="rId3359" display="http://www.imdb.com/title/tt1235189/?ref_=fn_tt_tt_1"/>
    <hyperlink ref="R3420" r:id="rId3360" display="http://www.imdb.com/title/tt0964539/?ref_=fn_tt_tt_1"/>
    <hyperlink ref="R3421" r:id="rId3361" display="http://www.imdb.com/title/tt1238834/?ref_=fn_tt_tt_1"/>
    <hyperlink ref="R3422" r:id="rId3362" display="http://www.imdb.com/title/tt0360323/?ref_=fn_tt_tt_1"/>
    <hyperlink ref="R3423" r:id="rId3363" display="http://www.imdb.com/title/tt0342272/?ref_=fn_tt_tt_1"/>
    <hyperlink ref="R3424" r:id="rId3364" display="http://www.imdb.com/title/tt2494384/?ref_=fn_tt_tt_1"/>
    <hyperlink ref="R3425" r:id="rId3365" display="http://www.imdb.com/title/tt0094625/?ref_=fn_tt_tt_1"/>
    <hyperlink ref="R3426" r:id="rId3366" display="http://www.imdb.com/title/tt0473188/?ref_=fn_tt_tt_1"/>
    <hyperlink ref="R3427" r:id="rId3367" display="http://www.imdb.com/title/tt0460505/?ref_=fn_tt_tt_1"/>
    <hyperlink ref="R3428" r:id="rId3368" display="http://www.imdb.com/title/tt2112277/?ref_=fn_tt_tt_1"/>
    <hyperlink ref="R3429" r:id="rId3369" display="http://www.imdb.com/title/tt2102502/?ref_=fn_tt_tt_1"/>
    <hyperlink ref="R3430" r:id="rId3370" display="http://www.imdb.com/title/tt0421994/?ref_=fn_tt_tt_1"/>
    <hyperlink ref="R3431" r:id="rId3371" display="http://www.imdb.com/title/tt4196848/?ref_=fn_tt_tt_1"/>
    <hyperlink ref="R3432" r:id="rId3372" display="http://www.imdb.com/title/tt0324133/?ref_=fn_tt_tt_1"/>
    <hyperlink ref="R3433" r:id="rId3373" display="http://www.imdb.com/title/tt2628316/?ref_=fn_tt_tt_1"/>
    <hyperlink ref="R3434" r:id="rId3374" display="http://www.imdb.com/title/tt0094764/?ref_=fn_tt_tt_1"/>
    <hyperlink ref="R3435" r:id="rId3375" display="http://www.imdb.com/title/tt4060866/?ref_=fn_tt_tt_1"/>
    <hyperlink ref="R3436" r:id="rId3376" display="http://www.imdb.com/title/tt0097239/?ref_=fn_tt_tt_1"/>
    <hyperlink ref="R3437" r:id="rId3377" display="http://www.imdb.com/title/tt0120169/?ref_=fn_tt_tt_1"/>
    <hyperlink ref="R3438" r:id="rId3378" display="http://www.imdb.com/title/tt0113326/?ref_=fn_tt_tt_1"/>
    <hyperlink ref="R3439" r:id="rId3379" display="http://www.imdb.com/title/tt2936180/?ref_=fn_tt_tt_1"/>
    <hyperlink ref="R3440" r:id="rId3380" display="http://www.imdb.com/title/tt0427944/?ref_=fn_tt_tt_1"/>
    <hyperlink ref="R3441" r:id="rId3381" display="http://www.imdb.com/title/tt0498353/?ref_=fn_tt_tt_1"/>
    <hyperlink ref="R3442" r:id="rId3382" display="http://www.imdb.com/title/tt1174732/?ref_=fn_tt_tt_1"/>
    <hyperlink ref="R3443" r:id="rId3383" display="http://www.imdb.com/title/tt0338427/?ref_=fn_tt_tt_1"/>
    <hyperlink ref="R3444" r:id="rId3384" display="http://www.imdb.com/title/tt0087428/?ref_=fn_tt_tt_1"/>
    <hyperlink ref="R3445" r:id="rId3385" display="http://www.imdb.com/title/tt0272207/?ref_=fn_tt_tt_1"/>
    <hyperlink ref="R3446" r:id="rId3386" display="http://www.imdb.com/title/tt0263734/?ref_=fn_tt_tt_1"/>
    <hyperlink ref="R3447" r:id="rId3387" display="http://www.imdb.com/title/tt1001562/?ref_=fn_tt_tt_1"/>
    <hyperlink ref="R3448" r:id="rId3388" display="http://www.imdb.com/title/tt0410454/?ref_=fn_tt_tt_1"/>
    <hyperlink ref="R3449" r:id="rId3389" display="http://www.imdb.com/title/tt1225822/?ref_=fn_tt_tt_1"/>
    <hyperlink ref="R3450" r:id="rId3390" display="http://www.imdb.com/title/tt0319829/?ref_=fn_tt_tt_1"/>
    <hyperlink ref="R3451" r:id="rId3391" display="http://www.imdb.com/title/tt0269329/?ref_=fn_tt_tt_1"/>
    <hyperlink ref="R3452" r:id="rId3392" display="http://www.imdb.com/title/tt0345061/?ref_=fn_tt_tt_1"/>
    <hyperlink ref="R3453" r:id="rId3393" display="http://www.imdb.com/title/tt1772422/?ref_=fn_tt_tt_1"/>
    <hyperlink ref="R3454" r:id="rId3141" display="http://www.imdb.com/title/tt0375679/?ref_=fn_tt_tt_1"/>
    <hyperlink ref="R3455" r:id="rId3394" display="http://www.imdb.com/title/tt1602098/?ref_=fn_tt_tt_1"/>
    <hyperlink ref="R3456" r:id="rId3395" display="http://www.imdb.com/title/tt2147225/?ref_=fn_tt_tt_1"/>
    <hyperlink ref="R3457" r:id="rId3396" display="http://www.imdb.com/title/tt0833553/?ref_=fn_tt_tt_1"/>
    <hyperlink ref="R3458" r:id="rId3397" display="http://www.imdb.com/title/tt0808417/?ref_=fn_tt_tt_1"/>
    <hyperlink ref="R3459" r:id="rId3398" display="http://www.imdb.com/title/tt1085779/?ref_=fn_tt_tt_1"/>
    <hyperlink ref="R3460" r:id="rId3399" display="http://www.imdb.com/title/tt1063669/?ref_=fn_tt_tt_1"/>
    <hyperlink ref="R3461" r:id="rId3400" display="http://www.imdb.com/title/tt1974419/?ref_=fn_tt_tt_1"/>
    <hyperlink ref="R3462" r:id="rId3401" display="http://www.imdb.com/title/tt1289406/?ref_=fn_tt_tt_1"/>
    <hyperlink ref="R3463" r:id="rId7" display="http://www.imdb.com/title/tt0413300/?ref_=fn_tt_tt_1"/>
    <hyperlink ref="R3464" r:id="rId3402" display="http://www.imdb.com/title/tt0203408/?ref_=fn_tt_tt_1"/>
    <hyperlink ref="R3465" r:id="rId3403" display="http://www.imdb.com/title/tt0467406/?ref_=fn_tt_tt_1"/>
    <hyperlink ref="R3466" r:id="rId3404" display="http://www.imdb.com/title/tt3488328/?ref_=fn_tt_tt_1"/>
    <hyperlink ref="R3467" r:id="rId3405" display="http://www.imdb.com/title/tt0066995/?ref_=fn_tt_tt_1"/>
    <hyperlink ref="R3468" r:id="rId3406" display="http://www.imdb.com/title/tt0068646/?ref_=fn_tt_tt_1"/>
    <hyperlink ref="R3469" r:id="rId3407" display="http://www.imdb.com/title/tt0085549/?ref_=fn_tt_tt_1"/>
    <hyperlink ref="R3470" r:id="rId3408" display="http://www.imdb.com/title/tt1022603/?ref_=fn_tt_tt_1"/>
    <hyperlink ref="R3471" r:id="rId3409" display="http://www.imdb.com/title/tt0107822/?ref_=fn_tt_tt_1"/>
    <hyperlink ref="R3472" r:id="rId3410" display="http://www.imdb.com/title/tt1915581/?ref_=fn_tt_tt_1"/>
    <hyperlink ref="R3473" r:id="rId3411" display="http://www.imdb.com/title/tt0282209/?ref_=fn_tt_tt_1"/>
    <hyperlink ref="R3474" r:id="rId3412" display="http://www.imdb.com/title/tt0070328/?ref_=fn_tt_tt_1"/>
    <hyperlink ref="R3475" r:id="rId3413" display="http://www.imdb.com/title/tt0156812/?ref_=fn_tt_tt_1"/>
    <hyperlink ref="R3476" r:id="rId3414" display="http://www.imdb.com/title/tt0832266/?ref_=fn_tt_tt_1"/>
    <hyperlink ref="R3477" r:id="rId3415" display="http://www.imdb.com/title/tt1640484/?ref_=fn_tt_tt_1"/>
    <hyperlink ref="R3478" r:id="rId51" display="http://www.imdb.com/title/tt1343092/?ref_=fn_tt_tt_1"/>
    <hyperlink ref="R3479" r:id="rId3416" display="http://www.imdb.com/title/tt0433383/?ref_=fn_tt_tt_1"/>
    <hyperlink ref="R3480" r:id="rId3417" display="http://www.imdb.com/title/tt0379725/?ref_=fn_tt_tt_1"/>
    <hyperlink ref="R3481" r:id="rId3418" display="http://www.imdb.com/title/tt0112851/?ref_=fn_tt_tt_1"/>
    <hyperlink ref="R3482" r:id="rId2842" display="http://www.imdb.com/title/tt0218378/?ref_=fn_tt_tt_1"/>
    <hyperlink ref="R3483" r:id="rId3419" display="http://www.imdb.com/title/tt2802850/?ref_=fn_tt_tt_1"/>
    <hyperlink ref="R3484" r:id="rId3420" display="http://www.imdb.com/title/tt0074812/?ref_=fn_tt_tt_1"/>
    <hyperlink ref="R3485" r:id="rId3421" display="http://www.imdb.com/title/tt0071807/?ref_=fn_tt_tt_1"/>
    <hyperlink ref="R3486" r:id="rId3422" display="http://www.imdb.com/title/tt0094612/?ref_=fn_tt_tt_1"/>
    <hyperlink ref="R3487" r:id="rId3423" display="http://www.imdb.com/title/tt0435625/?ref_=fn_tt_tt_1"/>
    <hyperlink ref="R3488" r:id="rId3424" display="http://www.imdb.com/title/tt0245280/?ref_=fn_tt_tt_1"/>
    <hyperlink ref="R3489" r:id="rId3425" display="http://www.imdb.com/title/tt2752758/?ref_=fn_tt_tt_1"/>
    <hyperlink ref="R3490" r:id="rId3426" display="http://www.imdb.com/title/tt0116324/?ref_=fn_tt_tt_1"/>
    <hyperlink ref="R3491" r:id="rId3427" display="http://www.imdb.com/title/tt0395584/?ref_=fn_tt_tt_1"/>
    <hyperlink ref="R3492" r:id="rId3428" display="http://www.imdb.com/title/tt0118276/?ref_=fn_tt_tt_1"/>
    <hyperlink ref="R3493" r:id="rId3429" display="http://www.imdb.com/title/tt3850214/?ref_=fn_tt_tt_1"/>
    <hyperlink ref="R3494" r:id="rId3430" display="http://www.imdb.com/title/tt0160401/?ref_=fn_tt_tt_1"/>
    <hyperlink ref="R3495" r:id="rId31" display="http://www.imdb.com/title/tt1074638/?ref_=fn_tt_tt_1"/>
    <hyperlink ref="R3496" r:id="rId3431" display="http://www.imdb.com/title/tt0251736/?ref_=fn_tt_tt_1"/>
    <hyperlink ref="R3497" r:id="rId3432" display="http://www.imdb.com/title/tt0072626/?ref_=fn_tt_tt_1"/>
    <hyperlink ref="R3498" r:id="rId3433" display="http://www.imdb.com/title/tt1019452/?ref_=fn_tt_tt_1"/>
    <hyperlink ref="R3499" r:id="rId3434" display="http://www.imdb.com/title/tt1194263/?ref_=fn_tt_tt_1"/>
    <hyperlink ref="R3500" r:id="rId3435" display="http://www.imdb.com/title/tt0098622/?ref_=fn_tt_tt_1"/>
    <hyperlink ref="R3501" r:id="rId3436" display="http://www.imdb.com/title/tt3125324/?ref_=fn_tt_tt_1"/>
    <hyperlink ref="R3502" r:id="rId3437" display="http://www.imdb.com/title/tt1315981/?ref_=fn_tt_tt_1"/>
    <hyperlink ref="R3503" r:id="rId3438" display="http://www.imdb.com/title/tt0095497/?ref_=fn_tt_tt_1"/>
    <hyperlink ref="R3504" r:id="rId3439" display="http://www.imdb.com/title/tt0125971/?ref_=fn_tt_tt_1"/>
    <hyperlink ref="R3505" r:id="rId3440" display="http://www.imdb.com/title/tt0361411/?ref_=fn_tt_tt_1"/>
    <hyperlink ref="R3506" r:id="rId3441" display="http://www.imdb.com/title/tt0252444/?ref_=fn_tt_tt_1"/>
    <hyperlink ref="R3507" r:id="rId3442" display="http://www.imdb.com/title/tt0785077/?ref_=fn_tt_tt_1"/>
    <hyperlink ref="R3508" r:id="rId3443" display="http://www.imdb.com/title/tt0105459/?ref_=fn_tt_tt_1"/>
    <hyperlink ref="R3509" r:id="rId3444" display="http://www.imdb.com/title/tt1592154/?ref_=fn_tt_tt_1"/>
    <hyperlink ref="R3510" r:id="rId3445" display="http://www.imdb.com/title/tt0250371/?ref_=fn_tt_tt_1"/>
    <hyperlink ref="R3511" r:id="rId3446" display="http://www.imdb.com/title/tt0204993/?ref_=fn_tt_tt_1"/>
    <hyperlink ref="R3512" r:id="rId3447" display="http://www.imdb.com/title/tt0420332/?ref_=fn_tt_tt_1"/>
    <hyperlink ref="R3513" r:id="rId3448" display="http://www.imdb.com/title/tt1012804/?ref_=fn_tt_tt_1"/>
    <hyperlink ref="R3514" r:id="rId3449" display="http://www.imdb.com/title/tt1336617/?ref_=fn_tt_tt_1"/>
    <hyperlink ref="R3515" r:id="rId3450" display="http://www.imdb.com/title/tt0160216/?ref_=fn_tt_tt_1"/>
    <hyperlink ref="R3516" r:id="rId3451" display="http://www.imdb.com/title/tt0298744/?ref_=fn_tt_tt_1"/>
    <hyperlink ref="R3517" r:id="rId3452" display="http://www.imdb.com/title/tt0432402/?ref_=fn_tt_tt_1"/>
    <hyperlink ref="R3518" r:id="rId3453" display="http://www.imdb.com/title/tt1242460/?ref_=fn_tt_tt_1"/>
    <hyperlink ref="R3519" r:id="rId3454" display="http://www.imdb.com/title/tt2739338/?ref_=fn_tt_tt_1"/>
    <hyperlink ref="R3520" r:id="rId3455" display="http://www.imdb.com/title/tt1034324/?ref_=fn_tt_tt_1"/>
    <hyperlink ref="R3521" r:id="rId3456" display="http://www.imdb.com/title/tt0085868/?ref_=fn_tt_tt_1"/>
    <hyperlink ref="R3522" r:id="rId3457" display="http://www.imdb.com/title/tt1121977/?ref_=fn_tt_tt_1"/>
    <hyperlink ref="R3523" r:id="rId3458" display="http://www.imdb.com/title/tt0076175/?ref_=fn_tt_tt_1"/>
    <hyperlink ref="R3524" r:id="rId3459" display="http://www.imdb.com/title/tt0108500/?ref_=fn_tt_tt_1"/>
    <hyperlink ref="R3525" r:id="rId3460" display="http://www.imdb.com/title/tt1421051/?ref_=fn_tt_tt_1"/>
    <hyperlink ref="R3526" r:id="rId3461" display="http://www.imdb.com/title/tt1220628/?ref_=fn_tt_tt_1"/>
    <hyperlink ref="R3527" r:id="rId3462" display="http://www.imdb.com/title/tt0118836/?ref_=fn_tt_tt_1"/>
    <hyperlink ref="R3528" r:id="rId3463" display="http://www.imdb.com/title/tt1403177/?ref_=fn_tt_tt_1"/>
    <hyperlink ref="R3529" r:id="rId3464" display="http://www.imdb.com/title/tt2402105/?ref_=fn_tt_tt_1"/>
    <hyperlink ref="R3530" r:id="rId3465" display="http://www.imdb.com/title/tt0302674/?ref_=fn_tt_tt_1"/>
    <hyperlink ref="R3531" r:id="rId3466" display="http://www.imdb.com/title/tt0301390/?ref_=fn_tt_tt_1"/>
    <hyperlink ref="R3532" r:id="rId3467" display="http://www.imdb.com/title/tt1658801/?ref_=fn_tt_tt_1"/>
    <hyperlink ref="R3533" r:id="rId3468" display="http://www.imdb.com/title/tt1361313/?ref_=fn_tt_tt_1"/>
    <hyperlink ref="R3534" r:id="rId3469" display="http://www.imdb.com/title/tt2328813/?ref_=fn_tt_tt_1"/>
    <hyperlink ref="R3535" r:id="rId3470" display="http://www.imdb.com/title/tt1106860/?ref_=fn_tt_tt_1"/>
    <hyperlink ref="R3536" r:id="rId3471" display="http://www.imdb.com/title/tt0419256/?ref_=fn_tt_tt_1"/>
    <hyperlink ref="R3537" r:id="rId3472" display="http://www.imdb.com/title/tt0144117/?ref_=fn_tt_tt_1"/>
    <hyperlink ref="R3538" r:id="rId3473" display="http://www.imdb.com/title/tt3469440/?ref_=fn_tt_tt_1"/>
    <hyperlink ref="R3539" r:id="rId3474" display="http://www.imdb.com/title/tt1756851/?ref_=fn_tt_tt_1"/>
    <hyperlink ref="R3540" r:id="rId3475" display="http://www.imdb.com/title/tt2243621/?ref_=fn_tt_tt_1"/>
    <hyperlink ref="R3541" r:id="rId3476" display="http://www.imdb.com/title/tt4061848/?ref_=fn_tt_tt_1"/>
    <hyperlink ref="R3542" r:id="rId3477" display="http://www.imdb.com/title/tt0089767/?ref_=fn_tt_tt_1"/>
    <hyperlink ref="R3543" r:id="rId3478" display="http://www.imdb.com/title/tt0942903/?ref_=fn_tt_tt_1"/>
    <hyperlink ref="R3544" r:id="rId3479" display="http://www.imdb.com/title/tt0106677/?ref_=fn_tt_tt_1"/>
    <hyperlink ref="R3545" r:id="rId3480" display="http://www.imdb.com/title/tt0810900/?ref_=fn_tt_tt_1"/>
    <hyperlink ref="R3546" r:id="rId3481" display="http://www.imdb.com/title/tt4412528/?ref_=fn_tt_tt_1"/>
    <hyperlink ref="R3547" r:id="rId3482" display="http://www.imdb.com/title/tt3687310/?ref_=fn_tt_tt_1"/>
    <hyperlink ref="R3548" r:id="rId3483" display="http://www.imdb.com/title/tt0130444/?ref_=fn_tt_tt_1"/>
    <hyperlink ref="R3549" r:id="rId3484" display="http://www.imdb.com/title/tt0406650/?ref_=fn_tt_tt_1"/>
    <hyperlink ref="R3550" r:id="rId3485" display="http://www.imdb.com/title/tt0323939/?ref_=fn_tt_tt_1"/>
    <hyperlink ref="R3551" r:id="rId3486" display="http://www.imdb.com/title/tt1582507/?ref_=fn_tt_tt_1"/>
    <hyperlink ref="R3552" r:id="rId3487" display="http://www.imdb.com/title/tt1255953/?ref_=fn_tt_tt_1"/>
    <hyperlink ref="R3553" r:id="rId3488" display="http://www.imdb.com/title/tt0323807/?ref_=fn_tt_tt_1"/>
    <hyperlink ref="R3554" r:id="rId3489" display="http://www.imdb.com/title/tt1003034/?ref_=fn_tt_tt_1"/>
    <hyperlink ref="R3555" r:id="rId3490" display="http://www.imdb.com/title/tt0861739/?ref_=fn_tt_tt_1"/>
    <hyperlink ref="R3556" r:id="rId3491" display="http://www.imdb.com/title/tt3322940/?ref_=fn_tt_tt_1"/>
    <hyperlink ref="R3557" r:id="rId3492" display="http://www.imdb.com/title/tt1148165/?ref_=fn_tt_tt_1"/>
    <hyperlink ref="R3558" r:id="rId3493" display="http://www.imdb.com/title/tt0101507/?ref_=fn_tt_tt_1"/>
    <hyperlink ref="R3559" r:id="rId3494" display="http://www.imdb.com/title/tt0093378/?ref_=fn_tt_tt_1"/>
    <hyperlink ref="R3560" r:id="rId3495" display="http://www.imdb.com/title/tt0082405/?ref_=fn_tt_tt_1"/>
    <hyperlink ref="R3561" r:id="rId3496" display="http://www.imdb.com/title/tt0080661/?ref_=fn_tt_tt_1"/>
    <hyperlink ref="R3562" r:id="rId3497" display="http://www.imdb.com/title/tt0106223/?ref_=fn_tt_tt_1"/>
    <hyperlink ref="R3563" r:id="rId3498" display="http://www.imdb.com/title/tt0139239/?ref_=fn_tt_tt_1"/>
    <hyperlink ref="R3564" r:id="rId3499" display="http://www.imdb.com/title/tt0436331/?ref_=fn_tt_tt_1"/>
    <hyperlink ref="R3565" r:id="rId3500" display="http://www.imdb.com/title/tt0066769/?ref_=fn_tt_tt_1"/>
    <hyperlink ref="R3566" r:id="rId3501" display="http://www.imdb.com/title/tt0200469/?ref_=fn_tt_tt_1"/>
    <hyperlink ref="R3567" r:id="rId3502" display="http://www.imdb.com/title/tt0161860/?ref_=fn_tt_tt_1"/>
    <hyperlink ref="R3568" r:id="rId3503" display="http://www.imdb.com/title/tt1723811/?ref_=fn_tt_tt_1"/>
    <hyperlink ref="R3569" r:id="rId3504" display="http://www.imdb.com/title/tt0375912/?ref_=fn_tt_tt_1"/>
    <hyperlink ref="R3570" r:id="rId3505" display="http://www.imdb.com/title/tt0457530/?ref_=fn_tt_tt_1"/>
    <hyperlink ref="R3571" r:id="rId3506" display="http://www.imdb.com/title/tt1869716/?ref_=fn_tt_tt_1"/>
    <hyperlink ref="R3572" r:id="rId3507" display="http://www.imdb.com/title/tt0359423/?ref_=fn_tt_tt_1"/>
    <hyperlink ref="R3573" r:id="rId3508" display="http://www.imdb.com/title/tt0168446/?ref_=fn_tt_tt_1"/>
    <hyperlink ref="R3574" r:id="rId3509" display="http://www.imdb.com/title/tt0790712/?ref_=fn_tt_tt_1"/>
    <hyperlink ref="R3575" r:id="rId3510" display="http://www.imdb.com/title/tt1414378/?ref_=fn_tt_tt_1"/>
    <hyperlink ref="R3576" r:id="rId3511" display="http://www.imdb.com/title/tt0421082/?ref_=fn_tt_tt_1"/>
    <hyperlink ref="R3577" r:id="rId3512" display="http://www.imdb.com/title/tt0088247/?ref_=fn_tt_tt_1"/>
    <hyperlink ref="R3578" r:id="rId3513" display="http://www.imdb.com/title/tt0301357/?ref_=fn_tt_tt_1"/>
    <hyperlink ref="R3579" r:id="rId3514" display="http://www.imdb.com/title/tt1226271/?ref_=fn_tt_tt_1"/>
    <hyperlink ref="R3580" r:id="rId3515" display="http://www.imdb.com/title/tt0089907/?ref_=fn_tt_tt_1"/>
    <hyperlink ref="R3581" r:id="rId3516" display="http://www.imdb.com/title/tt2049116/?ref_=fn_tt_tt_1"/>
    <hyperlink ref="R3582" r:id="rId3517" display="http://www.imdb.com/title/tt0113749/?ref_=fn_tt_tt_1"/>
    <hyperlink ref="R3583" r:id="rId3518" display="http://www.imdb.com/title/tt0077631/?ref_=fn_tt_tt_1"/>
    <hyperlink ref="R3584" r:id="rId3519" display="http://www.imdb.com/title/tt0091763/?ref_=fn_tt_tt_1"/>
    <hyperlink ref="R3585" r:id="rId3520" display="http://www.imdb.com/title/tt0361596/?ref_=fn_tt_tt_1"/>
    <hyperlink ref="R3586" r:id="rId3521" display="http://www.imdb.com/title/tt0064115/?ref_=fn_tt_tt_1"/>
    <hyperlink ref="R3587" r:id="rId3522" display="http://www.imdb.com/title/tt0058331/?ref_=fn_tt_tt_1"/>
    <hyperlink ref="R3588" r:id="rId3523" display="http://www.imdb.com/title/tt0081283/?ref_=fn_tt_tt_1"/>
    <hyperlink ref="R3589" r:id="rId269" display="http://www.imdb.com/title/tt0327437/?ref_=fn_tt_tt_1"/>
    <hyperlink ref="R3590" r:id="rId3524" display="http://www.imdb.com/title/tt0055614/?ref_=fn_tt_tt_1"/>
    <hyperlink ref="R3591" r:id="rId3525" display="http://www.imdb.com/title/tt0080487/?ref_=fn_tt_tt_1"/>
    <hyperlink ref="R3592" r:id="rId3526" display="http://www.imdb.com/title/tt0250274/?ref_=fn_tt_tt_1"/>
    <hyperlink ref="R3593" r:id="rId3527" display="http://www.imdb.com/title/tt0161100/?ref_=fn_tt_tt_1"/>
    <hyperlink ref="R3594" r:id="rId3528" display="http://www.imdb.com/title/tt0114814/?ref_=fn_tt_tt_1"/>
    <hyperlink ref="R3595" r:id="rId3529" display="http://www.imdb.com/title/tt0097981/?ref_=fn_tt_tt_1"/>
    <hyperlink ref="R3596" r:id="rId3530" display="http://www.imdb.com/title/tt0283111/?ref_=fn_tt_tt_1"/>
    <hyperlink ref="R3597" r:id="rId3531" display="http://www.imdb.com/title/tt1125849/?ref_=fn_tt_tt_1"/>
    <hyperlink ref="R3598" r:id="rId3532" display="http://www.imdb.com/title/tt0038499/?ref_=fn_tt_tt_1"/>
    <hyperlink ref="R3599" r:id="rId3533" display="http://www.imdb.com/title/tt0218839/?ref_=fn_tt_tt_1"/>
    <hyperlink ref="R3600" r:id="rId3534" display="http://www.imdb.com/title/tt0082340/?ref_=fn_tt_tt_1"/>
    <hyperlink ref="R3601" r:id="rId3535" display="http://www.imdb.com/title/tt0096054/?ref_=fn_tt_tt_1"/>
    <hyperlink ref="R3602" r:id="rId3536" display="http://www.imdb.com/title/tt0462244/?ref_=fn_tt_tt_1"/>
    <hyperlink ref="R3603" r:id="rId3537" display="http://www.imdb.com/title/tt0117786/?ref_=fn_tt_tt_1"/>
    <hyperlink ref="R3604" r:id="rId3538" display="http://www.imdb.com/title/tt0310281/?ref_=fn_tt_tt_1"/>
    <hyperlink ref="R3605" r:id="rId3539" display="http://www.imdb.com/title/tt0095690/?ref_=fn_tt_tt_1"/>
    <hyperlink ref="R3606" r:id="rId3540" display="http://www.imdb.com/title/tt3910804/?ref_=fn_tt_tt_1"/>
    <hyperlink ref="R3607" r:id="rId3541" display="http://www.imdb.com/title/tt0120148/?ref_=fn_tt_tt_1"/>
    <hyperlink ref="R3608" r:id="rId3542" display="http://www.imdb.com/title/tt0114609/?ref_=fn_tt_tt_1"/>
    <hyperlink ref="R3609" r:id="rId3543" display="http://www.imdb.com/title/tt0455590/?ref_=fn_tt_tt_1"/>
    <hyperlink ref="R3610" r:id="rId3544" display="http://www.imdb.com/title/tt0097474/?ref_=fn_tt_tt_1"/>
    <hyperlink ref="R3611" r:id="rId3545" display="http://www.imdb.com/title/tt1704573/?ref_=fn_tt_tt_1"/>
    <hyperlink ref="R3612" r:id="rId3546" display="http://www.imdb.com/title/tt0996382/?ref_=fn_tt_tt_1"/>
    <hyperlink ref="R3613" r:id="rId3547" display="http://www.imdb.com/title/tt0183659/?ref_=fn_tt_tt_1"/>
    <hyperlink ref="R3614" r:id="rId3548" display="http://www.imdb.com/title/tt0137338/?ref_=fn_tt_tt_1"/>
    <hyperlink ref="R3615" r:id="rId3549" display="http://www.imdb.com/title/tt1840417/?ref_=fn_tt_tt_1"/>
    <hyperlink ref="R3616" r:id="rId3550" display="http://www.imdb.com/title/tt1702425/?ref_=fn_tt_tt_1"/>
    <hyperlink ref="R3617" r:id="rId3551" display="http://www.imdb.com/title/tt1174730/?ref_=fn_tt_tt_1"/>
    <hyperlink ref="R3618" r:id="rId3552" display="http://www.imdb.com/title/tt1540133/?ref_=fn_tt_tt_1"/>
    <hyperlink ref="R3619" r:id="rId3553" display="http://www.imdb.com/title/tt0844671/?ref_=fn_tt_tt_1"/>
    <hyperlink ref="R3620" r:id="rId3554" display="http://www.imdb.com/title/tt0159097/?ref_=fn_tt_tt_1"/>
    <hyperlink ref="R3621" r:id="rId3555" display="http://www.imdb.com/title/tt0147004/?ref_=fn_tt_tt_1"/>
    <hyperlink ref="R3622" r:id="rId3556" display="http://www.imdb.com/title/tt1151922/?ref_=fn_tt_tt_1"/>
    <hyperlink ref="R3623" r:id="rId3557" display="http://www.imdb.com/title/tt2870708/?ref_=fn_tt_tt_1"/>
    <hyperlink ref="R3624" r:id="rId3558" display="http://www.imdb.com/title/tt0145893/?ref_=fn_tt_tt_1"/>
    <hyperlink ref="R3625" r:id="rId3559" display="http://www.imdb.com/title/tt0412253/?ref_=fn_tt_tt_1"/>
    <hyperlink ref="R3626" r:id="rId3560" display="http://www.imdb.com/title/tt0248845/?ref_=fn_tt_tt_1"/>
    <hyperlink ref="R3627" r:id="rId3561" display="http://www.imdb.com/title/tt0107750/?ref_=fn_tt_tt_1"/>
    <hyperlink ref="R3628" r:id="rId3562" display="http://www.imdb.com/title/tt3432552/?ref_=fn_tt_tt_1"/>
    <hyperlink ref="R3629" r:id="rId3563" display="http://www.imdb.com/title/tt0323944/?ref_=fn_tt_tt_1"/>
    <hyperlink ref="R3630" r:id="rId3564" display="http://www.imdb.com/title/tt0234354/?ref_=fn_tt_tt_1"/>
    <hyperlink ref="R3631" r:id="rId3565" display="http://www.imdb.com/title/tt0270259/?ref_=fn_tt_tt_1"/>
    <hyperlink ref="R3632" r:id="rId3566" display="http://www.imdb.com/title/tt0065214/?ref_=fn_tt_tt_1"/>
    <hyperlink ref="R3633" r:id="rId3567" display="http://www.imdb.com/title/tt1082886/?ref_=fn_tt_tt_1"/>
    <hyperlink ref="R3634" r:id="rId3568" display="http://www.imdb.com/title/tt0079240/?ref_=fn_tt_tt_1"/>
    <hyperlink ref="R3635" r:id="rId3569" display="http://www.imdb.com/title/tt0300214/?ref_=fn_tt_tt_1"/>
    <hyperlink ref="R3636" r:id="rId3570" display="http://www.imdb.com/title/tt0101412/?ref_=fn_tt_tt_1"/>
    <hyperlink ref="R3637" r:id="rId3571" display="http://www.imdb.com/title/tt1130964/?ref_=fn_tt_tt_1"/>
    <hyperlink ref="R3638" r:id="rId3572" display="http://www.imdb.com/title/tt0322289/?ref_=fn_tt_tt_1"/>
    <hyperlink ref="R3639" r:id="rId3573" display="http://www.imdb.com/title/tt1226232/?ref_=fn_tt_tt_1"/>
    <hyperlink ref="R3640" r:id="rId3574" display="http://www.imdb.com/title/tt1541995/?ref_=fn_tt_tt_1"/>
    <hyperlink ref="R3641" r:id="rId3575" display="http://www.imdb.com/title/tt0457308/?ref_=fn_tt_tt_1"/>
    <hyperlink ref="R3642" r:id="rId3576" display="http://www.imdb.com/title/tt0246134/?ref_=fn_tt_tt_1"/>
    <hyperlink ref="R3643" r:id="rId3577" display="http://www.imdb.com/title/tt0076245/?ref_=fn_tt_tt_1"/>
    <hyperlink ref="R3644" r:id="rId3578" display="http://www.imdb.com/title/tt0976247/?ref_=fn_tt_tt_1"/>
    <hyperlink ref="R3645" r:id="rId3579" display="http://www.imdb.com/title/tt0841119/?ref_=fn_tt_tt_1"/>
    <hyperlink ref="R3646" r:id="rId3580" display="http://www.imdb.com/title/tt0331811/?ref_=fn_tt_tt_1"/>
    <hyperlink ref="R3647" r:id="rId3581" display="http://www.imdb.com/title/tt0110490/?ref_=fn_tt_tt_1"/>
    <hyperlink ref="R3648" r:id="rId3582" display="http://www.imdb.com/title/tt1281374/?ref_=fn_tt_tt_1"/>
    <hyperlink ref="R3649" r:id="rId3583" display="http://www.imdb.com/title/tt1667310/?ref_=fn_tt_tt_1"/>
    <hyperlink ref="R3650" r:id="rId3584" display="http://www.imdb.com/title/tt1014774/?ref_=fn_tt_tt_1"/>
    <hyperlink ref="R3651" r:id="rId3585" display="http://www.imdb.com/title/tt1575694/?ref_=fn_tt_tt_1"/>
    <hyperlink ref="R3652" r:id="rId3586" display="http://www.imdb.com/title/tt1366312/?ref_=fn_tt_tt_1"/>
    <hyperlink ref="R3653" r:id="rId3587" display="http://www.imdb.com/title/tt0086541/?ref_=fn_tt_tt_1"/>
    <hyperlink ref="R3654" r:id="rId3588" display="http://www.imdb.com/title/tt0283900/?ref_=fn_tt_tt_1"/>
    <hyperlink ref="R3655" r:id="rId3589" display="http://www.imdb.com/title/tt2182972/?ref_=fn_tt_tt_1"/>
    <hyperlink ref="R3656" r:id="rId991" display="http://www.imdb.com/title/tt0264935/?ref_=fn_tt_tt_1"/>
    <hyperlink ref="R3657" r:id="rId3590" display="http://www.imdb.com/title/tt0795441/?ref_=fn_tt_tt_1"/>
    <hyperlink ref="R3658" r:id="rId3591" display="http://www.imdb.com/title/tt0938305/?ref_=fn_tt_tt_1"/>
    <hyperlink ref="R3659" r:id="rId3592" display="http://www.imdb.com/title/tt0059825/?ref_=fn_tt_tt_1"/>
    <hyperlink ref="R3660" r:id="rId3593" display="http://www.imdb.com/title/tt1772408/?ref_=fn_tt_tt_1"/>
    <hyperlink ref="R3661" r:id="rId3594" display="http://www.imdb.com/title/tt0427954/?ref_=fn_tt_tt_1"/>
    <hyperlink ref="R3662" r:id="rId3595" display="http://www.imdb.com/title/tt0120210/?ref_=fn_tt_tt_1"/>
    <hyperlink ref="R3663" r:id="rId3596" display="http://www.imdb.com/title/tt1220617/?ref_=fn_tt_tt_1"/>
    <hyperlink ref="R3664" r:id="rId3597" display="http://www.imdb.com/title/tt0286499/?ref_=fn_tt_tt_1"/>
    <hyperlink ref="R3665" r:id="rId3598" display="http://www.imdb.com/title/tt0286179/?ref_=fn_tt_tt_1"/>
    <hyperlink ref="R3666" r:id="rId3599" display="http://www.imdb.com/title/tt0473024/?ref_=fn_tt_tt_1"/>
    <hyperlink ref="R3667" r:id="rId3600" display="http://www.imdb.com/title/tt2166214/?ref_=fn_tt_tt_1"/>
    <hyperlink ref="R3668" r:id="rId3601" display="http://www.imdb.com/title/tt1245112/?ref_=fn_tt_tt_1"/>
    <hyperlink ref="R3669" r:id="rId3602" display="http://www.imdb.com/title/tt1303803/?ref_=fn_tt_tt_1"/>
    <hyperlink ref="R3670" r:id="rId3603" display="http://www.imdb.com/title/tt0070735/?ref_=fn_tt_tt_1"/>
    <hyperlink ref="R3671" r:id="rId3604" display="http://www.imdb.com/title/tt0082158/?ref_=fn_tt_tt_1"/>
    <hyperlink ref="R3672" r:id="rId3605" display="http://www.imdb.com/title/tt0422093/?ref_=fn_tt_tt_1"/>
    <hyperlink ref="R3673" r:id="rId3606" display="http://www.imdb.com/title/tt0117631/?ref_=fn_tt_tt_1"/>
    <hyperlink ref="R3674" r:id="rId3607" display="http://www.imdb.com/title/tt2229499/?ref_=fn_tt_tt_1"/>
    <hyperlink ref="R3675" r:id="rId3608" display="http://www.imdb.com/title/tt0068699/?ref_=fn_tt_tt_1"/>
    <hyperlink ref="R3676" r:id="rId3609" display="http://www.imdb.com/title/tt0162346/?ref_=fn_tt_tt_1"/>
    <hyperlink ref="R3677" r:id="rId3610" display="http://www.imdb.com/title/tt0280778/?ref_=fn_tt_tt_1"/>
    <hyperlink ref="R3678" r:id="rId3611" display="http://www.imdb.com/title/tt0080771/?ref_=fn_tt_tt_1"/>
    <hyperlink ref="R3679" r:id="rId3612" display="http://www.imdb.com/title/tt0372824/?ref_=fn_tt_tt_1"/>
    <hyperlink ref="R3680" r:id="rId3613" display="http://www.imdb.com/title/tt0330602/?ref_=fn_tt_tt_1"/>
    <hyperlink ref="R3681" r:id="rId3614" display="http://www.imdb.com/title/tt0335563/?ref_=fn_tt_tt_1"/>
    <hyperlink ref="R3682" r:id="rId3615" display="http://www.imdb.com/title/tt0097216/?ref_=fn_tt_tt_1"/>
    <hyperlink ref="R3683" r:id="rId3616" display="http://www.imdb.com/title/tt0242508/?ref_=fn_tt_tt_1"/>
    <hyperlink ref="R3684" r:id="rId3617" display="http://www.imdb.com/title/tt1508675/?ref_=fn_tt_tt_1"/>
    <hyperlink ref="R3685" r:id="rId3618" display="http://www.imdb.com/title/tt0290673/?ref_=fn_tt_tt_1"/>
    <hyperlink ref="R3686" r:id="rId3619" display="http://www.imdb.com/title/tt2914838/?ref_=fn_tt_tt_1"/>
    <hyperlink ref="R3687" r:id="rId3620" display="http://www.imdb.com/title/tt0405508/?ref_=fn_tt_tt_1"/>
    <hyperlink ref="R3688" r:id="rId3621" display="http://www.imdb.com/title/tt3297554/?ref_=fn_tt_tt_1"/>
    <hyperlink ref="R3689" r:id="rId3622" display="http://www.imdb.com/title/tt1251743/?ref_=fn_tt_tt_1"/>
    <hyperlink ref="R3690" r:id="rId3623" display="http://www.imdb.com/title/tt0811106/?ref_=fn_tt_tt_1"/>
    <hyperlink ref="R3691" r:id="rId3624" display="http://www.imdb.com/title/tt0202559/?ref_=fn_tt_tt_1"/>
    <hyperlink ref="R3692" r:id="rId3625" display="http://www.imdb.com/title/tt1614989/?ref_=fn_tt_tt_1"/>
    <hyperlink ref="R3693" r:id="rId3626" display="http://www.imdb.com/title/tt1525366/?ref_=fn_tt_tt_1"/>
    <hyperlink ref="R3694" r:id="rId3627" display="http://www.imdb.com/title/tt0384488/?ref_=fn_tt_tt_1"/>
    <hyperlink ref="R3695" r:id="rId3628" display="http://www.imdb.com/title/tt2667960/?ref_=fn_tt_tt_1"/>
    <hyperlink ref="R3696" r:id="rId3629" display="http://www.imdb.com/title/tt0081534/?ref_=fn_tt_tt_1"/>
    <hyperlink ref="R3697" r:id="rId3630" display="http://www.imdb.com/title/tt1618430/?ref_=fn_tt_tt_1"/>
    <hyperlink ref="R3698" r:id="rId3631" display="http://www.imdb.com/title/tt2226417/?ref_=fn_tt_tt_1"/>
    <hyperlink ref="R3699" r:id="rId3632" display="http://www.imdb.com/title/tt0432348/?ref_=fn_tt_tt_1"/>
    <hyperlink ref="R3700" r:id="rId3633" display="http://www.imdb.com/title/tt1179933/?ref_=fn_tt_tt_1"/>
    <hyperlink ref="R3701" r:id="rId3634" display="http://www.imdb.com/title/tt0322802/?ref_=fn_tt_tt_1"/>
    <hyperlink ref="R3702" r:id="rId3635" display="http://www.imdb.com/title/tt4786282/?ref_=fn_tt_tt_1"/>
    <hyperlink ref="R3703" r:id="rId3636" display="http://www.imdb.com/title/tt1778304/?ref_=fn_tt_tt_1"/>
    <hyperlink ref="R3704" r:id="rId3637" display="http://www.imdb.com/title/tt1204977/?ref_=fn_tt_tt_1"/>
    <hyperlink ref="R3705" r:id="rId3638" display="http://www.imdb.com/title/tt0093629/?ref_=fn_tt_tt_1"/>
    <hyperlink ref="R3706" r:id="rId3107" display="http://www.imdb.com/title/tt4178092/?ref_=fn_tt_tt_1"/>
    <hyperlink ref="R3707" r:id="rId3639" display="http://www.imdb.com/title/tt2378281/?ref_=fn_tt_tt_1"/>
    <hyperlink ref="R3708" r:id="rId3640" display="http://www.imdb.com/title/tt2109184/?ref_=fn_tt_tt_1"/>
    <hyperlink ref="R3709" r:id="rId3641" display="http://www.imdb.com/title/tt0046247/?ref_=fn_tt_tt_1"/>
    <hyperlink ref="R3710" r:id="rId3642" display="http://www.imdb.com/title/tt0072081/?ref_=fn_tt_tt_1"/>
    <hyperlink ref="R3711" r:id="rId3643" display="http://www.imdb.com/title/tt0101917/?ref_=fn_tt_tt_1"/>
    <hyperlink ref="R3712" r:id="rId3644" display="http://www.imdb.com/title/tt0340855/?ref_=fn_tt_tt_1"/>
    <hyperlink ref="R3713" r:id="rId3645" display="http://www.imdb.com/title/tt0046672/?ref_=fn_tt_tt_1"/>
    <hyperlink ref="R3714" r:id="rId3646" display="http://www.imdb.com/title/tt2473682/?ref_=fn_tt_tt_1"/>
    <hyperlink ref="R3715" r:id="rId3647" display="http://www.imdb.com/title/tt0080678/?ref_=fn_tt_tt_1"/>
    <hyperlink ref="R3716" r:id="rId3648" display="http://www.imdb.com/title/tt0790636/?ref_=fn_tt_tt_1"/>
    <hyperlink ref="R3717" r:id="rId3649" display="http://www.imdb.com/title/tt2918436/?ref_=fn_tt_tt_1"/>
    <hyperlink ref="R3718" r:id="rId3650" display="http://www.imdb.com/title/tt0209144/?ref_=fn_tt_tt_1"/>
    <hyperlink ref="R3719" r:id="rId3651" display="http://www.imdb.com/title/tt2388715/?ref_=fn_tt_tt_1"/>
    <hyperlink ref="R3720" r:id="rId3652" display="http://www.imdb.com/title/tt0424345/?ref_=fn_tt_tt_1"/>
    <hyperlink ref="R3721" r:id="rId3653" display="http://www.imdb.com/title/tt0249462/?ref_=fn_tt_tt_1"/>
    <hyperlink ref="R3722" r:id="rId3654" display="http://www.imdb.com/title/tt1727388/?ref_=fn_tt_tt_1"/>
    <hyperlink ref="R3723" r:id="rId3655" display="http://www.imdb.com/title/tt0102065/?ref_=fn_tt_tt_1"/>
    <hyperlink ref="R3724" r:id="rId3656" display="http://www.imdb.com/title/tt0084296/?ref_=fn_tt_tt_1"/>
    <hyperlink ref="R3725" r:id="rId3657" display="http://www.imdb.com/title/tt0187819/?ref_=fn_tt_tt_1"/>
    <hyperlink ref="R3726" r:id="rId3658" display="http://www.imdb.com/title/tt0118632/?ref_=fn_tt_tt_1"/>
    <hyperlink ref="R3727" r:id="rId3659" display="http://www.imdb.com/title/tt0082766/?ref_=fn_tt_tt_1"/>
    <hyperlink ref="R3728" r:id="rId3660" display="http://www.imdb.com/title/tt1637706/?ref_=fn_tt_tt_1"/>
    <hyperlink ref="R3729" r:id="rId3661" display="http://www.imdb.com/title/tt3499096/?ref_=fn_tt_tt_1"/>
    <hyperlink ref="R3730" r:id="rId3662" display="http://www.imdb.com/title/tt0119905/?ref_=fn_tt_tt_1"/>
    <hyperlink ref="R3731" r:id="rId3016" display="http://www.imdb.com/title/tt0184791/?ref_=fn_tt_tt_1"/>
    <hyperlink ref="R3732" r:id="rId3663" display="http://www.imdb.com/title/tt2870612/?ref_=fn_tt_tt_1"/>
    <hyperlink ref="R3733" r:id="rId3664" display="http://www.imdb.com/title/tt2205401/?ref_=fn_tt_tt_1"/>
    <hyperlink ref="R3734" r:id="rId3665" display="http://www.imdb.com/title/tt0119080/?ref_=fn_tt_tt_1"/>
    <hyperlink ref="R3735" r:id="rId3666" display="http://www.imdb.com/title/tt3316960/?ref_=fn_tt_tt_1"/>
    <hyperlink ref="R3736" r:id="rId3667" display="http://www.imdb.com/title/tt0046949/?ref_=fn_tt_tt_1"/>
    <hyperlink ref="R3737" r:id="rId3668" display="http://www.imdb.com/title/tt0082817/?ref_=fn_tt_tt_1"/>
    <hyperlink ref="R3738" r:id="rId3669" display="http://www.imdb.com/title/tt0097388/?ref_=fn_tt_tt_1"/>
    <hyperlink ref="R3739" r:id="rId3670" display="http://www.imdb.com/title/tt0259446/?ref_=fn_tt_tt_1"/>
    <hyperlink ref="R3740" r:id="rId3671" display="http://www.imdb.com/title/tt2101441/?ref_=fn_tt_tt_1"/>
    <hyperlink ref="R3741" r:id="rId3672" display="http://www.imdb.com/title/tt0113253/?ref_=fn_tt_tt_1"/>
    <hyperlink ref="R3742" r:id="rId3673" display="http://www.imdb.com/title/tt0245574/?ref_=fn_tt_tt_1"/>
    <hyperlink ref="R3743" r:id="rId3674" display="http://www.imdb.com/title/tt0365748/?ref_=fn_tt_tt_1"/>
    <hyperlink ref="R3744" r:id="rId3675" display="http://www.imdb.com/title/tt1045655/?ref_=fn_tt_tt_1"/>
    <hyperlink ref="R3745" r:id="rId3676" display="http://www.imdb.com/title/tt0116905/?ref_=fn_tt_tt_1"/>
    <hyperlink ref="R3746" r:id="rId3677" display="http://www.imdb.com/title/tt0095271/?ref_=fn_tt_tt_1"/>
    <hyperlink ref="R3747" r:id="rId3678" display="http://www.imdb.com/title/tt0090655/?ref_=fn_tt_tt_1"/>
    <hyperlink ref="R3748" r:id="rId3679" display="http://www.imdb.com/title/tt0083833/?ref_=fn_tt_tt_1"/>
    <hyperlink ref="R3749" r:id="rId3680" display="http://www.imdb.com/title/tt0085862/?ref_=fn_tt_tt_1"/>
    <hyperlink ref="R3750" r:id="rId3681" display="http://www.imdb.com/title/tt1772240/?ref_=fn_tt_tt_1"/>
    <hyperlink ref="R3751" r:id="rId3682" display="http://www.imdb.com/title/tt0862846/?ref_=fn_tt_tt_1"/>
    <hyperlink ref="R3752" r:id="rId3683" display="http://www.imdb.com/title/tt1781922/?ref_=fn_tt_tt_1"/>
    <hyperlink ref="R3753" r:id="rId3684" display="http://www.imdb.com/title/tt0083630/?ref_=fn_tt_tt_1"/>
    <hyperlink ref="R3754" r:id="rId3685" display="http://www.imdb.com/title/tt0053290/?ref_=fn_tt_tt_1"/>
    <hyperlink ref="R3755" r:id="rId3686" display="http://www.imdb.com/title/tt4667094/?ref_=fn_tt_tt_1"/>
    <hyperlink ref="R3756" r:id="rId3687" display="http://www.imdb.com/title/tt0795438/?ref_=fn_tt_tt_1"/>
    <hyperlink ref="R3757" r:id="rId3688" display="http://www.imdb.com/title/tt0022879/?ref_=fn_tt_tt_1"/>
    <hyperlink ref="R3758" r:id="rId3689" display="http://www.imdb.com/title/tt4871980/?ref_=fn_tt_tt_1"/>
    <hyperlink ref="R3759" r:id="rId3690" display="http://www.imdb.com/title/tt0259974/?ref_=fn_tt_tt_1"/>
    <hyperlink ref="R3760" r:id="rId3691" display="http://www.imdb.com/title/tt0332375/?ref_=fn_tt_tt_1"/>
    <hyperlink ref="R3761" r:id="rId3692" display="http://www.imdb.com/title/tt0338135/?ref_=fn_tt_tt_1"/>
    <hyperlink ref="R3762" r:id="rId3693" display="http://www.imdb.com/title/tt0075147/?ref_=fn_tt_tt_1"/>
    <hyperlink ref="R3763" r:id="rId3694" display="http://www.imdb.com/title/tt0245120/?ref_=fn_tt_tt_1"/>
    <hyperlink ref="R3764" r:id="rId3695" display="http://www.imdb.com/title/tt0077572/?ref_=fn_tt_tt_1"/>
    <hyperlink ref="R3765" r:id="rId3696" display="http://www.imdb.com/title/tt0098546/?ref_=fn_tt_tt_1"/>
    <hyperlink ref="R3766" r:id="rId3697" display="http://www.imdb.com/title/tt0456554/?ref_=fn_tt_tt_1"/>
    <hyperlink ref="R3767" r:id="rId3698" display="http://www.imdb.com/title/tt0120831/?ref_=fn_tt_tt_1"/>
    <hyperlink ref="R3768" r:id="rId3699" display="http://www.imdb.com/title/tt0064116/?ref_=fn_tt_tt_1"/>
    <hyperlink ref="R3769" r:id="rId3700" display="http://www.imdb.com/title/tt0227005/?ref_=fn_tt_tt_1"/>
    <hyperlink ref="R3770" r:id="rId3701" display="http://www.imdb.com/title/tt1182345/?ref_=fn_tt_tt_1"/>
    <hyperlink ref="R3771" r:id="rId3702" display="http://www.imdb.com/title/tt0415949/?ref_=fn_tt_tt_1"/>
    <hyperlink ref="R3772" r:id="rId3703" display="http://www.imdb.com/title/tt1529567/?ref_=fn_tt_tt_1"/>
    <hyperlink ref="R3773" r:id="rId3704" display="http://www.imdb.com/title/tt0120255/?ref_=fn_tt_tt_1"/>
    <hyperlink ref="R3774" r:id="rId3705" display="http://www.imdb.com/title/tt1588337/?ref_=fn_tt_tt_1"/>
    <hyperlink ref="R3775" r:id="rId3706" display="http://www.imdb.com/title/tt0914797/?ref_=fn_tt_tt_1"/>
    <hyperlink ref="R3776" r:id="rId3707" display="http://www.imdb.com/title/tt0084171/?ref_=fn_tt_tt_1"/>
    <hyperlink ref="R3777" r:id="rId3708" display="http://www.imdb.com/title/tt0110005/?ref_=fn_tt_tt_1"/>
    <hyperlink ref="R3778" r:id="rId3709" display="http://www.imdb.com/title/tt4337690/?ref_=fn_tt_tt_1"/>
    <hyperlink ref="R3779" r:id="rId3710" display="http://www.imdb.com/title/tt1531663/?ref_=fn_tt_tt_1"/>
    <hyperlink ref="R3780" r:id="rId3711" display="http://www.imdb.com/title/tt0120906/?ref_=fn_tt_tt_1"/>
    <hyperlink ref="R3781" r:id="rId3712" display="http://www.imdb.com/title/tt0361862/?ref_=fn_tt_tt_1"/>
    <hyperlink ref="R3782" r:id="rId3713" display="http://www.imdb.com/title/tt0102307/?ref_=fn_tt_tt_1"/>
    <hyperlink ref="R3783" r:id="rId3714" display="http://www.imdb.com/title/tt1216491/?ref_=fn_tt_tt_1"/>
    <hyperlink ref="R3784" r:id="rId3715" display="http://www.imdb.com/title/tt0935075/?ref_=fn_tt_tt_1"/>
    <hyperlink ref="R3785" r:id="rId3716" display="http://www.imdb.com/title/tt0320244/?ref_=fn_tt_tt_1"/>
    <hyperlink ref="R3786" r:id="rId3717" display="http://www.imdb.com/title/tt4062536/?ref_=fn_tt_tt_1"/>
    <hyperlink ref="R3787" r:id="rId3718" display="http://www.imdb.com/title/tt0422861/?ref_=fn_tt_tt_1"/>
    <hyperlink ref="R3788" r:id="rId3719" display="http://www.imdb.com/title/tt2800038/?ref_=fn_tt_tt_1"/>
    <hyperlink ref="R3789" r:id="rId3720" display="http://www.imdb.com/title/tt0115734/?ref_=fn_tt_tt_1"/>
    <hyperlink ref="R3790" r:id="rId3721" display="http://www.imdb.com/title/tt0115495/?ref_=fn_tt_tt_1"/>
    <hyperlink ref="R3791" r:id="rId3722" display="http://www.imdb.com/title/tt0459293/?ref_=fn_tt_tt_1"/>
    <hyperlink ref="R3792" r:id="rId3723" display="http://www.imdb.com/title/tt0896866/?ref_=fn_tt_tt_1"/>
    <hyperlink ref="R3793" r:id="rId3724" display="http://www.imdb.com/title/tt0081291/?ref_=fn_tt_tt_1"/>
    <hyperlink ref="R3794" r:id="rId3725" display="http://www.imdb.com/title/tt1465522/?ref_=fn_tt_tt_1"/>
    <hyperlink ref="R3795" r:id="rId3726" display="http://www.imdb.com/title/tt1150947/?ref_=fn_tt_tt_1"/>
    <hyperlink ref="R3796" r:id="rId3727" display="http://www.imdb.com/title/tt0039927/?ref_=fn_tt_tt_1"/>
    <hyperlink ref="R3797" r:id="rId3728" display="http://www.imdb.com/title/tt0126261/?ref_=fn_tt_tt_1"/>
    <hyperlink ref="R3798" r:id="rId3729" display="http://www.imdb.com/title/tt0357585/?ref_=fn_tt_tt_1"/>
    <hyperlink ref="R3799" r:id="rId3730" display="http://www.imdb.com/title/tt3567288/?ref_=fn_tt_tt_1"/>
    <hyperlink ref="R3800" r:id="rId3731" display="http://www.imdb.com/title/tt0937237/?ref_=fn_tt_tt_1"/>
    <hyperlink ref="R3801" r:id="rId3732" display="http://www.imdb.com/title/tt0305632/?ref_=fn_tt_tt_1"/>
    <hyperlink ref="R3802" r:id="rId3733" display="http://www.imdb.com/title/tt0830900/?ref_=fn_tt_tt_1"/>
    <hyperlink ref="R3803" r:id="rId3734" display="http://www.imdb.com/title/tt1519461/?ref_=fn_tt_tt_1"/>
    <hyperlink ref="R3804" r:id="rId3735" display="http://www.imdb.com/title/tt1437358/?ref_=fn_tt_tt_1"/>
    <hyperlink ref="R3805" r:id="rId3736" display="http://www.imdb.com/title/tt0465430/?ref_=fn_tt_tt_1"/>
    <hyperlink ref="R3806" r:id="rId3737" display="http://www.imdb.com/title/tt1079444/?ref_=fn_tt_tt_1"/>
    <hyperlink ref="R3807" r:id="rId3738" display="http://www.imdb.com/title/tt0488539/?ref_=fn_tt_tt_1"/>
    <hyperlink ref="R3808" r:id="rId3739" display="http://www.imdb.com/title/tt1131732/?ref_=fn_tt_tt_1"/>
    <hyperlink ref="R3809" r:id="rId3740" display="http://www.imdb.com/title/tt0491738/?ref_=fn_tt_tt_1"/>
    <hyperlink ref="R3810" r:id="rId3741" display="http://www.imdb.com/title/tt1798243/?ref_=fn_tt_tt_1"/>
    <hyperlink ref="R3811" r:id="rId3742" display="http://www.imdb.com/title/tt1460798/?ref_=fn_tt_tt_1"/>
    <hyperlink ref="R3812" r:id="rId3743" display="http://www.imdb.com/title/tt3703148/?ref_=fn_tt_tt_1"/>
    <hyperlink ref="R3813" r:id="rId3744" display="http://www.imdb.com/title/tt2063015/?ref_=fn_tt_tt_1"/>
    <hyperlink ref="R3814" r:id="rId3745" display="http://www.imdb.com/title/tt1274586/?ref_=fn_tt_tt_1"/>
    <hyperlink ref="R3815" r:id="rId3746" display="http://www.imdb.com/title/tt1554921/?ref_=fn_tt_tt_1"/>
    <hyperlink ref="R3816" r:id="rId3747" display="http://www.imdb.com/title/tt0077294/?ref_=fn_tt_tt_1"/>
    <hyperlink ref="R3817" r:id="rId3748" display="http://www.imdb.com/title/tt1717210/?ref_=fn_tt_tt_1"/>
    <hyperlink ref="R3818" r:id="rId3749" display="http://www.imdb.com/title/tt4453560/?ref_=fn_tt_tt_1"/>
    <hyperlink ref="R3819" r:id="rId3750" display="http://www.imdb.com/title/tt3838992/?ref_=fn_tt_tt_1"/>
    <hyperlink ref="R3820" r:id="rId3751" display="http://www.imdb.com/title/tt4511566/?ref_=fn_tt_tt_1"/>
    <hyperlink ref="R3821" r:id="rId3752" display="http://www.imdb.com/title/tt0284363/?ref_=fn_tt_tt_1"/>
    <hyperlink ref="R3822" r:id="rId3753" display="http://www.imdb.com/title/tt1244668/?ref_=fn_tt_tt_1"/>
    <hyperlink ref="R3823" r:id="rId3754" display="http://www.imdb.com/title/tt0117666/?ref_=fn_tt_tt_1"/>
    <hyperlink ref="R3824" r:id="rId3755" display="http://www.imdb.com/title/tt1687901/?ref_=fn_tt_tt_1"/>
    <hyperlink ref="R3825" r:id="rId3756" display="http://www.imdb.com/title/tt0450278/?ref_=fn_tt_tt_1"/>
    <hyperlink ref="R3826" r:id="rId3757" display="http://www.imdb.com/title/tt0423409/?ref_=fn_tt_tt_1"/>
    <hyperlink ref="R3827" r:id="rId3758" display="http://www.imdb.com/title/tt1675192/?ref_=fn_tt_tt_1"/>
    <hyperlink ref="R3828" r:id="rId3759" display="http://www.imdb.com/title/tt0095484/?ref_=fn_tt_tt_1"/>
    <hyperlink ref="R3829" r:id="rId3760" display="http://www.imdb.com/title/tt0446687/?ref_=fn_tt_tt_1"/>
    <hyperlink ref="R3830" r:id="rId3761" display="http://www.imdb.com/title/tt2980708/?ref_=fn_tt_tt_1"/>
    <hyperlink ref="R3831" r:id="rId3762" display="http://www.imdb.com/title/tt0092076/?ref_=fn_tt_tt_1"/>
    <hyperlink ref="R3832" r:id="rId3763" display="http://www.imdb.com/title/tt0070518/?ref_=fn_tt_tt_1"/>
    <hyperlink ref="R3833" r:id="rId3764" display="http://www.imdb.com/title/tt1602613/?ref_=fn_tt_tt_1"/>
    <hyperlink ref="R3834" r:id="rId3765" display="http://www.imdb.com/title/tt0451673/?ref_=fn_tt_tt_1"/>
    <hyperlink ref="R3835" r:id="rId3766" display="http://www.imdb.com/title/tt1547090/?ref_=fn_tt_tt_1"/>
    <hyperlink ref="R3836" r:id="rId3767" display="http://www.imdb.com/title/tt3099638/?ref_=fn_tt_tt_1"/>
    <hyperlink ref="R3837" r:id="rId3768" display="http://www.imdb.com/title/tt0377752/?ref_=fn_tt_tt_1"/>
    <hyperlink ref="R3838" r:id="rId3769" display="http://www.imdb.com/title/tt0903131/?ref_=fn_tt_tt_1"/>
    <hyperlink ref="R3839" r:id="rId3770" display="http://www.imdb.com/title/tt1646974/?ref_=fn_tt_tt_1"/>
    <hyperlink ref="R3840" r:id="rId3771" display="http://www.imdb.com/title/tt2091427/?ref_=fn_tt_tt_1"/>
    <hyperlink ref="R3841" r:id="rId3772" display="http://www.imdb.com/title/tt0379976/?ref_=fn_tt_tt_1"/>
    <hyperlink ref="R3842" r:id="rId3773" display="http://www.imdb.com/title/tt0839938/?ref_=fn_tt_tt_1"/>
    <hyperlink ref="R3843" r:id="rId3774" display="http://www.imdb.com/title/tt0087928/?ref_=fn_tt_tt_1"/>
    <hyperlink ref="R3844" r:id="rId3775" display="http://www.imdb.com/title/tt0080453/?ref_=fn_tt_tt_1"/>
    <hyperlink ref="R3845" r:id="rId3776" display="http://www.imdb.com/title/tt0109831/?ref_=fn_tt_tt_1"/>
    <hyperlink ref="R3846" r:id="rId3777" display="http://www.imdb.com/title/tt0083929/?ref_=fn_tt_tt_1"/>
    <hyperlink ref="R3847" r:id="rId3778" display="http://www.imdb.com/title/tt0049513/?ref_=fn_tt_tt_1"/>
    <hyperlink ref="R3848" r:id="rId3779" display="http://www.imdb.com/title/tt0307901/?ref_=fn_tt_tt_1"/>
    <hyperlink ref="R3849" r:id="rId3780" display="http://www.imdb.com/title/tt3516878/?ref_=fn_tt_tt_1"/>
    <hyperlink ref="R3850" r:id="rId3781" display="http://www.imdb.com/title/tt0115736/?ref_=fn_tt_tt_1"/>
    <hyperlink ref="R3851" r:id="rId3782" display="http://www.imdb.com/title/tt0180093/?ref_=fn_tt_tt_1"/>
    <hyperlink ref="R3852" r:id="rId3783" display="http://www.imdb.com/title/tt0038116/?ref_=fn_tt_tt_1"/>
    <hyperlink ref="R3853" r:id="rId3784" display="http://www.imdb.com/title/tt0120274/?ref_=fn_tt_tt_1"/>
    <hyperlink ref="R3854" r:id="rId3785" display="http://www.imdb.com/title/tt0091886/?ref_=fn_tt_tt_1"/>
    <hyperlink ref="R3855" r:id="rId3786" display="http://www.imdb.com/title/tt3014666/?ref_=fn_tt_tt_1"/>
    <hyperlink ref="R3856" r:id="rId3787" display="http://www.imdb.com/title/tt0246578/?ref_=fn_tt_tt_1"/>
    <hyperlink ref="R3857" r:id="rId3788" display="http://www.imdb.com/title/tt0461336/?ref_=fn_tt_tt_1"/>
    <hyperlink ref="R3858" r:id="rId3789" display="http://www.imdb.com/title/tt0119448/?ref_=fn_tt_tt_1"/>
    <hyperlink ref="R3859" r:id="rId3790" display="http://www.imdb.com/title/tt0283003/?ref_=fn_tt_tt_1"/>
    <hyperlink ref="R3860" r:id="rId3791" display="http://www.imdb.com/title/tt0808526/?ref_=fn_tt_tt_1"/>
    <hyperlink ref="R3861" r:id="rId3792" display="http://www.imdb.com/title/tt0451094/?ref_=fn_tt_tt_1"/>
    <hyperlink ref="R3862" r:id="rId3793" display="http://www.imdb.com/title/tt1653911/?ref_=fn_tt_tt_1"/>
    <hyperlink ref="R3863" r:id="rId3794" display="http://www.imdb.com/title/tt0291341/?ref_=fn_tt_tt_1"/>
    <hyperlink ref="R3864" r:id="rId3795" display="http://www.imdb.com/title/tt0796212/?ref_=fn_tt_tt_1"/>
    <hyperlink ref="R3865" r:id="rId3796" display="http://www.imdb.com/title/tt1629705/?ref_=fn_tt_tt_1"/>
    <hyperlink ref="R3866" r:id="rId3797" display="http://www.imdb.com/title/tt0300140/?ref_=fn_tt_tt_1"/>
    <hyperlink ref="R3867" r:id="rId3798" display="http://www.imdb.com/title/tt0838247/?ref_=fn_tt_tt_1"/>
    <hyperlink ref="R3868" r:id="rId3799" display="http://www.imdb.com/title/tt3683702/?ref_=fn_tt_tt_1"/>
    <hyperlink ref="R3869" r:id="rId3800" display="http://www.imdb.com/title/tt0073486/?ref_=fn_tt_tt_1"/>
    <hyperlink ref="R3870" r:id="rId3801" display="http://www.imdb.com/title/tt4386242/?ref_=fn_tt_tt_1"/>
    <hyperlink ref="R3871" r:id="rId3802" display="http://www.imdb.com/title/tt0075222/?ref_=fn_tt_tt_1"/>
    <hyperlink ref="R3872" r:id="rId3803" display="http://www.imdb.com/title/tt4387040/?ref_=fn_tt_tt_1"/>
    <hyperlink ref="R3873" r:id="rId3804" display="http://www.imdb.com/title/tt0088727/?ref_=fn_tt_tt_1"/>
    <hyperlink ref="R3874" r:id="rId3805" display="http://www.imdb.com/title/tt2295722/?ref_=fn_tt_tt_1"/>
    <hyperlink ref="R3875" r:id="rId3806" display="http://www.imdb.com/title/tt0857190/?ref_=fn_tt_tt_1"/>
    <hyperlink ref="R3876" r:id="rId3807" display="http://www.imdb.com/title/tt0203119/?ref_=fn_tt_tt_1"/>
    <hyperlink ref="R3877" r:id="rId3808" display="http://www.imdb.com/title/tt1291652/?ref_=fn_tt_tt_1"/>
    <hyperlink ref="R3878" r:id="rId3809" display="http://www.imdb.com/title/tt0298228/?ref_=fn_tt_tt_1"/>
    <hyperlink ref="R3879" r:id="rId3810" display="http://www.imdb.com/title/tt1532957/?ref_=fn_tt_tt_1"/>
    <hyperlink ref="R3880" r:id="rId3811" display="http://www.imdb.com/title/tt0381940/?ref_=fn_tt_tt_1"/>
    <hyperlink ref="R3881" r:id="rId145" display="http://www.imdb.com/title/tt3332064/?ref_=fn_tt_tt_1"/>
    <hyperlink ref="R3882" r:id="rId3812" display="http://www.imdb.com/title/tt0475293/?ref_=fn_tt_tt_1"/>
    <hyperlink ref="R3883" r:id="rId3813" display="http://www.imdb.com/title/tt5574490/?ref_=fn_tt_tt_1"/>
    <hyperlink ref="R3884" r:id="rId3814" display="http://www.imdb.com/title/tt0119574/?ref_=fn_tt_tt_1"/>
    <hyperlink ref="R3885" r:id="rId3815" display="http://www.imdb.com/title/tt0403358/?ref_=fn_tt_tt_1"/>
    <hyperlink ref="R3886" r:id="rId3816" display="http://www.imdb.com/title/tt0104036/?ref_=fn_tt_tt_1"/>
    <hyperlink ref="R3887" r:id="rId3817" display="http://www.imdb.com/title/tt0084522/?ref_=fn_tt_tt_1"/>
    <hyperlink ref="R3888" r:id="rId3818" display="http://www.imdb.com/title/tt1134854/?ref_=fn_tt_tt_1"/>
    <hyperlink ref="R3889" r:id="rId3819" display="http://www.imdb.com/title/tt0063350/?ref_=fn_tt_tt_1"/>
    <hyperlink ref="R3890" r:id="rId3820" display="http://www.imdb.com/title/tt0335266/?ref_=fn_tt_tt_1"/>
    <hyperlink ref="R3891" r:id="rId3821" display="http://www.imdb.com/title/tt0075686/?ref_=fn_tt_tt_1"/>
    <hyperlink ref="R3892" r:id="rId3822" display="http://www.imdb.com/title/tt0044672/?ref_=fn_tt_tt_1"/>
    <hyperlink ref="R3893" r:id="rId159" display="http://www.imdb.com/title/tt1528100/?ref_=fn_tt_tt_1"/>
    <hyperlink ref="R3894" r:id="rId3823" display="http://www.imdb.com/title/tt0285742/?ref_=fn_tt_tt_1"/>
    <hyperlink ref="R3895" r:id="rId3824" display="http://www.imdb.com/title/tt1881002/?ref_=fn_tt_tt_1"/>
    <hyperlink ref="R3896" r:id="rId3825" display="http://www.imdb.com/title/tt0113627/?ref_=fn_tt_tt_1"/>
    <hyperlink ref="R3897" r:id="rId3826" display="http://www.imdb.com/title/tt2081194/?ref_=fn_tt_tt_1"/>
    <hyperlink ref="R3898" r:id="rId3515" display="http://www.imdb.com/title/tt0089907/?ref_=fn_tt_tt_1"/>
    <hyperlink ref="R3899" r:id="rId3827" display="http://www.imdb.com/title/tt0071524/?ref_=fn_tt_tt_1"/>
    <hyperlink ref="R3900" r:id="rId3828" display="http://www.imdb.com/title/tt3181822/?ref_=fn_tt_tt_1"/>
    <hyperlink ref="R3901" r:id="rId3829" display="http://www.imdb.com/title/tt0049875/?ref_=fn_tt_tt_1"/>
    <hyperlink ref="R3902" r:id="rId3733" display="http://www.imdb.com/title/tt0830900/?ref_=fn_tt_tt_1"/>
    <hyperlink ref="R3903" r:id="rId3830" display="http://www.imdb.com/title/tt0842926/?ref_=fn_tt_tt_1"/>
    <hyperlink ref="R3904" r:id="rId3831" display="http://www.imdb.com/title/tt0096256/?ref_=fn_tt_tt_1"/>
    <hyperlink ref="R3905" r:id="rId3832" display="http://www.imdb.com/title/tt0057115/?ref_=fn_tt_tt_1"/>
    <hyperlink ref="R3906" r:id="rId3833" display="http://www.imdb.com/title/tt0399877/?ref_=fn_tt_tt_1"/>
    <hyperlink ref="R3907" r:id="rId3834" display="http://www.imdb.com/title/tt2034139/?ref_=fn_tt_tt_1"/>
    <hyperlink ref="R3908" r:id="rId3835" display="http://www.imdb.com/title/tt1065073/?ref_=fn_tt_tt_1"/>
    <hyperlink ref="R3909" r:id="rId3836" display="http://www.imdb.com/title/tt0457513/?ref_=fn_tt_tt_1"/>
    <hyperlink ref="R3910" r:id="rId285" display="http://www.imdb.com/title/tt0133152/?ref_=fn_tt_tt_1"/>
    <hyperlink ref="R3911" r:id="rId3837" display="http://www.imdb.com/title/tt0290332/?ref_=fn_tt_tt_1"/>
    <hyperlink ref="R3912" r:id="rId3838" display="http://www.imdb.com/title/tt0199290/?ref_=fn_tt_tt_1"/>
    <hyperlink ref="R3913" r:id="rId3839" display="http://www.imdb.com/title/tt0318374/?ref_=fn_tt_tt_1"/>
    <hyperlink ref="R3914" r:id="rId3840" display="http://www.imdb.com/title/tt0055184/?ref_=fn_tt_tt_1"/>
    <hyperlink ref="R3915" r:id="rId3841" display="http://www.imdb.com/title/tt0448075/?ref_=fn_tt_tt_1"/>
    <hyperlink ref="R3916" r:id="rId3842" display="http://www.imdb.com/title/tt0110189/?ref_=fn_tt_tt_1"/>
    <hyperlink ref="R3917" r:id="rId1947" display="http://www.imdb.com/title/tt0872230/?ref_=fn_tt_tt_1"/>
    <hyperlink ref="R3918" r:id="rId3843" display="http://www.imdb.com/title/tt0464141/?ref_=fn_tt_tt_1"/>
    <hyperlink ref="R3919" r:id="rId3844" display="http://www.imdb.com/title/tt2828996/?ref_=fn_tt_tt_1"/>
    <hyperlink ref="R3920" r:id="rId3845" display="http://www.imdb.com/title/tt0292644/?ref_=fn_tt_tt_1"/>
    <hyperlink ref="R3921" r:id="rId3846" display="http://www.imdb.com/title/tt0065112/?ref_=fn_tt_tt_1"/>
    <hyperlink ref="R3922" r:id="rId3847" display="http://www.imdb.com/title/tt0454987/?ref_=fn_tt_tt_1"/>
    <hyperlink ref="R3923" r:id="rId3848" display="http://www.imdb.com/title/tt0113101/?ref_=fn_tt_tt_1"/>
    <hyperlink ref="R3924" r:id="rId3849" display="http://www.imdb.com/title/tt0274812/?ref_=fn_tt_tt_1"/>
    <hyperlink ref="R3925" r:id="rId3850" display="http://www.imdb.com/title/tt0360916/?ref_=fn_tt_tt_1"/>
    <hyperlink ref="R3926" r:id="rId3851" display="http://www.imdb.com/title/tt0096219/?ref_=fn_tt_tt_1"/>
    <hyperlink ref="R3927" r:id="rId3852" display="http://www.imdb.com/title/tt0118111/?ref_=fn_tt_tt_1"/>
    <hyperlink ref="R3928" r:id="rId3853" display="http://www.imdb.com/title/tt0188863/?ref_=fn_tt_tt_1"/>
    <hyperlink ref="R3929" r:id="rId3854" display="http://www.imdb.com/title/tt0796375/?ref_=fn_tt_tt_1"/>
    <hyperlink ref="R3930" r:id="rId3855" display="http://www.imdb.com/title/tt0318761/?ref_=fn_tt_tt_1"/>
    <hyperlink ref="R3931" r:id="rId3856" display="http://www.imdb.com/title/tt0873886/?ref_=fn_tt_tt_1"/>
    <hyperlink ref="R3932" r:id="rId3857" display="http://www.imdb.com/title/tt0366780/?ref_=fn_tt_tt_1"/>
    <hyperlink ref="R3933" r:id="rId3858" display="http://www.imdb.com/title/tt0770802/?ref_=fn_tt_tt_1"/>
    <hyperlink ref="R3934" r:id="rId3859" display="http://www.imdb.com/title/tt0092615/?ref_=fn_tt_tt_1"/>
    <hyperlink ref="R3935" r:id="rId3860" display="http://www.imdb.com/title/tt1645080/?ref_=fn_tt_tt_1"/>
    <hyperlink ref="R3936" r:id="rId3861" display="http://www.imdb.com/title/tt3346224/?ref_=fn_tt_tt_1"/>
    <hyperlink ref="R3937" r:id="rId3862" display="http://www.imdb.com/title/tt0273982/?ref_=fn_tt_tt_1"/>
    <hyperlink ref="R3938" r:id="rId3863" display="http://www.imdb.com/title/tt0126859/?ref_=fn_tt_tt_1"/>
    <hyperlink ref="R3939" r:id="rId3864" display="http://www.imdb.com/title/tt2076220/?ref_=fn_tt_tt_1"/>
    <hyperlink ref="R3940" r:id="rId3865" display="http://www.imdb.com/title/tt2382396/?ref_=fn_tt_tt_1"/>
    <hyperlink ref="R3941" r:id="rId3866" display="http://www.imdb.com/title/tt0120122/?ref_=fn_tt_tt_1"/>
    <hyperlink ref="R3942" r:id="rId3867" display="http://www.imdb.com/title/tt0095904/?ref_=fn_tt_tt_1"/>
    <hyperlink ref="R3943" r:id="rId3868" display="http://www.imdb.com/title/tt0206226/?ref_=fn_tt_tt_1"/>
    <hyperlink ref="R3944" r:id="rId3869" display="http://www.imdb.com/title/tt0156639/?ref_=fn_tt_tt_1"/>
    <hyperlink ref="R3945" r:id="rId3870" display="http://www.imdb.com/title/tt2876428/?ref_=fn_tt_tt_1"/>
    <hyperlink ref="R3946" r:id="rId3871" display="http://www.imdb.com/title/tt1529572/?ref_=fn_tt_tt_1"/>
    <hyperlink ref="R3947" r:id="rId3872" display="http://www.imdb.com/title/tt0218182/?ref_=fn_tt_tt_1"/>
    <hyperlink ref="R3948" r:id="rId3873" display="http://www.imdb.com/title/tt0122906/?ref_=fn_tt_tt_1"/>
    <hyperlink ref="R3949" r:id="rId3874" display="http://www.imdb.com/title/tt2103267/?ref_=fn_tt_tt_1"/>
    <hyperlink ref="R3950" r:id="rId3875" display="http://www.imdb.com/title/tt0120878/?ref_=fn_tt_tt_1"/>
    <hyperlink ref="R3951" r:id="rId3876" display="http://www.imdb.com/title/tt0319769/?ref_=fn_tt_tt_1"/>
    <hyperlink ref="R3952" r:id="rId3877" display="http://www.imdb.com/title/tt1464580/?ref_=fn_tt_tt_1"/>
    <hyperlink ref="R3953" r:id="rId3878" display="http://www.imdb.com/title/tt1252374/?ref_=fn_tt_tt_1"/>
    <hyperlink ref="R3954" r:id="rId3879" display="http://www.imdb.com/title/tt0119502/?ref_=fn_tt_tt_1"/>
    <hyperlink ref="R3955" r:id="rId3880" display="http://www.imdb.com/title/tt2199543/?ref_=fn_tt_tt_1"/>
    <hyperlink ref="R3956" r:id="rId3881" display="http://www.imdb.com/title/tt1719071/?ref_=fn_tt_tt_1"/>
    <hyperlink ref="R3957" r:id="rId3882" display="http://www.imdb.com/title/tt1422136/?ref_=fn_tt_tt_1"/>
    <hyperlink ref="R3958" r:id="rId3883" display="http://www.imdb.com/title/tt0298482/?ref_=fn_tt_tt_1"/>
    <hyperlink ref="R3959" r:id="rId3884" display="http://www.imdb.com/title/tt3155604/?ref_=fn_tt_tt_1"/>
    <hyperlink ref="R3960" r:id="rId3885" display="http://www.imdb.com/title/tt0068156/?ref_=fn_tt_tt_1"/>
    <hyperlink ref="R3961" r:id="rId3886" display="http://www.imdb.com/title/tt1844203/?ref_=fn_tt_tt_1"/>
    <hyperlink ref="R3962" r:id="rId3887" display="http://www.imdb.com/title/tt0020960/?ref_=fn_tt_tt_1"/>
    <hyperlink ref="R3963" r:id="rId3888" display="http://www.imdb.com/title/tt0491109/?ref_=fn_tt_tt_1"/>
    <hyperlink ref="R3964" r:id="rId3889" display="http://www.imdb.com/title/tt3533916/?ref_=fn_tt_tt_1"/>
    <hyperlink ref="R3965" r:id="rId3890" display="http://www.imdb.com/title/tt1316536/?ref_=fn_tt_tt_1"/>
    <hyperlink ref="R3966" r:id="rId3891" display="http://www.imdb.com/title/tt1854582/?ref_=fn_tt_tt_1"/>
    <hyperlink ref="R3967" r:id="rId3892" display="http://www.imdb.com/title/tt2395247/?ref_=fn_tt_tt_1"/>
    <hyperlink ref="R3968" r:id="rId3893" display="http://www.imdb.com/title/tt2414822/?ref_=fn_tt_tt_1"/>
    <hyperlink ref="R3969" r:id="rId364" display="http://www.imdb.com/title/tt2638144/?ref_=fn_tt_tt_1"/>
    <hyperlink ref="R3970" r:id="rId3894" display="http://www.imdb.com/title/tt0060665/?ref_=fn_tt_tt_1"/>
    <hyperlink ref="R3971" r:id="rId3895" display="http://www.imdb.com/title/tt0074958/?ref_=fn_tt_tt_1"/>
    <hyperlink ref="R3972" r:id="rId3896" display="http://www.imdb.com/title/tt0031381/?ref_=fn_tt_tt_1"/>
    <hyperlink ref="R3973" r:id="rId3897" display="http://www.imdb.com/title/tt2403393/?ref_=fn_tt_tt_1"/>
    <hyperlink ref="R3974" r:id="rId3898" display="http://www.imdb.com/title/tt0059418/?ref_=fn_tt_tt_1"/>
    <hyperlink ref="R3975" r:id="rId3899" display="http://www.imdb.com/title/tt1056477/?ref_=fn_tt_tt_1"/>
    <hyperlink ref="R3976" r:id="rId3900" display="http://www.imdb.com/title/tt0042200/?ref_=fn_tt_tt_1"/>
    <hyperlink ref="R3977" r:id="rId3901" display="http://www.imdb.com/title/tt1341167/?ref_=fn_tt_tt_1"/>
    <hyperlink ref="R3978" r:id="rId3902" display="http://www.imdb.com/title/tt0373747/?ref_=fn_tt_tt_1"/>
    <hyperlink ref="R3979" r:id="rId3903" display="http://www.imdb.com/title/tt1303828/?ref_=fn_tt_tt_1"/>
    <hyperlink ref="R3980" r:id="rId3904" display="http://www.imdb.com/title/tt0040694/?ref_=fn_tt_tt_1"/>
    <hyperlink ref="R3981" r:id="rId3905" display="http://www.imdb.com/title/tt0808285/?ref_=fn_tt_tt_1"/>
    <hyperlink ref="R3982" r:id="rId3906" display="http://www.imdb.com/title/tt0464049/?ref_=fn_tt_tt_1"/>
    <hyperlink ref="R3983" r:id="rId1223" display="http://www.imdb.com/title/tt1401152/?ref_=fn_tt_tt_1"/>
    <hyperlink ref="R3984" r:id="rId3907" display="http://www.imdb.com/title/tt0068098/?ref_=fn_tt_tt_1"/>
    <hyperlink ref="R3985" r:id="rId3908" display="http://www.imdb.com/title/tt0064665/?ref_=fn_tt_tt_1"/>
    <hyperlink ref="R3986" r:id="rId3909" display="http://www.imdb.com/title/tt0119164/?ref_=fn_tt_tt_1"/>
    <hyperlink ref="R3987" r:id="rId3910" display="http://www.imdb.com/title/tt0080339/?ref_=fn_tt_tt_1"/>
    <hyperlink ref="R3988" r:id="rId3911" display="http://www.imdb.com/title/tt4340720/?ref_=fn_tt_tt_1"/>
    <hyperlink ref="R3989" r:id="rId3912" display="http://www.imdb.com/title/tt0113118/?ref_=fn_tt_tt_1"/>
    <hyperlink ref="R3990" r:id="rId3913" display="http://www.imdb.com/title/tt0107554/?ref_=fn_tt_tt_1"/>
    <hyperlink ref="R3991" r:id="rId3914" display="http://www.imdb.com/title/tt3228904/?ref_=fn_tt_tt_1"/>
    <hyperlink ref="R3992" r:id="rId3915" display="http://www.imdb.com/title/tt0092796/?ref_=fn_tt_tt_1"/>
    <hyperlink ref="R3993" r:id="rId3916" display="http://www.imdb.com/title/tt0065446/?ref_=fn_tt_tt_1"/>
    <hyperlink ref="R3994" r:id="rId3917" display="http://www.imdb.com/title/tt0061809/?ref_=fn_tt_tt_1"/>
    <hyperlink ref="R3995" r:id="rId3918" display="http://www.imdb.com/title/tt0053131/?ref_=fn_tt_tt_1"/>
    <hyperlink ref="R3996" r:id="rId3919" display="http://www.imdb.com/title/tt0060490/?ref_=fn_tt_tt_1"/>
    <hyperlink ref="R3997" r:id="rId3920" display="http://www.imdb.com/title/tt0068611/?ref_=fn_tt_tt_1"/>
    <hyperlink ref="R3998" r:id="rId3921" display="http://www.imdb.com/title/tt4263482/?ref_=fn_tt_tt_1"/>
    <hyperlink ref="R3999" r:id="rId3922" display="http://www.imdb.com/title/tt0131436/?ref_=fn_tt_tt_1"/>
    <hyperlink ref="R4000" r:id="rId3923" display="http://www.imdb.com/title/tt0117628/?ref_=fn_tt_tt_1"/>
    <hyperlink ref="R4001" r:id="rId3924" display="http://www.imdb.com/title/tt0120684/?ref_=fn_tt_tt_1"/>
    <hyperlink ref="R4002" r:id="rId3925" display="http://www.imdb.com/title/tt1305806/?ref_=fn_tt_tt_1"/>
    <hyperlink ref="R4003" r:id="rId2441" display="http://www.imdb.com/title/tt0088993/?ref_=fn_tt_tt_1"/>
    <hyperlink ref="R4004" r:id="rId3926" display="http://www.imdb.com/title/tt1015474/?ref_=fn_tt_tt_1"/>
    <hyperlink ref="R4005" r:id="rId3927" display="http://www.imdb.com/title/tt0092991/?ref_=fn_tt_tt_1"/>
    <hyperlink ref="R4006" r:id="rId3928" display="http://www.imdb.com/title/tt0258038/?ref_=fn_tt_tt_1"/>
    <hyperlink ref="R4007" r:id="rId3929" display="http://www.imdb.com/title/tt2724064/?ref_=fn_tt_tt_1"/>
    <hyperlink ref="R4008" r:id="rId3930" display="http://www.imdb.com/title/tt0175996/?ref_=fn_tt_tt_1"/>
    <hyperlink ref="R4009" r:id="rId3931" display="http://www.imdb.com/title/tt1740707/?ref_=fn_tt_tt_1"/>
    <hyperlink ref="R4010" r:id="rId3932" display="http://www.imdb.com/title/tt0480251/?ref_=fn_tt_tt_1"/>
    <hyperlink ref="R4011" r:id="rId864" display="http://www.imdb.com/title/tt1298649/?ref_=fn_tt_tt_1"/>
    <hyperlink ref="R4012" r:id="rId3933" display="http://www.imdb.com/title/tt0380817/?ref_=fn_tt_tt_1"/>
    <hyperlink ref="R4013" r:id="rId3934" display="http://www.imdb.com/title/tt0367631/?ref_=fn_tt_tt_1"/>
    <hyperlink ref="R4014" r:id="rId3935" display="http://www.imdb.com/title/tt3103166/?ref_=fn_tt_tt_1"/>
    <hyperlink ref="R4015" r:id="rId3936" display="http://www.imdb.com/title/tt1074191/?ref_=fn_tt_tt_1"/>
    <hyperlink ref="R4016" r:id="rId3937" display="http://www.imdb.com/title/tt0138862/?ref_=fn_tt_tt_1"/>
    <hyperlink ref="R4017" r:id="rId3938" display="http://www.imdb.com/title/tt5116280/?ref_=fn_tt_tt_1"/>
    <hyperlink ref="R4018" r:id="rId3939" display="http://www.imdb.com/title/tt1002561/?ref_=fn_tt_tt_1"/>
    <hyperlink ref="R4019" r:id="rId3940" display="http://www.imdb.com/title/tt2166834/?ref_=fn_tt_tt_1"/>
    <hyperlink ref="R4020" r:id="rId3941" display="http://www.imdb.com/title/tt5001130/?ref_=fn_tt_tt_1"/>
    <hyperlink ref="R4021" r:id="rId3942" display="http://www.imdb.com/title/tt2379386/?ref_=fn_tt_tt_1"/>
    <hyperlink ref="R4022" r:id="rId3943" display="http://www.imdb.com/title/tt2761578/?ref_=fn_tt_tt_1"/>
    <hyperlink ref="R4023" r:id="rId3944" display="http://www.imdb.com/title/tt2073661/?ref_=fn_tt_tt_1"/>
    <hyperlink ref="R4024" r:id="rId3945" display="http://www.imdb.com/title/tt1800337/?ref_=fn_tt_tt_1"/>
    <hyperlink ref="R4025" r:id="rId3946" display="http://www.imdb.com/title/tt0076141/?ref_=fn_tt_tt_1"/>
    <hyperlink ref="R4026" r:id="rId3947" display="http://www.imdb.com/title/tt0428803/?ref_=fn_tt_tt_1"/>
    <hyperlink ref="R4027" r:id="rId3948" display="http://www.imdb.com/title/tt1615147/?ref_=fn_tt_tt_1"/>
    <hyperlink ref="R4028" r:id="rId3949" display="http://www.imdb.com/title/tt1753460/?ref_=fn_tt_tt_1"/>
    <hyperlink ref="R4029" r:id="rId3950" display="http://www.imdb.com/title/tt1024715/?ref_=fn_tt_tt_1"/>
    <hyperlink ref="R4030" r:id="rId3951" display="http://www.imdb.com/title/tt2582802/?ref_=fn_tt_tt_1"/>
    <hyperlink ref="R4031" r:id="rId3952" display="http://www.imdb.com/title/tt0317248/?ref_=fn_tt_tt_1"/>
    <hyperlink ref="R4032" r:id="rId3953" display="http://www.imdb.com/title/tt0188674/?ref_=fn_tt_tt_1"/>
    <hyperlink ref="R4033" r:id="rId3954" display="http://www.imdb.com/title/tt1850418/?ref_=fn_tt_tt_1"/>
    <hyperlink ref="R4034" r:id="rId3955" display="http://www.imdb.com/title/tt0783238/?ref_=fn_tt_tt_1"/>
    <hyperlink ref="R4035" r:id="rId3956" display="http://www.imdb.com/title/tt2106476/?ref_=fn_tt_tt_1"/>
    <hyperlink ref="R4036" r:id="rId3957" display="http://www.imdb.com/title/tt0085334/?ref_=fn_tt_tt_1"/>
    <hyperlink ref="R4037" r:id="rId3958" display="http://www.imdb.com/title/tt0482463/?ref_=fn_tt_tt_1"/>
    <hyperlink ref="R4038" r:id="rId3959" display="http://www.imdb.com/title/tt0083739/?ref_=fn_tt_tt_1"/>
    <hyperlink ref="R4039" r:id="rId3960" display="http://www.imdb.com/title/tt2796678/?ref_=fn_tt_tt_1"/>
    <hyperlink ref="R4040" r:id="rId3961" display="http://www.imdb.com/title/tt0144178/?ref_=fn_tt_tt_1"/>
    <hyperlink ref="R4041" r:id="rId3962" display="http://www.imdb.com/title/tt1068646/?ref_=fn_tt_tt_1"/>
    <hyperlink ref="R4042" r:id="rId3963" display="http://www.imdb.com/title/tt0063522/?ref_=fn_tt_tt_1"/>
    <hyperlink ref="R4043" r:id="rId3964" display="http://www.imdb.com/title/tt0056217/?ref_=fn_tt_tt_1"/>
    <hyperlink ref="R4044" r:id="rId3965" display="http://www.imdb.com/title/tt1185836/?ref_=fn_tt_tt_1"/>
    <hyperlink ref="R4045" r:id="rId3966" display="http://www.imdb.com/title/tt0390221/?ref_=fn_tt_tt_1"/>
    <hyperlink ref="R4046" r:id="rId3967" display="http://www.imdb.com/title/tt1532503/?ref_=fn_tt_tt_1"/>
    <hyperlink ref="R4047" r:id="rId3968" display="http://www.imdb.com/title/tt0426459/?ref_=fn_tt_tt_1"/>
    <hyperlink ref="R4048" r:id="rId3969" display="http://www.imdb.com/title/tt0077975/?ref_=fn_tt_tt_1"/>
    <hyperlink ref="R4049" r:id="rId3970" display="http://www.imdb.com/title/tt0058150/?ref_=fn_tt_tt_1"/>
    <hyperlink ref="R4050" r:id="rId3971" display="http://www.imdb.com/title/tt2099556/?ref_=fn_tt_tt_1"/>
    <hyperlink ref="R4051" r:id="rId3972" display="http://www.imdb.com/title/tt0038650/?ref_=fn_tt_tt_1"/>
    <hyperlink ref="R4052" r:id="rId3973" display="http://www.imdb.com/title/tt0117951/?ref_=fn_tt_tt_1"/>
    <hyperlink ref="R4053" r:id="rId3974" display="http://www.imdb.com/title/tt0236388/?ref_=fn_tt_tt_1"/>
    <hyperlink ref="R4054" r:id="rId3975" display="http://www.imdb.com/title/tt1536044/?ref_=fn_tt_tt_1"/>
    <hyperlink ref="R4055" r:id="rId3976" display="http://www.imdb.com/title/tt0166396/?ref_=fn_tt_tt_1"/>
    <hyperlink ref="R4056" r:id="rId3977" display="http://www.imdb.com/title/tt0310793/?ref_=fn_tt_tt_1"/>
    <hyperlink ref="R4057" r:id="rId3978" display="http://www.imdb.com/title/tt3125472/?ref_=fn_tt_tt_1"/>
    <hyperlink ref="R4058" r:id="rId3979" display="http://www.imdb.com/title/tt0089686/?ref_=fn_tt_tt_1"/>
    <hyperlink ref="R4059" r:id="rId3980" display="http://www.imdb.com/title/tt0091867/?ref_=fn_tt_tt_1"/>
    <hyperlink ref="R4060" r:id="rId3981" display="http://www.imdb.com/title/tt2184339/?ref_=fn_tt_tt_1"/>
    <hyperlink ref="R4061" r:id="rId3982" display="http://www.imdb.com/title/tt1922777/?ref_=fn_tt_tt_1"/>
    <hyperlink ref="R4062" r:id="rId3983" display="http://www.imdb.com/title/tt0327036/?ref_=fn_tt_tt_1"/>
    <hyperlink ref="R4063" r:id="rId3984" display="http://www.imdb.com/title/tt0051459/?ref_=fn_tt_tt_1"/>
    <hyperlink ref="R4064" r:id="rId3985" display="http://www.imdb.com/title/tt0065462/?ref_=fn_tt_tt_1"/>
    <hyperlink ref="R4065" r:id="rId3986" display="http://www.imdb.com/title/tt0118570/?ref_=fn_tt_tt_1"/>
    <hyperlink ref="R4066" r:id="rId3987" display="http://www.imdb.com/title/tt0235679/?ref_=fn_tt_tt_1"/>
    <hyperlink ref="R4067" r:id="rId3988" display="http://www.imdb.com/title/tt0091080/?ref_=fn_tt_tt_1"/>
    <hyperlink ref="R4068" r:id="rId3989" display="http://www.imdb.com/title/tt0050212/?ref_=fn_tt_tt_1"/>
    <hyperlink ref="R4069" r:id="rId3990" display="http://www.imdb.com/title/tt0100666/?ref_=fn_tt_tt_1"/>
    <hyperlink ref="R4070" r:id="rId3991" display="http://www.imdb.com/title/tt0074512/?ref_=fn_tt_tt_1"/>
    <hyperlink ref="R4071" r:id="rId3992" display="http://www.imdb.com/title/tt0053604/?ref_=fn_tt_tt_1"/>
    <hyperlink ref="R4072" r:id="rId3993" display="http://www.imdb.com/title/tt0107254/?ref_=fn_tt_tt_1"/>
    <hyperlink ref="R4073" r:id="rId3994" display="http://www.imdb.com/title/tt0061107/?ref_=fn_tt_tt_1"/>
    <hyperlink ref="R4074" r:id="rId3995" display="http://www.imdb.com/title/tt0425598/?ref_=fn_tt_tt_1"/>
    <hyperlink ref="R4075" r:id="rId3996" display="http://www.imdb.com/title/tt3205376/?ref_=fn_tt_tt_1"/>
    <hyperlink ref="R4076" r:id="rId3997" display="http://www.imdb.com/title/tt0089444/?ref_=fn_tt_tt_1"/>
    <hyperlink ref="R4077" r:id="rId3998" display="http://www.imdb.com/title/tt1097013/?ref_=fn_tt_tt_1"/>
    <hyperlink ref="R4078" r:id="rId3999" display="http://www.imdb.com/title/tt0053793/?ref_=fn_tt_tt_1"/>
    <hyperlink ref="R4079" r:id="rId4000" display="http://www.imdb.com/title/tt0055031/?ref_=fn_tt_tt_1"/>
    <hyperlink ref="R4080" r:id="rId4001" display="http://www.imdb.com/title/tt0160298/?ref_=fn_tt_tt_1"/>
    <hyperlink ref="R4081" r:id="rId4002" display="http://www.imdb.com/title/tt0437745/?ref_=fn_tt_tt_1"/>
    <hyperlink ref="R4082" r:id="rId4003" display="http://www.imdb.com/title/tt0040724/?ref_=fn_tt_tt_1"/>
    <hyperlink ref="R4083" r:id="rId4004" display="http://www.imdb.com/title/tt0490196/?ref_=fn_tt_tt_1"/>
    <hyperlink ref="R4084" r:id="rId4005" display="http://www.imdb.com/title/tt2209418/?ref_=fn_tt_tt_1"/>
    <hyperlink ref="R4085" r:id="rId4006" display="http://www.imdb.com/title/tt0094118/?ref_=fn_tt_tt_1"/>
    <hyperlink ref="R4086" r:id="rId4007" display="http://www.imdb.com/title/tt0095863/?ref_=fn_tt_tt_1"/>
    <hyperlink ref="R4087" r:id="rId4008" display="http://www.imdb.com/title/tt0399901/?ref_=fn_tt_tt_1"/>
    <hyperlink ref="R4088" r:id="rId4009" display="http://www.imdb.com/title/tt0296166/?ref_=fn_tt_tt_1"/>
    <hyperlink ref="R4089" r:id="rId4010" display="http://www.imdb.com/title/tt3458030/?ref_=fn_tt_tt_1"/>
    <hyperlink ref="R4090" r:id="rId4011" display="http://www.imdb.com/title/tt0240200/?ref_=fn_tt_tt_1"/>
    <hyperlink ref="R4091" r:id="rId4012" display="http://www.imdb.com/title/tt0166175/?ref_=fn_tt_tt_1"/>
    <hyperlink ref="R4092" r:id="rId4013" display="http://www.imdb.com/title/tt0174336/?ref_=fn_tt_tt_1"/>
    <hyperlink ref="R4093" r:id="rId4014" display="http://www.imdb.com/title/tt0116743/?ref_=fn_tt_tt_1"/>
    <hyperlink ref="R4094" r:id="rId4015" display="http://www.imdb.com/title/tt0878835/?ref_=fn_tt_tt_1"/>
    <hyperlink ref="R4095" r:id="rId4016" display="http://www.imdb.com/title/tt0067992/?ref_=fn_tt_tt_1"/>
    <hyperlink ref="R4096" r:id="rId4017" display="http://www.imdb.com/title/tt0108517/?ref_=fn_tt_tt_1"/>
    <hyperlink ref="R4097" r:id="rId4018" display="http://www.imdb.com/title/tt0118541/?ref_=fn_tt_tt_1"/>
    <hyperlink ref="R4098" r:id="rId4019" display="http://www.imdb.com/title/tt0077405/?ref_=fn_tt_tt_1"/>
    <hyperlink ref="R4099" r:id="rId4020" display="http://www.imdb.com/title/tt0268690/?ref_=fn_tt_tt_1"/>
    <hyperlink ref="R4100" r:id="rId4021" display="http://www.imdb.com/title/tt0155776/?ref_=fn_tt_tt_1"/>
    <hyperlink ref="R4101" r:id="rId4022" display="http://www.imdb.com/title/tt0115632/?ref_=fn_tt_tt_1"/>
    <hyperlink ref="R4102" r:id="rId4023" display="http://www.imdb.com/title/tt2347569/?ref_=fn_tt_tt_1"/>
    <hyperlink ref="R4103" r:id="rId4024" display="http://www.imdb.com/title/tt0468565/?ref_=fn_tt_tt_1"/>
    <hyperlink ref="R4104" r:id="rId4025" display="http://www.imdb.com/title/tt0147612/?ref_=fn_tt_tt_1"/>
    <hyperlink ref="R4105" r:id="rId4026" display="http://www.imdb.com/title/tt0337996/?ref_=fn_tt_tt_1"/>
    <hyperlink ref="R4106" r:id="rId4027" display="http://www.imdb.com/title/tt3099498/?ref_=fn_tt_tt_1"/>
    <hyperlink ref="R4107" r:id="rId4028" display="http://www.imdb.com/title/tt0364569/?ref_=fn_tt_tt_1"/>
    <hyperlink ref="R4108" r:id="rId4029" display="http://www.imdb.com/title/tt1462054/?ref_=fn_tt_tt_1"/>
    <hyperlink ref="R4109" r:id="rId4030" display="http://www.imdb.com/title/tt1640459/?ref_=fn_tt_tt_1"/>
    <hyperlink ref="R4110" r:id="rId4031" display="http://www.imdb.com/title/tt3367294/?ref_=fn_tt_tt_1"/>
    <hyperlink ref="R4111" r:id="rId4032" display="http://www.imdb.com/title/tt0116361/?ref_=fn_tt_tt_1"/>
    <hyperlink ref="R4112" r:id="rId4033" display="http://www.imdb.com/title/tt0785025/?ref_=fn_tt_tt_1"/>
    <hyperlink ref="R4113" r:id="rId4034" display="http://www.imdb.com/title/tt1232776/?ref_=fn_tt_tt_1"/>
    <hyperlink ref="R4114" r:id="rId4035" display="http://www.imdb.com/title/tt1667307/?ref_=fn_tt_tt_1"/>
    <hyperlink ref="R4115" r:id="rId4036" display="http://www.imdb.com/title/tt0156205/?ref_=fn_tt_tt_1"/>
    <hyperlink ref="R4116" r:id="rId4037" display="http://www.imdb.com/title/tt1920849/?ref_=fn_tt_tt_1"/>
    <hyperlink ref="R4117" r:id="rId4038" display="http://www.imdb.com/title/tt4877736/?ref_=fn_tt_tt_1"/>
    <hyperlink ref="R4118" r:id="rId4039" display="http://www.imdb.com/title/tt0403118/?ref_=fn_tt_tt_1"/>
    <hyperlink ref="R4119" r:id="rId4040" display="http://www.imdb.com/title/tt1855401/?ref_=fn_tt_tt_1"/>
    <hyperlink ref="R4120" r:id="rId1925" display="http://www.imdb.com/title/tt2039393/?ref_=fn_tt_tt_1"/>
    <hyperlink ref="R4121" r:id="rId4041" display="http://www.imdb.com/title/tt0118327/?ref_=fn_tt_tt_1"/>
    <hyperlink ref="R4122" r:id="rId4042" display="http://www.imdb.com/title/tt0420206/?ref_=fn_tt_tt_1"/>
    <hyperlink ref="R4123" r:id="rId4043" display="http://www.imdb.com/title/tt1282046/?ref_=fn_tt_tt_1"/>
    <hyperlink ref="R4124" r:id="rId4044" display="http://www.imdb.com/title/tt1148200/?ref_=fn_tt_tt_1"/>
    <hyperlink ref="R4125" r:id="rId4045" display="http://www.imdb.com/title/tt0162236/?ref_=fn_tt_tt_1"/>
    <hyperlink ref="R4126" r:id="rId4046" display="http://www.imdb.com/title/tt1535616/?ref_=fn_tt_tt_1"/>
    <hyperlink ref="R4127" r:id="rId4047" display="http://www.imdb.com/title/tt1346961/?ref_=fn_tt_tt_1"/>
    <hyperlink ref="R4128" r:id="rId4048" display="http://www.imdb.com/title/tt1841642/?ref_=fn_tt_tt_1"/>
    <hyperlink ref="R4129" r:id="rId4049" display="http://www.imdb.com/title/tt0385890/?ref_=fn_tt_tt_1"/>
    <hyperlink ref="R4130" r:id="rId34" display="http://www.imdb.com/title/tt1014759/?ref_=fn_tt_tt_1"/>
    <hyperlink ref="R4131" r:id="rId4050" display="http://www.imdb.com/title/tt1390404/?ref_=fn_tt_tt_1"/>
    <hyperlink ref="R4132" r:id="rId4051" display="http://www.imdb.com/title/tt1151410/?ref_=fn_tt_tt_1"/>
    <hyperlink ref="R4133" r:id="rId4052" display="http://www.imdb.com/title/tt1922679/?ref_=fn_tt_tt_1"/>
    <hyperlink ref="R4134" r:id="rId4053" display="http://www.imdb.com/title/tt2398249/?ref_=fn_tt_tt_1"/>
    <hyperlink ref="R4135" r:id="rId4054" display="http://www.imdb.com/title/tt2417650/?ref_=fn_tt_tt_1"/>
    <hyperlink ref="R4136" r:id="rId4055" display="http://www.imdb.com/title/tt1754264/?ref_=fn_tt_tt_1"/>
    <hyperlink ref="R4137" r:id="rId4056" display="http://www.imdb.com/title/tt0062138/?ref_=fn_tt_tt_1"/>
    <hyperlink ref="R4138" r:id="rId4057" display="http://www.imdb.com/title/tt1252289/?ref_=fn_tt_tt_1"/>
    <hyperlink ref="R4139" r:id="rId4058" display="http://www.imdb.com/title/tt2229377/?ref_=fn_tt_tt_1"/>
    <hyperlink ref="R4140" r:id="rId4059" display="http://www.imdb.com/title/tt1327601/?ref_=fn_tt_tt_1"/>
    <hyperlink ref="R4141" r:id="rId4060" display="http://www.imdb.com/title/tt2048865/?ref_=fn_tt_tt_1"/>
    <hyperlink ref="R4142" r:id="rId4061" display="http://www.imdb.com/title/tt0095354/?ref_=fn_tt_tt_1"/>
    <hyperlink ref="R4143" r:id="rId333" display="http://www.imdb.com/title/tt1661199/?ref_=fn_tt_tt_1"/>
    <hyperlink ref="R4144" r:id="rId4062" display="http://www.imdb.com/title/tt1085382/?ref_=fn_tt_tt_1"/>
    <hyperlink ref="R4145" r:id="rId4063" display="http://www.imdb.com/title/tt0482461/?ref_=fn_tt_tt_1"/>
    <hyperlink ref="R4146" r:id="rId4064" display="http://www.imdb.com/title/tt0140888/?ref_=fn_tt_tt_1"/>
    <hyperlink ref="R4147" r:id="rId4065" display="http://www.imdb.com/title/tt0055312/?ref_=fn_tt_tt_1"/>
    <hyperlink ref="R4148" r:id="rId4066" display="http://www.imdb.com/title/tt3511596/?ref_=fn_tt_tt_1"/>
    <hyperlink ref="R4149" r:id="rId4067" display="http://www.imdb.com/title/tt0439478/?ref_=fn_tt_tt_1"/>
    <hyperlink ref="R4150" r:id="rId4068" display="http://www.imdb.com/title/tt2837336/?ref_=fn_tt_tt_1"/>
    <hyperlink ref="R4151" r:id="rId4069" display="http://www.imdb.com/title/tt1152822/?ref_=fn_tt_tt_1"/>
    <hyperlink ref="R4152" r:id="rId1879" display="http://www.imdb.com/title/tt0075005/?ref_=fn_tt_tt_1"/>
    <hyperlink ref="R4153" r:id="rId4070" display="http://www.imdb.com/title/tt0338095/?ref_=fn_tt_tt_1"/>
    <hyperlink ref="R4154" r:id="rId4071" display="http://www.imdb.com/title/tt1509803/?ref_=fn_tt_tt_1"/>
    <hyperlink ref="R4155" r:id="rId4072" display="http://www.imdb.com/title/tt3551400/?ref_=fn_tt_tt_1"/>
    <hyperlink ref="R4156" r:id="rId4073" display="http://www.imdb.com/title/tt0410097/?ref_=fn_tt_tt_1"/>
    <hyperlink ref="R4157" r:id="rId4074" display="http://www.imdb.com/title/tt0053291/?ref_=fn_tt_tt_1"/>
    <hyperlink ref="R4158" r:id="rId4075" display="http://www.imdb.com/title/tt0095179/?ref_=fn_tt_tt_1"/>
    <hyperlink ref="R4159" r:id="rId4076" display="http://www.imdb.com/title/tt0032138/?ref_=fn_tt_tt_1"/>
    <hyperlink ref="R4160" r:id="rId4077" display="http://www.imdb.com/title/tt0072431/?ref_=fn_tt_tt_1"/>
    <hyperlink ref="R4161" r:id="rId4078" display="http://www.imdb.com/title/tt0848557/?ref_=fn_tt_tt_1"/>
    <hyperlink ref="R4162" r:id="rId4079" display="http://www.imdb.com/title/tt0456144/?ref_=fn_tt_tt_1"/>
    <hyperlink ref="R4163" r:id="rId4080" display="http://www.imdb.com/title/tt0120402/?ref_=fn_tt_tt_1"/>
    <hyperlink ref="R4164" r:id="rId4081" display="http://www.imdb.com/title/tt0078872/?ref_=fn_tt_tt_1"/>
    <hyperlink ref="R4165" r:id="rId4082" display="http://www.imdb.com/title/tt4080386/?ref_=fn_tt_tt_1"/>
    <hyperlink ref="R4166" r:id="rId4083" display="http://www.imdb.com/title/tt1095423/?ref_=fn_tt_tt_1"/>
    <hyperlink ref="R4167" r:id="rId4084" display="http://www.imdb.com/title/tt0057007/?ref_=fn_tt_tt_1"/>
    <hyperlink ref="R4168" r:id="rId4085" display="http://www.imdb.com/title/tt0116729/?ref_=fn_tt_tt_1"/>
    <hyperlink ref="R4169" r:id="rId4086" display="http://www.imdb.com/title/tt0035959/?ref_=fn_tt_tt_1"/>
    <hyperlink ref="R4170" r:id="rId4087" display="http://www.imdb.com/title/tt0071230/?ref_=fn_tt_tt_1"/>
    <hyperlink ref="R4171" r:id="rId4088" display="http://www.imdb.com/title/tt0087298/?ref_=fn_tt_tt_1"/>
    <hyperlink ref="R4172" r:id="rId4089" display="http://www.imdb.com/title/tt2718492/?ref_=fn_tt_tt_1"/>
    <hyperlink ref="R4173" r:id="rId4090" display="http://www.imdb.com/title/tt0093512/?ref_=fn_tt_tt_1"/>
    <hyperlink ref="R4174" r:id="rId4091" display="http://www.imdb.com/title/tt0453453/?ref_=fn_tt_tt_1"/>
    <hyperlink ref="R4175" r:id="rId1506" display="http://www.imdb.com/title/tt0138304/?ref_=fn_tt_tt_1"/>
    <hyperlink ref="R4176" r:id="rId4092" display="http://www.imdb.com/title/tt0389326/?ref_=fn_tt_tt_1"/>
    <hyperlink ref="R4177" r:id="rId4093" display="http://www.imdb.com/title/tt0480669/?ref_=fn_tt_tt_1"/>
    <hyperlink ref="R4178" r:id="rId4094" display="http://www.imdb.com/title/tt0851515/?ref_=fn_tt_tt_1"/>
    <hyperlink ref="R4179" r:id="rId4095" display="http://www.imdb.com/title/tt0857295/?ref_=fn_tt_tt_1"/>
    <hyperlink ref="R4180" r:id="rId4096" display="http://www.imdb.com/title/tt0045152/?ref_=fn_tt_tt_1"/>
    <hyperlink ref="R4181" r:id="rId4097" display="http://www.imdb.com/title/tt1227378/?ref_=fn_tt_tt_1"/>
    <hyperlink ref="R4182" r:id="rId4098" display="http://www.imdb.com/title/tt2243537/?ref_=fn_tt_tt_1"/>
    <hyperlink ref="R4183" r:id="rId4099" display="http://www.imdb.com/title/tt2247692/?ref_=fn_tt_tt_1"/>
    <hyperlink ref="R4184" r:id="rId2608" display="http://www.imdb.com/title/tt1311067/?ref_=fn_tt_tt_1"/>
    <hyperlink ref="R4185" r:id="rId4100" display="http://www.imdb.com/title/tt0117887/?ref_=fn_tt_tt_1"/>
    <hyperlink ref="R4186" r:id="rId4101" display="http://www.imdb.com/title/tt0085636/?ref_=fn_tt_tt_1"/>
    <hyperlink ref="R4187" r:id="rId4102" display="http://www.imdb.com/title/tt0067065/?ref_=fn_tt_tt_1"/>
    <hyperlink ref="R4188" r:id="rId4103" display="http://www.imdb.com/title/tt0057163/?ref_=fn_tt_tt_1"/>
    <hyperlink ref="R4189" r:id="rId4104" display="http://www.imdb.com/title/tt2609912/?ref_=fn_tt_tt_1"/>
    <hyperlink ref="R4190" r:id="rId4105" display="http://www.imdb.com/title/tt0102494/?ref_=fn_tt_tt_1"/>
    <hyperlink ref="R4191" r:id="rId4106" display="http://www.imdb.com/title/tt0333766/?ref_=fn_tt_tt_1"/>
    <hyperlink ref="R4192" r:id="rId4107" display="http://www.imdb.com/title/tt0112471/?ref_=fn_tt_tt_1"/>
    <hyperlink ref="R4193" r:id="rId4108" display="http://www.imdb.com/title/tt0380732/?ref_=fn_tt_tt_1"/>
    <hyperlink ref="R4194" r:id="rId4109" display="http://www.imdb.com/title/tt0186253/?ref_=fn_tt_tt_1"/>
    <hyperlink ref="R4195" r:id="rId4110" display="http://www.imdb.com/title/tt0384504/?ref_=fn_tt_tt_1"/>
    <hyperlink ref="R4196" r:id="rId4111" display="http://www.imdb.com/title/tt0940585/?ref_=fn_tt_tt_1"/>
    <hyperlink ref="R4197" r:id="rId4112" display="http://www.imdb.com/title/tt1990314/?ref_=fn_tt_tt_1"/>
    <hyperlink ref="R4198" r:id="rId4113" display="http://www.imdb.com/title/tt0314412/?ref_=fn_tt_tt_1"/>
    <hyperlink ref="R4199" r:id="rId4114" display="http://www.imdb.com/title/tt1714206/?ref_=fn_tt_tt_1"/>
    <hyperlink ref="R4200" r:id="rId4115" display="http://www.imdb.com/title/tt0283465/?ref_=fn_tt_tt_1"/>
    <hyperlink ref="R4201" r:id="rId4116" display="http://www.imdb.com/title/tt0815241/?ref_=fn_tt_tt_1"/>
    <hyperlink ref="R4202" r:id="rId4117" display="http://www.imdb.com/title/tt1294164/?ref_=fn_tt_tt_1"/>
    <hyperlink ref="R4203" r:id="rId4118" display="http://www.imdb.com/title/tt0472200/?ref_=fn_tt_tt_1"/>
    <hyperlink ref="R4204" r:id="rId1581" display="http://www.imdb.com/title/tt0364725/?ref_=fn_tt_tt_1"/>
    <hyperlink ref="R4205" r:id="rId4119" display="http://www.imdb.com/title/tt0465407/?ref_=fn_tt_tt_1"/>
    <hyperlink ref="R4206" r:id="rId4120" display="http://www.imdb.com/title/tt1484522/?ref_=fn_tt_tt_1"/>
    <hyperlink ref="R4207" r:id="rId4121" display="http://www.imdb.com/title/tt1049405/?ref_=fn_tt_tt_1"/>
    <hyperlink ref="R4208" r:id="rId4122" display="http://www.imdb.com/title/tt0187696/?ref_=fn_tt_tt_1"/>
    <hyperlink ref="R4209" r:id="rId4123" display="http://www.imdb.com/title/tt0804529/?ref_=fn_tt_tt_1"/>
    <hyperlink ref="R4210" r:id="rId4124" display="http://www.imdb.com/title/tt1512235/?ref_=fn_tt_tt_1"/>
    <hyperlink ref="R4211" r:id="rId4125" display="http://www.imdb.com/title/tt1663628/?ref_=fn_tt_tt_1"/>
    <hyperlink ref="R4212" r:id="rId4126" display="http://www.imdb.com/title/tt3300572/?ref_=fn_tt_tt_1"/>
    <hyperlink ref="R4213" r:id="rId4127" display="http://www.imdb.com/title/tt3333870/?ref_=fn_tt_tt_1"/>
    <hyperlink ref="R4214" r:id="rId4128" display="http://www.imdb.com/title/tt0116404/?ref_=fn_tt_tt_1"/>
    <hyperlink ref="R4215" r:id="rId4129" display="http://www.imdb.com/title/tt0486028/?ref_=fn_tt_tt_1"/>
    <hyperlink ref="R4216" r:id="rId4130" display="http://www.imdb.com/title/tt0387808/?ref_=fn_tt_tt_1"/>
    <hyperlink ref="R4217" r:id="rId4131" display="http://www.imdb.com/title/tt2945796/?ref_=fn_tt_tt_1"/>
    <hyperlink ref="R4218" r:id="rId4132" display="http://www.imdb.com/title/tt0480025/?ref_=fn_tt_tt_1"/>
    <hyperlink ref="R4219" r:id="rId4133" display="http://www.imdb.com/title/tt2040578/?ref_=fn_tt_tt_1"/>
    <hyperlink ref="R4220" r:id="rId4134" display="http://www.imdb.com/title/tt0036628/?ref_=fn_tt_tt_1"/>
    <hyperlink ref="R4221" r:id="rId4135" display="http://www.imdb.com/title/tt1307926/?ref_=fn_tt_tt_1"/>
    <hyperlink ref="R4222" r:id="rId4136" display="http://www.imdb.com/title/tt0118925/?ref_=fn_tt_tt_1"/>
    <hyperlink ref="R4223" r:id="rId4137" display="http://www.imdb.com/title/tt0044030/?ref_=fn_tt_tt_1"/>
    <hyperlink ref="R4224" r:id="rId4138" display="http://www.imdb.com/title/tt1470020/?ref_=fn_tt_tt_1"/>
    <hyperlink ref="R4225" r:id="rId4139" display="http://www.imdb.com/title/tt1666335/?ref_=fn_tt_tt_1"/>
    <hyperlink ref="R4226" r:id="rId4140" display="http://www.imdb.com/title/tt0092695/?ref_=fn_tt_tt_1"/>
    <hyperlink ref="R4227" r:id="rId4141" display="http://www.imdb.com/title/tt0032455/?ref_=fn_tt_tt_1"/>
    <hyperlink ref="R4228" r:id="rId2156" display="http://www.imdb.com/title/tt0067116/?ref_=fn_tt_tt_1"/>
    <hyperlink ref="R4229" r:id="rId4142" display="http://www.imdb.com/title/tt3111864/?ref_=fn_tt_tt_1"/>
    <hyperlink ref="R4230" r:id="rId4143" display="http://www.imdb.com/title/tt0083972/?ref_=fn_tt_tt_1"/>
    <hyperlink ref="R4231" r:id="rId4144" display="http://www.imdb.com/title/tt0089173/?ref_=fn_tt_tt_1"/>
    <hyperlink ref="R4232" r:id="rId4145" display="http://www.imdb.com/title/tt0810928/?ref_=fn_tt_tt_1"/>
    <hyperlink ref="R4233" r:id="rId4146" display="http://www.imdb.com/title/tt4056738/?ref_=fn_tt_tt_1"/>
    <hyperlink ref="R4234" r:id="rId4147" display="http://www.imdb.com/title/tt1086841/?ref_=fn_tt_tt_1"/>
    <hyperlink ref="R4235" r:id="rId4148" display="http://www.imdb.com/title/tt0038213/?ref_=fn_tt_tt_1"/>
    <hyperlink ref="R4236" r:id="rId4149" display="http://www.imdb.com/title/tt3032282/?ref_=fn_tt_tt_1"/>
    <hyperlink ref="R4237" r:id="rId4150" display="http://www.imdb.com/title/tt0449000/?ref_=fn_tt_tt_1"/>
    <hyperlink ref="R4238" r:id="rId4151" display="http://www.imdb.com/title/tt1995477/?ref_=fn_tt_tt_1"/>
    <hyperlink ref="R4239" r:id="rId4152" display="http://www.imdb.com/title/tt0816539/?ref_=fn_tt_tt_1"/>
    <hyperlink ref="R4240" r:id="rId4153" display="http://www.imdb.com/title/tt0036868/?ref_=fn_tt_tt_1"/>
    <hyperlink ref="R4241" r:id="rId4154" display="http://www.imdb.com/title/tt0242193/?ref_=fn_tt_tt_1"/>
    <hyperlink ref="R4242" r:id="rId4155" display="http://www.imdb.com/title/tt0279064/?ref_=fn_tt_tt_1"/>
    <hyperlink ref="R4243" r:id="rId4156" display="http://www.imdb.com/title/tt2460506/?ref_=fn_tt_tt_1"/>
    <hyperlink ref="R4244" r:id="rId4157" display="http://www.imdb.com/title/tt1038988/?ref_=fn_tt_tt_1"/>
    <hyperlink ref="R4245" r:id="rId4158" display="http://www.imdb.com/title/tt1675312/?ref_=fn_tt_tt_1"/>
    <hyperlink ref="R4246" r:id="rId4159" display="http://www.imdb.com/title/tt2317796/?ref_=fn_tt_tt_1"/>
    <hyperlink ref="R4247" r:id="rId4160" display="http://www.imdb.com/title/tt3561236/?ref_=fn_tt_tt_1"/>
    <hyperlink ref="R4248" r:id="rId4161" display="http://www.imdb.com/title/tt2215673/?ref_=fn_tt_tt_1"/>
    <hyperlink ref="R4249" r:id="rId4162" display="http://www.imdb.com/title/tt0057076/?ref_=fn_tt_tt_1"/>
    <hyperlink ref="R4250" r:id="rId4163" display="http://www.imdb.com/title/tt0098503/?ref_=fn_tt_tt_1"/>
    <hyperlink ref="R4251" r:id="rId4164" display="http://www.imdb.com/title/tt0094484/?ref_=fn_tt_tt_1"/>
    <hyperlink ref="R4252" r:id="rId4165" display="http://www.imdb.com/title/tt0070707/?ref_=fn_tt_tt_1"/>
    <hyperlink ref="R4253" r:id="rId4166" display="http://www.imdb.com/title/tt3235888/?ref_=fn_tt_tt_1"/>
    <hyperlink ref="R4254" r:id="rId4167" display="http://www.imdb.com/title/tt0068555/?ref_=fn_tt_tt_1"/>
    <hyperlink ref="R4255" r:id="rId4168" display="http://www.imdb.com/title/tt0056592/?ref_=fn_tt_tt_1"/>
    <hyperlink ref="R4256" r:id="rId4169" display="http://www.imdb.com/title/tt0082694/?ref_=fn_tt_tt_1"/>
    <hyperlink ref="R4257" r:id="rId4170" display="http://www.imdb.com/title/tt0111512/?ref_=fn_tt_tt_1"/>
    <hyperlink ref="R4258" r:id="rId883" display="http://www.imdb.com/title/tt0056193/?ref_=fn_tt_tt_1"/>
    <hyperlink ref="R4259" r:id="rId4171" display="http://www.imdb.com/title/tt0171804/?ref_=fn_tt_tt_1"/>
    <hyperlink ref="R4260" r:id="rId4172" display="http://www.imdb.com/title/tt1767382/?ref_=fn_tt_tt_1"/>
    <hyperlink ref="R4261" r:id="rId4173" display="http://www.imdb.com/title/tt0405094/?ref_=fn_tt_tt_1"/>
    <hyperlink ref="R4262" r:id="rId4174" display="http://www.imdb.com/title/tt1630036/?ref_=fn_tt_tt_1"/>
    <hyperlink ref="R4263" r:id="rId4175" display="http://www.imdb.com/title/tt0054997/?ref_=fn_tt_tt_1"/>
    <hyperlink ref="R4264" r:id="rId4176" display="http://www.imdb.com/title/tt0032273/?ref_=fn_tt_tt_1"/>
    <hyperlink ref="R4265" r:id="rId4177" display="http://www.imdb.com/title/tt0286244/?ref_=fn_tt_tt_1"/>
    <hyperlink ref="R4266" r:id="rId4178" display="http://www.imdb.com/title/tt0120321/?ref_=fn_tt_tt_1"/>
    <hyperlink ref="R4267" r:id="rId4179" display="http://www.imdb.com/title/tt0305206/?ref_=fn_tt_tt_1"/>
    <hyperlink ref="R4268" r:id="rId4180" display="http://www.imdb.com/title/tt0381681/?ref_=fn_tt_tt_1"/>
    <hyperlink ref="R4269" r:id="rId4181" display="http://www.imdb.com/title/tt0245712/?ref_=fn_tt_tt_1"/>
    <hyperlink ref="R4270" r:id="rId4182" display="http://www.imdb.com/title/tt0328538/?ref_=fn_tt_tt_1"/>
    <hyperlink ref="R4271" r:id="rId4183" display="http://www.imdb.com/title/tt0039416/?ref_=fn_tt_tt_1"/>
    <hyperlink ref="R4272" r:id="rId4184" display="http://www.imdb.com/title/tt1399683/?ref_=fn_tt_tt_1"/>
    <hyperlink ref="R4273" r:id="rId4185" display="http://www.imdb.com/title/tt0379557/?ref_=fn_tt_tt_1"/>
    <hyperlink ref="R4274" r:id="rId4186" display="http://www.imdb.com/title/tt0029852/?ref_=fn_tt_tt_1"/>
    <hyperlink ref="R4275" r:id="rId4187" display="http://www.imdb.com/title/tt0415978/?ref_=fn_tt_tt_1"/>
    <hyperlink ref="R4276" r:id="rId4188" display="http://www.imdb.com/title/tt1645089/?ref_=fn_tt_tt_1"/>
    <hyperlink ref="R4277" r:id="rId4189" display="http://www.imdb.com/title/tt3787590/?ref_=fn_tt_tt_1"/>
    <hyperlink ref="R4278" r:id="rId4190" display="http://www.imdb.com/title/tt0165798/?ref_=fn_tt_tt_1"/>
    <hyperlink ref="R4279" r:id="rId4191" display="http://www.imdb.com/title/tt0433387/?ref_=fn_tt_tt_1"/>
    <hyperlink ref="R4280" r:id="rId4192" display="http://www.imdb.com/title/tt3268668/?ref_=fn_tt_tt_1"/>
    <hyperlink ref="R4281" r:id="rId4193" display="http://www.imdb.com/title/tt0290212/?ref_=fn_tt_tt_1"/>
    <hyperlink ref="R4282" r:id="rId4194" display="http://www.imdb.com/title/tt0090327/?ref_=fn_tt_tt_1"/>
    <hyperlink ref="R4283" r:id="rId4195" display="http://www.imdb.com/title/tt0194624/?ref_=fn_tt_tt_1"/>
    <hyperlink ref="R4284" r:id="rId2426" display="http://www.imdb.com/title/tt0116477/?ref_=fn_tt_tt_1"/>
    <hyperlink ref="R4285" r:id="rId4196" display="http://www.imdb.com/title/tt0367027/?ref_=fn_tt_tt_1"/>
    <hyperlink ref="R4286" r:id="rId4197" display="http://www.imdb.com/title/tt1185616/?ref_=fn_tt_tt_1"/>
    <hyperlink ref="R4287" r:id="rId4198" display="http://www.imdb.com/title/tt0349159/?ref_=fn_tt_tt_1"/>
    <hyperlink ref="R4288" r:id="rId4199" display="http://www.imdb.com/title/tt0912593/?ref_=fn_tt_tt_1"/>
    <hyperlink ref="R4289" r:id="rId4200" display="http://www.imdb.com/title/tt3172532/?ref_=fn_tt_tt_1"/>
    <hyperlink ref="R4290" r:id="rId4201" display="http://www.imdb.com/title/tt0212662/?ref_=fn_tt_tt_1"/>
    <hyperlink ref="R4291" r:id="rId4202" display="http://www.imdb.com/title/tt0925248/?ref_=fn_tt_tt_1"/>
    <hyperlink ref="R4292" r:id="rId4203" display="http://www.imdb.com/title/tt1518812/?ref_=fn_tt_tt_1"/>
    <hyperlink ref="R4293" r:id="rId4204" display="http://www.imdb.com/title/tt0418753/?ref_=fn_tt_tt_1"/>
    <hyperlink ref="R4294" r:id="rId4205" display="http://www.imdb.com/title/tt0229340/?ref_=fn_tt_tt_1"/>
    <hyperlink ref="R4295" r:id="rId4206" display="http://www.imdb.com/title/tt0118866/?ref_=fn_tt_tt_1"/>
    <hyperlink ref="R4296" r:id="rId4207" display="http://www.imdb.com/title/tt1695994/?ref_=fn_tt_tt_1"/>
    <hyperlink ref="R4297" r:id="rId4208" display="http://www.imdb.com/title/tt0090095/?ref_=fn_tt_tt_1"/>
    <hyperlink ref="R4298" r:id="rId4209" display="http://www.imdb.com/title/tt0372334/?ref_=fn_tt_tt_1"/>
    <hyperlink ref="R4299" r:id="rId4210" display="http://www.imdb.com/title/tt0780622/?ref_=fn_tt_tt_1"/>
    <hyperlink ref="R4300" r:id="rId4211" display="http://www.imdb.com/title/tt0118736/?ref_=fn_tt_tt_1"/>
    <hyperlink ref="R4301" r:id="rId4212" display="http://www.imdb.com/title/tt0249588/?ref_=fn_tt_tt_1"/>
    <hyperlink ref="R4302" r:id="rId4213" display="http://www.imdb.com/title/tt0388139/?ref_=fn_tt_tt_1"/>
    <hyperlink ref="R4303" r:id="rId4214" display="http://www.imdb.com/title/tt1276105/?ref_=fn_tt_tt_1"/>
    <hyperlink ref="R4304" r:id="rId4215" display="http://www.imdb.com/title/tt0120391/?ref_=fn_tt_tt_1"/>
    <hyperlink ref="R4305" r:id="rId4216" display="http://www.imdb.com/title/tt3018070/?ref_=fn_tt_tt_1"/>
    <hyperlink ref="R4306" r:id="rId4217" display="http://www.imdb.com/title/tt0796264/?ref_=fn_tt_tt_1"/>
    <hyperlink ref="R4307" r:id="rId4218" display="http://www.imdb.com/title/tt1050739/?ref_=fn_tt_tt_1"/>
    <hyperlink ref="R4308" r:id="rId4219" display="http://www.imdb.com/title/tt0338497/?ref_=fn_tt_tt_1"/>
    <hyperlink ref="R4309" r:id="rId4220" display="http://www.imdb.com/title/tt1390539/?ref_=fn_tt_tt_1"/>
    <hyperlink ref="R4310" r:id="rId4221" display="http://www.imdb.com/title/tt2474024/?ref_=fn_tt_tt_1"/>
    <hyperlink ref="R4311" r:id="rId4222" display="http://www.imdb.com/title/tt1105512/?ref_=fn_tt_tt_1"/>
    <hyperlink ref="R4312" r:id="rId4223" display="http://www.imdb.com/title/tt0107953/?ref_=fn_tt_tt_1"/>
    <hyperlink ref="R4313" r:id="rId4224" display="http://www.imdb.com/title/tt0449061/?ref_=fn_tt_tt_1"/>
    <hyperlink ref="R4314" r:id="rId4225" display="http://www.imdb.com/title/tt0423169/?ref_=fn_tt_tt_1"/>
    <hyperlink ref="R4315" r:id="rId1950" display="http://www.imdb.com/title/tt0265808/?ref_=fn_tt_tt_1"/>
    <hyperlink ref="R4316" r:id="rId4226" display="http://www.imdb.com/title/tt3118452/?ref_=fn_tt_tt_1"/>
    <hyperlink ref="R4317" r:id="rId4227" display="http://www.imdb.com/title/tt1020530/?ref_=fn_tt_tt_1"/>
    <hyperlink ref="R4318" r:id="rId4228" display="http://www.imdb.com/title/tt2226519/?ref_=fn_tt_tt_1"/>
    <hyperlink ref="R4319" r:id="rId4229" display="http://www.imdb.com/title/tt1020885/?ref_=fn_tt_tt_1"/>
    <hyperlink ref="R4320" r:id="rId4230" display="http://www.imdb.com/title/tt0783532/?ref_=fn_tt_tt_1"/>
    <hyperlink ref="R4321" r:id="rId4231" display="http://www.imdb.com/title/tt0363095/?ref_=fn_tt_tt_1"/>
    <hyperlink ref="R4322" r:id="rId4232" display="http://www.imdb.com/title/tt1703199/?ref_=fn_tt_tt_1"/>
    <hyperlink ref="R4323" r:id="rId4233" display="http://www.imdb.com/title/tt2126362/?ref_=fn_tt_tt_1"/>
    <hyperlink ref="R4324" r:id="rId4234" display="http://www.imdb.com/title/tt0959329/?ref_=fn_tt_tt_1"/>
    <hyperlink ref="R4325" r:id="rId4235" display="http://www.imdb.com/title/tt4704314/?ref_=fn_tt_tt_1"/>
    <hyperlink ref="R4326" r:id="rId4236" display="http://www.imdb.com/title/tt0066808/?ref_=fn_tt_tt_1"/>
    <hyperlink ref="R4327" r:id="rId4237" display="http://www.imdb.com/title/tt1734586/?ref_=fn_tt_tt_1"/>
    <hyperlink ref="R4328" r:id="rId4238" display="http://www.imdb.com/title/tt0796355/?ref_=fn_tt_tt_1"/>
    <hyperlink ref="R4329" r:id="rId4239" display="http://www.imdb.com/title/tt0098948/?ref_=fn_tt_tt_1"/>
    <hyperlink ref="R4330" r:id="rId4240" display="http://www.imdb.com/title/tt0040525/?ref_=fn_tt_tt_1"/>
    <hyperlink ref="R4331" r:id="rId4241" display="http://www.imdb.com/title/tt1090671/?ref_=fn_tt_tt_1"/>
    <hyperlink ref="R4332" r:id="rId4242" display="http://www.imdb.com/title/tt0165361/?ref_=fn_tt_tt_1"/>
    <hyperlink ref="R4333" r:id="rId4243" display="http://www.imdb.com/title/tt1272886/?ref_=fn_tt_tt_1"/>
    <hyperlink ref="R4334" r:id="rId4244" display="http://www.imdb.com/title/tt2234025/?ref_=fn_tt_tt_1"/>
    <hyperlink ref="R4335" r:id="rId4245" display="http://www.imdb.com/title/tt1754633/?ref_=fn_tt_tt_1"/>
    <hyperlink ref="R4336" r:id="rId4246" display="http://www.imdb.com/title/tt1462901/?ref_=fn_tt_tt_1"/>
    <hyperlink ref="R4337" r:id="rId4247" display="http://www.imdb.com/title/tt0062235/?ref_=fn_tt_tt_1"/>
    <hyperlink ref="R4338" r:id="rId4248" display="http://www.imdb.com/title/tt2024506/?ref_=fn_tt_tt_1"/>
    <hyperlink ref="R4339" r:id="rId4249" display="http://www.imdb.com/title/tt0060438/?ref_=fn_tt_tt_1"/>
    <hyperlink ref="R4340" r:id="rId4250" display="http://www.imdb.com/title/tt0850669/?ref_=fn_tt_tt_1"/>
    <hyperlink ref="R4341" r:id="rId4251" display="http://www.imdb.com/title/tt1220217/?ref_=fn_tt_tt_1"/>
    <hyperlink ref="R4342" r:id="rId4252" display="http://www.imdb.com/title/tt3499458/?ref_=fn_tt_tt_1"/>
    <hyperlink ref="R4343" r:id="rId4253" display="http://www.imdb.com/title/tt1772261/?ref_=fn_tt_tt_1"/>
    <hyperlink ref="R4344" r:id="rId4254" display="http://www.imdb.com/title/tt4416518/?ref_=fn_tt_tt_1"/>
    <hyperlink ref="R4345" r:id="rId4255" display="http://www.imdb.com/title/tt0091860/?ref_=fn_tt_tt_1"/>
    <hyperlink ref="R4346" r:id="rId4256" display="http://www.imdb.com/title/tt0322659/?ref_=fn_tt_tt_1"/>
    <hyperlink ref="R4347" r:id="rId4257" display="http://www.imdb.com/title/tt3528666/?ref_=fn_tt_tt_1"/>
    <hyperlink ref="R4348" r:id="rId4258" display="http://www.imdb.com/title/tt1462758/?ref_=fn_tt_tt_1"/>
    <hyperlink ref="R4349" r:id="rId4259" display="http://www.imdb.com/title/tt1440292/?ref_=fn_tt_tt_1"/>
    <hyperlink ref="R4350" r:id="rId4260" display="http://www.imdb.com/title/tt2486682/?ref_=fn_tt_tt_1"/>
    <hyperlink ref="R4351" r:id="rId4261" display="http://www.imdb.com/title/tt0486751/?ref_=fn_tt_tt_1"/>
    <hyperlink ref="R4352" r:id="rId1648" display="http://www.imdb.com/title/tt1939659/?ref_=fn_tt_tt_1"/>
    <hyperlink ref="R4353" r:id="rId4262" display="http://www.imdb.com/title/tt2321163/?ref_=fn_tt_tt_1"/>
    <hyperlink ref="R4354" r:id="rId1409" display="http://www.imdb.com/title/tt0087800/?ref_=fn_tt_tt_1"/>
    <hyperlink ref="R4355" r:id="rId4263" display="http://www.imdb.com/title/tt1155592/?ref_=fn_tt_tt_1"/>
    <hyperlink ref="R4356" r:id="rId4264" display="http://www.imdb.com/title/tt4519006/?ref_=fn_tt_tt_1"/>
    <hyperlink ref="R4357" r:id="rId4265" display="http://www.imdb.com/title/tt3262990/?ref_=fn_tt_tt_1"/>
    <hyperlink ref="R4358" r:id="rId4266" display="http://www.imdb.com/title/tt1320244/?ref_=fn_tt_tt_1"/>
    <hyperlink ref="R4359" r:id="rId4267" display="http://www.imdb.com/title/tt1266029/?ref_=fn_tt_tt_1"/>
    <hyperlink ref="R4360" r:id="rId4268" display="http://www.imdb.com/title/tt0044081/?ref_=fn_tt_tt_1"/>
    <hyperlink ref="R4361" r:id="rId4269" display="http://www.imdb.com/title/tt0057012/?ref_=fn_tt_tt_1"/>
    <hyperlink ref="R4362" r:id="rId4270" display="http://www.imdb.com/title/tt0313196/?ref_=fn_tt_tt_1"/>
    <hyperlink ref="R4363" r:id="rId4271" display="http://www.imdb.com/title/tt2125435/?ref_=fn_tt_tt_1"/>
    <hyperlink ref="R4364" r:id="rId4272" display="http://www.imdb.com/title/tt0069768/?ref_=fn_tt_tt_1"/>
    <hyperlink ref="R4365" r:id="rId4273" display="http://www.imdb.com/title/tt0210299/?ref_=fn_tt_tt_1"/>
    <hyperlink ref="R4366" r:id="rId4274" display="http://www.imdb.com/title/tt1562568/?ref_=fn_tt_tt_1"/>
    <hyperlink ref="R4367" r:id="rId4275" display="http://www.imdb.com/title/tt3566698/?ref_=fn_tt_tt_1"/>
    <hyperlink ref="R4368" r:id="rId4276" display="http://www.imdb.com/title/tt1743720/?ref_=fn_tt_tt_1"/>
    <hyperlink ref="R4369" r:id="rId4277" display="http://www.imdb.com/title/tt0106792/?ref_=fn_tt_tt_1"/>
    <hyperlink ref="R4370" r:id="rId4278" display="http://www.imdb.com/title/tt0378906/?ref_=fn_tt_tt_1"/>
    <hyperlink ref="R4371" r:id="rId4279" display="http://www.imdb.com/title/tt0061747/?ref_=fn_tt_tt_1"/>
    <hyperlink ref="R4372" r:id="rId4280" display="http://www.imdb.com/title/tt0044533/?ref_=fn_tt_tt_1"/>
    <hyperlink ref="R4373" r:id="rId4281" display="http://www.imdb.com/title/tt0822858/?ref_=fn_tt_tt_1"/>
    <hyperlink ref="R4374" r:id="rId4282" display="http://www.imdb.com/title/tt4058122/?ref_=fn_tt_tt_1"/>
    <hyperlink ref="R4375" r:id="rId4283" display="http://www.imdb.com/title/tt2645670/?ref_=fn_tt_tt_1"/>
    <hyperlink ref="R4376" r:id="rId4284" display="http://www.imdb.com/title/tt1653002/?ref_=fn_tt_tt_1"/>
    <hyperlink ref="R4377" r:id="rId4285" display="http://www.imdb.com/title/tt0130827/?ref_=fn_tt_tt_1"/>
    <hyperlink ref="R4378" r:id="rId4286" display="http://www.imdb.com/title/tt0303361/?ref_=fn_tt_tt_1"/>
    <hyperlink ref="R4379" r:id="rId4287" display="http://www.imdb.com/title/tt2475846/?ref_=fn_tt_tt_1"/>
    <hyperlink ref="R4380" r:id="rId4288" display="http://www.imdb.com/title/tt2100573/?ref_=fn_tt_tt_1"/>
    <hyperlink ref="R4381" r:id="rId4289" display="http://www.imdb.com/title/tt0796307/?ref_=fn_tt_tt_1"/>
    <hyperlink ref="R4382" r:id="rId4290" display="http://www.imdb.com/title/tt0068408/?ref_=fn_tt_tt_1"/>
    <hyperlink ref="R4383" r:id="rId4291" display="http://www.imdb.com/title/tt0247425/?ref_=fn_tt_tt_1"/>
    <hyperlink ref="R4384" r:id="rId4292" display="http://www.imdb.com/title/tt1242432/?ref_=fn_tt_tt_1"/>
    <hyperlink ref="R4385" r:id="rId4293" display="http://www.imdb.com/title/tt0162360/?ref_=fn_tt_tt_1"/>
    <hyperlink ref="R4386" r:id="rId4294" display="http://www.imdb.com/title/tt0382189/?ref_=fn_tt_tt_1"/>
    <hyperlink ref="R4387" r:id="rId4295" display="http://www.imdb.com/title/tt2350496/?ref_=fn_tt_tt_1"/>
    <hyperlink ref="R4388" r:id="rId4296" display="http://www.imdb.com/title/tt0381717/?ref_=fn_tt_tt_1"/>
    <hyperlink ref="R4389" r:id="rId4297" display="http://www.imdb.com/title/tt0030993/?ref_=fn_tt_tt_1"/>
    <hyperlink ref="R4390" r:id="rId4298" display="http://www.imdb.com/title/tt0045793/?ref_=fn_tt_tt_1"/>
    <hyperlink ref="R4391" r:id="rId4299" display="http://www.imdb.com/title/tt0041866/?ref_=fn_tt_tt_1"/>
    <hyperlink ref="R4392" r:id="rId4300" display="http://www.imdb.com/title/tt2349460/?ref_=fn_tt_tt_1"/>
    <hyperlink ref="R4393" r:id="rId4301" display="http://www.imdb.com/title/tt0166195/?ref_=fn_tt_tt_1"/>
    <hyperlink ref="R4394" r:id="rId4302" display="http://www.imdb.com/title/tt1289419/?ref_=fn_tt_tt_1"/>
    <hyperlink ref="R4395" r:id="rId4303" display="http://www.imdb.com/title/tt0825236/?ref_=fn_tt_tt_1"/>
    <hyperlink ref="R4396" r:id="rId4304" display="http://www.imdb.com/title/tt2872724/?ref_=fn_tt_tt_1"/>
    <hyperlink ref="R4397" r:id="rId4305" display="http://www.imdb.com/title/tt0476643/?ref_=fn_tt_tt_1"/>
    <hyperlink ref="R4398" r:id="rId4306" display="http://www.imdb.com/title/tt0071360/?ref_=fn_tt_tt_1"/>
    <hyperlink ref="R4399" r:id="rId4307" display="http://www.imdb.com/title/tt0442764/?ref_=fn_tt_tt_1"/>
    <hyperlink ref="R4400" r:id="rId4308" display="http://www.imdb.com/title/tt0064990/?ref_=fn_tt_tt_1"/>
    <hyperlink ref="R4401" r:id="rId4309" display="http://www.imdb.com/title/tt0322700/?ref_=fn_tt_tt_1"/>
    <hyperlink ref="R4402" r:id="rId4310" display="http://www.imdb.com/title/tt3832096/?ref_=fn_tt_tt_1"/>
    <hyperlink ref="R4403" r:id="rId1745" display="http://www.imdb.com/title/tt0363547/?ref_=fn_tt_tt_1"/>
    <hyperlink ref="R4404" r:id="rId4311" display="http://www.imdb.com/title/tt0473308/?ref_=fn_tt_tt_1"/>
    <hyperlink ref="R4405" r:id="rId4312" display="http://www.imdb.com/title/tt0092675/?ref_=fn_tt_tt_1"/>
    <hyperlink ref="R4406" r:id="rId4313" display="http://www.imdb.com/title/tt0031679/?ref_=fn_tt_tt_1"/>
    <hyperlink ref="R4407" r:id="rId4314" display="http://www.imdb.com/title/tt0113540/?ref_=fn_tt_tt_1"/>
    <hyperlink ref="R4408" r:id="rId4315" display="http://www.imdb.com/title/tt0367089/?ref_=fn_tt_tt_1"/>
    <hyperlink ref="R4409" r:id="rId4316" display="http://www.imdb.com/title/tt0264761/?ref_=fn_tt_tt_1"/>
    <hyperlink ref="R4410" r:id="rId2960" display="http://www.imdb.com/title/tt1428556/?ref_=fn_tt_tt_1"/>
    <hyperlink ref="R4411" r:id="rId4317" display="http://www.imdb.com/title/tt3082898/?ref_=fn_tt_tt_1"/>
    <hyperlink ref="R4412" r:id="rId4318" display="http://www.imdb.com/title/tt0038109/?ref_=fn_tt_tt_1"/>
    <hyperlink ref="R4413" r:id="rId4319" display="http://www.imdb.com/title/tt0109759/?ref_=fn_tt_tt_1"/>
    <hyperlink ref="R4414" r:id="rId4320" display="http://www.imdb.com/title/tt0118789/?ref_=fn_tt_tt_1"/>
    <hyperlink ref="R4415" r:id="rId4321" display="http://www.imdb.com/title/tt1591095/?ref_=fn_tt_tt_1"/>
    <hyperlink ref="R4416" r:id="rId4322" display="http://www.imdb.com/title/tt0087995/?ref_=fn_tt_tt_1"/>
    <hyperlink ref="R4417" r:id="rId4323" display="http://www.imdb.com/title/tt0247586/?ref_=fn_tt_tt_1"/>
    <hyperlink ref="R4418" r:id="rId4324" display="http://www.imdb.com/title/tt2309788/?ref_=fn_tt_tt_1"/>
    <hyperlink ref="R4419" r:id="rId4325" display="http://www.imdb.com/title/tt0357110/?ref_=fn_tt_tt_1"/>
    <hyperlink ref="R4420" r:id="rId4326" display="http://www.imdb.com/title/tt1758795/?ref_=fn_tt_tt_1"/>
    <hyperlink ref="R4421" r:id="rId4327" display="http://www.imdb.com/title/tt0110265/?ref_=fn_tt_tt_1"/>
    <hyperlink ref="R4422" r:id="rId4328" display="http://www.imdb.com/title/tt0247199/?ref_=fn_tt_tt_1"/>
    <hyperlink ref="R4423" r:id="rId4329" display="http://www.imdb.com/title/tt0453548/?ref_=fn_tt_tt_1"/>
    <hyperlink ref="R4424" r:id="rId4330" display="http://www.imdb.com/title/tt3139764/?ref_=fn_tt_tt_1"/>
    <hyperlink ref="R4425" r:id="rId4331" display="http://www.imdb.com/title/tt0261983/?ref_=fn_tt_tt_1"/>
    <hyperlink ref="R4426" r:id="rId4332" display="http://www.imdb.com/title/tt0391229/?ref_=fn_tt_tt_1"/>
    <hyperlink ref="R4427" r:id="rId4333" display="http://www.imdb.com/title/tt1450328/?ref_=fn_tt_tt_1"/>
    <hyperlink ref="R4428" r:id="rId4334" display="http://www.imdb.com/title/tt0422401/?ref_=fn_tt_tt_1"/>
    <hyperlink ref="R4429" r:id="rId4335" display="http://www.imdb.com/title/tt0027977/?ref_=fn_tt_tt_1"/>
    <hyperlink ref="R4430" r:id="rId4336" display="http://www.imdb.com/title/tt0286162/?ref_=fn_tt_tt_1"/>
    <hyperlink ref="R4431" r:id="rId4337" display="http://www.imdb.com/title/tt0489235/?ref_=fn_tt_tt_1"/>
    <hyperlink ref="R4432" r:id="rId4338" display="http://www.imdb.com/title/tt0436742/?ref_=fn_tt_tt_1"/>
    <hyperlink ref="R4433" r:id="rId4339" display="http://www.imdb.com/title/tt3110770/?ref_=fn_tt_tt_1"/>
    <hyperlink ref="R4434" r:id="rId4340" display="http://www.imdb.com/title/tt0395543/?ref_=fn_tt_tt_1"/>
    <hyperlink ref="R4435" r:id="rId4341" display="http://www.imdb.com/title/tt1562847/?ref_=fn_tt_tt_1"/>
    <hyperlink ref="R4436" r:id="rId4342" display="http://www.imdb.com/title/tt1226681/?ref_=fn_tt_tt_1"/>
    <hyperlink ref="R4437" r:id="rId4343" display="http://www.imdb.com/title/tt1087527/?ref_=fn_tt_tt_1"/>
    <hyperlink ref="R4438" r:id="rId4344" display="http://www.imdb.com/title/tt2265431/?ref_=fn_tt_tt_1"/>
    <hyperlink ref="R4439" r:id="rId4345" display="http://www.imdb.com/title/tt1731697/?ref_=fn_tt_tt_1"/>
    <hyperlink ref="R4440" r:id="rId4346" display="http://www.imdb.com/title/tt3504048/?ref_=fn_tt_tt_1"/>
    <hyperlink ref="R4441" r:id="rId4347" display="http://www.imdb.com/title/tt0473107/?ref_=fn_tt_tt_1"/>
    <hyperlink ref="R4442" r:id="rId4348" display="http://www.imdb.com/title/tt0475271/?ref_=fn_tt_tt_1"/>
    <hyperlink ref="R4443" r:id="rId4349" display="http://www.imdb.com/title/tt1639397/?ref_=fn_tt_tt_1"/>
    <hyperlink ref="R4444" r:id="rId4350" display="http://www.imdb.com/title/tt2017486/?ref_=fn_tt_tt_1"/>
    <hyperlink ref="R4445" r:id="rId4351" display="http://www.imdb.com/title/tt3626436/?ref_=fn_tt_tt_1"/>
    <hyperlink ref="R4446" r:id="rId4352" display="http://www.imdb.com/title/tt1105355/?ref_=fn_tt_tt_1"/>
    <hyperlink ref="R4447" r:id="rId4353" display="http://www.imdb.com/title/tt3781616/?ref_=fn_tt_tt_1"/>
    <hyperlink ref="R4448" r:id="rId733" display="http://www.imdb.com/title/tt0790724/?ref_=fn_tt_tt_1"/>
    <hyperlink ref="R4449" r:id="rId4354" display="http://www.imdb.com/title/tt3526286/?ref_=fn_tt_tt_1"/>
    <hyperlink ref="R4450" r:id="rId4355" display="http://www.imdb.com/title/tt1236254/?ref_=fn_tt_tt_1"/>
    <hyperlink ref="R4451" r:id="rId4356" display="http://www.imdb.com/title/tt0029583/?ref_=fn_tt_tt_1"/>
    <hyperlink ref="R4452" r:id="rId4357" display="http://www.imdb.com/title/tt0300270/?ref_=fn_tt_tt_1"/>
    <hyperlink ref="R4453" r:id="rId4358" display="http://www.imdb.com/title/tt0063592/?ref_=fn_tt_tt_1"/>
    <hyperlink ref="R4454" r:id="rId4359" display="http://www.imdb.com/title/tt0374639/?ref_=fn_tt_tt_1"/>
    <hyperlink ref="R4455" r:id="rId4360" display="http://www.imdb.com/title/tt4063178/?ref_=fn_tt_tt_1"/>
    <hyperlink ref="R4456" r:id="rId4361" display="http://www.imdb.com/title/tt2577172/?ref_=fn_tt_tt_1"/>
    <hyperlink ref="R4457" r:id="rId4362" display="http://www.imdb.com/title/tt3230082/?ref_=fn_tt_tt_1"/>
    <hyperlink ref="R4458" r:id="rId4363" display="http://www.imdb.com/title/tt0464054/?ref_=fn_tt_tt_1"/>
    <hyperlink ref="R4459" r:id="rId4364" display="http://www.imdb.com/title/tt0060153/?ref_=fn_tt_tt_1"/>
    <hyperlink ref="R4460" r:id="rId4365" display="http://www.imdb.com/title/tt0120735/?ref_=fn_tt_tt_1"/>
    <hyperlink ref="R4461" r:id="rId4366" display="http://www.imdb.com/title/tt3551840/?ref_=fn_tt_tt_1"/>
    <hyperlink ref="R4462" r:id="rId4367" display="http://www.imdb.com/title/tt0068135/?ref_=fn_tt_tt_1"/>
    <hyperlink ref="R4463" r:id="rId4368" display="http://www.imdb.com/title/tt0154420/?ref_=fn_tt_tt_1"/>
    <hyperlink ref="R4464" r:id="rId4369" display="http://www.imdb.com/title/tt0117958/?ref_=fn_tt_tt_1"/>
    <hyperlink ref="R4465" r:id="rId4370" display="http://www.imdb.com/title/tt0433398/?ref_=fn_tt_tt_1"/>
    <hyperlink ref="R4466" r:id="rId4371" display="http://www.imdb.com/title/tt0190255/?ref_=fn_tt_tt_1"/>
    <hyperlink ref="R4467" r:id="rId4372" display="http://www.imdb.com/title/tt1480658/?ref_=fn_tt_tt_1"/>
    <hyperlink ref="R4468" r:id="rId779" display="http://www.imdb.com/title/tt0120749/?ref_=fn_tt_tt_1"/>
    <hyperlink ref="R4469" r:id="rId4373" display="http://www.imdb.com/title/tt0112173/?ref_=fn_tt_tt_1"/>
    <hyperlink ref="R4470" r:id="rId4374" display="http://www.imdb.com/title/tt2640460/?ref_=fn_tt_tt_1"/>
    <hyperlink ref="R4471" r:id="rId4375" display="http://www.imdb.com/title/tt0087130/?ref_=fn_tt_tt_1"/>
    <hyperlink ref="R4472" r:id="rId4376" display="http://www.imdb.com/title/tt0317640/?ref_=fn_tt_tt_1"/>
    <hyperlink ref="R4473" r:id="rId4377" display="http://www.imdb.com/title/tt0470869/?ref_=fn_tt_tt_1"/>
    <hyperlink ref="R4474" r:id="rId4378" display="http://www.imdb.com/title/tt1498870/?ref_=fn_tt_tt_1"/>
    <hyperlink ref="R4475" r:id="rId4379" display="http://www.imdb.com/title/tt1147684/?ref_=fn_tt_tt_1"/>
    <hyperlink ref="R4476" r:id="rId4380" display="http://www.imdb.com/title/tt0032976/?ref_=fn_tt_tt_1"/>
    <hyperlink ref="R4477" r:id="rId4381" display="http://www.imdb.com/title/tt0082418/?ref_=fn_tt_tt_1"/>
    <hyperlink ref="R4478" r:id="rId4382" display="http://www.imdb.com/title/tt0037884/?ref_=fn_tt_tt_1"/>
    <hyperlink ref="R4479" r:id="rId4383" display="http://www.imdb.com/title/tt0087015/?ref_=fn_tt_tt_1"/>
    <hyperlink ref="R4480" r:id="rId4384" display="http://www.imdb.com/title/tt1869425/?ref_=fn_tt_tt_1"/>
    <hyperlink ref="R4481" r:id="rId4385" display="http://www.imdb.com/title/tt1212022/?ref_=fn_tt_tt_1"/>
    <hyperlink ref="R4482" r:id="rId4386" display="http://www.imdb.com/title/tt0046126/?ref_=fn_tt_tt_1"/>
    <hyperlink ref="R4483" r:id="rId4387" display="http://www.imdb.com/title/tt0033729/?ref_=fn_tt_tt_1"/>
    <hyperlink ref="R4484" r:id="rId4388" display="http://www.imdb.com/title/tt3846642/?ref_=fn_tt_tt_1"/>
    <hyperlink ref="R4485" r:id="rId4389" display="http://www.imdb.com/title/tt3104930/?ref_=fn_tt_tt_1"/>
    <hyperlink ref="R4486" r:id="rId4390" display="http://www.imdb.com/title/tt0098724/?ref_=fn_tt_tt_1"/>
    <hyperlink ref="R4487" r:id="rId4391" display="http://www.imdb.com/title/tt0387564/?ref_=fn_tt_tt_1"/>
    <hyperlink ref="R4488" r:id="rId4392" display="http://www.imdb.com/title/tt0247745/?ref_=fn_tt_tt_1"/>
    <hyperlink ref="R4489" r:id="rId4393" display="http://www.imdb.com/title/tt1681370/?ref_=fn_tt_tt_1"/>
    <hyperlink ref="R4490" r:id="rId4394" display="http://www.imdb.com/title/tt2414046/?ref_=fn_tt_tt_1"/>
    <hyperlink ref="R4491" r:id="rId464" display="http://www.imdb.com/title/tt0970416/?ref_=fn_tt_tt_1"/>
    <hyperlink ref="R4492" r:id="rId4395" display="http://www.imdb.com/title/tt0265343/?ref_=fn_tt_tt_1"/>
    <hyperlink ref="R4493" r:id="rId4396" display="http://www.imdb.com/title/tt0203230/?ref_=fn_tt_tt_1"/>
    <hyperlink ref="R4494" r:id="rId4397" display="http://www.imdb.com/title/tt0048750/?ref_=fn_tt_tt_1"/>
    <hyperlink ref="R4495" r:id="rId1797" display="http://www.imdb.com/title/tt0425210/?ref_=fn_tt_tt_1"/>
    <hyperlink ref="R4496" r:id="rId4398" display="http://www.imdb.com/title/tt0179116/?ref_=fn_tt_tt_1"/>
    <hyperlink ref="R4497" r:id="rId4399" display="http://www.imdb.com/title/tt2051894/?ref_=fn_tt_tt_1"/>
    <hyperlink ref="R4498" r:id="rId4400" display="http://www.imdb.com/title/tt0105236/?ref_=fn_tt_tt_1"/>
    <hyperlink ref="R4499" r:id="rId4401" display="http://www.imdb.com/title/tt0032264/?ref_=fn_tt_tt_1"/>
    <hyperlink ref="R4500" r:id="rId4402" display="http://www.imdb.com/title/tt0060196/?ref_=fn_tt_tt_1"/>
    <hyperlink ref="R4501" r:id="rId4403" display="http://www.imdb.com/title/tt3742378/?ref_=fn_tt_tt_1"/>
    <hyperlink ref="R4502" r:id="rId4404" display="http://www.imdb.com/title/tt1758575/?ref_=fn_tt_tt_1"/>
    <hyperlink ref="R4503" r:id="rId4405" display="http://www.imdb.com/title/tt0283323/?ref_=fn_tt_tt_1"/>
    <hyperlink ref="R4504" r:id="rId4406" display="http://www.imdb.com/title/tt2035599/?ref_=fn_tt_tt_1"/>
    <hyperlink ref="R4505" r:id="rId4407" display="http://www.imdb.com/title/tt0976025/?ref_=fn_tt_tt_1"/>
    <hyperlink ref="R4506" r:id="rId4408" display="http://www.imdb.com/title/tt1879030/?ref_=fn_tt_tt_1"/>
    <hyperlink ref="R4507" r:id="rId4409" display="http://www.imdb.com/title/tt1349485/?ref_=fn_tt_tt_1"/>
    <hyperlink ref="R4508" r:id="rId4410" display="http://www.imdb.com/title/tt0338075/?ref_=fn_tt_tt_1"/>
    <hyperlink ref="R4509" r:id="rId4411" display="http://www.imdb.com/title/tt0806147/?ref_=fn_tt_tt_1"/>
    <hyperlink ref="R4510" r:id="rId4412" display="http://www.imdb.com/title/tt0027438/?ref_=fn_tt_tt_1"/>
    <hyperlink ref="R4511" r:id="rId4413" display="http://www.imdb.com/title/tt1641388/?ref_=fn_tt_tt_1"/>
    <hyperlink ref="R4512" r:id="rId4414" display="http://www.imdb.com/title/tt2180333/?ref_=fn_tt_tt_1"/>
    <hyperlink ref="R4513" r:id="rId4415" display="http://www.imdb.com/title/tt0106233/?ref_=fn_tt_tt_1"/>
    <hyperlink ref="R4514" r:id="rId4416" display="http://www.imdb.com/title/tt0065579/?ref_=fn_tt_tt_1"/>
    <hyperlink ref="R4515" r:id="rId4417" display="http://www.imdb.com/title/tt1943014/?ref_=fn_tt_tt_1"/>
    <hyperlink ref="R4516" r:id="rId4418" display="http://www.imdb.com/title/tt2622294/?ref_=fn_tt_tt_1"/>
    <hyperlink ref="R4517" r:id="rId4419" display="http://www.imdb.com/title/tt0348333/?ref_=fn_tt_tt_1"/>
    <hyperlink ref="R4518" r:id="rId4420" display="http://www.imdb.com/title/tt0419677/?ref_=fn_tt_tt_1"/>
    <hyperlink ref="R4519" r:id="rId4421" display="http://www.imdb.com/title/tt4460878/?ref_=fn_tt_tt_1"/>
    <hyperlink ref="R4520" r:id="rId4422" display="http://www.imdb.com/title/tt0091671/?ref_=fn_tt_tt_1"/>
    <hyperlink ref="R4521" r:id="rId4423" display="http://www.imdb.com/title/tt0304692/?ref_=fn_tt_tt_1"/>
    <hyperlink ref="R4522" r:id="rId4424" display="http://www.imdb.com/title/tt0293113/?ref_=fn_tt_tt_1"/>
    <hyperlink ref="R4523" r:id="rId4425" display="http://www.imdb.com/title/tt0850667/?ref_=fn_tt_tt_1"/>
    <hyperlink ref="R4524" r:id="rId4426" display="http://www.imdb.com/title/tt1534085/?ref_=fn_tt_tt_1"/>
    <hyperlink ref="R4525" r:id="rId4427" display="http://www.imdb.com/title/tt1899353/?ref_=fn_tt_tt_1"/>
    <hyperlink ref="R4526" r:id="rId4428" display="http://www.imdb.com/title/tt0923653/?ref_=fn_tt_tt_1"/>
    <hyperlink ref="R4527" r:id="rId4429" display="http://www.imdb.com/title/tt3043194/?ref_=fn_tt_tt_1"/>
    <hyperlink ref="R4528" r:id="rId4430" display="http://www.imdb.com/title/tt0034583/?ref_=fn_tt_tt_1"/>
    <hyperlink ref="R4529" r:id="rId4431" display="http://www.imdb.com/title/tt0816556/?ref_=fn_tt_tt_1"/>
    <hyperlink ref="R4530" r:id="rId4432" display="http://www.imdb.com/title/tt1434447/?ref_=fn_tt_tt_1"/>
    <hyperlink ref="R4531" r:id="rId4433" display="http://www.imdb.com/title/tt0067756/?ref_=fn_tt_tt_1"/>
    <hyperlink ref="R4532" r:id="rId4434" display="http://www.imdb.com/title/tt0075148/?ref_=fn_tt_tt_1"/>
    <hyperlink ref="R4533" r:id="rId4435" display="http://www.imdb.com/title/tt2723576/?ref_=fn_tt_tt_1"/>
    <hyperlink ref="R4534" r:id="rId2392" display="http://www.imdb.com/title/tt0080749/?ref_=fn_tt_tt_1"/>
    <hyperlink ref="R4535" r:id="rId4436" display="http://www.imdb.com/title/tt0057590/?ref_=fn_tt_tt_1"/>
    <hyperlink ref="R4536" r:id="rId4437" display="http://www.imdb.com/title/tt3713166/?ref_=fn_tt_tt_1"/>
    <hyperlink ref="R4537" r:id="rId4438" display="http://www.imdb.com/title/tt0075314/?ref_=fn_tt_tt_1"/>
    <hyperlink ref="R4538" r:id="rId4439" display="http://www.imdb.com/title/tt0082533/?ref_=fn_tt_tt_1"/>
    <hyperlink ref="R4539" r:id="rId4440" display="http://www.imdb.com/title/tt0055928/?ref_=fn_tt_tt_1"/>
    <hyperlink ref="R4540" r:id="rId4441" display="http://www.imdb.com/title/tt1991245/?ref_=fn_tt_tt_1"/>
    <hyperlink ref="R4541" r:id="rId4442" display="http://www.imdb.com/title/tt0093177/?ref_=fn_tt_tt_1"/>
    <hyperlink ref="R4542" r:id="rId4443" display="http://www.imdb.com/title/tt4824308/?ref_=fn_tt_tt_1"/>
    <hyperlink ref="R4543" r:id="rId4444" display="http://www.imdb.com/title/tt0384286/?ref_=fn_tt_tt_1"/>
    <hyperlink ref="R4544" r:id="rId4445" display="http://www.imdb.com/title/tt0188640/?ref_=fn_tt_tt_1"/>
    <hyperlink ref="R4545" r:id="rId4446" display="http://www.imdb.com/title/tt1120985/?ref_=fn_tt_tt_1"/>
    <hyperlink ref="R4546" r:id="rId4447" display="http://www.imdb.com/title/tt0407265/?ref_=fn_tt_tt_1"/>
    <hyperlink ref="R4547" r:id="rId4448" display="http://www.imdb.com/title/tt1560985/?ref_=fn_tt_tt_1"/>
    <hyperlink ref="R4548" r:id="rId4449" display="http://www.imdb.com/title/tt0065466/?ref_=fn_tt_tt_1"/>
    <hyperlink ref="R4549" r:id="rId4450" display="http://www.imdb.com/title/tt0049452/?ref_=fn_tt_tt_1"/>
    <hyperlink ref="R4550" r:id="rId4451" display="http://www.imdb.com/title/tt0497116/?ref_=fn_tt_tt_1"/>
    <hyperlink ref="R4551" r:id="rId4452" display="http://www.imdb.com/title/tt0041841/?ref_=fn_tt_tt_1"/>
    <hyperlink ref="R4552" r:id="rId4453" display="http://www.imdb.com/title/tt0893382/?ref_=fn_tt_tt_1"/>
    <hyperlink ref="R4553" r:id="rId4454" display="http://www.imdb.com/title/tt2403021/?ref_=fn_tt_tt_1"/>
    <hyperlink ref="R4554" r:id="rId4455" display="http://www.imdb.com/title/tt2248739/?ref_=fn_tt_tt_1"/>
    <hyperlink ref="R4555" r:id="rId4456" display="http://www.imdb.com/title/tt1866249/?ref_=fn_tt_tt_1"/>
    <hyperlink ref="R4556" r:id="rId4457" display="http://www.imdb.com/title/tt1286537/?ref_=fn_tt_tt_1"/>
    <hyperlink ref="R4557" r:id="rId4458" display="http://www.imdb.com/title/tt1720182/?ref_=fn_tt_tt_1"/>
    <hyperlink ref="R4558" r:id="rId4459" display="http://www.imdb.com/title/tt0119778/?ref_=fn_tt_tt_1"/>
    <hyperlink ref="R4559" r:id="rId3403" display="http://www.imdb.com/title/tt0467406/?ref_=fn_tt_tt_1"/>
    <hyperlink ref="R4560" r:id="rId4460" display="http://www.imdb.com/title/tt1571249/?ref_=fn_tt_tt_1"/>
    <hyperlink ref="R4561" r:id="rId4461" display="http://www.imdb.com/title/tt1441326/?ref_=fn_tt_tt_1"/>
    <hyperlink ref="R4562" r:id="rId4462" display="http://www.imdb.com/title/tt2910274/?ref_=fn_tt_tt_1"/>
    <hyperlink ref="R4563" r:id="rId4463" display="http://www.imdb.com/title/tt0978759/?ref_=fn_tt_tt_1"/>
    <hyperlink ref="R4564" r:id="rId4464" display="http://www.imdb.com/title/tt2396566/?ref_=fn_tt_tt_1"/>
    <hyperlink ref="R4565" r:id="rId4465" display="http://www.imdb.com/title/tt0124179/?ref_=fn_tt_tt_1"/>
    <hyperlink ref="R4566" r:id="rId4466" display="http://www.imdb.com/title/tt0118113/?ref_=fn_tt_tt_1"/>
    <hyperlink ref="R4567" r:id="rId3909" display="http://www.imdb.com/title/tt0119164/?ref_=fn_tt_tt_1"/>
    <hyperlink ref="R4568" r:id="rId4467" display="http://www.imdb.com/title/tt0489037/?ref_=fn_tt_tt_1"/>
    <hyperlink ref="R4569" r:id="rId4468" display="http://www.imdb.com/title/tt0222850/?ref_=fn_tt_tt_1"/>
    <hyperlink ref="R4570" r:id="rId4469" display="http://www.imdb.com/title/tt0281686/?ref_=fn_tt_tt_1"/>
    <hyperlink ref="R4571" r:id="rId808" display="http://www.imdb.com/title/tt1051904/?ref_=fn_tt_tt_1"/>
    <hyperlink ref="R4572" r:id="rId4470" display="http://www.imdb.com/title/tt0139615/?ref_=fn_tt_tt_1"/>
    <hyperlink ref="R4573" r:id="rId4471" display="http://www.imdb.com/title/tt0268200/?ref_=fn_tt_tt_1"/>
    <hyperlink ref="R4574" r:id="rId4472" display="http://www.imdb.com/title/tt0248012/?ref_=fn_tt_tt_1"/>
    <hyperlink ref="R4575" r:id="rId2993" display="http://www.imdb.com/title/tt0082517/?ref_=fn_tt_tt_1"/>
    <hyperlink ref="R4576" r:id="rId4473" display="http://www.imdb.com/title/tt0124819/?ref_=fn_tt_tt_1"/>
    <hyperlink ref="R4577" r:id="rId4474" display="http://www.imdb.com/title/tt0299458/?ref_=fn_tt_tt_1"/>
    <hyperlink ref="R4578" r:id="rId4475" display="http://www.imdb.com/title/tt0119019/?ref_=fn_tt_tt_1"/>
    <hyperlink ref="R4579" r:id="rId4476" display="http://www.imdb.com/title/tt0290145/?ref_=fn_tt_tt_1"/>
    <hyperlink ref="R4580" r:id="rId4477" display="http://www.imdb.com/title/tt0160498/?ref_=fn_tt_tt_1"/>
    <hyperlink ref="R4581" r:id="rId4478" display="http://www.imdb.com/title/tt2479800/?ref_=fn_tt_tt_1"/>
    <hyperlink ref="R4582" r:id="rId4479" display="http://www.imdb.com/title/tt1077262/?ref_=fn_tt_tt_1"/>
    <hyperlink ref="R4583" r:id="rId4480" display="http://www.imdb.com/title/tt0477139/?ref_=fn_tt_tt_1"/>
    <hyperlink ref="R4584" r:id="rId4481" display="http://www.imdb.com/title/tt2884206/?ref_=fn_tt_tt_1"/>
    <hyperlink ref="R4585" r:id="rId4482" display="http://www.imdb.com/title/tt0357470/?ref_=fn_tt_tt_1"/>
    <hyperlink ref="R4586" r:id="rId334" display="http://www.imdb.com/title/tt0380510/?ref_=fn_tt_tt_1"/>
    <hyperlink ref="R4587" r:id="rId4483" display="http://www.imdb.com/title/tt2375605/?ref_=fn_tt_tt_1"/>
    <hyperlink ref="R4588" r:id="rId4484" display="http://www.imdb.com/title/tt0854678/?ref_=fn_tt_tt_1"/>
    <hyperlink ref="R4589" r:id="rId4485" display="http://www.imdb.com/title/tt0489247/?ref_=fn_tt_tt_1"/>
    <hyperlink ref="R4590" r:id="rId4486" display="http://www.imdb.com/title/tt0428609/?ref_=fn_tt_tt_1"/>
    <hyperlink ref="R4591" r:id="rId4487" display="http://www.imdb.com/title/tt0233699/?ref_=fn_tt_tt_1"/>
    <hyperlink ref="R4592" r:id="rId4488" display="http://www.imdb.com/title/tt2361700/?ref_=fn_tt_tt_1"/>
    <hyperlink ref="R4593" r:id="rId4489" display="http://www.imdb.com/title/tt3214286/?ref_=fn_tt_tt_1"/>
    <hyperlink ref="R4594" r:id="rId4490" display="http://www.imdb.com/title/tt1907639/?ref_=fn_tt_tt_1"/>
    <hyperlink ref="R4595" r:id="rId4491" display="http://www.imdb.com/title/tt0454431/?ref_=fn_tt_tt_1"/>
    <hyperlink ref="R4596" r:id="rId4492" display="http://www.imdb.com/title/tt1172994/?ref_=fn_tt_tt_1"/>
    <hyperlink ref="R4597" r:id="rId4493" display="http://www.imdb.com/title/tt1334553/?ref_=fn_tt_tt_1"/>
    <hyperlink ref="R4598" r:id="rId4494" display="http://www.imdb.com/title/tt0120813/?ref_=fn_tt_tt_1"/>
    <hyperlink ref="R4599" r:id="rId4495" display="http://www.imdb.com/title/tt0155197/?ref_=fn_tt_tt_1"/>
    <hyperlink ref="R4600" r:id="rId4496" display="http://www.imdb.com/title/tt0161743/?ref_=fn_tt_tt_1"/>
    <hyperlink ref="R4601" r:id="rId4497" display="http://www.imdb.com/title/tt0181836/?ref_=fn_tt_tt_1"/>
    <hyperlink ref="R4602" r:id="rId4498" display="http://www.imdb.com/title/tt1130087/?ref_=fn_tt_tt_1"/>
    <hyperlink ref="R4603" r:id="rId4499" display="http://www.imdb.com/title/tt0472259/?ref_=fn_tt_tt_1"/>
    <hyperlink ref="R4604" r:id="rId4500" display="http://www.imdb.com/title/tt3277624/?ref_=fn_tt_tt_1"/>
    <hyperlink ref="R4605" r:id="rId4501" display="http://www.imdb.com/title/tt0479162/?ref_=fn_tt_tt_1"/>
    <hyperlink ref="R4606" r:id="rId4502" display="http://www.imdb.com/title/tt0124137/?ref_=fn_tt_tt_1"/>
    <hyperlink ref="R4607" r:id="rId4503" display="http://www.imdb.com/title/tt0401462/?ref_=fn_tt_tt_1"/>
    <hyperlink ref="R4608" r:id="rId4504" display="http://www.imdb.com/title/tt0487156/?ref_=fn_tt_tt_1"/>
    <hyperlink ref="R4609" r:id="rId4505" display="http://www.imdb.com/title/tt0271020/?ref_=fn_tt_tt_1"/>
    <hyperlink ref="R4610" r:id="rId4506" display="http://www.imdb.com/title/tt2852376/?ref_=fn_tt_tt_1"/>
    <hyperlink ref="R4611" r:id="rId4507" display="http://www.imdb.com/title/tt4590482/?ref_=fn_tt_tt_1"/>
    <hyperlink ref="R4612" r:id="rId4508" display="http://www.imdb.com/title/tt0323120/?ref_=fn_tt_tt_1"/>
    <hyperlink ref="R4613" r:id="rId4509" display="http://www.imdb.com/title/tt3145220/?ref_=fn_tt_tt_1"/>
    <hyperlink ref="R4614" r:id="rId4510" display="http://www.imdb.com/title/tt0425151/?ref_=fn_tt_tt_1"/>
    <hyperlink ref="R4615" r:id="rId4511" display="http://www.imdb.com/title/tt1414361/?ref_=fn_tt_tt_1"/>
    <hyperlink ref="R4616" r:id="rId4512" display="http://www.imdb.com/title/tt0060816/?ref_=fn_tt_tt_1"/>
    <hyperlink ref="R4617" r:id="rId4513" display="http://www.imdb.com/title/tt0393616/?ref_=fn_tt_tt_1"/>
    <hyperlink ref="R4618" r:id="rId4514" display="http://www.imdb.com/title/tt1014806/?ref_=fn_tt_tt_1"/>
    <hyperlink ref="R4619" r:id="rId4515" display="http://www.imdb.com/title/tt0867270/?ref_=fn_tt_tt_1"/>
    <hyperlink ref="R4620" r:id="rId4516" display="http://www.imdb.com/title/tt1134674/?ref_=fn_tt_tt_1"/>
    <hyperlink ref="R4621" r:id="rId4517" display="http://www.imdb.com/title/tt2149137/?ref_=fn_tt_tt_1"/>
    <hyperlink ref="R4622" r:id="rId4518" display="http://www.imdb.com/title/tt3289362/?ref_=fn_tt_tt_1"/>
    <hyperlink ref="R4623" r:id="rId4519" display="http://www.imdb.com/title/tt1679248/?ref_=fn_tt_tt_1"/>
    <hyperlink ref="R4624" r:id="rId4520" display="http://www.imdb.com/title/tt0826751/?ref_=fn_tt_tt_1"/>
    <hyperlink ref="R4625" r:id="rId4521" display="http://www.imdb.com/title/tt3359872/?ref_=fn_tt_tt_1"/>
    <hyperlink ref="R4626" r:id="rId4522" display="http://www.imdb.com/title/tt1930294/?ref_=fn_tt_tt_1"/>
    <hyperlink ref="R4627" r:id="rId4523" display="http://www.imdb.com/title/tt1838722/?ref_=fn_tt_tt_1"/>
    <hyperlink ref="R4628" r:id="rId4524" display="http://www.imdb.com/title/tt0825728/?ref_=fn_tt_tt_1"/>
    <hyperlink ref="R4629" r:id="rId4525" display="http://www.imdb.com/title/tt2655734/?ref_=fn_tt_tt_1"/>
    <hyperlink ref="R4630" r:id="rId4526" display="http://www.imdb.com/title/tt2165765/?ref_=fn_tt_tt_1"/>
    <hyperlink ref="R4631" r:id="rId4527" display="http://www.imdb.com/title/tt2446502/?ref_=fn_tt_tt_1"/>
    <hyperlink ref="R4632" r:id="rId4528" display="http://www.imdb.com/title/tt1604100/?ref_=fn_tt_tt_1"/>
    <hyperlink ref="R4633" r:id="rId2550" display="http://www.imdb.com/title/tt1924429/?ref_=fn_tt_tt_1"/>
    <hyperlink ref="R4634" r:id="rId4529" display="http://www.imdb.com/title/tt0062794/?ref_=fn_tt_tt_1"/>
    <hyperlink ref="R4635" r:id="rId4530" display="http://www.imdb.com/title/tt2011276/?ref_=fn_tt_tt_1"/>
    <hyperlink ref="R4636" r:id="rId4531" display="http://www.imdb.com/title/tt0156196/?ref_=fn_tt_tt_1"/>
    <hyperlink ref="R4637" r:id="rId4532" display="http://www.imdb.com/title/tt2505294/?ref_=fn_tt_tt_1"/>
    <hyperlink ref="R4638" r:id="rId4533" display="http://www.imdb.com/title/tt0825346/?ref_=fn_tt_tt_1"/>
    <hyperlink ref="R4639" r:id="rId4534" display="http://www.imdb.com/title/tt2141739/?ref_=fn_tt_tt_1"/>
    <hyperlink ref="R4640" r:id="rId4535" display="http://www.imdb.com/title/tt0047296/?ref_=fn_tt_tt_1"/>
    <hyperlink ref="R4641" r:id="rId4536" display="http://www.imdb.com/title/tt1726589/?ref_=fn_tt_tt_1"/>
    <hyperlink ref="R4642" r:id="rId4537" display="http://www.imdb.com/title/tt1032846/?ref_=fn_tt_tt_1"/>
    <hyperlink ref="R4643" r:id="rId4538" display="http://www.imdb.com/title/tt3034146/?ref_=fn_tt_tt_1"/>
    <hyperlink ref="R4644" r:id="rId4539" display="http://www.imdb.com/title/tt0424136/?ref_=fn_tt_tt_1"/>
    <hyperlink ref="R4645" r:id="rId4540" display="http://www.imdb.com/title/tt0414951/?ref_=fn_tt_tt_1"/>
    <hyperlink ref="R4646" r:id="rId4541" display="http://www.imdb.com/title/tt1684628/?ref_=fn_tt_tt_1"/>
    <hyperlink ref="R4647" r:id="rId4542" display="http://www.imdb.com/title/tt2334649/?ref_=fn_tt_tt_1"/>
    <hyperlink ref="R4648" r:id="rId4543" display="http://www.imdb.com/title/tt1935902/?ref_=fn_tt_tt_1"/>
    <hyperlink ref="R4649" r:id="rId4544" display="http://www.imdb.com/title/tt0034492/?ref_=fn_tt_tt_1"/>
    <hyperlink ref="R4650" r:id="rId4545" display="http://www.imdb.com/title/tt0814130/?ref_=fn_tt_tt_1"/>
    <hyperlink ref="R4651" r:id="rId2596" display="http://www.imdb.com/title/tt0882977/?ref_=fn_tt_tt_1"/>
    <hyperlink ref="R4652" r:id="rId4546" display="http://www.imdb.com/title/tt0345551/?ref_=fn_tt_tt_1"/>
    <hyperlink ref="R4653" r:id="rId4547" display="http://www.imdb.com/title/tt1852001/?ref_=fn_tt_tt_1"/>
    <hyperlink ref="R4654" r:id="rId4548" display="http://www.imdb.com/title/tt2388621/?ref_=fn_tt_tt_1"/>
    <hyperlink ref="R4655" r:id="rId4549" display="http://www.imdb.com/title/tt1996264/?ref_=fn_tt_tt_1"/>
    <hyperlink ref="R4656" r:id="rId4550" display="http://www.imdb.com/title/tt1405365/?ref_=fn_tt_tt_1"/>
    <hyperlink ref="R4657" r:id="rId4551" display="http://www.imdb.com/title/tt0295725/?ref_=fn_tt_tt_1"/>
    <hyperlink ref="R4658" r:id="rId4552" display="http://www.imdb.com/title/tt0490166/?ref_=fn_tt_tt_1"/>
    <hyperlink ref="R4659" r:id="rId4553" display="http://www.imdb.com/title/tt4733536/?ref_=fn_tt_tt_1"/>
    <hyperlink ref="R4660" r:id="rId4554" display="http://www.imdb.com/title/tt2311428/?ref_=fn_tt_tt_1"/>
    <hyperlink ref="R4661" r:id="rId4555" display="http://www.imdb.com/title/tt1832382/?ref_=fn_tt_tt_1"/>
    <hyperlink ref="R4662" r:id="rId4556" display="http://www.imdb.com/title/tt1349478/?ref_=fn_tt_tt_1"/>
    <hyperlink ref="R4663" r:id="rId4557" display="http://www.imdb.com/title/tt0114906/?ref_=fn_tt_tt_1"/>
    <hyperlink ref="R4664" r:id="rId4558" display="http://www.imdb.com/title/tt0108000/?ref_=fn_tt_tt_1"/>
    <hyperlink ref="R4665" r:id="rId4559" display="http://www.imdb.com/title/tt0316188/?ref_=fn_tt_tt_1"/>
    <hyperlink ref="R4666" r:id="rId4560" display="http://www.imdb.com/title/tt0018737/?ref_=fn_tt_tt_1"/>
    <hyperlink ref="R4667" r:id="rId4561" display="http://www.imdb.com/title/tt0870118/?ref_=fn_tt_tt_1"/>
    <hyperlink ref="R4668" r:id="rId4562" display="http://www.imdb.com/title/tt0356453/?ref_=fn_tt_tt_1"/>
    <hyperlink ref="R4669" r:id="rId4563" display="http://www.imdb.com/title/tt0158583/?ref_=fn_tt_tt_1"/>
    <hyperlink ref="R4670" r:id="rId4564" display="http://www.imdb.com/title/tt0339419/?ref_=fn_tt_tt_1"/>
    <hyperlink ref="R4671" r:id="rId4565" display="http://www.imdb.com/title/tt0186719/?ref_=fn_tt_tt_1"/>
    <hyperlink ref="R4672" r:id="rId4566" display="http://www.imdb.com/title/tt3569356/?ref_=fn_tt_tt_1"/>
    <hyperlink ref="R4673" r:id="rId4567" display="http://www.imdb.com/title/tt1278340/?ref_=fn_tt_tt_1"/>
    <hyperlink ref="R4674" r:id="rId4568" display="http://www.imdb.com/title/tt0373283/?ref_=fn_tt_tt_1"/>
    <hyperlink ref="R4675" r:id="rId4569" display="http://www.imdb.com/title/tt2164708/?ref_=fn_tt_tt_1"/>
    <hyperlink ref="R4676" r:id="rId4570" display="http://www.imdb.com/title/tt0069704/?ref_=fn_tt_tt_1"/>
    <hyperlink ref="R4677" r:id="rId4571" display="http://www.imdb.com/title/tt0815181/?ref_=fn_tt_tt_1"/>
    <hyperlink ref="R4678" r:id="rId4572" display="http://www.imdb.com/title/tt0455326/?ref_=fn_tt_tt_1"/>
    <hyperlink ref="R4679" r:id="rId4573" display="http://www.imdb.com/title/tt1862079/?ref_=fn_tt_tt_1"/>
    <hyperlink ref="R4680" r:id="rId4574" display="http://www.imdb.com/title/tt1999192/?ref_=fn_tt_tt_1"/>
    <hyperlink ref="R4681" r:id="rId4575" display="http://www.imdb.com/title/tt1788391/?ref_=fn_tt_tt_1"/>
    <hyperlink ref="R4682" r:id="rId4576" display="http://www.imdb.com/title/tt1594562/?ref_=fn_tt_tt_1"/>
    <hyperlink ref="R4683" r:id="rId2514" display="http://www.imdb.com/title/tt1139668/?ref_=fn_tt_tt_1"/>
    <hyperlink ref="R4684" r:id="rId4577" display="http://www.imdb.com/title/tt0065571/?ref_=fn_tt_tt_1"/>
    <hyperlink ref="R4685" r:id="rId4578" display="http://www.imdb.com/title/tt0308411/?ref_=fn_tt_tt_1"/>
    <hyperlink ref="R4686" r:id="rId4579" display="http://www.imdb.com/title/tt0988849/?ref_=fn_tt_tt_1"/>
    <hyperlink ref="R4687" r:id="rId4580" display="http://www.imdb.com/title/tt0490076/?ref_=fn_tt_tt_1"/>
    <hyperlink ref="R4688" r:id="rId4581" display="http://www.imdb.com/title/tt0997143/?ref_=fn_tt_tt_1"/>
    <hyperlink ref="R4689" r:id="rId4582" display="http://www.imdb.com/title/tt0044706/?ref_=fn_tt_tt_1"/>
    <hyperlink ref="R4690" r:id="rId4583" display="http://www.imdb.com/title/tt0110057/?ref_=fn_tt_tt_1"/>
    <hyperlink ref="R4691" r:id="rId4584" display="http://www.imdb.com/title/tt0436724/?ref_=fn_tt_tt_1"/>
    <hyperlink ref="R4692" r:id="rId4585" display="http://www.imdb.com/title/tt2983582/?ref_=fn_tt_tt_1"/>
    <hyperlink ref="R4693" r:id="rId4586" display="http://www.imdb.com/title/tt0242587/?ref_=fn_tt_tt_1"/>
    <hyperlink ref="R4694" r:id="rId4587" display="http://www.imdb.com/title/tt1015471/?ref_=fn_tt_tt_1"/>
    <hyperlink ref="R4695" r:id="rId4588" display="http://www.imdb.com/title/tt0964179/?ref_=fn_tt_tt_1"/>
    <hyperlink ref="R4696" r:id="rId26" display="http://www.imdb.com/title/tt0360717/?ref_=fn_tt_tt_1"/>
    <hyperlink ref="R4697" r:id="rId1439" display="http://www.imdb.com/title/tt0397065/?ref_=fn_tt_tt_1"/>
    <hyperlink ref="R4698" r:id="rId4589" display="http://www.imdb.com/title/tt0468489/?ref_=fn_tt_tt_1"/>
    <hyperlink ref="R4699" r:id="rId4590" display="http://www.imdb.com/title/tt0133117/?ref_=fn_tt_tt_1"/>
    <hyperlink ref="R4700" r:id="rId4591" display="http://www.imdb.com/title/tt0126938/?ref_=fn_tt_tt_1"/>
    <hyperlink ref="R4701" r:id="rId4592" display="http://www.imdb.com/title/tt4044464/?ref_=fn_tt_tt_1"/>
    <hyperlink ref="R4702" r:id="rId4593" display="http://www.imdb.com/title/tt2187884/?ref_=fn_tt_tt_1"/>
    <hyperlink ref="R4703" r:id="rId4594" display="http://www.imdb.com/title/tt1510934/?ref_=fn_tt_tt_1"/>
    <hyperlink ref="R4704" r:id="rId4595" display="http://www.imdb.com/title/tt2139721/?ref_=fn_tt_tt_1"/>
    <hyperlink ref="R4705" r:id="rId4596" display="http://www.imdb.com/title/tt1799508/?ref_=fn_tt_tt_1"/>
    <hyperlink ref="R4706" r:id="rId4597" display="http://www.imdb.com/title/tt2380301/?ref_=fn_tt_tt_1"/>
    <hyperlink ref="R4707" r:id="rId4598" display="http://www.imdb.com/title/tt2016335/?ref_=fn_tt_tt_1"/>
    <hyperlink ref="R4708" r:id="rId4599" display="http://www.imdb.com/title/tt0027125/?ref_=fn_tt_tt_1"/>
    <hyperlink ref="R4709" r:id="rId4600" display="http://www.imdb.com/title/tt0185937/?ref_=fn_tt_tt_1"/>
    <hyperlink ref="R4710" r:id="rId4601" display="http://www.imdb.com/title/tt0066580/?ref_=fn_tt_tt_1"/>
    <hyperlink ref="R4711" r:id="rId4602" display="http://www.imdb.com/title/tt0076257/?ref_=fn_tt_tt_1"/>
    <hyperlink ref="R4712" r:id="rId4603" display="http://www.imdb.com/title/tt0243415/?ref_=fn_tt_tt_1"/>
    <hyperlink ref="R4713" r:id="rId4604" display="http://www.imdb.com/title/tt1074931/?ref_=fn_tt_tt_1"/>
    <hyperlink ref="R4714" r:id="rId4605" display="http://www.imdb.com/title/tt0149964/?ref_=fn_tt_tt_1"/>
    <hyperlink ref="R4715" r:id="rId4606" display="http://www.imdb.com/title/tt2052015/?ref_=fn_tt_tt_1"/>
    <hyperlink ref="R4716" r:id="rId4607" display="http://www.imdb.com/title/tt4333662/?ref_=fn_tt_tt_1"/>
    <hyperlink ref="R4717" r:id="rId4608" display="http://www.imdb.com/title/tt0331225/?ref_=fn_tt_tt_1"/>
    <hyperlink ref="R4718" r:id="rId4609" display="http://www.imdb.com/title/tt3130704/?ref_=fn_tt_tt_1"/>
    <hyperlink ref="R4719" r:id="rId4610" display="http://www.imdb.com/title/tt5078326/?ref_=fn_tt_tt_1"/>
    <hyperlink ref="R4720" r:id="rId4611" display="http://www.imdb.com/title/tt2263814/?ref_=fn_tt_tt_1"/>
    <hyperlink ref="R4721" r:id="rId4612" display="http://www.imdb.com/title/tt0058182/?ref_=fn_tt_tt_1"/>
    <hyperlink ref="R4722" r:id="rId4613" display="http://www.imdb.com/title/tt1981703/?ref_=fn_tt_tt_1"/>
    <hyperlink ref="R4723" r:id="rId4614" display="http://www.imdb.com/title/tt0085871/?ref_=fn_tt_tt_1"/>
    <hyperlink ref="R4724" r:id="rId4615" display="http://www.imdb.com/title/tt4374230/?ref_=fn_tt_tt_1"/>
    <hyperlink ref="R4725" r:id="rId4616" display="http://www.imdb.com/title/tt1129423/?ref_=fn_tt_tt_1"/>
    <hyperlink ref="R4726" r:id="rId4617" display="http://www.imdb.com/title/tt2768766/?ref_=fn_tt_tt_1"/>
    <hyperlink ref="R4727" r:id="rId4618" display="http://www.imdb.com/title/tt0071206/?ref_=fn_tt_tt_1"/>
    <hyperlink ref="R4728" r:id="rId4619" display="http://www.imdb.com/title/tt0374102/?ref_=fn_tt_tt_1"/>
    <hyperlink ref="R4729" r:id="rId4620" display="http://www.imdb.com/title/tt1692084/?ref_=fn_tt_tt_1"/>
    <hyperlink ref="R4730" r:id="rId4621" display="http://www.imdb.com/title/tt0076271/?ref_=fn_tt_tt_1"/>
    <hyperlink ref="R4731" r:id="rId4622" display="http://www.imdb.com/title/tt0438205/?ref_=fn_tt_tt_1"/>
    <hyperlink ref="R4732" r:id="rId4623" display="http://www.imdb.com/title/tt0340377/?ref_=fn_tt_tt_1"/>
    <hyperlink ref="R4733" r:id="rId4624" display="http://www.imdb.com/title/tt1270286/?ref_=fn_tt_tt_1"/>
    <hyperlink ref="R4734" r:id="rId4625" display="http://www.imdb.com/title/tt0492506/?ref_=fn_tt_tt_1"/>
    <hyperlink ref="R4735" r:id="rId4626" display="http://www.imdb.com/title/tt0218043/?ref_=fn_tt_tt_1"/>
    <hyperlink ref="R4736" r:id="rId4627" display="http://www.imdb.com/title/tt0306069/?ref_=fn_tt_tt_1"/>
    <hyperlink ref="R4737" r:id="rId4628" display="http://www.imdb.com/title/tt0368913/?ref_=fn_tt_tt_1"/>
    <hyperlink ref="R4738" r:id="rId4629" display="http://www.imdb.com/title/tt1976608/?ref_=fn_tt_tt_1"/>
    <hyperlink ref="R4739" r:id="rId4630" display="http://www.imdb.com/title/tt0212974/?ref_=fn_tt_tt_1"/>
    <hyperlink ref="R4740" r:id="rId4631" display="http://www.imdb.com/title/tt0341540/?ref_=fn_tt_tt_1"/>
    <hyperlink ref="R4741" r:id="rId4632" display="http://www.imdb.com/title/tt0162830/?ref_=fn_tt_tt_1"/>
    <hyperlink ref="R4742" r:id="rId4633" display="http://www.imdb.com/title/tt0377091/?ref_=fn_tt_tt_1"/>
    <hyperlink ref="R4743" r:id="rId4634" display="http://www.imdb.com/title/tt0119338/?ref_=fn_tt_tt_1"/>
    <hyperlink ref="R4744" r:id="rId4635" display="http://www.imdb.com/title/tt0244094/?ref_=fn_tt_tt_1"/>
    <hyperlink ref="R4745" r:id="rId4636" display="http://www.imdb.com/title/tt0326806/?ref_=fn_tt_tt_1"/>
    <hyperlink ref="R4746" r:id="rId4637" display="http://www.imdb.com/title/tt0385056/?ref_=fn_tt_tt_1"/>
    <hyperlink ref="R4747" r:id="rId4638" display="http://www.imdb.com/title/tt2265398/?ref_=fn_tt_tt_1"/>
    <hyperlink ref="R4748" r:id="rId4639" display="http://www.imdb.com/title/tt2654360/?ref_=fn_tt_tt_1"/>
    <hyperlink ref="R4749" r:id="rId4640" display="http://www.imdb.com/title/tt0047478/?ref_=fn_tt_tt_1"/>
    <hyperlink ref="R4750" r:id="rId4641" display="http://www.imdb.com/title/tt1606829/?ref_=fn_tt_tt_1"/>
    <hyperlink ref="R4751" r:id="rId4642" display="http://www.imdb.com/title/tt0104567/?ref_=fn_tt_tt_1"/>
    <hyperlink ref="R4752" r:id="rId4643" display="http://www.imdb.com/title/tt0843850/?ref_=fn_tt_tt_1"/>
    <hyperlink ref="R4753" r:id="rId4644" display="http://www.imdb.com/title/tt1612774/?ref_=fn_tt_tt_1"/>
    <hyperlink ref="R4754" r:id="rId187" display="http://www.imdb.com/title/tt2224026/?ref_=fn_tt_tt_1"/>
    <hyperlink ref="R4755" r:id="rId4645" display="http://www.imdb.com/title/tt0893346/?ref_=fn_tt_tt_1"/>
    <hyperlink ref="R4756" r:id="rId4646" display="http://www.imdb.com/title/tt0266971/?ref_=fn_tt_tt_1"/>
    <hyperlink ref="R4757" r:id="rId4647" display="http://www.imdb.com/title/tt1470827/?ref_=fn_tt_tt_1"/>
    <hyperlink ref="R4758" r:id="rId4648" display="http://www.imdb.com/title/tt0377043/?ref_=fn_tt_tt_1"/>
    <hyperlink ref="R4759" r:id="rId4649" display="http://www.imdb.com/title/tt0489212/?ref_=fn_tt_tt_1"/>
    <hyperlink ref="R4760" r:id="rId4650" display="http://www.imdb.com/title/tt1865346/?ref_=fn_tt_tt_1"/>
    <hyperlink ref="R4761" r:id="rId4651" display="http://www.imdb.com/title/tt0843270/?ref_=fn_tt_tt_1"/>
    <hyperlink ref="R4762" r:id="rId4652" display="http://www.imdb.com/title/tt0486541/?ref_=fn_tt_tt_1"/>
    <hyperlink ref="R4763" r:id="rId4653" display="http://www.imdb.com/title/tt0228277/?ref_=fn_tt_tt_1"/>
    <hyperlink ref="R4764" r:id="rId4654" display="http://www.imdb.com/title/tt3297330/?ref_=fn_tt_tt_1"/>
    <hyperlink ref="R4765" r:id="rId4655" display="http://www.imdb.com/title/tt0455556/?ref_=fn_tt_tt_1"/>
    <hyperlink ref="R4766" r:id="rId4656" display="http://www.imdb.com/title/tt2825768/?ref_=fn_tt_tt_1"/>
    <hyperlink ref="R4767" r:id="rId4657" display="http://www.imdb.com/title/tt1937264/?ref_=fn_tt_tt_1"/>
    <hyperlink ref="R4768" r:id="rId4658" display="http://www.imdb.com/title/tt1884318/?ref_=fn_tt_tt_1"/>
    <hyperlink ref="R4769" r:id="rId4659" display="http://www.imdb.com/title/tt3417110/?ref_=fn_tt_tt_1"/>
    <hyperlink ref="R4770" r:id="rId4660" display="http://www.imdb.com/title/tt2909932/?ref_=fn_tt_tt_1"/>
    <hyperlink ref="R4771" r:id="rId2890" display="http://www.imdb.com/title/tt0275022/?ref_=fn_tt_tt_1"/>
    <hyperlink ref="R4772" r:id="rId4661" display="http://www.imdb.com/title/tt1631707/?ref_=fn_tt_tt_1"/>
    <hyperlink ref="R4773" r:id="rId4662" display="http://www.imdb.com/title/tt2275671/?ref_=fn_tt_tt_1"/>
    <hyperlink ref="R4774" r:id="rId4663" display="http://www.imdb.com/title/tt3152288/?ref_=fn_tt_tt_1"/>
    <hyperlink ref="R4775" r:id="rId4664" display="http://www.imdb.com/title/tt3892618/?ref_=fn_tt_tt_1"/>
    <hyperlink ref="R4776" r:id="rId4665" display="http://www.imdb.com/title/tt2190180/?ref_=fn_tt_tt_1"/>
    <hyperlink ref="R4777" r:id="rId4666" display="http://www.imdb.com/title/tt4062896/?ref_=fn_tt_tt_1"/>
    <hyperlink ref="R4778" r:id="rId4667" display="http://www.imdb.com/title/tt2246526/?ref_=fn_tt_tt_1"/>
    <hyperlink ref="R4779" r:id="rId4668" display="http://www.imdb.com/title/tt3846442/?ref_=fn_tt_tt_1"/>
    <hyperlink ref="R4780" r:id="rId39" display="http://www.imdb.com/title/tt1623205/?ref_=fn_tt_tt_1"/>
    <hyperlink ref="R4781" r:id="rId4669" display="http://www.imdb.com/title/tt0090190/?ref_=fn_tt_tt_1"/>
    <hyperlink ref="R4782" r:id="rId4670" display="http://www.imdb.com/title/tt0102989/?ref_=fn_tt_tt_1"/>
    <hyperlink ref="R4783" r:id="rId4671" display="http://www.imdb.com/title/tt0280491/?ref_=fn_tt_tt_1"/>
    <hyperlink ref="R4784" r:id="rId4672" display="http://www.imdb.com/title/tt2111292/?ref_=fn_tt_tt_1"/>
    <hyperlink ref="R4785" r:id="rId4673" display="http://www.imdb.com/title/tt0435623/?ref_=fn_tt_tt_1"/>
    <hyperlink ref="R4786" r:id="rId4674" display="http://www.imdb.com/title/tt0462485/?ref_=fn_tt_tt_1"/>
    <hyperlink ref="R4787" r:id="rId4675" display="http://www.imdb.com/title/tt2112209/?ref_=fn_tt_tt_1"/>
    <hyperlink ref="R4788" r:id="rId4676" display="http://www.imdb.com/title/tt0024034/?ref_=fn_tt_tt_1"/>
    <hyperlink ref="R4789" r:id="rId4677" display="http://www.imdb.com/title/tt4273494/?ref_=fn_tt_tt_1"/>
    <hyperlink ref="R4790" r:id="rId4678" display="http://www.imdb.com/title/tt0100142/?ref_=fn_tt_tt_1"/>
    <hyperlink ref="R4791" r:id="rId4679" display="http://www.imdb.com/title/tt0382330/?ref_=fn_tt_tt_1"/>
    <hyperlink ref="R4792" r:id="rId4680" display="http://www.imdb.com/title/tt1958007/?ref_=fn_tt_tt_1"/>
    <hyperlink ref="R4793" r:id="rId4681" display="http://www.imdb.com/title/tt0374900/?ref_=fn_tt_tt_1"/>
    <hyperlink ref="R4794" r:id="rId4682" display="http://www.imdb.com/title/tt2359024/?ref_=fn_tt_tt_1"/>
    <hyperlink ref="R4795" r:id="rId4683" display="http://www.imdb.com/title/tt1179904/?ref_=fn_tt_tt_1"/>
    <hyperlink ref="R4796" r:id="rId4684" display="http://www.imdb.com/title/tt0275309/?ref_=fn_tt_tt_1"/>
    <hyperlink ref="R4797" r:id="rId4685" display="http://www.imdb.com/title/tt0071853/?ref_=fn_tt_tt_1"/>
    <hyperlink ref="R4798" r:id="rId4686" display="http://www.imdb.com/title/tt0451176/?ref_=fn_tt_tt_1"/>
    <hyperlink ref="R4799" r:id="rId4687" display="http://www.imdb.com/title/tt0396041/?ref_=fn_tt_tt_1"/>
    <hyperlink ref="R4800" r:id="rId4688" display="http://www.imdb.com/title/tt0813715/?ref_=fn_tt_tt_1"/>
    <hyperlink ref="R4801" r:id="rId4689" display="http://www.imdb.com/title/tt0390538/?ref_=fn_tt_tt_1"/>
    <hyperlink ref="R4802" r:id="rId4690" display="http://www.imdb.com/title/tt1560957/?ref_=fn_tt_tt_1"/>
    <hyperlink ref="R4803" r:id="rId4691" display="http://www.imdb.com/title/tt2403415/?ref_=fn_tt_tt_1"/>
    <hyperlink ref="R4804" r:id="rId4692" display="http://www.imdb.com/title/tt0082307/?ref_=fn_tt_tt_1"/>
    <hyperlink ref="R4805" r:id="rId4693" display="http://www.imdb.com/title/tt0197159/?ref_=fn_tt_tt_1"/>
    <hyperlink ref="R4806" r:id="rId4694" display="http://www.imdb.com/title/tt1033643/?ref_=fn_tt_tt_1"/>
    <hyperlink ref="R4807" r:id="rId4695" display="http://www.imdb.com/title/tt0402249/?ref_=fn_tt_tt_1"/>
    <hyperlink ref="R4808" r:id="rId4696" display="http://www.imdb.com/title/tt0091578/?ref_=fn_tt_tt_1"/>
    <hyperlink ref="R4809" r:id="rId4697" display="http://www.imdb.com/title/tt0299863/?ref_=fn_tt_tt_1"/>
    <hyperlink ref="R4810" r:id="rId4698" display="http://www.imdb.com/title/tt0414510/?ref_=fn_tt_tt_1"/>
    <hyperlink ref="R4811" r:id="rId4699" display="http://www.imdb.com/title/tt0069467/?ref_=fn_tt_tt_1"/>
    <hyperlink ref="R4812" r:id="rId4700" display="http://www.imdb.com/title/tt0006864/?ref_=fn_tt_tt_1"/>
    <hyperlink ref="R4813" r:id="rId4701" display="http://www.imdb.com/title/tt0120370/?ref_=fn_tt_tt_1"/>
    <hyperlink ref="R4814" r:id="rId4702" display="http://www.imdb.com/title/tt0019729/?ref_=fn_tt_tt_1"/>
    <hyperlink ref="R4815" r:id="rId4703" display="http://www.imdb.com/title/tt0083907/?ref_=fn_tt_tt_1"/>
    <hyperlink ref="R4816" r:id="rId4704" display="http://www.imdb.com/title/tt2103217/?ref_=fn_tt_tt_1"/>
    <hyperlink ref="R4817" r:id="rId4705" display="http://www.imdb.com/title/tt3457376/?ref_=fn_tt_tt_1"/>
    <hyperlink ref="R4818" r:id="rId4706" display="http://www.imdb.com/title/tt0436613/?ref_=fn_tt_tt_1"/>
    <hyperlink ref="R4819" r:id="rId4707" display="http://www.imdb.com/title/tt0092548/?ref_=fn_tt_tt_1"/>
    <hyperlink ref="R4820" r:id="rId4708" display="http://www.imdb.com/title/tt0468442/?ref_=fn_tt_tt_1"/>
    <hyperlink ref="R4821" r:id="rId4709" display="http://www.imdb.com/title/tt2070791/?ref_=fn_tt_tt_1"/>
    <hyperlink ref="R4822" r:id="rId4710" display="http://www.imdb.com/title/tt4162992/?ref_=fn_tt_tt_1"/>
    <hyperlink ref="R4823" r:id="rId2463" display="http://www.imdb.com/title/tt0077651/?ref_=fn_tt_tt_1"/>
    <hyperlink ref="R4824" r:id="rId4711" display="http://www.imdb.com/title/tt0050083/?ref_=fn_tt_tt_1"/>
    <hyperlink ref="R4825" r:id="rId4712" display="http://www.imdb.com/title/tt0843358/?ref_=fn_tt_tt_1"/>
    <hyperlink ref="R4826" r:id="rId4713" display="http://www.imdb.com/title/tt0025316/?ref_=fn_tt_tt_1"/>
    <hyperlink ref="R4827" r:id="rId4714" display="http://www.imdb.com/title/tt1379182/?ref_=fn_tt_tt_1"/>
    <hyperlink ref="R4828" r:id="rId4715" display="http://www.imdb.com/title/tt0343121/?ref_=fn_tt_tt_1"/>
    <hyperlink ref="R4829" r:id="rId4716" display="http://www.imdb.com/title/tt0161023/?ref_=fn_tt_tt_1"/>
    <hyperlink ref="R4830" r:id="rId4717" display="http://www.imdb.com/title/tt0114194/?ref_=fn_tt_tt_1"/>
    <hyperlink ref="R4831" r:id="rId4718" display="http://www.imdb.com/title/tt0115856/?ref_=fn_tt_tt_1"/>
    <hyperlink ref="R4832" r:id="rId4719" display="http://www.imdb.com/title/tt0311648/?ref_=fn_tt_tt_1"/>
    <hyperlink ref="R4833" r:id="rId4720" display="http://www.imdb.com/title/tt0118717/?ref_=fn_tt_tt_1"/>
    <hyperlink ref="R4834" r:id="rId4721" display="http://www.imdb.com/title/tt0468526/?ref_=fn_tt_tt_1"/>
    <hyperlink ref="R4835" r:id="rId4722" display="http://www.imdb.com/title/tt1152850/?ref_=fn_tt_tt_1"/>
    <hyperlink ref="R4836" r:id="rId4723" display="http://www.imdb.com/title/tt1314190/?ref_=fn_tt_tt_1"/>
    <hyperlink ref="R4837" r:id="rId4724" display="http://www.imdb.com/title/tt0059592/?ref_=fn_tt_tt_1"/>
    <hyperlink ref="R4838" r:id="rId4725" display="http://www.imdb.com/title/tt0474361/?ref_=fn_tt_tt_1"/>
    <hyperlink ref="R4839" r:id="rId4726" display="http://www.imdb.com/title/tt0221809/?ref_=fn_tt_tt_1"/>
    <hyperlink ref="R4840" r:id="rId4727" display="http://www.imdb.com/title/tt0058414/?ref_=fn_tt_tt_1"/>
    <hyperlink ref="R4841" r:id="rId4728" display="http://www.imdb.com/title/tt0128214/?ref_=fn_tt_tt_1"/>
    <hyperlink ref="R4842" r:id="rId4729" display="http://www.imdb.com/title/tt0366444/?ref_=fn_tt_tt_1"/>
    <hyperlink ref="R4843" r:id="rId4730" display="http://www.imdb.com/title/tt0421237/?ref_=fn_tt_tt_1"/>
    <hyperlink ref="R4844" r:id="rId1106" display="http://www.imdb.com/title/tt0445922/?ref_=fn_tt_tt_1"/>
    <hyperlink ref="R4845" r:id="rId4731" display="http://www.imdb.com/title/tt2912776/?ref_=fn_tt_tt_1"/>
    <hyperlink ref="R4846" r:id="rId4732" display="http://www.imdb.com/title/tt0072856/?ref_=fn_tt_tt_1"/>
    <hyperlink ref="R4847" r:id="rId4733" display="http://www.imdb.com/title/tt1241226/?ref_=fn_tt_tt_1"/>
    <hyperlink ref="R4848" r:id="rId4734" display="http://www.imdb.com/title/tt0100146/?ref_=fn_tt_tt_1"/>
    <hyperlink ref="R4849" r:id="rId4735" display="http://www.imdb.com/title/tt0393049/?ref_=fn_tt_tt_1"/>
    <hyperlink ref="R4850" r:id="rId4736" display="http://www.imdb.com/title/tt3904272/?ref_=fn_tt_tt_1"/>
    <hyperlink ref="R4851" r:id="rId4737" display="http://www.imdb.com/title/tt0082467/?ref_=fn_tt_tt_1"/>
    <hyperlink ref="R4852" r:id="rId4738" display="http://www.imdb.com/title/tt1568341/?ref_=fn_tt_tt_1"/>
    <hyperlink ref="R4853" r:id="rId4739" display="http://www.imdb.com/title/tt1971352/?ref_=fn_tt_tt_1"/>
    <hyperlink ref="R4854" r:id="rId4740" display="http://www.imdb.com/title/tt0118842/?ref_=fn_tt_tt_1"/>
    <hyperlink ref="R4855" r:id="rId4741" display="http://www.imdb.com/title/tt0258273/?ref_=fn_tt_tt_1"/>
    <hyperlink ref="R4856" r:id="rId4742" display="http://www.imdb.com/title/tt1328873/?ref_=fn_tt_tt_1"/>
    <hyperlink ref="R4857" r:id="rId4743" display="http://www.imdb.com/title/tt0280477/?ref_=fn_tt_tt_1"/>
    <hyperlink ref="R4858" r:id="rId4744" display="http://www.imdb.com/title/tt0113416/?ref_=fn_tt_tt_1"/>
    <hyperlink ref="R4859" r:id="rId4745" display="http://www.imdb.com/title/tt0200530/?ref_=fn_tt_tt_1"/>
    <hyperlink ref="R4860" r:id="rId4746" display="http://www.imdb.com/title/tt0203289/?ref_=fn_tt_tt_1"/>
    <hyperlink ref="R4861" r:id="rId4747" display="http://www.imdb.com/title/tt3976258/?ref_=fn_tt_tt_1"/>
    <hyperlink ref="R4862" r:id="rId4748" display="http://www.imdb.com/title/tt0123755/?ref_=fn_tt_tt_1"/>
    <hyperlink ref="R4863" r:id="rId4749" display="http://www.imdb.com/title/tt0116931/?ref_=fn_tt_tt_1"/>
    <hyperlink ref="R4864" r:id="rId4750" display="http://www.imdb.com/title/tt0119346/?ref_=fn_tt_tt_1"/>
    <hyperlink ref="R4865" r:id="rId4751" display="http://www.imdb.com/title/tt0368089/?ref_=fn_tt_tt_1"/>
    <hyperlink ref="R4866" r:id="rId4752" display="http://www.imdb.com/title/tt1758692/?ref_=fn_tt_tt_1"/>
    <hyperlink ref="R4867" r:id="rId4753" display="http://www.imdb.com/title/tt1991199/?ref_=fn_tt_tt_1"/>
    <hyperlink ref="R4868" r:id="rId4754" display="http://www.imdb.com/title/tt0173390/?ref_=fn_tt_tt_1"/>
    <hyperlink ref="R4869" r:id="rId4755" display="http://www.imdb.com/title/tt0436607/?ref_=fn_tt_tt_1"/>
    <hyperlink ref="R4870" r:id="rId4756" display="http://www.imdb.com/title/tt2292959/?ref_=fn_tt_tt_1"/>
    <hyperlink ref="R4871" r:id="rId4757" display="http://www.imdb.com/title/tt3428912/?ref_=fn_tt_tt_1"/>
    <hyperlink ref="R4872" r:id="rId4758" display="http://www.imdb.com/title/tt0389235/?ref_=fn_tt_tt_1"/>
    <hyperlink ref="R4873" r:id="rId4759" display="http://www.imdb.com/title/tt0952682/?ref_=fn_tt_tt_1"/>
    <hyperlink ref="R4874" r:id="rId4760" display="http://www.imdb.com/title/tt1258197/?ref_=fn_tt_tt_1"/>
    <hyperlink ref="R4875" r:id="rId4761" display="http://www.imdb.com/title/tt0127302/?ref_=fn_tt_tt_1"/>
    <hyperlink ref="R4876" r:id="rId4762" display="http://www.imdb.com/title/tt1270792/?ref_=fn_tt_tt_1"/>
    <hyperlink ref="R4877" r:id="rId4763" display="http://www.imdb.com/title/tt1360826/?ref_=fn_tt_tt_1"/>
    <hyperlink ref="R4878" r:id="rId4764" display="http://www.imdb.com/title/tt1071804/?ref_=fn_tt_tt_1"/>
    <hyperlink ref="R4879" r:id="rId4765" display="http://www.imdb.com/title/tt1640714/?ref_=fn_tt_tt_1"/>
    <hyperlink ref="R4880" r:id="rId4766" display="http://www.imdb.com/title/tt1003002/?ref_=fn_tt_tt_1"/>
    <hyperlink ref="R4881" r:id="rId4767" display="http://www.imdb.com/title/tt0082122/?ref_=fn_tt_tt_1"/>
    <hyperlink ref="R4882" r:id="rId4768" display="http://www.imdb.com/title/tt3564748/?ref_=fn_tt_tt_1"/>
    <hyperlink ref="R4883" r:id="rId4769" display="http://www.imdb.com/title/tt2363439/?ref_=fn_tt_tt_1"/>
    <hyperlink ref="R4884" r:id="rId2672" display="http://www.imdb.com/title/tt0140340/?ref_=fn_tt_tt_1"/>
    <hyperlink ref="R4885" r:id="rId4770" display="http://www.imdb.com/title/tt3421204/?ref_=fn_tt_tt_1"/>
    <hyperlink ref="R4886" r:id="rId4771" display="http://www.imdb.com/title/tt2559658/?ref_=fn_tt_tt_1"/>
    <hyperlink ref="R4887" r:id="rId4772" display="http://www.imdb.com/title/tt0015624/?ref_=fn_tt_tt_1"/>
    <hyperlink ref="R4888" r:id="rId4773" display="http://www.imdb.com/title/tt0469690/?ref_=fn_tt_tt_1"/>
    <hyperlink ref="R4889" r:id="rId4774" display="http://www.imdb.com/title/tt2290113/?ref_=fn_tt_tt_1"/>
    <hyperlink ref="R4890" r:id="rId4775" display="http://www.imdb.com/title/tt1172570/?ref_=fn_tt_tt_1"/>
    <hyperlink ref="R4891" r:id="rId4776" display="http://www.imdb.com/title/tt3210710/?ref_=fn_tt_tt_1"/>
    <hyperlink ref="R4892" r:id="rId4777" display="http://www.imdb.com/title/tt1781784/?ref_=fn_tt_tt_1"/>
    <hyperlink ref="R4893" r:id="rId4778" display="http://www.imdb.com/title/tt0182508/?ref_=fn_tt_tt_1"/>
    <hyperlink ref="R4894" r:id="rId4779" display="http://www.imdb.com/title/tt0168192/?ref_=fn_tt_tt_1"/>
    <hyperlink ref="R4895" r:id="rId4780" display="http://www.imdb.com/title/tt0045546/?ref_=fn_tt_tt_1"/>
    <hyperlink ref="R4896" r:id="rId3645" display="http://www.imdb.com/title/tt0046672/?ref_=fn_tt_tt_1"/>
    <hyperlink ref="R4897" r:id="rId4781" display="http://www.imdb.com/title/tt0079501/?ref_=fn_tt_tt_1"/>
    <hyperlink ref="R4898" r:id="rId4782" display="http://www.imdb.com/title/tt0117802/?ref_=fn_tt_tt_1"/>
    <hyperlink ref="R4899" r:id="rId4783" display="http://www.imdb.com/title/tt0058461/?ref_=fn_tt_tt_1"/>
    <hyperlink ref="R4900" r:id="rId4784" display="http://www.imdb.com/title/tt0024548/?ref_=fn_tt_tt_1"/>
    <hyperlink ref="R4901" r:id="rId4785" display="http://www.imdb.com/title/tt0420723/?ref_=fn_tt_tt_1"/>
    <hyperlink ref="R4902" r:id="rId4786" display="http://www.imdb.com/title/tt1544600/?ref_=fn_tt_tt_1"/>
    <hyperlink ref="R4903" r:id="rId4787" display="http://www.imdb.com/title/tt1211890/?ref_=fn_tt_tt_1"/>
    <hyperlink ref="R4904" r:id="rId4788" display="http://www.imdb.com/title/tt1517177/?ref_=fn_tt_tt_1"/>
    <hyperlink ref="R4905" r:id="rId4789" display="http://www.imdb.com/title/tt0303313/?ref_=fn_tt_tt_1"/>
    <hyperlink ref="R4906" r:id="rId4790" display="http://www.imdb.com/title/tt1301130/?ref_=fn_tt_tt_1"/>
    <hyperlink ref="R4907" r:id="rId1654" display="http://www.imdb.com/title/tt2053463/?ref_=fn_tt_tt_1"/>
    <hyperlink ref="R4908" r:id="rId4791" display="http://www.imdb.com/title/tt0388230/?ref_=fn_tt_tt_1"/>
    <hyperlink ref="R4909" r:id="rId4792" display="http://www.imdb.com/title/tt2690560/?ref_=fn_tt_tt_1"/>
    <hyperlink ref="R4910" r:id="rId4793" display="http://www.imdb.com/title/tt1152827/?ref_=fn_tt_tt_1"/>
    <hyperlink ref="R4911" r:id="rId4794" display="http://www.imdb.com/title/tt0923600/?ref_=fn_tt_tt_1"/>
    <hyperlink ref="R4912" r:id="rId4795" display="http://www.imdb.com/title/tt3565836/?ref_=fn_tt_tt_1"/>
    <hyperlink ref="R4913" r:id="rId4796" display="http://www.imdb.com/title/tt0437123/?ref_=fn_tt_tt_1"/>
    <hyperlink ref="R4914" r:id="rId4797" display="http://www.imdb.com/title/tt0048452/?ref_=fn_tt_tt_1"/>
    <hyperlink ref="R4915" r:id="rId4798" display="http://www.imdb.com/title/tt0944101/?ref_=fn_tt_tt_1"/>
    <hyperlink ref="R4916" r:id="rId4799" display="http://www.imdb.com/title/tt0756683/?ref_=fn_tt_tt_1"/>
    <hyperlink ref="R4917" r:id="rId4800" display="http://www.imdb.com/title/tt0446055/?ref_=fn_tt_tt_1"/>
    <hyperlink ref="R4918" r:id="rId4801" display="http://www.imdb.com/title/tt0412366/?ref_=fn_tt_tt_1"/>
    <hyperlink ref="R4919" r:id="rId4802" display="http://www.imdb.com/title/tt0448182/?ref_=fn_tt_tt_1"/>
    <hyperlink ref="R4920" r:id="rId4803" display="http://www.imdb.com/title/tt1989646/?ref_=fn_tt_tt_1"/>
    <hyperlink ref="R4921" r:id="rId4804" display="http://www.imdb.com/title/tt3666210/?ref_=fn_tt_tt_1"/>
    <hyperlink ref="R4922" r:id="rId4805" display="http://www.imdb.com/title/tt1702455/?ref_=fn_tt_tt_1"/>
    <hyperlink ref="R4923" r:id="rId4806" display="http://www.imdb.com/title/tt0118849/?ref_=fn_tt_tt_1"/>
    <hyperlink ref="R4924" r:id="rId4807" display="http://www.imdb.com/title/tt1714210/?ref_=fn_tt_tt_1"/>
    <hyperlink ref="R4925" r:id="rId4808" display="http://www.imdb.com/title/tt0091939/?ref_=fn_tt_tt_1"/>
    <hyperlink ref="R4926" r:id="rId4809" display="http://www.imdb.com/title/tt2421956/?ref_=fn_tt_tt_1"/>
    <hyperlink ref="R4927" r:id="rId4810" display="http://www.imdb.com/title/tt4707756/?ref_=fn_tt_tt_1"/>
    <hyperlink ref="R4928" r:id="rId4811" display="http://www.imdb.com/title/tt1549572/?ref_=fn_tt_tt_1"/>
    <hyperlink ref="R4929" r:id="rId4139" display="http://www.imdb.com/title/tt1666335/?ref_=fn_tt_tt_1"/>
    <hyperlink ref="R4930" r:id="rId4812" display="http://www.imdb.com/title/tt0067810/?ref_=fn_tt_tt_1"/>
    <hyperlink ref="R4931" r:id="rId4813" display="http://www.imdb.com/title/tt3581098/?ref_=fn_tt_tt_1"/>
    <hyperlink ref="R4932" r:id="rId4814" display="http://www.imdb.com/title/tt0271219/?ref_=fn_tt_tt_1"/>
    <hyperlink ref="R4933" r:id="rId4815" display="http://www.imdb.com/title/tt0907657/?ref_=fn_tt_tt_1"/>
    <hyperlink ref="R4934" r:id="rId4816" display="http://www.imdb.com/title/tt0217894/?ref_=fn_tt_tt_1"/>
    <hyperlink ref="R4935" r:id="rId4817" display="http://www.imdb.com/title/tt1333668/?ref_=fn_tt_tt_1"/>
    <hyperlink ref="R4936" r:id="rId4818" display="http://www.imdb.com/title/tt1743993/?ref_=fn_tt_tt_1"/>
    <hyperlink ref="R4937" r:id="rId4819" display="http://www.imdb.com/title/tt1934172/?ref_=fn_tt_tt_1"/>
    <hyperlink ref="R4938" r:id="rId3225" display="http://www.imdb.com/title/tt0072271/?ref_=fn_tt_tt_1"/>
    <hyperlink ref="R4939" r:id="rId4820" display="http://www.imdb.com/title/tt0059026/?ref_=fn_tt_tt_1"/>
    <hyperlink ref="R4940" r:id="rId4821" display="http://www.imdb.com/title/tt2780714/?ref_=fn_tt_tt_1"/>
    <hyperlink ref="R4941" r:id="rId4822" display="http://www.imdb.com/title/tt2403815/?ref_=fn_tt_tt_1"/>
    <hyperlink ref="R4942" r:id="rId4823" display="http://www.imdb.com/title/tt4219836/?ref_=fn_tt_tt_1"/>
    <hyperlink ref="R4943" r:id="rId4824" display="http://www.imdb.com/title/tt0098213/?ref_=fn_tt_tt_1"/>
    <hyperlink ref="R4944" r:id="rId2857" display="http://www.imdb.com/title/tt0083722/?ref_=fn_tt_tt_1"/>
    <hyperlink ref="R4945" r:id="rId4825" display="http://www.imdb.com/title/tt2125430/?ref_=fn_tt_tt_1"/>
    <hyperlink ref="R4946" r:id="rId4826" display="http://www.imdb.com/title/tt1748207/?ref_=fn_tt_tt_1"/>
    <hyperlink ref="R4947" r:id="rId4827" display="http://www.imdb.com/title/tt2638024/?ref_=fn_tt_tt_1"/>
    <hyperlink ref="R4948" r:id="rId4828" display="http://www.imdb.com/title/tt0488873/?ref_=fn_tt_tt_1"/>
    <hyperlink ref="R4949" r:id="rId4829" display="http://www.imdb.com/title/tt1742336/?ref_=fn_tt_tt_1"/>
    <hyperlink ref="R4950" r:id="rId4830" display="http://www.imdb.com/title/tt4607906/?ref_=fn_tt_tt_1"/>
    <hyperlink ref="R4951" r:id="rId4831" display="http://www.imdb.com/title/tt0796314/?ref_=fn_tt_tt_1"/>
    <hyperlink ref="R4952" r:id="rId4831" display="http://www.imdb.com/title/tt0796314/?ref_=fn_tt_tt_1"/>
    <hyperlink ref="R4953" r:id="rId3819" display="http://www.imdb.com/title/tt0063350/?ref_=fn_tt_tt_1"/>
    <hyperlink ref="R4954" r:id="rId4832" display="http://www.imdb.com/title/tt0058701/?ref_=fn_tt_tt_1"/>
    <hyperlink ref="R4955" r:id="rId4833" display="http://www.imdb.com/title/tt4196450/?ref_=fn_tt_tt_1"/>
    <hyperlink ref="R4956" r:id="rId4834" display="http://www.imdb.com/title/tt0339921/?ref_=fn_tt_tt_1"/>
    <hyperlink ref="R4957" r:id="rId4835" display="http://www.imdb.com/title/tt0805526/?ref_=fn_tt_tt_1"/>
    <hyperlink ref="R4958" r:id="rId4836" display="http://www.imdb.com/title/tt2309260/?ref_=fn_tt_tt_1"/>
    <hyperlink ref="R4959" r:id="rId4837" display="http://www.imdb.com/title/tt0074486/?ref_=fn_tt_tt_1"/>
    <hyperlink ref="R4960" r:id="rId4838" display="http://www.imdb.com/title/tt0011549/?ref_=fn_tt_tt_1"/>
    <hyperlink ref="R4961" r:id="rId4839" display="http://www.imdb.com/title/tt0093200/?ref_=fn_tt_tt_1"/>
    <hyperlink ref="R4962" r:id="rId4840" display="http://www.imdb.com/title/tt0119670/?ref_=fn_tt_tt_1"/>
    <hyperlink ref="R4963" r:id="rId4841" display="http://www.imdb.com/title/tt0079709/?ref_=fn_tt_tt_1"/>
    <hyperlink ref="R4964" r:id="rId4842" display="http://www.imdb.com/title/tt0307109/?ref_=fn_tt_tt_1"/>
    <hyperlink ref="R4965" r:id="rId4843" display="http://www.imdb.com/title/tt3109200/?ref_=fn_tt_tt_1"/>
    <hyperlink ref="R4966" r:id="rId4844" display="http://www.imdb.com/title/tt2389182/?ref_=fn_tt_tt_1"/>
    <hyperlink ref="R4967" r:id="rId4845" display="http://www.imdb.com/title/tt1942884/?ref_=fn_tt_tt_1"/>
    <hyperlink ref="R4968" r:id="rId4846" display="http://www.imdb.com/title/tt0480011/?ref_=fn_tt_tt_1"/>
    <hyperlink ref="R4969" r:id="rId4847" display="http://www.imdb.com/title/tt0040671/?ref_=fn_tt_tt_1"/>
    <hyperlink ref="R4970" r:id="rId4848" display="http://www.imdb.com/title/tt2343473/?ref_=fn_tt_tt_1"/>
    <hyperlink ref="R4971" r:id="rId4849" display="http://www.imdb.com/title/tt0066141/?ref_=fn_tt_tt_1"/>
    <hyperlink ref="R4972" r:id="rId4850" display="http://www.imdb.com/title/tt3072636/?ref_=fn_tt_tt_1"/>
    <hyperlink ref="R4973" r:id="rId2610" display="http://www.imdb.com/title/tt0844708/?ref_=fn_tt_tt_1"/>
    <hyperlink ref="R4974" r:id="rId4851" display="http://www.imdb.com/title/tt0428959/?ref_=fn_tt_tt_1"/>
    <hyperlink ref="R4975" r:id="rId4852" display="http://www.imdb.com/title/tt0138704/?ref_=fn_tt_tt_1"/>
    <hyperlink ref="R4976" r:id="rId4853" display="http://www.imdb.com/title/tt0130019/?ref_=fn_tt_tt_1"/>
    <hyperlink ref="R4977" r:id="rId4854" display="http://www.imdb.com/title/tt0138987/?ref_=fn_tt_tt_1"/>
    <hyperlink ref="R4978" r:id="rId4855" display="http://www.imdb.com/title/tt2319456/?ref_=fn_tt_tt_1"/>
    <hyperlink ref="R4979" r:id="rId4856" display="http://www.imdb.com/title/tt0390521/?ref_=fn_tt_tt_1"/>
    <hyperlink ref="R4980" r:id="rId4857" display="http://www.imdb.com/title/tt1296373/?ref_=fn_tt_tt_1"/>
    <hyperlink ref="R4981" r:id="rId4858" display="http://www.imdb.com/title/tt2955096/?ref_=fn_tt_tt_1"/>
    <hyperlink ref="R4982" r:id="rId4859" display="http://www.imdb.com/title/tt0052646/?ref_=fn_tt_tt_1"/>
    <hyperlink ref="R4983" r:id="rId4860" display="http://www.imdb.com/title/tt2866824/?ref_=fn_tt_tt_1"/>
    <hyperlink ref="R4984" r:id="rId4861" display="http://www.imdb.com/title/tt1874789/?ref_=fn_tt_tt_1"/>
    <hyperlink ref="R4985" r:id="rId4862" display="http://www.imdb.com/title/tt1610996/?ref_=fn_tt_tt_1"/>
    <hyperlink ref="R4986" r:id="rId4863" display="http://www.imdb.com/title/tt0112585/?ref_=fn_tt_tt_1"/>
    <hyperlink ref="R4987" r:id="rId4864" display="http://www.imdb.com/title/tt2334896/?ref_=fn_tt_tt_1"/>
    <hyperlink ref="R4988" r:id="rId4865" display="http://www.imdb.com/title/tt0085575/?ref_=fn_tt_tt_1"/>
    <hyperlink ref="R4989" r:id="rId4866" display="http://www.imdb.com/title/tt1570989/?ref_=fn_tt_tt_1"/>
    <hyperlink ref="R4990" r:id="rId4867" display="http://www.imdb.com/title/tt1861343/?ref_=fn_tt_tt_1"/>
    <hyperlink ref="R4991" r:id="rId4868" display="http://www.imdb.com/title/tt0381053/?ref_=fn_tt_tt_1"/>
    <hyperlink ref="R4992" r:id="rId4869" display="http://www.imdb.com/title/tt4462082/?ref_=fn_tt_tt_1"/>
    <hyperlink ref="R4993" r:id="rId4870" display="http://www.imdb.com/title/tt0478988/?ref_=fn_tt_tt_1"/>
    <hyperlink ref="R4994" r:id="rId4871" display="http://www.imdb.com/title/tt2181837/?ref_=fn_tt_tt_1"/>
    <hyperlink ref="R4995" r:id="rId4872" display="http://www.imdb.com/title/tt2910814/?ref_=fn_tt_tt_1"/>
    <hyperlink ref="R4996" r:id="rId4873" display="http://www.imdb.com/title/tt2294916/?ref_=fn_tt_tt_1"/>
    <hyperlink ref="R4997" r:id="rId4874" display="http://www.imdb.com/title/tt1798291/?ref_=fn_tt_tt_1"/>
    <hyperlink ref="R4998" r:id="rId4875" display="http://www.imdb.com/title/tt1524083/?ref_=fn_tt_tt_1"/>
    <hyperlink ref="R4999" r:id="rId4876" display="http://www.imdb.com/title/tt0262432/?ref_=fn_tt_tt_1"/>
    <hyperlink ref="R5000" r:id="rId4877" display="http://www.imdb.com/title/tt0162348/?ref_=fn_tt_tt_1"/>
    <hyperlink ref="R5001" r:id="rId4878" display="http://www.imdb.com/title/tt3157318/?ref_=fn_tt_tt_1"/>
    <hyperlink ref="R5002" r:id="rId4879" display="http://www.imdb.com/title/tt1716760/?ref_=fn_tt_tt_1"/>
    <hyperlink ref="R5003" r:id="rId4880" display="http://www.imdb.com/title/tt0077838/?ref_=fn_tt_tt_1"/>
    <hyperlink ref="R5004" r:id="rId4881" display="http://www.imdb.com/title/tt2442662/?ref_=fn_tt_tt_1"/>
    <hyperlink ref="R5005" r:id="rId4882" display="http://www.imdb.com/title/tt1294161/?ref_=fn_tt_tt_1"/>
    <hyperlink ref="R5006" r:id="rId4883" display="http://www.imdb.com/title/tt1073221/?ref_=fn_tt_tt_1"/>
    <hyperlink ref="R5007" r:id="rId4884" display="http://www.imdb.com/title/tt0446747/?ref_=fn_tt_tt_1"/>
    <hyperlink ref="R5008" r:id="rId4885" display="http://www.imdb.com/title/tt2469216/?ref_=fn_tt_tt_1"/>
    <hyperlink ref="R5009" r:id="rId4886" display="http://www.imdb.com/title/tt1489167/?ref_=fn_tt_tt_1"/>
    <hyperlink ref="R5010" r:id="rId4887" display="http://www.imdb.com/title/tt0109445/?ref_=fn_tt_tt_1"/>
    <hyperlink ref="R5011" r:id="rId4888" display="http://www.imdb.com/title/tt0067580/?ref_=fn_tt_tt_1"/>
    <hyperlink ref="R5012" r:id="rId4889" display="http://www.imdb.com/title/tt0327753/?ref_=fn_tt_tt_1"/>
    <hyperlink ref="R5013" r:id="rId4890" display="http://www.imdb.com/title/tt0119361/?ref_=fn_tt_tt_1"/>
    <hyperlink ref="R5014" r:id="rId1480" display="http://www.imdb.com/title/tt1742334/?ref_=fn_tt_tt_1"/>
    <hyperlink ref="R5015" r:id="rId4891" display="http://www.imdb.com/title/tt0298050/?ref_=fn_tt_tt_1"/>
    <hyperlink ref="R5016" r:id="rId4892" display="http://www.imdb.com/title/tt1337057/?ref_=fn_tt_tt_1"/>
    <hyperlink ref="R5017" r:id="rId4893" display="http://www.imdb.com/title/tt0102943/?ref_=fn_tt_tt_1"/>
    <hyperlink ref="R5018" r:id="rId4894" display="http://www.imdb.com/title/tt2759066/?ref_=fn_tt_tt_1"/>
    <hyperlink ref="R5019" r:id="rId4895" display="http://www.imdb.com/title/tt2375036/?ref_=fn_tt_tt_1"/>
    <hyperlink ref="R5020" r:id="rId4896" display="http://www.imdb.com/title/tt0425027/?ref_=fn_tt_tt_1"/>
    <hyperlink ref="R5021" r:id="rId4897" display="http://www.imdb.com/title/tt1945044/?ref_=fn_tt_tt_1"/>
    <hyperlink ref="R5022" r:id="rId4898" display="http://www.imdb.com/title/tt1781935/?ref_=fn_tt_tt_1"/>
    <hyperlink ref="R5023" r:id="rId4899" display="http://www.imdb.com/title/tt0436689/?ref_=fn_tt_tt_1"/>
    <hyperlink ref="R5024" r:id="rId4900" display="http://www.imdb.com/title/tt3973612/?ref_=fn_tt_tt_1"/>
    <hyperlink ref="R5025" r:id="rId4901" display="http://www.imdb.com/title/tt1247644/?ref_=fn_tt_tt_1"/>
    <hyperlink ref="R5026" r:id="rId4902" display="http://www.imdb.com/title/tt1836212/?ref_=fn_tt_tt_1"/>
    <hyperlink ref="R5027" r:id="rId4903" display="http://www.imdb.com/title/tt0069089/?ref_=fn_tt_tt_1"/>
    <hyperlink ref="R5028" r:id="rId4904" display="http://www.imdb.com/title/tt0388838/?ref_=fn_tt_tt_1"/>
    <hyperlink ref="R5029" r:id="rId4905" display="http://www.imdb.com/title/tt0255094/?ref_=fn_tt_tt_1"/>
    <hyperlink ref="R5030" r:id="rId4906" display="http://www.imdb.com/title/tt1235811/?ref_=fn_tt_tt_1"/>
    <hyperlink ref="R5031" r:id="rId4907" display="http://www.imdb.com/title/tt0123948/?ref_=fn_tt_tt_1"/>
    <hyperlink ref="R5032" r:id="rId4908" display="http://www.imdb.com/title/tt0390323/?ref_=fn_tt_tt_1"/>
    <hyperlink ref="R5033" r:id="rId4909" display="http://www.imdb.com/title/tt2049518/?ref_=fn_tt_tt_1"/>
    <hyperlink ref="R5034" r:id="rId4910" display="http://www.imdb.com/title/tt0109266/?ref_=fn_tt_tt_1"/>
    <hyperlink ref="R5035" r:id="rId4911" display="http://www.imdb.com/title/tt0390384/?ref_=fn_tt_tt_1"/>
    <hyperlink ref="R5036" r:id="rId4912" display="http://www.imdb.com/title/tt0428303/?ref_=fn_tt_tt_1"/>
    <hyperlink ref="R5037" r:id="rId4913" display="http://www.imdb.com/title/tt0104815/?ref_=fn_tt_tt_1"/>
    <hyperlink ref="R5038" r:id="rId4914" display="http://www.imdb.com/title/tt0430371/?ref_=fn_tt_tt_1"/>
    <hyperlink ref="R5039" r:id="rId4915" display="http://www.imdb.com/title/tt1880418/?ref_=fn_tt_tt_1"/>
    <hyperlink ref="R5040" r:id="rId4916" display="http://www.imdb.com/title/tt3000844/?ref_=fn_tt_tt_1"/>
    <hyperlink ref="R5041" r:id="rId4917" display="http://www.imdb.com/title/tt2071645/?ref_=fn_tt_tt_1"/>
    <hyperlink ref="R5042" r:id="rId4918" display="http://www.imdb.com/title/tt2107644/?ref_=fn_tt_tt_1"/>
    <hyperlink ref="R5043" r:id="rId4919" display="http://www.imdb.com/title/tt2070597/?ref_=fn_tt_tt_1"/>
    <hyperlink ref="R5044" r:id="rId4920" display="http://www.imdb.com/title/tt0378407/?ref_=fn_tt_tt_1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2"/>
  <sheetViews>
    <sheetView showGridLines="0" workbookViewId="0">
      <selection activeCell="A1" sqref="A1"/>
    </sheetView>
  </sheetViews>
  <sheetFormatPr defaultColWidth="12.6296296296296" defaultRowHeight="15.75" customHeight="1" outlineLevelRow="1"/>
  <sheetData>
    <row r="1" customHeight="1" spans="1:1">
      <c r="A1" s="2" t="s">
        <v>24162</v>
      </c>
    </row>
    <row r="2" customHeight="1" spans="1:1">
      <c r="A2" s="8">
        <v>5043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4917"/>
  <sheetViews>
    <sheetView showGridLines="0" topLeftCell="A19" workbookViewId="0">
      <selection activeCell="A1" sqref="A1"/>
    </sheetView>
  </sheetViews>
  <sheetFormatPr defaultColWidth="12.6296296296296" defaultRowHeight="15.75" customHeight="1" outlineLevelCol="1"/>
  <sheetData>
    <row r="1" customHeight="1" spans="1:2">
      <c r="A1" s="1" t="s">
        <v>12</v>
      </c>
      <c r="B1" s="2" t="s">
        <v>24163</v>
      </c>
    </row>
    <row r="2" customHeight="1" spans="1:2">
      <c r="A2" s="1" t="s">
        <v>21091</v>
      </c>
      <c r="B2" s="2">
        <v>101</v>
      </c>
    </row>
    <row r="3" customHeight="1" spans="1:2">
      <c r="A3" s="3" t="s">
        <v>17374</v>
      </c>
      <c r="B3" s="4">
        <v>85</v>
      </c>
    </row>
    <row r="4" customHeight="1" spans="1:2">
      <c r="A4" s="3" t="s">
        <v>20093</v>
      </c>
      <c r="B4" s="4">
        <v>78</v>
      </c>
    </row>
    <row r="5" customHeight="1" spans="1:2">
      <c r="A5" s="3" t="s">
        <v>17531</v>
      </c>
      <c r="B5" s="4">
        <v>104</v>
      </c>
    </row>
    <row r="6" customHeight="1" spans="1:2">
      <c r="A6" s="3" t="s">
        <v>14443</v>
      </c>
      <c r="B6" s="4">
        <v>111</v>
      </c>
    </row>
    <row r="7" customHeight="1" spans="1:2">
      <c r="A7" s="3" t="s">
        <v>13690</v>
      </c>
      <c r="B7" s="4">
        <v>97</v>
      </c>
    </row>
    <row r="8" customHeight="1" spans="1:2">
      <c r="A8" s="3" t="s">
        <v>1674</v>
      </c>
      <c r="B8" s="4">
        <v>22</v>
      </c>
    </row>
    <row r="9" customHeight="1" spans="1:2">
      <c r="A9" s="3" t="s">
        <v>2361</v>
      </c>
      <c r="B9" s="4">
        <v>100</v>
      </c>
    </row>
    <row r="10" customHeight="1" spans="1:2">
      <c r="A10" s="3" t="s">
        <v>16241</v>
      </c>
      <c r="B10" s="4">
        <v>107</v>
      </c>
    </row>
    <row r="11" customHeight="1" spans="1:2">
      <c r="A11" s="3" t="s">
        <v>17266</v>
      </c>
      <c r="B11" s="4">
        <v>85</v>
      </c>
    </row>
    <row r="12" customHeight="1" spans="1:2">
      <c r="A12" s="3" t="s">
        <v>22996</v>
      </c>
      <c r="B12" s="4">
        <v>96</v>
      </c>
    </row>
    <row r="13" customHeight="1" spans="1:2">
      <c r="A13" s="3" t="s">
        <v>8780</v>
      </c>
      <c r="B13" s="4">
        <v>42</v>
      </c>
    </row>
    <row r="14" customHeight="1" spans="1:2">
      <c r="A14" s="3" t="s">
        <v>11209</v>
      </c>
      <c r="B14" s="4">
        <v>108</v>
      </c>
    </row>
    <row r="15" customHeight="1" spans="1:2">
      <c r="A15" s="3" t="s">
        <v>10725</v>
      </c>
      <c r="B15" s="4">
        <v>134</v>
      </c>
    </row>
    <row r="16" customHeight="1" spans="1:2">
      <c r="A16" s="3" t="s">
        <v>11876</v>
      </c>
      <c r="B16" s="4">
        <v>94</v>
      </c>
    </row>
    <row r="17" customHeight="1" spans="1:2">
      <c r="A17" s="3" t="s">
        <v>8254</v>
      </c>
      <c r="B17" s="4">
        <v>98</v>
      </c>
    </row>
    <row r="18" customHeight="1" spans="1:2">
      <c r="A18" s="3" t="s">
        <v>5197</v>
      </c>
      <c r="B18" s="4">
        <v>144</v>
      </c>
    </row>
    <row r="19" customHeight="1" spans="1:2">
      <c r="A19" s="3" t="s">
        <v>10323</v>
      </c>
      <c r="B19" s="4">
        <v>114</v>
      </c>
    </row>
    <row r="20" customHeight="1" spans="1:2">
      <c r="A20" s="3" t="s">
        <v>6154</v>
      </c>
      <c r="B20" s="4">
        <v>120</v>
      </c>
    </row>
    <row r="21" customHeight="1" spans="1:2">
      <c r="A21" s="3" t="s">
        <v>5894</v>
      </c>
      <c r="B21" s="4">
        <v>102</v>
      </c>
    </row>
    <row r="22" customHeight="1" spans="1:2">
      <c r="A22" s="3" t="s">
        <v>21841</v>
      </c>
      <c r="B22" s="4">
        <v>89</v>
      </c>
    </row>
    <row r="23" customHeight="1" spans="1:2">
      <c r="A23" s="3" t="s">
        <v>6394</v>
      </c>
      <c r="B23" s="4">
        <v>102</v>
      </c>
    </row>
    <row r="24" customHeight="1" spans="1:2">
      <c r="A24" s="3" t="s">
        <v>18734</v>
      </c>
      <c r="B24" s="4">
        <v>168</v>
      </c>
    </row>
    <row r="25" customHeight="1" spans="1:2">
      <c r="A25" s="3" t="s">
        <v>8710</v>
      </c>
      <c r="B25" s="4">
        <v>121</v>
      </c>
    </row>
    <row r="26" customHeight="1" spans="1:2">
      <c r="A26" s="3" t="s">
        <v>7961</v>
      </c>
      <c r="B26" s="4">
        <v>142</v>
      </c>
    </row>
    <row r="27" customHeight="1" spans="1:2">
      <c r="A27" s="3" t="s">
        <v>22111</v>
      </c>
      <c r="B27" s="4">
        <v>90</v>
      </c>
    </row>
    <row r="28" customHeight="1" spans="1:2">
      <c r="A28" s="3" t="s">
        <v>2946</v>
      </c>
      <c r="B28" s="4">
        <v>107</v>
      </c>
    </row>
    <row r="29" customHeight="1" spans="1:2">
      <c r="A29" s="3" t="s">
        <v>3987</v>
      </c>
      <c r="B29" s="4">
        <v>109</v>
      </c>
    </row>
    <row r="30" customHeight="1" spans="1:2">
      <c r="A30" s="3" t="s">
        <v>19013</v>
      </c>
      <c r="B30" s="4">
        <v>96</v>
      </c>
    </row>
    <row r="31" customHeight="1" spans="1:2">
      <c r="A31" s="3" t="s">
        <v>23794</v>
      </c>
      <c r="B31" s="4">
        <v>87</v>
      </c>
    </row>
    <row r="32" customHeight="1" spans="1:2">
      <c r="A32" s="3" t="s">
        <v>21665</v>
      </c>
      <c r="B32" s="4">
        <v>91</v>
      </c>
    </row>
    <row r="33" customHeight="1" spans="1:2">
      <c r="A33" s="3" t="s">
        <v>17589</v>
      </c>
      <c r="B33" s="4">
        <v>254</v>
      </c>
    </row>
    <row r="34" customHeight="1" spans="1:2">
      <c r="A34" s="3" t="s">
        <v>17110</v>
      </c>
      <c r="B34" s="4">
        <v>101</v>
      </c>
    </row>
    <row r="35" customHeight="1" spans="1:2">
      <c r="A35" s="3" t="s">
        <v>14728</v>
      </c>
      <c r="B35" s="4">
        <v>161</v>
      </c>
    </row>
    <row r="36" customHeight="1" spans="1:2">
      <c r="A36" s="3" t="s">
        <v>433</v>
      </c>
      <c r="B36" s="4">
        <v>158</v>
      </c>
    </row>
    <row r="37" customHeight="1" spans="1:2">
      <c r="A37" s="3" t="s">
        <v>19805</v>
      </c>
      <c r="B37" s="4">
        <v>87</v>
      </c>
    </row>
    <row r="38" customHeight="1" spans="1:2">
      <c r="A38" s="3" t="s">
        <v>14347</v>
      </c>
      <c r="B38" s="4">
        <v>129</v>
      </c>
    </row>
    <row r="39" customHeight="1" spans="1:2">
      <c r="A39" s="3" t="s">
        <v>13824</v>
      </c>
      <c r="B39" s="4">
        <v>93</v>
      </c>
    </row>
    <row r="40" customHeight="1" spans="1:2">
      <c r="A40" s="3" t="s">
        <v>11119</v>
      </c>
      <c r="B40" s="4">
        <v>124</v>
      </c>
    </row>
    <row r="41" customHeight="1" spans="1:2">
      <c r="A41" s="3" t="s">
        <v>6086</v>
      </c>
      <c r="B41" s="4">
        <v>109</v>
      </c>
    </row>
    <row r="42" customHeight="1" spans="1:2">
      <c r="A42" s="3" t="s">
        <v>7295</v>
      </c>
      <c r="B42" s="4">
        <v>123</v>
      </c>
    </row>
    <row r="43" customHeight="1" spans="1:2">
      <c r="A43" s="3" t="s">
        <v>5048</v>
      </c>
      <c r="B43" s="4">
        <v>112</v>
      </c>
    </row>
    <row r="44" customHeight="1" spans="1:2">
      <c r="A44" s="3" t="s">
        <v>20398</v>
      </c>
      <c r="B44" s="4">
        <v>96</v>
      </c>
    </row>
    <row r="45" customHeight="1" spans="1:2">
      <c r="A45" s="3" t="s">
        <v>18233</v>
      </c>
      <c r="B45" s="4">
        <v>108</v>
      </c>
    </row>
    <row r="46" customHeight="1" spans="1:2">
      <c r="A46" s="3" t="s">
        <v>8168</v>
      </c>
      <c r="B46" s="4">
        <v>111</v>
      </c>
    </row>
    <row r="47" customHeight="1" spans="1:2">
      <c r="A47" s="3" t="s">
        <v>15994</v>
      </c>
      <c r="B47" s="4">
        <v>113</v>
      </c>
    </row>
    <row r="48" customHeight="1" spans="1:2">
      <c r="A48" s="3" t="s">
        <v>6058</v>
      </c>
      <c r="B48" s="4">
        <v>103</v>
      </c>
    </row>
    <row r="49" customHeight="1" spans="1:2">
      <c r="A49" s="3" t="s">
        <v>12865</v>
      </c>
      <c r="B49" s="4">
        <v>100</v>
      </c>
    </row>
    <row r="50" customHeight="1" spans="1:2">
      <c r="A50" s="3" t="s">
        <v>23056</v>
      </c>
      <c r="B50" s="4">
        <v>88</v>
      </c>
    </row>
    <row r="51" customHeight="1" spans="1:2">
      <c r="A51" s="3" t="s">
        <v>8970</v>
      </c>
      <c r="B51" s="4">
        <v>123</v>
      </c>
    </row>
    <row r="52" customHeight="1" spans="1:2">
      <c r="A52" s="3" t="s">
        <v>12651</v>
      </c>
      <c r="B52" s="4">
        <v>102</v>
      </c>
    </row>
    <row r="53" customHeight="1" spans="1:2">
      <c r="A53" s="3" t="s">
        <v>11218</v>
      </c>
      <c r="B53" s="4">
        <v>93</v>
      </c>
    </row>
    <row r="54" customHeight="1" spans="1:2">
      <c r="A54" s="3" t="s">
        <v>18522</v>
      </c>
      <c r="B54" s="4">
        <v>82</v>
      </c>
    </row>
    <row r="55" customHeight="1" spans="1:2">
      <c r="A55" s="3" t="s">
        <v>23419</v>
      </c>
      <c r="B55" s="4">
        <v>119</v>
      </c>
    </row>
    <row r="56" customHeight="1" spans="1:2">
      <c r="A56" s="3" t="s">
        <v>5587</v>
      </c>
      <c r="B56" s="4">
        <v>122</v>
      </c>
    </row>
    <row r="57" customHeight="1" spans="1:2">
      <c r="A57" s="3" t="s">
        <v>8376</v>
      </c>
      <c r="B57" s="4">
        <v>113</v>
      </c>
    </row>
    <row r="58" customHeight="1" spans="1:2">
      <c r="A58" s="3" t="s">
        <v>8943</v>
      </c>
      <c r="B58" s="4">
        <v>83</v>
      </c>
    </row>
    <row r="59" customHeight="1" spans="1:2">
      <c r="A59" s="3" t="s">
        <v>19562</v>
      </c>
      <c r="B59" s="4">
        <v>80</v>
      </c>
    </row>
    <row r="60" customHeight="1" spans="1:2">
      <c r="A60" s="3" t="s">
        <v>3925</v>
      </c>
      <c r="B60" s="4">
        <v>117</v>
      </c>
    </row>
    <row r="61" customHeight="1" spans="1:2">
      <c r="A61" s="3" t="s">
        <v>1573</v>
      </c>
      <c r="B61" s="4">
        <v>102</v>
      </c>
    </row>
    <row r="62" customHeight="1" spans="1:2">
      <c r="A62" s="3" t="s">
        <v>3905</v>
      </c>
      <c r="B62" s="4">
        <v>125</v>
      </c>
    </row>
    <row r="63" customHeight="1" spans="1:2">
      <c r="A63" s="3" t="s">
        <v>6989</v>
      </c>
      <c r="B63" s="4">
        <v>60</v>
      </c>
    </row>
    <row r="64" customHeight="1" spans="1:2">
      <c r="A64" s="3" t="s">
        <v>22053</v>
      </c>
      <c r="B64" s="4">
        <v>113</v>
      </c>
    </row>
    <row r="65" customHeight="1" spans="1:2">
      <c r="A65" s="3" t="s">
        <v>12190</v>
      </c>
      <c r="B65" s="4">
        <v>96</v>
      </c>
    </row>
    <row r="66" customHeight="1" spans="1:2">
      <c r="A66" s="3" t="s">
        <v>6331</v>
      </c>
      <c r="B66" s="4">
        <v>128</v>
      </c>
    </row>
    <row r="67" customHeight="1" spans="1:2">
      <c r="A67" s="3" t="s">
        <v>22801</v>
      </c>
      <c r="B67" s="4">
        <v>89</v>
      </c>
    </row>
    <row r="68" customHeight="1" spans="1:2">
      <c r="A68" s="3" t="s">
        <v>591</v>
      </c>
      <c r="B68" s="4">
        <v>128</v>
      </c>
    </row>
    <row r="69" customHeight="1" spans="1:2">
      <c r="A69" s="3" t="s">
        <v>14428</v>
      </c>
      <c r="B69" s="4">
        <v>113</v>
      </c>
    </row>
    <row r="70" customHeight="1" spans="1:2">
      <c r="A70" s="3" t="s">
        <v>3020</v>
      </c>
      <c r="B70" s="4">
        <v>99</v>
      </c>
    </row>
    <row r="71" customHeight="1" spans="1:2">
      <c r="A71" s="3" t="s">
        <v>16016</v>
      </c>
      <c r="B71" s="4">
        <v>100</v>
      </c>
    </row>
    <row r="72" customHeight="1" spans="1:2">
      <c r="A72" s="3" t="s">
        <v>16463</v>
      </c>
      <c r="B72" s="4">
        <v>95</v>
      </c>
    </row>
    <row r="73" customHeight="1" spans="1:2">
      <c r="A73" s="3" t="s">
        <v>22982</v>
      </c>
      <c r="B73" s="4">
        <v>90</v>
      </c>
    </row>
    <row r="74" customHeight="1" spans="1:2">
      <c r="A74" s="3" t="s">
        <v>13809</v>
      </c>
      <c r="B74" s="4">
        <v>121</v>
      </c>
    </row>
    <row r="75" customHeight="1" spans="1:2">
      <c r="A75" s="3" t="s">
        <v>12260</v>
      </c>
      <c r="B75" s="4">
        <v>154</v>
      </c>
    </row>
    <row r="76" customHeight="1" spans="1:2">
      <c r="A76" s="3" t="s">
        <v>20013</v>
      </c>
      <c r="B76" s="4">
        <v>90</v>
      </c>
    </row>
    <row r="77" customHeight="1" spans="1:2">
      <c r="A77" s="3" t="s">
        <v>19391</v>
      </c>
      <c r="B77" s="4">
        <v>95</v>
      </c>
    </row>
    <row r="78" customHeight="1" spans="1:2">
      <c r="A78" s="3" t="s">
        <v>6202</v>
      </c>
      <c r="B78" s="4">
        <v>110</v>
      </c>
    </row>
    <row r="79" customHeight="1" spans="1:2">
      <c r="A79" s="3" t="s">
        <v>16151</v>
      </c>
      <c r="B79" s="4">
        <v>111</v>
      </c>
    </row>
    <row r="80" customHeight="1" spans="1:2">
      <c r="A80" s="3" t="s">
        <v>19915</v>
      </c>
      <c r="B80" s="4">
        <v>80</v>
      </c>
    </row>
    <row r="81" customHeight="1" spans="1:2">
      <c r="A81" s="3" t="s">
        <v>8544</v>
      </c>
      <c r="B81" s="4">
        <v>108</v>
      </c>
    </row>
    <row r="82" customHeight="1" spans="1:2">
      <c r="A82" s="3" t="s">
        <v>6568</v>
      </c>
      <c r="B82" s="4">
        <v>123</v>
      </c>
    </row>
    <row r="83" customHeight="1" spans="1:2">
      <c r="A83" s="3" t="s">
        <v>8444</v>
      </c>
      <c r="B83" s="4">
        <v>79</v>
      </c>
    </row>
    <row r="84" customHeight="1" spans="1:2">
      <c r="A84" s="3" t="s">
        <v>17893</v>
      </c>
      <c r="B84" s="4">
        <v>121</v>
      </c>
    </row>
    <row r="85" customHeight="1" spans="1:2">
      <c r="A85" s="3" t="s">
        <v>11956</v>
      </c>
      <c r="B85" s="4">
        <v>112</v>
      </c>
    </row>
    <row r="86" customHeight="1" spans="1:2">
      <c r="A86" s="3" t="s">
        <v>2916</v>
      </c>
      <c r="B86" s="4">
        <v>135</v>
      </c>
    </row>
    <row r="87" customHeight="1" spans="1:2">
      <c r="A87" s="3" t="s">
        <v>20737</v>
      </c>
      <c r="B87" s="4">
        <v>87</v>
      </c>
    </row>
    <row r="88" customHeight="1" spans="1:2">
      <c r="A88" s="3" t="s">
        <v>15242</v>
      </c>
      <c r="B88" s="4">
        <v>98</v>
      </c>
    </row>
    <row r="89" customHeight="1" spans="1:2">
      <c r="A89" s="3" t="s">
        <v>9262</v>
      </c>
      <c r="B89" s="4">
        <v>175</v>
      </c>
    </row>
    <row r="90" customHeight="1" spans="1:2">
      <c r="A90" s="3" t="s">
        <v>5799</v>
      </c>
      <c r="B90" s="4">
        <v>95</v>
      </c>
    </row>
    <row r="91" customHeight="1" spans="1:2">
      <c r="A91" s="3" t="s">
        <v>23605</v>
      </c>
      <c r="B91" s="4">
        <v>25</v>
      </c>
    </row>
    <row r="92" customHeight="1" spans="1:2">
      <c r="A92" s="3" t="s">
        <v>441</v>
      </c>
      <c r="B92" s="4">
        <v>96</v>
      </c>
    </row>
    <row r="93" customHeight="1" spans="1:2">
      <c r="A93" s="3" t="s">
        <v>19100</v>
      </c>
      <c r="B93" s="4">
        <v>94</v>
      </c>
    </row>
    <row r="94" customHeight="1" spans="1:2">
      <c r="A94" s="3" t="s">
        <v>11565</v>
      </c>
      <c r="B94" s="4">
        <v>95</v>
      </c>
    </row>
    <row r="95" customHeight="1" spans="1:2">
      <c r="A95" s="3" t="s">
        <v>4120</v>
      </c>
      <c r="B95" s="4">
        <v>115</v>
      </c>
    </row>
    <row r="96" customHeight="1" spans="1:2">
      <c r="A96" s="3" t="s">
        <v>11337</v>
      </c>
      <c r="B96" s="4">
        <v>99</v>
      </c>
    </row>
    <row r="97" customHeight="1" spans="1:2">
      <c r="A97" s="3" t="s">
        <v>16646</v>
      </c>
      <c r="B97" s="4">
        <v>100</v>
      </c>
    </row>
    <row r="98" customHeight="1" spans="1:2">
      <c r="A98" s="3" t="s">
        <v>23664</v>
      </c>
      <c r="B98" s="4">
        <v>176</v>
      </c>
    </row>
    <row r="99" customHeight="1" spans="1:2">
      <c r="A99" s="3" t="s">
        <v>17793</v>
      </c>
      <c r="B99" s="4">
        <v>79</v>
      </c>
    </row>
    <row r="100" customHeight="1" spans="1:2">
      <c r="A100" s="3" t="s">
        <v>7815</v>
      </c>
      <c r="B100" s="4">
        <v>138</v>
      </c>
    </row>
    <row r="101" customHeight="1" spans="1:2">
      <c r="A101" s="3" t="s">
        <v>22007</v>
      </c>
      <c r="B101" s="4">
        <v>111</v>
      </c>
    </row>
    <row r="102" customHeight="1" spans="1:2">
      <c r="A102" s="3" t="s">
        <v>23389</v>
      </c>
      <c r="B102" s="4">
        <v>99</v>
      </c>
    </row>
    <row r="103" customHeight="1" spans="1:2">
      <c r="A103" s="3" t="s">
        <v>20570</v>
      </c>
      <c r="B103" s="4">
        <v>99</v>
      </c>
    </row>
    <row r="104" customHeight="1" spans="1:2">
      <c r="A104" s="3" t="s">
        <v>2052</v>
      </c>
      <c r="B104" s="4">
        <v>101</v>
      </c>
    </row>
    <row r="105" customHeight="1" spans="1:2">
      <c r="A105" s="3" t="s">
        <v>7695</v>
      </c>
      <c r="B105" s="4">
        <v>117</v>
      </c>
    </row>
    <row r="106" customHeight="1" spans="1:2">
      <c r="A106" s="3" t="s">
        <v>19738</v>
      </c>
      <c r="B106" s="4">
        <v>122</v>
      </c>
    </row>
    <row r="107" customHeight="1" spans="1:2">
      <c r="A107" s="3" t="s">
        <v>11129</v>
      </c>
      <c r="B107" s="4">
        <v>101</v>
      </c>
    </row>
    <row r="108" customHeight="1" spans="1:2">
      <c r="A108" s="3" t="s">
        <v>22457</v>
      </c>
      <c r="B108" s="4">
        <v>87</v>
      </c>
    </row>
    <row r="109" customHeight="1" spans="1:2">
      <c r="A109" s="3" t="s">
        <v>18550</v>
      </c>
      <c r="B109" s="4">
        <v>86</v>
      </c>
    </row>
    <row r="110" customHeight="1" spans="1:2">
      <c r="A110" s="3" t="s">
        <v>19799</v>
      </c>
      <c r="B110" s="4">
        <v>86</v>
      </c>
    </row>
    <row r="111" customHeight="1" spans="1:2">
      <c r="A111" s="3" t="s">
        <v>7971</v>
      </c>
      <c r="B111" s="4">
        <v>96</v>
      </c>
    </row>
    <row r="112" customHeight="1" spans="1:2">
      <c r="A112" s="3" t="s">
        <v>16921</v>
      </c>
      <c r="B112" s="4">
        <v>97</v>
      </c>
    </row>
    <row r="113" customHeight="1" spans="1:2">
      <c r="A113" s="3" t="s">
        <v>6212</v>
      </c>
      <c r="B113" s="4">
        <v>144</v>
      </c>
    </row>
    <row r="114" customHeight="1" spans="1:2">
      <c r="A114" s="3" t="s">
        <v>6286</v>
      </c>
      <c r="B114" s="4">
        <v>128</v>
      </c>
    </row>
    <row r="115" customHeight="1" spans="1:2">
      <c r="A115" s="3" t="s">
        <v>21794</v>
      </c>
      <c r="B115" s="4">
        <v>93</v>
      </c>
    </row>
    <row r="116" customHeight="1" spans="1:2">
      <c r="A116" s="3" t="s">
        <v>18718</v>
      </c>
      <c r="B116" s="4">
        <v>99</v>
      </c>
    </row>
    <row r="117" customHeight="1" spans="1:2">
      <c r="A117" s="3" t="s">
        <v>9725</v>
      </c>
      <c r="B117" s="4">
        <v>107</v>
      </c>
    </row>
    <row r="118" customHeight="1" spans="1:2">
      <c r="A118" s="3" t="s">
        <v>14915</v>
      </c>
      <c r="B118" s="4">
        <v>100</v>
      </c>
    </row>
    <row r="119" customHeight="1" spans="1:2">
      <c r="A119" s="3" t="s">
        <v>9519</v>
      </c>
      <c r="B119" s="4">
        <v>100</v>
      </c>
    </row>
    <row r="120" customHeight="1" spans="1:2">
      <c r="A120" s="3" t="s">
        <v>7196</v>
      </c>
      <c r="B120" s="4">
        <v>109</v>
      </c>
    </row>
    <row r="121" customHeight="1" spans="1:2">
      <c r="A121" s="3" t="s">
        <v>18785</v>
      </c>
      <c r="B121" s="4">
        <v>120</v>
      </c>
    </row>
    <row r="122" customHeight="1" spans="1:2">
      <c r="A122" s="3" t="s">
        <v>13090</v>
      </c>
      <c r="B122" s="4">
        <v>108</v>
      </c>
    </row>
    <row r="123" customHeight="1" spans="1:2">
      <c r="A123" s="3" t="s">
        <v>17067</v>
      </c>
      <c r="B123" s="4">
        <v>91</v>
      </c>
    </row>
    <row r="124" customHeight="1" spans="1:2">
      <c r="A124" s="3" t="s">
        <v>6614</v>
      </c>
      <c r="B124" s="4">
        <v>136</v>
      </c>
    </row>
    <row r="125" customHeight="1" spans="1:2">
      <c r="A125" s="3" t="s">
        <v>6899</v>
      </c>
      <c r="B125" s="4">
        <v>90</v>
      </c>
    </row>
    <row r="126" customHeight="1" spans="1:2">
      <c r="A126" s="3" t="s">
        <v>11363</v>
      </c>
      <c r="B126" s="4">
        <v>125</v>
      </c>
    </row>
    <row r="127" customHeight="1" spans="1:2">
      <c r="A127" s="3" t="s">
        <v>12987</v>
      </c>
      <c r="B127" s="4">
        <v>122</v>
      </c>
    </row>
    <row r="128" customHeight="1" spans="1:2">
      <c r="A128" s="3" t="s">
        <v>12195</v>
      </c>
      <c r="B128" s="4">
        <v>82</v>
      </c>
    </row>
    <row r="129" customHeight="1" spans="1:2">
      <c r="A129" s="3" t="s">
        <v>19198</v>
      </c>
      <c r="B129" s="4">
        <v>87</v>
      </c>
    </row>
    <row r="130" customHeight="1" spans="1:2">
      <c r="A130" s="3" t="s">
        <v>17555</v>
      </c>
      <c r="B130" s="4">
        <v>88</v>
      </c>
    </row>
    <row r="131" customHeight="1" spans="1:2">
      <c r="A131" s="3" t="s">
        <v>13666</v>
      </c>
      <c r="B131" s="4">
        <v>99</v>
      </c>
    </row>
    <row r="132" customHeight="1" spans="1:2">
      <c r="A132" s="3" t="s">
        <v>17029</v>
      </c>
      <c r="B132" s="4">
        <v>89</v>
      </c>
    </row>
    <row r="133" customHeight="1" spans="1:2">
      <c r="A133" s="3" t="s">
        <v>7332</v>
      </c>
      <c r="B133" s="4">
        <v>202</v>
      </c>
    </row>
    <row r="134" customHeight="1" spans="1:2">
      <c r="A134" s="3" t="s">
        <v>9068</v>
      </c>
      <c r="B134" s="4">
        <v>164</v>
      </c>
    </row>
    <row r="135" customHeight="1" spans="1:2">
      <c r="A135" s="3" t="s">
        <v>13452</v>
      </c>
      <c r="B135" s="4">
        <v>108</v>
      </c>
    </row>
    <row r="136" customHeight="1" spans="1:2">
      <c r="A136" s="3" t="s">
        <v>9893</v>
      </c>
      <c r="B136" s="4">
        <v>104</v>
      </c>
    </row>
    <row r="137" customHeight="1" spans="1:2">
      <c r="A137" s="3" t="s">
        <v>24152</v>
      </c>
      <c r="B137" s="4">
        <v>76</v>
      </c>
    </row>
    <row r="138" customHeight="1" spans="1:2">
      <c r="A138" s="3" t="s">
        <v>14958</v>
      </c>
      <c r="B138" s="4">
        <v>105</v>
      </c>
    </row>
    <row r="139" customHeight="1" spans="1:2">
      <c r="A139" s="3" t="s">
        <v>17485</v>
      </c>
      <c r="B139" s="4">
        <v>90</v>
      </c>
    </row>
    <row r="140" customHeight="1" spans="1:2">
      <c r="A140" s="3" t="s">
        <v>19201</v>
      </c>
      <c r="B140" s="4">
        <v>117</v>
      </c>
    </row>
    <row r="141" customHeight="1" spans="1:2">
      <c r="A141" s="3" t="s">
        <v>11341</v>
      </c>
      <c r="B141" s="4">
        <v>100</v>
      </c>
    </row>
    <row r="142" customHeight="1" spans="1:2">
      <c r="A142" s="3" t="s">
        <v>22147</v>
      </c>
      <c r="B142" s="4">
        <v>123</v>
      </c>
    </row>
    <row r="143" customHeight="1" spans="1:2">
      <c r="A143" s="3" t="s">
        <v>16572</v>
      </c>
      <c r="B143" s="4">
        <v>106</v>
      </c>
    </row>
    <row r="144" customHeight="1" spans="1:2">
      <c r="A144" s="3" t="s">
        <v>17283</v>
      </c>
      <c r="B144" s="4">
        <v>101</v>
      </c>
    </row>
    <row r="145" customHeight="1" spans="1:2">
      <c r="A145" s="3" t="s">
        <v>12234</v>
      </c>
      <c r="B145" s="4">
        <v>121</v>
      </c>
    </row>
    <row r="146" customHeight="1" spans="1:2">
      <c r="A146" s="3" t="s">
        <v>9005</v>
      </c>
      <c r="B146" s="4">
        <v>89</v>
      </c>
    </row>
    <row r="147" customHeight="1" spans="1:2">
      <c r="A147" s="3" t="s">
        <v>16588</v>
      </c>
      <c r="B147" s="4">
        <v>99</v>
      </c>
    </row>
    <row r="148" customHeight="1" spans="1:2">
      <c r="A148" s="3" t="s">
        <v>2897</v>
      </c>
      <c r="B148" s="4">
        <v>102</v>
      </c>
    </row>
    <row r="149" customHeight="1" spans="1:2">
      <c r="A149" s="3" t="s">
        <v>20666</v>
      </c>
      <c r="B149" s="4">
        <v>125</v>
      </c>
    </row>
    <row r="150" customHeight="1" spans="1:2">
      <c r="A150" s="3" t="s">
        <v>14477</v>
      </c>
      <c r="B150" s="4">
        <v>130</v>
      </c>
    </row>
    <row r="151" customHeight="1" spans="1:2">
      <c r="A151" s="3" t="s">
        <v>16013</v>
      </c>
      <c r="B151" s="4">
        <v>108</v>
      </c>
    </row>
    <row r="152" customHeight="1" spans="1:2">
      <c r="A152" s="3" t="s">
        <v>6842</v>
      </c>
      <c r="B152" s="4">
        <v>91</v>
      </c>
    </row>
    <row r="153" customHeight="1" spans="1:2">
      <c r="A153" s="3" t="s">
        <v>6270</v>
      </c>
      <c r="B153" s="4">
        <v>149</v>
      </c>
    </row>
    <row r="154" customHeight="1" spans="1:2">
      <c r="A154" s="3" t="s">
        <v>5312</v>
      </c>
      <c r="B154" s="4">
        <v>105</v>
      </c>
    </row>
    <row r="155" customHeight="1" spans="1:2">
      <c r="A155" s="3" t="s">
        <v>23912</v>
      </c>
      <c r="B155" s="4">
        <v>96</v>
      </c>
    </row>
    <row r="156" customHeight="1" spans="1:2">
      <c r="A156" s="3" t="s">
        <v>10025</v>
      </c>
      <c r="B156" s="4">
        <v>88</v>
      </c>
    </row>
    <row r="157" customHeight="1" spans="1:2">
      <c r="A157" s="3" t="s">
        <v>10911</v>
      </c>
      <c r="B157" s="4">
        <v>90</v>
      </c>
    </row>
    <row r="158" customHeight="1" spans="1:2">
      <c r="A158" s="3" t="s">
        <v>4821</v>
      </c>
      <c r="B158" s="4">
        <v>133</v>
      </c>
    </row>
    <row r="159" customHeight="1" spans="1:2">
      <c r="A159" s="3" t="s">
        <v>8291</v>
      </c>
      <c r="B159" s="4">
        <v>131</v>
      </c>
    </row>
    <row r="160" customHeight="1" spans="1:2">
      <c r="A160" s="3" t="s">
        <v>9234</v>
      </c>
      <c r="B160" s="4">
        <v>114</v>
      </c>
    </row>
    <row r="161" customHeight="1" spans="1:2">
      <c r="A161" s="3" t="s">
        <v>13521</v>
      </c>
      <c r="B161" s="4">
        <v>107</v>
      </c>
    </row>
    <row r="162" customHeight="1" spans="1:2">
      <c r="A162" s="3" t="s">
        <v>14540</v>
      </c>
      <c r="B162" s="4">
        <v>101</v>
      </c>
    </row>
    <row r="163" customHeight="1" spans="1:2">
      <c r="A163" s="3" t="s">
        <v>8752</v>
      </c>
      <c r="B163" s="4">
        <v>85</v>
      </c>
    </row>
    <row r="164" customHeight="1" spans="1:2">
      <c r="A164" s="3" t="s">
        <v>14402</v>
      </c>
      <c r="B164" s="4">
        <v>190</v>
      </c>
    </row>
    <row r="165" customHeight="1" spans="1:2">
      <c r="A165" s="3" t="s">
        <v>2192</v>
      </c>
      <c r="B165" s="4">
        <v>146</v>
      </c>
    </row>
    <row r="166" customHeight="1" spans="1:2">
      <c r="A166" s="3" t="s">
        <v>9912</v>
      </c>
      <c r="B166" s="4">
        <v>99</v>
      </c>
    </row>
    <row r="167" customHeight="1" spans="1:2">
      <c r="A167" s="3" t="s">
        <v>20649</v>
      </c>
      <c r="B167" s="4">
        <v>86</v>
      </c>
    </row>
    <row r="168" customHeight="1" spans="1:2">
      <c r="A168" s="3" t="s">
        <v>20636</v>
      </c>
      <c r="B168" s="4">
        <v>160</v>
      </c>
    </row>
    <row r="169" customHeight="1" spans="1:2">
      <c r="A169" s="3" t="s">
        <v>7553</v>
      </c>
      <c r="B169" s="4">
        <v>106</v>
      </c>
    </row>
    <row r="170" customHeight="1" spans="1:2">
      <c r="A170" s="3" t="s">
        <v>16927</v>
      </c>
      <c r="B170" s="4">
        <v>106</v>
      </c>
    </row>
    <row r="171" customHeight="1" spans="1:2">
      <c r="A171" s="3" t="s">
        <v>9119</v>
      </c>
      <c r="B171" s="4">
        <v>101</v>
      </c>
    </row>
    <row r="172" customHeight="1" spans="1:2">
      <c r="A172" s="3" t="s">
        <v>13686</v>
      </c>
      <c r="B172" s="4">
        <v>100</v>
      </c>
    </row>
    <row r="173" customHeight="1" spans="1:2">
      <c r="A173" s="3" t="s">
        <v>8195</v>
      </c>
      <c r="B173" s="4">
        <v>125</v>
      </c>
    </row>
    <row r="174" customHeight="1" spans="1:2">
      <c r="A174" s="3" t="s">
        <v>14244</v>
      </c>
      <c r="B174" s="4">
        <v>123</v>
      </c>
    </row>
    <row r="175" customHeight="1" spans="1:2">
      <c r="A175" s="3" t="s">
        <v>3601</v>
      </c>
      <c r="B175" s="4">
        <v>105</v>
      </c>
    </row>
    <row r="176" customHeight="1" spans="1:2">
      <c r="A176" s="3" t="s">
        <v>23840</v>
      </c>
      <c r="B176" s="4">
        <v>87</v>
      </c>
    </row>
    <row r="177" customHeight="1" spans="1:2">
      <c r="A177" s="3" t="s">
        <v>5210</v>
      </c>
      <c r="B177" s="4">
        <v>121</v>
      </c>
    </row>
    <row r="178" customHeight="1" spans="1:2">
      <c r="A178" s="3" t="s">
        <v>9349</v>
      </c>
      <c r="B178" s="4">
        <v>100</v>
      </c>
    </row>
    <row r="179" customHeight="1" spans="1:2">
      <c r="A179" s="3" t="s">
        <v>14038</v>
      </c>
      <c r="B179" s="4">
        <v>78</v>
      </c>
    </row>
    <row r="180" customHeight="1" spans="1:2">
      <c r="A180" s="3" t="s">
        <v>8129</v>
      </c>
      <c r="B180" s="4">
        <v>90</v>
      </c>
    </row>
    <row r="181" customHeight="1" spans="1:2">
      <c r="A181" s="3" t="s">
        <v>5887</v>
      </c>
      <c r="B181" s="4">
        <v>266</v>
      </c>
    </row>
    <row r="182" customHeight="1" spans="1:2">
      <c r="A182" s="3" t="s">
        <v>14054</v>
      </c>
      <c r="B182" s="4">
        <v>110</v>
      </c>
    </row>
    <row r="183" customHeight="1" spans="1:2">
      <c r="A183" s="3" t="s">
        <v>16518</v>
      </c>
      <c r="B183" s="4">
        <v>96</v>
      </c>
    </row>
    <row r="184" customHeight="1" spans="1:2">
      <c r="A184" s="3" t="s">
        <v>15458</v>
      </c>
      <c r="B184" s="4">
        <v>106</v>
      </c>
    </row>
    <row r="185" customHeight="1" spans="1:2">
      <c r="A185" s="3" t="s">
        <v>19136</v>
      </c>
      <c r="B185" s="4">
        <v>99</v>
      </c>
    </row>
    <row r="186" customHeight="1" spans="1:2">
      <c r="A186" s="3" t="s">
        <v>11696</v>
      </c>
      <c r="B186" s="4">
        <v>81</v>
      </c>
    </row>
    <row r="187" customHeight="1" spans="1:2">
      <c r="A187" s="3" t="s">
        <v>17677</v>
      </c>
      <c r="B187" s="4">
        <v>106</v>
      </c>
    </row>
    <row r="188" customHeight="1" spans="1:2">
      <c r="A188" s="3" t="s">
        <v>13837</v>
      </c>
      <c r="B188" s="4">
        <v>107</v>
      </c>
    </row>
    <row r="189" customHeight="1" spans="1:2">
      <c r="A189" s="3" t="s">
        <v>18680</v>
      </c>
      <c r="B189" s="4">
        <v>112</v>
      </c>
    </row>
    <row r="190" customHeight="1" spans="1:2">
      <c r="A190" s="3" t="s">
        <v>22344</v>
      </c>
      <c r="B190" s="4">
        <v>91</v>
      </c>
    </row>
    <row r="191" customHeight="1" spans="1:2">
      <c r="A191" s="3" t="s">
        <v>15499</v>
      </c>
      <c r="B191" s="4">
        <v>107</v>
      </c>
    </row>
    <row r="192" customHeight="1" spans="1:2">
      <c r="A192" s="3" t="s">
        <v>4780</v>
      </c>
      <c r="B192" s="4">
        <v>93</v>
      </c>
    </row>
    <row r="193" customHeight="1" spans="1:2">
      <c r="A193" s="3" t="s">
        <v>1227</v>
      </c>
      <c r="B193" s="4">
        <v>100</v>
      </c>
    </row>
    <row r="194" customHeight="1" spans="1:2">
      <c r="A194" s="3" t="s">
        <v>4529</v>
      </c>
      <c r="B194" s="4">
        <v>97</v>
      </c>
    </row>
    <row r="195" customHeight="1" spans="1:2">
      <c r="A195" s="3" t="s">
        <v>22366</v>
      </c>
      <c r="B195" s="4">
        <v>90</v>
      </c>
    </row>
    <row r="196" customHeight="1" spans="1:2">
      <c r="A196" s="3" t="s">
        <v>18332</v>
      </c>
      <c r="B196" s="4">
        <v>104</v>
      </c>
    </row>
    <row r="197" customHeight="1" spans="1:2">
      <c r="A197" s="3" t="s">
        <v>6941</v>
      </c>
      <c r="B197" s="4">
        <v>110</v>
      </c>
    </row>
    <row r="198" customHeight="1" spans="1:2">
      <c r="A198" s="3" t="s">
        <v>20763</v>
      </c>
      <c r="B198" s="4">
        <v>90</v>
      </c>
    </row>
    <row r="199" customHeight="1" spans="1:2">
      <c r="A199" s="3" t="s">
        <v>9308</v>
      </c>
      <c r="B199" s="4">
        <v>100</v>
      </c>
    </row>
    <row r="200" customHeight="1" spans="1:2">
      <c r="A200" s="3" t="s">
        <v>9539</v>
      </c>
      <c r="B200" s="4">
        <v>102</v>
      </c>
    </row>
    <row r="201" customHeight="1" spans="1:2">
      <c r="A201" s="3" t="s">
        <v>3569</v>
      </c>
      <c r="B201" s="4">
        <v>141</v>
      </c>
    </row>
    <row r="202" customHeight="1" spans="1:2">
      <c r="A202" s="3" t="s">
        <v>16801</v>
      </c>
      <c r="B202" s="4">
        <v>125</v>
      </c>
    </row>
    <row r="203" customHeight="1" spans="1:2">
      <c r="A203" s="3" t="s">
        <v>19231</v>
      </c>
      <c r="B203" s="4">
        <v>98</v>
      </c>
    </row>
    <row r="204" customHeight="1" spans="1:2">
      <c r="A204" s="3" t="s">
        <v>2325</v>
      </c>
      <c r="B204" s="4">
        <v>124</v>
      </c>
    </row>
    <row r="205" customHeight="1" spans="1:2">
      <c r="A205" s="3" t="s">
        <v>21403</v>
      </c>
      <c r="B205" s="4">
        <v>91</v>
      </c>
    </row>
    <row r="206" customHeight="1" spans="1:2">
      <c r="A206" s="3" t="s">
        <v>18357</v>
      </c>
      <c r="B206" s="4">
        <v>130</v>
      </c>
    </row>
    <row r="207" customHeight="1" spans="1:2">
      <c r="A207" s="3" t="s">
        <v>18871</v>
      </c>
      <c r="B207" s="4">
        <v>88</v>
      </c>
    </row>
    <row r="208" customHeight="1" spans="1:2">
      <c r="A208" s="3" t="s">
        <v>21736</v>
      </c>
      <c r="B208" s="4">
        <v>124</v>
      </c>
    </row>
    <row r="209" customHeight="1" spans="1:2">
      <c r="A209" s="3" t="s">
        <v>16069</v>
      </c>
      <c r="B209" s="4">
        <v>112</v>
      </c>
    </row>
    <row r="210" customHeight="1" spans="1:2">
      <c r="A210" s="3" t="s">
        <v>16259</v>
      </c>
      <c r="B210" s="4">
        <v>124</v>
      </c>
    </row>
    <row r="211" customHeight="1" spans="1:2">
      <c r="A211" s="3" t="s">
        <v>8828</v>
      </c>
      <c r="B211" s="4">
        <v>90</v>
      </c>
    </row>
    <row r="212" customHeight="1" spans="1:2">
      <c r="A212" s="3" t="s">
        <v>16393</v>
      </c>
      <c r="B212" s="4">
        <v>113</v>
      </c>
    </row>
    <row r="213" customHeight="1" spans="1:2">
      <c r="A213" s="3" t="s">
        <v>17944</v>
      </c>
      <c r="B213" s="4">
        <v>97</v>
      </c>
    </row>
    <row r="214" customHeight="1" spans="1:2">
      <c r="A214" s="3" t="s">
        <v>8578</v>
      </c>
      <c r="B214" s="4">
        <v>96</v>
      </c>
    </row>
    <row r="215" customHeight="1" spans="1:2">
      <c r="A215" s="3" t="s">
        <v>7515</v>
      </c>
      <c r="B215" s="4">
        <v>101</v>
      </c>
    </row>
    <row r="216" customHeight="1" spans="1:2">
      <c r="A216" s="3" t="s">
        <v>6858</v>
      </c>
      <c r="B216" s="4">
        <v>93</v>
      </c>
    </row>
    <row r="217" customHeight="1" spans="1:2">
      <c r="A217" s="3" t="s">
        <v>8952</v>
      </c>
      <c r="B217" s="4">
        <v>81</v>
      </c>
    </row>
    <row r="218" customHeight="1" spans="1:2">
      <c r="A218" s="3" t="s">
        <v>765</v>
      </c>
      <c r="B218" s="4">
        <v>206</v>
      </c>
    </row>
    <row r="219" customHeight="1" spans="1:2">
      <c r="A219" s="3" t="s">
        <v>20247</v>
      </c>
      <c r="B219" s="4">
        <v>106</v>
      </c>
    </row>
    <row r="220" customHeight="1" spans="1:2">
      <c r="A220" s="3" t="s">
        <v>6777</v>
      </c>
      <c r="B220" s="4">
        <v>103</v>
      </c>
    </row>
    <row r="221" customHeight="1" spans="1:2">
      <c r="A221" s="3" t="s">
        <v>1636</v>
      </c>
      <c r="B221" s="4">
        <v>165</v>
      </c>
    </row>
    <row r="222" customHeight="1" spans="1:2">
      <c r="A222" s="3" t="s">
        <v>16381</v>
      </c>
      <c r="B222" s="4">
        <v>103</v>
      </c>
    </row>
    <row r="223" customHeight="1" spans="1:2">
      <c r="A223" s="3" t="s">
        <v>258</v>
      </c>
      <c r="B223" s="4">
        <v>216</v>
      </c>
    </row>
    <row r="224" customHeight="1" spans="1:2">
      <c r="A224" s="3" t="s">
        <v>719</v>
      </c>
      <c r="B224" s="4">
        <v>113</v>
      </c>
    </row>
    <row r="225" customHeight="1" spans="1:2">
      <c r="A225" s="3" t="s">
        <v>4702</v>
      </c>
      <c r="B225" s="4">
        <v>145</v>
      </c>
    </row>
    <row r="226" customHeight="1" spans="1:2">
      <c r="A226" s="3" t="s">
        <v>19972</v>
      </c>
      <c r="B226" s="4">
        <v>101</v>
      </c>
    </row>
    <row r="227" customHeight="1" spans="1:2">
      <c r="A227" s="3" t="s">
        <v>16567</v>
      </c>
      <c r="B227" s="4">
        <v>79</v>
      </c>
    </row>
    <row r="228" customHeight="1" spans="1:2">
      <c r="A228" s="3" t="s">
        <v>15592</v>
      </c>
      <c r="B228" s="4">
        <v>116</v>
      </c>
    </row>
    <row r="229" customHeight="1" spans="1:2">
      <c r="A229" s="3" t="s">
        <v>4180</v>
      </c>
      <c r="B229" s="4">
        <v>116</v>
      </c>
    </row>
    <row r="230" customHeight="1" spans="1:2">
      <c r="A230" s="3" t="s">
        <v>5916</v>
      </c>
      <c r="B230" s="4">
        <v>86</v>
      </c>
    </row>
    <row r="231" customHeight="1" spans="1:2">
      <c r="A231" s="3" t="s">
        <v>6534</v>
      </c>
      <c r="B231" s="4">
        <v>102</v>
      </c>
    </row>
    <row r="232" customHeight="1" spans="1:2">
      <c r="A232" s="3" t="s">
        <v>12145</v>
      </c>
      <c r="B232" s="4">
        <v>154</v>
      </c>
    </row>
    <row r="233" customHeight="1" spans="1:2">
      <c r="A233" s="3" t="s">
        <v>7947</v>
      </c>
      <c r="B233" s="4">
        <v>120</v>
      </c>
    </row>
    <row r="234" customHeight="1" spans="1:2">
      <c r="A234" s="3" t="s">
        <v>12886</v>
      </c>
      <c r="B234" s="4">
        <v>99</v>
      </c>
    </row>
    <row r="235" customHeight="1" spans="1:2">
      <c r="A235" s="3" t="s">
        <v>13434</v>
      </c>
      <c r="B235" s="4">
        <v>95</v>
      </c>
    </row>
    <row r="236" customHeight="1" spans="1:2">
      <c r="A236" s="3" t="s">
        <v>11455</v>
      </c>
      <c r="B236" s="4">
        <v>101</v>
      </c>
    </row>
    <row r="237" customHeight="1" spans="1:2">
      <c r="A237" s="3" t="s">
        <v>18188</v>
      </c>
      <c r="B237" s="4">
        <v>89</v>
      </c>
    </row>
    <row r="238" customHeight="1" spans="1:2">
      <c r="A238" s="3" t="s">
        <v>20553</v>
      </c>
      <c r="B238" s="4">
        <v>107</v>
      </c>
    </row>
    <row r="239" customHeight="1" spans="1:2">
      <c r="A239" s="3" t="s">
        <v>15903</v>
      </c>
      <c r="B239" s="4">
        <v>106</v>
      </c>
    </row>
    <row r="240" customHeight="1" spans="1:2">
      <c r="A240" s="3" t="s">
        <v>15758</v>
      </c>
      <c r="B240" s="4">
        <v>121</v>
      </c>
    </row>
    <row r="241" customHeight="1" spans="1:2">
      <c r="A241" s="3" t="s">
        <v>24051</v>
      </c>
      <c r="B241" s="4">
        <v>78</v>
      </c>
    </row>
    <row r="242" customHeight="1" spans="1:2">
      <c r="A242" s="3" t="s">
        <v>2446</v>
      </c>
      <c r="B242" s="4">
        <v>123</v>
      </c>
    </row>
    <row r="243" customHeight="1" spans="1:2">
      <c r="A243" s="3" t="s">
        <v>22278</v>
      </c>
      <c r="B243" s="4">
        <v>90</v>
      </c>
    </row>
    <row r="244" customHeight="1" spans="1:2">
      <c r="A244" s="3" t="s">
        <v>4875</v>
      </c>
      <c r="B244" s="4">
        <v>128</v>
      </c>
    </row>
    <row r="245" customHeight="1" spans="1:2">
      <c r="A245" s="3" t="s">
        <v>5938</v>
      </c>
      <c r="B245" s="4">
        <v>220</v>
      </c>
    </row>
    <row r="246" customHeight="1" spans="1:2">
      <c r="A246" s="3" t="s">
        <v>13275</v>
      </c>
      <c r="B246" s="4">
        <v>105</v>
      </c>
    </row>
    <row r="247" customHeight="1" spans="1:2">
      <c r="A247" s="3" t="s">
        <v>21714</v>
      </c>
      <c r="B247" s="4">
        <v>108</v>
      </c>
    </row>
    <row r="248" customHeight="1" spans="1:2">
      <c r="A248" s="3" t="s">
        <v>1591</v>
      </c>
      <c r="B248" s="4">
        <v>120</v>
      </c>
    </row>
    <row r="249" customHeight="1" spans="1:2">
      <c r="A249" s="3" t="s">
        <v>22732</v>
      </c>
      <c r="B249" s="4">
        <v>97</v>
      </c>
    </row>
    <row r="250" customHeight="1" spans="1:2">
      <c r="A250" s="3" t="s">
        <v>4306</v>
      </c>
      <c r="B250" s="4">
        <v>152</v>
      </c>
    </row>
    <row r="251" customHeight="1" spans="1:2">
      <c r="A251" s="3" t="s">
        <v>16253</v>
      </c>
      <c r="B251" s="4">
        <v>97</v>
      </c>
    </row>
    <row r="252" customHeight="1" spans="1:2">
      <c r="A252" s="3" t="s">
        <v>7199</v>
      </c>
      <c r="B252" s="4">
        <v>210</v>
      </c>
    </row>
    <row r="253" customHeight="1" spans="1:2">
      <c r="A253" s="3" t="s">
        <v>11350</v>
      </c>
      <c r="B253" s="4">
        <v>94</v>
      </c>
    </row>
    <row r="254" customHeight="1" spans="1:2">
      <c r="A254" s="3" t="s">
        <v>21847</v>
      </c>
      <c r="B254" s="4">
        <v>78</v>
      </c>
    </row>
    <row r="255" customHeight="1" spans="1:2">
      <c r="A255" s="3" t="s">
        <v>8846</v>
      </c>
      <c r="B255" s="4">
        <v>104</v>
      </c>
    </row>
    <row r="256" customHeight="1" spans="1:2">
      <c r="A256" s="3" t="s">
        <v>6100</v>
      </c>
      <c r="B256" s="4">
        <v>90</v>
      </c>
    </row>
    <row r="257" customHeight="1" spans="1:2">
      <c r="A257" s="3" t="s">
        <v>23335</v>
      </c>
      <c r="B257" s="4">
        <v>108</v>
      </c>
    </row>
    <row r="258" customHeight="1" spans="1:2">
      <c r="A258" s="3" t="s">
        <v>16765</v>
      </c>
      <c r="B258" s="4">
        <v>45</v>
      </c>
    </row>
    <row r="259" customHeight="1" spans="1:2">
      <c r="A259" s="3" t="s">
        <v>10993</v>
      </c>
      <c r="B259" s="4">
        <v>90</v>
      </c>
    </row>
    <row r="260" customHeight="1" spans="1:2">
      <c r="A260" s="3" t="s">
        <v>4569</v>
      </c>
      <c r="B260" s="4">
        <v>92</v>
      </c>
    </row>
    <row r="261" customHeight="1" spans="1:2">
      <c r="A261" s="3" t="s">
        <v>2582</v>
      </c>
      <c r="B261" s="4">
        <v>87</v>
      </c>
    </row>
    <row r="262" customHeight="1" spans="1:2">
      <c r="A262" s="3" t="s">
        <v>2172</v>
      </c>
      <c r="B262" s="4">
        <v>92</v>
      </c>
    </row>
    <row r="263" customHeight="1" spans="1:2">
      <c r="A263" s="3" t="s">
        <v>3365</v>
      </c>
      <c r="B263" s="4">
        <v>88</v>
      </c>
    </row>
    <row r="264" customHeight="1" spans="1:2">
      <c r="A264" s="3" t="s">
        <v>20060</v>
      </c>
      <c r="B264" s="4">
        <v>97</v>
      </c>
    </row>
    <row r="265" customHeight="1" spans="1:2">
      <c r="A265" s="3" t="s">
        <v>11783</v>
      </c>
      <c r="B265" s="4">
        <v>180</v>
      </c>
    </row>
    <row r="266" customHeight="1" spans="1:2">
      <c r="A266" s="3" t="s">
        <v>6765</v>
      </c>
      <c r="B266" s="4">
        <v>122</v>
      </c>
    </row>
    <row r="267" customHeight="1" spans="1:2">
      <c r="A267" s="3" t="s">
        <v>13562</v>
      </c>
      <c r="B267" s="4">
        <v>132</v>
      </c>
    </row>
    <row r="268" customHeight="1" spans="1:2">
      <c r="A268" s="3" t="s">
        <v>22705</v>
      </c>
      <c r="B268" s="4">
        <v>90</v>
      </c>
    </row>
    <row r="269" customHeight="1" spans="1:2">
      <c r="A269" s="3" t="s">
        <v>12669</v>
      </c>
      <c r="B269" s="4">
        <v>122</v>
      </c>
    </row>
    <row r="270" customHeight="1" spans="1:2">
      <c r="A270" s="3" t="s">
        <v>23178</v>
      </c>
      <c r="B270" s="4">
        <v>100</v>
      </c>
    </row>
    <row r="271" customHeight="1" spans="1:2">
      <c r="A271" s="3" t="s">
        <v>12274</v>
      </c>
      <c r="B271" s="4">
        <v>107</v>
      </c>
    </row>
    <row r="272" customHeight="1" spans="1:2">
      <c r="A272" s="3" t="s">
        <v>1730</v>
      </c>
      <c r="B272" s="4">
        <v>176</v>
      </c>
    </row>
    <row r="273" customHeight="1" spans="1:2">
      <c r="A273" s="3" t="s">
        <v>22230</v>
      </c>
      <c r="B273" s="4">
        <v>112</v>
      </c>
    </row>
    <row r="274" customHeight="1" spans="1:2">
      <c r="A274" s="3" t="s">
        <v>15513</v>
      </c>
      <c r="B274" s="4">
        <v>94</v>
      </c>
    </row>
    <row r="275" customHeight="1" spans="1:2">
      <c r="A275" s="3" t="s">
        <v>22136</v>
      </c>
      <c r="B275" s="4">
        <v>86</v>
      </c>
    </row>
    <row r="276" customHeight="1" spans="1:2">
      <c r="A276" s="3" t="s">
        <v>15115</v>
      </c>
      <c r="B276" s="4">
        <v>101</v>
      </c>
    </row>
    <row r="277" customHeight="1" spans="1:2">
      <c r="A277" s="3" t="s">
        <v>6242</v>
      </c>
      <c r="B277" s="4">
        <v>138</v>
      </c>
    </row>
    <row r="278" customHeight="1" spans="1:2">
      <c r="A278" s="3" t="s">
        <v>22975</v>
      </c>
      <c r="B278" s="4">
        <v>90</v>
      </c>
    </row>
    <row r="279" customHeight="1" spans="1:2">
      <c r="A279" s="3" t="s">
        <v>7642</v>
      </c>
      <c r="B279" s="4">
        <v>94</v>
      </c>
    </row>
    <row r="280" customHeight="1" spans="1:2">
      <c r="A280" s="3" t="s">
        <v>8094</v>
      </c>
      <c r="B280" s="4">
        <v>108</v>
      </c>
    </row>
    <row r="281" customHeight="1" spans="1:2">
      <c r="A281" s="3" t="s">
        <v>14015</v>
      </c>
      <c r="B281" s="4">
        <v>95</v>
      </c>
    </row>
    <row r="282" customHeight="1" spans="1:2">
      <c r="A282" s="3" t="s">
        <v>16080</v>
      </c>
      <c r="B282" s="4">
        <v>102</v>
      </c>
    </row>
    <row r="283" customHeight="1" spans="1:2">
      <c r="A283" s="3" t="s">
        <v>5233</v>
      </c>
      <c r="B283" s="4">
        <v>113</v>
      </c>
    </row>
    <row r="284" customHeight="1" spans="1:2">
      <c r="A284" s="3" t="s">
        <v>4447</v>
      </c>
      <c r="B284" s="4">
        <v>133</v>
      </c>
    </row>
    <row r="285" customHeight="1" spans="1:2">
      <c r="A285" s="3" t="s">
        <v>20209</v>
      </c>
      <c r="B285" s="4">
        <v>101</v>
      </c>
    </row>
    <row r="286" customHeight="1" spans="1:2">
      <c r="A286" s="3" t="s">
        <v>4601</v>
      </c>
      <c r="B286" s="4">
        <v>74</v>
      </c>
    </row>
    <row r="287" customHeight="1" spans="1:2">
      <c r="A287" s="3" t="s">
        <v>5658</v>
      </c>
      <c r="B287" s="4">
        <v>102</v>
      </c>
    </row>
    <row r="288" customHeight="1" spans="1:2">
      <c r="A288" s="3" t="s">
        <v>23185</v>
      </c>
      <c r="B288" s="4">
        <v>90</v>
      </c>
    </row>
    <row r="289" customHeight="1" spans="1:2">
      <c r="A289" s="3" t="s">
        <v>21024</v>
      </c>
      <c r="B289" s="4">
        <v>124</v>
      </c>
    </row>
    <row r="290" customHeight="1" spans="1:2">
      <c r="A290" s="3" t="s">
        <v>6521</v>
      </c>
      <c r="B290" s="4">
        <v>155</v>
      </c>
    </row>
    <row r="291" customHeight="1" spans="1:2">
      <c r="A291" s="3" t="s">
        <v>19635</v>
      </c>
      <c r="B291" s="4">
        <v>90</v>
      </c>
    </row>
    <row r="292" customHeight="1" spans="1:2">
      <c r="A292" s="3" t="s">
        <v>18677</v>
      </c>
      <c r="B292" s="4">
        <v>93</v>
      </c>
    </row>
    <row r="293" customHeight="1" spans="1:2">
      <c r="A293" s="3" t="s">
        <v>20219</v>
      </c>
      <c r="B293" s="4">
        <v>115</v>
      </c>
    </row>
    <row r="294" customHeight="1" spans="1:2">
      <c r="A294" s="3" t="s">
        <v>15526</v>
      </c>
      <c r="B294" s="4">
        <v>127</v>
      </c>
    </row>
    <row r="295" customHeight="1" spans="1:2">
      <c r="A295" s="3" t="s">
        <v>15383</v>
      </c>
      <c r="B295" s="4">
        <v>86</v>
      </c>
    </row>
    <row r="296" customHeight="1" spans="1:2">
      <c r="A296" s="3" t="s">
        <v>11312</v>
      </c>
      <c r="B296" s="4">
        <v>83</v>
      </c>
    </row>
    <row r="297" customHeight="1" spans="1:2">
      <c r="A297" s="3" t="s">
        <v>23494</v>
      </c>
      <c r="B297" s="4">
        <v>86</v>
      </c>
    </row>
    <row r="298" customHeight="1" spans="1:2">
      <c r="A298" s="3" t="s">
        <v>13445</v>
      </c>
      <c r="B298" s="4">
        <v>91</v>
      </c>
    </row>
    <row r="299" customHeight="1" spans="1:2">
      <c r="A299" s="3" t="s">
        <v>23637</v>
      </c>
      <c r="B299" s="4">
        <v>89</v>
      </c>
    </row>
    <row r="300" customHeight="1" spans="1:2">
      <c r="A300" s="3" t="s">
        <v>16345</v>
      </c>
      <c r="B300" s="4">
        <v>100</v>
      </c>
    </row>
    <row r="301" customHeight="1" spans="1:2">
      <c r="A301" s="3" t="s">
        <v>18671</v>
      </c>
      <c r="B301" s="4">
        <v>103</v>
      </c>
    </row>
    <row r="302" customHeight="1" spans="1:2">
      <c r="A302" s="3" t="s">
        <v>14712</v>
      </c>
      <c r="B302" s="4">
        <v>97</v>
      </c>
    </row>
    <row r="303" customHeight="1" spans="1:2">
      <c r="A303" s="3" t="s">
        <v>21592</v>
      </c>
      <c r="B303" s="4">
        <v>96</v>
      </c>
    </row>
    <row r="304" customHeight="1" spans="1:2">
      <c r="A304" s="3" t="s">
        <v>8631</v>
      </c>
      <c r="B304" s="4">
        <v>108</v>
      </c>
    </row>
    <row r="305" customHeight="1" spans="1:2">
      <c r="A305" s="3" t="s">
        <v>5785</v>
      </c>
      <c r="B305" s="4">
        <v>89</v>
      </c>
    </row>
    <row r="306" customHeight="1" spans="1:2">
      <c r="A306" s="3" t="s">
        <v>9644</v>
      </c>
      <c r="B306" s="4">
        <v>97</v>
      </c>
    </row>
    <row r="307" customHeight="1" spans="1:2">
      <c r="A307" s="3" t="s">
        <v>4286</v>
      </c>
      <c r="B307" s="4">
        <v>96</v>
      </c>
    </row>
    <row r="308" customHeight="1" spans="1:2">
      <c r="A308" s="3" t="s">
        <v>8160</v>
      </c>
      <c r="B308" s="4">
        <v>103</v>
      </c>
    </row>
    <row r="309" customHeight="1" spans="1:2">
      <c r="A309" s="3" t="s">
        <v>4883</v>
      </c>
      <c r="B309" s="4">
        <v>94</v>
      </c>
    </row>
    <row r="310" customHeight="1" spans="1:2">
      <c r="A310" s="3" t="s">
        <v>19925</v>
      </c>
      <c r="B310" s="4">
        <v>103</v>
      </c>
    </row>
    <row r="311" customHeight="1" spans="1:2">
      <c r="A311" s="3" t="s">
        <v>5027</v>
      </c>
      <c r="B311" s="4">
        <v>143</v>
      </c>
    </row>
    <row r="312" customHeight="1" spans="1:2">
      <c r="A312" s="3" t="s">
        <v>9531</v>
      </c>
      <c r="B312" s="4">
        <v>98</v>
      </c>
    </row>
    <row r="313" customHeight="1" spans="1:2">
      <c r="A313" s="3" t="s">
        <v>11938</v>
      </c>
      <c r="B313" s="4">
        <v>94</v>
      </c>
    </row>
    <row r="314" customHeight="1" spans="1:2">
      <c r="A314" s="3" t="s">
        <v>22031</v>
      </c>
      <c r="B314" s="4">
        <v>90</v>
      </c>
    </row>
    <row r="315" customHeight="1" spans="1:2">
      <c r="A315" s="3" t="s">
        <v>23121</v>
      </c>
      <c r="B315" s="4">
        <v>98</v>
      </c>
    </row>
    <row r="316" customHeight="1" spans="1:2">
      <c r="A316" s="3" t="s">
        <v>7019</v>
      </c>
      <c r="B316" s="4">
        <v>102</v>
      </c>
    </row>
    <row r="317" customHeight="1" spans="1:2">
      <c r="A317" s="3" t="s">
        <v>9854</v>
      </c>
      <c r="B317" s="4">
        <v>145</v>
      </c>
    </row>
    <row r="318" customHeight="1" spans="1:2">
      <c r="A318" s="3" t="s">
        <v>855</v>
      </c>
      <c r="B318" s="4">
        <v>146</v>
      </c>
    </row>
    <row r="319" customHeight="1" spans="1:2">
      <c r="A319" s="3" t="s">
        <v>4548</v>
      </c>
      <c r="B319" s="4">
        <v>22</v>
      </c>
    </row>
    <row r="320" customHeight="1" spans="1:2">
      <c r="A320" s="3" t="s">
        <v>19155</v>
      </c>
      <c r="B320" s="4">
        <v>109</v>
      </c>
    </row>
    <row r="321" customHeight="1" spans="1:2">
      <c r="A321" s="3" t="s">
        <v>18404</v>
      </c>
      <c r="B321" s="4">
        <v>60</v>
      </c>
    </row>
    <row r="322" customHeight="1" spans="1:2">
      <c r="A322" s="3" t="s">
        <v>6208</v>
      </c>
      <c r="B322" s="4">
        <v>101</v>
      </c>
    </row>
    <row r="323" customHeight="1" spans="1:2">
      <c r="A323" s="3" t="s">
        <v>8729</v>
      </c>
      <c r="B323" s="4">
        <v>93</v>
      </c>
    </row>
    <row r="324" customHeight="1" spans="1:2">
      <c r="A324" s="3" t="s">
        <v>17471</v>
      </c>
      <c r="B324" s="4">
        <v>90</v>
      </c>
    </row>
    <row r="325" customHeight="1" spans="1:2">
      <c r="A325" s="3" t="s">
        <v>3141</v>
      </c>
      <c r="B325" s="4">
        <v>148</v>
      </c>
    </row>
    <row r="326" customHeight="1" spans="1:2">
      <c r="A326" s="3" t="s">
        <v>5527</v>
      </c>
      <c r="B326" s="4">
        <v>129</v>
      </c>
    </row>
    <row r="327" customHeight="1" spans="1:2">
      <c r="A327" s="3" t="s">
        <v>16844</v>
      </c>
      <c r="B327" s="4">
        <v>99</v>
      </c>
    </row>
    <row r="328" customHeight="1" spans="1:2">
      <c r="A328" s="3" t="s">
        <v>18362</v>
      </c>
      <c r="B328" s="4">
        <v>199</v>
      </c>
    </row>
    <row r="329" customHeight="1" spans="1:2">
      <c r="A329" s="3" t="s">
        <v>18817</v>
      </c>
      <c r="B329" s="4">
        <v>107</v>
      </c>
    </row>
    <row r="330" customHeight="1" spans="1:2">
      <c r="A330" s="3" t="s">
        <v>18440</v>
      </c>
      <c r="B330" s="4">
        <v>93</v>
      </c>
    </row>
    <row r="331" customHeight="1" spans="1:2">
      <c r="A331" s="3" t="s">
        <v>3737</v>
      </c>
      <c r="B331" s="4">
        <v>118</v>
      </c>
    </row>
    <row r="332" customHeight="1" spans="1:2">
      <c r="A332" s="3" t="s">
        <v>16142</v>
      </c>
      <c r="B332" s="4">
        <v>90</v>
      </c>
    </row>
    <row r="333" customHeight="1" spans="1:2">
      <c r="A333" s="3" t="s">
        <v>9133</v>
      </c>
      <c r="B333" s="4">
        <v>130</v>
      </c>
    </row>
    <row r="334" customHeight="1" spans="1:2">
      <c r="A334" s="3" t="s">
        <v>23552</v>
      </c>
      <c r="B334" s="4">
        <v>92</v>
      </c>
    </row>
    <row r="335" customHeight="1" spans="1:2">
      <c r="A335" s="3" t="s">
        <v>18715</v>
      </c>
      <c r="B335" s="4">
        <v>119</v>
      </c>
    </row>
    <row r="336" customHeight="1" spans="1:2">
      <c r="A336" s="3" t="s">
        <v>16145</v>
      </c>
      <c r="B336" s="4">
        <v>129</v>
      </c>
    </row>
    <row r="337" customHeight="1" spans="1:2">
      <c r="A337" s="3" t="s">
        <v>23613</v>
      </c>
      <c r="B337" s="4">
        <v>72</v>
      </c>
    </row>
    <row r="338" customHeight="1" spans="1:2">
      <c r="A338" s="3" t="s">
        <v>21788</v>
      </c>
      <c r="B338" s="4">
        <v>91</v>
      </c>
    </row>
    <row r="339" customHeight="1" spans="1:2">
      <c r="A339" s="3" t="s">
        <v>19948</v>
      </c>
      <c r="B339" s="4">
        <v>94</v>
      </c>
    </row>
    <row r="340" customHeight="1" spans="1:2">
      <c r="A340" s="3" t="s">
        <v>8657</v>
      </c>
      <c r="B340" s="4">
        <v>109</v>
      </c>
    </row>
    <row r="341" customHeight="1" spans="1:2">
      <c r="A341" s="3" t="s">
        <v>19165</v>
      </c>
      <c r="B341" s="4">
        <v>108</v>
      </c>
    </row>
    <row r="342" customHeight="1" spans="1:2">
      <c r="A342" s="3" t="s">
        <v>1168</v>
      </c>
      <c r="B342" s="4">
        <v>117</v>
      </c>
    </row>
    <row r="343" customHeight="1" spans="1:2">
      <c r="A343" s="3" t="s">
        <v>13918</v>
      </c>
      <c r="B343" s="4">
        <v>117</v>
      </c>
    </row>
    <row r="344" customHeight="1" spans="1:2">
      <c r="A344" s="3" t="s">
        <v>4006</v>
      </c>
      <c r="B344" s="4">
        <v>83</v>
      </c>
    </row>
    <row r="345" customHeight="1" spans="1:2">
      <c r="A345" s="3" t="s">
        <v>4039</v>
      </c>
      <c r="B345" s="4">
        <v>156</v>
      </c>
    </row>
    <row r="346" customHeight="1" spans="1:2">
      <c r="A346" s="3" t="s">
        <v>12006</v>
      </c>
      <c r="B346" s="4">
        <v>108</v>
      </c>
    </row>
    <row r="347" customHeight="1" spans="1:2">
      <c r="A347" s="3" t="s">
        <v>10248</v>
      </c>
      <c r="B347" s="4">
        <v>114</v>
      </c>
    </row>
    <row r="348" customHeight="1" spans="1:2">
      <c r="A348" s="3" t="s">
        <v>8030</v>
      </c>
      <c r="B348" s="4">
        <v>289</v>
      </c>
    </row>
    <row r="349" customHeight="1" spans="1:2">
      <c r="A349" s="3" t="s">
        <v>6466</v>
      </c>
      <c r="B349" s="4">
        <v>139</v>
      </c>
    </row>
    <row r="350" customHeight="1" spans="1:2">
      <c r="A350" s="3" t="s">
        <v>3655</v>
      </c>
      <c r="B350" s="4">
        <v>140</v>
      </c>
    </row>
    <row r="351" customHeight="1" spans="1:2">
      <c r="A351" s="3" t="s">
        <v>17758</v>
      </c>
      <c r="B351" s="4">
        <v>86</v>
      </c>
    </row>
    <row r="352" customHeight="1" spans="1:2">
      <c r="A352" s="3" t="s">
        <v>11022</v>
      </c>
      <c r="B352" s="4">
        <v>115</v>
      </c>
    </row>
    <row r="353" customHeight="1" spans="1:2">
      <c r="A353" s="3" t="s">
        <v>17743</v>
      </c>
      <c r="B353" s="4">
        <v>89</v>
      </c>
    </row>
    <row r="354" customHeight="1" spans="1:2">
      <c r="A354" s="3" t="s">
        <v>22241</v>
      </c>
      <c r="B354" s="4">
        <v>86</v>
      </c>
    </row>
    <row r="355" customHeight="1" spans="1:2">
      <c r="A355" s="3" t="s">
        <v>14182</v>
      </c>
      <c r="B355" s="4">
        <v>104</v>
      </c>
    </row>
    <row r="356" customHeight="1" spans="1:2">
      <c r="A356" s="3" t="s">
        <v>8069</v>
      </c>
      <c r="B356" s="4">
        <v>103</v>
      </c>
    </row>
    <row r="357" customHeight="1" spans="1:2">
      <c r="A357" s="3" t="s">
        <v>12621</v>
      </c>
      <c r="B357" s="4">
        <v>115</v>
      </c>
    </row>
    <row r="358" customHeight="1" spans="1:2">
      <c r="A358" s="3" t="s">
        <v>14252</v>
      </c>
      <c r="B358" s="4">
        <v>107</v>
      </c>
    </row>
    <row r="359" customHeight="1" spans="1:2">
      <c r="A359" s="3" t="s">
        <v>23518</v>
      </c>
      <c r="B359" s="4">
        <v>94</v>
      </c>
    </row>
    <row r="360" customHeight="1" spans="1:2">
      <c r="A360" s="3" t="s">
        <v>10689</v>
      </c>
      <c r="B360" s="4">
        <v>95</v>
      </c>
    </row>
    <row r="361" customHeight="1" spans="1:2">
      <c r="A361" s="3" t="s">
        <v>18021</v>
      </c>
      <c r="B361" s="4">
        <v>91</v>
      </c>
    </row>
    <row r="362" customHeight="1" spans="1:2">
      <c r="A362" s="3" t="s">
        <v>6006</v>
      </c>
      <c r="B362" s="4">
        <v>130</v>
      </c>
    </row>
    <row r="363" customHeight="1" spans="1:2">
      <c r="A363" s="3" t="s">
        <v>10538</v>
      </c>
      <c r="B363" s="4">
        <v>117</v>
      </c>
    </row>
    <row r="364" customHeight="1" spans="1:2">
      <c r="A364" s="3" t="s">
        <v>980</v>
      </c>
      <c r="B364" s="4">
        <v>153</v>
      </c>
    </row>
    <row r="365" customHeight="1" spans="1:2">
      <c r="A365" s="3" t="s">
        <v>11158</v>
      </c>
      <c r="B365" s="4">
        <v>88</v>
      </c>
    </row>
    <row r="366" customHeight="1" spans="1:2">
      <c r="A366" s="3" t="s">
        <v>14620</v>
      </c>
      <c r="B366" s="4">
        <v>88</v>
      </c>
    </row>
    <row r="367" customHeight="1" spans="1:2">
      <c r="A367" s="3" t="s">
        <v>12470</v>
      </c>
      <c r="B367" s="4">
        <v>270</v>
      </c>
    </row>
    <row r="368" customHeight="1" spans="1:2">
      <c r="A368" s="3" t="s">
        <v>22414</v>
      </c>
      <c r="B368" s="4">
        <v>103</v>
      </c>
    </row>
    <row r="369" customHeight="1" spans="1:2">
      <c r="A369" s="3" t="s">
        <v>1631</v>
      </c>
      <c r="B369" s="4">
        <v>240</v>
      </c>
    </row>
    <row r="370" customHeight="1" spans="1:2">
      <c r="A370" s="3" t="s">
        <v>23619</v>
      </c>
      <c r="B370" s="4">
        <v>66</v>
      </c>
    </row>
    <row r="371" customHeight="1" spans="1:2">
      <c r="A371" s="3" t="s">
        <v>2886</v>
      </c>
      <c r="B371" s="4">
        <v>94</v>
      </c>
    </row>
    <row r="372" customHeight="1" spans="1:2">
      <c r="A372" s="3" t="s">
        <v>2427</v>
      </c>
      <c r="B372" s="4">
        <v>97</v>
      </c>
    </row>
    <row r="373" customHeight="1" spans="1:2">
      <c r="A373" s="3" t="s">
        <v>6606</v>
      </c>
      <c r="B373" s="4">
        <v>30</v>
      </c>
    </row>
    <row r="374" customHeight="1" spans="1:2">
      <c r="A374" s="3" t="s">
        <v>17673</v>
      </c>
      <c r="B374" s="4">
        <v>93</v>
      </c>
    </row>
    <row r="375" customHeight="1" spans="1:2">
      <c r="A375" s="3" t="s">
        <v>5020</v>
      </c>
      <c r="B375" s="4">
        <v>139</v>
      </c>
    </row>
    <row r="376" customHeight="1" spans="1:2">
      <c r="A376" s="3" t="s">
        <v>22820</v>
      </c>
      <c r="B376" s="4">
        <v>133</v>
      </c>
    </row>
    <row r="377" customHeight="1" spans="1:2">
      <c r="A377" s="3" t="s">
        <v>22027</v>
      </c>
      <c r="B377" s="4">
        <v>100</v>
      </c>
    </row>
    <row r="378" customHeight="1" spans="1:2">
      <c r="A378" s="3" t="s">
        <v>5336</v>
      </c>
      <c r="B378" s="4">
        <v>132</v>
      </c>
    </row>
    <row r="379" customHeight="1" spans="1:2">
      <c r="A379" s="3" t="s">
        <v>8523</v>
      </c>
      <c r="B379" s="4">
        <v>109</v>
      </c>
    </row>
    <row r="380" customHeight="1" spans="1:2">
      <c r="A380" s="3" t="s">
        <v>1462</v>
      </c>
      <c r="B380" s="4">
        <v>116</v>
      </c>
    </row>
    <row r="381" customHeight="1" spans="1:2">
      <c r="A381" s="3" t="s">
        <v>3857</v>
      </c>
      <c r="B381" s="4">
        <v>94</v>
      </c>
    </row>
    <row r="382" customHeight="1" spans="1:2">
      <c r="A382" s="3" t="s">
        <v>6708</v>
      </c>
      <c r="B382" s="4">
        <v>128</v>
      </c>
    </row>
    <row r="383" customHeight="1" spans="1:2">
      <c r="A383" s="3" t="s">
        <v>12223</v>
      </c>
      <c r="B383" s="4">
        <v>105</v>
      </c>
    </row>
    <row r="384" customHeight="1" spans="1:2">
      <c r="A384" s="3" t="s">
        <v>2164</v>
      </c>
      <c r="B384" s="4">
        <v>95</v>
      </c>
    </row>
    <row r="385" customHeight="1" spans="1:2">
      <c r="A385" s="3" t="s">
        <v>15189</v>
      </c>
      <c r="B385" s="4">
        <v>111</v>
      </c>
    </row>
    <row r="386" customHeight="1" spans="1:2">
      <c r="A386" s="3" t="s">
        <v>17936</v>
      </c>
      <c r="B386" s="4">
        <v>99</v>
      </c>
    </row>
    <row r="387" customHeight="1" spans="1:2">
      <c r="A387" s="3" t="s">
        <v>8313</v>
      </c>
      <c r="B387" s="4">
        <v>123</v>
      </c>
    </row>
    <row r="388" customHeight="1" spans="1:2">
      <c r="A388" s="3" t="s">
        <v>13880</v>
      </c>
      <c r="B388" s="4">
        <v>88</v>
      </c>
    </row>
    <row r="389" customHeight="1" spans="1:2">
      <c r="A389" s="3" t="s">
        <v>9653</v>
      </c>
      <c r="B389" s="4">
        <v>114</v>
      </c>
    </row>
    <row r="390" customHeight="1" spans="1:2">
      <c r="A390" s="3" t="s">
        <v>19062</v>
      </c>
      <c r="B390" s="4">
        <v>99</v>
      </c>
    </row>
    <row r="391" customHeight="1" spans="1:2">
      <c r="A391" s="3" t="s">
        <v>9712</v>
      </c>
      <c r="B391" s="4">
        <v>121</v>
      </c>
    </row>
    <row r="392" customHeight="1" spans="1:2">
      <c r="A392" s="3" t="s">
        <v>3853</v>
      </c>
      <c r="B392" s="4">
        <v>94</v>
      </c>
    </row>
    <row r="393" customHeight="1" spans="1:2">
      <c r="A393" s="3" t="s">
        <v>11766</v>
      </c>
      <c r="B393" s="4">
        <v>68</v>
      </c>
    </row>
    <row r="394" customHeight="1" spans="1:2">
      <c r="A394" s="3" t="s">
        <v>7243</v>
      </c>
      <c r="B394" s="4">
        <v>95</v>
      </c>
    </row>
    <row r="395" customHeight="1" spans="1:2">
      <c r="A395" s="3" t="s">
        <v>1224</v>
      </c>
      <c r="B395" s="4">
        <v>165</v>
      </c>
    </row>
    <row r="396" customHeight="1" spans="1:2">
      <c r="A396" s="3" t="s">
        <v>16649</v>
      </c>
      <c r="B396" s="4">
        <v>105</v>
      </c>
    </row>
    <row r="397" customHeight="1" spans="1:2">
      <c r="A397" s="3" t="s">
        <v>13296</v>
      </c>
      <c r="B397" s="4">
        <v>109</v>
      </c>
    </row>
    <row r="398" customHeight="1" spans="1:2">
      <c r="A398" s="3" t="s">
        <v>6543</v>
      </c>
      <c r="B398" s="4">
        <v>103</v>
      </c>
    </row>
    <row r="399" customHeight="1" spans="1:2">
      <c r="A399" s="3" t="s">
        <v>36</v>
      </c>
      <c r="B399" s="4">
        <v>178</v>
      </c>
    </row>
    <row r="400" customHeight="1" spans="1:2">
      <c r="A400" s="3" t="s">
        <v>101</v>
      </c>
      <c r="B400" s="4">
        <v>141</v>
      </c>
    </row>
    <row r="401" customHeight="1" spans="1:2">
      <c r="A401" s="3" t="s">
        <v>3360</v>
      </c>
      <c r="B401" s="4">
        <v>109</v>
      </c>
    </row>
    <row r="402" customHeight="1" spans="1:2">
      <c r="A402" s="3" t="s">
        <v>15824</v>
      </c>
      <c r="B402" s="4">
        <v>84</v>
      </c>
    </row>
    <row r="403" customHeight="1" spans="1:2">
      <c r="A403" s="3" t="s">
        <v>10605</v>
      </c>
      <c r="B403" s="4">
        <v>98</v>
      </c>
    </row>
    <row r="404" customHeight="1" spans="1:2">
      <c r="A404" s="3" t="s">
        <v>19593</v>
      </c>
      <c r="B404" s="4">
        <v>82</v>
      </c>
    </row>
    <row r="405" customHeight="1" spans="1:2">
      <c r="A405" s="3" t="s">
        <v>23071</v>
      </c>
      <c r="B405" s="4">
        <v>102</v>
      </c>
    </row>
    <row r="406" customHeight="1" spans="1:2">
      <c r="A406" s="3" t="s">
        <v>6915</v>
      </c>
      <c r="B406" s="4">
        <v>159</v>
      </c>
    </row>
    <row r="407" customHeight="1" spans="1:2">
      <c r="A407" s="3" t="s">
        <v>8216</v>
      </c>
      <c r="B407" s="4">
        <v>91</v>
      </c>
    </row>
    <row r="408" customHeight="1" spans="1:2">
      <c r="A408" s="3" t="s">
        <v>2868</v>
      </c>
      <c r="B408" s="4">
        <v>97</v>
      </c>
    </row>
    <row r="409" customHeight="1" spans="1:2">
      <c r="A409" s="3" t="s">
        <v>10860</v>
      </c>
      <c r="B409" s="4">
        <v>143</v>
      </c>
    </row>
    <row r="410" customHeight="1" spans="1:2">
      <c r="A410" s="3" t="s">
        <v>12439</v>
      </c>
      <c r="B410" s="4">
        <v>130</v>
      </c>
    </row>
    <row r="411" customHeight="1" spans="1:2">
      <c r="A411" s="3" t="s">
        <v>13718</v>
      </c>
      <c r="B411" s="4">
        <v>97</v>
      </c>
    </row>
    <row r="412" customHeight="1" spans="1:2">
      <c r="A412" s="3" t="s">
        <v>8237</v>
      </c>
      <c r="B412" s="4">
        <v>99</v>
      </c>
    </row>
    <row r="413" customHeight="1" spans="1:2">
      <c r="A413" s="3" t="s">
        <v>5899</v>
      </c>
      <c r="B413" s="4">
        <v>101</v>
      </c>
    </row>
    <row r="414" customHeight="1" spans="1:2">
      <c r="A414" s="3" t="s">
        <v>5437</v>
      </c>
      <c r="B414" s="4">
        <v>99</v>
      </c>
    </row>
    <row r="415" customHeight="1" spans="1:2">
      <c r="A415" s="3" t="s">
        <v>19479</v>
      </c>
      <c r="B415" s="4">
        <v>87</v>
      </c>
    </row>
    <row r="416" customHeight="1" spans="1:2">
      <c r="A416" s="3" t="s">
        <v>6257</v>
      </c>
      <c r="B416" s="4">
        <v>108</v>
      </c>
    </row>
    <row r="417" customHeight="1" spans="1:2">
      <c r="A417" s="3" t="s">
        <v>6316</v>
      </c>
      <c r="B417" s="4">
        <v>118</v>
      </c>
    </row>
    <row r="418" customHeight="1" spans="1:2">
      <c r="A418" s="3" t="s">
        <v>11583</v>
      </c>
      <c r="B418" s="4">
        <v>116</v>
      </c>
    </row>
    <row r="419" customHeight="1" spans="1:2">
      <c r="A419" s="3" t="s">
        <v>1191</v>
      </c>
      <c r="B419" s="4">
        <v>147</v>
      </c>
    </row>
    <row r="420" customHeight="1" spans="1:2">
      <c r="A420" s="3" t="s">
        <v>10208</v>
      </c>
      <c r="B420" s="4">
        <v>119</v>
      </c>
    </row>
    <row r="421" customHeight="1" spans="1:2">
      <c r="A421" s="3" t="s">
        <v>3442</v>
      </c>
      <c r="B421" s="4">
        <v>116</v>
      </c>
    </row>
    <row r="422" customHeight="1" spans="1:2">
      <c r="A422" s="3" t="s">
        <v>12730</v>
      </c>
      <c r="B422" s="4">
        <v>102</v>
      </c>
    </row>
    <row r="423" customHeight="1" spans="1:2">
      <c r="A423" s="3" t="s">
        <v>10021</v>
      </c>
      <c r="B423" s="4">
        <v>122</v>
      </c>
    </row>
    <row r="424" customHeight="1" spans="1:2">
      <c r="A424" s="3" t="s">
        <v>10754</v>
      </c>
      <c r="B424" s="4">
        <v>200</v>
      </c>
    </row>
    <row r="425" customHeight="1" spans="1:2">
      <c r="A425" s="3" t="s">
        <v>11763</v>
      </c>
      <c r="B425" s="4">
        <v>98</v>
      </c>
    </row>
    <row r="426" customHeight="1" spans="1:2">
      <c r="A426" s="3" t="s">
        <v>11557</v>
      </c>
      <c r="B426" s="4">
        <v>97</v>
      </c>
    </row>
    <row r="427" customHeight="1" spans="1:2">
      <c r="A427" s="3" t="s">
        <v>15145</v>
      </c>
      <c r="B427" s="4">
        <v>89</v>
      </c>
    </row>
    <row r="428" customHeight="1" spans="1:2">
      <c r="A428" s="3" t="s">
        <v>15851</v>
      </c>
      <c r="B428" s="4">
        <v>96</v>
      </c>
    </row>
    <row r="429" customHeight="1" spans="1:2">
      <c r="A429" s="3" t="s">
        <v>23453</v>
      </c>
      <c r="B429" s="4">
        <v>84</v>
      </c>
    </row>
    <row r="430" customHeight="1" spans="1:2">
      <c r="A430" s="3" t="s">
        <v>7615</v>
      </c>
      <c r="B430" s="4">
        <v>93</v>
      </c>
    </row>
    <row r="431" customHeight="1" spans="1:2">
      <c r="A431" s="3" t="s">
        <v>3487</v>
      </c>
      <c r="B431" s="4">
        <v>91</v>
      </c>
    </row>
    <row r="432" customHeight="1" spans="1:2">
      <c r="A432" s="3" t="s">
        <v>22092</v>
      </c>
      <c r="B432" s="4">
        <v>70</v>
      </c>
    </row>
    <row r="433" customHeight="1" spans="1:2">
      <c r="A433" s="3" t="s">
        <v>15221</v>
      </c>
      <c r="B433" s="4">
        <v>135</v>
      </c>
    </row>
    <row r="434" customHeight="1" spans="1:2">
      <c r="A434" s="3" t="s">
        <v>20505</v>
      </c>
      <c r="B434" s="4">
        <v>82</v>
      </c>
    </row>
    <row r="435" customHeight="1" spans="1:2">
      <c r="A435" s="3" t="s">
        <v>7742</v>
      </c>
      <c r="B435" s="4">
        <v>93</v>
      </c>
    </row>
    <row r="436" customHeight="1" spans="1:2">
      <c r="A436" s="3" t="s">
        <v>3127</v>
      </c>
      <c r="B436" s="4">
        <v>123</v>
      </c>
    </row>
    <row r="437" customHeight="1" spans="1:2">
      <c r="A437" s="3" t="s">
        <v>11355</v>
      </c>
      <c r="B437" s="4">
        <v>111</v>
      </c>
    </row>
    <row r="438" customHeight="1" spans="1:2">
      <c r="A438" s="3" t="s">
        <v>21990</v>
      </c>
      <c r="B438" s="4">
        <v>90</v>
      </c>
    </row>
    <row r="439" customHeight="1" spans="1:2">
      <c r="A439" s="3" t="s">
        <v>24101</v>
      </c>
      <c r="B439" s="4">
        <v>98</v>
      </c>
    </row>
    <row r="440" customHeight="1" spans="1:2">
      <c r="A440" s="3" t="s">
        <v>5965</v>
      </c>
      <c r="B440" s="4">
        <v>99</v>
      </c>
    </row>
    <row r="441" customHeight="1" spans="1:2">
      <c r="A441" s="3" t="s">
        <v>22017</v>
      </c>
      <c r="B441" s="4">
        <v>87</v>
      </c>
    </row>
    <row r="442" customHeight="1" spans="1:2">
      <c r="A442" s="3" t="s">
        <v>15857</v>
      </c>
      <c r="B442" s="4">
        <v>98</v>
      </c>
    </row>
    <row r="443" customHeight="1" spans="1:2">
      <c r="A443" s="3" t="s">
        <v>15755</v>
      </c>
      <c r="B443" s="4">
        <v>98</v>
      </c>
    </row>
    <row r="444" customHeight="1" spans="1:2">
      <c r="A444" s="3" t="s">
        <v>11759</v>
      </c>
      <c r="B444" s="4">
        <v>106</v>
      </c>
    </row>
    <row r="445" customHeight="1" spans="1:2">
      <c r="A445" s="3" t="s">
        <v>14032</v>
      </c>
      <c r="B445" s="4">
        <v>102</v>
      </c>
    </row>
    <row r="446" customHeight="1" spans="1:2">
      <c r="A446" s="3" t="s">
        <v>18178</v>
      </c>
      <c r="B446" s="4"/>
    </row>
    <row r="447" customHeight="1" spans="1:2">
      <c r="A447" s="3" t="s">
        <v>13049</v>
      </c>
      <c r="B447" s="4">
        <v>76</v>
      </c>
    </row>
    <row r="448" customHeight="1" spans="1:2">
      <c r="A448" s="3" t="s">
        <v>8641</v>
      </c>
      <c r="B448" s="4">
        <v>134</v>
      </c>
    </row>
    <row r="449" customHeight="1" spans="1:2">
      <c r="A449" s="3" t="s">
        <v>4985</v>
      </c>
      <c r="B449" s="4">
        <v>90</v>
      </c>
    </row>
    <row r="450" customHeight="1" spans="1:2">
      <c r="A450" s="3" t="s">
        <v>14589</v>
      </c>
      <c r="B450" s="4">
        <v>184</v>
      </c>
    </row>
    <row r="451" customHeight="1" spans="1:2">
      <c r="A451" s="3" t="s">
        <v>19610</v>
      </c>
      <c r="B451" s="4">
        <v>95</v>
      </c>
    </row>
    <row r="452" customHeight="1" spans="1:2">
      <c r="A452" s="3" t="s">
        <v>3521</v>
      </c>
      <c r="B452" s="4">
        <v>116</v>
      </c>
    </row>
    <row r="453" customHeight="1" spans="1:2">
      <c r="A453" s="3" t="s">
        <v>5358</v>
      </c>
      <c r="B453" s="4">
        <v>98</v>
      </c>
    </row>
    <row r="454" customHeight="1" spans="1:2">
      <c r="A454" s="3" t="s">
        <v>19409</v>
      </c>
      <c r="B454" s="4">
        <v>108</v>
      </c>
    </row>
    <row r="455" customHeight="1" spans="1:2">
      <c r="A455" s="3" t="s">
        <v>19977</v>
      </c>
      <c r="B455" s="4">
        <v>101</v>
      </c>
    </row>
    <row r="456" customHeight="1" spans="1:2">
      <c r="A456" s="3" t="s">
        <v>13287</v>
      </c>
      <c r="B456" s="4">
        <v>141</v>
      </c>
    </row>
    <row r="457" customHeight="1" spans="1:2">
      <c r="A457" s="3" t="s">
        <v>1329</v>
      </c>
      <c r="B457" s="4">
        <v>125</v>
      </c>
    </row>
    <row r="458" customHeight="1" spans="1:2">
      <c r="A458" s="3" t="s">
        <v>799</v>
      </c>
      <c r="B458" s="4">
        <v>128</v>
      </c>
    </row>
    <row r="459" customHeight="1" spans="1:2">
      <c r="A459" s="3" t="s">
        <v>1838</v>
      </c>
      <c r="B459" s="4">
        <v>121</v>
      </c>
    </row>
    <row r="460" customHeight="1" spans="1:2">
      <c r="A460" s="3" t="s">
        <v>2550</v>
      </c>
      <c r="B460" s="4">
        <v>126</v>
      </c>
    </row>
    <row r="461" customHeight="1" spans="1:2">
      <c r="A461" s="3" t="s">
        <v>116</v>
      </c>
      <c r="B461" s="4">
        <v>183</v>
      </c>
    </row>
    <row r="462" customHeight="1" spans="1:2">
      <c r="A462" s="3" t="s">
        <v>7247</v>
      </c>
      <c r="B462" s="4">
        <v>126</v>
      </c>
    </row>
    <row r="463" customHeight="1" spans="1:2">
      <c r="A463" s="3" t="s">
        <v>19019</v>
      </c>
      <c r="B463" s="4">
        <v>148</v>
      </c>
    </row>
    <row r="464" customHeight="1" spans="1:2">
      <c r="A464" s="3" t="s">
        <v>21149</v>
      </c>
      <c r="B464" s="4">
        <v>105</v>
      </c>
    </row>
    <row r="465" customHeight="1" spans="1:2">
      <c r="A465" s="3" t="s">
        <v>16896</v>
      </c>
      <c r="B465" s="4">
        <v>91</v>
      </c>
    </row>
    <row r="466" customHeight="1" spans="1:2">
      <c r="A466" s="3" t="s">
        <v>20685</v>
      </c>
      <c r="B466" s="4">
        <v>96</v>
      </c>
    </row>
    <row r="467" customHeight="1" spans="1:2">
      <c r="A467" s="3" t="s">
        <v>3383</v>
      </c>
      <c r="B467" s="4">
        <v>116</v>
      </c>
    </row>
    <row r="468" customHeight="1" spans="1:2">
      <c r="A468" s="3" t="s">
        <v>11303</v>
      </c>
      <c r="B468" s="4">
        <v>110</v>
      </c>
    </row>
    <row r="469" customHeight="1" spans="1:2">
      <c r="A469" s="3" t="s">
        <v>2841</v>
      </c>
      <c r="B469" s="4">
        <v>119</v>
      </c>
    </row>
    <row r="470" customHeight="1" spans="1:2">
      <c r="A470" s="3" t="s">
        <v>231</v>
      </c>
      <c r="B470" s="4">
        <v>131</v>
      </c>
    </row>
    <row r="471" customHeight="1" spans="1:2">
      <c r="A471" s="3" t="s">
        <v>3092</v>
      </c>
      <c r="B471" s="4">
        <v>118</v>
      </c>
    </row>
    <row r="472" customHeight="1" spans="1:2">
      <c r="A472" s="3" t="s">
        <v>11222</v>
      </c>
      <c r="B472" s="4">
        <v>102</v>
      </c>
    </row>
    <row r="473" customHeight="1" spans="1:2">
      <c r="A473" s="3" t="s">
        <v>12199</v>
      </c>
      <c r="B473" s="4">
        <v>86</v>
      </c>
    </row>
    <row r="474" customHeight="1" spans="1:2">
      <c r="A474" s="3" t="s">
        <v>17220</v>
      </c>
      <c r="B474" s="4">
        <v>107</v>
      </c>
    </row>
    <row r="475" customHeight="1" spans="1:2">
      <c r="A475" s="3" t="s">
        <v>20680</v>
      </c>
      <c r="B475" s="4">
        <v>93</v>
      </c>
    </row>
    <row r="476" customHeight="1" spans="1:2">
      <c r="A476" s="3" t="s">
        <v>5467</v>
      </c>
      <c r="B476" s="4">
        <v>124</v>
      </c>
    </row>
    <row r="477" customHeight="1" spans="1:2">
      <c r="A477" s="3" t="s">
        <v>9597</v>
      </c>
      <c r="B477" s="4">
        <v>105</v>
      </c>
    </row>
    <row r="478" customHeight="1" spans="1:2">
      <c r="A478" s="3" t="s">
        <v>14064</v>
      </c>
      <c r="B478" s="4">
        <v>81</v>
      </c>
    </row>
    <row r="479" customHeight="1" spans="1:2">
      <c r="A479" s="3" t="s">
        <v>6927</v>
      </c>
      <c r="B479" s="4">
        <v>102</v>
      </c>
    </row>
    <row r="480" customHeight="1" spans="1:2">
      <c r="A480" s="3" t="s">
        <v>12874</v>
      </c>
      <c r="B480" s="4">
        <v>106</v>
      </c>
    </row>
    <row r="481" customHeight="1" spans="1:2">
      <c r="A481" s="3" t="s">
        <v>12363</v>
      </c>
      <c r="B481" s="4">
        <v>120</v>
      </c>
    </row>
    <row r="482" customHeight="1" spans="1:2">
      <c r="A482" s="3" t="s">
        <v>5577</v>
      </c>
      <c r="B482" s="4">
        <v>93</v>
      </c>
    </row>
    <row r="483" customHeight="1" spans="1:2">
      <c r="A483" s="3" t="s">
        <v>2617</v>
      </c>
      <c r="B483" s="4">
        <v>99</v>
      </c>
    </row>
    <row r="484" customHeight="1" spans="1:2">
      <c r="A484" s="3" t="s">
        <v>905</v>
      </c>
      <c r="B484" s="4">
        <v>91</v>
      </c>
    </row>
    <row r="485" customHeight="1" spans="1:2">
      <c r="A485" s="3" t="s">
        <v>19762</v>
      </c>
      <c r="B485" s="4">
        <v>86</v>
      </c>
    </row>
    <row r="486" customHeight="1" spans="1:2">
      <c r="A486" s="3" t="s">
        <v>12168</v>
      </c>
      <c r="B486" s="4">
        <v>110</v>
      </c>
    </row>
    <row r="487" customHeight="1" spans="1:2">
      <c r="A487" s="3" t="s">
        <v>12738</v>
      </c>
      <c r="B487" s="4">
        <v>92</v>
      </c>
    </row>
    <row r="488" customHeight="1" spans="1:2">
      <c r="A488" s="3" t="s">
        <v>10509</v>
      </c>
      <c r="B488" s="4">
        <v>92</v>
      </c>
    </row>
    <row r="489" customHeight="1" spans="1:2">
      <c r="A489" s="3" t="s">
        <v>19326</v>
      </c>
      <c r="B489" s="4">
        <v>109</v>
      </c>
    </row>
    <row r="490" customHeight="1" spans="1:2">
      <c r="A490" s="3" t="s">
        <v>19843</v>
      </c>
      <c r="B490" s="4">
        <v>105</v>
      </c>
    </row>
    <row r="491" customHeight="1" spans="1:2">
      <c r="A491" s="3" t="s">
        <v>20214</v>
      </c>
      <c r="B491" s="4">
        <v>80</v>
      </c>
    </row>
    <row r="492" customHeight="1" spans="1:2">
      <c r="A492" s="3" t="s">
        <v>16195</v>
      </c>
      <c r="B492" s="4">
        <v>104</v>
      </c>
    </row>
    <row r="493" customHeight="1" spans="1:2">
      <c r="A493" s="3" t="s">
        <v>19147</v>
      </c>
      <c r="B493" s="4">
        <v>105</v>
      </c>
    </row>
    <row r="494" customHeight="1" spans="1:2">
      <c r="A494" s="3" t="s">
        <v>6415</v>
      </c>
      <c r="B494" s="4">
        <v>106</v>
      </c>
    </row>
    <row r="495" customHeight="1" spans="1:2">
      <c r="A495" s="3" t="s">
        <v>13754</v>
      </c>
      <c r="B495" s="4">
        <v>112</v>
      </c>
    </row>
    <row r="496" customHeight="1" spans="1:2">
      <c r="A496" s="3" t="s">
        <v>11950</v>
      </c>
      <c r="B496" s="4">
        <v>104</v>
      </c>
    </row>
    <row r="497" customHeight="1" spans="1:2">
      <c r="A497" s="3" t="s">
        <v>19103</v>
      </c>
      <c r="B497" s="4">
        <v>91</v>
      </c>
    </row>
    <row r="498" customHeight="1" spans="1:2">
      <c r="A498" s="3" t="s">
        <v>4912</v>
      </c>
      <c r="B498" s="4">
        <v>172</v>
      </c>
    </row>
    <row r="499" customHeight="1" spans="1:2">
      <c r="A499" s="3" t="s">
        <v>21391</v>
      </c>
      <c r="B499" s="4">
        <v>99</v>
      </c>
    </row>
    <row r="500" customHeight="1" spans="1:2">
      <c r="A500" s="3" t="s">
        <v>17350</v>
      </c>
      <c r="B500" s="4">
        <v>112</v>
      </c>
    </row>
    <row r="501" customHeight="1" spans="1:2">
      <c r="A501" s="3" t="s">
        <v>23889</v>
      </c>
      <c r="B501" s="4">
        <v>92</v>
      </c>
    </row>
    <row r="502" customHeight="1" spans="1:2">
      <c r="A502" s="3" t="s">
        <v>15816</v>
      </c>
      <c r="B502" s="4">
        <v>122</v>
      </c>
    </row>
    <row r="503" customHeight="1" spans="1:2">
      <c r="A503" s="3" t="s">
        <v>19228</v>
      </c>
      <c r="B503" s="4">
        <v>95</v>
      </c>
    </row>
    <row r="504" customHeight="1" spans="1:2">
      <c r="A504" s="3" t="s">
        <v>2159</v>
      </c>
      <c r="B504" s="4">
        <v>423</v>
      </c>
    </row>
    <row r="505" customHeight="1" spans="1:2">
      <c r="A505" s="3" t="s">
        <v>22495</v>
      </c>
      <c r="B505" s="4">
        <v>86</v>
      </c>
    </row>
    <row r="506" customHeight="1" spans="1:2">
      <c r="A506" s="3" t="s">
        <v>990</v>
      </c>
      <c r="B506" s="4">
        <v>115</v>
      </c>
    </row>
    <row r="507" customHeight="1" spans="1:2">
      <c r="A507" s="3" t="s">
        <v>17096</v>
      </c>
      <c r="B507" s="4">
        <v>99</v>
      </c>
    </row>
    <row r="508" customHeight="1" spans="1:2">
      <c r="A508" s="3" t="s">
        <v>17047</v>
      </c>
      <c r="B508" s="4">
        <v>90</v>
      </c>
    </row>
    <row r="509" customHeight="1" spans="1:2">
      <c r="A509" s="3" t="s">
        <v>23163</v>
      </c>
      <c r="B509" s="4">
        <v>98</v>
      </c>
    </row>
    <row r="510" customHeight="1" spans="1:2">
      <c r="A510" s="3" t="s">
        <v>10682</v>
      </c>
      <c r="B510" s="4">
        <v>91</v>
      </c>
    </row>
    <row r="511" customHeight="1" spans="1:2">
      <c r="A511" s="3" t="s">
        <v>10651</v>
      </c>
      <c r="B511" s="4">
        <v>100</v>
      </c>
    </row>
    <row r="512" customHeight="1" spans="1:2">
      <c r="A512" s="3" t="s">
        <v>5249</v>
      </c>
      <c r="B512" s="4">
        <v>104</v>
      </c>
    </row>
    <row r="513" customHeight="1" spans="1:2">
      <c r="A513" s="3" t="s">
        <v>12645</v>
      </c>
      <c r="B513" s="4">
        <v>105</v>
      </c>
    </row>
    <row r="514" customHeight="1" spans="1:2">
      <c r="A514" s="3" t="s">
        <v>2747</v>
      </c>
      <c r="B514" s="4">
        <v>25</v>
      </c>
    </row>
    <row r="515" customHeight="1" spans="1:2">
      <c r="A515" s="3" t="s">
        <v>4415</v>
      </c>
      <c r="B515" s="4">
        <v>127</v>
      </c>
    </row>
    <row r="516" customHeight="1" spans="1:2">
      <c r="A516" s="3" t="s">
        <v>21463</v>
      </c>
      <c r="B516" s="4">
        <v>110</v>
      </c>
    </row>
    <row r="517" customHeight="1" spans="1:2">
      <c r="A517" s="3" t="s">
        <v>16583</v>
      </c>
      <c r="B517" s="4">
        <v>116</v>
      </c>
    </row>
    <row r="518" customHeight="1" spans="1:2">
      <c r="A518" s="3" t="s">
        <v>22540</v>
      </c>
      <c r="B518" s="4">
        <v>108</v>
      </c>
    </row>
    <row r="519" customHeight="1" spans="1:2">
      <c r="A519" s="3" t="s">
        <v>10170</v>
      </c>
      <c r="B519" s="4">
        <v>118</v>
      </c>
    </row>
    <row r="520" customHeight="1" spans="1:2">
      <c r="A520" s="3" t="s">
        <v>21581</v>
      </c>
      <c r="B520" s="4">
        <v>109</v>
      </c>
    </row>
    <row r="521" customHeight="1" spans="1:2">
      <c r="A521" s="3" t="s">
        <v>22321</v>
      </c>
      <c r="B521" s="4">
        <v>88</v>
      </c>
    </row>
    <row r="522" customHeight="1" spans="1:2">
      <c r="A522" s="3" t="s">
        <v>2258</v>
      </c>
      <c r="B522" s="4">
        <v>132</v>
      </c>
    </row>
    <row r="523" customHeight="1" spans="1:2">
      <c r="A523" s="3" t="s">
        <v>8090</v>
      </c>
      <c r="B523" s="4">
        <v>93</v>
      </c>
    </row>
    <row r="524" customHeight="1" spans="1:2">
      <c r="A524" s="3" t="s">
        <v>15075</v>
      </c>
      <c r="B524" s="4">
        <v>106</v>
      </c>
    </row>
    <row r="525" customHeight="1" spans="1:2">
      <c r="A525" s="3" t="s">
        <v>12759</v>
      </c>
      <c r="B525" s="4">
        <v>176</v>
      </c>
    </row>
    <row r="526" customHeight="1" spans="1:2">
      <c r="A526" s="3" t="s">
        <v>3387</v>
      </c>
      <c r="B526" s="4">
        <v>125</v>
      </c>
    </row>
    <row r="527" customHeight="1" spans="1:2">
      <c r="A527" s="3" t="s">
        <v>617</v>
      </c>
      <c r="B527" s="4">
        <v>102</v>
      </c>
    </row>
    <row r="528" customHeight="1" spans="1:2">
      <c r="A528" s="3" t="s">
        <v>6781</v>
      </c>
      <c r="B528" s="4">
        <v>107</v>
      </c>
    </row>
    <row r="529" customHeight="1" spans="1:2">
      <c r="A529" s="3" t="s">
        <v>6385</v>
      </c>
      <c r="B529" s="4">
        <v>99</v>
      </c>
    </row>
    <row r="530" customHeight="1" spans="1:2">
      <c r="A530" s="3" t="s">
        <v>7821</v>
      </c>
      <c r="B530" s="4">
        <v>99</v>
      </c>
    </row>
    <row r="531" customHeight="1" spans="1:2">
      <c r="A531" s="3" t="s">
        <v>7936</v>
      </c>
      <c r="B531" s="4">
        <v>113</v>
      </c>
    </row>
    <row r="532" customHeight="1" spans="1:2">
      <c r="A532" s="3" t="s">
        <v>9887</v>
      </c>
      <c r="B532" s="4">
        <v>99</v>
      </c>
    </row>
    <row r="533" customHeight="1" spans="1:2">
      <c r="A533" s="3" t="s">
        <v>5970</v>
      </c>
      <c r="B533" s="4">
        <v>74</v>
      </c>
    </row>
    <row r="534" customHeight="1" spans="1:2">
      <c r="A534" s="3" t="s">
        <v>11724</v>
      </c>
      <c r="B534" s="4">
        <v>130</v>
      </c>
    </row>
    <row r="535" customHeight="1" spans="1:2">
      <c r="A535" s="3" t="s">
        <v>10830</v>
      </c>
      <c r="B535" s="4">
        <v>93</v>
      </c>
    </row>
    <row r="536" customHeight="1" spans="1:2">
      <c r="A536" s="3" t="s">
        <v>14842</v>
      </c>
      <c r="B536" s="4">
        <v>90</v>
      </c>
    </row>
    <row r="537" customHeight="1" spans="1:2">
      <c r="A537" s="3" t="s">
        <v>17624</v>
      </c>
      <c r="B537" s="4">
        <v>110</v>
      </c>
    </row>
    <row r="538" customHeight="1" spans="1:2">
      <c r="A538" s="3" t="s">
        <v>11809</v>
      </c>
      <c r="B538" s="4">
        <v>119</v>
      </c>
    </row>
    <row r="539" customHeight="1" spans="1:2">
      <c r="A539" s="3" t="s">
        <v>11359</v>
      </c>
      <c r="B539" s="4">
        <v>100</v>
      </c>
    </row>
    <row r="540" customHeight="1" spans="1:2">
      <c r="A540" s="3" t="s">
        <v>13818</v>
      </c>
      <c r="B540" s="4">
        <v>93</v>
      </c>
    </row>
    <row r="541" customHeight="1" spans="1:2">
      <c r="A541" s="3" t="s">
        <v>7737</v>
      </c>
      <c r="B541" s="4">
        <v>148</v>
      </c>
    </row>
    <row r="542" customHeight="1" spans="1:2">
      <c r="A542" s="3" t="s">
        <v>23128</v>
      </c>
      <c r="B542" s="4">
        <v>98</v>
      </c>
    </row>
    <row r="543" customHeight="1" spans="1:2">
      <c r="A543" s="3" t="s">
        <v>10488</v>
      </c>
      <c r="B543" s="4">
        <v>145</v>
      </c>
    </row>
    <row r="544" customHeight="1" spans="1:2">
      <c r="A544" s="3" t="s">
        <v>15665</v>
      </c>
      <c r="B544" s="4">
        <v>94</v>
      </c>
    </row>
    <row r="545" customHeight="1" spans="1:2">
      <c r="A545" s="3" t="s">
        <v>1963</v>
      </c>
      <c r="B545" s="4">
        <v>152</v>
      </c>
    </row>
    <row r="546" customHeight="1" spans="1:2">
      <c r="A546" s="3" t="s">
        <v>7441</v>
      </c>
      <c r="B546" s="4">
        <v>95</v>
      </c>
    </row>
    <row r="547" customHeight="1" spans="1:2">
      <c r="A547" s="3" t="s">
        <v>4895</v>
      </c>
      <c r="B547" s="4">
        <v>123</v>
      </c>
    </row>
    <row r="548" customHeight="1" spans="1:2">
      <c r="A548" s="3" t="s">
        <v>12124</v>
      </c>
      <c r="B548" s="4">
        <v>93</v>
      </c>
    </row>
    <row r="549" customHeight="1" spans="1:2">
      <c r="A549" s="3" t="s">
        <v>16399</v>
      </c>
      <c r="B549" s="4">
        <v>95</v>
      </c>
    </row>
    <row r="550" customHeight="1" spans="1:2">
      <c r="A550" s="3" t="s">
        <v>15159</v>
      </c>
      <c r="B550" s="4">
        <v>121</v>
      </c>
    </row>
    <row r="551" customHeight="1" spans="1:2">
      <c r="A551" s="3" t="s">
        <v>8323</v>
      </c>
      <c r="B551" s="4">
        <v>125</v>
      </c>
    </row>
    <row r="552" customHeight="1" spans="1:2">
      <c r="A552" s="3" t="s">
        <v>21969</v>
      </c>
      <c r="B552" s="4">
        <v>83</v>
      </c>
    </row>
    <row r="553" customHeight="1" spans="1:2">
      <c r="A553" s="3" t="s">
        <v>13080</v>
      </c>
      <c r="B553" s="4">
        <v>116</v>
      </c>
    </row>
    <row r="554" customHeight="1" spans="1:2">
      <c r="A554" s="3" t="s">
        <v>13653</v>
      </c>
      <c r="B554" s="4">
        <v>108</v>
      </c>
    </row>
    <row r="555" customHeight="1" spans="1:2">
      <c r="A555" s="3" t="s">
        <v>7747</v>
      </c>
      <c r="B555" s="4"/>
    </row>
    <row r="556" customHeight="1" spans="1:2">
      <c r="A556" s="3" t="s">
        <v>3509</v>
      </c>
      <c r="B556" s="4">
        <v>133</v>
      </c>
    </row>
    <row r="557" customHeight="1" spans="1:2">
      <c r="A557" s="3" t="s">
        <v>18322</v>
      </c>
      <c r="B557" s="4">
        <v>102</v>
      </c>
    </row>
    <row r="558" customHeight="1" spans="1:2">
      <c r="A558" s="3" t="s">
        <v>4839</v>
      </c>
      <c r="B558" s="4">
        <v>117</v>
      </c>
    </row>
    <row r="559" customHeight="1" spans="1:2">
      <c r="A559" s="3" t="s">
        <v>8961</v>
      </c>
      <c r="B559" s="4">
        <v>117</v>
      </c>
    </row>
    <row r="560" customHeight="1" spans="1:2">
      <c r="A560" s="3" t="s">
        <v>5767</v>
      </c>
      <c r="B560" s="4">
        <v>110</v>
      </c>
    </row>
    <row r="561" customHeight="1" spans="1:2">
      <c r="A561" s="3" t="s">
        <v>3753</v>
      </c>
      <c r="B561" s="4">
        <v>122</v>
      </c>
    </row>
    <row r="562" customHeight="1" spans="1:2">
      <c r="A562" s="3" t="s">
        <v>3915</v>
      </c>
      <c r="B562" s="4">
        <v>93</v>
      </c>
    </row>
    <row r="563" customHeight="1" spans="1:2">
      <c r="A563" s="3" t="s">
        <v>7502</v>
      </c>
      <c r="B563" s="4">
        <v>112</v>
      </c>
    </row>
    <row r="564" customHeight="1" spans="1:2">
      <c r="A564" s="3" t="s">
        <v>19741</v>
      </c>
      <c r="B564" s="4">
        <v>93</v>
      </c>
    </row>
    <row r="565" customHeight="1" spans="1:2">
      <c r="A565" s="3" t="s">
        <v>22284</v>
      </c>
      <c r="B565" s="4">
        <v>95</v>
      </c>
    </row>
    <row r="566" customHeight="1" spans="1:2">
      <c r="A566" s="3" t="s">
        <v>21420</v>
      </c>
      <c r="B566" s="4">
        <v>100</v>
      </c>
    </row>
    <row r="567" customHeight="1" spans="1:2">
      <c r="A567" s="3" t="s">
        <v>5841</v>
      </c>
      <c r="B567" s="4">
        <v>117</v>
      </c>
    </row>
    <row r="568" customHeight="1" spans="1:2">
      <c r="A568" s="3" t="s">
        <v>6651</v>
      </c>
      <c r="B568" s="4">
        <v>107</v>
      </c>
    </row>
    <row r="569" customHeight="1" spans="1:2">
      <c r="A569" s="3" t="s">
        <v>9982</v>
      </c>
      <c r="B569" s="4">
        <v>121</v>
      </c>
    </row>
    <row r="570" customHeight="1" spans="1:2">
      <c r="A570" s="3" t="s">
        <v>15415</v>
      </c>
      <c r="B570" s="4">
        <v>93</v>
      </c>
    </row>
    <row r="571" customHeight="1" spans="1:2">
      <c r="A571" s="3" t="s">
        <v>13168</v>
      </c>
      <c r="B571" s="4">
        <v>98</v>
      </c>
    </row>
    <row r="572" customHeight="1" spans="1:2">
      <c r="A572" s="3" t="s">
        <v>9335</v>
      </c>
      <c r="B572" s="4">
        <v>101</v>
      </c>
    </row>
    <row r="573" customHeight="1" spans="1:2">
      <c r="A573" s="3" t="s">
        <v>1829</v>
      </c>
      <c r="B573" s="4">
        <v>143</v>
      </c>
    </row>
    <row r="574" customHeight="1" spans="1:2">
      <c r="A574" s="3" t="s">
        <v>15368</v>
      </c>
      <c r="B574" s="4">
        <v>128</v>
      </c>
    </row>
    <row r="575" customHeight="1" spans="1:2">
      <c r="A575" s="3" t="s">
        <v>7705</v>
      </c>
      <c r="B575" s="4">
        <v>330</v>
      </c>
    </row>
    <row r="576" customHeight="1" spans="1:2">
      <c r="A576" s="3" t="s">
        <v>9648</v>
      </c>
      <c r="B576" s="4">
        <v>144</v>
      </c>
    </row>
    <row r="577" customHeight="1" spans="1:2">
      <c r="A577" s="3" t="s">
        <v>5362</v>
      </c>
      <c r="B577" s="4">
        <v>110</v>
      </c>
    </row>
    <row r="578" customHeight="1" spans="1:2">
      <c r="A578" s="3" t="s">
        <v>9987</v>
      </c>
      <c r="B578" s="4">
        <v>92</v>
      </c>
    </row>
    <row r="579" customHeight="1" spans="1:2">
      <c r="A579" s="3" t="s">
        <v>20887</v>
      </c>
      <c r="B579" s="4">
        <v>92</v>
      </c>
    </row>
    <row r="580" customHeight="1" spans="1:2">
      <c r="A580" s="3" t="s">
        <v>22772</v>
      </c>
      <c r="B580" s="4">
        <v>107</v>
      </c>
    </row>
    <row r="581" customHeight="1" spans="1:2">
      <c r="A581" s="3" t="s">
        <v>11924</v>
      </c>
      <c r="B581" s="4">
        <v>107</v>
      </c>
    </row>
    <row r="582" customHeight="1" spans="1:2">
      <c r="A582" s="3" t="s">
        <v>8267</v>
      </c>
      <c r="B582" s="4">
        <v>124</v>
      </c>
    </row>
    <row r="583" customHeight="1" spans="1:2">
      <c r="A583" s="3" t="s">
        <v>21721</v>
      </c>
      <c r="B583" s="4">
        <v>88</v>
      </c>
    </row>
    <row r="584" customHeight="1" spans="1:2">
      <c r="A584" s="3" t="s">
        <v>8366</v>
      </c>
      <c r="B584" s="4">
        <v>104</v>
      </c>
    </row>
    <row r="585" customHeight="1" spans="1:2">
      <c r="A585" s="3" t="s">
        <v>11813</v>
      </c>
      <c r="B585" s="4">
        <v>98</v>
      </c>
    </row>
    <row r="586" customHeight="1" spans="1:2">
      <c r="A586" s="3" t="s">
        <v>21343</v>
      </c>
      <c r="B586" s="4">
        <v>108</v>
      </c>
    </row>
    <row r="587" customHeight="1" spans="1:2">
      <c r="A587" s="3" t="s">
        <v>22834</v>
      </c>
      <c r="B587" s="4">
        <v>90</v>
      </c>
    </row>
    <row r="588" customHeight="1" spans="1:2">
      <c r="A588" s="3" t="s">
        <v>7157</v>
      </c>
      <c r="B588" s="4">
        <v>93</v>
      </c>
    </row>
    <row r="589" customHeight="1" spans="1:2">
      <c r="A589" s="3" t="s">
        <v>21565</v>
      </c>
      <c r="B589" s="4">
        <v>112</v>
      </c>
    </row>
    <row r="590" customHeight="1" spans="1:2">
      <c r="A590" s="3" t="s">
        <v>13099</v>
      </c>
      <c r="B590" s="4">
        <v>97</v>
      </c>
    </row>
    <row r="591" customHeight="1" spans="1:2">
      <c r="A591" s="3" t="s">
        <v>12293</v>
      </c>
      <c r="B591" s="4">
        <v>128</v>
      </c>
    </row>
    <row r="592" customHeight="1" spans="1:2">
      <c r="A592" s="3" t="s">
        <v>13491</v>
      </c>
      <c r="B592" s="4">
        <v>112</v>
      </c>
    </row>
    <row r="593" customHeight="1" spans="1:2">
      <c r="A593" s="3" t="s">
        <v>15084</v>
      </c>
      <c r="B593" s="4">
        <v>114</v>
      </c>
    </row>
    <row r="594" customHeight="1" spans="1:2">
      <c r="A594" s="3" t="s">
        <v>3595</v>
      </c>
      <c r="B594" s="4">
        <v>128</v>
      </c>
    </row>
    <row r="595" customHeight="1" spans="1:2">
      <c r="A595" s="3" t="s">
        <v>10317</v>
      </c>
      <c r="B595" s="4">
        <v>139</v>
      </c>
    </row>
    <row r="596" customHeight="1" spans="1:2">
      <c r="A596" s="3" t="s">
        <v>8004</v>
      </c>
      <c r="B596" s="4">
        <v>110</v>
      </c>
    </row>
    <row r="597" customHeight="1" spans="1:2">
      <c r="A597" s="3" t="s">
        <v>15656</v>
      </c>
      <c r="B597" s="4">
        <v>120</v>
      </c>
    </row>
    <row r="598" customHeight="1" spans="1:2">
      <c r="A598" s="3" t="s">
        <v>866</v>
      </c>
      <c r="B598" s="4">
        <v>96</v>
      </c>
    </row>
    <row r="599" customHeight="1" spans="1:2">
      <c r="A599" s="3" t="s">
        <v>16089</v>
      </c>
      <c r="B599" s="4">
        <v>116</v>
      </c>
    </row>
    <row r="600" customHeight="1" spans="1:2">
      <c r="A600" s="3" t="s">
        <v>11398</v>
      </c>
      <c r="B600" s="4">
        <v>114</v>
      </c>
    </row>
    <row r="601" customHeight="1" spans="1:2">
      <c r="A601" s="3" t="s">
        <v>15112</v>
      </c>
      <c r="B601" s="4">
        <v>40</v>
      </c>
    </row>
    <row r="602" customHeight="1" spans="1:2">
      <c r="A602" s="3" t="s">
        <v>10779</v>
      </c>
      <c r="B602" s="4">
        <v>89</v>
      </c>
    </row>
    <row r="603" customHeight="1" spans="1:2">
      <c r="A603" s="3" t="s">
        <v>12917</v>
      </c>
      <c r="B603" s="4">
        <v>155</v>
      </c>
    </row>
    <row r="604" customHeight="1" spans="1:2">
      <c r="A604" s="3" t="s">
        <v>12894</v>
      </c>
      <c r="B604" s="4">
        <v>90</v>
      </c>
    </row>
    <row r="605" customHeight="1" spans="1:2">
      <c r="A605" s="3" t="s">
        <v>20192</v>
      </c>
      <c r="B605" s="4">
        <v>119</v>
      </c>
    </row>
    <row r="606" customHeight="1" spans="1:2">
      <c r="A606" s="3" t="s">
        <v>6105</v>
      </c>
      <c r="B606" s="4">
        <v>117</v>
      </c>
    </row>
    <row r="607" customHeight="1" spans="1:2">
      <c r="A607" s="3" t="s">
        <v>11730</v>
      </c>
      <c r="B607" s="4">
        <v>82</v>
      </c>
    </row>
    <row r="608" customHeight="1" spans="1:2">
      <c r="A608" s="3" t="s">
        <v>18077</v>
      </c>
      <c r="B608" s="4">
        <v>109</v>
      </c>
    </row>
    <row r="609" customHeight="1" spans="1:2">
      <c r="A609" s="3" t="s">
        <v>13380</v>
      </c>
      <c r="B609" s="4">
        <v>145</v>
      </c>
    </row>
    <row r="610" customHeight="1" spans="1:2">
      <c r="A610" s="3" t="s">
        <v>22752</v>
      </c>
      <c r="B610" s="4">
        <v>82</v>
      </c>
    </row>
    <row r="611" customHeight="1" spans="1:2">
      <c r="A611" s="3" t="s">
        <v>17941</v>
      </c>
      <c r="B611" s="4">
        <v>91</v>
      </c>
    </row>
    <row r="612" customHeight="1" spans="1:2">
      <c r="A612" s="3" t="s">
        <v>17875</v>
      </c>
      <c r="B612" s="4">
        <v>110</v>
      </c>
    </row>
    <row r="613" customHeight="1" spans="1:2">
      <c r="A613" s="3" t="s">
        <v>18241</v>
      </c>
      <c r="B613" s="4">
        <v>109</v>
      </c>
    </row>
    <row r="614" customHeight="1" spans="1:2">
      <c r="A614" s="3" t="s">
        <v>4653</v>
      </c>
      <c r="B614" s="4">
        <v>85</v>
      </c>
    </row>
    <row r="615" customHeight="1" spans="1:2">
      <c r="A615" s="3" t="s">
        <v>19189</v>
      </c>
      <c r="B615" s="4">
        <v>120</v>
      </c>
    </row>
    <row r="616" customHeight="1" spans="1:2">
      <c r="A616" s="3" t="s">
        <v>18511</v>
      </c>
      <c r="B616" s="4">
        <v>165</v>
      </c>
    </row>
    <row r="617" customHeight="1" spans="1:2">
      <c r="A617" s="3" t="s">
        <v>19629</v>
      </c>
      <c r="B617" s="4">
        <v>105</v>
      </c>
    </row>
    <row r="618" customHeight="1" spans="1:2">
      <c r="A618" s="3" t="s">
        <v>12477</v>
      </c>
      <c r="B618" s="4">
        <v>94</v>
      </c>
    </row>
    <row r="619" customHeight="1" spans="1:2">
      <c r="A619" s="3" t="s">
        <v>20166</v>
      </c>
      <c r="B619" s="4">
        <v>118</v>
      </c>
    </row>
    <row r="620" customHeight="1" spans="1:2">
      <c r="A620" s="3" t="s">
        <v>16857</v>
      </c>
      <c r="B620" s="4">
        <v>112</v>
      </c>
    </row>
    <row r="621" customHeight="1" spans="1:2">
      <c r="A621" s="3" t="s">
        <v>19484</v>
      </c>
      <c r="B621" s="4">
        <v>44</v>
      </c>
    </row>
    <row r="622" customHeight="1" spans="1:2">
      <c r="A622" s="3" t="s">
        <v>6324</v>
      </c>
      <c r="B622" s="4">
        <v>155</v>
      </c>
    </row>
    <row r="623" customHeight="1" spans="1:2">
      <c r="A623" s="3" t="s">
        <v>16851</v>
      </c>
      <c r="B623" s="4">
        <v>88</v>
      </c>
    </row>
    <row r="624" customHeight="1" spans="1:2">
      <c r="A624" s="3" t="s">
        <v>19489</v>
      </c>
      <c r="B624" s="4">
        <v>120</v>
      </c>
    </row>
    <row r="625" customHeight="1" spans="1:2">
      <c r="A625" s="3" t="s">
        <v>406</v>
      </c>
      <c r="B625" s="4">
        <v>93</v>
      </c>
    </row>
    <row r="626" customHeight="1" spans="1:2">
      <c r="A626" s="3" t="s">
        <v>3245</v>
      </c>
      <c r="B626" s="4">
        <v>178</v>
      </c>
    </row>
    <row r="627" customHeight="1" spans="1:2">
      <c r="A627" s="3" t="s">
        <v>13063</v>
      </c>
      <c r="B627" s="4">
        <v>142</v>
      </c>
    </row>
    <row r="628" customHeight="1" spans="1:2">
      <c r="A628" s="3" t="s">
        <v>7172</v>
      </c>
      <c r="B628" s="4">
        <v>93</v>
      </c>
    </row>
    <row r="629" customHeight="1" spans="1:2">
      <c r="A629" s="3" t="s">
        <v>14397</v>
      </c>
      <c r="B629" s="4">
        <v>110</v>
      </c>
    </row>
    <row r="630" customHeight="1" spans="1:2">
      <c r="A630" s="3" t="s">
        <v>15670</v>
      </c>
      <c r="B630" s="4">
        <v>85</v>
      </c>
    </row>
    <row r="631" customHeight="1" spans="1:2">
      <c r="A631" s="3" t="s">
        <v>24047</v>
      </c>
      <c r="B631" s="4">
        <v>88</v>
      </c>
    </row>
    <row r="632" customHeight="1" spans="1:2">
      <c r="A632" s="3" t="s">
        <v>19867</v>
      </c>
      <c r="B632" s="4">
        <v>101</v>
      </c>
    </row>
    <row r="633" customHeight="1" spans="1:2">
      <c r="A633" s="3" t="s">
        <v>9045</v>
      </c>
      <c r="B633" s="4">
        <v>100</v>
      </c>
    </row>
    <row r="634" customHeight="1" spans="1:2">
      <c r="A634" s="3" t="s">
        <v>16601</v>
      </c>
      <c r="B634" s="4">
        <v>122</v>
      </c>
    </row>
    <row r="635" customHeight="1" spans="1:2">
      <c r="A635" s="3" t="s">
        <v>9665</v>
      </c>
      <c r="B635" s="4">
        <v>89</v>
      </c>
    </row>
    <row r="636" customHeight="1" spans="1:2">
      <c r="A636" s="3" t="s">
        <v>8244</v>
      </c>
      <c r="B636" s="4">
        <v>89</v>
      </c>
    </row>
    <row r="637" customHeight="1" spans="1:2">
      <c r="A637" s="3" t="s">
        <v>7914</v>
      </c>
      <c r="B637" s="4">
        <v>131</v>
      </c>
    </row>
    <row r="638" customHeight="1" spans="1:2">
      <c r="A638" s="3" t="s">
        <v>6410</v>
      </c>
      <c r="B638" s="4">
        <v>142</v>
      </c>
    </row>
    <row r="639" customHeight="1" spans="1:2">
      <c r="A639" s="3" t="s">
        <v>9510</v>
      </c>
      <c r="B639" s="4">
        <v>96</v>
      </c>
    </row>
    <row r="640" customHeight="1" spans="1:2">
      <c r="A640" s="3" t="s">
        <v>5271</v>
      </c>
      <c r="B640" s="4">
        <v>108</v>
      </c>
    </row>
    <row r="641" customHeight="1" spans="1:2">
      <c r="A641" s="3" t="s">
        <v>9463</v>
      </c>
      <c r="B641" s="4">
        <v>97</v>
      </c>
    </row>
    <row r="642" customHeight="1" spans="1:2">
      <c r="A642" s="3" t="s">
        <v>21700</v>
      </c>
      <c r="B642" s="4">
        <v>119</v>
      </c>
    </row>
    <row r="643" customHeight="1" spans="1:2">
      <c r="A643" s="3" t="s">
        <v>9787</v>
      </c>
      <c r="B643" s="4">
        <v>107</v>
      </c>
    </row>
    <row r="644" customHeight="1" spans="1:2">
      <c r="A644" s="3" t="s">
        <v>15895</v>
      </c>
      <c r="B644" s="4">
        <v>119</v>
      </c>
    </row>
    <row r="645" customHeight="1" spans="1:2">
      <c r="A645" s="3" t="s">
        <v>14678</v>
      </c>
      <c r="B645" s="4">
        <v>111</v>
      </c>
    </row>
    <row r="646" customHeight="1" spans="1:2">
      <c r="A646" s="3" t="s">
        <v>14797</v>
      </c>
      <c r="B646" s="4">
        <v>98</v>
      </c>
    </row>
    <row r="647" customHeight="1" spans="1:2">
      <c r="A647" s="3" t="s">
        <v>10656</v>
      </c>
      <c r="B647" s="4">
        <v>105</v>
      </c>
    </row>
    <row r="648" customHeight="1" spans="1:2">
      <c r="A648" s="3" t="s">
        <v>7991</v>
      </c>
      <c r="B648" s="4">
        <v>121</v>
      </c>
    </row>
    <row r="649" customHeight="1" spans="1:2">
      <c r="A649" s="3" t="s">
        <v>13587</v>
      </c>
      <c r="B649" s="4">
        <v>134</v>
      </c>
    </row>
    <row r="650" customHeight="1" spans="1:2">
      <c r="A650" s="3" t="s">
        <v>9919</v>
      </c>
      <c r="B650" s="4">
        <v>100</v>
      </c>
    </row>
    <row r="651" customHeight="1" spans="1:2">
      <c r="A651" s="3" t="s">
        <v>3707</v>
      </c>
      <c r="B651" s="4">
        <v>108</v>
      </c>
    </row>
    <row r="652" customHeight="1" spans="1:2">
      <c r="A652" s="3" t="s">
        <v>7576</v>
      </c>
      <c r="B652" s="4">
        <v>109</v>
      </c>
    </row>
    <row r="653" customHeight="1" spans="1:2">
      <c r="A653" s="3" t="s">
        <v>13378</v>
      </c>
      <c r="B653" s="4">
        <v>101</v>
      </c>
    </row>
    <row r="654" customHeight="1" spans="1:2">
      <c r="A654" s="3" t="s">
        <v>22418</v>
      </c>
      <c r="B654" s="4">
        <v>90</v>
      </c>
    </row>
    <row r="655" customHeight="1" spans="1:2">
      <c r="A655" s="3" t="s">
        <v>23339</v>
      </c>
      <c r="B655" s="4">
        <v>92</v>
      </c>
    </row>
    <row r="656" customHeight="1" spans="1:2">
      <c r="A656" s="3" t="s">
        <v>16205</v>
      </c>
      <c r="B656" s="4">
        <v>99</v>
      </c>
    </row>
    <row r="657" customHeight="1" spans="1:2">
      <c r="A657" s="3" t="s">
        <v>14584</v>
      </c>
      <c r="B657" s="4">
        <v>111</v>
      </c>
    </row>
    <row r="658" customHeight="1" spans="1:2">
      <c r="A658" s="3" t="s">
        <v>12253</v>
      </c>
      <c r="B658" s="4">
        <v>132</v>
      </c>
    </row>
    <row r="659" customHeight="1" spans="1:2">
      <c r="A659" s="3" t="s">
        <v>14368</v>
      </c>
      <c r="B659" s="4">
        <v>114</v>
      </c>
    </row>
    <row r="660" customHeight="1" spans="1:2">
      <c r="A660" s="3" t="s">
        <v>20654</v>
      </c>
      <c r="B660" s="4">
        <v>89</v>
      </c>
    </row>
    <row r="661" customHeight="1" spans="1:2">
      <c r="A661" s="3" t="s">
        <v>9303</v>
      </c>
      <c r="B661" s="4">
        <v>210</v>
      </c>
    </row>
    <row r="662" customHeight="1" spans="1:2">
      <c r="A662" s="3" t="s">
        <v>16008</v>
      </c>
      <c r="B662" s="4">
        <v>109</v>
      </c>
    </row>
    <row r="663" customHeight="1" spans="1:2">
      <c r="A663" s="3" t="s">
        <v>2529</v>
      </c>
      <c r="B663" s="4">
        <v>101</v>
      </c>
    </row>
    <row r="664" customHeight="1" spans="1:2">
      <c r="A664" s="3" t="s">
        <v>6140</v>
      </c>
      <c r="B664" s="4">
        <v>81</v>
      </c>
    </row>
    <row r="665" customHeight="1" spans="1:2">
      <c r="A665" s="3" t="s">
        <v>21688</v>
      </c>
      <c r="B665" s="4">
        <v>92</v>
      </c>
    </row>
    <row r="666" customHeight="1" spans="1:2">
      <c r="A666" s="3" t="s">
        <v>13814</v>
      </c>
      <c r="B666" s="4">
        <v>84</v>
      </c>
    </row>
    <row r="667" customHeight="1" spans="1:2">
      <c r="A667" s="3" t="s">
        <v>15217</v>
      </c>
      <c r="B667" s="4">
        <v>97</v>
      </c>
    </row>
    <row r="668" customHeight="1" spans="1:2">
      <c r="A668" s="3" t="s">
        <v>18664</v>
      </c>
      <c r="B668" s="4">
        <v>120</v>
      </c>
    </row>
    <row r="669" customHeight="1" spans="1:2">
      <c r="A669" s="3" t="s">
        <v>20925</v>
      </c>
      <c r="B669" s="4">
        <v>110</v>
      </c>
    </row>
    <row r="670" customHeight="1" spans="1:2">
      <c r="A670" s="3" t="s">
        <v>13230</v>
      </c>
      <c r="B670" s="4">
        <v>98</v>
      </c>
    </row>
    <row r="671" customHeight="1" spans="1:2">
      <c r="A671" s="3" t="s">
        <v>16548</v>
      </c>
      <c r="B671" s="4">
        <v>44</v>
      </c>
    </row>
    <row r="672" customHeight="1" spans="1:2">
      <c r="A672" s="3" t="s">
        <v>4848</v>
      </c>
      <c r="B672" s="4">
        <v>92</v>
      </c>
    </row>
    <row r="673" customHeight="1" spans="1:2">
      <c r="A673" s="3" t="s">
        <v>4975</v>
      </c>
      <c r="B673" s="4">
        <v>104</v>
      </c>
    </row>
    <row r="674" customHeight="1" spans="1:2">
      <c r="A674" s="3" t="s">
        <v>11181</v>
      </c>
      <c r="B674" s="4">
        <v>98</v>
      </c>
    </row>
    <row r="675" customHeight="1" spans="1:2">
      <c r="A675" s="3" t="s">
        <v>20075</v>
      </c>
      <c r="B675" s="4">
        <v>115</v>
      </c>
    </row>
    <row r="676" customHeight="1" spans="1:2">
      <c r="A676" s="3" t="s">
        <v>8469</v>
      </c>
      <c r="B676" s="4">
        <v>108</v>
      </c>
    </row>
    <row r="677" customHeight="1" spans="1:2">
      <c r="A677" s="3" t="s">
        <v>20614</v>
      </c>
      <c r="B677" s="4">
        <v>95</v>
      </c>
    </row>
    <row r="678" customHeight="1" spans="1:2">
      <c r="A678" s="3" t="s">
        <v>4814</v>
      </c>
      <c r="B678" s="4">
        <v>119</v>
      </c>
    </row>
    <row r="679" customHeight="1" spans="1:2">
      <c r="A679" s="3" t="s">
        <v>7115</v>
      </c>
      <c r="B679" s="4">
        <v>96</v>
      </c>
    </row>
    <row r="680" customHeight="1" spans="1:2">
      <c r="A680" s="3" t="s">
        <v>23354</v>
      </c>
      <c r="B680" s="4">
        <v>86</v>
      </c>
    </row>
    <row r="681" customHeight="1" spans="1:2">
      <c r="A681" s="3" t="s">
        <v>11244</v>
      </c>
      <c r="B681" s="4">
        <v>101</v>
      </c>
    </row>
    <row r="682" customHeight="1" spans="1:2">
      <c r="A682" s="3" t="s">
        <v>21312</v>
      </c>
      <c r="B682" s="4">
        <v>85</v>
      </c>
    </row>
    <row r="683" customHeight="1" spans="1:2">
      <c r="A683" s="3" t="s">
        <v>16991</v>
      </c>
      <c r="B683" s="4">
        <v>110</v>
      </c>
    </row>
    <row r="684" customHeight="1" spans="1:2">
      <c r="A684" s="3" t="s">
        <v>23542</v>
      </c>
      <c r="B684" s="4">
        <v>78</v>
      </c>
    </row>
    <row r="685" customHeight="1" spans="1:2">
      <c r="A685" s="3" t="s">
        <v>23296</v>
      </c>
      <c r="B685" s="4">
        <v>108</v>
      </c>
    </row>
    <row r="686" customHeight="1" spans="1:2">
      <c r="A686" s="3" t="s">
        <v>11439</v>
      </c>
      <c r="B686" s="4">
        <v>122</v>
      </c>
    </row>
    <row r="687" customHeight="1" spans="1:2">
      <c r="A687" s="3" t="s">
        <v>21244</v>
      </c>
      <c r="B687" s="4">
        <v>96</v>
      </c>
    </row>
    <row r="688" customHeight="1" spans="1:2">
      <c r="A688" s="3" t="s">
        <v>16734</v>
      </c>
      <c r="B688" s="4">
        <v>118</v>
      </c>
    </row>
    <row r="689" customHeight="1" spans="1:2">
      <c r="A689" s="3" t="s">
        <v>20877</v>
      </c>
      <c r="B689" s="4">
        <v>99</v>
      </c>
    </row>
    <row r="690" customHeight="1" spans="1:2">
      <c r="A690" s="3" t="s">
        <v>17012</v>
      </c>
      <c r="B690" s="4">
        <v>98</v>
      </c>
    </row>
    <row r="691" customHeight="1" spans="1:2">
      <c r="A691" s="3" t="s">
        <v>14265</v>
      </c>
      <c r="B691" s="4">
        <v>109</v>
      </c>
    </row>
    <row r="692" customHeight="1" spans="1:2">
      <c r="A692" s="3" t="s">
        <v>23433</v>
      </c>
      <c r="B692" s="4">
        <v>86</v>
      </c>
    </row>
    <row r="693" customHeight="1" spans="1:2">
      <c r="A693" s="3" t="s">
        <v>18167</v>
      </c>
      <c r="B693" s="4">
        <v>79</v>
      </c>
    </row>
    <row r="694" customHeight="1" spans="1:2">
      <c r="A694" s="3" t="s">
        <v>14926</v>
      </c>
      <c r="B694" s="4">
        <v>100</v>
      </c>
    </row>
    <row r="695" customHeight="1" spans="1:2">
      <c r="A695" s="3" t="s">
        <v>11405</v>
      </c>
      <c r="B695" s="4">
        <v>124</v>
      </c>
    </row>
    <row r="696" customHeight="1" spans="1:2">
      <c r="A696" s="3" t="s">
        <v>7292</v>
      </c>
      <c r="B696" s="4">
        <v>128</v>
      </c>
    </row>
    <row r="697" customHeight="1" spans="1:2">
      <c r="A697" s="3" t="s">
        <v>11141</v>
      </c>
      <c r="B697" s="4">
        <v>105</v>
      </c>
    </row>
    <row r="698" customHeight="1" spans="1:2">
      <c r="A698" s="3" t="s">
        <v>16501</v>
      </c>
      <c r="B698" s="4">
        <v>110</v>
      </c>
    </row>
    <row r="699" customHeight="1" spans="1:2">
      <c r="A699" s="3" t="s">
        <v>18081</v>
      </c>
      <c r="B699" s="4">
        <v>130</v>
      </c>
    </row>
    <row r="700" customHeight="1" spans="1:2">
      <c r="A700" s="3" t="s">
        <v>9041</v>
      </c>
      <c r="B700" s="4">
        <v>145</v>
      </c>
    </row>
    <row r="701" customHeight="1" spans="1:2">
      <c r="A701" s="3" t="s">
        <v>223</v>
      </c>
      <c r="B701" s="4">
        <v>147</v>
      </c>
    </row>
    <row r="702" customHeight="1" spans="1:2">
      <c r="A702" s="3" t="s">
        <v>1089</v>
      </c>
      <c r="B702" s="4">
        <v>124</v>
      </c>
    </row>
    <row r="703" customHeight="1" spans="1:2">
      <c r="A703" s="3" t="s">
        <v>595</v>
      </c>
      <c r="B703" s="4">
        <v>136</v>
      </c>
    </row>
    <row r="704" customHeight="1" spans="1:2">
      <c r="A704" s="3" t="s">
        <v>4542</v>
      </c>
      <c r="B704" s="4">
        <v>131</v>
      </c>
    </row>
    <row r="705" customHeight="1" spans="1:2">
      <c r="A705" s="3" t="s">
        <v>4606</v>
      </c>
      <c r="B705" s="4">
        <v>134</v>
      </c>
    </row>
    <row r="706" customHeight="1" spans="1:2">
      <c r="A706" s="3" t="s">
        <v>20274</v>
      </c>
      <c r="B706" s="4">
        <v>97</v>
      </c>
    </row>
    <row r="707" customHeight="1" spans="1:2">
      <c r="A707" s="3" t="s">
        <v>20839</v>
      </c>
      <c r="B707" s="4">
        <v>95</v>
      </c>
    </row>
    <row r="708" customHeight="1" spans="1:2">
      <c r="A708" s="3" t="s">
        <v>13545</v>
      </c>
      <c r="B708" s="4">
        <v>127</v>
      </c>
    </row>
    <row r="709" customHeight="1" spans="1:2">
      <c r="A709" s="3" t="s">
        <v>18398</v>
      </c>
      <c r="B709" s="4">
        <v>112</v>
      </c>
    </row>
    <row r="710" customHeight="1" spans="1:2">
      <c r="A710" s="3" t="s">
        <v>12051</v>
      </c>
      <c r="B710" s="4">
        <v>334</v>
      </c>
    </row>
    <row r="711" customHeight="1" spans="1:2">
      <c r="A711" s="3" t="s">
        <v>9991</v>
      </c>
      <c r="B711" s="4">
        <v>80</v>
      </c>
    </row>
    <row r="712" customHeight="1" spans="1:2">
      <c r="A712" s="3" t="s">
        <v>8419</v>
      </c>
      <c r="B712" s="4">
        <v>200</v>
      </c>
    </row>
    <row r="713" customHeight="1" spans="1:2">
      <c r="A713" s="3" t="s">
        <v>3174</v>
      </c>
      <c r="B713" s="4">
        <v>84</v>
      </c>
    </row>
    <row r="714" customHeight="1" spans="1:2">
      <c r="A714" s="3" t="s">
        <v>311</v>
      </c>
      <c r="B714" s="4">
        <v>106</v>
      </c>
    </row>
    <row r="715" customHeight="1" spans="1:2">
      <c r="A715" s="3" t="s">
        <v>3301</v>
      </c>
      <c r="B715" s="4">
        <v>117</v>
      </c>
    </row>
    <row r="716" customHeight="1" spans="1:2">
      <c r="A716" s="3" t="s">
        <v>17119</v>
      </c>
      <c r="B716" s="4">
        <v>84</v>
      </c>
    </row>
    <row r="717" customHeight="1" spans="1:2">
      <c r="A717" s="3" t="s">
        <v>21485</v>
      </c>
      <c r="B717" s="4">
        <v>82</v>
      </c>
    </row>
    <row r="718" customHeight="1" spans="1:2">
      <c r="A718" s="3" t="s">
        <v>9170</v>
      </c>
      <c r="B718" s="4">
        <v>109</v>
      </c>
    </row>
    <row r="719" customHeight="1" spans="1:2">
      <c r="A719" s="3" t="s">
        <v>13989</v>
      </c>
      <c r="B719" s="4">
        <v>108</v>
      </c>
    </row>
    <row r="720" customHeight="1" spans="1:2">
      <c r="A720" s="3" t="s">
        <v>1709</v>
      </c>
      <c r="B720" s="4">
        <v>288</v>
      </c>
    </row>
    <row r="721" customHeight="1" spans="1:2">
      <c r="A721" s="3" t="s">
        <v>4963</v>
      </c>
      <c r="B721" s="4">
        <v>178</v>
      </c>
    </row>
    <row r="722" customHeight="1" spans="1:2">
      <c r="A722" s="3" t="s">
        <v>4613</v>
      </c>
      <c r="B722" s="4">
        <v>100</v>
      </c>
    </row>
    <row r="723" customHeight="1" spans="1:2">
      <c r="A723" s="3" t="s">
        <v>2311</v>
      </c>
      <c r="B723" s="4">
        <v>143</v>
      </c>
    </row>
    <row r="724" customHeight="1" spans="1:2">
      <c r="A724" s="3" t="s">
        <v>19221</v>
      </c>
      <c r="B724" s="4">
        <v>108</v>
      </c>
    </row>
    <row r="725" customHeight="1" spans="1:2">
      <c r="A725" s="3" t="s">
        <v>13942</v>
      </c>
      <c r="B725" s="4">
        <v>186</v>
      </c>
    </row>
    <row r="726" customHeight="1" spans="1:2">
      <c r="A726" s="3" t="s">
        <v>13525</v>
      </c>
      <c r="B726" s="4">
        <v>98</v>
      </c>
    </row>
    <row r="727" customHeight="1" spans="1:2">
      <c r="A727" s="3" t="s">
        <v>4921</v>
      </c>
      <c r="B727" s="4">
        <v>141</v>
      </c>
    </row>
    <row r="728" customHeight="1" spans="1:2">
      <c r="A728" s="3" t="s">
        <v>11895</v>
      </c>
      <c r="B728" s="4">
        <v>91</v>
      </c>
    </row>
    <row r="729" customHeight="1" spans="1:2">
      <c r="A729" s="3" t="s">
        <v>11844</v>
      </c>
      <c r="B729" s="4">
        <v>122</v>
      </c>
    </row>
    <row r="730" customHeight="1" spans="1:2">
      <c r="A730" s="3" t="s">
        <v>3992</v>
      </c>
      <c r="B730" s="4">
        <v>87</v>
      </c>
    </row>
    <row r="731" customHeight="1" spans="1:2">
      <c r="A731" s="3" t="s">
        <v>2505</v>
      </c>
      <c r="B731" s="4">
        <v>82</v>
      </c>
    </row>
    <row r="732" customHeight="1" spans="1:2">
      <c r="A732" s="3" t="s">
        <v>8013</v>
      </c>
      <c r="B732" s="4">
        <v>75</v>
      </c>
    </row>
    <row r="733" customHeight="1" spans="1:2">
      <c r="A733" s="3" t="s">
        <v>1863</v>
      </c>
      <c r="B733" s="4">
        <v>87</v>
      </c>
    </row>
    <row r="734" customHeight="1" spans="1:2">
      <c r="A734" s="3" t="s">
        <v>24114</v>
      </c>
      <c r="B734" s="4">
        <v>80</v>
      </c>
    </row>
    <row r="735" customHeight="1" spans="1:2">
      <c r="A735" s="3" t="s">
        <v>15265</v>
      </c>
      <c r="B735" s="4">
        <v>87</v>
      </c>
    </row>
    <row r="736" customHeight="1" spans="1:2">
      <c r="A736" s="3" t="s">
        <v>15107</v>
      </c>
      <c r="B736" s="4">
        <v>87</v>
      </c>
    </row>
    <row r="737" customHeight="1" spans="1:2">
      <c r="A737" s="3" t="s">
        <v>14281</v>
      </c>
      <c r="B737" s="4">
        <v>113</v>
      </c>
    </row>
    <row r="738" customHeight="1" spans="1:2">
      <c r="A738" s="3" t="s">
        <v>22119</v>
      </c>
      <c r="B738" s="4">
        <v>92</v>
      </c>
    </row>
    <row r="739" customHeight="1" spans="1:2">
      <c r="A739" s="3" t="s">
        <v>5865</v>
      </c>
      <c r="B739" s="4">
        <v>94</v>
      </c>
    </row>
    <row r="740" customHeight="1" spans="1:2">
      <c r="A740" s="3" t="s">
        <v>22964</v>
      </c>
      <c r="B740" s="4">
        <v>84</v>
      </c>
    </row>
    <row r="741" customHeight="1" spans="1:2">
      <c r="A741" s="3" t="s">
        <v>11885</v>
      </c>
      <c r="B741" s="4">
        <v>115</v>
      </c>
    </row>
    <row r="742" customHeight="1" spans="1:2">
      <c r="A742" s="3" t="s">
        <v>5062</v>
      </c>
      <c r="B742" s="4">
        <v>107</v>
      </c>
    </row>
    <row r="743" customHeight="1" spans="1:2">
      <c r="A743" s="3" t="s">
        <v>19615</v>
      </c>
      <c r="B743" s="4">
        <v>113</v>
      </c>
    </row>
    <row r="744" customHeight="1" spans="1:2">
      <c r="A744" s="3" t="s">
        <v>13251</v>
      </c>
      <c r="B744" s="4">
        <v>97</v>
      </c>
    </row>
    <row r="745" customHeight="1" spans="1:2">
      <c r="A745" s="3" t="s">
        <v>21357</v>
      </c>
      <c r="B745" s="4">
        <v>85</v>
      </c>
    </row>
    <row r="746" customHeight="1" spans="1:2">
      <c r="A746" s="3" t="s">
        <v>19514</v>
      </c>
      <c r="B746" s="4">
        <v>88</v>
      </c>
    </row>
    <row r="747" customHeight="1" spans="1:2">
      <c r="A747" s="3" t="s">
        <v>18876</v>
      </c>
      <c r="B747" s="4">
        <v>88</v>
      </c>
    </row>
    <row r="748" customHeight="1" spans="1:2">
      <c r="A748" s="3" t="s">
        <v>4761</v>
      </c>
      <c r="B748" s="4">
        <v>107</v>
      </c>
    </row>
    <row r="749" customHeight="1" spans="1:2">
      <c r="A749" s="3" t="s">
        <v>16699</v>
      </c>
      <c r="B749" s="4">
        <v>95</v>
      </c>
    </row>
    <row r="750" customHeight="1" spans="1:2">
      <c r="A750" s="3" t="s">
        <v>4758</v>
      </c>
      <c r="B750" s="4">
        <v>141</v>
      </c>
    </row>
    <row r="751" customHeight="1" spans="1:2">
      <c r="A751" s="3" t="s">
        <v>5778</v>
      </c>
      <c r="B751" s="4">
        <v>91</v>
      </c>
    </row>
    <row r="752" customHeight="1" spans="1:2">
      <c r="A752" s="3" t="s">
        <v>5531</v>
      </c>
      <c r="B752" s="4">
        <v>120</v>
      </c>
    </row>
    <row r="753" customHeight="1" spans="1:2">
      <c r="A753" s="3" t="s">
        <v>18289</v>
      </c>
      <c r="B753" s="4">
        <v>122</v>
      </c>
    </row>
    <row r="754" customHeight="1" spans="1:2">
      <c r="A754" s="3" t="s">
        <v>17387</v>
      </c>
      <c r="B754" s="4">
        <v>125</v>
      </c>
    </row>
    <row r="755" customHeight="1" spans="1:2">
      <c r="A755" s="3" t="s">
        <v>790</v>
      </c>
      <c r="B755" s="4">
        <v>115</v>
      </c>
    </row>
    <row r="756" customHeight="1" spans="1:2">
      <c r="A756" s="3" t="s">
        <v>14325</v>
      </c>
      <c r="B756" s="4">
        <v>97</v>
      </c>
    </row>
    <row r="757" customHeight="1" spans="1:2">
      <c r="A757" s="3" t="s">
        <v>6079</v>
      </c>
      <c r="B757" s="4">
        <v>99</v>
      </c>
    </row>
    <row r="758" customHeight="1" spans="1:2">
      <c r="A758" s="3" t="s">
        <v>3070</v>
      </c>
      <c r="B758" s="4">
        <v>102</v>
      </c>
    </row>
    <row r="759" customHeight="1" spans="1:2">
      <c r="A759" s="3" t="s">
        <v>2123</v>
      </c>
      <c r="B759" s="4">
        <v>94</v>
      </c>
    </row>
    <row r="760" customHeight="1" spans="1:2">
      <c r="A760" s="3" t="s">
        <v>1378</v>
      </c>
      <c r="B760" s="4">
        <v>107</v>
      </c>
    </row>
    <row r="761" customHeight="1" spans="1:2">
      <c r="A761" s="3" t="s">
        <v>2563</v>
      </c>
      <c r="B761" s="4">
        <v>97</v>
      </c>
    </row>
    <row r="762" customHeight="1" spans="1:2">
      <c r="A762" s="3" t="s">
        <v>22011</v>
      </c>
      <c r="B762" s="4">
        <v>103</v>
      </c>
    </row>
    <row r="763" customHeight="1" spans="1:2">
      <c r="A763" s="3" t="s">
        <v>23146</v>
      </c>
      <c r="B763" s="4">
        <v>113</v>
      </c>
    </row>
    <row r="764" customHeight="1" spans="1:2">
      <c r="A764" s="3" t="s">
        <v>8622</v>
      </c>
      <c r="B764" s="4">
        <v>202</v>
      </c>
    </row>
    <row r="765" customHeight="1" spans="1:2">
      <c r="A765" s="3" t="s">
        <v>11344</v>
      </c>
      <c r="B765" s="4">
        <v>116</v>
      </c>
    </row>
    <row r="766" customHeight="1" spans="1:2">
      <c r="A766" s="3" t="s">
        <v>15684</v>
      </c>
      <c r="B766" s="4">
        <v>76</v>
      </c>
    </row>
    <row r="767" customHeight="1" spans="1:2">
      <c r="A767" s="3" t="s">
        <v>23733</v>
      </c>
      <c r="B767" s="4">
        <v>88</v>
      </c>
    </row>
    <row r="768" customHeight="1" spans="1:2">
      <c r="A768" s="3" t="s">
        <v>4019</v>
      </c>
      <c r="B768" s="4">
        <v>94</v>
      </c>
    </row>
    <row r="769" customHeight="1" spans="1:2">
      <c r="A769" s="3" t="s">
        <v>6273</v>
      </c>
      <c r="B769" s="4">
        <v>94</v>
      </c>
    </row>
    <row r="770" customHeight="1" spans="1:2">
      <c r="A770" s="3" t="s">
        <v>21086</v>
      </c>
      <c r="B770" s="4">
        <v>97</v>
      </c>
    </row>
    <row r="771" customHeight="1" spans="1:2">
      <c r="A771" s="3" t="s">
        <v>10301</v>
      </c>
      <c r="B771" s="4">
        <v>100</v>
      </c>
    </row>
    <row r="772" customHeight="1" spans="1:2">
      <c r="A772" s="3" t="s">
        <v>21538</v>
      </c>
      <c r="B772" s="4">
        <v>86</v>
      </c>
    </row>
    <row r="773" customHeight="1" spans="1:2">
      <c r="A773" s="3" t="s">
        <v>13311</v>
      </c>
      <c r="B773" s="4">
        <v>98</v>
      </c>
    </row>
    <row r="774" customHeight="1" spans="1:2">
      <c r="A774" s="3" t="s">
        <v>19605</v>
      </c>
      <c r="B774" s="4">
        <v>94</v>
      </c>
    </row>
    <row r="775" customHeight="1" spans="1:2">
      <c r="A775" s="3" t="s">
        <v>8086</v>
      </c>
      <c r="B775" s="4">
        <v>113</v>
      </c>
    </row>
    <row r="776" customHeight="1" spans="1:2">
      <c r="A776" s="3" t="s">
        <v>3949</v>
      </c>
      <c r="B776" s="4">
        <v>81</v>
      </c>
    </row>
    <row r="777" customHeight="1" spans="1:2">
      <c r="A777" s="3" t="s">
        <v>6095</v>
      </c>
      <c r="B777" s="4">
        <v>84</v>
      </c>
    </row>
    <row r="778" customHeight="1" spans="1:2">
      <c r="A778" s="3" t="s">
        <v>20056</v>
      </c>
      <c r="B778" s="4">
        <v>90</v>
      </c>
    </row>
    <row r="779" customHeight="1" spans="1:2">
      <c r="A779" s="3" t="s">
        <v>5558</v>
      </c>
      <c r="B779" s="4">
        <v>137</v>
      </c>
    </row>
    <row r="780" customHeight="1" spans="1:2">
      <c r="A780" s="3" t="s">
        <v>21933</v>
      </c>
      <c r="B780" s="4">
        <v>90</v>
      </c>
    </row>
    <row r="781" customHeight="1" spans="1:2">
      <c r="A781" s="3" t="s">
        <v>23524</v>
      </c>
      <c r="B781" s="4">
        <v>89</v>
      </c>
    </row>
    <row r="782" customHeight="1" spans="1:2">
      <c r="A782" s="3" t="s">
        <v>2997</v>
      </c>
      <c r="B782" s="4">
        <v>109</v>
      </c>
    </row>
    <row r="783" customHeight="1" spans="1:2">
      <c r="A783" s="3" t="s">
        <v>13734</v>
      </c>
      <c r="B783" s="4">
        <v>72</v>
      </c>
    </row>
    <row r="784" customHeight="1" spans="1:2">
      <c r="A784" s="3" t="s">
        <v>15633</v>
      </c>
      <c r="B784" s="4">
        <v>87</v>
      </c>
    </row>
    <row r="785" customHeight="1" spans="1:2">
      <c r="A785" s="3" t="s">
        <v>7772</v>
      </c>
      <c r="B785" s="4">
        <v>102</v>
      </c>
    </row>
    <row r="786" customHeight="1" spans="1:2">
      <c r="A786" s="3" t="s">
        <v>13848</v>
      </c>
      <c r="B786" s="4">
        <v>96</v>
      </c>
    </row>
    <row r="787" customHeight="1" spans="1:2">
      <c r="A787" s="3" t="s">
        <v>9468</v>
      </c>
      <c r="B787" s="4">
        <v>121</v>
      </c>
    </row>
    <row r="788" customHeight="1" spans="1:2">
      <c r="A788" s="3" t="s">
        <v>21805</v>
      </c>
      <c r="B788" s="4">
        <v>160</v>
      </c>
    </row>
    <row r="789" customHeight="1" spans="1:2">
      <c r="A789" s="3" t="s">
        <v>19066</v>
      </c>
      <c r="B789" s="4">
        <v>92</v>
      </c>
    </row>
    <row r="790" customHeight="1" spans="1:2">
      <c r="A790" s="3" t="s">
        <v>18064</v>
      </c>
      <c r="B790" s="4">
        <v>95</v>
      </c>
    </row>
    <row r="791" customHeight="1" spans="1:2">
      <c r="A791" s="3" t="s">
        <v>19938</v>
      </c>
      <c r="B791" s="4">
        <v>89</v>
      </c>
    </row>
    <row r="792" customHeight="1" spans="1:2">
      <c r="A792" s="3" t="s">
        <v>5119</v>
      </c>
      <c r="B792" s="4">
        <v>99</v>
      </c>
    </row>
    <row r="793" customHeight="1" spans="1:2">
      <c r="A793" s="3" t="s">
        <v>14075</v>
      </c>
      <c r="B793" s="4">
        <v>89</v>
      </c>
    </row>
    <row r="794" customHeight="1" spans="1:2">
      <c r="A794" s="3" t="s">
        <v>23171</v>
      </c>
      <c r="B794" s="4">
        <v>96</v>
      </c>
    </row>
    <row r="795" customHeight="1" spans="1:2">
      <c r="A795" s="3" t="s">
        <v>15375</v>
      </c>
      <c r="B795" s="4">
        <v>125</v>
      </c>
    </row>
    <row r="796" customHeight="1" spans="1:2">
      <c r="A796" s="3" t="s">
        <v>2287</v>
      </c>
      <c r="B796" s="4">
        <v>144</v>
      </c>
    </row>
    <row r="797" customHeight="1" spans="1:2">
      <c r="A797" s="3" t="s">
        <v>1998</v>
      </c>
      <c r="B797" s="4">
        <v>210</v>
      </c>
    </row>
    <row r="798" customHeight="1" spans="1:2">
      <c r="A798" s="3" t="s">
        <v>20452</v>
      </c>
      <c r="B798" s="4">
        <v>87</v>
      </c>
    </row>
    <row r="799" customHeight="1" spans="1:2">
      <c r="A799" s="3" t="s">
        <v>22074</v>
      </c>
      <c r="B799" s="4">
        <v>107</v>
      </c>
    </row>
    <row r="800" customHeight="1" spans="1:2">
      <c r="A800" s="3" t="s">
        <v>6795</v>
      </c>
      <c r="B800" s="4">
        <v>109</v>
      </c>
    </row>
    <row r="801" customHeight="1" spans="1:2">
      <c r="A801" s="3" t="s">
        <v>10000</v>
      </c>
      <c r="B801" s="4">
        <v>91</v>
      </c>
    </row>
    <row r="802" customHeight="1" spans="1:2">
      <c r="A802" s="3" t="s">
        <v>6702</v>
      </c>
      <c r="B802" s="4">
        <v>108</v>
      </c>
    </row>
    <row r="803" customHeight="1" spans="1:2">
      <c r="A803" s="3" t="s">
        <v>6716</v>
      </c>
      <c r="B803" s="4">
        <v>111</v>
      </c>
    </row>
    <row r="804" customHeight="1" spans="1:2">
      <c r="A804" s="3" t="s">
        <v>17124</v>
      </c>
      <c r="B804" s="4">
        <v>104</v>
      </c>
    </row>
    <row r="805" customHeight="1" spans="1:2">
      <c r="A805" s="3" t="s">
        <v>4644</v>
      </c>
      <c r="B805" s="4">
        <v>114</v>
      </c>
    </row>
    <row r="806" customHeight="1" spans="1:2">
      <c r="A806" s="3" t="s">
        <v>7074</v>
      </c>
      <c r="B806" s="4">
        <v>90</v>
      </c>
    </row>
    <row r="807" customHeight="1" spans="1:2">
      <c r="A807" s="3" t="s">
        <v>12136</v>
      </c>
      <c r="B807" s="4">
        <v>116</v>
      </c>
    </row>
    <row r="808" customHeight="1" spans="1:2">
      <c r="A808" s="3" t="s">
        <v>19074</v>
      </c>
      <c r="B808" s="4">
        <v>135</v>
      </c>
    </row>
    <row r="809" customHeight="1" spans="1:2">
      <c r="A809" s="3" t="s">
        <v>14412</v>
      </c>
      <c r="B809" s="4">
        <v>132</v>
      </c>
    </row>
    <row r="810" customHeight="1" spans="1:2">
      <c r="A810" s="3" t="s">
        <v>22590</v>
      </c>
      <c r="B810" s="4">
        <v>91</v>
      </c>
    </row>
    <row r="811" customHeight="1" spans="1:2">
      <c r="A811" s="3" t="s">
        <v>11464</v>
      </c>
      <c r="B811" s="4">
        <v>86</v>
      </c>
    </row>
    <row r="812" customHeight="1" spans="1:2">
      <c r="A812" s="3" t="s">
        <v>1302</v>
      </c>
      <c r="B812" s="4">
        <v>212</v>
      </c>
    </row>
    <row r="813" customHeight="1" spans="1:2">
      <c r="A813" s="3" t="s">
        <v>19108</v>
      </c>
      <c r="B813" s="4">
        <v>98</v>
      </c>
    </row>
    <row r="814" customHeight="1" spans="1:2">
      <c r="A814" s="3" t="s">
        <v>16159</v>
      </c>
      <c r="B814" s="4">
        <v>104</v>
      </c>
    </row>
    <row r="815" customHeight="1" spans="1:2">
      <c r="A815" s="3" t="s">
        <v>24062</v>
      </c>
      <c r="B815" s="4">
        <v>110</v>
      </c>
    </row>
    <row r="816" customHeight="1" spans="1:2">
      <c r="A816" s="3" t="s">
        <v>3871</v>
      </c>
      <c r="B816" s="4">
        <v>141</v>
      </c>
    </row>
    <row r="817" customHeight="1" spans="1:2">
      <c r="A817" s="3" t="s">
        <v>6116</v>
      </c>
      <c r="B817" s="4">
        <v>251</v>
      </c>
    </row>
    <row r="818" customHeight="1" spans="1:2">
      <c r="A818" s="3" t="s">
        <v>17620</v>
      </c>
      <c r="B818" s="4">
        <v>97</v>
      </c>
    </row>
    <row r="819" customHeight="1" spans="1:2">
      <c r="A819" s="3" t="s">
        <v>23974</v>
      </c>
      <c r="B819" s="4">
        <v>102</v>
      </c>
    </row>
    <row r="820" customHeight="1" spans="1:2">
      <c r="A820" s="3" t="s">
        <v>2493</v>
      </c>
      <c r="B820" s="4">
        <v>107</v>
      </c>
    </row>
    <row r="821" customHeight="1" spans="1:2">
      <c r="A821" s="3" t="s">
        <v>3703</v>
      </c>
      <c r="B821" s="4">
        <v>124</v>
      </c>
    </row>
    <row r="822" customHeight="1" spans="1:2">
      <c r="A822" s="3" t="s">
        <v>9294</v>
      </c>
      <c r="B822" s="4">
        <v>94</v>
      </c>
    </row>
    <row r="823" customHeight="1" spans="1:2">
      <c r="A823" s="3" t="s">
        <v>20347</v>
      </c>
      <c r="B823" s="4">
        <v>96</v>
      </c>
    </row>
    <row r="824" customHeight="1" spans="1:2">
      <c r="A824" s="3" t="s">
        <v>10643</v>
      </c>
      <c r="B824" s="4">
        <v>135</v>
      </c>
    </row>
    <row r="825" customHeight="1" spans="1:2">
      <c r="A825" s="3" t="s">
        <v>19625</v>
      </c>
      <c r="B825" s="4">
        <v>80</v>
      </c>
    </row>
    <row r="826" customHeight="1" spans="1:2">
      <c r="A826" s="3" t="s">
        <v>21072</v>
      </c>
      <c r="B826" s="4">
        <v>112</v>
      </c>
    </row>
    <row r="827" customHeight="1" spans="1:2">
      <c r="A827" s="3" t="s">
        <v>7475</v>
      </c>
      <c r="B827" s="4">
        <v>98</v>
      </c>
    </row>
    <row r="828" customHeight="1" spans="1:2">
      <c r="A828" s="3" t="s">
        <v>23745</v>
      </c>
      <c r="B828" s="4">
        <v>80</v>
      </c>
    </row>
    <row r="829" customHeight="1" spans="1:2">
      <c r="A829" s="3" t="s">
        <v>1851</v>
      </c>
      <c r="B829" s="4">
        <v>172</v>
      </c>
    </row>
    <row r="830" customHeight="1" spans="1:2">
      <c r="A830" s="3" t="s">
        <v>2930</v>
      </c>
      <c r="B830" s="4">
        <v>95</v>
      </c>
    </row>
    <row r="831" customHeight="1" spans="1:2">
      <c r="A831" s="3" t="s">
        <v>2104</v>
      </c>
      <c r="B831" s="4">
        <v>90</v>
      </c>
    </row>
    <row r="832" customHeight="1" spans="1:2">
      <c r="A832" s="3" t="s">
        <v>9441</v>
      </c>
      <c r="B832" s="4">
        <v>85</v>
      </c>
    </row>
    <row r="833" customHeight="1" spans="1:2">
      <c r="A833" s="3" t="s">
        <v>15966</v>
      </c>
      <c r="B833" s="4">
        <v>119</v>
      </c>
    </row>
    <row r="834" customHeight="1" spans="1:2">
      <c r="A834" s="3" t="s">
        <v>13591</v>
      </c>
      <c r="B834" s="4">
        <v>97</v>
      </c>
    </row>
    <row r="835" customHeight="1" spans="1:2">
      <c r="A835" s="3" t="s">
        <v>5772</v>
      </c>
      <c r="B835" s="4">
        <v>136</v>
      </c>
    </row>
    <row r="836" customHeight="1" spans="1:2">
      <c r="A836" s="3" t="s">
        <v>12712</v>
      </c>
      <c r="B836" s="4">
        <v>124</v>
      </c>
    </row>
    <row r="837" customHeight="1" spans="1:2">
      <c r="A837" s="3" t="s">
        <v>10291</v>
      </c>
      <c r="B837" s="4">
        <v>111</v>
      </c>
    </row>
    <row r="838" customHeight="1" spans="1:2">
      <c r="A838" s="3" t="s">
        <v>16386</v>
      </c>
      <c r="B838" s="4">
        <v>93</v>
      </c>
    </row>
    <row r="839" customHeight="1" spans="1:2">
      <c r="A839" s="3" t="s">
        <v>11276</v>
      </c>
      <c r="B839" s="4">
        <v>91</v>
      </c>
    </row>
    <row r="840" customHeight="1" spans="1:2">
      <c r="A840" s="3" t="s">
        <v>16310</v>
      </c>
      <c r="B840" s="4">
        <v>106</v>
      </c>
    </row>
    <row r="841" customHeight="1" spans="1:2">
      <c r="A841" s="3" t="s">
        <v>20542</v>
      </c>
      <c r="B841" s="4">
        <v>87</v>
      </c>
    </row>
    <row r="842" customHeight="1" spans="1:2">
      <c r="A842" s="3" t="s">
        <v>2650</v>
      </c>
      <c r="B842" s="4">
        <v>154</v>
      </c>
    </row>
    <row r="843" customHeight="1" spans="1:2">
      <c r="A843" s="3" t="s">
        <v>2438</v>
      </c>
      <c r="B843" s="4">
        <v>108</v>
      </c>
    </row>
    <row r="844" customHeight="1" spans="1:2">
      <c r="A844" s="3" t="s">
        <v>4048</v>
      </c>
      <c r="B844" s="4">
        <v>120</v>
      </c>
    </row>
    <row r="845" customHeight="1" spans="1:2">
      <c r="A845" s="3" t="s">
        <v>17133</v>
      </c>
      <c r="B845" s="4">
        <v>94</v>
      </c>
    </row>
    <row r="846" customHeight="1" spans="1:2">
      <c r="A846" s="3" t="s">
        <v>6692</v>
      </c>
      <c r="B846" s="4">
        <v>112</v>
      </c>
    </row>
    <row r="847" customHeight="1" spans="1:2">
      <c r="A847" s="3" t="s">
        <v>17244</v>
      </c>
      <c r="B847" s="4">
        <v>97</v>
      </c>
    </row>
    <row r="848" customHeight="1" spans="1:2">
      <c r="A848" s="3" t="s">
        <v>19193</v>
      </c>
      <c r="B848" s="4">
        <v>109</v>
      </c>
    </row>
    <row r="849" customHeight="1" spans="1:2">
      <c r="A849" s="3" t="s">
        <v>14867</v>
      </c>
      <c r="B849" s="4">
        <v>75</v>
      </c>
    </row>
    <row r="850" customHeight="1" spans="1:2">
      <c r="A850" s="3" t="s">
        <v>19453</v>
      </c>
      <c r="B850" s="4">
        <v>101</v>
      </c>
    </row>
    <row r="851" customHeight="1" spans="1:2">
      <c r="A851" s="3" t="s">
        <v>23143</v>
      </c>
      <c r="B851" s="4">
        <v>90</v>
      </c>
    </row>
    <row r="852" customHeight="1" spans="1:2">
      <c r="A852" s="3" t="s">
        <v>2639</v>
      </c>
      <c r="B852" s="4">
        <v>123</v>
      </c>
    </row>
    <row r="853" customHeight="1" spans="1:2">
      <c r="A853" s="3" t="s">
        <v>2281</v>
      </c>
      <c r="B853" s="4">
        <v>258</v>
      </c>
    </row>
    <row r="854" customHeight="1" spans="1:2">
      <c r="A854" s="3" t="s">
        <v>11854</v>
      </c>
      <c r="B854" s="4">
        <v>103</v>
      </c>
    </row>
    <row r="855" customHeight="1" spans="1:2">
      <c r="A855" s="3" t="s">
        <v>7547</v>
      </c>
      <c r="B855" s="4">
        <v>123</v>
      </c>
    </row>
    <row r="856" customHeight="1" spans="1:2">
      <c r="A856" s="3" t="s">
        <v>8799</v>
      </c>
      <c r="B856" s="4">
        <v>113</v>
      </c>
    </row>
    <row r="857" customHeight="1" spans="1:2">
      <c r="A857" s="3" t="s">
        <v>12857</v>
      </c>
      <c r="B857" s="4">
        <v>89</v>
      </c>
    </row>
    <row r="858" customHeight="1" spans="1:2">
      <c r="A858" s="3" t="s">
        <v>13032</v>
      </c>
      <c r="B858" s="4">
        <v>97</v>
      </c>
    </row>
    <row r="859" customHeight="1" spans="1:2">
      <c r="A859" s="3" t="s">
        <v>5090</v>
      </c>
      <c r="B859" s="4">
        <v>109</v>
      </c>
    </row>
    <row r="860" customHeight="1" spans="1:2">
      <c r="A860" s="3" t="s">
        <v>11280</v>
      </c>
      <c r="B860" s="4">
        <v>108</v>
      </c>
    </row>
    <row r="861" customHeight="1" spans="1:2">
      <c r="A861" s="3" t="s">
        <v>20778</v>
      </c>
      <c r="B861" s="4">
        <v>88</v>
      </c>
    </row>
    <row r="862" customHeight="1" spans="1:2">
      <c r="A862" s="3" t="s">
        <v>2692</v>
      </c>
      <c r="B862" s="4">
        <v>135</v>
      </c>
    </row>
    <row r="863" customHeight="1" spans="1:2">
      <c r="A863" s="3" t="s">
        <v>3054</v>
      </c>
      <c r="B863" s="4">
        <v>43</v>
      </c>
    </row>
    <row r="864" customHeight="1" spans="1:2">
      <c r="A864" s="3" t="s">
        <v>2205</v>
      </c>
      <c r="B864" s="4">
        <v>150</v>
      </c>
    </row>
    <row r="865" customHeight="1" spans="1:2">
      <c r="A865" s="3" t="s">
        <v>4078</v>
      </c>
      <c r="B865" s="4">
        <v>106</v>
      </c>
    </row>
    <row r="866" customHeight="1" spans="1:2">
      <c r="A866" s="3" t="s">
        <v>20109</v>
      </c>
      <c r="B866" s="4">
        <v>77</v>
      </c>
    </row>
    <row r="867" customHeight="1" spans="1:2">
      <c r="A867" s="3" t="s">
        <v>9557</v>
      </c>
      <c r="B867" s="4">
        <v>109</v>
      </c>
    </row>
    <row r="868" customHeight="1" spans="1:2">
      <c r="A868" s="3" t="s">
        <v>16939</v>
      </c>
      <c r="B868" s="4">
        <v>122</v>
      </c>
    </row>
    <row r="869" customHeight="1" spans="1:2">
      <c r="A869" s="3" t="s">
        <v>22782</v>
      </c>
      <c r="B869" s="4">
        <v>84</v>
      </c>
    </row>
    <row r="870" customHeight="1" spans="1:2">
      <c r="A870" s="3" t="s">
        <v>13384</v>
      </c>
      <c r="B870" s="4">
        <v>98</v>
      </c>
    </row>
    <row r="871" customHeight="1" spans="1:2">
      <c r="A871" s="3" t="s">
        <v>12793</v>
      </c>
      <c r="B871" s="4">
        <v>120</v>
      </c>
    </row>
    <row r="872" customHeight="1" spans="1:2">
      <c r="A872" s="3" t="s">
        <v>7136</v>
      </c>
      <c r="B872" s="4">
        <v>107</v>
      </c>
    </row>
    <row r="873" customHeight="1" spans="1:2">
      <c r="A873" s="3" t="s">
        <v>10881</v>
      </c>
      <c r="B873" s="4">
        <v>123</v>
      </c>
    </row>
    <row r="874" customHeight="1" spans="1:2">
      <c r="A874" s="3" t="s">
        <v>14674</v>
      </c>
      <c r="B874" s="4">
        <v>104</v>
      </c>
    </row>
    <row r="875" customHeight="1" spans="1:2">
      <c r="A875" s="3" t="s">
        <v>4090</v>
      </c>
      <c r="B875" s="4">
        <v>100</v>
      </c>
    </row>
    <row r="876" customHeight="1" spans="1:2">
      <c r="A876" s="3" t="s">
        <v>15331</v>
      </c>
      <c r="B876" s="4">
        <v>123</v>
      </c>
    </row>
    <row r="877" customHeight="1" spans="1:2">
      <c r="A877" s="3" t="s">
        <v>14565</v>
      </c>
      <c r="B877" s="4">
        <v>86</v>
      </c>
    </row>
    <row r="878" customHeight="1" spans="1:2">
      <c r="A878" s="3" t="s">
        <v>8331</v>
      </c>
      <c r="B878" s="4">
        <v>77</v>
      </c>
    </row>
    <row r="879" customHeight="1" spans="1:2">
      <c r="A879" s="3" t="s">
        <v>21409</v>
      </c>
      <c r="B879" s="4">
        <v>97</v>
      </c>
    </row>
    <row r="880" customHeight="1" spans="1:2">
      <c r="A880" s="3" t="s">
        <v>23877</v>
      </c>
      <c r="B880" s="4">
        <v>111</v>
      </c>
    </row>
    <row r="881" customHeight="1" spans="1:2">
      <c r="A881" s="3" t="s">
        <v>12951</v>
      </c>
      <c r="B881" s="4">
        <v>117</v>
      </c>
    </row>
    <row r="882" customHeight="1" spans="1:2">
      <c r="A882" s="3" t="s">
        <v>4011</v>
      </c>
      <c r="B882" s="4">
        <v>113</v>
      </c>
    </row>
    <row r="883" customHeight="1" spans="1:2">
      <c r="A883" s="3" t="s">
        <v>5676</v>
      </c>
      <c r="B883" s="4">
        <v>116</v>
      </c>
    </row>
    <row r="884" customHeight="1" spans="1:2">
      <c r="A884" s="3" t="s">
        <v>11414</v>
      </c>
      <c r="B884" s="4">
        <v>118</v>
      </c>
    </row>
    <row r="885" customHeight="1" spans="1:2">
      <c r="A885" s="3" t="s">
        <v>20181</v>
      </c>
      <c r="B885" s="4">
        <v>129</v>
      </c>
    </row>
    <row r="886" customHeight="1" spans="1:2">
      <c r="A886" s="3" t="s">
        <v>5791</v>
      </c>
      <c r="B886" s="4">
        <v>107</v>
      </c>
    </row>
    <row r="887" customHeight="1" spans="1:2">
      <c r="A887" s="3" t="s">
        <v>9622</v>
      </c>
      <c r="B887" s="4">
        <v>101</v>
      </c>
    </row>
    <row r="888" customHeight="1" spans="1:2">
      <c r="A888" s="3" t="s">
        <v>8017</v>
      </c>
      <c r="B888" s="4">
        <v>132</v>
      </c>
    </row>
    <row r="889" customHeight="1" spans="1:2">
      <c r="A889" s="3" t="s">
        <v>14208</v>
      </c>
      <c r="B889" s="4">
        <v>93</v>
      </c>
    </row>
    <row r="890" customHeight="1" spans="1:2">
      <c r="A890" s="3" t="s">
        <v>11178</v>
      </c>
      <c r="B890" s="4">
        <v>96</v>
      </c>
    </row>
    <row r="891" customHeight="1" spans="1:2">
      <c r="A891" s="3" t="s">
        <v>15200</v>
      </c>
      <c r="B891" s="4">
        <v>230</v>
      </c>
    </row>
    <row r="892" customHeight="1" spans="1:2">
      <c r="A892" s="3" t="s">
        <v>15841</v>
      </c>
      <c r="B892" s="4">
        <v>112</v>
      </c>
    </row>
    <row r="893" customHeight="1" spans="1:2">
      <c r="A893" s="3" t="s">
        <v>13193</v>
      </c>
      <c r="B893" s="4">
        <v>111</v>
      </c>
    </row>
    <row r="894" customHeight="1" spans="1:2">
      <c r="A894" s="3" t="s">
        <v>22666</v>
      </c>
      <c r="B894" s="4">
        <v>98</v>
      </c>
    </row>
    <row r="895" customHeight="1" spans="1:2">
      <c r="A895" s="3" t="s">
        <v>5109</v>
      </c>
      <c r="B895" s="4">
        <v>118</v>
      </c>
    </row>
    <row r="896" customHeight="1" spans="1:2">
      <c r="A896" s="3" t="s">
        <v>13769</v>
      </c>
      <c r="B896" s="4">
        <v>135</v>
      </c>
    </row>
    <row r="897" customHeight="1" spans="1:2">
      <c r="A897" s="3" t="s">
        <v>21853</v>
      </c>
      <c r="B897" s="4">
        <v>97</v>
      </c>
    </row>
    <row r="898" customHeight="1" spans="1:2">
      <c r="A898" s="3" t="s">
        <v>19474</v>
      </c>
      <c r="B898" s="4">
        <v>173</v>
      </c>
    </row>
    <row r="899" customHeight="1" spans="1:2">
      <c r="A899" s="3" t="s">
        <v>7103</v>
      </c>
      <c r="B899" s="4">
        <v>133</v>
      </c>
    </row>
    <row r="900" customHeight="1" spans="1:2">
      <c r="A900" s="3" t="s">
        <v>18890</v>
      </c>
      <c r="B900" s="4">
        <v>85</v>
      </c>
    </row>
    <row r="901" customHeight="1" spans="1:2">
      <c r="A901" s="3" t="s">
        <v>2500</v>
      </c>
      <c r="B901" s="4">
        <v>260</v>
      </c>
    </row>
    <row r="902" customHeight="1" spans="1:2">
      <c r="A902" s="3" t="s">
        <v>22929</v>
      </c>
      <c r="B902" s="4">
        <v>91</v>
      </c>
    </row>
    <row r="903" customHeight="1" spans="1:2">
      <c r="A903" s="3" t="s">
        <v>16794</v>
      </c>
      <c r="B903" s="4">
        <v>94</v>
      </c>
    </row>
    <row r="904" customHeight="1" spans="1:2">
      <c r="A904" s="3" t="s">
        <v>8044</v>
      </c>
      <c r="B904" s="4">
        <v>113</v>
      </c>
    </row>
    <row r="905" customHeight="1" spans="1:2">
      <c r="A905" s="3" t="s">
        <v>4626</v>
      </c>
      <c r="B905" s="4">
        <v>123</v>
      </c>
    </row>
    <row r="906" customHeight="1" spans="1:2">
      <c r="A906" s="3" t="s">
        <v>14375</v>
      </c>
      <c r="B906" s="4">
        <v>107</v>
      </c>
    </row>
    <row r="907" customHeight="1" spans="1:2">
      <c r="A907" s="3" t="s">
        <v>13373</v>
      </c>
      <c r="B907" s="4">
        <v>108</v>
      </c>
    </row>
    <row r="908" customHeight="1" spans="1:2">
      <c r="A908" s="3" t="s">
        <v>9700</v>
      </c>
      <c r="B908" s="4">
        <v>92</v>
      </c>
    </row>
    <row r="909" customHeight="1" spans="1:2">
      <c r="A909" s="3" t="s">
        <v>15800</v>
      </c>
      <c r="B909" s="4">
        <v>93</v>
      </c>
    </row>
    <row r="910" customHeight="1" spans="1:2">
      <c r="A910" s="3" t="s">
        <v>13477</v>
      </c>
      <c r="B910" s="4">
        <v>115</v>
      </c>
    </row>
    <row r="911" customHeight="1" spans="1:2">
      <c r="A911" s="3" t="s">
        <v>22436</v>
      </c>
      <c r="B911" s="4">
        <v>115</v>
      </c>
    </row>
    <row r="912" customHeight="1" spans="1:2">
      <c r="A912" s="3" t="s">
        <v>17361</v>
      </c>
      <c r="B912" s="4">
        <v>95</v>
      </c>
    </row>
    <row r="913" customHeight="1" spans="1:2">
      <c r="A913" s="3" t="s">
        <v>14091</v>
      </c>
      <c r="B913" s="4">
        <v>186</v>
      </c>
    </row>
    <row r="914" customHeight="1" spans="1:2">
      <c r="A914" s="3" t="s">
        <v>12664</v>
      </c>
      <c r="B914" s="4">
        <v>120</v>
      </c>
    </row>
    <row r="915" customHeight="1" spans="1:2">
      <c r="A915" s="3" t="s">
        <v>21398</v>
      </c>
      <c r="B915" s="4">
        <v>84</v>
      </c>
    </row>
    <row r="916" customHeight="1" spans="1:2">
      <c r="A916" s="3" t="s">
        <v>14548</v>
      </c>
      <c r="B916" s="4">
        <v>97</v>
      </c>
    </row>
    <row r="917" customHeight="1" spans="1:2">
      <c r="A917" s="3" t="s">
        <v>8809</v>
      </c>
      <c r="B917" s="4">
        <v>147</v>
      </c>
    </row>
    <row r="918" customHeight="1" spans="1:2">
      <c r="A918" s="3" t="s">
        <v>21555</v>
      </c>
      <c r="B918" s="4">
        <v>90</v>
      </c>
    </row>
    <row r="919" customHeight="1" spans="1:2">
      <c r="A919" s="3" t="s">
        <v>22154</v>
      </c>
      <c r="B919" s="4">
        <v>93</v>
      </c>
    </row>
    <row r="920" customHeight="1" spans="1:2">
      <c r="A920" s="3" t="s">
        <v>23187</v>
      </c>
      <c r="B920" s="4">
        <v>90</v>
      </c>
    </row>
    <row r="921" customHeight="1" spans="1:2">
      <c r="A921" s="3" t="s">
        <v>5156</v>
      </c>
      <c r="B921" s="4">
        <v>78</v>
      </c>
    </row>
    <row r="922" customHeight="1" spans="1:2">
      <c r="A922" s="3" t="s">
        <v>5959</v>
      </c>
      <c r="B922" s="4">
        <v>114</v>
      </c>
    </row>
    <row r="923" customHeight="1" spans="1:2">
      <c r="A923" s="3" t="s">
        <v>7582</v>
      </c>
      <c r="B923" s="4">
        <v>99</v>
      </c>
    </row>
    <row r="924" customHeight="1" spans="1:2">
      <c r="A924" s="3" t="s">
        <v>2070</v>
      </c>
      <c r="B924" s="4">
        <v>124</v>
      </c>
    </row>
    <row r="925" customHeight="1" spans="1:2">
      <c r="A925" s="3" t="s">
        <v>14406</v>
      </c>
      <c r="B925" s="4">
        <v>95</v>
      </c>
    </row>
    <row r="926" customHeight="1" spans="1:2">
      <c r="A926" s="3" t="s">
        <v>16641</v>
      </c>
      <c r="B926" s="4">
        <v>91</v>
      </c>
    </row>
    <row r="927" customHeight="1" spans="1:2">
      <c r="A927" s="3" t="s">
        <v>18988</v>
      </c>
      <c r="B927" s="4">
        <v>91</v>
      </c>
    </row>
    <row r="928" customHeight="1" spans="1:2">
      <c r="A928" s="3" t="s">
        <v>21274</v>
      </c>
      <c r="B928" s="4">
        <v>123</v>
      </c>
    </row>
    <row r="929" customHeight="1" spans="1:2">
      <c r="A929" s="3" t="s">
        <v>17059</v>
      </c>
      <c r="B929" s="4">
        <v>89</v>
      </c>
    </row>
    <row r="930" customHeight="1" spans="1:2">
      <c r="A930" s="3" t="s">
        <v>3982</v>
      </c>
      <c r="B930" s="4">
        <v>92</v>
      </c>
    </row>
    <row r="931" customHeight="1" spans="1:2">
      <c r="A931" s="3" t="s">
        <v>5070</v>
      </c>
      <c r="B931" s="4">
        <v>96</v>
      </c>
    </row>
    <row r="932" customHeight="1" spans="1:2">
      <c r="A932" s="3" t="s">
        <v>17602</v>
      </c>
      <c r="B932" s="4">
        <v>117</v>
      </c>
    </row>
    <row r="933" customHeight="1" spans="1:2">
      <c r="A933" s="3" t="s">
        <v>12335</v>
      </c>
      <c r="B933" s="4">
        <v>91</v>
      </c>
    </row>
    <row r="934" customHeight="1" spans="1:2">
      <c r="A934" s="3" t="s">
        <v>19471</v>
      </c>
      <c r="B934" s="4">
        <v>99</v>
      </c>
    </row>
    <row r="935" customHeight="1" spans="1:2">
      <c r="A935" s="3" t="s">
        <v>9691</v>
      </c>
      <c r="B935" s="4">
        <v>88</v>
      </c>
    </row>
    <row r="936" customHeight="1" spans="1:2">
      <c r="A936" s="3" t="s">
        <v>13969</v>
      </c>
      <c r="B936" s="4">
        <v>140</v>
      </c>
    </row>
    <row r="937" customHeight="1" spans="1:2">
      <c r="A937" s="3" t="s">
        <v>19986</v>
      </c>
      <c r="B937" s="4">
        <v>97</v>
      </c>
    </row>
    <row r="938" customHeight="1" spans="1:2">
      <c r="A938" s="3" t="s">
        <v>11554</v>
      </c>
      <c r="B938" s="4">
        <v>236</v>
      </c>
    </row>
    <row r="939" customHeight="1" spans="1:2">
      <c r="A939" s="3" t="s">
        <v>14457</v>
      </c>
      <c r="B939" s="4">
        <v>89</v>
      </c>
    </row>
    <row r="940" customHeight="1" spans="1:2">
      <c r="A940" s="3" t="s">
        <v>10073</v>
      </c>
      <c r="B940" s="4">
        <v>238</v>
      </c>
    </row>
    <row r="941" customHeight="1" spans="1:2">
      <c r="A941" s="3" t="s">
        <v>15173</v>
      </c>
      <c r="B941" s="4">
        <v>106</v>
      </c>
    </row>
    <row r="942" customHeight="1" spans="1:2">
      <c r="A942" s="3" t="s">
        <v>1493</v>
      </c>
      <c r="B942" s="4">
        <v>108</v>
      </c>
    </row>
    <row r="943" customHeight="1" spans="1:2">
      <c r="A943" s="3" t="s">
        <v>2633</v>
      </c>
      <c r="B943" s="4">
        <v>54</v>
      </c>
    </row>
    <row r="944" customHeight="1" spans="1:2">
      <c r="A944" s="3" t="s">
        <v>16630</v>
      </c>
      <c r="B944" s="4">
        <v>60</v>
      </c>
    </row>
    <row r="945" customHeight="1" spans="1:2">
      <c r="A945" s="3" t="s">
        <v>13085</v>
      </c>
      <c r="B945" s="4">
        <v>118</v>
      </c>
    </row>
    <row r="946" customHeight="1" spans="1:2">
      <c r="A946" s="3" t="s">
        <v>9142</v>
      </c>
      <c r="B946" s="4">
        <v>111</v>
      </c>
    </row>
    <row r="947" customHeight="1" spans="1:2">
      <c r="A947" s="3" t="s">
        <v>884</v>
      </c>
      <c r="B947" s="4">
        <v>113</v>
      </c>
    </row>
    <row r="948" customHeight="1" spans="1:2">
      <c r="A948" s="3" t="s">
        <v>4387</v>
      </c>
      <c r="B948" s="4">
        <v>103</v>
      </c>
    </row>
    <row r="949" customHeight="1" spans="1:2">
      <c r="A949" s="3" t="s">
        <v>16476</v>
      </c>
      <c r="B949" s="4">
        <v>96</v>
      </c>
    </row>
    <row r="950" customHeight="1" spans="1:2">
      <c r="A950" s="3" t="s">
        <v>14722</v>
      </c>
      <c r="B950" s="4">
        <v>103</v>
      </c>
    </row>
    <row r="951" customHeight="1" spans="1:2">
      <c r="A951" s="3" t="s">
        <v>14381</v>
      </c>
      <c r="B951" s="4">
        <v>103</v>
      </c>
    </row>
    <row r="952" customHeight="1" spans="1:2">
      <c r="A952" s="3" t="s">
        <v>10474</v>
      </c>
      <c r="B952" s="4">
        <v>143</v>
      </c>
    </row>
    <row r="953" customHeight="1" spans="1:2">
      <c r="A953" s="3" t="s">
        <v>14236</v>
      </c>
      <c r="B953" s="4">
        <v>293</v>
      </c>
    </row>
    <row r="954" customHeight="1" spans="1:2">
      <c r="A954" s="3" t="s">
        <v>10758</v>
      </c>
      <c r="B954" s="4">
        <v>85</v>
      </c>
    </row>
    <row r="955" customHeight="1" spans="1:2">
      <c r="A955" s="3" t="s">
        <v>4609</v>
      </c>
      <c r="B955" s="4">
        <v>101</v>
      </c>
    </row>
    <row r="956" customHeight="1" spans="1:2">
      <c r="A956" s="3" t="s">
        <v>19278</v>
      </c>
      <c r="B956" s="4">
        <v>100</v>
      </c>
    </row>
    <row r="957" customHeight="1" spans="1:2">
      <c r="A957" s="3" t="s">
        <v>23928</v>
      </c>
      <c r="B957" s="4">
        <v>95</v>
      </c>
    </row>
    <row r="958" customHeight="1" spans="1:2">
      <c r="A958" s="3" t="s">
        <v>8878</v>
      </c>
      <c r="B958" s="4">
        <v>220</v>
      </c>
    </row>
    <row r="959" customHeight="1" spans="1:2">
      <c r="A959" s="3" t="s">
        <v>574</v>
      </c>
      <c r="B959" s="4">
        <v>130</v>
      </c>
    </row>
    <row r="960" customHeight="1" spans="1:2">
      <c r="A960" s="3" t="s">
        <v>19038</v>
      </c>
      <c r="B960" s="4">
        <v>88</v>
      </c>
    </row>
    <row r="961" customHeight="1" spans="1:2">
      <c r="A961" s="3" t="s">
        <v>12070</v>
      </c>
      <c r="B961" s="4">
        <v>174</v>
      </c>
    </row>
    <row r="962" customHeight="1" spans="1:2">
      <c r="A962" s="3" t="s">
        <v>19085</v>
      </c>
      <c r="B962" s="4">
        <v>102</v>
      </c>
    </row>
    <row r="963" customHeight="1" spans="1:2">
      <c r="A963" s="3" t="s">
        <v>10970</v>
      </c>
      <c r="B963" s="4">
        <v>98</v>
      </c>
    </row>
    <row r="964" customHeight="1" spans="1:2">
      <c r="A964" s="3" t="s">
        <v>2827</v>
      </c>
      <c r="B964" s="4">
        <v>114</v>
      </c>
    </row>
    <row r="965" customHeight="1" spans="1:2">
      <c r="A965" s="3" t="s">
        <v>19396</v>
      </c>
      <c r="B965" s="4">
        <v>94</v>
      </c>
    </row>
    <row r="966" customHeight="1" spans="1:2">
      <c r="A966" s="3" t="s">
        <v>4014</v>
      </c>
      <c r="B966" s="4">
        <v>107</v>
      </c>
    </row>
    <row r="967" customHeight="1" spans="1:2">
      <c r="A967" s="3" t="s">
        <v>16778</v>
      </c>
      <c r="B967" s="4">
        <v>102</v>
      </c>
    </row>
    <row r="968" customHeight="1" spans="1:2">
      <c r="A968" s="3" t="s">
        <v>18037</v>
      </c>
      <c r="B968" s="4">
        <v>87</v>
      </c>
    </row>
    <row r="969" customHeight="1" spans="1:2">
      <c r="A969" s="3" t="s">
        <v>8669</v>
      </c>
      <c r="B969" s="4">
        <v>118</v>
      </c>
    </row>
    <row r="970" customHeight="1" spans="1:2">
      <c r="A970" s="3" t="s">
        <v>13461</v>
      </c>
      <c r="B970" s="4">
        <v>96</v>
      </c>
    </row>
    <row r="971" customHeight="1" spans="1:2">
      <c r="A971" s="3" t="s">
        <v>14544</v>
      </c>
      <c r="B971" s="4">
        <v>122</v>
      </c>
    </row>
    <row r="972" customHeight="1" spans="1:2">
      <c r="A972" s="3" t="s">
        <v>21428</v>
      </c>
      <c r="B972" s="4">
        <v>90</v>
      </c>
    </row>
    <row r="973" customHeight="1" spans="1:2">
      <c r="A973" s="3" t="s">
        <v>12376</v>
      </c>
      <c r="B973" s="4">
        <v>128</v>
      </c>
    </row>
    <row r="974" customHeight="1" spans="1:2">
      <c r="A974" s="3" t="s">
        <v>22212</v>
      </c>
      <c r="B974" s="4">
        <v>91</v>
      </c>
    </row>
    <row r="975" customHeight="1" spans="1:2">
      <c r="A975" s="3" t="s">
        <v>17279</v>
      </c>
      <c r="B975" s="4">
        <v>95</v>
      </c>
    </row>
    <row r="976" customHeight="1" spans="1:2">
      <c r="A976" s="3" t="s">
        <v>20726</v>
      </c>
      <c r="B976" s="4">
        <v>87</v>
      </c>
    </row>
    <row r="977" customHeight="1" spans="1:2">
      <c r="A977" s="3" t="s">
        <v>19350</v>
      </c>
      <c r="B977" s="4">
        <v>197</v>
      </c>
    </row>
    <row r="978" customHeight="1" spans="1:2">
      <c r="A978" s="3" t="s">
        <v>4435</v>
      </c>
      <c r="B978" s="4">
        <v>108</v>
      </c>
    </row>
    <row r="979" customHeight="1" spans="1:2">
      <c r="A979" s="3" t="s">
        <v>18183</v>
      </c>
      <c r="B979" s="4">
        <v>105</v>
      </c>
    </row>
    <row r="980" customHeight="1" spans="1:2">
      <c r="A980" s="3" t="s">
        <v>9746</v>
      </c>
      <c r="B980" s="4">
        <v>108</v>
      </c>
    </row>
    <row r="981" customHeight="1" spans="1:2">
      <c r="A981" s="3" t="s">
        <v>16246</v>
      </c>
      <c r="B981" s="4">
        <v>102</v>
      </c>
    </row>
    <row r="982" customHeight="1" spans="1:2">
      <c r="A982" s="3" t="s">
        <v>10564</v>
      </c>
      <c r="B982" s="4">
        <v>174</v>
      </c>
    </row>
    <row r="983" customHeight="1" spans="1:2">
      <c r="A983" s="3" t="s">
        <v>4671</v>
      </c>
      <c r="B983" s="4">
        <v>104</v>
      </c>
    </row>
    <row r="984" customHeight="1" spans="1:2">
      <c r="A984" s="3" t="s">
        <v>23157</v>
      </c>
      <c r="B984" s="4">
        <v>90</v>
      </c>
    </row>
    <row r="985" customHeight="1" spans="1:2">
      <c r="A985" s="3" t="s">
        <v>23104</v>
      </c>
      <c r="B985" s="4">
        <v>80</v>
      </c>
    </row>
    <row r="986" customHeight="1" spans="1:2">
      <c r="A986" s="3" t="s">
        <v>3770</v>
      </c>
      <c r="B986" s="4">
        <v>111</v>
      </c>
    </row>
    <row r="987" customHeight="1" spans="1:2">
      <c r="A987" s="3" t="s">
        <v>11257</v>
      </c>
      <c r="B987" s="4">
        <v>111</v>
      </c>
    </row>
    <row r="988" customHeight="1" spans="1:2">
      <c r="A988" s="3" t="s">
        <v>5471</v>
      </c>
      <c r="B988" s="4">
        <v>109</v>
      </c>
    </row>
    <row r="989" customHeight="1" spans="1:2">
      <c r="A989" s="3" t="s">
        <v>22603</v>
      </c>
      <c r="B989" s="4">
        <v>88</v>
      </c>
    </row>
    <row r="990" customHeight="1" spans="1:2">
      <c r="A990" s="3" t="s">
        <v>4991</v>
      </c>
      <c r="B990" s="4">
        <v>93</v>
      </c>
    </row>
    <row r="991" customHeight="1" spans="1:2">
      <c r="A991" s="3" t="s">
        <v>11235</v>
      </c>
      <c r="B991" s="4">
        <v>96</v>
      </c>
    </row>
    <row r="992" customHeight="1" spans="1:2">
      <c r="A992" s="3" t="s">
        <v>17993</v>
      </c>
      <c r="B992" s="4">
        <v>95</v>
      </c>
    </row>
    <row r="993" customHeight="1" spans="1:2">
      <c r="A993" s="3" t="s">
        <v>4064</v>
      </c>
      <c r="B993" s="4">
        <v>105</v>
      </c>
    </row>
    <row r="994" customHeight="1" spans="1:2">
      <c r="A994" s="3" t="s">
        <v>2568</v>
      </c>
      <c r="B994" s="4">
        <v>120</v>
      </c>
    </row>
    <row r="995" customHeight="1" spans="1:2">
      <c r="A995" s="3" t="s">
        <v>5948</v>
      </c>
      <c r="B995" s="4">
        <v>106</v>
      </c>
    </row>
    <row r="996" customHeight="1" spans="1:2">
      <c r="A996" s="3" t="s">
        <v>21203</v>
      </c>
      <c r="B996" s="4">
        <v>88</v>
      </c>
    </row>
    <row r="997" customHeight="1" spans="1:2">
      <c r="A997" s="3" t="s">
        <v>18833</v>
      </c>
      <c r="B997" s="4">
        <v>95</v>
      </c>
    </row>
    <row r="998" customHeight="1" spans="1:2">
      <c r="A998" s="3" t="s">
        <v>5448</v>
      </c>
      <c r="B998" s="4">
        <v>43</v>
      </c>
    </row>
    <row r="999" customHeight="1" spans="1:2">
      <c r="A999" s="3" t="s">
        <v>16490</v>
      </c>
      <c r="B999" s="4">
        <v>112</v>
      </c>
    </row>
    <row r="1000" customHeight="1" spans="1:2">
      <c r="A1000" s="3" t="s">
        <v>2737</v>
      </c>
      <c r="B1000" s="4">
        <v>117</v>
      </c>
    </row>
    <row r="1001" customHeight="1" spans="1:2">
      <c r="A1001" s="3" t="s">
        <v>13603</v>
      </c>
      <c r="B1001" s="4">
        <v>110</v>
      </c>
    </row>
    <row r="1002" customHeight="1" spans="1:2">
      <c r="A1002" s="3" t="s">
        <v>13802</v>
      </c>
      <c r="B1002" s="4">
        <v>88</v>
      </c>
    </row>
    <row r="1003" customHeight="1" spans="1:2">
      <c r="A1003" s="3" t="s">
        <v>6848</v>
      </c>
      <c r="B1003" s="4">
        <v>94</v>
      </c>
    </row>
    <row r="1004" customHeight="1" spans="1:2">
      <c r="A1004" s="3" t="s">
        <v>8488</v>
      </c>
      <c r="B1004" s="4">
        <v>118</v>
      </c>
    </row>
    <row r="1005" customHeight="1" spans="1:2">
      <c r="A1005" s="3" t="s">
        <v>10410</v>
      </c>
      <c r="B1005" s="4">
        <v>105</v>
      </c>
    </row>
    <row r="1006" customHeight="1" spans="1:2">
      <c r="A1006" s="3" t="s">
        <v>13040</v>
      </c>
      <c r="B1006" s="4">
        <v>125</v>
      </c>
    </row>
    <row r="1007" customHeight="1" spans="1:2">
      <c r="A1007" s="3" t="s">
        <v>19531</v>
      </c>
      <c r="B1007" s="4">
        <v>83</v>
      </c>
    </row>
    <row r="1008" customHeight="1" spans="1:2">
      <c r="A1008" s="3" t="s">
        <v>21617</v>
      </c>
      <c r="B1008" s="4">
        <v>109</v>
      </c>
    </row>
    <row r="1009" customHeight="1" spans="1:2">
      <c r="A1009" s="3" t="s">
        <v>10392</v>
      </c>
      <c r="B1009" s="4">
        <v>112</v>
      </c>
    </row>
    <row r="1010" customHeight="1" spans="1:2">
      <c r="A1010" s="3" t="s">
        <v>17986</v>
      </c>
      <c r="B1010" s="4">
        <v>90</v>
      </c>
    </row>
    <row r="1011" customHeight="1" spans="1:2">
      <c r="A1011" s="3" t="s">
        <v>18800</v>
      </c>
      <c r="B1011" s="4">
        <v>104</v>
      </c>
    </row>
    <row r="1012" customHeight="1" spans="1:2">
      <c r="A1012" s="3" t="s">
        <v>16504</v>
      </c>
      <c r="B1012" s="4">
        <v>104</v>
      </c>
    </row>
    <row r="1013" customHeight="1" spans="1:2">
      <c r="A1013" s="3" t="s">
        <v>2979</v>
      </c>
      <c r="B1013" s="4">
        <v>98</v>
      </c>
    </row>
    <row r="1014" customHeight="1" spans="1:2">
      <c r="A1014" s="3" t="s">
        <v>3550</v>
      </c>
      <c r="B1014" s="4">
        <v>87</v>
      </c>
    </row>
    <row r="1015" customHeight="1" spans="1:2">
      <c r="A1015" s="3" t="s">
        <v>22306</v>
      </c>
      <c r="B1015" s="4"/>
    </row>
    <row r="1016" customHeight="1" spans="1:2">
      <c r="A1016" s="3" t="s">
        <v>22662</v>
      </c>
      <c r="B1016" s="4">
        <v>87</v>
      </c>
    </row>
    <row r="1017" customHeight="1" spans="1:2">
      <c r="A1017" s="3" t="s">
        <v>15614</v>
      </c>
      <c r="B1017" s="4">
        <v>93</v>
      </c>
    </row>
    <row r="1018" customHeight="1" spans="1:2">
      <c r="A1018" s="3" t="s">
        <v>22192</v>
      </c>
      <c r="B1018" s="4">
        <v>104</v>
      </c>
    </row>
    <row r="1019" customHeight="1" spans="1:2">
      <c r="A1019" s="3" t="s">
        <v>12540</v>
      </c>
      <c r="B1019" s="4">
        <v>95</v>
      </c>
    </row>
    <row r="1020" customHeight="1" spans="1:2">
      <c r="A1020" s="3" t="s">
        <v>10404</v>
      </c>
      <c r="B1020" s="4">
        <v>83</v>
      </c>
    </row>
    <row r="1021" customHeight="1" spans="1:2">
      <c r="A1021" s="3" t="s">
        <v>11746</v>
      </c>
      <c r="B1021" s="4">
        <v>88</v>
      </c>
    </row>
    <row r="1022" customHeight="1" spans="1:2">
      <c r="A1022" s="3" t="s">
        <v>15141</v>
      </c>
      <c r="B1022" s="4">
        <v>96</v>
      </c>
    </row>
    <row r="1023" customHeight="1" spans="1:2">
      <c r="A1023" s="3" t="s">
        <v>14874</v>
      </c>
      <c r="B1023" s="4">
        <v>80</v>
      </c>
    </row>
    <row r="1024" customHeight="1" spans="1:2">
      <c r="A1024" s="3" t="s">
        <v>16536</v>
      </c>
      <c r="B1024" s="4">
        <v>89</v>
      </c>
    </row>
    <row r="1025" customHeight="1" spans="1:2">
      <c r="A1025" s="3" t="s">
        <v>22778</v>
      </c>
      <c r="B1025" s="4">
        <v>82</v>
      </c>
    </row>
    <row r="1026" customHeight="1" spans="1:2">
      <c r="A1026" s="3" t="s">
        <v>16452</v>
      </c>
      <c r="B1026" s="4">
        <v>120</v>
      </c>
    </row>
    <row r="1027" customHeight="1" spans="1:2">
      <c r="A1027" s="3" t="s">
        <v>17391</v>
      </c>
      <c r="B1027" s="4">
        <v>116</v>
      </c>
    </row>
    <row r="1028" customHeight="1" spans="1:2">
      <c r="A1028" s="3" t="s">
        <v>12715</v>
      </c>
      <c r="B1028" s="4">
        <v>94</v>
      </c>
    </row>
    <row r="1029" customHeight="1" spans="1:2">
      <c r="A1029" s="3" t="s">
        <v>10426</v>
      </c>
      <c r="B1029" s="4">
        <v>94</v>
      </c>
    </row>
    <row r="1030" customHeight="1" spans="1:2">
      <c r="A1030" s="3" t="s">
        <v>11775</v>
      </c>
      <c r="B1030" s="4">
        <v>99</v>
      </c>
    </row>
    <row r="1031" customHeight="1" spans="1:2">
      <c r="A1031" s="3" t="s">
        <v>19689</v>
      </c>
      <c r="B1031" s="4">
        <v>95</v>
      </c>
    </row>
    <row r="1032" customHeight="1" spans="1:2">
      <c r="A1032" s="3" t="s">
        <v>5617</v>
      </c>
      <c r="B1032" s="4">
        <v>105</v>
      </c>
    </row>
    <row r="1033" customHeight="1" spans="1:2">
      <c r="A1033" s="3" t="s">
        <v>13797</v>
      </c>
      <c r="B1033" s="4">
        <v>94</v>
      </c>
    </row>
    <row r="1034" customHeight="1" spans="1:2">
      <c r="A1034" s="3" t="s">
        <v>12205</v>
      </c>
      <c r="B1034" s="4">
        <v>98</v>
      </c>
    </row>
    <row r="1035" customHeight="1" spans="1:2">
      <c r="A1035" s="3" t="s">
        <v>4492</v>
      </c>
      <c r="B1035" s="4">
        <v>103</v>
      </c>
    </row>
    <row r="1036" customHeight="1" spans="1:2">
      <c r="A1036" s="3" t="s">
        <v>967</v>
      </c>
      <c r="B1036" s="4">
        <v>133</v>
      </c>
    </row>
    <row r="1037" customHeight="1" spans="1:2">
      <c r="A1037" s="3" t="s">
        <v>3332</v>
      </c>
      <c r="B1037" s="4">
        <v>124</v>
      </c>
    </row>
    <row r="1038" customHeight="1" spans="1:2">
      <c r="A1038" s="3" t="s">
        <v>2150</v>
      </c>
      <c r="B1038" s="4">
        <v>128</v>
      </c>
    </row>
    <row r="1039" customHeight="1" spans="1:2">
      <c r="A1039" s="3" t="s">
        <v>8859</v>
      </c>
      <c r="B1039" s="4">
        <v>131</v>
      </c>
    </row>
    <row r="1040" customHeight="1" spans="1:2">
      <c r="A1040" s="3" t="s">
        <v>17803</v>
      </c>
      <c r="B1040" s="4">
        <v>82</v>
      </c>
    </row>
    <row r="1041" customHeight="1" spans="1:2">
      <c r="A1041" s="3" t="s">
        <v>20861</v>
      </c>
      <c r="B1041" s="4"/>
    </row>
    <row r="1042" customHeight="1" spans="1:2">
      <c r="A1042" s="3" t="s">
        <v>17746</v>
      </c>
      <c r="B1042" s="4">
        <v>110</v>
      </c>
    </row>
    <row r="1043" customHeight="1" spans="1:2">
      <c r="A1043" s="3" t="s">
        <v>3598</v>
      </c>
      <c r="B1043" s="4">
        <v>114</v>
      </c>
    </row>
    <row r="1044" customHeight="1" spans="1:2">
      <c r="A1044" s="3" t="s">
        <v>20344</v>
      </c>
      <c r="B1044" s="4">
        <v>99</v>
      </c>
    </row>
    <row r="1045" customHeight="1" spans="1:2">
      <c r="A1045" s="3" t="s">
        <v>1235</v>
      </c>
      <c r="B1045" s="4">
        <v>82</v>
      </c>
    </row>
    <row r="1046" customHeight="1" spans="1:2">
      <c r="A1046" s="3" t="s">
        <v>14490</v>
      </c>
      <c r="B1046" s="4">
        <v>109</v>
      </c>
    </row>
    <row r="1047" customHeight="1" spans="1:2">
      <c r="A1047" s="3" t="s">
        <v>15091</v>
      </c>
      <c r="B1047" s="4">
        <v>97</v>
      </c>
    </row>
    <row r="1048" customHeight="1" spans="1:2">
      <c r="A1048" s="3" t="s">
        <v>13790</v>
      </c>
      <c r="B1048" s="4">
        <v>82</v>
      </c>
    </row>
    <row r="1049" customHeight="1" spans="1:2">
      <c r="A1049" s="3" t="s">
        <v>11154</v>
      </c>
      <c r="B1049" s="4">
        <v>88</v>
      </c>
    </row>
    <row r="1050" customHeight="1" spans="1:2">
      <c r="A1050" s="3" t="s">
        <v>4641</v>
      </c>
      <c r="B1050" s="4">
        <v>128</v>
      </c>
    </row>
    <row r="1051" customHeight="1" spans="1:2">
      <c r="A1051" s="3" t="s">
        <v>8142</v>
      </c>
      <c r="B1051" s="4">
        <v>112</v>
      </c>
    </row>
    <row r="1052" customHeight="1" spans="1:2">
      <c r="A1052" s="3" t="s">
        <v>13218</v>
      </c>
      <c r="B1052" s="4">
        <v>84</v>
      </c>
    </row>
    <row r="1053" customHeight="1" spans="1:2">
      <c r="A1053" s="3" t="s">
        <v>6863</v>
      </c>
      <c r="B1053" s="4">
        <v>210</v>
      </c>
    </row>
    <row r="1054" customHeight="1" spans="1:2">
      <c r="A1054" s="3" t="s">
        <v>12956</v>
      </c>
      <c r="B1054" s="4">
        <v>84</v>
      </c>
    </row>
    <row r="1055" customHeight="1" spans="1:2">
      <c r="A1055" s="3" t="s">
        <v>2394</v>
      </c>
      <c r="B1055" s="4">
        <v>139</v>
      </c>
    </row>
    <row r="1056" customHeight="1" spans="1:2">
      <c r="A1056" s="3" t="s">
        <v>9092</v>
      </c>
      <c r="B1056" s="4">
        <v>116</v>
      </c>
    </row>
    <row r="1057" customHeight="1" spans="1:2">
      <c r="A1057" s="3" t="s">
        <v>1767</v>
      </c>
      <c r="B1057" s="4">
        <v>165</v>
      </c>
    </row>
    <row r="1058" customHeight="1" spans="1:2">
      <c r="A1058" s="3" t="s">
        <v>17438</v>
      </c>
      <c r="B1058" s="4">
        <v>120</v>
      </c>
    </row>
    <row r="1059" customHeight="1" spans="1:2">
      <c r="A1059" s="3" t="s">
        <v>20032</v>
      </c>
      <c r="B1059" s="4">
        <v>120</v>
      </c>
    </row>
    <row r="1060" customHeight="1" spans="1:2">
      <c r="A1060" s="3" t="s">
        <v>8700</v>
      </c>
      <c r="B1060" s="4">
        <v>87</v>
      </c>
    </row>
    <row r="1061" customHeight="1" spans="1:2">
      <c r="A1061" s="3" t="s">
        <v>21964</v>
      </c>
      <c r="B1061" s="4">
        <v>84</v>
      </c>
    </row>
    <row r="1062" customHeight="1" spans="1:2">
      <c r="A1062" s="3" t="s">
        <v>3284</v>
      </c>
      <c r="B1062" s="4">
        <v>85</v>
      </c>
    </row>
    <row r="1063" customHeight="1" spans="1:2">
      <c r="A1063" s="3" t="s">
        <v>14494</v>
      </c>
      <c r="B1063" s="4">
        <v>200</v>
      </c>
    </row>
    <row r="1064" customHeight="1" spans="1:2">
      <c r="A1064" s="3" t="s">
        <v>8122</v>
      </c>
      <c r="B1064" s="4">
        <v>184</v>
      </c>
    </row>
    <row r="1065" customHeight="1" spans="1:2">
      <c r="A1065" s="3" t="s">
        <v>14900</v>
      </c>
      <c r="B1065" s="4">
        <v>130</v>
      </c>
    </row>
    <row r="1066" customHeight="1" spans="1:2">
      <c r="A1066" s="3" t="s">
        <v>23013</v>
      </c>
      <c r="B1066" s="4">
        <v>94</v>
      </c>
    </row>
    <row r="1067" customHeight="1" spans="1:2">
      <c r="A1067" s="3" t="s">
        <v>22845</v>
      </c>
      <c r="B1067" s="4">
        <v>91</v>
      </c>
    </row>
    <row r="1068" customHeight="1" spans="1:2">
      <c r="A1068" s="3" t="s">
        <v>7189</v>
      </c>
      <c r="B1068" s="4">
        <v>107</v>
      </c>
    </row>
    <row r="1069" customHeight="1" spans="1:2">
      <c r="A1069" s="3" t="s">
        <v>7146</v>
      </c>
      <c r="B1069" s="4">
        <v>113</v>
      </c>
    </row>
    <row r="1070" customHeight="1" spans="1:2">
      <c r="A1070" s="3" t="s">
        <v>17102</v>
      </c>
      <c r="B1070" s="4">
        <v>42</v>
      </c>
    </row>
    <row r="1071" customHeight="1" spans="1:2">
      <c r="A1071" s="3" t="s">
        <v>16707</v>
      </c>
      <c r="B1071" s="4">
        <v>93</v>
      </c>
    </row>
    <row r="1072" customHeight="1" spans="1:2">
      <c r="A1072" s="3" t="s">
        <v>4891</v>
      </c>
      <c r="B1072" s="4">
        <v>89</v>
      </c>
    </row>
    <row r="1073" customHeight="1" spans="1:2">
      <c r="A1073" s="3" t="s">
        <v>5454</v>
      </c>
      <c r="B1073" s="4">
        <v>127</v>
      </c>
    </row>
    <row r="1074" customHeight="1" spans="1:2">
      <c r="A1074" s="3" t="s">
        <v>17399</v>
      </c>
      <c r="B1074" s="4">
        <v>90</v>
      </c>
    </row>
    <row r="1075" customHeight="1" spans="1:2">
      <c r="A1075" s="3" t="s">
        <v>9737</v>
      </c>
      <c r="B1075" s="4">
        <v>97</v>
      </c>
    </row>
    <row r="1076" customHeight="1" spans="1:2">
      <c r="A1076" s="3" t="s">
        <v>17276</v>
      </c>
      <c r="B1076" s="4">
        <v>87</v>
      </c>
    </row>
    <row r="1077" customHeight="1" spans="1:2">
      <c r="A1077" s="3" t="s">
        <v>22274</v>
      </c>
      <c r="B1077" s="4">
        <v>99</v>
      </c>
    </row>
    <row r="1078" customHeight="1" spans="1:2">
      <c r="A1078" s="3" t="s">
        <v>7398</v>
      </c>
      <c r="B1078" s="4">
        <v>147</v>
      </c>
    </row>
    <row r="1079" customHeight="1" spans="1:2">
      <c r="A1079" s="3" t="s">
        <v>18274</v>
      </c>
      <c r="B1079" s="4">
        <v>133</v>
      </c>
    </row>
    <row r="1080" customHeight="1" spans="1:2">
      <c r="A1080" s="3" t="s">
        <v>19725</v>
      </c>
      <c r="B1080" s="4">
        <v>109</v>
      </c>
    </row>
    <row r="1081" customHeight="1" spans="1:2">
      <c r="A1081" s="3" t="s">
        <v>9756</v>
      </c>
      <c r="B1081" s="4">
        <v>99</v>
      </c>
    </row>
    <row r="1082" customHeight="1" spans="1:2">
      <c r="A1082" s="3" t="s">
        <v>5168</v>
      </c>
      <c r="B1082" s="4">
        <v>113</v>
      </c>
    </row>
    <row r="1083" customHeight="1" spans="1:2">
      <c r="A1083" s="3" t="s">
        <v>11297</v>
      </c>
      <c r="B1083" s="4">
        <v>77</v>
      </c>
    </row>
    <row r="1084" customHeight="1" spans="1:2">
      <c r="A1084" s="3" t="s">
        <v>3449</v>
      </c>
      <c r="B1084" s="4">
        <v>113</v>
      </c>
    </row>
    <row r="1085" customHeight="1" spans="1:2">
      <c r="A1085" s="3" t="s">
        <v>7878</v>
      </c>
      <c r="B1085" s="4">
        <v>113</v>
      </c>
    </row>
    <row r="1086" customHeight="1" spans="1:2">
      <c r="A1086" s="3" t="s">
        <v>16552</v>
      </c>
      <c r="B1086" s="4">
        <v>103</v>
      </c>
    </row>
    <row r="1087" customHeight="1" spans="1:2">
      <c r="A1087" s="3" t="s">
        <v>12453</v>
      </c>
      <c r="B1087" s="4">
        <v>110</v>
      </c>
    </row>
    <row r="1088" customHeight="1" spans="1:2">
      <c r="A1088" s="3" t="s">
        <v>6252</v>
      </c>
      <c r="B1088" s="4">
        <v>105</v>
      </c>
    </row>
    <row r="1089" customHeight="1" spans="1:2">
      <c r="A1089" s="3" t="s">
        <v>10132</v>
      </c>
      <c r="B1089" s="4">
        <v>88</v>
      </c>
    </row>
    <row r="1090" customHeight="1" spans="1:2">
      <c r="A1090" s="3" t="s">
        <v>10867</v>
      </c>
      <c r="B1090" s="4">
        <v>104</v>
      </c>
    </row>
    <row r="1091" customHeight="1" spans="1:2">
      <c r="A1091" s="3" t="s">
        <v>17645</v>
      </c>
      <c r="B1091" s="4">
        <v>77</v>
      </c>
    </row>
    <row r="1092" customHeight="1" spans="1:2">
      <c r="A1092" s="3" t="s">
        <v>21350</v>
      </c>
      <c r="B1092" s="4">
        <v>88</v>
      </c>
    </row>
    <row r="1093" customHeight="1" spans="1:2">
      <c r="A1093" s="3" t="s">
        <v>18809</v>
      </c>
      <c r="B1093" s="4">
        <v>92</v>
      </c>
    </row>
    <row r="1094" customHeight="1" spans="1:2">
      <c r="A1094" s="3" t="s">
        <v>16199</v>
      </c>
      <c r="B1094" s="4">
        <v>108</v>
      </c>
    </row>
    <row r="1095" customHeight="1" spans="1:2">
      <c r="A1095" s="3" t="s">
        <v>23971</v>
      </c>
      <c r="B1095" s="4">
        <v>93</v>
      </c>
    </row>
    <row r="1096" customHeight="1" spans="1:2">
      <c r="A1096" s="3" t="s">
        <v>8211</v>
      </c>
      <c r="B1096" s="4">
        <v>87</v>
      </c>
    </row>
    <row r="1097" customHeight="1" spans="1:2">
      <c r="A1097" s="3" t="s">
        <v>15646</v>
      </c>
      <c r="B1097" s="4">
        <v>91</v>
      </c>
    </row>
    <row r="1098" customHeight="1" spans="1:2">
      <c r="A1098" s="3" t="s">
        <v>13626</v>
      </c>
      <c r="B1098" s="4">
        <v>178</v>
      </c>
    </row>
    <row r="1099" customHeight="1" spans="1:2">
      <c r="A1099" s="3" t="s">
        <v>3237</v>
      </c>
      <c r="B1099" s="4">
        <v>87</v>
      </c>
    </row>
    <row r="1100" customHeight="1" spans="1:2">
      <c r="A1100" s="3" t="s">
        <v>21534</v>
      </c>
      <c r="B1100" s="4">
        <v>110</v>
      </c>
    </row>
    <row r="1101" customHeight="1" spans="1:2">
      <c r="A1101" s="3" t="s">
        <v>20669</v>
      </c>
      <c r="B1101" s="4">
        <v>95</v>
      </c>
    </row>
    <row r="1102" customHeight="1" spans="1:2">
      <c r="A1102" s="3" t="s">
        <v>8948</v>
      </c>
      <c r="B1102" s="4">
        <v>99</v>
      </c>
    </row>
    <row r="1103" customHeight="1" spans="1:2">
      <c r="A1103" s="3" t="s">
        <v>3419</v>
      </c>
      <c r="B1103" s="4">
        <v>92</v>
      </c>
    </row>
    <row r="1104" customHeight="1" spans="1:2">
      <c r="A1104" s="3" t="s">
        <v>21450</v>
      </c>
      <c r="B1104" s="4">
        <v>73</v>
      </c>
    </row>
    <row r="1105" customHeight="1" spans="1:2">
      <c r="A1105" s="3" t="s">
        <v>9858</v>
      </c>
      <c r="B1105" s="4">
        <v>110</v>
      </c>
    </row>
    <row r="1106" customHeight="1" spans="1:2">
      <c r="A1106" s="3" t="s">
        <v>8349</v>
      </c>
      <c r="B1106" s="4">
        <v>99</v>
      </c>
    </row>
    <row r="1107" customHeight="1" spans="1:2">
      <c r="A1107" s="3" t="s">
        <v>3878</v>
      </c>
      <c r="B1107" s="4">
        <v>103</v>
      </c>
    </row>
    <row r="1108" customHeight="1" spans="1:2">
      <c r="A1108" s="3" t="s">
        <v>12328</v>
      </c>
      <c r="B1108" s="4">
        <v>80</v>
      </c>
    </row>
    <row r="1109" customHeight="1" spans="1:2">
      <c r="A1109" s="3" t="s">
        <v>6996</v>
      </c>
      <c r="B1109" s="4">
        <v>88</v>
      </c>
    </row>
    <row r="1110" customHeight="1" spans="1:2">
      <c r="A1110" s="3" t="s">
        <v>8000</v>
      </c>
      <c r="B1110" s="4">
        <v>107</v>
      </c>
    </row>
    <row r="1111" customHeight="1" spans="1:2">
      <c r="A1111" s="3" t="s">
        <v>8605</v>
      </c>
      <c r="B1111" s="4">
        <v>100</v>
      </c>
    </row>
    <row r="1112" customHeight="1" spans="1:2">
      <c r="A1112" s="3" t="s">
        <v>4339</v>
      </c>
      <c r="B1112" s="4">
        <v>104</v>
      </c>
    </row>
    <row r="1113" customHeight="1" spans="1:2">
      <c r="A1113" s="3" t="s">
        <v>4524</v>
      </c>
      <c r="B1113" s="4">
        <v>103</v>
      </c>
    </row>
    <row r="1114" customHeight="1" spans="1:2">
      <c r="A1114" s="3" t="s">
        <v>11962</v>
      </c>
      <c r="B1114" s="4">
        <v>108</v>
      </c>
    </row>
    <row r="1115" customHeight="1" spans="1:2">
      <c r="A1115" s="3" t="s">
        <v>5426</v>
      </c>
      <c r="B1115" s="4">
        <v>84</v>
      </c>
    </row>
    <row r="1116" customHeight="1" spans="1:2">
      <c r="A1116" s="3" t="s">
        <v>21718</v>
      </c>
      <c r="B1116" s="4">
        <v>97</v>
      </c>
    </row>
    <row r="1117" customHeight="1" spans="1:2">
      <c r="A1117" s="3" t="s">
        <v>3642</v>
      </c>
      <c r="B1117" s="4">
        <v>136</v>
      </c>
    </row>
    <row r="1118" customHeight="1" spans="1:2">
      <c r="A1118" s="3" t="s">
        <v>7967</v>
      </c>
      <c r="B1118" s="4">
        <v>98</v>
      </c>
    </row>
    <row r="1119" customHeight="1" spans="1:2">
      <c r="A1119" s="3" t="s">
        <v>3079</v>
      </c>
      <c r="B1119" s="4">
        <v>130</v>
      </c>
    </row>
    <row r="1120" customHeight="1" spans="1:2">
      <c r="A1120" s="3" t="s">
        <v>19116</v>
      </c>
      <c r="B1120" s="4">
        <v>92</v>
      </c>
    </row>
    <row r="1121" customHeight="1" spans="1:2">
      <c r="A1121" s="3" t="s">
        <v>2487</v>
      </c>
      <c r="B1121" s="4">
        <v>190</v>
      </c>
    </row>
    <row r="1122" customHeight="1" spans="1:2">
      <c r="A1122" s="3" t="s">
        <v>16874</v>
      </c>
      <c r="B1122" s="4">
        <v>104</v>
      </c>
    </row>
    <row r="1123" customHeight="1" spans="1:2">
      <c r="A1123" s="3" t="s">
        <v>6611</v>
      </c>
      <c r="B1123" s="4">
        <v>102</v>
      </c>
    </row>
    <row r="1124" customHeight="1" spans="1:2">
      <c r="A1124" s="3" t="s">
        <v>22597</v>
      </c>
      <c r="B1124" s="4">
        <v>90</v>
      </c>
    </row>
    <row r="1125" customHeight="1" spans="1:2">
      <c r="A1125" s="3" t="s">
        <v>5488</v>
      </c>
      <c r="B1125" s="4">
        <v>104</v>
      </c>
    </row>
    <row r="1126" customHeight="1" spans="1:2">
      <c r="A1126" s="3" t="s">
        <v>14526</v>
      </c>
      <c r="B1126" s="4">
        <v>92</v>
      </c>
    </row>
    <row r="1127" customHeight="1" spans="1:2">
      <c r="A1127" s="3" t="s">
        <v>16064</v>
      </c>
      <c r="B1127" s="4">
        <v>91</v>
      </c>
    </row>
    <row r="1128" customHeight="1" spans="1:2">
      <c r="A1128" s="3" t="s">
        <v>12852</v>
      </c>
      <c r="B1128" s="4">
        <v>100</v>
      </c>
    </row>
    <row r="1129" customHeight="1" spans="1:2">
      <c r="A1129" s="3" t="s">
        <v>3268</v>
      </c>
      <c r="B1129" s="4">
        <v>116</v>
      </c>
    </row>
    <row r="1130" customHeight="1" spans="1:2">
      <c r="A1130" s="3" t="s">
        <v>18142</v>
      </c>
      <c r="B1130" s="4">
        <v>98</v>
      </c>
    </row>
    <row r="1131" customHeight="1" spans="1:2">
      <c r="A1131" s="3" t="s">
        <v>16315</v>
      </c>
      <c r="B1131" s="4">
        <v>99</v>
      </c>
    </row>
    <row r="1132" customHeight="1" spans="1:2">
      <c r="A1132" s="3" t="s">
        <v>15071</v>
      </c>
      <c r="B1132" s="4">
        <v>97</v>
      </c>
    </row>
    <row r="1133" customHeight="1" spans="1:2">
      <c r="A1133" s="3" t="s">
        <v>12491</v>
      </c>
      <c r="B1133" s="4">
        <v>96</v>
      </c>
    </row>
    <row r="1134" customHeight="1" spans="1:2">
      <c r="A1134" s="3" t="s">
        <v>10729</v>
      </c>
      <c r="B1134" s="4">
        <v>118</v>
      </c>
    </row>
    <row r="1135" customHeight="1" spans="1:2">
      <c r="A1135" s="3" t="s">
        <v>24013</v>
      </c>
      <c r="B1135" s="4">
        <v>90</v>
      </c>
    </row>
    <row r="1136" customHeight="1" spans="1:2">
      <c r="A1136" s="3" t="s">
        <v>13674</v>
      </c>
      <c r="B1136" s="4">
        <v>83</v>
      </c>
    </row>
    <row r="1137" customHeight="1" spans="1:2">
      <c r="A1137" s="3" t="s">
        <v>23728</v>
      </c>
      <c r="B1137" s="4">
        <v>82</v>
      </c>
    </row>
    <row r="1138" customHeight="1" spans="1:2">
      <c r="A1138" s="3" t="s">
        <v>10477</v>
      </c>
      <c r="B1138" s="4">
        <v>77</v>
      </c>
    </row>
    <row r="1139" customHeight="1" spans="1:2">
      <c r="A1139" s="3" t="s">
        <v>3685</v>
      </c>
      <c r="B1139" s="4">
        <v>95</v>
      </c>
    </row>
    <row r="1140" customHeight="1" spans="1:2">
      <c r="A1140" s="3" t="s">
        <v>17044</v>
      </c>
      <c r="B1140" s="4">
        <v>144</v>
      </c>
    </row>
    <row r="1141" customHeight="1" spans="1:2">
      <c r="A1141" s="3" t="s">
        <v>12532</v>
      </c>
      <c r="B1141" s="4">
        <v>112</v>
      </c>
    </row>
    <row r="1142" customHeight="1" spans="1:2">
      <c r="A1142" s="3" t="s">
        <v>17519</v>
      </c>
      <c r="B1142" s="4">
        <v>128</v>
      </c>
    </row>
    <row r="1143" customHeight="1" spans="1:2">
      <c r="A1143" s="3" t="s">
        <v>14359</v>
      </c>
      <c r="B1143" s="4">
        <v>100</v>
      </c>
    </row>
    <row r="1144" customHeight="1" spans="1:2">
      <c r="A1144" s="3" t="s">
        <v>12380</v>
      </c>
      <c r="B1144" s="4">
        <v>113</v>
      </c>
    </row>
    <row r="1145" customHeight="1" spans="1:2">
      <c r="A1145" s="3" t="s">
        <v>6337</v>
      </c>
      <c r="B1145" s="4">
        <v>109</v>
      </c>
    </row>
    <row r="1146" customHeight="1" spans="1:2">
      <c r="A1146" s="3" t="s">
        <v>8464</v>
      </c>
      <c r="B1146" s="4">
        <v>85</v>
      </c>
    </row>
    <row r="1147" customHeight="1" spans="1:2">
      <c r="A1147" s="3" t="s">
        <v>5880</v>
      </c>
      <c r="B1147" s="4">
        <v>177</v>
      </c>
    </row>
    <row r="1148" customHeight="1" spans="1:2">
      <c r="A1148" s="3" t="s">
        <v>13303</v>
      </c>
      <c r="B1148" s="4">
        <v>105</v>
      </c>
    </row>
    <row r="1149" customHeight="1" spans="1:2">
      <c r="A1149" s="3" t="s">
        <v>6798</v>
      </c>
      <c r="B1149" s="4">
        <v>89</v>
      </c>
    </row>
    <row r="1150" customHeight="1" spans="1:2">
      <c r="A1150" s="3" t="s">
        <v>4237</v>
      </c>
      <c r="B1150" s="4">
        <v>125</v>
      </c>
    </row>
    <row r="1151" customHeight="1" spans="1:2">
      <c r="A1151" s="3" t="s">
        <v>24009</v>
      </c>
      <c r="B1151" s="4">
        <v>90</v>
      </c>
    </row>
    <row r="1152" customHeight="1" spans="1:2">
      <c r="A1152" s="3" t="s">
        <v>11530</v>
      </c>
      <c r="B1152" s="4">
        <v>98</v>
      </c>
    </row>
    <row r="1153" customHeight="1" spans="1:2">
      <c r="A1153" s="3" t="s">
        <v>18071</v>
      </c>
      <c r="B1153" s="4">
        <v>94</v>
      </c>
    </row>
    <row r="1154" customHeight="1" spans="1:2">
      <c r="A1154" s="3" t="s">
        <v>11476</v>
      </c>
      <c r="B1154" s="4">
        <v>107</v>
      </c>
    </row>
    <row r="1155" customHeight="1" spans="1:2">
      <c r="A1155" s="3" t="s">
        <v>20747</v>
      </c>
      <c r="B1155" s="4">
        <v>111</v>
      </c>
    </row>
    <row r="1156" customHeight="1" spans="1:2">
      <c r="A1156" s="3" t="s">
        <v>19427</v>
      </c>
      <c r="B1156" s="4">
        <v>89</v>
      </c>
    </row>
    <row r="1157" customHeight="1" spans="1:2">
      <c r="A1157" s="3" t="s">
        <v>14733</v>
      </c>
      <c r="B1157" s="4">
        <v>120</v>
      </c>
    </row>
    <row r="1158" customHeight="1" spans="1:2">
      <c r="A1158" s="3" t="s">
        <v>2645</v>
      </c>
      <c r="B1158" s="4">
        <v>118</v>
      </c>
    </row>
    <row r="1159" customHeight="1" spans="1:2">
      <c r="A1159" s="3" t="s">
        <v>13765</v>
      </c>
      <c r="B1159" s="4">
        <v>91</v>
      </c>
    </row>
    <row r="1160" customHeight="1" spans="1:2">
      <c r="A1160" s="3" t="s">
        <v>5609</v>
      </c>
      <c r="B1160" s="4">
        <v>110</v>
      </c>
    </row>
    <row r="1161" customHeight="1" spans="1:2">
      <c r="A1161" s="3" t="s">
        <v>19359</v>
      </c>
      <c r="B1161" s="4">
        <v>96</v>
      </c>
    </row>
    <row r="1162" customHeight="1" spans="1:2">
      <c r="A1162" s="3" t="s">
        <v>5406</v>
      </c>
      <c r="B1162" s="4">
        <v>96</v>
      </c>
    </row>
    <row r="1163" customHeight="1" spans="1:2">
      <c r="A1163" s="3" t="s">
        <v>16108</v>
      </c>
      <c r="B1163" s="4">
        <v>92</v>
      </c>
    </row>
    <row r="1164" customHeight="1" spans="1:2">
      <c r="A1164" s="3" t="s">
        <v>18380</v>
      </c>
      <c r="B1164" s="4">
        <v>124</v>
      </c>
    </row>
    <row r="1165" customHeight="1" spans="1:2">
      <c r="A1165" s="3" t="s">
        <v>13540</v>
      </c>
      <c r="B1165" s="4">
        <v>97</v>
      </c>
    </row>
    <row r="1166" customHeight="1" spans="1:2">
      <c r="A1166" s="3" t="s">
        <v>4029</v>
      </c>
      <c r="B1166" s="4">
        <v>140</v>
      </c>
    </row>
    <row r="1167" customHeight="1" spans="1:2">
      <c r="A1167" s="3" t="s">
        <v>23758</v>
      </c>
      <c r="B1167" s="4">
        <v>81</v>
      </c>
    </row>
    <row r="1168" customHeight="1" spans="1:2">
      <c r="A1168" s="3" t="s">
        <v>20708</v>
      </c>
      <c r="B1168" s="4">
        <v>93</v>
      </c>
    </row>
    <row r="1169" customHeight="1" spans="1:2">
      <c r="A1169" s="3" t="s">
        <v>11970</v>
      </c>
      <c r="B1169" s="4">
        <v>127</v>
      </c>
    </row>
    <row r="1170" customHeight="1" spans="1:2">
      <c r="A1170" s="3" t="s">
        <v>9730</v>
      </c>
      <c r="B1170" s="4">
        <v>212</v>
      </c>
    </row>
    <row r="1171" customHeight="1" spans="1:2">
      <c r="A1171" s="3" t="s">
        <v>21184</v>
      </c>
      <c r="B1171" s="4">
        <v>83</v>
      </c>
    </row>
    <row r="1172" customHeight="1" spans="1:2">
      <c r="A1172" s="3" t="s">
        <v>20456</v>
      </c>
      <c r="B1172" s="4">
        <v>91</v>
      </c>
    </row>
    <row r="1173" customHeight="1" spans="1:2">
      <c r="A1173" s="3" t="s">
        <v>20049</v>
      </c>
      <c r="B1173" s="4">
        <v>90</v>
      </c>
    </row>
    <row r="1174" customHeight="1" spans="1:2">
      <c r="A1174" s="3" t="s">
        <v>4274</v>
      </c>
      <c r="B1174" s="4">
        <v>117</v>
      </c>
    </row>
    <row r="1175" customHeight="1" spans="1:2">
      <c r="A1175" s="3" t="s">
        <v>526</v>
      </c>
      <c r="B1175" s="4">
        <v>113</v>
      </c>
    </row>
    <row r="1176" customHeight="1" spans="1:2">
      <c r="A1176" s="3" t="s">
        <v>15355</v>
      </c>
      <c r="B1176" s="4">
        <v>82</v>
      </c>
    </row>
    <row r="1177" customHeight="1" spans="1:2">
      <c r="A1177" s="3" t="s">
        <v>4390</v>
      </c>
      <c r="B1177" s="4">
        <v>122</v>
      </c>
    </row>
    <row r="1178" customHeight="1" spans="1:2">
      <c r="A1178" s="3" t="s">
        <v>10736</v>
      </c>
      <c r="B1178" s="4">
        <v>105</v>
      </c>
    </row>
    <row r="1179" customHeight="1" spans="1:2">
      <c r="A1179" s="3" t="s">
        <v>6341</v>
      </c>
      <c r="B1179" s="4">
        <v>120</v>
      </c>
    </row>
    <row r="1180" customHeight="1" spans="1:2">
      <c r="A1180" s="3" t="s">
        <v>8538</v>
      </c>
      <c r="B1180" s="4">
        <v>99</v>
      </c>
    </row>
    <row r="1181" customHeight="1" spans="1:2">
      <c r="A1181" s="3" t="s">
        <v>20674</v>
      </c>
      <c r="B1181" s="4">
        <v>118</v>
      </c>
    </row>
    <row r="1182" customHeight="1" spans="1:2">
      <c r="A1182" s="3" t="s">
        <v>24121</v>
      </c>
      <c r="B1182" s="4">
        <v>81</v>
      </c>
    </row>
    <row r="1183" customHeight="1" spans="1:2">
      <c r="A1183" s="3" t="s">
        <v>15868</v>
      </c>
      <c r="B1183" s="4">
        <v>103</v>
      </c>
    </row>
    <row r="1184" customHeight="1" spans="1:2">
      <c r="A1184" s="3" t="s">
        <v>3825</v>
      </c>
      <c r="B1184" s="4">
        <v>100</v>
      </c>
    </row>
    <row r="1185" customHeight="1" spans="1:2">
      <c r="A1185" s="3" t="s">
        <v>7890</v>
      </c>
      <c r="B1185" s="4">
        <v>97</v>
      </c>
    </row>
    <row r="1186" customHeight="1" spans="1:2">
      <c r="A1186" s="3" t="s">
        <v>16838</v>
      </c>
      <c r="B1186" s="4">
        <v>115</v>
      </c>
    </row>
    <row r="1187" customHeight="1" spans="1:2">
      <c r="A1187" s="3" t="s">
        <v>9658</v>
      </c>
      <c r="B1187" s="4">
        <v>124</v>
      </c>
    </row>
    <row r="1188" customHeight="1" spans="1:2">
      <c r="A1188" s="3" t="s">
        <v>4775</v>
      </c>
      <c r="B1188" s="4">
        <v>114</v>
      </c>
    </row>
    <row r="1189" customHeight="1" spans="1:2">
      <c r="A1189" s="3" t="s">
        <v>4855</v>
      </c>
      <c r="B1189" s="4">
        <v>123</v>
      </c>
    </row>
    <row r="1190" customHeight="1" spans="1:2">
      <c r="A1190" s="3" t="s">
        <v>7543</v>
      </c>
      <c r="B1190" s="4">
        <v>96</v>
      </c>
    </row>
    <row r="1191" customHeight="1" spans="1:2">
      <c r="A1191" s="3" t="s">
        <v>20082</v>
      </c>
      <c r="B1191" s="4">
        <v>89</v>
      </c>
    </row>
    <row r="1192" customHeight="1" spans="1:2">
      <c r="A1192" s="3" t="s">
        <v>19295</v>
      </c>
      <c r="B1192" s="4">
        <v>146</v>
      </c>
    </row>
    <row r="1193" customHeight="1" spans="1:2">
      <c r="A1193" s="3" t="s">
        <v>15378</v>
      </c>
      <c r="B1193" s="4">
        <v>97</v>
      </c>
    </row>
    <row r="1194" customHeight="1" spans="1:2">
      <c r="A1194" s="3" t="s">
        <v>1392</v>
      </c>
      <c r="B1194" s="4">
        <v>109</v>
      </c>
    </row>
    <row r="1195" customHeight="1" spans="1:2">
      <c r="A1195" s="3" t="s">
        <v>22107</v>
      </c>
      <c r="B1195" s="4">
        <v>78</v>
      </c>
    </row>
    <row r="1196" customHeight="1" spans="1:2">
      <c r="A1196" s="3" t="s">
        <v>17292</v>
      </c>
      <c r="B1196" s="4">
        <v>240</v>
      </c>
    </row>
    <row r="1197" customHeight="1" spans="1:2">
      <c r="A1197" s="3" t="s">
        <v>18886</v>
      </c>
      <c r="B1197" s="4">
        <v>42</v>
      </c>
    </row>
    <row r="1198" customHeight="1" spans="1:2">
      <c r="A1198" s="3" t="s">
        <v>14923</v>
      </c>
      <c r="B1198" s="4">
        <v>103</v>
      </c>
    </row>
    <row r="1199" customHeight="1" spans="1:2">
      <c r="A1199" s="3" t="s">
        <v>2345</v>
      </c>
      <c r="B1199" s="4">
        <v>107</v>
      </c>
    </row>
    <row r="1200" customHeight="1" spans="1:2">
      <c r="A1200" s="3" t="s">
        <v>1824</v>
      </c>
      <c r="B1200" s="4">
        <v>121</v>
      </c>
    </row>
    <row r="1201" customHeight="1" spans="1:2">
      <c r="A1201" s="3" t="s">
        <v>15060</v>
      </c>
      <c r="B1201" s="4">
        <v>108</v>
      </c>
    </row>
    <row r="1202" customHeight="1" spans="1:2">
      <c r="A1202" s="3" t="s">
        <v>12801</v>
      </c>
      <c r="B1202" s="4">
        <v>109</v>
      </c>
    </row>
    <row r="1203" customHeight="1" spans="1:2">
      <c r="A1203" s="3" t="s">
        <v>1615</v>
      </c>
      <c r="B1203" s="4">
        <v>114</v>
      </c>
    </row>
    <row r="1204" customHeight="1" spans="1:2">
      <c r="A1204" s="3" t="s">
        <v>11045</v>
      </c>
      <c r="B1204" s="4">
        <v>104</v>
      </c>
    </row>
    <row r="1205" customHeight="1" spans="1:2">
      <c r="A1205" s="3" t="s">
        <v>2401</v>
      </c>
      <c r="B1205" s="4">
        <v>131</v>
      </c>
    </row>
    <row r="1206" customHeight="1" spans="1:2">
      <c r="A1206" s="3" t="s">
        <v>2374</v>
      </c>
      <c r="B1206" s="4">
        <v>140</v>
      </c>
    </row>
    <row r="1207" customHeight="1" spans="1:2">
      <c r="A1207" s="3" t="s">
        <v>16104</v>
      </c>
      <c r="B1207" s="4">
        <v>93</v>
      </c>
    </row>
    <row r="1208" customHeight="1" spans="1:2">
      <c r="A1208" s="3" t="s">
        <v>7003</v>
      </c>
      <c r="B1208" s="4">
        <v>115</v>
      </c>
    </row>
    <row r="1209" customHeight="1" spans="1:2">
      <c r="A1209" s="3" t="s">
        <v>22715</v>
      </c>
      <c r="B1209" s="4">
        <v>90</v>
      </c>
    </row>
    <row r="1210" customHeight="1" spans="1:2">
      <c r="A1210" s="3" t="s">
        <v>19582</v>
      </c>
      <c r="B1210" s="4">
        <v>88</v>
      </c>
    </row>
    <row r="1211" customHeight="1" spans="1:2">
      <c r="A1211" s="3" t="s">
        <v>12586</v>
      </c>
      <c r="B1211" s="4">
        <v>161</v>
      </c>
    </row>
    <row r="1212" customHeight="1" spans="1:2">
      <c r="A1212" s="3" t="s">
        <v>8428</v>
      </c>
      <c r="B1212" s="4">
        <v>28</v>
      </c>
    </row>
    <row r="1213" customHeight="1" spans="1:2">
      <c r="A1213" s="3" t="s">
        <v>3606</v>
      </c>
      <c r="B1213" s="4">
        <v>113</v>
      </c>
    </row>
    <row r="1214" customHeight="1" spans="1:2">
      <c r="A1214" s="3" t="s">
        <v>11175</v>
      </c>
      <c r="B1214" s="4">
        <v>99</v>
      </c>
    </row>
    <row r="1215" customHeight="1" spans="1:2">
      <c r="A1215" s="3" t="s">
        <v>10808</v>
      </c>
      <c r="B1215" s="4">
        <v>93</v>
      </c>
    </row>
    <row r="1216" customHeight="1" spans="1:2">
      <c r="A1216" s="3" t="s">
        <v>1811</v>
      </c>
      <c r="B1216" s="4">
        <v>102</v>
      </c>
    </row>
    <row r="1217" customHeight="1" spans="1:2">
      <c r="A1217" s="3" t="s">
        <v>11421</v>
      </c>
      <c r="B1217" s="4">
        <v>107</v>
      </c>
    </row>
    <row r="1218" customHeight="1" spans="1:2">
      <c r="A1218" s="3" t="s">
        <v>1798</v>
      </c>
      <c r="B1218" s="4">
        <v>104</v>
      </c>
    </row>
    <row r="1219" customHeight="1" spans="1:2">
      <c r="A1219" s="3" t="s">
        <v>1762</v>
      </c>
      <c r="B1219" s="4">
        <v>115</v>
      </c>
    </row>
    <row r="1220" customHeight="1" spans="1:2">
      <c r="A1220" s="3" t="s">
        <v>23695</v>
      </c>
      <c r="B1220" s="4">
        <v>89</v>
      </c>
    </row>
    <row r="1221" customHeight="1" spans="1:2">
      <c r="A1221" s="3" t="s">
        <v>5040</v>
      </c>
      <c r="B1221" s="4">
        <v>131</v>
      </c>
    </row>
    <row r="1222" customHeight="1" spans="1:2">
      <c r="A1222" s="3" t="s">
        <v>14021</v>
      </c>
      <c r="B1222" s="4">
        <v>80</v>
      </c>
    </row>
    <row r="1223" customHeight="1" spans="1:2">
      <c r="A1223" s="3" t="s">
        <v>16005</v>
      </c>
      <c r="B1223" s="4">
        <v>112</v>
      </c>
    </row>
    <row r="1224" customHeight="1" spans="1:2">
      <c r="A1224" s="3" t="s">
        <v>5371</v>
      </c>
      <c r="B1224" s="4">
        <v>101</v>
      </c>
    </row>
    <row r="1225" customHeight="1" spans="1:2">
      <c r="A1225" s="3" t="s">
        <v>17051</v>
      </c>
      <c r="B1225" s="4">
        <v>106</v>
      </c>
    </row>
    <row r="1226" customHeight="1" spans="1:2">
      <c r="A1226" s="3" t="s">
        <v>6460</v>
      </c>
      <c r="B1226" s="4">
        <v>89</v>
      </c>
    </row>
    <row r="1227" customHeight="1" spans="1:2">
      <c r="A1227" s="3" t="s">
        <v>19818</v>
      </c>
      <c r="B1227" s="4">
        <v>98</v>
      </c>
    </row>
    <row r="1228" customHeight="1" spans="1:2">
      <c r="A1228" s="3" t="s">
        <v>22351</v>
      </c>
      <c r="B1228" s="4">
        <v>90</v>
      </c>
    </row>
    <row r="1229" customHeight="1" spans="1:2">
      <c r="A1229" s="3" t="s">
        <v>3528</v>
      </c>
      <c r="B1229" s="4">
        <v>115</v>
      </c>
    </row>
    <row r="1230" customHeight="1" spans="1:2">
      <c r="A1230" s="3" t="s">
        <v>12318</v>
      </c>
      <c r="B1230" s="4">
        <v>120</v>
      </c>
    </row>
    <row r="1231" customHeight="1" spans="1:2">
      <c r="A1231" s="3" t="s">
        <v>10944</v>
      </c>
      <c r="B1231" s="4">
        <v>108</v>
      </c>
    </row>
    <row r="1232" customHeight="1" spans="1:2">
      <c r="A1232" s="3" t="s">
        <v>15432</v>
      </c>
      <c r="B1232" s="4">
        <v>85</v>
      </c>
    </row>
    <row r="1233" customHeight="1" spans="1:2">
      <c r="A1233" s="3" t="s">
        <v>20404</v>
      </c>
      <c r="B1233" s="4">
        <v>60</v>
      </c>
    </row>
    <row r="1234" customHeight="1" spans="1:2">
      <c r="A1234" s="3" t="s">
        <v>9771</v>
      </c>
      <c r="B1234" s="4">
        <v>93</v>
      </c>
    </row>
    <row r="1235" customHeight="1" spans="1:2">
      <c r="A1235" s="3" t="s">
        <v>519</v>
      </c>
      <c r="B1235" s="4">
        <v>96</v>
      </c>
    </row>
    <row r="1236" customHeight="1" spans="1:2">
      <c r="A1236" s="3" t="s">
        <v>4334</v>
      </c>
      <c r="B1236" s="4">
        <v>130</v>
      </c>
    </row>
    <row r="1237" customHeight="1" spans="1:2">
      <c r="A1237" s="3" t="s">
        <v>9244</v>
      </c>
      <c r="B1237" s="4">
        <v>121</v>
      </c>
    </row>
    <row r="1238" customHeight="1" spans="1:2">
      <c r="A1238" s="3" t="s">
        <v>3841</v>
      </c>
      <c r="B1238" s="4">
        <v>121</v>
      </c>
    </row>
    <row r="1239" customHeight="1" spans="1:2">
      <c r="A1239" s="3" t="s">
        <v>11261</v>
      </c>
      <c r="B1239" s="4">
        <v>99</v>
      </c>
    </row>
    <row r="1240" customHeight="1" spans="1:2">
      <c r="A1240" s="3" t="s">
        <v>11253</v>
      </c>
      <c r="B1240" s="4">
        <v>101</v>
      </c>
    </row>
    <row r="1241" customHeight="1" spans="1:2">
      <c r="A1241" s="3" t="s">
        <v>17897</v>
      </c>
      <c r="B1241" s="4">
        <v>97</v>
      </c>
    </row>
    <row r="1242" customHeight="1" spans="1:2">
      <c r="A1242" s="3" t="s">
        <v>22676</v>
      </c>
      <c r="B1242" s="4">
        <v>87</v>
      </c>
    </row>
    <row r="1243" customHeight="1" spans="1:2">
      <c r="A1243" s="3" t="s">
        <v>20146</v>
      </c>
      <c r="B1243" s="4">
        <v>88</v>
      </c>
    </row>
    <row r="1244" customHeight="1" spans="1:2">
      <c r="A1244" s="3" t="s">
        <v>17680</v>
      </c>
      <c r="B1244" s="4">
        <v>109</v>
      </c>
    </row>
    <row r="1245" customHeight="1" spans="1:2">
      <c r="A1245" s="3" t="s">
        <v>18952</v>
      </c>
      <c r="B1245" s="4">
        <v>37</v>
      </c>
    </row>
    <row r="1246" customHeight="1" spans="1:2">
      <c r="A1246" s="3" t="s">
        <v>12266</v>
      </c>
      <c r="B1246" s="4">
        <v>96</v>
      </c>
    </row>
    <row r="1247" customHeight="1" spans="1:2">
      <c r="A1247" s="3" t="s">
        <v>4710</v>
      </c>
      <c r="B1247" s="4">
        <v>135</v>
      </c>
    </row>
    <row r="1248" customHeight="1" spans="1:2">
      <c r="A1248" s="3" t="s">
        <v>2805</v>
      </c>
      <c r="B1248" s="4">
        <v>81</v>
      </c>
    </row>
    <row r="1249" customHeight="1" spans="1:2">
      <c r="A1249" s="3" t="s">
        <v>13750</v>
      </c>
      <c r="B1249" s="4">
        <v>108</v>
      </c>
    </row>
    <row r="1250" customHeight="1" spans="1:2">
      <c r="A1250" s="3" t="s">
        <v>23252</v>
      </c>
      <c r="B1250" s="4">
        <v>101</v>
      </c>
    </row>
    <row r="1251" customHeight="1" spans="1:2">
      <c r="A1251" s="3" t="s">
        <v>13866</v>
      </c>
      <c r="B1251" s="4">
        <v>87</v>
      </c>
    </row>
    <row r="1252" customHeight="1" spans="1:2">
      <c r="A1252" s="3" t="s">
        <v>4682</v>
      </c>
      <c r="B1252" s="4">
        <v>133</v>
      </c>
    </row>
    <row r="1253" customHeight="1" spans="1:2">
      <c r="A1253" s="3" t="s">
        <v>24024</v>
      </c>
      <c r="B1253" s="4">
        <v>91</v>
      </c>
    </row>
    <row r="1254" customHeight="1" spans="1:2">
      <c r="A1254" s="3" t="s">
        <v>18318</v>
      </c>
      <c r="B1254" s="4">
        <v>110</v>
      </c>
    </row>
    <row r="1255" customHeight="1" spans="1:2">
      <c r="A1255" s="3" t="s">
        <v>10633</v>
      </c>
      <c r="B1255" s="4">
        <v>115</v>
      </c>
    </row>
    <row r="1256" customHeight="1" spans="1:2">
      <c r="A1256" s="3" t="s">
        <v>7818</v>
      </c>
      <c r="B1256" s="4">
        <v>101</v>
      </c>
    </row>
    <row r="1257" customHeight="1" spans="1:2">
      <c r="A1257" s="3" t="s">
        <v>1026</v>
      </c>
      <c r="B1257" s="4">
        <v>300</v>
      </c>
    </row>
    <row r="1258" customHeight="1" spans="1:2">
      <c r="A1258" s="3" t="s">
        <v>13442</v>
      </c>
      <c r="B1258" s="4">
        <v>118</v>
      </c>
    </row>
    <row r="1259" customHeight="1" spans="1:2">
      <c r="A1259" s="3" t="s">
        <v>3033</v>
      </c>
      <c r="B1259" s="4">
        <v>125</v>
      </c>
    </row>
    <row r="1260" customHeight="1" spans="1:2">
      <c r="A1260" s="3" t="s">
        <v>20922</v>
      </c>
      <c r="B1260" s="4">
        <v>103</v>
      </c>
    </row>
    <row r="1261" customHeight="1" spans="1:2">
      <c r="A1261" s="3" t="s">
        <v>16373</v>
      </c>
      <c r="B1261" s="4">
        <v>92</v>
      </c>
    </row>
    <row r="1262" customHeight="1" spans="1:2">
      <c r="A1262" s="3" t="s">
        <v>8110</v>
      </c>
      <c r="B1262" s="4">
        <v>106</v>
      </c>
    </row>
    <row r="1263" customHeight="1" spans="1:2">
      <c r="A1263" s="3" t="s">
        <v>7029</v>
      </c>
      <c r="B1263" s="4">
        <v>118</v>
      </c>
    </row>
    <row r="1264" customHeight="1" spans="1:2">
      <c r="A1264" s="3" t="s">
        <v>21380</v>
      </c>
      <c r="B1264" s="4">
        <v>76</v>
      </c>
    </row>
    <row r="1265" customHeight="1" spans="1:2">
      <c r="A1265" s="3" t="s">
        <v>6825</v>
      </c>
      <c r="B1265" s="4">
        <v>93</v>
      </c>
    </row>
    <row r="1266" customHeight="1" spans="1:2">
      <c r="A1266" s="3" t="s">
        <v>6625</v>
      </c>
      <c r="B1266" s="4">
        <v>129</v>
      </c>
    </row>
    <row r="1267" customHeight="1" spans="1:2">
      <c r="A1267" s="3" t="s">
        <v>10938</v>
      </c>
      <c r="B1267" s="4">
        <v>101</v>
      </c>
    </row>
    <row r="1268" customHeight="1" spans="1:2">
      <c r="A1268" s="3" t="s">
        <v>12971</v>
      </c>
      <c r="B1268" s="4">
        <v>109</v>
      </c>
    </row>
    <row r="1269" customHeight="1" spans="1:2">
      <c r="A1269" s="3" t="s">
        <v>19908</v>
      </c>
      <c r="B1269" s="4">
        <v>100</v>
      </c>
    </row>
    <row r="1270" customHeight="1" spans="1:2">
      <c r="A1270" s="3" t="s">
        <v>4835</v>
      </c>
      <c r="B1270" s="4">
        <v>96</v>
      </c>
    </row>
    <row r="1271" customHeight="1" spans="1:2">
      <c r="A1271" s="3" t="s">
        <v>3730</v>
      </c>
      <c r="B1271" s="4">
        <v>159</v>
      </c>
    </row>
    <row r="1272" customHeight="1" spans="1:2">
      <c r="A1272" s="3" t="s">
        <v>14573</v>
      </c>
      <c r="B1272" s="4">
        <v>145</v>
      </c>
    </row>
    <row r="1273" customHeight="1" spans="1:2">
      <c r="A1273" s="3" t="s">
        <v>22919</v>
      </c>
      <c r="B1273" s="4">
        <v>84</v>
      </c>
    </row>
    <row r="1274" customHeight="1" spans="1:2">
      <c r="A1274" s="3" t="s">
        <v>2610</v>
      </c>
      <c r="B1274" s="4">
        <v>138</v>
      </c>
    </row>
    <row r="1275" customHeight="1" spans="1:2">
      <c r="A1275" s="3" t="s">
        <v>23683</v>
      </c>
      <c r="B1275" s="4">
        <v>111</v>
      </c>
    </row>
    <row r="1276" customHeight="1" spans="1:2">
      <c r="A1276" s="3" t="s">
        <v>16652</v>
      </c>
      <c r="B1276" s="4">
        <v>99</v>
      </c>
    </row>
    <row r="1277" customHeight="1" spans="1:2">
      <c r="A1277" s="3" t="s">
        <v>16983</v>
      </c>
      <c r="B1277" s="4">
        <v>122</v>
      </c>
    </row>
    <row r="1278" customHeight="1" spans="1:2">
      <c r="A1278" s="3" t="s">
        <v>5100</v>
      </c>
      <c r="B1278" s="4">
        <v>95</v>
      </c>
    </row>
    <row r="1279" customHeight="1" spans="1:2">
      <c r="A1279" s="3" t="s">
        <v>5443</v>
      </c>
      <c r="B1279" s="4">
        <v>108</v>
      </c>
    </row>
    <row r="1280" customHeight="1" spans="1:2">
      <c r="A1280" s="3" t="s">
        <v>22487</v>
      </c>
      <c r="B1280" s="4">
        <v>115</v>
      </c>
    </row>
    <row r="1281" customHeight="1" spans="1:2">
      <c r="A1281" s="3" t="s">
        <v>21457</v>
      </c>
      <c r="B1281" s="4">
        <v>116</v>
      </c>
    </row>
    <row r="1282" customHeight="1" spans="1:2">
      <c r="A1282" s="3" t="s">
        <v>13852</v>
      </c>
      <c r="B1282" s="4">
        <v>91</v>
      </c>
    </row>
    <row r="1283" customHeight="1" spans="1:2">
      <c r="A1283" s="3" t="s">
        <v>18367</v>
      </c>
      <c r="B1283" s="4">
        <v>103</v>
      </c>
    </row>
    <row r="1284" customHeight="1" spans="1:2">
      <c r="A1284" s="3" t="s">
        <v>11873</v>
      </c>
      <c r="B1284" s="4">
        <v>123</v>
      </c>
    </row>
    <row r="1285" customHeight="1" spans="1:2">
      <c r="A1285" s="3" t="s">
        <v>19256</v>
      </c>
      <c r="B1285" s="4">
        <v>120</v>
      </c>
    </row>
    <row r="1286" customHeight="1" spans="1:2">
      <c r="A1286" s="3" t="s">
        <v>2756</v>
      </c>
      <c r="B1286" s="4">
        <v>74</v>
      </c>
    </row>
    <row r="1287" customHeight="1" spans="1:2">
      <c r="A1287" s="3" t="s">
        <v>20006</v>
      </c>
      <c r="B1287" s="4">
        <v>120</v>
      </c>
    </row>
    <row r="1288" customHeight="1" spans="1:2">
      <c r="A1288" s="3" t="s">
        <v>1354</v>
      </c>
      <c r="B1288" s="4">
        <v>92</v>
      </c>
    </row>
    <row r="1289" customHeight="1" spans="1:2">
      <c r="A1289" s="3" t="s">
        <v>1505</v>
      </c>
      <c r="B1289" s="4">
        <v>200</v>
      </c>
    </row>
    <row r="1290" customHeight="1" spans="1:2">
      <c r="A1290" s="3" t="s">
        <v>6751</v>
      </c>
      <c r="B1290" s="4">
        <v>87</v>
      </c>
    </row>
    <row r="1291" customHeight="1" spans="1:2">
      <c r="A1291" s="3" t="s">
        <v>13594</v>
      </c>
      <c r="B1291" s="4">
        <v>107</v>
      </c>
    </row>
    <row r="1292" customHeight="1" spans="1:2">
      <c r="A1292" s="3" t="s">
        <v>16332</v>
      </c>
      <c r="B1292" s="4">
        <v>101</v>
      </c>
    </row>
    <row r="1293" customHeight="1" spans="1:2">
      <c r="A1293" s="3" t="s">
        <v>18042</v>
      </c>
      <c r="B1293" s="4">
        <v>80</v>
      </c>
    </row>
    <row r="1294" customHeight="1" spans="1:2">
      <c r="A1294" s="3" t="s">
        <v>16507</v>
      </c>
      <c r="B1294" s="4">
        <v>53</v>
      </c>
    </row>
    <row r="1295" customHeight="1" spans="1:2">
      <c r="A1295" s="3" t="s">
        <v>18011</v>
      </c>
      <c r="B1295" s="4">
        <v>103</v>
      </c>
    </row>
    <row r="1296" customHeight="1" spans="1:2">
      <c r="A1296" s="3" t="s">
        <v>1292</v>
      </c>
      <c r="B1296" s="4">
        <v>132</v>
      </c>
    </row>
    <row r="1297" customHeight="1" spans="1:2">
      <c r="A1297" s="3" t="s">
        <v>18223</v>
      </c>
      <c r="B1297" s="4">
        <v>90</v>
      </c>
    </row>
    <row r="1298" customHeight="1" spans="1:2">
      <c r="A1298" s="3" t="s">
        <v>10189</v>
      </c>
      <c r="B1298" s="4">
        <v>98</v>
      </c>
    </row>
    <row r="1299" customHeight="1" spans="1:2">
      <c r="A1299" s="3" t="s">
        <v>5832</v>
      </c>
      <c r="B1299" s="4">
        <v>93</v>
      </c>
    </row>
    <row r="1300" customHeight="1" spans="1:2">
      <c r="A1300" s="3" t="s">
        <v>19796</v>
      </c>
      <c r="B1300" s="4">
        <v>97</v>
      </c>
    </row>
    <row r="1301" customHeight="1" spans="1:2">
      <c r="A1301" s="3" t="s">
        <v>13361</v>
      </c>
      <c r="B1301" s="4">
        <v>119</v>
      </c>
    </row>
    <row r="1302" customHeight="1" spans="1:2">
      <c r="A1302" s="3" t="s">
        <v>14392</v>
      </c>
      <c r="B1302" s="4">
        <v>134</v>
      </c>
    </row>
    <row r="1303" customHeight="1" spans="1:2">
      <c r="A1303" s="3" t="s">
        <v>11709</v>
      </c>
      <c r="B1303" s="4">
        <v>118</v>
      </c>
    </row>
    <row r="1304" customHeight="1" spans="1:2">
      <c r="A1304" s="3" t="s">
        <v>21995</v>
      </c>
      <c r="B1304" s="4">
        <v>95</v>
      </c>
    </row>
    <row r="1305" customHeight="1" spans="1:2">
      <c r="A1305" s="3" t="s">
        <v>6792</v>
      </c>
      <c r="B1305" s="4">
        <v>101</v>
      </c>
    </row>
    <row r="1306" customHeight="1" spans="1:2">
      <c r="A1306" s="3" t="s">
        <v>19152</v>
      </c>
      <c r="B1306" s="4">
        <v>95</v>
      </c>
    </row>
    <row r="1307" customHeight="1" spans="1:2">
      <c r="A1307" s="3" t="s">
        <v>13207</v>
      </c>
      <c r="B1307" s="4">
        <v>116</v>
      </c>
    </row>
    <row r="1308" customHeight="1" spans="1:2">
      <c r="A1308" s="3" t="s">
        <v>7714</v>
      </c>
      <c r="B1308" s="4">
        <v>114</v>
      </c>
    </row>
    <row r="1309" customHeight="1" spans="1:2">
      <c r="A1309" s="3" t="s">
        <v>21062</v>
      </c>
      <c r="B1309" s="4">
        <v>87</v>
      </c>
    </row>
    <row r="1310" customHeight="1" spans="1:2">
      <c r="A1310" s="3" t="s">
        <v>6600</v>
      </c>
      <c r="B1310" s="4">
        <v>104</v>
      </c>
    </row>
    <row r="1311" customHeight="1" spans="1:2">
      <c r="A1311" s="3" t="s">
        <v>15605</v>
      </c>
      <c r="B1311" s="4">
        <v>181</v>
      </c>
    </row>
    <row r="1312" customHeight="1" spans="1:2">
      <c r="A1312" s="3" t="s">
        <v>16223</v>
      </c>
      <c r="B1312" s="4">
        <v>93</v>
      </c>
    </row>
    <row r="1313" customHeight="1" spans="1:2">
      <c r="A1313" s="3" t="s">
        <v>15449</v>
      </c>
      <c r="B1313" s="4">
        <v>117</v>
      </c>
    </row>
    <row r="1314" customHeight="1" spans="1:2">
      <c r="A1314" s="3" t="s">
        <v>17783</v>
      </c>
      <c r="B1314" s="4">
        <v>92</v>
      </c>
    </row>
    <row r="1315" customHeight="1" spans="1:2">
      <c r="A1315" s="3" t="s">
        <v>6264</v>
      </c>
      <c r="B1315" s="4">
        <v>129</v>
      </c>
    </row>
    <row r="1316" customHeight="1" spans="1:2">
      <c r="A1316" s="3" t="s">
        <v>3791</v>
      </c>
      <c r="B1316" s="4">
        <v>151</v>
      </c>
    </row>
    <row r="1317" customHeight="1" spans="1:2">
      <c r="A1317" s="3" t="s">
        <v>22727</v>
      </c>
      <c r="B1317" s="4">
        <v>94</v>
      </c>
    </row>
    <row r="1318" customHeight="1" spans="1:2">
      <c r="A1318" s="3" t="s">
        <v>11599</v>
      </c>
      <c r="B1318" s="4">
        <v>90</v>
      </c>
    </row>
    <row r="1319" customHeight="1" spans="1:2">
      <c r="A1319" s="3" t="s">
        <v>23086</v>
      </c>
      <c r="B1319" s="4">
        <v>109</v>
      </c>
    </row>
    <row r="1320" customHeight="1" spans="1:2">
      <c r="A1320" s="3" t="s">
        <v>21249</v>
      </c>
      <c r="B1320" s="4">
        <v>80</v>
      </c>
    </row>
    <row r="1321" customHeight="1" spans="1:2">
      <c r="A1321" s="3" t="s">
        <v>9273</v>
      </c>
      <c r="B1321" s="4">
        <v>90</v>
      </c>
    </row>
    <row r="1322" customHeight="1" spans="1:2">
      <c r="A1322" s="3" t="s">
        <v>9501</v>
      </c>
      <c r="B1322" s="4">
        <v>86</v>
      </c>
    </row>
    <row r="1323" customHeight="1" spans="1:2">
      <c r="A1323" s="3" t="s">
        <v>6586</v>
      </c>
      <c r="B1323" s="4">
        <v>92</v>
      </c>
    </row>
    <row r="1324" customHeight="1" spans="1:2">
      <c r="A1324" s="3" t="s">
        <v>10217</v>
      </c>
      <c r="B1324" s="4">
        <v>98</v>
      </c>
    </row>
    <row r="1325" customHeight="1" spans="1:2">
      <c r="A1325" s="3" t="s">
        <v>1086</v>
      </c>
      <c r="B1325" s="4">
        <v>106</v>
      </c>
    </row>
    <row r="1326" customHeight="1" spans="1:2">
      <c r="A1326" s="3" t="s">
        <v>13855</v>
      </c>
      <c r="B1326" s="4">
        <v>125</v>
      </c>
    </row>
    <row r="1327" customHeight="1" spans="1:2">
      <c r="A1327" s="3" t="s">
        <v>6055</v>
      </c>
      <c r="B1327" s="4">
        <v>136</v>
      </c>
    </row>
    <row r="1328" customHeight="1" spans="1:2">
      <c r="A1328" s="3" t="s">
        <v>2008</v>
      </c>
      <c r="B1328" s="4">
        <v>100</v>
      </c>
    </row>
    <row r="1329" customHeight="1" spans="1:2">
      <c r="A1329" s="3" t="s">
        <v>9514</v>
      </c>
      <c r="B1329" s="4">
        <v>101</v>
      </c>
    </row>
    <row r="1330" customHeight="1" spans="1:2">
      <c r="A1330" s="3" t="s">
        <v>22627</v>
      </c>
      <c r="B1330" s="4">
        <v>84</v>
      </c>
    </row>
    <row r="1331" customHeight="1" spans="1:2">
      <c r="A1331" s="3" t="s">
        <v>11105</v>
      </c>
      <c r="B1331" s="4">
        <v>30</v>
      </c>
    </row>
    <row r="1332" customHeight="1" spans="1:2">
      <c r="A1332" s="3" t="s">
        <v>10556</v>
      </c>
      <c r="B1332" s="4">
        <v>136</v>
      </c>
    </row>
    <row r="1333" customHeight="1" spans="1:2">
      <c r="A1333" s="3" t="s">
        <v>22479</v>
      </c>
      <c r="B1333" s="4">
        <v>122</v>
      </c>
    </row>
    <row r="1334" customHeight="1" spans="1:2">
      <c r="A1334" s="3" t="s">
        <v>12979</v>
      </c>
      <c r="B1334" s="4">
        <v>114</v>
      </c>
    </row>
    <row r="1335" customHeight="1" spans="1:2">
      <c r="A1335" s="3" t="s">
        <v>11637</v>
      </c>
      <c r="B1335" s="4">
        <v>118</v>
      </c>
    </row>
    <row r="1336" customHeight="1" spans="1:2">
      <c r="A1336" s="3" t="s">
        <v>5207</v>
      </c>
      <c r="B1336" s="4">
        <v>105</v>
      </c>
    </row>
    <row r="1337" customHeight="1" spans="1:2">
      <c r="A1337" s="3" t="s">
        <v>5632</v>
      </c>
      <c r="B1337" s="4">
        <v>186</v>
      </c>
    </row>
    <row r="1338" customHeight="1" spans="1:2">
      <c r="A1338" s="3" t="s">
        <v>3134</v>
      </c>
      <c r="B1338" s="4">
        <v>134</v>
      </c>
    </row>
    <row r="1339" customHeight="1" spans="1:2">
      <c r="A1339" s="3" t="s">
        <v>23080</v>
      </c>
      <c r="B1339" s="4">
        <v>94</v>
      </c>
    </row>
    <row r="1340" customHeight="1" spans="1:2">
      <c r="A1340" s="3" t="s">
        <v>19467</v>
      </c>
      <c r="B1340" s="4">
        <v>123</v>
      </c>
    </row>
    <row r="1341" customHeight="1" spans="1:2">
      <c r="A1341" s="3" t="s">
        <v>21706</v>
      </c>
      <c r="B1341" s="4">
        <v>167</v>
      </c>
    </row>
    <row r="1342" customHeight="1" spans="1:2">
      <c r="A1342" s="3" t="s">
        <v>4898</v>
      </c>
      <c r="B1342" s="4">
        <v>135</v>
      </c>
    </row>
    <row r="1343" customHeight="1" spans="1:2">
      <c r="A1343" s="3" t="s">
        <v>15775</v>
      </c>
      <c r="B1343" s="4">
        <v>45</v>
      </c>
    </row>
    <row r="1344" customHeight="1" spans="1:2">
      <c r="A1344" s="3" t="s">
        <v>7507</v>
      </c>
      <c r="B1344" s="4">
        <v>111</v>
      </c>
    </row>
    <row r="1345" customHeight="1" spans="1:2">
      <c r="A1345" s="3" t="s">
        <v>11373</v>
      </c>
      <c r="B1345" s="4">
        <v>119</v>
      </c>
    </row>
    <row r="1346" customHeight="1" spans="1:2">
      <c r="A1346" s="3" t="s">
        <v>16460</v>
      </c>
      <c r="B1346" s="4">
        <v>95</v>
      </c>
    </row>
    <row r="1347" customHeight="1" spans="1:2">
      <c r="A1347" s="3" t="s">
        <v>9250</v>
      </c>
      <c r="B1347" s="4">
        <v>115</v>
      </c>
    </row>
    <row r="1348" customHeight="1" spans="1:2">
      <c r="A1348" s="3" t="s">
        <v>9195</v>
      </c>
      <c r="B1348" s="4">
        <v>112</v>
      </c>
    </row>
    <row r="1349" customHeight="1" spans="1:2">
      <c r="A1349" s="3" t="s">
        <v>8532</v>
      </c>
      <c r="B1349" s="4">
        <v>105</v>
      </c>
    </row>
    <row r="1350" customHeight="1" spans="1:2">
      <c r="A1350" s="3" t="s">
        <v>12926</v>
      </c>
      <c r="B1350" s="4">
        <v>95</v>
      </c>
    </row>
    <row r="1351" customHeight="1" spans="1:2">
      <c r="A1351" s="3" t="s">
        <v>7630</v>
      </c>
      <c r="B1351" s="4">
        <v>115</v>
      </c>
    </row>
    <row r="1352" customHeight="1" spans="1:2">
      <c r="A1352" s="3" t="s">
        <v>3184</v>
      </c>
      <c r="B1352" s="4">
        <v>113</v>
      </c>
    </row>
    <row r="1353" customHeight="1" spans="1:2">
      <c r="A1353" s="3" t="s">
        <v>8050</v>
      </c>
      <c r="B1353" s="4">
        <v>138</v>
      </c>
    </row>
    <row r="1354" customHeight="1" spans="1:2">
      <c r="A1354" s="3" t="s">
        <v>4637</v>
      </c>
      <c r="B1354" s="4">
        <v>98</v>
      </c>
    </row>
    <row r="1355" customHeight="1" spans="1:2">
      <c r="A1355" s="3" t="s">
        <v>13584</v>
      </c>
      <c r="B1355" s="4">
        <v>90</v>
      </c>
    </row>
    <row r="1356" customHeight="1" spans="1:2">
      <c r="A1356" s="3" t="s">
        <v>9357</v>
      </c>
      <c r="B1356" s="4">
        <v>95</v>
      </c>
    </row>
    <row r="1357" customHeight="1" spans="1:2">
      <c r="A1357" s="3" t="s">
        <v>16540</v>
      </c>
      <c r="B1357" s="4">
        <v>92</v>
      </c>
    </row>
    <row r="1358" customHeight="1" spans="1:2">
      <c r="A1358" s="3" t="s">
        <v>8851</v>
      </c>
      <c r="B1358" s="4">
        <v>110</v>
      </c>
    </row>
    <row r="1359" customHeight="1" spans="1:2">
      <c r="A1359" s="3" t="s">
        <v>2661</v>
      </c>
      <c r="B1359" s="4">
        <v>90</v>
      </c>
    </row>
    <row r="1360" customHeight="1" spans="1:2">
      <c r="A1360" s="3" t="s">
        <v>938</v>
      </c>
      <c r="B1360" s="4">
        <v>85</v>
      </c>
    </row>
    <row r="1361" customHeight="1" spans="1:2">
      <c r="A1361" s="3" t="s">
        <v>4349</v>
      </c>
      <c r="B1361" s="4">
        <v>140</v>
      </c>
    </row>
    <row r="1362" customHeight="1" spans="1:2">
      <c r="A1362" s="3" t="s">
        <v>18048</v>
      </c>
      <c r="B1362" s="4">
        <v>90</v>
      </c>
    </row>
    <row r="1363" customHeight="1" spans="1:2">
      <c r="A1363" s="3" t="s">
        <v>24018</v>
      </c>
      <c r="B1363" s="4">
        <v>120</v>
      </c>
    </row>
    <row r="1364" customHeight="1" spans="1:2">
      <c r="A1364" s="3" t="s">
        <v>3742</v>
      </c>
      <c r="B1364" s="4">
        <v>105</v>
      </c>
    </row>
    <row r="1365" customHeight="1" spans="1:2">
      <c r="A1365" s="3" t="s">
        <v>22039</v>
      </c>
      <c r="B1365" s="4">
        <v>83</v>
      </c>
    </row>
    <row r="1366" customHeight="1" spans="1:2">
      <c r="A1366" s="3" t="s">
        <v>21629</v>
      </c>
      <c r="B1366" s="4">
        <v>94</v>
      </c>
    </row>
    <row r="1367" customHeight="1" spans="1:2">
      <c r="A1367" s="3" t="s">
        <v>6000</v>
      </c>
      <c r="B1367" s="4">
        <v>91</v>
      </c>
    </row>
    <row r="1368" customHeight="1" spans="1:2">
      <c r="A1368" s="3" t="s">
        <v>20829</v>
      </c>
      <c r="B1368" s="4">
        <v>84</v>
      </c>
    </row>
    <row r="1369" customHeight="1" spans="1:2">
      <c r="A1369" s="3" t="s">
        <v>3216</v>
      </c>
      <c r="B1369" s="4">
        <v>112</v>
      </c>
    </row>
    <row r="1370" customHeight="1" spans="1:2">
      <c r="A1370" s="3" t="s">
        <v>10101</v>
      </c>
      <c r="B1370" s="4">
        <v>214</v>
      </c>
    </row>
    <row r="1371" customHeight="1" spans="1:2">
      <c r="A1371" s="3" t="s">
        <v>22115</v>
      </c>
      <c r="B1371" s="4">
        <v>88</v>
      </c>
    </row>
    <row r="1372" customHeight="1" spans="1:2">
      <c r="A1372" s="3" t="s">
        <v>10582</v>
      </c>
      <c r="B1372" s="4">
        <v>133</v>
      </c>
    </row>
    <row r="1373" customHeight="1" spans="1:2">
      <c r="A1373" s="3" t="s">
        <v>14770</v>
      </c>
      <c r="B1373" s="4">
        <v>145</v>
      </c>
    </row>
    <row r="1374" customHeight="1" spans="1:2">
      <c r="A1374" s="3" t="s">
        <v>5306</v>
      </c>
      <c r="B1374" s="4">
        <v>137</v>
      </c>
    </row>
    <row r="1375" customHeight="1" spans="1:2">
      <c r="A1375" s="3" t="s">
        <v>14277</v>
      </c>
      <c r="B1375" s="4">
        <v>86</v>
      </c>
    </row>
    <row r="1376" customHeight="1" spans="1:2">
      <c r="A1376" s="3" t="s">
        <v>8904</v>
      </c>
      <c r="B1376" s="4">
        <v>127</v>
      </c>
    </row>
    <row r="1377" customHeight="1" spans="1:2">
      <c r="A1377" s="3" t="s">
        <v>17824</v>
      </c>
      <c r="B1377" s="4">
        <v>126</v>
      </c>
    </row>
    <row r="1378" customHeight="1" spans="1:2">
      <c r="A1378" s="3" t="s">
        <v>21223</v>
      </c>
      <c r="B1378" s="4">
        <v>103</v>
      </c>
    </row>
    <row r="1379" customHeight="1" spans="1:2">
      <c r="A1379" s="3" t="s">
        <v>8224</v>
      </c>
      <c r="B1379" s="4">
        <v>118</v>
      </c>
    </row>
    <row r="1380" customHeight="1" spans="1:2">
      <c r="A1380" s="3" t="s">
        <v>9191</v>
      </c>
      <c r="B1380" s="4">
        <v>93</v>
      </c>
    </row>
    <row r="1381" customHeight="1" spans="1:2">
      <c r="A1381" s="3" t="s">
        <v>4564</v>
      </c>
      <c r="B1381" s="4">
        <v>142</v>
      </c>
    </row>
    <row r="1382" customHeight="1" spans="1:2">
      <c r="A1382" s="3" t="s">
        <v>10296</v>
      </c>
      <c r="B1382" s="4">
        <v>180</v>
      </c>
    </row>
    <row r="1383" customHeight="1" spans="1:2">
      <c r="A1383" s="3" t="s">
        <v>19509</v>
      </c>
      <c r="B1383" s="4">
        <v>100</v>
      </c>
    </row>
    <row r="1384" customHeight="1" spans="1:2">
      <c r="A1384" s="3" t="s">
        <v>14274</v>
      </c>
      <c r="B1384" s="4">
        <v>95</v>
      </c>
    </row>
    <row r="1385" customHeight="1" spans="1:2">
      <c r="A1385" s="3" t="s">
        <v>21018</v>
      </c>
      <c r="B1385" s="4">
        <v>108</v>
      </c>
    </row>
    <row r="1386" customHeight="1" spans="1:2">
      <c r="A1386" s="3" t="s">
        <v>8233</v>
      </c>
      <c r="B1386" s="4">
        <v>109</v>
      </c>
    </row>
    <row r="1387" customHeight="1" spans="1:2">
      <c r="A1387" s="3" t="s">
        <v>2602</v>
      </c>
      <c r="B1387" s="4">
        <v>88</v>
      </c>
    </row>
    <row r="1388" customHeight="1" spans="1:2">
      <c r="A1388" s="3" t="s">
        <v>18822</v>
      </c>
      <c r="B1388" s="4">
        <v>97</v>
      </c>
    </row>
    <row r="1389" customHeight="1" spans="1:2">
      <c r="A1389" s="3" t="s">
        <v>18566</v>
      </c>
      <c r="B1389" s="4">
        <v>110</v>
      </c>
    </row>
    <row r="1390" customHeight="1" spans="1:2">
      <c r="A1390" s="3" t="s">
        <v>19577</v>
      </c>
      <c r="B1390" s="4">
        <v>100</v>
      </c>
    </row>
    <row r="1391" customHeight="1" spans="1:2">
      <c r="A1391" s="3" t="s">
        <v>18220</v>
      </c>
      <c r="B1391" s="4">
        <v>117</v>
      </c>
    </row>
    <row r="1392" customHeight="1" spans="1:2">
      <c r="A1392" s="3" t="s">
        <v>14609</v>
      </c>
      <c r="B1392" s="4">
        <v>100</v>
      </c>
    </row>
    <row r="1393" customHeight="1" spans="1:2">
      <c r="A1393" s="3" t="s">
        <v>19413</v>
      </c>
      <c r="B1393" s="4">
        <v>86</v>
      </c>
    </row>
    <row r="1394" customHeight="1" spans="1:2">
      <c r="A1394" s="3" t="s">
        <v>6932</v>
      </c>
      <c r="B1394" s="4">
        <v>87</v>
      </c>
    </row>
    <row r="1395" customHeight="1" spans="1:2">
      <c r="A1395" s="3" t="s">
        <v>21917</v>
      </c>
      <c r="B1395" s="4">
        <v>90</v>
      </c>
    </row>
    <row r="1396" customHeight="1" spans="1:2">
      <c r="A1396" s="3" t="s">
        <v>19641</v>
      </c>
      <c r="B1396" s="4">
        <v>93</v>
      </c>
    </row>
    <row r="1397" customHeight="1" spans="1:2">
      <c r="A1397" s="3" t="s">
        <v>17319</v>
      </c>
      <c r="B1397" s="4">
        <v>90</v>
      </c>
    </row>
    <row r="1398" customHeight="1" spans="1:2">
      <c r="A1398" s="3" t="s">
        <v>9220</v>
      </c>
      <c r="B1398" s="4">
        <v>97</v>
      </c>
    </row>
    <row r="1399" customHeight="1" spans="1:2">
      <c r="A1399" s="3" t="s">
        <v>12991</v>
      </c>
      <c r="B1399" s="4">
        <v>87</v>
      </c>
    </row>
    <row r="1400" customHeight="1" spans="1:2">
      <c r="A1400" s="3" t="s">
        <v>9428</v>
      </c>
      <c r="B1400" s="4">
        <v>97</v>
      </c>
    </row>
    <row r="1401" customHeight="1" spans="1:2">
      <c r="A1401" s="3" t="s">
        <v>17579</v>
      </c>
      <c r="B1401" s="4">
        <v>93</v>
      </c>
    </row>
    <row r="1402" customHeight="1" spans="1:2">
      <c r="A1402" s="3" t="s">
        <v>4696</v>
      </c>
      <c r="B1402" s="4">
        <v>91</v>
      </c>
    </row>
    <row r="1403" customHeight="1" spans="1:2">
      <c r="A1403" s="3" t="s">
        <v>5391</v>
      </c>
      <c r="B1403" s="4">
        <v>139</v>
      </c>
    </row>
    <row r="1404" customHeight="1" spans="1:2">
      <c r="A1404" s="3" t="s">
        <v>15399</v>
      </c>
      <c r="B1404" s="4">
        <v>94</v>
      </c>
    </row>
    <row r="1405" customHeight="1" spans="1:2">
      <c r="A1405" s="3" t="s">
        <v>10579</v>
      </c>
      <c r="B1405" s="4">
        <v>123</v>
      </c>
    </row>
    <row r="1406" customHeight="1" spans="1:2">
      <c r="A1406" s="3" t="s">
        <v>13342</v>
      </c>
      <c r="B1406" s="4">
        <v>94</v>
      </c>
    </row>
    <row r="1407" customHeight="1" spans="1:2">
      <c r="A1407" s="3" t="s">
        <v>16719</v>
      </c>
      <c r="B1407" s="4">
        <v>103</v>
      </c>
    </row>
    <row r="1408" customHeight="1" spans="1:2">
      <c r="A1408" s="3" t="s">
        <v>19456</v>
      </c>
      <c r="B1408" s="4">
        <v>102</v>
      </c>
    </row>
    <row r="1409" customHeight="1" spans="1:2">
      <c r="A1409" s="3" t="s">
        <v>20476</v>
      </c>
      <c r="B1409" s="4">
        <v>99</v>
      </c>
    </row>
    <row r="1410" customHeight="1" spans="1:2">
      <c r="A1410" s="3" t="s">
        <v>18914</v>
      </c>
      <c r="B1410" s="4">
        <v>116</v>
      </c>
    </row>
    <row r="1411" customHeight="1" spans="1:2">
      <c r="A1411" s="3" t="s">
        <v>8073</v>
      </c>
      <c r="B1411" s="4">
        <v>118</v>
      </c>
    </row>
    <row r="1412" customHeight="1" spans="1:2">
      <c r="A1412" s="3" t="s">
        <v>14130</v>
      </c>
      <c r="B1412" s="4">
        <v>123</v>
      </c>
    </row>
    <row r="1413" customHeight="1" spans="1:2">
      <c r="A1413" s="3" t="s">
        <v>14878</v>
      </c>
      <c r="B1413" s="4">
        <v>85</v>
      </c>
    </row>
    <row r="1414" customHeight="1" spans="1:2">
      <c r="A1414" s="3" t="s">
        <v>8228</v>
      </c>
      <c r="B1414" s="4">
        <v>44</v>
      </c>
    </row>
    <row r="1415" customHeight="1" spans="1:2">
      <c r="A1415" s="3" t="s">
        <v>21233</v>
      </c>
      <c r="B1415" s="4">
        <v>87</v>
      </c>
    </row>
    <row r="1416" customHeight="1" spans="1:2">
      <c r="A1416" s="3" t="s">
        <v>20018</v>
      </c>
      <c r="B1416" s="4">
        <v>91</v>
      </c>
    </row>
    <row r="1417" customHeight="1" spans="1:2">
      <c r="A1417" s="3" t="s">
        <v>19676</v>
      </c>
      <c r="B1417" s="4">
        <v>88</v>
      </c>
    </row>
    <row r="1418" customHeight="1" spans="1:2">
      <c r="A1418" s="3" t="s">
        <v>17702</v>
      </c>
      <c r="B1418" s="4">
        <v>100</v>
      </c>
    </row>
    <row r="1419" customHeight="1" spans="1:2">
      <c r="A1419" s="3" t="s">
        <v>20025</v>
      </c>
      <c r="B1419" s="4">
        <v>92</v>
      </c>
    </row>
    <row r="1420" customHeight="1" spans="1:2">
      <c r="A1420" s="3" t="s">
        <v>19747</v>
      </c>
      <c r="B1420" s="4">
        <v>97</v>
      </c>
    </row>
    <row r="1421" customHeight="1" spans="1:2">
      <c r="A1421" s="3" t="s">
        <v>18879</v>
      </c>
      <c r="B1421" s="4">
        <v>97</v>
      </c>
    </row>
    <row r="1422" customHeight="1" spans="1:2">
      <c r="A1422" s="3" t="s">
        <v>7357</v>
      </c>
      <c r="B1422" s="4">
        <v>109</v>
      </c>
    </row>
    <row r="1423" customHeight="1" spans="1:2">
      <c r="A1423" s="3" t="s">
        <v>16886</v>
      </c>
      <c r="B1423" s="4">
        <v>88</v>
      </c>
    </row>
    <row r="1424" customHeight="1" spans="1:2">
      <c r="A1424" s="3" t="s">
        <v>8590</v>
      </c>
      <c r="B1424" s="4">
        <v>106</v>
      </c>
    </row>
    <row r="1425" customHeight="1" spans="1:2">
      <c r="A1425" s="3" t="s">
        <v>21438</v>
      </c>
      <c r="B1425" s="4">
        <v>92</v>
      </c>
    </row>
    <row r="1426" customHeight="1" spans="1:2">
      <c r="A1426" s="3" t="s">
        <v>11083</v>
      </c>
      <c r="B1426" s="4">
        <v>108</v>
      </c>
    </row>
    <row r="1427" customHeight="1" spans="1:2">
      <c r="A1427" s="3" t="s">
        <v>5803</v>
      </c>
      <c r="B1427" s="4">
        <v>244</v>
      </c>
    </row>
    <row r="1428" customHeight="1" spans="1:2">
      <c r="A1428" s="3" t="s">
        <v>20814</v>
      </c>
      <c r="B1428" s="4">
        <v>118</v>
      </c>
    </row>
    <row r="1429" customHeight="1" spans="1:2">
      <c r="A1429" s="3" t="s">
        <v>14290</v>
      </c>
      <c r="B1429" s="4">
        <v>90</v>
      </c>
    </row>
    <row r="1430" customHeight="1" spans="1:2">
      <c r="A1430" s="3" t="s">
        <v>4970</v>
      </c>
      <c r="B1430" s="4">
        <v>92</v>
      </c>
    </row>
    <row r="1431" customHeight="1" spans="1:2">
      <c r="A1431" s="3" t="s">
        <v>20118</v>
      </c>
      <c r="B1431" s="4">
        <v>115</v>
      </c>
    </row>
    <row r="1432" customHeight="1" spans="1:2">
      <c r="A1432" s="3" t="s">
        <v>8792</v>
      </c>
      <c r="B1432" s="4">
        <v>122</v>
      </c>
    </row>
    <row r="1433" customHeight="1" spans="1:2">
      <c r="A1433" s="3" t="s">
        <v>21659</v>
      </c>
      <c r="B1433" s="4">
        <v>97</v>
      </c>
    </row>
    <row r="1434" customHeight="1" spans="1:2">
      <c r="A1434" s="3" t="s">
        <v>833</v>
      </c>
      <c r="B1434" s="4">
        <v>102</v>
      </c>
    </row>
    <row r="1435" customHeight="1" spans="1:2">
      <c r="A1435" s="3" t="s">
        <v>22080</v>
      </c>
      <c r="B1435" s="4">
        <v>85</v>
      </c>
    </row>
    <row r="1436" customHeight="1" spans="1:2">
      <c r="A1436" s="3" t="s">
        <v>19901</v>
      </c>
      <c r="B1436" s="4">
        <v>112</v>
      </c>
    </row>
    <row r="1437" customHeight="1" spans="1:2">
      <c r="A1437" s="3" t="s">
        <v>18338</v>
      </c>
      <c r="B1437" s="4">
        <v>134</v>
      </c>
    </row>
    <row r="1438" customHeight="1" spans="1:2">
      <c r="A1438" s="3" t="s">
        <v>20277</v>
      </c>
      <c r="B1438" s="4">
        <v>101</v>
      </c>
    </row>
    <row r="1439" customHeight="1" spans="1:2">
      <c r="A1439" s="3" t="s">
        <v>13501</v>
      </c>
      <c r="B1439" s="4">
        <v>86</v>
      </c>
    </row>
    <row r="1440" customHeight="1" spans="1:2">
      <c r="A1440" s="3" t="s">
        <v>1013</v>
      </c>
      <c r="B1440" s="4">
        <v>90</v>
      </c>
    </row>
    <row r="1441" customHeight="1" spans="1:2">
      <c r="A1441" s="3" t="s">
        <v>13196</v>
      </c>
      <c r="B1441" s="4">
        <v>111</v>
      </c>
    </row>
    <row r="1442" customHeight="1" spans="1:2">
      <c r="A1442" s="3" t="s">
        <v>23983</v>
      </c>
      <c r="B1442" s="4">
        <v>85</v>
      </c>
    </row>
    <row r="1443" customHeight="1" spans="1:2">
      <c r="A1443" s="3" t="s">
        <v>3221</v>
      </c>
      <c r="B1443" s="4">
        <v>153</v>
      </c>
    </row>
    <row r="1444" customHeight="1" spans="1:2">
      <c r="A1444" s="3" t="s">
        <v>12351</v>
      </c>
      <c r="B1444" s="4">
        <v>122</v>
      </c>
    </row>
    <row r="1445" customHeight="1" spans="1:2">
      <c r="A1445" s="3" t="s">
        <v>338</v>
      </c>
      <c r="B1445" s="4">
        <v>140</v>
      </c>
    </row>
    <row r="1446" customHeight="1" spans="1:2">
      <c r="A1446" s="3" t="s">
        <v>7609</v>
      </c>
      <c r="B1446" s="4">
        <v>92</v>
      </c>
    </row>
    <row r="1447" customHeight="1" spans="1:2">
      <c r="A1447" s="3" t="s">
        <v>2696</v>
      </c>
      <c r="B1447" s="4">
        <v>134</v>
      </c>
    </row>
    <row r="1448" customHeight="1" spans="1:2">
      <c r="A1448" s="3" t="s">
        <v>18711</v>
      </c>
      <c r="B1448" s="4">
        <v>106</v>
      </c>
    </row>
    <row r="1449" customHeight="1" spans="1:2">
      <c r="A1449" s="3" t="s">
        <v>5213</v>
      </c>
      <c r="B1449" s="4">
        <v>125</v>
      </c>
    </row>
    <row r="1450" customHeight="1" spans="1:2">
      <c r="A1450" s="3" t="s">
        <v>1074</v>
      </c>
      <c r="B1450" s="4">
        <v>122</v>
      </c>
    </row>
    <row r="1451" customHeight="1" spans="1:2">
      <c r="A1451" s="3" t="s">
        <v>539</v>
      </c>
      <c r="B1451" s="4">
        <v>118</v>
      </c>
    </row>
    <row r="1452" customHeight="1" spans="1:2">
      <c r="A1452" s="3" t="s">
        <v>23857</v>
      </c>
      <c r="B1452" s="4">
        <v>99</v>
      </c>
    </row>
    <row r="1453" customHeight="1" spans="1:2">
      <c r="A1453" s="3" t="s">
        <v>17416</v>
      </c>
      <c r="B1453" s="4">
        <v>95</v>
      </c>
    </row>
    <row r="1454" customHeight="1" spans="1:2">
      <c r="A1454" s="3" t="s">
        <v>5753</v>
      </c>
      <c r="B1454" s="4">
        <v>102</v>
      </c>
    </row>
    <row r="1455" customHeight="1" spans="1:2">
      <c r="A1455" s="3" t="s">
        <v>5460</v>
      </c>
      <c r="B1455" s="4">
        <v>95</v>
      </c>
    </row>
    <row r="1456" customHeight="1" spans="1:2">
      <c r="A1456" s="3" t="s">
        <v>10365</v>
      </c>
      <c r="B1456" s="4">
        <v>240</v>
      </c>
    </row>
    <row r="1457" customHeight="1" spans="1:2">
      <c r="A1457" s="3" t="s">
        <v>17951</v>
      </c>
      <c r="B1457" s="4">
        <v>136</v>
      </c>
    </row>
    <row r="1458" customHeight="1" spans="1:2">
      <c r="A1458" s="3" t="s">
        <v>1937</v>
      </c>
      <c r="B1458" s="4">
        <v>216</v>
      </c>
    </row>
    <row r="1459" customHeight="1" spans="1:2">
      <c r="A1459" s="3" t="s">
        <v>4216</v>
      </c>
      <c r="B1459" s="4">
        <v>113</v>
      </c>
    </row>
    <row r="1460" customHeight="1" spans="1:2">
      <c r="A1460" s="3" t="s">
        <v>20472</v>
      </c>
      <c r="B1460" s="4">
        <v>119</v>
      </c>
    </row>
    <row r="1461" customHeight="1" spans="1:2">
      <c r="A1461" s="3" t="s">
        <v>19837</v>
      </c>
      <c r="B1461" s="4">
        <v>102</v>
      </c>
    </row>
    <row r="1462" customHeight="1" spans="1:2">
      <c r="A1462" s="3" t="s">
        <v>4310</v>
      </c>
      <c r="B1462" s="4">
        <v>86</v>
      </c>
    </row>
    <row r="1463" customHeight="1" spans="1:2">
      <c r="A1463" s="3" t="s">
        <v>5115</v>
      </c>
      <c r="B1463" s="4">
        <v>80</v>
      </c>
    </row>
    <row r="1464" customHeight="1" spans="1:2">
      <c r="A1464" s="3" t="s">
        <v>7216</v>
      </c>
      <c r="B1464" s="4">
        <v>106</v>
      </c>
    </row>
    <row r="1465" customHeight="1" spans="1:2">
      <c r="A1465" s="3" t="s">
        <v>20229</v>
      </c>
      <c r="B1465" s="4">
        <v>118</v>
      </c>
    </row>
    <row r="1466" customHeight="1" spans="1:2">
      <c r="A1466" s="3" t="s">
        <v>15558</v>
      </c>
      <c r="B1466" s="4">
        <v>89</v>
      </c>
    </row>
    <row r="1467" customHeight="1" spans="1:2">
      <c r="A1467" s="3" t="s">
        <v>8027</v>
      </c>
      <c r="B1467" s="4">
        <v>93</v>
      </c>
    </row>
    <row r="1468" customHeight="1" spans="1:2">
      <c r="A1468" s="3" t="s">
        <v>4595</v>
      </c>
      <c r="B1468" s="4">
        <v>92</v>
      </c>
    </row>
    <row r="1469" customHeight="1" spans="1:2">
      <c r="A1469" s="3" t="s">
        <v>23916</v>
      </c>
      <c r="B1469" s="4">
        <v>90</v>
      </c>
    </row>
    <row r="1470" customHeight="1" spans="1:2">
      <c r="A1470" s="3" t="s">
        <v>11048</v>
      </c>
      <c r="B1470" s="4">
        <v>113</v>
      </c>
    </row>
    <row r="1471" customHeight="1" spans="1:2">
      <c r="A1471" s="3" t="s">
        <v>16711</v>
      </c>
      <c r="B1471" s="4">
        <v>103</v>
      </c>
    </row>
    <row r="1472" customHeight="1" spans="1:2">
      <c r="A1472" s="3" t="s">
        <v>6734</v>
      </c>
      <c r="B1472" s="4">
        <v>102</v>
      </c>
    </row>
    <row r="1473" customHeight="1" spans="1:2">
      <c r="A1473" s="3" t="s">
        <v>6320</v>
      </c>
      <c r="B1473" s="4">
        <v>107</v>
      </c>
    </row>
    <row r="1474" customHeight="1" spans="1:2">
      <c r="A1474" s="3" t="s">
        <v>6423</v>
      </c>
      <c r="B1474" s="4">
        <v>114</v>
      </c>
    </row>
    <row r="1475" customHeight="1" spans="1:2">
      <c r="A1475" s="3" t="s">
        <v>16576</v>
      </c>
      <c r="B1475" s="4">
        <v>100</v>
      </c>
    </row>
    <row r="1476" customHeight="1" spans="1:2">
      <c r="A1476" s="3" t="s">
        <v>19950</v>
      </c>
      <c r="B1476" s="4">
        <v>120</v>
      </c>
    </row>
    <row r="1477" customHeight="1" spans="1:2">
      <c r="A1477" s="3" t="s">
        <v>8475</v>
      </c>
      <c r="B1477" s="4">
        <v>139</v>
      </c>
    </row>
    <row r="1478" customHeight="1" spans="1:2">
      <c r="A1478" s="3" t="s">
        <v>15063</v>
      </c>
      <c r="B1478" s="4">
        <v>87</v>
      </c>
    </row>
    <row r="1479" customHeight="1" spans="1:2">
      <c r="A1479" s="3" t="s">
        <v>20322</v>
      </c>
      <c r="B1479" s="4">
        <v>60</v>
      </c>
    </row>
    <row r="1480" customHeight="1" spans="1:2">
      <c r="A1480" s="3" t="s">
        <v>6635</v>
      </c>
      <c r="B1480" s="4">
        <v>117</v>
      </c>
    </row>
    <row r="1481" customHeight="1" spans="1:2">
      <c r="A1481" s="3" t="s">
        <v>8080</v>
      </c>
      <c r="B1481" s="4">
        <v>105</v>
      </c>
    </row>
    <row r="1482" customHeight="1" spans="1:2">
      <c r="A1482" s="3" t="s">
        <v>2588</v>
      </c>
      <c r="B1482" s="4">
        <v>110</v>
      </c>
    </row>
    <row r="1483" customHeight="1" spans="1:2">
      <c r="A1483" s="3" t="s">
        <v>11931</v>
      </c>
      <c r="B1483" s="4">
        <v>90</v>
      </c>
    </row>
    <row r="1484" customHeight="1" spans="1:2">
      <c r="A1484" s="3" t="s">
        <v>9905</v>
      </c>
      <c r="B1484" s="4">
        <v>271</v>
      </c>
    </row>
    <row r="1485" customHeight="1" spans="1:2">
      <c r="A1485" s="3" t="s">
        <v>874</v>
      </c>
      <c r="B1485" s="4">
        <v>88</v>
      </c>
    </row>
    <row r="1486" customHeight="1" spans="1:2">
      <c r="A1486" s="3" t="s">
        <v>20267</v>
      </c>
      <c r="B1486" s="4">
        <v>116</v>
      </c>
    </row>
    <row r="1487" customHeight="1" spans="1:2">
      <c r="A1487" s="3" t="s">
        <v>13402</v>
      </c>
      <c r="B1487" s="4">
        <v>60</v>
      </c>
    </row>
    <row r="1488" customHeight="1" spans="1:2">
      <c r="A1488" s="3" t="s">
        <v>1367</v>
      </c>
      <c r="B1488" s="4">
        <v>123</v>
      </c>
    </row>
    <row r="1489" customHeight="1" spans="1:2">
      <c r="A1489" s="3" t="s">
        <v>4535</v>
      </c>
      <c r="B1489" s="4">
        <v>96</v>
      </c>
    </row>
    <row r="1490" customHeight="1" spans="1:2">
      <c r="A1490" s="3" t="s">
        <v>10907</v>
      </c>
      <c r="B1490" s="4">
        <v>91</v>
      </c>
    </row>
    <row r="1491" customHeight="1" spans="1:2">
      <c r="A1491" s="3" t="s">
        <v>11204</v>
      </c>
      <c r="B1491" s="4">
        <v>102</v>
      </c>
    </row>
    <row r="1492" customHeight="1" spans="1:2">
      <c r="A1492" s="3" t="s">
        <v>17407</v>
      </c>
      <c r="B1492" s="4">
        <v>111</v>
      </c>
    </row>
    <row r="1493" customHeight="1" spans="1:2">
      <c r="A1493" s="3" t="s">
        <v>10340</v>
      </c>
      <c r="B1493" s="4">
        <v>127</v>
      </c>
    </row>
    <row r="1494" customHeight="1" spans="1:2">
      <c r="A1494" s="3" t="s">
        <v>975</v>
      </c>
      <c r="B1494" s="4">
        <v>232</v>
      </c>
    </row>
    <row r="1495" customHeight="1" spans="1:2">
      <c r="A1495" s="3" t="s">
        <v>9008</v>
      </c>
      <c r="B1495" s="4">
        <v>98</v>
      </c>
    </row>
    <row r="1496" customHeight="1" spans="1:2">
      <c r="A1496" s="3" t="s">
        <v>7202</v>
      </c>
      <c r="B1496" s="4">
        <v>130</v>
      </c>
    </row>
    <row r="1497" customHeight="1" spans="1:2">
      <c r="A1497" s="3" t="s">
        <v>4872</v>
      </c>
      <c r="B1497" s="4">
        <v>121</v>
      </c>
    </row>
    <row r="1498" customHeight="1" spans="1:2">
      <c r="A1498" s="3" t="s">
        <v>14293</v>
      </c>
      <c r="B1498" s="4">
        <v>108</v>
      </c>
    </row>
    <row r="1499" customHeight="1" spans="1:2">
      <c r="A1499" s="3" t="s">
        <v>21132</v>
      </c>
      <c r="B1499" s="4">
        <v>99</v>
      </c>
    </row>
    <row r="1500" customHeight="1" spans="1:2">
      <c r="A1500" s="3" t="s">
        <v>14230</v>
      </c>
      <c r="B1500" s="4">
        <v>100</v>
      </c>
    </row>
    <row r="1501" customHeight="1" spans="1:2">
      <c r="A1501" s="3" t="s">
        <v>10135</v>
      </c>
      <c r="B1501" s="4">
        <v>127</v>
      </c>
    </row>
    <row r="1502" customHeight="1" spans="1:2">
      <c r="A1502" s="3" t="s">
        <v>22700</v>
      </c>
      <c r="B1502" s="4">
        <v>104</v>
      </c>
    </row>
    <row r="1503" customHeight="1" spans="1:2">
      <c r="A1503" s="3" t="s">
        <v>23316</v>
      </c>
      <c r="B1503" s="4">
        <v>90</v>
      </c>
    </row>
    <row r="1504" customHeight="1" spans="1:2">
      <c r="A1504" s="3" t="s">
        <v>1696</v>
      </c>
      <c r="B1504" s="4">
        <v>171</v>
      </c>
    </row>
    <row r="1505" customHeight="1" spans="1:2">
      <c r="A1505" s="3" t="s">
        <v>15739</v>
      </c>
      <c r="B1505" s="4">
        <v>84</v>
      </c>
    </row>
    <row r="1506" customHeight="1" spans="1:2">
      <c r="A1506" s="3" t="s">
        <v>13935</v>
      </c>
      <c r="B1506" s="4">
        <v>100</v>
      </c>
    </row>
    <row r="1507" customHeight="1" spans="1:2">
      <c r="A1507" s="3" t="s">
        <v>15880</v>
      </c>
      <c r="B1507" s="4">
        <v>104</v>
      </c>
    </row>
    <row r="1508" customHeight="1" spans="1:2">
      <c r="A1508" s="3" t="s">
        <v>8337</v>
      </c>
      <c r="B1508" s="4">
        <v>118</v>
      </c>
    </row>
    <row r="1509" customHeight="1" spans="1:2">
      <c r="A1509" s="3" t="s">
        <v>8660</v>
      </c>
      <c r="B1509" s="4">
        <v>244</v>
      </c>
    </row>
    <row r="1510" customHeight="1" spans="1:2">
      <c r="A1510" s="3" t="s">
        <v>19983</v>
      </c>
      <c r="B1510" s="4">
        <v>105</v>
      </c>
    </row>
    <row r="1511" customHeight="1" spans="1:2">
      <c r="A1511" s="3" t="s">
        <v>16881</v>
      </c>
      <c r="B1511" s="4">
        <v>102</v>
      </c>
    </row>
    <row r="1512" customHeight="1" spans="1:2">
      <c r="A1512" s="3" t="s">
        <v>7860</v>
      </c>
      <c r="B1512" s="4">
        <v>118</v>
      </c>
    </row>
    <row r="1513" customHeight="1" spans="1:2">
      <c r="A1513" s="3" t="s">
        <v>17177</v>
      </c>
      <c r="B1513" s="4">
        <v>93</v>
      </c>
    </row>
    <row r="1514" customHeight="1" spans="1:2">
      <c r="A1514" s="3" t="s">
        <v>4787</v>
      </c>
      <c r="B1514" s="4">
        <v>280</v>
      </c>
    </row>
    <row r="1515" customHeight="1" spans="1:2">
      <c r="A1515" s="3" t="s">
        <v>18933</v>
      </c>
      <c r="B1515" s="4">
        <v>105</v>
      </c>
    </row>
    <row r="1516" customHeight="1" spans="1:2">
      <c r="A1516" s="3" t="s">
        <v>21552</v>
      </c>
      <c r="B1516" s="4">
        <v>120</v>
      </c>
    </row>
    <row r="1517" customHeight="1" spans="1:2">
      <c r="A1517" s="3" t="s">
        <v>1043</v>
      </c>
      <c r="B1517" s="4">
        <v>126</v>
      </c>
    </row>
    <row r="1518" customHeight="1" spans="1:2">
      <c r="A1518" s="3" t="s">
        <v>8616</v>
      </c>
      <c r="B1518" s="4">
        <v>102</v>
      </c>
    </row>
    <row r="1519" customHeight="1" spans="1:2">
      <c r="A1519" s="3" t="s">
        <v>21562</v>
      </c>
      <c r="B1519" s="4">
        <v>99</v>
      </c>
    </row>
    <row r="1520" customHeight="1" spans="1:2">
      <c r="A1520" s="3" t="s">
        <v>674</v>
      </c>
      <c r="B1520" s="4">
        <v>240</v>
      </c>
    </row>
    <row r="1521" customHeight="1" spans="1:2">
      <c r="A1521" s="3" t="s">
        <v>8034</v>
      </c>
      <c r="B1521" s="4">
        <v>102</v>
      </c>
    </row>
    <row r="1522" customHeight="1" spans="1:2">
      <c r="A1522" s="3" t="s">
        <v>3962</v>
      </c>
      <c r="B1522" s="4">
        <v>130</v>
      </c>
    </row>
    <row r="1523" customHeight="1" spans="1:2">
      <c r="A1523" s="3" t="s">
        <v>19160</v>
      </c>
      <c r="B1523" s="4">
        <v>110</v>
      </c>
    </row>
    <row r="1524" customHeight="1" spans="1:2">
      <c r="A1524" s="3" t="s">
        <v>16966</v>
      </c>
      <c r="B1524" s="4">
        <v>55</v>
      </c>
    </row>
    <row r="1525" customHeight="1" spans="1:2">
      <c r="A1525" s="3" t="s">
        <v>3954</v>
      </c>
      <c r="B1525" s="4">
        <v>149</v>
      </c>
    </row>
    <row r="1526" customHeight="1" spans="1:2">
      <c r="A1526" s="3" t="s">
        <v>1690</v>
      </c>
      <c r="B1526" s="4">
        <v>127</v>
      </c>
    </row>
    <row r="1527" customHeight="1" spans="1:2">
      <c r="A1527" s="3" t="s">
        <v>18795</v>
      </c>
      <c r="B1527" s="4">
        <v>226</v>
      </c>
    </row>
    <row r="1528" customHeight="1" spans="1:2">
      <c r="A1528" s="3" t="s">
        <v>11618</v>
      </c>
      <c r="B1528" s="4">
        <v>43</v>
      </c>
    </row>
    <row r="1529" customHeight="1" spans="1:2">
      <c r="A1529" s="3" t="s">
        <v>12176</v>
      </c>
      <c r="B1529" s="4">
        <v>87</v>
      </c>
    </row>
    <row r="1530" customHeight="1" spans="1:2">
      <c r="A1530" s="3" t="s">
        <v>16948</v>
      </c>
      <c r="B1530" s="4">
        <v>121</v>
      </c>
    </row>
    <row r="1531" customHeight="1" spans="1:2">
      <c r="A1531" s="3" t="s">
        <v>13409</v>
      </c>
      <c r="B1531" s="4">
        <v>110</v>
      </c>
    </row>
    <row r="1532" customHeight="1" spans="1:2">
      <c r="A1532" s="3" t="s">
        <v>23477</v>
      </c>
      <c r="B1532" s="4">
        <v>86</v>
      </c>
    </row>
    <row r="1533" customHeight="1" spans="1:2">
      <c r="A1533" s="3" t="s">
        <v>15485</v>
      </c>
      <c r="B1533" s="4">
        <v>84</v>
      </c>
    </row>
    <row r="1534" customHeight="1" spans="1:2">
      <c r="A1534" s="3" t="s">
        <v>22680</v>
      </c>
      <c r="B1534" s="4">
        <v>102</v>
      </c>
    </row>
    <row r="1535" customHeight="1" spans="1:2">
      <c r="A1535" s="3" t="s">
        <v>9618</v>
      </c>
      <c r="B1535" s="4">
        <v>101</v>
      </c>
    </row>
    <row r="1536" customHeight="1" spans="1:2">
      <c r="A1536" s="3" t="s">
        <v>13641</v>
      </c>
      <c r="B1536" s="4">
        <v>121</v>
      </c>
    </row>
    <row r="1537" customHeight="1" spans="1:2">
      <c r="A1537" s="3" t="s">
        <v>16496</v>
      </c>
      <c r="B1537" s="4">
        <v>93</v>
      </c>
    </row>
    <row r="1538" customHeight="1" spans="1:2">
      <c r="A1538" s="3" t="s">
        <v>14780</v>
      </c>
      <c r="B1538" s="4">
        <v>126</v>
      </c>
    </row>
    <row r="1539" customHeight="1" spans="1:2">
      <c r="A1539" s="3" t="s">
        <v>12580</v>
      </c>
      <c r="B1539" s="4">
        <v>92</v>
      </c>
    </row>
    <row r="1540" customHeight="1" spans="1:2">
      <c r="A1540" s="3" t="s">
        <v>9534</v>
      </c>
      <c r="B1540" s="4">
        <v>146</v>
      </c>
    </row>
    <row r="1541" customHeight="1" spans="1:2">
      <c r="A1541" s="3" t="s">
        <v>4454</v>
      </c>
      <c r="B1541" s="4">
        <v>206</v>
      </c>
    </row>
    <row r="1542" customHeight="1" spans="1:2">
      <c r="A1542" s="3" t="s">
        <v>22861</v>
      </c>
      <c r="B1542" s="4">
        <v>96</v>
      </c>
    </row>
    <row r="1543" customHeight="1" spans="1:2">
      <c r="A1543" s="3" t="s">
        <v>11799</v>
      </c>
      <c r="B1543" s="4">
        <v>131</v>
      </c>
    </row>
    <row r="1544" customHeight="1" spans="1:2">
      <c r="A1544" s="3" t="s">
        <v>13517</v>
      </c>
      <c r="B1544" s="4">
        <v>90</v>
      </c>
    </row>
    <row r="1545" customHeight="1" spans="1:2">
      <c r="A1545" s="3" t="s">
        <v>6517</v>
      </c>
      <c r="B1545" s="4">
        <v>98</v>
      </c>
    </row>
    <row r="1546" customHeight="1" spans="1:2">
      <c r="A1546" s="3" t="s">
        <v>17497</v>
      </c>
      <c r="B1546" s="4">
        <v>94</v>
      </c>
    </row>
    <row r="1547" customHeight="1" spans="1:2">
      <c r="A1547" s="3" t="s">
        <v>8744</v>
      </c>
      <c r="B1547" s="4">
        <v>103</v>
      </c>
    </row>
    <row r="1548" customHeight="1" spans="1:2">
      <c r="A1548" s="3" t="s">
        <v>20824</v>
      </c>
      <c r="B1548" s="4">
        <v>102</v>
      </c>
    </row>
    <row r="1549" customHeight="1" spans="1:2">
      <c r="A1549" s="3" t="s">
        <v>15717</v>
      </c>
      <c r="B1549" s="4">
        <v>95</v>
      </c>
    </row>
    <row r="1550" customHeight="1" spans="1:2">
      <c r="A1550" s="3" t="s">
        <v>23133</v>
      </c>
      <c r="B1550" s="4">
        <v>96</v>
      </c>
    </row>
    <row r="1551" customHeight="1" spans="1:2">
      <c r="A1551" s="3" t="s">
        <v>9384</v>
      </c>
      <c r="B1551" s="4">
        <v>116</v>
      </c>
    </row>
    <row r="1552" customHeight="1" spans="1:2">
      <c r="A1552" s="3" t="s">
        <v>21375</v>
      </c>
      <c r="B1552" s="4">
        <v>88</v>
      </c>
    </row>
    <row r="1553" customHeight="1" spans="1:2">
      <c r="A1553" s="3" t="s">
        <v>17834</v>
      </c>
      <c r="B1553" s="4">
        <v>90</v>
      </c>
    </row>
    <row r="1554" customHeight="1" spans="1:2">
      <c r="A1554" s="3" t="s">
        <v>20482</v>
      </c>
      <c r="B1554" s="4">
        <v>92</v>
      </c>
    </row>
    <row r="1555" customHeight="1" spans="1:2">
      <c r="A1555" s="3" t="s">
        <v>1487</v>
      </c>
      <c r="B1555" s="4">
        <v>91</v>
      </c>
    </row>
    <row r="1556" customHeight="1" spans="1:2">
      <c r="A1556" s="3" t="s">
        <v>16973</v>
      </c>
      <c r="B1556" s="4">
        <v>110</v>
      </c>
    </row>
    <row r="1557" customHeight="1" spans="1:2">
      <c r="A1557" s="3" t="s">
        <v>318</v>
      </c>
      <c r="B1557" s="4">
        <v>123</v>
      </c>
    </row>
    <row r="1558" customHeight="1" spans="1:2">
      <c r="A1558" s="3" t="s">
        <v>17925</v>
      </c>
      <c r="B1558" s="4">
        <v>95</v>
      </c>
    </row>
    <row r="1559" customHeight="1" spans="1:2">
      <c r="A1559" s="3" t="s">
        <v>16298</v>
      </c>
      <c r="B1559" s="4">
        <v>93</v>
      </c>
    </row>
    <row r="1560" customHeight="1" spans="1:2">
      <c r="A1560" s="3" t="s">
        <v>1913</v>
      </c>
      <c r="B1560" s="4">
        <v>115</v>
      </c>
    </row>
    <row r="1561" customHeight="1" spans="1:2">
      <c r="A1561" s="3" t="s">
        <v>5254</v>
      </c>
      <c r="B1561" s="4">
        <v>106</v>
      </c>
    </row>
    <row r="1562" customHeight="1" spans="1:2">
      <c r="A1562" s="3" t="s">
        <v>14481</v>
      </c>
      <c r="B1562" s="4">
        <v>106</v>
      </c>
    </row>
    <row r="1563" customHeight="1" spans="1:2">
      <c r="A1563" s="3" t="s">
        <v>8434</v>
      </c>
      <c r="B1563" s="4">
        <v>125</v>
      </c>
    </row>
    <row r="1564" customHeight="1" spans="1:2">
      <c r="A1564" s="3" t="s">
        <v>19652</v>
      </c>
      <c r="B1564" s="4">
        <v>90</v>
      </c>
    </row>
    <row r="1565" customHeight="1" spans="1:2">
      <c r="A1565" s="3" t="s">
        <v>4906</v>
      </c>
      <c r="B1565" s="4">
        <v>189</v>
      </c>
    </row>
    <row r="1566" customHeight="1" spans="1:2">
      <c r="A1566" s="3" t="s">
        <v>22566</v>
      </c>
      <c r="B1566" s="4">
        <v>86</v>
      </c>
    </row>
    <row r="1567" customHeight="1" spans="1:2">
      <c r="A1567" s="3" t="s">
        <v>12882</v>
      </c>
      <c r="B1567" s="4">
        <v>107</v>
      </c>
    </row>
    <row r="1568" customHeight="1" spans="1:2">
      <c r="A1568" s="3" t="s">
        <v>13323</v>
      </c>
      <c r="B1568" s="4">
        <v>101</v>
      </c>
    </row>
    <row r="1569" customHeight="1" spans="1:2">
      <c r="A1569" s="3" t="s">
        <v>21081</v>
      </c>
      <c r="B1569" s="4">
        <v>102</v>
      </c>
    </row>
    <row r="1570" customHeight="1" spans="1:2">
      <c r="A1570" s="3" t="s">
        <v>2585</v>
      </c>
      <c r="B1570" s="4">
        <v>101</v>
      </c>
    </row>
    <row r="1571" customHeight="1" spans="1:2">
      <c r="A1571" s="3" t="s">
        <v>3045</v>
      </c>
      <c r="B1571" s="4">
        <v>102</v>
      </c>
    </row>
    <row r="1572" customHeight="1" spans="1:2">
      <c r="A1572" s="3" t="s">
        <v>6949</v>
      </c>
      <c r="B1572" s="4">
        <v>113</v>
      </c>
    </row>
    <row r="1573" customHeight="1" spans="1:2">
      <c r="A1573" s="3" t="s">
        <v>657</v>
      </c>
      <c r="B1573" s="4">
        <v>121</v>
      </c>
    </row>
    <row r="1574" customHeight="1" spans="1:2">
      <c r="A1574" s="3" t="s">
        <v>7306</v>
      </c>
      <c r="B1574" s="4">
        <v>105</v>
      </c>
    </row>
    <row r="1575" customHeight="1" spans="1:2">
      <c r="A1575" s="3" t="s">
        <v>21777</v>
      </c>
      <c r="B1575" s="4">
        <v>120</v>
      </c>
    </row>
    <row r="1576" customHeight="1" spans="1:2">
      <c r="A1576" s="3" t="s">
        <v>1553</v>
      </c>
      <c r="B1576" s="4">
        <v>85</v>
      </c>
    </row>
    <row r="1577" customHeight="1" spans="1:2">
      <c r="A1577" s="3" t="s">
        <v>15249</v>
      </c>
      <c r="B1577" s="4">
        <v>101</v>
      </c>
    </row>
    <row r="1578" customHeight="1" spans="1:2">
      <c r="A1578" s="3" t="s">
        <v>15496</v>
      </c>
      <c r="B1578" s="4">
        <v>89</v>
      </c>
    </row>
    <row r="1579" customHeight="1" spans="1:2">
      <c r="A1579" s="3" t="s">
        <v>23514</v>
      </c>
      <c r="B1579" s="4">
        <v>93</v>
      </c>
    </row>
    <row r="1580" customHeight="1" spans="1:2">
      <c r="A1580" s="3" t="s">
        <v>12594</v>
      </c>
      <c r="B1580" s="4">
        <v>93</v>
      </c>
    </row>
    <row r="1581" customHeight="1" spans="1:2">
      <c r="A1581" s="3" t="s">
        <v>6866</v>
      </c>
      <c r="B1581" s="4">
        <v>107</v>
      </c>
    </row>
    <row r="1582" customHeight="1" spans="1:2">
      <c r="A1582" s="3" t="s">
        <v>10442</v>
      </c>
      <c r="B1582" s="4">
        <v>106</v>
      </c>
    </row>
    <row r="1583" customHeight="1" spans="1:2">
      <c r="A1583" s="3" t="s">
        <v>3027</v>
      </c>
      <c r="B1583" s="4">
        <v>117</v>
      </c>
    </row>
    <row r="1584" customHeight="1" spans="1:2">
      <c r="A1584" s="3" t="s">
        <v>16072</v>
      </c>
      <c r="B1584" s="4">
        <v>82</v>
      </c>
    </row>
    <row r="1585" customHeight="1" spans="1:2">
      <c r="A1585" s="3" t="s">
        <v>22326</v>
      </c>
      <c r="B1585" s="4">
        <v>106</v>
      </c>
    </row>
    <row r="1586" customHeight="1" spans="1:2">
      <c r="A1586" s="3" t="s">
        <v>9778</v>
      </c>
      <c r="B1586" s="4">
        <v>98</v>
      </c>
    </row>
    <row r="1587" customHeight="1" spans="1:2">
      <c r="A1587" s="3" t="s">
        <v>3579</v>
      </c>
      <c r="B1587" s="4">
        <v>111</v>
      </c>
    </row>
    <row r="1588" customHeight="1" spans="1:2">
      <c r="A1588" s="3" t="s">
        <v>17737</v>
      </c>
      <c r="B1588" s="4">
        <v>88</v>
      </c>
    </row>
    <row r="1589" customHeight="1" spans="1:2">
      <c r="A1589" s="3" t="s">
        <v>17091</v>
      </c>
      <c r="B1589" s="4">
        <v>96</v>
      </c>
    </row>
    <row r="1590" customHeight="1" spans="1:2">
      <c r="A1590" s="3" t="s">
        <v>12824</v>
      </c>
      <c r="B1590" s="4">
        <v>238</v>
      </c>
    </row>
    <row r="1591" customHeight="1" spans="1:2">
      <c r="A1591" s="3" t="s">
        <v>19813</v>
      </c>
      <c r="B1591" s="4">
        <v>98</v>
      </c>
    </row>
    <row r="1592" customHeight="1" spans="1:2">
      <c r="A1592" s="3" t="s">
        <v>12171</v>
      </c>
      <c r="B1592" s="4">
        <v>303</v>
      </c>
    </row>
    <row r="1593" customHeight="1" spans="1:2">
      <c r="A1593" s="3" t="s">
        <v>12840</v>
      </c>
      <c r="B1593" s="4">
        <v>94</v>
      </c>
    </row>
    <row r="1594" customHeight="1" spans="1:2">
      <c r="A1594" s="3" t="s">
        <v>17714</v>
      </c>
      <c r="B1594" s="4">
        <v>93</v>
      </c>
    </row>
    <row r="1595" customHeight="1" spans="1:2">
      <c r="A1595" s="3" t="s">
        <v>15723</v>
      </c>
      <c r="B1595" s="4">
        <v>92</v>
      </c>
    </row>
    <row r="1596" customHeight="1" spans="1:2">
      <c r="A1596" s="3" t="s">
        <v>11992</v>
      </c>
      <c r="B1596" s="4">
        <v>300</v>
      </c>
    </row>
    <row r="1597" customHeight="1" spans="1:2">
      <c r="A1597" s="3" t="s">
        <v>779</v>
      </c>
      <c r="B1597" s="4">
        <v>102</v>
      </c>
    </row>
    <row r="1598" customHeight="1" spans="1:2">
      <c r="A1598" s="3" t="s">
        <v>11534</v>
      </c>
      <c r="B1598" s="4">
        <v>105</v>
      </c>
    </row>
    <row r="1599" customHeight="1" spans="1:2">
      <c r="A1599" s="3" t="s">
        <v>20720</v>
      </c>
      <c r="B1599" s="4">
        <v>114</v>
      </c>
    </row>
    <row r="1600" customHeight="1" spans="1:2">
      <c r="A1600" s="3" t="s">
        <v>6581</v>
      </c>
      <c r="B1600" s="4">
        <v>94</v>
      </c>
    </row>
    <row r="1601" customHeight="1" spans="1:2">
      <c r="A1601" s="3" t="s">
        <v>8405</v>
      </c>
      <c r="B1601" s="4">
        <v>111</v>
      </c>
    </row>
    <row r="1602" customHeight="1" spans="1:2">
      <c r="A1602" s="3" t="s">
        <v>8172</v>
      </c>
      <c r="B1602" s="4">
        <v>102</v>
      </c>
    </row>
    <row r="1603" customHeight="1" spans="1:2">
      <c r="A1603" s="3" t="s">
        <v>5342</v>
      </c>
      <c r="B1603" s="4">
        <v>131</v>
      </c>
    </row>
    <row r="1604" customHeight="1" spans="1:2">
      <c r="A1604" s="3" t="s">
        <v>2352</v>
      </c>
      <c r="B1604" s="4">
        <v>44</v>
      </c>
    </row>
    <row r="1605" customHeight="1" spans="1:2">
      <c r="A1605" s="3" t="s">
        <v>18464</v>
      </c>
      <c r="B1605" s="4">
        <v>86</v>
      </c>
    </row>
    <row r="1606" customHeight="1" spans="1:2">
      <c r="A1606" s="3" t="s">
        <v>5173</v>
      </c>
      <c r="B1606" s="4">
        <v>98</v>
      </c>
    </row>
    <row r="1607" customHeight="1" spans="1:2">
      <c r="A1607" s="3" t="s">
        <v>5645</v>
      </c>
      <c r="B1607" s="4">
        <v>75</v>
      </c>
    </row>
    <row r="1608" customHeight="1" spans="1:2">
      <c r="A1608" s="3" t="s">
        <v>19422</v>
      </c>
      <c r="B1608" s="4">
        <v>134</v>
      </c>
    </row>
    <row r="1609" customHeight="1" spans="1:2">
      <c r="A1609" s="3" t="s">
        <v>23816</v>
      </c>
      <c r="B1609" s="4">
        <v>82</v>
      </c>
    </row>
    <row r="1610" customHeight="1" spans="1:2">
      <c r="A1610" s="3" t="s">
        <v>1112</v>
      </c>
      <c r="B1610" s="4">
        <v>100</v>
      </c>
    </row>
    <row r="1611" customHeight="1" spans="1:2">
      <c r="A1611" s="3" t="s">
        <v>2316</v>
      </c>
      <c r="B1611" s="4">
        <v>108</v>
      </c>
    </row>
    <row r="1612" customHeight="1" spans="1:2">
      <c r="A1612" s="3" t="s">
        <v>14833</v>
      </c>
      <c r="B1612" s="4">
        <v>92</v>
      </c>
    </row>
    <row r="1613" customHeight="1" spans="1:2">
      <c r="A1613" s="3" t="s">
        <v>23235</v>
      </c>
      <c r="B1613" s="4">
        <v>58</v>
      </c>
    </row>
    <row r="1614" customHeight="1" spans="1:2">
      <c r="A1614" s="3" t="s">
        <v>20792</v>
      </c>
      <c r="B1614" s="4">
        <v>98</v>
      </c>
    </row>
    <row r="1615" customHeight="1" spans="1:2">
      <c r="A1615" s="3" t="s">
        <v>22064</v>
      </c>
      <c r="B1615" s="4">
        <v>104</v>
      </c>
    </row>
    <row r="1616" customHeight="1" spans="1:2">
      <c r="A1616" s="3" t="s">
        <v>3492</v>
      </c>
      <c r="B1616" s="4">
        <v>97</v>
      </c>
    </row>
    <row r="1617" customHeight="1" spans="1:2">
      <c r="A1617" s="3" t="s">
        <v>16730</v>
      </c>
      <c r="B1617" s="4">
        <v>177</v>
      </c>
    </row>
    <row r="1618" customHeight="1" spans="1:2">
      <c r="A1618" s="3" t="s">
        <v>10573</v>
      </c>
      <c r="B1618" s="4">
        <v>106</v>
      </c>
    </row>
    <row r="1619" customHeight="1" spans="1:2">
      <c r="A1619" s="3" t="s">
        <v>21799</v>
      </c>
      <c r="B1619" s="4">
        <v>112</v>
      </c>
    </row>
    <row r="1620" customHeight="1" spans="1:2">
      <c r="A1620" s="3" t="s">
        <v>10282</v>
      </c>
      <c r="B1620" s="4">
        <v>98</v>
      </c>
    </row>
    <row r="1621" customHeight="1" spans="1:2">
      <c r="A1621" s="3" t="s">
        <v>8890</v>
      </c>
      <c r="B1621" s="4">
        <v>115</v>
      </c>
    </row>
    <row r="1622" customHeight="1" spans="1:2">
      <c r="A1622" s="3" t="s">
        <v>14071</v>
      </c>
      <c r="B1622" s="4">
        <v>102</v>
      </c>
    </row>
    <row r="1623" customHeight="1" spans="1:2">
      <c r="A1623" s="3" t="s">
        <v>15649</v>
      </c>
      <c r="B1623" s="4">
        <v>88</v>
      </c>
    </row>
    <row r="1624" customHeight="1" spans="1:2">
      <c r="A1624" s="3" t="s">
        <v>18909</v>
      </c>
      <c r="B1624" s="4">
        <v>121</v>
      </c>
    </row>
    <row r="1625" customHeight="1" spans="1:2">
      <c r="A1625" s="3" t="s">
        <v>13728</v>
      </c>
      <c r="B1625" s="4">
        <v>100</v>
      </c>
    </row>
    <row r="1626" customHeight="1" spans="1:2">
      <c r="A1626" s="3" t="s">
        <v>22182</v>
      </c>
      <c r="B1626" s="4">
        <v>95</v>
      </c>
    </row>
    <row r="1627" customHeight="1" spans="1:2">
      <c r="A1627" s="3" t="s">
        <v>16432</v>
      </c>
      <c r="B1627" s="4">
        <v>97</v>
      </c>
    </row>
    <row r="1628" customHeight="1" spans="1:2">
      <c r="A1628" s="3" t="s">
        <v>1704</v>
      </c>
      <c r="B1628" s="4">
        <v>174</v>
      </c>
    </row>
    <row r="1629" customHeight="1" spans="1:2">
      <c r="A1629" s="3" t="s">
        <v>1269</v>
      </c>
      <c r="B1629" s="4"/>
    </row>
    <row r="1630" customHeight="1" spans="1:2">
      <c r="A1630" s="3" t="s">
        <v>1242</v>
      </c>
      <c r="B1630" s="4"/>
    </row>
    <row r="1631" customHeight="1" spans="1:2">
      <c r="A1631" s="3" t="s">
        <v>774</v>
      </c>
      <c r="B1631" s="4">
        <v>157</v>
      </c>
    </row>
    <row r="1632" customHeight="1" spans="1:2">
      <c r="A1632" s="3" t="s">
        <v>109</v>
      </c>
      <c r="B1632" s="4">
        <v>153</v>
      </c>
    </row>
    <row r="1633" customHeight="1" spans="1:2">
      <c r="A1633" s="3" t="s">
        <v>771</v>
      </c>
      <c r="B1633" s="4">
        <v>138</v>
      </c>
    </row>
    <row r="1634" customHeight="1" spans="1:2">
      <c r="A1634" s="3" t="s">
        <v>1219</v>
      </c>
      <c r="B1634" s="4">
        <v>142</v>
      </c>
    </row>
    <row r="1635" customHeight="1" spans="1:2">
      <c r="A1635" s="3" t="s">
        <v>1255</v>
      </c>
      <c r="B1635" s="4">
        <v>159</v>
      </c>
    </row>
    <row r="1636" customHeight="1" spans="1:2">
      <c r="A1636" s="3" t="s">
        <v>20270</v>
      </c>
      <c r="B1636" s="4">
        <v>116</v>
      </c>
    </row>
    <row r="1637" customHeight="1" spans="1:2">
      <c r="A1637" s="3" t="s">
        <v>3473</v>
      </c>
      <c r="B1637" s="4">
        <v>125</v>
      </c>
    </row>
    <row r="1638" customHeight="1" spans="1:2">
      <c r="A1638" s="3" t="s">
        <v>17442</v>
      </c>
      <c r="B1638" s="4">
        <v>99</v>
      </c>
    </row>
    <row r="1639" customHeight="1" spans="1:2">
      <c r="A1639" s="3" t="s">
        <v>20991</v>
      </c>
      <c r="B1639" s="4">
        <v>93</v>
      </c>
    </row>
    <row r="1640" customHeight="1" spans="1:2">
      <c r="A1640" s="3" t="s">
        <v>22338</v>
      </c>
      <c r="B1640" s="4">
        <v>84</v>
      </c>
    </row>
    <row r="1641" customHeight="1" spans="1:2">
      <c r="A1641" s="3" t="s">
        <v>23868</v>
      </c>
      <c r="B1641" s="4">
        <v>93</v>
      </c>
    </row>
    <row r="1642" customHeight="1" spans="1:2">
      <c r="A1642" s="3" t="s">
        <v>10257</v>
      </c>
      <c r="B1642" s="4">
        <v>93</v>
      </c>
    </row>
    <row r="1643" customHeight="1" spans="1:2">
      <c r="A1643" s="3" t="s">
        <v>9733</v>
      </c>
      <c r="B1643" s="4">
        <v>136</v>
      </c>
    </row>
    <row r="1644" customHeight="1" spans="1:2">
      <c r="A1644" s="3" t="s">
        <v>7229</v>
      </c>
      <c r="B1644" s="4">
        <v>95</v>
      </c>
    </row>
    <row r="1645" customHeight="1" spans="1:2">
      <c r="A1645" s="3" t="s">
        <v>13496</v>
      </c>
      <c r="B1645" s="4">
        <v>86</v>
      </c>
    </row>
    <row r="1646" customHeight="1" spans="1:2">
      <c r="A1646" s="3" t="s">
        <v>17491</v>
      </c>
      <c r="B1646" s="4">
        <v>100</v>
      </c>
    </row>
    <row r="1647" customHeight="1" spans="1:2">
      <c r="A1647" s="3" t="s">
        <v>15155</v>
      </c>
      <c r="B1647" s="4">
        <v>78</v>
      </c>
    </row>
    <row r="1648" customHeight="1" spans="1:2">
      <c r="A1648" s="3" t="s">
        <v>7007</v>
      </c>
      <c r="B1648" s="4">
        <v>123</v>
      </c>
    </row>
    <row r="1649" customHeight="1" spans="1:2">
      <c r="A1649" s="3" t="s">
        <v>8063</v>
      </c>
      <c r="B1649" s="4">
        <v>101</v>
      </c>
    </row>
    <row r="1650" customHeight="1" spans="1:2">
      <c r="A1650" s="3" t="s">
        <v>14446</v>
      </c>
      <c r="B1650" s="4">
        <v>99</v>
      </c>
    </row>
    <row r="1651" customHeight="1" spans="1:2">
      <c r="A1651" s="3" t="s">
        <v>17888</v>
      </c>
      <c r="B1651" s="4">
        <v>108</v>
      </c>
    </row>
    <row r="1652" customHeight="1" spans="1:2">
      <c r="A1652" s="3" t="s">
        <v>6041</v>
      </c>
      <c r="B1652" s="4">
        <v>325</v>
      </c>
    </row>
    <row r="1653" customHeight="1" spans="1:2">
      <c r="A1653" s="3" t="s">
        <v>15554</v>
      </c>
      <c r="B1653" s="4">
        <v>90</v>
      </c>
    </row>
    <row r="1654" customHeight="1" spans="1:2">
      <c r="A1654" s="3" t="s">
        <v>17165</v>
      </c>
      <c r="B1654" s="4">
        <v>95</v>
      </c>
    </row>
    <row r="1655" customHeight="1" spans="1:2">
      <c r="A1655" s="3" t="s">
        <v>7523</v>
      </c>
      <c r="B1655" s="4">
        <v>186</v>
      </c>
    </row>
    <row r="1656" customHeight="1" spans="1:2">
      <c r="A1656" s="3" t="s">
        <v>16124</v>
      </c>
      <c r="B1656" s="4">
        <v>89</v>
      </c>
    </row>
    <row r="1657" customHeight="1" spans="1:2">
      <c r="A1657" s="3" t="s">
        <v>21886</v>
      </c>
      <c r="B1657" s="4">
        <v>105</v>
      </c>
    </row>
    <row r="1658" customHeight="1" spans="1:2">
      <c r="A1658" s="3" t="s">
        <v>2516</v>
      </c>
      <c r="B1658" s="4">
        <v>120</v>
      </c>
    </row>
    <row r="1659" customHeight="1" spans="1:2">
      <c r="A1659" s="3" t="s">
        <v>4116</v>
      </c>
      <c r="B1659" s="4">
        <v>132</v>
      </c>
    </row>
    <row r="1660" customHeight="1" spans="1:2">
      <c r="A1660" s="3" t="s">
        <v>21545</v>
      </c>
      <c r="B1660" s="4">
        <v>86</v>
      </c>
    </row>
    <row r="1661" customHeight="1" spans="1:2">
      <c r="A1661" s="3" t="s">
        <v>18747</v>
      </c>
      <c r="B1661" s="4">
        <v>96</v>
      </c>
    </row>
    <row r="1662" customHeight="1" spans="1:2">
      <c r="A1662" s="3" t="s">
        <v>18061</v>
      </c>
      <c r="B1662" s="4">
        <v>67</v>
      </c>
    </row>
    <row r="1663" customHeight="1" spans="1:2">
      <c r="A1663" s="3" t="s">
        <v>15675</v>
      </c>
      <c r="B1663" s="4">
        <v>137</v>
      </c>
    </row>
    <row r="1664" customHeight="1" spans="1:2">
      <c r="A1664" s="3" t="s">
        <v>23966</v>
      </c>
      <c r="B1664" s="4">
        <v>89</v>
      </c>
    </row>
    <row r="1665" customHeight="1" spans="1:2">
      <c r="A1665" s="3" t="s">
        <v>10233</v>
      </c>
      <c r="B1665" s="4">
        <v>126</v>
      </c>
    </row>
    <row r="1666" customHeight="1" spans="1:2">
      <c r="A1666" s="3" t="s">
        <v>5162</v>
      </c>
      <c r="B1666" s="4">
        <v>101</v>
      </c>
    </row>
    <row r="1667" customHeight="1" spans="1:2">
      <c r="A1667" s="3" t="s">
        <v>1867</v>
      </c>
      <c r="B1667" s="4">
        <v>202</v>
      </c>
    </row>
    <row r="1668" customHeight="1" spans="1:2">
      <c r="A1668" s="3" t="s">
        <v>6121</v>
      </c>
      <c r="B1668" s="4">
        <v>105</v>
      </c>
    </row>
    <row r="1669" customHeight="1" spans="1:2">
      <c r="A1669" s="3" t="s">
        <v>13060</v>
      </c>
      <c r="B1669" s="4">
        <v>96</v>
      </c>
    </row>
    <row r="1670" customHeight="1" spans="1:2">
      <c r="A1670" s="3" t="s">
        <v>5326</v>
      </c>
      <c r="B1670" s="4">
        <v>129</v>
      </c>
    </row>
    <row r="1671" customHeight="1" spans="1:2">
      <c r="A1671" s="3" t="s">
        <v>6169</v>
      </c>
      <c r="B1671" s="4">
        <v>160</v>
      </c>
    </row>
    <row r="1672" customHeight="1" spans="1:2">
      <c r="A1672" s="3" t="s">
        <v>23600</v>
      </c>
      <c r="B1672" s="4">
        <v>98</v>
      </c>
    </row>
    <row r="1673" customHeight="1" spans="1:2">
      <c r="A1673" s="3" t="s">
        <v>22865</v>
      </c>
      <c r="B1673" s="4">
        <v>60</v>
      </c>
    </row>
    <row r="1674" customHeight="1" spans="1:2">
      <c r="A1674" s="3" t="s">
        <v>6302</v>
      </c>
      <c r="B1674" s="4">
        <v>129</v>
      </c>
    </row>
    <row r="1675" customHeight="1" spans="1:2">
      <c r="A1675" s="3" t="s">
        <v>16703</v>
      </c>
      <c r="B1675" s="4">
        <v>106</v>
      </c>
    </row>
    <row r="1676" customHeight="1" spans="1:2">
      <c r="A1676" s="3" t="s">
        <v>15039</v>
      </c>
      <c r="B1676" s="4">
        <v>76</v>
      </c>
    </row>
    <row r="1677" customHeight="1" spans="1:2">
      <c r="A1677" s="3" t="s">
        <v>2937</v>
      </c>
      <c r="B1677" s="4">
        <v>136</v>
      </c>
    </row>
    <row r="1678" customHeight="1" spans="1:2">
      <c r="A1678" s="3" t="s">
        <v>21951</v>
      </c>
      <c r="B1678" s="4">
        <v>96</v>
      </c>
    </row>
    <row r="1679" customHeight="1" spans="1:2">
      <c r="A1679" s="3" t="s">
        <v>9527</v>
      </c>
      <c r="B1679" s="4">
        <v>101</v>
      </c>
    </row>
    <row r="1680" customHeight="1" spans="1:2">
      <c r="A1680" s="3" t="s">
        <v>19047</v>
      </c>
      <c r="B1680" s="4">
        <v>94</v>
      </c>
    </row>
    <row r="1681" customHeight="1" spans="1:2">
      <c r="A1681" s="3" t="s">
        <v>6124</v>
      </c>
      <c r="B1681" s="4">
        <v>115</v>
      </c>
    </row>
    <row r="1682" customHeight="1" spans="1:2">
      <c r="A1682" s="3" t="s">
        <v>10929</v>
      </c>
      <c r="B1682" s="4">
        <v>113</v>
      </c>
    </row>
    <row r="1683" customHeight="1" spans="1:2">
      <c r="A1683" s="3" t="s">
        <v>15343</v>
      </c>
      <c r="B1683" s="4">
        <v>86</v>
      </c>
    </row>
    <row r="1684" customHeight="1" spans="1:2">
      <c r="A1684" s="3" t="s">
        <v>22289</v>
      </c>
      <c r="B1684" s="4">
        <v>85</v>
      </c>
    </row>
    <row r="1685" customHeight="1" spans="1:2">
      <c r="A1685" s="3" t="s">
        <v>17404</v>
      </c>
      <c r="B1685" s="4">
        <v>105</v>
      </c>
    </row>
    <row r="1686" customHeight="1" spans="1:2">
      <c r="A1686" s="3" t="s">
        <v>22506</v>
      </c>
      <c r="B1686" s="4">
        <v>87</v>
      </c>
    </row>
    <row r="1687" customHeight="1" spans="1:2">
      <c r="A1687" s="3" t="s">
        <v>16782</v>
      </c>
      <c r="B1687" s="4">
        <v>111</v>
      </c>
    </row>
    <row r="1688" customHeight="1" spans="1:2">
      <c r="A1688" s="3" t="s">
        <v>14505</v>
      </c>
      <c r="B1688" s="4">
        <v>112</v>
      </c>
    </row>
    <row r="1689" customHeight="1" spans="1:2">
      <c r="A1689" s="3" t="s">
        <v>18401</v>
      </c>
      <c r="B1689" s="4">
        <v>98</v>
      </c>
    </row>
    <row r="1690" customHeight="1" spans="1:2">
      <c r="A1690" s="3" t="s">
        <v>19645</v>
      </c>
      <c r="B1690" s="4">
        <v>89</v>
      </c>
    </row>
    <row r="1691" customHeight="1" spans="1:2">
      <c r="A1691" s="3" t="s">
        <v>20693</v>
      </c>
      <c r="B1691" s="4">
        <v>109</v>
      </c>
    </row>
    <row r="1692" customHeight="1" spans="1:2">
      <c r="A1692" s="3" t="s">
        <v>12544</v>
      </c>
      <c r="B1692" s="4">
        <v>110</v>
      </c>
    </row>
    <row r="1693" customHeight="1" spans="1:2">
      <c r="A1693" s="3" t="s">
        <v>13010</v>
      </c>
      <c r="B1693" s="4">
        <v>101</v>
      </c>
    </row>
    <row r="1694" customHeight="1" spans="1:2">
      <c r="A1694" s="3" t="s">
        <v>9331</v>
      </c>
      <c r="B1694" s="4">
        <v>99</v>
      </c>
    </row>
    <row r="1695" customHeight="1" spans="1:2">
      <c r="A1695" s="3" t="s">
        <v>20534</v>
      </c>
      <c r="B1695" s="4">
        <v>97</v>
      </c>
    </row>
    <row r="1696" customHeight="1" spans="1:2">
      <c r="A1696" s="3" t="s">
        <v>14557</v>
      </c>
      <c r="B1696" s="4">
        <v>184</v>
      </c>
    </row>
    <row r="1697" customHeight="1" spans="1:2">
      <c r="A1697" s="3" t="s">
        <v>10499</v>
      </c>
      <c r="B1697" s="4">
        <v>100</v>
      </c>
    </row>
    <row r="1698" customHeight="1" spans="1:2">
      <c r="A1698" s="3" t="s">
        <v>7437</v>
      </c>
      <c r="B1698" s="4">
        <v>60</v>
      </c>
    </row>
    <row r="1699" customHeight="1" spans="1:2">
      <c r="A1699" s="3" t="s">
        <v>4589</v>
      </c>
      <c r="B1699" s="4">
        <v>118</v>
      </c>
    </row>
    <row r="1700" customHeight="1" spans="1:2">
      <c r="A1700" s="3" t="s">
        <v>12118</v>
      </c>
      <c r="B1700" s="4">
        <v>94</v>
      </c>
    </row>
    <row r="1701" customHeight="1" spans="1:2">
      <c r="A1701" s="3" t="s">
        <v>21905</v>
      </c>
      <c r="B1701" s="4">
        <v>96</v>
      </c>
    </row>
    <row r="1702" customHeight="1" spans="1:2">
      <c r="A1702" s="3" t="s">
        <v>19448</v>
      </c>
      <c r="B1702" s="4">
        <v>86</v>
      </c>
    </row>
    <row r="1703" customHeight="1" spans="1:2">
      <c r="A1703" s="3" t="s">
        <v>8930</v>
      </c>
      <c r="B1703" s="4">
        <v>96</v>
      </c>
    </row>
    <row r="1704" customHeight="1" spans="1:2">
      <c r="A1704" s="3" t="s">
        <v>7533</v>
      </c>
      <c r="B1704" s="4">
        <v>140</v>
      </c>
    </row>
    <row r="1705" customHeight="1" spans="1:2">
      <c r="A1705" s="3" t="s">
        <v>10714</v>
      </c>
      <c r="B1705" s="4">
        <v>117</v>
      </c>
    </row>
    <row r="1706" customHeight="1" spans="1:2">
      <c r="A1706" s="3" t="s">
        <v>2211</v>
      </c>
      <c r="B1706" s="4">
        <v>119</v>
      </c>
    </row>
    <row r="1707" customHeight="1" spans="1:2">
      <c r="A1707" s="3" t="s">
        <v>12535</v>
      </c>
      <c r="B1707" s="4">
        <v>112</v>
      </c>
    </row>
    <row r="1708" customHeight="1" spans="1:2">
      <c r="A1708" s="3" t="s">
        <v>3162</v>
      </c>
      <c r="B1708" s="4">
        <v>116</v>
      </c>
    </row>
    <row r="1709" customHeight="1" spans="1:2">
      <c r="A1709" s="3" t="s">
        <v>23705</v>
      </c>
      <c r="B1709" s="4">
        <v>81</v>
      </c>
    </row>
    <row r="1710" customHeight="1" spans="1:2">
      <c r="A1710" s="3" t="s">
        <v>4441</v>
      </c>
      <c r="B1710" s="4">
        <v>114</v>
      </c>
    </row>
    <row r="1711" customHeight="1" spans="1:2">
      <c r="A1711" s="3" t="s">
        <v>18635</v>
      </c>
      <c r="B1711" s="4">
        <v>115</v>
      </c>
    </row>
    <row r="1712" customHeight="1" spans="1:2">
      <c r="A1712" s="3" t="s">
        <v>10639</v>
      </c>
      <c r="B1712" s="4">
        <v>120</v>
      </c>
    </row>
    <row r="1713" customHeight="1" spans="1:2">
      <c r="A1713" s="3" t="s">
        <v>12648</v>
      </c>
      <c r="B1713" s="4">
        <v>103</v>
      </c>
    </row>
    <row r="1714" customHeight="1" spans="1:2">
      <c r="A1714" s="3" t="s">
        <v>11092</v>
      </c>
      <c r="B1714" s="4">
        <v>103</v>
      </c>
    </row>
    <row r="1715" customHeight="1" spans="1:2">
      <c r="A1715" s="3" t="s">
        <v>13056</v>
      </c>
      <c r="B1715" s="4">
        <v>91</v>
      </c>
    </row>
    <row r="1716" customHeight="1" spans="1:2">
      <c r="A1716" s="3" t="s">
        <v>22897</v>
      </c>
      <c r="B1716" s="4">
        <v>22</v>
      </c>
    </row>
    <row r="1717" customHeight="1" spans="1:2">
      <c r="A1717" s="3" t="s">
        <v>1587</v>
      </c>
      <c r="B1717" s="4">
        <v>76</v>
      </c>
    </row>
    <row r="1718" customHeight="1" spans="1:2">
      <c r="A1718" s="3" t="s">
        <v>21316</v>
      </c>
      <c r="B1718" s="4">
        <v>113</v>
      </c>
    </row>
    <row r="1719" customHeight="1" spans="1:2">
      <c r="A1719" s="3" t="s">
        <v>1181</v>
      </c>
      <c r="B1719" s="4">
        <v>282</v>
      </c>
    </row>
    <row r="1720" customHeight="1" spans="1:2">
      <c r="A1720" s="3" t="s">
        <v>10451</v>
      </c>
      <c r="B1720" s="4">
        <v>100</v>
      </c>
    </row>
    <row r="1721" customHeight="1" spans="1:2">
      <c r="A1721" s="3" t="s">
        <v>11823</v>
      </c>
      <c r="B1721" s="4">
        <v>94</v>
      </c>
    </row>
    <row r="1722" customHeight="1" spans="1:2">
      <c r="A1722" s="3" t="s">
        <v>8627</v>
      </c>
      <c r="B1722" s="4">
        <v>86</v>
      </c>
    </row>
    <row r="1723" customHeight="1" spans="1:2">
      <c r="A1723" s="3" t="s">
        <v>12108</v>
      </c>
      <c r="B1723" s="4">
        <v>80</v>
      </c>
    </row>
    <row r="1724" customHeight="1" spans="1:2">
      <c r="A1724" s="3" t="s">
        <v>3327</v>
      </c>
      <c r="B1724" s="4">
        <v>142</v>
      </c>
    </row>
    <row r="1725" customHeight="1" spans="1:2">
      <c r="A1725" s="3" t="s">
        <v>22296</v>
      </c>
      <c r="B1725" s="4">
        <v>170</v>
      </c>
    </row>
    <row r="1726" customHeight="1" spans="1:2">
      <c r="A1726" s="3" t="s">
        <v>13111</v>
      </c>
      <c r="B1726" s="4">
        <v>91</v>
      </c>
    </row>
    <row r="1727" customHeight="1" spans="1:2">
      <c r="A1727" s="3" t="s">
        <v>3921</v>
      </c>
      <c r="B1727" s="4">
        <v>95</v>
      </c>
    </row>
    <row r="1728" customHeight="1" spans="1:2">
      <c r="A1728" s="3" t="s">
        <v>8241</v>
      </c>
      <c r="B1728" s="4">
        <v>114</v>
      </c>
    </row>
    <row r="1729" customHeight="1" spans="1:2">
      <c r="A1729" s="3" t="s">
        <v>8220</v>
      </c>
      <c r="B1729" s="4">
        <v>100</v>
      </c>
    </row>
    <row r="1730" customHeight="1" spans="1:2">
      <c r="A1730" s="3" t="s">
        <v>6454</v>
      </c>
      <c r="B1730" s="4">
        <v>116</v>
      </c>
    </row>
    <row r="1731" customHeight="1" spans="1:2">
      <c r="A1731" s="3" t="s">
        <v>7271</v>
      </c>
      <c r="B1731" s="4">
        <v>106</v>
      </c>
    </row>
    <row r="1732" customHeight="1" spans="1:2">
      <c r="A1732" s="3" t="s">
        <v>23313</v>
      </c>
      <c r="B1732" s="4">
        <v>108</v>
      </c>
    </row>
    <row r="1733" customHeight="1" spans="1:2">
      <c r="A1733" s="3" t="s">
        <v>3152</v>
      </c>
      <c r="B1733" s="4">
        <v>113</v>
      </c>
    </row>
    <row r="1734" customHeight="1" spans="1:2">
      <c r="A1734" s="3" t="s">
        <v>18126</v>
      </c>
      <c r="B1734" s="4">
        <v>93</v>
      </c>
    </row>
    <row r="1735" customHeight="1" spans="1:2">
      <c r="A1735" s="3" t="s">
        <v>16341</v>
      </c>
      <c r="B1735" s="4">
        <v>94</v>
      </c>
    </row>
    <row r="1736" customHeight="1" spans="1:2">
      <c r="A1736" s="3" t="s">
        <v>12458</v>
      </c>
      <c r="B1736" s="4">
        <v>121</v>
      </c>
    </row>
    <row r="1737" customHeight="1" spans="1:2">
      <c r="A1737" s="3" t="s">
        <v>7591</v>
      </c>
      <c r="B1737" s="4">
        <v>87</v>
      </c>
    </row>
    <row r="1738" customHeight="1" spans="1:2">
      <c r="A1738" s="3" t="s">
        <v>9846</v>
      </c>
      <c r="B1738" s="4">
        <v>88</v>
      </c>
    </row>
    <row r="1739" customHeight="1" spans="1:2">
      <c r="A1739" s="3" t="s">
        <v>13597</v>
      </c>
      <c r="B1739" s="4">
        <v>99</v>
      </c>
    </row>
    <row r="1740" customHeight="1" spans="1:2">
      <c r="A1740" s="3" t="s">
        <v>7185</v>
      </c>
      <c r="B1740" s="4">
        <v>101</v>
      </c>
    </row>
    <row r="1741" customHeight="1" spans="1:2">
      <c r="A1741" s="3" t="s">
        <v>3060</v>
      </c>
      <c r="B1741" s="4">
        <v>100</v>
      </c>
    </row>
    <row r="1742" customHeight="1" spans="1:2">
      <c r="A1742" s="3" t="s">
        <v>12113</v>
      </c>
      <c r="B1742" s="4">
        <v>121</v>
      </c>
    </row>
    <row r="1743" customHeight="1" spans="1:2">
      <c r="A1743" s="3" t="s">
        <v>2741</v>
      </c>
      <c r="B1743" s="4">
        <v>89</v>
      </c>
    </row>
    <row r="1744" customHeight="1" spans="1:2">
      <c r="A1744" s="3" t="s">
        <v>2337</v>
      </c>
      <c r="B1744" s="4">
        <v>91</v>
      </c>
    </row>
    <row r="1745" customHeight="1" spans="1:2">
      <c r="A1745" s="3" t="s">
        <v>21143</v>
      </c>
      <c r="B1745" s="4">
        <v>91</v>
      </c>
    </row>
    <row r="1746" customHeight="1" spans="1:2">
      <c r="A1746" s="3" t="s">
        <v>16816</v>
      </c>
      <c r="B1746" s="4">
        <v>101</v>
      </c>
    </row>
    <row r="1747" customHeight="1" spans="1:2">
      <c r="A1747" s="3" t="s">
        <v>16560</v>
      </c>
      <c r="B1747" s="4">
        <v>105</v>
      </c>
    </row>
    <row r="1748" customHeight="1" spans="1:2">
      <c r="A1748" s="3" t="s">
        <v>20362</v>
      </c>
      <c r="B1748" s="4">
        <v>96</v>
      </c>
    </row>
    <row r="1749" customHeight="1" spans="1:2">
      <c r="A1749" s="3" t="s">
        <v>14248</v>
      </c>
      <c r="B1749" s="4">
        <v>119</v>
      </c>
    </row>
    <row r="1750" customHeight="1" spans="1:2">
      <c r="A1750" s="3" t="s">
        <v>12373</v>
      </c>
      <c r="B1750" s="4">
        <v>126</v>
      </c>
    </row>
    <row r="1751" customHeight="1" spans="1:2">
      <c r="A1751" s="3" t="s">
        <v>18829</v>
      </c>
      <c r="B1751" s="4">
        <v>115</v>
      </c>
    </row>
    <row r="1752" customHeight="1" spans="1:2">
      <c r="A1752" s="3" t="s">
        <v>7471</v>
      </c>
      <c r="B1752" s="4">
        <v>216</v>
      </c>
    </row>
    <row r="1753" customHeight="1" spans="1:2">
      <c r="A1753" s="3" t="s">
        <v>11586</v>
      </c>
      <c r="B1753" s="4">
        <v>93</v>
      </c>
    </row>
    <row r="1754" customHeight="1" spans="1:2">
      <c r="A1754" s="3" t="s">
        <v>17633</v>
      </c>
      <c r="B1754" s="4">
        <v>94</v>
      </c>
    </row>
    <row r="1755" customHeight="1" spans="1:2">
      <c r="A1755" s="3" t="s">
        <v>21048</v>
      </c>
      <c r="B1755" s="4">
        <v>107</v>
      </c>
    </row>
    <row r="1756" customHeight="1" spans="1:2">
      <c r="A1756" s="3" t="s">
        <v>14760</v>
      </c>
      <c r="B1756" s="4">
        <v>144</v>
      </c>
    </row>
    <row r="1757" customHeight="1" spans="1:2">
      <c r="A1757" s="3" t="s">
        <v>1419</v>
      </c>
      <c r="B1757" s="4">
        <v>121</v>
      </c>
    </row>
    <row r="1758" customHeight="1" spans="1:2">
      <c r="A1758" s="3" t="s">
        <v>21265</v>
      </c>
      <c r="B1758" s="4">
        <v>118</v>
      </c>
    </row>
    <row r="1759" customHeight="1" spans="1:2">
      <c r="A1759" s="3" t="s">
        <v>14121</v>
      </c>
      <c r="B1759" s="4">
        <v>93</v>
      </c>
    </row>
    <row r="1760" customHeight="1" spans="1:2">
      <c r="A1760" s="3" t="s">
        <v>12285</v>
      </c>
      <c r="B1760" s="4">
        <v>94</v>
      </c>
    </row>
    <row r="1761" customHeight="1" spans="1:2">
      <c r="A1761" s="3" t="s">
        <v>10825</v>
      </c>
      <c r="B1761" s="4">
        <v>124</v>
      </c>
    </row>
    <row r="1762" customHeight="1" spans="1:2">
      <c r="A1762" s="3" t="s">
        <v>1335</v>
      </c>
      <c r="B1762" s="4">
        <v>110</v>
      </c>
    </row>
    <row r="1763" customHeight="1" spans="1:2">
      <c r="A1763" s="3" t="s">
        <v>14213</v>
      </c>
      <c r="B1763" s="4">
        <v>93</v>
      </c>
    </row>
    <row r="1764" customHeight="1" spans="1:2">
      <c r="A1764" s="3" t="s">
        <v>7140</v>
      </c>
      <c r="B1764" s="4">
        <v>110</v>
      </c>
    </row>
    <row r="1765" customHeight="1" spans="1:2">
      <c r="A1765" s="3" t="s">
        <v>12506</v>
      </c>
      <c r="B1765" s="4">
        <v>101</v>
      </c>
    </row>
    <row r="1766" customHeight="1" spans="1:2">
      <c r="A1766" s="3" t="s">
        <v>18775</v>
      </c>
      <c r="B1766" s="4">
        <v>84</v>
      </c>
    </row>
    <row r="1767" customHeight="1" spans="1:2">
      <c r="A1767" s="3" t="s">
        <v>5044</v>
      </c>
      <c r="B1767" s="4">
        <v>116</v>
      </c>
    </row>
    <row r="1768" customHeight="1" spans="1:2">
      <c r="A1768" s="3" t="s">
        <v>9029</v>
      </c>
      <c r="B1768" s="4">
        <v>110</v>
      </c>
    </row>
    <row r="1769" customHeight="1" spans="1:2">
      <c r="A1769" s="3" t="s">
        <v>1037</v>
      </c>
      <c r="B1769" s="4">
        <v>102</v>
      </c>
    </row>
    <row r="1770" customHeight="1" spans="1:2">
      <c r="A1770" s="3" t="s">
        <v>644</v>
      </c>
      <c r="B1770" s="4">
        <v>98</v>
      </c>
    </row>
    <row r="1771" customHeight="1" spans="1:2">
      <c r="A1771" s="3" t="s">
        <v>8563</v>
      </c>
      <c r="B1771" s="4">
        <v>110</v>
      </c>
    </row>
    <row r="1772" customHeight="1" spans="1:2">
      <c r="A1772" s="3" t="s">
        <v>16132</v>
      </c>
      <c r="B1772" s="4">
        <v>140</v>
      </c>
    </row>
    <row r="1773" customHeight="1" spans="1:2">
      <c r="A1773" s="3" t="s">
        <v>10192</v>
      </c>
      <c r="B1773" s="4">
        <v>119</v>
      </c>
    </row>
    <row r="1774" customHeight="1" spans="1:2">
      <c r="A1774" s="3" t="s">
        <v>19823</v>
      </c>
      <c r="B1774" s="4">
        <v>112</v>
      </c>
    </row>
    <row r="1775" customHeight="1" spans="1:2">
      <c r="A1775" s="3" t="s">
        <v>3804</v>
      </c>
      <c r="B1775" s="4">
        <v>100</v>
      </c>
    </row>
    <row r="1776" customHeight="1" spans="1:2">
      <c r="A1776" s="3" t="s">
        <v>491</v>
      </c>
      <c r="B1776" s="4">
        <v>126</v>
      </c>
    </row>
    <row r="1777" customHeight="1" spans="1:2">
      <c r="A1777" s="3" t="s">
        <v>1069</v>
      </c>
      <c r="B1777" s="4">
        <v>138</v>
      </c>
    </row>
    <row r="1778" customHeight="1" spans="1:2">
      <c r="A1778" s="3" t="s">
        <v>20384</v>
      </c>
      <c r="B1778" s="4"/>
    </row>
    <row r="1779" customHeight="1" spans="1:2">
      <c r="A1779" s="3" t="s">
        <v>19079</v>
      </c>
      <c r="B1779" s="4">
        <v>99</v>
      </c>
    </row>
    <row r="1780" customHeight="1" spans="1:2">
      <c r="A1780" s="3" t="s">
        <v>22582</v>
      </c>
      <c r="B1780" s="4">
        <v>86</v>
      </c>
    </row>
    <row r="1781" customHeight="1" spans="1:2">
      <c r="A1781" s="3" t="s">
        <v>19664</v>
      </c>
      <c r="B1781" s="4">
        <v>116</v>
      </c>
    </row>
    <row r="1782" customHeight="1" spans="1:2">
      <c r="A1782" s="3" t="s">
        <v>785</v>
      </c>
      <c r="B1782" s="4">
        <v>104</v>
      </c>
    </row>
    <row r="1783" customHeight="1" spans="1:2">
      <c r="A1783" s="3" t="s">
        <v>15185</v>
      </c>
      <c r="B1783" s="4">
        <v>120</v>
      </c>
    </row>
    <row r="1784" customHeight="1" spans="1:2">
      <c r="A1784" s="3" t="s">
        <v>5186</v>
      </c>
      <c r="B1784" s="4">
        <v>109</v>
      </c>
    </row>
    <row r="1785" customHeight="1" spans="1:2">
      <c r="A1785" s="3" t="s">
        <v>10379</v>
      </c>
      <c r="B1785" s="4">
        <v>132</v>
      </c>
    </row>
    <row r="1786" customHeight="1" spans="1:2">
      <c r="A1786" s="3" t="s">
        <v>12073</v>
      </c>
      <c r="B1786" s="4">
        <v>92</v>
      </c>
    </row>
    <row r="1787" customHeight="1" spans="1:2">
      <c r="A1787" s="3" t="s">
        <v>11592</v>
      </c>
      <c r="B1787" s="4">
        <v>113</v>
      </c>
    </row>
    <row r="1788" customHeight="1" spans="1:2">
      <c r="A1788" s="3" t="s">
        <v>12058</v>
      </c>
      <c r="B1788" s="4">
        <v>114</v>
      </c>
    </row>
    <row r="1789" customHeight="1" spans="1:2">
      <c r="A1789" s="3" t="s">
        <v>10163</v>
      </c>
      <c r="B1789" s="4">
        <v>89</v>
      </c>
    </row>
    <row r="1790" customHeight="1" spans="1:2">
      <c r="A1790" s="3" t="s">
        <v>7800</v>
      </c>
      <c r="B1790" s="4">
        <v>114</v>
      </c>
    </row>
    <row r="1791" customHeight="1" spans="1:2">
      <c r="A1791" s="3" t="s">
        <v>18926</v>
      </c>
      <c r="B1791" s="4">
        <v>93</v>
      </c>
    </row>
    <row r="1792" customHeight="1" spans="1:2">
      <c r="A1792" s="3" t="s">
        <v>10458</v>
      </c>
      <c r="B1792" s="4">
        <v>107</v>
      </c>
    </row>
    <row r="1793" customHeight="1" spans="1:2">
      <c r="A1793" s="3" t="s">
        <v>16695</v>
      </c>
      <c r="B1793" s="4">
        <v>105</v>
      </c>
    </row>
    <row r="1794" customHeight="1" spans="1:2">
      <c r="A1794" s="3" t="s">
        <v>12156</v>
      </c>
      <c r="B1794" s="4">
        <v>99</v>
      </c>
    </row>
    <row r="1795" customHeight="1" spans="1:2">
      <c r="A1795" s="3" t="s">
        <v>13909</v>
      </c>
      <c r="B1795" s="4">
        <v>102</v>
      </c>
    </row>
    <row r="1796" customHeight="1" spans="1:2">
      <c r="A1796" s="3" t="s">
        <v>11905</v>
      </c>
      <c r="B1796" s="4">
        <v>102</v>
      </c>
    </row>
    <row r="1797" customHeight="1" spans="1:2">
      <c r="A1797" s="3" t="s">
        <v>23788</v>
      </c>
      <c r="B1797" s="4">
        <v>86</v>
      </c>
    </row>
    <row r="1798" customHeight="1" spans="1:2">
      <c r="A1798" s="3" t="s">
        <v>6370</v>
      </c>
      <c r="B1798" s="4">
        <v>105</v>
      </c>
    </row>
    <row r="1799" customHeight="1" spans="1:2">
      <c r="A1799" s="3" t="s">
        <v>20870</v>
      </c>
      <c r="B1799" s="4">
        <v>111</v>
      </c>
    </row>
    <row r="1800" customHeight="1" spans="1:2">
      <c r="A1800" s="3" t="s">
        <v>23200</v>
      </c>
      <c r="B1800" s="4">
        <v>75</v>
      </c>
    </row>
    <row r="1801" customHeight="1" spans="1:2">
      <c r="A1801" s="3" t="s">
        <v>21746</v>
      </c>
      <c r="B1801" s="4">
        <v>106</v>
      </c>
    </row>
    <row r="1802" customHeight="1" spans="1:2">
      <c r="A1802" s="3" t="s">
        <v>18108</v>
      </c>
      <c r="B1802" s="4">
        <v>113</v>
      </c>
    </row>
    <row r="1803" customHeight="1" spans="1:2">
      <c r="A1803" s="3" t="s">
        <v>20787</v>
      </c>
      <c r="B1803" s="4">
        <v>105</v>
      </c>
    </row>
    <row r="1804" customHeight="1" spans="1:2">
      <c r="A1804" s="3" t="s">
        <v>3454</v>
      </c>
      <c r="B1804" s="4">
        <v>97</v>
      </c>
    </row>
    <row r="1805" customHeight="1" spans="1:2">
      <c r="A1805" s="3" t="s">
        <v>10112</v>
      </c>
      <c r="B1805" s="4">
        <v>100</v>
      </c>
    </row>
    <row r="1806" customHeight="1" spans="1:2">
      <c r="A1806" s="3" t="s">
        <v>13481</v>
      </c>
      <c r="B1806" s="4">
        <v>94</v>
      </c>
    </row>
    <row r="1807" customHeight="1" spans="1:2">
      <c r="A1807" s="3" t="s">
        <v>20983</v>
      </c>
      <c r="B1807" s="4">
        <v>80</v>
      </c>
    </row>
    <row r="1808" customHeight="1" spans="1:2">
      <c r="A1808" s="3" t="s">
        <v>22879</v>
      </c>
      <c r="B1808" s="4">
        <v>92</v>
      </c>
    </row>
    <row r="1809" customHeight="1" spans="1:2">
      <c r="A1809" s="3" t="s">
        <v>3815</v>
      </c>
      <c r="B1809" s="4">
        <v>92</v>
      </c>
    </row>
    <row r="1810" customHeight="1" spans="1:2">
      <c r="A1810" s="3" t="s">
        <v>1647</v>
      </c>
      <c r="B1810" s="4">
        <v>115</v>
      </c>
    </row>
    <row r="1811" customHeight="1" spans="1:2">
      <c r="A1811" s="3" t="s">
        <v>3637</v>
      </c>
      <c r="B1811" s="4">
        <v>103</v>
      </c>
    </row>
    <row r="1812" customHeight="1" spans="1:2">
      <c r="A1812" s="3" t="s">
        <v>1993</v>
      </c>
      <c r="B1812" s="4">
        <v>88</v>
      </c>
    </row>
    <row r="1813" customHeight="1" spans="1:2">
      <c r="A1813" s="3" t="s">
        <v>2110</v>
      </c>
      <c r="B1813" s="4">
        <v>94</v>
      </c>
    </row>
    <row r="1814" customHeight="1" spans="1:2">
      <c r="A1814" s="3" t="s">
        <v>3015</v>
      </c>
      <c r="B1814" s="4">
        <v>115</v>
      </c>
    </row>
    <row r="1815" customHeight="1" spans="1:2">
      <c r="A1815" s="3" t="s">
        <v>9719</v>
      </c>
      <c r="B1815" s="4">
        <v>98</v>
      </c>
    </row>
    <row r="1816" customHeight="1" spans="1:2">
      <c r="A1816" s="3" t="s">
        <v>19754</v>
      </c>
      <c r="B1816" s="4">
        <v>82</v>
      </c>
    </row>
    <row r="1817" customHeight="1" spans="1:2">
      <c r="A1817" s="3" t="s">
        <v>7288</v>
      </c>
      <c r="B1817" s="4">
        <v>120</v>
      </c>
    </row>
    <row r="1818" customHeight="1" spans="1:2">
      <c r="A1818" s="3" t="s">
        <v>8897</v>
      </c>
      <c r="B1818" s="4">
        <v>91</v>
      </c>
    </row>
    <row r="1819" customHeight="1" spans="1:2">
      <c r="A1819" s="3" t="s">
        <v>19959</v>
      </c>
      <c r="B1819" s="4">
        <v>84</v>
      </c>
    </row>
    <row r="1820" customHeight="1" spans="1:2">
      <c r="A1820" s="3" t="s">
        <v>13159</v>
      </c>
      <c r="B1820" s="4">
        <v>92</v>
      </c>
    </row>
    <row r="1821" customHeight="1" spans="1:2">
      <c r="A1821" s="3" t="s">
        <v>13015</v>
      </c>
      <c r="B1821" s="4">
        <v>121</v>
      </c>
    </row>
    <row r="1822" customHeight="1" spans="1:2">
      <c r="A1822" s="3" t="s">
        <v>14521</v>
      </c>
      <c r="B1822" s="4">
        <v>107</v>
      </c>
    </row>
    <row r="1823" customHeight="1" spans="1:2">
      <c r="A1823" s="3" t="s">
        <v>15693</v>
      </c>
      <c r="B1823" s="4">
        <v>99</v>
      </c>
    </row>
    <row r="1824" customHeight="1" spans="1:2">
      <c r="A1824" s="3" t="s">
        <v>19600</v>
      </c>
      <c r="B1824" s="4">
        <v>97</v>
      </c>
    </row>
    <row r="1825" customHeight="1" spans="1:2">
      <c r="A1825" s="3" t="s">
        <v>15292</v>
      </c>
      <c r="B1825" s="4">
        <v>119</v>
      </c>
    </row>
    <row r="1826" customHeight="1" spans="1:2">
      <c r="A1826" s="3" t="s">
        <v>11378</v>
      </c>
      <c r="B1826" s="4">
        <v>135</v>
      </c>
    </row>
    <row r="1827" customHeight="1" spans="1:2">
      <c r="A1827" s="3" t="s">
        <v>15337</v>
      </c>
      <c r="B1827" s="4">
        <v>111</v>
      </c>
    </row>
    <row r="1828" customHeight="1" spans="1:2">
      <c r="A1828" s="3" t="s">
        <v>16283</v>
      </c>
      <c r="B1828" s="4">
        <v>90</v>
      </c>
    </row>
    <row r="1829" customHeight="1" spans="1:2">
      <c r="A1829" s="3" t="s">
        <v>4797</v>
      </c>
      <c r="B1829" s="4">
        <v>107</v>
      </c>
    </row>
    <row r="1830" customHeight="1" spans="1:2">
      <c r="A1830" s="3" t="s">
        <v>3147</v>
      </c>
      <c r="B1830" s="4">
        <v>110</v>
      </c>
    </row>
    <row r="1831" customHeight="1" spans="1:2">
      <c r="A1831" s="3" t="s">
        <v>20038</v>
      </c>
      <c r="B1831" s="4">
        <v>90</v>
      </c>
    </row>
    <row r="1832" customHeight="1" spans="1:2">
      <c r="A1832" s="3" t="s">
        <v>6821</v>
      </c>
      <c r="B1832" s="4">
        <v>102</v>
      </c>
    </row>
    <row r="1833" customHeight="1" spans="1:2">
      <c r="A1833" s="3" t="s">
        <v>7321</v>
      </c>
      <c r="B1833" s="4">
        <v>90</v>
      </c>
    </row>
    <row r="1834" customHeight="1" spans="1:2">
      <c r="A1834" s="3" t="s">
        <v>13118</v>
      </c>
      <c r="B1834" s="4">
        <v>107</v>
      </c>
    </row>
    <row r="1835" customHeight="1" spans="1:2">
      <c r="A1835" s="3" t="s">
        <v>18900</v>
      </c>
      <c r="B1835" s="4">
        <v>134</v>
      </c>
    </row>
    <row r="1836" customHeight="1" spans="1:2">
      <c r="A1836" s="3" t="s">
        <v>8601</v>
      </c>
      <c r="B1836" s="4">
        <v>100</v>
      </c>
    </row>
    <row r="1837" customHeight="1" spans="1:2">
      <c r="A1837" s="3" t="s">
        <v>9288</v>
      </c>
      <c r="B1837" s="4">
        <v>109</v>
      </c>
    </row>
    <row r="1838" customHeight="1" spans="1:2">
      <c r="A1838" s="3" t="s">
        <v>21875</v>
      </c>
      <c r="B1838" s="4">
        <v>88</v>
      </c>
    </row>
    <row r="1839" customHeight="1" spans="1:2">
      <c r="A1839" s="3" t="s">
        <v>20781</v>
      </c>
      <c r="B1839" s="4">
        <v>138</v>
      </c>
    </row>
    <row r="1840" customHeight="1" spans="1:2">
      <c r="A1840" s="3" t="s">
        <v>23988</v>
      </c>
      <c r="B1840" s="4">
        <v>97</v>
      </c>
    </row>
    <row r="1841" customHeight="1" spans="1:2">
      <c r="A1841" s="3" t="s">
        <v>14299</v>
      </c>
      <c r="B1841" s="4">
        <v>113</v>
      </c>
    </row>
    <row r="1842" customHeight="1" spans="1:2">
      <c r="A1842" s="3" t="s">
        <v>1900</v>
      </c>
      <c r="B1842" s="4">
        <v>122</v>
      </c>
    </row>
    <row r="1843" customHeight="1" spans="1:2">
      <c r="A1843" s="3" t="s">
        <v>20131</v>
      </c>
      <c r="B1843" s="4">
        <v>60</v>
      </c>
    </row>
    <row r="1844" customHeight="1" spans="1:2">
      <c r="A1844" s="3" t="s">
        <v>13886</v>
      </c>
      <c r="B1844" s="4">
        <v>127</v>
      </c>
    </row>
    <row r="1845" customHeight="1" spans="1:2">
      <c r="A1845" s="3" t="s">
        <v>14737</v>
      </c>
      <c r="B1845" s="4">
        <v>97</v>
      </c>
    </row>
    <row r="1846" customHeight="1" spans="1:2">
      <c r="A1846" s="3" t="s">
        <v>4412</v>
      </c>
      <c r="B1846" s="4">
        <v>156</v>
      </c>
    </row>
    <row r="1847" customHeight="1" spans="1:2">
      <c r="A1847" s="3" t="s">
        <v>19030</v>
      </c>
      <c r="B1847" s="4">
        <v>86</v>
      </c>
    </row>
    <row r="1848" customHeight="1" spans="1:2">
      <c r="A1848" s="3" t="s">
        <v>20330</v>
      </c>
      <c r="B1848" s="4">
        <v>100</v>
      </c>
    </row>
    <row r="1849" customHeight="1" spans="1:2">
      <c r="A1849" s="3" t="s">
        <v>10285</v>
      </c>
      <c r="B1849" s="4">
        <v>121</v>
      </c>
    </row>
    <row r="1850" customHeight="1" spans="1:2">
      <c r="A1850" s="3" t="s">
        <v>7420</v>
      </c>
      <c r="B1850" s="4">
        <v>109</v>
      </c>
    </row>
    <row r="1851" customHeight="1" spans="1:2">
      <c r="A1851" s="3" t="s">
        <v>16555</v>
      </c>
      <c r="B1851" s="4">
        <v>95</v>
      </c>
    </row>
    <row r="1852" customHeight="1" spans="1:2">
      <c r="A1852" s="3" t="s">
        <v>16822</v>
      </c>
      <c r="B1852" s="4">
        <v>139</v>
      </c>
    </row>
    <row r="1853" customHeight="1" spans="1:2">
      <c r="A1853" s="3" t="s">
        <v>666</v>
      </c>
      <c r="B1853" s="4">
        <v>148</v>
      </c>
    </row>
    <row r="1854" customHeight="1" spans="1:2">
      <c r="A1854" s="3" t="s">
        <v>5692</v>
      </c>
      <c r="B1854" s="4">
        <v>140</v>
      </c>
    </row>
    <row r="1855" customHeight="1" spans="1:2">
      <c r="A1855" s="3" t="s">
        <v>21121</v>
      </c>
      <c r="B1855" s="4">
        <v>94</v>
      </c>
    </row>
    <row r="1856" customHeight="1" spans="1:2">
      <c r="A1856" s="3" t="s">
        <v>2983</v>
      </c>
      <c r="B1856" s="4">
        <v>154</v>
      </c>
    </row>
    <row r="1857" customHeight="1" spans="1:2">
      <c r="A1857" s="3" t="s">
        <v>637</v>
      </c>
      <c r="B1857" s="4">
        <v>120</v>
      </c>
    </row>
    <row r="1858" customHeight="1" spans="1:2">
      <c r="A1858" s="3" t="s">
        <v>20742</v>
      </c>
      <c r="B1858" s="4">
        <v>90</v>
      </c>
    </row>
    <row r="1859" customHeight="1" spans="1:2">
      <c r="A1859" s="3" t="s">
        <v>394</v>
      </c>
      <c r="B1859" s="4">
        <v>122</v>
      </c>
    </row>
    <row r="1860" customHeight="1" spans="1:2">
      <c r="A1860" s="3" t="s">
        <v>5522</v>
      </c>
      <c r="B1860" s="4">
        <v>127</v>
      </c>
    </row>
    <row r="1861" customHeight="1" spans="1:2">
      <c r="A1861" s="3" t="s">
        <v>8838</v>
      </c>
      <c r="B1861" s="4">
        <v>118</v>
      </c>
    </row>
    <row r="1862" customHeight="1" spans="1:2">
      <c r="A1862" s="3" t="s">
        <v>23740</v>
      </c>
      <c r="B1862" s="4">
        <v>103</v>
      </c>
    </row>
    <row r="1863" customHeight="1" spans="1:2">
      <c r="A1863" s="3" t="s">
        <v>11689</v>
      </c>
      <c r="B1863" s="4">
        <v>110</v>
      </c>
    </row>
    <row r="1864" customHeight="1" spans="1:2">
      <c r="A1864" s="3" t="s">
        <v>18741</v>
      </c>
      <c r="B1864" s="4">
        <v>93</v>
      </c>
    </row>
    <row r="1865" customHeight="1" spans="1:2">
      <c r="A1865" s="3" t="s">
        <v>13869</v>
      </c>
      <c r="B1865" s="4">
        <v>118</v>
      </c>
    </row>
    <row r="1866" customHeight="1" spans="1:2">
      <c r="A1866" s="3" t="s">
        <v>3324</v>
      </c>
      <c r="B1866" s="4">
        <v>153</v>
      </c>
    </row>
    <row r="1867" customHeight="1" spans="1:2">
      <c r="A1867" s="3" t="s">
        <v>11293</v>
      </c>
      <c r="B1867" s="4">
        <v>148</v>
      </c>
    </row>
    <row r="1868" customHeight="1" spans="1:2">
      <c r="A1868" s="3" t="s">
        <v>23276</v>
      </c>
      <c r="B1868" s="4">
        <v>107</v>
      </c>
    </row>
    <row r="1869" customHeight="1" spans="1:2">
      <c r="A1869" s="3" t="s">
        <v>4395</v>
      </c>
      <c r="B1869" s="4">
        <v>106</v>
      </c>
    </row>
    <row r="1870" customHeight="1" spans="1:2">
      <c r="A1870" s="3" t="s">
        <v>20339</v>
      </c>
      <c r="B1870" s="4">
        <v>89</v>
      </c>
    </row>
    <row r="1871" customHeight="1" spans="1:2">
      <c r="A1871" s="3" t="s">
        <v>20257</v>
      </c>
      <c r="B1871" s="4">
        <v>105</v>
      </c>
    </row>
    <row r="1872" customHeight="1" spans="1:2">
      <c r="A1872" s="3" t="s">
        <v>14649</v>
      </c>
      <c r="B1872" s="4">
        <v>104</v>
      </c>
    </row>
    <row r="1873" customHeight="1" spans="1:2">
      <c r="A1873" s="3" t="s">
        <v>5079</v>
      </c>
      <c r="B1873" s="4">
        <v>129</v>
      </c>
    </row>
    <row r="1874" customHeight="1" spans="1:2">
      <c r="A1874" s="3" t="s">
        <v>545</v>
      </c>
      <c r="B1874" s="4">
        <v>95</v>
      </c>
    </row>
    <row r="1875" customHeight="1" spans="1:2">
      <c r="A1875" s="3" t="s">
        <v>20929</v>
      </c>
      <c r="B1875" s="4">
        <v>103</v>
      </c>
    </row>
    <row r="1876" customHeight="1" spans="1:2">
      <c r="A1876" s="3" t="s">
        <v>17522</v>
      </c>
      <c r="B1876" s="4">
        <v>106</v>
      </c>
    </row>
    <row r="1877" customHeight="1" spans="1:2">
      <c r="A1877" s="3" t="s">
        <v>14882</v>
      </c>
      <c r="B1877" s="4">
        <v>97</v>
      </c>
    </row>
    <row r="1878" customHeight="1" spans="1:2">
      <c r="A1878" s="3" t="s">
        <v>22686</v>
      </c>
      <c r="B1878" s="4">
        <v>127</v>
      </c>
    </row>
    <row r="1879" customHeight="1" spans="1:2">
      <c r="A1879" s="3" t="s">
        <v>5662</v>
      </c>
      <c r="B1879" s="4">
        <v>118</v>
      </c>
    </row>
    <row r="1880" customHeight="1" spans="1:2">
      <c r="A1880" s="3" t="s">
        <v>3038</v>
      </c>
      <c r="B1880" s="4">
        <v>110</v>
      </c>
    </row>
    <row r="1881" customHeight="1" spans="1:2">
      <c r="A1881" s="3" t="s">
        <v>4741</v>
      </c>
      <c r="B1881" s="4">
        <v>126</v>
      </c>
    </row>
    <row r="1882" customHeight="1" spans="1:2">
      <c r="A1882" s="3" t="s">
        <v>17561</v>
      </c>
      <c r="B1882" s="4">
        <v>115</v>
      </c>
    </row>
    <row r="1883" customHeight="1" spans="1:2">
      <c r="A1883" s="3" t="s">
        <v>1541</v>
      </c>
      <c r="B1883" s="4">
        <v>119</v>
      </c>
    </row>
    <row r="1884" customHeight="1" spans="1:2">
      <c r="A1884" s="3" t="s">
        <v>663</v>
      </c>
      <c r="B1884" s="4">
        <v>169</v>
      </c>
    </row>
    <row r="1885" customHeight="1" spans="1:2">
      <c r="A1885" s="3" t="s">
        <v>22269</v>
      </c>
      <c r="B1885" s="4">
        <v>88</v>
      </c>
    </row>
    <row r="1886" customHeight="1" spans="1:2">
      <c r="A1886" s="3" t="s">
        <v>5053</v>
      </c>
      <c r="B1886" s="4">
        <v>123</v>
      </c>
    </row>
    <row r="1887" customHeight="1" spans="1:2">
      <c r="A1887" s="3" t="s">
        <v>5410</v>
      </c>
      <c r="B1887" s="4">
        <v>110</v>
      </c>
    </row>
    <row r="1888" customHeight="1" spans="1:2">
      <c r="A1888" s="3" t="s">
        <v>15566</v>
      </c>
      <c r="B1888" s="4">
        <v>94</v>
      </c>
    </row>
    <row r="1889" customHeight="1" spans="1:2">
      <c r="A1889" s="3" t="s">
        <v>5243</v>
      </c>
      <c r="B1889" s="4">
        <v>89</v>
      </c>
    </row>
    <row r="1890" customHeight="1" spans="1:2">
      <c r="A1890" s="3" t="s">
        <v>11071</v>
      </c>
      <c r="B1890" s="4">
        <v>148</v>
      </c>
    </row>
    <row r="1891" customHeight="1" spans="1:2">
      <c r="A1891" s="3" t="s">
        <v>5074</v>
      </c>
      <c r="B1891" s="4">
        <v>125</v>
      </c>
    </row>
    <row r="1892" customHeight="1" spans="1:2">
      <c r="A1892" s="3" t="s">
        <v>4265</v>
      </c>
      <c r="B1892" s="4">
        <v>100</v>
      </c>
    </row>
    <row r="1893" customHeight="1" spans="1:2">
      <c r="A1893" s="3" t="s">
        <v>22935</v>
      </c>
      <c r="B1893" s="4">
        <v>123</v>
      </c>
    </row>
    <row r="1894" customHeight="1" spans="1:2">
      <c r="A1894" s="3" t="s">
        <v>14578</v>
      </c>
      <c r="B1894" s="4">
        <v>100</v>
      </c>
    </row>
    <row r="1895" customHeight="1" spans="1:2">
      <c r="A1895" s="3" t="s">
        <v>14968</v>
      </c>
      <c r="B1895" s="4">
        <v>107</v>
      </c>
    </row>
    <row r="1896" customHeight="1" spans="1:2">
      <c r="A1896" s="3" t="s">
        <v>4227</v>
      </c>
      <c r="B1896" s="4">
        <v>134</v>
      </c>
    </row>
    <row r="1897" customHeight="1" spans="1:2">
      <c r="A1897" s="3" t="s">
        <v>7239</v>
      </c>
      <c r="B1897" s="4">
        <v>105</v>
      </c>
    </row>
    <row r="1898" customHeight="1" spans="1:2">
      <c r="A1898" s="3" t="s">
        <v>18981</v>
      </c>
      <c r="B1898" s="4">
        <v>101</v>
      </c>
    </row>
    <row r="1899" customHeight="1" spans="1:2">
      <c r="A1899" s="3" t="s">
        <v>22236</v>
      </c>
      <c r="B1899" s="4">
        <v>75</v>
      </c>
    </row>
    <row r="1900" customHeight="1" spans="1:2">
      <c r="A1900" s="3" t="s">
        <v>17410</v>
      </c>
      <c r="B1900" s="4">
        <v>91</v>
      </c>
    </row>
    <row r="1901" customHeight="1" spans="1:2">
      <c r="A1901" s="3" t="s">
        <v>554</v>
      </c>
      <c r="B1901" s="4">
        <v>124</v>
      </c>
    </row>
    <row r="1902" customHeight="1" spans="1:2">
      <c r="A1902" s="3" t="s">
        <v>253</v>
      </c>
      <c r="B1902" s="4">
        <v>195</v>
      </c>
    </row>
    <row r="1903" customHeight="1" spans="1:2">
      <c r="A1903" s="3" t="s">
        <v>485</v>
      </c>
      <c r="B1903" s="4">
        <v>126</v>
      </c>
    </row>
    <row r="1904" customHeight="1" spans="1:2">
      <c r="A1904" s="3" t="s">
        <v>10055</v>
      </c>
      <c r="B1904" s="4">
        <v>121</v>
      </c>
    </row>
    <row r="1905" customHeight="1" spans="1:2">
      <c r="A1905" s="3" t="s">
        <v>22447</v>
      </c>
      <c r="B1905" s="4">
        <v>102</v>
      </c>
    </row>
    <row r="1906" customHeight="1" spans="1:2">
      <c r="A1906" s="3" t="s">
        <v>17454</v>
      </c>
      <c r="B1906" s="4">
        <v>99</v>
      </c>
    </row>
    <row r="1907" customHeight="1" spans="1:2">
      <c r="A1907" s="3" t="s">
        <v>6747</v>
      </c>
      <c r="B1907" s="4">
        <v>107</v>
      </c>
    </row>
    <row r="1908" customHeight="1" spans="1:2">
      <c r="A1908" s="3" t="s">
        <v>7220</v>
      </c>
      <c r="B1908" s="4">
        <v>95</v>
      </c>
    </row>
    <row r="1909" customHeight="1" spans="1:2">
      <c r="A1909" s="3" t="s">
        <v>20143</v>
      </c>
      <c r="B1909" s="4">
        <v>100</v>
      </c>
    </row>
    <row r="1910" customHeight="1" spans="1:2">
      <c r="A1910" s="3" t="s">
        <v>23006</v>
      </c>
      <c r="B1910" s="4">
        <v>65</v>
      </c>
    </row>
    <row r="1911" customHeight="1" spans="1:2">
      <c r="A1911" s="3" t="s">
        <v>15540</v>
      </c>
      <c r="B1911" s="4">
        <v>197</v>
      </c>
    </row>
    <row r="1912" customHeight="1" spans="1:2">
      <c r="A1912" s="3" t="s">
        <v>15471</v>
      </c>
      <c r="B1912" s="4">
        <v>100</v>
      </c>
    </row>
    <row r="1913" customHeight="1" spans="1:2">
      <c r="A1913" s="3" t="s">
        <v>19171</v>
      </c>
      <c r="B1913" s="4">
        <v>118</v>
      </c>
    </row>
    <row r="1914" customHeight="1" spans="1:2">
      <c r="A1914" s="3" t="s">
        <v>20390</v>
      </c>
      <c r="B1914" s="4">
        <v>90</v>
      </c>
    </row>
    <row r="1915" customHeight="1" spans="1:2">
      <c r="A1915" s="3" t="s">
        <v>9256</v>
      </c>
      <c r="B1915" s="4">
        <v>22</v>
      </c>
    </row>
    <row r="1916" customHeight="1" spans="1:2">
      <c r="A1916" s="3" t="s">
        <v>2380</v>
      </c>
      <c r="B1916" s="4">
        <v>120</v>
      </c>
    </row>
    <row r="1917" customHeight="1" spans="1:2">
      <c r="A1917" s="3" t="s">
        <v>16163</v>
      </c>
      <c r="B1917" s="4">
        <v>101</v>
      </c>
    </row>
    <row r="1918" customHeight="1" spans="1:2">
      <c r="A1918" s="3" t="s">
        <v>7478</v>
      </c>
      <c r="B1918" s="4">
        <v>137</v>
      </c>
    </row>
    <row r="1919" customHeight="1" spans="1:2">
      <c r="A1919" s="3" t="s">
        <v>15588</v>
      </c>
      <c r="B1919" s="4">
        <v>176</v>
      </c>
    </row>
    <row r="1920" customHeight="1" spans="1:2">
      <c r="A1920" s="3" t="s">
        <v>2941</v>
      </c>
      <c r="B1920" s="4">
        <v>91</v>
      </c>
    </row>
    <row r="1921" customHeight="1" spans="1:2">
      <c r="A1921" s="3" t="s">
        <v>20066</v>
      </c>
      <c r="B1921" s="4">
        <v>90</v>
      </c>
    </row>
    <row r="1922" customHeight="1" spans="1:2">
      <c r="A1922" s="3" t="s">
        <v>4060</v>
      </c>
      <c r="B1922" s="4">
        <v>260</v>
      </c>
    </row>
    <row r="1923" customHeight="1" spans="1:2">
      <c r="A1923" s="3" t="s">
        <v>4164</v>
      </c>
      <c r="B1923" s="4">
        <v>105</v>
      </c>
    </row>
    <row r="1924" customHeight="1" spans="1:2">
      <c r="A1924" s="3" t="s">
        <v>362</v>
      </c>
      <c r="B1924" s="4">
        <v>114</v>
      </c>
    </row>
    <row r="1925" customHeight="1" spans="1:2">
      <c r="A1925" s="3" t="s">
        <v>10671</v>
      </c>
      <c r="B1925" s="4">
        <v>101</v>
      </c>
    </row>
    <row r="1926" customHeight="1" spans="1:2">
      <c r="A1926" s="3" t="s">
        <v>14512</v>
      </c>
      <c r="B1926" s="4">
        <v>92</v>
      </c>
    </row>
    <row r="1927" customHeight="1" spans="1:2">
      <c r="A1927" s="3" t="s">
        <v>17535</v>
      </c>
      <c r="B1927" s="4">
        <v>87</v>
      </c>
    </row>
    <row r="1928" customHeight="1" spans="1:2">
      <c r="A1928" s="3" t="s">
        <v>14068</v>
      </c>
      <c r="B1928" s="4">
        <v>154</v>
      </c>
    </row>
    <row r="1929" customHeight="1" spans="1:2">
      <c r="A1929" s="3" t="s">
        <v>5457</v>
      </c>
      <c r="B1929" s="4">
        <v>107</v>
      </c>
    </row>
    <row r="1930" customHeight="1" spans="1:2">
      <c r="A1930" s="3" t="s">
        <v>13151</v>
      </c>
      <c r="B1930" s="4">
        <v>120</v>
      </c>
    </row>
    <row r="1931" customHeight="1" spans="1:2">
      <c r="A1931" s="3" t="s">
        <v>10090</v>
      </c>
      <c r="B1931" s="4">
        <v>98</v>
      </c>
    </row>
    <row r="1932" customHeight="1" spans="1:2">
      <c r="A1932" s="3" t="s">
        <v>3250</v>
      </c>
      <c r="B1932" s="4">
        <v>125</v>
      </c>
    </row>
    <row r="1933" customHeight="1" spans="1:2">
      <c r="A1933" s="3" t="s">
        <v>1372</v>
      </c>
      <c r="B1933" s="4">
        <v>123</v>
      </c>
    </row>
    <row r="1934" customHeight="1" spans="1:2">
      <c r="A1934" s="3" t="s">
        <v>19267</v>
      </c>
      <c r="B1934" s="4">
        <v>91</v>
      </c>
    </row>
    <row r="1935" customHeight="1" spans="1:2">
      <c r="A1935" s="3" t="s">
        <v>19244</v>
      </c>
      <c r="B1935" s="4">
        <v>86</v>
      </c>
    </row>
    <row r="1936" customHeight="1" spans="1:2">
      <c r="A1936" s="3" t="s">
        <v>13487</v>
      </c>
      <c r="B1936" s="4">
        <v>85</v>
      </c>
    </row>
    <row r="1937" customHeight="1" spans="1:2">
      <c r="A1937" s="3" t="s">
        <v>19405</v>
      </c>
      <c r="B1937" s="4">
        <v>87</v>
      </c>
    </row>
    <row r="1938" customHeight="1" spans="1:2">
      <c r="A1938" s="3" t="s">
        <v>10677</v>
      </c>
      <c r="B1938" s="4">
        <v>131</v>
      </c>
    </row>
    <row r="1939" customHeight="1" spans="1:2">
      <c r="A1939" s="3" t="s">
        <v>14012</v>
      </c>
      <c r="B1939" s="4">
        <v>130</v>
      </c>
    </row>
    <row r="1940" customHeight="1" spans="1:2">
      <c r="A1940" s="3" t="s">
        <v>10263</v>
      </c>
      <c r="B1940" s="4">
        <v>92</v>
      </c>
    </row>
    <row r="1941" customHeight="1" spans="1:2">
      <c r="A1941" s="3" t="s">
        <v>10433</v>
      </c>
      <c r="B1941" s="4">
        <v>104</v>
      </c>
    </row>
    <row r="1942" customHeight="1" spans="1:2">
      <c r="A1942" s="3" t="s">
        <v>9614</v>
      </c>
      <c r="B1942" s="4">
        <v>104</v>
      </c>
    </row>
    <row r="1943" customHeight="1" spans="1:2">
      <c r="A1943" s="3" t="s">
        <v>14837</v>
      </c>
      <c r="B1943" s="4">
        <v>90</v>
      </c>
    </row>
    <row r="1944" customHeight="1" spans="1:2">
      <c r="A1944" s="3" t="s">
        <v>15178</v>
      </c>
      <c r="B1944" s="4">
        <v>83</v>
      </c>
    </row>
    <row r="1945" customHeight="1" spans="1:2">
      <c r="A1945" s="3" t="s">
        <v>13537</v>
      </c>
      <c r="B1945" s="4">
        <v>139</v>
      </c>
    </row>
    <row r="1946" customHeight="1" spans="1:2">
      <c r="A1946" s="3" t="s">
        <v>17883</v>
      </c>
      <c r="B1946" s="4">
        <v>87</v>
      </c>
    </row>
    <row r="1947" customHeight="1" spans="1:2">
      <c r="A1947" s="3" t="s">
        <v>12486</v>
      </c>
      <c r="B1947" s="4">
        <v>107</v>
      </c>
    </row>
    <row r="1948" customHeight="1" spans="1:2">
      <c r="A1948" s="3" t="s">
        <v>5012</v>
      </c>
      <c r="B1948" s="4">
        <v>139</v>
      </c>
    </row>
    <row r="1949" customHeight="1" spans="1:2">
      <c r="A1949" s="3" t="s">
        <v>6511</v>
      </c>
      <c r="B1949" s="4">
        <v>134</v>
      </c>
    </row>
    <row r="1950" customHeight="1" spans="1:2">
      <c r="A1950" s="3" t="s">
        <v>7510</v>
      </c>
      <c r="B1950" s="4">
        <v>102</v>
      </c>
    </row>
    <row r="1951" customHeight="1" spans="1:2">
      <c r="A1951" s="3" t="s">
        <v>22022</v>
      </c>
      <c r="B1951" s="4">
        <v>30</v>
      </c>
    </row>
    <row r="1952" customHeight="1" spans="1:2">
      <c r="A1952" s="3" t="s">
        <v>23291</v>
      </c>
      <c r="B1952" s="4">
        <v>35</v>
      </c>
    </row>
    <row r="1953" customHeight="1" spans="1:2">
      <c r="A1953" s="3" t="s">
        <v>19855</v>
      </c>
      <c r="B1953" s="4">
        <v>107</v>
      </c>
    </row>
    <row r="1954" customHeight="1" spans="1:2">
      <c r="A1954" s="3" t="s">
        <v>6380</v>
      </c>
      <c r="B1954" s="4">
        <v>206</v>
      </c>
    </row>
    <row r="1955" customHeight="1" spans="1:2">
      <c r="A1955" s="3" t="s">
        <v>21911</v>
      </c>
      <c r="B1955" s="4">
        <v>99</v>
      </c>
    </row>
    <row r="1956" customHeight="1" spans="1:2">
      <c r="A1956" s="3" t="s">
        <v>9436</v>
      </c>
      <c r="B1956" s="4">
        <v>82</v>
      </c>
    </row>
    <row r="1957" customHeight="1" spans="1:2">
      <c r="A1957" s="3" t="s">
        <v>14702</v>
      </c>
      <c r="B1957" s="4">
        <v>118</v>
      </c>
    </row>
    <row r="1958" customHeight="1" spans="1:2">
      <c r="A1958" s="3" t="s">
        <v>4111</v>
      </c>
      <c r="B1958" s="4">
        <v>94</v>
      </c>
    </row>
    <row r="1959" customHeight="1" spans="1:2">
      <c r="A1959" s="3" t="s">
        <v>12446</v>
      </c>
      <c r="B1959" s="4">
        <v>91</v>
      </c>
    </row>
    <row r="1960" customHeight="1" spans="1:2">
      <c r="A1960" s="3" t="s">
        <v>7022</v>
      </c>
      <c r="B1960" s="4">
        <v>98</v>
      </c>
    </row>
    <row r="1961" customHeight="1" spans="1:2">
      <c r="A1961" s="3" t="s">
        <v>18639</v>
      </c>
      <c r="B1961" s="4">
        <v>117</v>
      </c>
    </row>
    <row r="1962" customHeight="1" spans="1:2">
      <c r="A1962" s="3" t="s">
        <v>77</v>
      </c>
      <c r="B1962" s="4">
        <v>132</v>
      </c>
    </row>
    <row r="1963" customHeight="1" spans="1:2">
      <c r="A1963" s="3" t="s">
        <v>7153</v>
      </c>
      <c r="B1963" s="4">
        <v>116</v>
      </c>
    </row>
    <row r="1964" customHeight="1" spans="1:2">
      <c r="A1964" s="3" t="s">
        <v>5995</v>
      </c>
      <c r="B1964" s="4">
        <v>101</v>
      </c>
    </row>
    <row r="1965" customHeight="1" spans="1:2">
      <c r="A1965" s="3" t="s">
        <v>5871</v>
      </c>
      <c r="B1965" s="4">
        <v>87</v>
      </c>
    </row>
    <row r="1966" customHeight="1" spans="1:2">
      <c r="A1966" s="3" t="s">
        <v>22622</v>
      </c>
      <c r="B1966" s="4">
        <v>97</v>
      </c>
    </row>
    <row r="1967" customHeight="1" spans="1:2">
      <c r="A1967" s="3" t="s">
        <v>14118</v>
      </c>
      <c r="B1967" s="4">
        <v>97</v>
      </c>
    </row>
    <row r="1968" customHeight="1" spans="1:2">
      <c r="A1968" s="3" t="s">
        <v>5672</v>
      </c>
      <c r="B1968" s="4">
        <v>81</v>
      </c>
    </row>
    <row r="1969" customHeight="1" spans="1:2">
      <c r="A1969" s="3" t="s">
        <v>13425</v>
      </c>
      <c r="B1969" s="4">
        <v>82</v>
      </c>
    </row>
    <row r="1970" customHeight="1" spans="1:2">
      <c r="A1970" s="3" t="s">
        <v>10448</v>
      </c>
      <c r="B1970" s="4">
        <v>98</v>
      </c>
    </row>
    <row r="1971" customHeight="1" spans="1:2">
      <c r="A1971" s="3" t="s">
        <v>2924</v>
      </c>
      <c r="B1971" s="4">
        <v>94</v>
      </c>
    </row>
    <row r="1972" customHeight="1" spans="1:2">
      <c r="A1972" s="3" t="s">
        <v>21175</v>
      </c>
      <c r="B1972" s="4">
        <v>135</v>
      </c>
    </row>
    <row r="1973" customHeight="1" spans="1:2">
      <c r="A1973" s="3" t="s">
        <v>19721</v>
      </c>
      <c r="B1973" s="4">
        <v>90</v>
      </c>
    </row>
    <row r="1974" customHeight="1" spans="1:2">
      <c r="A1974" s="3" t="s">
        <v>5719</v>
      </c>
      <c r="B1974" s="4">
        <v>93</v>
      </c>
    </row>
    <row r="1975" customHeight="1" spans="1:2">
      <c r="A1975" s="3" t="s">
        <v>10238</v>
      </c>
      <c r="B1975" s="4">
        <v>97</v>
      </c>
    </row>
    <row r="1976" customHeight="1" spans="1:2">
      <c r="A1976" s="3" t="s">
        <v>4169</v>
      </c>
      <c r="B1976" s="4">
        <v>124</v>
      </c>
    </row>
    <row r="1977" customHeight="1" spans="1:2">
      <c r="A1977" s="3" t="s">
        <v>10495</v>
      </c>
      <c r="B1977" s="4">
        <v>116</v>
      </c>
    </row>
    <row r="1978" customHeight="1" spans="1:2">
      <c r="A1978" s="3" t="s">
        <v>9113</v>
      </c>
      <c r="B1978" s="4">
        <v>118</v>
      </c>
    </row>
    <row r="1979" customHeight="1" spans="1:2">
      <c r="A1979" s="3" t="s">
        <v>19298</v>
      </c>
      <c r="B1979" s="4">
        <v>186</v>
      </c>
    </row>
    <row r="1980" customHeight="1" spans="1:2">
      <c r="A1980" s="3" t="s">
        <v>17252</v>
      </c>
      <c r="B1980" s="4">
        <v>117</v>
      </c>
    </row>
    <row r="1981" customHeight="1" spans="1:2">
      <c r="A1981" s="3" t="s">
        <v>6328</v>
      </c>
      <c r="B1981" s="4">
        <v>123</v>
      </c>
    </row>
    <row r="1982" customHeight="1" spans="1:2">
      <c r="A1982" s="3" t="s">
        <v>22472</v>
      </c>
      <c r="B1982" s="4">
        <v>83</v>
      </c>
    </row>
    <row r="1983" customHeight="1" spans="1:2">
      <c r="A1983" s="3" t="s">
        <v>2509</v>
      </c>
      <c r="B1983" s="4">
        <v>88</v>
      </c>
    </row>
    <row r="1984" customHeight="1" spans="1:2">
      <c r="A1984" s="3" t="s">
        <v>16493</v>
      </c>
      <c r="B1984" s="4">
        <v>112</v>
      </c>
    </row>
    <row r="1985" customHeight="1" spans="1:2">
      <c r="A1985" s="3" t="s">
        <v>15455</v>
      </c>
      <c r="B1985" s="4">
        <v>85</v>
      </c>
    </row>
    <row r="1986" customHeight="1" spans="1:2">
      <c r="A1986" s="3" t="s">
        <v>16441</v>
      </c>
      <c r="B1986" s="4">
        <v>192</v>
      </c>
    </row>
    <row r="1987" customHeight="1" spans="1:2">
      <c r="A1987" s="3" t="s">
        <v>447</v>
      </c>
      <c r="B1987" s="4">
        <v>127</v>
      </c>
    </row>
    <row r="1988" customHeight="1" spans="1:2">
      <c r="A1988" s="3" t="s">
        <v>2035</v>
      </c>
      <c r="B1988" s="4">
        <v>92</v>
      </c>
    </row>
    <row r="1989" customHeight="1" spans="1:2">
      <c r="A1989" s="3" t="s">
        <v>3862</v>
      </c>
      <c r="B1989" s="4">
        <v>127</v>
      </c>
    </row>
    <row r="1990" customHeight="1" spans="1:2">
      <c r="A1990" s="3" t="s">
        <v>238</v>
      </c>
      <c r="B1990" s="4">
        <v>124</v>
      </c>
    </row>
    <row r="1991" customHeight="1" spans="1:2">
      <c r="A1991" s="3" t="s">
        <v>2626</v>
      </c>
      <c r="B1991" s="4">
        <v>117</v>
      </c>
    </row>
    <row r="1992" customHeight="1" spans="1:2">
      <c r="A1992" s="3" t="s">
        <v>4464</v>
      </c>
      <c r="B1992" s="4">
        <v>95</v>
      </c>
    </row>
    <row r="1993" customHeight="1" spans="1:2">
      <c r="A1993" s="3" t="s">
        <v>19518</v>
      </c>
      <c r="B1993" s="4">
        <v>97</v>
      </c>
    </row>
    <row r="1994" customHeight="1" spans="1:2">
      <c r="A1994" s="3" t="s">
        <v>11607</v>
      </c>
      <c r="B1994" s="4">
        <v>95</v>
      </c>
    </row>
    <row r="1995" customHeight="1" spans="1:2">
      <c r="A1995" s="3" t="s">
        <v>8990</v>
      </c>
      <c r="B1995" s="4">
        <v>103</v>
      </c>
    </row>
    <row r="1996" customHeight="1" spans="1:2">
      <c r="A1996" s="3" t="s">
        <v>6832</v>
      </c>
      <c r="B1996" s="4">
        <v>84</v>
      </c>
    </row>
    <row r="1997" customHeight="1" spans="1:2">
      <c r="A1997" s="3" t="s">
        <v>14219</v>
      </c>
      <c r="B1997" s="4">
        <v>100</v>
      </c>
    </row>
    <row r="1998" customHeight="1" spans="1:2">
      <c r="A1998" s="3" t="s">
        <v>13650</v>
      </c>
      <c r="B1998" s="4">
        <v>115</v>
      </c>
    </row>
    <row r="1999" customHeight="1" spans="1:2">
      <c r="A1999" s="3" t="s">
        <v>12608</v>
      </c>
      <c r="B1999" s="4">
        <v>91</v>
      </c>
    </row>
    <row r="2000" customHeight="1" spans="1:2">
      <c r="A2000" s="3" t="s">
        <v>2275</v>
      </c>
      <c r="B2000" s="4">
        <v>138</v>
      </c>
    </row>
    <row r="2001" customHeight="1" spans="1:2">
      <c r="A2001" s="3" t="s">
        <v>14709</v>
      </c>
      <c r="B2001" s="4">
        <v>193</v>
      </c>
    </row>
    <row r="2002" customHeight="1" spans="1:2">
      <c r="A2002" s="3" t="s">
        <v>19369</v>
      </c>
      <c r="B2002" s="4">
        <v>109</v>
      </c>
    </row>
    <row r="2003" customHeight="1" spans="1:2">
      <c r="A2003" s="3" t="s">
        <v>4084</v>
      </c>
      <c r="B2003" s="4">
        <v>89</v>
      </c>
    </row>
    <row r="2004" customHeight="1" spans="1:2">
      <c r="A2004" s="3" t="s">
        <v>11684</v>
      </c>
      <c r="B2004" s="4">
        <v>116</v>
      </c>
    </row>
    <row r="2005" customHeight="1" spans="1:2">
      <c r="A2005" s="3" t="s">
        <v>21893</v>
      </c>
      <c r="B2005" s="4"/>
    </row>
    <row r="2006" customHeight="1" spans="1:2">
      <c r="A2006" s="3" t="s">
        <v>5573</v>
      </c>
      <c r="B2006" s="4">
        <v>123</v>
      </c>
    </row>
    <row r="2007" customHeight="1" spans="1:2">
      <c r="A2007" s="3" t="s">
        <v>14137</v>
      </c>
      <c r="B2007" s="4">
        <v>93</v>
      </c>
    </row>
    <row r="2008" customHeight="1" spans="1:2">
      <c r="A2008" s="3" t="s">
        <v>12947</v>
      </c>
      <c r="B2008" s="4">
        <v>100</v>
      </c>
    </row>
    <row r="2009" customHeight="1" spans="1:2">
      <c r="A2009" s="3" t="s">
        <v>8784</v>
      </c>
      <c r="B2009" s="4">
        <v>128</v>
      </c>
    </row>
    <row r="2010" customHeight="1" spans="1:2">
      <c r="A2010" s="3" t="s">
        <v>17855</v>
      </c>
      <c r="B2010" s="4">
        <v>90</v>
      </c>
    </row>
    <row r="2011" customHeight="1" spans="1:2">
      <c r="A2011" s="3" t="s">
        <v>22249</v>
      </c>
      <c r="B2011" s="4">
        <v>89</v>
      </c>
    </row>
    <row r="2012" customHeight="1" spans="1:2">
      <c r="A2012" s="3" t="s">
        <v>19830</v>
      </c>
      <c r="B2012" s="4">
        <v>75</v>
      </c>
    </row>
    <row r="2013" customHeight="1" spans="1:2">
      <c r="A2013" s="3" t="s">
        <v>17368</v>
      </c>
      <c r="B2013" s="4">
        <v>141</v>
      </c>
    </row>
    <row r="2014" customHeight="1" spans="1:2">
      <c r="A2014" s="3" t="s">
        <v>13292</v>
      </c>
      <c r="B2014" s="4">
        <v>85</v>
      </c>
    </row>
    <row r="2015" customHeight="1" spans="1:2">
      <c r="A2015" s="3" t="s">
        <v>9034</v>
      </c>
      <c r="B2015" s="4">
        <v>103</v>
      </c>
    </row>
    <row r="2016" customHeight="1" spans="1:2">
      <c r="A2016" s="3" t="s">
        <v>8939</v>
      </c>
      <c r="B2016" s="4">
        <v>117</v>
      </c>
    </row>
    <row r="2017" customHeight="1" spans="1:2">
      <c r="A2017" s="3" t="s">
        <v>20913</v>
      </c>
      <c r="B2017" s="4">
        <v>90</v>
      </c>
    </row>
    <row r="2018" customHeight="1" spans="1:2">
      <c r="A2018" s="3" t="s">
        <v>5823</v>
      </c>
      <c r="B2018" s="4">
        <v>95</v>
      </c>
    </row>
    <row r="2019" customHeight="1" spans="1:2">
      <c r="A2019" s="3" t="s">
        <v>16041</v>
      </c>
      <c r="B2019" s="4">
        <v>80</v>
      </c>
    </row>
    <row r="2020" customHeight="1" spans="1:2">
      <c r="A2020" s="3" t="s">
        <v>20895</v>
      </c>
      <c r="B2020" s="4">
        <v>91</v>
      </c>
    </row>
    <row r="2021" customHeight="1" spans="1:2">
      <c r="A2021" s="3" t="s">
        <v>4649</v>
      </c>
      <c r="B2021" s="4">
        <v>111</v>
      </c>
    </row>
    <row r="2022" customHeight="1" spans="1:2">
      <c r="A2022" s="3" t="s">
        <v>4663</v>
      </c>
      <c r="B2022" s="4">
        <v>137</v>
      </c>
    </row>
    <row r="2023" customHeight="1" spans="1:2">
      <c r="A2023" s="3" t="s">
        <v>22253</v>
      </c>
      <c r="B2023" s="4">
        <v>95</v>
      </c>
    </row>
    <row r="2024" customHeight="1" spans="1:2">
      <c r="A2024" s="3" t="s">
        <v>17912</v>
      </c>
      <c r="B2024" s="4">
        <v>112</v>
      </c>
    </row>
    <row r="2025" customHeight="1" spans="1:2">
      <c r="A2025" s="3" t="s">
        <v>3477</v>
      </c>
      <c r="B2025" s="4">
        <v>116</v>
      </c>
    </row>
    <row r="2026" customHeight="1" spans="1:2">
      <c r="A2026" s="3" t="s">
        <v>15270</v>
      </c>
      <c r="B2026" s="4">
        <v>98</v>
      </c>
    </row>
    <row r="2027" customHeight="1" spans="1:2">
      <c r="A2027" s="3" t="s">
        <v>3106</v>
      </c>
      <c r="B2027" s="4">
        <v>100</v>
      </c>
    </row>
    <row r="2028" customHeight="1" spans="1:2">
      <c r="A2028" s="3" t="s">
        <v>12982</v>
      </c>
      <c r="B2028" s="4">
        <v>97</v>
      </c>
    </row>
    <row r="2029" customHeight="1" spans="1:2">
      <c r="A2029" s="3" t="s">
        <v>20961</v>
      </c>
      <c r="B2029" s="4">
        <v>99</v>
      </c>
    </row>
    <row r="2030" customHeight="1" spans="1:2">
      <c r="A2030" s="3" t="s">
        <v>9237</v>
      </c>
      <c r="B2030" s="4">
        <v>111</v>
      </c>
    </row>
    <row r="2031" customHeight="1" spans="1:2">
      <c r="A2031" s="3" t="s">
        <v>211</v>
      </c>
      <c r="B2031" s="4">
        <v>603</v>
      </c>
    </row>
    <row r="2032" customHeight="1" spans="1:2">
      <c r="A2032" s="3" t="s">
        <v>1651</v>
      </c>
      <c r="B2032" s="4">
        <v>194</v>
      </c>
    </row>
    <row r="2033" customHeight="1" spans="1:2">
      <c r="A2033" s="3" t="s">
        <v>22511</v>
      </c>
      <c r="B2033" s="4">
        <v>97</v>
      </c>
    </row>
    <row r="2034" customHeight="1" spans="1:2">
      <c r="A2034" s="3" t="s">
        <v>9703</v>
      </c>
      <c r="B2034" s="4">
        <v>117</v>
      </c>
    </row>
    <row r="2035" customHeight="1" spans="1:2">
      <c r="A2035" s="3" t="s">
        <v>9976</v>
      </c>
      <c r="B2035" s="4">
        <v>95</v>
      </c>
    </row>
    <row r="2036" customHeight="1" spans="1:2">
      <c r="A2036" s="3" t="s">
        <v>14616</v>
      </c>
      <c r="B2036" s="4">
        <v>118</v>
      </c>
    </row>
    <row r="2037" customHeight="1" spans="1:2">
      <c r="A2037" s="3" t="s">
        <v>13155</v>
      </c>
      <c r="B2037" s="4">
        <v>103</v>
      </c>
    </row>
    <row r="2038" customHeight="1" spans="1:2">
      <c r="A2038" s="3" t="s">
        <v>6729</v>
      </c>
      <c r="B2038" s="4">
        <v>101</v>
      </c>
    </row>
    <row r="2039" customHeight="1" spans="1:2">
      <c r="A2039" s="3" t="s">
        <v>9586</v>
      </c>
      <c r="B2039" s="4">
        <v>98</v>
      </c>
    </row>
    <row r="2040" customHeight="1" spans="1:2">
      <c r="A2040" s="3" t="s">
        <v>22638</v>
      </c>
      <c r="B2040" s="4">
        <v>100</v>
      </c>
    </row>
    <row r="2041" customHeight="1" spans="1:2">
      <c r="A2041" s="3" t="s">
        <v>9096</v>
      </c>
      <c r="B2041" s="4">
        <v>115</v>
      </c>
    </row>
    <row r="2042" customHeight="1" spans="1:2">
      <c r="A2042" s="3" t="s">
        <v>20907</v>
      </c>
      <c r="B2042" s="4">
        <v>97</v>
      </c>
    </row>
    <row r="2043" customHeight="1" spans="1:2">
      <c r="A2043" s="3" t="s">
        <v>14986</v>
      </c>
      <c r="B2043" s="4">
        <v>101</v>
      </c>
    </row>
    <row r="2044" customHeight="1" spans="1:2">
      <c r="A2044" s="3" t="s">
        <v>15573</v>
      </c>
      <c r="B2044" s="4">
        <v>90</v>
      </c>
    </row>
    <row r="2045" customHeight="1" spans="1:2">
      <c r="A2045" s="3" t="s">
        <v>1425</v>
      </c>
      <c r="B2045" s="4">
        <v>117</v>
      </c>
    </row>
    <row r="2046" customHeight="1" spans="1:2">
      <c r="A2046" s="3" t="s">
        <v>7662</v>
      </c>
      <c r="B2046" s="4">
        <v>91</v>
      </c>
    </row>
    <row r="2047" customHeight="1" spans="1:2">
      <c r="A2047" s="3" t="s">
        <v>13028</v>
      </c>
      <c r="B2047" s="4">
        <v>92</v>
      </c>
    </row>
    <row r="2048" customHeight="1" spans="1:2">
      <c r="A2048" s="3" t="s">
        <v>9055</v>
      </c>
      <c r="B2048" s="4">
        <v>133</v>
      </c>
    </row>
    <row r="2049" customHeight="1" spans="1:2">
      <c r="A2049" s="3" t="s">
        <v>5097</v>
      </c>
      <c r="B2049" s="4">
        <v>121</v>
      </c>
    </row>
    <row r="2050" customHeight="1" spans="1:2">
      <c r="A2050" s="3" t="s">
        <v>5569</v>
      </c>
      <c r="B2050" s="4">
        <v>120</v>
      </c>
    </row>
    <row r="2051" customHeight="1" spans="1:2">
      <c r="A2051" s="3" t="s">
        <v>12781</v>
      </c>
      <c r="B2051" s="4">
        <v>98</v>
      </c>
    </row>
    <row r="2052" customHeight="1" spans="1:2">
      <c r="A2052" s="3" t="s">
        <v>15262</v>
      </c>
      <c r="B2052" s="4">
        <v>168</v>
      </c>
    </row>
    <row r="2053" customHeight="1" spans="1:2">
      <c r="A2053" s="3" t="s">
        <v>7620</v>
      </c>
      <c r="B2053" s="4">
        <v>116</v>
      </c>
    </row>
    <row r="2054" customHeight="1" spans="1:2">
      <c r="A2054" s="3" t="s">
        <v>19287</v>
      </c>
      <c r="B2054" s="4">
        <v>97</v>
      </c>
    </row>
    <row r="2055" customHeight="1" spans="1:2">
      <c r="A2055" s="3" t="s">
        <v>9023</v>
      </c>
      <c r="B2055" s="4">
        <v>134</v>
      </c>
    </row>
    <row r="2056" customHeight="1" spans="1:2">
      <c r="A2056" s="3" t="s">
        <v>11100</v>
      </c>
      <c r="B2056" s="4">
        <v>99</v>
      </c>
    </row>
    <row r="2057" customHeight="1" spans="1:2">
      <c r="A2057" s="3" t="s">
        <v>10067</v>
      </c>
      <c r="B2057" s="4">
        <v>100</v>
      </c>
    </row>
    <row r="2058" customHeight="1" spans="1:2">
      <c r="A2058" s="3" t="s">
        <v>910</v>
      </c>
      <c r="B2058" s="4">
        <v>90</v>
      </c>
    </row>
    <row r="2059" customHeight="1" spans="1:2">
      <c r="A2059" s="3" t="s">
        <v>995</v>
      </c>
      <c r="B2059" s="4">
        <v>95</v>
      </c>
    </row>
    <row r="2060" customHeight="1" spans="1:2">
      <c r="A2060" s="3" t="s">
        <v>1163</v>
      </c>
      <c r="B2060" s="4">
        <v>92</v>
      </c>
    </row>
    <row r="2061" customHeight="1" spans="1:2">
      <c r="A2061" s="3" t="s">
        <v>14998</v>
      </c>
      <c r="B2061" s="4">
        <v>81</v>
      </c>
    </row>
    <row r="2062" customHeight="1" spans="1:2">
      <c r="A2062" s="3" t="s">
        <v>22046</v>
      </c>
      <c r="B2062" s="4">
        <v>100</v>
      </c>
    </row>
    <row r="2063" customHeight="1" spans="1:2">
      <c r="A2063" s="3" t="s">
        <v>7313</v>
      </c>
      <c r="B2063" s="4">
        <v>138</v>
      </c>
    </row>
    <row r="2064" customHeight="1" spans="1:2">
      <c r="A2064" s="3" t="s">
        <v>22310</v>
      </c>
      <c r="B2064" s="4">
        <v>97</v>
      </c>
    </row>
    <row r="2065" customHeight="1" spans="1:2">
      <c r="A2065" s="3" t="s">
        <v>16863</v>
      </c>
      <c r="B2065" s="4">
        <v>108</v>
      </c>
    </row>
    <row r="2066" customHeight="1" spans="1:2">
      <c r="A2066" s="3" t="s">
        <v>14777</v>
      </c>
      <c r="B2066" s="4">
        <v>106</v>
      </c>
    </row>
    <row r="2067" customHeight="1" spans="1:2">
      <c r="A2067" s="3" t="s">
        <v>18969</v>
      </c>
      <c r="B2067" s="4">
        <v>106</v>
      </c>
    </row>
    <row r="2068" customHeight="1" spans="1:2">
      <c r="A2068" s="3" t="s">
        <v>11973</v>
      </c>
      <c r="B2068" s="4">
        <v>111</v>
      </c>
    </row>
    <row r="2069" customHeight="1" spans="1:2">
      <c r="A2069" s="3" t="s">
        <v>4057</v>
      </c>
      <c r="B2069" s="4">
        <v>115</v>
      </c>
    </row>
    <row r="2070" customHeight="1" spans="1:2">
      <c r="A2070" s="3" t="s">
        <v>3356</v>
      </c>
      <c r="B2070" s="4">
        <v>110</v>
      </c>
    </row>
    <row r="2071" customHeight="1" spans="1:2">
      <c r="A2071" s="3" t="s">
        <v>18138</v>
      </c>
      <c r="B2071" s="4">
        <v>118</v>
      </c>
    </row>
    <row r="2072" customHeight="1" spans="1:2">
      <c r="A2072" s="3" t="s">
        <v>18303</v>
      </c>
      <c r="B2072" s="4">
        <v>112</v>
      </c>
    </row>
    <row r="2073" customHeight="1" spans="1:2">
      <c r="A2073" s="3" t="s">
        <v>11059</v>
      </c>
      <c r="B2073" s="4">
        <v>121</v>
      </c>
    </row>
    <row r="2074" customHeight="1" spans="1:2">
      <c r="A2074" s="3" t="s">
        <v>19694</v>
      </c>
      <c r="B2074" s="4">
        <v>144</v>
      </c>
    </row>
    <row r="2075" customHeight="1" spans="1:2">
      <c r="A2075" s="3" t="s">
        <v>21492</v>
      </c>
      <c r="B2075" s="4">
        <v>89</v>
      </c>
    </row>
    <row r="2076" customHeight="1" spans="1:2">
      <c r="A2076" s="3" t="s">
        <v>17262</v>
      </c>
      <c r="B2076" s="4">
        <v>152</v>
      </c>
    </row>
    <row r="2077" customHeight="1" spans="1:2">
      <c r="A2077" s="3" t="s">
        <v>9123</v>
      </c>
      <c r="B2077" s="4">
        <v>82</v>
      </c>
    </row>
    <row r="2078" customHeight="1" spans="1:2">
      <c r="A2078" s="3" t="s">
        <v>10817</v>
      </c>
      <c r="B2078" s="4">
        <v>110</v>
      </c>
    </row>
    <row r="2079" customHeight="1" spans="1:2">
      <c r="A2079" s="3" t="s">
        <v>11700</v>
      </c>
      <c r="B2079" s="4">
        <v>97</v>
      </c>
    </row>
    <row r="2080" customHeight="1" spans="1:2">
      <c r="A2080" s="3" t="s">
        <v>1878</v>
      </c>
      <c r="B2080" s="4">
        <v>102</v>
      </c>
    </row>
    <row r="2081" customHeight="1" spans="1:2">
      <c r="A2081" s="3" t="s">
        <v>2228</v>
      </c>
      <c r="B2081" s="4">
        <v>117</v>
      </c>
    </row>
    <row r="2082" customHeight="1" spans="1:2">
      <c r="A2082" s="3" t="s">
        <v>2024</v>
      </c>
      <c r="B2082" s="4">
        <v>100</v>
      </c>
    </row>
    <row r="2083" customHeight="1" spans="1:2">
      <c r="A2083" s="3" t="s">
        <v>8415</v>
      </c>
      <c r="B2083" s="4">
        <v>98</v>
      </c>
    </row>
    <row r="2084" customHeight="1" spans="1:2">
      <c r="A2084" s="3" t="s">
        <v>12243</v>
      </c>
      <c r="B2084" s="4">
        <v>89</v>
      </c>
    </row>
    <row r="2085" customHeight="1" spans="1:2">
      <c r="A2085" s="3" t="s">
        <v>13957</v>
      </c>
      <c r="B2085" s="4">
        <v>106</v>
      </c>
    </row>
    <row r="2086" customHeight="1" spans="1:2">
      <c r="A2086" s="3" t="s">
        <v>2410</v>
      </c>
      <c r="B2086" s="4">
        <v>130</v>
      </c>
    </row>
    <row r="2087" customHeight="1" spans="1:2">
      <c r="A2087" s="3" t="s">
        <v>5844</v>
      </c>
      <c r="B2087" s="4">
        <v>112</v>
      </c>
    </row>
    <row r="2088" customHeight="1" spans="1:2">
      <c r="A2088" s="3" t="s">
        <v>3611</v>
      </c>
      <c r="B2088" s="4">
        <v>30</v>
      </c>
    </row>
    <row r="2089" customHeight="1" spans="1:2">
      <c r="A2089" s="3" t="s">
        <v>14307</v>
      </c>
      <c r="B2089" s="4">
        <v>109</v>
      </c>
    </row>
    <row r="2090" customHeight="1" spans="1:2">
      <c r="A2090" s="3" t="s">
        <v>8900</v>
      </c>
      <c r="B2090" s="4">
        <v>105</v>
      </c>
    </row>
    <row r="2091" customHeight="1" spans="1:2">
      <c r="A2091" s="3" t="s">
        <v>22100</v>
      </c>
      <c r="B2091" s="4">
        <v>107</v>
      </c>
    </row>
    <row r="2092" customHeight="1" spans="1:2">
      <c r="A2092" s="3" t="s">
        <v>17302</v>
      </c>
      <c r="B2092" s="4">
        <v>111</v>
      </c>
    </row>
    <row r="2093" customHeight="1" spans="1:2">
      <c r="A2093" s="3" t="s">
        <v>4901</v>
      </c>
      <c r="B2093" s="4">
        <v>118</v>
      </c>
    </row>
    <row r="2094" customHeight="1" spans="1:2">
      <c r="A2094" s="3" t="s">
        <v>12820</v>
      </c>
      <c r="B2094" s="4">
        <v>227</v>
      </c>
    </row>
    <row r="2095" customHeight="1" spans="1:2">
      <c r="A2095" s="3" t="s">
        <v>7985</v>
      </c>
      <c r="B2095" s="4">
        <v>90</v>
      </c>
    </row>
    <row r="2096" customHeight="1" spans="1:2">
      <c r="A2096" s="3" t="s">
        <v>16909</v>
      </c>
      <c r="B2096" s="4">
        <v>105</v>
      </c>
    </row>
    <row r="2097" customHeight="1" spans="1:2">
      <c r="A2097" s="3" t="s">
        <v>17449</v>
      </c>
      <c r="B2097" s="4">
        <v>93</v>
      </c>
    </row>
    <row r="2098" customHeight="1" spans="1:2">
      <c r="A2098" s="3" t="s">
        <v>11656</v>
      </c>
      <c r="B2098" s="4">
        <v>100</v>
      </c>
    </row>
    <row r="2099" customHeight="1" spans="1:2">
      <c r="A2099" s="3" t="s">
        <v>4483</v>
      </c>
      <c r="B2099" s="4">
        <v>114</v>
      </c>
    </row>
    <row r="2100" customHeight="1" spans="1:2">
      <c r="A2100" s="3" t="s">
        <v>18460</v>
      </c>
      <c r="B2100" s="4">
        <v>111</v>
      </c>
    </row>
    <row r="2101" customHeight="1" spans="1:2">
      <c r="A2101" s="3" t="s">
        <v>8119</v>
      </c>
      <c r="B2101" s="4">
        <v>132</v>
      </c>
    </row>
    <row r="2102" customHeight="1" spans="1:2">
      <c r="A2102" s="3" t="s">
        <v>11751</v>
      </c>
      <c r="B2102" s="4">
        <v>220</v>
      </c>
    </row>
    <row r="2103" customHeight="1" spans="1:2">
      <c r="A2103" s="3" t="s">
        <v>6480</v>
      </c>
      <c r="B2103" s="4">
        <v>116</v>
      </c>
    </row>
    <row r="2104" customHeight="1" spans="1:2">
      <c r="A2104" s="3" t="s">
        <v>9473</v>
      </c>
      <c r="B2104" s="4">
        <v>95</v>
      </c>
    </row>
    <row r="2105" customHeight="1" spans="1:2">
      <c r="A2105" s="3" t="s">
        <v>11735</v>
      </c>
      <c r="B2105" s="4">
        <v>96</v>
      </c>
    </row>
    <row r="2106" customHeight="1" spans="1:2">
      <c r="A2106" s="3" t="s">
        <v>14417</v>
      </c>
      <c r="B2106" s="4">
        <v>89</v>
      </c>
    </row>
    <row r="2107" customHeight="1" spans="1:2">
      <c r="A2107" s="3" t="s">
        <v>1856</v>
      </c>
      <c r="B2107" s="4">
        <v>101</v>
      </c>
    </row>
    <row r="2108" customHeight="1" spans="1:2">
      <c r="A2108" s="3" t="s">
        <v>9841</v>
      </c>
      <c r="B2108" s="4">
        <v>132</v>
      </c>
    </row>
    <row r="2109" customHeight="1" spans="1:2">
      <c r="A2109" s="3" t="s">
        <v>3504</v>
      </c>
      <c r="B2109" s="4">
        <v>88</v>
      </c>
    </row>
    <row r="2110" customHeight="1" spans="1:2">
      <c r="A2110" s="3" t="s">
        <v>8184</v>
      </c>
      <c r="B2110" s="4">
        <v>133</v>
      </c>
    </row>
    <row r="2111" customHeight="1" spans="1:2">
      <c r="A2111" s="3" t="s">
        <v>9281</v>
      </c>
      <c r="B2111" s="4">
        <v>100</v>
      </c>
    </row>
    <row r="2112" customHeight="1" spans="1:2">
      <c r="A2112" s="3" t="s">
        <v>11471</v>
      </c>
      <c r="B2112" s="4">
        <v>118</v>
      </c>
    </row>
    <row r="2113" customHeight="1" spans="1:2">
      <c r="A2113" s="3" t="s">
        <v>3666</v>
      </c>
      <c r="B2113" s="4">
        <v>158</v>
      </c>
    </row>
    <row r="2114" customHeight="1" spans="1:2">
      <c r="A2114" s="3" t="s">
        <v>16684</v>
      </c>
      <c r="B2114" s="4">
        <v>107</v>
      </c>
    </row>
    <row r="2115" customHeight="1" spans="1:2">
      <c r="A2115" s="3" t="s">
        <v>11212</v>
      </c>
      <c r="B2115" s="4">
        <v>116</v>
      </c>
    </row>
    <row r="2116" customHeight="1" spans="1:2">
      <c r="A2116" s="3" t="s">
        <v>7255</v>
      </c>
      <c r="B2116" s="4">
        <v>121</v>
      </c>
    </row>
    <row r="2117" customHeight="1" spans="1:2">
      <c r="A2117" s="3" t="s">
        <v>1062</v>
      </c>
      <c r="B2117" s="4">
        <v>127</v>
      </c>
    </row>
    <row r="2118" customHeight="1" spans="1:2">
      <c r="A2118" s="3" t="s">
        <v>12159</v>
      </c>
      <c r="B2118" s="4">
        <v>104</v>
      </c>
    </row>
    <row r="2119" customHeight="1" spans="1:2">
      <c r="A2119" s="3" t="s">
        <v>18562</v>
      </c>
      <c r="B2119" s="4">
        <v>90</v>
      </c>
    </row>
    <row r="2120" customHeight="1" spans="1:2">
      <c r="A2120" s="3" t="s">
        <v>18146</v>
      </c>
      <c r="B2120" s="4">
        <v>82</v>
      </c>
    </row>
    <row r="2121" customHeight="1" spans="1:2">
      <c r="A2121" s="3" t="s">
        <v>13775</v>
      </c>
      <c r="B2121" s="4">
        <v>141</v>
      </c>
    </row>
    <row r="2122" customHeight="1" spans="1:2">
      <c r="A2122" s="3" t="s">
        <v>19442</v>
      </c>
      <c r="B2122" s="4">
        <v>110</v>
      </c>
    </row>
    <row r="2123" customHeight="1" spans="1:2">
      <c r="A2123" s="3" t="s">
        <v>8318</v>
      </c>
      <c r="B2123" s="4">
        <v>105</v>
      </c>
    </row>
    <row r="2124" customHeight="1" spans="1:2">
      <c r="A2124" s="3" t="s">
        <v>5681</v>
      </c>
      <c r="B2124" s="4">
        <v>86</v>
      </c>
    </row>
    <row r="2125" customHeight="1" spans="1:2">
      <c r="A2125" s="3" t="s">
        <v>6146</v>
      </c>
      <c r="B2125" s="4">
        <v>133</v>
      </c>
    </row>
    <row r="2126" customHeight="1" spans="1:2">
      <c r="A2126" s="3" t="s">
        <v>7387</v>
      </c>
      <c r="B2126" s="4">
        <v>91</v>
      </c>
    </row>
    <row r="2127" customHeight="1" spans="1:2">
      <c r="A2127" s="3" t="s">
        <v>20098</v>
      </c>
      <c r="B2127" s="4">
        <v>89</v>
      </c>
    </row>
    <row r="2128" customHeight="1" spans="1:2">
      <c r="A2128" s="3" t="s">
        <v>11898</v>
      </c>
      <c r="B2128" s="4">
        <v>125</v>
      </c>
    </row>
    <row r="2129" customHeight="1" spans="1:2">
      <c r="A2129" s="3" t="s">
        <v>18298</v>
      </c>
      <c r="B2129" s="4">
        <v>98</v>
      </c>
    </row>
    <row r="2130" customHeight="1" spans="1:2">
      <c r="A2130" s="3" t="s">
        <v>1360</v>
      </c>
      <c r="B2130" s="4">
        <v>127</v>
      </c>
    </row>
    <row r="2131" customHeight="1" spans="1:2">
      <c r="A2131" s="3" t="s">
        <v>6755</v>
      </c>
      <c r="B2131" s="4">
        <v>103</v>
      </c>
    </row>
    <row r="2132" customHeight="1" spans="1:2">
      <c r="A2132" s="3" t="s">
        <v>3086</v>
      </c>
      <c r="B2132" s="4">
        <v>45</v>
      </c>
    </row>
    <row r="2133" customHeight="1" spans="1:2">
      <c r="A2133" s="3" t="s">
        <v>9863</v>
      </c>
      <c r="B2133" s="4">
        <v>101</v>
      </c>
    </row>
    <row r="2134" customHeight="1" spans="1:2">
      <c r="A2134" s="3" t="s">
        <v>22441</v>
      </c>
      <c r="B2134" s="4">
        <v>90</v>
      </c>
    </row>
    <row r="2135" customHeight="1" spans="1:2">
      <c r="A2135" s="3" t="s">
        <v>13805</v>
      </c>
      <c r="B2135" s="4">
        <v>99</v>
      </c>
    </row>
    <row r="2136" customHeight="1" spans="1:2">
      <c r="A2136" s="3" t="s">
        <v>17907</v>
      </c>
      <c r="B2136" s="4">
        <v>103</v>
      </c>
    </row>
    <row r="2137" customHeight="1" spans="1:2">
      <c r="A2137" s="3" t="s">
        <v>17540</v>
      </c>
      <c r="B2137" s="4">
        <v>81</v>
      </c>
    </row>
    <row r="2138" customHeight="1" spans="1:2">
      <c r="A2138" s="3" t="s">
        <v>23210</v>
      </c>
      <c r="B2138" s="4">
        <v>90</v>
      </c>
    </row>
    <row r="2139" customHeight="1" spans="1:2">
      <c r="A2139" s="3" t="s">
        <v>8282</v>
      </c>
      <c r="B2139" s="4">
        <v>99</v>
      </c>
    </row>
    <row r="2140" customHeight="1" spans="1:2">
      <c r="A2140" s="3" t="s">
        <v>2559</v>
      </c>
      <c r="B2140" s="4">
        <v>85</v>
      </c>
    </row>
    <row r="2141" customHeight="1" spans="1:2">
      <c r="A2141" s="3" t="s">
        <v>18328</v>
      </c>
      <c r="B2141" s="4">
        <v>109</v>
      </c>
    </row>
    <row r="2142" customHeight="1" spans="1:2">
      <c r="A2142" s="3" t="s">
        <v>12614</v>
      </c>
      <c r="B2142" s="4">
        <v>45</v>
      </c>
    </row>
    <row r="2143" customHeight="1" spans="1:2">
      <c r="A2143" s="3" t="s">
        <v>15909</v>
      </c>
      <c r="B2143" s="4">
        <v>126</v>
      </c>
    </row>
    <row r="2144" customHeight="1" spans="1:2">
      <c r="A2144" s="3" t="s">
        <v>9083</v>
      </c>
      <c r="B2144" s="4">
        <v>42</v>
      </c>
    </row>
    <row r="2145" customHeight="1" spans="1:2">
      <c r="A2145" s="3" t="s">
        <v>3645</v>
      </c>
      <c r="B2145" s="4">
        <v>150</v>
      </c>
    </row>
    <row r="2146" customHeight="1" spans="1:2">
      <c r="A2146" s="3" t="s">
        <v>7718</v>
      </c>
      <c r="B2146" s="4">
        <v>156</v>
      </c>
    </row>
    <row r="2147" customHeight="1" spans="1:2">
      <c r="A2147" s="3" t="s">
        <v>7624</v>
      </c>
      <c r="B2147" s="4">
        <v>92</v>
      </c>
    </row>
    <row r="2148" customHeight="1" spans="1:2">
      <c r="A2148" s="3" t="s">
        <v>21781</v>
      </c>
      <c r="B2148" s="4">
        <v>90</v>
      </c>
    </row>
    <row r="2149" customHeight="1" spans="1:2">
      <c r="A2149" s="3" t="s">
        <v>13203</v>
      </c>
      <c r="B2149" s="4">
        <v>100</v>
      </c>
    </row>
    <row r="2150" customHeight="1" spans="1:2">
      <c r="A2150" s="3" t="s">
        <v>23328</v>
      </c>
      <c r="B2150" s="4">
        <v>83</v>
      </c>
    </row>
    <row r="2151" customHeight="1" spans="1:2">
      <c r="A2151" s="3" t="s">
        <v>8498</v>
      </c>
      <c r="B2151" s="4">
        <v>105</v>
      </c>
    </row>
    <row r="2152" customHeight="1" spans="1:2">
      <c r="A2152" s="3" t="s">
        <v>11335</v>
      </c>
      <c r="B2152" s="4">
        <v>106</v>
      </c>
    </row>
    <row r="2153" customHeight="1" spans="1:2">
      <c r="A2153" s="3" t="s">
        <v>13512</v>
      </c>
      <c r="B2153" s="4">
        <v>137</v>
      </c>
    </row>
    <row r="2154" customHeight="1" spans="1:2">
      <c r="A2154" s="3" t="s">
        <v>1749</v>
      </c>
      <c r="B2154" s="4">
        <v>98</v>
      </c>
    </row>
    <row r="2155" customHeight="1" spans="1:2">
      <c r="A2155" s="3" t="s">
        <v>15984</v>
      </c>
      <c r="B2155" s="4">
        <v>101</v>
      </c>
    </row>
    <row r="2156" customHeight="1" spans="1:2">
      <c r="A2156" s="3" t="s">
        <v>8717</v>
      </c>
      <c r="B2156" s="4">
        <v>91</v>
      </c>
    </row>
    <row r="2157" customHeight="1" spans="1:2">
      <c r="A2157" s="3" t="s">
        <v>2789</v>
      </c>
      <c r="B2157" s="4">
        <v>90</v>
      </c>
    </row>
    <row r="2158" customHeight="1" spans="1:2">
      <c r="A2158" s="3" t="s">
        <v>8399</v>
      </c>
      <c r="B2158" s="4">
        <v>102</v>
      </c>
    </row>
    <row r="2159" customHeight="1" spans="1:2">
      <c r="A2159" s="3" t="s">
        <v>17140</v>
      </c>
      <c r="B2159" s="4">
        <v>97</v>
      </c>
    </row>
    <row r="2160" customHeight="1" spans="1:2">
      <c r="A2160" s="3" t="s">
        <v>10030</v>
      </c>
      <c r="B2160" s="4">
        <v>134</v>
      </c>
    </row>
    <row r="2161" customHeight="1" spans="1:2">
      <c r="A2161" s="3" t="s">
        <v>12746</v>
      </c>
      <c r="B2161" s="4">
        <v>115</v>
      </c>
    </row>
    <row r="2162" customHeight="1" spans="1:2">
      <c r="A2162" s="3" t="s">
        <v>3884</v>
      </c>
      <c r="B2162" s="4">
        <v>98</v>
      </c>
    </row>
    <row r="2163" customHeight="1" spans="1:2">
      <c r="A2163" s="3" t="s">
        <v>16480</v>
      </c>
      <c r="B2163" s="4">
        <v>121</v>
      </c>
    </row>
    <row r="2164" customHeight="1" spans="1:2">
      <c r="A2164" s="3" t="s">
        <v>1621</v>
      </c>
      <c r="B2164" s="4">
        <v>129</v>
      </c>
    </row>
    <row r="2165" customHeight="1" spans="1:2">
      <c r="A2165" s="3" t="s">
        <v>22189</v>
      </c>
      <c r="B2165" s="4">
        <v>83</v>
      </c>
    </row>
    <row r="2166" customHeight="1" spans="1:2">
      <c r="A2166" s="3" t="s">
        <v>20770</v>
      </c>
      <c r="B2166" s="4">
        <v>112</v>
      </c>
    </row>
    <row r="2167" customHeight="1" spans="1:2">
      <c r="A2167" s="3" t="s">
        <v>14216</v>
      </c>
      <c r="B2167" s="4">
        <v>100</v>
      </c>
    </row>
    <row r="2168" customHeight="1" spans="1:2">
      <c r="A2168" s="3" t="s">
        <v>13699</v>
      </c>
      <c r="B2168" s="4">
        <v>84</v>
      </c>
    </row>
    <row r="2169" customHeight="1" spans="1:2">
      <c r="A2169" s="3" t="s">
        <v>21152</v>
      </c>
      <c r="B2169" s="4">
        <v>120</v>
      </c>
    </row>
    <row r="2170" customHeight="1" spans="1:2">
      <c r="A2170" s="3" t="s">
        <v>23108</v>
      </c>
      <c r="B2170" s="4">
        <v>95</v>
      </c>
    </row>
    <row r="2171" customHeight="1" spans="1:2">
      <c r="A2171" s="3" t="s">
        <v>11171</v>
      </c>
      <c r="B2171" s="4">
        <v>95</v>
      </c>
    </row>
    <row r="2172" customHeight="1" spans="1:2">
      <c r="A2172" s="3" t="s">
        <v>16511</v>
      </c>
      <c r="B2172" s="4">
        <v>119</v>
      </c>
    </row>
    <row r="2173" customHeight="1" spans="1:2">
      <c r="A2173" s="3" t="s">
        <v>14695</v>
      </c>
      <c r="B2173" s="4">
        <v>97</v>
      </c>
    </row>
    <row r="2174" customHeight="1" spans="1:2">
      <c r="A2174" s="3" t="s">
        <v>4828</v>
      </c>
      <c r="B2174" s="4">
        <v>304</v>
      </c>
    </row>
    <row r="2175" customHeight="1" spans="1:2">
      <c r="A2175" s="3" t="s">
        <v>4174</v>
      </c>
      <c r="B2175" s="4">
        <v>99</v>
      </c>
    </row>
    <row r="2176" customHeight="1" spans="1:2">
      <c r="A2176" s="3" t="s">
        <v>22130</v>
      </c>
      <c r="B2176" s="4">
        <v>85</v>
      </c>
    </row>
    <row r="2177" customHeight="1" spans="1:2">
      <c r="A2177" s="3" t="s">
        <v>20440</v>
      </c>
      <c r="B2177" s="4">
        <v>92</v>
      </c>
    </row>
    <row r="2178" customHeight="1" spans="1:2">
      <c r="A2178" s="3" t="s">
        <v>17732</v>
      </c>
      <c r="B2178" s="4">
        <v>135</v>
      </c>
    </row>
    <row r="2179" customHeight="1" spans="1:2">
      <c r="A2179" s="3" t="s">
        <v>6280</v>
      </c>
      <c r="B2179" s="4">
        <v>121</v>
      </c>
    </row>
    <row r="2180" customHeight="1" spans="1:2">
      <c r="A2180" s="3" t="s">
        <v>17752</v>
      </c>
      <c r="B2180" s="4">
        <v>107</v>
      </c>
    </row>
    <row r="2181" customHeight="1" spans="1:2">
      <c r="A2181" s="3" t="s">
        <v>22593</v>
      </c>
      <c r="B2181" s="4">
        <v>91</v>
      </c>
    </row>
    <row r="2182" customHeight="1" spans="1:2">
      <c r="A2182" s="3" t="s">
        <v>2847</v>
      </c>
      <c r="B2182" s="4">
        <v>91</v>
      </c>
    </row>
    <row r="2183" customHeight="1" spans="1:2">
      <c r="A2183" s="3" t="s">
        <v>8208</v>
      </c>
      <c r="B2183" s="4">
        <v>119</v>
      </c>
    </row>
    <row r="2184" customHeight="1" spans="1:2">
      <c r="A2184" s="3" t="s">
        <v>15620</v>
      </c>
      <c r="B2184" s="4">
        <v>110</v>
      </c>
    </row>
    <row r="2185" customHeight="1" spans="1:2">
      <c r="A2185" s="3" t="s">
        <v>6164</v>
      </c>
      <c r="B2185" s="4">
        <v>122</v>
      </c>
    </row>
    <row r="2186" customHeight="1" spans="1:2">
      <c r="A2186" s="3" t="s">
        <v>9876</v>
      </c>
      <c r="B2186" s="4">
        <v>107</v>
      </c>
    </row>
    <row r="2187" customHeight="1" spans="1:2">
      <c r="A2187" s="3" t="s">
        <v>19044</v>
      </c>
      <c r="B2187" s="4">
        <v>90</v>
      </c>
    </row>
    <row r="2188" customHeight="1" spans="1:2">
      <c r="A2188" s="3" t="s">
        <v>11135</v>
      </c>
      <c r="B2188" s="4">
        <v>98</v>
      </c>
    </row>
    <row r="2189" customHeight="1" spans="1:2">
      <c r="A2189" s="3" t="s">
        <v>16671</v>
      </c>
      <c r="B2189" s="4">
        <v>100</v>
      </c>
    </row>
    <row r="2190" customHeight="1" spans="1:2">
      <c r="A2190" s="3" t="s">
        <v>2726</v>
      </c>
      <c r="B2190" s="4">
        <v>130</v>
      </c>
    </row>
    <row r="2191" customHeight="1" spans="1:2">
      <c r="A2191" s="3" t="s">
        <v>18437</v>
      </c>
      <c r="B2191" s="4">
        <v>101</v>
      </c>
    </row>
    <row r="2192" customHeight="1" spans="1:2">
      <c r="A2192" s="3" t="s">
        <v>8982</v>
      </c>
      <c r="B2192" s="4">
        <v>97</v>
      </c>
    </row>
    <row r="2193" customHeight="1" spans="1:2">
      <c r="A2193" s="3" t="s">
        <v>12216</v>
      </c>
      <c r="B2193" s="4">
        <v>99</v>
      </c>
    </row>
    <row r="2194" customHeight="1" spans="1:2">
      <c r="A2194" s="3" t="s">
        <v>12878</v>
      </c>
      <c r="B2194" s="4">
        <v>124</v>
      </c>
    </row>
    <row r="2195" customHeight="1" spans="1:2">
      <c r="A2195" s="3" t="s">
        <v>8541</v>
      </c>
      <c r="B2195" s="4">
        <v>112</v>
      </c>
    </row>
    <row r="2196" customHeight="1" spans="1:2">
      <c r="A2196" s="3" t="s">
        <v>5795</v>
      </c>
      <c r="B2196" s="4">
        <v>129</v>
      </c>
    </row>
    <row r="2197" customHeight="1" spans="1:2">
      <c r="A2197" s="3" t="s">
        <v>18407</v>
      </c>
      <c r="B2197" s="4">
        <v>93</v>
      </c>
    </row>
    <row r="2198" customHeight="1" spans="1:2">
      <c r="A2198" s="3" t="s">
        <v>23192</v>
      </c>
      <c r="B2198" s="4">
        <v>76</v>
      </c>
    </row>
    <row r="2199" customHeight="1" spans="1:2">
      <c r="A2199" s="3" t="s">
        <v>11863</v>
      </c>
      <c r="B2199" s="4">
        <v>109</v>
      </c>
    </row>
    <row r="2200" customHeight="1" spans="1:2">
      <c r="A2200" s="3" t="s">
        <v>5976</v>
      </c>
      <c r="B2200" s="4">
        <v>139</v>
      </c>
    </row>
    <row r="2201" customHeight="1" spans="1:2">
      <c r="A2201" s="3" t="s">
        <v>22884</v>
      </c>
      <c r="B2201" s="4">
        <v>97</v>
      </c>
    </row>
    <row r="2202" customHeight="1" spans="1:2">
      <c r="A2202" s="3" t="s">
        <v>15049</v>
      </c>
      <c r="B2202" s="4">
        <v>104</v>
      </c>
    </row>
    <row r="2203" customHeight="1" spans="1:2">
      <c r="A2203" s="3" t="s">
        <v>22465</v>
      </c>
      <c r="B2203" s="4">
        <v>88</v>
      </c>
    </row>
    <row r="2204" customHeight="1" spans="1:2">
      <c r="A2204" s="3" t="s">
        <v>21588</v>
      </c>
      <c r="B2204" s="4">
        <v>89</v>
      </c>
    </row>
    <row r="2205" customHeight="1" spans="1:2">
      <c r="A2205" s="3" t="s">
        <v>10035</v>
      </c>
      <c r="B2205" s="4">
        <v>117</v>
      </c>
    </row>
    <row r="2206" customHeight="1" spans="1:2">
      <c r="A2206" s="3" t="s">
        <v>18584</v>
      </c>
      <c r="B2206" s="4">
        <v>94</v>
      </c>
    </row>
    <row r="2207" customHeight="1" spans="1:2">
      <c r="A2207" s="3" t="s">
        <v>11889</v>
      </c>
      <c r="B2207" s="4">
        <v>107</v>
      </c>
    </row>
    <row r="2208" customHeight="1" spans="1:2">
      <c r="A2208" s="3" t="s">
        <v>23150</v>
      </c>
      <c r="B2208" s="4">
        <v>91</v>
      </c>
    </row>
    <row r="2209" customHeight="1" spans="1:2">
      <c r="A2209" s="3" t="s">
        <v>17974</v>
      </c>
      <c r="B2209" s="4">
        <v>90</v>
      </c>
    </row>
    <row r="2210" customHeight="1" spans="1:2">
      <c r="A2210" s="3" t="s">
        <v>19462</v>
      </c>
      <c r="B2210" s="4">
        <v>87</v>
      </c>
    </row>
    <row r="2211" customHeight="1" spans="1:2">
      <c r="A2211" s="3" t="s">
        <v>14753</v>
      </c>
      <c r="B2211" s="4">
        <v>24</v>
      </c>
    </row>
    <row r="2212" customHeight="1" spans="1:2">
      <c r="A2212" s="3" t="s">
        <v>21901</v>
      </c>
      <c r="B2212" s="4">
        <v>76</v>
      </c>
    </row>
    <row r="2213" customHeight="1" spans="1:2">
      <c r="A2213" s="3" t="s">
        <v>17248</v>
      </c>
      <c r="B2213" s="4">
        <v>107</v>
      </c>
    </row>
    <row r="2214" customHeight="1" spans="1:2">
      <c r="A2214" s="3" t="s">
        <v>9126</v>
      </c>
      <c r="B2214" s="4">
        <v>220</v>
      </c>
    </row>
    <row r="2215" customHeight="1" spans="1:2">
      <c r="A2215" s="3" t="s">
        <v>3808</v>
      </c>
      <c r="B2215" s="4">
        <v>105</v>
      </c>
    </row>
    <row r="2216" customHeight="1" spans="1:2">
      <c r="A2216" s="3" t="s">
        <v>4918</v>
      </c>
      <c r="B2216" s="4">
        <v>124</v>
      </c>
    </row>
    <row r="2217" customHeight="1" spans="1:2">
      <c r="A2217" s="3" t="s">
        <v>6260</v>
      </c>
      <c r="B2217" s="4">
        <v>89</v>
      </c>
    </row>
    <row r="2218" customHeight="1" spans="1:2">
      <c r="A2218" s="3" t="s">
        <v>21725</v>
      </c>
      <c r="B2218" s="4">
        <v>100</v>
      </c>
    </row>
    <row r="2219" customHeight="1" spans="1:2">
      <c r="A2219" s="3" t="s">
        <v>7699</v>
      </c>
      <c r="B2219" s="4">
        <v>60</v>
      </c>
    </row>
    <row r="2220" customHeight="1" spans="1:2">
      <c r="A2220" s="3" t="s">
        <v>18854</v>
      </c>
      <c r="B2220" s="4">
        <v>25</v>
      </c>
    </row>
    <row r="2221" customHeight="1" spans="1:2">
      <c r="A2221" s="3" t="s">
        <v>15088</v>
      </c>
      <c r="B2221" s="4">
        <v>95</v>
      </c>
    </row>
    <row r="2222" customHeight="1" spans="1:2">
      <c r="A2222" s="3" t="s">
        <v>11316</v>
      </c>
      <c r="B2222" s="4">
        <v>107</v>
      </c>
    </row>
    <row r="2223" customHeight="1" spans="1:2">
      <c r="A2223" s="3" t="s">
        <v>13984</v>
      </c>
      <c r="B2223" s="4">
        <v>105</v>
      </c>
    </row>
    <row r="2224" customHeight="1" spans="1:2">
      <c r="A2224" s="3" t="s">
        <v>14689</v>
      </c>
      <c r="B2224" s="4">
        <v>96</v>
      </c>
    </row>
    <row r="2225" customHeight="1" spans="1:2">
      <c r="A2225" s="3" t="s">
        <v>8725</v>
      </c>
      <c r="B2225" s="4">
        <v>129</v>
      </c>
    </row>
    <row r="2226" customHeight="1" spans="1:2">
      <c r="A2226" s="3" t="s">
        <v>5431</v>
      </c>
      <c r="B2226" s="4">
        <v>115</v>
      </c>
    </row>
    <row r="2227" customHeight="1" spans="1:2">
      <c r="A2227" s="3" t="s">
        <v>22519</v>
      </c>
      <c r="B2227" s="4">
        <v>105</v>
      </c>
    </row>
    <row r="2228" customHeight="1" spans="1:2">
      <c r="A2228" s="3" t="s">
        <v>20156</v>
      </c>
      <c r="B2228" s="4">
        <v>87</v>
      </c>
    </row>
    <row r="2229" customHeight="1" spans="1:2">
      <c r="A2229" s="3" t="s">
        <v>14863</v>
      </c>
      <c r="B2229" s="4">
        <v>107</v>
      </c>
    </row>
    <row r="2230" customHeight="1" spans="1:2">
      <c r="A2230" s="3" t="s">
        <v>23379</v>
      </c>
      <c r="B2230" s="4">
        <v>93</v>
      </c>
    </row>
    <row r="2231" customHeight="1" spans="1:2">
      <c r="A2231" s="3" t="s">
        <v>848</v>
      </c>
      <c r="B2231" s="4">
        <v>120</v>
      </c>
    </row>
    <row r="2232" customHeight="1" spans="1:2">
      <c r="A2232" s="3" t="s">
        <v>10503</v>
      </c>
      <c r="B2232" s="4">
        <v>104</v>
      </c>
    </row>
    <row r="2233" customHeight="1" spans="1:2">
      <c r="A2233" s="3" t="s">
        <v>14467</v>
      </c>
      <c r="B2233" s="4">
        <v>134</v>
      </c>
    </row>
    <row r="2234" customHeight="1" spans="1:2">
      <c r="A2234" s="3" t="s">
        <v>960</v>
      </c>
      <c r="B2234" s="4">
        <v>93</v>
      </c>
    </row>
    <row r="2235" customHeight="1" spans="1:2">
      <c r="A2235" s="3" t="s">
        <v>2992</v>
      </c>
      <c r="B2235" s="4">
        <v>86</v>
      </c>
    </row>
    <row r="2236" customHeight="1" spans="1:2">
      <c r="A2236" s="3" t="s">
        <v>807</v>
      </c>
      <c r="B2236" s="4">
        <v>89</v>
      </c>
    </row>
    <row r="2237" customHeight="1" spans="1:2">
      <c r="A2237" s="3" t="s">
        <v>16167</v>
      </c>
      <c r="B2237" s="4">
        <v>113</v>
      </c>
    </row>
    <row r="2238" customHeight="1" spans="1:2">
      <c r="A2238" s="3" t="s">
        <v>6504</v>
      </c>
      <c r="B2238" s="4">
        <v>101</v>
      </c>
    </row>
    <row r="2239" customHeight="1" spans="1:2">
      <c r="A2239" s="3" t="s">
        <v>17848</v>
      </c>
      <c r="B2239" s="4">
        <v>95</v>
      </c>
    </row>
    <row r="2240" customHeight="1" spans="1:2">
      <c r="A2240" s="3" t="s">
        <v>12093</v>
      </c>
      <c r="B2240" s="4">
        <v>103</v>
      </c>
    </row>
    <row r="2241" customHeight="1" spans="1:2">
      <c r="A2241" s="3" t="s">
        <v>14813</v>
      </c>
      <c r="B2241" s="4">
        <v>107</v>
      </c>
    </row>
    <row r="2242" customHeight="1" spans="1:2">
      <c r="A2242" s="3" t="s">
        <v>10745</v>
      </c>
      <c r="B2242" s="4">
        <v>114</v>
      </c>
    </row>
    <row r="2243" customHeight="1" spans="1:2">
      <c r="A2243" s="3" t="s">
        <v>12626</v>
      </c>
      <c r="B2243" s="4">
        <v>94</v>
      </c>
    </row>
    <row r="2244" customHeight="1" spans="1:2">
      <c r="A2244" s="3" t="s">
        <v>18456</v>
      </c>
      <c r="B2244" s="4">
        <v>95</v>
      </c>
    </row>
    <row r="2245" customHeight="1" spans="1:2">
      <c r="A2245" s="3" t="s">
        <v>13327</v>
      </c>
      <c r="B2245" s="4">
        <v>115</v>
      </c>
    </row>
    <row r="2246" customHeight="1" spans="1:2">
      <c r="A2246" s="3" t="s">
        <v>16471</v>
      </c>
      <c r="B2246" s="4">
        <v>110</v>
      </c>
    </row>
    <row r="2247" customHeight="1" spans="1:2">
      <c r="A2247" s="3" t="s">
        <v>7132</v>
      </c>
      <c r="B2247" s="4">
        <v>188</v>
      </c>
    </row>
    <row r="2248" customHeight="1" spans="1:2">
      <c r="A2248" s="3" t="s">
        <v>4622</v>
      </c>
      <c r="B2248" s="4">
        <v>105</v>
      </c>
    </row>
    <row r="2249" customHeight="1" spans="1:2">
      <c r="A2249" s="3" t="s">
        <v>18805</v>
      </c>
      <c r="B2249" s="4">
        <v>152</v>
      </c>
    </row>
    <row r="2250" customHeight="1" spans="1:2">
      <c r="A2250" s="3" t="s">
        <v>14529</v>
      </c>
      <c r="B2250" s="4">
        <v>107</v>
      </c>
    </row>
    <row r="2251" customHeight="1" spans="1:2">
      <c r="A2251" s="3" t="s">
        <v>7369</v>
      </c>
      <c r="B2251" s="4">
        <v>202</v>
      </c>
    </row>
    <row r="2252" customHeight="1" spans="1:2">
      <c r="A2252" s="3" t="s">
        <v>568</v>
      </c>
      <c r="B2252" s="4">
        <v>97</v>
      </c>
    </row>
    <row r="2253" customHeight="1" spans="1:2">
      <c r="A2253" s="3" t="s">
        <v>23438</v>
      </c>
      <c r="B2253" s="4">
        <v>90</v>
      </c>
    </row>
    <row r="2254" customHeight="1" spans="1:2">
      <c r="A2254" s="3" t="s">
        <v>12812</v>
      </c>
      <c r="B2254" s="4">
        <v>86</v>
      </c>
    </row>
    <row r="2255" customHeight="1" spans="1:2">
      <c r="A2255" s="3" t="s">
        <v>16968</v>
      </c>
      <c r="B2255" s="4">
        <v>123</v>
      </c>
    </row>
    <row r="2256" customHeight="1" spans="1:2">
      <c r="A2256" s="3" t="s">
        <v>15209</v>
      </c>
      <c r="B2256" s="4">
        <v>92</v>
      </c>
    </row>
    <row r="2257" customHeight="1" spans="1:2">
      <c r="A2257" s="3" t="s">
        <v>12721</v>
      </c>
      <c r="B2257" s="4">
        <v>100</v>
      </c>
    </row>
    <row r="2258" customHeight="1" spans="1:2">
      <c r="A2258" s="3" t="s">
        <v>17429</v>
      </c>
      <c r="B2258" s="4">
        <v>92</v>
      </c>
    </row>
    <row r="2259" customHeight="1" spans="1:2">
      <c r="A2259" s="3" t="s">
        <v>4934</v>
      </c>
      <c r="B2259" s="4">
        <v>108</v>
      </c>
    </row>
    <row r="2260" customHeight="1" spans="1:2">
      <c r="A2260" s="3" t="s">
        <v>144</v>
      </c>
      <c r="B2260" s="4">
        <v>143</v>
      </c>
    </row>
    <row r="2261" customHeight="1" spans="1:2">
      <c r="A2261" s="3" t="s">
        <v>5398</v>
      </c>
      <c r="B2261" s="4">
        <v>100</v>
      </c>
    </row>
    <row r="2262" customHeight="1" spans="1:2">
      <c r="A2262" s="3" t="s">
        <v>10833</v>
      </c>
      <c r="B2262" s="4">
        <v>115</v>
      </c>
    </row>
    <row r="2263" customHeight="1" spans="1:2">
      <c r="A2263" s="3" t="s">
        <v>6228</v>
      </c>
      <c r="B2263" s="4">
        <v>102</v>
      </c>
    </row>
    <row r="2264" customHeight="1" spans="1:2">
      <c r="A2264" s="3" t="s">
        <v>4097</v>
      </c>
      <c r="B2264" s="4">
        <v>146</v>
      </c>
    </row>
    <row r="2265" customHeight="1" spans="1:2">
      <c r="A2265" s="3" t="s">
        <v>4960</v>
      </c>
      <c r="B2265" s="4">
        <v>118</v>
      </c>
    </row>
    <row r="2266" customHeight="1" spans="1:2">
      <c r="A2266" s="3" t="s">
        <v>20642</v>
      </c>
      <c r="B2266" s="4">
        <v>90</v>
      </c>
    </row>
    <row r="2267" customHeight="1" spans="1:2">
      <c r="A2267" s="3" t="s">
        <v>7809</v>
      </c>
      <c r="B2267" s="4">
        <v>141</v>
      </c>
    </row>
    <row r="2268" customHeight="1" spans="1:2">
      <c r="A2268" s="3" t="s">
        <v>13351</v>
      </c>
      <c r="B2268" s="4">
        <v>139</v>
      </c>
    </row>
    <row r="2269" customHeight="1" spans="1:2">
      <c r="A2269" s="3" t="s">
        <v>22959</v>
      </c>
      <c r="B2269" s="4">
        <v>89</v>
      </c>
    </row>
    <row r="2270" customHeight="1" spans="1:2">
      <c r="A2270" s="3" t="s">
        <v>23994</v>
      </c>
      <c r="B2270" s="4">
        <v>79</v>
      </c>
    </row>
    <row r="2271" customHeight="1" spans="1:2">
      <c r="A2271" s="3" t="s">
        <v>11997</v>
      </c>
      <c r="B2271" s="4">
        <v>117</v>
      </c>
    </row>
    <row r="2272" customHeight="1" spans="1:2">
      <c r="A2272" s="3" t="s">
        <v>19052</v>
      </c>
      <c r="B2272" s="4">
        <v>80</v>
      </c>
    </row>
    <row r="2273" customHeight="1" spans="1:2">
      <c r="A2273" s="3" t="s">
        <v>16680</v>
      </c>
      <c r="B2273" s="4">
        <v>107</v>
      </c>
    </row>
    <row r="2274" customHeight="1" spans="1:2">
      <c r="A2274" s="3" t="s">
        <v>11418</v>
      </c>
      <c r="B2274" s="4">
        <v>80</v>
      </c>
    </row>
    <row r="2275" customHeight="1" spans="1:2">
      <c r="A2275" s="3" t="s">
        <v>13576</v>
      </c>
      <c r="B2275" s="4">
        <v>186</v>
      </c>
    </row>
    <row r="2276" customHeight="1" spans="1:2">
      <c r="A2276" s="3" t="s">
        <v>19055</v>
      </c>
      <c r="B2276" s="4">
        <v>107</v>
      </c>
    </row>
    <row r="2277" customHeight="1" spans="1:2">
      <c r="A2277" s="3" t="s">
        <v>19142</v>
      </c>
      <c r="B2277" s="4">
        <v>101</v>
      </c>
    </row>
    <row r="2278" customHeight="1" spans="1:2">
      <c r="A2278" s="3" t="s">
        <v>6726</v>
      </c>
      <c r="B2278" s="4">
        <v>123</v>
      </c>
    </row>
    <row r="2279" customHeight="1" spans="1:2">
      <c r="A2279" s="3" t="s">
        <v>19888</v>
      </c>
      <c r="B2279" s="4">
        <v>34</v>
      </c>
    </row>
    <row r="2280" customHeight="1" spans="1:2">
      <c r="A2280" s="3" t="s">
        <v>3936</v>
      </c>
      <c r="B2280" s="4">
        <v>115</v>
      </c>
    </row>
    <row r="2281" customHeight="1" spans="1:2">
      <c r="A2281" s="3" t="s">
        <v>5321</v>
      </c>
      <c r="B2281" s="4">
        <v>87</v>
      </c>
    </row>
    <row r="2282" customHeight="1" spans="1:2">
      <c r="A2282" s="3" t="s">
        <v>14354</v>
      </c>
      <c r="B2282" s="4">
        <v>91</v>
      </c>
    </row>
    <row r="2283" customHeight="1" spans="1:2">
      <c r="A2283" s="3" t="s">
        <v>2797</v>
      </c>
      <c r="B2283" s="4">
        <v>106</v>
      </c>
    </row>
    <row r="2284" customHeight="1" spans="1:2">
      <c r="A2284" s="3" t="s">
        <v>933</v>
      </c>
      <c r="B2284" s="4">
        <v>88</v>
      </c>
    </row>
    <row r="2285" customHeight="1" spans="1:2">
      <c r="A2285" s="3" t="s">
        <v>21647</v>
      </c>
      <c r="B2285" s="4">
        <v>102</v>
      </c>
    </row>
    <row r="2286" customHeight="1" spans="1:2">
      <c r="A2286" s="3" t="s">
        <v>9179</v>
      </c>
      <c r="B2286" s="4">
        <v>106</v>
      </c>
    </row>
    <row r="2287" customHeight="1" spans="1:2">
      <c r="A2287" s="3" t="s">
        <v>19216</v>
      </c>
      <c r="B2287" s="4">
        <v>113</v>
      </c>
    </row>
    <row r="2288" customHeight="1" spans="1:2">
      <c r="A2288" s="3" t="s">
        <v>10267</v>
      </c>
      <c r="B2288" s="4">
        <v>98</v>
      </c>
    </row>
    <row r="2289" customHeight="1" spans="1:2">
      <c r="A2289" s="3" t="s">
        <v>16999</v>
      </c>
      <c r="B2289" s="4">
        <v>139</v>
      </c>
    </row>
    <row r="2290" customHeight="1" spans="1:2">
      <c r="A2290" s="3" t="s">
        <v>5651</v>
      </c>
      <c r="B2290" s="4">
        <v>108</v>
      </c>
    </row>
    <row r="2291" customHeight="1" spans="1:2">
      <c r="A2291" s="3" t="s">
        <v>16376</v>
      </c>
      <c r="B2291" s="4">
        <v>112</v>
      </c>
    </row>
    <row r="2292" customHeight="1" spans="1:2">
      <c r="A2292" s="3" t="s">
        <v>1102</v>
      </c>
      <c r="B2292" s="4">
        <v>138</v>
      </c>
    </row>
    <row r="2293" customHeight="1" spans="1:2">
      <c r="A2293" s="3" t="s">
        <v>12902</v>
      </c>
      <c r="B2293" s="4">
        <v>119</v>
      </c>
    </row>
    <row r="2294" customHeight="1" spans="1:2">
      <c r="A2294" s="3" t="s">
        <v>19757</v>
      </c>
      <c r="B2294" s="4">
        <v>140</v>
      </c>
    </row>
    <row r="2295" customHeight="1" spans="1:2">
      <c r="A2295" s="3" t="s">
        <v>14202</v>
      </c>
      <c r="B2295" s="4">
        <v>91</v>
      </c>
    </row>
    <row r="2296" customHeight="1" spans="1:2">
      <c r="A2296" s="3" t="s">
        <v>7417</v>
      </c>
      <c r="B2296" s="4">
        <v>103</v>
      </c>
    </row>
    <row r="2297" customHeight="1" spans="1:2">
      <c r="A2297" s="3" t="s">
        <v>10799</v>
      </c>
      <c r="B2297" s="4">
        <v>111</v>
      </c>
    </row>
    <row r="2298" customHeight="1" spans="1:2">
      <c r="A2298" s="3" t="s">
        <v>9832</v>
      </c>
      <c r="B2298" s="4">
        <v>101</v>
      </c>
    </row>
    <row r="2299" customHeight="1" spans="1:2">
      <c r="A2299" s="3" t="s">
        <v>20757</v>
      </c>
      <c r="B2299" s="4">
        <v>93</v>
      </c>
    </row>
    <row r="2300" customHeight="1" spans="1:2">
      <c r="A2300" s="3" t="s">
        <v>12211</v>
      </c>
      <c r="B2300" s="4">
        <v>129</v>
      </c>
    </row>
    <row r="2301" customHeight="1" spans="1:2">
      <c r="A2301" s="3" t="s">
        <v>6193</v>
      </c>
      <c r="B2301" s="4">
        <v>30</v>
      </c>
    </row>
    <row r="2302" customHeight="1" spans="1:2">
      <c r="A2302" s="3" t="s">
        <v>10009</v>
      </c>
      <c r="B2302" s="4">
        <v>107</v>
      </c>
    </row>
    <row r="2303" customHeight="1" spans="1:2">
      <c r="A2303" s="3" t="s">
        <v>20252</v>
      </c>
      <c r="B2303" s="4">
        <v>91</v>
      </c>
    </row>
    <row r="2304" customHeight="1" spans="1:2">
      <c r="A2304" s="3" t="s">
        <v>10741</v>
      </c>
      <c r="B2304" s="4">
        <v>110</v>
      </c>
    </row>
    <row r="2305" customHeight="1" spans="1:2">
      <c r="A2305" s="3" t="s">
        <v>21039</v>
      </c>
      <c r="B2305" s="4">
        <v>93</v>
      </c>
    </row>
    <row r="2306" customHeight="1" spans="1:2">
      <c r="A2306" s="3" t="s">
        <v>4980</v>
      </c>
      <c r="B2306" s="4">
        <v>116</v>
      </c>
    </row>
    <row r="2307" customHeight="1" spans="1:2">
      <c r="A2307" s="3" t="s">
        <v>22579</v>
      </c>
      <c r="B2307" s="4">
        <v>90</v>
      </c>
    </row>
    <row r="2308" customHeight="1" spans="1:2">
      <c r="A2308" s="3" t="s">
        <v>11790</v>
      </c>
      <c r="B2308" s="4">
        <v>97</v>
      </c>
    </row>
    <row r="2309" customHeight="1" spans="1:2">
      <c r="A2309" s="3" t="s">
        <v>18314</v>
      </c>
      <c r="B2309" s="4">
        <v>99</v>
      </c>
    </row>
    <row r="2310" customHeight="1" spans="1:2">
      <c r="A2310" s="3" t="s">
        <v>6682</v>
      </c>
      <c r="B2310" s="4">
        <v>112</v>
      </c>
    </row>
    <row r="2311" customHeight="1" spans="1:2">
      <c r="A2311" s="3" t="s">
        <v>6527</v>
      </c>
      <c r="B2311" s="4">
        <v>106</v>
      </c>
    </row>
    <row r="2312" customHeight="1" spans="1:2">
      <c r="A2312" s="3" t="s">
        <v>20334</v>
      </c>
      <c r="B2312" s="4">
        <v>104</v>
      </c>
    </row>
    <row r="2313" customHeight="1" spans="1:2">
      <c r="A2313" s="3" t="s">
        <v>4380</v>
      </c>
      <c r="B2313" s="4">
        <v>90</v>
      </c>
    </row>
    <row r="2314" customHeight="1" spans="1:2">
      <c r="A2314" s="3" t="s">
        <v>2431</v>
      </c>
      <c r="B2314" s="4">
        <v>178</v>
      </c>
    </row>
    <row r="2315" customHeight="1" spans="1:2">
      <c r="A2315" s="3" t="s">
        <v>10805</v>
      </c>
      <c r="B2315" s="4">
        <v>30</v>
      </c>
    </row>
    <row r="2316" customHeight="1" spans="1:2">
      <c r="A2316" s="3" t="s">
        <v>10174</v>
      </c>
      <c r="B2316" s="4">
        <v>93</v>
      </c>
    </row>
    <row r="2317" customHeight="1" spans="1:2">
      <c r="A2317" s="3" t="s">
        <v>3928</v>
      </c>
      <c r="B2317" s="4">
        <v>106</v>
      </c>
    </row>
    <row r="2318" customHeight="1" spans="1:2">
      <c r="A2318" s="3" t="s">
        <v>4572</v>
      </c>
      <c r="B2318" s="4">
        <v>108</v>
      </c>
    </row>
    <row r="2319" customHeight="1" spans="1:2">
      <c r="A2319" s="3" t="s">
        <v>8385</v>
      </c>
      <c r="B2319" s="4">
        <v>86</v>
      </c>
    </row>
    <row r="2320" customHeight="1" spans="1:2">
      <c r="A2320" s="3" t="s">
        <v>11988</v>
      </c>
      <c r="B2320" s="4">
        <v>99</v>
      </c>
    </row>
    <row r="2321" customHeight="1" spans="1:2">
      <c r="A2321" s="3" t="s">
        <v>1250</v>
      </c>
      <c r="B2321" s="4">
        <v>95</v>
      </c>
    </row>
    <row r="2322" customHeight="1" spans="1:2">
      <c r="A2322" s="3" t="s">
        <v>10466</v>
      </c>
      <c r="B2322" s="4">
        <v>104</v>
      </c>
    </row>
    <row r="2323" customHeight="1" spans="1:2">
      <c r="A2323" s="3" t="s">
        <v>15576</v>
      </c>
      <c r="B2323" s="4">
        <v>130</v>
      </c>
    </row>
    <row r="2324" customHeight="1" spans="1:2">
      <c r="A2324" s="3" t="s">
        <v>17610</v>
      </c>
      <c r="B2324" s="4">
        <v>113</v>
      </c>
    </row>
    <row r="2325" customHeight="1" spans="1:2">
      <c r="A2325" s="3" t="s">
        <v>2415</v>
      </c>
      <c r="B2325" s="4">
        <v>145</v>
      </c>
    </row>
    <row r="2326" customHeight="1" spans="1:2">
      <c r="A2326" s="3" t="s">
        <v>6761</v>
      </c>
      <c r="B2326" s="4">
        <v>99</v>
      </c>
    </row>
    <row r="2327" customHeight="1" spans="1:2">
      <c r="A2327" s="3" t="s">
        <v>169</v>
      </c>
      <c r="B2327" s="4">
        <v>106</v>
      </c>
    </row>
    <row r="2328" customHeight="1" spans="1:2">
      <c r="A2328" s="3" t="s">
        <v>985</v>
      </c>
      <c r="B2328" s="4">
        <v>88</v>
      </c>
    </row>
    <row r="2329" customHeight="1" spans="1:2">
      <c r="A2329" s="3" t="s">
        <v>2078</v>
      </c>
      <c r="B2329" s="4">
        <v>98</v>
      </c>
    </row>
    <row r="2330" customHeight="1" spans="1:2">
      <c r="A2330" s="3" t="s">
        <v>7924</v>
      </c>
      <c r="B2330" s="4">
        <v>129</v>
      </c>
    </row>
    <row r="2331" customHeight="1" spans="1:2">
      <c r="A2331" s="3" t="s">
        <v>17271</v>
      </c>
      <c r="B2331" s="4">
        <v>76</v>
      </c>
    </row>
    <row r="2332" customHeight="1" spans="1:2">
      <c r="A2332" s="3" t="s">
        <v>16360</v>
      </c>
      <c r="B2332" s="4">
        <v>102</v>
      </c>
    </row>
    <row r="2333" customHeight="1" spans="1:2">
      <c r="A2333" s="3" t="s">
        <v>18882</v>
      </c>
      <c r="B2333" s="4">
        <v>97</v>
      </c>
    </row>
    <row r="2334" customHeight="1" spans="1:2">
      <c r="A2334" s="3" t="s">
        <v>4294</v>
      </c>
      <c r="B2334" s="4">
        <v>222</v>
      </c>
    </row>
    <row r="2335" customHeight="1" spans="1:2">
      <c r="A2335" s="3" t="s">
        <v>22407</v>
      </c>
      <c r="B2335" s="4">
        <v>106</v>
      </c>
    </row>
    <row r="2336" customHeight="1" spans="1:2">
      <c r="A2336" s="3" t="s">
        <v>8272</v>
      </c>
      <c r="B2336" s="4">
        <v>131</v>
      </c>
    </row>
    <row r="2337" customHeight="1" spans="1:2">
      <c r="A2337" s="3" t="s">
        <v>12042</v>
      </c>
      <c r="B2337" s="4">
        <v>93</v>
      </c>
    </row>
    <row r="2338" customHeight="1" spans="1:2">
      <c r="A2338" s="3" t="s">
        <v>12528</v>
      </c>
      <c r="B2338" s="4">
        <v>108</v>
      </c>
    </row>
    <row r="2339" customHeight="1" spans="1:2">
      <c r="A2339" s="3" t="s">
        <v>13214</v>
      </c>
      <c r="B2339" s="4">
        <v>145</v>
      </c>
    </row>
    <row r="2340" customHeight="1" spans="1:2">
      <c r="A2340" s="3" t="s">
        <v>22814</v>
      </c>
      <c r="B2340" s="4">
        <v>98</v>
      </c>
    </row>
    <row r="2341" customHeight="1" spans="1:2">
      <c r="A2341" s="3" t="s">
        <v>20089</v>
      </c>
      <c r="B2341" s="4">
        <v>125</v>
      </c>
    </row>
    <row r="2342" customHeight="1" spans="1:2">
      <c r="A2342" s="3" t="s">
        <v>1124</v>
      </c>
      <c r="B2342" s="4">
        <v>60</v>
      </c>
    </row>
    <row r="2343" customHeight="1" spans="1:2">
      <c r="A2343" s="3" t="s">
        <v>10532</v>
      </c>
      <c r="B2343" s="4">
        <v>119</v>
      </c>
    </row>
    <row r="2344" customHeight="1" spans="1:2">
      <c r="A2344" s="3" t="s">
        <v>9900</v>
      </c>
      <c r="B2344" s="4">
        <v>133</v>
      </c>
    </row>
    <row r="2345" customHeight="1" spans="1:2">
      <c r="A2345" s="3" t="s">
        <v>16530</v>
      </c>
      <c r="B2345" s="4">
        <v>46</v>
      </c>
    </row>
    <row r="2346" customHeight="1" spans="1:2">
      <c r="A2346" s="3" t="s">
        <v>6590</v>
      </c>
      <c r="B2346" s="4">
        <v>102</v>
      </c>
    </row>
    <row r="2347" customHeight="1" spans="1:2">
      <c r="A2347" s="3" t="s">
        <v>6197</v>
      </c>
      <c r="B2347" s="4">
        <v>105</v>
      </c>
    </row>
    <row r="2348" customHeight="1" spans="1:2">
      <c r="A2348" s="3" t="s">
        <v>23414</v>
      </c>
      <c r="B2348" s="4">
        <v>97</v>
      </c>
    </row>
    <row r="2349" customHeight="1" spans="1:2">
      <c r="A2349" s="3" t="s">
        <v>23115</v>
      </c>
      <c r="B2349" s="4">
        <v>94</v>
      </c>
    </row>
    <row r="2350" customHeight="1" spans="1:2">
      <c r="A2350" s="3" t="s">
        <v>18860</v>
      </c>
      <c r="B2350" s="4">
        <v>113</v>
      </c>
    </row>
    <row r="2351" customHeight="1" spans="1:2">
      <c r="A2351" s="3" t="s">
        <v>8259</v>
      </c>
      <c r="B2351" s="4">
        <v>94</v>
      </c>
    </row>
    <row r="2352" customHeight="1" spans="1:2">
      <c r="A2352" s="3" t="s">
        <v>7519</v>
      </c>
      <c r="B2352" s="4">
        <v>155</v>
      </c>
    </row>
    <row r="2353" customHeight="1" spans="1:2">
      <c r="A2353" s="3" t="s">
        <v>8389</v>
      </c>
      <c r="B2353" s="4">
        <v>126</v>
      </c>
    </row>
    <row r="2354" customHeight="1" spans="1:2">
      <c r="A2354" s="3" t="s">
        <v>12002</v>
      </c>
      <c r="B2354" s="4">
        <v>112</v>
      </c>
    </row>
    <row r="2355" customHeight="1" spans="1:2">
      <c r="A2355" s="3" t="s">
        <v>2767</v>
      </c>
      <c r="B2355" s="4">
        <v>114</v>
      </c>
    </row>
    <row r="2356" customHeight="1" spans="1:2">
      <c r="A2356" s="3" t="s">
        <v>10895</v>
      </c>
      <c r="B2356" s="4">
        <v>128</v>
      </c>
    </row>
    <row r="2357" customHeight="1" spans="1:2">
      <c r="A2357" s="3" t="s">
        <v>9601</v>
      </c>
      <c r="B2357" s="4">
        <v>124</v>
      </c>
    </row>
    <row r="2358" customHeight="1" spans="1:2">
      <c r="A2358" s="3" t="s">
        <v>8157</v>
      </c>
      <c r="B2358" s="4">
        <v>132</v>
      </c>
    </row>
    <row r="2359" customHeight="1" spans="1:2">
      <c r="A2359" s="3" t="s">
        <v>9199</v>
      </c>
      <c r="B2359" s="4">
        <v>101</v>
      </c>
    </row>
    <row r="2360" customHeight="1" spans="1:2">
      <c r="A2360" s="3" t="s">
        <v>3191</v>
      </c>
      <c r="B2360" s="4">
        <v>91</v>
      </c>
    </row>
    <row r="2361" customHeight="1" spans="1:2">
      <c r="A2361" s="3" t="s">
        <v>1701</v>
      </c>
      <c r="B2361" s="4">
        <v>145</v>
      </c>
    </row>
    <row r="2362" customHeight="1" spans="1:2">
      <c r="A2362" s="3" t="s">
        <v>5954</v>
      </c>
      <c r="B2362" s="4">
        <v>160</v>
      </c>
    </row>
    <row r="2363" customHeight="1" spans="1:2">
      <c r="A2363" s="3" t="s">
        <v>8875</v>
      </c>
      <c r="B2363" s="4">
        <v>135</v>
      </c>
    </row>
    <row r="2364" customHeight="1" spans="1:2">
      <c r="A2364" s="3" t="s">
        <v>13670</v>
      </c>
      <c r="B2364" s="4">
        <v>109</v>
      </c>
    </row>
    <row r="2365" customHeight="1" spans="1:2">
      <c r="A2365" s="3" t="s">
        <v>2451</v>
      </c>
      <c r="B2365" s="4">
        <v>106</v>
      </c>
    </row>
    <row r="2366" customHeight="1" spans="1:2">
      <c r="A2366" s="3" t="s">
        <v>18603</v>
      </c>
      <c r="B2366" s="4">
        <v>101</v>
      </c>
    </row>
    <row r="2367" customHeight="1" spans="1:2">
      <c r="A2367" s="3" t="s">
        <v>7482</v>
      </c>
      <c r="B2367" s="4">
        <v>112</v>
      </c>
    </row>
    <row r="2368" customHeight="1" spans="1:2">
      <c r="A2368" s="3" t="s">
        <v>14785</v>
      </c>
      <c r="B2368" s="4">
        <v>106</v>
      </c>
    </row>
    <row r="2369" customHeight="1" spans="1:2">
      <c r="A2369" s="3" t="s">
        <v>4207</v>
      </c>
      <c r="B2369" s="4">
        <v>115</v>
      </c>
    </row>
    <row r="2370" customHeight="1" spans="1:2">
      <c r="A2370" s="3" t="s">
        <v>5714</v>
      </c>
      <c r="B2370" s="4">
        <v>109</v>
      </c>
    </row>
    <row r="2371" customHeight="1" spans="1:2">
      <c r="A2371" s="3" t="s">
        <v>17508</v>
      </c>
      <c r="B2371" s="4">
        <v>129</v>
      </c>
    </row>
    <row r="2372" customHeight="1" spans="1:2">
      <c r="A2372" s="3" t="s">
        <v>17147</v>
      </c>
      <c r="B2372" s="4">
        <v>90</v>
      </c>
    </row>
    <row r="2373" customHeight="1" spans="1:2">
      <c r="A2373" s="3" t="s">
        <v>8688</v>
      </c>
      <c r="B2373" s="4">
        <v>88</v>
      </c>
    </row>
    <row r="2374" customHeight="1" spans="1:2">
      <c r="A2374" s="3" t="s">
        <v>2249</v>
      </c>
      <c r="B2374" s="4">
        <v>114</v>
      </c>
    </row>
    <row r="2375" customHeight="1" spans="1:2">
      <c r="A2375" s="3" t="s">
        <v>999</v>
      </c>
      <c r="B2375" s="4">
        <v>133</v>
      </c>
    </row>
    <row r="2376" customHeight="1" spans="1:2">
      <c r="A2376" s="3" t="s">
        <v>890</v>
      </c>
      <c r="B2376" s="4">
        <v>131</v>
      </c>
    </row>
    <row r="2377" customHeight="1" spans="1:2">
      <c r="A2377" s="3" t="s">
        <v>1343</v>
      </c>
      <c r="B2377" s="4">
        <v>123</v>
      </c>
    </row>
    <row r="2378" customHeight="1" spans="1:2">
      <c r="A2378" s="3" t="s">
        <v>920</v>
      </c>
      <c r="B2378" s="4">
        <v>124</v>
      </c>
    </row>
    <row r="2379" customHeight="1" spans="1:2">
      <c r="A2379" s="3" t="s">
        <v>2536</v>
      </c>
      <c r="B2379" s="4">
        <v>110</v>
      </c>
    </row>
    <row r="2380" customHeight="1" spans="1:2">
      <c r="A2380" s="3" t="s">
        <v>20866</v>
      </c>
      <c r="B2380" s="4">
        <v>123</v>
      </c>
    </row>
    <row r="2381" customHeight="1" spans="1:2">
      <c r="A2381" s="3" t="s">
        <v>14993</v>
      </c>
      <c r="B2381" s="4">
        <v>129</v>
      </c>
    </row>
    <row r="2382" customHeight="1" spans="1:2">
      <c r="A2382" s="3" t="s">
        <v>18230</v>
      </c>
      <c r="B2382" s="4">
        <v>115</v>
      </c>
    </row>
    <row r="2383" customHeight="1" spans="1:2">
      <c r="A2383" s="3" t="s">
        <v>16034</v>
      </c>
      <c r="B2383" s="4">
        <v>93</v>
      </c>
    </row>
    <row r="2384" customHeight="1" spans="1:2">
      <c r="A2384" s="3" t="s">
        <v>20998</v>
      </c>
      <c r="B2384" s="4">
        <v>87</v>
      </c>
    </row>
    <row r="2385" customHeight="1" spans="1:2">
      <c r="A2385" s="3" t="s">
        <v>10525</v>
      </c>
      <c r="B2385" s="4">
        <v>120</v>
      </c>
    </row>
    <row r="2386" customHeight="1" spans="1:2">
      <c r="A2386" s="3" t="s">
        <v>10622</v>
      </c>
      <c r="B2386" s="4">
        <v>102</v>
      </c>
    </row>
    <row r="2387" customHeight="1" spans="1:2">
      <c r="A2387" s="3" t="s">
        <v>17655</v>
      </c>
      <c r="B2387" s="4">
        <v>129</v>
      </c>
    </row>
    <row r="2388" customHeight="1" spans="1:2">
      <c r="A2388" s="3" t="s">
        <v>18270</v>
      </c>
      <c r="B2388" s="4">
        <v>98</v>
      </c>
    </row>
    <row r="2389" customHeight="1" spans="1:2">
      <c r="A2389" s="3" t="s">
        <v>3720</v>
      </c>
      <c r="B2389" s="4">
        <v>117</v>
      </c>
    </row>
    <row r="2390" customHeight="1" spans="1:2">
      <c r="A2390" s="3" t="s">
        <v>18691</v>
      </c>
      <c r="B2390" s="4">
        <v>113</v>
      </c>
    </row>
    <row r="2391" customHeight="1" spans="1:2">
      <c r="A2391" s="3" t="s">
        <v>9186</v>
      </c>
      <c r="B2391" s="4">
        <v>98</v>
      </c>
    </row>
    <row r="2392" customHeight="1" spans="1:2">
      <c r="A2392" s="3" t="s">
        <v>9560</v>
      </c>
      <c r="B2392" s="4">
        <v>97</v>
      </c>
    </row>
    <row r="2393" customHeight="1" spans="1:2">
      <c r="A2393" s="3" t="s">
        <v>3558</v>
      </c>
      <c r="B2393" s="4">
        <v>105</v>
      </c>
    </row>
    <row r="2394" customHeight="1" spans="1:2">
      <c r="A2394" s="3" t="s">
        <v>5123</v>
      </c>
      <c r="B2394" s="4">
        <v>133</v>
      </c>
    </row>
    <row r="2395" customHeight="1" spans="1:2">
      <c r="A2395" s="3" t="s">
        <v>11978</v>
      </c>
      <c r="B2395" s="4">
        <v>126</v>
      </c>
    </row>
    <row r="2396" customHeight="1" spans="1:2">
      <c r="A2396" s="3" t="s">
        <v>3181</v>
      </c>
      <c r="B2396" s="4">
        <v>93</v>
      </c>
    </row>
    <row r="2397" customHeight="1" spans="1:2">
      <c r="A2397" s="3" t="s">
        <v>21301</v>
      </c>
      <c r="B2397" s="4">
        <v>114</v>
      </c>
    </row>
    <row r="2398" customHeight="1" spans="1:2">
      <c r="A2398" s="3" t="s">
        <v>3120</v>
      </c>
      <c r="B2398" s="4">
        <v>91</v>
      </c>
    </row>
    <row r="2399" customHeight="1" spans="1:2">
      <c r="A2399" s="3" t="s">
        <v>17583</v>
      </c>
      <c r="B2399" s="4">
        <v>109</v>
      </c>
    </row>
    <row r="2400" customHeight="1" spans="1:2">
      <c r="A2400" s="3" t="s">
        <v>5741</v>
      </c>
      <c r="B2400" s="4">
        <v>101</v>
      </c>
    </row>
    <row r="2401" customHeight="1" spans="1:2">
      <c r="A2401" s="3" t="s">
        <v>18451</v>
      </c>
      <c r="B2401" s="4">
        <v>112</v>
      </c>
    </row>
    <row r="2402" customHeight="1" spans="1:2">
      <c r="A2402" s="3" t="s">
        <v>275</v>
      </c>
      <c r="B2402" s="4">
        <v>104</v>
      </c>
    </row>
    <row r="2403" customHeight="1" spans="1:2">
      <c r="A2403" s="3" t="s">
        <v>482</v>
      </c>
      <c r="B2403" s="4">
        <v>94</v>
      </c>
    </row>
    <row r="2404" customHeight="1" spans="1:2">
      <c r="A2404" s="3" t="s">
        <v>22648</v>
      </c>
      <c r="B2404" s="4">
        <v>94</v>
      </c>
    </row>
    <row r="2405" customHeight="1" spans="1:2">
      <c r="A2405" s="3" t="s">
        <v>1442</v>
      </c>
      <c r="B2405" s="4">
        <v>92</v>
      </c>
    </row>
    <row r="2406" customHeight="1" spans="1:2">
      <c r="A2406" s="3" t="s">
        <v>10980</v>
      </c>
      <c r="B2406" s="4">
        <v>109</v>
      </c>
    </row>
    <row r="2407" customHeight="1" spans="1:2">
      <c r="A2407" s="3" t="s">
        <v>22849</v>
      </c>
      <c r="B2407" s="4">
        <v>91</v>
      </c>
    </row>
    <row r="2408" customHeight="1" spans="1:2">
      <c r="A2408" s="3" t="s">
        <v>17852</v>
      </c>
      <c r="B2408" s="4">
        <v>97</v>
      </c>
    </row>
    <row r="2409" customHeight="1" spans="1:2">
      <c r="A2409" s="3" t="s">
        <v>10612</v>
      </c>
      <c r="B2409" s="4">
        <v>112</v>
      </c>
    </row>
    <row r="2410" customHeight="1" spans="1:2">
      <c r="A2410" s="3" t="s">
        <v>8054</v>
      </c>
      <c r="B2410" s="4">
        <v>126</v>
      </c>
    </row>
    <row r="2411" customHeight="1" spans="1:2">
      <c r="A2411" s="3" t="s">
        <v>12409</v>
      </c>
      <c r="B2411" s="4">
        <v>94</v>
      </c>
    </row>
    <row r="2412" customHeight="1" spans="1:2">
      <c r="A2412" s="3" t="s">
        <v>20987</v>
      </c>
      <c r="B2412" s="4">
        <v>94</v>
      </c>
    </row>
    <row r="2413" customHeight="1" spans="1:2">
      <c r="A2413" s="3" t="s">
        <v>6631</v>
      </c>
      <c r="B2413" s="4">
        <v>107</v>
      </c>
    </row>
    <row r="2414" customHeight="1" spans="1:2">
      <c r="A2414" s="3" t="s">
        <v>10700</v>
      </c>
      <c r="B2414" s="4">
        <v>101</v>
      </c>
    </row>
    <row r="2415" customHeight="1" spans="1:2">
      <c r="A2415" s="3" t="s">
        <v>8412</v>
      </c>
      <c r="B2415" s="4">
        <v>95</v>
      </c>
    </row>
    <row r="2416" customHeight="1" spans="1:2">
      <c r="A2416" s="3" t="s">
        <v>4406</v>
      </c>
      <c r="B2416" s="4">
        <v>107</v>
      </c>
    </row>
    <row r="2417" customHeight="1" spans="1:2">
      <c r="A2417" s="3" t="s">
        <v>17214</v>
      </c>
      <c r="B2417" s="4">
        <v>97</v>
      </c>
    </row>
    <row r="2418" customHeight="1" spans="1:2">
      <c r="A2418" s="3" t="s">
        <v>16674</v>
      </c>
      <c r="B2418" s="4">
        <v>125</v>
      </c>
    </row>
    <row r="2419" customHeight="1" spans="1:2">
      <c r="A2419" s="3" t="s">
        <v>15395</v>
      </c>
      <c r="B2419" s="4">
        <v>90</v>
      </c>
    </row>
    <row r="2420" customHeight="1" spans="1:2">
      <c r="A2420" s="3" t="s">
        <v>4887</v>
      </c>
      <c r="B2420" s="4">
        <v>127</v>
      </c>
    </row>
    <row r="2421" customHeight="1" spans="1:2">
      <c r="A2421" s="3" t="s">
        <v>15094</v>
      </c>
      <c r="B2421" s="4">
        <v>94</v>
      </c>
    </row>
    <row r="2422" customHeight="1" spans="1:2">
      <c r="A2422" s="3" t="s">
        <v>18310</v>
      </c>
      <c r="B2422" s="4">
        <v>120</v>
      </c>
    </row>
    <row r="2423" customHeight="1" spans="1:2">
      <c r="A2423" s="3" t="s">
        <v>8506</v>
      </c>
      <c r="B2423" s="4">
        <v>104</v>
      </c>
    </row>
    <row r="2424" customHeight="1" spans="1:2">
      <c r="A2424" s="3" t="s">
        <v>1536</v>
      </c>
      <c r="B2424" s="4">
        <v>126</v>
      </c>
    </row>
    <row r="2425" customHeight="1" spans="1:2">
      <c r="A2425" s="3" t="s">
        <v>9637</v>
      </c>
      <c r="B2425" s="4">
        <v>90</v>
      </c>
    </row>
    <row r="2426" customHeight="1" spans="1:2">
      <c r="A2426" s="3" t="s">
        <v>16289</v>
      </c>
      <c r="B2426" s="4">
        <v>104</v>
      </c>
    </row>
    <row r="2427" customHeight="1" spans="1:2">
      <c r="A2427" s="3" t="s">
        <v>5030</v>
      </c>
      <c r="B2427" s="4">
        <v>96</v>
      </c>
    </row>
    <row r="2428" customHeight="1" spans="1:2">
      <c r="A2428" s="3" t="s">
        <v>8038</v>
      </c>
      <c r="B2428" s="4">
        <v>143</v>
      </c>
    </row>
    <row r="2429" customHeight="1" spans="1:2">
      <c r="A2429" s="3" t="s">
        <v>17064</v>
      </c>
      <c r="B2429" s="4">
        <v>86</v>
      </c>
    </row>
    <row r="2430" customHeight="1" spans="1:2">
      <c r="A2430" s="3" t="s">
        <v>951</v>
      </c>
      <c r="B2430" s="4">
        <v>92</v>
      </c>
    </row>
    <row r="2431" customHeight="1" spans="1:2">
      <c r="A2431" s="3" t="s">
        <v>4687</v>
      </c>
      <c r="B2431" s="4">
        <v>94</v>
      </c>
    </row>
    <row r="2432" customHeight="1" spans="1:2">
      <c r="A2432" s="3" t="s">
        <v>20890</v>
      </c>
      <c r="B2432" s="4">
        <v>120</v>
      </c>
    </row>
    <row r="2433" customHeight="1" spans="1:2">
      <c r="A2433" s="3" t="s">
        <v>13551</v>
      </c>
      <c r="B2433" s="4">
        <v>150</v>
      </c>
    </row>
    <row r="2434" customHeight="1" spans="1:2">
      <c r="A2434" s="3" t="s">
        <v>11228</v>
      </c>
      <c r="B2434" s="4">
        <v>103</v>
      </c>
    </row>
    <row r="2435" customHeight="1" spans="1:2">
      <c r="A2435" s="3" t="s">
        <v>9376</v>
      </c>
      <c r="B2435" s="4">
        <v>125</v>
      </c>
    </row>
    <row r="2436" customHeight="1" spans="1:2">
      <c r="A2436" s="3" t="s">
        <v>9930</v>
      </c>
      <c r="B2436" s="4">
        <v>105</v>
      </c>
    </row>
    <row r="2437" customHeight="1" spans="1:2">
      <c r="A2437" s="3" t="s">
        <v>16043</v>
      </c>
      <c r="B2437" s="4">
        <v>111</v>
      </c>
    </row>
    <row r="2438" customHeight="1" spans="1:2">
      <c r="A2438" s="3" t="s">
        <v>15019</v>
      </c>
      <c r="B2438" s="4">
        <v>130</v>
      </c>
    </row>
    <row r="2439" customHeight="1" spans="1:2">
      <c r="A2439" s="3" t="s">
        <v>2134</v>
      </c>
      <c r="B2439" s="4">
        <v>88</v>
      </c>
    </row>
    <row r="2440" customHeight="1" spans="1:2">
      <c r="A2440" s="3" t="s">
        <v>13162</v>
      </c>
      <c r="B2440" s="4">
        <v>147</v>
      </c>
    </row>
    <row r="2441" customHeight="1" spans="1:2">
      <c r="A2441" s="3" t="s">
        <v>5909</v>
      </c>
      <c r="B2441" s="4">
        <v>117</v>
      </c>
    </row>
    <row r="2442" customHeight="1" spans="1:2">
      <c r="A2442" s="3" t="s">
        <v>8812</v>
      </c>
      <c r="B2442" s="4">
        <v>112</v>
      </c>
    </row>
    <row r="2443" customHeight="1" spans="1:2">
      <c r="A2443" s="3" t="s">
        <v>3096</v>
      </c>
      <c r="B2443" s="4">
        <v>163</v>
      </c>
    </row>
    <row r="2444" customHeight="1" spans="1:2">
      <c r="A2444" s="3" t="s">
        <v>10143</v>
      </c>
      <c r="B2444" s="4">
        <v>87</v>
      </c>
    </row>
    <row r="2445" customHeight="1" spans="1:2">
      <c r="A2445" s="3" t="s">
        <v>4803</v>
      </c>
      <c r="B2445" s="4">
        <v>119</v>
      </c>
    </row>
    <row r="2446" customHeight="1" spans="1:2">
      <c r="A2446" s="3" t="s">
        <v>5331</v>
      </c>
      <c r="B2446" s="4">
        <v>230</v>
      </c>
    </row>
    <row r="2447" customHeight="1" spans="1:2">
      <c r="A2447" s="3" t="s">
        <v>22970</v>
      </c>
      <c r="B2447" s="4">
        <v>88</v>
      </c>
    </row>
    <row r="2448" customHeight="1" spans="1:2">
      <c r="A2448" s="3" t="s">
        <v>6547</v>
      </c>
      <c r="B2448" s="4">
        <v>95</v>
      </c>
    </row>
    <row r="2449" customHeight="1" spans="1:2">
      <c r="A2449" s="3" t="s">
        <v>7395</v>
      </c>
      <c r="B2449" s="4">
        <v>98</v>
      </c>
    </row>
    <row r="2450" customHeight="1" spans="1:2">
      <c r="A2450" s="3" t="s">
        <v>21078</v>
      </c>
      <c r="B2450" s="4">
        <v>82</v>
      </c>
    </row>
    <row r="2451" customHeight="1" spans="1:2">
      <c r="A2451" s="3" t="s">
        <v>23959</v>
      </c>
      <c r="B2451" s="4">
        <v>109</v>
      </c>
    </row>
    <row r="2452" customHeight="1" spans="1:2">
      <c r="A2452" s="3" t="s">
        <v>22795</v>
      </c>
      <c r="B2452" s="4">
        <v>86</v>
      </c>
    </row>
    <row r="2453" customHeight="1" spans="1:2">
      <c r="A2453" s="3" t="s">
        <v>14191</v>
      </c>
      <c r="B2453" s="4">
        <v>86</v>
      </c>
    </row>
    <row r="2454" customHeight="1" spans="1:2">
      <c r="A2454" s="3" t="s">
        <v>22913</v>
      </c>
      <c r="B2454" s="4">
        <v>97</v>
      </c>
    </row>
    <row r="2455" customHeight="1" spans="1:2">
      <c r="A2455" s="3" t="s">
        <v>11041</v>
      </c>
      <c r="B2455" s="4">
        <v>112</v>
      </c>
    </row>
    <row r="2456" customHeight="1" spans="1:2">
      <c r="A2456" s="3" t="s">
        <v>5655</v>
      </c>
      <c r="B2456" s="4">
        <v>105</v>
      </c>
    </row>
    <row r="2457" customHeight="1" spans="1:2">
      <c r="A2457" s="3" t="s">
        <v>11771</v>
      </c>
      <c r="B2457" s="4">
        <v>94</v>
      </c>
    </row>
    <row r="2458" customHeight="1" spans="1:2">
      <c r="A2458" s="3" t="s">
        <v>17705</v>
      </c>
      <c r="B2458" s="4">
        <v>95</v>
      </c>
    </row>
    <row r="2459" customHeight="1" spans="1:2">
      <c r="A2459" s="3" t="s">
        <v>19538</v>
      </c>
      <c r="B2459" s="4">
        <v>80</v>
      </c>
    </row>
    <row r="2460" customHeight="1" spans="1:2">
      <c r="A2460" s="3" t="s">
        <v>13388</v>
      </c>
      <c r="B2460" s="4">
        <v>101</v>
      </c>
    </row>
    <row r="2461" customHeight="1" spans="1:2">
      <c r="A2461" s="3" t="s">
        <v>15288</v>
      </c>
      <c r="B2461" s="4">
        <v>95</v>
      </c>
    </row>
    <row r="2462" customHeight="1" spans="1:2">
      <c r="A2462" s="3" t="s">
        <v>13448</v>
      </c>
      <c r="B2462" s="4">
        <v>90</v>
      </c>
    </row>
    <row r="2463" customHeight="1" spans="1:2">
      <c r="A2463" s="3" t="s">
        <v>14516</v>
      </c>
      <c r="B2463" s="4">
        <v>120</v>
      </c>
    </row>
    <row r="2464" customHeight="1" spans="1:2">
      <c r="A2464" s="3" t="s">
        <v>24159</v>
      </c>
      <c r="B2464" s="4">
        <v>90</v>
      </c>
    </row>
    <row r="2465" customHeight="1" spans="1:2">
      <c r="A2465" s="3" t="s">
        <v>16484</v>
      </c>
      <c r="B2465" s="4">
        <v>95</v>
      </c>
    </row>
    <row r="2466" customHeight="1" spans="1:2">
      <c r="A2466" s="3" t="s">
        <v>23001</v>
      </c>
      <c r="B2466" s="4">
        <v>83</v>
      </c>
    </row>
    <row r="2467" customHeight="1" spans="1:2">
      <c r="A2467" s="3" t="s">
        <v>12153</v>
      </c>
      <c r="B2467" s="4">
        <v>170</v>
      </c>
    </row>
    <row r="2468" customHeight="1" spans="1:2">
      <c r="A2468" s="3" t="s">
        <v>4244</v>
      </c>
      <c r="B2468" s="4">
        <v>94</v>
      </c>
    </row>
    <row r="2469" customHeight="1" spans="1:2">
      <c r="A2469" s="3" t="s">
        <v>10535</v>
      </c>
      <c r="B2469" s="4">
        <v>101</v>
      </c>
    </row>
    <row r="2470" customHeight="1" spans="1:2">
      <c r="A2470" s="3" t="s">
        <v>12346</v>
      </c>
      <c r="B2470" s="4">
        <v>102</v>
      </c>
    </row>
    <row r="2471" customHeight="1" spans="1:2">
      <c r="A2471" s="3" t="s">
        <v>21955</v>
      </c>
      <c r="B2471" s="4">
        <v>90</v>
      </c>
    </row>
    <row r="2472" customHeight="1" spans="1:2">
      <c r="A2472" s="3" t="s">
        <v>12271</v>
      </c>
      <c r="B2472" s="4">
        <v>98</v>
      </c>
    </row>
    <row r="2473" customHeight="1" spans="1:2">
      <c r="A2473" s="3" t="s">
        <v>19878</v>
      </c>
      <c r="B2473" s="4">
        <v>106</v>
      </c>
    </row>
    <row r="2474" customHeight="1" spans="1:2">
      <c r="A2474" s="3" t="s">
        <v>16279</v>
      </c>
      <c r="B2474" s="4">
        <v>114</v>
      </c>
    </row>
    <row r="2475" customHeight="1" spans="1:2">
      <c r="A2475" s="3" t="s">
        <v>21006</v>
      </c>
      <c r="B2475" s="4">
        <v>84</v>
      </c>
    </row>
    <row r="2476" customHeight="1" spans="1:2">
      <c r="A2476" s="3" t="s">
        <v>15900</v>
      </c>
      <c r="B2476" s="4">
        <v>128</v>
      </c>
    </row>
    <row r="2477" customHeight="1" spans="1:2">
      <c r="A2477" s="3" t="s">
        <v>19833</v>
      </c>
      <c r="B2477" s="4">
        <v>104</v>
      </c>
    </row>
    <row r="2478" customHeight="1" spans="1:2">
      <c r="A2478" s="3" t="s">
        <v>9060</v>
      </c>
      <c r="B2478" s="4">
        <v>109</v>
      </c>
    </row>
    <row r="2479" customHeight="1" spans="1:2">
      <c r="A2479" s="3" t="s">
        <v>9820</v>
      </c>
      <c r="B2479" s="4">
        <v>214</v>
      </c>
    </row>
    <row r="2480" customHeight="1" spans="1:2">
      <c r="A2480" s="3" t="s">
        <v>12509</v>
      </c>
      <c r="B2480" s="4">
        <v>105</v>
      </c>
    </row>
    <row r="2481" customHeight="1" spans="1:2">
      <c r="A2481" s="3" t="s">
        <v>20797</v>
      </c>
      <c r="B2481" s="4">
        <v>86</v>
      </c>
    </row>
    <row r="2482" customHeight="1" spans="1:2">
      <c r="A2482" s="3" t="s">
        <v>8485</v>
      </c>
      <c r="B2482" s="4">
        <v>95</v>
      </c>
    </row>
    <row r="2483" customHeight="1" spans="1:2">
      <c r="A2483" s="3" t="s">
        <v>15042</v>
      </c>
      <c r="B2483" s="4">
        <v>99</v>
      </c>
    </row>
    <row r="2484" customHeight="1" spans="1:2">
      <c r="A2484" s="3" t="s">
        <v>3574</v>
      </c>
      <c r="B2484" s="4">
        <v>121</v>
      </c>
    </row>
    <row r="2485" customHeight="1" spans="1:2">
      <c r="A2485" s="3" t="s">
        <v>8995</v>
      </c>
      <c r="B2485" s="4">
        <v>119</v>
      </c>
    </row>
    <row r="2486" customHeight="1" spans="1:2">
      <c r="A2486" s="3" t="s">
        <v>17070</v>
      </c>
      <c r="B2486" s="4">
        <v>104</v>
      </c>
    </row>
    <row r="2487" customHeight="1" spans="1:2">
      <c r="A2487" s="3" t="s">
        <v>8153</v>
      </c>
      <c r="B2487" s="4">
        <v>138</v>
      </c>
    </row>
    <row r="2488" customHeight="1" spans="1:2">
      <c r="A2488" s="3" t="s">
        <v>7909</v>
      </c>
      <c r="B2488" s="4">
        <v>92</v>
      </c>
    </row>
    <row r="2489" customHeight="1" spans="1:2">
      <c r="A2489" s="3" t="s">
        <v>8286</v>
      </c>
      <c r="B2489" s="4">
        <v>83</v>
      </c>
    </row>
    <row r="2490" customHeight="1" spans="1:2">
      <c r="A2490" s="3" t="s">
        <v>15914</v>
      </c>
      <c r="B2490" s="4">
        <v>128</v>
      </c>
    </row>
    <row r="2491" customHeight="1" spans="1:2">
      <c r="A2491" s="3" t="s">
        <v>10963</v>
      </c>
      <c r="B2491" s="4">
        <v>99</v>
      </c>
    </row>
    <row r="2492" customHeight="1" spans="1:2">
      <c r="A2492" s="3" t="s">
        <v>7529</v>
      </c>
      <c r="B2492" s="4">
        <v>109</v>
      </c>
    </row>
    <row r="2493" customHeight="1" spans="1:2">
      <c r="A2493" s="3" t="s">
        <v>9542</v>
      </c>
      <c r="B2493" s="4">
        <v>97</v>
      </c>
    </row>
    <row r="2494" customHeight="1" spans="1:2">
      <c r="A2494" s="3" t="s">
        <v>22829</v>
      </c>
      <c r="B2494" s="4">
        <v>92</v>
      </c>
    </row>
    <row r="2495" customHeight="1" spans="1:2">
      <c r="A2495" s="3" t="s">
        <v>16356</v>
      </c>
      <c r="B2495" s="4">
        <v>105</v>
      </c>
    </row>
    <row r="2496" customHeight="1" spans="1:2">
      <c r="A2496" s="3" t="s">
        <v>12724</v>
      </c>
      <c r="B2496" s="4">
        <v>98</v>
      </c>
    </row>
    <row r="2497" customHeight="1" spans="1:2">
      <c r="A2497" s="3" t="s">
        <v>1792</v>
      </c>
      <c r="B2497" s="4">
        <v>131</v>
      </c>
    </row>
    <row r="2498" customHeight="1" spans="1:2">
      <c r="A2498" s="3" t="s">
        <v>22332</v>
      </c>
      <c r="B2498" s="4">
        <v>107</v>
      </c>
    </row>
    <row r="2499" customHeight="1" spans="1:2">
      <c r="A2499" s="3" t="s">
        <v>18100</v>
      </c>
      <c r="B2499" s="4">
        <v>97</v>
      </c>
    </row>
    <row r="2500" customHeight="1" spans="1:2">
      <c r="A2500" s="3" t="s">
        <v>21213</v>
      </c>
      <c r="B2500" s="4">
        <v>97</v>
      </c>
    </row>
    <row r="2501" customHeight="1" spans="1:2">
      <c r="A2501" s="3" t="s">
        <v>14194</v>
      </c>
      <c r="B2501" s="4">
        <v>115</v>
      </c>
    </row>
    <row r="2502" customHeight="1" spans="1:2">
      <c r="A2502" s="3" t="s">
        <v>3629</v>
      </c>
      <c r="B2502" s="4">
        <v>132</v>
      </c>
    </row>
    <row r="2503" customHeight="1" spans="1:2">
      <c r="A2503" s="3" t="s">
        <v>7361</v>
      </c>
      <c r="B2503" s="4">
        <v>92</v>
      </c>
    </row>
    <row r="2504" customHeight="1" spans="1:2">
      <c r="A2504" s="3" t="s">
        <v>11717</v>
      </c>
      <c r="B2504" s="4">
        <v>97</v>
      </c>
    </row>
    <row r="2505" customHeight="1" spans="1:2">
      <c r="A2505" s="3" t="s">
        <v>11016</v>
      </c>
      <c r="B2505" s="4">
        <v>96</v>
      </c>
    </row>
    <row r="2506" customHeight="1" spans="1:2">
      <c r="A2506" s="3" t="s">
        <v>18788</v>
      </c>
      <c r="B2506" s="4">
        <v>121</v>
      </c>
    </row>
    <row r="2507" customHeight="1" spans="1:2">
      <c r="A2507" s="3" t="s">
        <v>22586</v>
      </c>
      <c r="B2507" s="4">
        <v>98</v>
      </c>
    </row>
    <row r="2508" customHeight="1" spans="1:2">
      <c r="A2508" s="3" t="s">
        <v>19567</v>
      </c>
      <c r="B2508" s="4">
        <v>90</v>
      </c>
    </row>
    <row r="2509" customHeight="1" spans="1:2">
      <c r="A2509" s="3" t="s">
        <v>10591</v>
      </c>
      <c r="B2509" s="4">
        <v>110</v>
      </c>
    </row>
    <row r="2510" customHeight="1" spans="1:2">
      <c r="A2510" s="3" t="s">
        <v>13175</v>
      </c>
      <c r="B2510" s="4">
        <v>103</v>
      </c>
    </row>
    <row r="2511" customHeight="1" spans="1:2">
      <c r="A2511" s="3" t="s">
        <v>7179</v>
      </c>
      <c r="B2511" s="4">
        <v>121</v>
      </c>
    </row>
    <row r="2512" customHeight="1" spans="1:2">
      <c r="A2512" s="3" t="s">
        <v>16076</v>
      </c>
      <c r="B2512" s="4">
        <v>97</v>
      </c>
    </row>
    <row r="2513" customHeight="1" spans="1:2">
      <c r="A2513" s="3" t="s">
        <v>16060</v>
      </c>
      <c r="B2513" s="4">
        <v>107</v>
      </c>
    </row>
    <row r="2514" customHeight="1" spans="1:2">
      <c r="A2514" s="3" t="s">
        <v>9312</v>
      </c>
      <c r="B2514" s="4">
        <v>113</v>
      </c>
    </row>
    <row r="2515" customHeight="1" spans="1:2">
      <c r="A2515" s="3" t="s">
        <v>6773</v>
      </c>
      <c r="B2515" s="4">
        <v>91</v>
      </c>
    </row>
    <row r="2516" customHeight="1" spans="1:2">
      <c r="A2516" s="3" t="s">
        <v>13043</v>
      </c>
      <c r="B2516" s="4">
        <v>124</v>
      </c>
    </row>
    <row r="2517" customHeight="1" spans="1:2">
      <c r="A2517" s="3" t="s">
        <v>13474</v>
      </c>
      <c r="B2517" s="4">
        <v>136</v>
      </c>
    </row>
    <row r="2518" customHeight="1" spans="1:2">
      <c r="A2518" s="3" t="s">
        <v>24134</v>
      </c>
      <c r="B2518" s="4">
        <v>95</v>
      </c>
    </row>
    <row r="2519" customHeight="1" spans="1:2">
      <c r="A2519" s="3" t="s">
        <v>19291</v>
      </c>
      <c r="B2519" s="4">
        <v>84</v>
      </c>
    </row>
    <row r="2520" customHeight="1" spans="1:2">
      <c r="A2520" s="3" t="s">
        <v>15508</v>
      </c>
      <c r="B2520" s="4">
        <v>98</v>
      </c>
    </row>
    <row r="2521" customHeight="1" spans="1:2">
      <c r="A2521" s="3" t="s">
        <v>21637</v>
      </c>
      <c r="B2521" s="4">
        <v>104</v>
      </c>
    </row>
    <row r="2522" customHeight="1" spans="1:2">
      <c r="A2522" s="3" t="s">
        <v>21260</v>
      </c>
      <c r="B2522" s="4">
        <v>92</v>
      </c>
    </row>
    <row r="2523" customHeight="1" spans="1:2">
      <c r="A2523" s="3" t="s">
        <v>15252</v>
      </c>
      <c r="B2523" s="4">
        <v>132</v>
      </c>
    </row>
    <row r="2524" customHeight="1" spans="1:2">
      <c r="A2524" s="3" t="s">
        <v>14897</v>
      </c>
      <c r="B2524" s="4">
        <v>90</v>
      </c>
    </row>
    <row r="2525" customHeight="1" spans="1:2">
      <c r="A2525" s="3" t="s">
        <v>1509</v>
      </c>
      <c r="B2525" s="4">
        <v>108</v>
      </c>
    </row>
    <row r="2526" customHeight="1" spans="1:2">
      <c r="A2526" s="3" t="s">
        <v>814</v>
      </c>
      <c r="B2526" s="4">
        <v>105</v>
      </c>
    </row>
    <row r="2527" customHeight="1" spans="1:2">
      <c r="A2527" s="3" t="s">
        <v>1244</v>
      </c>
      <c r="B2527" s="4">
        <v>98</v>
      </c>
    </row>
    <row r="2528" customHeight="1" spans="1:2">
      <c r="A2528" s="3" t="s">
        <v>18433</v>
      </c>
      <c r="B2528" s="4">
        <v>192</v>
      </c>
    </row>
    <row r="2529" customHeight="1" spans="1:2">
      <c r="A2529" s="3" t="s">
        <v>18413</v>
      </c>
      <c r="B2529" s="4">
        <v>104</v>
      </c>
    </row>
    <row r="2530" customHeight="1" spans="1:2">
      <c r="A2530" s="3" t="s">
        <v>15962</v>
      </c>
      <c r="B2530" s="4">
        <v>117</v>
      </c>
    </row>
    <row r="2531" customHeight="1" spans="1:2">
      <c r="A2531" s="3" t="s">
        <v>17695</v>
      </c>
      <c r="B2531" s="4">
        <v>99</v>
      </c>
    </row>
    <row r="2532" customHeight="1" spans="1:2">
      <c r="A2532" s="3" t="s">
        <v>16621</v>
      </c>
      <c r="B2532" s="4">
        <v>60</v>
      </c>
    </row>
    <row r="2533" customHeight="1" spans="1:2">
      <c r="A2533" s="3" t="s">
        <v>7121</v>
      </c>
      <c r="B2533" s="4">
        <v>96</v>
      </c>
    </row>
    <row r="2534" customHeight="1" spans="1:2">
      <c r="A2534" s="3" t="s">
        <v>20495</v>
      </c>
      <c r="B2534" s="4">
        <v>83</v>
      </c>
    </row>
    <row r="2535" customHeight="1" spans="1:2">
      <c r="A2535" s="3" t="s">
        <v>20941</v>
      </c>
      <c r="B2535" s="4">
        <v>114</v>
      </c>
    </row>
    <row r="2536" customHeight="1" spans="1:2">
      <c r="A2536" s="3" t="s">
        <v>2854</v>
      </c>
      <c r="B2536" s="4">
        <v>118</v>
      </c>
    </row>
    <row r="2537" customHeight="1" spans="1:2">
      <c r="A2537" s="3" t="s">
        <v>5302</v>
      </c>
      <c r="B2537" s="4">
        <v>99</v>
      </c>
    </row>
    <row r="2538" customHeight="1" spans="1:2">
      <c r="A2538" s="3" t="s">
        <v>5942</v>
      </c>
      <c r="B2538" s="4">
        <v>212</v>
      </c>
    </row>
    <row r="2539" customHeight="1" spans="1:2">
      <c r="A2539" s="3" t="s">
        <v>9455</v>
      </c>
      <c r="B2539" s="4">
        <v>122</v>
      </c>
    </row>
    <row r="2540" customHeight="1" spans="1:2">
      <c r="A2540" s="3" t="s">
        <v>20313</v>
      </c>
      <c r="B2540" s="4">
        <v>102</v>
      </c>
    </row>
    <row r="2541" customHeight="1" spans="1:2">
      <c r="A2541" s="3" t="s">
        <v>17768</v>
      </c>
      <c r="B2541" s="4">
        <v>103</v>
      </c>
    </row>
    <row r="2542" customHeight="1" spans="1:2">
      <c r="A2542" s="3" t="s">
        <v>13740</v>
      </c>
      <c r="B2542" s="4">
        <v>84</v>
      </c>
    </row>
    <row r="2543" customHeight="1" spans="1:2">
      <c r="A2543" s="3" t="s">
        <v>20530</v>
      </c>
      <c r="B2543" s="4">
        <v>88</v>
      </c>
    </row>
    <row r="2544" customHeight="1" spans="1:2">
      <c r="A2544" s="3" t="s">
        <v>8934</v>
      </c>
      <c r="B2544" s="4">
        <v>104</v>
      </c>
    </row>
    <row r="2545" customHeight="1" spans="1:2">
      <c r="A2545" s="3" t="s">
        <v>9481</v>
      </c>
      <c r="B2545" s="4">
        <v>108</v>
      </c>
    </row>
    <row r="2546" customHeight="1" spans="1:2">
      <c r="A2546" s="3" t="s">
        <v>18770</v>
      </c>
      <c r="B2546" s="4">
        <v>81</v>
      </c>
    </row>
    <row r="2547" customHeight="1" spans="1:2">
      <c r="A2547" s="3" t="s">
        <v>1208</v>
      </c>
      <c r="B2547" s="4">
        <v>138</v>
      </c>
    </row>
    <row r="2548" customHeight="1" spans="1:2">
      <c r="A2548" s="3" t="s">
        <v>6888</v>
      </c>
      <c r="B2548" s="4">
        <v>112</v>
      </c>
    </row>
    <row r="2549" customHeight="1" spans="1:2">
      <c r="A2549" s="3" t="s">
        <v>5131</v>
      </c>
      <c r="B2549" s="4">
        <v>106</v>
      </c>
    </row>
    <row r="2550" customHeight="1" spans="1:2">
      <c r="A2550" s="3" t="s">
        <v>8548</v>
      </c>
      <c r="B2550" s="4">
        <v>126</v>
      </c>
    </row>
    <row r="2551" customHeight="1" spans="1:2">
      <c r="A2551" s="3" t="s">
        <v>20604</v>
      </c>
      <c r="B2551" s="4">
        <v>103</v>
      </c>
    </row>
    <row r="2552" customHeight="1" spans="1:2">
      <c r="A2552" s="3" t="s">
        <v>12798</v>
      </c>
      <c r="B2552" s="4">
        <v>99</v>
      </c>
    </row>
    <row r="2553" customHeight="1" spans="1:2">
      <c r="A2553" s="3" t="s">
        <v>22208</v>
      </c>
      <c r="B2553" s="4">
        <v>93</v>
      </c>
    </row>
    <row r="2554" customHeight="1" spans="1:2">
      <c r="A2554" s="3" t="s">
        <v>17786</v>
      </c>
      <c r="B2554" s="4">
        <v>99</v>
      </c>
    </row>
    <row r="2555" customHeight="1" spans="1:2">
      <c r="A2555" s="3" t="s">
        <v>9075</v>
      </c>
      <c r="B2555" s="4">
        <v>92</v>
      </c>
    </row>
    <row r="2556" customHeight="1" spans="1:2">
      <c r="A2556" s="3" t="s">
        <v>23076</v>
      </c>
      <c r="B2556" s="4">
        <v>95</v>
      </c>
    </row>
    <row r="2557" customHeight="1" spans="1:2">
      <c r="A2557" s="3" t="s">
        <v>9549</v>
      </c>
      <c r="B2557" s="4">
        <v>98</v>
      </c>
    </row>
    <row r="2558" customHeight="1" spans="1:2">
      <c r="A2558" s="3" t="s">
        <v>18722</v>
      </c>
      <c r="B2558" s="4">
        <v>90</v>
      </c>
    </row>
    <row r="2559" customHeight="1" spans="1:2">
      <c r="A2559" s="3" t="s">
        <v>6091</v>
      </c>
      <c r="B2559" s="4">
        <v>124</v>
      </c>
    </row>
    <row r="2560" customHeight="1" spans="1:2">
      <c r="A2560" s="3" t="s">
        <v>23204</v>
      </c>
      <c r="B2560" s="4">
        <v>78</v>
      </c>
    </row>
    <row r="2561" customHeight="1" spans="1:2">
      <c r="A2561" s="3" t="s">
        <v>17186</v>
      </c>
      <c r="B2561" s="4">
        <v>95</v>
      </c>
    </row>
    <row r="2562" customHeight="1" spans="1:2">
      <c r="A2562" s="3" t="s">
        <v>22693</v>
      </c>
      <c r="B2562" s="4">
        <v>103</v>
      </c>
    </row>
    <row r="2563" customHeight="1" spans="1:2">
      <c r="A2563" s="3" t="s">
        <v>2233</v>
      </c>
      <c r="B2563" s="4">
        <v>129</v>
      </c>
    </row>
    <row r="2564" customHeight="1" spans="1:2">
      <c r="A2564" s="3" t="s">
        <v>3042</v>
      </c>
      <c r="B2564" s="4">
        <v>125</v>
      </c>
    </row>
    <row r="2565" customHeight="1" spans="1:2">
      <c r="A2565" s="3" t="s">
        <v>20662</v>
      </c>
      <c r="B2565" s="4">
        <v>98</v>
      </c>
    </row>
    <row r="2566" customHeight="1" spans="1:2">
      <c r="A2566" s="3" t="s">
        <v>16903</v>
      </c>
      <c r="B2566" s="4">
        <v>141</v>
      </c>
    </row>
    <row r="2567" customHeight="1" spans="1:2">
      <c r="A2567" s="3" t="s">
        <v>12921</v>
      </c>
      <c r="B2567" s="4">
        <v>94</v>
      </c>
    </row>
    <row r="2568" customHeight="1" spans="1:2">
      <c r="A2568" s="3" t="s">
        <v>20833</v>
      </c>
      <c r="B2568" s="4"/>
    </row>
    <row r="2569" customHeight="1" spans="1:2">
      <c r="A2569" s="3" t="s">
        <v>15491</v>
      </c>
      <c r="B2569" s="4">
        <v>84</v>
      </c>
    </row>
    <row r="2570" customHeight="1" spans="1:2">
      <c r="A2570" s="3" t="s">
        <v>10125</v>
      </c>
      <c r="B2570" s="4">
        <v>110</v>
      </c>
    </row>
    <row r="2571" customHeight="1" spans="1:2">
      <c r="A2571" s="3" t="s">
        <v>2473</v>
      </c>
      <c r="B2571" s="4">
        <v>109</v>
      </c>
    </row>
    <row r="2572" customHeight="1" spans="1:2">
      <c r="A2572" s="3" t="s">
        <v>9277</v>
      </c>
      <c r="B2572" s="4">
        <v>107</v>
      </c>
    </row>
    <row r="2573" customHeight="1" spans="1:2">
      <c r="A2573" s="3" t="s">
        <v>14652</v>
      </c>
      <c r="B2573" s="4">
        <v>190</v>
      </c>
    </row>
    <row r="2574" customHeight="1" spans="1:2">
      <c r="A2574" s="3" t="s">
        <v>7168</v>
      </c>
      <c r="B2574" s="4">
        <v>115</v>
      </c>
    </row>
    <row r="2575" customHeight="1" spans="1:2">
      <c r="A2575" s="3" t="s">
        <v>1430</v>
      </c>
      <c r="B2575" s="4">
        <v>124</v>
      </c>
    </row>
    <row r="2576" customHeight="1" spans="1:2">
      <c r="A2576" s="3" t="s">
        <v>11849</v>
      </c>
      <c r="B2576" s="4">
        <v>86</v>
      </c>
    </row>
    <row r="2577" customHeight="1" spans="1:2">
      <c r="A2577" s="3" t="s">
        <v>21653</v>
      </c>
      <c r="B2577" s="4">
        <v>84</v>
      </c>
    </row>
    <row r="2578" customHeight="1" spans="1:2">
      <c r="A2578" s="3" t="s">
        <v>2329</v>
      </c>
      <c r="B2578" s="4">
        <v>116</v>
      </c>
    </row>
    <row r="2579" customHeight="1" spans="1:2">
      <c r="A2579" s="3" t="s">
        <v>2384</v>
      </c>
      <c r="B2579" s="4">
        <v>122</v>
      </c>
    </row>
    <row r="2580" customHeight="1" spans="1:2">
      <c r="A2580" s="3" t="s">
        <v>1531</v>
      </c>
      <c r="B2580" s="4">
        <v>125</v>
      </c>
    </row>
    <row r="2581" customHeight="1" spans="1:2">
      <c r="A2581" s="3" t="s">
        <v>2893</v>
      </c>
      <c r="B2581" s="4">
        <v>104</v>
      </c>
    </row>
    <row r="2582" customHeight="1" spans="1:2">
      <c r="A2582" s="3" t="s">
        <v>21634</v>
      </c>
      <c r="B2582" s="4">
        <v>107</v>
      </c>
    </row>
    <row r="2583" customHeight="1" spans="1:2">
      <c r="A2583" s="3" t="s">
        <v>9051</v>
      </c>
      <c r="B2583" s="4">
        <v>131</v>
      </c>
    </row>
    <row r="2584" customHeight="1" spans="1:2">
      <c r="A2584" s="3" t="s">
        <v>17616</v>
      </c>
      <c r="B2584" s="4">
        <v>104</v>
      </c>
    </row>
    <row r="2585" customHeight="1" spans="1:2">
      <c r="A2585" s="3" t="s">
        <v>17871</v>
      </c>
      <c r="B2585" s="4">
        <v>122</v>
      </c>
    </row>
    <row r="2586" customHeight="1" spans="1:2">
      <c r="A2586" s="3" t="s">
        <v>15464</v>
      </c>
      <c r="B2586" s="4">
        <v>81</v>
      </c>
    </row>
    <row r="2587" customHeight="1" spans="1:2">
      <c r="A2587" s="3" t="s">
        <v>15066</v>
      </c>
      <c r="B2587" s="4">
        <v>89</v>
      </c>
    </row>
    <row r="2588" customHeight="1" spans="1:2">
      <c r="A2588" s="3" t="s">
        <v>7377</v>
      </c>
      <c r="B2588" s="4">
        <v>88</v>
      </c>
    </row>
    <row r="2589" customHeight="1" spans="1:2">
      <c r="A2589" s="3" t="s">
        <v>23049</v>
      </c>
      <c r="B2589" s="4">
        <v>76</v>
      </c>
    </row>
    <row r="2590" customHeight="1" spans="1:2">
      <c r="A2590" s="3" t="s">
        <v>10105</v>
      </c>
      <c r="B2590" s="4">
        <v>88</v>
      </c>
    </row>
    <row r="2591" customHeight="1" spans="1:2">
      <c r="A2591" s="3" t="s">
        <v>19435</v>
      </c>
      <c r="B2591" s="4">
        <v>120</v>
      </c>
    </row>
    <row r="2592" customHeight="1" spans="1:2">
      <c r="A2592" s="3" t="s">
        <v>3822</v>
      </c>
      <c r="B2592" s="4">
        <v>130</v>
      </c>
    </row>
    <row r="2593" customHeight="1" spans="1:2">
      <c r="A2593" s="3" t="s">
        <v>14849</v>
      </c>
      <c r="B2593" s="4">
        <v>153</v>
      </c>
    </row>
    <row r="2594" customHeight="1" spans="1:2">
      <c r="A2594" s="3" t="s">
        <v>3374</v>
      </c>
      <c r="B2594" s="4">
        <v>119</v>
      </c>
    </row>
    <row r="2595" customHeight="1" spans="1:2">
      <c r="A2595" s="3" t="s">
        <v>5283</v>
      </c>
      <c r="B2595" s="4">
        <v>101</v>
      </c>
    </row>
    <row r="2596" customHeight="1" spans="1:2">
      <c r="A2596" s="3" t="s">
        <v>16049</v>
      </c>
      <c r="B2596" s="4">
        <v>142</v>
      </c>
    </row>
    <row r="2597" customHeight="1" spans="1:2">
      <c r="A2597" s="3" t="s">
        <v>24089</v>
      </c>
      <c r="B2597" s="4">
        <v>84</v>
      </c>
    </row>
    <row r="2598" customHeight="1" spans="1:2">
      <c r="A2598" s="3" t="s">
        <v>15163</v>
      </c>
      <c r="B2598" s="4">
        <v>85</v>
      </c>
    </row>
    <row r="2599" customHeight="1" spans="1:2">
      <c r="A2599" s="3" t="s">
        <v>23241</v>
      </c>
      <c r="B2599" s="4">
        <v>86</v>
      </c>
    </row>
    <row r="2600" customHeight="1" spans="1:2">
      <c r="A2600" s="3" t="s">
        <v>10076</v>
      </c>
      <c r="B2600" s="4">
        <v>137</v>
      </c>
    </row>
    <row r="2601" customHeight="1" spans="1:2">
      <c r="A2601" s="3" t="s">
        <v>22042</v>
      </c>
      <c r="B2601" s="4">
        <v>108</v>
      </c>
    </row>
    <row r="2602" customHeight="1" spans="1:2">
      <c r="A2602" s="3" t="s">
        <v>21770</v>
      </c>
      <c r="B2602" s="4">
        <v>97</v>
      </c>
    </row>
    <row r="2603" customHeight="1" spans="1:2">
      <c r="A2603" s="3" t="s">
        <v>8664</v>
      </c>
      <c r="B2603" s="4">
        <v>251</v>
      </c>
    </row>
    <row r="2604" customHeight="1" spans="1:2">
      <c r="A2604" s="3" t="s">
        <v>8855</v>
      </c>
      <c r="B2604" s="4">
        <v>102</v>
      </c>
    </row>
    <row r="2605" customHeight="1" spans="1:2">
      <c r="A2605" s="3" t="s">
        <v>21066</v>
      </c>
      <c r="B2605" s="4">
        <v>98</v>
      </c>
    </row>
    <row r="2606" customHeight="1" spans="1:2">
      <c r="A2606" s="3" t="s">
        <v>17844</v>
      </c>
      <c r="B2606" s="4">
        <v>145</v>
      </c>
    </row>
    <row r="2607" customHeight="1" spans="1:2">
      <c r="A2607" s="3" t="s">
        <v>23572</v>
      </c>
      <c r="B2607" s="4">
        <v>85</v>
      </c>
    </row>
    <row r="2608" customHeight="1" spans="1:2">
      <c r="A2608" s="3" t="s">
        <v>14363</v>
      </c>
      <c r="B2608" s="4">
        <v>111</v>
      </c>
    </row>
    <row r="2609" customHeight="1" spans="1:2">
      <c r="A2609" s="3" t="s">
        <v>13019</v>
      </c>
      <c r="B2609" s="4">
        <v>107</v>
      </c>
    </row>
    <row r="2610" customHeight="1" spans="1:2">
      <c r="A2610" s="3" t="s">
        <v>15031</v>
      </c>
      <c r="B2610" s="4">
        <v>106</v>
      </c>
    </row>
    <row r="2611" customHeight="1" spans="1:2">
      <c r="A2611" s="3" t="s">
        <v>18340</v>
      </c>
      <c r="B2611" s="4">
        <v>133</v>
      </c>
    </row>
    <row r="2612" customHeight="1" spans="1:2">
      <c r="A2612" s="3" t="s">
        <v>6174</v>
      </c>
      <c r="B2612" s="4">
        <v>91</v>
      </c>
    </row>
    <row r="2613" customHeight="1" spans="1:2">
      <c r="A2613" s="3" t="s">
        <v>14106</v>
      </c>
      <c r="B2613" s="4">
        <v>96</v>
      </c>
    </row>
    <row r="2614" customHeight="1" spans="1:2">
      <c r="A2614" s="3" t="s">
        <v>12064</v>
      </c>
      <c r="B2614" s="4">
        <v>121</v>
      </c>
    </row>
    <row r="2615" customHeight="1" spans="1:2">
      <c r="A2615" s="3" t="s">
        <v>10935</v>
      </c>
      <c r="B2615" s="4">
        <v>87</v>
      </c>
    </row>
    <row r="2616" customHeight="1" spans="1:2">
      <c r="A2616" s="3" t="s">
        <v>11188</v>
      </c>
      <c r="B2616" s="4">
        <v>123</v>
      </c>
    </row>
    <row r="2617" customHeight="1" spans="1:2">
      <c r="A2617" s="3" t="s">
        <v>20631</v>
      </c>
      <c r="B2617" s="4">
        <v>95</v>
      </c>
    </row>
    <row r="2618" customHeight="1" spans="1:2">
      <c r="A2618" s="3" t="s">
        <v>8478</v>
      </c>
      <c r="B2618" s="4">
        <v>127</v>
      </c>
    </row>
    <row r="2619" customHeight="1" spans="1:2">
      <c r="A2619" s="3" t="s">
        <v>13244</v>
      </c>
      <c r="B2619" s="4">
        <v>110</v>
      </c>
    </row>
    <row r="2620" customHeight="1" spans="1:2">
      <c r="A2620" s="3" t="s">
        <v>18161</v>
      </c>
      <c r="B2620" s="4">
        <v>90</v>
      </c>
    </row>
    <row r="2621" customHeight="1" spans="1:2">
      <c r="A2621" s="3" t="s">
        <v>17170</v>
      </c>
      <c r="B2621" s="4">
        <v>99</v>
      </c>
    </row>
    <row r="2622" customHeight="1" spans="1:2">
      <c r="A2622" s="3" t="s">
        <v>15769</v>
      </c>
      <c r="B2622" s="4">
        <v>86</v>
      </c>
    </row>
    <row r="2623" customHeight="1" spans="1:2">
      <c r="A2623" s="3" t="s">
        <v>9247</v>
      </c>
      <c r="B2623" s="4">
        <v>139</v>
      </c>
    </row>
    <row r="2624" customHeight="1" spans="1:2">
      <c r="A2624" s="3" t="s">
        <v>19552</v>
      </c>
      <c r="B2624" s="4">
        <v>85</v>
      </c>
    </row>
    <row r="2625" customHeight="1" spans="1:2">
      <c r="A2625" s="3" t="s">
        <v>2390</v>
      </c>
      <c r="B2625" s="4">
        <v>83</v>
      </c>
    </row>
    <row r="2626" customHeight="1" spans="1:2">
      <c r="A2626" s="3" t="s">
        <v>23751</v>
      </c>
      <c r="B2626" s="4">
        <v>68</v>
      </c>
    </row>
    <row r="2627" customHeight="1" spans="1:2">
      <c r="A2627" s="3" t="s">
        <v>22502</v>
      </c>
      <c r="B2627" s="4">
        <v>79</v>
      </c>
    </row>
    <row r="2628" customHeight="1" spans="1:2">
      <c r="A2628" s="3" t="s">
        <v>13897</v>
      </c>
      <c r="B2628" s="4">
        <v>115</v>
      </c>
    </row>
    <row r="2629" customHeight="1" spans="1:2">
      <c r="A2629" s="3" t="s">
        <v>23473</v>
      </c>
      <c r="B2629" s="4">
        <v>126</v>
      </c>
    </row>
    <row r="2630" customHeight="1" spans="1:2">
      <c r="A2630" s="3" t="s">
        <v>17002</v>
      </c>
      <c r="B2630" s="4">
        <v>124</v>
      </c>
    </row>
    <row r="2631" customHeight="1" spans="1:2">
      <c r="A2631" s="3" t="s">
        <v>21711</v>
      </c>
      <c r="B2631" s="4">
        <v>92</v>
      </c>
    </row>
    <row r="2632" customHeight="1" spans="1:2">
      <c r="A2632" s="3" t="s">
        <v>9318</v>
      </c>
      <c r="B2632" s="4">
        <v>118</v>
      </c>
    </row>
    <row r="2633" customHeight="1" spans="1:2">
      <c r="A2633" s="3" t="s">
        <v>10795</v>
      </c>
      <c r="B2633" s="4">
        <v>123</v>
      </c>
    </row>
    <row r="2634" customHeight="1" spans="1:2">
      <c r="A2634" s="3" t="s">
        <v>22553</v>
      </c>
      <c r="B2634" s="4">
        <v>83</v>
      </c>
    </row>
    <row r="2635" customHeight="1" spans="1:2">
      <c r="A2635" s="3" t="s">
        <v>13972</v>
      </c>
      <c r="B2635" s="4">
        <v>132</v>
      </c>
    </row>
    <row r="2636" customHeight="1" spans="1:2">
      <c r="A2636" s="3" t="s">
        <v>3498</v>
      </c>
      <c r="B2636" s="4">
        <v>95</v>
      </c>
    </row>
    <row r="2637" customHeight="1" spans="1:2">
      <c r="A2637" s="3" t="s">
        <v>17550</v>
      </c>
      <c r="B2637" s="4">
        <v>89</v>
      </c>
    </row>
    <row r="2638" customHeight="1" spans="1:2">
      <c r="A2638" s="3" t="s">
        <v>9012</v>
      </c>
      <c r="B2638" s="4">
        <v>107</v>
      </c>
    </row>
    <row r="2639" customHeight="1" spans="1:2">
      <c r="A2639" s="3" t="s">
        <v>13457</v>
      </c>
      <c r="B2639" s="4">
        <v>103</v>
      </c>
    </row>
    <row r="2640" customHeight="1" spans="1:2">
      <c r="A2640" s="3" t="s">
        <v>17659</v>
      </c>
      <c r="B2640" s="4">
        <v>90</v>
      </c>
    </row>
    <row r="2641" customHeight="1" spans="1:2">
      <c r="A2641" s="3" t="s">
        <v>10417</v>
      </c>
      <c r="B2641" s="4">
        <v>108</v>
      </c>
    </row>
    <row r="2642" customHeight="1" spans="1:2">
      <c r="A2642" s="3" t="s">
        <v>14593</v>
      </c>
      <c r="B2642" s="4">
        <v>89</v>
      </c>
    </row>
    <row r="2643" customHeight="1" spans="1:2">
      <c r="A2643" s="3" t="s">
        <v>8047</v>
      </c>
      <c r="B2643" s="4">
        <v>161</v>
      </c>
    </row>
    <row r="2644" customHeight="1" spans="1:2">
      <c r="A2644" s="3" t="s">
        <v>11706</v>
      </c>
      <c r="B2644" s="4">
        <v>107</v>
      </c>
    </row>
    <row r="2645" customHeight="1" spans="1:2">
      <c r="A2645" s="3" t="s">
        <v>5596</v>
      </c>
      <c r="B2645" s="4">
        <v>123</v>
      </c>
    </row>
    <row r="2646" customHeight="1" spans="1:2">
      <c r="A2646" s="3" t="s">
        <v>17966</v>
      </c>
      <c r="B2646" s="4">
        <v>194</v>
      </c>
    </row>
    <row r="2647" customHeight="1" spans="1:2">
      <c r="A2647" s="3" t="s">
        <v>20845</v>
      </c>
      <c r="B2647" s="4">
        <v>92</v>
      </c>
    </row>
    <row r="2648" customHeight="1" spans="1:2">
      <c r="A2648" s="3" t="s">
        <v>10529</v>
      </c>
      <c r="B2648" s="4">
        <v>116</v>
      </c>
    </row>
    <row r="2649" customHeight="1" spans="1:2">
      <c r="A2649" s="3" t="s">
        <v>5277</v>
      </c>
      <c r="B2649" s="4">
        <v>114</v>
      </c>
    </row>
    <row r="2650" customHeight="1" spans="1:2">
      <c r="A2650" s="3" t="s">
        <v>5126</v>
      </c>
      <c r="B2650" s="4">
        <v>127</v>
      </c>
    </row>
    <row r="2651" customHeight="1" spans="1:2">
      <c r="A2651" s="3" t="s">
        <v>5501</v>
      </c>
      <c r="B2651" s="4">
        <v>64</v>
      </c>
    </row>
    <row r="2652" customHeight="1" spans="1:2">
      <c r="A2652" s="3" t="s">
        <v>16390</v>
      </c>
      <c r="B2652" s="4">
        <v>101</v>
      </c>
    </row>
    <row r="2653" customHeight="1" spans="1:2">
      <c r="A2653" s="3" t="s">
        <v>16597</v>
      </c>
      <c r="B2653" s="4">
        <v>96</v>
      </c>
    </row>
    <row r="2654" customHeight="1" spans="1:2">
      <c r="A2654" s="3" t="s">
        <v>15098</v>
      </c>
      <c r="B2654" s="4">
        <v>95</v>
      </c>
    </row>
    <row r="2655" customHeight="1" spans="1:2">
      <c r="A2655" s="3" t="s">
        <v>2553</v>
      </c>
      <c r="B2655" s="4">
        <v>83</v>
      </c>
    </row>
    <row r="2656" customHeight="1" spans="1:2">
      <c r="A2656" s="3" t="s">
        <v>23702</v>
      </c>
      <c r="B2656" s="4">
        <v>110</v>
      </c>
    </row>
    <row r="2657" customHeight="1" spans="1:2">
      <c r="A2657" s="3" t="s">
        <v>15279</v>
      </c>
      <c r="B2657" s="4">
        <v>104</v>
      </c>
    </row>
    <row r="2658" customHeight="1" spans="1:2">
      <c r="A2658" s="3" t="s">
        <v>293</v>
      </c>
      <c r="B2658" s="4">
        <v>260</v>
      </c>
    </row>
    <row r="2659" customHeight="1" spans="1:2">
      <c r="A2659" s="3" t="s">
        <v>8303</v>
      </c>
      <c r="B2659" s="4">
        <v>126</v>
      </c>
    </row>
    <row r="2660" customHeight="1" spans="1:2">
      <c r="A2660" s="3" t="s">
        <v>18391</v>
      </c>
      <c r="B2660" s="4">
        <v>133</v>
      </c>
    </row>
    <row r="2661" customHeight="1" spans="1:2">
      <c r="A2661" s="3" t="s">
        <v>383</v>
      </c>
      <c r="B2661" s="4">
        <v>131</v>
      </c>
    </row>
    <row r="2662" customHeight="1" spans="1:2">
      <c r="A2662" s="3" t="s">
        <v>4726</v>
      </c>
      <c r="B2662" s="4">
        <v>95</v>
      </c>
    </row>
    <row r="2663" customHeight="1" spans="1:2">
      <c r="A2663" s="3" t="s">
        <v>9285</v>
      </c>
      <c r="B2663" s="4">
        <v>129</v>
      </c>
    </row>
    <row r="2664" customHeight="1" spans="1:2">
      <c r="A2664" s="3" t="s">
        <v>10891</v>
      </c>
      <c r="B2664" s="4">
        <v>158</v>
      </c>
    </row>
    <row r="2665" customHeight="1" spans="1:2">
      <c r="A2665" s="3" t="s">
        <v>16769</v>
      </c>
      <c r="B2665" s="4">
        <v>115</v>
      </c>
    </row>
    <row r="2666" customHeight="1" spans="1:2">
      <c r="A2666" s="3" t="s">
        <v>21730</v>
      </c>
      <c r="B2666" s="4">
        <v>100</v>
      </c>
    </row>
    <row r="2667" customHeight="1" spans="1:2">
      <c r="A2667" s="3" t="s">
        <v>944</v>
      </c>
      <c r="B2667" s="4">
        <v>333</v>
      </c>
    </row>
    <row r="2668" customHeight="1" spans="1:2">
      <c r="A2668" s="3" t="s">
        <v>13320</v>
      </c>
      <c r="B2668" s="4">
        <v>124</v>
      </c>
    </row>
    <row r="2669" customHeight="1" spans="1:2">
      <c r="A2669" s="3" t="s">
        <v>22176</v>
      </c>
      <c r="B2669" s="4">
        <v>110</v>
      </c>
    </row>
    <row r="2670" customHeight="1" spans="1:2">
      <c r="A2670" s="3" t="s">
        <v>6817</v>
      </c>
      <c r="B2670" s="4">
        <v>108</v>
      </c>
    </row>
    <row r="2671" customHeight="1" spans="1:2">
      <c r="A2671" s="3" t="s">
        <v>5540</v>
      </c>
      <c r="B2671" s="4">
        <v>112</v>
      </c>
    </row>
    <row r="2672" customHeight="1" spans="1:2">
      <c r="A2672" s="3" t="s">
        <v>12428</v>
      </c>
      <c r="B2672" s="4">
        <v>112</v>
      </c>
    </row>
    <row r="2673" customHeight="1" spans="1:2">
      <c r="A2673" s="3" t="s">
        <v>11125</v>
      </c>
      <c r="B2673" s="4">
        <v>84</v>
      </c>
    </row>
    <row r="2674" customHeight="1" spans="1:2">
      <c r="A2674" s="3" t="s">
        <v>14187</v>
      </c>
      <c r="B2674" s="4">
        <v>109</v>
      </c>
    </row>
    <row r="2675" customHeight="1" spans="1:2">
      <c r="A2675" s="3" t="s">
        <v>19182</v>
      </c>
      <c r="B2675" s="4">
        <v>98</v>
      </c>
    </row>
    <row r="2676" customHeight="1" spans="1:2">
      <c r="A2676" s="3" t="s">
        <v>17544</v>
      </c>
      <c r="B2676" s="4">
        <v>94</v>
      </c>
    </row>
    <row r="2677" customHeight="1" spans="1:2">
      <c r="A2677" s="3" t="s">
        <v>17567</v>
      </c>
      <c r="B2677" s="4">
        <v>96</v>
      </c>
    </row>
    <row r="2678" customHeight="1" spans="1:2">
      <c r="A2678" s="3" t="s">
        <v>22839</v>
      </c>
      <c r="B2678" s="4">
        <v>84</v>
      </c>
    </row>
    <row r="2679" customHeight="1" spans="1:2">
      <c r="A2679" s="3" t="s">
        <v>17596</v>
      </c>
      <c r="B2679" s="4">
        <v>101</v>
      </c>
    </row>
    <row r="2680" customHeight="1" spans="1:2">
      <c r="A2680" s="3" t="s">
        <v>4125</v>
      </c>
      <c r="B2680" s="4">
        <v>92</v>
      </c>
    </row>
    <row r="2681" customHeight="1" spans="1:2">
      <c r="A2681" s="3" t="s">
        <v>9477</v>
      </c>
      <c r="B2681" s="4">
        <v>105</v>
      </c>
    </row>
    <row r="2682" customHeight="1" spans="1:2">
      <c r="A2682" s="3" t="s">
        <v>13829</v>
      </c>
      <c r="B2682" s="4">
        <v>120</v>
      </c>
    </row>
    <row r="2683" customHeight="1" spans="1:2">
      <c r="A2683" s="3" t="s">
        <v>7600</v>
      </c>
      <c r="B2683" s="4">
        <v>118</v>
      </c>
    </row>
    <row r="2684" customHeight="1" spans="1:2">
      <c r="A2684" s="3" t="s">
        <v>15480</v>
      </c>
      <c r="B2684" s="4">
        <v>116</v>
      </c>
    </row>
    <row r="2685" customHeight="1" spans="1:2">
      <c r="A2685" s="3" t="s">
        <v>17920</v>
      </c>
      <c r="B2685" s="4">
        <v>98</v>
      </c>
    </row>
    <row r="2686" customHeight="1" spans="1:2">
      <c r="A2686" s="3" t="s">
        <v>11366</v>
      </c>
      <c r="B2686" s="4">
        <v>114</v>
      </c>
    </row>
    <row r="2687" customHeight="1" spans="1:2">
      <c r="A2687" s="3" t="s">
        <v>18157</v>
      </c>
      <c r="B2687" s="4">
        <v>106</v>
      </c>
    </row>
    <row r="2688" customHeight="1" spans="1:2">
      <c r="A2688" s="3" t="s">
        <v>5024</v>
      </c>
      <c r="B2688" s="4">
        <v>115</v>
      </c>
    </row>
    <row r="2689" customHeight="1" spans="1:2">
      <c r="A2689" s="3" t="s">
        <v>16234</v>
      </c>
      <c r="B2689" s="4">
        <v>95</v>
      </c>
    </row>
    <row r="2690" customHeight="1" spans="1:2">
      <c r="A2690" s="3" t="s">
        <v>5737</v>
      </c>
      <c r="B2690" s="4">
        <v>117</v>
      </c>
    </row>
    <row r="2691" customHeight="1" spans="1:2">
      <c r="A2691" s="3" t="s">
        <v>14102</v>
      </c>
      <c r="B2691" s="4">
        <v>172</v>
      </c>
    </row>
    <row r="2692" customHeight="1" spans="1:2">
      <c r="A2692" s="3" t="s">
        <v>7013</v>
      </c>
      <c r="B2692" s="4">
        <v>94</v>
      </c>
    </row>
    <row r="2693" customHeight="1" spans="1:2">
      <c r="A2693" s="3" t="s">
        <v>9215</v>
      </c>
      <c r="B2693" s="4">
        <v>91</v>
      </c>
    </row>
    <row r="2694" customHeight="1" spans="1:2">
      <c r="A2694" s="3" t="s">
        <v>6554</v>
      </c>
      <c r="B2694" s="4">
        <v>109</v>
      </c>
    </row>
    <row r="2695" customHeight="1" spans="1:2">
      <c r="A2695" s="3" t="s">
        <v>6594</v>
      </c>
      <c r="B2695" s="4">
        <v>123</v>
      </c>
    </row>
    <row r="2696" customHeight="1" spans="1:2">
      <c r="A2696" s="3" t="s">
        <v>5085</v>
      </c>
      <c r="B2696" s="4">
        <v>90</v>
      </c>
    </row>
    <row r="2697" customHeight="1" spans="1:2">
      <c r="A2697" s="3" t="s">
        <v>4132</v>
      </c>
      <c r="B2697" s="4">
        <v>119</v>
      </c>
    </row>
    <row r="2698" customHeight="1" spans="1:2">
      <c r="A2698" s="3" t="s">
        <v>15698</v>
      </c>
      <c r="B2698" s="4">
        <v>79</v>
      </c>
    </row>
    <row r="2699" customHeight="1" spans="1:2">
      <c r="A2699" s="3" t="s">
        <v>23777</v>
      </c>
      <c r="B2699" s="4">
        <v>80</v>
      </c>
    </row>
    <row r="2700" customHeight="1" spans="1:2">
      <c r="A2700" s="3" t="s">
        <v>15213</v>
      </c>
      <c r="B2700" s="4">
        <v>120</v>
      </c>
    </row>
    <row r="2701" customHeight="1" spans="1:2">
      <c r="A2701" s="3" t="s">
        <v>753</v>
      </c>
      <c r="B2701" s="4">
        <v>184</v>
      </c>
    </row>
    <row r="2702" customHeight="1" spans="1:2">
      <c r="A2702" s="3" t="s">
        <v>13123</v>
      </c>
      <c r="B2702" s="4">
        <v>95</v>
      </c>
    </row>
    <row r="2703" customHeight="1" spans="1:2">
      <c r="A2703" s="3" t="s">
        <v>11806</v>
      </c>
      <c r="B2703" s="4">
        <v>103</v>
      </c>
    </row>
    <row r="2704" customHeight="1" spans="1:2">
      <c r="A2704" s="3" t="s">
        <v>1153</v>
      </c>
      <c r="B2704" s="4">
        <v>92</v>
      </c>
    </row>
    <row r="2705" customHeight="1" spans="1:2">
      <c r="A2705" s="3" t="s">
        <v>23715</v>
      </c>
      <c r="B2705" s="4">
        <v>99</v>
      </c>
    </row>
    <row r="2706" customHeight="1" spans="1:2">
      <c r="A2706" s="3" t="s">
        <v>11481</v>
      </c>
      <c r="B2706" s="4">
        <v>100</v>
      </c>
    </row>
    <row r="2707" customHeight="1" spans="1:2">
      <c r="A2707" s="3" t="s">
        <v>11307</v>
      </c>
      <c r="B2707" s="4">
        <v>42</v>
      </c>
    </row>
    <row r="2708" customHeight="1" spans="1:2">
      <c r="A2708" s="3" t="s">
        <v>2073</v>
      </c>
      <c r="B2708" s="4">
        <v>118</v>
      </c>
    </row>
    <row r="2709" customHeight="1" spans="1:2">
      <c r="A2709" s="3" t="s">
        <v>2225</v>
      </c>
      <c r="B2709" s="4">
        <v>106</v>
      </c>
    </row>
    <row r="2710" customHeight="1" spans="1:2">
      <c r="A2710" s="3" t="s">
        <v>23563</v>
      </c>
      <c r="B2710" s="4">
        <v>109</v>
      </c>
    </row>
    <row r="2711" customHeight="1" spans="1:2">
      <c r="A2711" s="3" t="s">
        <v>3848</v>
      </c>
      <c r="B2711" s="4">
        <v>147</v>
      </c>
    </row>
    <row r="2712" customHeight="1" spans="1:2">
      <c r="A2712" s="3" t="s">
        <v>16833</v>
      </c>
      <c r="B2712" s="4">
        <v>88</v>
      </c>
    </row>
    <row r="2713" customHeight="1" spans="1:2">
      <c r="A2713" s="3" t="s">
        <v>16413</v>
      </c>
      <c r="B2713" s="4">
        <v>89</v>
      </c>
    </row>
    <row r="2714" customHeight="1" spans="1:2">
      <c r="A2714" s="3" t="s">
        <v>14460</v>
      </c>
      <c r="B2714" s="4">
        <v>103</v>
      </c>
    </row>
    <row r="2715" customHeight="1" spans="1:2">
      <c r="A2715" s="3" t="s">
        <v>14935</v>
      </c>
      <c r="B2715" s="4">
        <v>102</v>
      </c>
    </row>
    <row r="2716" customHeight="1" spans="1:2">
      <c r="A2716" s="3" t="s">
        <v>19338</v>
      </c>
      <c r="B2716" s="4">
        <v>97</v>
      </c>
    </row>
    <row r="2717" customHeight="1" spans="1:2">
      <c r="A2717" s="3" t="s">
        <v>19320</v>
      </c>
      <c r="B2717" s="4">
        <v>99</v>
      </c>
    </row>
    <row r="2718" customHeight="1" spans="1:2">
      <c r="A2718" s="3" t="s">
        <v>7895</v>
      </c>
      <c r="B2718" s="4">
        <v>123</v>
      </c>
    </row>
    <row r="2719" customHeight="1" spans="1:2">
      <c r="A2719" s="3" t="s">
        <v>12512</v>
      </c>
      <c r="B2719" s="4">
        <v>125</v>
      </c>
    </row>
    <row r="2720" customHeight="1" spans="1:2">
      <c r="A2720" s="3" t="s">
        <v>14170</v>
      </c>
      <c r="B2720" s="4">
        <v>98</v>
      </c>
    </row>
    <row r="2721" customHeight="1" spans="1:2">
      <c r="A2721" s="3" t="s">
        <v>14536</v>
      </c>
      <c r="B2721" s="4">
        <v>81</v>
      </c>
    </row>
    <row r="2722" customHeight="1" spans="1:2">
      <c r="A2722" s="3" t="s">
        <v>23782</v>
      </c>
      <c r="B2722" s="4">
        <v>84</v>
      </c>
    </row>
    <row r="2723" customHeight="1" spans="1:2">
      <c r="A2723" s="3" t="s">
        <v>23036</v>
      </c>
      <c r="B2723" s="4">
        <v>80</v>
      </c>
    </row>
    <row r="2724" customHeight="1" spans="1:2">
      <c r="A2724" s="3" t="s">
        <v>23062</v>
      </c>
      <c r="B2724" s="4">
        <v>110</v>
      </c>
    </row>
    <row r="2725" customHeight="1" spans="1:2">
      <c r="A2725" s="3" t="s">
        <v>9240</v>
      </c>
      <c r="B2725" s="4">
        <v>117</v>
      </c>
    </row>
    <row r="2726" customHeight="1" spans="1:2">
      <c r="A2726" s="3" t="s">
        <v>24058</v>
      </c>
      <c r="B2726" s="4">
        <v>108</v>
      </c>
    </row>
    <row r="2727" customHeight="1" spans="1:2">
      <c r="A2727" s="3" t="s">
        <v>23980</v>
      </c>
      <c r="B2727" s="4">
        <v>65</v>
      </c>
    </row>
    <row r="2728" customHeight="1" spans="1:2">
      <c r="A2728" s="3" t="s">
        <v>21353</v>
      </c>
      <c r="B2728" s="4">
        <v>97</v>
      </c>
    </row>
    <row r="2729" customHeight="1" spans="1:2">
      <c r="A2729" s="3" t="s">
        <v>6034</v>
      </c>
      <c r="B2729" s="4">
        <v>88</v>
      </c>
    </row>
    <row r="2730" customHeight="1" spans="1:2">
      <c r="A2730" s="3" t="s">
        <v>10167</v>
      </c>
      <c r="B2730" s="4">
        <v>88</v>
      </c>
    </row>
    <row r="2731" customHeight="1" spans="1:2">
      <c r="A2731" s="3" t="s">
        <v>5513</v>
      </c>
      <c r="B2731" s="4">
        <v>135</v>
      </c>
    </row>
    <row r="2732" customHeight="1" spans="1:2">
      <c r="A2732" s="3" t="s">
        <v>47</v>
      </c>
      <c r="B2732" s="4">
        <v>169</v>
      </c>
    </row>
    <row r="2733" customHeight="1" spans="1:2">
      <c r="A2733" s="3" t="s">
        <v>133</v>
      </c>
      <c r="B2733" s="4">
        <v>151</v>
      </c>
    </row>
    <row r="2734" customHeight="1" spans="1:2">
      <c r="A2734" s="3" t="s">
        <v>161</v>
      </c>
      <c r="B2734" s="4">
        <v>136</v>
      </c>
    </row>
    <row r="2735" customHeight="1" spans="1:2">
      <c r="A2735" s="3" t="s">
        <v>1264</v>
      </c>
      <c r="B2735" s="4">
        <v>143</v>
      </c>
    </row>
    <row r="2736" customHeight="1" spans="1:2">
      <c r="A2736" s="3" t="s">
        <v>10224</v>
      </c>
      <c r="B2736" s="4">
        <v>112</v>
      </c>
    </row>
    <row r="2737" customHeight="1" spans="1:2">
      <c r="A2737" s="3" t="s">
        <v>8768</v>
      </c>
      <c r="B2737" s="4">
        <v>115</v>
      </c>
    </row>
    <row r="2738" customHeight="1" spans="1:2">
      <c r="A2738" s="3" t="s">
        <v>12228</v>
      </c>
      <c r="B2738" s="4">
        <v>112</v>
      </c>
    </row>
    <row r="2739" customHeight="1" spans="1:2">
      <c r="A2739" s="3" t="s">
        <v>2187</v>
      </c>
      <c r="B2739" s="4">
        <v>106</v>
      </c>
    </row>
    <row r="2740" customHeight="1" spans="1:2">
      <c r="A2740" s="3" t="s">
        <v>4254</v>
      </c>
      <c r="B2740" s="4">
        <v>91</v>
      </c>
    </row>
    <row r="2741" customHeight="1" spans="1:2">
      <c r="A2741" s="3" t="s">
        <v>1714</v>
      </c>
      <c r="B2741" s="4">
        <v>238</v>
      </c>
    </row>
    <row r="2742" customHeight="1" spans="1:2">
      <c r="A2742" s="3" t="s">
        <v>15521</v>
      </c>
      <c r="B2742" s="4">
        <v>102</v>
      </c>
    </row>
    <row r="2743" customHeight="1" spans="1:2">
      <c r="A2743" s="3" t="s">
        <v>16976</v>
      </c>
      <c r="B2743" s="4">
        <v>120</v>
      </c>
    </row>
    <row r="2744" customHeight="1" spans="1:2">
      <c r="A2744" s="3" t="s">
        <v>10159</v>
      </c>
      <c r="B2744" s="4">
        <v>124</v>
      </c>
    </row>
    <row r="2745" customHeight="1" spans="1:2">
      <c r="A2745" s="3" t="s">
        <v>7803</v>
      </c>
      <c r="B2745" s="4">
        <v>105</v>
      </c>
    </row>
    <row r="2746" customHeight="1" spans="1:2">
      <c r="A2746" s="3" t="s">
        <v>19373</v>
      </c>
      <c r="B2746" s="4">
        <v>90</v>
      </c>
    </row>
    <row r="2747" customHeight="1" spans="1:2">
      <c r="A2747" s="3" t="s">
        <v>20460</v>
      </c>
      <c r="B2747" s="4">
        <v>99</v>
      </c>
    </row>
    <row r="2748" customHeight="1" spans="1:2">
      <c r="A2748" s="3" t="s">
        <v>4578</v>
      </c>
      <c r="B2748" s="4">
        <v>84</v>
      </c>
    </row>
    <row r="2749" customHeight="1" spans="1:2">
      <c r="A2749" s="3" t="s">
        <v>19619</v>
      </c>
      <c r="B2749" s="4">
        <v>136</v>
      </c>
    </row>
    <row r="2750" customHeight="1" spans="1:2">
      <c r="A2750" s="3" t="s">
        <v>13429</v>
      </c>
      <c r="B2750" s="4">
        <v>109</v>
      </c>
    </row>
    <row r="2751" customHeight="1" spans="1:2">
      <c r="A2751" s="3" t="s">
        <v>19571</v>
      </c>
      <c r="B2751" s="4">
        <v>92</v>
      </c>
    </row>
    <row r="2752" customHeight="1" spans="1:2">
      <c r="A2752" s="3" t="s">
        <v>1887</v>
      </c>
      <c r="B2752" s="4">
        <v>228</v>
      </c>
    </row>
    <row r="2753" customHeight="1" spans="1:2">
      <c r="A2753" s="3" t="s">
        <v>19238</v>
      </c>
      <c r="B2753" s="4">
        <v>93</v>
      </c>
    </row>
    <row r="2754" customHeight="1" spans="1:2">
      <c r="A2754" s="3" t="s">
        <v>18212</v>
      </c>
      <c r="B2754" s="4">
        <v>96</v>
      </c>
    </row>
    <row r="2755" customHeight="1" spans="1:2">
      <c r="A2755" s="3" t="s">
        <v>15364</v>
      </c>
      <c r="B2755" s="4">
        <v>83</v>
      </c>
    </row>
    <row r="2756" customHeight="1" spans="1:2">
      <c r="A2756" s="3" t="s">
        <v>15820</v>
      </c>
      <c r="B2756" s="4">
        <v>127</v>
      </c>
    </row>
    <row r="2757" customHeight="1" spans="1:2">
      <c r="A2757" s="3" t="s">
        <v>17106</v>
      </c>
      <c r="B2757" s="4">
        <v>122</v>
      </c>
    </row>
    <row r="2758" customHeight="1" spans="1:2">
      <c r="A2758" s="3" t="s">
        <v>15530</v>
      </c>
      <c r="B2758" s="4">
        <v>98</v>
      </c>
    </row>
    <row r="2759" customHeight="1" spans="1:2">
      <c r="A2759" s="3" t="s">
        <v>7409</v>
      </c>
      <c r="B2759" s="4">
        <v>240</v>
      </c>
    </row>
    <row r="2760" customHeight="1" spans="1:2">
      <c r="A2760" s="3" t="s">
        <v>2904</v>
      </c>
      <c r="B2760" s="4">
        <v>105</v>
      </c>
    </row>
    <row r="2761" customHeight="1" spans="1:2">
      <c r="A2761" s="3" t="s">
        <v>21030</v>
      </c>
      <c r="B2761" s="4">
        <v>95</v>
      </c>
    </row>
    <row r="2762" customHeight="1" spans="1:2">
      <c r="A2762" s="3" t="s">
        <v>7783</v>
      </c>
      <c r="B2762" s="4">
        <v>101</v>
      </c>
    </row>
    <row r="2763" customHeight="1" spans="1:2">
      <c r="A2763" s="3" t="s">
        <v>11088</v>
      </c>
      <c r="B2763" s="4">
        <v>68</v>
      </c>
    </row>
    <row r="2764" customHeight="1" spans="1:2">
      <c r="A2764" s="3" t="s">
        <v>18628</v>
      </c>
      <c r="B2764" s="4">
        <v>99</v>
      </c>
    </row>
    <row r="2765" customHeight="1" spans="1:2">
      <c r="A2765" s="3" t="s">
        <v>18957</v>
      </c>
      <c r="B2765" s="4">
        <v>81</v>
      </c>
    </row>
    <row r="2766" customHeight="1" spans="1:2">
      <c r="A2766" s="3" t="s">
        <v>18422</v>
      </c>
      <c r="B2766" s="4">
        <v>94</v>
      </c>
    </row>
    <row r="2767" customHeight="1" spans="1:2">
      <c r="A2767" s="3" t="s">
        <v>715</v>
      </c>
      <c r="B2767" s="4">
        <v>98</v>
      </c>
    </row>
    <row r="2768" customHeight="1" spans="1:2">
      <c r="A2768" s="3" t="s">
        <v>13131</v>
      </c>
      <c r="B2768" s="4">
        <v>88</v>
      </c>
    </row>
    <row r="2769" customHeight="1" spans="1:2">
      <c r="A2769" s="3" t="s">
        <v>22788</v>
      </c>
      <c r="B2769" s="4">
        <v>103</v>
      </c>
    </row>
    <row r="2770" customHeight="1" spans="1:2">
      <c r="A2770" s="3" t="s">
        <v>16447</v>
      </c>
      <c r="B2770" s="4">
        <v>104</v>
      </c>
    </row>
    <row r="2771" customHeight="1" spans="1:2">
      <c r="A2771" s="3" t="s">
        <v>4197</v>
      </c>
      <c r="B2771" s="4">
        <v>104</v>
      </c>
    </row>
    <row r="2772" customHeight="1" spans="1:2">
      <c r="A2772" s="3" t="s">
        <v>16136</v>
      </c>
      <c r="B2772" s="4">
        <v>60</v>
      </c>
    </row>
    <row r="2773" customHeight="1" spans="1:2">
      <c r="A2773" s="3" t="s">
        <v>7040</v>
      </c>
      <c r="B2773" s="4">
        <v>218</v>
      </c>
    </row>
    <row r="2774" customHeight="1" spans="1:2">
      <c r="A2774" s="3" t="s">
        <v>7491</v>
      </c>
      <c r="B2774" s="4">
        <v>103</v>
      </c>
    </row>
    <row r="2775" customHeight="1" spans="1:2">
      <c r="A2775" s="3" t="s">
        <v>11779</v>
      </c>
      <c r="B2775" s="4">
        <v>107</v>
      </c>
    </row>
    <row r="2776" customHeight="1" spans="1:2">
      <c r="A2776" s="3" t="s">
        <v>6475</v>
      </c>
      <c r="B2776" s="4">
        <v>107</v>
      </c>
    </row>
    <row r="2777" customHeight="1" spans="1:2">
      <c r="A2777" s="3" t="s">
        <v>16177</v>
      </c>
      <c r="B2777" s="4">
        <v>106</v>
      </c>
    </row>
    <row r="2778" customHeight="1" spans="1:2">
      <c r="A2778" s="3" t="s">
        <v>7585</v>
      </c>
      <c r="B2778" s="4">
        <v>91</v>
      </c>
    </row>
    <row r="2779" customHeight="1" spans="1:2">
      <c r="A2779" s="3" t="s">
        <v>10784</v>
      </c>
      <c r="B2779" s="4">
        <v>96</v>
      </c>
    </row>
    <row r="2780" customHeight="1" spans="1:2">
      <c r="A2780" s="3" t="s">
        <v>13364</v>
      </c>
      <c r="B2780" s="4">
        <v>125</v>
      </c>
    </row>
    <row r="2781" customHeight="1" spans="1:2">
      <c r="A2781" s="3" t="s">
        <v>8957</v>
      </c>
      <c r="B2781" s="4">
        <v>135</v>
      </c>
    </row>
    <row r="2782" customHeight="1" spans="1:2">
      <c r="A2782" s="3" t="s">
        <v>8567</v>
      </c>
      <c r="B2782" s="4">
        <v>130</v>
      </c>
    </row>
    <row r="2783" customHeight="1" spans="1:2">
      <c r="A2783" s="3" t="s">
        <v>9017</v>
      </c>
      <c r="B2783" s="4">
        <v>108</v>
      </c>
    </row>
    <row r="2784" customHeight="1" spans="1:2">
      <c r="A2784" s="3" t="s">
        <v>4323</v>
      </c>
      <c r="B2784" s="4">
        <v>87</v>
      </c>
    </row>
    <row r="2785" customHeight="1" spans="1:2">
      <c r="A2785" s="3" t="s">
        <v>3764</v>
      </c>
      <c r="B2785" s="4">
        <v>143</v>
      </c>
    </row>
    <row r="2786" customHeight="1" spans="1:2">
      <c r="A2786" s="3" t="s">
        <v>24107</v>
      </c>
      <c r="B2786" s="4">
        <v>77</v>
      </c>
    </row>
    <row r="2787" customHeight="1" spans="1:2">
      <c r="A2787" s="3" t="s">
        <v>376</v>
      </c>
      <c r="B2787" s="4">
        <v>116</v>
      </c>
    </row>
    <row r="2788" customHeight="1" spans="1:2">
      <c r="A2788" s="3" t="s">
        <v>15763</v>
      </c>
      <c r="B2788" s="4">
        <v>97</v>
      </c>
    </row>
    <row r="2789" customHeight="1" spans="1:2">
      <c r="A2789" s="3" t="s">
        <v>11394</v>
      </c>
      <c r="B2789" s="4">
        <v>134</v>
      </c>
    </row>
    <row r="2790" customHeight="1" spans="1:2">
      <c r="A2790" s="3" t="s">
        <v>18647</v>
      </c>
      <c r="B2790" s="4">
        <v>102</v>
      </c>
    </row>
    <row r="2791" customHeight="1" spans="1:2">
      <c r="A2791" s="3" t="s">
        <v>5745</v>
      </c>
      <c r="B2791" s="4">
        <v>153</v>
      </c>
    </row>
    <row r="2792" customHeight="1" spans="1:2">
      <c r="A2792" s="3" t="s">
        <v>12708</v>
      </c>
      <c r="B2792" s="4">
        <v>109</v>
      </c>
    </row>
    <row r="2793" customHeight="1" spans="1:2">
      <c r="A2793" s="3" t="s">
        <v>14259</v>
      </c>
      <c r="B2793" s="4">
        <v>106</v>
      </c>
    </row>
    <row r="2794" customHeight="1" spans="1:2">
      <c r="A2794" s="3" t="s">
        <v>14097</v>
      </c>
      <c r="B2794" s="4">
        <v>93</v>
      </c>
    </row>
    <row r="2795" customHeight="1" spans="1:2">
      <c r="A2795" s="3" t="s">
        <v>11787</v>
      </c>
      <c r="B2795" s="4">
        <v>89</v>
      </c>
    </row>
    <row r="2796" customHeight="1" spans="1:2">
      <c r="A2796" s="3" t="s">
        <v>16118</v>
      </c>
      <c r="B2796" s="4">
        <v>104</v>
      </c>
    </row>
    <row r="2797" customHeight="1" spans="1:2">
      <c r="A2797" s="3" t="s">
        <v>1382</v>
      </c>
      <c r="B2797" s="4">
        <v>124</v>
      </c>
    </row>
    <row r="2798" customHeight="1" spans="1:2">
      <c r="A2798" s="3" t="s">
        <v>13134</v>
      </c>
      <c r="B2798" s="4">
        <v>106</v>
      </c>
    </row>
    <row r="2799" customHeight="1" spans="1:2">
      <c r="A2799" s="3" t="s">
        <v>3782</v>
      </c>
      <c r="B2799" s="4">
        <v>135</v>
      </c>
    </row>
    <row r="2800" customHeight="1" spans="1:2">
      <c r="A2800" s="3" t="s">
        <v>14154</v>
      </c>
      <c r="B2800" s="4">
        <v>102</v>
      </c>
    </row>
    <row r="2801" customHeight="1" spans="1:2">
      <c r="A2801" s="3" t="s">
        <v>21926</v>
      </c>
      <c r="B2801" s="4">
        <v>87</v>
      </c>
    </row>
    <row r="2802" customHeight="1" spans="1:2">
      <c r="A2802" s="3" t="s">
        <v>18051</v>
      </c>
      <c r="B2802" s="4">
        <v>44</v>
      </c>
    </row>
    <row r="2803" customHeight="1" spans="1:2">
      <c r="A2803" s="3" t="s">
        <v>18654</v>
      </c>
      <c r="B2803" s="4">
        <v>85</v>
      </c>
    </row>
    <row r="2804" customHeight="1" spans="1:2">
      <c r="A2804" s="3" t="s">
        <v>11037</v>
      </c>
      <c r="B2804" s="4">
        <v>108</v>
      </c>
    </row>
    <row r="2805" customHeight="1" spans="1:2">
      <c r="A2805" s="3" t="s">
        <v>1723</v>
      </c>
      <c r="B2805" s="4">
        <v>140</v>
      </c>
    </row>
    <row r="2806" customHeight="1" spans="1:2">
      <c r="A2806" s="3" t="s">
        <v>15952</v>
      </c>
      <c r="B2806" s="4">
        <v>178</v>
      </c>
    </row>
    <row r="2807" customHeight="1" spans="1:2">
      <c r="A2807" s="3" t="s">
        <v>10648</v>
      </c>
      <c r="B2807" s="4">
        <v>90</v>
      </c>
    </row>
    <row r="2808" customHeight="1" spans="1:2">
      <c r="A2808" s="3" t="s">
        <v>9765</v>
      </c>
      <c r="B2808" s="4">
        <v>95</v>
      </c>
    </row>
    <row r="2809" customHeight="1" spans="1:2">
      <c r="A2809" s="3" t="s">
        <v>7675</v>
      </c>
      <c r="B2809" s="4">
        <v>103</v>
      </c>
    </row>
    <row r="2810" customHeight="1" spans="1:2">
      <c r="A2810" s="3" t="s">
        <v>18752</v>
      </c>
      <c r="B2810" s="4">
        <v>103</v>
      </c>
    </row>
    <row r="2811" customHeight="1" spans="1:2">
      <c r="A2811" s="3" t="s">
        <v>7868</v>
      </c>
      <c r="B2811" s="4">
        <v>124</v>
      </c>
    </row>
    <row r="2812" customHeight="1" spans="1:2">
      <c r="A2812" s="3" t="s">
        <v>1196</v>
      </c>
      <c r="B2812" s="4">
        <v>90</v>
      </c>
    </row>
    <row r="2813" customHeight="1" spans="1:2">
      <c r="A2813" s="3" t="s">
        <v>21364</v>
      </c>
      <c r="B2813" s="4">
        <v>103</v>
      </c>
    </row>
    <row r="2814" customHeight="1" spans="1:2">
      <c r="A2814" s="3" t="s">
        <v>130</v>
      </c>
      <c r="B2814" s="4">
        <v>106</v>
      </c>
    </row>
    <row r="2815" customHeight="1" spans="1:2">
      <c r="A2815" s="3" t="s">
        <v>14110</v>
      </c>
      <c r="B2815" s="4">
        <v>89</v>
      </c>
    </row>
    <row r="2816" customHeight="1" spans="1:2">
      <c r="A2816" s="3" t="s">
        <v>14602</v>
      </c>
      <c r="B2816" s="4">
        <v>98</v>
      </c>
    </row>
    <row r="2817" customHeight="1" spans="1:2">
      <c r="A2817" s="3" t="s">
        <v>23801</v>
      </c>
      <c r="B2817" s="4">
        <v>80</v>
      </c>
    </row>
    <row r="2818" customHeight="1" spans="1:2">
      <c r="A2818" s="3" t="s">
        <v>7487</v>
      </c>
      <c r="B2818" s="4">
        <v>101</v>
      </c>
    </row>
    <row r="2819" customHeight="1" spans="1:2">
      <c r="A2819" s="3" t="s">
        <v>21196</v>
      </c>
      <c r="B2819" s="4">
        <v>135</v>
      </c>
    </row>
    <row r="2820" customHeight="1" spans="1:2">
      <c r="A2820" s="3" t="s">
        <v>13914</v>
      </c>
      <c r="B2820" s="4">
        <v>100</v>
      </c>
    </row>
    <row r="2821" customHeight="1" spans="1:2">
      <c r="A2821" s="3" t="s">
        <v>10989</v>
      </c>
      <c r="B2821" s="4">
        <v>119</v>
      </c>
    </row>
    <row r="2822" customHeight="1" spans="1:2">
      <c r="A2822" s="3" t="s">
        <v>13610</v>
      </c>
      <c r="B2822" s="4">
        <v>124</v>
      </c>
    </row>
    <row r="2823" customHeight="1" spans="1:2">
      <c r="A2823" s="3" t="s">
        <v>22854</v>
      </c>
      <c r="B2823" s="4">
        <v>90</v>
      </c>
    </row>
    <row r="2824" customHeight="1" spans="1:2">
      <c r="A2824" s="3" t="s">
        <v>15935</v>
      </c>
      <c r="B2824" s="4">
        <v>171</v>
      </c>
    </row>
    <row r="2825" customHeight="1" spans="1:2">
      <c r="A2825" s="3" t="s">
        <v>1261</v>
      </c>
      <c r="B2825" s="4">
        <v>96</v>
      </c>
    </row>
    <row r="2826" customHeight="1" spans="1:2">
      <c r="A2826" s="3" t="s">
        <v>18347</v>
      </c>
      <c r="B2826" s="4">
        <v>85</v>
      </c>
    </row>
    <row r="2827" customHeight="1" spans="1:2">
      <c r="A2827" s="3" t="s">
        <v>17460</v>
      </c>
      <c r="B2827" s="4">
        <v>99</v>
      </c>
    </row>
    <row r="2828" customHeight="1" spans="1:2">
      <c r="A2828" s="3" t="s">
        <v>17915</v>
      </c>
      <c r="B2828" s="4">
        <v>91</v>
      </c>
    </row>
    <row r="2829" customHeight="1" spans="1:2">
      <c r="A2829" s="3" t="s">
        <v>16607</v>
      </c>
      <c r="B2829" s="4">
        <v>94</v>
      </c>
    </row>
    <row r="2830" customHeight="1" spans="1:2">
      <c r="A2830" s="3" t="s">
        <v>5137</v>
      </c>
      <c r="B2830" s="4">
        <v>98</v>
      </c>
    </row>
    <row r="2831" customHeight="1" spans="1:2">
      <c r="A2831" s="3" t="s">
        <v>17662</v>
      </c>
      <c r="B2831" s="4">
        <v>134</v>
      </c>
    </row>
    <row r="2832" customHeight="1" spans="1:2">
      <c r="A2832" s="3" t="s">
        <v>14223</v>
      </c>
      <c r="B2832" s="4">
        <v>113</v>
      </c>
    </row>
    <row r="2833" customHeight="1" spans="1:2">
      <c r="A2833" s="3" t="s">
        <v>8308</v>
      </c>
      <c r="B2833" s="4">
        <v>102</v>
      </c>
    </row>
    <row r="2834" customHeight="1" spans="1:2">
      <c r="A2834" s="3" t="s">
        <v>12495</v>
      </c>
      <c r="B2834" s="4">
        <v>88</v>
      </c>
    </row>
    <row r="2835" customHeight="1" spans="1:2">
      <c r="A2835" s="3" t="s">
        <v>7702</v>
      </c>
      <c r="B2835" s="4">
        <v>114</v>
      </c>
    </row>
    <row r="2836" customHeight="1" spans="1:2">
      <c r="A2836" s="3" t="s">
        <v>7354</v>
      </c>
      <c r="B2836" s="4">
        <v>109</v>
      </c>
    </row>
    <row r="2837" customHeight="1" spans="1:2">
      <c r="A2837" s="3" t="s">
        <v>11858</v>
      </c>
      <c r="B2837" s="4">
        <v>121</v>
      </c>
    </row>
    <row r="2838" customHeight="1" spans="1:2">
      <c r="A2838" s="3" t="s">
        <v>10636</v>
      </c>
      <c r="B2838" s="4">
        <v>115</v>
      </c>
    </row>
    <row r="2839" customHeight="1" spans="1:2">
      <c r="A2839" s="3" t="s">
        <v>9379</v>
      </c>
      <c r="B2839" s="4">
        <v>133</v>
      </c>
    </row>
    <row r="2840" customHeight="1" spans="1:2">
      <c r="A2840" s="3" t="s">
        <v>6807</v>
      </c>
      <c r="B2840" s="4">
        <v>119</v>
      </c>
    </row>
    <row r="2841" customHeight="1" spans="1:2">
      <c r="A2841" s="3" t="s">
        <v>13067</v>
      </c>
      <c r="B2841" s="4">
        <v>103</v>
      </c>
    </row>
    <row r="2842" customHeight="1" spans="1:2">
      <c r="A2842" s="3" t="s">
        <v>14570</v>
      </c>
      <c r="B2842" s="4">
        <v>91</v>
      </c>
    </row>
    <row r="2843" customHeight="1" spans="1:2">
      <c r="A2843" s="3" t="s">
        <v>5296</v>
      </c>
      <c r="B2843" s="4">
        <v>119</v>
      </c>
    </row>
    <row r="2844" customHeight="1" spans="1:2">
      <c r="A2844" s="3" t="s">
        <v>22169</v>
      </c>
      <c r="B2844" s="4">
        <v>88</v>
      </c>
    </row>
    <row r="2845" customHeight="1" spans="1:2">
      <c r="A2845" s="3" t="s">
        <v>11522</v>
      </c>
      <c r="B2845" s="4">
        <v>153</v>
      </c>
    </row>
    <row r="2846" customHeight="1" spans="1:2">
      <c r="A2846" s="3" t="s">
        <v>4476</v>
      </c>
      <c r="B2846" s="4">
        <v>87</v>
      </c>
    </row>
    <row r="2847" customHeight="1" spans="1:2">
      <c r="A2847" s="3" t="s">
        <v>6022</v>
      </c>
      <c r="B2847" s="4">
        <v>96</v>
      </c>
    </row>
    <row r="2848" customHeight="1" spans="1:2">
      <c r="A2848" s="3" t="s">
        <v>12909</v>
      </c>
      <c r="B2848" s="4">
        <v>103</v>
      </c>
    </row>
    <row r="2849" customHeight="1" spans="1:2">
      <c r="A2849" s="3" t="s">
        <v>23997</v>
      </c>
      <c r="B2849" s="4">
        <v>80</v>
      </c>
    </row>
    <row r="2850" customHeight="1" spans="1:2">
      <c r="A2850" s="3" t="s">
        <v>3834</v>
      </c>
      <c r="B2850" s="4">
        <v>133</v>
      </c>
    </row>
    <row r="2851" customHeight="1" spans="1:2">
      <c r="A2851" s="3" t="s">
        <v>17466</v>
      </c>
      <c r="B2851" s="4">
        <v>157</v>
      </c>
    </row>
    <row r="2852" customHeight="1" spans="1:2">
      <c r="A2852" s="3" t="s">
        <v>1148</v>
      </c>
      <c r="B2852" s="4">
        <v>107</v>
      </c>
    </row>
    <row r="2853" customHeight="1" spans="1:2">
      <c r="A2853" s="3" t="s">
        <v>3320</v>
      </c>
      <c r="B2853" s="4">
        <v>139</v>
      </c>
    </row>
    <row r="2854" customHeight="1" spans="1:2">
      <c r="A2854" s="3" t="s">
        <v>11459</v>
      </c>
      <c r="B2854" s="4">
        <v>107</v>
      </c>
    </row>
    <row r="2855" customHeight="1" spans="1:2">
      <c r="A2855" s="3" t="s">
        <v>5565</v>
      </c>
      <c r="B2855" s="4">
        <v>112</v>
      </c>
    </row>
    <row r="2856" customHeight="1" spans="1:2">
      <c r="A2856" s="3" t="s">
        <v>796</v>
      </c>
      <c r="B2856" s="4">
        <v>111</v>
      </c>
    </row>
    <row r="2857" customHeight="1" spans="1:2">
      <c r="A2857" s="3" t="s">
        <v>14321</v>
      </c>
      <c r="B2857" s="4">
        <v>101</v>
      </c>
    </row>
    <row r="2858" customHeight="1" spans="1:2">
      <c r="A2858" s="3" t="s">
        <v>6358</v>
      </c>
      <c r="B2858" s="4">
        <v>178</v>
      </c>
    </row>
    <row r="2859" customHeight="1" spans="1:2">
      <c r="A2859" s="3" t="s">
        <v>23933</v>
      </c>
      <c r="B2859" s="4">
        <v>83</v>
      </c>
    </row>
    <row r="2860" customHeight="1" spans="1:2">
      <c r="A2860" s="3" t="s">
        <v>10155</v>
      </c>
      <c r="B2860" s="4">
        <v>107</v>
      </c>
    </row>
    <row r="2861" customHeight="1" spans="1:2">
      <c r="A2861" s="3" t="s">
        <v>1597</v>
      </c>
      <c r="B2861" s="4">
        <v>127</v>
      </c>
    </row>
    <row r="2862" customHeight="1" spans="1:2">
      <c r="A2862" s="3" t="s">
        <v>19346</v>
      </c>
      <c r="B2862" s="4">
        <v>90</v>
      </c>
    </row>
    <row r="2863" customHeight="1" spans="1:2">
      <c r="A2863" s="3" t="s">
        <v>21227</v>
      </c>
      <c r="B2863" s="4">
        <v>130</v>
      </c>
    </row>
    <row r="2864" customHeight="1" spans="1:2">
      <c r="A2864" s="3" t="s">
        <v>14858</v>
      </c>
      <c r="B2864" s="4">
        <v>82</v>
      </c>
    </row>
    <row r="2865" customHeight="1" spans="1:2">
      <c r="A2865" s="3" t="s">
        <v>2572</v>
      </c>
      <c r="B2865" s="4">
        <v>116</v>
      </c>
    </row>
    <row r="2866" customHeight="1" spans="1:2">
      <c r="A2866" s="3" t="s">
        <v>6953</v>
      </c>
      <c r="B2866" s="4">
        <v>150</v>
      </c>
    </row>
    <row r="2867" customHeight="1" spans="1:2">
      <c r="A2867" s="3" t="s">
        <v>3758</v>
      </c>
      <c r="B2867" s="4">
        <v>114</v>
      </c>
    </row>
    <row r="2868" customHeight="1" spans="1:2">
      <c r="A2868" s="3" t="s">
        <v>15582</v>
      </c>
      <c r="B2868" s="4">
        <v>92</v>
      </c>
    </row>
    <row r="2869" customHeight="1" spans="1:2">
      <c r="A2869" s="3" t="s">
        <v>2934</v>
      </c>
      <c r="B2869" s="4">
        <v>124</v>
      </c>
    </row>
    <row r="2870" customHeight="1" spans="1:2">
      <c r="A2870" s="3" t="s">
        <v>9268</v>
      </c>
      <c r="B2870" s="4">
        <v>85</v>
      </c>
    </row>
    <row r="2871" customHeight="1" spans="1:2">
      <c r="A2871" s="3" t="s">
        <v>12087</v>
      </c>
      <c r="B2871" s="4">
        <v>114</v>
      </c>
    </row>
    <row r="2872" customHeight="1" spans="1:2">
      <c r="A2872" s="3" t="s">
        <v>2880</v>
      </c>
      <c r="B2872" s="4">
        <v>106</v>
      </c>
    </row>
    <row r="2873" customHeight="1" spans="1:2">
      <c r="A2873" s="3" t="s">
        <v>6150</v>
      </c>
      <c r="B2873" s="4">
        <v>100</v>
      </c>
    </row>
    <row r="2874" customHeight="1" spans="1:2">
      <c r="A2874" s="3" t="s">
        <v>15785</v>
      </c>
      <c r="B2874" s="4">
        <v>102</v>
      </c>
    </row>
    <row r="2875" customHeight="1" spans="1:2">
      <c r="A2875" s="3" t="s">
        <v>19315</v>
      </c>
      <c r="B2875" s="4">
        <v>126</v>
      </c>
    </row>
    <row r="2876" customHeight="1" spans="1:2">
      <c r="A2876" s="3" t="s">
        <v>10070</v>
      </c>
      <c r="B2876" s="4">
        <v>100</v>
      </c>
    </row>
    <row r="2877" customHeight="1" spans="1:2">
      <c r="A2877" s="3" t="s">
        <v>12083</v>
      </c>
      <c r="B2877" s="4">
        <v>89</v>
      </c>
    </row>
    <row r="2878" customHeight="1" spans="1:2">
      <c r="A2878" s="3" t="s">
        <v>18597</v>
      </c>
      <c r="B2878" s="4">
        <v>88</v>
      </c>
    </row>
    <row r="2879" customHeight="1" spans="1:2">
      <c r="A2879" s="3" t="s">
        <v>4507</v>
      </c>
      <c r="B2879" s="4">
        <v>125</v>
      </c>
    </row>
    <row r="2880" customHeight="1" spans="1:2">
      <c r="A2880" s="3" t="s">
        <v>4036</v>
      </c>
      <c r="B2880" s="4">
        <v>111</v>
      </c>
    </row>
    <row r="2881" customHeight="1" spans="1:2">
      <c r="A2881" s="3" t="s">
        <v>18006</v>
      </c>
      <c r="B2881" s="4">
        <v>90</v>
      </c>
    </row>
    <row r="2882" customHeight="1" spans="1:2">
      <c r="A2882" s="3" t="s">
        <v>16637</v>
      </c>
      <c r="B2882" s="4">
        <v>99</v>
      </c>
    </row>
    <row r="2883" customHeight="1" spans="1:2">
      <c r="A2883" s="3" t="s">
        <v>19992</v>
      </c>
      <c r="B2883" s="4">
        <v>95</v>
      </c>
    </row>
    <row r="2884" customHeight="1" spans="1:2">
      <c r="A2884" s="3" t="s">
        <v>7812</v>
      </c>
      <c r="B2884" s="4">
        <v>195</v>
      </c>
    </row>
    <row r="2885" customHeight="1" spans="1:2">
      <c r="A2885" s="3" t="s">
        <v>11494</v>
      </c>
      <c r="B2885" s="4">
        <v>106</v>
      </c>
    </row>
    <row r="2886" customHeight="1" spans="1:2">
      <c r="A2886" s="3" t="s">
        <v>13568</v>
      </c>
      <c r="B2886" s="4">
        <v>117</v>
      </c>
    </row>
    <row r="2887" customHeight="1" spans="1:2">
      <c r="A2887" s="3" t="s">
        <v>4210</v>
      </c>
      <c r="B2887" s="4">
        <v>101</v>
      </c>
    </row>
    <row r="2888" customHeight="1" spans="1:2">
      <c r="A2888" s="3" t="s">
        <v>11067</v>
      </c>
      <c r="B2888" s="4">
        <v>124</v>
      </c>
    </row>
    <row r="2889" customHeight="1" spans="1:2">
      <c r="A2889" s="3" t="s">
        <v>7193</v>
      </c>
      <c r="B2889" s="4">
        <v>124</v>
      </c>
    </row>
    <row r="2890" customHeight="1" spans="1:2">
      <c r="A2890" s="3" t="s">
        <v>15535</v>
      </c>
      <c r="B2890" s="4">
        <v>88</v>
      </c>
    </row>
    <row r="2891" customHeight="1" spans="1:2">
      <c r="A2891" s="3" t="s">
        <v>19895</v>
      </c>
      <c r="B2891" s="4">
        <v>101</v>
      </c>
    </row>
    <row r="2892" customHeight="1" spans="1:2">
      <c r="A2892" s="3" t="s">
        <v>12500</v>
      </c>
      <c r="B2892" s="4">
        <v>113</v>
      </c>
    </row>
    <row r="2893" customHeight="1" spans="1:2">
      <c r="A2893" s="3" t="s">
        <v>16828</v>
      </c>
      <c r="B2893" s="4">
        <v>125</v>
      </c>
    </row>
    <row r="2894" customHeight="1" spans="1:2">
      <c r="A2894" s="3" t="s">
        <v>8113</v>
      </c>
      <c r="B2894" s="4">
        <v>120</v>
      </c>
    </row>
    <row r="2895" customHeight="1" spans="1:2">
      <c r="A2895" s="3" t="s">
        <v>6687</v>
      </c>
      <c r="B2895" s="4">
        <v>128</v>
      </c>
    </row>
    <row r="2896" customHeight="1" spans="1:2">
      <c r="A2896" s="3" t="s">
        <v>12079</v>
      </c>
      <c r="B2896" s="4">
        <v>105</v>
      </c>
    </row>
    <row r="2897" customHeight="1" spans="1:2">
      <c r="A2897" s="3" t="s">
        <v>9078</v>
      </c>
      <c r="B2897" s="4">
        <v>122</v>
      </c>
    </row>
    <row r="2898" customHeight="1" spans="1:2">
      <c r="A2898" s="3" t="s">
        <v>15024</v>
      </c>
      <c r="B2898" s="4">
        <v>84</v>
      </c>
    </row>
    <row r="2899" customHeight="1" spans="1:2">
      <c r="A2899" s="3" t="s">
        <v>6645</v>
      </c>
      <c r="B2899" s="4">
        <v>135</v>
      </c>
    </row>
    <row r="2900" customHeight="1" spans="1:2">
      <c r="A2900" s="3" t="s">
        <v>20935</v>
      </c>
      <c r="B2900" s="4">
        <v>92</v>
      </c>
    </row>
    <row r="2901" customHeight="1" spans="1:2">
      <c r="A2901" s="3" t="s">
        <v>7995</v>
      </c>
      <c r="B2901" s="4">
        <v>119</v>
      </c>
    </row>
    <row r="2902" customHeight="1" spans="1:2">
      <c r="A2902" s="3" t="s">
        <v>15940</v>
      </c>
      <c r="B2902" s="4">
        <v>150</v>
      </c>
    </row>
    <row r="2903" customHeight="1" spans="1:2">
      <c r="A2903" s="3" t="s">
        <v>18245</v>
      </c>
      <c r="B2903" s="4">
        <v>102</v>
      </c>
    </row>
    <row r="2904" customHeight="1" spans="1:2">
      <c r="A2904" s="3" t="s">
        <v>15169</v>
      </c>
      <c r="B2904" s="4">
        <v>120</v>
      </c>
    </row>
    <row r="2905" customHeight="1" spans="1:2">
      <c r="A2905" s="3" t="s">
        <v>21319</v>
      </c>
      <c r="B2905" s="4">
        <v>99</v>
      </c>
    </row>
    <row r="2906" customHeight="1" spans="1:2">
      <c r="A2906" s="3" t="s">
        <v>7402</v>
      </c>
      <c r="B2906" s="4">
        <v>100</v>
      </c>
    </row>
    <row r="2907" customHeight="1" spans="1:2">
      <c r="A2907" s="3" t="s">
        <v>4501</v>
      </c>
      <c r="B2907" s="4">
        <v>97</v>
      </c>
    </row>
    <row r="2908" customHeight="1" spans="1:2">
      <c r="A2908" s="3" t="s">
        <v>5266</v>
      </c>
      <c r="B2908" s="4">
        <v>98</v>
      </c>
    </row>
    <row r="2909" customHeight="1" spans="1:2">
      <c r="A2909" s="3" t="s">
        <v>5837</v>
      </c>
      <c r="B2909" s="4">
        <v>94</v>
      </c>
    </row>
    <row r="2910" customHeight="1" spans="1:2">
      <c r="A2910" s="3" t="s">
        <v>3767</v>
      </c>
      <c r="B2910" s="4">
        <v>96</v>
      </c>
    </row>
    <row r="2911" customHeight="1" spans="1:2">
      <c r="A2911" s="3" t="s">
        <v>16209</v>
      </c>
      <c r="B2911" s="4">
        <v>180</v>
      </c>
    </row>
    <row r="2912" customHeight="1" spans="1:2">
      <c r="A2912" s="3" t="s">
        <v>12028</v>
      </c>
      <c r="B2912" s="4">
        <v>92</v>
      </c>
    </row>
    <row r="2913" customHeight="1" spans="1:2">
      <c r="A2913" s="3" t="s">
        <v>13833</v>
      </c>
      <c r="B2913" s="4">
        <v>112</v>
      </c>
    </row>
    <row r="2914" customHeight="1" spans="1:2">
      <c r="A2914" s="3" t="s">
        <v>20436</v>
      </c>
      <c r="B2914" s="4">
        <v>97</v>
      </c>
    </row>
    <row r="2915" customHeight="1" spans="1:2">
      <c r="A2915" s="3" t="s">
        <v>10115</v>
      </c>
      <c r="B2915" s="4">
        <v>115</v>
      </c>
    </row>
    <row r="2916" customHeight="1" spans="1:2">
      <c r="A2916" s="3" t="s">
        <v>10762</v>
      </c>
      <c r="B2916" s="4">
        <v>72</v>
      </c>
    </row>
    <row r="2917" customHeight="1" spans="1:2">
      <c r="A2917" s="3" t="s">
        <v>9160</v>
      </c>
      <c r="B2917" s="4">
        <v>109</v>
      </c>
    </row>
    <row r="2918" customHeight="1" spans="1:2">
      <c r="A2918" s="3" t="s">
        <v>14658</v>
      </c>
      <c r="B2918" s="4">
        <v>102</v>
      </c>
    </row>
    <row r="2919" customHeight="1" spans="1:2">
      <c r="A2919" s="3" t="s">
        <v>22986</v>
      </c>
      <c r="B2919" s="4">
        <v>43</v>
      </c>
    </row>
    <row r="2920" customHeight="1" spans="1:2">
      <c r="A2920" s="3" t="s">
        <v>5891</v>
      </c>
      <c r="B2920" s="4">
        <v>119</v>
      </c>
    </row>
    <row r="2921" customHeight="1" spans="1:2">
      <c r="A2921" s="3" t="s">
        <v>6540</v>
      </c>
      <c r="B2921" s="4">
        <v>95</v>
      </c>
    </row>
    <row r="2922" customHeight="1" spans="1:2">
      <c r="A2922" s="3" t="s">
        <v>15561</v>
      </c>
      <c r="B2922" s="4">
        <v>104</v>
      </c>
    </row>
    <row r="2923" customHeight="1" spans="1:2">
      <c r="A2923" s="3" t="s">
        <v>7055</v>
      </c>
      <c r="B2923" s="4">
        <v>127</v>
      </c>
    </row>
    <row r="2924" customHeight="1" spans="1:2">
      <c r="A2924" s="3" t="s">
        <v>6348</v>
      </c>
      <c r="B2924" s="4">
        <v>102</v>
      </c>
    </row>
    <row r="2925" customHeight="1" spans="1:2">
      <c r="A2925" s="3" t="s">
        <v>9459</v>
      </c>
      <c r="B2925" s="4">
        <v>99</v>
      </c>
    </row>
    <row r="2926" customHeight="1" spans="1:2">
      <c r="A2926" s="3" t="s">
        <v>7731</v>
      </c>
      <c r="B2926" s="4">
        <v>148</v>
      </c>
    </row>
    <row r="2927" customHeight="1" spans="1:2">
      <c r="A2927" s="3" t="s">
        <v>19770</v>
      </c>
      <c r="B2927" s="4">
        <v>105</v>
      </c>
    </row>
    <row r="2928" customHeight="1" spans="1:2">
      <c r="A2928" s="3" t="s">
        <v>5628</v>
      </c>
      <c r="B2928" s="4">
        <v>132</v>
      </c>
    </row>
    <row r="2929" customHeight="1" spans="1:2">
      <c r="A2929" s="3" t="s">
        <v>4289</v>
      </c>
      <c r="B2929" s="4">
        <v>101</v>
      </c>
    </row>
    <row r="2930" customHeight="1" spans="1:2">
      <c r="A2930" s="3" t="s">
        <v>1284</v>
      </c>
      <c r="B2930" s="4">
        <v>101</v>
      </c>
    </row>
    <row r="2931" customHeight="1" spans="1:2">
      <c r="A2931" s="3" t="s">
        <v>2254</v>
      </c>
      <c r="B2931" s="4">
        <v>96</v>
      </c>
    </row>
    <row r="2932" customHeight="1" spans="1:2">
      <c r="A2932" s="3" t="s">
        <v>8757</v>
      </c>
      <c r="B2932" s="4">
        <v>110</v>
      </c>
    </row>
    <row r="2933" customHeight="1" spans="1:2">
      <c r="A2933" s="3" t="s">
        <v>22808</v>
      </c>
      <c r="B2933" s="4">
        <v>52</v>
      </c>
    </row>
    <row r="2934" customHeight="1" spans="1:2">
      <c r="A2934" s="3" t="s">
        <v>1005</v>
      </c>
      <c r="B2934" s="4">
        <v>97</v>
      </c>
    </row>
    <row r="2935" customHeight="1" spans="1:2">
      <c r="A2935" s="3" t="s">
        <v>2040</v>
      </c>
      <c r="B2935" s="4">
        <v>105</v>
      </c>
    </row>
    <row r="2936" customHeight="1" spans="1:2">
      <c r="A2936" s="3" t="s">
        <v>10901</v>
      </c>
      <c r="B2936" s="4">
        <v>107</v>
      </c>
    </row>
    <row r="2937" customHeight="1" spans="1:2">
      <c r="A2937" s="3" t="s">
        <v>20601</v>
      </c>
      <c r="B2937" s="4">
        <v>99</v>
      </c>
    </row>
    <row r="2938" customHeight="1" spans="1:2">
      <c r="A2938" s="3" t="s">
        <v>22303</v>
      </c>
      <c r="B2938" s="4">
        <v>86</v>
      </c>
    </row>
    <row r="2939" customHeight="1" spans="1:2">
      <c r="A2939" s="3" t="s">
        <v>21013</v>
      </c>
      <c r="B2939" s="4">
        <v>98</v>
      </c>
    </row>
    <row r="2940" customHeight="1" spans="1:2">
      <c r="A2940" s="3" t="s">
        <v>14912</v>
      </c>
      <c r="B2940" s="4">
        <v>114</v>
      </c>
    </row>
    <row r="2941" customHeight="1" spans="1:2">
      <c r="A2941" s="3" t="s">
        <v>2622</v>
      </c>
      <c r="B2941" s="4">
        <v>117</v>
      </c>
    </row>
    <row r="2942" customHeight="1" spans="1:2">
      <c r="A2942" s="3" t="s">
        <v>12393</v>
      </c>
      <c r="B2942" s="4">
        <v>94</v>
      </c>
    </row>
    <row r="2943" customHeight="1" spans="1:2">
      <c r="A2943" s="3" t="s">
        <v>20411</v>
      </c>
      <c r="B2943" s="4">
        <v>93</v>
      </c>
    </row>
    <row r="2944" customHeight="1" spans="1:2">
      <c r="A2944" s="3" t="s">
        <v>22826</v>
      </c>
      <c r="B2944" s="4">
        <v>81</v>
      </c>
    </row>
    <row r="2945" customHeight="1" spans="1:2">
      <c r="A2945" s="3" t="s">
        <v>12308</v>
      </c>
      <c r="B2945" s="4">
        <v>102</v>
      </c>
    </row>
    <row r="2946" customHeight="1" spans="1:2">
      <c r="A2946" s="3" t="s">
        <v>8965</v>
      </c>
      <c r="B2946" s="4">
        <v>139</v>
      </c>
    </row>
    <row r="2947" customHeight="1" spans="1:2">
      <c r="A2947" s="3" t="s">
        <v>17817</v>
      </c>
      <c r="B2947" s="4">
        <v>106</v>
      </c>
    </row>
    <row r="2948" customHeight="1" spans="1:2">
      <c r="A2948" s="3" t="s">
        <v>193</v>
      </c>
      <c r="B2948" s="4">
        <v>156</v>
      </c>
    </row>
    <row r="2949" customHeight="1" spans="1:2">
      <c r="A2949" s="3" t="s">
        <v>5008</v>
      </c>
      <c r="B2949" s="4">
        <v>155</v>
      </c>
    </row>
    <row r="2950" customHeight="1" spans="1:2">
      <c r="A2950" s="3" t="s">
        <v>10462</v>
      </c>
      <c r="B2950" s="4">
        <v>104</v>
      </c>
    </row>
    <row r="2951" customHeight="1" spans="1:2">
      <c r="A2951" s="3" t="s">
        <v>1404</v>
      </c>
      <c r="B2951" s="4">
        <v>234</v>
      </c>
    </row>
    <row r="2952" customHeight="1" spans="1:2">
      <c r="A2952" s="3" t="s">
        <v>19873</v>
      </c>
      <c r="B2952" s="4">
        <v>89</v>
      </c>
    </row>
    <row r="2953" customHeight="1" spans="1:2">
      <c r="A2953" s="3" t="s">
        <v>19309</v>
      </c>
      <c r="B2953" s="4">
        <v>11</v>
      </c>
    </row>
    <row r="2954" customHeight="1" spans="1:2">
      <c r="A2954" s="3" t="s">
        <v>2607</v>
      </c>
      <c r="B2954" s="4">
        <v>91</v>
      </c>
    </row>
    <row r="2955" customHeight="1" spans="1:2">
      <c r="A2955" s="3" t="s">
        <v>3468</v>
      </c>
      <c r="B2955" s="4">
        <v>136</v>
      </c>
    </row>
    <row r="2956" customHeight="1" spans="1:2">
      <c r="A2956" s="3" t="s">
        <v>7035</v>
      </c>
      <c r="B2956" s="4">
        <v>105</v>
      </c>
    </row>
    <row r="2957" customHeight="1" spans="1:2">
      <c r="A2957" s="3" t="s">
        <v>20516</v>
      </c>
      <c r="B2957" s="4">
        <v>90</v>
      </c>
    </row>
    <row r="2958" customHeight="1" spans="1:2">
      <c r="A2958" s="3" t="s">
        <v>21498</v>
      </c>
      <c r="B2958" s="4">
        <v>150</v>
      </c>
    </row>
    <row r="2959" customHeight="1" spans="1:2">
      <c r="A2959" s="3" t="s">
        <v>11982</v>
      </c>
      <c r="B2959" s="4">
        <v>114</v>
      </c>
    </row>
    <row r="2960" customHeight="1" spans="1:2">
      <c r="A2960" s="3" t="s">
        <v>10082</v>
      </c>
      <c r="B2960" s="4">
        <v>139</v>
      </c>
    </row>
    <row r="2961" customHeight="1" spans="1:2">
      <c r="A2961" s="3" t="s">
        <v>21506</v>
      </c>
      <c r="B2961" s="4">
        <v>145</v>
      </c>
    </row>
    <row r="2962" customHeight="1" spans="1:2">
      <c r="A2962" s="3" t="s">
        <v>22745</v>
      </c>
      <c r="B2962" s="4">
        <v>108</v>
      </c>
    </row>
    <row r="2963" customHeight="1" spans="1:2">
      <c r="A2963" s="3" t="s">
        <v>23630</v>
      </c>
      <c r="B2963" s="4">
        <v>91</v>
      </c>
    </row>
    <row r="2964" customHeight="1" spans="1:2">
      <c r="A2964" s="3" t="s">
        <v>10304</v>
      </c>
      <c r="B2964" s="4">
        <v>50</v>
      </c>
    </row>
    <row r="2965" customHeight="1" spans="1:2">
      <c r="A2965" s="3" t="s">
        <v>8862</v>
      </c>
      <c r="B2965" s="4">
        <v>101</v>
      </c>
    </row>
    <row r="2966" customHeight="1" spans="1:2">
      <c r="A2966" s="3" t="s">
        <v>14971</v>
      </c>
      <c r="B2966" s="4">
        <v>112</v>
      </c>
    </row>
    <row r="2967" customHeight="1" spans="1:2">
      <c r="A2967" s="3" t="s">
        <v>3481</v>
      </c>
      <c r="B2967" s="4">
        <v>98</v>
      </c>
    </row>
    <row r="2968" customHeight="1" spans="1:2">
      <c r="A2968" s="3" t="s">
        <v>14667</v>
      </c>
      <c r="B2968" s="4">
        <v>105</v>
      </c>
    </row>
    <row r="2969" customHeight="1" spans="1:2">
      <c r="A2969" s="3" t="s">
        <v>23662</v>
      </c>
      <c r="B2969" s="4"/>
    </row>
    <row r="2970" customHeight="1" spans="1:2">
      <c r="A2970" s="3" t="s">
        <v>13330</v>
      </c>
      <c r="B2970" s="4">
        <v>120</v>
      </c>
    </row>
    <row r="2971" customHeight="1" spans="1:2">
      <c r="A2971" s="3" t="s">
        <v>15193</v>
      </c>
      <c r="B2971" s="4">
        <v>100</v>
      </c>
    </row>
    <row r="2972" customHeight="1" spans="1:2">
      <c r="A2972" s="3" t="s">
        <v>9489</v>
      </c>
      <c r="B2972" s="4">
        <v>115</v>
      </c>
    </row>
    <row r="2973" customHeight="1" spans="1:2">
      <c r="A2973" s="3" t="s">
        <v>4715</v>
      </c>
      <c r="B2973" s="4">
        <v>122</v>
      </c>
    </row>
    <row r="2974" customHeight="1" spans="1:2">
      <c r="A2974" s="3" t="s">
        <v>13787</v>
      </c>
      <c r="B2974" s="4">
        <v>118</v>
      </c>
    </row>
    <row r="2975" customHeight="1" spans="1:2">
      <c r="A2975" s="3" t="s">
        <v>19127</v>
      </c>
      <c r="B2975" s="4">
        <v>136</v>
      </c>
    </row>
    <row r="2976" customHeight="1" spans="1:2">
      <c r="A2976" s="3" t="s">
        <v>15320</v>
      </c>
      <c r="B2976" s="4">
        <v>103</v>
      </c>
    </row>
    <row r="2977" customHeight="1" spans="1:2">
      <c r="A2977" s="3" t="s">
        <v>22993</v>
      </c>
      <c r="B2977" s="4">
        <v>98</v>
      </c>
    </row>
    <row r="2978" customHeight="1" spans="1:2">
      <c r="A2978" s="3" t="s">
        <v>14145</v>
      </c>
      <c r="B2978" s="4">
        <v>121</v>
      </c>
    </row>
    <row r="2979" customHeight="1" spans="1:2">
      <c r="A2979" s="3" t="s">
        <v>23093</v>
      </c>
      <c r="B2979" s="4">
        <v>90</v>
      </c>
    </row>
    <row r="2980" customHeight="1" spans="1:2">
      <c r="A2980" s="3" t="s">
        <v>22632</v>
      </c>
      <c r="B2980" s="4">
        <v>82</v>
      </c>
    </row>
    <row r="2981" customHeight="1" spans="1:2">
      <c r="A2981" s="3" t="s">
        <v>22164</v>
      </c>
      <c r="B2981" s="4">
        <v>114</v>
      </c>
    </row>
    <row r="2982" customHeight="1" spans="1:2">
      <c r="A2982" s="3" t="s">
        <v>18056</v>
      </c>
      <c r="B2982" s="4">
        <v>105</v>
      </c>
    </row>
    <row r="2983" customHeight="1" spans="1:2">
      <c r="A2983" s="3" t="s">
        <v>9575</v>
      </c>
      <c r="B2983" s="4">
        <v>80</v>
      </c>
    </row>
    <row r="2984" customHeight="1" spans="1:2">
      <c r="A2984" s="3" t="s">
        <v>8177</v>
      </c>
      <c r="B2984" s="4">
        <v>78</v>
      </c>
    </row>
    <row r="2985" customHeight="1" spans="1:2">
      <c r="A2985" s="3" t="s">
        <v>4147</v>
      </c>
      <c r="B2985" s="4">
        <v>22</v>
      </c>
    </row>
    <row r="2986" customHeight="1" spans="1:2">
      <c r="A2986" s="3" t="s">
        <v>16325</v>
      </c>
      <c r="B2986" s="4">
        <v>89</v>
      </c>
    </row>
    <row r="2987" customHeight="1" spans="1:2">
      <c r="A2987" s="3" t="s">
        <v>5401</v>
      </c>
      <c r="B2987" s="4">
        <v>114</v>
      </c>
    </row>
    <row r="2988" customHeight="1" spans="1:2">
      <c r="A2988" s="3" t="s">
        <v>20752</v>
      </c>
      <c r="B2988" s="4">
        <v>81</v>
      </c>
    </row>
    <row r="2989" customHeight="1" spans="1:2">
      <c r="A2989" s="3" t="s">
        <v>15151</v>
      </c>
      <c r="B2989" s="4">
        <v>100</v>
      </c>
    </row>
    <row r="2990" customHeight="1" spans="1:2">
      <c r="A2990" s="3" t="s">
        <v>23943</v>
      </c>
      <c r="B2990" s="4">
        <v>75</v>
      </c>
    </row>
    <row r="2991" customHeight="1" spans="1:2">
      <c r="A2991" s="3" t="s">
        <v>3306</v>
      </c>
      <c r="B2991" s="4">
        <v>116</v>
      </c>
    </row>
    <row r="2992" customHeight="1" spans="1:2">
      <c r="A2992" s="3" t="s">
        <v>8652</v>
      </c>
      <c r="B2992" s="4">
        <v>88</v>
      </c>
    </row>
    <row r="2993" customHeight="1" spans="1:2">
      <c r="A2993" s="3" t="s">
        <v>18091</v>
      </c>
      <c r="B2993" s="4">
        <v>88</v>
      </c>
    </row>
    <row r="2994" customHeight="1" spans="1:2">
      <c r="A2994" s="3" t="s">
        <v>12289</v>
      </c>
      <c r="B2994" s="4">
        <v>122</v>
      </c>
    </row>
    <row r="2995" customHeight="1" spans="1:2">
      <c r="A2995" s="3" t="s">
        <v>14285</v>
      </c>
      <c r="B2995" s="4">
        <v>122</v>
      </c>
    </row>
    <row r="2996" customHeight="1" spans="1:2">
      <c r="A2996" s="3" t="s">
        <v>2091</v>
      </c>
      <c r="B2996" s="4">
        <v>90</v>
      </c>
    </row>
    <row r="2997" customHeight="1" spans="1:2">
      <c r="A2997" s="3" t="s">
        <v>426</v>
      </c>
      <c r="B2997" s="4">
        <v>91</v>
      </c>
    </row>
    <row r="2998" customHeight="1" spans="1:2">
      <c r="A2998" s="3" t="s">
        <v>7265</v>
      </c>
      <c r="B2998" s="4">
        <v>43</v>
      </c>
    </row>
    <row r="2999" customHeight="1" spans="1:2">
      <c r="A2999" s="3" t="s">
        <v>7126</v>
      </c>
      <c r="B2999" s="4">
        <v>123</v>
      </c>
    </row>
    <row r="3000" customHeight="1" spans="1:2">
      <c r="A3000" s="3" t="s">
        <v>14974</v>
      </c>
      <c r="B3000" s="4">
        <v>93</v>
      </c>
    </row>
    <row r="3001" customHeight="1" spans="1:2">
      <c r="A3001" s="3" t="s">
        <v>23269</v>
      </c>
      <c r="B3001" s="4">
        <v>95</v>
      </c>
    </row>
    <row r="3002" customHeight="1" spans="1:2">
      <c r="A3002" s="3" t="s">
        <v>3338</v>
      </c>
      <c r="B3002" s="4">
        <v>117</v>
      </c>
    </row>
    <row r="3003" customHeight="1" spans="1:2">
      <c r="A3003" s="3" t="s">
        <v>7667</v>
      </c>
      <c r="B3003" s="4">
        <v>218</v>
      </c>
    </row>
    <row r="3004" customHeight="1" spans="1:2">
      <c r="A3004" s="3" t="s">
        <v>4460</v>
      </c>
      <c r="B3004" s="4">
        <v>22</v>
      </c>
    </row>
    <row r="3005" customHeight="1" spans="1:2">
      <c r="A3005" s="3" t="s">
        <v>8925</v>
      </c>
      <c r="B3005" s="4">
        <v>115</v>
      </c>
    </row>
    <row r="3006" customHeight="1" spans="1:2">
      <c r="A3006" s="3" t="s">
        <v>2356</v>
      </c>
      <c r="B3006" s="4">
        <v>115</v>
      </c>
    </row>
    <row r="3007" customHeight="1" spans="1:2">
      <c r="A3007" s="3" t="s">
        <v>21817</v>
      </c>
      <c r="B3007" s="4">
        <v>88</v>
      </c>
    </row>
    <row r="3008" customHeight="1" spans="1:2">
      <c r="A3008" s="3" t="s">
        <v>7865</v>
      </c>
      <c r="B3008" s="4">
        <v>94</v>
      </c>
    </row>
    <row r="3009" customHeight="1" spans="1:2">
      <c r="A3009" s="3" t="s">
        <v>22244</v>
      </c>
      <c r="B3009" s="4">
        <v>86</v>
      </c>
    </row>
    <row r="3010" customHeight="1" spans="1:2">
      <c r="A3010" s="3" t="s">
        <v>1079</v>
      </c>
      <c r="B3010" s="4">
        <v>124</v>
      </c>
    </row>
    <row r="3011" customHeight="1" spans="1:2">
      <c r="A3011" s="3" t="s">
        <v>20394</v>
      </c>
      <c r="B3011" s="4">
        <v>85</v>
      </c>
    </row>
    <row r="3012" customHeight="1" spans="1:2">
      <c r="A3012" s="3" t="s">
        <v>17502</v>
      </c>
      <c r="B3012" s="4">
        <v>98</v>
      </c>
    </row>
    <row r="3013" customHeight="1" spans="1:2">
      <c r="A3013" s="3" t="s">
        <v>22218</v>
      </c>
      <c r="B3013" s="4">
        <v>90</v>
      </c>
    </row>
    <row r="3014" customHeight="1" spans="1:2">
      <c r="A3014" s="3" t="s">
        <v>1202</v>
      </c>
      <c r="B3014" s="4">
        <v>101</v>
      </c>
    </row>
    <row r="3015" customHeight="1" spans="1:2">
      <c r="A3015" s="3" t="s">
        <v>18264</v>
      </c>
      <c r="B3015" s="4">
        <v>122</v>
      </c>
    </row>
    <row r="3016" customHeight="1" spans="1:2">
      <c r="A3016" s="3" t="s">
        <v>17477</v>
      </c>
      <c r="B3016" s="4">
        <v>96</v>
      </c>
    </row>
    <row r="3017" customHeight="1" spans="1:2">
      <c r="A3017" s="3" t="s">
        <v>18610</v>
      </c>
      <c r="B3017" s="4">
        <v>102</v>
      </c>
    </row>
    <row r="3018" customHeight="1" spans="1:2">
      <c r="A3018" s="3" t="s">
        <v>1514</v>
      </c>
      <c r="B3018" s="4">
        <v>114</v>
      </c>
    </row>
    <row r="3019" customHeight="1" spans="1:2">
      <c r="A3019" s="3" t="s">
        <v>24096</v>
      </c>
      <c r="B3019" s="4">
        <v>82</v>
      </c>
    </row>
    <row r="3020" customHeight="1" spans="1:2">
      <c r="A3020" s="3" t="s">
        <v>8493</v>
      </c>
      <c r="B3020" s="4">
        <v>108</v>
      </c>
    </row>
    <row r="3021" customHeight="1" spans="1:2">
      <c r="A3021" s="3" t="s">
        <v>21600</v>
      </c>
      <c r="B3021" s="4">
        <v>109</v>
      </c>
    </row>
    <row r="3022" customHeight="1" spans="1:2">
      <c r="A3022" s="3" t="s">
        <v>13335</v>
      </c>
      <c r="B3022" s="4">
        <v>111</v>
      </c>
    </row>
    <row r="3023" customHeight="1" spans="1:2">
      <c r="A3023" s="3" t="s">
        <v>19714</v>
      </c>
      <c r="B3023" s="4">
        <v>141</v>
      </c>
    </row>
    <row r="3024" customHeight="1" spans="1:2">
      <c r="A3024" s="3" t="s">
        <v>8762</v>
      </c>
      <c r="B3024" s="4">
        <v>89</v>
      </c>
    </row>
    <row r="3025" customHeight="1" spans="1:2">
      <c r="A3025" s="3" t="s">
        <v>18202</v>
      </c>
      <c r="B3025" s="4">
        <v>97</v>
      </c>
    </row>
    <row r="3026" customHeight="1" spans="1:2">
      <c r="A3026" s="3" t="s">
        <v>5859</v>
      </c>
      <c r="B3026" s="4">
        <v>141</v>
      </c>
    </row>
    <row r="3027" customHeight="1" spans="1:2">
      <c r="A3027" s="3" t="s">
        <v>13660</v>
      </c>
      <c r="B3027" s="4">
        <v>112</v>
      </c>
    </row>
    <row r="3028" customHeight="1" spans="1:2">
      <c r="A3028" s="3" t="s">
        <v>17807</v>
      </c>
      <c r="B3028" s="4">
        <v>92</v>
      </c>
    </row>
    <row r="3029" customHeight="1" spans="1:2">
      <c r="A3029" s="3" t="s">
        <v>19860</v>
      </c>
      <c r="B3029" s="4">
        <v>96</v>
      </c>
    </row>
    <row r="3030" customHeight="1" spans="1:2">
      <c r="A3030" s="3" t="s">
        <v>18014</v>
      </c>
      <c r="B3030" s="4">
        <v>120</v>
      </c>
    </row>
    <row r="3031" customHeight="1" spans="1:2">
      <c r="A3031" s="3" t="s">
        <v>7365</v>
      </c>
      <c r="B3031" s="4">
        <v>125</v>
      </c>
    </row>
    <row r="3032" customHeight="1" spans="1:2">
      <c r="A3032" s="3" t="s">
        <v>18282</v>
      </c>
      <c r="B3032" s="4">
        <v>105</v>
      </c>
    </row>
    <row r="3033" customHeight="1" spans="1:2">
      <c r="A3033" s="3" t="s">
        <v>3625</v>
      </c>
      <c r="B3033" s="4">
        <v>169</v>
      </c>
    </row>
    <row r="3034" customHeight="1" spans="1:2">
      <c r="A3034" s="3" t="s">
        <v>10422</v>
      </c>
      <c r="B3034" s="4">
        <v>96</v>
      </c>
    </row>
    <row r="3035" customHeight="1" spans="1:2">
      <c r="A3035" s="3" t="s">
        <v>12187</v>
      </c>
      <c r="B3035" s="4">
        <v>90</v>
      </c>
    </row>
    <row r="3036" customHeight="1" spans="1:2">
      <c r="A3036" s="3" t="s">
        <v>17525</v>
      </c>
      <c r="B3036" s="4">
        <v>95</v>
      </c>
    </row>
    <row r="3037" customHeight="1" spans="1:2">
      <c r="A3037" s="3" t="s">
        <v>14790</v>
      </c>
      <c r="B3037" s="4">
        <v>121</v>
      </c>
    </row>
    <row r="3038" customHeight="1" spans="1:2">
      <c r="A3038" s="3" t="s">
        <v>14807</v>
      </c>
      <c r="B3038" s="4">
        <v>96</v>
      </c>
    </row>
    <row r="3039" customHeight="1" spans="1:2">
      <c r="A3039" s="3" t="s">
        <v>14683</v>
      </c>
      <c r="B3039" s="4">
        <v>95</v>
      </c>
    </row>
    <row r="3040" customHeight="1" spans="1:2">
      <c r="A3040" s="3" t="s">
        <v>14553</v>
      </c>
      <c r="B3040" s="4">
        <v>92</v>
      </c>
    </row>
    <row r="3041" customHeight="1" spans="1:2">
      <c r="A3041" s="3" t="s">
        <v>21281</v>
      </c>
      <c r="B3041" s="4">
        <v>103</v>
      </c>
    </row>
    <row r="3042" customHeight="1" spans="1:2">
      <c r="A3042" s="3" t="s">
        <v>9964</v>
      </c>
      <c r="B3042" s="4">
        <v>95</v>
      </c>
    </row>
    <row r="3043" customHeight="1" spans="1:2">
      <c r="A3043" s="3" t="s">
        <v>9545</v>
      </c>
      <c r="B3043" s="4">
        <v>142</v>
      </c>
    </row>
    <row r="3044" customHeight="1" spans="1:2">
      <c r="A3044" s="3" t="s">
        <v>5756</v>
      </c>
      <c r="B3044" s="4">
        <v>83</v>
      </c>
    </row>
    <row r="3045" customHeight="1" spans="1:2">
      <c r="A3045" s="3" t="s">
        <v>5707</v>
      </c>
      <c r="B3045" s="4">
        <v>84</v>
      </c>
    </row>
    <row r="3046" customHeight="1" spans="1:2">
      <c r="A3046" s="3" t="s">
        <v>6306</v>
      </c>
      <c r="B3046" s="4">
        <v>89</v>
      </c>
    </row>
    <row r="3047" customHeight="1" spans="1:2">
      <c r="A3047" s="3" t="s">
        <v>10885</v>
      </c>
      <c r="B3047" s="4">
        <v>88</v>
      </c>
    </row>
    <row r="3048" customHeight="1" spans="1:2">
      <c r="A3048" s="3" t="s">
        <v>9405</v>
      </c>
      <c r="B3048" s="4">
        <v>185</v>
      </c>
    </row>
    <row r="3049" customHeight="1" spans="1:2">
      <c r="A3049" s="3" t="s">
        <v>17055</v>
      </c>
      <c r="B3049" s="4">
        <v>121</v>
      </c>
    </row>
    <row r="3050" customHeight="1" spans="1:2">
      <c r="A3050" s="3" t="s">
        <v>11074</v>
      </c>
      <c r="B3050" s="4">
        <v>108</v>
      </c>
    </row>
    <row r="3051" customHeight="1" spans="1:2">
      <c r="A3051" s="3" t="s">
        <v>10697</v>
      </c>
      <c r="B3051" s="4">
        <v>108</v>
      </c>
    </row>
    <row r="3052" customHeight="1" spans="1:2">
      <c r="A3052" s="3" t="s">
        <v>9416</v>
      </c>
      <c r="B3052" s="4">
        <v>93</v>
      </c>
    </row>
    <row r="3053" customHeight="1" spans="1:2">
      <c r="A3053" s="3" t="s">
        <v>2480</v>
      </c>
      <c r="B3053" s="4">
        <v>86</v>
      </c>
    </row>
    <row r="3054" customHeight="1" spans="1:2">
      <c r="A3054" s="3" t="s">
        <v>18514</v>
      </c>
      <c r="B3054" s="4">
        <v>96</v>
      </c>
    </row>
    <row r="3055" customHeight="1" spans="1:2">
      <c r="A3055" s="3" t="s">
        <v>2459</v>
      </c>
      <c r="B3055" s="4">
        <v>112</v>
      </c>
    </row>
    <row r="3056" customHeight="1" spans="1:2">
      <c r="A3056" s="3" t="s">
        <v>22673</v>
      </c>
      <c r="B3056" s="4">
        <v>95</v>
      </c>
    </row>
    <row r="3057" customHeight="1" spans="1:2">
      <c r="A3057" s="3" t="s">
        <v>10086</v>
      </c>
      <c r="B3057" s="4">
        <v>120</v>
      </c>
    </row>
    <row r="3058" customHeight="1" spans="1:2">
      <c r="A3058" s="3" t="s">
        <v>6312</v>
      </c>
      <c r="B3058" s="4">
        <v>116</v>
      </c>
    </row>
    <row r="3059" customHeight="1" spans="1:2">
      <c r="A3059" s="3" t="s">
        <v>6564</v>
      </c>
      <c r="B3059" s="4">
        <v>111</v>
      </c>
    </row>
    <row r="3060" customHeight="1" spans="1:2">
      <c r="A3060" s="3" t="s">
        <v>11569</v>
      </c>
      <c r="B3060" s="4">
        <v>103</v>
      </c>
    </row>
    <row r="3061" customHeight="1" spans="1:2">
      <c r="A3061" s="3" t="s">
        <v>12682</v>
      </c>
      <c r="B3061" s="4">
        <v>45</v>
      </c>
    </row>
    <row r="3062" customHeight="1" spans="1:2">
      <c r="A3062" s="3" t="s">
        <v>14270</v>
      </c>
      <c r="B3062" s="4">
        <v>81</v>
      </c>
    </row>
    <row r="3063" customHeight="1" spans="1:2">
      <c r="A3063" s="3" t="s">
        <v>7903</v>
      </c>
      <c r="B3063" s="4">
        <v>101</v>
      </c>
    </row>
    <row r="3064" customHeight="1" spans="1:2">
      <c r="A3064" s="3" t="s">
        <v>8139</v>
      </c>
      <c r="B3064" s="4">
        <v>127</v>
      </c>
    </row>
    <row r="3065" customHeight="1" spans="1:2">
      <c r="A3065" s="3" t="s">
        <v>11560</v>
      </c>
      <c r="B3065" s="4">
        <v>113</v>
      </c>
    </row>
    <row r="3066" customHeight="1" spans="1:2">
      <c r="A3066" s="3" t="s">
        <v>17862</v>
      </c>
      <c r="B3066" s="4">
        <v>41</v>
      </c>
    </row>
    <row r="3067" customHeight="1" spans="1:2">
      <c r="A3067" s="3" t="s">
        <v>2300</v>
      </c>
      <c r="B3067" s="4">
        <v>140</v>
      </c>
    </row>
    <row r="3068" customHeight="1" spans="1:2">
      <c r="A3068" s="3" t="s">
        <v>8358</v>
      </c>
      <c r="B3068" s="4">
        <v>111</v>
      </c>
    </row>
    <row r="3069" customHeight="1" spans="1:2">
      <c r="A3069" s="3" t="s">
        <v>11151</v>
      </c>
      <c r="B3069" s="4">
        <v>111</v>
      </c>
    </row>
    <row r="3070" customHeight="1" spans="1:2">
      <c r="A3070" s="3" t="s">
        <v>6483</v>
      </c>
      <c r="B3070" s="4">
        <v>96</v>
      </c>
    </row>
    <row r="3071" customHeight="1" spans="1:2">
      <c r="A3071" s="3" t="s">
        <v>7346</v>
      </c>
      <c r="B3071" s="4">
        <v>123</v>
      </c>
    </row>
    <row r="3072" customHeight="1" spans="1:2">
      <c r="A3072" s="3" t="s">
        <v>18569</v>
      </c>
      <c r="B3072" s="4">
        <v>104</v>
      </c>
    </row>
    <row r="3073" customHeight="1" spans="1:2">
      <c r="A3073" s="3" t="s">
        <v>18237</v>
      </c>
      <c r="B3073" s="4">
        <v>43</v>
      </c>
    </row>
    <row r="3074" customHeight="1" spans="1:2">
      <c r="A3074" s="3" t="s">
        <v>12435</v>
      </c>
      <c r="B3074" s="4">
        <v>94</v>
      </c>
    </row>
    <row r="3075" customHeight="1" spans="1:2">
      <c r="A3075" s="3" t="s">
        <v>8817</v>
      </c>
      <c r="B3075" s="4">
        <v>88</v>
      </c>
    </row>
    <row r="3076" customHeight="1" spans="1:2">
      <c r="A3076" s="3" t="s">
        <v>15104</v>
      </c>
      <c r="B3076" s="4">
        <v>101</v>
      </c>
    </row>
    <row r="3077" customHeight="1" spans="1:2">
      <c r="A3077" s="3" t="s">
        <v>10850</v>
      </c>
      <c r="B3077" s="4">
        <v>127</v>
      </c>
    </row>
    <row r="3078" customHeight="1" spans="1:2">
      <c r="A3078" s="3" t="s">
        <v>9360</v>
      </c>
      <c r="B3078" s="4">
        <v>117</v>
      </c>
    </row>
    <row r="3079" customHeight="1" spans="1:2">
      <c r="A3079" s="3" t="s">
        <v>10766</v>
      </c>
      <c r="B3079" s="4">
        <v>128</v>
      </c>
    </row>
    <row r="3080" customHeight="1" spans="1:2">
      <c r="A3080" s="3" t="s">
        <v>4750</v>
      </c>
      <c r="B3080" s="4">
        <v>99</v>
      </c>
    </row>
    <row r="3081" customHeight="1" spans="1:2">
      <c r="A3081" s="3" t="s">
        <v>12358</v>
      </c>
      <c r="B3081" s="4">
        <v>136</v>
      </c>
    </row>
    <row r="3082" customHeight="1" spans="1:2">
      <c r="A3082" s="3" t="s">
        <v>14765</v>
      </c>
      <c r="B3082" s="4">
        <v>111</v>
      </c>
    </row>
    <row r="3083" customHeight="1" spans="1:2">
      <c r="A3083" s="3" t="s">
        <v>8910</v>
      </c>
      <c r="B3083" s="4">
        <v>82</v>
      </c>
    </row>
    <row r="3084" customHeight="1" spans="1:2">
      <c r="A3084" s="3" t="s">
        <v>6937</v>
      </c>
      <c r="B3084" s="4">
        <v>119</v>
      </c>
    </row>
    <row r="3085" customHeight="1" spans="1:2">
      <c r="A3085" s="3" t="s">
        <v>13794</v>
      </c>
      <c r="B3085" s="4">
        <v>95</v>
      </c>
    </row>
    <row r="3086" customHeight="1" spans="1:2">
      <c r="A3086" s="3" t="s">
        <v>8802</v>
      </c>
      <c r="B3086" s="4">
        <v>99</v>
      </c>
    </row>
    <row r="3087" customHeight="1" spans="1:2">
      <c r="A3087" s="3" t="s">
        <v>20979</v>
      </c>
      <c r="B3087" s="4">
        <v>100</v>
      </c>
    </row>
    <row r="3088" customHeight="1" spans="1:2">
      <c r="A3088" s="3" t="s">
        <v>15623</v>
      </c>
      <c r="B3088" s="4">
        <v>123</v>
      </c>
    </row>
    <row r="3089" customHeight="1" spans="1:2">
      <c r="A3089" s="3" t="s">
        <v>4843</v>
      </c>
      <c r="B3089" s="4">
        <v>123</v>
      </c>
    </row>
    <row r="3090" customHeight="1" spans="1:2">
      <c r="A3090" s="3" t="s">
        <v>13613</v>
      </c>
      <c r="B3090" s="4">
        <v>110</v>
      </c>
    </row>
    <row r="3091" customHeight="1" spans="1:2">
      <c r="A3091" s="3" t="s">
        <v>22609</v>
      </c>
      <c r="B3091" s="4">
        <v>202</v>
      </c>
    </row>
    <row r="3092" customHeight="1" spans="1:2">
      <c r="A3092" s="3" t="s">
        <v>3433</v>
      </c>
      <c r="B3092" s="4">
        <v>136</v>
      </c>
    </row>
    <row r="3093" customHeight="1" spans="1:2">
      <c r="A3093" s="3" t="s">
        <v>2020</v>
      </c>
      <c r="B3093" s="4">
        <v>102</v>
      </c>
    </row>
    <row r="3094" customHeight="1" spans="1:2">
      <c r="A3094" s="3" t="s">
        <v>15351</v>
      </c>
      <c r="B3094" s="4">
        <v>90</v>
      </c>
    </row>
    <row r="3095" customHeight="1" spans="1:2">
      <c r="A3095" s="3" t="s">
        <v>1981</v>
      </c>
      <c r="B3095" s="4">
        <v>146</v>
      </c>
    </row>
    <row r="3096" customHeight="1" spans="1:2">
      <c r="A3096" s="3" t="s">
        <v>4511</v>
      </c>
      <c r="B3096" s="4">
        <v>30</v>
      </c>
    </row>
    <row r="3097" customHeight="1" spans="1:2">
      <c r="A3097" s="3" t="s">
        <v>11651</v>
      </c>
      <c r="B3097" s="4">
        <v>129</v>
      </c>
    </row>
    <row r="3098" customHeight="1" spans="1:2">
      <c r="A3098" s="3" t="s">
        <v>6576</v>
      </c>
      <c r="B3098" s="4">
        <v>94</v>
      </c>
    </row>
    <row r="3099" customHeight="1" spans="1:2">
      <c r="A3099" s="3" t="s">
        <v>21442</v>
      </c>
      <c r="B3099" s="4">
        <v>105</v>
      </c>
    </row>
    <row r="3100" customHeight="1" spans="1:2">
      <c r="A3100" s="3" t="s">
        <v>21278</v>
      </c>
      <c r="B3100" s="4">
        <v>100</v>
      </c>
    </row>
    <row r="3101" customHeight="1" spans="1:2">
      <c r="A3101" s="3" t="s">
        <v>18375</v>
      </c>
      <c r="B3101" s="4">
        <v>89</v>
      </c>
    </row>
    <row r="3102" customHeight="1" spans="1:2">
      <c r="A3102" s="3" t="s">
        <v>6967</v>
      </c>
      <c r="B3102" s="4">
        <v>93</v>
      </c>
    </row>
    <row r="3103" customHeight="1" spans="1:2">
      <c r="A3103" s="3" t="s">
        <v>16811</v>
      </c>
      <c r="B3103" s="4">
        <v>101</v>
      </c>
    </row>
    <row r="3104" customHeight="1" spans="1:2">
      <c r="A3104" s="3" t="s">
        <v>5988</v>
      </c>
      <c r="B3104" s="4">
        <v>103</v>
      </c>
    </row>
    <row r="3105" customHeight="1" spans="1:2">
      <c r="A3105" s="3" t="s">
        <v>16115</v>
      </c>
      <c r="B3105" s="4">
        <v>92</v>
      </c>
    </row>
    <row r="3106" customHeight="1" spans="1:2">
      <c r="A3106" s="3" t="s">
        <v>10399</v>
      </c>
      <c r="B3106" s="4">
        <v>115</v>
      </c>
    </row>
    <row r="3107" customHeight="1" spans="1:2">
      <c r="A3107" s="3" t="s">
        <v>4878</v>
      </c>
      <c r="B3107" s="4">
        <v>99</v>
      </c>
    </row>
    <row r="3108" customHeight="1" spans="1:2">
      <c r="A3108" s="3" t="s">
        <v>9228</v>
      </c>
      <c r="B3108" s="4">
        <v>123</v>
      </c>
    </row>
    <row r="3109" customHeight="1" spans="1:2">
      <c r="A3109" s="3" t="s">
        <v>21114</v>
      </c>
      <c r="B3109" s="4">
        <v>113</v>
      </c>
    </row>
    <row r="3110" customHeight="1" spans="1:2">
      <c r="A3110" s="3" t="s">
        <v>6427</v>
      </c>
      <c r="B3110" s="4">
        <v>106</v>
      </c>
    </row>
    <row r="3111" customHeight="1" spans="1:2">
      <c r="A3111" s="3" t="s">
        <v>6374</v>
      </c>
      <c r="B3111" s="4">
        <v>114</v>
      </c>
    </row>
    <row r="3112" customHeight="1" spans="1:2">
      <c r="A3112" s="3" t="s">
        <v>16906</v>
      </c>
      <c r="B3112" s="4">
        <v>101</v>
      </c>
    </row>
    <row r="3113" customHeight="1" spans="1:2">
      <c r="A3113" s="3" t="s">
        <v>24155</v>
      </c>
      <c r="B3113" s="4">
        <v>100</v>
      </c>
    </row>
    <row r="3114" customHeight="1" spans="1:2">
      <c r="A3114" s="3" t="s">
        <v>5148</v>
      </c>
      <c r="B3114" s="4">
        <v>114</v>
      </c>
    </row>
    <row r="3115" customHeight="1" spans="1:2">
      <c r="A3115" s="3" t="s">
        <v>4678</v>
      </c>
      <c r="B3115" s="4">
        <v>110</v>
      </c>
    </row>
    <row r="3116" customHeight="1" spans="1:2">
      <c r="A3116" s="3" t="s">
        <v>12299</v>
      </c>
      <c r="B3116" s="4">
        <v>97</v>
      </c>
    </row>
    <row r="3117" customHeight="1" spans="1:2">
      <c r="A3117" s="3" t="s">
        <v>15304</v>
      </c>
      <c r="B3117" s="4">
        <v>85</v>
      </c>
    </row>
    <row r="3118" customHeight="1" spans="1:2">
      <c r="A3118" s="3" t="s">
        <v>20597</v>
      </c>
      <c r="B3118" s="4">
        <v>92</v>
      </c>
    </row>
    <row r="3119" customHeight="1" spans="1:2">
      <c r="A3119" s="3" t="s">
        <v>9849</v>
      </c>
      <c r="B3119" s="4">
        <v>90</v>
      </c>
    </row>
    <row r="3120" customHeight="1" spans="1:2">
      <c r="A3120" s="3" t="s">
        <v>3073</v>
      </c>
      <c r="B3120" s="4">
        <v>90</v>
      </c>
    </row>
    <row r="3121" customHeight="1" spans="1:2">
      <c r="A3121" s="3" t="s">
        <v>18962</v>
      </c>
      <c r="B3121" s="4">
        <v>97</v>
      </c>
    </row>
    <row r="3122" customHeight="1" spans="1:2">
      <c r="A3122" s="3" t="s">
        <v>20104</v>
      </c>
      <c r="B3122" s="4">
        <v>100</v>
      </c>
    </row>
    <row r="3123" customHeight="1" spans="1:2">
      <c r="A3123" s="3" t="s">
        <v>17180</v>
      </c>
      <c r="B3123" s="4">
        <v>99</v>
      </c>
    </row>
    <row r="3124" customHeight="1" spans="1:2">
      <c r="A3124" s="3" t="s">
        <v>11511</v>
      </c>
      <c r="B3124" s="4">
        <v>98</v>
      </c>
    </row>
    <row r="3125" customHeight="1" spans="1:2">
      <c r="A3125" s="3" t="s">
        <v>17723</v>
      </c>
      <c r="B3125" s="4">
        <v>99</v>
      </c>
    </row>
    <row r="3126" customHeight="1" spans="1:2">
      <c r="A3126" s="3" t="s">
        <v>9743</v>
      </c>
      <c r="B3126" s="4">
        <v>7</v>
      </c>
    </row>
    <row r="3127" customHeight="1" spans="1:2">
      <c r="A3127" s="3" t="s">
        <v>23397</v>
      </c>
      <c r="B3127" s="4">
        <v>66</v>
      </c>
    </row>
    <row r="3128" customHeight="1" spans="1:2">
      <c r="A3128" s="3" t="s">
        <v>20819</v>
      </c>
      <c r="B3128" s="4">
        <v>103</v>
      </c>
    </row>
    <row r="3129" customHeight="1" spans="1:2">
      <c r="A3129" s="3" t="s">
        <v>9955</v>
      </c>
      <c r="B3129" s="4">
        <v>117</v>
      </c>
    </row>
    <row r="3130" customHeight="1" spans="1:2">
      <c r="A3130" s="3" t="s">
        <v>2154</v>
      </c>
      <c r="B3130" s="4">
        <v>128</v>
      </c>
    </row>
    <row r="3131" customHeight="1" spans="1:2">
      <c r="A3131" s="3" t="s">
        <v>1298</v>
      </c>
      <c r="B3131" s="4">
        <v>129</v>
      </c>
    </row>
    <row r="3132" customHeight="1" spans="1:2">
      <c r="A3132" s="3" t="s">
        <v>20445</v>
      </c>
      <c r="B3132" s="4">
        <v>96</v>
      </c>
    </row>
    <row r="3133" customHeight="1" spans="1:2">
      <c r="A3133" s="3" t="s">
        <v>14804</v>
      </c>
      <c r="B3133" s="4">
        <v>95</v>
      </c>
    </row>
    <row r="3134" customHeight="1" spans="1:2">
      <c r="A3134" s="3" t="s">
        <v>23535</v>
      </c>
      <c r="B3134" s="4">
        <v>88</v>
      </c>
    </row>
    <row r="3135" customHeight="1" spans="1:2">
      <c r="A3135" s="3" t="s">
        <v>10975</v>
      </c>
      <c r="B3135" s="4">
        <v>104</v>
      </c>
    </row>
    <row r="3136" customHeight="1" spans="1:2">
      <c r="A3136" s="3" t="s">
        <v>9630</v>
      </c>
      <c r="B3136" s="4">
        <v>105</v>
      </c>
    </row>
    <row r="3137" customHeight="1" spans="1:2">
      <c r="A3137" s="3" t="s">
        <v>18930</v>
      </c>
      <c r="B3137" s="4">
        <v>96</v>
      </c>
    </row>
    <row r="3138" customHeight="1" spans="1:2">
      <c r="A3138" s="3" t="s">
        <v>21607</v>
      </c>
      <c r="B3138" s="4">
        <v>122</v>
      </c>
    </row>
    <row r="3139" customHeight="1" spans="1:2">
      <c r="A3139" s="3" t="s">
        <v>17395</v>
      </c>
      <c r="B3139" s="4">
        <v>105</v>
      </c>
    </row>
    <row r="3140" customHeight="1" spans="1:2">
      <c r="A3140" s="3" t="s">
        <v>13315</v>
      </c>
      <c r="B3140" s="4">
        <v>119</v>
      </c>
    </row>
    <row r="3141" customHeight="1" spans="1:2">
      <c r="A3141" s="3" t="s">
        <v>15864</v>
      </c>
      <c r="B3141" s="4">
        <v>92</v>
      </c>
    </row>
    <row r="3142" customHeight="1" spans="1:2">
      <c r="A3142" s="3" t="s">
        <v>22560</v>
      </c>
      <c r="B3142" s="4">
        <v>93</v>
      </c>
    </row>
    <row r="3143" customHeight="1" spans="1:2">
      <c r="A3143" s="3" t="s">
        <v>4186</v>
      </c>
      <c r="B3143" s="4">
        <v>124</v>
      </c>
    </row>
    <row r="3144" customHeight="1" spans="1:2">
      <c r="A3144" s="3" t="s">
        <v>18643</v>
      </c>
      <c r="B3144" s="4">
        <v>99</v>
      </c>
    </row>
    <row r="3145" customHeight="1" spans="1:2">
      <c r="A3145" s="3" t="s">
        <v>23443</v>
      </c>
      <c r="B3145" s="4">
        <v>95</v>
      </c>
    </row>
    <row r="3146" customHeight="1" spans="1:2">
      <c r="A3146" s="3" t="s">
        <v>16348</v>
      </c>
      <c r="B3146" s="4">
        <v>106</v>
      </c>
    </row>
    <row r="3147" customHeight="1" spans="1:2">
      <c r="A3147" s="3" t="s">
        <v>23404</v>
      </c>
      <c r="B3147" s="4">
        <v>85</v>
      </c>
    </row>
    <row r="3148" customHeight="1" spans="1:2">
      <c r="A3148" s="3" t="s">
        <v>20292</v>
      </c>
      <c r="B3148" s="4">
        <v>101</v>
      </c>
    </row>
    <row r="3149" customHeight="1" spans="1:2">
      <c r="A3149" s="3" t="s">
        <v>11007</v>
      </c>
      <c r="B3149" s="4">
        <v>89</v>
      </c>
    </row>
    <row r="3150" customHeight="1" spans="1:2">
      <c r="A3150" s="3" t="s">
        <v>23247</v>
      </c>
      <c r="B3150" s="4">
        <v>92</v>
      </c>
    </row>
    <row r="3151" customHeight="1" spans="1:2">
      <c r="A3151" s="3" t="s">
        <v>18085</v>
      </c>
      <c r="B3151" s="4"/>
    </row>
    <row r="3152" customHeight="1" spans="1:2">
      <c r="A3152" s="3" t="s">
        <v>19989</v>
      </c>
      <c r="B3152" s="4">
        <v>108</v>
      </c>
    </row>
    <row r="3153" customHeight="1" spans="1:2">
      <c r="A3153" s="3" t="s">
        <v>22923</v>
      </c>
      <c r="B3153" s="4">
        <v>97</v>
      </c>
    </row>
    <row r="3154" customHeight="1" spans="1:2">
      <c r="A3154" s="3" t="s">
        <v>16155</v>
      </c>
      <c r="B3154" s="4">
        <v>79</v>
      </c>
    </row>
    <row r="3155" customHeight="1" spans="1:2">
      <c r="A3155" s="3" t="s">
        <v>6721</v>
      </c>
      <c r="B3155" s="4">
        <v>131</v>
      </c>
    </row>
    <row r="3156" customHeight="1" spans="1:2">
      <c r="A3156" s="3" t="s">
        <v>3296</v>
      </c>
      <c r="B3156" s="4">
        <v>93</v>
      </c>
    </row>
    <row r="3157" customHeight="1" spans="1:2">
      <c r="A3157" s="3" t="s">
        <v>602</v>
      </c>
      <c r="B3157" s="4">
        <v>93</v>
      </c>
    </row>
    <row r="3158" customHeight="1" spans="1:2">
      <c r="A3158" s="3" t="s">
        <v>726</v>
      </c>
      <c r="B3158" s="4">
        <v>93</v>
      </c>
    </row>
    <row r="3159" customHeight="1" spans="1:2">
      <c r="A3159" s="3" t="s">
        <v>4999</v>
      </c>
      <c r="B3159" s="4">
        <v>90</v>
      </c>
    </row>
    <row r="3160" customHeight="1" spans="1:2">
      <c r="A3160" s="3" t="s">
        <v>2597</v>
      </c>
      <c r="B3160" s="4">
        <v>138</v>
      </c>
    </row>
    <row r="3161" customHeight="1" spans="1:2">
      <c r="A3161" s="3" t="s">
        <v>16023</v>
      </c>
      <c r="B3161" s="4">
        <v>90</v>
      </c>
    </row>
    <row r="3162" customHeight="1" spans="1:2">
      <c r="A3162" s="3" t="s">
        <v>8342</v>
      </c>
      <c r="B3162" s="4">
        <v>121</v>
      </c>
    </row>
    <row r="3163" customHeight="1" spans="1:2">
      <c r="A3163" s="3" t="s">
        <v>15638</v>
      </c>
      <c r="B3163" s="4">
        <v>123</v>
      </c>
    </row>
    <row r="3164" customHeight="1" spans="1:2">
      <c r="A3164" s="3" t="s">
        <v>8448</v>
      </c>
      <c r="B3164" s="4">
        <v>212</v>
      </c>
    </row>
    <row r="3165" customHeight="1" spans="1:2">
      <c r="A3165" s="3" t="s">
        <v>12163</v>
      </c>
      <c r="B3165" s="4">
        <v>126</v>
      </c>
    </row>
    <row r="3166" customHeight="1" spans="1:2">
      <c r="A3166" s="3" t="s">
        <v>24139</v>
      </c>
      <c r="B3166" s="4">
        <v>87</v>
      </c>
    </row>
    <row r="3167" customHeight="1" spans="1:2">
      <c r="A3167" s="3" t="s">
        <v>3290</v>
      </c>
      <c r="B3167" s="4">
        <v>106</v>
      </c>
    </row>
    <row r="3168" customHeight="1" spans="1:2">
      <c r="A3168" s="3" t="s">
        <v>5223</v>
      </c>
      <c r="B3168" s="4">
        <v>132</v>
      </c>
    </row>
    <row r="3169" customHeight="1" spans="1:2">
      <c r="A3169" s="3" t="s">
        <v>11079</v>
      </c>
      <c r="B3169" s="4">
        <v>95</v>
      </c>
    </row>
    <row r="3170" customHeight="1" spans="1:2">
      <c r="A3170" s="3" t="s">
        <v>20173</v>
      </c>
      <c r="B3170" s="4">
        <v>86</v>
      </c>
    </row>
    <row r="3171" customHeight="1" spans="1:2">
      <c r="A3171" s="3" t="s">
        <v>18350</v>
      </c>
      <c r="B3171" s="4">
        <v>87</v>
      </c>
    </row>
    <row r="3172" customHeight="1" spans="1:2">
      <c r="A3172" s="3" t="s">
        <v>21503</v>
      </c>
      <c r="B3172" s="4">
        <v>89</v>
      </c>
    </row>
    <row r="3173" customHeight="1" spans="1:2">
      <c r="A3173" s="3" t="s">
        <v>13256</v>
      </c>
      <c r="B3173" s="4">
        <v>88</v>
      </c>
    </row>
    <row r="3174" customHeight="1" spans="1:2">
      <c r="A3174" s="3" t="s">
        <v>15891</v>
      </c>
      <c r="B3174" s="4">
        <v>135</v>
      </c>
    </row>
    <row r="3175" customHeight="1" spans="1:2">
      <c r="A3175" s="3" t="s">
        <v>10576</v>
      </c>
      <c r="B3175" s="4">
        <v>122</v>
      </c>
    </row>
    <row r="3176" customHeight="1" spans="1:2">
      <c r="A3176" s="3" t="s">
        <v>19782</v>
      </c>
      <c r="B3176" s="4">
        <v>99</v>
      </c>
    </row>
    <row r="3177" customHeight="1" spans="1:2">
      <c r="A3177" s="3" t="s">
        <v>9300</v>
      </c>
      <c r="B3177" s="4">
        <v>133</v>
      </c>
    </row>
    <row r="3178" customHeight="1" spans="1:2">
      <c r="A3178" s="3" t="s">
        <v>11063</v>
      </c>
      <c r="B3178" s="4">
        <v>114</v>
      </c>
    </row>
    <row r="3179" customHeight="1" spans="1:2">
      <c r="A3179" s="3" t="s">
        <v>17156</v>
      </c>
      <c r="B3179" s="4">
        <v>96</v>
      </c>
    </row>
    <row r="3180" customHeight="1" spans="1:2">
      <c r="A3180" s="3" t="s">
        <v>6363</v>
      </c>
      <c r="B3180" s="4">
        <v>147</v>
      </c>
    </row>
    <row r="3181" customHeight="1" spans="1:2">
      <c r="A3181" s="3" t="s">
        <v>3829</v>
      </c>
      <c r="B3181" s="4">
        <v>102</v>
      </c>
    </row>
    <row r="3182" customHeight="1" spans="1:2">
      <c r="A3182" s="3" t="s">
        <v>4330</v>
      </c>
      <c r="B3182" s="4">
        <v>85</v>
      </c>
    </row>
    <row r="3183" customHeight="1" spans="1:2">
      <c r="A3183" s="3" t="s">
        <v>19790</v>
      </c>
      <c r="B3183" s="4">
        <v>103</v>
      </c>
    </row>
    <row r="3184" customHeight="1" spans="1:2">
      <c r="A3184" s="3" t="s">
        <v>14943</v>
      </c>
      <c r="B3184" s="4">
        <v>97</v>
      </c>
    </row>
    <row r="3185" customHeight="1" spans="1:2">
      <c r="A3185" s="3" t="s">
        <v>19210</v>
      </c>
      <c r="B3185" s="4">
        <v>110</v>
      </c>
    </row>
    <row r="3186" customHeight="1" spans="1:2">
      <c r="A3186" s="3" t="s">
        <v>23068</v>
      </c>
      <c r="B3186" s="4">
        <v>104</v>
      </c>
    </row>
    <row r="3187" customHeight="1" spans="1:2">
      <c r="A3187" s="3" t="s">
        <v>2701</v>
      </c>
      <c r="B3187" s="4">
        <v>98</v>
      </c>
    </row>
    <row r="3188" customHeight="1" spans="1:2">
      <c r="A3188" s="3" t="s">
        <v>20377</v>
      </c>
      <c r="B3188" s="4">
        <v>91</v>
      </c>
    </row>
    <row r="3189" customHeight="1" spans="1:2">
      <c r="A3189" s="3" t="s">
        <v>15834</v>
      </c>
      <c r="B3189" s="4">
        <v>96</v>
      </c>
    </row>
    <row r="3190" customHeight="1" spans="1:2">
      <c r="A3190" s="3" t="s">
        <v>3514</v>
      </c>
      <c r="B3190" s="4">
        <v>106</v>
      </c>
    </row>
    <row r="3191" customHeight="1" spans="1:2">
      <c r="A3191" s="3" t="s">
        <v>7317</v>
      </c>
      <c r="B3191" s="4">
        <v>100</v>
      </c>
    </row>
    <row r="3192" customHeight="1" spans="1:2">
      <c r="A3192" s="3" t="s">
        <v>243</v>
      </c>
      <c r="B3192" s="4">
        <v>286</v>
      </c>
    </row>
    <row r="3193" customHeight="1" spans="1:2">
      <c r="A3193" s="3" t="s">
        <v>14977</v>
      </c>
      <c r="B3193" s="4">
        <v>97</v>
      </c>
    </row>
    <row r="3194" customHeight="1" spans="1:2">
      <c r="A3194" s="3" t="s">
        <v>20575</v>
      </c>
      <c r="B3194" s="4">
        <v>102</v>
      </c>
    </row>
    <row r="3195" customHeight="1" spans="1:2">
      <c r="A3195" s="3" t="s">
        <v>24002</v>
      </c>
      <c r="B3195" s="4">
        <v>100</v>
      </c>
    </row>
    <row r="3196" customHeight="1" spans="1:2">
      <c r="A3196" s="3" t="s">
        <v>14625</v>
      </c>
      <c r="B3196" s="4">
        <v>86</v>
      </c>
    </row>
    <row r="3197" customHeight="1" spans="1:2">
      <c r="A3197" s="3" t="s">
        <v>21694</v>
      </c>
      <c r="B3197" s="4">
        <v>100</v>
      </c>
    </row>
    <row r="3198" customHeight="1" spans="1:2">
      <c r="A3198" s="3" t="s">
        <v>19930</v>
      </c>
      <c r="B3198" s="4">
        <v>90</v>
      </c>
    </row>
    <row r="3199" customHeight="1" spans="1:2">
      <c r="A3199" s="3" t="s">
        <v>18027</v>
      </c>
      <c r="B3199" s="4">
        <v>102</v>
      </c>
    </row>
    <row r="3200" customHeight="1" spans="1:2">
      <c r="A3200" s="3" t="s">
        <v>20136</v>
      </c>
      <c r="B3200" s="4">
        <v>89</v>
      </c>
    </row>
    <row r="3201" customHeight="1" spans="1:2">
      <c r="A3201" s="3" t="s">
        <v>6017</v>
      </c>
      <c r="B3201" s="4">
        <v>147</v>
      </c>
    </row>
    <row r="3202" customHeight="1" spans="1:2">
      <c r="A3202" s="3" t="s">
        <v>15081</v>
      </c>
      <c r="B3202" s="4">
        <v>89</v>
      </c>
    </row>
    <row r="3203" customHeight="1" spans="1:2">
      <c r="A3203" s="3" t="s">
        <v>3345</v>
      </c>
      <c r="B3203" s="4">
        <v>45</v>
      </c>
    </row>
    <row r="3204" customHeight="1" spans="1:2">
      <c r="A3204" s="3" t="s">
        <v>17077</v>
      </c>
      <c r="B3204" s="4">
        <v>99</v>
      </c>
    </row>
    <row r="3205" customHeight="1" spans="1:2">
      <c r="A3205" s="3" t="s">
        <v>18117</v>
      </c>
      <c r="B3205" s="4">
        <v>148</v>
      </c>
    </row>
    <row r="3206" customHeight="1" spans="1:2">
      <c r="A3206" s="3" t="s">
        <v>12642</v>
      </c>
      <c r="B3206" s="4">
        <v>95</v>
      </c>
    </row>
    <row r="3207" customHeight="1" spans="1:2">
      <c r="A3207" s="3" t="s">
        <v>12630</v>
      </c>
      <c r="B3207" s="4">
        <v>93</v>
      </c>
    </row>
    <row r="3208" customHeight="1" spans="1:2">
      <c r="A3208" s="3" t="s">
        <v>19282</v>
      </c>
      <c r="B3208" s="4">
        <v>84</v>
      </c>
    </row>
    <row r="3209" customHeight="1" spans="1:2">
      <c r="A3209" s="3" t="s">
        <v>13357</v>
      </c>
      <c r="B3209" s="4">
        <v>120</v>
      </c>
    </row>
    <row r="3210" customHeight="1" spans="1:2">
      <c r="A3210" s="3" t="s">
        <v>17838</v>
      </c>
      <c r="B3210" s="4">
        <v>91</v>
      </c>
    </row>
    <row r="3211" customHeight="1" spans="1:2">
      <c r="A3211" s="3" t="s">
        <v>20537</v>
      </c>
      <c r="B3211" s="4">
        <v>96</v>
      </c>
    </row>
    <row r="3212" customHeight="1" spans="1:2">
      <c r="A3212" s="3" t="s">
        <v>6430</v>
      </c>
      <c r="B3212" s="4">
        <v>108</v>
      </c>
    </row>
    <row r="3213" customHeight="1" spans="1:2">
      <c r="A3213" s="3" t="s">
        <v>11879</v>
      </c>
      <c r="B3213" s="4">
        <v>94</v>
      </c>
    </row>
    <row r="3214" customHeight="1" spans="1:2">
      <c r="A3214" s="3" t="s">
        <v>23922</v>
      </c>
      <c r="B3214" s="4">
        <v>90</v>
      </c>
    </row>
    <row r="3215" customHeight="1" spans="1:2">
      <c r="A3215" s="3" t="s">
        <v>7709</v>
      </c>
      <c r="B3215" s="4">
        <v>121</v>
      </c>
    </row>
    <row r="3216" customHeight="1" spans="1:2">
      <c r="A3216" s="3" t="s">
        <v>20204</v>
      </c>
      <c r="B3216" s="4">
        <v>89</v>
      </c>
    </row>
    <row r="3217" customHeight="1" spans="1:2">
      <c r="A3217" s="3" t="s">
        <v>12182</v>
      </c>
      <c r="B3217" s="4">
        <v>109</v>
      </c>
    </row>
    <row r="3218" customHeight="1" spans="1:2">
      <c r="A3218" s="3" t="s">
        <v>3199</v>
      </c>
      <c r="B3218" s="4">
        <v>98</v>
      </c>
    </row>
    <row r="3219" customHeight="1" spans="1:2">
      <c r="A3219" s="3" t="s">
        <v>7845</v>
      </c>
      <c r="B3219" s="4">
        <v>210</v>
      </c>
    </row>
    <row r="3220" customHeight="1" spans="1:2">
      <c r="A3220" s="3" t="s">
        <v>14449</v>
      </c>
      <c r="B3220" s="4">
        <v>208</v>
      </c>
    </row>
    <row r="3221" customHeight="1" spans="1:2">
      <c r="A3221" s="3" t="s">
        <v>12776</v>
      </c>
      <c r="B3221" s="4">
        <v>224</v>
      </c>
    </row>
    <row r="3222" customHeight="1" spans="1:2">
      <c r="A3222" s="3" t="s">
        <v>20970</v>
      </c>
      <c r="B3222" s="4">
        <v>107</v>
      </c>
    </row>
    <row r="3223" customHeight="1" spans="1:2">
      <c r="A3223" s="3" t="s">
        <v>13710</v>
      </c>
      <c r="B3223" s="4">
        <v>89</v>
      </c>
    </row>
    <row r="3224" customHeight="1" spans="1:2">
      <c r="A3224" s="3" t="s">
        <v>7899</v>
      </c>
      <c r="B3224" s="4">
        <v>99</v>
      </c>
    </row>
    <row r="3225" customHeight="1" spans="1:2">
      <c r="A3225" s="3" t="s">
        <v>7207</v>
      </c>
      <c r="B3225" s="4">
        <v>127</v>
      </c>
    </row>
    <row r="3226" customHeight="1" spans="1:2">
      <c r="A3226" s="3" t="s">
        <v>17239</v>
      </c>
      <c r="B3226" s="4">
        <v>104</v>
      </c>
    </row>
    <row r="3227" customHeight="1" spans="1:2">
      <c r="A3227" s="3" t="s">
        <v>16757</v>
      </c>
      <c r="B3227" s="4">
        <v>80</v>
      </c>
    </row>
    <row r="3228" customHeight="1" spans="1:2">
      <c r="A3228" s="3" t="s">
        <v>560</v>
      </c>
      <c r="B3228" s="4">
        <v>132</v>
      </c>
    </row>
    <row r="3229" customHeight="1" spans="1:2">
      <c r="A3229" s="3" t="s">
        <v>21103</v>
      </c>
      <c r="B3229" s="4">
        <v>83</v>
      </c>
    </row>
    <row r="3230" customHeight="1" spans="1:2">
      <c r="A3230" s="3" t="s">
        <v>21944</v>
      </c>
      <c r="B3230" s="4">
        <v>83</v>
      </c>
    </row>
    <row r="3231" customHeight="1" spans="1:2">
      <c r="A3231" s="3" t="s">
        <v>9341</v>
      </c>
      <c r="B3231" s="4">
        <v>100</v>
      </c>
    </row>
    <row r="3232" customHeight="1" spans="1:2">
      <c r="A3232" s="3" t="s">
        <v>6894</v>
      </c>
      <c r="B3232" s="4">
        <v>126</v>
      </c>
    </row>
    <row r="3233" customHeight="1" spans="1:2">
      <c r="A3233" s="3" t="s">
        <v>5639</v>
      </c>
      <c r="B3233" s="4">
        <v>115</v>
      </c>
    </row>
    <row r="3234" customHeight="1" spans="1:2">
      <c r="A3234" s="3" t="s">
        <v>3167</v>
      </c>
      <c r="B3234" s="4">
        <v>99</v>
      </c>
    </row>
    <row r="3235" customHeight="1" spans="1:2">
      <c r="A3235" s="3" t="s">
        <v>13980</v>
      </c>
      <c r="B3235" s="4">
        <v>90</v>
      </c>
    </row>
    <row r="3236" customHeight="1" spans="1:2">
      <c r="A3236" s="3" t="s">
        <v>23461</v>
      </c>
      <c r="B3236" s="4">
        <v>89</v>
      </c>
    </row>
    <row r="3237" customHeight="1" spans="1:2">
      <c r="A3237" s="3" t="s">
        <v>17779</v>
      </c>
      <c r="B3237" s="4">
        <v>141</v>
      </c>
    </row>
    <row r="3238" customHeight="1" spans="1:2">
      <c r="A3238" s="3" t="s">
        <v>23139</v>
      </c>
      <c r="B3238" s="4">
        <v>97</v>
      </c>
    </row>
    <row r="3239" customHeight="1" spans="1:2">
      <c r="A3239" s="3" t="s">
        <v>19670</v>
      </c>
      <c r="B3239" s="4">
        <v>120</v>
      </c>
    </row>
    <row r="3240" customHeight="1" spans="1:2">
      <c r="A3240" s="3" t="s">
        <v>10228</v>
      </c>
      <c r="B3240" s="4">
        <v>97</v>
      </c>
    </row>
    <row r="3241" customHeight="1" spans="1:2">
      <c r="A3241" s="3" t="s">
        <v>7432</v>
      </c>
      <c r="B3241" s="4">
        <v>112</v>
      </c>
    </row>
    <row r="3242" customHeight="1" spans="1:2">
      <c r="A3242" s="3" t="s">
        <v>19587</v>
      </c>
      <c r="B3242" s="4">
        <v>95</v>
      </c>
    </row>
    <row r="3243" customHeight="1" spans="1:2">
      <c r="A3243" s="3" t="s">
        <v>2592</v>
      </c>
      <c r="B3243" s="4">
        <v>128</v>
      </c>
    </row>
    <row r="3244" customHeight="1" spans="1:2">
      <c r="A3244" s="3" t="s">
        <v>17513</v>
      </c>
      <c r="B3244" s="4">
        <v>103</v>
      </c>
    </row>
    <row r="3245" customHeight="1" spans="1:2">
      <c r="A3245" s="3" t="s">
        <v>16689</v>
      </c>
      <c r="B3245" s="4">
        <v>97</v>
      </c>
    </row>
    <row r="3246" customHeight="1" spans="1:2">
      <c r="A3246" s="3" t="s">
        <v>10385</v>
      </c>
      <c r="B3246" s="4">
        <v>170</v>
      </c>
    </row>
    <row r="3247" customHeight="1" spans="1:2">
      <c r="A3247" s="3" t="s">
        <v>1894</v>
      </c>
      <c r="B3247" s="4">
        <v>94</v>
      </c>
    </row>
    <row r="3248" customHeight="1" spans="1:2">
      <c r="A3248" s="3" t="s">
        <v>17308</v>
      </c>
      <c r="B3248" s="4">
        <v>86</v>
      </c>
    </row>
    <row r="3249" customHeight="1" spans="1:2">
      <c r="A3249" s="3" t="s">
        <v>20689</v>
      </c>
      <c r="B3249" s="4">
        <v>109</v>
      </c>
    </row>
    <row r="3250" customHeight="1" spans="1:2">
      <c r="A3250" s="3" t="s">
        <v>18703</v>
      </c>
      <c r="B3250" s="4">
        <v>23</v>
      </c>
    </row>
    <row r="3251" customHeight="1" spans="1:2">
      <c r="A3251" s="3" t="s">
        <v>10514</v>
      </c>
      <c r="B3251" s="4">
        <v>92</v>
      </c>
    </row>
    <row r="3252" customHeight="1" spans="1:2">
      <c r="A3252" s="3" t="s">
        <v>14240</v>
      </c>
      <c r="B3252" s="4">
        <v>93</v>
      </c>
    </row>
    <row r="3253" customHeight="1" spans="1:2">
      <c r="A3253" s="3" t="s">
        <v>13948</v>
      </c>
      <c r="B3253" s="4">
        <v>101</v>
      </c>
    </row>
    <row r="3254" customHeight="1" spans="1:2">
      <c r="A3254" s="3" t="s">
        <v>16318</v>
      </c>
      <c r="B3254" s="4">
        <v>115</v>
      </c>
    </row>
    <row r="3255" customHeight="1" spans="1:2">
      <c r="A3255" s="3" t="s">
        <v>18114</v>
      </c>
      <c r="B3255" s="4">
        <v>99</v>
      </c>
    </row>
    <row r="3256" customHeight="1" spans="1:2">
      <c r="A3256" s="3" t="s">
        <v>6802</v>
      </c>
      <c r="B3256" s="4">
        <v>100</v>
      </c>
    </row>
    <row r="3257" customHeight="1" spans="1:2">
      <c r="A3257" s="3" t="s">
        <v>12571</v>
      </c>
      <c r="B3257" s="4">
        <v>92</v>
      </c>
    </row>
    <row r="3258" customHeight="1" spans="1:2">
      <c r="A3258" s="3" t="s">
        <v>11839</v>
      </c>
      <c r="B3258" s="4">
        <v>106</v>
      </c>
    </row>
    <row r="3259" customHeight="1" spans="1:2">
      <c r="A3259" s="3" t="s">
        <v>13532</v>
      </c>
      <c r="B3259" s="4">
        <v>84</v>
      </c>
    </row>
    <row r="3260" customHeight="1" spans="1:2">
      <c r="A3260" s="3" t="s">
        <v>23641</v>
      </c>
      <c r="B3260" s="4">
        <v>85</v>
      </c>
    </row>
    <row r="3261" customHeight="1" spans="1:2">
      <c r="A3261" s="3" t="s">
        <v>7941</v>
      </c>
      <c r="B3261" s="4">
        <v>93</v>
      </c>
    </row>
    <row r="3262" customHeight="1" spans="1:2">
      <c r="A3262" s="3" t="s">
        <v>10561</v>
      </c>
      <c r="B3262" s="4">
        <v>81</v>
      </c>
    </row>
    <row r="3263" customHeight="1" spans="1:2">
      <c r="A3263" s="3" t="s">
        <v>12323</v>
      </c>
      <c r="B3263" s="4">
        <v>160</v>
      </c>
    </row>
    <row r="3264" customHeight="1" spans="1:2">
      <c r="A3264" s="3" t="s">
        <v>8346</v>
      </c>
      <c r="B3264" s="4">
        <v>124</v>
      </c>
    </row>
    <row r="3265" customHeight="1" spans="1:2">
      <c r="A3265" s="3" t="s">
        <v>14423</v>
      </c>
      <c r="B3265" s="4">
        <v>138</v>
      </c>
    </row>
    <row r="3266" customHeight="1" spans="1:2">
      <c r="A3266" s="3" t="s">
        <v>7225</v>
      </c>
      <c r="B3266" s="4">
        <v>81</v>
      </c>
    </row>
    <row r="3267" customHeight="1" spans="1:2">
      <c r="A3267" s="3" t="s">
        <v>3698</v>
      </c>
      <c r="B3267" s="4">
        <v>130</v>
      </c>
    </row>
    <row r="3268" customHeight="1" spans="1:2">
      <c r="A3268" s="3" t="s">
        <v>10047</v>
      </c>
      <c r="B3268" s="4">
        <v>85</v>
      </c>
    </row>
    <row r="3269" customHeight="1" spans="1:2">
      <c r="A3269" s="3" t="s">
        <v>2673</v>
      </c>
      <c r="B3269" s="4">
        <v>88</v>
      </c>
    </row>
    <row r="3270" customHeight="1" spans="1:2">
      <c r="A3270" s="3" t="s">
        <v>21189</v>
      </c>
      <c r="B3270" s="4">
        <v>60</v>
      </c>
    </row>
    <row r="3271" customHeight="1" spans="1:2">
      <c r="A3271" s="3" t="s">
        <v>10330</v>
      </c>
      <c r="B3271" s="4">
        <v>96</v>
      </c>
    </row>
    <row r="3272" customHeight="1" spans="1:2">
      <c r="A3272" s="3" t="s">
        <v>19252</v>
      </c>
      <c r="B3272" s="4">
        <v>100</v>
      </c>
    </row>
    <row r="3273" customHeight="1" spans="1:2">
      <c r="A3273" s="3" t="s">
        <v>3115</v>
      </c>
      <c r="B3273" s="4">
        <v>131</v>
      </c>
    </row>
    <row r="3274" customHeight="1" spans="1:2">
      <c r="A3274" s="3" t="s">
        <v>14947</v>
      </c>
      <c r="B3274" s="4">
        <v>116</v>
      </c>
    </row>
    <row r="3275" customHeight="1" spans="1:2">
      <c r="A3275" s="3" t="s">
        <v>21862</v>
      </c>
      <c r="B3275" s="4">
        <v>90</v>
      </c>
    </row>
    <row r="3276" customHeight="1" spans="1:2">
      <c r="A3276" s="3" t="s">
        <v>14165</v>
      </c>
      <c r="B3276" s="4">
        <v>55</v>
      </c>
    </row>
    <row r="3277" customHeight="1" spans="1:2">
      <c r="A3277" s="3" t="s">
        <v>6435</v>
      </c>
      <c r="B3277" s="4">
        <v>98</v>
      </c>
    </row>
    <row r="3278" customHeight="1" spans="1:2">
      <c r="A3278" s="3" t="s">
        <v>21859</v>
      </c>
      <c r="B3278" s="4">
        <v>81</v>
      </c>
    </row>
    <row r="3279" customHeight="1" spans="1:2">
      <c r="A3279" s="3" t="s">
        <v>7327</v>
      </c>
      <c r="B3279" s="4">
        <v>108</v>
      </c>
    </row>
    <row r="3280" customHeight="1" spans="1:2">
      <c r="A3280" s="3" t="s">
        <v>55</v>
      </c>
      <c r="B3280" s="4">
        <v>148</v>
      </c>
    </row>
    <row r="3281" customHeight="1" spans="1:2">
      <c r="A3281" s="3" t="s">
        <v>1610</v>
      </c>
      <c r="B3281" s="4">
        <v>121</v>
      </c>
    </row>
    <row r="3282" customHeight="1" spans="1:2">
      <c r="A3282" s="3" t="s">
        <v>1411</v>
      </c>
      <c r="B3282" s="4">
        <v>135</v>
      </c>
    </row>
    <row r="3283" customHeight="1" spans="1:2">
      <c r="A3283" s="3" t="s">
        <v>8100</v>
      </c>
      <c r="B3283" s="4">
        <v>116</v>
      </c>
    </row>
    <row r="3284" customHeight="1" spans="1:2">
      <c r="A3284" s="3" t="s">
        <v>21824</v>
      </c>
      <c r="B3284" s="4">
        <v>105</v>
      </c>
    </row>
    <row r="3285" customHeight="1" spans="1:2">
      <c r="A3285" s="3" t="s">
        <v>20919</v>
      </c>
      <c r="B3285" s="4">
        <v>95</v>
      </c>
    </row>
    <row r="3286" customHeight="1" spans="1:2">
      <c r="A3286" s="3" t="s">
        <v>3205</v>
      </c>
      <c r="B3286" s="4">
        <v>134</v>
      </c>
    </row>
    <row r="3287" customHeight="1" spans="1:2">
      <c r="A3287" s="3" t="s">
        <v>15231</v>
      </c>
      <c r="B3287" s="4">
        <v>118</v>
      </c>
    </row>
    <row r="3288" customHeight="1" spans="1:2">
      <c r="A3288" s="3" t="s">
        <v>9679</v>
      </c>
      <c r="B3288" s="4">
        <v>93</v>
      </c>
    </row>
    <row r="3289" customHeight="1" spans="1:2">
      <c r="A3289" s="3" t="s">
        <v>15245</v>
      </c>
      <c r="B3289" s="4">
        <v>98</v>
      </c>
    </row>
    <row r="3290" customHeight="1" spans="1:2">
      <c r="A3290" s="3" t="s">
        <v>247</v>
      </c>
      <c r="B3290" s="4">
        <v>135</v>
      </c>
    </row>
    <row r="3291" customHeight="1" spans="1:2">
      <c r="A3291" s="3" t="s">
        <v>85</v>
      </c>
      <c r="B3291" s="4">
        <v>312</v>
      </c>
    </row>
    <row r="3292" customHeight="1" spans="1:2">
      <c r="A3292" s="3" t="s">
        <v>1033</v>
      </c>
      <c r="B3292" s="4">
        <v>121</v>
      </c>
    </row>
    <row r="3293" customHeight="1" spans="1:2">
      <c r="A3293" s="3" t="s">
        <v>2714</v>
      </c>
      <c r="B3293" s="4">
        <v>83</v>
      </c>
    </row>
    <row r="3294" customHeight="1" spans="1:2">
      <c r="A3294" s="3" t="s">
        <v>11631</v>
      </c>
      <c r="B3294" s="4">
        <v>125</v>
      </c>
    </row>
    <row r="3295" customHeight="1" spans="1:2">
      <c r="A3295" s="3" t="s">
        <v>15978</v>
      </c>
      <c r="B3295" s="4">
        <v>111</v>
      </c>
    </row>
    <row r="3296" customHeight="1" spans="1:2">
      <c r="A3296" s="3" t="s">
        <v>8558</v>
      </c>
      <c r="B3296" s="4">
        <v>104</v>
      </c>
    </row>
    <row r="3297" customHeight="1" spans="1:2">
      <c r="A3297" s="3" t="s">
        <v>16618</v>
      </c>
      <c r="B3297" s="4">
        <v>96</v>
      </c>
    </row>
    <row r="3298" customHeight="1" spans="1:2">
      <c r="A3298" s="3" t="s">
        <v>10814</v>
      </c>
      <c r="B3298" s="4">
        <v>128</v>
      </c>
    </row>
    <row r="3299" customHeight="1" spans="1:2">
      <c r="A3299" s="3" t="s">
        <v>17709</v>
      </c>
      <c r="B3299" s="4">
        <v>94</v>
      </c>
    </row>
    <row r="3300" customHeight="1" spans="1:2">
      <c r="A3300" s="3" t="s">
        <v>18293</v>
      </c>
      <c r="B3300" s="4">
        <v>106</v>
      </c>
    </row>
    <row r="3301" customHeight="1" spans="1:2">
      <c r="A3301" s="3" t="s">
        <v>2244</v>
      </c>
      <c r="B3301" s="4">
        <v>114</v>
      </c>
    </row>
    <row r="3302" customHeight="1" spans="1:2">
      <c r="A3302" s="3" t="s">
        <v>11830</v>
      </c>
      <c r="B3302" s="4">
        <v>81</v>
      </c>
    </row>
    <row r="3303" customHeight="1" spans="1:2">
      <c r="A3303" s="3" t="s">
        <v>6971</v>
      </c>
      <c r="B3303" s="4">
        <v>100</v>
      </c>
    </row>
    <row r="3304" customHeight="1" spans="1:2">
      <c r="A3304" s="3" t="s">
        <v>6267</v>
      </c>
      <c r="B3304" s="4">
        <v>84</v>
      </c>
    </row>
    <row r="3305" customHeight="1" spans="1:2">
      <c r="A3305" s="3" t="s">
        <v>7267</v>
      </c>
      <c r="B3305" s="4">
        <v>88</v>
      </c>
    </row>
    <row r="3306" customHeight="1" spans="1:2">
      <c r="A3306" s="3" t="s">
        <v>9182</v>
      </c>
      <c r="B3306" s="4">
        <v>89</v>
      </c>
    </row>
    <row r="3307" customHeight="1" spans="1:2">
      <c r="A3307" s="3" t="s">
        <v>14532</v>
      </c>
      <c r="B3307" s="4">
        <v>100</v>
      </c>
    </row>
    <row r="3308" customHeight="1" spans="1:2">
      <c r="A3308" s="3" t="s">
        <v>13683</v>
      </c>
      <c r="B3308" s="4">
        <v>102</v>
      </c>
    </row>
    <row r="3309" customHeight="1" spans="1:2">
      <c r="A3309" s="3" t="s">
        <v>18697</v>
      </c>
      <c r="B3309" s="4">
        <v>98</v>
      </c>
    </row>
    <row r="3310" customHeight="1" spans="1:2">
      <c r="A3310" s="3" t="s">
        <v>13581</v>
      </c>
      <c r="B3310" s="4">
        <v>90</v>
      </c>
    </row>
    <row r="3311" customHeight="1" spans="1:2">
      <c r="A3311" s="3" t="s">
        <v>15988</v>
      </c>
      <c r="B3311" s="4">
        <v>89</v>
      </c>
    </row>
    <row r="3312" customHeight="1" spans="1:2">
      <c r="A3312" s="3" t="s">
        <v>17959</v>
      </c>
      <c r="B3312" s="4">
        <v>118</v>
      </c>
    </row>
    <row r="3313" customHeight="1" spans="1:2">
      <c r="A3313" s="3" t="s">
        <v>17381</v>
      </c>
      <c r="B3313" s="4">
        <v>105</v>
      </c>
    </row>
    <row r="3314" customHeight="1" spans="1:2">
      <c r="A3314" s="3" t="s">
        <v>413</v>
      </c>
      <c r="B3314" s="4">
        <v>122</v>
      </c>
    </row>
    <row r="3315" customHeight="1" spans="1:2">
      <c r="A3315" s="3" t="s">
        <v>14035</v>
      </c>
      <c r="B3315" s="4">
        <v>116</v>
      </c>
    </row>
    <row r="3316" customHeight="1" spans="1:2">
      <c r="A3316" s="3" t="s">
        <v>11738</v>
      </c>
      <c r="B3316" s="4">
        <v>105</v>
      </c>
    </row>
    <row r="3317" customHeight="1" spans="1:2">
      <c r="A3317" s="3" t="s">
        <v>356</v>
      </c>
      <c r="B3317" s="4">
        <v>132</v>
      </c>
    </row>
    <row r="3318" customHeight="1" spans="1:2">
      <c r="A3318" s="3" t="s">
        <v>10079</v>
      </c>
      <c r="B3318" s="4">
        <v>119</v>
      </c>
    </row>
    <row r="3319" customHeight="1" spans="1:2">
      <c r="A3319" s="3" t="s">
        <v>8276</v>
      </c>
      <c r="B3319" s="4">
        <v>107</v>
      </c>
    </row>
    <row r="3320" customHeight="1" spans="1:2">
      <c r="A3320" s="3" t="s">
        <v>9087</v>
      </c>
      <c r="B3320" s="4">
        <v>110</v>
      </c>
    </row>
    <row r="3321" customHeight="1" spans="1:2">
      <c r="A3321" s="3" t="s">
        <v>1030</v>
      </c>
      <c r="B3321" s="4">
        <v>127</v>
      </c>
    </row>
    <row r="3322" customHeight="1" spans="1:2">
      <c r="A3322" s="3" t="s">
        <v>5666</v>
      </c>
      <c r="B3322" s="4">
        <v>111</v>
      </c>
    </row>
    <row r="3323" customHeight="1" spans="1:2">
      <c r="A3323" s="3" t="s">
        <v>6975</v>
      </c>
      <c r="B3323" s="4">
        <v>118</v>
      </c>
    </row>
    <row r="3324" customHeight="1" spans="1:2">
      <c r="A3324" s="3" t="s">
        <v>3380</v>
      </c>
      <c r="B3324" s="4">
        <v>103</v>
      </c>
    </row>
    <row r="3325" customHeight="1" spans="1:2">
      <c r="A3325" s="3" t="s">
        <v>4258</v>
      </c>
      <c r="B3325" s="4">
        <v>116</v>
      </c>
    </row>
    <row r="3326" customHeight="1" spans="1:2">
      <c r="A3326" s="3" t="s">
        <v>7285</v>
      </c>
      <c r="B3326" s="4">
        <v>143</v>
      </c>
    </row>
    <row r="3327" customHeight="1" spans="1:2">
      <c r="A3327" s="3" t="s">
        <v>1451</v>
      </c>
      <c r="B3327" s="4">
        <v>136</v>
      </c>
    </row>
    <row r="3328" customHeight="1" spans="1:2">
      <c r="A3328" s="3" t="s">
        <v>1438</v>
      </c>
      <c r="B3328" s="4">
        <v>142</v>
      </c>
    </row>
    <row r="3329" customHeight="1" spans="1:2">
      <c r="A3329" s="3" t="s">
        <v>1435</v>
      </c>
      <c r="B3329" s="4">
        <v>140</v>
      </c>
    </row>
    <row r="3330" customHeight="1" spans="1:2">
      <c r="A3330" s="3" t="s">
        <v>14485</v>
      </c>
      <c r="B3330" s="4">
        <v>125</v>
      </c>
    </row>
    <row r="3331" customHeight="1" spans="1:2">
      <c r="A3331" s="3" t="s">
        <v>10204</v>
      </c>
      <c r="B3331" s="4">
        <v>127</v>
      </c>
    </row>
    <row r="3332" customHeight="1" spans="1:2">
      <c r="A3332" s="3" t="s">
        <v>7873</v>
      </c>
      <c r="B3332" s="4">
        <v>134</v>
      </c>
    </row>
    <row r="3333" customHeight="1" spans="1:2">
      <c r="A3333" s="3" t="s">
        <v>70</v>
      </c>
      <c r="B3333" s="4"/>
    </row>
    <row r="3334" customHeight="1" spans="1:2">
      <c r="A3334" s="3" t="s">
        <v>15829</v>
      </c>
      <c r="B3334" s="4">
        <v>23</v>
      </c>
    </row>
    <row r="3335" customHeight="1" spans="1:2">
      <c r="A3335" s="3" t="s">
        <v>3428</v>
      </c>
      <c r="B3335" s="4">
        <v>127</v>
      </c>
    </row>
    <row r="3336" customHeight="1" spans="1:2">
      <c r="A3336" s="3" t="s">
        <v>4659</v>
      </c>
      <c r="B3336" s="4">
        <v>44</v>
      </c>
    </row>
    <row r="3337" customHeight="1" spans="1:2">
      <c r="A3337" s="3" t="s">
        <v>16775</v>
      </c>
      <c r="B3337" s="4">
        <v>97</v>
      </c>
    </row>
    <row r="3338" customHeight="1" spans="1:2">
      <c r="A3338" s="3" t="s">
        <v>1845</v>
      </c>
      <c r="B3338" s="4">
        <v>129</v>
      </c>
    </row>
    <row r="3339" customHeight="1" spans="1:2">
      <c r="A3339" s="3" t="s">
        <v>4105</v>
      </c>
      <c r="B3339" s="4">
        <v>101</v>
      </c>
    </row>
    <row r="3340" customHeight="1" spans="1:2">
      <c r="A3340" s="3" t="s">
        <v>22355</v>
      </c>
      <c r="B3340" s="4">
        <v>103</v>
      </c>
    </row>
    <row r="3341" customHeight="1" spans="1:2">
      <c r="A3341" s="3" t="s">
        <v>18252</v>
      </c>
      <c r="B3341" s="4">
        <v>100</v>
      </c>
    </row>
    <row r="3342" customHeight="1" spans="1:2">
      <c r="A3342" s="3" t="s">
        <v>4232</v>
      </c>
      <c r="B3342" s="4">
        <v>127</v>
      </c>
    </row>
    <row r="3343" customHeight="1" spans="1:2">
      <c r="A3343" s="3" t="s">
        <v>10985</v>
      </c>
      <c r="B3343" s="4">
        <v>75</v>
      </c>
    </row>
    <row r="3344" customHeight="1" spans="1:2">
      <c r="A3344" s="3" t="s">
        <v>9836</v>
      </c>
      <c r="B3344" s="4">
        <v>170</v>
      </c>
    </row>
    <row r="3345" customHeight="1" spans="1:2">
      <c r="A3345" s="3" t="s">
        <v>1049</v>
      </c>
      <c r="B3345" s="4">
        <v>121</v>
      </c>
    </row>
    <row r="3346" customHeight="1" spans="1:2">
      <c r="A3346" s="3" t="s">
        <v>11445</v>
      </c>
      <c r="B3346" s="4">
        <v>103</v>
      </c>
    </row>
    <row r="3347" customHeight="1" spans="1:2">
      <c r="A3347" s="3" t="s">
        <v>12554</v>
      </c>
      <c r="B3347" s="4">
        <v>97</v>
      </c>
    </row>
    <row r="3348" customHeight="1" spans="1:2">
      <c r="A3348" s="3" t="s">
        <v>3675</v>
      </c>
      <c r="B3348" s="4">
        <v>106</v>
      </c>
    </row>
    <row r="3349" customHeight="1" spans="1:2">
      <c r="A3349" s="3" t="s">
        <v>12103</v>
      </c>
      <c r="B3349" s="4">
        <v>98</v>
      </c>
    </row>
    <row r="3350" customHeight="1" spans="1:2">
      <c r="A3350" s="3" t="s">
        <v>8362</v>
      </c>
      <c r="B3350" s="4">
        <v>107</v>
      </c>
    </row>
    <row r="3351" customHeight="1" spans="1:2">
      <c r="A3351" s="3" t="s">
        <v>7840</v>
      </c>
      <c r="B3351" s="4">
        <v>99</v>
      </c>
    </row>
    <row r="3352" customHeight="1" spans="1:2">
      <c r="A3352" s="3" t="s">
        <v>14059</v>
      </c>
      <c r="B3352" s="4">
        <v>104</v>
      </c>
    </row>
    <row r="3353" customHeight="1" spans="1:2">
      <c r="A3353" s="3" t="s">
        <v>5066</v>
      </c>
      <c r="B3353" s="4">
        <v>124</v>
      </c>
    </row>
    <row r="3354" customHeight="1" spans="1:2">
      <c r="A3354" s="3" t="s">
        <v>21961</v>
      </c>
      <c r="B3354" s="4">
        <v>138</v>
      </c>
    </row>
    <row r="3355" customHeight="1" spans="1:2">
      <c r="A3355" s="3" t="s">
        <v>11901</v>
      </c>
      <c r="B3355" s="4">
        <v>122</v>
      </c>
    </row>
    <row r="3356" customHeight="1" spans="1:2">
      <c r="A3356" s="3" t="s">
        <v>11003</v>
      </c>
      <c r="B3356" s="4">
        <v>103</v>
      </c>
    </row>
    <row r="3357" customHeight="1" spans="1:2">
      <c r="A3357" s="3" t="s">
        <v>17340</v>
      </c>
      <c r="B3357" s="4">
        <v>94</v>
      </c>
    </row>
    <row r="3358" customHeight="1" spans="1:2">
      <c r="A3358" s="3" t="s">
        <v>7921</v>
      </c>
      <c r="B3358" s="4">
        <v>103</v>
      </c>
    </row>
    <row r="3359" customHeight="1" spans="1:2">
      <c r="A3359" s="3" t="s">
        <v>17684</v>
      </c>
      <c r="B3359" s="4">
        <v>101</v>
      </c>
    </row>
    <row r="3360" customHeight="1" spans="1:2">
      <c r="A3360" s="3" t="s">
        <v>14159</v>
      </c>
      <c r="B3360" s="4">
        <v>99</v>
      </c>
    </row>
    <row r="3361" customHeight="1" spans="1:2">
      <c r="A3361" s="3" t="s">
        <v>20489</v>
      </c>
      <c r="B3361" s="4">
        <v>86</v>
      </c>
    </row>
    <row r="3362" customHeight="1" spans="1:2">
      <c r="A3362" s="3" t="s">
        <v>14344</v>
      </c>
      <c r="B3362" s="4">
        <v>99</v>
      </c>
    </row>
    <row r="3363" customHeight="1" spans="1:2">
      <c r="A3363" s="3" t="s">
        <v>21002</v>
      </c>
      <c r="B3363" s="4">
        <v>91</v>
      </c>
    </row>
    <row r="3364" customHeight="1" spans="1:2">
      <c r="A3364" s="3" t="s">
        <v>7776</v>
      </c>
      <c r="B3364" s="4">
        <v>96</v>
      </c>
    </row>
    <row r="3365" customHeight="1" spans="1:2">
      <c r="A3365" s="3" t="s">
        <v>13391</v>
      </c>
      <c r="B3365" s="4">
        <v>109</v>
      </c>
    </row>
    <row r="3366" customHeight="1" spans="1:2">
      <c r="A3366" s="3" t="s">
        <v>9945</v>
      </c>
      <c r="B3366" s="4">
        <v>88</v>
      </c>
    </row>
    <row r="3367" customHeight="1" spans="1:2">
      <c r="A3367" s="3" t="s">
        <v>10518</v>
      </c>
      <c r="B3367" s="4">
        <v>105</v>
      </c>
    </row>
    <row r="3368" customHeight="1" spans="1:2">
      <c r="A3368" s="3" t="s">
        <v>20401</v>
      </c>
      <c r="B3368" s="4">
        <v>129</v>
      </c>
    </row>
    <row r="3369" customHeight="1" spans="1:2">
      <c r="A3369" s="3" t="s">
        <v>9908</v>
      </c>
      <c r="B3369" s="4">
        <v>112</v>
      </c>
    </row>
    <row r="3370" customHeight="1" spans="1:2">
      <c r="A3370" s="3" t="s">
        <v>24041</v>
      </c>
      <c r="B3370" s="4">
        <v>60</v>
      </c>
    </row>
    <row r="3371" customHeight="1" spans="1:2">
      <c r="A3371" s="3" t="s">
        <v>20564</v>
      </c>
      <c r="B3371" s="4">
        <v>91</v>
      </c>
    </row>
    <row r="3372" customHeight="1" spans="1:2">
      <c r="A3372" s="3" t="s">
        <v>22767</v>
      </c>
      <c r="B3372" s="4">
        <v>91</v>
      </c>
    </row>
    <row r="3373" customHeight="1" spans="1:2">
      <c r="A3373" s="3" t="s">
        <v>8834</v>
      </c>
      <c r="B3373" s="4">
        <v>167</v>
      </c>
    </row>
    <row r="3374" customHeight="1" spans="1:2">
      <c r="A3374" s="3" t="s">
        <v>11325</v>
      </c>
      <c r="B3374" s="4">
        <v>87</v>
      </c>
    </row>
    <row r="3375" customHeight="1" spans="1:2">
      <c r="A3375" s="3" t="s">
        <v>8371</v>
      </c>
      <c r="B3375" s="4">
        <v>113</v>
      </c>
    </row>
    <row r="3376" customHeight="1" spans="1:2">
      <c r="A3376" s="3" t="s">
        <v>15405</v>
      </c>
      <c r="B3376" s="4">
        <v>112</v>
      </c>
    </row>
    <row r="3377" customHeight="1" spans="1:2">
      <c r="A3377" s="3" t="s">
        <v>20286</v>
      </c>
      <c r="B3377" s="4">
        <v>22</v>
      </c>
    </row>
    <row r="3378" customHeight="1" spans="1:2">
      <c r="A3378" s="3" t="s">
        <v>9934</v>
      </c>
      <c r="B3378" s="4">
        <v>110</v>
      </c>
    </row>
    <row r="3379" customHeight="1" spans="1:2">
      <c r="A3379" s="3" t="s">
        <v>7454</v>
      </c>
      <c r="B3379" s="4">
        <v>102</v>
      </c>
    </row>
    <row r="3380" customHeight="1" spans="1:2">
      <c r="A3380" s="3" t="s">
        <v>5493</v>
      </c>
      <c r="B3380" s="4">
        <v>96</v>
      </c>
    </row>
    <row r="3381" customHeight="1" spans="1:2">
      <c r="A3381" s="3" t="s">
        <v>10952</v>
      </c>
      <c r="B3381" s="4">
        <v>109</v>
      </c>
    </row>
    <row r="3382" customHeight="1" spans="1:2">
      <c r="A3382" s="3" t="s">
        <v>14793</v>
      </c>
      <c r="B3382" s="4">
        <v>117</v>
      </c>
    </row>
    <row r="3383" customHeight="1" spans="1:2">
      <c r="A3383" s="3" t="s">
        <v>5318</v>
      </c>
      <c r="B3383" s="4">
        <v>117</v>
      </c>
    </row>
    <row r="3384" customHeight="1" spans="1:2">
      <c r="A3384" s="3" t="s">
        <v>1387</v>
      </c>
      <c r="B3384" s="4">
        <v>77</v>
      </c>
    </row>
    <row r="3385" customHeight="1" spans="1:2">
      <c r="A3385" s="3" t="s">
        <v>1656</v>
      </c>
      <c r="B3385" s="4">
        <v>84</v>
      </c>
    </row>
    <row r="3386" customHeight="1" spans="1:2">
      <c r="A3386" s="3" t="s">
        <v>4746</v>
      </c>
      <c r="B3386" s="4">
        <v>118</v>
      </c>
    </row>
    <row r="3387" customHeight="1" spans="1:2">
      <c r="A3387" s="3" t="s">
        <v>19943</v>
      </c>
      <c r="B3387" s="4">
        <v>87</v>
      </c>
    </row>
    <row r="3388" customHeight="1" spans="1:2">
      <c r="A3388" s="3" t="s">
        <v>22710</v>
      </c>
      <c r="B3388" s="4">
        <v>122</v>
      </c>
    </row>
    <row r="3389" customHeight="1" spans="1:2">
      <c r="A3389" s="3" t="s">
        <v>20730</v>
      </c>
      <c r="B3389" s="4">
        <v>113</v>
      </c>
    </row>
    <row r="3390" customHeight="1" spans="1:2">
      <c r="A3390" s="3" t="s">
        <v>20618</v>
      </c>
      <c r="B3390" s="4">
        <v>97</v>
      </c>
    </row>
    <row r="3391" customHeight="1" spans="1:2">
      <c r="A3391" s="3" t="s">
        <v>20358</v>
      </c>
      <c r="B3391" s="4">
        <v>98</v>
      </c>
    </row>
    <row r="3392" customHeight="1" spans="1:2">
      <c r="A3392" s="3" t="s">
        <v>3194</v>
      </c>
      <c r="B3392" s="4">
        <v>128</v>
      </c>
    </row>
    <row r="3393" customHeight="1" spans="1:2">
      <c r="A3393" s="3" t="s">
        <v>14962</v>
      </c>
      <c r="B3393" s="4">
        <v>123</v>
      </c>
    </row>
    <row r="3394" customHeight="1" spans="1:2">
      <c r="A3394" s="3" t="s">
        <v>23219</v>
      </c>
      <c r="B3394" s="4">
        <v>92</v>
      </c>
    </row>
    <row r="3395" customHeight="1" spans="1:2">
      <c r="A3395" s="3" t="s">
        <v>512</v>
      </c>
      <c r="B3395" s="4">
        <v>123</v>
      </c>
    </row>
    <row r="3396" customHeight="1" spans="1:2">
      <c r="A3396" s="3" t="s">
        <v>12231</v>
      </c>
      <c r="B3396" s="4">
        <v>108</v>
      </c>
    </row>
    <row r="3397" customHeight="1" spans="1:2">
      <c r="A3397" s="3" t="s">
        <v>10429</v>
      </c>
      <c r="B3397" s="4">
        <v>142</v>
      </c>
    </row>
    <row r="3398" customHeight="1" spans="1:2">
      <c r="A3398" s="3" t="s">
        <v>19504</v>
      </c>
      <c r="B3398" s="4">
        <v>98</v>
      </c>
    </row>
    <row r="3399" customHeight="1" spans="1:2">
      <c r="A3399" s="3" t="s">
        <v>23264</v>
      </c>
      <c r="B3399" s="4">
        <v>93</v>
      </c>
    </row>
    <row r="3400" customHeight="1" spans="1:2">
      <c r="A3400" s="3" t="s">
        <v>17762</v>
      </c>
      <c r="B3400" s="4">
        <v>91</v>
      </c>
    </row>
    <row r="3401" customHeight="1" spans="1:2">
      <c r="A3401" s="3" t="s">
        <v>17354</v>
      </c>
      <c r="B3401" s="4">
        <v>141</v>
      </c>
    </row>
    <row r="3402" customHeight="1" spans="1:2">
      <c r="A3402" s="3" t="s">
        <v>6836</v>
      </c>
      <c r="B3402" s="4">
        <v>107</v>
      </c>
    </row>
    <row r="3403" customHeight="1" spans="1:2">
      <c r="A3403" s="3" t="s">
        <v>5036</v>
      </c>
      <c r="B3403" s="4">
        <v>112</v>
      </c>
    </row>
    <row r="3404" customHeight="1" spans="1:2">
      <c r="A3404" s="3" t="s">
        <v>23449</v>
      </c>
      <c r="B3404" s="4">
        <v>94</v>
      </c>
    </row>
    <row r="3405" customHeight="1" spans="1:2">
      <c r="A3405" s="3" t="s">
        <v>6159</v>
      </c>
      <c r="B3405" s="4">
        <v>104</v>
      </c>
    </row>
    <row r="3406" customHeight="1" spans="1:2">
      <c r="A3406" s="3" t="s">
        <v>23807</v>
      </c>
      <c r="B3406" s="4">
        <v>100</v>
      </c>
    </row>
    <row r="3407" customHeight="1" spans="1:2">
      <c r="A3407" s="3" t="s">
        <v>21284</v>
      </c>
      <c r="B3407" s="4">
        <v>100</v>
      </c>
    </row>
    <row r="3408" customHeight="1" spans="1:2">
      <c r="A3408" s="3" t="s">
        <v>19934</v>
      </c>
      <c r="B3408" s="4">
        <v>96</v>
      </c>
    </row>
    <row r="3409" customHeight="1" spans="1:2">
      <c r="A3409" s="3" t="s">
        <v>11268</v>
      </c>
      <c r="B3409" s="4">
        <v>88</v>
      </c>
    </row>
    <row r="3410" customHeight="1" spans="1:2">
      <c r="A3410" s="3" t="s">
        <v>12090</v>
      </c>
      <c r="B3410" s="4">
        <v>119</v>
      </c>
    </row>
    <row r="3411" customHeight="1" spans="1:2">
      <c r="A3411" s="3" t="s">
        <v>20511</v>
      </c>
      <c r="B3411" s="4">
        <v>102</v>
      </c>
    </row>
    <row r="3412" customHeight="1" spans="1:2">
      <c r="A3412" s="3" t="s">
        <v>8683</v>
      </c>
      <c r="B3412" s="4">
        <v>80</v>
      </c>
    </row>
    <row r="3413" customHeight="1" spans="1:2">
      <c r="A3413" s="3" t="s">
        <v>7570</v>
      </c>
      <c r="B3413" s="4">
        <v>82</v>
      </c>
    </row>
    <row r="3414" customHeight="1" spans="1:2">
      <c r="A3414" s="3" t="s">
        <v>4866</v>
      </c>
      <c r="B3414" s="4">
        <v>116</v>
      </c>
    </row>
    <row r="3415" customHeight="1" spans="1:2">
      <c r="A3415" s="3" t="s">
        <v>6945</v>
      </c>
      <c r="B3415" s="4">
        <v>125</v>
      </c>
    </row>
    <row r="3416" customHeight="1" spans="1:2">
      <c r="A3416" s="3" t="s">
        <v>12278</v>
      </c>
      <c r="B3416" s="4">
        <v>134</v>
      </c>
    </row>
    <row r="3417" customHeight="1" spans="1:2">
      <c r="A3417" s="3" t="s">
        <v>123</v>
      </c>
      <c r="B3417" s="4">
        <v>169</v>
      </c>
    </row>
    <row r="3418" customHeight="1" spans="1:2">
      <c r="A3418" s="3" t="s">
        <v>4583</v>
      </c>
      <c r="B3418" s="4">
        <v>188</v>
      </c>
    </row>
    <row r="3419" customHeight="1" spans="1:2">
      <c r="A3419" s="3" t="s">
        <v>4361</v>
      </c>
      <c r="B3419" s="4">
        <v>91</v>
      </c>
    </row>
    <row r="3420" customHeight="1" spans="1:2">
      <c r="A3420" s="3" t="s">
        <v>13417</v>
      </c>
      <c r="B3420" s="4">
        <v>81</v>
      </c>
    </row>
    <row r="3421" customHeight="1" spans="1:2">
      <c r="A3421" s="3" t="s">
        <v>23834</v>
      </c>
      <c r="B3421" s="4">
        <v>87</v>
      </c>
    </row>
    <row r="3422" customHeight="1" spans="1:2">
      <c r="A3422" s="3" t="s">
        <v>19851</v>
      </c>
      <c r="B3422" s="4">
        <v>99</v>
      </c>
    </row>
    <row r="3423" customHeight="1" spans="1:2">
      <c r="A3423" s="3" t="s">
        <v>17256</v>
      </c>
      <c r="B3423" s="4">
        <v>85</v>
      </c>
    </row>
    <row r="3424" customHeight="1" spans="1:2">
      <c r="A3424" s="3" t="s">
        <v>1952</v>
      </c>
      <c r="B3424" s="4">
        <v>85</v>
      </c>
    </row>
    <row r="3425" customHeight="1" spans="1:2">
      <c r="A3425" s="3" t="s">
        <v>2816</v>
      </c>
      <c r="B3425" s="4">
        <v>89</v>
      </c>
    </row>
    <row r="3426" customHeight="1" spans="1:2">
      <c r="A3426" s="3" t="s">
        <v>18426</v>
      </c>
      <c r="B3426" s="4">
        <v>90</v>
      </c>
    </row>
    <row r="3427" customHeight="1" spans="1:2">
      <c r="A3427" s="3" t="s">
        <v>11538</v>
      </c>
      <c r="B3427" s="4">
        <v>96</v>
      </c>
    </row>
    <row r="3428" customHeight="1" spans="1:2">
      <c r="A3428" s="3" t="s">
        <v>9175</v>
      </c>
      <c r="B3428" s="4">
        <v>99</v>
      </c>
    </row>
    <row r="3429" customHeight="1" spans="1:2">
      <c r="A3429" s="3" t="s">
        <v>11286</v>
      </c>
      <c r="B3429" s="4">
        <v>154</v>
      </c>
    </row>
    <row r="3430" customHeight="1" spans="1:2">
      <c r="A3430" s="3" t="s">
        <v>6957</v>
      </c>
      <c r="B3430" s="4">
        <v>108</v>
      </c>
    </row>
    <row r="3431" customHeight="1" spans="1:2">
      <c r="A3431" s="3" t="s">
        <v>6673</v>
      </c>
      <c r="B3431" s="4">
        <v>119</v>
      </c>
    </row>
    <row r="3432" customHeight="1" spans="1:2">
      <c r="A3432" s="3" t="s">
        <v>23556</v>
      </c>
      <c r="B3432" s="4">
        <v>97</v>
      </c>
    </row>
    <row r="3433" customHeight="1" spans="1:2">
      <c r="A3433" s="3" t="s">
        <v>16273</v>
      </c>
      <c r="B3433" s="4">
        <v>96</v>
      </c>
    </row>
    <row r="3434" customHeight="1" spans="1:2">
      <c r="A3434" s="3" t="s">
        <v>15295</v>
      </c>
      <c r="B3434" s="4">
        <v>89</v>
      </c>
    </row>
    <row r="3435" customHeight="1" spans="1:2">
      <c r="A3435" s="3" t="s">
        <v>14919</v>
      </c>
      <c r="B3435" s="4">
        <v>85</v>
      </c>
    </row>
    <row r="3436" customHeight="1" spans="1:2">
      <c r="A3436" s="3" t="s">
        <v>16292</v>
      </c>
      <c r="B3436" s="4">
        <v>102</v>
      </c>
    </row>
    <row r="3437" customHeight="1" spans="1:2">
      <c r="A3437" s="3" t="s">
        <v>10609</v>
      </c>
      <c r="B3437" s="4">
        <v>120</v>
      </c>
    </row>
    <row r="3438" customHeight="1" spans="1:2">
      <c r="A3438" s="3" t="s">
        <v>23384</v>
      </c>
      <c r="B3438" s="4">
        <v>96</v>
      </c>
    </row>
    <row r="3439" customHeight="1" spans="1:2">
      <c r="A3439" s="3" t="s">
        <v>7062</v>
      </c>
      <c r="B3439" s="4">
        <v>118</v>
      </c>
    </row>
    <row r="3440" customHeight="1" spans="1:2">
      <c r="A3440" s="3" t="s">
        <v>2770</v>
      </c>
      <c r="B3440" s="4">
        <v>99</v>
      </c>
    </row>
    <row r="3441" customHeight="1" spans="1:2">
      <c r="A3441" s="3" t="s">
        <v>12369</v>
      </c>
      <c r="B3441" s="4">
        <v>108</v>
      </c>
    </row>
    <row r="3442" customHeight="1" spans="1:2">
      <c r="A3442" s="3" t="s">
        <v>11391</v>
      </c>
      <c r="B3442" s="4">
        <v>124</v>
      </c>
    </row>
    <row r="3443" customHeight="1" spans="1:2">
      <c r="A3443" s="3" t="s">
        <v>5192</v>
      </c>
      <c r="B3443" s="4">
        <v>256</v>
      </c>
    </row>
    <row r="3444" customHeight="1" spans="1:2">
      <c r="A3444" s="3" t="s">
        <v>16407</v>
      </c>
      <c r="B3444" s="4">
        <v>153</v>
      </c>
    </row>
    <row r="3445" customHeight="1" spans="1:2">
      <c r="A3445" s="3" t="s">
        <v>23566</v>
      </c>
      <c r="B3445" s="4">
        <v>78</v>
      </c>
    </row>
    <row r="3446" customHeight="1" spans="1:2">
      <c r="A3446" s="3" t="s">
        <v>14000</v>
      </c>
      <c r="B3446" s="4">
        <v>148</v>
      </c>
    </row>
    <row r="3447" customHeight="1" spans="1:2">
      <c r="A3447" s="3" t="s">
        <v>11666</v>
      </c>
      <c r="B3447" s="4">
        <v>97</v>
      </c>
    </row>
    <row r="3448" customHeight="1" spans="1:2">
      <c r="A3448" s="3" t="s">
        <v>18133</v>
      </c>
      <c r="B3448" s="4">
        <v>121</v>
      </c>
    </row>
    <row r="3449" customHeight="1" spans="1:2">
      <c r="A3449" s="3" t="s">
        <v>8425</v>
      </c>
      <c r="B3449" s="4">
        <v>118</v>
      </c>
    </row>
    <row r="3450" customHeight="1" spans="1:2">
      <c r="A3450" s="3" t="s">
        <v>5700</v>
      </c>
      <c r="B3450" s="4">
        <v>98</v>
      </c>
    </row>
    <row r="3451" customHeight="1" spans="1:2">
      <c r="A3451" s="3" t="s">
        <v>5592</v>
      </c>
      <c r="B3451" s="4">
        <v>115</v>
      </c>
    </row>
    <row r="3452" customHeight="1" spans="1:2">
      <c r="A3452" s="3" t="s">
        <v>9390</v>
      </c>
      <c r="B3452" s="4">
        <v>93</v>
      </c>
    </row>
    <row r="3453" customHeight="1" spans="1:2">
      <c r="A3453" s="3" t="s">
        <v>7928</v>
      </c>
      <c r="B3453" s="4">
        <v>107</v>
      </c>
    </row>
    <row r="3454" customHeight="1" spans="1:2">
      <c r="A3454" s="3" t="s">
        <v>8870</v>
      </c>
      <c r="B3454" s="4">
        <v>120</v>
      </c>
    </row>
    <row r="3455" customHeight="1" spans="1:2">
      <c r="A3455" s="3" t="s">
        <v>14198</v>
      </c>
      <c r="B3455" s="4">
        <v>92</v>
      </c>
    </row>
    <row r="3456" customHeight="1" spans="1:2">
      <c r="A3456" s="3" t="s">
        <v>17082</v>
      </c>
      <c r="B3456" s="4">
        <v>98</v>
      </c>
    </row>
    <row r="3457" customHeight="1" spans="1:2">
      <c r="A3457" s="3" t="s">
        <v>18577</v>
      </c>
      <c r="B3457" s="4">
        <v>110</v>
      </c>
    </row>
    <row r="3458" customHeight="1" spans="1:2">
      <c r="A3458" s="3" t="s">
        <v>3231</v>
      </c>
      <c r="B3458" s="4">
        <v>122</v>
      </c>
    </row>
    <row r="3459" customHeight="1" spans="1:2">
      <c r="A3459" s="3" t="s">
        <v>10693</v>
      </c>
      <c r="B3459" s="4">
        <v>100</v>
      </c>
    </row>
    <row r="3460" customHeight="1" spans="1:2">
      <c r="A3460" s="3" t="s">
        <v>93</v>
      </c>
      <c r="B3460" s="4">
        <v>100</v>
      </c>
    </row>
    <row r="3461" customHeight="1" spans="1:2">
      <c r="A3461" s="3" t="s">
        <v>4668</v>
      </c>
      <c r="B3461" s="4">
        <v>97</v>
      </c>
    </row>
    <row r="3462" customHeight="1" spans="1:2">
      <c r="A3462" s="3" t="s">
        <v>18260</v>
      </c>
      <c r="B3462" s="4">
        <v>115</v>
      </c>
    </row>
    <row r="3463" customHeight="1" spans="1:2">
      <c r="A3463" s="3" t="s">
        <v>9972</v>
      </c>
      <c r="B3463" s="4">
        <v>104</v>
      </c>
    </row>
    <row r="3464" customHeight="1" spans="1:2">
      <c r="A3464" s="3" t="s">
        <v>19546</v>
      </c>
      <c r="B3464" s="4">
        <v>96</v>
      </c>
    </row>
    <row r="3465" customHeight="1" spans="1:2">
      <c r="A3465" s="3" t="s">
        <v>22872</v>
      </c>
      <c r="B3465" s="4">
        <v>88</v>
      </c>
    </row>
    <row r="3466" customHeight="1" spans="1:2">
      <c r="A3466" s="3" t="s">
        <v>21526</v>
      </c>
      <c r="B3466" s="4">
        <v>110</v>
      </c>
    </row>
    <row r="3467" customHeight="1" spans="1:2">
      <c r="A3467" s="3" t="s">
        <v>21763</v>
      </c>
      <c r="B3467" s="4">
        <v>53</v>
      </c>
    </row>
    <row r="3468" customHeight="1" spans="1:2">
      <c r="A3468" s="3" t="s">
        <v>19004</v>
      </c>
      <c r="B3468" s="4">
        <v>104</v>
      </c>
    </row>
    <row r="3469" customHeight="1" spans="1:2">
      <c r="A3469" s="3" t="s">
        <v>13466</v>
      </c>
      <c r="B3469" s="4">
        <v>117</v>
      </c>
    </row>
    <row r="3470" customHeight="1" spans="1:2">
      <c r="A3470" s="3" t="s">
        <v>15125</v>
      </c>
      <c r="B3470" s="4">
        <v>74</v>
      </c>
    </row>
    <row r="3471" customHeight="1" spans="1:2">
      <c r="A3471" s="3" t="s">
        <v>10871</v>
      </c>
      <c r="B3471" s="4">
        <v>98</v>
      </c>
    </row>
    <row r="3472" customHeight="1" spans="1:2">
      <c r="A3472" s="3" t="s">
        <v>3100</v>
      </c>
      <c r="B3472" s="4">
        <v>142</v>
      </c>
    </row>
    <row r="3473" customHeight="1" spans="1:2">
      <c r="A3473" s="3" t="s">
        <v>3561</v>
      </c>
      <c r="B3473" s="4">
        <v>125</v>
      </c>
    </row>
    <row r="3474" customHeight="1" spans="1:2">
      <c r="A3474" s="3" t="s">
        <v>5015</v>
      </c>
      <c r="B3474" s="4">
        <v>112</v>
      </c>
    </row>
    <row r="3475" customHeight="1" spans="1:2">
      <c r="A3475" s="3" t="s">
        <v>19332</v>
      </c>
      <c r="B3475" s="4">
        <v>95</v>
      </c>
    </row>
    <row r="3476" customHeight="1" spans="1:2">
      <c r="A3476" s="3" t="s">
        <v>9448</v>
      </c>
      <c r="B3476" s="4">
        <v>88</v>
      </c>
    </row>
    <row r="3477" customHeight="1" spans="1:2">
      <c r="A3477" s="3" t="s">
        <v>10569</v>
      </c>
      <c r="B3477" s="4">
        <v>96</v>
      </c>
    </row>
    <row r="3478" customHeight="1" spans="1:2">
      <c r="A3478" s="3" t="s">
        <v>1480</v>
      </c>
      <c r="B3478" s="4">
        <v>202</v>
      </c>
    </row>
    <row r="3479" customHeight="1" spans="1:2">
      <c r="A3479" s="3" t="s">
        <v>1498</v>
      </c>
      <c r="B3479" s="4">
        <v>112</v>
      </c>
    </row>
    <row r="3480" customHeight="1" spans="1:2">
      <c r="A3480" s="3" t="s">
        <v>23216</v>
      </c>
      <c r="B3480" s="4">
        <v>96</v>
      </c>
    </row>
    <row r="3481" customHeight="1" spans="1:2">
      <c r="A3481" s="3" t="s">
        <v>20369</v>
      </c>
      <c r="B3481" s="4">
        <v>94</v>
      </c>
    </row>
    <row r="3482" customHeight="1" spans="1:2">
      <c r="A3482" s="3" t="s">
        <v>1719</v>
      </c>
      <c r="B3482" s="4">
        <v>153</v>
      </c>
    </row>
    <row r="3483" customHeight="1" spans="1:2">
      <c r="A3483" s="3" t="s">
        <v>651</v>
      </c>
      <c r="B3483" s="4">
        <v>109</v>
      </c>
    </row>
    <row r="3484" customHeight="1" spans="1:2">
      <c r="A3484" s="3" t="s">
        <v>739</v>
      </c>
      <c r="B3484" s="4">
        <v>126</v>
      </c>
    </row>
    <row r="3485" customHeight="1" spans="1:2">
      <c r="A3485" s="3" t="s">
        <v>330</v>
      </c>
      <c r="B3485" s="4">
        <v>118</v>
      </c>
    </row>
    <row r="3486" customHeight="1" spans="1:2">
      <c r="A3486" s="3" t="s">
        <v>10877</v>
      </c>
      <c r="B3486" s="4">
        <v>92</v>
      </c>
    </row>
    <row r="3487" customHeight="1" spans="1:2">
      <c r="A3487" s="3" t="s">
        <v>7069</v>
      </c>
      <c r="B3487" s="4">
        <v>110</v>
      </c>
    </row>
    <row r="3488" customHeight="1" spans="1:2">
      <c r="A3488" s="3" t="s">
        <v>16336</v>
      </c>
      <c r="B3488" s="4">
        <v>92</v>
      </c>
    </row>
    <row r="3489" customHeight="1" spans="1:2">
      <c r="A3489" s="3" t="s">
        <v>16030</v>
      </c>
      <c r="B3489" s="4">
        <v>94</v>
      </c>
    </row>
    <row r="3490" customHeight="1" spans="1:2">
      <c r="A3490" s="3" t="s">
        <v>19808</v>
      </c>
      <c r="B3490" s="4">
        <v>149</v>
      </c>
    </row>
    <row r="3491" customHeight="1" spans="1:2">
      <c r="A3491" s="3" t="s">
        <v>4519</v>
      </c>
      <c r="B3491" s="4">
        <v>116</v>
      </c>
    </row>
    <row r="3492" customHeight="1" spans="1:2">
      <c r="A3492" s="3" t="s">
        <v>1316</v>
      </c>
      <c r="B3492" s="4">
        <v>102</v>
      </c>
    </row>
    <row r="3493" customHeight="1" spans="1:2">
      <c r="A3493" s="3" t="s">
        <v>9881</v>
      </c>
      <c r="B3493" s="4">
        <v>127</v>
      </c>
    </row>
    <row r="3494" customHeight="1" spans="1:2">
      <c r="A3494" s="3" t="s">
        <v>9224</v>
      </c>
      <c r="B3494" s="4">
        <v>133</v>
      </c>
    </row>
    <row r="3495" customHeight="1" spans="1:2">
      <c r="A3495" s="3" t="s">
        <v>21217</v>
      </c>
      <c r="B3495" s="4">
        <v>82</v>
      </c>
    </row>
    <row r="3496" customHeight="1" spans="1:2">
      <c r="A3496" s="3" t="s">
        <v>17226</v>
      </c>
      <c r="B3496" s="4">
        <v>90</v>
      </c>
    </row>
    <row r="3497" customHeight="1" spans="1:2">
      <c r="A3497" s="3" t="s">
        <v>7098</v>
      </c>
      <c r="B3497" s="4">
        <v>112</v>
      </c>
    </row>
    <row r="3498" customHeight="1" spans="1:2">
      <c r="A3498" s="3" t="s">
        <v>2525</v>
      </c>
      <c r="B3498" s="4">
        <v>123</v>
      </c>
    </row>
    <row r="3499" customHeight="1" spans="1:2">
      <c r="A3499" s="3" t="s">
        <v>3407</v>
      </c>
      <c r="B3499" s="4">
        <v>171</v>
      </c>
    </row>
    <row r="3500" customHeight="1" spans="1:2">
      <c r="A3500" s="3" t="s">
        <v>21758</v>
      </c>
      <c r="B3500" s="4">
        <v>96</v>
      </c>
    </row>
    <row r="3501" customHeight="1" spans="1:2">
      <c r="A3501" s="3" t="s">
        <v>8126</v>
      </c>
      <c r="B3501" s="4">
        <v>99</v>
      </c>
    </row>
    <row r="3502" customHeight="1" spans="1:2">
      <c r="A3502" s="3" t="s">
        <v>5005</v>
      </c>
      <c r="B3502" s="4">
        <v>106</v>
      </c>
    </row>
    <row r="3503" customHeight="1" spans="1:2">
      <c r="A3503" s="3" t="s">
        <v>10244</v>
      </c>
      <c r="B3503" s="4">
        <v>100</v>
      </c>
    </row>
    <row r="3504" customHeight="1" spans="1:2">
      <c r="A3504" s="3" t="s">
        <v>12250</v>
      </c>
      <c r="B3504" s="4">
        <v>73</v>
      </c>
    </row>
    <row r="3505" customHeight="1" spans="1:2">
      <c r="A3505" s="3" t="s">
        <v>5507</v>
      </c>
      <c r="B3505" s="4">
        <v>104</v>
      </c>
    </row>
    <row r="3506" customHeight="1" spans="1:2">
      <c r="A3506" s="3" t="s">
        <v>16878</v>
      </c>
      <c r="B3506" s="4">
        <v>108</v>
      </c>
    </row>
    <row r="3507" customHeight="1" spans="1:2">
      <c r="A3507" s="3" t="s">
        <v>9793</v>
      </c>
      <c r="B3507" s="4">
        <v>90</v>
      </c>
    </row>
    <row r="3508" customHeight="1" spans="1:2">
      <c r="A3508" s="3" t="s">
        <v>1907</v>
      </c>
      <c r="B3508" s="4">
        <v>95</v>
      </c>
    </row>
    <row r="3509" customHeight="1" spans="1:2">
      <c r="A3509" s="3" t="s">
        <v>2962</v>
      </c>
      <c r="B3509" s="4">
        <v>92</v>
      </c>
    </row>
    <row r="3510" customHeight="1" spans="1:2">
      <c r="A3510" s="3" t="s">
        <v>5287</v>
      </c>
      <c r="B3510" s="4">
        <v>93</v>
      </c>
    </row>
    <row r="3511" customHeight="1" spans="1:2">
      <c r="A3511" s="3" t="s">
        <v>1215</v>
      </c>
      <c r="B3511" s="4">
        <v>107</v>
      </c>
    </row>
    <row r="3512" customHeight="1" spans="1:2">
      <c r="A3512" s="3" t="s">
        <v>8353</v>
      </c>
      <c r="B3512" s="4">
        <v>112</v>
      </c>
    </row>
    <row r="3513" customHeight="1" spans="1:2">
      <c r="A3513" s="3" t="s">
        <v>7761</v>
      </c>
      <c r="B3513" s="4">
        <v>139</v>
      </c>
    </row>
    <row r="3514" customHeight="1" spans="1:2">
      <c r="A3514" s="3" t="s">
        <v>2057</v>
      </c>
      <c r="B3514" s="4">
        <v>274</v>
      </c>
    </row>
    <row r="3515" customHeight="1" spans="1:2">
      <c r="A3515" s="3" t="s">
        <v>21290</v>
      </c>
      <c r="B3515" s="4">
        <v>99</v>
      </c>
    </row>
    <row r="3516" customHeight="1" spans="1:2">
      <c r="A3516" s="3" t="s">
        <v>21297</v>
      </c>
      <c r="B3516" s="4">
        <v>89</v>
      </c>
    </row>
    <row r="3517" customHeight="1" spans="1:2">
      <c r="A3517" s="3" t="s">
        <v>297</v>
      </c>
      <c r="B3517" s="4">
        <v>142</v>
      </c>
    </row>
    <row r="3518" customHeight="1" spans="1:2">
      <c r="A3518" s="3" t="s">
        <v>185</v>
      </c>
      <c r="B3518" s="4">
        <v>153</v>
      </c>
    </row>
    <row r="3519" customHeight="1" spans="1:2">
      <c r="A3519" s="3" t="s">
        <v>3894</v>
      </c>
      <c r="B3519" s="4">
        <v>114</v>
      </c>
    </row>
    <row r="3520" customHeight="1" spans="1:2">
      <c r="A3520" s="3" t="s">
        <v>10846</v>
      </c>
      <c r="B3520" s="4">
        <v>105</v>
      </c>
    </row>
    <row r="3521" customHeight="1" spans="1:2">
      <c r="A3521" s="3" t="s">
        <v>11693</v>
      </c>
      <c r="B3521" s="4">
        <v>90</v>
      </c>
    </row>
    <row r="3522" customHeight="1" spans="1:2">
      <c r="A3522" s="3" t="s">
        <v>16892</v>
      </c>
      <c r="B3522" s="4">
        <v>115</v>
      </c>
    </row>
    <row r="3523" customHeight="1" spans="1:2">
      <c r="A3523" s="3" t="s">
        <v>3211</v>
      </c>
      <c r="B3523" s="4">
        <v>97</v>
      </c>
    </row>
    <row r="3524" customHeight="1" spans="1:2">
      <c r="A3524" s="3" t="s">
        <v>10362</v>
      </c>
      <c r="B3524" s="4">
        <v>84</v>
      </c>
    </row>
    <row r="3525" customHeight="1" spans="1:2">
      <c r="A3525" s="3" t="s">
        <v>5875</v>
      </c>
      <c r="B3525" s="4">
        <v>88</v>
      </c>
    </row>
    <row r="3526" customHeight="1" spans="1:2">
      <c r="A3526" s="3" t="s">
        <v>19261</v>
      </c>
      <c r="B3526" s="4">
        <v>125</v>
      </c>
    </row>
    <row r="3527" customHeight="1" spans="1:2">
      <c r="A3527" s="3" t="s">
        <v>17650</v>
      </c>
      <c r="B3527" s="4">
        <v>134</v>
      </c>
    </row>
    <row r="3528" customHeight="1" spans="1:2">
      <c r="A3528" s="3" t="s">
        <v>12342</v>
      </c>
      <c r="B3528" s="4">
        <v>83</v>
      </c>
    </row>
    <row r="3529" customHeight="1" spans="1:2">
      <c r="A3529" s="3" t="s">
        <v>18619</v>
      </c>
      <c r="B3529" s="4">
        <v>83</v>
      </c>
    </row>
    <row r="3530" customHeight="1" spans="1:2">
      <c r="A3530" s="3" t="s">
        <v>6640</v>
      </c>
      <c r="B3530" s="4">
        <v>116</v>
      </c>
    </row>
    <row r="3531" customHeight="1" spans="1:2">
      <c r="A3531" s="3" t="s">
        <v>12402</v>
      </c>
      <c r="B3531" s="4">
        <v>100</v>
      </c>
    </row>
    <row r="3532" customHeight="1" spans="1:2">
      <c r="A3532" s="3" t="s">
        <v>13226</v>
      </c>
      <c r="B3532" s="4">
        <v>105</v>
      </c>
    </row>
    <row r="3533" customHeight="1" spans="1:2">
      <c r="A3533" s="3" t="s">
        <v>8705</v>
      </c>
      <c r="B3533" s="4">
        <v>160</v>
      </c>
    </row>
    <row r="3534" customHeight="1" spans="1:2">
      <c r="A3534" s="3" t="s">
        <v>13779</v>
      </c>
      <c r="B3534" s="4">
        <v>104</v>
      </c>
    </row>
    <row r="3535" customHeight="1" spans="1:2">
      <c r="A3535" s="3" t="s">
        <v>7794</v>
      </c>
      <c r="B3535" s="4">
        <v>218</v>
      </c>
    </row>
    <row r="3536" customHeight="1" spans="1:2">
      <c r="A3536" s="3" t="s">
        <v>1566</v>
      </c>
      <c r="B3536" s="4">
        <v>60</v>
      </c>
    </row>
    <row r="3537" customHeight="1" spans="1:2">
      <c r="A3537" s="3" t="s">
        <v>155</v>
      </c>
      <c r="B3537" s="4">
        <v>346</v>
      </c>
    </row>
    <row r="3538" customHeight="1" spans="1:2">
      <c r="A3538" s="3" t="s">
        <v>1547</v>
      </c>
      <c r="B3538" s="4">
        <v>170</v>
      </c>
    </row>
    <row r="3539" customHeight="1" spans="1:2">
      <c r="A3539" s="3" t="s">
        <v>18122</v>
      </c>
      <c r="B3539" s="4">
        <v>107</v>
      </c>
    </row>
    <row r="3540" customHeight="1" spans="1:2">
      <c r="A3540" s="3" t="s">
        <v>11550</v>
      </c>
      <c r="B3540" s="4">
        <v>184</v>
      </c>
    </row>
    <row r="3541" customHeight="1" spans="1:2">
      <c r="A3541" s="3" t="s">
        <v>10602</v>
      </c>
      <c r="B3541" s="4">
        <v>60</v>
      </c>
    </row>
    <row r="3542" customHeight="1" spans="1:2">
      <c r="A3542" s="3" t="s">
        <v>7425</v>
      </c>
      <c r="B3542" s="4">
        <v>104</v>
      </c>
    </row>
    <row r="3543" customHeight="1" spans="1:2">
      <c r="A3543" s="3" t="s">
        <v>7449</v>
      </c>
      <c r="B3543" s="4">
        <v>102</v>
      </c>
    </row>
    <row r="3544" customHeight="1" spans="1:2">
      <c r="A3544" s="3" t="s">
        <v>18894</v>
      </c>
      <c r="B3544" s="4">
        <v>121</v>
      </c>
    </row>
    <row r="3545" customHeight="1" spans="1:2">
      <c r="A3545" s="3" t="s">
        <v>21156</v>
      </c>
      <c r="B3545" s="4">
        <v>105</v>
      </c>
    </row>
    <row r="3546" customHeight="1" spans="1:2">
      <c r="A3546" s="3" t="s">
        <v>20953</v>
      </c>
      <c r="B3546" s="4">
        <v>112</v>
      </c>
    </row>
    <row r="3547" customHeight="1" spans="1:2">
      <c r="A3547" s="3" t="s">
        <v>14905</v>
      </c>
      <c r="B3547" s="4">
        <v>98</v>
      </c>
    </row>
    <row r="3548" customHeight="1" spans="1:2">
      <c r="A3548" s="3" t="s">
        <v>10941</v>
      </c>
      <c r="B3548" s="4">
        <v>111</v>
      </c>
    </row>
    <row r="3549" customHeight="1" spans="1:2">
      <c r="A3549" s="3" t="s">
        <v>17813</v>
      </c>
      <c r="B3549" s="4">
        <v>112</v>
      </c>
    </row>
    <row r="3550" customHeight="1" spans="1:2">
      <c r="A3550" s="3" t="s">
        <v>18615</v>
      </c>
      <c r="B3550" s="4">
        <v>87</v>
      </c>
    </row>
    <row r="3551" customHeight="1" spans="1:2">
      <c r="A3551" s="3" t="s">
        <v>21180</v>
      </c>
      <c r="B3551" s="4">
        <v>105</v>
      </c>
    </row>
    <row r="3552" customHeight="1" spans="1:2">
      <c r="A3552" s="3" t="s">
        <v>21750</v>
      </c>
      <c r="B3552" s="4">
        <v>79</v>
      </c>
    </row>
    <row r="3553" customHeight="1" spans="1:2">
      <c r="A3553" s="3" t="s">
        <v>5293</v>
      </c>
      <c r="B3553" s="4">
        <v>119</v>
      </c>
    </row>
    <row r="3554" customHeight="1" spans="1:2">
      <c r="A3554" s="3" t="s">
        <v>23374</v>
      </c>
      <c r="B3554" s="4">
        <v>80</v>
      </c>
    </row>
    <row r="3555" customHeight="1" spans="1:2">
      <c r="A3555" s="3" t="s">
        <v>17773</v>
      </c>
      <c r="B3555" s="4">
        <v>90</v>
      </c>
    </row>
    <row r="3556" customHeight="1" spans="1:2">
      <c r="A3556" s="3" t="s">
        <v>10625</v>
      </c>
      <c r="B3556" s="4">
        <v>91</v>
      </c>
    </row>
    <row r="3557" customHeight="1" spans="1:2">
      <c r="A3557" s="3" t="s">
        <v>20967</v>
      </c>
      <c r="B3557" s="4">
        <v>98</v>
      </c>
    </row>
    <row r="3558" customHeight="1" spans="1:2">
      <c r="A3558" s="3" t="s">
        <v>7390</v>
      </c>
      <c r="B3558" s="4">
        <v>75</v>
      </c>
    </row>
    <row r="3559" customHeight="1" spans="1:2">
      <c r="A3559" s="3" t="s">
        <v>14852</v>
      </c>
      <c r="B3559" s="4">
        <v>124</v>
      </c>
    </row>
    <row r="3560" customHeight="1" spans="1:2">
      <c r="A3560" s="3" t="s">
        <v>10630</v>
      </c>
      <c r="B3560" s="4">
        <v>114</v>
      </c>
    </row>
    <row r="3561" customHeight="1" spans="1:2">
      <c r="A3561" s="3" t="s">
        <v>12179</v>
      </c>
      <c r="B3561" s="4">
        <v>123</v>
      </c>
    </row>
    <row r="3562" customHeight="1" spans="1:2">
      <c r="A3562" s="3" t="s">
        <v>15627</v>
      </c>
      <c r="B3562" s="4">
        <v>120</v>
      </c>
    </row>
    <row r="3563" customHeight="1" spans="1:2">
      <c r="A3563" s="3" t="s">
        <v>9395</v>
      </c>
      <c r="B3563" s="4">
        <v>118</v>
      </c>
    </row>
    <row r="3564" customHeight="1" spans="1:2">
      <c r="A3564" s="3" t="s">
        <v>10016</v>
      </c>
      <c r="B3564" s="4">
        <v>131</v>
      </c>
    </row>
    <row r="3565" customHeight="1" spans="1:2">
      <c r="A3565" s="3" t="s">
        <v>20071</v>
      </c>
      <c r="B3565" s="4">
        <v>172</v>
      </c>
    </row>
    <row r="3566" customHeight="1" spans="1:2">
      <c r="A3566" s="3" t="s">
        <v>18999</v>
      </c>
      <c r="B3566" s="4">
        <v>98</v>
      </c>
    </row>
    <row r="3567" customHeight="1" spans="1:2">
      <c r="A3567" s="3" t="s">
        <v>22891</v>
      </c>
      <c r="B3567" s="4">
        <v>82</v>
      </c>
    </row>
    <row r="3568" customHeight="1" spans="1:2">
      <c r="A3568" s="3" t="s">
        <v>1131</v>
      </c>
      <c r="B3568" s="4">
        <v>117</v>
      </c>
    </row>
    <row r="3569" customHeight="1" spans="1:2">
      <c r="A3569" s="3" t="s">
        <v>5480</v>
      </c>
      <c r="B3569" s="4">
        <v>88</v>
      </c>
    </row>
    <row r="3570" customHeight="1" spans="1:2">
      <c r="A3570" s="3" t="s">
        <v>13723</v>
      </c>
      <c r="B3570" s="4">
        <v>91</v>
      </c>
    </row>
    <row r="3571" customHeight="1" spans="1:2">
      <c r="A3571" s="3" t="s">
        <v>13076</v>
      </c>
      <c r="B3571" s="4">
        <v>117</v>
      </c>
    </row>
    <row r="3572" customHeight="1" spans="1:2">
      <c r="A3572" s="3" t="s">
        <v>23322</v>
      </c>
      <c r="B3572" s="4">
        <v>151</v>
      </c>
    </row>
    <row r="3573" customHeight="1" spans="1:2">
      <c r="A3573" s="3" t="s">
        <v>8866</v>
      </c>
      <c r="B3573" s="4">
        <v>130</v>
      </c>
    </row>
    <row r="3574" customHeight="1" spans="1:2">
      <c r="A3574" s="3" t="s">
        <v>23043</v>
      </c>
      <c r="B3574" s="4">
        <v>114</v>
      </c>
    </row>
    <row r="3575" customHeight="1" spans="1:2">
      <c r="A3575" s="3" t="s">
        <v>18657</v>
      </c>
      <c r="B3575" s="4">
        <v>86</v>
      </c>
    </row>
    <row r="3576" customHeight="1" spans="1:2">
      <c r="A3576" s="3" t="s">
        <v>7932</v>
      </c>
      <c r="B3576" s="4">
        <v>89</v>
      </c>
    </row>
    <row r="3577" customHeight="1" spans="1:2">
      <c r="A3577" s="3" t="s">
        <v>6232</v>
      </c>
      <c r="B3577" s="4">
        <v>100</v>
      </c>
    </row>
    <row r="3578" customHeight="1" spans="1:2">
      <c r="A3578" s="3" t="s">
        <v>23674</v>
      </c>
      <c r="B3578" s="4">
        <v>120</v>
      </c>
    </row>
    <row r="3579" customHeight="1" spans="1:2">
      <c r="A3579" s="3" t="s">
        <v>4343</v>
      </c>
      <c r="B3579" s="4">
        <v>121</v>
      </c>
    </row>
    <row r="3580" customHeight="1" spans="1:2">
      <c r="A3580" s="3" t="s">
        <v>10839</v>
      </c>
      <c r="B3580" s="4">
        <v>98</v>
      </c>
    </row>
    <row r="3581" customHeight="1" spans="1:2">
      <c r="A3581" s="3" t="s">
        <v>19706</v>
      </c>
      <c r="B3581" s="4">
        <v>118</v>
      </c>
    </row>
    <row r="3582" customHeight="1" spans="1:2">
      <c r="A3582" s="3" t="s">
        <v>22389</v>
      </c>
      <c r="B3582" s="4">
        <v>81</v>
      </c>
    </row>
    <row r="3583" customHeight="1" spans="1:2">
      <c r="A3583" s="3" t="s">
        <v>7260</v>
      </c>
      <c r="B3583" s="4">
        <v>129</v>
      </c>
    </row>
    <row r="3584" customHeight="1" spans="1:2">
      <c r="A3584" s="3" t="s">
        <v>16303</v>
      </c>
      <c r="B3584" s="4">
        <v>90</v>
      </c>
    </row>
    <row r="3585" customHeight="1" spans="1:2">
      <c r="A3585" s="3" t="s">
        <v>23651</v>
      </c>
      <c r="B3585" s="4">
        <v>90</v>
      </c>
    </row>
    <row r="3586" customHeight="1" spans="1:2">
      <c r="A3586" s="3" t="s">
        <v>21325</v>
      </c>
      <c r="B3586" s="4">
        <v>83</v>
      </c>
    </row>
    <row r="3587" customHeight="1" spans="1:2">
      <c r="A3587" s="3" t="s">
        <v>14742</v>
      </c>
      <c r="B3587" s="4">
        <v>97</v>
      </c>
    </row>
    <row r="3588" customHeight="1" spans="1:2">
      <c r="A3588" s="3" t="s">
        <v>18216</v>
      </c>
      <c r="B3588" s="4">
        <v>104</v>
      </c>
    </row>
    <row r="3589" customHeight="1" spans="1:2">
      <c r="A3589" s="3" t="s">
        <v>21137</v>
      </c>
      <c r="B3589" s="4">
        <v>76</v>
      </c>
    </row>
    <row r="3590" customHeight="1" spans="1:2">
      <c r="A3590" s="3" t="s">
        <v>9102</v>
      </c>
      <c r="B3590" s="4">
        <v>148</v>
      </c>
    </row>
    <row r="3591" customHeight="1" spans="1:2">
      <c r="A3591" s="3" t="s">
        <v>9400</v>
      </c>
      <c r="B3591" s="4">
        <v>129</v>
      </c>
    </row>
    <row r="3592" customHeight="1" spans="1:2">
      <c r="A3592" s="3" t="s">
        <v>15707</v>
      </c>
      <c r="B3592" s="4">
        <v>30</v>
      </c>
    </row>
    <row r="3593" customHeight="1" spans="1:2">
      <c r="A3593" s="3" t="s">
        <v>5535</v>
      </c>
      <c r="B3593" s="4">
        <v>118</v>
      </c>
    </row>
    <row r="3594" customHeight="1" spans="1:2">
      <c r="A3594" s="3" t="s">
        <v>2654</v>
      </c>
      <c r="B3594" s="4">
        <v>118</v>
      </c>
    </row>
    <row r="3595" customHeight="1" spans="1:2">
      <c r="A3595" s="3" t="s">
        <v>5202</v>
      </c>
      <c r="B3595" s="4">
        <v>95</v>
      </c>
    </row>
    <row r="3596" customHeight="1" spans="1:2">
      <c r="A3596" s="3" t="s">
        <v>20307</v>
      </c>
      <c r="B3596" s="4">
        <v>120</v>
      </c>
    </row>
    <row r="3597" customHeight="1" spans="1:2">
      <c r="A3597" s="3" t="s">
        <v>11646</v>
      </c>
      <c r="B3597" s="4">
        <v>131</v>
      </c>
    </row>
    <row r="3598" customHeight="1" spans="1:2">
      <c r="A3598" s="3" t="s">
        <v>16093</v>
      </c>
      <c r="B3598" s="4">
        <v>138</v>
      </c>
    </row>
    <row r="3599" customHeight="1" spans="1:2">
      <c r="A3599" s="3" t="s">
        <v>16742</v>
      </c>
      <c r="B3599" s="4">
        <v>102</v>
      </c>
    </row>
    <row r="3600" customHeight="1" spans="1:2">
      <c r="A3600" s="3" t="s">
        <v>13623</v>
      </c>
      <c r="B3600" s="4">
        <v>41</v>
      </c>
    </row>
    <row r="3601" customHeight="1" spans="1:2">
      <c r="A3601" s="3" t="s">
        <v>8789</v>
      </c>
      <c r="B3601" s="4">
        <v>89</v>
      </c>
    </row>
    <row r="3602" customHeight="1" spans="1:2">
      <c r="A3602" s="3" t="s">
        <v>8805</v>
      </c>
      <c r="B3602" s="4">
        <v>99</v>
      </c>
    </row>
    <row r="3603" customHeight="1" spans="1:2">
      <c r="A3603" s="3" t="s">
        <v>6014</v>
      </c>
      <c r="B3603" s="4">
        <v>110</v>
      </c>
    </row>
    <row r="3604" customHeight="1" spans="1:2">
      <c r="A3604" s="3" t="s">
        <v>11640</v>
      </c>
      <c r="B3604" s="4">
        <v>132</v>
      </c>
    </row>
    <row r="3605" customHeight="1" spans="1:2">
      <c r="A3605" s="3" t="s">
        <v>3959</v>
      </c>
      <c r="B3605" s="4">
        <v>119</v>
      </c>
    </row>
    <row r="3606" customHeight="1" spans="1:2">
      <c r="A3606" s="3" t="s">
        <v>1322</v>
      </c>
      <c r="B3606" s="4">
        <v>135</v>
      </c>
    </row>
    <row r="3607" customHeight="1" spans="1:2">
      <c r="A3607" s="3" t="s">
        <v>2321</v>
      </c>
      <c r="B3607" s="4">
        <v>108</v>
      </c>
    </row>
    <row r="3608" customHeight="1" spans="1:2">
      <c r="A3608" s="3" t="s">
        <v>1159</v>
      </c>
      <c r="B3608" s="4">
        <v>115</v>
      </c>
    </row>
    <row r="3609" customHeight="1" spans="1:2">
      <c r="A3609" s="3" t="s">
        <v>9805</v>
      </c>
      <c r="B3609" s="4">
        <v>115</v>
      </c>
    </row>
    <row r="3610" customHeight="1" spans="1:2">
      <c r="A3610" s="3" t="s">
        <v>4192</v>
      </c>
      <c r="B3610" s="4">
        <v>96</v>
      </c>
    </row>
    <row r="3611" customHeight="1" spans="1:2">
      <c r="A3611" s="3" t="s">
        <v>13964</v>
      </c>
      <c r="B3611" s="4">
        <v>94</v>
      </c>
    </row>
    <row r="3612" customHeight="1" spans="1:2">
      <c r="A3612" s="3" t="s">
        <v>18473</v>
      </c>
      <c r="B3612" s="4">
        <v>91</v>
      </c>
    </row>
    <row r="3613" customHeight="1" spans="1:2">
      <c r="A3613" s="3" t="s">
        <v>14871</v>
      </c>
      <c r="B3613" s="4">
        <v>97</v>
      </c>
    </row>
    <row r="3614" customHeight="1" spans="1:2">
      <c r="A3614" s="3" t="s">
        <v>14176</v>
      </c>
      <c r="B3614" s="4">
        <v>125</v>
      </c>
    </row>
    <row r="3615" customHeight="1" spans="1:2">
      <c r="A3615" s="3" t="s">
        <v>23646</v>
      </c>
      <c r="B3615" s="4">
        <v>62</v>
      </c>
    </row>
    <row r="3616" customHeight="1" spans="1:2">
      <c r="A3616" s="3" t="s">
        <v>23823</v>
      </c>
      <c r="B3616" s="4">
        <v>70</v>
      </c>
    </row>
    <row r="3617" customHeight="1" spans="1:2">
      <c r="A3617" s="3" t="s">
        <v>22085</v>
      </c>
      <c r="B3617" s="4">
        <v>101</v>
      </c>
    </row>
    <row r="3618" customHeight="1" spans="1:2">
      <c r="A3618" s="3" t="s">
        <v>20001</v>
      </c>
      <c r="B3618" s="4">
        <v>90</v>
      </c>
    </row>
    <row r="3619" customHeight="1" spans="1:2">
      <c r="A3619" s="3" t="s">
        <v>4929</v>
      </c>
      <c r="B3619" s="4">
        <v>106</v>
      </c>
    </row>
    <row r="3620" customHeight="1" spans="1:2">
      <c r="A3620" s="3" t="s">
        <v>10186</v>
      </c>
      <c r="B3620" s="4">
        <v>120</v>
      </c>
    </row>
    <row r="3621" customHeight="1" spans="1:2">
      <c r="A3621" s="3" t="s">
        <v>19248</v>
      </c>
      <c r="B3621" s="4">
        <v>161</v>
      </c>
    </row>
    <row r="3622" customHeight="1" spans="1:2">
      <c r="A3622" s="3" t="s">
        <v>10357</v>
      </c>
      <c r="B3622" s="4">
        <v>135</v>
      </c>
    </row>
    <row r="3623" customHeight="1" spans="1:2">
      <c r="A3623" s="3" t="s">
        <v>22948</v>
      </c>
      <c r="B3623" s="4">
        <v>100</v>
      </c>
    </row>
    <row r="3624" customHeight="1" spans="1:2">
      <c r="A3624" s="3" t="s">
        <v>21683</v>
      </c>
      <c r="B3624" s="4">
        <v>94</v>
      </c>
    </row>
    <row r="3625" customHeight="1" spans="1:2">
      <c r="A3625" s="3" t="s">
        <v>11387</v>
      </c>
      <c r="B3625" s="4">
        <v>114</v>
      </c>
    </row>
    <row r="3626" customHeight="1" spans="1:2">
      <c r="A3626" s="3" t="s">
        <v>2794</v>
      </c>
      <c r="B3626" s="4">
        <v>118</v>
      </c>
    </row>
    <row r="3627" customHeight="1" spans="1:2">
      <c r="A3627" s="3" t="s">
        <v>23845</v>
      </c>
      <c r="B3627" s="4">
        <v>98</v>
      </c>
    </row>
    <row r="3628" customHeight="1" spans="1:2">
      <c r="A3628" s="3" t="s">
        <v>15283</v>
      </c>
      <c r="B3628" s="4">
        <v>93</v>
      </c>
    </row>
    <row r="3629" customHeight="1" spans="1:2">
      <c r="A3629" s="3" t="s">
        <v>17016</v>
      </c>
      <c r="B3629" s="4">
        <v>106</v>
      </c>
    </row>
    <row r="3630" customHeight="1" spans="1:2">
      <c r="A3630" s="3" t="s">
        <v>15309</v>
      </c>
      <c r="B3630" s="4">
        <v>93</v>
      </c>
    </row>
    <row r="3631" customHeight="1" spans="1:2">
      <c r="A3631" s="3" t="s">
        <v>20852</v>
      </c>
      <c r="B3631" s="4">
        <v>90</v>
      </c>
    </row>
    <row r="3632" customHeight="1" spans="1:2">
      <c r="A3632" s="3" t="s">
        <v>5733</v>
      </c>
      <c r="B3632" s="4">
        <v>97</v>
      </c>
    </row>
    <row r="3633" customHeight="1" spans="1:2">
      <c r="A3633" s="3" t="s">
        <v>23426</v>
      </c>
      <c r="B3633" s="4">
        <v>103</v>
      </c>
    </row>
    <row r="3634" customHeight="1" spans="1:2">
      <c r="A3634" s="3" t="s">
        <v>17191</v>
      </c>
      <c r="B3634" s="4">
        <v>84</v>
      </c>
    </row>
    <row r="3635" customHeight="1" spans="1:2">
      <c r="A3635" s="3" t="s">
        <v>13707</v>
      </c>
      <c r="B3635" s="4">
        <v>120</v>
      </c>
    </row>
    <row r="3636" customHeight="1" spans="1:2">
      <c r="A3636" s="3" t="s">
        <v>8380</v>
      </c>
      <c r="B3636" s="4">
        <v>95</v>
      </c>
    </row>
    <row r="3637" customHeight="1" spans="1:2">
      <c r="A3637" s="3" t="s">
        <v>5601</v>
      </c>
      <c r="B3637" s="4">
        <v>96</v>
      </c>
    </row>
    <row r="3638" customHeight="1" spans="1:2">
      <c r="A3638" s="3" t="s">
        <v>22652</v>
      </c>
      <c r="B3638" s="4">
        <v>87</v>
      </c>
    </row>
    <row r="3639" customHeight="1" spans="1:2">
      <c r="A3639" s="3" t="s">
        <v>23884</v>
      </c>
      <c r="B3639" s="4">
        <v>47</v>
      </c>
    </row>
    <row r="3640" customHeight="1" spans="1:2">
      <c r="A3640" s="3" t="s">
        <v>13891</v>
      </c>
      <c r="B3640" s="4">
        <v>94</v>
      </c>
    </row>
    <row r="3641" customHeight="1" spans="1:2">
      <c r="A3641" s="3" t="s">
        <v>19996</v>
      </c>
      <c r="B3641" s="4">
        <v>216</v>
      </c>
    </row>
    <row r="3642" customHeight="1" spans="1:2">
      <c r="A3642" s="3" t="s">
        <v>1969</v>
      </c>
      <c r="B3642" s="4">
        <v>85</v>
      </c>
    </row>
    <row r="3643" customHeight="1" spans="1:2">
      <c r="A3643" s="3" t="s">
        <v>23230</v>
      </c>
      <c r="B3643" s="4">
        <v>99</v>
      </c>
    </row>
    <row r="3644" customHeight="1" spans="1:2">
      <c r="A3644" s="3" t="s">
        <v>23467</v>
      </c>
      <c r="B3644" s="4">
        <v>59</v>
      </c>
    </row>
    <row r="3645" customHeight="1" spans="1:2">
      <c r="A3645" s="3" t="s">
        <v>1642</v>
      </c>
      <c r="B3645" s="4">
        <v>82</v>
      </c>
    </row>
    <row r="3646" customHeight="1" spans="1:2">
      <c r="A3646" s="3" t="s">
        <v>8573</v>
      </c>
      <c r="B3646" s="4">
        <v>93</v>
      </c>
    </row>
    <row r="3647" customHeight="1" spans="1:2">
      <c r="A3647" s="3" t="s">
        <v>13617</v>
      </c>
      <c r="B3647" s="4">
        <v>105</v>
      </c>
    </row>
    <row r="3648" customHeight="1" spans="1:2">
      <c r="A3648" s="3" t="s">
        <v>21165</v>
      </c>
      <c r="B3648" s="4">
        <v>105</v>
      </c>
    </row>
    <row r="3649" customHeight="1" spans="1:2">
      <c r="A3649" s="3" t="s">
        <v>7336</v>
      </c>
      <c r="B3649" s="4">
        <v>109</v>
      </c>
    </row>
    <row r="3650" customHeight="1" spans="1:2">
      <c r="A3650" s="3" t="s">
        <v>15326</v>
      </c>
      <c r="B3650" s="4">
        <v>101</v>
      </c>
    </row>
    <row r="3651" customHeight="1" spans="1:2">
      <c r="A3651" s="3" t="s">
        <v>4953</v>
      </c>
      <c r="B3651" s="4">
        <v>118</v>
      </c>
    </row>
    <row r="3652" customHeight="1" spans="1:2">
      <c r="A3652" s="3" t="s">
        <v>21385</v>
      </c>
      <c r="B3652" s="4">
        <v>100</v>
      </c>
    </row>
    <row r="3653" customHeight="1" spans="1:2">
      <c r="A3653" s="3" t="s">
        <v>11426</v>
      </c>
      <c r="B3653" s="4">
        <v>125</v>
      </c>
    </row>
    <row r="3654" customHeight="1" spans="1:2">
      <c r="A3654" s="3" t="s">
        <v>17423</v>
      </c>
      <c r="B3654" s="4">
        <v>97</v>
      </c>
    </row>
    <row r="3655" customHeight="1" spans="1:2">
      <c r="A3655" s="3" t="s">
        <v>23283</v>
      </c>
      <c r="B3655" s="4">
        <v>98</v>
      </c>
    </row>
    <row r="3656" customHeight="1" spans="1:2">
      <c r="A3656" s="3" t="s">
        <v>16662</v>
      </c>
      <c r="B3656" s="4">
        <v>100</v>
      </c>
    </row>
    <row r="3657" customHeight="1" spans="1:2">
      <c r="A3657" s="3" t="s">
        <v>152</v>
      </c>
      <c r="B3657" s="4">
        <v>150</v>
      </c>
    </row>
    <row r="3658" customHeight="1" spans="1:2">
      <c r="A3658" s="3" t="s">
        <v>456</v>
      </c>
      <c r="B3658" s="4">
        <v>150</v>
      </c>
    </row>
    <row r="3659" customHeight="1" spans="1:2">
      <c r="A3659" s="3" t="s">
        <v>745</v>
      </c>
      <c r="B3659" s="4">
        <v>113</v>
      </c>
    </row>
    <row r="3660" customHeight="1" spans="1:2">
      <c r="A3660" s="3" t="s">
        <v>1397</v>
      </c>
      <c r="B3660" s="4">
        <v>134</v>
      </c>
    </row>
    <row r="3661" customHeight="1" spans="1:2">
      <c r="A3661" s="3" t="s">
        <v>16805</v>
      </c>
      <c r="B3661" s="4">
        <v>108</v>
      </c>
    </row>
    <row r="3662" customHeight="1" spans="1:2">
      <c r="A3662" s="3" t="s">
        <v>24069</v>
      </c>
      <c r="B3662" s="4">
        <v>90</v>
      </c>
    </row>
    <row r="3663" customHeight="1" spans="1:2">
      <c r="A3663" s="3" t="s">
        <v>16098</v>
      </c>
      <c r="B3663" s="4">
        <v>117</v>
      </c>
    </row>
    <row r="3664" customHeight="1" spans="1:2">
      <c r="A3664" s="3" t="s">
        <v>13872</v>
      </c>
      <c r="B3664" s="4">
        <v>230</v>
      </c>
    </row>
    <row r="3665" customHeight="1" spans="1:2">
      <c r="A3665" s="3" t="s">
        <v>13189</v>
      </c>
      <c r="B3665" s="4">
        <v>98</v>
      </c>
    </row>
    <row r="3666" customHeight="1" spans="1:2">
      <c r="A3666" s="3" t="s">
        <v>19123</v>
      </c>
      <c r="B3666" s="4">
        <v>128</v>
      </c>
    </row>
    <row r="3667" customHeight="1" spans="1:2">
      <c r="A3667" s="3" t="s">
        <v>5729</v>
      </c>
      <c r="B3667" s="4">
        <v>119</v>
      </c>
    </row>
    <row r="3668" customHeight="1" spans="1:2">
      <c r="A3668" s="3" t="s">
        <v>11382</v>
      </c>
      <c r="B3668" s="4">
        <v>93</v>
      </c>
    </row>
    <row r="3669" customHeight="1" spans="1:2">
      <c r="A3669" s="3" t="s">
        <v>15121</v>
      </c>
      <c r="B3669" s="4">
        <v>82</v>
      </c>
    </row>
    <row r="3670" customHeight="1" spans="1:2">
      <c r="A3670" s="3" t="s">
        <v>8735</v>
      </c>
      <c r="B3670" s="4">
        <v>118</v>
      </c>
    </row>
    <row r="3671" customHeight="1" spans="1:2">
      <c r="A3671" s="3" t="s">
        <v>14816</v>
      </c>
      <c r="B3671" s="4">
        <v>119</v>
      </c>
    </row>
    <row r="3672" customHeight="1" spans="1:2">
      <c r="A3672" s="3" t="s">
        <v>12690</v>
      </c>
      <c r="B3672" s="4">
        <v>154</v>
      </c>
    </row>
    <row r="3673" customHeight="1" spans="1:2">
      <c r="A3673" s="3" t="s">
        <v>13179</v>
      </c>
      <c r="B3673" s="4">
        <v>286</v>
      </c>
    </row>
    <row r="3674" customHeight="1" spans="1:2">
      <c r="A3674" s="3" t="s">
        <v>22263</v>
      </c>
      <c r="B3674" s="4">
        <v>106</v>
      </c>
    </row>
    <row r="3675" customHeight="1" spans="1:2">
      <c r="A3675" s="3" t="s">
        <v>6290</v>
      </c>
      <c r="B3675" s="4">
        <v>134</v>
      </c>
    </row>
    <row r="3676" customHeight="1" spans="1:2">
      <c r="A3676" s="3" t="s">
        <v>10686</v>
      </c>
      <c r="B3676" s="4">
        <v>112</v>
      </c>
    </row>
    <row r="3677" customHeight="1" spans="1:2">
      <c r="A3677" s="3" t="s">
        <v>9873</v>
      </c>
      <c r="B3677" s="4">
        <v>122</v>
      </c>
    </row>
    <row r="3678" customHeight="1" spans="1:2">
      <c r="A3678" s="3" t="s">
        <v>9365</v>
      </c>
      <c r="B3678" s="4">
        <v>129</v>
      </c>
    </row>
    <row r="3679" customHeight="1" spans="1:2">
      <c r="A3679" s="3" t="s">
        <v>15652</v>
      </c>
      <c r="B3679" s="4">
        <v>126</v>
      </c>
    </row>
    <row r="3680" customHeight="1" spans="1:2">
      <c r="A3680" s="3" t="s">
        <v>20856</v>
      </c>
      <c r="B3680" s="4">
        <v>113</v>
      </c>
    </row>
    <row r="3681" customHeight="1" spans="1:2">
      <c r="A3681" s="3" t="s">
        <v>12522</v>
      </c>
      <c r="B3681" s="4">
        <v>97</v>
      </c>
    </row>
    <row r="3682" customHeight="1" spans="1:2">
      <c r="A3682" s="3" t="s">
        <v>18526</v>
      </c>
      <c r="B3682" s="4">
        <v>101</v>
      </c>
    </row>
    <row r="3683" customHeight="1" spans="1:2">
      <c r="A3683" s="3" t="s">
        <v>2465</v>
      </c>
      <c r="B3683" s="4">
        <v>135</v>
      </c>
    </row>
    <row r="3684" customHeight="1" spans="1:2">
      <c r="A3684" s="3" t="s">
        <v>15016</v>
      </c>
      <c r="B3684" s="4">
        <v>110</v>
      </c>
    </row>
    <row r="3685" customHeight="1" spans="1:2">
      <c r="A3685" s="3" t="s">
        <v>18034</v>
      </c>
      <c r="B3685" s="4">
        <v>92</v>
      </c>
    </row>
    <row r="3686" customHeight="1" spans="1:2">
      <c r="A3686" s="3" t="s">
        <v>5582</v>
      </c>
      <c r="B3686" s="4">
        <v>123</v>
      </c>
    </row>
    <row r="3687" customHeight="1" spans="1:2">
      <c r="A3687" s="3" t="s">
        <v>10050</v>
      </c>
      <c r="B3687" s="4">
        <v>138</v>
      </c>
    </row>
    <row r="3688" customHeight="1" spans="1:2">
      <c r="A3688" s="3" t="s">
        <v>6439</v>
      </c>
      <c r="B3688" s="4">
        <v>131</v>
      </c>
    </row>
    <row r="3689" customHeight="1" spans="1:2">
      <c r="A3689" s="3" t="s">
        <v>11110</v>
      </c>
      <c r="B3689" s="4">
        <v>88</v>
      </c>
    </row>
    <row r="3690" customHeight="1" spans="1:2">
      <c r="A3690" s="3" t="s">
        <v>10997</v>
      </c>
      <c r="B3690" s="4">
        <v>97</v>
      </c>
    </row>
    <row r="3691" customHeight="1" spans="1:2">
      <c r="A3691" s="3" t="s">
        <v>12899</v>
      </c>
      <c r="B3691" s="4">
        <v>101</v>
      </c>
    </row>
    <row r="3692" customHeight="1" spans="1:2">
      <c r="A3692" s="3" t="s">
        <v>11625</v>
      </c>
      <c r="B3692" s="4">
        <v>101</v>
      </c>
    </row>
    <row r="3693" customHeight="1" spans="1:2">
      <c r="A3693" s="3" t="s">
        <v>10254</v>
      </c>
      <c r="B3693" s="4">
        <v>88</v>
      </c>
    </row>
    <row r="3694" customHeight="1" spans="1:2">
      <c r="A3694" s="3" t="s">
        <v>13902</v>
      </c>
      <c r="B3694" s="4">
        <v>90</v>
      </c>
    </row>
    <row r="3695" customHeight="1" spans="1:2">
      <c r="A3695" s="3" t="s">
        <v>1455</v>
      </c>
      <c r="B3695" s="4">
        <v>98</v>
      </c>
    </row>
    <row r="3696" customHeight="1" spans="1:2">
      <c r="A3696" s="3" t="s">
        <v>6907</v>
      </c>
      <c r="B3696" s="4">
        <v>98</v>
      </c>
    </row>
    <row r="3697" customHeight="1" spans="1:2">
      <c r="A3697" s="3" t="s">
        <v>14471</v>
      </c>
      <c r="B3697" s="4">
        <v>100</v>
      </c>
    </row>
    <row r="3698" customHeight="1" spans="1:2">
      <c r="A3698" s="3" t="s">
        <v>18416</v>
      </c>
      <c r="B3698" s="4">
        <v>112</v>
      </c>
    </row>
    <row r="3699" customHeight="1" spans="1:2">
      <c r="A3699" s="3" t="s">
        <v>24082</v>
      </c>
      <c r="B3699" s="4">
        <v>111</v>
      </c>
    </row>
    <row r="3700" customHeight="1" spans="1:2">
      <c r="A3700" s="3" t="s">
        <v>690</v>
      </c>
      <c r="B3700" s="4">
        <v>166</v>
      </c>
    </row>
    <row r="3701" customHeight="1" spans="1:2">
      <c r="A3701" s="3" t="s">
        <v>20591</v>
      </c>
      <c r="B3701" s="4">
        <v>89</v>
      </c>
    </row>
    <row r="3702" customHeight="1" spans="1:2">
      <c r="A3702" s="3" t="s">
        <v>9345</v>
      </c>
      <c r="B3702" s="4">
        <v>103</v>
      </c>
    </row>
    <row r="3703" customHeight="1" spans="1:2">
      <c r="A3703" s="3" t="s">
        <v>8299</v>
      </c>
      <c r="B3703" s="4">
        <v>85</v>
      </c>
    </row>
    <row r="3704" customHeight="1" spans="1:2">
      <c r="A3704" s="3" t="s">
        <v>1276</v>
      </c>
      <c r="B3704" s="4">
        <v>174</v>
      </c>
    </row>
    <row r="3705" customHeight="1" spans="1:2">
      <c r="A3705" s="3" t="s">
        <v>16953</v>
      </c>
      <c r="B3705" s="4">
        <v>98</v>
      </c>
    </row>
    <row r="3706" customHeight="1" spans="1:2">
      <c r="A3706" s="3" t="s">
        <v>14338</v>
      </c>
      <c r="B3706" s="4">
        <v>104</v>
      </c>
    </row>
    <row r="3707" customHeight="1" spans="1:2">
      <c r="A3707" s="3" t="s">
        <v>22908</v>
      </c>
      <c r="B3707" s="4">
        <v>80</v>
      </c>
    </row>
    <row r="3708" customHeight="1" spans="1:2">
      <c r="A3708" s="3" t="s">
        <v>64</v>
      </c>
      <c r="B3708" s="4">
        <v>164</v>
      </c>
    </row>
    <row r="3709" customHeight="1" spans="1:2">
      <c r="A3709" s="3" t="s">
        <v>467</v>
      </c>
      <c r="B3709" s="4">
        <v>152</v>
      </c>
    </row>
    <row r="3710" customHeight="1" spans="1:2">
      <c r="A3710" s="3" t="s">
        <v>7833</v>
      </c>
      <c r="B3710" s="4">
        <v>89</v>
      </c>
    </row>
    <row r="3711" customHeight="1" spans="1:2">
      <c r="A3711" s="3" t="s">
        <v>1338</v>
      </c>
      <c r="B3711" s="4">
        <v>124</v>
      </c>
    </row>
    <row r="3712" customHeight="1" spans="1:2">
      <c r="A3712" s="3" t="s">
        <v>2686</v>
      </c>
      <c r="B3712" s="4">
        <v>208</v>
      </c>
    </row>
    <row r="3713" customHeight="1" spans="1:2">
      <c r="A3713" s="3" t="s">
        <v>19089</v>
      </c>
      <c r="B3713" s="4">
        <v>93</v>
      </c>
    </row>
    <row r="3714" customHeight="1" spans="1:2">
      <c r="A3714" s="3" t="s">
        <v>21476</v>
      </c>
      <c r="B3714" s="4">
        <v>89</v>
      </c>
    </row>
    <row r="3715" customHeight="1" spans="1:2">
      <c r="A3715" s="3" t="s">
        <v>13073</v>
      </c>
      <c r="B3715" s="4">
        <v>163</v>
      </c>
    </row>
    <row r="3716" customHeight="1" spans="1:2">
      <c r="A3716" s="3" t="s">
        <v>16262</v>
      </c>
      <c r="B3716" s="4">
        <v>97</v>
      </c>
    </row>
    <row r="3717" customHeight="1" spans="1:2">
      <c r="A3717" s="3" t="s">
        <v>10926</v>
      </c>
      <c r="B3717" s="4">
        <v>113</v>
      </c>
    </row>
    <row r="3718" customHeight="1" spans="1:2">
      <c r="A3718" s="3" t="s">
        <v>6786</v>
      </c>
      <c r="B3718" s="4">
        <v>106</v>
      </c>
    </row>
    <row r="3719" customHeight="1" spans="1:2">
      <c r="A3719" s="3" t="s">
        <v>12762</v>
      </c>
      <c r="B3719" s="4">
        <v>183</v>
      </c>
    </row>
    <row r="3720" customHeight="1" spans="1:2">
      <c r="A3720" s="3" t="s">
        <v>2127</v>
      </c>
      <c r="B3720" s="4">
        <v>151</v>
      </c>
    </row>
    <row r="3721" customHeight="1" spans="1:2">
      <c r="A3721" s="3" t="s">
        <v>19542</v>
      </c>
      <c r="B3721" s="4">
        <v>90</v>
      </c>
    </row>
    <row r="3722" customHeight="1" spans="1:2">
      <c r="A3722" s="3" t="s">
        <v>10708</v>
      </c>
      <c r="B3722" s="4">
        <v>115</v>
      </c>
    </row>
    <row r="3723" customHeight="1" spans="1:2">
      <c r="A3723" s="3" t="s">
        <v>16524</v>
      </c>
      <c r="B3723" s="4">
        <v>100</v>
      </c>
    </row>
    <row r="3724" customHeight="1" spans="1:2">
      <c r="A3724" s="3" t="s">
        <v>21575</v>
      </c>
      <c r="B3724" s="4">
        <v>83</v>
      </c>
    </row>
    <row r="3725" customHeight="1" spans="1:2">
      <c r="A3725" s="3" t="s">
        <v>7279</v>
      </c>
      <c r="B3725" s="4">
        <v>109</v>
      </c>
    </row>
    <row r="3726" customHeight="1" spans="1:2">
      <c r="A3726" s="3" t="s">
        <v>4514</v>
      </c>
      <c r="B3726" s="4">
        <v>136</v>
      </c>
    </row>
    <row r="3727" customHeight="1" spans="1:2">
      <c r="A3727" s="3" t="s">
        <v>11611</v>
      </c>
      <c r="B3727" s="4">
        <v>109</v>
      </c>
    </row>
    <row r="3728" customHeight="1" spans="1:2">
      <c r="A3728" s="3" t="s">
        <v>2269</v>
      </c>
      <c r="B3728" s="4">
        <v>111</v>
      </c>
    </row>
    <row r="3729" customHeight="1" spans="1:2">
      <c r="A3729" s="3" t="s">
        <v>16545</v>
      </c>
      <c r="B3729" s="4">
        <v>109</v>
      </c>
    </row>
    <row r="3730" customHeight="1" spans="1:2">
      <c r="A3730" s="3" t="s">
        <v>15474</v>
      </c>
      <c r="B3730" s="4">
        <v>90</v>
      </c>
    </row>
    <row r="3731" customHeight="1" spans="1:2">
      <c r="A3731" s="3" t="s">
        <v>20318</v>
      </c>
      <c r="B3731" s="4">
        <v>102</v>
      </c>
    </row>
    <row r="3732" customHeight="1" spans="1:2">
      <c r="A3732" s="3" t="s">
        <v>3725</v>
      </c>
      <c r="B3732" s="4">
        <v>99</v>
      </c>
    </row>
    <row r="3733" customHeight="1" spans="1:2">
      <c r="A3733" s="3" t="s">
        <v>3437</v>
      </c>
      <c r="B3733" s="4">
        <v>111</v>
      </c>
    </row>
    <row r="3734" customHeight="1" spans="1:2">
      <c r="A3734" s="3" t="s">
        <v>23851</v>
      </c>
      <c r="B3734" s="4">
        <v>83</v>
      </c>
    </row>
    <row r="3735" customHeight="1" spans="1:2">
      <c r="A3735" s="3" t="s">
        <v>19521</v>
      </c>
      <c r="B3735" s="4">
        <v>122</v>
      </c>
    </row>
    <row r="3736" customHeight="1" spans="1:2">
      <c r="A3736" s="3" t="s">
        <v>13507</v>
      </c>
      <c r="B3736" s="4">
        <v>112</v>
      </c>
    </row>
    <row r="3737" customHeight="1" spans="1:2">
      <c r="A3737" s="3" t="s">
        <v>21127</v>
      </c>
      <c r="B3737" s="4">
        <v>101</v>
      </c>
    </row>
    <row r="3738" customHeight="1" spans="1:2">
      <c r="A3738" s="3" t="s">
        <v>11487</v>
      </c>
      <c r="B3738" s="4">
        <v>30</v>
      </c>
    </row>
    <row r="3739" customHeight="1" spans="1:2">
      <c r="A3739" s="3" t="s">
        <v>6571</v>
      </c>
      <c r="B3739" s="4">
        <v>140</v>
      </c>
    </row>
    <row r="3740" customHeight="1" spans="1:2">
      <c r="A3740" s="3" t="s">
        <v>19732</v>
      </c>
      <c r="B3740" s="4">
        <v>95</v>
      </c>
    </row>
    <row r="3741" customHeight="1" spans="1:2">
      <c r="A3741" s="3" t="s">
        <v>9146</v>
      </c>
      <c r="B3741" s="4">
        <v>110</v>
      </c>
    </row>
    <row r="3742" customHeight="1" spans="1:2">
      <c r="A3742" s="3" t="s">
        <v>15875</v>
      </c>
      <c r="B3742" s="4">
        <v>101</v>
      </c>
    </row>
    <row r="3743" customHeight="1" spans="1:2">
      <c r="A3743" s="3" t="s">
        <v>4943</v>
      </c>
      <c r="B3743" s="4">
        <v>107</v>
      </c>
    </row>
    <row r="3744" customHeight="1" spans="1:2">
      <c r="A3744" s="3" t="s">
        <v>16918</v>
      </c>
      <c r="B3744" s="4">
        <v>116</v>
      </c>
    </row>
    <row r="3745" customHeight="1" spans="1:2">
      <c r="A3745" s="3" t="s">
        <v>19527</v>
      </c>
      <c r="B3745" s="4">
        <v>86</v>
      </c>
    </row>
    <row r="3746" customHeight="1" spans="1:2">
      <c r="A3746" s="3" t="s">
        <v>2810</v>
      </c>
      <c r="B3746" s="4">
        <v>117</v>
      </c>
    </row>
    <row r="3747" customHeight="1" spans="1:2">
      <c r="A3747" s="3" t="s">
        <v>17689</v>
      </c>
      <c r="B3747" s="4">
        <v>139</v>
      </c>
    </row>
    <row r="3748" customHeight="1" spans="1:2">
      <c r="A3748" s="3" t="s">
        <v>17599</v>
      </c>
      <c r="B3748" s="4">
        <v>124</v>
      </c>
    </row>
    <row r="3749" customHeight="1" spans="1:2">
      <c r="A3749" s="3" t="s">
        <v>13923</v>
      </c>
      <c r="B3749" s="4">
        <v>109</v>
      </c>
    </row>
    <row r="3750" customHeight="1" spans="1:2">
      <c r="A3750" s="3" t="s">
        <v>1781</v>
      </c>
      <c r="B3750" s="4">
        <v>78</v>
      </c>
    </row>
    <row r="3751" customHeight="1" spans="1:2">
      <c r="A3751" s="3" t="s">
        <v>10278</v>
      </c>
      <c r="B3751" s="4">
        <v>102</v>
      </c>
    </row>
    <row r="3752" customHeight="1" spans="1:2">
      <c r="A3752" s="3" t="s">
        <v>7309</v>
      </c>
      <c r="B3752" s="4">
        <v>162</v>
      </c>
    </row>
    <row r="3753" customHeight="1" spans="1:2">
      <c r="A3753" s="3" t="s">
        <v>4617</v>
      </c>
      <c r="B3753" s="4">
        <v>132</v>
      </c>
    </row>
    <row r="3754" customHeight="1" spans="1:2">
      <c r="A3754" s="3" t="s">
        <v>22952</v>
      </c>
      <c r="B3754" s="4">
        <v>96</v>
      </c>
    </row>
    <row r="3755" customHeight="1" spans="1:2">
      <c r="A3755" s="3" t="s">
        <v>11742</v>
      </c>
      <c r="B3755" s="4">
        <v>122</v>
      </c>
    </row>
    <row r="3756" customHeight="1" spans="1:2">
      <c r="A3756" s="3" t="s">
        <v>14008</v>
      </c>
      <c r="B3756" s="4">
        <v>132</v>
      </c>
    </row>
    <row r="3757" customHeight="1" spans="1:2">
      <c r="A3757" s="3" t="s">
        <v>1786</v>
      </c>
      <c r="B3757" s="4">
        <v>103</v>
      </c>
    </row>
    <row r="3758" customHeight="1" spans="1:2">
      <c r="A3758" s="3" t="s">
        <v>1882</v>
      </c>
      <c r="B3758" s="4">
        <v>131</v>
      </c>
    </row>
    <row r="3759" customHeight="1" spans="1:2">
      <c r="A3759" s="3" t="s">
        <v>2532</v>
      </c>
      <c r="B3759" s="4">
        <v>113</v>
      </c>
    </row>
    <row r="3760" customHeight="1" spans="1:2">
      <c r="A3760" s="3" t="s">
        <v>23947</v>
      </c>
      <c r="B3760" s="4">
        <v>79</v>
      </c>
    </row>
    <row r="3761" customHeight="1" spans="1:2">
      <c r="A3761" s="3" t="s">
        <v>7092</v>
      </c>
      <c r="B3761" s="4">
        <v>130</v>
      </c>
    </row>
    <row r="3762" customHeight="1" spans="1:2">
      <c r="A3762" s="3" t="s">
        <v>16723</v>
      </c>
      <c r="B3762" s="4">
        <v>108</v>
      </c>
    </row>
    <row r="3763" customHeight="1" spans="1:2">
      <c r="A3763" s="3" t="s">
        <v>14114</v>
      </c>
      <c r="B3763" s="4">
        <v>92</v>
      </c>
    </row>
    <row r="3764" customHeight="1" spans="1:2">
      <c r="A3764" s="3" t="s">
        <v>9434</v>
      </c>
      <c r="B3764" s="4">
        <v>101</v>
      </c>
    </row>
    <row r="3765" customHeight="1" spans="1:2">
      <c r="A3765" s="3" t="s">
        <v>12784</v>
      </c>
      <c r="B3765" s="4">
        <v>104</v>
      </c>
    </row>
    <row r="3766" customHeight="1" spans="1:2">
      <c r="A3766" s="3" t="s">
        <v>11662</v>
      </c>
      <c r="B3766" s="4">
        <v>172</v>
      </c>
    </row>
    <row r="3767" customHeight="1" spans="1:2">
      <c r="A3767" s="3" t="s">
        <v>4032</v>
      </c>
      <c r="B3767" s="4">
        <v>125</v>
      </c>
    </row>
    <row r="3768" customHeight="1" spans="1:2">
      <c r="A3768" s="3" t="s">
        <v>11755</v>
      </c>
      <c r="B3768" s="4">
        <v>103</v>
      </c>
    </row>
    <row r="3769" customHeight="1" spans="1:2">
      <c r="A3769" s="3" t="s">
        <v>8408</v>
      </c>
      <c r="B3769" s="4">
        <v>60</v>
      </c>
    </row>
    <row r="3770" customHeight="1" spans="1:2">
      <c r="A3770" s="3" t="s">
        <v>4766</v>
      </c>
      <c r="B3770" s="4">
        <v>116</v>
      </c>
    </row>
    <row r="3771" customHeight="1" spans="1:2">
      <c r="A3771" s="3" t="s">
        <v>683</v>
      </c>
      <c r="B3771" s="4">
        <v>318</v>
      </c>
    </row>
    <row r="3772" customHeight="1" spans="1:2">
      <c r="A3772" s="3" t="s">
        <v>2421</v>
      </c>
      <c r="B3772" s="4">
        <v>104</v>
      </c>
    </row>
    <row r="3773" customHeight="1" spans="1:2">
      <c r="A3773" s="3" t="s">
        <v>14142</v>
      </c>
      <c r="B3773" s="4">
        <v>133</v>
      </c>
    </row>
    <row r="3774" customHeight="1" spans="1:2">
      <c r="A3774" s="3" t="s">
        <v>1974</v>
      </c>
      <c r="B3774" s="4">
        <v>126</v>
      </c>
    </row>
    <row r="3775" customHeight="1" spans="1:2">
      <c r="A3775" s="3" t="s">
        <v>9412</v>
      </c>
      <c r="B3775" s="4">
        <v>128</v>
      </c>
    </row>
    <row r="3776" customHeight="1" spans="1:2">
      <c r="A3776" s="3" t="s">
        <v>14509</v>
      </c>
      <c r="B3776" s="4">
        <v>116</v>
      </c>
    </row>
    <row r="3777" customHeight="1" spans="1:2">
      <c r="A3777" s="3" t="s">
        <v>6407</v>
      </c>
      <c r="B3777" s="4">
        <v>82</v>
      </c>
    </row>
    <row r="3778" customHeight="1" spans="1:2">
      <c r="A3778" s="3" t="s">
        <v>3590</v>
      </c>
      <c r="B3778" s="4">
        <v>117</v>
      </c>
    </row>
    <row r="3779" customHeight="1" spans="1:2">
      <c r="A3779" s="3" t="s">
        <v>6072</v>
      </c>
      <c r="B3779" s="4">
        <v>154</v>
      </c>
    </row>
    <row r="3780" customHeight="1" spans="1:2">
      <c r="A3780" s="3" t="s">
        <v>8136</v>
      </c>
      <c r="B3780" s="4">
        <v>103</v>
      </c>
    </row>
    <row r="3781" customHeight="1" spans="1:2">
      <c r="A3781" s="3" t="s">
        <v>10109</v>
      </c>
      <c r="B3781" s="4">
        <v>137</v>
      </c>
    </row>
    <row r="3782" customHeight="1" spans="1:2">
      <c r="A3782" s="3" t="s">
        <v>8502</v>
      </c>
      <c r="B3782" s="4">
        <v>131</v>
      </c>
    </row>
    <row r="3783" customHeight="1" spans="1:2">
      <c r="A3783" s="3" t="s">
        <v>4469</v>
      </c>
      <c r="B3783" s="4">
        <v>90</v>
      </c>
    </row>
    <row r="3784" customHeight="1" spans="1:2">
      <c r="A3784" s="3" t="s">
        <v>5696</v>
      </c>
      <c r="B3784" s="4">
        <v>91</v>
      </c>
    </row>
    <row r="3785" customHeight="1" spans="1:2">
      <c r="A3785" s="3" t="s">
        <v>17231</v>
      </c>
      <c r="B3785" s="4">
        <v>104</v>
      </c>
    </row>
    <row r="3786" customHeight="1" spans="1:2">
      <c r="A3786" s="3" t="s">
        <v>1944</v>
      </c>
      <c r="B3786" s="4">
        <v>146</v>
      </c>
    </row>
    <row r="3787" customHeight="1" spans="1:2">
      <c r="A3787" s="3" t="s">
        <v>11833</v>
      </c>
      <c r="B3787" s="4">
        <v>178</v>
      </c>
    </row>
    <row r="3788" customHeight="1" spans="1:2">
      <c r="A3788" s="3" t="s">
        <v>24145</v>
      </c>
      <c r="B3788" s="4">
        <v>43</v>
      </c>
    </row>
    <row r="3789" customHeight="1" spans="1:2">
      <c r="A3789" s="3" t="s">
        <v>4691</v>
      </c>
      <c r="B3789" s="4">
        <v>104</v>
      </c>
    </row>
    <row r="3790" customHeight="1" spans="1:2">
      <c r="A3790" s="3" t="s">
        <v>15228</v>
      </c>
      <c r="B3790" s="4">
        <v>93</v>
      </c>
    </row>
    <row r="3791" customHeight="1" spans="1:2">
      <c r="A3791" s="3" t="s">
        <v>17821</v>
      </c>
      <c r="B3791" s="4">
        <v>90</v>
      </c>
    </row>
    <row r="3792" customHeight="1" spans="1:2">
      <c r="A3792" s="3" t="s">
        <v>7765</v>
      </c>
      <c r="B3792" s="4">
        <v>96</v>
      </c>
    </row>
    <row r="3793" customHeight="1" spans="1:2">
      <c r="A3793" s="3" t="s">
        <v>7596</v>
      </c>
      <c r="B3793" s="4">
        <v>125</v>
      </c>
    </row>
    <row r="3794" customHeight="1" spans="1:2">
      <c r="A3794" s="3" t="s">
        <v>16870</v>
      </c>
      <c r="B3794" s="4">
        <v>107</v>
      </c>
    </row>
    <row r="3795" customHeight="1" spans="1:2">
      <c r="A3795" s="3" t="s">
        <v>14955</v>
      </c>
      <c r="B3795" s="4">
        <v>98</v>
      </c>
    </row>
    <row r="3796" customHeight="1" spans="1:2">
      <c r="A3796" s="3" t="s">
        <v>23813</v>
      </c>
      <c r="B3796" s="4">
        <v>82</v>
      </c>
    </row>
    <row r="3797" customHeight="1" spans="1:2">
      <c r="A3797" s="3" t="s">
        <v>10750</v>
      </c>
      <c r="B3797" s="4">
        <v>208</v>
      </c>
    </row>
    <row r="3798" customHeight="1" spans="1:2">
      <c r="A3798" s="3" t="s">
        <v>18469</v>
      </c>
      <c r="B3798" s="4">
        <v>105</v>
      </c>
    </row>
    <row r="3799" customHeight="1" spans="1:2">
      <c r="A3799" s="3" t="s">
        <v>11542</v>
      </c>
      <c r="B3799" s="4">
        <v>105</v>
      </c>
    </row>
    <row r="3800" customHeight="1" spans="1:2">
      <c r="A3800" s="3" t="s">
        <v>23308</v>
      </c>
      <c r="B3800" s="4">
        <v>95</v>
      </c>
    </row>
    <row r="3801" customHeight="1" spans="1:2">
      <c r="A3801" s="3" t="s">
        <v>6011</v>
      </c>
      <c r="B3801" s="4">
        <v>130</v>
      </c>
    </row>
    <row r="3802" customHeight="1" spans="1:2">
      <c r="A3802" s="3" t="s">
        <v>18864</v>
      </c>
      <c r="B3802" s="4">
        <v>182</v>
      </c>
    </row>
    <row r="3803" customHeight="1" spans="1:2">
      <c r="A3803" s="3" t="s">
        <v>13977</v>
      </c>
      <c r="B3803" s="4">
        <v>99</v>
      </c>
    </row>
    <row r="3804" customHeight="1" spans="1:2">
      <c r="A3804" s="3" t="s">
        <v>23690</v>
      </c>
      <c r="B3804" s="4">
        <v>81</v>
      </c>
    </row>
    <row r="3805" customHeight="1" spans="1:2">
      <c r="A3805" s="3" t="s">
        <v>9708</v>
      </c>
      <c r="B3805" s="4">
        <v>222</v>
      </c>
    </row>
    <row r="3806" customHeight="1" spans="1:2">
      <c r="A3806" s="3" t="s">
        <v>11450</v>
      </c>
      <c r="B3806" s="4">
        <v>101</v>
      </c>
    </row>
    <row r="3807" customHeight="1" spans="1:2">
      <c r="A3807" s="3" t="s">
        <v>10353</v>
      </c>
      <c r="B3807" s="4">
        <v>110</v>
      </c>
    </row>
    <row r="3808" customHeight="1" spans="1:2">
      <c r="A3808" s="3" t="s">
        <v>5217</v>
      </c>
      <c r="B3808" s="4">
        <v>129</v>
      </c>
    </row>
    <row r="3809" customHeight="1" spans="1:2">
      <c r="A3809" s="3" t="s">
        <v>20948</v>
      </c>
      <c r="B3809" s="4">
        <v>101</v>
      </c>
    </row>
    <row r="3810" customHeight="1" spans="1:2">
      <c r="A3810" s="3" t="s">
        <v>3967</v>
      </c>
      <c r="B3810" s="4">
        <v>116</v>
      </c>
    </row>
    <row r="3811" customHeight="1" spans="1:2">
      <c r="A3811" s="3" t="s">
        <v>18728</v>
      </c>
      <c r="B3811" s="4">
        <v>120</v>
      </c>
    </row>
    <row r="3812" customHeight="1" spans="1:2">
      <c r="A3812" s="3" t="s">
        <v>20549</v>
      </c>
      <c r="B3812" s="4">
        <v>106</v>
      </c>
    </row>
    <row r="3813" customHeight="1" spans="1:2">
      <c r="A3813" s="3" t="s">
        <v>4720</v>
      </c>
      <c r="B3813" s="4">
        <v>110</v>
      </c>
    </row>
    <row r="3814" customHeight="1" spans="1:2">
      <c r="A3814" s="3" t="s">
        <v>5945</v>
      </c>
      <c r="B3814" s="4">
        <v>128</v>
      </c>
    </row>
    <row r="3815" customHeight="1" spans="1:2">
      <c r="A3815" s="3" t="s">
        <v>15053</v>
      </c>
      <c r="B3815" s="4">
        <v>216</v>
      </c>
    </row>
    <row r="3816" customHeight="1" spans="1:2">
      <c r="A3816" s="3" t="s">
        <v>9826</v>
      </c>
      <c r="B3816" s="4">
        <v>110</v>
      </c>
    </row>
    <row r="3817" customHeight="1" spans="1:2">
      <c r="A3817" s="3" t="s">
        <v>15791</v>
      </c>
      <c r="B3817" s="4">
        <v>105</v>
      </c>
    </row>
    <row r="3818" customHeight="1" spans="1:2">
      <c r="A3818" s="3" t="s">
        <v>2145</v>
      </c>
      <c r="B3818" s="4">
        <v>158</v>
      </c>
    </row>
    <row r="3819" customHeight="1" spans="1:2">
      <c r="A3819" s="3" t="s">
        <v>21269</v>
      </c>
      <c r="B3819" s="4">
        <v>27</v>
      </c>
    </row>
    <row r="3820" customHeight="1" spans="1:2">
      <c r="A3820" s="3" t="s">
        <v>9604</v>
      </c>
      <c r="B3820" s="4">
        <v>97</v>
      </c>
    </row>
    <row r="3821" customHeight="1" spans="1:2">
      <c r="A3821" s="3" t="s">
        <v>10438</v>
      </c>
      <c r="B3821" s="4">
        <v>106</v>
      </c>
    </row>
    <row r="3822" customHeight="1" spans="1:2">
      <c r="A3822" s="3" t="s">
        <v>5904</v>
      </c>
      <c r="B3822" s="4">
        <v>91</v>
      </c>
    </row>
    <row r="3823" customHeight="1" spans="1:2">
      <c r="A3823" s="3" t="s">
        <v>16455</v>
      </c>
      <c r="B3823" s="4">
        <v>175</v>
      </c>
    </row>
    <row r="3824" customHeight="1" spans="1:2">
      <c r="A3824" s="3" t="s">
        <v>13656</v>
      </c>
      <c r="B3824" s="4">
        <v>220</v>
      </c>
    </row>
    <row r="3825" customHeight="1" spans="1:2">
      <c r="A3825" s="3" t="s">
        <v>4852</v>
      </c>
      <c r="B3825" s="4">
        <v>170</v>
      </c>
    </row>
    <row r="3826" customHeight="1" spans="1:2">
      <c r="A3826" s="3" t="s">
        <v>14026</v>
      </c>
      <c r="B3826" s="4">
        <v>94</v>
      </c>
    </row>
    <row r="3827" customHeight="1" spans="1:2">
      <c r="A3827" s="3" t="s">
        <v>204</v>
      </c>
      <c r="B3827" s="4">
        <v>113</v>
      </c>
    </row>
    <row r="3828" customHeight="1" spans="1:2">
      <c r="A3828" s="3" t="s">
        <v>400</v>
      </c>
      <c r="B3828" s="4">
        <v>93</v>
      </c>
    </row>
    <row r="3829" customHeight="1" spans="1:2">
      <c r="A3829" s="3" t="s">
        <v>8020</v>
      </c>
      <c r="B3829" s="4">
        <v>105</v>
      </c>
    </row>
    <row r="3830" customHeight="1" spans="1:2">
      <c r="A3830" s="3" t="s">
        <v>16083</v>
      </c>
      <c r="B3830" s="4">
        <v>93</v>
      </c>
    </row>
    <row r="3831" customHeight="1" spans="1:2">
      <c r="A3831" s="3" t="s">
        <v>15391</v>
      </c>
      <c r="B3831" s="4">
        <v>90</v>
      </c>
    </row>
    <row r="3832" customHeight="1" spans="1:2">
      <c r="A3832" s="3" t="s">
        <v>18846</v>
      </c>
      <c r="B3832" s="4">
        <v>99</v>
      </c>
    </row>
    <row r="3833" customHeight="1" spans="1:2">
      <c r="A3833" s="3" t="s">
        <v>13281</v>
      </c>
      <c r="B3833" s="4">
        <v>93</v>
      </c>
    </row>
    <row r="3834" customHeight="1" spans="1:2">
      <c r="A3834" s="3" t="s">
        <v>8678</v>
      </c>
      <c r="B3834" s="4">
        <v>109</v>
      </c>
    </row>
    <row r="3835" customHeight="1" spans="1:2">
      <c r="A3835" s="3" t="s">
        <v>21330</v>
      </c>
      <c r="B3835" s="4">
        <v>142</v>
      </c>
    </row>
    <row r="3836" customHeight="1" spans="1:2">
      <c r="A3836" s="3" t="s">
        <v>15488</v>
      </c>
      <c r="B3836" s="4">
        <v>135</v>
      </c>
    </row>
    <row r="3837" customHeight="1" spans="1:2">
      <c r="A3837" s="3" t="s">
        <v>15035</v>
      </c>
      <c r="B3837" s="4">
        <v>89</v>
      </c>
    </row>
    <row r="3838" customHeight="1" spans="1:2">
      <c r="A3838" s="3" t="s">
        <v>23410</v>
      </c>
      <c r="B3838" s="4">
        <v>101</v>
      </c>
    </row>
    <row r="3839" customHeight="1" spans="1:2">
      <c r="A3839" s="3" t="s">
        <v>8058</v>
      </c>
      <c r="B3839" s="4">
        <v>99</v>
      </c>
    </row>
    <row r="3840" customHeight="1" spans="1:2">
      <c r="A3840" s="3" t="s">
        <v>19499</v>
      </c>
      <c r="B3840" s="4">
        <v>60</v>
      </c>
    </row>
    <row r="3841" customHeight="1" spans="1:2">
      <c r="A3841" s="3" t="s">
        <v>6982</v>
      </c>
      <c r="B3841" s="4">
        <v>122</v>
      </c>
    </row>
    <row r="3842" customHeight="1" spans="1:2">
      <c r="A3842" s="3" t="s">
        <v>14332</v>
      </c>
      <c r="B3842" s="4">
        <v>172</v>
      </c>
    </row>
    <row r="3843" customHeight="1" spans="1:2">
      <c r="A3843" s="3" t="s">
        <v>12847</v>
      </c>
      <c r="B3843" s="4">
        <v>126</v>
      </c>
    </row>
    <row r="3844" customHeight="1" spans="1:2">
      <c r="A3844" s="3" t="s">
        <v>18493</v>
      </c>
      <c r="B3844" s="4">
        <v>172</v>
      </c>
    </row>
    <row r="3845" customHeight="1" spans="1:2">
      <c r="A3845" s="3" t="s">
        <v>368</v>
      </c>
      <c r="B3845" s="4">
        <v>286</v>
      </c>
    </row>
    <row r="3846" customHeight="1" spans="1:2">
      <c r="A3846" s="3" t="s">
        <v>4427</v>
      </c>
      <c r="B3846" s="4">
        <v>132</v>
      </c>
    </row>
    <row r="3847" customHeight="1" spans="1:2">
      <c r="A3847" s="3" t="s">
        <v>17209</v>
      </c>
      <c r="B3847" s="4">
        <v>110</v>
      </c>
    </row>
    <row r="3848" customHeight="1" spans="1:2">
      <c r="A3848" s="3" t="s">
        <v>9800</v>
      </c>
      <c r="B3848" s="4">
        <v>120</v>
      </c>
    </row>
    <row r="3849" customHeight="1" spans="1:2">
      <c r="A3849" s="3" t="s">
        <v>20704</v>
      </c>
      <c r="B3849" s="4">
        <v>90</v>
      </c>
    </row>
    <row r="3850" customHeight="1" spans="1:2">
      <c r="A3850" s="3" t="s">
        <v>18447</v>
      </c>
      <c r="B3850" s="4">
        <v>152</v>
      </c>
    </row>
    <row r="3851" customHeight="1" spans="1:2">
      <c r="A3851" s="3" t="s">
        <v>11146</v>
      </c>
      <c r="B3851" s="4">
        <v>225</v>
      </c>
    </row>
    <row r="3852" customHeight="1" spans="1:2">
      <c r="A3852" s="3" t="s">
        <v>17235</v>
      </c>
      <c r="B3852" s="4">
        <v>96</v>
      </c>
    </row>
    <row r="3853" customHeight="1" spans="1:2">
      <c r="A3853" s="3" t="s">
        <v>1559</v>
      </c>
      <c r="B3853" s="4">
        <v>119</v>
      </c>
    </row>
    <row r="3854" customHeight="1" spans="1:2">
      <c r="A3854" s="3" t="s">
        <v>21611</v>
      </c>
      <c r="B3854" s="4">
        <v>100</v>
      </c>
    </row>
    <row r="3855" customHeight="1" spans="1:2">
      <c r="A3855" s="3" t="s">
        <v>3940</v>
      </c>
      <c r="B3855" s="4">
        <v>189</v>
      </c>
    </row>
    <row r="3856" customHeight="1" spans="1:2">
      <c r="A3856" s="3" t="s">
        <v>9523</v>
      </c>
      <c r="B3856" s="4">
        <v>117</v>
      </c>
    </row>
    <row r="3857" customHeight="1" spans="1:2">
      <c r="A3857" s="3" t="s">
        <v>10821</v>
      </c>
      <c r="B3857" s="4">
        <v>137</v>
      </c>
    </row>
    <row r="3858" customHeight="1" spans="1:2">
      <c r="A3858" s="3" t="s">
        <v>14829</v>
      </c>
      <c r="B3858" s="4">
        <v>98</v>
      </c>
    </row>
    <row r="3859" customHeight="1" spans="1:2">
      <c r="A3859" s="3" t="s">
        <v>17129</v>
      </c>
      <c r="B3859" s="4">
        <v>96</v>
      </c>
    </row>
    <row r="3860" customHeight="1" spans="1:2">
      <c r="A3860" s="3" t="s">
        <v>6559</v>
      </c>
      <c r="B3860" s="4">
        <v>95</v>
      </c>
    </row>
    <row r="3861" customHeight="1" spans="1:2">
      <c r="A3861" s="3" t="s">
        <v>6852</v>
      </c>
      <c r="B3861" s="4">
        <v>115</v>
      </c>
    </row>
    <row r="3862" customHeight="1" spans="1:2">
      <c r="A3862" s="3" t="s">
        <v>14642</v>
      </c>
      <c r="B3862" s="4">
        <v>94</v>
      </c>
    </row>
    <row r="3863" customHeight="1" spans="1:2">
      <c r="A3863" s="3" t="s">
        <v>22360</v>
      </c>
      <c r="B3863" s="4">
        <v>71</v>
      </c>
    </row>
    <row r="3864" customHeight="1" spans="1:2">
      <c r="A3864" s="3" t="s">
        <v>22096</v>
      </c>
      <c r="B3864" s="4">
        <v>88</v>
      </c>
    </row>
    <row r="3865" customHeight="1" spans="1:2">
      <c r="A3865" s="3" t="s">
        <v>2546</v>
      </c>
      <c r="B3865" s="4">
        <v>102</v>
      </c>
    </row>
    <row r="3866" customHeight="1" spans="1:2">
      <c r="A3866" s="3" t="s">
        <v>7232</v>
      </c>
      <c r="B3866" s="4">
        <v>108</v>
      </c>
    </row>
    <row r="3867" customHeight="1" spans="1:2">
      <c r="A3867" s="3" t="s">
        <v>4094</v>
      </c>
      <c r="B3867" s="4">
        <v>91</v>
      </c>
    </row>
    <row r="3868" customHeight="1" spans="1:2">
      <c r="A3868" s="3" t="s">
        <v>22461</v>
      </c>
      <c r="B3868" s="4">
        <v>80</v>
      </c>
    </row>
    <row r="3869" customHeight="1" spans="1:2">
      <c r="A3869" s="3" t="s">
        <v>3910</v>
      </c>
      <c r="B3869" s="4">
        <v>187</v>
      </c>
    </row>
    <row r="3870" customHeight="1" spans="1:2">
      <c r="A3870" s="3" t="s">
        <v>2199</v>
      </c>
      <c r="B3870" s="4">
        <v>88</v>
      </c>
    </row>
    <row r="3871" customHeight="1" spans="1:2">
      <c r="A3871" s="3" t="s">
        <v>15885</v>
      </c>
      <c r="B3871" s="4">
        <v>101</v>
      </c>
    </row>
    <row r="3872" customHeight="1" spans="1:2">
      <c r="A3872" s="3" t="s">
        <v>17728</v>
      </c>
      <c r="B3872" s="4">
        <v>82</v>
      </c>
    </row>
    <row r="3873" customHeight="1" spans="1:2">
      <c r="A3873" s="3" t="s">
        <v>2667</v>
      </c>
      <c r="B3873" s="4">
        <v>113</v>
      </c>
    </row>
    <row r="3874" customHeight="1" spans="1:2">
      <c r="A3874" s="3" t="s">
        <v>16716</v>
      </c>
      <c r="B3874" s="4">
        <v>96</v>
      </c>
    </row>
    <row r="3875" customHeight="1" spans="1:2">
      <c r="A3875" s="3" t="s">
        <v>6109</v>
      </c>
      <c r="B3875" s="4">
        <v>123</v>
      </c>
    </row>
    <row r="3876" customHeight="1" spans="1:2">
      <c r="A3876" s="3" t="s">
        <v>21207</v>
      </c>
      <c r="B3876" s="4">
        <v>87</v>
      </c>
    </row>
    <row r="3877" customHeight="1" spans="1:2">
      <c r="A3877" s="3" t="s">
        <v>21870</v>
      </c>
      <c r="B3877" s="4">
        <v>97</v>
      </c>
    </row>
    <row r="3878" customHeight="1" spans="1:2">
      <c r="A3878" s="3" t="s">
        <v>9408</v>
      </c>
      <c r="B3878" s="4">
        <v>146</v>
      </c>
    </row>
    <row r="3879" customHeight="1" spans="1:2">
      <c r="A3879" s="3" t="s">
        <v>12930</v>
      </c>
      <c r="B3879" s="4">
        <v>89</v>
      </c>
    </row>
    <row r="3880" customHeight="1" spans="1:2">
      <c r="A3880" s="3" t="s">
        <v>12202</v>
      </c>
      <c r="B3880" s="4">
        <v>108</v>
      </c>
    </row>
    <row r="3881" customHeight="1" spans="1:2">
      <c r="A3881" s="3" t="s">
        <v>18849</v>
      </c>
      <c r="B3881" s="4">
        <v>109</v>
      </c>
    </row>
    <row r="3882" customHeight="1" spans="1:2">
      <c r="A3882" s="3" t="s">
        <v>17288</v>
      </c>
      <c r="B3882" s="4">
        <v>90</v>
      </c>
    </row>
    <row r="3883" customHeight="1" spans="1:2">
      <c r="A3883" s="3" t="s">
        <v>5827</v>
      </c>
      <c r="B3883" s="4">
        <v>109</v>
      </c>
    </row>
    <row r="3884" customHeight="1" spans="1:2">
      <c r="A3884" s="3" t="s">
        <v>9938</v>
      </c>
      <c r="B3884" s="4">
        <v>116</v>
      </c>
    </row>
    <row r="3885" customHeight="1" spans="1:2">
      <c r="A3885" s="3" t="s">
        <v>679</v>
      </c>
      <c r="B3885" s="4">
        <v>182</v>
      </c>
    </row>
    <row r="3886" customHeight="1" spans="1:2">
      <c r="A3886" s="3" t="s">
        <v>177</v>
      </c>
      <c r="B3886" s="4">
        <v>164</v>
      </c>
    </row>
    <row r="3887" customHeight="1" spans="1:2">
      <c r="A3887" s="3" t="s">
        <v>196</v>
      </c>
      <c r="B3887" s="4">
        <v>186</v>
      </c>
    </row>
    <row r="3888" customHeight="1" spans="1:2">
      <c r="A3888" s="3" t="s">
        <v>16417</v>
      </c>
      <c r="B3888" s="4">
        <v>92</v>
      </c>
    </row>
    <row r="3889" customHeight="1" spans="1:2">
      <c r="A3889" s="3" t="s">
        <v>2370</v>
      </c>
      <c r="B3889" s="4">
        <v>138</v>
      </c>
    </row>
    <row r="3890" customHeight="1" spans="1:2">
      <c r="A3890" s="3" t="s">
        <v>21109</v>
      </c>
      <c r="B3890" s="4">
        <v>106</v>
      </c>
    </row>
    <row r="3891" customHeight="1" spans="1:2">
      <c r="A3891" s="3" t="s">
        <v>12604</v>
      </c>
      <c r="B3891" s="4">
        <v>122</v>
      </c>
    </row>
    <row r="3892" customHeight="1" spans="1:2">
      <c r="A3892" s="3" t="s">
        <v>9152</v>
      </c>
      <c r="B3892" s="4">
        <v>30</v>
      </c>
    </row>
    <row r="3893" customHeight="1" spans="1:2">
      <c r="A3893" s="3" t="s">
        <v>22058</v>
      </c>
      <c r="B3893" s="4">
        <v>97</v>
      </c>
    </row>
    <row r="3894" customHeight="1" spans="1:2">
      <c r="A3894" s="3" t="s">
        <v>23586</v>
      </c>
      <c r="B3894" s="4">
        <v>93</v>
      </c>
    </row>
    <row r="3895" customHeight="1" spans="1:2">
      <c r="A3895" s="3" t="s">
        <v>4045</v>
      </c>
      <c r="B3895" s="4">
        <v>170</v>
      </c>
    </row>
    <row r="3896" customHeight="1" spans="1:2">
      <c r="A3896" s="3" t="s">
        <v>7724</v>
      </c>
      <c r="B3896" s="4">
        <v>135</v>
      </c>
    </row>
    <row r="3897" customHeight="1" spans="1:2">
      <c r="A3897" s="3" t="s">
        <v>5353</v>
      </c>
      <c r="B3897" s="4">
        <v>235</v>
      </c>
    </row>
    <row r="3898" customHeight="1" spans="1:2">
      <c r="A3898" s="3" t="s">
        <v>16353</v>
      </c>
      <c r="B3898" s="4">
        <v>109</v>
      </c>
    </row>
    <row r="3899" customHeight="1" spans="1:2">
      <c r="A3899" s="3" t="s">
        <v>9625</v>
      </c>
      <c r="B3899" s="4">
        <v>114</v>
      </c>
    </row>
    <row r="3900" customHeight="1" spans="1:2">
      <c r="A3900" s="3" t="s">
        <v>9591</v>
      </c>
      <c r="B3900" s="4">
        <v>97</v>
      </c>
    </row>
    <row r="3901" customHeight="1" spans="1:2">
      <c r="A3901" s="3" t="s">
        <v>15204</v>
      </c>
      <c r="B3901" s="4">
        <v>135</v>
      </c>
    </row>
    <row r="3902" customHeight="1" spans="1:2">
      <c r="A3902" s="3" t="s">
        <v>21810</v>
      </c>
      <c r="B3902" s="4">
        <v>95</v>
      </c>
    </row>
    <row r="3903" customHeight="1" spans="1:2">
      <c r="A3903" s="3" t="s">
        <v>21529</v>
      </c>
      <c r="B3903" s="4">
        <v>91</v>
      </c>
    </row>
    <row r="3904" customHeight="1" spans="1:2">
      <c r="A3904" s="3" t="s">
        <v>6878</v>
      </c>
      <c r="B3904" s="4">
        <v>111</v>
      </c>
    </row>
    <row r="3905" customHeight="1" spans="1:2">
      <c r="A3905" s="3" t="s">
        <v>1774</v>
      </c>
      <c r="B3905" s="4">
        <v>91</v>
      </c>
    </row>
    <row r="3906" customHeight="1" spans="1:2">
      <c r="A3906" s="3" t="s">
        <v>10371</v>
      </c>
      <c r="B3906" s="4">
        <v>122</v>
      </c>
    </row>
    <row r="3907" customHeight="1" spans="1:2">
      <c r="A3907" s="3" t="s">
        <v>2540</v>
      </c>
      <c r="B3907" s="4">
        <v>142</v>
      </c>
    </row>
    <row r="3908" customHeight="1" spans="1:2">
      <c r="A3908" s="3" t="s">
        <v>1173</v>
      </c>
      <c r="B3908" s="4">
        <v>146</v>
      </c>
    </row>
    <row r="3909" customHeight="1" spans="1:2">
      <c r="A3909" s="3" t="s">
        <v>1271</v>
      </c>
      <c r="B3909" s="4">
        <v>123</v>
      </c>
    </row>
    <row r="3910" customHeight="1" spans="1:2">
      <c r="A3910" s="3" t="s">
        <v>701</v>
      </c>
      <c r="B3910" s="4">
        <v>137</v>
      </c>
    </row>
    <row r="3911" customHeight="1" spans="1:2">
      <c r="A3911" s="3" t="s">
        <v>8116</v>
      </c>
      <c r="B3911" s="4">
        <v>135</v>
      </c>
    </row>
    <row r="3912" customHeight="1" spans="1:2">
      <c r="A3912" s="3" t="s">
        <v>19095</v>
      </c>
      <c r="B3912" s="4">
        <v>115</v>
      </c>
    </row>
    <row r="3913" customHeight="1" spans="1:2">
      <c r="A3913" s="3" t="s">
        <v>4737</v>
      </c>
      <c r="B3913" s="4">
        <v>94</v>
      </c>
    </row>
    <row r="3914" customHeight="1" spans="1:2">
      <c r="A3914" s="3" t="s">
        <v>6874</v>
      </c>
      <c r="B3914" s="4">
        <v>101</v>
      </c>
    </row>
    <row r="3915" customHeight="1" spans="1:2">
      <c r="A3915" s="3" t="s">
        <v>1474</v>
      </c>
      <c r="B3915" s="4">
        <v>120</v>
      </c>
    </row>
    <row r="3916" customHeight="1" spans="1:2">
      <c r="A3916" s="3" t="s">
        <v>6999</v>
      </c>
      <c r="B3916" s="4">
        <v>146</v>
      </c>
    </row>
    <row r="3917" customHeight="1" spans="1:2">
      <c r="A3917" s="3" t="s">
        <v>12974</v>
      </c>
      <c r="B3917" s="4">
        <v>131</v>
      </c>
    </row>
    <row r="3918" customHeight="1" spans="1:2">
      <c r="A3918" s="3" t="s">
        <v>20185</v>
      </c>
      <c r="B3918" s="4">
        <v>134</v>
      </c>
    </row>
    <row r="3919" customHeight="1" spans="1:2">
      <c r="A3919" s="3" t="s">
        <v>15810</v>
      </c>
      <c r="B3919" s="4">
        <v>90</v>
      </c>
    </row>
    <row r="3920" customHeight="1" spans="1:2">
      <c r="A3920" s="3" t="s">
        <v>15713</v>
      </c>
      <c r="B3920" s="4">
        <v>91</v>
      </c>
    </row>
    <row r="3921" customHeight="1" spans="1:2">
      <c r="A3921" s="3" t="s">
        <v>11934</v>
      </c>
      <c r="B3921" s="4">
        <v>112</v>
      </c>
    </row>
    <row r="3922" customHeight="1" spans="1:2">
      <c r="A3922" s="3" t="s">
        <v>15255</v>
      </c>
      <c r="B3922" s="4">
        <v>106</v>
      </c>
    </row>
    <row r="3923" customHeight="1" spans="1:2">
      <c r="A3923" s="3" t="s">
        <v>10220</v>
      </c>
      <c r="B3923" s="4">
        <v>101</v>
      </c>
    </row>
    <row r="3924" customHeight="1" spans="1:2">
      <c r="A3924" s="3" t="s">
        <v>12303</v>
      </c>
      <c r="B3924" s="4">
        <v>220</v>
      </c>
    </row>
    <row r="3925" customHeight="1" spans="1:2">
      <c r="A3925" s="3" t="s">
        <v>23901</v>
      </c>
      <c r="B3925" s="4">
        <v>81</v>
      </c>
    </row>
    <row r="3926" customHeight="1" spans="1:2">
      <c r="A3926" s="3" t="s">
        <v>8635</v>
      </c>
      <c r="B3926" s="4">
        <v>123</v>
      </c>
    </row>
    <row r="3927" customHeight="1" spans="1:2">
      <c r="A3927" s="3" t="s">
        <v>12705</v>
      </c>
      <c r="B3927" s="4">
        <v>114</v>
      </c>
    </row>
    <row r="3928" customHeight="1" spans="1:2">
      <c r="A3928" s="3" t="s">
        <v>12558</v>
      </c>
      <c r="B3928" s="4">
        <v>120</v>
      </c>
    </row>
    <row r="3929" customHeight="1" spans="1:2">
      <c r="A3929" s="3" t="s">
        <v>13102</v>
      </c>
      <c r="B3929" s="4">
        <v>97</v>
      </c>
    </row>
    <row r="3930" customHeight="1" spans="1:2">
      <c r="A3930" s="3" t="s">
        <v>6740</v>
      </c>
      <c r="B3930" s="4">
        <v>114</v>
      </c>
    </row>
    <row r="3931" customHeight="1" spans="1:2">
      <c r="A3931" s="3" t="s">
        <v>13142</v>
      </c>
      <c r="B3931" s="4">
        <v>105</v>
      </c>
    </row>
    <row r="3932" customHeight="1" spans="1:2">
      <c r="A3932" s="3" t="s">
        <v>17346</v>
      </c>
      <c r="B3932" s="4">
        <v>25</v>
      </c>
    </row>
    <row r="3933" customHeight="1" spans="1:2">
      <c r="A3933" s="3" t="s">
        <v>8008</v>
      </c>
      <c r="B3933" s="4">
        <v>100</v>
      </c>
    </row>
    <row r="3934" customHeight="1" spans="1:2">
      <c r="A3934" s="3" t="s">
        <v>1117</v>
      </c>
      <c r="B3934" s="4">
        <v>135</v>
      </c>
    </row>
    <row r="3935" customHeight="1" spans="1:2">
      <c r="A3935" s="3" t="s">
        <v>2064</v>
      </c>
      <c r="B3935" s="4">
        <v>115</v>
      </c>
    </row>
    <row r="3936" customHeight="1" spans="1:2">
      <c r="A3936" s="3" t="s">
        <v>23168</v>
      </c>
      <c r="B3936" s="4">
        <v>94</v>
      </c>
    </row>
    <row r="3937" customHeight="1" spans="1:2">
      <c r="A3937" s="3" t="s">
        <v>5853</v>
      </c>
      <c r="B3937" s="4">
        <v>96</v>
      </c>
    </row>
    <row r="3938" customHeight="1" spans="1:2">
      <c r="A3938" s="3" t="s">
        <v>5688</v>
      </c>
      <c r="B3938" s="4">
        <v>127</v>
      </c>
    </row>
    <row r="3939" customHeight="1" spans="1:2">
      <c r="A3939" s="3" t="s">
        <v>10395</v>
      </c>
      <c r="B3939" s="4">
        <v>108</v>
      </c>
    </row>
    <row r="3940" customHeight="1" spans="1:2">
      <c r="A3940" s="3" t="s">
        <v>12046</v>
      </c>
      <c r="B3940" s="4">
        <v>98</v>
      </c>
    </row>
    <row r="3941" customHeight="1" spans="1:2">
      <c r="A3941" s="3" t="s">
        <v>16112</v>
      </c>
      <c r="B3941" s="4">
        <v>110</v>
      </c>
    </row>
    <row r="3942" customHeight="1" spans="1:2">
      <c r="A3942" s="3" t="s">
        <v>22258</v>
      </c>
      <c r="B3942" s="4">
        <v>101</v>
      </c>
    </row>
    <row r="3943" customHeight="1" spans="1:2">
      <c r="A3943" s="3" t="s">
        <v>3583</v>
      </c>
      <c r="B3943" s="4">
        <v>157</v>
      </c>
    </row>
    <row r="3944" customHeight="1" spans="1:2">
      <c r="A3944" s="3" t="s">
        <v>6344</v>
      </c>
      <c r="B3944" s="4">
        <v>121</v>
      </c>
    </row>
    <row r="3945" customHeight="1" spans="1:2">
      <c r="A3945" s="3" t="s">
        <v>5365</v>
      </c>
      <c r="B3945" s="4">
        <v>118</v>
      </c>
    </row>
    <row r="3946" customHeight="1" spans="1:2">
      <c r="A3946" s="3" t="s">
        <v>4497</v>
      </c>
      <c r="B3946" s="4">
        <v>125</v>
      </c>
    </row>
    <row r="3947" customHeight="1" spans="1:2">
      <c r="A3947" s="3" t="s">
        <v>2219</v>
      </c>
      <c r="B3947" s="4">
        <v>128</v>
      </c>
    </row>
    <row r="3948" customHeight="1" spans="1:2">
      <c r="A3948" s="3" t="s">
        <v>6180</v>
      </c>
      <c r="B3948" s="4">
        <v>112</v>
      </c>
    </row>
    <row r="3949" customHeight="1" spans="1:2">
      <c r="A3949" s="3" t="s">
        <v>2957</v>
      </c>
      <c r="B3949" s="4">
        <v>99</v>
      </c>
    </row>
    <row r="3950" customHeight="1" spans="1:2">
      <c r="A3950" s="3" t="s">
        <v>11713</v>
      </c>
      <c r="B3950" s="4">
        <v>100</v>
      </c>
    </row>
    <row r="3951" customHeight="1" spans="1:2">
      <c r="A3951" s="3" t="s">
        <v>5380</v>
      </c>
      <c r="B3951" s="4">
        <v>90</v>
      </c>
    </row>
    <row r="3952" customHeight="1" spans="1:2">
      <c r="A3952" s="3" t="s">
        <v>13421</v>
      </c>
      <c r="B3952" s="4">
        <v>105</v>
      </c>
    </row>
    <row r="3953" customHeight="1" spans="1:2">
      <c r="A3953" s="3" t="s">
        <v>6660</v>
      </c>
      <c r="B3953" s="4">
        <v>99</v>
      </c>
    </row>
    <row r="3954" customHeight="1" spans="1:2">
      <c r="A3954" s="3" t="s">
        <v>1677</v>
      </c>
      <c r="B3954" s="4">
        <v>272</v>
      </c>
    </row>
    <row r="3955" customHeight="1" spans="1:2">
      <c r="A3955" s="3" t="s">
        <v>3996</v>
      </c>
      <c r="B3955" s="4">
        <v>111</v>
      </c>
    </row>
    <row r="3956" customHeight="1" spans="1:2">
      <c r="A3956" s="3" t="s">
        <v>4129</v>
      </c>
      <c r="B3956" s="4">
        <v>124</v>
      </c>
    </row>
    <row r="3957" customHeight="1" spans="1:2">
      <c r="A3957" s="3" t="s">
        <v>8824</v>
      </c>
      <c r="B3957" s="4">
        <v>94</v>
      </c>
    </row>
    <row r="3958" customHeight="1" spans="1:2">
      <c r="A3958" s="3" t="s">
        <v>15409</v>
      </c>
      <c r="B3958" s="4">
        <v>85</v>
      </c>
    </row>
    <row r="3959" customHeight="1" spans="1:2">
      <c r="A3959" s="3" t="s">
        <v>18541</v>
      </c>
      <c r="B3959" s="4">
        <v>82</v>
      </c>
    </row>
    <row r="3960" customHeight="1" spans="1:2">
      <c r="A3960" s="3" t="s">
        <v>21879</v>
      </c>
      <c r="B3960" s="4">
        <v>96</v>
      </c>
    </row>
    <row r="3961" customHeight="1" spans="1:2">
      <c r="A3961" s="3" t="s">
        <v>15275</v>
      </c>
      <c r="B3961" s="4">
        <v>96</v>
      </c>
    </row>
    <row r="3962" customHeight="1" spans="1:2">
      <c r="A3962" s="3" t="s">
        <v>5257</v>
      </c>
      <c r="B3962" s="4">
        <v>141</v>
      </c>
    </row>
    <row r="3963" customHeight="1" spans="1:2">
      <c r="A3963" s="3" t="s">
        <v>10773</v>
      </c>
      <c r="B3963" s="4">
        <v>72</v>
      </c>
    </row>
    <row r="3964" customHeight="1" spans="1:2">
      <c r="A3964" s="3" t="s">
        <v>551</v>
      </c>
      <c r="B3964" s="4">
        <v>212</v>
      </c>
    </row>
    <row r="3965" customHeight="1" spans="1:2">
      <c r="A3965" s="3" t="s">
        <v>6026</v>
      </c>
      <c r="B3965" s="4">
        <v>118</v>
      </c>
    </row>
    <row r="3966" customHeight="1" spans="1:2">
      <c r="A3966" s="3" t="s">
        <v>6239</v>
      </c>
      <c r="B3966" s="4">
        <v>252</v>
      </c>
    </row>
    <row r="3967" customHeight="1" spans="1:2">
      <c r="A3967" s="3" t="s">
        <v>22402</v>
      </c>
      <c r="B3967" s="4">
        <v>83</v>
      </c>
    </row>
    <row r="3968" customHeight="1" spans="1:2">
      <c r="A3968" s="3" t="s">
        <v>3712</v>
      </c>
      <c r="B3968" s="4">
        <v>104</v>
      </c>
    </row>
    <row r="3969" customHeight="1" spans="1:2">
      <c r="A3969" s="3" t="s">
        <v>18482</v>
      </c>
      <c r="B3969" s="4">
        <v>106</v>
      </c>
    </row>
    <row r="3970" customHeight="1" spans="1:2">
      <c r="A3970" s="3" t="s">
        <v>13938</v>
      </c>
      <c r="B3970" s="4">
        <v>109</v>
      </c>
    </row>
    <row r="3971" customHeight="1" spans="1:2">
      <c r="A3971" s="3" t="s">
        <v>22721</v>
      </c>
      <c r="B3971" s="4">
        <v>101</v>
      </c>
    </row>
    <row r="3972" customHeight="1" spans="1:2">
      <c r="A3972" s="3" t="s">
        <v>3226</v>
      </c>
      <c r="B3972" s="4">
        <v>110</v>
      </c>
    </row>
    <row r="3973" customHeight="1" spans="1:2">
      <c r="A3973" s="3" t="s">
        <v>12672</v>
      </c>
      <c r="B3973" s="4">
        <v>118</v>
      </c>
    </row>
    <row r="3974" customHeight="1" spans="1:2">
      <c r="A3974" s="3" t="s">
        <v>11115</v>
      </c>
      <c r="B3974" s="4">
        <v>128</v>
      </c>
    </row>
    <row r="3975" customHeight="1" spans="1:2">
      <c r="A3975" s="3" t="s">
        <v>21371</v>
      </c>
      <c r="B3975" s="4">
        <v>110</v>
      </c>
    </row>
    <row r="3976" customHeight="1" spans="1:2">
      <c r="A3976" s="3" t="s">
        <v>14596</v>
      </c>
      <c r="B3976" s="4">
        <v>84</v>
      </c>
    </row>
    <row r="3977" customHeight="1" spans="1:2">
      <c r="A3977" s="3" t="s">
        <v>20526</v>
      </c>
      <c r="B3977" s="4">
        <v>92</v>
      </c>
    </row>
    <row r="3978" customHeight="1" spans="1:2">
      <c r="A3978" s="3" t="s">
        <v>7412</v>
      </c>
      <c r="B3978" s="4">
        <v>104</v>
      </c>
    </row>
    <row r="3979" customHeight="1" spans="1:2">
      <c r="A3979" s="3" t="s">
        <v>6488</v>
      </c>
      <c r="B3979" s="4">
        <v>99</v>
      </c>
    </row>
    <row r="3980" customHeight="1" spans="1:2">
      <c r="A3980" s="3" t="s">
        <v>13994</v>
      </c>
      <c r="B3980" s="4">
        <v>69</v>
      </c>
    </row>
    <row r="3981" customHeight="1" spans="1:2">
      <c r="A3981" s="3" t="s">
        <v>16217</v>
      </c>
      <c r="B3981" s="4">
        <v>111</v>
      </c>
    </row>
    <row r="3982" customHeight="1" spans="1:2">
      <c r="A3982" s="3" t="s">
        <v>917</v>
      </c>
      <c r="B3982" s="4">
        <v>103</v>
      </c>
    </row>
    <row r="3983" customHeight="1" spans="1:2">
      <c r="A3983" s="3" t="s">
        <v>21831</v>
      </c>
      <c r="B3983" s="4">
        <v>98</v>
      </c>
    </row>
    <row r="3984" customHeight="1" spans="1:2">
      <c r="A3984" s="3" t="s">
        <v>4354</v>
      </c>
      <c r="B3984" s="4">
        <v>131</v>
      </c>
    </row>
    <row r="3985" customHeight="1" spans="1:2">
      <c r="A3985" s="3" t="s">
        <v>14717</v>
      </c>
      <c r="B3985" s="4">
        <v>98</v>
      </c>
    </row>
    <row r="3986" customHeight="1" spans="1:2">
      <c r="A3986" s="3" t="s">
        <v>14888</v>
      </c>
      <c r="B3986" s="4">
        <v>109</v>
      </c>
    </row>
    <row r="3987" customHeight="1" spans="1:2">
      <c r="A3987" s="3" t="s">
        <v>9553</v>
      </c>
      <c r="B3987" s="4">
        <v>219</v>
      </c>
    </row>
    <row r="3988" customHeight="1" spans="1:2">
      <c r="A3988" s="3" t="s">
        <v>18505</v>
      </c>
      <c r="B3988" s="4">
        <v>93</v>
      </c>
    </row>
    <row r="3989" customHeight="1" spans="1:2">
      <c r="A3989" s="3" t="s">
        <v>20659</v>
      </c>
      <c r="B3989" s="4">
        <v>87</v>
      </c>
    </row>
    <row r="3990" customHeight="1" spans="1:2">
      <c r="A3990" s="3" t="s">
        <v>20425</v>
      </c>
      <c r="B3990" s="4">
        <v>94</v>
      </c>
    </row>
    <row r="3991" customHeight="1" spans="1:2">
      <c r="A3991" s="3" t="s">
        <v>13645</v>
      </c>
      <c r="B3991" s="4">
        <v>100</v>
      </c>
    </row>
    <row r="3992" customHeight="1" spans="1:2">
      <c r="A3992" s="3" t="s">
        <v>12832</v>
      </c>
      <c r="B3992" s="4">
        <v>228</v>
      </c>
    </row>
    <row r="3993" customHeight="1" spans="1:2">
      <c r="A3993" s="3" t="s">
        <v>17086</v>
      </c>
      <c r="B3993" s="4">
        <v>121</v>
      </c>
    </row>
    <row r="3994" customHeight="1" spans="1:2">
      <c r="A3994" s="3" t="s">
        <v>3622</v>
      </c>
      <c r="B3994" s="4">
        <v>102</v>
      </c>
    </row>
    <row r="3995" customHeight="1" spans="1:2">
      <c r="A3995" s="3" t="s">
        <v>6354</v>
      </c>
      <c r="B3995" s="4">
        <v>117</v>
      </c>
    </row>
    <row r="3996" customHeight="1" spans="1:2">
      <c r="A3996" s="3" t="s">
        <v>1020</v>
      </c>
      <c r="B3996" s="4">
        <v>154</v>
      </c>
    </row>
    <row r="3997" customHeight="1" spans="1:2">
      <c r="A3997" s="3" t="s">
        <v>6903</v>
      </c>
      <c r="B3997" s="4">
        <v>93</v>
      </c>
    </row>
    <row r="3998" customHeight="1" spans="1:2">
      <c r="A3998" s="3" t="s">
        <v>20028</v>
      </c>
      <c r="B3998" s="4">
        <v>117</v>
      </c>
    </row>
    <row r="3999" customHeight="1" spans="1:2">
      <c r="A3999" s="3" t="s">
        <v>10720</v>
      </c>
      <c r="B3999" s="4">
        <v>107</v>
      </c>
    </row>
    <row r="4000" customHeight="1" spans="1:2">
      <c r="A4000" s="3" t="s">
        <v>8611</v>
      </c>
      <c r="B4000" s="4">
        <v>107</v>
      </c>
    </row>
    <row r="4001" customHeight="1" spans="1:2">
      <c r="A4001" s="3" t="s">
        <v>11967</v>
      </c>
      <c r="B4001" s="4">
        <v>112</v>
      </c>
    </row>
    <row r="4002" customHeight="1" spans="1:2">
      <c r="A4002" s="3" t="s">
        <v>16592</v>
      </c>
      <c r="B4002" s="4">
        <v>164</v>
      </c>
    </row>
    <row r="4003" customHeight="1" spans="1:2">
      <c r="A4003" s="3" t="s">
        <v>18706</v>
      </c>
      <c r="B4003" s="4">
        <v>92</v>
      </c>
    </row>
    <row r="4004" customHeight="1" spans="1:2">
      <c r="A4004" s="3" t="s">
        <v>23936</v>
      </c>
      <c r="B4004" s="4">
        <v>117</v>
      </c>
    </row>
    <row r="4005" customHeight="1" spans="1:2">
      <c r="A4005" s="3" t="s">
        <v>2873</v>
      </c>
      <c r="B4005" s="4">
        <v>106</v>
      </c>
    </row>
    <row r="4006" customHeight="1" spans="1:2">
      <c r="A4006" s="3" t="s">
        <v>14893</v>
      </c>
      <c r="B4006" s="4">
        <v>140</v>
      </c>
    </row>
    <row r="4007" customHeight="1" spans="1:2">
      <c r="A4007" s="3" t="s">
        <v>17606</v>
      </c>
      <c r="B4007" s="4">
        <v>83</v>
      </c>
    </row>
    <row r="4008" customHeight="1" spans="1:2">
      <c r="A4008" s="3" t="s">
        <v>2974</v>
      </c>
      <c r="B4008" s="4">
        <v>110</v>
      </c>
    </row>
    <row r="4009" customHeight="1" spans="1:2">
      <c r="A4009" s="3" t="s">
        <v>4302</v>
      </c>
      <c r="B4009" s="4">
        <v>126</v>
      </c>
    </row>
    <row r="4010" customHeight="1" spans="1:2">
      <c r="A4010" s="3" t="s">
        <v>20161</v>
      </c>
      <c r="B4010" s="4">
        <v>102</v>
      </c>
    </row>
    <row r="4011" customHeight="1" spans="1:2">
      <c r="A4011" s="3" t="s">
        <v>23954</v>
      </c>
      <c r="B4011" s="4">
        <v>78</v>
      </c>
    </row>
    <row r="4012" customHeight="1" spans="1:2">
      <c r="A4012" s="3" t="s">
        <v>20580</v>
      </c>
      <c r="B4012" s="4">
        <v>108</v>
      </c>
    </row>
    <row r="4013" customHeight="1" spans="1:2">
      <c r="A4013" s="3" t="s">
        <v>3534</v>
      </c>
      <c r="B4013" s="4">
        <v>99</v>
      </c>
    </row>
    <row r="4014" customHeight="1" spans="1:2">
      <c r="A4014" s="3" t="s">
        <v>15745</v>
      </c>
      <c r="B4014" s="4">
        <v>300</v>
      </c>
    </row>
    <row r="4015" customHeight="1" spans="1:2">
      <c r="A4015" s="3" t="s">
        <v>451</v>
      </c>
      <c r="B4015" s="4">
        <v>220</v>
      </c>
    </row>
    <row r="4016" customHeight="1" spans="1:2">
      <c r="A4016" s="3" t="s">
        <v>11914</v>
      </c>
      <c r="B4016" s="4">
        <v>98</v>
      </c>
    </row>
    <row r="4017" customHeight="1" spans="1:2">
      <c r="A4017" s="3" t="s">
        <v>2776</v>
      </c>
      <c r="B4017" s="4">
        <v>129</v>
      </c>
    </row>
    <row r="4018" customHeight="1" spans="1:2">
      <c r="A4018" s="3" t="s">
        <v>4201</v>
      </c>
      <c r="B4018" s="4">
        <v>100</v>
      </c>
    </row>
    <row r="4019" customHeight="1" spans="1:2">
      <c r="A4019" s="3" t="s">
        <v>10484</v>
      </c>
      <c r="B4019" s="4">
        <v>114</v>
      </c>
    </row>
    <row r="4020" customHeight="1" spans="1:2">
      <c r="A4020" s="3" t="s">
        <v>5385</v>
      </c>
      <c r="B4020" s="4">
        <v>119</v>
      </c>
    </row>
    <row r="4021" customHeight="1" spans="1:2">
      <c r="A4021" s="3" t="s">
        <v>14378</v>
      </c>
      <c r="B4021" s="4">
        <v>90</v>
      </c>
    </row>
    <row r="4022" customHeight="1" spans="1:2">
      <c r="A4022" s="3" t="s">
        <v>5394</v>
      </c>
      <c r="B4022" s="4">
        <v>130</v>
      </c>
    </row>
    <row r="4023" customHeight="1" spans="1:2">
      <c r="A4023" s="3" t="s">
        <v>15197</v>
      </c>
      <c r="B4023" s="4">
        <v>89</v>
      </c>
    </row>
    <row r="4024" customHeight="1" spans="1:2">
      <c r="A4024" s="3" t="s">
        <v>6443</v>
      </c>
      <c r="B4024" s="4">
        <v>118</v>
      </c>
    </row>
    <row r="4025" customHeight="1" spans="1:2">
      <c r="A4025" s="3" t="s">
        <v>2921</v>
      </c>
      <c r="B4025" s="4">
        <v>73</v>
      </c>
    </row>
    <row r="4026" customHeight="1" spans="1:2">
      <c r="A4026" s="3" t="s">
        <v>21253</v>
      </c>
      <c r="B4026" s="4">
        <v>87</v>
      </c>
    </row>
    <row r="4027" customHeight="1" spans="1:2">
      <c r="A4027" s="3" t="s">
        <v>22759</v>
      </c>
      <c r="B4027" s="4">
        <v>84</v>
      </c>
    </row>
    <row r="4028" customHeight="1" spans="1:2">
      <c r="A4028" s="3" t="s">
        <v>2950</v>
      </c>
      <c r="B4028" s="4">
        <v>108</v>
      </c>
    </row>
    <row r="4029" customHeight="1" spans="1:2">
      <c r="A4029" s="3" t="s">
        <v>10455</v>
      </c>
      <c r="B4029" s="4">
        <v>95</v>
      </c>
    </row>
    <row r="4030" customHeight="1" spans="1:2">
      <c r="A4030" s="3" t="s">
        <v>20176</v>
      </c>
      <c r="B4030" s="4">
        <v>137</v>
      </c>
    </row>
    <row r="4031" customHeight="1" spans="1:2">
      <c r="A4031" s="3" t="s">
        <v>6470</v>
      </c>
      <c r="B4031" s="4">
        <v>130</v>
      </c>
    </row>
    <row r="4032" customHeight="1" spans="1:2">
      <c r="A4032" s="3" t="s">
        <v>22657</v>
      </c>
      <c r="B4032" s="4">
        <v>91</v>
      </c>
    </row>
    <row r="4033" customHeight="1" spans="1:2">
      <c r="A4033" s="3" t="s">
        <v>12772</v>
      </c>
      <c r="B4033" s="4">
        <v>94</v>
      </c>
    </row>
    <row r="4034" customHeight="1" spans="1:2">
      <c r="A4034" s="3" t="s">
        <v>139</v>
      </c>
      <c r="B4034" s="4">
        <v>150</v>
      </c>
    </row>
    <row r="4035" customHeight="1" spans="1:2">
      <c r="A4035" s="3" t="s">
        <v>3776</v>
      </c>
      <c r="B4035" s="4">
        <v>121</v>
      </c>
    </row>
    <row r="4036" customHeight="1" spans="1:2">
      <c r="A4036" s="3" t="s">
        <v>15012</v>
      </c>
      <c r="B4036" s="4">
        <v>100</v>
      </c>
    </row>
    <row r="4037" customHeight="1" spans="1:2">
      <c r="A4037" s="3" t="s">
        <v>14822</v>
      </c>
      <c r="B4037" s="4">
        <v>178</v>
      </c>
    </row>
    <row r="4038" customHeight="1" spans="1:2">
      <c r="A4038" s="3" t="s">
        <v>7790</v>
      </c>
      <c r="B4038" s="4">
        <v>128</v>
      </c>
    </row>
    <row r="4039" customHeight="1" spans="1:2">
      <c r="A4039" s="3" t="s">
        <v>2578</v>
      </c>
      <c r="B4039" s="4">
        <v>113</v>
      </c>
    </row>
    <row r="4040" customHeight="1" spans="1:2">
      <c r="A4040" s="3" t="s">
        <v>10273</v>
      </c>
      <c r="B4040" s="4">
        <v>94</v>
      </c>
    </row>
    <row r="4041" customHeight="1" spans="1:2">
      <c r="A4041" s="3" t="s">
        <v>23100</v>
      </c>
      <c r="B4041" s="4">
        <v>110</v>
      </c>
    </row>
    <row r="4042" customHeight="1" spans="1:2">
      <c r="A4042" s="3" t="s">
        <v>1625</v>
      </c>
      <c r="B4042" s="4">
        <v>171</v>
      </c>
    </row>
    <row r="4043" customHeight="1" spans="1:2">
      <c r="A4043" s="3" t="s">
        <v>2012</v>
      </c>
      <c r="B4043" s="4">
        <v>192</v>
      </c>
    </row>
    <row r="4044" customHeight="1" spans="1:2">
      <c r="A4044" s="3" t="s">
        <v>2015</v>
      </c>
      <c r="B4044" s="4">
        <v>172</v>
      </c>
    </row>
    <row r="4045" customHeight="1" spans="1:2">
      <c r="A4045" s="3" t="s">
        <v>21041</v>
      </c>
      <c r="B4045" s="4">
        <v>101</v>
      </c>
    </row>
    <row r="4046" customHeight="1" spans="1:2">
      <c r="A4046" s="3" t="s">
        <v>9751</v>
      </c>
      <c r="B4046" s="4">
        <v>97</v>
      </c>
    </row>
    <row r="4047" customHeight="1" spans="1:2">
      <c r="A4047" s="3" t="s">
        <v>18631</v>
      </c>
      <c r="B4047" s="4">
        <v>106</v>
      </c>
    </row>
    <row r="4048" customHeight="1" spans="1:2">
      <c r="A4048" s="3" t="s">
        <v>15837</v>
      </c>
      <c r="B4048" s="4">
        <v>97</v>
      </c>
    </row>
    <row r="4049" customHeight="1" spans="1:2">
      <c r="A4049" s="3" t="s">
        <v>15505</v>
      </c>
      <c r="B4049" s="4">
        <v>144</v>
      </c>
    </row>
    <row r="4050" customHeight="1" spans="1:2">
      <c r="A4050" s="3" t="s">
        <v>20421</v>
      </c>
      <c r="B4050" s="4">
        <v>97</v>
      </c>
    </row>
    <row r="4051" customHeight="1" spans="1:2">
      <c r="A4051" s="3" t="s">
        <v>23721</v>
      </c>
      <c r="B4051" s="4">
        <v>90</v>
      </c>
    </row>
    <row r="4052" customHeight="1" spans="1:2">
      <c r="A4052" s="3" t="s">
        <v>21240</v>
      </c>
      <c r="B4052" s="4">
        <v>101</v>
      </c>
    </row>
    <row r="4053" customHeight="1" spans="1:2">
      <c r="A4053" s="3" t="s">
        <v>2989</v>
      </c>
      <c r="B4053" s="4">
        <v>129</v>
      </c>
    </row>
    <row r="4054" customHeight="1" spans="1:2">
      <c r="A4054" s="3" t="s">
        <v>3900</v>
      </c>
      <c r="B4054" s="4">
        <v>87</v>
      </c>
    </row>
    <row r="4055" customHeight="1" spans="1:2">
      <c r="A4055" s="3" t="s">
        <v>13107</v>
      </c>
      <c r="B4055" s="4">
        <v>198</v>
      </c>
    </row>
    <row r="4056" customHeight="1" spans="1:2">
      <c r="A4056" s="3" t="s">
        <v>18764</v>
      </c>
      <c r="B4056" s="4">
        <v>84</v>
      </c>
    </row>
    <row r="4057" customHeight="1" spans="1:2">
      <c r="A4057" s="3" t="s">
        <v>2004</v>
      </c>
      <c r="B4057" s="4">
        <v>270</v>
      </c>
    </row>
    <row r="4058" customHeight="1" spans="1:2">
      <c r="A4058" s="3" t="s">
        <v>582</v>
      </c>
      <c r="B4058" s="4">
        <v>218</v>
      </c>
    </row>
    <row r="4059" customHeight="1" spans="1:2">
      <c r="A4059" s="3" t="s">
        <v>9506</v>
      </c>
      <c r="B4059" s="4">
        <v>101</v>
      </c>
    </row>
    <row r="4060" customHeight="1" spans="1:2">
      <c r="A4060" s="3" t="s">
        <v>13571</v>
      </c>
      <c r="B4060" s="4">
        <v>115</v>
      </c>
    </row>
    <row r="4061" customHeight="1" spans="1:2">
      <c r="A4061" s="3" t="s">
        <v>20802</v>
      </c>
      <c r="B4061" s="4">
        <v>104</v>
      </c>
    </row>
    <row r="4062" customHeight="1" spans="1:2">
      <c r="A4062" s="3" t="s">
        <v>17904</v>
      </c>
      <c r="B4062" s="4">
        <v>94</v>
      </c>
    </row>
    <row r="4063" customHeight="1" spans="1:2">
      <c r="A4063" s="3" t="s">
        <v>9212</v>
      </c>
      <c r="B4063" s="4">
        <v>135</v>
      </c>
    </row>
    <row r="4064" customHeight="1" spans="1:2">
      <c r="A4064" s="3" t="s">
        <v>6698</v>
      </c>
      <c r="B4064" s="4">
        <v>86</v>
      </c>
    </row>
    <row r="4065" customHeight="1" spans="1:2">
      <c r="A4065" s="3" t="s">
        <v>22452</v>
      </c>
      <c r="B4065" s="4">
        <v>98</v>
      </c>
    </row>
    <row r="4066" customHeight="1" spans="1:2">
      <c r="A4066" s="3" t="s">
        <v>3263</v>
      </c>
      <c r="B4066" s="4">
        <v>152</v>
      </c>
    </row>
    <row r="4067" customHeight="1" spans="1:2">
      <c r="A4067" s="3" t="s">
        <v>23481</v>
      </c>
      <c r="B4067" s="4">
        <v>87</v>
      </c>
    </row>
    <row r="4068" customHeight="1" spans="1:2">
      <c r="A4068" s="3" t="s">
        <v>17639</v>
      </c>
      <c r="B4068" s="4">
        <v>102</v>
      </c>
    </row>
    <row r="4069" customHeight="1" spans="1:2">
      <c r="A4069" s="3" t="s">
        <v>3110</v>
      </c>
      <c r="B4069" s="4">
        <v>116</v>
      </c>
    </row>
    <row r="4070" customHeight="1" spans="1:2">
      <c r="A4070" s="3" t="s">
        <v>7341</v>
      </c>
      <c r="B4070" s="4">
        <v>132</v>
      </c>
    </row>
    <row r="4071" customHeight="1" spans="1:2">
      <c r="A4071" s="3" t="s">
        <v>11162</v>
      </c>
      <c r="B4071" s="4">
        <v>94</v>
      </c>
    </row>
    <row r="4072" customHeight="1" spans="1:2">
      <c r="A4072" s="3" t="s">
        <v>19131</v>
      </c>
      <c r="B4072" s="4">
        <v>113</v>
      </c>
    </row>
    <row r="4073" customHeight="1" spans="1:2">
      <c r="A4073" s="3" t="s">
        <v>16515</v>
      </c>
      <c r="B4073" s="4">
        <v>125</v>
      </c>
    </row>
    <row r="4074" customHeight="1" spans="1:2">
      <c r="A4074" s="3" t="s">
        <v>13053</v>
      </c>
      <c r="B4074" s="4">
        <v>107</v>
      </c>
    </row>
    <row r="4075" customHeight="1" spans="1:2">
      <c r="A4075" s="3" t="s">
        <v>11273</v>
      </c>
      <c r="B4075" s="4">
        <v>83</v>
      </c>
    </row>
    <row r="4076" customHeight="1" spans="1:2">
      <c r="A4076" s="3" t="s">
        <v>2732</v>
      </c>
      <c r="B4076" s="4">
        <v>129</v>
      </c>
    </row>
    <row r="4077" customHeight="1" spans="1:2">
      <c r="A4077" s="3" t="s">
        <v>20610</v>
      </c>
      <c r="B4077" s="4">
        <v>90</v>
      </c>
    </row>
    <row r="4078" customHeight="1" spans="1:2">
      <c r="A4078" s="3" t="s">
        <v>12943</v>
      </c>
      <c r="B4078" s="4">
        <v>92</v>
      </c>
    </row>
    <row r="4079" customHeight="1" spans="1:2">
      <c r="A4079" s="3" t="s">
        <v>1668</v>
      </c>
      <c r="B4079" s="4">
        <v>151</v>
      </c>
    </row>
    <row r="4080" customHeight="1" spans="1:2">
      <c r="A4080" s="3" t="s">
        <v>3681</v>
      </c>
      <c r="B4080" s="4">
        <v>136</v>
      </c>
    </row>
    <row r="4081" customHeight="1" spans="1:2">
      <c r="A4081" s="3" t="s">
        <v>11721</v>
      </c>
      <c r="B4081" s="4">
        <v>114</v>
      </c>
    </row>
    <row r="4082" customHeight="1" spans="1:2">
      <c r="A4082" s="3" t="s">
        <v>18995</v>
      </c>
      <c r="B4082" s="4">
        <v>105</v>
      </c>
    </row>
    <row r="4083" customHeight="1" spans="1:2">
      <c r="A4083" s="3" t="s">
        <v>12421</v>
      </c>
      <c r="B4083" s="4">
        <v>80</v>
      </c>
    </row>
    <row r="4084" customHeight="1" spans="1:2">
      <c r="A4084" s="3" t="s">
        <v>7081</v>
      </c>
      <c r="B4084" s="4">
        <v>144</v>
      </c>
    </row>
    <row r="4085" customHeight="1" spans="1:2">
      <c r="A4085" s="3" t="s">
        <v>15045</v>
      </c>
      <c r="B4085" s="4">
        <v>96</v>
      </c>
    </row>
    <row r="4086" customHeight="1" spans="1:2">
      <c r="A4086" s="3" t="s">
        <v>839</v>
      </c>
      <c r="B4086" s="4">
        <v>138</v>
      </c>
    </row>
    <row r="4087" customHeight="1" spans="1:2">
      <c r="A4087" s="3" t="s">
        <v>825</v>
      </c>
      <c r="B4087" s="4">
        <v>129</v>
      </c>
    </row>
    <row r="4088" customHeight="1" spans="1:2">
      <c r="A4088" s="3" t="s">
        <v>3650</v>
      </c>
      <c r="B4088" s="4">
        <v>136</v>
      </c>
    </row>
    <row r="4089" customHeight="1" spans="1:2">
      <c r="A4089" s="3" t="s">
        <v>7752</v>
      </c>
      <c r="B4089" s="4">
        <v>113</v>
      </c>
    </row>
    <row r="4090" customHeight="1" spans="1:2">
      <c r="A4090" s="3" t="s">
        <v>6082</v>
      </c>
      <c r="B4090" s="4">
        <v>93</v>
      </c>
    </row>
    <row r="4091" customHeight="1" spans="1:2">
      <c r="A4091" s="3" t="s">
        <v>6219</v>
      </c>
      <c r="B4091" s="4">
        <v>108</v>
      </c>
    </row>
    <row r="4092" customHeight="1" spans="1:2">
      <c r="A4092" s="3" t="s">
        <v>10128</v>
      </c>
      <c r="B4092" s="4">
        <v>94</v>
      </c>
    </row>
    <row r="4093" customHeight="1" spans="1:2">
      <c r="A4093" s="3" t="s">
        <v>8673</v>
      </c>
      <c r="B4093" s="4">
        <v>131</v>
      </c>
    </row>
    <row r="4094" customHeight="1" spans="1:2">
      <c r="A4094" s="3" t="s">
        <v>16931</v>
      </c>
      <c r="B4094" s="4">
        <v>105</v>
      </c>
    </row>
    <row r="4095" customHeight="1" spans="1:2">
      <c r="A4095" s="3" t="s">
        <v>5416</v>
      </c>
      <c r="B4095" s="4">
        <v>158</v>
      </c>
    </row>
    <row r="4096" customHeight="1" spans="1:2">
      <c r="A4096" s="3" t="s">
        <v>12432</v>
      </c>
      <c r="B4096" s="4">
        <v>60</v>
      </c>
    </row>
    <row r="4097" customHeight="1" spans="1:2">
      <c r="A4097" s="3" t="s">
        <v>6389</v>
      </c>
      <c r="B4097" s="4">
        <v>123</v>
      </c>
    </row>
    <row r="4098" customHeight="1" spans="1:2">
      <c r="A4098" s="3" t="s">
        <v>13260</v>
      </c>
      <c r="B4098" s="4">
        <v>103</v>
      </c>
    </row>
    <row r="4099" customHeight="1" spans="1:2">
      <c r="A4099" s="3" t="s">
        <v>14825</v>
      </c>
      <c r="B4099" s="4">
        <v>100</v>
      </c>
    </row>
    <row r="4100" customHeight="1" spans="1:2">
      <c r="A4100" s="3" t="s">
        <v>16667</v>
      </c>
      <c r="B4100" s="4">
        <v>99</v>
      </c>
    </row>
    <row r="4101" customHeight="1" spans="1:2">
      <c r="A4101" s="3" t="s">
        <v>23708</v>
      </c>
      <c r="B4101" s="4">
        <v>100</v>
      </c>
    </row>
    <row r="4102" customHeight="1" spans="1:2">
      <c r="A4102" s="3" t="s">
        <v>6129</v>
      </c>
      <c r="B4102" s="4">
        <v>122</v>
      </c>
    </row>
    <row r="4103" customHeight="1" spans="1:2">
      <c r="A4103" s="3" t="s">
        <v>18532</v>
      </c>
      <c r="B4103" s="4">
        <v>120</v>
      </c>
    </row>
    <row r="4104" customHeight="1" spans="1:2">
      <c r="A4104" s="3" t="s">
        <v>20429</v>
      </c>
      <c r="B4104" s="4">
        <v>95</v>
      </c>
    </row>
    <row r="4105" customHeight="1" spans="1:2">
      <c r="A4105" s="3" t="s">
        <v>3800</v>
      </c>
      <c r="B4105" s="4">
        <v>60</v>
      </c>
    </row>
    <row r="4106" customHeight="1" spans="1:2">
      <c r="A4106" s="3" t="s">
        <v>13743</v>
      </c>
      <c r="B4106" s="4">
        <v>126</v>
      </c>
    </row>
    <row r="4107" customHeight="1" spans="1:2">
      <c r="A4107" s="3" t="s">
        <v>14663</v>
      </c>
      <c r="B4107" s="4">
        <v>124</v>
      </c>
    </row>
    <row r="4108" customHeight="1" spans="1:2">
      <c r="A4108" s="3" t="s">
        <v>24128</v>
      </c>
      <c r="B4108" s="4">
        <v>84</v>
      </c>
    </row>
    <row r="4109" customHeight="1" spans="1:2">
      <c r="A4109" s="3" t="s">
        <v>3403</v>
      </c>
      <c r="B4109" s="4">
        <v>118</v>
      </c>
    </row>
    <row r="4110" customHeight="1" spans="1:2">
      <c r="A4110" s="3" t="s">
        <v>4374</v>
      </c>
      <c r="B4110" s="4">
        <v>130</v>
      </c>
    </row>
    <row r="4111" customHeight="1" spans="1:2">
      <c r="A4111" s="3" t="s">
        <v>23226</v>
      </c>
      <c r="B4111" s="4">
        <v>75</v>
      </c>
    </row>
    <row r="4112" customHeight="1" spans="1:2">
      <c r="A4112" s="3" t="s">
        <v>6135</v>
      </c>
      <c r="B4112" s="4">
        <v>119</v>
      </c>
    </row>
    <row r="4113" customHeight="1" spans="1:2">
      <c r="A4113" s="3" t="s">
        <v>22197</v>
      </c>
      <c r="B4113" s="4">
        <v>94</v>
      </c>
    </row>
    <row r="4114" customHeight="1" spans="1:2">
      <c r="A4114" s="3" t="s">
        <v>1933</v>
      </c>
      <c r="B4114" s="4">
        <v>130</v>
      </c>
    </row>
    <row r="4115" customHeight="1" spans="1:2">
      <c r="A4115" s="3" t="s">
        <v>505</v>
      </c>
      <c r="B4115" s="4">
        <v>112</v>
      </c>
    </row>
    <row r="4116" customHeight="1" spans="1:2">
      <c r="A4116" s="3" t="s">
        <v>14127</v>
      </c>
      <c r="B4116" s="4">
        <v>89</v>
      </c>
    </row>
    <row r="4117" customHeight="1" spans="1:2">
      <c r="A4117" s="3" t="s">
        <v>15957</v>
      </c>
      <c r="B4117" s="4">
        <v>95</v>
      </c>
    </row>
    <row r="4118" customHeight="1" spans="1:2">
      <c r="A4118" s="3" t="s">
        <v>5762</v>
      </c>
      <c r="B4118" s="4">
        <v>103</v>
      </c>
    </row>
    <row r="4119" customHeight="1" spans="1:2">
      <c r="A4119" s="3" t="s">
        <v>13035</v>
      </c>
      <c r="B4119" s="4">
        <v>97</v>
      </c>
    </row>
    <row r="4120" customHeight="1" spans="1:2">
      <c r="A4120" s="3" t="s">
        <v>6665</v>
      </c>
      <c r="B4120" s="4">
        <v>104</v>
      </c>
    </row>
    <row r="4121" customHeight="1" spans="1:2">
      <c r="A4121" s="3" t="s">
        <v>23873</v>
      </c>
      <c r="B4121" s="4"/>
    </row>
    <row r="4122" customHeight="1" spans="1:2">
      <c r="A4122" s="3" t="s">
        <v>10212</v>
      </c>
      <c r="B4122" s="4">
        <v>85</v>
      </c>
    </row>
    <row r="4123" customHeight="1" spans="1:2">
      <c r="A4123" s="3" t="s">
        <v>18194</v>
      </c>
      <c r="B4123" s="4">
        <v>100</v>
      </c>
    </row>
    <row r="4124" customHeight="1" spans="1:2">
      <c r="A4124" s="3" t="s">
        <v>15871</v>
      </c>
      <c r="B4124" s="4">
        <v>122</v>
      </c>
    </row>
    <row r="4125" customHeight="1" spans="1:2">
      <c r="A4125" s="3" t="s">
        <v>7466</v>
      </c>
      <c r="B4125" s="4">
        <v>101</v>
      </c>
    </row>
    <row r="4126" customHeight="1" spans="1:2">
      <c r="A4126" s="3" t="s">
        <v>5237</v>
      </c>
      <c r="B4126" s="4">
        <v>140</v>
      </c>
    </row>
    <row r="4127" customHeight="1" spans="1:2">
      <c r="A4127" s="3" t="s">
        <v>16428</v>
      </c>
      <c r="B4127" s="4">
        <v>118</v>
      </c>
    </row>
    <row r="4128" customHeight="1" spans="1:2">
      <c r="A4128" s="3" t="s">
        <v>10375</v>
      </c>
      <c r="B4128" s="4">
        <v>114</v>
      </c>
    </row>
    <row r="4129" customHeight="1" spans="1:2">
      <c r="A4129" s="3" t="s">
        <v>9137</v>
      </c>
      <c r="B4129" s="4">
        <v>94</v>
      </c>
    </row>
    <row r="4130" customHeight="1" spans="1:2">
      <c r="A4130" s="3" t="s">
        <v>13695</v>
      </c>
      <c r="B4130" s="4">
        <v>92</v>
      </c>
    </row>
    <row r="4131" customHeight="1" spans="1:2">
      <c r="A4131" s="3" t="s">
        <v>8594</v>
      </c>
      <c r="B4131" s="4">
        <v>150</v>
      </c>
    </row>
    <row r="4132" customHeight="1" spans="1:2">
      <c r="A4132" s="3" t="s">
        <v>9166</v>
      </c>
      <c r="B4132" s="4">
        <v>123</v>
      </c>
    </row>
    <row r="4133" customHeight="1" spans="1:2">
      <c r="A4133" s="3" t="s">
        <v>9815</v>
      </c>
      <c r="B4133" s="4">
        <v>99</v>
      </c>
    </row>
    <row r="4134" customHeight="1" spans="1:2">
      <c r="A4134" s="3" t="s">
        <v>8512</v>
      </c>
      <c r="B4134" s="4">
        <v>133</v>
      </c>
    </row>
    <row r="4135" customHeight="1" spans="1:2">
      <c r="A4135" s="3" t="s">
        <v>18535</v>
      </c>
      <c r="B4135" s="4">
        <v>81</v>
      </c>
    </row>
    <row r="4136" customHeight="1" spans="1:2">
      <c r="A4136" s="3" t="s">
        <v>23764</v>
      </c>
      <c r="B4136" s="4">
        <v>106</v>
      </c>
    </row>
    <row r="4137" customHeight="1" spans="1:2">
      <c r="A4137" s="3" t="s">
        <v>7025</v>
      </c>
      <c r="B4137" s="4">
        <v>133</v>
      </c>
    </row>
    <row r="4138" customHeight="1" spans="1:2">
      <c r="A4138" s="3" t="s">
        <v>8163</v>
      </c>
      <c r="B4138" s="4">
        <v>123</v>
      </c>
    </row>
    <row r="4139" customHeight="1" spans="1:2">
      <c r="A4139" s="3" t="s">
        <v>12965</v>
      </c>
      <c r="B4139" s="4">
        <v>108</v>
      </c>
    </row>
    <row r="4140" customHeight="1" spans="1:2">
      <c r="A4140" s="3" t="s">
        <v>7950</v>
      </c>
      <c r="B4140" s="4">
        <v>98</v>
      </c>
    </row>
    <row r="4141" customHeight="1" spans="1:2">
      <c r="A4141" s="3" t="s">
        <v>18906</v>
      </c>
      <c r="B4141" s="4">
        <v>149</v>
      </c>
    </row>
    <row r="4142" customHeight="1" spans="1:2">
      <c r="A4142" s="3" t="s">
        <v>8263</v>
      </c>
      <c r="B4142" s="4">
        <v>85</v>
      </c>
    </row>
    <row r="4143" customHeight="1" spans="1:2">
      <c r="A4143" s="3" t="s">
        <v>2294</v>
      </c>
      <c r="B4143" s="4">
        <v>110</v>
      </c>
    </row>
    <row r="4144" customHeight="1" spans="1:2">
      <c r="A4144" s="3" t="s">
        <v>11679</v>
      </c>
      <c r="B4144" s="4">
        <v>92</v>
      </c>
    </row>
    <row r="4145" customHeight="1" spans="1:2">
      <c r="A4145" s="3" t="s">
        <v>4586</v>
      </c>
      <c r="B4145" s="4">
        <v>95</v>
      </c>
    </row>
    <row r="4146" customHeight="1" spans="1:2">
      <c r="A4146" s="3" t="s">
        <v>11803</v>
      </c>
      <c r="B4146" s="4">
        <v>44</v>
      </c>
    </row>
    <row r="4147" customHeight="1" spans="1:2">
      <c r="A4147" s="3" t="s">
        <v>12861</v>
      </c>
      <c r="B4147" s="4">
        <v>111</v>
      </c>
    </row>
    <row r="4148" customHeight="1" spans="1:2">
      <c r="A4148" s="3" t="s">
        <v>6498</v>
      </c>
      <c r="B4148" s="4">
        <v>105</v>
      </c>
    </row>
    <row r="4149" customHeight="1" spans="1:2">
      <c r="A4149" s="3" t="s">
        <v>17931</v>
      </c>
      <c r="B4149" s="4">
        <v>88</v>
      </c>
    </row>
    <row r="4150" customHeight="1" spans="1:2">
      <c r="A4150" s="3" t="s">
        <v>16438</v>
      </c>
      <c r="B4150" s="4">
        <v>100</v>
      </c>
    </row>
    <row r="4151" customHeight="1" spans="1:2">
      <c r="A4151" s="3" t="s">
        <v>9496</v>
      </c>
      <c r="B4151" s="4">
        <v>214</v>
      </c>
    </row>
    <row r="4152" customHeight="1" spans="1:2">
      <c r="A4152" s="3" t="s">
        <v>5497</v>
      </c>
      <c r="B4152" s="4">
        <v>85</v>
      </c>
    </row>
    <row r="4153" customHeight="1" spans="1:2">
      <c r="A4153" s="3" t="s">
        <v>11435</v>
      </c>
      <c r="B4153" s="4">
        <v>88</v>
      </c>
    </row>
    <row r="4154" customHeight="1" spans="1:2">
      <c r="A4154" s="3" t="s">
        <v>15387</v>
      </c>
      <c r="B4154" s="4">
        <v>91</v>
      </c>
    </row>
    <row r="4155" customHeight="1" spans="1:2">
      <c r="A4155" s="3" t="s">
        <v>19112</v>
      </c>
      <c r="B4155" s="4">
        <v>97</v>
      </c>
    </row>
    <row r="4156" customHeight="1" spans="1:2">
      <c r="A4156" s="3" t="s">
        <v>7671</v>
      </c>
      <c r="B4156" s="4">
        <v>102</v>
      </c>
    </row>
    <row r="4157" customHeight="1" spans="1:2">
      <c r="A4157" s="3" t="s">
        <v>19177</v>
      </c>
      <c r="B4157" s="4">
        <v>115</v>
      </c>
    </row>
    <row r="4158" customHeight="1" spans="1:2">
      <c r="A4158" s="3" t="s">
        <v>18545</v>
      </c>
      <c r="B4158" s="4">
        <v>105</v>
      </c>
    </row>
    <row r="4159" customHeight="1" spans="1:2">
      <c r="A4159" s="3" t="s">
        <v>6669</v>
      </c>
      <c r="B4159" s="4">
        <v>115</v>
      </c>
    </row>
    <row r="4160" customHeight="1" spans="1:2">
      <c r="A4160" s="3" t="s">
        <v>22616</v>
      </c>
      <c r="B4160" s="4">
        <v>89</v>
      </c>
    </row>
    <row r="4161" customHeight="1" spans="1:2">
      <c r="A4161" s="3" t="s">
        <v>19920</v>
      </c>
      <c r="B4161" s="4">
        <v>106</v>
      </c>
    </row>
    <row r="4162" customHeight="1" spans="1:2">
      <c r="A4162" s="3" t="s">
        <v>1755</v>
      </c>
      <c r="B4162" s="4">
        <v>116</v>
      </c>
    </row>
    <row r="4163" customHeight="1" spans="1:2">
      <c r="A4163" s="3" t="s">
        <v>16627</v>
      </c>
      <c r="B4163" s="4">
        <v>113</v>
      </c>
    </row>
    <row r="4164" customHeight="1" spans="1:2">
      <c r="A4164" s="3" t="s">
        <v>6400</v>
      </c>
      <c r="B4164" s="4">
        <v>109</v>
      </c>
    </row>
    <row r="4165" customHeight="1" spans="1:2">
      <c r="A4165" s="3" t="s">
        <v>12141</v>
      </c>
      <c r="B4165" s="4">
        <v>101</v>
      </c>
    </row>
    <row r="4166" customHeight="1" spans="1:2">
      <c r="A4166" s="3" t="s">
        <v>6656</v>
      </c>
      <c r="B4166" s="4">
        <v>90</v>
      </c>
    </row>
    <row r="4167" customHeight="1" spans="1:2">
      <c r="A4167" s="3" t="s">
        <v>22691</v>
      </c>
      <c r="B4167" s="4">
        <v>96</v>
      </c>
    </row>
    <row r="4168" customHeight="1" spans="1:2">
      <c r="A4168" s="3" t="s">
        <v>14930</v>
      </c>
      <c r="B4168" s="4">
        <v>114</v>
      </c>
    </row>
    <row r="4169" customHeight="1" spans="1:2">
      <c r="A4169" s="3" t="s">
        <v>15421</v>
      </c>
      <c r="B4169" s="4">
        <v>104</v>
      </c>
    </row>
    <row r="4170" customHeight="1" spans="1:2">
      <c r="A4170" s="3" t="s">
        <v>4552</v>
      </c>
      <c r="B4170" s="4">
        <v>95</v>
      </c>
    </row>
    <row r="4171" customHeight="1" spans="1:2">
      <c r="A4171" s="3" t="s">
        <v>11546</v>
      </c>
      <c r="B4171" s="4">
        <v>125</v>
      </c>
    </row>
    <row r="4172" customHeight="1" spans="1:2">
      <c r="A4172" s="3" t="s">
        <v>16121</v>
      </c>
      <c r="B4172" s="4">
        <v>98</v>
      </c>
    </row>
    <row r="4173" customHeight="1" spans="1:2">
      <c r="A4173" s="3" t="s">
        <v>21921</v>
      </c>
      <c r="B4173" s="4">
        <v>94</v>
      </c>
    </row>
    <row r="4174" customHeight="1" spans="1:2">
      <c r="A4174" s="3" t="s">
        <v>9371</v>
      </c>
      <c r="B4174" s="4">
        <v>120</v>
      </c>
    </row>
    <row r="4175" customHeight="1" spans="1:2">
      <c r="A4175" s="3" t="s">
        <v>23771</v>
      </c>
      <c r="B4175" s="4">
        <v>77</v>
      </c>
    </row>
    <row r="4176" customHeight="1" spans="1:2">
      <c r="A4176" s="3" t="s">
        <v>1524</v>
      </c>
      <c r="B4176" s="4">
        <v>142</v>
      </c>
    </row>
    <row r="4177" customHeight="1" spans="1:2">
      <c r="A4177" s="3" t="s">
        <v>5261</v>
      </c>
      <c r="B4177" s="4">
        <v>124</v>
      </c>
    </row>
    <row r="4178" customHeight="1" spans="1:2">
      <c r="A4178" s="3" t="s">
        <v>1920</v>
      </c>
      <c r="B4178" s="4">
        <v>88</v>
      </c>
    </row>
    <row r="4179" customHeight="1" spans="1:2">
      <c r="A4179" s="3" t="s">
        <v>5725</v>
      </c>
      <c r="B4179" s="4">
        <v>141</v>
      </c>
    </row>
    <row r="4180" customHeight="1" spans="1:2">
      <c r="A4180" s="3" t="s">
        <v>14645</v>
      </c>
      <c r="B4180" s="4">
        <v>113</v>
      </c>
    </row>
    <row r="4181" customHeight="1" spans="1:2">
      <c r="A4181" s="3" t="s">
        <v>14004</v>
      </c>
      <c r="B4181" s="4">
        <v>118</v>
      </c>
    </row>
    <row r="4182" customHeight="1" spans="1:2">
      <c r="A4182" s="3" t="s">
        <v>21814</v>
      </c>
      <c r="B4182" s="4">
        <v>93</v>
      </c>
    </row>
    <row r="4183" customHeight="1" spans="1:2">
      <c r="A4183" s="3" t="s">
        <v>14989</v>
      </c>
      <c r="B4183" s="4">
        <v>100</v>
      </c>
    </row>
    <row r="4184" customHeight="1" spans="1:2">
      <c r="A4184" s="3" t="s">
        <v>17797</v>
      </c>
      <c r="B4184" s="4">
        <v>96</v>
      </c>
    </row>
    <row r="4185" customHeight="1" spans="1:2">
      <c r="A4185" s="3" t="s">
        <v>1349</v>
      </c>
      <c r="B4185" s="4">
        <v>130</v>
      </c>
    </row>
    <row r="4186" customHeight="1" spans="1:2">
      <c r="A4186" s="3" t="s">
        <v>18781</v>
      </c>
      <c r="B4186" s="4">
        <v>94</v>
      </c>
    </row>
    <row r="4187" customHeight="1" spans="1:2">
      <c r="A4187" s="3" t="s">
        <v>13860</v>
      </c>
      <c r="B4187" s="4">
        <v>102</v>
      </c>
    </row>
    <row r="4188" customHeight="1" spans="1:2">
      <c r="A4188" s="3" t="s">
        <v>21983</v>
      </c>
      <c r="B4188" s="4">
        <v>94</v>
      </c>
    </row>
    <row r="4189" customHeight="1" spans="1:2">
      <c r="A4189" s="3" t="s">
        <v>4771</v>
      </c>
      <c r="B4189" s="4">
        <v>143</v>
      </c>
    </row>
    <row r="4190" customHeight="1" spans="1:2">
      <c r="A4190" s="3" t="s">
        <v>5933</v>
      </c>
      <c r="B4190" s="4">
        <v>100</v>
      </c>
    </row>
    <row r="4191" customHeight="1" spans="1:2">
      <c r="A4191" s="3" t="s">
        <v>7460</v>
      </c>
      <c r="B4191" s="4">
        <v>150</v>
      </c>
    </row>
    <row r="4192" customHeight="1" spans="1:2">
      <c r="A4192" s="3" t="s">
        <v>16468</v>
      </c>
      <c r="B4192" s="4">
        <v>121</v>
      </c>
    </row>
    <row r="4193" customHeight="1" spans="1:2">
      <c r="A4193" s="3" t="s">
        <v>2680</v>
      </c>
      <c r="B4193" s="4">
        <v>93</v>
      </c>
    </row>
    <row r="4194" customHeight="1" spans="1:2">
      <c r="A4194" s="3" t="s">
        <v>18841</v>
      </c>
      <c r="B4194" s="4">
        <v>102</v>
      </c>
    </row>
    <row r="4195" customHeight="1" spans="1:2">
      <c r="A4195" s="3" t="s">
        <v>12998</v>
      </c>
      <c r="B4195" s="4">
        <v>85</v>
      </c>
    </row>
    <row r="4196" customHeight="1" spans="1:2">
      <c r="A4196" s="3" t="s">
        <v>4755</v>
      </c>
      <c r="B4196" s="4">
        <v>88</v>
      </c>
    </row>
    <row r="4197" customHeight="1" spans="1:2">
      <c r="A4197" s="3" t="s">
        <v>12961</v>
      </c>
      <c r="B4197" s="4">
        <v>140</v>
      </c>
    </row>
    <row r="4198" customHeight="1" spans="1:2">
      <c r="A4198" s="3" t="s">
        <v>16055</v>
      </c>
      <c r="B4198" s="4">
        <v>60</v>
      </c>
    </row>
    <row r="4199" customHeight="1" spans="1:2">
      <c r="A4199" s="3" t="s">
        <v>17668</v>
      </c>
      <c r="B4199" s="4">
        <v>104</v>
      </c>
    </row>
    <row r="4200" customHeight="1" spans="1:2">
      <c r="A4200" s="3" t="s">
        <v>5923</v>
      </c>
      <c r="B4200" s="4">
        <v>124</v>
      </c>
    </row>
    <row r="4201" customHeight="1" spans="1:2">
      <c r="A4201" s="3" t="s">
        <v>21928</v>
      </c>
      <c r="B4201" s="4">
        <v>93</v>
      </c>
    </row>
    <row r="4202" customHeight="1" spans="1:2">
      <c r="A4202" s="3" t="s">
        <v>631</v>
      </c>
      <c r="B4202" s="4">
        <v>100</v>
      </c>
    </row>
    <row r="4203" customHeight="1" spans="1:2">
      <c r="A4203" s="3" t="s">
        <v>9925</v>
      </c>
      <c r="B4203" s="4">
        <v>184</v>
      </c>
    </row>
    <row r="4204" customHeight="1" spans="1:2">
      <c r="A4204" s="3" t="s">
        <v>14227</v>
      </c>
      <c r="B4204" s="4">
        <v>122</v>
      </c>
    </row>
    <row r="4205" customHeight="1" spans="1:2">
      <c r="A4205" s="3" t="s">
        <v>2863</v>
      </c>
      <c r="B4205" s="4">
        <v>177</v>
      </c>
    </row>
    <row r="4206" customHeight="1" spans="1:2">
      <c r="A4206" s="3" t="s">
        <v>9868</v>
      </c>
      <c r="B4206" s="4">
        <v>30</v>
      </c>
    </row>
    <row r="4207" customHeight="1" spans="1:2">
      <c r="A4207" s="3" t="s">
        <v>6450</v>
      </c>
      <c r="B4207" s="4">
        <v>130</v>
      </c>
    </row>
    <row r="4208" customHeight="1" spans="1:2">
      <c r="A4208" s="3" t="s">
        <v>8453</v>
      </c>
      <c r="B4208" s="4">
        <v>111</v>
      </c>
    </row>
    <row r="4209" customHeight="1" spans="1:2">
      <c r="A4209" s="3" t="s">
        <v>3978</v>
      </c>
      <c r="B4209" s="4">
        <v>99</v>
      </c>
    </row>
    <row r="4210" customHeight="1" spans="1:2">
      <c r="A4210" s="3" t="s">
        <v>8181</v>
      </c>
      <c r="B4210" s="4">
        <v>132</v>
      </c>
    </row>
    <row r="4211" customHeight="1" spans="1:2">
      <c r="A4211" s="3" t="s">
        <v>12129</v>
      </c>
      <c r="B4211" s="4">
        <v>93</v>
      </c>
    </row>
    <row r="4212" customHeight="1" spans="1:2">
      <c r="A4212" s="3" t="s">
        <v>10182</v>
      </c>
      <c r="B4212" s="4">
        <v>80</v>
      </c>
    </row>
    <row r="4213" customHeight="1" spans="1:2">
      <c r="A4213" s="3" t="s">
        <v>1663</v>
      </c>
      <c r="B4213" s="4">
        <v>97</v>
      </c>
    </row>
    <row r="4214" customHeight="1" spans="1:2">
      <c r="A4214" s="3" t="s">
        <v>12844</v>
      </c>
      <c r="B4214" s="4">
        <v>98</v>
      </c>
    </row>
    <row r="4215" customHeight="1" spans="1:2">
      <c r="A4215" s="3" t="s">
        <v>5722</v>
      </c>
      <c r="B4215" s="4">
        <v>113</v>
      </c>
    </row>
    <row r="4216" customHeight="1" spans="1:2">
      <c r="A4216" s="3" t="s">
        <v>8133</v>
      </c>
      <c r="B4216" s="4">
        <v>111</v>
      </c>
    </row>
    <row r="4217" customHeight="1" spans="1:2">
      <c r="A4217" s="3" t="s">
        <v>13954</v>
      </c>
      <c r="B4217" s="4">
        <v>101</v>
      </c>
    </row>
    <row r="4218" customHeight="1" spans="1:2">
      <c r="A4218" s="3" t="s">
        <v>5928</v>
      </c>
      <c r="B4218" s="4">
        <v>134</v>
      </c>
    </row>
    <row r="4219" customHeight="1" spans="1:2">
      <c r="A4219" s="3" t="s">
        <v>8694</v>
      </c>
      <c r="B4219" s="4">
        <v>103</v>
      </c>
    </row>
    <row r="4220" customHeight="1" spans="1:2">
      <c r="A4220" s="3" t="s">
        <v>23028</v>
      </c>
      <c r="B4220" s="4">
        <v>98</v>
      </c>
    </row>
    <row r="4221" customHeight="1" spans="1:2">
      <c r="A4221" s="3" t="s">
        <v>6246</v>
      </c>
      <c r="B4221" s="4">
        <v>108</v>
      </c>
    </row>
    <row r="4222" customHeight="1" spans="1:2">
      <c r="A4222" s="3" t="s">
        <v>11408</v>
      </c>
      <c r="B4222" s="4">
        <v>104</v>
      </c>
    </row>
    <row r="4223" customHeight="1" spans="1:2">
      <c r="A4223" s="3" t="s">
        <v>17336</v>
      </c>
      <c r="B4223" s="4">
        <v>111</v>
      </c>
    </row>
    <row r="4224" customHeight="1" spans="1:2">
      <c r="A4224" s="3" t="s">
        <v>24034</v>
      </c>
      <c r="B4224" s="4">
        <v>85</v>
      </c>
    </row>
    <row r="4225" customHeight="1" spans="1:2">
      <c r="A4225" s="3" t="s">
        <v>7856</v>
      </c>
      <c r="B4225" s="4">
        <v>140</v>
      </c>
    </row>
    <row r="4226" customHeight="1" spans="1:2">
      <c r="A4226" s="3" t="s">
        <v>19205</v>
      </c>
      <c r="B4226" s="4">
        <v>85</v>
      </c>
    </row>
    <row r="4227" customHeight="1" spans="1:2">
      <c r="A4227" s="3" t="s">
        <v>15642</v>
      </c>
      <c r="B4227" s="4">
        <v>103</v>
      </c>
    </row>
    <row r="4228" customHeight="1" spans="1:2">
      <c r="A4228" s="3" t="s">
        <v>14801</v>
      </c>
      <c r="B4228" s="4">
        <v>109</v>
      </c>
    </row>
    <row r="4229" customHeight="1" spans="1:2">
      <c r="A4229" s="3" t="s">
        <v>14317</v>
      </c>
      <c r="B4229" s="4">
        <v>100</v>
      </c>
    </row>
    <row r="4230" customHeight="1" spans="1:2">
      <c r="A4230" s="3" t="s">
        <v>4632</v>
      </c>
      <c r="B4230" s="4">
        <v>117</v>
      </c>
    </row>
    <row r="4231" customHeight="1" spans="1:2">
      <c r="A4231" s="3" t="s">
        <v>12734</v>
      </c>
      <c r="B4231" s="4">
        <v>94</v>
      </c>
    </row>
    <row r="4232" customHeight="1" spans="1:2">
      <c r="A4232" s="3" t="s">
        <v>7980</v>
      </c>
      <c r="B4232" s="4">
        <v>107</v>
      </c>
    </row>
    <row r="4233" customHeight="1" spans="1:2">
      <c r="A4233" s="3" t="s">
        <v>11192</v>
      </c>
      <c r="B4233" s="4">
        <v>101</v>
      </c>
    </row>
    <row r="4234" customHeight="1" spans="1:2">
      <c r="A4234" s="3" t="s">
        <v>22067</v>
      </c>
      <c r="B4234" s="4">
        <v>91</v>
      </c>
    </row>
    <row r="4235" customHeight="1" spans="1:2">
      <c r="A4235" s="3" t="s">
        <v>22571</v>
      </c>
      <c r="B4235" s="4">
        <v>101</v>
      </c>
    </row>
    <row r="4236" customHeight="1" spans="1:2">
      <c r="A4236" s="3" t="s">
        <v>10597</v>
      </c>
      <c r="B4236" s="4">
        <v>104</v>
      </c>
    </row>
    <row r="4237" customHeight="1" spans="1:2">
      <c r="A4237" s="3" t="s">
        <v>21470</v>
      </c>
      <c r="B4237" s="4">
        <v>102</v>
      </c>
    </row>
    <row r="4238" customHeight="1" spans="1:2">
      <c r="A4238" s="3" t="s">
        <v>12012</v>
      </c>
      <c r="B4238" s="4">
        <v>116</v>
      </c>
    </row>
    <row r="4239" customHeight="1" spans="1:2">
      <c r="A4239" s="3" t="s">
        <v>6514</v>
      </c>
      <c r="B4239" s="4">
        <v>135</v>
      </c>
    </row>
    <row r="4240" customHeight="1" spans="1:2">
      <c r="A4240" s="3" t="s">
        <v>9322</v>
      </c>
      <c r="B4240" s="4">
        <v>110</v>
      </c>
    </row>
    <row r="4241" customHeight="1" spans="1:2">
      <c r="A4241" s="3" t="s">
        <v>7883</v>
      </c>
      <c r="B4241" s="4">
        <v>124</v>
      </c>
    </row>
    <row r="4242" customHeight="1" spans="1:2">
      <c r="A4242" s="3" t="s">
        <v>18574</v>
      </c>
      <c r="B4242" s="4">
        <v>96</v>
      </c>
    </row>
    <row r="4243" customHeight="1" spans="1:2">
      <c r="A4243" s="3" t="s">
        <v>6678</v>
      </c>
      <c r="B4243" s="4">
        <v>99</v>
      </c>
    </row>
    <row r="4244" customHeight="1" spans="1:2">
      <c r="A4244" s="3" t="s">
        <v>15133</v>
      </c>
      <c r="B4244" s="4">
        <v>130</v>
      </c>
    </row>
    <row r="4245" customHeight="1" spans="1:2">
      <c r="A4245" s="3" t="s">
        <v>15428</v>
      </c>
      <c r="B4245" s="4">
        <v>94</v>
      </c>
    </row>
    <row r="4246" customHeight="1" spans="1:2">
      <c r="A4246" s="3" t="s">
        <v>4281</v>
      </c>
      <c r="B4246" s="4">
        <v>110</v>
      </c>
    </row>
    <row r="4247" customHeight="1" spans="1:2">
      <c r="A4247" s="3" t="s">
        <v>12912</v>
      </c>
      <c r="B4247" s="4">
        <v>134</v>
      </c>
    </row>
    <row r="4248" customHeight="1" spans="1:2">
      <c r="A4248" s="3" t="s">
        <v>8526</v>
      </c>
      <c r="B4248" s="4">
        <v>96</v>
      </c>
    </row>
    <row r="4249" customHeight="1" spans="1:2">
      <c r="A4249" s="3" t="s">
        <v>5228</v>
      </c>
      <c r="B4249" s="4">
        <v>118</v>
      </c>
    </row>
    <row r="4250" customHeight="1" spans="1:2">
      <c r="A4250" s="3" t="s">
        <v>16960</v>
      </c>
      <c r="B4250" s="4">
        <v>216</v>
      </c>
    </row>
    <row r="4251" customHeight="1" spans="1:2">
      <c r="A4251" s="3" t="s">
        <v>17576</v>
      </c>
      <c r="B4251" s="4">
        <v>113</v>
      </c>
    </row>
    <row r="4252" customHeight="1" spans="1:2">
      <c r="A4252" s="3" t="s">
        <v>13237</v>
      </c>
      <c r="B4252" s="4">
        <v>99</v>
      </c>
    </row>
    <row r="4253" customHeight="1" spans="1:2">
      <c r="A4253" s="3" t="s">
        <v>5983</v>
      </c>
      <c r="B4253" s="4">
        <v>52</v>
      </c>
    </row>
    <row r="4254" customHeight="1" spans="1:2">
      <c r="A4254" s="3" t="s">
        <v>1137</v>
      </c>
      <c r="B4254" s="4">
        <v>156</v>
      </c>
    </row>
    <row r="4255" customHeight="1" spans="1:2">
      <c r="A4255" s="3" t="s">
        <v>24030</v>
      </c>
      <c r="B4255" s="4">
        <v>143</v>
      </c>
    </row>
    <row r="4256" customHeight="1" spans="1:2">
      <c r="A4256" s="3" t="s">
        <v>4487</v>
      </c>
      <c r="B4256" s="4">
        <v>119</v>
      </c>
    </row>
    <row r="4257" customHeight="1" spans="1:2">
      <c r="A4257" s="3" t="s">
        <v>9130</v>
      </c>
      <c r="B4257" s="4">
        <v>193</v>
      </c>
    </row>
    <row r="4258" customHeight="1" spans="1:2">
      <c r="A4258" s="3" t="s">
        <v>5106</v>
      </c>
      <c r="B4258" s="4">
        <v>128</v>
      </c>
    </row>
    <row r="4259" customHeight="1" spans="1:2">
      <c r="A4259" s="3" t="s">
        <v>19965</v>
      </c>
      <c r="B4259" s="4">
        <v>110</v>
      </c>
    </row>
    <row r="4260" customHeight="1" spans="1:2">
      <c r="A4260" s="3" t="s">
        <v>7211</v>
      </c>
      <c r="B4260" s="4">
        <v>114</v>
      </c>
    </row>
    <row r="4261" customHeight="1" spans="1:2">
      <c r="A4261" s="3" t="s">
        <v>5848</v>
      </c>
      <c r="B4261" s="4">
        <v>111</v>
      </c>
    </row>
    <row r="4262" customHeight="1" spans="1:2">
      <c r="A4262" s="3" t="s">
        <v>1989</v>
      </c>
      <c r="B4262" s="4">
        <v>89</v>
      </c>
    </row>
    <row r="4263" customHeight="1" spans="1:2">
      <c r="A4263" s="3" t="s">
        <v>9949</v>
      </c>
      <c r="B4263" s="4">
        <v>111</v>
      </c>
    </row>
    <row r="4264" customHeight="1" spans="1:2">
      <c r="A4264" s="3" t="s">
        <v>17572</v>
      </c>
      <c r="B4264" s="4">
        <v>135</v>
      </c>
    </row>
    <row r="4265" customHeight="1" spans="1:2">
      <c r="A4265" s="3" t="s">
        <v>3010</v>
      </c>
      <c r="B4265" s="4">
        <v>136</v>
      </c>
    </row>
    <row r="4266" customHeight="1" spans="1:2">
      <c r="A4266" s="3" t="s">
        <v>13127</v>
      </c>
      <c r="B4266" s="4">
        <v>102</v>
      </c>
    </row>
    <row r="4267" customHeight="1" spans="1:2">
      <c r="A4267" s="3" t="s">
        <v>16268</v>
      </c>
      <c r="B4267" s="4">
        <v>124</v>
      </c>
    </row>
    <row r="4268" customHeight="1" spans="1:2">
      <c r="A4268" s="3" t="s">
        <v>10350</v>
      </c>
      <c r="B4268" s="4">
        <v>127</v>
      </c>
    </row>
    <row r="4269" customHeight="1" spans="1:2">
      <c r="A4269" s="3" t="s">
        <v>12443</v>
      </c>
      <c r="B4269" s="4">
        <v>91</v>
      </c>
    </row>
    <row r="4270" customHeight="1" spans="1:2">
      <c r="A4270" s="3" t="s">
        <v>15847</v>
      </c>
      <c r="B4270" s="4">
        <v>125</v>
      </c>
    </row>
    <row r="4271" customHeight="1" spans="1:2">
      <c r="A4271" s="3" t="s">
        <v>8893</v>
      </c>
      <c r="B4271" s="4">
        <v>110</v>
      </c>
    </row>
    <row r="4272" customHeight="1" spans="1:2">
      <c r="A4272" s="3" t="s">
        <v>8843</v>
      </c>
      <c r="B4272" s="4">
        <v>83</v>
      </c>
    </row>
    <row r="4273" customHeight="1" spans="1:2">
      <c r="A4273" s="3" t="s">
        <v>9811</v>
      </c>
      <c r="B4273" s="4">
        <v>93</v>
      </c>
    </row>
    <row r="4274" customHeight="1" spans="1:2">
      <c r="A4274" s="3" t="s">
        <v>18554</v>
      </c>
      <c r="B4274" s="4">
        <v>110</v>
      </c>
    </row>
    <row r="4275" customHeight="1" spans="1:2">
      <c r="A4275" s="3" t="s">
        <v>15601</v>
      </c>
      <c r="B4275" s="4">
        <v>106</v>
      </c>
    </row>
    <row r="4276" customHeight="1" spans="1:2">
      <c r="A4276" s="3" t="s">
        <v>2404</v>
      </c>
      <c r="B4276" s="4">
        <v>104</v>
      </c>
    </row>
    <row r="4277" customHeight="1" spans="1:2">
      <c r="A4277" s="3" t="s">
        <v>8394</v>
      </c>
      <c r="B4277" s="4">
        <v>101</v>
      </c>
    </row>
    <row r="4278" customHeight="1" spans="1:2">
      <c r="A4278" s="3" t="s">
        <v>2239</v>
      </c>
      <c r="B4278" s="4">
        <v>116</v>
      </c>
    </row>
    <row r="4279" customHeight="1" spans="1:2">
      <c r="A4279" s="3" t="s">
        <v>21009</v>
      </c>
      <c r="B4279" s="4">
        <v>90</v>
      </c>
    </row>
    <row r="4280" customHeight="1" spans="1:2">
      <c r="A4280" s="3" t="s">
        <v>12035</v>
      </c>
      <c r="B4280" s="4">
        <v>103</v>
      </c>
    </row>
    <row r="4281" customHeight="1" spans="1:2">
      <c r="A4281" s="3" t="s">
        <v>3662</v>
      </c>
      <c r="B4281" s="4">
        <v>104</v>
      </c>
    </row>
    <row r="4282" customHeight="1" spans="1:2">
      <c r="A4282" s="3" t="s">
        <v>10346</v>
      </c>
      <c r="B4282" s="4">
        <v>97</v>
      </c>
    </row>
    <row r="4283" customHeight="1" spans="1:2">
      <c r="A4283" s="3" t="s">
        <v>15680</v>
      </c>
      <c r="B4283" s="4">
        <v>114</v>
      </c>
    </row>
    <row r="4284" customHeight="1" spans="1:2">
      <c r="A4284" s="3" t="s">
        <v>5440</v>
      </c>
      <c r="B4284" s="4">
        <v>135</v>
      </c>
    </row>
    <row r="4285" customHeight="1" spans="1:2">
      <c r="A4285" s="3" t="s">
        <v>4025</v>
      </c>
      <c r="B4285" s="4">
        <v>132</v>
      </c>
    </row>
    <row r="4286" customHeight="1" spans="1:2">
      <c r="A4286" s="3" t="s">
        <v>3547</v>
      </c>
      <c r="B4286" s="4">
        <v>124</v>
      </c>
    </row>
    <row r="4287" customHeight="1" spans="1:2">
      <c r="A4287" s="3" t="s">
        <v>4051</v>
      </c>
      <c r="B4287" s="4">
        <v>100</v>
      </c>
    </row>
    <row r="4288" customHeight="1" spans="1:2">
      <c r="A4288" s="3" t="s">
        <v>13632</v>
      </c>
      <c r="B4288" s="4">
        <v>125</v>
      </c>
    </row>
    <row r="4289" customHeight="1" spans="1:2">
      <c r="A4289" s="3" t="s">
        <v>14982</v>
      </c>
      <c r="B4289" s="4">
        <v>122</v>
      </c>
    </row>
    <row r="4290" customHeight="1" spans="1:2">
      <c r="A4290" s="3" t="s">
        <v>21337</v>
      </c>
      <c r="B4290" s="4">
        <v>112</v>
      </c>
    </row>
    <row r="4291" customHeight="1" spans="1:2">
      <c r="A4291" s="3" t="s">
        <v>18939</v>
      </c>
      <c r="B4291" s="4">
        <v>129</v>
      </c>
    </row>
    <row r="4292" customHeight="1" spans="1:2">
      <c r="A4292" s="3" t="s">
        <v>14561</v>
      </c>
      <c r="B4292" s="4">
        <v>110</v>
      </c>
    </row>
    <row r="4293" customHeight="1" spans="1:2">
      <c r="A4293" s="3" t="s">
        <v>2969</v>
      </c>
      <c r="B4293" s="4">
        <v>87</v>
      </c>
    </row>
    <row r="4294" customHeight="1" spans="1:2">
      <c r="A4294" s="3" t="s">
        <v>2117</v>
      </c>
      <c r="B4294" s="4">
        <v>114</v>
      </c>
    </row>
    <row r="4295" customHeight="1" spans="1:2">
      <c r="A4295" s="3" t="s">
        <v>16189</v>
      </c>
      <c r="B4295" s="4">
        <v>75</v>
      </c>
    </row>
    <row r="4296" customHeight="1" spans="1:2">
      <c r="A4296" s="3" t="s">
        <v>19009</v>
      </c>
      <c r="B4296" s="4">
        <v>45</v>
      </c>
    </row>
    <row r="4297" customHeight="1" spans="1:2">
      <c r="A4297" s="3" t="s">
        <v>4250</v>
      </c>
      <c r="B4297" s="4">
        <v>107</v>
      </c>
    </row>
    <row r="4298" customHeight="1" spans="1:2">
      <c r="A4298" s="3" t="s">
        <v>21622</v>
      </c>
      <c r="B4298" s="4">
        <v>95</v>
      </c>
    </row>
    <row r="4299" customHeight="1" spans="1:2">
      <c r="A4299" s="3" t="s">
        <v>6618</v>
      </c>
      <c r="B4299" s="4">
        <v>93</v>
      </c>
    </row>
    <row r="4300" customHeight="1" spans="1:2">
      <c r="A4300" s="3" t="s">
        <v>4101</v>
      </c>
      <c r="B4300" s="4">
        <v>98</v>
      </c>
    </row>
    <row r="4301" customHeight="1" spans="1:2">
      <c r="A4301" s="3" t="s">
        <v>13703</v>
      </c>
      <c r="B4301" s="4">
        <v>86</v>
      </c>
    </row>
    <row r="4302" customHeight="1" spans="1:2">
      <c r="A4302" s="3" t="s">
        <v>9694</v>
      </c>
      <c r="B4302" s="4">
        <v>142</v>
      </c>
    </row>
    <row r="4303" customHeight="1" spans="1:2">
      <c r="A4303" s="3" t="s">
        <v>11579</v>
      </c>
      <c r="B4303" s="4">
        <v>146</v>
      </c>
    </row>
    <row r="4304" customHeight="1" spans="1:2">
      <c r="A4304" s="3" t="s">
        <v>7638</v>
      </c>
      <c r="B4304" s="4">
        <v>111</v>
      </c>
    </row>
    <row r="4305" customHeight="1" spans="1:2">
      <c r="A4305" s="3" t="s">
        <v>3423</v>
      </c>
      <c r="B4305" s="4">
        <v>116</v>
      </c>
    </row>
    <row r="4306" customHeight="1" spans="1:2">
      <c r="A4306" s="3" t="s">
        <v>23894</v>
      </c>
      <c r="B4306" s="4">
        <v>97</v>
      </c>
    </row>
    <row r="4307" customHeight="1" spans="1:2">
      <c r="A4307" s="3" t="s">
        <v>10659</v>
      </c>
      <c r="B4307" s="4">
        <v>138</v>
      </c>
    </row>
    <row r="4308" customHeight="1" spans="1:2">
      <c r="A4308" s="3" t="s">
        <v>3257</v>
      </c>
      <c r="B4308" s="4">
        <v>87</v>
      </c>
    </row>
    <row r="4309" customHeight="1" spans="1:2">
      <c r="A4309" s="3" t="s">
        <v>16214</v>
      </c>
      <c r="B4309" s="4">
        <v>109</v>
      </c>
    </row>
    <row r="4310" customHeight="1" spans="1:2">
      <c r="A4310" s="3" t="s">
        <v>22546</v>
      </c>
      <c r="B4310" s="4">
        <v>102</v>
      </c>
    </row>
    <row r="4311" customHeight="1" spans="1:2">
      <c r="A4311" s="3" t="s">
        <v>22317</v>
      </c>
      <c r="B4311" s="4">
        <v>104</v>
      </c>
    </row>
    <row r="4312" customHeight="1" spans="1:2">
      <c r="A4312" s="3" t="s">
        <v>9108</v>
      </c>
      <c r="B4312" s="4">
        <v>119</v>
      </c>
    </row>
    <row r="4313" customHeight="1" spans="1:2">
      <c r="A4313" s="3" t="s">
        <v>9582</v>
      </c>
      <c r="B4313" s="4">
        <v>119</v>
      </c>
    </row>
    <row r="4314" customHeight="1" spans="1:2">
      <c r="A4314" s="3" t="s">
        <v>9685</v>
      </c>
      <c r="B4314" s="4">
        <v>87</v>
      </c>
    </row>
    <row r="4315" customHeight="1" spans="1:2">
      <c r="A4315" s="3" t="s">
        <v>6222</v>
      </c>
      <c r="B4315" s="4">
        <v>107</v>
      </c>
    </row>
    <row r="4316" customHeight="1" spans="1:2">
      <c r="A4316" s="3" t="s">
        <v>6494</v>
      </c>
      <c r="B4316" s="4">
        <v>104</v>
      </c>
    </row>
    <row r="4317" customHeight="1" spans="1:2">
      <c r="A4317" s="3" t="s">
        <v>21642</v>
      </c>
      <c r="B4317" s="4">
        <v>93</v>
      </c>
    </row>
    <row r="4318" customHeight="1" spans="1:2">
      <c r="A4318" s="3" t="s">
        <v>12805</v>
      </c>
      <c r="B4318" s="4">
        <v>106</v>
      </c>
    </row>
    <row r="4319" customHeight="1" spans="1:2">
      <c r="A4319" s="3" t="s">
        <v>22643</v>
      </c>
      <c r="B4319" s="4">
        <v>112</v>
      </c>
    </row>
    <row r="4320" customHeight="1" spans="1:2">
      <c r="A4320" s="3" t="s">
        <v>21512</v>
      </c>
      <c r="B4320" s="4">
        <v>91</v>
      </c>
    </row>
    <row r="4321" customHeight="1" spans="1:2">
      <c r="A4321" s="3" t="s">
        <v>1603</v>
      </c>
      <c r="B4321" s="4">
        <v>105</v>
      </c>
    </row>
    <row r="4322" customHeight="1" spans="1:2">
      <c r="A4322" s="3" t="s">
        <v>1580</v>
      </c>
      <c r="B4322" s="4">
        <v>103</v>
      </c>
    </row>
    <row r="4323" customHeight="1" spans="1:2">
      <c r="A4323" s="3" t="s">
        <v>6295</v>
      </c>
      <c r="B4323" s="4">
        <v>120</v>
      </c>
    </row>
    <row r="4324" customHeight="1" spans="1:2">
      <c r="A4324" s="3" t="s">
        <v>4298</v>
      </c>
      <c r="B4324" s="4">
        <v>117</v>
      </c>
    </row>
    <row r="4325" customHeight="1" spans="1:2">
      <c r="A4325" s="3" t="s">
        <v>13269</v>
      </c>
      <c r="B4325" s="4">
        <v>90</v>
      </c>
    </row>
    <row r="4326" customHeight="1" spans="1:2">
      <c r="A4326" s="3" t="s">
        <v>708</v>
      </c>
      <c r="B4326" s="4">
        <v>109</v>
      </c>
    </row>
    <row r="4327" customHeight="1" spans="1:2">
      <c r="A4327" s="3" t="s">
        <v>22740</v>
      </c>
      <c r="B4327" s="4">
        <v>90</v>
      </c>
    </row>
    <row r="4328" customHeight="1" spans="1:2">
      <c r="A4328" s="3" t="s">
        <v>15973</v>
      </c>
      <c r="B4328" s="4">
        <v>174</v>
      </c>
    </row>
    <row r="4329" customHeight="1" spans="1:2">
      <c r="A4329" s="3" t="s">
        <v>1928</v>
      </c>
      <c r="B4329" s="4">
        <v>110</v>
      </c>
    </row>
    <row r="4330" customHeight="1" spans="1:2">
      <c r="A4330" s="3" t="s">
        <v>5809</v>
      </c>
      <c r="B4330" s="4">
        <v>110</v>
      </c>
    </row>
    <row r="4331" customHeight="1" spans="1:2">
      <c r="A4331" s="3" t="s">
        <v>21834</v>
      </c>
      <c r="B4331" s="4">
        <v>82</v>
      </c>
    </row>
    <row r="4332" customHeight="1" spans="1:2">
      <c r="A4332" s="3" t="s">
        <v>19883</v>
      </c>
      <c r="B4332" s="4">
        <v>95</v>
      </c>
    </row>
    <row r="4333" customHeight="1" spans="1:2">
      <c r="A4333" s="3" t="s">
        <v>2046</v>
      </c>
      <c r="B4333" s="4">
        <v>107</v>
      </c>
    </row>
    <row r="4334" customHeight="1" spans="1:2">
      <c r="A4334" s="3" t="s">
        <v>4399</v>
      </c>
      <c r="B4334" s="4">
        <v>103</v>
      </c>
    </row>
    <row r="4335" customHeight="1" spans="1:2">
      <c r="A4335" s="3" t="s">
        <v>3317</v>
      </c>
      <c r="B4335" s="4">
        <v>92</v>
      </c>
    </row>
    <row r="4336" customHeight="1" spans="1:2">
      <c r="A4336" s="3" t="s">
        <v>8148</v>
      </c>
      <c r="B4336" s="4">
        <v>87</v>
      </c>
    </row>
    <row r="4337" customHeight="1" spans="1:2">
      <c r="A4337" s="3" t="s">
        <v>9000</v>
      </c>
      <c r="B4337" s="4">
        <v>94</v>
      </c>
    </row>
    <row r="4338" customHeight="1" spans="1:2">
      <c r="A4338" s="3" t="s">
        <v>13396</v>
      </c>
      <c r="B4338" s="4">
        <v>123</v>
      </c>
    </row>
    <row r="4339" customHeight="1" spans="1:2">
      <c r="A4339" s="3" t="s">
        <v>20625</v>
      </c>
      <c r="B4339" s="4">
        <v>108</v>
      </c>
    </row>
    <row r="4340" customHeight="1" spans="1:2">
      <c r="A4340" s="3" t="s">
        <v>20901</v>
      </c>
      <c r="B4340" s="4">
        <v>88</v>
      </c>
    </row>
    <row r="4341" customHeight="1" spans="1:2">
      <c r="A4341" s="3" t="s">
        <v>9206</v>
      </c>
      <c r="B4341" s="4">
        <v>120</v>
      </c>
    </row>
    <row r="4342" customHeight="1" spans="1:2">
      <c r="A4342" s="3" t="s">
        <v>22522</v>
      </c>
      <c r="B4342" s="4">
        <v>89</v>
      </c>
    </row>
    <row r="4343" customHeight="1" spans="1:2">
      <c r="A4343" s="3" t="s">
        <v>10921</v>
      </c>
      <c r="B4343" s="4">
        <v>101</v>
      </c>
    </row>
    <row r="4344" customHeight="1" spans="1:2">
      <c r="A4344" s="3" t="s">
        <v>1959</v>
      </c>
      <c r="B4344" s="4">
        <v>93</v>
      </c>
    </row>
    <row r="4345" customHeight="1" spans="1:2">
      <c r="A4345" s="3" t="s">
        <v>23366</v>
      </c>
      <c r="B4345" s="4">
        <v>93</v>
      </c>
    </row>
    <row r="4346" customHeight="1" spans="1:2">
      <c r="A4346" s="3" t="s">
        <v>23258</v>
      </c>
      <c r="B4346" s="4">
        <v>81</v>
      </c>
    </row>
    <row r="4347" customHeight="1" spans="1:2">
      <c r="A4347" s="3" t="s">
        <v>17384</v>
      </c>
      <c r="B4347" s="4">
        <v>129</v>
      </c>
    </row>
    <row r="4348" customHeight="1" spans="1:2">
      <c r="A4348" s="3" t="s">
        <v>5347</v>
      </c>
      <c r="B4348" s="4">
        <v>95</v>
      </c>
    </row>
    <row r="4349" customHeight="1" spans="1:2">
      <c r="A4349" s="3" t="s">
        <v>15136</v>
      </c>
      <c r="B4349" s="4">
        <v>112</v>
      </c>
    </row>
    <row r="4350" customHeight="1" spans="1:2">
      <c r="A4350" s="3" t="s">
        <v>21160</v>
      </c>
      <c r="B4350" s="4">
        <v>120</v>
      </c>
    </row>
    <row r="4351" customHeight="1" spans="1:2">
      <c r="A4351" s="3" t="s">
        <v>3539</v>
      </c>
      <c r="B4351" s="4">
        <v>124</v>
      </c>
    </row>
    <row r="4352" customHeight="1" spans="1:2">
      <c r="A4352" s="3" t="s">
        <v>18370</v>
      </c>
      <c r="B4352" s="4">
        <v>112</v>
      </c>
    </row>
    <row r="4353" customHeight="1" spans="1:2">
      <c r="A4353" s="3" t="s">
        <v>17866</v>
      </c>
      <c r="B4353" s="4">
        <v>112</v>
      </c>
    </row>
    <row r="4354" customHeight="1" spans="1:2">
      <c r="A4354" s="3" t="s">
        <v>6068</v>
      </c>
      <c r="B4354" s="4">
        <v>90</v>
      </c>
    </row>
    <row r="4355" customHeight="1" spans="1:2">
      <c r="A4355" s="3" t="s">
        <v>15314</v>
      </c>
      <c r="B4355" s="4">
        <v>101</v>
      </c>
    </row>
    <row r="4356" customHeight="1" spans="1:2">
      <c r="A4356" s="3" t="s">
        <v>11602</v>
      </c>
      <c r="B4356" s="4">
        <v>101</v>
      </c>
    </row>
    <row r="4357" customHeight="1" spans="1:2">
      <c r="A4357" s="3" t="s">
        <v>11918</v>
      </c>
      <c r="B4357" s="4">
        <v>109</v>
      </c>
    </row>
    <row r="4358" customHeight="1" spans="1:2">
      <c r="A4358" s="3" t="s">
        <v>1742</v>
      </c>
      <c r="B4358" s="4">
        <v>106</v>
      </c>
    </row>
    <row r="4359" customHeight="1" spans="1:2">
      <c r="A4359" s="3" t="s">
        <v>4141</v>
      </c>
      <c r="B4359" s="4">
        <v>93</v>
      </c>
    </row>
    <row r="4360" customHeight="1" spans="1:2">
      <c r="A4360" s="3" t="s">
        <v>6334</v>
      </c>
      <c r="B4360" s="4">
        <v>139</v>
      </c>
    </row>
    <row r="4361" customHeight="1" spans="1:2">
      <c r="A4361" s="3" t="s">
        <v>11490</v>
      </c>
      <c r="B4361" s="4">
        <v>110</v>
      </c>
    </row>
    <row r="4362" customHeight="1" spans="1:2">
      <c r="A4362" s="3" t="s">
        <v>17481</v>
      </c>
      <c r="B4362" s="4">
        <v>96</v>
      </c>
    </row>
    <row r="4363" customHeight="1" spans="1:2">
      <c r="A4363" s="3" t="s">
        <v>3049</v>
      </c>
      <c r="B4363" s="4">
        <v>128</v>
      </c>
    </row>
    <row r="4364" customHeight="1" spans="1:2">
      <c r="A4364" s="3" t="s">
        <v>16942</v>
      </c>
      <c r="B4364" s="4">
        <v>107</v>
      </c>
    </row>
    <row r="4365" customHeight="1" spans="1:2">
      <c r="A4365" s="3" t="s">
        <v>15597</v>
      </c>
      <c r="B4365" s="4">
        <v>176</v>
      </c>
    </row>
    <row r="4366" customHeight="1" spans="1:2">
      <c r="A4366" s="3" t="s">
        <v>18152</v>
      </c>
      <c r="B4366" s="4">
        <v>101</v>
      </c>
    </row>
    <row r="4367" customHeight="1" spans="1:2">
      <c r="A4367" s="3" t="s">
        <v>12412</v>
      </c>
      <c r="B4367" s="4">
        <v>83</v>
      </c>
    </row>
    <row r="4368" customHeight="1" spans="1:2">
      <c r="A4368" s="3" t="s">
        <v>12809</v>
      </c>
      <c r="B4368" s="4">
        <v>123</v>
      </c>
    </row>
    <row r="4369" customHeight="1" spans="1:2">
      <c r="A4369" s="3" t="s">
        <v>4948</v>
      </c>
      <c r="B4369" s="4">
        <v>215</v>
      </c>
    </row>
    <row r="4370" customHeight="1" spans="1:2">
      <c r="A4370" s="3" t="s">
        <v>7051</v>
      </c>
      <c r="B4370" s="4">
        <v>109</v>
      </c>
    </row>
    <row r="4371" customHeight="1" spans="1:2">
      <c r="A4371" s="3" t="s">
        <v>12517</v>
      </c>
      <c r="B4371" s="4">
        <v>100</v>
      </c>
    </row>
    <row r="4372" customHeight="1" spans="1:2">
      <c r="A4372" s="3" t="s">
        <v>5622</v>
      </c>
      <c r="B4372" s="4">
        <v>113</v>
      </c>
    </row>
    <row r="4373" customHeight="1" spans="1:2">
      <c r="A4373" s="3" t="s">
        <v>2333</v>
      </c>
      <c r="B4373" s="4">
        <v>110</v>
      </c>
    </row>
    <row r="4374" customHeight="1" spans="1:2">
      <c r="A4374" s="3" t="s">
        <v>8327</v>
      </c>
      <c r="B4374" s="4">
        <v>92</v>
      </c>
    </row>
    <row r="4375" customHeight="1" spans="1:2">
      <c r="A4375" s="3" t="s">
        <v>10791</v>
      </c>
      <c r="B4375" s="4">
        <v>77</v>
      </c>
    </row>
    <row r="4376" customHeight="1" spans="1:2">
      <c r="A4376" s="3" t="s">
        <v>20115</v>
      </c>
      <c r="B4376" s="4">
        <v>81</v>
      </c>
    </row>
    <row r="4377" customHeight="1" spans="1:2">
      <c r="A4377" s="3" t="s">
        <v>2761</v>
      </c>
      <c r="B4377" s="4">
        <v>96</v>
      </c>
    </row>
    <row r="4378" customHeight="1" spans="1:2">
      <c r="A4378" s="3" t="s">
        <v>6923</v>
      </c>
      <c r="B4378" s="4">
        <v>107</v>
      </c>
    </row>
    <row r="4379" customHeight="1" spans="1:2">
      <c r="A4379" s="3" t="s">
        <v>20957</v>
      </c>
      <c r="B4379" s="4">
        <v>104</v>
      </c>
    </row>
    <row r="4380" customHeight="1" spans="1:2">
      <c r="A4380" s="3" t="s">
        <v>5548</v>
      </c>
      <c r="B4380" s="4">
        <v>89</v>
      </c>
    </row>
    <row r="4381" customHeight="1" spans="1:2">
      <c r="A4381" s="3" t="s">
        <v>20559</v>
      </c>
      <c r="B4381" s="4">
        <v>80</v>
      </c>
    </row>
    <row r="4382" customHeight="1" spans="1:2">
      <c r="A4382" s="3" t="s">
        <v>11502</v>
      </c>
      <c r="B4382" s="4">
        <v>7</v>
      </c>
    </row>
    <row r="4383" customHeight="1" spans="1:2">
      <c r="A4383" s="3" t="s">
        <v>1817</v>
      </c>
      <c r="B4383" s="4">
        <v>206</v>
      </c>
    </row>
    <row r="4384" customHeight="1" spans="1:2">
      <c r="A4384" s="3" t="s">
        <v>7107</v>
      </c>
      <c r="B4384" s="4">
        <v>150</v>
      </c>
    </row>
    <row r="4385" customHeight="1" spans="1:2">
      <c r="A4385" s="3" t="s">
        <v>20126</v>
      </c>
      <c r="B4385" s="4">
        <v>96</v>
      </c>
    </row>
    <row r="4386" customHeight="1" spans="1:2">
      <c r="A4386" s="3" t="s">
        <v>22763</v>
      </c>
      <c r="B4386" s="4">
        <v>91</v>
      </c>
    </row>
    <row r="4387" customHeight="1" spans="1:2">
      <c r="A4387" s="3" t="s">
        <v>17325</v>
      </c>
      <c r="B4387" s="4">
        <v>133</v>
      </c>
    </row>
    <row r="4388" customHeight="1" spans="1:2">
      <c r="A4388" s="3" t="s">
        <v>10480</v>
      </c>
      <c r="B4388" s="4">
        <v>96</v>
      </c>
    </row>
    <row r="4389" customHeight="1" spans="1:2">
      <c r="A4389" s="3" t="s">
        <v>10587</v>
      </c>
      <c r="B4389" s="4">
        <v>92</v>
      </c>
    </row>
    <row r="4390" customHeight="1" spans="1:2">
      <c r="A4390" s="3" t="s">
        <v>7655</v>
      </c>
      <c r="B4390" s="4">
        <v>139</v>
      </c>
    </row>
    <row r="4391" customHeight="1" spans="1:2">
      <c r="A4391" s="3" t="s">
        <v>23488</v>
      </c>
      <c r="B4391" s="4">
        <v>106</v>
      </c>
    </row>
    <row r="4392" customHeight="1" spans="1:2">
      <c r="A4392" s="3" t="s">
        <v>20200</v>
      </c>
      <c r="B4392" s="4">
        <v>80</v>
      </c>
    </row>
    <row r="4393" customHeight="1" spans="1:2">
      <c r="A4393" s="3" t="s">
        <v>21308</v>
      </c>
      <c r="B4393" s="4">
        <v>99</v>
      </c>
    </row>
    <row r="4394" customHeight="1" spans="1:2">
      <c r="A4394" s="3" t="s">
        <v>10041</v>
      </c>
      <c r="B4394" s="4">
        <v>80</v>
      </c>
    </row>
    <row r="4395" customHeight="1" spans="1:2">
      <c r="A4395" s="3" t="s">
        <v>3971</v>
      </c>
      <c r="B4395" s="4">
        <v>103</v>
      </c>
    </row>
    <row r="4396" customHeight="1" spans="1:2">
      <c r="A4396" s="3" t="s">
        <v>4152</v>
      </c>
      <c r="B4396" s="4">
        <v>98</v>
      </c>
    </row>
    <row r="4397" customHeight="1" spans="1:2">
      <c r="A4397" s="3" t="s">
        <v>1108</v>
      </c>
      <c r="B4397" s="4">
        <v>230</v>
      </c>
    </row>
    <row r="4398" customHeight="1" spans="1:2">
      <c r="A4398" s="3" t="s">
        <v>3543</v>
      </c>
      <c r="B4398" s="4">
        <v>124</v>
      </c>
    </row>
    <row r="4399" customHeight="1" spans="1:2">
      <c r="A4399" s="3" t="s">
        <v>4994</v>
      </c>
      <c r="B4399" s="4">
        <v>130</v>
      </c>
    </row>
    <row r="4400" customHeight="1" spans="1:2">
      <c r="A4400" s="3" t="s">
        <v>6961</v>
      </c>
      <c r="B4400" s="4">
        <v>96</v>
      </c>
    </row>
    <row r="4401" customHeight="1" spans="1:2">
      <c r="A4401" s="3" t="s">
        <v>15701</v>
      </c>
      <c r="B4401" s="4">
        <v>114</v>
      </c>
    </row>
    <row r="4402" customHeight="1" spans="1:2">
      <c r="A4402" s="3" t="s">
        <v>12406</v>
      </c>
      <c r="B4402" s="4">
        <v>178</v>
      </c>
    </row>
    <row r="4403" customHeight="1" spans="1:2">
      <c r="A4403" s="3" t="s">
        <v>9452</v>
      </c>
      <c r="B4403" s="4">
        <v>119</v>
      </c>
    </row>
    <row r="4404" customHeight="1" spans="1:2">
      <c r="A4404" s="3" t="s">
        <v>14173</v>
      </c>
      <c r="B4404" s="4">
        <v>118</v>
      </c>
    </row>
    <row r="4405" customHeight="1" spans="1:2">
      <c r="A4405" s="3" t="s">
        <v>17022</v>
      </c>
      <c r="B4405" s="4">
        <v>106</v>
      </c>
    </row>
    <row r="4406" customHeight="1" spans="1:2">
      <c r="A4406" s="3" t="s">
        <v>20043</v>
      </c>
      <c r="B4406" s="4">
        <v>119</v>
      </c>
    </row>
    <row r="4407" customHeight="1" spans="1:2">
      <c r="A4407" s="3" t="s">
        <v>21482</v>
      </c>
      <c r="B4407" s="4">
        <v>76</v>
      </c>
    </row>
    <row r="4408" customHeight="1" spans="1:2">
      <c r="A4408" s="3" t="s">
        <v>13875</v>
      </c>
      <c r="B4408" s="4">
        <v>91</v>
      </c>
    </row>
    <row r="4409" customHeight="1" spans="1:2">
      <c r="A4409" s="3" t="s">
        <v>18757</v>
      </c>
      <c r="B4409" s="4">
        <v>93</v>
      </c>
    </row>
    <row r="4410" customHeight="1" spans="1:2">
      <c r="A4410" s="3" t="s">
        <v>18685</v>
      </c>
      <c r="B4410" s="4">
        <v>100</v>
      </c>
    </row>
    <row r="4411" customHeight="1" spans="1:2">
      <c r="A4411" s="3" t="s">
        <v>12390</v>
      </c>
      <c r="B4411" s="4">
        <v>129</v>
      </c>
    </row>
    <row r="4412" customHeight="1" spans="1:2">
      <c r="A4412" s="3" t="s">
        <v>3279</v>
      </c>
      <c r="B4412" s="4">
        <v>108</v>
      </c>
    </row>
    <row r="4413" customHeight="1" spans="1:2">
      <c r="A4413" s="3" t="s">
        <v>17136</v>
      </c>
      <c r="B4413" s="4">
        <v>90</v>
      </c>
    </row>
    <row r="4414" customHeight="1" spans="1:2">
      <c r="A4414" s="3" t="s">
        <v>20354</v>
      </c>
      <c r="B4414" s="4">
        <v>86</v>
      </c>
    </row>
    <row r="4415" customHeight="1" spans="1:2">
      <c r="A4415" s="3" t="s">
        <v>17999</v>
      </c>
      <c r="B4415" s="4">
        <v>94</v>
      </c>
    </row>
    <row r="4416" customHeight="1" spans="1:2">
      <c r="A4416" s="3" t="s">
        <v>14635</v>
      </c>
      <c r="B4416" s="4">
        <v>125</v>
      </c>
    </row>
    <row r="4417" customHeight="1" spans="1:2">
      <c r="A4417" s="3" t="s">
        <v>8106</v>
      </c>
      <c r="B4417" s="4">
        <v>104</v>
      </c>
    </row>
    <row r="4418" customHeight="1" spans="1:2">
      <c r="A4418" s="3" t="s">
        <v>17201</v>
      </c>
      <c r="B4418" s="4">
        <v>99</v>
      </c>
    </row>
    <row r="4419" customHeight="1" spans="1:2">
      <c r="A4419" s="3" t="s">
        <v>15734</v>
      </c>
      <c r="B4419" s="4">
        <v>156</v>
      </c>
    </row>
    <row r="4420" customHeight="1" spans="1:2">
      <c r="A4420" s="3" t="s">
        <v>7685</v>
      </c>
      <c r="B4420" s="4">
        <v>123</v>
      </c>
    </row>
    <row r="4421" customHeight="1" spans="1:2">
      <c r="A4421" s="3" t="s">
        <v>20587</v>
      </c>
      <c r="B4421" s="4">
        <v>88</v>
      </c>
    </row>
    <row r="4422" customHeight="1" spans="1:2">
      <c r="A4422" s="3" t="s">
        <v>6884</v>
      </c>
      <c r="B4422" s="4">
        <v>113</v>
      </c>
    </row>
    <row r="4423" customHeight="1" spans="1:2">
      <c r="A4423" s="3" t="s">
        <v>6187</v>
      </c>
      <c r="B4423" s="4">
        <v>100</v>
      </c>
    </row>
    <row r="4424" customHeight="1" spans="1:2">
      <c r="A4424" s="3" t="s">
        <v>18519</v>
      </c>
      <c r="B4424" s="4">
        <v>93</v>
      </c>
    </row>
    <row r="4425" customHeight="1" spans="1:2">
      <c r="A4425" s="3" t="s">
        <v>4731</v>
      </c>
      <c r="B4425" s="4">
        <v>204</v>
      </c>
    </row>
    <row r="4426" customHeight="1" spans="1:2">
      <c r="A4426" s="3" t="s">
        <v>7850</v>
      </c>
      <c r="B4426" s="4">
        <v>97</v>
      </c>
    </row>
    <row r="4427" customHeight="1" spans="1:2">
      <c r="A4427" s="3" t="s">
        <v>10335</v>
      </c>
      <c r="B4427" s="4">
        <v>111</v>
      </c>
    </row>
    <row r="4428" customHeight="1" spans="1:2">
      <c r="A4428" s="3" t="s">
        <v>10200</v>
      </c>
      <c r="B4428" s="4">
        <v>90</v>
      </c>
    </row>
    <row r="4429" customHeight="1" spans="1:2">
      <c r="A4429" s="3" t="s">
        <v>16424</v>
      </c>
      <c r="B4429" s="4">
        <v>107</v>
      </c>
    </row>
    <row r="4430" customHeight="1" spans="1:2">
      <c r="A4430" s="3" t="s">
        <v>15690</v>
      </c>
      <c r="B4430" s="4">
        <v>119</v>
      </c>
    </row>
    <row r="4431" customHeight="1" spans="1:2">
      <c r="A4431" s="3" t="s">
        <v>17627</v>
      </c>
      <c r="B4431" s="4">
        <v>103</v>
      </c>
    </row>
    <row r="4432" customHeight="1" spans="1:2">
      <c r="A4432" s="3" t="s">
        <v>11195</v>
      </c>
      <c r="B4432" s="4">
        <v>102</v>
      </c>
    </row>
    <row r="4433" customHeight="1" spans="1:2">
      <c r="A4433" s="3" t="s">
        <v>12835</v>
      </c>
      <c r="B4433" s="4">
        <v>90</v>
      </c>
    </row>
    <row r="4434" customHeight="1" spans="1:2">
      <c r="A4434" s="3" t="s">
        <v>8882</v>
      </c>
      <c r="B4434" s="4">
        <v>103</v>
      </c>
    </row>
    <row r="4435" customHeight="1" spans="1:2">
      <c r="A4435" s="3" t="s">
        <v>16226</v>
      </c>
      <c r="B4435" s="4">
        <v>99</v>
      </c>
    </row>
    <row r="4436" customHeight="1" spans="1:2">
      <c r="A4436" s="3" t="s">
        <v>12563</v>
      </c>
      <c r="B4436" s="4">
        <v>135</v>
      </c>
    </row>
    <row r="4437" customHeight="1" spans="1:2">
      <c r="A4437" s="3" t="s">
        <v>12023</v>
      </c>
      <c r="B4437" s="4">
        <v>144</v>
      </c>
    </row>
    <row r="4438" customHeight="1" spans="1:2">
      <c r="A4438" s="3" t="s">
        <v>10096</v>
      </c>
      <c r="B4438" s="4">
        <v>98</v>
      </c>
    </row>
    <row r="4439" customHeight="1" spans="1:2">
      <c r="A4439" s="3" t="s">
        <v>8551</v>
      </c>
      <c r="B4439" s="4">
        <v>98</v>
      </c>
    </row>
    <row r="4440" customHeight="1" spans="1:2">
      <c r="A4440" s="3" t="s">
        <v>16182</v>
      </c>
      <c r="B4440" s="4">
        <v>98</v>
      </c>
    </row>
    <row r="4441" customHeight="1" spans="1:2">
      <c r="A4441" s="3" t="s">
        <v>21414</v>
      </c>
      <c r="B4441" s="4">
        <v>84</v>
      </c>
    </row>
    <row r="4442" customHeight="1" spans="1:2">
      <c r="A4442" s="3" t="s">
        <v>13843</v>
      </c>
      <c r="B4442" s="4">
        <v>112</v>
      </c>
    </row>
    <row r="4443" customHeight="1" spans="1:2">
      <c r="A4443" s="3" t="s">
        <v>17198</v>
      </c>
      <c r="B4443" s="4">
        <v>144</v>
      </c>
    </row>
    <row r="4444" customHeight="1" spans="1:2">
      <c r="A4444" s="3" t="s">
        <v>9570</v>
      </c>
      <c r="B4444" s="4">
        <v>85</v>
      </c>
    </row>
    <row r="4445" customHeight="1" spans="1:2">
      <c r="A4445" s="3" t="s">
        <v>15921</v>
      </c>
      <c r="B4445" s="4">
        <v>127</v>
      </c>
    </row>
    <row r="4446" customHeight="1" spans="1:2">
      <c r="A4446" s="3" t="s">
        <v>18919</v>
      </c>
      <c r="B4446" s="4">
        <v>92</v>
      </c>
    </row>
    <row r="4447" customHeight="1" spans="1:2">
      <c r="A4447" s="3" t="s">
        <v>10151</v>
      </c>
      <c r="B4447" s="4">
        <v>118</v>
      </c>
    </row>
    <row r="4448" customHeight="1" spans="1:2">
      <c r="A4448" s="3" t="s">
        <v>19682</v>
      </c>
      <c r="B4448" s="4">
        <v>102</v>
      </c>
    </row>
    <row r="4449" customHeight="1" spans="1:2">
      <c r="A4449" s="3" t="s">
        <v>1833</v>
      </c>
      <c r="B4449" s="4">
        <v>240</v>
      </c>
    </row>
    <row r="4450" customHeight="1" spans="1:2">
      <c r="A4450" s="3" t="s">
        <v>898</v>
      </c>
      <c r="B4450" s="4">
        <v>119</v>
      </c>
    </row>
    <row r="4451" customHeight="1" spans="1:2">
      <c r="A4451" s="3" t="s">
        <v>1447</v>
      </c>
      <c r="B4451" s="4">
        <v>138</v>
      </c>
    </row>
    <row r="4452" customHeight="1" spans="1:2">
      <c r="A4452" s="3" t="s">
        <v>23579</v>
      </c>
      <c r="B4452" s="4">
        <v>88</v>
      </c>
    </row>
    <row r="4453" customHeight="1" spans="1:2">
      <c r="A4453" s="3" t="s">
        <v>12751</v>
      </c>
      <c r="B4453" s="4">
        <v>95</v>
      </c>
    </row>
    <row r="4454" customHeight="1" spans="1:2">
      <c r="A4454" s="3" t="s">
        <v>12462</v>
      </c>
      <c r="B4454" s="4">
        <v>114</v>
      </c>
    </row>
    <row r="4455" customHeight="1" spans="1:2">
      <c r="A4455" s="3" t="s">
        <v>17019</v>
      </c>
      <c r="B4455" s="4">
        <v>106</v>
      </c>
    </row>
    <row r="4456" customHeight="1" spans="1:2">
      <c r="A4456" s="3" t="s">
        <v>17114</v>
      </c>
      <c r="B4456" s="4">
        <v>102</v>
      </c>
    </row>
    <row r="4457" customHeight="1" spans="1:2">
      <c r="A4457" s="3" t="s">
        <v>16914</v>
      </c>
      <c r="B4457" s="4">
        <v>100</v>
      </c>
    </row>
    <row r="4458" customHeight="1" spans="1:2">
      <c r="A4458" s="3" t="s">
        <v>16370</v>
      </c>
      <c r="B4458" s="4">
        <v>118</v>
      </c>
    </row>
    <row r="4459" customHeight="1" spans="1:2">
      <c r="A4459" s="3" t="s">
        <v>23679</v>
      </c>
      <c r="B4459" s="4">
        <v>77</v>
      </c>
    </row>
    <row r="4460" customHeight="1" spans="1:2">
      <c r="A4460" s="3" t="s">
        <v>23548</v>
      </c>
      <c r="B4460" s="4">
        <v>104</v>
      </c>
    </row>
    <row r="4461" customHeight="1" spans="1:2">
      <c r="A4461" s="3" t="s">
        <v>1094</v>
      </c>
      <c r="B4461" s="4">
        <v>128</v>
      </c>
    </row>
    <row r="4462" customHeight="1" spans="1:2">
      <c r="A4462" s="3" t="s">
        <v>10957</v>
      </c>
      <c r="B4462" s="4">
        <v>109</v>
      </c>
    </row>
    <row r="4463" customHeight="1" spans="1:2">
      <c r="A4463" s="3" t="s">
        <v>9968</v>
      </c>
      <c r="B4463" s="4">
        <v>127</v>
      </c>
    </row>
    <row r="4464" customHeight="1" spans="1:2">
      <c r="A4464" s="3" t="s">
        <v>12032</v>
      </c>
      <c r="B4464" s="4">
        <v>93</v>
      </c>
    </row>
    <row r="4465" customHeight="1" spans="1:2">
      <c r="A4465" s="3" t="s">
        <v>17038</v>
      </c>
      <c r="B4465" s="4">
        <v>109</v>
      </c>
    </row>
    <row r="4466" customHeight="1" spans="1:2">
      <c r="A4466" s="3" t="s">
        <v>3616</v>
      </c>
      <c r="B4466" s="4">
        <v>121</v>
      </c>
    </row>
    <row r="4467" customHeight="1" spans="1:2">
      <c r="A4467" s="3" t="s">
        <v>7538</v>
      </c>
      <c r="B4467" s="4">
        <v>108</v>
      </c>
    </row>
    <row r="4468" customHeight="1" spans="1:2">
      <c r="A4468" s="3" t="s">
        <v>11429</v>
      </c>
      <c r="B4468" s="4">
        <v>115</v>
      </c>
    </row>
    <row r="4469" customHeight="1" spans="1:2">
      <c r="A4469" s="3" t="s">
        <v>12686</v>
      </c>
      <c r="B4469" s="4">
        <v>102</v>
      </c>
    </row>
    <row r="4470" customHeight="1" spans="1:2">
      <c r="A4470" s="3" t="s">
        <v>7956</v>
      </c>
      <c r="B4470" s="4">
        <v>105</v>
      </c>
    </row>
    <row r="4471" customHeight="1" spans="1:2">
      <c r="A4471" s="3" t="s">
        <v>12418</v>
      </c>
      <c r="B4471" s="4">
        <v>111</v>
      </c>
    </row>
    <row r="4472" customHeight="1" spans="1:2">
      <c r="A4472" s="3" t="s">
        <v>22202</v>
      </c>
      <c r="B4472" s="4">
        <v>87</v>
      </c>
    </row>
    <row r="4473" customHeight="1" spans="1:2">
      <c r="A4473" s="3" t="s">
        <v>7647</v>
      </c>
      <c r="B4473" s="4">
        <v>100</v>
      </c>
    </row>
    <row r="4474" customHeight="1" spans="1:2">
      <c r="A4474" s="3" t="s">
        <v>7252</v>
      </c>
      <c r="B4474" s="4">
        <v>102</v>
      </c>
    </row>
    <row r="4475" customHeight="1" spans="1:2">
      <c r="A4475" s="3" t="s">
        <v>14747</v>
      </c>
      <c r="B4475" s="4">
        <v>99</v>
      </c>
    </row>
    <row r="4476" customHeight="1" spans="1:2">
      <c r="A4476" s="3" t="s">
        <v>9565</v>
      </c>
      <c r="B4476" s="4">
        <v>158</v>
      </c>
    </row>
    <row r="4477" customHeight="1" spans="1:2">
      <c r="A4477" s="3" t="s">
        <v>10343</v>
      </c>
      <c r="B4477" s="4">
        <v>107</v>
      </c>
    </row>
    <row r="4478" customHeight="1" spans="1:2">
      <c r="A4478" s="3" t="s">
        <v>23509</v>
      </c>
      <c r="B4478" s="4">
        <v>105</v>
      </c>
    </row>
    <row r="4479" customHeight="1" spans="1:2">
      <c r="A4479" s="3" t="s">
        <v>19555</v>
      </c>
      <c r="B4479" s="4">
        <v>83</v>
      </c>
    </row>
    <row r="4480" customHeight="1" spans="1:2">
      <c r="A4480" s="3" t="s">
        <v>18487</v>
      </c>
      <c r="B4480" s="4">
        <v>93</v>
      </c>
    </row>
    <row r="4481" customHeight="1" spans="1:2">
      <c r="A4481" s="3" t="s">
        <v>22430</v>
      </c>
      <c r="B4481" s="4">
        <v>105</v>
      </c>
    </row>
    <row r="4482" customHeight="1" spans="1:2">
      <c r="A4482" s="3" t="s">
        <v>12238</v>
      </c>
      <c r="B4482" s="4">
        <v>89</v>
      </c>
    </row>
    <row r="4483" customHeight="1" spans="1:2">
      <c r="A4483" s="3" t="s">
        <v>13221</v>
      </c>
      <c r="B4483" s="4">
        <v>115</v>
      </c>
    </row>
    <row r="4484" customHeight="1" spans="1:2">
      <c r="A4484" s="3" t="s">
        <v>12549</v>
      </c>
      <c r="B4484" s="4">
        <v>118</v>
      </c>
    </row>
    <row r="4485" customHeight="1" spans="1:2">
      <c r="A4485" s="3" t="s">
        <v>10093</v>
      </c>
      <c r="B4485" s="4">
        <v>106</v>
      </c>
    </row>
    <row r="4486" customHeight="1" spans="1:2">
      <c r="A4486" s="3" t="s">
        <v>14029</v>
      </c>
      <c r="B4486" s="4">
        <v>122</v>
      </c>
    </row>
    <row r="4487" customHeight="1" spans="1:2">
      <c r="A4487" s="3" t="s">
        <v>13471</v>
      </c>
      <c r="B4487" s="4">
        <v>93</v>
      </c>
    </row>
    <row r="4488" customHeight="1" spans="1:2">
      <c r="A4488" s="3" t="s">
        <v>11572</v>
      </c>
      <c r="B4488" s="4">
        <v>91</v>
      </c>
    </row>
    <row r="4489" customHeight="1" spans="1:2">
      <c r="A4489" s="3" t="s">
        <v>19400</v>
      </c>
      <c r="B4489" s="4">
        <v>104</v>
      </c>
    </row>
    <row r="4490" customHeight="1" spans="1:2">
      <c r="A4490" s="3" t="s">
        <v>2822</v>
      </c>
      <c r="B4490" s="4">
        <v>145</v>
      </c>
    </row>
    <row r="4491" customHeight="1" spans="1:2">
      <c r="A4491" s="3" t="s">
        <v>20223</v>
      </c>
      <c r="B4491" s="4">
        <v>100</v>
      </c>
    </row>
    <row r="4492" customHeight="1" spans="1:2">
      <c r="A4492" s="3" t="s">
        <v>13714</v>
      </c>
      <c r="B4492" s="4">
        <v>117</v>
      </c>
    </row>
    <row r="4493" customHeight="1" spans="1:2">
      <c r="A4493" s="3" t="s">
        <v>7374</v>
      </c>
      <c r="B4493" s="4">
        <v>134</v>
      </c>
    </row>
    <row r="4494" customHeight="1" spans="1:2">
      <c r="A4494" s="3" t="s">
        <v>19967</v>
      </c>
      <c r="B4494" s="4">
        <v>101</v>
      </c>
    </row>
    <row r="4495" customHeight="1" spans="1:2">
      <c r="A4495" s="3" t="s">
        <v>4072</v>
      </c>
      <c r="B4495" s="4">
        <v>111</v>
      </c>
    </row>
    <row r="4496" customHeight="1" spans="1:2">
      <c r="A4496" s="3" t="s">
        <v>23908</v>
      </c>
      <c r="B4496" s="4">
        <v>83</v>
      </c>
    </row>
    <row r="4497" customHeight="1" spans="1:2">
      <c r="A4497" s="3" t="s">
        <v>7917</v>
      </c>
      <c r="B4497" s="4">
        <v>107</v>
      </c>
    </row>
    <row r="4498" customHeight="1" spans="1:2">
      <c r="A4498" s="3" t="s">
        <v>10863</v>
      </c>
      <c r="B4498" s="4">
        <v>103</v>
      </c>
    </row>
    <row r="4499" customHeight="1" spans="1:2">
      <c r="A4499" s="3" t="s">
        <v>3747</v>
      </c>
      <c r="B4499" s="4">
        <v>103</v>
      </c>
    </row>
    <row r="4500" customHeight="1" spans="1:2">
      <c r="A4500" s="3" t="s">
        <v>20416</v>
      </c>
      <c r="B4500" s="4">
        <v>100</v>
      </c>
    </row>
    <row r="4501" customHeight="1" spans="1:2">
      <c r="A4501" s="3" t="s">
        <v>11622</v>
      </c>
      <c r="B4501" s="4">
        <v>85</v>
      </c>
    </row>
    <row r="4502" customHeight="1" spans="1:2">
      <c r="A4502" s="3" t="s">
        <v>859</v>
      </c>
      <c r="B4502" s="4">
        <v>115</v>
      </c>
    </row>
    <row r="4503" customHeight="1" spans="1:2">
      <c r="A4503" s="3" t="s">
        <v>843</v>
      </c>
      <c r="B4503" s="4">
        <v>112</v>
      </c>
    </row>
    <row r="4504" customHeight="1" spans="1:2">
      <c r="A4504" s="3" t="s">
        <v>19955</v>
      </c>
      <c r="B4504" s="4">
        <v>101</v>
      </c>
    </row>
    <row r="4505" customHeight="1" spans="1:2">
      <c r="A4505" s="3" t="s">
        <v>13147</v>
      </c>
      <c r="B4505" s="4">
        <v>107</v>
      </c>
    </row>
    <row r="4506" customHeight="1" spans="1:2">
      <c r="A4506" s="3" t="s">
        <v>11507</v>
      </c>
      <c r="B4506" s="4">
        <v>102</v>
      </c>
    </row>
    <row r="4507" customHeight="1" spans="1:2">
      <c r="A4507" s="3" t="s">
        <v>5553</v>
      </c>
      <c r="B4507" s="4">
        <v>114</v>
      </c>
    </row>
    <row r="4508" customHeight="1" spans="1:2">
      <c r="A4508" s="3" t="s">
        <v>11240</v>
      </c>
      <c r="B4508" s="4">
        <v>98</v>
      </c>
    </row>
    <row r="4509" customHeight="1" spans="1:2">
      <c r="A4509" s="3" t="s">
        <v>18592</v>
      </c>
      <c r="B4509" s="4">
        <v>96</v>
      </c>
    </row>
    <row r="4510" customHeight="1" spans="1:2">
      <c r="A4510" s="3" t="s">
        <v>7828</v>
      </c>
      <c r="B4510" s="4">
        <v>85</v>
      </c>
    </row>
    <row r="4511" customHeight="1" spans="1:2">
      <c r="A4511" s="3" t="s">
        <v>15609</v>
      </c>
      <c r="B4511" s="4">
        <v>130</v>
      </c>
    </row>
    <row r="4512" customHeight="1" spans="1:2">
      <c r="A4512" s="3" t="s">
        <v>4807</v>
      </c>
      <c r="B4512" s="4">
        <v>95</v>
      </c>
    </row>
    <row r="4513" customHeight="1" spans="1:2">
      <c r="A4513" s="3" t="s">
        <v>12698</v>
      </c>
      <c r="B4513" s="4">
        <v>103</v>
      </c>
    </row>
    <row r="4514" customHeight="1" spans="1:2">
      <c r="A4514" s="3" t="s">
        <v>23830</v>
      </c>
      <c r="B4514" s="4">
        <v>75</v>
      </c>
    </row>
    <row r="4515" customHeight="1" spans="1:2">
      <c r="A4515" s="3" t="s">
        <v>19493</v>
      </c>
      <c r="B4515" s="4">
        <v>93</v>
      </c>
    </row>
    <row r="4516" customHeight="1" spans="1:2">
      <c r="A4516" s="3" t="s">
        <v>19785</v>
      </c>
      <c r="B4516" s="4">
        <v>100</v>
      </c>
    </row>
    <row r="4517" customHeight="1" spans="1:2">
      <c r="A4517" s="3" t="s">
        <v>14084</v>
      </c>
      <c r="B4517" s="4">
        <v>103</v>
      </c>
    </row>
    <row r="4518" customHeight="1" spans="1:2">
      <c r="A4518" s="3" t="s">
        <v>22126</v>
      </c>
      <c r="B4518" s="4">
        <v>95</v>
      </c>
    </row>
    <row r="4519" customHeight="1" spans="1:2">
      <c r="A4519" s="3" t="s">
        <v>19026</v>
      </c>
      <c r="B4519" s="4">
        <v>100</v>
      </c>
    </row>
    <row r="4520" customHeight="1" spans="1:2">
      <c r="A4520" s="3" t="s">
        <v>8915</v>
      </c>
      <c r="B4520" s="4">
        <v>99</v>
      </c>
    </row>
    <row r="4521" customHeight="1" spans="1:2">
      <c r="A4521" s="3" t="s">
        <v>19776</v>
      </c>
      <c r="B4521" s="4">
        <v>66</v>
      </c>
    </row>
    <row r="4522" customHeight="1" spans="1:2">
      <c r="A4522" s="3" t="s">
        <v>2857</v>
      </c>
      <c r="B4522" s="4">
        <v>116</v>
      </c>
    </row>
    <row r="4523" customHeight="1" spans="1:2">
      <c r="A4523" s="3" t="s">
        <v>24076</v>
      </c>
      <c r="B4523" s="4">
        <v>83</v>
      </c>
    </row>
    <row r="4524" customHeight="1" spans="1:2">
      <c r="A4524" s="3" t="s">
        <v>5813</v>
      </c>
      <c r="B4524" s="4">
        <v>135</v>
      </c>
    </row>
    <row r="4525" customHeight="1" spans="1:2">
      <c r="A4525" s="3" t="s">
        <v>10616</v>
      </c>
      <c r="B4525" s="4">
        <v>127</v>
      </c>
    </row>
    <row r="4526" customHeight="1" spans="1:2">
      <c r="A4526" s="3" t="s">
        <v>23861</v>
      </c>
      <c r="B4526" s="4">
        <v>98</v>
      </c>
    </row>
    <row r="4527" customHeight="1" spans="1:2">
      <c r="A4527" s="3" t="s">
        <v>3157</v>
      </c>
      <c r="B4527" s="4">
        <v>94</v>
      </c>
    </row>
    <row r="4528" customHeight="1" spans="1:2">
      <c r="A4528" s="3" t="s">
        <v>218</v>
      </c>
      <c r="B4528" s="4">
        <v>194</v>
      </c>
    </row>
    <row r="4529" customHeight="1" spans="1:2">
      <c r="A4529" s="3" t="s">
        <v>7350</v>
      </c>
      <c r="B4529" s="4">
        <v>87</v>
      </c>
    </row>
    <row r="4530" customHeight="1" spans="1:2">
      <c r="A4530" s="3" t="s">
        <v>20502</v>
      </c>
      <c r="B4530" s="4">
        <v>81</v>
      </c>
    </row>
    <row r="4531" customHeight="1" spans="1:2">
      <c r="A4531" s="3" t="s">
        <v>11010</v>
      </c>
      <c r="B4531" s="4">
        <v>106</v>
      </c>
    </row>
    <row r="4532" customHeight="1" spans="1:2">
      <c r="A4532" s="3" t="s">
        <v>20152</v>
      </c>
      <c r="B4532" s="4">
        <v>129</v>
      </c>
    </row>
    <row r="4533" customHeight="1" spans="1:2">
      <c r="A4533" s="3" t="s">
        <v>10551</v>
      </c>
      <c r="B4533" s="4">
        <v>112</v>
      </c>
    </row>
    <row r="4534" customHeight="1" spans="1:2">
      <c r="A4534" s="3" t="s">
        <v>22526</v>
      </c>
      <c r="B4534" s="4">
        <v>120</v>
      </c>
    </row>
    <row r="4535" customHeight="1" spans="1:2">
      <c r="A4535" s="3" t="s">
        <v>21517</v>
      </c>
      <c r="B4535" s="4">
        <v>121</v>
      </c>
    </row>
    <row r="4536" customHeight="1" spans="1:2">
      <c r="A4536" s="3" t="s">
        <v>9486</v>
      </c>
      <c r="B4536" s="4">
        <v>134</v>
      </c>
    </row>
    <row r="4537" customHeight="1" spans="1:2">
      <c r="A4537" s="3" t="s">
        <v>14606</v>
      </c>
      <c r="B4537" s="4">
        <v>95</v>
      </c>
    </row>
    <row r="4538" customHeight="1" spans="1:2">
      <c r="A4538" s="3" t="s">
        <v>1520</v>
      </c>
      <c r="B4538" s="4">
        <v>119</v>
      </c>
    </row>
    <row r="4539" customHeight="1" spans="1:2">
      <c r="A4539" s="3" t="s">
        <v>609</v>
      </c>
      <c r="B4539" s="4">
        <v>130</v>
      </c>
    </row>
    <row r="4540" customHeight="1" spans="1:2">
      <c r="A4540" s="3" t="s">
        <v>12654</v>
      </c>
      <c r="B4540" s="4">
        <v>116</v>
      </c>
    </row>
    <row r="4541" customHeight="1" spans="1:2">
      <c r="A4541" s="3" t="s">
        <v>2912</v>
      </c>
      <c r="B4541" s="4">
        <v>89</v>
      </c>
    </row>
    <row r="4542" customHeight="1" spans="1:2">
      <c r="A4542" s="3" t="s">
        <v>14148</v>
      </c>
      <c r="B4542" s="4">
        <v>102</v>
      </c>
    </row>
    <row r="4543" customHeight="1" spans="1:2">
      <c r="A4543" s="3" t="s">
        <v>12658</v>
      </c>
      <c r="B4543" s="4">
        <v>110</v>
      </c>
    </row>
    <row r="4544" customHeight="1" spans="1:2">
      <c r="A4544" s="3" t="s">
        <v>22382</v>
      </c>
      <c r="B4544" s="4">
        <v>81</v>
      </c>
    </row>
    <row r="4545" customHeight="1" spans="1:2">
      <c r="A4545" s="3" t="s">
        <v>23626</v>
      </c>
      <c r="B4545" s="4">
        <v>80</v>
      </c>
    </row>
    <row r="4546" customHeight="1" spans="1:2">
      <c r="A4546" s="3" t="s">
        <v>18558</v>
      </c>
      <c r="B4546" s="4">
        <v>127</v>
      </c>
    </row>
    <row r="4547" customHeight="1" spans="1:2">
      <c r="A4547" s="3" t="s">
        <v>11331</v>
      </c>
      <c r="B4547" s="4">
        <v>154</v>
      </c>
    </row>
    <row r="4548" customHeight="1" spans="1:2">
      <c r="A4548" s="3" t="s">
        <v>9672</v>
      </c>
      <c r="B4548" s="4">
        <v>160</v>
      </c>
    </row>
    <row r="4549" customHeight="1" spans="1:2">
      <c r="A4549" s="3" t="s">
        <v>19273</v>
      </c>
      <c r="B4549" s="4">
        <v>128</v>
      </c>
    </row>
    <row r="4550" customHeight="1" spans="1:2">
      <c r="A4550" s="3" t="s">
        <v>6713</v>
      </c>
      <c r="B4550" s="4">
        <v>84</v>
      </c>
    </row>
    <row r="4551" customHeight="1" spans="1:2">
      <c r="A4551" s="3" t="s">
        <v>1309</v>
      </c>
      <c r="B4551" s="4">
        <v>226</v>
      </c>
    </row>
    <row r="4552" customHeight="1" spans="1:2">
      <c r="A4552" s="3" t="s">
        <v>20242</v>
      </c>
      <c r="B4552" s="4">
        <v>106</v>
      </c>
    </row>
    <row r="4553" customHeight="1" spans="1:2">
      <c r="A4553" s="3" t="s">
        <v>2365</v>
      </c>
      <c r="B4553" s="4">
        <v>104</v>
      </c>
    </row>
    <row r="4554" customHeight="1" spans="1:2">
      <c r="A4554" s="3" t="s">
        <v>13369</v>
      </c>
      <c r="B4554" s="4">
        <v>65</v>
      </c>
    </row>
    <row r="4555" customHeight="1" spans="1:2">
      <c r="A4555" s="3" t="s">
        <v>1684</v>
      </c>
      <c r="B4555" s="4">
        <v>104</v>
      </c>
    </row>
    <row r="4556" customHeight="1" spans="1:2">
      <c r="A4556" s="3" t="s">
        <v>2081</v>
      </c>
      <c r="B4556" s="4">
        <v>82</v>
      </c>
    </row>
    <row r="4557" customHeight="1" spans="1:2">
      <c r="A4557" s="3" t="s">
        <v>325</v>
      </c>
      <c r="B4557" s="4">
        <v>103</v>
      </c>
    </row>
    <row r="4558" customHeight="1" spans="1:2">
      <c r="A4558" s="3" t="s">
        <v>8097</v>
      </c>
      <c r="B4558" s="4">
        <v>74</v>
      </c>
    </row>
    <row r="4559" customHeight="1" spans="1:2">
      <c r="A4559" s="3" t="s">
        <v>16936</v>
      </c>
      <c r="B4559" s="4">
        <v>102</v>
      </c>
    </row>
    <row r="4560" customHeight="1" spans="1:2">
      <c r="A4560" s="3" t="s">
        <v>17330</v>
      </c>
      <c r="B4560" s="4">
        <v>88</v>
      </c>
    </row>
    <row r="4561" customHeight="1" spans="1:2">
      <c r="A4561" s="3" t="s">
        <v>14385</v>
      </c>
      <c r="B4561" s="4">
        <v>120</v>
      </c>
    </row>
    <row r="4562" customHeight="1" spans="1:2">
      <c r="A4562" s="3" t="s">
        <v>15662</v>
      </c>
      <c r="B4562" s="4">
        <v>116</v>
      </c>
    </row>
    <row r="4563" customHeight="1" spans="1:2">
      <c r="A4563" s="3" t="s">
        <v>5518</v>
      </c>
      <c r="B4563" s="4">
        <v>190</v>
      </c>
    </row>
    <row r="4564" customHeight="1" spans="1:2">
      <c r="A4564" s="3" t="s">
        <v>18947</v>
      </c>
      <c r="B4564" s="4">
        <v>94</v>
      </c>
    </row>
    <row r="4565" customHeight="1" spans="1:2">
      <c r="A4565" s="3" t="s">
        <v>5748</v>
      </c>
      <c r="B4565" s="4">
        <v>122</v>
      </c>
    </row>
    <row r="4566" customHeight="1" spans="1:2">
      <c r="A4566" s="3" t="s">
        <v>19174</v>
      </c>
      <c r="B4566" s="4">
        <v>94</v>
      </c>
    </row>
    <row r="4567" customHeight="1" spans="1:2">
      <c r="A4567" s="3" t="s">
        <v>7300</v>
      </c>
      <c r="B4567" s="4">
        <v>129</v>
      </c>
    </row>
    <row r="4568" customHeight="1" spans="1:2">
      <c r="A4568" s="3" t="s">
        <v>12567</v>
      </c>
      <c r="B4568" s="4">
        <v>202</v>
      </c>
    </row>
    <row r="4569" customHeight="1" spans="1:2">
      <c r="A4569" s="3" t="s">
        <v>21570</v>
      </c>
      <c r="B4569" s="4">
        <v>103</v>
      </c>
    </row>
    <row r="4570" customHeight="1" spans="1:2">
      <c r="A4570" s="3" t="s">
        <v>2029</v>
      </c>
      <c r="B4570" s="4">
        <v>119</v>
      </c>
    </row>
    <row r="4571" customHeight="1" spans="1:2">
      <c r="A4571" s="3" t="s">
        <v>758</v>
      </c>
      <c r="B4571" s="4">
        <v>144</v>
      </c>
    </row>
    <row r="4572" customHeight="1" spans="1:2">
      <c r="A4572" s="3" t="s">
        <v>288</v>
      </c>
      <c r="B4572" s="4">
        <v>165</v>
      </c>
    </row>
    <row r="4573" customHeight="1" spans="1:2">
      <c r="A4573" s="3" t="s">
        <v>387</v>
      </c>
      <c r="B4573" s="4">
        <v>154</v>
      </c>
    </row>
    <row r="4574" customHeight="1" spans="1:2">
      <c r="A4574" s="3" t="s">
        <v>283</v>
      </c>
      <c r="B4574" s="4">
        <v>150</v>
      </c>
    </row>
    <row r="4575" customHeight="1" spans="1:2">
      <c r="A4575" s="3" t="s">
        <v>7974</v>
      </c>
      <c r="B4575" s="4">
        <v>87</v>
      </c>
    </row>
    <row r="4576" customHeight="1" spans="1:2">
      <c r="A4576" s="3" t="s">
        <v>13184</v>
      </c>
      <c r="B4576" s="4">
        <v>111</v>
      </c>
    </row>
    <row r="4577" customHeight="1" spans="1:2">
      <c r="A4577" s="3" t="s">
        <v>18478</v>
      </c>
      <c r="B4577" s="4">
        <v>105</v>
      </c>
    </row>
    <row r="4578" customHeight="1" spans="1:2">
      <c r="A4578" s="3" t="s">
        <v>8647</v>
      </c>
      <c r="B4578" s="4">
        <v>511</v>
      </c>
    </row>
    <row r="4579" customHeight="1" spans="1:2">
      <c r="A4579" s="3" t="s">
        <v>14501</v>
      </c>
      <c r="B4579" s="4">
        <v>114</v>
      </c>
    </row>
    <row r="4580" customHeight="1" spans="1:2">
      <c r="A4580" s="3" t="s">
        <v>20715</v>
      </c>
      <c r="B4580" s="4">
        <v>108</v>
      </c>
    </row>
    <row r="4581" customHeight="1" spans="1:2">
      <c r="A4581" s="3" t="s">
        <v>22371</v>
      </c>
      <c r="B4581" s="4">
        <v>67</v>
      </c>
    </row>
    <row r="4582" customHeight="1" spans="1:2">
      <c r="A4582" s="3" t="s">
        <v>18199</v>
      </c>
      <c r="B4582" s="4">
        <v>92</v>
      </c>
    </row>
    <row r="4583" customHeight="1" spans="1:2">
      <c r="A4583" s="3" t="s">
        <v>1871</v>
      </c>
      <c r="B4583" s="4">
        <v>95</v>
      </c>
    </row>
    <row r="4584" customHeight="1" spans="1:2">
      <c r="A4584" s="3" t="s">
        <v>21168</v>
      </c>
      <c r="B4584" s="4">
        <v>95</v>
      </c>
    </row>
    <row r="4585" customHeight="1" spans="1:2">
      <c r="A4585" s="3" t="s">
        <v>22941</v>
      </c>
      <c r="B4585" s="4">
        <v>86</v>
      </c>
    </row>
    <row r="4586" customHeight="1" spans="1:2">
      <c r="A4586" s="3" t="s">
        <v>15003</v>
      </c>
      <c r="B4586" s="4">
        <v>96</v>
      </c>
    </row>
    <row r="4587" customHeight="1" spans="1:2">
      <c r="A4587" s="3" t="s">
        <v>14437</v>
      </c>
      <c r="B4587" s="4">
        <v>99</v>
      </c>
    </row>
    <row r="4588" customHeight="1" spans="1:2">
      <c r="A4588" s="3" t="s">
        <v>11231</v>
      </c>
      <c r="B4588" s="4">
        <v>115</v>
      </c>
    </row>
    <row r="4589" customHeight="1" spans="1:2">
      <c r="A4589" s="3" t="s">
        <v>19303</v>
      </c>
      <c r="B4589" s="4">
        <v>94</v>
      </c>
    </row>
    <row r="4590" customHeight="1" spans="1:2">
      <c r="A4590" s="3" t="s">
        <v>18129</v>
      </c>
      <c r="B4590" s="4">
        <v>94</v>
      </c>
    </row>
    <row r="4591" customHeight="1" spans="1:2">
      <c r="A4591" s="3" t="s">
        <v>18977</v>
      </c>
      <c r="B4591" s="4">
        <v>103</v>
      </c>
    </row>
    <row r="4592" customHeight="1" spans="1:2">
      <c r="A4592" s="3" t="s">
        <v>304</v>
      </c>
      <c r="B4592" s="4">
        <v>250</v>
      </c>
    </row>
    <row r="4593" customHeight="1" spans="1:2">
      <c r="A4593" s="3" t="s">
        <v>11944</v>
      </c>
      <c r="B4593" s="4">
        <v>105</v>
      </c>
    </row>
    <row r="4594" customHeight="1" spans="1:2">
      <c r="A4594" s="3" t="s">
        <v>2139</v>
      </c>
      <c r="B4594" s="4">
        <v>121</v>
      </c>
    </row>
    <row r="4595" customHeight="1" spans="1:2">
      <c r="A4595" s="3" t="s">
        <v>4270</v>
      </c>
      <c r="B4595" s="4">
        <v>111</v>
      </c>
    </row>
    <row r="4596" customHeight="1" spans="1:2">
      <c r="A4596" s="3" t="s">
        <v>956</v>
      </c>
      <c r="B4596" s="4">
        <v>196</v>
      </c>
    </row>
    <row r="4597" customHeight="1" spans="1:2">
      <c r="A4597" s="3" t="s">
        <v>21034</v>
      </c>
      <c r="B4597" s="4">
        <v>90</v>
      </c>
    </row>
    <row r="4598" customHeight="1" spans="1:2">
      <c r="A4598" s="3" t="s">
        <v>7275</v>
      </c>
      <c r="B4598" s="4">
        <v>110</v>
      </c>
    </row>
    <row r="4599" customHeight="1" spans="1:2">
      <c r="A4599" s="3" t="s">
        <v>1737</v>
      </c>
      <c r="B4599" s="4">
        <v>141</v>
      </c>
    </row>
    <row r="4600" customHeight="1" spans="1:2">
      <c r="A4600" s="3" t="s">
        <v>13926</v>
      </c>
      <c r="B4600" s="4">
        <v>121</v>
      </c>
    </row>
    <row r="4601" customHeight="1" spans="1:2">
      <c r="A4601" s="3" t="s">
        <v>15720</v>
      </c>
      <c r="B4601" s="4">
        <v>103</v>
      </c>
    </row>
    <row r="4602" customHeight="1" spans="1:2">
      <c r="A4602" s="3" t="s">
        <v>18668</v>
      </c>
      <c r="B4602" s="4">
        <v>106</v>
      </c>
    </row>
    <row r="4603" customHeight="1" spans="1:2">
      <c r="A4603" s="3" t="s">
        <v>21976</v>
      </c>
      <c r="B4603" s="4">
        <v>96</v>
      </c>
    </row>
    <row r="4604" customHeight="1" spans="1:2">
      <c r="A4604" s="3" t="s">
        <v>19418</v>
      </c>
      <c r="B4604" s="4">
        <v>94</v>
      </c>
    </row>
    <row r="4605" customHeight="1" spans="1:2">
      <c r="A4605" s="3" t="s">
        <v>12938</v>
      </c>
      <c r="B4605" s="4">
        <v>90</v>
      </c>
    </row>
    <row r="4606" customHeight="1" spans="1:2">
      <c r="A4606" s="3" t="s">
        <v>17970</v>
      </c>
      <c r="B4606" s="4">
        <v>89</v>
      </c>
    </row>
    <row r="4607" customHeight="1" spans="1:2">
      <c r="A4607" s="3" t="s">
        <v>23023</v>
      </c>
      <c r="B4607" s="4">
        <v>102</v>
      </c>
    </row>
    <row r="4608" customHeight="1" spans="1:2">
      <c r="A4608" s="3" t="s">
        <v>23020</v>
      </c>
      <c r="B4608" s="4">
        <v>112</v>
      </c>
    </row>
    <row r="4609" customHeight="1" spans="1:2">
      <c r="A4609" s="3" t="s">
        <v>1143</v>
      </c>
      <c r="B4609" s="4">
        <v>96</v>
      </c>
    </row>
    <row r="4610" customHeight="1" spans="1:2">
      <c r="A4610" s="3" t="s">
        <v>4792</v>
      </c>
      <c r="B4610" s="4">
        <v>100</v>
      </c>
    </row>
    <row r="4611" customHeight="1" spans="1:2">
      <c r="A4611" s="3" t="s">
        <v>19431</v>
      </c>
      <c r="B4611" s="4">
        <v>102</v>
      </c>
    </row>
    <row r="4612" customHeight="1" spans="1:2">
      <c r="A4612" s="3" t="s">
        <v>14909</v>
      </c>
      <c r="B4612" s="4">
        <v>101</v>
      </c>
    </row>
    <row r="4613" customHeight="1" spans="1:2">
      <c r="A4613" s="3" t="s">
        <v>7149</v>
      </c>
      <c r="B4613" s="4">
        <v>244</v>
      </c>
    </row>
    <row r="4614" customHeight="1" spans="1:2">
      <c r="A4614" s="3" t="s">
        <v>22575</v>
      </c>
      <c r="B4614" s="4">
        <v>111</v>
      </c>
    </row>
    <row r="4615" customHeight="1" spans="1:2">
      <c r="A4615" s="3" t="s">
        <v>12676</v>
      </c>
      <c r="B4615" s="4">
        <v>107</v>
      </c>
    </row>
    <row r="4616" customHeight="1" spans="1:2">
      <c r="A4616" s="3" t="s">
        <v>5377</v>
      </c>
      <c r="B4616" s="4">
        <v>60</v>
      </c>
    </row>
    <row r="4617" customHeight="1" spans="1:2">
      <c r="A4617" s="3" t="s">
        <v>2305</v>
      </c>
      <c r="B4617" s="4">
        <v>113</v>
      </c>
    </row>
    <row r="4618" customHeight="1" spans="1:2">
      <c r="A4618" s="3" t="s">
        <v>16750</v>
      </c>
      <c r="B4618" s="4">
        <v>88</v>
      </c>
    </row>
    <row r="4619" customHeight="1" spans="1:2">
      <c r="A4619" s="3" t="s">
        <v>3275</v>
      </c>
      <c r="B4619" s="4">
        <v>109</v>
      </c>
    </row>
    <row r="4620" customHeight="1" spans="1:2">
      <c r="A4620" s="3" t="s">
        <v>13758</v>
      </c>
      <c r="B4620" s="4">
        <v>90</v>
      </c>
    </row>
    <row r="4621" customHeight="1" spans="1:2">
      <c r="A4621" s="3" t="s">
        <v>15749</v>
      </c>
      <c r="B4621" s="4">
        <v>120</v>
      </c>
    </row>
    <row r="4622" customHeight="1" spans="1:2">
      <c r="A4622" s="3" t="s">
        <v>21670</v>
      </c>
      <c r="B4622" s="4">
        <v>84</v>
      </c>
    </row>
    <row r="4623" customHeight="1" spans="1:2">
      <c r="A4623" s="3" t="s">
        <v>16789</v>
      </c>
      <c r="B4623" s="4">
        <v>96</v>
      </c>
    </row>
    <row r="4624" customHeight="1" spans="1:2">
      <c r="A4624" s="3" t="s">
        <v>14303</v>
      </c>
      <c r="B4624" s="4">
        <v>110</v>
      </c>
    </row>
    <row r="4625" customHeight="1" spans="1:2">
      <c r="A4625" s="3" t="s">
        <v>4001</v>
      </c>
      <c r="B4625" s="4">
        <v>101</v>
      </c>
    </row>
    <row r="4626" customHeight="1" spans="1:2">
      <c r="A4626" s="3" t="s">
        <v>17981</v>
      </c>
      <c r="B4626" s="4">
        <v>95</v>
      </c>
    </row>
    <row r="4627" customHeight="1" spans="1:2">
      <c r="A4627" s="3" t="s">
        <v>13004</v>
      </c>
      <c r="B4627" s="4">
        <v>85</v>
      </c>
    </row>
    <row r="4628" customHeight="1" spans="1:2">
      <c r="A4628" s="3" t="s">
        <v>3889</v>
      </c>
      <c r="B4628" s="4">
        <v>116</v>
      </c>
    </row>
    <row r="4629" customHeight="1" spans="1:2">
      <c r="A4629" s="3" t="s">
        <v>17829</v>
      </c>
      <c r="B4629" s="4">
        <v>150</v>
      </c>
    </row>
    <row r="4630" customHeight="1" spans="1:2">
      <c r="A4630" s="3" t="s">
        <v>19700</v>
      </c>
      <c r="B4630" s="4">
        <v>113</v>
      </c>
    </row>
    <row r="4631" customHeight="1" spans="1:2">
      <c r="A4631" s="3" t="s">
        <v>15806</v>
      </c>
      <c r="B4631" s="4">
        <v>76</v>
      </c>
    </row>
    <row r="4632" customHeight="1" spans="1:2">
      <c r="A4632" s="3" t="s">
        <v>8517</v>
      </c>
      <c r="B4632" s="4">
        <v>94</v>
      </c>
    </row>
    <row r="4633" customHeight="1" spans="1:2">
      <c r="A4633" s="3" t="s">
        <v>9783</v>
      </c>
      <c r="B4633" s="4">
        <v>90</v>
      </c>
    </row>
    <row r="4634" customHeight="1" spans="1:2">
      <c r="A4634" s="3" t="s">
        <v>3187</v>
      </c>
      <c r="B4634" s="4">
        <v>106</v>
      </c>
    </row>
    <row r="4635" customHeight="1" spans="1:2">
      <c r="A4635" s="3" t="s">
        <v>3692</v>
      </c>
      <c r="B4635" s="4">
        <v>274</v>
      </c>
    </row>
    <row r="4636" customHeight="1" spans="1:2">
      <c r="A4636" s="3" t="s">
        <v>4159</v>
      </c>
      <c r="B4636" s="4">
        <v>92</v>
      </c>
    </row>
    <row r="4637" customHeight="1" spans="1:2">
      <c r="A4637" s="3" t="s">
        <v>11053</v>
      </c>
      <c r="B4637" s="4">
        <v>98</v>
      </c>
    </row>
    <row r="4638" customHeight="1" spans="1:2">
      <c r="A4638" s="3" t="s">
        <v>20773</v>
      </c>
      <c r="B4638" s="4">
        <v>106</v>
      </c>
    </row>
    <row r="4639" customHeight="1" spans="1:2">
      <c r="A4639" s="3" t="s">
        <v>13637</v>
      </c>
      <c r="B4639" s="4">
        <v>108</v>
      </c>
    </row>
    <row r="4640" customHeight="1" spans="1:2">
      <c r="A4640" s="3" t="s">
        <v>11796</v>
      </c>
      <c r="B4640" s="4">
        <v>113</v>
      </c>
    </row>
    <row r="4641" customHeight="1" spans="1:2">
      <c r="A4641" s="3" t="s">
        <v>9960</v>
      </c>
      <c r="B4641" s="4">
        <v>95</v>
      </c>
    </row>
    <row r="4642" customHeight="1" spans="1:2">
      <c r="A4642" s="3" t="s">
        <v>9579</v>
      </c>
      <c r="B4642" s="4">
        <v>86</v>
      </c>
    </row>
    <row r="4643" customHeight="1" spans="1:2">
      <c r="A4643" s="3" t="s">
        <v>10546</v>
      </c>
      <c r="B4643" s="4">
        <v>106</v>
      </c>
    </row>
    <row r="4644" customHeight="1" spans="1:2">
      <c r="A4644" s="3" t="s">
        <v>10389</v>
      </c>
      <c r="B4644" s="4">
        <v>133</v>
      </c>
    </row>
    <row r="4645" customHeight="1" spans="1:2">
      <c r="A4645" s="3" t="s">
        <v>3461</v>
      </c>
      <c r="B4645" s="4">
        <v>88</v>
      </c>
    </row>
    <row r="4646" customHeight="1" spans="1:2">
      <c r="A4646" s="3" t="s">
        <v>6044</v>
      </c>
      <c r="B4646" s="4">
        <v>102</v>
      </c>
    </row>
    <row r="4647" customHeight="1" spans="1:2">
      <c r="A4647" s="3" t="s">
        <v>7383</v>
      </c>
      <c r="B4647" s="4">
        <v>92</v>
      </c>
    </row>
    <row r="4648" customHeight="1" spans="1:2">
      <c r="A4648" s="3" t="s">
        <v>15781</v>
      </c>
      <c r="B4648" s="4">
        <v>97</v>
      </c>
    </row>
    <row r="4649" customHeight="1" spans="1:2">
      <c r="A4649" s="3" t="s">
        <v>11199</v>
      </c>
      <c r="B4649" s="4">
        <v>94</v>
      </c>
    </row>
    <row r="4650" customHeight="1" spans="1:2">
      <c r="A4650" s="3" t="s">
        <v>23303</v>
      </c>
      <c r="B4650" s="4">
        <v>66</v>
      </c>
    </row>
    <row r="4651" customHeight="1" spans="1:2">
      <c r="A4651" s="3" t="s">
        <v>23670</v>
      </c>
      <c r="B4651" s="4">
        <v>94</v>
      </c>
    </row>
    <row r="4652" customHeight="1" spans="1:2">
      <c r="A4652" s="3" t="s">
        <v>5180</v>
      </c>
      <c r="B4652" s="4">
        <v>124</v>
      </c>
    </row>
    <row r="4653" customHeight="1" spans="1:2">
      <c r="A4653" s="3" t="s">
        <v>7758</v>
      </c>
      <c r="B4653" s="4">
        <v>91</v>
      </c>
    </row>
    <row r="4654" customHeight="1" spans="1:2">
      <c r="A4654" s="3" t="s">
        <v>12016</v>
      </c>
      <c r="B4654" s="4">
        <v>60</v>
      </c>
    </row>
    <row r="4655" customHeight="1" spans="1:2">
      <c r="A4655" s="3" t="s">
        <v>13345</v>
      </c>
      <c r="B4655" s="4">
        <v>131</v>
      </c>
    </row>
    <row r="4656" customHeight="1" spans="1:2">
      <c r="A4656" s="3" t="s">
        <v>5153</v>
      </c>
      <c r="B4656" s="4">
        <v>45</v>
      </c>
    </row>
    <row r="4657" customHeight="1" spans="1:2">
      <c r="A4657" s="3" t="s">
        <v>21523</v>
      </c>
      <c r="B4657" s="4">
        <v>83</v>
      </c>
    </row>
    <row r="4658" customHeight="1" spans="1:2">
      <c r="A4658" s="3" t="s">
        <v>11819</v>
      </c>
      <c r="B4658" s="4">
        <v>111</v>
      </c>
    </row>
    <row r="4659" customHeight="1" spans="1:2">
      <c r="A4659" s="3" t="s">
        <v>8740</v>
      </c>
      <c r="B4659" s="4">
        <v>110</v>
      </c>
    </row>
    <row r="4660" customHeight="1" spans="1:2">
      <c r="A4660" s="3" t="s">
        <v>6811</v>
      </c>
      <c r="B4660" s="4">
        <v>83</v>
      </c>
    </row>
    <row r="4661" customHeight="1" spans="1:2">
      <c r="A4661" s="3" t="s">
        <v>6447</v>
      </c>
      <c r="B4661" s="4">
        <v>226</v>
      </c>
    </row>
    <row r="4662" customHeight="1" spans="1:2">
      <c r="A4662" s="3" t="s">
        <v>6061</v>
      </c>
      <c r="B4662" s="4">
        <v>103</v>
      </c>
    </row>
    <row r="4663" customHeight="1" spans="1:2">
      <c r="A4663" s="3" t="s">
        <v>19658</v>
      </c>
      <c r="B4663" s="4">
        <v>89</v>
      </c>
    </row>
    <row r="4664" customHeight="1" spans="1:2">
      <c r="A4664" s="3" t="s">
        <v>2085</v>
      </c>
      <c r="B4664" s="4">
        <v>98</v>
      </c>
    </row>
    <row r="4665" customHeight="1" spans="1:2">
      <c r="A4665" s="3" t="s">
        <v>20977</v>
      </c>
      <c r="B4665" s="4">
        <v>93</v>
      </c>
    </row>
    <row r="4666" customHeight="1" spans="1:2">
      <c r="A4666" s="3" t="s">
        <v>7496</v>
      </c>
      <c r="B4666" s="4">
        <v>101</v>
      </c>
    </row>
    <row r="4667" customHeight="1" spans="1:2">
      <c r="A4667" s="3" t="s">
        <v>4137</v>
      </c>
      <c r="B4667" s="4">
        <v>124</v>
      </c>
    </row>
    <row r="4668" customHeight="1" spans="1:2">
      <c r="A4668" s="3" t="s">
        <v>8189</v>
      </c>
      <c r="B4668" s="4">
        <v>108</v>
      </c>
    </row>
    <row r="4669" customHeight="1" spans="1:2">
      <c r="A4669" s="3" t="s">
        <v>474</v>
      </c>
      <c r="B4669" s="4">
        <v>96</v>
      </c>
    </row>
    <row r="4670" customHeight="1" spans="1:2">
      <c r="A4670" s="3" t="s">
        <v>13406</v>
      </c>
      <c r="B4670" s="4">
        <v>99</v>
      </c>
    </row>
    <row r="4671" customHeight="1" spans="1:2">
      <c r="A4671" s="3" t="s">
        <v>12935</v>
      </c>
      <c r="B4671" s="4">
        <v>97</v>
      </c>
    </row>
    <row r="4672" customHeight="1" spans="1:2">
      <c r="A4672" s="3" t="s">
        <v>23359</v>
      </c>
      <c r="B4672" s="4">
        <v>106</v>
      </c>
    </row>
    <row r="4673" customHeight="1" spans="1:2">
      <c r="A4673" s="3" t="s">
        <v>5142</v>
      </c>
      <c r="B4673" s="4">
        <v>132</v>
      </c>
    </row>
    <row r="4674" customHeight="1" spans="1:2">
      <c r="A4674" s="3" t="s">
        <v>20700</v>
      </c>
      <c r="B4674" s="4">
        <v>155</v>
      </c>
    </row>
    <row r="4675" customHeight="1" spans="1:2">
      <c r="A4675" s="3" t="s">
        <v>8077</v>
      </c>
      <c r="B4675" s="4">
        <v>99</v>
      </c>
    </row>
    <row r="4676" customHeight="1" spans="1:2">
      <c r="A4676" s="3" t="s">
        <v>14951</v>
      </c>
      <c r="B4676" s="4">
        <v>96</v>
      </c>
    </row>
    <row r="4677" customHeight="1" spans="1:2">
      <c r="A4677" s="3" t="s">
        <v>4937</v>
      </c>
      <c r="B4677" s="4">
        <v>125</v>
      </c>
    </row>
    <row r="4678" customHeight="1" spans="1:2">
      <c r="A4678" s="3" t="s">
        <v>7559</v>
      </c>
      <c r="B4678" s="4">
        <v>76</v>
      </c>
    </row>
    <row r="4679" customHeight="1" spans="1:2">
      <c r="A4679" s="3" t="s">
        <v>2176</v>
      </c>
      <c r="B4679" s="4">
        <v>121</v>
      </c>
    </row>
    <row r="4680" customHeight="1" spans="1:2">
      <c r="A4680" s="3" t="s">
        <v>19905</v>
      </c>
      <c r="B4680" s="4">
        <v>100</v>
      </c>
    </row>
    <row r="4681" customHeight="1" spans="1:2">
      <c r="A4681" s="3" t="s">
        <v>15947</v>
      </c>
      <c r="B4681" s="4">
        <v>122</v>
      </c>
    </row>
    <row r="4682" customHeight="1" spans="1:2">
      <c r="A4682" s="3" t="s">
        <v>13438</v>
      </c>
      <c r="B4682" s="4">
        <v>100</v>
      </c>
    </row>
    <row r="4683" customHeight="1" spans="1:2">
      <c r="A4683" s="3" t="s">
        <v>20466</v>
      </c>
      <c r="B4683" s="4">
        <v>88</v>
      </c>
    </row>
    <row r="4684" customHeight="1" spans="1:2">
      <c r="A4684" s="3" t="s">
        <v>10855</v>
      </c>
      <c r="B4684" s="4">
        <v>82</v>
      </c>
    </row>
    <row r="4685" customHeight="1" spans="1:2">
      <c r="A4685" s="3" t="s">
        <v>11026</v>
      </c>
      <c r="B4685" s="4">
        <v>104</v>
      </c>
    </row>
    <row r="4686" customHeight="1" spans="1:2">
      <c r="A4686" s="3" t="s">
        <v>12591</v>
      </c>
      <c r="B4686" s="4">
        <v>92</v>
      </c>
    </row>
    <row r="4687" customHeight="1" spans="1:2">
      <c r="A4687" s="3" t="s">
        <v>17033</v>
      </c>
      <c r="B4687" s="4">
        <v>94</v>
      </c>
    </row>
    <row r="4688" customHeight="1" spans="1:2">
      <c r="A4688" s="3" t="s">
        <v>3350</v>
      </c>
      <c r="B4688" s="4">
        <v>141</v>
      </c>
    </row>
    <row r="4689" customHeight="1" spans="1:2">
      <c r="A4689" s="3" t="s">
        <v>10311</v>
      </c>
      <c r="B4689" s="4">
        <v>141</v>
      </c>
    </row>
    <row r="4690" customHeight="1" spans="1:2">
      <c r="A4690" s="3" t="s">
        <v>6366</v>
      </c>
      <c r="B4690" s="4">
        <v>90</v>
      </c>
    </row>
    <row r="4691" customHeight="1" spans="1:2">
      <c r="A4691" s="3" t="s">
        <v>12398</v>
      </c>
      <c r="B4691" s="4">
        <v>106</v>
      </c>
    </row>
    <row r="4692" customHeight="1" spans="1:2">
      <c r="A4692" s="3" t="s">
        <v>16633</v>
      </c>
      <c r="B4692" s="4">
        <v>192</v>
      </c>
    </row>
    <row r="4693" customHeight="1" spans="1:2">
      <c r="A4693" s="3" t="s">
        <v>15727</v>
      </c>
      <c r="B4693" s="4">
        <v>124</v>
      </c>
    </row>
    <row r="4694" customHeight="1" spans="1:2">
      <c r="A4694" s="3" t="s">
        <v>14638</v>
      </c>
      <c r="B4694" s="4">
        <v>125</v>
      </c>
    </row>
    <row r="4695" customHeight="1" spans="1:2">
      <c r="A4695" s="3" t="s">
        <v>12314</v>
      </c>
      <c r="B4695" s="4">
        <v>98</v>
      </c>
    </row>
    <row r="4696" customHeight="1" spans="1:2">
      <c r="A4696" s="3" t="s">
        <v>17160</v>
      </c>
      <c r="B4696" s="4">
        <v>44</v>
      </c>
    </row>
    <row r="4697" customHeight="1" spans="1:2">
      <c r="A4697" s="3" t="s">
        <v>15795</v>
      </c>
      <c r="B4697" s="4">
        <v>103</v>
      </c>
    </row>
    <row r="4698" customHeight="1" spans="1:2">
      <c r="A4698" s="3" t="s">
        <v>3064</v>
      </c>
      <c r="B4698" s="4">
        <v>124</v>
      </c>
    </row>
    <row r="4699" customHeight="1" spans="1:2">
      <c r="A4699" s="3" t="s">
        <v>15078</v>
      </c>
      <c r="B4699" s="4">
        <v>100</v>
      </c>
    </row>
    <row r="4700" customHeight="1" spans="1:2">
      <c r="A4700" s="3" t="s">
        <v>22226</v>
      </c>
      <c r="B4700" s="4">
        <v>14</v>
      </c>
    </row>
    <row r="4701" customHeight="1" spans="1:2">
      <c r="A4701" s="3" t="s">
        <v>12465</v>
      </c>
      <c r="B4701" s="4">
        <v>96</v>
      </c>
    </row>
    <row r="4702" customHeight="1" spans="1:2">
      <c r="A4702" s="3" t="s">
        <v>6049</v>
      </c>
      <c r="B4702" s="4">
        <v>330</v>
      </c>
    </row>
    <row r="4703" customHeight="1" spans="1:2">
      <c r="A4703" s="3" t="s">
        <v>17298</v>
      </c>
      <c r="B4703" s="4">
        <v>89</v>
      </c>
    </row>
    <row r="4704" customHeight="1" spans="1:2">
      <c r="A4704" s="3" t="s">
        <v>7088</v>
      </c>
      <c r="B4704" s="4">
        <v>97</v>
      </c>
    </row>
    <row r="4705" customHeight="1" spans="1:2">
      <c r="A4705" s="3" t="s">
        <v>8482</v>
      </c>
      <c r="B4705" s="4">
        <v>106</v>
      </c>
    </row>
    <row r="4706" customHeight="1" spans="1:2">
      <c r="A4706" s="3" t="s">
        <v>9423</v>
      </c>
      <c r="B4706" s="4">
        <v>107</v>
      </c>
    </row>
    <row r="4707" customHeight="1" spans="1:2">
      <c r="A4707" s="3" t="s">
        <v>2264</v>
      </c>
      <c r="B4707" s="4">
        <v>104</v>
      </c>
    </row>
    <row r="4708" customHeight="1" spans="1:2">
      <c r="A4708" s="3" t="s">
        <v>15547</v>
      </c>
      <c r="B4708" s="4">
        <v>121</v>
      </c>
    </row>
    <row r="4709" customHeight="1" spans="1:2">
      <c r="A4709" s="3" t="s">
        <v>9387</v>
      </c>
      <c r="B4709" s="4">
        <v>129</v>
      </c>
    </row>
    <row r="4710" customHeight="1" spans="1:2">
      <c r="A4710" s="3" t="s">
        <v>12765</v>
      </c>
      <c r="B4710" s="4">
        <v>97</v>
      </c>
    </row>
    <row r="4711" customHeight="1" spans="1:2">
      <c r="A4711" s="3" t="s">
        <v>16737</v>
      </c>
      <c r="B4711" s="4">
        <v>97</v>
      </c>
    </row>
    <row r="4712" customHeight="1" spans="1:2">
      <c r="A4712" s="3" t="s">
        <v>18580</v>
      </c>
      <c r="B4712" s="4">
        <v>84</v>
      </c>
    </row>
    <row r="4713" customHeight="1" spans="1:2">
      <c r="A4713" s="3" t="s">
        <v>21424</v>
      </c>
      <c r="B4713" s="4">
        <v>94</v>
      </c>
    </row>
    <row r="4714" customHeight="1" spans="1:2">
      <c r="A4714" s="3" t="s">
        <v>20881</v>
      </c>
      <c r="B4714" s="4">
        <v>108</v>
      </c>
    </row>
    <row r="4715" customHeight="1" spans="1:2">
      <c r="A4715" s="3" t="s">
        <v>19185</v>
      </c>
      <c r="B4715" s="4">
        <v>91</v>
      </c>
    </row>
    <row r="4716" customHeight="1" spans="1:2">
      <c r="A4716" s="3" t="s">
        <v>7633</v>
      </c>
      <c r="B4716" s="4">
        <v>120</v>
      </c>
    </row>
    <row r="4717" customHeight="1" spans="1:2">
      <c r="A4717" s="3" t="s">
        <v>8774</v>
      </c>
      <c r="B4717" s="4">
        <v>153</v>
      </c>
    </row>
    <row r="4718" customHeight="1" spans="1:2">
      <c r="A4718" s="3" t="s">
        <v>21673</v>
      </c>
      <c r="B4718" s="4">
        <v>86</v>
      </c>
    </row>
    <row r="4719" customHeight="1" spans="1:2">
      <c r="A4719" s="3" t="s">
        <v>4559</v>
      </c>
      <c r="B4719" s="4">
        <v>86</v>
      </c>
    </row>
    <row r="4720" customHeight="1" spans="1:2">
      <c r="A4720" s="3" t="s">
        <v>2835</v>
      </c>
      <c r="B4720" s="4">
        <v>87</v>
      </c>
    </row>
    <row r="4721" customHeight="1" spans="1:2">
      <c r="A4721" s="3" t="s">
        <v>12355</v>
      </c>
      <c r="B4721" s="4">
        <v>126</v>
      </c>
    </row>
    <row r="4722" customHeight="1" spans="1:2">
      <c r="A4722" s="3" t="s">
        <v>3412</v>
      </c>
      <c r="B4722" s="4">
        <v>136</v>
      </c>
    </row>
    <row r="4723" customHeight="1" spans="1:2">
      <c r="A4723" s="3" t="s">
        <v>419</v>
      </c>
      <c r="B4723" s="4">
        <v>98</v>
      </c>
    </row>
    <row r="4724" customHeight="1" spans="1:2">
      <c r="A4724" s="3" t="s">
        <v>21055</v>
      </c>
      <c r="B4724" s="4">
        <v>20</v>
      </c>
    </row>
    <row r="4725" customHeight="1" spans="1:2">
      <c r="A4725" s="3" t="s">
        <v>22375</v>
      </c>
      <c r="B4725" s="4">
        <v>94</v>
      </c>
    </row>
    <row r="4726" customHeight="1" spans="1:2">
      <c r="A4726" s="3" t="s">
        <v>20299</v>
      </c>
      <c r="B4726" s="4">
        <v>90</v>
      </c>
    </row>
    <row r="4727" customHeight="1" spans="1:2">
      <c r="A4727" s="3" t="s">
        <v>7887</v>
      </c>
      <c r="B4727" s="4">
        <v>98</v>
      </c>
    </row>
    <row r="4728" customHeight="1" spans="1:2">
      <c r="A4728" s="3" t="s">
        <v>3005</v>
      </c>
      <c r="B4728" s="4">
        <v>110</v>
      </c>
    </row>
    <row r="4729" customHeight="1" spans="1:2">
      <c r="A4729" s="3" t="s">
        <v>17073</v>
      </c>
      <c r="B4729" s="4"/>
    </row>
    <row r="4730" customHeight="1" spans="1:2">
      <c r="A4730" s="3" t="s">
        <v>3399</v>
      </c>
      <c r="B4730" s="4">
        <v>146</v>
      </c>
    </row>
    <row r="4731" customHeight="1" spans="1:2">
      <c r="A4731" s="3" t="s">
        <v>1186</v>
      </c>
      <c r="B4731" s="4">
        <v>116</v>
      </c>
    </row>
    <row r="4732" customHeight="1" spans="1:2">
      <c r="A4732" s="3" t="s">
        <v>9760</v>
      </c>
      <c r="B4732" s="4">
        <v>103</v>
      </c>
    </row>
    <row r="4733" customHeight="1" spans="1:2">
      <c r="A4733" s="3" t="s">
        <v>15300</v>
      </c>
      <c r="B4733" s="4">
        <v>107</v>
      </c>
    </row>
    <row r="4734" customHeight="1" spans="1:2">
      <c r="A4734" s="3" t="s">
        <v>733</v>
      </c>
      <c r="B4734" s="4">
        <v>123</v>
      </c>
    </row>
    <row r="4735" customHeight="1" spans="1:2">
      <c r="A4735" s="3" t="s">
        <v>14043</v>
      </c>
      <c r="B4735" s="4">
        <v>114</v>
      </c>
    </row>
    <row r="4736" customHeight="1" spans="1:2">
      <c r="A4736" s="3" t="s">
        <v>16579</v>
      </c>
      <c r="B4736" s="4">
        <v>103</v>
      </c>
    </row>
    <row r="4737" customHeight="1" spans="1:2">
      <c r="A4737" s="3" t="s">
        <v>19386</v>
      </c>
      <c r="B4737" s="4">
        <v>98</v>
      </c>
    </row>
    <row r="4738" customHeight="1" spans="1:2">
      <c r="A4738" s="3" t="s">
        <v>8203</v>
      </c>
      <c r="B4738" s="4">
        <v>98</v>
      </c>
    </row>
    <row r="4739" customHeight="1" spans="1:2">
      <c r="A4739" s="3" t="s">
        <v>9896</v>
      </c>
      <c r="B4739" s="4">
        <v>140</v>
      </c>
    </row>
    <row r="4740" customHeight="1" spans="1:2">
      <c r="A4740" s="3" t="s">
        <v>7692</v>
      </c>
      <c r="B4740" s="4">
        <v>101</v>
      </c>
    </row>
    <row r="4741" customHeight="1" spans="1:2">
      <c r="A4741" s="3" t="s">
        <v>12637</v>
      </c>
      <c r="B4741" s="4">
        <v>94</v>
      </c>
    </row>
    <row r="4742" customHeight="1" spans="1:2">
      <c r="A4742" s="3" t="s">
        <v>1056</v>
      </c>
      <c r="B4742" s="4">
        <v>215</v>
      </c>
    </row>
    <row r="4743" customHeight="1" spans="1:2">
      <c r="A4743" s="3" t="s">
        <v>22424</v>
      </c>
      <c r="B4743" s="4">
        <v>88</v>
      </c>
    </row>
    <row r="4744" customHeight="1" spans="1:2">
      <c r="A4744" s="3" t="s">
        <v>6985</v>
      </c>
      <c r="B4744" s="4">
        <v>120</v>
      </c>
    </row>
    <row r="4745" customHeight="1" spans="1:2">
      <c r="A4745" s="3" t="s">
        <v>19355</v>
      </c>
      <c r="B4745" s="4">
        <v>117</v>
      </c>
    </row>
    <row r="4746" customHeight="1" spans="1:2">
      <c r="A4746" s="3" t="s">
        <v>10061</v>
      </c>
      <c r="B4746" s="4">
        <v>134</v>
      </c>
    </row>
    <row r="4747" customHeight="1" spans="1:2">
      <c r="A4747" s="3" t="s">
        <v>533</v>
      </c>
      <c r="B4747" s="4">
        <v>176</v>
      </c>
    </row>
    <row r="4748" customHeight="1" spans="1:2">
      <c r="A4748" s="3" t="s">
        <v>10663</v>
      </c>
      <c r="B4748" s="4">
        <v>94</v>
      </c>
    </row>
    <row r="4749" customHeight="1" spans="1:2">
      <c r="A4749" s="3" t="s">
        <v>3796</v>
      </c>
      <c r="B4749" s="4">
        <v>131</v>
      </c>
    </row>
    <row r="4750" customHeight="1" spans="1:2">
      <c r="A4750" s="3" t="s">
        <v>20261</v>
      </c>
      <c r="B4750" s="4">
        <v>96</v>
      </c>
    </row>
    <row r="4751" customHeight="1" spans="1:2">
      <c r="A4751" s="3" t="s">
        <v>5093</v>
      </c>
      <c r="B4751" s="4">
        <v>124</v>
      </c>
    </row>
    <row r="4752" customHeight="1" spans="1:2">
      <c r="A4752" s="3" t="s">
        <v>18066</v>
      </c>
      <c r="B4752" s="4">
        <v>87</v>
      </c>
    </row>
    <row r="4753" customHeight="1" spans="1:2">
      <c r="A4753" s="3" t="s">
        <v>16657</v>
      </c>
      <c r="B4753" s="4">
        <v>112</v>
      </c>
    </row>
    <row r="4754" customHeight="1" spans="1:2">
      <c r="A4754" s="3" t="s">
        <v>8976</v>
      </c>
      <c r="B4754" s="4">
        <v>117</v>
      </c>
    </row>
    <row r="4755" customHeight="1" spans="1:2">
      <c r="A4755" s="3" t="s">
        <v>3370</v>
      </c>
      <c r="B4755" s="4">
        <v>124</v>
      </c>
    </row>
    <row r="4756" customHeight="1" spans="1:2">
      <c r="A4756" s="3" t="s">
        <v>23530</v>
      </c>
      <c r="B4756" s="4">
        <v>97</v>
      </c>
    </row>
    <row r="4757" customHeight="1" spans="1:2">
      <c r="A4757" s="3" t="s">
        <v>9063</v>
      </c>
      <c r="B4757" s="4">
        <v>114</v>
      </c>
    </row>
    <row r="4758" customHeight="1" spans="1:2">
      <c r="A4758" s="3" t="s">
        <v>14372</v>
      </c>
      <c r="B4758" s="4">
        <v>86</v>
      </c>
    </row>
    <row r="4759" customHeight="1" spans="1:2">
      <c r="A4759" s="3" t="s">
        <v>9325</v>
      </c>
      <c r="B4759" s="4">
        <v>110</v>
      </c>
    </row>
    <row r="4760" customHeight="1" spans="1:2">
      <c r="A4760" s="3" t="s">
        <v>22159</v>
      </c>
      <c r="B4760" s="4">
        <v>88</v>
      </c>
    </row>
    <row r="4761" customHeight="1" spans="1:2">
      <c r="A4761" s="3" t="s">
        <v>15360</v>
      </c>
      <c r="B4761" s="4">
        <v>110</v>
      </c>
    </row>
    <row r="4762" customHeight="1" spans="1:2">
      <c r="A4762" s="3" t="s">
        <v>12575</v>
      </c>
      <c r="B4762" s="4">
        <v>106</v>
      </c>
    </row>
    <row r="4763" customHeight="1" spans="1:2">
      <c r="A4763" s="3" t="s">
        <v>23052</v>
      </c>
      <c r="B4763" s="4">
        <v>80</v>
      </c>
    </row>
    <row r="4764" customHeight="1" spans="1:2">
      <c r="A4764" s="3" t="s">
        <v>11248</v>
      </c>
      <c r="B4764" s="4">
        <v>106</v>
      </c>
    </row>
    <row r="4765" customHeight="1" spans="1:2">
      <c r="A4765" s="3" t="s">
        <v>7162</v>
      </c>
      <c r="B4765" s="4">
        <v>118</v>
      </c>
    </row>
    <row r="4766" customHeight="1" spans="1:2">
      <c r="A4766" s="3" t="s">
        <v>17008</v>
      </c>
      <c r="B4766" s="4">
        <v>152</v>
      </c>
    </row>
    <row r="4767" customHeight="1" spans="1:2">
      <c r="A4767" s="3" t="s">
        <v>23347</v>
      </c>
      <c r="B4767" s="4">
        <v>105</v>
      </c>
    </row>
    <row r="4768" customHeight="1" spans="1:2">
      <c r="A4768" s="3" t="s">
        <v>18385</v>
      </c>
      <c r="B4768" s="4">
        <v>101</v>
      </c>
    </row>
    <row r="4769" customHeight="1" spans="1:2">
      <c r="A4769" s="3" t="s">
        <v>9608</v>
      </c>
      <c r="B4769" s="4">
        <v>105</v>
      </c>
    </row>
    <row r="4770" customHeight="1" spans="1:2">
      <c r="A4770" s="3" t="s">
        <v>2783</v>
      </c>
      <c r="B4770" s="4">
        <v>113</v>
      </c>
    </row>
    <row r="4771" customHeight="1" spans="1:2">
      <c r="A4771" s="3" t="s">
        <v>22901</v>
      </c>
      <c r="B4771" s="4">
        <v>101</v>
      </c>
    </row>
    <row r="4772" customHeight="1" spans="1:2">
      <c r="A4772" s="3" t="s">
        <v>9202</v>
      </c>
      <c r="B4772" s="4">
        <v>104</v>
      </c>
    </row>
    <row r="4773" customHeight="1" spans="1:2">
      <c r="A4773" s="3" t="s">
        <v>2097</v>
      </c>
      <c r="B4773" s="4">
        <v>130</v>
      </c>
    </row>
    <row r="4774" customHeight="1" spans="1:2">
      <c r="A4774" s="3" t="s">
        <v>5484</v>
      </c>
      <c r="B4774" s="4">
        <v>87</v>
      </c>
    </row>
    <row r="4775" customHeight="1" spans="1:2">
      <c r="A4775" s="3" t="s">
        <v>18500</v>
      </c>
      <c r="B4775" s="4">
        <v>109</v>
      </c>
    </row>
    <row r="4776" customHeight="1" spans="1:2">
      <c r="A4776" s="3" t="s">
        <v>7111</v>
      </c>
      <c r="B4776" s="4">
        <v>110</v>
      </c>
    </row>
    <row r="4777" customHeight="1" spans="1:2">
      <c r="A4777" s="3" t="s">
        <v>3634</v>
      </c>
      <c r="B4777" s="4">
        <v>127</v>
      </c>
    </row>
    <row r="4778" customHeight="1" spans="1:2">
      <c r="A4778" s="3" t="s">
        <v>13095</v>
      </c>
      <c r="B4778" s="4">
        <v>94</v>
      </c>
    </row>
    <row r="4779" customHeight="1" spans="1:2">
      <c r="A4779" s="3" t="s">
        <v>13138</v>
      </c>
      <c r="B4779" s="4">
        <v>92</v>
      </c>
    </row>
    <row r="4780" customHeight="1" spans="1:2">
      <c r="A4780" s="3" t="s">
        <v>14629</v>
      </c>
      <c r="B4780" s="4">
        <v>118</v>
      </c>
    </row>
    <row r="4781" customHeight="1" spans="1:2">
      <c r="A4781" s="3" t="s">
        <v>12790</v>
      </c>
      <c r="B4781" s="4">
        <v>118</v>
      </c>
    </row>
    <row r="4782" customHeight="1" spans="1:2">
      <c r="A4782" s="3" t="s">
        <v>8437</v>
      </c>
      <c r="B4782" s="4">
        <v>94</v>
      </c>
    </row>
    <row r="4783" customHeight="1" spans="1:2">
      <c r="A4783" s="3" t="s">
        <v>11166</v>
      </c>
      <c r="B4783" s="4">
        <v>117</v>
      </c>
    </row>
    <row r="4784" customHeight="1" spans="1:2">
      <c r="A4784" s="3" t="s">
        <v>12755</v>
      </c>
      <c r="B4784" s="4">
        <v>87</v>
      </c>
    </row>
    <row r="4785" customHeight="1" spans="1:2">
      <c r="A4785" s="3" t="s">
        <v>16171</v>
      </c>
      <c r="B4785" s="4">
        <v>92</v>
      </c>
    </row>
    <row r="4786" customHeight="1" spans="1:2">
      <c r="A4786" s="3" t="s">
        <v>12386</v>
      </c>
      <c r="B4786" s="4">
        <v>89</v>
      </c>
    </row>
    <row r="4787" customHeight="1" spans="1:2">
      <c r="A4787" s="3" t="s">
        <v>23033</v>
      </c>
      <c r="B4787" s="4">
        <v>91</v>
      </c>
    </row>
    <row r="4788" customHeight="1" spans="1:2">
      <c r="A4788" s="3" t="s">
        <v>12870</v>
      </c>
      <c r="B4788" s="4">
        <v>115</v>
      </c>
    </row>
    <row r="4789" customHeight="1" spans="1:2">
      <c r="A4789" s="3" t="s">
        <v>23593</v>
      </c>
      <c r="B4789" s="4">
        <v>86</v>
      </c>
    </row>
    <row r="4790" customHeight="1" spans="1:2">
      <c r="A4790" s="3" t="s">
        <v>12816</v>
      </c>
      <c r="B4790" s="4">
        <v>120</v>
      </c>
    </row>
    <row r="4791" customHeight="1" spans="1:2">
      <c r="A4791" s="3" t="s">
        <v>9994</v>
      </c>
      <c r="B4791" s="4">
        <v>107</v>
      </c>
    </row>
    <row r="4792" customHeight="1" spans="1:2">
      <c r="A4792" s="3" t="s">
        <v>1805</v>
      </c>
      <c r="B4792" s="4">
        <v>101</v>
      </c>
    </row>
    <row r="4793" customHeight="1" spans="1:2">
      <c r="A4793" s="3" t="s">
        <v>15237</v>
      </c>
      <c r="B4793" s="4">
        <v>97</v>
      </c>
    </row>
    <row r="4794" customHeight="1" spans="1:2">
      <c r="A4794" s="3" t="s">
        <v>13023</v>
      </c>
      <c r="B4794" s="4">
        <v>111</v>
      </c>
    </row>
    <row r="4795" customHeight="1" spans="1:2">
      <c r="A4795" s="3" t="s">
        <v>19070</v>
      </c>
      <c r="B4795" s="4">
        <v>107</v>
      </c>
    </row>
    <row r="4796" customHeight="1" spans="1:2">
      <c r="A4796" s="3" t="s">
        <v>19365</v>
      </c>
      <c r="B4796" s="4">
        <v>82</v>
      </c>
    </row>
    <row r="4797" customHeight="1" spans="1:2">
      <c r="A4797" s="3" t="s">
        <v>10703</v>
      </c>
      <c r="B4797" s="4">
        <v>109</v>
      </c>
    </row>
    <row r="4798" customHeight="1" spans="1:2">
      <c r="A4798" s="3" t="s">
        <v>13414</v>
      </c>
      <c r="B4798" s="4">
        <v>107</v>
      </c>
    </row>
    <row r="4799" customHeight="1" spans="1:2">
      <c r="A4799" s="3" t="s">
        <v>926</v>
      </c>
      <c r="B4799" s="4">
        <v>131</v>
      </c>
    </row>
    <row r="4800" customHeight="1" spans="1:2">
      <c r="A4800" s="3" t="s">
        <v>15438</v>
      </c>
      <c r="B4800" s="4">
        <v>99</v>
      </c>
    </row>
    <row r="4801" customHeight="1" spans="1:2">
      <c r="A4801" s="3" t="s">
        <v>14810</v>
      </c>
      <c r="B4801" s="4">
        <v>101</v>
      </c>
    </row>
    <row r="4802" customHeight="1" spans="1:2">
      <c r="A4802" s="3" t="s">
        <v>12482</v>
      </c>
      <c r="B4802" s="4">
        <v>109</v>
      </c>
    </row>
    <row r="4803" customHeight="1" spans="1:2">
      <c r="A4803" s="3" t="s">
        <v>7045</v>
      </c>
      <c r="B4803" s="4">
        <v>129</v>
      </c>
    </row>
    <row r="4804" customHeight="1" spans="1:2">
      <c r="A4804" s="3" t="s">
        <v>7652</v>
      </c>
      <c r="B4804" s="4">
        <v>101</v>
      </c>
    </row>
    <row r="4805" customHeight="1" spans="1:2">
      <c r="A4805" s="3" t="s">
        <v>21679</v>
      </c>
      <c r="B4805" s="4">
        <v>92</v>
      </c>
    </row>
    <row r="4806" customHeight="1" spans="1:2">
      <c r="A4806" s="3" t="s">
        <v>16611</v>
      </c>
      <c r="B4806" s="4">
        <v>93</v>
      </c>
    </row>
    <row r="4807" customHeight="1" spans="1:2">
      <c r="A4807" s="3" t="s">
        <v>10732</v>
      </c>
      <c r="B4807" s="4">
        <v>121</v>
      </c>
    </row>
    <row r="4808" customHeight="1" spans="1:2">
      <c r="A4808" s="3" t="s">
        <v>12741</v>
      </c>
      <c r="B4808" s="4">
        <v>113</v>
      </c>
    </row>
    <row r="4809" customHeight="1" spans="1:2">
      <c r="A4809" s="3" t="s">
        <v>19034</v>
      </c>
      <c r="B4809" s="4">
        <v>92</v>
      </c>
    </row>
    <row r="4810" customHeight="1" spans="1:2">
      <c r="A4810" s="3" t="s">
        <v>8584</v>
      </c>
      <c r="B4810" s="4">
        <v>228</v>
      </c>
    </row>
    <row r="4811" customHeight="1" spans="1:2">
      <c r="A4811" s="3" t="s">
        <v>8720</v>
      </c>
      <c r="B4811" s="4">
        <v>92</v>
      </c>
    </row>
    <row r="4812" customHeight="1" spans="1:2">
      <c r="A4812" s="3" t="s">
        <v>13557</v>
      </c>
      <c r="B4812" s="4">
        <v>104</v>
      </c>
    </row>
    <row r="4813" customHeight="1" spans="1:2">
      <c r="A4813" s="3" t="s">
        <v>3946</v>
      </c>
      <c r="B4813" s="4">
        <v>100</v>
      </c>
    </row>
    <row r="4814" customHeight="1" spans="1:2">
      <c r="A4814" s="3" t="s">
        <v>16229</v>
      </c>
      <c r="B4814" s="4">
        <v>98</v>
      </c>
    </row>
    <row r="4815" customHeight="1" spans="1:2">
      <c r="A4815" s="3" t="s">
        <v>10916</v>
      </c>
      <c r="B4815" s="4">
        <v>115</v>
      </c>
    </row>
    <row r="4816" customHeight="1" spans="1:2">
      <c r="A4816" s="3" t="s">
        <v>497</v>
      </c>
      <c r="B4816" s="4">
        <v>106</v>
      </c>
    </row>
    <row r="4817" customHeight="1" spans="1:2">
      <c r="A4817" s="3" t="s">
        <v>12827</v>
      </c>
      <c r="B4817" s="4">
        <v>115</v>
      </c>
    </row>
    <row r="4818" customHeight="1" spans="1:2">
      <c r="A4818" s="3" t="s">
        <v>11321</v>
      </c>
      <c r="B4818" s="4">
        <v>100</v>
      </c>
    </row>
    <row r="4819" customHeight="1" spans="1:2">
      <c r="A4819" s="3" t="s">
        <v>19381</v>
      </c>
      <c r="B4819" s="4">
        <v>89</v>
      </c>
    </row>
    <row r="4820" customHeight="1" spans="1:2">
      <c r="A4820" s="3" t="s">
        <v>7604</v>
      </c>
      <c r="B4820" s="4">
        <v>98</v>
      </c>
    </row>
    <row r="4821" customHeight="1" spans="1:2">
      <c r="A4821" s="3" t="s">
        <v>10138</v>
      </c>
      <c r="B4821" s="4">
        <v>95</v>
      </c>
    </row>
    <row r="4822" customHeight="1" spans="1:2">
      <c r="A4822" s="3" t="s">
        <v>21096</v>
      </c>
      <c r="B4822" s="4">
        <v>93</v>
      </c>
    </row>
    <row r="4823" customHeight="1" spans="1:2">
      <c r="A4823" s="3" t="s">
        <v>22141</v>
      </c>
      <c r="B4823" s="4">
        <v>90</v>
      </c>
    </row>
    <row r="4824" customHeight="1" spans="1:2">
      <c r="A4824" s="3" t="s">
        <v>1470</v>
      </c>
      <c r="B4824" s="4">
        <v>153</v>
      </c>
    </row>
    <row r="4825" customHeight="1" spans="1:2">
      <c r="A4825" s="3" t="s">
        <v>8598</v>
      </c>
      <c r="B4825" s="4">
        <v>100</v>
      </c>
    </row>
    <row r="4826" customHeight="1" spans="1:2">
      <c r="A4826" s="3" t="s">
        <v>8986</v>
      </c>
      <c r="B4826" s="4">
        <v>81</v>
      </c>
    </row>
    <row r="4827" customHeight="1" spans="1:2">
      <c r="A4827" s="3" t="s">
        <v>20518</v>
      </c>
      <c r="B4827" s="4">
        <v>30</v>
      </c>
    </row>
    <row r="4828" customHeight="1" spans="1:2">
      <c r="A4828" s="3" t="s">
        <v>13265</v>
      </c>
      <c r="B4828" s="4">
        <v>104</v>
      </c>
    </row>
    <row r="4829" customHeight="1" spans="1:2">
      <c r="A4829" s="3" t="s">
        <v>8459</v>
      </c>
      <c r="B4829" s="4">
        <v>63</v>
      </c>
    </row>
    <row r="4830" customHeight="1" spans="1:2">
      <c r="A4830" s="3" t="s">
        <v>17315</v>
      </c>
      <c r="B4830" s="4">
        <v>103</v>
      </c>
    </row>
    <row r="4831" customHeight="1" spans="1:2">
      <c r="A4831" s="3" t="s">
        <v>18985</v>
      </c>
      <c r="B4831" s="4">
        <v>98</v>
      </c>
    </row>
    <row r="4832" customHeight="1" spans="1:2">
      <c r="A4832" s="3" t="s">
        <v>20235</v>
      </c>
      <c r="B4832" s="4">
        <v>100</v>
      </c>
    </row>
    <row r="4833" customHeight="1" spans="1:2">
      <c r="A4833" s="3" t="s">
        <v>4368</v>
      </c>
      <c r="B4833" s="4">
        <v>118</v>
      </c>
    </row>
    <row r="4834" customHeight="1" spans="1:2">
      <c r="A4834" s="3" t="s">
        <v>17151</v>
      </c>
      <c r="B4834" s="4">
        <v>106</v>
      </c>
    </row>
    <row r="4835" customHeight="1" spans="1:2">
      <c r="A4835" s="3" t="s">
        <v>20283</v>
      </c>
      <c r="B4835" s="4">
        <v>98</v>
      </c>
    </row>
    <row r="4836" customHeight="1" spans="1:2">
      <c r="A4836" s="3" t="s">
        <v>8250</v>
      </c>
      <c r="B4836" s="4">
        <v>95</v>
      </c>
    </row>
    <row r="4837" customHeight="1" spans="1:2">
      <c r="A4837" s="3" t="s">
        <v>10004</v>
      </c>
      <c r="B4837" s="4">
        <v>117</v>
      </c>
    </row>
    <row r="4838" customHeight="1" spans="1:2">
      <c r="A4838" s="3" t="s">
        <v>18171</v>
      </c>
      <c r="B4838" s="4">
        <v>87</v>
      </c>
    </row>
    <row r="4839" customHeight="1" spans="1:2">
      <c r="A4839" s="3" t="s">
        <v>16365</v>
      </c>
      <c r="B4839" s="4">
        <v>97</v>
      </c>
    </row>
    <row r="4840" customHeight="1" spans="1:2">
      <c r="A4840" s="3" t="s">
        <v>14046</v>
      </c>
      <c r="B4840" s="4">
        <v>112</v>
      </c>
    </row>
    <row r="4841" customHeight="1" spans="1:2">
      <c r="A4841" s="3" t="s">
        <v>21433</v>
      </c>
      <c r="B4841" s="4"/>
    </row>
    <row r="4842" customHeight="1" spans="1:2">
      <c r="A4842" s="3" t="s">
        <v>3394</v>
      </c>
      <c r="B4842" s="4">
        <v>125</v>
      </c>
    </row>
    <row r="4843" customHeight="1" spans="1:2">
      <c r="A4843" s="3" t="s">
        <v>12097</v>
      </c>
      <c r="B4843" s="4">
        <v>91</v>
      </c>
    </row>
    <row r="4844" customHeight="1" spans="1:2">
      <c r="A4844" s="3" t="s">
        <v>14613</v>
      </c>
      <c r="B4844" s="4">
        <v>109</v>
      </c>
    </row>
    <row r="4845" customHeight="1" spans="1:2">
      <c r="A4845" s="3" t="s">
        <v>16128</v>
      </c>
      <c r="B4845" s="4">
        <v>92</v>
      </c>
    </row>
    <row r="4846" customHeight="1" spans="1:2">
      <c r="A4846" s="3" t="s">
        <v>19342</v>
      </c>
      <c r="B4846" s="4">
        <v>94</v>
      </c>
    </row>
    <row r="4847" customHeight="1" spans="1:2">
      <c r="A4847" s="3" t="s">
        <v>13931</v>
      </c>
      <c r="B4847" s="4">
        <v>111</v>
      </c>
    </row>
    <row r="4848" customHeight="1" spans="1:2">
      <c r="A4848" s="3" t="s">
        <v>7563</v>
      </c>
      <c r="B4848" s="4">
        <v>107</v>
      </c>
    </row>
    <row r="4849" customHeight="1" spans="1:2">
      <c r="A4849" s="3" t="s">
        <v>17434</v>
      </c>
      <c r="B4849" s="4">
        <v>104</v>
      </c>
    </row>
    <row r="4850" customHeight="1" spans="1:2">
      <c r="A4850" s="3" t="s">
        <v>11671</v>
      </c>
      <c r="B4850" s="4">
        <v>121</v>
      </c>
    </row>
    <row r="4851" customHeight="1" spans="1:2">
      <c r="A4851" s="3" t="s">
        <v>13783</v>
      </c>
      <c r="B4851" s="4">
        <v>84</v>
      </c>
    </row>
    <row r="4852" customHeight="1" spans="1:2">
      <c r="A4852" s="3" t="s">
        <v>22397</v>
      </c>
      <c r="B4852" s="4">
        <v>215</v>
      </c>
    </row>
    <row r="4853" customHeight="1" spans="1:2">
      <c r="A4853" s="3" t="s">
        <v>22532</v>
      </c>
      <c r="B4853" s="4">
        <v>94</v>
      </c>
    </row>
    <row r="4854" customHeight="1" spans="1:2">
      <c r="A4854" s="3" t="s">
        <v>3716</v>
      </c>
      <c r="B4854" s="4">
        <v>129</v>
      </c>
    </row>
    <row r="4855" customHeight="1" spans="1:2">
      <c r="A4855" s="3" t="s">
        <v>345</v>
      </c>
      <c r="B4855" s="4">
        <v>123</v>
      </c>
    </row>
    <row r="4856" customHeight="1" spans="1:2">
      <c r="A4856" s="3" t="s">
        <v>15347</v>
      </c>
      <c r="B4856" s="4">
        <v>99</v>
      </c>
    </row>
    <row r="4857" customHeight="1" spans="1:2">
      <c r="A4857" s="3" t="s">
        <v>880</v>
      </c>
      <c r="B4857" s="4">
        <v>99</v>
      </c>
    </row>
    <row r="4858" customHeight="1" spans="1:2">
      <c r="A4858" s="3" t="s">
        <v>625</v>
      </c>
      <c r="B4858" s="4">
        <v>101</v>
      </c>
    </row>
    <row r="4859" customHeight="1" spans="1:2">
      <c r="A4859" s="3" t="s">
        <v>21740</v>
      </c>
      <c r="B4859" s="4">
        <v>88</v>
      </c>
    </row>
    <row r="4860" customHeight="1" spans="1:2">
      <c r="A4860" s="3" t="s">
        <v>15008</v>
      </c>
      <c r="B4860" s="4">
        <v>84</v>
      </c>
    </row>
    <row r="4861" customHeight="1" spans="1:2">
      <c r="A4861" s="3" t="s">
        <v>16237</v>
      </c>
      <c r="B4861" s="4">
        <v>142</v>
      </c>
    </row>
    <row r="4862" customHeight="1" spans="1:2">
      <c r="A4862" s="3" t="s">
        <v>3867</v>
      </c>
      <c r="B4862" s="4">
        <v>212</v>
      </c>
    </row>
    <row r="4863" customHeight="1" spans="1:2">
      <c r="A4863" s="3" t="s">
        <v>4421</v>
      </c>
      <c r="B4863" s="4">
        <v>119</v>
      </c>
    </row>
    <row r="4864" customHeight="1" spans="1:2">
      <c r="A4864" s="3" t="s">
        <v>1289</v>
      </c>
      <c r="B4864" s="4">
        <v>134</v>
      </c>
    </row>
    <row r="4865" customHeight="1" spans="1:2">
      <c r="A4865" s="3" t="s">
        <v>819</v>
      </c>
      <c r="B4865" s="4">
        <v>119</v>
      </c>
    </row>
    <row r="4866" customHeight="1" spans="1:2">
      <c r="A4866" s="3" t="s">
        <v>3001</v>
      </c>
      <c r="B4866" s="4">
        <v>104</v>
      </c>
    </row>
    <row r="4867" customHeight="1" spans="1:2">
      <c r="A4867" s="3" t="s">
        <v>461</v>
      </c>
      <c r="B4867" s="4">
        <v>144</v>
      </c>
    </row>
    <row r="4868" customHeight="1" spans="1:2">
      <c r="A4868" s="3" t="s">
        <v>349</v>
      </c>
      <c r="B4868" s="4">
        <v>149</v>
      </c>
    </row>
    <row r="4869" customHeight="1" spans="1:2">
      <c r="A4869" s="3" t="s">
        <v>694</v>
      </c>
      <c r="B4869" s="4">
        <v>132</v>
      </c>
    </row>
    <row r="4870" customHeight="1" spans="1:2">
      <c r="A4870" s="3" t="s">
        <v>266</v>
      </c>
      <c r="B4870" s="4">
        <v>104</v>
      </c>
    </row>
    <row r="4871" customHeight="1" spans="1:2">
      <c r="A4871" s="3" t="s">
        <v>3311</v>
      </c>
      <c r="B4871" s="4">
        <v>132</v>
      </c>
    </row>
    <row r="4872" customHeight="1" spans="1:2">
      <c r="A4872" s="3" t="s">
        <v>4315</v>
      </c>
      <c r="B4872" s="4">
        <v>101</v>
      </c>
    </row>
    <row r="4873" customHeight="1" spans="1:2">
      <c r="A4873" s="3" t="s">
        <v>17719</v>
      </c>
      <c r="B4873" s="4">
        <v>106</v>
      </c>
    </row>
    <row r="4874" customHeight="1" spans="1:2">
      <c r="A4874" s="3" t="s">
        <v>4222</v>
      </c>
      <c r="B4874" s="4">
        <v>100</v>
      </c>
    </row>
    <row r="4875" customHeight="1" spans="1:2">
      <c r="A4875" s="3" t="s">
        <v>15928</v>
      </c>
      <c r="B4875" s="4">
        <v>160</v>
      </c>
    </row>
    <row r="4876" customHeight="1" spans="1:2">
      <c r="A4876" s="3" t="s">
        <v>14080</v>
      </c>
      <c r="B4876" s="4">
        <v>132</v>
      </c>
    </row>
    <row r="4877" customHeight="1" spans="1:2">
      <c r="A4877" s="3" t="s">
        <v>5057</v>
      </c>
      <c r="B4877" s="4">
        <v>104</v>
      </c>
    </row>
    <row r="4878" customHeight="1" spans="1:2">
      <c r="A4878" s="3" t="s">
        <v>20806</v>
      </c>
      <c r="B4878" s="4">
        <v>100</v>
      </c>
    </row>
    <row r="4879" customHeight="1" spans="1:2">
      <c r="A4879" s="3" t="s">
        <v>23502</v>
      </c>
      <c r="B4879" s="4">
        <v>89</v>
      </c>
    </row>
    <row r="4880" customHeight="1" spans="1:2">
      <c r="A4880" s="3" t="s">
        <v>18093</v>
      </c>
      <c r="B4880" s="4">
        <v>88</v>
      </c>
    </row>
    <row r="4881" customHeight="1" spans="1:2">
      <c r="A4881" s="3" t="s">
        <v>2707</v>
      </c>
      <c r="B4881" s="4">
        <v>80</v>
      </c>
    </row>
    <row r="4882" customHeight="1" spans="1:2">
      <c r="A4882" s="3" t="s">
        <v>10949</v>
      </c>
      <c r="B4882" s="4">
        <v>105</v>
      </c>
    </row>
    <row r="4883" customHeight="1" spans="1:2">
      <c r="A4883" s="3" t="s">
        <v>21304</v>
      </c>
      <c r="B4883" s="4">
        <v>111</v>
      </c>
    </row>
    <row r="4884" customHeight="1" spans="1:2">
      <c r="A4884" s="3" t="s">
        <v>20811</v>
      </c>
      <c r="B4884" s="4">
        <v>126</v>
      </c>
    </row>
    <row r="4885" customHeight="1" spans="1:2">
      <c r="A4885" s="3" t="s">
        <v>2183</v>
      </c>
      <c r="B4885" s="4">
        <v>113</v>
      </c>
    </row>
    <row r="4886" customHeight="1" spans="1:2">
      <c r="A4886" s="3" t="s">
        <v>16001</v>
      </c>
      <c r="B4886" s="4">
        <v>95</v>
      </c>
    </row>
    <row r="4887" customHeight="1" spans="1:2">
      <c r="A4887" s="3" t="s">
        <v>15445</v>
      </c>
      <c r="B4887" s="4">
        <v>91</v>
      </c>
    </row>
    <row r="4888" customHeight="1" spans="1:2">
      <c r="A4888" s="3" t="s">
        <v>18588</v>
      </c>
      <c r="B4888" s="4">
        <v>93</v>
      </c>
    </row>
    <row r="4889" customHeight="1" spans="1:2">
      <c r="A4889" s="3" t="s">
        <v>15517</v>
      </c>
      <c r="B4889" s="4">
        <v>117</v>
      </c>
    </row>
    <row r="4890" customHeight="1" spans="1:2">
      <c r="A4890" s="3" t="s">
        <v>13171</v>
      </c>
      <c r="B4890" s="4">
        <v>98</v>
      </c>
    </row>
    <row r="4891" customHeight="1" spans="1:2">
      <c r="A4891" s="3" t="s">
        <v>4861</v>
      </c>
      <c r="B4891" s="4">
        <v>110</v>
      </c>
    </row>
    <row r="4892" customHeight="1" spans="1:2">
      <c r="A4892" s="3" t="s">
        <v>14205</v>
      </c>
      <c r="B4892" s="4">
        <v>94</v>
      </c>
    </row>
    <row r="4893" customHeight="1" spans="1:2">
      <c r="A4893" s="3" t="s">
        <v>19685</v>
      </c>
      <c r="B4893" s="4">
        <v>106</v>
      </c>
    </row>
    <row r="4894" customHeight="1" spans="1:2">
      <c r="A4894" s="3" t="s">
        <v>13679</v>
      </c>
      <c r="B4894" s="4">
        <v>107</v>
      </c>
    </row>
    <row r="4895" customHeight="1" spans="1:2">
      <c r="A4895" s="3" t="s">
        <v>11869</v>
      </c>
      <c r="B4895" s="4">
        <v>109</v>
      </c>
    </row>
    <row r="4896" customHeight="1" spans="1:2">
      <c r="A4896" s="3" t="s">
        <v>5421</v>
      </c>
      <c r="B4896" s="4">
        <v>102</v>
      </c>
    </row>
    <row r="4897" customHeight="1" spans="1:2">
      <c r="A4897" s="3" t="s">
        <v>23657</v>
      </c>
      <c r="B4897" s="4">
        <v>90</v>
      </c>
    </row>
    <row r="4898" customHeight="1" spans="1:2">
      <c r="A4898" s="3" t="s">
        <v>5819</v>
      </c>
      <c r="B4898" s="4">
        <v>111</v>
      </c>
    </row>
    <row r="4899" customHeight="1" spans="1:2">
      <c r="A4899" s="3" t="s">
        <v>11908</v>
      </c>
      <c r="B4899" s="4">
        <v>90</v>
      </c>
    </row>
    <row r="4900" customHeight="1" spans="1:2">
      <c r="A4900" s="3" t="s">
        <v>3671</v>
      </c>
      <c r="B4900" s="4">
        <v>119</v>
      </c>
    </row>
    <row r="4901" customHeight="1" spans="1:2">
      <c r="A4901" s="3" t="s">
        <v>11030</v>
      </c>
      <c r="B4901" s="4">
        <v>24</v>
      </c>
    </row>
    <row r="4902" customHeight="1" spans="1:2">
      <c r="A4902" s="3" t="s">
        <v>16747</v>
      </c>
      <c r="B4902" s="4">
        <v>92</v>
      </c>
    </row>
    <row r="4903" customHeight="1" spans="1:2">
      <c r="A4903" s="3" t="s">
        <v>10120</v>
      </c>
      <c r="B4903" s="4">
        <v>101</v>
      </c>
    </row>
    <row r="4904" customHeight="1" spans="1:2">
      <c r="A4904" s="3" t="s">
        <v>11515</v>
      </c>
      <c r="B4904" s="4">
        <v>83</v>
      </c>
    </row>
    <row r="4905" customHeight="1" spans="1:2">
      <c r="A4905" s="3" t="s">
        <v>3786</v>
      </c>
      <c r="B4905" s="4">
        <v>101</v>
      </c>
    </row>
    <row r="4906" customHeight="1" spans="1:2">
      <c r="A4906" s="3" t="s">
        <v>4925</v>
      </c>
      <c r="B4906" s="4">
        <v>157</v>
      </c>
    </row>
    <row r="4907" customHeight="1" spans="1:2">
      <c r="A4907" s="3" t="s">
        <v>17901</v>
      </c>
      <c r="B4907" s="4">
        <v>116</v>
      </c>
    </row>
    <row r="4908" customHeight="1" spans="1:2">
      <c r="A4908" s="3" t="s">
        <v>18624</v>
      </c>
      <c r="B4908" s="4">
        <v>103</v>
      </c>
    </row>
    <row r="4909" customHeight="1" spans="1:2">
      <c r="A4909" s="3" t="s">
        <v>21938</v>
      </c>
      <c r="B4909" s="4">
        <v>89</v>
      </c>
    </row>
    <row r="4910" customHeight="1" spans="1:2">
      <c r="A4910" s="3" t="s">
        <v>2521</v>
      </c>
      <c r="B4910" s="4">
        <v>162</v>
      </c>
    </row>
    <row r="4911" customHeight="1" spans="1:2">
      <c r="A4911" s="3" t="s">
        <v>22002</v>
      </c>
      <c r="B4911" s="4">
        <v>93</v>
      </c>
    </row>
    <row r="4912" customHeight="1" spans="1:2">
      <c r="A4912" s="3" t="s">
        <v>10197</v>
      </c>
      <c r="B4912" s="4">
        <v>88</v>
      </c>
    </row>
    <row r="4913" customHeight="1" spans="1:2">
      <c r="A4913" s="3" t="s">
        <v>2720</v>
      </c>
      <c r="B4913" s="4">
        <v>102</v>
      </c>
    </row>
    <row r="4914" customHeight="1" spans="1:2">
      <c r="A4914" s="3" t="s">
        <v>5474</v>
      </c>
      <c r="B4914" s="4">
        <v>102</v>
      </c>
    </row>
    <row r="4915" customHeight="1" spans="1:2">
      <c r="A4915" s="3" t="s">
        <v>8918</v>
      </c>
      <c r="B4915" s="4">
        <v>90</v>
      </c>
    </row>
    <row r="4916" customHeight="1" spans="1:2">
      <c r="A4916" s="3" t="s">
        <v>7679</v>
      </c>
      <c r="B4916" s="4">
        <v>83</v>
      </c>
    </row>
    <row r="4917" customHeight="1" spans="1:2">
      <c r="A4917" s="6" t="s">
        <v>12600</v>
      </c>
      <c r="B4917" s="7">
        <v>110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2"/>
  <sheetViews>
    <sheetView showGridLines="0" workbookViewId="0">
      <selection activeCell="L17" sqref="L17"/>
    </sheetView>
  </sheetViews>
  <sheetFormatPr defaultColWidth="12.6296296296296" defaultRowHeight="15.75" customHeight="1" outlineLevelRow="1"/>
  <cols>
    <col min="1" max="1" width="12.8888888888889"/>
  </cols>
  <sheetData>
    <row r="1" customHeight="1" spans="1:1">
      <c r="A1" s="2" t="s">
        <v>24164</v>
      </c>
    </row>
    <row r="2" customHeight="1" spans="1:1">
      <c r="A2" s="8">
        <v>6.44213761649811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2"/>
  <sheetViews>
    <sheetView showGridLines="0" workbookViewId="0">
      <selection activeCell="A1" sqref="A1"/>
    </sheetView>
  </sheetViews>
  <sheetFormatPr defaultColWidth="12.6296296296296" defaultRowHeight="15.75" customHeight="1" outlineLevelRow="1"/>
  <sheetData>
    <row r="1" customHeight="1" spans="1:1">
      <c r="A1" s="2" t="s">
        <v>24165</v>
      </c>
    </row>
    <row r="2" customHeight="1" spans="1:1">
      <c r="A2" s="8">
        <v>201580106904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2"/>
  <sheetViews>
    <sheetView showGridLines="0" workbookViewId="0">
      <selection activeCell="A1" sqref="A1"/>
    </sheetView>
  </sheetViews>
  <sheetFormatPr defaultColWidth="12.6296296296296" defaultRowHeight="15.75" customHeight="1" outlineLevelRow="1"/>
  <cols>
    <col min="1" max="1" width="17.25" customWidth="1"/>
  </cols>
  <sheetData>
    <row r="1" customHeight="1" spans="1:1">
      <c r="A1" s="2" t="s">
        <v>24166</v>
      </c>
    </row>
    <row r="2" customHeight="1" spans="1:1">
      <c r="A2" s="8">
        <v>107.20107398568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93"/>
  <sheetViews>
    <sheetView showGridLines="0" workbookViewId="0">
      <selection activeCell="A1" sqref="A1"/>
    </sheetView>
  </sheetViews>
  <sheetFormatPr defaultColWidth="12.6296296296296" defaultRowHeight="15.75" customHeight="1" outlineLevelCol="1"/>
  <cols>
    <col min="2" max="2" width="18.25" customWidth="1"/>
  </cols>
  <sheetData>
    <row r="1" customHeight="1" spans="1:2">
      <c r="A1" s="1" t="s">
        <v>23</v>
      </c>
      <c r="B1" s="2" t="s">
        <v>24162</v>
      </c>
    </row>
    <row r="2" customHeight="1" spans="1:2">
      <c r="A2" s="1">
        <v>1916</v>
      </c>
      <c r="B2" s="2">
        <v>1</v>
      </c>
    </row>
    <row r="3" customHeight="1" spans="1:2">
      <c r="A3" s="3">
        <v>1920</v>
      </c>
      <c r="B3" s="4">
        <v>1</v>
      </c>
    </row>
    <row r="4" customHeight="1" spans="1:2">
      <c r="A4" s="3">
        <v>1925</v>
      </c>
      <c r="B4" s="4">
        <v>1</v>
      </c>
    </row>
    <row r="5" customHeight="1" spans="1:2">
      <c r="A5" s="3">
        <v>1927</v>
      </c>
      <c r="B5" s="4">
        <v>1</v>
      </c>
    </row>
    <row r="6" customHeight="1" spans="1:2">
      <c r="A6" s="3">
        <v>1929</v>
      </c>
      <c r="B6" s="4">
        <v>2</v>
      </c>
    </row>
    <row r="7" customHeight="1" spans="1:2">
      <c r="A7" s="3">
        <v>1930</v>
      </c>
      <c r="B7" s="4">
        <v>1</v>
      </c>
    </row>
    <row r="8" customHeight="1" spans="1:2">
      <c r="A8" s="3">
        <v>1932</v>
      </c>
      <c r="B8" s="4">
        <v>1</v>
      </c>
    </row>
    <row r="9" customHeight="1" spans="1:2">
      <c r="A9" s="3">
        <v>1933</v>
      </c>
      <c r="B9" s="4">
        <v>2</v>
      </c>
    </row>
    <row r="10" customHeight="1" spans="1:2">
      <c r="A10" s="3">
        <v>1934</v>
      </c>
      <c r="B10" s="4">
        <v>1</v>
      </c>
    </row>
    <row r="11" customHeight="1" spans="1:2">
      <c r="A11" s="3">
        <v>1935</v>
      </c>
      <c r="B11" s="4">
        <v>1</v>
      </c>
    </row>
    <row r="12" customHeight="1" spans="1:2">
      <c r="A12" s="3">
        <v>1936</v>
      </c>
      <c r="B12" s="4">
        <v>2</v>
      </c>
    </row>
    <row r="13" customHeight="1" spans="1:2">
      <c r="A13" s="3">
        <v>1937</v>
      </c>
      <c r="B13" s="4">
        <v>2</v>
      </c>
    </row>
    <row r="14" customHeight="1" spans="1:2">
      <c r="A14" s="3">
        <v>1938</v>
      </c>
      <c r="B14" s="4">
        <v>2</v>
      </c>
    </row>
    <row r="15" customHeight="1" spans="1:2">
      <c r="A15" s="3">
        <v>1939</v>
      </c>
      <c r="B15" s="4">
        <v>3</v>
      </c>
    </row>
    <row r="16" customHeight="1" spans="1:2">
      <c r="A16" s="3">
        <v>1940</v>
      </c>
      <c r="B16" s="4">
        <v>5</v>
      </c>
    </row>
    <row r="17" customHeight="1" spans="1:2">
      <c r="A17" s="3">
        <v>1941</v>
      </c>
      <c r="B17" s="4">
        <v>1</v>
      </c>
    </row>
    <row r="18" customHeight="1" spans="1:2">
      <c r="A18" s="3">
        <v>1942</v>
      </c>
      <c r="B18" s="4">
        <v>2</v>
      </c>
    </row>
    <row r="19" customHeight="1" spans="1:2">
      <c r="A19" s="3">
        <v>1943</v>
      </c>
      <c r="B19" s="4">
        <v>1</v>
      </c>
    </row>
    <row r="20" customHeight="1" spans="1:2">
      <c r="A20" s="3">
        <v>1944</v>
      </c>
      <c r="B20" s="4">
        <v>1</v>
      </c>
    </row>
    <row r="21" customHeight="1" spans="1:2">
      <c r="A21" s="3">
        <v>1945</v>
      </c>
      <c r="B21" s="4">
        <v>4</v>
      </c>
    </row>
    <row r="22" customHeight="1" spans="1:2">
      <c r="A22" s="3">
        <v>1946</v>
      </c>
      <c r="B22" s="4">
        <v>3</v>
      </c>
    </row>
    <row r="23" customHeight="1" spans="1:2">
      <c r="A23" s="3">
        <v>1947</v>
      </c>
      <c r="B23" s="4">
        <v>3</v>
      </c>
    </row>
    <row r="24" customHeight="1" spans="1:2">
      <c r="A24" s="3">
        <v>1948</v>
      </c>
      <c r="B24" s="4">
        <v>3</v>
      </c>
    </row>
    <row r="25" customHeight="1" spans="1:2">
      <c r="A25" s="3">
        <v>1949</v>
      </c>
      <c r="B25" s="4">
        <v>2</v>
      </c>
    </row>
    <row r="26" customHeight="1" spans="1:2">
      <c r="A26" s="3">
        <v>1950</v>
      </c>
      <c r="B26" s="4">
        <v>1</v>
      </c>
    </row>
    <row r="27" customHeight="1" spans="1:2">
      <c r="A27" s="3">
        <v>1951</v>
      </c>
      <c r="B27" s="4">
        <v>3</v>
      </c>
    </row>
    <row r="28" customHeight="1" spans="1:2">
      <c r="A28" s="3">
        <v>1952</v>
      </c>
      <c r="B28" s="4">
        <v>4</v>
      </c>
    </row>
    <row r="29" customHeight="1" spans="1:2">
      <c r="A29" s="3">
        <v>1953</v>
      </c>
      <c r="B29" s="4">
        <v>4</v>
      </c>
    </row>
    <row r="30" customHeight="1" spans="1:2">
      <c r="A30" s="3">
        <v>1954</v>
      </c>
      <c r="B30" s="4">
        <v>5</v>
      </c>
    </row>
    <row r="31" customHeight="1" spans="1:2">
      <c r="A31" s="3">
        <v>1955</v>
      </c>
      <c r="B31" s="4">
        <v>2</v>
      </c>
    </row>
    <row r="32" customHeight="1" spans="1:2">
      <c r="A32" s="3">
        <v>1956</v>
      </c>
      <c r="B32" s="4">
        <v>3</v>
      </c>
    </row>
    <row r="33" customHeight="1" spans="1:2">
      <c r="A33" s="3">
        <v>1957</v>
      </c>
      <c r="B33" s="4">
        <v>2</v>
      </c>
    </row>
    <row r="34" customHeight="1" spans="1:2">
      <c r="A34" s="3">
        <v>1958</v>
      </c>
      <c r="B34" s="4">
        <v>1</v>
      </c>
    </row>
    <row r="35" customHeight="1" spans="1:2">
      <c r="A35" s="3">
        <v>1959</v>
      </c>
      <c r="B35" s="4">
        <v>3</v>
      </c>
    </row>
    <row r="36" customHeight="1" spans="1:2">
      <c r="A36" s="3">
        <v>1960</v>
      </c>
      <c r="B36" s="4">
        <v>3</v>
      </c>
    </row>
    <row r="37" customHeight="1" spans="1:2">
      <c r="A37" s="3">
        <v>1961</v>
      </c>
      <c r="B37" s="4">
        <v>5</v>
      </c>
    </row>
    <row r="38" customHeight="1" spans="1:2">
      <c r="A38" s="3">
        <v>1962</v>
      </c>
      <c r="B38" s="4">
        <v>8</v>
      </c>
    </row>
    <row r="39" customHeight="1" spans="1:2">
      <c r="A39" s="3">
        <v>1963</v>
      </c>
      <c r="B39" s="4">
        <v>8</v>
      </c>
    </row>
    <row r="40" customHeight="1" spans="1:2">
      <c r="A40" s="3">
        <v>1964</v>
      </c>
      <c r="B40" s="4">
        <v>10</v>
      </c>
    </row>
    <row r="41" customHeight="1" spans="1:2">
      <c r="A41" s="3">
        <v>1965</v>
      </c>
      <c r="B41" s="4">
        <v>8</v>
      </c>
    </row>
    <row r="42" customHeight="1" spans="1:2">
      <c r="A42" s="3">
        <v>1966</v>
      </c>
      <c r="B42" s="4">
        <v>6</v>
      </c>
    </row>
    <row r="43" customHeight="1" spans="1:2">
      <c r="A43" s="3">
        <v>1967</v>
      </c>
      <c r="B43" s="4">
        <v>4</v>
      </c>
    </row>
    <row r="44" customHeight="1" spans="1:2">
      <c r="A44" s="3">
        <v>1968</v>
      </c>
      <c r="B44" s="4">
        <v>11</v>
      </c>
    </row>
    <row r="45" customHeight="1" spans="1:2">
      <c r="A45" s="3">
        <v>1969</v>
      </c>
      <c r="B45" s="4">
        <v>10</v>
      </c>
    </row>
    <row r="46" customHeight="1" spans="1:2">
      <c r="A46" s="3">
        <v>1970</v>
      </c>
      <c r="B46" s="4">
        <v>12</v>
      </c>
    </row>
    <row r="47" customHeight="1" spans="1:2">
      <c r="A47" s="3">
        <v>1971</v>
      </c>
      <c r="B47" s="4">
        <v>11</v>
      </c>
    </row>
    <row r="48" customHeight="1" spans="1:2">
      <c r="A48" s="3">
        <v>1972</v>
      </c>
      <c r="B48" s="4">
        <v>9</v>
      </c>
    </row>
    <row r="49" customHeight="1" spans="1:2">
      <c r="A49" s="3">
        <v>1973</v>
      </c>
      <c r="B49" s="4">
        <v>9</v>
      </c>
    </row>
    <row r="50" customHeight="1" spans="1:2">
      <c r="A50" s="3">
        <v>1974</v>
      </c>
      <c r="B50" s="4">
        <v>9</v>
      </c>
    </row>
    <row r="51" customHeight="1" spans="1:2">
      <c r="A51" s="3">
        <v>1975</v>
      </c>
      <c r="B51" s="4">
        <v>6</v>
      </c>
    </row>
    <row r="52" customHeight="1" spans="1:2">
      <c r="A52" s="3">
        <v>1976</v>
      </c>
      <c r="B52" s="4">
        <v>10</v>
      </c>
    </row>
    <row r="53" customHeight="1" spans="1:2">
      <c r="A53" s="3">
        <v>1977</v>
      </c>
      <c r="B53" s="4">
        <v>16</v>
      </c>
    </row>
    <row r="54" customHeight="1" spans="1:2">
      <c r="A54" s="3">
        <v>1978</v>
      </c>
      <c r="B54" s="4">
        <v>16</v>
      </c>
    </row>
    <row r="55" customHeight="1" spans="1:2">
      <c r="A55" s="3">
        <v>1979</v>
      </c>
      <c r="B55" s="4">
        <v>16</v>
      </c>
    </row>
    <row r="56" customHeight="1" spans="1:2">
      <c r="A56" s="3">
        <v>1980</v>
      </c>
      <c r="B56" s="4">
        <v>24</v>
      </c>
    </row>
    <row r="57" customHeight="1" spans="1:2">
      <c r="A57" s="3">
        <v>1981</v>
      </c>
      <c r="B57" s="4">
        <v>33</v>
      </c>
    </row>
    <row r="58" customHeight="1" spans="1:2">
      <c r="A58" s="3">
        <v>1982</v>
      </c>
      <c r="B58" s="4">
        <v>30</v>
      </c>
    </row>
    <row r="59" customHeight="1" spans="1:2">
      <c r="A59" s="3">
        <v>1983</v>
      </c>
      <c r="B59" s="4">
        <v>22</v>
      </c>
    </row>
    <row r="60" customHeight="1" spans="1:2">
      <c r="A60" s="3">
        <v>1984</v>
      </c>
      <c r="B60" s="4">
        <v>31</v>
      </c>
    </row>
    <row r="61" customHeight="1" spans="1:2">
      <c r="A61" s="3">
        <v>1985</v>
      </c>
      <c r="B61" s="4">
        <v>29</v>
      </c>
    </row>
    <row r="62" customHeight="1" spans="1:2">
      <c r="A62" s="3">
        <v>1986</v>
      </c>
      <c r="B62" s="4">
        <v>26</v>
      </c>
    </row>
    <row r="63" customHeight="1" spans="1:2">
      <c r="A63" s="3">
        <v>1987</v>
      </c>
      <c r="B63" s="4">
        <v>32</v>
      </c>
    </row>
    <row r="64" customHeight="1" spans="1:2">
      <c r="A64" s="3">
        <v>1988</v>
      </c>
      <c r="B64" s="4">
        <v>31</v>
      </c>
    </row>
    <row r="65" customHeight="1" spans="1:2">
      <c r="A65" s="3">
        <v>1989</v>
      </c>
      <c r="B65" s="4">
        <v>33</v>
      </c>
    </row>
    <row r="66" customHeight="1" spans="1:2">
      <c r="A66" s="3">
        <v>1990</v>
      </c>
      <c r="B66" s="4">
        <v>30</v>
      </c>
    </row>
    <row r="67" customHeight="1" spans="1:2">
      <c r="A67" s="3">
        <v>1991</v>
      </c>
      <c r="B67" s="4">
        <v>31</v>
      </c>
    </row>
    <row r="68" customHeight="1" spans="1:2">
      <c r="A68" s="3">
        <v>1992</v>
      </c>
      <c r="B68" s="4">
        <v>34</v>
      </c>
    </row>
    <row r="69" customHeight="1" spans="1:2">
      <c r="A69" s="3">
        <v>1993</v>
      </c>
      <c r="B69" s="4">
        <v>48</v>
      </c>
    </row>
    <row r="70" customHeight="1" spans="1:2">
      <c r="A70" s="3">
        <v>1994</v>
      </c>
      <c r="B70" s="4">
        <v>54</v>
      </c>
    </row>
    <row r="71" customHeight="1" spans="1:2">
      <c r="A71" s="3">
        <v>1995</v>
      </c>
      <c r="B71" s="4">
        <v>70</v>
      </c>
    </row>
    <row r="72" customHeight="1" spans="1:2">
      <c r="A72" s="3">
        <v>1996</v>
      </c>
      <c r="B72" s="4">
        <v>99</v>
      </c>
    </row>
    <row r="73" customHeight="1" spans="1:2">
      <c r="A73" s="3">
        <v>1997</v>
      </c>
      <c r="B73" s="4">
        <v>118</v>
      </c>
    </row>
    <row r="74" customHeight="1" spans="1:2">
      <c r="A74" s="3">
        <v>1998</v>
      </c>
      <c r="B74" s="4">
        <v>134</v>
      </c>
    </row>
    <row r="75" customHeight="1" spans="1:2">
      <c r="A75" s="3">
        <v>1999</v>
      </c>
      <c r="B75" s="4">
        <v>168</v>
      </c>
    </row>
    <row r="76" customHeight="1" spans="1:2">
      <c r="A76" s="3">
        <v>2000</v>
      </c>
      <c r="B76" s="4">
        <v>171</v>
      </c>
    </row>
    <row r="77" customHeight="1" spans="1:2">
      <c r="A77" s="3">
        <v>2001</v>
      </c>
      <c r="B77" s="4">
        <v>188</v>
      </c>
    </row>
    <row r="78" customHeight="1" spans="1:2">
      <c r="A78" s="3">
        <v>2002</v>
      </c>
      <c r="B78" s="4">
        <v>209</v>
      </c>
    </row>
    <row r="79" customHeight="1" spans="1:2">
      <c r="A79" s="3">
        <v>2003</v>
      </c>
      <c r="B79" s="4">
        <v>169</v>
      </c>
    </row>
    <row r="80" customHeight="1" spans="1:2">
      <c r="A80" s="3">
        <v>2004</v>
      </c>
      <c r="B80" s="4">
        <v>214</v>
      </c>
    </row>
    <row r="81" customHeight="1" spans="1:2">
      <c r="A81" s="3">
        <v>2005</v>
      </c>
      <c r="B81" s="4">
        <v>221</v>
      </c>
    </row>
    <row r="82" customHeight="1" spans="1:2">
      <c r="A82" s="3">
        <v>2006</v>
      </c>
      <c r="B82" s="4">
        <v>239</v>
      </c>
    </row>
    <row r="83" customHeight="1" spans="1:2">
      <c r="A83" s="3">
        <v>2007</v>
      </c>
      <c r="B83" s="4">
        <v>204</v>
      </c>
    </row>
    <row r="84" customHeight="1" spans="1:2">
      <c r="A84" s="3">
        <v>2008</v>
      </c>
      <c r="B84" s="4">
        <v>225</v>
      </c>
    </row>
    <row r="85" customHeight="1" spans="1:2">
      <c r="A85" s="3">
        <v>2009</v>
      </c>
      <c r="B85" s="4">
        <v>260</v>
      </c>
    </row>
    <row r="86" customHeight="1" spans="1:2">
      <c r="A86" s="3">
        <v>2010</v>
      </c>
      <c r="B86" s="4">
        <v>230</v>
      </c>
    </row>
    <row r="87" customHeight="1" spans="1:2">
      <c r="A87" s="3">
        <v>2011</v>
      </c>
      <c r="B87" s="4">
        <v>225</v>
      </c>
    </row>
    <row r="88" customHeight="1" spans="1:2">
      <c r="A88" s="3">
        <v>2012</v>
      </c>
      <c r="B88" s="4">
        <v>221</v>
      </c>
    </row>
    <row r="89" customHeight="1" spans="1:2">
      <c r="A89" s="3">
        <v>2013</v>
      </c>
      <c r="B89" s="4">
        <v>237</v>
      </c>
    </row>
    <row r="90" customHeight="1" spans="1:2">
      <c r="A90" s="3">
        <v>2014</v>
      </c>
      <c r="B90" s="4">
        <v>252</v>
      </c>
    </row>
    <row r="91" customHeight="1" spans="1:2">
      <c r="A91" s="3">
        <v>2015</v>
      </c>
      <c r="B91" s="4">
        <v>226</v>
      </c>
    </row>
    <row r="92" customHeight="1" spans="1:2">
      <c r="A92" s="3">
        <v>2016</v>
      </c>
      <c r="B92" s="4">
        <v>106</v>
      </c>
    </row>
    <row r="93" customHeight="1" spans="1:2">
      <c r="A93" s="6" t="s">
        <v>24167</v>
      </c>
      <c r="B93" s="7">
        <v>108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400"/>
  <sheetViews>
    <sheetView showGridLines="0" workbookViewId="0">
      <selection activeCell="A1" sqref="A1"/>
    </sheetView>
  </sheetViews>
  <sheetFormatPr defaultColWidth="12.6296296296296" defaultRowHeight="15.75" customHeight="1" outlineLevelCol="4"/>
  <cols>
    <col min="2" max="2" width="19.8796296296296" customWidth="1"/>
  </cols>
  <sheetData>
    <row r="1" customHeight="1" spans="1:5">
      <c r="A1" s="1" t="s">
        <v>1</v>
      </c>
      <c r="B1" s="2" t="s">
        <v>24164</v>
      </c>
      <c r="D1" s="9" t="s">
        <v>24168</v>
      </c>
      <c r="E1" s="9" t="s">
        <v>24169</v>
      </c>
    </row>
    <row r="2" customHeight="1" spans="1:5">
      <c r="A2" s="1" t="s">
        <v>21865</v>
      </c>
      <c r="B2" s="2">
        <v>1.9</v>
      </c>
      <c r="D2" s="5" t="str">
        <f>IFERROR(__xludf.DUMMYFUNCTION("QUERY(A2:B2400,""SELECT A,B LIMIT 1"")"),"John Blanchard")</f>
        <v>John Blanchard</v>
      </c>
      <c r="E2" s="5">
        <f>IFERROR(__xludf.DUMMYFUNCTION("""COMPUTED_VALUE"""),9.5)</f>
        <v>9.5</v>
      </c>
    </row>
    <row r="3" customHeight="1" spans="1:2">
      <c r="A3" s="3" t="s">
        <v>20448</v>
      </c>
      <c r="B3" s="4">
        <v>6</v>
      </c>
    </row>
    <row r="4" customHeight="1" spans="1:2">
      <c r="A4" s="3" t="s">
        <v>16575</v>
      </c>
      <c r="B4" s="4">
        <v>7.1</v>
      </c>
    </row>
    <row r="5" customHeight="1" spans="1:2">
      <c r="A5" s="3" t="s">
        <v>10757</v>
      </c>
      <c r="B5" s="4">
        <v>2.7</v>
      </c>
    </row>
    <row r="6" customHeight="1" spans="1:2">
      <c r="A6" s="3" t="s">
        <v>13975</v>
      </c>
      <c r="B6" s="4">
        <v>6.6</v>
      </c>
    </row>
    <row r="7" customHeight="1" spans="1:2">
      <c r="A7" s="3" t="s">
        <v>16487</v>
      </c>
      <c r="B7" s="4">
        <v>7.2</v>
      </c>
    </row>
    <row r="8" customHeight="1" spans="1:2">
      <c r="A8" s="3" t="s">
        <v>21011</v>
      </c>
      <c r="B8" s="4">
        <v>6.1</v>
      </c>
    </row>
    <row r="9" customHeight="1" spans="1:2">
      <c r="A9" s="3" t="s">
        <v>2866</v>
      </c>
      <c r="B9" s="4">
        <v>5.4</v>
      </c>
    </row>
    <row r="10" customHeight="1" spans="1:2">
      <c r="A10" s="3" t="s">
        <v>20989</v>
      </c>
      <c r="B10" s="4">
        <v>5.7</v>
      </c>
    </row>
    <row r="11" customHeight="1" spans="1:2">
      <c r="A11" s="3" t="s">
        <v>21378</v>
      </c>
      <c r="B11" s="4">
        <v>3.8</v>
      </c>
    </row>
    <row r="12" customHeight="1" spans="1:2">
      <c r="A12" s="3" t="s">
        <v>19264</v>
      </c>
      <c r="B12" s="4">
        <v>4.3</v>
      </c>
    </row>
    <row r="13" customHeight="1" spans="1:2">
      <c r="A13" s="3" t="s">
        <v>1752</v>
      </c>
      <c r="B13" s="4">
        <v>6.91666666666667</v>
      </c>
    </row>
    <row r="14" customHeight="1" spans="1:2">
      <c r="A14" s="3" t="s">
        <v>18984</v>
      </c>
      <c r="B14" s="4">
        <v>6.4</v>
      </c>
    </row>
    <row r="15" customHeight="1" spans="1:2">
      <c r="A15" s="3" t="s">
        <v>12538</v>
      </c>
      <c r="B15" s="4">
        <v>6.5</v>
      </c>
    </row>
    <row r="16" customHeight="1" spans="1:2">
      <c r="A16" s="3" t="s">
        <v>2613</v>
      </c>
      <c r="B16" s="4">
        <v>5.9625</v>
      </c>
    </row>
    <row r="17" customHeight="1" spans="1:2">
      <c r="A17" s="3" t="s">
        <v>5176</v>
      </c>
      <c r="B17" s="4">
        <v>6.4</v>
      </c>
    </row>
    <row r="18" customHeight="1" spans="1:2">
      <c r="A18" s="3" t="s">
        <v>20880</v>
      </c>
      <c r="B18" s="4">
        <v>7.1</v>
      </c>
    </row>
    <row r="19" customHeight="1" spans="1:2">
      <c r="A19" s="3" t="s">
        <v>14670</v>
      </c>
      <c r="B19" s="4">
        <v>6.8</v>
      </c>
    </row>
    <row r="20" customHeight="1" spans="1:2">
      <c r="A20" s="3" t="s">
        <v>18331</v>
      </c>
      <c r="B20" s="4">
        <v>5.9</v>
      </c>
    </row>
    <row r="21" customHeight="1" spans="1:2">
      <c r="A21" s="3" t="s">
        <v>9037</v>
      </c>
      <c r="B21" s="4">
        <v>6.1</v>
      </c>
    </row>
    <row r="22" customHeight="1" spans="1:2">
      <c r="A22" s="3" t="s">
        <v>17445</v>
      </c>
      <c r="B22" s="4">
        <v>7.2</v>
      </c>
    </row>
    <row r="23" customHeight="1" spans="1:2">
      <c r="A23" s="3" t="s">
        <v>14463</v>
      </c>
      <c r="B23" s="4">
        <v>8.1</v>
      </c>
    </row>
    <row r="24" customHeight="1" spans="1:2">
      <c r="A24" s="3" t="s">
        <v>4364</v>
      </c>
      <c r="B24" s="4">
        <v>6.2</v>
      </c>
    </row>
    <row r="25" customHeight="1" spans="1:2">
      <c r="A25" s="3" t="s">
        <v>4729</v>
      </c>
      <c r="B25" s="4">
        <v>6.03333333333333</v>
      </c>
    </row>
    <row r="26" customHeight="1" spans="1:2">
      <c r="A26" s="3" t="s">
        <v>23213</v>
      </c>
      <c r="B26" s="4">
        <v>4.3</v>
      </c>
    </row>
    <row r="27" customHeight="1" spans="1:2">
      <c r="A27" s="3" t="s">
        <v>23362</v>
      </c>
      <c r="B27" s="4">
        <v>4</v>
      </c>
    </row>
    <row r="28" customHeight="1" spans="1:2">
      <c r="A28" s="3" t="s">
        <v>13554</v>
      </c>
      <c r="B28" s="4">
        <v>6.3</v>
      </c>
    </row>
    <row r="29" customHeight="1" spans="1:2">
      <c r="A29" s="3" t="s">
        <v>16866</v>
      </c>
      <c r="B29" s="4">
        <v>7.2</v>
      </c>
    </row>
    <row r="30" customHeight="1" spans="1:2">
      <c r="A30" s="3" t="s">
        <v>13460</v>
      </c>
      <c r="B30" s="4">
        <v>6</v>
      </c>
    </row>
    <row r="31" customHeight="1" spans="1:2">
      <c r="A31" s="3" t="s">
        <v>2267</v>
      </c>
      <c r="B31" s="4">
        <v>6.3</v>
      </c>
    </row>
    <row r="32" customHeight="1" spans="1:2">
      <c r="A32" s="3" t="s">
        <v>18808</v>
      </c>
      <c r="B32" s="4">
        <v>7.3</v>
      </c>
    </row>
    <row r="33" customHeight="1" spans="1:2">
      <c r="A33" s="3" t="s">
        <v>15363</v>
      </c>
      <c r="B33" s="4">
        <v>3.3</v>
      </c>
    </row>
    <row r="34" customHeight="1" spans="1:2">
      <c r="A34" s="3" t="s">
        <v>4705</v>
      </c>
      <c r="B34" s="4">
        <v>7.03333333333333</v>
      </c>
    </row>
    <row r="35" customHeight="1" spans="1:2">
      <c r="A35" s="3" t="s">
        <v>7423</v>
      </c>
      <c r="B35" s="4">
        <v>5.3</v>
      </c>
    </row>
    <row r="36" customHeight="1" spans="1:2">
      <c r="A36" s="3" t="s">
        <v>14396</v>
      </c>
      <c r="B36" s="4">
        <v>4.6</v>
      </c>
    </row>
    <row r="37" customHeight="1" spans="1:2">
      <c r="A37" s="3" t="s">
        <v>9352</v>
      </c>
      <c r="B37" s="4">
        <v>5.2</v>
      </c>
    </row>
    <row r="38" customHeight="1" spans="1:2">
      <c r="A38" s="3" t="s">
        <v>736</v>
      </c>
      <c r="B38" s="4">
        <v>6.85</v>
      </c>
    </row>
    <row r="39" customHeight="1" spans="1:2">
      <c r="A39" s="3" t="s">
        <v>11634</v>
      </c>
      <c r="B39" s="4">
        <v>6.2</v>
      </c>
    </row>
    <row r="40" customHeight="1" spans="1:2">
      <c r="A40" s="3" t="s">
        <v>2968</v>
      </c>
      <c r="B40" s="4">
        <v>5.6</v>
      </c>
    </row>
    <row r="41" customHeight="1" spans="1:2">
      <c r="A41" s="3" t="s">
        <v>2653</v>
      </c>
      <c r="B41" s="4">
        <v>7</v>
      </c>
    </row>
    <row r="42" customHeight="1" spans="1:2">
      <c r="A42" s="3" t="s">
        <v>22775</v>
      </c>
      <c r="B42" s="4">
        <v>4.3</v>
      </c>
    </row>
    <row r="43" customHeight="1" spans="1:2">
      <c r="A43" s="3" t="s">
        <v>6486</v>
      </c>
      <c r="B43" s="4">
        <v>6.8</v>
      </c>
    </row>
    <row r="44" customHeight="1" spans="1:2">
      <c r="A44" s="3" t="s">
        <v>3564</v>
      </c>
      <c r="B44" s="4">
        <v>7.15</v>
      </c>
    </row>
    <row r="45" customHeight="1" spans="1:2">
      <c r="A45" s="3" t="s">
        <v>1134</v>
      </c>
      <c r="B45" s="4">
        <v>7.78333333333333</v>
      </c>
    </row>
    <row r="46" customHeight="1" spans="1:2">
      <c r="A46" s="3" t="s">
        <v>11334</v>
      </c>
      <c r="B46" s="4">
        <v>7.4</v>
      </c>
    </row>
    <row r="47" customHeight="1" spans="1:2">
      <c r="A47" s="3" t="s">
        <v>18725</v>
      </c>
      <c r="B47" s="4">
        <v>7.5</v>
      </c>
    </row>
    <row r="48" customHeight="1" spans="1:2">
      <c r="A48" s="3" t="s">
        <v>16726</v>
      </c>
      <c r="B48" s="4">
        <v>6.7</v>
      </c>
    </row>
    <row r="49" customHeight="1" spans="1:2">
      <c r="A49" s="3" t="s">
        <v>993</v>
      </c>
      <c r="B49" s="4">
        <v>7.2</v>
      </c>
    </row>
    <row r="50" customHeight="1" spans="1:2">
      <c r="A50" s="3" t="s">
        <v>20932</v>
      </c>
      <c r="B50" s="4">
        <v>6.9</v>
      </c>
    </row>
    <row r="51" customHeight="1" spans="1:2">
      <c r="A51" s="3" t="s">
        <v>22660</v>
      </c>
      <c r="B51" s="4">
        <v>4.6</v>
      </c>
    </row>
    <row r="52" customHeight="1" spans="1:2">
      <c r="A52" s="3" t="s">
        <v>15418</v>
      </c>
      <c r="B52" s="4">
        <v>6.1</v>
      </c>
    </row>
    <row r="53" customHeight="1" spans="1:2">
      <c r="A53" s="3" t="s">
        <v>13746</v>
      </c>
      <c r="B53" s="4">
        <v>7.7</v>
      </c>
    </row>
    <row r="54" customHeight="1" spans="1:2">
      <c r="A54" s="3" t="s">
        <v>21761</v>
      </c>
      <c r="B54" s="4">
        <v>7.7</v>
      </c>
    </row>
    <row r="55" customHeight="1" spans="1:2">
      <c r="A55" s="3" t="s">
        <v>18268</v>
      </c>
      <c r="B55" s="4">
        <v>6.775</v>
      </c>
    </row>
    <row r="56" customHeight="1" spans="1:2">
      <c r="A56" s="3" t="s">
        <v>1040</v>
      </c>
      <c r="B56" s="4">
        <v>6.82</v>
      </c>
    </row>
    <row r="57" customHeight="1" spans="1:2">
      <c r="A57" s="3" t="s">
        <v>21124</v>
      </c>
      <c r="B57" s="4">
        <v>4.8</v>
      </c>
    </row>
    <row r="58" customHeight="1" spans="1:2">
      <c r="A58" s="3" t="s">
        <v>19928</v>
      </c>
      <c r="B58" s="4">
        <v>5.9</v>
      </c>
    </row>
    <row r="59" customHeight="1" spans="1:2">
      <c r="A59" s="3" t="s">
        <v>22641</v>
      </c>
      <c r="B59" s="4">
        <v>6.1</v>
      </c>
    </row>
    <row r="60" customHeight="1" spans="1:2">
      <c r="A60" s="3" t="s">
        <v>19728</v>
      </c>
      <c r="B60" s="4">
        <v>7</v>
      </c>
    </row>
    <row r="61" customHeight="1" spans="1:2">
      <c r="A61" s="3" t="s">
        <v>16698</v>
      </c>
      <c r="B61" s="4">
        <v>2.3</v>
      </c>
    </row>
    <row r="62" customHeight="1" spans="1:2">
      <c r="A62" s="3" t="s">
        <v>8192</v>
      </c>
      <c r="B62" s="4">
        <v>7.42</v>
      </c>
    </row>
    <row r="63" customHeight="1" spans="1:2">
      <c r="A63" s="3" t="s">
        <v>5264</v>
      </c>
      <c r="B63" s="4">
        <v>6.2</v>
      </c>
    </row>
    <row r="64" customHeight="1" spans="1:2">
      <c r="A64" s="3" t="s">
        <v>7481</v>
      </c>
      <c r="B64" s="4">
        <v>6.225</v>
      </c>
    </row>
    <row r="65" customHeight="1" spans="1:2">
      <c r="A65" s="3" t="s">
        <v>1218</v>
      </c>
      <c r="B65" s="4">
        <v>7.8</v>
      </c>
    </row>
    <row r="66" customHeight="1" spans="1:2">
      <c r="A66" s="3" t="s">
        <v>11033</v>
      </c>
      <c r="B66" s="4">
        <v>7.35</v>
      </c>
    </row>
    <row r="67" customHeight="1" spans="1:2">
      <c r="A67" s="3" t="s">
        <v>19858</v>
      </c>
      <c r="B67" s="4">
        <v>7.6</v>
      </c>
    </row>
    <row r="68" customHeight="1" spans="1:2">
      <c r="A68" s="3" t="s">
        <v>19854</v>
      </c>
      <c r="B68" s="4">
        <v>7</v>
      </c>
    </row>
    <row r="69" customHeight="1" spans="1:2">
      <c r="A69" s="3" t="s">
        <v>8491</v>
      </c>
      <c r="B69" s="4">
        <v>5.9</v>
      </c>
    </row>
    <row r="70" customHeight="1" spans="1:2">
      <c r="A70" s="3" t="s">
        <v>15154</v>
      </c>
      <c r="B70" s="4">
        <v>4.2</v>
      </c>
    </row>
    <row r="71" customHeight="1" spans="1:2">
      <c r="A71" s="3" t="s">
        <v>21595</v>
      </c>
      <c r="B71" s="4">
        <v>7.2</v>
      </c>
    </row>
    <row r="72" customHeight="1" spans="1:2">
      <c r="A72" s="3" t="s">
        <v>12498</v>
      </c>
      <c r="B72" s="4">
        <v>7.2</v>
      </c>
    </row>
    <row r="73" customHeight="1" spans="1:2">
      <c r="A73" s="3" t="s">
        <v>7573</v>
      </c>
      <c r="B73" s="4">
        <v>6.2</v>
      </c>
    </row>
    <row r="74" customHeight="1" spans="1:2">
      <c r="A74" s="3" t="s">
        <v>18565</v>
      </c>
      <c r="B74" s="4">
        <v>6.4</v>
      </c>
    </row>
    <row r="75" customHeight="1" spans="1:2">
      <c r="A75" s="3" t="s">
        <v>22025</v>
      </c>
      <c r="B75" s="4">
        <v>6</v>
      </c>
    </row>
    <row r="76" customHeight="1" spans="1:2">
      <c r="A76" s="3" t="s">
        <v>23644</v>
      </c>
      <c r="B76" s="4">
        <v>8.2</v>
      </c>
    </row>
    <row r="77" customHeight="1" spans="1:2">
      <c r="A77" s="3" t="s">
        <v>18997</v>
      </c>
      <c r="B77" s="4">
        <v>6.1</v>
      </c>
    </row>
    <row r="78" customHeight="1" spans="1:2">
      <c r="A78" s="3" t="s">
        <v>21882</v>
      </c>
      <c r="B78" s="4">
        <v>6.8</v>
      </c>
    </row>
    <row r="79" customHeight="1" spans="1:2">
      <c r="A79" s="3" t="s">
        <v>11132</v>
      </c>
      <c r="B79" s="4">
        <v>6.1</v>
      </c>
    </row>
    <row r="80" customHeight="1" spans="1:2">
      <c r="A80" s="3" t="s">
        <v>22464</v>
      </c>
      <c r="B80" s="4">
        <v>6.1</v>
      </c>
    </row>
    <row r="81" customHeight="1" spans="1:2">
      <c r="A81" s="3" t="s">
        <v>18197</v>
      </c>
      <c r="B81" s="4">
        <v>6.2</v>
      </c>
    </row>
    <row r="82" customHeight="1" spans="1:2">
      <c r="A82" s="3" t="s">
        <v>11654</v>
      </c>
      <c r="B82" s="4">
        <v>6.56666666666667</v>
      </c>
    </row>
    <row r="83" customHeight="1" spans="1:2">
      <c r="A83" s="3" t="s">
        <v>18972</v>
      </c>
      <c r="B83" s="4">
        <v>7</v>
      </c>
    </row>
    <row r="84" customHeight="1" spans="1:2">
      <c r="A84" s="3" t="s">
        <v>15788</v>
      </c>
      <c r="B84" s="4">
        <v>6</v>
      </c>
    </row>
    <row r="85" customHeight="1" spans="1:2">
      <c r="A85" s="3" t="s">
        <v>19465</v>
      </c>
      <c r="B85" s="4">
        <v>7.3</v>
      </c>
    </row>
    <row r="86" customHeight="1" spans="1:2">
      <c r="A86" s="3" t="s">
        <v>2853</v>
      </c>
      <c r="B86" s="4">
        <v>6.6</v>
      </c>
    </row>
    <row r="87" customHeight="1" spans="1:2">
      <c r="A87" s="3" t="s">
        <v>5635</v>
      </c>
      <c r="B87" s="4">
        <v>8.1</v>
      </c>
    </row>
    <row r="88" customHeight="1" spans="1:2">
      <c r="A88" s="3" t="s">
        <v>2907</v>
      </c>
      <c r="B88" s="4">
        <v>4.4</v>
      </c>
    </row>
    <row r="89" customHeight="1" spans="1:2">
      <c r="A89" s="3" t="s">
        <v>12718</v>
      </c>
      <c r="B89" s="4">
        <v>6.2</v>
      </c>
    </row>
    <row r="90" customHeight="1" spans="1:2">
      <c r="A90" s="3" t="s">
        <v>147</v>
      </c>
      <c r="B90" s="4">
        <v>7.08</v>
      </c>
    </row>
    <row r="91" customHeight="1" spans="1:2">
      <c r="A91" s="3" t="s">
        <v>23650</v>
      </c>
      <c r="B91" s="4">
        <v>6.6</v>
      </c>
    </row>
    <row r="92" customHeight="1" spans="1:2">
      <c r="A92" s="3" t="s">
        <v>5315</v>
      </c>
      <c r="B92" s="4">
        <v>4.8</v>
      </c>
    </row>
    <row r="93" customHeight="1" spans="1:2">
      <c r="A93" s="3" t="s">
        <v>23956</v>
      </c>
      <c r="B93" s="4">
        <v>6.65</v>
      </c>
    </row>
    <row r="94" customHeight="1" spans="1:2">
      <c r="A94" s="3" t="s">
        <v>16220</v>
      </c>
      <c r="B94" s="4">
        <v>6.8</v>
      </c>
    </row>
    <row r="95" customHeight="1" spans="1:2">
      <c r="A95" s="3" t="s">
        <v>2434</v>
      </c>
      <c r="B95" s="4">
        <v>6.5</v>
      </c>
    </row>
    <row r="96" customHeight="1" spans="1:2">
      <c r="A96" s="3" t="s">
        <v>8703</v>
      </c>
      <c r="B96" s="4">
        <v>6.85</v>
      </c>
    </row>
    <row r="97" customHeight="1" spans="1:2">
      <c r="A97" s="3" t="s">
        <v>11692</v>
      </c>
      <c r="B97" s="4">
        <v>6</v>
      </c>
    </row>
    <row r="98" customHeight="1" spans="1:2">
      <c r="A98" s="3" t="s">
        <v>18267</v>
      </c>
      <c r="B98" s="4">
        <v>6.1</v>
      </c>
    </row>
    <row r="99" customHeight="1" spans="1:2">
      <c r="A99" s="3" t="s">
        <v>10960</v>
      </c>
      <c r="B99" s="4">
        <v>6.15</v>
      </c>
    </row>
    <row r="100" customHeight="1" spans="1:2">
      <c r="A100" s="3" t="s">
        <v>23527</v>
      </c>
      <c r="B100" s="4">
        <v>7.7</v>
      </c>
    </row>
    <row r="101" customHeight="1" spans="1:2">
      <c r="A101" s="3" t="s">
        <v>23305</v>
      </c>
      <c r="B101" s="4">
        <v>4.4</v>
      </c>
    </row>
    <row r="102" customHeight="1" spans="1:2">
      <c r="A102" s="3" t="s">
        <v>11453</v>
      </c>
      <c r="B102" s="4">
        <v>6.3</v>
      </c>
    </row>
    <row r="103" customHeight="1" spans="1:2">
      <c r="A103" s="3" t="s">
        <v>23880</v>
      </c>
      <c r="B103" s="4">
        <v>7.3</v>
      </c>
    </row>
    <row r="104" customHeight="1" spans="1:2">
      <c r="A104" s="3" t="s">
        <v>9328</v>
      </c>
      <c r="B104" s="4">
        <v>4.3</v>
      </c>
    </row>
    <row r="105" customHeight="1" spans="1:2">
      <c r="A105" s="3" t="s">
        <v>5350</v>
      </c>
      <c r="B105" s="4">
        <v>6.88</v>
      </c>
    </row>
    <row r="106" customHeight="1" spans="1:2">
      <c r="A106" s="3" t="s">
        <v>72</v>
      </c>
      <c r="B106" s="4">
        <v>7.73333333333333</v>
      </c>
    </row>
    <row r="107" customHeight="1" spans="1:2">
      <c r="A107" s="3" t="s">
        <v>21614</v>
      </c>
      <c r="B107" s="4">
        <v>7</v>
      </c>
    </row>
    <row r="108" customHeight="1" spans="1:2">
      <c r="A108" s="3" t="s">
        <v>15424</v>
      </c>
      <c r="B108" s="4">
        <v>5.8</v>
      </c>
    </row>
    <row r="109" customHeight="1" spans="1:2">
      <c r="A109" s="3" t="s">
        <v>5478</v>
      </c>
      <c r="B109" s="4">
        <v>5.5</v>
      </c>
    </row>
    <row r="110" customHeight="1" spans="1:2">
      <c r="A110" s="3" t="s">
        <v>2290</v>
      </c>
      <c r="B110" s="4">
        <v>5.35</v>
      </c>
    </row>
    <row r="111" customHeight="1" spans="1:2">
      <c r="A111" s="3" t="s">
        <v>13233</v>
      </c>
      <c r="B111" s="4">
        <v>8</v>
      </c>
    </row>
    <row r="112" customHeight="1" spans="1:2">
      <c r="A112" s="3" t="s">
        <v>18825</v>
      </c>
      <c r="B112" s="4">
        <v>7.5</v>
      </c>
    </row>
    <row r="113" customHeight="1" spans="1:2">
      <c r="A113" s="3" t="s">
        <v>3445</v>
      </c>
      <c r="B113" s="4">
        <v>5.26</v>
      </c>
    </row>
    <row r="114" customHeight="1" spans="1:2">
      <c r="A114" s="3" t="s">
        <v>8619</v>
      </c>
      <c r="B114" s="4">
        <v>6.1</v>
      </c>
    </row>
    <row r="115" customHeight="1" spans="1:2">
      <c r="A115" s="3" t="s">
        <v>5134</v>
      </c>
      <c r="B115" s="4">
        <v>5.76666666666667</v>
      </c>
    </row>
    <row r="116" customHeight="1" spans="1:2">
      <c r="A116" s="3" t="s">
        <v>15502</v>
      </c>
      <c r="B116" s="4">
        <v>6.7</v>
      </c>
    </row>
    <row r="117" customHeight="1" spans="1:2">
      <c r="A117" s="3" t="s">
        <v>3137</v>
      </c>
      <c r="B117" s="4">
        <v>6.25</v>
      </c>
    </row>
    <row r="118" customHeight="1" spans="1:2">
      <c r="A118" s="3" t="s">
        <v>1065</v>
      </c>
      <c r="B118" s="4">
        <v>7.25</v>
      </c>
    </row>
    <row r="119" customHeight="1" spans="1:2">
      <c r="A119" s="3" t="s">
        <v>5159</v>
      </c>
      <c r="B119" s="4">
        <v>5</v>
      </c>
    </row>
    <row r="120" customHeight="1" spans="1:2">
      <c r="A120" s="3" t="s">
        <v>565</v>
      </c>
      <c r="B120" s="4">
        <v>6</v>
      </c>
    </row>
    <row r="121" customHeight="1" spans="1:2">
      <c r="A121" s="3" t="s">
        <v>11411</v>
      </c>
      <c r="B121" s="4">
        <v>7</v>
      </c>
    </row>
    <row r="122" customHeight="1" spans="1:2">
      <c r="A122" s="3" t="s">
        <v>16162</v>
      </c>
      <c r="B122" s="4">
        <v>7.2</v>
      </c>
    </row>
    <row r="123" customHeight="1" spans="1:2">
      <c r="A123" s="3" t="s">
        <v>22374</v>
      </c>
      <c r="B123" s="4">
        <v>5.3</v>
      </c>
    </row>
    <row r="124" customHeight="1" spans="1:2">
      <c r="A124" s="3" t="s">
        <v>21333</v>
      </c>
      <c r="B124" s="4">
        <v>7.9</v>
      </c>
    </row>
    <row r="125" customHeight="1" spans="1:2">
      <c r="A125" s="3" t="s">
        <v>6157</v>
      </c>
      <c r="B125" s="4">
        <v>4</v>
      </c>
    </row>
    <row r="126" customHeight="1" spans="1:2">
      <c r="A126" s="3" t="s">
        <v>6245</v>
      </c>
      <c r="B126" s="4">
        <v>6.04</v>
      </c>
    </row>
    <row r="127" customHeight="1" spans="1:2">
      <c r="A127" s="3" t="s">
        <v>10288</v>
      </c>
      <c r="B127" s="4">
        <v>6.45</v>
      </c>
    </row>
    <row r="128" customHeight="1" spans="1:2">
      <c r="A128" s="3" t="s">
        <v>10992</v>
      </c>
      <c r="B128" s="4">
        <v>5.3</v>
      </c>
    </row>
    <row r="129" customHeight="1" spans="1:2">
      <c r="A129" s="3" t="s">
        <v>18960</v>
      </c>
      <c r="B129" s="4">
        <v>3.3</v>
      </c>
    </row>
    <row r="130" customHeight="1" spans="1:2">
      <c r="A130" s="3" t="s">
        <v>4504</v>
      </c>
      <c r="B130" s="4">
        <v>5.9</v>
      </c>
    </row>
    <row r="131" customHeight="1" spans="1:2">
      <c r="A131" s="3" t="s">
        <v>19384</v>
      </c>
      <c r="B131" s="4">
        <v>5.3</v>
      </c>
    </row>
    <row r="132" customHeight="1" spans="1:2">
      <c r="A132" s="3" t="s">
        <v>11659</v>
      </c>
      <c r="B132" s="4">
        <v>6.7</v>
      </c>
    </row>
    <row r="133" customHeight="1" spans="1:2">
      <c r="A133" s="3" t="s">
        <v>2648</v>
      </c>
      <c r="B133" s="4">
        <v>7.3</v>
      </c>
    </row>
    <row r="134" customHeight="1" spans="1:2">
      <c r="A134" s="3" t="s">
        <v>20112</v>
      </c>
      <c r="B134" s="4">
        <v>5.5</v>
      </c>
    </row>
    <row r="135" customHeight="1" spans="1:2">
      <c r="A135" s="3" t="s">
        <v>21784</v>
      </c>
      <c r="B135" s="4">
        <v>7.6</v>
      </c>
    </row>
    <row r="136" customHeight="1" spans="1:2">
      <c r="A136" s="3" t="s">
        <v>221</v>
      </c>
      <c r="B136" s="4">
        <v>7</v>
      </c>
    </row>
    <row r="137" customHeight="1" spans="1:2">
      <c r="A137" s="3" t="s">
        <v>13291</v>
      </c>
      <c r="B137" s="4">
        <v>5.8</v>
      </c>
    </row>
    <row r="138" customHeight="1" spans="1:2">
      <c r="A138" s="3" t="s">
        <v>24124</v>
      </c>
      <c r="B138" s="4">
        <v>7.8</v>
      </c>
    </row>
    <row r="139" customHeight="1" spans="1:2">
      <c r="A139" s="3" t="s">
        <v>3099</v>
      </c>
      <c r="B139" s="4">
        <v>6.9375</v>
      </c>
    </row>
    <row r="140" customHeight="1" spans="1:2">
      <c r="A140" s="3" t="s">
        <v>10842</v>
      </c>
      <c r="B140" s="4">
        <v>6.93333333333333</v>
      </c>
    </row>
    <row r="141" customHeight="1" spans="1:2">
      <c r="A141" s="3" t="s">
        <v>14320</v>
      </c>
      <c r="B141" s="4">
        <v>7.1</v>
      </c>
    </row>
    <row r="142" customHeight="1" spans="1:2">
      <c r="A142" s="3" t="s">
        <v>13192</v>
      </c>
      <c r="B142" s="4">
        <v>6.3</v>
      </c>
    </row>
    <row r="143" customHeight="1" spans="1:2">
      <c r="A143" s="3" t="s">
        <v>19041</v>
      </c>
      <c r="B143" s="4">
        <v>3.1</v>
      </c>
    </row>
    <row r="144" customHeight="1" spans="1:2">
      <c r="A144" s="3" t="s">
        <v>2876</v>
      </c>
      <c r="B144" s="4">
        <v>5.7</v>
      </c>
    </row>
    <row r="145" customHeight="1" spans="1:2">
      <c r="A145" s="3" t="s">
        <v>15569</v>
      </c>
      <c r="B145" s="4">
        <v>6</v>
      </c>
    </row>
    <row r="146" customHeight="1" spans="1:2">
      <c r="A146" s="3" t="s">
        <v>20295</v>
      </c>
      <c r="B146" s="4">
        <v>8</v>
      </c>
    </row>
    <row r="147" customHeight="1" spans="1:2">
      <c r="A147" s="3" t="s">
        <v>22916</v>
      </c>
      <c r="B147" s="4">
        <v>5.8</v>
      </c>
    </row>
    <row r="148" customHeight="1" spans="1:2">
      <c r="A148" s="3" t="s">
        <v>15874</v>
      </c>
      <c r="B148" s="4">
        <v>6.5</v>
      </c>
    </row>
    <row r="149" customHeight="1" spans="1:2">
      <c r="A149" s="3" t="s">
        <v>16804</v>
      </c>
      <c r="B149" s="4">
        <v>7</v>
      </c>
    </row>
    <row r="150" customHeight="1" spans="1:2">
      <c r="A150" s="3" t="s">
        <v>8041</v>
      </c>
      <c r="B150" s="4">
        <v>6.6</v>
      </c>
    </row>
    <row r="151" customHeight="1" spans="1:2">
      <c r="A151" s="3" t="s">
        <v>21210</v>
      </c>
      <c r="B151" s="4">
        <v>3.3</v>
      </c>
    </row>
    <row r="152" customHeight="1" spans="1:2">
      <c r="A152" s="3" t="s">
        <v>15381</v>
      </c>
      <c r="B152" s="4">
        <v>3.5</v>
      </c>
    </row>
    <row r="153" customHeight="1" spans="1:2">
      <c r="A153" s="3" t="s">
        <v>6225</v>
      </c>
      <c r="B153" s="4">
        <v>6.6</v>
      </c>
    </row>
    <row r="154" customHeight="1" spans="1:2">
      <c r="A154" s="3" t="s">
        <v>22143</v>
      </c>
      <c r="B154" s="4">
        <v>8.4</v>
      </c>
    </row>
    <row r="155" customHeight="1" spans="1:2">
      <c r="A155" s="3" t="s">
        <v>24099</v>
      </c>
      <c r="B155" s="4">
        <v>6.4</v>
      </c>
    </row>
    <row r="156" customHeight="1" spans="1:2">
      <c r="A156" s="3" t="s">
        <v>1948</v>
      </c>
      <c r="B156" s="4">
        <v>6.8</v>
      </c>
    </row>
    <row r="157" customHeight="1" spans="1:2">
      <c r="A157" s="3" t="s">
        <v>17364</v>
      </c>
      <c r="B157" s="4">
        <v>4.3</v>
      </c>
    </row>
    <row r="158" customHeight="1" spans="1:2">
      <c r="A158" s="3" t="s">
        <v>8639</v>
      </c>
      <c r="B158" s="4">
        <v>6.88333333333333</v>
      </c>
    </row>
    <row r="159" customHeight="1" spans="1:2">
      <c r="A159" s="3" t="s">
        <v>11793</v>
      </c>
      <c r="B159" s="4">
        <v>6.7</v>
      </c>
    </row>
    <row r="160" customHeight="1" spans="1:2">
      <c r="A160" s="3" t="s">
        <v>10765</v>
      </c>
      <c r="B160" s="4">
        <v>7</v>
      </c>
    </row>
    <row r="161" customHeight="1" spans="1:2">
      <c r="A161" s="3" t="s">
        <v>19002</v>
      </c>
      <c r="B161" s="4">
        <v>5.5</v>
      </c>
    </row>
    <row r="162" customHeight="1" spans="1:2">
      <c r="A162" s="3" t="s">
        <v>15924</v>
      </c>
      <c r="B162" s="4">
        <v>6.9</v>
      </c>
    </row>
    <row r="163" customHeight="1" spans="1:2">
      <c r="A163" s="3" t="s">
        <v>4172</v>
      </c>
      <c r="B163" s="4">
        <v>5.9</v>
      </c>
    </row>
    <row r="164" customHeight="1" spans="1:2">
      <c r="A164" s="3" t="s">
        <v>23089</v>
      </c>
      <c r="B164" s="4">
        <v>3.2</v>
      </c>
    </row>
    <row r="165" customHeight="1" spans="1:2">
      <c r="A165" s="3" t="s">
        <v>3837</v>
      </c>
      <c r="B165" s="4">
        <v>6.76666666666667</v>
      </c>
    </row>
    <row r="166" customHeight="1" spans="1:2">
      <c r="A166" s="3" t="s">
        <v>5329</v>
      </c>
      <c r="B166" s="4">
        <v>6.03333333333333</v>
      </c>
    </row>
    <row r="167" customHeight="1" spans="1:2">
      <c r="A167" s="3" t="s">
        <v>6127</v>
      </c>
      <c r="B167" s="4">
        <v>6.56666666666667</v>
      </c>
    </row>
    <row r="168" customHeight="1" spans="1:2">
      <c r="A168" s="3" t="s">
        <v>18059</v>
      </c>
      <c r="B168" s="4">
        <v>6.7</v>
      </c>
    </row>
    <row r="169" customHeight="1" spans="1:2">
      <c r="A169" s="3" t="s">
        <v>2830</v>
      </c>
      <c r="B169" s="4">
        <v>5.2</v>
      </c>
    </row>
    <row r="170" customHeight="1" spans="1:2">
      <c r="A170" s="3" t="s">
        <v>3123</v>
      </c>
      <c r="B170" s="4">
        <v>6.57692307692308</v>
      </c>
    </row>
    <row r="171" customHeight="1" spans="1:2">
      <c r="A171" s="3" t="s">
        <v>18313</v>
      </c>
      <c r="B171" s="4">
        <v>6.5</v>
      </c>
    </row>
    <row r="172" customHeight="1" spans="1:2">
      <c r="A172" s="3" t="s">
        <v>164</v>
      </c>
      <c r="B172" s="4">
        <v>6.45714285714286</v>
      </c>
    </row>
    <row r="173" customHeight="1" spans="1:2">
      <c r="A173" s="3" t="s">
        <v>22535</v>
      </c>
      <c r="B173" s="4">
        <v>7.6</v>
      </c>
    </row>
    <row r="174" customHeight="1" spans="1:2">
      <c r="A174" s="3" t="s">
        <v>11892</v>
      </c>
      <c r="B174" s="4">
        <v>5.45</v>
      </c>
    </row>
    <row r="175" customHeight="1" spans="1:2">
      <c r="A175" s="3" t="s">
        <v>365</v>
      </c>
      <c r="B175" s="4">
        <v>7.12</v>
      </c>
    </row>
    <row r="176" customHeight="1" spans="1:2">
      <c r="A176" s="3" t="s">
        <v>21837</v>
      </c>
      <c r="B176" s="4">
        <v>6.3</v>
      </c>
    </row>
    <row r="177" customHeight="1" spans="1:2">
      <c r="A177" s="3" t="s">
        <v>5269</v>
      </c>
      <c r="B177" s="4">
        <v>5.9</v>
      </c>
    </row>
    <row r="178" customHeight="1" spans="1:2">
      <c r="A178" s="3" t="s">
        <v>6003</v>
      </c>
      <c r="B178" s="4">
        <v>7.65</v>
      </c>
    </row>
    <row r="179" customHeight="1" spans="1:2">
      <c r="A179" s="3" t="s">
        <v>4309</v>
      </c>
      <c r="B179" s="4">
        <v>5.1</v>
      </c>
    </row>
    <row r="180" customHeight="1" spans="1:2">
      <c r="A180" s="3" t="s">
        <v>21620</v>
      </c>
      <c r="B180" s="4">
        <v>7.2</v>
      </c>
    </row>
    <row r="181" customHeight="1" spans="1:2">
      <c r="A181" s="3" t="s">
        <v>10024</v>
      </c>
      <c r="B181" s="4">
        <v>6.1</v>
      </c>
    </row>
    <row r="182" customHeight="1" spans="1:2">
      <c r="A182" s="3" t="s">
        <v>2113</v>
      </c>
      <c r="B182" s="4">
        <v>6.34</v>
      </c>
    </row>
    <row r="183" customHeight="1" spans="1:2">
      <c r="A183" s="3" t="s">
        <v>22252</v>
      </c>
      <c r="B183" s="4">
        <v>6.4</v>
      </c>
    </row>
    <row r="184" customHeight="1" spans="1:2">
      <c r="A184" s="3" t="s">
        <v>15655</v>
      </c>
      <c r="B184" s="4">
        <v>7</v>
      </c>
    </row>
    <row r="185" customHeight="1" spans="1:2">
      <c r="A185" s="3" t="s">
        <v>13929</v>
      </c>
      <c r="B185" s="4">
        <v>6.4</v>
      </c>
    </row>
    <row r="186" customHeight="1" spans="1:2">
      <c r="A186" s="3" t="s">
        <v>15461</v>
      </c>
      <c r="B186" s="4">
        <v>6.9</v>
      </c>
    </row>
    <row r="187" customHeight="1" spans="1:2">
      <c r="A187" s="3" t="s">
        <v>20677</v>
      </c>
      <c r="B187" s="4">
        <v>7.3</v>
      </c>
    </row>
    <row r="188" customHeight="1" spans="1:2">
      <c r="A188" s="3" t="s">
        <v>21850</v>
      </c>
      <c r="B188" s="4">
        <v>5.5</v>
      </c>
    </row>
    <row r="189" customHeight="1" spans="1:2">
      <c r="A189" s="3" t="s">
        <v>24148</v>
      </c>
      <c r="B189" s="4">
        <v>6.3</v>
      </c>
    </row>
    <row r="190" customHeight="1" spans="1:2">
      <c r="A190" s="3" t="s">
        <v>5122</v>
      </c>
      <c r="B190" s="4">
        <v>7.5</v>
      </c>
    </row>
    <row r="191" customHeight="1" spans="1:2">
      <c r="A191" s="3" t="s">
        <v>19941</v>
      </c>
      <c r="B191" s="4">
        <v>5</v>
      </c>
    </row>
    <row r="192" customHeight="1" spans="1:2">
      <c r="A192" s="3" t="s">
        <v>19290</v>
      </c>
      <c r="B192" s="4">
        <v>5.9</v>
      </c>
    </row>
    <row r="193" customHeight="1" spans="1:2">
      <c r="A193" s="3" t="s">
        <v>11300</v>
      </c>
      <c r="B193" s="4">
        <v>5</v>
      </c>
    </row>
    <row r="194" customHeight="1" spans="1:2">
      <c r="A194" s="3" t="s">
        <v>9552</v>
      </c>
      <c r="B194" s="4">
        <v>7.95</v>
      </c>
    </row>
    <row r="195" customHeight="1" spans="1:2">
      <c r="A195" s="3" t="s">
        <v>18277</v>
      </c>
      <c r="B195" s="4">
        <v>6</v>
      </c>
    </row>
    <row r="196" customHeight="1" spans="1:2">
      <c r="A196" s="3" t="s">
        <v>3282</v>
      </c>
      <c r="B196" s="4">
        <v>5.3</v>
      </c>
    </row>
    <row r="197" customHeight="1" spans="1:2">
      <c r="A197" s="3" t="s">
        <v>1984</v>
      </c>
      <c r="B197" s="4">
        <v>6.56666666666667</v>
      </c>
    </row>
    <row r="198" customHeight="1" spans="1:2">
      <c r="A198" s="3" t="s">
        <v>15323</v>
      </c>
      <c r="B198" s="4">
        <v>6.8</v>
      </c>
    </row>
    <row r="199" customHeight="1" spans="1:2">
      <c r="A199" s="3" t="s">
        <v>22358</v>
      </c>
      <c r="B199" s="4">
        <v>7.4</v>
      </c>
    </row>
    <row r="200" customHeight="1" spans="1:2">
      <c r="A200" s="3" t="s">
        <v>1105</v>
      </c>
      <c r="B200" s="4">
        <v>6.38333333333333</v>
      </c>
    </row>
    <row r="201" customHeight="1" spans="1:2">
      <c r="A201" s="3" t="s">
        <v>5083</v>
      </c>
      <c r="B201" s="4">
        <v>6.1</v>
      </c>
    </row>
    <row r="202" customHeight="1" spans="1:2">
      <c r="A202" s="3" t="s">
        <v>1919</v>
      </c>
      <c r="B202" s="4">
        <v>8.4</v>
      </c>
    </row>
    <row r="203" customHeight="1" spans="1:2">
      <c r="A203" s="3" t="s">
        <v>20419</v>
      </c>
      <c r="B203" s="4">
        <v>4.8</v>
      </c>
    </row>
    <row r="204" customHeight="1" spans="1:2">
      <c r="A204" s="3" t="s">
        <v>9797</v>
      </c>
      <c r="B204" s="4">
        <v>7.4</v>
      </c>
    </row>
    <row r="205" customHeight="1" spans="1:2">
      <c r="A205" s="3" t="s">
        <v>23195</v>
      </c>
      <c r="B205" s="4">
        <v>7</v>
      </c>
    </row>
    <row r="206" customHeight="1" spans="1:2">
      <c r="A206" s="3" t="s">
        <v>7708</v>
      </c>
      <c r="B206" s="4">
        <v>6.75</v>
      </c>
    </row>
    <row r="207" customHeight="1" spans="1:2">
      <c r="A207" s="3" t="s">
        <v>9594</v>
      </c>
      <c r="B207" s="4">
        <v>5.125</v>
      </c>
    </row>
    <row r="208" customHeight="1" spans="1:2">
      <c r="A208" s="3" t="s">
        <v>5936</v>
      </c>
      <c r="B208" s="4">
        <v>6.9</v>
      </c>
    </row>
    <row r="209" customHeight="1" spans="1:2">
      <c r="A209" s="3" t="s">
        <v>17928</v>
      </c>
      <c r="B209" s="4">
        <v>5.6</v>
      </c>
    </row>
    <row r="210" customHeight="1" spans="1:2">
      <c r="A210" s="3" t="s">
        <v>11149</v>
      </c>
      <c r="B210" s="4">
        <v>6.7</v>
      </c>
    </row>
    <row r="211" customHeight="1" spans="1:2">
      <c r="A211" s="3" t="s">
        <v>18467</v>
      </c>
      <c r="B211" s="4">
        <v>7.975</v>
      </c>
    </row>
    <row r="212" customHeight="1" spans="1:2">
      <c r="A212" s="3" t="s">
        <v>22014</v>
      </c>
      <c r="B212" s="4">
        <v>5.5</v>
      </c>
    </row>
    <row r="213" customHeight="1" spans="1:2">
      <c r="A213" s="3" t="s">
        <v>13812</v>
      </c>
      <c r="B213" s="4">
        <v>5.6</v>
      </c>
    </row>
    <row r="214" customHeight="1" spans="1:2">
      <c r="A214" s="3" t="s">
        <v>10469</v>
      </c>
      <c r="B214" s="4">
        <v>6.65</v>
      </c>
    </row>
    <row r="215" customHeight="1" spans="1:2">
      <c r="A215" s="3" t="s">
        <v>22468</v>
      </c>
      <c r="B215" s="4">
        <v>6.4</v>
      </c>
    </row>
    <row r="216" customHeight="1" spans="1:2">
      <c r="A216" s="3" t="s">
        <v>1639</v>
      </c>
      <c r="B216" s="4">
        <v>3.8</v>
      </c>
    </row>
    <row r="217" customHeight="1" spans="1:2">
      <c r="A217" s="3" t="s">
        <v>13579</v>
      </c>
      <c r="B217" s="4">
        <v>3.6</v>
      </c>
    </row>
    <row r="218" customHeight="1" spans="1:2">
      <c r="A218" s="3" t="s">
        <v>7863</v>
      </c>
      <c r="B218" s="4">
        <v>7.03333333333333</v>
      </c>
    </row>
    <row r="219" customHeight="1" spans="1:2">
      <c r="A219" s="3" t="s">
        <v>11264</v>
      </c>
      <c r="B219" s="4">
        <v>4.675</v>
      </c>
    </row>
    <row r="220" customHeight="1" spans="1:2">
      <c r="A220" s="3" t="s">
        <v>14903</v>
      </c>
      <c r="B220" s="4">
        <v>5.6</v>
      </c>
    </row>
    <row r="221" customHeight="1" spans="1:2">
      <c r="A221" s="3" t="s">
        <v>2441</v>
      </c>
      <c r="B221" s="4">
        <v>7.4</v>
      </c>
    </row>
    <row r="222" customHeight="1" spans="1:2">
      <c r="A222" s="3" t="s">
        <v>20342</v>
      </c>
      <c r="B222" s="4">
        <v>7.3</v>
      </c>
    </row>
    <row r="223" customHeight="1" spans="1:2">
      <c r="A223" s="3" t="s">
        <v>16692</v>
      </c>
      <c r="B223" s="4">
        <v>5.3</v>
      </c>
    </row>
    <row r="224" customHeight="1" spans="1:2">
      <c r="A224" s="3" t="s">
        <v>15282</v>
      </c>
      <c r="B224" s="4">
        <v>5.65</v>
      </c>
    </row>
    <row r="225" customHeight="1" spans="1:2">
      <c r="A225" s="3" t="s">
        <v>9334</v>
      </c>
      <c r="B225" s="4">
        <v>6.35</v>
      </c>
    </row>
    <row r="226" customHeight="1" spans="1:2">
      <c r="A226" s="3" t="s">
        <v>6771</v>
      </c>
      <c r="B226" s="4">
        <v>5.3</v>
      </c>
    </row>
    <row r="227" customHeight="1" spans="1:2">
      <c r="A227" s="3" t="s">
        <v>9675</v>
      </c>
      <c r="B227" s="4">
        <v>3.3</v>
      </c>
    </row>
    <row r="228" customHeight="1" spans="1:2">
      <c r="A228" s="3" t="s">
        <v>3495</v>
      </c>
      <c r="B228" s="4">
        <v>6.13</v>
      </c>
    </row>
    <row r="229" customHeight="1" spans="1:2">
      <c r="A229" s="3" t="s">
        <v>19487</v>
      </c>
      <c r="B229" s="4">
        <v>5</v>
      </c>
    </row>
    <row r="230" customHeight="1" spans="1:2">
      <c r="A230" s="3" t="s">
        <v>15346</v>
      </c>
      <c r="B230" s="4">
        <v>6.9</v>
      </c>
    </row>
    <row r="231" customHeight="1" spans="1:2">
      <c r="A231" s="3" t="s">
        <v>5011</v>
      </c>
      <c r="B231" s="4">
        <v>6.9</v>
      </c>
    </row>
    <row r="232" customHeight="1" spans="1:2">
      <c r="A232" s="3" t="s">
        <v>21183</v>
      </c>
      <c r="B232" s="4">
        <v>5.7</v>
      </c>
    </row>
    <row r="233" customHeight="1" spans="1:2">
      <c r="A233" s="3" t="s">
        <v>13182</v>
      </c>
      <c r="B233" s="4">
        <v>6.86</v>
      </c>
    </row>
    <row r="234" customHeight="1" spans="1:2">
      <c r="A234" s="3" t="s">
        <v>605</v>
      </c>
      <c r="B234" s="4">
        <v>7.58</v>
      </c>
    </row>
    <row r="235" customHeight="1" spans="1:2">
      <c r="A235" s="3" t="s">
        <v>20540</v>
      </c>
      <c r="B235" s="4">
        <v>6.6</v>
      </c>
    </row>
    <row r="236" customHeight="1" spans="1:2">
      <c r="A236" s="3" t="s">
        <v>5684</v>
      </c>
      <c r="B236" s="4">
        <v>6.73333333333333</v>
      </c>
    </row>
    <row r="237" customHeight="1" spans="1:2">
      <c r="A237" s="3" t="s">
        <v>20822</v>
      </c>
      <c r="B237" s="4">
        <v>6.1</v>
      </c>
    </row>
    <row r="238" customHeight="1" spans="1:2">
      <c r="A238" s="3" t="s">
        <v>1512</v>
      </c>
      <c r="B238" s="4">
        <v>5.4</v>
      </c>
    </row>
    <row r="239" customHeight="1" spans="1:2">
      <c r="A239" s="3" t="s">
        <v>1874</v>
      </c>
      <c r="B239" s="4">
        <v>6.2</v>
      </c>
    </row>
    <row r="240" customHeight="1" spans="1:2">
      <c r="A240" s="3" t="s">
        <v>21537</v>
      </c>
      <c r="B240" s="4">
        <v>5</v>
      </c>
    </row>
    <row r="241" customHeight="1" spans="1:2">
      <c r="A241" s="3" t="s">
        <v>23945</v>
      </c>
      <c r="B241" s="4">
        <v>6.3</v>
      </c>
    </row>
    <row r="242" customHeight="1" spans="1:2">
      <c r="A242" s="3" t="s">
        <v>11861</v>
      </c>
      <c r="B242" s="4">
        <v>5.6</v>
      </c>
    </row>
    <row r="243" customHeight="1" spans="1:2">
      <c r="A243" s="3" t="s">
        <v>19163</v>
      </c>
      <c r="B243" s="4">
        <v>5.7</v>
      </c>
    </row>
    <row r="244" customHeight="1" spans="1:2">
      <c r="A244" s="3" t="s">
        <v>24027</v>
      </c>
      <c r="B244" s="4">
        <v>3</v>
      </c>
    </row>
    <row r="245" customHeight="1" spans="1:2">
      <c r="A245" s="3" t="s">
        <v>23810</v>
      </c>
      <c r="B245" s="4">
        <v>5.6</v>
      </c>
    </row>
    <row r="246" customHeight="1" spans="1:2">
      <c r="A246" s="3" t="s">
        <v>1077</v>
      </c>
      <c r="B246" s="4">
        <v>6.16666666666667</v>
      </c>
    </row>
    <row r="247" customHeight="1" spans="1:2">
      <c r="A247" s="3" t="s">
        <v>3974</v>
      </c>
      <c r="B247" s="4">
        <v>7</v>
      </c>
    </row>
    <row r="248" customHeight="1" spans="1:2">
      <c r="A248" s="3" t="s">
        <v>14592</v>
      </c>
      <c r="B248" s="4">
        <v>6.3</v>
      </c>
    </row>
    <row r="249" customHeight="1" spans="1:2">
      <c r="A249" s="3" t="s">
        <v>21393</v>
      </c>
      <c r="B249" s="4">
        <v>3.8</v>
      </c>
    </row>
    <row r="250" customHeight="1" spans="1:2">
      <c r="A250" s="3" t="s">
        <v>8481</v>
      </c>
      <c r="B250" s="4">
        <v>5.45</v>
      </c>
    </row>
    <row r="251" customHeight="1" spans="1:2">
      <c r="A251" s="3" t="s">
        <v>23797</v>
      </c>
      <c r="B251" s="4">
        <v>4.5</v>
      </c>
    </row>
    <row r="252" customHeight="1" spans="1:2">
      <c r="A252" s="3" t="s">
        <v>261</v>
      </c>
      <c r="B252" s="4">
        <v>6.41</v>
      </c>
    </row>
    <row r="253" customHeight="1" spans="1:2">
      <c r="A253" s="3" t="s">
        <v>12127</v>
      </c>
      <c r="B253" s="4">
        <v>4.6</v>
      </c>
    </row>
    <row r="254" customHeight="1" spans="1:2">
      <c r="A254" s="3" t="s">
        <v>22525</v>
      </c>
      <c r="B254" s="4">
        <v>7.1</v>
      </c>
    </row>
    <row r="255" customHeight="1" spans="1:2">
      <c r="A255" s="3" t="s">
        <v>19603</v>
      </c>
      <c r="B255" s="4">
        <v>6.2</v>
      </c>
    </row>
    <row r="256" customHeight="1" spans="1:2">
      <c r="A256" s="3" t="s">
        <v>17806</v>
      </c>
      <c r="B256" s="4">
        <v>6.9</v>
      </c>
    </row>
    <row r="257" customHeight="1" spans="1:2">
      <c r="A257" s="3" t="s">
        <v>2247</v>
      </c>
      <c r="B257" s="4">
        <v>6.68333333333333</v>
      </c>
    </row>
    <row r="258" customHeight="1" spans="1:2">
      <c r="A258" s="3" t="s">
        <v>22057</v>
      </c>
      <c r="B258" s="4">
        <v>7.3</v>
      </c>
    </row>
    <row r="259" customHeight="1" spans="1:2">
      <c r="A259" s="3" t="s">
        <v>6025</v>
      </c>
      <c r="B259" s="4">
        <v>6.4</v>
      </c>
    </row>
    <row r="260" customHeight="1" spans="1:2">
      <c r="A260" s="3" t="s">
        <v>5082</v>
      </c>
      <c r="B260" s="4">
        <v>6.72</v>
      </c>
    </row>
    <row r="261" customHeight="1" spans="1:2">
      <c r="A261" s="3" t="s">
        <v>14124</v>
      </c>
      <c r="B261" s="4">
        <v>7.7</v>
      </c>
    </row>
    <row r="262" customHeight="1" spans="1:2">
      <c r="A262" s="3" t="s">
        <v>17113</v>
      </c>
      <c r="B262" s="4">
        <v>7.1</v>
      </c>
    </row>
    <row r="263" customHeight="1" spans="1:2">
      <c r="A263" s="3" t="s">
        <v>13026</v>
      </c>
      <c r="B263" s="4">
        <v>6.25</v>
      </c>
    </row>
    <row r="264" customHeight="1" spans="1:2">
      <c r="A264" s="3" t="s">
        <v>4108</v>
      </c>
      <c r="B264" s="4">
        <v>4.81666666666667</v>
      </c>
    </row>
    <row r="265" customHeight="1" spans="1:2">
      <c r="A265" s="3" t="s">
        <v>11643</v>
      </c>
      <c r="B265" s="4">
        <v>7.6</v>
      </c>
    </row>
    <row r="266" customHeight="1" spans="1:2">
      <c r="A266" s="3" t="s">
        <v>4100</v>
      </c>
      <c r="B266" s="4">
        <v>5.53333333333333</v>
      </c>
    </row>
    <row r="267" customHeight="1" spans="1:2">
      <c r="A267" s="3" t="s">
        <v>10465</v>
      </c>
      <c r="B267" s="4">
        <v>4.16666666666667</v>
      </c>
    </row>
    <row r="268" customHeight="1" spans="1:2">
      <c r="A268" s="3" t="s">
        <v>20432</v>
      </c>
      <c r="B268" s="4">
        <v>5.9</v>
      </c>
    </row>
    <row r="269" customHeight="1" spans="1:2">
      <c r="A269" s="3" t="s">
        <v>11621</v>
      </c>
      <c r="B269" s="4">
        <v>3.6</v>
      </c>
    </row>
    <row r="270" customHeight="1" spans="1:2">
      <c r="A270" s="3" t="s">
        <v>13726</v>
      </c>
      <c r="B270" s="4">
        <v>5.9</v>
      </c>
    </row>
    <row r="271" customHeight="1" spans="1:2">
      <c r="A271" s="3" t="s">
        <v>6249</v>
      </c>
      <c r="B271" s="4">
        <v>7.3</v>
      </c>
    </row>
    <row r="272" customHeight="1" spans="1:2">
      <c r="A272" s="3" t="s">
        <v>6251</v>
      </c>
      <c r="B272" s="4">
        <v>6.3</v>
      </c>
    </row>
    <row r="273" customHeight="1" spans="1:2">
      <c r="A273" s="3" t="s">
        <v>23107</v>
      </c>
      <c r="B273" s="4">
        <v>4.8</v>
      </c>
    </row>
    <row r="274" customHeight="1" spans="1:2">
      <c r="A274" s="3" t="s">
        <v>8570</v>
      </c>
      <c r="B274" s="4">
        <v>5.1</v>
      </c>
    </row>
    <row r="275" customHeight="1" spans="1:2">
      <c r="A275" s="3" t="s">
        <v>18777</v>
      </c>
      <c r="B275" s="4">
        <v>4.7</v>
      </c>
    </row>
    <row r="276" customHeight="1" spans="1:2">
      <c r="A276" s="3" t="s">
        <v>17692</v>
      </c>
      <c r="B276" s="4">
        <v>6.4</v>
      </c>
    </row>
    <row r="277" customHeight="1" spans="1:2">
      <c r="A277" s="3" t="s">
        <v>9835</v>
      </c>
      <c r="B277" s="4">
        <v>5.06666666666667</v>
      </c>
    </row>
    <row r="278" customHeight="1" spans="1:2">
      <c r="A278" s="3" t="s">
        <v>21027</v>
      </c>
      <c r="B278" s="4">
        <v>6.7</v>
      </c>
    </row>
    <row r="279" customHeight="1" spans="1:2">
      <c r="A279" s="3" t="s">
        <v>12531</v>
      </c>
      <c r="B279" s="4">
        <v>6</v>
      </c>
    </row>
    <row r="280" customHeight="1" spans="1:2">
      <c r="A280" s="3" t="s">
        <v>23854</v>
      </c>
      <c r="B280" s="4">
        <v>6.4</v>
      </c>
    </row>
    <row r="281" customHeight="1" spans="1:2">
      <c r="A281" s="3" t="s">
        <v>13013</v>
      </c>
      <c r="B281" s="4">
        <v>6.2</v>
      </c>
    </row>
    <row r="282" customHeight="1" spans="1:2">
      <c r="A282" s="3" t="s">
        <v>119</v>
      </c>
      <c r="B282" s="4">
        <v>7.2875</v>
      </c>
    </row>
    <row r="283" customHeight="1" spans="1:2">
      <c r="A283" s="3" t="s">
        <v>6075</v>
      </c>
      <c r="B283" s="4">
        <v>6.425</v>
      </c>
    </row>
    <row r="284" customHeight="1" spans="1:2">
      <c r="A284" s="3" t="s">
        <v>862</v>
      </c>
      <c r="B284" s="4">
        <v>6.9</v>
      </c>
    </row>
    <row r="285" customHeight="1" spans="1:2">
      <c r="A285" s="3" t="s">
        <v>23505</v>
      </c>
      <c r="B285" s="4">
        <v>6.7</v>
      </c>
    </row>
    <row r="286" customHeight="1" spans="1:2">
      <c r="A286" s="3" t="s">
        <v>22099</v>
      </c>
      <c r="B286" s="4">
        <v>6.45</v>
      </c>
    </row>
    <row r="287" customHeight="1" spans="1:2">
      <c r="A287" s="3" t="s">
        <v>6457</v>
      </c>
      <c r="B287" s="4">
        <v>5.9</v>
      </c>
    </row>
    <row r="288" customHeight="1" spans="1:2">
      <c r="A288" s="3" t="s">
        <v>9090</v>
      </c>
      <c r="B288" s="4">
        <v>5.9</v>
      </c>
    </row>
    <row r="289" customHeight="1" spans="1:2">
      <c r="A289" s="3" t="s">
        <v>3348</v>
      </c>
      <c r="B289" s="4">
        <v>6.62857142857143</v>
      </c>
    </row>
    <row r="290" customHeight="1" spans="1:2">
      <c r="A290" s="3" t="s">
        <v>9044</v>
      </c>
      <c r="B290" s="4">
        <v>5.4</v>
      </c>
    </row>
    <row r="291" customHeight="1" spans="1:2">
      <c r="A291" s="3" t="s">
        <v>5274</v>
      </c>
      <c r="B291" s="4">
        <v>6.6</v>
      </c>
    </row>
    <row r="292" customHeight="1" spans="1:2">
      <c r="A292" s="3" t="s">
        <v>587</v>
      </c>
      <c r="B292" s="4">
        <v>6.3</v>
      </c>
    </row>
    <row r="293" customHeight="1" spans="1:2">
      <c r="A293" s="3" t="s">
        <v>23469</v>
      </c>
      <c r="B293" s="4">
        <v>8.1</v>
      </c>
    </row>
    <row r="294" customHeight="1" spans="1:2">
      <c r="A294" s="3" t="s">
        <v>20672</v>
      </c>
      <c r="B294" s="4">
        <v>6.8</v>
      </c>
    </row>
    <row r="295" customHeight="1" spans="1:2">
      <c r="A295" s="3" t="s">
        <v>1279</v>
      </c>
      <c r="B295" s="4">
        <v>6.825</v>
      </c>
    </row>
    <row r="296" customHeight="1" spans="1:2">
      <c r="A296" s="3" t="s">
        <v>18255</v>
      </c>
      <c r="B296" s="4">
        <v>7.2</v>
      </c>
    </row>
    <row r="297" customHeight="1" spans="1:2">
      <c r="A297" s="3" t="s">
        <v>19980</v>
      </c>
      <c r="B297" s="4">
        <v>3.9</v>
      </c>
    </row>
    <row r="298" customHeight="1" spans="1:2">
      <c r="A298" s="3" t="s">
        <v>14845</v>
      </c>
      <c r="B298" s="4">
        <v>7.15</v>
      </c>
    </row>
    <row r="299" customHeight="1" spans="1:2">
      <c r="A299" s="3" t="s">
        <v>16899</v>
      </c>
      <c r="B299" s="4">
        <v>7.7</v>
      </c>
    </row>
    <row r="300" customHeight="1" spans="1:2">
      <c r="A300" s="3" t="s">
        <v>14357</v>
      </c>
      <c r="B300" s="4">
        <v>7.35</v>
      </c>
    </row>
    <row r="301" customHeight="1" spans="1:2">
      <c r="A301" s="3" t="s">
        <v>9808</v>
      </c>
      <c r="B301" s="4">
        <v>5.9</v>
      </c>
    </row>
    <row r="302" customHeight="1" spans="1:2">
      <c r="A302" s="3" t="s">
        <v>23538</v>
      </c>
      <c r="B302" s="4">
        <v>8.7</v>
      </c>
    </row>
    <row r="303" customHeight="1" spans="1:2">
      <c r="A303" s="3" t="s">
        <v>22313</v>
      </c>
      <c r="B303" s="4">
        <v>6.3</v>
      </c>
    </row>
    <row r="304" customHeight="1" spans="1:2">
      <c r="A304" s="3" t="s">
        <v>22921</v>
      </c>
      <c r="B304" s="4">
        <v>6</v>
      </c>
    </row>
    <row r="305" customHeight="1" spans="1:2">
      <c r="A305" s="3" t="s">
        <v>22747</v>
      </c>
      <c r="B305" s="4">
        <v>6.8</v>
      </c>
    </row>
    <row r="306" customHeight="1" spans="1:2">
      <c r="A306" s="3" t="s">
        <v>6149</v>
      </c>
      <c r="B306" s="4">
        <v>5.98571428571429</v>
      </c>
    </row>
    <row r="307" customHeight="1" spans="1:2">
      <c r="A307" s="3" t="s">
        <v>22200</v>
      </c>
      <c r="B307" s="4">
        <v>4.2</v>
      </c>
    </row>
    <row r="308" customHeight="1" spans="1:2">
      <c r="A308" s="3" t="s">
        <v>13001</v>
      </c>
      <c r="B308" s="4">
        <v>8.4</v>
      </c>
    </row>
    <row r="309" customHeight="1" spans="1:2">
      <c r="A309" s="3" t="s">
        <v>9568</v>
      </c>
      <c r="B309" s="4">
        <v>5.2</v>
      </c>
    </row>
    <row r="310" customHeight="1" spans="1:2">
      <c r="A310" s="3" t="s">
        <v>18443</v>
      </c>
      <c r="B310" s="4">
        <v>6.7</v>
      </c>
    </row>
    <row r="311" customHeight="1" spans="1:2">
      <c r="A311" s="3" t="s">
        <v>17301</v>
      </c>
      <c r="B311" s="4">
        <v>7.1</v>
      </c>
    </row>
    <row r="312" customHeight="1" spans="1:2">
      <c r="A312" s="3" t="s">
        <v>1473</v>
      </c>
      <c r="B312" s="4">
        <v>6.1</v>
      </c>
    </row>
    <row r="313" customHeight="1" spans="1:2">
      <c r="A313" s="3" t="s">
        <v>23904</v>
      </c>
      <c r="B313" s="4">
        <v>6.6</v>
      </c>
    </row>
    <row r="314" customHeight="1" spans="1:2">
      <c r="A314" s="3" t="s">
        <v>22989</v>
      </c>
      <c r="B314" s="4">
        <v>3.4</v>
      </c>
    </row>
    <row r="315" customHeight="1" spans="1:2">
      <c r="A315" s="3" t="s">
        <v>14341</v>
      </c>
      <c r="B315" s="4">
        <v>7.63333333333333</v>
      </c>
    </row>
    <row r="316" customHeight="1" spans="1:2">
      <c r="A316" s="3" t="s">
        <v>13565</v>
      </c>
      <c r="B316" s="4">
        <v>6.9</v>
      </c>
    </row>
    <row r="317" customHeight="1" spans="1:2">
      <c r="A317" s="3" t="s">
        <v>19012</v>
      </c>
      <c r="B317" s="4">
        <v>4.8</v>
      </c>
    </row>
    <row r="318" customHeight="1" spans="1:2">
      <c r="A318" s="3" t="s">
        <v>16265</v>
      </c>
      <c r="B318" s="4">
        <v>7.7</v>
      </c>
    </row>
    <row r="319" customHeight="1" spans="1:2">
      <c r="A319" s="3" t="s">
        <v>20994</v>
      </c>
      <c r="B319" s="4">
        <v>8.6</v>
      </c>
    </row>
    <row r="320" customHeight="1" spans="1:2">
      <c r="A320" s="3" t="s">
        <v>19022</v>
      </c>
      <c r="B320" s="4">
        <v>7.86666666666667</v>
      </c>
    </row>
    <row r="321" customHeight="1" spans="1:2">
      <c r="A321" s="3" t="s">
        <v>9471</v>
      </c>
      <c r="B321" s="4">
        <v>6.2</v>
      </c>
    </row>
    <row r="322" customHeight="1" spans="1:2">
      <c r="A322" s="3" t="s">
        <v>7143</v>
      </c>
      <c r="B322" s="4">
        <v>6.13333333333333</v>
      </c>
    </row>
    <row r="323" customHeight="1" spans="1:2">
      <c r="A323" s="3" t="s">
        <v>17318</v>
      </c>
      <c r="B323" s="4">
        <v>6.5</v>
      </c>
    </row>
    <row r="324" customHeight="1" spans="1:2">
      <c r="A324" s="3" t="s">
        <v>16363</v>
      </c>
      <c r="B324" s="4">
        <v>3.1</v>
      </c>
    </row>
    <row r="325" customHeight="1" spans="1:2">
      <c r="A325" s="3" t="s">
        <v>4699</v>
      </c>
      <c r="B325" s="4">
        <v>5.3</v>
      </c>
    </row>
    <row r="326" customHeight="1" spans="1:2">
      <c r="A326" s="3" t="s">
        <v>6776</v>
      </c>
      <c r="B326" s="4">
        <v>6.2</v>
      </c>
    </row>
    <row r="327" customHeight="1" spans="1:2">
      <c r="A327" s="3" t="s">
        <v>8505</v>
      </c>
      <c r="B327" s="4">
        <v>5.6</v>
      </c>
    </row>
    <row r="328" customHeight="1" spans="1:2">
      <c r="A328" s="3" t="s">
        <v>11215</v>
      </c>
      <c r="B328" s="4">
        <v>4.3</v>
      </c>
    </row>
    <row r="329" customHeight="1" spans="1:2">
      <c r="A329" s="3" t="s">
        <v>11390</v>
      </c>
      <c r="B329" s="4">
        <v>7.5</v>
      </c>
    </row>
    <row r="330" customHeight="1" spans="1:2">
      <c r="A330" s="3" t="s">
        <v>21931</v>
      </c>
      <c r="B330" s="4">
        <v>6.1</v>
      </c>
    </row>
    <row r="331" customHeight="1" spans="1:2">
      <c r="A331" s="3" t="s">
        <v>15742</v>
      </c>
      <c r="B331" s="4">
        <v>6.6</v>
      </c>
    </row>
    <row r="332" customHeight="1" spans="1:2">
      <c r="A332" s="3" t="s">
        <v>14190</v>
      </c>
      <c r="B332" s="4">
        <v>4.5</v>
      </c>
    </row>
    <row r="333" customHeight="1" spans="1:2">
      <c r="A333" s="3" t="s">
        <v>20159</v>
      </c>
      <c r="B333" s="4">
        <v>7.6</v>
      </c>
    </row>
    <row r="334" customHeight="1" spans="1:2">
      <c r="A334" s="3" t="s">
        <v>22354</v>
      </c>
      <c r="B334" s="4">
        <v>7.4</v>
      </c>
    </row>
    <row r="335" customHeight="1" spans="1:2">
      <c r="A335" s="3" t="s">
        <v>828</v>
      </c>
      <c r="B335" s="4">
        <v>7.6</v>
      </c>
    </row>
    <row r="336" customHeight="1" spans="1:2">
      <c r="A336" s="3" t="s">
        <v>4123</v>
      </c>
      <c r="B336" s="4">
        <v>7</v>
      </c>
    </row>
    <row r="337" customHeight="1" spans="1:2">
      <c r="A337" s="3" t="s">
        <v>7536</v>
      </c>
      <c r="B337" s="4">
        <v>5.9</v>
      </c>
    </row>
    <row r="338" customHeight="1" spans="1:2">
      <c r="A338" s="3" t="s">
        <v>1253</v>
      </c>
      <c r="B338" s="4">
        <v>6.65454545454546</v>
      </c>
    </row>
    <row r="339" customHeight="1" spans="1:2">
      <c r="A339" s="3" t="s">
        <v>19608</v>
      </c>
      <c r="B339" s="4">
        <v>5.9</v>
      </c>
    </row>
    <row r="340" customHeight="1" spans="1:2">
      <c r="A340" s="3" t="s">
        <v>20203</v>
      </c>
      <c r="B340" s="4">
        <v>7.2</v>
      </c>
    </row>
    <row r="341" customHeight="1" spans="1:2">
      <c r="A341" s="3" t="s">
        <v>7830</v>
      </c>
      <c r="B341" s="4">
        <v>4.9</v>
      </c>
    </row>
    <row r="342" customHeight="1" spans="1:2">
      <c r="A342" s="3" t="s">
        <v>20169</v>
      </c>
      <c r="B342" s="4">
        <v>5.5</v>
      </c>
    </row>
    <row r="343" customHeight="1" spans="1:2">
      <c r="A343" s="3" t="s">
        <v>11128</v>
      </c>
      <c r="B343" s="4">
        <v>5.25</v>
      </c>
    </row>
    <row r="344" customHeight="1" spans="1:2">
      <c r="A344" s="3" t="s">
        <v>23463</v>
      </c>
      <c r="B344" s="4">
        <v>7.4</v>
      </c>
    </row>
    <row r="345" customHeight="1" spans="1:2">
      <c r="A345" s="3" t="s">
        <v>722</v>
      </c>
      <c r="B345" s="4">
        <v>6.4</v>
      </c>
    </row>
    <row r="346" customHeight="1" spans="1:2">
      <c r="A346" s="3" t="s">
        <v>9585</v>
      </c>
      <c r="B346" s="4">
        <v>6.6</v>
      </c>
    </row>
    <row r="347" customHeight="1" spans="1:2">
      <c r="A347" s="3" t="s">
        <v>8214</v>
      </c>
      <c r="B347" s="4">
        <v>6.9</v>
      </c>
    </row>
    <row r="348" customHeight="1" spans="1:2">
      <c r="A348" s="3" t="s">
        <v>21676</v>
      </c>
      <c r="B348" s="4">
        <v>7.7</v>
      </c>
    </row>
    <row r="349" customHeight="1" spans="1:2">
      <c r="A349" s="3" t="s">
        <v>8597</v>
      </c>
      <c r="B349" s="4">
        <v>4.1</v>
      </c>
    </row>
    <row r="350" customHeight="1" spans="1:2">
      <c r="A350" s="3" t="s">
        <v>12219</v>
      </c>
      <c r="B350" s="4">
        <v>6</v>
      </c>
    </row>
    <row r="351" customHeight="1" spans="1:2">
      <c r="A351" s="3" t="s">
        <v>7228</v>
      </c>
      <c r="B351" s="4">
        <v>5.8</v>
      </c>
    </row>
    <row r="352" customHeight="1" spans="1:2">
      <c r="A352" s="3" t="s">
        <v>20492</v>
      </c>
      <c r="B352" s="4">
        <v>5.5</v>
      </c>
    </row>
    <row r="353" customHeight="1" spans="1:2">
      <c r="A353" s="3" t="s">
        <v>15997</v>
      </c>
      <c r="B353" s="4">
        <v>3.85</v>
      </c>
    </row>
    <row r="354" customHeight="1" spans="1:2">
      <c r="A354" s="3" t="s">
        <v>1808</v>
      </c>
      <c r="B354" s="4">
        <v>6.86666666666667</v>
      </c>
    </row>
    <row r="355" customHeight="1" spans="1:2">
      <c r="A355" s="3" t="s">
        <v>199</v>
      </c>
      <c r="B355" s="4">
        <v>6.08</v>
      </c>
    </row>
    <row r="356" customHeight="1" spans="1:2">
      <c r="A356" s="3" t="s">
        <v>6814</v>
      </c>
      <c r="B356" s="4">
        <v>6.5</v>
      </c>
    </row>
    <row r="357" customHeight="1" spans="1:2">
      <c r="A357" s="3" t="s">
        <v>10493</v>
      </c>
      <c r="B357" s="4">
        <v>7.8</v>
      </c>
    </row>
    <row r="358" customHeight="1" spans="1:2">
      <c r="A358" s="3" t="s">
        <v>7139</v>
      </c>
      <c r="B358" s="4">
        <v>6.1</v>
      </c>
    </row>
    <row r="359" customHeight="1" spans="1:2">
      <c r="A359" s="3" t="s">
        <v>6638</v>
      </c>
      <c r="B359" s="4">
        <v>5.1</v>
      </c>
    </row>
    <row r="360" customHeight="1" spans="1:2">
      <c r="A360" s="3" t="s">
        <v>12442</v>
      </c>
      <c r="B360" s="4">
        <v>4.8</v>
      </c>
    </row>
    <row r="361" customHeight="1" spans="1:2">
      <c r="A361" s="3" t="s">
        <v>19590</v>
      </c>
      <c r="B361" s="4">
        <v>3.9</v>
      </c>
    </row>
    <row r="362" customHeight="1" spans="1:2">
      <c r="A362" s="3" t="s">
        <v>12076</v>
      </c>
      <c r="B362" s="4">
        <v>6.7</v>
      </c>
    </row>
    <row r="363" customHeight="1" spans="1:2">
      <c r="A363" s="3" t="s">
        <v>17761</v>
      </c>
      <c r="B363" s="4">
        <v>6.9</v>
      </c>
    </row>
    <row r="364" customHeight="1" spans="1:2">
      <c r="A364" s="3" t="s">
        <v>18164</v>
      </c>
      <c r="B364" s="4">
        <v>5.4</v>
      </c>
    </row>
    <row r="365" customHeight="1" spans="1:2">
      <c r="A365" s="3" t="s">
        <v>17419</v>
      </c>
      <c r="B365" s="4">
        <v>7.9</v>
      </c>
    </row>
    <row r="366" customHeight="1" spans="1:2">
      <c r="A366" s="3" t="s">
        <v>5220</v>
      </c>
      <c r="B366" s="4">
        <v>6.6</v>
      </c>
    </row>
    <row r="367" customHeight="1" spans="1:2">
      <c r="A367" s="3" t="s">
        <v>1671</v>
      </c>
      <c r="B367" s="4">
        <v>7.2</v>
      </c>
    </row>
    <row r="368" customHeight="1" spans="1:2">
      <c r="A368" s="3" t="s">
        <v>13677</v>
      </c>
      <c r="B368" s="4">
        <v>6.3</v>
      </c>
    </row>
    <row r="369" customHeight="1" spans="1:2">
      <c r="A369" s="3" t="s">
        <v>14117</v>
      </c>
      <c r="B369" s="4">
        <v>4.3</v>
      </c>
    </row>
    <row r="370" customHeight="1" spans="1:2">
      <c r="A370" s="3" t="s">
        <v>11226</v>
      </c>
      <c r="B370" s="4">
        <v>7.175</v>
      </c>
    </row>
    <row r="371" customHeight="1" spans="1:2">
      <c r="A371" s="3" t="s">
        <v>22281</v>
      </c>
      <c r="B371" s="4">
        <v>3.1</v>
      </c>
    </row>
    <row r="372" customHeight="1" spans="1:2">
      <c r="A372" s="3" t="s">
        <v>17592</v>
      </c>
      <c r="B372" s="4">
        <v>5</v>
      </c>
    </row>
    <row r="373" customHeight="1" spans="1:2">
      <c r="A373" s="3" t="s">
        <v>19329</v>
      </c>
      <c r="B373" s="4">
        <v>3.2</v>
      </c>
    </row>
    <row r="374" customHeight="1" spans="1:2">
      <c r="A374" s="3" t="s">
        <v>17328</v>
      </c>
      <c r="B374" s="4">
        <v>5.4</v>
      </c>
    </row>
    <row r="375" customHeight="1" spans="1:2">
      <c r="A375" s="3" t="s">
        <v>887</v>
      </c>
      <c r="B375" s="4">
        <v>7.025</v>
      </c>
    </row>
    <row r="376" customHeight="1" spans="1:2">
      <c r="A376" s="3" t="s">
        <v>18820</v>
      </c>
      <c r="B376" s="4">
        <v>7.3</v>
      </c>
    </row>
    <row r="377" customHeight="1" spans="1:2">
      <c r="A377" s="3" t="s">
        <v>59</v>
      </c>
      <c r="B377" s="4">
        <v>8.425</v>
      </c>
    </row>
    <row r="378" customHeight="1" spans="1:2">
      <c r="A378" s="3" t="s">
        <v>22335</v>
      </c>
      <c r="B378" s="4">
        <v>6.5</v>
      </c>
    </row>
    <row r="379" customHeight="1" spans="1:2">
      <c r="A379" s="3" t="s">
        <v>14432</v>
      </c>
      <c r="B379" s="4">
        <v>6.75</v>
      </c>
    </row>
    <row r="380" customHeight="1" spans="1:2">
      <c r="A380" s="3" t="s">
        <v>10382</v>
      </c>
      <c r="B380" s="4">
        <v>5.6</v>
      </c>
    </row>
    <row r="381" customHeight="1" spans="1:2">
      <c r="A381" s="3" t="s">
        <v>14409</v>
      </c>
      <c r="B381" s="4">
        <v>7.7</v>
      </c>
    </row>
    <row r="382" customHeight="1" spans="1:2">
      <c r="A382" s="3" t="s">
        <v>5543</v>
      </c>
      <c r="B382" s="4">
        <v>4.6</v>
      </c>
    </row>
    <row r="383" customHeight="1" spans="1:2">
      <c r="A383" s="3" t="s">
        <v>1758</v>
      </c>
      <c r="B383" s="4">
        <v>5.9</v>
      </c>
    </row>
    <row r="384" customHeight="1" spans="1:2">
      <c r="A384" s="3" t="s">
        <v>14855</v>
      </c>
      <c r="B384" s="4">
        <v>6.5</v>
      </c>
    </row>
    <row r="385" customHeight="1" spans="1:2">
      <c r="A385" s="3" t="s">
        <v>14940</v>
      </c>
      <c r="B385" s="4">
        <v>5.2</v>
      </c>
    </row>
    <row r="386" customHeight="1" spans="1:2">
      <c r="A386" s="3" t="s">
        <v>12503</v>
      </c>
      <c r="B386" s="4">
        <v>5.9</v>
      </c>
    </row>
    <row r="387" customHeight="1" spans="1:2">
      <c r="A387" s="3" t="s">
        <v>22221</v>
      </c>
      <c r="B387" s="4">
        <v>6.2</v>
      </c>
    </row>
    <row r="388" customHeight="1" spans="1:2">
      <c r="A388" s="3" t="s">
        <v>19065</v>
      </c>
      <c r="B388" s="4">
        <v>6.5</v>
      </c>
    </row>
    <row r="389" customHeight="1" spans="1:2">
      <c r="A389" s="3" t="s">
        <v>3335</v>
      </c>
      <c r="B389" s="4">
        <v>6.05</v>
      </c>
    </row>
    <row r="390" customHeight="1" spans="1:2">
      <c r="A390" s="3" t="s">
        <v>15312</v>
      </c>
      <c r="B390" s="4">
        <v>6.6</v>
      </c>
    </row>
    <row r="391" customHeight="1" spans="1:2">
      <c r="A391" s="3" t="s">
        <v>16379</v>
      </c>
      <c r="B391" s="4">
        <v>6.9</v>
      </c>
    </row>
    <row r="392" customHeight="1" spans="1:2">
      <c r="A392" s="3" t="s">
        <v>16249</v>
      </c>
      <c r="B392" s="4">
        <v>5.3</v>
      </c>
    </row>
    <row r="393" customHeight="1" spans="1:2">
      <c r="A393" s="3" t="s">
        <v>21293</v>
      </c>
      <c r="B393" s="4">
        <v>7</v>
      </c>
    </row>
    <row r="394" customHeight="1" spans="1:2">
      <c r="A394" s="3" t="s">
        <v>3208</v>
      </c>
      <c r="B394" s="4">
        <v>6.3</v>
      </c>
    </row>
    <row r="395" customHeight="1" spans="1:2">
      <c r="A395" s="3" t="s">
        <v>3695</v>
      </c>
      <c r="B395" s="4">
        <v>7.225</v>
      </c>
    </row>
    <row r="396" customHeight="1" spans="1:2">
      <c r="A396" s="3" t="s">
        <v>21541</v>
      </c>
      <c r="B396" s="4">
        <v>7</v>
      </c>
    </row>
    <row r="397" customHeight="1" spans="1:2">
      <c r="A397" s="3" t="s">
        <v>2927</v>
      </c>
      <c r="B397" s="4">
        <v>6.5</v>
      </c>
    </row>
    <row r="398" customHeight="1" spans="1:2">
      <c r="A398" s="3" t="s">
        <v>10628</v>
      </c>
      <c r="B398" s="4">
        <v>5.8</v>
      </c>
    </row>
    <row r="399" customHeight="1" spans="1:2">
      <c r="A399" s="3" t="s">
        <v>20479</v>
      </c>
      <c r="B399" s="4">
        <v>6.1</v>
      </c>
    </row>
    <row r="400" customHeight="1" spans="1:2">
      <c r="A400" s="3" t="s">
        <v>6530</v>
      </c>
      <c r="B400" s="4">
        <v>4.55</v>
      </c>
    </row>
    <row r="401" customHeight="1" spans="1:2">
      <c r="A401" s="3" t="s">
        <v>234</v>
      </c>
      <c r="B401" s="4">
        <v>7</v>
      </c>
    </row>
    <row r="402" customHeight="1" spans="1:2">
      <c r="A402" s="3" t="s">
        <v>23939</v>
      </c>
      <c r="B402" s="4">
        <v>3.7</v>
      </c>
    </row>
    <row r="403" customHeight="1" spans="1:2">
      <c r="A403" s="3" t="s">
        <v>17469</v>
      </c>
      <c r="B403" s="4">
        <v>6.2</v>
      </c>
    </row>
    <row r="404" customHeight="1" spans="1:2">
      <c r="A404" s="3" t="s">
        <v>20485</v>
      </c>
      <c r="B404" s="4">
        <v>5.7</v>
      </c>
    </row>
    <row r="405" customHeight="1" spans="1:2">
      <c r="A405" s="3" t="s">
        <v>19524</v>
      </c>
      <c r="B405" s="4">
        <v>6.2</v>
      </c>
    </row>
    <row r="406" customHeight="1" spans="1:2">
      <c r="A406" s="3" t="s">
        <v>13154</v>
      </c>
      <c r="B406" s="4">
        <v>5.7</v>
      </c>
    </row>
    <row r="407" customHeight="1" spans="1:2">
      <c r="A407" s="3" t="s">
        <v>20745</v>
      </c>
      <c r="B407" s="4">
        <v>5.4</v>
      </c>
    </row>
    <row r="408" customHeight="1" spans="1:2">
      <c r="A408" s="3" t="s">
        <v>8697</v>
      </c>
      <c r="B408" s="4">
        <v>4.8</v>
      </c>
    </row>
    <row r="409" customHeight="1" spans="1:2">
      <c r="A409" s="3" t="s">
        <v>12106</v>
      </c>
      <c r="B409" s="4">
        <v>6.5</v>
      </c>
    </row>
    <row r="410" customHeight="1" spans="1:2">
      <c r="A410" s="3" t="s">
        <v>5429</v>
      </c>
      <c r="B410" s="4">
        <v>6.75</v>
      </c>
    </row>
    <row r="411" customHeight="1" spans="1:2">
      <c r="A411" s="3" t="s">
        <v>21656</v>
      </c>
      <c r="B411" s="4">
        <v>7.2</v>
      </c>
    </row>
    <row r="412" customHeight="1" spans="1:2">
      <c r="A412" s="3" t="s">
        <v>11927</v>
      </c>
      <c r="B412" s="4">
        <v>4.7</v>
      </c>
    </row>
    <row r="413" customHeight="1" spans="1:2">
      <c r="A413" s="3" t="s">
        <v>13804</v>
      </c>
      <c r="B413" s="4">
        <v>6</v>
      </c>
    </row>
    <row r="414" customHeight="1" spans="1:2">
      <c r="A414" s="3" t="s">
        <v>13079</v>
      </c>
      <c r="B414" s="4">
        <v>7.2</v>
      </c>
    </row>
    <row r="415" customHeight="1" spans="1:2">
      <c r="A415" s="3" t="s">
        <v>3586</v>
      </c>
      <c r="B415" s="4">
        <v>6.9</v>
      </c>
    </row>
    <row r="416" customHeight="1" spans="1:2">
      <c r="A416" s="3" t="s">
        <v>21640</v>
      </c>
      <c r="B416" s="4">
        <v>6.8</v>
      </c>
    </row>
    <row r="417" customHeight="1" spans="1:2">
      <c r="A417" s="3" t="s">
        <v>7566</v>
      </c>
      <c r="B417" s="4">
        <v>5.25</v>
      </c>
    </row>
    <row r="418" customHeight="1" spans="1:2">
      <c r="A418" s="3" t="s">
        <v>19558</v>
      </c>
      <c r="B418" s="4">
        <v>2.65</v>
      </c>
    </row>
    <row r="419" customHeight="1" spans="1:2">
      <c r="A419" s="3" t="s">
        <v>9941</v>
      </c>
      <c r="B419" s="4">
        <v>5.55</v>
      </c>
    </row>
    <row r="420" customHeight="1" spans="1:2">
      <c r="A420" s="3" t="s">
        <v>23141</v>
      </c>
      <c r="B420" s="4">
        <v>6.4</v>
      </c>
    </row>
    <row r="421" customHeight="1" spans="1:2">
      <c r="A421" s="3" t="s">
        <v>22049</v>
      </c>
      <c r="B421" s="4">
        <v>7.9</v>
      </c>
    </row>
    <row r="422" customHeight="1" spans="1:2">
      <c r="A422" s="3" t="s">
        <v>4915</v>
      </c>
      <c r="B422" s="4">
        <v>6.61666666666667</v>
      </c>
    </row>
    <row r="423" customHeight="1" spans="1:2">
      <c r="A423" s="3" t="s">
        <v>12415</v>
      </c>
      <c r="B423" s="4">
        <v>5.4</v>
      </c>
    </row>
    <row r="424" customHeight="1" spans="1:2">
      <c r="A424" s="3" t="s">
        <v>21979</v>
      </c>
      <c r="B424" s="4">
        <v>3.9</v>
      </c>
    </row>
    <row r="425" customHeight="1" spans="1:2">
      <c r="A425" s="3" t="s">
        <v>2642</v>
      </c>
      <c r="B425" s="4">
        <v>6.74</v>
      </c>
    </row>
    <row r="426" customHeight="1" spans="1:2">
      <c r="A426" s="3" t="s">
        <v>22932</v>
      </c>
      <c r="B426" s="4">
        <v>8</v>
      </c>
    </row>
    <row r="427" customHeight="1" spans="1:2">
      <c r="A427" s="3" t="s">
        <v>18844</v>
      </c>
      <c r="B427" s="4">
        <v>6.9</v>
      </c>
    </row>
    <row r="428" customHeight="1" spans="1:2">
      <c r="A428" s="3" t="s">
        <v>13782</v>
      </c>
      <c r="B428" s="4">
        <v>4.6</v>
      </c>
    </row>
    <row r="429" customHeight="1" spans="1:2">
      <c r="A429" s="3" t="s">
        <v>16808</v>
      </c>
      <c r="B429" s="4">
        <v>6.4</v>
      </c>
    </row>
    <row r="430" customHeight="1" spans="1:2">
      <c r="A430" s="3" t="s">
        <v>19069</v>
      </c>
      <c r="B430" s="4">
        <v>8.5</v>
      </c>
    </row>
    <row r="431" customHeight="1" spans="1:2">
      <c r="A431" s="3" t="s">
        <v>9688</v>
      </c>
      <c r="B431" s="4">
        <v>3.5</v>
      </c>
    </row>
    <row r="432" customHeight="1" spans="1:2">
      <c r="A432" s="3" t="s">
        <v>19358</v>
      </c>
      <c r="B432" s="4">
        <v>6.9</v>
      </c>
    </row>
    <row r="433" customHeight="1" spans="1:2">
      <c r="A433" s="3" t="s">
        <v>23962</v>
      </c>
      <c r="B433" s="4">
        <v>5.4</v>
      </c>
    </row>
    <row r="434" customHeight="1" spans="1:2">
      <c r="A434" s="3" t="s">
        <v>11238</v>
      </c>
      <c r="B434" s="4">
        <v>6.1</v>
      </c>
    </row>
    <row r="435" customHeight="1" spans="1:2">
      <c r="A435" s="3" t="s">
        <v>13105</v>
      </c>
      <c r="B435" s="4">
        <v>7.4</v>
      </c>
    </row>
    <row r="436" customHeight="1" spans="1:2">
      <c r="A436" s="3" t="s">
        <v>14133</v>
      </c>
      <c r="B436" s="4">
        <v>5.9</v>
      </c>
    </row>
    <row r="437" customHeight="1" spans="1:2">
      <c r="A437" s="3" t="s">
        <v>15172</v>
      </c>
      <c r="B437" s="4">
        <v>7.1</v>
      </c>
    </row>
    <row r="438" customHeight="1" spans="1:2">
      <c r="A438" s="3" t="s">
        <v>15960</v>
      </c>
      <c r="B438" s="4">
        <v>7.9</v>
      </c>
    </row>
    <row r="439" customHeight="1" spans="1:2">
      <c r="A439" s="3" t="s">
        <v>15334</v>
      </c>
      <c r="B439" s="4">
        <v>7.3</v>
      </c>
    </row>
    <row r="440" customHeight="1" spans="1:2">
      <c r="A440" s="3" t="s">
        <v>18683</v>
      </c>
      <c r="B440" s="4">
        <v>5</v>
      </c>
    </row>
    <row r="441" customHeight="1" spans="1:2">
      <c r="A441" s="3" t="s">
        <v>14488</v>
      </c>
      <c r="B441" s="4">
        <v>6</v>
      </c>
    </row>
    <row r="442" customHeight="1" spans="1:2">
      <c r="A442" s="3" t="s">
        <v>16956</v>
      </c>
      <c r="B442" s="4">
        <v>7.3</v>
      </c>
    </row>
    <row r="443" customHeight="1" spans="1:2">
      <c r="A443" s="3" t="s">
        <v>20100</v>
      </c>
      <c r="B443" s="4">
        <v>6.7</v>
      </c>
    </row>
    <row r="444" customHeight="1" spans="1:2">
      <c r="A444" s="3" t="s">
        <v>23743</v>
      </c>
      <c r="B444" s="4">
        <v>5.6</v>
      </c>
    </row>
    <row r="445" customHeight="1" spans="1:2">
      <c r="A445" s="3" t="s">
        <v>17896</v>
      </c>
      <c r="B445" s="4">
        <v>6.4</v>
      </c>
    </row>
    <row r="446" customHeight="1" spans="1:2">
      <c r="A446" s="3" t="s">
        <v>270</v>
      </c>
      <c r="B446" s="4">
        <v>7.3</v>
      </c>
    </row>
    <row r="447" customHeight="1" spans="1:2">
      <c r="A447" s="3" t="s">
        <v>17528</v>
      </c>
      <c r="B447" s="4">
        <v>7.3</v>
      </c>
    </row>
    <row r="448" customHeight="1" spans="1:2">
      <c r="A448" s="3" t="s">
        <v>21827</v>
      </c>
      <c r="B448" s="4">
        <v>6.9</v>
      </c>
    </row>
    <row r="449" customHeight="1" spans="1:2">
      <c r="A449" s="3" t="s">
        <v>11479</v>
      </c>
      <c r="B449" s="4">
        <v>5.5</v>
      </c>
    </row>
    <row r="450" customHeight="1" spans="1:2">
      <c r="A450" s="3" t="s">
        <v>16431</v>
      </c>
      <c r="B450" s="4">
        <v>7.2</v>
      </c>
    </row>
    <row r="451" customHeight="1" spans="1:2">
      <c r="A451" s="3" t="s">
        <v>11669</v>
      </c>
      <c r="B451" s="4">
        <v>6</v>
      </c>
    </row>
    <row r="452" customHeight="1" spans="1:2">
      <c r="A452" s="3" t="s">
        <v>23181</v>
      </c>
      <c r="B452" s="4">
        <v>4.3</v>
      </c>
    </row>
    <row r="453" customHeight="1" spans="1:2">
      <c r="A453" s="3" t="s">
        <v>22179</v>
      </c>
      <c r="B453" s="4">
        <v>7.4</v>
      </c>
    </row>
    <row r="454" customHeight="1" spans="1:2">
      <c r="A454" s="3" t="s">
        <v>2355</v>
      </c>
      <c r="B454" s="4">
        <v>6.63333333333333</v>
      </c>
    </row>
    <row r="455" customHeight="1" spans="1:2">
      <c r="A455" s="3" t="s">
        <v>24154</v>
      </c>
      <c r="B455" s="4">
        <v>6.3</v>
      </c>
    </row>
    <row r="456" customHeight="1" spans="1:2">
      <c r="A456" s="3" t="s">
        <v>3874</v>
      </c>
      <c r="B456" s="4">
        <v>6.15</v>
      </c>
    </row>
    <row r="457" customHeight="1" spans="1:2">
      <c r="A457" s="3" t="s">
        <v>23870</v>
      </c>
      <c r="B457" s="4">
        <v>4.7</v>
      </c>
    </row>
    <row r="458" customHeight="1" spans="1:2">
      <c r="A458" s="3" t="s">
        <v>22385</v>
      </c>
      <c r="B458" s="4">
        <v>6.4</v>
      </c>
    </row>
    <row r="459" customHeight="1" spans="1:2">
      <c r="A459" s="3" t="s">
        <v>19037</v>
      </c>
      <c r="B459" s="4">
        <v>4.8</v>
      </c>
    </row>
    <row r="460" customHeight="1" spans="1:2">
      <c r="A460" s="3" t="s">
        <v>10436</v>
      </c>
      <c r="B460" s="4">
        <v>5.8</v>
      </c>
    </row>
    <row r="461" customHeight="1" spans="1:2">
      <c r="A461" s="3" t="s">
        <v>23833</v>
      </c>
      <c r="B461" s="4">
        <v>6.3</v>
      </c>
    </row>
    <row r="462" customHeight="1" spans="1:2">
      <c r="A462" s="3" t="s">
        <v>20657</v>
      </c>
      <c r="B462" s="4">
        <v>5.6</v>
      </c>
    </row>
    <row r="463" customHeight="1" spans="1:2">
      <c r="A463" s="3" t="s">
        <v>15668</v>
      </c>
      <c r="B463" s="4">
        <v>5.5</v>
      </c>
    </row>
    <row r="464" customHeight="1" spans="1:2">
      <c r="A464" s="3" t="s">
        <v>13306</v>
      </c>
      <c r="B464" s="4">
        <v>5.7</v>
      </c>
    </row>
    <row r="465" customHeight="1" spans="1:2">
      <c r="A465" s="3" t="s">
        <v>5290</v>
      </c>
      <c r="B465" s="4">
        <v>7.38888888888889</v>
      </c>
    </row>
    <row r="466" customHeight="1" spans="1:2">
      <c r="A466" s="3" t="s">
        <v>7859</v>
      </c>
      <c r="B466" s="4">
        <v>5.7</v>
      </c>
    </row>
    <row r="467" customHeight="1" spans="1:2">
      <c r="A467" s="3" t="s">
        <v>5470</v>
      </c>
      <c r="B467" s="4">
        <v>6.26666666666667</v>
      </c>
    </row>
    <row r="468" customHeight="1" spans="1:2">
      <c r="A468" s="3" t="s">
        <v>13673</v>
      </c>
      <c r="B468" s="4">
        <v>6.3</v>
      </c>
    </row>
    <row r="469" customHeight="1" spans="1:2">
      <c r="A469" s="3" t="s">
        <v>5962</v>
      </c>
      <c r="B469" s="4">
        <v>5.55</v>
      </c>
    </row>
    <row r="470" customHeight="1" spans="1:2">
      <c r="A470" s="3" t="s">
        <v>19946</v>
      </c>
      <c r="B470" s="4">
        <v>6.3</v>
      </c>
    </row>
    <row r="471" customHeight="1" spans="1:2">
      <c r="A471" s="3" t="s">
        <v>20414</v>
      </c>
      <c r="B471" s="4">
        <v>5.4</v>
      </c>
    </row>
    <row r="472" customHeight="1" spans="1:2">
      <c r="A472" s="3" t="s">
        <v>20021</v>
      </c>
      <c r="B472" s="4">
        <v>4.7</v>
      </c>
    </row>
    <row r="473" customHeight="1" spans="1:2">
      <c r="A473" s="3" t="s">
        <v>6196</v>
      </c>
      <c r="B473" s="4">
        <v>7.1</v>
      </c>
    </row>
    <row r="474" customHeight="1" spans="1:2">
      <c r="A474" s="3" t="s">
        <v>19585</v>
      </c>
      <c r="B474" s="4">
        <v>4.8</v>
      </c>
    </row>
    <row r="475" customHeight="1" spans="1:2">
      <c r="A475" s="3" t="s">
        <v>15748</v>
      </c>
      <c r="B475" s="4">
        <v>6.1</v>
      </c>
    </row>
    <row r="476" customHeight="1" spans="1:2">
      <c r="A476" s="3" t="s">
        <v>14262</v>
      </c>
      <c r="B476" s="4">
        <v>7</v>
      </c>
    </row>
    <row r="477" customHeight="1" spans="1:2">
      <c r="A477" s="3" t="s">
        <v>13263</v>
      </c>
      <c r="B477" s="4">
        <v>6</v>
      </c>
    </row>
    <row r="478" customHeight="1" spans="1:2">
      <c r="A478" s="3" t="s">
        <v>1205</v>
      </c>
      <c r="B478" s="4">
        <v>7.48333333333333</v>
      </c>
    </row>
    <row r="479" customHeight="1" spans="1:2">
      <c r="A479" s="3" t="s">
        <v>17390</v>
      </c>
      <c r="B479" s="4">
        <v>5.6</v>
      </c>
    </row>
    <row r="480" customHeight="1" spans="1:2">
      <c r="A480" s="3" t="s">
        <v>14788</v>
      </c>
      <c r="B480" s="4">
        <v>6.56</v>
      </c>
    </row>
    <row r="481" customHeight="1" spans="1:2">
      <c r="A481" s="3" t="s">
        <v>19403</v>
      </c>
      <c r="B481" s="4">
        <v>5.5</v>
      </c>
    </row>
    <row r="482" customHeight="1" spans="1:2">
      <c r="A482" s="3" t="s">
        <v>24045</v>
      </c>
      <c r="B482" s="4">
        <v>6.2</v>
      </c>
    </row>
    <row r="483" customHeight="1" spans="1:2">
      <c r="A483" s="3" t="s">
        <v>22683</v>
      </c>
      <c r="B483" s="4">
        <v>5.8</v>
      </c>
    </row>
    <row r="484" customHeight="1" spans="1:2">
      <c r="A484" s="3" t="s">
        <v>11296</v>
      </c>
      <c r="B484" s="4">
        <v>2.8</v>
      </c>
    </row>
    <row r="485" customHeight="1" spans="1:2">
      <c r="A485" s="3" t="s">
        <v>23887</v>
      </c>
      <c r="B485" s="4">
        <v>7.9</v>
      </c>
    </row>
    <row r="486" customHeight="1" spans="1:2">
      <c r="A486" s="3" t="s">
        <v>1496</v>
      </c>
      <c r="B486" s="4">
        <v>6.05</v>
      </c>
    </row>
    <row r="487" customHeight="1" spans="1:2">
      <c r="A487" s="3" t="s">
        <v>18600</v>
      </c>
      <c r="B487" s="4">
        <v>6.9</v>
      </c>
    </row>
    <row r="488" customHeight="1" spans="1:2">
      <c r="A488" s="3" t="s">
        <v>20827</v>
      </c>
      <c r="B488" s="4">
        <v>4.3</v>
      </c>
    </row>
    <row r="489" customHeight="1" spans="1:2">
      <c r="A489" s="3" t="s">
        <v>20529</v>
      </c>
      <c r="B489" s="4">
        <v>4.9</v>
      </c>
    </row>
    <row r="490" customHeight="1" spans="1:2">
      <c r="A490" s="3" t="s">
        <v>21065</v>
      </c>
      <c r="B490" s="4">
        <v>6.3</v>
      </c>
    </row>
    <row r="491" customHeight="1" spans="1:2">
      <c r="A491" s="3" t="s">
        <v>11448</v>
      </c>
      <c r="B491" s="4">
        <v>6.2</v>
      </c>
    </row>
    <row r="492" customHeight="1" spans="1:2">
      <c r="A492" s="3" t="s">
        <v>17183</v>
      </c>
      <c r="B492" s="4">
        <v>5.8</v>
      </c>
    </row>
    <row r="493" customHeight="1" spans="1:2">
      <c r="A493" s="3" t="s">
        <v>508</v>
      </c>
      <c r="B493" s="4">
        <v>6.77142857142857</v>
      </c>
    </row>
    <row r="494" customHeight="1" spans="1:2">
      <c r="A494" s="3" t="s">
        <v>936</v>
      </c>
      <c r="B494" s="4">
        <v>6.5</v>
      </c>
    </row>
    <row r="495" customHeight="1" spans="1:2">
      <c r="A495" s="3" t="s">
        <v>21315</v>
      </c>
      <c r="B495" s="4">
        <v>6</v>
      </c>
    </row>
    <row r="496" customHeight="1" spans="1:2">
      <c r="A496" s="3" t="s">
        <v>21373</v>
      </c>
      <c r="B496" s="4">
        <v>6.1</v>
      </c>
    </row>
    <row r="497" customHeight="1" spans="1:2">
      <c r="A497" s="3" t="s">
        <v>6974</v>
      </c>
      <c r="B497" s="4">
        <v>6.6</v>
      </c>
    </row>
    <row r="498" customHeight="1" spans="1:2">
      <c r="A498" s="3" t="s">
        <v>5404</v>
      </c>
      <c r="B498" s="4">
        <v>7.11428571428571</v>
      </c>
    </row>
    <row r="499" customHeight="1" spans="1:2">
      <c r="A499" s="3" t="s">
        <v>21904</v>
      </c>
      <c r="B499" s="4">
        <v>5.8</v>
      </c>
    </row>
    <row r="500" customHeight="1" spans="1:2">
      <c r="A500" s="3" t="s">
        <v>21941</v>
      </c>
      <c r="B500" s="4">
        <v>3</v>
      </c>
    </row>
    <row r="501" customHeight="1" spans="1:2">
      <c r="A501" s="3" t="s">
        <v>4951</v>
      </c>
      <c r="B501" s="4">
        <v>6.65</v>
      </c>
    </row>
    <row r="502" customHeight="1" spans="1:2">
      <c r="A502" s="3" t="s">
        <v>20361</v>
      </c>
      <c r="B502" s="4">
        <v>7</v>
      </c>
    </row>
    <row r="503" customHeight="1" spans="1:2">
      <c r="A503" s="3" t="s">
        <v>15850</v>
      </c>
      <c r="B503" s="4">
        <v>5</v>
      </c>
    </row>
    <row r="504" customHeight="1" spans="1:2">
      <c r="A504" s="3" t="s">
        <v>17538</v>
      </c>
      <c r="B504" s="4">
        <v>6.9</v>
      </c>
    </row>
    <row r="505" customHeight="1" spans="1:2">
      <c r="A505" s="3" t="s">
        <v>686</v>
      </c>
      <c r="B505" s="4">
        <v>7.75</v>
      </c>
    </row>
    <row r="506" customHeight="1" spans="1:2">
      <c r="A506" s="3" t="s">
        <v>3931</v>
      </c>
      <c r="B506" s="4">
        <v>6.6</v>
      </c>
    </row>
    <row r="507" customHeight="1" spans="1:2">
      <c r="A507" s="3" t="s">
        <v>23406</v>
      </c>
      <c r="B507" s="4">
        <v>6.4</v>
      </c>
    </row>
    <row r="508" customHeight="1" spans="1:2">
      <c r="A508" s="3" t="s">
        <v>17605</v>
      </c>
      <c r="B508" s="4">
        <v>5.2</v>
      </c>
    </row>
    <row r="509" customHeight="1" spans="1:2">
      <c r="A509" s="3" t="s">
        <v>5419</v>
      </c>
      <c r="B509" s="4">
        <v>6.575</v>
      </c>
    </row>
    <row r="510" customHeight="1" spans="1:2">
      <c r="A510" s="3" t="s">
        <v>14681</v>
      </c>
      <c r="B510" s="4">
        <v>5.55</v>
      </c>
    </row>
    <row r="511" customHeight="1" spans="1:2">
      <c r="A511" s="3" t="s">
        <v>12096</v>
      </c>
      <c r="B511" s="4">
        <v>5.3</v>
      </c>
    </row>
    <row r="512" customHeight="1" spans="1:2">
      <c r="A512" s="3" t="s">
        <v>8556</v>
      </c>
      <c r="B512" s="4">
        <v>7</v>
      </c>
    </row>
    <row r="513" customHeight="1" spans="1:2">
      <c r="A513" s="3" t="s">
        <v>20766</v>
      </c>
      <c r="B513" s="4">
        <v>6.3</v>
      </c>
    </row>
    <row r="514" customHeight="1" spans="1:2">
      <c r="A514" s="3" t="s">
        <v>16198</v>
      </c>
      <c r="B514" s="4">
        <v>6.5</v>
      </c>
    </row>
    <row r="515" customHeight="1" spans="1:2">
      <c r="A515" s="3" t="s">
        <v>3036</v>
      </c>
      <c r="B515" s="4">
        <v>4.1</v>
      </c>
    </row>
    <row r="516" customHeight="1" spans="1:2">
      <c r="A516" s="3" t="s">
        <v>4402</v>
      </c>
      <c r="B516" s="4">
        <v>6.46</v>
      </c>
    </row>
    <row r="517" customHeight="1" spans="1:2">
      <c r="A517" s="3" t="s">
        <v>22299</v>
      </c>
      <c r="B517" s="4">
        <v>7.1</v>
      </c>
    </row>
    <row r="518" customHeight="1" spans="1:2">
      <c r="A518" s="3" t="s">
        <v>16745</v>
      </c>
      <c r="B518" s="4">
        <v>5.3</v>
      </c>
    </row>
    <row r="519" customHeight="1" spans="1:2">
      <c r="A519" s="3" t="s">
        <v>9066</v>
      </c>
      <c r="B519" s="4">
        <v>8</v>
      </c>
    </row>
    <row r="520" customHeight="1" spans="1:2">
      <c r="A520" s="3" t="s">
        <v>7084</v>
      </c>
      <c r="B520" s="4">
        <v>5.55</v>
      </c>
    </row>
    <row r="521" customHeight="1" spans="1:2">
      <c r="A521" s="3" t="s">
        <v>14933</v>
      </c>
      <c r="B521" s="4">
        <v>7.3</v>
      </c>
    </row>
    <row r="522" customHeight="1" spans="1:2">
      <c r="A522" s="3" t="s">
        <v>5878</v>
      </c>
      <c r="B522" s="4">
        <v>7.64</v>
      </c>
    </row>
    <row r="523" customHeight="1" spans="1:2">
      <c r="A523" s="3" t="s">
        <v>20832</v>
      </c>
      <c r="B523" s="4">
        <v>3.5</v>
      </c>
    </row>
    <row r="524" customHeight="1" spans="1:2">
      <c r="A524" s="3" t="s">
        <v>1923</v>
      </c>
      <c r="B524" s="4">
        <v>7.05</v>
      </c>
    </row>
    <row r="525" customHeight="1" spans="1:2">
      <c r="A525" s="3" t="s">
        <v>4081</v>
      </c>
      <c r="B525" s="4">
        <v>5</v>
      </c>
    </row>
    <row r="526" customHeight="1" spans="1:2">
      <c r="A526" s="3" t="s">
        <v>7006</v>
      </c>
      <c r="B526" s="4">
        <v>6.2</v>
      </c>
    </row>
    <row r="527" customHeight="1" spans="1:2">
      <c r="A527" s="3" t="s">
        <v>14113</v>
      </c>
      <c r="B527" s="4">
        <v>5.4</v>
      </c>
    </row>
    <row r="528" customHeight="1" spans="1:2">
      <c r="A528" s="3" t="s">
        <v>19438</v>
      </c>
      <c r="B528" s="4">
        <v>6.3</v>
      </c>
    </row>
    <row r="529" customHeight="1" spans="1:2">
      <c r="A529" s="3" t="s">
        <v>12955</v>
      </c>
      <c r="B529" s="4">
        <v>5.5</v>
      </c>
    </row>
    <row r="530" customHeight="1" spans="1:2">
      <c r="A530" s="3" t="s">
        <v>4167</v>
      </c>
      <c r="B530" s="4">
        <v>6.775</v>
      </c>
    </row>
    <row r="531" customHeight="1" spans="1:2">
      <c r="A531" s="3" t="s">
        <v>16328</v>
      </c>
      <c r="B531" s="4">
        <v>7.3</v>
      </c>
    </row>
    <row r="532" customHeight="1" spans="1:2">
      <c r="A532" s="3" t="s">
        <v>10498</v>
      </c>
      <c r="B532" s="4">
        <v>6.1</v>
      </c>
    </row>
    <row r="533" customHeight="1" spans="1:2">
      <c r="A533" s="3" t="s">
        <v>3170</v>
      </c>
      <c r="B533" s="4">
        <v>6</v>
      </c>
    </row>
    <row r="534" customHeight="1" spans="1:2">
      <c r="A534" s="3" t="s">
        <v>5862</v>
      </c>
      <c r="B534" s="4">
        <v>5.51666666666667</v>
      </c>
    </row>
    <row r="535" customHeight="1" spans="1:2">
      <c r="A535" s="3" t="s">
        <v>21058</v>
      </c>
      <c r="B535" s="4">
        <v>6.8</v>
      </c>
    </row>
    <row r="536" customHeight="1" spans="1:2">
      <c r="A536" s="3" t="s">
        <v>13093</v>
      </c>
      <c r="B536" s="4">
        <v>5.36666666666667</v>
      </c>
    </row>
    <row r="537" customHeight="1" spans="1:2">
      <c r="A537" s="3" t="s">
        <v>20139</v>
      </c>
      <c r="B537" s="4">
        <v>6.9</v>
      </c>
    </row>
    <row r="538" customHeight="1" spans="1:2">
      <c r="A538" s="3" t="s">
        <v>3750</v>
      </c>
      <c r="B538" s="4">
        <v>5.16666666666667</v>
      </c>
    </row>
    <row r="539" customHeight="1" spans="1:2">
      <c r="A539" s="3" t="s">
        <v>14528</v>
      </c>
      <c r="B539" s="4">
        <v>7.2</v>
      </c>
    </row>
    <row r="540" customHeight="1" spans="1:2">
      <c r="A540" s="3" t="s">
        <v>15148</v>
      </c>
      <c r="B540" s="4">
        <v>6.8</v>
      </c>
    </row>
    <row r="541" customHeight="1" spans="1:2">
      <c r="A541" s="3" t="s">
        <v>3253</v>
      </c>
      <c r="B541" s="4">
        <v>7.4</v>
      </c>
    </row>
    <row r="542" customHeight="1" spans="1:2">
      <c r="A542" s="3" t="s">
        <v>20325</v>
      </c>
      <c r="B542" s="4">
        <v>8.1</v>
      </c>
    </row>
    <row r="543" customHeight="1" spans="1:2">
      <c r="A543" s="3" t="s">
        <v>3542</v>
      </c>
      <c r="B543" s="4">
        <v>6.2</v>
      </c>
    </row>
    <row r="544" customHeight="1" spans="1:2">
      <c r="A544" s="3" t="s">
        <v>1140</v>
      </c>
      <c r="B544" s="4">
        <v>6.5</v>
      </c>
    </row>
    <row r="545" customHeight="1" spans="1:2">
      <c r="A545" s="3" t="s">
        <v>1395</v>
      </c>
      <c r="B545" s="4">
        <v>6.675</v>
      </c>
    </row>
    <row r="546" customHeight="1" spans="1:2">
      <c r="A546" s="3" t="s">
        <v>7886</v>
      </c>
      <c r="B546" s="4">
        <v>5.75</v>
      </c>
    </row>
    <row r="547" customHeight="1" spans="1:2">
      <c r="A547" s="3" t="s">
        <v>16301</v>
      </c>
      <c r="B547" s="4">
        <v>6.5</v>
      </c>
    </row>
    <row r="548" customHeight="1" spans="1:2">
      <c r="A548" s="3" t="s">
        <v>21074</v>
      </c>
      <c r="B548" s="4">
        <v>2.8</v>
      </c>
    </row>
    <row r="549" customHeight="1" spans="1:2">
      <c r="A549" s="3" t="s">
        <v>14452</v>
      </c>
      <c r="B549" s="4">
        <v>2.8</v>
      </c>
    </row>
    <row r="550" customHeight="1" spans="1:2">
      <c r="A550" s="3" t="s">
        <v>21140</v>
      </c>
      <c r="B550" s="4">
        <v>6.9</v>
      </c>
    </row>
    <row r="551" customHeight="1" spans="1:2">
      <c r="A551" s="3" t="s">
        <v>104</v>
      </c>
      <c r="B551" s="4">
        <v>7.05</v>
      </c>
    </row>
    <row r="552" customHeight="1" spans="1:2">
      <c r="A552" s="3" t="s">
        <v>5703</v>
      </c>
      <c r="B552" s="4">
        <v>5.26</v>
      </c>
    </row>
    <row r="553" customHeight="1" spans="1:2">
      <c r="A553" s="3" t="s">
        <v>13515</v>
      </c>
      <c r="B553" s="4">
        <v>6.53333333333333</v>
      </c>
    </row>
    <row r="554" customHeight="1" spans="1:2">
      <c r="A554" s="3" t="s">
        <v>640</v>
      </c>
      <c r="B554" s="4">
        <v>7.76666666666667</v>
      </c>
    </row>
    <row r="555" customHeight="1" spans="1:2">
      <c r="A555" s="3" t="s">
        <v>14255</v>
      </c>
      <c r="B555" s="4">
        <v>6.4</v>
      </c>
    </row>
    <row r="556" customHeight="1" spans="1:2">
      <c r="A556" s="3" t="s">
        <v>1008</v>
      </c>
      <c r="B556" s="4">
        <v>6.275</v>
      </c>
    </row>
    <row r="557" customHeight="1" spans="1:2">
      <c r="A557" s="3" t="s">
        <v>14768</v>
      </c>
      <c r="B557" s="4">
        <v>6.6</v>
      </c>
    </row>
    <row r="558" customHeight="1" spans="1:2">
      <c r="A558" s="3" t="s">
        <v>17132</v>
      </c>
      <c r="B558" s="4">
        <v>4.6</v>
      </c>
    </row>
    <row r="559" customHeight="1" spans="1:2">
      <c r="A559" s="3" t="s">
        <v>23615</v>
      </c>
      <c r="B559" s="4">
        <v>5.3</v>
      </c>
    </row>
    <row r="560" customHeight="1" spans="1:2">
      <c r="A560" s="3" t="s">
        <v>20232</v>
      </c>
      <c r="B560" s="4">
        <v>7.2</v>
      </c>
    </row>
    <row r="561" customHeight="1" spans="1:2">
      <c r="A561" s="3" t="s">
        <v>5604</v>
      </c>
      <c r="B561" s="4">
        <v>7.8</v>
      </c>
    </row>
    <row r="562" customHeight="1" spans="1:2">
      <c r="A562" s="3" t="s">
        <v>3903</v>
      </c>
      <c r="B562" s="4">
        <v>5.9</v>
      </c>
    </row>
    <row r="563" customHeight="1" spans="1:2">
      <c r="A563" s="3" t="s">
        <v>23608</v>
      </c>
      <c r="B563" s="4">
        <v>7</v>
      </c>
    </row>
    <row r="564" customHeight="1" spans="1:2">
      <c r="A564" s="3" t="s">
        <v>5744</v>
      </c>
      <c r="B564" s="4">
        <v>7.96666666666667</v>
      </c>
    </row>
    <row r="565" customHeight="1" spans="1:2">
      <c r="A565" s="3" t="s">
        <v>6768</v>
      </c>
      <c r="B565" s="4">
        <v>5.4</v>
      </c>
    </row>
    <row r="566" customHeight="1" spans="1:2">
      <c r="A566" s="3" t="s">
        <v>2179</v>
      </c>
      <c r="B566" s="4">
        <v>5.73333333333333</v>
      </c>
    </row>
    <row r="567" customHeight="1" spans="1:2">
      <c r="A567" s="3" t="s">
        <v>16420</v>
      </c>
      <c r="B567" s="4">
        <v>7.6</v>
      </c>
    </row>
    <row r="568" customHeight="1" spans="1:2">
      <c r="A568" s="3" t="s">
        <v>17962</v>
      </c>
      <c r="B568" s="4">
        <v>7.2</v>
      </c>
    </row>
    <row r="569" customHeight="1" spans="1:2">
      <c r="A569" s="3" t="s">
        <v>12830</v>
      </c>
      <c r="B569" s="4">
        <v>6.6</v>
      </c>
    </row>
    <row r="570" customHeight="1" spans="1:2">
      <c r="A570" s="3" t="s">
        <v>17810</v>
      </c>
      <c r="B570" s="4">
        <v>7.7</v>
      </c>
    </row>
    <row r="571" customHeight="1" spans="1:2">
      <c r="A571" s="3" t="s">
        <v>1727</v>
      </c>
      <c r="B571" s="4">
        <v>7.45</v>
      </c>
    </row>
    <row r="572" customHeight="1" spans="1:2">
      <c r="A572" s="3" t="s">
        <v>19511</v>
      </c>
      <c r="B572" s="4">
        <v>4.1</v>
      </c>
    </row>
    <row r="573" customHeight="1" spans="1:2">
      <c r="A573" s="3" t="s">
        <v>12959</v>
      </c>
      <c r="B573" s="4">
        <v>7.35</v>
      </c>
    </row>
    <row r="574" customHeight="1" spans="1:2">
      <c r="A574" s="3" t="s">
        <v>20590</v>
      </c>
      <c r="B574" s="4">
        <v>4.5</v>
      </c>
    </row>
    <row r="575" customHeight="1" spans="1:2">
      <c r="A575" s="3" t="s">
        <v>15273</v>
      </c>
      <c r="B575" s="4">
        <v>6.5</v>
      </c>
    </row>
    <row r="576" customHeight="1" spans="1:2">
      <c r="A576" s="3" t="s">
        <v>21251</v>
      </c>
      <c r="B576" s="4">
        <v>3.7</v>
      </c>
    </row>
    <row r="577" customHeight="1" spans="1:2">
      <c r="A577" s="3" t="s">
        <v>2960</v>
      </c>
      <c r="B577" s="4">
        <v>4.1</v>
      </c>
    </row>
    <row r="578" customHeight="1" spans="1:2">
      <c r="A578" s="3" t="s">
        <v>14623</v>
      </c>
      <c r="B578" s="4">
        <v>5.3</v>
      </c>
    </row>
    <row r="579" customHeight="1" spans="1:2">
      <c r="A579" s="3" t="s">
        <v>3448</v>
      </c>
      <c r="B579" s="4">
        <v>7.5</v>
      </c>
    </row>
    <row r="580" customHeight="1" spans="1:2">
      <c r="A580" s="3" t="s">
        <v>12461</v>
      </c>
      <c r="B580" s="4">
        <v>4.9</v>
      </c>
    </row>
    <row r="581" customHeight="1" spans="1:2">
      <c r="A581" s="3" t="s">
        <v>6579</v>
      </c>
      <c r="B581" s="4">
        <v>4.7</v>
      </c>
    </row>
    <row r="582" customHeight="1" spans="1:2">
      <c r="A582" s="3" t="s">
        <v>16677</v>
      </c>
      <c r="B582" s="4">
        <v>6.3</v>
      </c>
    </row>
    <row r="583" customHeight="1" spans="1:2">
      <c r="A583" s="3" t="s">
        <v>19802</v>
      </c>
      <c r="B583" s="4">
        <v>5.1</v>
      </c>
    </row>
    <row r="584" customHeight="1" spans="1:2">
      <c r="A584" s="3" t="s">
        <v>13268</v>
      </c>
      <c r="B584" s="4">
        <v>5.1</v>
      </c>
    </row>
    <row r="585" customHeight="1" spans="1:2">
      <c r="A585" s="3" t="s">
        <v>18517</v>
      </c>
      <c r="B585" s="4">
        <v>4.3</v>
      </c>
    </row>
    <row r="586" customHeight="1" spans="1:2">
      <c r="A586" s="3" t="s">
        <v>19970</v>
      </c>
      <c r="B586" s="4">
        <v>3.1</v>
      </c>
    </row>
    <row r="587" customHeight="1" spans="1:2">
      <c r="A587" s="3" t="s">
        <v>1688</v>
      </c>
      <c r="B587" s="4">
        <v>6.16666666666667</v>
      </c>
    </row>
    <row r="588" customHeight="1" spans="1:2">
      <c r="A588" s="3" t="s">
        <v>17089</v>
      </c>
      <c r="B588" s="4">
        <v>5.2</v>
      </c>
    </row>
    <row r="589" customHeight="1" spans="1:2">
      <c r="A589" s="3" t="s">
        <v>3155</v>
      </c>
      <c r="B589" s="4">
        <v>7</v>
      </c>
    </row>
    <row r="590" customHeight="1" spans="1:2">
      <c r="A590" s="3" t="s">
        <v>17771</v>
      </c>
      <c r="B590" s="4">
        <v>6.63333333333333</v>
      </c>
    </row>
    <row r="591" customHeight="1" spans="1:2">
      <c r="A591" s="3" t="s">
        <v>612</v>
      </c>
      <c r="B591" s="4">
        <v>7.9</v>
      </c>
    </row>
    <row r="592" customHeight="1" spans="1:2">
      <c r="A592" s="3" t="s">
        <v>16527</v>
      </c>
      <c r="B592" s="4">
        <v>7.5</v>
      </c>
    </row>
    <row r="593" customHeight="1" spans="1:2">
      <c r="A593" s="3" t="s">
        <v>8815</v>
      </c>
      <c r="B593" s="4">
        <v>4.9</v>
      </c>
    </row>
    <row r="594" customHeight="1" spans="1:2">
      <c r="A594" s="3" t="s">
        <v>9774</v>
      </c>
      <c r="B594" s="4">
        <v>3.3</v>
      </c>
    </row>
    <row r="595" customHeight="1" spans="1:2">
      <c r="A595" s="3" t="s">
        <v>8007</v>
      </c>
      <c r="B595" s="4">
        <v>5.9</v>
      </c>
    </row>
    <row r="596" customHeight="1" spans="1:2">
      <c r="A596" s="3" t="s">
        <v>16004</v>
      </c>
      <c r="B596" s="4">
        <v>7.6</v>
      </c>
    </row>
    <row r="597" customHeight="1" spans="1:2">
      <c r="A597" s="3" t="s">
        <v>19816</v>
      </c>
      <c r="B597" s="4">
        <v>6.3</v>
      </c>
    </row>
    <row r="598" customHeight="1" spans="1:2">
      <c r="A598" s="3" t="s">
        <v>4240</v>
      </c>
      <c r="B598" s="4">
        <v>5.6625</v>
      </c>
    </row>
    <row r="599" customHeight="1" spans="1:2">
      <c r="A599" s="3" t="s">
        <v>16067</v>
      </c>
      <c r="B599" s="4">
        <v>7.5</v>
      </c>
    </row>
    <row r="600" customHeight="1" spans="1:2">
      <c r="A600" s="3" t="s">
        <v>22978</v>
      </c>
      <c r="B600" s="4">
        <v>7.5</v>
      </c>
    </row>
    <row r="601" customHeight="1" spans="1:2">
      <c r="A601" s="3" t="s">
        <v>3619</v>
      </c>
      <c r="B601" s="4">
        <v>5.4</v>
      </c>
    </row>
    <row r="602" customHeight="1" spans="1:2">
      <c r="A602" s="3" t="s">
        <v>522</v>
      </c>
      <c r="B602" s="4">
        <v>7.12857142857143</v>
      </c>
    </row>
    <row r="603" customHeight="1" spans="1:2">
      <c r="A603" s="3" t="s">
        <v>67</v>
      </c>
      <c r="B603" s="4">
        <v>7.1</v>
      </c>
    </row>
    <row r="604" customHeight="1" spans="1:2">
      <c r="A604" s="3" t="s">
        <v>13007</v>
      </c>
      <c r="B604" s="4">
        <v>4.6</v>
      </c>
    </row>
    <row r="605" customHeight="1" spans="1:2">
      <c r="A605" s="3" t="s">
        <v>21243</v>
      </c>
      <c r="B605" s="4">
        <v>5.5</v>
      </c>
    </row>
    <row r="606" customHeight="1" spans="1:2">
      <c r="A606" s="3" t="s">
        <v>10162</v>
      </c>
      <c r="B606" s="4">
        <v>6.4</v>
      </c>
    </row>
    <row r="607" customHeight="1" spans="1:2">
      <c r="A607" s="3" t="s">
        <v>21501</v>
      </c>
      <c r="B607" s="4">
        <v>6.7</v>
      </c>
    </row>
    <row r="608" customHeight="1" spans="1:2">
      <c r="A608" s="3" t="s">
        <v>23207</v>
      </c>
      <c r="B608" s="4">
        <v>6.7</v>
      </c>
    </row>
    <row r="609" customHeight="1" spans="1:2">
      <c r="A609" s="3" t="s">
        <v>13022</v>
      </c>
      <c r="B609" s="4">
        <v>6.9</v>
      </c>
    </row>
    <row r="610" customHeight="1" spans="1:2">
      <c r="A610" s="3" t="s">
        <v>8379</v>
      </c>
      <c r="B610" s="4">
        <v>7</v>
      </c>
    </row>
    <row r="611" customHeight="1" spans="1:2">
      <c r="A611" s="3" t="s">
        <v>20944</v>
      </c>
      <c r="B611" s="4">
        <v>7.6</v>
      </c>
    </row>
    <row r="612" customHeight="1" spans="1:2">
      <c r="A612" s="3" t="s">
        <v>18463</v>
      </c>
      <c r="B612" s="4">
        <v>4.3</v>
      </c>
    </row>
    <row r="613" customHeight="1" spans="1:2">
      <c r="A613" s="3" t="s">
        <v>16139</v>
      </c>
      <c r="B613" s="4">
        <v>7.3</v>
      </c>
    </row>
    <row r="614" customHeight="1" spans="1:2">
      <c r="A614" s="3" t="s">
        <v>729</v>
      </c>
      <c r="B614" s="4">
        <v>7.56666666666667</v>
      </c>
    </row>
    <row r="615" customHeight="1" spans="1:2">
      <c r="A615" s="3" t="s">
        <v>21568</v>
      </c>
      <c r="B615" s="4">
        <v>7.4</v>
      </c>
    </row>
    <row r="616" customHeight="1" spans="1:2">
      <c r="A616" s="3" t="s">
        <v>14599</v>
      </c>
      <c r="B616" s="4">
        <v>6.8</v>
      </c>
    </row>
    <row r="617" customHeight="1" spans="1:2">
      <c r="A617" s="3" t="s">
        <v>9640</v>
      </c>
      <c r="B617" s="4">
        <v>5.25</v>
      </c>
    </row>
    <row r="618" customHeight="1" spans="1:2">
      <c r="A618" s="3" t="s">
        <v>21416</v>
      </c>
      <c r="B618" s="4">
        <v>4.2</v>
      </c>
    </row>
    <row r="619" customHeight="1" spans="1:2">
      <c r="A619" s="3" t="s">
        <v>9173</v>
      </c>
      <c r="B619" s="4">
        <v>6.4</v>
      </c>
    </row>
    <row r="620" customHeight="1" spans="1:2">
      <c r="A620" s="3" t="s">
        <v>23730</v>
      </c>
      <c r="B620" s="4">
        <v>6.8</v>
      </c>
    </row>
    <row r="621" customHeight="1" spans="1:2">
      <c r="A621" s="3" t="s">
        <v>13693</v>
      </c>
      <c r="B621" s="4">
        <v>5.9</v>
      </c>
    </row>
    <row r="622" customHeight="1" spans="1:2">
      <c r="A622" s="3" t="s">
        <v>18503</v>
      </c>
      <c r="B622" s="4">
        <v>4</v>
      </c>
    </row>
    <row r="623" customHeight="1" spans="1:2">
      <c r="A623" s="3" t="s">
        <v>11019</v>
      </c>
      <c r="B623" s="4">
        <v>6.9</v>
      </c>
    </row>
    <row r="624" customHeight="1" spans="1:2">
      <c r="A624" s="3" t="s">
        <v>23083</v>
      </c>
      <c r="B624" s="4">
        <v>6.6</v>
      </c>
    </row>
    <row r="625" customHeight="1" spans="1:2">
      <c r="A625" s="3" t="s">
        <v>2454</v>
      </c>
      <c r="B625" s="4">
        <v>7.6</v>
      </c>
    </row>
    <row r="626" customHeight="1" spans="1:2">
      <c r="A626" s="3" t="s">
        <v>18750</v>
      </c>
      <c r="B626" s="4">
        <v>6.425</v>
      </c>
    </row>
    <row r="627" customHeight="1" spans="1:2">
      <c r="A627" s="3" t="s">
        <v>21112</v>
      </c>
      <c r="B627" s="4">
        <v>5.5</v>
      </c>
    </row>
    <row r="628" customHeight="1" spans="1:2">
      <c r="A628" s="3" t="s">
        <v>16208</v>
      </c>
      <c r="B628" s="4">
        <v>7.2</v>
      </c>
    </row>
    <row r="629" customHeight="1" spans="1:2">
      <c r="A629" s="3" t="s">
        <v>8783</v>
      </c>
      <c r="B629" s="4">
        <v>6.4</v>
      </c>
    </row>
    <row r="630" customHeight="1" spans="1:2">
      <c r="A630" s="3" t="s">
        <v>1016</v>
      </c>
      <c r="B630" s="4">
        <v>7.325</v>
      </c>
    </row>
    <row r="631" customHeight="1" spans="1:2">
      <c r="A631" s="3" t="s">
        <v>21749</v>
      </c>
      <c r="B631" s="4">
        <v>6.1</v>
      </c>
    </row>
    <row r="632" customHeight="1" spans="1:2">
      <c r="A632" s="3" t="s">
        <v>15832</v>
      </c>
      <c r="B632" s="4">
        <v>5.7</v>
      </c>
    </row>
    <row r="633" customHeight="1" spans="1:2">
      <c r="A633" s="3" t="s">
        <v>6743</v>
      </c>
      <c r="B633" s="4">
        <v>4.2</v>
      </c>
    </row>
    <row r="634" customHeight="1" spans="1:2">
      <c r="A634" s="3" t="s">
        <v>19058</v>
      </c>
      <c r="B634" s="4">
        <v>6.1</v>
      </c>
    </row>
    <row r="635" customHeight="1" spans="1:2">
      <c r="A635" s="3" t="s">
        <v>17969</v>
      </c>
      <c r="B635" s="4">
        <v>7.6</v>
      </c>
    </row>
    <row r="636" customHeight="1" spans="1:2">
      <c r="A636" s="3" t="s">
        <v>16339</v>
      </c>
      <c r="B636" s="4">
        <v>5.56666666666667</v>
      </c>
    </row>
    <row r="637" customHeight="1" spans="1:2">
      <c r="A637" s="3" t="s">
        <v>20226</v>
      </c>
      <c r="B637" s="4">
        <v>7.86666666666667</v>
      </c>
    </row>
    <row r="638" customHeight="1" spans="1:2">
      <c r="A638" s="3" t="s">
        <v>12905</v>
      </c>
      <c r="B638" s="4">
        <v>6</v>
      </c>
    </row>
    <row r="639" customHeight="1" spans="1:2">
      <c r="A639" s="3" t="s">
        <v>8765</v>
      </c>
      <c r="B639" s="4">
        <v>5.4</v>
      </c>
    </row>
    <row r="640" customHeight="1" spans="1:2">
      <c r="A640" s="3" t="s">
        <v>8535</v>
      </c>
      <c r="B640" s="4">
        <v>5.4</v>
      </c>
    </row>
    <row r="641" customHeight="1" spans="1:2">
      <c r="A641" s="3" t="s">
        <v>11674</v>
      </c>
      <c r="B641" s="4">
        <v>5.7</v>
      </c>
    </row>
    <row r="642" customHeight="1" spans="1:2">
      <c r="A642" s="3" t="s">
        <v>17426</v>
      </c>
      <c r="B642" s="4">
        <v>6.7</v>
      </c>
    </row>
    <row r="643" customHeight="1" spans="1:2">
      <c r="A643" s="3" t="s">
        <v>13490</v>
      </c>
      <c r="B643" s="4">
        <v>7</v>
      </c>
    </row>
    <row r="644" customHeight="1" spans="1:2">
      <c r="A644" s="3" t="s">
        <v>22320</v>
      </c>
      <c r="B644" s="4">
        <v>4</v>
      </c>
    </row>
    <row r="645" customHeight="1" spans="1:2">
      <c r="A645" s="3" t="s">
        <v>15794</v>
      </c>
      <c r="B645" s="4">
        <v>6.5</v>
      </c>
    </row>
    <row r="646" customHeight="1" spans="1:2">
      <c r="A646" s="3" t="s">
        <v>23190</v>
      </c>
      <c r="B646" s="4">
        <v>6.4</v>
      </c>
    </row>
    <row r="647" customHeight="1" spans="1:2">
      <c r="A647" s="3" t="s">
        <v>19451</v>
      </c>
      <c r="B647" s="4">
        <v>5</v>
      </c>
    </row>
    <row r="648" customHeight="1" spans="1:2">
      <c r="A648" s="3" t="s">
        <v>15248</v>
      </c>
      <c r="B648" s="4">
        <v>5.7</v>
      </c>
    </row>
    <row r="649" customHeight="1" spans="1:2">
      <c r="A649" s="3" t="s">
        <v>13706</v>
      </c>
      <c r="B649" s="4">
        <v>7.7</v>
      </c>
    </row>
    <row r="650" customHeight="1" spans="1:2">
      <c r="A650" s="3" t="s">
        <v>2704</v>
      </c>
      <c r="B650" s="4">
        <v>5.2</v>
      </c>
    </row>
    <row r="651" customHeight="1" spans="1:2">
      <c r="A651" s="3" t="s">
        <v>15162</v>
      </c>
      <c r="B651" s="4">
        <v>4.8</v>
      </c>
    </row>
    <row r="652" customHeight="1" spans="1:2">
      <c r="A652" s="3" t="s">
        <v>23596</v>
      </c>
      <c r="B652" s="4">
        <v>7.1</v>
      </c>
    </row>
    <row r="653" customHeight="1" spans="1:2">
      <c r="A653" s="3" t="s">
        <v>802</v>
      </c>
      <c r="B653" s="4">
        <v>6.76</v>
      </c>
    </row>
    <row r="654" customHeight="1" spans="1:2">
      <c r="A654" s="3" t="s">
        <v>23991</v>
      </c>
      <c r="B654" s="4">
        <v>7</v>
      </c>
    </row>
    <row r="655" customHeight="1" spans="1:2">
      <c r="A655" s="3" t="s">
        <v>22823</v>
      </c>
      <c r="B655" s="4">
        <v>4.1</v>
      </c>
    </row>
    <row r="656" customHeight="1" spans="1:2">
      <c r="A656" s="3" t="s">
        <v>14773</v>
      </c>
      <c r="B656" s="4">
        <v>7.4</v>
      </c>
    </row>
    <row r="657" customHeight="1" spans="1:2">
      <c r="A657" s="3" t="s">
        <v>15752</v>
      </c>
      <c r="B657" s="4">
        <v>6.1</v>
      </c>
    </row>
    <row r="658" customHeight="1" spans="1:2">
      <c r="A658" s="3" t="s">
        <v>1230</v>
      </c>
      <c r="B658" s="4">
        <v>6.5</v>
      </c>
    </row>
    <row r="659" customHeight="1" spans="1:2">
      <c r="A659" s="3" t="s">
        <v>23055</v>
      </c>
      <c r="B659" s="4">
        <v>5.2</v>
      </c>
    </row>
    <row r="660" customHeight="1" spans="1:2">
      <c r="A660" s="3" t="s">
        <v>21844</v>
      </c>
      <c r="B660" s="4">
        <v>6.1</v>
      </c>
    </row>
    <row r="661" customHeight="1" spans="1:2">
      <c r="A661" s="3" t="s">
        <v>22585</v>
      </c>
      <c r="B661" s="4">
        <v>6</v>
      </c>
    </row>
    <row r="662" customHeight="1" spans="1:2">
      <c r="A662" s="3" t="s">
        <v>19115</v>
      </c>
      <c r="B662" s="4">
        <v>6.4</v>
      </c>
    </row>
    <row r="663" customHeight="1" spans="1:2">
      <c r="A663" s="3" t="s">
        <v>19846</v>
      </c>
      <c r="B663" s="4">
        <v>6.6</v>
      </c>
    </row>
    <row r="664" customHeight="1" spans="1:2">
      <c r="A664" s="3" t="s">
        <v>10932</v>
      </c>
      <c r="B664" s="4">
        <v>3.9</v>
      </c>
    </row>
    <row r="665" customHeight="1" spans="1:2">
      <c r="A665" s="3" t="s">
        <v>1885</v>
      </c>
      <c r="B665" s="4">
        <v>5.3</v>
      </c>
    </row>
    <row r="666" customHeight="1" spans="1:2">
      <c r="A666" s="3" t="s">
        <v>16086</v>
      </c>
      <c r="B666" s="4">
        <v>7</v>
      </c>
    </row>
    <row r="667" customHeight="1" spans="1:2">
      <c r="A667" s="3" t="s">
        <v>12214</v>
      </c>
      <c r="B667" s="4">
        <v>4.9</v>
      </c>
    </row>
    <row r="668" customHeight="1" spans="1:2">
      <c r="A668" s="3" t="s">
        <v>14197</v>
      </c>
      <c r="B668" s="4">
        <v>6.7</v>
      </c>
    </row>
    <row r="669" customHeight="1" spans="1:2">
      <c r="A669" s="3" t="s">
        <v>16444</v>
      </c>
      <c r="B669" s="4">
        <v>5.45</v>
      </c>
    </row>
    <row r="670" customHeight="1" spans="1:2">
      <c r="A670" s="3" t="s">
        <v>17954</v>
      </c>
      <c r="B670" s="4">
        <v>7.5</v>
      </c>
    </row>
    <row r="671" customHeight="1" spans="1:2">
      <c r="A671" s="3" t="s">
        <v>6319</v>
      </c>
      <c r="B671" s="4">
        <v>6</v>
      </c>
    </row>
    <row r="672" customHeight="1" spans="1:2">
      <c r="A672" s="3" t="s">
        <v>7114</v>
      </c>
      <c r="B672" s="4">
        <v>7.11428571428571</v>
      </c>
    </row>
    <row r="673" customHeight="1" spans="1:2">
      <c r="A673" s="3" t="s">
        <v>13983</v>
      </c>
      <c r="B673" s="4">
        <v>6.7</v>
      </c>
    </row>
    <row r="674" customHeight="1" spans="1:2">
      <c r="A674" s="3" t="s">
        <v>23124</v>
      </c>
      <c r="B674" s="4">
        <v>4.3</v>
      </c>
    </row>
    <row r="675" customHeight="1" spans="1:2">
      <c r="A675" s="3" t="s">
        <v>23369</v>
      </c>
      <c r="B675" s="4">
        <v>6.7</v>
      </c>
    </row>
    <row r="676" customHeight="1" spans="1:2">
      <c r="A676" s="3" t="s">
        <v>17558</v>
      </c>
      <c r="B676" s="4">
        <v>7.6</v>
      </c>
    </row>
    <row r="677" customHeight="1" spans="1:2">
      <c r="A677" s="3" t="s">
        <v>6177</v>
      </c>
      <c r="B677" s="4">
        <v>6.65</v>
      </c>
    </row>
    <row r="678" customHeight="1" spans="1:2">
      <c r="A678" s="3" t="s">
        <v>20848</v>
      </c>
      <c r="B678" s="4">
        <v>7.3</v>
      </c>
    </row>
    <row r="679" customHeight="1" spans="1:2">
      <c r="A679" s="3" t="s">
        <v>3089</v>
      </c>
      <c r="B679" s="4">
        <v>6.9375</v>
      </c>
    </row>
    <row r="680" customHeight="1" spans="1:2">
      <c r="A680" s="3" t="s">
        <v>20938</v>
      </c>
      <c r="B680" s="4">
        <v>7.9</v>
      </c>
    </row>
    <row r="681" customHeight="1" spans="1:2">
      <c r="A681" s="3" t="s">
        <v>18112</v>
      </c>
      <c r="B681" s="4">
        <v>7.3</v>
      </c>
    </row>
    <row r="682" customHeight="1" spans="1:2">
      <c r="A682" s="3" t="s">
        <v>12263</v>
      </c>
      <c r="B682" s="4">
        <v>6.5</v>
      </c>
    </row>
    <row r="683" customHeight="1" spans="1:2">
      <c r="A683" s="3" t="s">
        <v>7165</v>
      </c>
      <c r="B683" s="4">
        <v>5.3</v>
      </c>
    </row>
    <row r="684" customHeight="1" spans="1:2">
      <c r="A684" s="3" t="s">
        <v>17918</v>
      </c>
      <c r="B684" s="4">
        <v>6.55</v>
      </c>
    </row>
    <row r="685" customHeight="1" spans="1:2">
      <c r="A685" s="3" t="s">
        <v>22718</v>
      </c>
      <c r="B685" s="4">
        <v>6.9</v>
      </c>
    </row>
    <row r="686" customHeight="1" spans="1:2">
      <c r="A686" s="3" t="s">
        <v>18688</v>
      </c>
      <c r="B686" s="4">
        <v>7.7</v>
      </c>
    </row>
    <row r="687" customHeight="1" spans="1:2">
      <c r="A687" s="3" t="s">
        <v>9363</v>
      </c>
      <c r="B687" s="4">
        <v>7.6</v>
      </c>
    </row>
    <row r="688" customHeight="1" spans="1:2">
      <c r="A688" s="3" t="s">
        <v>17947</v>
      </c>
      <c r="B688" s="4">
        <v>7.4</v>
      </c>
    </row>
    <row r="689" customHeight="1" spans="1:2">
      <c r="A689" s="3" t="s">
        <v>15617</v>
      </c>
      <c r="B689" s="4">
        <v>7.3</v>
      </c>
    </row>
    <row r="690" customHeight="1" spans="1:2">
      <c r="A690" s="3" t="s">
        <v>16127</v>
      </c>
      <c r="B690" s="4">
        <v>5.3</v>
      </c>
    </row>
    <row r="691" customHeight="1" spans="1:2">
      <c r="A691" s="3" t="s">
        <v>21717</v>
      </c>
      <c r="B691" s="4">
        <v>7</v>
      </c>
    </row>
    <row r="692" customHeight="1" spans="1:2">
      <c r="A692" s="3" t="s">
        <v>23065</v>
      </c>
      <c r="B692" s="4">
        <v>7.5</v>
      </c>
    </row>
    <row r="693" customHeight="1" spans="1:2">
      <c r="A693" s="3" t="s">
        <v>3150</v>
      </c>
      <c r="B693" s="4">
        <v>6.6</v>
      </c>
    </row>
    <row r="694" customHeight="1" spans="1:2">
      <c r="A694" s="3" t="s">
        <v>15600</v>
      </c>
      <c r="B694" s="4">
        <v>6.6</v>
      </c>
    </row>
    <row r="695" customHeight="1" spans="1:2">
      <c r="A695" s="3" t="s">
        <v>1814</v>
      </c>
      <c r="B695" s="4">
        <v>6.83333333333333</v>
      </c>
    </row>
    <row r="696" customHeight="1" spans="1:2">
      <c r="A696" s="3" t="s">
        <v>14745</v>
      </c>
      <c r="B696" s="4">
        <v>6.4</v>
      </c>
    </row>
    <row r="697" customHeight="1" spans="1:2">
      <c r="A697" s="3" t="s">
        <v>8240</v>
      </c>
      <c r="B697" s="4">
        <v>5.9</v>
      </c>
    </row>
    <row r="698" customHeight="1" spans="1:2">
      <c r="A698" s="3" t="s">
        <v>19545</v>
      </c>
      <c r="B698" s="4">
        <v>5.9</v>
      </c>
    </row>
    <row r="699" customHeight="1" spans="1:2">
      <c r="A699" s="3" t="s">
        <v>4851</v>
      </c>
      <c r="B699" s="4">
        <v>7.41818181818182</v>
      </c>
    </row>
    <row r="700" customHeight="1" spans="1:2">
      <c r="A700" s="3" t="s">
        <v>697</v>
      </c>
      <c r="B700" s="4">
        <v>7</v>
      </c>
    </row>
    <row r="701" customHeight="1" spans="1:2">
      <c r="A701" s="3" t="s">
        <v>22955</v>
      </c>
      <c r="B701" s="4">
        <v>6.1</v>
      </c>
    </row>
    <row r="702" customHeight="1" spans="1:2">
      <c r="A702" s="3" t="s">
        <v>13464</v>
      </c>
      <c r="B702" s="4">
        <v>6.9</v>
      </c>
    </row>
    <row r="703" customHeight="1" spans="1:2">
      <c r="A703" s="3" t="s">
        <v>15128</v>
      </c>
      <c r="B703" s="4">
        <v>7.7</v>
      </c>
    </row>
    <row r="704" customHeight="1" spans="1:2">
      <c r="A704" s="3" t="s">
        <v>16148</v>
      </c>
      <c r="B704" s="4">
        <v>6.95</v>
      </c>
    </row>
    <row r="705" customHeight="1" spans="1:2">
      <c r="A705" s="3" t="s">
        <v>20863</v>
      </c>
      <c r="B705" s="4">
        <v>7.2</v>
      </c>
    </row>
    <row r="706" customHeight="1" spans="1:2">
      <c r="A706" s="3" t="s">
        <v>17789</v>
      </c>
      <c r="B706" s="4">
        <v>6.6</v>
      </c>
    </row>
    <row r="707" customHeight="1" spans="1:2">
      <c r="A707" s="3" t="s">
        <v>19168</v>
      </c>
      <c r="B707" s="4">
        <v>8.06</v>
      </c>
    </row>
    <row r="708" customHeight="1" spans="1:2">
      <c r="A708" s="3" t="s">
        <v>1628</v>
      </c>
      <c r="B708" s="4">
        <v>5.9</v>
      </c>
    </row>
    <row r="709" customHeight="1" spans="1:2">
      <c r="A709" s="3" t="s">
        <v>3260</v>
      </c>
      <c r="B709" s="4">
        <v>7.975</v>
      </c>
    </row>
    <row r="710" customHeight="1" spans="1:2">
      <c r="A710" s="3" t="s">
        <v>18136</v>
      </c>
      <c r="B710" s="4">
        <v>6.7</v>
      </c>
    </row>
    <row r="711" customHeight="1" spans="1:2">
      <c r="A711" s="3" t="s">
        <v>21080</v>
      </c>
      <c r="B711" s="4">
        <v>8.2</v>
      </c>
    </row>
    <row r="712" customHeight="1" spans="1:2">
      <c r="A712" s="3" t="s">
        <v>5088</v>
      </c>
      <c r="B712" s="4">
        <v>6.425</v>
      </c>
    </row>
    <row r="713" customHeight="1" spans="1:2">
      <c r="A713" s="3" t="s">
        <v>3828</v>
      </c>
      <c r="B713" s="4">
        <v>6.46666666666667</v>
      </c>
    </row>
    <row r="714" customHeight="1" spans="1:2">
      <c r="A714" s="3" t="s">
        <v>11086</v>
      </c>
      <c r="B714" s="4">
        <v>6.4</v>
      </c>
    </row>
    <row r="715" customHeight="1" spans="1:2">
      <c r="A715" s="3" t="s">
        <v>1955</v>
      </c>
      <c r="B715" s="4">
        <v>6.5375</v>
      </c>
    </row>
    <row r="716" customHeight="1" spans="1:2">
      <c r="A716" s="3" t="s">
        <v>17653</v>
      </c>
      <c r="B716" s="4">
        <v>6.7</v>
      </c>
    </row>
    <row r="717" customHeight="1" spans="1:2">
      <c r="A717" s="3" t="s">
        <v>19760</v>
      </c>
      <c r="B717" s="4">
        <v>6</v>
      </c>
    </row>
    <row r="718" customHeight="1" spans="1:2">
      <c r="A718" s="3" t="s">
        <v>7532</v>
      </c>
      <c r="B718" s="4">
        <v>5.4</v>
      </c>
    </row>
    <row r="719" customHeight="1" spans="1:2">
      <c r="A719" s="3" t="s">
        <v>14100</v>
      </c>
      <c r="B719" s="4">
        <v>6.73333333333333</v>
      </c>
    </row>
    <row r="720" customHeight="1" spans="1:2">
      <c r="A720" s="3" t="s">
        <v>10461</v>
      </c>
      <c r="B720" s="4">
        <v>3.9</v>
      </c>
    </row>
    <row r="721" customHeight="1" spans="1:2">
      <c r="A721" s="3" t="s">
        <v>10270</v>
      </c>
      <c r="B721" s="4">
        <v>5.1</v>
      </c>
    </row>
    <row r="722" customHeight="1" spans="1:2">
      <c r="A722" s="3" t="s">
        <v>17058</v>
      </c>
      <c r="B722" s="4">
        <v>2.9</v>
      </c>
    </row>
    <row r="723" customHeight="1" spans="1:2">
      <c r="A723" s="3" t="s">
        <v>14306</v>
      </c>
      <c r="B723" s="4">
        <v>7</v>
      </c>
    </row>
    <row r="724" customHeight="1" spans="1:2">
      <c r="A724" s="3" t="s">
        <v>17740</v>
      </c>
      <c r="B724" s="4">
        <v>6.2</v>
      </c>
    </row>
    <row r="725" customHeight="1" spans="1:2">
      <c r="A725" s="3" t="s">
        <v>9589</v>
      </c>
      <c r="B725" s="4">
        <v>5.4</v>
      </c>
    </row>
    <row r="726" customHeight="1" spans="1:2">
      <c r="A726" s="3" t="s">
        <v>17251</v>
      </c>
      <c r="B726" s="4">
        <v>7.76</v>
      </c>
    </row>
    <row r="727" customHeight="1" spans="1:2">
      <c r="A727" s="3" t="s">
        <v>8738</v>
      </c>
      <c r="B727" s="4">
        <v>2</v>
      </c>
    </row>
    <row r="728" customHeight="1" spans="1:2">
      <c r="A728" s="3" t="s">
        <v>1458</v>
      </c>
      <c r="B728" s="4">
        <v>5.1</v>
      </c>
    </row>
    <row r="729" customHeight="1" spans="1:2">
      <c r="A729" s="3" t="s">
        <v>6695</v>
      </c>
      <c r="B729" s="4">
        <v>5.7</v>
      </c>
    </row>
    <row r="730" customHeight="1" spans="1:2">
      <c r="A730" s="3" t="s">
        <v>13210</v>
      </c>
      <c r="B730" s="4">
        <v>8.3</v>
      </c>
    </row>
    <row r="731" customHeight="1" spans="1:2">
      <c r="A731" s="3" t="s">
        <v>13295</v>
      </c>
      <c r="B731" s="4">
        <v>6.1</v>
      </c>
    </row>
    <row r="732" customHeight="1" spans="1:2">
      <c r="A732" s="3" t="s">
        <v>9509</v>
      </c>
      <c r="B732" s="4">
        <v>7.2</v>
      </c>
    </row>
    <row r="733" customHeight="1" spans="1:2">
      <c r="A733" s="3" t="s">
        <v>18170</v>
      </c>
      <c r="B733" s="4">
        <v>3.2</v>
      </c>
    </row>
    <row r="734" customHeight="1" spans="1:2">
      <c r="A734" s="3" t="s">
        <v>4629</v>
      </c>
      <c r="B734" s="4">
        <v>6.975</v>
      </c>
    </row>
    <row r="735" customHeight="1" spans="1:2">
      <c r="A735" s="3" t="s">
        <v>22646</v>
      </c>
      <c r="B735" s="4">
        <v>6.4</v>
      </c>
    </row>
    <row r="736" customHeight="1" spans="1:2">
      <c r="A736" s="3" t="s">
        <v>21466</v>
      </c>
      <c r="B736" s="4">
        <v>7.6</v>
      </c>
    </row>
    <row r="737" customHeight="1" spans="1:2">
      <c r="A737" s="3" t="s">
        <v>3304</v>
      </c>
      <c r="B737" s="4">
        <v>5.95</v>
      </c>
    </row>
    <row r="738" customHeight="1" spans="1:2">
      <c r="A738" s="3" t="s">
        <v>5826</v>
      </c>
      <c r="B738" s="4">
        <v>6.8</v>
      </c>
    </row>
    <row r="739" customHeight="1" spans="1:2">
      <c r="A739" s="3" t="s">
        <v>7556</v>
      </c>
      <c r="B739" s="4">
        <v>5.6</v>
      </c>
    </row>
    <row r="740" customHeight="1" spans="1:2">
      <c r="A740" s="3" t="s">
        <v>7393</v>
      </c>
      <c r="B740" s="4">
        <v>5.9</v>
      </c>
    </row>
    <row r="741" customHeight="1" spans="1:2">
      <c r="A741" s="3" t="s">
        <v>5165</v>
      </c>
      <c r="B741" s="4">
        <v>6.61666666666667</v>
      </c>
    </row>
    <row r="742" customHeight="1" spans="1:2">
      <c r="A742" s="3" t="s">
        <v>12246</v>
      </c>
      <c r="B742" s="4">
        <v>5.8</v>
      </c>
    </row>
    <row r="743" customHeight="1" spans="1:2">
      <c r="A743" s="3" t="s">
        <v>17015</v>
      </c>
      <c r="B743" s="4">
        <v>6.3</v>
      </c>
    </row>
    <row r="744" customHeight="1" spans="1:2">
      <c r="A744" s="3" t="s">
        <v>3476</v>
      </c>
      <c r="B744" s="4">
        <v>6.5</v>
      </c>
    </row>
    <row r="745" customHeight="1" spans="1:2">
      <c r="A745" s="3" t="s">
        <v>10836</v>
      </c>
      <c r="B745" s="4">
        <v>5.9</v>
      </c>
    </row>
    <row r="746" customHeight="1" spans="1:2">
      <c r="A746" s="3" t="s">
        <v>20303</v>
      </c>
      <c r="B746" s="4">
        <v>3.3</v>
      </c>
    </row>
    <row r="747" customHeight="1" spans="1:2">
      <c r="A747" s="3" t="s">
        <v>2297</v>
      </c>
      <c r="B747" s="4">
        <v>7.1</v>
      </c>
    </row>
    <row r="748" customHeight="1" spans="1:2">
      <c r="A748" s="3" t="s">
        <v>15529</v>
      </c>
      <c r="B748" s="4">
        <v>4.5</v>
      </c>
    </row>
    <row r="749" customHeight="1" spans="1:2">
      <c r="A749" s="3" t="s">
        <v>3415</v>
      </c>
      <c r="B749" s="4">
        <v>6.3</v>
      </c>
    </row>
    <row r="750" customHeight="1" spans="1:2">
      <c r="A750" s="3" t="s">
        <v>17339</v>
      </c>
      <c r="B750" s="4">
        <v>6.4</v>
      </c>
    </row>
    <row r="751" customHeight="1" spans="1:2">
      <c r="A751" s="3" t="s">
        <v>1770</v>
      </c>
      <c r="B751" s="4">
        <v>6.85</v>
      </c>
    </row>
    <row r="752" customHeight="1" spans="1:2">
      <c r="A752" s="3" t="s">
        <v>2562</v>
      </c>
      <c r="B752" s="4">
        <v>6.14</v>
      </c>
    </row>
    <row r="753" customHeight="1" spans="1:2">
      <c r="A753" s="3" t="s">
        <v>12583</v>
      </c>
      <c r="B753" s="4">
        <v>7.35</v>
      </c>
    </row>
    <row r="754" customHeight="1" spans="1:2">
      <c r="A754" s="3" t="s">
        <v>817</v>
      </c>
      <c r="B754" s="4">
        <v>6.875</v>
      </c>
    </row>
    <row r="755" customHeight="1" spans="1:2">
      <c r="A755" s="3" t="s">
        <v>8566</v>
      </c>
      <c r="B755" s="4">
        <v>6.98</v>
      </c>
    </row>
    <row r="756" customHeight="1" spans="1:2">
      <c r="A756" s="3" t="s">
        <v>18618</v>
      </c>
      <c r="B756" s="4">
        <v>6.6</v>
      </c>
    </row>
    <row r="757" customHeight="1" spans="1:2">
      <c r="A757" s="3" t="s">
        <v>13698</v>
      </c>
      <c r="B757" s="4">
        <v>6.1</v>
      </c>
    </row>
    <row r="758" customHeight="1" spans="1:2">
      <c r="A758" s="3" t="s">
        <v>22410</v>
      </c>
      <c r="B758" s="4">
        <v>5.6</v>
      </c>
    </row>
    <row r="759" customHeight="1" spans="1:2">
      <c r="A759" s="3" t="s">
        <v>2336</v>
      </c>
      <c r="B759" s="4">
        <v>6.9</v>
      </c>
    </row>
    <row r="760" customHeight="1" spans="1:2">
      <c r="A760" s="3" t="s">
        <v>4155</v>
      </c>
      <c r="B760" s="4">
        <v>5.4</v>
      </c>
    </row>
    <row r="761" customHeight="1" spans="1:2">
      <c r="A761" s="3" t="s">
        <v>6855</v>
      </c>
      <c r="B761" s="4">
        <v>5.3</v>
      </c>
    </row>
    <row r="762" customHeight="1" spans="1:2">
      <c r="A762" s="3" t="s">
        <v>22172</v>
      </c>
      <c r="B762" s="4">
        <v>8</v>
      </c>
    </row>
    <row r="763" customHeight="1" spans="1:2">
      <c r="A763" s="3" t="s">
        <v>2496</v>
      </c>
      <c r="B763" s="4">
        <v>6.78888888888889</v>
      </c>
    </row>
    <row r="764" customHeight="1" spans="1:2">
      <c r="A764" s="3" t="s">
        <v>5477</v>
      </c>
      <c r="B764" s="4">
        <v>6.15</v>
      </c>
    </row>
    <row r="765" customHeight="1" spans="1:2">
      <c r="A765" s="3" t="s">
        <v>3402</v>
      </c>
      <c r="B765" s="4">
        <v>6.76</v>
      </c>
    </row>
    <row r="766" customHeight="1" spans="1:2">
      <c r="A766" s="3" t="s">
        <v>12148</v>
      </c>
      <c r="B766" s="4">
        <v>7.9</v>
      </c>
    </row>
    <row r="767" customHeight="1" spans="1:2">
      <c r="A767" s="3" t="s">
        <v>10131</v>
      </c>
      <c r="B767" s="4">
        <v>5.95</v>
      </c>
    </row>
    <row r="768" customHeight="1" spans="1:2">
      <c r="A768" s="3" t="s">
        <v>13987</v>
      </c>
      <c r="B768" s="4">
        <v>6.3</v>
      </c>
    </row>
    <row r="769" customHeight="1" spans="1:2">
      <c r="A769" s="3" t="s">
        <v>17630</v>
      </c>
      <c r="B769" s="4">
        <v>5.1</v>
      </c>
    </row>
    <row r="770" customHeight="1" spans="1:2">
      <c r="A770" s="3" t="s">
        <v>1433</v>
      </c>
      <c r="B770" s="4">
        <v>7.4</v>
      </c>
    </row>
    <row r="771" customHeight="1" spans="1:2">
      <c r="A771" s="3" t="s">
        <v>846</v>
      </c>
      <c r="B771" s="4">
        <v>6.8</v>
      </c>
    </row>
    <row r="772" customHeight="1" spans="1:2">
      <c r="A772" s="3" t="s">
        <v>5002</v>
      </c>
      <c r="B772" s="4">
        <v>7.1</v>
      </c>
    </row>
    <row r="773" customHeight="1" spans="1:2">
      <c r="A773" s="3" t="s">
        <v>5986</v>
      </c>
      <c r="B773" s="4">
        <v>6.36666666666667</v>
      </c>
    </row>
    <row r="774" customHeight="1" spans="1:2">
      <c r="A774" s="3" t="s">
        <v>17474</v>
      </c>
      <c r="B774" s="4">
        <v>5.3</v>
      </c>
    </row>
    <row r="775" customHeight="1" spans="1:2">
      <c r="A775" s="3" t="s">
        <v>16986</v>
      </c>
      <c r="B775" s="4">
        <v>8.2</v>
      </c>
    </row>
    <row r="776" customHeight="1" spans="1:2">
      <c r="A776" s="3" t="s">
        <v>18812</v>
      </c>
      <c r="B776" s="4">
        <v>6.83333333333333</v>
      </c>
    </row>
    <row r="777" customHeight="1" spans="1:2">
      <c r="A777" s="3" t="s">
        <v>11144</v>
      </c>
      <c r="B777" s="4">
        <v>6.6</v>
      </c>
    </row>
    <row r="778" customHeight="1" spans="1:2">
      <c r="A778" s="3" t="s">
        <v>7786</v>
      </c>
      <c r="B778" s="4">
        <v>6.925</v>
      </c>
    </row>
    <row r="779" customHeight="1" spans="1:2">
      <c r="A779" s="3" t="s">
        <v>22707</v>
      </c>
      <c r="B779" s="4">
        <v>2.2</v>
      </c>
    </row>
    <row r="780" customHeight="1" spans="1:2">
      <c r="A780" s="3" t="s">
        <v>15550</v>
      </c>
      <c r="B780" s="4">
        <v>6.7</v>
      </c>
    </row>
    <row r="781" customHeight="1" spans="1:2">
      <c r="A781" s="3" t="s">
        <v>21044</v>
      </c>
      <c r="B781" s="4">
        <v>6.8</v>
      </c>
    </row>
    <row r="782" customHeight="1" spans="1:2">
      <c r="A782" s="3" t="s">
        <v>12633</v>
      </c>
      <c r="B782" s="4">
        <v>6.6</v>
      </c>
    </row>
    <row r="783" customHeight="1" spans="1:2">
      <c r="A783" s="3" t="s">
        <v>13300</v>
      </c>
      <c r="B783" s="4">
        <v>4.9</v>
      </c>
    </row>
    <row r="784" customHeight="1" spans="1:2">
      <c r="A784" s="3" t="s">
        <v>21728</v>
      </c>
      <c r="B784" s="4">
        <v>6.3</v>
      </c>
    </row>
    <row r="785" customHeight="1" spans="1:2">
      <c r="A785" s="3" t="s">
        <v>18943</v>
      </c>
      <c r="B785" s="4">
        <v>4.8</v>
      </c>
    </row>
    <row r="786" customHeight="1" spans="1:2">
      <c r="A786" s="3" t="s">
        <v>7440</v>
      </c>
      <c r="B786" s="4">
        <v>6</v>
      </c>
    </row>
    <row r="787" customHeight="1" spans="1:2">
      <c r="A787" s="3" t="s">
        <v>3118</v>
      </c>
      <c r="B787" s="4">
        <v>6.55</v>
      </c>
    </row>
    <row r="788" customHeight="1" spans="1:2">
      <c r="A788" s="3" t="s">
        <v>13333</v>
      </c>
      <c r="B788" s="4">
        <v>7.5</v>
      </c>
    </row>
    <row r="789" customHeight="1" spans="1:2">
      <c r="A789" s="3" t="s">
        <v>12744</v>
      </c>
      <c r="B789" s="4">
        <v>7</v>
      </c>
    </row>
    <row r="790" customHeight="1" spans="1:2">
      <c r="A790" s="3" t="s">
        <v>21650</v>
      </c>
      <c r="B790" s="4">
        <v>6.8</v>
      </c>
    </row>
    <row r="791" customHeight="1" spans="1:2">
      <c r="A791" s="3" t="s">
        <v>12877</v>
      </c>
      <c r="B791" s="4">
        <v>7.13333333333333</v>
      </c>
    </row>
    <row r="792" customHeight="1" spans="1:2">
      <c r="A792" s="3" t="s">
        <v>21287</v>
      </c>
      <c r="B792" s="4">
        <v>7.6</v>
      </c>
    </row>
    <row r="793" customHeight="1" spans="1:2">
      <c r="A793" s="3" t="s">
        <v>14686</v>
      </c>
      <c r="B793" s="4">
        <v>6.2</v>
      </c>
    </row>
    <row r="794" customHeight="1" spans="1:2">
      <c r="A794" s="3" t="s">
        <v>10012</v>
      </c>
      <c r="B794" s="4">
        <v>7.8</v>
      </c>
    </row>
    <row r="795" customHeight="1" spans="1:2">
      <c r="A795" s="3" t="s">
        <v>11319</v>
      </c>
      <c r="B795" s="4">
        <v>5.35</v>
      </c>
    </row>
    <row r="796" customHeight="1" spans="1:2">
      <c r="A796" s="3" t="s">
        <v>3740</v>
      </c>
      <c r="B796" s="4">
        <v>6.86666666666667</v>
      </c>
    </row>
    <row r="797" customHeight="1" spans="1:2">
      <c r="A797" s="3" t="s">
        <v>11518</v>
      </c>
      <c r="B797" s="4">
        <v>7</v>
      </c>
    </row>
    <row r="798" customHeight="1" spans="1:2">
      <c r="A798" s="3" t="s">
        <v>17755</v>
      </c>
      <c r="B798" s="4">
        <v>5.2</v>
      </c>
    </row>
    <row r="799" customHeight="1" spans="1:2">
      <c r="A799" s="3" t="s">
        <v>21739</v>
      </c>
      <c r="B799" s="4">
        <v>7.4</v>
      </c>
    </row>
    <row r="800" customHeight="1" spans="1:2">
      <c r="A800" s="3" t="s">
        <v>6215</v>
      </c>
      <c r="B800" s="4">
        <v>5.2</v>
      </c>
    </row>
    <row r="801" customHeight="1" spans="1:2">
      <c r="A801" s="3" t="s">
        <v>42</v>
      </c>
      <c r="B801" s="4">
        <v>6.98571428571429</v>
      </c>
    </row>
    <row r="802" customHeight="1" spans="1:2">
      <c r="A802" s="3" t="s">
        <v>4189</v>
      </c>
      <c r="B802" s="4">
        <v>6.8</v>
      </c>
    </row>
    <row r="803" customHeight="1" spans="1:2">
      <c r="A803" s="3" t="s">
        <v>1492</v>
      </c>
      <c r="B803" s="4">
        <v>6.2</v>
      </c>
    </row>
    <row r="804" customHeight="1" spans="1:2">
      <c r="A804" s="3" t="s">
        <v>21682</v>
      </c>
      <c r="B804" s="4">
        <v>7</v>
      </c>
    </row>
    <row r="805" customHeight="1" spans="1:2">
      <c r="A805" s="3" t="s">
        <v>14922</v>
      </c>
      <c r="B805" s="4">
        <v>5.5</v>
      </c>
    </row>
    <row r="806" customHeight="1" spans="1:2">
      <c r="A806" s="3" t="s">
        <v>22563</v>
      </c>
      <c r="B806" s="4">
        <v>6</v>
      </c>
    </row>
    <row r="807" customHeight="1" spans="1:2">
      <c r="A807" s="3" t="s">
        <v>17265</v>
      </c>
      <c r="B807" s="4">
        <v>7.2</v>
      </c>
    </row>
    <row r="808" customHeight="1" spans="1:2">
      <c r="A808" s="3" t="s">
        <v>6550</v>
      </c>
      <c r="B808" s="4">
        <v>7.13333333333333</v>
      </c>
    </row>
    <row r="809" customHeight="1" spans="1:2">
      <c r="A809" s="3" t="s">
        <v>8760</v>
      </c>
      <c r="B809" s="4">
        <v>7.5</v>
      </c>
    </row>
    <row r="810" customHeight="1" spans="1:2">
      <c r="A810" s="3" t="s">
        <v>12045</v>
      </c>
      <c r="B810" s="4">
        <v>6</v>
      </c>
    </row>
    <row r="811" customHeight="1" spans="1:2">
      <c r="A811" s="3" t="s">
        <v>3471</v>
      </c>
      <c r="B811" s="4">
        <v>6.6</v>
      </c>
    </row>
    <row r="812" customHeight="1" spans="1:2">
      <c r="A812" s="3" t="s">
        <v>13326</v>
      </c>
      <c r="B812" s="4">
        <v>5.7</v>
      </c>
    </row>
    <row r="813" customHeight="1" spans="1:2">
      <c r="A813" s="3" t="s">
        <v>10849</v>
      </c>
      <c r="B813" s="4">
        <v>6.7</v>
      </c>
    </row>
    <row r="814" customHeight="1" spans="1:2">
      <c r="A814" s="3" t="s">
        <v>14605</v>
      </c>
      <c r="B814" s="4">
        <v>5.3</v>
      </c>
    </row>
    <row r="815" customHeight="1" spans="1:2">
      <c r="A815" s="3" t="s">
        <v>23026</v>
      </c>
      <c r="B815" s="4">
        <v>6.6</v>
      </c>
    </row>
    <row r="816" customHeight="1" spans="1:2">
      <c r="A816" s="3" t="s">
        <v>4195</v>
      </c>
      <c r="B816" s="4">
        <v>5.9</v>
      </c>
    </row>
    <row r="817" customHeight="1" spans="1:2">
      <c r="A817" s="3" t="s">
        <v>9647</v>
      </c>
      <c r="B817" s="4">
        <v>6.8</v>
      </c>
    </row>
    <row r="818" customHeight="1" spans="1:2">
      <c r="A818" s="3" t="s">
        <v>12326</v>
      </c>
      <c r="B818" s="4">
        <v>6.6</v>
      </c>
    </row>
    <row r="819" customHeight="1" spans="1:2">
      <c r="A819" s="3" t="s">
        <v>379</v>
      </c>
      <c r="B819" s="4">
        <v>7.14</v>
      </c>
    </row>
    <row r="820" customHeight="1" spans="1:2">
      <c r="A820" s="3" t="s">
        <v>15467</v>
      </c>
      <c r="B820" s="4">
        <v>6.1</v>
      </c>
    </row>
    <row r="821" customHeight="1" spans="1:2">
      <c r="A821" s="3" t="s">
        <v>6052</v>
      </c>
      <c r="B821" s="4">
        <v>7.12857142857143</v>
      </c>
    </row>
    <row r="822" customHeight="1" spans="1:2">
      <c r="A822" s="3" t="s">
        <v>16450</v>
      </c>
      <c r="B822" s="4">
        <v>6.95</v>
      </c>
    </row>
    <row r="823" customHeight="1" spans="1:2">
      <c r="A823" s="3" t="s">
        <v>21445</v>
      </c>
      <c r="B823" s="4">
        <v>7</v>
      </c>
    </row>
    <row r="824" customHeight="1" spans="1:2">
      <c r="A824" s="3" t="s">
        <v>1295</v>
      </c>
      <c r="B824" s="4">
        <v>7.2625</v>
      </c>
    </row>
    <row r="825" customHeight="1" spans="1:2">
      <c r="A825" s="3" t="s">
        <v>22341</v>
      </c>
      <c r="B825" s="4">
        <v>4.9</v>
      </c>
    </row>
    <row r="826" customHeight="1" spans="1:2">
      <c r="A826" s="3" t="s">
        <v>21856</v>
      </c>
      <c r="B826" s="4">
        <v>6.9</v>
      </c>
    </row>
    <row r="827" customHeight="1" spans="1:2">
      <c r="A827" s="3" t="s">
        <v>11985</v>
      </c>
      <c r="B827" s="4">
        <v>3.5</v>
      </c>
    </row>
    <row r="828" customHeight="1" spans="1:2">
      <c r="A828" s="3" t="s">
        <v>21171</v>
      </c>
      <c r="B828" s="4">
        <v>7.4</v>
      </c>
    </row>
    <row r="829" customHeight="1" spans="1:2">
      <c r="A829" s="3" t="s">
        <v>19655</v>
      </c>
      <c r="B829" s="4">
        <v>4</v>
      </c>
    </row>
    <row r="830" customHeight="1" spans="1:2">
      <c r="A830" s="3" t="s">
        <v>22781</v>
      </c>
      <c r="B830" s="4">
        <v>7.1</v>
      </c>
    </row>
    <row r="831" customHeight="1" spans="1:2">
      <c r="A831" s="3" t="s">
        <v>16924</v>
      </c>
      <c r="B831" s="4">
        <v>7.3</v>
      </c>
    </row>
    <row r="832" customHeight="1" spans="1:2">
      <c r="A832" s="3" t="s">
        <v>19779</v>
      </c>
      <c r="B832" s="4">
        <v>7.55</v>
      </c>
    </row>
    <row r="833" customHeight="1" spans="1:2">
      <c r="A833" s="3" t="s">
        <v>20556</v>
      </c>
      <c r="B833" s="4">
        <v>6</v>
      </c>
    </row>
    <row r="834" customHeight="1" spans="1:2">
      <c r="A834" s="3" t="s">
        <v>4371</v>
      </c>
      <c r="B834" s="4">
        <v>5.5</v>
      </c>
    </row>
    <row r="835" customHeight="1" spans="1:2">
      <c r="A835" s="3" t="s">
        <v>7658</v>
      </c>
      <c r="B835" s="4">
        <v>4.8</v>
      </c>
    </row>
    <row r="836" customHeight="1" spans="1:2">
      <c r="A836" s="3" t="s">
        <v>15207</v>
      </c>
      <c r="B836" s="4">
        <v>5.6</v>
      </c>
    </row>
    <row r="837" customHeight="1" spans="1:2">
      <c r="A837" s="3" t="s">
        <v>20052</v>
      </c>
      <c r="B837" s="4">
        <v>5.8</v>
      </c>
    </row>
    <row r="838" customHeight="1" spans="1:2">
      <c r="A838" s="3" t="s">
        <v>14343</v>
      </c>
      <c r="B838" s="4">
        <v>5.3</v>
      </c>
    </row>
    <row r="839" customHeight="1" spans="1:2">
      <c r="A839" s="3" t="s">
        <v>4292</v>
      </c>
      <c r="B839" s="4">
        <v>6.14</v>
      </c>
    </row>
    <row r="840" customHeight="1" spans="1:2">
      <c r="A840" s="3" t="s">
        <v>21548</v>
      </c>
      <c r="B840" s="4">
        <v>3.4</v>
      </c>
    </row>
    <row r="841" customHeight="1" spans="1:2">
      <c r="A841" s="3" t="s">
        <v>4219</v>
      </c>
      <c r="B841" s="4">
        <v>6.55</v>
      </c>
    </row>
    <row r="842" customHeight="1" spans="1:2">
      <c r="A842" s="3" t="s">
        <v>22944</v>
      </c>
      <c r="B842" s="4">
        <v>6.3</v>
      </c>
    </row>
    <row r="843" customHeight="1" spans="1:2">
      <c r="A843" s="3" t="s">
        <v>10445</v>
      </c>
      <c r="B843" s="4">
        <v>5.9</v>
      </c>
    </row>
    <row r="844" customHeight="1" spans="1:2">
      <c r="A844" s="3" t="s">
        <v>23698</v>
      </c>
      <c r="B844" s="4">
        <v>4.8</v>
      </c>
    </row>
    <row r="845" customHeight="1" spans="1:2">
      <c r="A845" s="3" t="s">
        <v>21441</v>
      </c>
      <c r="B845" s="4">
        <v>4.7</v>
      </c>
    </row>
    <row r="846" customHeight="1" spans="1:2">
      <c r="A846" s="3" t="s">
        <v>15696</v>
      </c>
      <c r="B846" s="4">
        <v>6.5</v>
      </c>
    </row>
    <row r="847" customHeight="1" spans="1:2">
      <c r="A847" s="3" t="s">
        <v>7779</v>
      </c>
      <c r="B847" s="4">
        <v>8.225</v>
      </c>
    </row>
    <row r="848" customHeight="1" spans="1:2">
      <c r="A848" s="3" t="s">
        <v>20035</v>
      </c>
      <c r="B848" s="4">
        <v>4.3</v>
      </c>
    </row>
    <row r="849" customHeight="1" spans="1:2">
      <c r="A849" s="3" t="s">
        <v>19638</v>
      </c>
      <c r="B849" s="4">
        <v>6.4</v>
      </c>
    </row>
    <row r="850" customHeight="1" spans="1:2">
      <c r="A850" s="3" t="s">
        <v>22966</v>
      </c>
      <c r="B850" s="4">
        <v>7.8</v>
      </c>
    </row>
    <row r="851" customHeight="1" spans="1:2">
      <c r="A851" s="3" t="s">
        <v>20964</v>
      </c>
      <c r="B851" s="4">
        <v>7.2</v>
      </c>
    </row>
    <row r="852" customHeight="1" spans="1:2">
      <c r="A852" s="3" t="s">
        <v>21256</v>
      </c>
      <c r="B852" s="4">
        <v>7.1</v>
      </c>
    </row>
    <row r="853" customHeight="1" spans="1:2">
      <c r="A853" s="3" t="s">
        <v>18454</v>
      </c>
      <c r="B853" s="4">
        <v>5.6</v>
      </c>
    </row>
    <row r="854" customHeight="1" spans="1:2">
      <c r="A854" s="3" t="s">
        <v>2735</v>
      </c>
      <c r="B854" s="4">
        <v>7</v>
      </c>
    </row>
    <row r="855" customHeight="1" spans="1:2">
      <c r="A855" s="3" t="s">
        <v>11013</v>
      </c>
      <c r="B855" s="4">
        <v>5.83333333333333</v>
      </c>
    </row>
    <row r="856" customHeight="1" spans="1:2">
      <c r="A856" s="3" t="s">
        <v>20245</v>
      </c>
      <c r="B856" s="4">
        <v>7</v>
      </c>
    </row>
    <row r="857" customHeight="1" spans="1:2">
      <c r="A857" s="3" t="s">
        <v>17570</v>
      </c>
      <c r="B857" s="4">
        <v>6.8</v>
      </c>
    </row>
    <row r="858" customHeight="1" spans="1:2">
      <c r="A858" s="3" t="s">
        <v>3177</v>
      </c>
      <c r="B858" s="4">
        <v>6.2</v>
      </c>
    </row>
    <row r="859" customHeight="1" spans="1:2">
      <c r="A859" s="3" t="s">
        <v>23131</v>
      </c>
      <c r="B859" s="4">
        <v>4.5</v>
      </c>
    </row>
    <row r="860" customHeight="1" spans="1:2">
      <c r="A860" s="3" t="s">
        <v>10099</v>
      </c>
      <c r="B860" s="4">
        <v>6.5</v>
      </c>
    </row>
    <row r="861" customHeight="1" spans="1:2">
      <c r="A861" s="3" t="s">
        <v>669</v>
      </c>
      <c r="B861" s="4">
        <v>8.2</v>
      </c>
    </row>
    <row r="862" customHeight="1" spans="1:2">
      <c r="A862" s="3" t="s">
        <v>5103</v>
      </c>
      <c r="B862" s="4">
        <v>5.4</v>
      </c>
    </row>
    <row r="863" customHeight="1" spans="1:2">
      <c r="A863" s="3" t="s">
        <v>23255</v>
      </c>
      <c r="B863" s="4">
        <v>6.3</v>
      </c>
    </row>
    <row r="864" customHeight="1" spans="1:2">
      <c r="A864" s="3" t="s">
        <v>1082</v>
      </c>
      <c r="B864" s="4">
        <v>6.4</v>
      </c>
    </row>
    <row r="865" customHeight="1" spans="1:2">
      <c r="A865" s="3" t="s">
        <v>17457</v>
      </c>
      <c r="B865" s="4">
        <v>6.1</v>
      </c>
    </row>
    <row r="866" customHeight="1" spans="1:2">
      <c r="A866" s="3" t="s">
        <v>15730</v>
      </c>
      <c r="B866" s="4">
        <v>7.7</v>
      </c>
    </row>
    <row r="867" customHeight="1" spans="1:2">
      <c r="A867" s="3" t="s">
        <v>5226</v>
      </c>
      <c r="B867" s="4">
        <v>5.96666666666667</v>
      </c>
    </row>
    <row r="868" customHeight="1" spans="1:2">
      <c r="A868" s="3" t="s">
        <v>19312</v>
      </c>
      <c r="B868" s="4">
        <v>7.8</v>
      </c>
    </row>
    <row r="869" customHeight="1" spans="1:2">
      <c r="A869" s="3" t="s">
        <v>18743</v>
      </c>
      <c r="B869" s="4">
        <v>7.8</v>
      </c>
    </row>
    <row r="870" customHeight="1" spans="1:2">
      <c r="A870" s="3" t="s">
        <v>12345</v>
      </c>
      <c r="B870" s="4">
        <v>6.45</v>
      </c>
    </row>
    <row r="871" customHeight="1" spans="1:2">
      <c r="A871" s="3" t="s">
        <v>869</v>
      </c>
      <c r="B871" s="4">
        <v>5.1</v>
      </c>
    </row>
    <row r="872" customHeight="1" spans="1:2">
      <c r="A872" s="3" t="s">
        <v>13224</v>
      </c>
      <c r="B872" s="4">
        <v>6.4</v>
      </c>
    </row>
    <row r="873" customHeight="1" spans="1:2">
      <c r="A873" s="3" t="s">
        <v>20350</v>
      </c>
      <c r="B873" s="4">
        <v>4.6</v>
      </c>
    </row>
    <row r="874" customHeight="1" spans="1:2">
      <c r="A874" s="3" t="s">
        <v>20393</v>
      </c>
      <c r="B874" s="4">
        <v>5.8</v>
      </c>
    </row>
    <row r="875" customHeight="1" spans="1:2">
      <c r="A875" s="3" t="s">
        <v>7797</v>
      </c>
      <c r="B875" s="4">
        <v>6.4</v>
      </c>
    </row>
    <row r="876" customHeight="1" spans="1:2">
      <c r="A876" s="3" t="s">
        <v>7768</v>
      </c>
      <c r="B876" s="4">
        <v>5.2</v>
      </c>
    </row>
    <row r="877" customHeight="1" spans="1:2">
      <c r="A877" s="3" t="s">
        <v>7499</v>
      </c>
      <c r="B877" s="4">
        <v>5.825</v>
      </c>
    </row>
    <row r="878" customHeight="1" spans="1:2">
      <c r="A878" s="3" t="s">
        <v>20439</v>
      </c>
      <c r="B878" s="4">
        <v>6.6</v>
      </c>
    </row>
    <row r="879" customHeight="1" spans="1:2">
      <c r="A879" s="3" t="s">
        <v>7998</v>
      </c>
      <c r="B879" s="4">
        <v>3.6</v>
      </c>
    </row>
    <row r="880" customHeight="1" spans="1:2">
      <c r="A880" s="3" t="s">
        <v>4393</v>
      </c>
      <c r="B880" s="4">
        <v>6.55</v>
      </c>
    </row>
    <row r="881" customHeight="1" spans="1:2">
      <c r="A881" s="3" t="s">
        <v>16831</v>
      </c>
      <c r="B881" s="4">
        <v>6.4</v>
      </c>
    </row>
    <row r="882" customHeight="1" spans="1:2">
      <c r="A882" s="3" t="s">
        <v>12281</v>
      </c>
      <c r="B882" s="4">
        <v>3.3</v>
      </c>
    </row>
    <row r="883" customHeight="1" spans="1:2">
      <c r="A883" s="3" t="s">
        <v>16934</v>
      </c>
      <c r="B883" s="4">
        <v>6.5</v>
      </c>
    </row>
    <row r="884" customHeight="1" spans="1:2">
      <c r="A884" s="3" t="s">
        <v>17665</v>
      </c>
      <c r="B884" s="4">
        <v>5.6</v>
      </c>
    </row>
    <row r="885" customHeight="1" spans="1:2">
      <c r="A885" s="3" t="s">
        <v>8841</v>
      </c>
      <c r="B885" s="4">
        <v>5.9</v>
      </c>
    </row>
    <row r="886" customHeight="1" spans="1:2">
      <c r="A886" s="3" t="s">
        <v>22926</v>
      </c>
      <c r="B886" s="4">
        <v>8.2</v>
      </c>
    </row>
    <row r="887" customHeight="1" spans="1:2">
      <c r="A887" s="3" t="s">
        <v>10044</v>
      </c>
      <c r="B887" s="4">
        <v>5.2</v>
      </c>
    </row>
    <row r="888" customHeight="1" spans="1:2">
      <c r="A888" s="3" t="s">
        <v>14350</v>
      </c>
      <c r="B888" s="4">
        <v>6.15</v>
      </c>
    </row>
    <row r="889" customHeight="1" spans="1:2">
      <c r="A889" s="3" t="s">
        <v>7175</v>
      </c>
      <c r="B889" s="4">
        <v>7.5</v>
      </c>
    </row>
    <row r="890" customHeight="1" spans="1:2">
      <c r="A890" s="3" t="s">
        <v>6705</v>
      </c>
      <c r="B890" s="4">
        <v>6.45</v>
      </c>
    </row>
    <row r="891" customHeight="1" spans="1:2">
      <c r="A891" s="3" t="s">
        <v>19622</v>
      </c>
      <c r="B891" s="4">
        <v>4.9</v>
      </c>
    </row>
    <row r="892" customHeight="1" spans="1:2">
      <c r="A892" s="3" t="s">
        <v>19876</v>
      </c>
      <c r="B892" s="4">
        <v>7.6</v>
      </c>
    </row>
    <row r="893" customHeight="1" spans="1:2">
      <c r="A893" s="3" t="s">
        <v>11947</v>
      </c>
      <c r="B893" s="4">
        <v>7.1</v>
      </c>
    </row>
    <row r="894" customHeight="1" spans="1:2">
      <c r="A894" s="3" t="s">
        <v>18394</v>
      </c>
      <c r="B894" s="4">
        <v>6.2</v>
      </c>
    </row>
    <row r="895" customHeight="1" spans="1:2">
      <c r="A895" s="3" t="s">
        <v>24072</v>
      </c>
      <c r="B895" s="4">
        <v>6.7</v>
      </c>
    </row>
    <row r="896" customHeight="1" spans="1:2">
      <c r="A896" s="3" t="s">
        <v>2699</v>
      </c>
      <c r="B896" s="4">
        <v>6.075</v>
      </c>
    </row>
    <row r="897" customHeight="1" spans="1:2">
      <c r="A897" s="3" t="s">
        <v>7095</v>
      </c>
      <c r="B897" s="4">
        <v>5.2</v>
      </c>
    </row>
    <row r="898" customHeight="1" spans="1:2">
      <c r="A898" s="3" t="s">
        <v>20683</v>
      </c>
      <c r="B898" s="4">
        <v>5.8</v>
      </c>
    </row>
    <row r="899" customHeight="1" spans="1:2">
      <c r="A899" s="3" t="s">
        <v>6737</v>
      </c>
      <c r="B899" s="4">
        <v>7.55</v>
      </c>
    </row>
    <row r="900" customHeight="1" spans="1:2">
      <c r="A900" s="3" t="s">
        <v>8093</v>
      </c>
      <c r="B900" s="4">
        <v>5.65</v>
      </c>
    </row>
    <row r="901" customHeight="1" spans="1:2">
      <c r="A901" s="3" t="s">
        <v>11362</v>
      </c>
      <c r="B901" s="4">
        <v>7</v>
      </c>
    </row>
    <row r="902" customHeight="1" spans="1:2">
      <c r="A902" s="3" t="s">
        <v>352</v>
      </c>
      <c r="B902" s="4">
        <v>7.45</v>
      </c>
    </row>
    <row r="903" customHeight="1" spans="1:2">
      <c r="A903" s="3" t="s">
        <v>17820</v>
      </c>
      <c r="B903" s="4">
        <v>5.3</v>
      </c>
    </row>
    <row r="904" customHeight="1" spans="1:2">
      <c r="A904" s="3" t="s">
        <v>20188</v>
      </c>
      <c r="B904" s="4">
        <v>7.1</v>
      </c>
    </row>
    <row r="905" customHeight="1" spans="1:2">
      <c r="A905" s="3" t="s">
        <v>22713</v>
      </c>
      <c r="B905" s="4">
        <v>6.6</v>
      </c>
    </row>
    <row r="906" customHeight="1" spans="1:2">
      <c r="A906" s="3" t="s">
        <v>23136</v>
      </c>
      <c r="B906" s="4">
        <v>6.4</v>
      </c>
    </row>
    <row r="907" customHeight="1" spans="1:2">
      <c r="A907" s="3" t="s">
        <v>19196</v>
      </c>
      <c r="B907" s="4">
        <v>5.4</v>
      </c>
    </row>
    <row r="908" customHeight="1" spans="1:2">
      <c r="A908" s="3" t="s">
        <v>12331</v>
      </c>
      <c r="B908" s="4">
        <v>6.1</v>
      </c>
    </row>
    <row r="909" customHeight="1" spans="1:2">
      <c r="A909" s="3" t="s">
        <v>16791</v>
      </c>
      <c r="B909" s="4">
        <v>5.8</v>
      </c>
    </row>
    <row r="910" customHeight="1" spans="1:2">
      <c r="A910" s="3" t="s">
        <v>20009</v>
      </c>
      <c r="B910" s="4">
        <v>6.9</v>
      </c>
    </row>
    <row r="911" customHeight="1" spans="1:2">
      <c r="A911" s="3" t="s">
        <v>22578</v>
      </c>
      <c r="B911" s="4">
        <v>7.3</v>
      </c>
    </row>
    <row r="912" customHeight="1" spans="1:2">
      <c r="A912" s="3" t="s">
        <v>2889</v>
      </c>
      <c r="B912" s="4">
        <v>7.9</v>
      </c>
    </row>
    <row r="913" customHeight="1" spans="1:2">
      <c r="A913" s="3" t="s">
        <v>24065</v>
      </c>
      <c r="B913" s="4">
        <v>7.5</v>
      </c>
    </row>
    <row r="914" customHeight="1" spans="1:2">
      <c r="A914" s="3" t="s">
        <v>21037</v>
      </c>
      <c r="B914" s="4">
        <v>7.6</v>
      </c>
    </row>
    <row r="915" customHeight="1" spans="1:2">
      <c r="A915" s="3" t="s">
        <v>17274</v>
      </c>
      <c r="B915" s="4">
        <v>5.9</v>
      </c>
    </row>
    <row r="916" customHeight="1" spans="1:2">
      <c r="A916" s="3" t="s">
        <v>6574</v>
      </c>
      <c r="B916" s="4">
        <v>6.125</v>
      </c>
    </row>
    <row r="917" customHeight="1" spans="1:2">
      <c r="A917" s="3" t="s">
        <v>13278</v>
      </c>
      <c r="B917" s="4">
        <v>5.9</v>
      </c>
    </row>
    <row r="918" customHeight="1" spans="1:2">
      <c r="A918" s="3" t="s">
        <v>14185</v>
      </c>
      <c r="B918" s="4">
        <v>6.75</v>
      </c>
    </row>
    <row r="919" customHeight="1" spans="1:2">
      <c r="A919" s="3" t="s">
        <v>15358</v>
      </c>
      <c r="B919" s="4">
        <v>7</v>
      </c>
    </row>
    <row r="920" customHeight="1" spans="1:2">
      <c r="A920" s="3" t="s">
        <v>23711</v>
      </c>
      <c r="B920" s="4">
        <v>5.8</v>
      </c>
    </row>
    <row r="921" customHeight="1" spans="1:2">
      <c r="A921" s="3" t="s">
        <v>20652</v>
      </c>
      <c r="B921" s="4">
        <v>7.2</v>
      </c>
    </row>
    <row r="922" customHeight="1" spans="1:2">
      <c r="A922" s="3" t="s">
        <v>6205</v>
      </c>
      <c r="B922" s="4">
        <v>4.9</v>
      </c>
    </row>
    <row r="923" customHeight="1" spans="1:2">
      <c r="A923" s="3" t="s">
        <v>2751</v>
      </c>
      <c r="B923" s="4">
        <v>7.5</v>
      </c>
    </row>
    <row r="924" customHeight="1" spans="1:2">
      <c r="A924" s="3" t="s">
        <v>23977</v>
      </c>
      <c r="B924" s="4">
        <v>6.7</v>
      </c>
    </row>
    <row r="925" customHeight="1" spans="1:2">
      <c r="A925" s="3" t="s">
        <v>718</v>
      </c>
      <c r="B925" s="4">
        <v>6.63333333333333</v>
      </c>
    </row>
    <row r="926" customHeight="1" spans="1:2">
      <c r="A926" s="3" t="s">
        <v>9786</v>
      </c>
      <c r="B926" s="4">
        <v>5.6</v>
      </c>
    </row>
    <row r="927" customHeight="1" spans="1:2">
      <c r="A927" s="3" t="s">
        <v>31</v>
      </c>
      <c r="B927" s="4">
        <v>7.91428571428571</v>
      </c>
    </row>
    <row r="928" customHeight="1" spans="1:2">
      <c r="A928" s="3" t="s">
        <v>17432</v>
      </c>
      <c r="B928" s="4">
        <v>6.2</v>
      </c>
    </row>
    <row r="929" customHeight="1" spans="1:2">
      <c r="A929" s="3" t="s">
        <v>21356</v>
      </c>
      <c r="B929" s="4">
        <v>6.2</v>
      </c>
    </row>
    <row r="930" customHeight="1" spans="1:2">
      <c r="A930" s="3" t="s">
        <v>14800</v>
      </c>
      <c r="B930" s="4">
        <v>6.1</v>
      </c>
    </row>
    <row r="931" customHeight="1" spans="1:2">
      <c r="A931" s="3" t="s">
        <v>19918</v>
      </c>
      <c r="B931" s="4">
        <v>6.2</v>
      </c>
    </row>
    <row r="932" customHeight="1" spans="1:2">
      <c r="A932" s="3" t="s">
        <v>13543</v>
      </c>
      <c r="B932" s="4">
        <v>6.5</v>
      </c>
    </row>
    <row r="933" customHeight="1" spans="1:2">
      <c r="A933" s="3" t="s">
        <v>13031</v>
      </c>
      <c r="B933" s="4">
        <v>6.83333333333333</v>
      </c>
    </row>
    <row r="934" customHeight="1" spans="1:2">
      <c r="A934" s="3" t="s">
        <v>15955</v>
      </c>
      <c r="B934" s="4">
        <v>7.7</v>
      </c>
    </row>
    <row r="935" customHeight="1" spans="1:2">
      <c r="A935" s="3" t="s">
        <v>8334</v>
      </c>
      <c r="B935" s="4">
        <v>7.2</v>
      </c>
    </row>
    <row r="936" customHeight="1" spans="1:2">
      <c r="A936" s="3" t="s">
        <v>8973</v>
      </c>
      <c r="B936" s="4">
        <v>6.75</v>
      </c>
    </row>
    <row r="937" customHeight="1" spans="1:2">
      <c r="A937" s="3" t="s">
        <v>654</v>
      </c>
      <c r="B937" s="4">
        <v>7.13333333333333</v>
      </c>
    </row>
    <row r="938" customHeight="1" spans="1:2">
      <c r="A938" s="3" t="s">
        <v>13484</v>
      </c>
      <c r="B938" s="4">
        <v>4.4</v>
      </c>
    </row>
    <row r="939" customHeight="1" spans="1:2">
      <c r="A939" s="3" t="s">
        <v>12561</v>
      </c>
      <c r="B939" s="4">
        <v>7.05714285714286</v>
      </c>
    </row>
    <row r="940" customHeight="1" spans="1:2">
      <c r="A940" s="3" t="s">
        <v>23497</v>
      </c>
      <c r="B940" s="4">
        <v>5.4</v>
      </c>
    </row>
    <row r="941" customHeight="1" spans="1:2">
      <c r="A941" s="3" t="s">
        <v>1414</v>
      </c>
      <c r="B941" s="4">
        <v>6.5</v>
      </c>
    </row>
    <row r="942" customHeight="1" spans="1:2">
      <c r="A942" s="3" t="s">
        <v>17934</v>
      </c>
      <c r="B942" s="4">
        <v>4.4</v>
      </c>
    </row>
    <row r="943" customHeight="1" spans="1:2">
      <c r="A943" s="3" t="s">
        <v>1422</v>
      </c>
      <c r="B943" s="4">
        <v>7.075</v>
      </c>
    </row>
    <row r="944" customHeight="1" spans="1:2">
      <c r="A944" s="3" t="s">
        <v>12808</v>
      </c>
      <c r="B944" s="4">
        <v>7.75</v>
      </c>
    </row>
    <row r="945" customHeight="1" spans="1:2">
      <c r="A945" s="3" t="s">
        <v>11169</v>
      </c>
      <c r="B945" s="4">
        <v>6.1</v>
      </c>
    </row>
    <row r="946" customHeight="1" spans="1:2">
      <c r="A946" s="3" t="s">
        <v>5140</v>
      </c>
      <c r="B946" s="4">
        <v>6.65</v>
      </c>
    </row>
    <row r="947" customHeight="1" spans="1:2">
      <c r="A947" s="3" t="s">
        <v>18538</v>
      </c>
      <c r="B947" s="4">
        <v>4.6</v>
      </c>
    </row>
    <row r="948" customHeight="1" spans="1:2">
      <c r="A948" s="3" t="s">
        <v>21033</v>
      </c>
      <c r="B948" s="4">
        <v>6.7</v>
      </c>
    </row>
    <row r="949" customHeight="1" spans="1:2">
      <c r="A949" s="3" t="s">
        <v>16295</v>
      </c>
      <c r="B949" s="4">
        <v>5.4</v>
      </c>
    </row>
    <row r="950" customHeight="1" spans="1:2">
      <c r="A950" s="3" t="s">
        <v>23342</v>
      </c>
      <c r="B950" s="4">
        <v>4</v>
      </c>
    </row>
    <row r="951" customHeight="1" spans="1:2">
      <c r="A951" s="3" t="s">
        <v>19881</v>
      </c>
      <c r="B951" s="4">
        <v>7.1</v>
      </c>
    </row>
    <row r="952" customHeight="1" spans="1:2">
      <c r="A952" s="3" t="s">
        <v>11687</v>
      </c>
      <c r="B952" s="4">
        <v>7.8</v>
      </c>
    </row>
    <row r="953" customHeight="1" spans="1:2">
      <c r="A953" s="3" t="s">
        <v>17441</v>
      </c>
      <c r="B953" s="4">
        <v>5.25</v>
      </c>
    </row>
    <row r="954" customHeight="1" spans="1:2">
      <c r="A954" s="3" t="s">
        <v>333</v>
      </c>
      <c r="B954" s="4">
        <v>7.2</v>
      </c>
    </row>
    <row r="955" customHeight="1" spans="1:2">
      <c r="A955" s="3" t="s">
        <v>12749</v>
      </c>
      <c r="B955" s="4">
        <v>6.6</v>
      </c>
    </row>
    <row r="956" customHeight="1" spans="1:2">
      <c r="A956" s="3" t="s">
        <v>5496</v>
      </c>
      <c r="B956" s="4">
        <v>5.275</v>
      </c>
    </row>
    <row r="957" customHeight="1" spans="1:2">
      <c r="A957" s="3" t="s">
        <v>21311</v>
      </c>
      <c r="B957" s="4">
        <v>6.5</v>
      </c>
    </row>
    <row r="958" customHeight="1" spans="1:2">
      <c r="A958" s="3" t="s">
        <v>13405</v>
      </c>
      <c r="B958" s="4">
        <v>5.1</v>
      </c>
    </row>
    <row r="959" customHeight="1" spans="1:2">
      <c r="A959" s="3" t="s">
        <v>14470</v>
      </c>
      <c r="B959" s="4">
        <v>6</v>
      </c>
    </row>
    <row r="960" customHeight="1" spans="1:2">
      <c r="A960" s="3" t="s">
        <v>22114</v>
      </c>
      <c r="B960" s="4">
        <v>6</v>
      </c>
    </row>
    <row r="961" customHeight="1" spans="1:2">
      <c r="A961" s="3" t="s">
        <v>23271</v>
      </c>
      <c r="B961" s="4">
        <v>7</v>
      </c>
    </row>
    <row r="962" customHeight="1" spans="1:2">
      <c r="A962" s="3" t="s">
        <v>1606</v>
      </c>
      <c r="B962" s="4">
        <v>5.52</v>
      </c>
    </row>
    <row r="963" customHeight="1" spans="1:2">
      <c r="A963" s="3" t="s">
        <v>14296</v>
      </c>
      <c r="B963" s="4">
        <v>6.63333333333333</v>
      </c>
    </row>
    <row r="964" customHeight="1" spans="1:2">
      <c r="A964" s="3" t="s">
        <v>11497</v>
      </c>
      <c r="B964" s="4">
        <v>5.2</v>
      </c>
    </row>
    <row r="965" customHeight="1" spans="1:2">
      <c r="A965" s="3" t="s">
        <v>8979</v>
      </c>
      <c r="B965" s="4">
        <v>4.8</v>
      </c>
    </row>
    <row r="966" customHeight="1" spans="1:2">
      <c r="A966" s="3" t="s">
        <v>7906</v>
      </c>
      <c r="B966" s="4">
        <v>6.23333333333333</v>
      </c>
    </row>
    <row r="967" customHeight="1" spans="1:2">
      <c r="A967" s="3" t="s">
        <v>1772</v>
      </c>
      <c r="B967" s="4">
        <v>6.7</v>
      </c>
    </row>
    <row r="968" customHeight="1" spans="1:2">
      <c r="A968" s="3" t="s">
        <v>15144</v>
      </c>
      <c r="B968" s="4">
        <v>6.7</v>
      </c>
    </row>
    <row r="969" customHeight="1" spans="1:2">
      <c r="A969" s="3" t="s">
        <v>4676</v>
      </c>
      <c r="B969" s="4">
        <v>3.8</v>
      </c>
    </row>
    <row r="970" customHeight="1" spans="1:2">
      <c r="A970" s="3" t="s">
        <v>19445</v>
      </c>
      <c r="B970" s="4">
        <v>6.1</v>
      </c>
    </row>
    <row r="971" customHeight="1" spans="1:2">
      <c r="A971" s="3" t="s">
        <v>8383</v>
      </c>
      <c r="B971" s="4">
        <v>2.6</v>
      </c>
    </row>
    <row r="972" customHeight="1" spans="1:2">
      <c r="A972" s="3" t="s">
        <v>23767</v>
      </c>
      <c r="B972" s="4">
        <v>7.6</v>
      </c>
    </row>
    <row r="973" customHeight="1" spans="1:2">
      <c r="A973" s="3" t="s">
        <v>12226</v>
      </c>
      <c r="B973" s="4">
        <v>7.2</v>
      </c>
    </row>
    <row r="974" customHeight="1" spans="1:2">
      <c r="A974" s="3" t="s">
        <v>23286</v>
      </c>
      <c r="B974" s="4">
        <v>6.9</v>
      </c>
    </row>
    <row r="975" customHeight="1" spans="1:2">
      <c r="A975" s="3" t="s">
        <v>8187</v>
      </c>
      <c r="B975" s="4">
        <v>7.2</v>
      </c>
    </row>
    <row r="976" customHeight="1" spans="1:2">
      <c r="A976" s="3" t="s">
        <v>19995</v>
      </c>
      <c r="B976" s="4">
        <v>5.8</v>
      </c>
    </row>
    <row r="977" customHeight="1" spans="1:2">
      <c r="A977" s="3" t="s">
        <v>24049</v>
      </c>
      <c r="B977" s="4">
        <v>4</v>
      </c>
    </row>
    <row r="978" customHeight="1" spans="1:2">
      <c r="A978" s="3" t="s">
        <v>15224</v>
      </c>
      <c r="B978" s="4">
        <v>4.8</v>
      </c>
    </row>
    <row r="979" customHeight="1" spans="1:2">
      <c r="A979" s="3" t="s">
        <v>14720</v>
      </c>
      <c r="B979" s="4">
        <v>6.675</v>
      </c>
    </row>
    <row r="980" customHeight="1" spans="1:2">
      <c r="A980" s="3" t="s">
        <v>5129</v>
      </c>
      <c r="B980" s="4">
        <v>6.475</v>
      </c>
    </row>
    <row r="981" customHeight="1" spans="1:2">
      <c r="A981" s="3" t="s">
        <v>21412</v>
      </c>
      <c r="B981" s="4">
        <v>4.6</v>
      </c>
    </row>
    <row r="982" customHeight="1" spans="1:2">
      <c r="A982" s="3" t="s">
        <v>4940</v>
      </c>
      <c r="B982" s="4">
        <v>6.025</v>
      </c>
    </row>
    <row r="983" customHeight="1" spans="1:2">
      <c r="A983" s="3" t="s">
        <v>15176</v>
      </c>
      <c r="B983" s="4">
        <v>6.35</v>
      </c>
    </row>
    <row r="984" customHeight="1" spans="1:2">
      <c r="A984" s="3" t="s">
        <v>17827</v>
      </c>
      <c r="B984" s="4">
        <v>7</v>
      </c>
    </row>
    <row r="985" customHeight="1" spans="1:2">
      <c r="A985" s="3" t="s">
        <v>19016</v>
      </c>
      <c r="B985" s="4">
        <v>8.4</v>
      </c>
    </row>
    <row r="986" customHeight="1" spans="1:2">
      <c r="A986" s="3" t="s">
        <v>1966</v>
      </c>
      <c r="B986" s="4">
        <v>6.4875</v>
      </c>
    </row>
    <row r="987" customHeight="1" spans="1:2">
      <c r="A987" s="3" t="s">
        <v>4054</v>
      </c>
      <c r="B987" s="4">
        <v>6.73333333333333</v>
      </c>
    </row>
    <row r="988" customHeight="1" spans="1:2">
      <c r="A988" s="3" t="s">
        <v>8520</v>
      </c>
      <c r="B988" s="4">
        <v>6.3</v>
      </c>
    </row>
    <row r="989" customHeight="1" spans="1:2">
      <c r="A989" s="3" t="s">
        <v>2397</v>
      </c>
      <c r="B989" s="4">
        <v>7.275</v>
      </c>
    </row>
    <row r="990" customHeight="1" spans="1:2">
      <c r="A990" s="3" t="s">
        <v>17099</v>
      </c>
      <c r="B990" s="4">
        <v>6.5</v>
      </c>
    </row>
    <row r="991" customHeight="1" spans="1:2">
      <c r="A991" s="3" t="s">
        <v>23059</v>
      </c>
      <c r="B991" s="4">
        <v>7.55</v>
      </c>
    </row>
    <row r="992" customHeight="1" spans="1:2">
      <c r="A992" s="3" t="s">
        <v>7645</v>
      </c>
      <c r="B992" s="4">
        <v>7.46666666666667</v>
      </c>
    </row>
    <row r="993" customHeight="1" spans="1:2">
      <c r="A993" s="3" t="s">
        <v>6828</v>
      </c>
      <c r="B993" s="4">
        <v>6.26666666666667</v>
      </c>
    </row>
    <row r="994" customHeight="1" spans="1:2">
      <c r="A994" s="3" t="s">
        <v>10674</v>
      </c>
      <c r="B994" s="4">
        <v>6.5</v>
      </c>
    </row>
    <row r="995" customHeight="1" spans="1:2">
      <c r="A995" s="3" t="s">
        <v>7722</v>
      </c>
      <c r="B995" s="4">
        <v>7</v>
      </c>
    </row>
    <row r="996" customHeight="1" spans="1:2">
      <c r="A996" s="3" t="s">
        <v>4177</v>
      </c>
      <c r="B996" s="4">
        <v>7.34</v>
      </c>
    </row>
    <row r="997" customHeight="1" spans="1:2">
      <c r="A997" s="3" t="s">
        <v>7058</v>
      </c>
      <c r="B997" s="4">
        <v>6.55</v>
      </c>
    </row>
    <row r="998" customHeight="1" spans="1:2">
      <c r="A998" s="3" t="s">
        <v>8608</v>
      </c>
      <c r="B998" s="4">
        <v>6.85</v>
      </c>
    </row>
    <row r="999" customHeight="1" spans="1:2">
      <c r="A999" s="3" t="s">
        <v>21436</v>
      </c>
      <c r="B999" s="4">
        <v>5.9</v>
      </c>
    </row>
    <row r="1000" customHeight="1" spans="1:2">
      <c r="A1000" s="3" t="s">
        <v>20513</v>
      </c>
      <c r="B1000" s="4">
        <v>4.6</v>
      </c>
    </row>
    <row r="1001" customHeight="1" spans="1:2">
      <c r="A1001" s="3" t="s">
        <v>18583</v>
      </c>
      <c r="B1001" s="4">
        <v>5.8</v>
      </c>
    </row>
    <row r="1002" customHeight="1" spans="1:2">
      <c r="A1002" s="3" t="s">
        <v>418</v>
      </c>
      <c r="B1002" s="4">
        <v>6.2</v>
      </c>
    </row>
    <row r="1003" customHeight="1" spans="1:2">
      <c r="A1003" s="3" t="s">
        <v>11941</v>
      </c>
      <c r="B1003" s="4">
        <v>5.5</v>
      </c>
    </row>
    <row r="1004" customHeight="1" spans="1:2">
      <c r="A1004" s="3" t="s">
        <v>15097</v>
      </c>
      <c r="B1004" s="4">
        <v>5.2</v>
      </c>
    </row>
    <row r="1005" customHeight="1" spans="1:2">
      <c r="A1005" s="3" t="s">
        <v>6902</v>
      </c>
      <c r="B1005" s="4">
        <v>5.7</v>
      </c>
    </row>
    <row r="1006" customHeight="1" spans="1:2">
      <c r="A1006" s="3" t="s">
        <v>12000</v>
      </c>
      <c r="B1006" s="4">
        <v>7.2</v>
      </c>
    </row>
    <row r="1007" customHeight="1" spans="1:2">
      <c r="A1007" s="3" t="s">
        <v>9768</v>
      </c>
      <c r="B1007" s="4">
        <v>6.6</v>
      </c>
    </row>
    <row r="1008" customHeight="1" spans="1:2">
      <c r="A1008" s="3" t="s">
        <v>10666</v>
      </c>
      <c r="B1008" s="4">
        <v>6.85</v>
      </c>
    </row>
    <row r="1009" customHeight="1" spans="1:2">
      <c r="A1009" s="3" t="s">
        <v>9032</v>
      </c>
      <c r="B1009" s="4">
        <v>6.36666666666667</v>
      </c>
    </row>
    <row r="1010" customHeight="1" spans="1:2">
      <c r="A1010" s="3" t="s">
        <v>21986</v>
      </c>
      <c r="B1010" s="4">
        <v>5.4</v>
      </c>
    </row>
    <row r="1011" customHeight="1" spans="1:2">
      <c r="A1011" s="3" t="s">
        <v>9975</v>
      </c>
      <c r="B1011" s="4">
        <v>4.1</v>
      </c>
    </row>
    <row r="1012" customHeight="1" spans="1:2">
      <c r="A1012" s="3" t="s">
        <v>20621</v>
      </c>
      <c r="B1012" s="4">
        <v>8.1</v>
      </c>
    </row>
    <row r="1013" customHeight="1" spans="1:2">
      <c r="A1013" s="3" t="s">
        <v>13997</v>
      </c>
      <c r="B1013" s="4">
        <v>8.1</v>
      </c>
    </row>
    <row r="1014" customHeight="1" spans="1:2">
      <c r="A1014" s="3" t="s">
        <v>23876</v>
      </c>
      <c r="B1014" s="4">
        <v>6</v>
      </c>
    </row>
    <row r="1015" customHeight="1" spans="1:2">
      <c r="A1015" s="3" t="s">
        <v>19111</v>
      </c>
      <c r="B1015" s="4">
        <v>4.5</v>
      </c>
    </row>
    <row r="1016" customHeight="1" spans="1:2">
      <c r="A1016" s="3" t="s">
        <v>7118</v>
      </c>
      <c r="B1016" s="4">
        <v>6</v>
      </c>
    </row>
    <row r="1017" customHeight="1" spans="1:2">
      <c r="A1017" s="3" t="s">
        <v>22329</v>
      </c>
      <c r="B1017" s="4">
        <v>6.5</v>
      </c>
    </row>
    <row r="1018" customHeight="1" spans="1:2">
      <c r="A1018" s="3" t="s">
        <v>908</v>
      </c>
      <c r="B1018" s="4">
        <v>7.3</v>
      </c>
    </row>
    <row r="1019" customHeight="1" spans="1:2">
      <c r="A1019" s="3" t="s">
        <v>18141</v>
      </c>
      <c r="B1019" s="4">
        <v>6.8</v>
      </c>
    </row>
    <row r="1020" customHeight="1" spans="1:2">
      <c r="A1020" s="3" t="s">
        <v>7824</v>
      </c>
      <c r="B1020" s="4">
        <v>6.3</v>
      </c>
    </row>
    <row r="1021" customHeight="1" spans="1:2">
      <c r="A1021" s="3" t="s">
        <v>9736</v>
      </c>
      <c r="B1021" s="4">
        <v>6.8</v>
      </c>
    </row>
    <row r="1022" customHeight="1" spans="1:2">
      <c r="A1022" s="3" t="s">
        <v>17923</v>
      </c>
      <c r="B1022" s="4">
        <v>7.1</v>
      </c>
    </row>
    <row r="1023" customHeight="1" spans="1:2">
      <c r="A1023" s="3" t="s">
        <v>15813</v>
      </c>
      <c r="B1023" s="4">
        <v>7.1</v>
      </c>
    </row>
    <row r="1024" customHeight="1" spans="1:2">
      <c r="A1024" s="3" t="s">
        <v>10038</v>
      </c>
      <c r="B1024" s="4">
        <v>2.9</v>
      </c>
    </row>
    <row r="1025" customHeight="1" spans="1:2">
      <c r="A1025" s="3" t="s">
        <v>23118</v>
      </c>
      <c r="B1025" s="4">
        <v>7.2</v>
      </c>
    </row>
    <row r="1026" customHeight="1" spans="1:2">
      <c r="A1026" s="3" t="s">
        <v>17005</v>
      </c>
      <c r="B1026" s="4">
        <v>7.6</v>
      </c>
    </row>
    <row r="1027" customHeight="1" spans="1:2">
      <c r="A1027" s="3" t="s">
        <v>12597</v>
      </c>
      <c r="B1027" s="4">
        <v>6.7</v>
      </c>
    </row>
    <row r="1028" customHeight="1" spans="1:2">
      <c r="A1028" s="3" t="s">
        <v>17878</v>
      </c>
      <c r="B1028" s="4">
        <v>6.2</v>
      </c>
    </row>
    <row r="1029" customHeight="1" spans="1:2">
      <c r="A1029" s="3" t="s">
        <v>20593</v>
      </c>
      <c r="B1029" s="4">
        <v>3.4</v>
      </c>
    </row>
    <row r="1030" customHeight="1" spans="1:2">
      <c r="A1030" s="3" t="s">
        <v>6805</v>
      </c>
      <c r="B1030" s="4">
        <v>5</v>
      </c>
    </row>
    <row r="1031" customHeight="1" spans="1:2">
      <c r="A1031" s="3" t="s">
        <v>19999</v>
      </c>
      <c r="B1031" s="4">
        <v>7.3</v>
      </c>
    </row>
    <row r="1032" customHeight="1" spans="1:2">
      <c r="A1032" s="3" t="s">
        <v>10266</v>
      </c>
      <c r="B1032" s="4">
        <v>6.7</v>
      </c>
    </row>
    <row r="1033" customHeight="1" spans="1:2">
      <c r="A1033" s="3" t="s">
        <v>3130</v>
      </c>
      <c r="B1033" s="4">
        <v>6.43333333333333</v>
      </c>
    </row>
    <row r="1034" customHeight="1" spans="1:2">
      <c r="A1034" s="3" t="s">
        <v>4598</v>
      </c>
      <c r="B1034" s="4">
        <v>6.03333333333333</v>
      </c>
    </row>
    <row r="1035" customHeight="1" spans="1:2">
      <c r="A1035" s="3" t="s">
        <v>17658</v>
      </c>
      <c r="B1035" s="4">
        <v>5.95</v>
      </c>
    </row>
    <row r="1036" customHeight="1" spans="1:2">
      <c r="A1036" s="3" t="s">
        <v>12607</v>
      </c>
      <c r="B1036" s="4">
        <v>4.5</v>
      </c>
    </row>
    <row r="1037" customHeight="1" spans="1:2">
      <c r="A1037" s="3" t="s">
        <v>11000</v>
      </c>
      <c r="B1037" s="4">
        <v>6.4</v>
      </c>
    </row>
    <row r="1038" customHeight="1" spans="1:2">
      <c r="A1038" s="3" t="s">
        <v>10378</v>
      </c>
      <c r="B1038" s="4">
        <v>6.65</v>
      </c>
    </row>
    <row r="1039" customHeight="1" spans="1:2">
      <c r="A1039" s="3" t="s">
        <v>12570</v>
      </c>
      <c r="B1039" s="4">
        <v>4.4</v>
      </c>
    </row>
    <row r="1040" customHeight="1" spans="1:2">
      <c r="A1040" s="3" t="s">
        <v>16396</v>
      </c>
      <c r="B1040" s="4">
        <v>5.6</v>
      </c>
    </row>
    <row r="1041" customHeight="1" spans="1:2">
      <c r="A1041" s="3" t="s">
        <v>13817</v>
      </c>
      <c r="B1041" s="4">
        <v>6.1</v>
      </c>
    </row>
    <row r="1042" customHeight="1" spans="1:2">
      <c r="A1042" s="3" t="s">
        <v>19399</v>
      </c>
      <c r="B1042" s="4">
        <v>6.75</v>
      </c>
    </row>
    <row r="1043" customHeight="1" spans="1:2">
      <c r="A1043" s="3" t="s">
        <v>18867</v>
      </c>
      <c r="B1043" s="4">
        <v>7.8</v>
      </c>
    </row>
    <row r="1044" customHeight="1" spans="1:2">
      <c r="A1044" s="3" t="s">
        <v>18045</v>
      </c>
      <c r="B1044" s="4">
        <v>4.5</v>
      </c>
    </row>
    <row r="1045" customHeight="1" spans="1:2">
      <c r="A1045" s="3" t="s">
        <v>24037</v>
      </c>
      <c r="B1045" s="4">
        <v>7.4</v>
      </c>
    </row>
    <row r="1046" customHeight="1" spans="1:2">
      <c r="A1046" s="3" t="s">
        <v>12768</v>
      </c>
      <c r="B1046" s="4">
        <v>5.3</v>
      </c>
    </row>
    <row r="1047" customHeight="1" spans="1:2">
      <c r="A1047" s="3" t="s">
        <v>10973</v>
      </c>
      <c r="B1047" s="4">
        <v>6.4</v>
      </c>
    </row>
    <row r="1048" customHeight="1" spans="1:2">
      <c r="A1048" s="3" t="s">
        <v>4832</v>
      </c>
      <c r="B1048" s="4">
        <v>5.45</v>
      </c>
    </row>
    <row r="1049" customHeight="1" spans="1:2">
      <c r="A1049" s="3" t="s">
        <v>12296</v>
      </c>
      <c r="B1049" s="4">
        <v>3</v>
      </c>
    </row>
    <row r="1050" customHeight="1" spans="1:2">
      <c r="A1050" s="3" t="s">
        <v>15056</v>
      </c>
      <c r="B1050" s="4">
        <v>7</v>
      </c>
    </row>
    <row r="1051" customHeight="1" spans="1:2">
      <c r="A1051" s="3" t="s">
        <v>15483</v>
      </c>
      <c r="B1051" s="4">
        <v>5.2</v>
      </c>
    </row>
    <row r="1052" customHeight="1" spans="1:2">
      <c r="A1052" s="3" t="s">
        <v>20264</v>
      </c>
      <c r="B1052" s="4">
        <v>7.5</v>
      </c>
    </row>
    <row r="1053" customHeight="1" spans="1:2">
      <c r="A1053" s="3" t="s">
        <v>18694</v>
      </c>
      <c r="B1053" s="4">
        <v>6.5</v>
      </c>
    </row>
    <row r="1054" customHeight="1" spans="1:2">
      <c r="A1054" s="3" t="s">
        <v>5424</v>
      </c>
      <c r="B1054" s="4">
        <v>6.3</v>
      </c>
    </row>
    <row r="1055" customHeight="1" spans="1:2">
      <c r="A1055" s="3" t="s">
        <v>10646</v>
      </c>
      <c r="B1055" s="4">
        <v>4.7</v>
      </c>
    </row>
    <row r="1056" customHeight="1" spans="1:2">
      <c r="A1056" s="3" t="s">
        <v>4694</v>
      </c>
      <c r="B1056" s="4">
        <v>5.3</v>
      </c>
    </row>
    <row r="1057" customHeight="1" spans="1:2">
      <c r="A1057" s="3" t="s">
        <v>18103</v>
      </c>
      <c r="B1057" s="4">
        <v>7.4</v>
      </c>
    </row>
    <row r="1058" customHeight="1" spans="1:2">
      <c r="A1058" s="3" t="s">
        <v>12693</v>
      </c>
      <c r="B1058" s="4">
        <v>5.7</v>
      </c>
    </row>
    <row r="1059" customHeight="1" spans="1:2">
      <c r="A1059" s="3" t="s">
        <v>7740</v>
      </c>
      <c r="B1059" s="4">
        <v>5.7</v>
      </c>
    </row>
    <row r="1060" customHeight="1" spans="1:2">
      <c r="A1060" s="3" t="s">
        <v>5281</v>
      </c>
      <c r="B1060" s="4">
        <v>5.5</v>
      </c>
    </row>
    <row r="1061" customHeight="1" spans="1:2">
      <c r="A1061" s="3" t="s">
        <v>15823</v>
      </c>
      <c r="B1061" s="4">
        <v>6.5</v>
      </c>
    </row>
    <row r="1062" customHeight="1" spans="1:2">
      <c r="A1062" s="3" t="s">
        <v>9185</v>
      </c>
      <c r="B1062" s="4">
        <v>6.66666666666667</v>
      </c>
    </row>
    <row r="1063" customHeight="1" spans="1:2">
      <c r="A1063" s="3" t="s">
        <v>11847</v>
      </c>
      <c r="B1063" s="4">
        <v>5.8</v>
      </c>
    </row>
    <row r="1064" customHeight="1" spans="1:2">
      <c r="A1064" s="3" t="s">
        <v>12889</v>
      </c>
      <c r="B1064" s="4">
        <v>4</v>
      </c>
    </row>
    <row r="1065" customHeight="1" spans="1:2">
      <c r="A1065" s="3" t="s">
        <v>22490</v>
      </c>
      <c r="B1065" s="4">
        <v>6.1</v>
      </c>
    </row>
    <row r="1066" customHeight="1" spans="1:2">
      <c r="A1066" s="3" t="s">
        <v>9522</v>
      </c>
      <c r="B1066" s="4">
        <v>6.9</v>
      </c>
    </row>
    <row r="1067" customHeight="1" spans="1:2">
      <c r="A1067" s="3" t="s">
        <v>17712</v>
      </c>
      <c r="B1067" s="4">
        <v>4.9</v>
      </c>
    </row>
    <row r="1068" customHeight="1" spans="1:2">
      <c r="A1068" s="3" t="s">
        <v>7848</v>
      </c>
      <c r="B1068" s="4">
        <v>5.3</v>
      </c>
    </row>
    <row r="1069" customHeight="1" spans="1:2">
      <c r="A1069" s="3" t="s">
        <v>12457</v>
      </c>
      <c r="B1069" s="4">
        <v>6.6</v>
      </c>
    </row>
    <row r="1070" customHeight="1" spans="1:2">
      <c r="A1070" s="3" t="s">
        <v>19793</v>
      </c>
      <c r="B1070" s="4">
        <v>7.6</v>
      </c>
    </row>
    <row r="1071" customHeight="1" spans="1:2">
      <c r="A1071" s="3" t="s">
        <v>2844</v>
      </c>
      <c r="B1071" s="4">
        <v>6.3</v>
      </c>
    </row>
    <row r="1072" customHeight="1" spans="1:2">
      <c r="A1072" s="3" t="s">
        <v>894</v>
      </c>
      <c r="B1072" s="4">
        <v>6.325</v>
      </c>
    </row>
    <row r="1073" customHeight="1" spans="1:2">
      <c r="A1073" s="3" t="s">
        <v>22804</v>
      </c>
      <c r="B1073" s="4">
        <v>8.2</v>
      </c>
    </row>
    <row r="1074" customHeight="1" spans="1:2">
      <c r="A1074" s="3" t="s">
        <v>21479</v>
      </c>
      <c r="B1074" s="4">
        <v>2.6</v>
      </c>
    </row>
    <row r="1075" customHeight="1" spans="1:2">
      <c r="A1075" s="3" t="s">
        <v>12366</v>
      </c>
      <c r="B1075" s="4">
        <v>5.66666666666667</v>
      </c>
    </row>
    <row r="1076" customHeight="1" spans="1:2">
      <c r="A1076" s="3" t="s">
        <v>2670</v>
      </c>
      <c r="B1076" s="4">
        <v>6.3</v>
      </c>
    </row>
    <row r="1077" customHeight="1" spans="1:2">
      <c r="A1077" s="3" t="s">
        <v>5118</v>
      </c>
      <c r="B1077" s="4">
        <v>5.45</v>
      </c>
    </row>
    <row r="1078" customHeight="1" spans="1:2">
      <c r="A1078" s="3" t="s">
        <v>22596</v>
      </c>
      <c r="B1078" s="4">
        <v>5.85</v>
      </c>
    </row>
    <row r="1079" customHeight="1" spans="1:2">
      <c r="A1079" s="3" t="s">
        <v>941</v>
      </c>
      <c r="B1079" s="4">
        <v>6.6375</v>
      </c>
    </row>
    <row r="1080" customHeight="1" spans="1:2">
      <c r="A1080" s="3" t="s">
        <v>21488</v>
      </c>
      <c r="B1080" s="4">
        <v>6.1</v>
      </c>
    </row>
    <row r="1081" customHeight="1" spans="1:2">
      <c r="A1081" s="3" t="s">
        <v>4261</v>
      </c>
      <c r="B1081" s="4">
        <v>7.4</v>
      </c>
    </row>
    <row r="1082" customHeight="1" spans="1:2">
      <c r="A1082" s="3" t="s">
        <v>15052</v>
      </c>
      <c r="B1082" s="4">
        <v>7.1</v>
      </c>
    </row>
    <row r="1083" customHeight="1" spans="1:2">
      <c r="A1083" s="3" t="s">
        <v>12796</v>
      </c>
      <c r="B1083" s="4">
        <v>5.7</v>
      </c>
    </row>
    <row r="1084" customHeight="1" spans="1:2">
      <c r="A1084" s="3" t="s">
        <v>22742</v>
      </c>
      <c r="B1084" s="4">
        <v>6.15</v>
      </c>
    </row>
    <row r="1085" customHeight="1" spans="1:2">
      <c r="A1085" s="3" t="s">
        <v>1325</v>
      </c>
      <c r="B1085" s="4">
        <v>6.40769230769231</v>
      </c>
    </row>
    <row r="1086" customHeight="1" spans="1:2">
      <c r="A1086" s="3" t="s">
        <v>5830</v>
      </c>
      <c r="B1086" s="4">
        <v>5.45</v>
      </c>
    </row>
    <row r="1087" customHeight="1" spans="1:2">
      <c r="A1087" s="3" t="s">
        <v>8089</v>
      </c>
      <c r="B1087" s="4">
        <v>6.2</v>
      </c>
    </row>
    <row r="1088" customHeight="1" spans="1:2">
      <c r="A1088" s="3" t="s">
        <v>22426</v>
      </c>
      <c r="B1088" s="4">
        <v>7.7</v>
      </c>
    </row>
    <row r="1089" customHeight="1" spans="1:2">
      <c r="A1089" s="3" t="s">
        <v>5874</v>
      </c>
      <c r="B1089" s="4">
        <v>5.95</v>
      </c>
    </row>
    <row r="1090" customHeight="1" spans="1:2">
      <c r="A1090" s="3" t="s">
        <v>14041</v>
      </c>
      <c r="B1090" s="4">
        <v>7.1</v>
      </c>
    </row>
    <row r="1091" customHeight="1" spans="1:2">
      <c r="A1091" s="3" t="s">
        <v>13367</v>
      </c>
      <c r="B1091" s="4">
        <v>9.5</v>
      </c>
    </row>
    <row r="1092" customHeight="1" spans="1:2">
      <c r="A1092" s="3" t="s">
        <v>12941</v>
      </c>
      <c r="B1092" s="4">
        <v>4.7</v>
      </c>
    </row>
    <row r="1093" customHeight="1" spans="1:2">
      <c r="A1093" s="3" t="s">
        <v>11917</v>
      </c>
      <c r="B1093" s="4">
        <v>5.73333333333333</v>
      </c>
    </row>
    <row r="1094" customHeight="1" spans="1:2">
      <c r="A1094" s="3" t="s">
        <v>22508</v>
      </c>
      <c r="B1094" s="4">
        <v>5.9</v>
      </c>
    </row>
    <row r="1095" customHeight="1" spans="1:2">
      <c r="A1095" s="3" t="s">
        <v>17163</v>
      </c>
      <c r="B1095" s="4">
        <v>7.1</v>
      </c>
    </row>
    <row r="1096" customHeight="1" spans="1:2">
      <c r="A1096" s="3" t="s">
        <v>19673</v>
      </c>
      <c r="B1096" s="4">
        <v>5.3</v>
      </c>
    </row>
    <row r="1097" customHeight="1" spans="1:2">
      <c r="A1097" s="3" t="s">
        <v>16192</v>
      </c>
      <c r="B1097" s="4">
        <v>7.65</v>
      </c>
    </row>
    <row r="1098" customHeight="1" spans="1:2">
      <c r="A1098" s="3" t="s">
        <v>5368</v>
      </c>
      <c r="B1098" s="4">
        <v>6.91538461538462</v>
      </c>
    </row>
    <row r="1099" customHeight="1" spans="1:2">
      <c r="A1099" s="3" t="s">
        <v>13371</v>
      </c>
      <c r="B1099" s="4">
        <v>5.5</v>
      </c>
    </row>
    <row r="1100" customHeight="1" spans="1:2">
      <c r="A1100" s="3" t="s">
        <v>13951</v>
      </c>
      <c r="B1100" s="4">
        <v>7.8</v>
      </c>
    </row>
    <row r="1101" customHeight="1" spans="1:2">
      <c r="A1101" s="3" t="s">
        <v>14581</v>
      </c>
      <c r="B1101" s="4">
        <v>7.5</v>
      </c>
    </row>
    <row r="1102" customHeight="1" spans="1:2">
      <c r="A1102" s="3" t="s">
        <v>10517</v>
      </c>
      <c r="B1102" s="4">
        <v>6.45</v>
      </c>
    </row>
    <row r="1103" customHeight="1" spans="1:2">
      <c r="A1103" s="3" t="s">
        <v>23096</v>
      </c>
      <c r="B1103" s="4">
        <v>6.6</v>
      </c>
    </row>
    <row r="1104" customHeight="1" spans="1:2">
      <c r="A1104" s="3" t="s">
        <v>4424</v>
      </c>
      <c r="B1104" s="4">
        <v>6.8</v>
      </c>
    </row>
    <row r="1105" customHeight="1" spans="1:2">
      <c r="A1105" s="3" t="s">
        <v>10619</v>
      </c>
      <c r="B1105" s="4">
        <v>5.8</v>
      </c>
    </row>
    <row r="1106" customHeight="1" spans="1:2">
      <c r="A1106" s="3" t="s">
        <v>9573</v>
      </c>
      <c r="B1106" s="4">
        <v>5.6</v>
      </c>
    </row>
    <row r="1107" customHeight="1" spans="1:2">
      <c r="A1107" s="3" t="s">
        <v>14109</v>
      </c>
      <c r="B1107" s="4">
        <v>6.3</v>
      </c>
    </row>
    <row r="1108" customHeight="1" spans="1:2">
      <c r="A1108" s="3" t="s">
        <v>19130</v>
      </c>
      <c r="B1108" s="4">
        <v>7.55</v>
      </c>
    </row>
    <row r="1109" customHeight="1" spans="1:2">
      <c r="A1109" s="3" t="s">
        <v>12193</v>
      </c>
      <c r="B1109" s="4">
        <v>6.2</v>
      </c>
    </row>
    <row r="1110" customHeight="1" spans="1:2">
      <c r="A1110" s="3" t="s">
        <v>8076</v>
      </c>
      <c r="B1110" s="4">
        <v>6.1</v>
      </c>
    </row>
    <row r="1111" customHeight="1" spans="1:2">
      <c r="A1111" s="3" t="s">
        <v>4713</v>
      </c>
      <c r="B1111" s="4">
        <v>6.14</v>
      </c>
    </row>
    <row r="1112" customHeight="1" spans="1:2">
      <c r="A1112" s="3" t="s">
        <v>6235</v>
      </c>
      <c r="B1112" s="4">
        <v>7.5</v>
      </c>
    </row>
    <row r="1113" customHeight="1" spans="1:2">
      <c r="A1113" s="3" t="s">
        <v>6839</v>
      </c>
      <c r="B1113" s="4">
        <v>6.9</v>
      </c>
    </row>
    <row r="1114" customHeight="1" spans="1:2">
      <c r="A1114" s="3" t="s">
        <v>6143</v>
      </c>
      <c r="B1114" s="4">
        <v>6.6</v>
      </c>
    </row>
    <row r="1115" customHeight="1" spans="1:2">
      <c r="A1115" s="3" t="s">
        <v>5902</v>
      </c>
      <c r="B1115" s="4">
        <v>5.3</v>
      </c>
    </row>
    <row r="1116" customHeight="1" spans="1:2">
      <c r="A1116" s="3" t="s">
        <v>9952</v>
      </c>
      <c r="B1116" s="4">
        <v>4.8</v>
      </c>
    </row>
    <row r="1117" customHeight="1" spans="1:2">
      <c r="A1117" s="3" t="s">
        <v>19150</v>
      </c>
      <c r="B1117" s="4">
        <v>6.4</v>
      </c>
    </row>
    <row r="1118" customHeight="1" spans="1:2">
      <c r="A1118" s="3" t="s">
        <v>13894</v>
      </c>
      <c r="B1118" s="4">
        <v>6.8</v>
      </c>
    </row>
    <row r="1119" customHeight="1" spans="1:2">
      <c r="A1119" s="3" t="s">
        <v>6098</v>
      </c>
      <c r="B1119" s="4">
        <v>6.36666666666667</v>
      </c>
    </row>
    <row r="1120" customHeight="1" spans="1:2">
      <c r="A1120" s="3" t="s">
        <v>6153</v>
      </c>
      <c r="B1120" s="4">
        <v>6</v>
      </c>
    </row>
    <row r="1121" customHeight="1" spans="1:2">
      <c r="A1121" s="3" t="s">
        <v>9948</v>
      </c>
      <c r="B1121" s="4">
        <v>7</v>
      </c>
    </row>
    <row r="1122" customHeight="1" spans="1:2">
      <c r="A1122" s="3" t="s">
        <v>12174</v>
      </c>
      <c r="B1122" s="4">
        <v>5.1</v>
      </c>
    </row>
    <row r="1123" customHeight="1" spans="1:2">
      <c r="A1123" s="3" t="s">
        <v>18226</v>
      </c>
      <c r="B1123" s="4">
        <v>7.4</v>
      </c>
    </row>
    <row r="1124" customHeight="1" spans="1:2">
      <c r="A1124" s="3" t="s">
        <v>13731</v>
      </c>
      <c r="B1124" s="4">
        <v>5.7</v>
      </c>
    </row>
    <row r="1125" customHeight="1" spans="1:2">
      <c r="A1125" s="3" t="s">
        <v>20645</v>
      </c>
      <c r="B1125" s="4">
        <v>6.3</v>
      </c>
    </row>
    <row r="1126" customHeight="1" spans="1:2">
      <c r="A1126" s="3" t="s">
        <v>5246</v>
      </c>
      <c r="B1126" s="4">
        <v>7</v>
      </c>
    </row>
    <row r="1127" customHeight="1" spans="1:2">
      <c r="A1127" s="3" t="s">
        <v>307</v>
      </c>
      <c r="B1127" s="4">
        <v>7.38</v>
      </c>
    </row>
    <row r="1128" customHeight="1" spans="1:2">
      <c r="A1128" s="3" t="s">
        <v>2055</v>
      </c>
      <c r="B1128" s="4">
        <v>6.84</v>
      </c>
    </row>
    <row r="1129" customHeight="1" spans="1:2">
      <c r="A1129" s="3" t="s">
        <v>7927</v>
      </c>
      <c r="B1129" s="4">
        <v>5.5</v>
      </c>
    </row>
    <row r="1130" customHeight="1" spans="1:2">
      <c r="A1130" s="3" t="s">
        <v>19281</v>
      </c>
      <c r="B1130" s="4">
        <v>6.9</v>
      </c>
    </row>
    <row r="1131" customHeight="1" spans="1:2">
      <c r="A1131" s="3" t="s">
        <v>4538</v>
      </c>
      <c r="B1131" s="4">
        <v>6.78</v>
      </c>
    </row>
    <row r="1132" customHeight="1" spans="1:2">
      <c r="A1132" s="3" t="s">
        <v>8821</v>
      </c>
      <c r="B1132" s="4">
        <v>7.1</v>
      </c>
    </row>
    <row r="1133" customHeight="1" spans="1:2">
      <c r="A1133" s="3" t="s">
        <v>10914</v>
      </c>
      <c r="B1133" s="4">
        <v>6.5</v>
      </c>
    </row>
    <row r="1134" customHeight="1" spans="1:2">
      <c r="A1134" s="3" t="s">
        <v>1312</v>
      </c>
      <c r="B1134" s="4">
        <v>6.63</v>
      </c>
    </row>
    <row r="1135" customHeight="1" spans="1:2">
      <c r="A1135" s="3" t="s">
        <v>17127</v>
      </c>
      <c r="B1135" s="4">
        <v>7.3</v>
      </c>
    </row>
    <row r="1136" customHeight="1" spans="1:2">
      <c r="A1136" s="3" t="s">
        <v>2278</v>
      </c>
      <c r="B1136" s="4">
        <v>6.475</v>
      </c>
    </row>
    <row r="1137" customHeight="1" spans="1:2">
      <c r="A1137" s="3" t="s">
        <v>2049</v>
      </c>
      <c r="B1137" s="4">
        <v>5.8</v>
      </c>
    </row>
    <row r="1138" customHeight="1" spans="1:2">
      <c r="A1138" s="3" t="s">
        <v>19937</v>
      </c>
      <c r="B1138" s="4">
        <v>5.8</v>
      </c>
    </row>
    <row r="1139" customHeight="1" spans="1:2">
      <c r="A1139" s="3" t="s">
        <v>12933</v>
      </c>
      <c r="B1139" s="4">
        <v>4.1</v>
      </c>
    </row>
    <row r="1140" customHeight="1" spans="1:2">
      <c r="A1140" s="3" t="s">
        <v>4204</v>
      </c>
      <c r="B1140" s="4">
        <v>5.63333333333333</v>
      </c>
    </row>
    <row r="1141" customHeight="1" spans="1:2">
      <c r="A1141" s="3" t="s">
        <v>10866</v>
      </c>
      <c r="B1141" s="4">
        <v>7.5</v>
      </c>
    </row>
    <row r="1142" customHeight="1" spans="1:2">
      <c r="A1142" s="3" t="s">
        <v>9526</v>
      </c>
      <c r="B1142" s="4">
        <v>5.45</v>
      </c>
    </row>
    <row r="1143" customHeight="1" spans="1:2">
      <c r="A1143" s="3" t="s">
        <v>15188</v>
      </c>
      <c r="B1143" s="4">
        <v>5.5</v>
      </c>
    </row>
    <row r="1144" customHeight="1" spans="1:2">
      <c r="A1144" s="3" t="s">
        <v>8411</v>
      </c>
      <c r="B1144" s="4">
        <v>4.55</v>
      </c>
    </row>
    <row r="1145" customHeight="1" spans="1:2">
      <c r="A1145" s="3" t="s">
        <v>23748</v>
      </c>
      <c r="B1145" s="4">
        <v>7.1</v>
      </c>
    </row>
    <row r="1146" customHeight="1" spans="1:2">
      <c r="A1146" s="3" t="s">
        <v>15906</v>
      </c>
      <c r="B1146" s="4">
        <v>6.85</v>
      </c>
    </row>
    <row r="1147" customHeight="1" spans="1:2">
      <c r="A1147" s="3" t="s">
        <v>9814</v>
      </c>
      <c r="B1147" s="4">
        <v>6.23333333333333</v>
      </c>
    </row>
    <row r="1148" customHeight="1" spans="1:2">
      <c r="A1148" s="3" t="s">
        <v>5912</v>
      </c>
      <c r="B1148" s="4">
        <v>5.4</v>
      </c>
    </row>
    <row r="1149" customHeight="1" spans="1:2">
      <c r="A1149" s="3" t="s">
        <v>20475</v>
      </c>
      <c r="B1149" s="4">
        <v>6.4</v>
      </c>
    </row>
    <row r="1150" customHeight="1" spans="1:2">
      <c r="A1150" s="3" t="s">
        <v>2944</v>
      </c>
      <c r="B1150" s="4">
        <v>6.25714285714286</v>
      </c>
    </row>
    <row r="1151" customHeight="1" spans="1:2">
      <c r="A1151" s="3" t="s">
        <v>13899</v>
      </c>
      <c r="B1151" s="4">
        <v>5.4</v>
      </c>
    </row>
    <row r="1152" customHeight="1" spans="1:2">
      <c r="A1152" s="3" t="s">
        <v>16660</v>
      </c>
      <c r="B1152" s="4">
        <v>5.8</v>
      </c>
    </row>
    <row r="1153" customHeight="1" spans="1:2">
      <c r="A1153" s="3" t="s">
        <v>5409</v>
      </c>
      <c r="B1153" s="4">
        <v>6.75</v>
      </c>
    </row>
    <row r="1154" customHeight="1" spans="1:2">
      <c r="A1154" s="3" t="s">
        <v>18490</v>
      </c>
      <c r="B1154" s="4">
        <v>8.3</v>
      </c>
    </row>
    <row r="1155" customHeight="1" spans="1:2">
      <c r="A1155" s="3" t="s">
        <v>14666</v>
      </c>
      <c r="B1155" s="4">
        <v>6.25</v>
      </c>
    </row>
    <row r="1156" customHeight="1" spans="1:2">
      <c r="A1156" s="3" t="s">
        <v>13793</v>
      </c>
      <c r="B1156" s="4">
        <v>6.33333333333333</v>
      </c>
    </row>
    <row r="1157" customHeight="1" spans="1:2">
      <c r="A1157" s="3" t="s">
        <v>9711</v>
      </c>
      <c r="B1157" s="4">
        <v>6.95</v>
      </c>
    </row>
    <row r="1158" customHeight="1" spans="1:2">
      <c r="A1158" s="3" t="s">
        <v>4988</v>
      </c>
      <c r="B1158" s="4">
        <v>4.88</v>
      </c>
    </row>
    <row r="1159" customHeight="1" spans="1:2">
      <c r="A1159" s="3" t="s">
        <v>1341</v>
      </c>
      <c r="B1159" s="4">
        <v>6.51666666666667</v>
      </c>
    </row>
    <row r="1160" customHeight="1" spans="1:2">
      <c r="A1160" s="3" t="s">
        <v>18317</v>
      </c>
      <c r="B1160" s="4">
        <v>7.3</v>
      </c>
    </row>
    <row r="1161" customHeight="1" spans="1:2">
      <c r="A1161" s="3" t="s">
        <v>21797</v>
      </c>
      <c r="B1161" s="4">
        <v>5.6</v>
      </c>
    </row>
    <row r="1162" customHeight="1" spans="1:2">
      <c r="A1162" s="3" t="s">
        <v>2462</v>
      </c>
      <c r="B1162" s="4">
        <v>6.2</v>
      </c>
    </row>
    <row r="1163" customHeight="1" spans="1:2">
      <c r="A1163" s="3" t="s">
        <v>4135</v>
      </c>
      <c r="B1163" s="4">
        <v>6</v>
      </c>
    </row>
    <row r="1164" customHeight="1" spans="1:2">
      <c r="A1164" s="3" t="s">
        <v>10294</v>
      </c>
      <c r="B1164" s="4">
        <v>6.3</v>
      </c>
    </row>
    <row r="1165" customHeight="1" spans="1:2">
      <c r="A1165" s="3" t="s">
        <v>251</v>
      </c>
      <c r="B1165" s="4">
        <v>7.12857142857143</v>
      </c>
    </row>
    <row r="1166" customHeight="1" spans="1:2">
      <c r="A1166" s="3" t="s">
        <v>20031</v>
      </c>
      <c r="B1166" s="4">
        <v>6.03333333333333</v>
      </c>
    </row>
    <row r="1167" customHeight="1" spans="1:2">
      <c r="A1167" s="3" t="s">
        <v>13863</v>
      </c>
      <c r="B1167" s="4">
        <v>5.1</v>
      </c>
    </row>
    <row r="1168" customHeight="1" spans="1:2">
      <c r="A1168" s="3" t="s">
        <v>5231</v>
      </c>
      <c r="B1168" s="4">
        <v>6.65</v>
      </c>
    </row>
    <row r="1169" customHeight="1" spans="1:2">
      <c r="A1169" s="3" t="s">
        <v>14736</v>
      </c>
      <c r="B1169" s="4">
        <v>6.5</v>
      </c>
    </row>
    <row r="1170" customHeight="1" spans="1:2">
      <c r="A1170" s="3" t="s">
        <v>17173</v>
      </c>
      <c r="B1170" s="4">
        <v>5.63333333333333</v>
      </c>
    </row>
    <row r="1171" customHeight="1" spans="1:2">
      <c r="A1171" s="3" t="s">
        <v>10753</v>
      </c>
      <c r="B1171" s="4">
        <v>6.43333333333333</v>
      </c>
    </row>
    <row r="1172" customHeight="1" spans="1:2">
      <c r="A1172" s="3" t="s">
        <v>1072</v>
      </c>
      <c r="B1172" s="4">
        <v>5.34</v>
      </c>
    </row>
    <row r="1173" customHeight="1" spans="1:2">
      <c r="A1173" s="3" t="s">
        <v>14324</v>
      </c>
      <c r="B1173" s="4">
        <v>7</v>
      </c>
    </row>
    <row r="1174" customHeight="1" spans="1:2">
      <c r="A1174" s="3" t="s">
        <v>23357</v>
      </c>
      <c r="B1174" s="4">
        <v>7</v>
      </c>
    </row>
    <row r="1175" customHeight="1" spans="1:2">
      <c r="A1175" s="3" t="s">
        <v>5004</v>
      </c>
      <c r="B1175" s="4">
        <v>6.6</v>
      </c>
    </row>
    <row r="1176" customHeight="1" spans="1:2">
      <c r="A1176" s="3" t="s">
        <v>704</v>
      </c>
      <c r="B1176" s="4">
        <v>6.5</v>
      </c>
    </row>
    <row r="1177" customHeight="1" spans="1:2">
      <c r="A1177" s="3" t="s">
        <v>17495</v>
      </c>
      <c r="B1177" s="4">
        <v>6.3</v>
      </c>
    </row>
    <row r="1178" customHeight="1" spans="1:2">
      <c r="A1178" s="3" t="s">
        <v>18292</v>
      </c>
      <c r="B1178" s="4">
        <v>6.45</v>
      </c>
    </row>
    <row r="1179" customHeight="1" spans="1:2">
      <c r="A1179" s="3" t="s">
        <v>16075</v>
      </c>
      <c r="B1179" s="4">
        <v>5.6</v>
      </c>
    </row>
    <row r="1180" customHeight="1" spans="1:2">
      <c r="A1180" s="3" t="s">
        <v>22868</v>
      </c>
      <c r="B1180" s="4">
        <v>7.2</v>
      </c>
    </row>
    <row r="1181" customHeight="1" spans="1:2">
      <c r="A1181" s="3" t="s">
        <v>15981</v>
      </c>
      <c r="B1181" s="4">
        <v>7.9</v>
      </c>
    </row>
    <row r="1182" customHeight="1" spans="1:2">
      <c r="A1182" s="3" t="s">
        <v>2729</v>
      </c>
      <c r="B1182" s="4">
        <v>7.1</v>
      </c>
    </row>
    <row r="1183" customHeight="1" spans="1:2">
      <c r="A1183" s="3" t="s">
        <v>10053</v>
      </c>
      <c r="B1183" s="4">
        <v>6.2</v>
      </c>
    </row>
    <row r="1184" customHeight="1" spans="1:2">
      <c r="A1184" s="3" t="s">
        <v>3377</v>
      </c>
      <c r="B1184" s="4">
        <v>5.85</v>
      </c>
    </row>
    <row r="1185" customHeight="1" spans="1:2">
      <c r="A1185" s="3" t="s">
        <v>11358</v>
      </c>
      <c r="B1185" s="4">
        <v>6.56666666666667</v>
      </c>
    </row>
    <row r="1186" customHeight="1" spans="1:2">
      <c r="A1186" s="3" t="s">
        <v>7853</v>
      </c>
      <c r="B1186" s="4">
        <v>6.5</v>
      </c>
    </row>
    <row r="1187" customHeight="1" spans="1:2">
      <c r="A1187" s="3" t="s">
        <v>11533</v>
      </c>
      <c r="B1187" s="4">
        <v>7.2</v>
      </c>
    </row>
    <row r="1188" customHeight="1" spans="1:2">
      <c r="A1188" s="3" t="s">
        <v>9915</v>
      </c>
      <c r="B1188" s="4">
        <v>6.4</v>
      </c>
    </row>
    <row r="1189" customHeight="1" spans="1:2">
      <c r="A1189" s="3" t="s">
        <v>21206</v>
      </c>
      <c r="B1189" s="4">
        <v>6.2</v>
      </c>
    </row>
    <row r="1190" customHeight="1" spans="1:2">
      <c r="A1190" s="3" t="s">
        <v>8198</v>
      </c>
      <c r="B1190" s="4">
        <v>6.8</v>
      </c>
    </row>
    <row r="1191" customHeight="1" spans="1:2">
      <c r="A1191" s="3" t="s">
        <v>877</v>
      </c>
      <c r="B1191" s="4">
        <v>5.7</v>
      </c>
    </row>
    <row r="1192" customHeight="1" spans="1:2">
      <c r="A1192" s="3" t="s">
        <v>6964</v>
      </c>
      <c r="B1192" s="4">
        <v>6.7</v>
      </c>
    </row>
    <row r="1193" customHeight="1" spans="1:2">
      <c r="A1193" s="3" t="s">
        <v>22005</v>
      </c>
      <c r="B1193" s="4">
        <v>5.3</v>
      </c>
    </row>
    <row r="1194" customHeight="1" spans="1:2">
      <c r="A1194" s="3" t="s">
        <v>647</v>
      </c>
      <c r="B1194" s="4">
        <v>6.55</v>
      </c>
    </row>
    <row r="1195" customHeight="1" spans="1:2">
      <c r="A1195" s="3" t="s">
        <v>10241</v>
      </c>
      <c r="B1195" s="4">
        <v>5.4</v>
      </c>
    </row>
    <row r="1196" customHeight="1" spans="1:2">
      <c r="A1196" s="3" t="s">
        <v>22651</v>
      </c>
      <c r="B1196" s="4">
        <v>5</v>
      </c>
    </row>
    <row r="1197" customHeight="1" spans="1:2">
      <c r="A1197" s="3" t="s">
        <v>12009</v>
      </c>
      <c r="B1197" s="4">
        <v>7.1</v>
      </c>
    </row>
    <row r="1198" customHeight="1" spans="1:2">
      <c r="A1198" s="3" t="s">
        <v>20707</v>
      </c>
      <c r="B1198" s="4">
        <v>6.1</v>
      </c>
    </row>
    <row r="1199" customHeight="1" spans="1:2">
      <c r="A1199" s="3" t="s">
        <v>6892</v>
      </c>
      <c r="B1199" s="4">
        <v>7</v>
      </c>
    </row>
    <row r="1200" customHeight="1" spans="1:2">
      <c r="A1200" s="3" t="s">
        <v>4253</v>
      </c>
      <c r="B1200" s="4">
        <v>6.1</v>
      </c>
    </row>
    <row r="1201" customHeight="1" spans="1:2">
      <c r="A1201" s="3" t="s">
        <v>22185</v>
      </c>
      <c r="B1201" s="4">
        <v>7.2</v>
      </c>
    </row>
    <row r="1202" customHeight="1" spans="1:2">
      <c r="A1202" s="3" t="s">
        <v>5200</v>
      </c>
      <c r="B1202" s="4">
        <v>7.3</v>
      </c>
    </row>
    <row r="1203" customHeight="1" spans="1:2">
      <c r="A1203" s="3" t="s">
        <v>18660</v>
      </c>
      <c r="B1203" s="4">
        <v>7.7</v>
      </c>
    </row>
    <row r="1204" customHeight="1" spans="1:2">
      <c r="A1204" s="3" t="s">
        <v>9844</v>
      </c>
      <c r="B1204" s="4">
        <v>5.5</v>
      </c>
    </row>
    <row r="1205" customHeight="1" spans="1:2">
      <c r="A1205" s="3" t="s">
        <v>21724</v>
      </c>
      <c r="B1205" s="4">
        <v>3.6</v>
      </c>
    </row>
    <row r="1206" customHeight="1" spans="1:2">
      <c r="A1206" s="3" t="s">
        <v>1400</v>
      </c>
      <c r="B1206" s="4">
        <v>6.83333333333333</v>
      </c>
    </row>
    <row r="1207" customHeight="1" spans="1:2">
      <c r="A1207" s="3" t="s">
        <v>12515</v>
      </c>
      <c r="B1207" s="4">
        <v>7</v>
      </c>
    </row>
    <row r="1208" customHeight="1" spans="1:2">
      <c r="A1208" s="3" t="s">
        <v>22557</v>
      </c>
      <c r="B1208" s="4">
        <v>6.8</v>
      </c>
    </row>
    <row r="1209" customHeight="1" spans="1:2">
      <c r="A1209" s="3" t="s">
        <v>63</v>
      </c>
      <c r="B1209" s="4">
        <v>6.6</v>
      </c>
    </row>
    <row r="1210" customHeight="1" spans="1:2">
      <c r="A1210" s="3" t="s">
        <v>23819</v>
      </c>
      <c r="B1210" s="4">
        <v>4.1</v>
      </c>
    </row>
    <row r="1211" customHeight="1" spans="1:2">
      <c r="A1211" s="3" t="s">
        <v>6711</v>
      </c>
      <c r="B1211" s="4">
        <v>4.9</v>
      </c>
    </row>
    <row r="1212" customHeight="1" spans="1:2">
      <c r="A1212" s="3" t="s">
        <v>300</v>
      </c>
      <c r="B1212" s="4">
        <v>7.175</v>
      </c>
    </row>
    <row r="1213" customHeight="1" spans="1:2">
      <c r="A1213" s="3" t="s">
        <v>6112</v>
      </c>
      <c r="B1213" s="4">
        <v>7</v>
      </c>
    </row>
    <row r="1214" customHeight="1" spans="1:2">
      <c r="A1214" s="3" t="s">
        <v>24005</v>
      </c>
      <c r="B1214" s="4">
        <v>4.8</v>
      </c>
    </row>
    <row r="1215" customHeight="1" spans="1:2">
      <c r="A1215" s="3" t="s">
        <v>3553</v>
      </c>
      <c r="B1215" s="4">
        <v>5.6</v>
      </c>
    </row>
    <row r="1216" customHeight="1" spans="1:2">
      <c r="A1216" s="3" t="s">
        <v>10260</v>
      </c>
      <c r="B1216" s="4">
        <v>2.8</v>
      </c>
    </row>
    <row r="1217" customHeight="1" spans="1:2">
      <c r="A1217" s="3" t="s">
        <v>14965</v>
      </c>
      <c r="B1217" s="4">
        <v>5.6</v>
      </c>
    </row>
    <row r="1218" customHeight="1" spans="1:2">
      <c r="A1218" s="3" t="s">
        <v>14140</v>
      </c>
      <c r="B1218" s="4">
        <v>7.8</v>
      </c>
    </row>
    <row r="1219" customHeight="1" spans="1:2">
      <c r="A1219" s="3" t="s">
        <v>3913</v>
      </c>
      <c r="B1219" s="4">
        <v>6.2</v>
      </c>
    </row>
    <row r="1220" customHeight="1" spans="1:2">
      <c r="A1220" s="3" t="s">
        <v>13499</v>
      </c>
      <c r="B1220" s="4">
        <v>5.4</v>
      </c>
    </row>
    <row r="1221" customHeight="1" spans="1:2">
      <c r="A1221" s="3" t="s">
        <v>1501</v>
      </c>
      <c r="B1221" s="4">
        <v>5.23333333333333</v>
      </c>
    </row>
    <row r="1222" customHeight="1" spans="1:2">
      <c r="A1222" s="3" t="s">
        <v>10888</v>
      </c>
      <c r="B1222" s="4">
        <v>6.7</v>
      </c>
    </row>
    <row r="1223" customHeight="1" spans="1:2">
      <c r="A1223" s="3" t="s">
        <v>19139</v>
      </c>
      <c r="B1223" s="4">
        <v>7.5</v>
      </c>
    </row>
    <row r="1224" customHeight="1" spans="1:2">
      <c r="A1224" s="3" t="s">
        <v>10608</v>
      </c>
      <c r="B1224" s="4">
        <v>6.1</v>
      </c>
    </row>
    <row r="1225" customHeight="1" spans="1:2">
      <c r="A1225" s="3" t="s">
        <v>21753</v>
      </c>
      <c r="B1225" s="4">
        <v>8.2</v>
      </c>
    </row>
    <row r="1226" customHeight="1" spans="1:2">
      <c r="A1226" s="3" t="s">
        <v>15298</v>
      </c>
      <c r="B1226" s="4">
        <v>5.7</v>
      </c>
    </row>
    <row r="1227" customHeight="1" spans="1:2">
      <c r="A1227" s="3" t="s">
        <v>19898</v>
      </c>
      <c r="B1227" s="4">
        <v>7.6</v>
      </c>
    </row>
    <row r="1228" customHeight="1" spans="1:2">
      <c r="A1228" s="3" t="s">
        <v>97</v>
      </c>
      <c r="B1228" s="4">
        <v>7.925</v>
      </c>
    </row>
    <row r="1229" customHeight="1" spans="1:2">
      <c r="A1229" s="3" t="s">
        <v>12864</v>
      </c>
      <c r="B1229" s="4">
        <v>7</v>
      </c>
    </row>
    <row r="1230" customHeight="1" spans="1:2">
      <c r="A1230" s="3" t="s">
        <v>10541</v>
      </c>
      <c r="B1230" s="4">
        <v>7.45</v>
      </c>
    </row>
    <row r="1231" customHeight="1" spans="1:2">
      <c r="A1231" s="3" t="s">
        <v>3219</v>
      </c>
      <c r="B1231" s="4">
        <v>6.6</v>
      </c>
    </row>
    <row r="1232" customHeight="1" spans="1:2">
      <c r="A1232" s="3" t="s">
        <v>20407</v>
      </c>
      <c r="B1232" s="4">
        <v>5.3</v>
      </c>
    </row>
    <row r="1233" customHeight="1" spans="1:2">
      <c r="A1233" s="3" t="s">
        <v>15520</v>
      </c>
      <c r="B1233" s="4">
        <v>6.15</v>
      </c>
    </row>
    <row r="1234" customHeight="1" spans="1:2">
      <c r="A1234" s="3" t="s">
        <v>12361</v>
      </c>
      <c r="B1234" s="4">
        <v>7.1</v>
      </c>
    </row>
    <row r="1235" customHeight="1" spans="1:2">
      <c r="A1235" s="3" t="s">
        <v>13504</v>
      </c>
      <c r="B1235" s="4">
        <v>7.45</v>
      </c>
    </row>
    <row r="1236" customHeight="1" spans="1:2">
      <c r="A1236" s="3" t="s">
        <v>6172</v>
      </c>
      <c r="B1236" s="4">
        <v>5.55</v>
      </c>
    </row>
    <row r="1237" customHeight="1" spans="1:2">
      <c r="A1237" s="3" t="s">
        <v>23785</v>
      </c>
      <c r="B1237" s="4">
        <v>5.4</v>
      </c>
    </row>
    <row r="1238" customHeight="1" spans="1:2">
      <c r="A1238" s="3" t="s">
        <v>5883</v>
      </c>
      <c r="B1238" s="4">
        <v>6.9</v>
      </c>
    </row>
    <row r="1239" customHeight="1" spans="1:2">
      <c r="A1239" s="3" t="s">
        <v>13318</v>
      </c>
      <c r="B1239" s="4">
        <v>6.6</v>
      </c>
    </row>
    <row r="1240" customHeight="1" spans="1:2">
      <c r="A1240" s="3" t="s">
        <v>15390</v>
      </c>
      <c r="B1240" s="4">
        <v>5.9</v>
      </c>
    </row>
    <row r="1241" customHeight="1" spans="1:2">
      <c r="A1241" s="3" t="s">
        <v>10787</v>
      </c>
      <c r="B1241" s="4">
        <v>6.3</v>
      </c>
    </row>
    <row r="1242" customHeight="1" spans="1:2">
      <c r="A1242" s="3" t="s">
        <v>13284</v>
      </c>
      <c r="B1242" s="4">
        <v>6</v>
      </c>
    </row>
    <row r="1243" customHeight="1" spans="1:2">
      <c r="A1243" s="3" t="s">
        <v>6668</v>
      </c>
      <c r="B1243" s="4">
        <v>6.9</v>
      </c>
    </row>
    <row r="1244" customHeight="1" spans="1:2">
      <c r="A1244" s="3" t="s">
        <v>23429</v>
      </c>
      <c r="B1244" s="4">
        <v>7.5</v>
      </c>
    </row>
    <row r="1245" customHeight="1" spans="1:2">
      <c r="A1245" s="3" t="s">
        <v>19077</v>
      </c>
      <c r="B1245" s="4">
        <v>7.1</v>
      </c>
    </row>
    <row r="1246" customHeight="1" spans="1:2">
      <c r="A1246" s="3" t="s">
        <v>409</v>
      </c>
      <c r="B1246" s="4">
        <v>6.84</v>
      </c>
    </row>
    <row r="1247" customHeight="1" spans="1:2">
      <c r="A1247" s="3" t="s">
        <v>22150</v>
      </c>
      <c r="B1247" s="4">
        <v>6.9</v>
      </c>
    </row>
    <row r="1248" customHeight="1" spans="1:2">
      <c r="A1248" s="3" t="s">
        <v>22735</v>
      </c>
      <c r="B1248" s="4">
        <v>8.3</v>
      </c>
    </row>
    <row r="1249" customHeight="1" spans="1:2">
      <c r="A1249" s="3" t="s">
        <v>21388</v>
      </c>
      <c r="B1249" s="4">
        <v>4.5</v>
      </c>
    </row>
    <row r="1250" customHeight="1" spans="1:2">
      <c r="A1250" s="3" t="s">
        <v>16037</v>
      </c>
      <c r="B1250" s="4">
        <v>7.8</v>
      </c>
    </row>
    <row r="1251" customHeight="1" spans="1:2">
      <c r="A1251" s="3" t="s">
        <v>7931</v>
      </c>
      <c r="B1251" s="4">
        <v>5.6</v>
      </c>
    </row>
    <row r="1252" customHeight="1" spans="1:2">
      <c r="A1252" s="3" t="s">
        <v>21998</v>
      </c>
      <c r="B1252" s="4">
        <v>3.5</v>
      </c>
    </row>
    <row r="1253" customHeight="1" spans="1:2">
      <c r="A1253" s="3" t="s">
        <v>18335</v>
      </c>
      <c r="B1253" s="4">
        <v>4.7</v>
      </c>
    </row>
    <row r="1254" customHeight="1" spans="1:2">
      <c r="A1254" s="3" t="s">
        <v>8691</v>
      </c>
      <c r="B1254" s="4">
        <v>5.6</v>
      </c>
    </row>
    <row r="1255" customHeight="1" spans="1:2">
      <c r="A1255" s="3" t="s">
        <v>14705</v>
      </c>
      <c r="B1255" s="4">
        <v>7</v>
      </c>
    </row>
    <row r="1256" customHeight="1" spans="1:2">
      <c r="A1256" s="3" t="s">
        <v>19088</v>
      </c>
      <c r="B1256" s="4">
        <v>6.7</v>
      </c>
    </row>
    <row r="1257" customHeight="1" spans="1:2">
      <c r="A1257" s="3" t="s">
        <v>4795</v>
      </c>
      <c r="B1257" s="4">
        <v>5.6</v>
      </c>
    </row>
    <row r="1258" customHeight="1" spans="1:2">
      <c r="A1258" s="3" t="s">
        <v>15447</v>
      </c>
      <c r="B1258" s="4">
        <v>6.9</v>
      </c>
    </row>
    <row r="1259" customHeight="1" spans="1:2">
      <c r="A1259" s="3" t="s">
        <v>18709</v>
      </c>
      <c r="B1259" s="4">
        <v>6.1</v>
      </c>
    </row>
    <row r="1260" customHeight="1" spans="1:2">
      <c r="A1260" s="3" t="s">
        <v>6978</v>
      </c>
      <c r="B1260" s="4">
        <v>6.9</v>
      </c>
    </row>
    <row r="1261" customHeight="1" spans="1:2">
      <c r="A1261" s="3" t="s">
        <v>4778</v>
      </c>
      <c r="B1261" s="4">
        <v>5.3</v>
      </c>
    </row>
    <row r="1262" customHeight="1" spans="1:2">
      <c r="A1262" s="3" t="s">
        <v>12121</v>
      </c>
      <c r="B1262" s="4">
        <v>5.9</v>
      </c>
    </row>
    <row r="1263" customHeight="1" spans="1:2">
      <c r="A1263" s="3" t="s">
        <v>22045</v>
      </c>
      <c r="B1263" s="4">
        <v>5.7</v>
      </c>
    </row>
    <row r="1264" customHeight="1" spans="1:2">
      <c r="A1264" s="3" t="s">
        <v>17305</v>
      </c>
      <c r="B1264" s="4">
        <v>5.8</v>
      </c>
    </row>
    <row r="1265" customHeight="1" spans="1:2">
      <c r="A1265" s="3" t="s">
        <v>19507</v>
      </c>
      <c r="B1265" s="4">
        <v>5.9</v>
      </c>
    </row>
    <row r="1266" customHeight="1" spans="1:2">
      <c r="A1266" s="3" t="s">
        <v>21898</v>
      </c>
      <c r="B1266" s="4">
        <v>6.7</v>
      </c>
    </row>
    <row r="1267" customHeight="1" spans="1:2">
      <c r="A1267" s="3" t="s">
        <v>15394</v>
      </c>
      <c r="B1267" s="4">
        <v>4.7</v>
      </c>
    </row>
    <row r="1268" customHeight="1" spans="1:2">
      <c r="A1268" s="3" t="s">
        <v>2272</v>
      </c>
      <c r="B1268" s="4">
        <v>7.23333333333333</v>
      </c>
    </row>
    <row r="1269" customHeight="1" spans="1:2">
      <c r="A1269" s="3" t="s">
        <v>16640</v>
      </c>
      <c r="B1269" s="4">
        <v>4.7</v>
      </c>
    </row>
    <row r="1270" customHeight="1" spans="1:2">
      <c r="A1270" s="3" t="s">
        <v>13165</v>
      </c>
      <c r="B1270" s="4">
        <v>5.5</v>
      </c>
    </row>
    <row r="1271" customHeight="1" spans="1:2">
      <c r="A1271" s="3" t="s">
        <v>11442</v>
      </c>
      <c r="B1271" s="4">
        <v>7.5</v>
      </c>
    </row>
    <row r="1272" customHeight="1" spans="1:2">
      <c r="A1272" s="3" t="s">
        <v>10594</v>
      </c>
      <c r="B1272" s="4">
        <v>4.6</v>
      </c>
    </row>
    <row r="1273" customHeight="1" spans="1:2">
      <c r="A1273" s="3" t="s">
        <v>22817</v>
      </c>
      <c r="B1273" s="4">
        <v>7.6</v>
      </c>
    </row>
    <row r="1274" customHeight="1" spans="1:2">
      <c r="A1274" s="3" t="s">
        <v>3881</v>
      </c>
      <c r="B1274" s="4">
        <v>5.175</v>
      </c>
    </row>
    <row r="1275" customHeight="1" spans="1:2">
      <c r="A1275" s="3" t="s">
        <v>16212</v>
      </c>
      <c r="B1275" s="4">
        <v>5.6</v>
      </c>
    </row>
    <row r="1276" customHeight="1" spans="1:2">
      <c r="A1276" s="3" t="s">
        <v>16271</v>
      </c>
      <c r="B1276" s="4">
        <v>4.6</v>
      </c>
    </row>
    <row r="1277" customHeight="1" spans="1:2">
      <c r="A1277" s="3" t="s">
        <v>2710</v>
      </c>
      <c r="B1277" s="4">
        <v>7</v>
      </c>
    </row>
    <row r="1278" customHeight="1" spans="1:2">
      <c r="A1278" s="3" t="s">
        <v>6589</v>
      </c>
      <c r="B1278" s="4">
        <v>5.8</v>
      </c>
    </row>
    <row r="1279" customHeight="1" spans="1:2">
      <c r="A1279" s="3" t="s">
        <v>20333</v>
      </c>
      <c r="B1279" s="4">
        <v>6.76666666666667</v>
      </c>
    </row>
    <row r="1280" customHeight="1" spans="1:2">
      <c r="A1280" s="3" t="s">
        <v>14819</v>
      </c>
      <c r="B1280" s="4">
        <v>7.8</v>
      </c>
    </row>
    <row r="1281" customHeight="1" spans="1:2">
      <c r="A1281" s="3" t="s">
        <v>23153</v>
      </c>
      <c r="B1281" s="4">
        <v>4.3</v>
      </c>
    </row>
    <row r="1282" customHeight="1" spans="1:2">
      <c r="A1282" s="3" t="s">
        <v>6298</v>
      </c>
      <c r="B1282" s="4">
        <v>6.2</v>
      </c>
    </row>
    <row r="1283" customHeight="1" spans="1:2">
      <c r="A1283" s="3" t="s">
        <v>15917</v>
      </c>
      <c r="B1283" s="4">
        <v>7.5</v>
      </c>
    </row>
    <row r="1284" customHeight="1" spans="1:2">
      <c r="A1284" s="3" t="s">
        <v>23559</v>
      </c>
      <c r="B1284" s="4">
        <v>7</v>
      </c>
    </row>
    <row r="1285" customHeight="1" spans="1:2">
      <c r="A1285" s="3" t="s">
        <v>7755</v>
      </c>
      <c r="B1285" s="4">
        <v>5.9</v>
      </c>
    </row>
    <row r="1286" customHeight="1" spans="1:2">
      <c r="A1286" s="3" t="s">
        <v>16033</v>
      </c>
      <c r="B1286" s="4">
        <v>5</v>
      </c>
    </row>
    <row r="1287" customHeight="1" spans="1:2">
      <c r="A1287" s="3" t="s">
        <v>858</v>
      </c>
      <c r="B1287" s="4">
        <v>7.16666666666667</v>
      </c>
    </row>
    <row r="1288" customHeight="1" spans="1:2">
      <c r="A1288" s="3" t="s">
        <v>12552</v>
      </c>
      <c r="B1288" s="4">
        <v>2.8</v>
      </c>
    </row>
    <row r="1289" customHeight="1" spans="1:2">
      <c r="A1289" s="3" t="s">
        <v>13574</v>
      </c>
      <c r="B1289" s="4">
        <v>7.1</v>
      </c>
    </row>
    <row r="1290" customHeight="1" spans="1:2">
      <c r="A1290" s="3" t="s">
        <v>4067</v>
      </c>
      <c r="B1290" s="4">
        <v>5.7</v>
      </c>
    </row>
    <row r="1291" customHeight="1" spans="1:2">
      <c r="A1291" s="3" t="s">
        <v>4749</v>
      </c>
      <c r="B1291" s="4">
        <v>5.8</v>
      </c>
    </row>
    <row r="1292" customHeight="1" spans="1:2">
      <c r="A1292" s="3" t="s">
        <v>3512</v>
      </c>
      <c r="B1292" s="4">
        <v>6.1</v>
      </c>
    </row>
    <row r="1293" customHeight="1" spans="1:2">
      <c r="A1293" s="3" t="s">
        <v>9306</v>
      </c>
      <c r="B1293" s="4">
        <v>5.4</v>
      </c>
    </row>
    <row r="1294" customHeight="1" spans="1:2">
      <c r="A1294" s="3" t="s">
        <v>4555</v>
      </c>
      <c r="B1294" s="4">
        <v>5.95</v>
      </c>
    </row>
    <row r="1295" customHeight="1" spans="1:2">
      <c r="A1295" s="3" t="s">
        <v>16644</v>
      </c>
      <c r="B1295" s="4">
        <v>6.3</v>
      </c>
    </row>
    <row r="1296" customHeight="1" spans="1:2">
      <c r="A1296" s="3" t="s">
        <v>18874</v>
      </c>
      <c r="B1296" s="4">
        <v>3.5</v>
      </c>
    </row>
    <row r="1297" customHeight="1" spans="1:2">
      <c r="A1297" s="3" t="s">
        <v>2860</v>
      </c>
      <c r="B1297" s="4">
        <v>7.16666666666667</v>
      </c>
    </row>
    <row r="1298" customHeight="1" spans="1:2">
      <c r="A1298" s="3" t="s">
        <v>4150</v>
      </c>
      <c r="B1298" s="4">
        <v>5.3</v>
      </c>
    </row>
    <row r="1299" customHeight="1" spans="1:2">
      <c r="A1299" s="3" t="s">
        <v>12185</v>
      </c>
      <c r="B1299" s="4">
        <v>5.8</v>
      </c>
    </row>
    <row r="1300" customHeight="1" spans="1:2">
      <c r="A1300" s="3" t="s">
        <v>21935</v>
      </c>
      <c r="B1300" s="4">
        <v>5.1</v>
      </c>
    </row>
    <row r="1301" customHeight="1" spans="1:2">
      <c r="A1301" s="3" t="s">
        <v>8529</v>
      </c>
      <c r="B1301" s="4">
        <v>5.3</v>
      </c>
    </row>
    <row r="1302" customHeight="1" spans="1:2">
      <c r="A1302" s="3" t="s">
        <v>23919</v>
      </c>
      <c r="B1302" s="4">
        <v>7.6</v>
      </c>
    </row>
    <row r="1303" customHeight="1" spans="1:2">
      <c r="A1303" s="3" t="s">
        <v>2340</v>
      </c>
      <c r="B1303" s="4">
        <v>5.95</v>
      </c>
    </row>
    <row r="1304" customHeight="1" spans="1:2">
      <c r="A1304" s="3" t="s">
        <v>4230</v>
      </c>
      <c r="B1304" s="4">
        <v>7.63333333333333</v>
      </c>
    </row>
    <row r="1305" customHeight="1" spans="1:2">
      <c r="A1305" s="3" t="s">
        <v>7349</v>
      </c>
      <c r="B1305" s="4">
        <v>5.7</v>
      </c>
    </row>
    <row r="1306" customHeight="1" spans="1:2">
      <c r="A1306" s="3" t="s">
        <v>529</v>
      </c>
      <c r="B1306" s="4">
        <v>6.68</v>
      </c>
    </row>
    <row r="1307" customHeight="1" spans="1:2">
      <c r="A1307" s="3" t="s">
        <v>7303</v>
      </c>
      <c r="B1307" s="4">
        <v>5.7</v>
      </c>
    </row>
    <row r="1308" customHeight="1" spans="1:2">
      <c r="A1308" s="3" t="s">
        <v>7135</v>
      </c>
      <c r="B1308" s="4">
        <v>6.56666666666667</v>
      </c>
    </row>
    <row r="1309" customHeight="1" spans="1:2">
      <c r="A1309" s="3" t="s">
        <v>120</v>
      </c>
      <c r="B1309" s="4">
        <v>6.4</v>
      </c>
    </row>
    <row r="1310" customHeight="1" spans="1:2">
      <c r="A1310" s="3" t="s">
        <v>11872</v>
      </c>
      <c r="B1310" s="4">
        <v>5.2</v>
      </c>
    </row>
    <row r="1311" customHeight="1" spans="1:2">
      <c r="A1311" s="3" t="s">
        <v>20280</v>
      </c>
      <c r="B1311" s="4">
        <v>5.7</v>
      </c>
    </row>
    <row r="1312" customHeight="1" spans="1:2">
      <c r="A1312" s="3" t="s">
        <v>21703</v>
      </c>
      <c r="B1312" s="4">
        <v>6.2</v>
      </c>
    </row>
    <row r="1313" customHeight="1" spans="1:2">
      <c r="A1313" s="3" t="s">
        <v>13199</v>
      </c>
      <c r="B1313" s="4">
        <v>5.6</v>
      </c>
    </row>
    <row r="1314" customHeight="1" spans="1:2">
      <c r="A1314" s="3" t="s">
        <v>20711</v>
      </c>
      <c r="B1314" s="4">
        <v>7.5</v>
      </c>
    </row>
    <row r="1315" customHeight="1" spans="1:2">
      <c r="A1315" s="3" t="s">
        <v>21791</v>
      </c>
      <c r="B1315" s="4">
        <v>6.8</v>
      </c>
    </row>
    <row r="1316" customHeight="1" spans="1:2">
      <c r="A1316" s="3" t="s">
        <v>15401</v>
      </c>
      <c r="B1316" s="4">
        <v>5.2</v>
      </c>
    </row>
    <row r="1317" customHeight="1" spans="1:2">
      <c r="A1317" s="3" t="s">
        <v>16785</v>
      </c>
      <c r="B1317" s="4">
        <v>7.2</v>
      </c>
    </row>
    <row r="1318" customHeight="1" spans="1:2">
      <c r="A1318" s="3" t="s">
        <v>8418</v>
      </c>
      <c r="B1318" s="4">
        <v>6.475</v>
      </c>
    </row>
    <row r="1319" customHeight="1" spans="1:2">
      <c r="A1319" s="3" t="s">
        <v>7612</v>
      </c>
      <c r="B1319" s="4">
        <v>5.2</v>
      </c>
    </row>
    <row r="1320" customHeight="1" spans="1:2">
      <c r="A1320" s="3" t="s">
        <v>17041</v>
      </c>
      <c r="B1320" s="4">
        <v>7.13333333333333</v>
      </c>
    </row>
    <row r="1321" customHeight="1" spans="1:2">
      <c r="A1321" s="3" t="s">
        <v>3573</v>
      </c>
      <c r="B1321" s="4">
        <v>6</v>
      </c>
    </row>
    <row r="1322" customHeight="1" spans="1:2">
      <c r="A1322" s="3" t="s">
        <v>1454</v>
      </c>
      <c r="B1322" s="4">
        <v>5.9</v>
      </c>
    </row>
    <row r="1323" customHeight="1" spans="1:2">
      <c r="A1323" s="3" t="s">
        <v>7110</v>
      </c>
      <c r="B1323" s="4">
        <v>6.6</v>
      </c>
    </row>
    <row r="1324" customHeight="1" spans="1:2">
      <c r="A1324" s="3" t="s">
        <v>23925</v>
      </c>
      <c r="B1324" s="4">
        <v>5</v>
      </c>
    </row>
    <row r="1325" customHeight="1" spans="1:2">
      <c r="A1325" s="3" t="s">
        <v>13721</v>
      </c>
      <c r="B1325" s="4">
        <v>6.1</v>
      </c>
    </row>
    <row r="1326" customHeight="1" spans="1:2">
      <c r="A1326" s="3" t="s">
        <v>9651</v>
      </c>
      <c r="B1326" s="4">
        <v>7.5</v>
      </c>
    </row>
    <row r="1327" customHeight="1" spans="1:2">
      <c r="A1327" s="3" t="s">
        <v>24078</v>
      </c>
      <c r="B1327" s="4">
        <v>7.4</v>
      </c>
    </row>
    <row r="1328" customHeight="1" spans="1:2">
      <c r="A1328" s="3" t="s">
        <v>18009</v>
      </c>
      <c r="B1328" s="4">
        <v>3.3</v>
      </c>
    </row>
    <row r="1329" customHeight="1" spans="1:2">
      <c r="A1329" s="3" t="s">
        <v>15645</v>
      </c>
      <c r="B1329" s="4">
        <v>4.9</v>
      </c>
    </row>
    <row r="1330" customHeight="1" spans="1:2">
      <c r="A1330" s="3" t="s">
        <v>23315</v>
      </c>
      <c r="B1330" s="4">
        <v>8</v>
      </c>
    </row>
    <row r="1331" customHeight="1" spans="1:2">
      <c r="A1331" s="3" t="s">
        <v>15579</v>
      </c>
      <c r="B1331" s="4">
        <v>7.5</v>
      </c>
    </row>
    <row r="1332" customHeight="1" spans="1:2">
      <c r="A1332" s="3" t="s">
        <v>20380</v>
      </c>
      <c r="B1332" s="4">
        <v>2.8</v>
      </c>
    </row>
    <row r="1333" customHeight="1" spans="1:2">
      <c r="A1333" s="3" t="s">
        <v>19234</v>
      </c>
      <c r="B1333" s="4">
        <v>5.6</v>
      </c>
    </row>
    <row r="1334" customHeight="1" spans="1:2">
      <c r="A1334" s="3" t="s">
        <v>22543</v>
      </c>
      <c r="B1334" s="4">
        <v>6.2</v>
      </c>
    </row>
    <row r="1335" customHeight="1" spans="1:2">
      <c r="A1335" s="3" t="s">
        <v>21346</v>
      </c>
      <c r="B1335" s="4">
        <v>6.1</v>
      </c>
    </row>
    <row r="1336" customHeight="1" spans="1:2">
      <c r="A1336" s="3" t="s">
        <v>8515</v>
      </c>
      <c r="B1336" s="4">
        <v>5.95</v>
      </c>
    </row>
    <row r="1337" customHeight="1" spans="1:2">
      <c r="A1337" s="3" t="s">
        <v>3190</v>
      </c>
      <c r="B1337" s="4">
        <v>6.4</v>
      </c>
    </row>
    <row r="1338" customHeight="1" spans="1:2">
      <c r="A1338" s="3" t="s">
        <v>14388</v>
      </c>
      <c r="B1338" s="4">
        <v>7.1</v>
      </c>
    </row>
    <row r="1339" customHeight="1" spans="1:2">
      <c r="A1339" s="3" t="s">
        <v>444</v>
      </c>
      <c r="B1339" s="4">
        <v>6.91666666666667</v>
      </c>
    </row>
    <row r="1340" customHeight="1" spans="1:2">
      <c r="A1340" s="3" t="s">
        <v>12061</v>
      </c>
      <c r="B1340" s="4">
        <v>6.2</v>
      </c>
    </row>
    <row r="1341" customHeight="1" spans="1:2">
      <c r="A1341" s="3" t="s">
        <v>19541</v>
      </c>
      <c r="B1341" s="4">
        <v>6.2</v>
      </c>
    </row>
    <row r="1342" customHeight="1" spans="1:2">
      <c r="A1342" s="3" t="s">
        <v>22439</v>
      </c>
      <c r="B1342" s="4">
        <v>8</v>
      </c>
    </row>
    <row r="1343" customHeight="1" spans="1:2">
      <c r="A1343" s="3" t="s">
        <v>20372</v>
      </c>
      <c r="B1343" s="4">
        <v>6.7</v>
      </c>
    </row>
    <row r="1344" customHeight="1" spans="1:2">
      <c r="A1344" s="3" t="s">
        <v>12520</v>
      </c>
      <c r="B1344" s="4">
        <v>3.6</v>
      </c>
    </row>
    <row r="1345" customHeight="1" spans="1:2">
      <c r="A1345" s="3" t="s">
        <v>23718</v>
      </c>
      <c r="B1345" s="4">
        <v>7</v>
      </c>
    </row>
    <row r="1346" customHeight="1" spans="1:2">
      <c r="A1346" s="3" t="s">
        <v>3723</v>
      </c>
      <c r="B1346" s="4">
        <v>6.54</v>
      </c>
    </row>
    <row r="1347" customHeight="1" spans="1:2">
      <c r="A1347" s="3" t="s">
        <v>20074</v>
      </c>
      <c r="B1347" s="4">
        <v>7</v>
      </c>
    </row>
    <row r="1348" customHeight="1" spans="1:2">
      <c r="A1348" s="3" t="s">
        <v>13348</v>
      </c>
      <c r="B1348" s="4">
        <v>7.5</v>
      </c>
    </row>
    <row r="1349" customHeight="1" spans="1:2">
      <c r="A1349" s="3" t="s">
        <v>23761</v>
      </c>
      <c r="B1349" s="4">
        <v>6.8</v>
      </c>
    </row>
    <row r="1350" customHeight="1" spans="1:2">
      <c r="A1350" s="3" t="s">
        <v>7636</v>
      </c>
      <c r="B1350" s="4">
        <v>7.11111111111111</v>
      </c>
    </row>
    <row r="1351" customHeight="1" spans="1:2">
      <c r="A1351" s="3" t="s">
        <v>23017</v>
      </c>
      <c r="B1351" s="4">
        <v>8</v>
      </c>
    </row>
    <row r="1352" customHeight="1" spans="1:2">
      <c r="A1352" s="3" t="s">
        <v>10483</v>
      </c>
      <c r="B1352" s="4">
        <v>6.4</v>
      </c>
    </row>
    <row r="1353" customHeight="1" spans="1:2">
      <c r="A1353" s="3" t="s">
        <v>21360</v>
      </c>
      <c r="B1353" s="4">
        <v>5.6</v>
      </c>
    </row>
    <row r="1354" customHeight="1" spans="1:2">
      <c r="A1354" s="3" t="s">
        <v>19119</v>
      </c>
      <c r="B1354" s="4">
        <v>7.5</v>
      </c>
    </row>
    <row r="1355" customHeight="1" spans="1:2">
      <c r="A1355" s="3" t="s">
        <v>8713</v>
      </c>
      <c r="B1355" s="4">
        <v>7.25</v>
      </c>
    </row>
    <row r="1356" customHeight="1" spans="1:2">
      <c r="A1356" s="3" t="s">
        <v>20443</v>
      </c>
      <c r="B1356" s="4">
        <v>6.6</v>
      </c>
    </row>
    <row r="1357" customHeight="1" spans="1:2">
      <c r="A1357" s="3" t="s">
        <v>1890</v>
      </c>
      <c r="B1357" s="4">
        <v>3.7</v>
      </c>
    </row>
    <row r="1358" customHeight="1" spans="1:2">
      <c r="A1358" s="3" t="s">
        <v>5998</v>
      </c>
      <c r="B1358" s="4">
        <v>1.7</v>
      </c>
    </row>
    <row r="1359" customHeight="1" spans="1:2">
      <c r="A1359" s="3" t="s">
        <v>3640</v>
      </c>
      <c r="B1359" s="4">
        <v>6.26</v>
      </c>
    </row>
    <row r="1360" customHeight="1" spans="1:2">
      <c r="A1360" s="3" t="s">
        <v>14740</v>
      </c>
      <c r="B1360" s="4">
        <v>6.85</v>
      </c>
    </row>
    <row r="1361" customHeight="1" spans="1:2">
      <c r="A1361" s="3" t="s">
        <v>7038</v>
      </c>
      <c r="B1361" s="4">
        <v>7.26666666666667</v>
      </c>
    </row>
    <row r="1362" customHeight="1" spans="1:2">
      <c r="A1362" s="3" t="s">
        <v>963</v>
      </c>
      <c r="B1362" s="4">
        <v>6.14</v>
      </c>
    </row>
    <row r="1363" customHeight="1" spans="1:2">
      <c r="A1363" s="3" t="s">
        <v>8352</v>
      </c>
      <c r="B1363" s="4">
        <v>6.95</v>
      </c>
    </row>
    <row r="1364" customHeight="1" spans="1:2">
      <c r="A1364" s="3" t="s">
        <v>321</v>
      </c>
      <c r="B1364" s="4">
        <v>8.3</v>
      </c>
    </row>
    <row r="1365" customHeight="1" spans="1:2">
      <c r="A1365" s="3" t="s">
        <v>14789</v>
      </c>
      <c r="B1365" s="4">
        <v>6.1</v>
      </c>
    </row>
    <row r="1366" customHeight="1" spans="1:2">
      <c r="A1366" s="3" t="s">
        <v>1618</v>
      </c>
      <c r="B1366" s="4">
        <v>7</v>
      </c>
    </row>
    <row r="1367" customHeight="1" spans="1:2">
      <c r="A1367" s="3" t="s">
        <v>21809</v>
      </c>
      <c r="B1367" s="4">
        <v>6.3</v>
      </c>
    </row>
    <row r="1368" customHeight="1" spans="1:2">
      <c r="A1368" s="3" t="s">
        <v>13786</v>
      </c>
      <c r="B1368" s="4">
        <v>8.3</v>
      </c>
    </row>
    <row r="1369" customHeight="1" spans="1:2">
      <c r="A1369" s="3" t="s">
        <v>19648</v>
      </c>
      <c r="B1369" s="4">
        <v>6.1</v>
      </c>
    </row>
    <row r="1370" customHeight="1" spans="1:2">
      <c r="A1370" s="3" t="s">
        <v>14961</v>
      </c>
      <c r="B1370" s="4">
        <v>5.9</v>
      </c>
    </row>
    <row r="1371" customHeight="1" spans="1:2">
      <c r="A1371" s="3" t="s">
        <v>18186</v>
      </c>
      <c r="B1371" s="4">
        <v>5.3</v>
      </c>
    </row>
    <row r="1372" customHeight="1" spans="1:2">
      <c r="A1372" s="3" t="s">
        <v>1029</v>
      </c>
      <c r="B1372" s="4">
        <v>6.6</v>
      </c>
    </row>
    <row r="1373" customHeight="1" spans="1:2">
      <c r="A1373" s="3" t="s">
        <v>18634</v>
      </c>
      <c r="B1373" s="4">
        <v>7.1</v>
      </c>
    </row>
    <row r="1374" customHeight="1" spans="1:2">
      <c r="A1374" s="3" t="s">
        <v>2657</v>
      </c>
      <c r="B1374" s="4">
        <v>5.5</v>
      </c>
    </row>
    <row r="1375" customHeight="1" spans="1:2">
      <c r="A1375" s="3" t="s">
        <v>21146</v>
      </c>
      <c r="B1375" s="4">
        <v>6.5</v>
      </c>
    </row>
    <row r="1376" customHeight="1" spans="1:2">
      <c r="A1376" s="3" t="s">
        <v>19826</v>
      </c>
      <c r="B1376" s="4">
        <v>7.1</v>
      </c>
    </row>
    <row r="1377" customHeight="1" spans="1:2">
      <c r="A1377" s="3" t="s">
        <v>19477</v>
      </c>
      <c r="B1377" s="4">
        <v>5.3</v>
      </c>
    </row>
    <row r="1378" customHeight="1" spans="1:2">
      <c r="A1378" s="3" t="s">
        <v>21520</v>
      </c>
      <c r="B1378" s="4">
        <v>5.7</v>
      </c>
    </row>
    <row r="1379" customHeight="1" spans="1:2">
      <c r="A1379" s="3" t="s">
        <v>8053</v>
      </c>
      <c r="B1379" s="4">
        <v>6.76666666666667</v>
      </c>
    </row>
    <row r="1380" customHeight="1" spans="1:2">
      <c r="A1380" s="3" t="s">
        <v>7674</v>
      </c>
      <c r="B1380" s="4">
        <v>6</v>
      </c>
    </row>
    <row r="1381" customHeight="1" spans="1:2">
      <c r="A1381" s="3" t="s">
        <v>8708</v>
      </c>
      <c r="B1381" s="4">
        <v>6</v>
      </c>
    </row>
    <row r="1382" customHeight="1" spans="1:2">
      <c r="A1382" s="3" t="s">
        <v>14415</v>
      </c>
      <c r="B1382" s="4">
        <v>3.2</v>
      </c>
    </row>
    <row r="1383" customHeight="1" spans="1:2">
      <c r="A1383" s="3" t="s">
        <v>8755</v>
      </c>
      <c r="B1383" s="4">
        <v>6.7</v>
      </c>
    </row>
    <row r="1384" customHeight="1" spans="1:2">
      <c r="A1384" s="3" t="s">
        <v>15683</v>
      </c>
      <c r="B1384" s="4">
        <v>4.8</v>
      </c>
    </row>
    <row r="1385" customHeight="1" spans="1:2">
      <c r="A1385" s="3" t="s">
        <v>14211</v>
      </c>
      <c r="B1385" s="4">
        <v>5.3</v>
      </c>
    </row>
    <row r="1386" customHeight="1" spans="1:2">
      <c r="A1386" s="3" t="s">
        <v>14692</v>
      </c>
      <c r="B1386" s="4">
        <v>4.3</v>
      </c>
    </row>
    <row r="1387" customHeight="1" spans="1:2">
      <c r="A1387" s="3" t="s">
        <v>18481</v>
      </c>
      <c r="B1387" s="4">
        <v>7.1</v>
      </c>
    </row>
    <row r="1388" customHeight="1" spans="1:2">
      <c r="A1388" s="3" t="s">
        <v>23736</v>
      </c>
      <c r="B1388" s="4">
        <v>7.7</v>
      </c>
    </row>
    <row r="1389" customHeight="1" spans="1:2">
      <c r="A1389" s="3" t="s">
        <v>17505</v>
      </c>
      <c r="B1389" s="4">
        <v>5.6</v>
      </c>
    </row>
    <row r="1390" customHeight="1" spans="1:2">
      <c r="A1390" s="3" t="s">
        <v>23456</v>
      </c>
      <c r="B1390" s="4">
        <v>6.8</v>
      </c>
    </row>
    <row r="1391" customHeight="1" spans="1:2">
      <c r="A1391" s="3" t="s">
        <v>8422</v>
      </c>
      <c r="B1391" s="4">
        <v>6.7</v>
      </c>
    </row>
    <row r="1392" customHeight="1" spans="1:2">
      <c r="A1392" s="3" t="s">
        <v>22798</v>
      </c>
      <c r="B1392" s="4">
        <v>7.7</v>
      </c>
    </row>
    <row r="1393" customHeight="1" spans="1:2">
      <c r="A1393" s="3" t="s">
        <v>22785</v>
      </c>
      <c r="B1393" s="4">
        <v>6.2</v>
      </c>
    </row>
    <row r="1394" customHeight="1" spans="1:2">
      <c r="A1394" s="3" t="s">
        <v>20842</v>
      </c>
      <c r="B1394" s="4">
        <v>4.7</v>
      </c>
    </row>
    <row r="1395" customHeight="1" spans="1:2">
      <c r="A1395" s="3" t="s">
        <v>13018</v>
      </c>
      <c r="B1395" s="4">
        <v>7.15</v>
      </c>
    </row>
    <row r="1396" customHeight="1" spans="1:2">
      <c r="A1396" s="3" t="s">
        <v>15101</v>
      </c>
      <c r="B1396" s="4">
        <v>6.7</v>
      </c>
    </row>
    <row r="1397" customHeight="1" spans="1:2">
      <c r="A1397" s="3" t="s">
        <v>6284</v>
      </c>
      <c r="B1397" s="4">
        <v>6.5</v>
      </c>
    </row>
    <row r="1398" customHeight="1" spans="1:2">
      <c r="A1398" s="3" t="s">
        <v>23238</v>
      </c>
      <c r="B1398" s="4">
        <v>6.9</v>
      </c>
    </row>
    <row r="1399" customHeight="1" spans="1:2">
      <c r="A1399" s="3" t="s">
        <v>18955</v>
      </c>
      <c r="B1399" s="4">
        <v>5.2</v>
      </c>
    </row>
    <row r="1400" customHeight="1" spans="1:2">
      <c r="A1400" s="3" t="s">
        <v>1115</v>
      </c>
      <c r="B1400" s="4">
        <v>6.54285714285714</v>
      </c>
    </row>
    <row r="1401" customHeight="1" spans="1:2">
      <c r="A1401" s="3" t="s">
        <v>16895</v>
      </c>
      <c r="B1401" s="4">
        <v>3.6</v>
      </c>
    </row>
    <row r="1402" customHeight="1" spans="1:2">
      <c r="A1402" s="3" t="s">
        <v>23392</v>
      </c>
      <c r="B1402" s="4">
        <v>6.5</v>
      </c>
    </row>
    <row r="1403" customHeight="1" spans="1:2">
      <c r="A1403" s="3" t="s">
        <v>1972</v>
      </c>
      <c r="B1403" s="4">
        <v>6.6</v>
      </c>
    </row>
    <row r="1404" customHeight="1" spans="1:2">
      <c r="A1404" s="3" t="s">
        <v>19050</v>
      </c>
      <c r="B1404" s="4">
        <v>7.6</v>
      </c>
    </row>
    <row r="1405" customHeight="1" spans="1:2">
      <c r="A1405" s="3" t="s">
        <v>15181</v>
      </c>
      <c r="B1405" s="4">
        <v>7</v>
      </c>
    </row>
    <row r="1406" customHeight="1" spans="1:2">
      <c r="A1406" s="3" t="s">
        <v>2800</v>
      </c>
      <c r="B1406" s="4">
        <v>6.4</v>
      </c>
    </row>
    <row r="1407" customHeight="1" spans="1:2">
      <c r="A1407" s="3" t="s">
        <v>22887</v>
      </c>
      <c r="B1407" s="4">
        <v>6.9</v>
      </c>
    </row>
    <row r="1408" customHeight="1" spans="1:2">
      <c r="A1408" s="3" t="s">
        <v>20755</v>
      </c>
      <c r="B1408" s="4">
        <v>6.7</v>
      </c>
    </row>
    <row r="1409" customHeight="1" spans="1:2">
      <c r="A1409" s="3" t="s">
        <v>21106</v>
      </c>
      <c r="B1409" s="4">
        <v>6.7</v>
      </c>
    </row>
    <row r="1410" customHeight="1" spans="1:2">
      <c r="A1410" s="3" t="s">
        <v>5781</v>
      </c>
      <c r="B1410" s="4">
        <v>5</v>
      </c>
    </row>
    <row r="1411" customHeight="1" spans="1:2">
      <c r="A1411" s="3" t="s">
        <v>7016</v>
      </c>
      <c r="B1411" s="4">
        <v>5.85</v>
      </c>
    </row>
    <row r="1412" customHeight="1" spans="1:2">
      <c r="A1412" s="3" t="s">
        <v>16860</v>
      </c>
      <c r="B1412" s="4">
        <v>6.8</v>
      </c>
    </row>
    <row r="1413" customHeight="1" spans="1:2">
      <c r="A1413" s="3" t="s">
        <v>18325</v>
      </c>
      <c r="B1413" s="4">
        <v>7.9</v>
      </c>
    </row>
    <row r="1414" customHeight="1" spans="1:2">
      <c r="A1414" s="3" t="s">
        <v>22755</v>
      </c>
      <c r="B1414" s="4">
        <v>5.2</v>
      </c>
    </row>
    <row r="1415" customHeight="1" spans="1:2">
      <c r="A1415" s="3" t="s">
        <v>7428</v>
      </c>
      <c r="B1415" s="4">
        <v>6</v>
      </c>
    </row>
    <row r="1416" customHeight="1" spans="1:2">
      <c r="A1416" s="3" t="s">
        <v>23654</v>
      </c>
      <c r="B1416" s="4">
        <v>6.7</v>
      </c>
    </row>
    <row r="1417" customHeight="1" spans="1:2">
      <c r="A1417" s="3" t="s">
        <v>16655</v>
      </c>
      <c r="B1417" s="4">
        <v>7.1</v>
      </c>
    </row>
    <row r="1418" customHeight="1" spans="1:2">
      <c r="A1418" s="3" t="s">
        <v>913</v>
      </c>
      <c r="B1418" s="4">
        <v>6.04444444444445</v>
      </c>
    </row>
    <row r="1419" customHeight="1" spans="1:2">
      <c r="A1419" s="3" t="s">
        <v>14474</v>
      </c>
      <c r="B1419" s="4">
        <v>6.2</v>
      </c>
    </row>
    <row r="1420" customHeight="1" spans="1:2">
      <c r="A1420" s="3" t="s">
        <v>11381</v>
      </c>
      <c r="B1420" s="4">
        <v>4.9</v>
      </c>
    </row>
    <row r="1421" customHeight="1" spans="1:2">
      <c r="A1421" s="3" t="s">
        <v>20956</v>
      </c>
      <c r="B1421" s="4">
        <v>5.8</v>
      </c>
    </row>
    <row r="1422" customHeight="1" spans="1:2">
      <c r="A1422" s="3" t="s">
        <v>20688</v>
      </c>
      <c r="B1422" s="4">
        <v>7.3</v>
      </c>
    </row>
    <row r="1423" customHeight="1" spans="1:2">
      <c r="A1423" s="3" t="s">
        <v>15819</v>
      </c>
      <c r="B1423" s="4">
        <v>7.3</v>
      </c>
    </row>
    <row r="1424" customHeight="1" spans="1:2">
      <c r="A1424" s="3" t="s">
        <v>23520</v>
      </c>
      <c r="B1424" s="4">
        <v>8.5</v>
      </c>
    </row>
    <row r="1425" customHeight="1" spans="1:2">
      <c r="A1425" s="3" t="s">
        <v>8748</v>
      </c>
      <c r="B1425" s="4">
        <v>4.1</v>
      </c>
    </row>
    <row r="1426" customHeight="1" spans="1:2">
      <c r="A1426" s="3" t="s">
        <v>6801</v>
      </c>
      <c r="B1426" s="4">
        <v>5.78571428571429</v>
      </c>
    </row>
    <row r="1427" customHeight="1" spans="1:2">
      <c r="A1427" s="3" t="s">
        <v>4481</v>
      </c>
      <c r="B1427" s="4">
        <v>5.5</v>
      </c>
    </row>
    <row r="1428" customHeight="1" spans="1:2">
      <c r="A1428" s="3" t="s">
        <v>17799</v>
      </c>
      <c r="B1428" s="4">
        <v>5.9</v>
      </c>
    </row>
    <row r="1429" customHeight="1" spans="1:2">
      <c r="A1429" s="3" t="s">
        <v>3457</v>
      </c>
      <c r="B1429" s="4">
        <v>6.4</v>
      </c>
    </row>
    <row r="1430" customHeight="1" spans="1:2">
      <c r="A1430" s="3" t="s">
        <v>11369</v>
      </c>
      <c r="B1430" s="4">
        <v>7</v>
      </c>
    </row>
    <row r="1431" customHeight="1" spans="1:2">
      <c r="A1431" s="3" t="s">
        <v>18084</v>
      </c>
      <c r="B1431" s="4">
        <v>6.7</v>
      </c>
    </row>
    <row r="1432" customHeight="1" spans="1:2">
      <c r="A1432" s="3" t="s">
        <v>6845</v>
      </c>
      <c r="B1432" s="4">
        <v>4.4</v>
      </c>
    </row>
    <row r="1433" customHeight="1" spans="1:2">
      <c r="A1433" s="3" t="s">
        <v>15761</v>
      </c>
      <c r="B1433" s="4">
        <v>6.2</v>
      </c>
    </row>
    <row r="1434" customHeight="1" spans="1:2">
      <c r="A1434" s="3" t="s">
        <v>126</v>
      </c>
      <c r="B1434" s="4">
        <v>7.15</v>
      </c>
    </row>
    <row r="1435" customHeight="1" spans="1:2">
      <c r="A1435" s="3" t="s">
        <v>3999</v>
      </c>
      <c r="B1435" s="4">
        <v>5.76666666666667</v>
      </c>
    </row>
    <row r="1436" customHeight="1" spans="1:2">
      <c r="A1436" s="3" t="s">
        <v>21691</v>
      </c>
      <c r="B1436" s="4">
        <v>7.2</v>
      </c>
    </row>
    <row r="1437" customHeight="1" spans="1:2">
      <c r="A1437" s="3" t="s">
        <v>16232</v>
      </c>
      <c r="B1437" s="4">
        <v>6</v>
      </c>
    </row>
    <row r="1438" customHeight="1" spans="1:2">
      <c r="A1438" s="3" t="s">
        <v>181</v>
      </c>
      <c r="B1438" s="4">
        <v>7.13333333333333</v>
      </c>
    </row>
    <row r="1439" customHeight="1" spans="1:2">
      <c r="A1439" s="3" t="s">
        <v>19549</v>
      </c>
      <c r="B1439" s="4">
        <v>5.5</v>
      </c>
    </row>
    <row r="1440" customHeight="1" spans="1:2">
      <c r="A1440" s="3" t="s">
        <v>14384</v>
      </c>
      <c r="B1440" s="4">
        <v>7.45</v>
      </c>
    </row>
    <row r="1441" customHeight="1" spans="1:2">
      <c r="A1441" s="3" t="s">
        <v>3897</v>
      </c>
      <c r="B1441" s="4">
        <v>3.8</v>
      </c>
    </row>
    <row r="1442" customHeight="1" spans="1:2">
      <c r="A1442" s="3" t="s">
        <v>9958</v>
      </c>
      <c r="B1442" s="4">
        <v>4.1</v>
      </c>
    </row>
    <row r="1443" customHeight="1" spans="1:2">
      <c r="A1443" s="3" t="s">
        <v>15118</v>
      </c>
      <c r="B1443" s="4">
        <v>6.1</v>
      </c>
    </row>
    <row r="1444" customHeight="1" spans="1:2">
      <c r="A1444" s="3" t="s">
        <v>24021</v>
      </c>
      <c r="B1444" s="4">
        <v>4.6</v>
      </c>
    </row>
    <row r="1445" customHeight="1" spans="1:2">
      <c r="A1445" s="3" t="s">
        <v>14877</v>
      </c>
      <c r="B1445" s="4">
        <v>5.5</v>
      </c>
    </row>
    <row r="1446" customHeight="1" spans="1:2">
      <c r="A1446" s="3" t="s">
        <v>23166</v>
      </c>
      <c r="B1446" s="4">
        <v>6.5</v>
      </c>
    </row>
    <row r="1447" customHeight="1" spans="1:2">
      <c r="A1447" s="3" t="s">
        <v>23476</v>
      </c>
      <c r="B1447" s="4">
        <v>6.5</v>
      </c>
    </row>
    <row r="1448" customHeight="1" spans="1:2">
      <c r="A1448" s="3" t="s">
        <v>20316</v>
      </c>
      <c r="B1448" s="4">
        <v>6.9</v>
      </c>
    </row>
    <row r="1449" customHeight="1" spans="1:2">
      <c r="A1449" s="3" t="s">
        <v>22103</v>
      </c>
      <c r="B1449" s="4">
        <v>6.7</v>
      </c>
    </row>
    <row r="1450" customHeight="1" spans="1:2">
      <c r="A1450" s="3" t="s">
        <v>22514</v>
      </c>
      <c r="B1450" s="4">
        <v>7.5</v>
      </c>
    </row>
    <row r="1451" customHeight="1" spans="1:2">
      <c r="A1451" s="3" t="s">
        <v>9330</v>
      </c>
      <c r="B1451" s="4">
        <v>5</v>
      </c>
    </row>
    <row r="1452" customHeight="1" spans="1:2">
      <c r="A1452" s="3" t="s">
        <v>22612</v>
      </c>
      <c r="B1452" s="4">
        <v>8.4</v>
      </c>
    </row>
    <row r="1453" customHeight="1" spans="1:2">
      <c r="A1453" s="3" t="s">
        <v>6433</v>
      </c>
      <c r="B1453" s="4">
        <v>5.2</v>
      </c>
    </row>
    <row r="1454" customHeight="1" spans="1:2">
      <c r="A1454" s="3" t="s">
        <v>403</v>
      </c>
      <c r="B1454" s="4">
        <v>7.2</v>
      </c>
    </row>
    <row r="1455" customHeight="1" spans="1:2">
      <c r="A1455" s="3" t="s">
        <v>13757</v>
      </c>
      <c r="B1455" s="4">
        <v>5.2</v>
      </c>
    </row>
    <row r="1456" customHeight="1" spans="1:2">
      <c r="A1456" s="3" t="s">
        <v>13808</v>
      </c>
      <c r="B1456" s="4">
        <v>5.8</v>
      </c>
    </row>
    <row r="1457" customHeight="1" spans="1:2">
      <c r="A1457" s="3" t="s">
        <v>1777</v>
      </c>
      <c r="B1457" s="4">
        <v>6.66666666666667</v>
      </c>
    </row>
    <row r="1458" customHeight="1" spans="1:2">
      <c r="A1458" s="3" t="s">
        <v>18773</v>
      </c>
      <c r="B1458" s="4">
        <v>6.3</v>
      </c>
    </row>
    <row r="1459" customHeight="1" spans="1:2">
      <c r="A1459" s="3" t="s">
        <v>9617</v>
      </c>
      <c r="B1459" s="4">
        <v>5.6</v>
      </c>
    </row>
    <row r="1460" customHeight="1" spans="1:2">
      <c r="A1460" s="3" t="s">
        <v>13960</v>
      </c>
      <c r="B1460" s="4">
        <v>7.4</v>
      </c>
    </row>
    <row r="1461" customHeight="1" spans="1:2">
      <c r="A1461" s="3" t="s">
        <v>20790</v>
      </c>
      <c r="B1461" s="4">
        <v>6.3</v>
      </c>
    </row>
    <row r="1462" customHeight="1" spans="1:2">
      <c r="A1462" s="3" t="s">
        <v>12977</v>
      </c>
      <c r="B1462" s="4">
        <v>6.325</v>
      </c>
    </row>
    <row r="1463" customHeight="1" spans="1:2">
      <c r="A1463" s="3" t="s">
        <v>11165</v>
      </c>
      <c r="B1463" s="4">
        <v>6</v>
      </c>
    </row>
    <row r="1464" customHeight="1" spans="1:2">
      <c r="A1464" s="3" t="s">
        <v>4532</v>
      </c>
      <c r="B1464" s="4">
        <v>5.56</v>
      </c>
    </row>
    <row r="1465" customHeight="1" spans="1:2">
      <c r="A1465" s="3" t="s">
        <v>1162</v>
      </c>
      <c r="B1465" s="4">
        <v>7.7</v>
      </c>
    </row>
    <row r="1466" customHeight="1" spans="1:2">
      <c r="A1466" s="3" t="s">
        <v>6132</v>
      </c>
      <c r="B1466" s="4">
        <v>6.85</v>
      </c>
    </row>
    <row r="1467" customHeight="1" spans="1:2">
      <c r="A1467" s="3" t="s">
        <v>13059</v>
      </c>
      <c r="B1467" s="4">
        <v>5.1</v>
      </c>
    </row>
    <row r="1468" customHeight="1" spans="1:2">
      <c r="A1468" s="3" t="s">
        <v>13174</v>
      </c>
      <c r="B1468" s="4">
        <v>7</v>
      </c>
    </row>
    <row r="1469" customHeight="1" spans="1:2">
      <c r="A1469" s="3" t="s">
        <v>11563</v>
      </c>
      <c r="B1469" s="4">
        <v>5.7</v>
      </c>
    </row>
    <row r="1470" customHeight="1" spans="1:2">
      <c r="A1470" s="3" t="s">
        <v>15844</v>
      </c>
      <c r="B1470" s="4">
        <v>6.9</v>
      </c>
    </row>
    <row r="1471" customHeight="1" spans="1:2">
      <c r="A1471" s="3" t="s">
        <v>22378</v>
      </c>
      <c r="B1471" s="4">
        <v>7.8</v>
      </c>
    </row>
    <row r="1472" customHeight="1" spans="1:2">
      <c r="A1472" s="3" t="s">
        <v>1363</v>
      </c>
      <c r="B1472" s="4">
        <v>6.05</v>
      </c>
    </row>
    <row r="1473" customHeight="1" spans="1:2">
      <c r="A1473" s="3" t="s">
        <v>17154</v>
      </c>
      <c r="B1473" s="4">
        <v>5.3</v>
      </c>
    </row>
    <row r="1474" customHeight="1" spans="1:2">
      <c r="A1474" s="3" t="s">
        <v>16814</v>
      </c>
      <c r="B1474" s="4">
        <v>5.6</v>
      </c>
    </row>
    <row r="1475" customHeight="1" spans="1:2">
      <c r="A1475" s="3" t="s">
        <v>2043</v>
      </c>
      <c r="B1475" s="4">
        <v>6.3</v>
      </c>
    </row>
    <row r="1476" customHeight="1" spans="1:2">
      <c r="A1476" s="3" t="s">
        <v>19033</v>
      </c>
      <c r="B1476" s="4">
        <v>5.4</v>
      </c>
    </row>
    <row r="1477" customHeight="1" spans="1:2">
      <c r="A1477" s="3" t="s">
        <v>18627</v>
      </c>
      <c r="B1477" s="4">
        <v>7</v>
      </c>
    </row>
    <row r="1478" customHeight="1" spans="1:2">
      <c r="A1478" s="3" t="s">
        <v>8451</v>
      </c>
      <c r="B1478" s="4">
        <v>5.9</v>
      </c>
    </row>
    <row r="1479" customHeight="1" spans="1:2">
      <c r="A1479" s="3" t="s">
        <v>2430</v>
      </c>
      <c r="B1479" s="4">
        <v>6.1</v>
      </c>
    </row>
    <row r="1480" customHeight="1" spans="1:2">
      <c r="A1480" s="3" t="s">
        <v>314</v>
      </c>
      <c r="B1480" s="4">
        <v>6.71111111111111</v>
      </c>
    </row>
    <row r="1481" customHeight="1" spans="1:2">
      <c r="A1481" s="3" t="s">
        <v>17311</v>
      </c>
      <c r="B1481" s="4">
        <v>7.1</v>
      </c>
    </row>
    <row r="1482" customHeight="1" spans="1:2">
      <c r="A1482" s="3" t="s">
        <v>16011</v>
      </c>
      <c r="B1482" s="4">
        <v>5.6</v>
      </c>
    </row>
    <row r="1483" customHeight="1" spans="1:2">
      <c r="A1483" s="3" t="s">
        <v>13114</v>
      </c>
      <c r="B1483" s="4">
        <v>7.6</v>
      </c>
    </row>
    <row r="1484" customHeight="1" spans="1:2">
      <c r="A1484" s="3" t="s">
        <v>14661</v>
      </c>
      <c r="B1484" s="4">
        <v>7.4</v>
      </c>
    </row>
    <row r="1485" customHeight="1" spans="1:2">
      <c r="A1485" s="3" t="s">
        <v>488</v>
      </c>
      <c r="B1485" s="4">
        <v>7.66</v>
      </c>
    </row>
    <row r="1486" customHeight="1" spans="1:2">
      <c r="A1486" s="3" t="s">
        <v>12929</v>
      </c>
      <c r="B1486" s="4">
        <v>5.1</v>
      </c>
    </row>
    <row r="1487" customHeight="1" spans="1:2">
      <c r="A1487" s="3" t="s">
        <v>15803</v>
      </c>
      <c r="B1487" s="4">
        <v>5.7</v>
      </c>
    </row>
    <row r="1488" customHeight="1" spans="1:2">
      <c r="A1488" s="3" t="s">
        <v>16079</v>
      </c>
      <c r="B1488" s="4">
        <v>7.6</v>
      </c>
    </row>
    <row r="1489" customHeight="1" spans="1:2">
      <c r="A1489" s="3" t="s">
        <v>13141</v>
      </c>
      <c r="B1489" s="4">
        <v>5.6</v>
      </c>
    </row>
    <row r="1490" customHeight="1" spans="1:2">
      <c r="A1490" s="3" t="s">
        <v>10185</v>
      </c>
      <c r="B1490" s="4">
        <v>5.1</v>
      </c>
    </row>
    <row r="1491" customHeight="1" spans="1:2">
      <c r="A1491" s="3" t="s">
        <v>21924</v>
      </c>
      <c r="B1491" s="4">
        <v>5.8</v>
      </c>
    </row>
    <row r="1492" customHeight="1" spans="1:2">
      <c r="A1492" s="3" t="s">
        <v>22070</v>
      </c>
      <c r="B1492" s="4">
        <v>5.9</v>
      </c>
    </row>
    <row r="1493" customHeight="1" spans="1:2">
      <c r="A1493" s="3" t="s">
        <v>16019</v>
      </c>
      <c r="B1493" s="4">
        <v>5.2</v>
      </c>
    </row>
    <row r="1494" customHeight="1" spans="1:2">
      <c r="A1494" s="3" t="s">
        <v>18321</v>
      </c>
      <c r="B1494" s="4">
        <v>6.6</v>
      </c>
    </row>
    <row r="1495" customHeight="1" spans="1:2">
      <c r="A1495" s="3" t="s">
        <v>129</v>
      </c>
      <c r="B1495" s="4">
        <v>6.3</v>
      </c>
    </row>
    <row r="1496" customHeight="1" spans="1:2">
      <c r="A1496" s="3" t="s">
        <v>5897</v>
      </c>
      <c r="B1496" s="4">
        <v>5.7</v>
      </c>
    </row>
    <row r="1497" customHeight="1" spans="1:2">
      <c r="A1497" s="3" t="s">
        <v>16533</v>
      </c>
      <c r="B1497" s="4">
        <v>4</v>
      </c>
    </row>
    <row r="1498" customHeight="1" spans="1:2">
      <c r="A1498" s="3" t="s">
        <v>1238</v>
      </c>
      <c r="B1498" s="4">
        <v>6.95</v>
      </c>
    </row>
    <row r="1499" customHeight="1" spans="1:2">
      <c r="A1499" s="3" t="s">
        <v>23294</v>
      </c>
      <c r="B1499" s="4">
        <v>4.5</v>
      </c>
    </row>
    <row r="1500" customHeight="1" spans="1:2">
      <c r="A1500" s="3" t="s">
        <v>12132</v>
      </c>
      <c r="B1500" s="4">
        <v>6</v>
      </c>
    </row>
    <row r="1501" customHeight="1" spans="1:2">
      <c r="A1501" s="3" t="s">
        <v>22881</v>
      </c>
      <c r="B1501" s="4">
        <v>5.4</v>
      </c>
    </row>
    <row r="1502" customHeight="1" spans="1:2">
      <c r="A1502" s="3" t="s">
        <v>23848</v>
      </c>
      <c r="B1502" s="4">
        <v>6.7</v>
      </c>
    </row>
    <row r="1503" customHeight="1" spans="1:2">
      <c r="A1503" s="3" t="s">
        <v>22239</v>
      </c>
      <c r="B1503" s="4">
        <v>6.9</v>
      </c>
    </row>
    <row r="1504" customHeight="1" spans="1:2">
      <c r="A1504" s="3" t="s">
        <v>17117</v>
      </c>
      <c r="B1504" s="4">
        <v>5.5</v>
      </c>
    </row>
    <row r="1505" customHeight="1" spans="1:2">
      <c r="A1505" s="3" t="s">
        <v>571</v>
      </c>
      <c r="B1505" s="4">
        <v>6.675</v>
      </c>
    </row>
    <row r="1506" customHeight="1" spans="1:2">
      <c r="A1506" s="3" t="s">
        <v>3684</v>
      </c>
      <c r="B1506" s="4">
        <v>5.4</v>
      </c>
    </row>
    <row r="1507" customHeight="1" spans="1:2">
      <c r="A1507" s="3" t="s">
        <v>12815</v>
      </c>
      <c r="B1507" s="4">
        <v>6.8</v>
      </c>
    </row>
    <row r="1508" customHeight="1" spans="1:2">
      <c r="A1508" s="3" t="s">
        <v>19455</v>
      </c>
      <c r="B1508" s="4">
        <v>6.9</v>
      </c>
    </row>
    <row r="1509" customHeight="1" spans="1:2">
      <c r="A1509" s="3" t="s">
        <v>11432</v>
      </c>
      <c r="B1509" s="4">
        <v>6.7</v>
      </c>
    </row>
    <row r="1510" customHeight="1" spans="1:2">
      <c r="A1510" s="3" t="s">
        <v>17989</v>
      </c>
      <c r="B1510" s="4">
        <v>4.6</v>
      </c>
    </row>
    <row r="1511" customHeight="1" spans="1:2">
      <c r="A1511" s="3" t="s">
        <v>5155</v>
      </c>
      <c r="B1511" s="4">
        <v>6.6</v>
      </c>
    </row>
    <row r="1512" customHeight="1" spans="1:2">
      <c r="A1512" s="3" t="s">
        <v>21475</v>
      </c>
      <c r="B1512" s="4">
        <v>3</v>
      </c>
    </row>
    <row r="1513" customHeight="1" spans="1:2">
      <c r="A1513" s="3" t="s">
        <v>11959</v>
      </c>
      <c r="B1513" s="4">
        <v>6.7</v>
      </c>
    </row>
    <row r="1514" customHeight="1" spans="1:2">
      <c r="A1514" s="3" t="s">
        <v>693</v>
      </c>
      <c r="B1514" s="4">
        <v>7.65</v>
      </c>
    </row>
    <row r="1515" customHeight="1" spans="1:2">
      <c r="A1515" s="3" t="s">
        <v>22791</v>
      </c>
      <c r="B1515" s="4">
        <v>6.8</v>
      </c>
    </row>
    <row r="1516" customHeight="1" spans="1:2">
      <c r="A1516" s="3" t="s">
        <v>16111</v>
      </c>
      <c r="B1516" s="4">
        <v>6.2</v>
      </c>
    </row>
    <row r="1517" customHeight="1" spans="1:2">
      <c r="A1517" s="3" t="s">
        <v>17642</v>
      </c>
      <c r="B1517" s="4">
        <v>5</v>
      </c>
    </row>
    <row r="1518" customHeight="1" spans="1:2">
      <c r="A1518" s="3" t="s">
        <v>23400</v>
      </c>
      <c r="B1518" s="4">
        <v>7.2</v>
      </c>
    </row>
    <row r="1519" customHeight="1" spans="1:2">
      <c r="A1519" s="3" t="s">
        <v>16797</v>
      </c>
      <c r="B1519" s="4">
        <v>7.3</v>
      </c>
    </row>
    <row r="1520" customHeight="1" spans="1:2">
      <c r="A1520" s="3" t="s">
        <v>20260</v>
      </c>
      <c r="B1520" s="4">
        <v>6.1</v>
      </c>
    </row>
    <row r="1521" customHeight="1" spans="1:2">
      <c r="A1521" s="3" t="s">
        <v>19134</v>
      </c>
      <c r="B1521" s="4">
        <v>7.2</v>
      </c>
    </row>
    <row r="1522" customHeight="1" spans="1:2">
      <c r="A1522" s="3" t="s">
        <v>328</v>
      </c>
      <c r="B1522" s="4">
        <v>6.08333333333333</v>
      </c>
    </row>
    <row r="1523" customHeight="1" spans="1:2">
      <c r="A1523" s="3" t="s">
        <v>15779</v>
      </c>
      <c r="B1523" s="4">
        <v>4.2</v>
      </c>
    </row>
    <row r="1524" customHeight="1" spans="1:2">
      <c r="A1524" s="3" t="s">
        <v>10326</v>
      </c>
      <c r="B1524" s="4">
        <v>7.15714285714286</v>
      </c>
    </row>
    <row r="1525" customHeight="1" spans="1:2">
      <c r="A1525" s="3" t="s">
        <v>3240</v>
      </c>
      <c r="B1525" s="4">
        <v>7.76666666666667</v>
      </c>
    </row>
    <row r="1526" customHeight="1" spans="1:2">
      <c r="A1526" s="3" t="s">
        <v>15340</v>
      </c>
      <c r="B1526" s="4">
        <v>6.2</v>
      </c>
    </row>
    <row r="1527" customHeight="1" spans="1:2">
      <c r="A1527" s="3" t="s">
        <v>19376</v>
      </c>
      <c r="B1527" s="4">
        <v>7.8</v>
      </c>
    </row>
    <row r="1528" customHeight="1" spans="1:2">
      <c r="A1528" s="3" t="s">
        <v>5816</v>
      </c>
      <c r="B1528" s="4">
        <v>7.2</v>
      </c>
    </row>
    <row r="1529" customHeight="1" spans="1:2">
      <c r="A1529" s="3" t="s">
        <v>23555</v>
      </c>
      <c r="B1529" s="4">
        <v>5.5</v>
      </c>
    </row>
    <row r="1530" customHeight="1" spans="1:2">
      <c r="A1530" s="3" t="s">
        <v>10782</v>
      </c>
      <c r="B1530" s="4">
        <v>5.9</v>
      </c>
    </row>
    <row r="1531" customHeight="1" spans="1:2">
      <c r="A1531" s="3" t="s">
        <v>9178</v>
      </c>
      <c r="B1531" s="4">
        <v>6.8</v>
      </c>
    </row>
    <row r="1532" customHeight="1" spans="1:2">
      <c r="A1532" s="3" t="s">
        <v>15931</v>
      </c>
      <c r="B1532" s="4">
        <v>7.2</v>
      </c>
    </row>
    <row r="1533" customHeight="1" spans="1:2">
      <c r="A1533" s="3" t="s">
        <v>6810</v>
      </c>
      <c r="B1533" s="4">
        <v>4.1</v>
      </c>
    </row>
    <row r="1534" customHeight="1" spans="1:2">
      <c r="A1534" s="3" t="s">
        <v>16510</v>
      </c>
      <c r="B1534" s="4">
        <v>6.8</v>
      </c>
    </row>
    <row r="1535" customHeight="1" spans="1:2">
      <c r="A1535" s="3" t="s">
        <v>742</v>
      </c>
      <c r="B1535" s="4">
        <v>6.51666666666667</v>
      </c>
    </row>
    <row r="1536" customHeight="1" spans="1:2">
      <c r="A1536" s="3" t="s">
        <v>279</v>
      </c>
      <c r="B1536" s="4">
        <v>6.63846153846154</v>
      </c>
    </row>
    <row r="1537" customHeight="1" spans="1:2">
      <c r="A1537" s="3" t="s">
        <v>22195</v>
      </c>
      <c r="B1537" s="4">
        <v>7.2</v>
      </c>
    </row>
    <row r="1538" customHeight="1" spans="1:2">
      <c r="A1538" s="3" t="s">
        <v>3517</v>
      </c>
      <c r="B1538" s="4">
        <v>5.9</v>
      </c>
    </row>
    <row r="1539" customHeight="1" spans="1:2">
      <c r="A1539" s="3" t="s">
        <v>13187</v>
      </c>
      <c r="B1539" s="4">
        <v>5.3</v>
      </c>
    </row>
    <row r="1540" customHeight="1" spans="1:2">
      <c r="A1540" s="3" t="s">
        <v>6038</v>
      </c>
      <c r="B1540" s="4">
        <v>7.5</v>
      </c>
    </row>
    <row r="1541" customHeight="1" spans="1:2">
      <c r="A1541" s="3" t="s">
        <v>15431</v>
      </c>
      <c r="B1541" s="4">
        <v>6.7</v>
      </c>
    </row>
    <row r="1542" customHeight="1" spans="1:2">
      <c r="A1542" s="3" t="s">
        <v>9338</v>
      </c>
      <c r="B1542" s="4">
        <v>6.3</v>
      </c>
    </row>
    <row r="1543" customHeight="1" spans="1:2">
      <c r="A1543" s="3" t="s">
        <v>16202</v>
      </c>
      <c r="B1543" s="4">
        <v>6.4</v>
      </c>
    </row>
    <row r="1544" customHeight="1" spans="1:2">
      <c r="A1544" s="3" t="s">
        <v>17204</v>
      </c>
      <c r="B1544" s="4">
        <v>7</v>
      </c>
    </row>
    <row r="1545" customHeight="1" spans="1:2">
      <c r="A1545" s="3" t="s">
        <v>9315</v>
      </c>
      <c r="B1545" s="4">
        <v>6</v>
      </c>
    </row>
    <row r="1546" customHeight="1" spans="1:2">
      <c r="A1546" s="3" t="s">
        <v>17910</v>
      </c>
      <c r="B1546" s="4">
        <v>7.1</v>
      </c>
    </row>
    <row r="1547" customHeight="1" spans="1:2">
      <c r="A1547" s="3" t="s">
        <v>17687</v>
      </c>
      <c r="B1547" s="4">
        <v>7.43333333333333</v>
      </c>
    </row>
    <row r="1548" customHeight="1" spans="1:2">
      <c r="A1548" s="3" t="s">
        <v>19907</v>
      </c>
      <c r="B1548" s="4">
        <v>5.7</v>
      </c>
    </row>
    <row r="1549" customHeight="1" spans="1:2">
      <c r="A1549" s="3" t="s">
        <v>10251</v>
      </c>
      <c r="B1549" s="4">
        <v>5.6</v>
      </c>
    </row>
    <row r="1550" customHeight="1" spans="1:2">
      <c r="A1550" s="3" t="s">
        <v>12779</v>
      </c>
      <c r="B1550" s="4">
        <v>6.2</v>
      </c>
    </row>
    <row r="1551" customHeight="1" spans="1:2">
      <c r="A1551" s="3" t="s">
        <v>11665</v>
      </c>
      <c r="B1551" s="4">
        <v>6.85</v>
      </c>
    </row>
    <row r="1552" customHeight="1" spans="1:2">
      <c r="A1552" s="3" t="s">
        <v>18889</v>
      </c>
      <c r="B1552" s="4">
        <v>6</v>
      </c>
    </row>
    <row r="1553" customHeight="1" spans="1:2">
      <c r="A1553" s="3" t="s">
        <v>12019</v>
      </c>
      <c r="B1553" s="4">
        <v>7.4</v>
      </c>
    </row>
    <row r="1554" customHeight="1" spans="1:2">
      <c r="A1554" s="3" t="s">
        <v>20121</v>
      </c>
      <c r="B1554" s="4">
        <v>5.65</v>
      </c>
    </row>
    <row r="1555" customHeight="1" spans="1:2">
      <c r="A1555" s="3" t="s">
        <v>9393</v>
      </c>
      <c r="B1555" s="4">
        <v>6.86666666666667</v>
      </c>
    </row>
    <row r="1556" customHeight="1" spans="1:2">
      <c r="A1556" s="3" t="s">
        <v>22696</v>
      </c>
      <c r="B1556" s="4">
        <v>3.5</v>
      </c>
    </row>
    <row r="1557" customHeight="1" spans="1:2">
      <c r="A1557" s="3" t="s">
        <v>11077</v>
      </c>
      <c r="B1557" s="4">
        <v>5</v>
      </c>
    </row>
    <row r="1558" customHeight="1" spans="1:2">
      <c r="A1558" s="3" t="s">
        <v>6434</v>
      </c>
      <c r="B1558" s="4">
        <v>5.8</v>
      </c>
    </row>
    <row r="1559" customHeight="1" spans="1:2">
      <c r="A1559" s="3" t="s">
        <v>23222</v>
      </c>
      <c r="B1559" s="4">
        <v>6.8</v>
      </c>
    </row>
    <row r="1560" customHeight="1" spans="1:2">
      <c r="A1560" s="3" t="s">
        <v>19459</v>
      </c>
      <c r="B1560" s="4">
        <v>6.55</v>
      </c>
    </row>
    <row r="1561" customHeight="1" spans="1:2">
      <c r="A1561" s="3" t="s">
        <v>3803</v>
      </c>
      <c r="B1561" s="4">
        <v>5.63333333333333</v>
      </c>
    </row>
    <row r="1562" customHeight="1" spans="1:2">
      <c r="A1562" s="3" t="s">
        <v>3658</v>
      </c>
      <c r="B1562" s="4">
        <v>5.9</v>
      </c>
    </row>
    <row r="1563" customHeight="1" spans="1:2">
      <c r="A1563" s="3" t="s">
        <v>1634</v>
      </c>
      <c r="B1563" s="4">
        <v>7.08333333333333</v>
      </c>
    </row>
    <row r="1564" customHeight="1" spans="1:2">
      <c r="A1564" s="3" t="s">
        <v>18922</v>
      </c>
      <c r="B1564" s="4">
        <v>3.9</v>
      </c>
    </row>
    <row r="1565" customHeight="1" spans="1:2">
      <c r="A1565" s="3" t="s">
        <v>12924</v>
      </c>
      <c r="B1565" s="4">
        <v>6.5</v>
      </c>
    </row>
    <row r="1566" customHeight="1" spans="1:2">
      <c r="A1566" s="3" t="s">
        <v>8236</v>
      </c>
      <c r="B1566" s="4">
        <v>6</v>
      </c>
    </row>
    <row r="1567" customHeight="1" spans="1:2">
      <c r="A1567" s="3" t="s">
        <v>17500</v>
      </c>
      <c r="B1567" s="4">
        <v>7.6</v>
      </c>
    </row>
    <row r="1568" customHeight="1" spans="1:2">
      <c r="A1568" s="3" t="s">
        <v>15386</v>
      </c>
      <c r="B1568" s="4">
        <v>5.5</v>
      </c>
    </row>
    <row r="1569" customHeight="1" spans="1:2">
      <c r="A1569" s="3" t="s">
        <v>3807</v>
      </c>
      <c r="B1569" s="4">
        <v>7.28333333333333</v>
      </c>
    </row>
    <row r="1570" customHeight="1" spans="1:2">
      <c r="A1570" s="3" t="s">
        <v>11184</v>
      </c>
      <c r="B1570" s="4">
        <v>6.85</v>
      </c>
    </row>
    <row r="1571" customHeight="1" spans="1:2">
      <c r="A1571" s="3" t="s">
        <v>15069</v>
      </c>
      <c r="B1571" s="4">
        <v>6.5</v>
      </c>
    </row>
    <row r="1572" customHeight="1" spans="1:2">
      <c r="A1572" s="3" t="s">
        <v>1977</v>
      </c>
      <c r="B1572" s="4">
        <v>4.3</v>
      </c>
    </row>
    <row r="1573" customHeight="1" spans="1:2">
      <c r="A1573" s="3" t="s">
        <v>13778</v>
      </c>
      <c r="B1573" s="4">
        <v>5.78</v>
      </c>
    </row>
    <row r="1574" customHeight="1" spans="1:2">
      <c r="A1574" s="3" t="s">
        <v>9444</v>
      </c>
      <c r="B1574" s="4">
        <v>6</v>
      </c>
    </row>
    <row r="1575" customHeight="1" spans="1:2">
      <c r="A1575" s="3" t="s">
        <v>8672</v>
      </c>
      <c r="B1575" s="4">
        <v>6.8</v>
      </c>
    </row>
    <row r="1576" customHeight="1" spans="1:2">
      <c r="A1576" s="3" t="s">
        <v>7444</v>
      </c>
      <c r="B1576" s="4">
        <v>6.2</v>
      </c>
    </row>
    <row r="1577" customHeight="1" spans="1:2">
      <c r="A1577" s="3" t="s">
        <v>23074</v>
      </c>
      <c r="B1577" s="4">
        <v>8.1</v>
      </c>
    </row>
    <row r="1578" customHeight="1" spans="1:2">
      <c r="A1578" s="3" t="s">
        <v>7485</v>
      </c>
      <c r="B1578" s="4">
        <v>5.65</v>
      </c>
    </row>
    <row r="1579" customHeight="1" spans="1:2">
      <c r="A1579" s="3" t="s">
        <v>14885</v>
      </c>
      <c r="B1579" s="4">
        <v>6.8</v>
      </c>
    </row>
    <row r="1580" customHeight="1" spans="1:2">
      <c r="A1580" s="3" t="s">
        <v>10966</v>
      </c>
      <c r="B1580" s="4">
        <v>6.5</v>
      </c>
    </row>
    <row r="1581" customHeight="1" spans="1:2">
      <c r="A1581" s="3" t="s">
        <v>8103</v>
      </c>
      <c r="B1581" s="4">
        <v>6.8</v>
      </c>
    </row>
    <row r="1582" customHeight="1" spans="1:2">
      <c r="A1582" s="3" t="s">
        <v>21958</v>
      </c>
      <c r="B1582" s="4">
        <v>3.4</v>
      </c>
    </row>
    <row r="1583" customHeight="1" spans="1:2">
      <c r="A1583" s="3" t="s">
        <v>17782</v>
      </c>
      <c r="B1583" s="4">
        <v>4.43333333333333</v>
      </c>
    </row>
    <row r="1584" customHeight="1" spans="1:2">
      <c r="A1584" s="3" t="s">
        <v>7353</v>
      </c>
      <c r="B1584" s="4">
        <v>5.9</v>
      </c>
    </row>
    <row r="1585" customHeight="1" spans="1:2">
      <c r="A1585" s="3" t="s">
        <v>22392</v>
      </c>
      <c r="B1585" s="4">
        <v>8.1</v>
      </c>
    </row>
    <row r="1586" customHeight="1" spans="1:2">
      <c r="A1586" s="3" t="s">
        <v>22450</v>
      </c>
      <c r="B1586" s="4">
        <v>4.5</v>
      </c>
    </row>
    <row r="1587" customHeight="1" spans="1:2">
      <c r="A1587" s="3" t="s">
        <v>16180</v>
      </c>
      <c r="B1587" s="4">
        <v>4</v>
      </c>
    </row>
    <row r="1588" customHeight="1" spans="1:2">
      <c r="A1588" s="3" t="s">
        <v>16306</v>
      </c>
      <c r="B1588" s="4">
        <v>4.2</v>
      </c>
    </row>
    <row r="1589" customHeight="1" spans="1:2">
      <c r="A1589" s="3" t="s">
        <v>9431</v>
      </c>
      <c r="B1589" s="4">
        <v>6.22857142857143</v>
      </c>
    </row>
    <row r="1590" customHeight="1" spans="1:2">
      <c r="A1590" s="3" t="s">
        <v>1556</v>
      </c>
      <c r="B1590" s="4">
        <v>6.925</v>
      </c>
    </row>
    <row r="1591" customHeight="1" spans="1:2">
      <c r="A1591" s="3" t="s">
        <v>12401</v>
      </c>
      <c r="B1591" s="4">
        <v>8</v>
      </c>
    </row>
    <row r="1592" customHeight="1" spans="1:2">
      <c r="A1592" s="3" t="s">
        <v>18191</v>
      </c>
      <c r="B1592" s="4">
        <v>7.2</v>
      </c>
    </row>
    <row r="1593" customHeight="1" spans="1:2">
      <c r="A1593" s="3" t="s">
        <v>23582</v>
      </c>
      <c r="B1593" s="4">
        <v>7.4</v>
      </c>
    </row>
    <row r="1594" customHeight="1" spans="1:2">
      <c r="A1594" s="3" t="s">
        <v>2261</v>
      </c>
      <c r="B1594" s="4">
        <v>5.75</v>
      </c>
    </row>
    <row r="1595" customHeight="1" spans="1:2">
      <c r="A1595" s="3" t="s">
        <v>17726</v>
      </c>
      <c r="B1595" s="4">
        <v>3.8</v>
      </c>
    </row>
    <row r="1596" customHeight="1" spans="1:2">
      <c r="A1596" s="3" t="s">
        <v>8951</v>
      </c>
      <c r="B1596" s="4">
        <v>6.42</v>
      </c>
    </row>
    <row r="1597" customHeight="1" spans="1:2">
      <c r="A1597" s="3" t="s">
        <v>7994</v>
      </c>
      <c r="B1597" s="4">
        <v>6.3</v>
      </c>
    </row>
    <row r="1598" customHeight="1" spans="1:2">
      <c r="A1598" s="3" t="s">
        <v>3524</v>
      </c>
      <c r="B1598" s="4">
        <v>6.525</v>
      </c>
    </row>
    <row r="1599" customHeight="1" spans="1:2">
      <c r="A1599" s="3" t="s">
        <v>3490</v>
      </c>
      <c r="B1599" s="4">
        <v>5.8</v>
      </c>
    </row>
    <row r="1600" customHeight="1" spans="1:2">
      <c r="A1600" s="3" t="s">
        <v>11510</v>
      </c>
      <c r="B1600" s="4">
        <v>6.7</v>
      </c>
    </row>
    <row r="1601" customHeight="1" spans="1:2">
      <c r="A1601" s="3" t="s">
        <v>10402</v>
      </c>
      <c r="B1601" s="4">
        <v>4.6</v>
      </c>
    </row>
    <row r="1602" customHeight="1" spans="1:2">
      <c r="A1602" s="3" t="s">
        <v>11066</v>
      </c>
      <c r="B1602" s="4">
        <v>7</v>
      </c>
    </row>
    <row r="1603" customHeight="1" spans="1:2">
      <c r="A1603" s="3" t="s">
        <v>23950</v>
      </c>
      <c r="B1603" s="4">
        <v>4.1</v>
      </c>
    </row>
    <row r="1604" customHeight="1" spans="1:2">
      <c r="A1604" s="3" t="s">
        <v>21743</v>
      </c>
      <c r="B1604" s="4">
        <v>7.15</v>
      </c>
    </row>
    <row r="1605" customHeight="1" spans="1:2">
      <c r="A1605" s="3" t="s">
        <v>8625</v>
      </c>
      <c r="B1605" s="4">
        <v>4.8</v>
      </c>
    </row>
    <row r="1606" customHeight="1" spans="1:2">
      <c r="A1606" s="3" t="s">
        <v>18459</v>
      </c>
      <c r="B1606" s="4">
        <v>6.5</v>
      </c>
    </row>
    <row r="1607" customHeight="1" spans="1:2">
      <c r="A1607" s="3" t="s">
        <v>17613</v>
      </c>
      <c r="B1607" s="4">
        <v>6.15</v>
      </c>
    </row>
    <row r="1608" customHeight="1" spans="1:2">
      <c r="A1608" s="3" t="s">
        <v>4575</v>
      </c>
      <c r="B1608" s="4">
        <v>6.6</v>
      </c>
    </row>
    <row r="1609" customHeight="1" spans="1:2">
      <c r="A1609" s="3" t="s">
        <v>7505</v>
      </c>
      <c r="B1609" s="4">
        <v>6.4</v>
      </c>
    </row>
    <row r="1610" customHeight="1" spans="1:2">
      <c r="A1610" s="3" t="s">
        <v>14062</v>
      </c>
      <c r="B1610" s="4">
        <v>6.85</v>
      </c>
    </row>
    <row r="1611" customHeight="1" spans="1:2">
      <c r="A1611" s="3" t="s">
        <v>11328</v>
      </c>
      <c r="B1611" s="4">
        <v>7.36</v>
      </c>
    </row>
    <row r="1612" customHeight="1" spans="1:2">
      <c r="A1612" s="3" t="s">
        <v>12030</v>
      </c>
      <c r="B1612" s="4">
        <v>5.9</v>
      </c>
    </row>
    <row r="1613" customHeight="1" spans="1:2">
      <c r="A1613" s="3" t="s">
        <v>18087</v>
      </c>
      <c r="B1613" s="4">
        <v>8.6</v>
      </c>
    </row>
    <row r="1614" customHeight="1" spans="1:2">
      <c r="A1614" s="3" t="s">
        <v>14049</v>
      </c>
      <c r="B1614" s="4">
        <v>6.5</v>
      </c>
    </row>
    <row r="1615" customHeight="1" spans="1:2">
      <c r="A1615" s="3" t="s">
        <v>18591</v>
      </c>
      <c r="B1615" s="4">
        <v>6.9</v>
      </c>
    </row>
    <row r="1616" customHeight="1" spans="1:2">
      <c r="A1616" s="3" t="s">
        <v>598</v>
      </c>
      <c r="B1616" s="4">
        <v>5.675</v>
      </c>
    </row>
    <row r="1617" customHeight="1" spans="1:2">
      <c r="A1617" s="3" t="s">
        <v>12994</v>
      </c>
      <c r="B1617" s="4">
        <v>6.15</v>
      </c>
    </row>
    <row r="1618" customHeight="1" spans="1:2">
      <c r="A1618" s="3" t="s">
        <v>372</v>
      </c>
      <c r="B1618" s="4">
        <v>6.84285714285714</v>
      </c>
    </row>
    <row r="1619" customHeight="1" spans="1:2">
      <c r="A1619" s="3" t="s">
        <v>3067</v>
      </c>
      <c r="B1619" s="4">
        <v>6.68333333333333</v>
      </c>
    </row>
    <row r="1620" customHeight="1" spans="1:2">
      <c r="A1620" s="3" t="s">
        <v>18285</v>
      </c>
      <c r="B1620" s="4">
        <v>7.8</v>
      </c>
    </row>
    <row r="1621" customHeight="1" spans="1:2">
      <c r="A1621" s="3" t="s">
        <v>21947</v>
      </c>
      <c r="B1621" s="4">
        <v>7.2</v>
      </c>
    </row>
    <row r="1622" customHeight="1" spans="1:2">
      <c r="A1622" s="3" t="s">
        <v>4956</v>
      </c>
      <c r="B1622" s="4">
        <v>8.13333333333333</v>
      </c>
    </row>
    <row r="1623" customHeight="1" spans="1:2">
      <c r="A1623" s="3" t="s">
        <v>2566</v>
      </c>
      <c r="B1623" s="4">
        <v>6.4</v>
      </c>
    </row>
    <row r="1624" customHeight="1" spans="1:2">
      <c r="A1624" s="3" t="s">
        <v>10307</v>
      </c>
      <c r="B1624" s="4">
        <v>6.68</v>
      </c>
    </row>
    <row r="1625" customHeight="1" spans="1:2">
      <c r="A1625" s="3" t="s">
        <v>20250</v>
      </c>
      <c r="B1625" s="4">
        <v>7.4</v>
      </c>
    </row>
    <row r="1626" customHeight="1" spans="1:2">
      <c r="A1626" s="3" t="s">
        <v>16624</v>
      </c>
      <c r="B1626" s="4">
        <v>5.8</v>
      </c>
    </row>
    <row r="1627" customHeight="1" spans="1:2">
      <c r="A1627" s="3" t="s">
        <v>20733</v>
      </c>
      <c r="B1627" s="4">
        <v>8.7</v>
      </c>
    </row>
    <row r="1628" customHeight="1" spans="1:2">
      <c r="A1628" s="3" t="s">
        <v>20365</v>
      </c>
      <c r="B1628" s="4">
        <v>5.4</v>
      </c>
    </row>
    <row r="1629" customHeight="1" spans="1:2">
      <c r="A1629" s="3" t="s">
        <v>22600</v>
      </c>
      <c r="B1629" s="4">
        <v>7.1</v>
      </c>
    </row>
    <row r="1630" customHeight="1" spans="1:2">
      <c r="A1630" s="3" t="s">
        <v>21509</v>
      </c>
      <c r="B1630" s="4">
        <v>4.9</v>
      </c>
    </row>
    <row r="1631" customHeight="1" spans="1:2">
      <c r="A1631" s="3" t="s">
        <v>19596</v>
      </c>
      <c r="B1631" s="4">
        <v>6.2</v>
      </c>
    </row>
    <row r="1632" customHeight="1" spans="1:2">
      <c r="A1632" s="3" t="s">
        <v>22962</v>
      </c>
      <c r="B1632" s="4">
        <v>7.2</v>
      </c>
    </row>
    <row r="1633" customHeight="1" spans="1:2">
      <c r="A1633" s="3" t="s">
        <v>18622</v>
      </c>
      <c r="B1633" s="4">
        <v>5.7</v>
      </c>
    </row>
    <row r="1634" customHeight="1" spans="1:2">
      <c r="A1634" s="3" t="s">
        <v>17984</v>
      </c>
      <c r="B1634" s="4">
        <v>6.35</v>
      </c>
    </row>
    <row r="1635" customHeight="1" spans="1:2">
      <c r="A1635" s="3" t="s">
        <v>21662</v>
      </c>
      <c r="B1635" s="4">
        <v>7.4</v>
      </c>
    </row>
    <row r="1636" customHeight="1" spans="1:2">
      <c r="A1636" s="3" t="s">
        <v>15027</v>
      </c>
      <c r="B1636" s="4">
        <v>6</v>
      </c>
    </row>
    <row r="1637" customHeight="1" spans="1:2">
      <c r="A1637" s="3" t="s">
        <v>13098</v>
      </c>
      <c r="B1637" s="4">
        <v>4.9</v>
      </c>
    </row>
    <row r="1638" customHeight="1" spans="1:2">
      <c r="A1638" s="3" t="s">
        <v>12703</v>
      </c>
      <c r="B1638" s="4">
        <v>7.85</v>
      </c>
    </row>
    <row r="1639" customHeight="1" spans="1:2">
      <c r="A1639" s="3" t="s">
        <v>7717</v>
      </c>
      <c r="B1639" s="4">
        <v>8.4</v>
      </c>
    </row>
    <row r="1640" customHeight="1" spans="1:2">
      <c r="A1640" s="3" t="s">
        <v>23791</v>
      </c>
      <c r="B1640" s="4">
        <v>5.3</v>
      </c>
    </row>
    <row r="1641" customHeight="1" spans="1:2">
      <c r="A1641" s="3" t="s">
        <v>19773</v>
      </c>
      <c r="B1641" s="4">
        <v>7.2</v>
      </c>
    </row>
    <row r="1642" customHeight="1" spans="1:2">
      <c r="A1642" s="3" t="s">
        <v>23491</v>
      </c>
      <c r="B1642" s="4">
        <v>7.2</v>
      </c>
    </row>
    <row r="1643" customHeight="1" spans="1:2">
      <c r="A1643" s="3" t="s">
        <v>20836</v>
      </c>
      <c r="B1643" s="4">
        <v>7.2</v>
      </c>
    </row>
    <row r="1644" customHeight="1" spans="1:2">
      <c r="A1644" s="3" t="s">
        <v>21068</v>
      </c>
      <c r="B1644" s="4">
        <v>7.1</v>
      </c>
    </row>
    <row r="1645" customHeight="1" spans="1:2">
      <c r="A1645" s="3" t="s">
        <v>2368</v>
      </c>
      <c r="B1645" s="4">
        <v>6.76</v>
      </c>
    </row>
    <row r="1646" customHeight="1" spans="1:2">
      <c r="A1646" s="3" t="s">
        <v>11401</v>
      </c>
      <c r="B1646" s="4">
        <v>4.5</v>
      </c>
    </row>
    <row r="1647" customHeight="1" spans="1:2">
      <c r="A1647" s="3" t="s">
        <v>8033</v>
      </c>
      <c r="B1647" s="4">
        <v>6.3</v>
      </c>
    </row>
    <row r="1648" customHeight="1" spans="1:2">
      <c r="A1648" s="3" t="s">
        <v>6575</v>
      </c>
      <c r="B1648" s="4">
        <v>7.4</v>
      </c>
    </row>
    <row r="1649" customHeight="1" spans="1:2">
      <c r="A1649" s="3" t="s">
        <v>22139</v>
      </c>
      <c r="B1649" s="4">
        <v>3.2</v>
      </c>
    </row>
    <row r="1650" customHeight="1" spans="1:2">
      <c r="A1650" s="3" t="s">
        <v>4505</v>
      </c>
      <c r="B1650" s="4">
        <v>5.4</v>
      </c>
    </row>
    <row r="1651" customHeight="1" spans="1:2">
      <c r="A1651" s="3" t="s">
        <v>19082</v>
      </c>
      <c r="B1651" s="4">
        <v>6.6</v>
      </c>
    </row>
    <row r="1652" customHeight="1" spans="1:2">
      <c r="A1652" s="3" t="s">
        <v>88</v>
      </c>
      <c r="B1652" s="4">
        <v>7.8</v>
      </c>
    </row>
    <row r="1653" customHeight="1" spans="1:2">
      <c r="A1653" s="3" t="s">
        <v>23676</v>
      </c>
      <c r="B1653" s="4">
        <v>5.7</v>
      </c>
    </row>
    <row r="1654" customHeight="1" spans="1:2">
      <c r="A1654" s="3" t="s">
        <v>15034</v>
      </c>
      <c r="B1654" s="4">
        <v>5.8</v>
      </c>
    </row>
    <row r="1655" customHeight="1" spans="1:2">
      <c r="A1655" s="3" t="s">
        <v>22589</v>
      </c>
      <c r="B1655" s="4">
        <v>5.3</v>
      </c>
    </row>
    <row r="1656" customHeight="1" spans="1:2">
      <c r="A1656" s="3" t="s">
        <v>2393</v>
      </c>
      <c r="B1656" s="4">
        <v>7.1</v>
      </c>
    </row>
    <row r="1657" customHeight="1" spans="1:2">
      <c r="A1657" s="3" t="s">
        <v>5051</v>
      </c>
      <c r="B1657" s="4">
        <v>6.7625</v>
      </c>
    </row>
    <row r="1658" customHeight="1" spans="1:2">
      <c r="A1658" s="3" t="s">
        <v>10123</v>
      </c>
      <c r="B1658" s="4">
        <v>6.56666666666667</v>
      </c>
    </row>
    <row r="1659" customHeight="1" spans="1:2">
      <c r="A1659" s="3" t="s">
        <v>7876</v>
      </c>
      <c r="B1659" s="4">
        <v>6.53333333333333</v>
      </c>
    </row>
    <row r="1660" customHeight="1" spans="1:2">
      <c r="A1660" s="3" t="s">
        <v>20106</v>
      </c>
      <c r="B1660" s="4">
        <v>4.8</v>
      </c>
    </row>
    <row r="1661" customHeight="1" spans="1:2">
      <c r="A1661" s="3" t="s">
        <v>1390</v>
      </c>
      <c r="B1661" s="4">
        <v>7.16666666666667</v>
      </c>
    </row>
    <row r="1662" customHeight="1" spans="1:2">
      <c r="A1662" s="3" t="s">
        <v>24110</v>
      </c>
      <c r="B1662" s="4">
        <v>6.3</v>
      </c>
    </row>
    <row r="1663" customHeight="1" spans="1:2">
      <c r="A1663" s="3" t="s">
        <v>10919</v>
      </c>
      <c r="B1663" s="4">
        <v>4.75</v>
      </c>
    </row>
    <row r="1664" customHeight="1" spans="1:2">
      <c r="A1664" s="3" t="s">
        <v>20884</v>
      </c>
      <c r="B1664" s="4">
        <v>6.8</v>
      </c>
    </row>
    <row r="1665" customHeight="1" spans="1:2">
      <c r="A1665" s="3" t="s">
        <v>23039</v>
      </c>
      <c r="B1665" s="4">
        <v>5.6</v>
      </c>
    </row>
    <row r="1666" customHeight="1" spans="1:2">
      <c r="A1666" s="3" t="s">
        <v>17973</v>
      </c>
      <c r="B1666" s="4">
        <v>7.3</v>
      </c>
    </row>
    <row r="1667" customHeight="1" spans="1:2">
      <c r="A1667" s="3" t="s">
        <v>11882</v>
      </c>
      <c r="B1667" s="4">
        <v>6.53333333333333</v>
      </c>
    </row>
    <row r="1668" customHeight="1" spans="1:2">
      <c r="A1668" s="3" t="s">
        <v>14251</v>
      </c>
      <c r="B1668" s="4">
        <v>6.6</v>
      </c>
    </row>
    <row r="1669" customHeight="1" spans="1:2">
      <c r="A1669" s="3" t="s">
        <v>9086</v>
      </c>
      <c r="B1669" s="4">
        <v>7.45</v>
      </c>
    </row>
    <row r="1670" customHeight="1" spans="1:2">
      <c r="A1670" s="3" t="s">
        <v>12256</v>
      </c>
      <c r="B1670" s="4">
        <v>6.8</v>
      </c>
    </row>
    <row r="1671" customHeight="1" spans="1:2">
      <c r="A1671" s="3" t="s">
        <v>6418</v>
      </c>
      <c r="B1671" s="4">
        <v>6.44</v>
      </c>
    </row>
    <row r="1672" customHeight="1" spans="1:2">
      <c r="A1672" s="3" t="s">
        <v>17832</v>
      </c>
      <c r="B1672" s="4">
        <v>7</v>
      </c>
    </row>
    <row r="1673" customHeight="1" spans="1:2">
      <c r="A1673" s="3" t="s">
        <v>6397</v>
      </c>
      <c r="B1673" s="4">
        <v>7.075</v>
      </c>
    </row>
    <row r="1674" customHeight="1" spans="1:2">
      <c r="A1674" s="3" t="s">
        <v>11208</v>
      </c>
      <c r="B1674" s="4">
        <v>5.6</v>
      </c>
    </row>
    <row r="1675" customHeight="1" spans="1:2">
      <c r="A1675" s="3" t="s">
        <v>8614</v>
      </c>
      <c r="B1675" s="4">
        <v>4.8</v>
      </c>
    </row>
    <row r="1676" customHeight="1" spans="1:2">
      <c r="A1676" s="3" t="s">
        <v>8496</v>
      </c>
      <c r="B1676" s="4">
        <v>5.2</v>
      </c>
    </row>
    <row r="1677" customHeight="1" spans="1:2">
      <c r="A1677" s="3" t="s">
        <v>18369</v>
      </c>
      <c r="B1677" s="4">
        <v>5.5</v>
      </c>
    </row>
    <row r="1678" customHeight="1" spans="1:2">
      <c r="A1678" s="3" t="s">
        <v>18120</v>
      </c>
      <c r="B1678" s="4">
        <v>6.5</v>
      </c>
    </row>
    <row r="1679" customHeight="1" spans="1:2">
      <c r="A1679" s="3" t="s">
        <v>21813</v>
      </c>
      <c r="B1679" s="4">
        <v>6.8</v>
      </c>
    </row>
    <row r="1680" customHeight="1" spans="1:2">
      <c r="A1680" s="3" t="s">
        <v>21820</v>
      </c>
      <c r="B1680" s="4">
        <v>5.2</v>
      </c>
    </row>
    <row r="1681" customHeight="1" spans="1:2">
      <c r="A1681" s="3" t="s">
        <v>23544</v>
      </c>
      <c r="B1681" s="4">
        <v>6.5</v>
      </c>
    </row>
    <row r="1682" customHeight="1" spans="1:2">
      <c r="A1682" s="3" t="s">
        <v>12850</v>
      </c>
      <c r="B1682" s="4">
        <v>6.9</v>
      </c>
    </row>
    <row r="1683" customHeight="1" spans="1:2">
      <c r="A1683" s="3" t="s">
        <v>16101</v>
      </c>
      <c r="B1683" s="4">
        <v>6.66</v>
      </c>
    </row>
    <row r="1684" customHeight="1" spans="1:2">
      <c r="A1684" s="3" t="s">
        <v>8667</v>
      </c>
      <c r="B1684" s="4">
        <v>7.3</v>
      </c>
    </row>
    <row r="1685" customHeight="1" spans="1:2">
      <c r="A1685" s="3" t="s">
        <v>9722</v>
      </c>
      <c r="B1685" s="4">
        <v>6.9</v>
      </c>
    </row>
    <row r="1686" customHeight="1" spans="1:2">
      <c r="A1686" s="3" t="s">
        <v>8547</v>
      </c>
      <c r="B1686" s="4">
        <v>7.43333333333333</v>
      </c>
    </row>
    <row r="1687" customHeight="1" spans="1:2">
      <c r="A1687" s="3" t="s">
        <v>15860</v>
      </c>
      <c r="B1687" s="4">
        <v>6.7</v>
      </c>
    </row>
    <row r="1688" customHeight="1" spans="1:2">
      <c r="A1688" s="3" t="s">
        <v>14094</v>
      </c>
      <c r="B1688" s="4">
        <v>6.7</v>
      </c>
    </row>
    <row r="1689" customHeight="1" spans="1:2">
      <c r="A1689" s="3" t="s">
        <v>6473</v>
      </c>
      <c r="B1689" s="4">
        <v>6.43333333333333</v>
      </c>
    </row>
    <row r="1690" customHeight="1" spans="1:2">
      <c r="A1690" s="3" t="s">
        <v>19318</v>
      </c>
      <c r="B1690" s="4">
        <v>3</v>
      </c>
    </row>
    <row r="1691" customHeight="1" spans="1:2">
      <c r="A1691" s="3" t="s">
        <v>15234</v>
      </c>
      <c r="B1691" s="4">
        <v>7.03333333333333</v>
      </c>
    </row>
    <row r="1692" customHeight="1" spans="1:2">
      <c r="A1692" s="3" t="s">
        <v>20428</v>
      </c>
      <c r="B1692" s="4">
        <v>6.2</v>
      </c>
    </row>
    <row r="1693" customHeight="1" spans="1:2">
      <c r="A1693" s="3" t="s">
        <v>1570</v>
      </c>
      <c r="B1693" s="4">
        <v>6.2</v>
      </c>
    </row>
    <row r="1694" customHeight="1" spans="1:2">
      <c r="A1694" s="3" t="s">
        <v>12306</v>
      </c>
      <c r="B1694" s="4">
        <v>6.4</v>
      </c>
    </row>
    <row r="1695" customHeight="1" spans="1:2">
      <c r="A1695" s="3" t="s">
        <v>3669</v>
      </c>
      <c r="B1695" s="4">
        <v>6.16666666666667</v>
      </c>
    </row>
    <row r="1696" customHeight="1" spans="1:2">
      <c r="A1696" s="3" t="s">
        <v>6029</v>
      </c>
      <c r="B1696" s="4">
        <v>7.5</v>
      </c>
    </row>
    <row r="1697" customHeight="1" spans="1:2">
      <c r="A1697" s="3" t="s">
        <v>6998</v>
      </c>
      <c r="B1697" s="4">
        <v>6.7</v>
      </c>
    </row>
    <row r="1698" customHeight="1" spans="1:2">
      <c r="A1698" s="3" t="s">
        <v>16281</v>
      </c>
      <c r="B1698" s="4">
        <v>7.05</v>
      </c>
    </row>
    <row r="1699" customHeight="1" spans="1:2">
      <c r="A1699" s="3" t="s">
        <v>14954</v>
      </c>
      <c r="B1699" s="4">
        <v>5.9</v>
      </c>
    </row>
    <row r="1700" customHeight="1" spans="1:2">
      <c r="A1700" s="3" t="s">
        <v>9922</v>
      </c>
      <c r="B1700" s="4">
        <v>5.9</v>
      </c>
    </row>
    <row r="1701" customHeight="1" spans="1:2">
      <c r="A1701" s="3" t="s">
        <v>15772</v>
      </c>
      <c r="B1701" s="4">
        <v>7.3</v>
      </c>
    </row>
    <row r="1702" customHeight="1" spans="1:2">
      <c r="A1702" s="3" t="s">
        <v>9419</v>
      </c>
      <c r="B1702" s="4">
        <v>5.4</v>
      </c>
    </row>
    <row r="1703" customHeight="1" spans="1:2">
      <c r="A1703" s="3" t="s">
        <v>22272</v>
      </c>
      <c r="B1703" s="4">
        <v>5.2</v>
      </c>
    </row>
    <row r="1704" customHeight="1" spans="1:2">
      <c r="A1704" s="3" t="s">
        <v>2953</v>
      </c>
      <c r="B1704" s="4">
        <v>7.1</v>
      </c>
    </row>
    <row r="1705" customHeight="1" spans="1:2">
      <c r="A1705" s="3" t="s">
        <v>5991</v>
      </c>
      <c r="B1705" s="4">
        <v>6.475</v>
      </c>
    </row>
    <row r="1706" customHeight="1" spans="1:2">
      <c r="A1706" s="3" t="s">
        <v>761</v>
      </c>
      <c r="B1706" s="4">
        <v>6.95</v>
      </c>
    </row>
    <row r="1707" customHeight="1" spans="1:2">
      <c r="A1707" s="3" t="s">
        <v>13827</v>
      </c>
      <c r="B1707" s="4">
        <v>7.1</v>
      </c>
    </row>
    <row r="1708" customHeight="1" spans="1:2">
      <c r="A1708" s="3" t="s">
        <v>8743</v>
      </c>
      <c r="B1708" s="4">
        <v>5.7</v>
      </c>
    </row>
    <row r="1709" customHeight="1" spans="1:2">
      <c r="A1709" s="3" t="s">
        <v>5590</v>
      </c>
      <c r="B1709" s="4">
        <v>6.23333333333333</v>
      </c>
    </row>
    <row r="1710" customHeight="1" spans="1:2">
      <c r="A1710" s="3" t="s">
        <v>16930</v>
      </c>
      <c r="B1710" s="4">
        <v>7.2</v>
      </c>
    </row>
    <row r="1711" customHeight="1" spans="1:2">
      <c r="A1711" s="3" t="s">
        <v>18017</v>
      </c>
      <c r="B1711" s="4">
        <v>5.25</v>
      </c>
    </row>
    <row r="1712" customHeight="1" spans="1:2">
      <c r="A1712" s="3" t="s">
        <v>20521</v>
      </c>
      <c r="B1712" s="4">
        <v>7.7</v>
      </c>
    </row>
    <row r="1713" customHeight="1" spans="1:2">
      <c r="A1713" s="3" t="s">
        <v>17054</v>
      </c>
      <c r="B1713" s="4">
        <v>6.6</v>
      </c>
    </row>
    <row r="1714" customHeight="1" spans="1:2">
      <c r="A1714" s="3" t="s">
        <v>5654</v>
      </c>
      <c r="B1714" s="4">
        <v>6.3</v>
      </c>
    </row>
    <row r="1715" customHeight="1" spans="1:2">
      <c r="A1715" s="3" t="s">
        <v>22482</v>
      </c>
      <c r="B1715" s="4">
        <v>7.3</v>
      </c>
    </row>
    <row r="1716" customHeight="1" spans="1:2">
      <c r="A1716" s="3" t="s">
        <v>21460</v>
      </c>
      <c r="B1716" s="4">
        <v>6.1</v>
      </c>
    </row>
    <row r="1717" customHeight="1" spans="1:2">
      <c r="A1717" s="3" t="s">
        <v>19574</v>
      </c>
      <c r="B1717" s="4">
        <v>5.1</v>
      </c>
    </row>
    <row r="1718" customHeight="1" spans="1:2">
      <c r="A1718" s="3" t="s">
        <v>14328</v>
      </c>
      <c r="B1718" s="4">
        <v>7.7</v>
      </c>
    </row>
    <row r="1719" customHeight="1" spans="1:2">
      <c r="A1719" s="3" t="s">
        <v>20628</v>
      </c>
      <c r="B1719" s="4">
        <v>5.8</v>
      </c>
    </row>
    <row r="1720" customHeight="1" spans="1:2">
      <c r="A1720" s="3" t="s">
        <v>9890</v>
      </c>
      <c r="B1720" s="4">
        <v>6.3</v>
      </c>
    </row>
    <row r="1721" customHeight="1" spans="1:2">
      <c r="A1721" s="3" t="s">
        <v>23589</v>
      </c>
      <c r="B1721" s="4">
        <v>5.4</v>
      </c>
    </row>
    <row r="1722" customHeight="1" spans="1:2">
      <c r="A1722" s="3" t="s">
        <v>6672</v>
      </c>
      <c r="B1722" s="4">
        <v>6.7</v>
      </c>
    </row>
    <row r="1723" customHeight="1" spans="1:2">
      <c r="A1723" s="3" t="s">
        <v>13840</v>
      </c>
      <c r="B1723" s="4">
        <v>7.3</v>
      </c>
    </row>
    <row r="1724" customHeight="1" spans="1:2">
      <c r="A1724" s="3" t="s">
        <v>19345</v>
      </c>
      <c r="B1724" s="4">
        <v>6.65</v>
      </c>
    </row>
    <row r="1725" customHeight="1" spans="1:2">
      <c r="A1725" s="3" t="s">
        <v>9879</v>
      </c>
      <c r="B1725" s="4">
        <v>7.03333333333333</v>
      </c>
    </row>
    <row r="1726" customHeight="1" spans="1:2">
      <c r="A1726" s="3" t="s">
        <v>14985</v>
      </c>
      <c r="B1726" s="4">
        <v>6.7</v>
      </c>
    </row>
    <row r="1727" customHeight="1" spans="1:2">
      <c r="A1727" s="3" t="s">
        <v>22529</v>
      </c>
      <c r="B1727" s="4">
        <v>7.4</v>
      </c>
    </row>
    <row r="1728" customHeight="1" spans="1:2">
      <c r="A1728" s="3" t="s">
        <v>22703</v>
      </c>
      <c r="B1728" s="4">
        <v>7.5</v>
      </c>
    </row>
    <row r="1729" customHeight="1" spans="1:2">
      <c r="A1729" s="3" t="s">
        <v>4326</v>
      </c>
      <c r="B1729" s="4">
        <v>6.7</v>
      </c>
    </row>
    <row r="1730" customHeight="1" spans="1:2">
      <c r="A1730" s="3" t="s">
        <v>1881</v>
      </c>
      <c r="B1730" s="4">
        <v>6.1</v>
      </c>
    </row>
    <row r="1731" customHeight="1" spans="1:2">
      <c r="A1731" s="3" t="s">
        <v>5487</v>
      </c>
      <c r="B1731" s="4">
        <v>5.4</v>
      </c>
    </row>
    <row r="1732" customHeight="1" spans="1:2">
      <c r="A1732" s="3" t="s">
        <v>23897</v>
      </c>
      <c r="B1732" s="4">
        <v>7.4</v>
      </c>
    </row>
    <row r="1733" customHeight="1" spans="1:2">
      <c r="A1733" s="3" t="s">
        <v>5434</v>
      </c>
      <c r="B1733" s="4">
        <v>5.6</v>
      </c>
    </row>
    <row r="1734" customHeight="1" spans="1:2">
      <c r="A1734" s="3" t="s">
        <v>23754</v>
      </c>
      <c r="B1734" s="4">
        <v>3.6</v>
      </c>
    </row>
    <row r="1735" customHeight="1" spans="1:2">
      <c r="A1735" s="3" t="s">
        <v>17189</v>
      </c>
      <c r="B1735" s="4">
        <v>6.15</v>
      </c>
    </row>
    <row r="1736" customHeight="1" spans="1:2">
      <c r="A1736" s="3" t="s">
        <v>7380</v>
      </c>
      <c r="B1736" s="4">
        <v>6.6</v>
      </c>
    </row>
    <row r="1737" customHeight="1" spans="1:2">
      <c r="A1737" s="3" t="s">
        <v>17582</v>
      </c>
      <c r="B1737" s="4">
        <v>7.3</v>
      </c>
    </row>
    <row r="1738" customHeight="1" spans="1:2">
      <c r="A1738" s="3" t="s">
        <v>11122</v>
      </c>
      <c r="B1738" s="4">
        <v>5.8</v>
      </c>
    </row>
    <row r="1739" customHeight="1" spans="1:2">
      <c r="A1739" s="3" t="s">
        <v>18030</v>
      </c>
      <c r="B1739" s="4">
        <v>6.6</v>
      </c>
    </row>
    <row r="1740" customHeight="1" spans="1:2">
      <c r="A1740" s="3" t="s">
        <v>23102</v>
      </c>
      <c r="B1740" s="4">
        <v>6.2</v>
      </c>
    </row>
    <row r="1741" customHeight="1" spans="1:2">
      <c r="A1741" s="3" t="s">
        <v>5644</v>
      </c>
      <c r="B1741" s="4">
        <v>4.5</v>
      </c>
    </row>
    <row r="1742" customHeight="1" spans="1:2">
      <c r="A1742" s="3" t="s">
        <v>20545</v>
      </c>
      <c r="B1742" s="4">
        <v>5.7</v>
      </c>
    </row>
    <row r="1743" customHeight="1" spans="1:2">
      <c r="A1743" s="3" t="s">
        <v>21766</v>
      </c>
      <c r="B1743" s="4">
        <v>7.3</v>
      </c>
    </row>
    <row r="1744" customHeight="1" spans="1:2">
      <c r="A1744" s="3" t="s">
        <v>21200</v>
      </c>
      <c r="B1744" s="4">
        <v>4.3</v>
      </c>
    </row>
    <row r="1745" customHeight="1" spans="1:2">
      <c r="A1745" s="3" t="s">
        <v>970</v>
      </c>
      <c r="B1745" s="4">
        <v>5.9</v>
      </c>
    </row>
    <row r="1746" customHeight="1" spans="1:2">
      <c r="A1746" s="3" t="s">
        <v>22999</v>
      </c>
      <c r="B1746" s="4">
        <v>6.9</v>
      </c>
    </row>
    <row r="1747" customHeight="1" spans="1:2">
      <c r="A1747" s="3" t="s">
        <v>22904</v>
      </c>
      <c r="B1747" s="4">
        <v>6.1</v>
      </c>
    </row>
    <row r="1748" customHeight="1" spans="1:2">
      <c r="A1748" s="3" t="s">
        <v>1156</v>
      </c>
      <c r="B1748" s="4">
        <v>7.58571428571429</v>
      </c>
    </row>
    <row r="1749" customHeight="1" spans="1:2">
      <c r="A1749" s="3" t="s">
        <v>8640</v>
      </c>
      <c r="B1749" s="4">
        <v>6.25</v>
      </c>
    </row>
    <row r="1750" customHeight="1" spans="1:2">
      <c r="A1750" s="3" t="s">
        <v>8509</v>
      </c>
      <c r="B1750" s="4">
        <v>7.6</v>
      </c>
    </row>
    <row r="1751" customHeight="1" spans="1:2">
      <c r="A1751" s="3" t="s">
        <v>4973</v>
      </c>
      <c r="B1751" s="4">
        <v>5.5</v>
      </c>
    </row>
    <row r="1752" customHeight="1" spans="1:2">
      <c r="A1752" s="3" t="s">
        <v>4723</v>
      </c>
      <c r="B1752" s="4">
        <v>7.2</v>
      </c>
    </row>
    <row r="1753" customHeight="1" spans="1:2">
      <c r="A1753" s="3" t="s">
        <v>13851</v>
      </c>
      <c r="B1753" s="4">
        <v>5.9</v>
      </c>
    </row>
    <row r="1754" customHeight="1" spans="1:2">
      <c r="A1754" s="3" t="s">
        <v>6047</v>
      </c>
      <c r="B1754" s="4">
        <v>6.8</v>
      </c>
    </row>
    <row r="1755" customHeight="1" spans="1:2">
      <c r="A1755" s="3" t="s">
        <v>2591</v>
      </c>
      <c r="B1755" s="4">
        <v>6.6</v>
      </c>
    </row>
    <row r="1756" customHeight="1" spans="1:2">
      <c r="A1756" s="3" t="s">
        <v>13941</v>
      </c>
      <c r="B1756" s="4">
        <v>5.74285714285714</v>
      </c>
    </row>
    <row r="1757" customHeight="1" spans="1:2">
      <c r="A1757" s="3" t="s">
        <v>7077</v>
      </c>
      <c r="B1757" s="4">
        <v>7.51666666666667</v>
      </c>
    </row>
    <row r="1758" customHeight="1" spans="1:2">
      <c r="A1758" s="3" t="s">
        <v>3314</v>
      </c>
      <c r="B1758" s="4">
        <v>6</v>
      </c>
    </row>
    <row r="1759" customHeight="1" spans="1:2">
      <c r="A1759" s="3" t="s">
        <v>1305</v>
      </c>
      <c r="B1759" s="4">
        <v>6.71666666666667</v>
      </c>
    </row>
    <row r="1760" customHeight="1" spans="1:2">
      <c r="A1760" s="3" t="s">
        <v>2332</v>
      </c>
      <c r="B1760" s="4">
        <v>5.99</v>
      </c>
    </row>
    <row r="1761" customHeight="1" spans="1:2">
      <c r="A1761" s="3" t="s">
        <v>6501</v>
      </c>
      <c r="B1761" s="4">
        <v>5.8</v>
      </c>
    </row>
    <row r="1762" customHeight="1" spans="1:2">
      <c r="A1762" s="3" t="s">
        <v>1745</v>
      </c>
      <c r="B1762" s="4">
        <v>6.01666666666667</v>
      </c>
    </row>
    <row r="1763" customHeight="1" spans="1:2">
      <c r="A1763" s="3" t="s">
        <v>19750</v>
      </c>
      <c r="B1763" s="4">
        <v>7.1</v>
      </c>
    </row>
    <row r="1764" customHeight="1" spans="1:2">
      <c r="A1764" s="3" t="s">
        <v>23111</v>
      </c>
      <c r="B1764" s="4">
        <v>4.5</v>
      </c>
    </row>
    <row r="1765" customHeight="1" spans="1:2">
      <c r="A1765" s="3" t="s">
        <v>15543</v>
      </c>
      <c r="B1765" s="4">
        <v>7.6</v>
      </c>
    </row>
    <row r="1766" customHeight="1" spans="1:2">
      <c r="A1766" s="3" t="s">
        <v>10662</v>
      </c>
      <c r="B1766" s="4">
        <v>7</v>
      </c>
    </row>
    <row r="1767" customHeight="1" spans="1:2">
      <c r="A1767" s="3" t="s">
        <v>5625</v>
      </c>
      <c r="B1767" s="4">
        <v>6.75</v>
      </c>
    </row>
    <row r="1768" customHeight="1" spans="1:2">
      <c r="A1768" s="3" t="s">
        <v>12420</v>
      </c>
      <c r="B1768" s="4">
        <v>3.3</v>
      </c>
    </row>
    <row r="1769" customHeight="1" spans="1:2">
      <c r="A1769" s="3" t="s">
        <v>17269</v>
      </c>
      <c r="B1769" s="4">
        <v>5.8</v>
      </c>
    </row>
    <row r="1770" customHeight="1" spans="1:2">
      <c r="A1770" s="3" t="s">
        <v>470</v>
      </c>
      <c r="B1770" s="4">
        <v>8.23333333333333</v>
      </c>
    </row>
    <row r="1771" customHeight="1" spans="1:2">
      <c r="A1771" s="3" t="s">
        <v>21001</v>
      </c>
      <c r="B1771" s="4">
        <v>6.5</v>
      </c>
    </row>
    <row r="1772" customHeight="1" spans="1:2">
      <c r="A1772" s="3" t="s">
        <v>2483</v>
      </c>
      <c r="B1772" s="4">
        <v>6.93333333333333</v>
      </c>
    </row>
    <row r="1773" customHeight="1" spans="1:2">
      <c r="A1773" s="3" t="s">
        <v>12946</v>
      </c>
      <c r="B1773" s="4">
        <v>6.4</v>
      </c>
    </row>
    <row r="1774" customHeight="1" spans="1:2">
      <c r="A1774" s="3" t="s">
        <v>226</v>
      </c>
      <c r="B1774" s="4">
        <v>6.66666666666667</v>
      </c>
    </row>
    <row r="1775" customHeight="1" spans="1:2">
      <c r="A1775" s="3" t="s">
        <v>4009</v>
      </c>
      <c r="B1775" s="4">
        <v>5.5</v>
      </c>
    </row>
    <row r="1776" customHeight="1" spans="1:2">
      <c r="A1776" s="3" t="s">
        <v>14335</v>
      </c>
      <c r="B1776" s="4">
        <v>7.1</v>
      </c>
    </row>
    <row r="1777" customHeight="1" spans="1:2">
      <c r="A1777" s="3" t="s">
        <v>13126</v>
      </c>
      <c r="B1777" s="4">
        <v>6.68</v>
      </c>
    </row>
    <row r="1778" customHeight="1" spans="1:2">
      <c r="A1778" s="3" t="s">
        <v>1680</v>
      </c>
      <c r="B1778" s="4">
        <v>5.78</v>
      </c>
    </row>
    <row r="1779" customHeight="1" spans="1:2">
      <c r="A1779" s="3" t="s">
        <v>13338</v>
      </c>
      <c r="B1779" s="4">
        <v>6.2</v>
      </c>
    </row>
    <row r="1780" customHeight="1" spans="1:2">
      <c r="A1780" s="3" t="s">
        <v>18343</v>
      </c>
      <c r="B1780" s="4">
        <v>5.9</v>
      </c>
    </row>
    <row r="1781" customHeight="1" spans="1:2">
      <c r="A1781" s="3" t="s">
        <v>15798</v>
      </c>
      <c r="B1781" s="4">
        <v>6.5</v>
      </c>
    </row>
    <row r="1782" customHeight="1" spans="1:2">
      <c r="A1782" s="3" t="s">
        <v>12379</v>
      </c>
      <c r="B1782" s="4">
        <v>7.3</v>
      </c>
    </row>
    <row r="1783" customHeight="1" spans="1:2">
      <c r="A1783" s="3" t="s">
        <v>12468</v>
      </c>
      <c r="B1783" s="4">
        <v>6.6</v>
      </c>
    </row>
    <row r="1784" customHeight="1" spans="1:2">
      <c r="A1784" s="3" t="s">
        <v>18731</v>
      </c>
      <c r="B1784" s="4">
        <v>7.6</v>
      </c>
    </row>
    <row r="1785" customHeight="1" spans="1:2">
      <c r="A1785" s="3" t="s">
        <v>11108</v>
      </c>
      <c r="B1785" s="4">
        <v>4</v>
      </c>
    </row>
    <row r="1786" customHeight="1" spans="1:2">
      <c r="A1786" s="3" t="s">
        <v>6497</v>
      </c>
      <c r="B1786" s="4">
        <v>6.85</v>
      </c>
    </row>
    <row r="1787" customHeight="1" spans="1:2">
      <c r="A1787" s="3" t="s">
        <v>5112</v>
      </c>
      <c r="B1787" s="4">
        <v>5.3</v>
      </c>
    </row>
    <row r="1788" customHeight="1" spans="1:2">
      <c r="A1788" s="3" t="s">
        <v>6881</v>
      </c>
      <c r="B1788" s="4">
        <v>7.1</v>
      </c>
    </row>
    <row r="1789" customHeight="1" spans="1:2">
      <c r="A1789" s="3" t="s">
        <v>5868</v>
      </c>
      <c r="B1789" s="4">
        <v>6.225</v>
      </c>
    </row>
    <row r="1790" customHeight="1" spans="1:2">
      <c r="A1790" s="3" t="s">
        <v>1820</v>
      </c>
      <c r="B1790" s="4">
        <v>5.48333333333333</v>
      </c>
    </row>
    <row r="1791" customHeight="1" spans="1:2">
      <c r="A1791" s="3" t="s">
        <v>172</v>
      </c>
      <c r="B1791" s="4">
        <v>7.675</v>
      </c>
    </row>
    <row r="1792" customHeight="1" spans="1:2">
      <c r="A1792" s="3" t="s">
        <v>13150</v>
      </c>
      <c r="B1792" s="4">
        <v>6.5</v>
      </c>
    </row>
    <row r="1793" customHeight="1" spans="1:2">
      <c r="A1793" s="3" t="s">
        <v>12480</v>
      </c>
      <c r="B1793" s="4">
        <v>7.2</v>
      </c>
    </row>
    <row r="1794" customHeight="1" spans="1:2">
      <c r="A1794" s="3" t="s">
        <v>7546</v>
      </c>
      <c r="B1794" s="4">
        <v>7.1</v>
      </c>
    </row>
    <row r="1795" customHeight="1" spans="1:2">
      <c r="A1795" s="3" t="s">
        <v>8262</v>
      </c>
      <c r="B1795" s="4">
        <v>5.8</v>
      </c>
    </row>
    <row r="1796" customHeight="1" spans="1:2">
      <c r="A1796" s="3" t="s">
        <v>4753</v>
      </c>
      <c r="B1796" s="4">
        <v>6.85</v>
      </c>
    </row>
    <row r="1797" customHeight="1" spans="1:2">
      <c r="A1797" s="3" t="s">
        <v>19362</v>
      </c>
      <c r="B1797" s="4">
        <v>4.4</v>
      </c>
    </row>
    <row r="1798" customHeight="1" spans="1:2">
      <c r="A1798" s="3" t="s">
        <v>4472</v>
      </c>
      <c r="B1798" s="4">
        <v>5.7</v>
      </c>
    </row>
    <row r="1799" customHeight="1" spans="1:2">
      <c r="A1799" s="3" t="s">
        <v>15192</v>
      </c>
      <c r="B1799" s="4">
        <v>6.6</v>
      </c>
    </row>
    <row r="1800" customHeight="1" spans="1:2">
      <c r="A1800" s="3" t="s">
        <v>16046</v>
      </c>
      <c r="B1800" s="4">
        <v>6.8</v>
      </c>
    </row>
    <row r="1801" customHeight="1" spans="1:2">
      <c r="A1801" s="3" t="s">
        <v>1002</v>
      </c>
      <c r="B1801" s="4">
        <v>7.3</v>
      </c>
    </row>
    <row r="1802" customHeight="1" spans="1:2">
      <c r="A1802" s="3" t="s">
        <v>2468</v>
      </c>
      <c r="B1802" s="4">
        <v>6.18571428571429</v>
      </c>
    </row>
    <row r="1803" customHeight="1" spans="1:2">
      <c r="A1803" s="3" t="s">
        <v>397</v>
      </c>
      <c r="B1803" s="4">
        <v>6.8</v>
      </c>
    </row>
    <row r="1804" customHeight="1" spans="1:2">
      <c r="A1804" s="3" t="s">
        <v>14896</v>
      </c>
      <c r="B1804" s="4">
        <v>6.8</v>
      </c>
    </row>
    <row r="1805" customHeight="1" spans="1:2">
      <c r="A1805" s="3" t="s">
        <v>18832</v>
      </c>
      <c r="B1805" s="4">
        <v>6.8</v>
      </c>
    </row>
    <row r="1806" customHeight="1" spans="1:2">
      <c r="A1806" s="3" t="s">
        <v>5339</v>
      </c>
      <c r="B1806" s="4">
        <v>6.6</v>
      </c>
    </row>
    <row r="1807" customHeight="1" spans="1:2">
      <c r="A1807" s="3" t="s">
        <v>1097</v>
      </c>
      <c r="B1807" s="4">
        <v>7.725</v>
      </c>
    </row>
    <row r="1808" customHeight="1" spans="1:2">
      <c r="A1808" s="3" t="s">
        <v>7618</v>
      </c>
      <c r="B1808" s="4">
        <v>6</v>
      </c>
    </row>
    <row r="1809" customHeight="1" spans="1:2">
      <c r="A1809" s="3" t="s">
        <v>20078</v>
      </c>
      <c r="B1809" s="4">
        <v>7.6</v>
      </c>
    </row>
    <row r="1810" customHeight="1" spans="1:2">
      <c r="A1810" s="3" t="s">
        <v>1166</v>
      </c>
      <c r="B1810" s="4">
        <v>6.475</v>
      </c>
    </row>
    <row r="1811" customHeight="1" spans="1:2">
      <c r="A1811" s="3" t="s">
        <v>3537</v>
      </c>
      <c r="B1811" s="4">
        <v>6.4</v>
      </c>
    </row>
    <row r="1812" customHeight="1" spans="1:2">
      <c r="A1812" s="3" t="s">
        <v>20463</v>
      </c>
      <c r="B1812" s="4">
        <v>5.2</v>
      </c>
    </row>
    <row r="1813" customHeight="1" spans="1:2">
      <c r="A1813" s="3" t="s">
        <v>8431</v>
      </c>
      <c r="B1813" s="4">
        <v>5.8</v>
      </c>
    </row>
    <row r="1814" customHeight="1" spans="1:2">
      <c r="A1814" s="3" t="s">
        <v>2100</v>
      </c>
      <c r="B1814" s="4">
        <v>7.275</v>
      </c>
    </row>
    <row r="1815" customHeight="1" spans="1:2">
      <c r="A1815" s="3" t="s">
        <v>20552</v>
      </c>
      <c r="B1815" s="4">
        <v>5.6</v>
      </c>
    </row>
    <row r="1816" customHeight="1" spans="1:2">
      <c r="A1816" s="3" t="s">
        <v>12885</v>
      </c>
      <c r="B1816" s="4">
        <v>4.8</v>
      </c>
    </row>
    <row r="1817" customHeight="1" spans="1:2">
      <c r="A1817" s="3" t="s">
        <v>9759</v>
      </c>
      <c r="B1817" s="4">
        <v>6.3</v>
      </c>
    </row>
    <row r="1818" customHeight="1" spans="1:2">
      <c r="A1818" s="3" t="s">
        <v>9129</v>
      </c>
      <c r="B1818" s="4">
        <v>7.65</v>
      </c>
    </row>
    <row r="1819" customHeight="1" spans="1:2">
      <c r="A1819" s="3" t="s">
        <v>14632</v>
      </c>
      <c r="B1819" s="4">
        <v>7.7</v>
      </c>
    </row>
    <row r="1820" customHeight="1" spans="1:2">
      <c r="A1820" s="3" t="s">
        <v>19534</v>
      </c>
      <c r="B1820" s="4">
        <v>3.3</v>
      </c>
    </row>
    <row r="1821" customHeight="1" spans="1:2">
      <c r="A1821" s="3" t="s">
        <v>1199</v>
      </c>
      <c r="B1821" s="4">
        <v>6.76666666666667</v>
      </c>
    </row>
    <row r="1822" customHeight="1" spans="1:2">
      <c r="A1822" s="3" t="s">
        <v>4932</v>
      </c>
      <c r="B1822" s="4">
        <v>6.35</v>
      </c>
    </row>
    <row r="1823" customHeight="1" spans="1:2">
      <c r="A1823" s="3" t="s">
        <v>2977</v>
      </c>
      <c r="B1823" s="4">
        <v>7.6</v>
      </c>
    </row>
    <row r="1824" customHeight="1" spans="1:2">
      <c r="A1824" s="3" t="s">
        <v>4966</v>
      </c>
      <c r="B1824" s="4">
        <v>6.85</v>
      </c>
    </row>
    <row r="1825" customHeight="1" spans="1:2">
      <c r="A1825" s="3" t="s">
        <v>1859</v>
      </c>
      <c r="B1825" s="4">
        <v>3.3</v>
      </c>
    </row>
    <row r="1826" customHeight="1" spans="1:2">
      <c r="A1826" s="3" t="s">
        <v>23174</v>
      </c>
      <c r="B1826" s="4">
        <v>6.7</v>
      </c>
    </row>
    <row r="1827" customHeight="1" spans="1:2">
      <c r="A1827" s="3" t="s">
        <v>4418</v>
      </c>
      <c r="B1827" s="4">
        <v>6</v>
      </c>
    </row>
    <row r="1828" customHeight="1" spans="1:2">
      <c r="A1828" s="3" t="s">
        <v>17333</v>
      </c>
      <c r="B1828" s="4">
        <v>7.1</v>
      </c>
    </row>
    <row r="1829" customHeight="1" spans="1:2">
      <c r="A1829" s="3" t="s">
        <v>13713</v>
      </c>
      <c r="B1829" s="4">
        <v>4.1</v>
      </c>
    </row>
    <row r="1830" customHeight="1" spans="1:2">
      <c r="A1830" s="3" t="s">
        <v>20986</v>
      </c>
      <c r="B1830" s="4">
        <v>6.7</v>
      </c>
    </row>
    <row r="1831" customHeight="1" spans="1:2">
      <c r="A1831" s="3" t="s">
        <v>22630</v>
      </c>
      <c r="B1831" s="4">
        <v>5.8</v>
      </c>
    </row>
    <row r="1832" customHeight="1" spans="1:2">
      <c r="A1832" s="3" t="s">
        <v>1765</v>
      </c>
      <c r="B1832" s="4">
        <v>8.2</v>
      </c>
    </row>
    <row r="1833" customHeight="1" spans="1:2">
      <c r="A1833" s="3" t="s">
        <v>18388</v>
      </c>
      <c r="B1833" s="4">
        <v>7.2</v>
      </c>
    </row>
    <row r="1834" customHeight="1" spans="1:2">
      <c r="A1834" s="3" t="s">
        <v>14519</v>
      </c>
      <c r="B1834" s="4">
        <v>6.8</v>
      </c>
    </row>
    <row r="1835" customHeight="1" spans="1:2">
      <c r="A1835" s="3" t="s">
        <v>23261</v>
      </c>
      <c r="B1835" s="4">
        <v>2.5</v>
      </c>
    </row>
    <row r="1836" customHeight="1" spans="1:2">
      <c r="A1836" s="3" t="s">
        <v>16847</v>
      </c>
      <c r="B1836" s="4">
        <v>6.3</v>
      </c>
    </row>
    <row r="1837" customHeight="1" spans="1:2">
      <c r="A1837" s="3" t="s">
        <v>9971</v>
      </c>
      <c r="B1837" s="4">
        <v>5.05</v>
      </c>
    </row>
    <row r="1838" customHeight="1" spans="1:2">
      <c r="A1838" s="3" t="s">
        <v>15371</v>
      </c>
      <c r="B1838" s="4">
        <v>6.2</v>
      </c>
    </row>
    <row r="1839" customHeight="1" spans="1:2">
      <c r="A1839" s="3" t="s">
        <v>1576</v>
      </c>
      <c r="B1839" s="4">
        <v>4.91666666666667</v>
      </c>
    </row>
    <row r="1840" customHeight="1" spans="1:2">
      <c r="A1840" s="3" t="s">
        <v>18353</v>
      </c>
      <c r="B1840" s="4">
        <v>8.5</v>
      </c>
    </row>
    <row r="1841" customHeight="1" spans="1:2">
      <c r="A1841" s="3" t="s">
        <v>19692</v>
      </c>
      <c r="B1841" s="4">
        <v>8.2</v>
      </c>
    </row>
    <row r="1842" customHeight="1" spans="1:2">
      <c r="A1842" s="3" t="s">
        <v>15258</v>
      </c>
      <c r="B1842" s="4">
        <v>6.3</v>
      </c>
    </row>
    <row r="1843" customHeight="1" spans="1:2">
      <c r="A1843" s="3" t="s">
        <v>17463</v>
      </c>
      <c r="B1843" s="4">
        <v>8.4</v>
      </c>
    </row>
    <row r="1844" customHeight="1" spans="1:2">
      <c r="A1844" s="3" t="s">
        <v>15329</v>
      </c>
      <c r="B1844" s="4">
        <v>6.2</v>
      </c>
    </row>
    <row r="1845" customHeight="1" spans="1:2">
      <c r="A1845" s="3" t="s">
        <v>22009</v>
      </c>
      <c r="B1845" s="4">
        <v>7.1</v>
      </c>
    </row>
    <row r="1846" customHeight="1" spans="1:2">
      <c r="A1846" s="3" t="s">
        <v>20469</v>
      </c>
      <c r="B1846" s="4">
        <v>7.8</v>
      </c>
    </row>
    <row r="1847" customHeight="1" spans="1:2">
      <c r="A1847" s="3" t="s">
        <v>22083</v>
      </c>
      <c r="B1847" s="4">
        <v>6.4</v>
      </c>
    </row>
    <row r="1848" customHeight="1" spans="1:2">
      <c r="A1848" s="3" t="s">
        <v>7793</v>
      </c>
      <c r="B1848" s="4">
        <v>5.3</v>
      </c>
    </row>
    <row r="1849" customHeight="1" spans="1:2">
      <c r="A1849" s="3" t="s">
        <v>13412</v>
      </c>
      <c r="B1849" s="4">
        <v>6.53333333333333</v>
      </c>
    </row>
    <row r="1850" customHeight="1" spans="1:2">
      <c r="A1850" s="3" t="s">
        <v>17874</v>
      </c>
      <c r="B1850" s="4">
        <v>6.95</v>
      </c>
    </row>
    <row r="1851" customHeight="1" spans="1:2">
      <c r="A1851" s="3" t="s">
        <v>21908</v>
      </c>
      <c r="B1851" s="4">
        <v>6.2</v>
      </c>
    </row>
    <row r="1852" customHeight="1" spans="1:2">
      <c r="A1852" s="3" t="s">
        <v>3368</v>
      </c>
      <c r="B1852" s="4">
        <v>6.625</v>
      </c>
    </row>
    <row r="1853" customHeight="1" spans="1:2">
      <c r="A1853" s="3" t="s">
        <v>22347</v>
      </c>
      <c r="B1853" s="4">
        <v>5.2</v>
      </c>
    </row>
    <row r="1854" customHeight="1" spans="1:2">
      <c r="A1854" s="3" t="s">
        <v>23511</v>
      </c>
      <c r="B1854" s="4">
        <v>6.3</v>
      </c>
    </row>
    <row r="1855" customHeight="1" spans="1:2">
      <c r="A1855" s="3" t="s">
        <v>5060</v>
      </c>
      <c r="B1855" s="4">
        <v>6.75</v>
      </c>
    </row>
    <row r="1856" customHeight="1" spans="1:2">
      <c r="A1856" s="3" t="s">
        <v>22875</v>
      </c>
      <c r="B1856" s="4">
        <v>5.1</v>
      </c>
    </row>
    <row r="1857" customHeight="1" spans="1:2">
      <c r="A1857" s="3" t="s">
        <v>14698</v>
      </c>
      <c r="B1857" s="4">
        <v>6.4</v>
      </c>
    </row>
    <row r="1858" customHeight="1" spans="1:2">
      <c r="A1858" s="3" t="s">
        <v>17122</v>
      </c>
      <c r="B1858" s="4">
        <v>7.4</v>
      </c>
    </row>
    <row r="1859" customHeight="1" spans="1:2">
      <c r="A1859" s="3" t="s">
        <v>20951</v>
      </c>
      <c r="B1859" s="4">
        <v>6.7</v>
      </c>
    </row>
    <row r="1860" customHeight="1" spans="1:2">
      <c r="A1860" s="3" t="s">
        <v>19911</v>
      </c>
      <c r="B1860" s="4">
        <v>7.1</v>
      </c>
    </row>
    <row r="1861" customHeight="1" spans="1:2">
      <c r="A1861" s="3" t="s">
        <v>21453</v>
      </c>
      <c r="B1861" s="4">
        <v>6.9</v>
      </c>
    </row>
    <row r="1862" customHeight="1" spans="1:2">
      <c r="A1862" s="3" t="s">
        <v>6103</v>
      </c>
      <c r="B1862" s="4">
        <v>5.26666666666667</v>
      </c>
    </row>
    <row r="1863" customHeight="1" spans="1:2">
      <c r="A1863" s="3" t="s">
        <v>8728</v>
      </c>
      <c r="B1863" s="4">
        <v>4.9</v>
      </c>
    </row>
    <row r="1864" customHeight="1" spans="1:2">
      <c r="A1864" s="3" t="s">
        <v>20634</v>
      </c>
      <c r="B1864" s="4">
        <v>6.4</v>
      </c>
    </row>
    <row r="1865" customHeight="1" spans="1:2">
      <c r="A1865" s="3" t="s">
        <v>18306</v>
      </c>
      <c r="B1865" s="4">
        <v>6.4</v>
      </c>
    </row>
    <row r="1866" customHeight="1" spans="1:2">
      <c r="A1866" s="3" t="s">
        <v>2067</v>
      </c>
      <c r="B1866" s="4">
        <v>5.74666666666667</v>
      </c>
    </row>
    <row r="1867" customHeight="1" spans="1:2">
      <c r="A1867" s="3" t="s">
        <v>8206</v>
      </c>
      <c r="B1867" s="4">
        <v>7.15</v>
      </c>
    </row>
    <row r="1868" customHeight="1" spans="1:2">
      <c r="A1868" s="3" t="s">
        <v>12775</v>
      </c>
      <c r="B1868" s="4">
        <v>6.5</v>
      </c>
    </row>
    <row r="1869" customHeight="1" spans="1:2">
      <c r="A1869" s="3" t="s">
        <v>22122</v>
      </c>
      <c r="B1869" s="4">
        <v>5.6</v>
      </c>
    </row>
    <row r="1870" customHeight="1" spans="1:2">
      <c r="A1870" s="3" t="s">
        <v>21179</v>
      </c>
      <c r="B1870" s="4">
        <v>6.5</v>
      </c>
    </row>
    <row r="1871" customHeight="1" spans="1:2">
      <c r="A1871" s="3" t="s">
        <v>620</v>
      </c>
      <c r="B1871" s="4">
        <v>7.8</v>
      </c>
    </row>
    <row r="1872" customHeight="1" spans="1:2">
      <c r="A1872" s="3" t="s">
        <v>8808</v>
      </c>
      <c r="B1872" s="4">
        <v>7.6</v>
      </c>
    </row>
    <row r="1873" customHeight="1" spans="1:2">
      <c r="A1873" s="3" t="s">
        <v>20617</v>
      </c>
      <c r="B1873" s="4">
        <v>7.3</v>
      </c>
    </row>
    <row r="1874" customHeight="1" spans="1:2">
      <c r="A1874" s="3" t="s">
        <v>9928</v>
      </c>
      <c r="B1874" s="4">
        <v>4.73333333333333</v>
      </c>
    </row>
    <row r="1875" customHeight="1" spans="1:2">
      <c r="A1875" s="3" t="s">
        <v>20760</v>
      </c>
      <c r="B1875" s="4">
        <v>4.7</v>
      </c>
    </row>
    <row r="1876" customHeight="1" spans="1:2">
      <c r="A1876" s="3" t="s">
        <v>18897</v>
      </c>
      <c r="B1876" s="4">
        <v>7.8</v>
      </c>
    </row>
    <row r="1877" customHeight="1" spans="1:2">
      <c r="A1877" s="3" t="s">
        <v>5510</v>
      </c>
      <c r="B1877" s="4">
        <v>7.63333333333333</v>
      </c>
    </row>
    <row r="1878" customHeight="1" spans="1:2">
      <c r="A1878" s="3" t="s">
        <v>1059</v>
      </c>
      <c r="B1878" s="4">
        <v>6.825</v>
      </c>
    </row>
    <row r="1879" customHeight="1" spans="1:2">
      <c r="A1879" s="3" t="s">
        <v>21697</v>
      </c>
      <c r="B1879" s="4">
        <v>7.2</v>
      </c>
    </row>
    <row r="1880" customHeight="1" spans="1:2">
      <c r="A1880" s="3" t="s">
        <v>2293</v>
      </c>
      <c r="B1880" s="4">
        <v>6.9</v>
      </c>
    </row>
    <row r="1881" customHeight="1" spans="1:2">
      <c r="A1881" s="3" t="s">
        <v>9071</v>
      </c>
      <c r="B1881" s="4">
        <v>7.25</v>
      </c>
    </row>
    <row r="1882" customHeight="1" spans="1:2">
      <c r="A1882" s="3" t="s">
        <v>9668</v>
      </c>
      <c r="B1882" s="4">
        <v>6.54</v>
      </c>
    </row>
    <row r="1883" customHeight="1" spans="1:2">
      <c r="A1883" s="3" t="s">
        <v>17683</v>
      </c>
      <c r="B1883" s="4">
        <v>7.3</v>
      </c>
    </row>
    <row r="1884" customHeight="1" spans="1:2">
      <c r="A1884" s="3" t="s">
        <v>8638</v>
      </c>
      <c r="B1884" s="4">
        <v>7.3</v>
      </c>
    </row>
    <row r="1885" customHeight="1" spans="1:2">
      <c r="A1885" s="3" t="s">
        <v>9803</v>
      </c>
      <c r="B1885" s="4">
        <v>6.4</v>
      </c>
    </row>
    <row r="1886" customHeight="1" spans="1:2">
      <c r="A1886" s="3" t="s">
        <v>15278</v>
      </c>
      <c r="B1886" s="4">
        <v>7.15</v>
      </c>
    </row>
    <row r="1887" customHeight="1" spans="1:2">
      <c r="A1887" s="3" t="s">
        <v>5463</v>
      </c>
      <c r="B1887" s="4">
        <v>6.66</v>
      </c>
    </row>
    <row r="1888" customHeight="1" spans="1:2">
      <c r="A1888" s="3" t="s">
        <v>4864</v>
      </c>
      <c r="B1888" s="4">
        <v>6.6</v>
      </c>
    </row>
    <row r="1889" customHeight="1" spans="1:2">
      <c r="A1889" s="3" t="s">
        <v>9163</v>
      </c>
      <c r="B1889" s="4">
        <v>7.32727272727273</v>
      </c>
    </row>
    <row r="1890" customHeight="1" spans="1:2">
      <c r="A1890" s="3" t="s">
        <v>5205</v>
      </c>
      <c r="B1890" s="4">
        <v>6.53333333333333</v>
      </c>
    </row>
    <row r="1891" customHeight="1" spans="1:2">
      <c r="A1891" s="3" t="s">
        <v>7871</v>
      </c>
      <c r="B1891" s="4">
        <v>8.4</v>
      </c>
    </row>
    <row r="1892" customHeight="1" spans="1:2">
      <c r="A1892" s="3" t="s">
        <v>22421</v>
      </c>
      <c r="B1892" s="4">
        <v>6.3</v>
      </c>
    </row>
    <row r="1893" customHeight="1" spans="1:2">
      <c r="A1893" s="3" t="s">
        <v>18798</v>
      </c>
      <c r="B1893" s="4">
        <v>6</v>
      </c>
    </row>
    <row r="1894" customHeight="1" spans="1:2">
      <c r="A1894" s="3" t="s">
        <v>16760</v>
      </c>
      <c r="B1894" s="4">
        <v>6</v>
      </c>
    </row>
    <row r="1895" customHeight="1" spans="1:2">
      <c r="A1895" s="3" t="s">
        <v>22030</v>
      </c>
      <c r="B1895" s="4">
        <v>6.4</v>
      </c>
    </row>
    <row r="1896" customHeight="1" spans="1:2">
      <c r="A1896" s="3" t="s">
        <v>6869</v>
      </c>
      <c r="B1896" s="4">
        <v>6.63333333333333</v>
      </c>
    </row>
    <row r="1897" customHeight="1" spans="1:2">
      <c r="A1897" s="3" t="s">
        <v>17977</v>
      </c>
      <c r="B1897" s="4">
        <v>6.2</v>
      </c>
    </row>
    <row r="1898" customHeight="1" spans="1:2">
      <c r="A1898" s="3" t="s">
        <v>10177</v>
      </c>
      <c r="B1898" s="4">
        <v>7.2</v>
      </c>
    </row>
    <row r="1899" customHeight="1" spans="1:2">
      <c r="A1899" s="3" t="s">
        <v>17223</v>
      </c>
      <c r="B1899" s="4">
        <v>5.7</v>
      </c>
    </row>
    <row r="1900" customHeight="1" spans="1:2">
      <c r="A1900" s="3" t="s">
        <v>18572</v>
      </c>
      <c r="B1900" s="4">
        <v>2.7</v>
      </c>
    </row>
    <row r="1901" customHeight="1" spans="1:2">
      <c r="A1901" s="3" t="s">
        <v>13455</v>
      </c>
      <c r="B1901" s="4">
        <v>6.4</v>
      </c>
    </row>
    <row r="1902" customHeight="1" spans="1:2">
      <c r="A1902" s="3" t="s">
        <v>11826</v>
      </c>
      <c r="B1902" s="4">
        <v>5.3</v>
      </c>
    </row>
    <row r="1903" customHeight="1" spans="1:2">
      <c r="A1903" s="3" t="s">
        <v>12838</v>
      </c>
      <c r="B1903" s="4">
        <v>4.1</v>
      </c>
    </row>
    <row r="1904" customHeight="1" spans="1:2">
      <c r="A1904" s="3" t="s">
        <v>23484</v>
      </c>
      <c r="B1904" s="4">
        <v>7.7</v>
      </c>
    </row>
    <row r="1905" customHeight="1" spans="1:2">
      <c r="A1905" s="3" t="s">
        <v>11712</v>
      </c>
      <c r="B1905" s="4">
        <v>6.4</v>
      </c>
    </row>
    <row r="1906" customHeight="1" spans="1:2">
      <c r="A1906" s="3" t="s">
        <v>188</v>
      </c>
      <c r="B1906" s="4">
        <v>7.07058823529412</v>
      </c>
    </row>
    <row r="1907" customHeight="1" spans="1:2">
      <c r="A1907" s="3" t="s">
        <v>9829</v>
      </c>
      <c r="B1907" s="4">
        <v>5.4</v>
      </c>
    </row>
    <row r="1908" customHeight="1" spans="1:2">
      <c r="A1908" s="3" t="s">
        <v>17109</v>
      </c>
      <c r="B1908" s="4">
        <v>5.9</v>
      </c>
    </row>
    <row r="1909" customHeight="1" spans="1:2">
      <c r="A1909" s="3" t="s">
        <v>20059</v>
      </c>
      <c r="B1909" s="4">
        <v>5.3</v>
      </c>
    </row>
    <row r="1910" customHeight="1" spans="1:2">
      <c r="A1910" s="3" t="s">
        <v>20800</v>
      </c>
      <c r="B1910" s="4">
        <v>7.8</v>
      </c>
    </row>
    <row r="1911" customHeight="1" spans="1:2">
      <c r="A1911" s="3" t="s">
        <v>3614</v>
      </c>
      <c r="B1911" s="4">
        <v>6.05</v>
      </c>
    </row>
    <row r="1912" customHeight="1" spans="1:2">
      <c r="A1912" s="3" t="s">
        <v>500</v>
      </c>
      <c r="B1912" s="4">
        <v>5.78181818181818</v>
      </c>
    </row>
    <row r="1913" customHeight="1" spans="1:2">
      <c r="A1913" s="3" t="s">
        <v>11595</v>
      </c>
      <c r="B1913" s="4">
        <v>5</v>
      </c>
    </row>
    <row r="1914" customHeight="1" spans="1:2">
      <c r="A1914" s="3" t="s">
        <v>17698</v>
      </c>
      <c r="B1914" s="4">
        <v>4.5</v>
      </c>
    </row>
    <row r="1915" customHeight="1" spans="1:2">
      <c r="A1915" s="3" t="s">
        <v>477</v>
      </c>
      <c r="B1915" s="4">
        <v>6.05</v>
      </c>
    </row>
    <row r="1916" customHeight="1" spans="1:2">
      <c r="A1916" s="3" t="s">
        <v>158</v>
      </c>
      <c r="B1916" s="4">
        <v>6.6</v>
      </c>
    </row>
    <row r="1917" customHeight="1" spans="1:2">
      <c r="A1917" s="3" t="s">
        <v>21423</v>
      </c>
      <c r="B1917" s="4">
        <v>6.8</v>
      </c>
    </row>
    <row r="1918" customHeight="1" spans="1:2">
      <c r="A1918" s="3" t="s">
        <v>947</v>
      </c>
      <c r="B1918" s="4">
        <v>5.94</v>
      </c>
    </row>
    <row r="1919" customHeight="1" spans="1:2">
      <c r="A1919" s="3" t="s">
        <v>14564</v>
      </c>
      <c r="B1919" s="4">
        <v>4.6</v>
      </c>
    </row>
    <row r="1920" customHeight="1" spans="1:2">
      <c r="A1920" s="3" t="s">
        <v>3892</v>
      </c>
      <c r="B1920" s="4">
        <v>7.01818181818182</v>
      </c>
    </row>
    <row r="1921" customHeight="1" spans="1:2">
      <c r="A1921" s="3" t="s">
        <v>15006</v>
      </c>
      <c r="B1921" s="4">
        <v>6.1</v>
      </c>
    </row>
    <row r="1922" customHeight="1" spans="1:2">
      <c r="A1922" s="3" t="s">
        <v>12823</v>
      </c>
      <c r="B1922" s="4">
        <v>5.56</v>
      </c>
    </row>
    <row r="1923" customHeight="1" spans="1:2">
      <c r="A1923" s="3" t="s">
        <v>19953</v>
      </c>
      <c r="B1923" s="4">
        <v>5.1</v>
      </c>
    </row>
    <row r="1924" customHeight="1" spans="1:2">
      <c r="A1924" s="3" t="s">
        <v>15441</v>
      </c>
      <c r="B1924" s="4">
        <v>4.5</v>
      </c>
    </row>
    <row r="1925" customHeight="1" spans="1:2">
      <c r="A1925" s="3" t="s">
        <v>11682</v>
      </c>
      <c r="B1925" s="4">
        <v>6.8</v>
      </c>
    </row>
    <row r="1926" customHeight="1" spans="1:2">
      <c r="A1926" s="3" t="s">
        <v>9026</v>
      </c>
      <c r="B1926" s="4">
        <v>6.5</v>
      </c>
    </row>
    <row r="1927" customHeight="1" spans="1:2">
      <c r="A1927" s="3" t="s">
        <v>15022</v>
      </c>
      <c r="B1927" s="4">
        <v>5.9</v>
      </c>
    </row>
    <row r="1928" customHeight="1" spans="1:2">
      <c r="A1928" s="3" t="s">
        <v>21914</v>
      </c>
      <c r="B1928" s="4">
        <v>2.8</v>
      </c>
    </row>
    <row r="1929" customHeight="1" spans="1:2">
      <c r="A1929" s="3" t="s">
        <v>4790</v>
      </c>
      <c r="B1929" s="4">
        <v>4.7</v>
      </c>
    </row>
    <row r="1930" customHeight="1" spans="1:2">
      <c r="A1930" s="3" t="s">
        <v>16772</v>
      </c>
      <c r="B1930" s="4">
        <v>7.4</v>
      </c>
    </row>
    <row r="1931" customHeight="1" spans="1:2">
      <c r="A1931" s="3" t="s">
        <v>18980</v>
      </c>
      <c r="B1931" s="4">
        <v>6.5</v>
      </c>
    </row>
    <row r="1932" customHeight="1" spans="1:2">
      <c r="A1932" s="3" t="s">
        <v>21584</v>
      </c>
      <c r="B1932" s="4">
        <v>6.2</v>
      </c>
    </row>
    <row r="1933" customHeight="1" spans="1:2">
      <c r="A1933" s="3" t="s">
        <v>1689</v>
      </c>
      <c r="B1933" s="4">
        <v>7.2</v>
      </c>
    </row>
    <row r="1934" customHeight="1" spans="1:2">
      <c r="A1934" s="3" t="s">
        <v>18917</v>
      </c>
      <c r="B1934" s="4">
        <v>6.8</v>
      </c>
    </row>
    <row r="1935" customHeight="1" spans="1:2">
      <c r="A1935" s="3" t="s">
        <v>20085</v>
      </c>
      <c r="B1935" s="4">
        <v>7.2</v>
      </c>
    </row>
    <row r="1936" customHeight="1" spans="1:2">
      <c r="A1936" s="3" t="s">
        <v>21051</v>
      </c>
      <c r="B1936" s="4">
        <v>7.25</v>
      </c>
    </row>
    <row r="1937" customHeight="1" spans="1:2">
      <c r="A1937" s="3" t="s">
        <v>21992</v>
      </c>
      <c r="B1937" s="4">
        <v>5.2</v>
      </c>
    </row>
    <row r="1938" customHeight="1" spans="1:2">
      <c r="A1938" s="3" t="s">
        <v>12237</v>
      </c>
      <c r="B1938" s="4">
        <v>5.15</v>
      </c>
    </row>
    <row r="1939" customHeight="1" spans="1:2">
      <c r="A1939" s="3" t="s">
        <v>21972</v>
      </c>
      <c r="B1939" s="4">
        <v>5.6</v>
      </c>
    </row>
    <row r="1940" customHeight="1" spans="1:2">
      <c r="A1940" s="3" t="s">
        <v>12475</v>
      </c>
      <c r="B1940" s="4">
        <v>4.4</v>
      </c>
    </row>
    <row r="1941" customHeight="1" spans="1:2">
      <c r="A1941" s="3" t="s">
        <v>21625</v>
      </c>
      <c r="B1941" s="4">
        <v>7.9</v>
      </c>
    </row>
    <row r="1942" customHeight="1" spans="1:2">
      <c r="A1942" s="3" t="s">
        <v>18650</v>
      </c>
      <c r="B1942" s="4">
        <v>6.3</v>
      </c>
    </row>
    <row r="1943" customHeight="1" spans="1:2">
      <c r="A1943" s="3" t="s">
        <v>4268</v>
      </c>
      <c r="B1943" s="4">
        <v>6.8</v>
      </c>
    </row>
    <row r="1944" customHeight="1" spans="1:2">
      <c r="A1944" s="3" t="s">
        <v>3103</v>
      </c>
      <c r="B1944" s="4">
        <v>6</v>
      </c>
    </row>
    <row r="1945" customHeight="1" spans="1:2">
      <c r="A1945" s="3" t="s">
        <v>21155</v>
      </c>
      <c r="B1945" s="4">
        <v>7.1</v>
      </c>
    </row>
    <row r="1946" customHeight="1" spans="1:2">
      <c r="A1946" s="3" t="s">
        <v>16435</v>
      </c>
      <c r="B1946" s="4">
        <v>3.5</v>
      </c>
    </row>
    <row r="1947" customHeight="1" spans="1:2">
      <c r="A1947" s="3" t="s">
        <v>16240</v>
      </c>
      <c r="B1947" s="4">
        <v>6.4</v>
      </c>
    </row>
    <row r="1948" customHeight="1" spans="1:2">
      <c r="A1948" s="3" t="s">
        <v>20149</v>
      </c>
      <c r="B1948" s="4">
        <v>8.4</v>
      </c>
    </row>
    <row r="1949" customHeight="1" spans="1:2">
      <c r="A1949" s="3" t="s">
        <v>4042</v>
      </c>
      <c r="B1949" s="4">
        <v>6.84</v>
      </c>
    </row>
    <row r="1950" customHeight="1" spans="1:2">
      <c r="A1950" s="3" t="s">
        <v>4904</v>
      </c>
      <c r="B1950" s="4">
        <v>5.69230769230769</v>
      </c>
    </row>
    <row r="1951" customHeight="1" spans="1:2">
      <c r="A1951" s="3" t="s">
        <v>20184</v>
      </c>
      <c r="B1951" s="4">
        <v>8</v>
      </c>
    </row>
    <row r="1952" customHeight="1" spans="1:2">
      <c r="A1952" s="3" t="s">
        <v>18205</v>
      </c>
      <c r="B1952" s="4">
        <v>7.3</v>
      </c>
    </row>
    <row r="1953" customHeight="1" spans="1:2">
      <c r="A1953" s="3" t="s">
        <v>1258</v>
      </c>
      <c r="B1953" s="4">
        <v>6.35</v>
      </c>
    </row>
    <row r="1954" customHeight="1" spans="1:2">
      <c r="A1954" s="3" t="s">
        <v>16994</v>
      </c>
      <c r="B1954" s="4">
        <v>7.8</v>
      </c>
    </row>
    <row r="1955" customHeight="1" spans="1:2">
      <c r="A1955" s="3" t="s">
        <v>563</v>
      </c>
      <c r="B1955" s="4">
        <v>7</v>
      </c>
    </row>
    <row r="1956" customHeight="1" spans="1:2">
      <c r="A1956" s="3" t="s">
        <v>10003</v>
      </c>
      <c r="B1956" s="4">
        <v>7.2</v>
      </c>
    </row>
    <row r="1957" customHeight="1" spans="1:2">
      <c r="A1957" s="3" t="s">
        <v>19003</v>
      </c>
      <c r="B1957" s="4">
        <v>7</v>
      </c>
    </row>
    <row r="1958" customHeight="1" spans="1:2">
      <c r="A1958" s="3" t="s">
        <v>7282</v>
      </c>
      <c r="B1958" s="4">
        <v>7.2</v>
      </c>
    </row>
    <row r="1959" customHeight="1" spans="1:2">
      <c r="A1959" s="3" t="s">
        <v>436</v>
      </c>
      <c r="B1959" s="4">
        <v>7.30769230769231</v>
      </c>
    </row>
    <row r="1960" customHeight="1" spans="1:2">
      <c r="A1960" s="3" t="s">
        <v>10761</v>
      </c>
      <c r="B1960" s="4">
        <v>5.8</v>
      </c>
    </row>
    <row r="1961" customHeight="1" spans="1:2">
      <c r="A1961" s="3" t="s">
        <v>23575</v>
      </c>
      <c r="B1961" s="4">
        <v>7.3</v>
      </c>
    </row>
    <row r="1962" customHeight="1" spans="1:2">
      <c r="A1962" s="3" t="s">
        <v>4352</v>
      </c>
      <c r="B1962" s="4">
        <v>6.6</v>
      </c>
    </row>
    <row r="1963" customHeight="1" spans="1:2">
      <c r="A1963" s="3" t="s">
        <v>13158</v>
      </c>
      <c r="B1963" s="4">
        <v>6.2</v>
      </c>
    </row>
    <row r="1964" customHeight="1" spans="1:2">
      <c r="A1964" s="3" t="s">
        <v>12086</v>
      </c>
      <c r="B1964" s="4">
        <v>6.6</v>
      </c>
    </row>
    <row r="1965" customHeight="1" spans="1:2">
      <c r="A1965" s="3" t="s">
        <v>16392</v>
      </c>
      <c r="B1965" s="4">
        <v>6.95</v>
      </c>
    </row>
    <row r="1966" customHeight="1" spans="1:2">
      <c r="A1966" s="3" t="s">
        <v>2387</v>
      </c>
      <c r="B1966" s="4">
        <v>7.35</v>
      </c>
    </row>
    <row r="1967" customHeight="1" spans="1:2">
      <c r="A1967" s="3" t="s">
        <v>18553</v>
      </c>
      <c r="B1967" s="4">
        <v>6.6</v>
      </c>
    </row>
    <row r="1968" customHeight="1" spans="1:2">
      <c r="A1968" s="3" t="s">
        <v>2838</v>
      </c>
      <c r="B1968" s="4">
        <v>2.4</v>
      </c>
    </row>
    <row r="1969" customHeight="1" spans="1:2">
      <c r="A1969" s="3" t="s">
        <v>1490</v>
      </c>
      <c r="B1969" s="4">
        <v>6.77142857142857</v>
      </c>
    </row>
    <row r="1970" customHeight="1" spans="1:2">
      <c r="A1970" s="3" t="s">
        <v>6064</v>
      </c>
      <c r="B1970" s="4">
        <v>5.26666666666667</v>
      </c>
    </row>
    <row r="1971" customHeight="1" spans="1:2">
      <c r="A1971" s="3" t="s">
        <v>5775</v>
      </c>
      <c r="B1971" s="4">
        <v>6.66666666666667</v>
      </c>
    </row>
    <row r="1972" customHeight="1" spans="1:2">
      <c r="A1972" s="3" t="s">
        <v>22938</v>
      </c>
      <c r="B1972" s="4">
        <v>7</v>
      </c>
    </row>
    <row r="1973" customHeight="1" spans="1:2">
      <c r="A1973" s="3" t="s">
        <v>1517</v>
      </c>
      <c r="B1973" s="4">
        <v>6.3</v>
      </c>
    </row>
    <row r="1974" customHeight="1" spans="1:2">
      <c r="A1974" s="3" t="s">
        <v>15854</v>
      </c>
      <c r="B1974" s="4">
        <v>5.9</v>
      </c>
    </row>
    <row r="1975" customHeight="1" spans="1:2">
      <c r="A1975" s="3" t="s">
        <v>17516</v>
      </c>
      <c r="B1975" s="4">
        <v>6.2</v>
      </c>
    </row>
    <row r="1976" customHeight="1" spans="1:2">
      <c r="A1976" s="3" t="s">
        <v>21773</v>
      </c>
      <c r="B1976" s="4">
        <v>7.4</v>
      </c>
    </row>
    <row r="1977" customHeight="1" spans="1:2">
      <c r="A1977" s="3" t="s">
        <v>19709</v>
      </c>
      <c r="B1977" s="4">
        <v>6.6</v>
      </c>
    </row>
    <row r="1978" customHeight="1" spans="1:2">
      <c r="A1978" s="3" t="s">
        <v>429</v>
      </c>
      <c r="B1978" s="4">
        <v>6.1875</v>
      </c>
    </row>
    <row r="1979" customHeight="1" spans="1:2">
      <c r="A1979" s="3" t="s">
        <v>577</v>
      </c>
      <c r="B1979" s="4">
        <v>5</v>
      </c>
    </row>
    <row r="1980" customHeight="1" spans="1:2">
      <c r="A1980" s="3" t="s">
        <v>15809</v>
      </c>
      <c r="B1980" s="4">
        <v>6.1</v>
      </c>
    </row>
    <row r="1981" customHeight="1" spans="1:2">
      <c r="A1981" s="3" t="s">
        <v>3818</v>
      </c>
      <c r="B1981" s="4">
        <v>7.41666666666667</v>
      </c>
    </row>
    <row r="1982" customHeight="1" spans="1:2">
      <c r="A1982" s="3" t="s">
        <v>20859</v>
      </c>
      <c r="B1982" s="4">
        <v>5.1</v>
      </c>
    </row>
    <row r="1983" customHeight="1" spans="1:2">
      <c r="A1983" s="3" t="s">
        <v>1659</v>
      </c>
      <c r="B1983" s="4">
        <v>7.4</v>
      </c>
    </row>
    <row r="1984" customHeight="1" spans="1:2">
      <c r="A1984" s="3" t="s">
        <v>18606</v>
      </c>
      <c r="B1984" s="4">
        <v>8.5</v>
      </c>
    </row>
    <row r="1985" customHeight="1" spans="1:2">
      <c r="A1985" s="3" t="s">
        <v>851</v>
      </c>
      <c r="B1985" s="4">
        <v>6.93076923076923</v>
      </c>
    </row>
    <row r="1986" customHeight="1" spans="1:2">
      <c r="A1986" s="3" t="s">
        <v>4783</v>
      </c>
      <c r="B1986" s="4">
        <v>7</v>
      </c>
    </row>
    <row r="1987" customHeight="1" spans="1:2">
      <c r="A1987" s="3" t="s">
        <v>3160</v>
      </c>
      <c r="B1987" s="4">
        <v>5.9</v>
      </c>
    </row>
    <row r="1988" customHeight="1" spans="1:2">
      <c r="A1988" s="3" t="s">
        <v>1903</v>
      </c>
      <c r="B1988" s="4">
        <v>5.5</v>
      </c>
    </row>
    <row r="1989" customHeight="1" spans="1:2">
      <c r="A1989" s="3" t="s">
        <v>12525</v>
      </c>
      <c r="B1989" s="4">
        <v>4.9</v>
      </c>
    </row>
    <row r="1990" customHeight="1" spans="1:2">
      <c r="A1990" s="3" t="s">
        <v>17858</v>
      </c>
      <c r="B1990" s="4">
        <v>6.9</v>
      </c>
    </row>
    <row r="1991" customHeight="1" spans="1:2">
      <c r="A1991" s="3" t="s">
        <v>7688</v>
      </c>
      <c r="B1991" s="4">
        <v>5.5</v>
      </c>
    </row>
    <row r="1992" customHeight="1" spans="1:2">
      <c r="A1992" s="3" t="s">
        <v>10506</v>
      </c>
      <c r="B1992" s="4">
        <v>6</v>
      </c>
    </row>
    <row r="1993" customHeight="1" spans="1:2">
      <c r="A1993" s="3" t="s">
        <v>12292</v>
      </c>
      <c r="B1993" s="4">
        <v>6.6</v>
      </c>
    </row>
    <row r="1994" customHeight="1" spans="1:2">
      <c r="A1994" s="3" t="s">
        <v>14715</v>
      </c>
      <c r="B1994" s="4">
        <v>5.5</v>
      </c>
    </row>
    <row r="1995" customHeight="1" spans="1:2">
      <c r="A1995" s="3" t="s">
        <v>18737</v>
      </c>
      <c r="B1995" s="4">
        <v>5.2</v>
      </c>
    </row>
    <row r="1996" customHeight="1" spans="1:2">
      <c r="A1996" s="3" t="s">
        <v>4213</v>
      </c>
      <c r="B1996" s="4">
        <v>6.83333333333333</v>
      </c>
    </row>
    <row r="1997" customHeight="1" spans="1:2">
      <c r="A1997" s="3" t="s">
        <v>18613</v>
      </c>
      <c r="B1997" s="4">
        <v>4.8</v>
      </c>
    </row>
    <row r="1998" customHeight="1" spans="1:2">
      <c r="A1998" s="3" t="s">
        <v>557</v>
      </c>
      <c r="B1998" s="4">
        <v>6.1</v>
      </c>
    </row>
    <row r="1999" customHeight="1" spans="1:2">
      <c r="A1999" s="3" t="s">
        <v>7920</v>
      </c>
      <c r="B1999" s="4">
        <v>6.2</v>
      </c>
    </row>
    <row r="2000" customHeight="1" spans="1:2">
      <c r="A2000" s="3" t="s">
        <v>2038</v>
      </c>
      <c r="B2000" s="4">
        <v>6.53333333333333</v>
      </c>
    </row>
    <row r="2001" customHeight="1" spans="1:2">
      <c r="A2001" s="3" t="s">
        <v>21578</v>
      </c>
      <c r="B2001" s="4">
        <v>6.2</v>
      </c>
    </row>
    <row r="2002" customHeight="1" spans="1:2">
      <c r="A2002" s="3" t="s">
        <v>10333</v>
      </c>
      <c r="B2002" s="4">
        <v>7.1</v>
      </c>
    </row>
    <row r="2003" customHeight="1" spans="1:2">
      <c r="A2003" s="3" t="s">
        <v>21094</v>
      </c>
      <c r="B2003" s="4">
        <v>3.6</v>
      </c>
    </row>
    <row r="2004" customHeight="1" spans="1:2">
      <c r="A2004" s="3" t="s">
        <v>16368</v>
      </c>
      <c r="B2004" s="4">
        <v>6.9</v>
      </c>
    </row>
    <row r="2005" customHeight="1" spans="1:2">
      <c r="A2005" s="3" t="s">
        <v>5835</v>
      </c>
      <c r="B2005" s="4">
        <v>6.275</v>
      </c>
    </row>
    <row r="2006" customHeight="1" spans="1:2">
      <c r="A2006" s="3" t="s">
        <v>17080</v>
      </c>
      <c r="B2006" s="4">
        <v>6.1</v>
      </c>
    </row>
    <row r="2007" customHeight="1" spans="1:2">
      <c r="A2007" s="3" t="s">
        <v>7101</v>
      </c>
      <c r="B2007" s="4">
        <v>7.6</v>
      </c>
    </row>
    <row r="2008" customHeight="1" spans="1:2">
      <c r="A2008" s="3" t="s">
        <v>22324</v>
      </c>
      <c r="B2008" s="4">
        <v>7.2</v>
      </c>
    </row>
    <row r="2009" customHeight="1" spans="1:2">
      <c r="A2009" s="3" t="s">
        <v>22215</v>
      </c>
      <c r="B2009" s="4">
        <v>6.8</v>
      </c>
    </row>
    <row r="2010" customHeight="1" spans="1:2">
      <c r="A2010" s="3" t="s">
        <v>4028</v>
      </c>
      <c r="B2010" s="4">
        <v>5.95</v>
      </c>
    </row>
    <row r="2011" customHeight="1" spans="1:2">
      <c r="A2011" s="3" t="s">
        <v>22363</v>
      </c>
      <c r="B2011" s="4">
        <v>5.4</v>
      </c>
    </row>
    <row r="2012" customHeight="1" spans="1:2">
      <c r="A2012" s="3" t="s">
        <v>13259</v>
      </c>
      <c r="B2012" s="4">
        <v>6.1</v>
      </c>
    </row>
    <row r="2013" customHeight="1" spans="1:2">
      <c r="A2013" s="3" t="s">
        <v>1729</v>
      </c>
      <c r="B2013" s="4">
        <v>5.4</v>
      </c>
    </row>
    <row r="2014" customHeight="1" spans="1:2">
      <c r="A2014" s="3" t="s">
        <v>17255</v>
      </c>
      <c r="B2014" s="4">
        <v>4.7</v>
      </c>
    </row>
    <row r="2015" customHeight="1" spans="1:2">
      <c r="A2015" s="3" t="s">
        <v>6910</v>
      </c>
      <c r="B2015" s="4">
        <v>8.4</v>
      </c>
    </row>
    <row r="2016" customHeight="1" spans="1:2">
      <c r="A2016" s="3" t="s">
        <v>16389</v>
      </c>
      <c r="B2016" s="4">
        <v>4.8</v>
      </c>
    </row>
    <row r="2017" customHeight="1" spans="1:2">
      <c r="A2017" s="3" t="s">
        <v>21192</v>
      </c>
      <c r="B2017" s="4">
        <v>8.7</v>
      </c>
    </row>
    <row r="2018" customHeight="1" spans="1:2">
      <c r="A2018" s="3" t="s">
        <v>23633</v>
      </c>
      <c r="B2018" s="4">
        <v>7.2</v>
      </c>
    </row>
    <row r="2019" customHeight="1" spans="1:2">
      <c r="A2019" s="3" t="s">
        <v>14756</v>
      </c>
      <c r="B2019" s="4">
        <v>5.3</v>
      </c>
    </row>
    <row r="2020" customHeight="1" spans="1:2">
      <c r="A2020" s="3" t="s">
        <v>14946</v>
      </c>
      <c r="B2020" s="4">
        <v>5.7</v>
      </c>
    </row>
    <row r="2021" customHeight="1" spans="1:2">
      <c r="A2021" s="3" t="s">
        <v>20805</v>
      </c>
      <c r="B2021" s="4">
        <v>6.9</v>
      </c>
    </row>
    <row r="2022" customHeight="1" spans="1:2">
      <c r="A2022" s="3" t="s">
        <v>18965</v>
      </c>
      <c r="B2022" s="4">
        <v>6.8</v>
      </c>
    </row>
    <row r="2023" customHeight="1" spans="1:2">
      <c r="A2023" s="3" t="s">
        <v>4140</v>
      </c>
      <c r="B2023" s="4">
        <v>6.1</v>
      </c>
    </row>
    <row r="2024" customHeight="1" spans="1:2">
      <c r="A2024" s="3" t="s">
        <v>22973</v>
      </c>
      <c r="B2024" s="4">
        <v>4.7</v>
      </c>
    </row>
    <row r="2025" customHeight="1" spans="1:2">
      <c r="A2025" s="3" t="s">
        <v>18714</v>
      </c>
      <c r="B2025" s="4">
        <v>6</v>
      </c>
    </row>
    <row r="2026" customHeight="1" spans="1:2">
      <c r="A2026" s="3" t="s">
        <v>23299</v>
      </c>
      <c r="B2026" s="4">
        <v>7.8</v>
      </c>
    </row>
    <row r="2027" customHeight="1" spans="1:2">
      <c r="A2027" s="3" t="s">
        <v>50</v>
      </c>
      <c r="B2027" s="4">
        <v>7.5</v>
      </c>
    </row>
    <row r="2028" customHeight="1" spans="1:2">
      <c r="A2028" s="3" t="s">
        <v>13737</v>
      </c>
      <c r="B2028" s="4">
        <v>5.75</v>
      </c>
    </row>
    <row r="2029" customHeight="1" spans="1:2">
      <c r="A2029" s="3" t="s">
        <v>17194</v>
      </c>
      <c r="B2029" s="4">
        <v>7.375</v>
      </c>
    </row>
    <row r="2030" customHeight="1" spans="1:2">
      <c r="A2030" s="3" t="s">
        <v>80</v>
      </c>
      <c r="B2030" s="4">
        <v>6.90769230769231</v>
      </c>
    </row>
    <row r="2031" customHeight="1" spans="1:2">
      <c r="A2031" s="3" t="s">
        <v>6263</v>
      </c>
      <c r="B2031" s="4">
        <v>5.65</v>
      </c>
    </row>
    <row r="2032" customHeight="1" spans="1:2">
      <c r="A2032" s="3" t="s">
        <v>4592</v>
      </c>
      <c r="B2032" s="4">
        <v>5.45</v>
      </c>
    </row>
    <row r="2033" customHeight="1" spans="1:2">
      <c r="A2033" s="3" t="s">
        <v>11505</v>
      </c>
      <c r="B2033" s="4">
        <v>6.2</v>
      </c>
    </row>
    <row r="2034" customHeight="1" spans="1:2">
      <c r="A2034" s="3" t="s">
        <v>9105</v>
      </c>
      <c r="B2034" s="4">
        <v>6</v>
      </c>
    </row>
    <row r="2035" customHeight="1" spans="1:2">
      <c r="A2035" s="3" t="s">
        <v>22034</v>
      </c>
      <c r="B2035" s="4">
        <v>7.1</v>
      </c>
    </row>
    <row r="2036" customHeight="1" spans="1:2">
      <c r="A2036" s="3" t="s">
        <v>23622</v>
      </c>
      <c r="B2036" s="4">
        <v>7.1</v>
      </c>
    </row>
    <row r="2037" customHeight="1" spans="1:2">
      <c r="A2037" s="3" t="s">
        <v>12855</v>
      </c>
      <c r="B2037" s="4">
        <v>4.6</v>
      </c>
    </row>
    <row r="2038" customHeight="1" spans="1:2">
      <c r="A2038" s="3" t="s">
        <v>19863</v>
      </c>
      <c r="B2038" s="4">
        <v>6.7</v>
      </c>
    </row>
    <row r="2039" customHeight="1" spans="1:2">
      <c r="A2039" s="3" t="s">
        <v>2424</v>
      </c>
      <c r="B2039" s="4">
        <v>7.1</v>
      </c>
    </row>
    <row r="2040" customHeight="1" spans="1:2">
      <c r="A2040" s="3" t="s">
        <v>15511</v>
      </c>
      <c r="B2040" s="4">
        <v>5.2</v>
      </c>
    </row>
    <row r="2041" customHeight="1" spans="1:2">
      <c r="A2041" s="3" t="s">
        <v>9145</v>
      </c>
      <c r="B2041" s="4">
        <v>6.9</v>
      </c>
    </row>
    <row r="2042" customHeight="1" spans="1:2">
      <c r="A2042" s="3" t="s">
        <v>21733</v>
      </c>
      <c r="B2042" s="4">
        <v>7.4</v>
      </c>
    </row>
    <row r="2043" customHeight="1" spans="1:2">
      <c r="A2043" s="3" t="s">
        <v>14268</v>
      </c>
      <c r="B2043" s="4">
        <v>5.7</v>
      </c>
    </row>
    <row r="2044" customHeight="1" spans="1:2">
      <c r="A2044" s="3" t="s">
        <v>4894</v>
      </c>
      <c r="B2044" s="4">
        <v>7.03333333333333</v>
      </c>
    </row>
    <row r="2045" customHeight="1" spans="1:2">
      <c r="A2045" s="3" t="s">
        <v>2683</v>
      </c>
      <c r="B2045" s="4">
        <v>6.14</v>
      </c>
    </row>
    <row r="2046" customHeight="1" spans="1:2">
      <c r="A2046" s="3" t="s">
        <v>20583</v>
      </c>
      <c r="B2046" s="4">
        <v>3.4</v>
      </c>
    </row>
    <row r="2047" customHeight="1" spans="1:2">
      <c r="A2047" s="3" t="s">
        <v>18145</v>
      </c>
      <c r="B2047" s="4">
        <v>5.4</v>
      </c>
    </row>
    <row r="2048" customHeight="1" spans="1:2">
      <c r="A2048" s="3" t="s">
        <v>9231</v>
      </c>
      <c r="B2048" s="4">
        <v>6.5</v>
      </c>
    </row>
    <row r="2049" customHeight="1" spans="1:2">
      <c r="A2049" s="3" t="s">
        <v>7205</v>
      </c>
      <c r="B2049" s="4">
        <v>6.84</v>
      </c>
    </row>
    <row r="2050" customHeight="1" spans="1:2">
      <c r="A2050" s="3" t="s">
        <v>15139</v>
      </c>
      <c r="B2050" s="4">
        <v>5.6</v>
      </c>
    </row>
    <row r="2051" customHeight="1" spans="1:2">
      <c r="A2051" s="3" t="s">
        <v>7522</v>
      </c>
      <c r="B2051" s="4">
        <v>6.1</v>
      </c>
    </row>
    <row r="2052" customHeight="1" spans="1:2">
      <c r="A2052" s="3" t="s">
        <v>15412</v>
      </c>
      <c r="B2052" s="4">
        <v>4.65</v>
      </c>
    </row>
    <row r="2053" customHeight="1" spans="1:2">
      <c r="A2053" s="3" t="s">
        <v>24137</v>
      </c>
      <c r="B2053" s="4">
        <v>7.7</v>
      </c>
    </row>
    <row r="2054" customHeight="1" spans="1:2">
      <c r="A2054" s="3" t="s">
        <v>7836</v>
      </c>
      <c r="B2054" s="4">
        <v>6.5</v>
      </c>
    </row>
    <row r="2055" customHeight="1" spans="1:2">
      <c r="A2055" s="3" t="s">
        <v>4318</v>
      </c>
      <c r="B2055" s="4">
        <v>5.45</v>
      </c>
    </row>
    <row r="2056" customHeight="1" spans="1:2">
      <c r="A2056" s="3" t="s">
        <v>11541</v>
      </c>
      <c r="B2056" s="4">
        <v>6.4</v>
      </c>
    </row>
    <row r="2057" customHeight="1" spans="1:2">
      <c r="A2057" s="3" t="s">
        <v>3628</v>
      </c>
      <c r="B2057" s="4">
        <v>6.5</v>
      </c>
    </row>
    <row r="2058" customHeight="1" spans="1:2">
      <c r="A2058" s="3" t="s">
        <v>22416</v>
      </c>
      <c r="B2058" s="4">
        <v>6.6</v>
      </c>
    </row>
    <row r="2059" customHeight="1" spans="1:2">
      <c r="A2059" s="3" t="s">
        <v>4517</v>
      </c>
      <c r="B2059" s="4">
        <v>6.125</v>
      </c>
    </row>
    <row r="2060" customHeight="1" spans="1:2">
      <c r="A2060" s="3" t="s">
        <v>18760</v>
      </c>
      <c r="B2060" s="4">
        <v>6.7</v>
      </c>
    </row>
    <row r="2061" customHeight="1" spans="1:2">
      <c r="A2061" s="3" t="s">
        <v>21645</v>
      </c>
      <c r="B2061" s="4">
        <v>6.9</v>
      </c>
    </row>
    <row r="2062" customHeight="1" spans="1:2">
      <c r="A2062" s="3" t="s">
        <v>11836</v>
      </c>
      <c r="B2062" s="4">
        <v>6.5</v>
      </c>
    </row>
    <row r="2063" customHeight="1" spans="1:2">
      <c r="A2063" s="3" t="s">
        <v>5919</v>
      </c>
      <c r="B2063" s="4">
        <v>7.5</v>
      </c>
    </row>
    <row r="2064" customHeight="1" spans="1:2">
      <c r="A2064" s="3" t="s">
        <v>15943</v>
      </c>
      <c r="B2064" s="4">
        <v>6</v>
      </c>
    </row>
    <row r="2065" customHeight="1" spans="1:2">
      <c r="A2065" s="3" t="s">
        <v>2018</v>
      </c>
      <c r="B2065" s="4">
        <v>6.26666666666667</v>
      </c>
    </row>
    <row r="2066" customHeight="1" spans="1:2">
      <c r="A2066" s="3" t="s">
        <v>10058</v>
      </c>
      <c r="B2066" s="4">
        <v>7.3</v>
      </c>
    </row>
    <row r="2067" customHeight="1" spans="1:2">
      <c r="A2067" s="3" t="s">
        <v>8663</v>
      </c>
      <c r="B2067" s="4">
        <v>8.475</v>
      </c>
    </row>
    <row r="2068" customHeight="1" spans="1:2">
      <c r="A2068" s="3" t="s">
        <v>2600</v>
      </c>
      <c r="B2068" s="4">
        <v>6.06666666666667</v>
      </c>
    </row>
    <row r="2069" customHeight="1" spans="1:2">
      <c r="A2069" s="3" t="s">
        <v>2513</v>
      </c>
      <c r="B2069" s="4">
        <v>6.5</v>
      </c>
    </row>
    <row r="2070" customHeight="1" spans="1:2">
      <c r="A2070" s="3" t="s">
        <v>11044</v>
      </c>
      <c r="B2070" s="4">
        <v>6.43333333333333</v>
      </c>
    </row>
    <row r="2071" customHeight="1" spans="1:2">
      <c r="A2071" s="3" t="s">
        <v>8440</v>
      </c>
      <c r="B2071" s="4">
        <v>7.1</v>
      </c>
    </row>
    <row r="2072" customHeight="1" spans="1:2">
      <c r="A2072" s="3" t="s">
        <v>250</v>
      </c>
      <c r="B2072" s="4">
        <v>7.4</v>
      </c>
    </row>
    <row r="2073" customHeight="1" spans="1:2">
      <c r="A2073" s="3" t="s">
        <v>24104</v>
      </c>
      <c r="B2073" s="4">
        <v>7</v>
      </c>
    </row>
    <row r="2074" customHeight="1" spans="1:2">
      <c r="A2074" s="3" t="s">
        <v>22205</v>
      </c>
      <c r="B2074" s="4">
        <v>5.1</v>
      </c>
    </row>
    <row r="2075" customHeight="1" spans="1:2">
      <c r="A2075" s="3" t="s">
        <v>17484</v>
      </c>
      <c r="B2075" s="4">
        <v>7.55</v>
      </c>
    </row>
    <row r="2076" customHeight="1" spans="1:2">
      <c r="A2076" s="3" t="s">
        <v>16722</v>
      </c>
      <c r="B2076" s="4">
        <v>6.7</v>
      </c>
    </row>
    <row r="2077" customHeight="1" spans="1:2">
      <c r="A2077" s="3" t="s">
        <v>23516</v>
      </c>
      <c r="B2077" s="4">
        <v>8.1</v>
      </c>
    </row>
    <row r="2078" customHeight="1" spans="1:2">
      <c r="A2078" s="3" t="s">
        <v>9462</v>
      </c>
      <c r="B2078" s="4">
        <v>6.7</v>
      </c>
    </row>
    <row r="2079" customHeight="1" spans="1:2">
      <c r="A2079" s="3" t="s">
        <v>16563</v>
      </c>
      <c r="B2079" s="4">
        <v>4.1</v>
      </c>
    </row>
    <row r="2080" customHeight="1" spans="1:2">
      <c r="A2080" s="3" t="s">
        <v>810</v>
      </c>
      <c r="B2080" s="4">
        <v>6.03333333333333</v>
      </c>
    </row>
    <row r="2081" customHeight="1" spans="1:2">
      <c r="A2081" s="3" t="s">
        <v>18174</v>
      </c>
      <c r="B2081" s="4">
        <v>7.1</v>
      </c>
    </row>
    <row r="2082" customHeight="1" spans="1:2">
      <c r="A2082" s="3" t="s">
        <v>4774</v>
      </c>
      <c r="B2082" s="4">
        <v>6.96666666666667</v>
      </c>
    </row>
    <row r="2083" customHeight="1" spans="1:2">
      <c r="A2083" s="3" t="s">
        <v>12449</v>
      </c>
      <c r="B2083" s="4">
        <v>6.1</v>
      </c>
    </row>
    <row r="2084" customHeight="1" spans="1:2">
      <c r="A2084" s="3" t="s">
        <v>23422</v>
      </c>
      <c r="B2084" s="4">
        <v>6.9</v>
      </c>
    </row>
    <row r="2085" customHeight="1" spans="1:2">
      <c r="A2085" s="3" t="s">
        <v>21495</v>
      </c>
      <c r="B2085" s="4">
        <v>7.5</v>
      </c>
    </row>
    <row r="2086" customHeight="1" spans="1:2">
      <c r="A2086" s="3" t="s">
        <v>8885</v>
      </c>
      <c r="B2086" s="4">
        <v>6.5</v>
      </c>
    </row>
    <row r="2087" customHeight="1" spans="1:2">
      <c r="A2087" s="3" t="s">
        <v>14783</v>
      </c>
      <c r="B2087" s="4">
        <v>5.3</v>
      </c>
    </row>
    <row r="2088" customHeight="1" spans="1:2">
      <c r="A2088" s="3" t="s">
        <v>18181</v>
      </c>
      <c r="B2088" s="4">
        <v>7.8</v>
      </c>
    </row>
    <row r="2089" customHeight="1" spans="1:2">
      <c r="A2089" s="3" t="s">
        <v>20046</v>
      </c>
      <c r="B2089" s="4">
        <v>4.8</v>
      </c>
    </row>
    <row r="2090" customHeight="1" spans="1:2">
      <c r="A2090" s="3" t="s">
        <v>16403</v>
      </c>
      <c r="B2090" s="4">
        <v>5.4</v>
      </c>
    </row>
    <row r="2091" customHeight="1" spans="1:2">
      <c r="A2091" s="3" t="s">
        <v>22549</v>
      </c>
      <c r="B2091" s="4">
        <v>7.4</v>
      </c>
    </row>
    <row r="2092" customHeight="1" spans="1:2">
      <c r="A2092" s="3" t="s">
        <v>12277</v>
      </c>
      <c r="B2092" s="4">
        <v>3.6</v>
      </c>
    </row>
    <row r="2093" customHeight="1" spans="1:2">
      <c r="A2093" s="3" t="s">
        <v>10146</v>
      </c>
      <c r="B2093" s="4">
        <v>7.18333333333333</v>
      </c>
    </row>
    <row r="2094" customHeight="1" spans="1:2">
      <c r="A2094" s="3" t="s">
        <v>20973</v>
      </c>
      <c r="B2094" s="4">
        <v>5.5</v>
      </c>
    </row>
    <row r="2095" customHeight="1" spans="1:2">
      <c r="A2095" s="3" t="s">
        <v>14612</v>
      </c>
      <c r="B2095" s="4">
        <v>7.15</v>
      </c>
    </row>
    <row r="2096" customHeight="1" spans="1:2">
      <c r="A2096" s="3" t="s">
        <v>20498</v>
      </c>
      <c r="B2096" s="4">
        <v>7.4</v>
      </c>
    </row>
    <row r="2097" customHeight="1" spans="1:2">
      <c r="A2097" s="3" t="s">
        <v>929</v>
      </c>
      <c r="B2097" s="4">
        <v>5.65</v>
      </c>
    </row>
    <row r="2098" customHeight="1" spans="1:2">
      <c r="A2098" s="3" t="s">
        <v>1784</v>
      </c>
      <c r="B2098" s="4">
        <v>6.025</v>
      </c>
    </row>
    <row r="2099" customHeight="1" spans="1:2">
      <c r="A2099" s="3" t="s">
        <v>5931</v>
      </c>
      <c r="B2099" s="4">
        <v>5.625</v>
      </c>
    </row>
    <row r="2100" customHeight="1" spans="1:2">
      <c r="A2100" s="3" t="s">
        <v>20508</v>
      </c>
      <c r="B2100" s="4">
        <v>3.9</v>
      </c>
    </row>
    <row r="2101" customHeight="1" spans="1:2">
      <c r="A2101" s="3" t="s">
        <v>6183</v>
      </c>
      <c r="B2101" s="4">
        <v>6.3</v>
      </c>
    </row>
    <row r="2102" customHeight="1" spans="1:2">
      <c r="A2102" s="3" t="s">
        <v>6725</v>
      </c>
      <c r="B2102" s="4">
        <v>6.925</v>
      </c>
    </row>
    <row r="2103" customHeight="1" spans="1:2">
      <c r="A2103" s="3" t="s">
        <v>22654</v>
      </c>
      <c r="B2103" s="4">
        <v>6.5</v>
      </c>
    </row>
    <row r="2104" customHeight="1" spans="1:2">
      <c r="A2104" s="3" t="s">
        <v>16702</v>
      </c>
      <c r="B2104" s="4">
        <v>7.1</v>
      </c>
    </row>
    <row r="2105" customHeight="1" spans="1:2">
      <c r="A2105" s="3" t="s">
        <v>1801</v>
      </c>
      <c r="B2105" s="4">
        <v>7.575</v>
      </c>
    </row>
    <row r="2106" customHeight="1" spans="1:2">
      <c r="A2106" s="3" t="s">
        <v>5077</v>
      </c>
      <c r="B2106" s="4">
        <v>6.56875</v>
      </c>
    </row>
    <row r="2107" customHeight="1" spans="1:2">
      <c r="A2107" s="3" t="s">
        <v>19765</v>
      </c>
      <c r="B2107" s="4">
        <v>7.8</v>
      </c>
    </row>
    <row r="2108" customHeight="1" spans="1:2">
      <c r="A2108" s="3" t="s">
        <v>19788</v>
      </c>
      <c r="B2108" s="4">
        <v>8.3</v>
      </c>
    </row>
    <row r="2109" customHeight="1" spans="1:2">
      <c r="A2109" s="3" t="s">
        <v>15538</v>
      </c>
      <c r="B2109" s="4">
        <v>7.95</v>
      </c>
    </row>
    <row r="2110" customHeight="1" spans="1:2">
      <c r="A2110" s="3" t="s">
        <v>3728</v>
      </c>
      <c r="B2110" s="4">
        <v>8</v>
      </c>
    </row>
    <row r="2111" customHeight="1" spans="1:2">
      <c r="A2111" s="3" t="s">
        <v>16321</v>
      </c>
      <c r="B2111" s="4">
        <v>6.7</v>
      </c>
    </row>
    <row r="2112" customHeight="1" spans="1:2">
      <c r="A2112" s="3" t="s">
        <v>18096</v>
      </c>
      <c r="B2112" s="4">
        <v>3.4</v>
      </c>
    </row>
    <row r="2113" customHeight="1" spans="1:2">
      <c r="A2113" s="3" t="s">
        <v>21954</v>
      </c>
      <c r="B2113" s="4">
        <v>5.7</v>
      </c>
    </row>
    <row r="2114" customHeight="1" spans="1:2">
      <c r="A2114" s="3" t="s">
        <v>13272</v>
      </c>
      <c r="B2114" s="4">
        <v>5.63333333333333</v>
      </c>
    </row>
    <row r="2115" customHeight="1" spans="1:2">
      <c r="A2115" s="3" t="s">
        <v>18642</v>
      </c>
      <c r="B2115" s="4">
        <v>6.6</v>
      </c>
    </row>
    <row r="2116" customHeight="1" spans="1:2">
      <c r="A2116" s="3" t="s">
        <v>1795</v>
      </c>
      <c r="B2116" s="4">
        <v>5.1</v>
      </c>
    </row>
    <row r="2117" customHeight="1" spans="1:2">
      <c r="A2117" s="3" t="s">
        <v>12968</v>
      </c>
      <c r="B2117" s="4">
        <v>5.8</v>
      </c>
    </row>
    <row r="2118" customHeight="1" spans="1:2">
      <c r="A2118" s="3" t="s">
        <v>14018</v>
      </c>
      <c r="B2118" s="4">
        <v>7.9</v>
      </c>
    </row>
    <row r="2119" customHeight="1" spans="1:2">
      <c r="A2119" s="3" t="s">
        <v>13528</v>
      </c>
      <c r="B2119" s="4">
        <v>3.9</v>
      </c>
    </row>
    <row r="2120" customHeight="1" spans="1:2">
      <c r="A2120" s="3" t="s">
        <v>13858</v>
      </c>
      <c r="B2120" s="4">
        <v>8</v>
      </c>
    </row>
    <row r="2121" customHeight="1" spans="1:2">
      <c r="A2121" s="3" t="s">
        <v>11095</v>
      </c>
      <c r="B2121" s="4">
        <v>7.2</v>
      </c>
    </row>
    <row r="2122" customHeight="1" spans="1:2">
      <c r="A2122" s="3" t="s">
        <v>6621</v>
      </c>
      <c r="B2122" s="4">
        <v>7.4</v>
      </c>
    </row>
    <row r="2123" customHeight="1" spans="1:2">
      <c r="A2123" s="3" t="s">
        <v>5648</v>
      </c>
      <c r="B2123" s="4">
        <v>7.12727272727273</v>
      </c>
    </row>
    <row r="2124" customHeight="1" spans="1:2">
      <c r="A2124" s="3" t="s">
        <v>5189</v>
      </c>
      <c r="B2124" s="4">
        <v>6.3</v>
      </c>
    </row>
    <row r="2125" customHeight="1" spans="1:2">
      <c r="A2125" s="3" t="s">
        <v>4438</v>
      </c>
      <c r="B2125" s="4">
        <v>6.125</v>
      </c>
    </row>
    <row r="2126" customHeight="1" spans="1:2">
      <c r="A2126" s="3" t="s">
        <v>8146</v>
      </c>
      <c r="B2126" s="4">
        <v>7</v>
      </c>
    </row>
    <row r="2127" customHeight="1" spans="1:2">
      <c r="A2127" s="3" t="s">
        <v>2723</v>
      </c>
      <c r="B2127" s="4">
        <v>6</v>
      </c>
    </row>
    <row r="2128" customHeight="1" spans="1:2">
      <c r="A2128" s="3" t="s">
        <v>8456</v>
      </c>
      <c r="B2128" s="4">
        <v>7.3</v>
      </c>
    </row>
    <row r="2129" customHeight="1" spans="1:2">
      <c r="A2129" s="3" t="s">
        <v>6732</v>
      </c>
      <c r="B2129" s="4">
        <v>5</v>
      </c>
    </row>
    <row r="2130" customHeight="1" spans="1:2">
      <c r="A2130" s="3" t="s">
        <v>22669</v>
      </c>
      <c r="B2130" s="4">
        <v>7.3</v>
      </c>
    </row>
    <row r="2131" customHeight="1" spans="1:2">
      <c r="A2131" s="3" t="s">
        <v>23724</v>
      </c>
      <c r="B2131" s="4">
        <v>3.2</v>
      </c>
    </row>
    <row r="2132" customHeight="1" spans="1:2">
      <c r="A2132" s="3" t="s">
        <v>16733</v>
      </c>
      <c r="B2132" s="4">
        <v>6</v>
      </c>
    </row>
    <row r="2133" customHeight="1" spans="1:2">
      <c r="A2133" s="3" t="s">
        <v>2972</v>
      </c>
      <c r="B2133" s="4">
        <v>6.45</v>
      </c>
    </row>
    <row r="2134" customHeight="1" spans="1:2">
      <c r="A2134" s="3" t="s">
        <v>536</v>
      </c>
      <c r="B2134" s="4">
        <v>6.075</v>
      </c>
    </row>
    <row r="2135" customHeight="1" spans="1:2">
      <c r="A2135" s="3" t="s">
        <v>16912</v>
      </c>
      <c r="B2135" s="4">
        <v>6.6</v>
      </c>
    </row>
    <row r="2136" customHeight="1" spans="1:2">
      <c r="A2136" s="3" t="s">
        <v>23436</v>
      </c>
      <c r="B2136" s="4">
        <v>5.1</v>
      </c>
    </row>
    <row r="2137" customHeight="1" spans="1:2">
      <c r="A2137" s="3" t="s">
        <v>4810</v>
      </c>
      <c r="B2137" s="4">
        <v>6.4</v>
      </c>
    </row>
    <row r="2138" customHeight="1" spans="1:2">
      <c r="A2138" s="3" t="s">
        <v>9790</v>
      </c>
      <c r="B2138" s="4">
        <v>5.3</v>
      </c>
    </row>
    <row r="2139" customHeight="1" spans="1:2">
      <c r="A2139" s="3" t="s">
        <v>10904</v>
      </c>
      <c r="B2139" s="4">
        <v>5.5</v>
      </c>
    </row>
    <row r="2140" customHeight="1" spans="1:2">
      <c r="A2140" s="3" t="s">
        <v>9633</v>
      </c>
      <c r="B2140" s="4">
        <v>6.3</v>
      </c>
    </row>
    <row r="2141" customHeight="1" spans="1:2">
      <c r="A2141" s="3" t="s">
        <v>8294</v>
      </c>
      <c r="B2141" s="4">
        <v>7.5</v>
      </c>
    </row>
    <row r="2142" customHeight="1" spans="1:2">
      <c r="A2142" s="3" t="s">
        <v>8681</v>
      </c>
      <c r="B2142" s="4">
        <v>3.95</v>
      </c>
    </row>
    <row r="2143" customHeight="1" spans="1:2">
      <c r="A2143" s="3" t="s">
        <v>272</v>
      </c>
      <c r="B2143" s="4">
        <v>6.9</v>
      </c>
    </row>
    <row r="2144" customHeight="1" spans="1:2">
      <c r="A2144" s="3" t="s">
        <v>3234</v>
      </c>
      <c r="B2144" s="4">
        <v>5.35</v>
      </c>
    </row>
    <row r="2145" customHeight="1" spans="1:2">
      <c r="A2145" s="3" t="s">
        <v>17749</v>
      </c>
      <c r="B2145" s="4">
        <v>6.3</v>
      </c>
    </row>
    <row r="2146" customHeight="1" spans="1:2">
      <c r="A2146" s="3" t="s">
        <v>13046</v>
      </c>
      <c r="B2146" s="4">
        <v>2.8</v>
      </c>
    </row>
    <row r="2147" customHeight="1" spans="1:2">
      <c r="A2147" s="3" t="s">
        <v>901</v>
      </c>
      <c r="B2147" s="4">
        <v>6.2</v>
      </c>
    </row>
    <row r="2148" customHeight="1" spans="1:2">
      <c r="A2148" s="3" t="s">
        <v>16174</v>
      </c>
      <c r="B2148" s="4">
        <v>7.55</v>
      </c>
    </row>
    <row r="2149" customHeight="1" spans="1:2">
      <c r="A2149" s="3" t="s">
        <v>1916</v>
      </c>
      <c r="B2149" s="4">
        <v>6.9</v>
      </c>
    </row>
    <row r="2150" customHeight="1" spans="1:2">
      <c r="A2150" s="3" t="s">
        <v>10723</v>
      </c>
      <c r="B2150" s="4">
        <v>7.7</v>
      </c>
    </row>
    <row r="2151" customHeight="1" spans="1:2">
      <c r="A2151" s="3" t="s">
        <v>7065</v>
      </c>
      <c r="B2151" s="4">
        <v>5.76</v>
      </c>
    </row>
    <row r="2152" customHeight="1" spans="1:2">
      <c r="A2152" s="3" t="s">
        <v>4983</v>
      </c>
      <c r="B2152" s="4">
        <v>6.2</v>
      </c>
    </row>
    <row r="2153" customHeight="1" spans="1:2">
      <c r="A2153" s="3" t="s">
        <v>7182</v>
      </c>
      <c r="B2153" s="4">
        <v>5.86666666666667</v>
      </c>
    </row>
    <row r="2154" customHeight="1" spans="1:2">
      <c r="A2154" s="3" t="s">
        <v>11051</v>
      </c>
      <c r="B2154" s="4">
        <v>5.25</v>
      </c>
    </row>
    <row r="2155" customHeight="1" spans="1:2">
      <c r="A2155" s="3" t="s">
        <v>21340</v>
      </c>
      <c r="B2155" s="4">
        <v>6</v>
      </c>
    </row>
    <row r="2156" customHeight="1" spans="1:2">
      <c r="A2156" s="3" t="s">
        <v>10769</v>
      </c>
      <c r="B2156" s="4">
        <v>5.4</v>
      </c>
    </row>
    <row r="2157" customHeight="1" spans="1:2">
      <c r="A2157" s="3" t="s">
        <v>2786</v>
      </c>
      <c r="B2157" s="4">
        <v>5.675</v>
      </c>
    </row>
    <row r="2158" customHeight="1" spans="1:2">
      <c r="A2158" s="3" t="s">
        <v>7452</v>
      </c>
      <c r="B2158" s="4">
        <v>3.8</v>
      </c>
    </row>
    <row r="2159" customHeight="1" spans="1:2">
      <c r="A2159" s="3" t="s">
        <v>5240</v>
      </c>
      <c r="B2159" s="4">
        <v>5.85</v>
      </c>
    </row>
    <row r="2160" customHeight="1" spans="1:2">
      <c r="A2160" s="3" t="s">
        <v>20784</v>
      </c>
      <c r="B2160" s="4">
        <v>6.3</v>
      </c>
    </row>
    <row r="2161" customHeight="1" spans="1:2">
      <c r="A2161" s="3" t="s">
        <v>5280</v>
      </c>
      <c r="B2161" s="4">
        <v>4.4</v>
      </c>
    </row>
    <row r="2162" customHeight="1" spans="1:2">
      <c r="A2162" s="3" t="s">
        <v>12349</v>
      </c>
      <c r="B2162" s="4">
        <v>6.8</v>
      </c>
    </row>
    <row r="2163" customHeight="1" spans="1:2">
      <c r="A2163" s="3" t="s">
        <v>1527</v>
      </c>
      <c r="B2163" s="4">
        <v>6.70625</v>
      </c>
    </row>
    <row r="2164" customHeight="1" spans="1:2">
      <c r="A2164" s="3" t="s">
        <v>390</v>
      </c>
      <c r="B2164" s="4">
        <v>7.48076923076923</v>
      </c>
    </row>
    <row r="2165" customHeight="1" spans="1:2">
      <c r="A2165" s="3" t="s">
        <v>4119</v>
      </c>
      <c r="B2165" s="4">
        <v>6.35</v>
      </c>
    </row>
    <row r="2166" customHeight="1" spans="1:2">
      <c r="A2166" s="3" t="s">
        <v>13945</v>
      </c>
      <c r="B2166" s="4">
        <v>5.1</v>
      </c>
    </row>
    <row r="2167" customHeight="1" spans="1:2">
      <c r="A2167" s="3" t="s">
        <v>15710</v>
      </c>
      <c r="B2167" s="4">
        <v>4.55</v>
      </c>
    </row>
    <row r="2168" customHeight="1" spans="1:2">
      <c r="A2168" s="3" t="s">
        <v>8175</v>
      </c>
      <c r="B2168" s="4">
        <v>6.1</v>
      </c>
    </row>
    <row r="2169" customHeight="1" spans="1:2">
      <c r="A2169" s="3" t="s">
        <v>17547</v>
      </c>
      <c r="B2169" s="4">
        <v>4.4</v>
      </c>
    </row>
    <row r="2170" customHeight="1" spans="1:2">
      <c r="A2170" s="3" t="s">
        <v>4257</v>
      </c>
      <c r="B2170" s="4">
        <v>6.4</v>
      </c>
    </row>
    <row r="2171" customHeight="1" spans="1:2">
      <c r="A2171" s="3" t="s">
        <v>3811</v>
      </c>
      <c r="B2171" s="4">
        <v>5.1</v>
      </c>
    </row>
    <row r="2172" customHeight="1" spans="1:2">
      <c r="A2172" s="3" t="s">
        <v>10567</v>
      </c>
      <c r="B2172" s="4">
        <v>4.8</v>
      </c>
    </row>
    <row r="2173" customHeight="1" spans="1:2">
      <c r="A2173" s="3" t="s">
        <v>14273</v>
      </c>
      <c r="B2173" s="4">
        <v>6.1</v>
      </c>
    </row>
    <row r="2174" customHeight="1" spans="1:2">
      <c r="A2174" s="3" t="s">
        <v>23250</v>
      </c>
      <c r="B2174" s="4">
        <v>6.9</v>
      </c>
    </row>
    <row r="2175" customHeight="1" spans="1:2">
      <c r="A2175" s="3" t="s">
        <v>22857</v>
      </c>
      <c r="B2175" s="4">
        <v>4.7</v>
      </c>
    </row>
    <row r="2176" customHeight="1" spans="1:2">
      <c r="A2176" s="3" t="s">
        <v>19628</v>
      </c>
      <c r="B2176" s="4">
        <v>6.5</v>
      </c>
    </row>
    <row r="2177" customHeight="1" spans="1:2">
      <c r="A2177" s="3" t="s">
        <v>5926</v>
      </c>
      <c r="B2177" s="4">
        <v>6.4</v>
      </c>
    </row>
    <row r="2178" customHeight="1" spans="1:2">
      <c r="A2178" s="3" t="s">
        <v>7526</v>
      </c>
      <c r="B2178" s="4">
        <v>6.25</v>
      </c>
    </row>
    <row r="2179" customHeight="1" spans="1:2">
      <c r="A2179" s="3" t="s">
        <v>12547</v>
      </c>
      <c r="B2179" s="4">
        <v>7.2</v>
      </c>
    </row>
    <row r="2180" customHeight="1" spans="1:2">
      <c r="A2180" s="3" t="s">
        <v>23774</v>
      </c>
      <c r="B2180" s="4">
        <v>8.3</v>
      </c>
    </row>
    <row r="2181" customHeight="1" spans="1:2">
      <c r="A2181" s="3" t="s">
        <v>2214</v>
      </c>
      <c r="B2181" s="4">
        <v>6.58</v>
      </c>
    </row>
    <row r="2182" customHeight="1" spans="1:2">
      <c r="A2182" s="3" t="s">
        <v>20195</v>
      </c>
      <c r="B2182" s="4">
        <v>7.8</v>
      </c>
    </row>
    <row r="2183" customHeight="1" spans="1:2">
      <c r="A2183" s="3" t="s">
        <v>9749</v>
      </c>
      <c r="B2183" s="4">
        <v>5.8</v>
      </c>
    </row>
    <row r="2184" customHeight="1" spans="1:2">
      <c r="A2184" s="3" t="s">
        <v>1785</v>
      </c>
      <c r="B2184" s="4">
        <v>6.85</v>
      </c>
    </row>
    <row r="2185" customHeight="1" spans="1:2">
      <c r="A2185" s="3" t="s">
        <v>17217</v>
      </c>
      <c r="B2185" s="4">
        <v>3.8</v>
      </c>
    </row>
    <row r="2186" customHeight="1" spans="1:2">
      <c r="A2186" s="3" t="s">
        <v>24085</v>
      </c>
      <c r="B2186" s="4">
        <v>6.1</v>
      </c>
    </row>
    <row r="2187" customHeight="1" spans="1:2">
      <c r="A2187" s="3" t="s">
        <v>15452</v>
      </c>
      <c r="B2187" s="4">
        <v>4.8</v>
      </c>
    </row>
    <row r="2188" customHeight="1" spans="1:2">
      <c r="A2188" s="3" t="s">
        <v>21558</v>
      </c>
      <c r="B2188" s="4">
        <v>6</v>
      </c>
    </row>
    <row r="2189" customHeight="1" spans="1:2">
      <c r="A2189" s="3" t="s">
        <v>10820</v>
      </c>
      <c r="B2189" s="4">
        <v>5.45</v>
      </c>
    </row>
    <row r="2190" customHeight="1" spans="1:2">
      <c r="A2190" s="3" t="s">
        <v>14420</v>
      </c>
      <c r="B2190" s="4">
        <v>6.1</v>
      </c>
    </row>
    <row r="2191" customHeight="1" spans="1:2">
      <c r="A2191" s="3" t="s">
        <v>14366</v>
      </c>
      <c r="B2191" s="4">
        <v>7.2</v>
      </c>
    </row>
    <row r="2192" customHeight="1" spans="1:2">
      <c r="A2192" s="3" t="s">
        <v>15678</v>
      </c>
      <c r="B2192" s="4">
        <v>6.9</v>
      </c>
    </row>
    <row r="2193" customHeight="1" spans="1:2">
      <c r="A2193" s="3" t="s">
        <v>14087</v>
      </c>
      <c r="B2193" s="4">
        <v>4.43333333333333</v>
      </c>
    </row>
    <row r="2194" customHeight="1" spans="1:2">
      <c r="A2194" s="3" t="s">
        <v>20578</v>
      </c>
      <c r="B2194" s="4">
        <v>4.4</v>
      </c>
    </row>
    <row r="2195" customHeight="1" spans="1:2">
      <c r="A2195" s="3" t="s">
        <v>21088</v>
      </c>
      <c r="B2195" s="4">
        <v>3.3</v>
      </c>
    </row>
    <row r="2196" customHeight="1" spans="1:2">
      <c r="A2196" s="3" t="s">
        <v>2449</v>
      </c>
      <c r="B2196" s="4">
        <v>6.125</v>
      </c>
    </row>
    <row r="2197" customHeight="1" spans="1:2">
      <c r="A2197" s="3" t="s">
        <v>3453</v>
      </c>
      <c r="B2197" s="4">
        <v>7.5</v>
      </c>
    </row>
    <row r="2198" customHeight="1" spans="1:2">
      <c r="A2198" s="3" t="s">
        <v>20041</v>
      </c>
      <c r="B2198" s="4">
        <v>7.5</v>
      </c>
    </row>
    <row r="2199" customHeight="1" spans="1:2">
      <c r="A2199" s="3" t="s">
        <v>3779</v>
      </c>
      <c r="B2199" s="4">
        <v>6.88333333333333</v>
      </c>
    </row>
    <row r="2200" customHeight="1" spans="1:2">
      <c r="A2200" s="3" t="s">
        <v>8266</v>
      </c>
      <c r="B2200" s="4">
        <v>7.6</v>
      </c>
    </row>
    <row r="2201" customHeight="1" spans="1:2">
      <c r="A2201" s="3" t="s">
        <v>5631</v>
      </c>
      <c r="B2201" s="4">
        <v>7.7</v>
      </c>
    </row>
    <row r="2202" customHeight="1" spans="1:2">
      <c r="A2202" s="3" t="s">
        <v>19224</v>
      </c>
      <c r="B2202" s="4">
        <v>6.55</v>
      </c>
    </row>
    <row r="2203" customHeight="1" spans="1:2">
      <c r="A2203" s="3" t="s">
        <v>10064</v>
      </c>
      <c r="B2203" s="4">
        <v>6.7</v>
      </c>
    </row>
    <row r="2204" customHeight="1" spans="1:2">
      <c r="A2204" s="3" t="s">
        <v>15203</v>
      </c>
      <c r="B2204" s="4">
        <v>7.1</v>
      </c>
    </row>
    <row r="2205" customHeight="1" spans="1:2">
      <c r="A2205" s="3" t="s">
        <v>5690</v>
      </c>
      <c r="B2205" s="4">
        <v>6.125</v>
      </c>
    </row>
    <row r="2206" customHeight="1" spans="1:2">
      <c r="A2206" s="3" t="s">
        <v>4946</v>
      </c>
      <c r="B2206" s="4">
        <v>7.25</v>
      </c>
    </row>
    <row r="2207" customHeight="1" spans="1:2">
      <c r="A2207" s="3" t="s">
        <v>23864</v>
      </c>
      <c r="B2207" s="4">
        <v>3.4</v>
      </c>
    </row>
    <row r="2208" customHeight="1" spans="1:2">
      <c r="A2208" s="3" t="s">
        <v>12111</v>
      </c>
      <c r="B2208" s="4">
        <v>8.1</v>
      </c>
    </row>
    <row r="2209" customHeight="1" spans="1:2">
      <c r="A2209" s="3" t="s">
        <v>2792</v>
      </c>
      <c r="B2209" s="4">
        <v>7.32857142857143</v>
      </c>
    </row>
    <row r="2210" customHeight="1" spans="1:2">
      <c r="A2210" s="3" t="s">
        <v>11762</v>
      </c>
      <c r="B2210" s="4">
        <v>7.25</v>
      </c>
    </row>
    <row r="2211" customHeight="1" spans="1:2">
      <c r="A2211" s="3" t="s">
        <v>16714</v>
      </c>
      <c r="B2211" s="4">
        <v>6.7</v>
      </c>
    </row>
    <row r="2212" customHeight="1" spans="1:2">
      <c r="A2212" s="3" t="s">
        <v>10739</v>
      </c>
      <c r="B2212" s="4">
        <v>7.6</v>
      </c>
    </row>
    <row r="2213" customHeight="1" spans="1:2">
      <c r="A2213" s="3" t="s">
        <v>13682</v>
      </c>
      <c r="B2213" s="4">
        <v>7.3</v>
      </c>
    </row>
    <row r="2214" customHeight="1" spans="1:2">
      <c r="A2214" s="3" t="s">
        <v>15048</v>
      </c>
      <c r="B2214" s="4">
        <v>7.4</v>
      </c>
    </row>
    <row r="2215" customHeight="1" spans="1:2">
      <c r="A2215" s="3" t="s">
        <v>10978</v>
      </c>
      <c r="B2215" s="4">
        <v>6.05</v>
      </c>
    </row>
    <row r="2216" customHeight="1" spans="1:2">
      <c r="A2216" s="3" t="s">
        <v>5770</v>
      </c>
      <c r="B2216" s="4">
        <v>6.66666666666667</v>
      </c>
    </row>
    <row r="2217" customHeight="1" spans="1:2">
      <c r="A2217" s="3" t="s">
        <v>24092</v>
      </c>
      <c r="B2217" s="4">
        <v>5.4</v>
      </c>
    </row>
    <row r="2218" customHeight="1" spans="1:2">
      <c r="A2218" s="3" t="s">
        <v>22444</v>
      </c>
      <c r="B2218" s="4">
        <v>7.2</v>
      </c>
    </row>
    <row r="2219" customHeight="1" spans="1:2">
      <c r="A2219" s="3" t="s">
        <v>16244</v>
      </c>
      <c r="B2219" s="4">
        <v>7.66666666666667</v>
      </c>
    </row>
    <row r="2220" customHeight="1" spans="1:2">
      <c r="A2220" s="3" t="s">
        <v>2223</v>
      </c>
      <c r="B2220" s="4">
        <v>5.83333333333333</v>
      </c>
    </row>
    <row r="2221" customHeight="1" spans="1:2">
      <c r="A2221" s="3" t="s">
        <v>19717</v>
      </c>
      <c r="B2221" s="4">
        <v>5.7</v>
      </c>
    </row>
    <row r="2222" customHeight="1" spans="1:2">
      <c r="A2222" s="3" t="s">
        <v>21808</v>
      </c>
      <c r="B2222" s="4">
        <v>5.95</v>
      </c>
    </row>
    <row r="2223" customHeight="1" spans="1:2">
      <c r="A2223" s="3" t="s">
        <v>1502</v>
      </c>
      <c r="B2223" s="4">
        <v>6.2</v>
      </c>
    </row>
    <row r="2224" customHeight="1" spans="1:2">
      <c r="A2224" s="3" t="s">
        <v>19904</v>
      </c>
      <c r="B2224" s="4">
        <v>6.6</v>
      </c>
    </row>
    <row r="2225" customHeight="1" spans="1:2">
      <c r="A2225" s="3" t="s">
        <v>256</v>
      </c>
      <c r="B2225" s="4">
        <v>6.93125</v>
      </c>
    </row>
    <row r="2226" customHeight="1" spans="1:2">
      <c r="A2226" s="3" t="s">
        <v>16665</v>
      </c>
      <c r="B2226" s="4">
        <v>6.5</v>
      </c>
    </row>
    <row r="2227" customHeight="1" spans="1:2">
      <c r="A2227" s="3" t="s">
        <v>9715</v>
      </c>
      <c r="B2227" s="4">
        <v>6</v>
      </c>
    </row>
    <row r="2228" customHeight="1" spans="1:2">
      <c r="A2228" s="3" t="s">
        <v>1504</v>
      </c>
      <c r="B2228" s="4">
        <v>5.3</v>
      </c>
    </row>
    <row r="2229" customHeight="1" spans="1:2">
      <c r="A2229" s="3" t="s">
        <v>3918</v>
      </c>
      <c r="B2229" s="4">
        <v>5.44</v>
      </c>
    </row>
    <row r="2230" customHeight="1" spans="1:2">
      <c r="A2230" s="3" t="s">
        <v>20600</v>
      </c>
      <c r="B2230" s="4">
        <v>7.1</v>
      </c>
    </row>
    <row r="2231" customHeight="1" spans="1:2">
      <c r="A2231" s="3" t="s">
        <v>1176</v>
      </c>
      <c r="B2231" s="4">
        <v>6.725</v>
      </c>
    </row>
    <row r="2232" customHeight="1" spans="1:2">
      <c r="A2232" s="3" t="s">
        <v>8356</v>
      </c>
      <c r="B2232" s="4">
        <v>7.2</v>
      </c>
    </row>
    <row r="2233" customHeight="1" spans="1:2">
      <c r="A2233" s="3" t="s">
        <v>4431</v>
      </c>
      <c r="B2233" s="4">
        <v>8.1</v>
      </c>
    </row>
    <row r="2234" customHeight="1" spans="1:2">
      <c r="A2234" s="3" t="s">
        <v>8016</v>
      </c>
      <c r="B2234" s="4">
        <v>7.25</v>
      </c>
    </row>
    <row r="2235" customHeight="1" spans="1:2">
      <c r="A2235" s="3" t="s">
        <v>1352</v>
      </c>
      <c r="B2235" s="4">
        <v>6.05</v>
      </c>
    </row>
    <row r="2236" customHeight="1" spans="1:2">
      <c r="A2236" s="3" t="s">
        <v>15124</v>
      </c>
      <c r="B2236" s="4">
        <v>5.8</v>
      </c>
    </row>
    <row r="2237" customHeight="1" spans="1:2">
      <c r="A2237" s="3" t="s">
        <v>14440</v>
      </c>
      <c r="B2237" s="4">
        <v>7.5</v>
      </c>
    </row>
    <row r="2238" customHeight="1" spans="1:2">
      <c r="A2238" s="3" t="s">
        <v>21084</v>
      </c>
      <c r="B2238" s="4">
        <v>3.1</v>
      </c>
    </row>
    <row r="2239" customHeight="1" spans="1:2">
      <c r="A2239" s="3" t="s">
        <v>2157</v>
      </c>
      <c r="B2239" s="4">
        <v>6.21666666666667</v>
      </c>
    </row>
    <row r="2240" customHeight="1" spans="1:2">
      <c r="A2240" s="3" t="s">
        <v>13121</v>
      </c>
      <c r="B2240" s="4">
        <v>5.3</v>
      </c>
    </row>
    <row r="2241" customHeight="1" spans="1:2">
      <c r="A2241" s="3" t="s">
        <v>7405</v>
      </c>
      <c r="B2241" s="4">
        <v>6.7</v>
      </c>
    </row>
    <row r="2242" customHeight="1" spans="1:2">
      <c r="A2242" s="3" t="s">
        <v>19180</v>
      </c>
      <c r="B2242" s="4">
        <v>5.7</v>
      </c>
    </row>
    <row r="2243" customHeight="1" spans="1:2">
      <c r="A2243" s="3" t="s">
        <v>13510</v>
      </c>
      <c r="B2243" s="4">
        <v>7.55</v>
      </c>
    </row>
    <row r="2244" customHeight="1" spans="1:2">
      <c r="A2244" s="3" t="s">
        <v>3406</v>
      </c>
      <c r="B2244" s="4">
        <v>6.05</v>
      </c>
    </row>
    <row r="2245" customHeight="1" spans="1:2">
      <c r="A2245" s="3" t="s">
        <v>11376</v>
      </c>
      <c r="B2245" s="4">
        <v>7.13333333333333</v>
      </c>
    </row>
    <row r="2246" customHeight="1" spans="1:2">
      <c r="A2246" s="3" t="s">
        <v>12338</v>
      </c>
      <c r="B2246" s="4">
        <v>4.1</v>
      </c>
    </row>
    <row r="2247" customHeight="1" spans="1:2">
      <c r="A2247" s="3" t="s">
        <v>2543</v>
      </c>
      <c r="B2247" s="4">
        <v>6.65714285714286</v>
      </c>
    </row>
    <row r="2248" customHeight="1" spans="1:2">
      <c r="A2248" s="3" t="s">
        <v>18296</v>
      </c>
      <c r="B2248" s="4">
        <v>7.26666666666667</v>
      </c>
    </row>
    <row r="2249" customHeight="1" spans="1:2">
      <c r="A2249" s="3" t="s">
        <v>10910</v>
      </c>
      <c r="B2249" s="4">
        <v>6.3</v>
      </c>
    </row>
    <row r="2250" customHeight="1" spans="1:2">
      <c r="A2250" s="3" t="s">
        <v>15216</v>
      </c>
      <c r="B2250" s="4">
        <v>3.3</v>
      </c>
    </row>
    <row r="2251" customHeight="1" spans="1:2">
      <c r="A2251" s="3" t="s">
        <v>4674</v>
      </c>
      <c r="B2251" s="4">
        <v>5.46666666666667</v>
      </c>
    </row>
    <row r="2252" customHeight="1" spans="1:2">
      <c r="A2252" s="3" t="s">
        <v>22619</v>
      </c>
      <c r="B2252" s="4">
        <v>5.8</v>
      </c>
    </row>
    <row r="2253" customHeight="1" spans="1:2">
      <c r="A2253" s="3" t="s">
        <v>15883</v>
      </c>
      <c r="B2253" s="4">
        <v>5.3</v>
      </c>
    </row>
    <row r="2254" customHeight="1" spans="1:2">
      <c r="A2254" s="3" t="s">
        <v>16586</v>
      </c>
      <c r="B2254" s="4">
        <v>7.6</v>
      </c>
    </row>
    <row r="2255" customHeight="1" spans="1:2">
      <c r="A2255" s="3" t="s">
        <v>16026</v>
      </c>
      <c r="B2255" s="4">
        <v>6.1</v>
      </c>
    </row>
    <row r="2256" customHeight="1" spans="1:2">
      <c r="A2256" s="3" t="s">
        <v>12990</v>
      </c>
      <c r="B2256" s="4">
        <v>4.5</v>
      </c>
    </row>
    <row r="2257" customHeight="1" spans="1:2">
      <c r="A2257" s="3" t="s">
        <v>322</v>
      </c>
      <c r="B2257" s="4">
        <v>6.5</v>
      </c>
    </row>
    <row r="2258" customHeight="1" spans="1:2">
      <c r="A2258" s="3" t="s">
        <v>13469</v>
      </c>
      <c r="B2258" s="4">
        <v>6.1</v>
      </c>
    </row>
    <row r="2259" customHeight="1" spans="1:2">
      <c r="A2259" s="3" t="s">
        <v>3665</v>
      </c>
      <c r="B2259" s="4">
        <v>7.73333333333333</v>
      </c>
    </row>
    <row r="2260" customHeight="1" spans="1:2">
      <c r="A2260" s="3" t="s">
        <v>18201</v>
      </c>
      <c r="B2260" s="4">
        <v>5.9</v>
      </c>
    </row>
    <row r="2261" customHeight="1" spans="1:2">
      <c r="A2261" s="3" t="s">
        <v>432</v>
      </c>
      <c r="B2261" s="4">
        <v>7.9</v>
      </c>
    </row>
    <row r="2262" customHeight="1" spans="1:2">
      <c r="A2262" s="3" t="s">
        <v>1247</v>
      </c>
      <c r="B2262" s="4">
        <v>7.3</v>
      </c>
    </row>
    <row r="2263" customHeight="1" spans="1:2">
      <c r="A2263" s="3" t="s">
        <v>19241</v>
      </c>
      <c r="B2263" s="4">
        <v>5.9</v>
      </c>
    </row>
    <row r="2264" customHeight="1" spans="1:2">
      <c r="A2264" s="3" t="s">
        <v>23350</v>
      </c>
      <c r="B2264" s="4">
        <v>7.5</v>
      </c>
    </row>
    <row r="2265" customHeight="1" spans="1:2">
      <c r="A2265" s="3" t="s">
        <v>8023</v>
      </c>
      <c r="B2265" s="4">
        <v>5.7</v>
      </c>
    </row>
    <row r="2266" customHeight="1" spans="1:2">
      <c r="A2266" s="3" t="s">
        <v>21367</v>
      </c>
      <c r="B2266" s="4">
        <v>7.2</v>
      </c>
    </row>
    <row r="2267" customHeight="1" spans="1:2">
      <c r="A2267" s="3" t="s">
        <v>19389</v>
      </c>
      <c r="B2267" s="4">
        <v>5.3</v>
      </c>
    </row>
    <row r="2268" customHeight="1" spans="1:2">
      <c r="A2268" s="3" t="s">
        <v>23279</v>
      </c>
      <c r="B2268" s="4">
        <v>6.2</v>
      </c>
    </row>
    <row r="2269" customHeight="1" spans="1:2">
      <c r="A2269" s="3" t="s">
        <v>515</v>
      </c>
      <c r="B2269" s="4">
        <v>6.31428571428572</v>
      </c>
    </row>
    <row r="2270" customHeight="1" spans="1:2">
      <c r="A2270" s="3" t="s">
        <v>1848</v>
      </c>
      <c r="B2270" s="4">
        <v>7.22</v>
      </c>
    </row>
    <row r="2271" customHeight="1" spans="1:2">
      <c r="A2271" s="3" t="s">
        <v>8109</v>
      </c>
      <c r="B2271" s="4">
        <v>6.3</v>
      </c>
    </row>
    <row r="2272" customHeight="1" spans="1:2">
      <c r="A2272" s="3" t="s">
        <v>11525</v>
      </c>
      <c r="B2272" s="4">
        <v>4.8</v>
      </c>
    </row>
    <row r="2273" customHeight="1" spans="1:2">
      <c r="A2273" s="3" t="s">
        <v>10615</v>
      </c>
      <c r="B2273" s="4">
        <v>7.1</v>
      </c>
    </row>
    <row r="2274" customHeight="1" spans="1:2">
      <c r="A2274" s="3" t="s">
        <v>16185</v>
      </c>
      <c r="B2274" s="4">
        <v>7.7</v>
      </c>
    </row>
    <row r="2275" customHeight="1" spans="1:2">
      <c r="A2275" s="3" t="s">
        <v>12603</v>
      </c>
      <c r="B2275" s="4">
        <v>7.05</v>
      </c>
    </row>
    <row r="2276" customHeight="1" spans="1:2">
      <c r="A2276" s="3" t="s">
        <v>19811</v>
      </c>
      <c r="B2276" s="4">
        <v>4.6</v>
      </c>
    </row>
    <row r="2277" customHeight="1" spans="1:2">
      <c r="A2277" s="3" t="s">
        <v>7541</v>
      </c>
      <c r="B2277" s="4">
        <v>6.05</v>
      </c>
    </row>
    <row r="2278" customHeight="1" spans="1:2">
      <c r="A2278" s="3" t="s">
        <v>22110</v>
      </c>
      <c r="B2278" s="4">
        <v>7.1</v>
      </c>
    </row>
    <row r="2279" customHeight="1" spans="1:2">
      <c r="A2279" s="3" t="s">
        <v>5171</v>
      </c>
      <c r="B2279" s="4">
        <v>6.25</v>
      </c>
    </row>
    <row r="2280" customHeight="1" spans="1:2">
      <c r="A2280" s="3" t="s">
        <v>2130</v>
      </c>
      <c r="B2280" s="4">
        <v>7.5</v>
      </c>
    </row>
    <row r="2281" customHeight="1" spans="1:2">
      <c r="A2281" s="3" t="s">
        <v>4346</v>
      </c>
      <c r="B2281" s="4">
        <v>6.6</v>
      </c>
    </row>
    <row r="2282" customHeight="1" spans="1:2">
      <c r="A2282" s="3" t="s">
        <v>19784</v>
      </c>
      <c r="B2282" s="4">
        <v>5.3</v>
      </c>
    </row>
    <row r="2283" customHeight="1" spans="1:2">
      <c r="A2283" s="3" t="s">
        <v>1319</v>
      </c>
      <c r="B2283" s="4">
        <v>6.73333333333333</v>
      </c>
    </row>
    <row r="2284" customHeight="1" spans="1:2">
      <c r="A2284" s="3" t="s">
        <v>1018</v>
      </c>
      <c r="B2284" s="4">
        <v>6.35</v>
      </c>
    </row>
    <row r="2285" customHeight="1" spans="1:2">
      <c r="A2285" s="3" t="s">
        <v>13240</v>
      </c>
      <c r="B2285" s="4">
        <v>6.2</v>
      </c>
    </row>
    <row r="2286" customHeight="1" spans="1:2">
      <c r="A2286" s="3" t="s">
        <v>7745</v>
      </c>
      <c r="B2286" s="4">
        <v>8.03333333333333</v>
      </c>
    </row>
    <row r="2287" customHeight="1" spans="1:2">
      <c r="A2287" s="3" t="s">
        <v>20729</v>
      </c>
      <c r="B2287" s="4">
        <v>5.3</v>
      </c>
    </row>
    <row r="2288" customHeight="1" spans="1:2">
      <c r="A2288" s="3" t="s">
        <v>16614</v>
      </c>
      <c r="B2288" s="4">
        <v>6.2</v>
      </c>
    </row>
    <row r="2289" customHeight="1" spans="1:2">
      <c r="A2289" s="3" t="s">
        <v>16351</v>
      </c>
      <c r="B2289" s="4">
        <v>6.4</v>
      </c>
    </row>
    <row r="2290" customHeight="1" spans="1:2">
      <c r="A2290" s="3" t="s">
        <v>1740</v>
      </c>
      <c r="B2290" s="4">
        <v>6.79166666666667</v>
      </c>
    </row>
    <row r="2291" customHeight="1" spans="1:2">
      <c r="A2291" s="3" t="s">
        <v>12054</v>
      </c>
      <c r="B2291" s="4">
        <v>5.5</v>
      </c>
    </row>
    <row r="2292" customHeight="1" spans="1:2">
      <c r="A2292" s="3" t="s">
        <v>23686</v>
      </c>
      <c r="B2292" s="4">
        <v>4.2</v>
      </c>
    </row>
    <row r="2293" customHeight="1" spans="1:2">
      <c r="A2293" s="3" t="s">
        <v>23930</v>
      </c>
      <c r="B2293" s="4">
        <v>3.25</v>
      </c>
    </row>
    <row r="2294" customHeight="1" spans="1:2">
      <c r="A2294" s="3" t="s">
        <v>22369</v>
      </c>
      <c r="B2294" s="4">
        <v>3.9</v>
      </c>
    </row>
    <row r="2295" customHeight="1" spans="1:2">
      <c r="A2295" s="3" t="s">
        <v>20873</v>
      </c>
      <c r="B2295" s="4">
        <v>3.7</v>
      </c>
    </row>
    <row r="2296" customHeight="1" spans="1:2">
      <c r="A2296" s="3" t="s">
        <v>12241</v>
      </c>
      <c r="B2296" s="4">
        <v>3.1</v>
      </c>
    </row>
    <row r="2297" customHeight="1" spans="1:2">
      <c r="A2297" s="3" t="s">
        <v>10559</v>
      </c>
      <c r="B2297" s="4">
        <v>7.06666666666667</v>
      </c>
    </row>
    <row r="2298" customHeight="1" spans="1:2">
      <c r="A2298" s="3" t="s">
        <v>16092</v>
      </c>
      <c r="B2298" s="4">
        <v>7.1</v>
      </c>
    </row>
    <row r="2299" customHeight="1" spans="1:2">
      <c r="A2299" s="3" t="s">
        <v>8462</v>
      </c>
      <c r="B2299" s="4">
        <v>3.4</v>
      </c>
    </row>
    <row r="2300" customHeight="1" spans="1:2">
      <c r="A2300" s="3" t="s">
        <v>9754</v>
      </c>
      <c r="B2300" s="4">
        <v>5.6</v>
      </c>
    </row>
    <row r="2301" customHeight="1" spans="1:2">
      <c r="A2301" s="3" t="s">
        <v>15038</v>
      </c>
      <c r="B2301" s="4">
        <v>5.9</v>
      </c>
    </row>
    <row r="2302" customHeight="1" spans="1:2">
      <c r="A2302" s="3" t="s">
        <v>13313</v>
      </c>
      <c r="B2302" s="4">
        <v>7.1</v>
      </c>
    </row>
    <row r="2303" customHeight="1" spans="1:2">
      <c r="A2303" s="3" t="s">
        <v>21220</v>
      </c>
      <c r="B2303" s="4">
        <v>5.2</v>
      </c>
    </row>
    <row r="2304" customHeight="1" spans="1:2">
      <c r="A2304" s="3" t="s">
        <v>9517</v>
      </c>
      <c r="B2304" s="4">
        <v>4.9</v>
      </c>
    </row>
    <row r="2305" customHeight="1" spans="1:2">
      <c r="A2305" s="3" t="s">
        <v>22460</v>
      </c>
      <c r="B2305" s="4">
        <v>7.2</v>
      </c>
    </row>
    <row r="2306" customHeight="1" spans="1:2">
      <c r="A2306" s="3" t="s">
        <v>12685</v>
      </c>
      <c r="B2306" s="4">
        <v>6.8</v>
      </c>
    </row>
    <row r="2307" customHeight="1" spans="1:2">
      <c r="A2307" s="3" t="s">
        <v>10454</v>
      </c>
      <c r="B2307" s="4">
        <v>6.55</v>
      </c>
    </row>
    <row r="2308" customHeight="1" spans="1:2">
      <c r="A2308" s="3" t="s">
        <v>6784</v>
      </c>
      <c r="B2308" s="4">
        <v>6.3</v>
      </c>
    </row>
    <row r="2309" customHeight="1" spans="1:2">
      <c r="A2309" s="3" t="s">
        <v>4409</v>
      </c>
      <c r="B2309" s="4">
        <v>3.72</v>
      </c>
    </row>
    <row r="2310" customHeight="1" spans="1:2">
      <c r="A2310" s="3" t="s">
        <v>12372</v>
      </c>
      <c r="B2310" s="4">
        <v>7</v>
      </c>
    </row>
    <row r="2311" customHeight="1" spans="1:2">
      <c r="A2311" s="3" t="s">
        <v>23660</v>
      </c>
      <c r="B2311" s="4">
        <v>5.1</v>
      </c>
    </row>
    <row r="2312" customHeight="1" spans="1:2">
      <c r="A2312" s="3" t="s">
        <v>15533</v>
      </c>
      <c r="B2312" s="4">
        <v>5.1</v>
      </c>
    </row>
    <row r="2313" customHeight="1" spans="1:2">
      <c r="A2313" s="3" t="s">
        <v>20692</v>
      </c>
      <c r="B2313" s="4">
        <v>6.3</v>
      </c>
    </row>
    <row r="2314" customHeight="1" spans="1:2">
      <c r="A2314" s="3" t="s">
        <v>11749</v>
      </c>
      <c r="B2314" s="4">
        <v>3.1</v>
      </c>
    </row>
    <row r="2315" customHeight="1" spans="1:2">
      <c r="A2315" s="3" t="s">
        <v>15477</v>
      </c>
      <c r="B2315" s="4">
        <v>7.1</v>
      </c>
    </row>
    <row r="2316" customHeight="1" spans="1:2">
      <c r="A2316" s="3" t="s">
        <v>12578</v>
      </c>
      <c r="B2316" s="4">
        <v>6.2</v>
      </c>
    </row>
    <row r="2317" customHeight="1" spans="1:2">
      <c r="A2317" s="3" t="s">
        <v>13130</v>
      </c>
      <c r="B2317" s="4">
        <v>5.3</v>
      </c>
    </row>
    <row r="2318" customHeight="1" spans="1:2">
      <c r="A2318" s="3" t="s">
        <v>18075</v>
      </c>
      <c r="B2318" s="4">
        <v>4.4</v>
      </c>
    </row>
    <row r="2319" customHeight="1" spans="1:2">
      <c r="A2319" s="3" t="s">
        <v>18791</v>
      </c>
      <c r="B2319" s="4">
        <v>7.76666666666667</v>
      </c>
    </row>
    <row r="2320" customHeight="1" spans="1:2">
      <c r="A2320" s="3" t="s">
        <v>19697</v>
      </c>
      <c r="B2320" s="4">
        <v>7.15</v>
      </c>
    </row>
    <row r="2321" customHeight="1" spans="1:2">
      <c r="A2321" s="3" t="s">
        <v>9611</v>
      </c>
      <c r="B2321" s="4">
        <v>6.33333333333333</v>
      </c>
    </row>
    <row r="2322" customHeight="1" spans="1:2">
      <c r="A2322" s="3" t="s">
        <v>13376</v>
      </c>
      <c r="B2322" s="4">
        <v>5.7</v>
      </c>
    </row>
    <row r="2323" customHeight="1" spans="1:2">
      <c r="A2323" s="3" t="s">
        <v>20696</v>
      </c>
      <c r="B2323" s="4">
        <v>5.1</v>
      </c>
    </row>
    <row r="2324" customHeight="1" spans="1:2">
      <c r="A2324" s="3" t="s">
        <v>13976</v>
      </c>
      <c r="B2324" s="4">
        <v>6.25</v>
      </c>
    </row>
    <row r="2325" customHeight="1" spans="1:2">
      <c r="A2325" s="3" t="s">
        <v>16410</v>
      </c>
      <c r="B2325" s="4">
        <v>8</v>
      </c>
    </row>
    <row r="2326" customHeight="1" spans="1:2">
      <c r="A2326" s="3" t="s">
        <v>2780</v>
      </c>
      <c r="B2326" s="4">
        <v>7</v>
      </c>
    </row>
    <row r="2327" customHeight="1" spans="1:2">
      <c r="A2327" s="3" t="s">
        <v>18836</v>
      </c>
      <c r="B2327" s="4">
        <v>7.1</v>
      </c>
    </row>
    <row r="2328" customHeight="1" spans="1:2">
      <c r="A2328" s="3" t="s">
        <v>8554</v>
      </c>
      <c r="B2328" s="4">
        <v>6.55</v>
      </c>
    </row>
    <row r="2329" customHeight="1" spans="1:2">
      <c r="A2329" s="3" t="s">
        <v>15912</v>
      </c>
      <c r="B2329" s="4">
        <v>7.3</v>
      </c>
    </row>
    <row r="2330" customHeight="1" spans="1:2">
      <c r="A2330" s="3" t="s">
        <v>21802</v>
      </c>
      <c r="B2330" s="4">
        <v>4.8</v>
      </c>
    </row>
    <row r="2331" customHeight="1" spans="1:2">
      <c r="A2331" s="3" t="s">
        <v>16753</v>
      </c>
      <c r="B2331" s="4">
        <v>5.3</v>
      </c>
    </row>
    <row r="2332" customHeight="1" spans="1:2">
      <c r="A2332" s="3" t="s">
        <v>12123</v>
      </c>
      <c r="B2332" s="4">
        <v>2.1</v>
      </c>
    </row>
    <row r="2333" customHeight="1" spans="1:2">
      <c r="A2333" s="3" t="s">
        <v>20739</v>
      </c>
      <c r="B2333" s="4">
        <v>3.4</v>
      </c>
    </row>
    <row r="2334" customHeight="1" spans="1:2">
      <c r="A2334" s="3" t="s">
        <v>23826</v>
      </c>
      <c r="B2334" s="4">
        <v>6.8</v>
      </c>
    </row>
    <row r="2335" customHeight="1" spans="1:2">
      <c r="A2335" s="3" t="s">
        <v>21889</v>
      </c>
      <c r="B2335" s="4">
        <v>7</v>
      </c>
    </row>
    <row r="2336" customHeight="1" spans="1:2">
      <c r="A2336" s="3" t="s">
        <v>14239</v>
      </c>
      <c r="B2336" s="4">
        <v>5.4</v>
      </c>
    </row>
    <row r="2337" customHeight="1" spans="1:2">
      <c r="A2337" s="3" t="s">
        <v>2027</v>
      </c>
      <c r="B2337" s="4">
        <v>6.3</v>
      </c>
    </row>
    <row r="2338" customHeight="1" spans="1:2">
      <c r="A2338" s="3" t="s">
        <v>2167</v>
      </c>
      <c r="B2338" s="4">
        <v>5.675</v>
      </c>
    </row>
    <row r="2339" customHeight="1" spans="1:2">
      <c r="A2339" s="3" t="s">
        <v>4357</v>
      </c>
      <c r="B2339" s="4">
        <v>5.925</v>
      </c>
    </row>
    <row r="2340" customHeight="1" spans="1:2">
      <c r="A2340" s="3" t="s">
        <v>18248</v>
      </c>
      <c r="B2340" s="4">
        <v>6.8</v>
      </c>
    </row>
    <row r="2341" customHeight="1" spans="1:2">
      <c r="A2341" s="3" t="s">
        <v>9155</v>
      </c>
      <c r="B2341" s="4">
        <v>6.7</v>
      </c>
    </row>
    <row r="2342" customHeight="1" spans="1:2">
      <c r="A2342" s="3" t="s">
        <v>4383</v>
      </c>
      <c r="B2342" s="4">
        <v>6.56666666666667</v>
      </c>
    </row>
    <row r="2343" customHeight="1" spans="1:2">
      <c r="A2343" s="3" t="s">
        <v>23325</v>
      </c>
      <c r="B2343" s="4">
        <v>6.5</v>
      </c>
    </row>
    <row r="2344" customHeight="1" spans="1:2">
      <c r="A2344" s="3" t="s">
        <v>1683</v>
      </c>
      <c r="B2344" s="4">
        <v>6.8</v>
      </c>
    </row>
    <row r="2345" customHeight="1" spans="1:2">
      <c r="A2345" s="3" t="s">
        <v>18991</v>
      </c>
      <c r="B2345" s="4">
        <v>4.7</v>
      </c>
    </row>
    <row r="2346" customHeight="1" spans="1:2">
      <c r="A2346" s="3" t="s">
        <v>22724</v>
      </c>
      <c r="B2346" s="4">
        <v>4</v>
      </c>
    </row>
    <row r="2347" customHeight="1" spans="1:2">
      <c r="A2347" s="3" t="s">
        <v>12629</v>
      </c>
      <c r="B2347" s="4">
        <v>5.9</v>
      </c>
    </row>
    <row r="2348" customHeight="1" spans="1:2">
      <c r="A2348" s="3" t="s">
        <v>12288</v>
      </c>
      <c r="B2348" s="4">
        <v>7.2</v>
      </c>
    </row>
    <row r="2349" customHeight="1" spans="1:2">
      <c r="A2349" s="3" t="s">
        <v>11514</v>
      </c>
      <c r="B2349" s="4">
        <v>5.8</v>
      </c>
    </row>
    <row r="2350" customHeight="1" spans="1:2">
      <c r="A2350" s="3" t="s">
        <v>4620</v>
      </c>
      <c r="B2350" s="4">
        <v>6.02</v>
      </c>
    </row>
    <row r="2351" customHeight="1" spans="1:2">
      <c r="A2351" s="3" t="s">
        <v>10019</v>
      </c>
      <c r="B2351" s="4">
        <v>7</v>
      </c>
    </row>
    <row r="2352" customHeight="1" spans="1:2">
      <c r="A2352" s="3" t="s">
        <v>5383</v>
      </c>
      <c r="B2352" s="4">
        <v>7.62857142857143</v>
      </c>
    </row>
    <row r="2353" customHeight="1" spans="1:2">
      <c r="A2353" s="3" t="s">
        <v>4022</v>
      </c>
      <c r="B2353" s="4">
        <v>6.6</v>
      </c>
    </row>
    <row r="2354" customHeight="1" spans="1:2">
      <c r="A2354" s="3" t="s">
        <v>6309</v>
      </c>
      <c r="B2354" s="4">
        <v>6</v>
      </c>
    </row>
    <row r="2355" customHeight="1" spans="1:2">
      <c r="A2355" s="3" t="s">
        <v>19470</v>
      </c>
      <c r="B2355" s="4">
        <v>6.6</v>
      </c>
    </row>
    <row r="2356" customHeight="1" spans="1:2">
      <c r="A2356" s="3" t="s">
        <v>13110</v>
      </c>
      <c r="B2356" s="4">
        <v>5.6</v>
      </c>
    </row>
    <row r="2357" customHeight="1" spans="1:2">
      <c r="A2357" s="3" t="s">
        <v>19530</v>
      </c>
      <c r="B2357" s="4">
        <v>5.3</v>
      </c>
    </row>
    <row r="2358" customHeight="1" spans="1:2">
      <c r="A2358" s="3" t="s">
        <v>1583</v>
      </c>
      <c r="B2358" s="4">
        <v>5.5</v>
      </c>
    </row>
    <row r="2359" customHeight="1" spans="1:2">
      <c r="A2359" s="3" t="s">
        <v>3733</v>
      </c>
      <c r="B2359" s="4">
        <v>6.3</v>
      </c>
    </row>
    <row r="2360" customHeight="1" spans="1:2">
      <c r="A2360" s="3" t="s">
        <v>8561</v>
      </c>
      <c r="B2360" s="4">
        <v>4.6</v>
      </c>
    </row>
    <row r="2361" customHeight="1" spans="1:2">
      <c r="A2361" s="3" t="s">
        <v>11911</v>
      </c>
      <c r="B2361" s="4">
        <v>5</v>
      </c>
    </row>
    <row r="2362" customHeight="1" spans="1:2">
      <c r="A2362" s="3" t="s">
        <v>14655</v>
      </c>
      <c r="B2362" s="4">
        <v>5.1</v>
      </c>
    </row>
    <row r="2363" customHeight="1" spans="1:2">
      <c r="A2363" s="3" t="s">
        <v>18496</v>
      </c>
      <c r="B2363" s="4">
        <v>5.4</v>
      </c>
    </row>
    <row r="2364" customHeight="1" spans="1:2">
      <c r="A2364" s="3" t="s">
        <v>12624</v>
      </c>
      <c r="B2364" s="4">
        <v>6.5</v>
      </c>
    </row>
    <row r="2365" customHeight="1" spans="1:2">
      <c r="A2365" s="3" t="s">
        <v>10984</v>
      </c>
      <c r="B2365" s="4">
        <v>5.1</v>
      </c>
    </row>
    <row r="2366" customHeight="1" spans="1:2">
      <c r="A2366" s="3" t="s">
        <v>21099</v>
      </c>
      <c r="B2366" s="4">
        <v>7.7</v>
      </c>
    </row>
    <row r="2367" customHeight="1" spans="1:2">
      <c r="A2367" s="3" t="s">
        <v>14003</v>
      </c>
      <c r="B2367" s="4">
        <v>5.6</v>
      </c>
    </row>
    <row r="2368" customHeight="1" spans="1:2">
      <c r="A2368" s="3" t="s">
        <v>23891</v>
      </c>
      <c r="B2368" s="4">
        <v>6.1</v>
      </c>
    </row>
    <row r="2369" customHeight="1" spans="1:2">
      <c r="A2369" s="3" t="s">
        <v>4734</v>
      </c>
      <c r="B2369" s="4">
        <v>7.01428571428571</v>
      </c>
    </row>
    <row r="2370" customHeight="1" spans="1:2">
      <c r="A2370" s="3" t="s">
        <v>22432</v>
      </c>
      <c r="B2370" s="4">
        <v>7.1</v>
      </c>
    </row>
    <row r="2371" customHeight="1" spans="1:2">
      <c r="A2371" s="3" t="s">
        <v>18054</v>
      </c>
      <c r="B2371" s="4">
        <v>7.5</v>
      </c>
    </row>
    <row r="2372" customHeight="1" spans="1:2">
      <c r="A2372" s="3" t="s">
        <v>17286</v>
      </c>
      <c r="B2372" s="4">
        <v>5.3</v>
      </c>
    </row>
    <row r="2373" customHeight="1" spans="1:2">
      <c r="A2373" s="3" t="s">
        <v>6789</v>
      </c>
      <c r="B2373" s="4">
        <v>4.45</v>
      </c>
    </row>
    <row r="2374" customHeight="1" spans="1:2">
      <c r="A2374" s="3" t="s">
        <v>15494</v>
      </c>
      <c r="B2374" s="4">
        <v>6.5</v>
      </c>
    </row>
    <row r="2375" customHeight="1" spans="1:2">
      <c r="A2375" s="3" t="s">
        <v>17413</v>
      </c>
      <c r="B2375" s="4">
        <v>3.4</v>
      </c>
    </row>
    <row r="2376" customHeight="1" spans="1:2">
      <c r="A2376" s="3" t="s">
        <v>8275</v>
      </c>
      <c r="B2376" s="4">
        <v>5.4</v>
      </c>
    </row>
    <row r="2377" customHeight="1" spans="1:2">
      <c r="A2377" s="3" t="s">
        <v>20069</v>
      </c>
      <c r="B2377" s="4">
        <v>8.1</v>
      </c>
    </row>
    <row r="2378" customHeight="1" spans="1:2">
      <c r="A2378" s="3" t="s">
        <v>7235</v>
      </c>
      <c r="B2378" s="4">
        <v>7.2</v>
      </c>
    </row>
    <row r="2379" customHeight="1" spans="1:2">
      <c r="A2379" s="3" t="s">
        <v>16945</v>
      </c>
      <c r="B2379" s="4">
        <v>7.7</v>
      </c>
    </row>
    <row r="2380" customHeight="1" spans="1:2">
      <c r="A2380" s="3" t="s">
        <v>711</v>
      </c>
      <c r="B2380" s="4">
        <v>6.85714285714286</v>
      </c>
    </row>
    <row r="2381" customHeight="1" spans="1:2">
      <c r="A2381" s="3" t="s">
        <v>4004</v>
      </c>
      <c r="B2381" s="4">
        <v>7.00909090909091</v>
      </c>
    </row>
    <row r="2382" customHeight="1" spans="1:2">
      <c r="A2382" s="3" t="s">
        <v>15888</v>
      </c>
      <c r="B2382" s="4">
        <v>7.2</v>
      </c>
    </row>
    <row r="2383" customHeight="1" spans="1:2">
      <c r="A2383" s="3" t="s">
        <v>3484</v>
      </c>
      <c r="B2383" s="4">
        <v>3.6</v>
      </c>
    </row>
    <row r="2384" customHeight="1" spans="1:2">
      <c r="A2384" s="3" t="s">
        <v>17869</v>
      </c>
      <c r="B2384" s="4">
        <v>7.2</v>
      </c>
    </row>
    <row r="2385" customHeight="1" spans="1:2">
      <c r="A2385" s="3" t="s">
        <v>12116</v>
      </c>
      <c r="B2385" s="4">
        <v>6.05</v>
      </c>
    </row>
    <row r="2386" customHeight="1" spans="1:2">
      <c r="A2386" s="3" t="s">
        <v>2965</v>
      </c>
      <c r="B2386" s="4">
        <v>6.8</v>
      </c>
    </row>
    <row r="2387" customHeight="1" spans="1:2">
      <c r="A2387" s="3" t="s">
        <v>15585</v>
      </c>
      <c r="B2387" s="4">
        <v>7.4</v>
      </c>
    </row>
    <row r="2388" customHeight="1" spans="1:2">
      <c r="A2388" s="3" t="s">
        <v>1940</v>
      </c>
      <c r="B2388" s="4">
        <v>7.0875</v>
      </c>
    </row>
    <row r="2389" customHeight="1" spans="1:2">
      <c r="A2389" s="3" t="s">
        <v>23009</v>
      </c>
      <c r="B2389" s="4">
        <v>7.3</v>
      </c>
    </row>
    <row r="2390" customHeight="1" spans="1:2">
      <c r="A2390" s="3" t="s">
        <v>19580</v>
      </c>
      <c r="B2390" s="4">
        <v>5.45</v>
      </c>
    </row>
    <row r="2391" customHeight="1" spans="1:2">
      <c r="A2391" s="3" t="s">
        <v>6992</v>
      </c>
      <c r="B2391" s="4">
        <v>6.4</v>
      </c>
    </row>
    <row r="2392" customHeight="1" spans="1:2">
      <c r="A2392" s="3" t="s">
        <v>17150</v>
      </c>
      <c r="B2392" s="4">
        <v>7.15</v>
      </c>
    </row>
    <row r="2393" customHeight="1" spans="1:2">
      <c r="A2393" s="3" t="s">
        <v>17143</v>
      </c>
      <c r="B2393" s="4">
        <v>5.1</v>
      </c>
    </row>
    <row r="2394" customHeight="1" spans="1:2">
      <c r="A2394" s="3" t="s">
        <v>112</v>
      </c>
      <c r="B2394" s="4">
        <v>7.175</v>
      </c>
    </row>
    <row r="2395" customHeight="1" spans="1:2">
      <c r="A2395" s="3" t="s">
        <v>756</v>
      </c>
      <c r="B2395" s="4">
        <v>4</v>
      </c>
    </row>
    <row r="2396" customHeight="1" spans="1:2">
      <c r="A2396" s="3" t="s">
        <v>19962</v>
      </c>
      <c r="B2396" s="4">
        <v>5</v>
      </c>
    </row>
    <row r="2397" customHeight="1" spans="1:2">
      <c r="A2397" s="3" t="s">
        <v>21117</v>
      </c>
      <c r="B2397" s="4">
        <v>6.6</v>
      </c>
    </row>
    <row r="2398" customHeight="1" spans="1:2">
      <c r="A2398" s="3" t="s">
        <v>16917</v>
      </c>
      <c r="B2398" s="4">
        <v>6.8</v>
      </c>
    </row>
    <row r="2399" customHeight="1" spans="1:2">
      <c r="A2399" s="3" t="s">
        <v>23331</v>
      </c>
      <c r="B2399" s="4">
        <v>7.1</v>
      </c>
    </row>
    <row r="2400" customHeight="1" spans="1:2">
      <c r="A2400" s="6" t="s">
        <v>24167</v>
      </c>
      <c r="B2400" s="7">
        <v>7.54807692307692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67"/>
  <sheetViews>
    <sheetView showGridLines="0" workbookViewId="0">
      <selection activeCell="A1" sqref="A1"/>
    </sheetView>
  </sheetViews>
  <sheetFormatPr defaultColWidth="12.6296296296296" defaultRowHeight="15.75" customHeight="1" outlineLevelCol="1"/>
  <cols>
    <col min="2" max="2" width="18.25" customWidth="1"/>
  </cols>
  <sheetData>
    <row r="1" customHeight="1" spans="1:2">
      <c r="A1" s="1" t="s">
        <v>20</v>
      </c>
      <c r="B1" s="2" t="s">
        <v>24162</v>
      </c>
    </row>
    <row r="2" customHeight="1" spans="1:2">
      <c r="A2" s="1" t="s">
        <v>22556</v>
      </c>
      <c r="B2" s="2">
        <v>1</v>
      </c>
    </row>
    <row r="3" customHeight="1" spans="1:2">
      <c r="A3" s="3" t="s">
        <v>18942</v>
      </c>
      <c r="B3" s="4">
        <v>4</v>
      </c>
    </row>
    <row r="4" customHeight="1" spans="1:2">
      <c r="A4" s="3" t="s">
        <v>7665</v>
      </c>
      <c r="B4" s="4">
        <v>1</v>
      </c>
    </row>
    <row r="5" customHeight="1" spans="1:2">
      <c r="A5" s="3" t="s">
        <v>371</v>
      </c>
      <c r="B5" s="4">
        <v>55</v>
      </c>
    </row>
    <row r="6" customHeight="1" spans="1:2">
      <c r="A6" s="3" t="s">
        <v>18074</v>
      </c>
      <c r="B6" s="4">
        <v>1</v>
      </c>
    </row>
    <row r="7" customHeight="1" spans="1:2">
      <c r="A7" s="3" t="s">
        <v>585</v>
      </c>
      <c r="B7" s="4">
        <v>4</v>
      </c>
    </row>
    <row r="8" customHeight="1" spans="1:2">
      <c r="A8" s="3" t="s">
        <v>16841</v>
      </c>
      <c r="B8" s="4">
        <v>8</v>
      </c>
    </row>
    <row r="9" customHeight="1" spans="1:2">
      <c r="A9" s="3" t="s">
        <v>13299</v>
      </c>
      <c r="B9" s="4">
        <v>1</v>
      </c>
    </row>
    <row r="10" customHeight="1" spans="1:2">
      <c r="A10" s="3" t="s">
        <v>13206</v>
      </c>
      <c r="B10" s="4">
        <v>1</v>
      </c>
    </row>
    <row r="11" customHeight="1" spans="1:2">
      <c r="A11" s="3" t="s">
        <v>23070</v>
      </c>
      <c r="B11" s="4">
        <v>1</v>
      </c>
    </row>
    <row r="12" customHeight="1" spans="1:2">
      <c r="A12" s="3" t="s">
        <v>269</v>
      </c>
      <c r="B12" s="4">
        <v>126</v>
      </c>
    </row>
    <row r="13" customHeight="1" spans="1:2">
      <c r="A13" s="3" t="s">
        <v>9884</v>
      </c>
      <c r="B13" s="4">
        <v>1</v>
      </c>
    </row>
    <row r="14" customHeight="1" spans="1:2">
      <c r="A14" s="3" t="s">
        <v>893</v>
      </c>
      <c r="B14" s="4">
        <v>30</v>
      </c>
    </row>
    <row r="15" customHeight="1" spans="1:2">
      <c r="A15" s="3" t="s">
        <v>19145</v>
      </c>
      <c r="B15" s="4">
        <v>1</v>
      </c>
    </row>
    <row r="16" customHeight="1" spans="1:2">
      <c r="A16" s="3" t="s">
        <v>5561</v>
      </c>
      <c r="B16" s="4">
        <v>3</v>
      </c>
    </row>
    <row r="17" customHeight="1" spans="1:2">
      <c r="A17" s="3" t="s">
        <v>7712</v>
      </c>
      <c r="B17" s="4">
        <v>11</v>
      </c>
    </row>
    <row r="18" customHeight="1" spans="1:2">
      <c r="A18" s="3" t="s">
        <v>22723</v>
      </c>
      <c r="B18" s="4">
        <v>1</v>
      </c>
    </row>
    <row r="19" customHeight="1" spans="1:2">
      <c r="A19" s="3" t="s">
        <v>20627</v>
      </c>
      <c r="B19" s="4">
        <v>1</v>
      </c>
    </row>
    <row r="20" customHeight="1" spans="1:2">
      <c r="A20" s="3" t="s">
        <v>17452</v>
      </c>
      <c r="B20" s="4">
        <v>1</v>
      </c>
    </row>
    <row r="21" customHeight="1" spans="1:2">
      <c r="A21" s="3" t="s">
        <v>1466</v>
      </c>
      <c r="B21" s="4">
        <v>154</v>
      </c>
    </row>
    <row r="22" customHeight="1" spans="1:2">
      <c r="A22" s="3" t="s">
        <v>14431</v>
      </c>
      <c r="B22" s="4">
        <v>1</v>
      </c>
    </row>
    <row r="23" customHeight="1" spans="1:2">
      <c r="A23" s="3" t="s">
        <v>768</v>
      </c>
      <c r="B23" s="4">
        <v>97</v>
      </c>
    </row>
    <row r="24" customHeight="1" spans="1:2">
      <c r="A24" s="3" t="s">
        <v>12005</v>
      </c>
      <c r="B24" s="4">
        <v>2</v>
      </c>
    </row>
    <row r="25" customHeight="1" spans="1:2">
      <c r="A25" s="3" t="s">
        <v>3860</v>
      </c>
      <c r="B25" s="4">
        <v>17</v>
      </c>
    </row>
    <row r="26" customHeight="1" spans="1:2">
      <c r="A26" s="3" t="s">
        <v>10983</v>
      </c>
      <c r="B26" s="4">
        <v>2</v>
      </c>
    </row>
    <row r="27" customHeight="1" spans="1:2">
      <c r="A27" s="3" t="s">
        <v>8651</v>
      </c>
      <c r="B27" s="4">
        <v>3</v>
      </c>
    </row>
    <row r="28" customHeight="1" spans="1:2">
      <c r="A28" s="3" t="s">
        <v>5613</v>
      </c>
      <c r="B28" s="4">
        <v>34</v>
      </c>
    </row>
    <row r="29" customHeight="1" spans="1:2">
      <c r="A29" s="3" t="s">
        <v>21474</v>
      </c>
      <c r="B29" s="4">
        <v>1</v>
      </c>
    </row>
    <row r="30" customHeight="1" spans="1:2">
      <c r="A30" s="3" t="s">
        <v>13548</v>
      </c>
      <c r="B30" s="4">
        <v>4</v>
      </c>
    </row>
    <row r="31" customHeight="1" spans="1:2">
      <c r="A31" s="3" t="s">
        <v>7988</v>
      </c>
      <c r="B31" s="4">
        <v>12</v>
      </c>
    </row>
    <row r="32" customHeight="1" spans="1:2">
      <c r="A32" s="3" t="s">
        <v>20302</v>
      </c>
      <c r="B32" s="4">
        <v>4</v>
      </c>
    </row>
    <row r="33" customHeight="1" spans="1:2">
      <c r="A33" s="3" t="s">
        <v>7091</v>
      </c>
      <c r="B33" s="4">
        <v>23</v>
      </c>
    </row>
    <row r="34" customHeight="1" spans="1:2">
      <c r="A34" s="3" t="s">
        <v>678</v>
      </c>
      <c r="B34" s="4">
        <v>23</v>
      </c>
    </row>
    <row r="35" customHeight="1" spans="1:2">
      <c r="A35" s="3" t="s">
        <v>24044</v>
      </c>
      <c r="B35" s="4">
        <v>1</v>
      </c>
    </row>
    <row r="36" customHeight="1" spans="1:2">
      <c r="A36" s="3" t="s">
        <v>21199</v>
      </c>
      <c r="B36" s="4">
        <v>1</v>
      </c>
    </row>
    <row r="37" customHeight="1" spans="1:2">
      <c r="A37" s="3" t="s">
        <v>7721</v>
      </c>
      <c r="B37" s="4">
        <v>1</v>
      </c>
    </row>
    <row r="38" customHeight="1" spans="1:2">
      <c r="A38" s="3" t="s">
        <v>2914</v>
      </c>
      <c r="B38" s="4">
        <v>17</v>
      </c>
    </row>
    <row r="39" customHeight="1" spans="1:2">
      <c r="A39" s="3" t="s">
        <v>10492</v>
      </c>
      <c r="B39" s="4">
        <v>5</v>
      </c>
    </row>
    <row r="40" customHeight="1" spans="1:2">
      <c r="A40" s="3" t="s">
        <v>1687</v>
      </c>
      <c r="B40" s="4">
        <v>1</v>
      </c>
    </row>
    <row r="41" customHeight="1" spans="1:2">
      <c r="A41" s="3" t="s">
        <v>180</v>
      </c>
      <c r="B41" s="4">
        <v>15</v>
      </c>
    </row>
    <row r="42" customHeight="1" spans="1:2">
      <c r="A42" s="3" t="s">
        <v>16402</v>
      </c>
      <c r="B42" s="4">
        <v>1</v>
      </c>
    </row>
    <row r="43" customHeight="1" spans="1:2">
      <c r="A43" s="3" t="s">
        <v>12617</v>
      </c>
      <c r="B43" s="4">
        <v>8</v>
      </c>
    </row>
    <row r="44" customHeight="1" spans="1:2">
      <c r="A44" s="3" t="s">
        <v>12954</v>
      </c>
      <c r="B44" s="4">
        <v>1</v>
      </c>
    </row>
    <row r="45" customHeight="1" spans="1:2">
      <c r="A45" s="3" t="s">
        <v>21897</v>
      </c>
      <c r="B45" s="4">
        <v>1</v>
      </c>
    </row>
    <row r="46" customHeight="1" spans="1:2">
      <c r="A46" s="3" t="s">
        <v>11537</v>
      </c>
      <c r="B46" s="4">
        <v>1</v>
      </c>
    </row>
    <row r="47" customHeight="1" spans="1:2">
      <c r="A47" s="3" t="s">
        <v>5812</v>
      </c>
      <c r="B47" s="4">
        <v>1</v>
      </c>
    </row>
    <row r="48" customHeight="1" spans="1:2">
      <c r="A48" s="3" t="s">
        <v>24117</v>
      </c>
      <c r="B48" s="4">
        <v>1</v>
      </c>
    </row>
    <row r="49" customHeight="1" spans="1:2">
      <c r="A49" s="3" t="s">
        <v>13607</v>
      </c>
      <c r="B49" s="4">
        <v>5</v>
      </c>
    </row>
    <row r="50" customHeight="1" spans="1:2">
      <c r="A50" s="3" t="s">
        <v>8820</v>
      </c>
      <c r="B50" s="4">
        <v>4</v>
      </c>
    </row>
    <row r="51" customHeight="1" spans="1:2">
      <c r="A51" s="3" t="s">
        <v>7171</v>
      </c>
      <c r="B51" s="4">
        <v>11</v>
      </c>
    </row>
    <row r="52" customHeight="1" spans="1:2">
      <c r="A52" s="3" t="s">
        <v>13290</v>
      </c>
      <c r="B52" s="4">
        <v>1</v>
      </c>
    </row>
    <row r="53" customHeight="1" spans="1:2">
      <c r="A53" s="3" t="s">
        <v>22475</v>
      </c>
      <c r="B53" s="4">
        <v>1</v>
      </c>
    </row>
    <row r="54" customHeight="1" spans="1:2">
      <c r="A54" s="3" t="s">
        <v>8145</v>
      </c>
      <c r="B54" s="4">
        <v>8</v>
      </c>
    </row>
    <row r="55" customHeight="1" spans="1:2">
      <c r="A55" s="3" t="s">
        <v>5695</v>
      </c>
      <c r="B55" s="4">
        <v>14</v>
      </c>
    </row>
    <row r="56" customHeight="1" spans="1:2">
      <c r="A56" s="3" t="s">
        <v>5643</v>
      </c>
      <c r="B56" s="4">
        <v>1</v>
      </c>
    </row>
    <row r="57" customHeight="1" spans="1:2">
      <c r="A57" s="3" t="s">
        <v>3572</v>
      </c>
      <c r="B57" s="4">
        <v>33</v>
      </c>
    </row>
    <row r="58" customHeight="1" spans="1:2">
      <c r="A58" s="3" t="s">
        <v>12474</v>
      </c>
      <c r="B58" s="4">
        <v>6</v>
      </c>
    </row>
    <row r="59" customHeight="1" spans="1:2">
      <c r="A59" s="3" t="s">
        <v>8747</v>
      </c>
      <c r="B59" s="4">
        <v>3</v>
      </c>
    </row>
    <row r="60" customHeight="1" spans="1:2">
      <c r="A60" s="3" t="s">
        <v>12667</v>
      </c>
      <c r="B60" s="4">
        <v>2</v>
      </c>
    </row>
    <row r="61" customHeight="1" spans="1:2">
      <c r="A61" s="3" t="s">
        <v>13248</v>
      </c>
      <c r="B61" s="4">
        <v>5</v>
      </c>
    </row>
    <row r="62" customHeight="1" spans="1:2">
      <c r="A62" s="3" t="s">
        <v>15951</v>
      </c>
      <c r="B62" s="4">
        <v>1</v>
      </c>
    </row>
    <row r="63" customHeight="1" spans="1:2">
      <c r="A63" s="3" t="s">
        <v>58</v>
      </c>
      <c r="B63" s="4">
        <v>448</v>
      </c>
    </row>
    <row r="64" customHeight="1" spans="1:2">
      <c r="A64" s="3" t="s">
        <v>23649</v>
      </c>
      <c r="B64" s="4">
        <v>1</v>
      </c>
    </row>
    <row r="65" customHeight="1" spans="1:2">
      <c r="A65" s="3" t="s">
        <v>40</v>
      </c>
      <c r="B65" s="4">
        <v>3807</v>
      </c>
    </row>
    <row r="66" customHeight="1" spans="1:2">
      <c r="A66" s="3" t="s">
        <v>9140</v>
      </c>
      <c r="B66" s="4">
        <v>3</v>
      </c>
    </row>
    <row r="67" customHeight="1" spans="1:2">
      <c r="A67" s="6" t="s">
        <v>24167</v>
      </c>
      <c r="B67" s="7">
        <v>5</v>
      </c>
    </row>
  </sheetData>
  <pageMargins left="0.75" right="0.75" top="1" bottom="1" header="0.5" footer="0.5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4"/>
  <sheetViews>
    <sheetView showGridLines="0" workbookViewId="0">
      <selection activeCell="A1" sqref="A1"/>
    </sheetView>
  </sheetViews>
  <sheetFormatPr defaultColWidth="12.6296296296296" defaultRowHeight="15.75" customHeight="1" outlineLevelRow="3" outlineLevelCol="1"/>
  <cols>
    <col min="1" max="1" width="18.25" customWidth="1"/>
  </cols>
  <sheetData>
    <row r="1" customHeight="1" spans="1:2">
      <c r="A1" s="8" t="s">
        <v>21</v>
      </c>
      <c r="B1" s="8" t="s">
        <v>24170</v>
      </c>
    </row>
    <row r="3" customHeight="1" spans="1:1">
      <c r="A3" s="2" t="s">
        <v>24162</v>
      </c>
    </row>
    <row r="4" customHeight="1" spans="1:1">
      <c r="A4" s="8">
        <v>5043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2"/>
  <sheetViews>
    <sheetView showGridLines="0" workbookViewId="0">
      <selection activeCell="A1" sqref="A1"/>
    </sheetView>
  </sheetViews>
  <sheetFormatPr defaultColWidth="12.6296296296296" defaultRowHeight="15.75" customHeight="1" outlineLevelRow="1"/>
  <cols>
    <col min="1" max="1" width="18.25" customWidth="1"/>
  </cols>
  <sheetData>
    <row r="1" customHeight="1" spans="1:1">
      <c r="A1" s="2" t="s">
        <v>24162</v>
      </c>
    </row>
    <row r="2" customHeight="1" spans="1:1">
      <c r="A2" s="8">
        <v>5043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6257"/>
  <sheetViews>
    <sheetView showGridLines="0" workbookViewId="0">
      <selection activeCell="A1" sqref="A1"/>
    </sheetView>
  </sheetViews>
  <sheetFormatPr defaultColWidth="12.6296296296296" defaultRowHeight="15.75" customHeight="1"/>
  <sheetData>
    <row r="1" customHeight="1" spans="1:2">
      <c r="A1" s="1" t="s">
        <v>29</v>
      </c>
      <c r="B1" s="2" t="s">
        <v>24165</v>
      </c>
    </row>
    <row r="2" customHeight="1" spans="1:2">
      <c r="A2" s="1" t="s">
        <v>3526</v>
      </c>
      <c r="B2" s="2">
        <v>28837115</v>
      </c>
    </row>
    <row r="3" customHeight="1" spans="1:2">
      <c r="A3" s="3" t="s">
        <v>19336</v>
      </c>
      <c r="B3" s="4">
        <v>5739376</v>
      </c>
    </row>
    <row r="4" customHeight="1" spans="1:11">
      <c r="A4" s="3" t="s">
        <v>398</v>
      </c>
      <c r="B4" s="4">
        <v>114053579</v>
      </c>
      <c r="J4" s="5" t="str">
        <f>IFERROR(__xludf.DUMMYFUNCTION("QUERY(A2:B6257,""SELECT A,B LIMIT 5"")"),"CCH Pounder")</f>
        <v>CCH Pounder</v>
      </c>
      <c r="K4" s="5">
        <f>IFERROR(__xludf.DUMMYFUNCTION("""COMPUTED_VALUE"""),760505847)</f>
        <v>760505847</v>
      </c>
    </row>
    <row r="5" customHeight="1" spans="1:11">
      <c r="A5" s="3" t="s">
        <v>23800</v>
      </c>
      <c r="B5" s="4"/>
      <c r="J5" s="5" t="str">
        <f>IFERROR(__xludf.DUMMYFUNCTION("""COMPUTED_VALUE"""),"Scarlett Johansson")</f>
        <v>Scarlett Johansson</v>
      </c>
      <c r="K5" s="5">
        <f>IFERROR(__xludf.DUMMYFUNCTION("""COMPUTED_VALUE"""),658672302)</f>
        <v>658672302</v>
      </c>
    </row>
    <row r="6" customHeight="1" spans="1:11">
      <c r="A6" s="3" t="s">
        <v>10173</v>
      </c>
      <c r="B6" s="4">
        <v>73326666</v>
      </c>
      <c r="J6" s="5" t="str">
        <f>IFERROR(__xludf.DUMMYFUNCTION("""COMPUTED_VALUE"""),"Rupert Grint")</f>
        <v>Rupert Grint</v>
      </c>
      <c r="K6" s="5">
        <f>IFERROR(__xludf.DUMMYFUNCTION("""COMPUTED_VALUE"""),652177271)</f>
        <v>652177271</v>
      </c>
    </row>
    <row r="7" customHeight="1" spans="1:11">
      <c r="A7" s="3" t="s">
        <v>7486</v>
      </c>
      <c r="B7" s="4"/>
      <c r="J7" s="5" t="str">
        <f>IFERROR(__xludf.DUMMYFUNCTION("""COMPUTED_VALUE"""),"Roger Rees")</f>
        <v>Roger Rees</v>
      </c>
      <c r="K7" s="5">
        <f>IFERROR(__xludf.DUMMYFUNCTION("""COMPUTED_VALUE"""),623279547)</f>
        <v>623279547</v>
      </c>
    </row>
    <row r="8" customHeight="1" spans="1:11">
      <c r="A8" s="3" t="s">
        <v>11493</v>
      </c>
      <c r="B8" s="4">
        <v>1110186</v>
      </c>
      <c r="J8" s="5" t="str">
        <f>IFERROR(__xludf.DUMMYFUNCTION("""COMPUTED_VALUE"""),"Polly Walker")</f>
        <v>Polly Walker</v>
      </c>
      <c r="K8" s="5">
        <f>IFERROR(__xludf.DUMMYFUNCTION("""COMPUTED_VALUE"""),623279547)</f>
        <v>623279547</v>
      </c>
    </row>
    <row r="9" customHeight="1" spans="1:2">
      <c r="A9" s="3" t="s">
        <v>5376</v>
      </c>
      <c r="B9" s="4">
        <v>2221994</v>
      </c>
    </row>
    <row r="10" customHeight="1" spans="1:2">
      <c r="A10" s="3" t="s">
        <v>18587</v>
      </c>
      <c r="B10" s="4">
        <v>17986000</v>
      </c>
    </row>
    <row r="11" customHeight="1" spans="1:2">
      <c r="A11" s="3" t="s">
        <v>4419</v>
      </c>
      <c r="B11" s="4">
        <v>36283504</v>
      </c>
    </row>
    <row r="12" customHeight="1" spans="1:2">
      <c r="A12" s="3" t="s">
        <v>1288</v>
      </c>
      <c r="B12" s="4">
        <v>127706877</v>
      </c>
    </row>
    <row r="13" customHeight="1" spans="1:2">
      <c r="A13" s="3" t="s">
        <v>9652</v>
      </c>
      <c r="B13" s="4">
        <v>41777564</v>
      </c>
    </row>
    <row r="14" customHeight="1" spans="1:2">
      <c r="A14" s="3" t="s">
        <v>6862</v>
      </c>
      <c r="B14" s="4"/>
    </row>
    <row r="15" customHeight="1" spans="1:2">
      <c r="A15" s="3" t="s">
        <v>21776</v>
      </c>
      <c r="B15" s="4"/>
    </row>
    <row r="16" customHeight="1" spans="1:2">
      <c r="A16" s="3" t="s">
        <v>916</v>
      </c>
      <c r="B16" s="4">
        <v>89296573</v>
      </c>
    </row>
    <row r="17" customHeight="1" spans="1:2">
      <c r="A17" s="3" t="s">
        <v>1402</v>
      </c>
      <c r="B17" s="4">
        <v>33048353</v>
      </c>
    </row>
    <row r="18" customHeight="1" spans="1:2">
      <c r="A18" s="3" t="s">
        <v>22505</v>
      </c>
      <c r="B18" s="4"/>
    </row>
    <row r="19" customHeight="1" spans="1:2">
      <c r="A19" s="3" t="s">
        <v>17085</v>
      </c>
      <c r="B19" s="4"/>
    </row>
    <row r="20" customHeight="1" spans="1:2">
      <c r="A20" s="3" t="s">
        <v>17517</v>
      </c>
      <c r="B20" s="4">
        <v>7002255</v>
      </c>
    </row>
    <row r="21" customHeight="1" spans="1:2">
      <c r="A21" s="3" t="s">
        <v>23539</v>
      </c>
      <c r="B21" s="4"/>
    </row>
    <row r="22" customHeight="1" spans="1:2">
      <c r="A22" s="3" t="s">
        <v>3745</v>
      </c>
      <c r="B22" s="4">
        <v>71277420</v>
      </c>
    </row>
    <row r="23" customHeight="1" spans="1:2">
      <c r="A23" s="3" t="s">
        <v>616</v>
      </c>
      <c r="B23" s="4">
        <v>305388685</v>
      </c>
    </row>
    <row r="24" customHeight="1" spans="1:2">
      <c r="A24" s="3" t="s">
        <v>22825</v>
      </c>
      <c r="B24" s="4"/>
    </row>
    <row r="25" customHeight="1" spans="1:2">
      <c r="A25" s="3" t="s">
        <v>4652</v>
      </c>
      <c r="B25" s="4">
        <v>128978</v>
      </c>
    </row>
    <row r="26" customHeight="1" spans="1:2">
      <c r="A26" s="3" t="s">
        <v>3083</v>
      </c>
      <c r="B26" s="4">
        <v>118683135</v>
      </c>
    </row>
    <row r="27" customHeight="1" spans="1:2">
      <c r="A27" s="3" t="s">
        <v>1523</v>
      </c>
      <c r="B27" s="4">
        <v>76081498</v>
      </c>
    </row>
    <row r="28" customHeight="1" spans="1:2">
      <c r="A28" s="3" t="s">
        <v>12221</v>
      </c>
      <c r="B28" s="4">
        <v>138339411</v>
      </c>
    </row>
    <row r="29" customHeight="1" spans="1:2">
      <c r="A29" s="3" t="s">
        <v>175</v>
      </c>
      <c r="B29" s="4">
        <v>90755643</v>
      </c>
    </row>
    <row r="30" customHeight="1" spans="1:2">
      <c r="A30" s="3" t="s">
        <v>17501</v>
      </c>
      <c r="B30" s="4">
        <v>12555230</v>
      </c>
    </row>
    <row r="31" customHeight="1" spans="1:2">
      <c r="A31" s="3" t="s">
        <v>21011</v>
      </c>
      <c r="B31" s="4"/>
    </row>
    <row r="32" customHeight="1" spans="1:2">
      <c r="A32" s="3" t="s">
        <v>13009</v>
      </c>
      <c r="B32" s="4"/>
    </row>
    <row r="33" customHeight="1" spans="1:2">
      <c r="A33" s="3" t="s">
        <v>21130</v>
      </c>
      <c r="B33" s="4"/>
    </row>
    <row r="34" customHeight="1" spans="1:2">
      <c r="A34" s="3" t="s">
        <v>5626</v>
      </c>
      <c r="B34" s="4">
        <v>32701088</v>
      </c>
    </row>
    <row r="35" customHeight="1" spans="1:2">
      <c r="A35" s="3" t="s">
        <v>2866</v>
      </c>
      <c r="B35" s="4">
        <v>162586036</v>
      </c>
    </row>
    <row r="36" customHeight="1" spans="1:2">
      <c r="A36" s="3" t="s">
        <v>18472</v>
      </c>
      <c r="B36" s="4"/>
    </row>
    <row r="37" customHeight="1" spans="1:2">
      <c r="A37" s="3" t="s">
        <v>12771</v>
      </c>
      <c r="B37" s="4">
        <v>447093</v>
      </c>
    </row>
    <row r="38" customHeight="1" spans="1:2">
      <c r="A38" s="3" t="s">
        <v>2884</v>
      </c>
      <c r="B38" s="4">
        <v>63408614</v>
      </c>
    </row>
    <row r="39" customHeight="1" spans="1:2">
      <c r="A39" s="3" t="s">
        <v>20653</v>
      </c>
      <c r="B39" s="4"/>
    </row>
    <row r="40" customHeight="1" spans="1:2">
      <c r="A40" s="3" t="s">
        <v>23744</v>
      </c>
      <c r="B40" s="4"/>
    </row>
    <row r="41" customHeight="1" spans="1:2">
      <c r="A41" s="3" t="s">
        <v>12538</v>
      </c>
      <c r="B41" s="4"/>
    </row>
    <row r="42" customHeight="1" spans="1:2">
      <c r="A42" s="3" t="s">
        <v>2180</v>
      </c>
      <c r="B42" s="4">
        <v>182204440</v>
      </c>
    </row>
    <row r="43" customHeight="1" spans="1:2">
      <c r="A43" s="3" t="s">
        <v>1545</v>
      </c>
      <c r="B43" s="4">
        <v>69102910</v>
      </c>
    </row>
    <row r="44" customHeight="1" spans="1:2">
      <c r="A44" s="3" t="s">
        <v>20172</v>
      </c>
      <c r="B44" s="4"/>
    </row>
    <row r="45" customHeight="1" spans="1:2">
      <c r="A45" s="3" t="s">
        <v>20838</v>
      </c>
      <c r="B45" s="4"/>
    </row>
    <row r="46" customHeight="1" spans="1:2">
      <c r="A46" s="3" t="s">
        <v>19204</v>
      </c>
      <c r="B46" s="4">
        <v>3278611</v>
      </c>
    </row>
    <row r="47" customHeight="1" spans="1:2">
      <c r="A47" s="3" t="s">
        <v>11996</v>
      </c>
      <c r="B47" s="4">
        <v>39025000</v>
      </c>
    </row>
    <row r="48" customHeight="1" spans="1:2">
      <c r="A48" s="3" t="s">
        <v>4146</v>
      </c>
      <c r="B48" s="4">
        <v>126546825</v>
      </c>
    </row>
    <row r="49" customHeight="1" spans="1:2">
      <c r="A49" s="3" t="s">
        <v>15927</v>
      </c>
      <c r="B49" s="4">
        <v>26345</v>
      </c>
    </row>
    <row r="50" customHeight="1" spans="1:2">
      <c r="A50" s="3" t="s">
        <v>17792</v>
      </c>
      <c r="B50" s="4">
        <v>2436</v>
      </c>
    </row>
    <row r="51" customHeight="1" spans="1:2">
      <c r="A51" s="3" t="s">
        <v>2775</v>
      </c>
      <c r="B51" s="4">
        <v>60128566</v>
      </c>
    </row>
    <row r="52" customHeight="1" spans="1:2">
      <c r="A52" s="3" t="s">
        <v>19060</v>
      </c>
      <c r="B52" s="4"/>
    </row>
    <row r="53" customHeight="1" spans="1:2">
      <c r="A53" s="3" t="s">
        <v>15437</v>
      </c>
      <c r="B53" s="4"/>
    </row>
    <row r="54" customHeight="1" spans="1:2">
      <c r="A54" s="3" t="s">
        <v>3762</v>
      </c>
      <c r="B54" s="4">
        <v>60786269</v>
      </c>
    </row>
    <row r="55" customHeight="1" spans="1:2">
      <c r="A55" s="3" t="s">
        <v>2115</v>
      </c>
      <c r="B55" s="4">
        <v>617840</v>
      </c>
    </row>
    <row r="56" customHeight="1" spans="1:2">
      <c r="A56" s="3" t="s">
        <v>12657</v>
      </c>
      <c r="B56" s="4">
        <v>7764027</v>
      </c>
    </row>
    <row r="57" customHeight="1" spans="1:2">
      <c r="A57" s="3" t="s">
        <v>13008</v>
      </c>
      <c r="B57" s="4">
        <v>11835</v>
      </c>
    </row>
    <row r="58" customHeight="1" spans="1:2">
      <c r="A58" s="3" t="s">
        <v>18662</v>
      </c>
      <c r="B58" s="4">
        <v>7186670</v>
      </c>
    </row>
    <row r="59" customHeight="1" spans="1:2">
      <c r="A59" s="3" t="s">
        <v>21100</v>
      </c>
      <c r="B59" s="4"/>
    </row>
    <row r="60" customHeight="1" spans="1:2">
      <c r="A60" s="3" t="s">
        <v>15287</v>
      </c>
      <c r="B60" s="4"/>
    </row>
    <row r="61" customHeight="1" spans="1:2">
      <c r="A61" s="3" t="s">
        <v>4328</v>
      </c>
      <c r="B61" s="4">
        <v>57011847</v>
      </c>
    </row>
    <row r="62" customHeight="1" spans="1:2">
      <c r="A62" s="3" t="s">
        <v>5921</v>
      </c>
      <c r="B62" s="4">
        <v>56816662</v>
      </c>
    </row>
    <row r="63" customHeight="1" spans="1:2">
      <c r="A63" s="3" t="s">
        <v>2499</v>
      </c>
      <c r="B63" s="4">
        <v>55994557</v>
      </c>
    </row>
    <row r="64" customHeight="1" spans="1:2">
      <c r="A64" s="3" t="s">
        <v>21823</v>
      </c>
      <c r="B64" s="4"/>
    </row>
    <row r="65" customHeight="1" spans="1:2">
      <c r="A65" s="3" t="s">
        <v>21231</v>
      </c>
      <c r="B65" s="4"/>
    </row>
    <row r="66" customHeight="1" spans="1:2">
      <c r="A66" s="3" t="s">
        <v>15427</v>
      </c>
      <c r="B66" s="4">
        <v>12055108</v>
      </c>
    </row>
    <row r="67" customHeight="1" spans="1:2">
      <c r="A67" s="3" t="s">
        <v>19121</v>
      </c>
      <c r="B67" s="4">
        <v>115000000</v>
      </c>
    </row>
    <row r="68" customHeight="1" spans="1:2">
      <c r="A68" s="3" t="s">
        <v>19753</v>
      </c>
      <c r="B68" s="4">
        <v>2468</v>
      </c>
    </row>
    <row r="69" customHeight="1" spans="1:2">
      <c r="A69" s="3" t="s">
        <v>19752</v>
      </c>
      <c r="B69" s="4"/>
    </row>
    <row r="70" customHeight="1" spans="1:2">
      <c r="A70" s="3" t="s">
        <v>5330</v>
      </c>
      <c r="B70" s="4">
        <v>11405825</v>
      </c>
    </row>
    <row r="71" customHeight="1" spans="1:2">
      <c r="A71" s="3" t="s">
        <v>2745</v>
      </c>
      <c r="B71" s="4">
        <v>12065985</v>
      </c>
    </row>
    <row r="72" customHeight="1" spans="1:2">
      <c r="A72" s="3" t="s">
        <v>9422</v>
      </c>
      <c r="B72" s="4">
        <v>13362308</v>
      </c>
    </row>
    <row r="73" customHeight="1" spans="1:2">
      <c r="A73" s="3" t="s">
        <v>16821</v>
      </c>
      <c r="B73" s="4">
        <v>7888703</v>
      </c>
    </row>
    <row r="74" customHeight="1" spans="1:2">
      <c r="A74" s="3" t="s">
        <v>23138</v>
      </c>
      <c r="B74" s="4"/>
    </row>
    <row r="75" customHeight="1" spans="1:2">
      <c r="A75" s="3" t="s">
        <v>20623</v>
      </c>
      <c r="B75" s="4"/>
    </row>
    <row r="76" customHeight="1" spans="1:2">
      <c r="A76" s="3" t="s">
        <v>21769</v>
      </c>
      <c r="B76" s="4"/>
    </row>
    <row r="77" customHeight="1" spans="1:2">
      <c r="A77" s="3" t="s">
        <v>22078</v>
      </c>
      <c r="B77" s="4"/>
    </row>
    <row r="78" customHeight="1" spans="1:2">
      <c r="A78" s="3" t="s">
        <v>9383</v>
      </c>
      <c r="B78" s="4">
        <v>15155772</v>
      </c>
    </row>
    <row r="79" customHeight="1" spans="1:2">
      <c r="A79" s="3" t="s">
        <v>14312</v>
      </c>
      <c r="B79" s="4">
        <v>7455447</v>
      </c>
    </row>
    <row r="80" customHeight="1" spans="1:2">
      <c r="A80" s="3" t="s">
        <v>20624</v>
      </c>
      <c r="B80" s="4"/>
    </row>
    <row r="81" customHeight="1" spans="1:2">
      <c r="A81" s="3" t="s">
        <v>18690</v>
      </c>
      <c r="B81" s="4">
        <v>3122616</v>
      </c>
    </row>
    <row r="82" customHeight="1" spans="1:2">
      <c r="A82" s="3" t="s">
        <v>3557</v>
      </c>
      <c r="B82" s="4">
        <v>124107476</v>
      </c>
    </row>
    <row r="83" customHeight="1" spans="1:2">
      <c r="A83" s="3" t="s">
        <v>10007</v>
      </c>
      <c r="B83" s="4"/>
    </row>
    <row r="84" customHeight="1" spans="1:2">
      <c r="A84" s="3" t="s">
        <v>6446</v>
      </c>
      <c r="B84" s="4">
        <v>67266300</v>
      </c>
    </row>
    <row r="85" customHeight="1" spans="1:2">
      <c r="A85" s="3" t="s">
        <v>174</v>
      </c>
      <c r="B85" s="4">
        <v>144812796</v>
      </c>
    </row>
    <row r="86" customHeight="1" spans="1:2">
      <c r="A86" s="3" t="s">
        <v>7264</v>
      </c>
      <c r="B86" s="4">
        <v>15045676</v>
      </c>
    </row>
    <row r="87" customHeight="1" spans="1:2">
      <c r="A87" s="3" t="s">
        <v>6562</v>
      </c>
      <c r="B87" s="4">
        <v>6998324</v>
      </c>
    </row>
    <row r="88" customHeight="1" spans="1:2">
      <c r="A88" s="3" t="s">
        <v>8511</v>
      </c>
      <c r="B88" s="4">
        <v>26870825</v>
      </c>
    </row>
    <row r="89" customHeight="1" spans="1:2">
      <c r="A89" s="3" t="s">
        <v>3660</v>
      </c>
      <c r="B89" s="4"/>
    </row>
    <row r="90" customHeight="1" spans="1:2">
      <c r="A90" s="3" t="s">
        <v>15324</v>
      </c>
      <c r="B90" s="4">
        <v>19421271</v>
      </c>
    </row>
    <row r="91" customHeight="1" spans="1:2">
      <c r="A91" s="3" t="s">
        <v>2003</v>
      </c>
      <c r="B91" s="4">
        <v>54222000</v>
      </c>
    </row>
    <row r="92" customHeight="1" spans="1:2">
      <c r="A92" s="3" t="s">
        <v>17037</v>
      </c>
      <c r="B92" s="4"/>
    </row>
    <row r="93" customHeight="1" spans="1:2">
      <c r="A93" s="3" t="s">
        <v>16445</v>
      </c>
      <c r="B93" s="4"/>
    </row>
    <row r="94" customHeight="1" spans="1:2">
      <c r="A94" s="3" t="s">
        <v>12964</v>
      </c>
      <c r="B94" s="4"/>
    </row>
    <row r="95" customHeight="1" spans="1:2">
      <c r="A95" s="3" t="s">
        <v>22330</v>
      </c>
      <c r="B95" s="4"/>
    </row>
    <row r="96" customHeight="1" spans="1:2">
      <c r="A96" s="3" t="s">
        <v>14466</v>
      </c>
      <c r="B96" s="4">
        <v>828</v>
      </c>
    </row>
    <row r="97" customHeight="1" spans="1:2">
      <c r="A97" s="3" t="s">
        <v>15512</v>
      </c>
      <c r="B97" s="4">
        <v>4328294</v>
      </c>
    </row>
    <row r="98" customHeight="1" spans="1:2">
      <c r="A98" s="3" t="s">
        <v>17488</v>
      </c>
      <c r="B98" s="4">
        <v>11546543</v>
      </c>
    </row>
    <row r="99" customHeight="1" spans="1:2">
      <c r="A99" s="3" t="s">
        <v>17948</v>
      </c>
      <c r="B99" s="4">
        <v>638476</v>
      </c>
    </row>
    <row r="100" customHeight="1" spans="1:2">
      <c r="A100" s="3" t="s">
        <v>22890</v>
      </c>
      <c r="B100" s="4"/>
    </row>
    <row r="101" customHeight="1" spans="1:2">
      <c r="A101" s="3" t="s">
        <v>7368</v>
      </c>
      <c r="B101" s="4">
        <v>10911750</v>
      </c>
    </row>
    <row r="102" customHeight="1" spans="1:2">
      <c r="A102" s="3" t="s">
        <v>21591</v>
      </c>
      <c r="B102" s="4"/>
    </row>
    <row r="103" customHeight="1" spans="1:2">
      <c r="A103" s="3" t="s">
        <v>14841</v>
      </c>
      <c r="B103" s="4">
        <v>115862</v>
      </c>
    </row>
    <row r="104" customHeight="1" spans="1:2">
      <c r="A104" s="3" t="s">
        <v>2383</v>
      </c>
      <c r="B104" s="4">
        <v>168213584</v>
      </c>
    </row>
    <row r="105" customHeight="1" spans="1:2">
      <c r="A105" s="3" t="s">
        <v>2103</v>
      </c>
      <c r="B105" s="4">
        <v>71069884</v>
      </c>
    </row>
    <row r="106" customHeight="1" spans="1:2">
      <c r="A106" s="3" t="s">
        <v>22699</v>
      </c>
      <c r="B106" s="4"/>
    </row>
    <row r="107" customHeight="1" spans="1:2">
      <c r="A107" s="3" t="s">
        <v>1459</v>
      </c>
      <c r="B107" s="4">
        <v>133668525</v>
      </c>
    </row>
    <row r="108" customHeight="1" spans="1:2">
      <c r="A108" s="3" t="s">
        <v>20129</v>
      </c>
      <c r="B108" s="4"/>
    </row>
    <row r="109" customHeight="1" spans="1:2">
      <c r="A109" s="3" t="s">
        <v>15846</v>
      </c>
      <c r="B109" s="4">
        <v>3609278</v>
      </c>
    </row>
    <row r="110" customHeight="1" spans="1:2">
      <c r="A110" s="3" t="s">
        <v>23590</v>
      </c>
      <c r="B110" s="4"/>
    </row>
    <row r="111" customHeight="1" spans="1:2">
      <c r="A111" s="3" t="s">
        <v>115</v>
      </c>
      <c r="B111" s="4">
        <v>408992272</v>
      </c>
    </row>
    <row r="112" customHeight="1" spans="1:2">
      <c r="A112" s="3" t="s">
        <v>4321</v>
      </c>
      <c r="B112" s="4">
        <v>53082743</v>
      </c>
    </row>
    <row r="113" customHeight="1" spans="1:2">
      <c r="A113" s="3" t="s">
        <v>11545</v>
      </c>
      <c r="B113" s="4">
        <v>65500000</v>
      </c>
    </row>
    <row r="114" customHeight="1" spans="1:2">
      <c r="A114" s="3" t="s">
        <v>3031</v>
      </c>
      <c r="B114" s="4">
        <v>7221458</v>
      </c>
    </row>
    <row r="115" customHeight="1" spans="1:2">
      <c r="A115" s="3" t="s">
        <v>23004</v>
      </c>
      <c r="B115" s="4"/>
    </row>
    <row r="116" customHeight="1" spans="1:2">
      <c r="A116" s="3" t="s">
        <v>20719</v>
      </c>
      <c r="B116" s="4"/>
    </row>
    <row r="117" customHeight="1" spans="1:2">
      <c r="A117" s="3" t="s">
        <v>8442</v>
      </c>
      <c r="B117" s="4">
        <v>27277055</v>
      </c>
    </row>
    <row r="118" customHeight="1" spans="1:2">
      <c r="A118" s="3" t="s">
        <v>22224</v>
      </c>
      <c r="B118" s="4"/>
    </row>
    <row r="119" customHeight="1" spans="1:2">
      <c r="A119" s="3" t="s">
        <v>106</v>
      </c>
      <c r="B119" s="4">
        <v>407197282</v>
      </c>
    </row>
    <row r="120" customHeight="1" spans="1:2">
      <c r="A120" s="3" t="s">
        <v>2303</v>
      </c>
      <c r="B120" s="4">
        <v>13750556</v>
      </c>
    </row>
    <row r="121" customHeight="1" spans="1:2">
      <c r="A121" s="3" t="s">
        <v>736</v>
      </c>
      <c r="B121" s="4">
        <v>31537320</v>
      </c>
    </row>
    <row r="122" customHeight="1" spans="1:2">
      <c r="A122" s="3" t="s">
        <v>14633</v>
      </c>
      <c r="B122" s="4">
        <v>43650000</v>
      </c>
    </row>
    <row r="123" customHeight="1" spans="1:2">
      <c r="A123" s="3" t="s">
        <v>18675</v>
      </c>
      <c r="B123" s="4">
        <v>3386698</v>
      </c>
    </row>
    <row r="124" customHeight="1" spans="1:2">
      <c r="A124" s="3" t="s">
        <v>2759</v>
      </c>
      <c r="B124" s="4">
        <v>35231365</v>
      </c>
    </row>
    <row r="125" customHeight="1" spans="1:2">
      <c r="A125" s="3" t="s">
        <v>24029</v>
      </c>
      <c r="B125" s="4"/>
    </row>
    <row r="126" customHeight="1" spans="1:2">
      <c r="A126" s="3" t="s">
        <v>11734</v>
      </c>
      <c r="B126" s="4">
        <v>11041228</v>
      </c>
    </row>
    <row r="127" customHeight="1" spans="1:2">
      <c r="A127" s="3" t="s">
        <v>16617</v>
      </c>
      <c r="B127" s="4"/>
    </row>
    <row r="128" customHeight="1" spans="1:2">
      <c r="A128" s="3" t="s">
        <v>15184</v>
      </c>
      <c r="B128" s="4"/>
    </row>
    <row r="129" customHeight="1" spans="1:2">
      <c r="A129" s="3" t="s">
        <v>2968</v>
      </c>
      <c r="B129" s="4">
        <v>16264475</v>
      </c>
    </row>
    <row r="130" customHeight="1" spans="1:2">
      <c r="A130" s="3" t="s">
        <v>20212</v>
      </c>
      <c r="B130" s="4">
        <v>30084</v>
      </c>
    </row>
    <row r="131" customHeight="1" spans="1:2">
      <c r="A131" s="3" t="s">
        <v>4820</v>
      </c>
      <c r="B131" s="4">
        <v>109712885</v>
      </c>
    </row>
    <row r="132" customHeight="1" spans="1:2">
      <c r="A132" s="3" t="s">
        <v>241</v>
      </c>
      <c r="B132" s="4">
        <v>100189501</v>
      </c>
    </row>
    <row r="133" customHeight="1" spans="1:2">
      <c r="A133" s="3" t="s">
        <v>21606</v>
      </c>
      <c r="B133" s="4"/>
    </row>
    <row r="134" customHeight="1" spans="1:2">
      <c r="A134" s="3" t="s">
        <v>11961</v>
      </c>
      <c r="B134" s="4">
        <v>93571803</v>
      </c>
    </row>
    <row r="135" customHeight="1" spans="1:2">
      <c r="A135" s="3" t="s">
        <v>5464</v>
      </c>
      <c r="B135" s="4">
        <v>37432299</v>
      </c>
    </row>
    <row r="136" customHeight="1" spans="1:2">
      <c r="A136" s="3" t="s">
        <v>2148</v>
      </c>
      <c r="B136" s="4"/>
    </row>
    <row r="137" customHeight="1" spans="1:2">
      <c r="A137" s="3" t="s">
        <v>23388</v>
      </c>
      <c r="B137" s="4"/>
    </row>
    <row r="138" customHeight="1" spans="1:2">
      <c r="A138" s="3" t="s">
        <v>20844</v>
      </c>
      <c r="B138" s="4"/>
    </row>
    <row r="139" customHeight="1" spans="1:2">
      <c r="A139" s="3" t="s">
        <v>14280</v>
      </c>
      <c r="B139" s="4">
        <v>6601079</v>
      </c>
    </row>
    <row r="140" customHeight="1" spans="1:2">
      <c r="A140" s="3" t="s">
        <v>10046</v>
      </c>
      <c r="B140" s="4">
        <v>176781728</v>
      </c>
    </row>
    <row r="141" customHeight="1" spans="1:2">
      <c r="A141" s="3" t="s">
        <v>18411</v>
      </c>
      <c r="B141" s="4">
        <v>2199853</v>
      </c>
    </row>
    <row r="142" customHeight="1" spans="1:2">
      <c r="A142" s="3" t="s">
        <v>7167</v>
      </c>
      <c r="B142" s="4">
        <v>24944213</v>
      </c>
    </row>
    <row r="143" customHeight="1" spans="1:2">
      <c r="A143" s="3" t="s">
        <v>10550</v>
      </c>
      <c r="B143" s="4"/>
    </row>
    <row r="144" customHeight="1" spans="1:2">
      <c r="A144" s="3" t="s">
        <v>2034</v>
      </c>
      <c r="B144" s="4">
        <v>30157016</v>
      </c>
    </row>
    <row r="145" customHeight="1" spans="1:2">
      <c r="A145" s="3" t="s">
        <v>15618</v>
      </c>
      <c r="B145" s="4"/>
    </row>
    <row r="146" customHeight="1" spans="1:2">
      <c r="A146" s="3" t="s">
        <v>21948</v>
      </c>
      <c r="B146" s="4"/>
    </row>
    <row r="147" customHeight="1" spans="1:2">
      <c r="A147" s="3" t="s">
        <v>1862</v>
      </c>
      <c r="B147" s="4">
        <v>107225164</v>
      </c>
    </row>
    <row r="148" customHeight="1" spans="1:2">
      <c r="A148" s="3" t="s">
        <v>23382</v>
      </c>
      <c r="B148" s="4"/>
    </row>
    <row r="149" customHeight="1" spans="1:2">
      <c r="A149" s="3" t="s">
        <v>23517</v>
      </c>
      <c r="B149" s="4"/>
    </row>
    <row r="150" customHeight="1" spans="1:2">
      <c r="A150" s="3" t="s">
        <v>21761</v>
      </c>
      <c r="B150" s="4"/>
    </row>
    <row r="151" customHeight="1" spans="1:2">
      <c r="A151" s="3" t="s">
        <v>21334</v>
      </c>
      <c r="B151" s="4"/>
    </row>
    <row r="152" customHeight="1" spans="1:2">
      <c r="A152" s="3" t="s">
        <v>7595</v>
      </c>
      <c r="B152" s="4">
        <v>25003072</v>
      </c>
    </row>
    <row r="153" customHeight="1" spans="1:2">
      <c r="A153" s="3" t="s">
        <v>14648</v>
      </c>
      <c r="B153" s="4">
        <v>25047631</v>
      </c>
    </row>
    <row r="154" customHeight="1" spans="1:2">
      <c r="A154" s="3" t="s">
        <v>18268</v>
      </c>
      <c r="B154" s="4">
        <v>231186</v>
      </c>
    </row>
    <row r="155" customHeight="1" spans="1:2">
      <c r="A155" s="3" t="s">
        <v>21615</v>
      </c>
      <c r="B155" s="4"/>
    </row>
    <row r="156" customHeight="1" spans="1:2">
      <c r="A156" s="3" t="s">
        <v>18821</v>
      </c>
      <c r="B156" s="4">
        <v>22434</v>
      </c>
    </row>
    <row r="157" customHeight="1" spans="1:2">
      <c r="A157" s="3" t="s">
        <v>2690</v>
      </c>
      <c r="B157" s="4">
        <v>18208078</v>
      </c>
    </row>
    <row r="158" customHeight="1" spans="1:2">
      <c r="A158" s="3" t="s">
        <v>19565</v>
      </c>
      <c r="B158" s="4">
        <v>23000</v>
      </c>
    </row>
    <row r="159" customHeight="1" spans="1:2">
      <c r="A159" s="3" t="s">
        <v>5183</v>
      </c>
      <c r="B159" s="4">
        <v>32519322</v>
      </c>
    </row>
    <row r="160" customHeight="1" spans="1:2">
      <c r="A160" s="3" t="s">
        <v>8881</v>
      </c>
      <c r="B160" s="4">
        <v>5749134</v>
      </c>
    </row>
    <row r="161" customHeight="1" spans="1:2">
      <c r="A161" s="3" t="s">
        <v>3691</v>
      </c>
      <c r="B161" s="4">
        <v>181395380</v>
      </c>
    </row>
    <row r="162" customHeight="1" spans="1:2">
      <c r="A162" s="3" t="s">
        <v>22883</v>
      </c>
      <c r="B162" s="4"/>
    </row>
    <row r="163" customHeight="1" spans="1:2">
      <c r="A163" s="3" t="s">
        <v>14051</v>
      </c>
      <c r="B163" s="4"/>
    </row>
    <row r="164" customHeight="1" spans="1:2">
      <c r="A164" s="3" t="s">
        <v>15631</v>
      </c>
      <c r="B164" s="4">
        <v>65087</v>
      </c>
    </row>
    <row r="165" customHeight="1" spans="1:2">
      <c r="A165" s="3" t="s">
        <v>10829</v>
      </c>
      <c r="B165" s="4">
        <v>109306210</v>
      </c>
    </row>
    <row r="166" customHeight="1" spans="1:2">
      <c r="A166" s="3" t="s">
        <v>1301</v>
      </c>
      <c r="B166" s="4">
        <v>126149655</v>
      </c>
    </row>
    <row r="167" customHeight="1" spans="1:2">
      <c r="A167" s="3" t="s">
        <v>16204</v>
      </c>
      <c r="B167" s="4"/>
    </row>
    <row r="168" customHeight="1" spans="1:2">
      <c r="A168" s="3" t="s">
        <v>5903</v>
      </c>
      <c r="B168" s="4"/>
    </row>
    <row r="169" customHeight="1" spans="1:2">
      <c r="A169" s="3" t="s">
        <v>2007</v>
      </c>
      <c r="B169" s="4">
        <v>52474616</v>
      </c>
    </row>
    <row r="170" customHeight="1" spans="1:2">
      <c r="A170" s="3" t="s">
        <v>229</v>
      </c>
      <c r="B170" s="4">
        <v>73820094</v>
      </c>
    </row>
    <row r="171" customHeight="1" spans="1:2">
      <c r="A171" s="3" t="s">
        <v>21974</v>
      </c>
      <c r="B171" s="4"/>
    </row>
    <row r="172" customHeight="1" spans="1:2">
      <c r="A172" s="3" t="s">
        <v>23091</v>
      </c>
      <c r="B172" s="4"/>
    </row>
    <row r="173" customHeight="1" spans="1:2">
      <c r="A173" s="3" t="s">
        <v>9628</v>
      </c>
      <c r="B173" s="4">
        <v>37566230</v>
      </c>
    </row>
    <row r="174" customHeight="1" spans="1:2">
      <c r="A174" s="3" t="s">
        <v>14442</v>
      </c>
      <c r="B174" s="4"/>
    </row>
    <row r="175" customHeight="1" spans="1:2">
      <c r="A175" s="3" t="s">
        <v>12504</v>
      </c>
      <c r="B175" s="4">
        <v>21589307</v>
      </c>
    </row>
    <row r="176" customHeight="1" spans="1:2">
      <c r="A176" s="3" t="s">
        <v>7125</v>
      </c>
      <c r="B176" s="4">
        <v>31526393</v>
      </c>
    </row>
    <row r="177" customHeight="1" spans="1:2">
      <c r="A177" s="3" t="s">
        <v>19093</v>
      </c>
      <c r="B177" s="4">
        <v>144583</v>
      </c>
    </row>
    <row r="178" customHeight="1" spans="1:2">
      <c r="A178" s="3" t="s">
        <v>10322</v>
      </c>
      <c r="B178" s="4">
        <v>33860010</v>
      </c>
    </row>
    <row r="179" customHeight="1" spans="1:2">
      <c r="A179" s="3" t="s">
        <v>19073</v>
      </c>
      <c r="B179" s="4">
        <v>1001437</v>
      </c>
    </row>
    <row r="180" customHeight="1" spans="1:2">
      <c r="A180" s="3" t="s">
        <v>22052</v>
      </c>
      <c r="B180" s="4"/>
    </row>
    <row r="181" customHeight="1" spans="1:2">
      <c r="A181" s="3" t="s">
        <v>16221</v>
      </c>
      <c r="B181" s="4">
        <v>371897</v>
      </c>
    </row>
    <row r="182" customHeight="1" spans="1:2">
      <c r="A182" s="3" t="s">
        <v>21851</v>
      </c>
      <c r="B182" s="4"/>
    </row>
    <row r="183" customHeight="1" spans="1:2">
      <c r="A183" s="3" t="s">
        <v>9662</v>
      </c>
      <c r="B183" s="4">
        <v>24708699</v>
      </c>
    </row>
    <row r="184" customHeight="1" spans="1:2">
      <c r="A184" s="3" t="s">
        <v>17379</v>
      </c>
      <c r="B184" s="4">
        <v>36200000</v>
      </c>
    </row>
    <row r="185" customHeight="1" spans="1:2">
      <c r="A185" s="3" t="s">
        <v>3215</v>
      </c>
      <c r="B185" s="4">
        <v>91030827</v>
      </c>
    </row>
    <row r="186" customHeight="1" spans="1:2">
      <c r="A186" s="3" t="s">
        <v>17176</v>
      </c>
      <c r="B186" s="4">
        <v>32600000</v>
      </c>
    </row>
    <row r="187" customHeight="1" spans="1:2">
      <c r="A187" s="3" t="s">
        <v>8311</v>
      </c>
      <c r="B187" s="4">
        <v>41573740</v>
      </c>
    </row>
    <row r="188" customHeight="1" spans="1:2">
      <c r="A188" s="3" t="s">
        <v>1232</v>
      </c>
      <c r="B188" s="4">
        <v>35168677</v>
      </c>
    </row>
    <row r="189" customHeight="1" spans="1:2">
      <c r="A189" s="3" t="s">
        <v>1268</v>
      </c>
      <c r="B189" s="4">
        <v>233630478</v>
      </c>
    </row>
    <row r="190" customHeight="1" spans="1:2">
      <c r="A190" s="3" t="s">
        <v>23460</v>
      </c>
      <c r="B190" s="4"/>
    </row>
    <row r="191" customHeight="1" spans="1:2">
      <c r="A191" s="3" t="s">
        <v>10681</v>
      </c>
      <c r="B191" s="4">
        <v>26435</v>
      </c>
    </row>
    <row r="192" customHeight="1" spans="1:2">
      <c r="A192" s="3" t="s">
        <v>4990</v>
      </c>
      <c r="B192" s="4">
        <v>124732962</v>
      </c>
    </row>
    <row r="193" customHeight="1" spans="1:2">
      <c r="A193" s="3" t="s">
        <v>783</v>
      </c>
      <c r="B193" s="4">
        <v>129995817</v>
      </c>
    </row>
    <row r="194" customHeight="1" spans="1:2">
      <c r="A194" s="3" t="s">
        <v>20499</v>
      </c>
      <c r="B194" s="4"/>
    </row>
    <row r="195" customHeight="1" spans="1:2">
      <c r="A195" s="3" t="s">
        <v>580</v>
      </c>
      <c r="B195" s="4">
        <v>118311368</v>
      </c>
    </row>
    <row r="196" customHeight="1" spans="1:2">
      <c r="A196" s="3" t="s">
        <v>18010</v>
      </c>
      <c r="B196" s="4"/>
    </row>
    <row r="197" customHeight="1" spans="1:2">
      <c r="A197" s="3" t="s">
        <v>4941</v>
      </c>
      <c r="B197" s="4">
        <v>12339633</v>
      </c>
    </row>
    <row r="198" customHeight="1" spans="1:2">
      <c r="A198" s="3" t="s">
        <v>5222</v>
      </c>
      <c r="B198" s="4">
        <v>26494611</v>
      </c>
    </row>
    <row r="199" customHeight="1" spans="1:2">
      <c r="A199" s="3" t="s">
        <v>18845</v>
      </c>
      <c r="B199" s="4"/>
    </row>
    <row r="200" customHeight="1" spans="1:2">
      <c r="A200" s="3" t="s">
        <v>17644</v>
      </c>
      <c r="B200" s="4"/>
    </row>
    <row r="201" customHeight="1" spans="1:2">
      <c r="A201" s="3" t="s">
        <v>9892</v>
      </c>
      <c r="B201" s="4">
        <v>16346122</v>
      </c>
    </row>
    <row r="202" customHeight="1" spans="1:2">
      <c r="A202" s="3" t="s">
        <v>20164</v>
      </c>
      <c r="B202" s="4"/>
    </row>
    <row r="203" customHeight="1" spans="1:2">
      <c r="A203" s="3" t="s">
        <v>14560</v>
      </c>
      <c r="B203" s="4">
        <v>871577</v>
      </c>
    </row>
    <row r="204" customHeight="1" spans="1:2">
      <c r="A204" s="3" t="s">
        <v>22853</v>
      </c>
      <c r="B204" s="4"/>
    </row>
    <row r="205" customHeight="1" spans="1:2">
      <c r="A205" s="3" t="s">
        <v>4000</v>
      </c>
      <c r="B205" s="4">
        <v>87856565</v>
      </c>
    </row>
    <row r="206" customHeight="1" spans="1:2">
      <c r="A206" s="3" t="s">
        <v>21916</v>
      </c>
      <c r="B206" s="4"/>
    </row>
    <row r="207" customHeight="1" spans="1:2">
      <c r="A207" s="3" t="s">
        <v>14362</v>
      </c>
      <c r="B207" s="4">
        <v>306715</v>
      </c>
    </row>
    <row r="208" customHeight="1" spans="1:2">
      <c r="A208" s="3" t="s">
        <v>22427</v>
      </c>
      <c r="B208" s="4"/>
    </row>
    <row r="209" customHeight="1" spans="1:2">
      <c r="A209" s="3" t="s">
        <v>17566</v>
      </c>
      <c r="B209" s="4">
        <v>3335839</v>
      </c>
    </row>
    <row r="210" customHeight="1" spans="1:2">
      <c r="A210" s="3" t="s">
        <v>4200</v>
      </c>
      <c r="B210" s="4">
        <v>94125426</v>
      </c>
    </row>
    <row r="211" customHeight="1" spans="1:2">
      <c r="A211" s="3" t="s">
        <v>13636</v>
      </c>
      <c r="B211" s="4">
        <v>22800000</v>
      </c>
    </row>
    <row r="212" customHeight="1" spans="1:2">
      <c r="A212" s="3" t="s">
        <v>5521</v>
      </c>
      <c r="B212" s="4">
        <v>34014398</v>
      </c>
    </row>
    <row r="213" customHeight="1" spans="1:2">
      <c r="A213" s="3" t="s">
        <v>3386</v>
      </c>
      <c r="B213" s="4">
        <v>37486138</v>
      </c>
    </row>
    <row r="214" customHeight="1" spans="1:2">
      <c r="A214" s="3" t="s">
        <v>5627</v>
      </c>
      <c r="B214" s="4">
        <v>31493782</v>
      </c>
    </row>
    <row r="215" customHeight="1" spans="1:2">
      <c r="A215" s="3" t="s">
        <v>14694</v>
      </c>
      <c r="B215" s="4">
        <v>12793213</v>
      </c>
    </row>
    <row r="216" customHeight="1" spans="1:2">
      <c r="A216" s="3" t="s">
        <v>19657</v>
      </c>
      <c r="B216" s="4">
        <v>617172</v>
      </c>
    </row>
    <row r="217" customHeight="1" spans="1:2">
      <c r="A217" s="3" t="s">
        <v>3019</v>
      </c>
      <c r="B217" s="4">
        <v>26838389</v>
      </c>
    </row>
    <row r="218" customHeight="1" spans="1:2">
      <c r="A218" s="3" t="s">
        <v>12704</v>
      </c>
      <c r="B218" s="4">
        <v>3041803</v>
      </c>
    </row>
    <row r="219" customHeight="1" spans="1:2">
      <c r="A219" s="3" t="s">
        <v>13437</v>
      </c>
      <c r="B219" s="4">
        <v>162</v>
      </c>
    </row>
    <row r="220" customHeight="1" spans="1:2">
      <c r="A220" s="3" t="s">
        <v>22162</v>
      </c>
      <c r="B220" s="4"/>
    </row>
    <row r="221" customHeight="1" spans="1:2">
      <c r="A221" s="3" t="s">
        <v>16534</v>
      </c>
      <c r="B221" s="4"/>
    </row>
    <row r="222" customHeight="1" spans="1:2">
      <c r="A222" s="3" t="s">
        <v>12780</v>
      </c>
      <c r="B222" s="4"/>
    </row>
    <row r="223" customHeight="1" spans="1:2">
      <c r="A223" s="3" t="s">
        <v>14042</v>
      </c>
      <c r="B223" s="4"/>
    </row>
    <row r="224" customHeight="1" spans="1:2">
      <c r="A224" s="3" t="s">
        <v>20791</v>
      </c>
      <c r="B224" s="4"/>
    </row>
    <row r="225" customHeight="1" spans="1:2">
      <c r="A225" s="3" t="s">
        <v>22036</v>
      </c>
      <c r="B225" s="4"/>
    </row>
    <row r="226" customHeight="1" spans="1:2">
      <c r="A226" s="3" t="s">
        <v>7574</v>
      </c>
      <c r="B226" s="4">
        <v>20218</v>
      </c>
    </row>
    <row r="227" customHeight="1" spans="1:2">
      <c r="A227" s="3" t="s">
        <v>12451</v>
      </c>
      <c r="B227" s="4">
        <v>21371425</v>
      </c>
    </row>
    <row r="228" customHeight="1" spans="1:2">
      <c r="A228" s="3" t="s">
        <v>2236</v>
      </c>
      <c r="B228" s="4">
        <v>59617068</v>
      </c>
    </row>
    <row r="229" customHeight="1" spans="1:2">
      <c r="A229" s="3" t="s">
        <v>5241</v>
      </c>
      <c r="B229" s="4">
        <v>25078937</v>
      </c>
    </row>
    <row r="230" customHeight="1" spans="1:2">
      <c r="A230" s="3" t="s">
        <v>4599</v>
      </c>
      <c r="B230" s="4">
        <v>7000000</v>
      </c>
    </row>
    <row r="231" customHeight="1" spans="1:2">
      <c r="A231" s="3" t="s">
        <v>4018</v>
      </c>
      <c r="B231" s="4">
        <v>41543207</v>
      </c>
    </row>
    <row r="232" customHeight="1" spans="1:2">
      <c r="A232" s="3" t="s">
        <v>4860</v>
      </c>
      <c r="B232" s="4">
        <v>71026631</v>
      </c>
    </row>
    <row r="233" customHeight="1" spans="1:2">
      <c r="A233" s="3" t="s">
        <v>23805</v>
      </c>
      <c r="B233" s="4"/>
    </row>
    <row r="234" customHeight="1" spans="1:2">
      <c r="A234" s="3" t="s">
        <v>23872</v>
      </c>
      <c r="B234" s="4"/>
    </row>
    <row r="235" customHeight="1" spans="1:2">
      <c r="A235" s="3" t="s">
        <v>19497</v>
      </c>
      <c r="B235" s="4"/>
    </row>
    <row r="236" customHeight="1" spans="1:2">
      <c r="A236" s="3" t="s">
        <v>19877</v>
      </c>
      <c r="B236" s="4"/>
    </row>
    <row r="237" customHeight="1" spans="1:2">
      <c r="A237" s="3" t="s">
        <v>18374</v>
      </c>
      <c r="B237" s="4">
        <v>24741700</v>
      </c>
    </row>
    <row r="238" customHeight="1" spans="1:2">
      <c r="A238" s="3" t="s">
        <v>8778</v>
      </c>
      <c r="B238" s="4">
        <v>8855646</v>
      </c>
    </row>
    <row r="239" customHeight="1" spans="1:2">
      <c r="A239" s="3" t="s">
        <v>9799</v>
      </c>
      <c r="B239" s="4">
        <v>127175354</v>
      </c>
    </row>
    <row r="240" customHeight="1" spans="1:2">
      <c r="A240" s="3" t="s">
        <v>15454</v>
      </c>
      <c r="B240" s="4">
        <v>9628751</v>
      </c>
    </row>
    <row r="241" customHeight="1" spans="1:2">
      <c r="A241" s="3" t="s">
        <v>7331</v>
      </c>
      <c r="B241" s="4">
        <v>11100000</v>
      </c>
    </row>
    <row r="242" customHeight="1" spans="1:2">
      <c r="A242" s="3" t="s">
        <v>22838</v>
      </c>
      <c r="B242" s="4"/>
    </row>
    <row r="243" customHeight="1" spans="1:2">
      <c r="A243" s="3" t="s">
        <v>22636</v>
      </c>
      <c r="B243" s="4"/>
    </row>
    <row r="244" customHeight="1" spans="1:2">
      <c r="A244" s="3" t="s">
        <v>13202</v>
      </c>
      <c r="B244" s="4">
        <v>30859000</v>
      </c>
    </row>
    <row r="245" customHeight="1" spans="1:2">
      <c r="A245" s="3" t="s">
        <v>21076</v>
      </c>
      <c r="B245" s="4"/>
    </row>
    <row r="246" customHeight="1" spans="1:2">
      <c r="A246" s="3" t="s">
        <v>4968</v>
      </c>
      <c r="B246" s="4">
        <v>1068392</v>
      </c>
    </row>
    <row r="247" customHeight="1" spans="1:2">
      <c r="A247" s="3" t="s">
        <v>2418</v>
      </c>
      <c r="B247" s="4">
        <v>93375151</v>
      </c>
    </row>
    <row r="248" customHeight="1" spans="1:2">
      <c r="A248" s="3" t="s">
        <v>2095</v>
      </c>
      <c r="B248" s="4">
        <v>18821279</v>
      </c>
    </row>
    <row r="249" customHeight="1" spans="1:2">
      <c r="A249" s="3" t="s">
        <v>23806</v>
      </c>
      <c r="B249" s="4"/>
    </row>
    <row r="250" customHeight="1" spans="1:2">
      <c r="A250" s="3" t="s">
        <v>13609</v>
      </c>
      <c r="B250" s="4">
        <v>27362712</v>
      </c>
    </row>
    <row r="251" customHeight="1" spans="1:2">
      <c r="A251" s="3" t="s">
        <v>642</v>
      </c>
      <c r="B251" s="4">
        <v>32694788</v>
      </c>
    </row>
    <row r="252" customHeight="1" spans="1:2">
      <c r="A252" s="3" t="s">
        <v>22956</v>
      </c>
      <c r="B252" s="4"/>
    </row>
    <row r="253" customHeight="1" spans="1:2">
      <c r="A253" s="3" t="s">
        <v>20945</v>
      </c>
      <c r="B253" s="4"/>
    </row>
    <row r="254" customHeight="1" spans="1:2">
      <c r="A254" s="3" t="s">
        <v>17539</v>
      </c>
      <c r="B254" s="4">
        <v>5792822</v>
      </c>
    </row>
    <row r="255" customHeight="1" spans="1:2">
      <c r="A255" s="3" t="s">
        <v>10513</v>
      </c>
      <c r="B255" s="4">
        <v>10411980</v>
      </c>
    </row>
    <row r="256" customHeight="1" spans="1:2">
      <c r="A256" s="3" t="s">
        <v>23522</v>
      </c>
      <c r="B256" s="4"/>
    </row>
    <row r="257" customHeight="1" spans="1:2">
      <c r="A257" s="3" t="s">
        <v>23203</v>
      </c>
      <c r="B257" s="4"/>
    </row>
    <row r="258" customHeight="1" spans="1:2">
      <c r="A258" s="3" t="s">
        <v>7750</v>
      </c>
      <c r="B258" s="4">
        <v>16123851</v>
      </c>
    </row>
    <row r="259" customHeight="1" spans="1:2">
      <c r="A259" s="3" t="s">
        <v>22963</v>
      </c>
      <c r="B259" s="4"/>
    </row>
    <row r="260" customHeight="1" spans="1:2">
      <c r="A260" s="3" t="s">
        <v>5190</v>
      </c>
      <c r="B260" s="4">
        <v>32048809</v>
      </c>
    </row>
    <row r="261" customHeight="1" spans="1:2">
      <c r="A261" s="3" t="s">
        <v>8837</v>
      </c>
      <c r="B261" s="4">
        <v>6201757</v>
      </c>
    </row>
    <row r="262" customHeight="1" spans="1:2">
      <c r="A262" s="3" t="s">
        <v>19795</v>
      </c>
      <c r="B262" s="4">
        <v>902835</v>
      </c>
    </row>
    <row r="263" customHeight="1" spans="1:2">
      <c r="A263" s="3" t="s">
        <v>2826</v>
      </c>
      <c r="B263" s="4">
        <v>166225040</v>
      </c>
    </row>
    <row r="264" customHeight="1" spans="1:2">
      <c r="A264" s="3" t="s">
        <v>13399</v>
      </c>
      <c r="B264" s="4"/>
    </row>
    <row r="265" customHeight="1" spans="1:2">
      <c r="A265" s="3" t="s">
        <v>9210</v>
      </c>
      <c r="B265" s="4">
        <v>64955956</v>
      </c>
    </row>
    <row r="266" customHeight="1" spans="1:2">
      <c r="A266" s="3" t="s">
        <v>22833</v>
      </c>
      <c r="B266" s="4"/>
    </row>
    <row r="267" customHeight="1" spans="1:2">
      <c r="A267" s="3" t="s">
        <v>18561</v>
      </c>
      <c r="B267" s="4"/>
    </row>
    <row r="268" customHeight="1" spans="1:2">
      <c r="A268" s="3" t="s">
        <v>14078</v>
      </c>
      <c r="B268" s="4"/>
    </row>
    <row r="269" customHeight="1" spans="1:2">
      <c r="A269" s="3" t="s">
        <v>16176</v>
      </c>
      <c r="B269" s="4"/>
    </row>
    <row r="270" customHeight="1" spans="1:2">
      <c r="A270" s="3" t="s">
        <v>22350</v>
      </c>
      <c r="B270" s="4"/>
    </row>
    <row r="271" customHeight="1" spans="1:2">
      <c r="A271" s="3" t="s">
        <v>17105</v>
      </c>
      <c r="B271" s="4"/>
    </row>
    <row r="272" customHeight="1" spans="1:2">
      <c r="A272" s="3" t="s">
        <v>479</v>
      </c>
      <c r="B272" s="4">
        <v>403706375</v>
      </c>
    </row>
    <row r="273" customHeight="1" spans="1:2">
      <c r="A273" s="3" t="s">
        <v>5686</v>
      </c>
      <c r="B273" s="4">
        <v>1304837</v>
      </c>
    </row>
    <row r="274" customHeight="1" spans="1:2">
      <c r="A274" s="3" t="s">
        <v>7298</v>
      </c>
      <c r="B274" s="4">
        <v>1865774</v>
      </c>
    </row>
    <row r="275" customHeight="1" spans="1:2">
      <c r="A275" s="3" t="s">
        <v>1195</v>
      </c>
      <c r="B275" s="4">
        <v>64685359</v>
      </c>
    </row>
    <row r="276" customHeight="1" spans="1:2">
      <c r="A276" s="3" t="s">
        <v>21232</v>
      </c>
      <c r="B276" s="4"/>
    </row>
    <row r="277" customHeight="1" spans="1:2">
      <c r="A277" s="3" t="s">
        <v>9718</v>
      </c>
      <c r="B277" s="4">
        <v>39825798</v>
      </c>
    </row>
    <row r="278" customHeight="1" spans="1:2">
      <c r="A278" s="3" t="s">
        <v>1486</v>
      </c>
      <c r="B278" s="4"/>
    </row>
    <row r="279" customHeight="1" spans="1:2">
      <c r="A279" s="3" t="s">
        <v>11720</v>
      </c>
      <c r="B279" s="4">
        <v>11634362</v>
      </c>
    </row>
    <row r="280" customHeight="1" spans="1:2">
      <c r="A280" s="3" t="s">
        <v>20673</v>
      </c>
      <c r="B280" s="4"/>
    </row>
    <row r="281" customHeight="1" spans="1:2">
      <c r="A281" s="3" t="s">
        <v>5201</v>
      </c>
      <c r="B281" s="4">
        <v>30307804</v>
      </c>
    </row>
    <row r="282" customHeight="1" spans="1:2">
      <c r="A282" s="3" t="s">
        <v>19872</v>
      </c>
      <c r="B282" s="4"/>
    </row>
    <row r="283" customHeight="1" spans="1:2">
      <c r="A283" s="3" t="s">
        <v>14427</v>
      </c>
      <c r="B283" s="4"/>
    </row>
    <row r="284" customHeight="1" spans="1:2">
      <c r="A284" s="3" t="s">
        <v>23546</v>
      </c>
      <c r="B284" s="4"/>
    </row>
    <row r="285" customHeight="1" spans="1:2">
      <c r="A285" s="3" t="s">
        <v>23547</v>
      </c>
      <c r="B285" s="4"/>
    </row>
    <row r="286" customHeight="1" spans="1:2">
      <c r="A286" s="3" t="s">
        <v>22050</v>
      </c>
      <c r="B286" s="4"/>
    </row>
    <row r="287" customHeight="1" spans="1:2">
      <c r="A287" s="3" t="s">
        <v>5637</v>
      </c>
      <c r="B287" s="4">
        <v>18636537</v>
      </c>
    </row>
    <row r="288" customHeight="1" spans="1:2">
      <c r="A288" s="3" t="s">
        <v>6179</v>
      </c>
      <c r="B288" s="4">
        <v>18324242</v>
      </c>
    </row>
    <row r="289" customHeight="1" spans="1:2">
      <c r="A289" s="3" t="s">
        <v>714</v>
      </c>
      <c r="B289" s="4">
        <v>89021735</v>
      </c>
    </row>
    <row r="290" customHeight="1" spans="1:2">
      <c r="A290" s="3" t="s">
        <v>4819</v>
      </c>
      <c r="B290" s="4">
        <v>34912982</v>
      </c>
    </row>
    <row r="291" customHeight="1" spans="1:2">
      <c r="A291" s="3" t="s">
        <v>16837</v>
      </c>
      <c r="B291" s="4">
        <v>3222857</v>
      </c>
    </row>
    <row r="292" customHeight="1" spans="1:2">
      <c r="A292" s="3" t="s">
        <v>12843</v>
      </c>
      <c r="B292" s="4">
        <v>598645</v>
      </c>
    </row>
    <row r="293" customHeight="1" spans="1:2">
      <c r="A293" s="3" t="s">
        <v>10040</v>
      </c>
      <c r="B293" s="4">
        <v>285761243</v>
      </c>
    </row>
    <row r="294" customHeight="1" spans="1:2">
      <c r="A294" s="3" t="s">
        <v>4707</v>
      </c>
      <c r="B294" s="4">
        <v>88915214</v>
      </c>
    </row>
    <row r="295" customHeight="1" spans="1:2">
      <c r="A295" s="3" t="s">
        <v>2853</v>
      </c>
      <c r="B295" s="4">
        <v>101530738</v>
      </c>
    </row>
    <row r="296" customHeight="1" spans="1:2">
      <c r="A296" s="3" t="s">
        <v>6676</v>
      </c>
      <c r="B296" s="4"/>
    </row>
    <row r="297" customHeight="1" spans="1:2">
      <c r="A297" s="3" t="s">
        <v>8003</v>
      </c>
      <c r="B297" s="4">
        <v>8579684</v>
      </c>
    </row>
    <row r="298" customHeight="1" spans="1:2">
      <c r="A298" s="3" t="s">
        <v>17373</v>
      </c>
      <c r="B298" s="4"/>
    </row>
    <row r="299" customHeight="1" spans="1:2">
      <c r="A299" s="3" t="s">
        <v>3674</v>
      </c>
      <c r="B299" s="4">
        <v>126805112</v>
      </c>
    </row>
    <row r="300" customHeight="1" spans="1:2">
      <c r="A300" s="3" t="s">
        <v>21884</v>
      </c>
      <c r="B300" s="4"/>
    </row>
    <row r="301" customHeight="1" spans="1:2">
      <c r="A301" s="3" t="s">
        <v>22471</v>
      </c>
      <c r="B301" s="4"/>
    </row>
    <row r="302" customHeight="1" spans="1:2">
      <c r="A302" s="3" t="s">
        <v>15373</v>
      </c>
      <c r="B302" s="4"/>
    </row>
    <row r="303" customHeight="1" spans="1:2">
      <c r="A303" s="3" t="s">
        <v>17757</v>
      </c>
      <c r="B303" s="4"/>
    </row>
    <row r="304" customHeight="1" spans="1:2">
      <c r="A304" s="3" t="s">
        <v>2549</v>
      </c>
      <c r="B304" s="4">
        <v>46975183</v>
      </c>
    </row>
    <row r="305" customHeight="1" spans="1:2">
      <c r="A305" s="3" t="s">
        <v>23956</v>
      </c>
      <c r="B305" s="4"/>
    </row>
    <row r="306" customHeight="1" spans="1:2">
      <c r="A306" s="3" t="s">
        <v>6780</v>
      </c>
      <c r="B306" s="4">
        <v>46455802</v>
      </c>
    </row>
    <row r="307" customHeight="1" spans="1:2">
      <c r="A307" s="3" t="s">
        <v>11812</v>
      </c>
      <c r="B307" s="4">
        <v>2201412</v>
      </c>
    </row>
    <row r="308" customHeight="1" spans="1:2">
      <c r="A308" s="3" t="s">
        <v>6405</v>
      </c>
      <c r="B308" s="4">
        <v>17016190</v>
      </c>
    </row>
    <row r="309" customHeight="1" spans="1:2">
      <c r="A309" s="3" t="s">
        <v>183</v>
      </c>
      <c r="B309" s="4">
        <v>317011114</v>
      </c>
    </row>
    <row r="310" customHeight="1" spans="1:2">
      <c r="A310" s="3" t="s">
        <v>13689</v>
      </c>
      <c r="B310" s="4"/>
    </row>
    <row r="311" customHeight="1" spans="1:2">
      <c r="A311" s="3" t="s">
        <v>23763</v>
      </c>
      <c r="B311" s="4"/>
    </row>
    <row r="312" customHeight="1" spans="1:2">
      <c r="A312" s="3" t="s">
        <v>14856</v>
      </c>
      <c r="B312" s="4">
        <v>54606</v>
      </c>
    </row>
    <row r="313" customHeight="1" spans="1:2">
      <c r="A313" s="3" t="s">
        <v>19478</v>
      </c>
      <c r="B313" s="4">
        <v>316842</v>
      </c>
    </row>
    <row r="314" customHeight="1" spans="1:2">
      <c r="A314" s="3" t="s">
        <v>21542</v>
      </c>
      <c r="B314" s="4"/>
    </row>
    <row r="315" customHeight="1" spans="1:2">
      <c r="A315" s="3" t="s">
        <v>9073</v>
      </c>
      <c r="B315" s="4">
        <v>39103378</v>
      </c>
    </row>
    <row r="316" customHeight="1" spans="1:2">
      <c r="A316" s="3" t="s">
        <v>5478</v>
      </c>
      <c r="B316" s="4">
        <v>13101142</v>
      </c>
    </row>
    <row r="317" customHeight="1" spans="1:2">
      <c r="A317" s="3" t="s">
        <v>22969</v>
      </c>
      <c r="B317" s="4"/>
    </row>
    <row r="318" customHeight="1" spans="1:2">
      <c r="A318" s="3" t="s">
        <v>14371</v>
      </c>
      <c r="B318" s="4">
        <v>518134</v>
      </c>
    </row>
    <row r="319" customHeight="1" spans="1:2">
      <c r="A319" s="3" t="s">
        <v>5600</v>
      </c>
      <c r="B319" s="4">
        <v>37911876</v>
      </c>
    </row>
    <row r="320" customHeight="1" spans="1:2">
      <c r="A320" s="3" t="s">
        <v>6883</v>
      </c>
      <c r="B320" s="4">
        <v>172825435</v>
      </c>
    </row>
    <row r="321" customHeight="1" spans="1:2">
      <c r="A321" s="3" t="s">
        <v>11506</v>
      </c>
      <c r="B321" s="4">
        <v>71442</v>
      </c>
    </row>
    <row r="322" customHeight="1" spans="1:2">
      <c r="A322" s="3" t="s">
        <v>1152</v>
      </c>
      <c r="B322" s="4">
        <v>84037039</v>
      </c>
    </row>
    <row r="323" customHeight="1" spans="1:2">
      <c r="A323" s="3" t="s">
        <v>22211</v>
      </c>
      <c r="B323" s="4"/>
    </row>
    <row r="324" customHeight="1" spans="1:2">
      <c r="A324" s="3" t="s">
        <v>21481</v>
      </c>
      <c r="B324" s="4"/>
    </row>
    <row r="325" customHeight="1" spans="1:2">
      <c r="A325" s="3" t="s">
        <v>8823</v>
      </c>
      <c r="B325" s="4">
        <v>7001720</v>
      </c>
    </row>
    <row r="326" customHeight="1" spans="1:2">
      <c r="A326" s="3" t="s">
        <v>21669</v>
      </c>
      <c r="B326" s="4"/>
    </row>
    <row r="327" customHeight="1" spans="1:2">
      <c r="A327" s="3" t="s">
        <v>6650</v>
      </c>
      <c r="B327" s="4">
        <v>22494487</v>
      </c>
    </row>
    <row r="328" customHeight="1" spans="1:2">
      <c r="A328" s="3" t="s">
        <v>15971</v>
      </c>
      <c r="B328" s="4">
        <v>62549000</v>
      </c>
    </row>
    <row r="329" customHeight="1" spans="1:2">
      <c r="A329" s="3" t="s">
        <v>13530</v>
      </c>
      <c r="B329" s="4">
        <v>1997807</v>
      </c>
    </row>
    <row r="330" customHeight="1" spans="1:2">
      <c r="A330" s="3" t="s">
        <v>21142</v>
      </c>
      <c r="B330" s="4"/>
    </row>
    <row r="331" customHeight="1" spans="1:2">
      <c r="A331" s="3" t="s">
        <v>16331</v>
      </c>
      <c r="B331" s="4">
        <v>143653</v>
      </c>
    </row>
    <row r="332" customHeight="1" spans="1:2">
      <c r="A332" s="3" t="s">
        <v>22422</v>
      </c>
      <c r="B332" s="4"/>
    </row>
    <row r="333" customHeight="1" spans="1:2">
      <c r="A333" s="3" t="s">
        <v>12557</v>
      </c>
      <c r="B333" s="4">
        <v>11703287</v>
      </c>
    </row>
    <row r="334" customHeight="1" spans="1:2">
      <c r="A334" s="3" t="s">
        <v>11704</v>
      </c>
      <c r="B334" s="4">
        <v>21520719</v>
      </c>
    </row>
    <row r="335" customHeight="1" spans="1:2">
      <c r="A335" s="3" t="s">
        <v>19122</v>
      </c>
      <c r="B335" s="4"/>
    </row>
    <row r="336" customHeight="1" spans="1:2">
      <c r="A336" s="3" t="s">
        <v>23010</v>
      </c>
      <c r="B336" s="4"/>
    </row>
    <row r="337" customHeight="1" spans="1:2">
      <c r="A337" s="3" t="s">
        <v>21993</v>
      </c>
      <c r="B337" s="4"/>
    </row>
    <row r="338" customHeight="1" spans="1:2">
      <c r="A338" s="3" t="s">
        <v>565</v>
      </c>
      <c r="B338" s="4">
        <v>292298923</v>
      </c>
    </row>
    <row r="339" customHeight="1" spans="1:2">
      <c r="A339" s="3" t="s">
        <v>12438</v>
      </c>
      <c r="B339" s="4">
        <v>17378977</v>
      </c>
    </row>
    <row r="340" customHeight="1" spans="1:2">
      <c r="A340" s="3" t="s">
        <v>12960</v>
      </c>
      <c r="B340" s="4">
        <v>140987</v>
      </c>
    </row>
    <row r="341" customHeight="1" spans="1:2">
      <c r="A341" s="3" t="s">
        <v>14862</v>
      </c>
      <c r="B341" s="4">
        <v>23807</v>
      </c>
    </row>
    <row r="342" customHeight="1" spans="1:2">
      <c r="A342" s="3" t="s">
        <v>18721</v>
      </c>
      <c r="B342" s="4">
        <v>1744858</v>
      </c>
    </row>
    <row r="343" customHeight="1" spans="1:2">
      <c r="A343" s="3" t="s">
        <v>6593</v>
      </c>
      <c r="B343" s="4">
        <v>67900000</v>
      </c>
    </row>
    <row r="344" customHeight="1" spans="1:2">
      <c r="A344" s="3" t="s">
        <v>14673</v>
      </c>
      <c r="B344" s="4">
        <v>18621249</v>
      </c>
    </row>
    <row r="345" customHeight="1" spans="1:2">
      <c r="A345" s="3" t="s">
        <v>7691</v>
      </c>
      <c r="B345" s="4">
        <v>18934858</v>
      </c>
    </row>
    <row r="346" customHeight="1" spans="1:2">
      <c r="A346" s="3" t="s">
        <v>16475</v>
      </c>
      <c r="B346" s="4"/>
    </row>
    <row r="347" customHeight="1" spans="1:2">
      <c r="A347" s="3" t="s">
        <v>19335</v>
      </c>
      <c r="B347" s="4">
        <v>8044906</v>
      </c>
    </row>
    <row r="348" customHeight="1" spans="1:2">
      <c r="A348" s="3" t="s">
        <v>10349</v>
      </c>
      <c r="B348" s="4">
        <v>26384919</v>
      </c>
    </row>
    <row r="349" customHeight="1" spans="1:2">
      <c r="A349" s="3" t="s">
        <v>1662</v>
      </c>
      <c r="B349" s="4">
        <v>103812241</v>
      </c>
    </row>
    <row r="350" customHeight="1" spans="1:2">
      <c r="A350" s="3" t="s">
        <v>13354</v>
      </c>
      <c r="B350" s="4">
        <v>770629</v>
      </c>
    </row>
    <row r="351" customHeight="1" spans="1:2">
      <c r="A351" s="3" t="s">
        <v>23177</v>
      </c>
      <c r="B351" s="4"/>
    </row>
    <row r="352" customHeight="1" spans="1:2">
      <c r="A352" s="3" t="s">
        <v>5718</v>
      </c>
      <c r="B352" s="4">
        <v>24185781</v>
      </c>
    </row>
    <row r="353" customHeight="1" spans="1:2">
      <c r="A353" s="3" t="s">
        <v>16323</v>
      </c>
      <c r="B353" s="4"/>
    </row>
    <row r="354" customHeight="1" spans="1:2">
      <c r="A354" s="3" t="s">
        <v>22945</v>
      </c>
      <c r="B354" s="4"/>
    </row>
    <row r="355" customHeight="1" spans="1:2">
      <c r="A355" s="3" t="s">
        <v>3981</v>
      </c>
      <c r="B355" s="4">
        <v>158348400</v>
      </c>
    </row>
    <row r="356" customHeight="1" spans="1:2">
      <c r="A356" s="3" t="s">
        <v>22655</v>
      </c>
      <c r="B356" s="4"/>
    </row>
    <row r="357" customHeight="1" spans="1:2">
      <c r="A357" s="3" t="s">
        <v>22091</v>
      </c>
      <c r="B357" s="4"/>
    </row>
    <row r="358" customHeight="1" spans="1:2">
      <c r="A358" s="3" t="s">
        <v>20810</v>
      </c>
      <c r="B358" s="4"/>
    </row>
    <row r="359" customHeight="1" spans="1:2">
      <c r="A359" s="3" t="s">
        <v>19372</v>
      </c>
      <c r="B359" s="4">
        <v>1111615</v>
      </c>
    </row>
    <row r="360" customHeight="1" spans="1:2">
      <c r="A360" s="3" t="s">
        <v>8909</v>
      </c>
      <c r="B360" s="4">
        <v>2353728</v>
      </c>
    </row>
    <row r="361" customHeight="1" spans="1:2">
      <c r="A361" s="3" t="s">
        <v>1876</v>
      </c>
      <c r="B361" s="4">
        <v>47456450</v>
      </c>
    </row>
    <row r="362" customHeight="1" spans="1:2">
      <c r="A362" s="3" t="s">
        <v>18596</v>
      </c>
      <c r="B362" s="4">
        <v>16067035</v>
      </c>
    </row>
    <row r="363" customHeight="1" spans="1:2">
      <c r="A363" s="3" t="s">
        <v>12026</v>
      </c>
      <c r="B363" s="4"/>
    </row>
    <row r="364" customHeight="1" spans="1:2">
      <c r="A364" s="3" t="s">
        <v>23060</v>
      </c>
      <c r="B364" s="4"/>
    </row>
    <row r="365" customHeight="1" spans="1:2">
      <c r="A365" s="3" t="s">
        <v>16302</v>
      </c>
      <c r="B365" s="4"/>
    </row>
    <row r="366" customHeight="1" spans="1:2">
      <c r="A366" s="3" t="s">
        <v>18397</v>
      </c>
      <c r="B366" s="4">
        <v>22494487</v>
      </c>
    </row>
    <row r="367" customHeight="1" spans="1:2">
      <c r="A367" s="3" t="s">
        <v>2456</v>
      </c>
      <c r="B367" s="4">
        <v>75530832</v>
      </c>
    </row>
    <row r="368" customHeight="1" spans="1:2">
      <c r="A368" s="3" t="s">
        <v>13116</v>
      </c>
      <c r="B368" s="4"/>
    </row>
    <row r="369" customHeight="1" spans="1:2">
      <c r="A369" s="3" t="s">
        <v>24080</v>
      </c>
      <c r="B369" s="4"/>
    </row>
    <row r="370" customHeight="1" spans="1:2">
      <c r="A370" s="3" t="s">
        <v>13178</v>
      </c>
      <c r="B370" s="4">
        <v>1602466</v>
      </c>
    </row>
    <row r="371" customHeight="1" spans="1:2">
      <c r="A371" s="3" t="s">
        <v>15308</v>
      </c>
      <c r="B371" s="4">
        <v>24138847</v>
      </c>
    </row>
    <row r="372" customHeight="1" spans="1:2">
      <c r="A372" s="3" t="s">
        <v>2781</v>
      </c>
      <c r="B372" s="4">
        <v>49875589</v>
      </c>
    </row>
    <row r="373" customHeight="1" spans="1:2">
      <c r="A373" s="3" t="s">
        <v>16842</v>
      </c>
      <c r="B373" s="4">
        <v>4170647</v>
      </c>
    </row>
    <row r="374" customHeight="1" spans="1:2">
      <c r="A374" s="3" t="s">
        <v>6250</v>
      </c>
      <c r="B374" s="4">
        <v>7501404</v>
      </c>
    </row>
    <row r="375" customHeight="1" spans="1:2">
      <c r="A375" s="3" t="s">
        <v>5146</v>
      </c>
      <c r="B375" s="4">
        <v>39532308</v>
      </c>
    </row>
    <row r="376" customHeight="1" spans="1:2">
      <c r="A376" s="3" t="s">
        <v>6639</v>
      </c>
      <c r="B376" s="4">
        <v>44087387</v>
      </c>
    </row>
    <row r="377" customHeight="1" spans="1:2">
      <c r="A377" s="3" t="s">
        <v>4005</v>
      </c>
      <c r="B377" s="4">
        <v>159578352</v>
      </c>
    </row>
    <row r="378" customHeight="1" spans="1:2">
      <c r="A378" s="3" t="s">
        <v>257</v>
      </c>
      <c r="B378" s="4">
        <v>362645141</v>
      </c>
    </row>
    <row r="379" customHeight="1" spans="1:2">
      <c r="A379" s="3" t="s">
        <v>2262</v>
      </c>
      <c r="B379" s="4">
        <v>42345531</v>
      </c>
    </row>
    <row r="380" customHeight="1" spans="1:2">
      <c r="A380" s="3" t="s">
        <v>8281</v>
      </c>
      <c r="B380" s="4"/>
    </row>
    <row r="381" customHeight="1" spans="1:2">
      <c r="A381" s="3" t="s">
        <v>7339</v>
      </c>
      <c r="B381" s="4"/>
    </row>
    <row r="382" customHeight="1" spans="1:2">
      <c r="A382" s="3" t="s">
        <v>10854</v>
      </c>
      <c r="B382" s="4">
        <v>61356221</v>
      </c>
    </row>
    <row r="383" customHeight="1" spans="1:2">
      <c r="A383" s="3" t="s">
        <v>23312</v>
      </c>
      <c r="B383" s="4"/>
    </row>
    <row r="384" customHeight="1" spans="1:2">
      <c r="A384" s="3" t="s">
        <v>10508</v>
      </c>
      <c r="B384" s="4">
        <v>10494147</v>
      </c>
    </row>
    <row r="385" customHeight="1" spans="1:2">
      <c r="A385" s="3" t="s">
        <v>1151</v>
      </c>
      <c r="B385" s="4"/>
    </row>
    <row r="386" customHeight="1" spans="1:2">
      <c r="A386" s="3" t="s">
        <v>17139</v>
      </c>
      <c r="B386" s="4">
        <v>22202612</v>
      </c>
    </row>
    <row r="387" customHeight="1" spans="1:2">
      <c r="A387" s="3" t="s">
        <v>13908</v>
      </c>
      <c r="B387" s="4">
        <v>882290</v>
      </c>
    </row>
    <row r="388" customHeight="1" spans="1:2">
      <c r="A388" s="3" t="s">
        <v>1791</v>
      </c>
      <c r="B388" s="4">
        <v>47000485</v>
      </c>
    </row>
    <row r="389" customHeight="1" spans="1:2">
      <c r="A389" s="3" t="s">
        <v>4928</v>
      </c>
      <c r="B389" s="4">
        <v>33037754</v>
      </c>
    </row>
    <row r="390" customHeight="1" spans="1:2">
      <c r="A390" s="3" t="s">
        <v>21967</v>
      </c>
      <c r="B390" s="4"/>
    </row>
    <row r="391" customHeight="1" spans="1:2">
      <c r="A391" s="3" t="s">
        <v>14136</v>
      </c>
      <c r="B391" s="4">
        <v>37295394</v>
      </c>
    </row>
    <row r="392" customHeight="1" spans="1:2">
      <c r="A392" s="3" t="s">
        <v>6218</v>
      </c>
      <c r="B392" s="4">
        <v>12026670</v>
      </c>
    </row>
    <row r="393" customHeight="1" spans="1:2">
      <c r="A393" s="3" t="s">
        <v>19958</v>
      </c>
      <c r="B393" s="4">
        <v>78030</v>
      </c>
    </row>
    <row r="394" customHeight="1" spans="1:2">
      <c r="A394" s="3" t="s">
        <v>10203</v>
      </c>
      <c r="B394" s="4">
        <v>47811275</v>
      </c>
    </row>
    <row r="395" customHeight="1" spans="1:2">
      <c r="A395" s="3" t="s">
        <v>2520</v>
      </c>
      <c r="B395" s="4">
        <v>50189179</v>
      </c>
    </row>
    <row r="396" customHeight="1" spans="1:2">
      <c r="A396" s="3" t="s">
        <v>6567</v>
      </c>
      <c r="B396" s="4">
        <v>5532301</v>
      </c>
    </row>
    <row r="397" customHeight="1" spans="1:2">
      <c r="A397" s="3" t="s">
        <v>763</v>
      </c>
      <c r="B397" s="4">
        <v>155181732</v>
      </c>
    </row>
    <row r="398" customHeight="1" spans="1:2">
      <c r="A398" s="3" t="s">
        <v>18925</v>
      </c>
      <c r="B398" s="4"/>
    </row>
    <row r="399" customHeight="1" spans="1:2">
      <c r="A399" s="3" t="s">
        <v>19623</v>
      </c>
      <c r="B399" s="4">
        <v>592014</v>
      </c>
    </row>
    <row r="400" customHeight="1" spans="1:2">
      <c r="A400" s="3" t="s">
        <v>1855</v>
      </c>
      <c r="B400" s="4">
        <v>55585389</v>
      </c>
    </row>
    <row r="401" customHeight="1" spans="1:2">
      <c r="A401" s="3" t="s">
        <v>21784</v>
      </c>
      <c r="B401" s="4"/>
    </row>
    <row r="402" customHeight="1" spans="1:2">
      <c r="A402" s="3" t="s">
        <v>2539</v>
      </c>
      <c r="B402" s="4">
        <v>56443482</v>
      </c>
    </row>
    <row r="403" customHeight="1" spans="1:2">
      <c r="A403" s="3" t="s">
        <v>7119</v>
      </c>
      <c r="B403" s="4">
        <v>33687630</v>
      </c>
    </row>
    <row r="404" customHeight="1" spans="1:2">
      <c r="A404" s="3" t="s">
        <v>6145</v>
      </c>
      <c r="B404" s="4">
        <v>21129348</v>
      </c>
    </row>
    <row r="405" customHeight="1" spans="1:2">
      <c r="A405" s="3" t="s">
        <v>8975</v>
      </c>
      <c r="B405" s="4">
        <v>263365</v>
      </c>
    </row>
    <row r="406" customHeight="1" spans="1:2">
      <c r="A406" s="3" t="s">
        <v>14750</v>
      </c>
      <c r="B406" s="4">
        <v>4859475</v>
      </c>
    </row>
    <row r="407" customHeight="1" spans="1:2">
      <c r="A407" s="3" t="s">
        <v>21369</v>
      </c>
      <c r="B407" s="4"/>
    </row>
    <row r="408" customHeight="1" spans="1:2">
      <c r="A408" s="3" t="s">
        <v>15546</v>
      </c>
      <c r="B408" s="4">
        <v>4700361</v>
      </c>
    </row>
    <row r="409" customHeight="1" spans="1:2">
      <c r="A409" s="3" t="s">
        <v>13722</v>
      </c>
      <c r="B409" s="4">
        <v>17536788</v>
      </c>
    </row>
    <row r="410" customHeight="1" spans="1:2">
      <c r="A410" s="3" t="s">
        <v>8247</v>
      </c>
      <c r="B410" s="4">
        <v>82624961</v>
      </c>
    </row>
    <row r="411" customHeight="1" spans="1:2">
      <c r="A411" s="3" t="s">
        <v>16600</v>
      </c>
      <c r="B411" s="4"/>
    </row>
    <row r="412" customHeight="1" spans="1:2">
      <c r="A412" s="3" t="s">
        <v>6913</v>
      </c>
      <c r="B412" s="4">
        <v>121945720</v>
      </c>
    </row>
    <row r="413" customHeight="1" spans="1:2">
      <c r="A413" s="3" t="s">
        <v>21755</v>
      </c>
      <c r="B413" s="4"/>
    </row>
    <row r="414" customHeight="1" spans="1:2">
      <c r="A414" s="3" t="s">
        <v>1180</v>
      </c>
      <c r="B414" s="4">
        <v>75817994</v>
      </c>
    </row>
    <row r="415" customHeight="1" spans="1:2">
      <c r="A415" s="3" t="s">
        <v>12668</v>
      </c>
      <c r="B415" s="4">
        <v>4356743</v>
      </c>
    </row>
    <row r="416" customHeight="1" spans="1:2">
      <c r="A416" s="3" t="s">
        <v>1614</v>
      </c>
      <c r="B416" s="4">
        <v>19480739</v>
      </c>
    </row>
    <row r="417" customHeight="1" spans="1:2">
      <c r="A417" s="3" t="s">
        <v>13334</v>
      </c>
      <c r="B417" s="4"/>
    </row>
    <row r="418" customHeight="1" spans="1:2">
      <c r="A418" s="3" t="s">
        <v>18663</v>
      </c>
      <c r="B418" s="4"/>
    </row>
    <row r="419" customHeight="1" spans="1:2">
      <c r="A419" s="3" t="s">
        <v>3507</v>
      </c>
      <c r="B419" s="4"/>
    </row>
    <row r="420" customHeight="1" spans="1:2">
      <c r="A420" s="3" t="s">
        <v>1513</v>
      </c>
      <c r="B420" s="4">
        <v>90443603</v>
      </c>
    </row>
    <row r="421" customHeight="1" spans="1:2">
      <c r="A421" s="3" t="s">
        <v>9100</v>
      </c>
      <c r="B421" s="4">
        <v>8396942</v>
      </c>
    </row>
    <row r="422" customHeight="1" spans="1:2">
      <c r="A422" s="3" t="s">
        <v>20295</v>
      </c>
      <c r="B422" s="4">
        <v>24705</v>
      </c>
    </row>
    <row r="423" customHeight="1" spans="1:2">
      <c r="A423" s="3" t="s">
        <v>22564</v>
      </c>
      <c r="B423" s="4"/>
    </row>
    <row r="424" customHeight="1" spans="1:2">
      <c r="A424" s="3" t="s">
        <v>9682</v>
      </c>
      <c r="B424" s="4">
        <v>27154426</v>
      </c>
    </row>
    <row r="425" customHeight="1" spans="1:2">
      <c r="A425" s="3" t="s">
        <v>3976</v>
      </c>
      <c r="B425" s="4">
        <v>24520892</v>
      </c>
    </row>
    <row r="426" customHeight="1" spans="1:2">
      <c r="A426" s="3" t="s">
        <v>22079</v>
      </c>
      <c r="B426" s="4"/>
    </row>
    <row r="427" customHeight="1" spans="1:2">
      <c r="A427" s="3" t="s">
        <v>2986</v>
      </c>
      <c r="B427" s="4">
        <v>16088610</v>
      </c>
    </row>
    <row r="428" customHeight="1" spans="1:2">
      <c r="A428" s="3" t="s">
        <v>19324</v>
      </c>
      <c r="B428" s="4">
        <v>39552600</v>
      </c>
    </row>
    <row r="429" customHeight="1" spans="1:2">
      <c r="A429" s="3" t="s">
        <v>19730</v>
      </c>
      <c r="B429" s="4">
        <v>32631</v>
      </c>
    </row>
    <row r="430" customHeight="1" spans="1:2">
      <c r="A430" s="3" t="s">
        <v>4386</v>
      </c>
      <c r="B430" s="4">
        <v>41797066</v>
      </c>
    </row>
    <row r="431" customHeight="1" spans="1:2">
      <c r="A431" s="3" t="s">
        <v>23623</v>
      </c>
      <c r="B431" s="4"/>
    </row>
    <row r="432" customHeight="1" spans="1:2">
      <c r="A432" s="3" t="s">
        <v>10447</v>
      </c>
      <c r="B432" s="4">
        <v>12212417</v>
      </c>
    </row>
    <row r="433" customHeight="1" spans="1:2">
      <c r="A433" s="3" t="s">
        <v>23776</v>
      </c>
      <c r="B433" s="4"/>
    </row>
    <row r="434" customHeight="1" spans="1:2">
      <c r="A434" s="3" t="s">
        <v>14757</v>
      </c>
      <c r="B434" s="4">
        <v>3588432</v>
      </c>
    </row>
    <row r="435" customHeight="1" spans="1:2">
      <c r="A435" s="3" t="s">
        <v>6920</v>
      </c>
      <c r="B435" s="4">
        <v>169705587</v>
      </c>
    </row>
    <row r="436" customHeight="1" spans="1:2">
      <c r="A436" s="3" t="s">
        <v>22201</v>
      </c>
      <c r="B436" s="4"/>
    </row>
    <row r="437" customHeight="1" spans="1:2">
      <c r="A437" s="3" t="s">
        <v>1790</v>
      </c>
      <c r="B437" s="4">
        <v>43426961</v>
      </c>
    </row>
    <row r="438" customHeight="1" spans="1:2">
      <c r="A438" s="3" t="s">
        <v>854</v>
      </c>
      <c r="B438" s="4">
        <v>35799026</v>
      </c>
    </row>
    <row r="439" customHeight="1" spans="1:2">
      <c r="A439" s="3" t="s">
        <v>20751</v>
      </c>
      <c r="B439" s="4"/>
    </row>
    <row r="440" customHeight="1" spans="1:2">
      <c r="A440" s="3" t="s">
        <v>18499</v>
      </c>
      <c r="B440" s="4"/>
    </row>
    <row r="441" customHeight="1" spans="1:2">
      <c r="A441" s="3" t="s">
        <v>9150</v>
      </c>
      <c r="B441" s="4"/>
    </row>
    <row r="442" customHeight="1" spans="1:2">
      <c r="A442" s="3" t="s">
        <v>18419</v>
      </c>
      <c r="B442" s="4">
        <v>2812029</v>
      </c>
    </row>
    <row r="443" customHeight="1" spans="1:2">
      <c r="A443" s="3" t="s">
        <v>897</v>
      </c>
      <c r="B443" s="4">
        <v>146282411</v>
      </c>
    </row>
    <row r="444" customHeight="1" spans="1:2">
      <c r="A444" s="3" t="s">
        <v>22294</v>
      </c>
      <c r="B444" s="4"/>
    </row>
    <row r="445" customHeight="1" spans="1:2">
      <c r="A445" s="3" t="s">
        <v>23750</v>
      </c>
      <c r="B445" s="4"/>
    </row>
    <row r="446" customHeight="1" spans="1:2">
      <c r="A446" s="3" t="s">
        <v>20087</v>
      </c>
      <c r="B446" s="4"/>
    </row>
    <row r="447" customHeight="1" spans="1:2">
      <c r="A447" s="3" t="s">
        <v>18326</v>
      </c>
      <c r="B447" s="4">
        <v>19539</v>
      </c>
    </row>
    <row r="448" customHeight="1" spans="1:2">
      <c r="A448" s="3" t="s">
        <v>10794</v>
      </c>
      <c r="B448" s="4">
        <v>7691700</v>
      </c>
    </row>
    <row r="449" customHeight="1" spans="1:2">
      <c r="A449" s="3" t="s">
        <v>19007</v>
      </c>
      <c r="B449" s="4">
        <v>442638</v>
      </c>
    </row>
    <row r="450" customHeight="1" spans="1:2">
      <c r="A450" s="3" t="s">
        <v>21075</v>
      </c>
      <c r="B450" s="4"/>
    </row>
    <row r="451" customHeight="1" spans="1:2">
      <c r="A451" s="3" t="s">
        <v>20481</v>
      </c>
      <c r="B451" s="4"/>
    </row>
    <row r="452" customHeight="1" spans="1:2">
      <c r="A452" s="3" t="s">
        <v>14135</v>
      </c>
      <c r="B452" s="4">
        <v>31973840</v>
      </c>
    </row>
    <row r="453" customHeight="1" spans="1:2">
      <c r="A453" s="3" t="s">
        <v>18504</v>
      </c>
      <c r="B453" s="4">
        <v>1400000</v>
      </c>
    </row>
    <row r="454" customHeight="1" spans="1:2">
      <c r="A454" s="3" t="s">
        <v>16656</v>
      </c>
      <c r="B454" s="4">
        <v>2277396</v>
      </c>
    </row>
    <row r="455" customHeight="1" spans="1:2">
      <c r="A455" s="3" t="s">
        <v>14074</v>
      </c>
      <c r="B455" s="4">
        <v>143492840</v>
      </c>
    </row>
    <row r="456" customHeight="1" spans="1:2">
      <c r="A456" s="3" t="s">
        <v>21543</v>
      </c>
      <c r="B456" s="4"/>
    </row>
    <row r="457" customHeight="1" spans="1:2">
      <c r="A457" s="3" t="s">
        <v>19560</v>
      </c>
      <c r="B457" s="4"/>
    </row>
    <row r="458" customHeight="1" spans="1:2">
      <c r="A458" s="3" t="s">
        <v>22837</v>
      </c>
      <c r="B458" s="4"/>
    </row>
    <row r="459" customHeight="1" spans="1:2">
      <c r="A459" s="3" t="s">
        <v>18548</v>
      </c>
      <c r="B459" s="4">
        <v>117235247</v>
      </c>
    </row>
    <row r="460" customHeight="1" spans="1:2">
      <c r="A460" s="3" t="s">
        <v>4557</v>
      </c>
      <c r="B460" s="4">
        <v>14018364</v>
      </c>
    </row>
    <row r="461" customHeight="1" spans="1:2">
      <c r="A461" s="3" t="s">
        <v>24022</v>
      </c>
      <c r="B461" s="4"/>
    </row>
    <row r="462" customHeight="1" spans="1:2">
      <c r="A462" s="3" t="s">
        <v>6857</v>
      </c>
      <c r="B462" s="4"/>
    </row>
    <row r="463" customHeight="1" spans="1:2">
      <c r="A463" s="3" t="s">
        <v>7429</v>
      </c>
      <c r="B463" s="4">
        <v>34014398</v>
      </c>
    </row>
    <row r="464" customHeight="1" spans="1:2">
      <c r="A464" s="3" t="s">
        <v>3567</v>
      </c>
      <c r="B464" s="4">
        <v>12802907</v>
      </c>
    </row>
    <row r="465" customHeight="1" spans="1:2">
      <c r="A465" s="3" t="s">
        <v>17365</v>
      </c>
      <c r="B465" s="4"/>
    </row>
    <row r="466" customHeight="1" spans="1:2">
      <c r="A466" s="3" t="s">
        <v>19325</v>
      </c>
      <c r="B466" s="4">
        <v>30500882</v>
      </c>
    </row>
    <row r="467" customHeight="1" spans="1:2">
      <c r="A467" s="3" t="s">
        <v>1371</v>
      </c>
      <c r="B467" s="4">
        <v>13401683</v>
      </c>
    </row>
    <row r="468" customHeight="1" spans="1:2">
      <c r="A468" s="3" t="s">
        <v>8639</v>
      </c>
      <c r="B468" s="4">
        <v>15408822</v>
      </c>
    </row>
    <row r="469" customHeight="1" spans="1:2">
      <c r="A469" s="3" t="s">
        <v>673</v>
      </c>
      <c r="B469" s="4">
        <v>108521835</v>
      </c>
    </row>
    <row r="470" customHeight="1" spans="1:2">
      <c r="A470" s="3" t="s">
        <v>6931</v>
      </c>
      <c r="B470" s="4">
        <v>82163317</v>
      </c>
    </row>
    <row r="471" customHeight="1" spans="1:2">
      <c r="A471" s="3" t="s">
        <v>13264</v>
      </c>
      <c r="B471" s="4">
        <v>90400000</v>
      </c>
    </row>
    <row r="472" customHeight="1" spans="1:2">
      <c r="A472" s="3" t="s">
        <v>8257</v>
      </c>
      <c r="B472" s="4">
        <v>56398162</v>
      </c>
    </row>
    <row r="473" customHeight="1" spans="1:2">
      <c r="A473" s="3" t="s">
        <v>1201</v>
      </c>
      <c r="B473" s="4">
        <v>61355436</v>
      </c>
    </row>
    <row r="474" customHeight="1" spans="1:2">
      <c r="A474" s="3" t="s">
        <v>6076</v>
      </c>
      <c r="B474" s="4">
        <v>34703228</v>
      </c>
    </row>
    <row r="475" customHeight="1" spans="1:2">
      <c r="A475" s="3" t="s">
        <v>8474</v>
      </c>
      <c r="B475" s="4">
        <v>23179303</v>
      </c>
    </row>
    <row r="476" customHeight="1" spans="1:2">
      <c r="A476" s="3" t="s">
        <v>20317</v>
      </c>
      <c r="B476" s="4">
        <v>2856622</v>
      </c>
    </row>
    <row r="477" customHeight="1" spans="1:2">
      <c r="A477" s="3" t="s">
        <v>7603</v>
      </c>
      <c r="B477" s="4">
        <v>4308981</v>
      </c>
    </row>
    <row r="478" customHeight="1" spans="1:2">
      <c r="A478" s="3" t="s">
        <v>14892</v>
      </c>
      <c r="B478" s="4"/>
    </row>
    <row r="479" customHeight="1" spans="1:2">
      <c r="A479" s="3" t="s">
        <v>2915</v>
      </c>
      <c r="B479" s="4">
        <v>34350553</v>
      </c>
    </row>
    <row r="480" customHeight="1" spans="1:2">
      <c r="A480" s="3" t="s">
        <v>9432</v>
      </c>
      <c r="B480" s="4">
        <v>5333658</v>
      </c>
    </row>
    <row r="481" customHeight="1" spans="1:2">
      <c r="A481" s="3" t="s">
        <v>12257</v>
      </c>
      <c r="B481" s="4">
        <v>63319509</v>
      </c>
    </row>
    <row r="482" customHeight="1" spans="1:2">
      <c r="A482" s="3" t="s">
        <v>17415</v>
      </c>
      <c r="B482" s="4"/>
    </row>
    <row r="483" customHeight="1" spans="1:2">
      <c r="A483" s="3" t="s">
        <v>853</v>
      </c>
      <c r="B483" s="4"/>
    </row>
    <row r="484" customHeight="1" spans="1:2">
      <c r="A484" s="3" t="s">
        <v>21891</v>
      </c>
      <c r="B484" s="4"/>
    </row>
    <row r="485" customHeight="1" spans="1:2">
      <c r="A485" s="3" t="s">
        <v>16437</v>
      </c>
      <c r="B485" s="4"/>
    </row>
    <row r="486" customHeight="1" spans="1:2">
      <c r="A486" s="3" t="s">
        <v>13356</v>
      </c>
      <c r="B486" s="4">
        <v>454255</v>
      </c>
    </row>
    <row r="487" customHeight="1" spans="1:2">
      <c r="A487" s="3" t="s">
        <v>21194</v>
      </c>
      <c r="B487" s="4"/>
    </row>
    <row r="488" customHeight="1" spans="1:2">
      <c r="A488" s="3" t="s">
        <v>3126</v>
      </c>
      <c r="B488" s="4">
        <v>90567722</v>
      </c>
    </row>
    <row r="489" customHeight="1" spans="1:2">
      <c r="A489" s="3" t="s">
        <v>296</v>
      </c>
      <c r="B489" s="4">
        <v>217387997</v>
      </c>
    </row>
    <row r="490" customHeight="1" spans="1:2">
      <c r="A490" s="3" t="s">
        <v>23521</v>
      </c>
      <c r="B490" s="4"/>
    </row>
    <row r="491" customHeight="1" spans="1:2">
      <c r="A491" s="3" t="s">
        <v>496</v>
      </c>
      <c r="B491" s="4">
        <v>129734803</v>
      </c>
    </row>
    <row r="492" customHeight="1" spans="1:2">
      <c r="A492" s="3" t="s">
        <v>2625</v>
      </c>
      <c r="B492" s="4">
        <v>43290977</v>
      </c>
    </row>
    <row r="493" customHeight="1" spans="1:2">
      <c r="A493" s="3" t="s">
        <v>18608</v>
      </c>
      <c r="B493" s="4">
        <v>10042266</v>
      </c>
    </row>
    <row r="494" customHeight="1" spans="1:2">
      <c r="A494" s="3" t="s">
        <v>14391</v>
      </c>
      <c r="B494" s="4">
        <v>532988</v>
      </c>
    </row>
    <row r="495" customHeight="1" spans="1:2">
      <c r="A495" s="3" t="s">
        <v>21089</v>
      </c>
      <c r="B495" s="4"/>
    </row>
    <row r="496" customHeight="1" spans="1:2">
      <c r="A496" s="3" t="s">
        <v>10668</v>
      </c>
      <c r="B496" s="4">
        <v>1953732</v>
      </c>
    </row>
    <row r="497" customHeight="1" spans="1:2">
      <c r="A497" s="3" t="s">
        <v>19803</v>
      </c>
      <c r="B497" s="4"/>
    </row>
    <row r="498" customHeight="1" spans="1:2">
      <c r="A498" s="3" t="s">
        <v>13395</v>
      </c>
      <c r="B498" s="4">
        <v>1046166</v>
      </c>
    </row>
    <row r="499" customHeight="1" spans="1:2">
      <c r="A499" s="3" t="s">
        <v>18870</v>
      </c>
      <c r="B499" s="4"/>
    </row>
    <row r="500" customHeight="1" spans="1:2">
      <c r="A500" s="3" t="s">
        <v>7178</v>
      </c>
      <c r="B500" s="4">
        <v>24381334</v>
      </c>
    </row>
    <row r="501" customHeight="1" spans="1:2">
      <c r="A501" s="3" t="s">
        <v>19775</v>
      </c>
      <c r="B501" s="4">
        <v>12006514</v>
      </c>
    </row>
    <row r="502" customHeight="1" spans="1:2">
      <c r="A502" s="3" t="s">
        <v>16591</v>
      </c>
      <c r="B502" s="4">
        <v>13092000</v>
      </c>
    </row>
    <row r="503" customHeight="1" spans="1:2">
      <c r="A503" s="3" t="s">
        <v>21628</v>
      </c>
      <c r="B503" s="4"/>
    </row>
    <row r="504" customHeight="1" spans="1:2">
      <c r="A504" s="3" t="s">
        <v>15571</v>
      </c>
      <c r="B504" s="4">
        <v>2221809</v>
      </c>
    </row>
    <row r="505" customHeight="1" spans="1:2">
      <c r="A505" s="3" t="s">
        <v>23184</v>
      </c>
      <c r="B505" s="4"/>
    </row>
    <row r="506" customHeight="1" spans="1:2">
      <c r="A506" s="3" t="s">
        <v>24033</v>
      </c>
      <c r="B506" s="4"/>
    </row>
    <row r="507" customHeight="1" spans="1:2">
      <c r="A507" s="3" t="s">
        <v>18858</v>
      </c>
      <c r="B507" s="4"/>
    </row>
    <row r="508" customHeight="1" spans="1:2">
      <c r="A508" s="3" t="s">
        <v>3820</v>
      </c>
      <c r="B508" s="4">
        <v>32003620</v>
      </c>
    </row>
    <row r="509" customHeight="1" spans="1:2">
      <c r="A509" s="3" t="s">
        <v>20256</v>
      </c>
      <c r="B509" s="4"/>
    </row>
    <row r="510" customHeight="1" spans="1:2">
      <c r="A510" s="3" t="s">
        <v>9136</v>
      </c>
      <c r="B510" s="4">
        <v>22245861</v>
      </c>
    </row>
    <row r="511" customHeight="1" spans="1:2">
      <c r="A511" s="3" t="s">
        <v>11828</v>
      </c>
      <c r="B511" s="4">
        <v>1702277</v>
      </c>
    </row>
    <row r="512" customHeight="1" spans="1:2">
      <c r="A512" s="3" t="s">
        <v>4545</v>
      </c>
      <c r="B512" s="4">
        <v>14448589</v>
      </c>
    </row>
    <row r="513" customHeight="1" spans="1:2">
      <c r="A513" s="3" t="s">
        <v>22400</v>
      </c>
      <c r="B513" s="4"/>
    </row>
    <row r="514" customHeight="1" spans="1:2">
      <c r="A514" s="3" t="s">
        <v>21264</v>
      </c>
      <c r="B514" s="4"/>
    </row>
    <row r="515" customHeight="1" spans="1:2">
      <c r="A515" s="3" t="s">
        <v>23883</v>
      </c>
      <c r="B515" s="4"/>
    </row>
    <row r="516" customHeight="1" spans="1:2">
      <c r="A516" s="3" t="s">
        <v>3048</v>
      </c>
      <c r="B516" s="4">
        <v>57386369</v>
      </c>
    </row>
    <row r="517" customHeight="1" spans="1:2">
      <c r="A517" s="3" t="s">
        <v>10776</v>
      </c>
      <c r="B517" s="4"/>
    </row>
    <row r="518" customHeight="1" spans="1:2">
      <c r="A518" s="3" t="s">
        <v>13341</v>
      </c>
      <c r="B518" s="4">
        <v>1530535</v>
      </c>
    </row>
    <row r="519" customHeight="1" spans="1:2">
      <c r="A519" s="3" t="s">
        <v>2809</v>
      </c>
      <c r="B519" s="4">
        <v>25528495</v>
      </c>
    </row>
    <row r="520" customHeight="1" spans="1:2">
      <c r="A520" s="3" t="s">
        <v>7650</v>
      </c>
      <c r="B520" s="4">
        <v>53302314</v>
      </c>
    </row>
    <row r="521" customHeight="1" spans="1:2">
      <c r="A521" s="3" t="s">
        <v>1485</v>
      </c>
      <c r="B521" s="4">
        <v>103028109</v>
      </c>
    </row>
    <row r="522" customHeight="1" spans="1:2">
      <c r="A522" s="3" t="s">
        <v>19975</v>
      </c>
      <c r="B522" s="4">
        <v>32154410</v>
      </c>
    </row>
    <row r="523" customHeight="1" spans="1:2">
      <c r="A523" s="3" t="s">
        <v>20199</v>
      </c>
      <c r="B523" s="4"/>
    </row>
    <row r="524" customHeight="1" spans="1:2">
      <c r="A524" s="3" t="s">
        <v>24061</v>
      </c>
      <c r="B524" s="4"/>
    </row>
    <row r="525" customHeight="1" spans="1:2">
      <c r="A525" s="3" t="s">
        <v>23067</v>
      </c>
      <c r="B525" s="4"/>
    </row>
    <row r="526" customHeight="1" spans="1:2">
      <c r="A526" s="3" t="s">
        <v>18905</v>
      </c>
      <c r="B526" s="4"/>
    </row>
    <row r="527" customHeight="1" spans="1:2">
      <c r="A527" s="3" t="s">
        <v>7415</v>
      </c>
      <c r="B527" s="4">
        <v>5654777</v>
      </c>
    </row>
    <row r="528" customHeight="1" spans="1:2">
      <c r="A528" s="3" t="s">
        <v>6503</v>
      </c>
      <c r="B528" s="4">
        <v>39514713</v>
      </c>
    </row>
    <row r="529" customHeight="1" spans="1:2">
      <c r="A529" s="3" t="s">
        <v>23893</v>
      </c>
      <c r="B529" s="4"/>
    </row>
    <row r="530" customHeight="1" spans="1:2">
      <c r="A530" s="3" t="s">
        <v>6305</v>
      </c>
      <c r="B530" s="4"/>
    </row>
    <row r="531" customHeight="1" spans="1:2">
      <c r="A531" s="3" t="s">
        <v>9792</v>
      </c>
      <c r="B531" s="4">
        <v>13005485</v>
      </c>
    </row>
    <row r="532" customHeight="1" spans="1:2">
      <c r="A532" s="3" t="s">
        <v>13544</v>
      </c>
      <c r="B532" s="4">
        <v>90800000</v>
      </c>
    </row>
    <row r="533" customHeight="1" spans="1:2">
      <c r="A533" s="3" t="s">
        <v>13629</v>
      </c>
      <c r="B533" s="4">
        <v>26049082</v>
      </c>
    </row>
    <row r="534" customHeight="1" spans="1:2">
      <c r="A534" s="3" t="s">
        <v>17344</v>
      </c>
      <c r="B534" s="4">
        <v>438653</v>
      </c>
    </row>
    <row r="535" customHeight="1" spans="1:2">
      <c r="A535" s="3" t="s">
        <v>9016</v>
      </c>
      <c r="B535" s="4">
        <v>8047690</v>
      </c>
    </row>
    <row r="536" customHeight="1" spans="1:2">
      <c r="A536" s="3" t="s">
        <v>2169</v>
      </c>
      <c r="B536" s="4">
        <v>182805123</v>
      </c>
    </row>
    <row r="537" customHeight="1" spans="1:2">
      <c r="A537" s="3" t="s">
        <v>16774</v>
      </c>
      <c r="B537" s="4"/>
    </row>
    <row r="538" customHeight="1" spans="1:2">
      <c r="A538" s="3" t="s">
        <v>8981</v>
      </c>
      <c r="B538" s="4"/>
    </row>
    <row r="539" customHeight="1" spans="1:2">
      <c r="A539" s="3" t="s">
        <v>10507</v>
      </c>
      <c r="B539" s="4">
        <v>10443316</v>
      </c>
    </row>
    <row r="540" customHeight="1" spans="1:2">
      <c r="A540" s="3" t="s">
        <v>3132</v>
      </c>
      <c r="B540" s="4">
        <v>72601713</v>
      </c>
    </row>
    <row r="541" customHeight="1" spans="1:2">
      <c r="A541" s="3" t="s">
        <v>3447</v>
      </c>
      <c r="B541" s="4">
        <v>25407250</v>
      </c>
    </row>
    <row r="542" customHeight="1" spans="1:2">
      <c r="A542" s="3" t="s">
        <v>20179</v>
      </c>
      <c r="B542" s="4"/>
    </row>
    <row r="543" customHeight="1" spans="1:2">
      <c r="A543" s="3" t="s">
        <v>2911</v>
      </c>
      <c r="B543" s="4">
        <v>76137505</v>
      </c>
    </row>
    <row r="544" customHeight="1" spans="1:2">
      <c r="A544" s="3" t="s">
        <v>4309</v>
      </c>
      <c r="B544" s="4">
        <v>54967359</v>
      </c>
    </row>
    <row r="545" customHeight="1" spans="1:2">
      <c r="A545" s="3" t="s">
        <v>9439</v>
      </c>
      <c r="B545" s="4">
        <v>4806750</v>
      </c>
    </row>
    <row r="546" customHeight="1" spans="1:2">
      <c r="A546" s="3" t="s">
        <v>1925</v>
      </c>
      <c r="B546" s="4">
        <v>152149590</v>
      </c>
    </row>
    <row r="547" customHeight="1" spans="1:2">
      <c r="A547" s="3" t="s">
        <v>20817</v>
      </c>
      <c r="B547" s="4"/>
    </row>
    <row r="548" customHeight="1" spans="1:2">
      <c r="A548" s="3" t="s">
        <v>1025</v>
      </c>
      <c r="B548" s="4">
        <v>63540020</v>
      </c>
    </row>
    <row r="549" customHeight="1" spans="1:2">
      <c r="A549" s="3" t="s">
        <v>5300</v>
      </c>
      <c r="B549" s="4">
        <v>17609982</v>
      </c>
    </row>
    <row r="550" customHeight="1" spans="1:2">
      <c r="A550" s="3" t="s">
        <v>5870</v>
      </c>
      <c r="B550" s="4">
        <v>66359959</v>
      </c>
    </row>
    <row r="551" customHeight="1" spans="1:2">
      <c r="A551" s="3" t="s">
        <v>12227</v>
      </c>
      <c r="B551" s="4">
        <v>80150343</v>
      </c>
    </row>
    <row r="552" customHeight="1" spans="1:2">
      <c r="A552" s="3" t="s">
        <v>1142</v>
      </c>
      <c r="B552" s="4">
        <v>100012500</v>
      </c>
    </row>
    <row r="553" customHeight="1" spans="1:2">
      <c r="A553" s="3" t="s">
        <v>1893</v>
      </c>
      <c r="B553" s="4">
        <v>62647540</v>
      </c>
    </row>
    <row r="554" customHeight="1" spans="1:2">
      <c r="A554" s="3" t="s">
        <v>2444</v>
      </c>
      <c r="B554" s="4">
        <v>75764085</v>
      </c>
    </row>
    <row r="555" customHeight="1" spans="1:2">
      <c r="A555" s="3" t="s">
        <v>21289</v>
      </c>
      <c r="B555" s="4"/>
    </row>
    <row r="556" customHeight="1" spans="1:2">
      <c r="A556" s="3" t="s">
        <v>353</v>
      </c>
      <c r="B556" s="4">
        <v>34293771</v>
      </c>
    </row>
    <row r="557" customHeight="1" spans="1:2">
      <c r="A557" s="3" t="s">
        <v>1667</v>
      </c>
      <c r="B557" s="4">
        <v>92930005</v>
      </c>
    </row>
    <row r="558" customHeight="1" spans="1:2">
      <c r="A558" s="3" t="s">
        <v>21549</v>
      </c>
      <c r="B558" s="4"/>
    </row>
    <row r="559" customHeight="1" spans="1:2">
      <c r="A559" s="3" t="s">
        <v>18573</v>
      </c>
      <c r="B559" s="4"/>
    </row>
    <row r="560" customHeight="1" spans="1:2">
      <c r="A560" s="3" t="s">
        <v>7551</v>
      </c>
      <c r="B560" s="4">
        <v>41895491</v>
      </c>
    </row>
    <row r="561" customHeight="1" spans="1:2">
      <c r="A561" s="3" t="s">
        <v>1898</v>
      </c>
      <c r="B561" s="4">
        <v>183132370</v>
      </c>
    </row>
    <row r="562" customHeight="1" spans="1:2">
      <c r="A562" s="3" t="s">
        <v>7670</v>
      </c>
      <c r="B562" s="4">
        <v>21973182</v>
      </c>
    </row>
    <row r="563" customHeight="1" spans="1:2">
      <c r="A563" s="3" t="s">
        <v>10028</v>
      </c>
      <c r="B563" s="4">
        <v>508867</v>
      </c>
    </row>
    <row r="564" customHeight="1" spans="1:2">
      <c r="A564" s="3" t="s">
        <v>10289</v>
      </c>
      <c r="B564" s="4">
        <v>31585300</v>
      </c>
    </row>
    <row r="565" customHeight="1" spans="1:2">
      <c r="A565" s="3" t="s">
        <v>6211</v>
      </c>
      <c r="B565" s="4">
        <v>11576087</v>
      </c>
    </row>
    <row r="566" customHeight="1" spans="1:2">
      <c r="A566" s="3" t="s">
        <v>15945</v>
      </c>
      <c r="B566" s="4"/>
    </row>
    <row r="567" customHeight="1" spans="1:2">
      <c r="A567" s="3" t="s">
        <v>8166</v>
      </c>
      <c r="B567" s="4">
        <v>128300000</v>
      </c>
    </row>
    <row r="568" customHeight="1" spans="1:2">
      <c r="A568" s="3" t="s">
        <v>4882</v>
      </c>
      <c r="B568" s="4">
        <v>55500000</v>
      </c>
    </row>
    <row r="569" customHeight="1" spans="1:2">
      <c r="A569" s="3" t="s">
        <v>18912</v>
      </c>
      <c r="B569" s="4"/>
    </row>
    <row r="570" customHeight="1" spans="1:2">
      <c r="A570" s="3" t="s">
        <v>16564</v>
      </c>
      <c r="B570" s="4"/>
    </row>
    <row r="571" customHeight="1" spans="1:2">
      <c r="A571" s="3" t="s">
        <v>2011</v>
      </c>
      <c r="B571" s="4">
        <v>55942830</v>
      </c>
    </row>
    <row r="572" customHeight="1" spans="1:2">
      <c r="A572" s="3" t="s">
        <v>8341</v>
      </c>
      <c r="B572" s="4">
        <v>37442180</v>
      </c>
    </row>
    <row r="573" customHeight="1" spans="1:2">
      <c r="A573" s="3" t="s">
        <v>7176</v>
      </c>
      <c r="B573" s="4">
        <v>33631221</v>
      </c>
    </row>
    <row r="574" customHeight="1" spans="1:2">
      <c r="A574" s="3" t="s">
        <v>804</v>
      </c>
      <c r="B574" s="4">
        <v>106369117</v>
      </c>
    </row>
    <row r="575" customHeight="1" spans="1:2">
      <c r="A575" s="3" t="s">
        <v>11140</v>
      </c>
      <c r="B575" s="4">
        <v>163591</v>
      </c>
    </row>
    <row r="576" customHeight="1" spans="1:2">
      <c r="A576" s="3" t="s">
        <v>23465</v>
      </c>
      <c r="B576" s="4"/>
    </row>
    <row r="577" customHeight="1" spans="1:2">
      <c r="A577" s="3" t="s">
        <v>17882</v>
      </c>
      <c r="B577" s="4">
        <v>40990055</v>
      </c>
    </row>
    <row r="578" customHeight="1" spans="1:2">
      <c r="A578" s="3" t="s">
        <v>22946</v>
      </c>
      <c r="B578" s="4"/>
    </row>
    <row r="579" customHeight="1" spans="1:2">
      <c r="A579" s="3" t="s">
        <v>18653</v>
      </c>
      <c r="B579" s="4"/>
    </row>
    <row r="580" customHeight="1" spans="1:2">
      <c r="A580" s="3" t="s">
        <v>7032</v>
      </c>
      <c r="B580" s="4">
        <v>46836394</v>
      </c>
    </row>
    <row r="581" customHeight="1" spans="1:2">
      <c r="A581" s="3" t="s">
        <v>4567</v>
      </c>
      <c r="B581" s="4">
        <v>13208023</v>
      </c>
    </row>
    <row r="582" customHeight="1" spans="1:2">
      <c r="A582" s="3" t="s">
        <v>23442</v>
      </c>
      <c r="B582" s="4"/>
    </row>
    <row r="583" customHeight="1" spans="1:2">
      <c r="A583" s="3" t="s">
        <v>13470</v>
      </c>
      <c r="B583" s="4">
        <v>21564616</v>
      </c>
    </row>
    <row r="584" customHeight="1" spans="1:2">
      <c r="A584" s="3" t="s">
        <v>22951</v>
      </c>
      <c r="B584" s="4"/>
    </row>
    <row r="585" customHeight="1" spans="1:2">
      <c r="A585" s="3" t="s">
        <v>21230</v>
      </c>
      <c r="B585" s="4"/>
    </row>
    <row r="586" customHeight="1" spans="1:2">
      <c r="A586" s="3" t="s">
        <v>12186</v>
      </c>
      <c r="B586" s="4"/>
    </row>
    <row r="587" customHeight="1" spans="1:2">
      <c r="A587" s="3" t="s">
        <v>18816</v>
      </c>
      <c r="B587" s="4"/>
    </row>
    <row r="588" customHeight="1" spans="1:2">
      <c r="A588" s="3" t="s">
        <v>7746</v>
      </c>
      <c r="B588" s="4"/>
    </row>
    <row r="589" customHeight="1" spans="1:2">
      <c r="A589" s="3" t="s">
        <v>16959</v>
      </c>
      <c r="B589" s="4">
        <v>33631221</v>
      </c>
    </row>
    <row r="590" customHeight="1" spans="1:2">
      <c r="A590" s="3" t="s">
        <v>12679</v>
      </c>
      <c r="B590" s="4">
        <v>5348317</v>
      </c>
    </row>
    <row r="591" customHeight="1" spans="1:2">
      <c r="A591" s="3" t="s">
        <v>18175</v>
      </c>
      <c r="B591" s="4">
        <v>163245</v>
      </c>
    </row>
    <row r="592" customHeight="1" spans="1:2">
      <c r="A592" s="3" t="s">
        <v>19711</v>
      </c>
      <c r="B592" s="4">
        <v>1652472</v>
      </c>
    </row>
    <row r="593" customHeight="1" spans="1:2">
      <c r="A593" s="3" t="s">
        <v>22484</v>
      </c>
      <c r="B593" s="4"/>
    </row>
    <row r="594" customHeight="1" spans="1:2">
      <c r="A594" s="3" t="s">
        <v>17949</v>
      </c>
      <c r="B594" s="4"/>
    </row>
    <row r="595" customHeight="1" spans="1:2">
      <c r="A595" s="3" t="s">
        <v>19971</v>
      </c>
      <c r="B595" s="4">
        <v>215185</v>
      </c>
    </row>
    <row r="596" customHeight="1" spans="1:2">
      <c r="A596" s="3" t="s">
        <v>6994</v>
      </c>
      <c r="B596" s="4"/>
    </row>
    <row r="597" customHeight="1" spans="1:2">
      <c r="A597" s="3" t="s">
        <v>4144</v>
      </c>
      <c r="B597" s="4">
        <v>116735231</v>
      </c>
    </row>
    <row r="598" customHeight="1" spans="1:2">
      <c r="A598" s="3" t="s">
        <v>22569</v>
      </c>
      <c r="B598" s="4"/>
    </row>
    <row r="599" customHeight="1" spans="1:2">
      <c r="A599" s="3" t="s">
        <v>23598</v>
      </c>
      <c r="B599" s="4"/>
    </row>
    <row r="600" customHeight="1" spans="1:2">
      <c r="A600" s="3" t="s">
        <v>7527</v>
      </c>
      <c r="B600" s="4">
        <v>101334374</v>
      </c>
    </row>
    <row r="601" customHeight="1" spans="1:2">
      <c r="A601" s="3" t="s">
        <v>17261</v>
      </c>
      <c r="B601" s="4">
        <v>1094998</v>
      </c>
    </row>
    <row r="602" customHeight="1" spans="1:2">
      <c r="A602" s="3" t="s">
        <v>15637</v>
      </c>
      <c r="B602" s="4"/>
    </row>
    <row r="603" customHeight="1" spans="1:2">
      <c r="A603" s="3" t="s">
        <v>3833</v>
      </c>
      <c r="B603" s="4">
        <v>28133159</v>
      </c>
    </row>
    <row r="604" customHeight="1" spans="1:2">
      <c r="A604" s="3" t="s">
        <v>5083</v>
      </c>
      <c r="B604" s="4">
        <v>55802754</v>
      </c>
    </row>
    <row r="605" customHeight="1" spans="1:2">
      <c r="A605" s="3" t="s">
        <v>13993</v>
      </c>
      <c r="B605" s="4">
        <v>197148</v>
      </c>
    </row>
    <row r="606" customHeight="1" spans="1:2">
      <c r="A606" s="3" t="s">
        <v>1773</v>
      </c>
      <c r="B606" s="4">
        <v>160762022</v>
      </c>
    </row>
    <row r="607" customHeight="1" spans="1:2">
      <c r="A607" s="3" t="s">
        <v>22876</v>
      </c>
      <c r="B607" s="4"/>
    </row>
    <row r="608" customHeight="1" spans="1:2">
      <c r="A608" s="3" t="s">
        <v>14101</v>
      </c>
      <c r="B608" s="4">
        <v>32131483</v>
      </c>
    </row>
    <row r="609" customHeight="1" spans="1:2">
      <c r="A609" s="3" t="s">
        <v>4083</v>
      </c>
      <c r="B609" s="4">
        <v>1260917</v>
      </c>
    </row>
    <row r="610" customHeight="1" spans="1:2">
      <c r="A610" s="3" t="s">
        <v>14222</v>
      </c>
      <c r="B610" s="4">
        <v>17474107</v>
      </c>
    </row>
    <row r="611" customHeight="1" spans="1:2">
      <c r="A611" s="3" t="s">
        <v>18149</v>
      </c>
      <c r="B611" s="4">
        <v>406035</v>
      </c>
    </row>
    <row r="612" customHeight="1" spans="1:2">
      <c r="A612" s="3" t="s">
        <v>11371</v>
      </c>
      <c r="B612" s="4">
        <v>1150403</v>
      </c>
    </row>
    <row r="613" customHeight="1" spans="1:2">
      <c r="A613" s="3" t="s">
        <v>19892</v>
      </c>
      <c r="B613" s="4"/>
    </row>
    <row r="614" customHeight="1" spans="1:2">
      <c r="A614" s="3" t="s">
        <v>23198</v>
      </c>
      <c r="B614" s="4"/>
    </row>
    <row r="615" customHeight="1" spans="1:2">
      <c r="A615" s="3" t="s">
        <v>1919</v>
      </c>
      <c r="B615" s="4">
        <v>244052771</v>
      </c>
    </row>
    <row r="616" customHeight="1" spans="1:2">
      <c r="A616" s="3" t="s">
        <v>549</v>
      </c>
      <c r="B616" s="4">
        <v>215395021</v>
      </c>
    </row>
    <row r="617" customHeight="1" spans="1:2">
      <c r="A617" s="3" t="s">
        <v>7028</v>
      </c>
      <c r="B617" s="4">
        <v>84136909</v>
      </c>
    </row>
    <row r="618" customHeight="1" spans="1:2">
      <c r="A618" s="3" t="s">
        <v>8686</v>
      </c>
      <c r="B618" s="4">
        <v>12181484</v>
      </c>
    </row>
    <row r="619" customHeight="1" spans="1:2">
      <c r="A619" s="3" t="s">
        <v>19681</v>
      </c>
      <c r="B619" s="4"/>
    </row>
    <row r="620" customHeight="1" spans="1:2">
      <c r="A620" s="3" t="s">
        <v>9495</v>
      </c>
      <c r="B620" s="4">
        <v>63260</v>
      </c>
    </row>
    <row r="621" customHeight="1" spans="1:2">
      <c r="A621" s="3" t="s">
        <v>9613</v>
      </c>
      <c r="B621" s="4">
        <v>47000000</v>
      </c>
    </row>
    <row r="622" customHeight="1" spans="1:2">
      <c r="A622" s="3" t="s">
        <v>11052</v>
      </c>
      <c r="B622" s="4">
        <v>46495</v>
      </c>
    </row>
    <row r="623" customHeight="1" spans="1:2">
      <c r="A623" s="3" t="s">
        <v>5670</v>
      </c>
      <c r="B623" s="4">
        <v>4357000</v>
      </c>
    </row>
    <row r="624" customHeight="1" spans="1:2">
      <c r="A624" s="3" t="s">
        <v>1624</v>
      </c>
      <c r="B624" s="4">
        <v>27356090</v>
      </c>
    </row>
    <row r="625" customHeight="1" spans="1:2">
      <c r="A625" s="3" t="s">
        <v>5136</v>
      </c>
      <c r="B625" s="4">
        <v>57651794</v>
      </c>
    </row>
    <row r="626" customHeight="1" spans="1:2">
      <c r="A626" s="3" t="s">
        <v>4055</v>
      </c>
      <c r="B626" s="4">
        <v>37652565</v>
      </c>
    </row>
    <row r="627" customHeight="1" spans="1:2">
      <c r="A627" s="3" t="s">
        <v>4784</v>
      </c>
      <c r="B627" s="4">
        <v>47536959</v>
      </c>
    </row>
    <row r="628" customHeight="1" spans="1:2">
      <c r="A628" s="3" t="s">
        <v>1054</v>
      </c>
      <c r="B628" s="4">
        <v>340478898</v>
      </c>
    </row>
    <row r="629" customHeight="1" spans="1:2">
      <c r="A629" s="3" t="s">
        <v>9451</v>
      </c>
      <c r="B629" s="4">
        <v>2222647</v>
      </c>
    </row>
    <row r="630" customHeight="1" spans="1:2">
      <c r="A630" s="3" t="s">
        <v>4859</v>
      </c>
      <c r="B630" s="4">
        <v>191449475</v>
      </c>
    </row>
    <row r="631" customHeight="1" spans="1:2">
      <c r="A631" s="3" t="s">
        <v>21101</v>
      </c>
      <c r="B631" s="4"/>
    </row>
    <row r="632" customHeight="1" spans="1:2">
      <c r="A632" s="3" t="s">
        <v>3316</v>
      </c>
      <c r="B632" s="4">
        <v>48265581</v>
      </c>
    </row>
    <row r="633" customHeight="1" spans="1:2">
      <c r="A633" s="3" t="s">
        <v>13999</v>
      </c>
      <c r="B633" s="4">
        <v>54557348</v>
      </c>
    </row>
    <row r="634" customHeight="1" spans="1:2">
      <c r="A634" s="3" t="s">
        <v>10315</v>
      </c>
      <c r="B634" s="4">
        <v>30127963</v>
      </c>
    </row>
    <row r="635" customHeight="1" spans="1:2">
      <c r="A635" s="3" t="s">
        <v>286</v>
      </c>
      <c r="B635" s="4">
        <v>222487711</v>
      </c>
    </row>
    <row r="636" customHeight="1" spans="1:2">
      <c r="A636" s="3" t="s">
        <v>581</v>
      </c>
      <c r="B636" s="4">
        <v>101160529</v>
      </c>
    </row>
    <row r="637" customHeight="1" spans="1:2">
      <c r="A637" s="3" t="s">
        <v>8766</v>
      </c>
      <c r="B637" s="4">
        <v>10555348</v>
      </c>
    </row>
    <row r="638" customHeight="1" spans="1:2">
      <c r="A638" s="3" t="s">
        <v>18113</v>
      </c>
      <c r="B638" s="4">
        <v>1221261</v>
      </c>
    </row>
    <row r="639" customHeight="1" spans="1:2">
      <c r="A639" s="3" t="s">
        <v>13968</v>
      </c>
      <c r="B639" s="4">
        <v>3347439</v>
      </c>
    </row>
    <row r="640" customHeight="1" spans="1:2">
      <c r="A640" s="3" t="s">
        <v>8646</v>
      </c>
      <c r="B640" s="4"/>
    </row>
    <row r="641" customHeight="1" spans="1:2">
      <c r="A641" s="3" t="s">
        <v>15861</v>
      </c>
      <c r="B641" s="4"/>
    </row>
    <row r="642" customHeight="1" spans="1:2">
      <c r="A642" s="3" t="s">
        <v>18769</v>
      </c>
      <c r="B642" s="4">
        <v>484221</v>
      </c>
    </row>
    <row r="643" customHeight="1" spans="1:2">
      <c r="A643" s="3" t="s">
        <v>18998</v>
      </c>
      <c r="B643" s="4">
        <v>6643</v>
      </c>
    </row>
    <row r="644" customHeight="1" spans="1:2">
      <c r="A644" s="3" t="s">
        <v>4247</v>
      </c>
      <c r="B644" s="4">
        <v>70836296</v>
      </c>
    </row>
    <row r="645" customHeight="1" spans="1:2">
      <c r="A645" s="3" t="s">
        <v>7214</v>
      </c>
      <c r="B645" s="4">
        <v>80014842</v>
      </c>
    </row>
    <row r="646" customHeight="1" spans="1:2">
      <c r="A646" s="3" t="s">
        <v>23383</v>
      </c>
      <c r="B646" s="4"/>
    </row>
    <row r="647" customHeight="1" spans="1:2">
      <c r="A647" s="3" t="s">
        <v>17291</v>
      </c>
      <c r="B647" s="4">
        <v>12995673</v>
      </c>
    </row>
    <row r="648" customHeight="1" spans="1:2">
      <c r="A648" s="3" t="s">
        <v>22499</v>
      </c>
      <c r="B648" s="4"/>
    </row>
    <row r="649" customHeight="1" spans="1:2">
      <c r="A649" s="3" t="s">
        <v>6993</v>
      </c>
      <c r="B649" s="4">
        <v>55973336</v>
      </c>
    </row>
    <row r="650" customHeight="1" spans="1:2">
      <c r="A650" s="3" t="s">
        <v>1747</v>
      </c>
      <c r="B650" s="4">
        <v>162001186</v>
      </c>
    </row>
    <row r="651" customHeight="1" spans="1:2">
      <c r="A651" s="3" t="s">
        <v>19780</v>
      </c>
      <c r="B651" s="4">
        <v>4186931</v>
      </c>
    </row>
    <row r="652" customHeight="1" spans="1:2">
      <c r="A652" s="3" t="s">
        <v>3355</v>
      </c>
      <c r="B652" s="4">
        <v>47105085</v>
      </c>
    </row>
    <row r="653" customHeight="1" spans="1:2">
      <c r="A653" s="3" t="s">
        <v>8980</v>
      </c>
      <c r="B653" s="4">
        <v>54734</v>
      </c>
    </row>
    <row r="654" customHeight="1" spans="1:2">
      <c r="A654" s="3" t="s">
        <v>16529</v>
      </c>
      <c r="B654" s="4">
        <v>123777</v>
      </c>
    </row>
    <row r="655" customHeight="1" spans="1:2">
      <c r="A655" s="3" t="s">
        <v>22531</v>
      </c>
      <c r="B655" s="4"/>
    </row>
    <row r="656" customHeight="1" spans="1:2">
      <c r="A656" s="3" t="s">
        <v>18156</v>
      </c>
      <c r="B656" s="4">
        <v>373967</v>
      </c>
    </row>
    <row r="657" customHeight="1" spans="1:2">
      <c r="A657" s="3" t="s">
        <v>23629</v>
      </c>
      <c r="B657" s="4"/>
    </row>
    <row r="658" customHeight="1" spans="1:2">
      <c r="A658" s="3" t="s">
        <v>1348</v>
      </c>
      <c r="B658" s="4">
        <v>40048332</v>
      </c>
    </row>
    <row r="659" customHeight="1" spans="1:2">
      <c r="A659" s="3" t="s">
        <v>6192</v>
      </c>
      <c r="B659" s="4">
        <v>15709385</v>
      </c>
    </row>
    <row r="660" customHeight="1" spans="1:2">
      <c r="A660" s="3" t="s">
        <v>2398</v>
      </c>
      <c r="B660" s="4">
        <v>121468960</v>
      </c>
    </row>
    <row r="661" customHeight="1" spans="1:2">
      <c r="A661" s="3" t="s">
        <v>16741</v>
      </c>
      <c r="B661" s="4">
        <v>19184015</v>
      </c>
    </row>
    <row r="662" customHeight="1" spans="1:2">
      <c r="A662" s="3" t="s">
        <v>2877</v>
      </c>
      <c r="B662" s="4">
        <v>70098138</v>
      </c>
    </row>
    <row r="663" customHeight="1" spans="1:2">
      <c r="A663" s="3" t="s">
        <v>9472</v>
      </c>
      <c r="B663" s="4"/>
    </row>
    <row r="664" customHeight="1" spans="1:2">
      <c r="A664" s="3" t="s">
        <v>3861</v>
      </c>
      <c r="B664" s="4">
        <v>19719930</v>
      </c>
    </row>
    <row r="665" customHeight="1" spans="1:2">
      <c r="A665" s="3" t="s">
        <v>22805</v>
      </c>
      <c r="B665" s="4"/>
    </row>
    <row r="666" customHeight="1" spans="1:2">
      <c r="A666" s="3" t="s">
        <v>19492</v>
      </c>
      <c r="B666" s="4"/>
    </row>
    <row r="667" customHeight="1" spans="1:2">
      <c r="A667" s="3" t="s">
        <v>6771</v>
      </c>
      <c r="B667" s="4">
        <v>50800000</v>
      </c>
    </row>
    <row r="668" customHeight="1" spans="1:2">
      <c r="A668" s="3" t="s">
        <v>1877</v>
      </c>
      <c r="B668" s="4">
        <v>148213377</v>
      </c>
    </row>
    <row r="669" customHeight="1" spans="1:2">
      <c r="A669" s="3" t="s">
        <v>6719</v>
      </c>
      <c r="B669" s="4">
        <v>763044</v>
      </c>
    </row>
    <row r="670" customHeight="1" spans="1:2">
      <c r="A670" s="3" t="s">
        <v>17891</v>
      </c>
      <c r="B670" s="4"/>
    </row>
    <row r="671" customHeight="1" spans="1:2">
      <c r="A671" s="3" t="s">
        <v>4998</v>
      </c>
      <c r="B671" s="4">
        <v>79100000</v>
      </c>
    </row>
    <row r="672" customHeight="1" spans="1:2">
      <c r="A672" s="3" t="s">
        <v>19286</v>
      </c>
      <c r="B672" s="4"/>
    </row>
    <row r="673" customHeight="1" spans="1:2">
      <c r="A673" s="3" t="s">
        <v>12680</v>
      </c>
      <c r="B673" s="4">
        <v>4244155</v>
      </c>
    </row>
    <row r="674" customHeight="1" spans="1:2">
      <c r="A674" s="3" t="s">
        <v>10718</v>
      </c>
      <c r="B674" s="4"/>
    </row>
    <row r="675" customHeight="1" spans="1:2">
      <c r="A675" s="3" t="s">
        <v>20382</v>
      </c>
      <c r="B675" s="4">
        <v>94596</v>
      </c>
    </row>
    <row r="676" customHeight="1" spans="1:2">
      <c r="A676" s="3" t="s">
        <v>23979</v>
      </c>
      <c r="B676" s="4"/>
    </row>
    <row r="677" customHeight="1" spans="1:2">
      <c r="A677" s="3" t="s">
        <v>6551</v>
      </c>
      <c r="B677" s="4">
        <v>17324744</v>
      </c>
    </row>
    <row r="678" customHeight="1" spans="1:2">
      <c r="A678" s="3" t="s">
        <v>10408</v>
      </c>
      <c r="B678" s="4">
        <v>15100000</v>
      </c>
    </row>
    <row r="679" customHeight="1" spans="1:2">
      <c r="A679" s="3" t="s">
        <v>4273</v>
      </c>
      <c r="B679" s="4">
        <v>83906114</v>
      </c>
    </row>
    <row r="680" customHeight="1" spans="1:2">
      <c r="A680" s="3" t="s">
        <v>3009</v>
      </c>
      <c r="B680" s="4">
        <v>81645152</v>
      </c>
    </row>
    <row r="681" customHeight="1" spans="1:2">
      <c r="A681" s="3" t="s">
        <v>15591</v>
      </c>
      <c r="B681" s="4">
        <v>1040879</v>
      </c>
    </row>
    <row r="682" customHeight="1" spans="1:2">
      <c r="A682" s="3" t="s">
        <v>12450</v>
      </c>
      <c r="B682" s="4">
        <v>17096053</v>
      </c>
    </row>
    <row r="683" customHeight="1" spans="1:2">
      <c r="A683" s="3" t="s">
        <v>14758</v>
      </c>
      <c r="B683" s="4">
        <v>4394936</v>
      </c>
    </row>
    <row r="684" customHeight="1" spans="1:2">
      <c r="A684" s="3" t="s">
        <v>13524</v>
      </c>
      <c r="B684" s="4">
        <v>80000000</v>
      </c>
    </row>
    <row r="685" customHeight="1" spans="1:2">
      <c r="A685" s="3" t="s">
        <v>5011</v>
      </c>
      <c r="B685" s="4">
        <v>110008260</v>
      </c>
    </row>
    <row r="686" customHeight="1" spans="1:2">
      <c r="A686" s="3" t="s">
        <v>18739</v>
      </c>
      <c r="B686" s="4">
        <v>610991</v>
      </c>
    </row>
    <row r="687" customHeight="1" spans="1:2">
      <c r="A687" s="3" t="s">
        <v>8249</v>
      </c>
      <c r="B687" s="4">
        <v>62933793</v>
      </c>
    </row>
    <row r="688" customHeight="1" spans="1:2">
      <c r="A688" s="3" t="s">
        <v>6138</v>
      </c>
      <c r="B688" s="4">
        <v>20422207</v>
      </c>
    </row>
    <row r="689" customHeight="1" spans="1:2">
      <c r="A689" s="3" t="s">
        <v>21693</v>
      </c>
      <c r="B689" s="4"/>
    </row>
    <row r="690" customHeight="1" spans="1:2">
      <c r="A690" s="3" t="s">
        <v>2815</v>
      </c>
      <c r="B690" s="4">
        <v>113006880</v>
      </c>
    </row>
    <row r="691" customHeight="1" spans="1:2">
      <c r="A691" s="3" t="s">
        <v>21029</v>
      </c>
      <c r="B691" s="4"/>
    </row>
    <row r="692" customHeight="1" spans="1:2">
      <c r="A692" s="3" t="s">
        <v>9232</v>
      </c>
      <c r="B692" s="4">
        <v>59735548</v>
      </c>
    </row>
    <row r="693" customHeight="1" spans="1:2">
      <c r="A693" s="3" t="s">
        <v>13649</v>
      </c>
      <c r="B693" s="4">
        <v>17843379</v>
      </c>
    </row>
    <row r="694" customHeight="1" spans="1:2">
      <c r="A694" s="3" t="s">
        <v>90</v>
      </c>
      <c r="B694" s="4">
        <v>262030663</v>
      </c>
    </row>
    <row r="695" customHeight="1" spans="1:2">
      <c r="A695" s="3" t="s">
        <v>15884</v>
      </c>
      <c r="B695" s="4">
        <v>278821</v>
      </c>
    </row>
    <row r="696" customHeight="1" spans="1:2">
      <c r="A696" s="3" t="s">
        <v>20088</v>
      </c>
      <c r="B696" s="4">
        <v>4914</v>
      </c>
    </row>
    <row r="697" customHeight="1" spans="1:2">
      <c r="A697" s="3" t="s">
        <v>9299</v>
      </c>
      <c r="B697" s="4">
        <v>45250</v>
      </c>
    </row>
    <row r="698" customHeight="1" spans="1:2">
      <c r="A698" s="3" t="s">
        <v>343</v>
      </c>
      <c r="B698" s="4">
        <v>104383624</v>
      </c>
    </row>
    <row r="699" customHeight="1" spans="1:2">
      <c r="A699" s="3" t="s">
        <v>5728</v>
      </c>
      <c r="B699" s="4">
        <v>53133888</v>
      </c>
    </row>
    <row r="700" customHeight="1" spans="1:2">
      <c r="A700" s="3" t="s">
        <v>20048</v>
      </c>
      <c r="B700" s="4"/>
    </row>
    <row r="701" customHeight="1" spans="1:2">
      <c r="A701" s="3" t="s">
        <v>12516</v>
      </c>
      <c r="B701" s="4">
        <v>28873374</v>
      </c>
    </row>
    <row r="702" customHeight="1" spans="1:2">
      <c r="A702" s="3" t="s">
        <v>655</v>
      </c>
      <c r="B702" s="4">
        <v>186739919</v>
      </c>
    </row>
    <row r="703" customHeight="1" spans="1:2">
      <c r="A703" s="3" t="s">
        <v>8787</v>
      </c>
      <c r="B703" s="4">
        <v>8104069</v>
      </c>
    </row>
    <row r="704" customHeight="1" spans="1:2">
      <c r="A704" s="3" t="s">
        <v>5572</v>
      </c>
      <c r="B704" s="4">
        <v>169076745</v>
      </c>
    </row>
    <row r="705" customHeight="1" spans="1:2">
      <c r="A705" s="3" t="s">
        <v>4806</v>
      </c>
      <c r="B705" s="4">
        <v>7871693</v>
      </c>
    </row>
    <row r="706" customHeight="1" spans="1:2">
      <c r="A706" s="3" t="s">
        <v>18346</v>
      </c>
      <c r="B706" s="4"/>
    </row>
    <row r="707" customHeight="1" spans="1:2">
      <c r="A707" s="3" t="s">
        <v>16446</v>
      </c>
      <c r="B707" s="4"/>
    </row>
    <row r="708" customHeight="1" spans="1:2">
      <c r="A708" s="3" t="s">
        <v>20699</v>
      </c>
      <c r="B708" s="4"/>
    </row>
    <row r="709" customHeight="1" spans="1:2">
      <c r="A709" s="3" t="s">
        <v>24027</v>
      </c>
      <c r="B709" s="4"/>
    </row>
    <row r="710" customHeight="1" spans="1:2">
      <c r="A710" s="3" t="s">
        <v>23727</v>
      </c>
      <c r="B710" s="4"/>
    </row>
    <row r="711" customHeight="1" spans="1:2">
      <c r="A711" s="3" t="s">
        <v>3508</v>
      </c>
      <c r="B711" s="4">
        <v>10137232</v>
      </c>
    </row>
    <row r="712" customHeight="1" spans="1:2">
      <c r="A712" s="3" t="s">
        <v>18702</v>
      </c>
      <c r="B712" s="4">
        <v>45857453</v>
      </c>
    </row>
    <row r="713" customHeight="1" spans="1:2">
      <c r="A713" s="3" t="s">
        <v>17094</v>
      </c>
      <c r="B713" s="4"/>
    </row>
    <row r="714" customHeight="1" spans="1:2">
      <c r="A714" s="3" t="s">
        <v>2138</v>
      </c>
      <c r="B714" s="4">
        <v>72980108</v>
      </c>
    </row>
    <row r="715" customHeight="1" spans="1:2">
      <c r="A715" s="3" t="s">
        <v>3497</v>
      </c>
      <c r="B715" s="4">
        <v>16671505</v>
      </c>
    </row>
    <row r="716" customHeight="1" spans="1:2">
      <c r="A716" s="3" t="s">
        <v>13885</v>
      </c>
      <c r="B716" s="4"/>
    </row>
    <row r="717" customHeight="1" spans="1:2">
      <c r="A717" s="3" t="s">
        <v>19308</v>
      </c>
      <c r="B717" s="4"/>
    </row>
    <row r="718" customHeight="1" spans="1:2">
      <c r="A718" s="3" t="s">
        <v>11745</v>
      </c>
      <c r="B718" s="4">
        <v>22331028</v>
      </c>
    </row>
    <row r="719" customHeight="1" spans="1:2">
      <c r="A719" s="3" t="s">
        <v>20736</v>
      </c>
      <c r="B719" s="4"/>
    </row>
    <row r="720" customHeight="1" spans="1:2">
      <c r="A720" s="3" t="s">
        <v>4157</v>
      </c>
      <c r="B720" s="4">
        <v>108706165</v>
      </c>
    </row>
    <row r="721" customHeight="1" spans="1:2">
      <c r="A721" s="3" t="s">
        <v>8312</v>
      </c>
      <c r="B721" s="4">
        <v>42652003</v>
      </c>
    </row>
    <row r="722" customHeight="1" spans="1:2">
      <c r="A722" s="3" t="s">
        <v>12311</v>
      </c>
      <c r="B722" s="4">
        <v>46377022</v>
      </c>
    </row>
    <row r="723" customHeight="1" spans="1:2">
      <c r="A723" s="3" t="s">
        <v>8280</v>
      </c>
      <c r="B723" s="4">
        <v>65623128</v>
      </c>
    </row>
    <row r="724" customHeight="1" spans="1:2">
      <c r="A724" s="3" t="s">
        <v>12898</v>
      </c>
      <c r="B724" s="4">
        <v>136432</v>
      </c>
    </row>
    <row r="725" customHeight="1" spans="1:2">
      <c r="A725" s="3" t="s">
        <v>18857</v>
      </c>
      <c r="B725" s="4"/>
    </row>
    <row r="726" customHeight="1" spans="1:2">
      <c r="A726" s="3" t="s">
        <v>10740</v>
      </c>
      <c r="B726" s="4">
        <v>22723</v>
      </c>
    </row>
    <row r="727" customHeight="1" spans="1:2">
      <c r="A727" s="3" t="s">
        <v>23351</v>
      </c>
      <c r="B727" s="4"/>
    </row>
    <row r="728" customHeight="1" spans="1:2">
      <c r="A728" s="3" t="s">
        <v>10215</v>
      </c>
      <c r="B728" s="4">
        <v>42672630</v>
      </c>
    </row>
    <row r="729" customHeight="1" spans="1:2">
      <c r="A729" s="3" t="s">
        <v>503</v>
      </c>
      <c r="B729" s="4">
        <v>122512052</v>
      </c>
    </row>
    <row r="730" customHeight="1" spans="1:2">
      <c r="A730" s="3" t="s">
        <v>20240</v>
      </c>
      <c r="B730" s="4"/>
    </row>
    <row r="731" customHeight="1" spans="1:2">
      <c r="A731" s="3" t="s">
        <v>11260</v>
      </c>
      <c r="B731" s="4">
        <v>25440971</v>
      </c>
    </row>
    <row r="732" customHeight="1" spans="1:2">
      <c r="A732" s="3" t="s">
        <v>17565</v>
      </c>
      <c r="B732" s="4">
        <v>3300230</v>
      </c>
    </row>
    <row r="733" customHeight="1" spans="1:2">
      <c r="A733" s="3" t="s">
        <v>22894</v>
      </c>
      <c r="B733" s="4"/>
    </row>
    <row r="734" customHeight="1" spans="1:2">
      <c r="A734" s="3" t="s">
        <v>11413</v>
      </c>
      <c r="B734" s="4">
        <v>28399192</v>
      </c>
    </row>
    <row r="735" customHeight="1" spans="1:2">
      <c r="A735" s="3" t="s">
        <v>22417</v>
      </c>
      <c r="B735" s="4"/>
    </row>
    <row r="736" customHeight="1" spans="1:2">
      <c r="A736" s="3" t="s">
        <v>21449</v>
      </c>
      <c r="B736" s="4"/>
    </row>
    <row r="737" customHeight="1" spans="1:2">
      <c r="A737" s="3" t="s">
        <v>3084</v>
      </c>
      <c r="B737" s="4">
        <v>143704210</v>
      </c>
    </row>
    <row r="738" customHeight="1" spans="1:2">
      <c r="A738" s="3" t="s">
        <v>10979</v>
      </c>
      <c r="B738" s="4">
        <v>5459824</v>
      </c>
    </row>
    <row r="739" customHeight="1" spans="1:2">
      <c r="A739" s="3" t="s">
        <v>19592</v>
      </c>
      <c r="B739" s="4">
        <v>258113</v>
      </c>
    </row>
    <row r="740" customHeight="1" spans="1:2">
      <c r="A740" s="3" t="s">
        <v>2861</v>
      </c>
      <c r="B740" s="4">
        <v>93815117</v>
      </c>
    </row>
    <row r="741" customHeight="1" spans="1:2">
      <c r="A741" s="3" t="s">
        <v>4547</v>
      </c>
      <c r="B741" s="4">
        <v>33201661</v>
      </c>
    </row>
    <row r="742" customHeight="1" spans="1:2">
      <c r="A742" s="3" t="s">
        <v>764</v>
      </c>
      <c r="B742" s="4">
        <v>125332007</v>
      </c>
    </row>
    <row r="743" customHeight="1" spans="1:2">
      <c r="A743" s="3" t="s">
        <v>9942</v>
      </c>
      <c r="B743" s="4"/>
    </row>
    <row r="744" customHeight="1" spans="1:2">
      <c r="A744" s="3" t="s">
        <v>10813</v>
      </c>
      <c r="B744" s="4">
        <v>178406268</v>
      </c>
    </row>
    <row r="745" customHeight="1" spans="1:2">
      <c r="A745" s="3" t="s">
        <v>795</v>
      </c>
      <c r="B745" s="4"/>
    </row>
    <row r="746" customHeight="1" spans="1:2">
      <c r="A746" s="3" t="s">
        <v>14289</v>
      </c>
      <c r="B746" s="4"/>
    </row>
    <row r="747" customHeight="1" spans="1:2">
      <c r="A747" s="3" t="s">
        <v>22057</v>
      </c>
      <c r="B747" s="4"/>
    </row>
    <row r="748" customHeight="1" spans="1:2">
      <c r="A748" s="3" t="s">
        <v>5576</v>
      </c>
      <c r="B748" s="4">
        <v>101470202</v>
      </c>
    </row>
    <row r="749" customHeight="1" spans="1:2">
      <c r="A749" s="3" t="s">
        <v>22670</v>
      </c>
      <c r="B749" s="4"/>
    </row>
    <row r="750" customHeight="1" spans="1:2">
      <c r="A750" s="3" t="s">
        <v>3125</v>
      </c>
      <c r="B750" s="4">
        <v>23020488</v>
      </c>
    </row>
    <row r="751" customHeight="1" spans="1:2">
      <c r="A751" s="3" t="s">
        <v>3248</v>
      </c>
      <c r="B751" s="4">
        <v>84244877</v>
      </c>
    </row>
    <row r="752" customHeight="1" spans="1:2">
      <c r="A752" s="3" t="s">
        <v>24158</v>
      </c>
      <c r="B752" s="4"/>
    </row>
    <row r="753" customHeight="1" spans="1:2">
      <c r="A753" s="3" t="s">
        <v>23720</v>
      </c>
      <c r="B753" s="4"/>
    </row>
    <row r="754" customHeight="1" spans="1:2">
      <c r="A754" s="3" t="s">
        <v>10231</v>
      </c>
      <c r="B754" s="4">
        <v>40064955</v>
      </c>
    </row>
    <row r="755" customHeight="1" spans="1:2">
      <c r="A755" s="3" t="s">
        <v>12527</v>
      </c>
      <c r="B755" s="4">
        <v>14597405</v>
      </c>
    </row>
    <row r="756" customHeight="1" spans="1:2">
      <c r="A756" s="3" t="s">
        <v>21021</v>
      </c>
      <c r="B756" s="4"/>
    </row>
    <row r="757" customHeight="1" spans="1:2">
      <c r="A757" s="3" t="s">
        <v>8068</v>
      </c>
      <c r="B757" s="4">
        <v>17757087</v>
      </c>
    </row>
    <row r="758" customHeight="1" spans="1:2">
      <c r="A758" s="3" t="s">
        <v>17619</v>
      </c>
      <c r="B758" s="4"/>
    </row>
    <row r="759" customHeight="1" spans="1:2">
      <c r="A759" s="3" t="s">
        <v>2515</v>
      </c>
      <c r="B759" s="4"/>
    </row>
    <row r="760" customHeight="1" spans="1:2">
      <c r="A760" s="3" t="s">
        <v>20906</v>
      </c>
      <c r="B760" s="4"/>
    </row>
    <row r="761" customHeight="1" spans="1:2">
      <c r="A761" s="3" t="s">
        <v>4522</v>
      </c>
      <c r="B761" s="4">
        <v>20302961</v>
      </c>
    </row>
    <row r="762" customHeight="1" spans="1:2">
      <c r="A762" s="3" t="s">
        <v>7470</v>
      </c>
      <c r="B762" s="4"/>
    </row>
    <row r="763" customHeight="1" spans="1:2">
      <c r="A763" s="3" t="s">
        <v>21793</v>
      </c>
      <c r="B763" s="4"/>
    </row>
    <row r="764" customHeight="1" spans="1:2">
      <c r="A764" s="3" t="s">
        <v>19461</v>
      </c>
      <c r="B764" s="4"/>
    </row>
    <row r="765" customHeight="1" spans="1:2">
      <c r="A765" s="3" t="s">
        <v>7826</v>
      </c>
      <c r="B765" s="4">
        <v>25842000</v>
      </c>
    </row>
    <row r="766" customHeight="1" spans="1:2">
      <c r="A766" s="3" t="s">
        <v>3179</v>
      </c>
      <c r="B766" s="4">
        <v>126203320</v>
      </c>
    </row>
    <row r="767" customHeight="1" spans="1:2">
      <c r="A767" s="3" t="s">
        <v>6824</v>
      </c>
      <c r="B767" s="4">
        <v>33200000</v>
      </c>
    </row>
    <row r="768" customHeight="1" spans="1:2">
      <c r="A768" s="3" t="s">
        <v>3364</v>
      </c>
      <c r="B768" s="4">
        <v>50740078</v>
      </c>
    </row>
    <row r="769" customHeight="1" spans="1:2">
      <c r="A769" s="3" t="s">
        <v>13669</v>
      </c>
      <c r="B769" s="4">
        <v>15047419</v>
      </c>
    </row>
    <row r="770" customHeight="1" spans="1:2">
      <c r="A770" s="3" t="s">
        <v>21113</v>
      </c>
      <c r="B770" s="4"/>
    </row>
    <row r="771" customHeight="1" spans="1:2">
      <c r="A771" s="3" t="s">
        <v>13211</v>
      </c>
      <c r="B771" s="4">
        <v>3571735</v>
      </c>
    </row>
    <row r="772" customHeight="1" spans="1:2">
      <c r="A772" s="3" t="s">
        <v>12082</v>
      </c>
      <c r="B772" s="4">
        <v>3034181</v>
      </c>
    </row>
    <row r="773" customHeight="1" spans="1:2">
      <c r="A773" s="3" t="s">
        <v>4667</v>
      </c>
      <c r="B773" s="4">
        <v>6498000</v>
      </c>
    </row>
    <row r="774" customHeight="1" spans="1:2">
      <c r="A774" s="3" t="s">
        <v>23306</v>
      </c>
      <c r="B774" s="4"/>
    </row>
    <row r="775" customHeight="1" spans="1:2">
      <c r="A775" s="3" t="s">
        <v>14088</v>
      </c>
      <c r="B775" s="4">
        <v>134821952</v>
      </c>
    </row>
    <row r="776" customHeight="1" spans="1:2">
      <c r="A776" s="3" t="s">
        <v>14688</v>
      </c>
      <c r="B776" s="4">
        <v>12674183</v>
      </c>
    </row>
    <row r="777" customHeight="1" spans="1:2">
      <c r="A777" s="3" t="s">
        <v>5375</v>
      </c>
      <c r="B777" s="4">
        <v>4496583</v>
      </c>
    </row>
    <row r="778" customHeight="1" spans="1:2">
      <c r="A778" s="3" t="s">
        <v>3882</v>
      </c>
      <c r="B778" s="4">
        <v>15523168</v>
      </c>
    </row>
    <row r="779" customHeight="1" spans="1:2">
      <c r="A779" s="3" t="s">
        <v>21402</v>
      </c>
      <c r="B779" s="4"/>
    </row>
    <row r="780" customHeight="1" spans="1:2">
      <c r="A780" s="3" t="s">
        <v>23333</v>
      </c>
      <c r="B780" s="4"/>
    </row>
    <row r="781" customHeight="1" spans="1:2">
      <c r="A781" s="3" t="s">
        <v>20150</v>
      </c>
      <c r="B781" s="4"/>
    </row>
    <row r="782" customHeight="1" spans="1:2">
      <c r="A782" s="3" t="s">
        <v>5649</v>
      </c>
      <c r="B782" s="4">
        <v>16640210</v>
      </c>
    </row>
    <row r="783" customHeight="1" spans="1:2">
      <c r="A783" s="3" t="s">
        <v>13665</v>
      </c>
      <c r="B783" s="4">
        <v>50815288</v>
      </c>
    </row>
    <row r="784" customHeight="1" spans="1:2">
      <c r="A784" s="3" t="s">
        <v>18774</v>
      </c>
      <c r="B784" s="4">
        <v>274661</v>
      </c>
    </row>
    <row r="785" customHeight="1" spans="1:2">
      <c r="A785" s="3" t="s">
        <v>19591</v>
      </c>
      <c r="B785" s="4">
        <v>44540956</v>
      </c>
    </row>
    <row r="786" customHeight="1" spans="1:2">
      <c r="A786" s="3" t="s">
        <v>7607</v>
      </c>
      <c r="B786" s="4">
        <v>669276</v>
      </c>
    </row>
    <row r="787" customHeight="1" spans="1:2">
      <c r="A787" s="3" t="s">
        <v>3440</v>
      </c>
      <c r="B787" s="4">
        <v>26199517</v>
      </c>
    </row>
    <row r="788" customHeight="1" spans="1:2">
      <c r="A788" s="3" t="s">
        <v>6921</v>
      </c>
      <c r="B788" s="4">
        <v>3254172</v>
      </c>
    </row>
    <row r="789" customHeight="1" spans="1:2">
      <c r="A789" s="3" t="s">
        <v>5310</v>
      </c>
      <c r="B789" s="4"/>
    </row>
    <row r="790" customHeight="1" spans="1:2">
      <c r="A790" s="3" t="s">
        <v>5777</v>
      </c>
      <c r="B790" s="4">
        <v>11854694</v>
      </c>
    </row>
    <row r="791" customHeight="1" spans="1:2">
      <c r="A791" s="3" t="s">
        <v>4785</v>
      </c>
      <c r="B791" s="4">
        <v>10300000</v>
      </c>
    </row>
    <row r="792" customHeight="1" spans="1:2">
      <c r="A792" s="3" t="s">
        <v>6251</v>
      </c>
      <c r="B792" s="4"/>
    </row>
    <row r="793" customHeight="1" spans="1:2">
      <c r="A793" s="3" t="s">
        <v>1287</v>
      </c>
      <c r="B793" s="4">
        <v>148313048</v>
      </c>
    </row>
    <row r="794" customHeight="1" spans="1:2">
      <c r="A794" s="3" t="s">
        <v>10437</v>
      </c>
      <c r="B794" s="4">
        <v>13034417</v>
      </c>
    </row>
    <row r="795" customHeight="1" spans="1:2">
      <c r="A795" s="3" t="s">
        <v>6603</v>
      </c>
      <c r="B795" s="4">
        <v>26400000</v>
      </c>
    </row>
    <row r="796" customHeight="1" spans="1:2">
      <c r="A796" s="3" t="s">
        <v>23493</v>
      </c>
      <c r="B796" s="4"/>
    </row>
    <row r="797" customHeight="1" spans="1:2">
      <c r="A797" s="3" t="s">
        <v>7080</v>
      </c>
      <c r="B797" s="4">
        <v>36447959</v>
      </c>
    </row>
    <row r="798" customHeight="1" spans="1:2">
      <c r="A798" s="3" t="s">
        <v>7274</v>
      </c>
      <c r="B798" s="4">
        <v>14983572</v>
      </c>
    </row>
    <row r="799" customHeight="1" spans="1:2">
      <c r="A799" s="3" t="s">
        <v>354</v>
      </c>
      <c r="B799" s="4">
        <v>292000866</v>
      </c>
    </row>
    <row r="800" customHeight="1" spans="1:2">
      <c r="A800" s="3" t="s">
        <v>21046</v>
      </c>
      <c r="B800" s="4"/>
    </row>
    <row r="801" customHeight="1" spans="1:2">
      <c r="A801" s="3" t="s">
        <v>23822</v>
      </c>
      <c r="B801" s="4"/>
    </row>
    <row r="802" customHeight="1" spans="1:2">
      <c r="A802" s="3" t="s">
        <v>2285</v>
      </c>
      <c r="B802" s="4">
        <v>17218080</v>
      </c>
    </row>
    <row r="803" customHeight="1" spans="1:2">
      <c r="A803" s="3" t="s">
        <v>20306</v>
      </c>
      <c r="B803" s="4">
        <v>3151130</v>
      </c>
    </row>
    <row r="804" customHeight="1" spans="1:2">
      <c r="A804" s="3" t="s">
        <v>11930</v>
      </c>
      <c r="B804" s="4">
        <v>57469179</v>
      </c>
    </row>
    <row r="805" customHeight="1" spans="1:2">
      <c r="A805" s="3" t="s">
        <v>743</v>
      </c>
      <c r="B805" s="4">
        <v>47952020</v>
      </c>
    </row>
    <row r="806" customHeight="1" spans="1:2">
      <c r="A806" s="3" t="s">
        <v>2821</v>
      </c>
      <c r="B806" s="4">
        <v>329691196</v>
      </c>
    </row>
    <row r="807" customHeight="1" spans="1:2">
      <c r="A807" s="3" t="s">
        <v>22689</v>
      </c>
      <c r="B807" s="4"/>
    </row>
    <row r="808" customHeight="1" spans="1:2">
      <c r="A808" s="3" t="s">
        <v>978</v>
      </c>
      <c r="B808" s="4">
        <v>28772222</v>
      </c>
    </row>
    <row r="809" customHeight="1" spans="1:2">
      <c r="A809" s="3" t="s">
        <v>22021</v>
      </c>
      <c r="B809" s="4"/>
    </row>
    <row r="810" customHeight="1" spans="1:2">
      <c r="A810" s="3" t="s">
        <v>13625</v>
      </c>
      <c r="B810" s="4"/>
    </row>
    <row r="811" customHeight="1" spans="1:2">
      <c r="A811" s="3" t="s">
        <v>12383</v>
      </c>
      <c r="B811" s="4">
        <v>28563926</v>
      </c>
    </row>
    <row r="812" customHeight="1" spans="1:2">
      <c r="A812" s="3" t="s">
        <v>1042</v>
      </c>
      <c r="B812" s="4">
        <v>161317423</v>
      </c>
    </row>
    <row r="813" customHeight="1" spans="1:2">
      <c r="A813" s="3" t="s">
        <v>9458</v>
      </c>
      <c r="B813" s="4">
        <v>3500000</v>
      </c>
    </row>
    <row r="814" customHeight="1" spans="1:2">
      <c r="A814" s="3" t="s">
        <v>17212</v>
      </c>
      <c r="B814" s="4"/>
    </row>
    <row r="815" customHeight="1" spans="1:2">
      <c r="A815" s="3" t="s">
        <v>235</v>
      </c>
      <c r="B815" s="4">
        <v>102176165</v>
      </c>
    </row>
    <row r="816" customHeight="1" spans="1:2">
      <c r="A816" s="3" t="s">
        <v>18211</v>
      </c>
      <c r="B816" s="4"/>
    </row>
    <row r="817" customHeight="1" spans="1:2">
      <c r="A817" s="3" t="s">
        <v>14577</v>
      </c>
      <c r="B817" s="4"/>
    </row>
    <row r="818" customHeight="1" spans="1:2">
      <c r="A818" s="3" t="s">
        <v>11628</v>
      </c>
      <c r="B818" s="4">
        <v>22905674</v>
      </c>
    </row>
    <row r="819" customHeight="1" spans="1:2">
      <c r="A819" s="3" t="s">
        <v>21147</v>
      </c>
      <c r="B819" s="4"/>
    </row>
    <row r="820" customHeight="1" spans="1:2">
      <c r="A820" s="3" t="s">
        <v>12021</v>
      </c>
      <c r="B820" s="4">
        <v>23978402</v>
      </c>
    </row>
    <row r="821" customHeight="1" spans="1:2">
      <c r="A821" s="3" t="s">
        <v>19219</v>
      </c>
      <c r="B821" s="4">
        <v>218051260</v>
      </c>
    </row>
    <row r="822" customHeight="1" spans="1:2">
      <c r="A822" s="3" t="s">
        <v>15516</v>
      </c>
      <c r="B822" s="4">
        <v>4074023</v>
      </c>
    </row>
    <row r="823" customHeight="1" spans="1:2">
      <c r="A823" s="3" t="s">
        <v>21148</v>
      </c>
      <c r="B823" s="4"/>
    </row>
    <row r="824" customHeight="1" spans="1:2">
      <c r="A824" s="3" t="s">
        <v>1906</v>
      </c>
      <c r="B824" s="4">
        <v>18947630</v>
      </c>
    </row>
    <row r="825" customHeight="1" spans="1:2">
      <c r="A825" s="3" t="s">
        <v>20567</v>
      </c>
      <c r="B825" s="4"/>
    </row>
    <row r="826" customHeight="1" spans="1:2">
      <c r="A826" s="3" t="s">
        <v>6502</v>
      </c>
      <c r="B826" s="4">
        <v>71346930</v>
      </c>
    </row>
    <row r="827" customHeight="1" spans="1:2">
      <c r="A827" s="3" t="s">
        <v>20328</v>
      </c>
      <c r="B827" s="4"/>
    </row>
    <row r="828" customHeight="1" spans="1:2">
      <c r="A828" s="3" t="s">
        <v>15015</v>
      </c>
      <c r="B828" s="4">
        <v>58800000</v>
      </c>
    </row>
    <row r="829" customHeight="1" spans="1:2">
      <c r="A829" s="3" t="s">
        <v>11598</v>
      </c>
      <c r="B829" s="4">
        <v>31397498</v>
      </c>
    </row>
    <row r="830" customHeight="1" spans="1:2">
      <c r="A830" s="3" t="s">
        <v>24132</v>
      </c>
      <c r="B830" s="4"/>
    </row>
    <row r="831" customHeight="1" spans="1:2">
      <c r="A831" s="3" t="s">
        <v>3813</v>
      </c>
      <c r="B831" s="4">
        <v>46815748</v>
      </c>
    </row>
    <row r="832" customHeight="1" spans="1:2">
      <c r="A832" s="3" t="s">
        <v>11404</v>
      </c>
      <c r="B832" s="4">
        <v>51872378</v>
      </c>
    </row>
    <row r="833" customHeight="1" spans="1:2">
      <c r="A833" s="3" t="s">
        <v>11302</v>
      </c>
      <c r="B833" s="4">
        <v>5871603</v>
      </c>
    </row>
    <row r="834" customHeight="1" spans="1:2">
      <c r="A834" s="3" t="s">
        <v>19164</v>
      </c>
      <c r="B834" s="4">
        <v>47329</v>
      </c>
    </row>
    <row r="835" customHeight="1" spans="1:2">
      <c r="A835" s="3" t="s">
        <v>19363</v>
      </c>
      <c r="B835" s="4">
        <v>906666</v>
      </c>
    </row>
    <row r="836" customHeight="1" spans="1:2">
      <c r="A836" s="3" t="s">
        <v>6690</v>
      </c>
      <c r="B836" s="4">
        <v>7486906</v>
      </c>
    </row>
    <row r="837" customHeight="1" spans="1:2">
      <c r="A837" s="3" t="s">
        <v>731</v>
      </c>
      <c r="B837" s="4">
        <v>474544677</v>
      </c>
    </row>
    <row r="838" customHeight="1" spans="1:2">
      <c r="A838" s="3" t="s">
        <v>21408</v>
      </c>
      <c r="B838" s="4"/>
    </row>
    <row r="839" customHeight="1" spans="1:2">
      <c r="A839" s="3" t="s">
        <v>12996</v>
      </c>
      <c r="B839" s="4"/>
    </row>
    <row r="840" customHeight="1" spans="1:2">
      <c r="A840" s="3" t="s">
        <v>2644</v>
      </c>
      <c r="B840" s="4">
        <v>32522352</v>
      </c>
    </row>
    <row r="841" customHeight="1" spans="1:2">
      <c r="A841" s="3" t="s">
        <v>8516</v>
      </c>
      <c r="B841" s="4">
        <v>20916309</v>
      </c>
    </row>
    <row r="842" customHeight="1" spans="1:2">
      <c r="A842" s="3" t="s">
        <v>17676</v>
      </c>
      <c r="B842" s="4">
        <v>186354</v>
      </c>
    </row>
    <row r="843" customHeight="1" spans="1:2">
      <c r="A843" s="3" t="s">
        <v>2491</v>
      </c>
      <c r="B843" s="4">
        <v>88200225</v>
      </c>
    </row>
    <row r="844" customHeight="1" spans="1:2">
      <c r="A844" s="3" t="s">
        <v>21047</v>
      </c>
      <c r="B844" s="4"/>
    </row>
    <row r="845" customHeight="1" spans="1:2">
      <c r="A845" s="3" t="s">
        <v>1927</v>
      </c>
      <c r="B845" s="4">
        <v>162495848</v>
      </c>
    </row>
    <row r="846" customHeight="1" spans="1:2">
      <c r="A846" s="3" t="s">
        <v>21129</v>
      </c>
      <c r="B846" s="4"/>
    </row>
    <row r="847" customHeight="1" spans="1:2">
      <c r="A847" s="3" t="s">
        <v>4385</v>
      </c>
      <c r="B847" s="4">
        <v>45500797</v>
      </c>
    </row>
    <row r="848" customHeight="1" spans="1:2">
      <c r="A848" s="3" t="s">
        <v>13531</v>
      </c>
      <c r="B848" s="4">
        <v>1207007</v>
      </c>
    </row>
    <row r="849" customHeight="1" spans="1:2">
      <c r="A849" s="3" t="s">
        <v>5711</v>
      </c>
      <c r="B849" s="4">
        <v>93749203</v>
      </c>
    </row>
    <row r="850" customHeight="1" spans="1:2">
      <c r="A850" s="3" t="s">
        <v>942</v>
      </c>
      <c r="B850" s="4">
        <v>67631157</v>
      </c>
    </row>
    <row r="851" customHeight="1" spans="1:2">
      <c r="A851" s="3" t="s">
        <v>13963</v>
      </c>
      <c r="B851" s="4">
        <v>4131640</v>
      </c>
    </row>
    <row r="852" customHeight="1" spans="1:2">
      <c r="A852" s="3" t="s">
        <v>17234</v>
      </c>
      <c r="B852" s="4">
        <v>32230907</v>
      </c>
    </row>
    <row r="853" customHeight="1" spans="1:2">
      <c r="A853" s="3" t="s">
        <v>8125</v>
      </c>
      <c r="B853" s="4">
        <v>15593</v>
      </c>
    </row>
    <row r="854" customHeight="1" spans="1:2">
      <c r="A854" s="3" t="s">
        <v>7613</v>
      </c>
      <c r="B854" s="4">
        <v>23225911</v>
      </c>
    </row>
    <row r="855" customHeight="1" spans="1:2">
      <c r="A855" s="3" t="s">
        <v>9266</v>
      </c>
      <c r="B855" s="4">
        <v>31471430</v>
      </c>
    </row>
    <row r="856" customHeight="1" spans="1:2">
      <c r="A856" s="3" t="s">
        <v>11778</v>
      </c>
      <c r="B856" s="4">
        <v>4922166</v>
      </c>
    </row>
    <row r="857" customHeight="1" spans="1:2">
      <c r="A857" s="3" t="s">
        <v>11716</v>
      </c>
      <c r="B857" s="4"/>
    </row>
    <row r="858" customHeight="1" spans="1:2">
      <c r="A858" s="3" t="s">
        <v>6655</v>
      </c>
      <c r="B858" s="4">
        <v>4463292</v>
      </c>
    </row>
    <row r="859" customHeight="1" spans="1:2">
      <c r="A859" s="3" t="s">
        <v>15132</v>
      </c>
      <c r="B859" s="4">
        <v>2197331</v>
      </c>
    </row>
    <row r="860" customHeight="1" spans="1:2">
      <c r="A860" s="3" t="s">
        <v>15023</v>
      </c>
      <c r="B860" s="4">
        <v>50382128</v>
      </c>
    </row>
    <row r="861" customHeight="1" spans="1:2">
      <c r="A861" s="3" t="s">
        <v>12317</v>
      </c>
      <c r="B861" s="4"/>
    </row>
    <row r="862" customHeight="1" spans="1:2">
      <c r="A862" s="3" t="s">
        <v>24118</v>
      </c>
      <c r="B862" s="4"/>
    </row>
    <row r="863" customHeight="1" spans="1:2">
      <c r="A863" s="3" t="s">
        <v>20092</v>
      </c>
      <c r="B863" s="4">
        <v>5858</v>
      </c>
    </row>
    <row r="864" customHeight="1" spans="1:2">
      <c r="A864" s="3" t="s">
        <v>4695</v>
      </c>
      <c r="B864" s="4">
        <v>60000000</v>
      </c>
    </row>
    <row r="865" customHeight="1" spans="1:2">
      <c r="A865" s="3" t="s">
        <v>15716</v>
      </c>
      <c r="B865" s="4"/>
    </row>
    <row r="866" customHeight="1" spans="1:2">
      <c r="A866" s="3" t="s">
        <v>20103</v>
      </c>
      <c r="B866" s="4">
        <v>405614</v>
      </c>
    </row>
    <row r="867" customHeight="1" spans="1:2">
      <c r="A867" s="3" t="s">
        <v>7514</v>
      </c>
      <c r="B867" s="4">
        <v>70269171</v>
      </c>
    </row>
    <row r="868" customHeight="1" spans="1:2">
      <c r="A868" s="3" t="s">
        <v>2615</v>
      </c>
      <c r="B868" s="4">
        <v>42194060</v>
      </c>
    </row>
    <row r="869" customHeight="1" spans="1:2">
      <c r="A869" s="3" t="s">
        <v>15545</v>
      </c>
      <c r="B869" s="4">
        <v>3049135</v>
      </c>
    </row>
    <row r="870" customHeight="1" spans="1:2">
      <c r="A870" s="3" t="s">
        <v>6299</v>
      </c>
      <c r="B870" s="4">
        <v>480314</v>
      </c>
    </row>
    <row r="871" customHeight="1" spans="1:2">
      <c r="A871" s="3" t="s">
        <v>5305</v>
      </c>
      <c r="B871" s="4">
        <v>17596256</v>
      </c>
    </row>
    <row r="872" customHeight="1" spans="1:2">
      <c r="A872" s="3" t="s">
        <v>3990</v>
      </c>
      <c r="B872" s="4">
        <v>138447667</v>
      </c>
    </row>
    <row r="873" customHeight="1" spans="1:2">
      <c r="A873" s="3" t="s">
        <v>22979</v>
      </c>
      <c r="B873" s="4"/>
    </row>
    <row r="874" customHeight="1" spans="1:2">
      <c r="A874" s="3" t="s">
        <v>22688</v>
      </c>
      <c r="B874" s="4"/>
    </row>
    <row r="875" customHeight="1" spans="1:2">
      <c r="A875" s="3" t="s">
        <v>6745</v>
      </c>
      <c r="B875" s="4">
        <v>100241322</v>
      </c>
    </row>
    <row r="876" customHeight="1" spans="1:2">
      <c r="A876" s="3" t="s">
        <v>15269</v>
      </c>
      <c r="B876" s="4">
        <v>34468224</v>
      </c>
    </row>
    <row r="877" customHeight="1" spans="1:2">
      <c r="A877" s="3" t="s">
        <v>12634</v>
      </c>
      <c r="B877" s="4">
        <v>6491350</v>
      </c>
    </row>
    <row r="878" customHeight="1" spans="1:2">
      <c r="A878" s="3" t="s">
        <v>2349</v>
      </c>
      <c r="B878" s="4">
        <v>65000000</v>
      </c>
    </row>
    <row r="879" customHeight="1" spans="1:2">
      <c r="A879" s="3" t="s">
        <v>9404</v>
      </c>
      <c r="B879" s="4">
        <v>6000000</v>
      </c>
    </row>
    <row r="880" customHeight="1" spans="1:2">
      <c r="A880" s="3" t="s">
        <v>13394</v>
      </c>
      <c r="B880" s="4">
        <v>145109</v>
      </c>
    </row>
    <row r="881" customHeight="1" spans="1:2">
      <c r="A881" s="3" t="s">
        <v>4459</v>
      </c>
      <c r="B881" s="4">
        <v>30199105</v>
      </c>
    </row>
    <row r="882" customHeight="1" spans="1:2">
      <c r="A882" s="3" t="s">
        <v>12249</v>
      </c>
      <c r="B882" s="4">
        <v>78845130</v>
      </c>
    </row>
    <row r="883" customHeight="1" spans="1:2">
      <c r="A883" s="3" t="s">
        <v>650</v>
      </c>
      <c r="B883" s="4">
        <v>260031035</v>
      </c>
    </row>
    <row r="884" customHeight="1" spans="1:2">
      <c r="A884" s="3" t="s">
        <v>22743</v>
      </c>
      <c r="B884" s="4"/>
    </row>
    <row r="885" customHeight="1" spans="1:2">
      <c r="A885" s="3" t="s">
        <v>12144</v>
      </c>
      <c r="B885" s="4">
        <v>399879</v>
      </c>
    </row>
    <row r="886" customHeight="1" spans="1:2">
      <c r="A886" s="3" t="s">
        <v>4293</v>
      </c>
      <c r="B886" s="4">
        <v>53955614</v>
      </c>
    </row>
    <row r="887" customHeight="1" spans="1:2">
      <c r="A887" s="3" t="s">
        <v>11145</v>
      </c>
      <c r="B887" s="4">
        <v>73000942</v>
      </c>
    </row>
    <row r="888" customHeight="1" spans="1:2">
      <c r="A888" s="3" t="s">
        <v>19570</v>
      </c>
      <c r="B888" s="4">
        <v>2300000</v>
      </c>
    </row>
    <row r="889" customHeight="1" spans="1:2">
      <c r="A889" s="3" t="s">
        <v>5915</v>
      </c>
      <c r="B889" s="4">
        <v>58156435</v>
      </c>
    </row>
    <row r="890" customHeight="1" spans="1:2">
      <c r="A890" s="3" t="s">
        <v>589</v>
      </c>
      <c r="B890" s="4">
        <v>249358727</v>
      </c>
    </row>
    <row r="891" customHeight="1" spans="1:2">
      <c r="A891" s="3" t="s">
        <v>7939</v>
      </c>
      <c r="B891" s="4">
        <v>4829497</v>
      </c>
    </row>
    <row r="892" customHeight="1" spans="1:2">
      <c r="A892" s="3" t="s">
        <v>16710</v>
      </c>
      <c r="B892" s="4">
        <v>21244913</v>
      </c>
    </row>
    <row r="893" customHeight="1" spans="1:2">
      <c r="A893" s="3" t="s">
        <v>24106</v>
      </c>
      <c r="B893" s="4"/>
    </row>
    <row r="894" customHeight="1" spans="1:2">
      <c r="A894" s="3" t="s">
        <v>8176</v>
      </c>
      <c r="B894" s="4">
        <v>153665036</v>
      </c>
    </row>
    <row r="895" customHeight="1" spans="1:2">
      <c r="A895" s="3" t="s">
        <v>15907</v>
      </c>
      <c r="B895" s="4">
        <v>108229</v>
      </c>
    </row>
    <row r="896" customHeight="1" spans="1:2">
      <c r="A896" s="3" t="s">
        <v>19720</v>
      </c>
      <c r="B896" s="4">
        <v>856942</v>
      </c>
    </row>
    <row r="897" customHeight="1" spans="1:2">
      <c r="A897" s="3" t="s">
        <v>450</v>
      </c>
      <c r="B897" s="4">
        <v>190418803</v>
      </c>
    </row>
    <row r="898" customHeight="1" spans="1:2">
      <c r="A898" s="3" t="s">
        <v>23993</v>
      </c>
      <c r="B898" s="4"/>
    </row>
    <row r="899" customHeight="1" spans="1:2">
      <c r="A899" s="3" t="s">
        <v>17880</v>
      </c>
      <c r="B899" s="4"/>
    </row>
    <row r="900" customHeight="1" spans="1:2">
      <c r="A900" s="3" t="s">
        <v>18961</v>
      </c>
      <c r="B900" s="4"/>
    </row>
    <row r="901" customHeight="1" spans="1:2">
      <c r="A901" s="3" t="s">
        <v>23688</v>
      </c>
      <c r="B901" s="4"/>
    </row>
    <row r="902" customHeight="1" spans="1:2">
      <c r="A902" s="3" t="s">
        <v>12100</v>
      </c>
      <c r="B902" s="4">
        <v>2832826</v>
      </c>
    </row>
    <row r="903" customHeight="1" spans="1:2">
      <c r="A903" s="3" t="s">
        <v>21174</v>
      </c>
      <c r="B903" s="4"/>
    </row>
    <row r="904" customHeight="1" spans="1:2">
      <c r="A904" s="3" t="s">
        <v>13828</v>
      </c>
      <c r="B904" s="4">
        <v>568695</v>
      </c>
    </row>
    <row r="905" customHeight="1" spans="1:2">
      <c r="A905" s="3" t="s">
        <v>17270</v>
      </c>
      <c r="B905" s="4">
        <v>3325638</v>
      </c>
    </row>
    <row r="906" customHeight="1" spans="1:2">
      <c r="A906" s="3" t="s">
        <v>6663</v>
      </c>
      <c r="B906" s="4">
        <v>14337579</v>
      </c>
    </row>
    <row r="907" customHeight="1" spans="1:2">
      <c r="A907" s="3" t="s">
        <v>10227</v>
      </c>
      <c r="B907" s="4">
        <v>42592530</v>
      </c>
    </row>
    <row r="908" customHeight="1" spans="1:2">
      <c r="A908" s="3" t="s">
        <v>7258</v>
      </c>
      <c r="B908" s="4">
        <v>16118077</v>
      </c>
    </row>
    <row r="909" customHeight="1" spans="1:2">
      <c r="A909" s="3" t="s">
        <v>15630</v>
      </c>
      <c r="B909" s="4">
        <v>65069140</v>
      </c>
    </row>
    <row r="910" customHeight="1" spans="1:2">
      <c r="A910" s="3" t="s">
        <v>18436</v>
      </c>
      <c r="B910" s="4">
        <v>7826</v>
      </c>
    </row>
    <row r="911" customHeight="1" spans="1:2">
      <c r="A911" s="3" t="s">
        <v>11347</v>
      </c>
      <c r="B911" s="4">
        <v>3074838</v>
      </c>
    </row>
    <row r="912" customHeight="1" spans="1:2">
      <c r="A912" s="3" t="s">
        <v>2243</v>
      </c>
      <c r="B912" s="4">
        <v>54758461</v>
      </c>
    </row>
    <row r="913" customHeight="1" spans="1:2">
      <c r="A913" s="3" t="s">
        <v>1802</v>
      </c>
      <c r="B913" s="4">
        <v>73661010</v>
      </c>
    </row>
    <row r="914" customHeight="1" spans="1:2">
      <c r="A914" s="3" t="s">
        <v>20017</v>
      </c>
      <c r="B914" s="4"/>
    </row>
    <row r="915" customHeight="1" spans="1:2">
      <c r="A915" s="3" t="s">
        <v>17575</v>
      </c>
      <c r="B915" s="4">
        <v>2506446</v>
      </c>
    </row>
    <row r="916" customHeight="1" spans="1:2">
      <c r="A916" s="3" t="s">
        <v>1551</v>
      </c>
      <c r="B916" s="4">
        <v>169692572</v>
      </c>
    </row>
    <row r="917" customHeight="1" spans="1:2">
      <c r="A917" s="3" t="s">
        <v>9929</v>
      </c>
      <c r="B917" s="4">
        <v>77324422</v>
      </c>
    </row>
    <row r="918" customHeight="1" spans="1:2">
      <c r="A918" s="3" t="s">
        <v>4284</v>
      </c>
      <c r="B918" s="4">
        <v>60923325</v>
      </c>
    </row>
    <row r="919" customHeight="1" spans="1:2">
      <c r="A919" s="3" t="s">
        <v>22888</v>
      </c>
      <c r="B919" s="4"/>
    </row>
    <row r="920" customHeight="1" spans="1:2">
      <c r="A920" s="3" t="s">
        <v>33</v>
      </c>
      <c r="B920" s="4">
        <v>760505847</v>
      </c>
    </row>
    <row r="921" customHeight="1" spans="1:2">
      <c r="A921" s="3" t="s">
        <v>22631</v>
      </c>
      <c r="B921" s="4"/>
    </row>
    <row r="922" customHeight="1" spans="1:2">
      <c r="A922" s="3" t="s">
        <v>23372</v>
      </c>
      <c r="B922" s="4"/>
    </row>
    <row r="923" customHeight="1" spans="1:2">
      <c r="A923" s="3" t="s">
        <v>1630</v>
      </c>
      <c r="B923" s="4">
        <v>17473245</v>
      </c>
    </row>
    <row r="924" customHeight="1" spans="1:2">
      <c r="A924" s="3" t="s">
        <v>19942</v>
      </c>
      <c r="B924" s="4"/>
    </row>
    <row r="925" customHeight="1" spans="1:2">
      <c r="A925" s="3" t="s">
        <v>806</v>
      </c>
      <c r="B925" s="4">
        <v>50026353</v>
      </c>
    </row>
    <row r="926" customHeight="1" spans="1:2">
      <c r="A926" s="3" t="s">
        <v>20227</v>
      </c>
      <c r="B926" s="4">
        <v>10246600</v>
      </c>
    </row>
    <row r="927" customHeight="1" spans="1:2">
      <c r="A927" s="3" t="s">
        <v>5270</v>
      </c>
      <c r="B927" s="4">
        <v>19447478</v>
      </c>
    </row>
    <row r="928" customHeight="1" spans="1:2">
      <c r="A928" s="3" t="s">
        <v>1068</v>
      </c>
      <c r="B928" s="4">
        <v>71148699</v>
      </c>
    </row>
    <row r="929" customHeight="1" spans="1:2">
      <c r="A929" s="3" t="s">
        <v>3467</v>
      </c>
      <c r="B929" s="4">
        <v>17114882</v>
      </c>
    </row>
    <row r="930" customHeight="1" spans="1:2">
      <c r="A930" s="3" t="s">
        <v>15833</v>
      </c>
      <c r="B930" s="4">
        <v>13060843</v>
      </c>
    </row>
    <row r="931" customHeight="1" spans="1:2">
      <c r="A931" s="3" t="s">
        <v>5982</v>
      </c>
      <c r="B931" s="4">
        <v>42643187</v>
      </c>
    </row>
    <row r="932" customHeight="1" spans="1:2">
      <c r="A932" s="3" t="s">
        <v>10334</v>
      </c>
      <c r="B932" s="4">
        <v>26161406</v>
      </c>
    </row>
    <row r="933" customHeight="1" spans="1:2">
      <c r="A933" s="3" t="s">
        <v>19724</v>
      </c>
      <c r="B933" s="4"/>
    </row>
    <row r="934" customHeight="1" spans="1:2">
      <c r="A934" s="3" t="s">
        <v>15058</v>
      </c>
      <c r="B934" s="4">
        <v>1292119</v>
      </c>
    </row>
    <row r="935" customHeight="1" spans="1:2">
      <c r="A935" s="3" t="s">
        <v>13377</v>
      </c>
      <c r="B935" s="4">
        <v>883887</v>
      </c>
    </row>
    <row r="936" customHeight="1" spans="1:2">
      <c r="A936" s="3" t="s">
        <v>1558</v>
      </c>
      <c r="B936" s="4">
        <v>60507228</v>
      </c>
    </row>
    <row r="937" customHeight="1" spans="1:2">
      <c r="A937" s="3" t="s">
        <v>1019</v>
      </c>
      <c r="B937" s="4">
        <v>108638745</v>
      </c>
    </row>
    <row r="938" customHeight="1" spans="1:2">
      <c r="A938" s="3" t="s">
        <v>5179</v>
      </c>
      <c r="B938" s="4">
        <v>33423521</v>
      </c>
    </row>
    <row r="939" customHeight="1" spans="1:2">
      <c r="A939" s="3" t="s">
        <v>5096</v>
      </c>
      <c r="B939" s="4">
        <v>48169908</v>
      </c>
    </row>
    <row r="940" customHeight="1" spans="1:2">
      <c r="A940" s="3" t="s">
        <v>445</v>
      </c>
      <c r="B940" s="4">
        <v>118099659</v>
      </c>
    </row>
    <row r="941" customHeight="1" spans="1:2">
      <c r="A941" s="3" t="s">
        <v>6120</v>
      </c>
      <c r="B941" s="4">
        <v>22526144</v>
      </c>
    </row>
    <row r="942" customHeight="1" spans="1:2">
      <c r="A942" s="3" t="s">
        <v>23197</v>
      </c>
      <c r="B942" s="4"/>
    </row>
    <row r="943" customHeight="1" spans="1:2">
      <c r="A943" s="3" t="s">
        <v>23560</v>
      </c>
      <c r="B943" s="4"/>
    </row>
    <row r="944" customHeight="1" spans="1:2">
      <c r="A944" s="3" t="s">
        <v>16566</v>
      </c>
      <c r="B944" s="4"/>
    </row>
    <row r="945" customHeight="1" spans="1:2">
      <c r="A945" s="3" t="s">
        <v>12620</v>
      </c>
      <c r="B945" s="4">
        <v>6712241</v>
      </c>
    </row>
    <row r="946" customHeight="1" spans="1:2">
      <c r="A946" s="3" t="s">
        <v>16427</v>
      </c>
      <c r="B946" s="4">
        <v>14000000</v>
      </c>
    </row>
    <row r="947" customHeight="1" spans="1:2">
      <c r="A947" s="3" t="s">
        <v>19126</v>
      </c>
      <c r="B947" s="4">
        <v>5518918</v>
      </c>
    </row>
    <row r="948" customHeight="1" spans="1:2">
      <c r="A948" s="3" t="s">
        <v>3053</v>
      </c>
      <c r="B948" s="4">
        <v>62563543</v>
      </c>
    </row>
    <row r="949" customHeight="1" spans="1:2">
      <c r="A949" s="3" t="s">
        <v>23282</v>
      </c>
      <c r="B949" s="4"/>
    </row>
    <row r="950" customHeight="1" spans="1:2">
      <c r="A950" s="3" t="s">
        <v>10403</v>
      </c>
      <c r="B950" s="4">
        <v>16459004</v>
      </c>
    </row>
    <row r="951" customHeight="1" spans="1:2">
      <c r="A951" s="3" t="s">
        <v>22947</v>
      </c>
      <c r="B951" s="4"/>
    </row>
    <row r="952" customHeight="1" spans="1:2">
      <c r="A952" s="3" t="s">
        <v>20198</v>
      </c>
      <c r="B952" s="4">
        <v>536767</v>
      </c>
    </row>
    <row r="953" customHeight="1" spans="1:2">
      <c r="A953" s="3" t="s">
        <v>7143</v>
      </c>
      <c r="B953" s="4"/>
    </row>
    <row r="954" customHeight="1" spans="1:2">
      <c r="A954" s="3" t="s">
        <v>5216</v>
      </c>
      <c r="B954" s="4">
        <v>28687835</v>
      </c>
    </row>
    <row r="955" customHeight="1" spans="1:2">
      <c r="A955" s="3" t="s">
        <v>10778</v>
      </c>
      <c r="B955" s="4"/>
    </row>
    <row r="956" customHeight="1" spans="1:2">
      <c r="A956" s="3" t="s">
        <v>2712</v>
      </c>
      <c r="B956" s="4">
        <v>25472967</v>
      </c>
    </row>
    <row r="957" customHeight="1" spans="1:2">
      <c r="A957" s="3" t="s">
        <v>4699</v>
      </c>
      <c r="B957" s="4">
        <v>29802761</v>
      </c>
    </row>
    <row r="958" customHeight="1" spans="1:2">
      <c r="A958" s="3" t="s">
        <v>23208</v>
      </c>
      <c r="B958" s="4"/>
    </row>
    <row r="959" customHeight="1" spans="1:2">
      <c r="A959" s="3" t="s">
        <v>2632</v>
      </c>
      <c r="B959" s="4">
        <v>40076438</v>
      </c>
    </row>
    <row r="960" customHeight="1" spans="1:2">
      <c r="A960" s="3" t="s">
        <v>380</v>
      </c>
      <c r="B960" s="4">
        <v>139259759</v>
      </c>
    </row>
    <row r="961" customHeight="1" spans="1:2">
      <c r="A961" s="3" t="s">
        <v>5616</v>
      </c>
      <c r="B961" s="4">
        <v>99462</v>
      </c>
    </row>
    <row r="962" customHeight="1" spans="1:2">
      <c r="A962" s="3" t="s">
        <v>7183</v>
      </c>
      <c r="B962" s="4">
        <v>21835784</v>
      </c>
    </row>
    <row r="963" customHeight="1" spans="1:2">
      <c r="A963" s="3" t="s">
        <v>14992</v>
      </c>
      <c r="B963" s="4">
        <v>32541719</v>
      </c>
    </row>
    <row r="964" customHeight="1" spans="1:2">
      <c r="A964" s="3" t="s">
        <v>2832</v>
      </c>
      <c r="B964" s="4">
        <v>141600000</v>
      </c>
    </row>
    <row r="965" customHeight="1" spans="1:2">
      <c r="A965" s="3" t="s">
        <v>11353</v>
      </c>
      <c r="B965" s="4">
        <v>1172769</v>
      </c>
    </row>
    <row r="966" customHeight="1" spans="1:2">
      <c r="A966" s="3" t="s">
        <v>6077</v>
      </c>
      <c r="B966" s="4"/>
    </row>
    <row r="967" customHeight="1" spans="1:2">
      <c r="A967" s="3" t="s">
        <v>8865</v>
      </c>
      <c r="B967" s="4">
        <v>6002756</v>
      </c>
    </row>
    <row r="968" customHeight="1" spans="1:2">
      <c r="A968" s="3" t="s">
        <v>5963</v>
      </c>
      <c r="B968" s="4">
        <v>56068547</v>
      </c>
    </row>
    <row r="969" customHeight="1" spans="1:2">
      <c r="A969" s="3" t="s">
        <v>778</v>
      </c>
      <c r="B969" s="4">
        <v>186336103</v>
      </c>
    </row>
    <row r="970" customHeight="1" spans="1:2">
      <c r="A970" s="3" t="s">
        <v>15462</v>
      </c>
      <c r="B970" s="4">
        <v>3432342</v>
      </c>
    </row>
    <row r="971" customHeight="1" spans="1:2">
      <c r="A971" s="3" t="s">
        <v>10369</v>
      </c>
      <c r="B971" s="4">
        <v>19158074</v>
      </c>
    </row>
    <row r="972" customHeight="1" spans="1:2">
      <c r="A972" s="3" t="s">
        <v>14025</v>
      </c>
      <c r="B972" s="4">
        <v>4443403</v>
      </c>
    </row>
    <row r="973" customHeight="1" spans="1:2">
      <c r="A973" s="3" t="s">
        <v>20504</v>
      </c>
      <c r="B973" s="4"/>
    </row>
    <row r="974" customHeight="1" spans="1:2">
      <c r="A974" s="3" t="s">
        <v>3518</v>
      </c>
      <c r="B974" s="4">
        <v>20488579</v>
      </c>
    </row>
    <row r="975" customHeight="1" spans="1:2">
      <c r="A975" s="3" t="s">
        <v>23694</v>
      </c>
      <c r="B975" s="4"/>
    </row>
    <row r="976" customHeight="1" spans="1:2">
      <c r="A976" s="3" t="s">
        <v>13727</v>
      </c>
      <c r="B976" s="4">
        <v>58401464</v>
      </c>
    </row>
    <row r="977" customHeight="1" spans="1:2">
      <c r="A977" s="3" t="s">
        <v>20424</v>
      </c>
      <c r="B977" s="4"/>
    </row>
    <row r="978" customHeight="1" spans="1:2">
      <c r="A978" s="3" t="s">
        <v>7372</v>
      </c>
      <c r="B978" s="4">
        <v>10719367</v>
      </c>
    </row>
    <row r="979" customHeight="1" spans="1:2">
      <c r="A979" s="3" t="s">
        <v>15444</v>
      </c>
      <c r="B979" s="4"/>
    </row>
    <row r="980" customHeight="1" spans="1:2">
      <c r="A980" s="3" t="s">
        <v>15057</v>
      </c>
      <c r="B980" s="4">
        <v>6200756</v>
      </c>
    </row>
    <row r="981" customHeight="1" spans="1:2">
      <c r="A981" s="3" t="s">
        <v>23500</v>
      </c>
      <c r="B981" s="4"/>
    </row>
    <row r="982" customHeight="1" spans="1:2">
      <c r="A982" s="3" t="s">
        <v>21131</v>
      </c>
      <c r="B982" s="4"/>
    </row>
    <row r="983" customHeight="1" spans="1:2">
      <c r="A983" s="3" t="s">
        <v>15743</v>
      </c>
      <c r="B983" s="4">
        <v>1729969</v>
      </c>
    </row>
    <row r="984" customHeight="1" spans="1:2">
      <c r="A984" s="3" t="s">
        <v>1654</v>
      </c>
      <c r="B984" s="4"/>
    </row>
    <row r="985" customHeight="1" spans="1:2">
      <c r="A985" s="3" t="s">
        <v>3299</v>
      </c>
      <c r="B985" s="4">
        <v>50815288</v>
      </c>
    </row>
    <row r="986" customHeight="1" spans="1:2">
      <c r="A986" s="3" t="s">
        <v>9499</v>
      </c>
      <c r="B986" s="4"/>
    </row>
    <row r="987" customHeight="1" spans="1:2">
      <c r="A987" s="3" t="s">
        <v>3436</v>
      </c>
      <c r="B987" s="4">
        <v>26536120</v>
      </c>
    </row>
    <row r="988" customHeight="1" spans="1:2">
      <c r="A988" s="3" t="s">
        <v>23871</v>
      </c>
      <c r="B988" s="4"/>
    </row>
    <row r="989" customHeight="1" spans="1:2">
      <c r="A989" s="3" t="s">
        <v>6067</v>
      </c>
      <c r="B989" s="4">
        <v>35565975</v>
      </c>
    </row>
    <row r="990" customHeight="1" spans="1:2">
      <c r="A990" s="3" t="s">
        <v>9355</v>
      </c>
      <c r="B990" s="4">
        <v>17750583</v>
      </c>
    </row>
    <row r="991" customHeight="1" spans="1:2">
      <c r="A991" s="3" t="s">
        <v>3920</v>
      </c>
      <c r="B991" s="4">
        <v>2154540</v>
      </c>
    </row>
    <row r="992" customHeight="1" spans="1:2">
      <c r="A992" s="3" t="s">
        <v>21397</v>
      </c>
      <c r="B992" s="4"/>
    </row>
    <row r="993" customHeight="1" spans="1:2">
      <c r="A993" s="3" t="s">
        <v>23804</v>
      </c>
      <c r="B993" s="4"/>
    </row>
    <row r="994" customHeight="1" spans="1:2">
      <c r="A994" s="3" t="s">
        <v>12661</v>
      </c>
      <c r="B994" s="4">
        <v>5998971</v>
      </c>
    </row>
    <row r="995" customHeight="1" spans="1:2">
      <c r="A995" s="3" t="s">
        <v>22337</v>
      </c>
      <c r="B995" s="4"/>
    </row>
    <row r="996" customHeight="1" spans="1:2">
      <c r="A996" s="3" t="s">
        <v>22207</v>
      </c>
      <c r="B996" s="4"/>
    </row>
    <row r="997" customHeight="1" spans="1:2">
      <c r="A997" s="3" t="s">
        <v>8463</v>
      </c>
      <c r="B997" s="4">
        <v>26415649</v>
      </c>
    </row>
    <row r="998" customHeight="1" spans="1:2">
      <c r="A998" s="3" t="s">
        <v>3289</v>
      </c>
      <c r="B998" s="4">
        <v>55682070</v>
      </c>
    </row>
    <row r="999" customHeight="1" spans="1:2">
      <c r="A999" s="3" t="s">
        <v>5161</v>
      </c>
      <c r="B999" s="4">
        <v>37553932</v>
      </c>
    </row>
    <row r="1000" customHeight="1" spans="1:2">
      <c r="A1000" s="3" t="s">
        <v>16645</v>
      </c>
      <c r="B1000" s="4"/>
    </row>
    <row r="1001" customHeight="1" spans="1:2">
      <c r="A1001" s="3" t="s">
        <v>6379</v>
      </c>
      <c r="B1001" s="4">
        <v>22359293</v>
      </c>
    </row>
    <row r="1002" customHeight="1" spans="1:2">
      <c r="A1002" s="3" t="s">
        <v>15307</v>
      </c>
      <c r="B1002" s="4">
        <v>27689474</v>
      </c>
    </row>
    <row r="1003" customHeight="1" spans="1:2">
      <c r="A1003" s="3" t="s">
        <v>11729</v>
      </c>
      <c r="B1003" s="4">
        <v>10198766</v>
      </c>
    </row>
    <row r="1004" customHeight="1" spans="1:2">
      <c r="A1004" s="3" t="s">
        <v>20097</v>
      </c>
      <c r="B1004" s="4"/>
    </row>
    <row r="1005" customHeight="1" spans="1:2">
      <c r="A1005" s="3" t="s">
        <v>22793</v>
      </c>
      <c r="B1005" s="4"/>
    </row>
    <row r="1006" customHeight="1" spans="1:2">
      <c r="A1006" s="3" t="s">
        <v>11463</v>
      </c>
      <c r="B1006" s="4"/>
    </row>
    <row r="1007" customHeight="1" spans="1:2">
      <c r="A1007" s="3" t="s">
        <v>11098</v>
      </c>
      <c r="B1007" s="4">
        <v>15854988</v>
      </c>
    </row>
    <row r="1008" customHeight="1" spans="1:2">
      <c r="A1008" s="3" t="s">
        <v>1646</v>
      </c>
      <c r="B1008" s="4">
        <v>1891821</v>
      </c>
    </row>
    <row r="1009" customHeight="1" spans="1:2">
      <c r="A1009" s="3" t="s">
        <v>4280</v>
      </c>
      <c r="B1009" s="4">
        <v>59068786</v>
      </c>
    </row>
    <row r="1010" customHeight="1" spans="1:2">
      <c r="A1010" s="3" t="s">
        <v>4648</v>
      </c>
      <c r="B1010" s="4">
        <v>2869369</v>
      </c>
    </row>
    <row r="1011" customHeight="1" spans="1:2">
      <c r="A1011" s="3" t="s">
        <v>8756</v>
      </c>
      <c r="B1011" s="4">
        <v>13650738</v>
      </c>
    </row>
    <row r="1012" customHeight="1" spans="1:2">
      <c r="A1012" s="3" t="s">
        <v>13495</v>
      </c>
      <c r="B1012" s="4">
        <v>13569248</v>
      </c>
    </row>
    <row r="1013" customHeight="1" spans="1:2">
      <c r="A1013" s="3" t="s">
        <v>22685</v>
      </c>
      <c r="B1013" s="4"/>
    </row>
    <row r="1014" customHeight="1" spans="1:2">
      <c r="A1014" s="3" t="s">
        <v>11705</v>
      </c>
      <c r="B1014" s="4">
        <v>12796277</v>
      </c>
    </row>
    <row r="1015" customHeight="1" spans="1:2">
      <c r="A1015" s="3" t="s">
        <v>8084</v>
      </c>
      <c r="B1015" s="4"/>
    </row>
    <row r="1016" customHeight="1" spans="1:2">
      <c r="A1016" s="3" t="s">
        <v>21222</v>
      </c>
      <c r="B1016" s="4"/>
    </row>
    <row r="1017" customHeight="1" spans="1:2">
      <c r="A1017" s="3" t="s">
        <v>490</v>
      </c>
      <c r="B1017" s="4">
        <v>31704416</v>
      </c>
    </row>
    <row r="1018" customHeight="1" spans="1:2">
      <c r="A1018" s="3" t="s">
        <v>17861</v>
      </c>
      <c r="B1018" s="4">
        <v>95236</v>
      </c>
    </row>
    <row r="1019" customHeight="1" spans="1:2">
      <c r="A1019" s="3" t="s">
        <v>21988</v>
      </c>
      <c r="B1019" s="4"/>
    </row>
    <row r="1020" customHeight="1" spans="1:2">
      <c r="A1020" s="3" t="s">
        <v>12322</v>
      </c>
      <c r="B1020" s="4">
        <v>35794166</v>
      </c>
    </row>
    <row r="1021" customHeight="1" spans="1:2">
      <c r="A1021" s="3" t="s">
        <v>2023</v>
      </c>
      <c r="B1021" s="4">
        <v>38345403</v>
      </c>
    </row>
    <row r="1022" customHeight="1" spans="1:2">
      <c r="A1022" s="3" t="s">
        <v>607</v>
      </c>
      <c r="B1022" s="4">
        <v>148337537</v>
      </c>
    </row>
    <row r="1023" customHeight="1" spans="1:2">
      <c r="A1023" s="3" t="s">
        <v>11838</v>
      </c>
      <c r="B1023" s="4">
        <v>1506998</v>
      </c>
    </row>
    <row r="1024" customHeight="1" spans="1:2">
      <c r="A1024" s="3" t="s">
        <v>11301</v>
      </c>
      <c r="B1024" s="4"/>
    </row>
    <row r="1025" customHeight="1" spans="1:2">
      <c r="A1025" s="3" t="s">
        <v>13072</v>
      </c>
      <c r="B1025" s="4">
        <v>2483955</v>
      </c>
    </row>
    <row r="1026" customHeight="1" spans="1:2">
      <c r="A1026" s="3" t="s">
        <v>20768</v>
      </c>
      <c r="B1026" s="4"/>
    </row>
    <row r="1027" customHeight="1" spans="1:2">
      <c r="A1027" s="3" t="s">
        <v>22877</v>
      </c>
      <c r="B1027" s="4"/>
    </row>
    <row r="1028" customHeight="1" spans="1:2">
      <c r="A1028" s="3" t="s">
        <v>22811</v>
      </c>
      <c r="B1028" s="4"/>
    </row>
    <row r="1029" customHeight="1" spans="1:2">
      <c r="A1029" s="3" t="s">
        <v>2472</v>
      </c>
      <c r="B1029" s="4">
        <v>71844424</v>
      </c>
    </row>
    <row r="1030" customHeight="1" spans="1:2">
      <c r="A1030" s="3" t="s">
        <v>7849</v>
      </c>
      <c r="B1030" s="4">
        <v>19283782</v>
      </c>
    </row>
    <row r="1031" customHeight="1" spans="1:2">
      <c r="A1031" s="3" t="s">
        <v>222</v>
      </c>
      <c r="B1031" s="4">
        <v>198332128</v>
      </c>
    </row>
    <row r="1032" customHeight="1" spans="1:2">
      <c r="A1032" s="3" t="s">
        <v>9538</v>
      </c>
      <c r="B1032" s="4">
        <v>58006147</v>
      </c>
    </row>
    <row r="1033" customHeight="1" spans="1:2">
      <c r="A1033" s="3" t="s">
        <v>13167</v>
      </c>
      <c r="B1033" s="4"/>
    </row>
    <row r="1034" customHeight="1" spans="1:2">
      <c r="A1034" s="3" t="s">
        <v>10601</v>
      </c>
      <c r="B1034" s="4">
        <v>4235837</v>
      </c>
    </row>
    <row r="1035" customHeight="1" spans="1:2">
      <c r="A1035" s="3" t="s">
        <v>98</v>
      </c>
      <c r="B1035" s="4">
        <v>70083519</v>
      </c>
    </row>
    <row r="1036" customHeight="1" spans="1:2">
      <c r="A1036" s="3" t="s">
        <v>12194</v>
      </c>
      <c r="B1036" s="4">
        <v>125169</v>
      </c>
    </row>
    <row r="1037" customHeight="1" spans="1:2">
      <c r="A1037" s="3" t="s">
        <v>3369</v>
      </c>
      <c r="B1037" s="4">
        <v>40203020</v>
      </c>
    </row>
    <row r="1038" customHeight="1" spans="1:2">
      <c r="A1038" s="3" t="s">
        <v>8188</v>
      </c>
      <c r="B1038" s="4">
        <v>130727000</v>
      </c>
    </row>
    <row r="1039" customHeight="1" spans="1:2">
      <c r="A1039" s="3" t="s">
        <v>9823</v>
      </c>
      <c r="B1039" s="4">
        <v>42638165</v>
      </c>
    </row>
    <row r="1040" customHeight="1" spans="1:2">
      <c r="A1040" s="3" t="s">
        <v>722</v>
      </c>
      <c r="B1040" s="4">
        <v>134455175</v>
      </c>
    </row>
    <row r="1041" customHeight="1" spans="1:2">
      <c r="A1041" s="3" t="s">
        <v>12166</v>
      </c>
      <c r="B1041" s="4">
        <v>56715371</v>
      </c>
    </row>
    <row r="1042" customHeight="1" spans="1:2">
      <c r="A1042" s="3" t="s">
        <v>4604</v>
      </c>
      <c r="B1042" s="4">
        <v>10326062</v>
      </c>
    </row>
    <row r="1043" customHeight="1" spans="1:2">
      <c r="A1043" s="3" t="s">
        <v>23528</v>
      </c>
      <c r="B1043" s="4"/>
    </row>
    <row r="1044" customHeight="1" spans="1:2">
      <c r="A1044" s="3" t="s">
        <v>1978</v>
      </c>
      <c r="B1044" s="4">
        <v>219613391</v>
      </c>
    </row>
    <row r="1045" customHeight="1" spans="1:2">
      <c r="A1045" s="3" t="s">
        <v>16245</v>
      </c>
      <c r="B1045" s="4">
        <v>265107</v>
      </c>
    </row>
    <row r="1046" customHeight="1" spans="1:2">
      <c r="A1046" s="3" t="s">
        <v>9845</v>
      </c>
      <c r="B1046" s="4">
        <v>33357476</v>
      </c>
    </row>
    <row r="1047" customHeight="1" spans="1:2">
      <c r="A1047" s="3" t="s">
        <v>4528</v>
      </c>
      <c r="B1047" s="4">
        <v>14942422</v>
      </c>
    </row>
    <row r="1048" customHeight="1" spans="1:2">
      <c r="A1048" s="3" t="s">
        <v>10670</v>
      </c>
      <c r="B1048" s="4">
        <v>1294640</v>
      </c>
    </row>
    <row r="1049" customHeight="1" spans="1:2">
      <c r="A1049" s="3" t="s">
        <v>23408</v>
      </c>
      <c r="B1049" s="4"/>
    </row>
    <row r="1050" customHeight="1" spans="1:2">
      <c r="A1050" s="3" t="s">
        <v>199</v>
      </c>
      <c r="B1050" s="4"/>
    </row>
    <row r="1051" customHeight="1" spans="1:2">
      <c r="A1051" s="3" t="s">
        <v>23888</v>
      </c>
      <c r="B1051" s="4"/>
    </row>
    <row r="1052" customHeight="1" spans="1:2">
      <c r="A1052" s="3" t="s">
        <v>15697</v>
      </c>
      <c r="B1052" s="4"/>
    </row>
    <row r="1053" customHeight="1" spans="1:2">
      <c r="A1053" s="3" t="s">
        <v>184</v>
      </c>
      <c r="B1053" s="4">
        <v>123070338</v>
      </c>
    </row>
    <row r="1054" customHeight="1" spans="1:2">
      <c r="A1054" s="3" t="s">
        <v>11309</v>
      </c>
      <c r="B1054" s="4">
        <v>5002310</v>
      </c>
    </row>
    <row r="1055" customHeight="1" spans="1:2">
      <c r="A1055" s="3" t="s">
        <v>8253</v>
      </c>
      <c r="B1055" s="4">
        <v>56667870</v>
      </c>
    </row>
    <row r="1056" customHeight="1" spans="1:2">
      <c r="A1056" s="3" t="s">
        <v>23920</v>
      </c>
      <c r="B1056" s="4"/>
    </row>
    <row r="1057" customHeight="1" spans="1:2">
      <c r="A1057" s="3" t="s">
        <v>22267</v>
      </c>
      <c r="B1057" s="4"/>
    </row>
    <row r="1058" customHeight="1" spans="1:2">
      <c r="A1058" s="3" t="s">
        <v>22719</v>
      </c>
      <c r="B1058" s="4"/>
    </row>
    <row r="1059" customHeight="1" spans="1:2">
      <c r="A1059" s="3" t="s">
        <v>23953</v>
      </c>
      <c r="B1059" s="4"/>
    </row>
    <row r="1060" customHeight="1" spans="1:2">
      <c r="A1060" s="3" t="s">
        <v>62</v>
      </c>
      <c r="B1060" s="4">
        <v>330249062</v>
      </c>
    </row>
    <row r="1061" customHeight="1" spans="1:2">
      <c r="A1061" s="3" t="s">
        <v>3109</v>
      </c>
      <c r="B1061" s="4">
        <v>34580635</v>
      </c>
    </row>
    <row r="1062" customHeight="1" spans="1:2">
      <c r="A1062" s="3" t="s">
        <v>2273</v>
      </c>
      <c r="B1062" s="4">
        <v>32598931</v>
      </c>
    </row>
    <row r="1063" customHeight="1" spans="1:2">
      <c r="A1063" s="3" t="s">
        <v>13988</v>
      </c>
      <c r="B1063" s="4">
        <v>533344</v>
      </c>
    </row>
    <row r="1064" customHeight="1" spans="1:2">
      <c r="A1064" s="3" t="s">
        <v>11468</v>
      </c>
      <c r="B1064" s="4">
        <v>5949693</v>
      </c>
    </row>
    <row r="1065" customHeight="1" spans="1:2">
      <c r="A1065" s="3" t="s">
        <v>11816</v>
      </c>
      <c r="B1065" s="4"/>
    </row>
    <row r="1066" customHeight="1" spans="1:2">
      <c r="A1066" s="3" t="s">
        <v>22992</v>
      </c>
      <c r="B1066" s="4"/>
    </row>
    <row r="1067" customHeight="1" spans="1:2">
      <c r="A1067" s="3" t="s">
        <v>20746</v>
      </c>
      <c r="B1067" s="4"/>
    </row>
    <row r="1068" customHeight="1" spans="1:2">
      <c r="A1068" s="3" t="s">
        <v>11822</v>
      </c>
      <c r="B1068" s="4">
        <v>2835886</v>
      </c>
    </row>
    <row r="1069" customHeight="1" spans="1:2">
      <c r="A1069" s="3" t="s">
        <v>8369</v>
      </c>
      <c r="B1069" s="4">
        <v>34300771</v>
      </c>
    </row>
    <row r="1070" customHeight="1" spans="1:2">
      <c r="A1070" s="3" t="s">
        <v>8610</v>
      </c>
      <c r="B1070" s="4"/>
    </row>
    <row r="1071" customHeight="1" spans="1:2">
      <c r="A1071" s="3" t="s">
        <v>21395</v>
      </c>
      <c r="B1071" s="4"/>
    </row>
    <row r="1072" customHeight="1" spans="1:2">
      <c r="A1072" s="3" t="s">
        <v>23085</v>
      </c>
      <c r="B1072" s="4"/>
    </row>
    <row r="1073" customHeight="1" spans="1:2">
      <c r="A1073" s="3" t="s">
        <v>1396</v>
      </c>
      <c r="B1073" s="4">
        <v>75754670</v>
      </c>
    </row>
    <row r="1074" customHeight="1" spans="1:2">
      <c r="A1074" s="3" t="s">
        <v>23363</v>
      </c>
      <c r="B1074" s="4"/>
    </row>
    <row r="1075" customHeight="1" spans="1:2">
      <c r="A1075" s="3" t="s">
        <v>3091</v>
      </c>
      <c r="B1075" s="4">
        <v>80270227</v>
      </c>
    </row>
    <row r="1076" customHeight="1" spans="1:2">
      <c r="A1076" s="3" t="s">
        <v>21125</v>
      </c>
      <c r="B1076" s="4"/>
    </row>
    <row r="1077" customHeight="1" spans="1:2">
      <c r="A1077" s="3" t="s">
        <v>22158</v>
      </c>
      <c r="B1077" s="4"/>
    </row>
    <row r="1078" customHeight="1" spans="1:2">
      <c r="A1078" s="3" t="s">
        <v>8215</v>
      </c>
      <c r="B1078" s="4">
        <v>84518155</v>
      </c>
    </row>
    <row r="1079" customHeight="1" spans="1:2">
      <c r="A1079" s="3" t="s">
        <v>10948</v>
      </c>
      <c r="B1079" s="4">
        <v>13640000</v>
      </c>
    </row>
    <row r="1080" customHeight="1" spans="1:2">
      <c r="A1080" s="3" t="s">
        <v>7386</v>
      </c>
      <c r="B1080" s="4">
        <v>10324441</v>
      </c>
    </row>
    <row r="1081" customHeight="1" spans="1:2">
      <c r="A1081" s="3" t="s">
        <v>9368</v>
      </c>
      <c r="B1081" s="4">
        <v>8000000</v>
      </c>
    </row>
    <row r="1082" customHeight="1" spans="1:2">
      <c r="A1082" s="3" t="s">
        <v>52</v>
      </c>
      <c r="B1082" s="4">
        <v>336530303</v>
      </c>
    </row>
    <row r="1083" customHeight="1" spans="1:2">
      <c r="A1083" s="3" t="s">
        <v>22105</v>
      </c>
      <c r="B1083" s="4"/>
    </row>
    <row r="1084" customHeight="1" spans="1:2">
      <c r="A1084" s="3" t="s">
        <v>21510</v>
      </c>
      <c r="B1084" s="4"/>
    </row>
    <row r="1085" customHeight="1" spans="1:2">
      <c r="A1085" s="3" t="s">
        <v>18215</v>
      </c>
      <c r="B1085" s="4"/>
    </row>
    <row r="1086" customHeight="1" spans="1:2">
      <c r="A1086" s="3" t="s">
        <v>15899</v>
      </c>
      <c r="B1086" s="4">
        <v>199652</v>
      </c>
    </row>
    <row r="1087" customHeight="1" spans="1:2">
      <c r="A1087" s="3" t="s">
        <v>22134</v>
      </c>
      <c r="B1087" s="4"/>
    </row>
    <row r="1088" customHeight="1" spans="1:2">
      <c r="A1088" s="3" t="s">
        <v>8582</v>
      </c>
      <c r="B1088" s="4">
        <v>19661987</v>
      </c>
    </row>
    <row r="1089" customHeight="1" spans="1:2">
      <c r="A1089" s="3" t="s">
        <v>22714</v>
      </c>
      <c r="B1089" s="4"/>
    </row>
    <row r="1090" customHeight="1" spans="1:2">
      <c r="A1090" s="3" t="s">
        <v>9937</v>
      </c>
      <c r="B1090" s="4">
        <v>11540112</v>
      </c>
    </row>
    <row r="1091" customHeight="1" spans="1:2">
      <c r="A1091" s="3" t="s">
        <v>11226</v>
      </c>
      <c r="B1091" s="4">
        <v>60008303</v>
      </c>
    </row>
    <row r="1092" customHeight="1" spans="1:2">
      <c r="A1092" s="3" t="s">
        <v>1861</v>
      </c>
      <c r="B1092" s="4">
        <v>36976367</v>
      </c>
    </row>
    <row r="1093" customHeight="1" spans="1:2">
      <c r="A1093" s="3" t="s">
        <v>7120</v>
      </c>
      <c r="B1093" s="4">
        <v>32553210</v>
      </c>
    </row>
    <row r="1094" customHeight="1" spans="1:2">
      <c r="A1094" s="3" t="s">
        <v>4656</v>
      </c>
      <c r="B1094" s="4">
        <v>77231</v>
      </c>
    </row>
    <row r="1095" customHeight="1" spans="1:2">
      <c r="A1095" s="3" t="s">
        <v>4534</v>
      </c>
      <c r="B1095" s="4">
        <v>18996755</v>
      </c>
    </row>
    <row r="1096" customHeight="1" spans="1:2">
      <c r="A1096" s="3" t="s">
        <v>201</v>
      </c>
      <c r="B1096" s="4">
        <v>140080850</v>
      </c>
    </row>
    <row r="1097" customHeight="1" spans="1:2">
      <c r="A1097" s="3" t="s">
        <v>2068</v>
      </c>
      <c r="B1097" s="4">
        <v>19819494</v>
      </c>
    </row>
    <row r="1098" customHeight="1" spans="1:2">
      <c r="A1098" s="3" t="s">
        <v>142</v>
      </c>
      <c r="B1098" s="4">
        <v>172051787</v>
      </c>
    </row>
    <row r="1099" customHeight="1" spans="1:2">
      <c r="A1099" s="3" t="s">
        <v>16102</v>
      </c>
      <c r="B1099" s="4">
        <v>6525762</v>
      </c>
    </row>
    <row r="1100" customHeight="1" spans="1:2">
      <c r="A1100" s="3" t="s">
        <v>7629</v>
      </c>
      <c r="B1100" s="4">
        <v>290158751</v>
      </c>
    </row>
    <row r="1101" customHeight="1" spans="1:2">
      <c r="A1101" s="3" t="s">
        <v>23678</v>
      </c>
      <c r="B1101" s="4"/>
    </row>
    <row r="1102" customHeight="1" spans="1:2">
      <c r="A1102" s="3" t="s">
        <v>19441</v>
      </c>
      <c r="B1102" s="4"/>
    </row>
    <row r="1103" customHeight="1" spans="1:2">
      <c r="A1103" s="3" t="s">
        <v>23604</v>
      </c>
      <c r="B1103" s="4"/>
    </row>
    <row r="1104" customHeight="1" spans="1:2">
      <c r="A1104" s="3" t="s">
        <v>19865</v>
      </c>
      <c r="B1104" s="4"/>
    </row>
    <row r="1105" customHeight="1" spans="1:2">
      <c r="A1105" s="3" t="s">
        <v>14525</v>
      </c>
      <c r="B1105" s="4">
        <v>4000304</v>
      </c>
    </row>
    <row r="1106" customHeight="1" spans="1:2">
      <c r="A1106" s="3" t="s">
        <v>22301</v>
      </c>
      <c r="B1106" s="4"/>
    </row>
    <row r="1107" customHeight="1" spans="1:2">
      <c r="A1107" s="3" t="s">
        <v>9117</v>
      </c>
      <c r="B1107" s="4">
        <v>1292527</v>
      </c>
    </row>
    <row r="1108" customHeight="1" spans="1:2">
      <c r="A1108" s="3" t="s">
        <v>17667</v>
      </c>
      <c r="B1108" s="4">
        <v>120620</v>
      </c>
    </row>
    <row r="1109" customHeight="1" spans="1:2">
      <c r="A1109" s="3" t="s">
        <v>21960</v>
      </c>
      <c r="B1109" s="4"/>
    </row>
    <row r="1110" customHeight="1" spans="1:2">
      <c r="A1110" s="3" t="s">
        <v>23713</v>
      </c>
      <c r="B1110" s="4"/>
    </row>
    <row r="1111" customHeight="1" spans="1:2">
      <c r="A1111" s="3" t="s">
        <v>20415</v>
      </c>
      <c r="B1111" s="4"/>
    </row>
    <row r="1112" customHeight="1" spans="1:2">
      <c r="A1112" s="3" t="s">
        <v>16947</v>
      </c>
      <c r="B1112" s="4"/>
    </row>
    <row r="1113" customHeight="1" spans="1:2">
      <c r="A1113" s="3" t="s">
        <v>7513</v>
      </c>
      <c r="B1113" s="4">
        <v>109713132</v>
      </c>
    </row>
    <row r="1114" customHeight="1" spans="1:2">
      <c r="A1114" s="3" t="s">
        <v>12950</v>
      </c>
      <c r="B1114" s="4">
        <v>92900</v>
      </c>
    </row>
    <row r="1115" customHeight="1" spans="1:2">
      <c r="A1115" s="3" t="s">
        <v>16764</v>
      </c>
      <c r="B1115" s="4">
        <v>15369573</v>
      </c>
    </row>
    <row r="1116" customHeight="1" spans="1:2">
      <c r="A1116" s="3" t="s">
        <v>20855</v>
      </c>
      <c r="B1116" s="4"/>
    </row>
    <row r="1117" customHeight="1" spans="1:2">
      <c r="A1117" s="3" t="s">
        <v>21448</v>
      </c>
      <c r="B1117" s="4"/>
    </row>
    <row r="1118" customHeight="1" spans="1:2">
      <c r="A1118" s="3" t="s">
        <v>20769</v>
      </c>
      <c r="B1118" s="4"/>
    </row>
    <row r="1119" customHeight="1" spans="1:2">
      <c r="A1119" s="3" t="s">
        <v>20761</v>
      </c>
      <c r="B1119" s="4"/>
    </row>
    <row r="1120" customHeight="1" spans="1:2">
      <c r="A1120" s="3" t="s">
        <v>9706</v>
      </c>
      <c r="B1120" s="4">
        <v>7070459</v>
      </c>
    </row>
    <row r="1121" customHeight="1" spans="1:2">
      <c r="A1121" s="3" t="s">
        <v>23321</v>
      </c>
      <c r="B1121" s="4"/>
    </row>
    <row r="1122" customHeight="1" spans="1:2">
      <c r="A1122" s="3" t="s">
        <v>22010</v>
      </c>
      <c r="B1122" s="4"/>
    </row>
    <row r="1123" customHeight="1" spans="1:2">
      <c r="A1123" s="3" t="s">
        <v>15318</v>
      </c>
      <c r="B1123" s="4">
        <v>19281235</v>
      </c>
    </row>
    <row r="1124" customHeight="1" spans="1:2">
      <c r="A1124" s="3" t="s">
        <v>17766</v>
      </c>
      <c r="B1124" s="4">
        <v>13220</v>
      </c>
    </row>
    <row r="1125" customHeight="1" spans="1:2">
      <c r="A1125" s="3" t="s">
        <v>23755</v>
      </c>
      <c r="B1125" s="4"/>
    </row>
    <row r="1126" customHeight="1" spans="1:2">
      <c r="A1126" s="3" t="s">
        <v>21544</v>
      </c>
      <c r="B1126" s="4"/>
    </row>
    <row r="1127" customHeight="1" spans="1:2">
      <c r="A1127" s="3" t="s">
        <v>14796</v>
      </c>
      <c r="B1127" s="4">
        <v>2077046</v>
      </c>
    </row>
    <row r="1128" customHeight="1" spans="1:2">
      <c r="A1128" s="3" t="s">
        <v>3966</v>
      </c>
      <c r="B1128" s="4">
        <v>51768623</v>
      </c>
    </row>
    <row r="1129" customHeight="1" spans="1:2">
      <c r="A1129" s="3" t="s">
        <v>6089</v>
      </c>
      <c r="B1129" s="4">
        <v>31743332</v>
      </c>
    </row>
    <row r="1130" customHeight="1" spans="1:2">
      <c r="A1130" s="3" t="s">
        <v>20684</v>
      </c>
      <c r="B1130" s="4"/>
    </row>
    <row r="1131" customHeight="1" spans="1:2">
      <c r="A1131" s="3" t="s">
        <v>12819</v>
      </c>
      <c r="B1131" s="4">
        <v>866778</v>
      </c>
    </row>
    <row r="1132" customHeight="1" spans="1:2">
      <c r="A1132" s="3" t="s">
        <v>18396</v>
      </c>
      <c r="B1132" s="4"/>
    </row>
    <row r="1133" customHeight="1" spans="1:2">
      <c r="A1133" s="3" t="s">
        <v>20191</v>
      </c>
      <c r="B1133" s="4">
        <v>3216970</v>
      </c>
    </row>
    <row r="1134" customHeight="1" spans="1:2">
      <c r="A1134" s="3" t="s">
        <v>22720</v>
      </c>
      <c r="B1134" s="4"/>
    </row>
    <row r="1135" customHeight="1" spans="1:2">
      <c r="A1135" s="3" t="s">
        <v>17841</v>
      </c>
      <c r="B1135" s="4">
        <v>1420578</v>
      </c>
    </row>
    <row r="1136" customHeight="1" spans="1:2">
      <c r="A1136" s="3" t="s">
        <v>9775</v>
      </c>
      <c r="B1136" s="4">
        <v>43848100</v>
      </c>
    </row>
    <row r="1137" customHeight="1" spans="1:2">
      <c r="A1137" s="3" t="s">
        <v>17428</v>
      </c>
      <c r="B1137" s="4">
        <v>510092</v>
      </c>
    </row>
    <row r="1138" customHeight="1" spans="1:2">
      <c r="A1138" s="3" t="s">
        <v>22188</v>
      </c>
      <c r="B1138" s="4"/>
    </row>
    <row r="1139" customHeight="1" spans="1:2">
      <c r="A1139" s="3" t="s">
        <v>7060</v>
      </c>
      <c r="B1139" s="4">
        <v>39880476</v>
      </c>
    </row>
    <row r="1140" customHeight="1" spans="1:2">
      <c r="A1140" s="3" t="s">
        <v>21574</v>
      </c>
      <c r="B1140" s="4"/>
    </row>
    <row r="1141" customHeight="1" spans="1:2">
      <c r="A1141" s="3" t="s">
        <v>4425</v>
      </c>
      <c r="B1141" s="4">
        <v>38543473</v>
      </c>
    </row>
    <row r="1142" customHeight="1" spans="1:2">
      <c r="A1142" s="3" t="s">
        <v>17742</v>
      </c>
      <c r="B1142" s="4"/>
    </row>
    <row r="1143" customHeight="1" spans="1:2">
      <c r="A1143" s="3" t="s">
        <v>12770</v>
      </c>
      <c r="B1143" s="4">
        <v>1939441</v>
      </c>
    </row>
    <row r="1144" customHeight="1" spans="1:2">
      <c r="A1144" s="3" t="s">
        <v>12283</v>
      </c>
      <c r="B1144" s="4">
        <v>110175871</v>
      </c>
    </row>
    <row r="1145" customHeight="1" spans="1:2">
      <c r="A1145" s="3" t="s">
        <v>6005</v>
      </c>
      <c r="B1145" s="4">
        <v>41407470</v>
      </c>
    </row>
    <row r="1146" customHeight="1" spans="1:2">
      <c r="A1146" s="3" t="s">
        <v>21407</v>
      </c>
      <c r="B1146" s="4"/>
    </row>
    <row r="1147" customHeight="1" spans="1:2">
      <c r="A1147" s="3" t="s">
        <v>2400</v>
      </c>
      <c r="B1147" s="4">
        <v>102678089</v>
      </c>
    </row>
    <row r="1148" customHeight="1" spans="1:2">
      <c r="A1148" s="3" t="s">
        <v>6033</v>
      </c>
      <c r="B1148" s="4">
        <v>38232624</v>
      </c>
    </row>
    <row r="1149" customHeight="1" spans="1:2">
      <c r="A1149" s="3" t="s">
        <v>6685</v>
      </c>
      <c r="B1149" s="4">
        <v>13248477</v>
      </c>
    </row>
    <row r="1150" customHeight="1" spans="1:2">
      <c r="A1150" s="3" t="s">
        <v>381</v>
      </c>
      <c r="B1150" s="4">
        <v>400736600</v>
      </c>
    </row>
    <row r="1151" customHeight="1" spans="1:2">
      <c r="A1151" s="3" t="s">
        <v>16479</v>
      </c>
      <c r="B1151" s="4"/>
    </row>
    <row r="1152" customHeight="1" spans="1:2">
      <c r="A1152" s="3" t="s">
        <v>19341</v>
      </c>
      <c r="B1152" s="4">
        <v>3117666</v>
      </c>
    </row>
    <row r="1153" customHeight="1" spans="1:2">
      <c r="A1153" s="3" t="s">
        <v>3695</v>
      </c>
      <c r="B1153" s="4">
        <v>14946229</v>
      </c>
    </row>
    <row r="1154" customHeight="1" spans="1:2">
      <c r="A1154" s="3" t="s">
        <v>1332</v>
      </c>
      <c r="B1154" s="4">
        <v>47592825</v>
      </c>
    </row>
    <row r="1155" customHeight="1" spans="1:2">
      <c r="A1155" s="3" t="s">
        <v>23224</v>
      </c>
      <c r="B1155" s="4"/>
    </row>
    <row r="1156" customHeight="1" spans="1:2">
      <c r="A1156" s="3" t="s">
        <v>23215</v>
      </c>
      <c r="B1156" s="4"/>
    </row>
    <row r="1157" customHeight="1" spans="1:2">
      <c r="A1157" s="3" t="s">
        <v>23780</v>
      </c>
      <c r="B1157" s="4"/>
    </row>
    <row r="1158" customHeight="1" spans="1:2">
      <c r="A1158" s="3" t="s">
        <v>10181</v>
      </c>
      <c r="B1158" s="4">
        <v>54322273</v>
      </c>
    </row>
    <row r="1159" customHeight="1" spans="1:2">
      <c r="A1159" s="3" t="s">
        <v>1315</v>
      </c>
      <c r="B1159" s="4">
        <v>112703470</v>
      </c>
    </row>
    <row r="1160" customHeight="1" spans="1:2">
      <c r="A1160" s="3" t="s">
        <v>15913</v>
      </c>
      <c r="B1160" s="4">
        <v>112000000</v>
      </c>
    </row>
    <row r="1161" customHeight="1" spans="1:2">
      <c r="A1161" s="3" t="s">
        <v>18913</v>
      </c>
      <c r="B1161" s="4"/>
    </row>
    <row r="1162" customHeight="1" spans="1:2">
      <c r="A1162" s="3" t="s">
        <v>5981</v>
      </c>
      <c r="B1162" s="4">
        <v>53337608</v>
      </c>
    </row>
    <row r="1163" customHeight="1" spans="1:2">
      <c r="A1163" s="3" t="s">
        <v>15131</v>
      </c>
      <c r="B1163" s="4">
        <v>22770</v>
      </c>
    </row>
    <row r="1164" customHeight="1" spans="1:2">
      <c r="A1164" s="3" t="s">
        <v>18308</v>
      </c>
      <c r="B1164" s="4"/>
    </row>
    <row r="1165" customHeight="1" spans="1:2">
      <c r="A1165" s="3" t="s">
        <v>16958</v>
      </c>
      <c r="B1165" s="4">
        <v>200803</v>
      </c>
    </row>
    <row r="1166" customHeight="1" spans="1:2">
      <c r="A1166" s="3" t="s">
        <v>12298</v>
      </c>
      <c r="B1166" s="4">
        <v>37470017</v>
      </c>
    </row>
    <row r="1167" customHeight="1" spans="1:2">
      <c r="A1167" s="3" t="s">
        <v>18090</v>
      </c>
      <c r="B1167" s="4">
        <v>190666</v>
      </c>
    </row>
    <row r="1168" customHeight="1" spans="1:2">
      <c r="A1168" s="3" t="s">
        <v>16483</v>
      </c>
      <c r="B1168" s="4">
        <v>5923044</v>
      </c>
    </row>
    <row r="1169" customHeight="1" spans="1:2">
      <c r="A1169" s="3" t="s">
        <v>2050</v>
      </c>
      <c r="B1169" s="4">
        <v>38509342</v>
      </c>
    </row>
    <row r="1170" customHeight="1" spans="1:2">
      <c r="A1170" s="3" t="s">
        <v>21678</v>
      </c>
      <c r="B1170" s="4"/>
    </row>
    <row r="1171" customHeight="1" spans="1:2">
      <c r="A1171" s="3" t="s">
        <v>22434</v>
      </c>
      <c r="B1171" s="4"/>
    </row>
    <row r="1172" customHeight="1" spans="1:2">
      <c r="A1172" s="3" t="s">
        <v>17507</v>
      </c>
      <c r="B1172" s="4">
        <v>34522221</v>
      </c>
    </row>
    <row r="1173" customHeight="1" spans="1:2">
      <c r="A1173" s="3" t="s">
        <v>6926</v>
      </c>
      <c r="B1173" s="4"/>
    </row>
    <row r="1174" customHeight="1" spans="1:2">
      <c r="A1174" s="3" t="s">
        <v>439</v>
      </c>
      <c r="B1174" s="4">
        <v>216366733</v>
      </c>
    </row>
    <row r="1175" customHeight="1" spans="1:2">
      <c r="A1175" s="3" t="s">
        <v>7210</v>
      </c>
      <c r="B1175" s="4"/>
    </row>
    <row r="1176" customHeight="1" spans="1:2">
      <c r="A1176" s="3" t="s">
        <v>965</v>
      </c>
      <c r="B1176" s="4">
        <v>40198710</v>
      </c>
    </row>
    <row r="1177" customHeight="1" spans="1:2">
      <c r="A1177" s="3" t="s">
        <v>7474</v>
      </c>
      <c r="B1177" s="4">
        <v>16969390</v>
      </c>
    </row>
    <row r="1178" customHeight="1" spans="1:2">
      <c r="A1178" s="3" t="s">
        <v>18903</v>
      </c>
      <c r="B1178" s="4"/>
    </row>
    <row r="1179" customHeight="1" spans="1:2">
      <c r="A1179" s="3" t="s">
        <v>10361</v>
      </c>
      <c r="B1179" s="4">
        <v>20801344</v>
      </c>
    </row>
    <row r="1180" customHeight="1" spans="1:2">
      <c r="A1180" s="3" t="s">
        <v>17801</v>
      </c>
      <c r="B1180" s="4"/>
    </row>
    <row r="1181" customHeight="1" spans="1:2">
      <c r="A1181" s="3" t="s">
        <v>7184</v>
      </c>
      <c r="B1181" s="4">
        <v>15785632</v>
      </c>
    </row>
    <row r="1182" customHeight="1" spans="1:2">
      <c r="A1182" s="3" t="s">
        <v>18607</v>
      </c>
      <c r="B1182" s="4">
        <v>20773070</v>
      </c>
    </row>
    <row r="1183" customHeight="1" spans="1:2">
      <c r="A1183" s="3" t="s">
        <v>823</v>
      </c>
      <c r="B1183" s="4">
        <v>134520804</v>
      </c>
    </row>
    <row r="1184" customHeight="1" spans="1:2">
      <c r="A1184" s="3" t="s">
        <v>23162</v>
      </c>
      <c r="B1184" s="4"/>
    </row>
    <row r="1185" customHeight="1" spans="1:2">
      <c r="A1185" s="3" t="s">
        <v>11786</v>
      </c>
      <c r="B1185" s="4">
        <v>4903000</v>
      </c>
    </row>
    <row r="1186" customHeight="1" spans="1:2">
      <c r="A1186" s="3" t="s">
        <v>4162</v>
      </c>
      <c r="B1186" s="4">
        <v>125069696</v>
      </c>
    </row>
    <row r="1187" customHeight="1" spans="1:2">
      <c r="A1187" s="3" t="s">
        <v>329</v>
      </c>
      <c r="B1187" s="4">
        <v>60655503</v>
      </c>
    </row>
    <row r="1188" customHeight="1" spans="1:2">
      <c r="A1188" s="3" t="s">
        <v>5039</v>
      </c>
      <c r="B1188" s="4">
        <v>63826569</v>
      </c>
    </row>
    <row r="1189" customHeight="1" spans="1:2">
      <c r="A1189" s="3" t="s">
        <v>13137</v>
      </c>
      <c r="B1189" s="4"/>
    </row>
    <row r="1190" customHeight="1" spans="1:2">
      <c r="A1190" s="3" t="s">
        <v>1694</v>
      </c>
      <c r="B1190" s="4">
        <v>15071514</v>
      </c>
    </row>
    <row r="1191" customHeight="1" spans="1:2">
      <c r="A1191" s="3" t="s">
        <v>9716</v>
      </c>
      <c r="B1191" s="4">
        <v>2694071</v>
      </c>
    </row>
    <row r="1192" customHeight="1" spans="1:2">
      <c r="A1192" s="3" t="s">
        <v>14445</v>
      </c>
      <c r="B1192" s="4"/>
    </row>
    <row r="1193" customHeight="1" spans="1:2">
      <c r="A1193" s="3" t="s">
        <v>18695</v>
      </c>
      <c r="B1193" s="4">
        <v>2508841</v>
      </c>
    </row>
    <row r="1194" customHeight="1" spans="1:2">
      <c r="A1194" s="3" t="s">
        <v>12284</v>
      </c>
      <c r="B1194" s="4">
        <v>38624000</v>
      </c>
    </row>
    <row r="1195" customHeight="1" spans="1:2">
      <c r="A1195" s="3" t="s">
        <v>13255</v>
      </c>
      <c r="B1195" s="4">
        <v>16938179</v>
      </c>
    </row>
    <row r="1196" customHeight="1" spans="1:2">
      <c r="A1196" s="3" t="s">
        <v>5167</v>
      </c>
      <c r="B1196" s="4">
        <v>39026186</v>
      </c>
    </row>
    <row r="1197" customHeight="1" spans="1:2">
      <c r="A1197" s="3" t="s">
        <v>12599</v>
      </c>
      <c r="B1197" s="4">
        <v>8828771</v>
      </c>
    </row>
    <row r="1198" customHeight="1" spans="1:2">
      <c r="A1198" s="3" t="s">
        <v>21484</v>
      </c>
      <c r="B1198" s="4"/>
    </row>
    <row r="1199" customHeight="1" spans="1:2">
      <c r="A1199" s="3" t="s">
        <v>3295</v>
      </c>
      <c r="B1199" s="4">
        <v>55092830</v>
      </c>
    </row>
    <row r="1200" customHeight="1" spans="1:2">
      <c r="A1200" s="3" t="s">
        <v>1194</v>
      </c>
      <c r="B1200" s="4">
        <v>65653758</v>
      </c>
    </row>
    <row r="1201" customHeight="1" spans="1:2">
      <c r="A1201" s="3" t="s">
        <v>17643</v>
      </c>
      <c r="B1201" s="4">
        <v>535249</v>
      </c>
    </row>
    <row r="1202" customHeight="1" spans="1:2">
      <c r="A1202" s="3" t="s">
        <v>23640</v>
      </c>
      <c r="B1202" s="4"/>
    </row>
    <row r="1203" customHeight="1" spans="1:2">
      <c r="A1203" s="3" t="s">
        <v>24120</v>
      </c>
      <c r="B1203" s="4"/>
    </row>
    <row r="1204" customHeight="1" spans="1:2">
      <c r="A1204" s="3" t="s">
        <v>22217</v>
      </c>
      <c r="B1204" s="4"/>
    </row>
    <row r="1205" customHeight="1" spans="1:2">
      <c r="A1205" s="3" t="s">
        <v>13154</v>
      </c>
      <c r="B1205" s="4">
        <v>2600000</v>
      </c>
    </row>
    <row r="1206" customHeight="1" spans="1:2">
      <c r="A1206" s="3" t="s">
        <v>11893</v>
      </c>
      <c r="B1206" s="4">
        <v>119922</v>
      </c>
    </row>
    <row r="1207" customHeight="1" spans="1:2">
      <c r="A1207" s="3" t="s">
        <v>13749</v>
      </c>
      <c r="B1207" s="4">
        <v>25967000</v>
      </c>
    </row>
    <row r="1208" customHeight="1" spans="1:2">
      <c r="A1208" s="3" t="s">
        <v>17992</v>
      </c>
      <c r="B1208" s="4">
        <v>35918429</v>
      </c>
    </row>
    <row r="1209" customHeight="1" spans="1:2">
      <c r="A1209" s="3" t="s">
        <v>5562</v>
      </c>
      <c r="B1209" s="4">
        <v>81150692</v>
      </c>
    </row>
    <row r="1210" customHeight="1" spans="1:2">
      <c r="A1210" s="3" t="s">
        <v>23867</v>
      </c>
      <c r="B1210" s="4"/>
    </row>
    <row r="1211" customHeight="1" spans="1:2">
      <c r="A1211" s="3" t="s">
        <v>18446</v>
      </c>
      <c r="B1211" s="4"/>
    </row>
    <row r="1212" customHeight="1" spans="1:2">
      <c r="A1212" s="3" t="s">
        <v>8200</v>
      </c>
      <c r="B1212" s="4">
        <v>102922376</v>
      </c>
    </row>
    <row r="1213" customHeight="1" spans="1:2">
      <c r="A1213" s="3" t="s">
        <v>5920</v>
      </c>
      <c r="B1213" s="4">
        <v>56044241</v>
      </c>
    </row>
    <row r="1214" customHeight="1" spans="1:2">
      <c r="A1214" s="3" t="s">
        <v>19302</v>
      </c>
      <c r="B1214" s="4"/>
    </row>
    <row r="1215" customHeight="1" spans="1:2">
      <c r="A1215" s="3" t="s">
        <v>3696</v>
      </c>
      <c r="B1215" s="4"/>
    </row>
    <row r="1216" customHeight="1" spans="1:2">
      <c r="A1216" s="3" t="s">
        <v>23838</v>
      </c>
      <c r="B1216" s="4"/>
    </row>
    <row r="1217" customHeight="1" spans="1:2">
      <c r="A1217" s="3" t="s">
        <v>6956</v>
      </c>
      <c r="B1217" s="4">
        <v>74273505</v>
      </c>
    </row>
    <row r="1218" customHeight="1" spans="1:2">
      <c r="A1218" s="3" t="s">
        <v>19408</v>
      </c>
      <c r="B1218" s="4">
        <v>269061</v>
      </c>
    </row>
    <row r="1219" customHeight="1" spans="1:2">
      <c r="A1219" s="3" t="s">
        <v>21348</v>
      </c>
      <c r="B1219" s="4"/>
    </row>
    <row r="1220" customHeight="1" spans="1:2">
      <c r="A1220" s="3" t="s">
        <v>3774</v>
      </c>
      <c r="B1220" s="4">
        <v>31598308</v>
      </c>
    </row>
    <row r="1221" customHeight="1" spans="1:2">
      <c r="A1221" s="3" t="s">
        <v>16523</v>
      </c>
      <c r="B1221" s="4">
        <v>96793</v>
      </c>
    </row>
    <row r="1222" customHeight="1" spans="1:2">
      <c r="A1222" s="3" t="s">
        <v>23353</v>
      </c>
      <c r="B1222" s="4"/>
    </row>
    <row r="1223" customHeight="1" spans="1:2">
      <c r="A1223" s="3" t="s">
        <v>15436</v>
      </c>
      <c r="B1223" s="4"/>
    </row>
    <row r="1224" customHeight="1" spans="1:2">
      <c r="A1224" s="3" t="s">
        <v>643</v>
      </c>
      <c r="B1224" s="4">
        <v>113165635</v>
      </c>
    </row>
    <row r="1225" customHeight="1" spans="1:2">
      <c r="A1225" s="3" t="s">
        <v>9967</v>
      </c>
      <c r="B1225" s="4">
        <v>1984743</v>
      </c>
    </row>
    <row r="1226" customHeight="1" spans="1:2">
      <c r="A1226" s="3" t="s">
        <v>7381</v>
      </c>
      <c r="B1226" s="4">
        <v>49122319</v>
      </c>
    </row>
    <row r="1227" customHeight="1" spans="1:2">
      <c r="A1227" s="3" t="s">
        <v>5047</v>
      </c>
      <c r="B1227" s="4">
        <v>26505000</v>
      </c>
    </row>
    <row r="1228" customHeight="1" spans="1:2">
      <c r="A1228" s="3" t="s">
        <v>16309</v>
      </c>
      <c r="B1228" s="4"/>
    </row>
    <row r="1229" customHeight="1" spans="1:2">
      <c r="A1229" s="3" t="s">
        <v>3909</v>
      </c>
      <c r="B1229" s="4">
        <v>4584886</v>
      </c>
    </row>
    <row r="1230" customHeight="1" spans="1:2">
      <c r="A1230" s="3" t="s">
        <v>2062</v>
      </c>
      <c r="B1230" s="4">
        <v>18990542</v>
      </c>
    </row>
    <row r="1231" customHeight="1" spans="1:2">
      <c r="A1231" s="3" t="s">
        <v>17475</v>
      </c>
      <c r="B1231" s="4">
        <v>14673301</v>
      </c>
    </row>
    <row r="1232" customHeight="1" spans="1:2">
      <c r="A1232" s="3" t="s">
        <v>2163</v>
      </c>
      <c r="B1232" s="4">
        <v>43568507</v>
      </c>
    </row>
    <row r="1233" customHeight="1" spans="1:2">
      <c r="A1233" s="3" t="s">
        <v>3267</v>
      </c>
      <c r="B1233" s="4">
        <v>67128202</v>
      </c>
    </row>
    <row r="1234" customHeight="1" spans="1:2">
      <c r="A1234" s="3" t="s">
        <v>5661</v>
      </c>
      <c r="B1234" s="4">
        <v>10956379</v>
      </c>
    </row>
    <row r="1235" customHeight="1" spans="1:2">
      <c r="A1235" s="3" t="s">
        <v>20130</v>
      </c>
      <c r="B1235" s="4">
        <v>10174663</v>
      </c>
    </row>
    <row r="1236" customHeight="1" spans="1:2">
      <c r="A1236" s="3" t="s">
        <v>21126</v>
      </c>
      <c r="B1236" s="4"/>
    </row>
    <row r="1237" customHeight="1" spans="1:2">
      <c r="A1237" s="3" t="s">
        <v>2902</v>
      </c>
      <c r="B1237" s="4">
        <v>55473600</v>
      </c>
    </row>
    <row r="1238" customHeight="1" spans="1:2">
      <c r="A1238" s="3" t="s">
        <v>22570</v>
      </c>
      <c r="B1238" s="4"/>
    </row>
    <row r="1239" customHeight="1" spans="1:2">
      <c r="A1239" s="3" t="s">
        <v>6357</v>
      </c>
      <c r="B1239" s="4"/>
    </row>
    <row r="1240" customHeight="1" spans="1:2">
      <c r="A1240" s="3" t="s">
        <v>2216</v>
      </c>
      <c r="B1240" s="4">
        <v>84049211</v>
      </c>
    </row>
    <row r="1241" customHeight="1" spans="1:2">
      <c r="A1241" s="3" t="s">
        <v>19609</v>
      </c>
      <c r="B1241" s="4">
        <v>1229197</v>
      </c>
    </row>
    <row r="1242" customHeight="1" spans="1:2">
      <c r="A1242" s="3" t="s">
        <v>19789</v>
      </c>
      <c r="B1242" s="4">
        <v>3799339</v>
      </c>
    </row>
    <row r="1243" customHeight="1" spans="1:2">
      <c r="A1243" s="3" t="s">
        <v>18060</v>
      </c>
      <c r="B1243" s="4">
        <v>19067631</v>
      </c>
    </row>
    <row r="1244" customHeight="1" spans="1:2">
      <c r="A1244" s="3" t="s">
        <v>17892</v>
      </c>
      <c r="B1244" s="4"/>
    </row>
    <row r="1245" customHeight="1" spans="1:2">
      <c r="A1245" s="3" t="s">
        <v>23425</v>
      </c>
      <c r="B1245" s="4"/>
    </row>
    <row r="1246" customHeight="1" spans="1:2">
      <c r="A1246" s="3" t="s">
        <v>21579</v>
      </c>
      <c r="B1246" s="4"/>
    </row>
    <row r="1247" customHeight="1" spans="1:2">
      <c r="A1247" s="3" t="s">
        <v>4510</v>
      </c>
      <c r="B1247" s="4">
        <v>21176322</v>
      </c>
    </row>
    <row r="1248" customHeight="1" spans="1:2">
      <c r="A1248" s="3" t="s">
        <v>16458</v>
      </c>
      <c r="B1248" s="4">
        <v>25138292</v>
      </c>
    </row>
    <row r="1249" customHeight="1" spans="1:2">
      <c r="A1249" s="3" t="s">
        <v>12485</v>
      </c>
      <c r="B1249" s="4">
        <v>16667084</v>
      </c>
    </row>
    <row r="1250" customHeight="1" spans="1:2">
      <c r="A1250" s="3" t="s">
        <v>22406</v>
      </c>
      <c r="B1250" s="4"/>
    </row>
    <row r="1251" customHeight="1" spans="1:2">
      <c r="A1251" s="3" t="s">
        <v>1620</v>
      </c>
      <c r="B1251" s="4">
        <v>18318000</v>
      </c>
    </row>
    <row r="1252" customHeight="1" spans="1:2">
      <c r="A1252" s="3" t="s">
        <v>22124</v>
      </c>
      <c r="B1252" s="4"/>
    </row>
    <row r="1253" customHeight="1" spans="1:2">
      <c r="A1253" s="3" t="s">
        <v>1233</v>
      </c>
      <c r="B1253" s="4">
        <v>56114221</v>
      </c>
    </row>
    <row r="1254" customHeight="1" spans="1:2">
      <c r="A1254" s="3" t="s">
        <v>7010</v>
      </c>
      <c r="B1254" s="4">
        <v>82234139</v>
      </c>
    </row>
    <row r="1255" customHeight="1" spans="1:2">
      <c r="A1255" s="3" t="s">
        <v>14857</v>
      </c>
      <c r="B1255" s="4"/>
    </row>
    <row r="1256" customHeight="1" spans="1:2">
      <c r="A1256" s="3" t="s">
        <v>7033</v>
      </c>
      <c r="B1256" s="4">
        <v>47285499</v>
      </c>
    </row>
    <row r="1257" customHeight="1" spans="1:2">
      <c r="A1257" s="3" t="s">
        <v>14401</v>
      </c>
      <c r="B1257" s="4"/>
    </row>
    <row r="1258" customHeight="1" spans="1:2">
      <c r="A1258" s="3" t="s">
        <v>16022</v>
      </c>
      <c r="B1258" s="4"/>
    </row>
    <row r="1259" customHeight="1" spans="1:2">
      <c r="A1259" s="3" t="s">
        <v>6464</v>
      </c>
      <c r="B1259" s="4">
        <v>60400856</v>
      </c>
    </row>
    <row r="1260" customHeight="1" spans="1:2">
      <c r="A1260" s="3" t="s">
        <v>2577</v>
      </c>
      <c r="B1260" s="4">
        <v>43060566</v>
      </c>
    </row>
    <row r="1261" customHeight="1" spans="1:2">
      <c r="A1261" s="3" t="s">
        <v>9997</v>
      </c>
      <c r="B1261" s="4">
        <v>336467</v>
      </c>
    </row>
    <row r="1262" customHeight="1" spans="1:2">
      <c r="A1262" s="3" t="s">
        <v>8772</v>
      </c>
      <c r="B1262" s="4">
        <v>8579684</v>
      </c>
    </row>
    <row r="1263" customHeight="1" spans="1:2">
      <c r="A1263" s="3" t="s">
        <v>15487</v>
      </c>
      <c r="B1263" s="4"/>
    </row>
    <row r="1264" customHeight="1" spans="1:2">
      <c r="A1264" s="3" t="s">
        <v>13906</v>
      </c>
      <c r="B1264" s="4">
        <v>10105505</v>
      </c>
    </row>
    <row r="1265" customHeight="1" spans="1:2">
      <c r="A1265" s="3" t="s">
        <v>151</v>
      </c>
      <c r="B1265" s="4">
        <v>125320003</v>
      </c>
    </row>
    <row r="1266" customHeight="1" spans="1:2">
      <c r="A1266" s="3" t="s">
        <v>18968</v>
      </c>
      <c r="B1266" s="4">
        <v>1185783</v>
      </c>
    </row>
    <row r="1267" customHeight="1" spans="1:2">
      <c r="A1267" s="3" t="s">
        <v>23915</v>
      </c>
      <c r="B1267" s="4"/>
    </row>
    <row r="1268" customHeight="1" spans="1:2">
      <c r="A1268" s="3" t="s">
        <v>3085</v>
      </c>
      <c r="B1268" s="4">
        <v>110476776</v>
      </c>
    </row>
    <row r="1269" customHeight="1" spans="1:2">
      <c r="A1269" s="3" t="s">
        <v>15425</v>
      </c>
      <c r="B1269" s="4">
        <v>12200000</v>
      </c>
    </row>
    <row r="1270" customHeight="1" spans="1:2">
      <c r="A1270" s="3" t="s">
        <v>10968</v>
      </c>
      <c r="B1270" s="4">
        <v>10397365</v>
      </c>
    </row>
    <row r="1271" customHeight="1" spans="1:2">
      <c r="A1271" s="3" t="s">
        <v>22672</v>
      </c>
      <c r="B1271" s="4"/>
    </row>
    <row r="1272" customHeight="1" spans="1:2">
      <c r="A1272" s="3" t="s">
        <v>24008</v>
      </c>
      <c r="B1272" s="4"/>
    </row>
    <row r="1273" customHeight="1" spans="1:2">
      <c r="A1273" s="3" t="s">
        <v>11417</v>
      </c>
      <c r="B1273" s="4">
        <v>2035566</v>
      </c>
    </row>
    <row r="1274" customHeight="1" spans="1:2">
      <c r="A1274" s="3" t="s">
        <v>614</v>
      </c>
      <c r="B1274" s="4">
        <v>33592415</v>
      </c>
    </row>
    <row r="1275" customHeight="1" spans="1:2">
      <c r="A1275" s="3" t="s">
        <v>11848</v>
      </c>
      <c r="B1275" s="4">
        <v>548934</v>
      </c>
    </row>
    <row r="1276" customHeight="1" spans="1:2">
      <c r="A1276" s="3" t="s">
        <v>6279</v>
      </c>
      <c r="B1276" s="4">
        <v>10880926</v>
      </c>
    </row>
    <row r="1277" customHeight="1" spans="1:2">
      <c r="A1277" s="3" t="s">
        <v>11564</v>
      </c>
      <c r="B1277" s="4">
        <v>63071133</v>
      </c>
    </row>
    <row r="1278" customHeight="1" spans="1:2">
      <c r="A1278" s="3" t="s">
        <v>931</v>
      </c>
      <c r="B1278" s="4">
        <v>77222184</v>
      </c>
    </row>
    <row r="1279" customHeight="1" spans="1:2">
      <c r="A1279" s="3" t="s">
        <v>13089</v>
      </c>
      <c r="B1279" s="4">
        <v>43100000</v>
      </c>
    </row>
    <row r="1280" customHeight="1" spans="1:2">
      <c r="A1280" s="3" t="s">
        <v>10252</v>
      </c>
      <c r="B1280" s="4">
        <v>35887263</v>
      </c>
    </row>
    <row r="1281" customHeight="1" spans="1:2">
      <c r="A1281" s="3" t="s">
        <v>18950</v>
      </c>
      <c r="B1281" s="4"/>
    </row>
    <row r="1282" customHeight="1" spans="1:2">
      <c r="A1282" s="3" t="s">
        <v>23881</v>
      </c>
      <c r="B1282" s="4"/>
    </row>
    <row r="1283" customHeight="1" spans="1:2">
      <c r="A1283" s="3" t="s">
        <v>10059</v>
      </c>
      <c r="B1283" s="4">
        <v>128067808</v>
      </c>
    </row>
    <row r="1284" customHeight="1" spans="1:2">
      <c r="A1284" s="3" t="s">
        <v>18249</v>
      </c>
      <c r="B1284" s="4"/>
    </row>
    <row r="1285" customHeight="1" spans="1:2">
      <c r="A1285" s="3" t="s">
        <v>23311</v>
      </c>
      <c r="B1285" s="4"/>
    </row>
    <row r="1286" customHeight="1" spans="1:2">
      <c r="A1286" s="3" t="s">
        <v>9485</v>
      </c>
      <c r="B1286" s="4">
        <v>229311</v>
      </c>
    </row>
    <row r="1287" customHeight="1" spans="1:2">
      <c r="A1287" s="3" t="s">
        <v>19829</v>
      </c>
      <c r="B1287" s="4">
        <v>49494</v>
      </c>
    </row>
    <row r="1288" customHeight="1" spans="1:2">
      <c r="A1288" s="3" t="s">
        <v>424</v>
      </c>
      <c r="B1288" s="4">
        <v>73103784</v>
      </c>
    </row>
    <row r="1289" customHeight="1" spans="1:2">
      <c r="A1289" s="3" t="s">
        <v>20016</v>
      </c>
      <c r="B1289" s="4"/>
    </row>
    <row r="1290" customHeight="1" spans="1:2">
      <c r="A1290" s="3" t="s">
        <v>6712</v>
      </c>
      <c r="B1290" s="4">
        <v>1089365</v>
      </c>
    </row>
    <row r="1291" customHeight="1" spans="1:2">
      <c r="A1291" s="3" t="s">
        <v>5232</v>
      </c>
      <c r="B1291" s="4">
        <v>25266129</v>
      </c>
    </row>
    <row r="1292" customHeight="1" spans="1:2">
      <c r="A1292" s="3" t="s">
        <v>13841</v>
      </c>
      <c r="B1292" s="4">
        <v>336456</v>
      </c>
    </row>
    <row r="1293" customHeight="1" spans="1:2">
      <c r="A1293" s="3" t="s">
        <v>20493</v>
      </c>
      <c r="B1293" s="4"/>
    </row>
    <row r="1294" customHeight="1" spans="1:2">
      <c r="A1294" s="3" t="s">
        <v>837</v>
      </c>
      <c r="B1294" s="4">
        <v>47396698</v>
      </c>
    </row>
    <row r="1295" customHeight="1" spans="1:2">
      <c r="A1295" s="3" t="s">
        <v>6605</v>
      </c>
      <c r="B1295" s="4">
        <v>9664316</v>
      </c>
    </row>
    <row r="1296" customHeight="1" spans="1:2">
      <c r="A1296" s="3" t="s">
        <v>265</v>
      </c>
      <c r="B1296" s="4">
        <v>241407328</v>
      </c>
    </row>
    <row r="1297" customHeight="1" spans="1:2">
      <c r="A1297" s="3" t="s">
        <v>20786</v>
      </c>
      <c r="B1297" s="4"/>
    </row>
    <row r="1298" customHeight="1" spans="1:2">
      <c r="A1298" s="3" t="s">
        <v>17717</v>
      </c>
      <c r="B1298" s="4">
        <v>12667</v>
      </c>
    </row>
    <row r="1299" customHeight="1" spans="1:2">
      <c r="A1299" s="3" t="s">
        <v>615</v>
      </c>
      <c r="B1299" s="4"/>
    </row>
    <row r="1300" customHeight="1" spans="1:2">
      <c r="A1300" s="3" t="s">
        <v>5992</v>
      </c>
      <c r="B1300" s="4">
        <v>52418902</v>
      </c>
    </row>
    <row r="1301" customHeight="1" spans="1:2">
      <c r="A1301" s="3" t="s">
        <v>20064</v>
      </c>
      <c r="B1301" s="4">
        <v>2882062</v>
      </c>
    </row>
    <row r="1302" customHeight="1" spans="1:2">
      <c r="A1302" s="3" t="s">
        <v>9918</v>
      </c>
      <c r="B1302" s="4">
        <v>19057024</v>
      </c>
    </row>
    <row r="1303" customHeight="1" spans="1:2">
      <c r="A1303" s="3" t="s">
        <v>23046</v>
      </c>
      <c r="B1303" s="4"/>
    </row>
    <row r="1304" customHeight="1" spans="1:2">
      <c r="A1304" s="3" t="s">
        <v>6048</v>
      </c>
      <c r="B1304" s="4">
        <v>38122105</v>
      </c>
    </row>
    <row r="1305" customHeight="1" spans="1:2">
      <c r="A1305" s="3" t="s">
        <v>107</v>
      </c>
      <c r="B1305" s="4">
        <v>65173160</v>
      </c>
    </row>
    <row r="1306" customHeight="1" spans="1:2">
      <c r="A1306" s="3" t="s">
        <v>8202</v>
      </c>
      <c r="B1306" s="4">
        <v>137387272</v>
      </c>
    </row>
    <row r="1307" customHeight="1" spans="1:2">
      <c r="A1307" s="3" t="s">
        <v>6010</v>
      </c>
      <c r="B1307" s="4">
        <v>42385520</v>
      </c>
    </row>
    <row r="1308" customHeight="1" spans="1:2">
      <c r="A1308" s="3" t="s">
        <v>3145</v>
      </c>
      <c r="B1308" s="4">
        <v>62453315</v>
      </c>
    </row>
    <row r="1309" customHeight="1" spans="1:2">
      <c r="A1309" s="3" t="s">
        <v>8510</v>
      </c>
      <c r="B1309" s="4">
        <v>23292105</v>
      </c>
    </row>
    <row r="1310" customHeight="1" spans="1:2">
      <c r="A1310" s="3" t="s">
        <v>18004</v>
      </c>
      <c r="B1310" s="4">
        <v>396035</v>
      </c>
    </row>
    <row r="1311" customHeight="1" spans="1:2">
      <c r="A1311" s="3" t="s">
        <v>20208</v>
      </c>
      <c r="B1311" s="4">
        <v>40557</v>
      </c>
    </row>
    <row r="1312" customHeight="1" spans="1:2">
      <c r="A1312" s="3" t="s">
        <v>22501</v>
      </c>
      <c r="B1312" s="4"/>
    </row>
    <row r="1313" customHeight="1" spans="1:2">
      <c r="A1313" s="3" t="s">
        <v>3711</v>
      </c>
      <c r="B1313" s="4">
        <v>95149435</v>
      </c>
    </row>
    <row r="1314" customHeight="1" spans="1:2">
      <c r="A1314" s="3" t="s">
        <v>13052</v>
      </c>
      <c r="B1314" s="4"/>
    </row>
    <row r="1315" customHeight="1" spans="1:2">
      <c r="A1315" s="3" t="s">
        <v>14500</v>
      </c>
      <c r="B1315" s="4">
        <v>13367101</v>
      </c>
    </row>
    <row r="1316" customHeight="1" spans="1:2">
      <c r="A1316" s="3" t="s">
        <v>20117</v>
      </c>
      <c r="B1316" s="4"/>
    </row>
    <row r="1317" customHeight="1" spans="1:2">
      <c r="A1317" s="3" t="s">
        <v>7011</v>
      </c>
      <c r="B1317" s="4">
        <v>51676606</v>
      </c>
    </row>
    <row r="1318" customHeight="1" spans="1:2">
      <c r="A1318" s="3" t="s">
        <v>24133</v>
      </c>
      <c r="B1318" s="4"/>
    </row>
    <row r="1319" customHeight="1" spans="1:2">
      <c r="A1319" s="3" t="s">
        <v>16412</v>
      </c>
      <c r="B1319" s="4"/>
    </row>
    <row r="1320" customHeight="1" spans="1:2">
      <c r="A1320" s="3" t="s">
        <v>19208</v>
      </c>
      <c r="B1320" s="4"/>
    </row>
    <row r="1321" customHeight="1" spans="1:2">
      <c r="A1321" s="3" t="s">
        <v>22343</v>
      </c>
      <c r="B1321" s="4"/>
    </row>
    <row r="1322" customHeight="1" spans="1:2">
      <c r="A1322" s="3" t="s">
        <v>16862</v>
      </c>
      <c r="B1322" s="4">
        <v>3287435</v>
      </c>
    </row>
    <row r="1323" customHeight="1" spans="1:2">
      <c r="A1323" s="3" t="s">
        <v>7628</v>
      </c>
      <c r="B1323" s="4">
        <v>161487252</v>
      </c>
    </row>
    <row r="1324" customHeight="1" spans="1:2">
      <c r="A1324" s="3" t="s">
        <v>7424</v>
      </c>
      <c r="B1324" s="4">
        <v>5128124</v>
      </c>
    </row>
    <row r="1325" customHeight="1" spans="1:2">
      <c r="A1325" s="3" t="s">
        <v>17437</v>
      </c>
      <c r="B1325" s="4">
        <v>3330</v>
      </c>
    </row>
    <row r="1326" customHeight="1" spans="1:2">
      <c r="A1326" s="3" t="s">
        <v>18684</v>
      </c>
      <c r="B1326" s="4">
        <v>5283379</v>
      </c>
    </row>
    <row r="1327" customHeight="1" spans="1:2">
      <c r="A1327" s="3" t="s">
        <v>15342</v>
      </c>
      <c r="B1327" s="4">
        <v>23031390</v>
      </c>
    </row>
    <row r="1328" customHeight="1" spans="1:2">
      <c r="A1328" s="3" t="s">
        <v>2995</v>
      </c>
      <c r="B1328" s="4">
        <v>39440655</v>
      </c>
    </row>
    <row r="1329" customHeight="1" spans="1:2">
      <c r="A1329" s="3" t="s">
        <v>5056</v>
      </c>
      <c r="B1329" s="4">
        <v>61280963</v>
      </c>
    </row>
    <row r="1330" customHeight="1" spans="1:2">
      <c r="A1330" s="3" t="s">
        <v>7945</v>
      </c>
      <c r="B1330" s="4">
        <v>13746550</v>
      </c>
    </row>
    <row r="1331" customHeight="1" spans="1:2">
      <c r="A1331" s="3" t="s">
        <v>12925</v>
      </c>
      <c r="B1331" s="4">
        <v>15447</v>
      </c>
    </row>
    <row r="1332" customHeight="1" spans="1:2">
      <c r="A1332" s="3" t="s">
        <v>8370</v>
      </c>
      <c r="B1332" s="4">
        <v>34290142</v>
      </c>
    </row>
    <row r="1333" customHeight="1" spans="1:2">
      <c r="A1333" s="3" t="s">
        <v>15420</v>
      </c>
      <c r="B1333" s="4">
        <v>14100000</v>
      </c>
    </row>
    <row r="1334" customHeight="1" spans="1:2">
      <c r="A1334" s="3" t="s">
        <v>12367</v>
      </c>
      <c r="B1334" s="4">
        <v>30050028</v>
      </c>
    </row>
    <row r="1335" customHeight="1" spans="1:2">
      <c r="A1335" s="3" t="s">
        <v>15674</v>
      </c>
      <c r="B1335" s="4"/>
    </row>
    <row r="1336" customHeight="1" spans="1:2">
      <c r="A1336" s="3" t="s">
        <v>1478</v>
      </c>
      <c r="B1336" s="4">
        <v>112225777</v>
      </c>
    </row>
    <row r="1337" customHeight="1" spans="1:2">
      <c r="A1337" s="3" t="s">
        <v>11670</v>
      </c>
      <c r="B1337" s="4">
        <v>17613460</v>
      </c>
    </row>
    <row r="1338" customHeight="1" spans="1:2">
      <c r="A1338" s="3" t="s">
        <v>6196</v>
      </c>
      <c r="B1338" s="4">
        <v>14888028</v>
      </c>
    </row>
    <row r="1339" customHeight="1" spans="1:2">
      <c r="A1339" s="3" t="s">
        <v>13217</v>
      </c>
      <c r="B1339" s="4"/>
    </row>
    <row r="1340" customHeight="1" spans="1:2">
      <c r="A1340" s="3" t="s">
        <v>19192</v>
      </c>
      <c r="B1340" s="4"/>
    </row>
    <row r="1341" customHeight="1" spans="1:2">
      <c r="A1341" s="3" t="s">
        <v>24138</v>
      </c>
      <c r="B1341" s="4"/>
    </row>
    <row r="1342" customHeight="1" spans="1:2">
      <c r="A1342" s="3" t="s">
        <v>11676</v>
      </c>
      <c r="B1342" s="4">
        <v>21088568</v>
      </c>
    </row>
    <row r="1343" customHeight="1" spans="1:2">
      <c r="A1343" s="3" t="s">
        <v>9530</v>
      </c>
      <c r="B1343" s="4"/>
    </row>
    <row r="1344" customHeight="1" spans="1:2">
      <c r="A1344" s="3" t="s">
        <v>17549</v>
      </c>
      <c r="B1344" s="4"/>
    </row>
    <row r="1345" customHeight="1" spans="1:2">
      <c r="A1345" s="3" t="s">
        <v>22469</v>
      </c>
      <c r="B1345" s="4"/>
    </row>
    <row r="1346" customHeight="1" spans="1:2">
      <c r="A1346" s="3" t="s">
        <v>1061</v>
      </c>
      <c r="B1346" s="4">
        <v>23014504</v>
      </c>
    </row>
    <row r="1347" customHeight="1" spans="1:2">
      <c r="A1347" s="3" t="s">
        <v>16282</v>
      </c>
      <c r="B1347" s="4"/>
    </row>
    <row r="1348" customHeight="1" spans="1:2">
      <c r="A1348" s="3" t="s">
        <v>21017</v>
      </c>
      <c r="B1348" s="4"/>
    </row>
    <row r="1349" customHeight="1" spans="1:2">
      <c r="A1349" s="3" t="s">
        <v>23571</v>
      </c>
      <c r="B1349" s="4"/>
    </row>
    <row r="1350" customHeight="1" spans="1:2">
      <c r="A1350" s="3" t="s">
        <v>19536</v>
      </c>
      <c r="B1350" s="4"/>
    </row>
    <row r="1351" customHeight="1" spans="1:2">
      <c r="A1351" s="3" t="s">
        <v>23092</v>
      </c>
      <c r="B1351" s="4"/>
    </row>
    <row r="1352" customHeight="1" spans="1:2">
      <c r="A1352" s="3" t="s">
        <v>19098</v>
      </c>
      <c r="B1352" s="4">
        <v>58163</v>
      </c>
    </row>
    <row r="1353" customHeight="1" spans="1:2">
      <c r="A1353" s="3" t="s">
        <v>11348</v>
      </c>
      <c r="B1353" s="4">
        <v>2104000</v>
      </c>
    </row>
    <row r="1354" customHeight="1" spans="1:2">
      <c r="A1354" s="3" t="s">
        <v>17939</v>
      </c>
      <c r="B1354" s="4">
        <v>841206</v>
      </c>
    </row>
    <row r="1355" customHeight="1" spans="1:2">
      <c r="A1355" s="3" t="s">
        <v>23485</v>
      </c>
      <c r="B1355" s="4"/>
    </row>
    <row r="1356" customHeight="1" spans="1:2">
      <c r="A1356" s="3" t="s">
        <v>16582</v>
      </c>
      <c r="B1356" s="4">
        <v>5354039</v>
      </c>
    </row>
    <row r="1357" customHeight="1" spans="1:2">
      <c r="A1357" s="3" t="s">
        <v>17950</v>
      </c>
      <c r="B1357" s="4">
        <v>505295</v>
      </c>
    </row>
    <row r="1358" customHeight="1" spans="1:2">
      <c r="A1358" s="3" t="s">
        <v>10384</v>
      </c>
      <c r="B1358" s="4">
        <v>17411331</v>
      </c>
    </row>
    <row r="1359" customHeight="1" spans="1:2">
      <c r="A1359" s="3" t="s">
        <v>17101</v>
      </c>
      <c r="B1359" s="4"/>
    </row>
    <row r="1360" customHeight="1" spans="1:2">
      <c r="A1360" s="3" t="s">
        <v>74</v>
      </c>
      <c r="B1360" s="4">
        <v>291021565</v>
      </c>
    </row>
    <row r="1361" customHeight="1" spans="1:2">
      <c r="A1361" s="3" t="s">
        <v>22545</v>
      </c>
      <c r="B1361" s="4"/>
    </row>
    <row r="1362" customHeight="1" spans="1:2">
      <c r="A1362" s="3" t="s">
        <v>4947</v>
      </c>
      <c r="B1362" s="4">
        <v>30105968</v>
      </c>
    </row>
    <row r="1363" customHeight="1" spans="1:2">
      <c r="A1363" s="3" t="s">
        <v>22683</v>
      </c>
      <c r="B1363" s="4"/>
    </row>
    <row r="1364" customHeight="1" spans="1:2">
      <c r="A1364" s="3" t="s">
        <v>7832</v>
      </c>
      <c r="B1364" s="4">
        <v>5773519</v>
      </c>
    </row>
    <row r="1365" customHeight="1" spans="1:2">
      <c r="A1365" s="3" t="s">
        <v>14090</v>
      </c>
      <c r="B1365" s="4">
        <v>32391374</v>
      </c>
    </row>
    <row r="1366" customHeight="1" spans="1:2">
      <c r="A1366" s="3" t="s">
        <v>8497</v>
      </c>
      <c r="B1366" s="4">
        <v>21413105</v>
      </c>
    </row>
    <row r="1367" customHeight="1" spans="1:2">
      <c r="A1367" s="3" t="s">
        <v>2638</v>
      </c>
      <c r="B1367" s="4">
        <v>31670931</v>
      </c>
    </row>
    <row r="1368" customHeight="1" spans="1:2">
      <c r="A1368" s="3" t="s">
        <v>22359</v>
      </c>
      <c r="B1368" s="4"/>
    </row>
    <row r="1369" customHeight="1" spans="1:2">
      <c r="A1369" s="3" t="s">
        <v>10853</v>
      </c>
      <c r="B1369" s="4"/>
    </row>
    <row r="1370" customHeight="1" spans="1:2">
      <c r="A1370" s="3" t="s">
        <v>1240</v>
      </c>
      <c r="B1370" s="4">
        <v>61644321</v>
      </c>
    </row>
    <row r="1371" customHeight="1" spans="1:2">
      <c r="A1371" s="3" t="s">
        <v>20586</v>
      </c>
      <c r="B1371" s="4"/>
    </row>
    <row r="1372" customHeight="1" spans="1:2">
      <c r="A1372" s="3" t="s">
        <v>18455</v>
      </c>
      <c r="B1372" s="4"/>
    </row>
    <row r="1373" customHeight="1" spans="1:2">
      <c r="A1373" s="3" t="s">
        <v>22405</v>
      </c>
      <c r="B1373" s="4"/>
    </row>
    <row r="1374" customHeight="1" spans="1:2">
      <c r="A1374" s="3" t="s">
        <v>18055</v>
      </c>
      <c r="B1374" s="4">
        <v>58885635</v>
      </c>
    </row>
    <row r="1375" customHeight="1" spans="1:2">
      <c r="A1375" s="3" t="s">
        <v>11605</v>
      </c>
      <c r="B1375" s="4">
        <v>31155435</v>
      </c>
    </row>
    <row r="1376" customHeight="1" spans="1:2">
      <c r="A1376" s="3" t="s">
        <v>11817</v>
      </c>
      <c r="B1376" s="4">
        <v>2060953</v>
      </c>
    </row>
    <row r="1377" customHeight="1" spans="1:2">
      <c r="A1377" s="3" t="s">
        <v>17081</v>
      </c>
      <c r="B1377" s="4">
        <v>3123749</v>
      </c>
    </row>
    <row r="1378" customHeight="1" spans="1:2">
      <c r="A1378" s="3" t="s">
        <v>12618</v>
      </c>
      <c r="B1378" s="4">
        <v>6857503</v>
      </c>
    </row>
    <row r="1379" customHeight="1" spans="1:2">
      <c r="A1379" s="3" t="s">
        <v>10142</v>
      </c>
      <c r="B1379" s="4">
        <v>79900000</v>
      </c>
    </row>
    <row r="1380" customHeight="1" spans="1:2">
      <c r="A1380" s="3" t="s">
        <v>4871</v>
      </c>
      <c r="B1380" s="4">
        <v>50129186</v>
      </c>
    </row>
    <row r="1381" customHeight="1" spans="1:2">
      <c r="A1381" s="3" t="s">
        <v>5414</v>
      </c>
      <c r="B1381" s="4"/>
    </row>
    <row r="1382" customHeight="1" spans="1:2">
      <c r="A1382" s="3" t="s">
        <v>23770</v>
      </c>
      <c r="B1382" s="4"/>
    </row>
    <row r="1383" customHeight="1" spans="1:2">
      <c r="A1383" s="3" t="s">
        <v>5898</v>
      </c>
      <c r="B1383" s="4">
        <v>62877175</v>
      </c>
    </row>
    <row r="1384" customHeight="1" spans="1:2">
      <c r="A1384" s="3" t="s">
        <v>19581</v>
      </c>
      <c r="B1384" s="4">
        <v>9910</v>
      </c>
    </row>
    <row r="1385" customHeight="1" spans="1:2">
      <c r="A1385" s="3" t="s">
        <v>3846</v>
      </c>
      <c r="B1385" s="4">
        <v>36883539</v>
      </c>
    </row>
    <row r="1386" customHeight="1" spans="1:2">
      <c r="A1386" s="3" t="s">
        <v>4647</v>
      </c>
      <c r="B1386" s="4">
        <v>876671</v>
      </c>
    </row>
    <row r="1387" customHeight="1" spans="1:2">
      <c r="A1387" s="3" t="s">
        <v>24151</v>
      </c>
      <c r="B1387" s="4"/>
    </row>
    <row r="1388" customHeight="1" spans="1:2">
      <c r="A1388" s="3" t="s">
        <v>7050</v>
      </c>
      <c r="B1388" s="4">
        <v>66489425</v>
      </c>
    </row>
    <row r="1389" customHeight="1" spans="1:2">
      <c r="A1389" s="3" t="s">
        <v>9339</v>
      </c>
      <c r="B1389" s="4">
        <v>17174870</v>
      </c>
    </row>
    <row r="1390" customHeight="1" spans="1:2">
      <c r="A1390" s="3" t="s">
        <v>5196</v>
      </c>
      <c r="B1390" s="4">
        <v>30691439</v>
      </c>
    </row>
    <row r="1391" customHeight="1" spans="1:2">
      <c r="A1391" s="3" t="s">
        <v>17470</v>
      </c>
      <c r="B1391" s="4"/>
    </row>
    <row r="1392" customHeight="1" spans="1:2">
      <c r="A1392" s="3" t="s">
        <v>16740</v>
      </c>
      <c r="B1392" s="4">
        <v>48056940</v>
      </c>
    </row>
    <row r="1393" customHeight="1" spans="1:2">
      <c r="A1393" s="3" t="s">
        <v>22020</v>
      </c>
      <c r="B1393" s="4"/>
    </row>
    <row r="1394" customHeight="1" spans="1:2">
      <c r="A1394" s="3" t="s">
        <v>13800</v>
      </c>
      <c r="B1394" s="4">
        <v>1071240</v>
      </c>
    </row>
    <row r="1395" customHeight="1" spans="1:2">
      <c r="A1395" s="3" t="s">
        <v>16021</v>
      </c>
      <c r="B1395" s="4">
        <v>35385560</v>
      </c>
    </row>
    <row r="1396" customHeight="1" spans="1:2">
      <c r="A1396" s="3" t="s">
        <v>19537</v>
      </c>
      <c r="B1396" s="4">
        <v>234903076</v>
      </c>
    </row>
    <row r="1397" customHeight="1" spans="1:2">
      <c r="A1397" s="3" t="s">
        <v>6134</v>
      </c>
      <c r="B1397" s="4">
        <v>23070045</v>
      </c>
    </row>
    <row r="1398" customHeight="1" spans="1:2">
      <c r="A1398" s="3" t="s">
        <v>6643</v>
      </c>
      <c r="B1398" s="4">
        <v>30920167</v>
      </c>
    </row>
    <row r="1399" customHeight="1" spans="1:2">
      <c r="A1399" s="3" t="s">
        <v>22860</v>
      </c>
      <c r="B1399" s="4"/>
    </row>
    <row r="1400" customHeight="1" spans="1:2">
      <c r="A1400" s="3" t="s">
        <v>7894</v>
      </c>
      <c r="B1400" s="4">
        <v>10696210</v>
      </c>
    </row>
    <row r="1401" customHeight="1" spans="1:2">
      <c r="A1401" s="3" t="s">
        <v>3272</v>
      </c>
      <c r="B1401" s="4">
        <v>70496802</v>
      </c>
    </row>
    <row r="1402" customHeight="1" spans="1:2">
      <c r="A1402" s="3" t="s">
        <v>15799</v>
      </c>
      <c r="B1402" s="4">
        <v>728</v>
      </c>
    </row>
    <row r="1403" customHeight="1" spans="1:2">
      <c r="A1403" s="3" t="s">
        <v>9233</v>
      </c>
      <c r="B1403" s="4">
        <v>51600000</v>
      </c>
    </row>
    <row r="1404" customHeight="1" spans="1:2">
      <c r="A1404" s="3" t="s">
        <v>15855</v>
      </c>
      <c r="B1404" s="4"/>
    </row>
    <row r="1405" customHeight="1" spans="1:2">
      <c r="A1405" s="3" t="s">
        <v>1012</v>
      </c>
      <c r="B1405" s="4">
        <v>58867694</v>
      </c>
    </row>
    <row r="1406" customHeight="1" spans="1:2">
      <c r="A1406" s="3" t="s">
        <v>8556</v>
      </c>
      <c r="B1406" s="4">
        <v>32000000</v>
      </c>
    </row>
    <row r="1407" customHeight="1" spans="1:2">
      <c r="A1407" s="3" t="s">
        <v>19364</v>
      </c>
      <c r="B1407" s="4">
        <v>1114943</v>
      </c>
    </row>
    <row r="1408" customHeight="1" spans="1:2">
      <c r="A1408" s="3" t="s">
        <v>2910</v>
      </c>
      <c r="B1408" s="4">
        <v>38553833</v>
      </c>
    </row>
    <row r="1409" customHeight="1" spans="1:2">
      <c r="A1409" s="3" t="s">
        <v>18080</v>
      </c>
      <c r="B1409" s="4">
        <v>7362100</v>
      </c>
    </row>
    <row r="1410" customHeight="1" spans="1:2">
      <c r="A1410" s="3" t="s">
        <v>3391</v>
      </c>
      <c r="B1410" s="4">
        <v>38105077</v>
      </c>
    </row>
    <row r="1411" customHeight="1" spans="1:2">
      <c r="A1411" s="3" t="s">
        <v>5309</v>
      </c>
      <c r="B1411" s="4"/>
    </row>
    <row r="1412" customHeight="1" spans="1:2">
      <c r="A1412" s="3" t="s">
        <v>19827</v>
      </c>
      <c r="B1412" s="4">
        <v>177840</v>
      </c>
    </row>
    <row r="1413" customHeight="1" spans="1:2">
      <c r="A1413" s="3" t="s">
        <v>8797</v>
      </c>
      <c r="B1413" s="4">
        <v>8093318</v>
      </c>
    </row>
    <row r="1414" customHeight="1" spans="1:2">
      <c r="A1414" s="3" t="s">
        <v>3888</v>
      </c>
      <c r="B1414" s="4">
        <v>7916887</v>
      </c>
    </row>
    <row r="1415" customHeight="1" spans="1:2">
      <c r="A1415" s="3" t="s">
        <v>789</v>
      </c>
      <c r="B1415" s="4">
        <v>42776259</v>
      </c>
    </row>
    <row r="1416" customHeight="1" spans="1:2">
      <c r="A1416" s="3" t="s">
        <v>14672</v>
      </c>
      <c r="B1416" s="4">
        <v>20400000</v>
      </c>
    </row>
    <row r="1417" customHeight="1" spans="1:2">
      <c r="A1417" s="3" t="s">
        <v>7881</v>
      </c>
      <c r="B1417" s="4">
        <v>19783777</v>
      </c>
    </row>
    <row r="1418" customHeight="1" spans="1:2">
      <c r="A1418" s="3" t="s">
        <v>23480</v>
      </c>
      <c r="B1418" s="4"/>
    </row>
    <row r="1419" customHeight="1" spans="1:2">
      <c r="A1419" s="3" t="s">
        <v>20609</v>
      </c>
      <c r="B1419" s="4"/>
    </row>
    <row r="1420" customHeight="1" spans="1:2">
      <c r="A1420" s="3" t="s">
        <v>8922</v>
      </c>
      <c r="B1420" s="4">
        <v>2246000</v>
      </c>
    </row>
    <row r="1421" customHeight="1" spans="1:2">
      <c r="A1421" s="3" t="s">
        <v>1923</v>
      </c>
      <c r="B1421" s="4"/>
    </row>
    <row r="1422" customHeight="1" spans="1:2">
      <c r="A1422" s="3" t="s">
        <v>10803</v>
      </c>
      <c r="B1422" s="4">
        <v>74205</v>
      </c>
    </row>
    <row r="1423" customHeight="1" spans="1:2">
      <c r="A1423" s="3" t="s">
        <v>11953</v>
      </c>
      <c r="B1423" s="4">
        <v>35537564</v>
      </c>
    </row>
    <row r="1424" customHeight="1" spans="1:2">
      <c r="A1424" s="3" t="s">
        <v>11965</v>
      </c>
      <c r="B1424" s="4">
        <v>72755517</v>
      </c>
    </row>
    <row r="1425" customHeight="1" spans="1:2">
      <c r="A1425" s="3" t="s">
        <v>23882</v>
      </c>
      <c r="B1425" s="4"/>
    </row>
    <row r="1426" customHeight="1" spans="1:2">
      <c r="A1426" s="3" t="s">
        <v>11606</v>
      </c>
      <c r="B1426" s="4">
        <v>27281507</v>
      </c>
    </row>
    <row r="1427" customHeight="1" spans="1:2">
      <c r="A1427" s="3" t="s">
        <v>12312</v>
      </c>
      <c r="B1427" s="4">
        <v>36696761</v>
      </c>
    </row>
    <row r="1428" customHeight="1" spans="1:2">
      <c r="A1428" s="3" t="s">
        <v>12258</v>
      </c>
      <c r="B1428" s="4">
        <v>47536959</v>
      </c>
    </row>
    <row r="1429" customHeight="1" spans="1:2">
      <c r="A1429" s="3" t="s">
        <v>21973</v>
      </c>
      <c r="B1429" s="4"/>
    </row>
    <row r="1430" customHeight="1" spans="1:2">
      <c r="A1430" s="3" t="s">
        <v>2558</v>
      </c>
      <c r="B1430" s="4">
        <v>46611204</v>
      </c>
    </row>
    <row r="1431" customHeight="1" spans="1:2">
      <c r="A1431" s="3" t="s">
        <v>9556</v>
      </c>
      <c r="B1431" s="4">
        <v>23472900</v>
      </c>
    </row>
    <row r="1432" customHeight="1" spans="1:2">
      <c r="A1432" s="3" t="s">
        <v>19272</v>
      </c>
      <c r="B1432" s="4">
        <v>13493</v>
      </c>
    </row>
    <row r="1433" customHeight="1" spans="1:2">
      <c r="A1433" s="3" t="s">
        <v>2039</v>
      </c>
      <c r="B1433" s="4">
        <v>28031250</v>
      </c>
    </row>
    <row r="1434" customHeight="1" spans="1:2">
      <c r="A1434" s="3" t="s">
        <v>5506</v>
      </c>
      <c r="B1434" s="4">
        <v>117559438</v>
      </c>
    </row>
    <row r="1435" customHeight="1" spans="1:2">
      <c r="A1435" s="3" t="s">
        <v>2766</v>
      </c>
      <c r="B1435" s="4"/>
    </row>
    <row r="1436" customHeight="1" spans="1:2">
      <c r="A1436" s="3" t="s">
        <v>6681</v>
      </c>
      <c r="B1436" s="4">
        <v>10297897</v>
      </c>
    </row>
    <row r="1437" customHeight="1" spans="1:2">
      <c r="A1437" s="3" t="s">
        <v>18089</v>
      </c>
      <c r="B1437" s="4">
        <v>7022940</v>
      </c>
    </row>
    <row r="1438" customHeight="1" spans="1:2">
      <c r="A1438" s="3" t="s">
        <v>11239</v>
      </c>
      <c r="B1438" s="4">
        <v>27052167</v>
      </c>
    </row>
    <row r="1439" customHeight="1" spans="1:2">
      <c r="A1439" s="3" t="s">
        <v>4248</v>
      </c>
      <c r="B1439" s="4">
        <v>70405498</v>
      </c>
    </row>
    <row r="1440" customHeight="1" spans="1:2">
      <c r="A1440" s="3" t="s">
        <v>14351</v>
      </c>
      <c r="B1440" s="4">
        <v>1000000</v>
      </c>
    </row>
    <row r="1441" customHeight="1" spans="1:2">
      <c r="A1441" s="3" t="s">
        <v>23970</v>
      </c>
      <c r="B1441" s="4"/>
    </row>
    <row r="1442" customHeight="1" spans="1:2">
      <c r="A1442" s="3" t="s">
        <v>15993</v>
      </c>
      <c r="B1442" s="4">
        <v>131175</v>
      </c>
    </row>
    <row r="1443" customHeight="1" spans="1:2">
      <c r="A1443" s="3" t="s">
        <v>8908</v>
      </c>
      <c r="B1443" s="4">
        <v>2298191</v>
      </c>
    </row>
    <row r="1444" customHeight="1" spans="1:2">
      <c r="A1444" s="3" t="s">
        <v>937</v>
      </c>
      <c r="B1444" s="4">
        <v>107515297</v>
      </c>
    </row>
    <row r="1445" customHeight="1" spans="1:2">
      <c r="A1445" s="3" t="s">
        <v>24105</v>
      </c>
      <c r="B1445" s="4"/>
    </row>
    <row r="1446" customHeight="1" spans="1:2">
      <c r="A1446" s="3" t="s">
        <v>16141</v>
      </c>
      <c r="B1446" s="4">
        <v>4046737</v>
      </c>
    </row>
    <row r="1447" customHeight="1" spans="1:2">
      <c r="A1447" s="3" t="s">
        <v>6399</v>
      </c>
      <c r="B1447" s="4">
        <v>5899797</v>
      </c>
    </row>
    <row r="1448" customHeight="1" spans="1:2">
      <c r="A1448" s="3" t="s">
        <v>1101</v>
      </c>
      <c r="B1448" s="4">
        <v>81557479</v>
      </c>
    </row>
    <row r="1449" customHeight="1" spans="1:2">
      <c r="A1449" s="3" t="s">
        <v>7087</v>
      </c>
      <c r="B1449" s="4">
        <v>35990505</v>
      </c>
    </row>
    <row r="1450" customHeight="1" spans="1:2">
      <c r="A1450" s="3" t="s">
        <v>4813</v>
      </c>
      <c r="B1450" s="4"/>
    </row>
    <row r="1451" customHeight="1" spans="1:2">
      <c r="A1451" s="3" t="s">
        <v>22889</v>
      </c>
      <c r="B1451" s="4"/>
    </row>
    <row r="1452" customHeight="1" spans="1:2">
      <c r="A1452" s="3" t="s">
        <v>16889</v>
      </c>
      <c r="B1452" s="4">
        <v>2223990</v>
      </c>
    </row>
    <row r="1453" customHeight="1" spans="1:2">
      <c r="A1453" s="3" t="s">
        <v>19260</v>
      </c>
      <c r="B1453" s="4">
        <v>140530114</v>
      </c>
    </row>
    <row r="1454" customHeight="1" spans="1:2">
      <c r="A1454" s="3" t="s">
        <v>3736</v>
      </c>
      <c r="B1454" s="4">
        <v>76261036</v>
      </c>
    </row>
    <row r="1455" customHeight="1" spans="1:2">
      <c r="A1455" s="3" t="s">
        <v>5703</v>
      </c>
      <c r="B1455" s="4"/>
    </row>
    <row r="1456" customHeight="1" spans="1:2">
      <c r="A1456" s="3" t="s">
        <v>4088</v>
      </c>
      <c r="B1456" s="4">
        <v>116724075</v>
      </c>
    </row>
    <row r="1457" customHeight="1" spans="1:2">
      <c r="A1457" s="3" t="s">
        <v>6085</v>
      </c>
      <c r="B1457" s="4">
        <v>32095318</v>
      </c>
    </row>
    <row r="1458" customHeight="1" spans="1:2">
      <c r="A1458" s="3" t="s">
        <v>19215</v>
      </c>
      <c r="B1458" s="4"/>
    </row>
    <row r="1459" customHeight="1" spans="1:2">
      <c r="A1459" s="3" t="s">
        <v>19882</v>
      </c>
      <c r="B1459" s="4"/>
    </row>
    <row r="1460" customHeight="1" spans="1:2">
      <c r="A1460" s="3" t="s">
        <v>20796</v>
      </c>
      <c r="B1460" s="4"/>
    </row>
    <row r="1461" customHeight="1" spans="1:2">
      <c r="A1461" s="3" t="s">
        <v>13895</v>
      </c>
      <c r="B1461" s="4">
        <v>50000</v>
      </c>
    </row>
    <row r="1462" customHeight="1" spans="1:2">
      <c r="A1462" s="3" t="s">
        <v>3870</v>
      </c>
      <c r="B1462" s="4">
        <v>13401683</v>
      </c>
    </row>
    <row r="1463" customHeight="1" spans="1:2">
      <c r="A1463" s="3" t="s">
        <v>2324</v>
      </c>
      <c r="B1463" s="4">
        <v>25052000</v>
      </c>
    </row>
    <row r="1464" customHeight="1" spans="1:2">
      <c r="A1464" s="3" t="s">
        <v>17295</v>
      </c>
      <c r="B1464" s="4">
        <v>173783</v>
      </c>
    </row>
    <row r="1465" customHeight="1" spans="1:2">
      <c r="A1465" s="3" t="s">
        <v>6173</v>
      </c>
      <c r="B1465" s="4">
        <v>32357532</v>
      </c>
    </row>
    <row r="1466" customHeight="1" spans="1:2">
      <c r="A1466" s="3" t="s">
        <v>16762</v>
      </c>
      <c r="B1466" s="4">
        <v>19472057</v>
      </c>
    </row>
    <row r="1467" customHeight="1" spans="1:2">
      <c r="A1467" s="3" t="s">
        <v>1837</v>
      </c>
      <c r="B1467" s="4">
        <v>5409517</v>
      </c>
    </row>
    <row r="1468" customHeight="1" spans="1:2">
      <c r="A1468" s="3" t="s">
        <v>17741</v>
      </c>
      <c r="B1468" s="4">
        <v>4958</v>
      </c>
    </row>
    <row r="1469" customHeight="1" spans="1:2">
      <c r="A1469" s="3" t="s">
        <v>5084</v>
      </c>
      <c r="B1469" s="4">
        <v>55291815</v>
      </c>
    </row>
    <row r="1470" customHeight="1" spans="1:2">
      <c r="A1470" s="3" t="s">
        <v>15933</v>
      </c>
      <c r="B1470" s="4">
        <v>188870</v>
      </c>
    </row>
    <row r="1471" customHeight="1" spans="1:2">
      <c r="A1471" s="3" t="s">
        <v>16606</v>
      </c>
      <c r="B1471" s="4">
        <v>610968</v>
      </c>
    </row>
    <row r="1472" customHeight="1" spans="1:2">
      <c r="A1472" s="3" t="s">
        <v>21361</v>
      </c>
      <c r="B1472" s="4"/>
    </row>
    <row r="1473" customHeight="1" spans="1:2">
      <c r="A1473" s="3" t="s">
        <v>8938</v>
      </c>
      <c r="B1473" s="4">
        <v>410388</v>
      </c>
    </row>
    <row r="1474" customHeight="1" spans="1:2">
      <c r="A1474" s="3" t="s">
        <v>14700</v>
      </c>
      <c r="B1474" s="4">
        <v>11883495</v>
      </c>
    </row>
    <row r="1475" customHeight="1" spans="1:2">
      <c r="A1475" s="3" t="s">
        <v>23263</v>
      </c>
      <c r="B1475" s="4"/>
    </row>
    <row r="1476" customHeight="1" spans="1:2">
      <c r="A1476" s="3" t="s">
        <v>2388</v>
      </c>
      <c r="B1476" s="4">
        <v>135381507</v>
      </c>
    </row>
    <row r="1477" customHeight="1" spans="1:2">
      <c r="A1477" s="3" t="s">
        <v>10356</v>
      </c>
      <c r="B1477" s="4">
        <v>22189039</v>
      </c>
    </row>
    <row r="1478" customHeight="1" spans="1:2">
      <c r="A1478" s="3" t="s">
        <v>21587</v>
      </c>
      <c r="B1478" s="4"/>
    </row>
    <row r="1479" customHeight="1" spans="1:2">
      <c r="A1479" s="3" t="s">
        <v>6478</v>
      </c>
      <c r="B1479" s="4">
        <v>51475962</v>
      </c>
    </row>
    <row r="1480" customHeight="1" spans="1:2">
      <c r="A1480" s="3" t="s">
        <v>20321</v>
      </c>
      <c r="B1480" s="4">
        <v>10499968</v>
      </c>
    </row>
    <row r="1481" customHeight="1" spans="1:2">
      <c r="A1481" s="3" t="s">
        <v>15840</v>
      </c>
      <c r="B1481" s="4"/>
    </row>
    <row r="1482" customHeight="1" spans="1:2">
      <c r="A1482" s="3" t="s">
        <v>3856</v>
      </c>
      <c r="B1482" s="4">
        <v>25200412</v>
      </c>
    </row>
    <row r="1483" customHeight="1" spans="1:2">
      <c r="A1483" s="3" t="s">
        <v>14732</v>
      </c>
      <c r="B1483" s="4">
        <v>6670712</v>
      </c>
    </row>
    <row r="1484" customHeight="1" spans="1:2">
      <c r="A1484" s="3" t="s">
        <v>20005</v>
      </c>
      <c r="B1484" s="4"/>
    </row>
    <row r="1485" customHeight="1" spans="1:2">
      <c r="A1485" s="3" t="s">
        <v>22939</v>
      </c>
      <c r="B1485" s="4"/>
    </row>
    <row r="1486" customHeight="1" spans="1:2">
      <c r="A1486" s="3" t="s">
        <v>21418</v>
      </c>
      <c r="B1486" s="4"/>
    </row>
    <row r="1487" customHeight="1" spans="1:2">
      <c r="A1487" s="3" t="s">
        <v>1682</v>
      </c>
      <c r="B1487" s="4">
        <v>74158157</v>
      </c>
    </row>
    <row r="1488" customHeight="1" spans="1:2">
      <c r="A1488" s="3" t="s">
        <v>10237</v>
      </c>
      <c r="B1488" s="4">
        <v>37882551</v>
      </c>
    </row>
    <row r="1489" customHeight="1" spans="1:2">
      <c r="A1489" s="3" t="s">
        <v>1234</v>
      </c>
      <c r="B1489" s="4">
        <v>37567440</v>
      </c>
    </row>
    <row r="1490" customHeight="1" spans="1:2">
      <c r="A1490" s="3" t="s">
        <v>8557</v>
      </c>
      <c r="B1490" s="4">
        <v>19151864</v>
      </c>
    </row>
    <row r="1491" customHeight="1" spans="1:2">
      <c r="A1491" s="3" t="s">
        <v>472</v>
      </c>
      <c r="B1491" s="4">
        <v>65007045</v>
      </c>
    </row>
    <row r="1492" customHeight="1" spans="1:2">
      <c r="A1492" s="3" t="s">
        <v>8869</v>
      </c>
      <c r="B1492" s="4">
        <v>5132655</v>
      </c>
    </row>
    <row r="1493" customHeight="1" spans="1:2">
      <c r="A1493" s="3" t="s">
        <v>23907</v>
      </c>
      <c r="B1493" s="4"/>
    </row>
    <row r="1494" customHeight="1" spans="1:2">
      <c r="A1494" s="3" t="s">
        <v>1376</v>
      </c>
      <c r="B1494" s="4">
        <v>137340146</v>
      </c>
    </row>
    <row r="1495" customHeight="1" spans="1:2">
      <c r="A1495" s="3" t="s">
        <v>5856</v>
      </c>
      <c r="B1495" s="4">
        <v>79566871</v>
      </c>
    </row>
    <row r="1496" customHeight="1" spans="1:2">
      <c r="A1496" s="3" t="s">
        <v>24081</v>
      </c>
      <c r="B1496" s="4"/>
    </row>
    <row r="1497" customHeight="1" spans="1:2">
      <c r="A1497" s="3" t="s">
        <v>10528</v>
      </c>
      <c r="B1497" s="4">
        <v>9059588</v>
      </c>
    </row>
    <row r="1498" customHeight="1" spans="1:2">
      <c r="A1498" s="3" t="s">
        <v>6492</v>
      </c>
      <c r="B1498" s="4">
        <v>44450000</v>
      </c>
    </row>
    <row r="1499" customHeight="1" spans="1:2">
      <c r="A1499" s="3" t="s">
        <v>15660</v>
      </c>
      <c r="B1499" s="4"/>
    </row>
    <row r="1500" customHeight="1" spans="1:2">
      <c r="A1500" s="3" t="s">
        <v>4818</v>
      </c>
      <c r="B1500" s="4">
        <v>9589875</v>
      </c>
    </row>
    <row r="1501" customHeight="1" spans="1:2">
      <c r="A1501" s="3" t="s">
        <v>2107</v>
      </c>
      <c r="B1501" s="4">
        <v>251501645</v>
      </c>
    </row>
    <row r="1502" customHeight="1" spans="1:2">
      <c r="A1502" s="3" t="s">
        <v>4236</v>
      </c>
      <c r="B1502" s="4">
        <v>75305995</v>
      </c>
    </row>
    <row r="1503" customHeight="1" spans="1:2">
      <c r="A1503" s="3" t="s">
        <v>10804</v>
      </c>
      <c r="B1503" s="4">
        <v>141319195</v>
      </c>
    </row>
    <row r="1504" customHeight="1" spans="1:2">
      <c r="A1504" s="3" t="s">
        <v>14459</v>
      </c>
      <c r="B1504" s="4">
        <v>31607598</v>
      </c>
    </row>
    <row r="1505" customHeight="1" spans="1:2">
      <c r="A1505" s="3" t="s">
        <v>15208</v>
      </c>
      <c r="B1505" s="4">
        <v>83574831</v>
      </c>
    </row>
    <row r="1506" customHeight="1" spans="1:2">
      <c r="A1506" s="3" t="s">
        <v>11922</v>
      </c>
      <c r="B1506" s="4">
        <v>14616</v>
      </c>
    </row>
    <row r="1507" customHeight="1" spans="1:2">
      <c r="A1507" s="3" t="s">
        <v>22777</v>
      </c>
      <c r="B1507" s="4"/>
    </row>
    <row r="1508" customHeight="1" spans="1:2">
      <c r="A1508" s="3" t="s">
        <v>537</v>
      </c>
      <c r="B1508" s="4">
        <v>83024900</v>
      </c>
    </row>
    <row r="1509" customHeight="1" spans="1:2">
      <c r="A1509" s="3" t="s">
        <v>22565</v>
      </c>
      <c r="B1509" s="4"/>
    </row>
    <row r="1510" customHeight="1" spans="1:2">
      <c r="A1510" s="3" t="s">
        <v>1727</v>
      </c>
      <c r="B1510" s="4">
        <v>134568845</v>
      </c>
    </row>
    <row r="1511" customHeight="1" spans="1:2">
      <c r="A1511" s="3" t="s">
        <v>19301</v>
      </c>
      <c r="B1511" s="4"/>
    </row>
    <row r="1512" customHeight="1" spans="1:2">
      <c r="A1512" s="3" t="s">
        <v>11202</v>
      </c>
      <c r="B1512" s="4">
        <v>44134898</v>
      </c>
    </row>
    <row r="1513" customHeight="1" spans="1:2">
      <c r="A1513" s="3" t="s">
        <v>12282</v>
      </c>
      <c r="B1513" s="4">
        <v>50752337</v>
      </c>
    </row>
    <row r="1514" customHeight="1" spans="1:2">
      <c r="A1514" s="3" t="s">
        <v>23281</v>
      </c>
      <c r="B1514" s="4"/>
    </row>
    <row r="1515" customHeight="1" spans="1:2">
      <c r="A1515" s="3" t="s">
        <v>10196</v>
      </c>
      <c r="B1515" s="4">
        <v>47860214</v>
      </c>
    </row>
    <row r="1516" customHeight="1" spans="1:2">
      <c r="A1516" s="3" t="s">
        <v>1997</v>
      </c>
      <c r="B1516" s="4">
        <v>79883359</v>
      </c>
    </row>
    <row r="1517" customHeight="1" spans="1:2">
      <c r="A1517" s="3" t="s">
        <v>1754</v>
      </c>
      <c r="B1517" s="4"/>
    </row>
    <row r="1518" customHeight="1" spans="1:2">
      <c r="A1518" s="3" t="s">
        <v>8336</v>
      </c>
      <c r="B1518" s="4">
        <v>37672350</v>
      </c>
    </row>
    <row r="1519" customHeight="1" spans="1:2">
      <c r="A1519" s="3" t="s">
        <v>18946</v>
      </c>
      <c r="B1519" s="4"/>
    </row>
    <row r="1520" customHeight="1" spans="1:2">
      <c r="A1520" s="3" t="s">
        <v>5172</v>
      </c>
      <c r="B1520" s="4"/>
    </row>
    <row r="1521" customHeight="1" spans="1:2">
      <c r="A1521" s="3" t="s">
        <v>16694</v>
      </c>
      <c r="B1521" s="4">
        <v>84749884</v>
      </c>
    </row>
    <row r="1522" customHeight="1" spans="1:2">
      <c r="A1522" s="3" t="s">
        <v>20590</v>
      </c>
      <c r="B1522" s="4"/>
    </row>
    <row r="1523" customHeight="1" spans="1:2">
      <c r="A1523" s="3" t="s">
        <v>10859</v>
      </c>
      <c r="B1523" s="4"/>
    </row>
    <row r="1524" customHeight="1" spans="1:2">
      <c r="A1524" s="3" t="s">
        <v>22918</v>
      </c>
      <c r="B1524" s="4"/>
    </row>
    <row r="1525" customHeight="1" spans="1:2">
      <c r="A1525" s="3" t="s">
        <v>1093</v>
      </c>
      <c r="B1525" s="4">
        <v>88761720</v>
      </c>
    </row>
    <row r="1526" customHeight="1" spans="1:2">
      <c r="A1526" s="3" t="s">
        <v>9399</v>
      </c>
      <c r="B1526" s="4">
        <v>7739049</v>
      </c>
    </row>
    <row r="1527" customHeight="1" spans="1:2">
      <c r="A1527" s="3" t="s">
        <v>23416</v>
      </c>
      <c r="B1527" s="4"/>
    </row>
    <row r="1528" customHeight="1" spans="1:2">
      <c r="A1528" s="3" t="s">
        <v>2814</v>
      </c>
      <c r="B1528" s="4"/>
    </row>
    <row r="1529" customHeight="1" spans="1:2">
      <c r="A1529" s="3" t="s">
        <v>9852</v>
      </c>
      <c r="B1529" s="4">
        <v>28734552</v>
      </c>
    </row>
    <row r="1530" customHeight="1" spans="1:2">
      <c r="A1530" s="3" t="s">
        <v>10572</v>
      </c>
      <c r="B1530" s="4">
        <v>6373693</v>
      </c>
    </row>
    <row r="1531" customHeight="1" spans="1:2">
      <c r="A1531" s="3" t="s">
        <v>3448</v>
      </c>
      <c r="B1531" s="4"/>
    </row>
    <row r="1532" customHeight="1" spans="1:2">
      <c r="A1532" s="3" t="s">
        <v>13122</v>
      </c>
      <c r="B1532" s="4">
        <v>12899702</v>
      </c>
    </row>
    <row r="1533" customHeight="1" spans="1:2">
      <c r="A1533" s="3" t="s">
        <v>21709</v>
      </c>
      <c r="B1533" s="4"/>
    </row>
    <row r="1534" customHeight="1" spans="1:2">
      <c r="A1534" s="3" t="s">
        <v>12210</v>
      </c>
      <c r="B1534" s="4">
        <v>5669081</v>
      </c>
    </row>
    <row r="1535" customHeight="1" spans="1:2">
      <c r="A1535" s="3" t="s">
        <v>10149</v>
      </c>
      <c r="B1535" s="4">
        <v>71588220</v>
      </c>
    </row>
    <row r="1536" customHeight="1" spans="1:2">
      <c r="A1536" s="3" t="s">
        <v>17654</v>
      </c>
      <c r="B1536" s="4">
        <v>124494</v>
      </c>
    </row>
    <row r="1537" customHeight="1" spans="1:2">
      <c r="A1537" s="3" t="s">
        <v>18780</v>
      </c>
      <c r="B1537" s="4">
        <v>227241</v>
      </c>
    </row>
    <row r="1538" customHeight="1" spans="1:2">
      <c r="A1538" s="3" t="s">
        <v>22181</v>
      </c>
      <c r="B1538" s="4"/>
    </row>
    <row r="1539" customHeight="1" spans="1:2">
      <c r="A1539" s="3" t="s">
        <v>17242</v>
      </c>
      <c r="B1539" s="4">
        <v>26781723</v>
      </c>
    </row>
    <row r="1540" customHeight="1" spans="1:2">
      <c r="A1540" s="3" t="s">
        <v>23661</v>
      </c>
      <c r="B1540" s="4"/>
    </row>
    <row r="1541" customHeight="1" spans="1:2">
      <c r="A1541" s="3" t="s">
        <v>21932</v>
      </c>
      <c r="B1541" s="4"/>
    </row>
    <row r="1542" customHeight="1" spans="1:2">
      <c r="A1542" s="3" t="s">
        <v>4196</v>
      </c>
      <c r="B1542" s="4">
        <v>82522790</v>
      </c>
    </row>
    <row r="1543" customHeight="1" spans="1:2">
      <c r="A1543" s="3" t="s">
        <v>14181</v>
      </c>
      <c r="B1543" s="4">
        <v>14891000</v>
      </c>
    </row>
    <row r="1544" customHeight="1" spans="1:2">
      <c r="A1544" s="3" t="s">
        <v>22602</v>
      </c>
      <c r="B1544" s="4"/>
    </row>
    <row r="1545" customHeight="1" spans="1:2">
      <c r="A1545" s="3" t="s">
        <v>20311</v>
      </c>
      <c r="B1545" s="4">
        <v>8231</v>
      </c>
    </row>
    <row r="1546" customHeight="1" spans="1:2">
      <c r="A1546" s="3" t="s">
        <v>8796</v>
      </c>
      <c r="B1546" s="4"/>
    </row>
    <row r="1547" customHeight="1" spans="1:2">
      <c r="A1547" s="3" t="s">
        <v>22799</v>
      </c>
      <c r="B1547" s="4"/>
    </row>
    <row r="1548" customHeight="1" spans="1:2">
      <c r="A1548" s="3" t="s">
        <v>10328</v>
      </c>
      <c r="B1548" s="4">
        <v>24881000</v>
      </c>
    </row>
    <row r="1549" customHeight="1" spans="1:2">
      <c r="A1549" s="3" t="s">
        <v>2746</v>
      </c>
      <c r="B1549" s="4">
        <v>350123553</v>
      </c>
    </row>
    <row r="1550" customHeight="1" spans="1:2">
      <c r="A1550" s="3" t="s">
        <v>6032</v>
      </c>
      <c r="B1550" s="4">
        <v>42043633</v>
      </c>
    </row>
    <row r="1551" customHeight="1" spans="1:2">
      <c r="A1551" s="3" t="s">
        <v>864</v>
      </c>
      <c r="B1551" s="4">
        <v>6712451</v>
      </c>
    </row>
    <row r="1552" customHeight="1" spans="1:2">
      <c r="A1552" s="3" t="s">
        <v>10544</v>
      </c>
      <c r="B1552" s="4">
        <v>8735529</v>
      </c>
    </row>
    <row r="1553" customHeight="1" spans="1:2">
      <c r="A1553" s="3" t="s">
        <v>16097</v>
      </c>
      <c r="B1553" s="4">
        <v>17314483</v>
      </c>
    </row>
    <row r="1554" customHeight="1" spans="1:2">
      <c r="A1554" s="3" t="s">
        <v>18176</v>
      </c>
      <c r="B1554" s="4">
        <v>119841</v>
      </c>
    </row>
    <row r="1555" customHeight="1" spans="1:2">
      <c r="A1555" s="3" t="s">
        <v>18177</v>
      </c>
      <c r="B1555" s="4">
        <v>173066</v>
      </c>
    </row>
    <row r="1556" customHeight="1" spans="1:2">
      <c r="A1556" s="3" t="s">
        <v>19713</v>
      </c>
      <c r="B1556" s="4"/>
    </row>
    <row r="1557" customHeight="1" spans="1:2">
      <c r="A1557" s="3" t="s">
        <v>8105</v>
      </c>
      <c r="B1557" s="4">
        <v>24104113</v>
      </c>
    </row>
    <row r="1558" customHeight="1" spans="1:2">
      <c r="A1558" s="3" t="s">
        <v>8942</v>
      </c>
      <c r="B1558" s="4">
        <v>375474</v>
      </c>
    </row>
    <row r="1559" customHeight="1" spans="1:2">
      <c r="A1559" s="3" t="s">
        <v>18337</v>
      </c>
      <c r="B1559" s="4"/>
    </row>
    <row r="1560" customHeight="1" spans="1:2">
      <c r="A1560" s="3" t="s">
        <v>15632</v>
      </c>
      <c r="B1560" s="4">
        <v>16066</v>
      </c>
    </row>
    <row r="1561" customHeight="1" spans="1:2">
      <c r="A1561" s="3" t="s">
        <v>19802</v>
      </c>
      <c r="B1561" s="4">
        <v>212285</v>
      </c>
    </row>
    <row r="1562" customHeight="1" spans="1:2">
      <c r="A1562" s="3" t="s">
        <v>13580</v>
      </c>
      <c r="B1562" s="4">
        <v>69800000</v>
      </c>
    </row>
    <row r="1563" customHeight="1" spans="1:2">
      <c r="A1563" s="3" t="s">
        <v>1564</v>
      </c>
      <c r="B1563" s="4">
        <v>50628009</v>
      </c>
    </row>
    <row r="1564" customHeight="1" spans="1:2">
      <c r="A1564" s="3" t="s">
        <v>9260</v>
      </c>
      <c r="B1564" s="4">
        <v>41382841</v>
      </c>
    </row>
    <row r="1565" customHeight="1" spans="1:2">
      <c r="A1565" s="3" t="s">
        <v>24055</v>
      </c>
      <c r="B1565" s="4"/>
    </row>
    <row r="1566" customHeight="1" spans="1:2">
      <c r="A1566" s="3" t="s">
        <v>18517</v>
      </c>
      <c r="B1566" s="4">
        <v>4105123</v>
      </c>
    </row>
    <row r="1567" customHeight="1" spans="1:2">
      <c r="A1567" s="3" t="s">
        <v>656</v>
      </c>
      <c r="B1567" s="4">
        <v>215397307</v>
      </c>
    </row>
    <row r="1568" customHeight="1" spans="1:2">
      <c r="A1568" s="3" t="s">
        <v>9621</v>
      </c>
      <c r="B1568" s="4">
        <v>84961</v>
      </c>
    </row>
    <row r="1569" customHeight="1" spans="1:2">
      <c r="A1569" s="3" t="s">
        <v>9111</v>
      </c>
      <c r="B1569" s="4">
        <v>6923891</v>
      </c>
    </row>
    <row r="1570" customHeight="1" spans="1:2">
      <c r="A1570" s="3" t="s">
        <v>10629</v>
      </c>
      <c r="B1570" s="4">
        <v>3525161</v>
      </c>
    </row>
    <row r="1571" customHeight="1" spans="1:2">
      <c r="A1571" s="3" t="s">
        <v>1417</v>
      </c>
      <c r="B1571" s="4">
        <v>254455986</v>
      </c>
    </row>
    <row r="1572" customHeight="1" spans="1:2">
      <c r="A1572" s="3" t="s">
        <v>23240</v>
      </c>
      <c r="B1572" s="4"/>
    </row>
    <row r="1573" customHeight="1" spans="1:2">
      <c r="A1573" s="3" t="s">
        <v>730</v>
      </c>
      <c r="B1573" s="4">
        <v>132550960</v>
      </c>
    </row>
    <row r="1574" customHeight="1" spans="1:2">
      <c r="A1574" s="3" t="s">
        <v>9011</v>
      </c>
      <c r="B1574" s="4"/>
    </row>
    <row r="1575" customHeight="1" spans="1:2">
      <c r="A1575" s="3" t="s">
        <v>818</v>
      </c>
      <c r="B1575" s="4">
        <v>48068396</v>
      </c>
    </row>
    <row r="1576" customHeight="1" spans="1:2">
      <c r="A1576" s="3" t="s">
        <v>20024</v>
      </c>
      <c r="B1576" s="4"/>
    </row>
    <row r="1577" customHeight="1" spans="1:2">
      <c r="A1577" s="3" t="s">
        <v>19842</v>
      </c>
      <c r="B1577" s="4"/>
    </row>
    <row r="1578" customHeight="1" spans="1:2">
      <c r="A1578" s="3" t="s">
        <v>17123</v>
      </c>
      <c r="B1578" s="4">
        <v>25000000</v>
      </c>
    </row>
    <row r="1579" customHeight="1" spans="1:2">
      <c r="A1579" s="3" t="s">
        <v>11655</v>
      </c>
      <c r="B1579" s="4">
        <v>18595716</v>
      </c>
    </row>
    <row r="1580" customHeight="1" spans="1:2">
      <c r="A1580" s="3" t="s">
        <v>22262</v>
      </c>
      <c r="B1580" s="4"/>
    </row>
    <row r="1581" customHeight="1" spans="1:2">
      <c r="A1581" s="3" t="s">
        <v>15659</v>
      </c>
      <c r="B1581" s="4"/>
    </row>
    <row r="1582" customHeight="1" spans="1:2">
      <c r="A1582" s="3" t="s">
        <v>23978</v>
      </c>
      <c r="B1582" s="4"/>
    </row>
    <row r="1583" customHeight="1" spans="1:2">
      <c r="A1583" s="3" t="s">
        <v>252</v>
      </c>
      <c r="B1583" s="4">
        <v>356454367</v>
      </c>
    </row>
    <row r="1584" customHeight="1" spans="1:2">
      <c r="A1584" s="3" t="s">
        <v>15553</v>
      </c>
      <c r="B1584" s="4">
        <v>1980338</v>
      </c>
    </row>
    <row r="1585" customHeight="1" spans="1:2">
      <c r="A1585" s="3" t="s">
        <v>17964</v>
      </c>
      <c r="B1585" s="4"/>
    </row>
    <row r="1586" customHeight="1" spans="1:2">
      <c r="A1586" s="3" t="s">
        <v>1121</v>
      </c>
      <c r="B1586" s="4">
        <v>124870275</v>
      </c>
    </row>
    <row r="1587" customHeight="1" spans="1:2">
      <c r="A1587" s="3" t="s">
        <v>9979</v>
      </c>
      <c r="B1587" s="4">
        <v>1666262</v>
      </c>
    </row>
    <row r="1588" customHeight="1" spans="1:2">
      <c r="A1588" s="3" t="s">
        <v>9764</v>
      </c>
      <c r="B1588" s="4">
        <v>59847242</v>
      </c>
    </row>
    <row r="1589" customHeight="1" spans="1:2">
      <c r="A1589" s="3" t="s">
        <v>12494</v>
      </c>
      <c r="B1589" s="4"/>
    </row>
    <row r="1590" customHeight="1" spans="1:2">
      <c r="A1590" s="3" t="s">
        <v>324</v>
      </c>
      <c r="B1590" s="4">
        <v>63143812</v>
      </c>
    </row>
    <row r="1591" customHeight="1" spans="1:2">
      <c r="A1591" s="3" t="s">
        <v>4657</v>
      </c>
      <c r="B1591" s="4">
        <v>4563029</v>
      </c>
    </row>
    <row r="1592" customHeight="1" spans="1:2">
      <c r="A1592" s="3" t="s">
        <v>11217</v>
      </c>
      <c r="B1592" s="4">
        <v>54257433</v>
      </c>
    </row>
    <row r="1593" customHeight="1" spans="1:2">
      <c r="A1593" s="3" t="s">
        <v>23084</v>
      </c>
      <c r="B1593" s="4"/>
    </row>
    <row r="1594" customHeight="1" spans="1:2">
      <c r="A1594" s="3" t="s">
        <v>23352</v>
      </c>
      <c r="B1594" s="4"/>
    </row>
    <row r="1595" customHeight="1" spans="1:2">
      <c r="A1595" s="3" t="s">
        <v>9033</v>
      </c>
      <c r="B1595" s="4">
        <v>103001286</v>
      </c>
    </row>
    <row r="1596" customHeight="1" spans="1:2">
      <c r="A1596" s="3" t="s">
        <v>20885</v>
      </c>
      <c r="B1596" s="4"/>
    </row>
    <row r="1597" customHeight="1" spans="1:2">
      <c r="A1597" s="3" t="s">
        <v>1666</v>
      </c>
      <c r="B1597" s="4">
        <v>119793567</v>
      </c>
    </row>
    <row r="1598" customHeight="1" spans="1:2">
      <c r="A1598" s="3" t="s">
        <v>10179</v>
      </c>
      <c r="B1598" s="4">
        <v>55184721</v>
      </c>
    </row>
    <row r="1599" customHeight="1" spans="1:2">
      <c r="A1599" s="3" t="s">
        <v>20312</v>
      </c>
      <c r="B1599" s="4"/>
    </row>
    <row r="1600" customHeight="1" spans="1:2">
      <c r="A1600" s="3" t="s">
        <v>9364</v>
      </c>
      <c r="B1600" s="4">
        <v>15281286</v>
      </c>
    </row>
    <row r="1601" customHeight="1" spans="1:2">
      <c r="A1601" s="3" t="s">
        <v>20703</v>
      </c>
      <c r="B1601" s="4"/>
    </row>
    <row r="1602" customHeight="1" spans="1:2">
      <c r="A1602" s="3" t="s">
        <v>5389</v>
      </c>
      <c r="B1602" s="4"/>
    </row>
    <row r="1603" customHeight="1" spans="1:2">
      <c r="A1603" s="3" t="s">
        <v>5636</v>
      </c>
      <c r="B1603" s="4">
        <v>43095600</v>
      </c>
    </row>
    <row r="1604" customHeight="1" spans="1:2">
      <c r="A1604" s="3" t="s">
        <v>6185</v>
      </c>
      <c r="B1604" s="4">
        <v>16323969</v>
      </c>
    </row>
    <row r="1605" customHeight="1" spans="1:2">
      <c r="A1605" s="3" t="s">
        <v>91</v>
      </c>
      <c r="B1605" s="4">
        <v>105219735</v>
      </c>
    </row>
    <row r="1606" customHeight="1" spans="1:2">
      <c r="A1606" s="3" t="s">
        <v>19169</v>
      </c>
      <c r="B1606" s="4">
        <v>18378</v>
      </c>
    </row>
    <row r="1607" customHeight="1" spans="1:2">
      <c r="A1607" s="3" t="s">
        <v>22235</v>
      </c>
      <c r="B1607" s="4"/>
    </row>
    <row r="1608" customHeight="1" spans="1:2">
      <c r="A1608" s="3" t="s">
        <v>22090</v>
      </c>
      <c r="B1608" s="4"/>
    </row>
    <row r="1609" customHeight="1" spans="1:2">
      <c r="A1609" s="3" t="s">
        <v>21469</v>
      </c>
      <c r="B1609" s="4"/>
    </row>
    <row r="1610" customHeight="1" spans="1:2">
      <c r="A1610" s="3" t="s">
        <v>11412</v>
      </c>
      <c r="B1610" s="4">
        <v>31662</v>
      </c>
    </row>
    <row r="1611" customHeight="1" spans="1:2">
      <c r="A1611" s="3" t="s">
        <v>9953</v>
      </c>
      <c r="B1611" s="4">
        <v>4193025</v>
      </c>
    </row>
    <row r="1612" customHeight="1" spans="1:2">
      <c r="A1612" s="3" t="s">
        <v>14311</v>
      </c>
      <c r="B1612" s="4">
        <v>2344847</v>
      </c>
    </row>
    <row r="1613" customHeight="1" spans="1:2">
      <c r="A1613" s="3" t="s">
        <v>2730</v>
      </c>
      <c r="B1613" s="4">
        <v>4535117</v>
      </c>
    </row>
    <row r="1614" customHeight="1" spans="1:2">
      <c r="A1614" s="3" t="s">
        <v>12789</v>
      </c>
      <c r="B1614" s="4">
        <v>1474508</v>
      </c>
    </row>
    <row r="1615" customHeight="1" spans="1:2">
      <c r="A1615" s="3" t="s">
        <v>18445</v>
      </c>
      <c r="B1615" s="4">
        <v>3830</v>
      </c>
    </row>
    <row r="1616" customHeight="1" spans="1:2">
      <c r="A1616" s="3" t="s">
        <v>22163</v>
      </c>
      <c r="B1616" s="4"/>
    </row>
    <row r="1617" customHeight="1" spans="1:2">
      <c r="A1617" s="3" t="s">
        <v>23769</v>
      </c>
      <c r="B1617" s="4"/>
    </row>
    <row r="1618" customHeight="1" spans="1:2">
      <c r="A1618" s="3" t="s">
        <v>18032</v>
      </c>
      <c r="B1618" s="4">
        <v>155972</v>
      </c>
    </row>
    <row r="1619" customHeight="1" spans="1:2">
      <c r="A1619" s="3" t="s">
        <v>18700</v>
      </c>
      <c r="B1619" s="4">
        <v>1950218</v>
      </c>
    </row>
    <row r="1620" customHeight="1" spans="1:2">
      <c r="A1620" s="3" t="s">
        <v>8043</v>
      </c>
      <c r="B1620" s="4">
        <v>37721949</v>
      </c>
    </row>
    <row r="1621" customHeight="1" spans="1:2">
      <c r="A1621" s="3" t="s">
        <v>8537</v>
      </c>
      <c r="B1621" s="4">
        <v>20241395</v>
      </c>
    </row>
    <row r="1622" customHeight="1" spans="1:2">
      <c r="A1622" s="3" t="s">
        <v>67</v>
      </c>
      <c r="B1622" s="4">
        <v>168368427</v>
      </c>
    </row>
    <row r="1623" customHeight="1" spans="1:2">
      <c r="A1623" s="3" t="s">
        <v>5563</v>
      </c>
      <c r="B1623" s="4">
        <v>60328558</v>
      </c>
    </row>
    <row r="1624" customHeight="1" spans="1:2">
      <c r="A1624" s="3" t="s">
        <v>7501</v>
      </c>
      <c r="B1624" s="4">
        <v>34700000</v>
      </c>
    </row>
    <row r="1625" customHeight="1" spans="1:2">
      <c r="A1625" s="3" t="s">
        <v>1342</v>
      </c>
      <c r="B1625" s="4">
        <v>62494975</v>
      </c>
    </row>
    <row r="1626" customHeight="1" spans="1:2">
      <c r="A1626" s="3" t="s">
        <v>22905</v>
      </c>
      <c r="B1626" s="4"/>
    </row>
    <row r="1627" customHeight="1" spans="1:2">
      <c r="A1627" s="3" t="s">
        <v>18345</v>
      </c>
      <c r="B1627" s="4">
        <v>19100000</v>
      </c>
    </row>
    <row r="1628" customHeight="1" spans="1:2">
      <c r="A1628" s="3" t="s">
        <v>18518</v>
      </c>
      <c r="B1628" s="4">
        <v>56129</v>
      </c>
    </row>
    <row r="1629" customHeight="1" spans="1:2">
      <c r="A1629" s="3" t="s">
        <v>1992</v>
      </c>
      <c r="B1629" s="4">
        <v>65012000</v>
      </c>
    </row>
    <row r="1630" customHeight="1" spans="1:2">
      <c r="A1630" s="3" t="s">
        <v>7568</v>
      </c>
      <c r="B1630" s="4">
        <v>25167270</v>
      </c>
    </row>
    <row r="1631" customHeight="1" spans="1:2">
      <c r="A1631" s="3" t="s">
        <v>8521</v>
      </c>
      <c r="B1631" s="4">
        <v>21200000</v>
      </c>
    </row>
    <row r="1632" customHeight="1" spans="1:2">
      <c r="A1632" s="3" t="s">
        <v>9382</v>
      </c>
      <c r="B1632" s="4">
        <v>7837632</v>
      </c>
    </row>
    <row r="1633" customHeight="1" spans="1:2">
      <c r="A1633" s="3" t="s">
        <v>15236</v>
      </c>
      <c r="B1633" s="4">
        <v>44793200</v>
      </c>
    </row>
    <row r="1634" customHeight="1" spans="1:2">
      <c r="A1634" s="3" t="s">
        <v>2605</v>
      </c>
      <c r="B1634" s="4">
        <v>36830057</v>
      </c>
    </row>
    <row r="1635" customHeight="1" spans="1:2">
      <c r="A1635" s="3" t="s">
        <v>15413</v>
      </c>
      <c r="B1635" s="4">
        <v>13269963</v>
      </c>
    </row>
    <row r="1636" customHeight="1" spans="1:2">
      <c r="A1636" s="3" t="s">
        <v>10320</v>
      </c>
      <c r="B1636" s="4">
        <v>27441122</v>
      </c>
    </row>
    <row r="1637" customHeight="1" spans="1:2">
      <c r="A1637" s="3" t="s">
        <v>3945</v>
      </c>
      <c r="B1637" s="4">
        <v>150415432</v>
      </c>
    </row>
    <row r="1638" customHeight="1" spans="1:2">
      <c r="A1638" s="3" t="s">
        <v>15414</v>
      </c>
      <c r="B1638" s="4">
        <v>17768000</v>
      </c>
    </row>
    <row r="1639" customHeight="1" spans="1:2">
      <c r="A1639" s="3" t="s">
        <v>18431</v>
      </c>
      <c r="B1639" s="4">
        <v>58936</v>
      </c>
    </row>
    <row r="1640" customHeight="1" spans="1:2">
      <c r="A1640" s="3" t="s">
        <v>15354</v>
      </c>
      <c r="B1640" s="4">
        <v>21197315</v>
      </c>
    </row>
    <row r="1641" customHeight="1" spans="1:2">
      <c r="A1641" s="3" t="s">
        <v>21419</v>
      </c>
      <c r="B1641" s="4"/>
    </row>
    <row r="1642" customHeight="1" spans="1:2">
      <c r="A1642" s="3" t="s">
        <v>6293</v>
      </c>
      <c r="B1642" s="4">
        <v>2975649</v>
      </c>
    </row>
    <row r="1643" customHeight="1" spans="1:2">
      <c r="A1643" s="3" t="s">
        <v>20874</v>
      </c>
      <c r="B1643" s="4"/>
    </row>
    <row r="1644" customHeight="1" spans="1:2">
      <c r="A1644" s="3" t="s">
        <v>19912</v>
      </c>
      <c r="B1644" s="4">
        <v>111300</v>
      </c>
    </row>
    <row r="1645" customHeight="1" spans="1:2">
      <c r="A1645" s="3" t="s">
        <v>12641</v>
      </c>
      <c r="B1645" s="4">
        <v>6044618</v>
      </c>
    </row>
    <row r="1646" customHeight="1" spans="1:2">
      <c r="A1646" s="3" t="s">
        <v>11216</v>
      </c>
      <c r="B1646" s="4">
        <v>27979400</v>
      </c>
    </row>
    <row r="1647" customHeight="1" spans="1:2">
      <c r="A1647" s="3" t="s">
        <v>1073</v>
      </c>
      <c r="B1647" s="4">
        <v>67344392</v>
      </c>
    </row>
    <row r="1648" customHeight="1" spans="1:2">
      <c r="A1648" s="3" t="s">
        <v>20679</v>
      </c>
      <c r="B1648" s="4"/>
    </row>
    <row r="1649" customHeight="1" spans="1:2">
      <c r="A1649" s="3" t="s">
        <v>1565</v>
      </c>
      <c r="B1649" s="4">
        <v>69772969</v>
      </c>
    </row>
    <row r="1650" customHeight="1" spans="1:2">
      <c r="A1650" s="3" t="s">
        <v>5538</v>
      </c>
      <c r="B1650" s="4">
        <v>17120019</v>
      </c>
    </row>
    <row r="1651" customHeight="1" spans="1:2">
      <c r="A1651" s="3" t="s">
        <v>4082</v>
      </c>
      <c r="B1651" s="4"/>
    </row>
    <row r="1652" customHeight="1" spans="1:2">
      <c r="A1652" s="3" t="s">
        <v>11370</v>
      </c>
      <c r="B1652" s="4">
        <v>1200000</v>
      </c>
    </row>
    <row r="1653" customHeight="1" spans="1:2">
      <c r="A1653" s="3" t="s">
        <v>4640</v>
      </c>
      <c r="B1653" s="4">
        <v>7564000</v>
      </c>
    </row>
    <row r="1654" customHeight="1" spans="1:2">
      <c r="A1654" s="3" t="s">
        <v>15689</v>
      </c>
      <c r="B1654" s="4"/>
    </row>
    <row r="1655" customHeight="1" spans="1:2">
      <c r="A1655" s="3" t="s">
        <v>4452</v>
      </c>
      <c r="B1655" s="4">
        <v>32055248</v>
      </c>
    </row>
    <row r="1656" customHeight="1" spans="1:2">
      <c r="A1656" s="3" t="s">
        <v>6090</v>
      </c>
      <c r="B1656" s="4">
        <v>32154410</v>
      </c>
    </row>
    <row r="1657" customHeight="1" spans="1:2">
      <c r="A1657" s="3" t="s">
        <v>2903</v>
      </c>
      <c r="B1657" s="4">
        <v>49994804</v>
      </c>
    </row>
    <row r="1658" customHeight="1" spans="1:2">
      <c r="A1658" s="3" t="s">
        <v>5089</v>
      </c>
      <c r="B1658" s="4">
        <v>83299761</v>
      </c>
    </row>
    <row r="1659" customHeight="1" spans="1:2">
      <c r="A1659" s="3" t="s">
        <v>14358</v>
      </c>
      <c r="B1659" s="4">
        <v>1425993</v>
      </c>
    </row>
    <row r="1660" customHeight="1" spans="1:2">
      <c r="A1660" s="3" t="s">
        <v>15608</v>
      </c>
      <c r="B1660" s="4"/>
    </row>
    <row r="1661" customHeight="1" spans="1:2">
      <c r="A1661" s="3" t="s">
        <v>1778</v>
      </c>
      <c r="B1661" s="4">
        <v>103338338</v>
      </c>
    </row>
    <row r="1662" customHeight="1" spans="1:2">
      <c r="A1662" s="3" t="s">
        <v>6487</v>
      </c>
      <c r="B1662" s="4">
        <v>62300000</v>
      </c>
    </row>
    <row r="1663" customHeight="1" spans="1:2">
      <c r="A1663" s="3" t="s">
        <v>972</v>
      </c>
      <c r="B1663" s="4">
        <v>38120554</v>
      </c>
    </row>
    <row r="1664" customHeight="1" spans="1:2">
      <c r="A1664" s="3" t="s">
        <v>4269</v>
      </c>
      <c r="B1664" s="4">
        <v>64149837</v>
      </c>
    </row>
    <row r="1665" customHeight="1" spans="1:2">
      <c r="A1665" s="3" t="s">
        <v>18099</v>
      </c>
      <c r="B1665" s="4">
        <v>5132222</v>
      </c>
    </row>
    <row r="1666" customHeight="1" spans="1:2">
      <c r="A1666" s="3" t="s">
        <v>4433</v>
      </c>
      <c r="B1666" s="4">
        <v>42575718</v>
      </c>
    </row>
    <row r="1667" customHeight="1" spans="1:2">
      <c r="A1667" s="3" t="s">
        <v>1796</v>
      </c>
      <c r="B1667" s="4">
        <v>45434443</v>
      </c>
    </row>
    <row r="1668" customHeight="1" spans="1:2">
      <c r="A1668" s="3" t="s">
        <v>7459</v>
      </c>
      <c r="B1668" s="4">
        <v>1697956</v>
      </c>
    </row>
    <row r="1669" customHeight="1" spans="1:2">
      <c r="A1669" s="3" t="s">
        <v>16996</v>
      </c>
      <c r="B1669" s="4"/>
    </row>
    <row r="1670" customHeight="1" spans="1:2">
      <c r="A1670" s="3" t="s">
        <v>14821</v>
      </c>
      <c r="B1670" s="4">
        <v>267194</v>
      </c>
    </row>
    <row r="1671" customHeight="1" spans="1:2">
      <c r="A1671" s="3" t="s">
        <v>1223</v>
      </c>
      <c r="B1671" s="4">
        <v>42877165</v>
      </c>
    </row>
    <row r="1672" customHeight="1" spans="1:2">
      <c r="A1672" s="3" t="s">
        <v>8873</v>
      </c>
      <c r="B1672" s="4">
        <v>5205343</v>
      </c>
    </row>
    <row r="1673" customHeight="1" spans="1:2">
      <c r="A1673" s="3" t="s">
        <v>8572</v>
      </c>
      <c r="B1673" s="4">
        <v>18882880</v>
      </c>
    </row>
    <row r="1674" customHeight="1" spans="1:2">
      <c r="A1674" s="3" t="s">
        <v>629</v>
      </c>
      <c r="B1674" s="4">
        <v>131536019</v>
      </c>
    </row>
    <row r="1675" customHeight="1" spans="1:2">
      <c r="A1675" s="3" t="s">
        <v>9578</v>
      </c>
      <c r="B1675" s="4">
        <v>96471845</v>
      </c>
    </row>
    <row r="1676" customHeight="1" spans="1:2">
      <c r="A1676" s="3" t="s">
        <v>310</v>
      </c>
      <c r="B1676" s="4"/>
    </row>
    <row r="1677" customHeight="1" spans="1:2">
      <c r="A1677" s="3" t="s">
        <v>7855</v>
      </c>
      <c r="B1677" s="4">
        <v>35799026</v>
      </c>
    </row>
    <row r="1678" customHeight="1" spans="1:2">
      <c r="A1678" s="3" t="s">
        <v>14967</v>
      </c>
      <c r="B1678" s="4">
        <v>11905519</v>
      </c>
    </row>
    <row r="1679" customHeight="1" spans="1:2">
      <c r="A1679" s="3" t="s">
        <v>10596</v>
      </c>
      <c r="B1679" s="4">
        <v>4956401</v>
      </c>
    </row>
    <row r="1680" customHeight="1" spans="1:2">
      <c r="A1680" s="3" t="s">
        <v>359</v>
      </c>
      <c r="B1680" s="4">
        <v>227946274</v>
      </c>
    </row>
    <row r="1681" customHeight="1" spans="1:2">
      <c r="A1681" s="3" t="s">
        <v>4420</v>
      </c>
      <c r="B1681" s="4">
        <v>35183792</v>
      </c>
    </row>
    <row r="1682" customHeight="1" spans="1:2">
      <c r="A1682" s="3" t="s">
        <v>15240</v>
      </c>
      <c r="B1682" s="4">
        <v>43771291</v>
      </c>
    </row>
    <row r="1683" customHeight="1" spans="1:2">
      <c r="A1683" s="3" t="s">
        <v>446</v>
      </c>
      <c r="B1683" s="4">
        <v>201573391</v>
      </c>
    </row>
    <row r="1684" customHeight="1" spans="1:2">
      <c r="A1684" s="3" t="s">
        <v>6816</v>
      </c>
      <c r="B1684" s="4">
        <v>45489752</v>
      </c>
    </row>
    <row r="1685" customHeight="1" spans="1:2">
      <c r="A1685" s="3" t="s">
        <v>22642</v>
      </c>
      <c r="B1685" s="4"/>
    </row>
    <row r="1686" customHeight="1" spans="1:2">
      <c r="A1686" s="3" t="s">
        <v>20573</v>
      </c>
      <c r="B1686" s="4"/>
    </row>
    <row r="1687" customHeight="1" spans="1:2">
      <c r="A1687" s="3" t="s">
        <v>3977</v>
      </c>
      <c r="B1687" s="4">
        <v>24430272</v>
      </c>
    </row>
    <row r="1688" customHeight="1" spans="1:2">
      <c r="A1688" s="3" t="s">
        <v>8340</v>
      </c>
      <c r="B1688" s="4">
        <v>38037513</v>
      </c>
    </row>
    <row r="1689" customHeight="1" spans="1:2">
      <c r="A1689" s="3" t="s">
        <v>22494</v>
      </c>
      <c r="B1689" s="4"/>
    </row>
    <row r="1690" customHeight="1" spans="1:2">
      <c r="A1690" s="3" t="s">
        <v>878</v>
      </c>
      <c r="B1690" s="4">
        <v>167007184</v>
      </c>
    </row>
    <row r="1691" customHeight="1" spans="1:2">
      <c r="A1691" s="3" t="s">
        <v>24112</v>
      </c>
      <c r="B1691" s="4"/>
    </row>
    <row r="1692" customHeight="1" spans="1:2">
      <c r="A1692" s="3" t="s">
        <v>11256</v>
      </c>
      <c r="B1692" s="4">
        <v>25592632</v>
      </c>
    </row>
    <row r="1693" customHeight="1" spans="1:2">
      <c r="A1693" s="3" t="s">
        <v>17353</v>
      </c>
      <c r="B1693" s="4"/>
    </row>
    <row r="1694" customHeight="1" spans="1:2">
      <c r="A1694" s="3" t="s">
        <v>24057</v>
      </c>
      <c r="B1694" s="4"/>
    </row>
    <row r="1695" customHeight="1" spans="1:2">
      <c r="A1695" s="3" t="s">
        <v>23738</v>
      </c>
      <c r="B1695" s="4"/>
    </row>
    <row r="1696" customHeight="1" spans="1:2">
      <c r="A1696" s="3" t="s">
        <v>13556</v>
      </c>
      <c r="B1696" s="4">
        <v>107930000</v>
      </c>
    </row>
    <row r="1697" customHeight="1" spans="1:2">
      <c r="A1697" s="3" t="s">
        <v>7736</v>
      </c>
      <c r="B1697" s="4">
        <v>2708188</v>
      </c>
    </row>
    <row r="1698" customHeight="1" spans="1:2">
      <c r="A1698" s="3" t="s">
        <v>9040</v>
      </c>
      <c r="B1698" s="4"/>
    </row>
    <row r="1699" customHeight="1" spans="1:2">
      <c r="A1699" s="3" t="s">
        <v>7012</v>
      </c>
      <c r="B1699" s="4">
        <v>52528330</v>
      </c>
    </row>
    <row r="1700" customHeight="1" spans="1:2">
      <c r="A1700" s="3" t="s">
        <v>19294</v>
      </c>
      <c r="B1700" s="4"/>
    </row>
    <row r="1701" customHeight="1" spans="1:2">
      <c r="A1701" s="3" t="s">
        <v>19061</v>
      </c>
      <c r="B1701" s="4">
        <v>4771000</v>
      </c>
    </row>
    <row r="1702" customHeight="1" spans="1:2">
      <c r="A1702" s="3" t="s">
        <v>22380</v>
      </c>
      <c r="B1702" s="4"/>
    </row>
    <row r="1703" customHeight="1" spans="1:2">
      <c r="A1703" s="3" t="s">
        <v>13274</v>
      </c>
      <c r="B1703" s="4">
        <v>16235293</v>
      </c>
    </row>
    <row r="1704" customHeight="1" spans="1:2">
      <c r="A1704" s="3" t="s">
        <v>17671</v>
      </c>
      <c r="B1704" s="4">
        <v>100669</v>
      </c>
    </row>
    <row r="1705" customHeight="1" spans="1:2">
      <c r="A1705" s="3" t="s">
        <v>15595</v>
      </c>
      <c r="B1705" s="4">
        <v>326308</v>
      </c>
    </row>
    <row r="1706" customHeight="1" spans="1:2">
      <c r="A1706" s="3" t="s">
        <v>4205</v>
      </c>
      <c r="B1706" s="4">
        <v>95001343</v>
      </c>
    </row>
    <row r="1707" customHeight="1" spans="1:2">
      <c r="A1707" s="3" t="s">
        <v>9198</v>
      </c>
      <c r="B1707" s="4">
        <v>65535067</v>
      </c>
    </row>
    <row r="1708" customHeight="1" spans="1:2">
      <c r="A1708" s="3" t="s">
        <v>23472</v>
      </c>
      <c r="B1708" s="4"/>
    </row>
    <row r="1709" customHeight="1" spans="1:2">
      <c r="A1709" s="3" t="s">
        <v>23506</v>
      </c>
      <c r="B1709" s="4"/>
    </row>
    <row r="1710" customHeight="1" spans="1:2">
      <c r="A1710" s="3" t="s">
        <v>12139</v>
      </c>
      <c r="B1710" s="4"/>
    </row>
    <row r="1711" customHeight="1" spans="1:2">
      <c r="A1711" s="3" t="s">
        <v>10620</v>
      </c>
      <c r="B1711" s="4">
        <v>4002955</v>
      </c>
    </row>
    <row r="1712" customHeight="1" spans="1:2">
      <c r="A1712" s="3" t="s">
        <v>4124</v>
      </c>
      <c r="B1712" s="4">
        <v>90800000</v>
      </c>
    </row>
    <row r="1713" customHeight="1" spans="1:2">
      <c r="A1713" s="3" t="s">
        <v>2630</v>
      </c>
      <c r="B1713" s="4">
        <v>33927476</v>
      </c>
    </row>
    <row r="1714" customHeight="1" spans="1:2">
      <c r="A1714" s="3" t="s">
        <v>11501</v>
      </c>
      <c r="B1714" s="4">
        <v>260000000</v>
      </c>
    </row>
    <row r="1715" customHeight="1" spans="1:2">
      <c r="A1715" s="3" t="s">
        <v>16715</v>
      </c>
      <c r="B1715" s="4">
        <v>377420</v>
      </c>
    </row>
    <row r="1716" customHeight="1" spans="1:2">
      <c r="A1716" s="3" t="s">
        <v>15970</v>
      </c>
      <c r="B1716" s="4">
        <v>1487477</v>
      </c>
    </row>
    <row r="1717" customHeight="1" spans="1:2">
      <c r="A1717" s="3" t="s">
        <v>9039</v>
      </c>
      <c r="B1717" s="4">
        <v>41867960</v>
      </c>
    </row>
    <row r="1718" customHeight="1" spans="1:2">
      <c r="A1718" s="3" t="s">
        <v>18726</v>
      </c>
      <c r="B1718" s="4"/>
    </row>
    <row r="1719" customHeight="1" spans="1:2">
      <c r="A1719" s="3" t="s">
        <v>18623</v>
      </c>
      <c r="B1719" s="4">
        <v>9013113</v>
      </c>
    </row>
    <row r="1720" customHeight="1" spans="1:2">
      <c r="A1720" s="3" t="s">
        <v>23079</v>
      </c>
      <c r="B1720" s="4"/>
    </row>
    <row r="1721" customHeight="1" spans="1:2">
      <c r="A1721" s="3" t="s">
        <v>3025</v>
      </c>
      <c r="B1721" s="4">
        <v>108200000</v>
      </c>
    </row>
    <row r="1722" customHeight="1" spans="1:2">
      <c r="A1722" s="3" t="s">
        <v>21193</v>
      </c>
      <c r="B1722" s="4"/>
    </row>
    <row r="1723" customHeight="1" spans="1:2">
      <c r="A1723" s="3" t="s">
        <v>13747</v>
      </c>
      <c r="B1723" s="4">
        <v>4692814</v>
      </c>
    </row>
    <row r="1724" customHeight="1" spans="1:2">
      <c r="A1724" s="3" t="s">
        <v>2852</v>
      </c>
      <c r="B1724" s="4">
        <v>100328194</v>
      </c>
    </row>
    <row r="1725" customHeight="1" spans="1:2">
      <c r="A1725" s="3" t="s">
        <v>13590</v>
      </c>
      <c r="B1725" s="4">
        <v>59889948</v>
      </c>
    </row>
    <row r="1726" customHeight="1" spans="1:2">
      <c r="A1726" s="3" t="s">
        <v>930</v>
      </c>
      <c r="B1726" s="4">
        <v>75030163</v>
      </c>
    </row>
    <row r="1727" customHeight="1" spans="1:2">
      <c r="A1727" s="3" t="s">
        <v>23452</v>
      </c>
      <c r="B1727" s="4"/>
    </row>
    <row r="1728" customHeight="1" spans="1:2">
      <c r="A1728" s="3" t="s">
        <v>19663</v>
      </c>
      <c r="B1728" s="4">
        <v>12843</v>
      </c>
    </row>
    <row r="1729" customHeight="1" spans="1:2">
      <c r="A1729" s="3" t="s">
        <v>23732</v>
      </c>
      <c r="B1729" s="4"/>
    </row>
    <row r="1730" customHeight="1" spans="1:2">
      <c r="A1730" s="3" t="s">
        <v>13480</v>
      </c>
      <c r="B1730" s="4"/>
    </row>
    <row r="1731" customHeight="1" spans="1:2">
      <c r="A1731" s="3" t="s">
        <v>6720</v>
      </c>
      <c r="B1731" s="4"/>
    </row>
    <row r="1732" customHeight="1" spans="1:2">
      <c r="A1732" s="3" t="s">
        <v>13115</v>
      </c>
      <c r="B1732" s="4">
        <v>14114488</v>
      </c>
    </row>
    <row r="1733" customHeight="1" spans="1:2">
      <c r="A1733" s="3" t="s">
        <v>12264</v>
      </c>
      <c r="B1733" s="4">
        <v>55865715</v>
      </c>
    </row>
    <row r="1734" customHeight="1" spans="1:2">
      <c r="A1734" s="3" t="s">
        <v>2315</v>
      </c>
      <c r="B1734" s="4">
        <v>213079163</v>
      </c>
    </row>
    <row r="1735" customHeight="1" spans="1:2">
      <c r="A1735" s="3" t="s">
        <v>366</v>
      </c>
      <c r="B1735" s="4">
        <v>206435493</v>
      </c>
    </row>
    <row r="1736" customHeight="1" spans="1:2">
      <c r="A1736" s="3" t="s">
        <v>16565</v>
      </c>
      <c r="B1736" s="4"/>
    </row>
    <row r="1737" customHeight="1" spans="1:2">
      <c r="A1737" s="3" t="s">
        <v>8937</v>
      </c>
      <c r="B1737" s="4">
        <v>531009</v>
      </c>
    </row>
    <row r="1738" customHeight="1" spans="1:2">
      <c r="A1738" s="3" t="s">
        <v>20899</v>
      </c>
      <c r="B1738" s="4"/>
    </row>
    <row r="1739" customHeight="1" spans="1:2">
      <c r="A1739" s="3" t="s">
        <v>2744</v>
      </c>
      <c r="B1739" s="4">
        <v>363024263</v>
      </c>
    </row>
    <row r="1740" customHeight="1" spans="1:2">
      <c r="A1740" s="3" t="s">
        <v>3919</v>
      </c>
      <c r="B1740" s="4"/>
    </row>
    <row r="1741" customHeight="1" spans="1:2">
      <c r="A1741" s="3" t="s">
        <v>23098</v>
      </c>
      <c r="B1741" s="4"/>
    </row>
    <row r="1742" customHeight="1" spans="1:2">
      <c r="A1742" s="3" t="s">
        <v>22749</v>
      </c>
      <c r="B1742" s="4"/>
    </row>
    <row r="1743" customHeight="1" spans="1:2">
      <c r="A1743" s="3" t="s">
        <v>21687</v>
      </c>
      <c r="B1743" s="4"/>
    </row>
    <row r="1744" customHeight="1" spans="1:2">
      <c r="A1744" s="3" t="s">
        <v>13763</v>
      </c>
      <c r="B1744" s="4">
        <v>3205244</v>
      </c>
    </row>
    <row r="1745" customHeight="1" spans="1:2">
      <c r="A1745" s="3" t="s">
        <v>18508</v>
      </c>
      <c r="B1745" s="4">
        <v>247740</v>
      </c>
    </row>
    <row r="1746" customHeight="1" spans="1:2">
      <c r="A1746" s="3" t="s">
        <v>10154</v>
      </c>
      <c r="B1746" s="4">
        <v>61400000</v>
      </c>
    </row>
    <row r="1747" customHeight="1" spans="1:2">
      <c r="A1747" s="3" t="s">
        <v>4765</v>
      </c>
      <c r="B1747" s="4">
        <v>18653746</v>
      </c>
    </row>
    <row r="1748" customHeight="1" spans="1:2">
      <c r="A1748" s="3" t="s">
        <v>22980</v>
      </c>
      <c r="B1748" s="4"/>
    </row>
    <row r="1749" customHeight="1" spans="1:2">
      <c r="A1749" s="3" t="s">
        <v>7764</v>
      </c>
      <c r="B1749" s="4">
        <v>4190530</v>
      </c>
    </row>
    <row r="1750" customHeight="1" spans="1:2">
      <c r="A1750" s="3" t="s">
        <v>18840</v>
      </c>
      <c r="B1750" s="4">
        <v>5494</v>
      </c>
    </row>
    <row r="1751" customHeight="1" spans="1:2">
      <c r="A1751" s="3" t="s">
        <v>12265</v>
      </c>
      <c r="B1751" s="4">
        <v>63231524</v>
      </c>
    </row>
    <row r="1752" customHeight="1" spans="1:2">
      <c r="A1752" s="3" t="s">
        <v>2458</v>
      </c>
      <c r="B1752" s="4">
        <v>100003492</v>
      </c>
    </row>
    <row r="1753" customHeight="1" spans="1:2">
      <c r="A1753" s="3" t="s">
        <v>22813</v>
      </c>
      <c r="B1753" s="4"/>
    </row>
    <row r="1754" customHeight="1" spans="1:2">
      <c r="A1754" s="3" t="s">
        <v>17736</v>
      </c>
      <c r="B1754" s="4"/>
    </row>
    <row r="1755" customHeight="1" spans="1:2">
      <c r="A1755" s="3" t="s">
        <v>16344</v>
      </c>
      <c r="B1755" s="4">
        <v>8000000</v>
      </c>
    </row>
    <row r="1756" customHeight="1" spans="1:2">
      <c r="A1756" s="3" t="s">
        <v>2328</v>
      </c>
      <c r="B1756" s="4">
        <v>122012710</v>
      </c>
    </row>
    <row r="1757" customHeight="1" spans="1:2">
      <c r="A1757" s="3" t="s">
        <v>1041</v>
      </c>
      <c r="B1757" s="4">
        <v>50802661</v>
      </c>
    </row>
    <row r="1758" customHeight="1" spans="1:2">
      <c r="A1758" s="3" t="s">
        <v>18966</v>
      </c>
      <c r="B1758" s="4">
        <v>9600000</v>
      </c>
    </row>
    <row r="1759" customHeight="1" spans="1:2">
      <c r="A1759" s="3" t="s">
        <v>16998</v>
      </c>
      <c r="B1759" s="4"/>
    </row>
    <row r="1760" customHeight="1" spans="1:2">
      <c r="A1760" s="3" t="s">
        <v>1988</v>
      </c>
      <c r="B1760" s="4">
        <v>66257002</v>
      </c>
    </row>
    <row r="1761" customHeight="1" spans="1:2">
      <c r="A1761" s="3" t="s">
        <v>21272</v>
      </c>
      <c r="B1761" s="4"/>
    </row>
    <row r="1762" customHeight="1" spans="1:2">
      <c r="A1762" s="3" t="s">
        <v>6981</v>
      </c>
      <c r="B1762" s="4">
        <v>70625986</v>
      </c>
    </row>
    <row r="1763" customHeight="1" spans="1:2">
      <c r="A1763" s="3" t="s">
        <v>16422</v>
      </c>
      <c r="B1763" s="4">
        <v>27900000</v>
      </c>
    </row>
    <row r="1764" customHeight="1" spans="1:2">
      <c r="A1764" s="3" t="s">
        <v>9403</v>
      </c>
      <c r="B1764" s="4">
        <v>6734844</v>
      </c>
    </row>
    <row r="1765" customHeight="1" spans="1:2">
      <c r="A1765" s="3" t="s">
        <v>23273</v>
      </c>
      <c r="B1765" s="4"/>
    </row>
    <row r="1766" customHeight="1" spans="1:2">
      <c r="A1766" s="3" t="s">
        <v>737</v>
      </c>
      <c r="B1766" s="4"/>
    </row>
    <row r="1767" customHeight="1" spans="1:2">
      <c r="A1767" s="3" t="s">
        <v>7457</v>
      </c>
      <c r="B1767" s="4">
        <v>1186957</v>
      </c>
    </row>
    <row r="1768" customHeight="1" spans="1:2">
      <c r="A1768" s="3" t="s">
        <v>15790</v>
      </c>
      <c r="B1768" s="4">
        <v>434417</v>
      </c>
    </row>
    <row r="1769" customHeight="1" spans="1:2">
      <c r="A1769" s="3" t="s">
        <v>5808</v>
      </c>
      <c r="B1769" s="4">
        <v>100125340</v>
      </c>
    </row>
    <row r="1770" customHeight="1" spans="1:2">
      <c r="A1770" s="3" t="s">
        <v>12585</v>
      </c>
      <c r="B1770" s="4">
        <v>8070311</v>
      </c>
    </row>
    <row r="1771" customHeight="1" spans="1:2">
      <c r="A1771" s="3" t="s">
        <v>21839</v>
      </c>
      <c r="B1771" s="4"/>
    </row>
    <row r="1772" customHeight="1" spans="1:2">
      <c r="A1772" s="3" t="s">
        <v>23541</v>
      </c>
      <c r="B1772" s="4"/>
    </row>
    <row r="1773" customHeight="1" spans="1:2">
      <c r="A1773" s="3" t="s">
        <v>9818</v>
      </c>
      <c r="B1773" s="4">
        <v>52885587</v>
      </c>
    </row>
    <row r="1774" customHeight="1" spans="1:2">
      <c r="A1774" s="3" t="s">
        <v>19551</v>
      </c>
      <c r="B1774" s="4">
        <v>2712293</v>
      </c>
    </row>
    <row r="1775" customHeight="1" spans="1:2">
      <c r="A1775" s="3" t="s">
        <v>6970</v>
      </c>
      <c r="B1775" s="4">
        <v>89808372</v>
      </c>
    </row>
    <row r="1776" customHeight="1" spans="1:2">
      <c r="A1776" s="3" t="s">
        <v>19913</v>
      </c>
      <c r="B1776" s="4">
        <v>1027119</v>
      </c>
    </row>
    <row r="1777" customHeight="1" spans="1:2">
      <c r="A1777" s="3" t="s">
        <v>16913</v>
      </c>
      <c r="B1777" s="4"/>
    </row>
    <row r="1778" customHeight="1" spans="1:2">
      <c r="A1778" s="3" t="s">
        <v>3953</v>
      </c>
      <c r="B1778" s="4">
        <v>84300000</v>
      </c>
    </row>
    <row r="1779" customHeight="1" spans="1:2">
      <c r="A1779" s="3" t="s">
        <v>22852</v>
      </c>
      <c r="B1779" s="4"/>
    </row>
    <row r="1780" customHeight="1" spans="1:2">
      <c r="A1780" s="3" t="s">
        <v>2933</v>
      </c>
      <c r="B1780" s="4">
        <v>33828318</v>
      </c>
    </row>
    <row r="1781" customHeight="1" spans="1:2">
      <c r="A1781" s="3" t="s">
        <v>5184</v>
      </c>
      <c r="B1781" s="4">
        <v>31598308</v>
      </c>
    </row>
    <row r="1782" customHeight="1" spans="1:2">
      <c r="A1782" s="3" t="s">
        <v>8676</v>
      </c>
      <c r="B1782" s="4">
        <v>13987482</v>
      </c>
    </row>
    <row r="1783" customHeight="1" spans="1:2">
      <c r="A1783" s="3" t="s">
        <v>6584</v>
      </c>
      <c r="B1783" s="4"/>
    </row>
    <row r="1784" customHeight="1" spans="1:2">
      <c r="A1784" s="3" t="s">
        <v>16474</v>
      </c>
      <c r="B1784" s="4">
        <v>20167424</v>
      </c>
    </row>
    <row r="1785" customHeight="1" spans="1:2">
      <c r="A1785" s="3" t="s">
        <v>9635</v>
      </c>
      <c r="B1785" s="4">
        <v>45670855</v>
      </c>
    </row>
    <row r="1786" customHeight="1" spans="1:2">
      <c r="A1786" s="3" t="s">
        <v>24075</v>
      </c>
      <c r="B1786" s="4"/>
    </row>
    <row r="1787" customHeight="1" spans="1:2">
      <c r="A1787" s="3" t="s">
        <v>1809</v>
      </c>
      <c r="B1787" s="4">
        <v>39251128</v>
      </c>
    </row>
    <row r="1788" customHeight="1" spans="1:2">
      <c r="A1788" s="3" t="s">
        <v>14436</v>
      </c>
      <c r="B1788" s="4">
        <v>7993039</v>
      </c>
    </row>
    <row r="1789" customHeight="1" spans="1:2">
      <c r="A1789" s="3" t="s">
        <v>182</v>
      </c>
      <c r="B1789" s="4">
        <v>352358779</v>
      </c>
    </row>
    <row r="1790" customHeight="1" spans="1:2">
      <c r="A1790" s="3" t="s">
        <v>1206</v>
      </c>
      <c r="B1790" s="4">
        <v>26871</v>
      </c>
    </row>
    <row r="1791" customHeight="1" spans="1:2">
      <c r="A1791" s="3" t="s">
        <v>19947</v>
      </c>
      <c r="B1791" s="4">
        <v>381225</v>
      </c>
    </row>
    <row r="1792" customHeight="1" spans="1:2">
      <c r="A1792" s="3" t="s">
        <v>16150</v>
      </c>
      <c r="B1792" s="4">
        <v>3713002</v>
      </c>
    </row>
    <row r="1793" customHeight="1" spans="1:2">
      <c r="A1793" s="3" t="s">
        <v>18166</v>
      </c>
      <c r="B1793" s="4"/>
    </row>
    <row r="1794" customHeight="1" spans="1:2">
      <c r="A1794" s="3" t="s">
        <v>15524</v>
      </c>
      <c r="B1794" s="4">
        <v>4306697</v>
      </c>
    </row>
    <row r="1795" customHeight="1" spans="1:2">
      <c r="A1795" s="3" t="s">
        <v>13505</v>
      </c>
      <c r="B1795" s="4">
        <v>4273372</v>
      </c>
    </row>
    <row r="1796" customHeight="1" spans="1:2">
      <c r="A1796" s="3" t="s">
        <v>8357</v>
      </c>
      <c r="B1796" s="4">
        <v>35596227</v>
      </c>
    </row>
    <row r="1797" customHeight="1" spans="1:2">
      <c r="A1797" s="3" t="s">
        <v>21803</v>
      </c>
      <c r="B1797" s="4"/>
    </row>
    <row r="1798" customHeight="1" spans="1:2">
      <c r="A1798" s="3" t="s">
        <v>5751</v>
      </c>
      <c r="B1798" s="4">
        <v>72077000</v>
      </c>
    </row>
    <row r="1799" customHeight="1" spans="1:2">
      <c r="A1799" s="3" t="s">
        <v>8854</v>
      </c>
      <c r="B1799" s="4">
        <v>5702083</v>
      </c>
    </row>
    <row r="1800" customHeight="1" spans="1:2">
      <c r="A1800" s="3" t="s">
        <v>15504</v>
      </c>
      <c r="B1800" s="4">
        <v>5009677</v>
      </c>
    </row>
    <row r="1801" customHeight="1" spans="1:2">
      <c r="A1801" s="3" t="s">
        <v>18689</v>
      </c>
      <c r="B1801" s="4">
        <v>2981638</v>
      </c>
    </row>
    <row r="1802" customHeight="1" spans="1:2">
      <c r="A1802" s="3" t="s">
        <v>21329</v>
      </c>
      <c r="B1802" s="4"/>
    </row>
    <row r="1803" customHeight="1" spans="1:2">
      <c r="A1803" s="3" t="s">
        <v>15225</v>
      </c>
      <c r="B1803" s="4">
        <v>64267897</v>
      </c>
    </row>
    <row r="1804" customHeight="1" spans="1:2">
      <c r="A1804" s="3" t="s">
        <v>24088</v>
      </c>
      <c r="B1804" s="4"/>
    </row>
    <row r="1805" customHeight="1" spans="1:2">
      <c r="A1805" s="3" t="s">
        <v>22381</v>
      </c>
      <c r="B1805" s="4"/>
    </row>
    <row r="1806" customHeight="1" spans="1:2">
      <c r="A1806" s="3" t="s">
        <v>9657</v>
      </c>
      <c r="B1806" s="4">
        <v>44469602</v>
      </c>
    </row>
    <row r="1807" customHeight="1" spans="1:2">
      <c r="A1807" s="3" t="s">
        <v>16891</v>
      </c>
      <c r="B1807" s="4">
        <v>2181290</v>
      </c>
    </row>
    <row r="1808" customHeight="1" spans="1:2">
      <c r="A1808" s="3" t="s">
        <v>3933</v>
      </c>
      <c r="B1808" s="4"/>
    </row>
    <row r="1809" customHeight="1" spans="1:2">
      <c r="A1809" s="3" t="s">
        <v>14775</v>
      </c>
      <c r="B1809" s="4">
        <v>2207975</v>
      </c>
    </row>
    <row r="1810" customHeight="1" spans="1:2">
      <c r="A1810" s="3" t="s">
        <v>13117</v>
      </c>
      <c r="B1810" s="4">
        <v>46300000</v>
      </c>
    </row>
    <row r="1811" customHeight="1" spans="1:2">
      <c r="A1811" s="3" t="s">
        <v>724</v>
      </c>
      <c r="B1811" s="4">
        <v>310675583</v>
      </c>
    </row>
    <row r="1812" customHeight="1" spans="1:2">
      <c r="A1812" s="3" t="s">
        <v>5760</v>
      </c>
      <c r="B1812" s="4">
        <v>163479795</v>
      </c>
    </row>
    <row r="1813" customHeight="1" spans="1:2">
      <c r="A1813" s="3" t="s">
        <v>16369</v>
      </c>
      <c r="B1813" s="4">
        <v>2956000</v>
      </c>
    </row>
    <row r="1814" customHeight="1" spans="1:2">
      <c r="A1814" s="3" t="s">
        <v>21342</v>
      </c>
      <c r="B1814" s="4"/>
    </row>
    <row r="1815" customHeight="1" spans="1:2">
      <c r="A1815" s="3" t="s">
        <v>3661</v>
      </c>
      <c r="B1815" s="4">
        <v>15519841</v>
      </c>
    </row>
    <row r="1816" customHeight="1" spans="1:2">
      <c r="A1816" s="3" t="s">
        <v>14547</v>
      </c>
      <c r="B1816" s="4">
        <v>1029017</v>
      </c>
    </row>
    <row r="1817" customHeight="1" spans="1:2">
      <c r="A1817" s="3" t="s">
        <v>4440</v>
      </c>
      <c r="B1817" s="4">
        <v>42071069</v>
      </c>
    </row>
    <row r="1818" customHeight="1" spans="1:2">
      <c r="A1818" s="3" t="s">
        <v>11589</v>
      </c>
      <c r="B1818" s="4">
        <v>37188667</v>
      </c>
    </row>
    <row r="1819" customHeight="1" spans="1:2">
      <c r="A1819" s="3" t="s">
        <v>5608</v>
      </c>
      <c r="B1819" s="4">
        <v>35063732</v>
      </c>
    </row>
    <row r="1820" customHeight="1" spans="1:2">
      <c r="A1820" s="3" t="s">
        <v>21627</v>
      </c>
      <c r="B1820" s="4"/>
    </row>
    <row r="1821" customHeight="1" spans="1:2">
      <c r="A1821" s="3" t="s">
        <v>6353</v>
      </c>
      <c r="B1821" s="4"/>
    </row>
    <row r="1822" customHeight="1" spans="1:2">
      <c r="A1822" s="3" t="s">
        <v>20170</v>
      </c>
      <c r="B1822" s="4"/>
    </row>
    <row r="1823" customHeight="1" spans="1:2">
      <c r="A1823" s="3" t="s">
        <v>5783</v>
      </c>
      <c r="B1823" s="4">
        <v>115648585</v>
      </c>
    </row>
    <row r="1824" customHeight="1" spans="1:2">
      <c r="A1824" s="3" t="s">
        <v>2967</v>
      </c>
      <c r="B1824" s="4">
        <v>51225796</v>
      </c>
    </row>
    <row r="1825" customHeight="1" spans="1:2">
      <c r="A1825" s="3" t="s">
        <v>19236</v>
      </c>
      <c r="B1825" s="4">
        <v>169719</v>
      </c>
    </row>
    <row r="1826" customHeight="1" spans="1:2">
      <c r="A1826" s="3" t="s">
        <v>12140</v>
      </c>
      <c r="B1826" s="4"/>
    </row>
    <row r="1827" customHeight="1" spans="1:2">
      <c r="A1827" s="3" t="s">
        <v>6960</v>
      </c>
      <c r="B1827" s="4">
        <v>134141530</v>
      </c>
    </row>
    <row r="1828" customHeight="1" spans="1:2">
      <c r="A1828" s="3" t="s">
        <v>22807</v>
      </c>
      <c r="B1828" s="4"/>
    </row>
    <row r="1829" customHeight="1" spans="1:2">
      <c r="A1829" s="3" t="s">
        <v>12892</v>
      </c>
      <c r="B1829" s="4">
        <v>228524</v>
      </c>
    </row>
    <row r="1830" customHeight="1" spans="1:2">
      <c r="A1830" s="3" t="s">
        <v>9998</v>
      </c>
      <c r="B1830" s="4">
        <v>2964</v>
      </c>
    </row>
    <row r="1831" customHeight="1" spans="1:2">
      <c r="A1831" s="3" t="s">
        <v>1713</v>
      </c>
      <c r="B1831" s="4">
        <v>193136719</v>
      </c>
    </row>
    <row r="1832" customHeight="1" spans="1:2">
      <c r="A1832" s="3" t="s">
        <v>19452</v>
      </c>
      <c r="B1832" s="4"/>
    </row>
    <row r="1833" customHeight="1" spans="1:2">
      <c r="A1833" s="3" t="s">
        <v>17032</v>
      </c>
      <c r="B1833" s="4"/>
    </row>
    <row r="1834" customHeight="1" spans="1:2">
      <c r="A1834" s="3" t="s">
        <v>12198</v>
      </c>
      <c r="B1834" s="4"/>
    </row>
    <row r="1835" customHeight="1" spans="1:2">
      <c r="A1835" s="3" t="s">
        <v>20613</v>
      </c>
      <c r="B1835" s="4"/>
    </row>
    <row r="1836" customHeight="1" spans="1:2">
      <c r="A1836" s="3" t="s">
        <v>5178</v>
      </c>
      <c r="B1836" s="4"/>
    </row>
    <row r="1837" customHeight="1" spans="1:2">
      <c r="A1837" s="3" t="s">
        <v>4635</v>
      </c>
      <c r="B1837" s="4">
        <v>652526</v>
      </c>
    </row>
    <row r="1838" customHeight="1" spans="1:2">
      <c r="A1838" s="3" t="s">
        <v>22478</v>
      </c>
      <c r="B1838" s="4"/>
    </row>
    <row r="1839" customHeight="1" spans="1:2">
      <c r="A1839" s="3" t="s">
        <v>14352</v>
      </c>
      <c r="B1839" s="4">
        <v>700000</v>
      </c>
    </row>
    <row r="1840" customHeight="1" spans="1:2">
      <c r="A1840" s="3" t="s">
        <v>23839</v>
      </c>
      <c r="B1840" s="4"/>
    </row>
    <row r="1841" customHeight="1" spans="1:2">
      <c r="A1841" s="3" t="s">
        <v>16559</v>
      </c>
      <c r="B1841" s="4"/>
    </row>
    <row r="1842" customHeight="1" spans="1:2">
      <c r="A1842" s="3" t="s">
        <v>16754</v>
      </c>
      <c r="B1842" s="4"/>
    </row>
    <row r="1843" customHeight="1" spans="1:2">
      <c r="A1843" s="3" t="s">
        <v>19266</v>
      </c>
      <c r="B1843" s="4"/>
    </row>
    <row r="1844" customHeight="1" spans="1:2">
      <c r="A1844" s="3" t="s">
        <v>11597</v>
      </c>
      <c r="B1844" s="4">
        <v>31691811</v>
      </c>
    </row>
    <row r="1845" customHeight="1" spans="1:2">
      <c r="A1845" s="3" t="s">
        <v>20762</v>
      </c>
      <c r="B1845" s="4"/>
    </row>
    <row r="1846" customHeight="1" spans="1:2">
      <c r="A1846" s="3" t="s">
        <v>16688</v>
      </c>
      <c r="B1846" s="4">
        <v>16501785</v>
      </c>
    </row>
    <row r="1847" customHeight="1" spans="1:2">
      <c r="A1847" s="3" t="s">
        <v>22928</v>
      </c>
      <c r="B1847" s="4"/>
    </row>
    <row r="1848" customHeight="1" spans="1:2">
      <c r="A1848" s="3" t="s">
        <v>9447</v>
      </c>
      <c r="B1848" s="4"/>
    </row>
    <row r="1849" customHeight="1" spans="1:2">
      <c r="A1849" s="3" t="s">
        <v>7528</v>
      </c>
      <c r="B1849" s="4">
        <v>1512815</v>
      </c>
    </row>
    <row r="1850" customHeight="1" spans="1:2">
      <c r="A1850" s="3" t="s">
        <v>21384</v>
      </c>
      <c r="B1850" s="4"/>
    </row>
    <row r="1851" customHeight="1" spans="1:2">
      <c r="A1851" s="3" t="s">
        <v>11458</v>
      </c>
      <c r="B1851" s="4"/>
    </row>
    <row r="1852" customHeight="1" spans="1:2">
      <c r="A1852" s="3" t="s">
        <v>9690</v>
      </c>
      <c r="B1852" s="4">
        <v>8662318</v>
      </c>
    </row>
    <row r="1853" customHeight="1" spans="1:2">
      <c r="A1853" s="3" t="s">
        <v>822</v>
      </c>
      <c r="B1853" s="4">
        <v>61656849</v>
      </c>
    </row>
    <row r="1854" customHeight="1" spans="1:2">
      <c r="A1854" s="3" t="s">
        <v>1712</v>
      </c>
      <c r="B1854" s="4">
        <v>229074524</v>
      </c>
    </row>
    <row r="1855" customHeight="1" spans="1:2">
      <c r="A1855" s="3" t="s">
        <v>13106</v>
      </c>
      <c r="B1855" s="4">
        <v>225377</v>
      </c>
    </row>
    <row r="1856" customHeight="1" spans="1:2">
      <c r="A1856" s="3" t="s">
        <v>19736</v>
      </c>
      <c r="B1856" s="4">
        <v>12438</v>
      </c>
    </row>
    <row r="1857" customHeight="1" spans="1:2">
      <c r="A1857" s="3" t="s">
        <v>2643</v>
      </c>
      <c r="B1857" s="4">
        <v>30695227</v>
      </c>
    </row>
    <row r="1858" customHeight="1" spans="1:2">
      <c r="A1858" s="3" t="s">
        <v>20047</v>
      </c>
      <c r="B1858" s="4"/>
    </row>
    <row r="1859" customHeight="1" spans="1:2">
      <c r="A1859" s="3" t="s">
        <v>11884</v>
      </c>
      <c r="B1859" s="4">
        <v>190666</v>
      </c>
    </row>
    <row r="1860" customHeight="1" spans="1:2">
      <c r="A1860" s="3" t="s">
        <v>2084</v>
      </c>
      <c r="B1860" s="4">
        <v>7097125</v>
      </c>
    </row>
    <row r="1861" customHeight="1" spans="1:2">
      <c r="A1861" s="3" t="s">
        <v>23577</v>
      </c>
      <c r="B1861" s="4"/>
    </row>
    <row r="1862" customHeight="1" spans="1:2">
      <c r="A1862" s="3" t="s">
        <v>18727</v>
      </c>
      <c r="B1862" s="4">
        <v>80021740</v>
      </c>
    </row>
    <row r="1863" customHeight="1" spans="1:2">
      <c r="A1863" s="3" t="s">
        <v>3790</v>
      </c>
      <c r="B1863" s="4">
        <v>48114556</v>
      </c>
    </row>
    <row r="1864" customHeight="1" spans="1:2">
      <c r="A1864" s="3" t="s">
        <v>17558</v>
      </c>
      <c r="B1864" s="4"/>
    </row>
    <row r="1865" customHeight="1" spans="1:2">
      <c r="A1865" s="3" t="s">
        <v>10247</v>
      </c>
      <c r="B1865" s="4">
        <v>35007180</v>
      </c>
    </row>
    <row r="1866" customHeight="1" spans="1:2">
      <c r="A1866" s="3" t="s">
        <v>14583</v>
      </c>
      <c r="B1866" s="4">
        <v>181360000</v>
      </c>
    </row>
    <row r="1867" customHeight="1" spans="1:2">
      <c r="A1867" s="3" t="s">
        <v>24149</v>
      </c>
      <c r="B1867" s="4"/>
    </row>
    <row r="1868" customHeight="1" spans="1:2">
      <c r="A1868" s="3" t="s">
        <v>21462</v>
      </c>
      <c r="B1868" s="4"/>
    </row>
    <row r="1869" customHeight="1" spans="1:2">
      <c r="A1869" s="3" t="s">
        <v>22517</v>
      </c>
      <c r="B1869" s="4"/>
    </row>
    <row r="1870" customHeight="1" spans="1:2">
      <c r="A1870" s="3" t="s">
        <v>202</v>
      </c>
      <c r="B1870" s="4">
        <v>166112167</v>
      </c>
    </row>
    <row r="1871" customHeight="1" spans="1:2">
      <c r="A1871" s="3" t="s">
        <v>18614</v>
      </c>
      <c r="B1871" s="4">
        <v>9701559</v>
      </c>
    </row>
    <row r="1872" customHeight="1" spans="1:2">
      <c r="A1872" s="3" t="s">
        <v>17360</v>
      </c>
      <c r="B1872" s="4">
        <v>565592</v>
      </c>
    </row>
    <row r="1873" customHeight="1" spans="1:2">
      <c r="A1873" s="3" t="s">
        <v>7798</v>
      </c>
      <c r="B1873" s="4">
        <v>50728000</v>
      </c>
    </row>
    <row r="1874" customHeight="1" spans="1:2">
      <c r="A1874" s="3" t="s">
        <v>6201</v>
      </c>
      <c r="B1874" s="4">
        <v>14208384</v>
      </c>
    </row>
    <row r="1875" customHeight="1" spans="1:2">
      <c r="A1875" s="3" t="s">
        <v>16188</v>
      </c>
      <c r="B1875" s="4">
        <v>1429260</v>
      </c>
    </row>
    <row r="1876" customHeight="1" spans="1:2">
      <c r="A1876" s="3" t="s">
        <v>210</v>
      </c>
      <c r="B1876" s="4">
        <v>291709845</v>
      </c>
    </row>
    <row r="1877" customHeight="1" spans="1:2">
      <c r="A1877" s="3" t="s">
        <v>15177</v>
      </c>
      <c r="B1877" s="4"/>
    </row>
    <row r="1878" customHeight="1" spans="1:2">
      <c r="A1878" s="3" t="s">
        <v>3309</v>
      </c>
      <c r="B1878" s="4">
        <v>48745150</v>
      </c>
    </row>
    <row r="1879" customHeight="1" spans="1:2">
      <c r="A1879" s="3" t="s">
        <v>22038</v>
      </c>
      <c r="B1879" s="4"/>
    </row>
    <row r="1880" customHeight="1" spans="1:2">
      <c r="A1880" s="3" t="s">
        <v>22832</v>
      </c>
      <c r="B1880" s="4"/>
    </row>
    <row r="1881" customHeight="1" spans="1:2">
      <c r="A1881" s="3" t="s">
        <v>23486</v>
      </c>
      <c r="B1881" s="4"/>
    </row>
    <row r="1882" customHeight="1" spans="1:2">
      <c r="A1882" s="3" t="s">
        <v>13912</v>
      </c>
      <c r="B1882" s="4"/>
    </row>
    <row r="1883" customHeight="1" spans="1:2">
      <c r="A1883" s="3" t="s">
        <v>20524</v>
      </c>
      <c r="B1883" s="4"/>
    </row>
    <row r="1884" customHeight="1" spans="1:2">
      <c r="A1884" s="3" t="s">
        <v>10045</v>
      </c>
      <c r="B1884" s="4">
        <v>177200000</v>
      </c>
    </row>
    <row r="1885" customHeight="1" spans="1:2">
      <c r="A1885" s="3" t="s">
        <v>360</v>
      </c>
      <c r="B1885" s="4">
        <v>256386216</v>
      </c>
    </row>
    <row r="1886" customHeight="1" spans="1:2">
      <c r="A1886" s="3" t="s">
        <v>11486</v>
      </c>
      <c r="B1886" s="4">
        <v>1039869</v>
      </c>
    </row>
    <row r="1887" customHeight="1" spans="1:2">
      <c r="A1887" s="3" t="s">
        <v>22423</v>
      </c>
      <c r="B1887" s="4"/>
    </row>
    <row r="1888" customHeight="1" spans="1:2">
      <c r="A1888" s="3" t="s">
        <v>13859</v>
      </c>
      <c r="B1888" s="4">
        <v>108662</v>
      </c>
    </row>
    <row r="1889" customHeight="1" spans="1:2">
      <c r="A1889" s="3" t="s">
        <v>2408</v>
      </c>
      <c r="B1889" s="4">
        <v>125603360</v>
      </c>
    </row>
    <row r="1890" customHeight="1" spans="1:2">
      <c r="A1890" s="3" t="s">
        <v>18378</v>
      </c>
      <c r="B1890" s="4">
        <v>55153403</v>
      </c>
    </row>
    <row r="1891" customHeight="1" spans="1:2">
      <c r="A1891" s="3" t="s">
        <v>19599</v>
      </c>
      <c r="B1891" s="4">
        <v>1293295</v>
      </c>
    </row>
    <row r="1892" customHeight="1" spans="1:2">
      <c r="A1892" s="3" t="s">
        <v>10524</v>
      </c>
      <c r="B1892" s="4">
        <v>9396487</v>
      </c>
    </row>
    <row r="1893" customHeight="1" spans="1:2">
      <c r="A1893" s="3" t="s">
        <v>8361</v>
      </c>
      <c r="B1893" s="4">
        <v>35422828</v>
      </c>
    </row>
    <row r="1894" customHeight="1" spans="1:2">
      <c r="A1894" s="3" t="s">
        <v>18740</v>
      </c>
      <c r="B1894" s="4"/>
    </row>
    <row r="1895" customHeight="1" spans="1:2">
      <c r="A1895" s="3" t="s">
        <v>5227</v>
      </c>
      <c r="B1895" s="4"/>
    </row>
    <row r="1896" customHeight="1" spans="1:2">
      <c r="A1896" s="3" t="s">
        <v>7807</v>
      </c>
      <c r="B1896" s="4">
        <v>51483949</v>
      </c>
    </row>
    <row r="1897" customHeight="1" spans="1:2">
      <c r="A1897" s="3" t="s">
        <v>5145</v>
      </c>
      <c r="B1897" s="4">
        <v>41954997</v>
      </c>
    </row>
    <row r="1898" customHeight="1" spans="1:2">
      <c r="A1898" s="3" t="s">
        <v>9656</v>
      </c>
      <c r="B1898" s="4">
        <v>22734486</v>
      </c>
    </row>
    <row r="1899" customHeight="1" spans="1:2">
      <c r="A1899" s="3" t="s">
        <v>5556</v>
      </c>
      <c r="B1899" s="4">
        <v>173381405</v>
      </c>
    </row>
    <row r="1900" customHeight="1" spans="1:2">
      <c r="A1900" s="3" t="s">
        <v>12521</v>
      </c>
      <c r="B1900" s="4">
        <v>15102127</v>
      </c>
    </row>
    <row r="1901" customHeight="1" spans="1:2">
      <c r="A1901" s="3" t="s">
        <v>23719</v>
      </c>
      <c r="B1901" s="4"/>
    </row>
    <row r="1902" customHeight="1" spans="1:2">
      <c r="A1902" s="3" t="s">
        <v>5621</v>
      </c>
      <c r="B1902" s="4"/>
    </row>
    <row r="1903" customHeight="1" spans="1:2">
      <c r="A1903" s="3" t="s">
        <v>18287</v>
      </c>
      <c r="B1903" s="4">
        <v>695229</v>
      </c>
    </row>
    <row r="1904" customHeight="1" spans="1:2">
      <c r="A1904" s="3" t="s">
        <v>7165</v>
      </c>
      <c r="B1904" s="4">
        <v>25590119</v>
      </c>
    </row>
    <row r="1905" customHeight="1" spans="1:2">
      <c r="A1905" s="3" t="s">
        <v>21273</v>
      </c>
      <c r="B1905" s="4"/>
    </row>
    <row r="1906" customHeight="1" spans="1:2">
      <c r="A1906" s="3" t="s">
        <v>1926</v>
      </c>
      <c r="B1906" s="4">
        <v>141204016</v>
      </c>
    </row>
    <row r="1907" customHeight="1" spans="1:2">
      <c r="A1907" s="3" t="s">
        <v>22739</v>
      </c>
      <c r="B1907" s="4"/>
    </row>
    <row r="1908" customHeight="1" spans="1:2">
      <c r="A1908" s="3" t="s">
        <v>22445</v>
      </c>
      <c r="B1908" s="4"/>
    </row>
    <row r="1909" customHeight="1" spans="1:2">
      <c r="A1909" s="3" t="s">
        <v>9028</v>
      </c>
      <c r="B1909" s="4">
        <v>51431160</v>
      </c>
    </row>
    <row r="1910" customHeight="1" spans="1:2">
      <c r="A1910" s="3" t="s">
        <v>13310</v>
      </c>
      <c r="B1910" s="4">
        <v>4350774</v>
      </c>
    </row>
    <row r="1911" customHeight="1" spans="1:2">
      <c r="A1911" s="3" t="s">
        <v>24066</v>
      </c>
      <c r="B1911" s="4"/>
    </row>
    <row r="1912" customHeight="1" spans="1:2">
      <c r="A1912" s="3" t="s">
        <v>2851</v>
      </c>
      <c r="B1912" s="4">
        <v>98711404</v>
      </c>
    </row>
    <row r="1913" customHeight="1" spans="1:2">
      <c r="A1913" s="3" t="s">
        <v>21573</v>
      </c>
      <c r="B1913" s="4"/>
    </row>
    <row r="1914" customHeight="1" spans="1:2">
      <c r="A1914" s="3" t="s">
        <v>16836</v>
      </c>
      <c r="B1914" s="4"/>
    </row>
    <row r="1915" customHeight="1" spans="1:2">
      <c r="A1915" s="3" t="s">
        <v>18826</v>
      </c>
      <c r="B1915" s="4">
        <v>12996</v>
      </c>
    </row>
    <row r="1916" customHeight="1" spans="1:2">
      <c r="A1916" s="3" t="s">
        <v>18828</v>
      </c>
      <c r="B1916" s="4">
        <v>10018</v>
      </c>
    </row>
    <row r="1917" customHeight="1" spans="1:2">
      <c r="A1917" s="3" t="s">
        <v>18544</v>
      </c>
      <c r="B1917" s="4"/>
    </row>
    <row r="1918" customHeight="1" spans="1:2">
      <c r="A1918" s="3" t="s">
        <v>10748</v>
      </c>
      <c r="B1918" s="4"/>
    </row>
    <row r="1919" customHeight="1" spans="1:2">
      <c r="A1919" s="3" t="s">
        <v>10845</v>
      </c>
      <c r="B1919" s="4">
        <v>49122319</v>
      </c>
    </row>
    <row r="1920" customHeight="1" spans="1:2">
      <c r="A1920" s="3" t="s">
        <v>17778</v>
      </c>
      <c r="B1920" s="4"/>
    </row>
    <row r="1921" customHeight="1" spans="1:2">
      <c r="A1921" s="3" t="s">
        <v>12417</v>
      </c>
      <c r="B1921" s="4">
        <v>20384136</v>
      </c>
    </row>
    <row r="1922" customHeight="1" spans="1:2">
      <c r="A1922" s="3" t="s">
        <v>3689</v>
      </c>
      <c r="B1922" s="4">
        <v>10539414</v>
      </c>
    </row>
    <row r="1923" customHeight="1" spans="1:2">
      <c r="A1923" s="3" t="s">
        <v>23209</v>
      </c>
      <c r="B1923" s="4"/>
    </row>
    <row r="1924" customHeight="1" spans="1:2">
      <c r="A1924" s="3" t="s">
        <v>21994</v>
      </c>
      <c r="B1924" s="4"/>
    </row>
    <row r="1925" customHeight="1" spans="1:2">
      <c r="A1925" s="3" t="s">
        <v>14582</v>
      </c>
      <c r="B1925" s="4">
        <v>2122561</v>
      </c>
    </row>
    <row r="1926" customHeight="1" spans="1:2">
      <c r="A1926" s="3" t="s">
        <v>770</v>
      </c>
      <c r="B1926" s="4">
        <v>125531634</v>
      </c>
    </row>
    <row r="1927" customHeight="1" spans="1:2">
      <c r="A1927" s="3" t="s">
        <v>8232</v>
      </c>
      <c r="B1927" s="4">
        <v>69148997</v>
      </c>
    </row>
    <row r="1928" customHeight="1" spans="1:2">
      <c r="A1928" s="3" t="s">
        <v>12942</v>
      </c>
      <c r="B1928" s="4">
        <v>100503</v>
      </c>
    </row>
    <row r="1929" customHeight="1" spans="1:2">
      <c r="A1929" s="3" t="s">
        <v>6158</v>
      </c>
      <c r="B1929" s="4">
        <v>18500966</v>
      </c>
    </row>
    <row r="1930" customHeight="1" spans="1:2">
      <c r="A1930" s="3" t="s">
        <v>23239</v>
      </c>
      <c r="B1930" s="4"/>
    </row>
    <row r="1931" customHeight="1" spans="1:2">
      <c r="A1931" s="3" t="s">
        <v>15182</v>
      </c>
      <c r="B1931" s="4">
        <v>795126</v>
      </c>
    </row>
    <row r="1932" customHeight="1" spans="1:2">
      <c r="A1932" s="3" t="s">
        <v>9569</v>
      </c>
      <c r="B1932" s="4"/>
    </row>
    <row r="1933" customHeight="1" spans="1:2">
      <c r="A1933" s="3" t="s">
        <v>23551</v>
      </c>
      <c r="B1933" s="4"/>
    </row>
    <row r="1934" customHeight="1" spans="1:2">
      <c r="A1934" s="3" t="s">
        <v>23280</v>
      </c>
      <c r="B1934" s="4"/>
    </row>
    <row r="1935" customHeight="1" spans="1:2">
      <c r="A1935" s="3" t="s">
        <v>16946</v>
      </c>
      <c r="B1935" s="4">
        <v>1007535</v>
      </c>
    </row>
    <row r="1936" customHeight="1" spans="1:2">
      <c r="A1936" s="3" t="s">
        <v>21599</v>
      </c>
      <c r="B1936" s="4"/>
    </row>
    <row r="1937" customHeight="1" spans="1:2">
      <c r="A1937" s="3" t="s">
        <v>16964</v>
      </c>
      <c r="B1937" s="4">
        <v>95016</v>
      </c>
    </row>
    <row r="1938" customHeight="1" spans="1:2">
      <c r="A1938" s="3" t="s">
        <v>2740</v>
      </c>
      <c r="B1938" s="4">
        <v>10166502</v>
      </c>
    </row>
    <row r="1939" customHeight="1" spans="1:2">
      <c r="A1939" s="3" t="s">
        <v>11774</v>
      </c>
      <c r="B1939" s="4">
        <v>5032496</v>
      </c>
    </row>
    <row r="1940" customHeight="1" spans="1:2">
      <c r="A1940" s="3" t="s">
        <v>22492</v>
      </c>
      <c r="B1940" s="4"/>
    </row>
    <row r="1941" customHeight="1" spans="1:2">
      <c r="A1941" s="3" t="s">
        <v>14832</v>
      </c>
      <c r="B1941" s="4">
        <v>399611</v>
      </c>
    </row>
    <row r="1942" customHeight="1" spans="1:2">
      <c r="A1942" s="3" t="s">
        <v>1546</v>
      </c>
      <c r="B1942" s="4">
        <v>65948711</v>
      </c>
    </row>
    <row r="1943" customHeight="1" spans="1:2">
      <c r="A1943" s="3" t="s">
        <v>3224</v>
      </c>
      <c r="B1943" s="4">
        <v>127997349</v>
      </c>
    </row>
    <row r="1944" customHeight="1" spans="1:2">
      <c r="A1944" s="3" t="s">
        <v>15987</v>
      </c>
      <c r="B1944" s="4">
        <v>36000000</v>
      </c>
    </row>
    <row r="1945" customHeight="1" spans="1:2">
      <c r="A1945" s="3" t="s">
        <v>3799</v>
      </c>
      <c r="B1945" s="4">
        <v>46280507</v>
      </c>
    </row>
    <row r="1946" customHeight="1" spans="1:2">
      <c r="A1946" s="3" t="s">
        <v>14721</v>
      </c>
      <c r="B1946" s="4">
        <v>8596914</v>
      </c>
    </row>
    <row r="1947" customHeight="1" spans="1:2">
      <c r="A1947" s="3" t="s">
        <v>1917</v>
      </c>
      <c r="B1947" s="4">
        <v>227965690</v>
      </c>
    </row>
    <row r="1948" customHeight="1" spans="1:2">
      <c r="A1948" s="3" t="s">
        <v>10906</v>
      </c>
      <c r="B1948" s="4">
        <v>16298046</v>
      </c>
    </row>
    <row r="1949" customHeight="1" spans="1:2">
      <c r="A1949" s="3" t="s">
        <v>22435</v>
      </c>
      <c r="B1949" s="4"/>
    </row>
    <row r="1950" customHeight="1" spans="1:2">
      <c r="A1950" s="3" t="s">
        <v>9004</v>
      </c>
      <c r="B1950" s="4"/>
    </row>
    <row r="1951" customHeight="1" spans="1:2">
      <c r="A1951" s="3" t="s">
        <v>22174</v>
      </c>
      <c r="B1951" s="4"/>
    </row>
    <row r="1952" customHeight="1" spans="1:2">
      <c r="A1952" s="3" t="s">
        <v>3331</v>
      </c>
      <c r="B1952" s="4">
        <v>44737059</v>
      </c>
    </row>
    <row r="1953" customHeight="1" spans="1:2">
      <c r="A1953" s="3" t="s">
        <v>19120</v>
      </c>
      <c r="B1953" s="4"/>
    </row>
    <row r="1954" customHeight="1" spans="1:2">
      <c r="A1954" s="3" t="s">
        <v>17421</v>
      </c>
      <c r="B1954" s="4"/>
    </row>
    <row r="1955" customHeight="1" spans="1:2">
      <c r="A1955" s="3" t="s">
        <v>15168</v>
      </c>
      <c r="B1955" s="4">
        <v>1196752</v>
      </c>
    </row>
    <row r="1956" customHeight="1" spans="1:2">
      <c r="A1956" s="3" t="s">
        <v>6898</v>
      </c>
      <c r="B1956" s="4">
        <v>145000989</v>
      </c>
    </row>
    <row r="1957" customHeight="1" spans="1:2">
      <c r="A1957" s="3" t="s">
        <v>14776</v>
      </c>
      <c r="B1957" s="4">
        <v>2025238</v>
      </c>
    </row>
    <row r="1958" customHeight="1" spans="1:2">
      <c r="A1958" s="3" t="s">
        <v>16322</v>
      </c>
      <c r="B1958" s="4"/>
    </row>
    <row r="1959" customHeight="1" spans="1:2">
      <c r="A1959" s="3" t="s">
        <v>1899</v>
      </c>
      <c r="B1959" s="4">
        <v>27796042</v>
      </c>
    </row>
    <row r="1960" customHeight="1" spans="1:2">
      <c r="A1960" s="3" t="s">
        <v>21239</v>
      </c>
      <c r="B1960" s="4"/>
    </row>
    <row r="1961" customHeight="1" spans="1:2">
      <c r="A1961" s="3" t="s">
        <v>7458</v>
      </c>
      <c r="B1961" s="4">
        <v>85433</v>
      </c>
    </row>
    <row r="1962" customHeight="1" spans="1:2">
      <c r="A1962" s="3" t="s">
        <v>21698</v>
      </c>
      <c r="B1962" s="4"/>
    </row>
    <row r="1963" customHeight="1" spans="1:2">
      <c r="A1963" s="3" t="s">
        <v>1699</v>
      </c>
      <c r="B1963" s="4">
        <v>323505540</v>
      </c>
    </row>
    <row r="1964" customHeight="1" spans="1:2">
      <c r="A1964" s="3" t="s">
        <v>19719</v>
      </c>
      <c r="B1964" s="4">
        <v>255352</v>
      </c>
    </row>
    <row r="1965" customHeight="1" spans="1:2">
      <c r="A1965" s="3" t="s">
        <v>122</v>
      </c>
      <c r="B1965" s="4">
        <v>268488329</v>
      </c>
    </row>
    <row r="1966" customHeight="1" spans="1:2">
      <c r="A1966" s="3" t="s">
        <v>18251</v>
      </c>
      <c r="B1966" s="4">
        <v>304124</v>
      </c>
    </row>
    <row r="1967" customHeight="1" spans="1:2">
      <c r="A1967" s="3" t="s">
        <v>21455</v>
      </c>
      <c r="B1967" s="4"/>
    </row>
    <row r="1968" customHeight="1" spans="1:2">
      <c r="A1968" s="3" t="s">
        <v>11857</v>
      </c>
      <c r="B1968" s="4">
        <v>141853</v>
      </c>
    </row>
    <row r="1969" customHeight="1" spans="1:2">
      <c r="A1969" s="3" t="s">
        <v>1986</v>
      </c>
      <c r="B1969" s="4">
        <v>70117571</v>
      </c>
    </row>
    <row r="1970" customHeight="1" spans="1:2">
      <c r="A1970" s="3" t="s">
        <v>7532</v>
      </c>
      <c r="B1970" s="4">
        <v>65182182</v>
      </c>
    </row>
    <row r="1971" customHeight="1" spans="1:2">
      <c r="A1971" s="3" t="s">
        <v>8307</v>
      </c>
      <c r="B1971" s="4">
        <v>45542421</v>
      </c>
    </row>
    <row r="1972" customHeight="1" spans="1:2">
      <c r="A1972" s="3" t="s">
        <v>11937</v>
      </c>
      <c r="B1972" s="4">
        <v>48856</v>
      </c>
    </row>
    <row r="1973" customHeight="1" spans="1:2">
      <c r="A1973" s="3" t="s">
        <v>17433</v>
      </c>
      <c r="B1973" s="4">
        <v>313436</v>
      </c>
    </row>
    <row r="1974" customHeight="1" spans="1:2">
      <c r="A1974" s="3" t="s">
        <v>16107</v>
      </c>
      <c r="B1974" s="4">
        <v>4613815</v>
      </c>
    </row>
    <row r="1975" customHeight="1" spans="1:2">
      <c r="A1975" s="3" t="s">
        <v>5581</v>
      </c>
      <c r="B1975" s="4">
        <v>50041732</v>
      </c>
    </row>
    <row r="1976" customHeight="1" spans="1:2">
      <c r="A1976" s="3" t="s">
        <v>19259</v>
      </c>
      <c r="B1976" s="4">
        <v>3000000</v>
      </c>
    </row>
    <row r="1977" customHeight="1" spans="1:2">
      <c r="A1977" s="3" t="s">
        <v>20997</v>
      </c>
      <c r="B1977" s="4"/>
    </row>
    <row r="1978" customHeight="1" spans="1:2">
      <c r="A1978" s="3" t="s">
        <v>16570</v>
      </c>
      <c r="B1978" s="4"/>
    </row>
    <row r="1979" customHeight="1" spans="1:2">
      <c r="A1979" s="3" t="s">
        <v>4612</v>
      </c>
      <c r="B1979" s="4">
        <v>4835968</v>
      </c>
    </row>
    <row r="1980" customHeight="1" spans="1:2">
      <c r="A1980" s="3" t="s">
        <v>2344</v>
      </c>
      <c r="B1980" s="4">
        <v>77086030</v>
      </c>
    </row>
    <row r="1981" customHeight="1" spans="1:2">
      <c r="A1981" s="3" t="s">
        <v>3986</v>
      </c>
      <c r="B1981" s="4">
        <v>29113588</v>
      </c>
    </row>
    <row r="1982" customHeight="1" spans="1:2">
      <c r="A1982" s="3" t="s">
        <v>417</v>
      </c>
      <c r="B1982" s="4">
        <v>165230261</v>
      </c>
    </row>
    <row r="1983" customHeight="1" spans="1:2">
      <c r="A1983" s="3" t="s">
        <v>4104</v>
      </c>
      <c r="B1983" s="4">
        <v>22108977</v>
      </c>
    </row>
    <row r="1984" customHeight="1" spans="1:2">
      <c r="A1984" s="3" t="s">
        <v>11868</v>
      </c>
      <c r="B1984" s="4">
        <v>195888</v>
      </c>
    </row>
    <row r="1985" customHeight="1" spans="1:2">
      <c r="A1985" s="3" t="s">
        <v>3354</v>
      </c>
      <c r="B1985" s="4">
        <v>41482207</v>
      </c>
    </row>
    <row r="1986" customHeight="1" spans="1:2">
      <c r="A1986" s="3" t="s">
        <v>15845</v>
      </c>
      <c r="B1986" s="4">
        <v>3798532</v>
      </c>
    </row>
    <row r="1987" customHeight="1" spans="1:2">
      <c r="A1987" s="3" t="s">
        <v>17190</v>
      </c>
      <c r="B1987" s="4">
        <v>475000</v>
      </c>
    </row>
    <row r="1988" customHeight="1" spans="1:2">
      <c r="A1988" s="3" t="s">
        <v>13659</v>
      </c>
      <c r="B1988" s="4">
        <v>18811135</v>
      </c>
    </row>
    <row r="1989" customHeight="1" spans="1:2">
      <c r="A1989" s="3" t="s">
        <v>19559</v>
      </c>
      <c r="B1989" s="4">
        <v>768045</v>
      </c>
    </row>
    <row r="1990" customHeight="1" spans="1:2">
      <c r="A1990" s="3" t="s">
        <v>22818</v>
      </c>
      <c r="B1990" s="4"/>
    </row>
    <row r="1991" customHeight="1" spans="1:2">
      <c r="A1991" s="3" t="s">
        <v>22175</v>
      </c>
      <c r="B1991" s="4"/>
    </row>
    <row r="1992" customHeight="1" spans="1:2">
      <c r="A1992" s="3" t="s">
        <v>22062</v>
      </c>
      <c r="B1992" s="4"/>
    </row>
    <row r="1993" customHeight="1" spans="1:2">
      <c r="A1993" s="3" t="s">
        <v>1586</v>
      </c>
      <c r="B1993" s="4"/>
    </row>
    <row r="1994" customHeight="1" spans="1:2">
      <c r="A1994" s="3" t="s">
        <v>21792</v>
      </c>
      <c r="B1994" s="4"/>
    </row>
    <row r="1995" customHeight="1" spans="1:2">
      <c r="A1995" s="3" t="s">
        <v>2364</v>
      </c>
      <c r="B1995" s="4">
        <v>118153533</v>
      </c>
    </row>
    <row r="1996" customHeight="1" spans="1:2">
      <c r="A1996" s="3" t="s">
        <v>10545</v>
      </c>
      <c r="B1996" s="4">
        <v>8586376</v>
      </c>
    </row>
    <row r="1997" customHeight="1" spans="1:2">
      <c r="A1997" s="3" t="s">
        <v>16843</v>
      </c>
      <c r="B1997" s="4">
        <v>4142507</v>
      </c>
    </row>
    <row r="1998" customHeight="1" spans="1:2">
      <c r="A1998" s="3" t="s">
        <v>21119</v>
      </c>
      <c r="B1998" s="4"/>
    </row>
    <row r="1999" customHeight="1" spans="1:2">
      <c r="A1999" s="3" t="s">
        <v>13992</v>
      </c>
      <c r="B1999" s="4">
        <v>206400</v>
      </c>
    </row>
    <row r="2000" customHeight="1" spans="1:2">
      <c r="A2000" s="3" t="s">
        <v>22922</v>
      </c>
      <c r="B2000" s="4"/>
    </row>
    <row r="2001" customHeight="1" spans="1:2">
      <c r="A2001" s="3" t="s">
        <v>18549</v>
      </c>
      <c r="B2001" s="4"/>
    </row>
    <row r="2002" customHeight="1" spans="1:2">
      <c r="A2002" s="3" t="s">
        <v>13921</v>
      </c>
      <c r="B2002" s="4">
        <v>43490057</v>
      </c>
    </row>
    <row r="2003" customHeight="1" spans="1:2">
      <c r="A2003" s="3" t="s">
        <v>21885</v>
      </c>
      <c r="B2003" s="4"/>
    </row>
    <row r="2004" customHeight="1" spans="1:2">
      <c r="A2004" s="3" t="s">
        <v>2399</v>
      </c>
      <c r="B2004" s="4">
        <v>106635996</v>
      </c>
    </row>
    <row r="2005" customHeight="1" spans="1:2">
      <c r="A2005" s="3" t="s">
        <v>23726</v>
      </c>
      <c r="B2005" s="4"/>
    </row>
    <row r="2006" customHeight="1" spans="1:2">
      <c r="A2006" s="3" t="s">
        <v>14569</v>
      </c>
      <c r="B2006" s="4">
        <v>449558</v>
      </c>
    </row>
    <row r="2007" customHeight="1" spans="1:2">
      <c r="A2007" s="3" t="s">
        <v>19768</v>
      </c>
      <c r="B2007" s="4"/>
    </row>
    <row r="2008" customHeight="1" spans="1:2">
      <c r="A2008" s="3" t="s">
        <v>2263</v>
      </c>
      <c r="B2008" s="4">
        <v>36064910</v>
      </c>
    </row>
    <row r="2009" customHeight="1" spans="1:2">
      <c r="A2009" s="3" t="s">
        <v>13280</v>
      </c>
      <c r="B2009" s="4">
        <v>11827301</v>
      </c>
    </row>
    <row r="2010" customHeight="1" spans="1:2">
      <c r="A2010" s="3" t="s">
        <v>20875</v>
      </c>
      <c r="B2010" s="4"/>
    </row>
    <row r="2011" customHeight="1" spans="1:2">
      <c r="A2011" s="3" t="s">
        <v>3533</v>
      </c>
      <c r="B2011" s="4">
        <v>8742261</v>
      </c>
    </row>
    <row r="2012" customHeight="1" spans="1:2">
      <c r="A2012" s="3" t="s">
        <v>21324</v>
      </c>
      <c r="B2012" s="4"/>
    </row>
    <row r="2013" customHeight="1" spans="1:2">
      <c r="A2013" s="3" t="s">
        <v>20265</v>
      </c>
      <c r="B2013" s="4"/>
    </row>
    <row r="2014" customHeight="1" spans="1:2">
      <c r="A2014" s="3" t="s">
        <v>22428</v>
      </c>
      <c r="B2014" s="4"/>
    </row>
    <row r="2015" customHeight="1" spans="1:2">
      <c r="A2015" s="3" t="s">
        <v>3441</v>
      </c>
      <c r="B2015" s="4">
        <v>25450527</v>
      </c>
    </row>
    <row r="2016" customHeight="1" spans="1:2">
      <c r="A2016" s="3" t="s">
        <v>11433</v>
      </c>
      <c r="B2016" s="4">
        <v>14060950</v>
      </c>
    </row>
    <row r="2017" customHeight="1" spans="1:2">
      <c r="A2017" s="3" t="s">
        <v>22637</v>
      </c>
      <c r="B2017" s="4"/>
    </row>
    <row r="2018" customHeight="1" spans="1:2">
      <c r="A2018" s="3" t="s">
        <v>10272</v>
      </c>
      <c r="B2018" s="4">
        <v>33386128</v>
      </c>
    </row>
    <row r="2019" customHeight="1" spans="1:2">
      <c r="A2019" s="3" t="s">
        <v>17615</v>
      </c>
      <c r="B2019" s="4">
        <v>1477002</v>
      </c>
    </row>
    <row r="2020" customHeight="1" spans="1:2">
      <c r="A2020" s="3" t="s">
        <v>2571</v>
      </c>
      <c r="B2020" s="4">
        <v>257756197</v>
      </c>
    </row>
    <row r="2021" customHeight="1" spans="1:2">
      <c r="A2021" s="3" t="s">
        <v>22912</v>
      </c>
      <c r="B2021" s="4"/>
    </row>
    <row r="2022" customHeight="1" spans="1:2">
      <c r="A2022" s="3" t="s">
        <v>550</v>
      </c>
      <c r="B2022" s="4">
        <v>180191634</v>
      </c>
    </row>
    <row r="2023" customHeight="1" spans="1:2">
      <c r="A2023" s="3" t="s">
        <v>16324</v>
      </c>
      <c r="B2023" s="4"/>
    </row>
    <row r="2024" customHeight="1" spans="1:2">
      <c r="A2024" s="3" t="s">
        <v>3230</v>
      </c>
      <c r="B2024" s="4">
        <v>81517441</v>
      </c>
    </row>
    <row r="2025" customHeight="1" spans="1:2">
      <c r="A2025" s="3" t="s">
        <v>11311</v>
      </c>
      <c r="B2025" s="4">
        <v>25675765</v>
      </c>
    </row>
    <row r="2026" customHeight="1" spans="1:2">
      <c r="A2026" s="3" t="s">
        <v>17790</v>
      </c>
      <c r="B2026" s="4"/>
    </row>
    <row r="2027" customHeight="1" spans="1:2">
      <c r="A2027" s="3" t="s">
        <v>14454</v>
      </c>
      <c r="B2027" s="4">
        <v>927107</v>
      </c>
    </row>
    <row r="2028" customHeight="1" spans="1:2">
      <c r="A2028" s="3" t="s">
        <v>4179</v>
      </c>
      <c r="B2028" s="4">
        <v>96917897</v>
      </c>
    </row>
    <row r="2029" customHeight="1" spans="1:2">
      <c r="A2029" s="3" t="s">
        <v>3546</v>
      </c>
      <c r="B2029" s="4"/>
    </row>
    <row r="2030" customHeight="1" spans="1:2">
      <c r="A2030" s="3" t="s">
        <v>4658</v>
      </c>
      <c r="B2030" s="4"/>
    </row>
    <row r="2031" customHeight="1" spans="1:2">
      <c r="A2031" s="3" t="s">
        <v>1797</v>
      </c>
      <c r="B2031" s="4">
        <v>42044321</v>
      </c>
    </row>
    <row r="2032" customHeight="1" spans="1:2">
      <c r="A2032" s="3" t="s">
        <v>14726</v>
      </c>
      <c r="B2032" s="4">
        <v>11434867</v>
      </c>
    </row>
    <row r="2033" customHeight="1" spans="1:2">
      <c r="A2033" s="3" t="s">
        <v>15757</v>
      </c>
      <c r="B2033" s="4">
        <v>8025872</v>
      </c>
    </row>
    <row r="2034" customHeight="1" spans="1:2">
      <c r="A2034" s="3" t="s">
        <v>440</v>
      </c>
      <c r="B2034" s="4">
        <v>160201106</v>
      </c>
    </row>
    <row r="2035" customHeight="1" spans="1:2">
      <c r="A2035" s="3" t="s">
        <v>13913</v>
      </c>
      <c r="B2035" s="4">
        <v>106593296</v>
      </c>
    </row>
    <row r="2036" customHeight="1" spans="1:2">
      <c r="A2036" s="3" t="s">
        <v>5858</v>
      </c>
      <c r="B2036" s="4">
        <v>74787599</v>
      </c>
    </row>
    <row r="2037" customHeight="1" spans="1:2">
      <c r="A2037" s="3" t="s">
        <v>14256</v>
      </c>
      <c r="B2037" s="4">
        <v>9176553</v>
      </c>
    </row>
    <row r="2038" customHeight="1" spans="1:2">
      <c r="A2038" s="3" t="s">
        <v>20939</v>
      </c>
      <c r="B2038" s="4"/>
    </row>
    <row r="2039" customHeight="1" spans="1:2">
      <c r="A2039" s="3" t="s">
        <v>21497</v>
      </c>
      <c r="B2039" s="4"/>
    </row>
    <row r="2040" customHeight="1" spans="1:2">
      <c r="A2040" s="3" t="s">
        <v>6191</v>
      </c>
      <c r="B2040" s="4">
        <v>16295774</v>
      </c>
    </row>
    <row r="2041" customHeight="1" spans="1:2">
      <c r="A2041" s="3" t="s">
        <v>19914</v>
      </c>
      <c r="B2041" s="4"/>
    </row>
    <row r="2042" customHeight="1" spans="1:2">
      <c r="A2042" s="3" t="s">
        <v>10300</v>
      </c>
      <c r="B2042" s="4">
        <v>35054909</v>
      </c>
    </row>
    <row r="2043" customHeight="1" spans="1:2">
      <c r="A2043" s="3" t="s">
        <v>15679</v>
      </c>
      <c r="B2043" s="4">
        <v>37440</v>
      </c>
    </row>
    <row r="2044" customHeight="1" spans="1:2">
      <c r="A2044" s="3" t="s">
        <v>9476</v>
      </c>
      <c r="B2044" s="4">
        <v>145118</v>
      </c>
    </row>
    <row r="2045" customHeight="1" spans="1:2">
      <c r="A2045" s="3" t="s">
        <v>4163</v>
      </c>
      <c r="B2045" s="4">
        <v>107458785</v>
      </c>
    </row>
    <row r="2046" customHeight="1" spans="1:2">
      <c r="A2046" s="3" t="s">
        <v>5151</v>
      </c>
      <c r="B2046" s="4">
        <v>39692139</v>
      </c>
    </row>
    <row r="2047" customHeight="1" spans="1:2">
      <c r="A2047" s="3" t="s">
        <v>15227</v>
      </c>
      <c r="B2047" s="4">
        <v>104007828</v>
      </c>
    </row>
    <row r="2048" customHeight="1" spans="1:2">
      <c r="A2048" s="3" t="s">
        <v>6491</v>
      </c>
      <c r="B2048" s="4">
        <v>49968653</v>
      </c>
    </row>
    <row r="2049" customHeight="1" spans="1:2">
      <c r="A2049" s="3" t="s">
        <v>13694</v>
      </c>
      <c r="B2049" s="4">
        <v>10269307</v>
      </c>
    </row>
    <row r="2050" customHeight="1" spans="1:2">
      <c r="A2050" s="3" t="s">
        <v>17688</v>
      </c>
      <c r="B2050" s="4"/>
    </row>
    <row r="2051" customHeight="1" spans="1:2">
      <c r="A2051" s="3" t="s">
        <v>12970</v>
      </c>
      <c r="B2051" s="4">
        <v>5561</v>
      </c>
    </row>
    <row r="2052" customHeight="1" spans="1:2">
      <c r="A2052" s="3" t="s">
        <v>16467</v>
      </c>
      <c r="B2052" s="4">
        <v>6390032</v>
      </c>
    </row>
    <row r="2053" customHeight="1" spans="1:2">
      <c r="A2053" s="3" t="s">
        <v>19008</v>
      </c>
      <c r="B2053" s="4">
        <v>42919096</v>
      </c>
    </row>
    <row r="2054" customHeight="1" spans="1:2">
      <c r="A2054" s="3" t="s">
        <v>14677</v>
      </c>
      <c r="B2054" s="4">
        <v>25244700</v>
      </c>
    </row>
    <row r="2055" customHeight="1" spans="1:2">
      <c r="A2055" s="3" t="s">
        <v>10974</v>
      </c>
      <c r="B2055" s="4">
        <v>5990075</v>
      </c>
    </row>
    <row r="2056" customHeight="1" spans="1:2">
      <c r="A2056" s="3" t="s">
        <v>11310</v>
      </c>
      <c r="B2056" s="4">
        <v>4919896</v>
      </c>
    </row>
    <row r="2057" customHeight="1" spans="1:2">
      <c r="A2057" s="3" t="s">
        <v>6104</v>
      </c>
      <c r="B2057" s="4">
        <v>26096584</v>
      </c>
    </row>
    <row r="2058" customHeight="1" spans="1:2">
      <c r="A2058" s="3" t="s">
        <v>3139</v>
      </c>
      <c r="B2058" s="4">
        <v>296623634</v>
      </c>
    </row>
    <row r="2059" customHeight="1" spans="1:2">
      <c r="A2059" s="3" t="s">
        <v>22800</v>
      </c>
      <c r="B2059" s="4"/>
    </row>
    <row r="2060" customHeight="1" spans="1:2">
      <c r="A2060" s="3" t="s">
        <v>18486</v>
      </c>
      <c r="B2060" s="4"/>
    </row>
    <row r="2061" customHeight="1" spans="1:2">
      <c r="A2061" s="3" t="s">
        <v>12978</v>
      </c>
      <c r="B2061" s="4">
        <v>3607</v>
      </c>
    </row>
    <row r="2062" customHeight="1" spans="1:2">
      <c r="A2062" s="3" t="s">
        <v>3300</v>
      </c>
      <c r="B2062" s="4">
        <v>52822418</v>
      </c>
    </row>
    <row r="2063" customHeight="1" spans="1:2">
      <c r="A2063" s="3" t="s">
        <v>17007</v>
      </c>
      <c r="B2063" s="4"/>
    </row>
    <row r="2064" customHeight="1" spans="1:2">
      <c r="A2064" s="3" t="s">
        <v>16436</v>
      </c>
      <c r="B2064" s="4"/>
    </row>
    <row r="2065" customHeight="1" spans="1:2">
      <c r="A2065" s="3" t="s">
        <v>5650</v>
      </c>
      <c r="B2065" s="4">
        <v>13763130</v>
      </c>
    </row>
    <row r="2066" customHeight="1" spans="1:2">
      <c r="A2066" s="3" t="s">
        <v>11485</v>
      </c>
      <c r="B2066" s="4">
        <v>26589953</v>
      </c>
    </row>
    <row r="2067" customHeight="1" spans="1:2">
      <c r="A2067" s="3" t="s">
        <v>15291</v>
      </c>
      <c r="B2067" s="4">
        <v>27296514</v>
      </c>
    </row>
    <row r="2068" customHeight="1" spans="1:2">
      <c r="A2068" s="3" t="s">
        <v>19390</v>
      </c>
      <c r="B2068" s="4">
        <v>243347</v>
      </c>
    </row>
    <row r="2069" customHeight="1" spans="1:2">
      <c r="A2069" s="3" t="s">
        <v>2217</v>
      </c>
      <c r="B2069" s="4">
        <v>70450000</v>
      </c>
    </row>
    <row r="2070" customHeight="1" spans="1:2">
      <c r="A2070" s="3" t="s">
        <v>22456</v>
      </c>
      <c r="B2070" s="4"/>
    </row>
    <row r="2071" customHeight="1" spans="1:2">
      <c r="A2071" s="3" t="s">
        <v>8012</v>
      </c>
      <c r="B2071" s="4">
        <v>42660000</v>
      </c>
    </row>
    <row r="2072" customHeight="1" spans="1:2">
      <c r="A2072" s="3" t="s">
        <v>16048</v>
      </c>
      <c r="B2072" s="4">
        <v>10515579</v>
      </c>
    </row>
    <row r="2073" customHeight="1" spans="1:2">
      <c r="A2073" s="3" t="s">
        <v>8999</v>
      </c>
      <c r="B2073" s="4"/>
    </row>
    <row r="2074" customHeight="1" spans="1:2">
      <c r="A2074" s="3" t="s">
        <v>14552</v>
      </c>
      <c r="B2074" s="4">
        <v>66637</v>
      </c>
    </row>
    <row r="2075" customHeight="1" spans="1:2">
      <c r="A2075" s="3" t="s">
        <v>21427</v>
      </c>
      <c r="B2075" s="4"/>
    </row>
    <row r="2076" customHeight="1" spans="1:2">
      <c r="A2076" s="3" t="s">
        <v>1563</v>
      </c>
      <c r="B2076" s="4">
        <v>56684819</v>
      </c>
    </row>
    <row r="2077" customHeight="1" spans="1:2">
      <c r="A2077" s="3" t="s">
        <v>19669</v>
      </c>
      <c r="B2077" s="4">
        <v>4000000</v>
      </c>
    </row>
    <row r="2078" customHeight="1" spans="1:2">
      <c r="A2078" s="3" t="s">
        <v>18793</v>
      </c>
      <c r="B2078" s="4">
        <v>100240</v>
      </c>
    </row>
    <row r="2079" customHeight="1" spans="1:2">
      <c r="A2079" s="3" t="s">
        <v>17777</v>
      </c>
      <c r="B2079" s="4"/>
    </row>
    <row r="2080" customHeight="1" spans="1:2">
      <c r="A2080" s="3" t="s">
        <v>22766</v>
      </c>
      <c r="B2080" s="4"/>
    </row>
    <row r="2081" customHeight="1" spans="1:2">
      <c r="A2081" s="3" t="s">
        <v>17512</v>
      </c>
      <c r="B2081" s="4"/>
    </row>
    <row r="2082" customHeight="1" spans="1:2">
      <c r="A2082" s="3" t="s">
        <v>19900</v>
      </c>
      <c r="B2082" s="4"/>
    </row>
    <row r="2083" customHeight="1" spans="1:2">
      <c r="A2083" s="3" t="s">
        <v>16596</v>
      </c>
      <c r="B2083" s="4">
        <v>104257</v>
      </c>
    </row>
    <row r="2084" customHeight="1" spans="1:2">
      <c r="A2084" s="3" t="s">
        <v>18033</v>
      </c>
      <c r="B2084" s="4"/>
    </row>
    <row r="2085" customHeight="1" spans="1:2">
      <c r="A2085" s="3" t="s">
        <v>12728</v>
      </c>
      <c r="B2085" s="4">
        <v>26583369</v>
      </c>
    </row>
    <row r="2086" customHeight="1" spans="1:2">
      <c r="A2086" s="3" t="s">
        <v>5147</v>
      </c>
      <c r="B2086" s="4">
        <v>76600000</v>
      </c>
    </row>
    <row r="2087" customHeight="1" spans="1:2">
      <c r="A2087" s="3" t="s">
        <v>21028</v>
      </c>
      <c r="B2087" s="4"/>
    </row>
    <row r="2088" customHeight="1" spans="1:2">
      <c r="A2088" s="3" t="s">
        <v>3741</v>
      </c>
      <c r="B2088" s="4">
        <v>71423726</v>
      </c>
    </row>
    <row r="2089" customHeight="1" spans="1:2">
      <c r="A2089" s="3" t="s">
        <v>6738</v>
      </c>
      <c r="B2089" s="4">
        <v>110222438</v>
      </c>
    </row>
    <row r="2090" customHeight="1" spans="1:2">
      <c r="A2090" s="3" t="s">
        <v>8297</v>
      </c>
      <c r="B2090" s="4">
        <v>47887943</v>
      </c>
    </row>
    <row r="2091" customHeight="1" spans="1:2">
      <c r="A2091" s="3" t="s">
        <v>641</v>
      </c>
      <c r="B2091" s="4">
        <v>119412921</v>
      </c>
    </row>
    <row r="2092" customHeight="1" spans="1:2">
      <c r="A2092" s="3" t="s">
        <v>17422</v>
      </c>
      <c r="B2092" s="4"/>
    </row>
    <row r="2093" customHeight="1" spans="1:2">
      <c r="A2093" s="3" t="s">
        <v>12313</v>
      </c>
      <c r="B2093" s="4">
        <v>36200000</v>
      </c>
    </row>
    <row r="2094" customHeight="1" spans="1:2">
      <c r="A2094" s="3" t="s">
        <v>18280</v>
      </c>
      <c r="B2094" s="4"/>
    </row>
    <row r="2095" customHeight="1" spans="1:2">
      <c r="A2095" s="3" t="s">
        <v>21949</v>
      </c>
      <c r="B2095" s="4"/>
    </row>
    <row r="2096" customHeight="1" spans="1:2">
      <c r="A2096" s="3" t="s">
        <v>4958</v>
      </c>
      <c r="B2096" s="4">
        <v>2126511</v>
      </c>
    </row>
    <row r="2097" customHeight="1" spans="1:2">
      <c r="A2097" s="3" t="s">
        <v>9223</v>
      </c>
      <c r="B2097" s="4">
        <v>59573085</v>
      </c>
    </row>
    <row r="2098" customHeight="1" spans="1:2">
      <c r="A2098" s="3" t="s">
        <v>19767</v>
      </c>
      <c r="B2098" s="4"/>
    </row>
    <row r="2099" customHeight="1" spans="1:2">
      <c r="A2099" s="3" t="s">
        <v>19159</v>
      </c>
      <c r="B2099" s="4"/>
    </row>
    <row r="2100" customHeight="1" spans="1:2">
      <c r="A2100" s="3" t="s">
        <v>15946</v>
      </c>
      <c r="B2100" s="4">
        <v>34964818</v>
      </c>
    </row>
    <row r="2101" customHeight="1" spans="1:2">
      <c r="A2101" s="3" t="s">
        <v>22026</v>
      </c>
      <c r="B2101" s="4"/>
    </row>
    <row r="2102" customHeight="1" spans="1:2">
      <c r="A2102" s="3" t="s">
        <v>23387</v>
      </c>
      <c r="B2102" s="4"/>
    </row>
    <row r="2103" customHeight="1" spans="1:2">
      <c r="A2103" s="3" t="s">
        <v>128</v>
      </c>
      <c r="B2103" s="4">
        <v>402076689</v>
      </c>
    </row>
    <row r="2104" customHeight="1" spans="1:2">
      <c r="A2104" s="3" t="s">
        <v>18944</v>
      </c>
      <c r="B2104" s="4"/>
    </row>
    <row r="2105" customHeight="1" spans="1:2">
      <c r="A2105" s="3" t="s">
        <v>11272</v>
      </c>
      <c r="B2105" s="4">
        <v>13753931</v>
      </c>
    </row>
    <row r="2106" customHeight="1" spans="1:2">
      <c r="A2106" s="3" t="s">
        <v>16815</v>
      </c>
      <c r="B2106" s="4">
        <v>7059537</v>
      </c>
    </row>
    <row r="2107" customHeight="1" spans="1:2">
      <c r="A2107" s="3" t="s">
        <v>10034</v>
      </c>
      <c r="B2107" s="4">
        <v>7774730</v>
      </c>
    </row>
    <row r="2108" customHeight="1" spans="1:2">
      <c r="A2108" s="3" t="s">
        <v>5505</v>
      </c>
      <c r="B2108" s="4">
        <v>51758599</v>
      </c>
    </row>
    <row r="2109" customHeight="1" spans="1:2">
      <c r="A2109" s="3" t="s">
        <v>5248</v>
      </c>
      <c r="B2109" s="4">
        <v>24276500</v>
      </c>
    </row>
    <row r="2110" customHeight="1" spans="1:2">
      <c r="A2110" s="3" t="s">
        <v>23395</v>
      </c>
      <c r="B2110" s="4"/>
    </row>
    <row r="2111" customHeight="1" spans="1:2">
      <c r="A2111" s="3" t="s">
        <v>10029</v>
      </c>
      <c r="B2111" s="4">
        <v>1181197</v>
      </c>
    </row>
    <row r="2112" customHeight="1" spans="1:2">
      <c r="A2112" s="3" t="s">
        <v>9804</v>
      </c>
      <c r="B2112" s="4">
        <v>92823600</v>
      </c>
    </row>
    <row r="2113" customHeight="1" spans="1:2">
      <c r="A2113" s="3" t="s">
        <v>15220</v>
      </c>
      <c r="B2113" s="4">
        <v>71897215</v>
      </c>
    </row>
    <row r="2114" customHeight="1" spans="1:2">
      <c r="A2114" s="3" t="s">
        <v>13254</v>
      </c>
      <c r="B2114" s="4">
        <v>17804273</v>
      </c>
    </row>
    <row r="2115" customHeight="1" spans="1:2">
      <c r="A2115" s="3" t="s">
        <v>9500</v>
      </c>
      <c r="B2115" s="4"/>
    </row>
    <row r="2116" customHeight="1" spans="1:2">
      <c r="A2116" s="3" t="s">
        <v>17776</v>
      </c>
      <c r="B2116" s="4">
        <v>7927</v>
      </c>
    </row>
    <row r="2117" customHeight="1" spans="1:2">
      <c r="A2117" s="3" t="s">
        <v>16170</v>
      </c>
      <c r="B2117" s="4">
        <v>2426851</v>
      </c>
    </row>
    <row r="2118" customHeight="1" spans="1:2">
      <c r="A2118" s="3" t="s">
        <v>20678</v>
      </c>
      <c r="B2118" s="4"/>
    </row>
    <row r="2119" customHeight="1" spans="1:2">
      <c r="A2119" s="3" t="s">
        <v>14456</v>
      </c>
      <c r="B2119" s="4">
        <v>10696</v>
      </c>
    </row>
    <row r="2120" customHeight="1" spans="1:2">
      <c r="A2120" s="3" t="s">
        <v>22379</v>
      </c>
      <c r="B2120" s="4"/>
    </row>
    <row r="2121" customHeight="1" spans="1:2">
      <c r="A2121" s="3" t="s">
        <v>13433</v>
      </c>
      <c r="B2121" s="4"/>
    </row>
    <row r="2122" customHeight="1" spans="1:2">
      <c r="A2122" s="3" t="s">
        <v>5974</v>
      </c>
      <c r="B2122" s="4">
        <v>53021560</v>
      </c>
    </row>
    <row r="2123" customHeight="1" spans="1:2">
      <c r="A2123" s="3" t="s">
        <v>21511</v>
      </c>
      <c r="B2123" s="4"/>
    </row>
    <row r="2124" customHeight="1" spans="1:2">
      <c r="A2124" s="3" t="s">
        <v>16827</v>
      </c>
      <c r="B2124" s="4">
        <v>5844929</v>
      </c>
    </row>
    <row r="2125" customHeight="1" spans="1:2">
      <c r="A2125" s="3" t="s">
        <v>18838</v>
      </c>
      <c r="B2125" s="4">
        <v>62480</v>
      </c>
    </row>
    <row r="2126" customHeight="1" spans="1:2">
      <c r="A2126" s="3" t="s">
        <v>23569</v>
      </c>
      <c r="B2126" s="4"/>
    </row>
    <row r="2127" customHeight="1" spans="1:2">
      <c r="A2127" s="3" t="s">
        <v>19043</v>
      </c>
      <c r="B2127" s="4"/>
    </row>
    <row r="2128" customHeight="1" spans="1:2">
      <c r="A2128" s="3" t="s">
        <v>14784</v>
      </c>
      <c r="B2128" s="4">
        <v>1028337</v>
      </c>
    </row>
    <row r="2129" customHeight="1" spans="1:2">
      <c r="A2129" s="3" t="s">
        <v>14727</v>
      </c>
      <c r="B2129" s="4">
        <v>5895238</v>
      </c>
    </row>
    <row r="2130" customHeight="1" spans="1:2">
      <c r="A2130" s="3" t="s">
        <v>18018</v>
      </c>
      <c r="B2130" s="4"/>
    </row>
    <row r="2131" customHeight="1" spans="1:2">
      <c r="A2131" s="3" t="s">
        <v>18976</v>
      </c>
      <c r="B2131" s="4">
        <v>381186</v>
      </c>
    </row>
    <row r="2132" customHeight="1" spans="1:2">
      <c r="A2132" s="3" t="s">
        <v>19618</v>
      </c>
      <c r="B2132" s="4"/>
    </row>
    <row r="2133" customHeight="1" spans="1:2">
      <c r="A2133" s="3" t="s">
        <v>9255</v>
      </c>
      <c r="B2133" s="4">
        <v>41300105</v>
      </c>
    </row>
    <row r="2134" customHeight="1" spans="1:2">
      <c r="A2134" s="3" t="s">
        <v>280</v>
      </c>
      <c r="B2134" s="4">
        <v>259746958</v>
      </c>
    </row>
    <row r="2135" customHeight="1" spans="1:2">
      <c r="A2135" s="3" t="s">
        <v>15408</v>
      </c>
      <c r="B2135" s="4">
        <v>13350177</v>
      </c>
    </row>
    <row r="2136" customHeight="1" spans="1:2">
      <c r="A2136" s="3" t="s">
        <v>12737</v>
      </c>
      <c r="B2136" s="4">
        <v>1754319</v>
      </c>
    </row>
    <row r="2137" customHeight="1" spans="1:2">
      <c r="A2137" s="3" t="s">
        <v>2867</v>
      </c>
      <c r="B2137" s="4">
        <v>89706988</v>
      </c>
    </row>
    <row r="2138" customHeight="1" spans="1:2">
      <c r="A2138" s="3" t="s">
        <v>3649</v>
      </c>
      <c r="B2138" s="4">
        <v>103738726</v>
      </c>
    </row>
    <row r="2139" customHeight="1" spans="1:2">
      <c r="A2139" s="3" t="s">
        <v>18444</v>
      </c>
      <c r="B2139" s="4"/>
    </row>
    <row r="2140" customHeight="1" spans="1:2">
      <c r="A2140" s="3" t="s">
        <v>8914</v>
      </c>
      <c r="B2140" s="4">
        <v>1900725</v>
      </c>
    </row>
    <row r="2141" customHeight="1" spans="1:2">
      <c r="A2141" s="3" t="s">
        <v>17594</v>
      </c>
      <c r="B2141" s="4">
        <v>1984378</v>
      </c>
    </row>
    <row r="2142" customHeight="1" spans="1:2">
      <c r="A2142" s="3" t="s">
        <v>217</v>
      </c>
      <c r="B2142" s="4">
        <v>292979556</v>
      </c>
    </row>
    <row r="2143" customHeight="1" spans="1:2">
      <c r="A2143" s="3" t="s">
        <v>18945</v>
      </c>
      <c r="B2143" s="4"/>
    </row>
    <row r="2144" customHeight="1" spans="1:2">
      <c r="A2144" s="3" t="s">
        <v>16997</v>
      </c>
      <c r="B2144" s="4">
        <v>5005</v>
      </c>
    </row>
    <row r="2145" customHeight="1" spans="1:2">
      <c r="A2145" s="3" t="s">
        <v>2143</v>
      </c>
      <c r="B2145" s="4">
        <v>37516013</v>
      </c>
    </row>
    <row r="2146" customHeight="1" spans="1:2">
      <c r="A2146" s="3" t="s">
        <v>22907</v>
      </c>
      <c r="B2146" s="4"/>
    </row>
    <row r="2147" customHeight="1" spans="1:2">
      <c r="A2147" s="3" t="s">
        <v>18492</v>
      </c>
      <c r="B2147" s="4">
        <v>16101109</v>
      </c>
    </row>
    <row r="2148" customHeight="1" spans="1:2">
      <c r="A2148" s="3" t="s">
        <v>20776</v>
      </c>
      <c r="B2148" s="4"/>
    </row>
    <row r="2149" customHeight="1" spans="1:2">
      <c r="A2149" s="3" t="s">
        <v>16786</v>
      </c>
      <c r="B2149" s="4"/>
    </row>
    <row r="2150" customHeight="1" spans="1:2">
      <c r="A2150" s="3" t="s">
        <v>20218</v>
      </c>
      <c r="B2150" s="4"/>
    </row>
    <row r="2151" customHeight="1" spans="1:2">
      <c r="A2151" s="3" t="s">
        <v>19412</v>
      </c>
      <c r="B2151" s="4">
        <v>133778</v>
      </c>
    </row>
    <row r="2152" customHeight="1" spans="1:2">
      <c r="A2152" s="3" t="s">
        <v>11853</v>
      </c>
      <c r="B2152" s="4">
        <v>333976</v>
      </c>
    </row>
    <row r="2153" customHeight="1" spans="1:2">
      <c r="A2153" s="3" t="s">
        <v>8587</v>
      </c>
      <c r="B2153" s="4">
        <v>17803796</v>
      </c>
    </row>
    <row r="2154" customHeight="1" spans="1:2">
      <c r="A2154" s="3" t="s">
        <v>8468</v>
      </c>
      <c r="B2154" s="4">
        <v>25584685</v>
      </c>
    </row>
    <row r="2155" customHeight="1" spans="1:2">
      <c r="A2155" s="3" t="s">
        <v>3589</v>
      </c>
      <c r="B2155" s="4">
        <v>60652036</v>
      </c>
    </row>
    <row r="2156" customHeight="1" spans="1:2">
      <c r="A2156" s="3" t="s">
        <v>5447</v>
      </c>
      <c r="B2156" s="4">
        <v>11227940</v>
      </c>
    </row>
    <row r="2157" customHeight="1" spans="1:2">
      <c r="A2157" s="3" t="s">
        <v>1492</v>
      </c>
      <c r="B2157" s="4">
        <v>101111837</v>
      </c>
    </row>
    <row r="2158" customHeight="1" spans="1:2">
      <c r="A2158" s="3" t="s">
        <v>12729</v>
      </c>
      <c r="B2158" s="4">
        <v>800000</v>
      </c>
    </row>
    <row r="2159" customHeight="1" spans="1:2">
      <c r="A2159" s="3" t="s">
        <v>23061</v>
      </c>
      <c r="B2159" s="4"/>
    </row>
    <row r="2160" customHeight="1" spans="1:2">
      <c r="A2160" s="3" t="s">
        <v>20042</v>
      </c>
      <c r="B2160" s="4">
        <v>7137502</v>
      </c>
    </row>
    <row r="2161" customHeight="1" spans="1:2">
      <c r="A2161" s="3" t="s">
        <v>23899</v>
      </c>
      <c r="B2161" s="4"/>
    </row>
    <row r="2162" customHeight="1" spans="1:2">
      <c r="A2162" s="3" t="s">
        <v>22870</v>
      </c>
      <c r="B2162" s="4"/>
    </row>
    <row r="2163" customHeight="1" spans="1:2">
      <c r="A2163" s="3" t="s">
        <v>6841</v>
      </c>
      <c r="B2163" s="4">
        <v>14469428</v>
      </c>
    </row>
    <row r="2164" customHeight="1" spans="1:2">
      <c r="A2164" s="3" t="s">
        <v>19639</v>
      </c>
      <c r="B2164" s="4">
        <v>80276912</v>
      </c>
    </row>
    <row r="2165" customHeight="1" spans="1:2">
      <c r="A2165" s="3" t="s">
        <v>21762</v>
      </c>
      <c r="B2165" s="4"/>
    </row>
    <row r="2166" customHeight="1" spans="1:2">
      <c r="A2166" s="3" t="s">
        <v>13733</v>
      </c>
      <c r="B2166" s="4">
        <v>8279017</v>
      </c>
    </row>
    <row r="2167" customHeight="1" spans="1:2">
      <c r="A2167" s="3" t="s">
        <v>2209</v>
      </c>
      <c r="B2167" s="4">
        <v>115603980</v>
      </c>
    </row>
    <row r="2168" customHeight="1" spans="1:2">
      <c r="A2168" s="3" t="s">
        <v>23346</v>
      </c>
      <c r="B2168" s="4"/>
    </row>
    <row r="2169" customHeight="1" spans="1:2">
      <c r="A2169" s="3" t="s">
        <v>6550</v>
      </c>
      <c r="B2169" s="4">
        <v>6165429</v>
      </c>
    </row>
    <row r="2170" customHeight="1" spans="1:2">
      <c r="A2170" s="3" t="s">
        <v>12067</v>
      </c>
      <c r="B2170" s="4">
        <v>4814244</v>
      </c>
    </row>
    <row r="2171" customHeight="1" spans="1:2">
      <c r="A2171" s="3" t="s">
        <v>22614</v>
      </c>
      <c r="B2171" s="4"/>
    </row>
    <row r="2172" customHeight="1" spans="1:2">
      <c r="A2172" s="3" t="s">
        <v>3486</v>
      </c>
      <c r="B2172" s="4">
        <v>21557240</v>
      </c>
    </row>
    <row r="2173" customHeight="1" spans="1:2">
      <c r="A2173" s="3" t="s">
        <v>9600</v>
      </c>
      <c r="B2173" s="4">
        <v>82389560</v>
      </c>
    </row>
    <row r="2174" customHeight="1" spans="1:2">
      <c r="A2174" s="3" t="s">
        <v>19656</v>
      </c>
      <c r="B2174" s="4"/>
    </row>
    <row r="2175" customHeight="1" spans="1:2">
      <c r="A2175" s="3" t="s">
        <v>9316</v>
      </c>
      <c r="B2175" s="4">
        <v>4250320</v>
      </c>
    </row>
    <row r="2176" customHeight="1" spans="1:2">
      <c r="A2176" s="3" t="s">
        <v>7059</v>
      </c>
      <c r="B2176" s="4">
        <v>40218903</v>
      </c>
    </row>
    <row r="2177" customHeight="1" spans="1:2">
      <c r="A2177" s="3" t="s">
        <v>19226</v>
      </c>
      <c r="B2177" s="4">
        <v>10508</v>
      </c>
    </row>
    <row r="2178" customHeight="1" spans="1:2">
      <c r="A2178" s="3" t="s">
        <v>5425</v>
      </c>
      <c r="B2178" s="4">
        <v>102413606</v>
      </c>
    </row>
    <row r="2179" customHeight="1" spans="1:2">
      <c r="A2179" s="3" t="s">
        <v>9480</v>
      </c>
      <c r="B2179" s="4"/>
    </row>
    <row r="2180" customHeight="1" spans="1:2">
      <c r="A2180" s="3" t="s">
        <v>5586</v>
      </c>
      <c r="B2180" s="4">
        <v>48814909</v>
      </c>
    </row>
    <row r="2181" customHeight="1" spans="1:2">
      <c r="A2181" s="3" t="s">
        <v>12384</v>
      </c>
      <c r="B2181" s="4">
        <v>28435406</v>
      </c>
    </row>
    <row r="2182" customHeight="1" spans="1:2">
      <c r="A2182" s="3" t="s">
        <v>5374</v>
      </c>
      <c r="B2182" s="4">
        <v>4651977</v>
      </c>
    </row>
    <row r="2183" customHeight="1" spans="1:2">
      <c r="A2183" s="3" t="s">
        <v>19018</v>
      </c>
      <c r="B2183" s="4">
        <v>819939</v>
      </c>
    </row>
    <row r="2184" customHeight="1" spans="1:2">
      <c r="A2184" s="3" t="s">
        <v>9707</v>
      </c>
      <c r="B2184" s="4">
        <v>6855137</v>
      </c>
    </row>
    <row r="2185" customHeight="1" spans="1:2">
      <c r="A2185" s="3" t="s">
        <v>4195</v>
      </c>
      <c r="B2185" s="4">
        <v>31487293</v>
      </c>
    </row>
    <row r="2186" customHeight="1" spans="1:2">
      <c r="A2186" s="3" t="s">
        <v>4077</v>
      </c>
      <c r="B2186" s="4">
        <v>5664251</v>
      </c>
    </row>
    <row r="2187" customHeight="1" spans="1:2">
      <c r="A2187" s="3" t="s">
        <v>10416</v>
      </c>
      <c r="B2187" s="4">
        <v>12701880</v>
      </c>
    </row>
    <row r="2188" customHeight="1" spans="1:2">
      <c r="A2188" s="3" t="s">
        <v>11424</v>
      </c>
      <c r="B2188" s="4"/>
    </row>
    <row r="2189" customHeight="1" spans="1:2">
      <c r="A2189" s="3" t="s">
        <v>17860</v>
      </c>
      <c r="B2189" s="4">
        <v>35266619</v>
      </c>
    </row>
    <row r="2190" customHeight="1" spans="1:2">
      <c r="A2190" s="3" t="s">
        <v>13146</v>
      </c>
      <c r="B2190" s="4">
        <v>113155</v>
      </c>
    </row>
    <row r="2191" customHeight="1" spans="1:2">
      <c r="A2191" s="3" t="s">
        <v>18938</v>
      </c>
      <c r="B2191" s="4">
        <v>2319187</v>
      </c>
    </row>
    <row r="2192" customHeight="1" spans="1:2">
      <c r="A2192" s="3" t="s">
        <v>5607</v>
      </c>
      <c r="B2192" s="4">
        <v>36733909</v>
      </c>
    </row>
    <row r="2193" customHeight="1" spans="1:2">
      <c r="A2193" s="3" t="s">
        <v>10874</v>
      </c>
      <c r="B2193" s="4">
        <v>34700000</v>
      </c>
    </row>
    <row r="2194" customHeight="1" spans="1:2">
      <c r="A2194" s="3" t="s">
        <v>5525</v>
      </c>
      <c r="B2194" s="4">
        <v>28927720</v>
      </c>
    </row>
    <row r="2195" customHeight="1" spans="1:2">
      <c r="A2195" s="3" t="s">
        <v>6052</v>
      </c>
      <c r="B2195" s="4"/>
    </row>
    <row r="2196" customHeight="1" spans="1:2">
      <c r="A2196" s="3" t="s">
        <v>12469</v>
      </c>
      <c r="B2196" s="4">
        <v>16247775</v>
      </c>
    </row>
    <row r="2197" customHeight="1" spans="1:2">
      <c r="A2197" s="3" t="s">
        <v>13212</v>
      </c>
      <c r="B2197" s="4">
        <v>50000000</v>
      </c>
    </row>
    <row r="2198" customHeight="1" spans="1:2">
      <c r="A2198" s="3" t="s">
        <v>15426</v>
      </c>
      <c r="B2198" s="4">
        <v>17683670</v>
      </c>
    </row>
    <row r="2199" customHeight="1" spans="1:2">
      <c r="A2199" s="3" t="s">
        <v>23501</v>
      </c>
      <c r="B2199" s="4"/>
    </row>
    <row r="2200" customHeight="1" spans="1:2">
      <c r="A2200" s="3" t="s">
        <v>14476</v>
      </c>
      <c r="B2200" s="4">
        <v>84263837</v>
      </c>
    </row>
    <row r="2201" customHeight="1" spans="1:2">
      <c r="A2201" s="3" t="s">
        <v>12112</v>
      </c>
      <c r="B2201" s="4">
        <v>2807854</v>
      </c>
    </row>
    <row r="2202" customHeight="1" spans="1:2">
      <c r="A2202" s="3" t="s">
        <v>2498</v>
      </c>
      <c r="B2202" s="4">
        <v>56702901</v>
      </c>
    </row>
    <row r="2203" customHeight="1" spans="1:2">
      <c r="A2203" s="3" t="s">
        <v>18646</v>
      </c>
      <c r="B2203" s="4"/>
    </row>
    <row r="2204" customHeight="1" spans="1:2">
      <c r="A2204" s="3" t="s">
        <v>22125</v>
      </c>
      <c r="B2204" s="4"/>
    </row>
    <row r="2205" customHeight="1" spans="1:2">
      <c r="A2205" s="3" t="s">
        <v>3935</v>
      </c>
      <c r="B2205" s="4">
        <v>183875760</v>
      </c>
    </row>
    <row r="2206" customHeight="1" spans="1:2">
      <c r="A2206" s="3" t="s">
        <v>2190</v>
      </c>
      <c r="B2206" s="4">
        <v>119412921</v>
      </c>
    </row>
    <row r="2207" customHeight="1" spans="1:2">
      <c r="A2207" s="3" t="s">
        <v>4636</v>
      </c>
      <c r="B2207" s="4">
        <v>80050171</v>
      </c>
    </row>
    <row r="2208" customHeight="1" spans="1:2">
      <c r="A2208" s="3" t="s">
        <v>21840</v>
      </c>
      <c r="B2208" s="4"/>
    </row>
    <row r="2209" customHeight="1" spans="1:2">
      <c r="A2209" s="3" t="s">
        <v>15319</v>
      </c>
      <c r="B2209" s="4"/>
    </row>
    <row r="2210" customHeight="1" spans="1:2">
      <c r="A2210" s="3" t="s">
        <v>8767</v>
      </c>
      <c r="B2210" s="4">
        <v>9714482</v>
      </c>
    </row>
    <row r="2211" customHeight="1" spans="1:2">
      <c r="A2211" s="3" t="s">
        <v>19094</v>
      </c>
      <c r="B2211" s="4"/>
    </row>
    <row r="2212" customHeight="1" spans="1:2">
      <c r="A2212" s="3" t="s">
        <v>7735</v>
      </c>
      <c r="B2212" s="4"/>
    </row>
    <row r="2213" customHeight="1" spans="1:2">
      <c r="A2213" s="3" t="s">
        <v>14752</v>
      </c>
      <c r="B2213" s="4">
        <v>4542775</v>
      </c>
    </row>
    <row r="2214" customHeight="1" spans="1:2">
      <c r="A2214" s="3" t="s">
        <v>13930</v>
      </c>
      <c r="B2214" s="4"/>
    </row>
    <row r="2215" customHeight="1" spans="1:2">
      <c r="A2215" s="3" t="s">
        <v>8816</v>
      </c>
      <c r="B2215" s="4">
        <v>8888355</v>
      </c>
    </row>
    <row r="2216" customHeight="1" spans="1:2">
      <c r="A2216" s="3" t="s">
        <v>23470</v>
      </c>
      <c r="B2216" s="4"/>
    </row>
    <row r="2217" customHeight="1" spans="1:2">
      <c r="A2217" s="3" t="s">
        <v>19840</v>
      </c>
      <c r="B2217" s="4"/>
    </row>
    <row r="2218" customHeight="1" spans="1:2">
      <c r="A2218" s="3" t="s">
        <v>18288</v>
      </c>
      <c r="B2218" s="4">
        <v>638951</v>
      </c>
    </row>
    <row r="2219" customHeight="1" spans="1:2">
      <c r="A2219" s="3" t="s">
        <v>13286</v>
      </c>
      <c r="B2219" s="4">
        <v>10161099</v>
      </c>
    </row>
    <row r="2220" customHeight="1" spans="1:2">
      <c r="A2220" s="3" t="s">
        <v>19841</v>
      </c>
      <c r="B2220" s="4">
        <v>45661</v>
      </c>
    </row>
    <row r="2221" customHeight="1" spans="1:2">
      <c r="A2221" s="3" t="s">
        <v>20697</v>
      </c>
      <c r="B2221" s="4"/>
    </row>
    <row r="2222" customHeight="1" spans="1:2">
      <c r="A2222" s="3" t="s">
        <v>14588</v>
      </c>
      <c r="B2222" s="4">
        <v>137963328</v>
      </c>
    </row>
    <row r="2223" customHeight="1" spans="1:2">
      <c r="A2223" s="3" t="s">
        <v>12269</v>
      </c>
      <c r="B2223" s="4">
        <v>52293982</v>
      </c>
    </row>
    <row r="2224" customHeight="1" spans="1:2">
      <c r="A2224" s="3" t="s">
        <v>12385</v>
      </c>
      <c r="B2224" s="4">
        <v>25339117</v>
      </c>
    </row>
    <row r="2225" customHeight="1" spans="1:2">
      <c r="A2225" s="3" t="s">
        <v>14343</v>
      </c>
      <c r="B2225" s="4">
        <v>1110286</v>
      </c>
    </row>
    <row r="2226" customHeight="1" spans="1:2">
      <c r="A2226" s="3" t="s">
        <v>18468</v>
      </c>
      <c r="B2226" s="4"/>
    </row>
    <row r="2227" customHeight="1" spans="1:2">
      <c r="A2227" s="3" t="s">
        <v>2808</v>
      </c>
      <c r="B2227" s="4">
        <v>51774002</v>
      </c>
    </row>
    <row r="2228" customHeight="1" spans="1:2">
      <c r="A2228" s="3" t="s">
        <v>4219</v>
      </c>
      <c r="B2228" s="4"/>
    </row>
    <row r="2229" customHeight="1" spans="1:2">
      <c r="A2229" s="3" t="s">
        <v>10858</v>
      </c>
      <c r="B2229" s="4">
        <v>46800000</v>
      </c>
    </row>
    <row r="2230" customHeight="1" spans="1:2">
      <c r="A2230" s="3" t="s">
        <v>2090</v>
      </c>
      <c r="B2230" s="4">
        <v>25121291</v>
      </c>
    </row>
    <row r="2231" customHeight="1" spans="1:2">
      <c r="A2231" s="3" t="s">
        <v>391</v>
      </c>
      <c r="B2231" s="4">
        <v>153629485</v>
      </c>
    </row>
    <row r="2232" customHeight="1" spans="1:2">
      <c r="A2232" s="3" t="s">
        <v>15814</v>
      </c>
      <c r="B2232" s="4"/>
    </row>
    <row r="2233" customHeight="1" spans="1:2">
      <c r="A2233" s="3" t="s">
        <v>21580</v>
      </c>
      <c r="B2233" s="4"/>
    </row>
    <row r="2234" customHeight="1" spans="1:2">
      <c r="A2234" s="3" t="s">
        <v>14479</v>
      </c>
      <c r="B2234" s="4">
        <v>110029</v>
      </c>
    </row>
    <row r="2235" customHeight="1" spans="1:2">
      <c r="A2235" s="3" t="s">
        <v>5356</v>
      </c>
      <c r="B2235" s="4">
        <v>11631245</v>
      </c>
    </row>
    <row r="2236" customHeight="1" spans="1:2">
      <c r="A2236" s="3" t="s">
        <v>143</v>
      </c>
      <c r="B2236" s="4">
        <v>191450875</v>
      </c>
    </row>
    <row r="2237" customHeight="1" spans="1:2">
      <c r="A2237" s="3" t="s">
        <v>10108</v>
      </c>
      <c r="B2237" s="4"/>
    </row>
    <row r="2238" customHeight="1" spans="1:2">
      <c r="A2238" s="3" t="s">
        <v>15028</v>
      </c>
      <c r="B2238" s="4">
        <v>35811509</v>
      </c>
    </row>
    <row r="2239" customHeight="1" spans="1:2">
      <c r="A2239" s="3" t="s">
        <v>7073</v>
      </c>
      <c r="B2239" s="4">
        <v>36833473</v>
      </c>
    </row>
    <row r="2240" customHeight="1" spans="1:2">
      <c r="A2240" s="3" t="s">
        <v>8889</v>
      </c>
      <c r="B2240" s="4">
        <v>4001121</v>
      </c>
    </row>
    <row r="2241" customHeight="1" spans="1:2">
      <c r="A2241" s="3" t="s">
        <v>2132</v>
      </c>
      <c r="B2241" s="4">
        <v>27550735</v>
      </c>
    </row>
    <row r="2242" customHeight="1" spans="1:2">
      <c r="A2242" s="3" t="s">
        <v>4109</v>
      </c>
      <c r="B2242" s="4">
        <v>293501675</v>
      </c>
    </row>
    <row r="2243" customHeight="1" spans="1:2">
      <c r="A2243" s="3" t="s">
        <v>15382</v>
      </c>
      <c r="B2243" s="4">
        <v>241437427</v>
      </c>
    </row>
    <row r="2244" customHeight="1" spans="1:2">
      <c r="A2244" s="3" t="s">
        <v>23635</v>
      </c>
      <c r="B2244" s="4"/>
    </row>
    <row r="2245" customHeight="1" spans="1:2">
      <c r="A2245" s="3" t="s">
        <v>18792</v>
      </c>
      <c r="B2245" s="4">
        <v>287761</v>
      </c>
    </row>
    <row r="2246" customHeight="1" spans="1:2">
      <c r="A2246" s="3" t="s">
        <v>1434</v>
      </c>
      <c r="B2246" s="4">
        <v>82506325</v>
      </c>
    </row>
    <row r="2247" customHeight="1" spans="1:2">
      <c r="A2247" s="3" t="s">
        <v>594</v>
      </c>
      <c r="B2247" s="4">
        <v>60522097</v>
      </c>
    </row>
    <row r="2248" customHeight="1" spans="1:2">
      <c r="A2248" s="3" t="s">
        <v>14881</v>
      </c>
      <c r="B2248" s="4"/>
    </row>
    <row r="2249" customHeight="1" spans="1:2">
      <c r="A2249" s="3" t="s">
        <v>7789</v>
      </c>
      <c r="B2249" s="4">
        <v>54235441</v>
      </c>
    </row>
    <row r="2250" customHeight="1" spans="1:2">
      <c r="A2250" s="3" t="s">
        <v>10685</v>
      </c>
      <c r="B2250" s="4">
        <v>1197786</v>
      </c>
    </row>
    <row r="2251" customHeight="1" spans="1:2">
      <c r="A2251" s="3" t="s">
        <v>465</v>
      </c>
      <c r="B2251" s="4">
        <v>110332737</v>
      </c>
    </row>
    <row r="2252" customHeight="1" spans="1:2">
      <c r="A2252" s="3" t="s">
        <v>22516</v>
      </c>
      <c r="B2252" s="4"/>
    </row>
    <row r="2253" customHeight="1" spans="1:2">
      <c r="A2253" s="3" t="s">
        <v>21878</v>
      </c>
      <c r="B2253" s="4"/>
    </row>
    <row r="2254" customHeight="1" spans="1:2">
      <c r="A2254" s="3" t="s">
        <v>5713</v>
      </c>
      <c r="B2254" s="4">
        <v>59073773</v>
      </c>
    </row>
    <row r="2255" customHeight="1" spans="1:2">
      <c r="A2255" s="3" t="s">
        <v>22386</v>
      </c>
      <c r="B2255" s="4"/>
    </row>
    <row r="2256" customHeight="1" spans="1:2">
      <c r="A2256" s="3" t="s">
        <v>16058</v>
      </c>
      <c r="B2256" s="4">
        <v>9821335</v>
      </c>
    </row>
    <row r="2257" customHeight="1" spans="1:2">
      <c r="A2257" s="3" t="s">
        <v>2846</v>
      </c>
      <c r="B2257" s="4">
        <v>107100855</v>
      </c>
    </row>
    <row r="2258" customHeight="1" spans="1:2">
      <c r="A2258" s="3" t="s">
        <v>8132</v>
      </c>
      <c r="B2258" s="4">
        <v>958319</v>
      </c>
    </row>
    <row r="2259" customHeight="1" spans="1:2">
      <c r="A2259" s="3" t="s">
        <v>15737</v>
      </c>
      <c r="B2259" s="4">
        <v>47277326</v>
      </c>
    </row>
    <row r="2260" customHeight="1" spans="1:2">
      <c r="A2260" s="3" t="s">
        <v>7407</v>
      </c>
      <c r="B2260" s="4">
        <v>56692</v>
      </c>
    </row>
    <row r="2261" customHeight="1" spans="1:2">
      <c r="A2261" s="3" t="s">
        <v>21522</v>
      </c>
      <c r="B2261" s="4"/>
    </row>
    <row r="2262" customHeight="1" spans="1:2">
      <c r="A2262" s="3" t="s">
        <v>23155</v>
      </c>
      <c r="B2262" s="4"/>
    </row>
    <row r="2263" customHeight="1" spans="1:2">
      <c r="A2263" s="3" t="s">
        <v>3305</v>
      </c>
      <c r="B2263" s="4">
        <v>50150619</v>
      </c>
    </row>
    <row r="2264" customHeight="1" spans="1:2">
      <c r="A2264" s="3" t="s">
        <v>7908</v>
      </c>
      <c r="B2264" s="4">
        <v>5974653</v>
      </c>
    </row>
    <row r="2265" customHeight="1" spans="1:2">
      <c r="A2265" s="3" t="s">
        <v>18661</v>
      </c>
      <c r="B2265" s="4">
        <v>5355376</v>
      </c>
    </row>
    <row r="2266" customHeight="1" spans="1:2">
      <c r="A2266" s="3" t="s">
        <v>20190</v>
      </c>
      <c r="B2266" s="4"/>
    </row>
    <row r="2267" customHeight="1" spans="1:2">
      <c r="A2267" s="3" t="s">
        <v>16798</v>
      </c>
      <c r="B2267" s="4"/>
    </row>
    <row r="2268" customHeight="1" spans="1:2">
      <c r="A2268" s="3" t="s">
        <v>17791</v>
      </c>
      <c r="B2268" s="4"/>
    </row>
    <row r="2269" customHeight="1" spans="1:2">
      <c r="A2269" s="3" t="s">
        <v>17632</v>
      </c>
      <c r="B2269" s="4">
        <v>653621</v>
      </c>
    </row>
    <row r="2270" customHeight="1" spans="1:2">
      <c r="A2270" s="3" t="s">
        <v>242</v>
      </c>
      <c r="B2270" s="4">
        <v>88246220</v>
      </c>
    </row>
    <row r="2271" customHeight="1" spans="1:2">
      <c r="A2271" s="3" t="s">
        <v>16308</v>
      </c>
      <c r="B2271" s="4"/>
    </row>
    <row r="2272" customHeight="1" spans="1:2">
      <c r="A2272" s="3" t="s">
        <v>838</v>
      </c>
      <c r="B2272" s="4">
        <v>140015224</v>
      </c>
    </row>
    <row r="2273" customHeight="1" spans="1:2">
      <c r="A2273" s="3" t="s">
        <v>19731</v>
      </c>
      <c r="B2273" s="4">
        <v>16892</v>
      </c>
    </row>
    <row r="2274" customHeight="1" spans="1:2">
      <c r="A2274" s="3" t="s">
        <v>113</v>
      </c>
      <c r="B2274" s="4">
        <v>304360277</v>
      </c>
    </row>
    <row r="2275" customHeight="1" spans="1:2">
      <c r="A2275" s="3" t="s">
        <v>2678</v>
      </c>
      <c r="B2275" s="4">
        <v>30063805</v>
      </c>
    </row>
    <row r="2276" customHeight="1" spans="1:2">
      <c r="A2276" s="3" t="s">
        <v>12117</v>
      </c>
      <c r="B2276" s="4"/>
    </row>
    <row r="2277" customHeight="1" spans="1:2">
      <c r="A2277" s="3" t="s">
        <v>1189</v>
      </c>
      <c r="B2277" s="4">
        <v>72515360</v>
      </c>
    </row>
    <row r="2278" customHeight="1" spans="1:2">
      <c r="A2278" s="3" t="s">
        <v>11987</v>
      </c>
      <c r="B2278" s="4"/>
    </row>
    <row r="2279" customHeight="1" spans="1:2">
      <c r="A2279" s="3" t="s">
        <v>13739</v>
      </c>
      <c r="B2279" s="4"/>
    </row>
    <row r="2280" customHeight="1" spans="1:2">
      <c r="A2280" s="3" t="s">
        <v>5937</v>
      </c>
      <c r="B2280" s="4">
        <v>52799004</v>
      </c>
    </row>
    <row r="2281" customHeight="1" spans="1:2">
      <c r="A2281" s="3" t="s">
        <v>14235</v>
      </c>
      <c r="B2281" s="4">
        <v>12583510</v>
      </c>
    </row>
    <row r="2282" customHeight="1" spans="1:2">
      <c r="A2282" s="3" t="s">
        <v>14937</v>
      </c>
      <c r="B2282" s="4">
        <v>31874869</v>
      </c>
    </row>
    <row r="2283" customHeight="1" spans="1:2">
      <c r="A2283" s="3" t="s">
        <v>5065</v>
      </c>
      <c r="B2283" s="4">
        <v>59699513</v>
      </c>
    </row>
    <row r="2284" customHeight="1" spans="1:2">
      <c r="A2284" s="3" t="s">
        <v>21756</v>
      </c>
      <c r="B2284" s="4"/>
    </row>
    <row r="2285" customHeight="1" spans="1:2">
      <c r="A2285" s="3" t="s">
        <v>16514</v>
      </c>
      <c r="B2285" s="4">
        <v>220234</v>
      </c>
    </row>
    <row r="2286" customHeight="1" spans="1:2">
      <c r="A2286" s="3" t="s">
        <v>2351</v>
      </c>
      <c r="B2286" s="4">
        <v>15738632</v>
      </c>
    </row>
    <row r="2287" customHeight="1" spans="1:2">
      <c r="A2287" s="3" t="s">
        <v>7464</v>
      </c>
      <c r="B2287" s="4">
        <v>183662</v>
      </c>
    </row>
    <row r="2288" customHeight="1" spans="1:2">
      <c r="A2288" s="3" t="s">
        <v>22187</v>
      </c>
      <c r="B2288" s="4"/>
    </row>
    <row r="2289" customHeight="1" spans="1:2">
      <c r="A2289" s="3" t="s">
        <v>4911</v>
      </c>
      <c r="B2289" s="4">
        <v>20991497</v>
      </c>
    </row>
    <row r="2290" customHeight="1" spans="1:2">
      <c r="A2290" s="3" t="s">
        <v>21559</v>
      </c>
      <c r="B2290" s="4"/>
    </row>
    <row r="2291" customHeight="1" spans="1:2">
      <c r="A2291" s="3" t="s">
        <v>14422</v>
      </c>
      <c r="B2291" s="4"/>
    </row>
    <row r="2292" customHeight="1" spans="1:2">
      <c r="A2292" s="3" t="s">
        <v>17457</v>
      </c>
      <c r="B2292" s="4">
        <v>24800000</v>
      </c>
    </row>
    <row r="2293" customHeight="1" spans="1:2">
      <c r="A2293" s="3" t="s">
        <v>22509</v>
      </c>
      <c r="B2293" s="4"/>
    </row>
    <row r="2294" customHeight="1" spans="1:2">
      <c r="A2294" s="3" t="s">
        <v>4594</v>
      </c>
      <c r="B2294" s="4">
        <v>12081447</v>
      </c>
    </row>
    <row r="2295" customHeight="1" spans="1:2">
      <c r="A2295" s="3" t="s">
        <v>2061</v>
      </c>
      <c r="B2295" s="4">
        <v>25093607</v>
      </c>
    </row>
    <row r="2296" customHeight="1" spans="1:2">
      <c r="A2296" s="3" t="s">
        <v>8698</v>
      </c>
      <c r="B2296" s="4">
        <v>12987647</v>
      </c>
    </row>
    <row r="2297" customHeight="1" spans="1:2">
      <c r="A2297" s="3" t="s">
        <v>7966</v>
      </c>
      <c r="B2297" s="4">
        <v>11326836</v>
      </c>
    </row>
    <row r="2298" customHeight="1" spans="1:2">
      <c r="A2298" s="3" t="s">
        <v>4700</v>
      </c>
      <c r="B2298" s="4">
        <v>626809</v>
      </c>
    </row>
    <row r="2299" customHeight="1" spans="1:2">
      <c r="A2299" s="3" t="s">
        <v>12986</v>
      </c>
      <c r="B2299" s="4">
        <v>70527</v>
      </c>
    </row>
    <row r="2300" customHeight="1" spans="1:2">
      <c r="A2300" s="3" t="s">
        <v>11977</v>
      </c>
      <c r="B2300" s="4"/>
    </row>
    <row r="2301" customHeight="1" spans="1:2">
      <c r="A2301" s="3" t="s">
        <v>19158</v>
      </c>
      <c r="B2301" s="4">
        <v>42638165</v>
      </c>
    </row>
    <row r="2302" customHeight="1" spans="1:2">
      <c r="A2302" s="3" t="s">
        <v>8062</v>
      </c>
      <c r="B2302" s="4">
        <v>25296447</v>
      </c>
    </row>
    <row r="2303" customHeight="1" spans="1:2">
      <c r="A2303" s="3" t="s">
        <v>11591</v>
      </c>
      <c r="B2303" s="4"/>
    </row>
    <row r="2304" customHeight="1" spans="1:2">
      <c r="A2304" s="3" t="s">
        <v>3724</v>
      </c>
      <c r="B2304" s="4">
        <v>93452056</v>
      </c>
    </row>
    <row r="2305" customHeight="1" spans="1:2">
      <c r="A2305" s="3" t="s">
        <v>20160</v>
      </c>
      <c r="B2305" s="4">
        <v>59379</v>
      </c>
    </row>
    <row r="2306" customHeight="1" spans="1:2">
      <c r="A2306" s="3" t="s">
        <v>18733</v>
      </c>
      <c r="B2306" s="4">
        <v>982214</v>
      </c>
    </row>
    <row r="2307" customHeight="1" spans="1:2">
      <c r="A2307" s="3" t="s">
        <v>8194</v>
      </c>
      <c r="B2307" s="4">
        <v>117224271</v>
      </c>
    </row>
    <row r="2308" customHeight="1" spans="1:2">
      <c r="A2308" s="3" t="s">
        <v>18815</v>
      </c>
      <c r="B2308" s="4">
        <v>21210</v>
      </c>
    </row>
    <row r="2309" customHeight="1" spans="1:2">
      <c r="A2309" s="3" t="s">
        <v>15976</v>
      </c>
      <c r="B2309" s="4">
        <v>101055</v>
      </c>
    </row>
    <row r="2310" customHeight="1" spans="1:2">
      <c r="A2310" s="3" t="s">
        <v>19705</v>
      </c>
      <c r="B2310" s="4">
        <v>16115878</v>
      </c>
    </row>
    <row r="2311" customHeight="1" spans="1:2">
      <c r="A2311" s="3" t="s">
        <v>9370</v>
      </c>
      <c r="B2311" s="4"/>
    </row>
    <row r="2312" customHeight="1" spans="1:2">
      <c r="A2312" s="3" t="s">
        <v>7771</v>
      </c>
      <c r="B2312" s="4">
        <v>176483808</v>
      </c>
    </row>
    <row r="2313" customHeight="1" spans="1:2">
      <c r="A2313" s="3" t="s">
        <v>8458</v>
      </c>
      <c r="B2313" s="4">
        <v>25677801</v>
      </c>
    </row>
    <row r="2314" customHeight="1" spans="1:2">
      <c r="A2314" s="3" t="s">
        <v>3204</v>
      </c>
      <c r="B2314" s="4">
        <v>97680195</v>
      </c>
    </row>
    <row r="2315" customHeight="1" spans="1:2">
      <c r="A2315" s="3" t="s">
        <v>4802</v>
      </c>
      <c r="B2315" s="4">
        <v>623374</v>
      </c>
    </row>
    <row r="2316" customHeight="1" spans="1:2">
      <c r="A2316" s="3" t="s">
        <v>8522</v>
      </c>
      <c r="B2316" s="4">
        <v>28876924</v>
      </c>
    </row>
    <row r="2317" customHeight="1" spans="1:2">
      <c r="A2317" s="3" t="s">
        <v>23611</v>
      </c>
      <c r="B2317" s="4"/>
    </row>
    <row r="2318" customHeight="1" spans="1:2">
      <c r="A2318" s="3" t="s">
        <v>21516</v>
      </c>
      <c r="B2318" s="4"/>
    </row>
    <row r="2319" customHeight="1" spans="1:2">
      <c r="A2319" s="3" t="s">
        <v>263</v>
      </c>
      <c r="B2319" s="4">
        <v>312057433</v>
      </c>
    </row>
    <row r="2320" customHeight="1" spans="1:2">
      <c r="A2320" s="3" t="s">
        <v>23377</v>
      </c>
      <c r="B2320" s="4"/>
    </row>
    <row r="2321" customHeight="1" spans="1:2">
      <c r="A2321" s="3" t="s">
        <v>17144</v>
      </c>
      <c r="B2321" s="4">
        <v>86300000</v>
      </c>
    </row>
    <row r="2322" customHeight="1" spans="1:2">
      <c r="A2322" s="3" t="s">
        <v>23756</v>
      </c>
      <c r="B2322" s="4"/>
    </row>
    <row r="2323" customHeight="1" spans="1:2">
      <c r="A2323" s="3" t="s">
        <v>12675</v>
      </c>
      <c r="B2323" s="4">
        <v>5484375</v>
      </c>
    </row>
    <row r="2324" customHeight="1" spans="1:2">
      <c r="A2324" s="3" t="s">
        <v>9467</v>
      </c>
      <c r="B2324" s="4">
        <v>3419967</v>
      </c>
    </row>
    <row r="2325" customHeight="1" spans="1:2">
      <c r="A2325" s="3" t="s">
        <v>17560</v>
      </c>
      <c r="B2325" s="4">
        <v>4311834</v>
      </c>
    </row>
    <row r="2326" customHeight="1" spans="1:2">
      <c r="A2326" s="3" t="s">
        <v>11827</v>
      </c>
      <c r="B2326" s="4">
        <v>1779284</v>
      </c>
    </row>
    <row r="2327" customHeight="1" spans="1:2">
      <c r="A2327" s="3" t="s">
        <v>20724</v>
      </c>
      <c r="B2327" s="4"/>
    </row>
    <row r="2328" customHeight="1" spans="1:2">
      <c r="A2328" s="3" t="s">
        <v>2378</v>
      </c>
      <c r="B2328" s="4">
        <v>143151473</v>
      </c>
    </row>
    <row r="2329" customHeight="1" spans="1:2">
      <c r="A2329" s="3" t="s">
        <v>15706</v>
      </c>
      <c r="B2329" s="4"/>
    </row>
    <row r="2330" customHeight="1" spans="1:2">
      <c r="A2330" s="3" t="s">
        <v>12907</v>
      </c>
      <c r="B2330" s="4">
        <v>152857</v>
      </c>
    </row>
    <row r="2331" customHeight="1" spans="1:2">
      <c r="A2331" s="3" t="s">
        <v>18302</v>
      </c>
      <c r="B2331" s="4">
        <v>32940507</v>
      </c>
    </row>
    <row r="2332" customHeight="1" spans="1:2">
      <c r="A2332" s="3" t="s">
        <v>6980</v>
      </c>
      <c r="B2332" s="4">
        <v>77264926</v>
      </c>
    </row>
    <row r="2333" customHeight="1" spans="1:2">
      <c r="A2333" s="3" t="s">
        <v>21858</v>
      </c>
      <c r="B2333" s="4"/>
    </row>
    <row r="2334" customHeight="1" spans="1:2">
      <c r="A2334" s="3" t="s">
        <v>24111</v>
      </c>
      <c r="B2334" s="4"/>
    </row>
    <row r="2335" customHeight="1" spans="1:2">
      <c r="A2335" s="3" t="s">
        <v>13864</v>
      </c>
      <c r="B2335" s="4"/>
    </row>
    <row r="2336" customHeight="1" spans="1:2">
      <c r="A2336" s="3" t="s">
        <v>10276</v>
      </c>
      <c r="B2336" s="4">
        <v>37877959</v>
      </c>
    </row>
    <row r="2337" customHeight="1" spans="1:2">
      <c r="A2337" s="3" t="s">
        <v>1450</v>
      </c>
      <c r="B2337" s="4">
        <v>133103929</v>
      </c>
    </row>
    <row r="2338" customHeight="1" spans="1:2">
      <c r="A2338" s="3" t="s">
        <v>3819</v>
      </c>
      <c r="B2338" s="4">
        <v>47307550</v>
      </c>
    </row>
    <row r="2339" customHeight="1" spans="1:2">
      <c r="A2339" s="3" t="s">
        <v>16466</v>
      </c>
      <c r="B2339" s="4">
        <v>9449219</v>
      </c>
    </row>
    <row r="2340" customHeight="1" spans="1:2">
      <c r="A2340" s="3" t="s">
        <v>5802</v>
      </c>
      <c r="B2340" s="4">
        <v>108244774</v>
      </c>
    </row>
    <row r="2341" customHeight="1" spans="1:2">
      <c r="A2341" s="3" t="s">
        <v>10647</v>
      </c>
      <c r="B2341" s="4">
        <v>2412045</v>
      </c>
    </row>
    <row r="2342" customHeight="1" spans="1:2">
      <c r="A2342" s="3" t="s">
        <v>16250</v>
      </c>
      <c r="B2342" s="4">
        <v>185577</v>
      </c>
    </row>
    <row r="2343" customHeight="1" spans="1:2">
      <c r="A2343" s="3" t="s">
        <v>6533</v>
      </c>
      <c r="B2343" s="4">
        <v>30688364</v>
      </c>
    </row>
    <row r="2344" customHeight="1" spans="1:2">
      <c r="A2344" s="3" t="s">
        <v>5452</v>
      </c>
      <c r="B2344" s="4">
        <v>183125</v>
      </c>
    </row>
    <row r="2345" customHeight="1" spans="1:2">
      <c r="A2345" s="3" t="s">
        <v>10299</v>
      </c>
      <c r="B2345" s="4">
        <v>30226144</v>
      </c>
    </row>
    <row r="2346" customHeight="1" spans="1:2">
      <c r="A2346" s="3" t="s">
        <v>3904</v>
      </c>
      <c r="B2346" s="4">
        <v>7262288</v>
      </c>
    </row>
    <row r="2347" customHeight="1" spans="1:2">
      <c r="A2347" s="3" t="s">
        <v>15149</v>
      </c>
      <c r="B2347" s="4"/>
    </row>
    <row r="2348" customHeight="1" spans="1:2">
      <c r="A2348" s="3" t="s">
        <v>1912</v>
      </c>
      <c r="B2348" s="4">
        <v>144156464</v>
      </c>
    </row>
    <row r="2349" customHeight="1" spans="1:2">
      <c r="A2349" s="3" t="s">
        <v>9421</v>
      </c>
      <c r="B2349" s="4">
        <v>5887457</v>
      </c>
    </row>
    <row r="2350" customHeight="1" spans="1:2">
      <c r="A2350" s="3" t="s">
        <v>9999</v>
      </c>
      <c r="B2350" s="4"/>
    </row>
    <row r="2351" customHeight="1" spans="1:2">
      <c r="A2351" s="3" t="s">
        <v>511</v>
      </c>
      <c r="B2351" s="4">
        <v>176636816</v>
      </c>
    </row>
    <row r="2352" customHeight="1" spans="1:2">
      <c r="A2352" s="3" t="s">
        <v>21467</v>
      </c>
      <c r="B2352" s="4"/>
    </row>
    <row r="2353" customHeight="1" spans="1:2">
      <c r="A2353" s="3" t="s">
        <v>21899</v>
      </c>
      <c r="B2353" s="4"/>
    </row>
    <row r="2354" customHeight="1" spans="1:2">
      <c r="A2354" s="3" t="s">
        <v>7944</v>
      </c>
      <c r="B2354" s="4">
        <v>1050445</v>
      </c>
    </row>
    <row r="2355" customHeight="1" spans="1:2">
      <c r="A2355" s="3" t="s">
        <v>2425</v>
      </c>
      <c r="B2355" s="4">
        <v>90646554</v>
      </c>
    </row>
    <row r="2356" customHeight="1" spans="1:2">
      <c r="A2356" s="3" t="s">
        <v>15150</v>
      </c>
      <c r="B2356" s="4">
        <v>27445</v>
      </c>
    </row>
    <row r="2357" customHeight="1" spans="1:2">
      <c r="A2357" s="3" t="s">
        <v>18236</v>
      </c>
      <c r="B2357" s="4"/>
    </row>
    <row r="2358" customHeight="1" spans="1:2">
      <c r="A2358" s="3" t="s">
        <v>3519</v>
      </c>
      <c r="B2358" s="4">
        <v>19445217</v>
      </c>
    </row>
    <row r="2359" customHeight="1" spans="1:2">
      <c r="A2359" s="3" t="s">
        <v>1866</v>
      </c>
      <c r="B2359" s="4">
        <v>70224196</v>
      </c>
    </row>
    <row r="2360" customHeight="1" spans="1:2">
      <c r="A2360" s="3" t="s">
        <v>22927</v>
      </c>
      <c r="B2360" s="4"/>
    </row>
    <row r="2361" customHeight="1" spans="1:2">
      <c r="A2361" s="3" t="s">
        <v>8645</v>
      </c>
      <c r="B2361" s="4">
        <v>8000000</v>
      </c>
    </row>
    <row r="2362" customHeight="1" spans="1:2">
      <c r="A2362" s="3" t="s">
        <v>1353</v>
      </c>
      <c r="B2362" s="4"/>
    </row>
    <row r="2363" customHeight="1" spans="1:2">
      <c r="A2363" s="3" t="s">
        <v>23921</v>
      </c>
      <c r="B2363" s="4"/>
    </row>
    <row r="2364" customHeight="1" spans="1:2">
      <c r="A2364" s="3" t="s">
        <v>6599</v>
      </c>
      <c r="B2364" s="4">
        <v>42168445</v>
      </c>
    </row>
    <row r="2365" customHeight="1" spans="1:2">
      <c r="A2365" s="3" t="s">
        <v>4577</v>
      </c>
      <c r="B2365" s="4">
        <v>5773519</v>
      </c>
    </row>
    <row r="2366" customHeight="1" spans="1:2">
      <c r="A2366" s="3" t="s">
        <v>19737</v>
      </c>
      <c r="B2366" s="4">
        <v>40542</v>
      </c>
    </row>
    <row r="2367" customHeight="1" spans="1:2">
      <c r="A2367" s="3" t="s">
        <v>18069</v>
      </c>
      <c r="B2367" s="4">
        <v>11806119</v>
      </c>
    </row>
    <row r="2368" customHeight="1" spans="1:2">
      <c r="A2368" s="3" t="s">
        <v>4540</v>
      </c>
      <c r="B2368" s="4">
        <v>14375181</v>
      </c>
    </row>
    <row r="2369" customHeight="1" spans="1:2">
      <c r="A2369" s="3" t="s">
        <v>7175</v>
      </c>
      <c r="B2369" s="4">
        <v>2926565</v>
      </c>
    </row>
    <row r="2370" customHeight="1" spans="1:2">
      <c r="A2370" s="3" t="s">
        <v>22247</v>
      </c>
      <c r="B2370" s="4"/>
    </row>
    <row r="2371" customHeight="1" spans="1:2">
      <c r="A2371" s="3" t="s">
        <v>19661</v>
      </c>
      <c r="B2371" s="4">
        <v>2808000</v>
      </c>
    </row>
    <row r="2372" customHeight="1" spans="1:2">
      <c r="A2372" s="3" t="s">
        <v>4190</v>
      </c>
      <c r="B2372" s="4">
        <v>87666629</v>
      </c>
    </row>
    <row r="2373" customHeight="1" spans="1:2">
      <c r="A2373" s="3" t="s">
        <v>13506</v>
      </c>
      <c r="B2373" s="4"/>
    </row>
    <row r="2374" customHeight="1" spans="1:2">
      <c r="A2374" s="3" t="s">
        <v>3866</v>
      </c>
      <c r="B2374" s="4">
        <v>19377727</v>
      </c>
    </row>
    <row r="2375" customHeight="1" spans="1:2">
      <c r="A2375" s="3" t="s">
        <v>6746</v>
      </c>
      <c r="B2375" s="4">
        <v>25977365</v>
      </c>
    </row>
    <row r="2376" customHeight="1" spans="1:2">
      <c r="A2376" s="3" t="s">
        <v>7723</v>
      </c>
      <c r="B2376" s="4">
        <v>11508423</v>
      </c>
    </row>
    <row r="2377" customHeight="1" spans="1:2">
      <c r="A2377" s="3" t="s">
        <v>6040</v>
      </c>
      <c r="B2377" s="4">
        <v>38413606</v>
      </c>
    </row>
    <row r="2378" customHeight="1" spans="1:2">
      <c r="A2378" s="3" t="s">
        <v>6764</v>
      </c>
      <c r="B2378" s="4">
        <v>61490000</v>
      </c>
    </row>
    <row r="2379" customHeight="1" spans="1:2">
      <c r="A2379" s="3" t="s">
        <v>12720</v>
      </c>
      <c r="B2379" s="4">
        <v>2331318</v>
      </c>
    </row>
    <row r="2380" customHeight="1" spans="1:2">
      <c r="A2380" s="3" t="s">
        <v>10905</v>
      </c>
      <c r="B2380" s="4"/>
    </row>
    <row r="2381" customHeight="1" spans="1:2">
      <c r="A2381" s="3" t="s">
        <v>22295</v>
      </c>
      <c r="B2381" s="4"/>
    </row>
    <row r="2382" customHeight="1" spans="1:2">
      <c r="A2382" s="3" t="s">
        <v>14934</v>
      </c>
      <c r="B2382" s="4">
        <v>20200</v>
      </c>
    </row>
    <row r="2383" customHeight="1" spans="1:2">
      <c r="A2383" s="3" t="s">
        <v>18165</v>
      </c>
      <c r="B2383" s="4"/>
    </row>
    <row r="2384" customHeight="1" spans="1:2">
      <c r="A2384" s="3" t="s">
        <v>23545</v>
      </c>
      <c r="B2384" s="4"/>
    </row>
    <row r="2385" customHeight="1" spans="1:2">
      <c r="A2385" s="3" t="s">
        <v>18106</v>
      </c>
      <c r="B2385" s="4">
        <v>53991137</v>
      </c>
    </row>
    <row r="2386" customHeight="1" spans="1:2">
      <c r="A2386" s="3" t="s">
        <v>23075</v>
      </c>
      <c r="B2386" s="4"/>
    </row>
    <row r="2387" customHeight="1" spans="1:2">
      <c r="A2387" s="3" t="s">
        <v>2514</v>
      </c>
      <c r="B2387" s="4">
        <v>50818750</v>
      </c>
    </row>
    <row r="2388" customHeight="1" spans="1:2">
      <c r="A2388" s="3" t="s">
        <v>16756</v>
      </c>
      <c r="B2388" s="4"/>
    </row>
    <row r="2389" customHeight="1" spans="1:2">
      <c r="A2389" s="3" t="s">
        <v>12590</v>
      </c>
      <c r="B2389" s="4">
        <v>8460995</v>
      </c>
    </row>
    <row r="2390" customHeight="1" spans="1:2">
      <c r="A2390" s="3" t="s">
        <v>12425</v>
      </c>
      <c r="B2390" s="4">
        <v>25464480</v>
      </c>
    </row>
    <row r="2391" customHeight="1" spans="1:2">
      <c r="A2391" s="3" t="s">
        <v>1708</v>
      </c>
      <c r="B2391" s="4">
        <v>306124059</v>
      </c>
    </row>
    <row r="2392" customHeight="1" spans="1:2">
      <c r="A2392" s="3" t="s">
        <v>20012</v>
      </c>
      <c r="B2392" s="4"/>
    </row>
    <row r="2393" customHeight="1" spans="1:2">
      <c r="A2393" s="3" t="s">
        <v>5790</v>
      </c>
      <c r="B2393" s="4">
        <v>114324072</v>
      </c>
    </row>
    <row r="2394" customHeight="1" spans="1:2">
      <c r="A2394" s="3" t="s">
        <v>3032</v>
      </c>
      <c r="B2394" s="4">
        <v>70327868</v>
      </c>
    </row>
    <row r="2395" customHeight="1" spans="1:2">
      <c r="A2395" s="3" t="s">
        <v>6227</v>
      </c>
      <c r="B2395" s="4">
        <v>12189514</v>
      </c>
    </row>
    <row r="2396" customHeight="1" spans="1:2">
      <c r="A2396" s="3" t="s">
        <v>9683</v>
      </c>
      <c r="B2396" s="4"/>
    </row>
    <row r="2397" customHeight="1" spans="1:2">
      <c r="A2397" s="3" t="s">
        <v>5351</v>
      </c>
      <c r="B2397" s="4">
        <v>7659747</v>
      </c>
    </row>
    <row r="2398" customHeight="1" spans="1:2">
      <c r="A2398" s="3" t="s">
        <v>23634</v>
      </c>
      <c r="B2398" s="4"/>
    </row>
    <row r="2399" customHeight="1" spans="1:2">
      <c r="A2399" s="3" t="s">
        <v>352</v>
      </c>
      <c r="B2399" s="4"/>
    </row>
    <row r="2400" customHeight="1" spans="1:2">
      <c r="A2400" s="3" t="s">
        <v>11582</v>
      </c>
      <c r="B2400" s="4">
        <v>42365600</v>
      </c>
    </row>
    <row r="2401" customHeight="1" spans="1:2">
      <c r="A2401" s="3" t="s">
        <v>82</v>
      </c>
      <c r="B2401" s="4">
        <v>241063875</v>
      </c>
    </row>
    <row r="2402" customHeight="1" spans="1:2">
      <c r="A2402" s="3" t="s">
        <v>4681</v>
      </c>
      <c r="B2402" s="4">
        <v>144512310</v>
      </c>
    </row>
    <row r="2403" customHeight="1" spans="1:2">
      <c r="A2403" s="3" t="s">
        <v>13620</v>
      </c>
      <c r="B2403" s="4">
        <v>34746109</v>
      </c>
    </row>
    <row r="2404" customHeight="1" spans="1:2">
      <c r="A2404" s="3" t="s">
        <v>4056</v>
      </c>
      <c r="B2404" s="4">
        <v>24375436</v>
      </c>
    </row>
    <row r="2405" customHeight="1" spans="1:2">
      <c r="A2405" s="3" t="s">
        <v>19379</v>
      </c>
      <c r="B2405" s="4">
        <v>603943</v>
      </c>
    </row>
    <row r="2406" customHeight="1" spans="1:2">
      <c r="A2406" s="3" t="s">
        <v>22806</v>
      </c>
      <c r="B2406" s="4"/>
    </row>
    <row r="2407" customHeight="1" spans="1:2">
      <c r="A2407" s="3" t="s">
        <v>19220</v>
      </c>
      <c r="B2407" s="4">
        <v>32048809</v>
      </c>
    </row>
    <row r="2408" customHeight="1" spans="1:2">
      <c r="A2408" s="3" t="s">
        <v>46</v>
      </c>
      <c r="B2408" s="4">
        <v>73058679</v>
      </c>
    </row>
    <row r="2409" customHeight="1" spans="1:2">
      <c r="A2409" s="3" t="s">
        <v>22824</v>
      </c>
      <c r="B2409" s="4"/>
    </row>
    <row r="2410" customHeight="1" spans="1:2">
      <c r="A2410" s="3" t="s">
        <v>17843</v>
      </c>
      <c r="B2410" s="4">
        <v>1028658</v>
      </c>
    </row>
    <row r="2411" customHeight="1" spans="1:2">
      <c r="A2411" s="3" t="s">
        <v>15059</v>
      </c>
      <c r="B2411" s="4"/>
    </row>
    <row r="2412" customHeight="1" spans="1:2">
      <c r="A2412" s="3" t="s">
        <v>10060</v>
      </c>
      <c r="B2412" s="4">
        <v>130058047</v>
      </c>
    </row>
    <row r="2413" customHeight="1" spans="1:2">
      <c r="A2413" s="3" t="s">
        <v>16278</v>
      </c>
      <c r="B2413" s="4">
        <v>20262</v>
      </c>
    </row>
    <row r="2414" customHeight="1" spans="1:2">
      <c r="A2414" s="3" t="s">
        <v>21533</v>
      </c>
      <c r="B2414" s="4"/>
    </row>
    <row r="2415" customHeight="1" spans="1:2">
      <c r="A2415" s="3" t="s">
        <v>622</v>
      </c>
      <c r="B2415" s="4"/>
    </row>
    <row r="2416" customHeight="1" spans="1:2">
      <c r="A2416" s="3" t="s">
        <v>18182</v>
      </c>
      <c r="B2416" s="4">
        <v>92362</v>
      </c>
    </row>
    <row r="2417" customHeight="1" spans="1:2">
      <c r="A2417" s="3" t="s">
        <v>14508</v>
      </c>
      <c r="B2417" s="4"/>
    </row>
    <row r="2418" customHeight="1" spans="1:2">
      <c r="A2418" s="3" t="s">
        <v>399</v>
      </c>
      <c r="B2418" s="4">
        <v>119420252</v>
      </c>
    </row>
    <row r="2419" customHeight="1" spans="1:2">
      <c r="A2419" s="3" t="s">
        <v>23693</v>
      </c>
      <c r="B2419" s="4"/>
    </row>
    <row r="2420" customHeight="1" spans="1:2">
      <c r="A2420" s="3" t="s">
        <v>3690</v>
      </c>
      <c r="B2420" s="4">
        <v>58918501</v>
      </c>
    </row>
    <row r="2421" customHeight="1" spans="1:2">
      <c r="A2421" s="3" t="s">
        <v>16679</v>
      </c>
      <c r="B2421" s="4">
        <v>51100000</v>
      </c>
    </row>
    <row r="2422" customHeight="1" spans="1:2">
      <c r="A2422" s="3" t="s">
        <v>4666</v>
      </c>
      <c r="B2422" s="4">
        <v>50693162</v>
      </c>
    </row>
    <row r="2423" customHeight="1" spans="1:2">
      <c r="A2423" s="3" t="s">
        <v>9963</v>
      </c>
      <c r="B2423" s="4">
        <v>1686429</v>
      </c>
    </row>
    <row r="2424" customHeight="1" spans="1:2">
      <c r="A2424" s="3" t="s">
        <v>10407</v>
      </c>
      <c r="B2424" s="4">
        <v>15700000</v>
      </c>
    </row>
    <row r="2425" customHeight="1" spans="1:2">
      <c r="A2425" s="3" t="s">
        <v>19598</v>
      </c>
      <c r="B2425" s="4">
        <v>107917283</v>
      </c>
    </row>
    <row r="2426" customHeight="1" spans="1:2">
      <c r="A2426" s="3" t="s">
        <v>9317</v>
      </c>
      <c r="B2426" s="4">
        <v>22452209</v>
      </c>
    </row>
    <row r="2427" customHeight="1" spans="1:2">
      <c r="A2427" s="3" t="s">
        <v>12389</v>
      </c>
      <c r="B2427" s="4">
        <v>25600000</v>
      </c>
    </row>
    <row r="2428" customHeight="1" spans="1:2">
      <c r="A2428" s="3" t="s">
        <v>14848</v>
      </c>
      <c r="B2428" s="4">
        <v>117560</v>
      </c>
    </row>
    <row r="2429" customHeight="1" spans="1:2">
      <c r="A2429" s="3" t="s">
        <v>8501</v>
      </c>
      <c r="B2429" s="4">
        <v>25077977</v>
      </c>
    </row>
    <row r="2430" customHeight="1" spans="1:2">
      <c r="A2430" s="3" t="s">
        <v>11320</v>
      </c>
      <c r="B2430" s="4">
        <v>3169424</v>
      </c>
    </row>
    <row r="2431" customHeight="1" spans="1:2">
      <c r="A2431" s="3" t="s">
        <v>4865</v>
      </c>
      <c r="B2431" s="4">
        <v>68208190</v>
      </c>
    </row>
    <row r="2432" customHeight="1" spans="1:2">
      <c r="A2432" s="3" t="s">
        <v>9149</v>
      </c>
      <c r="B2432" s="4">
        <v>20433940</v>
      </c>
    </row>
    <row r="2433" customHeight="1" spans="1:2">
      <c r="A2433" s="3" t="s">
        <v>23225</v>
      </c>
      <c r="B2433" s="4"/>
    </row>
    <row r="2434" customHeight="1" spans="1:2">
      <c r="A2434" s="3" t="s">
        <v>12727</v>
      </c>
      <c r="B2434" s="4">
        <v>2185266</v>
      </c>
    </row>
    <row r="2435" customHeight="1" spans="1:2">
      <c r="A2435" s="3" t="s">
        <v>11170</v>
      </c>
      <c r="B2435" s="4">
        <v>91038276</v>
      </c>
    </row>
    <row r="2436" customHeight="1" spans="1:2">
      <c r="A2436" s="3" t="s">
        <v>4322</v>
      </c>
      <c r="B2436" s="4">
        <v>54414716</v>
      </c>
    </row>
    <row r="2437" customHeight="1" spans="1:2">
      <c r="A2437" s="3" t="s">
        <v>7751</v>
      </c>
      <c r="B2437" s="4"/>
    </row>
    <row r="2438" customHeight="1" spans="1:2">
      <c r="A2438" s="3" t="s">
        <v>9770</v>
      </c>
      <c r="B2438" s="4">
        <v>39825798</v>
      </c>
    </row>
    <row r="2439" customHeight="1" spans="1:2">
      <c r="A2439" s="3" t="s">
        <v>1600</v>
      </c>
      <c r="B2439" s="4">
        <v>34566746</v>
      </c>
    </row>
    <row r="2440" customHeight="1" spans="1:2">
      <c r="A2440" s="3" t="s">
        <v>5516</v>
      </c>
      <c r="B2440" s="4">
        <v>21426805</v>
      </c>
    </row>
    <row r="2441" customHeight="1" spans="1:2">
      <c r="A2441" s="3" t="s">
        <v>9825</v>
      </c>
      <c r="B2441" s="4">
        <v>39511038</v>
      </c>
    </row>
    <row r="2442" customHeight="1" spans="1:2">
      <c r="A2442" s="3" t="s">
        <v>23326</v>
      </c>
      <c r="B2442" s="4"/>
    </row>
    <row r="2443" customHeight="1" spans="1:2">
      <c r="A2443" s="3" t="s">
        <v>5691</v>
      </c>
      <c r="B2443" s="4">
        <v>78800000</v>
      </c>
    </row>
    <row r="2444" customHeight="1" spans="1:2">
      <c r="A2444" s="3" t="s">
        <v>11529</v>
      </c>
      <c r="B2444" s="4">
        <v>79568000</v>
      </c>
    </row>
    <row r="2445" customHeight="1" spans="1:2">
      <c r="A2445" s="3" t="s">
        <v>6585</v>
      </c>
      <c r="B2445" s="4">
        <v>20285518</v>
      </c>
    </row>
    <row r="2446" customHeight="1" spans="1:2">
      <c r="A2446" s="3" t="s">
        <v>15766</v>
      </c>
      <c r="B2446" s="4">
        <v>778565</v>
      </c>
    </row>
    <row r="2447" customHeight="1" spans="1:2">
      <c r="A2447" s="3" t="s">
        <v>22671</v>
      </c>
      <c r="B2447" s="4"/>
    </row>
    <row r="2448" customHeight="1" spans="1:2">
      <c r="A2448" s="3" t="s">
        <v>18192</v>
      </c>
      <c r="B2448" s="4"/>
    </row>
    <row r="2449" customHeight="1" spans="1:2">
      <c r="A2449" s="3" t="s">
        <v>2889</v>
      </c>
      <c r="B2449" s="4">
        <v>68750000</v>
      </c>
    </row>
    <row r="2450" customHeight="1" spans="1:2">
      <c r="A2450" s="3" t="s">
        <v>805</v>
      </c>
      <c r="B2450" s="4">
        <v>142614158</v>
      </c>
    </row>
    <row r="2451" customHeight="1" spans="1:2">
      <c r="A2451" s="3" t="s">
        <v>7684</v>
      </c>
      <c r="B2451" s="4">
        <v>18653615</v>
      </c>
    </row>
    <row r="2452" customHeight="1" spans="1:2">
      <c r="A2452" s="3" t="s">
        <v>14942</v>
      </c>
      <c r="B2452" s="4"/>
    </row>
    <row r="2453" customHeight="1" spans="1:2">
      <c r="A2453" s="3" t="s">
        <v>18279</v>
      </c>
      <c r="B2453" s="4">
        <v>3650677</v>
      </c>
    </row>
    <row r="2454" customHeight="1" spans="1:2">
      <c r="A2454" s="3" t="s">
        <v>751</v>
      </c>
      <c r="B2454" s="4">
        <v>67155742</v>
      </c>
    </row>
    <row r="2455" customHeight="1" spans="1:2">
      <c r="A2455" s="3" t="s">
        <v>21037</v>
      </c>
      <c r="B2455" s="4"/>
    </row>
    <row r="2456" customHeight="1" spans="1:2">
      <c r="A2456" s="3" t="s">
        <v>1842</v>
      </c>
      <c r="B2456" s="4">
        <v>21009180</v>
      </c>
    </row>
    <row r="2457" customHeight="1" spans="1:2">
      <c r="A2457" s="3" t="s">
        <v>16885</v>
      </c>
      <c r="B2457" s="4">
        <v>3000000</v>
      </c>
    </row>
    <row r="2458" customHeight="1" spans="1:2">
      <c r="A2458" s="3" t="s">
        <v>373</v>
      </c>
      <c r="B2458" s="4">
        <v>179982968</v>
      </c>
    </row>
    <row r="2459" customHeight="1" spans="1:2">
      <c r="A2459" s="3" t="s">
        <v>21652</v>
      </c>
      <c r="B2459" s="4"/>
    </row>
    <row r="2460" customHeight="1" spans="1:2">
      <c r="A2460" s="3" t="s">
        <v>4110</v>
      </c>
      <c r="B2460" s="4">
        <v>18600911</v>
      </c>
    </row>
    <row r="2461" customHeight="1" spans="1:2">
      <c r="A2461" s="3" t="s">
        <v>9082</v>
      </c>
      <c r="B2461" s="4"/>
    </row>
    <row r="2462" customHeight="1" spans="1:2">
      <c r="A2462" s="3" t="s">
        <v>14337</v>
      </c>
      <c r="B2462" s="4">
        <v>1889522</v>
      </c>
    </row>
    <row r="2463" customHeight="1" spans="1:2">
      <c r="A2463" s="3" t="s">
        <v>22256</v>
      </c>
      <c r="B2463" s="4"/>
    </row>
    <row r="2464" customHeight="1" spans="1:2">
      <c r="A2464" s="3" t="s">
        <v>22625</v>
      </c>
      <c r="B2464" s="4"/>
    </row>
    <row r="2465" customHeight="1" spans="1:2">
      <c r="A2465" s="3" t="s">
        <v>11006</v>
      </c>
      <c r="B2465" s="4">
        <v>3100650</v>
      </c>
    </row>
    <row r="2466" customHeight="1" spans="1:2">
      <c r="A2466" s="3" t="s">
        <v>20142</v>
      </c>
      <c r="B2466" s="4">
        <v>2643689</v>
      </c>
    </row>
    <row r="2467" customHeight="1" spans="1:2">
      <c r="A2467" s="3" t="s">
        <v>924</v>
      </c>
      <c r="B2467" s="4">
        <v>85017401</v>
      </c>
    </row>
    <row r="2468" customHeight="1" spans="1:2">
      <c r="A2468" s="3" t="s">
        <v>12302</v>
      </c>
      <c r="B2468" s="4">
        <v>40485039</v>
      </c>
    </row>
    <row r="2469" customHeight="1" spans="1:2">
      <c r="A2469" s="3" t="s">
        <v>6697</v>
      </c>
      <c r="B2469" s="4">
        <v>41008532</v>
      </c>
    </row>
    <row r="2470" customHeight="1" spans="1:2">
      <c r="A2470" s="3" t="s">
        <v>6205</v>
      </c>
      <c r="B2470" s="4">
        <v>12831121</v>
      </c>
    </row>
    <row r="2471" customHeight="1" spans="1:2">
      <c r="A2471" s="3" t="s">
        <v>15828</v>
      </c>
      <c r="B2471" s="4"/>
    </row>
    <row r="2472" customHeight="1" spans="1:2">
      <c r="A2472" s="3" t="s">
        <v>4115</v>
      </c>
      <c r="B2472" s="4">
        <v>7204138</v>
      </c>
    </row>
    <row r="2473" customHeight="1" spans="1:2">
      <c r="A2473" s="3" t="s">
        <v>5195</v>
      </c>
      <c r="B2473" s="4">
        <v>37304950</v>
      </c>
    </row>
    <row r="2474" customHeight="1" spans="1:2">
      <c r="A2474" s="3" t="s">
        <v>8668</v>
      </c>
      <c r="B2474" s="4">
        <v>13801755</v>
      </c>
    </row>
    <row r="2475" customHeight="1" spans="1:2">
      <c r="A2475" s="3" t="s">
        <v>10277</v>
      </c>
      <c r="B2475" s="4">
        <v>32721635</v>
      </c>
    </row>
    <row r="2476" customHeight="1" spans="1:2">
      <c r="A2476" s="3" t="s">
        <v>6871</v>
      </c>
      <c r="B2476" s="4">
        <v>20047715</v>
      </c>
    </row>
    <row r="2477" customHeight="1" spans="1:2">
      <c r="A2477" s="3" t="s">
        <v>21597</v>
      </c>
      <c r="B2477" s="4"/>
    </row>
    <row r="2478" customHeight="1" spans="1:2">
      <c r="A2478" s="3" t="s">
        <v>17345</v>
      </c>
      <c r="B2478" s="4"/>
    </row>
    <row r="2479" customHeight="1" spans="1:2">
      <c r="A2479" s="3" t="s">
        <v>8609</v>
      </c>
      <c r="B2479" s="4">
        <v>17104669</v>
      </c>
    </row>
    <row r="2480" customHeight="1" spans="1:2">
      <c r="A2480" s="3" t="s">
        <v>23018</v>
      </c>
      <c r="B2480" s="4"/>
    </row>
    <row r="2481" customHeight="1" spans="1:2">
      <c r="A2481" s="3" t="s">
        <v>11185</v>
      </c>
      <c r="B2481" s="4">
        <v>61693523</v>
      </c>
    </row>
    <row r="2482" customHeight="1" spans="1:2">
      <c r="A2482" s="3" t="s">
        <v>20596</v>
      </c>
      <c r="B2482" s="4"/>
    </row>
    <row r="2483" customHeight="1" spans="1:2">
      <c r="A2483" s="3" t="s">
        <v>1441</v>
      </c>
      <c r="B2483" s="4">
        <v>140459099</v>
      </c>
    </row>
    <row r="2484" customHeight="1" spans="1:2">
      <c r="A2484" s="3" t="s">
        <v>1550</v>
      </c>
      <c r="B2484" s="4">
        <v>821997</v>
      </c>
    </row>
    <row r="2485" customHeight="1" spans="1:2">
      <c r="A2485" s="3" t="s">
        <v>12027</v>
      </c>
      <c r="B2485" s="4">
        <v>4884663</v>
      </c>
    </row>
    <row r="2486" customHeight="1" spans="1:2">
      <c r="A2486" s="3" t="s">
        <v>1099</v>
      </c>
      <c r="B2486" s="4">
        <v>250147615</v>
      </c>
    </row>
    <row r="2487" customHeight="1" spans="1:2">
      <c r="A2487" s="3" t="s">
        <v>23812</v>
      </c>
      <c r="B2487" s="4"/>
    </row>
    <row r="2488" customHeight="1" spans="1:2">
      <c r="A2488" s="3" t="s">
        <v>23229</v>
      </c>
      <c r="B2488" s="4"/>
    </row>
    <row r="2489" customHeight="1" spans="1:2">
      <c r="A2489" s="3" t="s">
        <v>22940</v>
      </c>
      <c r="B2489" s="4"/>
    </row>
    <row r="2490" customHeight="1" spans="1:2">
      <c r="A2490" s="3" t="s">
        <v>21585</v>
      </c>
      <c r="B2490" s="4"/>
    </row>
    <row r="2491" customHeight="1" spans="1:2">
      <c r="A2491" s="3" t="s">
        <v>18273</v>
      </c>
      <c r="B2491" s="4"/>
    </row>
    <row r="2492" customHeight="1" spans="1:2">
      <c r="A2492" s="3" t="s">
        <v>21910</v>
      </c>
      <c r="B2492" s="4"/>
    </row>
    <row r="2493" customHeight="1" spans="1:2">
      <c r="A2493" s="3" t="s">
        <v>18219</v>
      </c>
      <c r="B2493" s="4"/>
    </row>
    <row r="2494" customHeight="1" spans="1:2">
      <c r="A2494" s="3" t="s">
        <v>18373</v>
      </c>
      <c r="B2494" s="4"/>
    </row>
    <row r="2495" customHeight="1" spans="1:2">
      <c r="A2495" s="3" t="s">
        <v>303</v>
      </c>
      <c r="B2495" s="4">
        <v>187991439</v>
      </c>
    </row>
    <row r="2496" customHeight="1" spans="1:2">
      <c r="A2496" s="3" t="s">
        <v>83</v>
      </c>
      <c r="B2496" s="4">
        <v>179020854</v>
      </c>
    </row>
    <row r="2497" customHeight="1" spans="1:2">
      <c r="A2497" s="3" t="s">
        <v>6754</v>
      </c>
      <c r="B2497" s="4">
        <v>91457688</v>
      </c>
    </row>
    <row r="2498" customHeight="1" spans="1:2">
      <c r="A2498" s="3" t="s">
        <v>654</v>
      </c>
      <c r="B2498" s="4"/>
    </row>
    <row r="2499" customHeight="1" spans="1:2">
      <c r="A2499" s="3" t="s">
        <v>18746</v>
      </c>
      <c r="B2499" s="4">
        <v>464655</v>
      </c>
    </row>
    <row r="2500" customHeight="1" spans="1:2">
      <c r="A2500" s="3" t="s">
        <v>12039</v>
      </c>
      <c r="B2500" s="4"/>
    </row>
    <row r="2501" customHeight="1" spans="1:2">
      <c r="A2501" s="3" t="s">
        <v>15961</v>
      </c>
      <c r="B2501" s="4"/>
    </row>
    <row r="2502" customHeight="1" spans="1:2">
      <c r="A2502" s="3" t="s">
        <v>4631</v>
      </c>
      <c r="B2502" s="4">
        <v>10640645</v>
      </c>
    </row>
    <row r="2503" customHeight="1" spans="1:2">
      <c r="A2503" s="3" t="s">
        <v>16020</v>
      </c>
      <c r="B2503" s="4"/>
    </row>
    <row r="2504" customHeight="1" spans="1:2">
      <c r="A2504" s="3" t="s">
        <v>17614</v>
      </c>
      <c r="B2504" s="4">
        <v>1430185</v>
      </c>
    </row>
    <row r="2505" customHeight="1" spans="1:2">
      <c r="A2505" s="3" t="s">
        <v>23337</v>
      </c>
      <c r="B2505" s="4"/>
    </row>
    <row r="2506" customHeight="1" spans="1:2">
      <c r="A2506" s="3" t="s">
        <v>19337</v>
      </c>
      <c r="B2506" s="4">
        <v>3773863</v>
      </c>
    </row>
    <row r="2507" customHeight="1" spans="1:2">
      <c r="A2507" s="3" t="s">
        <v>5517</v>
      </c>
      <c r="B2507" s="4">
        <v>35057332</v>
      </c>
    </row>
    <row r="2508" customHeight="1" spans="1:2">
      <c r="A2508" s="3" t="s">
        <v>865</v>
      </c>
      <c r="B2508" s="4">
        <v>101643008</v>
      </c>
    </row>
    <row r="2509" customHeight="1" spans="1:2">
      <c r="A2509" s="3" t="s">
        <v>21830</v>
      </c>
      <c r="B2509" s="4"/>
    </row>
    <row r="2510" customHeight="1" spans="1:2">
      <c r="A2510" s="3" t="s">
        <v>3465</v>
      </c>
      <c r="B2510" s="4">
        <v>19118247</v>
      </c>
    </row>
    <row r="2511" customHeight="1" spans="1:2">
      <c r="A2511" s="3" t="s">
        <v>4825</v>
      </c>
      <c r="B2511" s="4">
        <v>92173235</v>
      </c>
    </row>
    <row r="2512" customHeight="1" spans="1:2">
      <c r="A2512" s="3" t="s">
        <v>23142</v>
      </c>
      <c r="B2512" s="4"/>
    </row>
    <row r="2513" customHeight="1" spans="1:2">
      <c r="A2513" s="3" t="s">
        <v>3249</v>
      </c>
      <c r="B2513" s="4">
        <v>75367693</v>
      </c>
    </row>
    <row r="2514" customHeight="1" spans="1:2">
      <c r="A2514" s="3" t="s">
        <v>176</v>
      </c>
      <c r="B2514" s="4">
        <v>101785482</v>
      </c>
    </row>
    <row r="2515" customHeight="1" spans="1:2">
      <c r="A2515" s="3" t="s">
        <v>24100</v>
      </c>
      <c r="B2515" s="4"/>
    </row>
    <row r="2516" customHeight="1" spans="1:2">
      <c r="A2516" s="3" t="s">
        <v>23233</v>
      </c>
      <c r="B2516" s="4"/>
    </row>
    <row r="2517" customHeight="1" spans="1:2">
      <c r="A2517" s="3" t="s">
        <v>9904</v>
      </c>
      <c r="B2517" s="4">
        <v>15427192</v>
      </c>
    </row>
    <row r="2518" customHeight="1" spans="1:2">
      <c r="A2518" s="3" t="s">
        <v>3203</v>
      </c>
      <c r="B2518" s="4">
        <v>105264608</v>
      </c>
    </row>
    <row r="2519" customHeight="1" spans="1:2">
      <c r="A2519" s="3" t="s">
        <v>5078</v>
      </c>
      <c r="B2519" s="4">
        <v>52277485</v>
      </c>
    </row>
    <row r="2520" customHeight="1" spans="1:2">
      <c r="A2520" s="3" t="s">
        <v>9724</v>
      </c>
      <c r="B2520" s="4">
        <v>1569918</v>
      </c>
    </row>
    <row r="2521" customHeight="1" spans="1:2">
      <c r="A2521" s="3" t="s">
        <v>18229</v>
      </c>
      <c r="B2521" s="4"/>
    </row>
    <row r="2522" customHeight="1" spans="1:2">
      <c r="A2522" s="3" t="s">
        <v>3244</v>
      </c>
      <c r="B2522" s="4">
        <v>75888270</v>
      </c>
    </row>
    <row r="2523" customHeight="1" spans="1:2">
      <c r="A2523" s="3" t="s">
        <v>11247</v>
      </c>
      <c r="B2523" s="4">
        <v>28501605</v>
      </c>
    </row>
    <row r="2524" customHeight="1" spans="1:2">
      <c r="A2524" s="3" t="s">
        <v>14367</v>
      </c>
      <c r="B2524" s="4">
        <v>382946</v>
      </c>
    </row>
    <row r="2525" customHeight="1" spans="1:2">
      <c r="A2525" s="3" t="s">
        <v>5836</v>
      </c>
      <c r="B2525" s="4">
        <v>100422786</v>
      </c>
    </row>
    <row r="2526" customHeight="1" spans="1:2">
      <c r="A2526" s="3" t="s">
        <v>10008</v>
      </c>
      <c r="B2526" s="4">
        <v>2428883</v>
      </c>
    </row>
    <row r="2527" customHeight="1" spans="1:2">
      <c r="A2527" s="3" t="s">
        <v>20207</v>
      </c>
      <c r="B2527" s="4">
        <v>11529368</v>
      </c>
    </row>
    <row r="2528" customHeight="1" spans="1:2">
      <c r="A2528" s="3" t="s">
        <v>9671</v>
      </c>
      <c r="B2528" s="4">
        <v>12693621</v>
      </c>
    </row>
    <row r="2529" customHeight="1" spans="1:2">
      <c r="A2529" s="3" t="s">
        <v>4616</v>
      </c>
      <c r="B2529" s="4">
        <v>4777007</v>
      </c>
    </row>
    <row r="2530" customHeight="1" spans="1:2">
      <c r="A2530" s="3" t="s">
        <v>5964</v>
      </c>
      <c r="B2530" s="4">
        <v>53680848</v>
      </c>
    </row>
    <row r="2531" customHeight="1" spans="1:2">
      <c r="A2531" s="3" t="s">
        <v>10947</v>
      </c>
      <c r="B2531" s="4"/>
    </row>
    <row r="2532" customHeight="1" spans="1:2">
      <c r="A2532" s="3" t="s">
        <v>10812</v>
      </c>
      <c r="B2532" s="4">
        <v>156645693</v>
      </c>
    </row>
    <row r="2533" customHeight="1" spans="1:2">
      <c r="A2533" s="3" t="s">
        <v>2304</v>
      </c>
      <c r="B2533" s="4">
        <v>31054924</v>
      </c>
    </row>
    <row r="2534" customHeight="1" spans="1:2">
      <c r="A2534" s="3" t="s">
        <v>9411</v>
      </c>
      <c r="B2534" s="4">
        <v>6615578</v>
      </c>
    </row>
    <row r="2535" customHeight="1" spans="1:2">
      <c r="A2535" s="3" t="s">
        <v>17623</v>
      </c>
      <c r="B2535" s="4">
        <v>1134049</v>
      </c>
    </row>
    <row r="2536" customHeight="1" spans="1:2">
      <c r="A2536" s="3" t="s">
        <v>18852</v>
      </c>
      <c r="B2536" s="4">
        <v>721</v>
      </c>
    </row>
    <row r="2537" customHeight="1" spans="1:2">
      <c r="A2537" s="3" t="s">
        <v>4394</v>
      </c>
      <c r="B2537" s="4">
        <v>38087756</v>
      </c>
    </row>
    <row r="2538" customHeight="1" spans="1:2">
      <c r="A2538" s="3" t="s">
        <v>7416</v>
      </c>
      <c r="B2538" s="4">
        <v>5516708</v>
      </c>
    </row>
    <row r="2539" customHeight="1" spans="1:2">
      <c r="A2539" s="3" t="s">
        <v>1891</v>
      </c>
      <c r="B2539" s="4">
        <v>112950721</v>
      </c>
    </row>
    <row r="2540" customHeight="1" spans="1:2">
      <c r="A2540" s="3" t="s">
        <v>1734</v>
      </c>
      <c r="B2540" s="4">
        <v>120776832</v>
      </c>
    </row>
    <row r="2541" customHeight="1" spans="1:2">
      <c r="A2541" s="3" t="s">
        <v>1491</v>
      </c>
      <c r="B2541" s="4">
        <v>101087161</v>
      </c>
    </row>
    <row r="2542" customHeight="1" spans="1:2">
      <c r="A2542" s="3" t="s">
        <v>22758</v>
      </c>
      <c r="B2542" s="4"/>
    </row>
    <row r="2543" customHeight="1" spans="1:2">
      <c r="A2543" s="3" t="s">
        <v>10899</v>
      </c>
      <c r="B2543" s="4">
        <v>25482931</v>
      </c>
    </row>
    <row r="2544" customHeight="1" spans="1:2">
      <c r="A2544" s="3" t="s">
        <v>18286</v>
      </c>
      <c r="B2544" s="4">
        <v>1647780</v>
      </c>
    </row>
    <row r="2545" customHeight="1" spans="1:2">
      <c r="A2545" s="3" t="s">
        <v>23905</v>
      </c>
      <c r="B2545" s="4"/>
    </row>
    <row r="2546" customHeight="1" spans="1:2">
      <c r="A2546" s="3" t="s">
        <v>11062</v>
      </c>
      <c r="B2546" s="4">
        <v>83025853</v>
      </c>
    </row>
    <row r="2547" customHeight="1" spans="1:2">
      <c r="A2547" s="3" t="s">
        <v>13511</v>
      </c>
      <c r="B2547" s="4"/>
    </row>
    <row r="2548" customHeight="1" spans="1:2">
      <c r="A2548" s="3" t="s">
        <v>23032</v>
      </c>
      <c r="B2548" s="4"/>
    </row>
    <row r="2549" customHeight="1" spans="1:2">
      <c r="A2549" s="3" t="s">
        <v>6369</v>
      </c>
      <c r="B2549" s="4">
        <v>183436380</v>
      </c>
    </row>
    <row r="2550" customHeight="1" spans="1:2">
      <c r="A2550" s="3" t="s">
        <v>5740</v>
      </c>
      <c r="B2550" s="4">
        <v>58879132</v>
      </c>
    </row>
    <row r="2551" customHeight="1" spans="1:2">
      <c r="A2551" s="3" t="s">
        <v>19023</v>
      </c>
      <c r="B2551" s="4"/>
    </row>
    <row r="2552" customHeight="1" spans="1:2">
      <c r="A2552" s="3" t="s">
        <v>2389</v>
      </c>
      <c r="B2552" s="4">
        <v>167735396</v>
      </c>
    </row>
    <row r="2553" customHeight="1" spans="1:2">
      <c r="A2553" s="3" t="s">
        <v>21238</v>
      </c>
      <c r="B2553" s="4"/>
    </row>
    <row r="2554" customHeight="1" spans="1:2">
      <c r="A2554" s="3" t="s">
        <v>794</v>
      </c>
      <c r="B2554" s="4">
        <v>98780042</v>
      </c>
    </row>
    <row r="2555" customHeight="1" spans="1:2">
      <c r="A2555" s="3" t="s">
        <v>22118</v>
      </c>
      <c r="B2555" s="4"/>
    </row>
    <row r="2556" customHeight="1" spans="1:2">
      <c r="A2556" s="3" t="s">
        <v>21925</v>
      </c>
      <c r="B2556" s="4"/>
    </row>
    <row r="2557" customHeight="1" spans="1:2">
      <c r="A2557" s="3" t="s">
        <v>2471</v>
      </c>
      <c r="B2557" s="4">
        <v>73648142</v>
      </c>
    </row>
    <row r="2558" customHeight="1" spans="1:2">
      <c r="A2558" s="3" t="s">
        <v>24017</v>
      </c>
      <c r="B2558" s="4"/>
    </row>
    <row r="2559" customHeight="1" spans="1:2">
      <c r="A2559" s="3" t="s">
        <v>11034</v>
      </c>
      <c r="B2559" s="4">
        <v>403649</v>
      </c>
    </row>
    <row r="2560" customHeight="1" spans="1:2">
      <c r="A2560" s="3" t="s">
        <v>15726</v>
      </c>
      <c r="B2560" s="4">
        <v>617228</v>
      </c>
    </row>
    <row r="2561" customHeight="1" spans="1:2">
      <c r="A2561" s="3" t="s">
        <v>21937</v>
      </c>
      <c r="B2561" s="4"/>
    </row>
    <row r="2562" customHeight="1" spans="1:2">
      <c r="A2562" s="3" t="s">
        <v>3702</v>
      </c>
      <c r="B2562" s="4">
        <v>110000082</v>
      </c>
    </row>
    <row r="2563" customHeight="1" spans="1:2">
      <c r="A2563" s="3" t="s">
        <v>12333</v>
      </c>
      <c r="B2563" s="4">
        <v>32983713</v>
      </c>
    </row>
    <row r="2564" customHeight="1" spans="1:2">
      <c r="A2564" s="3" t="s">
        <v>20420</v>
      </c>
      <c r="B2564" s="4">
        <v>4584</v>
      </c>
    </row>
    <row r="2565" customHeight="1" spans="1:2">
      <c r="A2565" s="3" t="s">
        <v>4035</v>
      </c>
      <c r="B2565" s="4">
        <v>59992760</v>
      </c>
    </row>
    <row r="2566" customHeight="1" spans="1:2">
      <c r="A2566" s="3" t="s">
        <v>6163</v>
      </c>
      <c r="B2566" s="4">
        <v>18967571</v>
      </c>
    </row>
    <row r="2567" customHeight="1" spans="1:2">
      <c r="A2567" s="3" t="s">
        <v>15377</v>
      </c>
      <c r="B2567" s="4">
        <v>14343976</v>
      </c>
    </row>
    <row r="2568" customHeight="1" spans="1:2">
      <c r="A2568" s="3" t="s">
        <v>13622</v>
      </c>
      <c r="B2568" s="4">
        <v>25926543</v>
      </c>
    </row>
    <row r="2569" customHeight="1" spans="1:2">
      <c r="A2569" s="3" t="s">
        <v>15626</v>
      </c>
      <c r="B2569" s="4"/>
    </row>
    <row r="2570" customHeight="1" spans="1:2">
      <c r="A2570" s="3" t="s">
        <v>22001</v>
      </c>
      <c r="B2570" s="4"/>
    </row>
    <row r="2571" customHeight="1" spans="1:2">
      <c r="A2571" s="3" t="s">
        <v>8424</v>
      </c>
      <c r="B2571" s="4">
        <v>29062561</v>
      </c>
    </row>
    <row r="2572" customHeight="1" spans="1:2">
      <c r="A2572" s="3" t="s">
        <v>6851</v>
      </c>
      <c r="B2572" s="4">
        <v>1075288</v>
      </c>
    </row>
    <row r="2573" customHeight="1" spans="1:2">
      <c r="A2573" s="3" t="s">
        <v>1772</v>
      </c>
      <c r="B2573" s="4">
        <v>66636385</v>
      </c>
    </row>
    <row r="2574" customHeight="1" spans="1:2">
      <c r="A2574" s="3" t="s">
        <v>15144</v>
      </c>
      <c r="B2574" s="4"/>
    </row>
    <row r="2575" customHeight="1" spans="1:2">
      <c r="A2575" s="3" t="s">
        <v>10933</v>
      </c>
      <c r="B2575" s="4">
        <v>14348123</v>
      </c>
    </row>
    <row r="2576" customHeight="1" spans="1:2">
      <c r="A2576" s="3" t="s">
        <v>7637</v>
      </c>
      <c r="B2576" s="4">
        <v>65807024</v>
      </c>
    </row>
    <row r="2577" customHeight="1" spans="1:2">
      <c r="A2577" s="3" t="s">
        <v>21633</v>
      </c>
      <c r="B2577" s="4"/>
    </row>
    <row r="2578" customHeight="1" spans="1:2">
      <c r="A2578" s="3" t="s">
        <v>16809</v>
      </c>
      <c r="B2578" s="4"/>
    </row>
    <row r="2579" customHeight="1" spans="1:2">
      <c r="A2579" s="3" t="s">
        <v>4676</v>
      </c>
      <c r="B2579" s="4">
        <v>63411478</v>
      </c>
    </row>
    <row r="2580" customHeight="1" spans="1:2">
      <c r="A2580" s="3" t="s">
        <v>2485</v>
      </c>
      <c r="B2580" s="4">
        <v>77862546</v>
      </c>
    </row>
    <row r="2581" customHeight="1" spans="1:2">
      <c r="A2581" s="3" t="s">
        <v>14052</v>
      </c>
      <c r="B2581" s="4">
        <v>1330827</v>
      </c>
    </row>
    <row r="2582" customHeight="1" spans="1:2">
      <c r="A2582" s="3" t="s">
        <v>23987</v>
      </c>
      <c r="B2582" s="4"/>
    </row>
    <row r="2583" customHeight="1" spans="1:2">
      <c r="A2583" s="3" t="s">
        <v>17159</v>
      </c>
      <c r="B2583" s="4"/>
    </row>
    <row r="2584" customHeight="1" spans="1:2">
      <c r="A2584" s="3" t="s">
        <v>6362</v>
      </c>
      <c r="B2584" s="4"/>
    </row>
    <row r="2585" customHeight="1" spans="1:2">
      <c r="A2585" s="3" t="s">
        <v>23821</v>
      </c>
      <c r="B2585" s="4"/>
    </row>
    <row r="2586" customHeight="1" spans="1:2">
      <c r="A2586" s="3" t="s">
        <v>688</v>
      </c>
      <c r="B2586" s="4">
        <v>126464904</v>
      </c>
    </row>
    <row r="2587" customHeight="1" spans="1:2">
      <c r="A2587" s="3" t="s">
        <v>9293</v>
      </c>
      <c r="B2587" s="4">
        <v>23993605</v>
      </c>
    </row>
    <row r="2588" customHeight="1" spans="1:2">
      <c r="A2588" s="3" t="s">
        <v>13764</v>
      </c>
      <c r="B2588" s="4">
        <v>3076425</v>
      </c>
    </row>
    <row r="2589" customHeight="1" spans="1:2">
      <c r="A2589" s="3" t="s">
        <v>13401</v>
      </c>
      <c r="B2589" s="4"/>
    </row>
    <row r="2590" customHeight="1" spans="1:2">
      <c r="A2590" s="3" t="s">
        <v>21999</v>
      </c>
      <c r="B2590" s="4"/>
    </row>
    <row r="2591" customHeight="1" spans="1:2">
      <c r="A2591" s="3" t="s">
        <v>22559</v>
      </c>
      <c r="B2591" s="4"/>
    </row>
    <row r="2592" customHeight="1" spans="1:2">
      <c r="A2592" s="3" t="s">
        <v>8822</v>
      </c>
      <c r="B2592" s="4"/>
    </row>
    <row r="2593" customHeight="1" spans="1:2">
      <c r="A2593" s="3" t="s">
        <v>10595</v>
      </c>
      <c r="B2593" s="4">
        <v>5023275</v>
      </c>
    </row>
    <row r="2594" customHeight="1" spans="1:2">
      <c r="A2594" s="3" t="s">
        <v>14489</v>
      </c>
      <c r="B2594" s="4"/>
    </row>
    <row r="2595" customHeight="1" spans="1:2">
      <c r="A2595" s="3" t="s">
        <v>7044</v>
      </c>
      <c r="B2595" s="4">
        <v>44455658</v>
      </c>
    </row>
    <row r="2596" customHeight="1" spans="1:2">
      <c r="A2596" s="3" t="s">
        <v>19466</v>
      </c>
      <c r="B2596" s="4"/>
    </row>
    <row r="2597" customHeight="1" spans="1:2">
      <c r="A2597" s="3" t="s">
        <v>10432</v>
      </c>
      <c r="B2597" s="4">
        <v>13766014</v>
      </c>
    </row>
    <row r="2598" customHeight="1" spans="1:2">
      <c r="A2598" s="3" t="s">
        <v>4846</v>
      </c>
      <c r="B2598" s="4">
        <v>44867349</v>
      </c>
    </row>
    <row r="2599" customHeight="1" spans="1:2">
      <c r="A2599" s="3" t="s">
        <v>1608</v>
      </c>
      <c r="B2599" s="4">
        <v>21471685</v>
      </c>
    </row>
    <row r="2600" customHeight="1" spans="1:2">
      <c r="A2600" s="3" t="s">
        <v>12969</v>
      </c>
      <c r="B2600" s="4"/>
    </row>
    <row r="2601" customHeight="1" spans="1:2">
      <c r="A2601" s="3" t="s">
        <v>9427</v>
      </c>
      <c r="B2601" s="4">
        <v>5694401</v>
      </c>
    </row>
    <row r="2602" customHeight="1" spans="1:2">
      <c r="A2602" s="3" t="s">
        <v>6806</v>
      </c>
      <c r="B2602" s="4">
        <v>49874933</v>
      </c>
    </row>
    <row r="2603" customHeight="1" spans="1:2">
      <c r="A2603" s="3" t="s">
        <v>2557</v>
      </c>
      <c r="B2603" s="4">
        <v>50807639</v>
      </c>
    </row>
    <row r="2604" customHeight="1" spans="1:2">
      <c r="A2604" s="3" t="s">
        <v>12908</v>
      </c>
      <c r="B2604" s="4">
        <v>126247</v>
      </c>
    </row>
    <row r="2605" customHeight="1" spans="1:2">
      <c r="A2605" s="3" t="s">
        <v>335</v>
      </c>
      <c r="B2605" s="4">
        <v>76846624</v>
      </c>
    </row>
    <row r="2606" customHeight="1" spans="1:2">
      <c r="A2606" s="3" t="s">
        <v>23673</v>
      </c>
      <c r="B2606" s="4"/>
    </row>
    <row r="2607" customHeight="1" spans="1:2">
      <c r="A2607" s="3" t="s">
        <v>23161</v>
      </c>
      <c r="B2607" s="4"/>
    </row>
    <row r="2608" customHeight="1" spans="1:2">
      <c r="A2608" s="3" t="s">
        <v>24049</v>
      </c>
      <c r="B2608" s="4"/>
    </row>
    <row r="2609" customHeight="1" spans="1:2">
      <c r="A2609" s="3" t="s">
        <v>10728</v>
      </c>
      <c r="B2609" s="4">
        <v>28870</v>
      </c>
    </row>
    <row r="2610" customHeight="1" spans="1:2">
      <c r="A2610" s="3" t="s">
        <v>12681</v>
      </c>
      <c r="B2610" s="4">
        <v>5004648</v>
      </c>
    </row>
    <row r="2611" customHeight="1" spans="1:2">
      <c r="A2611" s="3" t="s">
        <v>15087</v>
      </c>
      <c r="B2611" s="4">
        <v>3629758</v>
      </c>
    </row>
    <row r="2612" customHeight="1" spans="1:2">
      <c r="A2612" s="3" t="s">
        <v>23402</v>
      </c>
      <c r="B2612" s="4"/>
    </row>
    <row r="2613" customHeight="1" spans="1:2">
      <c r="A2613" s="3" t="s">
        <v>10956</v>
      </c>
      <c r="B2613" s="4">
        <v>12610731</v>
      </c>
    </row>
    <row r="2614" customHeight="1" spans="1:2">
      <c r="A2614" s="3" t="s">
        <v>20410</v>
      </c>
      <c r="B2614" s="4">
        <v>2040920</v>
      </c>
    </row>
    <row r="2615" customHeight="1" spans="1:2">
      <c r="A2615" s="3" t="s">
        <v>21892</v>
      </c>
      <c r="B2615" s="4"/>
    </row>
    <row r="2616" customHeight="1" spans="1:2">
      <c r="A2616" s="3" t="s">
        <v>6289</v>
      </c>
      <c r="B2616" s="4">
        <v>3101301</v>
      </c>
    </row>
    <row r="2617" customHeight="1" spans="1:2">
      <c r="A2617" s="3" t="s">
        <v>22843</v>
      </c>
      <c r="B2617" s="4"/>
    </row>
    <row r="2618" customHeight="1" spans="1:2">
      <c r="A2618" s="3" t="s">
        <v>4940</v>
      </c>
      <c r="B2618" s="4">
        <v>11043445</v>
      </c>
    </row>
    <row r="2619" customHeight="1" spans="1:2">
      <c r="A2619" s="3" t="s">
        <v>3715</v>
      </c>
      <c r="B2619" s="4">
        <v>100768056</v>
      </c>
    </row>
    <row r="2620" customHeight="1" spans="1:2">
      <c r="A2620" s="3" t="s">
        <v>10967</v>
      </c>
      <c r="B2620" s="4">
        <v>11204499</v>
      </c>
    </row>
    <row r="2621" customHeight="1" spans="1:2">
      <c r="A2621" s="3" t="s">
        <v>3014</v>
      </c>
      <c r="B2621" s="4">
        <v>9483821</v>
      </c>
    </row>
    <row r="2622" customHeight="1" spans="1:2">
      <c r="A2622" s="3" t="s">
        <v>5325</v>
      </c>
      <c r="B2622" s="4">
        <v>18317151</v>
      </c>
    </row>
    <row r="2623" customHeight="1" spans="1:2">
      <c r="A2623" s="3" t="s">
        <v>6378</v>
      </c>
      <c r="B2623" s="4">
        <v>37036404</v>
      </c>
    </row>
    <row r="2624" customHeight="1" spans="1:2">
      <c r="A2624" s="3" t="s">
        <v>21968</v>
      </c>
      <c r="B2624" s="4"/>
    </row>
    <row r="2625" customHeight="1" spans="1:2">
      <c r="A2625" s="3" t="s">
        <v>9505</v>
      </c>
      <c r="B2625" s="4">
        <v>121463226</v>
      </c>
    </row>
    <row r="2626" customHeight="1" spans="1:2">
      <c r="A2626" s="3" t="s">
        <v>21705</v>
      </c>
      <c r="B2626" s="4"/>
    </row>
    <row r="2627" customHeight="1" spans="1:2">
      <c r="A2627" s="3" t="s">
        <v>8709</v>
      </c>
      <c r="B2627" s="4">
        <v>12398628</v>
      </c>
    </row>
    <row r="2628" customHeight="1" spans="1:2">
      <c r="A2628" s="3" t="s">
        <v>7401</v>
      </c>
      <c r="B2628" s="4">
        <v>9286314</v>
      </c>
    </row>
    <row r="2629" customHeight="1" spans="1:2">
      <c r="A2629" s="3" t="s">
        <v>8085</v>
      </c>
      <c r="B2629" s="4">
        <v>9430988</v>
      </c>
    </row>
    <row r="2630" customHeight="1" spans="1:2">
      <c r="A2630" s="3" t="s">
        <v>20809</v>
      </c>
      <c r="B2630" s="4"/>
    </row>
    <row r="2631" customHeight="1" spans="1:2">
      <c r="A2631" s="3" t="s">
        <v>24001</v>
      </c>
      <c r="B2631" s="4"/>
    </row>
    <row r="2632" customHeight="1" spans="1:2">
      <c r="A2632" s="3" t="s">
        <v>18744</v>
      </c>
      <c r="B2632" s="4">
        <v>582024</v>
      </c>
    </row>
    <row r="2633" customHeight="1" spans="1:2">
      <c r="A2633" s="3" t="s">
        <v>8037</v>
      </c>
      <c r="B2633" s="4">
        <v>36581633</v>
      </c>
    </row>
    <row r="2634" customHeight="1" spans="1:2">
      <c r="A2634" s="3" t="s">
        <v>9158</v>
      </c>
      <c r="B2634" s="4">
        <v>150056505</v>
      </c>
    </row>
    <row r="2635" customHeight="1" spans="1:2">
      <c r="A2635" s="3" t="s">
        <v>21258</v>
      </c>
      <c r="B2635" s="4"/>
    </row>
    <row r="2636" customHeight="1" spans="1:2">
      <c r="A2636" s="3" t="s">
        <v>19850</v>
      </c>
      <c r="B2636" s="4"/>
    </row>
    <row r="2637" customHeight="1" spans="1:2">
      <c r="A2637" s="3" t="s">
        <v>1085</v>
      </c>
      <c r="B2637" s="4">
        <v>261437578</v>
      </c>
    </row>
    <row r="2638" customHeight="1" spans="1:2">
      <c r="A2638" s="3" t="s">
        <v>8219</v>
      </c>
      <c r="B2638" s="4">
        <v>80050171</v>
      </c>
    </row>
    <row r="2639" customHeight="1" spans="1:2">
      <c r="A2639" s="3" t="s">
        <v>3670</v>
      </c>
      <c r="B2639" s="4">
        <v>5600000</v>
      </c>
    </row>
    <row r="2640" customHeight="1" spans="1:2">
      <c r="A2640" s="3" t="s">
        <v>17420</v>
      </c>
      <c r="B2640" s="4"/>
    </row>
    <row r="2641" customHeight="1" spans="1:2">
      <c r="A2641" s="3" t="s">
        <v>3273</v>
      </c>
      <c r="B2641" s="4">
        <v>60470220</v>
      </c>
    </row>
    <row r="2642" customHeight="1" spans="1:2">
      <c r="A2642" s="3" t="s">
        <v>16291</v>
      </c>
      <c r="B2642" s="4"/>
    </row>
    <row r="2643" customHeight="1" spans="1:2">
      <c r="A2643" s="3" t="s">
        <v>22248</v>
      </c>
      <c r="B2643" s="4"/>
    </row>
    <row r="2644" customHeight="1" spans="1:2">
      <c r="A2644" s="3" t="s">
        <v>20357</v>
      </c>
      <c r="B2644" s="4">
        <v>192467</v>
      </c>
    </row>
    <row r="2645" customHeight="1" spans="1:2">
      <c r="A2645" s="3" t="s">
        <v>20641</v>
      </c>
      <c r="B2645" s="4"/>
    </row>
    <row r="2646" customHeight="1" spans="1:2">
      <c r="A2646" s="3" t="s">
        <v>15525</v>
      </c>
      <c r="B2646" s="4">
        <v>3950029</v>
      </c>
    </row>
    <row r="2647" customHeight="1" spans="1:2">
      <c r="A2647" s="3" t="s">
        <v>13350</v>
      </c>
      <c r="B2647" s="4">
        <v>1043487</v>
      </c>
    </row>
    <row r="2648" customHeight="1" spans="1:2">
      <c r="A2648" s="3" t="s">
        <v>18250</v>
      </c>
      <c r="B2648" s="4">
        <v>184925485</v>
      </c>
    </row>
    <row r="2649" customHeight="1" spans="1:2">
      <c r="A2649" s="3" t="s">
        <v>9243</v>
      </c>
      <c r="B2649" s="4">
        <v>43818159</v>
      </c>
    </row>
    <row r="2650" customHeight="1" spans="1:2">
      <c r="A2650" s="3" t="s">
        <v>21456</v>
      </c>
      <c r="B2650" s="4"/>
    </row>
    <row r="2651" customHeight="1" spans="1:2">
      <c r="A2651" s="3" t="s">
        <v>530</v>
      </c>
      <c r="B2651" s="4"/>
    </row>
    <row r="2652" customHeight="1" spans="1:2">
      <c r="A2652" s="3" t="s">
        <v>20165</v>
      </c>
      <c r="B2652" s="4"/>
    </row>
    <row r="2653" customHeight="1" spans="1:2">
      <c r="A2653" s="3" t="s">
        <v>20864</v>
      </c>
      <c r="B2653" s="4"/>
    </row>
    <row r="2654" customHeight="1" spans="1:2">
      <c r="A2654" s="3" t="s">
        <v>17448</v>
      </c>
      <c r="B2654" s="4"/>
    </row>
    <row r="2655" customHeight="1" spans="1:2">
      <c r="A2655" s="3" t="s">
        <v>17446</v>
      </c>
      <c r="B2655" s="4"/>
    </row>
    <row r="2656" customHeight="1" spans="1:2">
      <c r="A2656" s="3" t="s">
        <v>6186</v>
      </c>
      <c r="B2656" s="4">
        <v>16999046</v>
      </c>
    </row>
    <row r="2657" customHeight="1" spans="1:2">
      <c r="A2657" s="3" t="s">
        <v>22844</v>
      </c>
      <c r="B2657" s="4"/>
    </row>
    <row r="2658" customHeight="1" spans="1:2">
      <c r="A2658" s="3" t="s">
        <v>10118</v>
      </c>
      <c r="B2658" s="4"/>
    </row>
    <row r="2659" customHeight="1" spans="1:2">
      <c r="A2659" s="3" t="s">
        <v>2342</v>
      </c>
      <c r="B2659" s="4">
        <v>72413</v>
      </c>
    </row>
    <row r="2660" customHeight="1" spans="1:2">
      <c r="A2660" s="3" t="s">
        <v>301</v>
      </c>
      <c r="B2660" s="4">
        <v>150350192</v>
      </c>
    </row>
    <row r="2661" customHeight="1" spans="1:2">
      <c r="A2661" s="3" t="s">
        <v>19404</v>
      </c>
      <c r="B2661" s="4">
        <v>151389</v>
      </c>
    </row>
    <row r="2662" customHeight="1" spans="1:2">
      <c r="A2662" s="3" t="s">
        <v>22757</v>
      </c>
      <c r="B2662" s="4"/>
    </row>
    <row r="2663" customHeight="1" spans="1:2">
      <c r="A2663" s="3" t="s">
        <v>11252</v>
      </c>
      <c r="B2663" s="4">
        <v>52543632</v>
      </c>
    </row>
    <row r="2664" customHeight="1" spans="1:2">
      <c r="A2664" s="3" t="s">
        <v>23900</v>
      </c>
      <c r="B2664" s="4"/>
    </row>
    <row r="2665" customHeight="1" spans="1:2">
      <c r="A2665" s="3" t="s">
        <v>14891</v>
      </c>
      <c r="B2665" s="4"/>
    </row>
    <row r="2666" customHeight="1" spans="1:2">
      <c r="A2666" s="3" t="s">
        <v>418</v>
      </c>
      <c r="B2666" s="4">
        <v>131564731</v>
      </c>
    </row>
    <row r="2667" customHeight="1" spans="1:2">
      <c r="A2667" s="3" t="s">
        <v>23302</v>
      </c>
      <c r="B2667" s="4"/>
    </row>
    <row r="2668" customHeight="1" spans="1:2">
      <c r="A2668" s="3" t="s">
        <v>7002</v>
      </c>
      <c r="B2668" s="4">
        <v>60443237</v>
      </c>
    </row>
    <row r="2669" customHeight="1" spans="1:2">
      <c r="A2669" s="3" t="s">
        <v>22325</v>
      </c>
      <c r="B2669" s="4"/>
    </row>
    <row r="2670" customHeight="1" spans="1:2">
      <c r="A2670" s="3" t="s">
        <v>16054</v>
      </c>
      <c r="B2670" s="4">
        <v>10097096</v>
      </c>
    </row>
    <row r="2671" customHeight="1" spans="1:2">
      <c r="A2671" s="3" t="s">
        <v>10915</v>
      </c>
      <c r="B2671" s="4">
        <v>15549702</v>
      </c>
    </row>
    <row r="2672" customHeight="1" spans="1:2">
      <c r="A2672" s="3" t="s">
        <v>22906</v>
      </c>
      <c r="B2672" s="4"/>
    </row>
    <row r="2673" customHeight="1" spans="1:2">
      <c r="A2673" s="3" t="s">
        <v>6791</v>
      </c>
      <c r="B2673" s="4">
        <v>40168080</v>
      </c>
    </row>
    <row r="2674" customHeight="1" spans="1:2">
      <c r="A2674" s="3" t="s">
        <v>3262</v>
      </c>
      <c r="B2674" s="4">
        <v>91439400</v>
      </c>
    </row>
    <row r="2675" customHeight="1" spans="1:2">
      <c r="A2675" s="3" t="s">
        <v>7729</v>
      </c>
      <c r="B2675" s="4">
        <v>7434726</v>
      </c>
    </row>
    <row r="2676" customHeight="1" spans="1:2">
      <c r="A2676" s="3" t="s">
        <v>20374</v>
      </c>
      <c r="B2676" s="4">
        <v>180483</v>
      </c>
    </row>
    <row r="2677" customHeight="1" spans="1:2">
      <c r="A2677" s="3" t="s">
        <v>17956</v>
      </c>
      <c r="B2677" s="4"/>
    </row>
    <row r="2678" customHeight="1" spans="1:2">
      <c r="A2678" s="3" t="s">
        <v>1283</v>
      </c>
      <c r="B2678" s="4">
        <v>20315324</v>
      </c>
    </row>
    <row r="2679" customHeight="1" spans="1:2">
      <c r="A2679" s="3" t="s">
        <v>1655</v>
      </c>
      <c r="B2679" s="4">
        <v>170708996</v>
      </c>
    </row>
    <row r="2680" customHeight="1" spans="1:2">
      <c r="A2680" s="3" t="s">
        <v>9059</v>
      </c>
      <c r="B2680" s="4">
        <v>1357042</v>
      </c>
    </row>
    <row r="2681" customHeight="1" spans="1:2">
      <c r="A2681" s="3" t="s">
        <v>7079</v>
      </c>
      <c r="B2681" s="4">
        <v>36310118</v>
      </c>
    </row>
    <row r="2682" customHeight="1" spans="1:2">
      <c r="A2682" s="3" t="s">
        <v>6255</v>
      </c>
      <c r="B2682" s="4">
        <v>19316646</v>
      </c>
    </row>
    <row r="2683" customHeight="1" spans="1:2">
      <c r="A2683" s="3" t="s">
        <v>13883</v>
      </c>
      <c r="B2683" s="4">
        <v>439162</v>
      </c>
    </row>
    <row r="2684" customHeight="1" spans="1:2">
      <c r="A2684" s="3" t="s">
        <v>18020</v>
      </c>
      <c r="B2684" s="4">
        <v>6026908</v>
      </c>
    </row>
    <row r="2685" customHeight="1" spans="1:2">
      <c r="A2685" s="3" t="s">
        <v>23860</v>
      </c>
      <c r="B2685" s="4"/>
    </row>
    <row r="2686" customHeight="1" spans="1:2">
      <c r="A2686" s="3" t="s">
        <v>2896</v>
      </c>
      <c r="B2686" s="4">
        <v>25040293</v>
      </c>
    </row>
    <row r="2687" customHeight="1" spans="1:2">
      <c r="A2687" s="3" t="s">
        <v>8739</v>
      </c>
      <c r="B2687" s="4">
        <v>12626905</v>
      </c>
    </row>
    <row r="2688" customHeight="1" spans="1:2">
      <c r="A2688" s="3" t="s">
        <v>20488</v>
      </c>
      <c r="B2688" s="4"/>
    </row>
    <row r="2689" customHeight="1" spans="1:2">
      <c r="A2689" s="3" t="s">
        <v>1717</v>
      </c>
      <c r="B2689" s="4">
        <v>35286428</v>
      </c>
    </row>
    <row r="2690" customHeight="1" spans="1:2">
      <c r="A2690" s="3" t="s">
        <v>1661</v>
      </c>
      <c r="B2690" s="4">
        <v>422783777</v>
      </c>
    </row>
    <row r="2691" customHeight="1" spans="1:2">
      <c r="A2691" s="3" t="s">
        <v>4735</v>
      </c>
      <c r="B2691" s="4">
        <v>50668906</v>
      </c>
    </row>
    <row r="2692" customHeight="1" spans="1:2">
      <c r="A2692" s="3" t="s">
        <v>2845</v>
      </c>
      <c r="B2692" s="4">
        <v>104354205</v>
      </c>
    </row>
    <row r="2693" customHeight="1" spans="1:2">
      <c r="A2693" s="3" t="s">
        <v>3577</v>
      </c>
      <c r="B2693" s="4">
        <v>66488090</v>
      </c>
    </row>
    <row r="2694" customHeight="1" spans="1:2">
      <c r="A2694" s="3" t="s">
        <v>11616</v>
      </c>
      <c r="B2694" s="4">
        <v>25240988</v>
      </c>
    </row>
    <row r="2695" customHeight="1" spans="1:2">
      <c r="A2695" s="3" t="s">
        <v>21247</v>
      </c>
      <c r="B2695" s="4"/>
    </row>
    <row r="2696" customHeight="1" spans="1:2">
      <c r="A2696" s="3" t="s">
        <v>21975</v>
      </c>
      <c r="B2696" s="4"/>
    </row>
    <row r="2697" customHeight="1" spans="1:2">
      <c r="A2697" s="3" t="s">
        <v>16666</v>
      </c>
      <c r="B2697" s="4">
        <v>5776314</v>
      </c>
    </row>
    <row r="2698" customHeight="1" spans="1:2">
      <c r="A2698" s="3" t="s">
        <v>1403</v>
      </c>
      <c r="B2698" s="4">
        <v>34543701</v>
      </c>
    </row>
    <row r="2699" customHeight="1" spans="1:2">
      <c r="A2699" s="3" t="s">
        <v>5166</v>
      </c>
      <c r="B2699" s="4">
        <v>37481242</v>
      </c>
    </row>
    <row r="2700" customHeight="1" spans="1:2">
      <c r="A2700" s="3" t="s">
        <v>15998</v>
      </c>
      <c r="B2700" s="4">
        <v>31968347</v>
      </c>
    </row>
    <row r="2701" customHeight="1" spans="1:2">
      <c r="A2701" s="3" t="s">
        <v>750</v>
      </c>
      <c r="B2701" s="4">
        <v>274084951</v>
      </c>
    </row>
    <row r="2702" customHeight="1" spans="1:2">
      <c r="A2702" s="3" t="s">
        <v>3757</v>
      </c>
      <c r="B2702" s="4">
        <v>66790248</v>
      </c>
    </row>
    <row r="2703" customHeight="1" spans="1:2">
      <c r="A2703" s="3" t="s">
        <v>9867</v>
      </c>
      <c r="B2703" s="4">
        <v>26896744</v>
      </c>
    </row>
    <row r="2704" customHeight="1" spans="1:2">
      <c r="A2704" s="3" t="s">
        <v>8798</v>
      </c>
      <c r="B2704" s="4">
        <v>7382993</v>
      </c>
    </row>
    <row r="2705" customHeight="1" spans="1:2">
      <c r="A2705" s="3" t="s">
        <v>3078</v>
      </c>
      <c r="B2705" s="4">
        <v>95720716</v>
      </c>
    </row>
    <row r="2706" customHeight="1" spans="1:2">
      <c r="A2706" s="3" t="s">
        <v>2620</v>
      </c>
      <c r="B2706" s="4">
        <v>35096190</v>
      </c>
    </row>
    <row r="2707" customHeight="1" spans="1:2">
      <c r="A2707" s="3" t="s">
        <v>17043</v>
      </c>
      <c r="B2707" s="4">
        <v>201148159</v>
      </c>
    </row>
    <row r="2708" customHeight="1" spans="1:2">
      <c r="A2708" s="3" t="s">
        <v>22792</v>
      </c>
      <c r="B2708" s="4"/>
    </row>
    <row r="2709" customHeight="1" spans="1:2">
      <c r="A2709" s="3" t="s">
        <v>22738</v>
      </c>
      <c r="B2709" s="4"/>
    </row>
    <row r="2710" customHeight="1" spans="1:2">
      <c r="A2710" s="3" t="s">
        <v>348</v>
      </c>
      <c r="B2710" s="4">
        <v>318759914</v>
      </c>
    </row>
    <row r="2711" customHeight="1" spans="1:2">
      <c r="A2711" s="3" t="s">
        <v>22282</v>
      </c>
      <c r="B2711" s="4"/>
    </row>
    <row r="2712" customHeight="1" spans="1:2">
      <c r="A2712" s="3" t="s">
        <v>17554</v>
      </c>
      <c r="B2712" s="4">
        <v>4581222</v>
      </c>
    </row>
    <row r="2713" customHeight="1" spans="1:2">
      <c r="A2713" s="3" t="s">
        <v>3294</v>
      </c>
      <c r="B2713" s="4">
        <v>52752475</v>
      </c>
    </row>
    <row r="2714" customHeight="1" spans="1:2">
      <c r="A2714" s="3" t="s">
        <v>10119</v>
      </c>
      <c r="B2714" s="4">
        <v>91121452</v>
      </c>
    </row>
    <row r="2715" customHeight="1" spans="1:2">
      <c r="A2715" s="3" t="s">
        <v>21869</v>
      </c>
      <c r="B2715" s="4"/>
    </row>
    <row r="2716" customHeight="1" spans="1:2">
      <c r="A2716" s="3" t="s">
        <v>14997</v>
      </c>
      <c r="B2716" s="4">
        <v>352684</v>
      </c>
    </row>
    <row r="2717" customHeight="1" spans="1:2">
      <c r="A2717" s="3" t="s">
        <v>16423</v>
      </c>
      <c r="B2717" s="4"/>
    </row>
    <row r="2718" customHeight="1" spans="1:2">
      <c r="A2718" s="3" t="s">
        <v>20905</v>
      </c>
      <c r="B2718" s="4"/>
    </row>
    <row r="2719" customHeight="1" spans="1:2">
      <c r="A2719" s="3" t="s">
        <v>13732</v>
      </c>
      <c r="B2719" s="4">
        <v>8880705</v>
      </c>
    </row>
    <row r="2720" customHeight="1" spans="1:2">
      <c r="A2720" s="3" t="s">
        <v>5706</v>
      </c>
      <c r="B2720" s="4">
        <v>87100000</v>
      </c>
    </row>
    <row r="2721" customHeight="1" spans="1:2">
      <c r="A2721" s="3" t="s">
        <v>21016</v>
      </c>
      <c r="B2721" s="4"/>
    </row>
    <row r="2722" customHeight="1" spans="1:2">
      <c r="A2722" s="3" t="s">
        <v>21651</v>
      </c>
      <c r="B2722" s="4"/>
    </row>
    <row r="2723" customHeight="1" spans="1:2">
      <c r="A2723" s="3" t="s">
        <v>13387</v>
      </c>
      <c r="B2723" s="4"/>
    </row>
    <row r="2724" customHeight="1" spans="1:2">
      <c r="A2724" s="3" t="s">
        <v>9698</v>
      </c>
      <c r="B2724" s="4">
        <v>7156725</v>
      </c>
    </row>
    <row r="2725" customHeight="1" spans="1:2">
      <c r="A2725" s="3" t="s">
        <v>12150</v>
      </c>
      <c r="B2725" s="4">
        <v>3275443</v>
      </c>
    </row>
    <row r="2726" customHeight="1" spans="1:2">
      <c r="A2726" s="3" t="s">
        <v>6162</v>
      </c>
      <c r="B2726" s="4">
        <v>19976073</v>
      </c>
    </row>
    <row r="2727" customHeight="1" spans="1:2">
      <c r="A2727" s="3" t="s">
        <v>13349</v>
      </c>
      <c r="B2727" s="4">
        <v>4881867</v>
      </c>
    </row>
    <row r="2728" customHeight="1" spans="1:2">
      <c r="A2728" s="3" t="s">
        <v>1479</v>
      </c>
      <c r="B2728" s="4">
        <v>109993847</v>
      </c>
    </row>
    <row r="2729" customHeight="1" spans="1:2">
      <c r="A2729" s="3" t="s">
        <v>3398</v>
      </c>
      <c r="B2729" s="4">
        <v>32800000</v>
      </c>
    </row>
    <row r="2730" customHeight="1" spans="1:2">
      <c r="A2730" s="3" t="s">
        <v>9112</v>
      </c>
      <c r="B2730" s="4">
        <v>5308553</v>
      </c>
    </row>
    <row r="2731" customHeight="1" spans="1:2">
      <c r="A2731" s="3" t="s">
        <v>10473</v>
      </c>
      <c r="B2731" s="4">
        <v>10763469</v>
      </c>
    </row>
    <row r="2732" customHeight="1" spans="1:2">
      <c r="A2732" s="3" t="s">
        <v>2956</v>
      </c>
      <c r="B2732" s="4">
        <v>20550712</v>
      </c>
    </row>
    <row r="2733" customHeight="1" spans="1:2">
      <c r="A2733" s="3" t="s">
        <v>6553</v>
      </c>
      <c r="B2733" s="4">
        <v>24268828</v>
      </c>
    </row>
    <row r="2734" customHeight="1" spans="1:2">
      <c r="A2734" s="3" t="s">
        <v>888</v>
      </c>
      <c r="B2734" s="4">
        <v>204843350</v>
      </c>
    </row>
    <row r="2735" customHeight="1" spans="1:2">
      <c r="A2735" s="3" t="s">
        <v>23866</v>
      </c>
      <c r="B2735" s="4"/>
    </row>
    <row r="2736" customHeight="1" spans="1:2">
      <c r="A2736" s="3" t="s">
        <v>10870</v>
      </c>
      <c r="B2736" s="4">
        <v>38048637</v>
      </c>
    </row>
    <row r="2737" customHeight="1" spans="1:2">
      <c r="A2737" s="3" t="s">
        <v>7728</v>
      </c>
      <c r="B2737" s="4">
        <v>10660147</v>
      </c>
    </row>
    <row r="2738" customHeight="1" spans="1:2">
      <c r="A2738" s="3" t="s">
        <v>8947</v>
      </c>
      <c r="B2738" s="4">
        <v>578382</v>
      </c>
    </row>
    <row r="2739" customHeight="1" spans="1:2">
      <c r="A2739" s="3" t="s">
        <v>10038</v>
      </c>
      <c r="B2739" s="4">
        <v>167780960</v>
      </c>
    </row>
    <row r="2740" customHeight="1" spans="1:2">
      <c r="A2740" s="3" t="s">
        <v>19024</v>
      </c>
      <c r="B2740" s="4"/>
    </row>
    <row r="2741" customHeight="1" spans="1:2">
      <c r="A2741" s="3" t="s">
        <v>6277</v>
      </c>
      <c r="B2741" s="4">
        <v>26830000</v>
      </c>
    </row>
    <row r="2742" customHeight="1" spans="1:2">
      <c r="A2742" s="3" t="s">
        <v>21307</v>
      </c>
      <c r="B2742" s="4"/>
    </row>
    <row r="2743" customHeight="1" spans="1:2">
      <c r="A2743" s="3" t="s">
        <v>14126</v>
      </c>
      <c r="B2743" s="4">
        <v>35400000</v>
      </c>
    </row>
    <row r="2744" customHeight="1" spans="1:2">
      <c r="A2744" s="3" t="s">
        <v>3024</v>
      </c>
      <c r="B2744" s="4">
        <v>75604320</v>
      </c>
    </row>
    <row r="2745" customHeight="1" spans="1:2">
      <c r="A2745" s="3" t="s">
        <v>10924</v>
      </c>
      <c r="B2745" s="4">
        <v>20246959</v>
      </c>
    </row>
    <row r="2746" customHeight="1" spans="1:2">
      <c r="A2746" s="3" t="s">
        <v>473</v>
      </c>
      <c r="B2746" s="4">
        <v>257704099</v>
      </c>
    </row>
    <row r="2747" customHeight="1" spans="1:2">
      <c r="A2747" s="3" t="s">
        <v>20366</v>
      </c>
      <c r="B2747" s="4"/>
    </row>
    <row r="2748" customHeight="1" spans="1:2">
      <c r="A2748" s="3" t="s">
        <v>4044</v>
      </c>
      <c r="B2748" s="4">
        <v>34667015</v>
      </c>
    </row>
    <row r="2749" customHeight="1" spans="1:2">
      <c r="A2749" s="3" t="s">
        <v>6691</v>
      </c>
      <c r="B2749" s="4">
        <v>38536376</v>
      </c>
    </row>
    <row r="2750" customHeight="1" spans="1:2">
      <c r="A2750" s="3" t="s">
        <v>15534</v>
      </c>
      <c r="B2750" s="4">
        <v>4040588</v>
      </c>
    </row>
    <row r="2751" customHeight="1" spans="1:2">
      <c r="A2751" s="3" t="s">
        <v>21874</v>
      </c>
      <c r="B2751" s="4"/>
    </row>
    <row r="2752" customHeight="1" spans="1:2">
      <c r="A2752" s="3" t="s">
        <v>6580</v>
      </c>
      <c r="B2752" s="4">
        <v>28751715</v>
      </c>
    </row>
    <row r="2753" customHeight="1" spans="1:2">
      <c r="A2753" s="3" t="s">
        <v>23617</v>
      </c>
      <c r="B2753" s="4"/>
    </row>
    <row r="2754" customHeight="1" spans="1:2">
      <c r="A2754" s="3" t="s">
        <v>6644</v>
      </c>
      <c r="B2754" s="4">
        <v>40566655</v>
      </c>
    </row>
    <row r="2755" customHeight="1" spans="1:2">
      <c r="A2755" s="3" t="s">
        <v>2171</v>
      </c>
      <c r="B2755" s="4">
        <v>33685268</v>
      </c>
    </row>
    <row r="2756" customHeight="1" spans="1:2">
      <c r="A2756" s="3" t="s">
        <v>15478</v>
      </c>
      <c r="B2756" s="4">
        <v>6157157</v>
      </c>
    </row>
    <row r="2757" customHeight="1" spans="1:2">
      <c r="A2757" s="3" t="s">
        <v>7494</v>
      </c>
      <c r="B2757" s="4">
        <v>129115</v>
      </c>
    </row>
    <row r="2758" customHeight="1" spans="1:2">
      <c r="A2758" s="3" t="s">
        <v>21502</v>
      </c>
      <c r="B2758" s="4"/>
    </row>
    <row r="2759" customHeight="1" spans="1:2">
      <c r="A2759" s="3" t="s">
        <v>8402</v>
      </c>
      <c r="B2759" s="4">
        <v>36874745</v>
      </c>
    </row>
    <row r="2760" customHeight="1" spans="1:2">
      <c r="A2760" s="3" t="s">
        <v>10236</v>
      </c>
      <c r="B2760" s="4">
        <v>44886089</v>
      </c>
    </row>
    <row r="2761" customHeight="1" spans="1:2">
      <c r="A2761" s="3" t="s">
        <v>1700</v>
      </c>
      <c r="B2761" s="4">
        <v>66462600</v>
      </c>
    </row>
    <row r="2762" customHeight="1" spans="1:2">
      <c r="A2762" s="3" t="s">
        <v>17506</v>
      </c>
      <c r="B2762" s="4">
        <v>11284657</v>
      </c>
    </row>
    <row r="2763" customHeight="1" spans="1:2">
      <c r="A2763" s="3" t="s">
        <v>5390</v>
      </c>
      <c r="B2763" s="4">
        <v>1877179</v>
      </c>
    </row>
    <row r="2764" customHeight="1" spans="1:2">
      <c r="A2764" s="3" t="s">
        <v>19349</v>
      </c>
      <c r="B2764" s="4">
        <v>2047570</v>
      </c>
    </row>
    <row r="2765" customHeight="1" spans="1:2">
      <c r="A2765" s="3" t="s">
        <v>20124</v>
      </c>
      <c r="B2765" s="4"/>
    </row>
    <row r="2766" customHeight="1" spans="1:2">
      <c r="A2766" s="3" t="s">
        <v>23275</v>
      </c>
      <c r="B2766" s="4"/>
    </row>
    <row r="2767" customHeight="1" spans="1:2">
      <c r="A2767" s="3" t="s">
        <v>19859</v>
      </c>
      <c r="B2767" s="4"/>
    </row>
    <row r="2768" customHeight="1" spans="1:2">
      <c r="A2768" s="3" t="s">
        <v>17559</v>
      </c>
      <c r="B2768" s="4">
        <v>3885134</v>
      </c>
    </row>
    <row r="2769" customHeight="1" spans="1:2">
      <c r="A2769" s="3" t="s">
        <v>12128</v>
      </c>
      <c r="B2769" s="4">
        <v>352786</v>
      </c>
    </row>
    <row r="2770" customHeight="1" spans="1:2">
      <c r="A2770" s="3" t="s">
        <v>16850</v>
      </c>
      <c r="B2770" s="4">
        <v>4033268</v>
      </c>
    </row>
    <row r="2771" customHeight="1" spans="1:2">
      <c r="A2771" s="3" t="s">
        <v>18762</v>
      </c>
      <c r="B2771" s="4">
        <v>104077</v>
      </c>
    </row>
    <row r="2772" customHeight="1" spans="1:2">
      <c r="A2772" s="3" t="s">
        <v>8581</v>
      </c>
      <c r="B2772" s="4">
        <v>18252684</v>
      </c>
    </row>
    <row r="2773" customHeight="1" spans="1:2">
      <c r="A2773" s="3" t="s">
        <v>12750</v>
      </c>
      <c r="B2773" s="4">
        <v>1641788</v>
      </c>
    </row>
    <row r="2774" customHeight="1" spans="1:2">
      <c r="A2774" s="3" t="s">
        <v>4942</v>
      </c>
      <c r="B2774" s="4">
        <v>2954405</v>
      </c>
    </row>
    <row r="2775" customHeight="1" spans="1:2">
      <c r="A2775" s="3" t="s">
        <v>4495</v>
      </c>
      <c r="B2775" s="4">
        <v>24332324</v>
      </c>
    </row>
    <row r="2776" customHeight="1" spans="1:2">
      <c r="A2776" s="3" t="s">
        <v>16313</v>
      </c>
      <c r="B2776" s="4"/>
    </row>
    <row r="2777" customHeight="1" spans="1:2">
      <c r="A2777" s="3" t="s">
        <v>17837</v>
      </c>
      <c r="B2777" s="4">
        <v>4600000</v>
      </c>
    </row>
    <row r="2778" customHeight="1" spans="1:2">
      <c r="A2778" s="3" t="s">
        <v>9356</v>
      </c>
      <c r="B2778" s="4">
        <v>14793904</v>
      </c>
    </row>
    <row r="2779" customHeight="1" spans="1:2">
      <c r="A2779" s="3" t="s">
        <v>12868</v>
      </c>
      <c r="B2779" s="4">
        <v>365734</v>
      </c>
    </row>
    <row r="2780" customHeight="1" spans="1:2">
      <c r="A2780" s="3" t="s">
        <v>12431</v>
      </c>
      <c r="B2780" s="4"/>
    </row>
    <row r="2781" customHeight="1" spans="1:2">
      <c r="A2781" s="3" t="s">
        <v>20982</v>
      </c>
      <c r="B2781" s="4"/>
    </row>
    <row r="2782" customHeight="1" spans="1:2">
      <c r="A2782" s="3" t="s">
        <v>18710</v>
      </c>
      <c r="B2782" s="4">
        <v>1677838</v>
      </c>
    </row>
    <row r="2783" customHeight="1" spans="1:2">
      <c r="A2783" s="3" t="s">
        <v>502</v>
      </c>
      <c r="B2783" s="4">
        <v>132122995</v>
      </c>
    </row>
    <row r="2784" customHeight="1" spans="1:2">
      <c r="A2784" s="3" t="s">
        <v>6995</v>
      </c>
      <c r="B2784" s="4">
        <v>54098051</v>
      </c>
    </row>
    <row r="2785" customHeight="1" spans="1:2">
      <c r="A2785" s="3" t="s">
        <v>17238</v>
      </c>
      <c r="B2785" s="4">
        <v>6401336</v>
      </c>
    </row>
    <row r="2786" customHeight="1" spans="1:2">
      <c r="A2786" s="3" t="s">
        <v>14284</v>
      </c>
      <c r="B2786" s="4">
        <v>5694308</v>
      </c>
    </row>
    <row r="2787" customHeight="1" spans="1:2">
      <c r="A2787" s="3" t="s">
        <v>19836</v>
      </c>
      <c r="B2787" s="4"/>
    </row>
    <row r="2788" customHeight="1" spans="1:2">
      <c r="A2788" s="3" t="s">
        <v>3943</v>
      </c>
      <c r="B2788" s="4">
        <v>67061228</v>
      </c>
    </row>
    <row r="2789" customHeight="1" spans="1:2">
      <c r="A2789" s="3" t="s">
        <v>16451</v>
      </c>
      <c r="B2789" s="4"/>
    </row>
    <row r="2790" customHeight="1" spans="1:2">
      <c r="A2790" s="3" t="s">
        <v>15983</v>
      </c>
      <c r="B2790" s="4">
        <v>39200000</v>
      </c>
    </row>
    <row r="2791" customHeight="1" spans="1:2">
      <c r="A2791" s="3" t="s">
        <v>15158</v>
      </c>
      <c r="B2791" s="4">
        <v>766487</v>
      </c>
    </row>
    <row r="2792" customHeight="1" spans="1:2">
      <c r="A2792" s="3" t="s">
        <v>19566</v>
      </c>
      <c r="B2792" s="4"/>
    </row>
    <row r="2793" customHeight="1" spans="1:2">
      <c r="A2793" s="3" t="s">
        <v>20725</v>
      </c>
      <c r="B2793" s="4"/>
    </row>
    <row r="2794" customHeight="1" spans="1:2">
      <c r="A2794" s="3" t="s">
        <v>3503</v>
      </c>
      <c r="B2794" s="4">
        <v>9528092</v>
      </c>
    </row>
    <row r="2795" customHeight="1" spans="1:2">
      <c r="A2795" s="3" t="s">
        <v>393</v>
      </c>
      <c r="B2795" s="4">
        <v>181015141</v>
      </c>
    </row>
    <row r="2796" customHeight="1" spans="1:2">
      <c r="A2796" s="3" t="s">
        <v>17965</v>
      </c>
      <c r="B2796" s="4"/>
    </row>
    <row r="2797" customHeight="1" spans="1:2">
      <c r="A2797" s="3" t="s">
        <v>2360</v>
      </c>
      <c r="B2797" s="4">
        <v>54116191</v>
      </c>
    </row>
    <row r="2798" customHeight="1" spans="1:2">
      <c r="A2798" s="3" t="s">
        <v>21374</v>
      </c>
      <c r="B2798" s="4"/>
    </row>
    <row r="2799" customHeight="1" spans="1:2">
      <c r="A2799" s="3" t="s">
        <v>7588</v>
      </c>
      <c r="B2799" s="4">
        <v>13000000</v>
      </c>
    </row>
    <row r="2800" customHeight="1" spans="1:2">
      <c r="A2800" s="3" t="s">
        <v>15956</v>
      </c>
      <c r="B2800" s="4"/>
    </row>
    <row r="2801" customHeight="1" spans="1:2">
      <c r="A2801" s="3" t="s">
        <v>7131</v>
      </c>
      <c r="B2801" s="4">
        <v>30012990</v>
      </c>
    </row>
    <row r="2802" customHeight="1" spans="1:2">
      <c r="A2802" s="3" t="s">
        <v>19526</v>
      </c>
      <c r="B2802" s="4"/>
    </row>
    <row r="2803" customHeight="1" spans="1:2">
      <c r="A2803" s="3" t="s">
        <v>21012</v>
      </c>
      <c r="B2803" s="4"/>
    </row>
    <row r="2804" customHeight="1" spans="1:2">
      <c r="A2804" s="3" t="s">
        <v>2695</v>
      </c>
      <c r="B2804" s="4">
        <v>22451</v>
      </c>
    </row>
    <row r="2805" customHeight="1" spans="1:2">
      <c r="A2805" s="3" t="s">
        <v>1178</v>
      </c>
      <c r="B2805" s="4">
        <v>78747585</v>
      </c>
    </row>
    <row r="2806" customHeight="1" spans="1:2">
      <c r="A2806" s="3" t="s">
        <v>14624</v>
      </c>
      <c r="B2806" s="4">
        <v>54800000</v>
      </c>
    </row>
    <row r="2807" customHeight="1" spans="1:2">
      <c r="A2807" s="3" t="s">
        <v>18151</v>
      </c>
      <c r="B2807" s="4"/>
    </row>
    <row r="2808" customHeight="1" spans="1:2">
      <c r="A2808" s="3" t="s">
        <v>1850</v>
      </c>
      <c r="B2808" s="4">
        <v>36381716</v>
      </c>
    </row>
    <row r="2809" customHeight="1" spans="1:2">
      <c r="A2809" s="3" t="s">
        <v>2162</v>
      </c>
      <c r="B2809" s="4">
        <v>216119491</v>
      </c>
    </row>
    <row r="2810" customHeight="1" spans="1:2">
      <c r="A2810" s="3" t="s">
        <v>22395</v>
      </c>
      <c r="B2810" s="4"/>
    </row>
    <row r="2811" customHeight="1" spans="1:2">
      <c r="A2811" s="3" t="s">
        <v>14641</v>
      </c>
      <c r="B2811" s="4">
        <v>27457409</v>
      </c>
    </row>
    <row r="2812" customHeight="1" spans="1:2">
      <c r="A2812" s="3" t="s">
        <v>517</v>
      </c>
      <c r="B2812" s="4">
        <v>126930660</v>
      </c>
    </row>
    <row r="2813" customHeight="1" spans="1:2">
      <c r="A2813" s="3" t="s">
        <v>6597</v>
      </c>
      <c r="B2813" s="4">
        <v>148734225</v>
      </c>
    </row>
    <row r="2814" customHeight="1" spans="1:2">
      <c r="A2814" s="3" t="s">
        <v>11449</v>
      </c>
      <c r="B2814" s="4">
        <v>214966</v>
      </c>
    </row>
    <row r="2815" customHeight="1" spans="1:2">
      <c r="A2815" s="3" t="s">
        <v>4708</v>
      </c>
      <c r="B2815" s="4">
        <v>30400000</v>
      </c>
    </row>
    <row r="2816" customHeight="1" spans="1:2">
      <c r="A2816" s="3" t="s">
        <v>15898</v>
      </c>
      <c r="B2816" s="4">
        <v>49413</v>
      </c>
    </row>
    <row r="2817" customHeight="1" spans="1:2">
      <c r="A2817" s="3" t="s">
        <v>3995</v>
      </c>
      <c r="B2817" s="4">
        <v>106793915</v>
      </c>
    </row>
    <row r="2818" customHeight="1" spans="1:2">
      <c r="A2818" s="3" t="s">
        <v>6649</v>
      </c>
      <c r="B2818" s="4">
        <v>31768374</v>
      </c>
    </row>
    <row r="2819" customHeight="1" spans="1:2">
      <c r="A2819" s="3" t="s">
        <v>590</v>
      </c>
      <c r="B2819" s="4">
        <v>49551662</v>
      </c>
    </row>
    <row r="2820" customHeight="1" spans="1:2">
      <c r="A2820" s="3" t="s">
        <v>19434</v>
      </c>
      <c r="B2820" s="4">
        <v>31937</v>
      </c>
    </row>
    <row r="2821" customHeight="1" spans="1:2">
      <c r="A2821" s="3" t="s">
        <v>12696</v>
      </c>
      <c r="B2821" s="4">
        <v>3193102</v>
      </c>
    </row>
    <row r="2822" customHeight="1" spans="1:2">
      <c r="A2822" s="3" t="s">
        <v>15557</v>
      </c>
      <c r="B2822" s="4">
        <v>1082044</v>
      </c>
    </row>
    <row r="2823" customHeight="1" spans="1:2">
      <c r="A2823" s="3" t="s">
        <v>13250</v>
      </c>
      <c r="B2823" s="4">
        <v>18225165</v>
      </c>
    </row>
    <row r="2824" customHeight="1" spans="1:2">
      <c r="A2824" s="3" t="s">
        <v>22151</v>
      </c>
      <c r="B2824" s="4"/>
    </row>
    <row r="2825" customHeight="1" spans="1:2">
      <c r="A2825" s="3" t="s">
        <v>17453</v>
      </c>
      <c r="B2825" s="4"/>
    </row>
    <row r="2826" customHeight="1" spans="1:2">
      <c r="A2826" s="3" t="s">
        <v>2319</v>
      </c>
      <c r="B2826" s="4">
        <v>19548064</v>
      </c>
    </row>
    <row r="2827" customHeight="1" spans="1:2">
      <c r="A2827" s="3" t="s">
        <v>22396</v>
      </c>
      <c r="B2827" s="4"/>
    </row>
    <row r="2828" customHeight="1" spans="1:2">
      <c r="A2828" s="3" t="s">
        <v>5281</v>
      </c>
      <c r="B2828" s="4">
        <v>25871834</v>
      </c>
    </row>
    <row r="2829" customHeight="1" spans="1:2">
      <c r="A2829" s="3" t="s">
        <v>21226</v>
      </c>
      <c r="B2829" s="4"/>
    </row>
    <row r="2830" customHeight="1" spans="1:2">
      <c r="A2830" s="3" t="s">
        <v>2045</v>
      </c>
      <c r="B2830" s="4">
        <v>62321039</v>
      </c>
    </row>
    <row r="2831" customHeight="1" spans="1:2">
      <c r="A2831" s="3" t="s">
        <v>10327</v>
      </c>
      <c r="B2831" s="4">
        <v>26421314</v>
      </c>
    </row>
    <row r="2832" customHeight="1" spans="1:2">
      <c r="A2832" s="3" t="s">
        <v>23119</v>
      </c>
      <c r="B2832" s="4"/>
    </row>
    <row r="2833" customHeight="1" spans="1:2">
      <c r="A2833" s="3" t="s">
        <v>12797</v>
      </c>
      <c r="B2833" s="4">
        <v>1011054</v>
      </c>
    </row>
    <row r="2834" customHeight="1" spans="1:2">
      <c r="A2834" s="3" t="s">
        <v>14180</v>
      </c>
      <c r="B2834" s="4">
        <v>15818967</v>
      </c>
    </row>
    <row r="2835" customHeight="1" spans="1:2">
      <c r="A2835" s="3" t="s">
        <v>19751</v>
      </c>
      <c r="B2835" s="4">
        <v>1711</v>
      </c>
    </row>
    <row r="2836" customHeight="1" spans="1:2">
      <c r="A2836" s="3" t="s">
        <v>7542</v>
      </c>
      <c r="B2836" s="4">
        <v>80000000</v>
      </c>
    </row>
    <row r="2837" customHeight="1" spans="1:2">
      <c r="A2837" s="3" t="s">
        <v>23378</v>
      </c>
      <c r="B2837" s="4"/>
    </row>
    <row r="2838" customHeight="1" spans="1:2">
      <c r="A2838" s="3" t="s">
        <v>11161</v>
      </c>
      <c r="B2838" s="4">
        <v>57300000</v>
      </c>
    </row>
    <row r="2839" customHeight="1" spans="1:2">
      <c r="A2839" s="3" t="s">
        <v>6413</v>
      </c>
      <c r="B2839" s="4">
        <v>217350219</v>
      </c>
    </row>
    <row r="2840" customHeight="1" spans="1:2">
      <c r="A2840" s="3" t="s">
        <v>18281</v>
      </c>
      <c r="B2840" s="4"/>
    </row>
    <row r="2841" customHeight="1" spans="1:2">
      <c r="A2841" s="3" t="s">
        <v>6231</v>
      </c>
      <c r="B2841" s="4">
        <v>10134754</v>
      </c>
    </row>
    <row r="2842" customHeight="1" spans="1:2">
      <c r="A2842" s="3" t="s">
        <v>2659</v>
      </c>
      <c r="B2842" s="4">
        <v>28424210</v>
      </c>
    </row>
    <row r="2843" customHeight="1" spans="1:2">
      <c r="A2843" s="3" t="s">
        <v>7435</v>
      </c>
      <c r="B2843" s="4">
        <v>3073392</v>
      </c>
    </row>
    <row r="2844" customHeight="1" spans="1:2">
      <c r="A2844" s="3" t="s">
        <v>12579</v>
      </c>
      <c r="B2844" s="4">
        <v>14479776</v>
      </c>
    </row>
    <row r="2845" customHeight="1" spans="1:2">
      <c r="A2845" s="3" t="s">
        <v>21070</v>
      </c>
      <c r="B2845" s="4"/>
    </row>
    <row r="2846" customHeight="1" spans="1:2">
      <c r="A2846" s="3" t="s">
        <v>22968</v>
      </c>
      <c r="B2846" s="4"/>
    </row>
    <row r="2847" customHeight="1" spans="1:2">
      <c r="A2847" s="3" t="s">
        <v>22153</v>
      </c>
      <c r="B2847" s="4"/>
    </row>
    <row r="2848" customHeight="1" spans="1:2">
      <c r="A2848" s="3" t="s">
        <v>22394</v>
      </c>
      <c r="B2848" s="4"/>
    </row>
    <row r="2849" customHeight="1" spans="1:2">
      <c r="A2849" s="3" t="s">
        <v>24094</v>
      </c>
      <c r="B2849" s="4"/>
    </row>
    <row r="2850" customHeight="1" spans="1:2">
      <c r="A2850" s="3" t="s">
        <v>11150</v>
      </c>
      <c r="B2850" s="4">
        <v>106952327</v>
      </c>
    </row>
    <row r="2851" customHeight="1" spans="1:2">
      <c r="A2851" s="3" t="s">
        <v>12457</v>
      </c>
      <c r="B2851" s="4">
        <v>17655201</v>
      </c>
    </row>
    <row r="2852" customHeight="1" spans="1:2">
      <c r="A2852" s="3" t="s">
        <v>19793</v>
      </c>
      <c r="B2852" s="4">
        <v>1977544</v>
      </c>
    </row>
    <row r="2853" customHeight="1" spans="1:2">
      <c r="A2853" s="3" t="s">
        <v>19688</v>
      </c>
      <c r="B2853" s="4">
        <v>246574</v>
      </c>
    </row>
    <row r="2854" customHeight="1" spans="1:2">
      <c r="A2854" s="3" t="s">
        <v>1519</v>
      </c>
      <c r="B2854" s="4">
        <v>79363785</v>
      </c>
    </row>
    <row r="2855" customHeight="1" spans="1:2">
      <c r="A2855" s="3" t="s">
        <v>19668</v>
      </c>
      <c r="B2855" s="4">
        <v>1523883</v>
      </c>
    </row>
    <row r="2856" customHeight="1" spans="1:2">
      <c r="A2856" s="3" t="s">
        <v>19042</v>
      </c>
      <c r="B2856" s="4"/>
    </row>
    <row r="2857" customHeight="1" spans="1:2">
      <c r="A2857" s="3" t="s">
        <v>18923</v>
      </c>
      <c r="B2857" s="4"/>
    </row>
    <row r="2858" customHeight="1" spans="1:2">
      <c r="A2858" s="3" t="s">
        <v>13368</v>
      </c>
      <c r="B2858" s="4"/>
    </row>
    <row r="2859" customHeight="1" spans="1:2">
      <c r="A2859" s="3" t="s">
        <v>19425</v>
      </c>
      <c r="B2859" s="4">
        <v>98017</v>
      </c>
    </row>
    <row r="2860" customHeight="1" spans="1:2">
      <c r="A2860" s="3" t="s">
        <v>5890</v>
      </c>
      <c r="B2860" s="4">
        <v>63536011</v>
      </c>
    </row>
    <row r="2861" customHeight="1" spans="1:2">
      <c r="A2861" s="3" t="s">
        <v>23561</v>
      </c>
      <c r="B2861" s="4"/>
    </row>
    <row r="2862" customHeight="1" spans="1:2">
      <c r="A2862" s="3" t="s">
        <v>624</v>
      </c>
      <c r="B2862" s="4">
        <v>217536138</v>
      </c>
    </row>
    <row r="2863" customHeight="1" spans="1:2">
      <c r="A2863" s="3" t="s">
        <v>309</v>
      </c>
      <c r="B2863" s="4">
        <v>292568851</v>
      </c>
    </row>
    <row r="2864" customHeight="1" spans="1:2">
      <c r="A2864" s="3" t="s">
        <v>21479</v>
      </c>
      <c r="B2864" s="4"/>
    </row>
    <row r="2865" customHeight="1" spans="1:2">
      <c r="A2865" s="3" t="s">
        <v>22626</v>
      </c>
      <c r="B2865" s="4"/>
    </row>
    <row r="2866" customHeight="1" spans="1:2">
      <c r="A2866" s="3" t="s">
        <v>1047</v>
      </c>
      <c r="B2866" s="4">
        <v>43982842</v>
      </c>
    </row>
    <row r="2867" customHeight="1" spans="1:2">
      <c r="A2867" s="3" t="s">
        <v>7827</v>
      </c>
      <c r="B2867" s="4">
        <v>22264487</v>
      </c>
    </row>
    <row r="2868" customHeight="1" spans="1:2">
      <c r="A2868" s="3" t="s">
        <v>9980</v>
      </c>
      <c r="B2868" s="4">
        <v>2319187</v>
      </c>
    </row>
    <row r="2869" customHeight="1" spans="1:2">
      <c r="A2869" s="3" t="s">
        <v>20241</v>
      </c>
      <c r="B2869" s="4"/>
    </row>
    <row r="2870" customHeight="1" spans="1:2">
      <c r="A2870" s="3" t="s">
        <v>10512</v>
      </c>
      <c r="B2870" s="4">
        <v>9929000</v>
      </c>
    </row>
    <row r="2871" customHeight="1" spans="1:2">
      <c r="A2871" s="3" t="s">
        <v>11578</v>
      </c>
      <c r="B2871" s="4">
        <v>30400000</v>
      </c>
    </row>
    <row r="2872" customHeight="1" spans="1:2">
      <c r="A2872" s="3" t="s">
        <v>4285</v>
      </c>
      <c r="B2872" s="4">
        <v>57887882</v>
      </c>
    </row>
    <row r="2873" customHeight="1" spans="1:2">
      <c r="A2873" s="3" t="s">
        <v>5034</v>
      </c>
      <c r="B2873" s="4">
        <v>64604977</v>
      </c>
    </row>
    <row r="2874" customHeight="1" spans="1:2">
      <c r="A2874" s="3" t="s">
        <v>34</v>
      </c>
      <c r="B2874" s="4">
        <v>309404152</v>
      </c>
    </row>
    <row r="2875" customHeight="1" spans="1:2">
      <c r="A2875" s="3" t="s">
        <v>19794</v>
      </c>
      <c r="B2875" s="4">
        <v>1050600</v>
      </c>
    </row>
    <row r="2876" customHeight="1" spans="1:2">
      <c r="A2876" s="3" t="s">
        <v>5840</v>
      </c>
      <c r="B2876" s="4">
        <v>106694016</v>
      </c>
    </row>
    <row r="2877" customHeight="1" spans="1:2">
      <c r="A2877" s="3" t="s">
        <v>23597</v>
      </c>
      <c r="B2877" s="4"/>
    </row>
    <row r="2878" customHeight="1" spans="1:2">
      <c r="A2878" s="3" t="s">
        <v>20990</v>
      </c>
      <c r="B2878" s="4"/>
    </row>
    <row r="2879" customHeight="1" spans="1:2">
      <c r="A2879" s="3" t="s">
        <v>22742</v>
      </c>
      <c r="B2879" s="4"/>
    </row>
    <row r="2880" customHeight="1" spans="1:2">
      <c r="A2880" s="3" t="s">
        <v>2144</v>
      </c>
      <c r="B2880" s="4">
        <v>87704396</v>
      </c>
    </row>
    <row r="2881" customHeight="1" spans="1:2">
      <c r="A2881" s="3" t="s">
        <v>11527</v>
      </c>
      <c r="B2881" s="4">
        <v>78900000</v>
      </c>
    </row>
    <row r="2882" customHeight="1" spans="1:2">
      <c r="A2882" s="3" t="s">
        <v>11770</v>
      </c>
      <c r="B2882" s="4">
        <v>5542025</v>
      </c>
    </row>
    <row r="2883" customHeight="1" spans="1:2">
      <c r="A2883" s="3" t="s">
        <v>8089</v>
      </c>
      <c r="B2883" s="4">
        <v>16284360</v>
      </c>
    </row>
    <row r="2884" customHeight="1" spans="1:2">
      <c r="A2884" s="3" t="s">
        <v>12934</v>
      </c>
      <c r="B2884" s="4">
        <v>19348</v>
      </c>
    </row>
    <row r="2885" customHeight="1" spans="1:2">
      <c r="A2885" s="3" t="s">
        <v>2116</v>
      </c>
      <c r="B2885" s="4">
        <v>29655590</v>
      </c>
    </row>
    <row r="2886" customHeight="1" spans="1:2">
      <c r="A2886" s="3" t="s">
        <v>23856</v>
      </c>
      <c r="B2886" s="4"/>
    </row>
    <row r="2887" customHeight="1" spans="1:2">
      <c r="A2887" s="3" t="s">
        <v>15119</v>
      </c>
      <c r="B2887" s="4">
        <v>56007</v>
      </c>
    </row>
    <row r="2888" customHeight="1" spans="1:2">
      <c r="A2888" s="3" t="s">
        <v>18975</v>
      </c>
      <c r="B2888" s="4">
        <v>1007962</v>
      </c>
    </row>
    <row r="2889" customHeight="1" spans="1:2">
      <c r="A2889" s="3" t="s">
        <v>16799</v>
      </c>
      <c r="B2889" s="4"/>
    </row>
    <row r="2890" customHeight="1" spans="1:2">
      <c r="A2890" s="3" t="s">
        <v>15130</v>
      </c>
      <c r="B2890" s="4">
        <v>753501</v>
      </c>
    </row>
    <row r="2891" customHeight="1" spans="1:2">
      <c r="A2891" s="3" t="s">
        <v>14707</v>
      </c>
      <c r="B2891" s="4">
        <v>11642254</v>
      </c>
    </row>
    <row r="2892" customHeight="1" spans="1:2">
      <c r="A2892" s="3" t="s">
        <v>3330</v>
      </c>
      <c r="B2892" s="4">
        <v>46982632</v>
      </c>
    </row>
    <row r="2893" customHeight="1" spans="1:2">
      <c r="A2893" s="3" t="s">
        <v>12068</v>
      </c>
      <c r="B2893" s="4">
        <v>9170214</v>
      </c>
    </row>
    <row r="2894" customHeight="1" spans="1:2">
      <c r="A2894" s="3" t="s">
        <v>21022</v>
      </c>
      <c r="B2894" s="4"/>
    </row>
    <row r="2895" customHeight="1" spans="1:2">
      <c r="A2895" s="3" t="s">
        <v>4740</v>
      </c>
      <c r="B2895" s="4">
        <v>40334024</v>
      </c>
    </row>
    <row r="2896" customHeight="1" spans="1:2">
      <c r="A2896" s="3" t="s">
        <v>19330</v>
      </c>
      <c r="B2896" s="4"/>
    </row>
    <row r="2897" customHeight="1" spans="1:2">
      <c r="A2897" s="3" t="s">
        <v>24157</v>
      </c>
      <c r="B2897" s="4"/>
    </row>
    <row r="2898" customHeight="1" spans="1:2">
      <c r="A2898" s="3" t="s">
        <v>6831</v>
      </c>
      <c r="B2898" s="4">
        <v>23222861</v>
      </c>
    </row>
    <row r="2899" customHeight="1" spans="1:2">
      <c r="A2899" s="3" t="s">
        <v>21120</v>
      </c>
      <c r="B2899" s="4"/>
    </row>
    <row r="2900" customHeight="1" spans="1:2">
      <c r="A2900" s="3" t="s">
        <v>17648</v>
      </c>
      <c r="B2900" s="4">
        <v>371081</v>
      </c>
    </row>
    <row r="2901" customHeight="1" spans="1:2">
      <c r="A2901" s="3" t="s">
        <v>20134</v>
      </c>
      <c r="B2901" s="4">
        <v>22757819</v>
      </c>
    </row>
    <row r="2902" customHeight="1" spans="1:2">
      <c r="A2902" s="3" t="s">
        <v>17282</v>
      </c>
      <c r="B2902" s="4">
        <v>6851969</v>
      </c>
    </row>
    <row r="2903" customHeight="1" spans="1:2">
      <c r="A2903" s="3" t="s">
        <v>7960</v>
      </c>
      <c r="B2903" s="4">
        <v>1796024</v>
      </c>
    </row>
    <row r="2904" customHeight="1" spans="1:2">
      <c r="A2904" s="3" t="s">
        <v>5276</v>
      </c>
      <c r="B2904" s="4">
        <v>19389454</v>
      </c>
    </row>
    <row r="2905" customHeight="1" spans="1:2">
      <c r="A2905" s="3" t="s">
        <v>13878</v>
      </c>
      <c r="B2905" s="4">
        <v>23106</v>
      </c>
    </row>
    <row r="2906" customHeight="1" spans="1:2">
      <c r="A2906" s="3" t="s">
        <v>22451</v>
      </c>
      <c r="B2906" s="4"/>
    </row>
    <row r="2907" customHeight="1" spans="1:2">
      <c r="A2907" s="3" t="s">
        <v>3411</v>
      </c>
      <c r="B2907" s="4">
        <v>32741596</v>
      </c>
    </row>
    <row r="2908" customHeight="1" spans="1:2">
      <c r="A2908" s="3" t="s">
        <v>17163</v>
      </c>
      <c r="B2908" s="4"/>
    </row>
    <row r="2909" customHeight="1" spans="1:2">
      <c r="A2909" s="3" t="s">
        <v>15711</v>
      </c>
      <c r="B2909" s="4"/>
    </row>
    <row r="2910" customHeight="1" spans="1:2">
      <c r="A2910" s="3" t="s">
        <v>14687</v>
      </c>
      <c r="B2910" s="4">
        <v>13235267</v>
      </c>
    </row>
    <row r="2911" customHeight="1" spans="1:2">
      <c r="A2911" s="3" t="s">
        <v>4786</v>
      </c>
      <c r="B2911" s="4">
        <v>13782838</v>
      </c>
    </row>
    <row r="2912" customHeight="1" spans="1:2">
      <c r="A2912" s="3" t="s">
        <v>14226</v>
      </c>
      <c r="B2912" s="4">
        <v>14003141</v>
      </c>
    </row>
    <row r="2913" customHeight="1" spans="1:2">
      <c r="A2913" s="3" t="s">
        <v>24126</v>
      </c>
      <c r="B2913" s="4"/>
    </row>
    <row r="2914" customHeight="1" spans="1:2">
      <c r="A2914" s="3" t="s">
        <v>16854</v>
      </c>
      <c r="B2914" s="4"/>
    </row>
    <row r="2915" customHeight="1" spans="1:2">
      <c r="A2915" s="3" t="s">
        <v>5907</v>
      </c>
      <c r="B2915" s="4">
        <v>60269340</v>
      </c>
    </row>
    <row r="2916" customHeight="1" spans="1:2">
      <c r="A2916" s="3" t="s">
        <v>21077</v>
      </c>
      <c r="B2916" s="4"/>
    </row>
    <row r="2917" customHeight="1" spans="1:2">
      <c r="A2917" s="3" t="s">
        <v>1123</v>
      </c>
      <c r="B2917" s="4">
        <v>58229120</v>
      </c>
    </row>
    <row r="2918" customHeight="1" spans="1:2">
      <c r="A2918" s="3" t="s">
        <v>17036</v>
      </c>
      <c r="B2918" s="4"/>
    </row>
    <row r="2919" customHeight="1" spans="1:2">
      <c r="A2919" s="3" t="s">
        <v>9916</v>
      </c>
      <c r="B2919" s="4">
        <v>14792779</v>
      </c>
    </row>
    <row r="2920" customHeight="1" spans="1:2">
      <c r="A2920" s="3" t="s">
        <v>6701</v>
      </c>
      <c r="B2920" s="4">
        <v>5204007</v>
      </c>
    </row>
    <row r="2921" customHeight="1" spans="1:2">
      <c r="A2921" s="3" t="s">
        <v>14535</v>
      </c>
      <c r="B2921" s="4">
        <v>2338695</v>
      </c>
    </row>
    <row r="2922" customHeight="1" spans="1:2">
      <c r="A2922" s="3" t="s">
        <v>20327</v>
      </c>
      <c r="B2922" s="4"/>
    </row>
    <row r="2923" customHeight="1" spans="1:2">
      <c r="A2923" s="3" t="s">
        <v>1780</v>
      </c>
      <c r="B2923" s="4">
        <v>55808744</v>
      </c>
    </row>
    <row r="2924" customHeight="1" spans="1:2">
      <c r="A2924" s="3" t="s">
        <v>18898</v>
      </c>
      <c r="B2924" s="4"/>
    </row>
    <row r="2925" customHeight="1" spans="1:2">
      <c r="A2925" s="3" t="s">
        <v>13575</v>
      </c>
      <c r="B2925" s="4">
        <v>163214286</v>
      </c>
    </row>
    <row r="2926" customHeight="1" spans="1:2">
      <c r="A2926" s="3" t="s">
        <v>20228</v>
      </c>
      <c r="B2926" s="4"/>
    </row>
    <row r="2927" customHeight="1" spans="1:2">
      <c r="A2927" s="3" t="s">
        <v>6839</v>
      </c>
      <c r="B2927" s="4">
        <v>16252765</v>
      </c>
    </row>
    <row r="2928" customHeight="1" spans="1:2">
      <c r="A2928" s="3" t="s">
        <v>11036</v>
      </c>
      <c r="B2928" s="4"/>
    </row>
    <row r="2929" customHeight="1" spans="1:2">
      <c r="A2929" s="3" t="s">
        <v>3133</v>
      </c>
      <c r="B2929" s="4">
        <v>35092918</v>
      </c>
    </row>
    <row r="2930" customHeight="1" spans="1:2">
      <c r="A2930" s="3" t="s">
        <v>23319</v>
      </c>
      <c r="B2930" s="4"/>
    </row>
    <row r="2931" customHeight="1" spans="1:2">
      <c r="A2931" s="3" t="s">
        <v>1328</v>
      </c>
      <c r="B2931" s="4">
        <v>51396781</v>
      </c>
    </row>
    <row r="2932" customHeight="1" spans="1:2">
      <c r="A2932" s="3" t="s">
        <v>3198</v>
      </c>
      <c r="B2932" s="4">
        <v>105807520</v>
      </c>
    </row>
    <row r="2933" customHeight="1" spans="1:2">
      <c r="A2933" s="3" t="s">
        <v>15784</v>
      </c>
      <c r="B2933" s="4">
        <v>513836</v>
      </c>
    </row>
    <row r="2934" customHeight="1" spans="1:2">
      <c r="A2934" s="3" t="s">
        <v>20368</v>
      </c>
      <c r="B2934" s="4"/>
    </row>
    <row r="2935" customHeight="1" spans="1:2">
      <c r="A2935" s="3" t="s">
        <v>17403</v>
      </c>
      <c r="B2935" s="4"/>
    </row>
    <row r="2936" customHeight="1" spans="1:2">
      <c r="A2936" s="3" t="s">
        <v>4089</v>
      </c>
      <c r="B2936" s="4"/>
    </row>
    <row r="2937" customHeight="1" spans="1:2">
      <c r="A2937" s="3" t="s">
        <v>14699</v>
      </c>
      <c r="B2937" s="4"/>
    </row>
    <row r="2938" customHeight="1" spans="1:2">
      <c r="A2938" s="3" t="s">
        <v>12259</v>
      </c>
      <c r="B2938" s="4">
        <v>63270259</v>
      </c>
    </row>
    <row r="2939" customHeight="1" spans="1:2">
      <c r="A2939" s="3" t="s">
        <v>21432</v>
      </c>
      <c r="B2939" s="4"/>
    </row>
    <row r="2940" customHeight="1" spans="1:2">
      <c r="A2940" s="3" t="s">
        <v>4278</v>
      </c>
      <c r="B2940" s="4">
        <v>66466372</v>
      </c>
    </row>
    <row r="2941" customHeight="1" spans="1:2">
      <c r="A2941" s="3" t="s">
        <v>22786</v>
      </c>
      <c r="B2941" s="4"/>
    </row>
    <row r="2942" customHeight="1" spans="1:2">
      <c r="A2942" s="3" t="s">
        <v>6538</v>
      </c>
      <c r="B2942" s="4">
        <v>16779636</v>
      </c>
    </row>
    <row r="2943" customHeight="1" spans="1:2">
      <c r="A2943" s="3" t="s">
        <v>15479</v>
      </c>
      <c r="B2943" s="4">
        <v>6088249</v>
      </c>
    </row>
    <row r="2944" customHeight="1" spans="1:2">
      <c r="A2944" s="3" t="s">
        <v>2089</v>
      </c>
      <c r="B2944" s="4">
        <v>5851188</v>
      </c>
    </row>
    <row r="2945" customHeight="1" spans="1:2">
      <c r="A2945" s="3" t="s">
        <v>24095</v>
      </c>
      <c r="B2945" s="4"/>
    </row>
    <row r="2946" customHeight="1" spans="1:2">
      <c r="A2946" s="3" t="s">
        <v>17076</v>
      </c>
      <c r="B2946" s="4"/>
    </row>
    <row r="2947" customHeight="1" spans="1:2">
      <c r="A2947" s="3" t="s">
        <v>5311</v>
      </c>
      <c r="B2947" s="4">
        <v>14998070</v>
      </c>
    </row>
    <row r="2948" customHeight="1" spans="1:2">
      <c r="A2948" s="3" t="s">
        <v>8404</v>
      </c>
      <c r="B2948" s="4">
        <v>35033759</v>
      </c>
    </row>
    <row r="2949" customHeight="1" spans="1:2">
      <c r="A2949" s="3" t="s">
        <v>6877</v>
      </c>
      <c r="B2949" s="4">
        <v>499263</v>
      </c>
    </row>
    <row r="2950" customHeight="1" spans="1:2">
      <c r="A2950" s="3" t="s">
        <v>18859</v>
      </c>
      <c r="B2950" s="4"/>
    </row>
    <row r="2951" customHeight="1" spans="1:2">
      <c r="A2951" s="3" t="s">
        <v>22698</v>
      </c>
      <c r="B2951" s="4"/>
    </row>
    <row r="2952" customHeight="1" spans="1:2">
      <c r="A2952" s="3" t="s">
        <v>11923</v>
      </c>
      <c r="B2952" s="4">
        <v>91443253</v>
      </c>
    </row>
    <row r="2953" customHeight="1" spans="1:2">
      <c r="A2953" s="3" t="s">
        <v>13372</v>
      </c>
      <c r="B2953" s="4">
        <v>112935</v>
      </c>
    </row>
    <row r="2954" customHeight="1" spans="1:2">
      <c r="A2954" s="3" t="s">
        <v>1010</v>
      </c>
      <c r="B2954" s="4">
        <v>77679638</v>
      </c>
    </row>
    <row r="2955" customHeight="1" spans="1:2">
      <c r="A2955" s="3" t="s">
        <v>9205</v>
      </c>
      <c r="B2955" s="4">
        <v>13998282</v>
      </c>
    </row>
    <row r="2956" customHeight="1" spans="1:2">
      <c r="A2956" s="3" t="s">
        <v>23499</v>
      </c>
      <c r="B2956" s="4"/>
    </row>
    <row r="2957" customHeight="1" spans="1:2">
      <c r="A2957" s="3" t="s">
        <v>11002</v>
      </c>
      <c r="B2957" s="4">
        <v>4291965</v>
      </c>
    </row>
    <row r="2958" customHeight="1" spans="1:2">
      <c r="A2958" s="3" t="s">
        <v>16788</v>
      </c>
      <c r="B2958" s="4">
        <v>229094</v>
      </c>
    </row>
    <row r="2959" customHeight="1" spans="1:2">
      <c r="A2959" s="3" t="s">
        <v>20777</v>
      </c>
      <c r="B2959" s="4"/>
    </row>
    <row r="2960" customHeight="1" spans="1:2">
      <c r="A2960" s="3" t="s">
        <v>323</v>
      </c>
      <c r="B2960" s="4">
        <v>281666058</v>
      </c>
    </row>
    <row r="2961" customHeight="1" spans="1:2">
      <c r="A2961" s="3" t="s">
        <v>23448</v>
      </c>
      <c r="B2961" s="4"/>
    </row>
    <row r="2962" customHeight="1" spans="1:2">
      <c r="A2962" s="3" t="s">
        <v>23487</v>
      </c>
      <c r="B2962" s="4"/>
    </row>
    <row r="2963" customHeight="1" spans="1:2">
      <c r="A2963" s="3" t="s">
        <v>19586</v>
      </c>
      <c r="B2963" s="4"/>
    </row>
    <row r="2964" customHeight="1" spans="1:2">
      <c r="A2964" s="3" t="s">
        <v>8270</v>
      </c>
      <c r="B2964" s="4">
        <v>56362352</v>
      </c>
    </row>
    <row r="2965" customHeight="1" spans="1:2">
      <c r="A2965" s="3" t="s">
        <v>17553</v>
      </c>
      <c r="B2965" s="4">
        <v>6531491</v>
      </c>
    </row>
    <row r="2966" customHeight="1" spans="1:2">
      <c r="A2966" s="3" t="s">
        <v>8850</v>
      </c>
      <c r="B2966" s="4">
        <v>6420319</v>
      </c>
    </row>
    <row r="2967" customHeight="1" spans="1:2">
      <c r="A2967" s="3" t="s">
        <v>19078</v>
      </c>
      <c r="B2967" s="4">
        <v>2073984</v>
      </c>
    </row>
    <row r="2968" customHeight="1" spans="1:2">
      <c r="A2968" s="3" t="s">
        <v>9741</v>
      </c>
      <c r="B2968" s="4"/>
    </row>
    <row r="2969" customHeight="1" spans="1:2">
      <c r="A2969" s="3" t="s">
        <v>18041</v>
      </c>
      <c r="B2969" s="4">
        <v>129319</v>
      </c>
    </row>
    <row r="2970" customHeight="1" spans="1:2">
      <c r="A2970" s="3" t="s">
        <v>2840</v>
      </c>
      <c r="B2970" s="4">
        <v>105263257</v>
      </c>
    </row>
    <row r="2971" customHeight="1" spans="1:2">
      <c r="A2971" s="3" t="s">
        <v>15552</v>
      </c>
      <c r="B2971" s="4">
        <v>2711210</v>
      </c>
    </row>
    <row r="2972" customHeight="1" spans="1:2">
      <c r="A2972" s="3" t="s">
        <v>3883</v>
      </c>
      <c r="B2972" s="4">
        <v>11146409</v>
      </c>
    </row>
    <row r="2973" customHeight="1" spans="1:2">
      <c r="A2973" s="3" t="s">
        <v>11057</v>
      </c>
      <c r="B2973" s="4"/>
    </row>
    <row r="2974" customHeight="1" spans="1:2">
      <c r="A2974" s="3" t="s">
        <v>23757</v>
      </c>
      <c r="B2974" s="4"/>
    </row>
    <row r="2975" customHeight="1" spans="1:2">
      <c r="A2975" s="3" t="s">
        <v>23700</v>
      </c>
      <c r="B2975" s="4"/>
    </row>
    <row r="2976" customHeight="1" spans="1:2">
      <c r="A2976" s="3" t="s">
        <v>21362</v>
      </c>
      <c r="B2976" s="4"/>
    </row>
    <row r="2977" customHeight="1" spans="1:2">
      <c r="A2977" s="3" t="s">
        <v>6508</v>
      </c>
      <c r="B2977" s="4">
        <v>43097652</v>
      </c>
    </row>
    <row r="2978" customHeight="1" spans="1:2">
      <c r="A2978" s="3" t="s">
        <v>44</v>
      </c>
      <c r="B2978" s="4">
        <v>448130642</v>
      </c>
    </row>
    <row r="2979" customHeight="1" spans="1:2">
      <c r="A2979" s="3" t="s">
        <v>14751</v>
      </c>
      <c r="B2979" s="4">
        <v>4595000</v>
      </c>
    </row>
    <row r="2980" customHeight="1" spans="1:2">
      <c r="A2980" s="3" t="s">
        <v>22129</v>
      </c>
      <c r="B2980" s="4"/>
    </row>
    <row r="2981" customHeight="1" spans="1:2">
      <c r="A2981" s="3" t="s">
        <v>17367</v>
      </c>
      <c r="B2981" s="4"/>
    </row>
    <row r="2982" customHeight="1" spans="1:2">
      <c r="A2982" s="3" t="s">
        <v>6532</v>
      </c>
      <c r="B2982" s="4">
        <v>31600000</v>
      </c>
    </row>
    <row r="2983" customHeight="1" spans="1:2">
      <c r="A2983" s="3" t="s">
        <v>9643</v>
      </c>
      <c r="B2983" s="4">
        <v>27854896</v>
      </c>
    </row>
    <row r="2984" customHeight="1" spans="1:2">
      <c r="A2984" s="3" t="s">
        <v>17335</v>
      </c>
      <c r="B2984" s="4">
        <v>5731103</v>
      </c>
    </row>
    <row r="2985" customHeight="1" spans="1:2">
      <c r="A2985" s="3" t="s">
        <v>19508</v>
      </c>
      <c r="B2985" s="4"/>
    </row>
    <row r="2986" customHeight="1" spans="1:2">
      <c r="A2986" s="3" t="s">
        <v>23926</v>
      </c>
      <c r="B2986" s="4"/>
    </row>
    <row r="2987" customHeight="1" spans="1:2">
      <c r="A2987" s="3" t="s">
        <v>14950</v>
      </c>
      <c r="B2987" s="4"/>
    </row>
    <row r="2988" customHeight="1" spans="1:2">
      <c r="A2988" s="3" t="s">
        <v>23533</v>
      </c>
      <c r="B2988" s="4"/>
    </row>
    <row r="2989" customHeight="1" spans="1:2">
      <c r="A2989" s="3" t="s">
        <v>23768</v>
      </c>
      <c r="B2989" s="4"/>
    </row>
    <row r="2990" customHeight="1" spans="1:2">
      <c r="A2990" s="3" t="s">
        <v>251</v>
      </c>
      <c r="B2990" s="4">
        <v>150167630</v>
      </c>
    </row>
    <row r="2991" customHeight="1" spans="1:2">
      <c r="A2991" s="3" t="s">
        <v>7263</v>
      </c>
      <c r="B2991" s="4">
        <v>15331289</v>
      </c>
    </row>
    <row r="2992" customHeight="1" spans="1:2">
      <c r="A2992" s="3" t="s">
        <v>2820</v>
      </c>
      <c r="B2992" s="4">
        <v>45860039</v>
      </c>
    </row>
    <row r="2993" customHeight="1" spans="1:2">
      <c r="A2993" s="3" t="s">
        <v>5591</v>
      </c>
      <c r="B2993" s="4">
        <v>57744720</v>
      </c>
    </row>
    <row r="2994" customHeight="1" spans="1:2">
      <c r="A2994" s="3" t="s">
        <v>20031</v>
      </c>
      <c r="B2994" s="4"/>
    </row>
    <row r="2995" customHeight="1" spans="1:2">
      <c r="A2995" s="3" t="s">
        <v>599</v>
      </c>
      <c r="B2995" s="4">
        <v>137748063</v>
      </c>
    </row>
    <row r="2996" customHeight="1" spans="1:2">
      <c r="A2996" s="3" t="s">
        <v>1951</v>
      </c>
      <c r="B2996" s="4">
        <v>117541000</v>
      </c>
    </row>
    <row r="2997" customHeight="1" spans="1:2">
      <c r="A2997" s="3" t="s">
        <v>21053</v>
      </c>
      <c r="B2997" s="4"/>
    </row>
    <row r="2998" customHeight="1" spans="1:2">
      <c r="A2998" s="3" t="s">
        <v>1957</v>
      </c>
      <c r="B2998" s="4">
        <v>116643346</v>
      </c>
    </row>
    <row r="2999" customHeight="1" spans="1:2">
      <c r="A2999" s="3" t="s">
        <v>20562</v>
      </c>
      <c r="B2999" s="4"/>
    </row>
    <row r="3000" customHeight="1" spans="1:2">
      <c r="A3000" s="3" t="s">
        <v>18875</v>
      </c>
      <c r="B3000" s="4"/>
    </row>
    <row r="3001" customHeight="1" spans="1:2">
      <c r="A3001" s="3" t="s">
        <v>12543</v>
      </c>
      <c r="B3001" s="4">
        <v>12514138</v>
      </c>
    </row>
    <row r="3002" customHeight="1" spans="1:2">
      <c r="A3002" s="3" t="s">
        <v>4847</v>
      </c>
      <c r="B3002" s="4">
        <v>46813366</v>
      </c>
    </row>
    <row r="3003" customHeight="1" spans="1:2">
      <c r="A3003" s="3" t="s">
        <v>5004</v>
      </c>
      <c r="B3003" s="4">
        <v>81159365</v>
      </c>
    </row>
    <row r="3004" customHeight="1" spans="1:2">
      <c r="A3004" s="3" t="s">
        <v>5247</v>
      </c>
      <c r="B3004" s="4">
        <v>28995450</v>
      </c>
    </row>
    <row r="3005" customHeight="1" spans="1:2">
      <c r="A3005" s="3" t="s">
        <v>3785</v>
      </c>
      <c r="B3005" s="4">
        <v>52580895</v>
      </c>
    </row>
    <row r="3006" customHeight="1" spans="1:2">
      <c r="A3006" s="3" t="s">
        <v>23737</v>
      </c>
      <c r="B3006" s="4"/>
    </row>
    <row r="3007" customHeight="1" spans="1:2">
      <c r="A3007" s="3" t="s">
        <v>16595</v>
      </c>
      <c r="B3007" s="4">
        <v>7563397</v>
      </c>
    </row>
    <row r="3008" customHeight="1" spans="1:2">
      <c r="A3008" s="3" t="s">
        <v>9612</v>
      </c>
      <c r="B3008" s="4">
        <v>19179969</v>
      </c>
    </row>
    <row r="3009" customHeight="1" spans="1:2">
      <c r="A3009" s="3" t="s">
        <v>6465</v>
      </c>
      <c r="B3009" s="4"/>
    </row>
    <row r="3010" customHeight="1" spans="1:2">
      <c r="A3010" s="3" t="s">
        <v>22868</v>
      </c>
      <c r="B3010" s="4"/>
    </row>
    <row r="3011" customHeight="1" spans="1:2">
      <c r="A3011" s="3" t="s">
        <v>18360</v>
      </c>
      <c r="B3011" s="4"/>
    </row>
    <row r="3012" customHeight="1" spans="1:2">
      <c r="A3012" s="3" t="s">
        <v>17371</v>
      </c>
      <c r="B3012" s="4"/>
    </row>
    <row r="3013" customHeight="1" spans="1:2">
      <c r="A3013" s="3" t="s">
        <v>3377</v>
      </c>
      <c r="B3013" s="4">
        <v>39177541</v>
      </c>
    </row>
    <row r="3014" customHeight="1" spans="1:2">
      <c r="A3014" s="3" t="s">
        <v>6539</v>
      </c>
      <c r="B3014" s="4">
        <v>10762178</v>
      </c>
    </row>
    <row r="3015" customHeight="1" spans="1:2">
      <c r="A3015" s="3" t="s">
        <v>6785</v>
      </c>
      <c r="B3015" s="4">
        <v>45506619</v>
      </c>
    </row>
    <row r="3016" customHeight="1" spans="1:2">
      <c r="A3016" s="3" t="s">
        <v>21141</v>
      </c>
      <c r="B3016" s="4"/>
    </row>
    <row r="3017" customHeight="1" spans="1:2">
      <c r="A3017" s="3" t="s">
        <v>6459</v>
      </c>
      <c r="B3017" s="4">
        <v>64371181</v>
      </c>
    </row>
    <row r="3018" customHeight="1" spans="1:2">
      <c r="A3018" s="3" t="s">
        <v>1619</v>
      </c>
      <c r="B3018" s="4">
        <v>17593391</v>
      </c>
    </row>
    <row r="3019" customHeight="1" spans="1:2">
      <c r="A3019" s="3" t="s">
        <v>17847</v>
      </c>
      <c r="B3019" s="4">
        <v>466702</v>
      </c>
    </row>
    <row r="3020" customHeight="1" spans="1:2">
      <c r="A3020" s="3" t="s">
        <v>9809</v>
      </c>
      <c r="B3020" s="4">
        <v>54000000</v>
      </c>
    </row>
    <row r="3021" customHeight="1" spans="1:2">
      <c r="A3021" s="3" t="s">
        <v>2961</v>
      </c>
      <c r="B3021" s="4">
        <v>18573791</v>
      </c>
    </row>
    <row r="3022" customHeight="1" spans="1:2">
      <c r="A3022" s="3" t="s">
        <v>21846</v>
      </c>
      <c r="B3022" s="4"/>
    </row>
    <row r="3023" customHeight="1" spans="1:2">
      <c r="A3023" s="3" t="s">
        <v>14257</v>
      </c>
      <c r="B3023" s="4">
        <v>9094451</v>
      </c>
    </row>
    <row r="3024" customHeight="1" spans="1:2">
      <c r="A3024" s="3" t="s">
        <v>23492</v>
      </c>
      <c r="B3024" s="4"/>
    </row>
    <row r="3025" customHeight="1" spans="1:2">
      <c r="A3025" s="3" t="s">
        <v>11203</v>
      </c>
      <c r="B3025" s="4">
        <v>48637684</v>
      </c>
    </row>
    <row r="3026" customHeight="1" spans="1:2">
      <c r="A3026" s="3" t="s">
        <v>7326</v>
      </c>
      <c r="B3026" s="4">
        <v>11008432</v>
      </c>
    </row>
    <row r="3027" customHeight="1" spans="1:2">
      <c r="A3027" s="3" t="s">
        <v>8562</v>
      </c>
      <c r="B3027" s="4">
        <v>23393765</v>
      </c>
    </row>
    <row r="3028" customHeight="1" spans="1:2">
      <c r="A3028" s="3" t="s">
        <v>23946</v>
      </c>
      <c r="B3028" s="4"/>
    </row>
    <row r="3029" customHeight="1" spans="1:2">
      <c r="A3029" s="3" t="s">
        <v>18666</v>
      </c>
      <c r="B3029" s="4">
        <v>5997134</v>
      </c>
    </row>
    <row r="3030" customHeight="1" spans="1:2">
      <c r="A3030" s="3" t="s">
        <v>682</v>
      </c>
      <c r="B3030" s="4">
        <v>100685880</v>
      </c>
    </row>
    <row r="3031" customHeight="1" spans="1:2">
      <c r="A3031" s="3" t="s">
        <v>21845</v>
      </c>
      <c r="B3031" s="4"/>
    </row>
    <row r="3032" customHeight="1" spans="1:2">
      <c r="A3032" s="3" t="s">
        <v>1190</v>
      </c>
      <c r="B3032" s="4">
        <v>68558662</v>
      </c>
    </row>
    <row r="3033" customHeight="1" spans="1:2">
      <c r="A3033" s="3" t="s">
        <v>20449</v>
      </c>
      <c r="B3033" s="4">
        <v>85222</v>
      </c>
    </row>
    <row r="3034" customHeight="1" spans="1:2">
      <c r="A3034" s="3" t="s">
        <v>21248</v>
      </c>
      <c r="B3034" s="4"/>
    </row>
    <row r="3035" customHeight="1" spans="1:2">
      <c r="A3035" s="3" t="s">
        <v>4989</v>
      </c>
      <c r="B3035" s="4">
        <v>171031347</v>
      </c>
    </row>
    <row r="3036" customHeight="1" spans="1:2">
      <c r="A3036" s="3" t="s">
        <v>15372</v>
      </c>
      <c r="B3036" s="4">
        <v>18656400</v>
      </c>
    </row>
    <row r="3037" customHeight="1" spans="1:2">
      <c r="A3037" s="3" t="s">
        <v>20217</v>
      </c>
      <c r="B3037" s="4"/>
    </row>
    <row r="3038" customHeight="1" spans="1:2">
      <c r="A3038" s="3" t="s">
        <v>20079</v>
      </c>
      <c r="B3038" s="4">
        <v>155984</v>
      </c>
    </row>
    <row r="3039" customHeight="1" spans="1:2">
      <c r="A3039" s="3" t="s">
        <v>17609</v>
      </c>
      <c r="B3039" s="4">
        <v>1098224</v>
      </c>
    </row>
    <row r="3040" customHeight="1" spans="1:2">
      <c r="A3040" s="3" t="s">
        <v>9844</v>
      </c>
      <c r="B3040" s="4"/>
    </row>
    <row r="3041" customHeight="1" spans="1:2">
      <c r="A3041" s="3" t="s">
        <v>5879</v>
      </c>
      <c r="B3041" s="4">
        <v>66468315</v>
      </c>
    </row>
    <row r="3042" customHeight="1" spans="1:2">
      <c r="A3042" s="3" t="s">
        <v>21296</v>
      </c>
      <c r="B3042" s="4"/>
    </row>
    <row r="3043" customHeight="1" spans="1:2">
      <c r="A3043" s="3" t="s">
        <v>2731</v>
      </c>
      <c r="B3043" s="4">
        <v>4426297</v>
      </c>
    </row>
    <row r="3044" customHeight="1" spans="1:2">
      <c r="A3044" s="3" t="s">
        <v>6525</v>
      </c>
      <c r="B3044" s="4">
        <v>66950483</v>
      </c>
    </row>
    <row r="3045" customHeight="1" spans="1:2">
      <c r="A3045" s="3" t="s">
        <v>21950</v>
      </c>
      <c r="B3045" s="4"/>
    </row>
    <row r="3046" customHeight="1" spans="1:2">
      <c r="A3046" s="3" t="s">
        <v>23951</v>
      </c>
      <c r="B3046" s="4"/>
    </row>
    <row r="3047" customHeight="1" spans="1:2">
      <c r="A3047" s="3" t="s">
        <v>9669</v>
      </c>
      <c r="B3047" s="4">
        <v>19693891</v>
      </c>
    </row>
    <row r="3048" customHeight="1" spans="1:2">
      <c r="A3048" s="3" t="s">
        <v>7495</v>
      </c>
      <c r="B3048" s="4"/>
    </row>
    <row r="3049" customHeight="1" spans="1:2">
      <c r="A3049" s="3" t="s">
        <v>2871</v>
      </c>
      <c r="B3049" s="4">
        <v>83000000</v>
      </c>
    </row>
    <row r="3050" customHeight="1" spans="1:2">
      <c r="A3050" s="3" t="s">
        <v>63</v>
      </c>
      <c r="B3050" s="4">
        <v>200069408</v>
      </c>
    </row>
    <row r="3051" customHeight="1" spans="1:2">
      <c r="A3051" s="3" t="s">
        <v>10798</v>
      </c>
      <c r="B3051" s="4"/>
    </row>
    <row r="3052" customHeight="1" spans="1:2">
      <c r="A3052" s="3" t="s">
        <v>9211</v>
      </c>
      <c r="B3052" s="4">
        <v>60057639</v>
      </c>
    </row>
    <row r="3053" customHeight="1" spans="1:2">
      <c r="A3053" s="3" t="s">
        <v>10676</v>
      </c>
      <c r="B3053" s="4">
        <v>819852</v>
      </c>
    </row>
    <row r="3054" customHeight="1" spans="1:2">
      <c r="A3054" s="3" t="s">
        <v>18121</v>
      </c>
      <c r="B3054" s="4">
        <v>2408553</v>
      </c>
    </row>
    <row r="3055" customHeight="1" spans="1:2">
      <c r="A3055" s="3" t="s">
        <v>12069</v>
      </c>
      <c r="B3055" s="4">
        <v>4068087</v>
      </c>
    </row>
    <row r="3056" customHeight="1" spans="1:2">
      <c r="A3056" s="3" t="s">
        <v>2595</v>
      </c>
      <c r="B3056" s="4">
        <v>37479778</v>
      </c>
    </row>
    <row r="3057" customHeight="1" spans="1:2">
      <c r="A3057" s="3" t="s">
        <v>3337</v>
      </c>
      <c r="B3057" s="4">
        <v>56724080</v>
      </c>
    </row>
    <row r="3058" customHeight="1" spans="1:2">
      <c r="A3058" s="3" t="s">
        <v>830</v>
      </c>
      <c r="B3058" s="4">
        <v>24004159</v>
      </c>
    </row>
    <row r="3059" customHeight="1" spans="1:2">
      <c r="A3059" s="3" t="s">
        <v>3957</v>
      </c>
      <c r="B3059" s="4">
        <v>1500000</v>
      </c>
    </row>
    <row r="3060" customHeight="1" spans="1:2">
      <c r="A3060" s="3" t="s">
        <v>14058</v>
      </c>
      <c r="B3060" s="4">
        <v>336530303</v>
      </c>
    </row>
    <row r="3061" customHeight="1" spans="1:2">
      <c r="A3061" s="3" t="s">
        <v>8473</v>
      </c>
      <c r="B3061" s="4">
        <v>31584722</v>
      </c>
    </row>
    <row r="3062" customHeight="1" spans="1:2">
      <c r="A3062" s="3" t="s">
        <v>700</v>
      </c>
      <c r="B3062" s="4">
        <v>57637485</v>
      </c>
    </row>
    <row r="3063" customHeight="1" spans="1:2">
      <c r="A3063" s="3" t="s">
        <v>20563</v>
      </c>
      <c r="B3063" s="4"/>
    </row>
    <row r="3064" customHeight="1" spans="1:2">
      <c r="A3064" s="3" t="s">
        <v>16029</v>
      </c>
      <c r="B3064" s="4">
        <v>13008928</v>
      </c>
    </row>
    <row r="3065" customHeight="1" spans="1:2">
      <c r="A3065" s="3" t="s">
        <v>2706</v>
      </c>
      <c r="B3065" s="4">
        <v>11802056</v>
      </c>
    </row>
    <row r="3066" customHeight="1" spans="1:2">
      <c r="A3066" s="3" t="s">
        <v>7299</v>
      </c>
      <c r="B3066" s="4">
        <v>13920741</v>
      </c>
    </row>
    <row r="3067" customHeight="1" spans="1:2">
      <c r="A3067" s="3" t="s">
        <v>2760</v>
      </c>
      <c r="B3067" s="4">
        <v>53715611</v>
      </c>
    </row>
    <row r="3068" customHeight="1" spans="1:2">
      <c r="A3068" s="3" t="s">
        <v>21786</v>
      </c>
      <c r="B3068" s="4"/>
    </row>
    <row r="3069" customHeight="1" spans="1:2">
      <c r="A3069" s="3" t="s">
        <v>4320</v>
      </c>
      <c r="B3069" s="4">
        <v>61094903</v>
      </c>
    </row>
    <row r="3070" customHeight="1" spans="1:2">
      <c r="A3070" s="3" t="s">
        <v>3851</v>
      </c>
      <c r="B3070" s="4">
        <v>20400913</v>
      </c>
    </row>
    <row r="3071" customHeight="1" spans="1:2">
      <c r="A3071" s="3" t="s">
        <v>22387</v>
      </c>
      <c r="B3071" s="4"/>
    </row>
    <row r="3072" customHeight="1" spans="1:2">
      <c r="A3072" s="3" t="s">
        <v>2170</v>
      </c>
      <c r="B3072" s="4">
        <v>176387405</v>
      </c>
    </row>
    <row r="3073" customHeight="1" spans="1:2">
      <c r="A3073" s="3" t="s">
        <v>19871</v>
      </c>
      <c r="B3073" s="4"/>
    </row>
    <row r="3074" customHeight="1" spans="1:2">
      <c r="A3074" s="3" t="s">
        <v>23310</v>
      </c>
      <c r="B3074" s="4"/>
    </row>
    <row r="3075" customHeight="1" spans="1:2">
      <c r="A3075" s="3" t="s">
        <v>5492</v>
      </c>
      <c r="B3075" s="4">
        <v>141340178</v>
      </c>
    </row>
    <row r="3076" customHeight="1" spans="1:2">
      <c r="A3076" s="3" t="s">
        <v>13822</v>
      </c>
      <c r="B3076" s="4">
        <v>686383</v>
      </c>
    </row>
    <row r="3077" customHeight="1" spans="1:2">
      <c r="A3077" s="3" t="s">
        <v>12920</v>
      </c>
      <c r="B3077" s="4"/>
    </row>
    <row r="3078" customHeight="1" spans="1:2">
      <c r="A3078" s="3" t="s">
        <v>19981</v>
      </c>
      <c r="B3078" s="4"/>
    </row>
    <row r="3079" customHeight="1" spans="1:2">
      <c r="A3079" s="3" t="s">
        <v>6493</v>
      </c>
      <c r="B3079" s="4">
        <v>45162741</v>
      </c>
    </row>
    <row r="3080" customHeight="1" spans="1:2">
      <c r="A3080" s="3" t="s">
        <v>9151</v>
      </c>
      <c r="B3080" s="4">
        <v>10562387</v>
      </c>
    </row>
    <row r="3081" customHeight="1" spans="1:2">
      <c r="A3081" s="3" t="s">
        <v>7448</v>
      </c>
      <c r="B3081" s="4">
        <v>12495865</v>
      </c>
    </row>
    <row r="3082" customHeight="1" spans="1:2">
      <c r="A3082" s="3" t="s">
        <v>19319</v>
      </c>
      <c r="B3082" s="4">
        <v>33451479</v>
      </c>
    </row>
    <row r="3083" customHeight="1" spans="1:2">
      <c r="A3083" s="3" t="s">
        <v>11741</v>
      </c>
      <c r="B3083" s="4">
        <v>7918283</v>
      </c>
    </row>
    <row r="3084" customHeight="1" spans="1:2">
      <c r="A3084" s="3" t="s">
        <v>2437</v>
      </c>
      <c r="B3084" s="4">
        <v>81687587</v>
      </c>
    </row>
    <row r="3085" customHeight="1" spans="1:2">
      <c r="A3085" s="3" t="s">
        <v>21370</v>
      </c>
      <c r="B3085" s="4"/>
    </row>
    <row r="3086" customHeight="1" spans="1:2">
      <c r="A3086" s="3" t="s">
        <v>18263</v>
      </c>
      <c r="B3086" s="4"/>
    </row>
    <row r="3087" customHeight="1" spans="1:2">
      <c r="A3087" s="3" t="s">
        <v>18258</v>
      </c>
      <c r="B3087" s="4">
        <v>36830</v>
      </c>
    </row>
    <row r="3088" customHeight="1" spans="1:2">
      <c r="A3088" s="3" t="s">
        <v>2685</v>
      </c>
      <c r="B3088" s="4">
        <v>13082288</v>
      </c>
    </row>
    <row r="3089" customHeight="1" spans="1:2">
      <c r="A3089" s="3" t="s">
        <v>3069</v>
      </c>
      <c r="B3089" s="4">
        <v>22843047</v>
      </c>
    </row>
    <row r="3090" customHeight="1" spans="1:2">
      <c r="A3090" s="3" t="s">
        <v>636</v>
      </c>
      <c r="B3090" s="4">
        <v>163192114</v>
      </c>
    </row>
    <row r="3091" customHeight="1" spans="1:2">
      <c r="A3091" s="3" t="s">
        <v>13934</v>
      </c>
      <c r="B3091" s="4">
        <v>24792061</v>
      </c>
    </row>
    <row r="3092" customHeight="1" spans="1:2">
      <c r="A3092" s="3" t="s">
        <v>3659</v>
      </c>
      <c r="B3092" s="4"/>
    </row>
    <row r="3093" customHeight="1" spans="1:2">
      <c r="A3093" s="3" t="s">
        <v>19744</v>
      </c>
      <c r="B3093" s="4">
        <v>5199</v>
      </c>
    </row>
    <row r="3094" customHeight="1" spans="1:2">
      <c r="A3094" s="3" t="s">
        <v>17978</v>
      </c>
      <c r="B3094" s="4">
        <v>7267324</v>
      </c>
    </row>
    <row r="3095" customHeight="1" spans="1:2">
      <c r="A3095" s="3" t="s">
        <v>10261</v>
      </c>
      <c r="B3095" s="4">
        <v>33771174</v>
      </c>
    </row>
    <row r="3096" customHeight="1" spans="1:2">
      <c r="A3096" s="3" t="s">
        <v>6065</v>
      </c>
      <c r="B3096" s="4"/>
    </row>
    <row r="3097" customHeight="1" spans="1:2">
      <c r="A3097" s="3" t="s">
        <v>7340</v>
      </c>
      <c r="B3097" s="4">
        <v>13651662</v>
      </c>
    </row>
    <row r="3098" customHeight="1" spans="1:2">
      <c r="A3098" s="3" t="s">
        <v>4071</v>
      </c>
      <c r="B3098" s="4">
        <v>26404753</v>
      </c>
    </row>
    <row r="3099" customHeight="1" spans="1:2">
      <c r="A3099" s="3" t="s">
        <v>18430</v>
      </c>
      <c r="B3099" s="4">
        <v>594904</v>
      </c>
    </row>
    <row r="3100" customHeight="1" spans="1:2">
      <c r="A3100" s="3" t="s">
        <v>7955</v>
      </c>
      <c r="B3100" s="4"/>
    </row>
    <row r="3101" customHeight="1" spans="1:2">
      <c r="A3101" s="3" t="s">
        <v>236</v>
      </c>
      <c r="B3101" s="4">
        <v>161087183</v>
      </c>
    </row>
    <row r="3102" customHeight="1" spans="1:2">
      <c r="A3102" s="3" t="s">
        <v>22168</v>
      </c>
      <c r="B3102" s="4"/>
    </row>
    <row r="3103" customHeight="1" spans="1:2">
      <c r="A3103" s="3" t="s">
        <v>10370</v>
      </c>
      <c r="B3103" s="4">
        <v>18843314</v>
      </c>
    </row>
    <row r="3104" customHeight="1" spans="1:2">
      <c r="A3104" s="3" t="s">
        <v>6558</v>
      </c>
      <c r="B3104" s="4">
        <v>8434601</v>
      </c>
    </row>
    <row r="3105" customHeight="1" spans="1:2">
      <c r="A3105" s="3" t="s">
        <v>4264</v>
      </c>
      <c r="B3105" s="4">
        <v>115603980</v>
      </c>
    </row>
    <row r="3106" customHeight="1" spans="1:2">
      <c r="A3106" s="3" t="s">
        <v>21646</v>
      </c>
      <c r="B3106" s="4"/>
    </row>
    <row r="3107" customHeight="1" spans="1:2">
      <c r="A3107" s="3" t="s">
        <v>18105</v>
      </c>
      <c r="B3107" s="4">
        <v>2365931</v>
      </c>
    </row>
    <row r="3108" customHeight="1" spans="1:2">
      <c r="A3108" s="3" t="s">
        <v>5671</v>
      </c>
      <c r="B3108" s="4">
        <v>22525921</v>
      </c>
    </row>
    <row r="3109" customHeight="1" spans="1:2">
      <c r="A3109" s="3" t="s">
        <v>6020</v>
      </c>
      <c r="B3109" s="4">
        <v>40118420</v>
      </c>
    </row>
    <row r="3110" customHeight="1" spans="1:2">
      <c r="A3110" s="3" t="s">
        <v>689</v>
      </c>
      <c r="B3110" s="4">
        <v>64736114</v>
      </c>
    </row>
    <row r="3111" customHeight="1" spans="1:2">
      <c r="A3111" s="3" t="s">
        <v>1529</v>
      </c>
      <c r="B3111" s="4">
        <v>85707116</v>
      </c>
    </row>
    <row r="3112" customHeight="1" spans="1:2">
      <c r="A3112" s="3" t="s">
        <v>6094</v>
      </c>
      <c r="B3112" s="4">
        <v>28165882</v>
      </c>
    </row>
    <row r="3113" customHeight="1" spans="1:2">
      <c r="A3113" s="3" t="s">
        <v>20171</v>
      </c>
      <c r="B3113" s="4"/>
    </row>
    <row r="3114" customHeight="1" spans="1:2">
      <c r="A3114" s="3" t="s">
        <v>10398</v>
      </c>
      <c r="B3114" s="4">
        <v>24984868</v>
      </c>
    </row>
    <row r="3115" customHeight="1" spans="1:2">
      <c r="A3115" s="3" t="s">
        <v>955</v>
      </c>
      <c r="B3115" s="4">
        <v>54700065</v>
      </c>
    </row>
    <row r="3116" customHeight="1" spans="1:2">
      <c r="A3116" s="3" t="s">
        <v>4173</v>
      </c>
      <c r="B3116" s="4">
        <v>102310175</v>
      </c>
    </row>
    <row r="3117" customHeight="1" spans="1:2">
      <c r="A3117" s="3" t="s">
        <v>13946</v>
      </c>
      <c r="B3117" s="4">
        <v>17544812</v>
      </c>
    </row>
    <row r="3118" customHeight="1" spans="1:2">
      <c r="A3118" s="3" t="s">
        <v>7954</v>
      </c>
      <c r="B3118" s="4">
        <v>2963012</v>
      </c>
    </row>
    <row r="3119" customHeight="1" spans="1:2">
      <c r="A3119" s="3" t="s">
        <v>6216</v>
      </c>
      <c r="B3119" s="4">
        <v>11900000</v>
      </c>
    </row>
    <row r="3120" customHeight="1" spans="1:2">
      <c r="A3120" s="3" t="s">
        <v>16901</v>
      </c>
      <c r="B3120" s="4">
        <v>703002</v>
      </c>
    </row>
    <row r="3121" customHeight="1" spans="1:2">
      <c r="A3121" s="3" t="s">
        <v>12339</v>
      </c>
      <c r="B3121" s="4">
        <v>33000000</v>
      </c>
    </row>
    <row r="3122" customHeight="1" spans="1:2">
      <c r="A3122" s="3" t="s">
        <v>24093</v>
      </c>
      <c r="B3122" s="4"/>
    </row>
    <row r="3123" customHeight="1" spans="1:2">
      <c r="A3123" s="3" t="s">
        <v>23940</v>
      </c>
      <c r="B3123" s="4"/>
    </row>
    <row r="3124" customHeight="1" spans="1:2">
      <c r="A3124" s="3" t="s">
        <v>9990</v>
      </c>
      <c r="B3124" s="4">
        <v>23091</v>
      </c>
    </row>
    <row r="3125" customHeight="1" spans="1:2">
      <c r="A3125" s="3" t="s">
        <v>5446</v>
      </c>
      <c r="B3125" s="4">
        <v>10139254</v>
      </c>
    </row>
    <row r="3126" customHeight="1" spans="1:2">
      <c r="A3126" s="3" t="s">
        <v>11991</v>
      </c>
      <c r="B3126" s="4">
        <v>46563158</v>
      </c>
    </row>
    <row r="3127" customHeight="1" spans="1:2">
      <c r="A3127" s="3" t="s">
        <v>19380</v>
      </c>
      <c r="B3127" s="4">
        <v>334041</v>
      </c>
    </row>
    <row r="3128" customHeight="1" spans="1:2">
      <c r="A3128" s="3" t="s">
        <v>15753</v>
      </c>
      <c r="B3128" s="4">
        <v>238774</v>
      </c>
    </row>
    <row r="3129" customHeight="1" spans="1:2">
      <c r="A3129" s="3" t="s">
        <v>9219</v>
      </c>
      <c r="B3129" s="4">
        <v>53868030</v>
      </c>
    </row>
    <row r="3130" customHeight="1" spans="1:2">
      <c r="A3130" s="3" t="s">
        <v>2492</v>
      </c>
      <c r="B3130" s="4">
        <v>60573641</v>
      </c>
    </row>
    <row r="3131" customHeight="1" spans="1:2">
      <c r="A3131" s="3" t="s">
        <v>16267</v>
      </c>
      <c r="B3131" s="4">
        <v>146402</v>
      </c>
    </row>
    <row r="3132" customHeight="1" spans="1:2">
      <c r="A3132" s="3" t="s">
        <v>17490</v>
      </c>
      <c r="B3132" s="4">
        <v>11533945</v>
      </c>
    </row>
    <row r="3133" customHeight="1" spans="1:2">
      <c r="A3133" s="3" t="s">
        <v>405</v>
      </c>
      <c r="B3133" s="4">
        <v>195000874</v>
      </c>
    </row>
    <row r="3134" customHeight="1" spans="1:2">
      <c r="A3134" s="3" t="s">
        <v>2804</v>
      </c>
      <c r="B3134" s="4">
        <v>28328132</v>
      </c>
    </row>
    <row r="3135" customHeight="1" spans="1:2">
      <c r="A3135" s="3" t="s">
        <v>11949</v>
      </c>
      <c r="B3135" s="4">
        <v>460935665</v>
      </c>
    </row>
    <row r="3136" customHeight="1" spans="1:2">
      <c r="A3136" s="3" t="s">
        <v>15732</v>
      </c>
      <c r="B3136" s="4">
        <v>24475416</v>
      </c>
    </row>
    <row r="3137" customHeight="1" spans="1:2">
      <c r="A3137" s="3" t="s">
        <v>17649</v>
      </c>
      <c r="B3137" s="4">
        <v>347578</v>
      </c>
    </row>
    <row r="3138" customHeight="1" spans="1:2">
      <c r="A3138" s="3" t="s">
        <v>7756</v>
      </c>
      <c r="B3138" s="4">
        <v>71975611</v>
      </c>
    </row>
    <row r="3139" customHeight="1" spans="1:2">
      <c r="A3139" s="3" t="s">
        <v>2133</v>
      </c>
      <c r="B3139" s="4">
        <v>39380442</v>
      </c>
    </row>
    <row r="3140" customHeight="1" spans="1:2">
      <c r="A3140" s="3" t="s">
        <v>2725</v>
      </c>
      <c r="B3140" s="4">
        <v>7605668</v>
      </c>
    </row>
    <row r="3141" customHeight="1" spans="1:2">
      <c r="A3141" s="3" t="s">
        <v>8193</v>
      </c>
      <c r="B3141" s="4">
        <v>121697350</v>
      </c>
    </row>
    <row r="3142" customHeight="1" spans="1:2">
      <c r="A3142" s="3" t="s">
        <v>13896</v>
      </c>
      <c r="B3142" s="4">
        <v>671240</v>
      </c>
    </row>
    <row r="3143" customHeight="1" spans="1:2">
      <c r="A3143" s="3" t="s">
        <v>15731</v>
      </c>
      <c r="B3143" s="4">
        <v>274385</v>
      </c>
    </row>
    <row r="3144" customHeight="1" spans="1:2">
      <c r="A3144" s="3" t="s">
        <v>9189</v>
      </c>
      <c r="B3144" s="4">
        <v>76400000</v>
      </c>
    </row>
    <row r="3145" customHeight="1" spans="1:2">
      <c r="A3145" s="3" t="s">
        <v>1275</v>
      </c>
      <c r="B3145" s="4">
        <v>176049130</v>
      </c>
    </row>
    <row r="3146" customHeight="1" spans="1:2">
      <c r="A3146" s="3" t="s">
        <v>8433</v>
      </c>
      <c r="B3146" s="4">
        <v>31146570</v>
      </c>
    </row>
    <row r="3147" customHeight="1" spans="1:2">
      <c r="A3147" s="3" t="s">
        <v>22006</v>
      </c>
      <c r="B3147" s="4"/>
    </row>
    <row r="3148" customHeight="1" spans="1:2">
      <c r="A3148" s="3" t="s">
        <v>6664</v>
      </c>
      <c r="B3148" s="4">
        <v>13823741</v>
      </c>
    </row>
    <row r="3149" customHeight="1" spans="1:2">
      <c r="A3149" s="3" t="s">
        <v>13821</v>
      </c>
      <c r="B3149" s="4"/>
    </row>
    <row r="3150" customHeight="1" spans="1:2">
      <c r="A3150" s="3" t="s">
        <v>16787</v>
      </c>
      <c r="B3150" s="4">
        <v>11694528</v>
      </c>
    </row>
    <row r="3151" customHeight="1" spans="1:2">
      <c r="A3151" s="3" t="s">
        <v>9740</v>
      </c>
      <c r="B3151" s="4">
        <v>273420</v>
      </c>
    </row>
    <row r="3152" customHeight="1" spans="1:2">
      <c r="A3152" s="3" t="s">
        <v>23837</v>
      </c>
      <c r="B3152" s="4"/>
    </row>
    <row r="3153" customHeight="1" spans="1:2">
      <c r="A3153" s="3" t="s">
        <v>16040</v>
      </c>
      <c r="B3153" s="4">
        <v>15152879</v>
      </c>
    </row>
    <row r="3154" customHeight="1" spans="1:2">
      <c r="A3154" s="3" t="s">
        <v>12589</v>
      </c>
      <c r="B3154" s="4"/>
    </row>
    <row r="3155" customHeight="1" spans="1:2">
      <c r="A3155" s="3" t="s">
        <v>20894</v>
      </c>
      <c r="B3155" s="4"/>
    </row>
    <row r="3156" customHeight="1" spans="1:2">
      <c r="A3156" s="3" t="s">
        <v>23958</v>
      </c>
      <c r="B3156" s="4"/>
    </row>
    <row r="3157" customHeight="1" spans="1:2">
      <c r="A3157" s="3" t="s">
        <v>1377</v>
      </c>
      <c r="B3157" s="4"/>
    </row>
    <row r="3158" customHeight="1" spans="1:2">
      <c r="A3158" s="3" t="s">
        <v>723</v>
      </c>
      <c r="B3158" s="4">
        <v>380262555</v>
      </c>
    </row>
    <row r="3159" customHeight="1" spans="1:2">
      <c r="A3159" s="3" t="s">
        <v>19954</v>
      </c>
      <c r="B3159" s="4">
        <v>2428241</v>
      </c>
    </row>
    <row r="3160" customHeight="1" spans="1:2">
      <c r="A3160" s="3" t="s">
        <v>9049</v>
      </c>
      <c r="B3160" s="4">
        <v>40846082</v>
      </c>
    </row>
    <row r="3161" customHeight="1" spans="1:2">
      <c r="A3161" s="3" t="s">
        <v>16297</v>
      </c>
      <c r="B3161" s="4"/>
    </row>
    <row r="3162" customHeight="1" spans="1:2">
      <c r="A3162" s="3" t="s">
        <v>8716</v>
      </c>
      <c r="B3162" s="4">
        <v>12134420</v>
      </c>
    </row>
    <row r="3163" customHeight="1" spans="1:2">
      <c r="A3163" s="3" t="s">
        <v>6598</v>
      </c>
      <c r="B3163" s="4">
        <v>49185998</v>
      </c>
    </row>
    <row r="3164" customHeight="1" spans="1:2">
      <c r="A3164" s="3" t="s">
        <v>9254</v>
      </c>
      <c r="B3164" s="4">
        <v>43601508</v>
      </c>
    </row>
    <row r="3165" customHeight="1" spans="1:2">
      <c r="A3165" s="3" t="s">
        <v>3609</v>
      </c>
      <c r="B3165" s="4">
        <v>37879996</v>
      </c>
    </row>
    <row r="3166" customHeight="1" spans="1:2">
      <c r="A3166" s="3" t="s">
        <v>20451</v>
      </c>
      <c r="B3166" s="4"/>
    </row>
    <row r="3167" customHeight="1" spans="1:2">
      <c r="A3167" s="3" t="s">
        <v>12860</v>
      </c>
      <c r="B3167" s="4">
        <v>488872</v>
      </c>
    </row>
    <row r="3168" customHeight="1" spans="1:2">
      <c r="A3168" s="3" t="s">
        <v>13201</v>
      </c>
      <c r="B3168" s="4">
        <v>78900000</v>
      </c>
    </row>
    <row r="3169" customHeight="1" spans="1:2">
      <c r="A3169" s="3" t="s">
        <v>22608</v>
      </c>
      <c r="B3169" s="4"/>
    </row>
    <row r="3170" customHeight="1" spans="1:2">
      <c r="A3170" s="3" t="s">
        <v>12452</v>
      </c>
      <c r="B3170" s="4">
        <v>33071558</v>
      </c>
    </row>
    <row r="3171" customHeight="1" spans="1:2">
      <c r="A3171" s="3" t="s">
        <v>1003</v>
      </c>
      <c r="B3171" s="4">
        <v>10200000</v>
      </c>
    </row>
    <row r="3172" customHeight="1" spans="1:2">
      <c r="A3172" s="3" t="s">
        <v>13485</v>
      </c>
      <c r="B3172" s="4"/>
    </row>
    <row r="3173" customHeight="1" spans="1:2">
      <c r="A3173" s="3" t="s">
        <v>6893</v>
      </c>
      <c r="B3173" s="4">
        <v>25517500</v>
      </c>
    </row>
    <row r="3174" customHeight="1" spans="1:2">
      <c r="A3174" s="3" t="s">
        <v>22315</v>
      </c>
      <c r="B3174" s="4"/>
    </row>
    <row r="3175" customHeight="1" spans="1:2">
      <c r="A3175" s="3" t="s">
        <v>950</v>
      </c>
      <c r="B3175" s="4">
        <v>184031112</v>
      </c>
    </row>
    <row r="3176" customHeight="1" spans="1:2">
      <c r="A3176" s="3" t="s">
        <v>22433</v>
      </c>
      <c r="B3176" s="4"/>
    </row>
    <row r="3177" customHeight="1" spans="1:2">
      <c r="A3177" s="3" t="s">
        <v>1346</v>
      </c>
      <c r="B3177" s="4">
        <v>46440491</v>
      </c>
    </row>
    <row r="3178" customHeight="1" spans="1:2">
      <c r="A3178" s="3" t="s">
        <v>15303</v>
      </c>
      <c r="B3178" s="4">
        <v>25530884</v>
      </c>
    </row>
    <row r="3179" customHeight="1" spans="1:2">
      <c r="A3179" s="3" t="s">
        <v>16193</v>
      </c>
      <c r="B3179" s="4"/>
    </row>
    <row r="3180" customHeight="1" spans="1:2">
      <c r="A3180" s="3" t="s">
        <v>11954</v>
      </c>
      <c r="B3180" s="4">
        <v>111722000</v>
      </c>
    </row>
    <row r="3181" customHeight="1" spans="1:2">
      <c r="A3181" s="3" t="s">
        <v>11596</v>
      </c>
      <c r="B3181" s="4">
        <v>31597131</v>
      </c>
    </row>
    <row r="3182" customHeight="1" spans="1:2">
      <c r="A3182" s="3" t="s">
        <v>7018</v>
      </c>
      <c r="B3182" s="4">
        <v>51097664</v>
      </c>
    </row>
    <row r="3183" customHeight="1" spans="1:2">
      <c r="A3183" s="3" t="s">
        <v>5784</v>
      </c>
      <c r="B3183" s="4">
        <v>122012643</v>
      </c>
    </row>
    <row r="3184" customHeight="1" spans="1:2">
      <c r="A3184" s="3" t="s">
        <v>20558</v>
      </c>
      <c r="B3184" s="4"/>
    </row>
    <row r="3185" customHeight="1" spans="1:2">
      <c r="A3185" s="3" t="s">
        <v>11349</v>
      </c>
      <c r="B3185" s="4">
        <v>28501651</v>
      </c>
    </row>
    <row r="3186" customHeight="1" spans="1:2">
      <c r="A3186" s="3" t="s">
        <v>14774</v>
      </c>
      <c r="B3186" s="4"/>
    </row>
    <row r="3187" customHeight="1" spans="1:2">
      <c r="A3187" s="3" t="s">
        <v>20381</v>
      </c>
      <c r="B3187" s="4"/>
    </row>
    <row r="3188" customHeight="1" spans="1:2">
      <c r="A3188" s="3" t="s">
        <v>20397</v>
      </c>
      <c r="B3188" s="4">
        <v>424760</v>
      </c>
    </row>
    <row r="3189" customHeight="1" spans="1:2">
      <c r="A3189" s="3" t="s">
        <v>20629</v>
      </c>
      <c r="B3189" s="4"/>
    </row>
    <row r="3190" customHeight="1" spans="1:2">
      <c r="A3190" s="3" t="s">
        <v>13550</v>
      </c>
      <c r="B3190" s="4">
        <v>140244</v>
      </c>
    </row>
    <row r="3191" customHeight="1" spans="1:2">
      <c r="A3191" s="3" t="s">
        <v>12526</v>
      </c>
      <c r="B3191" s="4">
        <v>13684949</v>
      </c>
    </row>
    <row r="3192" customHeight="1" spans="1:2">
      <c r="A3192" s="3" t="s">
        <v>2414</v>
      </c>
      <c r="B3192" s="4">
        <v>75573300</v>
      </c>
    </row>
    <row r="3193" customHeight="1" spans="1:2">
      <c r="A3193" s="3" t="s">
        <v>22365</v>
      </c>
      <c r="B3193" s="4"/>
    </row>
    <row r="3194" customHeight="1" spans="1:2">
      <c r="A3194" s="3" t="s">
        <v>19774</v>
      </c>
      <c r="B3194" s="4"/>
    </row>
    <row r="3195" customHeight="1" spans="1:2">
      <c r="A3195" s="3" t="s">
        <v>4967</v>
      </c>
      <c r="B3195" s="4">
        <v>251188924</v>
      </c>
    </row>
    <row r="3196" customHeight="1" spans="1:2">
      <c r="A3196" s="3" t="s">
        <v>18951</v>
      </c>
      <c r="B3196" s="4"/>
    </row>
    <row r="3197" customHeight="1" spans="1:2">
      <c r="A3197" s="3" t="s">
        <v>23592</v>
      </c>
      <c r="B3197" s="4"/>
    </row>
    <row r="3198" customHeight="1" spans="1:2">
      <c r="A3198" s="3" t="s">
        <v>9885</v>
      </c>
      <c r="B3198" s="4"/>
    </row>
    <row r="3199" customHeight="1" spans="1:2">
      <c r="A3199" s="3" t="s">
        <v>8322</v>
      </c>
      <c r="B3199" s="4">
        <v>44988180</v>
      </c>
    </row>
    <row r="3200" customHeight="1" spans="1:2">
      <c r="A3200" s="3" t="s">
        <v>13738</v>
      </c>
      <c r="B3200" s="4">
        <v>10106233</v>
      </c>
    </row>
    <row r="3201" customHeight="1" spans="1:2">
      <c r="A3201" s="3" t="s">
        <v>18918</v>
      </c>
      <c r="B3201" s="4"/>
    </row>
    <row r="3202" customHeight="1" spans="1:2">
      <c r="A3202" s="3" t="s">
        <v>23957</v>
      </c>
      <c r="B3202" s="4"/>
    </row>
    <row r="3203" customHeight="1" spans="1:2">
      <c r="A3203" s="3" t="s">
        <v>23289</v>
      </c>
      <c r="B3203" s="4"/>
    </row>
    <row r="3204" customHeight="1" spans="1:2">
      <c r="A3204" s="3" t="s">
        <v>22787</v>
      </c>
      <c r="B3204" s="4"/>
    </row>
    <row r="3205" customHeight="1" spans="1:2">
      <c r="A3205" s="3" t="s">
        <v>9742</v>
      </c>
      <c r="B3205" s="4"/>
    </row>
    <row r="3206" customHeight="1" spans="1:2">
      <c r="A3206" s="3" t="s">
        <v>16763</v>
      </c>
      <c r="B3206" s="4">
        <v>27200000</v>
      </c>
    </row>
    <row r="3207" customHeight="1" spans="1:2">
      <c r="A3207" s="3" t="s">
        <v>4677</v>
      </c>
      <c r="B3207" s="4">
        <v>42640890</v>
      </c>
    </row>
    <row r="3208" customHeight="1" spans="1:2">
      <c r="A3208" s="3" t="s">
        <v>20547</v>
      </c>
      <c r="B3208" s="4"/>
    </row>
    <row r="3209" customHeight="1" spans="1:2">
      <c r="A3209" s="3" t="s">
        <v>20389</v>
      </c>
      <c r="B3209" s="4"/>
    </row>
    <row r="3210" customHeight="1" spans="1:2">
      <c r="A3210" s="3" t="s">
        <v>973</v>
      </c>
      <c r="B3210" s="4">
        <v>49392095</v>
      </c>
    </row>
    <row r="3211" customHeight="1" spans="1:2">
      <c r="A3211" s="3" t="s">
        <v>6398</v>
      </c>
      <c r="B3211" s="4">
        <v>63034755</v>
      </c>
    </row>
    <row r="3212" customHeight="1" spans="1:2">
      <c r="A3212" s="3" t="s">
        <v>9280</v>
      </c>
      <c r="B3212" s="4">
        <v>21378000</v>
      </c>
    </row>
    <row r="3213" customHeight="1" spans="1:2">
      <c r="A3213" s="3" t="s">
        <v>216</v>
      </c>
      <c r="B3213" s="4">
        <v>533316061</v>
      </c>
    </row>
    <row r="3214" customHeight="1" spans="1:2">
      <c r="A3214" s="3" t="s">
        <v>10789</v>
      </c>
      <c r="B3214" s="4">
        <v>66009973</v>
      </c>
    </row>
    <row r="3215" customHeight="1" spans="1:2">
      <c r="A3215" s="3" t="s">
        <v>12050</v>
      </c>
      <c r="B3215" s="4">
        <v>13558739</v>
      </c>
    </row>
    <row r="3216" customHeight="1" spans="1:2">
      <c r="A3216" s="3" t="s">
        <v>9426</v>
      </c>
      <c r="B3216" s="4">
        <v>5701643</v>
      </c>
    </row>
    <row r="3217" customHeight="1" spans="1:2">
      <c r="A3217" s="3" t="s">
        <v>9590</v>
      </c>
      <c r="B3217" s="4">
        <v>85200000</v>
      </c>
    </row>
    <row r="3218" customHeight="1" spans="1:2">
      <c r="A3218" s="3" t="s">
        <v>16988</v>
      </c>
      <c r="B3218" s="4"/>
    </row>
    <row r="3219" customHeight="1" spans="1:2">
      <c r="A3219" s="3" t="s">
        <v>14089</v>
      </c>
      <c r="B3219" s="4">
        <v>94900000</v>
      </c>
    </row>
    <row r="3220" customHeight="1" spans="1:2">
      <c r="A3220" s="3" t="s">
        <v>18137</v>
      </c>
      <c r="B3220" s="4">
        <v>418953</v>
      </c>
    </row>
    <row r="3221" customHeight="1" spans="1:2">
      <c r="A3221" s="3" t="s">
        <v>15705</v>
      </c>
      <c r="B3221" s="4"/>
    </row>
    <row r="3222" customHeight="1" spans="1:2">
      <c r="A3222" s="3" t="s">
        <v>1968</v>
      </c>
      <c r="B3222" s="4">
        <v>42272747</v>
      </c>
    </row>
    <row r="3223" customHeight="1" spans="1:2">
      <c r="A3223" s="3" t="s">
        <v>18344</v>
      </c>
      <c r="B3223" s="4"/>
    </row>
    <row r="3224" customHeight="1" spans="1:2">
      <c r="A3224" s="3" t="s">
        <v>9027</v>
      </c>
      <c r="B3224" s="4">
        <v>58571513</v>
      </c>
    </row>
    <row r="3225" customHeight="1" spans="1:2">
      <c r="A3225" s="3" t="s">
        <v>11291</v>
      </c>
      <c r="B3225" s="4">
        <v>7881335</v>
      </c>
    </row>
    <row r="3226" customHeight="1" spans="1:2">
      <c r="A3226" s="3" t="s">
        <v>4997</v>
      </c>
      <c r="B3226" s="4">
        <v>82300000</v>
      </c>
    </row>
    <row r="3227" customHeight="1" spans="1:2">
      <c r="A3227" s="3" t="s">
        <v>17735</v>
      </c>
      <c r="B3227" s="4">
        <v>2843</v>
      </c>
    </row>
    <row r="3228" customHeight="1" spans="1:2">
      <c r="A3228" s="3" t="s">
        <v>18425</v>
      </c>
      <c r="B3228" s="4">
        <v>375723</v>
      </c>
    </row>
    <row r="3229" customHeight="1" spans="1:2">
      <c r="A3229" s="3" t="s">
        <v>3654</v>
      </c>
      <c r="B3229" s="4">
        <v>29781453</v>
      </c>
    </row>
    <row r="3230" customHeight="1" spans="1:2">
      <c r="A3230" s="3" t="s">
        <v>18652</v>
      </c>
      <c r="B3230" s="4">
        <v>23808111</v>
      </c>
    </row>
    <row r="3231" customHeight="1" spans="1:2">
      <c r="A3231" s="3" t="s">
        <v>21641</v>
      </c>
      <c r="B3231" s="4"/>
    </row>
    <row r="3232" customHeight="1" spans="1:2">
      <c r="A3232" s="3" t="s">
        <v>3934</v>
      </c>
      <c r="B3232" s="4">
        <v>136019448</v>
      </c>
    </row>
    <row r="3233" customHeight="1" spans="1:2">
      <c r="A3233" s="3" t="s">
        <v>10124</v>
      </c>
      <c r="B3233" s="4">
        <v>69800000</v>
      </c>
    </row>
    <row r="3234" customHeight="1" spans="1:2">
      <c r="A3234" s="3" t="s">
        <v>14157</v>
      </c>
      <c r="B3234" s="4">
        <v>403932</v>
      </c>
    </row>
    <row r="3235" customHeight="1" spans="1:2">
      <c r="A3235" s="3" t="s">
        <v>2616</v>
      </c>
      <c r="B3235" s="4">
        <v>43119879</v>
      </c>
    </row>
    <row r="3236" customHeight="1" spans="1:2">
      <c r="A3236" s="3" t="s">
        <v>13832</v>
      </c>
      <c r="B3236" s="4">
        <v>398420</v>
      </c>
    </row>
    <row r="3237" customHeight="1" spans="1:2">
      <c r="A3237" s="3" t="s">
        <v>8724</v>
      </c>
      <c r="B3237" s="4">
        <v>11784000</v>
      </c>
    </row>
    <row r="3238" customHeight="1" spans="1:2">
      <c r="A3238" s="3" t="s">
        <v>600</v>
      </c>
      <c r="B3238" s="4"/>
    </row>
    <row r="3239" customHeight="1" spans="1:2">
      <c r="A3239" s="3" t="s">
        <v>20510</v>
      </c>
      <c r="B3239" s="4"/>
    </row>
    <row r="3240" customHeight="1" spans="1:2">
      <c r="A3240" s="3" t="s">
        <v>17447</v>
      </c>
      <c r="B3240" s="4"/>
    </row>
    <row r="3241" customHeight="1" spans="1:2">
      <c r="A3241" s="3" t="s">
        <v>3343</v>
      </c>
      <c r="B3241" s="4">
        <v>47553512</v>
      </c>
    </row>
    <row r="3242" customHeight="1" spans="1:2">
      <c r="A3242" s="3" t="s">
        <v>16640</v>
      </c>
      <c r="B3242" s="4"/>
    </row>
    <row r="3243" customHeight="1" spans="1:2">
      <c r="A3243" s="3" t="s">
        <v>18047</v>
      </c>
      <c r="B3243" s="4">
        <v>2580</v>
      </c>
    </row>
    <row r="3244" customHeight="1" spans="1:2">
      <c r="A3244" s="3" t="s">
        <v>8447</v>
      </c>
      <c r="B3244" s="4">
        <v>53146000</v>
      </c>
    </row>
    <row r="3245" customHeight="1" spans="1:2">
      <c r="A3245" s="3" t="s">
        <v>11650</v>
      </c>
      <c r="B3245" s="4"/>
    </row>
    <row r="3246" customHeight="1" spans="1:2">
      <c r="A3246" s="3" t="s">
        <v>15586</v>
      </c>
      <c r="B3246" s="4"/>
    </row>
    <row r="3247" customHeight="1" spans="1:2">
      <c r="A3247" s="3" t="s">
        <v>21085</v>
      </c>
      <c r="B3247" s="4"/>
    </row>
    <row r="3248" customHeight="1" spans="1:2">
      <c r="A3248" s="3" t="s">
        <v>2504</v>
      </c>
      <c r="B3248" s="4">
        <v>54910560</v>
      </c>
    </row>
    <row r="3249" customHeight="1" spans="1:2">
      <c r="A3249" s="3" t="s">
        <v>22234</v>
      </c>
      <c r="B3249" s="4"/>
    </row>
    <row r="3250" customHeight="1" spans="1:2">
      <c r="A3250" s="3" t="s">
        <v>18476</v>
      </c>
      <c r="B3250" s="4">
        <v>2850263</v>
      </c>
    </row>
    <row r="3251" customHeight="1" spans="1:2">
      <c r="A3251" s="3" t="s">
        <v>2601</v>
      </c>
      <c r="B3251" s="4">
        <v>40559930</v>
      </c>
    </row>
    <row r="3252" customHeight="1" spans="1:2">
      <c r="A3252" s="3" t="s">
        <v>10962</v>
      </c>
      <c r="B3252" s="4">
        <v>47811275</v>
      </c>
    </row>
    <row r="3253" customHeight="1" spans="1:2">
      <c r="A3253" s="3" t="s">
        <v>23618</v>
      </c>
      <c r="B3253" s="4"/>
    </row>
    <row r="3254" customHeight="1" spans="1:2">
      <c r="A3254" s="3" t="s">
        <v>20036</v>
      </c>
      <c r="B3254" s="4">
        <v>925402</v>
      </c>
    </row>
    <row r="3255" customHeight="1" spans="1:2">
      <c r="A3255" s="3" t="s">
        <v>17378</v>
      </c>
      <c r="B3255" s="4"/>
    </row>
    <row r="3256" customHeight="1" spans="1:2">
      <c r="A3256" s="3" t="s">
        <v>17380</v>
      </c>
      <c r="B3256" s="4">
        <v>21300000</v>
      </c>
    </row>
    <row r="3257" customHeight="1" spans="1:2">
      <c r="A3257" s="3" t="s">
        <v>9959</v>
      </c>
      <c r="B3257" s="4">
        <v>2849142</v>
      </c>
    </row>
    <row r="3258" customHeight="1" spans="1:2">
      <c r="A3258" s="3" t="s">
        <v>5191</v>
      </c>
      <c r="B3258" s="4">
        <v>33987757</v>
      </c>
    </row>
    <row r="3259" customHeight="1" spans="1:2">
      <c r="A3259" s="3" t="s">
        <v>13773</v>
      </c>
      <c r="B3259" s="4">
        <v>6350058</v>
      </c>
    </row>
    <row r="3260" customHeight="1" spans="1:2">
      <c r="A3260" s="3" t="s">
        <v>588</v>
      </c>
      <c r="B3260" s="4">
        <v>77564037</v>
      </c>
    </row>
    <row r="3261" customHeight="1" spans="1:2">
      <c r="A3261" s="3" t="s">
        <v>9272</v>
      </c>
      <c r="B3261" s="4">
        <v>26906039</v>
      </c>
    </row>
    <row r="3262" customHeight="1" spans="1:2">
      <c r="A3262" s="3" t="s">
        <v>3210</v>
      </c>
      <c r="B3262" s="4">
        <v>126088877</v>
      </c>
    </row>
    <row r="3263" customHeight="1" spans="1:2">
      <c r="A3263" s="3" t="s">
        <v>10242</v>
      </c>
      <c r="B3263" s="4">
        <v>40983001</v>
      </c>
    </row>
    <row r="3264" customHeight="1" spans="1:2">
      <c r="A3264" s="3" t="s">
        <v>20740</v>
      </c>
      <c r="B3264" s="4"/>
    </row>
    <row r="3265" customHeight="1" spans="1:2">
      <c r="A3265" s="3" t="s">
        <v>18814</v>
      </c>
      <c r="B3265" s="4">
        <v>48430</v>
      </c>
    </row>
    <row r="3266" customHeight="1" spans="1:2">
      <c r="A3266" s="3" t="s">
        <v>3881</v>
      </c>
      <c r="B3266" s="4">
        <v>74484168</v>
      </c>
    </row>
    <row r="3267" customHeight="1" spans="1:2">
      <c r="A3267" s="3" t="s">
        <v>14725</v>
      </c>
      <c r="B3267" s="4">
        <v>6851636</v>
      </c>
    </row>
    <row r="3268" customHeight="1" spans="1:2">
      <c r="A3268" s="3" t="s">
        <v>4446</v>
      </c>
      <c r="B3268" s="4">
        <v>32853640</v>
      </c>
    </row>
    <row r="3269" customHeight="1" spans="1:2">
      <c r="A3269" s="3" t="s">
        <v>7463</v>
      </c>
      <c r="B3269" s="4"/>
    </row>
    <row r="3270" customHeight="1" spans="1:2">
      <c r="A3270" s="3" t="s">
        <v>13038</v>
      </c>
      <c r="B3270" s="4"/>
    </row>
    <row r="3271" customHeight="1" spans="1:2">
      <c r="A3271" s="3" t="s">
        <v>18187</v>
      </c>
      <c r="B3271" s="4">
        <v>105943</v>
      </c>
    </row>
    <row r="3272" customHeight="1" spans="1:2">
      <c r="A3272" s="3" t="s">
        <v>5595</v>
      </c>
      <c r="B3272" s="4">
        <v>21784432</v>
      </c>
    </row>
    <row r="3273" customHeight="1" spans="1:2">
      <c r="A3273" s="3" t="s">
        <v>21605</v>
      </c>
      <c r="B3273" s="4"/>
    </row>
    <row r="3274" customHeight="1" spans="1:2">
      <c r="A3274" s="3" t="s">
        <v>18005</v>
      </c>
      <c r="B3274" s="4"/>
    </row>
    <row r="3275" customHeight="1" spans="1:2">
      <c r="A3275" s="3" t="s">
        <v>23911</v>
      </c>
      <c r="B3275" s="4"/>
    </row>
    <row r="3276" customHeight="1" spans="1:2">
      <c r="A3276" s="3" t="s">
        <v>11601</v>
      </c>
      <c r="B3276" s="4">
        <v>31179516</v>
      </c>
    </row>
    <row r="3277" customHeight="1" spans="1:2">
      <c r="A3277" s="3" t="s">
        <v>871</v>
      </c>
      <c r="B3277" s="4">
        <v>187670866</v>
      </c>
    </row>
    <row r="3278" customHeight="1" spans="1:2">
      <c r="A3278" s="3" t="s">
        <v>14746</v>
      </c>
      <c r="B3278" s="4">
        <v>4693919</v>
      </c>
    </row>
    <row r="3279" customHeight="1" spans="1:2">
      <c r="A3279" s="3" t="s">
        <v>11943</v>
      </c>
      <c r="B3279" s="4"/>
    </row>
    <row r="3280" customHeight="1" spans="1:2">
      <c r="A3280" s="3" t="s">
        <v>10166</v>
      </c>
      <c r="B3280" s="4">
        <v>56437947</v>
      </c>
    </row>
    <row r="3281" customHeight="1" spans="1:2">
      <c r="A3281" s="3" t="s">
        <v>11124</v>
      </c>
      <c r="B3281" s="4">
        <v>5501940</v>
      </c>
    </row>
    <row r="3282" customHeight="1" spans="1:2">
      <c r="A3282" s="3" t="s">
        <v>14288</v>
      </c>
      <c r="B3282" s="4">
        <v>5430822</v>
      </c>
    </row>
    <row r="3283" customHeight="1" spans="1:2">
      <c r="A3283" s="3" t="s">
        <v>17027</v>
      </c>
      <c r="B3283" s="4"/>
    </row>
    <row r="3284" customHeight="1" spans="1:2">
      <c r="A3284" s="3" t="s">
        <v>2109</v>
      </c>
      <c r="B3284" s="4">
        <v>81257500</v>
      </c>
    </row>
    <row r="3285" customHeight="1" spans="1:2">
      <c r="A3285" s="3" t="s">
        <v>14441</v>
      </c>
      <c r="B3285" s="4"/>
    </row>
    <row r="3286" customHeight="1" spans="1:2">
      <c r="A3286" s="3" t="s">
        <v>13567</v>
      </c>
      <c r="B3286" s="4">
        <v>4992159</v>
      </c>
    </row>
    <row r="3287" customHeight="1" spans="1:2">
      <c r="A3287" s="3" t="s">
        <v>2122</v>
      </c>
      <c r="B3287" s="4">
        <v>28965197</v>
      </c>
    </row>
    <row r="3288" customHeight="1" spans="1:2">
      <c r="A3288" s="3" t="s">
        <v>404</v>
      </c>
      <c r="B3288" s="4">
        <v>79711678</v>
      </c>
    </row>
    <row r="3289" customHeight="1" spans="1:2">
      <c r="A3289" s="3" t="s">
        <v>19651</v>
      </c>
      <c r="B3289" s="4"/>
    </row>
    <row r="3290" customHeight="1" spans="1:2">
      <c r="A3290" s="3" t="s">
        <v>1640</v>
      </c>
      <c r="B3290" s="4">
        <v>15131330</v>
      </c>
    </row>
    <row r="3291" customHeight="1" spans="1:2">
      <c r="A3291" s="3" t="s">
        <v>19704</v>
      </c>
      <c r="B3291" s="4">
        <v>1281176</v>
      </c>
    </row>
    <row r="3292" customHeight="1" spans="1:2">
      <c r="A3292" s="3" t="s">
        <v>6847</v>
      </c>
      <c r="B3292" s="4">
        <v>13829734</v>
      </c>
    </row>
    <row r="3293" customHeight="1" spans="1:2">
      <c r="A3293" s="3" t="s">
        <v>5335</v>
      </c>
      <c r="B3293" s="4">
        <v>10991381</v>
      </c>
    </row>
    <row r="3294" customHeight="1" spans="1:2">
      <c r="A3294" s="3" t="s">
        <v>6310</v>
      </c>
      <c r="B3294" s="4"/>
    </row>
    <row r="3295" customHeight="1" spans="1:2">
      <c r="A3295" s="3" t="s">
        <v>264</v>
      </c>
      <c r="B3295" s="4">
        <v>155111815</v>
      </c>
    </row>
    <row r="3296" customHeight="1" spans="1:2">
      <c r="A3296" s="3" t="s">
        <v>4917</v>
      </c>
      <c r="B3296" s="4">
        <v>13052741</v>
      </c>
    </row>
    <row r="3297" customHeight="1" spans="1:2">
      <c r="A3297" s="3" t="s">
        <v>14163</v>
      </c>
      <c r="B3297" s="4">
        <v>25000000</v>
      </c>
    </row>
    <row r="3298" customHeight="1" spans="1:2">
      <c r="A3298" s="3" t="s">
        <v>7550</v>
      </c>
      <c r="B3298" s="4">
        <v>74608545</v>
      </c>
    </row>
    <row r="3299" customHeight="1" spans="1:2">
      <c r="A3299" s="3" t="s">
        <v>22477</v>
      </c>
      <c r="B3299" s="4"/>
    </row>
    <row r="3300" customHeight="1" spans="1:2">
      <c r="A3300" s="3" t="s">
        <v>22530</v>
      </c>
      <c r="B3300" s="4"/>
    </row>
    <row r="3301" customHeight="1" spans="1:2">
      <c r="A3301" s="3" t="s">
        <v>17958</v>
      </c>
      <c r="B3301" s="4"/>
    </row>
    <row r="3302" customHeight="1" spans="1:2">
      <c r="A3302" s="3" t="s">
        <v>11728</v>
      </c>
      <c r="B3302" s="4">
        <v>22406362</v>
      </c>
    </row>
    <row r="3303" customHeight="1" spans="1:2">
      <c r="A3303" s="3" t="s">
        <v>16544</v>
      </c>
      <c r="B3303" s="4"/>
    </row>
    <row r="3304" customHeight="1" spans="1:2">
      <c r="A3304" s="3" t="s">
        <v>7965</v>
      </c>
      <c r="B3304" s="4">
        <v>634277</v>
      </c>
    </row>
    <row r="3305" customHeight="1" spans="1:2">
      <c r="A3305" s="3" t="s">
        <v>22157</v>
      </c>
      <c r="B3305" s="4"/>
    </row>
    <row r="3306" customHeight="1" spans="1:2">
      <c r="A3306" s="3" t="s">
        <v>4453</v>
      </c>
      <c r="B3306" s="4">
        <v>31836745</v>
      </c>
    </row>
    <row r="3307" customHeight="1" spans="1:2">
      <c r="A3307" s="3" t="s">
        <v>10790</v>
      </c>
      <c r="B3307" s="4">
        <v>46338728</v>
      </c>
    </row>
    <row r="3308" customHeight="1" spans="1:2">
      <c r="A3308" s="3" t="s">
        <v>20886</v>
      </c>
      <c r="B3308" s="4"/>
    </row>
    <row r="3309" customHeight="1" spans="1:2">
      <c r="A3309" s="3" t="s">
        <v>8321</v>
      </c>
      <c r="B3309" s="4">
        <v>37567440</v>
      </c>
    </row>
    <row r="3310" customHeight="1" spans="1:2">
      <c r="A3310" s="3" t="s">
        <v>7223</v>
      </c>
      <c r="B3310" s="4">
        <v>24042490</v>
      </c>
    </row>
    <row r="3311" customHeight="1" spans="1:2">
      <c r="A3311" s="3" t="s">
        <v>17224</v>
      </c>
      <c r="B3311" s="4">
        <v>25809813</v>
      </c>
    </row>
    <row r="3312" customHeight="1" spans="1:2">
      <c r="A3312" s="3" t="s">
        <v>22411</v>
      </c>
      <c r="B3312" s="4"/>
    </row>
    <row r="3313" customHeight="1" spans="1:2">
      <c r="A3313" s="3" t="s">
        <v>10555</v>
      </c>
      <c r="B3313" s="4">
        <v>7757130</v>
      </c>
    </row>
    <row r="3314" customHeight="1" spans="1:2">
      <c r="A3314" s="3" t="s">
        <v>14426</v>
      </c>
      <c r="B3314" s="4"/>
    </row>
    <row r="3315" customHeight="1" spans="1:2">
      <c r="A3315" s="3" t="s">
        <v>16990</v>
      </c>
      <c r="B3315" s="4">
        <v>334185206</v>
      </c>
    </row>
    <row r="3316" customHeight="1" spans="1:2">
      <c r="A3316" s="3" t="s">
        <v>8874</v>
      </c>
      <c r="B3316" s="4">
        <v>5005883</v>
      </c>
    </row>
    <row r="3317" customHeight="1" spans="1:2">
      <c r="A3317" s="3" t="s">
        <v>20470</v>
      </c>
      <c r="B3317" s="4"/>
    </row>
    <row r="3318" customHeight="1" spans="1:2">
      <c r="A3318" s="3" t="s">
        <v>23371</v>
      </c>
      <c r="B3318" s="4"/>
    </row>
    <row r="3319" customHeight="1" spans="1:2">
      <c r="A3319" s="3" t="s">
        <v>10180</v>
      </c>
      <c r="B3319" s="4">
        <v>50003300</v>
      </c>
    </row>
    <row r="3320" customHeight="1" spans="1:2">
      <c r="A3320" s="3" t="s">
        <v>7872</v>
      </c>
      <c r="B3320" s="4">
        <v>29997095</v>
      </c>
    </row>
    <row r="3321" customHeight="1" spans="1:2">
      <c r="A3321" s="3" t="s">
        <v>21883</v>
      </c>
      <c r="B3321" s="4"/>
    </row>
    <row r="3322" customHeight="1" spans="1:2">
      <c r="A3322" s="3" t="s">
        <v>20434</v>
      </c>
      <c r="B3322" s="4"/>
    </row>
    <row r="3323" customHeight="1" spans="1:2">
      <c r="A3323" s="3" t="s">
        <v>10875</v>
      </c>
      <c r="B3323" s="4">
        <v>35010192</v>
      </c>
    </row>
    <row r="3324" customHeight="1" spans="1:2">
      <c r="A3324" s="3" t="s">
        <v>16063</v>
      </c>
      <c r="B3324" s="4"/>
    </row>
    <row r="3325" customHeight="1" spans="1:2">
      <c r="A3325" s="3" t="s">
        <v>23182</v>
      </c>
      <c r="B3325" s="4"/>
    </row>
    <row r="3326" customHeight="1" spans="1:2">
      <c r="A3326" s="3" t="s">
        <v>10216</v>
      </c>
      <c r="B3326" s="4">
        <v>42919096</v>
      </c>
    </row>
    <row r="3327" customHeight="1" spans="1:2">
      <c r="A3327" s="3" t="s">
        <v>24131</v>
      </c>
      <c r="B3327" s="4"/>
    </row>
    <row r="3328" customHeight="1" spans="1:2">
      <c r="A3328" s="3" t="s">
        <v>15359</v>
      </c>
      <c r="B3328" s="4">
        <v>17382982</v>
      </c>
    </row>
    <row r="3329" customHeight="1" spans="1:2">
      <c r="A3329" s="3" t="s">
        <v>11966</v>
      </c>
      <c r="B3329" s="4">
        <v>52929168</v>
      </c>
    </row>
    <row r="3330" customHeight="1" spans="1:2">
      <c r="A3330" s="3" t="s">
        <v>9595</v>
      </c>
      <c r="B3330" s="4">
        <v>72000000</v>
      </c>
    </row>
    <row r="3331" customHeight="1" spans="1:2">
      <c r="A3331" s="3" t="s">
        <v>16222</v>
      </c>
      <c r="B3331" s="4">
        <v>302204</v>
      </c>
    </row>
    <row r="3332" customHeight="1" spans="1:2">
      <c r="A3332" s="3" t="s">
        <v>11324</v>
      </c>
      <c r="B3332" s="4">
        <v>18004225</v>
      </c>
    </row>
    <row r="3333" customHeight="1" spans="1:2">
      <c r="A3333" s="3" t="s">
        <v>9564</v>
      </c>
      <c r="B3333" s="4">
        <v>7017178</v>
      </c>
    </row>
    <row r="3334" customHeight="1" spans="1:2">
      <c r="A3334" s="3" t="s">
        <v>4491</v>
      </c>
      <c r="B3334" s="4">
        <v>32645</v>
      </c>
    </row>
    <row r="3335" customHeight="1" spans="1:2">
      <c r="A3335" s="3" t="s">
        <v>2149</v>
      </c>
      <c r="B3335" s="4">
        <v>83892374</v>
      </c>
    </row>
    <row r="3336" customHeight="1" spans="1:2">
      <c r="A3336" s="3" t="s">
        <v>12248</v>
      </c>
      <c r="B3336" s="4">
        <v>68353550</v>
      </c>
    </row>
    <row r="3337" customHeight="1" spans="1:2">
      <c r="A3337" s="3" t="s">
        <v>7345</v>
      </c>
      <c r="B3337" s="4">
        <v>11030963</v>
      </c>
    </row>
    <row r="3338" customHeight="1" spans="1:2">
      <c r="A3338" s="3" t="s">
        <v>4367</v>
      </c>
      <c r="B3338" s="4">
        <v>47034272</v>
      </c>
    </row>
    <row r="3339" customHeight="1" spans="1:2">
      <c r="A3339" s="3" t="s">
        <v>3058</v>
      </c>
      <c r="B3339" s="4">
        <v>33574332</v>
      </c>
    </row>
    <row r="3340" customHeight="1" spans="1:2">
      <c r="A3340" s="3" t="s">
        <v>281</v>
      </c>
      <c r="B3340" s="4">
        <v>238371987</v>
      </c>
    </row>
    <row r="3341" customHeight="1" spans="1:2">
      <c r="A3341" s="3" t="s">
        <v>11894</v>
      </c>
      <c r="B3341" s="4">
        <v>177343675</v>
      </c>
    </row>
    <row r="3342" customHeight="1" spans="1:2">
      <c r="A3342" s="3" t="s">
        <v>13027</v>
      </c>
      <c r="B3342" s="4"/>
    </row>
    <row r="3343" customHeight="1" spans="1:2">
      <c r="A3343" s="3" t="s">
        <v>3814</v>
      </c>
      <c r="B3343" s="4">
        <v>35617599</v>
      </c>
    </row>
    <row r="3344" customHeight="1" spans="1:2">
      <c r="A3344" s="3" t="s">
        <v>21935</v>
      </c>
      <c r="B3344" s="4"/>
    </row>
    <row r="3345" customHeight="1" spans="1:2">
      <c r="A3345" s="3" t="s">
        <v>23040</v>
      </c>
      <c r="B3345" s="4"/>
    </row>
    <row r="3346" customHeight="1" spans="1:2">
      <c r="A3346" s="3" t="s">
        <v>7770</v>
      </c>
      <c r="B3346" s="4">
        <v>217631306</v>
      </c>
    </row>
    <row r="3347" customHeight="1" spans="1:2">
      <c r="A3347" s="3" t="s">
        <v>19963</v>
      </c>
      <c r="B3347" s="4">
        <v>59774</v>
      </c>
    </row>
    <row r="3348" customHeight="1" spans="1:2">
      <c r="A3348" s="3" t="s">
        <v>18530</v>
      </c>
      <c r="B3348" s="4"/>
    </row>
    <row r="3349" customHeight="1" spans="1:2">
      <c r="A3349" s="3" t="s">
        <v>11521</v>
      </c>
      <c r="B3349" s="4">
        <v>75074950</v>
      </c>
    </row>
    <row r="3350" customHeight="1" spans="1:2">
      <c r="A3350" s="3" t="s">
        <v>15738</v>
      </c>
      <c r="B3350" s="4">
        <v>1247453</v>
      </c>
    </row>
    <row r="3351" customHeight="1" spans="1:2">
      <c r="A3351" s="3" t="s">
        <v>3604</v>
      </c>
      <c r="B3351" s="4">
        <v>50173190</v>
      </c>
    </row>
    <row r="3352" customHeight="1" spans="1:2">
      <c r="A3352" s="3" t="s">
        <v>18239</v>
      </c>
      <c r="B3352" s="4"/>
    </row>
    <row r="3353" customHeight="1" spans="1:2">
      <c r="A3353" s="3" t="s">
        <v>9445</v>
      </c>
      <c r="B3353" s="4">
        <v>3203044</v>
      </c>
    </row>
    <row r="3354" customHeight="1" spans="1:2">
      <c r="A3354" s="3" t="s">
        <v>2182</v>
      </c>
      <c r="B3354" s="4">
        <v>172071312</v>
      </c>
    </row>
    <row r="3355" customHeight="1" spans="1:2">
      <c r="A3355" s="3" t="s">
        <v>23725</v>
      </c>
      <c r="B3355" s="4"/>
    </row>
    <row r="3356" customHeight="1" spans="1:2">
      <c r="A3356" s="3" t="s">
        <v>7490</v>
      </c>
      <c r="B3356" s="4"/>
    </row>
    <row r="3357" customHeight="1" spans="1:2">
      <c r="A3357" s="3" t="s">
        <v>3236</v>
      </c>
      <c r="B3357" s="4">
        <v>75621915</v>
      </c>
    </row>
    <row r="3358" customHeight="1" spans="1:2">
      <c r="A3358" s="3" t="s">
        <v>16158</v>
      </c>
      <c r="B3358" s="4">
        <v>2892582</v>
      </c>
    </row>
    <row r="3359" customHeight="1" spans="1:2">
      <c r="A3359" s="3" t="s">
        <v>1066</v>
      </c>
      <c r="B3359" s="4">
        <v>181166115</v>
      </c>
    </row>
    <row r="3360" customHeight="1" spans="1:2">
      <c r="A3360" s="3" t="s">
        <v>22300</v>
      </c>
      <c r="B3360" s="4"/>
    </row>
    <row r="3361" customHeight="1" spans="1:2">
      <c r="A3361" s="3" t="s">
        <v>120</v>
      </c>
      <c r="B3361" s="4">
        <v>334185206</v>
      </c>
    </row>
    <row r="3362" customHeight="1" spans="1:2">
      <c r="A3362" s="3" t="s">
        <v>2191</v>
      </c>
      <c r="B3362" s="4">
        <v>139225854</v>
      </c>
    </row>
    <row r="3363" customHeight="1" spans="1:2">
      <c r="A3363" s="3" t="s">
        <v>14628</v>
      </c>
      <c r="B3363" s="4">
        <v>24004159</v>
      </c>
    </row>
    <row r="3364" customHeight="1" spans="1:2">
      <c r="A3364" s="3" t="s">
        <v>10085</v>
      </c>
      <c r="B3364" s="4"/>
    </row>
    <row r="3365" customHeight="1" spans="1:2">
      <c r="A3365" s="3" t="s">
        <v>4373</v>
      </c>
      <c r="B3365" s="4">
        <v>45856732</v>
      </c>
    </row>
    <row r="3366" customHeight="1" spans="1:2">
      <c r="A3366" s="3" t="s">
        <v>12078</v>
      </c>
      <c r="B3366" s="4">
        <v>3753806</v>
      </c>
    </row>
    <row r="3367" customHeight="1" spans="1:2">
      <c r="A3367" s="3" t="s">
        <v>22429</v>
      </c>
      <c r="B3367" s="4"/>
    </row>
    <row r="3368" customHeight="1" spans="1:2">
      <c r="A3368" s="3" t="s">
        <v>11114</v>
      </c>
      <c r="B3368" s="4">
        <v>687081</v>
      </c>
    </row>
    <row r="3369" customHeight="1" spans="1:2">
      <c r="A3369" s="3" t="s">
        <v>1004</v>
      </c>
      <c r="B3369" s="4">
        <v>202007640</v>
      </c>
    </row>
    <row r="3370" customHeight="1" spans="1:2">
      <c r="A3370" s="3" t="s">
        <v>13083</v>
      </c>
      <c r="B3370" s="4">
        <v>57176582</v>
      </c>
    </row>
    <row r="3371" customHeight="1" spans="1:2">
      <c r="A3371" s="3" t="s">
        <v>11976</v>
      </c>
      <c r="B3371" s="4">
        <v>50461335</v>
      </c>
    </row>
    <row r="3372" customHeight="1" spans="1:2">
      <c r="A3372" s="3" t="s">
        <v>4023</v>
      </c>
      <c r="B3372" s="4">
        <v>41252428</v>
      </c>
    </row>
    <row r="3373" customHeight="1" spans="1:2">
      <c r="A3373" s="3" t="s">
        <v>1409</v>
      </c>
      <c r="B3373" s="4">
        <v>102981571</v>
      </c>
    </row>
    <row r="3374" customHeight="1" spans="1:2">
      <c r="A3374" s="3" t="s">
        <v>2457</v>
      </c>
      <c r="B3374" s="4">
        <v>75370763</v>
      </c>
    </row>
    <row r="3375" customHeight="1" spans="1:2">
      <c r="A3375" s="3" t="s">
        <v>3172</v>
      </c>
      <c r="B3375" s="4">
        <v>135014968</v>
      </c>
    </row>
    <row r="3376" customHeight="1" spans="1:2">
      <c r="A3376" s="3" t="s">
        <v>7360</v>
      </c>
      <c r="B3376" s="4">
        <v>10769960</v>
      </c>
    </row>
    <row r="3377" customHeight="1" spans="1:2">
      <c r="A3377" s="3" t="s">
        <v>21173</v>
      </c>
      <c r="B3377" s="4"/>
    </row>
    <row r="3378" customHeight="1" spans="1:2">
      <c r="A3378" s="3" t="s">
        <v>11955</v>
      </c>
      <c r="B3378" s="4">
        <v>10230</v>
      </c>
    </row>
    <row r="3379" customHeight="1" spans="1:2">
      <c r="A3379" s="3" t="s">
        <v>17713</v>
      </c>
      <c r="B3379" s="4"/>
    </row>
    <row r="3380" customHeight="1" spans="1:2">
      <c r="A3380" s="3" t="s">
        <v>20376</v>
      </c>
      <c r="B3380" s="4">
        <v>673780</v>
      </c>
    </row>
    <row r="3381" customHeight="1" spans="1:2">
      <c r="A3381" s="3" t="s">
        <v>2248</v>
      </c>
      <c r="B3381" s="4">
        <v>52397389</v>
      </c>
    </row>
    <row r="3382" customHeight="1" spans="1:2">
      <c r="A3382" s="3" t="s">
        <v>2210</v>
      </c>
      <c r="B3382" s="4">
        <v>90454043</v>
      </c>
    </row>
    <row r="3383" customHeight="1" spans="1:2">
      <c r="A3383" s="3" t="s">
        <v>12891</v>
      </c>
      <c r="B3383" s="4">
        <v>756452</v>
      </c>
    </row>
    <row r="3384" customHeight="1" spans="1:2">
      <c r="A3384" s="3" t="s">
        <v>20665</v>
      </c>
      <c r="B3384" s="4"/>
    </row>
    <row r="3385" customHeight="1" spans="1:2">
      <c r="A3385" s="3" t="s">
        <v>18198</v>
      </c>
      <c r="B3385" s="4">
        <v>3478</v>
      </c>
    </row>
    <row r="3386" customHeight="1" spans="1:2">
      <c r="A3386" s="3" t="s">
        <v>4490</v>
      </c>
      <c r="B3386" s="4">
        <v>25117498</v>
      </c>
    </row>
    <row r="3387" customHeight="1" spans="1:2">
      <c r="A3387" s="3" t="s">
        <v>10321</v>
      </c>
      <c r="B3387" s="4">
        <v>28014536</v>
      </c>
    </row>
    <row r="3388" customHeight="1" spans="1:2">
      <c r="A3388" s="3" t="s">
        <v>20734</v>
      </c>
      <c r="B3388" s="4"/>
    </row>
    <row r="3389" customHeight="1" spans="1:2">
      <c r="A3389" s="3" t="s">
        <v>19746</v>
      </c>
      <c r="B3389" s="4">
        <v>24343673</v>
      </c>
    </row>
    <row r="3390" customHeight="1" spans="1:2">
      <c r="A3390" s="3" t="s">
        <v>4910</v>
      </c>
      <c r="B3390" s="4">
        <v>26183197</v>
      </c>
    </row>
    <row r="3391" customHeight="1" spans="1:2">
      <c r="A3391" s="3" t="s">
        <v>10654</v>
      </c>
      <c r="B3391" s="4"/>
    </row>
    <row r="3392" customHeight="1" spans="1:2">
      <c r="A3392" s="3" t="s">
        <v>3795</v>
      </c>
      <c r="B3392" s="4">
        <v>50648679</v>
      </c>
    </row>
    <row r="3393" customHeight="1" spans="1:2">
      <c r="A3393" s="3" t="s">
        <v>9209</v>
      </c>
      <c r="B3393" s="4">
        <v>6061759</v>
      </c>
    </row>
    <row r="3394" customHeight="1" spans="1:2">
      <c r="A3394" s="3" t="s">
        <v>21095</v>
      </c>
      <c r="B3394" s="4"/>
    </row>
    <row r="3395" customHeight="1" spans="1:2">
      <c r="A3395" s="3" t="s">
        <v>15335</v>
      </c>
      <c r="B3395" s="4">
        <v>24809547</v>
      </c>
    </row>
    <row r="3396" customHeight="1" spans="1:2">
      <c r="A3396" s="3" t="s">
        <v>18756</v>
      </c>
      <c r="B3396" s="4">
        <v>750100</v>
      </c>
    </row>
    <row r="3397" customHeight="1" spans="1:2">
      <c r="A3397" s="3" t="s">
        <v>454</v>
      </c>
      <c r="B3397" s="4">
        <v>82161969</v>
      </c>
    </row>
    <row r="3398" customHeight="1" spans="1:2">
      <c r="A3398" s="3" t="s">
        <v>14095</v>
      </c>
      <c r="B3398" s="4">
        <v>40158000</v>
      </c>
    </row>
    <row r="3399" customHeight="1" spans="1:2">
      <c r="A3399" s="3" t="s">
        <v>20305</v>
      </c>
      <c r="B3399" s="4">
        <v>9609</v>
      </c>
    </row>
    <row r="3400" customHeight="1" spans="1:2">
      <c r="A3400" s="3" t="s">
        <v>8779</v>
      </c>
      <c r="B3400" s="4">
        <v>9109322</v>
      </c>
    </row>
    <row r="3401" customHeight="1" spans="1:2">
      <c r="A3401" s="3" t="s">
        <v>8467</v>
      </c>
      <c r="B3401" s="4">
        <v>26003149</v>
      </c>
    </row>
    <row r="3402" customHeight="1" spans="1:2">
      <c r="A3402" s="3" t="s">
        <v>22476</v>
      </c>
      <c r="B3402" s="4"/>
    </row>
    <row r="3403" customHeight="1" spans="1:2">
      <c r="A3403" s="3" t="s">
        <v>12133</v>
      </c>
      <c r="B3403" s="4">
        <v>76600000</v>
      </c>
    </row>
    <row r="3404" customHeight="1" spans="1:2">
      <c r="A3404" s="3" t="s">
        <v>23952</v>
      </c>
      <c r="B3404" s="4"/>
    </row>
    <row r="3405" customHeight="1" spans="1:2">
      <c r="A3405" s="3" t="s">
        <v>23268</v>
      </c>
      <c r="B3405" s="4"/>
    </row>
    <row r="3406" customHeight="1" spans="1:2">
      <c r="A3406" s="3" t="s">
        <v>7431</v>
      </c>
      <c r="B3406" s="4">
        <v>4006906</v>
      </c>
    </row>
    <row r="3407" customHeight="1" spans="1:2">
      <c r="A3407" s="3" t="s">
        <v>84</v>
      </c>
      <c r="B3407" s="4">
        <v>255108370</v>
      </c>
    </row>
    <row r="3408" customHeight="1" spans="1:2">
      <c r="A3408" s="3" t="s">
        <v>9348</v>
      </c>
      <c r="B3408" s="4">
        <v>16702864</v>
      </c>
    </row>
    <row r="3409" customHeight="1" spans="1:2">
      <c r="A3409" s="3" t="s">
        <v>20155</v>
      </c>
      <c r="B3409" s="4"/>
    </row>
    <row r="3410" customHeight="1" spans="1:2">
      <c r="A3410" s="3" t="s">
        <v>14493</v>
      </c>
      <c r="B3410" s="4">
        <v>31899000</v>
      </c>
    </row>
    <row r="3411" customHeight="1" spans="1:2">
      <c r="A3411" s="3" t="s">
        <v>7177</v>
      </c>
      <c r="B3411" s="4">
        <v>37738400</v>
      </c>
    </row>
    <row r="3412" customHeight="1" spans="1:2">
      <c r="A3412" s="3" t="s">
        <v>573</v>
      </c>
      <c r="B3412" s="4">
        <v>138396624</v>
      </c>
    </row>
    <row r="3413" customHeight="1" spans="1:2">
      <c r="A3413" s="3" t="s">
        <v>24079</v>
      </c>
      <c r="B3413" s="4"/>
    </row>
    <row r="3414" customHeight="1" spans="1:2">
      <c r="A3414" s="3" t="s">
        <v>8750</v>
      </c>
      <c r="B3414" s="4">
        <v>10569071</v>
      </c>
    </row>
    <row r="3415" customHeight="1" spans="1:2">
      <c r="A3415" s="3" t="s">
        <v>13234</v>
      </c>
      <c r="B3415" s="4">
        <v>36049108</v>
      </c>
    </row>
    <row r="3416" customHeight="1" spans="1:2">
      <c r="A3416" s="3" t="s">
        <v>19502</v>
      </c>
      <c r="B3416" s="4">
        <v>37188667</v>
      </c>
    </row>
    <row r="3417" customHeight="1" spans="1:2">
      <c r="A3417" s="3" t="s">
        <v>5794</v>
      </c>
      <c r="B3417" s="4">
        <v>113502246</v>
      </c>
    </row>
    <row r="3418" customHeight="1" spans="1:2">
      <c r="A3418" s="3" t="s">
        <v>19964</v>
      </c>
      <c r="B3418" s="4">
        <v>174682</v>
      </c>
    </row>
    <row r="3419" customHeight="1" spans="1:2">
      <c r="A3419" s="3" t="s">
        <v>6404</v>
      </c>
      <c r="B3419" s="4">
        <v>4554569</v>
      </c>
    </row>
    <row r="3420" customHeight="1" spans="1:2">
      <c r="A3420" s="3" t="s">
        <v>21188</v>
      </c>
      <c r="B3420" s="4"/>
    </row>
    <row r="3421" customHeight="1" spans="1:2">
      <c r="A3421" s="3" t="s">
        <v>4093</v>
      </c>
      <c r="B3421" s="4">
        <v>56083966</v>
      </c>
    </row>
    <row r="3422" customHeight="1" spans="1:2">
      <c r="A3422" s="3" t="s">
        <v>6988</v>
      </c>
      <c r="B3422" s="4">
        <v>56505065</v>
      </c>
    </row>
    <row r="3423" customHeight="1" spans="1:2">
      <c r="A3423" s="3" t="s">
        <v>18767</v>
      </c>
      <c r="B3423" s="4">
        <v>279282</v>
      </c>
    </row>
    <row r="3424" customHeight="1" spans="1:2">
      <c r="A3424" s="3" t="s">
        <v>24011</v>
      </c>
      <c r="B3424" s="4"/>
    </row>
    <row r="3425" customHeight="1" spans="1:2">
      <c r="A3425" s="3" t="s">
        <v>559</v>
      </c>
      <c r="B3425" s="4">
        <v>424645577</v>
      </c>
    </row>
    <row r="3426" customHeight="1" spans="1:2">
      <c r="A3426" s="3" t="s">
        <v>19550</v>
      </c>
      <c r="B3426" s="4"/>
    </row>
    <row r="3427" customHeight="1" spans="1:2">
      <c r="A3427" s="3" t="s">
        <v>21989</v>
      </c>
      <c r="B3427" s="4"/>
    </row>
    <row r="3428" customHeight="1" spans="1:2">
      <c r="A3428" s="3" t="s">
        <v>21389</v>
      </c>
      <c r="B3428" s="4"/>
    </row>
    <row r="3429" customHeight="1" spans="1:2">
      <c r="A3429" s="3" t="s">
        <v>1980</v>
      </c>
      <c r="B3429" s="4">
        <v>98895417</v>
      </c>
    </row>
    <row r="3430" customHeight="1" spans="1:2">
      <c r="A3430" s="3" t="s">
        <v>15687</v>
      </c>
      <c r="B3430" s="4"/>
    </row>
    <row r="3431" customHeight="1" spans="1:2">
      <c r="A3431" s="3" t="s">
        <v>203</v>
      </c>
      <c r="B3431" s="4">
        <v>137850096</v>
      </c>
    </row>
    <row r="3432" customHeight="1" spans="1:2">
      <c r="A3432" s="3" t="s">
        <v>17935</v>
      </c>
      <c r="B3432" s="4">
        <v>3050934</v>
      </c>
    </row>
    <row r="3433" customHeight="1" spans="1:2">
      <c r="A3433" s="3" t="s">
        <v>5932</v>
      </c>
      <c r="B3433" s="4">
        <v>52937130</v>
      </c>
    </row>
    <row r="3434" customHeight="1" spans="1:2">
      <c r="A3434" s="3" t="s">
        <v>20352</v>
      </c>
      <c r="B3434" s="4"/>
    </row>
    <row r="3435" customHeight="1" spans="1:2">
      <c r="A3435" s="3" t="s">
        <v>13600</v>
      </c>
      <c r="B3435" s="4">
        <v>52287414</v>
      </c>
    </row>
    <row r="3436" customHeight="1" spans="1:2">
      <c r="A3436" s="3" t="s">
        <v>21774</v>
      </c>
      <c r="B3436" s="4"/>
    </row>
    <row r="3437" customHeight="1" spans="1:2">
      <c r="A3437" s="3" t="s">
        <v>6887</v>
      </c>
      <c r="B3437" s="4">
        <v>148085755</v>
      </c>
    </row>
    <row r="3438" customHeight="1" spans="1:2">
      <c r="A3438" s="3" t="s">
        <v>22206</v>
      </c>
      <c r="B3438" s="4"/>
    </row>
    <row r="3439" customHeight="1" spans="1:2">
      <c r="A3439" s="3" t="s">
        <v>4630</v>
      </c>
      <c r="B3439" s="4">
        <v>511920</v>
      </c>
    </row>
    <row r="3440" customHeight="1" spans="1:2">
      <c r="A3440" s="3" t="s">
        <v>12893</v>
      </c>
      <c r="B3440" s="4">
        <v>226792</v>
      </c>
    </row>
    <row r="3441" customHeight="1" spans="1:2">
      <c r="A3441" s="3" t="s">
        <v>4474</v>
      </c>
      <c r="B3441" s="4">
        <v>28535768</v>
      </c>
    </row>
    <row r="3442" customHeight="1" spans="1:2">
      <c r="A3442" s="3" t="s">
        <v>16500</v>
      </c>
      <c r="B3442" s="4">
        <v>252652</v>
      </c>
    </row>
    <row r="3443" customHeight="1" spans="1:2">
      <c r="A3443" s="3" t="s">
        <v>7238</v>
      </c>
      <c r="B3443" s="4">
        <v>17718223</v>
      </c>
    </row>
    <row r="3444" customHeight="1" spans="1:2">
      <c r="A3444" s="3" t="s">
        <v>13047</v>
      </c>
      <c r="B3444" s="4">
        <v>128486</v>
      </c>
    </row>
    <row r="3445" customHeight="1" spans="1:2">
      <c r="A3445" s="3" t="s">
        <v>21061</v>
      </c>
      <c r="B3445" s="4"/>
    </row>
    <row r="3446" customHeight="1" spans="1:2">
      <c r="A3446" s="3" t="s">
        <v>10421</v>
      </c>
      <c r="B3446" s="4">
        <v>12801190</v>
      </c>
    </row>
    <row r="3447" customHeight="1" spans="1:2">
      <c r="A3447" s="3" t="s">
        <v>7825</v>
      </c>
      <c r="B3447" s="4">
        <v>33313582</v>
      </c>
    </row>
    <row r="3448" customHeight="1" spans="1:2">
      <c r="A3448" s="3" t="s">
        <v>7970</v>
      </c>
      <c r="B3448" s="4">
        <v>49024969</v>
      </c>
    </row>
    <row r="3449" customHeight="1" spans="1:2">
      <c r="A3449" s="3" t="s">
        <v>9684</v>
      </c>
      <c r="B3449" s="4">
        <v>54239856</v>
      </c>
    </row>
    <row r="3450" customHeight="1" spans="1:2">
      <c r="A3450" s="3" t="s">
        <v>4886</v>
      </c>
      <c r="B3450" s="4">
        <v>50213619</v>
      </c>
    </row>
    <row r="3451" customHeight="1" spans="1:2">
      <c r="A3451" s="3" t="s">
        <v>11677</v>
      </c>
      <c r="B3451" s="4">
        <v>17292381</v>
      </c>
    </row>
    <row r="3452" customHeight="1" spans="1:2">
      <c r="A3452" s="3" t="s">
        <v>7893</v>
      </c>
      <c r="B3452" s="4">
        <v>12784713</v>
      </c>
    </row>
    <row r="3453" customHeight="1" spans="1:2">
      <c r="A3453" s="3" t="s">
        <v>12697</v>
      </c>
      <c r="B3453" s="4">
        <v>54557348</v>
      </c>
    </row>
    <row r="3454" customHeight="1" spans="1:2">
      <c r="A3454" s="3" t="s">
        <v>17197</v>
      </c>
      <c r="B3454" s="4">
        <v>38108</v>
      </c>
    </row>
    <row r="3455" customHeight="1" spans="1:2">
      <c r="A3455" s="3" t="s">
        <v>14941</v>
      </c>
      <c r="B3455" s="4">
        <v>542860</v>
      </c>
    </row>
    <row r="3456" customHeight="1" spans="1:2">
      <c r="A3456" s="3" t="s">
        <v>10253</v>
      </c>
      <c r="B3456" s="4">
        <v>34308901</v>
      </c>
    </row>
    <row r="3457" customHeight="1" spans="1:2">
      <c r="A3457" s="3" t="s">
        <v>19769</v>
      </c>
      <c r="B3457" s="4"/>
    </row>
    <row r="3458" customHeight="1" spans="1:2">
      <c r="A3458" s="3" t="s">
        <v>23090</v>
      </c>
      <c r="B3458" s="4"/>
    </row>
    <row r="3459" customHeight="1" spans="1:2">
      <c r="A3459" s="3" t="s">
        <v>14020</v>
      </c>
      <c r="B3459" s="4">
        <v>872643</v>
      </c>
    </row>
    <row r="3460" customHeight="1" spans="1:2">
      <c r="A3460" s="3" t="s">
        <v>10802</v>
      </c>
      <c r="B3460" s="4">
        <v>101157447</v>
      </c>
    </row>
    <row r="3461" customHeight="1" spans="1:2">
      <c r="A3461" s="3" t="s">
        <v>13456</v>
      </c>
      <c r="B3461" s="4">
        <v>39462438</v>
      </c>
    </row>
    <row r="3462" customHeight="1" spans="1:2">
      <c r="A3462" s="3" t="s">
        <v>10295</v>
      </c>
      <c r="B3462" s="4">
        <v>163192114</v>
      </c>
    </row>
    <row r="3463" customHeight="1" spans="1:2">
      <c r="A3463" s="3" t="s">
        <v>14515</v>
      </c>
      <c r="B3463" s="4">
        <v>10149779</v>
      </c>
    </row>
    <row r="3464" customHeight="1" spans="1:2">
      <c r="A3464" s="3" t="s">
        <v>19828</v>
      </c>
      <c r="B3464" s="4">
        <v>47111</v>
      </c>
    </row>
    <row r="3465" customHeight="1" spans="1:2">
      <c r="A3465" s="3" t="s">
        <v>5436</v>
      </c>
      <c r="B3465" s="4">
        <v>32000000</v>
      </c>
    </row>
    <row r="3466" customHeight="1" spans="1:2">
      <c r="A3466" s="3" t="s">
        <v>18994</v>
      </c>
      <c r="B3466" s="4">
        <v>16097842</v>
      </c>
    </row>
    <row r="3467" customHeight="1" spans="1:2">
      <c r="A3467" s="3" t="s">
        <v>17800</v>
      </c>
      <c r="B3467" s="4"/>
    </row>
    <row r="3468" customHeight="1" spans="1:2">
      <c r="A3468" s="3" t="s">
        <v>524</v>
      </c>
      <c r="B3468" s="4">
        <v>63992328</v>
      </c>
    </row>
    <row r="3469" customHeight="1" spans="1:2">
      <c r="A3469" s="3" t="s">
        <v>17980</v>
      </c>
      <c r="B3469" s="4"/>
    </row>
    <row r="3470" customHeight="1" spans="1:2">
      <c r="A3470" s="3" t="s">
        <v>2862</v>
      </c>
      <c r="B3470" s="4">
        <v>91400000</v>
      </c>
    </row>
    <row r="3471" customHeight="1" spans="1:2">
      <c r="A3471" s="3" t="s">
        <v>14212</v>
      </c>
      <c r="B3471" s="4"/>
    </row>
    <row r="3472" customHeight="1" spans="1:2">
      <c r="A3472" s="3" t="s">
        <v>8929</v>
      </c>
      <c r="B3472" s="4">
        <v>882710</v>
      </c>
    </row>
    <row r="3473" customHeight="1" spans="1:2">
      <c r="A3473" s="3" t="s">
        <v>23718</v>
      </c>
      <c r="B3473" s="4"/>
    </row>
    <row r="3474" customHeight="1" spans="1:2">
      <c r="A3474" s="3" t="s">
        <v>8326</v>
      </c>
      <c r="B3474" s="4">
        <v>39263506</v>
      </c>
    </row>
    <row r="3475" customHeight="1" spans="1:2">
      <c r="A3475" s="3" t="s">
        <v>16233</v>
      </c>
      <c r="B3475" s="4">
        <v>354704</v>
      </c>
    </row>
    <row r="3476" customHeight="1" spans="1:2">
      <c r="A3476" s="3" t="s">
        <v>15336</v>
      </c>
      <c r="B3476" s="4">
        <v>19097994</v>
      </c>
    </row>
    <row r="3477" customHeight="1" spans="1:2">
      <c r="A3477" s="3" t="s">
        <v>9284</v>
      </c>
      <c r="B3477" s="4">
        <v>43853424</v>
      </c>
    </row>
    <row r="3478" customHeight="1" spans="1:2">
      <c r="A3478" s="3" t="s">
        <v>382</v>
      </c>
      <c r="B3478" s="4">
        <v>281492479</v>
      </c>
    </row>
    <row r="3479" customHeight="1" spans="1:2">
      <c r="A3479" s="3" t="s">
        <v>2204</v>
      </c>
      <c r="B3479" s="4">
        <v>100448498</v>
      </c>
    </row>
    <row r="3480" customHeight="1" spans="1:2">
      <c r="A3480" s="3" t="s">
        <v>2470</v>
      </c>
      <c r="B3480" s="4">
        <v>80033643</v>
      </c>
    </row>
    <row r="3481" customHeight="1" spans="1:2">
      <c r="A3481" s="3" t="s">
        <v>13003</v>
      </c>
      <c r="B3481" s="4"/>
    </row>
    <row r="3482" customHeight="1" spans="1:2">
      <c r="A3482" s="3" t="s">
        <v>22974</v>
      </c>
      <c r="B3482" s="4"/>
    </row>
    <row r="3483" customHeight="1" spans="1:2">
      <c r="A3483" s="3" t="s">
        <v>9518</v>
      </c>
      <c r="B3483" s="4">
        <v>90485233</v>
      </c>
    </row>
    <row r="3484" customHeight="1" spans="1:2">
      <c r="A3484" s="3" t="s">
        <v>15773</v>
      </c>
      <c r="B3484" s="4"/>
    </row>
    <row r="3485" customHeight="1" spans="1:2">
      <c r="A3485" s="3" t="s">
        <v>12041</v>
      </c>
      <c r="B3485" s="4">
        <v>13592872</v>
      </c>
    </row>
    <row r="3486" customHeight="1" spans="1:2">
      <c r="A3486" s="3" t="s">
        <v>18366</v>
      </c>
      <c r="B3486" s="4"/>
    </row>
    <row r="3487" customHeight="1" spans="1:2">
      <c r="A3487" s="3" t="s">
        <v>21900</v>
      </c>
      <c r="B3487" s="4"/>
    </row>
    <row r="3488" customHeight="1" spans="1:2">
      <c r="A3488" s="3" t="s">
        <v>744</v>
      </c>
      <c r="B3488" s="4">
        <v>190871240</v>
      </c>
    </row>
    <row r="3489" customHeight="1" spans="1:2">
      <c r="A3489" s="3" t="s">
        <v>22751</v>
      </c>
      <c r="B3489" s="4"/>
    </row>
    <row r="3490" customHeight="1" spans="1:2">
      <c r="A3490" s="3" t="s">
        <v>22314</v>
      </c>
      <c r="B3490" s="4"/>
    </row>
    <row r="3491" customHeight="1" spans="1:2">
      <c r="A3491" s="3" t="s">
        <v>7152</v>
      </c>
      <c r="B3491" s="4">
        <v>14500000</v>
      </c>
    </row>
    <row r="3492" customHeight="1" spans="1:2">
      <c r="A3492" s="3" t="s">
        <v>15350</v>
      </c>
      <c r="B3492" s="4">
        <v>16017403</v>
      </c>
    </row>
    <row r="3493" customHeight="1" spans="1:2">
      <c r="A3493" s="3" t="s">
        <v>16825</v>
      </c>
      <c r="B3493" s="4">
        <v>7282851</v>
      </c>
    </row>
    <row r="3494" customHeight="1" spans="1:2">
      <c r="A3494" s="3" t="s">
        <v>9629</v>
      </c>
      <c r="B3494" s="4">
        <v>70492685</v>
      </c>
    </row>
    <row r="3495" customHeight="1" spans="1:2">
      <c r="A3495" s="3" t="s">
        <v>21277</v>
      </c>
      <c r="B3495" s="4"/>
    </row>
    <row r="3496" customHeight="1" spans="1:2">
      <c r="A3496" s="3" t="s">
        <v>11475</v>
      </c>
      <c r="B3496" s="4">
        <v>1508689</v>
      </c>
    </row>
    <row r="3497" customHeight="1" spans="1:2">
      <c r="A3497" s="3" t="s">
        <v>7160</v>
      </c>
      <c r="B3497" s="4">
        <v>30538669</v>
      </c>
    </row>
    <row r="3498" customHeight="1" spans="1:2">
      <c r="A3498" s="3" t="s">
        <v>16175</v>
      </c>
      <c r="B3498" s="4">
        <v>1325073</v>
      </c>
    </row>
    <row r="3499" customHeight="1" spans="1:2">
      <c r="A3499" s="3" t="s">
        <v>7320</v>
      </c>
      <c r="B3499" s="4"/>
    </row>
    <row r="3500" customHeight="1" spans="1:2">
      <c r="A3500" s="3" t="s">
        <v>21915</v>
      </c>
      <c r="B3500" s="4"/>
    </row>
    <row r="3501" customHeight="1" spans="1:2">
      <c r="A3501" s="3" t="s">
        <v>114</v>
      </c>
      <c r="B3501" s="4">
        <v>373377893</v>
      </c>
    </row>
    <row r="3502" customHeight="1" spans="1:2">
      <c r="A3502" s="3" t="s">
        <v>14539</v>
      </c>
      <c r="B3502" s="4">
        <v>2024854</v>
      </c>
    </row>
    <row r="3503" customHeight="1" spans="1:2">
      <c r="A3503" s="3" t="s">
        <v>2581</v>
      </c>
      <c r="B3503" s="4">
        <v>45996718</v>
      </c>
    </row>
    <row r="3504" customHeight="1" spans="1:2">
      <c r="A3504" s="3" t="s">
        <v>4791</v>
      </c>
      <c r="B3504" s="4">
        <v>41997790</v>
      </c>
    </row>
    <row r="3505" customHeight="1" spans="1:2">
      <c r="A3505" s="3" t="s">
        <v>6733</v>
      </c>
      <c r="B3505" s="4">
        <v>20819129</v>
      </c>
    </row>
    <row r="3506" customHeight="1" spans="1:2">
      <c r="A3506" s="3" t="s">
        <v>17796</v>
      </c>
      <c r="B3506" s="4">
        <v>4556</v>
      </c>
    </row>
    <row r="3507" customHeight="1" spans="1:2">
      <c r="A3507" s="3" t="s">
        <v>20234</v>
      </c>
      <c r="B3507" s="4">
        <v>389804</v>
      </c>
    </row>
    <row r="3508" customHeight="1" spans="1:2">
      <c r="A3508" s="3" t="s">
        <v>12362</v>
      </c>
      <c r="B3508" s="4">
        <v>29500000</v>
      </c>
    </row>
    <row r="3509" customHeight="1" spans="1:2">
      <c r="A3509" s="3" t="s">
        <v>3513</v>
      </c>
      <c r="B3509" s="4">
        <v>9795017</v>
      </c>
    </row>
    <row r="3510" customHeight="1" spans="1:2">
      <c r="A3510" s="3" t="s">
        <v>21136</v>
      </c>
      <c r="B3510" s="4"/>
    </row>
    <row r="3511" customHeight="1" spans="1:2">
      <c r="A3511" s="3" t="s">
        <v>19761</v>
      </c>
      <c r="B3511" s="4"/>
    </row>
    <row r="3512" customHeight="1" spans="1:2">
      <c r="A3512" s="3" t="s">
        <v>19277</v>
      </c>
      <c r="B3512" s="4">
        <v>79043</v>
      </c>
    </row>
    <row r="3513" customHeight="1" spans="1:2">
      <c r="A3513" s="3" t="s">
        <v>17155</v>
      </c>
      <c r="B3513" s="4">
        <v>9054736</v>
      </c>
    </row>
    <row r="3514" customHeight="1" spans="1:2">
      <c r="A3514" s="3" t="s">
        <v>5953</v>
      </c>
      <c r="B3514" s="4">
        <v>51432423</v>
      </c>
    </row>
    <row r="3515" customHeight="1" spans="1:2">
      <c r="A3515" s="3" t="s">
        <v>21135</v>
      </c>
      <c r="B3515" s="4"/>
    </row>
    <row r="3516" customHeight="1" spans="1:2">
      <c r="A3516" s="3" t="s">
        <v>3502</v>
      </c>
      <c r="B3516" s="4">
        <v>10400000</v>
      </c>
    </row>
    <row r="3517" customHeight="1" spans="1:2">
      <c r="A3517" s="3" t="s">
        <v>3756</v>
      </c>
      <c r="B3517" s="4">
        <v>67253092</v>
      </c>
    </row>
    <row r="3518" customHeight="1" spans="1:2">
      <c r="A3518" s="3" t="s">
        <v>10104</v>
      </c>
      <c r="B3518" s="4">
        <v>94175854</v>
      </c>
    </row>
    <row r="3519" customHeight="1" spans="1:2">
      <c r="A3519" s="3" t="s">
        <v>7690</v>
      </c>
      <c r="B3519" s="4">
        <v>13019253</v>
      </c>
    </row>
    <row r="3520" customHeight="1" spans="1:2">
      <c r="A3520" s="3" t="s">
        <v>22349</v>
      </c>
      <c r="B3520" s="4"/>
    </row>
    <row r="3521" customHeight="1" spans="1:2">
      <c r="A3521" s="3" t="s">
        <v>6217</v>
      </c>
      <c r="B3521" s="4">
        <v>9353573</v>
      </c>
    </row>
    <row r="3522" customHeight="1" spans="1:2">
      <c r="A3522" s="3" t="s">
        <v>1100</v>
      </c>
      <c r="B3522" s="4">
        <v>245823397</v>
      </c>
    </row>
    <row r="3523" customHeight="1" spans="1:2">
      <c r="A3523" s="3" t="s">
        <v>14007</v>
      </c>
      <c r="B3523" s="4">
        <v>3014541</v>
      </c>
    </row>
    <row r="3524" customHeight="1" spans="1:2">
      <c r="A3524" s="3" t="s">
        <v>12758</v>
      </c>
      <c r="B3524" s="4">
        <v>1309849</v>
      </c>
    </row>
    <row r="3525" customHeight="1" spans="1:2">
      <c r="A3525" s="3" t="s">
        <v>10890</v>
      </c>
      <c r="B3525" s="4">
        <v>25571351</v>
      </c>
    </row>
    <row r="3526" customHeight="1" spans="1:2">
      <c r="A3526" s="3" t="s">
        <v>15367</v>
      </c>
      <c r="B3526" s="4">
        <v>14821531</v>
      </c>
    </row>
    <row r="3527" customHeight="1" spans="1:2">
      <c r="A3527" s="3" t="s">
        <v>9493</v>
      </c>
      <c r="B3527" s="4"/>
    </row>
    <row r="3528" customHeight="1" spans="1:2">
      <c r="A3528" s="3" t="s">
        <v>21052</v>
      </c>
      <c r="B3528" s="4"/>
    </row>
    <row r="3529" customHeight="1" spans="1:2">
      <c r="A3529" s="3" t="s">
        <v>15120</v>
      </c>
      <c r="B3529" s="4">
        <v>611709</v>
      </c>
    </row>
    <row r="3530" customHeight="1" spans="1:2">
      <c r="A3530" s="3" t="s">
        <v>16459</v>
      </c>
      <c r="B3530" s="4">
        <v>10305534</v>
      </c>
    </row>
    <row r="3531" customHeight="1" spans="1:2">
      <c r="A3531" s="3" t="s">
        <v>16276</v>
      </c>
      <c r="B3531" s="4"/>
    </row>
    <row r="3532" customHeight="1" spans="1:2">
      <c r="A3532" s="3" t="s">
        <v>14789</v>
      </c>
      <c r="B3532" s="4"/>
    </row>
    <row r="3533" customHeight="1" spans="1:2">
      <c r="A3533" s="3" t="s">
        <v>4518</v>
      </c>
      <c r="B3533" s="4">
        <v>20300000</v>
      </c>
    </row>
    <row r="3534" customHeight="1" spans="1:2">
      <c r="A3534" s="3" t="s">
        <v>3310</v>
      </c>
      <c r="B3534" s="4">
        <v>50007168</v>
      </c>
    </row>
    <row r="3535" customHeight="1" spans="1:2">
      <c r="A3535" s="3" t="s">
        <v>22145</v>
      </c>
      <c r="B3535" s="4"/>
    </row>
    <row r="3536" customHeight="1" spans="1:2">
      <c r="A3536" s="3" t="s">
        <v>7660</v>
      </c>
      <c r="B3536" s="4">
        <v>27338033</v>
      </c>
    </row>
    <row r="3537" customHeight="1" spans="1:2">
      <c r="A3537" s="3" t="s">
        <v>5534</v>
      </c>
      <c r="B3537" s="4">
        <v>4280577</v>
      </c>
    </row>
    <row r="3538" customHeight="1" spans="1:2">
      <c r="A3538" s="3" t="s">
        <v>4226</v>
      </c>
      <c r="B3538" s="4">
        <v>90835030</v>
      </c>
    </row>
    <row r="3539" customHeight="1" spans="1:2">
      <c r="A3539" s="3" t="s">
        <v>21347</v>
      </c>
      <c r="B3539" s="4"/>
    </row>
    <row r="3540" customHeight="1" spans="1:2">
      <c r="A3540" s="3" t="s">
        <v>16868</v>
      </c>
      <c r="B3540" s="4">
        <v>2961991</v>
      </c>
    </row>
    <row r="3541" customHeight="1" spans="1:2">
      <c r="A3541" s="3" t="s">
        <v>21809</v>
      </c>
      <c r="B3541" s="4"/>
    </row>
    <row r="3542" customHeight="1" spans="1:2">
      <c r="A3542" s="3" t="s">
        <v>13801</v>
      </c>
      <c r="B3542" s="4">
        <v>532190</v>
      </c>
    </row>
    <row r="3543" customHeight="1" spans="1:2">
      <c r="A3543" s="3" t="s">
        <v>10148</v>
      </c>
      <c r="B3543" s="4">
        <v>64001297</v>
      </c>
    </row>
    <row r="3544" customHeight="1" spans="1:2">
      <c r="A3544" s="3" t="s">
        <v>3161</v>
      </c>
      <c r="B3544" s="4">
        <v>218628680</v>
      </c>
    </row>
    <row r="3545" customHeight="1" spans="1:2">
      <c r="A3545" s="3" t="s">
        <v>4870</v>
      </c>
      <c r="B3545" s="4"/>
    </row>
    <row r="3546" customHeight="1" spans="1:2">
      <c r="A3546" s="3" t="s">
        <v>21201</v>
      </c>
      <c r="B3546" s="4"/>
    </row>
    <row r="3547" customHeight="1" spans="1:2">
      <c r="A3547" s="3" t="s">
        <v>20893</v>
      </c>
      <c r="B3547" s="4"/>
    </row>
    <row r="3548" customHeight="1" spans="1:2">
      <c r="A3548" s="3" t="s">
        <v>20918</v>
      </c>
      <c r="B3548" s="4"/>
    </row>
    <row r="3549" customHeight="1" spans="1:2">
      <c r="A3549" s="3" t="s">
        <v>538</v>
      </c>
      <c r="B3549" s="4">
        <v>123207194</v>
      </c>
    </row>
    <row r="3550" customHeight="1" spans="1:2">
      <c r="A3550" s="3" t="s">
        <v>11058</v>
      </c>
      <c r="B3550" s="4">
        <v>1752214</v>
      </c>
    </row>
    <row r="3551" customHeight="1" spans="1:2">
      <c r="A3551" s="3" t="s">
        <v>23424</v>
      </c>
      <c r="B3551" s="4"/>
    </row>
    <row r="3552" customHeight="1" spans="1:2">
      <c r="A3552" s="3" t="s">
        <v>3701</v>
      </c>
      <c r="B3552" s="4">
        <v>139852971</v>
      </c>
    </row>
    <row r="3553" customHeight="1" spans="1:2">
      <c r="A3553" s="3" t="s">
        <v>23712</v>
      </c>
      <c r="B3553" s="4"/>
    </row>
    <row r="3554" customHeight="1" spans="1:2">
      <c r="A3554" s="3" t="s">
        <v>7518</v>
      </c>
      <c r="B3554" s="4">
        <v>28772222</v>
      </c>
    </row>
    <row r="3555" customHeight="1" spans="1:2">
      <c r="A3555" s="3" t="s">
        <v>23466</v>
      </c>
      <c r="B3555" s="4"/>
    </row>
    <row r="3556" customHeight="1" spans="1:2">
      <c r="A3556" s="3" t="s">
        <v>1029</v>
      </c>
      <c r="B3556" s="4">
        <v>95328937</v>
      </c>
    </row>
    <row r="3557" customHeight="1" spans="1:2">
      <c r="A3557" s="3" t="s">
        <v>4445</v>
      </c>
      <c r="B3557" s="4"/>
    </row>
    <row r="3558" customHeight="1" spans="1:2">
      <c r="A3558" s="3" t="s">
        <v>215</v>
      </c>
      <c r="B3558" s="4">
        <v>154985087</v>
      </c>
    </row>
    <row r="3559" customHeight="1" spans="1:2">
      <c r="A3559" s="3" t="s">
        <v>16727</v>
      </c>
      <c r="B3559" s="4">
        <v>30000000</v>
      </c>
    </row>
    <row r="3560" customHeight="1" spans="1:2">
      <c r="A3560" s="3" t="s">
        <v>12022</v>
      </c>
      <c r="B3560" s="4">
        <v>21370057</v>
      </c>
    </row>
    <row r="3561" customHeight="1" spans="1:2">
      <c r="A3561" s="3" t="s">
        <v>7068</v>
      </c>
      <c r="B3561" s="4">
        <v>39008741</v>
      </c>
    </row>
    <row r="3562" customHeight="1" spans="1:2">
      <c r="A3562" s="3" t="s">
        <v>15419</v>
      </c>
      <c r="B3562" s="4">
        <v>12947763</v>
      </c>
    </row>
    <row r="3563" customHeight="1" spans="1:2">
      <c r="A3563" s="3" t="s">
        <v>20004</v>
      </c>
      <c r="B3563" s="4"/>
    </row>
    <row r="3564" customHeight="1" spans="1:2">
      <c r="A3564" s="3" t="s">
        <v>18634</v>
      </c>
      <c r="B3564" s="4">
        <v>53245055</v>
      </c>
    </row>
    <row r="3565" customHeight="1" spans="1:2">
      <c r="A3565" s="3" t="s">
        <v>15196</v>
      </c>
      <c r="B3565" s="4">
        <v>563699</v>
      </c>
    </row>
    <row r="3566" customHeight="1" spans="1:2">
      <c r="A3566" s="3" t="s">
        <v>11330</v>
      </c>
      <c r="B3566" s="4">
        <v>3058380</v>
      </c>
    </row>
    <row r="3567" customHeight="1" spans="1:2">
      <c r="A3567" s="3" t="s">
        <v>18863</v>
      </c>
      <c r="B3567" s="4"/>
    </row>
    <row r="3568" customHeight="1" spans="1:2">
      <c r="A3568" s="3" t="s">
        <v>17206</v>
      </c>
      <c r="B3568" s="4"/>
    </row>
    <row r="3569" customHeight="1" spans="1:2">
      <c r="A3569" s="3" t="s">
        <v>2718</v>
      </c>
      <c r="B3569" s="4">
        <v>17281832</v>
      </c>
    </row>
    <row r="3570" customHeight="1" spans="1:2">
      <c r="A3570" s="3" t="s">
        <v>17296</v>
      </c>
      <c r="B3570" s="4">
        <v>118666</v>
      </c>
    </row>
    <row r="3571" customHeight="1" spans="1:2">
      <c r="A3571" s="3" t="s">
        <v>9466</v>
      </c>
      <c r="B3571" s="4">
        <v>676698</v>
      </c>
    </row>
    <row r="3572" customHeight="1" spans="1:2">
      <c r="A3572" s="3" t="s">
        <v>10590</v>
      </c>
      <c r="B3572" s="4">
        <v>5217498</v>
      </c>
    </row>
    <row r="3573" customHeight="1" spans="1:2">
      <c r="A3573" s="3" t="s">
        <v>19265</v>
      </c>
      <c r="B3573" s="4">
        <v>13300000</v>
      </c>
    </row>
    <row r="3574" customHeight="1" spans="1:2">
      <c r="A3574" s="3" t="s">
        <v>386</v>
      </c>
      <c r="B3574" s="4">
        <v>206360018</v>
      </c>
    </row>
    <row r="3575" customHeight="1" spans="1:2">
      <c r="A3575" s="3" t="s">
        <v>20940</v>
      </c>
      <c r="B3575" s="4"/>
    </row>
    <row r="3576" customHeight="1" spans="1:2">
      <c r="A3576" s="3" t="s">
        <v>3378</v>
      </c>
      <c r="B3576" s="4">
        <v>38590500</v>
      </c>
    </row>
    <row r="3577" customHeight="1" spans="1:2">
      <c r="A3577" s="3" t="s">
        <v>2224</v>
      </c>
      <c r="B3577" s="4">
        <v>70236496</v>
      </c>
    </row>
    <row r="3578" customHeight="1" spans="1:2">
      <c r="A3578" s="3" t="s">
        <v>12711</v>
      </c>
      <c r="B3578" s="4">
        <v>3060858</v>
      </c>
    </row>
    <row r="3579" customHeight="1" spans="1:2">
      <c r="A3579" s="3" t="s">
        <v>9165</v>
      </c>
      <c r="B3579" s="4">
        <v>114968774</v>
      </c>
    </row>
    <row r="3580" customHeight="1" spans="1:2">
      <c r="A3580" s="3" t="s">
        <v>20557</v>
      </c>
      <c r="B3580" s="4"/>
    </row>
    <row r="3581" customHeight="1" spans="1:2">
      <c r="A3581" s="3" t="s">
        <v>2274</v>
      </c>
      <c r="B3581" s="4">
        <v>28045540</v>
      </c>
    </row>
    <row r="3582" customHeight="1" spans="1:2">
      <c r="A3582" s="3" t="s">
        <v>13486</v>
      </c>
      <c r="B3582" s="4">
        <v>14879556</v>
      </c>
    </row>
    <row r="3583" customHeight="1" spans="1:2">
      <c r="A3583" s="3" t="s">
        <v>14134</v>
      </c>
      <c r="B3583" s="4">
        <v>34099640</v>
      </c>
    </row>
    <row r="3584" customHeight="1" spans="1:2">
      <c r="A3584" s="3" t="s">
        <v>20713</v>
      </c>
      <c r="B3584" s="4"/>
    </row>
    <row r="3585" customHeight="1" spans="1:2">
      <c r="A3585" s="3" t="s">
        <v>2413</v>
      </c>
      <c r="B3585" s="4">
        <v>104148781</v>
      </c>
    </row>
    <row r="3586" customHeight="1" spans="1:2">
      <c r="A3586" s="3" t="s">
        <v>17307</v>
      </c>
      <c r="B3586" s="4">
        <v>99851</v>
      </c>
    </row>
    <row r="3587" customHeight="1" spans="1:2">
      <c r="A3587" s="3" t="s">
        <v>23599</v>
      </c>
      <c r="B3587" s="4"/>
    </row>
    <row r="3588" customHeight="1" spans="1:2">
      <c r="A3588" s="3" t="s">
        <v>2621</v>
      </c>
      <c r="B3588" s="4">
        <v>35754555</v>
      </c>
    </row>
    <row r="3589" customHeight="1" spans="1:2">
      <c r="A3589" s="3" t="s">
        <v>431</v>
      </c>
      <c r="B3589" s="4">
        <v>34964818</v>
      </c>
    </row>
    <row r="3590" customHeight="1" spans="1:2">
      <c r="A3590" s="3" t="s">
        <v>228</v>
      </c>
      <c r="B3590" s="4">
        <v>318298180</v>
      </c>
    </row>
    <row r="3591" customHeight="1" spans="1:2">
      <c r="A3591" s="3" t="s">
        <v>22958</v>
      </c>
      <c r="B3591" s="4"/>
    </row>
    <row r="3592" customHeight="1" spans="1:2">
      <c r="A3592" s="3" t="s">
        <v>18510</v>
      </c>
      <c r="B3592" s="4"/>
    </row>
    <row r="3593" customHeight="1" spans="1:2">
      <c r="A3593" s="3" t="s">
        <v>16610</v>
      </c>
      <c r="B3593" s="4"/>
    </row>
    <row r="3594" customHeight="1" spans="1:2">
      <c r="A3594" s="3" t="s">
        <v>19271</v>
      </c>
      <c r="B3594" s="4">
        <v>23616</v>
      </c>
    </row>
    <row r="3595" customHeight="1" spans="1:2">
      <c r="A3595" s="3" t="s">
        <v>2665</v>
      </c>
      <c r="B3595" s="4">
        <v>29136626</v>
      </c>
    </row>
    <row r="3596" customHeight="1" spans="1:2">
      <c r="A3596" s="3" t="s">
        <v>10310</v>
      </c>
      <c r="B3596" s="4">
        <v>28637507</v>
      </c>
    </row>
    <row r="3597" customHeight="1" spans="1:2">
      <c r="A3597" s="3" t="s">
        <v>8907</v>
      </c>
      <c r="B3597" s="4">
        <v>3081925</v>
      </c>
    </row>
    <row r="3598" customHeight="1" spans="1:2">
      <c r="A3598" s="3" t="s">
        <v>6066</v>
      </c>
      <c r="B3598" s="4">
        <v>35927406</v>
      </c>
    </row>
    <row r="3599" customHeight="1" spans="1:2">
      <c r="A3599" s="3" t="s">
        <v>17042</v>
      </c>
      <c r="B3599" s="4"/>
    </row>
    <row r="3600" customHeight="1" spans="1:2">
      <c r="A3600" s="3" t="s">
        <v>6686</v>
      </c>
      <c r="B3600" s="4">
        <v>8712564</v>
      </c>
    </row>
    <row r="3601" customHeight="1" spans="1:2">
      <c r="A3601" s="3" t="s">
        <v>9634</v>
      </c>
      <c r="B3601" s="4">
        <v>35635046</v>
      </c>
    </row>
    <row r="3602" customHeight="1" spans="1:2">
      <c r="A3602" s="3" t="s">
        <v>7251</v>
      </c>
      <c r="B3602" s="4">
        <v>16647384</v>
      </c>
    </row>
    <row r="3603" customHeight="1" spans="1:2">
      <c r="A3603" s="3" t="s">
        <v>879</v>
      </c>
      <c r="B3603" s="4">
        <v>180011740</v>
      </c>
    </row>
    <row r="3604" customHeight="1" spans="1:2">
      <c r="A3604" s="3" t="s">
        <v>8933</v>
      </c>
      <c r="B3604" s="4">
        <v>1064277</v>
      </c>
    </row>
    <row r="3605" customHeight="1" spans="1:2">
      <c r="A3605" s="3" t="s">
        <v>3710</v>
      </c>
      <c r="B3605" s="4">
        <v>101702060</v>
      </c>
    </row>
    <row r="3606" customHeight="1" spans="1:2">
      <c r="A3606" s="3" t="s">
        <v>7330</v>
      </c>
      <c r="B3606" s="4">
        <v>12188642</v>
      </c>
    </row>
    <row r="3607" customHeight="1" spans="1:2">
      <c r="A3607" s="3" t="s">
        <v>14693</v>
      </c>
      <c r="B3607" s="4">
        <v>17508936</v>
      </c>
    </row>
    <row r="3608" customHeight="1" spans="1:2">
      <c r="A3608" s="3" t="s">
        <v>22544</v>
      </c>
      <c r="B3608" s="4"/>
    </row>
    <row r="3609" customHeight="1" spans="1:2">
      <c r="A3609" s="3" t="s">
        <v>13441</v>
      </c>
      <c r="B3609" s="4">
        <v>32222567</v>
      </c>
    </row>
    <row r="3610" customHeight="1" spans="1:2">
      <c r="A3610" s="3" t="s">
        <v>2478</v>
      </c>
      <c r="B3610" s="4">
        <v>66734992</v>
      </c>
    </row>
    <row r="3611" customHeight="1" spans="1:2">
      <c r="A3611" s="3" t="s">
        <v>2077</v>
      </c>
      <c r="B3611" s="4">
        <v>8460990</v>
      </c>
    </row>
    <row r="3612" customHeight="1" spans="1:2">
      <c r="A3612" s="3" t="s">
        <v>19225</v>
      </c>
      <c r="B3612" s="4">
        <v>2694973</v>
      </c>
    </row>
    <row r="3613" customHeight="1" spans="1:2">
      <c r="A3613" s="3" t="s">
        <v>9699</v>
      </c>
      <c r="B3613" s="4">
        <v>15681020</v>
      </c>
    </row>
    <row r="3614" customHeight="1" spans="1:2">
      <c r="A3614" s="3" t="s">
        <v>20338</v>
      </c>
      <c r="B3614" s="4"/>
    </row>
    <row r="3615" customHeight="1" spans="1:2">
      <c r="A3615" s="3" t="s">
        <v>20037</v>
      </c>
      <c r="B3615" s="4">
        <v>469947</v>
      </c>
    </row>
    <row r="3616" customHeight="1" spans="1:2">
      <c r="A3616" s="3" t="s">
        <v>11794</v>
      </c>
      <c r="B3616" s="4">
        <v>4717455</v>
      </c>
    </row>
    <row r="3617" customHeight="1" spans="1:2">
      <c r="A3617" s="3" t="s">
        <v>23932</v>
      </c>
      <c r="B3617" s="4"/>
    </row>
    <row r="3618" customHeight="1" spans="1:2">
      <c r="A3618" s="3" t="s">
        <v>17458</v>
      </c>
      <c r="B3618" s="4"/>
    </row>
    <row r="3619" customHeight="1" spans="1:2">
      <c r="A3619" s="3" t="s">
        <v>24023</v>
      </c>
      <c r="B3619" s="4"/>
    </row>
    <row r="3620" customHeight="1" spans="1:2">
      <c r="A3620" s="3" t="s">
        <v>15965</v>
      </c>
      <c r="B3620" s="4">
        <v>2542264</v>
      </c>
    </row>
    <row r="3621" customHeight="1" spans="1:2">
      <c r="A3621" s="3" t="s">
        <v>6453</v>
      </c>
      <c r="B3621" s="4">
        <v>70235322</v>
      </c>
    </row>
    <row r="3622" customHeight="1" spans="1:2">
      <c r="A3622" s="3" t="s">
        <v>17693</v>
      </c>
      <c r="B3622" s="4">
        <v>55202</v>
      </c>
    </row>
    <row r="3623" customHeight="1" spans="1:2">
      <c r="A3623" s="3" t="s">
        <v>19488</v>
      </c>
      <c r="B3623" s="4"/>
    </row>
    <row r="3624" customHeight="1" spans="1:2">
      <c r="A3624" s="3" t="s">
        <v>15007</v>
      </c>
      <c r="B3624" s="4">
        <v>159600000</v>
      </c>
    </row>
    <row r="3625" customHeight="1" spans="1:2">
      <c r="A3625" s="3" t="s">
        <v>16957</v>
      </c>
      <c r="B3625" s="4"/>
    </row>
    <row r="3626" customHeight="1" spans="1:2">
      <c r="A3626" s="3" t="s">
        <v>6422</v>
      </c>
      <c r="B3626" s="4">
        <v>74058698</v>
      </c>
    </row>
    <row r="3627" customHeight="1" spans="1:2">
      <c r="A3627" s="3" t="s">
        <v>13319</v>
      </c>
      <c r="B3627" s="4"/>
    </row>
    <row r="3628" customHeight="1" spans="1:2">
      <c r="A3628" s="3" t="s">
        <v>15754</v>
      </c>
      <c r="B3628" s="4"/>
    </row>
    <row r="3629" customHeight="1" spans="1:2">
      <c r="A3629" s="3" t="s">
        <v>19170</v>
      </c>
      <c r="B3629" s="4"/>
    </row>
    <row r="3630" customHeight="1" spans="1:2">
      <c r="A3630" s="3" t="s">
        <v>20850</v>
      </c>
      <c r="B3630" s="4"/>
    </row>
    <row r="3631" customHeight="1" spans="1:2">
      <c r="A3631" s="3" t="s">
        <v>23616</v>
      </c>
      <c r="B3631" s="4"/>
    </row>
    <row r="3632" customHeight="1" spans="1:2">
      <c r="A3632" s="3" t="s">
        <v>1184</v>
      </c>
      <c r="B3632" s="4">
        <v>100853835</v>
      </c>
    </row>
    <row r="3633" customHeight="1" spans="1:2">
      <c r="A3633" s="3" t="s">
        <v>24016</v>
      </c>
      <c r="B3633" s="4"/>
    </row>
    <row r="3634" customHeight="1" spans="1:2">
      <c r="A3634" s="3" t="s">
        <v>2373</v>
      </c>
      <c r="B3634" s="4">
        <v>210592590</v>
      </c>
    </row>
    <row r="3635" customHeight="1" spans="1:2">
      <c r="A3635" s="3" t="s">
        <v>20975</v>
      </c>
      <c r="B3635" s="4"/>
    </row>
    <row r="3636" customHeight="1" spans="1:2">
      <c r="A3636" s="3" t="s">
        <v>3633</v>
      </c>
      <c r="B3636" s="4">
        <v>37339525</v>
      </c>
    </row>
    <row r="3637" customHeight="1" spans="1:2">
      <c r="A3637" s="3" t="s">
        <v>20125</v>
      </c>
      <c r="B3637" s="4"/>
    </row>
    <row r="3638" customHeight="1" spans="1:2">
      <c r="A3638" s="3" t="s">
        <v>18076</v>
      </c>
      <c r="B3638" s="4">
        <v>7417210</v>
      </c>
    </row>
    <row r="3639" customHeight="1" spans="1:2">
      <c r="A3639" s="3" t="s">
        <v>19237</v>
      </c>
      <c r="B3639" s="4"/>
    </row>
    <row r="3640" customHeight="1" spans="1:2">
      <c r="A3640" s="3" t="s">
        <v>14657</v>
      </c>
      <c r="B3640" s="4">
        <v>22168359</v>
      </c>
    </row>
    <row r="3641" customHeight="1" spans="1:2">
      <c r="A3641" s="3" t="s">
        <v>19353</v>
      </c>
      <c r="B3641" s="4">
        <v>1250798</v>
      </c>
    </row>
    <row r="3642" customHeight="1" spans="1:2">
      <c r="A3642" s="3" t="s">
        <v>17026</v>
      </c>
      <c r="B3642" s="4"/>
    </row>
    <row r="3643" customHeight="1" spans="1:2">
      <c r="A3643" s="3" t="s">
        <v>19285</v>
      </c>
      <c r="B3643" s="4"/>
    </row>
    <row r="3644" customHeight="1" spans="1:2">
      <c r="A3644" s="3" t="s">
        <v>9596</v>
      </c>
      <c r="B3644" s="4">
        <v>72219395</v>
      </c>
    </row>
    <row r="3645" customHeight="1" spans="1:2">
      <c r="A3645" s="3" t="s">
        <v>17505</v>
      </c>
      <c r="B3645" s="4"/>
    </row>
    <row r="3646" customHeight="1" spans="1:2">
      <c r="A3646" s="3" t="s">
        <v>832</v>
      </c>
      <c r="B3646" s="4">
        <v>100446895</v>
      </c>
    </row>
    <row r="3647" customHeight="1" spans="1:2">
      <c r="A3647" s="3" t="s">
        <v>10015</v>
      </c>
      <c r="B3647" s="4"/>
    </row>
    <row r="3648" customHeight="1" spans="1:2">
      <c r="A3648" s="3" t="s">
        <v>17887</v>
      </c>
      <c r="B3648" s="4">
        <v>1445366</v>
      </c>
    </row>
    <row r="3649" customHeight="1" spans="1:2">
      <c r="A3649" s="3" t="s">
        <v>9440</v>
      </c>
      <c r="B3649" s="4">
        <v>3707794</v>
      </c>
    </row>
    <row r="3650" customHeight="1" spans="1:2">
      <c r="A3650" s="3" t="s">
        <v>1979</v>
      </c>
      <c r="B3650" s="4">
        <v>78120196</v>
      </c>
    </row>
    <row r="3651" customHeight="1" spans="1:2">
      <c r="A3651" s="3" t="s">
        <v>20630</v>
      </c>
      <c r="B3651" s="4"/>
    </row>
    <row r="3652" customHeight="1" spans="1:2">
      <c r="A3652" s="3" t="s">
        <v>6873</v>
      </c>
      <c r="B3652" s="4">
        <v>33565375</v>
      </c>
    </row>
    <row r="3653" customHeight="1" spans="1:2">
      <c r="A3653" s="3" t="s">
        <v>2121</v>
      </c>
      <c r="B3653" s="4">
        <v>45045037</v>
      </c>
    </row>
    <row r="3654" customHeight="1" spans="1:2">
      <c r="A3654" s="3" t="s">
        <v>16855</v>
      </c>
      <c r="B3654" s="4">
        <v>3902679</v>
      </c>
    </row>
    <row r="3655" customHeight="1" spans="1:2">
      <c r="A3655" s="3" t="s">
        <v>18869</v>
      </c>
      <c r="B3655" s="4"/>
    </row>
    <row r="3656" customHeight="1" spans="1:2">
      <c r="A3656" s="3" t="s">
        <v>22785</v>
      </c>
      <c r="B3656" s="4"/>
    </row>
    <row r="3657" customHeight="1" spans="1:2">
      <c r="A3657" s="3" t="s">
        <v>23829</v>
      </c>
      <c r="B3657" s="4"/>
    </row>
    <row r="3658" customHeight="1" spans="1:2">
      <c r="A3658" s="3" t="s">
        <v>8576</v>
      </c>
      <c r="B3658" s="4">
        <v>8500000</v>
      </c>
    </row>
    <row r="3659" customHeight="1" spans="1:2">
      <c r="A3659" s="3" t="s">
        <v>5546</v>
      </c>
      <c r="B3659" s="4">
        <v>10955425</v>
      </c>
    </row>
    <row r="3660" customHeight="1" spans="1:2">
      <c r="A3660" s="3" t="s">
        <v>7436</v>
      </c>
      <c r="B3660" s="4">
        <v>1550000</v>
      </c>
    </row>
    <row r="3661" customHeight="1" spans="1:2">
      <c r="A3661" s="3" t="s">
        <v>1207</v>
      </c>
      <c r="B3661" s="4">
        <v>60874615</v>
      </c>
    </row>
    <row r="3662" customHeight="1" spans="1:2">
      <c r="A3662" s="3" t="s">
        <v>1609</v>
      </c>
      <c r="B3662" s="4">
        <v>20950820</v>
      </c>
    </row>
    <row r="3663" customHeight="1" spans="1:2">
      <c r="A3663" s="3" t="s">
        <v>4827</v>
      </c>
      <c r="B3663" s="4">
        <v>60338891</v>
      </c>
    </row>
    <row r="3664" customHeight="1" spans="1:2">
      <c r="A3664" s="3" t="s">
        <v>13360</v>
      </c>
      <c r="B3664" s="4">
        <v>349618</v>
      </c>
    </row>
    <row r="3665" customHeight="1" spans="1:2">
      <c r="A3665" s="3" t="s">
        <v>13630</v>
      </c>
      <c r="B3665" s="4"/>
    </row>
    <row r="3666" customHeight="1" spans="1:2">
      <c r="A3666" s="3" t="s">
        <v>16028</v>
      </c>
      <c r="B3666" s="4">
        <v>20803237</v>
      </c>
    </row>
    <row r="3667" customHeight="1" spans="1:2">
      <c r="A3667" s="3" t="s">
        <v>10158</v>
      </c>
      <c r="B3667" s="4">
        <v>101978840</v>
      </c>
    </row>
    <row r="3668" customHeight="1" spans="1:2">
      <c r="A3668" s="3" t="s">
        <v>22288</v>
      </c>
      <c r="B3668" s="4"/>
    </row>
    <row r="3669" customHeight="1" spans="1:2">
      <c r="A3669" s="3" t="s">
        <v>21172</v>
      </c>
      <c r="B3669" s="4"/>
    </row>
    <row r="3670" customHeight="1" spans="1:2">
      <c r="A3670" s="3" t="s">
        <v>18509</v>
      </c>
      <c r="B3670" s="4">
        <v>39659</v>
      </c>
    </row>
    <row r="3671" customHeight="1" spans="1:2">
      <c r="A3671" s="3" t="s">
        <v>3077</v>
      </c>
      <c r="B3671" s="4">
        <v>164435221</v>
      </c>
    </row>
    <row r="3672" customHeight="1" spans="1:2">
      <c r="A3672" s="3" t="s">
        <v>6284</v>
      </c>
      <c r="B3672" s="4">
        <v>3752725</v>
      </c>
    </row>
    <row r="3673" customHeight="1" spans="1:2">
      <c r="A3673" s="3" t="s">
        <v>10100</v>
      </c>
      <c r="B3673" s="4">
        <v>317040</v>
      </c>
    </row>
    <row r="3674" customHeight="1" spans="1:2">
      <c r="A3674" s="3" t="s">
        <v>11157</v>
      </c>
      <c r="B3674" s="4">
        <v>58607007</v>
      </c>
    </row>
    <row r="3675" customHeight="1" spans="1:2">
      <c r="A3675" s="3" t="s">
        <v>23267</v>
      </c>
      <c r="B3675" s="4"/>
    </row>
    <row r="3676" customHeight="1" spans="1:2">
      <c r="A3676" s="3" t="s">
        <v>6524</v>
      </c>
      <c r="B3676" s="4">
        <v>33000377</v>
      </c>
    </row>
    <row r="3677" customHeight="1" spans="1:2">
      <c r="A3677" s="3" t="s">
        <v>20455</v>
      </c>
      <c r="B3677" s="4"/>
    </row>
    <row r="3678" customHeight="1" spans="1:2">
      <c r="A3678" s="3" t="s">
        <v>23413</v>
      </c>
      <c r="B3678" s="4"/>
    </row>
    <row r="3679" customHeight="1" spans="1:2">
      <c r="A3679" s="3" t="s">
        <v>22370</v>
      </c>
      <c r="B3679" s="4"/>
    </row>
    <row r="3680" customHeight="1" spans="1:2">
      <c r="A3680" s="3" t="s">
        <v>2872</v>
      </c>
      <c r="B3680" s="4">
        <v>78745923</v>
      </c>
    </row>
    <row r="3681" customHeight="1" spans="1:2">
      <c r="A3681" s="3" t="s">
        <v>21663</v>
      </c>
      <c r="B3681" s="4"/>
    </row>
    <row r="3682" customHeight="1" spans="1:2">
      <c r="A3682" s="3" t="s">
        <v>18150</v>
      </c>
      <c r="B3682" s="4">
        <v>402820</v>
      </c>
    </row>
    <row r="3683" customHeight="1" spans="1:2">
      <c r="A3683" s="3" t="s">
        <v>2063</v>
      </c>
      <c r="B3683" s="4">
        <v>14294842</v>
      </c>
    </row>
    <row r="3684" customHeight="1" spans="1:2">
      <c r="A3684" s="3" t="s">
        <v>6840</v>
      </c>
      <c r="B3684" s="4">
        <v>16005978</v>
      </c>
    </row>
    <row r="3685" customHeight="1" spans="1:2">
      <c r="A3685" s="3" t="s">
        <v>3173</v>
      </c>
      <c r="B3685" s="4">
        <v>2175312</v>
      </c>
    </row>
    <row r="3686" customHeight="1" spans="1:2">
      <c r="A3686" s="3" t="s">
        <v>4185</v>
      </c>
      <c r="B3686" s="4">
        <v>89138076</v>
      </c>
    </row>
    <row r="3687" customHeight="1" spans="1:2">
      <c r="A3687" s="3" t="s">
        <v>13907</v>
      </c>
      <c r="B3687" s="4"/>
    </row>
    <row r="3688" customHeight="1" spans="1:2">
      <c r="A3688" s="3" t="s">
        <v>9048</v>
      </c>
      <c r="B3688" s="4">
        <v>210609762</v>
      </c>
    </row>
    <row r="3689" customHeight="1" spans="1:2">
      <c r="A3689" s="3" t="s">
        <v>11703</v>
      </c>
      <c r="B3689" s="4">
        <v>12902790</v>
      </c>
    </row>
    <row r="3690" customHeight="1" spans="1:2">
      <c r="A3690" s="3" t="s">
        <v>4398</v>
      </c>
      <c r="B3690" s="4">
        <v>37752931</v>
      </c>
    </row>
    <row r="3691" customHeight="1" spans="1:2">
      <c r="A3691" s="3" t="s">
        <v>11769</v>
      </c>
      <c r="B3691" s="4">
        <v>6739141</v>
      </c>
    </row>
    <row r="3692" customHeight="1" spans="1:2">
      <c r="A3692" s="3" t="s">
        <v>21829</v>
      </c>
      <c r="B3692" s="4"/>
    </row>
    <row r="3693" customHeight="1" spans="1:2">
      <c r="A3693" s="3" t="s">
        <v>22316</v>
      </c>
      <c r="B3693" s="4"/>
    </row>
    <row r="3694" customHeight="1" spans="1:2">
      <c r="A3694" s="3" t="s">
        <v>20501</v>
      </c>
      <c r="B3694" s="4"/>
    </row>
    <row r="3695" customHeight="1" spans="1:2">
      <c r="A3695" s="3" t="s">
        <v>15862</v>
      </c>
      <c r="B3695" s="4">
        <v>10429707</v>
      </c>
    </row>
    <row r="3696" customHeight="1" spans="1:2">
      <c r="A3696" s="3" t="s">
        <v>23396</v>
      </c>
      <c r="B3696" s="4"/>
    </row>
    <row r="3697" customHeight="1" spans="1:2">
      <c r="A3697" s="3" t="s">
        <v>8714</v>
      </c>
      <c r="B3697" s="4">
        <v>13214030</v>
      </c>
    </row>
    <row r="3698" customHeight="1" spans="1:2">
      <c r="A3698" s="3" t="s">
        <v>20108</v>
      </c>
      <c r="B3698" s="4">
        <v>1573712</v>
      </c>
    </row>
    <row r="3699" customHeight="1" spans="1:2">
      <c r="A3699" s="3" t="s">
        <v>22173</v>
      </c>
      <c r="B3699" s="4"/>
    </row>
    <row r="3700" customHeight="1" spans="1:2">
      <c r="A3700" s="3" t="s">
        <v>14576</v>
      </c>
      <c r="B3700" s="4"/>
    </row>
    <row r="3701" customHeight="1" spans="1:2">
      <c r="A3701" s="3" t="s">
        <v>18244</v>
      </c>
      <c r="B3701" s="4"/>
    </row>
    <row r="3702" customHeight="1" spans="1:2">
      <c r="A3702" s="3" t="s">
        <v>21920</v>
      </c>
      <c r="B3702" s="4"/>
    </row>
    <row r="3703" customHeight="1" spans="1:2">
      <c r="A3703" s="3" t="s">
        <v>15330</v>
      </c>
      <c r="B3703" s="4"/>
    </row>
    <row r="3704" customHeight="1" spans="1:2">
      <c r="A3704" s="3" t="s">
        <v>8104</v>
      </c>
      <c r="B3704" s="4">
        <v>6830957</v>
      </c>
    </row>
    <row r="3705" customHeight="1" spans="1:2">
      <c r="A3705" s="3" t="s">
        <v>10894</v>
      </c>
      <c r="B3705" s="4">
        <v>27515786</v>
      </c>
    </row>
    <row r="3706" customHeight="1" spans="1:2">
      <c r="A3706" s="3" t="s">
        <v>5817</v>
      </c>
      <c r="B3706" s="4">
        <v>115646235</v>
      </c>
    </row>
    <row r="3707" customHeight="1" spans="1:2">
      <c r="A3707" s="3" t="s">
        <v>21102</v>
      </c>
      <c r="B3707" s="4"/>
    </row>
    <row r="3708" customHeight="1" spans="1:2">
      <c r="A3708" s="3" t="s">
        <v>23047</v>
      </c>
      <c r="B3708" s="4"/>
    </row>
    <row r="3709" customHeight="1" spans="1:2">
      <c r="A3709" s="3" t="s">
        <v>8687</v>
      </c>
      <c r="B3709" s="4">
        <v>13630226</v>
      </c>
    </row>
    <row r="3710" customHeight="1" spans="1:2">
      <c r="A3710" s="3" t="s">
        <v>16287</v>
      </c>
      <c r="B3710" s="4"/>
    </row>
    <row r="3711" customHeight="1" spans="1:2">
      <c r="A3711" s="3" t="s">
        <v>13301</v>
      </c>
      <c r="B3711" s="4">
        <v>6610326</v>
      </c>
    </row>
    <row r="3712" customHeight="1" spans="1:2">
      <c r="A3712" s="3" t="s">
        <v>7594</v>
      </c>
      <c r="B3712" s="4">
        <v>9639242</v>
      </c>
    </row>
    <row r="3713" customHeight="1" spans="1:2">
      <c r="A3713" s="3" t="s">
        <v>20750</v>
      </c>
      <c r="B3713" s="4"/>
    </row>
    <row r="3714" customHeight="1" spans="1:2">
      <c r="A3714" s="3" t="s">
        <v>10523</v>
      </c>
      <c r="B3714" s="4">
        <v>17439163</v>
      </c>
    </row>
    <row r="3715" customHeight="1" spans="1:2">
      <c r="A3715" s="3" t="s">
        <v>11727</v>
      </c>
      <c r="B3715" s="4">
        <v>11433134</v>
      </c>
    </row>
    <row r="3716" customHeight="1" spans="1:2">
      <c r="A3716" s="3" t="s">
        <v>21328</v>
      </c>
      <c r="B3716" s="4"/>
    </row>
    <row r="3717" customHeight="1" spans="1:2">
      <c r="A3717" s="3" t="s">
        <v>19084</v>
      </c>
      <c r="B3717" s="4"/>
    </row>
    <row r="3718" customHeight="1" spans="1:2">
      <c r="A3718" s="3" t="s">
        <v>17118</v>
      </c>
      <c r="B3718" s="4">
        <v>22201636</v>
      </c>
    </row>
    <row r="3719" customHeight="1" spans="1:2">
      <c r="A3719" s="3" t="s">
        <v>21336</v>
      </c>
      <c r="B3719" s="4"/>
    </row>
    <row r="3720" customHeight="1" spans="1:2">
      <c r="A3720" s="3" t="s">
        <v>12102</v>
      </c>
      <c r="B3720" s="4">
        <v>16017403</v>
      </c>
    </row>
    <row r="3721" customHeight="1" spans="1:2">
      <c r="A3721" s="3" t="s">
        <v>22776</v>
      </c>
      <c r="B3721" s="4"/>
    </row>
    <row r="3722" customHeight="1" spans="1:2">
      <c r="A3722" s="3" t="s">
        <v>18024</v>
      </c>
      <c r="B3722" s="4">
        <v>2592808</v>
      </c>
    </row>
    <row r="3723" customHeight="1" spans="1:2">
      <c r="A3723" s="3" t="s">
        <v>15565</v>
      </c>
      <c r="B3723" s="4">
        <v>2445646</v>
      </c>
    </row>
    <row r="3724" customHeight="1" spans="1:2">
      <c r="A3724" s="3" t="s">
        <v>8317</v>
      </c>
      <c r="B3724" s="4">
        <v>39737645</v>
      </c>
    </row>
    <row r="3725" customHeight="1" spans="1:2">
      <c r="A3725" s="3" t="s">
        <v>1136</v>
      </c>
      <c r="B3725" s="4">
        <v>110416702</v>
      </c>
    </row>
    <row r="3726" customHeight="1" spans="1:2">
      <c r="A3726" s="3" t="s">
        <v>12873</v>
      </c>
      <c r="B3726" s="4">
        <v>3093491</v>
      </c>
    </row>
    <row r="3727" customHeight="1" spans="1:2">
      <c r="A3727" s="3" t="s">
        <v>9394</v>
      </c>
      <c r="B3727" s="4">
        <v>8508843</v>
      </c>
    </row>
    <row r="3728" customHeight="1" spans="1:2">
      <c r="A3728" s="3" t="s">
        <v>20735</v>
      </c>
      <c r="B3728" s="4"/>
    </row>
    <row r="3729" customHeight="1" spans="1:2">
      <c r="A3729" s="3" t="s">
        <v>15581</v>
      </c>
      <c r="B3729" s="4">
        <v>3219029</v>
      </c>
    </row>
    <row r="3730" customHeight="1" spans="1:2">
      <c r="A3730" s="3" t="s">
        <v>5699</v>
      </c>
      <c r="B3730" s="4">
        <v>17797316</v>
      </c>
    </row>
    <row r="3731" customHeight="1" spans="1:2">
      <c r="A3731" s="3" t="s">
        <v>17427</v>
      </c>
      <c r="B3731" s="4">
        <v>23650000</v>
      </c>
    </row>
    <row r="3732" customHeight="1" spans="1:2">
      <c r="A3732" s="3" t="s">
        <v>8452</v>
      </c>
      <c r="B3732" s="4">
        <v>30028592</v>
      </c>
    </row>
    <row r="3733" customHeight="1" spans="1:2">
      <c r="A3733" s="3" t="s">
        <v>3532</v>
      </c>
      <c r="B3733" s="4">
        <v>10706786</v>
      </c>
    </row>
    <row r="3734" customHeight="1" spans="1:2">
      <c r="A3734" s="3" t="s">
        <v>15484</v>
      </c>
      <c r="B3734" s="4">
        <v>5480318</v>
      </c>
    </row>
    <row r="3735" customHeight="1" spans="1:2">
      <c r="A3735" s="3" t="s">
        <v>13879</v>
      </c>
      <c r="B3735" s="4">
        <v>52961</v>
      </c>
    </row>
    <row r="3736" customHeight="1" spans="1:2">
      <c r="A3736" s="3" t="s">
        <v>17940</v>
      </c>
      <c r="B3736" s="4"/>
    </row>
    <row r="3737" customHeight="1" spans="1:2">
      <c r="A3737" s="3" t="s">
        <v>15619</v>
      </c>
      <c r="B3737" s="4">
        <v>99147</v>
      </c>
    </row>
    <row r="3738" customHeight="1" spans="1:2">
      <c r="A3738" s="3" t="s">
        <v>5018</v>
      </c>
      <c r="B3738" s="4">
        <v>67962333</v>
      </c>
    </row>
    <row r="3739" customHeight="1" spans="1:2">
      <c r="A3739" s="3" t="s">
        <v>14158</v>
      </c>
      <c r="B3739" s="4"/>
    </row>
    <row r="3740" customHeight="1" spans="1:2">
      <c r="A3740" s="3" t="s">
        <v>21090</v>
      </c>
      <c r="B3740" s="4"/>
    </row>
    <row r="3741" customHeight="1" spans="1:2">
      <c r="A3741" s="3" t="s">
        <v>412</v>
      </c>
      <c r="B3741" s="4">
        <v>126597121</v>
      </c>
    </row>
    <row r="3742" customHeight="1" spans="1:2">
      <c r="A3742" s="3" t="s">
        <v>22440</v>
      </c>
      <c r="B3742" s="4"/>
    </row>
    <row r="3743" customHeight="1" spans="1:2">
      <c r="A3743" s="3" t="s">
        <v>8630</v>
      </c>
      <c r="B3743" s="4">
        <v>191449475</v>
      </c>
    </row>
    <row r="3744" customHeight="1" spans="1:2">
      <c r="A3744" s="3" t="s">
        <v>3344</v>
      </c>
      <c r="B3744" s="4">
        <v>42610000</v>
      </c>
    </row>
    <row r="3745" customHeight="1" spans="1:2">
      <c r="A3745" s="3" t="s">
        <v>11234</v>
      </c>
      <c r="B3745" s="4">
        <v>27141959</v>
      </c>
    </row>
    <row r="3746" customHeight="1" spans="1:2">
      <c r="A3746" s="3" t="s">
        <v>7237</v>
      </c>
      <c r="B3746" s="4">
        <v>17791031</v>
      </c>
    </row>
    <row r="3747" customHeight="1" spans="1:2">
      <c r="A3747" s="3" t="s">
        <v>12562</v>
      </c>
      <c r="B3747" s="4">
        <v>11560259</v>
      </c>
    </row>
    <row r="3748" customHeight="1" spans="1:2">
      <c r="A3748" s="3" t="s">
        <v>10262</v>
      </c>
      <c r="B3748" s="4">
        <v>6000000</v>
      </c>
    </row>
    <row r="3749" customHeight="1" spans="1:2">
      <c r="A3749" s="3" t="s">
        <v>17184</v>
      </c>
      <c r="B3749" s="4">
        <v>3826455</v>
      </c>
    </row>
    <row r="3750" customHeight="1" spans="1:2">
      <c r="A3750" s="3" t="s">
        <v>7619</v>
      </c>
      <c r="B3750" s="4">
        <v>75590286</v>
      </c>
    </row>
    <row r="3751" customHeight="1" spans="1:2">
      <c r="A3751" s="3" t="s">
        <v>18327</v>
      </c>
      <c r="B3751" s="4">
        <v>100358</v>
      </c>
    </row>
    <row r="3752" customHeight="1" spans="1:2">
      <c r="A3752" s="3" t="s">
        <v>5379</v>
      </c>
      <c r="B3752" s="4">
        <v>6592103</v>
      </c>
    </row>
    <row r="3753" customHeight="1" spans="1:2">
      <c r="A3753" s="3" t="s">
        <v>92</v>
      </c>
      <c r="B3753" s="4">
        <v>258355354</v>
      </c>
    </row>
    <row r="3754" customHeight="1" spans="1:2">
      <c r="A3754" s="3" t="s">
        <v>13183</v>
      </c>
      <c r="B3754" s="4">
        <v>3029870</v>
      </c>
    </row>
    <row r="3755" customHeight="1" spans="1:2">
      <c r="A3755" s="3" t="s">
        <v>6537</v>
      </c>
      <c r="B3755" s="4">
        <v>28563179</v>
      </c>
    </row>
    <row r="3756" customHeight="1" spans="1:2">
      <c r="A3756" s="3" t="s">
        <v>23668</v>
      </c>
      <c r="B3756" s="4"/>
    </row>
    <row r="3757" customHeight="1" spans="1:2">
      <c r="A3757" s="3" t="s">
        <v>7373</v>
      </c>
      <c r="B3757" s="4">
        <v>10114315</v>
      </c>
    </row>
    <row r="3758" customHeight="1" spans="1:2">
      <c r="A3758" s="3" t="s">
        <v>1213</v>
      </c>
      <c r="B3758" s="4">
        <v>58220776</v>
      </c>
    </row>
    <row r="3759" customHeight="1" spans="1:2">
      <c r="A3759" s="3" t="s">
        <v>16027</v>
      </c>
      <c r="B3759" s="4"/>
    </row>
    <row r="3760" customHeight="1" spans="1:2">
      <c r="A3760" s="3" t="s">
        <v>662</v>
      </c>
      <c r="B3760" s="4">
        <v>131920333</v>
      </c>
    </row>
    <row r="3761" customHeight="1" spans="1:2">
      <c r="A3761" s="3" t="s">
        <v>12040</v>
      </c>
      <c r="B3761" s="4">
        <v>13903262</v>
      </c>
    </row>
    <row r="3762" customHeight="1" spans="1:2">
      <c r="A3762" s="3" t="s">
        <v>22229</v>
      </c>
      <c r="B3762" s="4"/>
    </row>
    <row r="3763" customHeight="1" spans="1:2">
      <c r="A3763" s="3" t="s">
        <v>23432</v>
      </c>
      <c r="B3763" s="4"/>
    </row>
    <row r="3764" customHeight="1" spans="1:2">
      <c r="A3764" s="3" t="s">
        <v>4685</v>
      </c>
      <c r="B3764" s="4">
        <v>35287788</v>
      </c>
    </row>
    <row r="3765" customHeight="1" spans="1:2">
      <c r="A3765" s="3" t="s">
        <v>5798</v>
      </c>
      <c r="B3765" s="4">
        <v>108360000</v>
      </c>
    </row>
    <row r="3766" customHeight="1" spans="1:2">
      <c r="A3766" s="3" t="s">
        <v>17465</v>
      </c>
      <c r="B3766" s="4"/>
    </row>
    <row r="3767" customHeight="1" spans="1:2">
      <c r="A3767" s="3" t="s">
        <v>15926</v>
      </c>
      <c r="B3767" s="4">
        <v>8691</v>
      </c>
    </row>
    <row r="3768" customHeight="1" spans="1:2">
      <c r="A3768" s="3" t="s">
        <v>9923</v>
      </c>
      <c r="B3768" s="4">
        <v>14108518</v>
      </c>
    </row>
    <row r="3769" customHeight="1" spans="1:2">
      <c r="A3769" s="3" t="s">
        <v>22364</v>
      </c>
      <c r="B3769" s="4"/>
    </row>
    <row r="3770" customHeight="1" spans="1:2">
      <c r="A3770" s="3" t="s">
        <v>1579</v>
      </c>
      <c r="B3770" s="4">
        <v>37899638</v>
      </c>
    </row>
    <row r="3771" customHeight="1" spans="1:2">
      <c r="A3771" s="3" t="s">
        <v>4842</v>
      </c>
      <c r="B3771" s="4">
        <v>22450975</v>
      </c>
    </row>
    <row r="3772" customHeight="1" spans="1:2">
      <c r="A3772" s="3" t="s">
        <v>2834</v>
      </c>
      <c r="B3772" s="4">
        <v>128769345</v>
      </c>
    </row>
    <row r="3773" customHeight="1" spans="1:2">
      <c r="A3773" s="3" t="s">
        <v>22933</v>
      </c>
      <c r="B3773" s="4"/>
    </row>
    <row r="3774" customHeight="1" spans="1:2">
      <c r="A3774" s="3" t="s">
        <v>23394</v>
      </c>
      <c r="B3774" s="4"/>
    </row>
    <row r="3775" customHeight="1" spans="1:2">
      <c r="A3775" s="3" t="s">
        <v>19649</v>
      </c>
      <c r="B3775" s="4">
        <v>25918</v>
      </c>
    </row>
    <row r="3776" customHeight="1" spans="1:2">
      <c r="A3776" s="3" t="s">
        <v>21610</v>
      </c>
      <c r="B3776" s="4"/>
    </row>
    <row r="3777" customHeight="1" spans="1:2">
      <c r="A3777" s="3" t="s">
        <v>16849</v>
      </c>
      <c r="B3777" s="4">
        <v>4109095</v>
      </c>
    </row>
    <row r="3778" customHeight="1" spans="1:2">
      <c r="A3778" s="3" t="s">
        <v>6168</v>
      </c>
      <c r="B3778" s="4">
        <v>17266505</v>
      </c>
    </row>
    <row r="3779" customHeight="1" spans="1:2">
      <c r="A3779" s="3" t="s">
        <v>7096</v>
      </c>
      <c r="B3779" s="4">
        <v>35143332</v>
      </c>
    </row>
    <row r="3780" customHeight="1" spans="1:2">
      <c r="A3780" s="3" t="s">
        <v>11528</v>
      </c>
      <c r="B3780" s="4">
        <v>72217000</v>
      </c>
    </row>
    <row r="3781" customHeight="1" spans="1:2">
      <c r="A3781" s="3" t="s">
        <v>21980</v>
      </c>
      <c r="B3781" s="4"/>
    </row>
    <row r="3782" customHeight="1" spans="1:2">
      <c r="A3782" s="3" t="s">
        <v>1577</v>
      </c>
      <c r="B3782" s="4">
        <v>55350897</v>
      </c>
    </row>
    <row r="3783" customHeight="1" spans="1:2">
      <c r="A3783" s="3" t="s">
        <v>15744</v>
      </c>
      <c r="B3783" s="4">
        <v>1705139</v>
      </c>
    </row>
    <row r="3784" customHeight="1" spans="1:2">
      <c r="A3784" s="3" t="s">
        <v>9369</v>
      </c>
      <c r="B3784" s="4">
        <v>13491653</v>
      </c>
    </row>
    <row r="3785" customHeight="1" spans="1:2">
      <c r="A3785" s="3" t="s">
        <v>20140</v>
      </c>
      <c r="B3785" s="4">
        <v>3000000</v>
      </c>
    </row>
    <row r="3786" customHeight="1" spans="1:2">
      <c r="A3786" s="3" t="s">
        <v>2108</v>
      </c>
      <c r="B3786" s="4">
        <v>35324232</v>
      </c>
    </row>
    <row r="3787" customHeight="1" spans="1:2">
      <c r="A3787" s="3" t="s">
        <v>15819</v>
      </c>
      <c r="B3787" s="4"/>
    </row>
    <row r="3788" customHeight="1" spans="1:2">
      <c r="A3788" s="3" t="s">
        <v>752</v>
      </c>
      <c r="B3788" s="4">
        <v>81638674</v>
      </c>
    </row>
    <row r="3789" customHeight="1" spans="1:2">
      <c r="A3789" s="3" t="s">
        <v>4481</v>
      </c>
      <c r="B3789" s="4">
        <v>26814957</v>
      </c>
    </row>
    <row r="3790" customHeight="1" spans="1:2">
      <c r="A3790" s="3" t="s">
        <v>5914</v>
      </c>
      <c r="B3790" s="4">
        <v>58715510</v>
      </c>
    </row>
    <row r="3791" customHeight="1" spans="1:2">
      <c r="A3791" s="3" t="s">
        <v>13383</v>
      </c>
      <c r="B3791" s="4">
        <v>13751</v>
      </c>
    </row>
    <row r="3792" customHeight="1" spans="1:2">
      <c r="A3792" s="3" t="s">
        <v>12222</v>
      </c>
      <c r="B3792" s="4"/>
    </row>
    <row r="3793" customHeight="1" spans="1:2">
      <c r="A3793" s="3" t="s">
        <v>20976</v>
      </c>
      <c r="B3793" s="4"/>
    </row>
    <row r="3794" customHeight="1" spans="1:2">
      <c r="A3794" s="3" t="s">
        <v>9891</v>
      </c>
      <c r="B3794" s="4">
        <v>20627372</v>
      </c>
    </row>
    <row r="3795" customHeight="1" spans="1:2">
      <c r="A3795" s="3" t="s">
        <v>5958</v>
      </c>
      <c r="B3795" s="4">
        <v>50300000</v>
      </c>
    </row>
    <row r="3796" customHeight="1" spans="1:2">
      <c r="A3796" s="3" t="s">
        <v>6226</v>
      </c>
      <c r="B3796" s="4">
        <v>14334645</v>
      </c>
    </row>
    <row r="3797" customHeight="1" spans="1:2">
      <c r="A3797" s="3" t="s">
        <v>11519</v>
      </c>
      <c r="B3797" s="4">
        <v>79817937</v>
      </c>
    </row>
    <row r="3798" customHeight="1" spans="1:2">
      <c r="A3798" s="3" t="s">
        <v>10368</v>
      </c>
      <c r="B3798" s="4">
        <v>21468807</v>
      </c>
    </row>
    <row r="3799" customHeight="1" spans="1:2">
      <c r="A3799" s="3" t="s">
        <v>20343</v>
      </c>
      <c r="B3799" s="4"/>
    </row>
    <row r="3800" customHeight="1" spans="1:2">
      <c r="A3800" s="3" t="s">
        <v>21704</v>
      </c>
      <c r="B3800" s="4"/>
    </row>
    <row r="3801" customHeight="1" spans="1:2">
      <c r="A3801" s="3" t="s">
        <v>20091</v>
      </c>
      <c r="B3801" s="4"/>
    </row>
    <row r="3802" customHeight="1" spans="1:2">
      <c r="A3802" s="3" t="s">
        <v>9003</v>
      </c>
      <c r="B3802" s="4"/>
    </row>
    <row r="3803" customHeight="1" spans="1:2">
      <c r="A3803" s="3" t="s">
        <v>18799</v>
      </c>
      <c r="B3803" s="4">
        <v>49000</v>
      </c>
    </row>
    <row r="3804" customHeight="1" spans="1:2">
      <c r="A3804" s="3" t="s">
        <v>7989</v>
      </c>
      <c r="B3804" s="4">
        <v>46700000</v>
      </c>
    </row>
    <row r="3805" customHeight="1" spans="1:2">
      <c r="A3805" s="3" t="s">
        <v>1424</v>
      </c>
      <c r="B3805" s="4">
        <v>155019340</v>
      </c>
    </row>
    <row r="3806" customHeight="1" spans="1:2">
      <c r="A3806" s="3" t="s">
        <v>12481</v>
      </c>
      <c r="B3806" s="4">
        <v>16033556</v>
      </c>
    </row>
    <row r="3807" customHeight="1" spans="1:2">
      <c r="A3807" s="3" t="s">
        <v>2198</v>
      </c>
      <c r="B3807" s="4">
        <v>100468793</v>
      </c>
    </row>
    <row r="3808" customHeight="1" spans="1:2">
      <c r="A3808" s="3" t="s">
        <v>10783</v>
      </c>
      <c r="B3808" s="4">
        <v>70906973</v>
      </c>
    </row>
    <row r="3809" customHeight="1" spans="1:2">
      <c r="A3809" s="3" t="s">
        <v>17219</v>
      </c>
      <c r="B3809" s="4">
        <v>33386128</v>
      </c>
    </row>
    <row r="3810" customHeight="1" spans="1:2">
      <c r="A3810" s="3" t="s">
        <v>17991</v>
      </c>
      <c r="B3810" s="4"/>
    </row>
    <row r="3811" customHeight="1" spans="1:2">
      <c r="A3811" s="3" t="s">
        <v>5260</v>
      </c>
      <c r="B3811" s="4">
        <v>34531832</v>
      </c>
    </row>
    <row r="3812" customHeight="1" spans="1:2">
      <c r="A3812" s="3" t="s">
        <v>5973</v>
      </c>
      <c r="B3812" s="4">
        <v>50921738</v>
      </c>
    </row>
    <row r="3813" customHeight="1" spans="1:2">
      <c r="A3813" s="3" t="s">
        <v>14389</v>
      </c>
      <c r="B3813" s="4">
        <v>236266</v>
      </c>
    </row>
    <row r="3814" customHeight="1" spans="1:2">
      <c r="A3814" s="3" t="s">
        <v>6294</v>
      </c>
      <c r="B3814" s="4">
        <v>668171</v>
      </c>
    </row>
    <row r="3815" customHeight="1" spans="1:2">
      <c r="A3815" s="3" t="s">
        <v>23855</v>
      </c>
      <c r="B3815" s="4"/>
    </row>
    <row r="3816" customHeight="1" spans="1:2">
      <c r="A3816" s="3" t="s">
        <v>8316</v>
      </c>
      <c r="B3816" s="4"/>
    </row>
    <row r="3817" customHeight="1" spans="1:2">
      <c r="A3817" s="3" t="s">
        <v>3256</v>
      </c>
      <c r="B3817" s="4">
        <v>75605492</v>
      </c>
    </row>
    <row r="3818" customHeight="1" spans="1:2">
      <c r="A3818" s="3" t="s">
        <v>16965</v>
      </c>
      <c r="B3818" s="4">
        <v>73678</v>
      </c>
    </row>
    <row r="3819" customHeight="1" spans="1:2">
      <c r="A3819" s="3" t="s">
        <v>6659</v>
      </c>
      <c r="B3819" s="4"/>
    </row>
    <row r="3820" customHeight="1" spans="1:2">
      <c r="A3820" s="3" t="s">
        <v>7854</v>
      </c>
      <c r="B3820" s="4">
        <v>30059386</v>
      </c>
    </row>
    <row r="3821" customHeight="1" spans="1:2">
      <c r="A3821" s="3" t="s">
        <v>9880</v>
      </c>
      <c r="B3821" s="4">
        <v>23213577</v>
      </c>
    </row>
    <row r="3822" customHeight="1" spans="1:2">
      <c r="A3822" s="3" t="s">
        <v>3648</v>
      </c>
      <c r="B3822" s="4">
        <v>528972</v>
      </c>
    </row>
    <row r="3823" customHeight="1" spans="1:2">
      <c r="A3823" s="3" t="s">
        <v>18450</v>
      </c>
      <c r="B3823" s="4"/>
    </row>
    <row r="3824" customHeight="1" spans="1:2">
      <c r="A3824" s="3" t="s">
        <v>14168</v>
      </c>
      <c r="B3824" s="4">
        <v>20257000</v>
      </c>
    </row>
    <row r="3825" customHeight="1" spans="1:2">
      <c r="A3825" s="3" t="s">
        <v>7325</v>
      </c>
      <c r="B3825" s="4">
        <v>11538204</v>
      </c>
    </row>
    <row r="3826" customHeight="1" spans="1:2">
      <c r="A3826" s="3" t="s">
        <v>10934</v>
      </c>
      <c r="B3826" s="4">
        <v>15171475</v>
      </c>
    </row>
    <row r="3827" customHeight="1" spans="1:2">
      <c r="A3827" s="3" t="s">
        <v>19679</v>
      </c>
      <c r="B3827" s="4"/>
    </row>
    <row r="3828" customHeight="1" spans="1:2">
      <c r="A3828" s="3" t="s">
        <v>11678</v>
      </c>
      <c r="B3828" s="4">
        <v>16300302</v>
      </c>
    </row>
    <row r="3829" customHeight="1" spans="1:2">
      <c r="A3829" s="3" t="s">
        <v>6442</v>
      </c>
      <c r="B3829" s="4">
        <v>81350242</v>
      </c>
    </row>
    <row r="3830" customHeight="1" spans="1:2">
      <c r="A3830" s="3" t="s">
        <v>13947</v>
      </c>
      <c r="B3830" s="4">
        <v>12574715</v>
      </c>
    </row>
    <row r="3831" customHeight="1" spans="1:2">
      <c r="A3831" s="3" t="s">
        <v>4582</v>
      </c>
      <c r="B3831" s="4">
        <v>9652000</v>
      </c>
    </row>
    <row r="3832" customHeight="1" spans="1:2">
      <c r="A3832" s="3" t="s">
        <v>12101</v>
      </c>
      <c r="B3832" s="4">
        <v>13214255</v>
      </c>
    </row>
    <row r="3833" customHeight="1" spans="1:2">
      <c r="A3833" s="3" t="s">
        <v>21108</v>
      </c>
      <c r="B3833" s="4"/>
    </row>
    <row r="3834" customHeight="1" spans="1:2">
      <c r="A3834" s="3" t="s">
        <v>17718</v>
      </c>
      <c r="B3834" s="4">
        <v>198407</v>
      </c>
    </row>
    <row r="3835" customHeight="1" spans="1:2">
      <c r="A3835" s="3" t="s">
        <v>10900</v>
      </c>
      <c r="B3835" s="4">
        <v>19900000</v>
      </c>
    </row>
    <row r="3836" customHeight="1" spans="1:2">
      <c r="A3836" s="3" t="s">
        <v>21551</v>
      </c>
      <c r="B3836" s="4"/>
    </row>
    <row r="3837" customHeight="1" spans="1:2">
      <c r="A3837" s="3" t="s">
        <v>8392</v>
      </c>
      <c r="B3837" s="4">
        <v>32014289</v>
      </c>
    </row>
    <row r="3838" customHeight="1" spans="1:2">
      <c r="A3838" s="3" t="s">
        <v>15235</v>
      </c>
      <c r="B3838" s="4">
        <v>50820940</v>
      </c>
    </row>
    <row r="3839" customHeight="1" spans="1:2">
      <c r="A3839" s="3" t="s">
        <v>20113</v>
      </c>
      <c r="B3839" s="4"/>
    </row>
    <row r="3840" customHeight="1" spans="1:2">
      <c r="A3840" s="3" t="s">
        <v>1092</v>
      </c>
      <c r="B3840" s="4">
        <v>11000000</v>
      </c>
    </row>
    <row r="3841" customHeight="1" spans="1:2">
      <c r="A3841" s="3" t="s">
        <v>16963</v>
      </c>
      <c r="B3841" s="4"/>
    </row>
    <row r="3842" customHeight="1" spans="1:2">
      <c r="A3842" s="3" t="s">
        <v>16800</v>
      </c>
      <c r="B3842" s="4">
        <v>9016377</v>
      </c>
    </row>
    <row r="3843" customHeight="1" spans="1:2">
      <c r="A3843" s="3" t="s">
        <v>8223</v>
      </c>
      <c r="B3843" s="4">
        <v>81257845</v>
      </c>
    </row>
    <row r="3844" customHeight="1" spans="1:2">
      <c r="A3844" s="3" t="s">
        <v>1024</v>
      </c>
      <c r="B3844" s="4">
        <v>86897182</v>
      </c>
    </row>
    <row r="3845" customHeight="1" spans="1:2">
      <c r="A3845" s="3" t="s">
        <v>7039</v>
      </c>
      <c r="B3845" s="4">
        <v>44700000</v>
      </c>
    </row>
    <row r="3846" customHeight="1" spans="1:2">
      <c r="A3846" s="3" t="s">
        <v>13621</v>
      </c>
      <c r="B3846" s="4">
        <v>34963967</v>
      </c>
    </row>
    <row r="3847" customHeight="1" spans="1:2">
      <c r="A3847" s="3" t="s">
        <v>18745</v>
      </c>
      <c r="B3847" s="4">
        <v>548712</v>
      </c>
    </row>
    <row r="3848" customHeight="1" spans="1:2">
      <c r="A3848" s="3" t="s">
        <v>3719</v>
      </c>
      <c r="B3848" s="4">
        <v>92115211</v>
      </c>
    </row>
    <row r="3849" customHeight="1" spans="1:2">
      <c r="A3849" s="3" t="s">
        <v>22446</v>
      </c>
      <c r="B3849" s="4"/>
    </row>
    <row r="3850" customHeight="1" spans="1:2">
      <c r="A3850" s="3" t="s">
        <v>12426</v>
      </c>
      <c r="B3850" s="4">
        <v>20338609</v>
      </c>
    </row>
    <row r="3851" customHeight="1" spans="1:2">
      <c r="A3851" s="3" t="s">
        <v>7734</v>
      </c>
      <c r="B3851" s="4">
        <v>6109075</v>
      </c>
    </row>
    <row r="3852" customHeight="1" spans="1:2">
      <c r="A3852" s="3" t="s">
        <v>11904</v>
      </c>
      <c r="B3852" s="4"/>
    </row>
    <row r="3853" customHeight="1" spans="1:2">
      <c r="A3853" s="3" t="s">
        <v>18309</v>
      </c>
      <c r="B3853" s="4"/>
    </row>
    <row r="3854" customHeight="1" spans="1:2">
      <c r="A3854" s="3" t="s">
        <v>10290</v>
      </c>
      <c r="B3854" s="4">
        <v>30259652</v>
      </c>
    </row>
    <row r="3855" customHeight="1" spans="1:2">
      <c r="A3855" s="3" t="s">
        <v>20213</v>
      </c>
      <c r="B3855" s="4"/>
    </row>
    <row r="3856" customHeight="1" spans="1:2">
      <c r="A3856" s="3" t="s">
        <v>11470</v>
      </c>
      <c r="B3856" s="4">
        <v>4157491</v>
      </c>
    </row>
    <row r="3857" customHeight="1" spans="1:2">
      <c r="A3857" s="3" t="s">
        <v>12619</v>
      </c>
      <c r="B3857" s="4"/>
    </row>
    <row r="3858" customHeight="1" spans="1:2">
      <c r="A3858" s="3" t="s">
        <v>21873</v>
      </c>
      <c r="B3858" s="4"/>
    </row>
    <row r="3859" customHeight="1" spans="1:2">
      <c r="A3859" s="3" t="s">
        <v>15596</v>
      </c>
      <c r="B3859" s="4">
        <v>240425</v>
      </c>
    </row>
    <row r="3860" customHeight="1" spans="1:2">
      <c r="A3860" s="3" t="s">
        <v>17919</v>
      </c>
      <c r="B3860" s="4">
        <v>5709616</v>
      </c>
    </row>
    <row r="3861" customHeight="1" spans="1:2">
      <c r="A3861" s="3" t="s">
        <v>21461</v>
      </c>
      <c r="B3861" s="4"/>
    </row>
    <row r="3862" customHeight="1" spans="1:2">
      <c r="A3862" s="3" t="s">
        <v>23576</v>
      </c>
      <c r="B3862" s="4"/>
    </row>
    <row r="3863" customHeight="1" spans="1:2">
      <c r="A3863" s="3" t="s">
        <v>16884</v>
      </c>
      <c r="B3863" s="4">
        <v>2912363</v>
      </c>
    </row>
    <row r="3864" customHeight="1" spans="1:2">
      <c r="A3864" s="3" t="s">
        <v>22550</v>
      </c>
      <c r="B3864" s="4"/>
    </row>
    <row r="3865" customHeight="1" spans="1:2">
      <c r="A3865" s="3" t="s">
        <v>17812</v>
      </c>
      <c r="B3865" s="4"/>
    </row>
    <row r="3866" customHeight="1" spans="1:2">
      <c r="A3866" s="3" t="s">
        <v>16181</v>
      </c>
      <c r="B3866" s="4">
        <v>864959</v>
      </c>
    </row>
    <row r="3867" customHeight="1" spans="1:2">
      <c r="A3867" s="3" t="s">
        <v>23464</v>
      </c>
      <c r="B3867" s="4"/>
    </row>
    <row r="3868" customHeight="1" spans="1:2">
      <c r="A3868" s="3" t="s">
        <v>20514</v>
      </c>
      <c r="B3868" s="4"/>
    </row>
    <row r="3869" customHeight="1" spans="1:2">
      <c r="A3869" s="3" t="s">
        <v>6421</v>
      </c>
      <c r="B3869" s="4">
        <v>100491683</v>
      </c>
    </row>
    <row r="3870" customHeight="1" spans="1:2">
      <c r="A3870" s="3" t="s">
        <v>11795</v>
      </c>
      <c r="B3870" s="4">
        <v>3148482</v>
      </c>
    </row>
    <row r="3871" customHeight="1" spans="1:2">
      <c r="A3871" s="3" t="s">
        <v>9330</v>
      </c>
      <c r="B3871" s="4">
        <v>17071230</v>
      </c>
    </row>
    <row r="3872" customHeight="1" spans="1:2">
      <c r="A3872" s="3" t="s">
        <v>7569</v>
      </c>
      <c r="B3872" s="4">
        <v>32416109</v>
      </c>
    </row>
    <row r="3873" customHeight="1" spans="1:2">
      <c r="A3873" s="3" t="s">
        <v>20869</v>
      </c>
      <c r="B3873" s="4"/>
    </row>
    <row r="3874" customHeight="1" spans="1:2">
      <c r="A3874" s="3" t="s">
        <v>10884</v>
      </c>
      <c r="B3874" s="4">
        <v>29959436</v>
      </c>
    </row>
    <row r="3875" customHeight="1" spans="1:2">
      <c r="A3875" s="3" t="s">
        <v>6384</v>
      </c>
      <c r="B3875" s="4"/>
    </row>
    <row r="3876" customHeight="1" spans="1:2">
      <c r="A3876" s="3" t="s">
        <v>190</v>
      </c>
      <c r="B3876" s="4">
        <v>237282182</v>
      </c>
    </row>
    <row r="3877" customHeight="1" spans="1:2">
      <c r="A3877" s="3" t="s">
        <v>16951</v>
      </c>
      <c r="B3877" s="4">
        <v>418268</v>
      </c>
    </row>
    <row r="3878" customHeight="1" spans="1:2">
      <c r="A3878" s="3" t="s">
        <v>8583</v>
      </c>
      <c r="B3878" s="4">
        <v>18352454</v>
      </c>
    </row>
    <row r="3879" customHeight="1" spans="1:2">
      <c r="A3879" s="3" t="s">
        <v>23041</v>
      </c>
      <c r="B3879" s="4"/>
    </row>
    <row r="3880" customHeight="1" spans="1:2">
      <c r="A3880" s="3" t="s">
        <v>671</v>
      </c>
      <c r="B3880" s="4">
        <v>124976634</v>
      </c>
    </row>
    <row r="3881" customHeight="1" spans="1:2">
      <c r="A3881" s="3" t="s">
        <v>5113</v>
      </c>
      <c r="B3881" s="4">
        <v>49474048</v>
      </c>
    </row>
    <row r="3882" customHeight="1" spans="1:2">
      <c r="A3882" s="3" t="s">
        <v>16810</v>
      </c>
      <c r="B3882" s="4"/>
    </row>
    <row r="3883" customHeight="1" spans="1:2">
      <c r="A3883" s="3" t="s">
        <v>10692</v>
      </c>
      <c r="B3883" s="4">
        <v>529766</v>
      </c>
    </row>
    <row r="3884" customHeight="1" spans="1:2">
      <c r="A3884" s="3" t="s">
        <v>23344</v>
      </c>
      <c r="B3884" s="4"/>
    </row>
    <row r="3885" customHeight="1" spans="1:2">
      <c r="A3885" s="3" t="s">
        <v>11103</v>
      </c>
      <c r="B3885" s="4">
        <v>447093</v>
      </c>
    </row>
    <row r="3886" customHeight="1" spans="1:2">
      <c r="A3886" s="3" t="s">
        <v>8296</v>
      </c>
      <c r="B3886" s="4">
        <v>52066000</v>
      </c>
    </row>
    <row r="3887" customHeight="1" spans="1:2">
      <c r="A3887" s="3" t="s">
        <v>23262</v>
      </c>
      <c r="B3887" s="4"/>
    </row>
    <row r="3888" customHeight="1" spans="1:2">
      <c r="A3888" s="3" t="s">
        <v>5069</v>
      </c>
      <c r="B3888" s="4">
        <v>54132596</v>
      </c>
    </row>
    <row r="3889" customHeight="1" spans="1:2">
      <c r="A3889" s="3" t="s">
        <v>1822</v>
      </c>
      <c r="B3889" s="4">
        <v>22751979</v>
      </c>
    </row>
    <row r="3890" customHeight="1" spans="1:2">
      <c r="A3890" s="3" t="s">
        <v>12063</v>
      </c>
      <c r="B3890" s="4">
        <v>11501093</v>
      </c>
    </row>
    <row r="3891" customHeight="1" spans="1:2">
      <c r="A3891" s="3" t="s">
        <v>8374</v>
      </c>
      <c r="B3891" s="4">
        <v>33422556</v>
      </c>
    </row>
    <row r="3892" customHeight="1" spans="1:2">
      <c r="A3892" s="3" t="s">
        <v>20533</v>
      </c>
      <c r="B3892" s="4"/>
    </row>
    <row r="3893" customHeight="1" spans="1:2">
      <c r="A3893" s="3" t="s">
        <v>1128</v>
      </c>
      <c r="B3893" s="4">
        <v>125305545</v>
      </c>
    </row>
    <row r="3894" customHeight="1" spans="1:2">
      <c r="A3894" s="3" t="s">
        <v>22761</v>
      </c>
      <c r="B3894" s="4"/>
    </row>
    <row r="3895" customHeight="1" spans="1:2">
      <c r="A3895" s="3" t="s">
        <v>3422</v>
      </c>
      <c r="B3895" s="4">
        <v>27667947</v>
      </c>
    </row>
    <row r="3896" customHeight="1" spans="1:2">
      <c r="A3896" s="3" t="s">
        <v>12397</v>
      </c>
      <c r="B3896" s="4"/>
    </row>
    <row r="3897" customHeight="1" spans="1:2">
      <c r="A3897" s="3" t="s">
        <v>11480</v>
      </c>
      <c r="B3897" s="4">
        <v>1227324</v>
      </c>
    </row>
    <row r="3898" customHeight="1" spans="1:2">
      <c r="A3898" s="3" t="s">
        <v>8788</v>
      </c>
      <c r="B3898" s="4">
        <v>8054280</v>
      </c>
    </row>
    <row r="3899" customHeight="1" spans="1:2">
      <c r="A3899" s="3" t="s">
        <v>16296</v>
      </c>
      <c r="B3899" s="4">
        <v>4063</v>
      </c>
    </row>
    <row r="3900" customHeight="1" spans="1:2">
      <c r="A3900" s="3" t="s">
        <v>22967</v>
      </c>
      <c r="B3900" s="4"/>
    </row>
    <row r="3901" customHeight="1" spans="1:2">
      <c r="A3901" s="3" t="s">
        <v>23570</v>
      </c>
      <c r="B3901" s="4"/>
    </row>
    <row r="3902" customHeight="1" spans="1:2">
      <c r="A3902" s="3" t="s">
        <v>11315</v>
      </c>
      <c r="B3902" s="4">
        <v>4857376</v>
      </c>
    </row>
    <row r="3903" customHeight="1" spans="1:2">
      <c r="A3903" s="3" t="s">
        <v>20828</v>
      </c>
      <c r="B3903" s="4"/>
    </row>
    <row r="3904" customHeight="1" spans="1:2">
      <c r="A3904" s="3" t="s">
        <v>13094</v>
      </c>
      <c r="B3904" s="4"/>
    </row>
    <row r="3905" customHeight="1" spans="1:2">
      <c r="A3905" s="3" t="s">
        <v>18498</v>
      </c>
      <c r="B3905" s="4">
        <v>6013</v>
      </c>
    </row>
    <row r="3906" customHeight="1" spans="1:2">
      <c r="A3906" s="3" t="s">
        <v>20459</v>
      </c>
      <c r="B3906" s="4"/>
    </row>
    <row r="3907" customHeight="1" spans="1:2">
      <c r="A3907" s="3" t="s">
        <v>7689</v>
      </c>
      <c r="B3907" s="4">
        <v>12189514</v>
      </c>
    </row>
    <row r="3908" customHeight="1" spans="1:2">
      <c r="A3908" s="3" t="s">
        <v>121</v>
      </c>
      <c r="B3908" s="4">
        <v>234360014</v>
      </c>
    </row>
    <row r="3909" customHeight="1" spans="1:2">
      <c r="A3909" s="3" t="s">
        <v>15999</v>
      </c>
      <c r="B3909" s="4"/>
    </row>
    <row r="3910" customHeight="1" spans="1:2">
      <c r="A3910" s="3" t="s">
        <v>23441</v>
      </c>
      <c r="B3910" s="4"/>
    </row>
    <row r="3911" customHeight="1" spans="1:2">
      <c r="A3911" s="3" t="s">
        <v>2196</v>
      </c>
      <c r="B3911" s="4">
        <v>148775460</v>
      </c>
    </row>
    <row r="3912" customHeight="1" spans="1:2">
      <c r="A3912" s="3" t="s">
        <v>23214</v>
      </c>
      <c r="B3912" s="4"/>
    </row>
    <row r="3913" customHeight="1" spans="1:2">
      <c r="A3913" s="3" t="s">
        <v>21341</v>
      </c>
      <c r="B3913" s="4"/>
    </row>
    <row r="3914" customHeight="1" spans="1:2">
      <c r="A3914" s="3" t="s">
        <v>1308</v>
      </c>
      <c r="B3914" s="4">
        <v>63224849</v>
      </c>
    </row>
    <row r="3915" customHeight="1" spans="1:2">
      <c r="A3915" s="3" t="s">
        <v>18026</v>
      </c>
      <c r="B3915" s="4"/>
    </row>
    <row r="3916" customHeight="1" spans="1:2">
      <c r="A3916" s="3" t="s">
        <v>20096</v>
      </c>
      <c r="B3916" s="4">
        <v>6706368</v>
      </c>
    </row>
    <row r="3917" customHeight="1" spans="1:2">
      <c r="A3917" s="3" t="s">
        <v>12831</v>
      </c>
      <c r="B3917" s="4">
        <v>836641</v>
      </c>
    </row>
    <row r="3918" customHeight="1" spans="1:2">
      <c r="A3918" s="3" t="s">
        <v>17314</v>
      </c>
      <c r="B3918" s="4">
        <v>75727</v>
      </c>
    </row>
    <row r="3919" customHeight="1" spans="1:2">
      <c r="A3919" s="3" t="s">
        <v>11843</v>
      </c>
      <c r="B3919" s="4">
        <v>860002</v>
      </c>
    </row>
    <row r="3920" customHeight="1" spans="1:2">
      <c r="A3920" s="3" t="s">
        <v>9227</v>
      </c>
      <c r="B3920" s="4">
        <v>52691009</v>
      </c>
    </row>
    <row r="3921" customHeight="1" spans="1:2">
      <c r="A3921" s="3" t="s">
        <v>23591</v>
      </c>
      <c r="B3921" s="4"/>
    </row>
    <row r="3922" customHeight="1" spans="1:2">
      <c r="A3922" s="3" t="s">
        <v>11290</v>
      </c>
      <c r="B3922" s="4">
        <v>9975684</v>
      </c>
    </row>
    <row r="3923" customHeight="1" spans="1:2">
      <c r="A3923" s="3" t="s">
        <v>4249</v>
      </c>
      <c r="B3923" s="4">
        <v>70163652</v>
      </c>
    </row>
    <row r="3924" customHeight="1" spans="1:2">
      <c r="A3924" s="3" t="s">
        <v>21071</v>
      </c>
      <c r="B3924" s="4"/>
    </row>
    <row r="3925" customHeight="1" spans="1:2">
      <c r="A3925" s="3" t="s">
        <v>3839</v>
      </c>
      <c r="B3925" s="4">
        <v>27400000</v>
      </c>
    </row>
    <row r="3926" customHeight="1" spans="1:2">
      <c r="A3926" s="3" t="s">
        <v>6021</v>
      </c>
      <c r="B3926" s="4">
        <v>40137776</v>
      </c>
    </row>
    <row r="3927" customHeight="1" spans="1:2">
      <c r="A3927" s="3" t="s">
        <v>3261</v>
      </c>
      <c r="B3927" s="4">
        <v>67823573</v>
      </c>
    </row>
    <row r="3928" customHeight="1" spans="1:2">
      <c r="A3928" s="3" t="s">
        <v>15920</v>
      </c>
      <c r="B3928" s="4"/>
    </row>
    <row r="3929" customHeight="1" spans="1:2">
      <c r="A3929" s="3" t="s">
        <v>488</v>
      </c>
      <c r="B3929" s="4">
        <v>5755286</v>
      </c>
    </row>
    <row r="3930" customHeight="1" spans="1:2">
      <c r="A3930" s="3" t="s">
        <v>14234</v>
      </c>
      <c r="B3930" s="4">
        <v>304360277</v>
      </c>
    </row>
    <row r="3931" customHeight="1" spans="1:2">
      <c r="A3931" s="3" t="s">
        <v>21491</v>
      </c>
      <c r="B3931" s="4"/>
    </row>
    <row r="3932" customHeight="1" spans="1:2">
      <c r="A3932" s="3" t="s">
        <v>959</v>
      </c>
      <c r="B3932" s="4">
        <v>27098580</v>
      </c>
    </row>
    <row r="3933" customHeight="1" spans="1:2">
      <c r="A3933" s="3" t="s">
        <v>9054</v>
      </c>
      <c r="B3933" s="4">
        <v>27758465</v>
      </c>
    </row>
    <row r="3934" customHeight="1" spans="1:2">
      <c r="A3934" s="3" t="s">
        <v>11549</v>
      </c>
      <c r="B3934" s="4">
        <v>70011073</v>
      </c>
    </row>
    <row r="3935" customHeight="1" spans="1:2">
      <c r="A3935" s="3" t="s">
        <v>23274</v>
      </c>
      <c r="B3935" s="4"/>
    </row>
    <row r="3936" customHeight="1" spans="1:2">
      <c r="A3936" s="3" t="s">
        <v>21768</v>
      </c>
      <c r="B3936" s="4"/>
    </row>
    <row r="3937" customHeight="1" spans="1:2">
      <c r="A3937" s="3" t="s">
        <v>13952</v>
      </c>
      <c r="B3937" s="4">
        <v>10281585</v>
      </c>
    </row>
    <row r="3938" customHeight="1" spans="1:2">
      <c r="A3938" s="3" t="s">
        <v>23701</v>
      </c>
      <c r="B3938" s="4"/>
    </row>
    <row r="3939" customHeight="1" spans="1:2">
      <c r="A3939" s="3" t="s">
        <v>16194</v>
      </c>
      <c r="B3939" s="4">
        <v>562059</v>
      </c>
    </row>
    <row r="3940" customHeight="1" spans="1:2">
      <c r="A3940" s="3" t="s">
        <v>1347</v>
      </c>
      <c r="B3940" s="4">
        <v>44606335</v>
      </c>
    </row>
    <row r="3941" customHeight="1" spans="1:2">
      <c r="A3941" s="3" t="s">
        <v>16405</v>
      </c>
      <c r="B3941" s="4">
        <v>45857453</v>
      </c>
    </row>
    <row r="3942" customHeight="1" spans="1:2">
      <c r="A3942" s="3" t="s">
        <v>11590</v>
      </c>
      <c r="B3942" s="4">
        <v>54724272</v>
      </c>
    </row>
    <row r="3943" customHeight="1" spans="1:2">
      <c r="A3943" s="3" t="s">
        <v>22737</v>
      </c>
      <c r="B3943" s="4"/>
    </row>
    <row r="3944" customHeight="1" spans="1:2">
      <c r="A3944" s="3" t="s">
        <v>601</v>
      </c>
      <c r="B3944" s="4">
        <v>113733726</v>
      </c>
    </row>
    <row r="3945" customHeight="1" spans="1:2">
      <c r="A3945" s="3" t="s">
        <v>5206</v>
      </c>
      <c r="B3945" s="4">
        <v>30669413</v>
      </c>
    </row>
    <row r="3946" customHeight="1" spans="1:2">
      <c r="A3946" s="3" t="s">
        <v>8993</v>
      </c>
      <c r="B3946" s="4"/>
    </row>
    <row r="3947" customHeight="1" spans="1:2">
      <c r="A3947" s="3" t="s">
        <v>2982</v>
      </c>
      <c r="B3947" s="4">
        <v>11466088</v>
      </c>
    </row>
    <row r="3948" customHeight="1" spans="1:2">
      <c r="A3948" s="3" t="s">
        <v>12327</v>
      </c>
      <c r="B3948" s="4">
        <v>33583175</v>
      </c>
    </row>
    <row r="3949" customHeight="1" spans="1:2">
      <c r="A3949" s="3" t="s">
        <v>23099</v>
      </c>
      <c r="B3949" s="4"/>
    </row>
    <row r="3950" customHeight="1" spans="1:2">
      <c r="A3950" s="3" t="s">
        <v>19146</v>
      </c>
      <c r="B3950" s="4">
        <v>77501</v>
      </c>
    </row>
    <row r="3951" customHeight="1" spans="1:2">
      <c r="A3951" s="3" t="s">
        <v>23011</v>
      </c>
      <c r="B3951" s="4"/>
    </row>
    <row r="3952" customHeight="1" spans="1:2">
      <c r="A3952" s="3" t="s">
        <v>16539</v>
      </c>
      <c r="B3952" s="4"/>
    </row>
    <row r="3953" customHeight="1" spans="1:2">
      <c r="A3953" s="3" t="s">
        <v>6770</v>
      </c>
      <c r="B3953" s="4"/>
    </row>
    <row r="3954" customHeight="1" spans="1:2">
      <c r="A3954" s="3" t="s">
        <v>6099</v>
      </c>
      <c r="B3954" s="4">
        <v>26687172</v>
      </c>
    </row>
    <row r="3955" customHeight="1" spans="1:2">
      <c r="A3955" s="3" t="s">
        <v>7215</v>
      </c>
      <c r="B3955" s="4">
        <v>23527955</v>
      </c>
    </row>
    <row r="3956" customHeight="1" spans="1:2">
      <c r="A3956" s="3" t="s">
        <v>2544</v>
      </c>
      <c r="B3956" s="4">
        <v>62401264</v>
      </c>
    </row>
    <row r="3957" customHeight="1" spans="1:2">
      <c r="A3957" s="3" t="s">
        <v>18924</v>
      </c>
      <c r="B3957" s="4"/>
    </row>
    <row r="3958" customHeight="1" spans="1:2">
      <c r="A3958" s="3" t="s">
        <v>19613</v>
      </c>
      <c r="B3958" s="4">
        <v>1689999</v>
      </c>
    </row>
    <row r="3959" customHeight="1" spans="1:2">
      <c r="A3959" s="3" t="s">
        <v>1673</v>
      </c>
      <c r="B3959" s="4">
        <v>67286731</v>
      </c>
    </row>
    <row r="3960" customHeight="1" spans="1:2">
      <c r="A3960" s="3" t="s">
        <v>129</v>
      </c>
      <c r="B3960" s="4">
        <v>245428137</v>
      </c>
    </row>
    <row r="3961" customHeight="1" spans="1:2">
      <c r="A3961" s="3" t="s">
        <v>5897</v>
      </c>
      <c r="B3961" s="4">
        <v>58328680</v>
      </c>
    </row>
    <row r="3962" customHeight="1" spans="1:2">
      <c r="A3962" s="3" t="s">
        <v>18379</v>
      </c>
      <c r="B3962" s="4">
        <v>18488314</v>
      </c>
    </row>
    <row r="3963" customHeight="1" spans="1:2">
      <c r="A3963" s="3" t="s">
        <v>23430</v>
      </c>
      <c r="B3963" s="4"/>
    </row>
    <row r="3964" customHeight="1" spans="1:2">
      <c r="A3964" s="3" t="s">
        <v>20351</v>
      </c>
      <c r="B3964" s="4"/>
    </row>
    <row r="3965" customHeight="1" spans="1:2">
      <c r="A3965" s="3" t="s">
        <v>17851</v>
      </c>
      <c r="B3965" s="4"/>
    </row>
    <row r="3966" customHeight="1" spans="1:2">
      <c r="A3966" s="3" t="s">
        <v>4366</v>
      </c>
      <c r="B3966" s="4">
        <v>46012734</v>
      </c>
    </row>
    <row r="3967" customHeight="1" spans="1:2">
      <c r="A3967" s="3" t="s">
        <v>4482</v>
      </c>
      <c r="B3967" s="4">
        <v>25178165</v>
      </c>
    </row>
    <row r="3968" customHeight="1" spans="1:2">
      <c r="A3968" s="3" t="s">
        <v>19512</v>
      </c>
      <c r="B3968" s="4"/>
    </row>
    <row r="3969" customHeight="1" spans="1:2">
      <c r="A3969" s="3" t="s">
        <v>21216</v>
      </c>
      <c r="B3969" s="4"/>
    </row>
    <row r="3970" customHeight="1" spans="1:2">
      <c r="A3970" s="3" t="s">
        <v>925</v>
      </c>
      <c r="B3970" s="4">
        <v>173005002</v>
      </c>
    </row>
    <row r="3971" customHeight="1" spans="1:2">
      <c r="A3971" s="3" t="s">
        <v>1158</v>
      </c>
      <c r="B3971" s="4">
        <v>85884815</v>
      </c>
    </row>
    <row r="3972" customHeight="1" spans="1:2">
      <c r="A3972" s="3" t="s">
        <v>23191</v>
      </c>
      <c r="B3972" s="4"/>
    </row>
    <row r="3973" customHeight="1" spans="1:2">
      <c r="A3973" s="3" t="s">
        <v>1053</v>
      </c>
      <c r="B3973" s="4">
        <v>377019252</v>
      </c>
    </row>
    <row r="3974" customHeight="1" spans="1:2">
      <c r="A3974" s="3" t="s">
        <v>3527</v>
      </c>
      <c r="B3974" s="4">
        <v>6471394</v>
      </c>
    </row>
    <row r="3975" customHeight="1" spans="1:2">
      <c r="A3975" s="3" t="s">
        <v>10568</v>
      </c>
      <c r="B3975" s="4">
        <v>6409206</v>
      </c>
    </row>
    <row r="3976" customHeight="1" spans="1:2">
      <c r="A3976" s="3" t="s">
        <v>21054</v>
      </c>
      <c r="B3976" s="4"/>
    </row>
    <row r="3977" customHeight="1" spans="1:2">
      <c r="A3977" s="3" t="s">
        <v>23848</v>
      </c>
      <c r="B3977" s="4"/>
    </row>
    <row r="3978" customHeight="1" spans="1:2">
      <c r="A3978" s="3" t="s">
        <v>1179</v>
      </c>
      <c r="B3978" s="4">
        <v>78616689</v>
      </c>
    </row>
    <row r="3979" customHeight="1" spans="1:2">
      <c r="A3979" s="3" t="s">
        <v>23358</v>
      </c>
      <c r="B3979" s="4"/>
    </row>
    <row r="3980" customHeight="1" spans="1:2">
      <c r="A3980" s="3" t="s">
        <v>23338</v>
      </c>
      <c r="B3980" s="4"/>
    </row>
    <row r="3981" customHeight="1" spans="1:2">
      <c r="A3981" s="3" t="s">
        <v>10232</v>
      </c>
      <c r="B3981" s="4">
        <v>39100956</v>
      </c>
    </row>
    <row r="3982" customHeight="1" spans="1:2">
      <c r="A3982" s="3" t="s">
        <v>1365</v>
      </c>
      <c r="B3982" s="4">
        <v>31111260</v>
      </c>
    </row>
    <row r="3983" customHeight="1" spans="1:2">
      <c r="A3983" s="3" t="s">
        <v>4724</v>
      </c>
      <c r="B3983" s="4">
        <v>58700247</v>
      </c>
    </row>
    <row r="3984" customHeight="1" spans="1:2">
      <c r="A3984" s="3" t="s">
        <v>5776</v>
      </c>
      <c r="B3984" s="4">
        <v>125014030</v>
      </c>
    </row>
    <row r="3985" customHeight="1" spans="1:2">
      <c r="A3985" s="3" t="s">
        <v>14455</v>
      </c>
      <c r="B3985" s="4">
        <v>49526</v>
      </c>
    </row>
    <row r="3986" customHeight="1" spans="1:2">
      <c r="A3986" s="3" t="s">
        <v>7312</v>
      </c>
      <c r="B3986" s="4">
        <v>28831145</v>
      </c>
    </row>
    <row r="3987" customHeight="1" spans="1:2">
      <c r="A3987" s="3" t="s">
        <v>4890</v>
      </c>
      <c r="B3987" s="4">
        <v>42019483</v>
      </c>
    </row>
    <row r="3988" customHeight="1" spans="1:2">
      <c r="A3988" s="3" t="s">
        <v>4957</v>
      </c>
      <c r="B3988" s="4">
        <v>277313371</v>
      </c>
    </row>
    <row r="3989" customHeight="1" spans="1:2">
      <c r="A3989" s="3" t="s">
        <v>7608</v>
      </c>
      <c r="B3989" s="4">
        <v>42880</v>
      </c>
    </row>
    <row r="3990" customHeight="1" spans="1:2">
      <c r="A3990" s="3" t="s">
        <v>6830</v>
      </c>
      <c r="B3990" s="4">
        <v>28501651</v>
      </c>
    </row>
    <row r="3991" customHeight="1" spans="1:2">
      <c r="A3991" s="3" t="s">
        <v>3052</v>
      </c>
      <c r="B3991" s="4">
        <v>45207112</v>
      </c>
    </row>
    <row r="3992" customHeight="1" spans="1:2">
      <c r="A3992" s="3" t="s">
        <v>10586</v>
      </c>
      <c r="B3992" s="4">
        <v>5306447</v>
      </c>
    </row>
    <row r="3993" customHeight="1" spans="1:2">
      <c r="A3993" s="3" t="s">
        <v>12350</v>
      </c>
      <c r="B3993" s="4">
        <v>30651422</v>
      </c>
    </row>
    <row r="3994" customHeight="1" spans="1:2">
      <c r="A3994" s="3" t="s">
        <v>17564</v>
      </c>
      <c r="B3994" s="4">
        <v>3590010</v>
      </c>
    </row>
    <row r="3995" customHeight="1" spans="1:2">
      <c r="A3995" s="3" t="s">
        <v>738</v>
      </c>
      <c r="B3995" s="4">
        <v>40911830</v>
      </c>
    </row>
    <row r="3996" customHeight="1" spans="1:2">
      <c r="A3996" s="3" t="s">
        <v>21710</v>
      </c>
      <c r="B3996" s="4"/>
    </row>
    <row r="3997" customHeight="1" spans="1:2">
      <c r="A3997" s="3" t="s">
        <v>3684</v>
      </c>
      <c r="B3997" s="4">
        <v>92001027</v>
      </c>
    </row>
    <row r="3998" customHeight="1" spans="1:2">
      <c r="A3998" s="3" t="s">
        <v>20767</v>
      </c>
      <c r="B3998" s="4"/>
    </row>
    <row r="3999" customHeight="1" spans="1:2">
      <c r="A3999" s="3" t="s">
        <v>17028</v>
      </c>
      <c r="B3999" s="4"/>
    </row>
    <row r="4000" customHeight="1" spans="1:2">
      <c r="A4000" s="3" t="s">
        <v>902</v>
      </c>
      <c r="B4000" s="4">
        <v>65452312</v>
      </c>
    </row>
    <row r="4001" customHeight="1" spans="1:2">
      <c r="A4001" s="3" t="s">
        <v>22656</v>
      </c>
      <c r="B4001" s="4"/>
    </row>
    <row r="4002" customHeight="1" spans="1:2">
      <c r="A4002" s="3" t="s">
        <v>10409</v>
      </c>
      <c r="B4002" s="4">
        <v>14938570</v>
      </c>
    </row>
    <row r="4003" customHeight="1" spans="1:2">
      <c r="A4003" s="3" t="s">
        <v>23332</v>
      </c>
      <c r="B4003" s="4"/>
    </row>
    <row r="4004" customHeight="1" spans="1:2">
      <c r="A4004" s="3" t="s">
        <v>22412</v>
      </c>
      <c r="B4004" s="4"/>
    </row>
    <row r="4005" customHeight="1" spans="1:2">
      <c r="A4005" s="3" t="s">
        <v>7034</v>
      </c>
      <c r="B4005" s="4">
        <v>47124400</v>
      </c>
    </row>
    <row r="4006" customHeight="1" spans="1:2">
      <c r="A4006" s="3" t="s">
        <v>4568</v>
      </c>
      <c r="B4006" s="4">
        <v>13838130</v>
      </c>
    </row>
    <row r="4007" customHeight="1" spans="1:2">
      <c r="A4007" s="3" t="s">
        <v>23508</v>
      </c>
      <c r="B4007" s="4"/>
    </row>
    <row r="4008" customHeight="1" spans="1:2">
      <c r="A4008" s="3" t="s">
        <v>9798</v>
      </c>
      <c r="B4008" s="4">
        <v>95860116</v>
      </c>
    </row>
    <row r="4009" customHeight="1" spans="1:2">
      <c r="A4009" s="3" t="s">
        <v>9375</v>
      </c>
      <c r="B4009" s="4">
        <v>10494494</v>
      </c>
    </row>
    <row r="4010" customHeight="1" spans="1:2">
      <c r="A4010" s="3" t="s">
        <v>5526</v>
      </c>
      <c r="B4010" s="4">
        <v>33682273</v>
      </c>
    </row>
    <row r="4011" customHeight="1" spans="1:2">
      <c r="A4011" s="3" t="s">
        <v>661</v>
      </c>
      <c r="B4011" s="4">
        <v>182618434</v>
      </c>
    </row>
    <row r="4012" customHeight="1" spans="1:2">
      <c r="A4012" s="3" t="s">
        <v>16558</v>
      </c>
      <c r="B4012" s="4">
        <v>29233</v>
      </c>
    </row>
    <row r="4013" customHeight="1" spans="1:2">
      <c r="A4013" s="3" t="s">
        <v>2069</v>
      </c>
      <c r="B4013" s="4">
        <v>13596911</v>
      </c>
    </row>
    <row r="4014" customHeight="1" spans="1:2">
      <c r="A4014" s="3" t="s">
        <v>6393</v>
      </c>
      <c r="B4014" s="4">
        <v>16930185</v>
      </c>
    </row>
    <row r="4015" customHeight="1" spans="1:2">
      <c r="A4015" s="3" t="s">
        <v>21475</v>
      </c>
      <c r="B4015" s="4"/>
    </row>
    <row r="4016" customHeight="1" spans="1:2">
      <c r="A4016" s="3" t="s">
        <v>19306</v>
      </c>
      <c r="B4016" s="4">
        <v>515005</v>
      </c>
    </row>
    <row r="4017" customHeight="1" spans="1:2">
      <c r="A4017" s="3" t="s">
        <v>9091</v>
      </c>
      <c r="B4017" s="4">
        <v>8600000</v>
      </c>
    </row>
    <row r="4018" customHeight="1" spans="1:2">
      <c r="A4018" s="3" t="s">
        <v>18207</v>
      </c>
      <c r="B4018" s="4"/>
    </row>
    <row r="4019" customHeight="1" spans="1:2">
      <c r="A4019" s="3" t="s">
        <v>11425</v>
      </c>
      <c r="B4019" s="4">
        <v>21078145</v>
      </c>
    </row>
    <row r="4020" customHeight="1" spans="1:2">
      <c r="A4020" s="3" t="s">
        <v>20910</v>
      </c>
      <c r="B4020" s="4"/>
    </row>
    <row r="4021" customHeight="1" spans="1:2">
      <c r="A4021" s="3" t="s">
        <v>16902</v>
      </c>
      <c r="B4021" s="4">
        <v>3105269</v>
      </c>
    </row>
    <row r="4022" customHeight="1" spans="1:2">
      <c r="A4022" s="3" t="s">
        <v>16111</v>
      </c>
      <c r="B4022" s="4"/>
    </row>
    <row r="4023" customHeight="1" spans="1:2">
      <c r="A4023" s="3" t="s">
        <v>3220</v>
      </c>
      <c r="B4023" s="4">
        <v>150315155</v>
      </c>
    </row>
    <row r="4024" customHeight="1" spans="1:2">
      <c r="A4024" s="3" t="s">
        <v>3761</v>
      </c>
      <c r="B4024" s="4">
        <v>65557989</v>
      </c>
    </row>
    <row r="4025" customHeight="1" spans="1:2">
      <c r="A4025" s="3" t="s">
        <v>21942</v>
      </c>
      <c r="B4025" s="4"/>
    </row>
    <row r="4026" customHeight="1" spans="1:2">
      <c r="A4026" s="3" t="s">
        <v>7666</v>
      </c>
      <c r="B4026" s="4">
        <v>15785632</v>
      </c>
    </row>
    <row r="4027" customHeight="1" spans="1:2">
      <c r="A4027" s="3" t="s">
        <v>831</v>
      </c>
      <c r="B4027" s="4">
        <v>58183966</v>
      </c>
    </row>
    <row r="4028" customHeight="1" spans="1:2">
      <c r="A4028" s="3" t="s">
        <v>16952</v>
      </c>
      <c r="B4028" s="4"/>
    </row>
    <row r="4029" customHeight="1" spans="1:2">
      <c r="A4029" s="3" t="s">
        <v>3605</v>
      </c>
      <c r="B4029" s="4">
        <v>47095453</v>
      </c>
    </row>
    <row r="4030" customHeight="1" spans="1:2">
      <c r="A4030" s="3" t="s">
        <v>22661</v>
      </c>
      <c r="B4030" s="4"/>
    </row>
    <row r="4031" customHeight="1" spans="1:2">
      <c r="A4031" s="3" t="s">
        <v>15878</v>
      </c>
      <c r="B4031" s="4">
        <v>713413</v>
      </c>
    </row>
    <row r="4032" customHeight="1" spans="1:2">
      <c r="A4032" s="3" t="s">
        <v>6966</v>
      </c>
      <c r="B4032" s="4">
        <v>71309760</v>
      </c>
    </row>
    <row r="4033" customHeight="1" spans="1:2">
      <c r="A4033" s="3" t="s">
        <v>14701</v>
      </c>
      <c r="B4033" s="4">
        <v>11797927</v>
      </c>
    </row>
    <row r="4034" customHeight="1" spans="1:2">
      <c r="A4034" s="3" t="s">
        <v>22331</v>
      </c>
      <c r="B4034" s="4"/>
    </row>
    <row r="4035" customHeight="1" spans="1:2">
      <c r="A4035" s="3" t="s">
        <v>23578</v>
      </c>
      <c r="B4035" s="4"/>
    </row>
    <row r="4036" customHeight="1" spans="1:2">
      <c r="A4036" s="3" t="s">
        <v>3566</v>
      </c>
      <c r="B4036" s="4">
        <v>197171806</v>
      </c>
    </row>
    <row r="4037" customHeight="1" spans="1:2">
      <c r="A4037" s="3" t="s">
        <v>1804</v>
      </c>
      <c r="B4037" s="4">
        <v>37600435</v>
      </c>
    </row>
    <row r="4038" customHeight="1" spans="1:2">
      <c r="A4038" s="3" t="s">
        <v>16421</v>
      </c>
      <c r="B4038" s="4">
        <v>27900000</v>
      </c>
    </row>
    <row r="4039" customHeight="1" spans="1:2">
      <c r="A4039" s="3" t="s">
        <v>2973</v>
      </c>
      <c r="B4039" s="4">
        <v>25857987</v>
      </c>
    </row>
    <row r="4040" customHeight="1" spans="1:2">
      <c r="A4040" s="3" t="s">
        <v>2445</v>
      </c>
      <c r="B4040" s="4">
        <v>90356857</v>
      </c>
    </row>
    <row r="4041" customHeight="1" spans="1:2">
      <c r="A4041" s="3" t="s">
        <v>13308</v>
      </c>
      <c r="B4041" s="4">
        <v>6047856</v>
      </c>
    </row>
    <row r="4042" customHeight="1" spans="1:2">
      <c r="A4042" s="3" t="s">
        <v>10837</v>
      </c>
      <c r="B4042" s="4"/>
    </row>
    <row r="4043" customHeight="1" spans="1:2">
      <c r="A4043" s="3" t="s">
        <v>23844</v>
      </c>
      <c r="B4043" s="4"/>
    </row>
    <row r="4044" customHeight="1" spans="1:2">
      <c r="A4044" s="3" t="s">
        <v>24150</v>
      </c>
      <c r="B4044" s="4"/>
    </row>
    <row r="4045" customHeight="1" spans="1:2">
      <c r="A4045" s="3" t="s">
        <v>13428</v>
      </c>
      <c r="B4045" s="4">
        <v>171320</v>
      </c>
    </row>
    <row r="4046" customHeight="1" spans="1:2">
      <c r="A4046" s="3" t="s">
        <v>16286</v>
      </c>
      <c r="B4046" s="4"/>
    </row>
    <row r="4047" customHeight="1" spans="1:2">
      <c r="A4047" s="3" t="s">
        <v>3789</v>
      </c>
      <c r="B4047" s="4">
        <v>51019112</v>
      </c>
    </row>
    <row r="4048" customHeight="1" spans="1:2">
      <c r="A4048" s="3" t="s">
        <v>14186</v>
      </c>
      <c r="B4048" s="4">
        <v>16901126</v>
      </c>
    </row>
    <row r="4049" customHeight="1" spans="1:2">
      <c r="A4049" s="3" t="s">
        <v>18485</v>
      </c>
      <c r="B4049" s="4"/>
    </row>
    <row r="4050" customHeight="1" spans="1:2">
      <c r="A4050" s="3" t="s">
        <v>2051</v>
      </c>
      <c r="B4050" s="4">
        <v>19076815</v>
      </c>
    </row>
    <row r="4051" customHeight="1" spans="1:2">
      <c r="A4051" s="3" t="s">
        <v>17957</v>
      </c>
      <c r="B4051" s="4"/>
    </row>
    <row r="4052" customHeight="1" spans="1:2">
      <c r="A4052" s="3" t="s">
        <v>15992</v>
      </c>
      <c r="B4052" s="4">
        <v>31252964</v>
      </c>
    </row>
    <row r="4053" customHeight="1" spans="1:2">
      <c r="A4053" s="3" t="s">
        <v>12719</v>
      </c>
      <c r="B4053" s="4">
        <v>1055654</v>
      </c>
    </row>
    <row r="4054" customHeight="1" spans="1:2">
      <c r="A4054" s="3" t="s">
        <v>18361</v>
      </c>
      <c r="B4054" s="4"/>
    </row>
    <row r="4055" customHeight="1" spans="1:2">
      <c r="A4055" s="3" t="s">
        <v>8375</v>
      </c>
      <c r="B4055" s="4">
        <v>32774834</v>
      </c>
    </row>
    <row r="4056" customHeight="1" spans="1:2">
      <c r="A4056" s="3" t="s">
        <v>19483</v>
      </c>
      <c r="B4056" s="4"/>
    </row>
    <row r="4057" customHeight="1" spans="1:2">
      <c r="A4057" s="3" t="s">
        <v>3180</v>
      </c>
      <c r="B4057" s="4">
        <v>126975169</v>
      </c>
    </row>
    <row r="4058" customHeight="1" spans="1:2">
      <c r="A4058" s="3" t="s">
        <v>5061</v>
      </c>
      <c r="B4058" s="4">
        <v>56876365</v>
      </c>
    </row>
    <row r="4059" customHeight="1" spans="1:2">
      <c r="A4059" s="3" t="s">
        <v>13846</v>
      </c>
      <c r="B4059" s="4">
        <v>298110</v>
      </c>
    </row>
    <row r="4060" customHeight="1" spans="1:2">
      <c r="A4060" s="3" t="s">
        <v>17990</v>
      </c>
      <c r="B4060" s="4">
        <v>12589108</v>
      </c>
    </row>
    <row r="4061" customHeight="1" spans="1:2">
      <c r="A4061" s="3" t="s">
        <v>12242</v>
      </c>
      <c r="B4061" s="4">
        <v>85300000</v>
      </c>
    </row>
    <row r="4062" customHeight="1" spans="1:2">
      <c r="A4062" s="3" t="s">
        <v>8335</v>
      </c>
      <c r="B4062" s="4">
        <v>39143839</v>
      </c>
    </row>
    <row r="4063" customHeight="1" spans="1:2">
      <c r="A4063" s="3" t="s">
        <v>2088</v>
      </c>
      <c r="B4063" s="4">
        <v>37760080</v>
      </c>
    </row>
    <row r="4064" customHeight="1" spans="1:2">
      <c r="A4064" s="3" t="s">
        <v>14421</v>
      </c>
      <c r="B4064" s="4"/>
    </row>
    <row r="4065" customHeight="1" spans="1:2">
      <c r="A4065" s="3" t="s">
        <v>1540</v>
      </c>
      <c r="B4065" s="4">
        <v>80360866</v>
      </c>
    </row>
    <row r="4066" customHeight="1" spans="1:2">
      <c r="A4066" s="3" t="s">
        <v>4070</v>
      </c>
      <c r="B4066" s="4">
        <v>84961</v>
      </c>
    </row>
    <row r="4067" customHeight="1" spans="1:2">
      <c r="A4067" s="3" t="s">
        <v>6031</v>
      </c>
      <c r="B4067" s="4">
        <v>39568996</v>
      </c>
    </row>
    <row r="4068" customHeight="1" spans="1:2">
      <c r="A4068" s="3" t="s">
        <v>23656</v>
      </c>
      <c r="B4068" s="4"/>
    </row>
    <row r="4069" customHeight="1" spans="1:2">
      <c r="A4069" s="3" t="s">
        <v>11660</v>
      </c>
      <c r="B4069" s="4">
        <v>31990064</v>
      </c>
    </row>
    <row r="4070" customHeight="1" spans="1:2">
      <c r="A4070" s="3" t="s">
        <v>5539</v>
      </c>
      <c r="B4070" s="4">
        <v>8406264</v>
      </c>
    </row>
    <row r="4071" customHeight="1" spans="1:2">
      <c r="A4071" s="3" t="s">
        <v>17230</v>
      </c>
      <c r="B4071" s="4"/>
    </row>
    <row r="4072" customHeight="1" spans="1:2">
      <c r="A4072" s="3" t="s">
        <v>1386</v>
      </c>
      <c r="B4072" s="4">
        <v>80170146</v>
      </c>
    </row>
    <row r="4073" customHeight="1" spans="1:2">
      <c r="A4073" s="3" t="s">
        <v>20023</v>
      </c>
      <c r="B4073" s="4"/>
    </row>
    <row r="4074" customHeight="1" spans="1:2">
      <c r="A4074" s="3" t="s">
        <v>23446</v>
      </c>
      <c r="B4074" s="4"/>
    </row>
    <row r="4075" customHeight="1" spans="1:2">
      <c r="A4075" s="3" t="s">
        <v>3773</v>
      </c>
      <c r="B4075" s="4">
        <v>162792677</v>
      </c>
    </row>
    <row r="4076" customHeight="1" spans="1:2">
      <c r="A4076" s="3" t="s">
        <v>11802</v>
      </c>
      <c r="B4076" s="4">
        <v>2326407</v>
      </c>
    </row>
    <row r="4077" customHeight="1" spans="1:2">
      <c r="A4077" s="3" t="s">
        <v>8180</v>
      </c>
      <c r="B4077" s="4">
        <v>132541238</v>
      </c>
    </row>
    <row r="4078" customHeight="1" spans="1:2">
      <c r="A4078" s="3" t="s">
        <v>6604</v>
      </c>
      <c r="B4078" s="4">
        <v>17508670</v>
      </c>
    </row>
    <row r="4079" customHeight="1" spans="1:2">
      <c r="A4079" s="3" t="s">
        <v>22896</v>
      </c>
      <c r="B4079" s="4"/>
    </row>
    <row r="4080" customHeight="1" spans="1:2">
      <c r="A4080" s="3" t="s">
        <v>7788</v>
      </c>
      <c r="B4080" s="4"/>
    </row>
    <row r="4081" customHeight="1" spans="1:2">
      <c r="A4081" s="3" t="s">
        <v>20594</v>
      </c>
      <c r="B4081" s="4"/>
    </row>
    <row r="4082" customHeight="1" spans="1:2">
      <c r="A4082" s="3" t="s">
        <v>16820</v>
      </c>
      <c r="B4082" s="4">
        <v>8114507</v>
      </c>
    </row>
    <row r="4083" customHeight="1" spans="1:2">
      <c r="A4083" s="3" t="s">
        <v>21780</v>
      </c>
      <c r="B4083" s="4"/>
    </row>
    <row r="4084" customHeight="1" spans="1:2">
      <c r="A4084" s="3" t="s">
        <v>7757</v>
      </c>
      <c r="B4084" s="4">
        <v>38119483</v>
      </c>
    </row>
    <row r="4085" customHeight="1" spans="1:2">
      <c r="A4085" s="3" t="s">
        <v>10719</v>
      </c>
      <c r="B4085" s="4">
        <v>73548</v>
      </c>
    </row>
    <row r="4086" customHeight="1" spans="1:2">
      <c r="A4086" s="3" t="s">
        <v>411</v>
      </c>
      <c r="B4086" s="4">
        <v>124051759</v>
      </c>
    </row>
    <row r="4087" customHeight="1" spans="1:2">
      <c r="A4087" s="3" t="s">
        <v>13529</v>
      </c>
      <c r="B4087" s="4">
        <v>6262942</v>
      </c>
    </row>
    <row r="4088" customHeight="1" spans="1:2">
      <c r="A4088" s="3" t="s">
        <v>2929</v>
      </c>
      <c r="B4088" s="4">
        <v>34098563</v>
      </c>
    </row>
    <row r="4089" customHeight="1" spans="1:2">
      <c r="A4089" s="3" t="s">
        <v>6207</v>
      </c>
      <c r="B4089" s="4">
        <v>12712093</v>
      </c>
    </row>
    <row r="4090" customHeight="1" spans="1:2">
      <c r="A4090" s="3" t="s">
        <v>11221</v>
      </c>
      <c r="B4090" s="4">
        <v>23947</v>
      </c>
    </row>
    <row r="4091" customHeight="1" spans="1:2">
      <c r="A4091" s="3" t="s">
        <v>22180</v>
      </c>
      <c r="B4091" s="4"/>
    </row>
    <row r="4092" customHeight="1" spans="1:2">
      <c r="A4092" s="3" t="s">
        <v>11438</v>
      </c>
      <c r="B4092" s="4"/>
    </row>
    <row r="4093" customHeight="1" spans="1:2">
      <c r="A4093" s="3" t="s">
        <v>23555</v>
      </c>
      <c r="B4093" s="4"/>
    </row>
    <row r="4094" customHeight="1" spans="1:2">
      <c r="A4094" s="3" t="s">
        <v>19821</v>
      </c>
      <c r="B4094" s="4">
        <v>3388210</v>
      </c>
    </row>
    <row r="4095" customHeight="1" spans="1:2">
      <c r="A4095" s="3" t="s">
        <v>11610</v>
      </c>
      <c r="B4095" s="4">
        <v>167007184</v>
      </c>
    </row>
    <row r="4096" customHeight="1" spans="1:2">
      <c r="A4096" s="3" t="s">
        <v>16900</v>
      </c>
      <c r="B4096" s="4">
        <v>2848578</v>
      </c>
    </row>
    <row r="4097" customHeight="1" spans="1:2">
      <c r="A4097" s="3" t="s">
        <v>21107</v>
      </c>
      <c r="B4097" s="4"/>
    </row>
    <row r="4098" customHeight="1" spans="1:2">
      <c r="A4098" s="3" t="s">
        <v>21852</v>
      </c>
      <c r="B4098" s="4"/>
    </row>
    <row r="4099" customHeight="1" spans="1:2">
      <c r="A4099" s="3" t="s">
        <v>23786</v>
      </c>
      <c r="B4099" s="4"/>
    </row>
    <row r="4100" customHeight="1" spans="1:2">
      <c r="A4100" s="3" t="s">
        <v>3288</v>
      </c>
      <c r="B4100" s="4">
        <v>54997476</v>
      </c>
    </row>
    <row r="4101" customHeight="1" spans="1:2">
      <c r="A4101" s="3" t="s">
        <v>21664</v>
      </c>
      <c r="B4101" s="4"/>
    </row>
    <row r="4102" customHeight="1" spans="1:2">
      <c r="A4102" s="3" t="s">
        <v>2377</v>
      </c>
      <c r="B4102" s="4">
        <v>279167575</v>
      </c>
    </row>
    <row r="4103" customHeight="1" spans="1:2">
      <c r="A4103" s="3" t="s">
        <v>8384</v>
      </c>
      <c r="B4103" s="4">
        <v>34334256</v>
      </c>
    </row>
    <row r="4104" customHeight="1" spans="1:2">
      <c r="A4104" s="3" t="s">
        <v>20135</v>
      </c>
      <c r="B4104" s="4"/>
    </row>
    <row r="4105" customHeight="1" spans="1:2">
      <c r="A4105" s="3" t="s">
        <v>3242</v>
      </c>
      <c r="B4105" s="4">
        <v>79948113</v>
      </c>
    </row>
    <row r="4106" customHeight="1" spans="1:2">
      <c r="A4106" s="3" t="s">
        <v>19634</v>
      </c>
      <c r="B4106" s="4"/>
    </row>
    <row r="4107" customHeight="1" spans="1:2">
      <c r="A4107" s="3" t="s">
        <v>2883</v>
      </c>
      <c r="B4107" s="4">
        <v>66207920</v>
      </c>
    </row>
    <row r="4108" customHeight="1" spans="1:2">
      <c r="A4108" s="3" t="s">
        <v>4342</v>
      </c>
      <c r="B4108" s="4">
        <v>52000688</v>
      </c>
    </row>
    <row r="4109" customHeight="1" spans="1:2">
      <c r="A4109" s="3" t="s">
        <v>18257</v>
      </c>
      <c r="B4109" s="4"/>
    </row>
    <row r="4110" customHeight="1" spans="1:2">
      <c r="A4110" s="3" t="s">
        <v>8913</v>
      </c>
      <c r="B4110" s="4">
        <v>2000000</v>
      </c>
    </row>
    <row r="4111" customHeight="1" spans="1:2">
      <c r="A4111" s="3" t="s">
        <v>14342</v>
      </c>
      <c r="B4111" s="4"/>
    </row>
    <row r="4112" customHeight="1" spans="1:2">
      <c r="A4112" s="3" t="s">
        <v>19181</v>
      </c>
      <c r="B4112" s="4"/>
    </row>
    <row r="4113" customHeight="1" spans="1:2">
      <c r="A4113" s="3" t="s">
        <v>20595</v>
      </c>
      <c r="B4113" s="4"/>
    </row>
    <row r="4114" customHeight="1" spans="1:2">
      <c r="A4114" s="3" t="s">
        <v>23244</v>
      </c>
      <c r="B4114" s="4"/>
    </row>
    <row r="4115" customHeight="1" spans="1:2">
      <c r="A4115" s="3" t="s">
        <v>2299</v>
      </c>
      <c r="B4115" s="4">
        <v>24407944</v>
      </c>
    </row>
    <row r="4116" customHeight="1" spans="1:2">
      <c r="A4116" s="3" t="s">
        <v>7575</v>
      </c>
      <c r="B4116" s="4">
        <v>28871190</v>
      </c>
    </row>
    <row r="4117" customHeight="1" spans="1:2">
      <c r="A4117" s="3" t="s">
        <v>11986</v>
      </c>
      <c r="B4117" s="4">
        <v>49797148</v>
      </c>
    </row>
    <row r="4118" customHeight="1" spans="1:2">
      <c r="A4118" s="3" t="s">
        <v>17218</v>
      </c>
      <c r="B4118" s="4">
        <v>33349949</v>
      </c>
    </row>
    <row r="4119" customHeight="1" spans="1:2">
      <c r="A4119" s="3" t="s">
        <v>3008</v>
      </c>
      <c r="B4119" s="4"/>
    </row>
    <row r="4120" customHeight="1" spans="1:2">
      <c r="A4120" s="3" t="s">
        <v>19440</v>
      </c>
      <c r="B4120" s="4">
        <v>237301</v>
      </c>
    </row>
    <row r="4121" customHeight="1" spans="1:2">
      <c r="A4121" s="3" t="s">
        <v>4558</v>
      </c>
      <c r="B4121" s="4">
        <v>13395939</v>
      </c>
    </row>
    <row r="4122" customHeight="1" spans="1:2">
      <c r="A4122" s="3" t="s">
        <v>19887</v>
      </c>
      <c r="B4122" s="4"/>
    </row>
    <row r="4123" customHeight="1" spans="1:2">
      <c r="A4123" s="3" t="s">
        <v>2736</v>
      </c>
      <c r="B4123" s="4"/>
    </row>
    <row r="4124" customHeight="1" spans="1:2">
      <c r="A4124" s="3" t="s">
        <v>2237</v>
      </c>
      <c r="B4124" s="4">
        <v>55637680</v>
      </c>
    </row>
    <row r="4125" customHeight="1" spans="1:2">
      <c r="A4125" s="3" t="s">
        <v>22388</v>
      </c>
      <c r="B4125" s="4"/>
    </row>
    <row r="4126" customHeight="1" spans="1:2">
      <c r="A4126" s="3" t="s">
        <v>18696</v>
      </c>
      <c r="B4126" s="4">
        <v>4946250</v>
      </c>
    </row>
    <row r="4127" customHeight="1" spans="1:2">
      <c r="A4127" s="3" t="s">
        <v>13187</v>
      </c>
      <c r="B4127" s="4"/>
    </row>
    <row r="4128" customHeight="1" spans="1:2">
      <c r="A4128" s="3" t="s">
        <v>4605</v>
      </c>
      <c r="B4128" s="4">
        <v>6114237</v>
      </c>
    </row>
    <row r="4129" customHeight="1" spans="1:2">
      <c r="A4129" s="3" t="s">
        <v>24087</v>
      </c>
      <c r="B4129" s="4"/>
    </row>
    <row r="4130" customHeight="1" spans="1:2">
      <c r="A4130" s="3" t="s">
        <v>5236</v>
      </c>
      <c r="B4130" s="4">
        <v>25863915</v>
      </c>
    </row>
    <row r="4131" customHeight="1" spans="1:2">
      <c r="A4131" s="3" t="s">
        <v>7946</v>
      </c>
      <c r="B4131" s="4">
        <v>20668843</v>
      </c>
    </row>
    <row r="4132" customHeight="1" spans="1:2">
      <c r="A4132" s="3" t="s">
        <v>20086</v>
      </c>
      <c r="B4132" s="4">
        <v>30859000</v>
      </c>
    </row>
    <row r="4133" customHeight="1" spans="1:2">
      <c r="A4133" s="3" t="s">
        <v>23112</v>
      </c>
      <c r="B4133" s="4"/>
    </row>
    <row r="4134" customHeight="1" spans="1:2">
      <c r="A4134" s="3" t="s">
        <v>14435</v>
      </c>
      <c r="B4134" s="4"/>
    </row>
    <row r="4135" customHeight="1" spans="1:2">
      <c r="A4135" s="3" t="s">
        <v>3379</v>
      </c>
      <c r="B4135" s="4">
        <v>39778599</v>
      </c>
    </row>
    <row r="4136" customHeight="1" spans="1:2">
      <c r="A4136" s="3" t="s">
        <v>21159</v>
      </c>
      <c r="B4136" s="4"/>
    </row>
    <row r="4137" customHeight="1" spans="1:2">
      <c r="A4137" s="3" t="s">
        <v>18098</v>
      </c>
      <c r="B4137" s="4"/>
    </row>
    <row r="4138" customHeight="1" spans="1:2">
      <c r="A4138" s="3" t="s">
        <v>21390</v>
      </c>
      <c r="B4138" s="4"/>
    </row>
    <row r="4139" customHeight="1" spans="1:2">
      <c r="A4139" s="3" t="s">
        <v>21038</v>
      </c>
      <c r="B4139" s="4"/>
    </row>
    <row r="4140" customHeight="1" spans="1:2">
      <c r="A4140" s="3" t="s">
        <v>17207</v>
      </c>
      <c r="B4140" s="4"/>
    </row>
    <row r="4141" customHeight="1" spans="1:2">
      <c r="A4141" s="3" t="s">
        <v>2773</v>
      </c>
      <c r="B4141" s="4">
        <v>29580087</v>
      </c>
    </row>
    <row r="4142" customHeight="1" spans="1:2">
      <c r="A4142" s="3" t="s">
        <v>459</v>
      </c>
      <c r="B4142" s="4">
        <v>209364921</v>
      </c>
    </row>
    <row r="4143" customHeight="1" spans="1:2">
      <c r="A4143" s="3" t="s">
        <v>3594</v>
      </c>
      <c r="B4143" s="4">
        <v>56607223</v>
      </c>
    </row>
    <row r="4144" customHeight="1" spans="1:2">
      <c r="A4144" s="3" t="s">
        <v>1327</v>
      </c>
      <c r="B4144" s="4">
        <v>150832203</v>
      </c>
    </row>
    <row r="4145" customHeight="1" spans="1:2">
      <c r="A4145" s="3" t="s">
        <v>8593</v>
      </c>
      <c r="B4145" s="4">
        <v>18081626</v>
      </c>
    </row>
    <row r="4146" customHeight="1" spans="1:2">
      <c r="A4146" s="3" t="s">
        <v>15002</v>
      </c>
      <c r="B4146" s="4">
        <v>531806</v>
      </c>
    </row>
    <row r="4147" customHeight="1" spans="1:2">
      <c r="A4147" s="3" t="s">
        <v>14336</v>
      </c>
      <c r="B4147" s="4">
        <v>2209479</v>
      </c>
    </row>
    <row r="4148" customHeight="1" spans="1:2">
      <c r="A4148" s="3" t="s">
        <v>23409</v>
      </c>
      <c r="B4148" s="4"/>
    </row>
    <row r="4149" customHeight="1" spans="1:2">
      <c r="A4149" s="3" t="s">
        <v>6936</v>
      </c>
      <c r="B4149" s="4">
        <v>80920948</v>
      </c>
    </row>
    <row r="4150" customHeight="1" spans="1:2">
      <c r="A4150" s="3" t="s">
        <v>11913</v>
      </c>
      <c r="B4150" s="4">
        <v>17149</v>
      </c>
    </row>
    <row r="4151" customHeight="1" spans="1:2">
      <c r="A4151" s="3" t="s">
        <v>2002</v>
      </c>
      <c r="B4151" s="4">
        <v>78031620</v>
      </c>
    </row>
    <row r="4152" customHeight="1" spans="1:2">
      <c r="A4152" s="3" t="s">
        <v>4353</v>
      </c>
      <c r="B4152" s="4">
        <v>47781388</v>
      </c>
    </row>
    <row r="4153" customHeight="1" spans="1:2">
      <c r="A4153" s="3" t="s">
        <v>16499</v>
      </c>
      <c r="B4153" s="4">
        <v>886410</v>
      </c>
    </row>
    <row r="4154" customHeight="1" spans="1:2">
      <c r="A4154" s="3" t="s">
        <v>18365</v>
      </c>
      <c r="B4154" s="4"/>
    </row>
    <row r="4155" customHeight="1" spans="1:2">
      <c r="A4155" s="3" t="s">
        <v>16616</v>
      </c>
      <c r="B4155" s="4">
        <v>8108247</v>
      </c>
    </row>
    <row r="4156" customHeight="1" spans="1:2">
      <c r="A4156" s="3" t="s">
        <v>6434</v>
      </c>
      <c r="B4156" s="4">
        <v>55845943</v>
      </c>
    </row>
    <row r="4157" customHeight="1" spans="1:2">
      <c r="A4157" s="3" t="s">
        <v>2032</v>
      </c>
      <c r="B4157" s="4">
        <v>37901509</v>
      </c>
    </row>
    <row r="4158" customHeight="1" spans="1:2">
      <c r="A4158" s="3" t="s">
        <v>23407</v>
      </c>
      <c r="B4158" s="4"/>
    </row>
    <row r="4159" customHeight="1" spans="1:2">
      <c r="A4159" s="3" t="s">
        <v>2672</v>
      </c>
      <c r="B4159" s="4">
        <v>26616590</v>
      </c>
    </row>
    <row r="4160" customHeight="1" spans="1:2">
      <c r="A4160" s="3" t="s">
        <v>3041</v>
      </c>
      <c r="B4160" s="4">
        <v>58297830</v>
      </c>
    </row>
    <row r="4161" customHeight="1" spans="1:2">
      <c r="A4161" s="3" t="s">
        <v>3781</v>
      </c>
      <c r="B4161" s="4"/>
    </row>
    <row r="4162" customHeight="1" spans="1:2">
      <c r="A4162" s="3" t="s">
        <v>23625</v>
      </c>
      <c r="B4162" s="4"/>
    </row>
    <row r="4163" customHeight="1" spans="1:2">
      <c r="A4163" s="3" t="s">
        <v>9271</v>
      </c>
      <c r="B4163" s="4">
        <v>26830000</v>
      </c>
    </row>
    <row r="4164" customHeight="1" spans="1:2">
      <c r="A4164" s="3" t="s">
        <v>4243</v>
      </c>
      <c r="B4164" s="4">
        <v>71347010</v>
      </c>
    </row>
    <row r="4165" customHeight="1" spans="1:2">
      <c r="A4165" s="3" t="s">
        <v>11520</v>
      </c>
      <c r="B4165" s="4">
        <v>91547205</v>
      </c>
    </row>
    <row r="4166" customHeight="1" spans="1:2">
      <c r="A4166" s="3" t="s">
        <v>4714</v>
      </c>
      <c r="B4166" s="4">
        <v>75668868</v>
      </c>
    </row>
    <row r="4167" customHeight="1" spans="1:2">
      <c r="A4167" s="3" t="s">
        <v>15448</v>
      </c>
      <c r="B4167" s="4">
        <v>9658370</v>
      </c>
    </row>
    <row r="4168" customHeight="1" spans="1:2">
      <c r="A4168" s="3" t="s">
        <v>18929</v>
      </c>
      <c r="B4168" s="4"/>
    </row>
    <row r="4169" customHeight="1" spans="1:2">
      <c r="A4169" s="3" t="s">
        <v>2788</v>
      </c>
      <c r="B4169" s="4">
        <v>60984028</v>
      </c>
    </row>
    <row r="4170" customHeight="1" spans="1:2">
      <c r="A4170" s="3" t="s">
        <v>20450</v>
      </c>
      <c r="B4170" s="4"/>
    </row>
    <row r="4171" customHeight="1" spans="1:2">
      <c r="A4171" s="3" t="s">
        <v>22016</v>
      </c>
      <c r="B4171" s="4"/>
    </row>
    <row r="4172" customHeight="1" spans="1:2">
      <c r="A4172" s="3" t="s">
        <v>13084</v>
      </c>
      <c r="B4172" s="4"/>
    </row>
    <row r="4173" customHeight="1" spans="1:2">
      <c r="A4173" s="3" t="s">
        <v>5114</v>
      </c>
      <c r="B4173" s="4">
        <v>45802315</v>
      </c>
    </row>
    <row r="4174" customHeight="1" spans="1:2">
      <c r="A4174" s="3" t="s">
        <v>3807</v>
      </c>
      <c r="B4174" s="4">
        <v>38360195</v>
      </c>
    </row>
    <row r="4175" customHeight="1" spans="1:2">
      <c r="A4175" s="3" t="s">
        <v>7590</v>
      </c>
      <c r="B4175" s="4">
        <v>8427204</v>
      </c>
    </row>
    <row r="4176" customHeight="1" spans="1:2">
      <c r="A4176" s="3" t="s">
        <v>5557</v>
      </c>
      <c r="B4176" s="4">
        <v>104632573</v>
      </c>
    </row>
    <row r="4177" customHeight="1" spans="1:2">
      <c r="A4177" s="3" t="s">
        <v>6054</v>
      </c>
      <c r="B4177" s="4">
        <v>40247512</v>
      </c>
    </row>
    <row r="4178" customHeight="1" spans="1:2">
      <c r="A4178" s="3" t="s">
        <v>998</v>
      </c>
      <c r="B4178" s="4">
        <v>130174897</v>
      </c>
    </row>
    <row r="4179" customHeight="1" spans="1:2">
      <c r="A4179" s="3" t="s">
        <v>21657</v>
      </c>
      <c r="B4179" s="4"/>
    </row>
    <row r="4180" customHeight="1" spans="1:2">
      <c r="A4180" s="3" t="s">
        <v>757</v>
      </c>
      <c r="B4180" s="4">
        <v>250863268</v>
      </c>
    </row>
    <row r="4181" customHeight="1" spans="1:2">
      <c r="A4181" s="3" t="s">
        <v>2426</v>
      </c>
      <c r="B4181" s="4">
        <v>109176215</v>
      </c>
    </row>
    <row r="4182" customHeight="1" spans="1:2">
      <c r="A4182" s="3" t="s">
        <v>10360</v>
      </c>
      <c r="B4182" s="4">
        <v>20998709</v>
      </c>
    </row>
    <row r="4183" customHeight="1" spans="1:2">
      <c r="A4183" s="3" t="s">
        <v>9986</v>
      </c>
      <c r="B4183" s="4"/>
    </row>
    <row r="4184" customHeight="1" spans="1:2">
      <c r="A4184" s="3" t="s">
        <v>4662</v>
      </c>
      <c r="B4184" s="4">
        <v>463730</v>
      </c>
    </row>
    <row r="4185" customHeight="1" spans="1:2">
      <c r="A4185" s="3" t="s">
        <v>24074</v>
      </c>
      <c r="B4185" s="4"/>
    </row>
    <row r="4186" customHeight="1" spans="1:2">
      <c r="A4186" s="3" t="s">
        <v>21626</v>
      </c>
      <c r="B4186" s="4"/>
    </row>
    <row r="4187" customHeight="1" spans="1:2">
      <c r="A4187" s="3" t="s">
        <v>2691</v>
      </c>
      <c r="B4187" s="4">
        <v>14218868</v>
      </c>
    </row>
    <row r="4188" customHeight="1" spans="1:2">
      <c r="A4188" s="3" t="s">
        <v>9107</v>
      </c>
      <c r="B4188" s="4"/>
    </row>
    <row r="4189" customHeight="1" spans="1:2">
      <c r="A4189" s="3" t="s">
        <v>2524</v>
      </c>
      <c r="B4189" s="4">
        <v>50024083</v>
      </c>
    </row>
    <row r="4190" customHeight="1" spans="1:2">
      <c r="A4190" s="3" t="s">
        <v>3588</v>
      </c>
      <c r="B4190" s="4"/>
    </row>
    <row r="4191" customHeight="1" spans="1:2">
      <c r="A4191" s="3" t="s">
        <v>17828</v>
      </c>
      <c r="B4191" s="4"/>
    </row>
    <row r="4192" customHeight="1" spans="1:2">
      <c r="A4192" s="3" t="s">
        <v>1741</v>
      </c>
      <c r="B4192" s="4">
        <v>97360069</v>
      </c>
    </row>
    <row r="4193" customHeight="1" spans="1:2">
      <c r="A4193" s="3" t="s">
        <v>7145</v>
      </c>
      <c r="B4193" s="4">
        <v>32368960</v>
      </c>
    </row>
    <row r="4194" customHeight="1" spans="1:2">
      <c r="A4194" s="3" t="s">
        <v>3845</v>
      </c>
      <c r="B4194" s="4">
        <v>22877808</v>
      </c>
    </row>
    <row r="4195" customHeight="1" spans="1:2">
      <c r="A4195" s="3" t="s">
        <v>11553</v>
      </c>
      <c r="B4195" s="4">
        <v>65269010</v>
      </c>
    </row>
    <row r="4196" customHeight="1" spans="1:2">
      <c r="A4196" s="3" t="s">
        <v>22794</v>
      </c>
      <c r="B4196" s="4"/>
    </row>
    <row r="4197" customHeight="1" spans="1:2">
      <c r="A4197" s="3" t="s">
        <v>167</v>
      </c>
      <c r="B4197" s="4">
        <v>228756232</v>
      </c>
    </row>
    <row r="4198" customHeight="1" spans="1:2">
      <c r="A4198" s="3" t="s">
        <v>20823</v>
      </c>
      <c r="B4198" s="4"/>
    </row>
    <row r="4199" customHeight="1" spans="1:2">
      <c r="A4199" s="3" t="s">
        <v>4231</v>
      </c>
      <c r="B4199" s="4">
        <v>72455275</v>
      </c>
    </row>
    <row r="4200" customHeight="1" spans="1:2">
      <c r="A4200" s="3" t="s">
        <v>1870</v>
      </c>
      <c r="B4200" s="4">
        <v>51814190</v>
      </c>
    </row>
    <row r="4201" customHeight="1" spans="1:2">
      <c r="A4201" s="3" t="s">
        <v>10329</v>
      </c>
      <c r="B4201" s="4">
        <v>23089926</v>
      </c>
    </row>
    <row r="4202" customHeight="1" spans="1:2">
      <c r="A4202" s="3" t="s">
        <v>11635</v>
      </c>
      <c r="B4202" s="4">
        <v>21133087</v>
      </c>
    </row>
    <row r="4203" customHeight="1" spans="1:2">
      <c r="A4203" s="3" t="s">
        <v>2218</v>
      </c>
      <c r="B4203" s="4">
        <v>69688384</v>
      </c>
    </row>
    <row r="4204" customHeight="1" spans="1:2">
      <c r="A4204" s="3" t="s">
        <v>15110</v>
      </c>
      <c r="B4204" s="4">
        <v>1056102</v>
      </c>
    </row>
    <row r="4205" customHeight="1" spans="1:2">
      <c r="A4205" s="3" t="s">
        <v>15564</v>
      </c>
      <c r="B4205" s="4">
        <v>1100000</v>
      </c>
    </row>
    <row r="4206" customHeight="1" spans="1:2">
      <c r="A4206" s="3" t="s">
        <v>16103</v>
      </c>
      <c r="B4206" s="4"/>
    </row>
    <row r="4207" customHeight="1" spans="1:2">
      <c r="A4207" s="3" t="s">
        <v>20865</v>
      </c>
      <c r="B4207" s="4"/>
    </row>
    <row r="4208" customHeight="1" spans="1:2">
      <c r="A4208" s="3" t="s">
        <v>19849</v>
      </c>
      <c r="B4208" s="4"/>
    </row>
    <row r="4209" customHeight="1" spans="1:2">
      <c r="A4209" s="3" t="s">
        <v>12574</v>
      </c>
      <c r="B4209" s="4">
        <v>10561238</v>
      </c>
    </row>
    <row r="4210" customHeight="1" spans="1:2">
      <c r="A4210" s="3" t="s">
        <v>12636</v>
      </c>
      <c r="B4210" s="4">
        <v>6197866</v>
      </c>
    </row>
    <row r="4211" customHeight="1" spans="1:2">
      <c r="A4211" s="3" t="s">
        <v>20197</v>
      </c>
      <c r="B4211" s="4">
        <v>33598</v>
      </c>
    </row>
    <row r="4212" customHeight="1" spans="1:2">
      <c r="A4212" s="3" t="s">
        <v>15313</v>
      </c>
      <c r="B4212" s="4">
        <v>21994911</v>
      </c>
    </row>
    <row r="4213" customHeight="1" spans="1:2">
      <c r="A4213" s="3" t="s">
        <v>17324</v>
      </c>
      <c r="B4213" s="4"/>
    </row>
    <row r="4214" customHeight="1" spans="1:2">
      <c r="A4214" s="3" t="s">
        <v>22283</v>
      </c>
      <c r="B4214" s="4"/>
    </row>
    <row r="4215" customHeight="1" spans="1:2">
      <c r="A4215" s="3" t="s">
        <v>5370</v>
      </c>
      <c r="B4215" s="4"/>
    </row>
    <row r="4216" customHeight="1" spans="1:2">
      <c r="A4216" s="3" t="s">
        <v>20444</v>
      </c>
      <c r="B4216" s="4">
        <v>10443</v>
      </c>
    </row>
    <row r="4217" customHeight="1" spans="1:2">
      <c r="A4217" s="3" t="s">
        <v>22900</v>
      </c>
      <c r="B4217" s="4"/>
    </row>
    <row r="4218" customHeight="1" spans="1:2">
      <c r="A4218" s="3" t="s">
        <v>6922</v>
      </c>
      <c r="B4218" s="4">
        <v>84185387</v>
      </c>
    </row>
    <row r="4219" customHeight="1" spans="1:2">
      <c r="A4219" s="3" t="s">
        <v>23798</v>
      </c>
      <c r="B4219" s="4"/>
    </row>
    <row r="4220" customHeight="1" spans="1:2">
      <c r="A4220" s="3" t="s">
        <v>22135</v>
      </c>
      <c r="B4220" s="4"/>
    </row>
    <row r="4221" customHeight="1" spans="1:2">
      <c r="A4221" s="3" t="s">
        <v>7646</v>
      </c>
      <c r="B4221" s="4">
        <v>86930411</v>
      </c>
    </row>
    <row r="4222" customHeight="1" spans="1:2">
      <c r="A4222" s="3" t="s">
        <v>22539</v>
      </c>
      <c r="B4222" s="4"/>
    </row>
    <row r="4223" customHeight="1" spans="1:2">
      <c r="A4223" s="3" t="s">
        <v>21604</v>
      </c>
      <c r="B4223" s="4"/>
    </row>
    <row r="4224" customHeight="1" spans="1:2">
      <c r="A4224" s="3" t="s">
        <v>16187</v>
      </c>
      <c r="B4224" s="4">
        <v>800000</v>
      </c>
    </row>
    <row r="4225" customHeight="1" spans="1:2">
      <c r="A4225" s="3" t="s">
        <v>22615</v>
      </c>
      <c r="B4225" s="4"/>
    </row>
    <row r="4226" customHeight="1" spans="1:2">
      <c r="A4226" s="3" t="s">
        <v>2479</v>
      </c>
      <c r="B4226" s="4">
        <v>75280058</v>
      </c>
    </row>
    <row r="4227" customHeight="1" spans="1:2">
      <c r="A4227" s="3" t="s">
        <v>18259</v>
      </c>
      <c r="B4227" s="4"/>
    </row>
    <row r="4228" customHeight="1" spans="1:2">
      <c r="A4228" s="3" t="s">
        <v>1281</v>
      </c>
      <c r="B4228" s="4">
        <v>172620724</v>
      </c>
    </row>
    <row r="4229" customHeight="1" spans="1:2">
      <c r="A4229" s="3" t="s">
        <v>20934</v>
      </c>
      <c r="B4229" s="4"/>
    </row>
    <row r="4230" customHeight="1" spans="1:2">
      <c r="A4230" s="3" t="s">
        <v>4541</v>
      </c>
      <c r="B4230" s="4">
        <v>20999103</v>
      </c>
    </row>
    <row r="4231" customHeight="1" spans="1:2">
      <c r="A4231" s="3" t="s">
        <v>2765</v>
      </c>
      <c r="B4231" s="4">
        <v>31199215</v>
      </c>
    </row>
    <row r="4232" customHeight="1" spans="1:2">
      <c r="A4232" s="3" t="s">
        <v>24007</v>
      </c>
      <c r="B4232" s="4"/>
    </row>
    <row r="4233" customHeight="1" spans="1:2">
      <c r="A4233" s="3" t="s">
        <v>18097</v>
      </c>
      <c r="B4233" s="4"/>
    </row>
    <row r="4234" customHeight="1" spans="1:2">
      <c r="A4234" s="3" t="s">
        <v>22708</v>
      </c>
      <c r="B4234" s="4"/>
    </row>
    <row r="4235" customHeight="1" spans="1:2">
      <c r="A4235" s="3" t="s">
        <v>909</v>
      </c>
      <c r="B4235" s="4">
        <v>101228120</v>
      </c>
    </row>
    <row r="4236" customHeight="1" spans="1:2">
      <c r="A4236" s="3" t="s">
        <v>23655</v>
      </c>
      <c r="B4236" s="4"/>
    </row>
    <row r="4237" customHeight="1" spans="1:2">
      <c r="A4237" s="3" t="s">
        <v>22981</v>
      </c>
      <c r="B4237" s="4"/>
    </row>
    <row r="4238" customHeight="1" spans="1:2">
      <c r="A4238" s="3" t="s">
        <v>23612</v>
      </c>
      <c r="B4238" s="4"/>
    </row>
    <row r="4239" customHeight="1" spans="1:2">
      <c r="A4239" s="3" t="s">
        <v>8156</v>
      </c>
      <c r="B4239" s="4">
        <v>173585516</v>
      </c>
    </row>
    <row r="4240" customHeight="1" spans="1:2">
      <c r="A4240" s="3" t="s">
        <v>4410</v>
      </c>
      <c r="B4240" s="4">
        <v>37101011</v>
      </c>
    </row>
    <row r="4241" customHeight="1" spans="1:2">
      <c r="A4241" s="3" t="s">
        <v>7983</v>
      </c>
      <c r="B4241" s="4"/>
    </row>
    <row r="4242" customHeight="1" spans="1:2">
      <c r="A4242" s="3" t="s">
        <v>5265</v>
      </c>
      <c r="B4242" s="4">
        <v>28064226</v>
      </c>
    </row>
    <row r="4243" customHeight="1" spans="1:2">
      <c r="A4243" s="3" t="s">
        <v>17476</v>
      </c>
      <c r="B4243" s="4"/>
    </row>
    <row r="4244" customHeight="1" spans="1:2">
      <c r="A4244" s="3" t="s">
        <v>18853</v>
      </c>
      <c r="B4244" s="4">
        <v>703</v>
      </c>
    </row>
    <row r="4245" customHeight="1" spans="1:2">
      <c r="A4245" s="3" t="s">
        <v>18003</v>
      </c>
      <c r="B4245" s="4">
        <v>4231500</v>
      </c>
    </row>
    <row r="4246" customHeight="1" spans="1:2">
      <c r="A4246" s="3" t="s">
        <v>7078</v>
      </c>
      <c r="B4246" s="4">
        <v>48237389</v>
      </c>
    </row>
    <row r="4247" customHeight="1" spans="1:2">
      <c r="A4247" s="3" t="s">
        <v>22878</v>
      </c>
      <c r="B4247" s="4"/>
    </row>
    <row r="4248" customHeight="1" spans="1:2">
      <c r="A4248" s="3" t="s">
        <v>13188</v>
      </c>
      <c r="B4248" s="4"/>
    </row>
    <row r="4249" customHeight="1" spans="1:2">
      <c r="A4249" s="3" t="s">
        <v>12994</v>
      </c>
      <c r="B4249" s="4"/>
    </row>
    <row r="4250" customHeight="1" spans="1:2">
      <c r="A4250" s="3" t="s">
        <v>4378</v>
      </c>
      <c r="B4250" s="4">
        <v>59588068</v>
      </c>
    </row>
    <row r="4251" customHeight="1" spans="1:2">
      <c r="A4251" s="3" t="s">
        <v>22756</v>
      </c>
      <c r="B4251" s="4"/>
    </row>
    <row r="4252" customHeight="1" spans="1:2">
      <c r="A4252" s="3" t="s">
        <v>3197</v>
      </c>
      <c r="B4252" s="4">
        <v>125548685</v>
      </c>
    </row>
    <row r="4253" customHeight="1" spans="1:2">
      <c r="A4253" s="3" t="s">
        <v>20608</v>
      </c>
      <c r="B4253" s="4"/>
    </row>
    <row r="4254" customHeight="1" spans="1:2">
      <c r="A4254" s="3" t="s">
        <v>2545</v>
      </c>
      <c r="B4254" s="4">
        <v>47748610</v>
      </c>
    </row>
    <row r="4255" customHeight="1" spans="1:2">
      <c r="A4255" s="3" t="s">
        <v>713</v>
      </c>
      <c r="B4255" s="4">
        <v>76418654</v>
      </c>
    </row>
    <row r="4256" customHeight="1" spans="1:2">
      <c r="A4256" s="3" t="s">
        <v>10696</v>
      </c>
      <c r="B4256" s="4">
        <v>613556</v>
      </c>
    </row>
    <row r="4257" customHeight="1" spans="1:2">
      <c r="A4257" s="3" t="s">
        <v>19214</v>
      </c>
      <c r="B4257" s="4"/>
    </row>
    <row r="4258" customHeight="1" spans="1:2">
      <c r="A4258" s="3" t="s">
        <v>3653</v>
      </c>
      <c r="B4258" s="4">
        <v>69304264</v>
      </c>
    </row>
    <row r="4259" customHeight="1" spans="1:2">
      <c r="A4259" s="3" t="s">
        <v>292</v>
      </c>
      <c r="B4259" s="4">
        <v>102315545</v>
      </c>
    </row>
    <row r="4260" customHeight="1" spans="1:2">
      <c r="A4260" s="3" t="s">
        <v>18107</v>
      </c>
      <c r="B4260" s="4"/>
    </row>
    <row r="4261" customHeight="1" spans="1:2">
      <c r="A4261" s="3" t="s">
        <v>1973</v>
      </c>
      <c r="B4261" s="4">
        <v>80281096</v>
      </c>
    </row>
    <row r="4262" customHeight="1" spans="1:2">
      <c r="A4262" s="3" t="s">
        <v>15856</v>
      </c>
      <c r="B4262" s="4">
        <v>1687311</v>
      </c>
    </row>
    <row r="4263" customHeight="1" spans="1:2">
      <c r="A4263" s="3" t="s">
        <v>4956</v>
      </c>
      <c r="B4263" s="4">
        <v>8326035</v>
      </c>
    </row>
    <row r="4264" customHeight="1" spans="1:2">
      <c r="A4264" s="3" t="s">
        <v>8924</v>
      </c>
      <c r="B4264" s="4">
        <v>1190018</v>
      </c>
    </row>
    <row r="4265" customHeight="1" spans="1:2">
      <c r="A4265" s="3" t="s">
        <v>6128</v>
      </c>
      <c r="B4265" s="4">
        <v>30523568</v>
      </c>
    </row>
    <row r="4266" customHeight="1" spans="1:2">
      <c r="A4266" s="3" t="s">
        <v>543</v>
      </c>
      <c r="B4266" s="4">
        <v>83348920</v>
      </c>
    </row>
    <row r="4267" customHeight="1" spans="1:2">
      <c r="A4267" s="3" t="s">
        <v>20000</v>
      </c>
      <c r="B4267" s="4">
        <v>140016</v>
      </c>
    </row>
    <row r="4268" customHeight="1" spans="1:2">
      <c r="A4268" s="3" t="s">
        <v>1084</v>
      </c>
      <c r="B4268" s="4">
        <v>22406362</v>
      </c>
    </row>
    <row r="4269" customHeight="1" spans="1:2">
      <c r="A4269" s="3" t="s">
        <v>1530</v>
      </c>
      <c r="B4269" s="4">
        <v>74329966</v>
      </c>
    </row>
    <row r="4270" customHeight="1" spans="1:2">
      <c r="A4270" s="3" t="s">
        <v>24056</v>
      </c>
      <c r="B4270" s="4"/>
    </row>
    <row r="4271" customHeight="1" spans="1:2">
      <c r="A4271" s="3" t="s">
        <v>3491</v>
      </c>
      <c r="B4271" s="4">
        <v>21283440</v>
      </c>
    </row>
    <row r="4272" customHeight="1" spans="1:2">
      <c r="A4272" s="3" t="s">
        <v>22607</v>
      </c>
      <c r="B4272" s="4"/>
    </row>
    <row r="4273" customHeight="1" spans="1:2">
      <c r="A4273" s="3" t="s">
        <v>13998</v>
      </c>
      <c r="B4273" s="4"/>
    </row>
    <row r="4274" customHeight="1" spans="1:2">
      <c r="A4274" s="3" t="s">
        <v>6706</v>
      </c>
      <c r="B4274" s="4">
        <v>4485485</v>
      </c>
    </row>
    <row r="4275" customHeight="1" spans="1:2">
      <c r="A4275" s="3" t="s">
        <v>2978</v>
      </c>
      <c r="B4275" s="4">
        <v>12870569</v>
      </c>
    </row>
    <row r="4276" customHeight="1" spans="1:2">
      <c r="A4276" s="3" t="s">
        <v>20250</v>
      </c>
      <c r="B4276" s="4"/>
    </row>
    <row r="4277" customHeight="1" spans="1:2">
      <c r="A4277" s="3" t="s">
        <v>2096</v>
      </c>
      <c r="B4277" s="4">
        <v>118471320</v>
      </c>
    </row>
    <row r="4278" customHeight="1" spans="1:2">
      <c r="A4278" s="3" t="s">
        <v>4770</v>
      </c>
      <c r="B4278" s="4">
        <v>17305211</v>
      </c>
    </row>
    <row r="4279" customHeight="1" spans="1:2">
      <c r="A4279" s="3" t="s">
        <v>4952</v>
      </c>
      <c r="B4279" s="4">
        <v>37788228</v>
      </c>
    </row>
    <row r="4280" customHeight="1" spans="1:2">
      <c r="A4280" s="3" t="s">
        <v>344</v>
      </c>
      <c r="B4280" s="4">
        <v>198539855</v>
      </c>
    </row>
    <row r="4281" customHeight="1" spans="1:2">
      <c r="A4281" s="3" t="s">
        <v>17731</v>
      </c>
      <c r="B4281" s="4">
        <v>5824</v>
      </c>
    </row>
    <row r="4282" customHeight="1" spans="1:2">
      <c r="A4282" s="3" t="s">
        <v>3991</v>
      </c>
      <c r="B4282" s="4">
        <v>116006080</v>
      </c>
    </row>
    <row r="4283" customHeight="1" spans="1:2">
      <c r="A4283" s="3" t="s">
        <v>17164</v>
      </c>
      <c r="B4283" s="4"/>
    </row>
    <row r="4284" customHeight="1" spans="1:2">
      <c r="A4284" s="3" t="s">
        <v>16626</v>
      </c>
      <c r="B4284" s="4">
        <v>7680</v>
      </c>
    </row>
    <row r="4285" customHeight="1" spans="1:2">
      <c r="A4285" s="3" t="s">
        <v>21195</v>
      </c>
      <c r="B4285" s="4"/>
    </row>
    <row r="4286" customHeight="1" spans="1:2">
      <c r="A4286" s="3" t="s">
        <v>4069</v>
      </c>
      <c r="B4286" s="4">
        <v>24127895</v>
      </c>
    </row>
    <row r="4287" customHeight="1" spans="1:2">
      <c r="A4287" s="3" t="s">
        <v>15443</v>
      </c>
      <c r="B4287" s="4">
        <v>10572742</v>
      </c>
    </row>
    <row r="4288" customHeight="1" spans="1:2">
      <c r="A4288" s="3" t="s">
        <v>21658</v>
      </c>
      <c r="B4288" s="4"/>
    </row>
    <row r="4289" customHeight="1" spans="1:2">
      <c r="A4289" s="3" t="s">
        <v>3615</v>
      </c>
      <c r="B4289" s="4">
        <v>53574088</v>
      </c>
    </row>
    <row r="4290" customHeight="1" spans="1:2">
      <c r="A4290" s="3" t="s">
        <v>12881</v>
      </c>
      <c r="B4290" s="4">
        <v>244465</v>
      </c>
    </row>
    <row r="4291" customHeight="1" spans="1:2">
      <c r="A4291" s="3" t="s">
        <v>17366</v>
      </c>
      <c r="B4291" s="4">
        <v>27012</v>
      </c>
    </row>
    <row r="4292" customHeight="1" spans="1:2">
      <c r="A4292" s="3" t="s">
        <v>16256</v>
      </c>
      <c r="B4292" s="4">
        <v>75078</v>
      </c>
    </row>
    <row r="4293" customHeight="1" spans="1:2">
      <c r="A4293" s="3" t="s">
        <v>11630</v>
      </c>
      <c r="B4293" s="4"/>
    </row>
    <row r="4294" customHeight="1" spans="1:2">
      <c r="A4294" s="3" t="s">
        <v>2945</v>
      </c>
      <c r="B4294" s="4">
        <v>31051126</v>
      </c>
    </row>
    <row r="4295" customHeight="1" spans="1:2">
      <c r="A4295" s="3" t="s">
        <v>22552</v>
      </c>
      <c r="B4295" s="4"/>
    </row>
    <row r="4296" customHeight="1" spans="1:2">
      <c r="A4296" s="3" t="s">
        <v>23523</v>
      </c>
      <c r="B4296" s="4"/>
    </row>
    <row r="4297" customHeight="1" spans="1:2">
      <c r="A4297" s="3" t="s">
        <v>1613</v>
      </c>
      <c r="B4297" s="4">
        <v>19673424</v>
      </c>
    </row>
    <row r="4298" customHeight="1" spans="1:2">
      <c r="A4298" s="3" t="s">
        <v>24068</v>
      </c>
      <c r="B4298" s="4"/>
    </row>
    <row r="4299" customHeight="1" spans="1:2">
      <c r="A4299" s="3" t="s">
        <v>7161</v>
      </c>
      <c r="B4299" s="4">
        <v>25615792</v>
      </c>
    </row>
    <row r="4300" customHeight="1" spans="1:2">
      <c r="A4300" s="3" t="s">
        <v>19447</v>
      </c>
      <c r="B4300" s="4">
        <v>1332</v>
      </c>
    </row>
    <row r="4301" customHeight="1" spans="1:2">
      <c r="A4301" s="3" t="s">
        <v>17595</v>
      </c>
      <c r="B4301" s="4">
        <v>2283276</v>
      </c>
    </row>
    <row r="4302" customHeight="1" spans="1:2">
      <c r="A4302" s="3" t="s">
        <v>15867</v>
      </c>
      <c r="B4302" s="4">
        <v>1391770</v>
      </c>
    </row>
    <row r="4303" customHeight="1" spans="1:2">
      <c r="A4303" s="3" t="s">
        <v>16359</v>
      </c>
      <c r="B4303" s="4"/>
    </row>
    <row r="4304" customHeight="1" spans="1:2">
      <c r="A4304" s="3" t="s">
        <v>1334</v>
      </c>
      <c r="B4304" s="4">
        <v>57010853</v>
      </c>
    </row>
    <row r="4305" customHeight="1" spans="1:2">
      <c r="A4305" s="3" t="s">
        <v>17802</v>
      </c>
      <c r="B4305" s="4"/>
    </row>
    <row r="4306" customHeight="1" spans="1:2">
      <c r="A4306" s="3" t="s">
        <v>17175</v>
      </c>
      <c r="B4306" s="4">
        <v>119500000</v>
      </c>
    </row>
    <row r="4307" customHeight="1" spans="1:2">
      <c r="A4307" s="3" t="s">
        <v>21069</v>
      </c>
      <c r="B4307" s="4"/>
    </row>
    <row r="4308" customHeight="1" spans="1:2">
      <c r="A4308" s="3" t="s">
        <v>17666</v>
      </c>
      <c r="B4308" s="4"/>
    </row>
    <row r="4309" customHeight="1" spans="1:2">
      <c r="A4309" s="3" t="s">
        <v>9340</v>
      </c>
      <c r="B4309" s="4">
        <v>26284475</v>
      </c>
    </row>
    <row r="4310" customHeight="1" spans="1:2">
      <c r="A4310" s="3" t="s">
        <v>2637</v>
      </c>
      <c r="B4310" s="4">
        <v>32940507</v>
      </c>
    </row>
    <row r="4311" customHeight="1" spans="1:2">
      <c r="A4311" s="3" t="s">
        <v>5453</v>
      </c>
      <c r="B4311" s="4">
        <v>15081783</v>
      </c>
    </row>
    <row r="4312" customHeight="1" spans="1:2">
      <c r="A4312" s="3" t="s">
        <v>22015</v>
      </c>
      <c r="B4312" s="4"/>
    </row>
    <row r="4313" customHeight="1" spans="1:2">
      <c r="A4313" s="3" t="s">
        <v>4076</v>
      </c>
      <c r="B4313" s="4">
        <v>6105175</v>
      </c>
    </row>
    <row r="4314" customHeight="1" spans="1:2">
      <c r="A4314" s="3" t="s">
        <v>18529</v>
      </c>
      <c r="B4314" s="4"/>
    </row>
    <row r="4315" customHeight="1" spans="1:2">
      <c r="A4315" s="3" t="s">
        <v>4439</v>
      </c>
      <c r="B4315" s="4">
        <v>33508922</v>
      </c>
    </row>
    <row r="4316" customHeight="1" spans="1:2">
      <c r="A4316" s="3" t="s">
        <v>466</v>
      </c>
      <c r="B4316" s="4">
        <v>111110575</v>
      </c>
    </row>
    <row r="4317" customHeight="1" spans="1:2">
      <c r="A4317" s="3" t="s">
        <v>12208</v>
      </c>
      <c r="B4317" s="4">
        <v>1165104</v>
      </c>
    </row>
    <row r="4318" customHeight="1" spans="1:2">
      <c r="A4318" s="3" t="s">
        <v>21045</v>
      </c>
      <c r="B4318" s="4"/>
    </row>
    <row r="4319" customHeight="1" spans="1:2">
      <c r="A4319" s="3" t="s">
        <v>3095</v>
      </c>
      <c r="B4319" s="4">
        <v>36385763</v>
      </c>
    </row>
    <row r="4320" customHeight="1" spans="1:2">
      <c r="A4320" s="3" t="s">
        <v>24040</v>
      </c>
      <c r="B4320" s="4"/>
    </row>
    <row r="4321" customHeight="1" spans="1:2">
      <c r="A4321" s="3" t="s">
        <v>8615</v>
      </c>
      <c r="B4321" s="4">
        <v>16988996</v>
      </c>
    </row>
    <row r="4322" customHeight="1" spans="1:2">
      <c r="A4322" s="3" t="s">
        <v>19059</v>
      </c>
      <c r="B4322" s="4">
        <v>7098492</v>
      </c>
    </row>
    <row r="4323" customHeight="1" spans="1:2">
      <c r="A4323" s="3" t="s">
        <v>10675</v>
      </c>
      <c r="B4323" s="4"/>
    </row>
    <row r="4324" customHeight="1" spans="1:2">
      <c r="A4324" s="3" t="s">
        <v>5334</v>
      </c>
      <c r="B4324" s="4">
        <v>13264986</v>
      </c>
    </row>
    <row r="4325" customHeight="1" spans="1:2">
      <c r="A4325" s="3" t="s">
        <v>11113</v>
      </c>
      <c r="B4325" s="4">
        <v>14989761</v>
      </c>
    </row>
    <row r="4326" customHeight="1" spans="1:2">
      <c r="A4326" s="3" t="s">
        <v>16521</v>
      </c>
      <c r="B4326" s="4">
        <v>34350553</v>
      </c>
    </row>
    <row r="4327" customHeight="1" spans="1:2">
      <c r="A4327" s="3" t="s">
        <v>18993</v>
      </c>
      <c r="B4327" s="4">
        <v>439958</v>
      </c>
    </row>
    <row r="4328" customHeight="1" spans="1:2">
      <c r="A4328" s="3" t="s">
        <v>5552</v>
      </c>
      <c r="B4328" s="4">
        <v>17225675</v>
      </c>
    </row>
    <row r="4329" customHeight="1" spans="1:2">
      <c r="A4329" s="3" t="s">
        <v>20070</v>
      </c>
      <c r="B4329" s="4">
        <v>110720</v>
      </c>
    </row>
    <row r="4330" customHeight="1" spans="1:2">
      <c r="A4330" s="3" t="s">
        <v>16856</v>
      </c>
      <c r="B4330" s="4">
        <v>3559990</v>
      </c>
    </row>
    <row r="4331" customHeight="1" spans="1:2">
      <c r="A4331" s="3" t="s">
        <v>19773</v>
      </c>
      <c r="B4331" s="4">
        <v>318622</v>
      </c>
    </row>
    <row r="4332" customHeight="1" spans="1:2">
      <c r="A4332" s="3" t="s">
        <v>23610</v>
      </c>
      <c r="B4332" s="4"/>
    </row>
    <row r="4333" customHeight="1" spans="1:2">
      <c r="A4333" s="3" t="s">
        <v>20836</v>
      </c>
      <c r="B4333" s="4"/>
    </row>
    <row r="4334" customHeight="1" spans="1:2">
      <c r="A4334" s="3" t="s">
        <v>6347</v>
      </c>
      <c r="B4334" s="4"/>
    </row>
    <row r="4335" customHeight="1" spans="1:2">
      <c r="A4335" s="3" t="s">
        <v>20251</v>
      </c>
      <c r="B4335" s="4"/>
    </row>
    <row r="4336" customHeight="1" spans="1:2">
      <c r="A4336" s="3" t="s">
        <v>19416</v>
      </c>
      <c r="B4336" s="4"/>
    </row>
    <row r="4337" customHeight="1" spans="1:2">
      <c r="A4337" s="3" t="s">
        <v>11921</v>
      </c>
      <c r="B4337" s="4"/>
    </row>
    <row r="4338" customHeight="1" spans="1:2">
      <c r="A4338" s="3" t="s">
        <v>9574</v>
      </c>
      <c r="B4338" s="4">
        <v>325491</v>
      </c>
    </row>
    <row r="4339" customHeight="1" spans="1:2">
      <c r="A4339" s="3" t="s">
        <v>23364</v>
      </c>
      <c r="B4339" s="4"/>
    </row>
    <row r="4340" customHeight="1" spans="1:2">
      <c r="A4340" s="3" t="s">
        <v>19812</v>
      </c>
      <c r="B4340" s="4">
        <v>203134</v>
      </c>
    </row>
    <row r="4341" customHeight="1" spans="1:2">
      <c r="A4341" s="3" t="s">
        <v>1601</v>
      </c>
      <c r="B4341" s="4">
        <v>32885565</v>
      </c>
    </row>
    <row r="4342" customHeight="1" spans="1:2">
      <c r="A4342" s="3" t="s">
        <v>3610</v>
      </c>
      <c r="B4342" s="4">
        <v>25900000</v>
      </c>
    </row>
    <row r="4343" customHeight="1" spans="1:2">
      <c r="A4343" s="3" t="s">
        <v>5606</v>
      </c>
      <c r="B4343" s="4">
        <v>54696902</v>
      </c>
    </row>
    <row r="4344" customHeight="1" spans="1:2">
      <c r="A4344" s="3" t="s">
        <v>21560</v>
      </c>
      <c r="B4344" s="4"/>
    </row>
    <row r="4345" customHeight="1" spans="1:2">
      <c r="A4345" s="3" t="s">
        <v>208</v>
      </c>
      <c r="B4345" s="4">
        <v>47375327</v>
      </c>
    </row>
    <row r="4346" customHeight="1" spans="1:2">
      <c r="A4346" s="3" t="s">
        <v>24067</v>
      </c>
      <c r="B4346" s="4"/>
    </row>
    <row r="4347" customHeight="1" spans="1:2">
      <c r="A4347" s="3" t="s">
        <v>15259</v>
      </c>
      <c r="B4347" s="4">
        <v>53884821</v>
      </c>
    </row>
    <row r="4348" customHeight="1" spans="1:2">
      <c r="A4348" s="3" t="s">
        <v>16352</v>
      </c>
      <c r="B4348" s="4">
        <v>304137</v>
      </c>
    </row>
    <row r="4349" customHeight="1" spans="1:2">
      <c r="A4349" s="3" t="s">
        <v>6575</v>
      </c>
      <c r="B4349" s="4">
        <v>2775593</v>
      </c>
    </row>
    <row r="4350" customHeight="1" spans="1:2">
      <c r="A4350" s="3" t="s">
        <v>14141</v>
      </c>
      <c r="B4350" s="4">
        <v>144812796</v>
      </c>
    </row>
    <row r="4351" customHeight="1" spans="1:2">
      <c r="A4351" s="3" t="s">
        <v>23245</v>
      </c>
      <c r="B4351" s="4"/>
    </row>
    <row r="4352" customHeight="1" spans="1:2">
      <c r="A4352" s="3" t="s">
        <v>16288</v>
      </c>
      <c r="B4352" s="4"/>
    </row>
    <row r="4353" customHeight="1" spans="1:2">
      <c r="A4353" s="3" t="s">
        <v>5869</v>
      </c>
      <c r="B4353" s="4">
        <v>65010106</v>
      </c>
    </row>
    <row r="4354" customHeight="1" spans="1:2">
      <c r="A4354" s="3" t="s">
        <v>13847</v>
      </c>
      <c r="B4354" s="4">
        <v>127144</v>
      </c>
    </row>
    <row r="4355" customHeight="1" spans="1:2">
      <c r="A4355" s="3" t="s">
        <v>16385</v>
      </c>
      <c r="B4355" s="4">
        <v>2706659</v>
      </c>
    </row>
    <row r="4356" customHeight="1" spans="1:2">
      <c r="A4356" s="3" t="s">
        <v>842</v>
      </c>
      <c r="B4356" s="4">
        <v>104374107</v>
      </c>
    </row>
    <row r="4357" customHeight="1" spans="1:2">
      <c r="A4357" s="3" t="s">
        <v>20795</v>
      </c>
      <c r="B4357" s="4"/>
    </row>
    <row r="4358" customHeight="1" spans="1:2">
      <c r="A4358" s="3" t="s">
        <v>16039</v>
      </c>
      <c r="B4358" s="4">
        <v>10941801</v>
      </c>
    </row>
    <row r="4359" customHeight="1" spans="1:2">
      <c r="A4359" s="3" t="s">
        <v>22991</v>
      </c>
      <c r="B4359" s="4"/>
    </row>
    <row r="4360" customHeight="1" spans="1:2">
      <c r="A4360" s="3" t="s">
        <v>24142</v>
      </c>
      <c r="B4360" s="4"/>
    </row>
    <row r="4361" customHeight="1" spans="1:2">
      <c r="A4361" s="3" t="s">
        <v>13236</v>
      </c>
      <c r="B4361" s="4">
        <v>33244684</v>
      </c>
    </row>
    <row r="4362" customHeight="1" spans="1:2">
      <c r="A4362" s="3" t="s">
        <v>5638</v>
      </c>
      <c r="B4362" s="4">
        <v>17848322</v>
      </c>
    </row>
    <row r="4363" customHeight="1" spans="1:2">
      <c r="A4363" s="3" t="s">
        <v>21368</v>
      </c>
      <c r="B4363" s="4"/>
    </row>
    <row r="4364" customHeight="1" spans="1:2">
      <c r="A4364" s="3" t="s">
        <v>2268</v>
      </c>
      <c r="B4364" s="4">
        <v>33328051</v>
      </c>
    </row>
    <row r="4365" customHeight="1" spans="1:2">
      <c r="A4365" s="3" t="s">
        <v>23431</v>
      </c>
      <c r="B4365" s="4"/>
    </row>
    <row r="4366" customHeight="1" spans="1:2">
      <c r="A4366" s="3" t="s">
        <v>9924</v>
      </c>
      <c r="B4366" s="4">
        <v>13854000</v>
      </c>
    </row>
    <row r="4367" customHeight="1" spans="1:2">
      <c r="A4367" s="3" t="s">
        <v>21668</v>
      </c>
      <c r="B4367" s="4"/>
    </row>
    <row r="4368" customHeight="1" spans="1:2">
      <c r="A4368" s="3" t="s">
        <v>7324</v>
      </c>
      <c r="B4368" s="4"/>
    </row>
    <row r="4369" customHeight="1" spans="1:2">
      <c r="A4369" s="3" t="s">
        <v>3752</v>
      </c>
      <c r="B4369" s="4">
        <v>70001065</v>
      </c>
    </row>
    <row r="4370" customHeight="1" spans="1:2">
      <c r="A4370" s="3" t="s">
        <v>4621</v>
      </c>
      <c r="B4370" s="4">
        <v>3675072</v>
      </c>
    </row>
    <row r="4371" customHeight="1" spans="1:2">
      <c r="A4371" s="3" t="s">
        <v>4505</v>
      </c>
      <c r="B4371" s="4">
        <v>22433915</v>
      </c>
    </row>
    <row r="4372" customHeight="1" spans="1:2">
      <c r="A4372" s="3" t="s">
        <v>4457</v>
      </c>
      <c r="B4372" s="4">
        <v>30993544</v>
      </c>
    </row>
    <row r="4373" customHeight="1" spans="1:2">
      <c r="A4373" s="3" t="s">
        <v>17229</v>
      </c>
      <c r="B4373" s="4"/>
    </row>
    <row r="4374" customHeight="1" spans="1:2">
      <c r="A4374" s="3" t="s">
        <v>16687</v>
      </c>
      <c r="B4374" s="4"/>
    </row>
    <row r="4375" customHeight="1" spans="1:2">
      <c r="A4375" s="3" t="s">
        <v>17334</v>
      </c>
      <c r="B4375" s="4"/>
    </row>
    <row r="4376" customHeight="1" spans="1:2">
      <c r="A4376" s="3" t="s">
        <v>1385</v>
      </c>
      <c r="B4376" s="4">
        <v>43575716</v>
      </c>
    </row>
    <row r="4377" customHeight="1" spans="1:2">
      <c r="A4377" s="3" t="s">
        <v>20367</v>
      </c>
      <c r="B4377" s="4">
        <v>76382</v>
      </c>
    </row>
    <row r="4378" customHeight="1" spans="1:2">
      <c r="A4378" s="3" t="s">
        <v>16625</v>
      </c>
      <c r="B4378" s="4"/>
    </row>
    <row r="4379" customHeight="1" spans="1:2">
      <c r="A4379" s="3" t="s">
        <v>3427</v>
      </c>
      <c r="B4379" s="4">
        <v>27067160</v>
      </c>
    </row>
    <row r="4380" customHeight="1" spans="1:2">
      <c r="A4380" s="3" t="s">
        <v>16397</v>
      </c>
      <c r="B4380" s="4">
        <v>61094903</v>
      </c>
    </row>
    <row r="4381" customHeight="1" spans="1:2">
      <c r="A4381" s="3" t="s">
        <v>20801</v>
      </c>
      <c r="B4381" s="4"/>
    </row>
    <row r="4382" customHeight="1" spans="1:2">
      <c r="A4382" s="3" t="s">
        <v>11499</v>
      </c>
      <c r="B4382" s="4">
        <v>1089445</v>
      </c>
    </row>
    <row r="4383" customHeight="1" spans="1:2">
      <c r="A4383" s="3" t="s">
        <v>15944</v>
      </c>
      <c r="B4383" s="4">
        <v>199228</v>
      </c>
    </row>
    <row r="4384" customHeight="1" spans="1:2">
      <c r="A4384" s="3" t="s">
        <v>4184</v>
      </c>
      <c r="B4384" s="4">
        <v>90703745</v>
      </c>
    </row>
    <row r="4385" customHeight="1" spans="1:2">
      <c r="A4385" s="3" t="s">
        <v>8656</v>
      </c>
      <c r="B4385" s="4">
        <v>15988876</v>
      </c>
    </row>
    <row r="4386" customHeight="1" spans="1:2">
      <c r="A4386" s="3" t="s">
        <v>19712</v>
      </c>
      <c r="B4386" s="4">
        <v>2360184</v>
      </c>
    </row>
    <row r="4387" customHeight="1" spans="1:2">
      <c r="A4387" s="3" t="s">
        <v>19667</v>
      </c>
      <c r="B4387" s="4">
        <v>34151</v>
      </c>
    </row>
    <row r="4388" customHeight="1" spans="1:2">
      <c r="A4388" s="3" t="s">
        <v>20329</v>
      </c>
      <c r="B4388" s="4">
        <v>1227508</v>
      </c>
    </row>
    <row r="4389" customHeight="1" spans="1:2">
      <c r="A4389" s="3" t="s">
        <v>8832</v>
      </c>
      <c r="B4389" s="4">
        <v>6852144</v>
      </c>
    </row>
    <row r="4390" customHeight="1" spans="1:2">
      <c r="A4390" s="3" t="s">
        <v>10420</v>
      </c>
      <c r="B4390" s="4">
        <v>10353690</v>
      </c>
    </row>
    <row r="4391" customHeight="1" spans="1:2">
      <c r="A4391" s="3" t="s">
        <v>7130</v>
      </c>
      <c r="B4391" s="4">
        <v>31655091</v>
      </c>
    </row>
    <row r="4392" customHeight="1" spans="1:2">
      <c r="A4392" s="3" t="s">
        <v>19535</v>
      </c>
      <c r="B4392" s="4">
        <v>21199</v>
      </c>
    </row>
    <row r="4393" customHeight="1" spans="1:2">
      <c r="A4393" s="3" t="s">
        <v>3520</v>
      </c>
      <c r="B4393" s="4">
        <v>8355815</v>
      </c>
    </row>
    <row r="4394" customHeight="1" spans="1:2">
      <c r="A4394" s="3" t="s">
        <v>8302</v>
      </c>
      <c r="B4394" s="4">
        <v>47852604</v>
      </c>
    </row>
    <row r="4395" customHeight="1" spans="1:2">
      <c r="A4395" s="3" t="s">
        <v>2596</v>
      </c>
      <c r="B4395" s="4">
        <v>36965395</v>
      </c>
    </row>
    <row r="4396" customHeight="1" spans="1:2">
      <c r="A4396" s="3" t="s">
        <v>5922</v>
      </c>
      <c r="B4396" s="4">
        <v>64238770</v>
      </c>
    </row>
    <row r="4397" customHeight="1" spans="1:2">
      <c r="A4397" s="3" t="s">
        <v>6552</v>
      </c>
      <c r="B4397" s="4">
        <v>8888143</v>
      </c>
    </row>
    <row r="4398" customHeight="1" spans="1:2">
      <c r="A4398" s="3" t="s">
        <v>21586</v>
      </c>
      <c r="B4398" s="4"/>
    </row>
    <row r="4399" customHeight="1" spans="1:2">
      <c r="A4399" s="3" t="s">
        <v>1942</v>
      </c>
      <c r="B4399" s="4">
        <v>120523073</v>
      </c>
    </row>
    <row r="4400" customHeight="1" spans="1:2">
      <c r="A4400" s="3" t="s">
        <v>14400</v>
      </c>
      <c r="B4400" s="4">
        <v>453079</v>
      </c>
    </row>
    <row r="4401" customHeight="1" spans="1:2">
      <c r="A4401" s="3" t="s">
        <v>6383</v>
      </c>
      <c r="B4401" s="4">
        <v>18593156</v>
      </c>
    </row>
    <row r="4402" customHeight="1" spans="1:2">
      <c r="A4402" s="3" t="s">
        <v>9776</v>
      </c>
      <c r="B4402" s="4">
        <v>42700000</v>
      </c>
    </row>
    <row r="4403" customHeight="1" spans="1:2">
      <c r="A4403" s="3" t="s">
        <v>11279</v>
      </c>
      <c r="B4403" s="4">
        <v>10996440</v>
      </c>
    </row>
    <row r="4404" customHeight="1" spans="1:2">
      <c r="A4404" s="3" t="s">
        <v>15030</v>
      </c>
      <c r="B4404" s="4"/>
    </row>
    <row r="4405" customHeight="1" spans="1:2">
      <c r="A4405" s="3" t="s">
        <v>21616</v>
      </c>
      <c r="B4405" s="4"/>
    </row>
    <row r="4406" customHeight="1" spans="1:2">
      <c r="A4406" s="3" t="s">
        <v>7283</v>
      </c>
      <c r="B4406" s="4">
        <v>14589444</v>
      </c>
    </row>
    <row r="4407" customHeight="1" spans="1:2">
      <c r="A4407" s="3" t="s">
        <v>22273</v>
      </c>
      <c r="B4407" s="4"/>
    </row>
    <row r="4408" customHeight="1" spans="1:2">
      <c r="A4408" s="3" t="s">
        <v>20239</v>
      </c>
      <c r="B4408" s="4"/>
    </row>
    <row r="4409" customHeight="1" spans="1:2">
      <c r="A4409" s="3" t="s">
        <v>17394</v>
      </c>
      <c r="B4409" s="4">
        <v>379643</v>
      </c>
    </row>
    <row r="4410" customHeight="1" spans="1:2">
      <c r="A4410" s="3" t="s">
        <v>4730</v>
      </c>
      <c r="B4410" s="4"/>
    </row>
    <row r="4411" customHeight="1" spans="1:2">
      <c r="A4411" s="3" t="s">
        <v>20741</v>
      </c>
      <c r="B4411" s="4"/>
    </row>
    <row r="4412" customHeight="1" spans="1:2">
      <c r="A4412" s="3" t="s">
        <v>1410</v>
      </c>
      <c r="B4412" s="4">
        <v>180965237</v>
      </c>
    </row>
    <row r="4413" customHeight="1" spans="1:2">
      <c r="A4413" s="3" t="s">
        <v>22770</v>
      </c>
      <c r="B4413" s="4"/>
    </row>
    <row r="4414" customHeight="1" spans="1:2">
      <c r="A4414" s="3" t="s">
        <v>9641</v>
      </c>
      <c r="B4414" s="4">
        <v>172051787</v>
      </c>
    </row>
    <row r="4415" customHeight="1" spans="1:2">
      <c r="A4415" s="3" t="s">
        <v>15402</v>
      </c>
      <c r="B4415" s="4">
        <v>15126948</v>
      </c>
    </row>
    <row r="4416" customHeight="1" spans="1:2">
      <c r="A4416" s="3" t="s">
        <v>15972</v>
      </c>
      <c r="B4416" s="4">
        <v>105500000</v>
      </c>
    </row>
    <row r="4417" customHeight="1" spans="1:2">
      <c r="A4417" s="3" t="s">
        <v>3063</v>
      </c>
      <c r="B4417" s="4">
        <v>25031037</v>
      </c>
    </row>
    <row r="4418" customHeight="1" spans="1:2">
      <c r="A4418" s="3" t="s">
        <v>11866</v>
      </c>
      <c r="B4418" s="4">
        <v>793352</v>
      </c>
    </row>
    <row r="4419" customHeight="1" spans="1:2">
      <c r="A4419" s="3" t="s">
        <v>23183</v>
      </c>
      <c r="B4419" s="4"/>
    </row>
    <row r="4420" customHeight="1" spans="1:2">
      <c r="A4420" s="3" t="s">
        <v>8693</v>
      </c>
      <c r="B4420" s="4">
        <v>13391174</v>
      </c>
    </row>
    <row r="4421" customHeight="1" spans="1:2">
      <c r="A4421" s="3" t="s">
        <v>2719</v>
      </c>
      <c r="B4421" s="4">
        <v>19781879</v>
      </c>
    </row>
    <row r="4422" customHeight="1" spans="1:2">
      <c r="A4422" s="3" t="s">
        <v>23963</v>
      </c>
      <c r="B4422" s="4"/>
    </row>
    <row r="4423" customHeight="1" spans="1:2">
      <c r="A4423" s="3" t="s">
        <v>6426</v>
      </c>
      <c r="B4423" s="4"/>
    </row>
    <row r="4424" customHeight="1" spans="1:2">
      <c r="A4424" s="3" t="s">
        <v>6397</v>
      </c>
      <c r="B4424" s="4">
        <v>38317535</v>
      </c>
    </row>
    <row r="4425" customHeight="1" spans="1:2">
      <c r="A4425" s="3" t="s">
        <v>22621</v>
      </c>
      <c r="B4425" s="4"/>
    </row>
    <row r="4426" customHeight="1" spans="1:2">
      <c r="A4426" s="3" t="s">
        <v>2774</v>
      </c>
      <c r="B4426" s="4">
        <v>44665963</v>
      </c>
    </row>
    <row r="4427" customHeight="1" spans="1:2">
      <c r="A4427" s="3" t="s">
        <v>14297</v>
      </c>
      <c r="B4427" s="4">
        <v>4720371</v>
      </c>
    </row>
    <row r="4428" customHeight="1" spans="1:2">
      <c r="A4428" s="3" t="s">
        <v>11208</v>
      </c>
      <c r="B4428" s="4">
        <v>28972187</v>
      </c>
    </row>
    <row r="4429" customHeight="1" spans="1:2">
      <c r="A4429" s="3" t="s">
        <v>10707</v>
      </c>
      <c r="B4429" s="4">
        <v>502028</v>
      </c>
    </row>
    <row r="4430" customHeight="1" spans="1:2">
      <c r="A4430" s="3" t="s">
        <v>24050</v>
      </c>
      <c r="B4430" s="4"/>
    </row>
    <row r="4431" customHeight="1" spans="1:2">
      <c r="A4431" s="3" t="s">
        <v>7097</v>
      </c>
      <c r="B4431" s="4">
        <v>35000629</v>
      </c>
    </row>
    <row r="4432" customHeight="1" spans="1:2">
      <c r="A4432" s="3" t="s">
        <v>2310</v>
      </c>
      <c r="B4432" s="4">
        <v>2208939</v>
      </c>
    </row>
    <row r="4433" customHeight="1" spans="1:2">
      <c r="A4433" s="3" t="s">
        <v>649</v>
      </c>
      <c r="B4433" s="4">
        <v>107285004</v>
      </c>
    </row>
    <row r="4434" customHeight="1" spans="1:2">
      <c r="A4434" s="3" t="s">
        <v>16053</v>
      </c>
      <c r="B4434" s="4">
        <v>180011740</v>
      </c>
    </row>
    <row r="4435" customHeight="1" spans="1:2">
      <c r="A4435" s="3" t="s">
        <v>5831</v>
      </c>
      <c r="B4435" s="4">
        <v>90135191</v>
      </c>
    </row>
    <row r="4436" customHeight="1" spans="1:2">
      <c r="A4436" s="3" t="s">
        <v>7537</v>
      </c>
      <c r="B4436" s="4">
        <v>57262492</v>
      </c>
    </row>
    <row r="4437" customHeight="1" spans="1:2">
      <c r="A4437" s="3" t="s">
        <v>15688</v>
      </c>
      <c r="B4437" s="4"/>
    </row>
    <row r="4438" customHeight="1" spans="1:2">
      <c r="A4438" s="3" t="s">
        <v>3958</v>
      </c>
      <c r="B4438" s="4">
        <v>62318875</v>
      </c>
    </row>
    <row r="4439" customHeight="1" spans="1:2">
      <c r="A4439" s="3" t="s">
        <v>17816</v>
      </c>
      <c r="B4439" s="4"/>
    </row>
    <row r="4440" customHeight="1" spans="1:2">
      <c r="A4440" s="3" t="s">
        <v>5152</v>
      </c>
      <c r="B4440" s="4">
        <v>40687294</v>
      </c>
    </row>
    <row r="4441" customHeight="1" spans="1:2">
      <c r="A4441" s="3" t="s">
        <v>705</v>
      </c>
      <c r="B4441" s="4">
        <v>58607007</v>
      </c>
    </row>
    <row r="4442" customHeight="1" spans="1:2">
      <c r="A4442" s="3" t="s">
        <v>18307</v>
      </c>
      <c r="B4442" s="4"/>
    </row>
    <row r="4443" customHeight="1" spans="1:2">
      <c r="A4443" s="3" t="s">
        <v>12915</v>
      </c>
      <c r="B4443" s="4">
        <v>82739</v>
      </c>
    </row>
    <row r="4444" customHeight="1" spans="1:2">
      <c r="A4444" s="3" t="s">
        <v>3342</v>
      </c>
      <c r="B4444" s="4">
        <v>44484065</v>
      </c>
    </row>
    <row r="4445" customHeight="1" spans="1:2">
      <c r="A4445" s="3" t="s">
        <v>13071</v>
      </c>
      <c r="B4445" s="4">
        <v>16025394</v>
      </c>
    </row>
    <row r="4446" customHeight="1" spans="1:2">
      <c r="A4446" s="3" t="s">
        <v>12695</v>
      </c>
      <c r="B4446" s="4">
        <v>3275585</v>
      </c>
    </row>
    <row r="4447" customHeight="1" spans="1:2">
      <c r="A4447" s="3" t="s">
        <v>21059</v>
      </c>
      <c r="B4447" s="4"/>
    </row>
    <row r="4448" customHeight="1" spans="1:2">
      <c r="A4448" s="3" t="s">
        <v>21909</v>
      </c>
      <c r="B4448" s="4"/>
    </row>
    <row r="4449" customHeight="1" spans="1:2">
      <c r="A4449" s="3" t="s">
        <v>168</v>
      </c>
      <c r="B4449" s="4">
        <v>65171860</v>
      </c>
    </row>
    <row r="4450" customHeight="1" spans="1:2">
      <c r="A4450" s="3" t="s">
        <v>20010</v>
      </c>
      <c r="B4450" s="4"/>
    </row>
    <row r="4451" customHeight="1" spans="1:2">
      <c r="A4451" s="3" t="s">
        <v>11615</v>
      </c>
      <c r="B4451" s="4">
        <v>25776062</v>
      </c>
    </row>
    <row r="4452" customHeight="1" spans="1:2">
      <c r="A4452" s="3" t="s">
        <v>7304</v>
      </c>
      <c r="B4452" s="4">
        <v>18860403</v>
      </c>
    </row>
    <row r="4453" customHeight="1" spans="1:2">
      <c r="A4453" s="3" t="s">
        <v>11829</v>
      </c>
      <c r="B4453" s="4">
        <v>261481</v>
      </c>
    </row>
    <row r="4454" customHeight="1" spans="1:2">
      <c r="A4454" s="3" t="s">
        <v>873</v>
      </c>
      <c r="B4454" s="4">
        <v>261970615</v>
      </c>
    </row>
    <row r="4455" customHeight="1" spans="1:2">
      <c r="A4455" s="3" t="s">
        <v>21323</v>
      </c>
      <c r="B4455" s="4"/>
    </row>
    <row r="4456" customHeight="1" spans="1:2">
      <c r="A4456" s="3" t="s">
        <v>13536</v>
      </c>
      <c r="B4456" s="4">
        <v>3827466</v>
      </c>
    </row>
    <row r="4457" customHeight="1" spans="1:2">
      <c r="A4457" s="3" t="s">
        <v>2920</v>
      </c>
      <c r="B4457" s="4">
        <v>34238611</v>
      </c>
    </row>
    <row r="4458" customHeight="1" spans="1:2">
      <c r="A4458" s="3" t="s">
        <v>2420</v>
      </c>
      <c r="B4458" s="4">
        <v>93307796</v>
      </c>
    </row>
    <row r="4459" customHeight="1" spans="1:2">
      <c r="A4459" s="3" t="s">
        <v>13884</v>
      </c>
      <c r="B4459" s="4"/>
    </row>
    <row r="4460" customHeight="1" spans="1:2">
      <c r="A4460" s="3" t="s">
        <v>22819</v>
      </c>
      <c r="B4460" s="4"/>
    </row>
    <row r="4461" customHeight="1" spans="1:2">
      <c r="A4461" s="3" t="s">
        <v>11187</v>
      </c>
      <c r="B4461" s="4">
        <v>44726644</v>
      </c>
    </row>
    <row r="4462" customHeight="1" spans="1:2">
      <c r="A4462" s="3" t="s">
        <v>8258</v>
      </c>
      <c r="B4462" s="4">
        <v>60072596</v>
      </c>
    </row>
    <row r="4463" customHeight="1" spans="1:2">
      <c r="A4463" s="3" t="s">
        <v>12916</v>
      </c>
      <c r="B4463" s="4">
        <v>169379</v>
      </c>
    </row>
    <row r="4464" customHeight="1" spans="1:2">
      <c r="A4464" s="3" t="s">
        <v>12985</v>
      </c>
      <c r="B4464" s="4"/>
    </row>
    <row r="4465" customHeight="1" spans="1:2">
      <c r="A4465" s="3" t="s">
        <v>13241</v>
      </c>
      <c r="B4465" s="4">
        <v>24530513</v>
      </c>
    </row>
    <row r="4466" customHeight="1" spans="1:2">
      <c r="A4466" s="3" t="s">
        <v>2802</v>
      </c>
      <c r="B4466" s="4">
        <v>36931089</v>
      </c>
    </row>
    <row r="4467" customHeight="1" spans="1:2">
      <c r="A4467" s="3" t="s">
        <v>6628</v>
      </c>
      <c r="B4467" s="4">
        <v>362645141</v>
      </c>
    </row>
    <row r="4468" customHeight="1" spans="1:2">
      <c r="A4468" s="3" t="s">
        <v>20304</v>
      </c>
      <c r="B4468" s="4"/>
    </row>
    <row r="4469" customHeight="1" spans="1:2">
      <c r="A4469" s="3" t="s">
        <v>1469</v>
      </c>
      <c r="B4469" s="4">
        <v>120136047</v>
      </c>
    </row>
    <row r="4470" customHeight="1" spans="1:2">
      <c r="A4470" s="3" t="s">
        <v>15991</v>
      </c>
      <c r="B4470" s="4">
        <v>65007045</v>
      </c>
    </row>
    <row r="4471" customHeight="1" spans="1:2">
      <c r="A4471" s="3" t="s">
        <v>8923</v>
      </c>
      <c r="B4471" s="4">
        <v>1646664</v>
      </c>
    </row>
    <row r="4472" customHeight="1" spans="1:2">
      <c r="A4472" s="3" t="s">
        <v>915</v>
      </c>
      <c r="B4472" s="4">
        <v>100117603</v>
      </c>
    </row>
    <row r="4473" customHeight="1" spans="1:2">
      <c r="A4473" s="3" t="s">
        <v>19513</v>
      </c>
      <c r="B4473" s="4"/>
    </row>
    <row r="4474" customHeight="1" spans="1:2">
      <c r="A4474" s="3" t="s">
        <v>525</v>
      </c>
      <c r="B4474" s="4">
        <v>134518390</v>
      </c>
    </row>
    <row r="4475" customHeight="1" spans="1:2">
      <c r="A4475" s="3" t="s">
        <v>17259</v>
      </c>
      <c r="B4475" s="4">
        <v>1282084</v>
      </c>
    </row>
    <row r="4476" customHeight="1" spans="1:2">
      <c r="A4476" s="3" t="s">
        <v>13516</v>
      </c>
      <c r="B4476" s="4">
        <v>4440055</v>
      </c>
    </row>
    <row r="4477" customHeight="1" spans="1:2">
      <c r="A4477" s="3" t="s">
        <v>355</v>
      </c>
      <c r="B4477" s="4">
        <v>289994397</v>
      </c>
    </row>
    <row r="4478" customHeight="1" spans="1:2">
      <c r="A4478" s="3" t="s">
        <v>1477</v>
      </c>
      <c r="B4478" s="4">
        <v>128200012</v>
      </c>
    </row>
    <row r="4479" customHeight="1" spans="1:2">
      <c r="A4479" s="3" t="s">
        <v>5732</v>
      </c>
      <c r="B4479" s="4">
        <v>44983704</v>
      </c>
    </row>
    <row r="4480" customHeight="1" spans="1:2">
      <c r="A4480" s="3" t="s">
        <v>425</v>
      </c>
      <c r="B4480" s="4">
        <v>21379315</v>
      </c>
    </row>
    <row r="4481" customHeight="1" spans="1:2">
      <c r="A4481" s="3" t="s">
        <v>7054</v>
      </c>
      <c r="B4481" s="4">
        <v>41067398</v>
      </c>
    </row>
    <row r="4482" customHeight="1" spans="1:2">
      <c r="A4482" s="3" t="s">
        <v>824</v>
      </c>
      <c r="B4482" s="4">
        <v>313837577</v>
      </c>
    </row>
    <row r="4483" customHeight="1" spans="1:2">
      <c r="A4483" s="3" t="s">
        <v>943</v>
      </c>
      <c r="B4483" s="4">
        <v>66862068</v>
      </c>
    </row>
    <row r="4484" customHeight="1" spans="1:2">
      <c r="A4484" s="3" t="s">
        <v>22957</v>
      </c>
      <c r="B4484" s="4"/>
    </row>
    <row r="4485" customHeight="1" spans="1:2">
      <c r="A4485" s="3" t="s">
        <v>7984</v>
      </c>
      <c r="B4485" s="4">
        <v>16684352</v>
      </c>
    </row>
    <row r="4486" customHeight="1" spans="1:2">
      <c r="A4486" s="3" t="s">
        <v>12049</v>
      </c>
      <c r="B4486" s="4">
        <v>18381787</v>
      </c>
    </row>
    <row r="4487" customHeight="1" spans="1:2">
      <c r="A4487" s="3" t="s">
        <v>11386</v>
      </c>
      <c r="B4487" s="4">
        <v>1024175</v>
      </c>
    </row>
    <row r="4488" customHeight="1" spans="1:2">
      <c r="A4488" s="3" t="s">
        <v>15286</v>
      </c>
      <c r="B4488" s="4">
        <v>32453345</v>
      </c>
    </row>
    <row r="4489" customHeight="1" spans="1:2">
      <c r="A4489" s="3" t="s">
        <v>17859</v>
      </c>
      <c r="B4489" s="4">
        <v>18435</v>
      </c>
    </row>
    <row r="4490" customHeight="1" spans="1:2">
      <c r="A4490" s="3" t="s">
        <v>22186</v>
      </c>
      <c r="B4490" s="4"/>
    </row>
    <row r="4491" customHeight="1" spans="1:2">
      <c r="A4491" s="3" t="s">
        <v>20916</v>
      </c>
      <c r="B4491" s="4"/>
    </row>
    <row r="4492" customHeight="1" spans="1:2">
      <c r="A4492" s="3" t="s">
        <v>4838</v>
      </c>
      <c r="B4492" s="4">
        <v>26903709</v>
      </c>
    </row>
    <row r="4493" customHeight="1" spans="1:2">
      <c r="A4493" s="3" t="s">
        <v>4546</v>
      </c>
      <c r="B4493" s="4">
        <v>14358033</v>
      </c>
    </row>
    <row r="4494" customHeight="1" spans="1:2">
      <c r="A4494" s="3" t="s">
        <v>15317</v>
      </c>
      <c r="B4494" s="4">
        <v>21501098</v>
      </c>
    </row>
    <row r="4495" customHeight="1" spans="1:2">
      <c r="A4495" s="3" t="s">
        <v>10211</v>
      </c>
      <c r="B4495" s="4">
        <v>43022524</v>
      </c>
    </row>
    <row r="4496" customHeight="1" spans="1:2">
      <c r="A4496" s="3" t="s">
        <v>6739</v>
      </c>
      <c r="B4496" s="4">
        <v>109243478</v>
      </c>
    </row>
    <row r="4497" customHeight="1" spans="1:2">
      <c r="A4497" s="3" t="s">
        <v>19644</v>
      </c>
      <c r="B4497" s="4"/>
    </row>
    <row r="4498" customHeight="1" spans="1:2">
      <c r="A4498" s="3" t="s">
        <v>3274</v>
      </c>
      <c r="B4498" s="4"/>
    </row>
    <row r="4499" customHeight="1" spans="1:2">
      <c r="A4499" s="3" t="s">
        <v>5908</v>
      </c>
      <c r="B4499" s="4">
        <v>60033780</v>
      </c>
    </row>
    <row r="4500" customHeight="1" spans="1:2">
      <c r="A4500" s="3" t="s">
        <v>17996</v>
      </c>
      <c r="B4500" s="4">
        <v>92401</v>
      </c>
    </row>
    <row r="4501" customHeight="1" spans="1:2">
      <c r="A4501" s="3" t="s">
        <v>22061</v>
      </c>
      <c r="B4501" s="4"/>
    </row>
    <row r="4502" customHeight="1" spans="1:2">
      <c r="A4502" s="3" t="s">
        <v>4451</v>
      </c>
      <c r="B4502" s="4">
        <v>42615685</v>
      </c>
    </row>
    <row r="4503" customHeight="1" spans="1:2">
      <c r="A4503" s="3" t="s">
        <v>20849</v>
      </c>
      <c r="B4503" s="4"/>
    </row>
    <row r="4504" customHeight="1" spans="1:2">
      <c r="A4504" s="3" t="s">
        <v>2320</v>
      </c>
      <c r="B4504" s="4">
        <v>356784000</v>
      </c>
    </row>
    <row r="4505" customHeight="1" spans="1:2">
      <c r="A4505" s="3" t="s">
        <v>13601</v>
      </c>
      <c r="B4505" s="4">
        <v>45063889</v>
      </c>
    </row>
    <row r="4506" customHeight="1" spans="1:2">
      <c r="A4506" s="3" t="s">
        <v>8644</v>
      </c>
      <c r="B4506" s="4">
        <v>14359793</v>
      </c>
    </row>
    <row r="4507" customHeight="1" spans="1:2">
      <c r="A4507" s="3" t="s">
        <v>8974</v>
      </c>
      <c r="B4507" s="4"/>
    </row>
    <row r="4508" customHeight="1" spans="1:2">
      <c r="A4508" s="3" t="s">
        <v>16781</v>
      </c>
      <c r="B4508" s="4">
        <v>15935068</v>
      </c>
    </row>
    <row r="4509" customHeight="1" spans="1:2">
      <c r="A4509" s="3" t="s">
        <v>1596</v>
      </c>
      <c r="B4509" s="4">
        <v>38542418</v>
      </c>
    </row>
    <row r="4510" customHeight="1" spans="1:2">
      <c r="A4510" s="3" t="s">
        <v>13602</v>
      </c>
      <c r="B4510" s="4">
        <v>40066497</v>
      </c>
    </row>
    <row r="4511" customHeight="1" spans="1:2">
      <c r="A4511" s="3" t="s">
        <v>14096</v>
      </c>
      <c r="B4511" s="4">
        <v>113709992</v>
      </c>
    </row>
    <row r="4512" customHeight="1" spans="1:2">
      <c r="A4512" s="3" t="s">
        <v>4145</v>
      </c>
      <c r="B4512" s="4">
        <v>118500000</v>
      </c>
    </row>
    <row r="4513" customHeight="1" spans="1:2">
      <c r="A4513" s="3" t="s">
        <v>9607</v>
      </c>
      <c r="B4513" s="4">
        <v>71502303</v>
      </c>
    </row>
    <row r="4514" customHeight="1" spans="1:2">
      <c r="A4514" s="3" t="s">
        <v>430</v>
      </c>
      <c r="B4514" s="4">
        <v>64459316</v>
      </c>
    </row>
    <row r="4515" customHeight="1" spans="1:2">
      <c r="A4515" s="3" t="s">
        <v>1695</v>
      </c>
      <c r="B4515" s="4">
        <v>26000610</v>
      </c>
    </row>
    <row r="4516" customHeight="1" spans="1:2">
      <c r="A4516" s="3" t="s">
        <v>10243</v>
      </c>
      <c r="B4516" s="4">
        <v>20991497</v>
      </c>
    </row>
    <row r="4517" customHeight="1" spans="1:2">
      <c r="A4517" s="3" t="s">
        <v>19561</v>
      </c>
      <c r="B4517" s="4">
        <v>379122</v>
      </c>
    </row>
    <row r="4518" customHeight="1" spans="1:2">
      <c r="A4518" s="3" t="s">
        <v>13420</v>
      </c>
      <c r="B4518" s="4"/>
    </row>
    <row r="4519" customHeight="1" spans="1:2">
      <c r="A4519" s="3" t="s">
        <v>23892</v>
      </c>
      <c r="B4519" s="4"/>
    </row>
    <row r="4520" customHeight="1" spans="1:2">
      <c r="A4520" s="3" t="s">
        <v>21729</v>
      </c>
      <c r="B4520" s="4"/>
    </row>
    <row r="4521" customHeight="1" spans="1:2">
      <c r="A4521" s="3" t="s">
        <v>11852</v>
      </c>
      <c r="B4521" s="4">
        <v>447750</v>
      </c>
    </row>
    <row r="4522" customHeight="1" spans="1:2">
      <c r="A4522" s="3" t="s">
        <v>17998</v>
      </c>
      <c r="B4522" s="4">
        <v>992238</v>
      </c>
    </row>
    <row r="4523" customHeight="1" spans="1:2">
      <c r="A4523" s="3" t="s">
        <v>4404</v>
      </c>
      <c r="B4523" s="4">
        <v>50562555</v>
      </c>
    </row>
    <row r="4524" customHeight="1" spans="1:2">
      <c r="A4524" s="3" t="s">
        <v>16972</v>
      </c>
      <c r="B4524" s="4">
        <v>143000</v>
      </c>
    </row>
    <row r="4525" customHeight="1" spans="1:2">
      <c r="A4525" s="3" t="s">
        <v>19632</v>
      </c>
      <c r="B4525" s="4"/>
    </row>
    <row r="4526" customHeight="1" spans="1:2">
      <c r="A4526" s="3" t="s">
        <v>302</v>
      </c>
      <c r="B4526" s="4">
        <v>333130696</v>
      </c>
    </row>
    <row r="4527" customHeight="1" spans="1:2">
      <c r="A4527" s="3" t="s">
        <v>2019</v>
      </c>
      <c r="B4527" s="4">
        <v>40932372</v>
      </c>
    </row>
    <row r="4528" customHeight="1" spans="1:2">
      <c r="A4528" s="3" t="s">
        <v>5177</v>
      </c>
      <c r="B4528" s="4">
        <v>33422806</v>
      </c>
    </row>
    <row r="4529" customHeight="1" spans="1:2">
      <c r="A4529" s="3" t="s">
        <v>17870</v>
      </c>
      <c r="B4529" s="4">
        <v>2957978</v>
      </c>
    </row>
    <row r="4530" customHeight="1" spans="1:2">
      <c r="A4530" s="3" t="s">
        <v>1552</v>
      </c>
      <c r="B4530" s="4"/>
    </row>
    <row r="4531" customHeight="1" spans="1:2">
      <c r="A4531" s="3" t="s">
        <v>24039</v>
      </c>
      <c r="B4531" s="4"/>
    </row>
    <row r="4532" customHeight="1" spans="1:2">
      <c r="A4532" s="3" t="s">
        <v>5687</v>
      </c>
      <c r="B4532" s="4"/>
    </row>
    <row r="4533" customHeight="1" spans="1:2">
      <c r="A4533" s="3" t="s">
        <v>4719</v>
      </c>
      <c r="B4533" s="4">
        <v>6594136</v>
      </c>
    </row>
    <row r="4534" customHeight="1" spans="1:2">
      <c r="A4534" s="3" t="s">
        <v>706</v>
      </c>
      <c r="B4534" s="4">
        <v>43929341</v>
      </c>
    </row>
    <row r="4535" customHeight="1" spans="1:2">
      <c r="A4535" s="3" t="s">
        <v>5969</v>
      </c>
      <c r="B4535" s="4">
        <v>49186871</v>
      </c>
    </row>
    <row r="4536" customHeight="1" spans="1:2">
      <c r="A4536" s="3" t="s">
        <v>16096</v>
      </c>
      <c r="B4536" s="4">
        <v>7159147</v>
      </c>
    </row>
    <row r="4537" customHeight="1" spans="1:2">
      <c r="A4537" s="3" t="s">
        <v>237</v>
      </c>
      <c r="B4537" s="4">
        <v>100289690</v>
      </c>
    </row>
    <row r="4538" customHeight="1" spans="1:2">
      <c r="A4538" s="3" t="s">
        <v>5952</v>
      </c>
      <c r="B4538" s="4">
        <v>55210049</v>
      </c>
    </row>
    <row r="4539" customHeight="1" spans="1:2">
      <c r="A4539" s="3" t="s">
        <v>7224</v>
      </c>
      <c r="B4539" s="4">
        <v>22466994</v>
      </c>
    </row>
    <row r="4540" customHeight="1" spans="1:2">
      <c r="A4540" s="3" t="s">
        <v>8928</v>
      </c>
      <c r="B4540" s="4">
        <v>1027749</v>
      </c>
    </row>
    <row r="4541" customHeight="1" spans="1:2">
      <c r="A4541" s="3" t="s">
        <v>8345</v>
      </c>
      <c r="B4541" s="4"/>
    </row>
    <row r="4542" customHeight="1" spans="1:2">
      <c r="A4542" s="3" t="s">
        <v>4686</v>
      </c>
      <c r="B4542" s="4">
        <v>25335935</v>
      </c>
    </row>
    <row r="4543" customHeight="1" spans="1:2">
      <c r="A4543" s="3" t="s">
        <v>903</v>
      </c>
      <c r="B4543" s="4">
        <v>148383780</v>
      </c>
    </row>
    <row r="4544" customHeight="1" spans="1:2">
      <c r="A4544" s="3" t="s">
        <v>15919</v>
      </c>
      <c r="B4544" s="4"/>
    </row>
    <row r="4545" customHeight="1" spans="1:2">
      <c r="A4545" s="3" t="s">
        <v>45</v>
      </c>
      <c r="B4545" s="4"/>
    </row>
    <row r="4546" customHeight="1" spans="1:2">
      <c r="A4546" s="3" t="s">
        <v>10549</v>
      </c>
      <c r="B4546" s="4">
        <v>8378141</v>
      </c>
    </row>
    <row r="4547" customHeight="1" spans="1:2">
      <c r="A4547" s="3" t="s">
        <v>13753</v>
      </c>
      <c r="B4547" s="4"/>
    </row>
    <row r="4548" customHeight="1" spans="1:2">
      <c r="A4548" s="3" t="s">
        <v>16980</v>
      </c>
      <c r="B4548" s="4">
        <v>39852</v>
      </c>
    </row>
    <row r="4549" customHeight="1" spans="1:2">
      <c r="A4549" s="3" t="s">
        <v>6948</v>
      </c>
      <c r="B4549" s="4">
        <v>78656813</v>
      </c>
    </row>
    <row r="4550" customHeight="1" spans="1:2">
      <c r="A4550" s="3" t="s">
        <v>9750</v>
      </c>
      <c r="B4550" s="4">
        <v>4930798</v>
      </c>
    </row>
    <row r="4551" customHeight="1" spans="1:2">
      <c r="A4551" s="3" t="s">
        <v>13500</v>
      </c>
      <c r="B4551" s="4">
        <v>34017854</v>
      </c>
    </row>
    <row r="4552" customHeight="1" spans="1:2">
      <c r="A4552" s="3" t="s">
        <v>17054</v>
      </c>
      <c r="B4552" s="4"/>
    </row>
    <row r="4553" customHeight="1" spans="1:2">
      <c r="A4553" s="3" t="s">
        <v>19614</v>
      </c>
      <c r="B4553" s="4">
        <v>11798</v>
      </c>
    </row>
    <row r="4554" customHeight="1" spans="1:2">
      <c r="A4554" s="3" t="s">
        <v>18974</v>
      </c>
      <c r="B4554" s="4"/>
    </row>
    <row r="4555" customHeight="1" spans="1:2">
      <c r="A4555" s="3" t="s">
        <v>12167</v>
      </c>
      <c r="B4555" s="4">
        <v>434949459</v>
      </c>
    </row>
    <row r="4556" customHeight="1" spans="1:2">
      <c r="A4556" s="3" t="s">
        <v>7106</v>
      </c>
      <c r="B4556" s="4">
        <v>41597830</v>
      </c>
    </row>
    <row r="4557" customHeight="1" spans="1:2">
      <c r="A4557" s="3" t="s">
        <v>20900</v>
      </c>
      <c r="B4557" s="4"/>
    </row>
    <row r="4558" customHeight="1" spans="1:2">
      <c r="A4558" s="3" t="s">
        <v>3621</v>
      </c>
      <c r="B4558" s="4">
        <v>89253340</v>
      </c>
    </row>
    <row r="4559" customHeight="1" spans="1:2">
      <c r="A4559" s="3" t="s">
        <v>5545</v>
      </c>
      <c r="B4559" s="4">
        <v>309125409</v>
      </c>
    </row>
    <row r="4560" customHeight="1" spans="1:2">
      <c r="A4560" s="3" t="s">
        <v>10543</v>
      </c>
      <c r="B4560" s="4">
        <v>9172810</v>
      </c>
    </row>
    <row r="4561" customHeight="1" spans="1:2">
      <c r="A4561" s="3" t="s">
        <v>17372</v>
      </c>
      <c r="B4561" s="4">
        <v>76400000</v>
      </c>
    </row>
    <row r="4562" customHeight="1" spans="1:2">
      <c r="A4562" s="3" t="s">
        <v>11029</v>
      </c>
      <c r="B4562" s="4">
        <v>3958500</v>
      </c>
    </row>
    <row r="4563" customHeight="1" spans="1:2">
      <c r="A4563" s="3" t="s">
        <v>2284</v>
      </c>
      <c r="B4563" s="4"/>
    </row>
    <row r="4564" customHeight="1" spans="1:2">
      <c r="A4564" s="3" t="s">
        <v>15918</v>
      </c>
      <c r="B4564" s="4"/>
    </row>
    <row r="4565" customHeight="1" spans="1:2">
      <c r="A4565" s="3" t="s">
        <v>9446</v>
      </c>
      <c r="B4565" s="4">
        <v>4435083</v>
      </c>
    </row>
    <row r="4566" customHeight="1" spans="1:2">
      <c r="A4566" s="3" t="s">
        <v>9321</v>
      </c>
      <c r="B4566" s="4">
        <v>18329466</v>
      </c>
    </row>
    <row r="4567" customHeight="1" spans="1:2">
      <c r="A4567" s="3" t="s">
        <v>5705</v>
      </c>
      <c r="B4567" s="4">
        <v>14268533</v>
      </c>
    </row>
    <row r="4568" customHeight="1" spans="1:2">
      <c r="A4568" s="3" t="s">
        <v>3780</v>
      </c>
      <c r="B4568" s="4">
        <v>53854588</v>
      </c>
    </row>
    <row r="4569" customHeight="1" spans="1:2">
      <c r="A4569" s="3" t="s">
        <v>17208</v>
      </c>
      <c r="B4569" s="4"/>
    </row>
    <row r="4570" customHeight="1" spans="1:2">
      <c r="A4570" s="3" t="s">
        <v>23992</v>
      </c>
      <c r="B4570" s="4"/>
    </row>
    <row r="4571" customHeight="1" spans="1:2">
      <c r="A4571" s="3" t="s">
        <v>22485</v>
      </c>
      <c r="B4571" s="4"/>
    </row>
    <row r="4572" customHeight="1" spans="1:2">
      <c r="A4572" s="3" t="s">
        <v>4426</v>
      </c>
      <c r="B4572" s="4">
        <v>36037909</v>
      </c>
    </row>
    <row r="4573" customHeight="1" spans="1:2">
      <c r="A4573" s="3" t="s">
        <v>13465</v>
      </c>
      <c r="B4573" s="4">
        <v>29200000</v>
      </c>
    </row>
    <row r="4574" customHeight="1" spans="1:2">
      <c r="A4574" s="3" t="s">
        <v>21163</v>
      </c>
      <c r="B4574" s="4"/>
    </row>
    <row r="4575" customHeight="1" spans="1:2">
      <c r="A4575" s="3" t="s">
        <v>18390</v>
      </c>
      <c r="B4575" s="4">
        <v>13876974</v>
      </c>
    </row>
    <row r="4576" customHeight="1" spans="1:2">
      <c r="A4576" s="3" t="s">
        <v>7469</v>
      </c>
      <c r="B4576" s="4"/>
    </row>
    <row r="4577" customHeight="1" spans="1:2">
      <c r="A4577" s="3" t="s">
        <v>9663</v>
      </c>
      <c r="B4577" s="4">
        <v>21160089</v>
      </c>
    </row>
    <row r="4578" customHeight="1" spans="1:2">
      <c r="A4578" s="3" t="s">
        <v>15613</v>
      </c>
      <c r="B4578" s="4">
        <v>124720</v>
      </c>
    </row>
    <row r="4579" customHeight="1" spans="1:2">
      <c r="A4579" s="3" t="s">
        <v>23965</v>
      </c>
      <c r="B4579" s="4"/>
    </row>
    <row r="4580" customHeight="1" spans="1:2">
      <c r="A4580" s="3" t="s">
        <v>4924</v>
      </c>
      <c r="B4580" s="4">
        <v>14378353</v>
      </c>
    </row>
    <row r="4581" customHeight="1" spans="1:2">
      <c r="A4581" s="3" t="s">
        <v>17349</v>
      </c>
      <c r="B4581" s="4">
        <v>327919</v>
      </c>
    </row>
    <row r="4582" customHeight="1" spans="1:2">
      <c r="A4582" s="3" t="s">
        <v>23160</v>
      </c>
      <c r="B4582" s="4"/>
    </row>
    <row r="4583" customHeight="1" spans="1:2">
      <c r="A4583" s="3" t="s">
        <v>23628</v>
      </c>
      <c r="B4583" s="4"/>
    </row>
    <row r="4584" customHeight="1" spans="1:2">
      <c r="A4584" s="3" t="s">
        <v>17260</v>
      </c>
      <c r="B4584" s="4">
        <v>1186323</v>
      </c>
    </row>
    <row r="4585" customHeight="1" spans="1:2">
      <c r="A4585" s="3" t="s">
        <v>22257</v>
      </c>
      <c r="B4585" s="4"/>
    </row>
    <row r="4586" customHeight="1" spans="1:2">
      <c r="A4586" s="3" t="s">
        <v>7978</v>
      </c>
      <c r="B4586" s="4">
        <v>22294341</v>
      </c>
    </row>
    <row r="4587" customHeight="1" spans="1:2">
      <c r="A4587" s="3" t="s">
        <v>22762</v>
      </c>
      <c r="B4587" s="4"/>
    </row>
    <row r="4588" customHeight="1" spans="1:2">
      <c r="A4588" s="3" t="s">
        <v>17997</v>
      </c>
      <c r="B4588" s="4">
        <v>1943649</v>
      </c>
    </row>
    <row r="4589" customHeight="1" spans="1:2">
      <c r="A4589" s="3" t="s">
        <v>4779</v>
      </c>
      <c r="B4589" s="4">
        <v>16991902</v>
      </c>
    </row>
    <row r="4590" customHeight="1" spans="1:2">
      <c r="A4590" s="3" t="s">
        <v>14836</v>
      </c>
      <c r="B4590" s="4">
        <v>181798</v>
      </c>
    </row>
    <row r="4591" customHeight="1" spans="1:2">
      <c r="A4591" s="3" t="s">
        <v>6760</v>
      </c>
      <c r="B4591" s="4">
        <v>65703412</v>
      </c>
    </row>
    <row r="4592" customHeight="1" spans="1:2">
      <c r="A4592" s="3" t="s">
        <v>18046</v>
      </c>
      <c r="B4592" s="4">
        <v>26893</v>
      </c>
    </row>
    <row r="4593" customHeight="1" spans="1:2">
      <c r="A4593" s="3" t="s">
        <v>23931</v>
      </c>
      <c r="B4593" s="4"/>
    </row>
    <row r="4594" customHeight="1" spans="1:2">
      <c r="A4594" s="3" t="s">
        <v>19698</v>
      </c>
      <c r="B4594" s="4">
        <v>110197</v>
      </c>
    </row>
    <row r="4595" customHeight="1" spans="1:2">
      <c r="A4595" s="3" t="s">
        <v>14619</v>
      </c>
      <c r="B4595" s="4">
        <v>102300000</v>
      </c>
    </row>
    <row r="4596" customHeight="1" spans="1:2">
      <c r="A4596" s="3" t="s">
        <v>1932</v>
      </c>
      <c r="B4596" s="4">
        <v>136448821</v>
      </c>
    </row>
    <row r="4597" customHeight="1" spans="1:2">
      <c r="A4597" s="3" t="s">
        <v>19633</v>
      </c>
      <c r="B4597" s="4">
        <v>126387</v>
      </c>
    </row>
    <row r="4598" customHeight="1" spans="1:2">
      <c r="A4598" s="3" t="s">
        <v>5736</v>
      </c>
      <c r="B4598" s="4">
        <v>118099659</v>
      </c>
    </row>
    <row r="4599" customHeight="1" spans="1:2">
      <c r="A4599" s="3" t="s">
        <v>19650</v>
      </c>
      <c r="B4599" s="4"/>
    </row>
    <row r="4600" customHeight="1" spans="1:2">
      <c r="A4600" s="3" t="s">
        <v>15669</v>
      </c>
      <c r="B4600" s="4"/>
    </row>
    <row r="4601" customHeight="1" spans="1:2">
      <c r="A4601" s="3" t="s">
        <v>15977</v>
      </c>
      <c r="B4601" s="4"/>
    </row>
    <row r="4602" customHeight="1" spans="1:2">
      <c r="A4602" s="3" t="s">
        <v>20658</v>
      </c>
      <c r="B4602" s="4"/>
    </row>
    <row r="4603" customHeight="1" spans="1:2">
      <c r="A4603" s="3" t="s">
        <v>3985</v>
      </c>
      <c r="B4603" s="4">
        <v>31136950</v>
      </c>
    </row>
    <row r="4604" customHeight="1" spans="1:2">
      <c r="A4604" s="3" t="s">
        <v>3952</v>
      </c>
      <c r="B4604" s="4">
        <v>44834712</v>
      </c>
    </row>
    <row r="4605" customHeight="1" spans="1:2">
      <c r="A4605" s="3" t="s">
        <v>12162</v>
      </c>
      <c r="B4605" s="4">
        <v>22160085</v>
      </c>
    </row>
    <row r="4606" customHeight="1" spans="1:2">
      <c r="A4606" s="3" t="s">
        <v>19848</v>
      </c>
      <c r="B4606" s="4">
        <v>18195</v>
      </c>
    </row>
    <row r="4607" customHeight="1" spans="1:2">
      <c r="A4607" s="3" t="s">
        <v>4158</v>
      </c>
      <c r="B4607" s="4">
        <v>138614544</v>
      </c>
    </row>
    <row r="4608" customHeight="1" spans="1:2">
      <c r="A4608" s="3" t="s">
        <v>8733</v>
      </c>
      <c r="B4608" s="4">
        <v>11169531</v>
      </c>
    </row>
    <row r="4609" customHeight="1" spans="1:2">
      <c r="A4609" s="3" t="s">
        <v>8289</v>
      </c>
      <c r="B4609" s="4">
        <v>48546578</v>
      </c>
    </row>
    <row r="4610" customHeight="1" spans="1:2">
      <c r="A4610" s="3" t="s">
        <v>3243</v>
      </c>
      <c r="B4610" s="4">
        <v>88658172</v>
      </c>
    </row>
    <row r="4611" customHeight="1" spans="1:2">
      <c r="A4611" s="3" t="s">
        <v>1843</v>
      </c>
      <c r="B4611" s="4">
        <v>94999143</v>
      </c>
    </row>
    <row r="4612" customHeight="1" spans="1:2">
      <c r="A4612" s="3" t="s">
        <v>24073</v>
      </c>
      <c r="B4612" s="4"/>
    </row>
    <row r="4613" customHeight="1" spans="1:2">
      <c r="A4613" s="3" t="s">
        <v>21821</v>
      </c>
      <c r="B4613" s="4"/>
    </row>
    <row r="4614" customHeight="1" spans="1:2">
      <c r="A4614" s="3" t="s">
        <v>9857</v>
      </c>
      <c r="B4614" s="4">
        <v>27087695</v>
      </c>
    </row>
    <row r="4615" customHeight="1" spans="1:2">
      <c r="A4615" s="3" t="s">
        <v>9494</v>
      </c>
      <c r="B4615" s="4"/>
    </row>
    <row r="4616" customHeight="1" spans="1:2">
      <c r="A4616" s="3" t="s">
        <v>13678</v>
      </c>
      <c r="B4616" s="4">
        <v>14015786</v>
      </c>
    </row>
    <row r="4617" customHeight="1" spans="1:2">
      <c r="A4617" s="3" t="s">
        <v>22063</v>
      </c>
      <c r="B4617" s="4"/>
    </row>
    <row r="4618" customHeight="1" spans="1:2">
      <c r="A4618" s="3" t="s">
        <v>21822</v>
      </c>
      <c r="B4618" s="4"/>
    </row>
    <row r="4619" customHeight="1" spans="1:2">
      <c r="A4619" s="3" t="s">
        <v>6629</v>
      </c>
      <c r="B4619" s="4">
        <v>60491560</v>
      </c>
    </row>
    <row r="4620" customHeight="1" spans="1:2">
      <c r="A4620" s="3" t="s">
        <v>16314</v>
      </c>
      <c r="B4620" s="4"/>
    </row>
    <row r="4621" customHeight="1" spans="1:2">
      <c r="A4621" s="3" t="s">
        <v>7129</v>
      </c>
      <c r="B4621" s="4">
        <v>41229</v>
      </c>
    </row>
    <row r="4622" customHeight="1" spans="1:2">
      <c r="A4622" s="3" t="s">
        <v>4263</v>
      </c>
      <c r="B4622" s="4">
        <v>66808615</v>
      </c>
    </row>
    <row r="4623" customHeight="1" spans="1:2">
      <c r="A4623" s="3" t="s">
        <v>1297</v>
      </c>
      <c r="B4623" s="4"/>
    </row>
    <row r="4624" customHeight="1" spans="1:2">
      <c r="A4624" s="3" t="s">
        <v>9190</v>
      </c>
      <c r="B4624" s="4">
        <v>75072454</v>
      </c>
    </row>
    <row r="4625" customHeight="1" spans="1:2">
      <c r="A4625" s="3" t="s">
        <v>9831</v>
      </c>
      <c r="B4625" s="4">
        <v>40363530</v>
      </c>
    </row>
    <row r="4626" customHeight="1" spans="1:2">
      <c r="A4626" s="3" t="s">
        <v>21857</v>
      </c>
      <c r="B4626" s="4"/>
    </row>
    <row r="4627" customHeight="1" spans="1:2">
      <c r="A4627" s="3" t="s">
        <v>21569</v>
      </c>
      <c r="B4627" s="4"/>
    </row>
    <row r="4628" customHeight="1" spans="1:2">
      <c r="A4628" s="3" t="s">
        <v>13635</v>
      </c>
      <c r="B4628" s="4">
        <v>22551000</v>
      </c>
    </row>
    <row r="4629" customHeight="1" spans="1:2">
      <c r="A4629" s="3" t="s">
        <v>5413</v>
      </c>
      <c r="B4629" s="4"/>
    </row>
    <row r="4630" customHeight="1" spans="1:2">
      <c r="A4630" s="3" t="s">
        <v>22518</v>
      </c>
      <c r="B4630" s="4"/>
    </row>
    <row r="4631" customHeight="1" spans="1:2">
      <c r="A4631" s="3" t="s">
        <v>23849</v>
      </c>
      <c r="B4631" s="4"/>
    </row>
    <row r="4632" customHeight="1" spans="1:2">
      <c r="A4632" s="3" t="s">
        <v>3026</v>
      </c>
      <c r="B4632" s="4">
        <v>5660084</v>
      </c>
    </row>
    <row r="4633" customHeight="1" spans="1:2">
      <c r="A4633" s="3" t="s">
        <v>23906</v>
      </c>
      <c r="B4633" s="4"/>
    </row>
    <row r="4634" customHeight="1" spans="1:2">
      <c r="A4634" s="3" t="s">
        <v>22882</v>
      </c>
      <c r="B4634" s="4"/>
    </row>
    <row r="4635" customHeight="1" spans="1:2">
      <c r="A4635" s="3" t="s">
        <v>9563</v>
      </c>
      <c r="B4635" s="4">
        <v>39687528</v>
      </c>
    </row>
    <row r="4636" customHeight="1" spans="1:2">
      <c r="A4636" s="3" t="s">
        <v>17979</v>
      </c>
      <c r="B4636" s="4">
        <v>145540</v>
      </c>
    </row>
    <row r="4637" customHeight="1" spans="1:2">
      <c r="A4637" s="3" t="s">
        <v>11929</v>
      </c>
      <c r="B4637" s="4"/>
    </row>
    <row r="4638" customHeight="1" spans="1:2">
      <c r="A4638" s="3" t="s">
        <v>14316</v>
      </c>
      <c r="B4638" s="4">
        <v>2148212</v>
      </c>
    </row>
    <row r="4639" customHeight="1" spans="1:2">
      <c r="A4639" s="3" t="s">
        <v>18208</v>
      </c>
      <c r="B4639" s="4">
        <v>1163508</v>
      </c>
    </row>
    <row r="4640" customHeight="1" spans="1:2">
      <c r="A4640" s="3" t="s">
        <v>8640</v>
      </c>
      <c r="B4640" s="4">
        <v>15464026</v>
      </c>
    </row>
    <row r="4641" customHeight="1" spans="1:2">
      <c r="A4641" s="3" t="s">
        <v>3763</v>
      </c>
      <c r="B4641" s="4">
        <v>59365105</v>
      </c>
    </row>
    <row r="4642" customHeight="1" spans="1:2">
      <c r="A4642" s="3" t="s">
        <v>23512</v>
      </c>
      <c r="B4642" s="4"/>
    </row>
    <row r="4643" customHeight="1" spans="1:2">
      <c r="A4643" s="3" t="s">
        <v>9354</v>
      </c>
      <c r="B4643" s="4">
        <v>15561627</v>
      </c>
    </row>
    <row r="4644" customHeight="1" spans="1:2">
      <c r="A4644" s="3" t="s">
        <v>20388</v>
      </c>
      <c r="B4644" s="4"/>
    </row>
    <row r="4645" customHeight="1" spans="1:2">
      <c r="A4645" s="3" t="s">
        <v>17588</v>
      </c>
      <c r="B4645" s="4"/>
    </row>
    <row r="4646" customHeight="1" spans="1:2">
      <c r="A4646" s="3" t="s">
        <v>13851</v>
      </c>
      <c r="B4646" s="4">
        <v>117190</v>
      </c>
    </row>
    <row r="4647" customHeight="1" spans="1:2">
      <c r="A4647" s="3" t="s">
        <v>22454</v>
      </c>
      <c r="B4647" s="4"/>
    </row>
    <row r="4648" customHeight="1" spans="1:2">
      <c r="A4648" s="3" t="s">
        <v>4701</v>
      </c>
      <c r="B4648" s="4">
        <v>127214072</v>
      </c>
    </row>
    <row r="4649" customHeight="1" spans="1:2">
      <c r="A4649" s="3" t="s">
        <v>20639</v>
      </c>
      <c r="B4649" s="4"/>
    </row>
    <row r="4650" customHeight="1" spans="1:2">
      <c r="A4650" s="3" t="s">
        <v>20607</v>
      </c>
      <c r="B4650" s="4"/>
    </row>
    <row r="4651" customHeight="1" spans="1:2">
      <c r="A4651" s="3" t="s">
        <v>2591</v>
      </c>
      <c r="B4651" s="4">
        <v>43337279</v>
      </c>
    </row>
    <row r="4652" customHeight="1" spans="1:2">
      <c r="A4652" s="3" t="s">
        <v>24038</v>
      </c>
      <c r="B4652" s="4"/>
    </row>
    <row r="4653" customHeight="1" spans="1:2">
      <c r="A4653" s="3" t="s">
        <v>11617</v>
      </c>
      <c r="B4653" s="4">
        <v>124868837</v>
      </c>
    </row>
    <row r="4654" customHeight="1" spans="1:2">
      <c r="A4654" s="3" t="s">
        <v>17213</v>
      </c>
      <c r="B4654" s="4">
        <v>40041683</v>
      </c>
    </row>
    <row r="4655" customHeight="1" spans="1:2">
      <c r="A4655" s="3" t="s">
        <v>2309</v>
      </c>
      <c r="B4655" s="4">
        <v>43247140</v>
      </c>
    </row>
    <row r="4656" customHeight="1" spans="1:2">
      <c r="A4656" s="3" t="s">
        <v>6458</v>
      </c>
      <c r="B4656" s="4">
        <v>7443007</v>
      </c>
    </row>
    <row r="4657" customHeight="1" spans="1:2">
      <c r="A4657" s="3" t="s">
        <v>11754</v>
      </c>
      <c r="B4657" s="4">
        <v>8134217</v>
      </c>
    </row>
    <row r="4658" customHeight="1" spans="1:2">
      <c r="A4658" s="3" t="s">
        <v>17323</v>
      </c>
      <c r="B4658" s="4">
        <v>322157</v>
      </c>
    </row>
    <row r="4659" customHeight="1" spans="1:2">
      <c r="A4659" s="3" t="s">
        <v>20509</v>
      </c>
      <c r="B4659" s="4"/>
    </row>
    <row r="4660" customHeight="1" spans="1:2">
      <c r="A4660" s="3" t="s">
        <v>7659</v>
      </c>
      <c r="B4660" s="4">
        <v>39235088</v>
      </c>
    </row>
    <row r="4661" customHeight="1" spans="1:2">
      <c r="A4661" s="3" t="s">
        <v>12001</v>
      </c>
      <c r="B4661" s="4">
        <v>38201895</v>
      </c>
    </row>
    <row r="4662" customHeight="1" spans="1:2">
      <c r="A4662" s="3" t="s">
        <v>19933</v>
      </c>
      <c r="B4662" s="4">
        <v>3500000</v>
      </c>
    </row>
    <row r="4663" customHeight="1" spans="1:2">
      <c r="A4663" s="3" t="s">
        <v>336</v>
      </c>
      <c r="B4663" s="4">
        <v>320706665</v>
      </c>
    </row>
    <row r="4664" customHeight="1" spans="1:2">
      <c r="A4664" s="3" t="s">
        <v>20548</v>
      </c>
      <c r="B4664" s="4"/>
    </row>
    <row r="4665" customHeight="1" spans="1:2">
      <c r="A4665" s="3" t="s">
        <v>12334</v>
      </c>
      <c r="B4665" s="4">
        <v>52200504</v>
      </c>
    </row>
    <row r="4666" customHeight="1" spans="1:2">
      <c r="A4666" s="3" t="s">
        <v>2606</v>
      </c>
      <c r="B4666" s="4">
        <v>36279230</v>
      </c>
    </row>
    <row r="4667" customHeight="1" spans="1:2">
      <c r="A4667" s="3" t="s">
        <v>9292</v>
      </c>
      <c r="B4667" s="4"/>
    </row>
    <row r="4668" customHeight="1" spans="1:2">
      <c r="A4668" s="3" t="s">
        <v>19662</v>
      </c>
      <c r="B4668" s="4"/>
    </row>
    <row r="4669" customHeight="1" spans="1:2">
      <c r="A4669" s="3" t="s">
        <v>16890</v>
      </c>
      <c r="B4669" s="4">
        <v>1821983</v>
      </c>
    </row>
    <row r="4670" customHeight="1" spans="1:2">
      <c r="A4670" s="3" t="s">
        <v>19385</v>
      </c>
      <c r="B4670" s="4">
        <v>295468</v>
      </c>
    </row>
    <row r="4671" customHeight="1" spans="1:2">
      <c r="A4671" s="3" t="s">
        <v>20995</v>
      </c>
      <c r="B4671" s="4"/>
    </row>
    <row r="4672" customHeight="1" spans="1:2">
      <c r="A4672" s="3" t="s">
        <v>16489</v>
      </c>
      <c r="B4672" s="4"/>
    </row>
    <row r="4673" customHeight="1" spans="1:2">
      <c r="A4673" s="3" t="s">
        <v>14601</v>
      </c>
      <c r="B4673" s="4">
        <v>102308900</v>
      </c>
    </row>
    <row r="4674" customHeight="1" spans="1:2">
      <c r="A4674" s="3" t="s">
        <v>9853</v>
      </c>
      <c r="B4674" s="4">
        <v>37300107</v>
      </c>
    </row>
    <row r="4675" customHeight="1" spans="1:2">
      <c r="A4675" s="3" t="s">
        <v>10446</v>
      </c>
      <c r="B4675" s="4">
        <v>11632420</v>
      </c>
    </row>
    <row r="4676" customHeight="1" spans="1:2">
      <c r="A4676" s="3" t="s">
        <v>10415</v>
      </c>
      <c r="B4676" s="4">
        <v>14249005</v>
      </c>
    </row>
    <row r="4677" customHeight="1" spans="1:2">
      <c r="A4677" s="3" t="s">
        <v>12584</v>
      </c>
      <c r="B4677" s="4">
        <v>9801782</v>
      </c>
    </row>
    <row r="4678" customHeight="1" spans="1:2">
      <c r="A4678" s="3" t="s">
        <v>3113</v>
      </c>
      <c r="B4678" s="4">
        <v>42438300</v>
      </c>
    </row>
    <row r="4679" customHeight="1" spans="1:2">
      <c r="A4679" s="3" t="s">
        <v>2891</v>
      </c>
      <c r="B4679" s="4">
        <v>56932305</v>
      </c>
    </row>
    <row r="4680" customHeight="1" spans="1:2">
      <c r="A4680" s="3" t="s">
        <v>11699</v>
      </c>
      <c r="B4680" s="4">
        <v>13960203</v>
      </c>
    </row>
    <row r="4681" customHeight="1" spans="1:2">
      <c r="A4681" s="3" t="s">
        <v>12662</v>
      </c>
      <c r="B4681" s="4"/>
    </row>
    <row r="4682" customHeight="1" spans="1:2">
      <c r="A4682" s="3" t="s">
        <v>21767</v>
      </c>
      <c r="B4682" s="4"/>
    </row>
    <row r="4683" customHeight="1" spans="1:2">
      <c r="A4683" s="3" t="s">
        <v>4279</v>
      </c>
      <c r="B4683" s="4">
        <v>72306065</v>
      </c>
    </row>
    <row r="4684" customHeight="1" spans="1:2">
      <c r="A4684" s="3" t="s">
        <v>1129</v>
      </c>
      <c r="B4684" s="4">
        <v>132373442</v>
      </c>
    </row>
    <row r="4685" customHeight="1" spans="1:2">
      <c r="A4685" s="3" t="s">
        <v>3876</v>
      </c>
      <c r="B4685" s="4">
        <v>15527125</v>
      </c>
    </row>
    <row r="4686" customHeight="1" spans="1:2">
      <c r="A4686" s="3" t="s">
        <v>2754</v>
      </c>
      <c r="B4686" s="4"/>
    </row>
    <row r="4687" customHeight="1" spans="1:2">
      <c r="A4687" s="3" t="s">
        <v>2885</v>
      </c>
      <c r="B4687" s="4">
        <v>58422650</v>
      </c>
    </row>
    <row r="4688" customHeight="1" spans="1:2">
      <c r="A4688" s="3" t="s">
        <v>20080</v>
      </c>
      <c r="B4688" s="4"/>
    </row>
    <row r="4689" customHeight="1" spans="1:2">
      <c r="A4689" s="3" t="s">
        <v>17672</v>
      </c>
      <c r="B4689" s="4"/>
    </row>
    <row r="4690" customHeight="1" spans="1:2">
      <c r="A4690" s="3" t="s">
        <v>15780</v>
      </c>
      <c r="B4690" s="4"/>
    </row>
    <row r="4691" customHeight="1" spans="1:2">
      <c r="A4691" s="3" t="s">
        <v>19106</v>
      </c>
      <c r="B4691" s="4">
        <v>41709</v>
      </c>
    </row>
    <row r="4692" customHeight="1" spans="1:2">
      <c r="A4692" s="3" t="s">
        <v>17694</v>
      </c>
      <c r="B4692" s="4"/>
    </row>
    <row r="4693" customHeight="1" spans="1:2">
      <c r="A4693" s="3" t="s">
        <v>13242</v>
      </c>
      <c r="B4693" s="4">
        <v>71519230</v>
      </c>
    </row>
    <row r="4694" customHeight="1" spans="1:2">
      <c r="A4694" s="3" t="s">
        <v>19025</v>
      </c>
      <c r="B4694" s="4">
        <v>1243961</v>
      </c>
    </row>
    <row r="4695" customHeight="1" spans="1:2">
      <c r="A4695" s="3" t="s">
        <v>18540</v>
      </c>
      <c r="B4695" s="4"/>
    </row>
    <row r="4696" customHeight="1" spans="1:2">
      <c r="A4696" s="3" t="s">
        <v>226</v>
      </c>
      <c r="B4696" s="4">
        <v>38400000</v>
      </c>
    </row>
    <row r="4697" customHeight="1" spans="1:2">
      <c r="A4697" s="3" t="s">
        <v>3283</v>
      </c>
      <c r="B4697" s="4">
        <v>58336565</v>
      </c>
    </row>
    <row r="4698" customHeight="1" spans="1:2">
      <c r="A4698" s="3" t="s">
        <v>22493</v>
      </c>
      <c r="B4698" s="4"/>
    </row>
    <row r="4699" customHeight="1" spans="1:2">
      <c r="A4699" s="3" t="s">
        <v>16571</v>
      </c>
      <c r="B4699" s="4">
        <v>77413017</v>
      </c>
    </row>
    <row r="4700" customHeight="1" spans="1:2">
      <c r="A4700" s="3" t="s">
        <v>15768</v>
      </c>
      <c r="B4700" s="4"/>
    </row>
    <row r="4701" customHeight="1" spans="1:2">
      <c r="A4701" s="3" t="s">
        <v>342</v>
      </c>
      <c r="B4701" s="4">
        <v>89732035</v>
      </c>
    </row>
    <row r="4702" customHeight="1" spans="1:2">
      <c r="A4702" s="3" t="s">
        <v>3202</v>
      </c>
      <c r="B4702" s="4">
        <v>191616238</v>
      </c>
    </row>
    <row r="4703" customHeight="1" spans="1:2">
      <c r="A4703" s="3" t="s">
        <v>14484</v>
      </c>
      <c r="B4703" s="4">
        <v>54215416</v>
      </c>
    </row>
    <row r="4704" customHeight="1" spans="1:2">
      <c r="A4704" s="3" t="s">
        <v>3018</v>
      </c>
      <c r="B4704" s="4">
        <v>66676062</v>
      </c>
    </row>
    <row r="4705" customHeight="1" spans="1:2">
      <c r="A4705" s="3" t="s">
        <v>149</v>
      </c>
      <c r="B4705" s="4">
        <v>116593191</v>
      </c>
    </row>
    <row r="4706" customHeight="1" spans="1:2">
      <c r="A4706" s="3" t="s">
        <v>14390</v>
      </c>
      <c r="B4706" s="4">
        <v>196067</v>
      </c>
    </row>
    <row r="4707" customHeight="1" spans="1:2">
      <c r="A4707" s="3" t="s">
        <v>20647</v>
      </c>
      <c r="B4707" s="4"/>
    </row>
    <row r="4708" customHeight="1" spans="1:2">
      <c r="A4708" s="3" t="s">
        <v>18904</v>
      </c>
      <c r="B4708" s="4"/>
    </row>
    <row r="4709" customHeight="1" spans="1:2">
      <c r="A4709" s="3" t="s">
        <v>9862</v>
      </c>
      <c r="B4709" s="4">
        <v>23618786</v>
      </c>
    </row>
    <row r="4710" customHeight="1" spans="1:2">
      <c r="A4710" s="3" t="s">
        <v>1366</v>
      </c>
      <c r="B4710" s="4">
        <v>123307945</v>
      </c>
    </row>
    <row r="4711" customHeight="1" spans="1:2">
      <c r="A4711" s="3" t="s">
        <v>4812</v>
      </c>
      <c r="B4711" s="4">
        <v>16377274</v>
      </c>
    </row>
    <row r="4712" customHeight="1" spans="1:2">
      <c r="A4712" s="3" t="s">
        <v>3392</v>
      </c>
      <c r="B4712" s="4">
        <v>35168395</v>
      </c>
    </row>
    <row r="4713" customHeight="1" spans="1:2">
      <c r="A4713" s="3" t="s">
        <v>18868</v>
      </c>
      <c r="B4713" s="4"/>
    </row>
    <row r="4714" customHeight="1" spans="1:2">
      <c r="A4714" s="3" t="s">
        <v>4156</v>
      </c>
      <c r="B4714" s="4">
        <v>111760631</v>
      </c>
    </row>
    <row r="4715" customHeight="1" spans="1:2">
      <c r="A4715" s="3" t="s">
        <v>14169</v>
      </c>
      <c r="B4715" s="4">
        <v>26005908</v>
      </c>
    </row>
    <row r="4716" customHeight="1" spans="1:2">
      <c r="A4716" s="3" t="s">
        <v>18751</v>
      </c>
      <c r="B4716" s="4">
        <v>464126</v>
      </c>
    </row>
    <row r="4717" customHeight="1" spans="1:2">
      <c r="A4717" s="3" t="s">
        <v>8067</v>
      </c>
      <c r="B4717" s="4">
        <v>24848292</v>
      </c>
    </row>
    <row r="4718" customHeight="1" spans="1:2">
      <c r="A4718" s="3" t="s">
        <v>3970</v>
      </c>
      <c r="B4718" s="4">
        <v>37035515</v>
      </c>
    </row>
    <row r="4719" customHeight="1" spans="1:2">
      <c r="A4719" s="3" t="s">
        <v>9886</v>
      </c>
      <c r="B4719" s="4">
        <v>55461307</v>
      </c>
    </row>
    <row r="4720" customHeight="1" spans="1:2">
      <c r="A4720" s="3" t="s">
        <v>17700</v>
      </c>
      <c r="B4720" s="4">
        <v>549632</v>
      </c>
    </row>
    <row r="4721" customHeight="1" spans="1:2">
      <c r="A4721" s="3" t="s">
        <v>24119</v>
      </c>
      <c r="B4721" s="4"/>
    </row>
    <row r="4722" customHeight="1" spans="1:2">
      <c r="A4722" s="3" t="s">
        <v>17247</v>
      </c>
      <c r="B4722" s="4"/>
    </row>
    <row r="4723" customHeight="1" spans="1:2">
      <c r="A4723" s="3" t="s">
        <v>9118</v>
      </c>
      <c r="B4723" s="4">
        <v>560512</v>
      </c>
    </row>
    <row r="4724" customHeight="1" spans="1:2">
      <c r="A4724" s="3" t="s">
        <v>20486</v>
      </c>
      <c r="B4724" s="4"/>
    </row>
    <row r="4725" customHeight="1" spans="1:2">
      <c r="A4725" s="3" t="s">
        <v>1116</v>
      </c>
      <c r="B4725" s="4">
        <v>155370362</v>
      </c>
    </row>
    <row r="4726" customHeight="1" spans="1:2">
      <c r="A4726" s="3" t="s">
        <v>19517</v>
      </c>
      <c r="B4726" s="4"/>
    </row>
    <row r="4727" customHeight="1" spans="1:2">
      <c r="A4727" s="3" t="s">
        <v>19378</v>
      </c>
      <c r="B4727" s="4">
        <v>985341</v>
      </c>
    </row>
    <row r="4728" customHeight="1" spans="1:2">
      <c r="A4728" s="3" t="s">
        <v>4709</v>
      </c>
      <c r="B4728" s="4">
        <v>85570368</v>
      </c>
    </row>
    <row r="4729" customHeight="1" spans="1:2">
      <c r="A4729" s="3" t="s">
        <v>22558</v>
      </c>
      <c r="B4729" s="4"/>
    </row>
    <row r="4730" customHeight="1" spans="1:2">
      <c r="A4730" s="3" t="s">
        <v>23603</v>
      </c>
      <c r="B4730" s="4"/>
    </row>
    <row r="4731" customHeight="1" spans="1:2">
      <c r="A4731" s="3" t="s">
        <v>8298</v>
      </c>
      <c r="B4731" s="4">
        <v>46363118</v>
      </c>
    </row>
    <row r="4732" customHeight="1" spans="1:2">
      <c r="A4732" s="3" t="s">
        <v>630</v>
      </c>
      <c r="B4732" s="4">
        <v>214948780</v>
      </c>
    </row>
    <row r="4733" customHeight="1" spans="1:2">
      <c r="A4733" s="3" t="s">
        <v>17722</v>
      </c>
      <c r="B4733" s="4">
        <v>13973532</v>
      </c>
    </row>
    <row r="4734" customHeight="1" spans="1:2">
      <c r="A4734" s="3" t="s">
        <v>397</v>
      </c>
      <c r="B4734" s="4">
        <v>83640426</v>
      </c>
    </row>
    <row r="4735" customHeight="1" spans="1:2">
      <c r="A4735" s="3" t="s">
        <v>18240</v>
      </c>
      <c r="B4735" s="4">
        <v>80033643</v>
      </c>
    </row>
    <row r="4736" customHeight="1" spans="1:2">
      <c r="A4736" s="3" t="s">
        <v>20290</v>
      </c>
      <c r="B4736" s="4">
        <v>321952</v>
      </c>
    </row>
    <row r="4737" customHeight="1" spans="1:2">
      <c r="A4737" s="3" t="s">
        <v>15932</v>
      </c>
      <c r="B4737" s="4">
        <v>6940281</v>
      </c>
    </row>
    <row r="4738" customHeight="1" spans="1:2">
      <c r="A4738" s="3" t="s">
        <v>11484</v>
      </c>
      <c r="B4738" s="4">
        <v>4360548</v>
      </c>
    </row>
    <row r="4739" customHeight="1" spans="1:2">
      <c r="A4739" s="3" t="s">
        <v>11267</v>
      </c>
      <c r="B4739" s="4">
        <v>38916903</v>
      </c>
    </row>
    <row r="4740" customHeight="1" spans="1:2">
      <c r="A4740" s="3" t="s">
        <v>5292</v>
      </c>
      <c r="B4740" s="4">
        <v>34507079</v>
      </c>
    </row>
    <row r="4741" customHeight="1" spans="1:2">
      <c r="A4741" s="3" t="s">
        <v>22146</v>
      </c>
      <c r="B4741" s="4"/>
    </row>
    <row r="4742" customHeight="1" spans="1:2">
      <c r="A4742" s="3" t="s">
        <v>23687</v>
      </c>
      <c r="B4742" s="4"/>
    </row>
    <row r="4743" customHeight="1" spans="1:2">
      <c r="A4743" s="3" t="s">
        <v>1484</v>
      </c>
      <c r="B4743" s="4">
        <v>104054514</v>
      </c>
    </row>
    <row r="4744" customHeight="1" spans="1:2">
      <c r="A4744" s="3" t="s">
        <v>10771</v>
      </c>
      <c r="B4744" s="4"/>
    </row>
    <row r="4745" customHeight="1" spans="1:2">
      <c r="A4745" s="3" t="s">
        <v>9072</v>
      </c>
      <c r="B4745" s="4">
        <v>15911333</v>
      </c>
    </row>
    <row r="4746" customHeight="1" spans="1:2">
      <c r="A4746" s="3" t="s">
        <v>23739</v>
      </c>
      <c r="B4746" s="4"/>
    </row>
    <row r="4747" customHeight="1" spans="1:2">
      <c r="A4747" s="3" t="s">
        <v>6965</v>
      </c>
      <c r="B4747" s="4">
        <v>71500556</v>
      </c>
    </row>
    <row r="4748" customHeight="1" spans="1:2">
      <c r="A4748" s="3" t="s">
        <v>8626</v>
      </c>
      <c r="B4748" s="4">
        <v>15712072</v>
      </c>
    </row>
    <row r="4749" customHeight="1" spans="1:2">
      <c r="A4749" s="3" t="s">
        <v>10339</v>
      </c>
      <c r="B4749" s="4">
        <v>22954968</v>
      </c>
    </row>
    <row r="4750" customHeight="1" spans="1:2">
      <c r="A4750" s="3" t="s">
        <v>20569</v>
      </c>
      <c r="B4750" s="4"/>
    </row>
    <row r="4751" customHeight="1" spans="1:2">
      <c r="A4751" s="3" t="s">
        <v>12997</v>
      </c>
      <c r="B4751" s="4"/>
    </row>
    <row r="4752" customHeight="1" spans="1:2">
      <c r="A4752" s="3" t="s">
        <v>3538</v>
      </c>
      <c r="B4752" s="4">
        <v>43905746</v>
      </c>
    </row>
    <row r="4753" customHeight="1" spans="1:2">
      <c r="A4753" s="3" t="s">
        <v>20928</v>
      </c>
      <c r="B4753" s="4"/>
    </row>
    <row r="4754" customHeight="1" spans="1:2">
      <c r="A4754" s="3" t="s">
        <v>1650</v>
      </c>
      <c r="B4754" s="4">
        <v>23219748</v>
      </c>
    </row>
    <row r="4755" customHeight="1" spans="1:2">
      <c r="A4755" s="3" t="s">
        <v>1122</v>
      </c>
      <c r="B4755" s="4">
        <v>196573705</v>
      </c>
    </row>
    <row r="4756" customHeight="1" spans="1:2">
      <c r="A4756" s="3" t="s">
        <v>699</v>
      </c>
      <c r="B4756" s="4">
        <v>93050117</v>
      </c>
    </row>
    <row r="4757" customHeight="1" spans="1:2">
      <c r="A4757" s="3" t="s">
        <v>4348</v>
      </c>
      <c r="B4757" s="4">
        <v>49851591</v>
      </c>
    </row>
    <row r="4758" customHeight="1" spans="1:2">
      <c r="A4758" s="3" t="s">
        <v>8985</v>
      </c>
      <c r="B4758" s="4"/>
    </row>
    <row r="4759" customHeight="1" spans="1:2">
      <c r="A4759" s="3" t="s">
        <v>23667</v>
      </c>
      <c r="B4759" s="4"/>
    </row>
    <row r="4760" customHeight="1" spans="1:2">
      <c r="A4760" s="3" t="s">
        <v>11469</v>
      </c>
      <c r="B4760" s="4">
        <v>9030581</v>
      </c>
    </row>
    <row r="4761" customHeight="1" spans="1:2">
      <c r="A4761" s="3" t="s">
        <v>18557</v>
      </c>
      <c r="B4761" s="4">
        <v>21378000</v>
      </c>
    </row>
    <row r="4762" customHeight="1" spans="1:2">
      <c r="A4762" s="3" t="s">
        <v>20640</v>
      </c>
      <c r="B4762" s="4"/>
    </row>
    <row r="4763" customHeight="1" spans="1:2">
      <c r="A4763" s="3" t="s">
        <v>3452</v>
      </c>
      <c r="B4763" s="4">
        <v>23159305</v>
      </c>
    </row>
    <row r="4764" customHeight="1" spans="1:2">
      <c r="A4764" s="3" t="s">
        <v>5253</v>
      </c>
      <c r="B4764" s="4">
        <v>22913677</v>
      </c>
    </row>
    <row r="4765" customHeight="1" spans="1:2">
      <c r="A4765" s="3" t="s">
        <v>20123</v>
      </c>
      <c r="B4765" s="4"/>
    </row>
    <row r="4766" customHeight="1" spans="1:2">
      <c r="A4766" s="3" t="s">
        <v>7102</v>
      </c>
      <c r="B4766" s="4">
        <v>34604054</v>
      </c>
    </row>
    <row r="4767" customHeight="1" spans="1:2">
      <c r="A4767" s="3" t="s">
        <v>14671</v>
      </c>
      <c r="B4767" s="4">
        <v>26236603</v>
      </c>
    </row>
    <row r="4768" customHeight="1" spans="1:2">
      <c r="A4768" s="3" t="s">
        <v>21677</v>
      </c>
      <c r="B4768" s="4"/>
    </row>
    <row r="4769" customHeight="1" spans="1:2">
      <c r="A4769" s="3" t="s">
        <v>544</v>
      </c>
      <c r="B4769" s="4">
        <v>227137090</v>
      </c>
    </row>
    <row r="4770" customHeight="1" spans="1:2">
      <c r="A4770" s="3" t="s">
        <v>150</v>
      </c>
      <c r="B4770" s="4">
        <v>414984497</v>
      </c>
    </row>
    <row r="4771" customHeight="1" spans="1:2">
      <c r="A4771" s="3" t="s">
        <v>21480</v>
      </c>
      <c r="B4771" s="4"/>
    </row>
    <row r="4772" customHeight="1" spans="1:2">
      <c r="A4772" s="3" t="s">
        <v>21981</v>
      </c>
      <c r="B4772" s="4"/>
    </row>
    <row r="4773" customHeight="1" spans="1:2">
      <c r="A4773" s="3" t="s">
        <v>5980</v>
      </c>
      <c r="B4773" s="4">
        <v>44328238</v>
      </c>
    </row>
    <row r="4774" customHeight="1" spans="1:2">
      <c r="A4774" s="3" t="s">
        <v>23126</v>
      </c>
      <c r="B4774" s="4"/>
    </row>
    <row r="4775" customHeight="1" spans="1:2">
      <c r="A4775" s="3" t="s">
        <v>6420</v>
      </c>
      <c r="B4775" s="4">
        <v>179870271</v>
      </c>
    </row>
    <row r="4776" customHeight="1" spans="1:2">
      <c r="A4776" s="3" t="s">
        <v>7558</v>
      </c>
      <c r="B4776" s="4">
        <v>32662299</v>
      </c>
    </row>
    <row r="4777" customHeight="1" spans="1:2">
      <c r="A4777" s="3" t="s">
        <v>9157</v>
      </c>
      <c r="B4777" s="4">
        <v>18439082</v>
      </c>
    </row>
    <row r="4778" customHeight="1" spans="1:2">
      <c r="A4778" s="3" t="s">
        <v>872</v>
      </c>
      <c r="B4778" s="4">
        <v>132014112</v>
      </c>
    </row>
    <row r="4779" customHeight="1" spans="1:2">
      <c r="A4779" s="3" t="s">
        <v>20843</v>
      </c>
      <c r="B4779" s="4"/>
    </row>
    <row r="4780" customHeight="1" spans="1:2">
      <c r="A4780" s="3" t="s">
        <v>17185</v>
      </c>
      <c r="B4780" s="4">
        <v>3130592</v>
      </c>
    </row>
    <row r="4781" customHeight="1" spans="1:2">
      <c r="A4781" s="3" t="s">
        <v>76</v>
      </c>
      <c r="B4781" s="4">
        <v>623279547</v>
      </c>
    </row>
    <row r="4782" customHeight="1" spans="1:2">
      <c r="A4782" s="3" t="s">
        <v>23251</v>
      </c>
      <c r="B4782" s="4"/>
    </row>
    <row r="4783" customHeight="1" spans="1:2">
      <c r="A4783" s="3" t="s">
        <v>12015</v>
      </c>
      <c r="B4783" s="4"/>
    </row>
    <row r="4784" customHeight="1" spans="1:2">
      <c r="A4784" s="3" t="s">
        <v>7581</v>
      </c>
      <c r="B4784" s="4">
        <v>16290976</v>
      </c>
    </row>
    <row r="4785" customHeight="1" spans="1:2">
      <c r="A4785" s="3" t="s">
        <v>7935</v>
      </c>
      <c r="B4785" s="4">
        <v>16027866</v>
      </c>
    </row>
    <row r="4786" customHeight="1" spans="1:2">
      <c r="A4786" s="3" t="s">
        <v>6361</v>
      </c>
      <c r="B4786" s="4"/>
    </row>
    <row r="4787" customHeight="1" spans="1:2">
      <c r="A4787" s="3" t="s">
        <v>6914</v>
      </c>
      <c r="B4787" s="4">
        <v>96067179</v>
      </c>
    </row>
    <row r="4788" customHeight="1" spans="1:2">
      <c r="A4788" s="3" t="s">
        <v>20635</v>
      </c>
      <c r="B4788" s="4"/>
    </row>
    <row r="4789" customHeight="1" spans="1:2">
      <c r="A4789" s="3" t="s">
        <v>17518</v>
      </c>
      <c r="B4789" s="4">
        <v>6719300</v>
      </c>
    </row>
    <row r="4790" customHeight="1" spans="1:2">
      <c r="A4790" s="3" t="s">
        <v>14708</v>
      </c>
      <c r="B4790" s="4">
        <v>9203192</v>
      </c>
    </row>
    <row r="4791" customHeight="1" spans="1:2">
      <c r="A4791" s="3" t="s">
        <v>8285</v>
      </c>
      <c r="B4791" s="4">
        <v>55461307</v>
      </c>
    </row>
    <row r="4792" customHeight="1" spans="1:2">
      <c r="A4792" s="3" t="s">
        <v>5466</v>
      </c>
      <c r="B4792" s="4">
        <v>6543194</v>
      </c>
    </row>
    <row r="4793" customHeight="1" spans="1:2">
      <c r="A4793" s="3" t="s">
        <v>18356</v>
      </c>
      <c r="B4793" s="4">
        <v>2833383</v>
      </c>
    </row>
    <row r="4794" customHeight="1" spans="1:2">
      <c r="A4794" s="3" t="s">
        <v>23175</v>
      </c>
      <c r="B4794" s="4"/>
    </row>
    <row r="4795" customHeight="1" spans="1:2">
      <c r="A4795" s="3" t="s">
        <v>18609</v>
      </c>
      <c r="B4795" s="4">
        <v>10037390</v>
      </c>
    </row>
    <row r="4796" customHeight="1" spans="1:2">
      <c r="A4796" s="3" t="s">
        <v>10585</v>
      </c>
      <c r="B4796" s="4">
        <v>7556708</v>
      </c>
    </row>
    <row r="4797" customHeight="1" spans="1:2">
      <c r="A4797" s="3" t="s">
        <v>11099</v>
      </c>
      <c r="B4797" s="4">
        <v>12282677</v>
      </c>
    </row>
    <row r="4798" customHeight="1" spans="1:2">
      <c r="A4798" s="3" t="s">
        <v>15762</v>
      </c>
      <c r="B4798" s="4"/>
    </row>
    <row r="4799" customHeight="1" spans="1:2">
      <c r="A4799" s="3" t="s">
        <v>1765</v>
      </c>
      <c r="B4799" s="4">
        <v>23360779</v>
      </c>
    </row>
    <row r="4800" customHeight="1" spans="1:2">
      <c r="A4800" s="3" t="s">
        <v>2753</v>
      </c>
      <c r="B4800" s="4">
        <v>80021740</v>
      </c>
    </row>
    <row r="4801" customHeight="1" spans="1:2">
      <c r="A4801" s="3" t="s">
        <v>7259</v>
      </c>
      <c r="B4801" s="4">
        <v>15091542</v>
      </c>
    </row>
    <row r="4802" customHeight="1" spans="1:2">
      <c r="A4802" s="3" t="s">
        <v>3735</v>
      </c>
      <c r="B4802" s="4">
        <v>60962878</v>
      </c>
    </row>
    <row r="4803" customHeight="1" spans="1:2">
      <c r="A4803" s="3" t="s">
        <v>24113</v>
      </c>
      <c r="B4803" s="4"/>
    </row>
    <row r="4804" customHeight="1" spans="1:2">
      <c r="A4804" s="3" t="s">
        <v>22917</v>
      </c>
      <c r="B4804" s="4"/>
    </row>
    <row r="4805" customHeight="1" spans="1:2">
      <c r="A4805" s="3" t="s">
        <v>8833</v>
      </c>
      <c r="B4805" s="4">
        <v>6563357</v>
      </c>
    </row>
    <row r="4806" customHeight="1" spans="1:2">
      <c r="A4806" s="3" t="s">
        <v>5415</v>
      </c>
      <c r="B4806" s="4"/>
    </row>
    <row r="4807" customHeight="1" spans="1:2">
      <c r="A4807" s="3" t="s">
        <v>14434</v>
      </c>
      <c r="B4807" s="4">
        <v>41400000</v>
      </c>
    </row>
    <row r="4808" customHeight="1" spans="1:2">
      <c r="A4808" s="3" t="s">
        <v>2197</v>
      </c>
      <c r="B4808" s="4">
        <v>115731542</v>
      </c>
    </row>
    <row r="4809" customHeight="1" spans="1:2">
      <c r="A4809" s="3" t="s">
        <v>17174</v>
      </c>
      <c r="B4809" s="4"/>
    </row>
    <row r="4810" customHeight="1" spans="1:2">
      <c r="A4810" s="3" t="s">
        <v>16272</v>
      </c>
      <c r="B4810" s="4">
        <v>18469</v>
      </c>
    </row>
    <row r="4811" customHeight="1" spans="1:2">
      <c r="A4811" s="3" t="s">
        <v>17063</v>
      </c>
      <c r="B4811" s="4"/>
    </row>
    <row r="4812" customHeight="1" spans="1:2">
      <c r="A4812" s="3" t="s">
        <v>7844</v>
      </c>
      <c r="B4812" s="4">
        <v>49002815</v>
      </c>
    </row>
    <row r="4813" customHeight="1" spans="1:2">
      <c r="A4813" s="3" t="s">
        <v>12405</v>
      </c>
      <c r="B4813" s="4">
        <v>27736779</v>
      </c>
    </row>
    <row r="4814" customHeight="1" spans="1:2">
      <c r="A4814" s="3" t="s">
        <v>1282</v>
      </c>
      <c r="B4814" s="4">
        <v>183405771</v>
      </c>
    </row>
    <row r="4815" customHeight="1" spans="1:2">
      <c r="A4815" s="3" t="s">
        <v>12270</v>
      </c>
      <c r="B4815" s="4"/>
    </row>
    <row r="4816" customHeight="1" spans="1:2">
      <c r="A4816" s="3" t="s">
        <v>18674</v>
      </c>
      <c r="B4816" s="4">
        <v>5355847</v>
      </c>
    </row>
    <row r="4817" customHeight="1" spans="1:2">
      <c r="A4817" s="3" t="s">
        <v>18779</v>
      </c>
      <c r="B4817" s="4">
        <v>144431</v>
      </c>
    </row>
    <row r="4818" customHeight="1" spans="1:2">
      <c r="A4818" s="3" t="s">
        <v>17708</v>
      </c>
      <c r="B4818" s="4">
        <v>17580</v>
      </c>
    </row>
    <row r="4819" customHeight="1" spans="1:2">
      <c r="A4819" s="3" t="s">
        <v>20648</v>
      </c>
      <c r="B4819" s="4"/>
    </row>
    <row r="4820" customHeight="1" spans="1:2">
      <c r="A4820" s="3" t="s">
        <v>5352</v>
      </c>
      <c r="B4820" s="4">
        <v>7948159</v>
      </c>
    </row>
    <row r="4821" customHeight="1" spans="1:2">
      <c r="A4821" s="3" t="s">
        <v>20063</v>
      </c>
      <c r="B4821" s="4"/>
    </row>
    <row r="4822" customHeight="1" spans="1:2">
      <c r="A4822" s="3" t="s">
        <v>18768</v>
      </c>
      <c r="B4822" s="4">
        <v>43982842</v>
      </c>
    </row>
    <row r="4823" customHeight="1" spans="1:2">
      <c r="A4823" s="3" t="s">
        <v>1307</v>
      </c>
      <c r="B4823" s="4">
        <v>78009155</v>
      </c>
    </row>
    <row r="4824" customHeight="1" spans="1:2">
      <c r="A4824" s="3" t="s">
        <v>12897</v>
      </c>
      <c r="B4824" s="4">
        <v>221210</v>
      </c>
    </row>
    <row r="4825" customHeight="1" spans="1:2">
      <c r="A4825" s="3" t="s">
        <v>3373</v>
      </c>
      <c r="B4825" s="4">
        <v>40905277</v>
      </c>
    </row>
    <row r="4826" customHeight="1" spans="1:2">
      <c r="A4826" s="3" t="s">
        <v>10414</v>
      </c>
      <c r="B4826" s="4">
        <v>17237244</v>
      </c>
    </row>
    <row r="4827" customHeight="1" spans="1:2">
      <c r="A4827" s="3" t="s">
        <v>12689</v>
      </c>
      <c r="B4827" s="4">
        <v>3333823</v>
      </c>
    </row>
    <row r="4828" customHeight="1" spans="1:2">
      <c r="A4828" s="3" t="s">
        <v>12787</v>
      </c>
      <c r="B4828" s="4">
        <v>1276984</v>
      </c>
    </row>
    <row r="4829" customHeight="1" spans="1:2">
      <c r="A4829" s="3" t="s">
        <v>1130</v>
      </c>
      <c r="B4829" s="4">
        <v>120618403</v>
      </c>
    </row>
    <row r="4830" customHeight="1" spans="1:2">
      <c r="A4830" s="3" t="s">
        <v>22684</v>
      </c>
      <c r="B4830" s="4"/>
    </row>
    <row r="4831" customHeight="1" spans="1:2">
      <c r="A4831" s="3" t="s">
        <v>5301</v>
      </c>
      <c r="B4831" s="4">
        <v>16831505</v>
      </c>
    </row>
    <row r="4832" customHeight="1" spans="1:2">
      <c r="A4832" s="3" t="s">
        <v>480</v>
      </c>
      <c r="B4832" s="4">
        <v>176997107</v>
      </c>
    </row>
    <row r="4833" customHeight="1" spans="1:2">
      <c r="A4833" s="3" t="s">
        <v>2486</v>
      </c>
      <c r="B4833" s="4">
        <v>61112916</v>
      </c>
    </row>
    <row r="4834" customHeight="1" spans="1:2">
      <c r="A4834" s="3" t="s">
        <v>19029</v>
      </c>
      <c r="B4834" s="4">
        <v>15278</v>
      </c>
    </row>
    <row r="4835" customHeight="1" spans="1:2">
      <c r="A4835" s="3" t="s">
        <v>15661</v>
      </c>
      <c r="B4835" s="4"/>
    </row>
    <row r="4836" customHeight="1" spans="1:2">
      <c r="A4836" s="3" t="s">
        <v>361</v>
      </c>
      <c r="B4836" s="4">
        <v>206456431</v>
      </c>
    </row>
    <row r="4837" customHeight="1" spans="1:2">
      <c r="A4837" s="3" t="s">
        <v>1241</v>
      </c>
      <c r="B4837" s="4">
        <v>190562</v>
      </c>
    </row>
    <row r="4838" customHeight="1" spans="1:2">
      <c r="A4838" s="3" t="s">
        <v>11960</v>
      </c>
      <c r="B4838" s="4">
        <v>90556401</v>
      </c>
    </row>
    <row r="4839" customHeight="1" spans="1:2">
      <c r="A4839" s="3" t="s">
        <v>812</v>
      </c>
      <c r="B4839" s="4">
        <v>85463309</v>
      </c>
    </row>
    <row r="4840" customHeight="1" spans="1:2">
      <c r="A4840" s="3" t="s">
        <v>282</v>
      </c>
      <c r="B4840" s="4">
        <v>93417865</v>
      </c>
    </row>
    <row r="4841" customHeight="1" spans="1:2">
      <c r="A4841" s="3" t="s">
        <v>15925</v>
      </c>
      <c r="B4841" s="4"/>
    </row>
    <row r="4842" customHeight="1" spans="1:2">
      <c r="A4842" s="3" t="s">
        <v>3140</v>
      </c>
      <c r="B4842" s="4">
        <v>267652016</v>
      </c>
    </row>
    <row r="4843" customHeight="1" spans="1:2">
      <c r="A4843" s="3" t="s">
        <v>6178</v>
      </c>
      <c r="B4843" s="4">
        <v>16930884</v>
      </c>
    </row>
    <row r="4844" customHeight="1" spans="1:2">
      <c r="A4844" s="3" t="s">
        <v>5680</v>
      </c>
      <c r="B4844" s="4">
        <v>2899970</v>
      </c>
    </row>
    <row r="4845" customHeight="1" spans="1:2">
      <c r="A4845" s="3" t="s">
        <v>21300</v>
      </c>
      <c r="B4845" s="4"/>
    </row>
    <row r="4846" customHeight="1" spans="1:2">
      <c r="A4846" s="3" t="s">
        <v>16636</v>
      </c>
      <c r="B4846" s="4">
        <v>3766595</v>
      </c>
    </row>
    <row r="4847" customHeight="1" spans="1:2">
      <c r="A4847" s="3" t="s">
        <v>21963</v>
      </c>
      <c r="B4847" s="4"/>
    </row>
    <row r="4848" customHeight="1" spans="1:2">
      <c r="A4848" s="3" t="s">
        <v>11403</v>
      </c>
      <c r="B4848" s="4">
        <v>301305</v>
      </c>
    </row>
    <row r="4849" customHeight="1" spans="1:2">
      <c r="A4849" s="3" t="s">
        <v>1905</v>
      </c>
      <c r="B4849" s="4">
        <v>32616869</v>
      </c>
    </row>
    <row r="4850" customHeight="1" spans="1:2">
      <c r="A4850" s="3" t="s">
        <v>17727</v>
      </c>
      <c r="B4850" s="4"/>
    </row>
    <row r="4851" customHeight="1" spans="1:2">
      <c r="A4851" s="3" t="s">
        <v>21735</v>
      </c>
      <c r="B4851" s="4"/>
    </row>
    <row r="4852" customHeight="1" spans="1:2">
      <c r="A4852" s="3" t="s">
        <v>3151</v>
      </c>
      <c r="B4852" s="4">
        <v>153620822</v>
      </c>
    </row>
    <row r="4853" customHeight="1" spans="1:2">
      <c r="A4853" s="3" t="s">
        <v>3359</v>
      </c>
      <c r="B4853" s="4">
        <v>41256277</v>
      </c>
    </row>
    <row r="4854" customHeight="1" spans="1:2">
      <c r="A4854" s="3" t="s">
        <v>14741</v>
      </c>
      <c r="B4854" s="4">
        <v>5359774</v>
      </c>
    </row>
    <row r="4855" customHeight="1" spans="1:2">
      <c r="A4855" s="3" t="s">
        <v>20291</v>
      </c>
      <c r="B4855" s="4"/>
    </row>
    <row r="4856" customHeight="1" spans="1:2">
      <c r="A4856" s="3" t="s">
        <v>8271</v>
      </c>
      <c r="B4856" s="4">
        <v>56154094</v>
      </c>
    </row>
    <row r="4857" customHeight="1" spans="1:2">
      <c r="A4857" s="3" t="s">
        <v>19417</v>
      </c>
      <c r="B4857" s="4">
        <v>52850</v>
      </c>
    </row>
    <row r="4858" customHeight="1" spans="1:2">
      <c r="A4858" s="3" t="s">
        <v>17146</v>
      </c>
      <c r="B4858" s="4"/>
    </row>
    <row r="4859" customHeight="1" spans="1:2">
      <c r="A4859" s="3" t="s">
        <v>21798</v>
      </c>
      <c r="B4859" s="4"/>
    </row>
    <row r="4860" customHeight="1" spans="1:2">
      <c r="A4860" s="3" t="s">
        <v>23127</v>
      </c>
      <c r="B4860" s="4"/>
    </row>
    <row r="4861" customHeight="1" spans="1:2">
      <c r="A4861" s="3" t="s">
        <v>11733</v>
      </c>
      <c r="B4861" s="4">
        <v>15294553</v>
      </c>
    </row>
    <row r="4862" customHeight="1" spans="1:2">
      <c r="A4862" s="3" t="s">
        <v>21890</v>
      </c>
      <c r="B4862" s="4"/>
    </row>
    <row r="4863" customHeight="1" spans="1:2">
      <c r="A4863" s="3" t="s">
        <v>7453</v>
      </c>
      <c r="B4863" s="4">
        <v>777423</v>
      </c>
    </row>
    <row r="4864" customHeight="1" spans="1:2">
      <c r="A4864" s="3" t="s">
        <v>23149</v>
      </c>
      <c r="B4864" s="4"/>
    </row>
    <row r="4865" customHeight="1" spans="1:2">
      <c r="A4865" s="3" t="s">
        <v>3235</v>
      </c>
      <c r="B4865" s="4">
        <v>81022333</v>
      </c>
    </row>
    <row r="4866" customHeight="1" spans="1:2">
      <c r="A4866" s="3" t="s">
        <v>18383</v>
      </c>
      <c r="B4866" s="4"/>
    </row>
    <row r="4867" customHeight="1" spans="1:2">
      <c r="A4867" s="3" t="s">
        <v>9101</v>
      </c>
      <c r="B4867" s="4">
        <v>12561</v>
      </c>
    </row>
    <row r="4868" customHeight="1" spans="1:2">
      <c r="A4868" s="3" t="s">
        <v>10374</v>
      </c>
      <c r="B4868" s="4">
        <v>20566327</v>
      </c>
    </row>
    <row r="4869" customHeight="1" spans="1:2">
      <c r="A4869" s="3" t="s">
        <v>21237</v>
      </c>
      <c r="B4869" s="4"/>
    </row>
    <row r="4870" customHeight="1" spans="1:2">
      <c r="A4870" s="3" t="s">
        <v>7661</v>
      </c>
      <c r="B4870" s="4">
        <v>25556065</v>
      </c>
    </row>
    <row r="4871" customHeight="1" spans="1:2">
      <c r="A4871" s="3" t="s">
        <v>3013</v>
      </c>
      <c r="B4871" s="4">
        <v>69951824</v>
      </c>
    </row>
    <row r="4872" customHeight="1" spans="1:2">
      <c r="A4872" s="3" t="s">
        <v>4242</v>
      </c>
      <c r="B4872" s="4">
        <v>72266306</v>
      </c>
    </row>
    <row r="4873" customHeight="1" spans="1:2">
      <c r="A4873" s="3" t="s">
        <v>392</v>
      </c>
      <c r="B4873" s="4">
        <v>133375846</v>
      </c>
    </row>
    <row r="4874" customHeight="1" spans="1:2">
      <c r="A4874" s="3" t="s">
        <v>17963</v>
      </c>
      <c r="B4874" s="4"/>
    </row>
    <row r="4875" customHeight="1" spans="1:2">
      <c r="A4875" s="3" t="s">
        <v>2435</v>
      </c>
      <c r="B4875" s="4">
        <v>82670733</v>
      </c>
    </row>
    <row r="4876" customHeight="1" spans="1:2">
      <c r="A4876" s="3" t="s">
        <v>22266</v>
      </c>
      <c r="B4876" s="4"/>
    </row>
    <row r="4877" customHeight="1" spans="1:2">
      <c r="A4877" s="3" t="s">
        <v>5405</v>
      </c>
      <c r="B4877" s="4">
        <v>5100937</v>
      </c>
    </row>
    <row r="4878" customHeight="1" spans="1:2">
      <c r="A4878" s="3" t="s">
        <v>16398</v>
      </c>
      <c r="B4878" s="4"/>
    </row>
    <row r="4879" customHeight="1" spans="1:2">
      <c r="A4879" s="3" t="s">
        <v>15001</v>
      </c>
      <c r="B4879" s="4">
        <v>27024</v>
      </c>
    </row>
    <row r="4880" customHeight="1" spans="1:2">
      <c r="A4880" s="3" t="s">
        <v>14416</v>
      </c>
      <c r="B4880" s="4"/>
    </row>
    <row r="4881" customHeight="1" spans="1:2">
      <c r="A4881" s="3" t="s">
        <v>11928</v>
      </c>
      <c r="B4881" s="4">
        <v>30093107</v>
      </c>
    </row>
    <row r="4882" customHeight="1" spans="1:2">
      <c r="A4882" s="3" t="s">
        <v>4969</v>
      </c>
      <c r="B4882" s="4">
        <v>144731527</v>
      </c>
    </row>
    <row r="4883" customHeight="1" spans="1:2">
      <c r="A4883" s="3" t="s">
        <v>8896</v>
      </c>
      <c r="B4883" s="4">
        <v>3749061</v>
      </c>
    </row>
    <row r="4884" customHeight="1" spans="1:2">
      <c r="A4884" s="3" t="s">
        <v>9548</v>
      </c>
      <c r="B4884" s="4">
        <v>51053787</v>
      </c>
    </row>
    <row r="4885" customHeight="1" spans="1:2">
      <c r="A4885" s="3" t="s">
        <v>7278</v>
      </c>
      <c r="B4885" s="4">
        <v>14637490</v>
      </c>
    </row>
    <row r="4886" customHeight="1" spans="1:2">
      <c r="A4886" s="3" t="s">
        <v>19976</v>
      </c>
      <c r="B4886" s="4"/>
    </row>
    <row r="4887" customHeight="1" spans="1:2">
      <c r="A4887" s="3" t="s">
        <v>16330</v>
      </c>
      <c r="B4887" s="4">
        <v>198655278</v>
      </c>
    </row>
    <row r="4888" customHeight="1" spans="1:2">
      <c r="A4888" s="3" t="s">
        <v>21406</v>
      </c>
      <c r="B4888" s="4"/>
    </row>
    <row r="4889" customHeight="1" spans="1:2">
      <c r="A4889" s="3" t="s">
        <v>375</v>
      </c>
      <c r="B4889" s="4">
        <v>179883016</v>
      </c>
    </row>
    <row r="4890" customHeight="1" spans="1:2">
      <c r="A4890" s="3" t="s">
        <v>3641</v>
      </c>
      <c r="B4890" s="4">
        <v>60154431</v>
      </c>
    </row>
    <row r="4891" customHeight="1" spans="1:2">
      <c r="A4891" s="3" t="s">
        <v>15403</v>
      </c>
      <c r="B4891" s="4">
        <v>13622333</v>
      </c>
    </row>
    <row r="4892" customHeight="1" spans="1:2">
      <c r="A4892" s="3" t="s">
        <v>23689</v>
      </c>
      <c r="B4892" s="4"/>
    </row>
    <row r="4893" customHeight="1" spans="1:2">
      <c r="A4893" s="3" t="s">
        <v>7206</v>
      </c>
      <c r="B4893" s="4">
        <v>22200000</v>
      </c>
    </row>
    <row r="4894" customHeight="1" spans="1:2">
      <c r="A4894" s="3" t="s">
        <v>1503</v>
      </c>
      <c r="B4894" s="4">
        <v>92969824</v>
      </c>
    </row>
    <row r="4895" customHeight="1" spans="1:2">
      <c r="A4895" s="3" t="s">
        <v>6119</v>
      </c>
      <c r="B4895" s="4">
        <v>24048000</v>
      </c>
    </row>
    <row r="4896" customHeight="1" spans="1:2">
      <c r="A4896" s="3" t="s">
        <v>1067</v>
      </c>
      <c r="B4896" s="4">
        <v>176740650</v>
      </c>
    </row>
    <row r="4897" customHeight="1" spans="1:2">
      <c r="A4897" s="3" t="s">
        <v>21335</v>
      </c>
      <c r="B4897" s="4"/>
    </row>
    <row r="4898" customHeight="1" spans="1:2">
      <c r="A4898" s="3" t="s">
        <v>5704</v>
      </c>
      <c r="B4898" s="4">
        <v>82528097</v>
      </c>
    </row>
    <row r="4899" customHeight="1" spans="1:2">
      <c r="A4899" s="3" t="s">
        <v>7270</v>
      </c>
      <c r="B4899" s="4">
        <v>17427926</v>
      </c>
    </row>
    <row r="4900" customHeight="1" spans="1:2">
      <c r="A4900" s="3" t="s">
        <v>18839</v>
      </c>
      <c r="B4900" s="4">
        <v>6387</v>
      </c>
    </row>
    <row r="4901" customHeight="1" spans="1:2">
      <c r="A4901" s="3" t="s">
        <v>8858</v>
      </c>
      <c r="B4901" s="4">
        <v>5480996</v>
      </c>
    </row>
    <row r="4902" customHeight="1" spans="1:2">
      <c r="A4902" s="3" t="s">
        <v>8588</v>
      </c>
      <c r="B4902" s="4">
        <v>17529157</v>
      </c>
    </row>
    <row r="4903" customHeight="1" spans="1:2">
      <c r="A4903" s="3" t="s">
        <v>17297</v>
      </c>
      <c r="B4903" s="4">
        <v>114324072</v>
      </c>
    </row>
    <row r="4904" customHeight="1" spans="1:2">
      <c r="A4904" s="3" t="s">
        <v>15260</v>
      </c>
      <c r="B4904" s="4">
        <v>36000000</v>
      </c>
    </row>
    <row r="4905" customHeight="1" spans="1:2">
      <c r="A4905" s="3" t="s">
        <v>2464</v>
      </c>
      <c r="B4905" s="4">
        <v>74540762</v>
      </c>
    </row>
    <row r="4906" customHeight="1" spans="1:2">
      <c r="A4906" s="3" t="s">
        <v>20634</v>
      </c>
      <c r="B4906" s="4"/>
    </row>
    <row r="4907" customHeight="1" spans="1:2">
      <c r="A4907" s="3" t="s">
        <v>1836</v>
      </c>
      <c r="B4907" s="4">
        <v>90820</v>
      </c>
    </row>
    <row r="4908" customHeight="1" spans="1:2">
      <c r="A4908" s="3" t="s">
        <v>19982</v>
      </c>
      <c r="B4908" s="4"/>
    </row>
    <row r="4909" customHeight="1" spans="1:2">
      <c r="A4909" s="3" t="s">
        <v>1060</v>
      </c>
      <c r="B4909" s="4">
        <v>131144183</v>
      </c>
    </row>
    <row r="4910" customHeight="1" spans="1:2">
      <c r="A4910" s="3" t="s">
        <v>23320</v>
      </c>
      <c r="B4910" s="4"/>
    </row>
    <row r="4911" customHeight="1" spans="1:2">
      <c r="A4911" s="3" t="s">
        <v>22268</v>
      </c>
      <c r="B4911" s="4"/>
    </row>
    <row r="4912" customHeight="1" spans="1:2">
      <c r="A4912" s="3" t="s">
        <v>22871</v>
      </c>
      <c r="B4912" s="4"/>
    </row>
    <row r="4913" customHeight="1" spans="1:2">
      <c r="A4913" s="3" t="s">
        <v>21521</v>
      </c>
      <c r="B4913" s="4"/>
    </row>
    <row r="4914" customHeight="1" spans="1:2">
      <c r="A4914" s="3" t="s">
        <v>5185</v>
      </c>
      <c r="B4914" s="4">
        <v>37617947</v>
      </c>
    </row>
    <row r="4915" customHeight="1" spans="1:2">
      <c r="A4915" s="3" t="s">
        <v>20860</v>
      </c>
      <c r="B4915" s="4"/>
    </row>
    <row r="4916" customHeight="1" spans="1:2">
      <c r="A4916" s="3" t="s">
        <v>16792</v>
      </c>
      <c r="B4916" s="4"/>
    </row>
    <row r="4917" customHeight="1" spans="1:2">
      <c r="A4917" s="3" t="s">
        <v>12151</v>
      </c>
      <c r="B4917" s="4">
        <v>18535191</v>
      </c>
    </row>
    <row r="4918" customHeight="1" spans="1:2">
      <c r="A4918" s="3" t="s">
        <v>4736</v>
      </c>
      <c r="B4918" s="4">
        <v>39177215</v>
      </c>
    </row>
    <row r="4919" customHeight="1" spans="1:2">
      <c r="A4919" s="3" t="s">
        <v>22072</v>
      </c>
      <c r="B4919" s="4"/>
    </row>
    <row r="4920" customHeight="1" spans="1:2">
      <c r="A4920" s="3" t="s">
        <v>21621</v>
      </c>
      <c r="B4920" s="4"/>
    </row>
    <row r="4921" customHeight="1" spans="1:2">
      <c r="A4921" s="3" t="s">
        <v>20917</v>
      </c>
      <c r="B4921" s="4"/>
    </row>
    <row r="4922" customHeight="1" spans="1:2">
      <c r="A4922" s="3" t="s">
        <v>9933</v>
      </c>
      <c r="B4922" s="4">
        <v>15500000</v>
      </c>
    </row>
    <row r="4923" customHeight="1" spans="1:2">
      <c r="A4923" s="3" t="s">
        <v>8492</v>
      </c>
      <c r="B4923" s="4">
        <v>23078294</v>
      </c>
    </row>
    <row r="4924" customHeight="1" spans="1:2">
      <c r="A4924" s="3" t="s">
        <v>22095</v>
      </c>
      <c r="B4924" s="4"/>
    </row>
    <row r="4925" customHeight="1" spans="1:2">
      <c r="A4925" s="3" t="s">
        <v>20515</v>
      </c>
      <c r="B4925" s="4"/>
    </row>
    <row r="4926" customHeight="1" spans="1:2">
      <c r="A4926" s="3" t="s">
        <v>18936</v>
      </c>
      <c r="B4926" s="4"/>
    </row>
    <row r="4927" customHeight="1" spans="1:2">
      <c r="A4927" s="3" t="s">
        <v>11285</v>
      </c>
      <c r="B4927" s="4">
        <v>14677654</v>
      </c>
    </row>
    <row r="4928" customHeight="1" spans="1:2">
      <c r="A4928" s="3" t="s">
        <v>11243</v>
      </c>
      <c r="B4928" s="4">
        <v>26539321</v>
      </c>
    </row>
    <row r="4929" customHeight="1" spans="1:2">
      <c r="A4929" s="3" t="s">
        <v>21379</v>
      </c>
      <c r="B4929" s="4"/>
    </row>
    <row r="4930" customHeight="1" spans="1:2">
      <c r="A4930" s="3" t="s">
        <v>18297</v>
      </c>
      <c r="B4930" s="4">
        <v>609042</v>
      </c>
    </row>
    <row r="4931" customHeight="1" spans="1:2">
      <c r="A4931" s="3" t="s">
        <v>9670</v>
      </c>
      <c r="B4931" s="4">
        <v>16311763</v>
      </c>
    </row>
    <row r="4932" customHeight="1" spans="1:2">
      <c r="A4932" s="3" t="s">
        <v>18228</v>
      </c>
      <c r="B4932" s="4"/>
    </row>
    <row r="4933" customHeight="1" spans="1:2">
      <c r="A4933" s="3" t="s">
        <v>14820</v>
      </c>
      <c r="B4933" s="4"/>
    </row>
    <row r="4934" customHeight="1" spans="1:2">
      <c r="A4934" s="3" t="s">
        <v>5341</v>
      </c>
      <c r="B4934" s="4">
        <v>13303319</v>
      </c>
    </row>
    <row r="4935" customHeight="1" spans="1:2">
      <c r="A4935" s="3" t="s">
        <v>7614</v>
      </c>
      <c r="B4935" s="4">
        <v>4710455</v>
      </c>
    </row>
    <row r="4936" customHeight="1" spans="1:2">
      <c r="A4936" s="3" t="s">
        <v>9677</v>
      </c>
      <c r="B4936" s="4">
        <v>15655665</v>
      </c>
    </row>
    <row r="4937" customHeight="1" spans="1:2">
      <c r="A4937" s="3" t="s">
        <v>20015</v>
      </c>
      <c r="B4937" s="4">
        <v>1111</v>
      </c>
    </row>
    <row r="4938" customHeight="1" spans="1:2">
      <c r="A4938" s="3" t="s">
        <v>16364</v>
      </c>
      <c r="B4938" s="4">
        <v>37606</v>
      </c>
    </row>
    <row r="4939" customHeight="1" spans="1:2">
      <c r="A4939" s="3" t="s">
        <v>1011</v>
      </c>
      <c r="B4939" s="4">
        <v>9213</v>
      </c>
    </row>
    <row r="4940" customHeight="1" spans="1:2">
      <c r="A4940" s="3" t="s">
        <v>6114</v>
      </c>
      <c r="B4940" s="4">
        <v>30513940</v>
      </c>
    </row>
    <row r="4941" customHeight="1" spans="1:2">
      <c r="A4941" s="3" t="s">
        <v>17593</v>
      </c>
      <c r="B4941" s="4">
        <v>4414535</v>
      </c>
    </row>
    <row r="4942" customHeight="1" spans="1:2">
      <c r="A4942" s="3" t="s">
        <v>21431</v>
      </c>
      <c r="B4942" s="4"/>
    </row>
    <row r="4943" customHeight="1" spans="1:2">
      <c r="A4943" s="3" t="s">
        <v>7552</v>
      </c>
      <c r="B4943" s="4">
        <v>39989008</v>
      </c>
    </row>
    <row r="4944" customHeight="1" spans="1:2">
      <c r="A4944" s="3" t="s">
        <v>374</v>
      </c>
      <c r="B4944" s="4">
        <v>177243721</v>
      </c>
    </row>
    <row r="4945" customHeight="1" spans="1:2">
      <c r="A4945" s="3" t="s">
        <v>4475</v>
      </c>
      <c r="B4945" s="4">
        <v>27663982</v>
      </c>
    </row>
    <row r="4946" customHeight="1" spans="1:2">
      <c r="A4946" s="3" t="s">
        <v>5510</v>
      </c>
      <c r="B4946" s="4"/>
    </row>
    <row r="4947" customHeight="1" spans="1:2">
      <c r="A4947" s="3" t="s">
        <v>8393</v>
      </c>
      <c r="B4947" s="4"/>
    </row>
    <row r="4948" customHeight="1" spans="1:2">
      <c r="A4948" s="3" t="s">
        <v>14152</v>
      </c>
      <c r="B4948" s="4">
        <v>28747570</v>
      </c>
    </row>
    <row r="4949" customHeight="1" spans="1:2">
      <c r="A4949" s="3" t="s">
        <v>2293</v>
      </c>
      <c r="B4949" s="4">
        <v>1987287</v>
      </c>
    </row>
    <row r="4950" customHeight="1" spans="1:2">
      <c r="A4950" s="3" t="s">
        <v>6759</v>
      </c>
      <c r="B4950" s="4">
        <v>87341380</v>
      </c>
    </row>
    <row r="4951" customHeight="1" spans="1:2">
      <c r="A4951" s="3" t="s">
        <v>11912</v>
      </c>
      <c r="B4951" s="4"/>
    </row>
    <row r="4952" customHeight="1" spans="1:2">
      <c r="A4952" s="3" t="s">
        <v>9944</v>
      </c>
      <c r="B4952" s="4">
        <v>4839383</v>
      </c>
    </row>
    <row r="4953" customHeight="1" spans="1:2">
      <c r="A4953" s="3" t="s">
        <v>23437</v>
      </c>
      <c r="B4953" s="4"/>
    </row>
    <row r="4954" customHeight="1" spans="1:2">
      <c r="A4954" s="3" t="s">
        <v>16706</v>
      </c>
      <c r="B4954" s="4">
        <v>24788807</v>
      </c>
    </row>
    <row r="4955" customHeight="1" spans="1:2">
      <c r="A4955" s="3" t="s">
        <v>16087</v>
      </c>
      <c r="B4955" s="4">
        <v>7557877</v>
      </c>
    </row>
    <row r="4956" customHeight="1" spans="1:2">
      <c r="A4956" s="3" t="s">
        <v>21598</v>
      </c>
      <c r="B4956" s="4"/>
    </row>
    <row r="4957" customHeight="1" spans="1:2">
      <c r="A4957" s="3" t="s">
        <v>24125</v>
      </c>
      <c r="B4957" s="4"/>
    </row>
    <row r="4958" customHeight="1" spans="1:2">
      <c r="A4958" s="3" t="s">
        <v>13961</v>
      </c>
      <c r="B4958" s="4">
        <v>10460089</v>
      </c>
    </row>
    <row r="4959" customHeight="1" spans="1:2">
      <c r="A4959" s="3" t="s">
        <v>10824</v>
      </c>
      <c r="B4959" s="4"/>
    </row>
    <row r="4960" customHeight="1" spans="1:2">
      <c r="A4960" s="3" t="s">
        <v>19395</v>
      </c>
      <c r="B4960" s="4">
        <v>342936</v>
      </c>
    </row>
    <row r="4961" customHeight="1" spans="1:2">
      <c r="A4961" s="3" t="s">
        <v>9163</v>
      </c>
      <c r="B4961" s="4"/>
    </row>
    <row r="4962" customHeight="1" spans="1:2">
      <c r="A4962" s="3" t="s">
        <v>14966</v>
      </c>
      <c r="B4962" s="4">
        <v>15059</v>
      </c>
    </row>
    <row r="4963" customHeight="1" spans="1:2">
      <c r="A4963" s="3" t="s">
        <v>7049</v>
      </c>
      <c r="B4963" s="4">
        <v>43984230</v>
      </c>
    </row>
    <row r="4964" customHeight="1" spans="1:2">
      <c r="A4964" s="3" t="s">
        <v>23677</v>
      </c>
      <c r="B4964" s="4"/>
    </row>
    <row r="4965" customHeight="1" spans="1:2">
      <c r="A4965" s="3" t="s">
        <v>17062</v>
      </c>
      <c r="B4965" s="4">
        <v>5595428</v>
      </c>
    </row>
    <row r="4966" customHeight="1" spans="1:2">
      <c r="A4966" s="3" t="s">
        <v>20266</v>
      </c>
      <c r="B4966" s="4"/>
    </row>
    <row r="4967" customHeight="1" spans="1:2">
      <c r="A4967" s="3" t="s">
        <v>8655</v>
      </c>
      <c r="B4967" s="4">
        <v>14174654</v>
      </c>
    </row>
    <row r="4968" customHeight="1" spans="1:2">
      <c r="A4968" s="3" t="s">
        <v>1048</v>
      </c>
      <c r="B4968" s="4">
        <v>380838870</v>
      </c>
    </row>
    <row r="4969" customHeight="1" spans="1:2">
      <c r="A4969" s="3" t="s">
        <v>8968</v>
      </c>
      <c r="B4969" s="4">
        <v>1183354</v>
      </c>
    </row>
    <row r="4970" customHeight="1" spans="1:2">
      <c r="A4970" s="3" t="s">
        <v>2987</v>
      </c>
      <c r="B4970" s="4">
        <v>51178893</v>
      </c>
    </row>
    <row r="4971" customHeight="1" spans="1:2">
      <c r="A4971" s="3" t="s">
        <v>23199</v>
      </c>
      <c r="B4971" s="4"/>
    </row>
    <row r="4972" customHeight="1" spans="1:2">
      <c r="A4972" s="3" t="s">
        <v>7589</v>
      </c>
      <c r="B4972" s="4">
        <v>12372410</v>
      </c>
    </row>
    <row r="4973" customHeight="1" spans="1:2">
      <c r="A4973" s="3" t="s">
        <v>7562</v>
      </c>
      <c r="B4973" s="4">
        <v>31452765</v>
      </c>
    </row>
    <row r="4974" customHeight="1" spans="1:2">
      <c r="A4974" s="3" t="s">
        <v>2839</v>
      </c>
      <c r="B4974" s="4">
        <v>177575142</v>
      </c>
    </row>
    <row r="4975" customHeight="1" spans="1:2">
      <c r="A4975" s="3" t="s">
        <v>9067</v>
      </c>
      <c r="B4975" s="4"/>
    </row>
    <row r="4976" customHeight="1" spans="1:2">
      <c r="A4976" s="3" t="s">
        <v>531</v>
      </c>
      <c r="B4976" s="4">
        <v>52792307</v>
      </c>
    </row>
    <row r="4977" customHeight="1" spans="1:2">
      <c r="A4977" s="3" t="s">
        <v>17095</v>
      </c>
      <c r="B4977" s="4">
        <v>3645438</v>
      </c>
    </row>
    <row r="4978" customHeight="1" spans="1:2">
      <c r="A4978" s="3" t="s">
        <v>16551</v>
      </c>
      <c r="B4978" s="4"/>
    </row>
    <row r="4979" customHeight="1" spans="1:2">
      <c r="A4979" s="3" t="s">
        <v>12340</v>
      </c>
      <c r="B4979" s="4">
        <v>30093107</v>
      </c>
    </row>
    <row r="4980" customHeight="1" spans="1:2">
      <c r="A4980" s="3" t="s">
        <v>1185</v>
      </c>
      <c r="B4980" s="4">
        <v>73209340</v>
      </c>
    </row>
    <row r="4981" customHeight="1" spans="1:2">
      <c r="A4981" s="3" t="s">
        <v>5361</v>
      </c>
      <c r="B4981" s="4">
        <v>6448817</v>
      </c>
    </row>
    <row r="4982" customHeight="1" spans="1:2">
      <c r="A4982" s="3" t="s">
        <v>21699</v>
      </c>
      <c r="B4982" s="4"/>
    </row>
    <row r="4983" customHeight="1" spans="1:2">
      <c r="A4983" s="3" t="s">
        <v>16670</v>
      </c>
      <c r="B4983" s="4"/>
    </row>
    <row r="4984" customHeight="1" spans="1:2">
      <c r="A4984" s="3" t="s">
        <v>2436</v>
      </c>
      <c r="B4984" s="4">
        <v>82569532</v>
      </c>
    </row>
    <row r="4985" customHeight="1" spans="1:2">
      <c r="A4985" s="3" t="s">
        <v>966</v>
      </c>
      <c r="B4985" s="4">
        <v>72660029</v>
      </c>
    </row>
    <row r="4986" customHeight="1" spans="1:2">
      <c r="A4986" s="3" t="s">
        <v>22647</v>
      </c>
      <c r="B4986" s="4"/>
    </row>
    <row r="4987" customHeight="1" spans="1:2">
      <c r="A4987" s="3" t="s">
        <v>22601</v>
      </c>
      <c r="B4987" s="4"/>
    </row>
    <row r="4988" customHeight="1" spans="1:2">
      <c r="A4988" s="3" t="s">
        <v>16982</v>
      </c>
      <c r="B4988" s="4">
        <v>128937</v>
      </c>
    </row>
    <row r="4989" customHeight="1" spans="1:2">
      <c r="A4989" s="3" t="s">
        <v>4625</v>
      </c>
      <c r="B4989" s="4">
        <v>18438149</v>
      </c>
    </row>
    <row r="4990" customHeight="1" spans="1:2">
      <c r="A4990" s="3" t="s">
        <v>2892</v>
      </c>
      <c r="B4990" s="4">
        <v>68218041</v>
      </c>
    </row>
    <row r="4991" customHeight="1" spans="1:2">
      <c r="A4991" s="3" t="s">
        <v>7713</v>
      </c>
      <c r="B4991" s="4">
        <v>12782508</v>
      </c>
    </row>
    <row r="4992" customHeight="1" spans="1:2">
      <c r="A4992" s="3" t="s">
        <v>19729</v>
      </c>
      <c r="B4992" s="4"/>
    </row>
    <row r="4993" customHeight="1" spans="1:2">
      <c r="A4993" s="3" t="s">
        <v>11040</v>
      </c>
      <c r="B4993" s="4">
        <v>183088</v>
      </c>
    </row>
    <row r="4994" customHeight="1" spans="1:2">
      <c r="A4994" s="3" t="s">
        <v>1446</v>
      </c>
      <c r="B4994" s="4">
        <v>158115031</v>
      </c>
    </row>
    <row r="4995" customHeight="1" spans="1:2">
      <c r="A4995" s="3" t="s">
        <v>21268</v>
      </c>
      <c r="B4995" s="4"/>
    </row>
    <row r="4996" customHeight="1" spans="1:2">
      <c r="A4996" s="3" t="s">
        <v>6772</v>
      </c>
      <c r="B4996" s="4">
        <v>57859105</v>
      </c>
    </row>
    <row r="4997" customHeight="1" spans="1:2">
      <c r="A4997" s="3" t="s">
        <v>9504</v>
      </c>
      <c r="B4997" s="4"/>
    </row>
    <row r="4998" customHeight="1" spans="1:2">
      <c r="A4998" s="3" t="s">
        <v>22455</v>
      </c>
      <c r="B4998" s="4"/>
    </row>
    <row r="4999" customHeight="1" spans="1:2">
      <c r="A4999" s="3" t="s">
        <v>904</v>
      </c>
      <c r="B4999" s="4">
        <v>119219978</v>
      </c>
    </row>
    <row r="5000" customHeight="1" spans="1:2">
      <c r="A5000" s="3" t="s">
        <v>2996</v>
      </c>
      <c r="B5000" s="4">
        <v>6167817</v>
      </c>
    </row>
    <row r="5001" customHeight="1" spans="1:2">
      <c r="A5001" s="3" t="s">
        <v>20523</v>
      </c>
      <c r="B5001" s="4"/>
    </row>
    <row r="5002" customHeight="1" spans="1:2">
      <c r="A5002" s="3" t="s">
        <v>23669</v>
      </c>
      <c r="B5002" s="4"/>
    </row>
    <row r="5003" customHeight="1" spans="1:2">
      <c r="A5003" s="3" t="s">
        <v>16867</v>
      </c>
      <c r="B5003" s="4">
        <v>3071947</v>
      </c>
    </row>
    <row r="5004" customHeight="1" spans="1:2">
      <c r="A5004" s="3" t="s">
        <v>5346</v>
      </c>
      <c r="B5004" s="4">
        <v>10499968</v>
      </c>
    </row>
    <row r="5005" customHeight="1" spans="1:2">
      <c r="A5005" s="3" t="s">
        <v>4151</v>
      </c>
      <c r="B5005" s="4">
        <v>166147885</v>
      </c>
    </row>
    <row r="5006" customHeight="1" spans="1:2">
      <c r="A5006" s="3" t="s">
        <v>17243</v>
      </c>
      <c r="B5006" s="4">
        <v>5400000</v>
      </c>
    </row>
    <row r="5007" customHeight="1" spans="1:2">
      <c r="A5007" s="3" t="s">
        <v>14759</v>
      </c>
      <c r="B5007" s="4"/>
    </row>
    <row r="5008" customHeight="1" spans="1:2">
      <c r="A5008" s="3" t="s">
        <v>1370</v>
      </c>
      <c r="B5008" s="4">
        <v>153288182</v>
      </c>
    </row>
    <row r="5009" customHeight="1" spans="1:2">
      <c r="A5009" s="3" t="s">
        <v>23176</v>
      </c>
      <c r="B5009" s="4"/>
    </row>
    <row r="5010" customHeight="1" spans="1:2">
      <c r="A5010" s="3" t="s">
        <v>6053</v>
      </c>
      <c r="B5010" s="4">
        <v>38747385</v>
      </c>
    </row>
    <row r="5011" customHeight="1" spans="1:2">
      <c r="A5011" s="3" t="s">
        <v>18602</v>
      </c>
      <c r="B5011" s="4">
        <v>14564027</v>
      </c>
    </row>
    <row r="5012" customHeight="1" spans="1:2">
      <c r="A5012" s="3" t="s">
        <v>12135</v>
      </c>
      <c r="B5012" s="4">
        <v>56729973</v>
      </c>
    </row>
    <row r="5013" customHeight="1" spans="1:2">
      <c r="A5013" s="3" t="s">
        <v>15103</v>
      </c>
      <c r="B5013" s="4">
        <v>6239558</v>
      </c>
    </row>
    <row r="5014" customHeight="1" spans="1:2">
      <c r="A5014" s="3" t="s">
        <v>18676</v>
      </c>
      <c r="B5014" s="4">
        <v>143492840</v>
      </c>
    </row>
    <row r="5015" customHeight="1" spans="1:2">
      <c r="A5015" s="3" t="s">
        <v>9253</v>
      </c>
      <c r="B5015" s="4">
        <v>86049418</v>
      </c>
    </row>
    <row r="5016" customHeight="1" spans="1:2">
      <c r="A5016" s="3" t="s">
        <v>4979</v>
      </c>
      <c r="B5016" s="4">
        <v>112692062</v>
      </c>
    </row>
    <row r="5017" customHeight="1" spans="1:2">
      <c r="A5017" s="3" t="s">
        <v>13922</v>
      </c>
      <c r="B5017" s="4">
        <v>32333860</v>
      </c>
    </row>
    <row r="5018" customHeight="1" spans="1:2">
      <c r="A5018" s="3" t="s">
        <v>4984</v>
      </c>
      <c r="B5018" s="4">
        <v>117528646</v>
      </c>
    </row>
    <row r="5019" customHeight="1" spans="1:2">
      <c r="A5019" s="3" t="s">
        <v>4496</v>
      </c>
      <c r="B5019" s="4">
        <v>36665854</v>
      </c>
    </row>
    <row r="5020" customHeight="1" spans="1:2">
      <c r="A5020" s="3" t="s">
        <v>69</v>
      </c>
      <c r="B5020" s="4">
        <v>423032628</v>
      </c>
    </row>
    <row r="5021" customHeight="1" spans="1:2">
      <c r="A5021" s="3" t="s">
        <v>19446</v>
      </c>
      <c r="B5021" s="4">
        <v>12055</v>
      </c>
    </row>
    <row r="5022" customHeight="1" spans="1:2">
      <c r="A5022" s="3" t="s">
        <v>24028</v>
      </c>
      <c r="B5022" s="4"/>
    </row>
    <row r="5023" customHeight="1" spans="1:2">
      <c r="A5023" s="3" t="s">
        <v>16166</v>
      </c>
      <c r="B5023" s="4">
        <v>2800000</v>
      </c>
    </row>
    <row r="5024" customHeight="1" spans="1:2">
      <c r="A5024" s="3" t="s">
        <v>21632</v>
      </c>
      <c r="B5024" s="4"/>
    </row>
    <row r="5025" customHeight="1" spans="1:2">
      <c r="A5025" s="3" t="s">
        <v>4480</v>
      </c>
      <c r="B5025" s="4">
        <v>27053815</v>
      </c>
    </row>
    <row r="5026" customHeight="1" spans="1:2">
      <c r="A5026" s="3" t="s">
        <v>17751</v>
      </c>
      <c r="B5026" s="4"/>
    </row>
    <row r="5027" customHeight="1" spans="1:2">
      <c r="A5027" s="3" t="s">
        <v>3556</v>
      </c>
      <c r="B5027" s="4">
        <v>7994115</v>
      </c>
    </row>
    <row r="5028" customHeight="1" spans="1:2">
      <c r="A5028" s="3" t="s">
        <v>707</v>
      </c>
      <c r="B5028" s="4">
        <v>30212620</v>
      </c>
    </row>
    <row r="5029" customHeight="1" spans="1:2">
      <c r="A5029" s="3" t="s">
        <v>5886</v>
      </c>
      <c r="B5029" s="4">
        <v>66600000</v>
      </c>
    </row>
    <row r="5030" customHeight="1" spans="1:2">
      <c r="A5030" s="3" t="s">
        <v>8577</v>
      </c>
      <c r="B5030" s="4"/>
    </row>
    <row r="5031" customHeight="1" spans="1:2">
      <c r="A5031" s="3" t="s">
        <v>6144</v>
      </c>
      <c r="B5031" s="4">
        <v>21800302</v>
      </c>
    </row>
    <row r="5032" customHeight="1" spans="1:2">
      <c r="A5032" s="3" t="s">
        <v>1746</v>
      </c>
      <c r="B5032" s="4">
        <v>117698894</v>
      </c>
    </row>
    <row r="5033" customHeight="1" spans="1:2">
      <c r="A5033" s="3" t="s">
        <v>99</v>
      </c>
      <c r="B5033" s="4">
        <v>218051260</v>
      </c>
    </row>
    <row r="5034" customHeight="1" spans="1:2">
      <c r="A5034" s="3" t="s">
        <v>1689</v>
      </c>
      <c r="B5034" s="4">
        <v>1339152</v>
      </c>
    </row>
    <row r="5035" customHeight="1" spans="1:2">
      <c r="A5035" s="3" t="s">
        <v>4358</v>
      </c>
      <c r="B5035" s="4">
        <v>52320979</v>
      </c>
    </row>
    <row r="5036" customHeight="1" spans="1:2">
      <c r="A5036" s="3" t="s">
        <v>14153</v>
      </c>
      <c r="B5036" s="4">
        <v>25625110</v>
      </c>
    </row>
    <row r="5037" customHeight="1" spans="1:2">
      <c r="A5037" s="3" t="s">
        <v>20471</v>
      </c>
      <c r="B5037" s="4"/>
    </row>
    <row r="5038" customHeight="1" spans="1:2">
      <c r="A5038" s="3" t="s">
        <v>17587</v>
      </c>
      <c r="B5038" s="4">
        <v>7369373</v>
      </c>
    </row>
    <row r="5039" customHeight="1" spans="1:2">
      <c r="A5039" s="3" t="s">
        <v>7864</v>
      </c>
      <c r="B5039" s="4">
        <v>17951431</v>
      </c>
    </row>
    <row r="5040" customHeight="1" spans="1:2">
      <c r="A5040" s="3" t="s">
        <v>22037</v>
      </c>
      <c r="B5040" s="4"/>
    </row>
    <row r="5041" customHeight="1" spans="1:2">
      <c r="A5041" s="3" t="s">
        <v>18132</v>
      </c>
      <c r="B5041" s="4">
        <v>3447339</v>
      </c>
    </row>
    <row r="5042" customHeight="1" spans="1:2">
      <c r="A5042" s="3" t="s">
        <v>8457</v>
      </c>
      <c r="B5042" s="4">
        <v>34126138</v>
      </c>
    </row>
    <row r="5043" customHeight="1" spans="1:2">
      <c r="A5043" s="3" t="s">
        <v>2153</v>
      </c>
      <c r="B5043" s="4">
        <v>5932060</v>
      </c>
    </row>
    <row r="5044" customHeight="1" spans="1:2">
      <c r="A5044" s="3" t="s">
        <v>23793</v>
      </c>
      <c r="B5044" s="4"/>
    </row>
    <row r="5045" customHeight="1" spans="1:2">
      <c r="A5045" s="3" t="s">
        <v>11133</v>
      </c>
      <c r="B5045" s="4">
        <v>2086345</v>
      </c>
    </row>
    <row r="5046" customHeight="1" spans="1:2">
      <c r="A5046" s="3" t="s">
        <v>7291</v>
      </c>
      <c r="B5046" s="4">
        <v>13973532</v>
      </c>
    </row>
    <row r="5047" customHeight="1" spans="1:2">
      <c r="A5047" s="3" t="s">
        <v>19331</v>
      </c>
      <c r="B5047" s="4">
        <v>17000000</v>
      </c>
    </row>
    <row r="5048" customHeight="1" spans="1:2">
      <c r="A5048" s="3" t="s">
        <v>19426</v>
      </c>
      <c r="B5048" s="4">
        <v>177343675</v>
      </c>
    </row>
    <row r="5049" customHeight="1" spans="1:2">
      <c r="A5049" s="3" t="s">
        <v>769</v>
      </c>
      <c r="B5049" s="4">
        <v>113330342</v>
      </c>
    </row>
    <row r="5050" customHeight="1" spans="1:2">
      <c r="A5050" s="3" t="s">
        <v>15241</v>
      </c>
      <c r="B5050" s="4">
        <v>44456509</v>
      </c>
    </row>
    <row r="5051" customHeight="1" spans="1:2">
      <c r="A5051" s="3" t="s">
        <v>5252</v>
      </c>
      <c r="B5051" s="4">
        <v>20981633</v>
      </c>
    </row>
    <row r="5052" customHeight="1" spans="1:2">
      <c r="A5052" s="3" t="s">
        <v>9265</v>
      </c>
      <c r="B5052" s="4">
        <v>33404871</v>
      </c>
    </row>
    <row r="5053" customHeight="1" spans="1:2">
      <c r="A5053" s="3" t="s">
        <v>15274</v>
      </c>
      <c r="B5053" s="4"/>
    </row>
    <row r="5054" customHeight="1" spans="1:2">
      <c r="A5054" s="3" t="s">
        <v>14543</v>
      </c>
      <c r="B5054" s="4">
        <v>2268296</v>
      </c>
    </row>
    <row r="5055" customHeight="1" spans="1:2">
      <c r="A5055" s="3" t="s">
        <v>4042</v>
      </c>
      <c r="B5055" s="4">
        <v>181655</v>
      </c>
    </row>
    <row r="5056" customHeight="1" spans="1:2">
      <c r="A5056" s="3" t="s">
        <v>5771</v>
      </c>
      <c r="B5056" s="4">
        <v>121248145</v>
      </c>
    </row>
    <row r="5057" customHeight="1" spans="1:2">
      <c r="A5057" s="3" t="s">
        <v>19197</v>
      </c>
      <c r="B5057" s="4">
        <v>7830611</v>
      </c>
    </row>
    <row r="5058" customHeight="1" spans="1:2">
      <c r="A5058" s="3" t="s">
        <v>14011</v>
      </c>
      <c r="B5058" s="4"/>
    </row>
    <row r="5059" customHeight="1" spans="1:2">
      <c r="A5059" s="3" t="s">
        <v>19503</v>
      </c>
      <c r="B5059" s="4"/>
    </row>
    <row r="5060" customHeight="1" spans="1:2">
      <c r="A5060" s="3" t="s">
        <v>15934</v>
      </c>
      <c r="B5060" s="4">
        <v>20772796</v>
      </c>
    </row>
    <row r="5061" customHeight="1" spans="1:2">
      <c r="A5061" s="3" t="s">
        <v>19003</v>
      </c>
      <c r="B5061" s="4">
        <v>102797150</v>
      </c>
    </row>
    <row r="5062" customHeight="1" spans="1:2">
      <c r="A5062" s="3" t="s">
        <v>23507</v>
      </c>
      <c r="B5062" s="4"/>
    </row>
    <row r="5063" customHeight="1" spans="1:2">
      <c r="A5063" s="3" t="s">
        <v>15712</v>
      </c>
      <c r="B5063" s="4"/>
    </row>
    <row r="5064" customHeight="1" spans="1:2">
      <c r="A5064" s="3" t="s">
        <v>6944</v>
      </c>
      <c r="B5064" s="4">
        <v>80034302</v>
      </c>
    </row>
    <row r="5065" customHeight="1" spans="1:2">
      <c r="A5065" s="3" t="s">
        <v>3852</v>
      </c>
      <c r="B5065" s="4">
        <v>20101861</v>
      </c>
    </row>
    <row r="5066" customHeight="1" spans="1:2">
      <c r="A5066" s="3" t="s">
        <v>17275</v>
      </c>
      <c r="B5066" s="4">
        <v>395592</v>
      </c>
    </row>
    <row r="5067" customHeight="1" spans="1:2">
      <c r="A5067" s="3" t="s">
        <v>15641</v>
      </c>
      <c r="B5067" s="4"/>
    </row>
    <row r="5068" customHeight="1" spans="1:2">
      <c r="A5068" s="3" t="s">
        <v>7979</v>
      </c>
      <c r="B5068" s="4">
        <v>24362501</v>
      </c>
    </row>
    <row r="5069" customHeight="1" spans="1:2">
      <c r="A5069" s="3" t="s">
        <v>510</v>
      </c>
      <c r="B5069" s="4">
        <v>32131830</v>
      </c>
    </row>
    <row r="5070" customHeight="1" spans="1:2">
      <c r="A5070" s="3" t="s">
        <v>23513</v>
      </c>
      <c r="B5070" s="4"/>
    </row>
    <row r="5071" customHeight="1" spans="1:2">
      <c r="A5071" s="3" t="s">
        <v>21550</v>
      </c>
      <c r="B5071" s="4"/>
    </row>
    <row r="5072" customHeight="1" spans="1:2">
      <c r="A5072" s="3" t="s">
        <v>23550</v>
      </c>
      <c r="B5072" s="4"/>
    </row>
    <row r="5073" customHeight="1" spans="1:2">
      <c r="A5073" s="3" t="s">
        <v>18761</v>
      </c>
      <c r="B5073" s="4">
        <v>621240</v>
      </c>
    </row>
    <row r="5074" customHeight="1" spans="1:2">
      <c r="A5074" s="3" t="s">
        <v>5752</v>
      </c>
      <c r="B5074" s="4">
        <v>170684505</v>
      </c>
    </row>
    <row r="5075" customHeight="1" spans="1:2">
      <c r="A5075" s="3" t="s">
        <v>5491</v>
      </c>
      <c r="B5075" s="4"/>
    </row>
    <row r="5076" customHeight="1" spans="1:2">
      <c r="A5076" s="3" t="s">
        <v>12548</v>
      </c>
      <c r="B5076" s="4">
        <v>43771291</v>
      </c>
    </row>
    <row r="5077" customHeight="1" spans="1:2">
      <c r="A5077" s="3" t="s">
        <v>811</v>
      </c>
      <c r="B5077" s="4">
        <v>66002193</v>
      </c>
    </row>
    <row r="5078" customHeight="1" spans="1:2">
      <c r="A5078" s="3" t="s">
        <v>438</v>
      </c>
      <c r="B5078" s="4">
        <v>133228348</v>
      </c>
    </row>
    <row r="5079" customHeight="1" spans="1:2">
      <c r="A5079" s="3" t="s">
        <v>22336</v>
      </c>
      <c r="B5079" s="4"/>
    </row>
    <row r="5080" customHeight="1" spans="1:2">
      <c r="A5080" s="3" t="s">
        <v>19439</v>
      </c>
      <c r="B5080" s="4">
        <v>13134</v>
      </c>
    </row>
    <row r="5081" customHeight="1" spans="1:2">
      <c r="A5081" s="3" t="s">
        <v>10471</v>
      </c>
      <c r="B5081" s="4">
        <v>11614236</v>
      </c>
    </row>
    <row r="5082" customHeight="1" spans="1:2">
      <c r="A5082" s="3" t="s">
        <v>5807</v>
      </c>
      <c r="B5082" s="4">
        <v>105444419</v>
      </c>
    </row>
    <row r="5083" customHeight="1" spans="1:2">
      <c r="A5083" s="3" t="s">
        <v>6115</v>
      </c>
      <c r="B5083" s="4">
        <v>23209440</v>
      </c>
    </row>
    <row r="5084" customHeight="1" spans="1:2">
      <c r="A5084" s="3" t="s">
        <v>8147</v>
      </c>
      <c r="B5084" s="4">
        <v>69700000</v>
      </c>
    </row>
    <row r="5085" customHeight="1" spans="1:2">
      <c r="A5085" s="3" t="s">
        <v>17011</v>
      </c>
      <c r="B5085" s="4"/>
    </row>
    <row r="5086" customHeight="1" spans="1:2">
      <c r="A5086" s="3" t="s">
        <v>13664</v>
      </c>
      <c r="B5086" s="4">
        <v>16699684</v>
      </c>
    </row>
    <row r="5087" customHeight="1" spans="1:2">
      <c r="A5087" s="3" t="s">
        <v>13309</v>
      </c>
      <c r="B5087" s="4">
        <v>4681503</v>
      </c>
    </row>
    <row r="5088" customHeight="1" spans="1:2">
      <c r="A5088" s="3" t="s">
        <v>11645</v>
      </c>
      <c r="B5088" s="4">
        <v>18761993</v>
      </c>
    </row>
    <row r="5089" customHeight="1" spans="1:2">
      <c r="A5089" s="3" t="s">
        <v>11867</v>
      </c>
      <c r="B5089" s="4">
        <v>214202</v>
      </c>
    </row>
    <row r="5090" customHeight="1" spans="1:2">
      <c r="A5090" s="3" t="s">
        <v>1958</v>
      </c>
      <c r="B5090" s="4"/>
    </row>
    <row r="5091" customHeight="1" spans="1:2">
      <c r="A5091" s="3" t="s">
        <v>10502</v>
      </c>
      <c r="B5091" s="4">
        <v>15608545</v>
      </c>
    </row>
    <row r="5092" customHeight="1" spans="1:2">
      <c r="A5092" s="3" t="s">
        <v>13432</v>
      </c>
      <c r="B5092" s="4">
        <v>14373825</v>
      </c>
    </row>
    <row r="5093" customHeight="1" spans="1:2">
      <c r="A5093" s="3" t="s">
        <v>6311</v>
      </c>
      <c r="B5093" s="4">
        <v>537580</v>
      </c>
    </row>
    <row r="5094" customHeight="1" spans="1:2">
      <c r="A5094" s="3" t="s">
        <v>10309</v>
      </c>
      <c r="B5094" s="4">
        <v>29106737</v>
      </c>
    </row>
    <row r="5095" customHeight="1" spans="1:2">
      <c r="A5095" s="3" t="s">
        <v>2677</v>
      </c>
      <c r="B5095" s="4">
        <v>623279547</v>
      </c>
    </row>
    <row r="5096" customHeight="1" spans="1:2">
      <c r="A5096" s="3" t="s">
        <v>1468</v>
      </c>
      <c r="B5096" s="4">
        <v>127968405</v>
      </c>
    </row>
    <row r="5097" customHeight="1" spans="1:2">
      <c r="A5097" s="3" t="s">
        <v>13768</v>
      </c>
      <c r="B5097" s="4">
        <v>2275557</v>
      </c>
    </row>
    <row r="5098" customHeight="1" spans="1:2">
      <c r="A5098" s="3" t="s">
        <v>8025</v>
      </c>
      <c r="B5098" s="4">
        <v>40219708</v>
      </c>
    </row>
    <row r="5099" customHeight="1" spans="1:2">
      <c r="A5099" s="3" t="s">
        <v>10383</v>
      </c>
      <c r="B5099" s="4">
        <v>20218921</v>
      </c>
    </row>
    <row r="5100" customHeight="1" spans="1:2">
      <c r="A5100" s="3" t="s">
        <v>1761</v>
      </c>
      <c r="B5100" s="4">
        <v>68473360</v>
      </c>
    </row>
    <row r="5101" customHeight="1" spans="1:2">
      <c r="A5101" s="3" t="s">
        <v>10522</v>
      </c>
      <c r="B5101" s="4"/>
    </row>
    <row r="5102" customHeight="1" spans="1:2">
      <c r="A5102" s="3" t="s">
        <v>15325</v>
      </c>
      <c r="B5102" s="4">
        <v>20733485</v>
      </c>
    </row>
    <row r="5103" customHeight="1" spans="1:2">
      <c r="A5103" s="3" t="s">
        <v>3899</v>
      </c>
      <c r="B5103" s="4">
        <v>15279680</v>
      </c>
    </row>
    <row r="5104" customHeight="1" spans="1:2">
      <c r="A5104" s="3" t="s">
        <v>10744</v>
      </c>
      <c r="B5104" s="4">
        <v>20380</v>
      </c>
    </row>
    <row r="5105" customHeight="1" spans="1:2">
      <c r="A5105" s="3" t="s">
        <v>10925</v>
      </c>
      <c r="B5105" s="4">
        <v>15062898</v>
      </c>
    </row>
    <row r="5106" customHeight="1" spans="1:2">
      <c r="A5106" s="3" t="s">
        <v>10308</v>
      </c>
      <c r="B5106" s="4">
        <v>29302097</v>
      </c>
    </row>
    <row r="5107" customHeight="1" spans="1:2">
      <c r="A5107" s="3" t="s">
        <v>8994</v>
      </c>
      <c r="B5107" s="4"/>
    </row>
    <row r="5108" customHeight="1" spans="1:2">
      <c r="A5108" s="3" t="s">
        <v>23964</v>
      </c>
      <c r="B5108" s="4"/>
    </row>
    <row r="5109" customHeight="1" spans="1:2">
      <c r="A5109" s="3" t="s">
        <v>851</v>
      </c>
      <c r="B5109" s="4">
        <v>10556196</v>
      </c>
    </row>
    <row r="5110" customHeight="1" spans="1:2">
      <c r="A5110" s="3" t="s">
        <v>12396</v>
      </c>
      <c r="B5110" s="4"/>
    </row>
    <row r="5111" customHeight="1" spans="1:2">
      <c r="A5111" s="3" t="s">
        <v>22895</v>
      </c>
      <c r="B5111" s="4"/>
    </row>
    <row r="5112" customHeight="1" spans="1:2">
      <c r="A5112" s="3" t="s">
        <v>14847</v>
      </c>
      <c r="B5112" s="4">
        <v>1346503</v>
      </c>
    </row>
    <row r="5113" customHeight="1" spans="1:2">
      <c r="A5113" s="3" t="s">
        <v>19242</v>
      </c>
      <c r="B5113" s="4"/>
    </row>
    <row r="5114" customHeight="1" spans="1:2">
      <c r="A5114" s="3" t="s">
        <v>3393</v>
      </c>
      <c r="B5114" s="4"/>
    </row>
    <row r="5115" customHeight="1" spans="1:2">
      <c r="A5115" s="3" t="s">
        <v>23156</v>
      </c>
      <c r="B5115" s="4"/>
    </row>
    <row r="5116" customHeight="1" spans="1:2">
      <c r="A5116" s="3" t="s">
        <v>17480</v>
      </c>
      <c r="B5116" s="4"/>
    </row>
    <row r="5117" customHeight="1" spans="1:2">
      <c r="A5117" s="3" t="s">
        <v>13953</v>
      </c>
      <c r="B5117" s="4">
        <v>5100000</v>
      </c>
    </row>
    <row r="5118" customHeight="1" spans="1:2">
      <c r="A5118" s="3" t="s">
        <v>14981</v>
      </c>
      <c r="B5118" s="4"/>
    </row>
    <row r="5119" customHeight="1" spans="1:2">
      <c r="A5119" s="3" t="s">
        <v>11139</v>
      </c>
      <c r="B5119" s="4">
        <v>123922370</v>
      </c>
    </row>
    <row r="5120" customHeight="1" spans="1:2">
      <c r="A5120" s="3" t="s">
        <v>23942</v>
      </c>
      <c r="B5120" s="4"/>
    </row>
    <row r="5121" customHeight="1" spans="1:2">
      <c r="A5121" s="3" t="s">
        <v>15789</v>
      </c>
      <c r="B5121" s="4"/>
    </row>
    <row r="5122" customHeight="1" spans="1:2">
      <c r="A5122" s="3" t="s">
        <v>15704</v>
      </c>
      <c r="B5122" s="4"/>
    </row>
    <row r="5123" customHeight="1" spans="1:2">
      <c r="A5123" s="3" t="s">
        <v>18638</v>
      </c>
      <c r="B5123" s="4">
        <v>9000000</v>
      </c>
    </row>
    <row r="5124" customHeight="1" spans="1:2">
      <c r="A5124" s="3" t="s">
        <v>21023</v>
      </c>
      <c r="B5124" s="4"/>
    </row>
    <row r="5125" customHeight="1" spans="1:2">
      <c r="A5125" s="3" t="s">
        <v>1306</v>
      </c>
      <c r="B5125" s="4">
        <v>66941559</v>
      </c>
    </row>
    <row r="5126" customHeight="1" spans="1:2">
      <c r="A5126" s="3" t="s">
        <v>20297</v>
      </c>
      <c r="B5126" s="4">
        <v>243768</v>
      </c>
    </row>
    <row r="5127" customHeight="1" spans="1:2">
      <c r="A5127" s="3" t="s">
        <v>14053</v>
      </c>
      <c r="B5127" s="4">
        <v>1818681</v>
      </c>
    </row>
    <row r="5128" customHeight="1" spans="1:2">
      <c r="A5128" s="3" t="s">
        <v>3472</v>
      </c>
      <c r="B5128" s="4">
        <v>18472363</v>
      </c>
    </row>
    <row r="5129" customHeight="1" spans="1:2">
      <c r="A5129" s="3" t="s">
        <v>3287</v>
      </c>
      <c r="B5129" s="4">
        <v>66002004</v>
      </c>
    </row>
    <row r="5130" customHeight="1" spans="1:2">
      <c r="A5130" s="3" t="s">
        <v>53</v>
      </c>
      <c r="B5130" s="4">
        <v>200807262</v>
      </c>
    </row>
    <row r="5131" customHeight="1" spans="1:2">
      <c r="A5131" s="3" t="s">
        <v>4024</v>
      </c>
      <c r="B5131" s="4">
        <v>35228696</v>
      </c>
    </row>
    <row r="5132" customHeight="1" spans="1:2">
      <c r="A5132" s="3" t="s">
        <v>11444</v>
      </c>
      <c r="B5132" s="4">
        <v>10725228</v>
      </c>
    </row>
    <row r="5133" customHeight="1" spans="1:2">
      <c r="A5133" s="3" t="s">
        <v>2782</v>
      </c>
      <c r="B5133" s="4"/>
    </row>
    <row r="5134" customHeight="1" spans="1:2">
      <c r="A5134" s="3" t="s">
        <v>15604</v>
      </c>
      <c r="B5134" s="4">
        <v>228830</v>
      </c>
    </row>
    <row r="5135" customHeight="1" spans="1:2">
      <c r="A5135" s="3" t="s">
        <v>7627</v>
      </c>
      <c r="B5135" s="4">
        <v>218051260</v>
      </c>
    </row>
    <row r="5136" customHeight="1" spans="1:2">
      <c r="A5136" s="3" t="s">
        <v>16861</v>
      </c>
      <c r="B5136" s="4"/>
    </row>
    <row r="5137" customHeight="1" spans="1:2">
      <c r="A5137" s="3" t="s">
        <v>984</v>
      </c>
      <c r="B5137" s="4">
        <v>24985612</v>
      </c>
    </row>
    <row r="5138" customHeight="1" spans="1:2">
      <c r="A5138" s="3" t="s">
        <v>16380</v>
      </c>
      <c r="B5138" s="4">
        <v>19959</v>
      </c>
    </row>
    <row r="5139" customHeight="1" spans="1:2">
      <c r="A5139" s="3" t="s">
        <v>6479</v>
      </c>
      <c r="B5139" s="4">
        <v>63910583</v>
      </c>
    </row>
    <row r="5140" customHeight="1" spans="1:2">
      <c r="A5140" s="3" t="s">
        <v>20282</v>
      </c>
      <c r="B5140" s="4"/>
    </row>
    <row r="5141" customHeight="1" spans="1:2">
      <c r="A5141" s="3" t="s">
        <v>1585</v>
      </c>
      <c r="B5141" s="4">
        <v>37754208</v>
      </c>
    </row>
    <row r="5142" customHeight="1" spans="1:2">
      <c r="A5142" s="3" t="s">
        <v>2286</v>
      </c>
      <c r="B5142" s="4">
        <v>10014234</v>
      </c>
    </row>
    <row r="5143" customHeight="1" spans="1:2">
      <c r="A5143" s="3" t="s">
        <v>22911</v>
      </c>
      <c r="B5143" s="4"/>
    </row>
    <row r="5144" customHeight="1" spans="1:2">
      <c r="A5144" s="3" t="s">
        <v>6285</v>
      </c>
      <c r="B5144" s="4">
        <v>3517797</v>
      </c>
    </row>
    <row r="5145" customHeight="1" spans="1:2">
      <c r="A5145" s="3" t="s">
        <v>1987</v>
      </c>
      <c r="B5145" s="4">
        <v>83552429</v>
      </c>
    </row>
    <row r="5146" customHeight="1" spans="1:2">
      <c r="A5146" s="3" t="s">
        <v>21490</v>
      </c>
      <c r="B5146" s="4"/>
    </row>
    <row r="5147" customHeight="1" spans="1:2">
      <c r="A5147" s="3" t="s">
        <v>23373</v>
      </c>
      <c r="B5147" s="4"/>
    </row>
    <row r="5148" customHeight="1" spans="1:2">
      <c r="A5148" s="3" t="s">
        <v>23584</v>
      </c>
      <c r="B5148" s="4"/>
    </row>
    <row r="5149" customHeight="1" spans="1:2">
      <c r="A5149" s="3" t="s">
        <v>2803</v>
      </c>
      <c r="B5149" s="4">
        <v>51317350</v>
      </c>
    </row>
    <row r="5150" customHeight="1" spans="1:2">
      <c r="A5150" s="3" t="s">
        <v>3531</v>
      </c>
      <c r="B5150" s="4">
        <v>6291602</v>
      </c>
    </row>
    <row r="5151" customHeight="1" spans="1:2">
      <c r="A5151" s="3" t="s">
        <v>16605</v>
      </c>
      <c r="B5151" s="4">
        <v>17311</v>
      </c>
    </row>
    <row r="5152" customHeight="1" spans="1:2">
      <c r="A5152" s="3" t="s">
        <v>16266</v>
      </c>
      <c r="B5152" s="4"/>
    </row>
    <row r="5153" customHeight="1" spans="1:2">
      <c r="A5153" s="3" t="s">
        <v>2443</v>
      </c>
      <c r="B5153" s="4">
        <v>80574010</v>
      </c>
    </row>
    <row r="5154" customHeight="1" spans="1:2">
      <c r="A5154" s="3" t="s">
        <v>18227</v>
      </c>
      <c r="B5154" s="4"/>
    </row>
    <row r="5155" customHeight="1" spans="1:2">
      <c r="A5155" s="3" t="s">
        <v>2631</v>
      </c>
      <c r="B5155" s="4">
        <v>32122249</v>
      </c>
    </row>
    <row r="5156" customHeight="1" spans="1:2">
      <c r="A5156" s="3" t="s">
        <v>1728</v>
      </c>
      <c r="B5156" s="4">
        <v>134006721</v>
      </c>
    </row>
    <row r="5157" customHeight="1" spans="1:2">
      <c r="A5157" s="3" t="s">
        <v>20141</v>
      </c>
      <c r="B5157" s="4">
        <v>5228617</v>
      </c>
    </row>
    <row r="5158" customHeight="1" spans="1:2">
      <c r="A5158" s="3" t="s">
        <v>12499</v>
      </c>
      <c r="B5158" s="4">
        <v>15156200</v>
      </c>
    </row>
    <row r="5159" customHeight="1" spans="1:2">
      <c r="A5159" s="3" t="s">
        <v>16277</v>
      </c>
      <c r="B5159" s="4">
        <v>12836</v>
      </c>
    </row>
    <row r="5160" customHeight="1" spans="1:2">
      <c r="A5160" s="3" t="s">
        <v>19923</v>
      </c>
      <c r="B5160" s="4"/>
    </row>
    <row r="5161" customHeight="1" spans="1:2">
      <c r="A5161" s="3" t="s">
        <v>13213</v>
      </c>
      <c r="B5161" s="4">
        <v>63600000</v>
      </c>
    </row>
    <row r="5162" customHeight="1" spans="1:2">
      <c r="A5162" s="3" t="s">
        <v>6463</v>
      </c>
      <c r="B5162" s="4">
        <v>58885635</v>
      </c>
    </row>
    <row r="5163" customHeight="1" spans="1:2">
      <c r="A5163" s="3" t="s">
        <v>21775</v>
      </c>
      <c r="B5163" s="4"/>
    </row>
    <row r="5164" customHeight="1" spans="1:2">
      <c r="A5164" s="3" t="s">
        <v>1816</v>
      </c>
      <c r="B5164" s="4">
        <v>34636443</v>
      </c>
    </row>
    <row r="5165" customHeight="1" spans="1:2">
      <c r="A5165" s="3" t="s">
        <v>5317</v>
      </c>
      <c r="B5165" s="4">
        <v>14587732</v>
      </c>
    </row>
    <row r="5166" customHeight="1" spans="1:2">
      <c r="A5166" s="3" t="s">
        <v>7780</v>
      </c>
      <c r="B5166" s="4">
        <v>75597042</v>
      </c>
    </row>
    <row r="5167" customHeight="1" spans="1:2">
      <c r="A5167" s="3" t="s">
        <v>23125</v>
      </c>
      <c r="B5167" s="4"/>
    </row>
    <row r="5168" customHeight="1" spans="1:2">
      <c r="A5168" s="3" t="s">
        <v>3568</v>
      </c>
      <c r="B5168" s="4">
        <v>31569268</v>
      </c>
    </row>
    <row r="5169" customHeight="1" spans="1:2">
      <c r="A5169" s="3" t="s">
        <v>725</v>
      </c>
      <c r="B5169" s="4">
        <v>289907418</v>
      </c>
    </row>
    <row r="5170" customHeight="1" spans="1:2">
      <c r="A5170" s="3" t="s">
        <v>5141</v>
      </c>
      <c r="B5170" s="4">
        <v>43894863</v>
      </c>
    </row>
    <row r="5171" customHeight="1" spans="1:2">
      <c r="A5171" s="3" t="s">
        <v>108</v>
      </c>
      <c r="B5171" s="4">
        <v>652177271</v>
      </c>
    </row>
    <row r="5172" customHeight="1" spans="1:2">
      <c r="A5172" s="3" t="s">
        <v>19083</v>
      </c>
      <c r="B5172" s="4">
        <v>9950</v>
      </c>
    </row>
    <row r="5173" customHeight="1" spans="1:2">
      <c r="A5173" s="3" t="s">
        <v>12851</v>
      </c>
      <c r="B5173" s="4">
        <v>578527</v>
      </c>
    </row>
    <row r="5174" customHeight="1" spans="1:2">
      <c r="A5174" s="3" t="s">
        <v>21936</v>
      </c>
      <c r="B5174" s="4"/>
    </row>
    <row r="5175" customHeight="1" spans="1:2">
      <c r="A5175" s="3" t="s">
        <v>7940</v>
      </c>
      <c r="B5175" s="4">
        <v>4398392</v>
      </c>
    </row>
    <row r="5176" customHeight="1" spans="1:2">
      <c r="A5176" s="3" t="s">
        <v>4754</v>
      </c>
      <c r="B5176" s="4">
        <v>22770864</v>
      </c>
    </row>
    <row r="5177" customHeight="1" spans="1:2">
      <c r="A5177" s="3" t="s">
        <v>504</v>
      </c>
      <c r="B5177" s="4">
        <v>68642452</v>
      </c>
    </row>
    <row r="5178" customHeight="1" spans="1:2">
      <c r="A5178" s="3" t="s">
        <v>2755</v>
      </c>
      <c r="B5178" s="4">
        <v>48291624</v>
      </c>
    </row>
    <row r="5179" customHeight="1" spans="1:2">
      <c r="A5179" s="3" t="s">
        <v>732</v>
      </c>
      <c r="B5179" s="4">
        <v>187165546</v>
      </c>
    </row>
    <row r="5180" customHeight="1" spans="1:2">
      <c r="A5180" s="3" t="s">
        <v>13549</v>
      </c>
      <c r="B5180" s="4"/>
    </row>
    <row r="5181" customHeight="1" spans="1:2">
      <c r="A5181" s="3" t="s">
        <v>137</v>
      </c>
      <c r="B5181" s="4">
        <v>234903076</v>
      </c>
    </row>
    <row r="5182" customHeight="1" spans="1:2">
      <c r="A5182" s="3" t="s">
        <v>17168</v>
      </c>
      <c r="B5182" s="4"/>
    </row>
    <row r="5183" customHeight="1" spans="1:2">
      <c r="A5183" s="3" t="s">
        <v>23120</v>
      </c>
      <c r="B5183" s="4"/>
    </row>
    <row r="5184" customHeight="1" spans="1:2">
      <c r="A5184" s="3" t="s">
        <v>7086</v>
      </c>
      <c r="B5184" s="4">
        <v>45089048</v>
      </c>
    </row>
    <row r="5185" customHeight="1" spans="1:2">
      <c r="A5185" s="3" t="s">
        <v>1803</v>
      </c>
      <c r="B5185" s="4">
        <v>41523271</v>
      </c>
    </row>
    <row r="5186" customHeight="1" spans="1:2">
      <c r="A5186" s="3" t="s">
        <v>11354</v>
      </c>
      <c r="B5186" s="4">
        <v>17738570</v>
      </c>
    </row>
    <row r="5187" customHeight="1" spans="1:2">
      <c r="A5187" s="3" t="s">
        <v>4214</v>
      </c>
      <c r="B5187" s="4">
        <v>86208010</v>
      </c>
    </row>
    <row r="5188" customHeight="1" spans="1:2">
      <c r="A5188" s="3" t="s">
        <v>7838</v>
      </c>
      <c r="B5188" s="4">
        <v>3108216</v>
      </c>
    </row>
    <row r="5189" customHeight="1" spans="1:2">
      <c r="A5189" s="3" t="s">
        <v>23447</v>
      </c>
      <c r="B5189" s="4"/>
    </row>
    <row r="5190" customHeight="1" spans="1:2">
      <c r="A5190" s="3" t="s">
        <v>7877</v>
      </c>
      <c r="B5190" s="4">
        <v>14252830</v>
      </c>
    </row>
    <row r="5191" customHeight="1" spans="1:2">
      <c r="A5191" s="3" t="s">
        <v>20952</v>
      </c>
      <c r="B5191" s="4"/>
    </row>
    <row r="5192" customHeight="1" spans="1:2">
      <c r="A5192" s="3" t="s">
        <v>9259</v>
      </c>
      <c r="B5192" s="4"/>
    </row>
    <row r="5193" customHeight="1" spans="1:2">
      <c r="A5193" s="3" t="s">
        <v>315</v>
      </c>
      <c r="B5193" s="4">
        <v>303001229</v>
      </c>
    </row>
    <row r="5194" customHeight="1" spans="1:2">
      <c r="A5194" s="3" t="s">
        <v>17756</v>
      </c>
      <c r="B5194" s="4"/>
    </row>
    <row r="5195" customHeight="1" spans="1:2">
      <c r="A5195" s="3" t="s">
        <v>12635</v>
      </c>
      <c r="B5195" s="4">
        <v>9473382</v>
      </c>
    </row>
    <row r="5196" customHeight="1" spans="1:2">
      <c r="A5196" s="3" t="s">
        <v>14411</v>
      </c>
      <c r="B5196" s="4">
        <v>233103</v>
      </c>
    </row>
    <row r="5197" customHeight="1" spans="1:2">
      <c r="A5197" s="3" t="s">
        <v>11629</v>
      </c>
      <c r="B5197" s="4">
        <v>25277561</v>
      </c>
    </row>
    <row r="5198" customHeight="1" spans="1:2">
      <c r="A5198" s="3" t="s">
        <v>1729</v>
      </c>
      <c r="B5198" s="4">
        <v>195329763</v>
      </c>
    </row>
    <row r="5199" customHeight="1" spans="1:2">
      <c r="A5199" s="3" t="s">
        <v>1718</v>
      </c>
      <c r="B5199" s="4">
        <v>157299717</v>
      </c>
    </row>
    <row r="5200" customHeight="1" spans="1:2">
      <c r="A5200" s="3" t="s">
        <v>18432</v>
      </c>
      <c r="B5200" s="4">
        <v>24784</v>
      </c>
    </row>
    <row r="5201" customHeight="1" spans="1:2">
      <c r="A5201" s="3" t="s">
        <v>18738</v>
      </c>
      <c r="B5201" s="4">
        <v>798341</v>
      </c>
    </row>
    <row r="5202" customHeight="1" spans="1:2">
      <c r="A5202" s="3" t="s">
        <v>21413</v>
      </c>
      <c r="B5202" s="4"/>
    </row>
    <row r="5203" customHeight="1" spans="1:2">
      <c r="A5203" s="3" t="s">
        <v>14330</v>
      </c>
      <c r="B5203" s="4">
        <v>1654367</v>
      </c>
    </row>
    <row r="5204" customHeight="1" spans="1:2">
      <c r="A5204" s="3" t="s">
        <v>6300</v>
      </c>
      <c r="B5204" s="4">
        <v>3904982</v>
      </c>
    </row>
    <row r="5205" customHeight="1" spans="1:2">
      <c r="A5205" s="3" t="s">
        <v>6301</v>
      </c>
      <c r="B5205" s="4">
        <v>127437</v>
      </c>
    </row>
    <row r="5206" customHeight="1" spans="1:2">
      <c r="A5206" s="3" t="s">
        <v>20053</v>
      </c>
      <c r="B5206" s="4">
        <v>1316074</v>
      </c>
    </row>
    <row r="5207" customHeight="1" spans="1:2">
      <c r="A5207" s="3" t="s">
        <v>4063</v>
      </c>
      <c r="B5207" s="4">
        <v>20915465</v>
      </c>
    </row>
    <row r="5208" customHeight="1" spans="1:2">
      <c r="A5208" s="3" t="s">
        <v>17767</v>
      </c>
      <c r="B5208" s="4"/>
    </row>
    <row r="5209" customHeight="1" spans="1:2">
      <c r="A5209" s="3" t="s">
        <v>8677</v>
      </c>
      <c r="B5209" s="4">
        <v>14291570</v>
      </c>
    </row>
    <row r="5210" customHeight="1" spans="1:2">
      <c r="A5210" s="3" t="s">
        <v>16404</v>
      </c>
      <c r="B5210" s="4"/>
    </row>
    <row r="5211" customHeight="1" spans="1:2">
      <c r="A5211" s="3" t="s">
        <v>21561</v>
      </c>
      <c r="B5211" s="4"/>
    </row>
    <row r="5212" customHeight="1" spans="1:2">
      <c r="A5212" s="3" t="s">
        <v>16488</v>
      </c>
      <c r="B5212" s="4">
        <v>3293258</v>
      </c>
    </row>
    <row r="5213" customHeight="1" spans="1:2">
      <c r="A5213" s="3" t="s">
        <v>14904</v>
      </c>
      <c r="B5213" s="4"/>
    </row>
    <row r="5214" customHeight="1" spans="1:2">
      <c r="A5214" s="3" t="s">
        <v>19817</v>
      </c>
      <c r="B5214" s="4">
        <v>191309</v>
      </c>
    </row>
    <row r="5215" customHeight="1" spans="1:2">
      <c r="A5215" s="3" t="s">
        <v>9642</v>
      </c>
      <c r="B5215" s="4">
        <v>30324946</v>
      </c>
    </row>
    <row r="5216" customHeight="1" spans="1:2">
      <c r="A5216" s="3" t="s">
        <v>4725</v>
      </c>
      <c r="B5216" s="4"/>
    </row>
    <row r="5217" customHeight="1" spans="1:2">
      <c r="A5217" s="3" t="s">
        <v>6377</v>
      </c>
      <c r="B5217" s="4"/>
    </row>
    <row r="5218" customHeight="1" spans="1:2">
      <c r="A5218" s="3" t="s">
        <v>495</v>
      </c>
      <c r="B5218" s="4">
        <v>107503316</v>
      </c>
    </row>
    <row r="5219" customHeight="1" spans="1:2">
      <c r="A5219" s="3" t="s">
        <v>20960</v>
      </c>
      <c r="B5219" s="4"/>
    </row>
    <row r="5220" customHeight="1" spans="1:2">
      <c r="A5220" s="3" t="s">
        <v>19576</v>
      </c>
      <c r="B5220" s="4">
        <v>2938208</v>
      </c>
    </row>
    <row r="5221" customHeight="1" spans="1:2">
      <c r="A5221" s="3" t="s">
        <v>23300</v>
      </c>
      <c r="B5221" s="4"/>
    </row>
    <row r="5222" customHeight="1" spans="1:2">
      <c r="A5222" s="3" t="s">
        <v>4563</v>
      </c>
      <c r="B5222" s="4">
        <v>13376506</v>
      </c>
    </row>
    <row r="5223" customHeight="1" spans="1:2">
      <c r="A5223" s="3" t="s">
        <v>159</v>
      </c>
      <c r="B5223" s="4">
        <v>350034110</v>
      </c>
    </row>
    <row r="5224" customHeight="1" spans="1:2">
      <c r="A5224" s="3" t="s">
        <v>22089</v>
      </c>
      <c r="B5224" s="4"/>
    </row>
    <row r="5225" customHeight="1" spans="1:2">
      <c r="A5225" s="3" t="s">
        <v>7506</v>
      </c>
      <c r="B5225" s="4">
        <v>717753</v>
      </c>
    </row>
    <row r="5226" customHeight="1" spans="1:2">
      <c r="A5226" s="3" t="s">
        <v>6414</v>
      </c>
      <c r="B5226" s="4">
        <v>161029270</v>
      </c>
    </row>
    <row r="5227" customHeight="1" spans="1:2">
      <c r="A5227" s="3" t="s">
        <v>11174</v>
      </c>
      <c r="B5227" s="4">
        <v>49369900</v>
      </c>
    </row>
    <row r="5228" customHeight="1" spans="1:2">
      <c r="A5228" s="3" t="s">
        <v>2660</v>
      </c>
      <c r="B5228" s="4">
        <v>26082914</v>
      </c>
    </row>
    <row r="5229" customHeight="1" spans="1:2">
      <c r="A5229" s="3" t="s">
        <v>9943</v>
      </c>
      <c r="B5229" s="4">
        <v>4734235</v>
      </c>
    </row>
    <row r="5230" customHeight="1" spans="1:2">
      <c r="A5230" s="3" t="s">
        <v>20912</v>
      </c>
      <c r="B5230" s="4"/>
    </row>
    <row r="5231" customHeight="1" spans="1:2">
      <c r="A5231" s="3" t="s">
        <v>12011</v>
      </c>
      <c r="B5231" s="4">
        <v>27669413</v>
      </c>
    </row>
    <row r="5232" customHeight="1" spans="1:2">
      <c r="A5232" s="3" t="s">
        <v>567</v>
      </c>
      <c r="B5232" s="4">
        <v>234277056</v>
      </c>
    </row>
    <row r="5233" customHeight="1" spans="1:2">
      <c r="A5233" s="3" t="s">
        <v>1046</v>
      </c>
      <c r="B5233" s="4">
        <v>201148159</v>
      </c>
    </row>
    <row r="5234" customHeight="1" spans="1:2">
      <c r="A5234" s="3" t="s">
        <v>6531</v>
      </c>
      <c r="B5234" s="4">
        <v>27000000</v>
      </c>
    </row>
    <row r="5235" customHeight="1" spans="1:2">
      <c r="A5235" s="3" t="s">
        <v>24144</v>
      </c>
      <c r="B5235" s="4"/>
    </row>
    <row r="5236" customHeight="1" spans="1:2">
      <c r="A5236" s="3" t="s">
        <v>5987</v>
      </c>
      <c r="B5236" s="4">
        <v>46875468</v>
      </c>
    </row>
    <row r="5237" customHeight="1" spans="1:2">
      <c r="A5237" s="3" t="s">
        <v>8989</v>
      </c>
      <c r="B5237" s="4"/>
    </row>
    <row r="5238" customHeight="1" spans="1:2">
      <c r="A5238" s="3" t="s">
        <v>16661</v>
      </c>
      <c r="B5238" s="4">
        <v>6517198</v>
      </c>
    </row>
    <row r="5239" customHeight="1" spans="1:2">
      <c r="A5239" s="3" t="s">
        <v>23256</v>
      </c>
      <c r="B5239" s="4"/>
    </row>
    <row r="5240" customHeight="1" spans="1:2">
      <c r="A5240" s="3" t="s">
        <v>14662</v>
      </c>
      <c r="B5240" s="4">
        <v>21005329</v>
      </c>
    </row>
    <row r="5241" customHeight="1" spans="1:2">
      <c r="A5241" s="3" t="s">
        <v>23636</v>
      </c>
      <c r="B5241" s="4"/>
    </row>
    <row r="5242" customHeight="1" spans="1:2">
      <c r="A5242" s="3" t="s">
        <v>23223</v>
      </c>
      <c r="B5242" s="4"/>
    </row>
    <row r="5243" customHeight="1" spans="1:2">
      <c r="A5243" s="3" t="s">
        <v>14302</v>
      </c>
      <c r="B5243" s="4">
        <v>2921738</v>
      </c>
    </row>
    <row r="5244" customHeight="1" spans="1:2">
      <c r="A5244" s="3" t="s">
        <v>3706</v>
      </c>
      <c r="B5244" s="4">
        <v>106807667</v>
      </c>
    </row>
    <row r="5245" customHeight="1" spans="1:2">
      <c r="A5245" s="3" t="s">
        <v>21212</v>
      </c>
      <c r="B5245" s="4"/>
    </row>
    <row r="5246" customHeight="1" spans="1:2">
      <c r="A5246" s="3" t="s">
        <v>75</v>
      </c>
      <c r="B5246" s="4">
        <v>141614023</v>
      </c>
    </row>
    <row r="5247" customHeight="1" spans="1:2">
      <c r="A5247" s="3" t="s">
        <v>18355</v>
      </c>
      <c r="B5247" s="4"/>
    </row>
    <row r="5248" customHeight="1" spans="1:2">
      <c r="A5248" s="3" t="s">
        <v>7775</v>
      </c>
      <c r="B5248" s="4">
        <v>144833357</v>
      </c>
    </row>
    <row r="5249" customHeight="1" spans="1:2">
      <c r="A5249" s="3" t="s">
        <v>11015</v>
      </c>
      <c r="B5249" s="4">
        <v>2474000</v>
      </c>
    </row>
    <row r="5250" customHeight="1" spans="1:2">
      <c r="A5250" s="3" t="s">
        <v>12368</v>
      </c>
      <c r="B5250" s="4">
        <v>29392418</v>
      </c>
    </row>
    <row r="5251" customHeight="1" spans="1:2">
      <c r="A5251" s="3" t="s">
        <v>11505</v>
      </c>
      <c r="B5251" s="4">
        <v>101736215</v>
      </c>
    </row>
    <row r="5252" customHeight="1" spans="1:2">
      <c r="A5252" s="3" t="s">
        <v>11284</v>
      </c>
      <c r="B5252" s="4">
        <v>8026971</v>
      </c>
    </row>
    <row r="5253" customHeight="1" spans="1:2">
      <c r="A5253" s="3" t="s">
        <v>17225</v>
      </c>
      <c r="B5253" s="4">
        <v>14400000</v>
      </c>
    </row>
    <row r="5254" customHeight="1" spans="1:2">
      <c r="A5254" s="3" t="s">
        <v>20876</v>
      </c>
      <c r="B5254" s="4"/>
    </row>
    <row r="5255" customHeight="1" spans="1:2">
      <c r="A5255" s="3" t="s">
        <v>15894</v>
      </c>
      <c r="B5255" s="4">
        <v>92191</v>
      </c>
    </row>
    <row r="5256" customHeight="1" spans="1:2">
      <c r="A5256" s="3" t="s">
        <v>16131</v>
      </c>
      <c r="B5256" s="4">
        <v>4301331</v>
      </c>
    </row>
    <row r="5257" customHeight="1" spans="1:2">
      <c r="A5257" s="3" t="s">
        <v>18336</v>
      </c>
      <c r="B5257" s="4"/>
    </row>
    <row r="5258" customHeight="1" spans="1:2">
      <c r="A5258" s="3" t="s">
        <v>2232</v>
      </c>
      <c r="B5258" s="4">
        <v>63695760</v>
      </c>
    </row>
    <row r="5259" customHeight="1" spans="1:2">
      <c r="A5259" s="3" t="s">
        <v>2280</v>
      </c>
      <c r="B5259" s="4">
        <v>43532294</v>
      </c>
    </row>
    <row r="5260" customHeight="1" spans="1:2">
      <c r="A5260" s="3" t="s">
        <v>15398</v>
      </c>
      <c r="B5260" s="4">
        <v>14123773</v>
      </c>
    </row>
    <row r="5261" customHeight="1" spans="1:2">
      <c r="A5261" s="3" t="s">
        <v>1172</v>
      </c>
      <c r="B5261" s="4">
        <v>100018837</v>
      </c>
    </row>
    <row r="5262" customHeight="1" spans="1:2">
      <c r="A5262" s="3" t="s">
        <v>13039</v>
      </c>
      <c r="B5262" s="4"/>
    </row>
    <row r="5263" customHeight="1" spans="1:2">
      <c r="A5263" s="3" t="s">
        <v>18019</v>
      </c>
      <c r="B5263" s="4">
        <v>2507106</v>
      </c>
    </row>
    <row r="5264" customHeight="1" spans="1:2">
      <c r="A5264" s="3" t="s">
        <v>8589</v>
      </c>
      <c r="B5264" s="4">
        <v>25753840</v>
      </c>
    </row>
    <row r="5265" customHeight="1" spans="1:2">
      <c r="A5265" s="3" t="s">
        <v>3460</v>
      </c>
      <c r="B5265" s="4">
        <v>19593740</v>
      </c>
    </row>
    <row r="5266" customHeight="1" spans="1:2">
      <c r="A5266" s="3" t="s">
        <v>8715</v>
      </c>
      <c r="B5266" s="4">
        <v>12232937</v>
      </c>
    </row>
    <row r="5267" customHeight="1" spans="1:2">
      <c r="A5267" s="3" t="s">
        <v>16869</v>
      </c>
      <c r="B5267" s="4">
        <v>4063238</v>
      </c>
    </row>
    <row r="5268" customHeight="1" spans="1:2">
      <c r="A5268" s="3" t="s">
        <v>19693</v>
      </c>
      <c r="B5268" s="4"/>
    </row>
    <row r="5269" customHeight="1" spans="1:2">
      <c r="A5269" s="3" t="s">
        <v>20409</v>
      </c>
      <c r="B5269" s="4">
        <v>70071</v>
      </c>
    </row>
    <row r="5270" customHeight="1" spans="1:2">
      <c r="A5270" s="3" t="s">
        <v>8365</v>
      </c>
      <c r="B5270" s="4">
        <v>36658108</v>
      </c>
    </row>
    <row r="5271" customHeight="1" spans="1:2">
      <c r="A5271" s="3" t="s">
        <v>14769</v>
      </c>
      <c r="B5271" s="4">
        <v>3273588</v>
      </c>
    </row>
    <row r="5272" customHeight="1" spans="1:2">
      <c r="A5272" s="3" t="s">
        <v>1460</v>
      </c>
      <c r="B5272" s="4">
        <v>130313314</v>
      </c>
    </row>
    <row r="5273" customHeight="1" spans="1:2">
      <c r="A5273" s="3" t="s">
        <v>13555</v>
      </c>
      <c r="B5273" s="4"/>
    </row>
    <row r="5274" customHeight="1" spans="1:2">
      <c r="A5274" s="3" t="s">
        <v>17985</v>
      </c>
      <c r="B5274" s="4"/>
    </row>
    <row r="5275" customHeight="1" spans="1:2">
      <c r="A5275" s="3" t="s">
        <v>24127</v>
      </c>
      <c r="B5275" s="4"/>
    </row>
    <row r="5276" customHeight="1" spans="1:2">
      <c r="A5276" s="3" t="s">
        <v>9433</v>
      </c>
      <c r="B5276" s="4">
        <v>4414535</v>
      </c>
    </row>
    <row r="5277" customHeight="1" spans="1:2">
      <c r="A5277" s="3" t="s">
        <v>20785</v>
      </c>
      <c r="B5277" s="4"/>
    </row>
    <row r="5278" customHeight="1" spans="1:2">
      <c r="A5278" s="3" t="s">
        <v>22750</v>
      </c>
      <c r="B5278" s="4"/>
    </row>
    <row r="5279" customHeight="1" spans="1:2">
      <c r="A5279" s="3" t="s">
        <v>8699</v>
      </c>
      <c r="B5279" s="4">
        <v>12469811</v>
      </c>
    </row>
    <row r="5280" customHeight="1" spans="1:2">
      <c r="A5280" s="3" t="s">
        <v>20222</v>
      </c>
      <c r="B5280" s="4"/>
    </row>
    <row r="5281" customHeight="1" spans="1:2">
      <c r="A5281" s="3" t="s">
        <v>20435</v>
      </c>
      <c r="B5281" s="4"/>
    </row>
    <row r="5282" customHeight="1" spans="1:2">
      <c r="A5282" s="3" t="s">
        <v>18269</v>
      </c>
      <c r="B5282" s="4"/>
    </row>
    <row r="5283" customHeight="1" spans="1:2">
      <c r="A5283" s="3" t="s">
        <v>3417</v>
      </c>
      <c r="B5283" s="4">
        <v>31874869</v>
      </c>
    </row>
    <row r="5284" customHeight="1" spans="1:2">
      <c r="A5284" s="3" t="s">
        <v>22071</v>
      </c>
      <c r="B5284" s="4"/>
    </row>
    <row r="5285" customHeight="1" spans="1:2">
      <c r="A5285" s="3" t="s">
        <v>23234</v>
      </c>
      <c r="B5285" s="4"/>
    </row>
    <row r="5286" customHeight="1" spans="1:2">
      <c r="A5286" s="3" t="s">
        <v>21060</v>
      </c>
      <c r="B5286" s="4"/>
    </row>
    <row r="5287" customHeight="1" spans="1:2">
      <c r="A5287" s="3" t="s">
        <v>2477</v>
      </c>
      <c r="B5287" s="4">
        <v>75638743</v>
      </c>
    </row>
    <row r="5288" customHeight="1" spans="1:2">
      <c r="A5288" s="3" t="s">
        <v>21447</v>
      </c>
      <c r="B5288" s="4"/>
    </row>
    <row r="5289" customHeight="1" spans="1:2">
      <c r="A5289" s="3" t="s">
        <v>2369</v>
      </c>
      <c r="B5289" s="4">
        <v>108012170</v>
      </c>
    </row>
    <row r="5290" customHeight="1" spans="1:2">
      <c r="A5290" s="3" t="s">
        <v>8555</v>
      </c>
      <c r="B5290" s="4"/>
    </row>
    <row r="5291" customHeight="1" spans="1:2">
      <c r="A5291" s="3" t="s">
        <v>19575</v>
      </c>
      <c r="B5291" s="4"/>
    </row>
    <row r="5292" customHeight="1" spans="1:2">
      <c r="A5292" s="3" t="s">
        <v>6861</v>
      </c>
      <c r="B5292" s="4">
        <v>7496522</v>
      </c>
    </row>
    <row r="5293" customHeight="1" spans="1:2">
      <c r="A5293" s="3" t="s">
        <v>623</v>
      </c>
      <c r="B5293" s="4">
        <v>337103873</v>
      </c>
    </row>
    <row r="5294" customHeight="1" spans="1:2">
      <c r="A5294" s="3" t="s">
        <v>11227</v>
      </c>
      <c r="B5294" s="4">
        <v>49121934</v>
      </c>
    </row>
    <row r="5295" customHeight="1" spans="1:2">
      <c r="A5295" s="3" t="s">
        <v>3114</v>
      </c>
      <c r="B5295" s="4">
        <v>23324666</v>
      </c>
    </row>
    <row r="5296" customHeight="1" spans="1:2">
      <c r="A5296" s="3" t="s">
        <v>13823</v>
      </c>
      <c r="B5296" s="4">
        <v>16168741</v>
      </c>
    </row>
    <row r="5297" customHeight="1" spans="1:2">
      <c r="A5297" s="3" t="s">
        <v>10621</v>
      </c>
      <c r="B5297" s="4">
        <v>7219578</v>
      </c>
    </row>
    <row r="5298" customHeight="1" spans="1:2">
      <c r="A5298" s="3" t="s">
        <v>16088</v>
      </c>
      <c r="B5298" s="4">
        <v>14637490</v>
      </c>
    </row>
    <row r="5299" customHeight="1" spans="1:2">
      <c r="A5299" s="3" t="s">
        <v>16925</v>
      </c>
      <c r="B5299" s="4">
        <v>252726</v>
      </c>
    </row>
    <row r="5300" customHeight="1" spans="1:2">
      <c r="A5300" s="3" t="s">
        <v>2909</v>
      </c>
      <c r="B5300" s="4">
        <v>41609593</v>
      </c>
    </row>
    <row r="5301" customHeight="1" spans="1:2">
      <c r="A5301" s="3" t="s">
        <v>13836</v>
      </c>
      <c r="B5301" s="4"/>
    </row>
    <row r="5302" customHeight="1" spans="1:2">
      <c r="A5302" s="3" t="s">
        <v>13243</v>
      </c>
      <c r="B5302" s="4">
        <v>20035310</v>
      </c>
    </row>
    <row r="5303" customHeight="1" spans="1:2">
      <c r="A5303" s="3" t="s">
        <v>11862</v>
      </c>
      <c r="B5303" s="4">
        <v>303439</v>
      </c>
    </row>
    <row r="5304" customHeight="1" spans="1:2">
      <c r="A5304" s="3" t="s">
        <v>2901</v>
      </c>
      <c r="B5304" s="4">
        <v>55747724</v>
      </c>
    </row>
    <row r="5305" customHeight="1" spans="1:2">
      <c r="A5305" s="3" t="s">
        <v>19864</v>
      </c>
      <c r="B5305" s="4"/>
    </row>
    <row r="5306" customHeight="1" spans="1:2">
      <c r="A5306" s="3" t="s">
        <v>13225</v>
      </c>
      <c r="B5306" s="4"/>
    </row>
    <row r="5307" customHeight="1" spans="1:2">
      <c r="A5307" s="3" t="s">
        <v>22500</v>
      </c>
      <c r="B5307" s="4"/>
    </row>
    <row r="5308" customHeight="1" spans="1:2">
      <c r="A5308" s="3" t="s">
        <v>21692</v>
      </c>
      <c r="B5308" s="4"/>
    </row>
    <row r="5309" customHeight="1" spans="1:2">
      <c r="A5309" s="3" t="s">
        <v>13355</v>
      </c>
      <c r="B5309" s="4">
        <v>11860839</v>
      </c>
    </row>
    <row r="5310" customHeight="1" spans="1:2">
      <c r="A5310" s="3" t="s">
        <v>2181</v>
      </c>
      <c r="B5310" s="4">
        <v>171383253</v>
      </c>
    </row>
    <row r="5311" customHeight="1" spans="1:2">
      <c r="A5311" s="3" t="s">
        <v>21733</v>
      </c>
      <c r="B5311" s="4"/>
    </row>
    <row r="5312" customHeight="1" spans="1:2">
      <c r="A5312" s="3" t="s">
        <v>100</v>
      </c>
      <c r="B5312" s="4">
        <v>658672302</v>
      </c>
    </row>
    <row r="5313" customHeight="1" spans="1:2">
      <c r="A5313" s="3" t="s">
        <v>11576</v>
      </c>
      <c r="B5313" s="4">
        <v>38087366</v>
      </c>
    </row>
    <row r="5314" customHeight="1" spans="1:2">
      <c r="A5314" s="3" t="s">
        <v>5130</v>
      </c>
      <c r="B5314" s="4">
        <v>43792641</v>
      </c>
    </row>
    <row r="5315" customHeight="1" spans="1:2">
      <c r="A5315" s="3" t="s">
        <v>15268</v>
      </c>
      <c r="B5315" s="4">
        <v>34872293</v>
      </c>
    </row>
    <row r="5316" customHeight="1" spans="1:2">
      <c r="A5316" s="3" t="s">
        <v>8248</v>
      </c>
      <c r="B5316" s="4">
        <v>67325559</v>
      </c>
    </row>
    <row r="5317" customHeight="1" spans="1:2">
      <c r="A5317" s="3" t="s">
        <v>11265</v>
      </c>
      <c r="B5317" s="4">
        <v>22858926</v>
      </c>
    </row>
    <row r="5318" customHeight="1" spans="1:2">
      <c r="A5318" s="3" t="s">
        <v>20904</v>
      </c>
      <c r="B5318" s="4"/>
    </row>
    <row r="5319" customHeight="1" spans="1:2">
      <c r="A5319" s="3" t="s">
        <v>6278</v>
      </c>
      <c r="B5319" s="4">
        <v>5300000</v>
      </c>
    </row>
    <row r="5320" customHeight="1" spans="1:2">
      <c r="A5320" s="3" t="s">
        <v>19624</v>
      </c>
      <c r="B5320" s="4">
        <v>425899</v>
      </c>
    </row>
    <row r="5321" customHeight="1" spans="1:2">
      <c r="A5321" s="3" t="s">
        <v>1320</v>
      </c>
      <c r="B5321" s="4">
        <v>117144465</v>
      </c>
    </row>
    <row r="5322" customHeight="1" spans="1:2">
      <c r="A5322" s="3" t="s">
        <v>192</v>
      </c>
      <c r="B5322" s="4">
        <v>223806889</v>
      </c>
    </row>
    <row r="5323" customHeight="1" spans="1:2">
      <c r="A5323" s="3" t="s">
        <v>14634</v>
      </c>
      <c r="B5323" s="4">
        <v>39800000</v>
      </c>
    </row>
    <row r="5324" customHeight="1" spans="1:2">
      <c r="A5324" s="3" t="s">
        <v>22233</v>
      </c>
      <c r="B5324" s="4"/>
    </row>
    <row r="5325" customHeight="1" spans="1:2">
      <c r="A5325" s="3" t="s">
        <v>5242</v>
      </c>
      <c r="B5325" s="4"/>
    </row>
    <row r="5326" customHeight="1" spans="1:2">
      <c r="A5326" s="3" t="s">
        <v>21867</v>
      </c>
      <c r="B5326" s="4"/>
    </row>
    <row r="5327" customHeight="1" spans="1:2">
      <c r="A5327" s="3" t="s">
        <v>9769</v>
      </c>
      <c r="B5327" s="4">
        <v>220914</v>
      </c>
    </row>
    <row r="5328" customHeight="1" spans="1:2">
      <c r="A5328" s="3" t="s">
        <v>14682</v>
      </c>
      <c r="B5328" s="4">
        <v>14545844</v>
      </c>
    </row>
    <row r="5329" customHeight="1" spans="1:2">
      <c r="A5329" s="3" t="s">
        <v>1408</v>
      </c>
      <c r="B5329" s="4">
        <v>242589580</v>
      </c>
    </row>
    <row r="5330" customHeight="1" spans="1:2">
      <c r="A5330" s="3" t="s">
        <v>17701</v>
      </c>
      <c r="B5330" s="4">
        <v>137945</v>
      </c>
    </row>
    <row r="5331" customHeight="1" spans="1:2">
      <c r="A5331" s="3" t="s">
        <v>19099</v>
      </c>
      <c r="B5331" s="4">
        <v>35688</v>
      </c>
    </row>
    <row r="5332" customHeight="1" spans="1:2">
      <c r="A5332" s="3" t="s">
        <v>16307</v>
      </c>
      <c r="B5332" s="4"/>
    </row>
    <row r="5333" customHeight="1" spans="1:2">
      <c r="A5333" s="3" t="s">
        <v>2350</v>
      </c>
      <c r="B5333" s="4">
        <v>32178777</v>
      </c>
    </row>
    <row r="5334" customHeight="1" spans="1:2">
      <c r="A5334" s="3" t="s">
        <v>6510</v>
      </c>
      <c r="B5334" s="4">
        <v>37053924</v>
      </c>
    </row>
    <row r="5335" customHeight="1" spans="1:2">
      <c r="A5335" s="3" t="s">
        <v>8827</v>
      </c>
      <c r="B5335" s="4">
        <v>7268659</v>
      </c>
    </row>
    <row r="5336" customHeight="1" spans="1:2">
      <c r="A5336" s="3" t="s">
        <v>11306</v>
      </c>
      <c r="B5336" s="4">
        <v>16574731</v>
      </c>
    </row>
    <row r="5337" customHeight="1" spans="1:2">
      <c r="A5337" s="3" t="s">
        <v>10033</v>
      </c>
      <c r="B5337" s="4">
        <v>81525</v>
      </c>
    </row>
    <row r="5338" customHeight="1" spans="1:2">
      <c r="A5338" s="3" t="s">
        <v>19323</v>
      </c>
      <c r="B5338" s="4"/>
    </row>
    <row r="5339" customHeight="1" spans="1:2">
      <c r="A5339" s="3" t="s">
        <v>10014</v>
      </c>
      <c r="B5339" s="4">
        <v>13571817</v>
      </c>
    </row>
    <row r="5340" customHeight="1" spans="1:2">
      <c r="A5340" s="3" t="s">
        <v>21454</v>
      </c>
      <c r="B5340" s="4"/>
    </row>
    <row r="5341" customHeight="1" spans="1:2">
      <c r="A5341" s="3" t="s">
        <v>6526</v>
      </c>
      <c r="B5341" s="4">
        <v>38372662</v>
      </c>
    </row>
    <row r="5342" customHeight="1" spans="1:2">
      <c r="A5342" s="3" t="s">
        <v>17287</v>
      </c>
      <c r="B5342" s="4">
        <v>333658</v>
      </c>
    </row>
    <row r="5343" customHeight="1" spans="1:2">
      <c r="A5343" s="3" t="s">
        <v>889</v>
      </c>
      <c r="B5343" s="4">
        <v>97030725</v>
      </c>
    </row>
    <row r="5344" customHeight="1" spans="1:2">
      <c r="A5344" s="3" t="s">
        <v>274</v>
      </c>
      <c r="B5344" s="4">
        <v>38297305</v>
      </c>
    </row>
    <row r="5345" customHeight="1" spans="1:2">
      <c r="A5345" s="3" t="s">
        <v>1911</v>
      </c>
      <c r="B5345" s="4">
        <v>114195633</v>
      </c>
    </row>
    <row r="5346" customHeight="1" spans="1:2">
      <c r="A5346" s="3" t="s">
        <v>15404</v>
      </c>
      <c r="B5346" s="4">
        <v>13464388</v>
      </c>
    </row>
    <row r="5347" customHeight="1" spans="1:2">
      <c r="A5347" s="3" t="s">
        <v>13648</v>
      </c>
      <c r="B5347" s="4">
        <v>18090181</v>
      </c>
    </row>
    <row r="5348" customHeight="1" spans="1:2">
      <c r="A5348" s="3" t="s">
        <v>16186</v>
      </c>
      <c r="B5348" s="4">
        <v>2601847</v>
      </c>
    </row>
    <row r="5349" customHeight="1" spans="1:2">
      <c r="A5349" s="3" t="s">
        <v>6935</v>
      </c>
      <c r="B5349" s="4"/>
    </row>
    <row r="5350" customHeight="1" spans="1:2">
      <c r="A5350" s="3" t="s">
        <v>16068</v>
      </c>
      <c r="B5350" s="4">
        <v>7825820</v>
      </c>
    </row>
    <row r="5351" customHeight="1" spans="1:2">
      <c r="A5351" s="3" t="s">
        <v>11758</v>
      </c>
      <c r="B5351" s="4">
        <v>6982680</v>
      </c>
    </row>
    <row r="5352" customHeight="1" spans="1:2">
      <c r="A5352" s="3" t="s">
        <v>3166</v>
      </c>
      <c r="B5352" s="4">
        <v>147637474</v>
      </c>
    </row>
    <row r="5353" customHeight="1" spans="1:2">
      <c r="A5353" s="3" t="s">
        <v>20480</v>
      </c>
      <c r="B5353" s="4"/>
    </row>
    <row r="5354" customHeight="1" spans="1:2">
      <c r="A5354" s="3" t="s">
        <v>23811</v>
      </c>
      <c r="B5354" s="4"/>
    </row>
    <row r="5355" customHeight="1" spans="1:2">
      <c r="A5355" s="3" t="s">
        <v>8960</v>
      </c>
      <c r="B5355" s="4">
        <v>146072</v>
      </c>
    </row>
    <row r="5356" customHeight="1" spans="1:2">
      <c r="A5356" s="3" t="s">
        <v>20011</v>
      </c>
      <c r="B5356" s="4">
        <v>15542</v>
      </c>
    </row>
    <row r="5357" customHeight="1" spans="1:2">
      <c r="A5357" s="3" t="s">
        <v>19924</v>
      </c>
      <c r="B5357" s="4"/>
    </row>
    <row r="5358" customHeight="1" spans="1:2">
      <c r="A5358" s="3" t="s">
        <v>10487</v>
      </c>
      <c r="B5358" s="4">
        <v>11144518</v>
      </c>
    </row>
    <row r="5359" customHeight="1" spans="1:2">
      <c r="A5359" s="3" t="s">
        <v>989</v>
      </c>
      <c r="B5359" s="4">
        <v>4411102</v>
      </c>
    </row>
    <row r="5360" customHeight="1" spans="1:2">
      <c r="A5360" s="3" t="s">
        <v>23417</v>
      </c>
      <c r="B5360" s="4"/>
    </row>
    <row r="5361" customHeight="1" spans="1:2">
      <c r="A5361" s="3" t="s">
        <v>23307</v>
      </c>
      <c r="B5361" s="4"/>
    </row>
    <row r="5362" customHeight="1" spans="1:2">
      <c r="A5362" s="3" t="s">
        <v>13702</v>
      </c>
      <c r="B5362" s="4"/>
    </row>
    <row r="5363" customHeight="1" spans="1:2">
      <c r="A5363" s="3" t="s">
        <v>19354</v>
      </c>
      <c r="B5363" s="4">
        <v>1127331</v>
      </c>
    </row>
    <row r="5364" customHeight="1" spans="1:2">
      <c r="A5364" s="3" t="s">
        <v>635</v>
      </c>
      <c r="B5364" s="4">
        <v>186830669</v>
      </c>
    </row>
    <row r="5365" customHeight="1" spans="1:2">
      <c r="A5365" s="3" t="s">
        <v>14499</v>
      </c>
      <c r="B5365" s="4">
        <v>16842303</v>
      </c>
    </row>
    <row r="5366" customHeight="1" spans="1:2">
      <c r="A5366" s="3" t="s">
        <v>15469</v>
      </c>
      <c r="B5366" s="4">
        <v>6755271</v>
      </c>
    </row>
    <row r="5367" customHeight="1" spans="1:2">
      <c r="A5367" s="3" t="s">
        <v>12869</v>
      </c>
      <c r="B5367" s="4">
        <v>231417</v>
      </c>
    </row>
    <row r="5368" customHeight="1" spans="1:2">
      <c r="A5368" s="3" t="s">
        <v>21417</v>
      </c>
      <c r="B5368" s="4"/>
    </row>
    <row r="5369" customHeight="1" spans="1:2">
      <c r="A5369" s="3" t="s">
        <v>14331</v>
      </c>
      <c r="B5369" s="4">
        <v>1738692</v>
      </c>
    </row>
    <row r="5370" customHeight="1" spans="1:2">
      <c r="A5370" s="3" t="s">
        <v>11292</v>
      </c>
      <c r="B5370" s="4">
        <v>6241697</v>
      </c>
    </row>
    <row r="5371" customHeight="1" spans="1:2">
      <c r="A5371" s="3" t="s">
        <v>15299</v>
      </c>
      <c r="B5371" s="4">
        <v>25799043</v>
      </c>
    </row>
    <row r="5372" customHeight="1" spans="1:2">
      <c r="A5372" s="3" t="s">
        <v>8751</v>
      </c>
      <c r="B5372" s="4">
        <v>10544143</v>
      </c>
    </row>
    <row r="5373" customHeight="1" spans="1:2">
      <c r="A5373" s="3" t="s">
        <v>12427</v>
      </c>
      <c r="B5373" s="4">
        <v>18272447</v>
      </c>
    </row>
    <row r="5374" customHeight="1" spans="1:2">
      <c r="A5374" s="3" t="s">
        <v>9810</v>
      </c>
      <c r="B5374" s="4">
        <v>68525609</v>
      </c>
    </row>
    <row r="5375" customHeight="1" spans="1:2">
      <c r="A5375" s="3" t="s">
        <v>19247</v>
      </c>
      <c r="B5375" s="4"/>
    </row>
    <row r="5376" customHeight="1" spans="1:2">
      <c r="A5376" s="3" t="s">
        <v>23775</v>
      </c>
      <c r="B5376" s="4"/>
    </row>
    <row r="5377" customHeight="1" spans="1:2">
      <c r="A5377" s="3" t="s">
        <v>1274</v>
      </c>
      <c r="B5377" s="4">
        <v>197992827</v>
      </c>
    </row>
    <row r="5378" customHeight="1" spans="1:2">
      <c r="A5378" s="3" t="s">
        <v>1844</v>
      </c>
      <c r="B5378" s="4">
        <v>336029560</v>
      </c>
    </row>
    <row r="5379" customHeight="1" spans="1:2">
      <c r="A5379" s="3" t="s">
        <v>19307</v>
      </c>
      <c r="B5379" s="4">
        <v>2245</v>
      </c>
    </row>
    <row r="5380" customHeight="1" spans="1:2">
      <c r="A5380" s="3" t="s">
        <v>2513</v>
      </c>
      <c r="B5380" s="4">
        <v>51045801</v>
      </c>
    </row>
    <row r="5381" customHeight="1" spans="1:2">
      <c r="A5381" s="3" t="s">
        <v>9311</v>
      </c>
      <c r="B5381" s="4">
        <v>22927390</v>
      </c>
    </row>
    <row r="5382" customHeight="1" spans="1:2">
      <c r="A5382" s="3" t="s">
        <v>18827</v>
      </c>
      <c r="B5382" s="4"/>
    </row>
    <row r="5383" customHeight="1" spans="1:2">
      <c r="A5383" s="3" t="s">
        <v>914</v>
      </c>
      <c r="B5383" s="4">
        <v>162804648</v>
      </c>
    </row>
    <row r="5384" customHeight="1" spans="1:2">
      <c r="A5384" s="3" t="s">
        <v>4745</v>
      </c>
      <c r="B5384" s="4">
        <v>24044532</v>
      </c>
    </row>
    <row r="5385" customHeight="1" spans="1:2">
      <c r="A5385" s="3" t="s">
        <v>15470</v>
      </c>
      <c r="B5385" s="4"/>
    </row>
    <row r="5386" customHeight="1" spans="1:2">
      <c r="A5386" s="3" t="s">
        <v>12215</v>
      </c>
      <c r="B5386" s="4"/>
    </row>
    <row r="5387" customHeight="1" spans="1:2">
      <c r="A5387" s="3" t="s">
        <v>14706</v>
      </c>
      <c r="B5387" s="4">
        <v>17605861</v>
      </c>
    </row>
    <row r="5388" customHeight="1" spans="1:2">
      <c r="A5388" s="3" t="s">
        <v>22144</v>
      </c>
      <c r="B5388" s="4"/>
    </row>
    <row r="5389" customHeight="1" spans="1:2">
      <c r="A5389" s="3" t="s">
        <v>21734</v>
      </c>
      <c r="B5389" s="4"/>
    </row>
    <row r="5390" customHeight="1" spans="1:2">
      <c r="A5390" s="3" t="s">
        <v>23850</v>
      </c>
      <c r="B5390" s="4"/>
    </row>
    <row r="5391" customHeight="1" spans="1:2">
      <c r="A5391" s="3" t="s">
        <v>10706</v>
      </c>
      <c r="B5391" s="4">
        <v>353743</v>
      </c>
    </row>
    <row r="5392" customHeight="1" spans="1:2">
      <c r="A5392" s="3" t="s">
        <v>20383</v>
      </c>
      <c r="B5392" s="4"/>
    </row>
    <row r="5393" customHeight="1" spans="1:2">
      <c r="A5393" s="3" t="s">
        <v>250</v>
      </c>
      <c r="B5393" s="4">
        <v>6754898</v>
      </c>
    </row>
    <row r="5394" customHeight="1" spans="1:2">
      <c r="A5394" s="3" t="s">
        <v>10388</v>
      </c>
      <c r="B5394" s="4">
        <v>21383298</v>
      </c>
    </row>
    <row r="5395" customHeight="1" spans="1:2">
      <c r="A5395" s="3" t="s">
        <v>24104</v>
      </c>
      <c r="B5395" s="4"/>
    </row>
    <row r="5396" customHeight="1" spans="1:2">
      <c r="A5396" s="3" t="s">
        <v>22205</v>
      </c>
      <c r="B5396" s="4"/>
    </row>
    <row r="5397" customHeight="1" spans="1:2">
      <c r="A5397" s="3" t="s">
        <v>3466</v>
      </c>
      <c r="B5397" s="4">
        <v>26442251</v>
      </c>
    </row>
    <row r="5398" customHeight="1" spans="1:2">
      <c r="A5398" s="3" t="s">
        <v>17484</v>
      </c>
      <c r="B5398" s="4">
        <v>9003011</v>
      </c>
    </row>
    <row r="5399" customHeight="1" spans="1:2">
      <c r="A5399" s="3" t="s">
        <v>15442</v>
      </c>
      <c r="B5399" s="4">
        <v>11675178</v>
      </c>
    </row>
    <row r="5400" customHeight="1" spans="1:2">
      <c r="A5400" s="3" t="s">
        <v>455</v>
      </c>
      <c r="B5400" s="4">
        <v>143523463</v>
      </c>
    </row>
    <row r="5401" customHeight="1" spans="1:2">
      <c r="A5401" s="3" t="s">
        <v>15612</v>
      </c>
      <c r="B5401" s="4">
        <v>223615</v>
      </c>
    </row>
    <row r="5402" customHeight="1" spans="1:2">
      <c r="A5402" s="3" t="s">
        <v>23682</v>
      </c>
      <c r="B5402" s="4"/>
    </row>
    <row r="5403" customHeight="1" spans="1:2">
      <c r="A5403" s="3" t="s">
        <v>7580</v>
      </c>
      <c r="B5403" s="4">
        <v>16964743</v>
      </c>
    </row>
    <row r="5404" customHeight="1" spans="1:2">
      <c r="A5404" s="3" t="s">
        <v>12539</v>
      </c>
      <c r="B5404" s="4">
        <v>12570442</v>
      </c>
    </row>
    <row r="5405" customHeight="1" spans="1:2">
      <c r="A5405" s="3" t="s">
        <v>18755</v>
      </c>
      <c r="B5405" s="4">
        <v>428535</v>
      </c>
    </row>
    <row r="5406" customHeight="1" spans="1:2">
      <c r="A5406" s="3" t="s">
        <v>6406</v>
      </c>
      <c r="B5406" s="4">
        <v>6301131</v>
      </c>
    </row>
    <row r="5407" customHeight="1" spans="1:2">
      <c r="A5407" s="3" t="s">
        <v>15261</v>
      </c>
      <c r="B5407" s="4"/>
    </row>
    <row r="5408" customHeight="1" spans="1:2">
      <c r="A5408" s="3" t="s">
        <v>23843</v>
      </c>
      <c r="B5408" s="4"/>
    </row>
    <row r="5409" customHeight="1" spans="1:2">
      <c r="A5409" s="3" t="s">
        <v>566</v>
      </c>
      <c r="B5409" s="4">
        <v>177343675</v>
      </c>
    </row>
    <row r="5410" customHeight="1" spans="1:2">
      <c r="A5410" s="3" t="s">
        <v>11104</v>
      </c>
      <c r="B5410" s="4">
        <v>7060876</v>
      </c>
    </row>
    <row r="5411" customHeight="1" spans="1:2">
      <c r="A5411" s="3" t="s">
        <v>13340</v>
      </c>
      <c r="B5411" s="4">
        <v>2955039</v>
      </c>
    </row>
    <row r="5412" customHeight="1" spans="1:2">
      <c r="A5412" s="3" t="s">
        <v>9116</v>
      </c>
      <c r="B5412" s="4">
        <v>2119994</v>
      </c>
    </row>
    <row r="5413" customHeight="1" spans="1:2">
      <c r="A5413" s="3" t="s">
        <v>11948</v>
      </c>
      <c r="B5413" s="4">
        <v>148170000</v>
      </c>
    </row>
    <row r="5414" customHeight="1" spans="1:2">
      <c r="A5414" s="3" t="s">
        <v>20114</v>
      </c>
      <c r="B5414" s="4"/>
    </row>
    <row r="5415" customHeight="1" spans="1:2">
      <c r="A5415" s="3" t="s">
        <v>9074</v>
      </c>
      <c r="B5415" s="4">
        <v>10049886</v>
      </c>
    </row>
    <row r="5416" customHeight="1" spans="1:2">
      <c r="A5416" s="3" t="s">
        <v>10876</v>
      </c>
      <c r="B5416" s="4">
        <v>34793160</v>
      </c>
    </row>
    <row r="5417" customHeight="1" spans="1:2">
      <c r="A5417" s="3" t="s">
        <v>7465</v>
      </c>
      <c r="B5417" s="4">
        <v>134904</v>
      </c>
    </row>
    <row r="5418" customHeight="1" spans="1:2">
      <c r="A5418" s="3" t="s">
        <v>6610</v>
      </c>
      <c r="B5418" s="4"/>
    </row>
    <row r="5419" customHeight="1" spans="1:2">
      <c r="A5419" s="3" t="s">
        <v>16522</v>
      </c>
      <c r="B5419" s="4">
        <v>101228</v>
      </c>
    </row>
    <row r="5420" customHeight="1" spans="1:2">
      <c r="A5420" s="3" t="s">
        <v>12134</v>
      </c>
      <c r="B5420" s="4"/>
    </row>
    <row r="5421" customHeight="1" spans="1:2">
      <c r="A5421" s="3" t="s">
        <v>4379</v>
      </c>
      <c r="B5421" s="4">
        <v>44175394</v>
      </c>
    </row>
    <row r="5422" customHeight="1" spans="1:2">
      <c r="A5422" s="3" t="s">
        <v>7651</v>
      </c>
      <c r="B5422" s="4">
        <v>40962534</v>
      </c>
    </row>
    <row r="5423" customHeight="1" spans="1:2">
      <c r="A5423" s="3" t="s">
        <v>10020</v>
      </c>
      <c r="B5423" s="4">
        <v>1554566</v>
      </c>
    </row>
    <row r="5424" customHeight="1" spans="1:2">
      <c r="A5424" s="3" t="s">
        <v>17306</v>
      </c>
      <c r="B5424" s="4">
        <v>71904</v>
      </c>
    </row>
    <row r="5425" customHeight="1" spans="1:2">
      <c r="A5425" s="3" t="s">
        <v>4500</v>
      </c>
      <c r="B5425" s="4">
        <v>22717758</v>
      </c>
    </row>
    <row r="5426" customHeight="1" spans="1:2">
      <c r="A5426" s="3" t="s">
        <v>12057</v>
      </c>
      <c r="B5426" s="4">
        <v>10214647</v>
      </c>
    </row>
    <row r="5427" customHeight="1" spans="1:2">
      <c r="A5427" s="3" t="s">
        <v>3893</v>
      </c>
      <c r="B5427" s="4">
        <v>6565495</v>
      </c>
    </row>
    <row r="5428" customHeight="1" spans="1:2">
      <c r="A5428" s="3" t="s">
        <v>14551</v>
      </c>
      <c r="B5428" s="4">
        <v>64148</v>
      </c>
    </row>
    <row r="5429" customHeight="1" spans="1:2">
      <c r="A5429" s="3" t="s">
        <v>21496</v>
      </c>
      <c r="B5429" s="4"/>
    </row>
    <row r="5430" customHeight="1" spans="1:2">
      <c r="A5430" s="3" t="s">
        <v>5857</v>
      </c>
      <c r="B5430" s="4">
        <v>76501438</v>
      </c>
    </row>
    <row r="5431" customHeight="1" spans="1:2">
      <c r="A5431" s="3" t="s">
        <v>13962</v>
      </c>
      <c r="B5431" s="4">
        <v>4239767</v>
      </c>
    </row>
    <row r="5432" customHeight="1" spans="1:2">
      <c r="A5432" s="3" t="s">
        <v>13424</v>
      </c>
      <c r="B5432" s="4"/>
    </row>
    <row r="5433" customHeight="1" spans="1:2">
      <c r="A5433" s="3" t="s">
        <v>23334</v>
      </c>
      <c r="B5433" s="4"/>
    </row>
    <row r="5434" customHeight="1" spans="1:2">
      <c r="A5434" s="3" t="s">
        <v>23749</v>
      </c>
      <c r="B5434" s="4"/>
    </row>
    <row r="5435" customHeight="1" spans="1:2">
      <c r="A5435" s="3" t="s">
        <v>1416</v>
      </c>
      <c r="B5435" s="4">
        <v>407999255</v>
      </c>
    </row>
    <row r="5436" customHeight="1" spans="1:2">
      <c r="A5436" s="3" t="s">
        <v>11577</v>
      </c>
      <c r="B5436" s="4">
        <v>64572496</v>
      </c>
    </row>
    <row r="5437" customHeight="1" spans="1:2">
      <c r="A5437" s="3" t="s">
        <v>17548</v>
      </c>
      <c r="B5437" s="4">
        <v>4599680</v>
      </c>
    </row>
    <row r="5438" customHeight="1" spans="1:2">
      <c r="A5438" s="3" t="s">
        <v>11942</v>
      </c>
      <c r="B5438" s="4"/>
    </row>
    <row r="5439" customHeight="1" spans="1:2">
      <c r="A5439" s="3" t="s">
        <v>20233</v>
      </c>
      <c r="B5439" s="4"/>
    </row>
    <row r="5440" customHeight="1" spans="1:2">
      <c r="A5440" s="3" t="s">
        <v>4826</v>
      </c>
      <c r="B5440" s="4">
        <v>41102171</v>
      </c>
    </row>
    <row r="5441" customHeight="1" spans="1:2">
      <c r="A5441" s="3" t="s">
        <v>19028</v>
      </c>
      <c r="B5441" s="4">
        <v>3094687</v>
      </c>
    </row>
    <row r="5442" customHeight="1" spans="1:2">
      <c r="A5442" s="3" t="s">
        <v>6563</v>
      </c>
      <c r="B5442" s="4">
        <v>10907291</v>
      </c>
    </row>
    <row r="5443" customHeight="1" spans="1:2">
      <c r="A5443" s="3" t="s">
        <v>11097</v>
      </c>
      <c r="B5443" s="4">
        <v>56631572</v>
      </c>
    </row>
    <row r="5444" customHeight="1" spans="1:2">
      <c r="A5444" s="3" t="s">
        <v>14600</v>
      </c>
      <c r="B5444" s="4">
        <v>119078393</v>
      </c>
    </row>
    <row r="5445" customHeight="1" spans="1:2">
      <c r="A5445" s="3" t="s">
        <v>14269</v>
      </c>
      <c r="B5445" s="4">
        <v>7292175</v>
      </c>
    </row>
    <row r="5446" customHeight="1" spans="1:2">
      <c r="A5446" s="3" t="s">
        <v>7305</v>
      </c>
      <c r="B5446" s="4">
        <v>13038660</v>
      </c>
    </row>
    <row r="5447" customHeight="1" spans="1:2">
      <c r="A5447" s="3" t="s">
        <v>19899</v>
      </c>
      <c r="B5447" s="4">
        <v>104792</v>
      </c>
    </row>
    <row r="5448" customHeight="1" spans="1:2">
      <c r="A5448" s="3" t="s">
        <v>11025</v>
      </c>
      <c r="B5448" s="4">
        <v>1000000</v>
      </c>
    </row>
    <row r="5449" customHeight="1" spans="1:2">
      <c r="A5449" s="3" t="s">
        <v>13774</v>
      </c>
      <c r="B5449" s="4">
        <v>1094798</v>
      </c>
    </row>
    <row r="5450" customHeight="1" spans="1:2">
      <c r="A5450" s="3" t="s">
        <v>1943</v>
      </c>
      <c r="B5450" s="4">
        <v>119654900</v>
      </c>
    </row>
    <row r="5451" customHeight="1" spans="1:2">
      <c r="A5451" s="3" t="s">
        <v>17459</v>
      </c>
      <c r="B5451" s="4">
        <v>792966</v>
      </c>
    </row>
    <row r="5452" customHeight="1" spans="1:2">
      <c r="A5452" s="3" t="s">
        <v>672</v>
      </c>
      <c r="B5452" s="4">
        <v>115802596</v>
      </c>
    </row>
    <row r="5453" customHeight="1" spans="1:2">
      <c r="A5453" s="3" t="s">
        <v>23927</v>
      </c>
      <c r="B5453" s="4"/>
    </row>
    <row r="5454" customHeight="1" spans="1:2">
      <c r="A5454" s="3" t="s">
        <v>14918</v>
      </c>
      <c r="B5454" s="4"/>
    </row>
    <row r="5455" customHeight="1" spans="1:2">
      <c r="A5455" s="3" t="s">
        <v>13048</v>
      </c>
      <c r="B5455" s="4"/>
    </row>
    <row r="5456" customHeight="1" spans="1:2">
      <c r="A5456" s="3" t="s">
        <v>2292</v>
      </c>
      <c r="B5456" s="4">
        <v>19059018</v>
      </c>
    </row>
    <row r="5457" customHeight="1" spans="1:2">
      <c r="A5457" s="3" t="s">
        <v>17833</v>
      </c>
      <c r="B5457" s="4"/>
    </row>
    <row r="5458" customHeight="1" spans="1:2">
      <c r="A5458" s="3" t="s">
        <v>5019</v>
      </c>
      <c r="B5458" s="4">
        <v>78651430</v>
      </c>
    </row>
    <row r="5459" customHeight="1" spans="1:2">
      <c r="A5459" s="3" t="s">
        <v>5299</v>
      </c>
      <c r="B5459" s="4">
        <v>18306166</v>
      </c>
    </row>
    <row r="5460" customHeight="1" spans="1:2">
      <c r="A5460" s="3" t="s">
        <v>20055</v>
      </c>
      <c r="B5460" s="4">
        <v>15180000</v>
      </c>
    </row>
    <row r="5461" customHeight="1" spans="1:2">
      <c r="A5461" s="3" t="s">
        <v>22000</v>
      </c>
      <c r="B5461" s="4"/>
    </row>
    <row r="5462" customHeight="1" spans="1:2">
      <c r="A5462" s="3" t="s">
        <v>22486</v>
      </c>
      <c r="B5462" s="4"/>
    </row>
    <row r="5463" customHeight="1" spans="1:2">
      <c r="A5463" s="3" t="s">
        <v>19919</v>
      </c>
      <c r="B5463" s="4">
        <v>5000000</v>
      </c>
    </row>
    <row r="5464" customHeight="1" spans="1:2">
      <c r="A5464" s="3" t="s">
        <v>8887</v>
      </c>
      <c r="B5464" s="4"/>
    </row>
    <row r="5465" customHeight="1" spans="1:2">
      <c r="A5465" s="3" t="s">
        <v>3875</v>
      </c>
      <c r="B5465" s="4">
        <v>17300889</v>
      </c>
    </row>
    <row r="5466" customHeight="1" spans="1:2">
      <c r="A5466" s="3" t="s">
        <v>14556</v>
      </c>
      <c r="B5466" s="4"/>
    </row>
    <row r="5467" customHeight="1" spans="1:2">
      <c r="A5467" s="3" t="s">
        <v>14067</v>
      </c>
      <c r="B5467" s="4">
        <v>12610552</v>
      </c>
    </row>
    <row r="5468" customHeight="1" spans="1:2">
      <c r="A5468" s="3" t="s">
        <v>18477</v>
      </c>
      <c r="B5468" s="4"/>
    </row>
    <row r="5469" customHeight="1" spans="1:2">
      <c r="A5469" s="3" t="s">
        <v>23562</v>
      </c>
      <c r="B5469" s="4"/>
    </row>
    <row r="5470" customHeight="1" spans="1:2">
      <c r="A5470" s="3" t="s">
        <v>12906</v>
      </c>
      <c r="B5470" s="4">
        <v>131617</v>
      </c>
    </row>
    <row r="5471" customHeight="1" spans="1:2">
      <c r="A5471" s="3" t="s">
        <v>15463</v>
      </c>
      <c r="B5471" s="4"/>
    </row>
    <row r="5472" customHeight="1" spans="1:2">
      <c r="A5472" s="3" t="s">
        <v>12663</v>
      </c>
      <c r="B5472" s="4">
        <v>21569041</v>
      </c>
    </row>
    <row r="5473" customHeight="1" spans="1:2">
      <c r="A5473" s="3" t="s">
        <v>20465</v>
      </c>
      <c r="B5473" s="4"/>
    </row>
    <row r="5474" customHeight="1" spans="1:2">
      <c r="A5474" s="3" t="s">
        <v>16826</v>
      </c>
      <c r="B5474" s="4">
        <v>6879730</v>
      </c>
    </row>
    <row r="5475" customHeight="1" spans="1:2">
      <c r="A5475" s="3" t="s">
        <v>23031</v>
      </c>
      <c r="B5475" s="4"/>
    </row>
    <row r="5476" customHeight="1" spans="1:2">
      <c r="A5476" s="3" t="s">
        <v>12056</v>
      </c>
      <c r="B5476" s="4">
        <v>33305037</v>
      </c>
    </row>
    <row r="5477" customHeight="1" spans="1:2">
      <c r="A5477" s="3" t="s">
        <v>17865</v>
      </c>
      <c r="B5477" s="4">
        <v>26505000</v>
      </c>
    </row>
    <row r="5478" customHeight="1" spans="1:2">
      <c r="A5478" s="3" t="s">
        <v>23585</v>
      </c>
      <c r="B5478" s="4"/>
    </row>
    <row r="5479" customHeight="1" spans="1:2">
      <c r="A5479" s="3" t="s">
        <v>17343</v>
      </c>
      <c r="B5479" s="4">
        <v>978908</v>
      </c>
    </row>
    <row r="5480" customHeight="1" spans="1:2">
      <c r="A5480" s="3" t="s">
        <v>8026</v>
      </c>
      <c r="B5480" s="4">
        <v>132088910</v>
      </c>
    </row>
    <row r="5481" customHeight="1" spans="1:2">
      <c r="A5481" s="3" t="s">
        <v>3847</v>
      </c>
      <c r="B5481" s="4">
        <v>22531698</v>
      </c>
    </row>
    <row r="5482" customHeight="1" spans="1:2">
      <c r="A5482" s="3" t="s">
        <v>3593</v>
      </c>
      <c r="B5482" s="4">
        <v>1206135</v>
      </c>
    </row>
    <row r="5483" customHeight="1" spans="1:2">
      <c r="A5483" s="3" t="s">
        <v>896</v>
      </c>
      <c r="B5483" s="4">
        <v>130127620</v>
      </c>
    </row>
    <row r="5484" customHeight="1" spans="1:2">
      <c r="A5484" s="3" t="s">
        <v>14996</v>
      </c>
      <c r="B5484" s="4">
        <v>7009668</v>
      </c>
    </row>
    <row r="5485" customHeight="1" spans="1:2">
      <c r="A5485" s="3" t="s">
        <v>8956</v>
      </c>
      <c r="B5485" s="4">
        <v>206678</v>
      </c>
    </row>
    <row r="5486" customHeight="1" spans="1:2">
      <c r="A5486" s="3" t="s">
        <v>10316</v>
      </c>
      <c r="B5486" s="4">
        <v>32645546</v>
      </c>
    </row>
    <row r="5487" customHeight="1" spans="1:2">
      <c r="A5487" s="3" t="s">
        <v>22073</v>
      </c>
      <c r="B5487" s="4"/>
    </row>
    <row r="5488" customHeight="1" spans="1:2">
      <c r="A5488" s="3" t="s">
        <v>4562</v>
      </c>
      <c r="B5488" s="4">
        <v>20113965</v>
      </c>
    </row>
    <row r="5489" customHeight="1" spans="1:2">
      <c r="A5489" s="3" t="s">
        <v>20646</v>
      </c>
      <c r="B5489" s="4"/>
    </row>
    <row r="5490" customHeight="1" spans="1:2">
      <c r="A5490" s="3" t="s">
        <v>23012</v>
      </c>
      <c r="B5490" s="4"/>
    </row>
    <row r="5491" customHeight="1" spans="1:2">
      <c r="A5491" s="3" t="s">
        <v>5105</v>
      </c>
      <c r="B5491" s="4">
        <v>67523385</v>
      </c>
    </row>
    <row r="5492" customHeight="1" spans="1:2">
      <c r="A5492" s="3" t="s">
        <v>10065</v>
      </c>
      <c r="B5492" s="4">
        <v>138795342</v>
      </c>
    </row>
    <row r="5493" customHeight="1" spans="1:2">
      <c r="A5493" s="3" t="s">
        <v>10713</v>
      </c>
      <c r="B5493" s="4">
        <v>122288</v>
      </c>
    </row>
    <row r="5494" customHeight="1" spans="1:2">
      <c r="A5494" s="3" t="s">
        <v>10777</v>
      </c>
      <c r="B5494" s="4"/>
    </row>
    <row r="5495" customHeight="1" spans="1:2">
      <c r="A5495" s="3" t="s">
        <v>10920</v>
      </c>
      <c r="B5495" s="4">
        <v>15483540</v>
      </c>
    </row>
    <row r="5496" customHeight="1" spans="1:2">
      <c r="A5496" s="3" t="s">
        <v>6139</v>
      </c>
      <c r="B5496" s="4">
        <v>28644770</v>
      </c>
    </row>
    <row r="5497" customHeight="1" spans="1:2">
      <c r="A5497" s="3" t="s">
        <v>18804</v>
      </c>
      <c r="B5497" s="4">
        <v>100659</v>
      </c>
    </row>
    <row r="5498" customHeight="1" spans="1:2">
      <c r="A5498" s="3" t="s">
        <v>1141</v>
      </c>
      <c r="B5498" s="4">
        <v>102515793</v>
      </c>
    </row>
    <row r="5499" customHeight="1" spans="1:2">
      <c r="A5499" s="3" t="s">
        <v>14258</v>
      </c>
      <c r="B5499" s="4">
        <v>14612840</v>
      </c>
    </row>
    <row r="5500" customHeight="1" spans="1:2">
      <c r="A5500" s="3" t="s">
        <v>410</v>
      </c>
      <c r="B5500" s="4">
        <v>61937495</v>
      </c>
    </row>
    <row r="5501" customHeight="1" spans="1:2">
      <c r="A5501" s="3" t="s">
        <v>9058</v>
      </c>
      <c r="B5501" s="4">
        <v>56127162</v>
      </c>
    </row>
    <row r="5502" customHeight="1" spans="1:2">
      <c r="A5502" s="3" t="s">
        <v>19051</v>
      </c>
      <c r="B5502" s="4"/>
    </row>
    <row r="5503" customHeight="1" spans="1:2">
      <c r="A5503" s="3" t="s">
        <v>18937</v>
      </c>
      <c r="B5503" s="4"/>
    </row>
    <row r="5504" customHeight="1" spans="1:2">
      <c r="A5504" s="3" t="s">
        <v>4458</v>
      </c>
      <c r="B5504" s="4">
        <v>30981850</v>
      </c>
    </row>
    <row r="5505" customHeight="1" spans="1:2">
      <c r="A5505" s="3" t="s">
        <v>7683</v>
      </c>
      <c r="B5505" s="4">
        <v>4756</v>
      </c>
    </row>
    <row r="5506" customHeight="1" spans="1:2">
      <c r="A5506" s="3" t="s">
        <v>20714</v>
      </c>
      <c r="B5506" s="4"/>
    </row>
    <row r="5507" customHeight="1" spans="1:2">
      <c r="A5507" s="3" t="s">
        <v>7017</v>
      </c>
      <c r="B5507" s="4">
        <v>51533608</v>
      </c>
    </row>
    <row r="5508" customHeight="1" spans="1:2">
      <c r="A5508" s="3" t="s">
        <v>7990</v>
      </c>
      <c r="B5508" s="4">
        <v>52008288</v>
      </c>
    </row>
    <row r="5509" customHeight="1" spans="1:2">
      <c r="A5509" s="3" t="s">
        <v>13748</v>
      </c>
      <c r="B5509" s="4">
        <v>5018450</v>
      </c>
    </row>
    <row r="5510" customHeight="1" spans="1:2">
      <c r="A5510" s="3" t="s">
        <v>20289</v>
      </c>
      <c r="B5510" s="4"/>
    </row>
    <row r="5511" customHeight="1" spans="1:2">
      <c r="A5511" s="3" t="s">
        <v>287</v>
      </c>
      <c r="B5511" s="4">
        <v>189412677</v>
      </c>
    </row>
    <row r="5512" customHeight="1" spans="1:2">
      <c r="A5512" s="3" t="s">
        <v>11644</v>
      </c>
      <c r="B5512" s="4">
        <v>37707719</v>
      </c>
    </row>
    <row r="5513" customHeight="1" spans="1:2">
      <c r="A5513" s="3" t="s">
        <v>4128</v>
      </c>
      <c r="B5513" s="4">
        <v>150117807</v>
      </c>
    </row>
    <row r="5514" customHeight="1" spans="1:2">
      <c r="A5514" s="3" t="s">
        <v>23418</v>
      </c>
      <c r="B5514" s="4"/>
    </row>
    <row r="5515" customHeight="1" spans="1:2">
      <c r="A5515" s="3" t="s">
        <v>22470</v>
      </c>
      <c r="B5515" s="4"/>
    </row>
    <row r="5516" customHeight="1" spans="1:2">
      <c r="A5516" s="3" t="s">
        <v>1641</v>
      </c>
      <c r="B5516" s="4">
        <v>19406406</v>
      </c>
    </row>
    <row r="5517" customHeight="1" spans="1:2">
      <c r="A5517" s="3" t="s">
        <v>15539</v>
      </c>
      <c r="B5517" s="4"/>
    </row>
    <row r="5518" customHeight="1" spans="1:2">
      <c r="A5518" s="3" t="s">
        <v>8151</v>
      </c>
      <c r="B5518" s="4">
        <v>2840417</v>
      </c>
    </row>
    <row r="5519" customHeight="1" spans="1:2">
      <c r="A5519" s="3" t="s">
        <v>4533</v>
      </c>
      <c r="B5519" s="4">
        <v>14967182</v>
      </c>
    </row>
    <row r="5520" customHeight="1" spans="1:2">
      <c r="A5520" s="3" t="s">
        <v>17543</v>
      </c>
      <c r="B5520" s="4">
        <v>5383834</v>
      </c>
    </row>
    <row r="5521" customHeight="1" spans="1:2">
      <c r="A5521" s="3" t="s">
        <v>21322</v>
      </c>
      <c r="B5521" s="4"/>
    </row>
    <row r="5522" customHeight="1" spans="1:2">
      <c r="A5522" s="3" t="s">
        <v>23540</v>
      </c>
      <c r="B5522" s="4"/>
    </row>
    <row r="5523" customHeight="1" spans="1:2">
      <c r="A5523" s="3" t="s">
        <v>23986</v>
      </c>
      <c r="B5523" s="4"/>
    </row>
    <row r="5524" customHeight="1" spans="1:2">
      <c r="A5524" s="3" t="s">
        <v>1321</v>
      </c>
      <c r="B5524" s="4">
        <v>84303558</v>
      </c>
    </row>
    <row r="5525" customHeight="1" spans="1:2">
      <c r="A5525" s="3" t="s">
        <v>22679</v>
      </c>
      <c r="B5525" s="4"/>
    </row>
    <row r="5526" customHeight="1" spans="1:2">
      <c r="A5526" s="3" t="s">
        <v>22104</v>
      </c>
      <c r="B5526" s="4"/>
    </row>
    <row r="5527" customHeight="1" spans="1:2">
      <c r="A5527" s="3" t="s">
        <v>16340</v>
      </c>
      <c r="B5527" s="4"/>
    </row>
    <row r="5528" customHeight="1" spans="1:2">
      <c r="A5528" s="3" t="s">
        <v>23781</v>
      </c>
      <c r="B5528" s="4"/>
    </row>
    <row r="5529" customHeight="1" spans="1:2">
      <c r="A5529" s="3" t="s">
        <v>20996</v>
      </c>
      <c r="B5529" s="4"/>
    </row>
    <row r="5530" customHeight="1" spans="1:2">
      <c r="A5530" s="3" t="s">
        <v>8620</v>
      </c>
      <c r="B5530" s="4">
        <v>15797907</v>
      </c>
    </row>
    <row r="5531" customHeight="1" spans="1:2">
      <c r="A5531" s="3" t="s">
        <v>4434</v>
      </c>
      <c r="B5531" s="4">
        <v>33864342</v>
      </c>
    </row>
    <row r="5532" customHeight="1" spans="1:2">
      <c r="A5532" s="3" t="s">
        <v>22261</v>
      </c>
      <c r="B5532" s="4"/>
    </row>
    <row r="5533" customHeight="1" spans="1:2">
      <c r="A5533" s="3" t="s">
        <v>20065</v>
      </c>
      <c r="B5533" s="4">
        <v>9437933</v>
      </c>
    </row>
    <row r="5534" customHeight="1" spans="1:2">
      <c r="A5534" s="3" t="s">
        <v>22342</v>
      </c>
      <c r="B5534" s="4"/>
    </row>
    <row r="5535" customHeight="1" spans="1:2">
      <c r="A5535" s="3" t="s">
        <v>16926</v>
      </c>
      <c r="B5535" s="4">
        <v>373060</v>
      </c>
    </row>
    <row r="5536" customHeight="1" spans="1:2">
      <c r="A5536" s="3" t="s">
        <v>20375</v>
      </c>
      <c r="B5536" s="4">
        <v>136007</v>
      </c>
    </row>
    <row r="5537" customHeight="1" spans="1:2">
      <c r="A5537" s="3" t="s">
        <v>17811</v>
      </c>
      <c r="B5537" s="4"/>
    </row>
    <row r="5538" customHeight="1" spans="1:2">
      <c r="A5538" s="3" t="s">
        <v>23167</v>
      </c>
      <c r="B5538" s="4"/>
    </row>
    <row r="5539" customHeight="1" spans="1:2">
      <c r="A5539" s="3" t="s">
        <v>13644</v>
      </c>
      <c r="B5539" s="4"/>
    </row>
    <row r="5540" customHeight="1" spans="1:2">
      <c r="A5540" s="3" t="s">
        <v>14870</v>
      </c>
      <c r="B5540" s="4"/>
    </row>
    <row r="5541" customHeight="1" spans="1:2">
      <c r="A5541" s="3" t="s">
        <v>18601</v>
      </c>
      <c r="B5541" s="4">
        <v>18112929</v>
      </c>
    </row>
    <row r="5542" customHeight="1" spans="1:2">
      <c r="A5542" s="3" t="s">
        <v>1535</v>
      </c>
      <c r="B5542" s="4">
        <v>100169068</v>
      </c>
    </row>
    <row r="5543" customHeight="1" spans="1:2">
      <c r="A5543" s="3" t="s">
        <v>54</v>
      </c>
      <c r="B5543" s="4">
        <v>458991599</v>
      </c>
    </row>
    <row r="5544" customHeight="1" spans="1:2">
      <c r="A5544" s="3" t="s">
        <v>1260</v>
      </c>
      <c r="B5544" s="4">
        <v>144512310</v>
      </c>
    </row>
    <row r="5545" customHeight="1" spans="1:2">
      <c r="A5545" s="3" t="s">
        <v>15226</v>
      </c>
      <c r="B5545" s="4">
        <v>56536016</v>
      </c>
    </row>
    <row r="5546" customHeight="1" spans="1:2">
      <c r="A5546" s="3" t="s">
        <v>1497</v>
      </c>
      <c r="B5546" s="4">
        <v>95632614</v>
      </c>
    </row>
    <row r="5547" customHeight="1" spans="1:2">
      <c r="A5547" s="3" t="s">
        <v>16746</v>
      </c>
      <c r="B5547" s="4"/>
    </row>
    <row r="5548" customHeight="1" spans="1:2">
      <c r="A5548" s="3" t="s">
        <v>8531</v>
      </c>
      <c r="B5548" s="4">
        <v>20207003</v>
      </c>
    </row>
    <row r="5549" customHeight="1" spans="1:2">
      <c r="A5549" s="3" t="s">
        <v>7839</v>
      </c>
      <c r="B5549" s="4">
        <v>19351569</v>
      </c>
    </row>
    <row r="5550" customHeight="1" spans="1:2">
      <c r="A5550" s="3" t="s">
        <v>11661</v>
      </c>
      <c r="B5550" s="4">
        <v>17321573</v>
      </c>
    </row>
    <row r="5551" customHeight="1" spans="1:2">
      <c r="A5551" s="3" t="s">
        <v>23699</v>
      </c>
      <c r="B5551" s="4"/>
    </row>
    <row r="5552" customHeight="1" spans="1:2">
      <c r="A5552" s="3" t="s">
        <v>481</v>
      </c>
      <c r="B5552" s="4">
        <v>31141074</v>
      </c>
    </row>
    <row r="5553" customHeight="1" spans="1:2">
      <c r="A5553" s="3" t="s">
        <v>1828</v>
      </c>
      <c r="B5553" s="4">
        <v>14567883</v>
      </c>
    </row>
    <row r="5554" customHeight="1" spans="1:2">
      <c r="A5554" s="3" t="s">
        <v>2242</v>
      </c>
      <c r="B5554" s="4">
        <v>53846915</v>
      </c>
    </row>
    <row r="5555" customHeight="1" spans="1:2">
      <c r="A5555" s="3" t="s">
        <v>160</v>
      </c>
      <c r="B5555" s="4">
        <v>202351611</v>
      </c>
    </row>
    <row r="5556" customHeight="1" spans="1:2">
      <c r="A5556" s="3" t="s">
        <v>6624</v>
      </c>
      <c r="B5556" s="4">
        <v>69586544</v>
      </c>
    </row>
    <row r="5557" customHeight="1" spans="1:2">
      <c r="A5557" s="3" t="s">
        <v>17414</v>
      </c>
      <c r="B5557" s="4"/>
    </row>
    <row r="5558" customHeight="1" spans="1:2">
      <c r="A5558" s="3" t="s">
        <v>13608</v>
      </c>
      <c r="B5558" s="4">
        <v>36500000</v>
      </c>
    </row>
    <row r="5559" customHeight="1" spans="1:2">
      <c r="A5559" s="3" t="s">
        <v>22152</v>
      </c>
      <c r="B5559" s="4"/>
    </row>
    <row r="5560" customHeight="1" spans="1:2">
      <c r="A5560" s="3" t="s">
        <v>1055</v>
      </c>
      <c r="B5560" s="4">
        <v>17176900</v>
      </c>
    </row>
    <row r="5561" customHeight="1" spans="1:2">
      <c r="A5561" s="3" t="s">
        <v>3578</v>
      </c>
      <c r="B5561" s="4">
        <v>95308367</v>
      </c>
    </row>
    <row r="5562" customHeight="1" spans="1:2">
      <c r="A5562" s="3" t="s">
        <v>3459</v>
      </c>
      <c r="B5562" s="4">
        <v>20389967</v>
      </c>
    </row>
    <row r="5563" customHeight="1" spans="1:2">
      <c r="A5563" s="3" t="s">
        <v>1147</v>
      </c>
      <c r="B5563" s="4">
        <v>209019489</v>
      </c>
    </row>
    <row r="5564" customHeight="1" spans="1:2">
      <c r="A5564" s="3" t="s">
        <v>5340</v>
      </c>
      <c r="B5564" s="4">
        <v>10268846</v>
      </c>
    </row>
    <row r="5565" customHeight="1" spans="1:2">
      <c r="A5565" s="3" t="s">
        <v>17765</v>
      </c>
      <c r="B5565" s="4"/>
    </row>
    <row r="5566" customHeight="1" spans="1:2">
      <c r="A5566" s="3" t="s">
        <v>23436</v>
      </c>
      <c r="B5566" s="4"/>
    </row>
    <row r="5567" customHeight="1" spans="1:2">
      <c r="A5567" s="3" t="s">
        <v>5547</v>
      </c>
      <c r="B5567" s="4">
        <v>34180954</v>
      </c>
    </row>
    <row r="5568" customHeight="1" spans="1:2">
      <c r="A5568" s="3" t="s">
        <v>7913</v>
      </c>
      <c r="B5568" s="4">
        <v>9694105</v>
      </c>
    </row>
    <row r="5569" customHeight="1" spans="1:2">
      <c r="A5569" s="3" t="s">
        <v>836</v>
      </c>
      <c r="B5569" s="4">
        <v>144795350</v>
      </c>
    </row>
    <row r="5570" customHeight="1" spans="1:2">
      <c r="A5570" s="3" t="s">
        <v>367</v>
      </c>
      <c r="B5570" s="4">
        <v>205343774</v>
      </c>
    </row>
    <row r="5571" customHeight="1" spans="1:2">
      <c r="A5571" s="3" t="s">
        <v>19894</v>
      </c>
      <c r="B5571" s="4"/>
    </row>
    <row r="5572" customHeight="1" spans="1:2">
      <c r="A5572" s="3" t="s">
        <v>272</v>
      </c>
      <c r="B5572" s="4">
        <v>208543795</v>
      </c>
    </row>
    <row r="5573" customHeight="1" spans="1:2">
      <c r="A5573" s="3" t="s">
        <v>3146</v>
      </c>
      <c r="B5573" s="4">
        <v>165500000</v>
      </c>
    </row>
    <row r="5574" customHeight="1" spans="1:2">
      <c r="A5574" s="3" t="s">
        <v>518</v>
      </c>
      <c r="B5574" s="4">
        <v>93926386</v>
      </c>
    </row>
    <row r="5575" customHeight="1" spans="1:2">
      <c r="A5575" s="3" t="s">
        <v>813</v>
      </c>
      <c r="B5575" s="4">
        <v>71017784</v>
      </c>
    </row>
    <row r="5576" customHeight="1" spans="1:2">
      <c r="A5576" s="3" t="s">
        <v>23799</v>
      </c>
      <c r="B5576" s="4"/>
    </row>
    <row r="5577" customHeight="1" spans="1:2">
      <c r="A5577" s="3" t="s">
        <v>23301</v>
      </c>
      <c r="B5577" s="4"/>
    </row>
    <row r="5578" customHeight="1" spans="1:2">
      <c r="A5578" s="3" t="s">
        <v>20574</v>
      </c>
      <c r="B5578" s="4"/>
    </row>
    <row r="5579" customHeight="1" spans="1:2">
      <c r="A5579" s="3" t="s">
        <v>13400</v>
      </c>
      <c r="B5579" s="4">
        <v>2874</v>
      </c>
    </row>
    <row r="5580" customHeight="1" spans="1:2">
      <c r="A5580" s="3" t="s">
        <v>11091</v>
      </c>
      <c r="B5580" s="4">
        <v>190871240</v>
      </c>
    </row>
    <row r="5581" customHeight="1" spans="1:2">
      <c r="A5581" s="3" t="s">
        <v>10655</v>
      </c>
      <c r="B5581" s="4">
        <v>2203641</v>
      </c>
    </row>
    <row r="5582" customHeight="1" spans="1:2">
      <c r="A5582" s="3" t="s">
        <v>16000</v>
      </c>
      <c r="B5582" s="4"/>
    </row>
    <row r="5583" customHeight="1" spans="1:2">
      <c r="A5583" s="3" t="s">
        <v>7430</v>
      </c>
      <c r="B5583" s="4">
        <v>4064333</v>
      </c>
    </row>
    <row r="5584" customHeight="1" spans="1:2">
      <c r="A5584" s="3" t="s">
        <v>13901</v>
      </c>
      <c r="B5584" s="4"/>
    </row>
    <row r="5585" customHeight="1" spans="1:2">
      <c r="A5585" s="3" t="s">
        <v>16174</v>
      </c>
      <c r="B5585" s="4"/>
    </row>
    <row r="5586" customHeight="1" spans="1:2">
      <c r="A5586" s="3" t="s">
        <v>15815</v>
      </c>
      <c r="B5586" s="4">
        <v>52700832</v>
      </c>
    </row>
    <row r="5587" customHeight="1" spans="1:2">
      <c r="A5587" s="3" t="s">
        <v>4983</v>
      </c>
      <c r="B5587" s="4">
        <v>3064356</v>
      </c>
    </row>
    <row r="5588" customHeight="1" spans="1:2">
      <c r="A5588" s="3" t="s">
        <v>9636</v>
      </c>
      <c r="B5588" s="4">
        <v>37939782</v>
      </c>
    </row>
    <row r="5589" customHeight="1" spans="1:2">
      <c r="A5589" s="3" t="s">
        <v>9861</v>
      </c>
      <c r="B5589" s="4">
        <v>30102717</v>
      </c>
    </row>
    <row r="5590" customHeight="1" spans="1:2">
      <c r="A5590" s="3" t="s">
        <v>2576</v>
      </c>
      <c r="B5590" s="4">
        <v>48472213</v>
      </c>
    </row>
    <row r="5591" customHeight="1" spans="1:2">
      <c r="A5591" s="3" t="s">
        <v>6509</v>
      </c>
      <c r="B5591" s="4">
        <v>48043505</v>
      </c>
    </row>
    <row r="5592" customHeight="1" spans="1:2">
      <c r="A5592" s="3" t="s">
        <v>5761</v>
      </c>
      <c r="B5592" s="4">
        <v>145096820</v>
      </c>
    </row>
    <row r="5593" customHeight="1" spans="1:2">
      <c r="A5593" s="3" t="s">
        <v>4241</v>
      </c>
      <c r="B5593" s="4">
        <v>74098862</v>
      </c>
    </row>
    <row r="5594" customHeight="1" spans="1:2">
      <c r="A5594" s="3" t="s">
        <v>14568</v>
      </c>
      <c r="B5594" s="4">
        <v>4063859</v>
      </c>
    </row>
    <row r="5595" customHeight="1" spans="1:2">
      <c r="A5595" s="3" t="s">
        <v>9050</v>
      </c>
      <c r="B5595" s="4">
        <v>51697449</v>
      </c>
    </row>
    <row r="5596" customHeight="1" spans="1:2">
      <c r="A5596" s="3" t="s">
        <v>2786</v>
      </c>
      <c r="B5596" s="4"/>
    </row>
    <row r="5597" customHeight="1" spans="1:2">
      <c r="A5597" s="3" t="s">
        <v>15982</v>
      </c>
      <c r="B5597" s="4">
        <v>44566004</v>
      </c>
    </row>
    <row r="5598" customHeight="1" spans="1:2">
      <c r="A5598" s="3" t="s">
        <v>13302</v>
      </c>
      <c r="B5598" s="4">
        <v>6126237</v>
      </c>
    </row>
    <row r="5599" customHeight="1" spans="1:2">
      <c r="A5599" s="3" t="s">
        <v>14079</v>
      </c>
      <c r="B5599" s="4">
        <v>43800000</v>
      </c>
    </row>
    <row r="5600" customHeight="1" spans="1:2">
      <c r="A5600" s="3" t="s">
        <v>7382</v>
      </c>
      <c r="B5600" s="4">
        <v>10070000</v>
      </c>
    </row>
    <row r="5601" customHeight="1" spans="1:2">
      <c r="A5601" s="3" t="s">
        <v>15572</v>
      </c>
      <c r="B5601" s="4">
        <v>296665</v>
      </c>
    </row>
    <row r="5602" customHeight="1" spans="1:2">
      <c r="A5602" s="3" t="s">
        <v>12611</v>
      </c>
      <c r="B5602" s="4">
        <v>67631157</v>
      </c>
    </row>
    <row r="5603" customHeight="1" spans="1:2">
      <c r="A5603" s="3" t="s">
        <v>15805</v>
      </c>
      <c r="B5603" s="4">
        <v>81200000</v>
      </c>
    </row>
    <row r="5604" customHeight="1" spans="1:2">
      <c r="A5604" s="3" t="s">
        <v>6707</v>
      </c>
      <c r="B5604" s="4">
        <v>4476235</v>
      </c>
    </row>
    <row r="5605" customHeight="1" spans="1:2">
      <c r="A5605" s="3" t="s">
        <v>21744</v>
      </c>
      <c r="B5605" s="4"/>
    </row>
    <row r="5606" customHeight="1" spans="1:2">
      <c r="A5606" s="3" t="s">
        <v>10669</v>
      </c>
      <c r="B5606" s="4">
        <v>1954202</v>
      </c>
    </row>
    <row r="5607" customHeight="1" spans="1:2">
      <c r="A5607" s="3" t="s">
        <v>16981</v>
      </c>
      <c r="B5607" s="4">
        <v>22000</v>
      </c>
    </row>
    <row r="5608" customHeight="1" spans="1:2">
      <c r="A5608" s="3" t="s">
        <v>15863</v>
      </c>
      <c r="B5608" s="4">
        <v>727883</v>
      </c>
    </row>
    <row r="5609" customHeight="1" spans="1:2">
      <c r="A5609" s="3" t="s">
        <v>21959</v>
      </c>
      <c r="B5609" s="4"/>
    </row>
    <row r="5610" customHeight="1" spans="1:2">
      <c r="A5610" s="3" t="s">
        <v>22210</v>
      </c>
      <c r="B5610" s="4"/>
    </row>
    <row r="5611" customHeight="1" spans="1:2">
      <c r="A5611" s="3" t="s">
        <v>4136</v>
      </c>
      <c r="B5611" s="4">
        <v>163947053</v>
      </c>
    </row>
    <row r="5612" customHeight="1" spans="1:2">
      <c r="A5612" s="3" t="s">
        <v>19394</v>
      </c>
      <c r="B5612" s="4">
        <v>154077</v>
      </c>
    </row>
    <row r="5613" customHeight="1" spans="1:2">
      <c r="A5613" s="3" t="s">
        <v>23295</v>
      </c>
      <c r="B5613" s="4"/>
    </row>
    <row r="5614" customHeight="1" spans="1:2">
      <c r="A5614" s="3" t="s">
        <v>3680</v>
      </c>
      <c r="B5614" s="4">
        <v>67263182</v>
      </c>
    </row>
    <row r="5615" customHeight="1" spans="1:2">
      <c r="A5615" s="3" t="s">
        <v>22857</v>
      </c>
      <c r="B5615" s="4"/>
    </row>
    <row r="5616" customHeight="1" spans="1:2">
      <c r="A5616" s="3" t="s">
        <v>1572</v>
      </c>
      <c r="B5616" s="4">
        <v>45356386</v>
      </c>
    </row>
    <row r="5617" customHeight="1" spans="1:2">
      <c r="A5617" s="3" t="s">
        <v>17530</v>
      </c>
      <c r="B5617" s="4">
        <v>6003587</v>
      </c>
    </row>
    <row r="5618" customHeight="1" spans="1:2">
      <c r="A5618" s="3" t="s">
        <v>21982</v>
      </c>
      <c r="B5618" s="4"/>
    </row>
    <row r="5619" customHeight="1" spans="1:2">
      <c r="A5619" s="3" t="s">
        <v>20966</v>
      </c>
      <c r="B5619" s="4"/>
    </row>
    <row r="5620" customHeight="1" spans="1:2">
      <c r="A5620" s="3" t="s">
        <v>3877</v>
      </c>
      <c r="B5620" s="4">
        <v>13560960</v>
      </c>
    </row>
    <row r="5621" customHeight="1" spans="1:2">
      <c r="A5621" s="3" t="s">
        <v>15890</v>
      </c>
      <c r="B5621" s="4">
        <v>706622</v>
      </c>
    </row>
    <row r="5622" customHeight="1" spans="1:2">
      <c r="A5622" s="3" t="s">
        <v>20541</v>
      </c>
      <c r="B5622" s="4"/>
    </row>
    <row r="5623" customHeight="1" spans="1:2">
      <c r="A5623" s="3" t="s">
        <v>21804</v>
      </c>
      <c r="B5623" s="4"/>
    </row>
    <row r="5624" customHeight="1" spans="1:2">
      <c r="A5624" s="3" t="s">
        <v>4313</v>
      </c>
      <c r="B5624" s="4">
        <v>54228104</v>
      </c>
    </row>
    <row r="5625" customHeight="1" spans="1:2">
      <c r="A5625" s="3" t="s">
        <v>1358</v>
      </c>
      <c r="B5625" s="4">
        <v>64933670</v>
      </c>
    </row>
    <row r="5626" customHeight="1" spans="1:2">
      <c r="A5626" s="3" t="s">
        <v>11818</v>
      </c>
      <c r="B5626" s="4">
        <v>3950294</v>
      </c>
    </row>
    <row r="5627" customHeight="1" spans="1:2">
      <c r="A5627" s="3" t="s">
        <v>23458</v>
      </c>
      <c r="B5627" s="4"/>
    </row>
    <row r="5628" customHeight="1" spans="1:2">
      <c r="A5628" s="3" t="s">
        <v>18420</v>
      </c>
      <c r="B5628" s="4"/>
    </row>
    <row r="5629" customHeight="1" spans="1:2">
      <c r="A5629" s="3" t="s">
        <v>14298</v>
      </c>
      <c r="B5629" s="4"/>
    </row>
    <row r="5630" customHeight="1" spans="1:2">
      <c r="A5630" s="3" t="s">
        <v>19496</v>
      </c>
      <c r="B5630" s="4"/>
    </row>
    <row r="5631" customHeight="1" spans="1:2">
      <c r="A5631" s="3" t="s">
        <v>13413</v>
      </c>
      <c r="B5631" s="4">
        <v>174635000</v>
      </c>
    </row>
    <row r="5632" customHeight="1" spans="1:2">
      <c r="A5632" s="3" t="s">
        <v>11883</v>
      </c>
      <c r="B5632" s="4">
        <v>175370</v>
      </c>
    </row>
    <row r="5633" customHeight="1" spans="1:2">
      <c r="A5633" s="3" t="s">
        <v>21437</v>
      </c>
      <c r="B5633" s="4"/>
    </row>
    <row r="5634" customHeight="1" spans="1:2">
      <c r="A5634" s="3" t="s">
        <v>6373</v>
      </c>
      <c r="B5634" s="4">
        <v>119518352</v>
      </c>
    </row>
    <row r="5635" customHeight="1" spans="1:2">
      <c r="A5635" s="3" t="s">
        <v>4338</v>
      </c>
      <c r="B5635" s="4">
        <v>51185897</v>
      </c>
    </row>
    <row r="5636" customHeight="1" spans="1:2">
      <c r="A5636" s="3" t="s">
        <v>18784</v>
      </c>
      <c r="B5636" s="4">
        <v>112521</v>
      </c>
    </row>
    <row r="5637" customHeight="1" spans="1:2">
      <c r="A5637" s="3" t="s">
        <v>7882</v>
      </c>
      <c r="B5637" s="4">
        <v>13555988</v>
      </c>
    </row>
    <row r="5638" customHeight="1" spans="1:2">
      <c r="A5638" s="3" t="s">
        <v>16693</v>
      </c>
      <c r="B5638" s="4">
        <v>38168022</v>
      </c>
    </row>
    <row r="5639" customHeight="1" spans="1:2">
      <c r="A5639" s="3" t="s">
        <v>11271</v>
      </c>
      <c r="B5639" s="4">
        <v>16929123</v>
      </c>
    </row>
    <row r="5640" customHeight="1" spans="1:2">
      <c r="A5640" s="3" t="s">
        <v>24012</v>
      </c>
      <c r="B5640" s="4"/>
    </row>
    <row r="5641" customHeight="1" spans="1:2">
      <c r="A5641" s="3" t="s">
        <v>9267</v>
      </c>
      <c r="B5641" s="4">
        <v>30222640</v>
      </c>
    </row>
    <row r="5642" customHeight="1" spans="1:2">
      <c r="A5642" s="3" t="s">
        <v>11995</v>
      </c>
      <c r="B5642" s="4">
        <v>41227069</v>
      </c>
    </row>
    <row r="5643" customHeight="1" spans="1:2">
      <c r="A5643" s="3" t="s">
        <v>20081</v>
      </c>
      <c r="B5643" s="4"/>
    </row>
    <row r="5644" customHeight="1" spans="1:2">
      <c r="A5644" s="3" t="s">
        <v>5282</v>
      </c>
      <c r="B5644" s="4">
        <v>19692608</v>
      </c>
    </row>
    <row r="5645" customHeight="1" spans="1:2">
      <c r="A5645" s="3" t="s">
        <v>23403</v>
      </c>
      <c r="B5645" s="4"/>
    </row>
    <row r="5646" customHeight="1" spans="1:2">
      <c r="A5646" s="3" t="s">
        <v>5679</v>
      </c>
      <c r="B5646" s="4">
        <v>3562749</v>
      </c>
    </row>
    <row r="5647" customHeight="1" spans="1:2">
      <c r="A5647" s="3" t="s">
        <v>21757</v>
      </c>
      <c r="B5647" s="4"/>
    </row>
    <row r="5648" customHeight="1" spans="1:2">
      <c r="A5648" s="3" t="s">
        <v>20273</v>
      </c>
      <c r="B5648" s="4">
        <v>241816</v>
      </c>
    </row>
    <row r="5649" customHeight="1" spans="1:2">
      <c r="A5649" s="3" t="s">
        <v>16768</v>
      </c>
      <c r="B5649" s="4"/>
    </row>
    <row r="5650" customHeight="1" spans="1:2">
      <c r="A5650" s="3" t="s">
        <v>2214</v>
      </c>
      <c r="B5650" s="4">
        <v>82931301</v>
      </c>
    </row>
    <row r="5651" customHeight="1" spans="1:2">
      <c r="A5651" s="3" t="s">
        <v>1785</v>
      </c>
      <c r="B5651" s="4">
        <v>47379090</v>
      </c>
    </row>
    <row r="5652" customHeight="1" spans="1:2">
      <c r="A5652" s="3" t="s">
        <v>23471</v>
      </c>
      <c r="B5652" s="4"/>
    </row>
    <row r="5653" customHeight="1" spans="1:2">
      <c r="A5653" s="3" t="s">
        <v>12733</v>
      </c>
      <c r="B5653" s="4">
        <v>7574066</v>
      </c>
    </row>
    <row r="5654" customHeight="1" spans="1:2">
      <c r="A5654" s="3" t="s">
        <v>17489</v>
      </c>
      <c r="B5654" s="4"/>
    </row>
    <row r="5655" customHeight="1" spans="1:2">
      <c r="A5655" s="3" t="s">
        <v>20180</v>
      </c>
      <c r="B5655" s="4">
        <v>32721635</v>
      </c>
    </row>
    <row r="5656" customHeight="1" spans="1:2">
      <c r="A5656" s="3" t="s">
        <v>1167</v>
      </c>
      <c r="B5656" s="4">
        <v>83077470</v>
      </c>
    </row>
    <row r="5657" customHeight="1" spans="1:2">
      <c r="A5657" s="3" t="s">
        <v>20911</v>
      </c>
      <c r="B5657" s="4"/>
    </row>
    <row r="5658" customHeight="1" spans="1:2">
      <c r="A5658" s="3" t="s">
        <v>1333</v>
      </c>
      <c r="B5658" s="4">
        <v>50016394</v>
      </c>
    </row>
    <row r="5659" customHeight="1" spans="1:2">
      <c r="A5659" s="3" t="s">
        <v>20698</v>
      </c>
      <c r="B5659" s="4"/>
    </row>
    <row r="5660" customHeight="1" spans="1:2">
      <c r="A5660" s="3" t="s">
        <v>5885</v>
      </c>
      <c r="B5660" s="4">
        <v>64172251</v>
      </c>
    </row>
    <row r="5661" customHeight="1" spans="1:2">
      <c r="A5661" s="3" t="s">
        <v>1359</v>
      </c>
      <c r="B5661" s="4">
        <v>31494270</v>
      </c>
    </row>
    <row r="5662" customHeight="1" spans="1:2">
      <c r="A5662" s="3" t="s">
        <v>22413</v>
      </c>
      <c r="B5662" s="4"/>
    </row>
    <row r="5663" customHeight="1" spans="1:2">
      <c r="A5663" s="3" t="s">
        <v>230</v>
      </c>
      <c r="B5663" s="4">
        <v>113745408</v>
      </c>
    </row>
    <row r="5664" customHeight="1" spans="1:2">
      <c r="A5664" s="3" t="s">
        <v>317</v>
      </c>
      <c r="B5664" s="4">
        <v>127490802</v>
      </c>
    </row>
    <row r="5665" customHeight="1" spans="1:2">
      <c r="A5665" s="3" t="s">
        <v>18125</v>
      </c>
      <c r="B5665" s="4">
        <v>712294</v>
      </c>
    </row>
    <row r="5666" customHeight="1" spans="1:2">
      <c r="A5666" s="3" t="s">
        <v>22606</v>
      </c>
      <c r="B5666" s="4"/>
    </row>
    <row r="5667" customHeight="1" spans="1:2">
      <c r="A5667" s="3" t="s">
        <v>6882</v>
      </c>
      <c r="B5667" s="4">
        <v>219200000</v>
      </c>
    </row>
    <row r="5668" customHeight="1" spans="1:2">
      <c r="A5668" s="3" t="s">
        <v>16257</v>
      </c>
      <c r="B5668" s="4">
        <v>64359</v>
      </c>
    </row>
    <row r="5669" customHeight="1" spans="1:2">
      <c r="A5669" s="3" t="s">
        <v>12055</v>
      </c>
      <c r="B5669" s="4">
        <v>13103828</v>
      </c>
    </row>
    <row r="5670" customHeight="1" spans="1:2">
      <c r="A5670" s="3" t="s">
        <v>19893</v>
      </c>
      <c r="B5670" s="4"/>
    </row>
    <row r="5671" customHeight="1" spans="1:2">
      <c r="A5671" s="3" t="s">
        <v>14151</v>
      </c>
      <c r="B5671" s="4">
        <v>31501218</v>
      </c>
    </row>
    <row r="5672" customHeight="1" spans="1:2">
      <c r="A5672" s="3" t="s">
        <v>21489</v>
      </c>
      <c r="B5672" s="4"/>
    </row>
    <row r="5673" customHeight="1" spans="1:2">
      <c r="A5673" s="3" t="s">
        <v>23898</v>
      </c>
      <c r="B5673" s="4"/>
    </row>
    <row r="5674" customHeight="1" spans="1:2">
      <c r="A5674" s="3" t="s">
        <v>3485</v>
      </c>
      <c r="B5674" s="4">
        <v>14131298</v>
      </c>
    </row>
    <row r="5675" customHeight="1" spans="1:2">
      <c r="A5675" s="3" t="s">
        <v>8955</v>
      </c>
      <c r="B5675" s="4">
        <v>305070</v>
      </c>
    </row>
    <row r="5676" customHeight="1" spans="1:2">
      <c r="A5676" s="3" t="s">
        <v>7156</v>
      </c>
      <c r="B5676" s="4">
        <v>29247405</v>
      </c>
    </row>
    <row r="5677" customHeight="1" spans="1:2">
      <c r="A5677" s="3" t="s">
        <v>6912</v>
      </c>
      <c r="B5677" s="4">
        <v>26761283</v>
      </c>
    </row>
    <row r="5678" customHeight="1" spans="1:2">
      <c r="A5678" s="3" t="s">
        <v>13631</v>
      </c>
      <c r="B5678" s="4"/>
    </row>
    <row r="5679" customHeight="1" spans="1:2">
      <c r="A5679" s="3" t="s">
        <v>17090</v>
      </c>
      <c r="B5679" s="4">
        <v>100675</v>
      </c>
    </row>
    <row r="5680" customHeight="1" spans="1:2">
      <c r="A5680" s="3" t="s">
        <v>15111</v>
      </c>
      <c r="B5680" s="4">
        <v>27545445</v>
      </c>
    </row>
    <row r="5681" customHeight="1" spans="1:2">
      <c r="A5681" s="3" t="s">
        <v>19270</v>
      </c>
      <c r="B5681" s="4">
        <v>171988</v>
      </c>
    </row>
    <row r="5682" customHeight="1" spans="1:2">
      <c r="A5682" s="3" t="s">
        <v>12354</v>
      </c>
      <c r="B5682" s="4">
        <v>30306281</v>
      </c>
    </row>
    <row r="5683" customHeight="1" spans="1:2">
      <c r="A5683" s="3" t="s">
        <v>14179</v>
      </c>
      <c r="B5683" s="4">
        <v>18642318</v>
      </c>
    </row>
    <row r="5684" customHeight="1" spans="1:2">
      <c r="A5684" s="3" t="s">
        <v>14264</v>
      </c>
      <c r="B5684" s="4">
        <v>8373585</v>
      </c>
    </row>
    <row r="5685" customHeight="1" spans="1:2">
      <c r="A5685" s="3" t="s">
        <v>18384</v>
      </c>
      <c r="B5685" s="4">
        <v>11278</v>
      </c>
    </row>
    <row r="5686" customHeight="1" spans="1:2">
      <c r="A5686" s="3" t="s">
        <v>579</v>
      </c>
      <c r="B5686" s="4">
        <v>149234747</v>
      </c>
    </row>
    <row r="5687" customHeight="1" spans="1:2">
      <c r="A5687" s="3" t="s">
        <v>4411</v>
      </c>
      <c r="B5687" s="4">
        <v>38176892</v>
      </c>
    </row>
    <row r="5688" customHeight="1" spans="1:2">
      <c r="A5688" s="3" t="s">
        <v>19866</v>
      </c>
      <c r="B5688" s="4"/>
    </row>
    <row r="5689" customHeight="1" spans="1:2">
      <c r="A5689" s="3" t="s">
        <v>8290</v>
      </c>
      <c r="B5689" s="4">
        <v>48423368</v>
      </c>
    </row>
    <row r="5690" customHeight="1" spans="1:2">
      <c r="A5690" s="3" t="s">
        <v>12598</v>
      </c>
      <c r="B5690" s="4">
        <v>8111360</v>
      </c>
    </row>
    <row r="5691" customHeight="1" spans="1:2">
      <c r="A5691" s="3" t="s">
        <v>1445</v>
      </c>
      <c r="B5691" s="4">
        <v>53215979</v>
      </c>
    </row>
    <row r="5692" customHeight="1" spans="1:2">
      <c r="A5692" s="3" t="s">
        <v>9840</v>
      </c>
      <c r="B5692" s="4">
        <v>37623143</v>
      </c>
    </row>
    <row r="5693" customHeight="1" spans="1:2">
      <c r="A5693" s="3" t="s">
        <v>13890</v>
      </c>
      <c r="B5693" s="4"/>
    </row>
    <row r="5694" customHeight="1" spans="1:2">
      <c r="A5694" s="3" t="s">
        <v>22401</v>
      </c>
      <c r="B5694" s="4"/>
    </row>
    <row r="5695" customHeight="1" spans="1:2">
      <c r="A5695" s="3" t="s">
        <v>10724</v>
      </c>
      <c r="B5695" s="4"/>
    </row>
    <row r="5696" customHeight="1" spans="1:2">
      <c r="A5696" s="3" t="s">
        <v>18885</v>
      </c>
      <c r="B5696" s="4"/>
    </row>
    <row r="5697" customHeight="1" spans="1:2">
      <c r="A5697" s="3" t="s">
        <v>9729</v>
      </c>
      <c r="B5697" s="4">
        <v>106869</v>
      </c>
    </row>
    <row r="5698" customHeight="1" spans="1:2">
      <c r="A5698" s="3" t="s">
        <v>4010</v>
      </c>
      <c r="B5698" s="4">
        <v>57750000</v>
      </c>
    </row>
    <row r="5699" customHeight="1" spans="1:2">
      <c r="A5699" s="3" t="s">
        <v>4183</v>
      </c>
      <c r="B5699" s="4">
        <v>93952276</v>
      </c>
    </row>
    <row r="5700" customHeight="1" spans="1:2">
      <c r="A5700" s="3" t="s">
        <v>3453</v>
      </c>
      <c r="B5700" s="4">
        <v>24006726</v>
      </c>
    </row>
    <row r="5701" customHeight="1" spans="1:2">
      <c r="A5701" s="3" t="s">
        <v>24086</v>
      </c>
      <c r="B5701" s="4"/>
    </row>
    <row r="5702" customHeight="1" spans="1:2">
      <c r="A5702" s="3" t="s">
        <v>14464</v>
      </c>
      <c r="B5702" s="4">
        <v>6857096</v>
      </c>
    </row>
    <row r="5703" customHeight="1" spans="1:2">
      <c r="A5703" s="3" t="s">
        <v>7446</v>
      </c>
      <c r="B5703" s="4"/>
    </row>
    <row r="5704" customHeight="1" spans="1:2">
      <c r="A5704" s="3" t="s">
        <v>9095</v>
      </c>
      <c r="B5704" s="4">
        <v>21483154</v>
      </c>
    </row>
    <row r="5705" customHeight="1" spans="1:2">
      <c r="A5705" s="3" t="s">
        <v>20281</v>
      </c>
      <c r="B5705" s="4">
        <v>277233</v>
      </c>
    </row>
    <row r="5706" customHeight="1" spans="1:2">
      <c r="A5706" s="3" t="s">
        <v>7188</v>
      </c>
      <c r="B5706" s="4">
        <v>21554585</v>
      </c>
    </row>
    <row r="5707" customHeight="1" spans="1:2">
      <c r="A5707" s="3" t="s">
        <v>11207</v>
      </c>
      <c r="B5707" s="4">
        <v>38176108</v>
      </c>
    </row>
    <row r="5708" customHeight="1" spans="1:2">
      <c r="A5708" s="3" t="s">
        <v>5286</v>
      </c>
      <c r="B5708" s="4">
        <v>19294901</v>
      </c>
    </row>
    <row r="5709" customHeight="1" spans="1:2">
      <c r="A5709" s="3" t="s">
        <v>14764</v>
      </c>
      <c r="B5709" s="4">
        <v>3029081</v>
      </c>
    </row>
    <row r="5710" customHeight="1" spans="1:2">
      <c r="A5710" s="3" t="s">
        <v>1107</v>
      </c>
      <c r="B5710" s="4">
        <v>226138454</v>
      </c>
    </row>
    <row r="5711" customHeight="1" spans="1:2">
      <c r="A5711" s="3" t="s">
        <v>4468</v>
      </c>
      <c r="B5711" s="4">
        <v>29374178</v>
      </c>
    </row>
    <row r="5712" customHeight="1" spans="1:2">
      <c r="A5712" s="3" t="s">
        <v>22812</v>
      </c>
      <c r="B5712" s="4"/>
    </row>
    <row r="5713" customHeight="1" spans="1:2">
      <c r="A5713" s="3" t="s">
        <v>22223</v>
      </c>
      <c r="B5713" s="4"/>
    </row>
    <row r="5714" customHeight="1" spans="1:2">
      <c r="A5714" s="3" t="s">
        <v>2463</v>
      </c>
      <c r="B5714" s="4">
        <v>90341670</v>
      </c>
    </row>
    <row r="5715" customHeight="1" spans="1:2">
      <c r="A5715" s="3" t="s">
        <v>2343</v>
      </c>
      <c r="B5715" s="4">
        <v>58255287</v>
      </c>
    </row>
    <row r="5716" customHeight="1" spans="1:2">
      <c r="A5716" s="3" t="s">
        <v>16989</v>
      </c>
      <c r="B5716" s="4"/>
    </row>
    <row r="5717" customHeight="1" spans="1:2">
      <c r="A5717" s="3" t="s">
        <v>2497</v>
      </c>
      <c r="B5717" s="4">
        <v>59035104</v>
      </c>
    </row>
    <row r="5718" customHeight="1" spans="1:2">
      <c r="A5718" s="3" t="s">
        <v>20525</v>
      </c>
      <c r="B5718" s="4"/>
    </row>
    <row r="5719" customHeight="1" spans="1:2">
      <c r="A5719" s="3" t="s">
        <v>7061</v>
      </c>
      <c r="B5719" s="4">
        <v>39399750</v>
      </c>
    </row>
    <row r="5720" customHeight="1" spans="1:2">
      <c r="A5720" s="3" t="s">
        <v>14828</v>
      </c>
      <c r="B5720" s="4">
        <v>869325</v>
      </c>
    </row>
    <row r="5721" customHeight="1" spans="1:2">
      <c r="A5721" s="3" t="s">
        <v>9954</v>
      </c>
      <c r="B5721" s="4">
        <v>5900000</v>
      </c>
    </row>
    <row r="5722" customHeight="1" spans="1:2">
      <c r="A5722" s="3" t="s">
        <v>22106</v>
      </c>
      <c r="B5722" s="4"/>
    </row>
    <row r="5723" customHeight="1" spans="1:2">
      <c r="A5723" s="3" t="s">
        <v>16587</v>
      </c>
      <c r="B5723" s="4"/>
    </row>
    <row r="5724" customHeight="1" spans="1:2">
      <c r="A5724" s="3" t="s">
        <v>16047</v>
      </c>
      <c r="B5724" s="4">
        <v>25359200</v>
      </c>
    </row>
    <row r="5725" customHeight="1" spans="1:2">
      <c r="A5725" s="3" t="s">
        <v>19640</v>
      </c>
      <c r="B5725" s="4"/>
    </row>
    <row r="5726" customHeight="1" spans="1:2">
      <c r="A5726" s="3" t="s">
        <v>23583</v>
      </c>
      <c r="B5726" s="4"/>
    </row>
    <row r="5727" customHeight="1" spans="1:2">
      <c r="A5727" s="3" t="s">
        <v>316</v>
      </c>
      <c r="B5727" s="4">
        <v>144512310</v>
      </c>
    </row>
    <row r="5728" customHeight="1" spans="1:2">
      <c r="A5728" s="3" t="s">
        <v>9022</v>
      </c>
      <c r="B5728" s="4">
        <v>100292856</v>
      </c>
    </row>
    <row r="5729" customHeight="1" spans="1:2">
      <c r="A5729" s="3" t="s">
        <v>19929</v>
      </c>
      <c r="B5729" s="4">
        <v>4505922</v>
      </c>
    </row>
    <row r="5730" customHeight="1" spans="1:2">
      <c r="A5730" s="3" t="s">
        <v>9020</v>
      </c>
      <c r="B5730" s="4">
        <v>476270</v>
      </c>
    </row>
    <row r="5731" customHeight="1" spans="1:2">
      <c r="A5731" s="3" t="s">
        <v>13762</v>
      </c>
      <c r="B5731" s="4">
        <v>3442820</v>
      </c>
    </row>
    <row r="5732" customHeight="1" spans="1:2">
      <c r="A5732" s="3" t="s">
        <v>4744</v>
      </c>
      <c r="B5732" s="4">
        <v>71038190</v>
      </c>
    </row>
    <row r="5733" customHeight="1" spans="1:2">
      <c r="A5733" s="3" t="s">
        <v>16678</v>
      </c>
      <c r="B5733" s="4">
        <v>141600000</v>
      </c>
    </row>
    <row r="5734" customHeight="1" spans="1:2">
      <c r="A5734" s="3" t="s">
        <v>8621</v>
      </c>
      <c r="B5734" s="4">
        <v>16248701</v>
      </c>
    </row>
    <row r="5735" customHeight="1" spans="1:2">
      <c r="A5735" s="3" t="s">
        <v>11636</v>
      </c>
      <c r="B5735" s="4"/>
    </row>
    <row r="5736" customHeight="1" spans="1:2">
      <c r="A5736" s="3" t="s">
        <v>17511</v>
      </c>
      <c r="B5736" s="4"/>
    </row>
    <row r="5737" customHeight="1" spans="1:2">
      <c r="A5737" s="3" t="s">
        <v>10642</v>
      </c>
      <c r="B5737" s="4">
        <v>3247816</v>
      </c>
    </row>
    <row r="5738" customHeight="1" spans="1:2">
      <c r="A5738" s="3" t="s">
        <v>1748</v>
      </c>
      <c r="B5738" s="4">
        <v>77032279</v>
      </c>
    </row>
    <row r="5739" customHeight="1" spans="1:2">
      <c r="A5739" s="3" t="s">
        <v>22731</v>
      </c>
      <c r="B5739" s="4"/>
    </row>
    <row r="5740" customHeight="1" spans="1:2">
      <c r="A5740" s="3" t="s">
        <v>19680</v>
      </c>
      <c r="B5740" s="4">
        <v>47000000</v>
      </c>
    </row>
    <row r="5741" customHeight="1" spans="1:2">
      <c r="A5741" s="3" t="s">
        <v>22537</v>
      </c>
      <c r="B5741" s="4"/>
    </row>
    <row r="5742" customHeight="1" spans="1:2">
      <c r="A5742" s="3" t="s">
        <v>22848</v>
      </c>
      <c r="B5742" s="4"/>
    </row>
    <row r="5743" customHeight="1" spans="1:2">
      <c r="A5743" s="3" t="s">
        <v>6352</v>
      </c>
      <c r="B5743" s="4"/>
    </row>
    <row r="5744" customHeight="1" spans="1:2">
      <c r="A5744" s="3" t="s">
        <v>19674</v>
      </c>
      <c r="B5744" s="4">
        <v>84689</v>
      </c>
    </row>
    <row r="5745" customHeight="1" spans="1:2">
      <c r="A5745" s="3" t="s">
        <v>4523</v>
      </c>
      <c r="B5745" s="4">
        <v>15962471</v>
      </c>
    </row>
    <row r="5746" customHeight="1" spans="1:2">
      <c r="A5746" s="3" t="s">
        <v>7806</v>
      </c>
      <c r="B5746" s="4">
        <v>59696176</v>
      </c>
    </row>
    <row r="5747" customHeight="1" spans="1:2">
      <c r="A5747" s="3" t="s">
        <v>19135</v>
      </c>
      <c r="B5747" s="4">
        <v>4007792</v>
      </c>
    </row>
    <row r="5748" customHeight="1" spans="1:2">
      <c r="A5748" s="3" t="s">
        <v>23257</v>
      </c>
      <c r="B5748" s="4"/>
    </row>
    <row r="5749" customHeight="1" spans="1:2">
      <c r="A5749" s="3" t="s">
        <v>15435</v>
      </c>
      <c r="B5749" s="4">
        <v>27285953</v>
      </c>
    </row>
    <row r="5750" customHeight="1" spans="1:2">
      <c r="A5750" s="3" t="s">
        <v>12754</v>
      </c>
      <c r="B5750" s="4">
        <v>1631839</v>
      </c>
    </row>
    <row r="5751" customHeight="1" spans="1:2">
      <c r="A5751" s="3" t="s">
        <v>16258</v>
      </c>
      <c r="B5751" s="4">
        <v>317125</v>
      </c>
    </row>
    <row r="5752" customHeight="1" spans="1:2">
      <c r="A5752" s="3" t="s">
        <v>14465</v>
      </c>
      <c r="B5752" s="4">
        <v>223878</v>
      </c>
    </row>
    <row r="5753" customHeight="1" spans="1:2">
      <c r="A5753" s="3" t="s">
        <v>8604</v>
      </c>
      <c r="B5753" s="4">
        <v>17518220</v>
      </c>
    </row>
    <row r="5754" customHeight="1" spans="1:2">
      <c r="A5754" s="3" t="s">
        <v>1418</v>
      </c>
      <c r="B5754" s="4">
        <v>162831698</v>
      </c>
    </row>
    <row r="5755" customHeight="1" spans="1:2">
      <c r="A5755" s="3" t="s">
        <v>23401</v>
      </c>
      <c r="B5755" s="4"/>
    </row>
    <row r="5756" customHeight="1" spans="1:2">
      <c r="A5756" s="3" t="s">
        <v>13002</v>
      </c>
      <c r="B5756" s="4"/>
    </row>
    <row r="5757" customHeight="1" spans="1:2">
      <c r="A5757" s="3" t="s">
        <v>10844</v>
      </c>
      <c r="B5757" s="4">
        <v>51527787</v>
      </c>
    </row>
    <row r="5758" customHeight="1" spans="1:2">
      <c r="A5758" s="3" t="s">
        <v>18531</v>
      </c>
      <c r="B5758" s="4"/>
    </row>
    <row r="5759" customHeight="1" spans="1:2">
      <c r="A5759" s="3" t="s">
        <v>1539</v>
      </c>
      <c r="B5759" s="4">
        <v>73215310</v>
      </c>
    </row>
    <row r="5760" customHeight="1" spans="1:2">
      <c r="A5760" s="3" t="s">
        <v>12152</v>
      </c>
      <c r="B5760" s="4">
        <v>23838</v>
      </c>
    </row>
    <row r="5761" customHeight="1" spans="1:2">
      <c r="A5761" s="3" t="s">
        <v>10150</v>
      </c>
      <c r="B5761" s="4">
        <v>47000000</v>
      </c>
    </row>
    <row r="5762" customHeight="1" spans="1:2">
      <c r="A5762" s="3" t="s">
        <v>10207</v>
      </c>
      <c r="B5762" s="4"/>
    </row>
    <row r="5763" customHeight="1" spans="1:2">
      <c r="A5763" s="3" t="s">
        <v>20965</v>
      </c>
      <c r="B5763" s="4"/>
    </row>
    <row r="5764" customHeight="1" spans="1:2">
      <c r="A5764" s="3" t="s">
        <v>23042</v>
      </c>
      <c r="B5764" s="4"/>
    </row>
    <row r="5765" customHeight="1" spans="1:2">
      <c r="A5765" s="3" t="s">
        <v>23114</v>
      </c>
      <c r="B5765" s="4"/>
    </row>
    <row r="5766" customHeight="1" spans="1:2">
      <c r="A5766" s="3" t="s">
        <v>19092</v>
      </c>
      <c r="B5766" s="4"/>
    </row>
    <row r="5767" customHeight="1" spans="1:2">
      <c r="A5767" s="3" t="s">
        <v>23941</v>
      </c>
      <c r="B5767" s="4"/>
    </row>
    <row r="5768" customHeight="1" spans="1:2">
      <c r="A5768" s="3" t="s">
        <v>6256</v>
      </c>
      <c r="B5768" s="4">
        <v>10965209</v>
      </c>
    </row>
    <row r="5769" customHeight="1" spans="1:2">
      <c r="A5769" s="3" t="s">
        <v>6623</v>
      </c>
      <c r="B5769" s="4">
        <v>74888996</v>
      </c>
    </row>
    <row r="5770" customHeight="1" spans="1:2">
      <c r="A5770" s="3" t="s">
        <v>13865</v>
      </c>
      <c r="B5770" s="4">
        <v>53481</v>
      </c>
    </row>
    <row r="5771" customHeight="1" spans="1:2">
      <c r="A5771" s="3" t="s">
        <v>4600</v>
      </c>
      <c r="B5771" s="4">
        <v>10431220</v>
      </c>
    </row>
    <row r="5772" customHeight="1" spans="1:2">
      <c r="A5772" s="3" t="s">
        <v>209</v>
      </c>
      <c r="B5772" s="4">
        <v>124051759</v>
      </c>
    </row>
    <row r="5773" customHeight="1" spans="1:2">
      <c r="A5773" s="3" t="s">
        <v>10955</v>
      </c>
      <c r="B5773" s="4">
        <v>12550242</v>
      </c>
    </row>
    <row r="5774" customHeight="1" spans="1:2">
      <c r="A5774" s="3" t="s">
        <v>5043</v>
      </c>
      <c r="B5774" s="4">
        <v>60054449</v>
      </c>
    </row>
    <row r="5775" customHeight="1" spans="1:2">
      <c r="A5775" s="3" t="s">
        <v>4690</v>
      </c>
      <c r="B5775" s="4">
        <v>5881504</v>
      </c>
    </row>
    <row r="5776" customHeight="1" spans="1:2">
      <c r="A5776" s="3" t="s">
        <v>1967</v>
      </c>
      <c r="B5776" s="4">
        <v>100614858</v>
      </c>
    </row>
    <row r="5777" customHeight="1" spans="1:2">
      <c r="A5777" s="3" t="s">
        <v>18794</v>
      </c>
      <c r="B5777" s="4">
        <v>96734</v>
      </c>
    </row>
    <row r="5778" customHeight="1" spans="1:2">
      <c r="A5778" s="3" t="s">
        <v>608</v>
      </c>
      <c r="B5778" s="4">
        <v>317557891</v>
      </c>
    </row>
    <row r="5779" customHeight="1" spans="1:2">
      <c r="A5779" s="3" t="s">
        <v>13200</v>
      </c>
      <c r="B5779" s="4">
        <v>3047539</v>
      </c>
    </row>
    <row r="5780" customHeight="1" spans="1:2">
      <c r="A5780" s="3" t="s">
        <v>15774</v>
      </c>
      <c r="B5780" s="4">
        <v>1340891</v>
      </c>
    </row>
    <row r="5781" customHeight="1" spans="1:2">
      <c r="A5781" s="3" t="s">
        <v>21808</v>
      </c>
      <c r="B5781" s="4"/>
    </row>
    <row r="5782" customHeight="1" spans="1:2">
      <c r="A5782" s="3" t="s">
        <v>1735</v>
      </c>
      <c r="B5782" s="4">
        <v>118823091</v>
      </c>
    </row>
    <row r="5783" customHeight="1" spans="1:2">
      <c r="A5783" s="3" t="s">
        <v>7787</v>
      </c>
      <c r="B5783" s="4">
        <v>55762229</v>
      </c>
    </row>
    <row r="5784" customHeight="1" spans="1:2">
      <c r="A5784" s="3" t="s">
        <v>3944</v>
      </c>
      <c r="B5784" s="4">
        <v>53300852</v>
      </c>
    </row>
    <row r="5785" customHeight="1" spans="1:2">
      <c r="A5785" s="3" t="s">
        <v>22510</v>
      </c>
      <c r="B5785" s="4"/>
    </row>
    <row r="5786" customHeight="1" spans="1:2">
      <c r="A5786" s="3" t="s">
        <v>11186</v>
      </c>
      <c r="B5786" s="4">
        <v>46729374</v>
      </c>
    </row>
    <row r="5787" customHeight="1" spans="1:2">
      <c r="A5787" s="3" t="s">
        <v>20022</v>
      </c>
      <c r="B5787" s="4"/>
    </row>
    <row r="5788" customHeight="1" spans="1:2">
      <c r="A5788" s="3" t="s">
        <v>10969</v>
      </c>
      <c r="B5788" s="4">
        <v>9402410</v>
      </c>
    </row>
    <row r="5789" customHeight="1" spans="1:2">
      <c r="A5789" s="3" t="s">
        <v>18701</v>
      </c>
      <c r="B5789" s="4">
        <v>1277257</v>
      </c>
    </row>
    <row r="5790" customHeight="1" spans="1:2">
      <c r="A5790" s="3" t="s">
        <v>8472</v>
      </c>
      <c r="B5790" s="4">
        <v>29975979</v>
      </c>
    </row>
    <row r="5791" customHeight="1" spans="1:2">
      <c r="A5791" s="3" t="s">
        <v>21943</v>
      </c>
      <c r="B5791" s="4"/>
    </row>
    <row r="5792" customHeight="1" spans="1:2">
      <c r="A5792" s="3" t="s">
        <v>23290</v>
      </c>
      <c r="B5792" s="4"/>
    </row>
    <row r="5793" customHeight="1" spans="1:2">
      <c r="A5793" s="3" t="s">
        <v>1502</v>
      </c>
      <c r="B5793" s="4">
        <v>94822707</v>
      </c>
    </row>
    <row r="5794" customHeight="1" spans="1:2">
      <c r="A5794" s="3" t="s">
        <v>21202</v>
      </c>
      <c r="B5794" s="4"/>
    </row>
    <row r="5795" customHeight="1" spans="1:2">
      <c r="A5795" s="3" t="s">
        <v>3315</v>
      </c>
      <c r="B5795" s="4">
        <v>48154732</v>
      </c>
    </row>
    <row r="5796" customHeight="1" spans="1:2">
      <c r="A5796" s="3" t="s">
        <v>5357</v>
      </c>
      <c r="B5796" s="4">
        <v>10137502</v>
      </c>
    </row>
    <row r="5797" customHeight="1" spans="1:2">
      <c r="A5797" s="3" t="s">
        <v>15212</v>
      </c>
      <c r="B5797" s="4">
        <v>87025093</v>
      </c>
    </row>
    <row r="5798" customHeight="1" spans="1:2">
      <c r="A5798" s="3" t="s">
        <v>23787</v>
      </c>
      <c r="B5798" s="4"/>
    </row>
    <row r="5799" customHeight="1" spans="1:2">
      <c r="A5799" s="3" t="s">
        <v>6820</v>
      </c>
      <c r="B5799" s="4">
        <v>36985501</v>
      </c>
    </row>
    <row r="5800" customHeight="1" spans="1:2">
      <c r="A5800" s="3" t="s">
        <v>1578</v>
      </c>
      <c r="B5800" s="4">
        <v>39442871</v>
      </c>
    </row>
    <row r="5801" customHeight="1" spans="1:2">
      <c r="A5801" s="3" t="s">
        <v>19498</v>
      </c>
      <c r="B5801" s="4"/>
    </row>
    <row r="5802" customHeight="1" spans="1:2">
      <c r="A5802" s="3" t="s">
        <v>1504</v>
      </c>
      <c r="B5802" s="4">
        <v>91188905</v>
      </c>
    </row>
    <row r="5803" customHeight="1" spans="1:2">
      <c r="A5803" s="3" t="s">
        <v>291</v>
      </c>
      <c r="B5803" s="4">
        <v>665426</v>
      </c>
    </row>
    <row r="5804" customHeight="1" spans="1:2">
      <c r="A5804" s="3" t="s">
        <v>5345</v>
      </c>
      <c r="B5804" s="4">
        <v>10076136</v>
      </c>
    </row>
    <row r="5805" customHeight="1" spans="1:2">
      <c r="A5805" s="3" t="s">
        <v>3225</v>
      </c>
      <c r="B5805" s="4">
        <v>88504640</v>
      </c>
    </row>
    <row r="5806" customHeight="1" spans="1:2">
      <c r="A5806" s="3" t="s">
        <v>5993</v>
      </c>
      <c r="B5806" s="4">
        <v>42057340</v>
      </c>
    </row>
    <row r="5807" customHeight="1" spans="1:2">
      <c r="A5807" s="3" t="s">
        <v>2940</v>
      </c>
      <c r="B5807" s="4">
        <v>33472850</v>
      </c>
    </row>
    <row r="5808" customHeight="1" spans="1:2">
      <c r="A5808" s="3" t="s">
        <v>22771</v>
      </c>
      <c r="B5808" s="4"/>
    </row>
    <row r="5809" customHeight="1" spans="1:2">
      <c r="A5809" s="3" t="s">
        <v>20500</v>
      </c>
      <c r="B5809" s="4"/>
    </row>
    <row r="5810" customHeight="1" spans="1:2">
      <c r="A5810" s="3" t="s">
        <v>9159</v>
      </c>
      <c r="B5810" s="4">
        <v>119938730</v>
      </c>
    </row>
    <row r="5811" customHeight="1" spans="1:2">
      <c r="A5811" s="3" t="s">
        <v>17929</v>
      </c>
      <c r="B5811" s="4">
        <v>12784397</v>
      </c>
    </row>
    <row r="5812" customHeight="1" spans="1:2">
      <c r="A5812" s="3" t="s">
        <v>17881</v>
      </c>
      <c r="B5812" s="4">
        <v>444044</v>
      </c>
    </row>
    <row r="5813" customHeight="1" spans="1:2">
      <c r="A5813" s="3" t="s">
        <v>12341</v>
      </c>
      <c r="B5813" s="4">
        <v>32101000</v>
      </c>
    </row>
    <row r="5814" customHeight="1" spans="1:2">
      <c r="A5814" s="3" t="s">
        <v>11888</v>
      </c>
      <c r="B5814" s="4"/>
    </row>
    <row r="5815" customHeight="1" spans="1:2">
      <c r="A5815" s="3" t="s">
        <v>9824</v>
      </c>
      <c r="B5815" s="4">
        <v>45507053</v>
      </c>
    </row>
    <row r="5816" customHeight="1" spans="1:2">
      <c r="A5816" s="3" t="s">
        <v>3965</v>
      </c>
      <c r="B5816" s="4">
        <v>5773519</v>
      </c>
    </row>
    <row r="5817" customHeight="1" spans="1:2">
      <c r="A5817" s="3" t="s">
        <v>18050</v>
      </c>
      <c r="B5817" s="4"/>
    </row>
    <row r="5818" customHeight="1" spans="1:2">
      <c r="A5818" s="3" t="s">
        <v>21005</v>
      </c>
      <c r="B5818" s="4"/>
    </row>
    <row r="5819" customHeight="1" spans="1:2">
      <c r="A5819" s="3" t="s">
        <v>19107</v>
      </c>
      <c r="B5819" s="4">
        <v>1310270</v>
      </c>
    </row>
    <row r="5820" customHeight="1" spans="1:2">
      <c r="A5820" s="3" t="s">
        <v>14353</v>
      </c>
      <c r="B5820" s="4">
        <v>1768416</v>
      </c>
    </row>
    <row r="5821" customHeight="1" spans="1:2">
      <c r="A5821" s="3" t="s">
        <v>4329</v>
      </c>
      <c r="B5821" s="4">
        <v>50859889</v>
      </c>
    </row>
    <row r="5822" customHeight="1" spans="1:2">
      <c r="A5822" s="3" t="s">
        <v>14980</v>
      </c>
      <c r="B5822" s="4">
        <v>69582</v>
      </c>
    </row>
    <row r="5823" customHeight="1" spans="1:2">
      <c r="A5823" s="3" t="s">
        <v>4801</v>
      </c>
      <c r="B5823" s="4">
        <v>6482195</v>
      </c>
    </row>
    <row r="5824" customHeight="1" spans="1:2">
      <c r="A5824" s="3" t="s">
        <v>16038</v>
      </c>
      <c r="B5824" s="4"/>
    </row>
    <row r="5825" customHeight="1" spans="1:2">
      <c r="A5825" s="3" t="s">
        <v>22620</v>
      </c>
      <c r="B5825" s="4"/>
    </row>
    <row r="5826" customHeight="1" spans="1:2">
      <c r="A5826" s="3" t="s">
        <v>14861</v>
      </c>
      <c r="B5826" s="4">
        <v>36497</v>
      </c>
    </row>
    <row r="5827" customHeight="1" spans="1:2">
      <c r="A5827" s="3" t="s">
        <v>12307</v>
      </c>
      <c r="B5827" s="4">
        <v>16800000</v>
      </c>
    </row>
    <row r="5828" customHeight="1" spans="1:2">
      <c r="A5828" s="3" t="s">
        <v>8398</v>
      </c>
      <c r="B5828" s="4">
        <v>31838002</v>
      </c>
    </row>
    <row r="5829" customHeight="1" spans="1:2">
      <c r="A5829" s="3" t="s">
        <v>2833</v>
      </c>
      <c r="B5829" s="4">
        <v>134218018</v>
      </c>
    </row>
    <row r="5830" customHeight="1" spans="1:2">
      <c r="A5830" s="3" t="s">
        <v>24006</v>
      </c>
      <c r="B5830" s="4"/>
    </row>
    <row r="5831" customHeight="1" spans="1:2">
      <c r="A5831" s="3" t="s">
        <v>7730</v>
      </c>
      <c r="B5831" s="4">
        <v>6777589</v>
      </c>
    </row>
    <row r="5832" customHeight="1" spans="1:2">
      <c r="A5832" s="3" t="s">
        <v>1707</v>
      </c>
      <c r="B5832" s="4">
        <v>368049635</v>
      </c>
    </row>
    <row r="5833" customHeight="1" spans="1:2">
      <c r="A5833" s="3" t="s">
        <v>10996</v>
      </c>
      <c r="B5833" s="4">
        <v>5108820</v>
      </c>
    </row>
    <row r="5834" customHeight="1" spans="1:2">
      <c r="A5834" s="3" t="s">
        <v>15167</v>
      </c>
      <c r="B5834" s="4">
        <v>18434</v>
      </c>
    </row>
    <row r="5835" customHeight="1" spans="1:2">
      <c r="A5835" s="3" t="s">
        <v>1212</v>
      </c>
      <c r="B5835" s="4">
        <v>143618384</v>
      </c>
    </row>
    <row r="5836" customHeight="1" spans="1:2">
      <c r="A5836" s="3" t="s">
        <v>8692</v>
      </c>
      <c r="B5836" s="4">
        <v>13383737</v>
      </c>
    </row>
    <row r="5837" customHeight="1" spans="1:2">
      <c r="A5837" s="3" t="s">
        <v>964</v>
      </c>
      <c r="B5837" s="4">
        <v>55673333</v>
      </c>
    </row>
    <row r="5838" customHeight="1" spans="1:2">
      <c r="A5838" s="3" t="s">
        <v>2044</v>
      </c>
      <c r="B5838" s="4">
        <v>33105600</v>
      </c>
    </row>
    <row r="5839" customHeight="1" spans="1:2">
      <c r="A5839" s="3" t="s">
        <v>9298</v>
      </c>
      <c r="B5839" s="4">
        <v>26400000</v>
      </c>
    </row>
    <row r="5840" customHeight="1" spans="1:2">
      <c r="A5840" s="3" t="s">
        <v>13535</v>
      </c>
      <c r="B5840" s="4">
        <v>1829142</v>
      </c>
    </row>
    <row r="5841" customHeight="1" spans="1:2">
      <c r="A5841" s="3" t="s">
        <v>23019</v>
      </c>
      <c r="B5841" s="4"/>
    </row>
    <row r="5842" customHeight="1" spans="1:2">
      <c r="A5842" s="3" t="s">
        <v>13510</v>
      </c>
      <c r="B5842" s="4"/>
    </row>
    <row r="5843" customHeight="1" spans="1:2">
      <c r="A5843" s="3" t="s">
        <v>4869</v>
      </c>
      <c r="B5843" s="4">
        <v>150368971</v>
      </c>
    </row>
    <row r="5844" customHeight="1" spans="1:2">
      <c r="A5844" s="3" t="s">
        <v>3406</v>
      </c>
      <c r="B5844" s="4">
        <v>33643461</v>
      </c>
    </row>
    <row r="5845" customHeight="1" spans="1:2">
      <c r="A5845" s="3" t="s">
        <v>16335</v>
      </c>
      <c r="B5845" s="4">
        <v>14873</v>
      </c>
    </row>
    <row r="5846" customHeight="1" spans="1:2">
      <c r="A5846" s="3" t="s">
        <v>4858</v>
      </c>
      <c r="B5846" s="4">
        <v>72279690</v>
      </c>
    </row>
    <row r="5847" customHeight="1" spans="1:2">
      <c r="A5847" s="3" t="s">
        <v>17169</v>
      </c>
      <c r="B5847" s="4"/>
    </row>
    <row r="5848" customHeight="1" spans="1:2">
      <c r="A5848" s="3" t="s">
        <v>5994</v>
      </c>
      <c r="B5848" s="4">
        <v>42478175</v>
      </c>
    </row>
    <row r="5849" customHeight="1" spans="1:2">
      <c r="A5849" s="3" t="s">
        <v>9917</v>
      </c>
      <c r="B5849" s="4">
        <v>13998282</v>
      </c>
    </row>
    <row r="5850" customHeight="1" spans="1:2">
      <c r="A5850" s="3" t="s">
        <v>23792</v>
      </c>
      <c r="B5850" s="4"/>
    </row>
    <row r="5851" customHeight="1" spans="1:2">
      <c r="A5851" s="3" t="s">
        <v>1736</v>
      </c>
      <c r="B5851" s="4">
        <v>41814863</v>
      </c>
    </row>
    <row r="5852" customHeight="1" spans="1:2">
      <c r="A5852" s="3" t="s">
        <v>17050</v>
      </c>
      <c r="B5852" s="4"/>
    </row>
    <row r="5853" customHeight="1" spans="1:2">
      <c r="A5853" s="3" t="s">
        <v>4834</v>
      </c>
      <c r="B5853" s="4">
        <v>48006503</v>
      </c>
    </row>
    <row r="5854" customHeight="1" spans="1:2">
      <c r="A5854" s="3" t="s">
        <v>5818</v>
      </c>
      <c r="B5854" s="4">
        <v>85416609</v>
      </c>
    </row>
    <row r="5855" customHeight="1" spans="1:2">
      <c r="A5855" s="3" t="s">
        <v>11021</v>
      </c>
      <c r="B5855" s="4">
        <v>2656324</v>
      </c>
    </row>
    <row r="5856" customHeight="1" spans="1:2">
      <c r="A5856" s="3" t="s">
        <v>10298</v>
      </c>
      <c r="B5856" s="4">
        <v>30857814</v>
      </c>
    </row>
    <row r="5857" customHeight="1" spans="1:2">
      <c r="A5857" s="3" t="s">
        <v>17638</v>
      </c>
      <c r="B5857" s="4">
        <v>444354</v>
      </c>
    </row>
    <row r="5858" customHeight="1" spans="1:2">
      <c r="A5858" s="3" t="s">
        <v>2705</v>
      </c>
      <c r="B5858" s="4">
        <v>31165421</v>
      </c>
    </row>
    <row r="5859" customHeight="1" spans="1:2">
      <c r="A5859" s="3" t="s">
        <v>11489</v>
      </c>
      <c r="B5859" s="4">
        <v>48092846</v>
      </c>
    </row>
    <row r="5860" customHeight="1" spans="1:2">
      <c r="A5860" s="3" t="s">
        <v>523</v>
      </c>
      <c r="B5860" s="4">
        <v>292298923</v>
      </c>
    </row>
    <row r="5861" customHeight="1" spans="1:2">
      <c r="A5861" s="3" t="s">
        <v>14716</v>
      </c>
      <c r="B5861" s="4">
        <v>7518876</v>
      </c>
    </row>
    <row r="5862" customHeight="1" spans="1:2">
      <c r="A5862" s="3" t="s">
        <v>4959</v>
      </c>
      <c r="B5862" s="4">
        <v>205399422</v>
      </c>
    </row>
    <row r="5863" customHeight="1" spans="1:2">
      <c r="A5863" s="3" t="s">
        <v>22990</v>
      </c>
      <c r="B5863" s="4"/>
    </row>
    <row r="5864" customHeight="1" spans="1:2">
      <c r="A5864" s="3" t="s">
        <v>19745</v>
      </c>
      <c r="B5864" s="4"/>
    </row>
    <row r="5865" customHeight="1" spans="1:2">
      <c r="A5865" s="3" t="s">
        <v>932</v>
      </c>
      <c r="B5865" s="4">
        <v>34964818</v>
      </c>
    </row>
    <row r="5866" customHeight="1" spans="1:2">
      <c r="A5866" s="3" t="s">
        <v>3840</v>
      </c>
      <c r="B5866" s="4">
        <v>24343673</v>
      </c>
    </row>
    <row r="5867" customHeight="1" spans="1:2">
      <c r="A5867" s="3" t="s">
        <v>8152</v>
      </c>
      <c r="B5867" s="4">
        <v>242374454</v>
      </c>
    </row>
    <row r="5868" customHeight="1" spans="1:2">
      <c r="A5868" s="3" t="s">
        <v>21787</v>
      </c>
      <c r="B5868" s="4"/>
    </row>
    <row r="5869" customHeight="1" spans="1:2">
      <c r="A5869" s="3" t="s">
        <v>322</v>
      </c>
      <c r="B5869" s="4">
        <v>146405371</v>
      </c>
    </row>
    <row r="5870" customHeight="1" spans="1:2">
      <c r="A5870" s="3" t="s">
        <v>61</v>
      </c>
      <c r="B5870" s="4">
        <v>301956980</v>
      </c>
    </row>
    <row r="5871" customHeight="1" spans="1:2">
      <c r="A5871" s="3" t="s">
        <v>11123</v>
      </c>
      <c r="B5871" s="4"/>
    </row>
    <row r="5872" customHeight="1" spans="1:2">
      <c r="A5872" s="3" t="s">
        <v>14243</v>
      </c>
      <c r="B5872" s="4"/>
    </row>
    <row r="5873" customHeight="1" spans="1:2">
      <c r="A5873" s="3" t="s">
        <v>2508</v>
      </c>
      <c r="B5873" s="4">
        <v>53789313</v>
      </c>
    </row>
    <row r="5874" customHeight="1" spans="1:2">
      <c r="A5874" s="3" t="s">
        <v>8443</v>
      </c>
      <c r="B5874" s="4">
        <v>26876529</v>
      </c>
    </row>
    <row r="5875" customHeight="1" spans="1:2">
      <c r="A5875" s="3" t="s">
        <v>432</v>
      </c>
      <c r="B5875" s="4">
        <v>111505642</v>
      </c>
    </row>
    <row r="5876" customHeight="1" spans="1:2">
      <c r="A5876" s="3" t="s">
        <v>2409</v>
      </c>
      <c r="B5876" s="4">
        <v>101217900</v>
      </c>
    </row>
    <row r="5877" customHeight="1" spans="1:2">
      <c r="A5877" s="3" t="s">
        <v>3105</v>
      </c>
      <c r="B5877" s="4">
        <v>37035845</v>
      </c>
    </row>
    <row r="5878" customHeight="1" spans="1:2">
      <c r="A5878" s="3" t="s">
        <v>2879</v>
      </c>
      <c r="B5878" s="4"/>
    </row>
    <row r="5879" customHeight="1" spans="1:2">
      <c r="A5879" s="3" t="s">
        <v>2203</v>
      </c>
      <c r="B5879" s="4">
        <v>93771072</v>
      </c>
    </row>
    <row r="5880" customHeight="1" spans="1:2">
      <c r="A5880" s="3" t="s">
        <v>22709</v>
      </c>
      <c r="B5880" s="4"/>
    </row>
    <row r="5881" customHeight="1" spans="1:2">
      <c r="A5881" s="3" t="s">
        <v>5512</v>
      </c>
      <c r="B5881" s="4">
        <v>4091</v>
      </c>
    </row>
    <row r="5882" customHeight="1" spans="1:2">
      <c r="A5882" s="3" t="s">
        <v>6557</v>
      </c>
      <c r="B5882" s="4">
        <v>8119205</v>
      </c>
    </row>
    <row r="5883" customHeight="1" spans="1:2">
      <c r="A5883" s="3" t="s">
        <v>14929</v>
      </c>
      <c r="B5883" s="4">
        <v>3895664</v>
      </c>
    </row>
    <row r="5884" customHeight="1" spans="1:2">
      <c r="A5884" s="3" t="s">
        <v>4017</v>
      </c>
      <c r="B5884" s="4">
        <v>45290318</v>
      </c>
    </row>
    <row r="5885" customHeight="1" spans="1:2">
      <c r="A5885" s="3" t="s">
        <v>138</v>
      </c>
      <c r="B5885" s="4">
        <v>202853933</v>
      </c>
    </row>
    <row r="5886" customHeight="1" spans="1:2">
      <c r="A5886" s="3" t="s">
        <v>8969</v>
      </c>
      <c r="B5886" s="4">
        <v>121972</v>
      </c>
    </row>
    <row r="5887" customHeight="1" spans="1:2">
      <c r="A5887" s="3" t="s">
        <v>18070</v>
      </c>
      <c r="B5887" s="4"/>
    </row>
    <row r="5888" customHeight="1" spans="1:2">
      <c r="A5888" s="3" t="s">
        <v>12613</v>
      </c>
      <c r="B5888" s="4">
        <v>6619173</v>
      </c>
    </row>
    <row r="5889" customHeight="1" spans="1:2">
      <c r="A5889" s="3" t="s">
        <v>20487</v>
      </c>
      <c r="B5889" s="4"/>
    </row>
    <row r="5890" customHeight="1" spans="1:2">
      <c r="A5890" s="3" t="s">
        <v>22140</v>
      </c>
      <c r="B5890" s="4"/>
    </row>
    <row r="5891" customHeight="1" spans="1:2">
      <c r="A5891" s="3" t="s">
        <v>24000</v>
      </c>
      <c r="B5891" s="4"/>
    </row>
    <row r="5892" customHeight="1" spans="1:2">
      <c r="A5892" s="3" t="s">
        <v>22613</v>
      </c>
      <c r="B5892" s="4"/>
    </row>
    <row r="5893" customHeight="1" spans="1:2">
      <c r="A5893" s="3" t="s">
        <v>22302</v>
      </c>
      <c r="B5893" s="4"/>
    </row>
    <row r="5894" customHeight="1" spans="1:2">
      <c r="A5894" s="3" t="s">
        <v>11434</v>
      </c>
      <c r="B5894" s="4">
        <v>12281500</v>
      </c>
    </row>
    <row r="5895" customHeight="1" spans="1:2">
      <c r="A5895" s="3" t="s">
        <v>14329</v>
      </c>
      <c r="B5895" s="4">
        <v>2062066</v>
      </c>
    </row>
    <row r="5896" customHeight="1" spans="1:2">
      <c r="A5896" s="3" t="s">
        <v>22842</v>
      </c>
      <c r="B5896" s="4"/>
    </row>
    <row r="5897" customHeight="1" spans="1:2">
      <c r="A5897" s="3" t="s">
        <v>3679</v>
      </c>
      <c r="B5897" s="4">
        <v>93607673</v>
      </c>
    </row>
    <row r="5898" customHeight="1" spans="1:2">
      <c r="A5898" s="3" t="s">
        <v>22690</v>
      </c>
      <c r="B5898" s="4"/>
    </row>
    <row r="5899" customHeight="1" spans="1:2">
      <c r="A5899" s="3" t="s">
        <v>17637</v>
      </c>
      <c r="B5899" s="4">
        <v>110000</v>
      </c>
    </row>
    <row r="5900" customHeight="1" spans="1:2">
      <c r="A5900" s="3" t="s">
        <v>6167</v>
      </c>
      <c r="B5900" s="4">
        <v>17100000</v>
      </c>
    </row>
    <row r="5901" customHeight="1" spans="1:2">
      <c r="A5901" s="3" t="s">
        <v>18025</v>
      </c>
      <c r="B5901" s="4">
        <v>1060591</v>
      </c>
    </row>
    <row r="5902" customHeight="1" spans="1:2">
      <c r="A5902" s="3" t="s">
        <v>4978</v>
      </c>
      <c r="B5902" s="4"/>
    </row>
    <row r="5903" customHeight="1" spans="1:2">
      <c r="A5903" s="3" t="s">
        <v>1214</v>
      </c>
      <c r="B5903" s="4">
        <v>47474112</v>
      </c>
    </row>
    <row r="5904" customHeight="1" spans="1:2">
      <c r="A5904" s="3" t="s">
        <v>17398</v>
      </c>
      <c r="B5904" s="4">
        <v>12985267</v>
      </c>
    </row>
    <row r="5905" customHeight="1" spans="1:2">
      <c r="A5905" s="3" t="s">
        <v>16203</v>
      </c>
      <c r="B5905" s="4">
        <v>399793</v>
      </c>
    </row>
    <row r="5906" customHeight="1" spans="1:2">
      <c r="A5906" s="3" t="s">
        <v>22859</v>
      </c>
      <c r="B5906" s="4"/>
    </row>
    <row r="5907" customHeight="1" spans="1:2">
      <c r="A5907" s="3" t="s">
        <v>18421</v>
      </c>
      <c r="B5907" s="4">
        <v>6100000</v>
      </c>
    </row>
    <row r="5908" customHeight="1" spans="1:2">
      <c r="A5908" s="3" t="s">
        <v>1018</v>
      </c>
      <c r="B5908" s="4">
        <v>59475623</v>
      </c>
    </row>
    <row r="5909" customHeight="1" spans="1:2">
      <c r="A5909" s="3" t="s">
        <v>10772</v>
      </c>
      <c r="B5909" s="4"/>
    </row>
    <row r="5910" customHeight="1" spans="1:2">
      <c r="A5910" s="3" t="s">
        <v>7808</v>
      </c>
      <c r="B5910" s="4">
        <v>36020063</v>
      </c>
    </row>
    <row r="5911" customHeight="1" spans="1:2">
      <c r="A5911" s="3" t="s">
        <v>10749</v>
      </c>
      <c r="B5911" s="4"/>
    </row>
    <row r="5912" customHeight="1" spans="1:2">
      <c r="A5912" s="3" t="s">
        <v>8231</v>
      </c>
      <c r="B5912" s="4">
        <v>12831121</v>
      </c>
    </row>
    <row r="5913" customHeight="1" spans="1:2">
      <c r="A5913" s="3" t="s">
        <v>3821</v>
      </c>
      <c r="B5913" s="4">
        <v>27972410</v>
      </c>
    </row>
    <row r="5914" customHeight="1" spans="1:2">
      <c r="A5914" s="3" t="s">
        <v>9777</v>
      </c>
      <c r="B5914" s="4">
        <v>18663911</v>
      </c>
    </row>
    <row r="5915" customHeight="1" spans="1:2">
      <c r="A5915" s="3" t="s">
        <v>23969</v>
      </c>
      <c r="B5915" s="4"/>
    </row>
    <row r="5916" customHeight="1" spans="1:2">
      <c r="A5916" s="3" t="s">
        <v>19251</v>
      </c>
      <c r="B5916" s="4"/>
    </row>
    <row r="5917" customHeight="1" spans="1:2">
      <c r="A5917" s="3" t="s">
        <v>6474</v>
      </c>
      <c r="B5917" s="4">
        <v>52353636</v>
      </c>
    </row>
    <row r="5918" customHeight="1" spans="1:2">
      <c r="A5918" s="3" t="s">
        <v>8903</v>
      </c>
      <c r="B5918" s="4">
        <v>3519627</v>
      </c>
    </row>
    <row r="5919" customHeight="1" spans="1:2">
      <c r="A5919" s="3" t="s">
        <v>1595</v>
      </c>
      <c r="B5919" s="4">
        <v>27779888</v>
      </c>
    </row>
    <row r="5920" customHeight="1" spans="1:2">
      <c r="A5920" s="3" t="s">
        <v>22635</v>
      </c>
      <c r="B5920" s="4"/>
    </row>
    <row r="5921" customHeight="1" spans="1:2">
      <c r="A5921" s="3" t="s">
        <v>13520</v>
      </c>
      <c r="B5921" s="4">
        <v>4018695</v>
      </c>
    </row>
    <row r="5922" customHeight="1" spans="1:2">
      <c r="A5922" s="3" t="s">
        <v>12490</v>
      </c>
      <c r="B5922" s="4">
        <v>15417771</v>
      </c>
    </row>
    <row r="5923" customHeight="1" spans="1:2">
      <c r="A5923" s="3" t="s">
        <v>11500</v>
      </c>
      <c r="B5923" s="4">
        <v>204565000</v>
      </c>
    </row>
    <row r="5924" customHeight="1" spans="1:2">
      <c r="A5924" s="3" t="s">
        <v>5766</v>
      </c>
      <c r="B5924" s="4">
        <v>191796233</v>
      </c>
    </row>
    <row r="5925" customHeight="1" spans="1:2">
      <c r="A5925" s="3" t="s">
        <v>8207</v>
      </c>
      <c r="B5925" s="4">
        <v>82301521</v>
      </c>
    </row>
    <row r="5926" customHeight="1" spans="1:2">
      <c r="A5926" s="3" t="s">
        <v>23534</v>
      </c>
      <c r="B5926" s="4"/>
    </row>
    <row r="5927" customHeight="1" spans="1:2">
      <c r="A5927" s="3" t="s">
        <v>11688</v>
      </c>
      <c r="B5927" s="4">
        <v>27829874</v>
      </c>
    </row>
    <row r="5928" customHeight="1" spans="1:2">
      <c r="A5928" s="3" t="s">
        <v>16059</v>
      </c>
      <c r="B5928" s="4">
        <v>8243880</v>
      </c>
    </row>
    <row r="5929" customHeight="1" spans="1:2">
      <c r="A5929" s="3" t="s">
        <v>4191</v>
      </c>
      <c r="B5929" s="4">
        <v>90353764</v>
      </c>
    </row>
    <row r="5930" customHeight="1" spans="1:2">
      <c r="A5930" s="3" t="s">
        <v>22985</v>
      </c>
      <c r="B5930" s="4"/>
    </row>
    <row r="5931" customHeight="1" spans="1:2">
      <c r="A5931" s="3" t="s">
        <v>16793</v>
      </c>
      <c r="B5931" s="4">
        <v>10017041</v>
      </c>
    </row>
    <row r="5932" customHeight="1" spans="1:2">
      <c r="A5932" s="3" t="s">
        <v>23327</v>
      </c>
      <c r="B5932" s="4"/>
    </row>
    <row r="5933" customHeight="1" spans="1:2">
      <c r="A5933" s="3" t="s">
        <v>23930</v>
      </c>
      <c r="B5933" s="4"/>
    </row>
    <row r="5934" customHeight="1" spans="1:2">
      <c r="A5934" s="3" t="s">
        <v>20102</v>
      </c>
      <c r="B5934" s="4"/>
    </row>
    <row r="5935" customHeight="1" spans="1:2">
      <c r="A5935" s="3" t="s">
        <v>23246</v>
      </c>
      <c r="B5935" s="4"/>
    </row>
    <row r="5936" customHeight="1" spans="1:2">
      <c r="A5936" s="3" t="s">
        <v>1892</v>
      </c>
      <c r="B5936" s="4">
        <v>75600000</v>
      </c>
    </row>
    <row r="5937" customHeight="1" spans="1:2">
      <c r="A5937" s="3" t="s">
        <v>4206</v>
      </c>
      <c r="B5937" s="4">
        <v>81292135</v>
      </c>
    </row>
    <row r="5938" customHeight="1" spans="1:2">
      <c r="A5938" s="3" t="s">
        <v>12505</v>
      </c>
      <c r="B5938" s="4">
        <v>20339754</v>
      </c>
    </row>
    <row r="5939" customHeight="1" spans="1:2">
      <c r="A5939" s="3" t="s">
        <v>20584</v>
      </c>
      <c r="B5939" s="4"/>
    </row>
    <row r="5940" customHeight="1" spans="1:2">
      <c r="A5940" s="3" t="s">
        <v>9717</v>
      </c>
      <c r="B5940" s="4">
        <v>2315683</v>
      </c>
    </row>
    <row r="5941" customHeight="1" spans="1:2">
      <c r="A5941" s="3" t="s">
        <v>23762</v>
      </c>
      <c r="B5941" s="4"/>
    </row>
    <row r="5942" customHeight="1" spans="1:2">
      <c r="A5942" s="3" t="s">
        <v>2033</v>
      </c>
      <c r="B5942" s="4">
        <v>48430355</v>
      </c>
    </row>
    <row r="5943" customHeight="1" spans="1:2">
      <c r="A5943" s="3" t="s">
        <v>22348</v>
      </c>
      <c r="B5943" s="4"/>
    </row>
    <row r="5944" customHeight="1" spans="1:2">
      <c r="A5944" s="3" t="s">
        <v>10559</v>
      </c>
      <c r="B5944" s="4">
        <v>9123834</v>
      </c>
    </row>
    <row r="5945" customHeight="1" spans="1:2">
      <c r="A5945" s="3" t="s">
        <v>17329</v>
      </c>
      <c r="B5945" s="4"/>
    </row>
    <row r="5946" customHeight="1" spans="1:2">
      <c r="A5946" s="3" t="s">
        <v>21164</v>
      </c>
      <c r="B5946" s="4"/>
    </row>
    <row r="5947" customHeight="1" spans="1:2">
      <c r="A5947" s="3" t="s">
        <v>23097</v>
      </c>
      <c r="B5947" s="4"/>
    </row>
    <row r="5948" customHeight="1" spans="1:2">
      <c r="A5948" s="3" t="s">
        <v>4506</v>
      </c>
      <c r="B5948" s="4">
        <v>22326247</v>
      </c>
    </row>
    <row r="5949" customHeight="1" spans="1:2">
      <c r="A5949" s="3" t="s">
        <v>12612</v>
      </c>
      <c r="B5949" s="4">
        <v>7563670</v>
      </c>
    </row>
    <row r="5950" customHeight="1" spans="1:2">
      <c r="A5950" s="3" t="s">
        <v>1810</v>
      </c>
      <c r="B5950" s="4">
        <v>83503161</v>
      </c>
    </row>
    <row r="5951" customHeight="1" spans="1:2">
      <c r="A5951" s="3" t="s">
        <v>6835</v>
      </c>
      <c r="B5951" s="4">
        <v>54540525</v>
      </c>
    </row>
    <row r="5952" customHeight="1" spans="1:2">
      <c r="A5952" s="3" t="s">
        <v>20712</v>
      </c>
      <c r="B5952" s="4"/>
    </row>
    <row r="5953" customHeight="1" spans="1:2">
      <c r="A5953" s="3" t="s">
        <v>12476</v>
      </c>
      <c r="B5953" s="4">
        <v>16153600</v>
      </c>
    </row>
    <row r="5954" customHeight="1" spans="1:2">
      <c r="A5954" s="3" t="s">
        <v>15636</v>
      </c>
      <c r="B5954" s="4"/>
    </row>
    <row r="5955" customHeight="1" spans="1:2">
      <c r="A5955" s="3" t="s">
        <v>21187</v>
      </c>
      <c r="B5955" s="4"/>
    </row>
    <row r="5956" customHeight="1" spans="1:2">
      <c r="A5956" s="3" t="s">
        <v>13663</v>
      </c>
      <c r="B5956" s="4">
        <v>17278980</v>
      </c>
    </row>
    <row r="5957" customHeight="1" spans="1:2">
      <c r="A5957" s="3" t="s">
        <v>9021</v>
      </c>
      <c r="B5957" s="4">
        <v>184208848</v>
      </c>
    </row>
    <row r="5958" customHeight="1" spans="1:2">
      <c r="A5958" s="3" t="s">
        <v>12566</v>
      </c>
      <c r="B5958" s="4">
        <v>10824921</v>
      </c>
    </row>
    <row r="5959" customHeight="1" spans="1:2">
      <c r="A5959" s="3" t="s">
        <v>948</v>
      </c>
      <c r="B5959" s="4">
        <v>57366262</v>
      </c>
    </row>
    <row r="5960" customHeight="1" spans="1:2">
      <c r="A5960" s="3" t="s">
        <v>9122</v>
      </c>
      <c r="B5960" s="4">
        <v>64255243</v>
      </c>
    </row>
    <row r="5961" customHeight="1" spans="1:2">
      <c r="A5961" s="3" t="s">
        <v>23827</v>
      </c>
      <c r="B5961" s="4"/>
    </row>
    <row r="5962" customHeight="1" spans="1:2">
      <c r="A5962" s="3" t="s">
        <v>460</v>
      </c>
      <c r="B5962" s="4">
        <v>103400692</v>
      </c>
    </row>
    <row r="5963" customHeight="1" spans="1:2">
      <c r="A5963" s="3" t="s">
        <v>17313</v>
      </c>
      <c r="B5963" s="4">
        <v>5725</v>
      </c>
    </row>
    <row r="5964" customHeight="1" spans="1:2">
      <c r="A5964" s="3" t="s">
        <v>8773</v>
      </c>
      <c r="B5964" s="4">
        <v>9525276</v>
      </c>
    </row>
    <row r="5965" customHeight="1" spans="1:2">
      <c r="A5965" s="3" t="s">
        <v>9782</v>
      </c>
      <c r="B5965" s="4">
        <v>11702090</v>
      </c>
    </row>
    <row r="5966" customHeight="1" spans="1:2">
      <c r="A5966" s="3" t="s">
        <v>273</v>
      </c>
      <c r="B5966" s="4"/>
    </row>
    <row r="5967" customHeight="1" spans="1:2">
      <c r="A5967" s="3" t="s">
        <v>3000</v>
      </c>
      <c r="B5967" s="4"/>
    </row>
    <row r="5968" customHeight="1" spans="1:2">
      <c r="A5968" s="3" t="s">
        <v>5789</v>
      </c>
      <c r="B5968" s="4">
        <v>116631310</v>
      </c>
    </row>
    <row r="5969" customHeight="1" spans="1:2">
      <c r="A5969" s="3" t="s">
        <v>11377</v>
      </c>
      <c r="B5969" s="4">
        <v>1712111</v>
      </c>
    </row>
    <row r="5970" customHeight="1" spans="1:2">
      <c r="A5970" s="3" t="s">
        <v>9723</v>
      </c>
      <c r="B5970" s="4">
        <v>2000000</v>
      </c>
    </row>
    <row r="5971" customHeight="1" spans="1:2">
      <c r="A5971" s="3" t="s">
        <v>8734</v>
      </c>
      <c r="B5971" s="4">
        <v>11034436</v>
      </c>
    </row>
    <row r="5972" customHeight="1" spans="1:2">
      <c r="A5972" s="3" t="s">
        <v>20246</v>
      </c>
      <c r="B5972" s="4"/>
    </row>
    <row r="5973" customHeight="1" spans="1:2">
      <c r="A5973" s="3" t="s">
        <v>423</v>
      </c>
      <c r="B5973" s="4">
        <v>133382309</v>
      </c>
    </row>
    <row r="5974" customHeight="1" spans="1:2">
      <c r="A5974" s="3" t="s">
        <v>21211</v>
      </c>
      <c r="B5974" s="4"/>
    </row>
    <row r="5975" customHeight="1" spans="1:2">
      <c r="A5975" s="3" t="s">
        <v>1823</v>
      </c>
      <c r="B5975" s="4">
        <v>30013346</v>
      </c>
    </row>
    <row r="5976" customHeight="1" spans="1:2">
      <c r="A5976" s="3" t="s">
        <v>13561</v>
      </c>
      <c r="B5976" s="4">
        <v>76657000</v>
      </c>
    </row>
    <row r="5977" customHeight="1" spans="1:2">
      <c r="A5977" s="3" t="s">
        <v>4405</v>
      </c>
      <c r="B5977" s="4">
        <v>37371385</v>
      </c>
    </row>
    <row r="5978" customHeight="1" spans="1:2">
      <c r="A5978" s="3" t="s">
        <v>12020</v>
      </c>
      <c r="B5978" s="4">
        <v>37766350</v>
      </c>
    </row>
    <row r="5979" customHeight="1" spans="1:2">
      <c r="A5979" s="3" t="s">
        <v>5975</v>
      </c>
      <c r="B5979" s="4">
        <v>45645204</v>
      </c>
    </row>
    <row r="5980" customHeight="1" spans="1:2">
      <c r="A5980" s="3" t="s">
        <v>21532</v>
      </c>
      <c r="B5980" s="4"/>
    </row>
    <row r="5981" customHeight="1" spans="1:2">
      <c r="A5981" s="3" t="s">
        <v>7067</v>
      </c>
      <c r="B5981" s="4">
        <v>38230435</v>
      </c>
    </row>
    <row r="5982" customHeight="1" spans="1:2">
      <c r="A5982" s="3" t="s">
        <v>2878</v>
      </c>
      <c r="B5982" s="4">
        <v>66365290</v>
      </c>
    </row>
    <row r="5983" customHeight="1" spans="1:2">
      <c r="A5983" s="3" t="s">
        <v>15879</v>
      </c>
      <c r="B5983" s="4">
        <v>410241</v>
      </c>
    </row>
    <row r="5984" customHeight="1" spans="1:2">
      <c r="A5984" s="3" t="s">
        <v>12209</v>
      </c>
      <c r="B5984" s="4">
        <v>1066555</v>
      </c>
    </row>
    <row r="5985" customHeight="1" spans="1:2">
      <c r="A5985" s="3" t="s">
        <v>16729</v>
      </c>
      <c r="B5985" s="4">
        <v>64423650</v>
      </c>
    </row>
    <row r="5986" customHeight="1" spans="1:2">
      <c r="A5986" s="3" t="s">
        <v>23660</v>
      </c>
      <c r="B5986" s="4"/>
    </row>
    <row r="5987" customHeight="1" spans="1:2">
      <c r="A5987" s="3" t="s">
        <v>5369</v>
      </c>
      <c r="B5987" s="4">
        <v>7458269</v>
      </c>
    </row>
    <row r="5988" customHeight="1" spans="1:2">
      <c r="A5988" s="3" t="s">
        <v>5863</v>
      </c>
      <c r="B5988" s="4">
        <v>66528842</v>
      </c>
    </row>
    <row r="5989" customHeight="1" spans="1:2">
      <c r="A5989" s="3" t="s">
        <v>16683</v>
      </c>
      <c r="B5989" s="4"/>
    </row>
    <row r="5990" customHeight="1" spans="1:2">
      <c r="A5990" s="3" t="s">
        <v>6654</v>
      </c>
      <c r="B5990" s="4">
        <v>21500000</v>
      </c>
    </row>
    <row r="5991" customHeight="1" spans="1:2">
      <c r="A5991" s="3" t="s">
        <v>6078</v>
      </c>
      <c r="B5991" s="4">
        <v>38432823</v>
      </c>
    </row>
    <row r="5992" customHeight="1" spans="1:2">
      <c r="A5992" s="3" t="s">
        <v>24143</v>
      </c>
      <c r="B5992" s="4"/>
    </row>
    <row r="5993" customHeight="1" spans="1:2">
      <c r="A5993" s="3" t="s">
        <v>9169</v>
      </c>
      <c r="B5993" s="4">
        <v>128505958</v>
      </c>
    </row>
    <row r="5994" customHeight="1" spans="1:2">
      <c r="A5994" s="3" t="s">
        <v>11266</v>
      </c>
      <c r="B5994" s="4">
        <v>22235901</v>
      </c>
    </row>
    <row r="5995" customHeight="1" spans="1:2">
      <c r="A5995" s="3" t="s">
        <v>6630</v>
      </c>
      <c r="B5995" s="4">
        <v>54200000</v>
      </c>
    </row>
    <row r="5996" customHeight="1" spans="1:2">
      <c r="A5996" s="3" t="s">
        <v>5397</v>
      </c>
      <c r="B5996" s="4">
        <v>630779</v>
      </c>
    </row>
    <row r="5997" customHeight="1" spans="1:2">
      <c r="A5997" s="3" t="s">
        <v>1461</v>
      </c>
      <c r="B5997" s="4">
        <v>124590960</v>
      </c>
    </row>
    <row r="5998" customHeight="1" spans="1:2">
      <c r="A5998" s="3" t="s">
        <v>2988</v>
      </c>
      <c r="B5998" s="4">
        <v>6768055</v>
      </c>
    </row>
    <row r="5999" customHeight="1" spans="1:2">
      <c r="A5999" s="3" t="s">
        <v>11001</v>
      </c>
      <c r="B5999" s="4">
        <v>4741987</v>
      </c>
    </row>
    <row r="6000" customHeight="1" spans="1:2">
      <c r="A6000" s="3" t="s">
        <v>4360</v>
      </c>
      <c r="B6000" s="4">
        <v>51853450</v>
      </c>
    </row>
    <row r="6001" customHeight="1" spans="1:2">
      <c r="A6001" s="3" t="s">
        <v>15908</v>
      </c>
      <c r="B6001" s="4"/>
    </row>
    <row r="6002" customHeight="1" spans="1:2">
      <c r="A6002" s="3" t="s">
        <v>1602</v>
      </c>
      <c r="B6002" s="4">
        <v>36073232</v>
      </c>
    </row>
    <row r="6003" customHeight="1" spans="1:2">
      <c r="A6003" s="3" t="s">
        <v>16535</v>
      </c>
      <c r="B6003" s="4"/>
    </row>
    <row r="6004" customHeight="1" spans="1:2">
      <c r="A6004" s="3" t="s">
        <v>2535</v>
      </c>
      <c r="B6004" s="4">
        <v>50549107</v>
      </c>
    </row>
    <row r="6005" customHeight="1" spans="1:2">
      <c r="A6005" s="3" t="s">
        <v>1760</v>
      </c>
      <c r="B6005" s="4">
        <v>73023275</v>
      </c>
    </row>
    <row r="6006" customHeight="1" spans="1:2">
      <c r="A6006" s="3" t="s">
        <v>19699</v>
      </c>
      <c r="B6006" s="4">
        <v>7707563</v>
      </c>
    </row>
    <row r="6007" customHeight="1" spans="1:2">
      <c r="A6007" s="3" t="s">
        <v>21868</v>
      </c>
      <c r="B6007" s="4"/>
    </row>
    <row r="6008" customHeight="1" spans="1:2">
      <c r="A6008" s="3" t="s">
        <v>14887</v>
      </c>
      <c r="B6008" s="4">
        <v>65804</v>
      </c>
    </row>
    <row r="6009" customHeight="1" spans="1:2">
      <c r="A6009" s="3" t="s">
        <v>17772</v>
      </c>
      <c r="B6009" s="4"/>
    </row>
    <row r="6010" customHeight="1" spans="1:2">
      <c r="A6010" s="3" t="s">
        <v>23132</v>
      </c>
      <c r="B6010" s="4"/>
    </row>
    <row r="6011" customHeight="1" spans="1:2">
      <c r="A6011" s="3" t="s">
        <v>23529</v>
      </c>
      <c r="B6011" s="4"/>
    </row>
    <row r="6012" customHeight="1" spans="1:2">
      <c r="A6012" s="3" t="s">
        <v>2238</v>
      </c>
      <c r="B6012" s="4">
        <v>85911262</v>
      </c>
    </row>
    <row r="6013" customHeight="1" spans="1:2">
      <c r="A6013" s="3" t="s">
        <v>21745</v>
      </c>
      <c r="B6013" s="4"/>
    </row>
    <row r="6014" customHeight="1" spans="1:2">
      <c r="A6014" s="3" t="s">
        <v>1918</v>
      </c>
      <c r="B6014" s="4">
        <v>436471036</v>
      </c>
    </row>
    <row r="6015" customHeight="1" spans="1:2">
      <c r="A6015" s="3" t="s">
        <v>11035</v>
      </c>
      <c r="B6015" s="4">
        <v>274299</v>
      </c>
    </row>
    <row r="6016" customHeight="1" spans="1:2">
      <c r="A6016" s="3" t="s">
        <v>23066</v>
      </c>
      <c r="B6016" s="4"/>
    </row>
    <row r="6017" customHeight="1" spans="1:2">
      <c r="A6017" s="3" t="s">
        <v>21295</v>
      </c>
      <c r="B6017" s="4"/>
    </row>
    <row r="6018" customHeight="1" spans="1:2">
      <c r="A6018" s="3" t="s">
        <v>1254</v>
      </c>
      <c r="B6018" s="4">
        <v>241688385</v>
      </c>
    </row>
    <row r="6019" customHeight="1" spans="1:2">
      <c r="A6019" s="3" t="s">
        <v>16154</v>
      </c>
      <c r="B6019" s="4">
        <v>3468572</v>
      </c>
    </row>
    <row r="6020" customHeight="1" spans="1:2">
      <c r="A6020" s="3" t="s">
        <v>10472</v>
      </c>
      <c r="B6020" s="4">
        <v>13337299</v>
      </c>
    </row>
    <row r="6021" customHeight="1" spans="1:2">
      <c r="A6021" s="3" t="s">
        <v>14866</v>
      </c>
      <c r="B6021" s="4"/>
    </row>
    <row r="6022" customHeight="1" spans="1:2">
      <c r="A6022" s="3" t="s">
        <v>2955</v>
      </c>
      <c r="B6022" s="4">
        <v>35707327</v>
      </c>
    </row>
    <row r="6023" customHeight="1" spans="1:2">
      <c r="A6023" s="3" t="s">
        <v>15457</v>
      </c>
      <c r="B6023" s="4">
        <v>8786715</v>
      </c>
    </row>
    <row r="6024" customHeight="1" spans="1:2">
      <c r="A6024" s="3" t="s">
        <v>19235</v>
      </c>
      <c r="B6024" s="4"/>
    </row>
    <row r="6025" customHeight="1" spans="1:2">
      <c r="A6025" s="3" t="s">
        <v>14263</v>
      </c>
      <c r="B6025" s="4">
        <v>9166863</v>
      </c>
    </row>
    <row r="6026" customHeight="1" spans="1:2">
      <c r="A6026" s="3" t="s">
        <v>7831</v>
      </c>
      <c r="B6026" s="4">
        <v>30659817</v>
      </c>
    </row>
    <row r="6027" customHeight="1" spans="1:2">
      <c r="A6027" s="3" t="s">
        <v>16406</v>
      </c>
      <c r="B6027" s="4">
        <v>83400000</v>
      </c>
    </row>
    <row r="6028" customHeight="1" spans="1:2">
      <c r="A6028" s="3" t="s">
        <v>21252</v>
      </c>
      <c r="B6028" s="4"/>
    </row>
    <row r="6029" customHeight="1" spans="1:2">
      <c r="A6029" s="3" t="s">
        <v>7447</v>
      </c>
      <c r="B6029" s="4">
        <v>871527</v>
      </c>
    </row>
    <row r="6030" customHeight="1" spans="1:2">
      <c r="A6030" s="3" t="s">
        <v>15587</v>
      </c>
      <c r="B6030" s="4">
        <v>830210</v>
      </c>
    </row>
    <row r="6031" customHeight="1" spans="1:2">
      <c r="A6031" s="3" t="s">
        <v>8403</v>
      </c>
      <c r="B6031" s="4">
        <v>30079316</v>
      </c>
    </row>
    <row r="6032" customHeight="1" spans="1:2">
      <c r="A6032" s="3" t="s">
        <v>19227</v>
      </c>
      <c r="B6032" s="4">
        <v>2301777</v>
      </c>
    </row>
    <row r="6033" customHeight="1" spans="1:2">
      <c r="A6033" s="3" t="s">
        <v>17571</v>
      </c>
      <c r="B6033" s="4">
        <v>2557668</v>
      </c>
    </row>
    <row r="6034" customHeight="1" spans="1:2">
      <c r="A6034" s="3" t="s">
        <v>20818</v>
      </c>
      <c r="B6034" s="4"/>
    </row>
    <row r="6035" customHeight="1" spans="1:2">
      <c r="A6035" s="3" t="s">
        <v>22167</v>
      </c>
      <c r="B6035" s="4"/>
    </row>
    <row r="6036" customHeight="1" spans="1:2">
      <c r="A6036" s="3" t="s">
        <v>15503</v>
      </c>
      <c r="B6036" s="4">
        <v>5308707</v>
      </c>
    </row>
    <row r="6037" customHeight="1" spans="1:2">
      <c r="A6037" s="3" t="s">
        <v>7394</v>
      </c>
      <c r="B6037" s="4">
        <v>7156933</v>
      </c>
    </row>
    <row r="6038" customHeight="1" spans="1:2">
      <c r="A6038" s="3" t="s">
        <v>3432</v>
      </c>
      <c r="B6038" s="4">
        <v>26616999</v>
      </c>
    </row>
    <row r="6039" customHeight="1" spans="1:2">
      <c r="A6039" s="3" t="s">
        <v>21396</v>
      </c>
      <c r="B6039" s="4"/>
    </row>
    <row r="6040" customHeight="1" spans="1:2">
      <c r="A6040" s="3" t="s">
        <v>9678</v>
      </c>
      <c r="B6040" s="4">
        <v>11634458</v>
      </c>
    </row>
    <row r="6041" customHeight="1" spans="1:2">
      <c r="A6041" s="3" t="s">
        <v>23288</v>
      </c>
      <c r="B6041" s="4"/>
    </row>
    <row r="6042" customHeight="1" spans="1:2">
      <c r="A6042" s="3" t="s">
        <v>23459</v>
      </c>
      <c r="B6042" s="4"/>
    </row>
    <row r="6043" customHeight="1" spans="1:2">
      <c r="A6043" s="3" t="s">
        <v>11372</v>
      </c>
      <c r="B6043" s="4">
        <v>403932</v>
      </c>
    </row>
    <row r="6044" customHeight="1" spans="1:2">
      <c r="A6044" s="3" t="s">
        <v>19209</v>
      </c>
      <c r="B6044" s="4">
        <v>1141829</v>
      </c>
    </row>
    <row r="6045" customHeight="1" spans="1:2">
      <c r="A6045" s="3" t="s">
        <v>4974</v>
      </c>
      <c r="B6045" s="4">
        <v>255950375</v>
      </c>
    </row>
    <row r="6046" customHeight="1" spans="1:2">
      <c r="A6046" s="3" t="s">
        <v>18763</v>
      </c>
      <c r="B6046" s="4">
        <v>334658</v>
      </c>
    </row>
    <row r="6047" customHeight="1" spans="1:2">
      <c r="A6047" s="3" t="s">
        <v>18389</v>
      </c>
      <c r="B6047" s="4">
        <v>79363785</v>
      </c>
    </row>
    <row r="6048" customHeight="1" spans="1:2">
      <c r="A6048" s="3" t="s">
        <v>2825</v>
      </c>
      <c r="B6048" s="4">
        <v>217326336</v>
      </c>
    </row>
    <row r="6049" customHeight="1" spans="1:2">
      <c r="A6049" s="3" t="s">
        <v>337</v>
      </c>
      <c r="B6049" s="4">
        <v>46978995</v>
      </c>
    </row>
    <row r="6050" customHeight="1" spans="1:2">
      <c r="A6050" s="3" t="s">
        <v>15767</v>
      </c>
      <c r="B6050" s="4"/>
    </row>
    <row r="6051" customHeight="1" spans="1:2">
      <c r="A6051" s="3" t="s">
        <v>9664</v>
      </c>
      <c r="B6051" s="4">
        <v>64998368</v>
      </c>
    </row>
    <row r="6052" customHeight="1" spans="1:2">
      <c r="A6052" s="3" t="s">
        <v>22538</v>
      </c>
      <c r="B6052" s="4"/>
    </row>
    <row r="6053" customHeight="1" spans="1:2">
      <c r="A6053" s="3" t="s">
        <v>5564</v>
      </c>
      <c r="B6053" s="4">
        <v>80197993</v>
      </c>
    </row>
    <row r="6054" customHeight="1" spans="1:2">
      <c r="A6054" s="3" t="s">
        <v>22697</v>
      </c>
      <c r="B6054" s="4"/>
    </row>
    <row r="6055" customHeight="1" spans="1:2">
      <c r="A6055" s="3" t="s">
        <v>22726</v>
      </c>
      <c r="B6055" s="4"/>
    </row>
    <row r="6056" customHeight="1" spans="1:2">
      <c r="A6056" s="3" t="s">
        <v>23828</v>
      </c>
      <c r="B6056" s="4"/>
    </row>
    <row r="6057" customHeight="1" spans="1:2">
      <c r="A6057" s="3" t="s">
        <v>13976</v>
      </c>
      <c r="B6057" s="4">
        <v>10814185</v>
      </c>
    </row>
    <row r="6058" customHeight="1" spans="1:2">
      <c r="A6058" s="3" t="s">
        <v>19243</v>
      </c>
      <c r="B6058" s="4"/>
    </row>
    <row r="6059" customHeight="1" spans="1:2">
      <c r="A6059" s="3" t="s">
        <v>5852</v>
      </c>
      <c r="B6059" s="4">
        <v>76806312</v>
      </c>
    </row>
    <row r="6060" customHeight="1" spans="1:2">
      <c r="A6060" s="3" t="s">
        <v>8201</v>
      </c>
      <c r="B6060" s="4">
        <v>94497271</v>
      </c>
    </row>
    <row r="6061" customHeight="1" spans="1:2">
      <c r="A6061" s="3" t="s">
        <v>3555</v>
      </c>
      <c r="B6061" s="4">
        <v>21413502</v>
      </c>
    </row>
    <row r="6062" customHeight="1" spans="1:2">
      <c r="A6062" s="3" t="s">
        <v>7799</v>
      </c>
      <c r="B6062" s="4">
        <v>40270895</v>
      </c>
    </row>
    <row r="6063" customHeight="1" spans="1:2">
      <c r="A6063" s="3" t="s">
        <v>3924</v>
      </c>
      <c r="B6063" s="4">
        <v>8129455</v>
      </c>
    </row>
    <row r="6064" customHeight="1" spans="1:2">
      <c r="A6064" s="3" t="s">
        <v>1518</v>
      </c>
      <c r="B6064" s="4">
        <v>82226474</v>
      </c>
    </row>
    <row r="6065" customHeight="1" spans="1:2">
      <c r="A6065" s="3" t="s">
        <v>12416</v>
      </c>
      <c r="B6065" s="4">
        <v>24397469</v>
      </c>
    </row>
    <row r="6066" customHeight="1" spans="1:2">
      <c r="A6066" s="3" t="s">
        <v>3729</v>
      </c>
      <c r="B6066" s="4">
        <v>83287363</v>
      </c>
    </row>
    <row r="6067" customHeight="1" spans="1:2">
      <c r="A6067" s="3" t="s">
        <v>10843</v>
      </c>
      <c r="B6067" s="4">
        <v>68856263</v>
      </c>
    </row>
    <row r="6068" customHeight="1" spans="1:2">
      <c r="A6068" s="3" t="s">
        <v>12788</v>
      </c>
      <c r="B6068" s="4">
        <v>1987762</v>
      </c>
    </row>
    <row r="6069" customHeight="1" spans="1:2">
      <c r="A6069" s="3" t="s">
        <v>23820</v>
      </c>
      <c r="B6069" s="4"/>
    </row>
    <row r="6070" customHeight="1" spans="1:2">
      <c r="A6070" s="3" t="s">
        <v>2666</v>
      </c>
      <c r="B6070" s="4">
        <v>26288320</v>
      </c>
    </row>
    <row r="6071" customHeight="1" spans="1:2">
      <c r="A6071" s="3" t="s">
        <v>5291</v>
      </c>
      <c r="B6071" s="4">
        <v>20275446</v>
      </c>
    </row>
    <row r="6072" customHeight="1" spans="1:2">
      <c r="A6072" s="3" t="s">
        <v>14164</v>
      </c>
      <c r="B6072" s="4">
        <v>21000000</v>
      </c>
    </row>
    <row r="6073" customHeight="1" spans="1:2">
      <c r="A6073" s="3" t="s">
        <v>23345</v>
      </c>
      <c r="B6073" s="4"/>
    </row>
    <row r="6074" customHeight="1" spans="1:2">
      <c r="A6074" s="3" t="s">
        <v>634</v>
      </c>
      <c r="B6074" s="4">
        <v>209805005</v>
      </c>
    </row>
    <row r="6075" customHeight="1" spans="1:2">
      <c r="A6075" s="3" t="s">
        <v>22051</v>
      </c>
      <c r="B6075" s="4"/>
    </row>
    <row r="6076" customHeight="1" spans="1:2">
      <c r="A6076" s="3" t="s">
        <v>13235</v>
      </c>
      <c r="B6076" s="4">
        <v>34074895</v>
      </c>
    </row>
    <row r="6077" customHeight="1" spans="1:2">
      <c r="A6077" s="3" t="s">
        <v>1314</v>
      </c>
      <c r="B6077" s="4">
        <v>111544445</v>
      </c>
    </row>
    <row r="6078" customHeight="1" spans="1:2">
      <c r="A6078" s="3" t="s">
        <v>12123</v>
      </c>
      <c r="B6078" s="4">
        <v>540085</v>
      </c>
    </row>
    <row r="6079" customHeight="1" spans="1:2">
      <c r="A6079" s="3" t="s">
        <v>11568</v>
      </c>
      <c r="B6079" s="4">
        <v>39647595</v>
      </c>
    </row>
    <row r="6080" customHeight="1" spans="1:2">
      <c r="A6080" s="3" t="s">
        <v>4215</v>
      </c>
      <c r="B6080" s="4">
        <v>81593527</v>
      </c>
    </row>
    <row r="6081" customHeight="1" spans="1:2">
      <c r="A6081" s="3" t="s">
        <v>14498</v>
      </c>
      <c r="B6081" s="4">
        <v>24103594</v>
      </c>
    </row>
    <row r="6082" customHeight="1" spans="1:2">
      <c r="A6082" s="3" t="s">
        <v>10066</v>
      </c>
      <c r="B6082" s="4">
        <v>111936400</v>
      </c>
    </row>
    <row r="6083" customHeight="1" spans="1:2">
      <c r="A6083" s="3" t="s">
        <v>17128</v>
      </c>
      <c r="B6083" s="4">
        <v>19170001</v>
      </c>
    </row>
    <row r="6084" customHeight="1" spans="1:2">
      <c r="A6084" s="3" t="s">
        <v>19314</v>
      </c>
      <c r="B6084" s="4"/>
    </row>
    <row r="6085" customHeight="1" spans="1:2">
      <c r="A6085" s="3" t="s">
        <v>23005</v>
      </c>
      <c r="B6085" s="4"/>
    </row>
    <row r="6086" customHeight="1" spans="1:2">
      <c r="A6086" s="3" t="s">
        <v>20107</v>
      </c>
      <c r="B6086" s="4"/>
    </row>
    <row r="6087" customHeight="1" spans="1:2">
      <c r="A6087" s="3" t="s">
        <v>7284</v>
      </c>
      <c r="B6087" s="4">
        <v>14095303</v>
      </c>
    </row>
    <row r="6088" customHeight="1" spans="1:2">
      <c r="A6088" s="3" t="s">
        <v>22934</v>
      </c>
      <c r="B6088" s="4"/>
    </row>
    <row r="6089" customHeight="1" spans="1:2">
      <c r="A6089" s="3" t="s">
        <v>22309</v>
      </c>
      <c r="B6089" s="4"/>
    </row>
    <row r="6090" customHeight="1" spans="1:2">
      <c r="A6090" s="3" t="s">
        <v>21263</v>
      </c>
      <c r="B6090" s="4"/>
    </row>
    <row r="6091" customHeight="1" spans="1:2">
      <c r="A6091" s="3" t="s">
        <v>2252</v>
      </c>
      <c r="B6091" s="4"/>
    </row>
    <row r="6092" customHeight="1" spans="1:2">
      <c r="A6092" s="3" t="s">
        <v>20974</v>
      </c>
      <c r="B6092" s="4"/>
    </row>
    <row r="6093" customHeight="1" spans="1:2">
      <c r="A6093" s="3" t="s">
        <v>15183</v>
      </c>
      <c r="B6093" s="4"/>
    </row>
    <row r="6094" customHeight="1" spans="1:2">
      <c r="A6094" s="3" t="s">
        <v>1683</v>
      </c>
      <c r="B6094" s="4">
        <v>127083765</v>
      </c>
    </row>
    <row r="6095" customHeight="1" spans="1:2">
      <c r="A6095" s="3" t="s">
        <v>7698</v>
      </c>
      <c r="B6095" s="4">
        <v>20763013</v>
      </c>
    </row>
    <row r="6096" customHeight="1" spans="1:2">
      <c r="A6096" s="3" t="s">
        <v>3746</v>
      </c>
      <c r="B6096" s="4">
        <v>88625922</v>
      </c>
    </row>
    <row r="6097" customHeight="1" spans="1:2">
      <c r="A6097" s="3" t="s">
        <v>10554</v>
      </c>
      <c r="B6097" s="4">
        <v>8080116</v>
      </c>
    </row>
    <row r="6098" customHeight="1" spans="1:2">
      <c r="A6098" s="3" t="s">
        <v>17196</v>
      </c>
      <c r="B6098" s="4">
        <v>2276368</v>
      </c>
    </row>
    <row r="6099" customHeight="1" spans="1:2">
      <c r="A6099" s="3" t="s">
        <v>17359</v>
      </c>
      <c r="B6099" s="4">
        <v>178739</v>
      </c>
    </row>
    <row r="6100" customHeight="1" spans="1:2">
      <c r="A6100" s="3" t="s">
        <v>994</v>
      </c>
      <c r="B6100" s="4">
        <v>35024475</v>
      </c>
    </row>
    <row r="6101" customHeight="1" spans="1:2">
      <c r="A6101" s="3" t="s">
        <v>14656</v>
      </c>
      <c r="B6101" s="4">
        <v>23272306</v>
      </c>
    </row>
    <row r="6102" customHeight="1" spans="1:2">
      <c r="A6102" s="3" t="s">
        <v>14475</v>
      </c>
      <c r="B6102" s="4">
        <v>8060</v>
      </c>
    </row>
    <row r="6103" customHeight="1" spans="1:2">
      <c r="A6103" s="3" t="s">
        <v>6952</v>
      </c>
      <c r="B6103" s="4">
        <v>76270454</v>
      </c>
    </row>
    <row r="6104" customHeight="1" spans="1:2">
      <c r="A6104" s="3" t="s">
        <v>16755</v>
      </c>
      <c r="B6104" s="4">
        <v>24629916</v>
      </c>
    </row>
    <row r="6105" customHeight="1" spans="1:2">
      <c r="A6105" s="3" t="s">
        <v>7599</v>
      </c>
      <c r="B6105" s="4">
        <v>6144806</v>
      </c>
    </row>
    <row r="6106" customHeight="1" spans="1:2">
      <c r="A6106" s="3" t="s">
        <v>7912</v>
      </c>
      <c r="B6106" s="4">
        <v>5000000</v>
      </c>
    </row>
    <row r="6107" customHeight="1" spans="1:2">
      <c r="A6107" s="3" t="s">
        <v>1779</v>
      </c>
      <c r="B6107" s="4"/>
    </row>
    <row r="6108" customHeight="1" spans="1:2">
      <c r="A6108" s="3" t="s">
        <v>6340</v>
      </c>
      <c r="B6108" s="4"/>
    </row>
    <row r="6109" customHeight="1" spans="1:2">
      <c r="A6109" s="3" t="s">
        <v>5712</v>
      </c>
      <c r="B6109" s="4">
        <v>62700000</v>
      </c>
    </row>
    <row r="6110" customHeight="1" spans="1:2">
      <c r="A6110" s="3" t="s">
        <v>35</v>
      </c>
      <c r="B6110" s="4">
        <v>200074175</v>
      </c>
    </row>
    <row r="6111" customHeight="1" spans="1:2">
      <c r="A6111" s="3" t="s">
        <v>17358</v>
      </c>
      <c r="B6111" s="4"/>
    </row>
    <row r="6112" customHeight="1" spans="1:2">
      <c r="A6112" s="3" t="s">
        <v>19822</v>
      </c>
      <c r="B6112" s="4"/>
    </row>
    <row r="6113" customHeight="1" spans="1:2">
      <c r="A6113" s="3" t="s">
        <v>22225</v>
      </c>
      <c r="B6113" s="4"/>
    </row>
    <row r="6114" customHeight="1" spans="1:2">
      <c r="A6114" s="3" t="s">
        <v>22277</v>
      </c>
      <c r="B6114" s="4"/>
    </row>
    <row r="6115" customHeight="1" spans="1:2">
      <c r="A6115" s="3" t="s">
        <v>23714</v>
      </c>
      <c r="B6115" s="4"/>
    </row>
    <row r="6116" customHeight="1" spans="1:2">
      <c r="A6116" s="3" t="s">
        <v>6071</v>
      </c>
      <c r="B6116" s="4">
        <v>35266619</v>
      </c>
    </row>
    <row r="6117" customHeight="1" spans="1:2">
      <c r="A6117" s="3" t="s">
        <v>23113</v>
      </c>
      <c r="B6117" s="4"/>
    </row>
    <row r="6118" customHeight="1" spans="1:2">
      <c r="A6118" s="3" t="s">
        <v>5864</v>
      </c>
      <c r="B6118" s="4">
        <v>83813460</v>
      </c>
    </row>
    <row r="6119" customHeight="1" spans="1:2">
      <c r="A6119" s="3" t="s">
        <v>20756</v>
      </c>
      <c r="B6119" s="4"/>
    </row>
    <row r="6120" customHeight="1" spans="1:2">
      <c r="A6120" s="3" t="s">
        <v>1249</v>
      </c>
      <c r="B6120" s="4">
        <v>120147445</v>
      </c>
    </row>
    <row r="6121" customHeight="1" spans="1:2">
      <c r="A6121" s="3" t="s">
        <v>2102</v>
      </c>
      <c r="B6121" s="4">
        <v>300523113</v>
      </c>
    </row>
    <row r="6122" customHeight="1" spans="1:2">
      <c r="A6122" s="3" t="s">
        <v>18899</v>
      </c>
      <c r="B6122" s="4"/>
    </row>
    <row r="6123" customHeight="1" spans="1:2">
      <c r="A6123" s="3" t="s">
        <v>23048</v>
      </c>
      <c r="B6123" s="4"/>
    </row>
    <row r="6124" customHeight="1" spans="1:2">
      <c r="A6124" s="3" t="s">
        <v>979</v>
      </c>
      <c r="B6124" s="4">
        <v>17010646</v>
      </c>
    </row>
    <row r="6125" customHeight="1" spans="1:2">
      <c r="A6125" s="3" t="s">
        <v>21838</v>
      </c>
      <c r="B6125" s="4"/>
    </row>
    <row r="6126" customHeight="1" spans="1:2">
      <c r="A6126" s="3" t="s">
        <v>166</v>
      </c>
      <c r="B6126" s="4">
        <v>233914986</v>
      </c>
    </row>
    <row r="6127" customHeight="1" spans="1:2">
      <c r="A6127" s="3" t="s">
        <v>21259</v>
      </c>
      <c r="B6127" s="4"/>
    </row>
    <row r="6128" customHeight="1" spans="1:2">
      <c r="A6128" s="3" t="s">
        <v>2253</v>
      </c>
      <c r="B6128" s="4">
        <v>38966057</v>
      </c>
    </row>
    <row r="6129" customHeight="1" spans="1:2">
      <c r="A6129" s="3" t="s">
        <v>2679</v>
      </c>
      <c r="B6129" s="4">
        <v>22518325</v>
      </c>
    </row>
    <row r="6130" customHeight="1" spans="1:2">
      <c r="A6130" s="3" t="s">
        <v>5430</v>
      </c>
      <c r="B6130" s="4">
        <v>10214013</v>
      </c>
    </row>
    <row r="6131" customHeight="1" spans="1:2">
      <c r="A6131" s="3" t="s">
        <v>20898</v>
      </c>
      <c r="B6131" s="4"/>
    </row>
    <row r="6132" customHeight="1" spans="1:2">
      <c r="A6132" s="3" t="s">
        <v>6238</v>
      </c>
      <c r="B6132" s="4">
        <v>7689458</v>
      </c>
    </row>
    <row r="6133" customHeight="1" spans="1:2">
      <c r="A6133" s="3" t="s">
        <v>19675</v>
      </c>
      <c r="B6133" s="4"/>
    </row>
    <row r="6134" customHeight="1" spans="1:2">
      <c r="A6134" s="3" t="s">
        <v>23365</v>
      </c>
      <c r="B6134" s="4"/>
    </row>
    <row r="6135" customHeight="1" spans="1:2">
      <c r="A6135" s="3" t="s">
        <v>3697</v>
      </c>
      <c r="B6135" s="4">
        <v>130512915</v>
      </c>
    </row>
    <row r="6136" customHeight="1" spans="1:2">
      <c r="A6136" s="3" t="s">
        <v>22293</v>
      </c>
      <c r="B6136" s="4"/>
    </row>
    <row r="6137" customHeight="1" spans="1:2">
      <c r="A6137" s="3" t="s">
        <v>18539</v>
      </c>
      <c r="B6137" s="4"/>
    </row>
    <row r="6138" customHeight="1" spans="1:2">
      <c r="A6138" s="3" t="s">
        <v>17195</v>
      </c>
      <c r="B6138" s="4">
        <v>10654581</v>
      </c>
    </row>
    <row r="6139" customHeight="1" spans="1:2">
      <c r="A6139" s="3" t="s">
        <v>7246</v>
      </c>
      <c r="B6139" s="4">
        <v>15361537</v>
      </c>
    </row>
    <row r="6140" customHeight="1" spans="1:2">
      <c r="A6140" s="3" t="s">
        <v>191</v>
      </c>
      <c r="B6140" s="4">
        <v>130468626</v>
      </c>
    </row>
    <row r="6141" customHeight="1" spans="1:2">
      <c r="A6141" s="3" t="s">
        <v>23423</v>
      </c>
      <c r="B6141" s="4"/>
    </row>
    <row r="6142" customHeight="1" spans="1:2">
      <c r="A6142" s="3" t="s">
        <v>22574</v>
      </c>
      <c r="B6142" s="4"/>
    </row>
    <row r="6143" customHeight="1" spans="1:2">
      <c r="A6143" s="3" t="s">
        <v>18206</v>
      </c>
      <c r="B6143" s="4">
        <v>52166</v>
      </c>
    </row>
    <row r="6144" customHeight="1" spans="1:2">
      <c r="A6144" s="3" t="s">
        <v>20494</v>
      </c>
      <c r="B6144" s="4"/>
    </row>
    <row r="6145" customHeight="1" spans="1:2">
      <c r="A6145" s="3" t="s">
        <v>5847</v>
      </c>
      <c r="B6145" s="4">
        <v>64286</v>
      </c>
    </row>
    <row r="6146" customHeight="1" spans="1:2">
      <c r="A6146" s="3" t="s">
        <v>9174</v>
      </c>
      <c r="B6146" s="4">
        <v>95001351</v>
      </c>
    </row>
    <row r="6147" customHeight="1" spans="1:2">
      <c r="A6147" s="3" t="s">
        <v>10880</v>
      </c>
      <c r="B6147" s="4">
        <v>30628981</v>
      </c>
    </row>
    <row r="6148" customHeight="1" spans="1:2">
      <c r="A6148" s="3" t="s">
        <v>15374</v>
      </c>
      <c r="B6148" s="4"/>
    </row>
    <row r="6149" customHeight="1" spans="1:2">
      <c r="A6149" s="3" t="s">
        <v>9903</v>
      </c>
      <c r="B6149" s="4">
        <v>16204793</v>
      </c>
    </row>
    <row r="6150" customHeight="1" spans="1:2">
      <c r="A6150" s="3" t="s">
        <v>12804</v>
      </c>
      <c r="B6150" s="4">
        <v>900926</v>
      </c>
    </row>
    <row r="6151" customHeight="1" spans="1:2">
      <c r="A6151" s="3" t="s">
        <v>6677</v>
      </c>
      <c r="B6151" s="4"/>
    </row>
    <row r="6152" customHeight="1" spans="1:2">
      <c r="A6152" s="3" t="s">
        <v>17750</v>
      </c>
      <c r="B6152" s="4"/>
    </row>
    <row r="6153" customHeight="1" spans="1:2">
      <c r="A6153" s="3" t="s">
        <v>17631</v>
      </c>
      <c r="B6153" s="4">
        <v>977600</v>
      </c>
    </row>
    <row r="6154" customHeight="1" spans="1:2">
      <c r="A6154" s="3" t="s">
        <v>16252</v>
      </c>
      <c r="B6154" s="4">
        <v>58214</v>
      </c>
    </row>
    <row r="6155" customHeight="1" spans="1:2">
      <c r="A6155" s="3" t="s">
        <v>12625</v>
      </c>
      <c r="B6155" s="4">
        <v>6842058</v>
      </c>
    </row>
    <row r="6156" customHeight="1" spans="1:2">
      <c r="A6156" s="3" t="s">
        <v>2279</v>
      </c>
      <c r="B6156" s="4">
        <v>37023395</v>
      </c>
    </row>
    <row r="6157" customHeight="1" spans="1:2">
      <c r="A6157" s="3" t="s">
        <v>20151</v>
      </c>
      <c r="B6157" s="4">
        <v>110536</v>
      </c>
    </row>
    <row r="6158" customHeight="1" spans="1:2">
      <c r="A6158" s="3" t="s">
        <v>6108</v>
      </c>
      <c r="B6158" s="4">
        <v>26525834</v>
      </c>
    </row>
    <row r="6159" customHeight="1" spans="1:2">
      <c r="A6159" s="3" t="s">
        <v>6237</v>
      </c>
      <c r="B6159" s="4">
        <v>8535575</v>
      </c>
    </row>
    <row r="6160" customHeight="1" spans="1:2">
      <c r="A6160" s="3" t="s">
        <v>4463</v>
      </c>
      <c r="B6160" s="4">
        <v>29077547</v>
      </c>
    </row>
    <row r="6161" customHeight="1" spans="1:2">
      <c r="A6161" s="3" t="s">
        <v>5479</v>
      </c>
      <c r="B6161" s="4">
        <v>8324748</v>
      </c>
    </row>
    <row r="6162" customHeight="1" spans="1:2">
      <c r="A6162" s="3" t="s">
        <v>784</v>
      </c>
      <c r="B6162" s="4">
        <v>102608827</v>
      </c>
    </row>
    <row r="6163" customHeight="1" spans="1:2">
      <c r="A6163" s="3" t="s">
        <v>4359</v>
      </c>
      <c r="B6163" s="4">
        <v>47806295</v>
      </c>
    </row>
    <row r="6164" customHeight="1" spans="1:2">
      <c r="A6164" s="3" t="s">
        <v>19140</v>
      </c>
      <c r="B6164" s="4">
        <v>7705974</v>
      </c>
    </row>
    <row r="6165" customHeight="1" spans="1:2">
      <c r="A6165" s="3" t="s">
        <v>17145</v>
      </c>
      <c r="B6165" s="4">
        <v>952620</v>
      </c>
    </row>
    <row r="6166" customHeight="1" spans="1:2">
      <c r="A6166" s="3" t="s">
        <v>17930</v>
      </c>
      <c r="B6166" s="4"/>
    </row>
    <row r="6167" customHeight="1" spans="1:2">
      <c r="A6167" s="3" t="s">
        <v>9261</v>
      </c>
      <c r="B6167" s="4">
        <v>42335698</v>
      </c>
    </row>
    <row r="6168" customHeight="1" spans="1:2">
      <c r="A6168" s="3" t="s">
        <v>2484</v>
      </c>
      <c r="B6168" s="4">
        <v>64505912</v>
      </c>
    </row>
    <row r="6169" customHeight="1" spans="1:2">
      <c r="A6169" s="3" t="s">
        <v>4004</v>
      </c>
      <c r="B6169" s="4">
        <v>70100000</v>
      </c>
    </row>
    <row r="6170" customHeight="1" spans="1:2">
      <c r="A6170" s="3" t="s">
        <v>17842</v>
      </c>
      <c r="B6170" s="4"/>
    </row>
    <row r="6171" customHeight="1" spans="1:2">
      <c r="A6171" s="3" t="s">
        <v>15733</v>
      </c>
      <c r="B6171" s="4"/>
    </row>
    <row r="6172" customHeight="1" spans="1:2">
      <c r="A6172" s="3" t="s">
        <v>13566</v>
      </c>
      <c r="B6172" s="4">
        <v>32279955</v>
      </c>
    </row>
    <row r="6173" customHeight="1" spans="1:2">
      <c r="A6173" s="3" t="s">
        <v>20585</v>
      </c>
      <c r="B6173" s="4"/>
    </row>
    <row r="6174" customHeight="1" spans="1:2">
      <c r="A6174" s="3" t="s">
        <v>4221</v>
      </c>
      <c r="B6174" s="4">
        <v>75274748</v>
      </c>
    </row>
    <row r="6175" customHeight="1" spans="1:2">
      <c r="A6175" s="3" t="s">
        <v>21294</v>
      </c>
      <c r="B6175" s="4"/>
    </row>
    <row r="6176" customHeight="1" spans="1:2">
      <c r="A6176" s="3" t="s">
        <v>23624</v>
      </c>
      <c r="B6176" s="4"/>
    </row>
    <row r="6177" customHeight="1" spans="1:2">
      <c r="A6177" s="3" t="s">
        <v>4314</v>
      </c>
      <c r="B6177" s="4">
        <v>57981889</v>
      </c>
    </row>
    <row r="6178" customHeight="1" spans="1:2">
      <c r="A6178" s="3" t="s">
        <v>20947</v>
      </c>
      <c r="B6178" s="4"/>
    </row>
    <row r="6179" customHeight="1" spans="1:2">
      <c r="A6179" s="3" t="s">
        <v>18395</v>
      </c>
      <c r="B6179" s="4">
        <v>9180275</v>
      </c>
    </row>
    <row r="6180" customHeight="1" spans="1:2">
      <c r="A6180" s="3" t="s">
        <v>8388</v>
      </c>
      <c r="B6180" s="4">
        <v>32051917</v>
      </c>
    </row>
    <row r="6181" customHeight="1" spans="1:2">
      <c r="A6181" s="3" t="s">
        <v>20837</v>
      </c>
      <c r="B6181" s="4"/>
    </row>
    <row r="6182" customHeight="1" spans="1:2">
      <c r="A6182" s="3" t="s">
        <v>22744</v>
      </c>
      <c r="B6182" s="4"/>
    </row>
    <row r="6183" customHeight="1" spans="1:2">
      <c r="A6183" s="3" t="s">
        <v>21363</v>
      </c>
      <c r="B6183" s="4"/>
    </row>
    <row r="6184" customHeight="1" spans="1:2">
      <c r="A6184" s="3" t="s">
        <v>13314</v>
      </c>
      <c r="B6184" s="4">
        <v>3420871</v>
      </c>
    </row>
    <row r="6185" customHeight="1" spans="1:2">
      <c r="A6185" s="3" t="s">
        <v>8423</v>
      </c>
      <c r="B6185" s="4">
        <v>29753944</v>
      </c>
    </row>
    <row r="6186" customHeight="1" spans="1:2">
      <c r="A6186" s="3" t="s">
        <v>21468</v>
      </c>
      <c r="B6186" s="4"/>
    </row>
    <row r="6187" customHeight="1" spans="1:2">
      <c r="A6187" s="3" t="s">
        <v>18160</v>
      </c>
      <c r="B6187" s="4">
        <v>194568</v>
      </c>
    </row>
    <row r="6188" customHeight="1" spans="1:2">
      <c r="A6188" s="3" t="s">
        <v>5957</v>
      </c>
      <c r="B6188" s="4">
        <v>51109400</v>
      </c>
    </row>
    <row r="6189" customHeight="1" spans="1:2">
      <c r="A6189" s="3" t="s">
        <v>3255</v>
      </c>
      <c r="B6189" s="4">
        <v>73701902</v>
      </c>
    </row>
    <row r="6190" customHeight="1" spans="1:2">
      <c r="A6190" s="3" t="s">
        <v>19141</v>
      </c>
      <c r="B6190" s="4">
        <v>26297</v>
      </c>
    </row>
    <row r="6191" customHeight="1" spans="1:2">
      <c r="A6191" s="3" t="s">
        <v>18301</v>
      </c>
      <c r="B6191" s="4">
        <v>1521</v>
      </c>
    </row>
    <row r="6192" customHeight="1" spans="1:2">
      <c r="A6192" s="3" t="s">
        <v>8167</v>
      </c>
      <c r="B6192" s="4">
        <v>20259297</v>
      </c>
    </row>
    <row r="6193" customHeight="1" spans="1:2">
      <c r="A6193" s="3" t="s">
        <v>10039</v>
      </c>
      <c r="B6193" s="4">
        <v>234760500</v>
      </c>
    </row>
    <row r="6194" customHeight="1" spans="1:2">
      <c r="A6194" s="3" t="s">
        <v>17312</v>
      </c>
      <c r="B6194" s="4">
        <v>115504</v>
      </c>
    </row>
    <row r="6195" customHeight="1" spans="1:2">
      <c r="A6195" s="3" t="s">
        <v>20851</v>
      </c>
      <c r="B6195" s="4"/>
    </row>
    <row r="6196" customHeight="1" spans="1:2">
      <c r="A6196" s="3" t="s">
        <v>6206</v>
      </c>
      <c r="B6196" s="4">
        <v>18298649</v>
      </c>
    </row>
    <row r="6197" customHeight="1" spans="1:2">
      <c r="A6197" s="3" t="s">
        <v>8888</v>
      </c>
      <c r="B6197" s="4">
        <v>4234040</v>
      </c>
    </row>
    <row r="6198" customHeight="1" spans="1:2">
      <c r="A6198" s="3" t="s">
        <v>14410</v>
      </c>
      <c r="B6198" s="4">
        <v>46451</v>
      </c>
    </row>
    <row r="6199" customHeight="1" spans="1:2">
      <c r="A6199" s="3" t="s">
        <v>7781</v>
      </c>
      <c r="B6199" s="4">
        <v>90636983</v>
      </c>
    </row>
    <row r="6200" customHeight="1" spans="1:2">
      <c r="A6200" s="3" t="s">
        <v>13772</v>
      </c>
      <c r="B6200" s="4">
        <v>1789892</v>
      </c>
    </row>
    <row r="6201" customHeight="1" spans="1:2">
      <c r="A6201" s="3" t="s">
        <v>21828</v>
      </c>
      <c r="B6201" s="4"/>
    </row>
    <row r="6202" customHeight="1" spans="1:2">
      <c r="A6202" s="3" t="s">
        <v>7166</v>
      </c>
      <c r="B6202" s="4">
        <v>28341469</v>
      </c>
    </row>
    <row r="6203" customHeight="1" spans="1:2">
      <c r="A6203" s="3" t="s">
        <v>15889</v>
      </c>
      <c r="B6203" s="4">
        <v>211667</v>
      </c>
    </row>
    <row r="6204" customHeight="1" spans="1:2">
      <c r="A6204" s="3" t="s">
        <v>11462</v>
      </c>
      <c r="B6204" s="4">
        <v>11956207</v>
      </c>
    </row>
    <row r="6205" customHeight="1" spans="1:2">
      <c r="A6205" s="3" t="s">
        <v>12995</v>
      </c>
      <c r="B6205" s="4"/>
    </row>
    <row r="6206" customHeight="1" spans="1:2">
      <c r="A6206" s="3" t="s">
        <v>7782</v>
      </c>
      <c r="B6206" s="4">
        <v>70960517</v>
      </c>
    </row>
    <row r="6207" customHeight="1" spans="1:2">
      <c r="A6207" s="3" t="s">
        <v>16728</v>
      </c>
      <c r="B6207" s="4">
        <v>20966644</v>
      </c>
    </row>
    <row r="6208" customHeight="1" spans="1:2">
      <c r="A6208" s="3" t="s">
        <v>9981</v>
      </c>
      <c r="B6208" s="4">
        <v>13922211</v>
      </c>
    </row>
    <row r="6209" customHeight="1" spans="1:2">
      <c r="A6209" s="3" t="s">
        <v>20946</v>
      </c>
      <c r="B6209" s="4"/>
    </row>
    <row r="6210" customHeight="1" spans="1:2">
      <c r="A6210" s="3" t="s">
        <v>13842</v>
      </c>
      <c r="B6210" s="4">
        <v>146083</v>
      </c>
    </row>
    <row r="6211" customHeight="1" spans="1:2">
      <c r="A6211" s="3" t="s">
        <v>10838</v>
      </c>
      <c r="B6211" s="4">
        <v>70001698</v>
      </c>
    </row>
    <row r="6212" customHeight="1" spans="1:2">
      <c r="A6212" s="3" t="s">
        <v>3059</v>
      </c>
      <c r="B6212" s="4">
        <v>73343413</v>
      </c>
    </row>
    <row r="6213" customHeight="1" spans="1:2">
      <c r="A6213" s="3" t="s">
        <v>3775</v>
      </c>
      <c r="B6213" s="4">
        <v>57362581</v>
      </c>
    </row>
    <row r="6214" customHeight="1" spans="1:2">
      <c r="A6214" s="3" t="s">
        <v>949</v>
      </c>
      <c r="B6214" s="4">
        <v>116866727</v>
      </c>
    </row>
    <row r="6215" customHeight="1" spans="1:2">
      <c r="A6215" s="3" t="s">
        <v>14480</v>
      </c>
      <c r="B6215" s="4">
        <v>57504069</v>
      </c>
    </row>
    <row r="6216" customHeight="1" spans="1:2">
      <c r="A6216" s="3" t="s">
        <v>8227</v>
      </c>
      <c r="B6216" s="4">
        <v>70360285</v>
      </c>
    </row>
    <row r="6217" customHeight="1" spans="1:2">
      <c r="A6217" s="3" t="s">
        <v>9830</v>
      </c>
      <c r="B6217" s="4">
        <v>6462576</v>
      </c>
    </row>
    <row r="6218" customHeight="1" spans="1:2">
      <c r="A6218" s="3" t="s">
        <v>3418</v>
      </c>
      <c r="B6218" s="4">
        <v>30306268</v>
      </c>
    </row>
    <row r="6219" customHeight="1" spans="1:2">
      <c r="A6219" s="3" t="s">
        <v>5035</v>
      </c>
      <c r="B6219" s="4">
        <v>63939454</v>
      </c>
    </row>
    <row r="6220" customHeight="1" spans="1:2">
      <c r="A6220" s="3" t="s">
        <v>974</v>
      </c>
      <c r="B6220" s="4">
        <v>39292022</v>
      </c>
    </row>
    <row r="6221" customHeight="1" spans="1:2">
      <c r="A6221" s="3" t="s">
        <v>10425</v>
      </c>
      <c r="B6221" s="4">
        <v>12549485</v>
      </c>
    </row>
    <row r="6222" customHeight="1" spans="1:2">
      <c r="A6222" s="3" t="s">
        <v>22196</v>
      </c>
      <c r="B6222" s="4"/>
    </row>
    <row r="6223" customHeight="1" spans="1:2">
      <c r="A6223" s="3" t="s">
        <v>2419</v>
      </c>
      <c r="B6223" s="4">
        <v>106126012</v>
      </c>
    </row>
    <row r="6224" customHeight="1" spans="1:2">
      <c r="A6224" s="3" t="s">
        <v>20353</v>
      </c>
      <c r="B6224" s="4"/>
    </row>
    <row r="6225" customHeight="1" spans="1:2">
      <c r="A6225" s="3" t="s">
        <v>756</v>
      </c>
      <c r="B6225" s="4">
        <v>56114221</v>
      </c>
    </row>
    <row r="6226" customHeight="1" spans="1:2">
      <c r="A6226" s="3" t="s">
        <v>19804</v>
      </c>
      <c r="B6226" s="4">
        <v>489220</v>
      </c>
    </row>
    <row r="6227" customHeight="1" spans="1:2">
      <c r="A6227" s="3" t="s">
        <v>20298</v>
      </c>
      <c r="B6227" s="4"/>
    </row>
    <row r="6228" customHeight="1" spans="1:2">
      <c r="A6228" s="3" t="s">
        <v>2713</v>
      </c>
      <c r="B6228" s="4">
        <v>22362500</v>
      </c>
    </row>
    <row r="6229" customHeight="1" spans="1:2">
      <c r="A6229" s="3" t="s">
        <v>18967</v>
      </c>
      <c r="B6229" s="4">
        <v>20186</v>
      </c>
    </row>
    <row r="6230" customHeight="1" spans="1:2">
      <c r="A6230" s="3" t="s">
        <v>11134</v>
      </c>
      <c r="B6230" s="4">
        <v>2605039</v>
      </c>
    </row>
    <row r="6231" customHeight="1" spans="1:2">
      <c r="A6231" s="3" t="s">
        <v>21117</v>
      </c>
      <c r="B6231" s="4"/>
    </row>
    <row r="6232" customHeight="1" spans="1:2">
      <c r="A6232" s="3" t="s">
        <v>532</v>
      </c>
      <c r="B6232" s="4">
        <v>183635922</v>
      </c>
    </row>
    <row r="6233" customHeight="1" spans="1:2">
      <c r="A6233" s="3" t="s">
        <v>6872</v>
      </c>
      <c r="B6233" s="4">
        <v>12276810</v>
      </c>
    </row>
    <row r="6234" customHeight="1" spans="1:2">
      <c r="A6234" s="3" t="s">
        <v>10712</v>
      </c>
      <c r="B6234" s="4">
        <v>102055</v>
      </c>
    </row>
    <row r="6235" customHeight="1" spans="1:2">
      <c r="A6235" s="3" t="s">
        <v>15029</v>
      </c>
      <c r="B6235" s="4">
        <v>24475193</v>
      </c>
    </row>
    <row r="6236" customHeight="1" spans="1:2">
      <c r="A6236" s="3" t="s">
        <v>7408</v>
      </c>
      <c r="B6236" s="4"/>
    </row>
    <row r="6237" customHeight="1" spans="1:2">
      <c r="A6237" s="3" t="s">
        <v>16251</v>
      </c>
      <c r="B6237" s="4">
        <v>100412</v>
      </c>
    </row>
    <row r="6238" customHeight="1" spans="1:2">
      <c r="A6238" s="3" t="s">
        <v>9819</v>
      </c>
      <c r="B6238" s="4">
        <v>44667095</v>
      </c>
    </row>
    <row r="6239" customHeight="1" spans="1:2">
      <c r="A6239" s="3" t="s">
        <v>20568</v>
      </c>
      <c r="B6239" s="4"/>
    </row>
    <row r="6240" customHeight="1" spans="1:2">
      <c r="A6240" s="3" t="s">
        <v>18412</v>
      </c>
      <c r="B6240" s="4">
        <v>2859955</v>
      </c>
    </row>
    <row r="6241" customHeight="1" spans="1:2">
      <c r="A6241" s="3" t="s">
        <v>19781</v>
      </c>
      <c r="B6241" s="4"/>
    </row>
    <row r="6242" customHeight="1" spans="1:2">
      <c r="A6242" s="3" t="s">
        <v>14247</v>
      </c>
      <c r="B6242" s="4">
        <v>9190525</v>
      </c>
    </row>
    <row r="6243" customHeight="1" spans="1:2">
      <c r="A6243" s="3" t="s">
        <v>22665</v>
      </c>
      <c r="B6243" s="4"/>
    </row>
    <row r="6244" customHeight="1" spans="1:2">
      <c r="A6244" s="3" t="s">
        <v>18193</v>
      </c>
      <c r="B6244" s="4">
        <v>183490</v>
      </c>
    </row>
    <row r="6245" customHeight="1" spans="1:2">
      <c r="A6245" s="3" t="s">
        <v>1429</v>
      </c>
      <c r="B6245" s="4">
        <v>145771527</v>
      </c>
    </row>
    <row r="6246" customHeight="1" spans="1:2">
      <c r="A6246" s="3" t="s">
        <v>2379</v>
      </c>
      <c r="B6246" s="4">
        <v>136801374</v>
      </c>
    </row>
    <row r="6247" customHeight="1" spans="1:2">
      <c r="A6247" s="3" t="s">
        <v>847</v>
      </c>
      <c r="B6247" s="4">
        <v>228430993</v>
      </c>
    </row>
    <row r="6248" customHeight="1" spans="1:2">
      <c r="A6248" s="3" t="s">
        <v>18667</v>
      </c>
      <c r="B6248" s="4">
        <v>4417124</v>
      </c>
    </row>
    <row r="6249" customHeight="1" spans="1:2">
      <c r="A6249" s="3" t="s">
        <v>24046</v>
      </c>
      <c r="B6249" s="4"/>
    </row>
    <row r="6250" customHeight="1" spans="1:2">
      <c r="A6250" s="3" t="s">
        <v>21349</v>
      </c>
      <c r="B6250" s="4"/>
    </row>
    <row r="6251" customHeight="1" spans="1:2">
      <c r="A6251" s="3" t="s">
        <v>14524</v>
      </c>
      <c r="B6251" s="4">
        <v>6173485</v>
      </c>
    </row>
    <row r="6252" customHeight="1" spans="1:2">
      <c r="A6252" s="3" t="s">
        <v>5465</v>
      </c>
      <c r="B6252" s="4">
        <v>10654581</v>
      </c>
    </row>
    <row r="6253" customHeight="1" spans="1:2">
      <c r="A6253" s="3" t="s">
        <v>20054</v>
      </c>
      <c r="B6253" s="4"/>
    </row>
    <row r="6254" customHeight="1" spans="1:2">
      <c r="A6254" s="3" t="s">
        <v>1950</v>
      </c>
      <c r="B6254" s="4">
        <v>72660029</v>
      </c>
    </row>
    <row r="6255" customHeight="1" spans="1:2">
      <c r="A6255" s="3" t="s">
        <v>22551</v>
      </c>
      <c r="B6255" s="4"/>
    </row>
    <row r="6256" customHeight="1" spans="1:2">
      <c r="A6256" s="3" t="s">
        <v>21288</v>
      </c>
      <c r="B6256" s="4"/>
    </row>
    <row r="6257" customHeight="1" spans="1:2">
      <c r="A6257" s="6" t="s">
        <v>24167</v>
      </c>
      <c r="B6257" s="7">
        <v>89289910</v>
      </c>
    </row>
  </sheetData>
  <hyperlinks>
    <hyperlink ref="A1577" r:id="rId3" display="Dominik Castell"/>
  </hyperlinks>
  <pageMargins left="0.75" right="0.75" top="1" bottom="1" header="0.5" footer="0.5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4917"/>
  <sheetViews>
    <sheetView showGridLines="0" workbookViewId="0">
      <selection activeCell="A1" sqref="A1"/>
    </sheetView>
  </sheetViews>
  <sheetFormatPr defaultColWidth="12.6296296296296" defaultRowHeight="15.75" customHeight="1" outlineLevelCol="1"/>
  <cols>
    <col min="3" max="3" width="25.75" customWidth="1"/>
  </cols>
  <sheetData>
    <row r="1" customHeight="1" spans="1:2">
      <c r="A1" s="1" t="s">
        <v>12</v>
      </c>
      <c r="B1" s="2" t="s">
        <v>24165</v>
      </c>
    </row>
    <row r="2" customHeight="1" spans="1:2">
      <c r="A2" s="1" t="s">
        <v>21091</v>
      </c>
      <c r="B2" s="2"/>
    </row>
    <row r="3" customHeight="1" spans="1:2">
      <c r="A3" s="3" t="s">
        <v>17374</v>
      </c>
      <c r="B3" s="4">
        <v>27024</v>
      </c>
    </row>
    <row r="4" customHeight="1" spans="1:2">
      <c r="A4" s="3" t="s">
        <v>20093</v>
      </c>
      <c r="B4" s="4"/>
    </row>
    <row r="5" customHeight="1" spans="1:2">
      <c r="A5" s="3" t="s">
        <v>17531</v>
      </c>
      <c r="B5" s="4">
        <v>71897215</v>
      </c>
    </row>
    <row r="6" customHeight="1" spans="1:2">
      <c r="A6" s="3" t="s">
        <v>14443</v>
      </c>
      <c r="B6" s="4">
        <v>14616</v>
      </c>
    </row>
    <row r="7" customHeight="1" spans="1:2">
      <c r="A7" s="3" t="s">
        <v>13690</v>
      </c>
      <c r="B7" s="4">
        <v>38176108</v>
      </c>
    </row>
    <row r="8" customHeight="1" spans="1:2">
      <c r="A8" s="3" t="s">
        <v>1674</v>
      </c>
      <c r="B8" s="4"/>
    </row>
    <row r="9" customHeight="1" spans="1:2">
      <c r="A9" s="3" t="s">
        <v>2361</v>
      </c>
      <c r="B9" s="4">
        <v>66941559</v>
      </c>
    </row>
    <row r="10" customHeight="1" spans="1:2">
      <c r="A10" s="3" t="s">
        <v>16241</v>
      </c>
      <c r="B10" s="4">
        <v>53481</v>
      </c>
    </row>
    <row r="11" customHeight="1" spans="1:2">
      <c r="A11" s="3" t="s">
        <v>17266</v>
      </c>
      <c r="B11" s="4"/>
    </row>
    <row r="12" customHeight="1" spans="1:2">
      <c r="A12" s="3" t="s">
        <v>22996</v>
      </c>
      <c r="B12" s="4"/>
    </row>
    <row r="13" customHeight="1" spans="1:2">
      <c r="A13" s="3" t="s">
        <v>8780</v>
      </c>
      <c r="B13" s="4"/>
    </row>
    <row r="14" customHeight="1" spans="1:2">
      <c r="A14" s="3" t="s">
        <v>11209</v>
      </c>
      <c r="B14" s="4">
        <v>12232937</v>
      </c>
    </row>
    <row r="15" customHeight="1" spans="1:2">
      <c r="A15" s="3" t="s">
        <v>10725</v>
      </c>
      <c r="B15" s="4">
        <v>56667870</v>
      </c>
    </row>
    <row r="16" customHeight="1" spans="1:2">
      <c r="A16" s="3" t="s">
        <v>11876</v>
      </c>
      <c r="B16" s="4">
        <v>18329466</v>
      </c>
    </row>
    <row r="17" customHeight="1" spans="1:2">
      <c r="A17" s="3" t="s">
        <v>8254</v>
      </c>
      <c r="B17" s="4">
        <v>56044241</v>
      </c>
    </row>
    <row r="18" customHeight="1" spans="1:2">
      <c r="A18" s="3" t="s">
        <v>5197</v>
      </c>
      <c r="B18" s="4">
        <v>52822418</v>
      </c>
    </row>
    <row r="19" customHeight="1" spans="1:2">
      <c r="A19" s="3" t="s">
        <v>10323</v>
      </c>
      <c r="B19" s="4">
        <v>71975611</v>
      </c>
    </row>
    <row r="20" customHeight="1" spans="1:2">
      <c r="A20" s="3" t="s">
        <v>6154</v>
      </c>
      <c r="B20" s="4">
        <v>24375436</v>
      </c>
    </row>
    <row r="21" customHeight="1" spans="1:2">
      <c r="A21" s="3" t="s">
        <v>5894</v>
      </c>
      <c r="B21" s="4">
        <v>36883539</v>
      </c>
    </row>
    <row r="22" customHeight="1" spans="1:2">
      <c r="A22" s="3" t="s">
        <v>21841</v>
      </c>
      <c r="B22" s="4"/>
    </row>
    <row r="23" customHeight="1" spans="1:2">
      <c r="A23" s="3" t="s">
        <v>6394</v>
      </c>
      <c r="B23" s="4">
        <v>64149837</v>
      </c>
    </row>
    <row r="24" customHeight="1" spans="1:2">
      <c r="A24" s="3" t="s">
        <v>18734</v>
      </c>
      <c r="B24" s="4"/>
    </row>
    <row r="25" customHeight="1" spans="1:2">
      <c r="A25" s="3" t="s">
        <v>8710</v>
      </c>
      <c r="B25" s="4">
        <v>127437</v>
      </c>
    </row>
    <row r="26" customHeight="1" spans="1:2">
      <c r="A26" s="3" t="s">
        <v>7961</v>
      </c>
      <c r="B26" s="4"/>
    </row>
    <row r="27" customHeight="1" spans="1:2">
      <c r="A27" s="3" t="s">
        <v>22111</v>
      </c>
      <c r="B27" s="4"/>
    </row>
    <row r="28" customHeight="1" spans="1:2">
      <c r="A28" s="3" t="s">
        <v>2946</v>
      </c>
      <c r="B28" s="4">
        <v>127083765</v>
      </c>
    </row>
    <row r="29" customHeight="1" spans="1:2">
      <c r="A29" s="3" t="s">
        <v>3987</v>
      </c>
      <c r="B29" s="4">
        <v>75573300</v>
      </c>
    </row>
    <row r="30" customHeight="1" spans="1:2">
      <c r="A30" s="3" t="s">
        <v>19013</v>
      </c>
      <c r="B30" s="4"/>
    </row>
    <row r="31" customHeight="1" spans="1:2">
      <c r="A31" s="3" t="s">
        <v>23794</v>
      </c>
      <c r="B31" s="4">
        <v>536767</v>
      </c>
    </row>
    <row r="32" customHeight="1" spans="1:2">
      <c r="A32" s="3" t="s">
        <v>21665</v>
      </c>
      <c r="B32" s="4">
        <v>4946250</v>
      </c>
    </row>
    <row r="33" customHeight="1" spans="1:2">
      <c r="A33" s="3" t="s">
        <v>17589</v>
      </c>
      <c r="B33" s="4"/>
    </row>
    <row r="34" customHeight="1" spans="1:2">
      <c r="A34" s="3" t="s">
        <v>17110</v>
      </c>
      <c r="B34" s="4">
        <v>6851636</v>
      </c>
    </row>
    <row r="35" customHeight="1" spans="1:2">
      <c r="A35" s="3" t="s">
        <v>14728</v>
      </c>
      <c r="B35" s="4">
        <v>56715371</v>
      </c>
    </row>
    <row r="36" customHeight="1" spans="1:2">
      <c r="A36" s="3" t="s">
        <v>433</v>
      </c>
      <c r="B36" s="4">
        <v>166112167</v>
      </c>
    </row>
    <row r="37" customHeight="1" spans="1:2">
      <c r="A37" s="3" t="s">
        <v>19805</v>
      </c>
      <c r="B37" s="4">
        <v>33349949</v>
      </c>
    </row>
    <row r="38" customHeight="1" spans="1:2">
      <c r="A38" s="3" t="s">
        <v>14347</v>
      </c>
      <c r="B38" s="4">
        <v>261481</v>
      </c>
    </row>
    <row r="39" customHeight="1" spans="1:2">
      <c r="A39" s="3" t="s">
        <v>13824</v>
      </c>
      <c r="B39" s="4">
        <v>25675765</v>
      </c>
    </row>
    <row r="40" customHeight="1" spans="1:2">
      <c r="A40" s="3" t="s">
        <v>11119</v>
      </c>
      <c r="B40" s="4">
        <v>16248701</v>
      </c>
    </row>
    <row r="41" customHeight="1" spans="1:2">
      <c r="A41" s="3" t="s">
        <v>6086</v>
      </c>
      <c r="B41" s="4">
        <v>138447667</v>
      </c>
    </row>
    <row r="42" customHeight="1" spans="1:2">
      <c r="A42" s="3" t="s">
        <v>7295</v>
      </c>
      <c r="B42" s="4">
        <v>81159365</v>
      </c>
    </row>
    <row r="43" customHeight="1" spans="1:2">
      <c r="A43" s="3" t="s">
        <v>5048</v>
      </c>
      <c r="B43" s="4">
        <v>191616238</v>
      </c>
    </row>
    <row r="44" customHeight="1" spans="1:2">
      <c r="A44" s="3" t="s">
        <v>20398</v>
      </c>
      <c r="B44" s="4"/>
    </row>
    <row r="45" customHeight="1" spans="1:2">
      <c r="A45" s="3" t="s">
        <v>18233</v>
      </c>
      <c r="B45" s="4">
        <v>13060843</v>
      </c>
    </row>
    <row r="46" customHeight="1" spans="1:2">
      <c r="A46" s="3" t="s">
        <v>8168</v>
      </c>
      <c r="B46" s="4">
        <v>76806312</v>
      </c>
    </row>
    <row r="47" customHeight="1" spans="1:2">
      <c r="A47" s="3" t="s">
        <v>15994</v>
      </c>
      <c r="B47" s="4">
        <v>45063889</v>
      </c>
    </row>
    <row r="48" customHeight="1" spans="1:2">
      <c r="A48" s="3" t="s">
        <v>6058</v>
      </c>
      <c r="B48" s="4">
        <v>37035515</v>
      </c>
    </row>
    <row r="49" customHeight="1" spans="1:2">
      <c r="A49" s="3" t="s">
        <v>12865</v>
      </c>
      <c r="B49" s="4">
        <v>28637507</v>
      </c>
    </row>
    <row r="50" customHeight="1" spans="1:2">
      <c r="A50" s="3" t="s">
        <v>23056</v>
      </c>
      <c r="B50" s="4"/>
    </row>
    <row r="51" customHeight="1" spans="1:2">
      <c r="A51" s="3" t="s">
        <v>8970</v>
      </c>
      <c r="B51" s="4">
        <v>30688364</v>
      </c>
    </row>
    <row r="52" customHeight="1" spans="1:2">
      <c r="A52" s="3" t="s">
        <v>12651</v>
      </c>
      <c r="B52" s="4">
        <v>167780960</v>
      </c>
    </row>
    <row r="53" customHeight="1" spans="1:2">
      <c r="A53" s="3" t="s">
        <v>11218</v>
      </c>
      <c r="B53" s="4">
        <v>11784000</v>
      </c>
    </row>
    <row r="54" customHeight="1" spans="1:2">
      <c r="A54" s="3" t="s">
        <v>18522</v>
      </c>
      <c r="B54" s="4">
        <v>9821335</v>
      </c>
    </row>
    <row r="55" customHeight="1" spans="1:2">
      <c r="A55" s="3" t="s">
        <v>23419</v>
      </c>
      <c r="B55" s="4">
        <v>59774</v>
      </c>
    </row>
    <row r="56" customHeight="1" spans="1:2">
      <c r="A56" s="3" t="s">
        <v>5587</v>
      </c>
      <c r="B56" s="4">
        <v>53574088</v>
      </c>
    </row>
    <row r="57" customHeight="1" spans="1:2">
      <c r="A57" s="3" t="s">
        <v>8376</v>
      </c>
      <c r="B57" s="4">
        <v>39568996</v>
      </c>
    </row>
    <row r="58" customHeight="1" spans="1:2">
      <c r="A58" s="3" t="s">
        <v>8943</v>
      </c>
      <c r="B58" s="4">
        <v>37053924</v>
      </c>
    </row>
    <row r="59" customHeight="1" spans="1:2">
      <c r="A59" s="3" t="s">
        <v>19562</v>
      </c>
      <c r="B59" s="4"/>
    </row>
    <row r="60" customHeight="1" spans="1:2">
      <c r="A60" s="3" t="s">
        <v>3925</v>
      </c>
      <c r="B60" s="4">
        <v>210592590</v>
      </c>
    </row>
    <row r="61" customHeight="1" spans="1:2">
      <c r="A61" s="3" t="s">
        <v>1573</v>
      </c>
      <c r="B61" s="4">
        <v>106369117</v>
      </c>
    </row>
    <row r="62" customHeight="1" spans="1:2">
      <c r="A62" s="3" t="s">
        <v>3905</v>
      </c>
      <c r="B62" s="4">
        <v>15738632</v>
      </c>
    </row>
    <row r="63" customHeight="1" spans="1:2">
      <c r="A63" s="3" t="s">
        <v>6989</v>
      </c>
      <c r="B63" s="4"/>
    </row>
    <row r="64" customHeight="1" spans="1:2">
      <c r="A64" s="3" t="s">
        <v>22053</v>
      </c>
      <c r="B64" s="4">
        <v>1185783</v>
      </c>
    </row>
    <row r="65" customHeight="1" spans="1:2">
      <c r="A65" s="3" t="s">
        <v>12190</v>
      </c>
      <c r="B65" s="4">
        <v>37939782</v>
      </c>
    </row>
    <row r="66" customHeight="1" spans="1:2">
      <c r="A66" s="3" t="s">
        <v>6331</v>
      </c>
      <c r="B66" s="4">
        <v>95001343</v>
      </c>
    </row>
    <row r="67" customHeight="1" spans="1:2">
      <c r="A67" s="3" t="s">
        <v>22801</v>
      </c>
      <c r="B67" s="4">
        <v>2300000</v>
      </c>
    </row>
    <row r="68" customHeight="1" spans="1:2">
      <c r="A68" s="3" t="s">
        <v>591</v>
      </c>
      <c r="B68" s="4">
        <v>38297305</v>
      </c>
    </row>
    <row r="69" customHeight="1" spans="1:2">
      <c r="A69" s="3" t="s">
        <v>14428</v>
      </c>
      <c r="B69" s="4">
        <v>17149</v>
      </c>
    </row>
    <row r="70" customHeight="1" spans="1:2">
      <c r="A70" s="3" t="s">
        <v>3020</v>
      </c>
      <c r="B70" s="4">
        <v>120776832</v>
      </c>
    </row>
    <row r="71" customHeight="1" spans="1:2">
      <c r="A71" s="3" t="s">
        <v>16016</v>
      </c>
      <c r="B71" s="4">
        <v>34963967</v>
      </c>
    </row>
    <row r="72" customHeight="1" spans="1:2">
      <c r="A72" s="3" t="s">
        <v>16463</v>
      </c>
      <c r="B72" s="4">
        <v>32391374</v>
      </c>
    </row>
    <row r="73" customHeight="1" spans="1:2">
      <c r="A73" s="3" t="s">
        <v>22982</v>
      </c>
      <c r="B73" s="4">
        <v>84689</v>
      </c>
    </row>
    <row r="74" customHeight="1" spans="1:2">
      <c r="A74" s="3" t="s">
        <v>13809</v>
      </c>
      <c r="B74" s="4">
        <v>16574731</v>
      </c>
    </row>
    <row r="75" customHeight="1" spans="1:2">
      <c r="A75" s="3" t="s">
        <v>12260</v>
      </c>
      <c r="B75" s="4"/>
    </row>
    <row r="76" customHeight="1" spans="1:2">
      <c r="A76" s="3" t="s">
        <v>20013</v>
      </c>
      <c r="B76" s="4"/>
    </row>
    <row r="77" customHeight="1" spans="1:2">
      <c r="A77" s="3" t="s">
        <v>19391</v>
      </c>
      <c r="B77" s="4">
        <v>3559990</v>
      </c>
    </row>
    <row r="78" customHeight="1" spans="1:2">
      <c r="A78" s="3" t="s">
        <v>6202</v>
      </c>
      <c r="B78" s="4">
        <v>116724075</v>
      </c>
    </row>
    <row r="79" customHeight="1" spans="1:2">
      <c r="A79" s="3" t="s">
        <v>16151</v>
      </c>
      <c r="B79" s="4">
        <v>3076425</v>
      </c>
    </row>
    <row r="80" customHeight="1" spans="1:2">
      <c r="A80" s="3" t="s">
        <v>19915</v>
      </c>
      <c r="B80" s="4">
        <v>99851</v>
      </c>
    </row>
    <row r="81" customHeight="1" spans="1:2">
      <c r="A81" s="3" t="s">
        <v>8544</v>
      </c>
      <c r="B81" s="4">
        <v>16930884</v>
      </c>
    </row>
    <row r="82" customHeight="1" spans="1:2">
      <c r="A82" s="3" t="s">
        <v>6568</v>
      </c>
      <c r="B82" s="4">
        <v>36283504</v>
      </c>
    </row>
    <row r="83" customHeight="1" spans="1:2">
      <c r="A83" s="3" t="s">
        <v>8444</v>
      </c>
      <c r="B83" s="4">
        <v>31743332</v>
      </c>
    </row>
    <row r="84" customHeight="1" spans="1:2">
      <c r="A84" s="3" t="s">
        <v>17893</v>
      </c>
      <c r="B84" s="4">
        <v>4700361</v>
      </c>
    </row>
    <row r="85" customHeight="1" spans="1:2">
      <c r="A85" s="3" t="s">
        <v>11956</v>
      </c>
      <c r="B85" s="4">
        <v>6734844</v>
      </c>
    </row>
    <row r="86" customHeight="1" spans="1:2">
      <c r="A86" s="3" t="s">
        <v>2916</v>
      </c>
      <c r="B86" s="4">
        <v>170708996</v>
      </c>
    </row>
    <row r="87" customHeight="1" spans="1:2">
      <c r="A87" s="3" t="s">
        <v>20737</v>
      </c>
      <c r="B87" s="4"/>
    </row>
    <row r="88" customHeight="1" spans="1:2">
      <c r="A88" s="3" t="s">
        <v>15242</v>
      </c>
      <c r="B88" s="4">
        <v>1754319</v>
      </c>
    </row>
    <row r="89" customHeight="1" spans="1:2">
      <c r="A89" s="3" t="s">
        <v>9262</v>
      </c>
      <c r="B89" s="4">
        <v>50800000</v>
      </c>
    </row>
    <row r="90" customHeight="1" spans="1:2">
      <c r="A90" s="3" t="s">
        <v>5799</v>
      </c>
      <c r="B90" s="4">
        <v>162792677</v>
      </c>
    </row>
    <row r="91" customHeight="1" spans="1:2">
      <c r="A91" s="3" t="s">
        <v>23605</v>
      </c>
      <c r="B91" s="4"/>
    </row>
    <row r="92" customHeight="1" spans="1:2">
      <c r="A92" s="3" t="s">
        <v>441</v>
      </c>
      <c r="B92" s="4">
        <v>137850096</v>
      </c>
    </row>
    <row r="93" customHeight="1" spans="1:2">
      <c r="A93" s="3" t="s">
        <v>19100</v>
      </c>
      <c r="B93" s="4"/>
    </row>
    <row r="94" customHeight="1" spans="1:2">
      <c r="A94" s="3" t="s">
        <v>11565</v>
      </c>
      <c r="B94" s="4">
        <v>51431160</v>
      </c>
    </row>
    <row r="95" customHeight="1" spans="1:2">
      <c r="A95" s="3" t="s">
        <v>4120</v>
      </c>
      <c r="B95" s="4">
        <v>56702901</v>
      </c>
    </row>
    <row r="96" customHeight="1" spans="1:2">
      <c r="A96" s="3" t="s">
        <v>11337</v>
      </c>
      <c r="B96" s="4">
        <v>5702083</v>
      </c>
    </row>
    <row r="97" customHeight="1" spans="1:2">
      <c r="A97" s="3" t="s">
        <v>16646</v>
      </c>
      <c r="B97" s="4">
        <v>2148212</v>
      </c>
    </row>
    <row r="98" customHeight="1" spans="1:2">
      <c r="A98" s="3" t="s">
        <v>23664</v>
      </c>
      <c r="B98" s="4"/>
    </row>
    <row r="99" customHeight="1" spans="1:2">
      <c r="A99" s="3" t="s">
        <v>17793</v>
      </c>
      <c r="B99" s="4"/>
    </row>
    <row r="100" customHeight="1" spans="1:2">
      <c r="A100" s="3" t="s">
        <v>7815</v>
      </c>
      <c r="B100" s="4">
        <v>141340178</v>
      </c>
    </row>
    <row r="101" customHeight="1" spans="1:2">
      <c r="A101" s="3" t="s">
        <v>22007</v>
      </c>
      <c r="B101" s="4"/>
    </row>
    <row r="102" customHeight="1" spans="1:2">
      <c r="A102" s="3" t="s">
        <v>23389</v>
      </c>
      <c r="B102" s="4">
        <v>3500000</v>
      </c>
    </row>
    <row r="103" customHeight="1" spans="1:2">
      <c r="A103" s="3" t="s">
        <v>20570</v>
      </c>
      <c r="B103" s="4"/>
    </row>
    <row r="104" customHeight="1" spans="1:2">
      <c r="A104" s="3" t="s">
        <v>2052</v>
      </c>
      <c r="B104" s="4">
        <v>67344392</v>
      </c>
    </row>
    <row r="105" customHeight="1" spans="1:2">
      <c r="A105" s="3" t="s">
        <v>7695</v>
      </c>
      <c r="B105" s="4">
        <v>7458269</v>
      </c>
    </row>
    <row r="106" customHeight="1" spans="1:2">
      <c r="A106" s="3" t="s">
        <v>19738</v>
      </c>
      <c r="B106" s="4"/>
    </row>
    <row r="107" customHeight="1" spans="1:2">
      <c r="A107" s="3" t="s">
        <v>11129</v>
      </c>
      <c r="B107" s="4">
        <v>15408822</v>
      </c>
    </row>
    <row r="108" customHeight="1" spans="1:2">
      <c r="A108" s="3" t="s">
        <v>22457</v>
      </c>
      <c r="B108" s="4">
        <v>515005</v>
      </c>
    </row>
    <row r="109" customHeight="1" spans="1:2">
      <c r="A109" s="3" t="s">
        <v>18550</v>
      </c>
      <c r="B109" s="4">
        <v>17314483</v>
      </c>
    </row>
    <row r="110" customHeight="1" spans="1:2">
      <c r="A110" s="3" t="s">
        <v>19799</v>
      </c>
      <c r="B110" s="4">
        <v>40041683</v>
      </c>
    </row>
    <row r="111" customHeight="1" spans="1:2">
      <c r="A111" s="3" t="s">
        <v>7971</v>
      </c>
      <c r="B111" s="4">
        <v>31493782</v>
      </c>
    </row>
    <row r="112" customHeight="1" spans="1:2">
      <c r="A112" s="3" t="s">
        <v>16921</v>
      </c>
      <c r="B112" s="4">
        <v>1029017</v>
      </c>
    </row>
    <row r="113" customHeight="1" spans="1:2">
      <c r="A113" s="3" t="s">
        <v>6212</v>
      </c>
      <c r="B113" s="4">
        <v>56083966</v>
      </c>
    </row>
    <row r="114" customHeight="1" spans="1:2">
      <c r="A114" s="3" t="s">
        <v>6286</v>
      </c>
      <c r="B114" s="4">
        <v>107458785</v>
      </c>
    </row>
    <row r="115" customHeight="1" spans="1:2">
      <c r="A115" s="3" t="s">
        <v>21794</v>
      </c>
      <c r="B115" s="4">
        <v>100240</v>
      </c>
    </row>
    <row r="116" customHeight="1" spans="1:2">
      <c r="A116" s="3" t="s">
        <v>18718</v>
      </c>
      <c r="B116" s="4"/>
    </row>
    <row r="117" customHeight="1" spans="1:2">
      <c r="A117" s="3" t="s">
        <v>9725</v>
      </c>
      <c r="B117" s="4">
        <v>21835784</v>
      </c>
    </row>
    <row r="118" customHeight="1" spans="1:2">
      <c r="A118" s="3" t="s">
        <v>14915</v>
      </c>
      <c r="B118" s="4">
        <v>29392418</v>
      </c>
    </row>
    <row r="119" customHeight="1" spans="1:2">
      <c r="A119" s="3" t="s">
        <v>9519</v>
      </c>
      <c r="B119" s="4">
        <v>52528330</v>
      </c>
    </row>
    <row r="120" customHeight="1" spans="1:2">
      <c r="A120" s="3" t="s">
        <v>7196</v>
      </c>
      <c r="B120" s="4">
        <v>26183197</v>
      </c>
    </row>
    <row r="121" customHeight="1" spans="1:2">
      <c r="A121" s="3" t="s">
        <v>18785</v>
      </c>
      <c r="B121" s="4"/>
    </row>
    <row r="122" customHeight="1" spans="1:2">
      <c r="A122" s="3" t="s">
        <v>13090</v>
      </c>
      <c r="B122" s="4">
        <v>9172810</v>
      </c>
    </row>
    <row r="123" customHeight="1" spans="1:2">
      <c r="A123" s="3" t="s">
        <v>17067</v>
      </c>
      <c r="B123" s="4">
        <v>17508936</v>
      </c>
    </row>
    <row r="124" customHeight="1" spans="1:2">
      <c r="A124" s="3" t="s">
        <v>6614</v>
      </c>
      <c r="B124" s="4">
        <v>42615685</v>
      </c>
    </row>
    <row r="125" customHeight="1" spans="1:2">
      <c r="A125" s="3" t="s">
        <v>6899</v>
      </c>
      <c r="B125" s="4"/>
    </row>
    <row r="126" customHeight="1" spans="1:2">
      <c r="A126" s="3" t="s">
        <v>11363</v>
      </c>
      <c r="B126" s="4">
        <v>5749134</v>
      </c>
    </row>
    <row r="127" customHeight="1" spans="1:2">
      <c r="A127" s="3" t="s">
        <v>12987</v>
      </c>
      <c r="B127" s="4">
        <v>17237244</v>
      </c>
    </row>
    <row r="128" customHeight="1" spans="1:2">
      <c r="A128" s="3" t="s">
        <v>12195</v>
      </c>
      <c r="B128" s="4">
        <v>30324946</v>
      </c>
    </row>
    <row r="129" customHeight="1" spans="1:2">
      <c r="A129" s="3" t="s">
        <v>19198</v>
      </c>
      <c r="B129" s="4">
        <v>30000000</v>
      </c>
    </row>
    <row r="130" customHeight="1" spans="1:2">
      <c r="A130" s="3" t="s">
        <v>17555</v>
      </c>
      <c r="B130" s="4">
        <v>44793200</v>
      </c>
    </row>
    <row r="131" customHeight="1" spans="1:2">
      <c r="A131" s="3" t="s">
        <v>13666</v>
      </c>
      <c r="B131" s="4">
        <v>49369900</v>
      </c>
    </row>
    <row r="132" customHeight="1" spans="1:2">
      <c r="A132" s="3" t="s">
        <v>17029</v>
      </c>
      <c r="B132" s="4">
        <v>22168359</v>
      </c>
    </row>
    <row r="133" customHeight="1" spans="1:2">
      <c r="A133" s="3" t="s">
        <v>7332</v>
      </c>
      <c r="B133" s="4">
        <v>53010000</v>
      </c>
    </row>
    <row r="134" customHeight="1" spans="1:2">
      <c r="A134" s="3" t="s">
        <v>9068</v>
      </c>
      <c r="B134" s="4">
        <v>26400000</v>
      </c>
    </row>
    <row r="135" customHeight="1" spans="1:2">
      <c r="A135" s="3" t="s">
        <v>13452</v>
      </c>
      <c r="B135" s="4">
        <v>15483540</v>
      </c>
    </row>
    <row r="136" customHeight="1" spans="1:2">
      <c r="A136" s="3" t="s">
        <v>9893</v>
      </c>
      <c r="B136" s="4"/>
    </row>
    <row r="137" customHeight="1" spans="1:2">
      <c r="A137" s="3" t="s">
        <v>24152</v>
      </c>
      <c r="B137" s="4"/>
    </row>
    <row r="138" customHeight="1" spans="1:2">
      <c r="A138" s="3" t="s">
        <v>14958</v>
      </c>
      <c r="B138" s="4">
        <v>20338609</v>
      </c>
    </row>
    <row r="139" customHeight="1" spans="1:2">
      <c r="A139" s="3" t="s">
        <v>17485</v>
      </c>
      <c r="B139" s="4">
        <v>18434</v>
      </c>
    </row>
    <row r="140" customHeight="1" spans="1:2">
      <c r="A140" s="3" t="s">
        <v>19201</v>
      </c>
      <c r="B140" s="4">
        <v>20966644</v>
      </c>
    </row>
    <row r="141" customHeight="1" spans="1:2">
      <c r="A141" s="3" t="s">
        <v>11341</v>
      </c>
      <c r="B141" s="4">
        <v>5480996</v>
      </c>
    </row>
    <row r="142" customHeight="1" spans="1:2">
      <c r="A142" s="3" t="s">
        <v>22147</v>
      </c>
      <c r="B142" s="4">
        <v>7098492</v>
      </c>
    </row>
    <row r="143" customHeight="1" spans="1:2">
      <c r="A143" s="3" t="s">
        <v>16572</v>
      </c>
      <c r="B143" s="4">
        <v>9190525</v>
      </c>
    </row>
    <row r="144" customHeight="1" spans="1:2">
      <c r="A144" s="3" t="s">
        <v>17283</v>
      </c>
      <c r="B144" s="4"/>
    </row>
    <row r="145" customHeight="1" spans="1:2">
      <c r="A145" s="3" t="s">
        <v>12234</v>
      </c>
      <c r="B145" s="4">
        <v>16311763</v>
      </c>
    </row>
    <row r="146" customHeight="1" spans="1:2">
      <c r="A146" s="3" t="s">
        <v>9005</v>
      </c>
      <c r="B146" s="4">
        <v>8119205</v>
      </c>
    </row>
    <row r="147" customHeight="1" spans="1:2">
      <c r="A147" s="3" t="s">
        <v>16588</v>
      </c>
      <c r="B147" s="4">
        <v>9166863</v>
      </c>
    </row>
    <row r="148" customHeight="1" spans="1:2">
      <c r="A148" s="3" t="s">
        <v>2897</v>
      </c>
      <c r="B148" s="4">
        <v>1891821</v>
      </c>
    </row>
    <row r="149" customHeight="1" spans="1:2">
      <c r="A149" s="3" t="s">
        <v>20666</v>
      </c>
      <c r="B149" s="4"/>
    </row>
    <row r="150" customHeight="1" spans="1:2">
      <c r="A150" s="3" t="s">
        <v>14477</v>
      </c>
      <c r="B150" s="4"/>
    </row>
    <row r="151" customHeight="1" spans="1:2">
      <c r="A151" s="3" t="s">
        <v>16013</v>
      </c>
      <c r="B151" s="4">
        <v>34746109</v>
      </c>
    </row>
    <row r="152" customHeight="1" spans="1:2">
      <c r="A152" s="3" t="s">
        <v>6842</v>
      </c>
      <c r="B152" s="4">
        <v>18438149</v>
      </c>
    </row>
    <row r="153" customHeight="1" spans="1:2">
      <c r="A153" s="3" t="s">
        <v>6270</v>
      </c>
      <c r="B153" s="4">
        <v>108706165</v>
      </c>
    </row>
    <row r="154" customHeight="1" spans="1:2">
      <c r="A154" s="3" t="s">
        <v>5312</v>
      </c>
      <c r="B154" s="4"/>
    </row>
    <row r="155" customHeight="1" spans="1:2">
      <c r="A155" s="3" t="s">
        <v>23912</v>
      </c>
      <c r="B155" s="4"/>
    </row>
    <row r="156" customHeight="1" spans="1:2">
      <c r="A156" s="3" t="s">
        <v>10025</v>
      </c>
      <c r="B156" s="4"/>
    </row>
    <row r="157" customHeight="1" spans="1:2">
      <c r="A157" s="3" t="s">
        <v>10911</v>
      </c>
      <c r="B157" s="4">
        <v>35033759</v>
      </c>
    </row>
    <row r="158" customHeight="1" spans="1:2">
      <c r="A158" s="3" t="s">
        <v>4821</v>
      </c>
      <c r="B158" s="4">
        <v>6167817</v>
      </c>
    </row>
    <row r="159" customHeight="1" spans="1:2">
      <c r="A159" s="3" t="s">
        <v>8291</v>
      </c>
      <c r="B159" s="4">
        <v>50300000</v>
      </c>
    </row>
    <row r="160" customHeight="1" spans="1:2">
      <c r="A160" s="3" t="s">
        <v>9234</v>
      </c>
      <c r="B160" s="4">
        <v>25977365</v>
      </c>
    </row>
    <row r="161" customHeight="1" spans="1:2">
      <c r="A161" s="3" t="s">
        <v>13521</v>
      </c>
      <c r="B161" s="4">
        <v>4741987</v>
      </c>
    </row>
    <row r="162" customHeight="1" spans="1:2">
      <c r="A162" s="3" t="s">
        <v>14540</v>
      </c>
      <c r="B162" s="4">
        <v>41227069</v>
      </c>
    </row>
    <row r="163" customHeight="1" spans="1:2">
      <c r="A163" s="3" t="s">
        <v>8752</v>
      </c>
      <c r="B163" s="4"/>
    </row>
    <row r="164" customHeight="1" spans="1:2">
      <c r="A164" s="3" t="s">
        <v>14402</v>
      </c>
      <c r="B164" s="4">
        <v>381332</v>
      </c>
    </row>
    <row r="165" customHeight="1" spans="1:2">
      <c r="A165" s="3" t="s">
        <v>2192</v>
      </c>
      <c r="B165" s="4">
        <v>78616689</v>
      </c>
    </row>
    <row r="166" customHeight="1" spans="1:2">
      <c r="A166" s="3" t="s">
        <v>9912</v>
      </c>
      <c r="B166" s="4">
        <v>10719367</v>
      </c>
    </row>
    <row r="167" customHeight="1" spans="1:2">
      <c r="A167" s="3" t="s">
        <v>20649</v>
      </c>
      <c r="B167" s="4"/>
    </row>
    <row r="168" customHeight="1" spans="1:2">
      <c r="A168" s="3" t="s">
        <v>20636</v>
      </c>
      <c r="B168" s="4">
        <v>95236</v>
      </c>
    </row>
    <row r="169" customHeight="1" spans="1:2">
      <c r="A169" s="3" t="s">
        <v>7553</v>
      </c>
      <c r="B169" s="4">
        <v>28064226</v>
      </c>
    </row>
    <row r="170" customHeight="1" spans="1:2">
      <c r="A170" s="3" t="s">
        <v>16927</v>
      </c>
      <c r="B170" s="4">
        <v>64148</v>
      </c>
    </row>
    <row r="171" customHeight="1" spans="1:2">
      <c r="A171" s="3" t="s">
        <v>9119</v>
      </c>
      <c r="B171" s="4">
        <v>40566655</v>
      </c>
    </row>
    <row r="172" customHeight="1" spans="1:2">
      <c r="A172" s="3" t="s">
        <v>13686</v>
      </c>
      <c r="B172" s="4">
        <v>48637684</v>
      </c>
    </row>
    <row r="173" customHeight="1" spans="1:2">
      <c r="A173" s="3" t="s">
        <v>8195</v>
      </c>
      <c r="B173" s="4">
        <v>65010106</v>
      </c>
    </row>
    <row r="174" customHeight="1" spans="1:2">
      <c r="A174" s="3" t="s">
        <v>14244</v>
      </c>
      <c r="B174" s="4">
        <v>15294553</v>
      </c>
    </row>
    <row r="175" customHeight="1" spans="1:2">
      <c r="A175" s="3" t="s">
        <v>3601</v>
      </c>
      <c r="B175" s="4">
        <v>37516013</v>
      </c>
    </row>
    <row r="176" customHeight="1" spans="1:2">
      <c r="A176" s="3" t="s">
        <v>23840</v>
      </c>
      <c r="B176" s="4"/>
    </row>
    <row r="177" customHeight="1" spans="1:2">
      <c r="A177" s="3" t="s">
        <v>5210</v>
      </c>
      <c r="B177" s="4">
        <v>50007168</v>
      </c>
    </row>
    <row r="178" customHeight="1" spans="1:2">
      <c r="A178" s="3" t="s">
        <v>9349</v>
      </c>
      <c r="B178" s="4"/>
    </row>
    <row r="179" customHeight="1" spans="1:2">
      <c r="A179" s="3" t="s">
        <v>14038</v>
      </c>
      <c r="B179" s="4">
        <v>72217000</v>
      </c>
    </row>
    <row r="180" customHeight="1" spans="1:2">
      <c r="A180" s="3" t="s">
        <v>8129</v>
      </c>
      <c r="B180" s="4">
        <v>108360000</v>
      </c>
    </row>
    <row r="181" customHeight="1" spans="1:2">
      <c r="A181" s="3" t="s">
        <v>5887</v>
      </c>
      <c r="B181" s="4">
        <v>48687346</v>
      </c>
    </row>
    <row r="182" customHeight="1" spans="1:2">
      <c r="A182" s="3" t="s">
        <v>14054</v>
      </c>
      <c r="B182" s="4">
        <v>70011073</v>
      </c>
    </row>
    <row r="183" customHeight="1" spans="1:2">
      <c r="A183" s="3" t="s">
        <v>16518</v>
      </c>
      <c r="B183" s="4">
        <v>20257000</v>
      </c>
    </row>
    <row r="184" customHeight="1" spans="1:2">
      <c r="A184" s="3" t="s">
        <v>15458</v>
      </c>
      <c r="B184" s="4"/>
    </row>
    <row r="185" customHeight="1" spans="1:2">
      <c r="A185" s="3" t="s">
        <v>19136</v>
      </c>
      <c r="B185" s="4">
        <v>2277396</v>
      </c>
    </row>
    <row r="186" customHeight="1" spans="1:2">
      <c r="A186" s="3" t="s">
        <v>11696</v>
      </c>
      <c r="B186" s="4">
        <v>22245861</v>
      </c>
    </row>
    <row r="187" customHeight="1" spans="1:2">
      <c r="A187" s="3" t="s">
        <v>17677</v>
      </c>
      <c r="B187" s="4">
        <v>17382982</v>
      </c>
    </row>
    <row r="188" customHeight="1" spans="1:2">
      <c r="A188" s="3" t="s">
        <v>13837</v>
      </c>
      <c r="B188" s="4">
        <v>18004225</v>
      </c>
    </row>
    <row r="189" customHeight="1" spans="1:2">
      <c r="A189" s="3" t="s">
        <v>18680</v>
      </c>
      <c r="B189" s="4">
        <v>317125</v>
      </c>
    </row>
    <row r="190" customHeight="1" spans="1:2">
      <c r="A190" s="3" t="s">
        <v>22344</v>
      </c>
      <c r="B190" s="4"/>
    </row>
    <row r="191" customHeight="1" spans="1:2">
      <c r="A191" s="3" t="s">
        <v>15499</v>
      </c>
      <c r="B191" s="4">
        <v>16025394</v>
      </c>
    </row>
    <row r="192" customHeight="1" spans="1:2">
      <c r="A192" s="3" t="s">
        <v>4780</v>
      </c>
      <c r="B192" s="4">
        <v>25857987</v>
      </c>
    </row>
    <row r="193" customHeight="1" spans="1:2">
      <c r="A193" s="3" t="s">
        <v>1227</v>
      </c>
      <c r="B193" s="4">
        <v>60522097</v>
      </c>
    </row>
    <row r="194" customHeight="1" spans="1:2">
      <c r="A194" s="3" t="s">
        <v>4529</v>
      </c>
      <c r="B194" s="4">
        <v>28328132</v>
      </c>
    </row>
    <row r="195" customHeight="1" spans="1:2">
      <c r="A195" s="3" t="s">
        <v>22366</v>
      </c>
      <c r="B195" s="4"/>
    </row>
    <row r="196" customHeight="1" spans="1:2">
      <c r="A196" s="3" t="s">
        <v>18332</v>
      </c>
      <c r="B196" s="4">
        <v>108229</v>
      </c>
    </row>
    <row r="197" customHeight="1" spans="1:2">
      <c r="A197" s="3" t="s">
        <v>6941</v>
      </c>
      <c r="B197" s="4">
        <v>5881504</v>
      </c>
    </row>
    <row r="198" customHeight="1" spans="1:2">
      <c r="A198" s="3" t="s">
        <v>20763</v>
      </c>
      <c r="B198" s="4"/>
    </row>
    <row r="199" customHeight="1" spans="1:2">
      <c r="A199" s="3" t="s">
        <v>9308</v>
      </c>
      <c r="B199" s="4">
        <v>23222861</v>
      </c>
    </row>
    <row r="200" customHeight="1" spans="1:2">
      <c r="A200" s="3" t="s">
        <v>9539</v>
      </c>
      <c r="B200" s="4">
        <v>47285499</v>
      </c>
    </row>
    <row r="201" customHeight="1" spans="1:2">
      <c r="A201" s="3" t="s">
        <v>3569</v>
      </c>
      <c r="B201" s="4">
        <v>617840</v>
      </c>
    </row>
    <row r="202" customHeight="1" spans="1:2">
      <c r="A202" s="3" t="s">
        <v>16801</v>
      </c>
      <c r="B202" s="4">
        <v>927107</v>
      </c>
    </row>
    <row r="203" customHeight="1" spans="1:2">
      <c r="A203" s="3" t="s">
        <v>19231</v>
      </c>
      <c r="B203" s="4">
        <v>24629916</v>
      </c>
    </row>
    <row r="204" customHeight="1" spans="1:2">
      <c r="A204" s="3" t="s">
        <v>2325</v>
      </c>
      <c r="B204" s="4">
        <v>172620724</v>
      </c>
    </row>
    <row r="205" customHeight="1" spans="1:2">
      <c r="A205" s="3" t="s">
        <v>21403</v>
      </c>
      <c r="B205" s="4">
        <v>2850263</v>
      </c>
    </row>
    <row r="206" customHeight="1" spans="1:2">
      <c r="A206" s="3" t="s">
        <v>18357</v>
      </c>
      <c r="B206" s="4"/>
    </row>
    <row r="207" customHeight="1" spans="1:2">
      <c r="A207" s="3" t="s">
        <v>18871</v>
      </c>
      <c r="B207" s="4">
        <v>83400000</v>
      </c>
    </row>
    <row r="208" customHeight="1" spans="1:2">
      <c r="A208" s="3" t="s">
        <v>21736</v>
      </c>
      <c r="B208" s="4">
        <v>621240</v>
      </c>
    </row>
    <row r="209" customHeight="1" spans="1:2">
      <c r="A209" s="3" t="s">
        <v>16069</v>
      </c>
      <c r="B209" s="4">
        <v>18811135</v>
      </c>
    </row>
    <row r="210" customHeight="1" spans="1:2">
      <c r="A210" s="3" t="s">
        <v>16259</v>
      </c>
      <c r="B210" s="4">
        <v>439162</v>
      </c>
    </row>
    <row r="211" customHeight="1" spans="1:2">
      <c r="A211" s="3" t="s">
        <v>8828</v>
      </c>
      <c r="B211" s="4">
        <v>217350219</v>
      </c>
    </row>
    <row r="212" customHeight="1" spans="1:2">
      <c r="A212" s="3" t="s">
        <v>16393</v>
      </c>
      <c r="B212" s="4">
        <v>3014541</v>
      </c>
    </row>
    <row r="213" customHeight="1" spans="1:2">
      <c r="A213" s="3" t="s">
        <v>17944</v>
      </c>
      <c r="B213" s="4">
        <v>326308</v>
      </c>
    </row>
    <row r="214" customHeight="1" spans="1:2">
      <c r="A214" s="3" t="s">
        <v>8578</v>
      </c>
      <c r="B214" s="4">
        <v>14208384</v>
      </c>
    </row>
    <row r="215" customHeight="1" spans="1:2">
      <c r="A215" s="3" t="s">
        <v>7515</v>
      </c>
      <c r="B215" s="4">
        <v>25863915</v>
      </c>
    </row>
    <row r="216" customHeight="1" spans="1:2">
      <c r="A216" s="3" t="s">
        <v>6858</v>
      </c>
      <c r="B216" s="4">
        <v>652526</v>
      </c>
    </row>
    <row r="217" customHeight="1" spans="1:2">
      <c r="A217" s="3" t="s">
        <v>8952</v>
      </c>
      <c r="B217" s="4">
        <v>66950483</v>
      </c>
    </row>
    <row r="218" customHeight="1" spans="1:2">
      <c r="A218" s="3" t="s">
        <v>765</v>
      </c>
      <c r="B218" s="4">
        <v>34293771</v>
      </c>
    </row>
    <row r="219" customHeight="1" spans="1:2">
      <c r="A219" s="3" t="s">
        <v>20247</v>
      </c>
      <c r="B219" s="4"/>
    </row>
    <row r="220" customHeight="1" spans="1:2">
      <c r="A220" s="3" t="s">
        <v>6777</v>
      </c>
      <c r="B220" s="4">
        <v>13395939</v>
      </c>
    </row>
    <row r="221" customHeight="1" spans="1:2">
      <c r="A221" s="3" t="s">
        <v>1636</v>
      </c>
      <c r="B221" s="4">
        <v>58183966</v>
      </c>
    </row>
    <row r="222" customHeight="1" spans="1:2">
      <c r="A222" s="3" t="s">
        <v>16381</v>
      </c>
      <c r="B222" s="4">
        <v>206400</v>
      </c>
    </row>
    <row r="223" customHeight="1" spans="1:2">
      <c r="A223" s="3" t="s">
        <v>258</v>
      </c>
      <c r="B223" s="4">
        <v>668370412</v>
      </c>
    </row>
    <row r="224" customHeight="1" spans="1:2">
      <c r="A224" s="3" t="s">
        <v>719</v>
      </c>
      <c r="B224" s="4">
        <v>76846624</v>
      </c>
    </row>
    <row r="225" customHeight="1" spans="1:2">
      <c r="A225" s="3" t="s">
        <v>4702</v>
      </c>
      <c r="B225" s="4">
        <v>55473600</v>
      </c>
    </row>
    <row r="226" customHeight="1" spans="1:2">
      <c r="A226" s="3" t="s">
        <v>19972</v>
      </c>
      <c r="B226" s="4"/>
    </row>
    <row r="227" customHeight="1" spans="1:2">
      <c r="A227" s="3" t="s">
        <v>16567</v>
      </c>
      <c r="B227" s="4"/>
    </row>
    <row r="228" customHeight="1" spans="1:2">
      <c r="A228" s="3" t="s">
        <v>15592</v>
      </c>
      <c r="B228" s="4">
        <v>78900000</v>
      </c>
    </row>
    <row r="229" customHeight="1" spans="1:2">
      <c r="A229" s="3" t="s">
        <v>4180</v>
      </c>
      <c r="B229" s="4">
        <v>47748610</v>
      </c>
    </row>
    <row r="230" customHeight="1" spans="1:2">
      <c r="A230" s="3" t="s">
        <v>5916</v>
      </c>
      <c r="B230" s="4">
        <v>25200412</v>
      </c>
    </row>
    <row r="231" customHeight="1" spans="1:2">
      <c r="A231" s="3" t="s">
        <v>6534</v>
      </c>
      <c r="B231" s="4">
        <v>41797066</v>
      </c>
    </row>
    <row r="232" customHeight="1" spans="1:2">
      <c r="A232" s="3" t="s">
        <v>12145</v>
      </c>
      <c r="B232" s="4">
        <v>85200000</v>
      </c>
    </row>
    <row r="233" customHeight="1" spans="1:2">
      <c r="A233" s="3" t="s">
        <v>7947</v>
      </c>
      <c r="B233" s="4">
        <v>36733909</v>
      </c>
    </row>
    <row r="234" customHeight="1" spans="1:2">
      <c r="A234" s="3" t="s">
        <v>12886</v>
      </c>
      <c r="B234" s="4">
        <v>33860010</v>
      </c>
    </row>
    <row r="235" customHeight="1" spans="1:2">
      <c r="A235" s="3" t="s">
        <v>13434</v>
      </c>
      <c r="B235" s="4">
        <v>25482931</v>
      </c>
    </row>
    <row r="236" customHeight="1" spans="1:2">
      <c r="A236" s="3" t="s">
        <v>11455</v>
      </c>
      <c r="B236" s="4">
        <v>578382</v>
      </c>
    </row>
    <row r="237" customHeight="1" spans="1:2">
      <c r="A237" s="3" t="s">
        <v>18188</v>
      </c>
      <c r="B237" s="4"/>
    </row>
    <row r="238" customHeight="1" spans="1:2">
      <c r="A238" s="3" t="s">
        <v>20553</v>
      </c>
      <c r="B238" s="4">
        <v>4556</v>
      </c>
    </row>
    <row r="239" customHeight="1" spans="1:2">
      <c r="A239" s="3" t="s">
        <v>15903</v>
      </c>
      <c r="B239" s="4">
        <v>6262942</v>
      </c>
    </row>
    <row r="240" customHeight="1" spans="1:2">
      <c r="A240" s="3" t="s">
        <v>15758</v>
      </c>
      <c r="B240" s="4">
        <v>112935</v>
      </c>
    </row>
    <row r="241" customHeight="1" spans="1:2">
      <c r="A241" s="3" t="s">
        <v>24051</v>
      </c>
      <c r="B241" s="4"/>
    </row>
    <row r="242" customHeight="1" spans="1:2">
      <c r="A242" s="3" t="s">
        <v>2446</v>
      </c>
      <c r="B242" s="4"/>
    </row>
    <row r="243" customHeight="1" spans="1:2">
      <c r="A243" s="3" t="s">
        <v>22278</v>
      </c>
      <c r="B243" s="4"/>
    </row>
    <row r="244" customHeight="1" spans="1:2">
      <c r="A244" s="3" t="s">
        <v>4875</v>
      </c>
      <c r="B244" s="4">
        <v>7221458</v>
      </c>
    </row>
    <row r="245" customHeight="1" spans="1:2">
      <c r="A245" s="3" t="s">
        <v>5938</v>
      </c>
      <c r="B245" s="4">
        <v>15527125</v>
      </c>
    </row>
    <row r="246" customHeight="1" spans="1:2">
      <c r="A246" s="3" t="s">
        <v>13275</v>
      </c>
      <c r="B246" s="4">
        <v>22723</v>
      </c>
    </row>
    <row r="247" customHeight="1" spans="1:2">
      <c r="A247" s="3" t="s">
        <v>21714</v>
      </c>
      <c r="B247" s="4">
        <v>548712</v>
      </c>
    </row>
    <row r="248" customHeight="1" spans="1:2">
      <c r="A248" s="3" t="s">
        <v>1591</v>
      </c>
      <c r="B248" s="4">
        <v>66002193</v>
      </c>
    </row>
    <row r="249" customHeight="1" spans="1:2">
      <c r="A249" s="3" t="s">
        <v>22732</v>
      </c>
      <c r="B249" s="4"/>
    </row>
    <row r="250" customHeight="1" spans="1:2">
      <c r="A250" s="3" t="s">
        <v>4306</v>
      </c>
      <c r="B250" s="4">
        <v>32522352</v>
      </c>
    </row>
    <row r="251" customHeight="1" spans="1:2">
      <c r="A251" s="3" t="s">
        <v>16253</v>
      </c>
      <c r="B251" s="4">
        <v>52961</v>
      </c>
    </row>
    <row r="252" customHeight="1" spans="1:2">
      <c r="A252" s="3" t="s">
        <v>7199</v>
      </c>
      <c r="B252" s="4">
        <v>41982994</v>
      </c>
    </row>
    <row r="253" customHeight="1" spans="1:2">
      <c r="A253" s="3" t="s">
        <v>11350</v>
      </c>
      <c r="B253" s="4">
        <v>5132655</v>
      </c>
    </row>
    <row r="254" customHeight="1" spans="1:2">
      <c r="A254" s="3" t="s">
        <v>21847</v>
      </c>
      <c r="B254" s="4">
        <v>10018</v>
      </c>
    </row>
    <row r="255" customHeight="1" spans="1:2">
      <c r="A255" s="3" t="s">
        <v>8846</v>
      </c>
      <c r="B255" s="4">
        <v>74058698</v>
      </c>
    </row>
    <row r="256" customHeight="1" spans="1:2">
      <c r="A256" s="3" t="s">
        <v>6100</v>
      </c>
      <c r="B256" s="4">
        <v>87856565</v>
      </c>
    </row>
    <row r="257" customHeight="1" spans="1:2">
      <c r="A257" s="3" t="s">
        <v>23335</v>
      </c>
      <c r="B257" s="4"/>
    </row>
    <row r="258" customHeight="1" spans="1:2">
      <c r="A258" s="3" t="s">
        <v>16765</v>
      </c>
      <c r="B258" s="4"/>
    </row>
    <row r="259" customHeight="1" spans="1:2">
      <c r="A259" s="3" t="s">
        <v>10993</v>
      </c>
      <c r="B259" s="4">
        <v>25077977</v>
      </c>
    </row>
    <row r="260" customHeight="1" spans="1:2">
      <c r="A260" s="3" t="s">
        <v>4569</v>
      </c>
      <c r="B260" s="4">
        <v>217326336</v>
      </c>
    </row>
    <row r="261" customHeight="1" spans="1:2">
      <c r="A261" s="3" t="s">
        <v>2582</v>
      </c>
      <c r="B261" s="4">
        <v>133103929</v>
      </c>
    </row>
    <row r="262" customHeight="1" spans="1:2">
      <c r="A262" s="3" t="s">
        <v>2172</v>
      </c>
      <c r="B262" s="4">
        <v>85884815</v>
      </c>
    </row>
    <row r="263" customHeight="1" spans="1:2">
      <c r="A263" s="3" t="s">
        <v>3365</v>
      </c>
      <c r="B263" s="4">
        <v>219613391</v>
      </c>
    </row>
    <row r="264" customHeight="1" spans="1:2">
      <c r="A264" s="3" t="s">
        <v>20060</v>
      </c>
      <c r="B264" s="4"/>
    </row>
    <row r="265" customHeight="1" spans="1:2">
      <c r="A265" s="3" t="s">
        <v>11783</v>
      </c>
      <c r="B265" s="4">
        <v>51600000</v>
      </c>
    </row>
    <row r="266" customHeight="1" spans="1:2">
      <c r="A266" s="3" t="s">
        <v>6765</v>
      </c>
      <c r="B266" s="4">
        <v>33201661</v>
      </c>
    </row>
    <row r="267" customHeight="1" spans="1:2">
      <c r="A267" s="3" t="s">
        <v>13562</v>
      </c>
      <c r="B267" s="4">
        <v>274299</v>
      </c>
    </row>
    <row r="268" customHeight="1" spans="1:2">
      <c r="A268" s="3" t="s">
        <v>22705</v>
      </c>
      <c r="B268" s="4"/>
    </row>
    <row r="269" customHeight="1" spans="1:2">
      <c r="A269" s="3" t="s">
        <v>12669</v>
      </c>
      <c r="B269" s="4">
        <v>130058047</v>
      </c>
    </row>
    <row r="270" customHeight="1" spans="1:2">
      <c r="A270" s="3" t="s">
        <v>23178</v>
      </c>
      <c r="B270" s="4">
        <v>902835</v>
      </c>
    </row>
    <row r="271" customHeight="1" spans="1:2">
      <c r="A271" s="3" t="s">
        <v>12274</v>
      </c>
      <c r="B271" s="4">
        <v>7156725</v>
      </c>
    </row>
    <row r="272" customHeight="1" spans="1:2">
      <c r="A272" s="3" t="s">
        <v>1730</v>
      </c>
      <c r="B272" s="4">
        <v>130127620</v>
      </c>
    </row>
    <row r="273" customHeight="1" spans="1:2">
      <c r="A273" s="3" t="s">
        <v>22230</v>
      </c>
      <c r="B273" s="4">
        <v>115000000</v>
      </c>
    </row>
    <row r="274" customHeight="1" spans="1:2">
      <c r="A274" s="3" t="s">
        <v>15513</v>
      </c>
      <c r="B274" s="4"/>
    </row>
    <row r="275" customHeight="1" spans="1:2">
      <c r="A275" s="3" t="s">
        <v>22136</v>
      </c>
      <c r="B275" s="4"/>
    </row>
    <row r="276" customHeight="1" spans="1:2">
      <c r="A276" s="3" t="s">
        <v>15115</v>
      </c>
      <c r="B276" s="4">
        <v>6712241</v>
      </c>
    </row>
    <row r="277" customHeight="1" spans="1:2">
      <c r="A277" s="3" t="s">
        <v>6242</v>
      </c>
      <c r="B277" s="4">
        <v>150117807</v>
      </c>
    </row>
    <row r="278" customHeight="1" spans="1:2">
      <c r="A278" s="3" t="s">
        <v>22975</v>
      </c>
      <c r="B278" s="4">
        <v>4000000</v>
      </c>
    </row>
    <row r="279" customHeight="1" spans="1:2">
      <c r="A279" s="3" t="s">
        <v>7642</v>
      </c>
      <c r="B279" s="4">
        <v>13264986</v>
      </c>
    </row>
    <row r="280" customHeight="1" spans="1:2">
      <c r="A280" s="3" t="s">
        <v>8094</v>
      </c>
      <c r="B280" s="4">
        <v>145096820</v>
      </c>
    </row>
    <row r="281" customHeight="1" spans="1:2">
      <c r="A281" s="3" t="s">
        <v>14015</v>
      </c>
      <c r="B281" s="4">
        <v>101736215</v>
      </c>
    </row>
    <row r="282" customHeight="1" spans="1:2">
      <c r="A282" s="3" t="s">
        <v>16080</v>
      </c>
      <c r="B282" s="4">
        <v>15047419</v>
      </c>
    </row>
    <row r="283" customHeight="1" spans="1:2">
      <c r="A283" s="3" t="s">
        <v>5233</v>
      </c>
      <c r="B283" s="4">
        <v>56724080</v>
      </c>
    </row>
    <row r="284" customHeight="1" spans="1:2">
      <c r="A284" s="3" t="s">
        <v>4447</v>
      </c>
      <c r="B284" s="4">
        <v>350123553</v>
      </c>
    </row>
    <row r="285" customHeight="1" spans="1:2">
      <c r="A285" s="3" t="s">
        <v>20209</v>
      </c>
      <c r="B285" s="4">
        <v>6003587</v>
      </c>
    </row>
    <row r="286" customHeight="1" spans="1:2">
      <c r="A286" s="3" t="s">
        <v>4601</v>
      </c>
      <c r="B286" s="4">
        <v>104354205</v>
      </c>
    </row>
    <row r="287" customHeight="1" spans="1:2">
      <c r="A287" s="3" t="s">
        <v>5658</v>
      </c>
      <c r="B287" s="4">
        <v>93607673</v>
      </c>
    </row>
    <row r="288" customHeight="1" spans="1:2">
      <c r="A288" s="3" t="s">
        <v>23185</v>
      </c>
      <c r="B288" s="4"/>
    </row>
    <row r="289" customHeight="1" spans="1:2">
      <c r="A289" s="3" t="s">
        <v>21024</v>
      </c>
      <c r="B289" s="4">
        <v>183490</v>
      </c>
    </row>
    <row r="290" customHeight="1" spans="1:2">
      <c r="A290" s="3" t="s">
        <v>6521</v>
      </c>
      <c r="B290" s="4">
        <v>44175394</v>
      </c>
    </row>
    <row r="291" customHeight="1" spans="1:2">
      <c r="A291" s="3" t="s">
        <v>19635</v>
      </c>
      <c r="B291" s="4"/>
    </row>
    <row r="292" customHeight="1" spans="1:2">
      <c r="A292" s="3" t="s">
        <v>18677</v>
      </c>
      <c r="B292" s="4">
        <v>64359</v>
      </c>
    </row>
    <row r="293" customHeight="1" spans="1:2">
      <c r="A293" s="3" t="s">
        <v>20219</v>
      </c>
      <c r="B293" s="4">
        <v>5383834</v>
      </c>
    </row>
    <row r="294" customHeight="1" spans="1:2">
      <c r="A294" s="3" t="s">
        <v>15526</v>
      </c>
      <c r="B294" s="4">
        <v>225377</v>
      </c>
    </row>
    <row r="295" customHeight="1" spans="1:2">
      <c r="A295" s="3" t="s">
        <v>15383</v>
      </c>
      <c r="B295" s="4">
        <v>15447</v>
      </c>
    </row>
    <row r="296" customHeight="1" spans="1:2">
      <c r="A296" s="3" t="s">
        <v>11312</v>
      </c>
      <c r="B296" s="4">
        <v>7001720</v>
      </c>
    </row>
    <row r="297" customHeight="1" spans="1:2">
      <c r="A297" s="3" t="s">
        <v>23494</v>
      </c>
      <c r="B297" s="4"/>
    </row>
    <row r="298" customHeight="1" spans="1:2">
      <c r="A298" s="3" t="s">
        <v>13445</v>
      </c>
      <c r="B298" s="4">
        <v>16298046</v>
      </c>
    </row>
    <row r="299" customHeight="1" spans="1:2">
      <c r="A299" s="3" t="s">
        <v>23637</v>
      </c>
      <c r="B299" s="4"/>
    </row>
    <row r="300" customHeight="1" spans="1:2">
      <c r="A300" s="3" t="s">
        <v>16345</v>
      </c>
      <c r="B300" s="4">
        <v>12574715</v>
      </c>
    </row>
    <row r="301" customHeight="1" spans="1:2">
      <c r="A301" s="3" t="s">
        <v>18671</v>
      </c>
      <c r="B301" s="4">
        <v>75078</v>
      </c>
    </row>
    <row r="302" customHeight="1" spans="1:2">
      <c r="A302" s="3" t="s">
        <v>14712</v>
      </c>
      <c r="B302" s="4">
        <v>18535191</v>
      </c>
    </row>
    <row r="303" customHeight="1" spans="1:2">
      <c r="A303" s="3" t="s">
        <v>21592</v>
      </c>
      <c r="B303" s="4">
        <v>23808111</v>
      </c>
    </row>
    <row r="304" customHeight="1" spans="1:2">
      <c r="A304" s="3" t="s">
        <v>8631</v>
      </c>
      <c r="B304" s="4">
        <v>8535575</v>
      </c>
    </row>
    <row r="305" customHeight="1" spans="1:2">
      <c r="A305" s="3" t="s">
        <v>5785</v>
      </c>
      <c r="B305" s="4">
        <v>65557989</v>
      </c>
    </row>
    <row r="306" customHeight="1" spans="1:2">
      <c r="A306" s="3" t="s">
        <v>9644</v>
      </c>
      <c r="B306" s="4">
        <v>31526393</v>
      </c>
    </row>
    <row r="307" customHeight="1" spans="1:2">
      <c r="A307" s="3" t="s">
        <v>4286</v>
      </c>
      <c r="B307" s="4">
        <v>32122249</v>
      </c>
    </row>
    <row r="308" customHeight="1" spans="1:2">
      <c r="A308" s="3" t="s">
        <v>8160</v>
      </c>
      <c r="B308" s="4">
        <v>106694016</v>
      </c>
    </row>
    <row r="309" customHeight="1" spans="1:2">
      <c r="A309" s="3" t="s">
        <v>4883</v>
      </c>
      <c r="B309" s="4">
        <v>58297830</v>
      </c>
    </row>
    <row r="310" customHeight="1" spans="1:2">
      <c r="A310" s="3" t="s">
        <v>19925</v>
      </c>
      <c r="B310" s="4">
        <v>5725</v>
      </c>
    </row>
    <row r="311" customHeight="1" spans="1:2">
      <c r="A311" s="3" t="s">
        <v>5027</v>
      </c>
      <c r="B311" s="4">
        <v>2175312</v>
      </c>
    </row>
    <row r="312" customHeight="1" spans="1:2">
      <c r="A312" s="3" t="s">
        <v>9531</v>
      </c>
      <c r="B312" s="4">
        <v>84136909</v>
      </c>
    </row>
    <row r="313" customHeight="1" spans="1:2">
      <c r="A313" s="3" t="s">
        <v>11938</v>
      </c>
      <c r="B313" s="4">
        <v>15155772</v>
      </c>
    </row>
    <row r="314" customHeight="1" spans="1:2">
      <c r="A314" s="3" t="s">
        <v>22031</v>
      </c>
      <c r="B314" s="4"/>
    </row>
    <row r="315" customHeight="1" spans="1:2">
      <c r="A315" s="3" t="s">
        <v>23121</v>
      </c>
      <c r="B315" s="4"/>
    </row>
    <row r="316" customHeight="1" spans="1:2">
      <c r="A316" s="3" t="s">
        <v>7019</v>
      </c>
      <c r="B316" s="4">
        <v>24044532</v>
      </c>
    </row>
    <row r="317" customHeight="1" spans="1:2">
      <c r="A317" s="3" t="s">
        <v>9854</v>
      </c>
      <c r="B317" s="4">
        <v>13038660</v>
      </c>
    </row>
    <row r="318" customHeight="1" spans="1:2">
      <c r="A318" s="3" t="s">
        <v>855</v>
      </c>
      <c r="B318" s="4">
        <v>133375846</v>
      </c>
    </row>
    <row r="319" customHeight="1" spans="1:2">
      <c r="A319" s="3" t="s">
        <v>4548</v>
      </c>
      <c r="B319" s="4"/>
    </row>
    <row r="320" customHeight="1" spans="1:2">
      <c r="A320" s="3" t="s">
        <v>19155</v>
      </c>
      <c r="B320" s="4">
        <v>141600000</v>
      </c>
    </row>
    <row r="321" customHeight="1" spans="1:2">
      <c r="A321" s="3" t="s">
        <v>18404</v>
      </c>
      <c r="B321" s="4"/>
    </row>
    <row r="322" customHeight="1" spans="1:2">
      <c r="A322" s="3" t="s">
        <v>6208</v>
      </c>
      <c r="B322" s="4"/>
    </row>
    <row r="323" customHeight="1" spans="1:2">
      <c r="A323" s="3" t="s">
        <v>8729</v>
      </c>
      <c r="B323" s="4"/>
    </row>
    <row r="324" customHeight="1" spans="1:2">
      <c r="A324" s="3" t="s">
        <v>17471</v>
      </c>
      <c r="B324" s="4"/>
    </row>
    <row r="325" customHeight="1" spans="1:2">
      <c r="A325" s="3" t="s">
        <v>3141</v>
      </c>
      <c r="B325" s="4">
        <v>39251128</v>
      </c>
    </row>
    <row r="326" customHeight="1" spans="1:2">
      <c r="A326" s="3" t="s">
        <v>5527</v>
      </c>
      <c r="B326" s="4">
        <v>12802907</v>
      </c>
    </row>
    <row r="327" customHeight="1" spans="1:2">
      <c r="A327" s="3" t="s">
        <v>16844</v>
      </c>
      <c r="B327" s="4">
        <v>84263837</v>
      </c>
    </row>
    <row r="328" customHeight="1" spans="1:2">
      <c r="A328" s="3" t="s">
        <v>18362</v>
      </c>
      <c r="B328" s="4"/>
    </row>
    <row r="329" customHeight="1" spans="1:2">
      <c r="A329" s="3" t="s">
        <v>18817</v>
      </c>
      <c r="B329" s="4">
        <v>8000000</v>
      </c>
    </row>
    <row r="330" customHeight="1" spans="1:2">
      <c r="A330" s="3" t="s">
        <v>18440</v>
      </c>
      <c r="B330" s="4">
        <v>39200000</v>
      </c>
    </row>
    <row r="331" customHeight="1" spans="1:2">
      <c r="A331" s="3" t="s">
        <v>3737</v>
      </c>
      <c r="B331" s="4">
        <v>85911262</v>
      </c>
    </row>
    <row r="332" customHeight="1" spans="1:2">
      <c r="A332" s="3" t="s">
        <v>16142</v>
      </c>
      <c r="B332" s="4">
        <v>3442820</v>
      </c>
    </row>
    <row r="333" customHeight="1" spans="1:2">
      <c r="A333" s="3" t="s">
        <v>9133</v>
      </c>
      <c r="B333" s="4">
        <v>4463292</v>
      </c>
    </row>
    <row r="334" customHeight="1" spans="1:2">
      <c r="A334" s="3" t="s">
        <v>23552</v>
      </c>
      <c r="B334" s="4">
        <v>1316074</v>
      </c>
    </row>
    <row r="335" customHeight="1" spans="1:2">
      <c r="A335" s="3" t="s">
        <v>18715</v>
      </c>
      <c r="B335" s="4"/>
    </row>
    <row r="336" customHeight="1" spans="1:2">
      <c r="A336" s="3" t="s">
        <v>16145</v>
      </c>
      <c r="B336" s="4">
        <v>3205244</v>
      </c>
    </row>
    <row r="337" customHeight="1" spans="1:2">
      <c r="A337" s="3" t="s">
        <v>23613</v>
      </c>
      <c r="B337" s="4">
        <v>4914</v>
      </c>
    </row>
    <row r="338" customHeight="1" spans="1:2">
      <c r="A338" s="3" t="s">
        <v>21788</v>
      </c>
      <c r="B338" s="4">
        <v>287761</v>
      </c>
    </row>
    <row r="339" customHeight="1" spans="1:2">
      <c r="A339" s="3" t="s">
        <v>19948</v>
      </c>
      <c r="B339" s="4"/>
    </row>
    <row r="340" customHeight="1" spans="1:2">
      <c r="A340" s="3" t="s">
        <v>8657</v>
      </c>
      <c r="B340" s="4">
        <v>10965209</v>
      </c>
    </row>
    <row r="341" customHeight="1" spans="1:2">
      <c r="A341" s="3" t="s">
        <v>19165</v>
      </c>
      <c r="B341" s="4"/>
    </row>
    <row r="342" customHeight="1" spans="1:2">
      <c r="A342" s="3" t="s">
        <v>1168</v>
      </c>
      <c r="B342" s="4">
        <v>180191634</v>
      </c>
    </row>
    <row r="343" customHeight="1" spans="1:2">
      <c r="A343" s="3" t="s">
        <v>13918</v>
      </c>
      <c r="B343" s="4">
        <v>21078145</v>
      </c>
    </row>
    <row r="344" customHeight="1" spans="1:2">
      <c r="A344" s="3" t="s">
        <v>4006</v>
      </c>
      <c r="B344" s="4">
        <v>90646554</v>
      </c>
    </row>
    <row r="345" customHeight="1" spans="1:2">
      <c r="A345" s="3" t="s">
        <v>4039</v>
      </c>
      <c r="B345" s="4">
        <v>75530832</v>
      </c>
    </row>
    <row r="346" customHeight="1" spans="1:2">
      <c r="A346" s="3" t="s">
        <v>12006</v>
      </c>
      <c r="B346" s="4">
        <v>3203044</v>
      </c>
    </row>
    <row r="347" customHeight="1" spans="1:2">
      <c r="A347" s="3" t="s">
        <v>10248</v>
      </c>
      <c r="B347" s="4">
        <v>18653615</v>
      </c>
    </row>
    <row r="348" customHeight="1" spans="1:2">
      <c r="A348" s="3" t="s">
        <v>8030</v>
      </c>
      <c r="B348" s="4">
        <v>78800000</v>
      </c>
    </row>
    <row r="349" customHeight="1" spans="1:2">
      <c r="A349" s="3" t="s">
        <v>6466</v>
      </c>
      <c r="B349" s="4">
        <v>50859889</v>
      </c>
    </row>
    <row r="350" customHeight="1" spans="1:2">
      <c r="A350" s="3" t="s">
        <v>3655</v>
      </c>
      <c r="B350" s="4">
        <v>172071312</v>
      </c>
    </row>
    <row r="351" customHeight="1" spans="1:2">
      <c r="A351" s="3" t="s">
        <v>17758</v>
      </c>
      <c r="B351" s="4">
        <v>17683670</v>
      </c>
    </row>
    <row r="352" customHeight="1" spans="1:2">
      <c r="A352" s="3" t="s">
        <v>11022</v>
      </c>
      <c r="B352" s="4">
        <v>20207003</v>
      </c>
    </row>
    <row r="353" customHeight="1" spans="1:2">
      <c r="A353" s="3" t="s">
        <v>17743</v>
      </c>
      <c r="B353" s="4">
        <v>12947763</v>
      </c>
    </row>
    <row r="354" customHeight="1" spans="1:2">
      <c r="A354" s="3" t="s">
        <v>22241</v>
      </c>
      <c r="B354" s="4">
        <v>5518918</v>
      </c>
    </row>
    <row r="355" customHeight="1" spans="1:2">
      <c r="A355" s="3" t="s">
        <v>14182</v>
      </c>
      <c r="B355" s="4">
        <v>18595716</v>
      </c>
    </row>
    <row r="356" customHeight="1" spans="1:2">
      <c r="A356" s="3" t="s">
        <v>8069</v>
      </c>
      <c r="B356" s="4">
        <v>53133888</v>
      </c>
    </row>
    <row r="357" customHeight="1" spans="1:2">
      <c r="A357" s="3" t="s">
        <v>12621</v>
      </c>
      <c r="B357" s="4">
        <v>1554566</v>
      </c>
    </row>
    <row r="358" customHeight="1" spans="1:2">
      <c r="A358" s="3" t="s">
        <v>14252</v>
      </c>
      <c r="B358" s="4">
        <v>7918283</v>
      </c>
    </row>
    <row r="359" customHeight="1" spans="1:2">
      <c r="A359" s="3" t="s">
        <v>23518</v>
      </c>
      <c r="B359" s="4"/>
    </row>
    <row r="360" customHeight="1" spans="1:2">
      <c r="A360" s="3" t="s">
        <v>10689</v>
      </c>
      <c r="B360" s="4">
        <v>82301521</v>
      </c>
    </row>
    <row r="361" customHeight="1" spans="1:2">
      <c r="A361" s="3" t="s">
        <v>18021</v>
      </c>
      <c r="B361" s="4"/>
    </row>
    <row r="362" customHeight="1" spans="1:2">
      <c r="A362" s="3" t="s">
        <v>6006</v>
      </c>
      <c r="B362" s="4">
        <v>136019448</v>
      </c>
    </row>
    <row r="363" customHeight="1" spans="1:2">
      <c r="A363" s="3" t="s">
        <v>10538</v>
      </c>
      <c r="B363" s="4">
        <v>24362501</v>
      </c>
    </row>
    <row r="364" customHeight="1" spans="1:2">
      <c r="A364" s="3" t="s">
        <v>980</v>
      </c>
      <c r="B364" s="4">
        <v>201573391</v>
      </c>
    </row>
    <row r="365" customHeight="1" spans="1:2">
      <c r="A365" s="3" t="s">
        <v>11158</v>
      </c>
      <c r="B365" s="4">
        <v>15988876</v>
      </c>
    </row>
    <row r="366" customHeight="1" spans="1:2">
      <c r="A366" s="3" t="s">
        <v>14620</v>
      </c>
      <c r="B366" s="4">
        <v>11501093</v>
      </c>
    </row>
    <row r="367" customHeight="1" spans="1:2">
      <c r="A367" s="3" t="s">
        <v>12470</v>
      </c>
      <c r="B367" s="4"/>
    </row>
    <row r="368" customHeight="1" spans="1:2">
      <c r="A368" s="3" t="s">
        <v>22414</v>
      </c>
      <c r="B368" s="4">
        <v>23616</v>
      </c>
    </row>
    <row r="369" customHeight="1" spans="1:2">
      <c r="A369" s="3" t="s">
        <v>1631</v>
      </c>
      <c r="B369" s="4">
        <v>48008318</v>
      </c>
    </row>
    <row r="370" customHeight="1" spans="1:2">
      <c r="A370" s="3" t="s">
        <v>23619</v>
      </c>
      <c r="B370" s="4"/>
    </row>
    <row r="371" customHeight="1" spans="1:2">
      <c r="A371" s="3" t="s">
        <v>2886</v>
      </c>
      <c r="B371" s="4">
        <v>15131330</v>
      </c>
    </row>
    <row r="372" customHeight="1" spans="1:2">
      <c r="A372" s="3" t="s">
        <v>2427</v>
      </c>
      <c r="B372" s="4">
        <v>46440491</v>
      </c>
    </row>
    <row r="373" customHeight="1" spans="1:2">
      <c r="A373" s="3" t="s">
        <v>6606</v>
      </c>
      <c r="B373" s="4"/>
    </row>
    <row r="374" customHeight="1" spans="1:2">
      <c r="A374" s="3" t="s">
        <v>17673</v>
      </c>
      <c r="B374" s="4">
        <v>21197315</v>
      </c>
    </row>
    <row r="375" customHeight="1" spans="1:2">
      <c r="A375" s="3" t="s">
        <v>5020</v>
      </c>
      <c r="B375" s="4">
        <v>147637474</v>
      </c>
    </row>
    <row r="376" customHeight="1" spans="1:2">
      <c r="A376" s="3" t="s">
        <v>22820</v>
      </c>
      <c r="B376" s="4">
        <v>9910</v>
      </c>
    </row>
    <row r="377" customHeight="1" spans="1:2">
      <c r="A377" s="3" t="s">
        <v>22027</v>
      </c>
      <c r="B377" s="4"/>
    </row>
    <row r="378" customHeight="1" spans="1:2">
      <c r="A378" s="3" t="s">
        <v>5336</v>
      </c>
      <c r="B378" s="4">
        <v>30306268</v>
      </c>
    </row>
    <row r="379" customHeight="1" spans="1:2">
      <c r="A379" s="3" t="s">
        <v>8523</v>
      </c>
      <c r="B379" s="4">
        <v>19976073</v>
      </c>
    </row>
    <row r="380" customHeight="1" spans="1:2">
      <c r="A380" s="3" t="s">
        <v>1462</v>
      </c>
      <c r="B380" s="4"/>
    </row>
    <row r="381" customHeight="1" spans="1:2">
      <c r="A381" s="3" t="s">
        <v>3857</v>
      </c>
      <c r="B381" s="4">
        <v>19548064</v>
      </c>
    </row>
    <row r="382" customHeight="1" spans="1:2">
      <c r="A382" s="3" t="s">
        <v>6708</v>
      </c>
      <c r="B382" s="4">
        <v>22326247</v>
      </c>
    </row>
    <row r="383" customHeight="1" spans="1:2">
      <c r="A383" s="3" t="s">
        <v>12223</v>
      </c>
      <c r="B383" s="4">
        <v>21160089</v>
      </c>
    </row>
    <row r="384" customHeight="1" spans="1:2">
      <c r="A384" s="3" t="s">
        <v>2164</v>
      </c>
      <c r="B384" s="4">
        <v>84037039</v>
      </c>
    </row>
    <row r="385" customHeight="1" spans="1:2">
      <c r="A385" s="3" t="s">
        <v>15189</v>
      </c>
      <c r="B385" s="4">
        <v>3333823</v>
      </c>
    </row>
    <row r="386" customHeight="1" spans="1:2">
      <c r="A386" s="3" t="s">
        <v>17936</v>
      </c>
      <c r="B386" s="4">
        <v>830210</v>
      </c>
    </row>
    <row r="387" customHeight="1" spans="1:2">
      <c r="A387" s="3" t="s">
        <v>8313</v>
      </c>
      <c r="B387" s="4">
        <v>50921738</v>
      </c>
    </row>
    <row r="388" customHeight="1" spans="1:2">
      <c r="A388" s="3" t="s">
        <v>13880</v>
      </c>
      <c r="B388" s="4">
        <v>1024175</v>
      </c>
    </row>
    <row r="389" customHeight="1" spans="1:2">
      <c r="A389" s="3" t="s">
        <v>9653</v>
      </c>
      <c r="B389" s="4">
        <v>31655091</v>
      </c>
    </row>
    <row r="390" customHeight="1" spans="1:2">
      <c r="A390" s="3" t="s">
        <v>19062</v>
      </c>
      <c r="B390" s="4"/>
    </row>
    <row r="391" customHeight="1" spans="1:2">
      <c r="A391" s="3" t="s">
        <v>9712</v>
      </c>
      <c r="B391" s="4">
        <v>37738400</v>
      </c>
    </row>
    <row r="392" customHeight="1" spans="1:2">
      <c r="A392" s="3" t="s">
        <v>3853</v>
      </c>
      <c r="B392" s="4">
        <v>213079163</v>
      </c>
    </row>
    <row r="393" customHeight="1" spans="1:2">
      <c r="A393" s="3" t="s">
        <v>11766</v>
      </c>
      <c r="B393" s="4">
        <v>53868030</v>
      </c>
    </row>
    <row r="394" customHeight="1" spans="1:2">
      <c r="A394" s="3" t="s">
        <v>7243</v>
      </c>
      <c r="B394" s="4">
        <v>205399422</v>
      </c>
    </row>
    <row r="395" customHeight="1" spans="1:2">
      <c r="A395" s="3" t="s">
        <v>1224</v>
      </c>
      <c r="B395" s="4">
        <v>49551662</v>
      </c>
    </row>
    <row r="396" customHeight="1" spans="1:2">
      <c r="A396" s="3" t="s">
        <v>16649</v>
      </c>
      <c r="B396" s="4">
        <v>2062066</v>
      </c>
    </row>
    <row r="397" customHeight="1" spans="1:2">
      <c r="A397" s="3" t="s">
        <v>13296</v>
      </c>
      <c r="B397" s="4"/>
    </row>
    <row r="398" customHeight="1" spans="1:2">
      <c r="A398" s="3" t="s">
        <v>6543</v>
      </c>
      <c r="B398" s="4">
        <v>37752931</v>
      </c>
    </row>
    <row r="399" customHeight="1" spans="1:2">
      <c r="A399" s="3" t="s">
        <v>36</v>
      </c>
      <c r="B399" s="4">
        <v>760505847</v>
      </c>
    </row>
    <row r="400" customHeight="1" spans="1:2">
      <c r="A400" s="3" t="s">
        <v>101</v>
      </c>
      <c r="B400" s="4">
        <v>458991599</v>
      </c>
    </row>
    <row r="401" customHeight="1" spans="1:2">
      <c r="A401" s="3" t="s">
        <v>3360</v>
      </c>
      <c r="B401" s="4">
        <v>80281096</v>
      </c>
    </row>
    <row r="402" customHeight="1" spans="1:2">
      <c r="A402" s="3" t="s">
        <v>15824</v>
      </c>
      <c r="B402" s="4">
        <v>14373825</v>
      </c>
    </row>
    <row r="403" customHeight="1" spans="1:2">
      <c r="A403" s="3" t="s">
        <v>10605</v>
      </c>
      <c r="B403" s="4">
        <v>9430988</v>
      </c>
    </row>
    <row r="404" customHeight="1" spans="1:2">
      <c r="A404" s="3" t="s">
        <v>19593</v>
      </c>
      <c r="B404" s="4"/>
    </row>
    <row r="405" customHeight="1" spans="1:2">
      <c r="A405" s="3" t="s">
        <v>23071</v>
      </c>
      <c r="B405" s="4">
        <v>16892</v>
      </c>
    </row>
    <row r="406" customHeight="1" spans="1:2">
      <c r="A406" s="3" t="s">
        <v>6915</v>
      </c>
      <c r="B406" s="4">
        <v>6498000</v>
      </c>
    </row>
    <row r="407" customHeight="1" spans="1:2">
      <c r="A407" s="3" t="s">
        <v>8216</v>
      </c>
      <c r="B407" s="4">
        <v>66600000</v>
      </c>
    </row>
    <row r="408" customHeight="1" spans="1:2">
      <c r="A408" s="3" t="s">
        <v>2868</v>
      </c>
      <c r="B408" s="4">
        <v>18318000</v>
      </c>
    </row>
    <row r="409" customHeight="1" spans="1:2">
      <c r="A409" s="3" t="s">
        <v>10860</v>
      </c>
      <c r="B409" s="4">
        <v>34300771</v>
      </c>
    </row>
    <row r="410" customHeight="1" spans="1:2">
      <c r="A410" s="3" t="s">
        <v>12439</v>
      </c>
      <c r="B410" s="4">
        <v>28734552</v>
      </c>
    </row>
    <row r="411" customHeight="1" spans="1:2">
      <c r="A411" s="3" t="s">
        <v>13718</v>
      </c>
      <c r="B411" s="4">
        <v>27141959</v>
      </c>
    </row>
    <row r="412" customHeight="1" spans="1:2">
      <c r="A412" s="3" t="s">
        <v>8237</v>
      </c>
      <c r="B412" s="4">
        <v>60269340</v>
      </c>
    </row>
    <row r="413" customHeight="1" spans="1:2">
      <c r="A413" s="3" t="s">
        <v>5899</v>
      </c>
      <c r="B413" s="4">
        <v>22531698</v>
      </c>
    </row>
    <row r="414" customHeight="1" spans="1:2">
      <c r="A414" s="3" t="s">
        <v>5437</v>
      </c>
      <c r="B414" s="4">
        <v>16671505</v>
      </c>
    </row>
    <row r="415" customHeight="1" spans="1:2">
      <c r="A415" s="3" t="s">
        <v>19479</v>
      </c>
      <c r="B415" s="4">
        <v>418268</v>
      </c>
    </row>
    <row r="416" customHeight="1" spans="1:2">
      <c r="A416" s="3" t="s">
        <v>6257</v>
      </c>
      <c r="B416" s="4">
        <v>118500000</v>
      </c>
    </row>
    <row r="417" customHeight="1" spans="1:2">
      <c r="A417" s="3" t="s">
        <v>6316</v>
      </c>
      <c r="B417" s="4">
        <v>87666629</v>
      </c>
    </row>
    <row r="418" customHeight="1" spans="1:2">
      <c r="A418" s="3" t="s">
        <v>11583</v>
      </c>
      <c r="B418" s="4">
        <v>210609762</v>
      </c>
    </row>
    <row r="419" customHeight="1" spans="1:2">
      <c r="A419" s="3" t="s">
        <v>1191</v>
      </c>
      <c r="B419" s="4">
        <v>138396624</v>
      </c>
    </row>
    <row r="420" customHeight="1" spans="1:2">
      <c r="A420" s="3" t="s">
        <v>10208</v>
      </c>
      <c r="B420" s="4">
        <v>65807024</v>
      </c>
    </row>
    <row r="421" customHeight="1" spans="1:2">
      <c r="A421" s="3" t="s">
        <v>3442</v>
      </c>
      <c r="B421" s="4">
        <v>30157016</v>
      </c>
    </row>
    <row r="422" customHeight="1" spans="1:2">
      <c r="A422" s="3" t="s">
        <v>12730</v>
      </c>
      <c r="B422" s="4">
        <v>101978840</v>
      </c>
    </row>
    <row r="423" customHeight="1" spans="1:2">
      <c r="A423" s="3" t="s">
        <v>10021</v>
      </c>
      <c r="B423" s="4">
        <v>1697956</v>
      </c>
    </row>
    <row r="424" customHeight="1" spans="1:2">
      <c r="A424" s="3" t="s">
        <v>10754</v>
      </c>
      <c r="B424" s="4">
        <v>110922614</v>
      </c>
    </row>
    <row r="425" customHeight="1" spans="1:2">
      <c r="A425" s="3" t="s">
        <v>11763</v>
      </c>
      <c r="B425" s="4">
        <v>60057639</v>
      </c>
    </row>
    <row r="426" customHeight="1" spans="1:2">
      <c r="A426" s="3" t="s">
        <v>11557</v>
      </c>
      <c r="B426" s="4">
        <v>100292856</v>
      </c>
    </row>
    <row r="427" customHeight="1" spans="1:2">
      <c r="A427" s="3" t="s">
        <v>15145</v>
      </c>
      <c r="B427" s="4">
        <v>7764027</v>
      </c>
    </row>
    <row r="428" customHeight="1" spans="1:2">
      <c r="A428" s="3" t="s">
        <v>15851</v>
      </c>
      <c r="B428" s="4">
        <v>21564616</v>
      </c>
    </row>
    <row r="429" customHeight="1" spans="1:2">
      <c r="A429" s="3" t="s">
        <v>23453</v>
      </c>
      <c r="B429" s="4">
        <v>140016</v>
      </c>
    </row>
    <row r="430" customHeight="1" spans="1:2">
      <c r="A430" s="3" t="s">
        <v>7615</v>
      </c>
      <c r="B430" s="4"/>
    </row>
    <row r="431" customHeight="1" spans="1:2">
      <c r="A431" s="3" t="s">
        <v>3487</v>
      </c>
      <c r="B431" s="4">
        <v>14294842</v>
      </c>
    </row>
    <row r="432" customHeight="1" spans="1:2">
      <c r="A432" s="3" t="s">
        <v>22092</v>
      </c>
      <c r="B432" s="4">
        <v>102797150</v>
      </c>
    </row>
    <row r="433" customHeight="1" spans="1:2">
      <c r="A433" s="3" t="s">
        <v>15221</v>
      </c>
      <c r="B433" s="4">
        <v>2185266</v>
      </c>
    </row>
    <row r="434" customHeight="1" spans="1:2">
      <c r="A434" s="3" t="s">
        <v>20505</v>
      </c>
      <c r="B434" s="4"/>
    </row>
    <row r="435" customHeight="1" spans="1:2">
      <c r="A435" s="3" t="s">
        <v>7742</v>
      </c>
      <c r="B435" s="4"/>
    </row>
    <row r="436" customHeight="1" spans="1:2">
      <c r="A436" s="3" t="s">
        <v>3127</v>
      </c>
      <c r="B436" s="4">
        <v>41523271</v>
      </c>
    </row>
    <row r="437" customHeight="1" spans="1:2">
      <c r="A437" s="3" t="s">
        <v>11355</v>
      </c>
      <c r="B437" s="4">
        <v>5205343</v>
      </c>
    </row>
    <row r="438" customHeight="1" spans="1:2">
      <c r="A438" s="3" t="s">
        <v>21990</v>
      </c>
      <c r="B438" s="4"/>
    </row>
    <row r="439" customHeight="1" spans="1:2">
      <c r="A439" s="3" t="s">
        <v>24101</v>
      </c>
      <c r="B439" s="4"/>
    </row>
    <row r="440" customHeight="1" spans="1:2">
      <c r="A440" s="3" t="s">
        <v>5965</v>
      </c>
      <c r="B440" s="4">
        <v>15279680</v>
      </c>
    </row>
    <row r="441" customHeight="1" spans="1:2">
      <c r="A441" s="3" t="s">
        <v>22017</v>
      </c>
      <c r="B441" s="4"/>
    </row>
    <row r="442" customHeight="1" spans="1:2">
      <c r="A442" s="3" t="s">
        <v>15857</v>
      </c>
      <c r="B442" s="4"/>
    </row>
    <row r="443" customHeight="1" spans="1:2">
      <c r="A443" s="3" t="s">
        <v>15755</v>
      </c>
      <c r="B443" s="4"/>
    </row>
    <row r="444" customHeight="1" spans="1:2">
      <c r="A444" s="3" t="s">
        <v>11759</v>
      </c>
      <c r="B444" s="4">
        <v>64955956</v>
      </c>
    </row>
    <row r="445" customHeight="1" spans="1:2">
      <c r="A445" s="3" t="s">
        <v>14032</v>
      </c>
      <c r="B445" s="4">
        <v>75074950</v>
      </c>
    </row>
    <row r="446" customHeight="1" spans="1:2">
      <c r="A446" s="3" t="s">
        <v>18178</v>
      </c>
      <c r="B446" s="4"/>
    </row>
    <row r="447" customHeight="1" spans="1:2">
      <c r="A447" s="3" t="s">
        <v>13049</v>
      </c>
      <c r="B447" s="4">
        <v>11144518</v>
      </c>
    </row>
    <row r="448" customHeight="1" spans="1:2">
      <c r="A448" s="3" t="s">
        <v>8641</v>
      </c>
      <c r="B448" s="4">
        <v>7501404</v>
      </c>
    </row>
    <row r="449" customHeight="1" spans="1:2">
      <c r="A449" s="3" t="s">
        <v>4985</v>
      </c>
      <c r="B449" s="4">
        <v>72601713</v>
      </c>
    </row>
    <row r="450" customHeight="1" spans="1:2">
      <c r="A450" s="3" t="s">
        <v>14589</v>
      </c>
      <c r="B450" s="4"/>
    </row>
    <row r="451" customHeight="1" spans="1:2">
      <c r="A451" s="3" t="s">
        <v>19610</v>
      </c>
      <c r="B451" s="4"/>
    </row>
    <row r="452" customHeight="1" spans="1:2">
      <c r="A452" s="3" t="s">
        <v>3521</v>
      </c>
      <c r="B452" s="4">
        <v>5851188</v>
      </c>
    </row>
    <row r="453" customHeight="1" spans="1:2">
      <c r="A453" s="3" t="s">
        <v>5358</v>
      </c>
      <c r="B453" s="4">
        <v>26536120</v>
      </c>
    </row>
    <row r="454" customHeight="1" spans="1:2">
      <c r="A454" s="3" t="s">
        <v>19409</v>
      </c>
      <c r="B454" s="4">
        <v>2961991</v>
      </c>
    </row>
    <row r="455" customHeight="1" spans="1:2">
      <c r="A455" s="3" t="s">
        <v>19977</v>
      </c>
      <c r="B455" s="4"/>
    </row>
    <row r="456" customHeight="1" spans="1:2">
      <c r="A456" s="3" t="s">
        <v>13287</v>
      </c>
      <c r="B456" s="4"/>
    </row>
    <row r="457" customHeight="1" spans="1:2">
      <c r="A457" s="3" t="s">
        <v>1329</v>
      </c>
      <c r="B457" s="4">
        <v>107285004</v>
      </c>
    </row>
    <row r="458" customHeight="1" spans="1:2">
      <c r="A458" s="3" t="s">
        <v>799</v>
      </c>
      <c r="B458" s="4">
        <v>205343774</v>
      </c>
    </row>
    <row r="459" customHeight="1" spans="1:2">
      <c r="A459" s="3" t="s">
        <v>1838</v>
      </c>
      <c r="B459" s="4">
        <v>184031112</v>
      </c>
    </row>
    <row r="460" customHeight="1" spans="1:2">
      <c r="A460" s="3" t="s">
        <v>2550</v>
      </c>
      <c r="B460" s="4">
        <v>162831698</v>
      </c>
    </row>
    <row r="461" customHeight="1" spans="1:2">
      <c r="A461" s="3" t="s">
        <v>116</v>
      </c>
      <c r="B461" s="4">
        <v>330249062</v>
      </c>
    </row>
    <row r="462" customHeight="1" spans="1:2">
      <c r="A462" s="3" t="s">
        <v>7247</v>
      </c>
      <c r="B462" s="4">
        <v>251188924</v>
      </c>
    </row>
    <row r="463" customHeight="1" spans="1:2">
      <c r="A463" s="3" t="s">
        <v>19019</v>
      </c>
      <c r="B463" s="4"/>
    </row>
    <row r="464" customHeight="1" spans="1:2">
      <c r="A464" s="3" t="s">
        <v>21149</v>
      </c>
      <c r="B464" s="4"/>
    </row>
    <row r="465" customHeight="1" spans="1:2">
      <c r="A465" s="3" t="s">
        <v>16896</v>
      </c>
      <c r="B465" s="4">
        <v>10149779</v>
      </c>
    </row>
    <row r="466" customHeight="1" spans="1:2">
      <c r="A466" s="3" t="s">
        <v>20685</v>
      </c>
      <c r="B466" s="4"/>
    </row>
    <row r="467" customHeight="1" spans="1:2">
      <c r="A467" s="3" t="s">
        <v>3383</v>
      </c>
      <c r="B467" s="4">
        <v>83552429</v>
      </c>
    </row>
    <row r="468" customHeight="1" spans="1:2">
      <c r="A468" s="3" t="s">
        <v>11303</v>
      </c>
      <c r="B468" s="4">
        <v>8888355</v>
      </c>
    </row>
    <row r="469" customHeight="1" spans="1:2">
      <c r="A469" s="3" t="s">
        <v>2841</v>
      </c>
      <c r="B469" s="4">
        <v>21471685</v>
      </c>
    </row>
    <row r="470" customHeight="1" spans="1:2">
      <c r="A470" s="3" t="s">
        <v>231</v>
      </c>
      <c r="B470" s="4">
        <v>65173160</v>
      </c>
    </row>
    <row r="471" customHeight="1" spans="1:2">
      <c r="A471" s="3" t="s">
        <v>3092</v>
      </c>
      <c r="B471" s="4">
        <v>55808744</v>
      </c>
    </row>
    <row r="472" customHeight="1" spans="1:2">
      <c r="A472" s="3" t="s">
        <v>11222</v>
      </c>
      <c r="B472" s="4">
        <v>11169531</v>
      </c>
    </row>
    <row r="473" customHeight="1" spans="1:2">
      <c r="A473" s="3" t="s">
        <v>12199</v>
      </c>
      <c r="B473" s="4">
        <v>27854896</v>
      </c>
    </row>
    <row r="474" customHeight="1" spans="1:2">
      <c r="A474" s="3" t="s">
        <v>17220</v>
      </c>
      <c r="B474" s="4">
        <v>869325</v>
      </c>
    </row>
    <row r="475" customHeight="1" spans="1:2">
      <c r="A475" s="3" t="s">
        <v>20680</v>
      </c>
      <c r="B475" s="4">
        <v>12784397</v>
      </c>
    </row>
    <row r="476" customHeight="1" spans="1:2">
      <c r="A476" s="3" t="s">
        <v>5467</v>
      </c>
      <c r="B476" s="4">
        <v>19445217</v>
      </c>
    </row>
    <row r="477" customHeight="1" spans="1:2">
      <c r="A477" s="3" t="s">
        <v>9597</v>
      </c>
      <c r="B477" s="4">
        <v>36310118</v>
      </c>
    </row>
    <row r="478" customHeight="1" spans="1:2">
      <c r="A478" s="3" t="s">
        <v>14064</v>
      </c>
      <c r="B478" s="4">
        <v>63071133</v>
      </c>
    </row>
    <row r="479" customHeight="1" spans="1:2">
      <c r="A479" s="3" t="s">
        <v>6927</v>
      </c>
      <c r="B479" s="4">
        <v>42640890</v>
      </c>
    </row>
    <row r="480" customHeight="1" spans="1:2">
      <c r="A480" s="3" t="s">
        <v>12874</v>
      </c>
      <c r="B480" s="4">
        <v>32645546</v>
      </c>
    </row>
    <row r="481" customHeight="1" spans="1:2">
      <c r="A481" s="3" t="s">
        <v>12363</v>
      </c>
      <c r="B481" s="4">
        <v>18663911</v>
      </c>
    </row>
    <row r="482" customHeight="1" spans="1:2">
      <c r="A482" s="3" t="s">
        <v>5577</v>
      </c>
      <c r="B482" s="4">
        <v>37879996</v>
      </c>
    </row>
    <row r="483" customHeight="1" spans="1:2">
      <c r="A483" s="3" t="s">
        <v>2617</v>
      </c>
      <c r="B483" s="4">
        <v>109993847</v>
      </c>
    </row>
    <row r="484" customHeight="1" spans="1:2">
      <c r="A484" s="3" t="s">
        <v>905</v>
      </c>
      <c r="B484" s="4">
        <v>126597121</v>
      </c>
    </row>
    <row r="485" customHeight="1" spans="1:2">
      <c r="A485" s="3" t="s">
        <v>19762</v>
      </c>
      <c r="B485" s="4">
        <v>475000</v>
      </c>
    </row>
    <row r="486" customHeight="1" spans="1:2">
      <c r="A486" s="3" t="s">
        <v>12168</v>
      </c>
      <c r="B486" s="4">
        <v>19179969</v>
      </c>
    </row>
    <row r="487" customHeight="1" spans="1:2">
      <c r="A487" s="3" t="s">
        <v>12738</v>
      </c>
      <c r="B487" s="4">
        <v>73326666</v>
      </c>
    </row>
    <row r="488" customHeight="1" spans="1:2">
      <c r="A488" s="3" t="s">
        <v>10509</v>
      </c>
      <c r="B488" s="4">
        <v>2963012</v>
      </c>
    </row>
    <row r="489" customHeight="1" spans="1:2">
      <c r="A489" s="3" t="s">
        <v>19326</v>
      </c>
      <c r="B489" s="4">
        <v>8114507</v>
      </c>
    </row>
    <row r="490" customHeight="1" spans="1:2">
      <c r="A490" s="3" t="s">
        <v>19843</v>
      </c>
      <c r="B490" s="4">
        <v>5400000</v>
      </c>
    </row>
    <row r="491" customHeight="1" spans="1:2">
      <c r="A491" s="3" t="s">
        <v>20214</v>
      </c>
      <c r="B491" s="4">
        <v>5792822</v>
      </c>
    </row>
    <row r="492" customHeight="1" spans="1:2">
      <c r="A492" s="3" t="s">
        <v>16195</v>
      </c>
      <c r="B492" s="4">
        <v>16168741</v>
      </c>
    </row>
    <row r="493" customHeight="1" spans="1:2">
      <c r="A493" s="3" t="s">
        <v>19147</v>
      </c>
      <c r="B493" s="4">
        <v>5776314</v>
      </c>
    </row>
    <row r="494" customHeight="1" spans="1:2">
      <c r="A494" s="3" t="s">
        <v>6415</v>
      </c>
      <c r="B494" s="4">
        <v>59068786</v>
      </c>
    </row>
    <row r="495" customHeight="1" spans="1:2">
      <c r="A495" s="3" t="s">
        <v>13754</v>
      </c>
      <c r="B495" s="4">
        <v>22858926</v>
      </c>
    </row>
    <row r="496" customHeight="1" spans="1:2">
      <c r="A496" s="3" t="s">
        <v>11950</v>
      </c>
      <c r="B496" s="4">
        <v>7739049</v>
      </c>
    </row>
    <row r="497" customHeight="1" spans="1:2">
      <c r="A497" s="3" t="s">
        <v>19103</v>
      </c>
      <c r="B497" s="4">
        <v>8108247</v>
      </c>
    </row>
    <row r="498" customHeight="1" spans="1:2">
      <c r="A498" s="3" t="s">
        <v>4912</v>
      </c>
      <c r="B498" s="4">
        <v>22843047</v>
      </c>
    </row>
    <row r="499" customHeight="1" spans="1:2">
      <c r="A499" s="3" t="s">
        <v>21391</v>
      </c>
      <c r="B499" s="4"/>
    </row>
    <row r="500" customHeight="1" spans="1:2">
      <c r="A500" s="3" t="s">
        <v>17350</v>
      </c>
      <c r="B500" s="4">
        <v>32541719</v>
      </c>
    </row>
    <row r="501" customHeight="1" spans="1:2">
      <c r="A501" s="3" t="s">
        <v>23889</v>
      </c>
      <c r="B501" s="4"/>
    </row>
    <row r="502" customHeight="1" spans="1:2">
      <c r="A502" s="3" t="s">
        <v>15816</v>
      </c>
      <c r="B502" s="4"/>
    </row>
    <row r="503" customHeight="1" spans="1:2">
      <c r="A503" s="3" t="s">
        <v>19228</v>
      </c>
      <c r="B503" s="4"/>
    </row>
    <row r="504" customHeight="1" spans="1:2">
      <c r="A504" s="3" t="s">
        <v>2159</v>
      </c>
      <c r="B504" s="4"/>
    </row>
    <row r="505" customHeight="1" spans="1:2">
      <c r="A505" s="3" t="s">
        <v>22495</v>
      </c>
      <c r="B505" s="4">
        <v>39552600</v>
      </c>
    </row>
    <row r="506" customHeight="1" spans="1:2">
      <c r="A506" s="3" t="s">
        <v>990</v>
      </c>
      <c r="B506" s="4">
        <v>82161969</v>
      </c>
    </row>
    <row r="507" customHeight="1" spans="1:2">
      <c r="A507" s="3" t="s">
        <v>17096</v>
      </c>
      <c r="B507" s="4">
        <v>9203192</v>
      </c>
    </row>
    <row r="508" customHeight="1" spans="1:2">
      <c r="A508" s="3" t="s">
        <v>17047</v>
      </c>
      <c r="B508" s="4">
        <v>18621249</v>
      </c>
    </row>
    <row r="509" customHeight="1" spans="1:2">
      <c r="A509" s="3" t="s">
        <v>23163</v>
      </c>
      <c r="B509" s="4">
        <v>3799339</v>
      </c>
    </row>
    <row r="510" customHeight="1" spans="1:2">
      <c r="A510" s="3" t="s">
        <v>10682</v>
      </c>
      <c r="B510" s="4">
        <v>94497271</v>
      </c>
    </row>
    <row r="511" customHeight="1" spans="1:2">
      <c r="A511" s="3" t="s">
        <v>10651</v>
      </c>
      <c r="B511" s="4">
        <v>153665036</v>
      </c>
    </row>
    <row r="512" customHeight="1" spans="1:2">
      <c r="A512" s="3" t="s">
        <v>5249</v>
      </c>
      <c r="B512" s="4">
        <v>42610000</v>
      </c>
    </row>
    <row r="513" customHeight="1" spans="1:2">
      <c r="A513" s="3" t="s">
        <v>12645</v>
      </c>
      <c r="B513" s="4">
        <v>234760500</v>
      </c>
    </row>
    <row r="514" customHeight="1" spans="1:2">
      <c r="A514" s="3" t="s">
        <v>2747</v>
      </c>
      <c r="B514" s="4"/>
    </row>
    <row r="515" customHeight="1" spans="1:2">
      <c r="A515" s="3" t="s">
        <v>4415</v>
      </c>
      <c r="B515" s="4">
        <v>4426297</v>
      </c>
    </row>
    <row r="516" customHeight="1" spans="1:2">
      <c r="A516" s="3" t="s">
        <v>21463</v>
      </c>
      <c r="B516" s="4">
        <v>56129</v>
      </c>
    </row>
    <row r="517" customHeight="1" spans="1:2">
      <c r="A517" s="3" t="s">
        <v>16583</v>
      </c>
      <c r="B517" s="4">
        <v>14612840</v>
      </c>
    </row>
    <row r="518" customHeight="1" spans="1:2">
      <c r="A518" s="3" t="s">
        <v>22540</v>
      </c>
      <c r="B518" s="4">
        <v>2047570</v>
      </c>
    </row>
    <row r="519" customHeight="1" spans="1:2">
      <c r="A519" s="3" t="s">
        <v>10170</v>
      </c>
      <c r="B519" s="4">
        <v>6144806</v>
      </c>
    </row>
    <row r="520" customHeight="1" spans="1:2">
      <c r="A520" s="3" t="s">
        <v>21581</v>
      </c>
      <c r="B520" s="4">
        <v>9000000</v>
      </c>
    </row>
    <row r="521" customHeight="1" spans="1:2">
      <c r="A521" s="3" t="s">
        <v>22321</v>
      </c>
      <c r="B521" s="4"/>
    </row>
    <row r="522" customHeight="1" spans="1:2">
      <c r="A522" s="3" t="s">
        <v>2258</v>
      </c>
      <c r="B522" s="4">
        <v>58220776</v>
      </c>
    </row>
    <row r="523" customHeight="1" spans="1:2">
      <c r="A523" s="3" t="s">
        <v>8090</v>
      </c>
      <c r="B523" s="4">
        <v>163479795</v>
      </c>
    </row>
    <row r="524" customHeight="1" spans="1:2">
      <c r="A524" s="3" t="s">
        <v>15075</v>
      </c>
      <c r="B524" s="4">
        <v>14479776</v>
      </c>
    </row>
    <row r="525" customHeight="1" spans="1:2">
      <c r="A525" s="3" t="s">
        <v>12759</v>
      </c>
      <c r="B525" s="4">
        <v>95622550</v>
      </c>
    </row>
    <row r="526" customHeight="1" spans="1:2">
      <c r="A526" s="3" t="s">
        <v>3387</v>
      </c>
      <c r="B526" s="4">
        <v>66257002</v>
      </c>
    </row>
    <row r="527" customHeight="1" spans="1:2">
      <c r="A527" s="3" t="s">
        <v>617</v>
      </c>
      <c r="B527" s="4">
        <v>222487711</v>
      </c>
    </row>
    <row r="528" customHeight="1" spans="1:2">
      <c r="A528" s="3" t="s">
        <v>6781</v>
      </c>
      <c r="B528" s="4">
        <v>20113965</v>
      </c>
    </row>
    <row r="529" customHeight="1" spans="1:2">
      <c r="A529" s="3" t="s">
        <v>6385</v>
      </c>
      <c r="B529" s="4">
        <v>70163652</v>
      </c>
    </row>
    <row r="530" customHeight="1" spans="1:2">
      <c r="A530" s="3" t="s">
        <v>7821</v>
      </c>
      <c r="B530" s="4">
        <v>117559438</v>
      </c>
    </row>
    <row r="531" customHeight="1" spans="1:2">
      <c r="A531" s="3" t="s">
        <v>7936</v>
      </c>
      <c r="B531" s="4">
        <v>37911876</v>
      </c>
    </row>
    <row r="532" customHeight="1" spans="1:2">
      <c r="A532" s="3" t="s">
        <v>9887</v>
      </c>
      <c r="B532" s="4">
        <v>11100000</v>
      </c>
    </row>
    <row r="533" customHeight="1" spans="1:2">
      <c r="A533" s="3" t="s">
        <v>5970</v>
      </c>
      <c r="B533" s="4">
        <v>7262288</v>
      </c>
    </row>
    <row r="534" customHeight="1" spans="1:2">
      <c r="A534" s="3" t="s">
        <v>11724</v>
      </c>
      <c r="B534" s="4">
        <v>114968774</v>
      </c>
    </row>
    <row r="535" customHeight="1" spans="1:2">
      <c r="A535" s="3" t="s">
        <v>10830</v>
      </c>
      <c r="B535" s="4">
        <v>38037513</v>
      </c>
    </row>
    <row r="536" customHeight="1" spans="1:2">
      <c r="A536" s="3" t="s">
        <v>14842</v>
      </c>
      <c r="B536" s="4">
        <v>40485039</v>
      </c>
    </row>
    <row r="537" customHeight="1" spans="1:2">
      <c r="A537" s="3" t="s">
        <v>17624</v>
      </c>
      <c r="B537" s="4">
        <v>21994911</v>
      </c>
    </row>
    <row r="538" customHeight="1" spans="1:2">
      <c r="A538" s="3" t="s">
        <v>11809</v>
      </c>
      <c r="B538" s="4">
        <v>42335698</v>
      </c>
    </row>
    <row r="539" customHeight="1" spans="1:2">
      <c r="A539" s="3" t="s">
        <v>11359</v>
      </c>
      <c r="B539" s="4">
        <v>5005883</v>
      </c>
    </row>
    <row r="540" customHeight="1" spans="1:2">
      <c r="A540" s="3" t="s">
        <v>13818</v>
      </c>
      <c r="B540" s="4">
        <v>4919896</v>
      </c>
    </row>
    <row r="541" customHeight="1" spans="1:2">
      <c r="A541" s="3" t="s">
        <v>7737</v>
      </c>
      <c r="B541" s="4">
        <v>5100937</v>
      </c>
    </row>
    <row r="542" customHeight="1" spans="1:2">
      <c r="A542" s="3" t="s">
        <v>23128</v>
      </c>
      <c r="B542" s="4"/>
    </row>
    <row r="543" customHeight="1" spans="1:2">
      <c r="A543" s="3" t="s">
        <v>10488</v>
      </c>
      <c r="B543" s="4">
        <v>4398392</v>
      </c>
    </row>
    <row r="544" customHeight="1" spans="1:2">
      <c r="A544" s="3" t="s">
        <v>15665</v>
      </c>
      <c r="B544" s="4">
        <v>16235293</v>
      </c>
    </row>
    <row r="545" customHeight="1" spans="1:2">
      <c r="A545" s="3" t="s">
        <v>1963</v>
      </c>
      <c r="B545" s="4">
        <v>108638745</v>
      </c>
    </row>
    <row r="546" customHeight="1" spans="1:2">
      <c r="A546" s="3" t="s">
        <v>7441</v>
      </c>
      <c r="B546" s="4">
        <v>33422806</v>
      </c>
    </row>
    <row r="547" customHeight="1" spans="1:2">
      <c r="A547" s="3" t="s">
        <v>4895</v>
      </c>
      <c r="B547" s="4">
        <v>62563543</v>
      </c>
    </row>
    <row r="548" customHeight="1" spans="1:2">
      <c r="A548" s="3" t="s">
        <v>12124</v>
      </c>
      <c r="B548" s="4">
        <v>7017178</v>
      </c>
    </row>
    <row r="549" customHeight="1" spans="1:2">
      <c r="A549" s="3" t="s">
        <v>16399</v>
      </c>
      <c r="B549" s="4"/>
    </row>
    <row r="550" customHeight="1" spans="1:2">
      <c r="A550" s="3" t="s">
        <v>15159</v>
      </c>
      <c r="B550" s="4">
        <v>21569041</v>
      </c>
    </row>
    <row r="551" customHeight="1" spans="1:2">
      <c r="A551" s="3" t="s">
        <v>8323</v>
      </c>
      <c r="B551" s="4">
        <v>45645204</v>
      </c>
    </row>
    <row r="552" customHeight="1" spans="1:2">
      <c r="A552" s="3" t="s">
        <v>21969</v>
      </c>
      <c r="B552" s="4"/>
    </row>
    <row r="553" customHeight="1" spans="1:2">
      <c r="A553" s="3" t="s">
        <v>13080</v>
      </c>
      <c r="B553" s="4">
        <v>9396487</v>
      </c>
    </row>
    <row r="554" customHeight="1" spans="1:2">
      <c r="A554" s="3" t="s">
        <v>13653</v>
      </c>
      <c r="B554" s="4">
        <v>106952327</v>
      </c>
    </row>
    <row r="555" customHeight="1" spans="1:2">
      <c r="A555" s="3" t="s">
        <v>7747</v>
      </c>
      <c r="B555" s="4"/>
    </row>
    <row r="556" customHeight="1" spans="1:2">
      <c r="A556" s="3" t="s">
        <v>3509</v>
      </c>
      <c r="B556" s="4">
        <v>7097125</v>
      </c>
    </row>
    <row r="557" customHeight="1" spans="1:2">
      <c r="A557" s="3" t="s">
        <v>18322</v>
      </c>
      <c r="B557" s="4">
        <v>199652</v>
      </c>
    </row>
    <row r="558" customHeight="1" spans="1:2">
      <c r="A558" s="3" t="s">
        <v>4839</v>
      </c>
      <c r="B558" s="4">
        <v>81645152</v>
      </c>
    </row>
    <row r="559" customHeight="1" spans="1:2">
      <c r="A559" s="3" t="s">
        <v>8961</v>
      </c>
      <c r="B559" s="4">
        <v>27000000</v>
      </c>
    </row>
    <row r="560" customHeight="1" spans="1:2">
      <c r="A560" s="3" t="s">
        <v>5767</v>
      </c>
      <c r="B560" s="4">
        <v>70001065</v>
      </c>
    </row>
    <row r="561" customHeight="1" spans="1:2">
      <c r="A561" s="3" t="s">
        <v>3753</v>
      </c>
      <c r="B561" s="4">
        <v>52397389</v>
      </c>
    </row>
    <row r="562" customHeight="1" spans="1:2">
      <c r="A562" s="3" t="s">
        <v>3915</v>
      </c>
      <c r="B562" s="4">
        <v>118153533</v>
      </c>
    </row>
    <row r="563" customHeight="1" spans="1:2">
      <c r="A563" s="3" t="s">
        <v>7502</v>
      </c>
      <c r="B563" s="4">
        <v>26494611</v>
      </c>
    </row>
    <row r="564" customHeight="1" spans="1:2">
      <c r="A564" s="3" t="s">
        <v>19741</v>
      </c>
      <c r="B564" s="4">
        <v>119500000</v>
      </c>
    </row>
    <row r="565" customHeight="1" spans="1:2">
      <c r="A565" s="3" t="s">
        <v>22284</v>
      </c>
      <c r="B565" s="4"/>
    </row>
    <row r="566" customHeight="1" spans="1:2">
      <c r="A566" s="3" t="s">
        <v>21420</v>
      </c>
      <c r="B566" s="4"/>
    </row>
    <row r="567" customHeight="1" spans="1:2">
      <c r="A567" s="3" t="s">
        <v>5841</v>
      </c>
      <c r="B567" s="4">
        <v>46280507</v>
      </c>
    </row>
    <row r="568" customHeight="1" spans="1:2">
      <c r="A568" s="3" t="s">
        <v>6651</v>
      </c>
      <c r="B568" s="4">
        <v>29374178</v>
      </c>
    </row>
    <row r="569" customHeight="1" spans="1:2">
      <c r="A569" s="3" t="s">
        <v>9982</v>
      </c>
      <c r="B569" s="4">
        <v>3073392</v>
      </c>
    </row>
    <row r="570" customHeight="1" spans="1:2">
      <c r="A570" s="3" t="s">
        <v>15415</v>
      </c>
      <c r="B570" s="4">
        <v>5561</v>
      </c>
    </row>
    <row r="571" customHeight="1" spans="1:2">
      <c r="A571" s="3" t="s">
        <v>13168</v>
      </c>
      <c r="B571" s="4">
        <v>3525161</v>
      </c>
    </row>
    <row r="572" customHeight="1" spans="1:2">
      <c r="A572" s="3" t="s">
        <v>9335</v>
      </c>
      <c r="B572" s="4">
        <v>1075288</v>
      </c>
    </row>
    <row r="573" customHeight="1" spans="1:2">
      <c r="A573" s="3" t="s">
        <v>1829</v>
      </c>
      <c r="B573" s="4">
        <v>57366262</v>
      </c>
    </row>
    <row r="574" customHeight="1" spans="1:2">
      <c r="A574" s="3" t="s">
        <v>15368</v>
      </c>
      <c r="B574" s="4">
        <v>82739</v>
      </c>
    </row>
    <row r="575" customHeight="1" spans="1:2">
      <c r="A575" s="3" t="s">
        <v>7705</v>
      </c>
      <c r="B575" s="4">
        <v>4496583</v>
      </c>
    </row>
    <row r="576" customHeight="1" spans="1:2">
      <c r="A576" s="3" t="s">
        <v>9648</v>
      </c>
      <c r="B576" s="4">
        <v>41229</v>
      </c>
    </row>
    <row r="577" customHeight="1" spans="1:2">
      <c r="A577" s="3" t="s">
        <v>5362</v>
      </c>
      <c r="B577" s="4">
        <v>26199517</v>
      </c>
    </row>
    <row r="578" customHeight="1" spans="1:2">
      <c r="A578" s="3" t="s">
        <v>9987</v>
      </c>
      <c r="B578" s="4">
        <v>1550000</v>
      </c>
    </row>
    <row r="579" customHeight="1" spans="1:2">
      <c r="A579" s="3" t="s">
        <v>20887</v>
      </c>
      <c r="B579" s="4">
        <v>11806119</v>
      </c>
    </row>
    <row r="580" customHeight="1" spans="1:2">
      <c r="A580" s="3" t="s">
        <v>22772</v>
      </c>
      <c r="B580" s="4">
        <v>768045</v>
      </c>
    </row>
    <row r="581" customHeight="1" spans="1:2">
      <c r="A581" s="3" t="s">
        <v>11924</v>
      </c>
      <c r="B581" s="4"/>
    </row>
    <row r="582" customHeight="1" spans="1:2">
      <c r="A582" s="3" t="s">
        <v>8267</v>
      </c>
      <c r="B582" s="4">
        <v>52937130</v>
      </c>
    </row>
    <row r="583" customHeight="1" spans="1:2">
      <c r="A583" s="3" t="s">
        <v>21721</v>
      </c>
      <c r="B583" s="4">
        <v>464126</v>
      </c>
    </row>
    <row r="584" customHeight="1" spans="1:2">
      <c r="A584" s="3" t="s">
        <v>8366</v>
      </c>
      <c r="B584" s="4">
        <v>40118420</v>
      </c>
    </row>
    <row r="585" customHeight="1" spans="1:2">
      <c r="A585" s="3" t="s">
        <v>11813</v>
      </c>
      <c r="B585" s="4">
        <v>33404871</v>
      </c>
    </row>
    <row r="586" customHeight="1" spans="1:2">
      <c r="A586" s="3" t="s">
        <v>21343</v>
      </c>
      <c r="B586" s="4">
        <v>594904</v>
      </c>
    </row>
    <row r="587" customHeight="1" spans="1:2">
      <c r="A587" s="3" t="s">
        <v>22834</v>
      </c>
      <c r="B587" s="4">
        <v>258113</v>
      </c>
    </row>
    <row r="588" customHeight="1" spans="1:2">
      <c r="A588" s="3" t="s">
        <v>7157</v>
      </c>
      <c r="B588" s="4">
        <v>68208190</v>
      </c>
    </row>
    <row r="589" customHeight="1" spans="1:2">
      <c r="A589" s="3" t="s">
        <v>21565</v>
      </c>
      <c r="B589" s="4">
        <v>9701559</v>
      </c>
    </row>
    <row r="590" customHeight="1" spans="1:2">
      <c r="A590" s="3" t="s">
        <v>13099</v>
      </c>
      <c r="B590" s="4">
        <v>8586376</v>
      </c>
    </row>
    <row r="591" customHeight="1" spans="1:2">
      <c r="A591" s="3" t="s">
        <v>12293</v>
      </c>
      <c r="B591" s="4">
        <v>2694071</v>
      </c>
    </row>
    <row r="592" customHeight="1" spans="1:2">
      <c r="A592" s="3" t="s">
        <v>13491</v>
      </c>
      <c r="B592" s="4">
        <v>11204499</v>
      </c>
    </row>
    <row r="593" customHeight="1" spans="1:2">
      <c r="A593" s="3" t="s">
        <v>15084</v>
      </c>
      <c r="B593" s="4"/>
    </row>
    <row r="594" customHeight="1" spans="1:2">
      <c r="A594" s="3" t="s">
        <v>3595</v>
      </c>
      <c r="B594" s="4">
        <v>39380442</v>
      </c>
    </row>
    <row r="595" customHeight="1" spans="1:2">
      <c r="A595" s="3" t="s">
        <v>10317</v>
      </c>
      <c r="B595" s="4"/>
    </row>
    <row r="596" customHeight="1" spans="1:2">
      <c r="A596" s="3" t="s">
        <v>8004</v>
      </c>
      <c r="B596" s="4">
        <v>4357000</v>
      </c>
    </row>
    <row r="597" customHeight="1" spans="1:2">
      <c r="A597" s="3" t="s">
        <v>15656</v>
      </c>
      <c r="B597" s="4">
        <v>16938179</v>
      </c>
    </row>
    <row r="598" customHeight="1" spans="1:2">
      <c r="A598" s="3" t="s">
        <v>866</v>
      </c>
      <c r="B598" s="4">
        <v>114053579</v>
      </c>
    </row>
    <row r="599" customHeight="1" spans="1:2">
      <c r="A599" s="3" t="s">
        <v>16089</v>
      </c>
      <c r="B599" s="4"/>
    </row>
    <row r="600" customHeight="1" spans="1:2">
      <c r="A600" s="3" t="s">
        <v>11398</v>
      </c>
      <c r="B600" s="4">
        <v>2353728</v>
      </c>
    </row>
    <row r="601" customHeight="1" spans="1:2">
      <c r="A601" s="3" t="s">
        <v>15112</v>
      </c>
      <c r="B601" s="4"/>
    </row>
    <row r="602" customHeight="1" spans="1:2">
      <c r="A602" s="3" t="s">
        <v>10779</v>
      </c>
      <c r="B602" s="4">
        <v>46363118</v>
      </c>
    </row>
    <row r="603" customHeight="1" spans="1:2">
      <c r="A603" s="3" t="s">
        <v>12917</v>
      </c>
      <c r="B603" s="4">
        <v>26384919</v>
      </c>
    </row>
    <row r="604" customHeight="1" spans="1:2">
      <c r="A604" s="3" t="s">
        <v>12894</v>
      </c>
      <c r="B604" s="4">
        <v>26421314</v>
      </c>
    </row>
    <row r="605" customHeight="1" spans="1:2">
      <c r="A605" s="3" t="s">
        <v>20192</v>
      </c>
      <c r="B605" s="4"/>
    </row>
    <row r="606" customHeight="1" spans="1:2">
      <c r="A606" s="3" t="s">
        <v>6105</v>
      </c>
      <c r="B606" s="4">
        <v>70100000</v>
      </c>
    </row>
    <row r="607" customHeight="1" spans="1:2">
      <c r="A607" s="3" t="s">
        <v>11730</v>
      </c>
      <c r="B607" s="4">
        <v>128505958</v>
      </c>
    </row>
    <row r="608" customHeight="1" spans="1:2">
      <c r="A608" s="3" t="s">
        <v>18077</v>
      </c>
      <c r="B608" s="4"/>
    </row>
    <row r="609" customHeight="1" spans="1:2">
      <c r="A609" s="3" t="s">
        <v>13380</v>
      </c>
      <c r="B609" s="4">
        <v>70001698</v>
      </c>
    </row>
    <row r="610" customHeight="1" spans="1:2">
      <c r="A610" s="3" t="s">
        <v>22752</v>
      </c>
      <c r="B610" s="4">
        <v>21199</v>
      </c>
    </row>
    <row r="611" customHeight="1" spans="1:2">
      <c r="A611" s="3" t="s">
        <v>17941</v>
      </c>
      <c r="B611" s="4">
        <v>1040879</v>
      </c>
    </row>
    <row r="612" customHeight="1" spans="1:2">
      <c r="A612" s="3" t="s">
        <v>17875</v>
      </c>
      <c r="B612" s="4">
        <v>4040588</v>
      </c>
    </row>
    <row r="613" customHeight="1" spans="1:2">
      <c r="A613" s="3" t="s">
        <v>18241</v>
      </c>
      <c r="B613" s="4">
        <v>3798532</v>
      </c>
    </row>
    <row r="614" customHeight="1" spans="1:2">
      <c r="A614" s="3" t="s">
        <v>4653</v>
      </c>
      <c r="B614" s="4">
        <v>66365290</v>
      </c>
    </row>
    <row r="615" customHeight="1" spans="1:2">
      <c r="A615" s="3" t="s">
        <v>19189</v>
      </c>
      <c r="B615" s="4">
        <v>21244913</v>
      </c>
    </row>
    <row r="616" customHeight="1" spans="1:2">
      <c r="A616" s="3" t="s">
        <v>18511</v>
      </c>
      <c r="B616" s="4">
        <v>25359200</v>
      </c>
    </row>
    <row r="617" customHeight="1" spans="1:2">
      <c r="A617" s="3" t="s">
        <v>19629</v>
      </c>
      <c r="B617" s="4">
        <v>3123749</v>
      </c>
    </row>
    <row r="618" customHeight="1" spans="1:2">
      <c r="A618" s="3" t="s">
        <v>12477</v>
      </c>
      <c r="B618" s="4">
        <v>20627372</v>
      </c>
    </row>
    <row r="619" customHeight="1" spans="1:2">
      <c r="A619" s="3" t="s">
        <v>20166</v>
      </c>
      <c r="B619" s="4">
        <v>11533945</v>
      </c>
    </row>
    <row r="620" customHeight="1" spans="1:2">
      <c r="A620" s="3" t="s">
        <v>16857</v>
      </c>
      <c r="B620" s="4">
        <v>57504069</v>
      </c>
    </row>
    <row r="621" customHeight="1" spans="1:2">
      <c r="A621" s="3" t="s">
        <v>19484</v>
      </c>
      <c r="B621" s="4"/>
    </row>
    <row r="622" customHeight="1" spans="1:2">
      <c r="A622" s="3" t="s">
        <v>6324</v>
      </c>
      <c r="B622" s="4">
        <v>82522790</v>
      </c>
    </row>
    <row r="623" customHeight="1" spans="1:2">
      <c r="A623" s="3" t="s">
        <v>16851</v>
      </c>
      <c r="B623" s="4">
        <v>110029</v>
      </c>
    </row>
    <row r="624" customHeight="1" spans="1:2">
      <c r="A624" s="3" t="s">
        <v>19489</v>
      </c>
      <c r="B624" s="4"/>
    </row>
    <row r="625" customHeight="1" spans="1:2">
      <c r="A625" s="3" t="s">
        <v>406</v>
      </c>
      <c r="B625" s="4">
        <v>237282182</v>
      </c>
    </row>
    <row r="626" customHeight="1" spans="1:2">
      <c r="A626" s="3" t="s">
        <v>3245</v>
      </c>
      <c r="B626" s="4">
        <v>75600000</v>
      </c>
    </row>
    <row r="627" customHeight="1" spans="1:2">
      <c r="A627" s="3" t="s">
        <v>13063</v>
      </c>
      <c r="B627" s="4">
        <v>9929000</v>
      </c>
    </row>
    <row r="628" customHeight="1" spans="1:2">
      <c r="A628" s="3" t="s">
        <v>7172</v>
      </c>
      <c r="B628" s="4">
        <v>50129186</v>
      </c>
    </row>
    <row r="629" customHeight="1" spans="1:2">
      <c r="A629" s="3" t="s">
        <v>14397</v>
      </c>
      <c r="B629" s="4">
        <v>175370</v>
      </c>
    </row>
    <row r="630" customHeight="1" spans="1:2">
      <c r="A630" s="3" t="s">
        <v>15670</v>
      </c>
      <c r="B630" s="4">
        <v>11827301</v>
      </c>
    </row>
    <row r="631" customHeight="1" spans="1:2">
      <c r="A631" s="3" t="s">
        <v>24047</v>
      </c>
      <c r="B631" s="4">
        <v>76382</v>
      </c>
    </row>
    <row r="632" customHeight="1" spans="1:2">
      <c r="A632" s="3" t="s">
        <v>19867</v>
      </c>
      <c r="B632" s="4">
        <v>1094998</v>
      </c>
    </row>
    <row r="633" customHeight="1" spans="1:2">
      <c r="A633" s="3" t="s">
        <v>9045</v>
      </c>
      <c r="B633" s="4">
        <v>20285518</v>
      </c>
    </row>
    <row r="634" customHeight="1" spans="1:2">
      <c r="A634" s="3" t="s">
        <v>16601</v>
      </c>
      <c r="B634" s="4">
        <v>6601079</v>
      </c>
    </row>
    <row r="635" customHeight="1" spans="1:2">
      <c r="A635" s="3" t="s">
        <v>9665</v>
      </c>
      <c r="B635" s="4">
        <v>32368960</v>
      </c>
    </row>
    <row r="636" customHeight="1" spans="1:2">
      <c r="A636" s="3" t="s">
        <v>8244</v>
      </c>
      <c r="B636" s="4">
        <v>58715510</v>
      </c>
    </row>
    <row r="637" customHeight="1" spans="1:2">
      <c r="A637" s="3" t="s">
        <v>7914</v>
      </c>
      <c r="B637" s="4">
        <v>169076745</v>
      </c>
    </row>
    <row r="638" customHeight="1" spans="1:2">
      <c r="A638" s="3" t="s">
        <v>6410</v>
      </c>
      <c r="B638" s="4">
        <v>72306065</v>
      </c>
    </row>
    <row r="639" customHeight="1" spans="1:2">
      <c r="A639" s="3" t="s">
        <v>9510</v>
      </c>
      <c r="B639" s="4">
        <v>82234139</v>
      </c>
    </row>
    <row r="640" customHeight="1" spans="1:2">
      <c r="A640" s="3" t="s">
        <v>5271</v>
      </c>
      <c r="B640" s="4">
        <v>40203020</v>
      </c>
    </row>
    <row r="641" customHeight="1" spans="1:2">
      <c r="A641" s="3" t="s">
        <v>9463</v>
      </c>
      <c r="B641" s="4">
        <v>71500556</v>
      </c>
    </row>
    <row r="642" customHeight="1" spans="1:2">
      <c r="A642" s="3" t="s">
        <v>21700</v>
      </c>
      <c r="B642" s="4">
        <v>798341</v>
      </c>
    </row>
    <row r="643" customHeight="1" spans="1:2">
      <c r="A643" s="3" t="s">
        <v>9787</v>
      </c>
      <c r="B643" s="4">
        <v>16118077</v>
      </c>
    </row>
    <row r="644" customHeight="1" spans="1:2">
      <c r="A644" s="3" t="s">
        <v>15895</v>
      </c>
      <c r="B644" s="4">
        <v>4440055</v>
      </c>
    </row>
    <row r="645" customHeight="1" spans="1:2">
      <c r="A645" s="3" t="s">
        <v>14678</v>
      </c>
      <c r="B645" s="4"/>
    </row>
    <row r="646" customHeight="1" spans="1:2">
      <c r="A646" s="3" t="s">
        <v>14797</v>
      </c>
      <c r="B646" s="4">
        <v>68353550</v>
      </c>
    </row>
    <row r="647" customHeight="1" spans="1:2">
      <c r="A647" s="3" t="s">
        <v>10656</v>
      </c>
      <c r="B647" s="4">
        <v>132541238</v>
      </c>
    </row>
    <row r="648" customHeight="1" spans="1:2">
      <c r="A648" s="3" t="s">
        <v>7991</v>
      </c>
      <c r="B648" s="4">
        <v>16640210</v>
      </c>
    </row>
    <row r="649" customHeight="1" spans="1:2">
      <c r="A649" s="3" t="s">
        <v>13587</v>
      </c>
      <c r="B649" s="4">
        <v>83025853</v>
      </c>
    </row>
    <row r="650" customHeight="1" spans="1:2">
      <c r="A650" s="3" t="s">
        <v>9919</v>
      </c>
      <c r="B650" s="4">
        <v>10114315</v>
      </c>
    </row>
    <row r="651" customHeight="1" spans="1:2">
      <c r="A651" s="3" t="s">
        <v>3707</v>
      </c>
      <c r="B651" s="4">
        <v>70450000</v>
      </c>
    </row>
    <row r="652" customHeight="1" spans="1:2">
      <c r="A652" s="3" t="s">
        <v>7576</v>
      </c>
      <c r="B652" s="4">
        <v>19692608</v>
      </c>
    </row>
    <row r="653" customHeight="1" spans="1:2">
      <c r="A653" s="3" t="s">
        <v>13378</v>
      </c>
      <c r="B653" s="4"/>
    </row>
    <row r="654" customHeight="1" spans="1:2">
      <c r="A654" s="3" t="s">
        <v>22418</v>
      </c>
      <c r="B654" s="4">
        <v>13493</v>
      </c>
    </row>
    <row r="655" customHeight="1" spans="1:2">
      <c r="A655" s="3" t="s">
        <v>23339</v>
      </c>
      <c r="B655" s="4">
        <v>104792</v>
      </c>
    </row>
    <row r="656" customHeight="1" spans="1:2">
      <c r="A656" s="3" t="s">
        <v>16205</v>
      </c>
      <c r="B656" s="4">
        <v>398420</v>
      </c>
    </row>
    <row r="657" customHeight="1" spans="1:2">
      <c r="A657" s="3" t="s">
        <v>14584</v>
      </c>
      <c r="B657" s="4">
        <v>38317535</v>
      </c>
    </row>
    <row r="658" customHeight="1" spans="1:2">
      <c r="A658" s="3" t="s">
        <v>12253</v>
      </c>
      <c r="B658" s="4">
        <v>27154426</v>
      </c>
    </row>
    <row r="659" customHeight="1" spans="1:2">
      <c r="A659" s="3" t="s">
        <v>14368</v>
      </c>
      <c r="B659" s="4">
        <v>447750</v>
      </c>
    </row>
    <row r="660" customHeight="1" spans="1:2">
      <c r="A660" s="3" t="s">
        <v>20654</v>
      </c>
      <c r="B660" s="4">
        <v>444044</v>
      </c>
    </row>
    <row r="661" customHeight="1" spans="1:2">
      <c r="A661" s="3" t="s">
        <v>9303</v>
      </c>
      <c r="B661" s="4">
        <v>57003302</v>
      </c>
    </row>
    <row r="662" customHeight="1" spans="1:2">
      <c r="A662" s="3" t="s">
        <v>16008</v>
      </c>
      <c r="B662" s="4">
        <v>27362712</v>
      </c>
    </row>
    <row r="663" customHeight="1" spans="1:2">
      <c r="A663" s="3" t="s">
        <v>2529</v>
      </c>
      <c r="B663" s="4">
        <v>242589580</v>
      </c>
    </row>
    <row r="664" customHeight="1" spans="1:2">
      <c r="A664" s="3" t="s">
        <v>6140</v>
      </c>
      <c r="B664" s="4">
        <v>59992760</v>
      </c>
    </row>
    <row r="665" customHeight="1" spans="1:2">
      <c r="A665" s="3" t="s">
        <v>21688</v>
      </c>
      <c r="B665" s="4"/>
    </row>
    <row r="666" customHeight="1" spans="1:2">
      <c r="A666" s="3" t="s">
        <v>13814</v>
      </c>
      <c r="B666" s="4">
        <v>5002310</v>
      </c>
    </row>
    <row r="667" customHeight="1" spans="1:2">
      <c r="A667" s="3" t="s">
        <v>15217</v>
      </c>
      <c r="B667" s="4">
        <v>2331318</v>
      </c>
    </row>
    <row r="668" customHeight="1" spans="1:2">
      <c r="A668" s="3" t="s">
        <v>18664</v>
      </c>
      <c r="B668" s="4">
        <v>100412</v>
      </c>
    </row>
    <row r="669" customHeight="1" spans="1:2">
      <c r="A669" s="3" t="s">
        <v>20925</v>
      </c>
      <c r="B669" s="4">
        <v>2365931</v>
      </c>
    </row>
    <row r="670" customHeight="1" spans="1:2">
      <c r="A670" s="3" t="s">
        <v>13230</v>
      </c>
      <c r="B670" s="4">
        <v>353743</v>
      </c>
    </row>
    <row r="671" customHeight="1" spans="1:2">
      <c r="A671" s="3" t="s">
        <v>16548</v>
      </c>
      <c r="B671" s="4"/>
    </row>
    <row r="672" customHeight="1" spans="1:2">
      <c r="A672" s="3" t="s">
        <v>4848</v>
      </c>
      <c r="B672" s="4">
        <v>9483821</v>
      </c>
    </row>
    <row r="673" customHeight="1" spans="1:2">
      <c r="A673" s="3" t="s">
        <v>4975</v>
      </c>
      <c r="B673" s="4">
        <v>23020488</v>
      </c>
    </row>
    <row r="674" customHeight="1" spans="1:2">
      <c r="A674" s="3" t="s">
        <v>11181</v>
      </c>
      <c r="B674" s="4">
        <v>13383737</v>
      </c>
    </row>
    <row r="675" customHeight="1" spans="1:2">
      <c r="A675" s="3" t="s">
        <v>20075</v>
      </c>
      <c r="B675" s="4">
        <v>510092</v>
      </c>
    </row>
    <row r="676" customHeight="1" spans="1:2">
      <c r="A676" s="3" t="s">
        <v>8469</v>
      </c>
      <c r="B676" s="4">
        <v>26525834</v>
      </c>
    </row>
    <row r="677" customHeight="1" spans="1:2">
      <c r="A677" s="3" t="s">
        <v>20614</v>
      </c>
      <c r="B677" s="4">
        <v>1028658</v>
      </c>
    </row>
    <row r="678" customHeight="1" spans="1:2">
      <c r="A678" s="3" t="s">
        <v>4814</v>
      </c>
      <c r="B678" s="4">
        <v>39440655</v>
      </c>
    </row>
    <row r="679" customHeight="1" spans="1:2">
      <c r="A679" s="3" t="s">
        <v>7115</v>
      </c>
      <c r="B679" s="4">
        <v>60338891</v>
      </c>
    </row>
    <row r="680" customHeight="1" spans="1:2">
      <c r="A680" s="3" t="s">
        <v>23354</v>
      </c>
      <c r="B680" s="4">
        <v>111300</v>
      </c>
    </row>
    <row r="681" customHeight="1" spans="1:2">
      <c r="A681" s="3" t="s">
        <v>11244</v>
      </c>
      <c r="B681" s="4">
        <v>13650738</v>
      </c>
    </row>
    <row r="682" customHeight="1" spans="1:2">
      <c r="A682" s="3" t="s">
        <v>21312</v>
      </c>
      <c r="B682" s="4">
        <v>2199853</v>
      </c>
    </row>
    <row r="683" customHeight="1" spans="1:2">
      <c r="A683" s="3" t="s">
        <v>16991</v>
      </c>
      <c r="B683" s="4">
        <v>102308900</v>
      </c>
    </row>
    <row r="684" customHeight="1" spans="1:2">
      <c r="A684" s="3" t="s">
        <v>23542</v>
      </c>
      <c r="B684" s="4"/>
    </row>
    <row r="685" customHeight="1" spans="1:2">
      <c r="A685" s="3" t="s">
        <v>23296</v>
      </c>
      <c r="B685" s="4"/>
    </row>
    <row r="686" customHeight="1" spans="1:2">
      <c r="A686" s="3" t="s">
        <v>11439</v>
      </c>
      <c r="B686" s="4">
        <v>531009</v>
      </c>
    </row>
    <row r="687" customHeight="1" spans="1:2">
      <c r="A687" s="3" t="s">
        <v>21244</v>
      </c>
      <c r="B687" s="4"/>
    </row>
    <row r="688" customHeight="1" spans="1:2">
      <c r="A688" s="3" t="s">
        <v>16734</v>
      </c>
      <c r="B688" s="4">
        <v>46451</v>
      </c>
    </row>
    <row r="689" customHeight="1" spans="1:2">
      <c r="A689" s="3" t="s">
        <v>20877</v>
      </c>
      <c r="B689" s="4"/>
    </row>
    <row r="690" customHeight="1" spans="1:2">
      <c r="A690" s="3" t="s">
        <v>17012</v>
      </c>
      <c r="B690" s="4">
        <v>39800000</v>
      </c>
    </row>
    <row r="691" customHeight="1" spans="1:2">
      <c r="A691" s="3" t="s">
        <v>14265</v>
      </c>
      <c r="B691" s="4">
        <v>8134217</v>
      </c>
    </row>
    <row r="692" customHeight="1" spans="1:2">
      <c r="A692" s="3" t="s">
        <v>23433</v>
      </c>
      <c r="B692" s="4">
        <v>215185</v>
      </c>
    </row>
    <row r="693" customHeight="1" spans="1:2">
      <c r="A693" s="3" t="s">
        <v>18167</v>
      </c>
      <c r="B693" s="4"/>
    </row>
    <row r="694" customHeight="1" spans="1:2">
      <c r="A694" s="3" t="s">
        <v>14926</v>
      </c>
      <c r="B694" s="4">
        <v>25339117</v>
      </c>
    </row>
    <row r="695" customHeight="1" spans="1:2">
      <c r="A695" s="3" t="s">
        <v>11405</v>
      </c>
      <c r="B695" s="4">
        <v>2000000</v>
      </c>
    </row>
    <row r="696" customHeight="1" spans="1:2">
      <c r="A696" s="3" t="s">
        <v>7292</v>
      </c>
      <c r="B696" s="4">
        <v>79100000</v>
      </c>
    </row>
    <row r="697" customHeight="1" spans="1:2">
      <c r="A697" s="3" t="s">
        <v>11141</v>
      </c>
      <c r="B697" s="4">
        <v>14359793</v>
      </c>
    </row>
    <row r="698" customHeight="1" spans="1:2">
      <c r="A698" s="3" t="s">
        <v>16501</v>
      </c>
      <c r="B698" s="4">
        <v>28747570</v>
      </c>
    </row>
    <row r="699" customHeight="1" spans="1:2">
      <c r="A699" s="3" t="s">
        <v>18081</v>
      </c>
      <c r="B699" s="4"/>
    </row>
    <row r="700" customHeight="1" spans="1:2">
      <c r="A700" s="3" t="s">
        <v>9041</v>
      </c>
      <c r="B700" s="4"/>
    </row>
    <row r="701" customHeight="1" spans="1:2">
      <c r="A701" s="3" t="s">
        <v>223</v>
      </c>
      <c r="B701" s="4">
        <v>407197282</v>
      </c>
    </row>
    <row r="702" customHeight="1" spans="1:2">
      <c r="A702" s="3" t="s">
        <v>1089</v>
      </c>
      <c r="B702" s="4">
        <v>176636816</v>
      </c>
    </row>
    <row r="703" customHeight="1" spans="1:2">
      <c r="A703" s="3" t="s">
        <v>595</v>
      </c>
      <c r="B703" s="4">
        <v>259746958</v>
      </c>
    </row>
    <row r="704" customHeight="1" spans="1:2">
      <c r="A704" s="3" t="s">
        <v>4542</v>
      </c>
      <c r="B704" s="4">
        <v>25528495</v>
      </c>
    </row>
    <row r="705" customHeight="1" spans="1:2">
      <c r="A705" s="3" t="s">
        <v>4606</v>
      </c>
      <c r="B705" s="4">
        <v>107100855</v>
      </c>
    </row>
    <row r="706" customHeight="1" spans="1:2">
      <c r="A706" s="3" t="s">
        <v>20274</v>
      </c>
      <c r="B706" s="4">
        <v>2557668</v>
      </c>
    </row>
    <row r="707" customHeight="1" spans="1:2">
      <c r="A707" s="3" t="s">
        <v>20839</v>
      </c>
      <c r="B707" s="4">
        <v>1060591</v>
      </c>
    </row>
    <row r="708" customHeight="1" spans="1:2">
      <c r="A708" s="3" t="s">
        <v>13545</v>
      </c>
      <c r="B708" s="4">
        <v>1000000</v>
      </c>
    </row>
    <row r="709" customHeight="1" spans="1:2">
      <c r="A709" s="3" t="s">
        <v>18398</v>
      </c>
      <c r="B709" s="4"/>
    </row>
    <row r="710" customHeight="1" spans="1:2">
      <c r="A710" s="3" t="s">
        <v>12051</v>
      </c>
      <c r="B710" s="4">
        <v>145118</v>
      </c>
    </row>
    <row r="711" customHeight="1" spans="1:2">
      <c r="A711" s="3" t="s">
        <v>9991</v>
      </c>
      <c r="B711" s="4"/>
    </row>
    <row r="712" customHeight="1" spans="1:2">
      <c r="A712" s="3" t="s">
        <v>8419</v>
      </c>
      <c r="B712" s="4">
        <v>70533238</v>
      </c>
    </row>
    <row r="713" customHeight="1" spans="1:2">
      <c r="A713" s="3" t="s">
        <v>3174</v>
      </c>
      <c r="B713" s="4">
        <v>90820</v>
      </c>
    </row>
    <row r="714" customHeight="1" spans="1:2">
      <c r="A714" s="3" t="s">
        <v>311</v>
      </c>
      <c r="B714" s="4">
        <v>191450875</v>
      </c>
    </row>
    <row r="715" customHeight="1" spans="1:2">
      <c r="A715" s="3" t="s">
        <v>3301</v>
      </c>
      <c r="B715" s="4">
        <v>244052771</v>
      </c>
    </row>
    <row r="716" customHeight="1" spans="1:2">
      <c r="A716" s="3" t="s">
        <v>17119</v>
      </c>
      <c r="B716" s="4">
        <v>5895238</v>
      </c>
    </row>
    <row r="717" customHeight="1" spans="1:2">
      <c r="A717" s="3" t="s">
        <v>21485</v>
      </c>
      <c r="B717" s="4"/>
    </row>
    <row r="718" customHeight="1" spans="1:2">
      <c r="A718" s="3" t="s">
        <v>9170</v>
      </c>
      <c r="B718" s="4">
        <v>13248477</v>
      </c>
    </row>
    <row r="719" customHeight="1" spans="1:2">
      <c r="A719" s="3" t="s">
        <v>13989</v>
      </c>
      <c r="B719" s="4">
        <v>1039869</v>
      </c>
    </row>
    <row r="720" customHeight="1" spans="1:2">
      <c r="A720" s="3" t="s">
        <v>1709</v>
      </c>
      <c r="B720" s="4">
        <v>334014368</v>
      </c>
    </row>
    <row r="721" customHeight="1" spans="1:2">
      <c r="A721" s="3" t="s">
        <v>4963</v>
      </c>
      <c r="B721" s="4">
        <v>42438300</v>
      </c>
    </row>
    <row r="722" customHeight="1" spans="1:2">
      <c r="A722" s="3" t="s">
        <v>4613</v>
      </c>
      <c r="B722" s="4">
        <v>100328194</v>
      </c>
    </row>
    <row r="723" customHeight="1" spans="1:2">
      <c r="A723" s="3" t="s">
        <v>2311</v>
      </c>
      <c r="B723" s="4">
        <v>233630478</v>
      </c>
    </row>
    <row r="724" customHeight="1" spans="1:2">
      <c r="A724" s="3" t="s">
        <v>19221</v>
      </c>
      <c r="B724" s="4"/>
    </row>
    <row r="725" customHeight="1" spans="1:2">
      <c r="A725" s="3" t="s">
        <v>13942</v>
      </c>
      <c r="B725" s="4"/>
    </row>
    <row r="726" customHeight="1" spans="1:2">
      <c r="A726" s="3" t="s">
        <v>13525</v>
      </c>
      <c r="B726" s="4">
        <v>4291965</v>
      </c>
    </row>
    <row r="727" customHeight="1" spans="1:2">
      <c r="A727" s="3" t="s">
        <v>4921</v>
      </c>
      <c r="B727" s="4">
        <v>164435221</v>
      </c>
    </row>
    <row r="728" customHeight="1" spans="1:2">
      <c r="A728" s="3" t="s">
        <v>11895</v>
      </c>
      <c r="B728" s="4">
        <v>16702864</v>
      </c>
    </row>
    <row r="729" customHeight="1" spans="1:2">
      <c r="A729" s="3" t="s">
        <v>11844</v>
      </c>
      <c r="B729" s="4"/>
    </row>
    <row r="730" customHeight="1" spans="1:2">
      <c r="A730" s="3" t="s">
        <v>3992</v>
      </c>
      <c r="B730" s="4">
        <v>93375151</v>
      </c>
    </row>
    <row r="731" customHeight="1" spans="1:2">
      <c r="A731" s="3" t="s">
        <v>2505</v>
      </c>
      <c r="B731" s="4">
        <v>43575716</v>
      </c>
    </row>
    <row r="732" customHeight="1" spans="1:2">
      <c r="A732" s="3" t="s">
        <v>8013</v>
      </c>
      <c r="B732" s="4">
        <v>3562749</v>
      </c>
    </row>
    <row r="733" customHeight="1" spans="1:2">
      <c r="A733" s="3" t="s">
        <v>1863</v>
      </c>
      <c r="B733" s="4">
        <v>40198710</v>
      </c>
    </row>
    <row r="734" customHeight="1" spans="1:2">
      <c r="A734" s="3" t="s">
        <v>24114</v>
      </c>
      <c r="B734" s="4">
        <v>70071</v>
      </c>
    </row>
    <row r="735" customHeight="1" spans="1:2">
      <c r="A735" s="3" t="s">
        <v>15265</v>
      </c>
      <c r="B735" s="4">
        <v>1276984</v>
      </c>
    </row>
    <row r="736" customHeight="1" spans="1:2">
      <c r="A736" s="3" t="s">
        <v>15107</v>
      </c>
      <c r="B736" s="4">
        <v>6857503</v>
      </c>
    </row>
    <row r="737" customHeight="1" spans="1:2">
      <c r="A737" s="3" t="s">
        <v>14281</v>
      </c>
      <c r="B737" s="4">
        <v>5032496</v>
      </c>
    </row>
    <row r="738" customHeight="1" spans="1:2">
      <c r="A738" s="3" t="s">
        <v>22119</v>
      </c>
      <c r="B738" s="4">
        <v>3094687</v>
      </c>
    </row>
    <row r="739" customHeight="1" spans="1:2">
      <c r="A739" s="3" t="s">
        <v>5865</v>
      </c>
      <c r="B739" s="4">
        <v>32003620</v>
      </c>
    </row>
    <row r="740" customHeight="1" spans="1:2">
      <c r="A740" s="3" t="s">
        <v>22964</v>
      </c>
      <c r="B740" s="4">
        <v>34151</v>
      </c>
    </row>
    <row r="741" customHeight="1" spans="1:2">
      <c r="A741" s="3" t="s">
        <v>11885</v>
      </c>
      <c r="B741" s="4">
        <v>17174870</v>
      </c>
    </row>
    <row r="742" customHeight="1" spans="1:2">
      <c r="A742" s="3" t="s">
        <v>5062</v>
      </c>
      <c r="B742" s="4">
        <v>126088877</v>
      </c>
    </row>
    <row r="743" customHeight="1" spans="1:2">
      <c r="A743" s="3" t="s">
        <v>19615</v>
      </c>
      <c r="B743" s="4">
        <v>5595428</v>
      </c>
    </row>
    <row r="744" customHeight="1" spans="1:2">
      <c r="A744" s="3" t="s">
        <v>13251</v>
      </c>
      <c r="B744" s="4">
        <v>122288</v>
      </c>
    </row>
    <row r="745" customHeight="1" spans="1:2">
      <c r="A745" s="3" t="s">
        <v>21357</v>
      </c>
      <c r="B745" s="4">
        <v>7826</v>
      </c>
    </row>
    <row r="746" customHeight="1" spans="1:2">
      <c r="A746" s="3" t="s">
        <v>19514</v>
      </c>
      <c r="B746" s="4">
        <v>143000</v>
      </c>
    </row>
    <row r="747" customHeight="1" spans="1:2">
      <c r="A747" s="3" t="s">
        <v>18876</v>
      </c>
      <c r="B747" s="4"/>
    </row>
    <row r="748" customHeight="1" spans="1:2">
      <c r="A748" s="3" t="s">
        <v>4761</v>
      </c>
      <c r="B748" s="4">
        <v>20550712</v>
      </c>
    </row>
    <row r="749" customHeight="1" spans="1:2">
      <c r="A749" s="3" t="s">
        <v>16699</v>
      </c>
      <c r="B749" s="4">
        <v>306715</v>
      </c>
    </row>
    <row r="750" customHeight="1" spans="1:2">
      <c r="A750" s="3" t="s">
        <v>4758</v>
      </c>
      <c r="B750" s="4">
        <v>35707327</v>
      </c>
    </row>
    <row r="751" customHeight="1" spans="1:2">
      <c r="A751" s="3" t="s">
        <v>5778</v>
      </c>
      <c r="B751" s="4">
        <v>66790248</v>
      </c>
    </row>
    <row r="752" customHeight="1" spans="1:2">
      <c r="A752" s="3" t="s">
        <v>5531</v>
      </c>
      <c r="B752" s="4">
        <v>31569268</v>
      </c>
    </row>
    <row r="753" customHeight="1" spans="1:2">
      <c r="A753" s="3" t="s">
        <v>18289</v>
      </c>
      <c r="B753" s="4">
        <v>713413</v>
      </c>
    </row>
    <row r="754" customHeight="1" spans="1:2">
      <c r="A754" s="3" t="s">
        <v>17387</v>
      </c>
      <c r="B754" s="4">
        <v>58800000</v>
      </c>
    </row>
    <row r="755" customHeight="1" spans="1:2">
      <c r="A755" s="3" t="s">
        <v>790</v>
      </c>
      <c r="B755" s="4">
        <v>206456431</v>
      </c>
    </row>
    <row r="756" customHeight="1" spans="1:2">
      <c r="A756" s="3" t="s">
        <v>14325</v>
      </c>
      <c r="B756" s="4">
        <v>3950294</v>
      </c>
    </row>
    <row r="757" customHeight="1" spans="1:2">
      <c r="A757" s="3" t="s">
        <v>6079</v>
      </c>
      <c r="B757" s="4">
        <v>31136950</v>
      </c>
    </row>
    <row r="758" customHeight="1" spans="1:2">
      <c r="A758" s="3" t="s">
        <v>3070</v>
      </c>
      <c r="B758" s="4">
        <v>66636385</v>
      </c>
    </row>
    <row r="759" customHeight="1" spans="1:2">
      <c r="A759" s="3" t="s">
        <v>2123</v>
      </c>
      <c r="B759" s="4">
        <v>125305545</v>
      </c>
    </row>
    <row r="760" customHeight="1" spans="1:2">
      <c r="A760" s="3" t="s">
        <v>1378</v>
      </c>
      <c r="B760" s="4">
        <v>100685880</v>
      </c>
    </row>
    <row r="761" customHeight="1" spans="1:2">
      <c r="A761" s="3" t="s">
        <v>2563</v>
      </c>
      <c r="B761" s="4">
        <v>82506325</v>
      </c>
    </row>
    <row r="762" customHeight="1" spans="1:2">
      <c r="A762" s="3" t="s">
        <v>22011</v>
      </c>
      <c r="B762" s="4"/>
    </row>
    <row r="763" customHeight="1" spans="1:2">
      <c r="A763" s="3" t="s">
        <v>23146</v>
      </c>
      <c r="B763" s="4">
        <v>12006514</v>
      </c>
    </row>
    <row r="764" customHeight="1" spans="1:2">
      <c r="A764" s="3" t="s">
        <v>8622</v>
      </c>
      <c r="B764" s="4">
        <v>24379028</v>
      </c>
    </row>
    <row r="765" customHeight="1" spans="1:2">
      <c r="A765" s="3" t="s">
        <v>11344</v>
      </c>
      <c r="B765" s="4">
        <v>6002756</v>
      </c>
    </row>
    <row r="766" customHeight="1" spans="1:2">
      <c r="A766" s="3" t="s">
        <v>15684</v>
      </c>
      <c r="B766" s="4">
        <v>6126237</v>
      </c>
    </row>
    <row r="767" customHeight="1" spans="1:2">
      <c r="A767" s="3" t="s">
        <v>23733</v>
      </c>
      <c r="B767" s="4">
        <v>59379</v>
      </c>
    </row>
    <row r="768" customHeight="1" spans="1:2">
      <c r="A768" s="3" t="s">
        <v>4019</v>
      </c>
      <c r="B768" s="4">
        <v>82569532</v>
      </c>
    </row>
    <row r="769" customHeight="1" spans="1:2">
      <c r="A769" s="3" t="s">
        <v>6273</v>
      </c>
      <c r="B769" s="4">
        <v>138614544</v>
      </c>
    </row>
    <row r="770" customHeight="1" spans="1:2">
      <c r="A770" s="3" t="s">
        <v>21086</v>
      </c>
      <c r="B770" s="4"/>
    </row>
    <row r="771" customHeight="1" spans="1:2">
      <c r="A771" s="3" t="s">
        <v>10301</v>
      </c>
      <c r="B771" s="4">
        <v>2708188</v>
      </c>
    </row>
    <row r="772" customHeight="1" spans="1:2">
      <c r="A772" s="3" t="s">
        <v>21538</v>
      </c>
      <c r="B772" s="4">
        <v>18112929</v>
      </c>
    </row>
    <row r="773" customHeight="1" spans="1:2">
      <c r="A773" s="3" t="s">
        <v>13311</v>
      </c>
      <c r="B773" s="4"/>
    </row>
    <row r="774" customHeight="1" spans="1:2">
      <c r="A774" s="3" t="s">
        <v>19605</v>
      </c>
      <c r="B774" s="4"/>
    </row>
    <row r="775" customHeight="1" spans="1:2">
      <c r="A775" s="3" t="s">
        <v>8086</v>
      </c>
      <c r="B775" s="4">
        <v>170684505</v>
      </c>
    </row>
    <row r="776" customHeight="1" spans="1:2">
      <c r="A776" s="3" t="s">
        <v>3949</v>
      </c>
      <c r="B776" s="4">
        <v>135381507</v>
      </c>
    </row>
    <row r="777" customHeight="1" spans="1:2">
      <c r="A777" s="3" t="s">
        <v>6095</v>
      </c>
      <c r="B777" s="4">
        <v>106793915</v>
      </c>
    </row>
    <row r="778" customHeight="1" spans="1:2">
      <c r="A778" s="3" t="s">
        <v>20056</v>
      </c>
      <c r="B778" s="4"/>
    </row>
    <row r="779" customHeight="1" spans="1:2">
      <c r="A779" s="3" t="s">
        <v>5558</v>
      </c>
      <c r="B779" s="4">
        <v>1206135</v>
      </c>
    </row>
    <row r="780" customHeight="1" spans="1:2">
      <c r="A780" s="3" t="s">
        <v>21933</v>
      </c>
      <c r="B780" s="4"/>
    </row>
    <row r="781" customHeight="1" spans="1:2">
      <c r="A781" s="3" t="s">
        <v>23524</v>
      </c>
      <c r="B781" s="4">
        <v>925402</v>
      </c>
    </row>
    <row r="782" customHeight="1" spans="1:2">
      <c r="A782" s="3" t="s">
        <v>2997</v>
      </c>
      <c r="B782" s="4">
        <v>35286428</v>
      </c>
    </row>
    <row r="783" customHeight="1" spans="1:2">
      <c r="A783" s="3" t="s">
        <v>13734</v>
      </c>
      <c r="B783" s="4">
        <v>28501605</v>
      </c>
    </row>
    <row r="784" customHeight="1" spans="1:2">
      <c r="A784" s="3" t="s">
        <v>15633</v>
      </c>
      <c r="B784" s="4">
        <v>33244684</v>
      </c>
    </row>
    <row r="785" customHeight="1" spans="1:2">
      <c r="A785" s="3" t="s">
        <v>7772</v>
      </c>
      <c r="B785" s="4">
        <v>11227940</v>
      </c>
    </row>
    <row r="786" customHeight="1" spans="1:2">
      <c r="A786" s="3" t="s">
        <v>13848</v>
      </c>
      <c r="B786" s="4">
        <v>3074838</v>
      </c>
    </row>
    <row r="787" customHeight="1" spans="1:2">
      <c r="A787" s="3" t="s">
        <v>9468</v>
      </c>
      <c r="B787" s="4">
        <v>71309760</v>
      </c>
    </row>
    <row r="788" customHeight="1" spans="1:2">
      <c r="A788" s="3" t="s">
        <v>21805</v>
      </c>
      <c r="B788" s="4">
        <v>49000</v>
      </c>
    </row>
    <row r="789" customHeight="1" spans="1:2">
      <c r="A789" s="3" t="s">
        <v>19066</v>
      </c>
      <c r="B789" s="4">
        <v>2926565</v>
      </c>
    </row>
    <row r="790" customHeight="1" spans="1:2">
      <c r="A790" s="3" t="s">
        <v>18064</v>
      </c>
      <c r="B790" s="4"/>
    </row>
    <row r="791" customHeight="1" spans="1:2">
      <c r="A791" s="3" t="s">
        <v>19938</v>
      </c>
      <c r="B791" s="4"/>
    </row>
    <row r="792" customHeight="1" spans="1:2">
      <c r="A792" s="3" t="s">
        <v>5119</v>
      </c>
      <c r="B792" s="4">
        <v>73701902</v>
      </c>
    </row>
    <row r="793" customHeight="1" spans="1:2">
      <c r="A793" s="3" t="s">
        <v>14075</v>
      </c>
      <c r="B793" s="4">
        <v>64572496</v>
      </c>
    </row>
    <row r="794" customHeight="1" spans="1:2">
      <c r="A794" s="3" t="s">
        <v>23171</v>
      </c>
      <c r="B794" s="4">
        <v>1050600</v>
      </c>
    </row>
    <row r="795" customHeight="1" spans="1:2">
      <c r="A795" s="3" t="s">
        <v>15375</v>
      </c>
      <c r="B795" s="4">
        <v>169379</v>
      </c>
    </row>
    <row r="796" customHeight="1" spans="1:2">
      <c r="A796" s="3" t="s">
        <v>2287</v>
      </c>
      <c r="B796" s="4">
        <v>61644321</v>
      </c>
    </row>
    <row r="797" customHeight="1" spans="1:2">
      <c r="A797" s="3" t="s">
        <v>1998</v>
      </c>
      <c r="B797" s="4">
        <v>402296318</v>
      </c>
    </row>
    <row r="798" customHeight="1" spans="1:2">
      <c r="A798" s="3" t="s">
        <v>20452</v>
      </c>
      <c r="B798" s="4"/>
    </row>
    <row r="799" customHeight="1" spans="1:2">
      <c r="A799" s="3" t="s">
        <v>22074</v>
      </c>
      <c r="B799" s="4">
        <v>439958</v>
      </c>
    </row>
    <row r="800" customHeight="1" spans="1:2">
      <c r="A800" s="3" t="s">
        <v>6795</v>
      </c>
      <c r="B800" s="4">
        <v>13838130</v>
      </c>
    </row>
    <row r="801" customHeight="1" spans="1:2">
      <c r="A801" s="3" t="s">
        <v>10000</v>
      </c>
      <c r="B801" s="4">
        <v>12495865</v>
      </c>
    </row>
    <row r="802" customHeight="1" spans="1:2">
      <c r="A802" s="3" t="s">
        <v>6702</v>
      </c>
      <c r="B802" s="4">
        <v>22433915</v>
      </c>
    </row>
    <row r="803" customHeight="1" spans="1:2">
      <c r="A803" s="3" t="s">
        <v>6716</v>
      </c>
      <c r="B803" s="4">
        <v>20300000</v>
      </c>
    </row>
    <row r="804" customHeight="1" spans="1:2">
      <c r="A804" s="3" t="s">
        <v>17124</v>
      </c>
      <c r="B804" s="4">
        <v>6670712</v>
      </c>
    </row>
    <row r="805" customHeight="1" spans="1:2">
      <c r="A805" s="3" t="s">
        <v>4644</v>
      </c>
      <c r="B805" s="4">
        <v>78745923</v>
      </c>
    </row>
    <row r="806" customHeight="1" spans="1:2">
      <c r="A806" s="3" t="s">
        <v>7074</v>
      </c>
      <c r="B806" s="4">
        <v>7871693</v>
      </c>
    </row>
    <row r="807" customHeight="1" spans="1:2">
      <c r="A807" s="3" t="s">
        <v>12136</v>
      </c>
      <c r="B807" s="4">
        <v>325491</v>
      </c>
    </row>
    <row r="808" customHeight="1" spans="1:2">
      <c r="A808" s="3" t="s">
        <v>19074</v>
      </c>
      <c r="B808" s="4">
        <v>7563397</v>
      </c>
    </row>
    <row r="809" customHeight="1" spans="1:2">
      <c r="A809" s="3" t="s">
        <v>14412</v>
      </c>
      <c r="B809" s="4">
        <v>119922</v>
      </c>
    </row>
    <row r="810" customHeight="1" spans="1:2">
      <c r="A810" s="3" t="s">
        <v>22590</v>
      </c>
      <c r="B810" s="4">
        <v>243347</v>
      </c>
    </row>
    <row r="811" customHeight="1" spans="1:2">
      <c r="A811" s="3" t="s">
        <v>11464</v>
      </c>
      <c r="B811" s="4">
        <v>206678</v>
      </c>
    </row>
    <row r="812" customHeight="1" spans="1:2">
      <c r="A812" s="3" t="s">
        <v>1302</v>
      </c>
      <c r="B812" s="4">
        <v>326384228</v>
      </c>
    </row>
    <row r="813" customHeight="1" spans="1:2">
      <c r="A813" s="3" t="s">
        <v>19108</v>
      </c>
      <c r="B813" s="4"/>
    </row>
    <row r="814" customHeight="1" spans="1:2">
      <c r="A814" s="3" t="s">
        <v>16159</v>
      </c>
      <c r="B814" s="4">
        <v>1789892</v>
      </c>
    </row>
    <row r="815" customHeight="1" spans="1:2">
      <c r="A815" s="3" t="s">
        <v>24062</v>
      </c>
      <c r="B815" s="4">
        <v>136007</v>
      </c>
    </row>
    <row r="816" customHeight="1" spans="1:2">
      <c r="A816" s="3" t="s">
        <v>3871</v>
      </c>
      <c r="B816" s="4">
        <v>122012710</v>
      </c>
    </row>
    <row r="817" customHeight="1" spans="1:2">
      <c r="A817" s="3" t="s">
        <v>6116</v>
      </c>
      <c r="B817" s="4">
        <v>57750000</v>
      </c>
    </row>
    <row r="818" customHeight="1" spans="1:2">
      <c r="A818" s="3" t="s">
        <v>17620</v>
      </c>
      <c r="B818" s="4">
        <v>24138847</v>
      </c>
    </row>
    <row r="819" customHeight="1" spans="1:2">
      <c r="A819" s="3" t="s">
        <v>23974</v>
      </c>
      <c r="B819" s="4">
        <v>3151130</v>
      </c>
    </row>
    <row r="820" customHeight="1" spans="1:2">
      <c r="A820" s="3" t="s">
        <v>2493</v>
      </c>
      <c r="B820" s="4">
        <v>137340146</v>
      </c>
    </row>
    <row r="821" customHeight="1" spans="1:2">
      <c r="A821" s="3" t="s">
        <v>3703</v>
      </c>
      <c r="B821" s="4">
        <v>84049211</v>
      </c>
    </row>
    <row r="822" customHeight="1" spans="1:2">
      <c r="A822" s="3" t="s">
        <v>9294</v>
      </c>
      <c r="B822" s="4">
        <v>36985501</v>
      </c>
    </row>
    <row r="823" customHeight="1" spans="1:2">
      <c r="A823" s="3" t="s">
        <v>20347</v>
      </c>
      <c r="B823" s="4">
        <v>444354</v>
      </c>
    </row>
    <row r="824" customHeight="1" spans="1:2">
      <c r="A824" s="3" t="s">
        <v>10643</v>
      </c>
      <c r="B824" s="4">
        <v>128300000</v>
      </c>
    </row>
    <row r="825" customHeight="1" spans="1:2">
      <c r="A825" s="3" t="s">
        <v>19625</v>
      </c>
      <c r="B825" s="4"/>
    </row>
    <row r="826" customHeight="1" spans="1:2">
      <c r="A826" s="3" t="s">
        <v>21072</v>
      </c>
      <c r="B826" s="4"/>
    </row>
    <row r="827" customHeight="1" spans="1:2">
      <c r="A827" s="3" t="s">
        <v>7475</v>
      </c>
      <c r="B827" s="4">
        <v>33987757</v>
      </c>
    </row>
    <row r="828" customHeight="1" spans="1:2">
      <c r="A828" s="3" t="s">
        <v>23745</v>
      </c>
      <c r="B828" s="4"/>
    </row>
    <row r="829" customHeight="1" spans="1:2">
      <c r="A829" s="3" t="s">
        <v>1851</v>
      </c>
      <c r="B829" s="4">
        <v>27098580</v>
      </c>
    </row>
    <row r="830" customHeight="1" spans="1:2">
      <c r="A830" s="3" t="s">
        <v>2930</v>
      </c>
      <c r="B830" s="4">
        <v>119793567</v>
      </c>
    </row>
    <row r="831" customHeight="1" spans="1:2">
      <c r="A831" s="3" t="s">
        <v>2104</v>
      </c>
      <c r="B831" s="4">
        <v>124870275</v>
      </c>
    </row>
    <row r="832" customHeight="1" spans="1:2">
      <c r="A832" s="3" t="s">
        <v>9441</v>
      </c>
      <c r="B832" s="4">
        <v>80034302</v>
      </c>
    </row>
    <row r="833" customHeight="1" spans="1:2">
      <c r="A833" s="3" t="s">
        <v>15966</v>
      </c>
      <c r="B833" s="4">
        <v>4992159</v>
      </c>
    </row>
    <row r="834" customHeight="1" spans="1:2">
      <c r="A834" s="3" t="s">
        <v>13591</v>
      </c>
      <c r="B834" s="4">
        <v>56631572</v>
      </c>
    </row>
    <row r="835" customHeight="1" spans="1:2">
      <c r="A835" s="3" t="s">
        <v>5772</v>
      </c>
      <c r="B835" s="4">
        <v>67253092</v>
      </c>
    </row>
    <row r="836" customHeight="1" spans="1:2">
      <c r="A836" s="3" t="s">
        <v>12712</v>
      </c>
      <c r="B836" s="4">
        <v>79900000</v>
      </c>
    </row>
    <row r="837" customHeight="1" spans="1:2">
      <c r="A837" s="3" t="s">
        <v>10291</v>
      </c>
      <c r="B837" s="4">
        <v>6109075</v>
      </c>
    </row>
    <row r="838" customHeight="1" spans="1:2">
      <c r="A838" s="3" t="s">
        <v>16386</v>
      </c>
      <c r="B838" s="4">
        <v>197148</v>
      </c>
    </row>
    <row r="839" customHeight="1" spans="1:2">
      <c r="A839" s="3" t="s">
        <v>11276</v>
      </c>
      <c r="B839" s="4">
        <v>8104069</v>
      </c>
    </row>
    <row r="840" customHeight="1" spans="1:2">
      <c r="A840" s="3" t="s">
        <v>16310</v>
      </c>
      <c r="B840" s="4"/>
    </row>
    <row r="841" customHeight="1" spans="1:2">
      <c r="A841" s="3" t="s">
        <v>20542</v>
      </c>
      <c r="B841" s="4"/>
    </row>
    <row r="842" customHeight="1" spans="1:2">
      <c r="A842" s="3" t="s">
        <v>2650</v>
      </c>
      <c r="B842" s="4">
        <v>95632614</v>
      </c>
    </row>
    <row r="843" customHeight="1" spans="1:2">
      <c r="A843" s="3" t="s">
        <v>2438</v>
      </c>
      <c r="B843" s="4">
        <v>40048332</v>
      </c>
    </row>
    <row r="844" customHeight="1" spans="1:2">
      <c r="A844" s="3" t="s">
        <v>4048</v>
      </c>
      <c r="B844" s="4">
        <v>100003492</v>
      </c>
    </row>
    <row r="845" customHeight="1" spans="1:2">
      <c r="A845" s="3" t="s">
        <v>17133</v>
      </c>
      <c r="B845" s="4">
        <v>4693919</v>
      </c>
    </row>
    <row r="846" customHeight="1" spans="1:2">
      <c r="A846" s="3" t="s">
        <v>6692</v>
      </c>
      <c r="B846" s="4">
        <v>36665854</v>
      </c>
    </row>
    <row r="847" customHeight="1" spans="1:2">
      <c r="A847" s="3" t="s">
        <v>17244</v>
      </c>
      <c r="B847" s="4">
        <v>117560</v>
      </c>
    </row>
    <row r="848" customHeight="1" spans="1:2">
      <c r="A848" s="3" t="s">
        <v>19193</v>
      </c>
      <c r="B848" s="4">
        <v>377420</v>
      </c>
    </row>
    <row r="849" customHeight="1" spans="1:2">
      <c r="A849" s="3" t="s">
        <v>14867</v>
      </c>
      <c r="B849" s="4"/>
    </row>
    <row r="850" customHeight="1" spans="1:2">
      <c r="A850" s="3" t="s">
        <v>19453</v>
      </c>
      <c r="B850" s="4">
        <v>3105269</v>
      </c>
    </row>
    <row r="851" customHeight="1" spans="1:2">
      <c r="A851" s="3" t="s">
        <v>23143</v>
      </c>
      <c r="B851" s="4">
        <v>318622</v>
      </c>
    </row>
    <row r="852" customHeight="1" spans="1:2">
      <c r="A852" s="3" t="s">
        <v>2639</v>
      </c>
      <c r="B852" s="4">
        <v>101087161</v>
      </c>
    </row>
    <row r="853" customHeight="1" spans="1:2">
      <c r="A853" s="3" t="s">
        <v>2281</v>
      </c>
      <c r="B853" s="4">
        <v>75134880</v>
      </c>
    </row>
    <row r="854" customHeight="1" spans="1:2">
      <c r="A854" s="3" t="s">
        <v>11854</v>
      </c>
      <c r="B854" s="4">
        <v>26400000</v>
      </c>
    </row>
    <row r="855" customHeight="1" spans="1:2">
      <c r="A855" s="3" t="s">
        <v>7547</v>
      </c>
      <c r="B855" s="4">
        <v>34531832</v>
      </c>
    </row>
    <row r="856" customHeight="1" spans="1:2">
      <c r="A856" s="3" t="s">
        <v>8799</v>
      </c>
      <c r="B856" s="4"/>
    </row>
    <row r="857" customHeight="1" spans="1:2">
      <c r="A857" s="3" t="s">
        <v>12857</v>
      </c>
      <c r="B857" s="4">
        <v>29302097</v>
      </c>
    </row>
    <row r="858" customHeight="1" spans="1:2">
      <c r="A858" s="3" t="s">
        <v>13032</v>
      </c>
      <c r="B858" s="4">
        <v>12212417</v>
      </c>
    </row>
    <row r="859" customHeight="1" spans="1:2">
      <c r="A859" s="3" t="s">
        <v>5090</v>
      </c>
      <c r="B859" s="4">
        <v>81022333</v>
      </c>
    </row>
    <row r="860" customHeight="1" spans="1:2">
      <c r="A860" s="3" t="s">
        <v>11280</v>
      </c>
      <c r="B860" s="4">
        <v>8054280</v>
      </c>
    </row>
    <row r="861" customHeight="1" spans="1:2">
      <c r="A861" s="3" t="s">
        <v>20778</v>
      </c>
      <c r="B861" s="4"/>
    </row>
    <row r="862" customHeight="1" spans="1:2">
      <c r="A862" s="3" t="s">
        <v>2692</v>
      </c>
      <c r="B862" s="4">
        <v>76081498</v>
      </c>
    </row>
    <row r="863" customHeight="1" spans="1:2">
      <c r="A863" s="3" t="s">
        <v>3054</v>
      </c>
      <c r="B863" s="4"/>
    </row>
    <row r="864" customHeight="1" spans="1:2">
      <c r="A864" s="3" t="s">
        <v>2205</v>
      </c>
      <c r="B864" s="4">
        <v>100853835</v>
      </c>
    </row>
    <row r="865" customHeight="1" spans="1:2">
      <c r="A865" s="3" t="s">
        <v>4078</v>
      </c>
      <c r="B865" s="4">
        <v>75638743</v>
      </c>
    </row>
    <row r="866" customHeight="1" spans="1:2">
      <c r="A866" s="3" t="s">
        <v>20109</v>
      </c>
      <c r="B866" s="4"/>
    </row>
    <row r="867" customHeight="1" spans="1:2">
      <c r="A867" s="3" t="s">
        <v>9557</v>
      </c>
      <c r="B867" s="4">
        <v>66489425</v>
      </c>
    </row>
    <row r="868" customHeight="1" spans="1:2">
      <c r="A868" s="3" t="s">
        <v>16939</v>
      </c>
      <c r="B868" s="4">
        <v>871577</v>
      </c>
    </row>
    <row r="869" customHeight="1" spans="1:2">
      <c r="A869" s="3" t="s">
        <v>22782</v>
      </c>
      <c r="B869" s="4">
        <v>379122</v>
      </c>
    </row>
    <row r="870" customHeight="1" spans="1:2">
      <c r="A870" s="3" t="s">
        <v>13384</v>
      </c>
      <c r="B870" s="4">
        <v>68856263</v>
      </c>
    </row>
    <row r="871" customHeight="1" spans="1:2">
      <c r="A871" s="3" t="s">
        <v>12793</v>
      </c>
      <c r="B871" s="4">
        <v>44886089</v>
      </c>
    </row>
    <row r="872" customHeight="1" spans="1:2">
      <c r="A872" s="3" t="s">
        <v>7136</v>
      </c>
      <c r="B872" s="4">
        <v>44867349</v>
      </c>
    </row>
    <row r="873" customHeight="1" spans="1:2">
      <c r="A873" s="3" t="s">
        <v>10881</v>
      </c>
      <c r="B873" s="4">
        <v>32051917</v>
      </c>
    </row>
    <row r="874" customHeight="1" spans="1:2">
      <c r="A874" s="3" t="s">
        <v>14674</v>
      </c>
      <c r="B874" s="4">
        <v>352786</v>
      </c>
    </row>
    <row r="875" customHeight="1" spans="1:2">
      <c r="A875" s="3" t="s">
        <v>4090</v>
      </c>
      <c r="B875" s="4">
        <v>75280058</v>
      </c>
    </row>
    <row r="876" customHeight="1" spans="1:2">
      <c r="A876" s="3" t="s">
        <v>15331</v>
      </c>
      <c r="B876" s="4">
        <v>756452</v>
      </c>
    </row>
    <row r="877" customHeight="1" spans="1:2">
      <c r="A877" s="3" t="s">
        <v>14565</v>
      </c>
      <c r="B877" s="4">
        <v>23978402</v>
      </c>
    </row>
    <row r="878" customHeight="1" spans="1:2">
      <c r="A878" s="3" t="s">
        <v>8331</v>
      </c>
      <c r="B878" s="4">
        <v>53337608</v>
      </c>
    </row>
    <row r="879" customHeight="1" spans="1:2">
      <c r="A879" s="3" t="s">
        <v>21409</v>
      </c>
      <c r="B879" s="4"/>
    </row>
    <row r="880" customHeight="1" spans="1:2">
      <c r="A880" s="3" t="s">
        <v>23877</v>
      </c>
      <c r="B880" s="4"/>
    </row>
    <row r="881" customHeight="1" spans="1:2">
      <c r="A881" s="3" t="s">
        <v>12951</v>
      </c>
      <c r="B881" s="4">
        <v>20218921</v>
      </c>
    </row>
    <row r="882" customHeight="1" spans="1:2">
      <c r="A882" s="3" t="s">
        <v>4011</v>
      </c>
      <c r="B882" s="4">
        <v>109176215</v>
      </c>
    </row>
    <row r="883" customHeight="1" spans="1:2">
      <c r="A883" s="3" t="s">
        <v>5676</v>
      </c>
      <c r="B883" s="4">
        <v>58918501</v>
      </c>
    </row>
    <row r="884" customHeight="1" spans="1:2">
      <c r="A884" s="3" t="s">
        <v>11414</v>
      </c>
      <c r="B884" s="4">
        <v>2246000</v>
      </c>
    </row>
    <row r="885" customHeight="1" spans="1:2">
      <c r="A885" s="3" t="s">
        <v>20181</v>
      </c>
      <c r="B885" s="4">
        <v>34522221</v>
      </c>
    </row>
    <row r="886" customHeight="1" spans="1:2">
      <c r="A886" s="3" t="s">
        <v>5791</v>
      </c>
      <c r="B886" s="4">
        <v>60786269</v>
      </c>
    </row>
    <row r="887" customHeight="1" spans="1:2">
      <c r="A887" s="3" t="s">
        <v>9622</v>
      </c>
      <c r="B887" s="4">
        <v>34604054</v>
      </c>
    </row>
    <row r="888" customHeight="1" spans="1:2">
      <c r="A888" s="3" t="s">
        <v>8017</v>
      </c>
      <c r="B888" s="4">
        <v>2899970</v>
      </c>
    </row>
    <row r="889" customHeight="1" spans="1:2">
      <c r="A889" s="3" t="s">
        <v>14208</v>
      </c>
      <c r="B889" s="4">
        <v>27829874</v>
      </c>
    </row>
    <row r="890" customHeight="1" spans="1:2">
      <c r="A890" s="3" t="s">
        <v>11178</v>
      </c>
      <c r="B890" s="4">
        <v>13630226</v>
      </c>
    </row>
    <row r="891" customHeight="1" spans="1:2">
      <c r="A891" s="3" t="s">
        <v>15200</v>
      </c>
      <c r="B891" s="4">
        <v>109114696</v>
      </c>
    </row>
    <row r="892" customHeight="1" spans="1:2">
      <c r="A892" s="3" t="s">
        <v>15841</v>
      </c>
      <c r="B892" s="4">
        <v>39462438</v>
      </c>
    </row>
    <row r="893" customHeight="1" spans="1:2">
      <c r="A893" s="3" t="s">
        <v>13193</v>
      </c>
      <c r="B893" s="4">
        <v>1954202</v>
      </c>
    </row>
    <row r="894" customHeight="1" spans="1:2">
      <c r="A894" s="3" t="s">
        <v>22666</v>
      </c>
      <c r="B894" s="4"/>
    </row>
    <row r="895" customHeight="1" spans="1:2">
      <c r="A895" s="3" t="s">
        <v>5109</v>
      </c>
      <c r="B895" s="4">
        <v>84244877</v>
      </c>
    </row>
    <row r="896" customHeight="1" spans="1:2">
      <c r="A896" s="3" t="s">
        <v>13769</v>
      </c>
      <c r="B896" s="4">
        <v>16929123</v>
      </c>
    </row>
    <row r="897" customHeight="1" spans="1:2">
      <c r="A897" s="3" t="s">
        <v>21853</v>
      </c>
      <c r="B897" s="4">
        <v>62480</v>
      </c>
    </row>
    <row r="898" customHeight="1" spans="1:2">
      <c r="A898" s="3" t="s">
        <v>19474</v>
      </c>
      <c r="B898" s="4"/>
    </row>
    <row r="899" customHeight="1" spans="1:2">
      <c r="A899" s="3" t="s">
        <v>7103</v>
      </c>
      <c r="B899" s="4">
        <v>109712885</v>
      </c>
    </row>
    <row r="900" customHeight="1" spans="1:2">
      <c r="A900" s="3" t="s">
        <v>18890</v>
      </c>
      <c r="B900" s="4">
        <v>14000000</v>
      </c>
    </row>
    <row r="901" customHeight="1" spans="1:2">
      <c r="A901" s="3" t="s">
        <v>2500</v>
      </c>
      <c r="B901" s="4"/>
    </row>
    <row r="902" customHeight="1" spans="1:2">
      <c r="A902" s="3" t="s">
        <v>22929</v>
      </c>
      <c r="B902" s="4"/>
    </row>
    <row r="903" customHeight="1" spans="1:2">
      <c r="A903" s="3" t="s">
        <v>16794</v>
      </c>
      <c r="B903" s="4"/>
    </row>
    <row r="904" customHeight="1" spans="1:2">
      <c r="A904" s="3" t="s">
        <v>8044</v>
      </c>
      <c r="B904" s="4">
        <v>14268533</v>
      </c>
    </row>
    <row r="905" customHeight="1" spans="1:2">
      <c r="A905" s="3" t="s">
        <v>4626</v>
      </c>
      <c r="B905" s="4">
        <v>91400000</v>
      </c>
    </row>
    <row r="906" customHeight="1" spans="1:2">
      <c r="A906" s="3" t="s">
        <v>14375</v>
      </c>
      <c r="B906" s="4">
        <v>141853</v>
      </c>
    </row>
    <row r="907" customHeight="1" spans="1:2">
      <c r="A907" s="3" t="s">
        <v>13373</v>
      </c>
      <c r="B907" s="4">
        <v>109306210</v>
      </c>
    </row>
    <row r="908" customHeight="1" spans="1:2">
      <c r="A908" s="3" t="s">
        <v>9700</v>
      </c>
      <c r="B908" s="4">
        <v>25590119</v>
      </c>
    </row>
    <row r="909" customHeight="1" spans="1:2">
      <c r="A909" s="3" t="s">
        <v>15800</v>
      </c>
      <c r="B909" s="4">
        <v>174635000</v>
      </c>
    </row>
    <row r="910" customHeight="1" spans="1:2">
      <c r="A910" s="3" t="s">
        <v>13477</v>
      </c>
      <c r="B910" s="4">
        <v>13640000</v>
      </c>
    </row>
    <row r="911" customHeight="1" spans="1:2">
      <c r="A911" s="3" t="s">
        <v>22436</v>
      </c>
      <c r="B911" s="4"/>
    </row>
    <row r="912" customHeight="1" spans="1:2">
      <c r="A912" s="3" t="s">
        <v>17361</v>
      </c>
      <c r="B912" s="4">
        <v>7009668</v>
      </c>
    </row>
    <row r="913" customHeight="1" spans="1:2">
      <c r="A913" s="3" t="s">
        <v>14091</v>
      </c>
      <c r="B913" s="4">
        <v>74377334</v>
      </c>
    </row>
    <row r="914" customHeight="1" spans="1:2">
      <c r="A914" s="3" t="s">
        <v>12664</v>
      </c>
      <c r="B914" s="4">
        <v>128067808</v>
      </c>
    </row>
    <row r="915" customHeight="1" spans="1:2">
      <c r="A915" s="3" t="s">
        <v>21398</v>
      </c>
      <c r="B915" s="4"/>
    </row>
    <row r="916" customHeight="1" spans="1:2">
      <c r="A916" s="3" t="s">
        <v>14548</v>
      </c>
      <c r="B916" s="4">
        <v>38201895</v>
      </c>
    </row>
    <row r="917" customHeight="1" spans="1:2">
      <c r="A917" s="3" t="s">
        <v>8809</v>
      </c>
      <c r="B917" s="4">
        <v>5899797</v>
      </c>
    </row>
    <row r="918" customHeight="1" spans="1:2">
      <c r="A918" s="3" t="s">
        <v>21555</v>
      </c>
      <c r="B918" s="4">
        <v>10042266</v>
      </c>
    </row>
    <row r="919" customHeight="1" spans="1:2">
      <c r="A919" s="3" t="s">
        <v>22154</v>
      </c>
      <c r="B919" s="4"/>
    </row>
    <row r="920" customHeight="1" spans="1:2">
      <c r="A920" s="3" t="s">
        <v>23187</v>
      </c>
      <c r="B920" s="4">
        <v>489220</v>
      </c>
    </row>
    <row r="921" customHeight="1" spans="1:2">
      <c r="A921" s="3" t="s">
        <v>5156</v>
      </c>
      <c r="B921" s="4">
        <v>58336565</v>
      </c>
    </row>
    <row r="922" customHeight="1" spans="1:2">
      <c r="A922" s="3" t="s">
        <v>5959</v>
      </c>
      <c r="B922" s="4">
        <v>6565495</v>
      </c>
    </row>
    <row r="923" customHeight="1" spans="1:2">
      <c r="A923" s="3" t="s">
        <v>7582</v>
      </c>
      <c r="B923" s="4">
        <v>19294901</v>
      </c>
    </row>
    <row r="924" customHeight="1" spans="1:2">
      <c r="A924" s="3" t="s">
        <v>2070</v>
      </c>
      <c r="B924" s="4">
        <v>11000000</v>
      </c>
    </row>
    <row r="925" customHeight="1" spans="1:2">
      <c r="A925" s="3" t="s">
        <v>14406</v>
      </c>
      <c r="B925" s="4"/>
    </row>
    <row r="926" customHeight="1" spans="1:2">
      <c r="A926" s="3" t="s">
        <v>16641</v>
      </c>
      <c r="B926" s="4">
        <v>7455447</v>
      </c>
    </row>
    <row r="927" customHeight="1" spans="1:2">
      <c r="A927" s="3" t="s">
        <v>18988</v>
      </c>
      <c r="B927" s="4">
        <v>96793</v>
      </c>
    </row>
    <row r="928" customHeight="1" spans="1:2">
      <c r="A928" s="3" t="s">
        <v>21274</v>
      </c>
      <c r="B928" s="4"/>
    </row>
    <row r="929" customHeight="1" spans="1:2">
      <c r="A929" s="3" t="s">
        <v>17059</v>
      </c>
      <c r="B929" s="4">
        <v>13235267</v>
      </c>
    </row>
    <row r="930" customHeight="1" spans="1:2">
      <c r="A930" s="3" t="s">
        <v>3982</v>
      </c>
      <c r="B930" s="4">
        <v>104148781</v>
      </c>
    </row>
    <row r="931" customHeight="1" spans="1:2">
      <c r="A931" s="3" t="s">
        <v>5070</v>
      </c>
      <c r="B931" s="4">
        <v>150315155</v>
      </c>
    </row>
    <row r="932" customHeight="1" spans="1:2">
      <c r="A932" s="3" t="s">
        <v>17602</v>
      </c>
      <c r="B932" s="4">
        <v>27296514</v>
      </c>
    </row>
    <row r="933" customHeight="1" spans="1:2">
      <c r="A933" s="3" t="s">
        <v>12335</v>
      </c>
      <c r="B933" s="4"/>
    </row>
    <row r="934" customHeight="1" spans="1:2">
      <c r="A934" s="3" t="s">
        <v>19471</v>
      </c>
      <c r="B934" s="4">
        <v>1007535</v>
      </c>
    </row>
    <row r="935" customHeight="1" spans="1:2">
      <c r="A935" s="3" t="s">
        <v>9691</v>
      </c>
      <c r="B935" s="4">
        <v>25615792</v>
      </c>
    </row>
    <row r="936" customHeight="1" spans="1:2">
      <c r="A936" s="3" t="s">
        <v>13969</v>
      </c>
      <c r="B936" s="4">
        <v>4157491</v>
      </c>
    </row>
    <row r="937" customHeight="1" spans="1:2">
      <c r="A937" s="3" t="s">
        <v>19986</v>
      </c>
      <c r="B937" s="4">
        <v>565592</v>
      </c>
    </row>
    <row r="938" customHeight="1" spans="1:2">
      <c r="A938" s="3" t="s">
        <v>11554</v>
      </c>
      <c r="B938" s="4">
        <v>184208848</v>
      </c>
    </row>
    <row r="939" customHeight="1" spans="1:2">
      <c r="A939" s="3" t="s">
        <v>14457</v>
      </c>
      <c r="B939" s="4"/>
    </row>
    <row r="940" customHeight="1" spans="1:2">
      <c r="A940" s="3" t="s">
        <v>10073</v>
      </c>
      <c r="B940" s="4">
        <v>69400000</v>
      </c>
    </row>
    <row r="941" customHeight="1" spans="1:2">
      <c r="A941" s="3" t="s">
        <v>15173</v>
      </c>
      <c r="B941" s="4">
        <v>5348317</v>
      </c>
    </row>
    <row r="942" customHeight="1" spans="1:2">
      <c r="A942" s="3" t="s">
        <v>1493</v>
      </c>
      <c r="B942" s="4">
        <v>67155742</v>
      </c>
    </row>
    <row r="943" customHeight="1" spans="1:2">
      <c r="A943" s="3" t="s">
        <v>2633</v>
      </c>
      <c r="B943" s="4"/>
    </row>
    <row r="944" customHeight="1" spans="1:2">
      <c r="A944" s="3" t="s">
        <v>16630</v>
      </c>
      <c r="B944" s="4"/>
    </row>
    <row r="945" customHeight="1" spans="1:2">
      <c r="A945" s="3" t="s">
        <v>13085</v>
      </c>
      <c r="B945" s="4">
        <v>9059588</v>
      </c>
    </row>
    <row r="946" customHeight="1" spans="1:2">
      <c r="A946" s="3" t="s">
        <v>9142</v>
      </c>
      <c r="B946" s="4">
        <v>14337579</v>
      </c>
    </row>
    <row r="947" customHeight="1" spans="1:2">
      <c r="A947" s="3" t="s">
        <v>884</v>
      </c>
      <c r="B947" s="4">
        <v>79711678</v>
      </c>
    </row>
    <row r="948" customHeight="1" spans="1:2">
      <c r="A948" s="3" t="s">
        <v>4387</v>
      </c>
      <c r="B948" s="4">
        <v>25472967</v>
      </c>
    </row>
    <row r="949" customHeight="1" spans="1:2">
      <c r="A949" s="3" t="s">
        <v>16476</v>
      </c>
      <c r="B949" s="4">
        <v>32131483</v>
      </c>
    </row>
    <row r="950" customHeight="1" spans="1:2">
      <c r="A950" s="3" t="s">
        <v>14722</v>
      </c>
      <c r="B950" s="4">
        <v>22160085</v>
      </c>
    </row>
    <row r="951" customHeight="1" spans="1:2">
      <c r="A951" s="3" t="s">
        <v>14381</v>
      </c>
      <c r="B951" s="4">
        <v>793352</v>
      </c>
    </row>
    <row r="952" customHeight="1" spans="1:2">
      <c r="A952" s="3" t="s">
        <v>10474</v>
      </c>
      <c r="B952" s="4">
        <v>5000000</v>
      </c>
    </row>
    <row r="953" customHeight="1" spans="1:2">
      <c r="A953" s="3" t="s">
        <v>14236</v>
      </c>
      <c r="B953" s="4">
        <v>11433134</v>
      </c>
    </row>
    <row r="954" customHeight="1" spans="1:2">
      <c r="A954" s="3" t="s">
        <v>10758</v>
      </c>
      <c r="B954" s="4">
        <v>48546578</v>
      </c>
    </row>
    <row r="955" customHeight="1" spans="1:2">
      <c r="A955" s="3" t="s">
        <v>4609</v>
      </c>
      <c r="B955" s="4">
        <v>98711404</v>
      </c>
    </row>
    <row r="956" customHeight="1" spans="1:2">
      <c r="A956" s="3" t="s">
        <v>19278</v>
      </c>
      <c r="B956" s="4">
        <v>11694528</v>
      </c>
    </row>
    <row r="957" customHeight="1" spans="1:2">
      <c r="A957" s="3" t="s">
        <v>23928</v>
      </c>
      <c r="B957" s="4"/>
    </row>
    <row r="958" customHeight="1" spans="1:2">
      <c r="A958" s="3" t="s">
        <v>8878</v>
      </c>
      <c r="B958" s="4">
        <v>117771270</v>
      </c>
    </row>
    <row r="959" customHeight="1" spans="1:2">
      <c r="A959" s="3" t="s">
        <v>574</v>
      </c>
      <c r="B959" s="4">
        <v>208543795</v>
      </c>
    </row>
    <row r="960" customHeight="1" spans="1:2">
      <c r="A960" s="3" t="s">
        <v>19038</v>
      </c>
      <c r="B960" s="4"/>
    </row>
    <row r="961" customHeight="1" spans="1:2">
      <c r="A961" s="3" t="s">
        <v>12070</v>
      </c>
      <c r="B961" s="4"/>
    </row>
    <row r="962" customHeight="1" spans="1:2">
      <c r="A962" s="3" t="s">
        <v>19085</v>
      </c>
      <c r="B962" s="4"/>
    </row>
    <row r="963" customHeight="1" spans="1:2">
      <c r="A963" s="3" t="s">
        <v>10970</v>
      </c>
      <c r="B963" s="4">
        <v>29975979</v>
      </c>
    </row>
    <row r="964" customHeight="1" spans="1:2">
      <c r="A964" s="3" t="s">
        <v>2827</v>
      </c>
      <c r="B964" s="4">
        <v>32885565</v>
      </c>
    </row>
    <row r="965" customHeight="1" spans="1:2">
      <c r="A965" s="3" t="s">
        <v>19396</v>
      </c>
      <c r="B965" s="4"/>
    </row>
    <row r="966" customHeight="1" spans="1:2">
      <c r="A966" s="3" t="s">
        <v>4014</v>
      </c>
      <c r="B966" s="4">
        <v>82670733</v>
      </c>
    </row>
    <row r="967" customHeight="1" spans="1:2">
      <c r="A967" s="3" t="s">
        <v>16778</v>
      </c>
      <c r="B967" s="4">
        <v>7993039</v>
      </c>
    </row>
    <row r="968" customHeight="1" spans="1:2">
      <c r="A968" s="3" t="s">
        <v>18037</v>
      </c>
      <c r="B968" s="4"/>
    </row>
    <row r="969" customHeight="1" spans="1:2">
      <c r="A969" s="3" t="s">
        <v>8669</v>
      </c>
      <c r="B969" s="4">
        <v>10880926</v>
      </c>
    </row>
    <row r="970" customHeight="1" spans="1:2">
      <c r="A970" s="3" t="s">
        <v>13461</v>
      </c>
      <c r="B970" s="4">
        <v>15062898</v>
      </c>
    </row>
    <row r="971" customHeight="1" spans="1:2">
      <c r="A971" s="3" t="s">
        <v>14544</v>
      </c>
      <c r="B971" s="4">
        <v>39025000</v>
      </c>
    </row>
    <row r="972" customHeight="1" spans="1:2">
      <c r="A972" s="3" t="s">
        <v>21428</v>
      </c>
      <c r="B972" s="4">
        <v>6013</v>
      </c>
    </row>
    <row r="973" customHeight="1" spans="1:2">
      <c r="A973" s="3" t="s">
        <v>12376</v>
      </c>
      <c r="B973" s="4">
        <v>95860116</v>
      </c>
    </row>
    <row r="974" customHeight="1" spans="1:2">
      <c r="A974" s="3" t="s">
        <v>22212</v>
      </c>
      <c r="B974" s="4">
        <v>41709</v>
      </c>
    </row>
    <row r="975" customHeight="1" spans="1:2">
      <c r="A975" s="3" t="s">
        <v>17279</v>
      </c>
      <c r="B975" s="4">
        <v>65804</v>
      </c>
    </row>
    <row r="976" customHeight="1" spans="1:2">
      <c r="A976" s="3" t="s">
        <v>20726</v>
      </c>
      <c r="B976" s="4"/>
    </row>
    <row r="977" customHeight="1" spans="1:2">
      <c r="A977" s="3" t="s">
        <v>19350</v>
      </c>
      <c r="B977" s="4"/>
    </row>
    <row r="978" customHeight="1" spans="1:2">
      <c r="A978" s="3" t="s">
        <v>4435</v>
      </c>
      <c r="B978" s="4">
        <v>363024263</v>
      </c>
    </row>
    <row r="979" customHeight="1" spans="1:2">
      <c r="A979" s="3" t="s">
        <v>18183</v>
      </c>
      <c r="B979" s="4">
        <v>1340891</v>
      </c>
    </row>
    <row r="980" customHeight="1" spans="1:2">
      <c r="A980" s="3" t="s">
        <v>9746</v>
      </c>
      <c r="B980" s="4">
        <v>80014842</v>
      </c>
    </row>
    <row r="981" customHeight="1" spans="1:2">
      <c r="A981" s="3" t="s">
        <v>16246</v>
      </c>
      <c r="B981" s="4">
        <v>23106</v>
      </c>
    </row>
    <row r="982" customHeight="1" spans="1:2">
      <c r="A982" s="3" t="s">
        <v>10564</v>
      </c>
      <c r="B982" s="4">
        <v>17159368</v>
      </c>
    </row>
    <row r="983" customHeight="1" spans="1:2">
      <c r="A983" s="3" t="s">
        <v>4671</v>
      </c>
      <c r="B983" s="4">
        <v>58422650</v>
      </c>
    </row>
    <row r="984" customHeight="1" spans="1:2">
      <c r="A984" s="3" t="s">
        <v>23157</v>
      </c>
      <c r="B984" s="4"/>
    </row>
    <row r="985" customHeight="1" spans="1:2">
      <c r="A985" s="3" t="s">
        <v>23104</v>
      </c>
      <c r="B985" s="4"/>
    </row>
    <row r="986" customHeight="1" spans="1:2">
      <c r="A986" s="3" t="s">
        <v>3770</v>
      </c>
      <c r="B986" s="4">
        <v>36064910</v>
      </c>
    </row>
    <row r="987" customHeight="1" spans="1:2">
      <c r="A987" s="3" t="s">
        <v>11257</v>
      </c>
      <c r="B987" s="4">
        <v>9525276</v>
      </c>
    </row>
    <row r="988" customHeight="1" spans="1:2">
      <c r="A988" s="3" t="s">
        <v>5471</v>
      </c>
      <c r="B988" s="4">
        <v>8355815</v>
      </c>
    </row>
    <row r="989" customHeight="1" spans="1:2">
      <c r="A989" s="3" t="s">
        <v>22603</v>
      </c>
      <c r="B989" s="4">
        <v>151389</v>
      </c>
    </row>
    <row r="990" customHeight="1" spans="1:2">
      <c r="A990" s="3" t="s">
        <v>4991</v>
      </c>
      <c r="B990" s="4">
        <v>35092918</v>
      </c>
    </row>
    <row r="991" customHeight="1" spans="1:2">
      <c r="A991" s="3" t="s">
        <v>11235</v>
      </c>
      <c r="B991" s="4">
        <v>10569071</v>
      </c>
    </row>
    <row r="992" customHeight="1" spans="1:2">
      <c r="A992" s="3" t="s">
        <v>17993</v>
      </c>
      <c r="B992" s="4"/>
    </row>
    <row r="993" customHeight="1" spans="1:2">
      <c r="A993" s="3" t="s">
        <v>4064</v>
      </c>
      <c r="B993" s="4">
        <v>73648142</v>
      </c>
    </row>
    <row r="994" customHeight="1" spans="1:2">
      <c r="A994" s="3" t="s">
        <v>2568</v>
      </c>
      <c r="B994" s="4">
        <v>140459099</v>
      </c>
    </row>
    <row r="995" customHeight="1" spans="1:2">
      <c r="A995" s="3" t="s">
        <v>5948</v>
      </c>
      <c r="B995" s="4">
        <v>11146409</v>
      </c>
    </row>
    <row r="996" customHeight="1" spans="1:2">
      <c r="A996" s="3" t="s">
        <v>21203</v>
      </c>
      <c r="B996" s="4"/>
    </row>
    <row r="997" customHeight="1" spans="1:2">
      <c r="A997" s="3" t="s">
        <v>18833</v>
      </c>
      <c r="B997" s="4">
        <v>37606</v>
      </c>
    </row>
    <row r="998" customHeight="1" spans="1:2">
      <c r="A998" s="3" t="s">
        <v>5448</v>
      </c>
      <c r="B998" s="4"/>
    </row>
    <row r="999" customHeight="1" spans="1:2">
      <c r="A999" s="3" t="s">
        <v>16490</v>
      </c>
      <c r="B999" s="4">
        <v>31973840</v>
      </c>
    </row>
    <row r="1000" customHeight="1" spans="1:2">
      <c r="A1000" s="3" t="s">
        <v>2737</v>
      </c>
      <c r="B1000" s="4">
        <v>821997</v>
      </c>
    </row>
    <row r="1001" customHeight="1" spans="1:2">
      <c r="A1001" s="3" t="s">
        <v>13603</v>
      </c>
      <c r="B1001" s="4">
        <v>894186</v>
      </c>
    </row>
    <row r="1002" customHeight="1" spans="1:2">
      <c r="A1002" s="3" t="s">
        <v>13802</v>
      </c>
      <c r="B1002" s="4"/>
    </row>
    <row r="1003" customHeight="1" spans="1:2">
      <c r="A1003" s="3" t="s">
        <v>6848</v>
      </c>
      <c r="B1003" s="4">
        <v>511920</v>
      </c>
    </row>
    <row r="1004" customHeight="1" spans="1:2">
      <c r="A1004" s="3" t="s">
        <v>8488</v>
      </c>
      <c r="B1004" s="4">
        <v>30523568</v>
      </c>
    </row>
    <row r="1005" customHeight="1" spans="1:2">
      <c r="A1005" s="3" t="s">
        <v>10410</v>
      </c>
      <c r="B1005" s="4">
        <v>30659817</v>
      </c>
    </row>
    <row r="1006" customHeight="1" spans="1:2">
      <c r="A1006" s="3" t="s">
        <v>13040</v>
      </c>
      <c r="B1006" s="4">
        <v>13337299</v>
      </c>
    </row>
    <row r="1007" customHeight="1" spans="1:2">
      <c r="A1007" s="3" t="s">
        <v>19531</v>
      </c>
      <c r="B1007" s="4"/>
    </row>
    <row r="1008" customHeight="1" spans="1:2">
      <c r="A1008" s="3" t="s">
        <v>21617</v>
      </c>
      <c r="B1008" s="4"/>
    </row>
    <row r="1009" customHeight="1" spans="1:2">
      <c r="A1009" s="3" t="s">
        <v>10392</v>
      </c>
      <c r="B1009" s="4">
        <v>36020063</v>
      </c>
    </row>
    <row r="1010" customHeight="1" spans="1:2">
      <c r="A1010" s="3" t="s">
        <v>17986</v>
      </c>
      <c r="B1010" s="4">
        <v>99147</v>
      </c>
    </row>
    <row r="1011" customHeight="1" spans="1:2">
      <c r="A1011" s="3" t="s">
        <v>18800</v>
      </c>
      <c r="B1011" s="4">
        <v>143653</v>
      </c>
    </row>
    <row r="1012" customHeight="1" spans="1:2">
      <c r="A1012" s="3" t="s">
        <v>16504</v>
      </c>
      <c r="B1012" s="4">
        <v>25625110</v>
      </c>
    </row>
    <row r="1013" customHeight="1" spans="1:2">
      <c r="A1013" s="3" t="s">
        <v>2979</v>
      </c>
      <c r="B1013" s="4">
        <v>368049635</v>
      </c>
    </row>
    <row r="1014" customHeight="1" spans="1:2">
      <c r="A1014" s="3" t="s">
        <v>3550</v>
      </c>
      <c r="B1014" s="4">
        <v>251501645</v>
      </c>
    </row>
    <row r="1015" customHeight="1" spans="1:2">
      <c r="A1015" s="3" t="s">
        <v>22306</v>
      </c>
      <c r="B1015" s="4"/>
    </row>
    <row r="1016" customHeight="1" spans="1:2">
      <c r="A1016" s="3" t="s">
        <v>22662</v>
      </c>
      <c r="B1016" s="4">
        <v>1332</v>
      </c>
    </row>
    <row r="1017" customHeight="1" spans="1:2">
      <c r="A1017" s="3" t="s">
        <v>15614</v>
      </c>
      <c r="B1017" s="4"/>
    </row>
    <row r="1018" customHeight="1" spans="1:2">
      <c r="A1018" s="3" t="s">
        <v>22192</v>
      </c>
      <c r="B1018" s="4">
        <v>144583</v>
      </c>
    </row>
    <row r="1019" customHeight="1" spans="1:2">
      <c r="A1019" s="3" t="s">
        <v>12540</v>
      </c>
      <c r="B1019" s="4">
        <v>4193025</v>
      </c>
    </row>
    <row r="1020" customHeight="1" spans="1:2">
      <c r="A1020" s="3" t="s">
        <v>10404</v>
      </c>
      <c r="B1020" s="4">
        <v>22264487</v>
      </c>
    </row>
    <row r="1021" customHeight="1" spans="1:2">
      <c r="A1021" s="3" t="s">
        <v>11746</v>
      </c>
      <c r="B1021" s="4">
        <v>65535067</v>
      </c>
    </row>
    <row r="1022" customHeight="1" spans="1:2">
      <c r="A1022" s="3" t="s">
        <v>15141</v>
      </c>
      <c r="B1022" s="4">
        <v>6044618</v>
      </c>
    </row>
    <row r="1023" customHeight="1" spans="1:2">
      <c r="A1023" s="3" t="s">
        <v>14874</v>
      </c>
      <c r="B1023" s="4">
        <v>33583175</v>
      </c>
    </row>
    <row r="1024" customHeight="1" spans="1:2">
      <c r="A1024" s="3" t="s">
        <v>16536</v>
      </c>
      <c r="B1024" s="4">
        <v>15818967</v>
      </c>
    </row>
    <row r="1025" customHeight="1" spans="1:2">
      <c r="A1025" s="3" t="s">
        <v>22778</v>
      </c>
      <c r="B1025" s="4"/>
    </row>
    <row r="1026" customHeight="1" spans="1:2">
      <c r="A1026" s="3" t="s">
        <v>16452</v>
      </c>
      <c r="B1026" s="4">
        <v>43800000</v>
      </c>
    </row>
    <row r="1027" customHeight="1" spans="1:2">
      <c r="A1027" s="3" t="s">
        <v>17391</v>
      </c>
      <c r="B1027" s="4">
        <v>50382128</v>
      </c>
    </row>
    <row r="1028" customHeight="1" spans="1:2">
      <c r="A1028" s="3" t="s">
        <v>12715</v>
      </c>
      <c r="B1028" s="4">
        <v>64001297</v>
      </c>
    </row>
    <row r="1029" customHeight="1" spans="1:2">
      <c r="A1029" s="3" t="s">
        <v>10426</v>
      </c>
      <c r="B1029" s="4">
        <v>49002815</v>
      </c>
    </row>
    <row r="1030" customHeight="1" spans="1:2">
      <c r="A1030" s="3" t="s">
        <v>11775</v>
      </c>
      <c r="B1030" s="4">
        <v>52691009</v>
      </c>
    </row>
    <row r="1031" customHeight="1" spans="1:2">
      <c r="A1031" s="3" t="s">
        <v>19689</v>
      </c>
      <c r="B1031" s="4">
        <v>952620</v>
      </c>
    </row>
    <row r="1032" customHeight="1" spans="1:2">
      <c r="A1032" s="3" t="s">
        <v>5617</v>
      </c>
      <c r="B1032" s="4">
        <v>103738726</v>
      </c>
    </row>
    <row r="1033" customHeight="1" spans="1:2">
      <c r="A1033" s="3" t="s">
        <v>13797</v>
      </c>
      <c r="B1033" s="4">
        <v>6241697</v>
      </c>
    </row>
    <row r="1034" customHeight="1" spans="1:2">
      <c r="A1034" s="3" t="s">
        <v>12205</v>
      </c>
      <c r="B1034" s="4">
        <v>22734486</v>
      </c>
    </row>
    <row r="1035" customHeight="1" spans="1:2">
      <c r="A1035" s="3" t="s">
        <v>4492</v>
      </c>
      <c r="B1035" s="4">
        <v>29580087</v>
      </c>
    </row>
    <row r="1036" customHeight="1" spans="1:2">
      <c r="A1036" s="3" t="s">
        <v>967</v>
      </c>
      <c r="B1036" s="4">
        <v>160201106</v>
      </c>
    </row>
    <row r="1037" customHeight="1" spans="1:2">
      <c r="A1037" s="3" t="s">
        <v>3332</v>
      </c>
      <c r="B1037" s="4">
        <v>117541000</v>
      </c>
    </row>
    <row r="1038" customHeight="1" spans="1:2">
      <c r="A1038" s="3" t="s">
        <v>2150</v>
      </c>
      <c r="B1038" s="4">
        <v>100012500</v>
      </c>
    </row>
    <row r="1039" customHeight="1" spans="1:2">
      <c r="A1039" s="3" t="s">
        <v>8859</v>
      </c>
      <c r="B1039" s="4">
        <v>81350242</v>
      </c>
    </row>
    <row r="1040" customHeight="1" spans="1:2">
      <c r="A1040" s="3" t="s">
        <v>17803</v>
      </c>
      <c r="B1040" s="4">
        <v>9628751</v>
      </c>
    </row>
    <row r="1041" customHeight="1" spans="1:2">
      <c r="A1041" s="3" t="s">
        <v>20861</v>
      </c>
      <c r="B1041" s="4">
        <v>129319</v>
      </c>
    </row>
    <row r="1042" customHeight="1" spans="1:2">
      <c r="A1042" s="3" t="s">
        <v>17746</v>
      </c>
      <c r="B1042" s="4">
        <v>14100000</v>
      </c>
    </row>
    <row r="1043" customHeight="1" spans="1:2">
      <c r="A1043" s="3" t="s">
        <v>3598</v>
      </c>
      <c r="B1043" s="4">
        <v>72980108</v>
      </c>
    </row>
    <row r="1044" customHeight="1" spans="1:2">
      <c r="A1044" s="3" t="s">
        <v>20344</v>
      </c>
      <c r="B1044" s="4">
        <v>110000</v>
      </c>
    </row>
    <row r="1045" customHeight="1" spans="1:2">
      <c r="A1045" s="3" t="s">
        <v>1235</v>
      </c>
      <c r="B1045" s="4">
        <v>137748063</v>
      </c>
    </row>
    <row r="1046" customHeight="1" spans="1:2">
      <c r="A1046" s="3" t="s">
        <v>14490</v>
      </c>
      <c r="B1046" s="4">
        <v>35537564</v>
      </c>
    </row>
    <row r="1047" customHeight="1" spans="1:2">
      <c r="A1047" s="3" t="s">
        <v>15091</v>
      </c>
      <c r="B1047" s="4">
        <v>8111360</v>
      </c>
    </row>
    <row r="1048" customHeight="1" spans="1:2">
      <c r="A1048" s="3" t="s">
        <v>13790</v>
      </c>
      <c r="B1048" s="4">
        <v>9975684</v>
      </c>
    </row>
    <row r="1049" customHeight="1" spans="1:2">
      <c r="A1049" s="3" t="s">
        <v>11154</v>
      </c>
      <c r="B1049" s="4">
        <v>14174654</v>
      </c>
    </row>
    <row r="1050" customHeight="1" spans="1:2">
      <c r="A1050" s="3" t="s">
        <v>4641</v>
      </c>
      <c r="B1050" s="4">
        <v>83000000</v>
      </c>
    </row>
    <row r="1051" customHeight="1" spans="1:2">
      <c r="A1051" s="3" t="s">
        <v>8142</v>
      </c>
      <c r="B1051" s="4">
        <v>115646235</v>
      </c>
    </row>
    <row r="1052" customHeight="1" spans="1:2">
      <c r="A1052" s="3" t="s">
        <v>13218</v>
      </c>
      <c r="B1052" s="4">
        <v>1197786</v>
      </c>
    </row>
    <row r="1053" customHeight="1" spans="1:2">
      <c r="A1053" s="3" t="s">
        <v>6863</v>
      </c>
      <c r="B1053" s="4">
        <v>160100342</v>
      </c>
    </row>
    <row r="1054" customHeight="1" spans="1:2">
      <c r="A1054" s="3" t="s">
        <v>12956</v>
      </c>
      <c r="B1054" s="4">
        <v>17411331</v>
      </c>
    </row>
    <row r="1055" customHeight="1" spans="1:2">
      <c r="A1055" s="3" t="s">
        <v>2394</v>
      </c>
      <c r="B1055" s="4">
        <v>150832203</v>
      </c>
    </row>
    <row r="1056" customHeight="1" spans="1:2">
      <c r="A1056" s="3" t="s">
        <v>9092</v>
      </c>
      <c r="B1056" s="4">
        <v>69586544</v>
      </c>
    </row>
    <row r="1057" customHeight="1" spans="1:2">
      <c r="A1057" s="3" t="s">
        <v>1767</v>
      </c>
      <c r="B1057" s="4">
        <v>162804648</v>
      </c>
    </row>
    <row r="1058" customHeight="1" spans="1:2">
      <c r="A1058" s="3" t="s">
        <v>17438</v>
      </c>
      <c r="B1058" s="4">
        <v>27545445</v>
      </c>
    </row>
    <row r="1059" customHeight="1" spans="1:2">
      <c r="A1059" s="3" t="s">
        <v>20032</v>
      </c>
      <c r="B1059" s="4">
        <v>12985267</v>
      </c>
    </row>
    <row r="1060" customHeight="1" spans="1:2">
      <c r="A1060" s="3" t="s">
        <v>8700</v>
      </c>
      <c r="B1060" s="4">
        <v>480314</v>
      </c>
    </row>
    <row r="1061" customHeight="1" spans="1:2">
      <c r="A1061" s="3" t="s">
        <v>21964</v>
      </c>
      <c r="B1061" s="4"/>
    </row>
    <row r="1062" customHeight="1" spans="1:2">
      <c r="A1062" s="3" t="s">
        <v>3284</v>
      </c>
      <c r="B1062" s="4">
        <v>144156464</v>
      </c>
    </row>
    <row r="1063" customHeight="1" spans="1:2">
      <c r="A1063" s="3" t="s">
        <v>14494</v>
      </c>
      <c r="B1063" s="4">
        <v>111722000</v>
      </c>
    </row>
    <row r="1064" customHeight="1" spans="1:2">
      <c r="A1064" s="3" t="s">
        <v>8122</v>
      </c>
      <c r="B1064" s="4">
        <v>228648144</v>
      </c>
    </row>
    <row r="1065" customHeight="1" spans="1:2">
      <c r="A1065" s="3" t="s">
        <v>14900</v>
      </c>
      <c r="B1065" s="4">
        <v>30651422</v>
      </c>
    </row>
    <row r="1066" customHeight="1" spans="1:2">
      <c r="A1066" s="3" t="s">
        <v>23013</v>
      </c>
      <c r="B1066" s="4">
        <v>110197</v>
      </c>
    </row>
    <row r="1067" customHeight="1" spans="1:2">
      <c r="A1067" s="3" t="s">
        <v>22845</v>
      </c>
      <c r="B1067" s="4">
        <v>1293295</v>
      </c>
    </row>
    <row r="1068" customHeight="1" spans="1:2">
      <c r="A1068" s="3" t="s">
        <v>7189</v>
      </c>
      <c r="B1068" s="4">
        <v>42019483</v>
      </c>
    </row>
    <row r="1069" customHeight="1" spans="1:2">
      <c r="A1069" s="3" t="s">
        <v>7146</v>
      </c>
      <c r="B1069" s="4">
        <v>72279690</v>
      </c>
    </row>
    <row r="1070" customHeight="1" spans="1:2">
      <c r="A1070" s="3" t="s">
        <v>17102</v>
      </c>
      <c r="B1070" s="4">
        <v>7518876</v>
      </c>
    </row>
    <row r="1071" customHeight="1" spans="1:2">
      <c r="A1071" s="3" t="s">
        <v>16707</v>
      </c>
      <c r="B1071" s="4">
        <v>518134</v>
      </c>
    </row>
    <row r="1072" customHeight="1" spans="1:2">
      <c r="A1072" s="3" t="s">
        <v>4891</v>
      </c>
      <c r="B1072" s="4">
        <v>45207112</v>
      </c>
    </row>
    <row r="1073" customHeight="1" spans="1:2">
      <c r="A1073" s="3" t="s">
        <v>5454</v>
      </c>
      <c r="B1073" s="4">
        <v>10137232</v>
      </c>
    </row>
    <row r="1074" customHeight="1" spans="1:2">
      <c r="A1074" s="3" t="s">
        <v>17399</v>
      </c>
      <c r="B1074" s="4">
        <v>24475193</v>
      </c>
    </row>
    <row r="1075" customHeight="1" spans="1:2">
      <c r="A1075" s="3" t="s">
        <v>9737</v>
      </c>
      <c r="B1075" s="4">
        <v>22200000</v>
      </c>
    </row>
    <row r="1076" customHeight="1" spans="1:2">
      <c r="A1076" s="3" t="s">
        <v>17276</v>
      </c>
      <c r="B1076" s="4"/>
    </row>
    <row r="1077" customHeight="1" spans="1:2">
      <c r="A1077" s="3" t="s">
        <v>22274</v>
      </c>
      <c r="B1077" s="4">
        <v>18378</v>
      </c>
    </row>
    <row r="1078" customHeight="1" spans="1:2">
      <c r="A1078" s="3" t="s">
        <v>7398</v>
      </c>
      <c r="B1078" s="4">
        <v>41954997</v>
      </c>
    </row>
    <row r="1079" customHeight="1" spans="1:2">
      <c r="A1079" s="3" t="s">
        <v>18274</v>
      </c>
      <c r="B1079" s="4">
        <v>727883</v>
      </c>
    </row>
    <row r="1080" customHeight="1" spans="1:2">
      <c r="A1080" s="3" t="s">
        <v>19725</v>
      </c>
      <c r="B1080" s="4"/>
    </row>
    <row r="1081" customHeight="1" spans="1:2">
      <c r="A1081" s="3" t="s">
        <v>9756</v>
      </c>
      <c r="B1081" s="4">
        <v>24042490</v>
      </c>
    </row>
    <row r="1082" customHeight="1" spans="1:2">
      <c r="A1082" s="3" t="s">
        <v>5168</v>
      </c>
      <c r="B1082" s="4">
        <v>54997476</v>
      </c>
    </row>
    <row r="1083" customHeight="1" spans="1:2">
      <c r="A1083" s="3" t="s">
        <v>11297</v>
      </c>
      <c r="B1083" s="4">
        <v>7382993</v>
      </c>
    </row>
    <row r="1084" customHeight="1" spans="1:2">
      <c r="A1084" s="3" t="s">
        <v>3449</v>
      </c>
      <c r="B1084" s="4">
        <v>28031250</v>
      </c>
    </row>
    <row r="1085" customHeight="1" spans="1:2">
      <c r="A1085" s="3" t="s">
        <v>7878</v>
      </c>
      <c r="B1085" s="4">
        <v>10955425</v>
      </c>
    </row>
    <row r="1086" customHeight="1" spans="1:2">
      <c r="A1086" s="3" t="s">
        <v>16552</v>
      </c>
      <c r="B1086" s="4">
        <v>17474107</v>
      </c>
    </row>
    <row r="1087" customHeight="1" spans="1:2">
      <c r="A1087" s="3" t="s">
        <v>12453</v>
      </c>
      <c r="B1087" s="4">
        <v>30102717</v>
      </c>
    </row>
    <row r="1088" customHeight="1" spans="1:2">
      <c r="A1088" s="3" t="s">
        <v>6252</v>
      </c>
      <c r="B1088" s="4">
        <v>116735231</v>
      </c>
    </row>
    <row r="1089" customHeight="1" spans="1:2">
      <c r="A1089" s="3" t="s">
        <v>10132</v>
      </c>
      <c r="B1089" s="4">
        <v>20218</v>
      </c>
    </row>
    <row r="1090" customHeight="1" spans="1:2">
      <c r="A1090" s="3" t="s">
        <v>10867</v>
      </c>
      <c r="B1090" s="4">
        <v>33422556</v>
      </c>
    </row>
    <row r="1091" customHeight="1" spans="1:2">
      <c r="A1091" s="3" t="s">
        <v>17645</v>
      </c>
      <c r="B1091" s="4">
        <v>19421271</v>
      </c>
    </row>
    <row r="1092" customHeight="1" spans="1:2">
      <c r="A1092" s="3" t="s">
        <v>21350</v>
      </c>
      <c r="B1092" s="4">
        <v>58936</v>
      </c>
    </row>
    <row r="1093" customHeight="1" spans="1:2">
      <c r="A1093" s="3" t="s">
        <v>18809</v>
      </c>
      <c r="B1093" s="4"/>
    </row>
    <row r="1094" customHeight="1" spans="1:2">
      <c r="A1094" s="3" t="s">
        <v>16199</v>
      </c>
      <c r="B1094" s="4">
        <v>568695</v>
      </c>
    </row>
    <row r="1095" customHeight="1" spans="1:2">
      <c r="A1095" s="3" t="s">
        <v>23971</v>
      </c>
      <c r="B1095" s="4">
        <v>9609</v>
      </c>
    </row>
    <row r="1096" customHeight="1" spans="1:2">
      <c r="A1096" s="3" t="s">
        <v>8211</v>
      </c>
      <c r="B1096" s="4">
        <v>64172251</v>
      </c>
    </row>
    <row r="1097" customHeight="1" spans="1:2">
      <c r="A1097" s="3" t="s">
        <v>15646</v>
      </c>
      <c r="B1097" s="4">
        <v>20035310</v>
      </c>
    </row>
    <row r="1098" customHeight="1" spans="1:2">
      <c r="A1098" s="3" t="s">
        <v>13626</v>
      </c>
      <c r="B1098" s="4">
        <v>5501940</v>
      </c>
    </row>
    <row r="1099" customHeight="1" spans="1:2">
      <c r="A1099" s="3" t="s">
        <v>3237</v>
      </c>
      <c r="B1099" s="4">
        <v>112950721</v>
      </c>
    </row>
    <row r="1100" customHeight="1" spans="1:2">
      <c r="A1100" s="3" t="s">
        <v>21534</v>
      </c>
      <c r="B1100" s="4">
        <v>16067035</v>
      </c>
    </row>
    <row r="1101" customHeight="1" spans="1:2">
      <c r="A1101" s="3" t="s">
        <v>20669</v>
      </c>
      <c r="B1101" s="4"/>
    </row>
    <row r="1102" customHeight="1" spans="1:2">
      <c r="A1102" s="3" t="s">
        <v>8948</v>
      </c>
      <c r="B1102" s="4">
        <v>33000377</v>
      </c>
    </row>
    <row r="1103" customHeight="1" spans="1:2">
      <c r="A1103" s="3" t="s">
        <v>3419</v>
      </c>
      <c r="B1103" s="4">
        <v>55942830</v>
      </c>
    </row>
    <row r="1104" customHeight="1" spans="1:2">
      <c r="A1104" s="3" t="s">
        <v>21450</v>
      </c>
      <c r="B1104" s="4">
        <v>39659</v>
      </c>
    </row>
    <row r="1105" customHeight="1" spans="1:2">
      <c r="A1105" s="3" t="s">
        <v>9858</v>
      </c>
      <c r="B1105" s="4">
        <v>28831145</v>
      </c>
    </row>
    <row r="1106" customHeight="1" spans="1:2">
      <c r="A1106" s="3" t="s">
        <v>8349</v>
      </c>
      <c r="B1106" s="4">
        <v>42057340</v>
      </c>
    </row>
    <row r="1107" customHeight="1" spans="1:2">
      <c r="A1107" s="3" t="s">
        <v>3878</v>
      </c>
      <c r="B1107" s="4">
        <v>72413</v>
      </c>
    </row>
    <row r="1108" customHeight="1" spans="1:2">
      <c r="A1108" s="3" t="s">
        <v>12328</v>
      </c>
      <c r="B1108" s="4"/>
    </row>
    <row r="1109" customHeight="1" spans="1:2">
      <c r="A1109" s="3" t="s">
        <v>6996</v>
      </c>
      <c r="B1109" s="4"/>
    </row>
    <row r="1110" customHeight="1" spans="1:2">
      <c r="A1110" s="3" t="s">
        <v>8000</v>
      </c>
      <c r="B1110" s="4">
        <v>10956379</v>
      </c>
    </row>
    <row r="1111" customHeight="1" spans="1:2">
      <c r="A1111" s="3" t="s">
        <v>8605</v>
      </c>
      <c r="B1111" s="4">
        <v>9353573</v>
      </c>
    </row>
    <row r="1112" customHeight="1" spans="1:2">
      <c r="A1112" s="3" t="s">
        <v>4339</v>
      </c>
      <c r="B1112" s="4">
        <v>30063805</v>
      </c>
    </row>
    <row r="1113" customHeight="1" spans="1:2">
      <c r="A1113" s="3" t="s">
        <v>4524</v>
      </c>
      <c r="B1113" s="4">
        <v>51317350</v>
      </c>
    </row>
    <row r="1114" customHeight="1" spans="1:2">
      <c r="A1114" s="3" t="s">
        <v>11962</v>
      </c>
      <c r="B1114" s="4">
        <v>6000000</v>
      </c>
    </row>
    <row r="1115" customHeight="1" spans="1:2">
      <c r="A1115" s="3" t="s">
        <v>5426</v>
      </c>
      <c r="B1115" s="4">
        <v>21283440</v>
      </c>
    </row>
    <row r="1116" customHeight="1" spans="1:2">
      <c r="A1116" s="3" t="s">
        <v>21718</v>
      </c>
      <c r="B1116" s="4">
        <v>464655</v>
      </c>
    </row>
    <row r="1117" customHeight="1" spans="1:2">
      <c r="A1117" s="3" t="s">
        <v>3642</v>
      </c>
      <c r="B1117" s="4">
        <v>33685268</v>
      </c>
    </row>
    <row r="1118" customHeight="1" spans="1:2">
      <c r="A1118" s="3" t="s">
        <v>7967</v>
      </c>
      <c r="B1118" s="4">
        <v>32701088</v>
      </c>
    </row>
    <row r="1119" customHeight="1" spans="1:2">
      <c r="A1119" s="3" t="s">
        <v>3079</v>
      </c>
      <c r="B1119" s="4">
        <v>103338338</v>
      </c>
    </row>
    <row r="1120" customHeight="1" spans="1:2">
      <c r="A1120" s="3" t="s">
        <v>19116</v>
      </c>
      <c r="B1120" s="4">
        <v>7680</v>
      </c>
    </row>
    <row r="1121" customHeight="1" spans="1:2">
      <c r="A1121" s="3" t="s">
        <v>2487</v>
      </c>
      <c r="B1121" s="4">
        <v>26803366</v>
      </c>
    </row>
    <row r="1122" customHeight="1" spans="1:2">
      <c r="A1122" s="3" t="s">
        <v>16874</v>
      </c>
      <c r="B1122" s="4">
        <v>31899000</v>
      </c>
    </row>
    <row r="1123" customHeight="1" spans="1:2">
      <c r="A1123" s="3" t="s">
        <v>6611</v>
      </c>
      <c r="B1123" s="4">
        <v>32853640</v>
      </c>
    </row>
    <row r="1124" customHeight="1" spans="1:2">
      <c r="A1124" s="3" t="s">
        <v>22597</v>
      </c>
      <c r="B1124" s="4">
        <v>342936</v>
      </c>
    </row>
    <row r="1125" customHeight="1" spans="1:2">
      <c r="A1125" s="3" t="s">
        <v>5488</v>
      </c>
      <c r="B1125" s="4">
        <v>10706786</v>
      </c>
    </row>
    <row r="1126" customHeight="1" spans="1:2">
      <c r="A1126" s="3" t="s">
        <v>14526</v>
      </c>
      <c r="B1126" s="4"/>
    </row>
    <row r="1127" customHeight="1" spans="1:2">
      <c r="A1127" s="3" t="s">
        <v>16064</v>
      </c>
      <c r="B1127" s="4">
        <v>17843379</v>
      </c>
    </row>
    <row r="1128" customHeight="1" spans="1:2">
      <c r="A1128" s="3" t="s">
        <v>12852</v>
      </c>
      <c r="B1128" s="4">
        <v>35054909</v>
      </c>
    </row>
    <row r="1129" customHeight="1" spans="1:2">
      <c r="A1129" s="3" t="s">
        <v>3268</v>
      </c>
      <c r="B1129" s="4">
        <v>32616869</v>
      </c>
    </row>
    <row r="1130" customHeight="1" spans="1:2">
      <c r="A1130" s="3" t="s">
        <v>18142</v>
      </c>
      <c r="B1130" s="4">
        <v>238774</v>
      </c>
    </row>
    <row r="1131" customHeight="1" spans="1:2">
      <c r="A1131" s="3" t="s">
        <v>16315</v>
      </c>
      <c r="B1131" s="4">
        <v>106593296</v>
      </c>
    </row>
    <row r="1132" customHeight="1" spans="1:2">
      <c r="A1132" s="3" t="s">
        <v>15071</v>
      </c>
      <c r="B1132" s="4">
        <v>10561238</v>
      </c>
    </row>
    <row r="1133" customHeight="1" spans="1:2">
      <c r="A1133" s="3" t="s">
        <v>12491</v>
      </c>
      <c r="B1133" s="4">
        <v>15427192</v>
      </c>
    </row>
    <row r="1134" customHeight="1" spans="1:2">
      <c r="A1134" s="3" t="s">
        <v>10729</v>
      </c>
      <c r="B1134" s="4">
        <v>56398162</v>
      </c>
    </row>
    <row r="1135" customHeight="1" spans="1:2">
      <c r="A1135" s="3" t="s">
        <v>24013</v>
      </c>
      <c r="B1135" s="4"/>
    </row>
    <row r="1136" customHeight="1" spans="1:2">
      <c r="A1136" s="3" t="s">
        <v>13674</v>
      </c>
      <c r="B1136" s="4">
        <v>46729374</v>
      </c>
    </row>
    <row r="1137" customHeight="1" spans="1:2">
      <c r="A1137" s="3" t="s">
        <v>23728</v>
      </c>
      <c r="B1137" s="4"/>
    </row>
    <row r="1138" customHeight="1" spans="1:2">
      <c r="A1138" s="3" t="s">
        <v>10477</v>
      </c>
      <c r="B1138" s="4">
        <v>9694105</v>
      </c>
    </row>
    <row r="1139" customHeight="1" spans="1:2">
      <c r="A1139" s="3" t="s">
        <v>3685</v>
      </c>
      <c r="B1139" s="4">
        <v>100448498</v>
      </c>
    </row>
    <row r="1140" customHeight="1" spans="1:2">
      <c r="A1140" s="3" t="s">
        <v>17044</v>
      </c>
      <c r="B1140" s="4">
        <v>20400000</v>
      </c>
    </row>
    <row r="1141" customHeight="1" spans="1:2">
      <c r="A1141" s="3" t="s">
        <v>12532</v>
      </c>
      <c r="B1141" s="4">
        <v>4734235</v>
      </c>
    </row>
    <row r="1142" customHeight="1" spans="1:2">
      <c r="A1142" s="3" t="s">
        <v>17519</v>
      </c>
      <c r="B1142" s="4">
        <v>563699</v>
      </c>
    </row>
    <row r="1143" customHeight="1" spans="1:2">
      <c r="A1143" s="3" t="s">
        <v>14359</v>
      </c>
      <c r="B1143" s="4">
        <v>860002</v>
      </c>
    </row>
    <row r="1144" customHeight="1" spans="1:2">
      <c r="A1144" s="3" t="s">
        <v>12380</v>
      </c>
      <c r="B1144" s="4">
        <v>127175354</v>
      </c>
    </row>
    <row r="1145" customHeight="1" spans="1:2">
      <c r="A1145" s="3" t="s">
        <v>6337</v>
      </c>
      <c r="B1145" s="4">
        <v>86208010</v>
      </c>
    </row>
    <row r="1146" customHeight="1" spans="1:2">
      <c r="A1146" s="3" t="s">
        <v>8464</v>
      </c>
      <c r="B1146" s="4">
        <v>26096584</v>
      </c>
    </row>
    <row r="1147" customHeight="1" spans="1:2">
      <c r="A1147" s="3" t="s">
        <v>5880</v>
      </c>
      <c r="B1147" s="4">
        <v>27400000</v>
      </c>
    </row>
    <row r="1148" customHeight="1" spans="1:2">
      <c r="A1148" s="3" t="s">
        <v>13303</v>
      </c>
      <c r="B1148" s="4"/>
    </row>
    <row r="1149" customHeight="1" spans="1:2">
      <c r="A1149" s="3" t="s">
        <v>6798</v>
      </c>
      <c r="B1149" s="4">
        <v>9652000</v>
      </c>
    </row>
    <row r="1150" customHeight="1" spans="1:2">
      <c r="A1150" s="3" t="s">
        <v>4237</v>
      </c>
      <c r="B1150" s="4">
        <v>40559930</v>
      </c>
    </row>
    <row r="1151" customHeight="1" spans="1:2">
      <c r="A1151" s="3" t="s">
        <v>24009</v>
      </c>
      <c r="B1151" s="4"/>
    </row>
    <row r="1152" customHeight="1" spans="1:2">
      <c r="A1152" s="3" t="s">
        <v>11530</v>
      </c>
      <c r="B1152" s="4"/>
    </row>
    <row r="1153" customHeight="1" spans="1:2">
      <c r="A1153" s="3" t="s">
        <v>18071</v>
      </c>
      <c r="B1153" s="4"/>
    </row>
    <row r="1154" customHeight="1" spans="1:2">
      <c r="A1154" s="3" t="s">
        <v>11476</v>
      </c>
      <c r="B1154" s="4">
        <v>1183354</v>
      </c>
    </row>
    <row r="1155" customHeight="1" spans="1:2">
      <c r="A1155" s="3" t="s">
        <v>20747</v>
      </c>
      <c r="B1155" s="4"/>
    </row>
    <row r="1156" customHeight="1" spans="1:2">
      <c r="A1156" s="3" t="s">
        <v>19427</v>
      </c>
      <c r="B1156" s="4">
        <v>2223990</v>
      </c>
    </row>
    <row r="1157" customHeight="1" spans="1:2">
      <c r="A1157" s="3" t="s">
        <v>14733</v>
      </c>
      <c r="B1157" s="4">
        <v>434949459</v>
      </c>
    </row>
    <row r="1158" customHeight="1" spans="1:2">
      <c r="A1158" s="3" t="s">
        <v>2645</v>
      </c>
      <c r="B1158" s="4">
        <v>101111837</v>
      </c>
    </row>
    <row r="1159" customHeight="1" spans="1:2">
      <c r="A1159" s="3" t="s">
        <v>13765</v>
      </c>
      <c r="B1159" s="4">
        <v>38916903</v>
      </c>
    </row>
    <row r="1160" customHeight="1" spans="1:2">
      <c r="A1160" s="3" t="s">
        <v>5609</v>
      </c>
      <c r="B1160" s="4">
        <v>528972</v>
      </c>
    </row>
    <row r="1161" customHeight="1" spans="1:2">
      <c r="A1161" s="3" t="s">
        <v>19359</v>
      </c>
      <c r="B1161" s="4">
        <v>4170647</v>
      </c>
    </row>
    <row r="1162" customHeight="1" spans="1:2">
      <c r="A1162" s="3" t="s">
        <v>5406</v>
      </c>
      <c r="B1162" s="4">
        <v>17114882</v>
      </c>
    </row>
    <row r="1163" customHeight="1" spans="1:2">
      <c r="A1163" s="3" t="s">
        <v>16108</v>
      </c>
      <c r="B1163" s="4">
        <v>58401464</v>
      </c>
    </row>
    <row r="1164" customHeight="1" spans="1:2">
      <c r="A1164" s="3" t="s">
        <v>18380</v>
      </c>
      <c r="B1164" s="4">
        <v>188870</v>
      </c>
    </row>
    <row r="1165" customHeight="1" spans="1:2">
      <c r="A1165" s="3" t="s">
        <v>13540</v>
      </c>
      <c r="B1165" s="4">
        <v>2656324</v>
      </c>
    </row>
    <row r="1166" customHeight="1" spans="1:2">
      <c r="A1166" s="3" t="s">
        <v>4029</v>
      </c>
      <c r="B1166" s="4">
        <v>80574010</v>
      </c>
    </row>
    <row r="1167" customHeight="1" spans="1:2">
      <c r="A1167" s="3" t="s">
        <v>23758</v>
      </c>
      <c r="B1167" s="4"/>
    </row>
    <row r="1168" customHeight="1" spans="1:2">
      <c r="A1168" s="3" t="s">
        <v>20708</v>
      </c>
      <c r="B1168" s="4"/>
    </row>
    <row r="1169" customHeight="1" spans="1:2">
      <c r="A1169" s="3" t="s">
        <v>11970</v>
      </c>
      <c r="B1169" s="4">
        <v>5887457</v>
      </c>
    </row>
    <row r="1170" customHeight="1" spans="1:2">
      <c r="A1170" s="3" t="s">
        <v>9730</v>
      </c>
      <c r="B1170" s="4">
        <v>31571264</v>
      </c>
    </row>
    <row r="1171" customHeight="1" spans="1:2">
      <c r="A1171" s="3" t="s">
        <v>21184</v>
      </c>
      <c r="B1171" s="4">
        <v>1521</v>
      </c>
    </row>
    <row r="1172" customHeight="1" spans="1:2">
      <c r="A1172" s="3" t="s">
        <v>20456</v>
      </c>
      <c r="B1172" s="4">
        <v>5824</v>
      </c>
    </row>
    <row r="1173" customHeight="1" spans="1:2">
      <c r="A1173" s="3" t="s">
        <v>20049</v>
      </c>
      <c r="B1173" s="4"/>
    </row>
    <row r="1174" customHeight="1" spans="1:2">
      <c r="A1174" s="3" t="s">
        <v>4274</v>
      </c>
      <c r="B1174" s="4">
        <v>43290977</v>
      </c>
    </row>
    <row r="1175" customHeight="1" spans="1:2">
      <c r="A1175" s="3" t="s">
        <v>526</v>
      </c>
      <c r="B1175" s="4">
        <v>100189501</v>
      </c>
    </row>
    <row r="1176" customHeight="1" spans="1:2">
      <c r="A1176" s="3" t="s">
        <v>15355</v>
      </c>
      <c r="B1176" s="4">
        <v>131617</v>
      </c>
    </row>
    <row r="1177" customHeight="1" spans="1:2">
      <c r="A1177" s="3" t="s">
        <v>4390</v>
      </c>
      <c r="B1177" s="4">
        <v>22362500</v>
      </c>
    </row>
    <row r="1178" customHeight="1" spans="1:2">
      <c r="A1178" s="3" t="s">
        <v>10736</v>
      </c>
      <c r="B1178" s="4">
        <v>56362352</v>
      </c>
    </row>
    <row r="1179" customHeight="1" spans="1:2">
      <c r="A1179" s="3" t="s">
        <v>6341</v>
      </c>
      <c r="B1179" s="4">
        <v>81593527</v>
      </c>
    </row>
    <row r="1180" customHeight="1" spans="1:2">
      <c r="A1180" s="3" t="s">
        <v>8538</v>
      </c>
      <c r="B1180" s="4">
        <v>17266505</v>
      </c>
    </row>
    <row r="1181" customHeight="1" spans="1:2">
      <c r="A1181" s="3" t="s">
        <v>20674</v>
      </c>
      <c r="B1181" s="4">
        <v>5709616</v>
      </c>
    </row>
    <row r="1182" customHeight="1" spans="1:2">
      <c r="A1182" s="3" t="s">
        <v>24121</v>
      </c>
      <c r="B1182" s="4">
        <v>2040920</v>
      </c>
    </row>
    <row r="1183" customHeight="1" spans="1:2">
      <c r="A1183" s="3" t="s">
        <v>15868</v>
      </c>
      <c r="B1183" s="4">
        <v>14879556</v>
      </c>
    </row>
    <row r="1184" customHeight="1" spans="1:2">
      <c r="A1184" s="3" t="s">
        <v>3825</v>
      </c>
      <c r="B1184" s="4">
        <v>24407944</v>
      </c>
    </row>
    <row r="1185" customHeight="1" spans="1:2">
      <c r="A1185" s="3" t="s">
        <v>7890</v>
      </c>
      <c r="B1185" s="4">
        <v>173381405</v>
      </c>
    </row>
    <row r="1186" customHeight="1" spans="1:2">
      <c r="A1186" s="3" t="s">
        <v>16838</v>
      </c>
      <c r="B1186" s="4">
        <v>8060</v>
      </c>
    </row>
    <row r="1187" customHeight="1" spans="1:2">
      <c r="A1187" s="3" t="s">
        <v>9658</v>
      </c>
      <c r="B1187" s="4">
        <v>30012990</v>
      </c>
    </row>
    <row r="1188" customHeight="1" spans="1:2">
      <c r="A1188" s="3" t="s">
        <v>4775</v>
      </c>
      <c r="B1188" s="4">
        <v>16264475</v>
      </c>
    </row>
    <row r="1189" customHeight="1" spans="1:2">
      <c r="A1189" s="3" t="s">
        <v>4855</v>
      </c>
      <c r="B1189" s="4">
        <v>26838389</v>
      </c>
    </row>
    <row r="1190" customHeight="1" spans="1:2">
      <c r="A1190" s="3" t="s">
        <v>7543</v>
      </c>
      <c r="B1190" s="4">
        <v>22913677</v>
      </c>
    </row>
    <row r="1191" customHeight="1" spans="1:2">
      <c r="A1191" s="3" t="s">
        <v>20082</v>
      </c>
      <c r="B1191" s="4">
        <v>313436</v>
      </c>
    </row>
    <row r="1192" customHeight="1" spans="1:2">
      <c r="A1192" s="3" t="s">
        <v>19295</v>
      </c>
      <c r="B1192" s="4"/>
    </row>
    <row r="1193" customHeight="1" spans="1:2">
      <c r="A1193" s="3" t="s">
        <v>15378</v>
      </c>
      <c r="B1193" s="4"/>
    </row>
    <row r="1194" customHeight="1" spans="1:2">
      <c r="A1194" s="3" t="s">
        <v>1392</v>
      </c>
      <c r="B1194" s="4">
        <v>93050117</v>
      </c>
    </row>
    <row r="1195" customHeight="1" spans="1:2">
      <c r="A1195" s="3" t="s">
        <v>22107</v>
      </c>
      <c r="B1195" s="4"/>
    </row>
    <row r="1196" customHeight="1" spans="1:2">
      <c r="A1196" s="3" t="s">
        <v>17292</v>
      </c>
      <c r="B1196" s="4"/>
    </row>
    <row r="1197" customHeight="1" spans="1:2">
      <c r="A1197" s="3" t="s">
        <v>18886</v>
      </c>
      <c r="B1197" s="4"/>
    </row>
    <row r="1198" customHeight="1" spans="1:2">
      <c r="A1198" s="3" t="s">
        <v>14923</v>
      </c>
      <c r="B1198" s="4">
        <v>28435406</v>
      </c>
    </row>
    <row r="1199" customHeight="1" spans="1:2">
      <c r="A1199" s="3" t="s">
        <v>2345</v>
      </c>
      <c r="B1199" s="4">
        <v>127706877</v>
      </c>
    </row>
    <row r="1200" customHeight="1" spans="1:2">
      <c r="A1200" s="3" t="s">
        <v>1824</v>
      </c>
      <c r="B1200" s="4">
        <v>66862068</v>
      </c>
    </row>
    <row r="1201" customHeight="1" spans="1:2">
      <c r="A1201" s="3" t="s">
        <v>15060</v>
      </c>
      <c r="B1201" s="4">
        <v>11703287</v>
      </c>
    </row>
    <row r="1202" customHeight="1" spans="1:2">
      <c r="A1202" s="3" t="s">
        <v>12801</v>
      </c>
      <c r="B1202" s="4">
        <v>40983001</v>
      </c>
    </row>
    <row r="1203" customHeight="1" spans="1:2">
      <c r="A1203" s="3" t="s">
        <v>1615</v>
      </c>
      <c r="B1203" s="4">
        <v>61656849</v>
      </c>
    </row>
    <row r="1204" customHeight="1" spans="1:2">
      <c r="A1204" s="3" t="s">
        <v>11045</v>
      </c>
      <c r="B1204" s="4">
        <v>23393765</v>
      </c>
    </row>
    <row r="1205" customHeight="1" spans="1:2">
      <c r="A1205" s="3" t="s">
        <v>2401</v>
      </c>
      <c r="B1205" s="4">
        <v>51396781</v>
      </c>
    </row>
    <row r="1206" customHeight="1" spans="1:2">
      <c r="A1206" s="3" t="s">
        <v>2374</v>
      </c>
      <c r="B1206" s="4">
        <v>111544445</v>
      </c>
    </row>
    <row r="1207" customHeight="1" spans="1:2">
      <c r="A1207" s="3" t="s">
        <v>16104</v>
      </c>
      <c r="B1207" s="4">
        <v>17536788</v>
      </c>
    </row>
    <row r="1208" customHeight="1" spans="1:2">
      <c r="A1208" s="3" t="s">
        <v>7003</v>
      </c>
      <c r="B1208" s="4">
        <v>39177215</v>
      </c>
    </row>
    <row r="1209" customHeight="1" spans="1:2">
      <c r="A1209" s="3" t="s">
        <v>22715</v>
      </c>
      <c r="B1209" s="4"/>
    </row>
    <row r="1210" customHeight="1" spans="1:2">
      <c r="A1210" s="3" t="s">
        <v>19582</v>
      </c>
      <c r="B1210" s="4"/>
    </row>
    <row r="1211" customHeight="1" spans="1:2">
      <c r="A1211" s="3" t="s">
        <v>12586</v>
      </c>
      <c r="B1211" s="4">
        <v>336467</v>
      </c>
    </row>
    <row r="1212" customHeight="1" spans="1:2">
      <c r="A1212" s="3" t="s">
        <v>8428</v>
      </c>
      <c r="B1212" s="4"/>
    </row>
    <row r="1213" customHeight="1" spans="1:2">
      <c r="A1213" s="3" t="s">
        <v>3606</v>
      </c>
      <c r="B1213" s="4">
        <v>87704396</v>
      </c>
    </row>
    <row r="1214" customHeight="1" spans="1:2">
      <c r="A1214" s="3" t="s">
        <v>11175</v>
      </c>
      <c r="B1214" s="4">
        <v>12181484</v>
      </c>
    </row>
    <row r="1215" customHeight="1" spans="1:2">
      <c r="A1215" s="3" t="s">
        <v>10808</v>
      </c>
      <c r="B1215" s="4">
        <v>39737645</v>
      </c>
    </row>
    <row r="1216" customHeight="1" spans="1:2">
      <c r="A1216" s="3" t="s">
        <v>1811</v>
      </c>
      <c r="B1216" s="4">
        <v>107515297</v>
      </c>
    </row>
    <row r="1217" customHeight="1" spans="1:2">
      <c r="A1217" s="3" t="s">
        <v>11421</v>
      </c>
      <c r="B1217" s="4">
        <v>1190018</v>
      </c>
    </row>
    <row r="1218" customHeight="1" spans="1:2">
      <c r="A1218" s="3" t="s">
        <v>1798</v>
      </c>
      <c r="B1218" s="4">
        <v>75030163</v>
      </c>
    </row>
    <row r="1219" customHeight="1" spans="1:2">
      <c r="A1219" s="3" t="s">
        <v>1762</v>
      </c>
      <c r="B1219" s="4">
        <v>101228120</v>
      </c>
    </row>
    <row r="1220" customHeight="1" spans="1:2">
      <c r="A1220" s="3" t="s">
        <v>23695</v>
      </c>
      <c r="B1220" s="4"/>
    </row>
    <row r="1221" customHeight="1" spans="1:2">
      <c r="A1221" s="3" t="s">
        <v>5040</v>
      </c>
      <c r="B1221" s="4">
        <v>125548685</v>
      </c>
    </row>
    <row r="1222" customHeight="1" spans="1:2">
      <c r="A1222" s="3" t="s">
        <v>14021</v>
      </c>
      <c r="B1222" s="4">
        <v>71442</v>
      </c>
    </row>
    <row r="1223" customHeight="1" spans="1:2">
      <c r="A1223" s="3" t="s">
        <v>16005</v>
      </c>
      <c r="B1223" s="4">
        <v>36500000</v>
      </c>
    </row>
    <row r="1224" customHeight="1" spans="1:2">
      <c r="A1224" s="3" t="s">
        <v>5371</v>
      </c>
      <c r="B1224" s="4">
        <v>25407250</v>
      </c>
    </row>
    <row r="1225" customHeight="1" spans="1:2">
      <c r="A1225" s="3" t="s">
        <v>17051</v>
      </c>
      <c r="B1225" s="4">
        <v>25244700</v>
      </c>
    </row>
    <row r="1226" customHeight="1" spans="1:2">
      <c r="A1226" s="3" t="s">
        <v>6460</v>
      </c>
      <c r="B1226" s="4">
        <v>57011847</v>
      </c>
    </row>
    <row r="1227" customHeight="1" spans="1:2">
      <c r="A1227" s="3" t="s">
        <v>19818</v>
      </c>
      <c r="B1227" s="4"/>
    </row>
    <row r="1228" customHeight="1" spans="1:2">
      <c r="A1228" s="3" t="s">
        <v>22351</v>
      </c>
      <c r="B1228" s="4">
        <v>169719</v>
      </c>
    </row>
    <row r="1229" customHeight="1" spans="1:2">
      <c r="A1229" s="3" t="s">
        <v>3528</v>
      </c>
      <c r="B1229" s="4">
        <v>25121291</v>
      </c>
    </row>
    <row r="1230" customHeight="1" spans="1:2">
      <c r="A1230" s="3" t="s">
        <v>12318</v>
      </c>
      <c r="B1230" s="4">
        <v>106869</v>
      </c>
    </row>
    <row r="1231" customHeight="1" spans="1:2">
      <c r="A1231" s="3" t="s">
        <v>10944</v>
      </c>
      <c r="B1231" s="4">
        <v>34126138</v>
      </c>
    </row>
    <row r="1232" customHeight="1" spans="1:2">
      <c r="A1232" s="3" t="s">
        <v>15432</v>
      </c>
      <c r="B1232" s="4">
        <v>70527</v>
      </c>
    </row>
    <row r="1233" customHeight="1" spans="1:2">
      <c r="A1233" s="3" t="s">
        <v>20404</v>
      </c>
      <c r="B1233" s="4"/>
    </row>
    <row r="1234" customHeight="1" spans="1:2">
      <c r="A1234" s="3" t="s">
        <v>9771</v>
      </c>
      <c r="B1234" s="4">
        <v>17718223</v>
      </c>
    </row>
    <row r="1235" customHeight="1" spans="1:2">
      <c r="A1235" s="3" t="s">
        <v>519</v>
      </c>
      <c r="B1235" s="4">
        <v>100289690</v>
      </c>
    </row>
    <row r="1236" customHeight="1" spans="1:2">
      <c r="A1236" s="3" t="s">
        <v>4334</v>
      </c>
      <c r="B1236" s="4">
        <v>26616590</v>
      </c>
    </row>
    <row r="1237" customHeight="1" spans="1:2">
      <c r="A1237" s="3" t="s">
        <v>9244</v>
      </c>
      <c r="B1237" s="4">
        <v>65703412</v>
      </c>
    </row>
    <row r="1238" customHeight="1" spans="1:2">
      <c r="A1238" s="3" t="s">
        <v>3841</v>
      </c>
      <c r="B1238" s="4">
        <v>43247140</v>
      </c>
    </row>
    <row r="1239" customHeight="1" spans="1:2">
      <c r="A1239" s="3" t="s">
        <v>11261</v>
      </c>
      <c r="B1239" s="4">
        <v>8855646</v>
      </c>
    </row>
    <row r="1240" customHeight="1" spans="1:2">
      <c r="A1240" s="3" t="s">
        <v>11253</v>
      </c>
      <c r="B1240" s="4">
        <v>9714482</v>
      </c>
    </row>
    <row r="1241" customHeight="1" spans="1:2">
      <c r="A1241" s="3" t="s">
        <v>17897</v>
      </c>
      <c r="B1241" s="4">
        <v>2711210</v>
      </c>
    </row>
    <row r="1242" customHeight="1" spans="1:2">
      <c r="A1242" s="3" t="s">
        <v>22676</v>
      </c>
      <c r="B1242" s="4"/>
    </row>
    <row r="1243" customHeight="1" spans="1:2">
      <c r="A1243" s="3" t="s">
        <v>20146</v>
      </c>
      <c r="B1243" s="4"/>
    </row>
    <row r="1244" customHeight="1" spans="1:2">
      <c r="A1244" s="3" t="s">
        <v>17680</v>
      </c>
      <c r="B1244" s="4">
        <v>14821531</v>
      </c>
    </row>
    <row r="1245" customHeight="1" spans="1:2">
      <c r="A1245" s="3" t="s">
        <v>18952</v>
      </c>
      <c r="B1245" s="4">
        <v>5923044</v>
      </c>
    </row>
    <row r="1246" customHeight="1" spans="1:2">
      <c r="A1246" s="3" t="s">
        <v>12266</v>
      </c>
      <c r="B1246" s="4">
        <v>54239856</v>
      </c>
    </row>
    <row r="1247" customHeight="1" spans="1:2">
      <c r="A1247" s="3" t="s">
        <v>4710</v>
      </c>
      <c r="B1247" s="4">
        <v>49994804</v>
      </c>
    </row>
    <row r="1248" customHeight="1" spans="1:2">
      <c r="A1248" s="3" t="s">
        <v>2805</v>
      </c>
      <c r="B1248" s="4"/>
    </row>
    <row r="1249" customHeight="1" spans="1:2">
      <c r="A1249" s="3" t="s">
        <v>13750</v>
      </c>
      <c r="B1249" s="4">
        <v>25440971</v>
      </c>
    </row>
    <row r="1250" customHeight="1" spans="1:2">
      <c r="A1250" s="3" t="s">
        <v>23252</v>
      </c>
      <c r="B1250" s="4"/>
    </row>
    <row r="1251" customHeight="1" spans="1:2">
      <c r="A1251" s="3" t="s">
        <v>13866</v>
      </c>
      <c r="B1251" s="4">
        <v>1200000</v>
      </c>
    </row>
    <row r="1252" customHeight="1" spans="1:2">
      <c r="A1252" s="3" t="s">
        <v>4682</v>
      </c>
      <c r="B1252" s="4">
        <v>68750000</v>
      </c>
    </row>
    <row r="1253" customHeight="1" spans="1:2">
      <c r="A1253" s="3" t="s">
        <v>24024</v>
      </c>
      <c r="B1253" s="4"/>
    </row>
    <row r="1254" customHeight="1" spans="1:2">
      <c r="A1254" s="3" t="s">
        <v>18318</v>
      </c>
      <c r="B1254" s="4">
        <v>49413</v>
      </c>
    </row>
    <row r="1255" customHeight="1" spans="1:2">
      <c r="A1255" s="3" t="s">
        <v>10633</v>
      </c>
      <c r="B1255" s="4">
        <v>2840417</v>
      </c>
    </row>
    <row r="1256" customHeight="1" spans="1:2">
      <c r="A1256" s="3" t="s">
        <v>7818</v>
      </c>
      <c r="B1256" s="4">
        <v>51758599</v>
      </c>
    </row>
    <row r="1257" customHeight="1" spans="1:2">
      <c r="A1257" s="3" t="s">
        <v>1026</v>
      </c>
      <c r="B1257" s="4">
        <v>130014090</v>
      </c>
    </row>
    <row r="1258" customHeight="1" spans="1:2">
      <c r="A1258" s="3" t="s">
        <v>13442</v>
      </c>
      <c r="B1258" s="4"/>
    </row>
    <row r="1259" customHeight="1" spans="1:2">
      <c r="A1259" s="3" t="s">
        <v>3033</v>
      </c>
      <c r="B1259" s="4">
        <v>41814863</v>
      </c>
    </row>
    <row r="1260" customHeight="1" spans="1:2">
      <c r="A1260" s="3" t="s">
        <v>20922</v>
      </c>
      <c r="B1260" s="4">
        <v>5132222</v>
      </c>
    </row>
    <row r="1261" customHeight="1" spans="1:2">
      <c r="A1261" s="3" t="s">
        <v>16373</v>
      </c>
      <c r="B1261" s="4">
        <v>10814185</v>
      </c>
    </row>
    <row r="1262" customHeight="1" spans="1:2">
      <c r="A1262" s="3" t="s">
        <v>8110</v>
      </c>
      <c r="B1262" s="4">
        <v>11854694</v>
      </c>
    </row>
    <row r="1263" customHeight="1" spans="1:2">
      <c r="A1263" s="3" t="s">
        <v>7029</v>
      </c>
      <c r="B1263" s="4">
        <v>17305211</v>
      </c>
    </row>
    <row r="1264" customHeight="1" spans="1:2">
      <c r="A1264" s="3" t="s">
        <v>21380</v>
      </c>
      <c r="B1264" s="4"/>
    </row>
    <row r="1265" customHeight="1" spans="1:2">
      <c r="A1265" s="3" t="s">
        <v>6825</v>
      </c>
      <c r="B1265" s="4">
        <v>4835968</v>
      </c>
    </row>
    <row r="1266" customHeight="1" spans="1:2">
      <c r="A1266" s="3" t="s">
        <v>6625</v>
      </c>
      <c r="B1266" s="4">
        <v>31836745</v>
      </c>
    </row>
    <row r="1267" customHeight="1" spans="1:2">
      <c r="A1267" s="3" t="s">
        <v>10938</v>
      </c>
      <c r="B1267" s="4">
        <v>53146000</v>
      </c>
    </row>
    <row r="1268" customHeight="1" spans="1:2">
      <c r="A1268" s="3" t="s">
        <v>12971</v>
      </c>
      <c r="B1268" s="4">
        <v>16459004</v>
      </c>
    </row>
    <row r="1269" customHeight="1" spans="1:2">
      <c r="A1269" s="3" t="s">
        <v>19908</v>
      </c>
      <c r="B1269" s="4">
        <v>71904</v>
      </c>
    </row>
    <row r="1270" customHeight="1" spans="1:2">
      <c r="A1270" s="3" t="s">
        <v>4835</v>
      </c>
      <c r="B1270" s="4"/>
    </row>
    <row r="1271" customHeight="1" spans="1:2">
      <c r="A1271" s="3" t="s">
        <v>3730</v>
      </c>
      <c r="B1271" s="4">
        <v>55637680</v>
      </c>
    </row>
    <row r="1272" customHeight="1" spans="1:2">
      <c r="A1272" s="3" t="s">
        <v>14573</v>
      </c>
      <c r="B1272" s="4"/>
    </row>
    <row r="1273" customHeight="1" spans="1:2">
      <c r="A1273" s="3" t="s">
        <v>22919</v>
      </c>
      <c r="B1273" s="4">
        <v>25918</v>
      </c>
    </row>
    <row r="1274" customHeight="1" spans="1:2">
      <c r="A1274" s="3" t="s">
        <v>2610</v>
      </c>
      <c r="B1274" s="4">
        <v>112225777</v>
      </c>
    </row>
    <row r="1275" customHeight="1" spans="1:2">
      <c r="A1275" s="3" t="s">
        <v>23683</v>
      </c>
      <c r="B1275" s="4">
        <v>10174663</v>
      </c>
    </row>
    <row r="1276" customHeight="1" spans="1:2">
      <c r="A1276" s="3" t="s">
        <v>16652</v>
      </c>
      <c r="B1276" s="4">
        <v>1654367</v>
      </c>
    </row>
    <row r="1277" customHeight="1" spans="1:2">
      <c r="A1277" s="3" t="s">
        <v>16983</v>
      </c>
      <c r="B1277" s="4">
        <v>119078393</v>
      </c>
    </row>
    <row r="1278" customHeight="1" spans="1:2">
      <c r="A1278" s="3" t="s">
        <v>5100</v>
      </c>
      <c r="B1278" s="4">
        <v>88658172</v>
      </c>
    </row>
    <row r="1279" customHeight="1" spans="1:2">
      <c r="A1279" s="3" t="s">
        <v>5443</v>
      </c>
      <c r="B1279" s="4">
        <v>9528092</v>
      </c>
    </row>
    <row r="1280" customHeight="1" spans="1:2">
      <c r="A1280" s="3" t="s">
        <v>22487</v>
      </c>
      <c r="B1280" s="4"/>
    </row>
    <row r="1281" customHeight="1" spans="1:2">
      <c r="A1281" s="3" t="s">
        <v>21457</v>
      </c>
      <c r="B1281" s="4"/>
    </row>
    <row r="1282" customHeight="1" spans="1:2">
      <c r="A1282" s="3" t="s">
        <v>13852</v>
      </c>
      <c r="B1282" s="4">
        <v>2104000</v>
      </c>
    </row>
    <row r="1283" customHeight="1" spans="1:2">
      <c r="A1283" s="3" t="s">
        <v>18367</v>
      </c>
      <c r="B1283" s="4">
        <v>8691</v>
      </c>
    </row>
    <row r="1284" customHeight="1" spans="1:2">
      <c r="A1284" s="3" t="s">
        <v>11873</v>
      </c>
      <c r="B1284" s="4">
        <v>22452209</v>
      </c>
    </row>
    <row r="1285" customHeight="1" spans="1:2">
      <c r="A1285" s="3" t="s">
        <v>19256</v>
      </c>
      <c r="B1285" s="4"/>
    </row>
    <row r="1286" customHeight="1" spans="1:2">
      <c r="A1286" s="3" t="s">
        <v>2756</v>
      </c>
      <c r="B1286" s="4">
        <v>60507228</v>
      </c>
    </row>
    <row r="1287" customHeight="1" spans="1:2">
      <c r="A1287" s="3" t="s">
        <v>20006</v>
      </c>
      <c r="B1287" s="4">
        <v>76400000</v>
      </c>
    </row>
    <row r="1288" customHeight="1" spans="1:2">
      <c r="A1288" s="3" t="s">
        <v>1354</v>
      </c>
      <c r="B1288" s="4">
        <v>131920333</v>
      </c>
    </row>
    <row r="1289" customHeight="1" spans="1:2">
      <c r="A1289" s="3" t="s">
        <v>1505</v>
      </c>
      <c r="B1289" s="4">
        <v>112228442</v>
      </c>
    </row>
    <row r="1290" customHeight="1" spans="1:2">
      <c r="A1290" s="3" t="s">
        <v>6751</v>
      </c>
      <c r="B1290" s="4">
        <v>20999103</v>
      </c>
    </row>
    <row r="1291" customHeight="1" spans="1:2">
      <c r="A1291" s="3" t="s">
        <v>13594</v>
      </c>
      <c r="B1291" s="4">
        <v>15854988</v>
      </c>
    </row>
    <row r="1292" customHeight="1" spans="1:2">
      <c r="A1292" s="3" t="s">
        <v>16332</v>
      </c>
      <c r="B1292" s="4"/>
    </row>
    <row r="1293" customHeight="1" spans="1:2">
      <c r="A1293" s="3" t="s">
        <v>18042</v>
      </c>
      <c r="B1293" s="4"/>
    </row>
    <row r="1294" customHeight="1" spans="1:2">
      <c r="A1294" s="3" t="s">
        <v>16507</v>
      </c>
      <c r="B1294" s="4"/>
    </row>
    <row r="1295" customHeight="1" spans="1:2">
      <c r="A1295" s="3" t="s">
        <v>18011</v>
      </c>
      <c r="B1295" s="4">
        <v>16066</v>
      </c>
    </row>
    <row r="1296" customHeight="1" spans="1:2">
      <c r="A1296" s="3" t="s">
        <v>1292</v>
      </c>
      <c r="B1296" s="4">
        <v>209805005</v>
      </c>
    </row>
    <row r="1297" customHeight="1" spans="1:2">
      <c r="A1297" s="3" t="s">
        <v>18223</v>
      </c>
      <c r="B1297" s="4"/>
    </row>
    <row r="1298" customHeight="1" spans="1:2">
      <c r="A1298" s="3" t="s">
        <v>10189</v>
      </c>
      <c r="B1298" s="4">
        <v>23225911</v>
      </c>
    </row>
    <row r="1299" customHeight="1" spans="1:2">
      <c r="A1299" s="3" t="s">
        <v>5832</v>
      </c>
      <c r="B1299" s="4">
        <v>48114556</v>
      </c>
    </row>
    <row r="1300" customHeight="1" spans="1:2">
      <c r="A1300" s="3" t="s">
        <v>19796</v>
      </c>
      <c r="B1300" s="4"/>
    </row>
    <row r="1301" customHeight="1" spans="1:2">
      <c r="A1301" s="3" t="s">
        <v>13361</v>
      </c>
      <c r="B1301" s="4">
        <v>156645693</v>
      </c>
    </row>
    <row r="1302" customHeight="1" spans="1:2">
      <c r="A1302" s="3" t="s">
        <v>14392</v>
      </c>
      <c r="B1302" s="4">
        <v>195888</v>
      </c>
    </row>
    <row r="1303" customHeight="1" spans="1:2">
      <c r="A1303" s="3" t="s">
        <v>11709</v>
      </c>
      <c r="B1303" s="4">
        <v>10562387</v>
      </c>
    </row>
    <row r="1304" customHeight="1" spans="1:2">
      <c r="A1304" s="3" t="s">
        <v>21995</v>
      </c>
      <c r="B1304" s="4"/>
    </row>
    <row r="1305" customHeight="1" spans="1:2">
      <c r="A1305" s="3" t="s">
        <v>6792</v>
      </c>
      <c r="B1305" s="4">
        <v>13208023</v>
      </c>
    </row>
    <row r="1306" customHeight="1" spans="1:2">
      <c r="A1306" s="3" t="s">
        <v>19152</v>
      </c>
      <c r="B1306" s="4"/>
    </row>
    <row r="1307" customHeight="1" spans="1:2">
      <c r="A1307" s="3" t="s">
        <v>13207</v>
      </c>
      <c r="B1307" s="4">
        <v>819852</v>
      </c>
    </row>
    <row r="1308" customHeight="1" spans="1:2">
      <c r="A1308" s="3" t="s">
        <v>7714</v>
      </c>
      <c r="B1308" s="4">
        <v>6592103</v>
      </c>
    </row>
    <row r="1309" customHeight="1" spans="1:2">
      <c r="A1309" s="3" t="s">
        <v>21062</v>
      </c>
      <c r="B1309" s="4"/>
    </row>
    <row r="1310" customHeight="1" spans="1:2">
      <c r="A1310" s="3" t="s">
        <v>6600</v>
      </c>
      <c r="B1310" s="4">
        <v>42071069</v>
      </c>
    </row>
    <row r="1311" customHeight="1" spans="1:2">
      <c r="A1311" s="3" t="s">
        <v>15605</v>
      </c>
      <c r="B1311" s="4">
        <v>50000000</v>
      </c>
    </row>
    <row r="1312" customHeight="1" spans="1:2">
      <c r="A1312" s="3" t="s">
        <v>16223</v>
      </c>
      <c r="B1312" s="4">
        <v>298110</v>
      </c>
    </row>
    <row r="1313" customHeight="1" spans="1:2">
      <c r="A1313" s="3" t="s">
        <v>15449</v>
      </c>
      <c r="B1313" s="4"/>
    </row>
    <row r="1314" customHeight="1" spans="1:2">
      <c r="A1314" s="3" t="s">
        <v>17783</v>
      </c>
      <c r="B1314" s="4">
        <v>11675178</v>
      </c>
    </row>
    <row r="1315" customHeight="1" spans="1:2">
      <c r="A1315" s="3" t="s">
        <v>6264</v>
      </c>
      <c r="B1315" s="4">
        <v>166147885</v>
      </c>
    </row>
    <row r="1316" customHeight="1" spans="1:2">
      <c r="A1316" s="3" t="s">
        <v>3791</v>
      </c>
      <c r="B1316" s="4">
        <v>37023395</v>
      </c>
    </row>
    <row r="1317" customHeight="1" spans="1:2">
      <c r="A1317" s="3" t="s">
        <v>22727</v>
      </c>
      <c r="B1317" s="4"/>
    </row>
    <row r="1318" customHeight="1" spans="1:2">
      <c r="A1318" s="3" t="s">
        <v>11599</v>
      </c>
      <c r="B1318" s="4"/>
    </row>
    <row r="1319" customHeight="1" spans="1:2">
      <c r="A1319" s="3" t="s">
        <v>23086</v>
      </c>
      <c r="B1319" s="4">
        <v>5199</v>
      </c>
    </row>
    <row r="1320" customHeight="1" spans="1:2">
      <c r="A1320" s="3" t="s">
        <v>21249</v>
      </c>
      <c r="B1320" s="4">
        <v>2833383</v>
      </c>
    </row>
    <row r="1321" customHeight="1" spans="1:2">
      <c r="A1321" s="3" t="s">
        <v>9273</v>
      </c>
      <c r="B1321" s="4">
        <v>46455802</v>
      </c>
    </row>
    <row r="1322" customHeight="1" spans="1:2">
      <c r="A1322" s="3" t="s">
        <v>9501</v>
      </c>
      <c r="B1322" s="4">
        <v>54098051</v>
      </c>
    </row>
    <row r="1323" customHeight="1" spans="1:2">
      <c r="A1323" s="3" t="s">
        <v>6586</v>
      </c>
      <c r="B1323" s="4">
        <v>42575718</v>
      </c>
    </row>
    <row r="1324" customHeight="1" spans="1:2">
      <c r="A1324" s="3" t="s">
        <v>10217</v>
      </c>
      <c r="B1324" s="4">
        <v>53302314</v>
      </c>
    </row>
    <row r="1325" customHeight="1" spans="1:2">
      <c r="A1325" s="3" t="s">
        <v>1086</v>
      </c>
      <c r="B1325" s="4">
        <v>32131830</v>
      </c>
    </row>
    <row r="1326" customHeight="1" spans="1:2">
      <c r="A1326" s="3" t="s">
        <v>13855</v>
      </c>
      <c r="B1326" s="4">
        <v>1172769</v>
      </c>
    </row>
    <row r="1327" customHeight="1" spans="1:2">
      <c r="A1327" s="3" t="s">
        <v>6055</v>
      </c>
      <c r="B1327" s="4">
        <v>51768623</v>
      </c>
    </row>
    <row r="1328" customHeight="1" spans="1:2">
      <c r="A1328" s="3" t="s">
        <v>2008</v>
      </c>
      <c r="B1328" s="4">
        <v>380838870</v>
      </c>
    </row>
    <row r="1329" customHeight="1" spans="1:2">
      <c r="A1329" s="3" t="s">
        <v>9514</v>
      </c>
      <c r="B1329" s="4">
        <v>51676606</v>
      </c>
    </row>
    <row r="1330" customHeight="1" spans="1:2">
      <c r="A1330" s="3" t="s">
        <v>22627</v>
      </c>
      <c r="B1330" s="4">
        <v>52850</v>
      </c>
    </row>
    <row r="1331" customHeight="1" spans="1:2">
      <c r="A1331" s="3" t="s">
        <v>11105</v>
      </c>
      <c r="B1331" s="4"/>
    </row>
    <row r="1332" customHeight="1" spans="1:2">
      <c r="A1332" s="3" t="s">
        <v>10556</v>
      </c>
      <c r="B1332" s="4">
        <v>46700000</v>
      </c>
    </row>
    <row r="1333" customHeight="1" spans="1:2">
      <c r="A1333" s="3" t="s">
        <v>22479</v>
      </c>
      <c r="B1333" s="4">
        <v>33451479</v>
      </c>
    </row>
    <row r="1334" customHeight="1" spans="1:2">
      <c r="A1334" s="3" t="s">
        <v>12979</v>
      </c>
      <c r="B1334" s="4">
        <v>15100000</v>
      </c>
    </row>
    <row r="1335" customHeight="1" spans="1:2">
      <c r="A1335" s="3" t="s">
        <v>11637</v>
      </c>
      <c r="B1335" s="4"/>
    </row>
    <row r="1336" customHeight="1" spans="1:2">
      <c r="A1336" s="3" t="s">
        <v>5207</v>
      </c>
      <c r="B1336" s="4">
        <v>48745150</v>
      </c>
    </row>
    <row r="1337" customHeight="1" spans="1:2">
      <c r="A1337" s="3" t="s">
        <v>5632</v>
      </c>
      <c r="B1337" s="4"/>
    </row>
    <row r="1338" customHeight="1" spans="1:2">
      <c r="A1338" s="3" t="s">
        <v>3134</v>
      </c>
      <c r="B1338" s="4">
        <v>37600435</v>
      </c>
    </row>
    <row r="1339" customHeight="1" spans="1:2">
      <c r="A1339" s="3" t="s">
        <v>23080</v>
      </c>
      <c r="B1339" s="4">
        <v>40542</v>
      </c>
    </row>
    <row r="1340" customHeight="1" spans="1:2">
      <c r="A1340" s="3" t="s">
        <v>19467</v>
      </c>
      <c r="B1340" s="4">
        <v>373060</v>
      </c>
    </row>
    <row r="1341" customHeight="1" spans="1:2">
      <c r="A1341" s="3" t="s">
        <v>21706</v>
      </c>
      <c r="B1341" s="4">
        <v>610991</v>
      </c>
    </row>
    <row r="1342" customHeight="1" spans="1:2">
      <c r="A1342" s="3" t="s">
        <v>4898</v>
      </c>
      <c r="B1342" s="4">
        <v>33574332</v>
      </c>
    </row>
    <row r="1343" customHeight="1" spans="1:2">
      <c r="A1343" s="3" t="s">
        <v>15775</v>
      </c>
      <c r="B1343" s="4">
        <v>145109</v>
      </c>
    </row>
    <row r="1344" customHeight="1" spans="1:2">
      <c r="A1344" s="3" t="s">
        <v>7507</v>
      </c>
      <c r="B1344" s="4"/>
    </row>
    <row r="1345" customHeight="1" spans="1:2">
      <c r="A1345" s="3" t="s">
        <v>11373</v>
      </c>
      <c r="B1345" s="4">
        <v>4234040</v>
      </c>
    </row>
    <row r="1346" customHeight="1" spans="1:2">
      <c r="A1346" s="3" t="s">
        <v>16460</v>
      </c>
      <c r="B1346" s="4">
        <v>94900000</v>
      </c>
    </row>
    <row r="1347" customHeight="1" spans="1:2">
      <c r="A1347" s="3" t="s">
        <v>9250</v>
      </c>
      <c r="B1347" s="4">
        <v>61490000</v>
      </c>
    </row>
    <row r="1348" customHeight="1" spans="1:2">
      <c r="A1348" s="3" t="s">
        <v>9195</v>
      </c>
      <c r="B1348" s="4">
        <v>4485485</v>
      </c>
    </row>
    <row r="1349" customHeight="1" spans="1:2">
      <c r="A1349" s="3" t="s">
        <v>8532</v>
      </c>
      <c r="B1349" s="4">
        <v>17100000</v>
      </c>
    </row>
    <row r="1350" customHeight="1" spans="1:2">
      <c r="A1350" s="3" t="s">
        <v>12926</v>
      </c>
      <c r="B1350" s="4">
        <v>20998709</v>
      </c>
    </row>
    <row r="1351" customHeight="1" spans="1:2">
      <c r="A1351" s="3" t="s">
        <v>7630</v>
      </c>
      <c r="B1351" s="4">
        <v>14587732</v>
      </c>
    </row>
    <row r="1352" customHeight="1" spans="1:2">
      <c r="A1352" s="3" t="s">
        <v>3184</v>
      </c>
      <c r="B1352" s="4">
        <v>21009180</v>
      </c>
    </row>
    <row r="1353" customHeight="1" spans="1:2">
      <c r="A1353" s="3" t="s">
        <v>8050</v>
      </c>
      <c r="B1353" s="4">
        <v>93749203</v>
      </c>
    </row>
    <row r="1354" customHeight="1" spans="1:2">
      <c r="A1354" s="3" t="s">
        <v>4637</v>
      </c>
      <c r="B1354" s="4">
        <v>89706988</v>
      </c>
    </row>
    <row r="1355" customHeight="1" spans="1:2">
      <c r="A1355" s="3" t="s">
        <v>13584</v>
      </c>
      <c r="B1355" s="4">
        <v>1752214</v>
      </c>
    </row>
    <row r="1356" customHeight="1" spans="1:2">
      <c r="A1356" s="3" t="s">
        <v>9357</v>
      </c>
      <c r="B1356" s="4">
        <v>20047715</v>
      </c>
    </row>
    <row r="1357" customHeight="1" spans="1:2">
      <c r="A1357" s="3" t="s">
        <v>16540</v>
      </c>
      <c r="B1357" s="4">
        <v>14891000</v>
      </c>
    </row>
    <row r="1358" customHeight="1" spans="1:2">
      <c r="A1358" s="3" t="s">
        <v>8851</v>
      </c>
      <c r="B1358" s="4"/>
    </row>
    <row r="1359" customHeight="1" spans="1:2">
      <c r="A1359" s="3" t="s">
        <v>2661</v>
      </c>
      <c r="B1359" s="4">
        <v>92969824</v>
      </c>
    </row>
    <row r="1360" customHeight="1" spans="1:2">
      <c r="A1360" s="3" t="s">
        <v>938</v>
      </c>
      <c r="B1360" s="4">
        <v>64459316</v>
      </c>
    </row>
    <row r="1361" customHeight="1" spans="1:2">
      <c r="A1361" s="3" t="s">
        <v>4349</v>
      </c>
      <c r="B1361" s="4">
        <v>13082288</v>
      </c>
    </row>
    <row r="1362" customHeight="1" spans="1:2">
      <c r="A1362" s="3" t="s">
        <v>18048</v>
      </c>
      <c r="B1362" s="4"/>
    </row>
    <row r="1363" customHeight="1" spans="1:2">
      <c r="A1363" s="3" t="s">
        <v>24018</v>
      </c>
      <c r="B1363" s="4"/>
    </row>
    <row r="1364" customHeight="1" spans="1:2">
      <c r="A1364" s="3" t="s">
        <v>3742</v>
      </c>
      <c r="B1364" s="4">
        <v>53846915</v>
      </c>
    </row>
    <row r="1365" customHeight="1" spans="1:2">
      <c r="A1365" s="3" t="s">
        <v>22039</v>
      </c>
      <c r="B1365" s="4"/>
    </row>
    <row r="1366" customHeight="1" spans="1:2">
      <c r="A1366" s="3" t="s">
        <v>21629</v>
      </c>
      <c r="B1366" s="4">
        <v>4417124</v>
      </c>
    </row>
    <row r="1367" customHeight="1" spans="1:2">
      <c r="A1367" s="3" t="s">
        <v>6000</v>
      </c>
      <c r="B1367" s="4"/>
    </row>
    <row r="1368" customHeight="1" spans="1:2">
      <c r="A1368" s="3" t="s">
        <v>20829</v>
      </c>
      <c r="B1368" s="4">
        <v>6026908</v>
      </c>
    </row>
    <row r="1369" customHeight="1" spans="1:2">
      <c r="A1369" s="3" t="s">
        <v>3216</v>
      </c>
      <c r="B1369" s="4">
        <v>70224196</v>
      </c>
    </row>
    <row r="1370" customHeight="1" spans="1:2">
      <c r="A1370" s="3" t="s">
        <v>10101</v>
      </c>
      <c r="B1370" s="4">
        <v>160000000</v>
      </c>
    </row>
    <row r="1371" customHeight="1" spans="1:2">
      <c r="A1371" s="3" t="s">
        <v>22115</v>
      </c>
      <c r="B1371" s="4">
        <v>1243961</v>
      </c>
    </row>
    <row r="1372" customHeight="1" spans="1:2">
      <c r="A1372" s="3" t="s">
        <v>10582</v>
      </c>
      <c r="B1372" s="4">
        <v>37721949</v>
      </c>
    </row>
    <row r="1373" customHeight="1" spans="1:2">
      <c r="A1373" s="3" t="s">
        <v>14770</v>
      </c>
      <c r="B1373" s="4">
        <v>5669081</v>
      </c>
    </row>
    <row r="1374" customHeight="1" spans="1:2">
      <c r="A1374" s="3" t="s">
        <v>5306</v>
      </c>
      <c r="B1374" s="4">
        <v>35168395</v>
      </c>
    </row>
    <row r="1375" customHeight="1" spans="1:2">
      <c r="A1375" s="3" t="s">
        <v>14277</v>
      </c>
      <c r="B1375" s="4">
        <v>5542025</v>
      </c>
    </row>
    <row r="1376" customHeight="1" spans="1:2">
      <c r="A1376" s="3" t="s">
        <v>8904</v>
      </c>
      <c r="B1376" s="4">
        <v>62300000</v>
      </c>
    </row>
    <row r="1377" customHeight="1" spans="1:2">
      <c r="A1377" s="3" t="s">
        <v>17824</v>
      </c>
      <c r="B1377" s="4"/>
    </row>
    <row r="1378" customHeight="1" spans="1:2">
      <c r="A1378" s="3" t="s">
        <v>21223</v>
      </c>
      <c r="B1378" s="4"/>
    </row>
    <row r="1379" customHeight="1" spans="1:2">
      <c r="A1379" s="3" t="s">
        <v>8224</v>
      </c>
      <c r="B1379" s="4">
        <v>62877175</v>
      </c>
    </row>
    <row r="1380" customHeight="1" spans="1:2">
      <c r="A1380" s="3" t="s">
        <v>9191</v>
      </c>
      <c r="B1380" s="4">
        <v>5204007</v>
      </c>
    </row>
    <row r="1381" customHeight="1" spans="1:2">
      <c r="A1381" s="3" t="s">
        <v>4564</v>
      </c>
      <c r="B1381" s="4">
        <v>329691196</v>
      </c>
    </row>
    <row r="1382" customHeight="1" spans="1:2">
      <c r="A1382" s="3" t="s">
        <v>10296</v>
      </c>
      <c r="B1382" s="4"/>
    </row>
    <row r="1383" customHeight="1" spans="1:2">
      <c r="A1383" s="3" t="s">
        <v>19509</v>
      </c>
      <c r="B1383" s="4">
        <v>73678</v>
      </c>
    </row>
    <row r="1384" customHeight="1" spans="1:2">
      <c r="A1384" s="3" t="s">
        <v>14274</v>
      </c>
      <c r="B1384" s="4">
        <v>6739141</v>
      </c>
    </row>
    <row r="1385" customHeight="1" spans="1:2">
      <c r="A1385" s="3" t="s">
        <v>21018</v>
      </c>
      <c r="B1385" s="4"/>
    </row>
    <row r="1386" customHeight="1" spans="1:2">
      <c r="A1386" s="3" t="s">
        <v>8233</v>
      </c>
      <c r="B1386" s="4">
        <v>74484168</v>
      </c>
    </row>
    <row r="1387" customHeight="1" spans="1:2">
      <c r="A1387" s="3" t="s">
        <v>2602</v>
      </c>
      <c r="B1387" s="4">
        <v>120136047</v>
      </c>
    </row>
    <row r="1388" customHeight="1" spans="1:2">
      <c r="A1388" s="3" t="s">
        <v>18822</v>
      </c>
      <c r="B1388" s="4">
        <v>304137</v>
      </c>
    </row>
    <row r="1389" customHeight="1" spans="1:2">
      <c r="A1389" s="3" t="s">
        <v>18566</v>
      </c>
      <c r="B1389" s="4">
        <v>4301331</v>
      </c>
    </row>
    <row r="1390" customHeight="1" spans="1:2">
      <c r="A1390" s="3" t="s">
        <v>19577</v>
      </c>
      <c r="B1390" s="4"/>
    </row>
    <row r="1391" customHeight="1" spans="1:2">
      <c r="A1391" s="3" t="s">
        <v>18220</v>
      </c>
      <c r="B1391" s="4">
        <v>52700832</v>
      </c>
    </row>
    <row r="1392" customHeight="1" spans="1:2">
      <c r="A1392" s="3" t="s">
        <v>14609</v>
      </c>
      <c r="B1392" s="4">
        <v>13103828</v>
      </c>
    </row>
    <row r="1393" customHeight="1" spans="1:2">
      <c r="A1393" s="3" t="s">
        <v>19413</v>
      </c>
      <c r="B1393" s="4">
        <v>4063238</v>
      </c>
    </row>
    <row r="1394" customHeight="1" spans="1:2">
      <c r="A1394" s="3" t="s">
        <v>6932</v>
      </c>
      <c r="B1394" s="4">
        <v>35287788</v>
      </c>
    </row>
    <row r="1395" customHeight="1" spans="1:2">
      <c r="A1395" s="3" t="s">
        <v>21917</v>
      </c>
      <c r="B1395" s="4"/>
    </row>
    <row r="1396" customHeight="1" spans="1:2">
      <c r="A1396" s="3" t="s">
        <v>19641</v>
      </c>
      <c r="B1396" s="4">
        <v>100675</v>
      </c>
    </row>
    <row r="1397" customHeight="1" spans="1:2">
      <c r="A1397" s="3" t="s">
        <v>17319</v>
      </c>
      <c r="B1397" s="4"/>
    </row>
    <row r="1398" customHeight="1" spans="1:2">
      <c r="A1398" s="3" t="s">
        <v>9220</v>
      </c>
      <c r="B1398" s="4">
        <v>110222438</v>
      </c>
    </row>
    <row r="1399" customHeight="1" spans="1:2">
      <c r="A1399" s="3" t="s">
        <v>12991</v>
      </c>
      <c r="B1399" s="4">
        <v>14249005</v>
      </c>
    </row>
    <row r="1400" customHeight="1" spans="1:2">
      <c r="A1400" s="3" t="s">
        <v>9428</v>
      </c>
      <c r="B1400" s="4">
        <v>82163317</v>
      </c>
    </row>
    <row r="1401" customHeight="1" spans="1:2">
      <c r="A1401" s="3" t="s">
        <v>17579</v>
      </c>
      <c r="B1401" s="4">
        <v>34872293</v>
      </c>
    </row>
    <row r="1402" customHeight="1" spans="1:2">
      <c r="A1402" s="3" t="s">
        <v>4696</v>
      </c>
      <c r="B1402" s="4">
        <v>55747724</v>
      </c>
    </row>
    <row r="1403" customHeight="1" spans="1:2">
      <c r="A1403" s="3" t="s">
        <v>5391</v>
      </c>
      <c r="B1403" s="4">
        <v>20389967</v>
      </c>
    </row>
    <row r="1404" customHeight="1" spans="1:2">
      <c r="A1404" s="3" t="s">
        <v>15399</v>
      </c>
      <c r="B1404" s="4">
        <v>140987</v>
      </c>
    </row>
    <row r="1405" customHeight="1" spans="1:2">
      <c r="A1405" s="3" t="s">
        <v>10579</v>
      </c>
      <c r="B1405" s="4">
        <v>36581633</v>
      </c>
    </row>
    <row r="1406" customHeight="1" spans="1:2">
      <c r="A1406" s="3" t="s">
        <v>13342</v>
      </c>
      <c r="B1406" s="4"/>
    </row>
    <row r="1407" customHeight="1" spans="1:2">
      <c r="A1407" s="3" t="s">
        <v>16719</v>
      </c>
      <c r="B1407" s="4">
        <v>532988</v>
      </c>
    </row>
    <row r="1408" customHeight="1" spans="1:2">
      <c r="A1408" s="3" t="s">
        <v>19456</v>
      </c>
      <c r="B1408" s="4"/>
    </row>
    <row r="1409" customHeight="1" spans="1:2">
      <c r="A1409" s="3" t="s">
        <v>20476</v>
      </c>
      <c r="B1409" s="4"/>
    </row>
    <row r="1410" customHeight="1" spans="1:2">
      <c r="A1410" s="3" t="s">
        <v>18914</v>
      </c>
      <c r="B1410" s="4"/>
    </row>
    <row r="1411" customHeight="1" spans="1:2">
      <c r="A1411" s="3" t="s">
        <v>8073</v>
      </c>
      <c r="B1411" s="4">
        <v>44983704</v>
      </c>
    </row>
    <row r="1412" customHeight="1" spans="1:2">
      <c r="A1412" s="3" t="s">
        <v>14130</v>
      </c>
      <c r="B1412" s="4">
        <v>25776062</v>
      </c>
    </row>
    <row r="1413" customHeight="1" spans="1:2">
      <c r="A1413" s="3" t="s">
        <v>14878</v>
      </c>
      <c r="B1413" s="4">
        <v>32983713</v>
      </c>
    </row>
    <row r="1414" customHeight="1" spans="1:2">
      <c r="A1414" s="3" t="s">
        <v>8228</v>
      </c>
      <c r="B1414" s="4"/>
    </row>
    <row r="1415" customHeight="1" spans="1:2">
      <c r="A1415" s="3" t="s">
        <v>21233</v>
      </c>
      <c r="B1415" s="4">
        <v>19100000</v>
      </c>
    </row>
    <row r="1416" customHeight="1" spans="1:2">
      <c r="A1416" s="3" t="s">
        <v>20018</v>
      </c>
      <c r="B1416" s="4">
        <v>36200000</v>
      </c>
    </row>
    <row r="1417" customHeight="1" spans="1:2">
      <c r="A1417" s="3" t="s">
        <v>19676</v>
      </c>
      <c r="B1417" s="4">
        <v>19170001</v>
      </c>
    </row>
    <row r="1418" customHeight="1" spans="1:2">
      <c r="A1418" s="3" t="s">
        <v>17702</v>
      </c>
      <c r="B1418" s="4">
        <v>14343976</v>
      </c>
    </row>
    <row r="1419" customHeight="1" spans="1:2">
      <c r="A1419" s="3" t="s">
        <v>20025</v>
      </c>
      <c r="B1419" s="4">
        <v>21300000</v>
      </c>
    </row>
    <row r="1420" customHeight="1" spans="1:2">
      <c r="A1420" s="3" t="s">
        <v>19747</v>
      </c>
      <c r="B1420" s="4">
        <v>32600000</v>
      </c>
    </row>
    <row r="1421" customHeight="1" spans="1:2">
      <c r="A1421" s="3" t="s">
        <v>18879</v>
      </c>
      <c r="B1421" s="4">
        <v>27900000</v>
      </c>
    </row>
    <row r="1422" customHeight="1" spans="1:2">
      <c r="A1422" s="3" t="s">
        <v>7357</v>
      </c>
      <c r="B1422" s="4">
        <v>55802754</v>
      </c>
    </row>
    <row r="1423" customHeight="1" spans="1:2">
      <c r="A1423" s="3" t="s">
        <v>16886</v>
      </c>
      <c r="B1423" s="4">
        <v>13367101</v>
      </c>
    </row>
    <row r="1424" customHeight="1" spans="1:2">
      <c r="A1424" s="3" t="s">
        <v>8590</v>
      </c>
      <c r="B1424" s="4">
        <v>18298649</v>
      </c>
    </row>
    <row r="1425" customHeight="1" spans="1:2">
      <c r="A1425" s="3" t="s">
        <v>21438</v>
      </c>
      <c r="B1425" s="4">
        <v>1400000</v>
      </c>
    </row>
    <row r="1426" customHeight="1" spans="1:2">
      <c r="A1426" s="3" t="s">
        <v>11083</v>
      </c>
      <c r="B1426" s="4">
        <v>25753840</v>
      </c>
    </row>
    <row r="1427" customHeight="1" spans="1:2">
      <c r="A1427" s="3" t="s">
        <v>5803</v>
      </c>
      <c r="B1427" s="4">
        <v>63196616</v>
      </c>
    </row>
    <row r="1428" customHeight="1" spans="1:2">
      <c r="A1428" s="3" t="s">
        <v>20814</v>
      </c>
      <c r="B1428" s="4"/>
    </row>
    <row r="1429" customHeight="1" spans="1:2">
      <c r="A1429" s="3" t="s">
        <v>14290</v>
      </c>
      <c r="B1429" s="4">
        <v>4922166</v>
      </c>
    </row>
    <row r="1430" customHeight="1" spans="1:2">
      <c r="A1430" s="3" t="s">
        <v>4970</v>
      </c>
      <c r="B1430" s="4">
        <v>23324666</v>
      </c>
    </row>
    <row r="1431" customHeight="1" spans="1:2">
      <c r="A1431" s="3" t="s">
        <v>20118</v>
      </c>
      <c r="B1431" s="4">
        <v>24800000</v>
      </c>
    </row>
    <row r="1432" customHeight="1" spans="1:2">
      <c r="A1432" s="3" t="s">
        <v>8792</v>
      </c>
      <c r="B1432" s="4">
        <v>18593156</v>
      </c>
    </row>
    <row r="1433" customHeight="1" spans="1:2">
      <c r="A1433" s="3" t="s">
        <v>21659</v>
      </c>
      <c r="B1433" s="4">
        <v>2508841</v>
      </c>
    </row>
    <row r="1434" customHeight="1" spans="1:2">
      <c r="A1434" s="3" t="s">
        <v>833</v>
      </c>
      <c r="B1434" s="4">
        <v>400736600</v>
      </c>
    </row>
    <row r="1435" customHeight="1" spans="1:2">
      <c r="A1435" s="3" t="s">
        <v>22080</v>
      </c>
      <c r="B1435" s="4">
        <v>16097842</v>
      </c>
    </row>
    <row r="1436" customHeight="1" spans="1:2">
      <c r="A1436" s="3" t="s">
        <v>19901</v>
      </c>
      <c r="B1436" s="4">
        <v>173783</v>
      </c>
    </row>
    <row r="1437" customHeight="1" spans="1:2">
      <c r="A1437" s="3" t="s">
        <v>18338</v>
      </c>
      <c r="B1437" s="4"/>
    </row>
    <row r="1438" customHeight="1" spans="1:2">
      <c r="A1438" s="3" t="s">
        <v>20277</v>
      </c>
      <c r="B1438" s="4">
        <v>2506446</v>
      </c>
    </row>
    <row r="1439" customHeight="1" spans="1:2">
      <c r="A1439" s="3" t="s">
        <v>13501</v>
      </c>
      <c r="B1439" s="4">
        <v>9402410</v>
      </c>
    </row>
    <row r="1440" customHeight="1" spans="1:2">
      <c r="A1440" s="3" t="s">
        <v>1013</v>
      </c>
      <c r="B1440" s="4">
        <v>110332737</v>
      </c>
    </row>
    <row r="1441" customHeight="1" spans="1:2">
      <c r="A1441" s="3" t="s">
        <v>13196</v>
      </c>
      <c r="B1441" s="4">
        <v>1294640</v>
      </c>
    </row>
    <row r="1442" customHeight="1" spans="1:2">
      <c r="A1442" s="3" t="s">
        <v>23983</v>
      </c>
      <c r="B1442" s="4"/>
    </row>
    <row r="1443" customHeight="1" spans="1:2">
      <c r="A1443" s="3" t="s">
        <v>3221</v>
      </c>
      <c r="B1443" s="4">
        <v>51814190</v>
      </c>
    </row>
    <row r="1444" customHeight="1" spans="1:2">
      <c r="A1444" s="3" t="s">
        <v>12351</v>
      </c>
      <c r="B1444" s="4">
        <v>220914</v>
      </c>
    </row>
    <row r="1445" customHeight="1" spans="1:2">
      <c r="A1445" s="3" t="s">
        <v>338</v>
      </c>
      <c r="B1445" s="4">
        <v>350034110</v>
      </c>
    </row>
    <row r="1446" customHeight="1" spans="1:2">
      <c r="A1446" s="3" t="s">
        <v>7609</v>
      </c>
      <c r="B1446" s="4">
        <v>17596256</v>
      </c>
    </row>
    <row r="1447" customHeight="1" spans="1:2">
      <c r="A1447" s="3" t="s">
        <v>2696</v>
      </c>
      <c r="B1447" s="4">
        <v>85707116</v>
      </c>
    </row>
    <row r="1448" customHeight="1" spans="1:2">
      <c r="A1448" s="3" t="s">
        <v>18711</v>
      </c>
      <c r="B1448" s="4">
        <v>20262</v>
      </c>
    </row>
    <row r="1449" customHeight="1" spans="1:2">
      <c r="A1449" s="3" t="s">
        <v>5213</v>
      </c>
      <c r="B1449" s="4">
        <v>48154732</v>
      </c>
    </row>
    <row r="1450" customHeight="1" spans="1:2">
      <c r="A1450" s="3" t="s">
        <v>1074</v>
      </c>
      <c r="B1450" s="4">
        <v>122512052</v>
      </c>
    </row>
    <row r="1451" customHeight="1" spans="1:2">
      <c r="A1451" s="3" t="s">
        <v>539</v>
      </c>
      <c r="B1451" s="4">
        <v>150167630</v>
      </c>
    </row>
    <row r="1452" customHeight="1" spans="1:2">
      <c r="A1452" s="3" t="s">
        <v>23857</v>
      </c>
      <c r="B1452" s="4"/>
    </row>
    <row r="1453" customHeight="1" spans="1:2">
      <c r="A1453" s="3" t="s">
        <v>17416</v>
      </c>
      <c r="B1453" s="4"/>
    </row>
    <row r="1454" customHeight="1" spans="1:2">
      <c r="A1454" s="3" t="s">
        <v>5753</v>
      </c>
      <c r="B1454" s="4">
        <v>71423726</v>
      </c>
    </row>
    <row r="1455" customHeight="1" spans="1:2">
      <c r="A1455" s="3" t="s">
        <v>5460</v>
      </c>
      <c r="B1455" s="4">
        <v>20488579</v>
      </c>
    </row>
    <row r="1456" customHeight="1" spans="1:2">
      <c r="A1456" s="3" t="s">
        <v>10365</v>
      </c>
      <c r="B1456" s="4"/>
    </row>
    <row r="1457" customHeight="1" spans="1:2">
      <c r="A1457" s="3" t="s">
        <v>17951</v>
      </c>
      <c r="B1457" s="4">
        <v>240425</v>
      </c>
    </row>
    <row r="1458" customHeight="1" spans="1:2">
      <c r="A1458" s="3" t="s">
        <v>1937</v>
      </c>
      <c r="B1458" s="4">
        <v>77679638</v>
      </c>
    </row>
    <row r="1459" customHeight="1" spans="1:2">
      <c r="A1459" s="3" t="s">
        <v>4216</v>
      </c>
      <c r="B1459" s="4">
        <v>45996718</v>
      </c>
    </row>
    <row r="1460" customHeight="1" spans="1:2">
      <c r="A1460" s="3" t="s">
        <v>20472</v>
      </c>
      <c r="B1460" s="4">
        <v>4958</v>
      </c>
    </row>
    <row r="1461" customHeight="1" spans="1:2">
      <c r="A1461" s="3" t="s">
        <v>19837</v>
      </c>
      <c r="B1461" s="4">
        <v>26781723</v>
      </c>
    </row>
    <row r="1462" customHeight="1" spans="1:2">
      <c r="A1462" s="3" t="s">
        <v>4310</v>
      </c>
      <c r="B1462" s="4">
        <v>28424210</v>
      </c>
    </row>
    <row r="1463" customHeight="1" spans="1:2">
      <c r="A1463" s="3" t="s">
        <v>5115</v>
      </c>
      <c r="B1463" s="4">
        <v>75367693</v>
      </c>
    </row>
    <row r="1464" customHeight="1" spans="1:2">
      <c r="A1464" s="3" t="s">
        <v>7216</v>
      </c>
      <c r="B1464" s="4">
        <v>12339633</v>
      </c>
    </row>
    <row r="1465" customHeight="1" spans="1:2">
      <c r="A1465" s="3" t="s">
        <v>20229</v>
      </c>
      <c r="B1465" s="4"/>
    </row>
    <row r="1466" customHeight="1" spans="1:2">
      <c r="A1466" s="3" t="s">
        <v>15558</v>
      </c>
      <c r="B1466" s="4">
        <v>113155</v>
      </c>
    </row>
    <row r="1467" customHeight="1" spans="1:2">
      <c r="A1467" s="3" t="s">
        <v>8027</v>
      </c>
      <c r="B1467" s="4"/>
    </row>
    <row r="1468" customHeight="1" spans="1:2">
      <c r="A1468" s="3" t="s">
        <v>4595</v>
      </c>
      <c r="B1468" s="4">
        <v>105263257</v>
      </c>
    </row>
    <row r="1469" customHeight="1" spans="1:2">
      <c r="A1469" s="3" t="s">
        <v>23916</v>
      </c>
      <c r="B1469" s="4">
        <v>241816</v>
      </c>
    </row>
    <row r="1470" customHeight="1" spans="1:2">
      <c r="A1470" s="3" t="s">
        <v>11048</v>
      </c>
      <c r="B1470" s="4">
        <v>18882880</v>
      </c>
    </row>
    <row r="1471" customHeight="1" spans="1:2">
      <c r="A1471" s="3" t="s">
        <v>16711</v>
      </c>
      <c r="B1471" s="4">
        <v>236266</v>
      </c>
    </row>
    <row r="1472" customHeight="1" spans="1:2">
      <c r="A1472" s="3" t="s">
        <v>6734</v>
      </c>
      <c r="B1472" s="4">
        <v>14967182</v>
      </c>
    </row>
    <row r="1473" customHeight="1" spans="1:2">
      <c r="A1473" s="3" t="s">
        <v>6320</v>
      </c>
      <c r="B1473" s="4">
        <v>90353764</v>
      </c>
    </row>
    <row r="1474" customHeight="1" spans="1:2">
      <c r="A1474" s="3" t="s">
        <v>6423</v>
      </c>
      <c r="B1474" s="4">
        <v>60923325</v>
      </c>
    </row>
    <row r="1475" customHeight="1" spans="1:2">
      <c r="A1475" s="3" t="s">
        <v>16576</v>
      </c>
      <c r="B1475" s="4">
        <v>9176553</v>
      </c>
    </row>
    <row r="1476" customHeight="1" spans="1:2">
      <c r="A1476" s="3" t="s">
        <v>19950</v>
      </c>
      <c r="B1476" s="4">
        <v>5731103</v>
      </c>
    </row>
    <row r="1477" customHeight="1" spans="1:2">
      <c r="A1477" s="3" t="s">
        <v>8475</v>
      </c>
      <c r="B1477" s="4">
        <v>30513940</v>
      </c>
    </row>
    <row r="1478" customHeight="1" spans="1:2">
      <c r="A1478" s="3" t="s">
        <v>15063</v>
      </c>
      <c r="B1478" s="4">
        <v>11560259</v>
      </c>
    </row>
    <row r="1479" customHeight="1" spans="1:2">
      <c r="A1479" s="3" t="s">
        <v>20322</v>
      </c>
      <c r="B1479" s="4"/>
    </row>
    <row r="1480" customHeight="1" spans="1:2">
      <c r="A1480" s="3" t="s">
        <v>6635</v>
      </c>
      <c r="B1480" s="4">
        <v>30981850</v>
      </c>
    </row>
    <row r="1481" customHeight="1" spans="1:2">
      <c r="A1481" s="3" t="s">
        <v>8080</v>
      </c>
      <c r="B1481" s="4">
        <v>72077000</v>
      </c>
    </row>
    <row r="1482" customHeight="1" spans="1:2">
      <c r="A1482" s="3" t="s">
        <v>2588</v>
      </c>
      <c r="B1482" s="4">
        <v>130313314</v>
      </c>
    </row>
    <row r="1483" customHeight="1" spans="1:2">
      <c r="A1483" s="3" t="s">
        <v>11931</v>
      </c>
      <c r="B1483" s="4">
        <v>10494494</v>
      </c>
    </row>
    <row r="1484" customHeight="1" spans="1:2">
      <c r="A1484" s="3" t="s">
        <v>9905</v>
      </c>
      <c r="B1484" s="4">
        <v>10769960</v>
      </c>
    </row>
    <row r="1485" customHeight="1" spans="1:2">
      <c r="A1485" s="3" t="s">
        <v>874</v>
      </c>
      <c r="B1485" s="4">
        <v>119420252</v>
      </c>
    </row>
    <row r="1486" customHeight="1" spans="1:2">
      <c r="A1486" s="3" t="s">
        <v>20267</v>
      </c>
      <c r="B1486" s="4">
        <v>3300230</v>
      </c>
    </row>
    <row r="1487" customHeight="1" spans="1:2">
      <c r="A1487" s="3" t="s">
        <v>13402</v>
      </c>
      <c r="B1487" s="4"/>
    </row>
    <row r="1488" customHeight="1" spans="1:2">
      <c r="A1488" s="3" t="s">
        <v>1367</v>
      </c>
      <c r="B1488" s="4">
        <v>115802596</v>
      </c>
    </row>
    <row r="1489" customHeight="1" spans="1:2">
      <c r="A1489" s="3" t="s">
        <v>4535</v>
      </c>
      <c r="B1489" s="4">
        <v>51774002</v>
      </c>
    </row>
    <row r="1490" customHeight="1" spans="1:2">
      <c r="A1490" s="3" t="s">
        <v>10907</v>
      </c>
      <c r="B1490" s="4">
        <v>30079316</v>
      </c>
    </row>
    <row r="1491" customHeight="1" spans="1:2">
      <c r="A1491" s="3" t="s">
        <v>11204</v>
      </c>
      <c r="B1491" s="4">
        <v>13214030</v>
      </c>
    </row>
    <row r="1492" customHeight="1" spans="1:2">
      <c r="A1492" s="3" t="s">
        <v>17407</v>
      </c>
      <c r="B1492" s="4">
        <v>6200756</v>
      </c>
    </row>
    <row r="1493" customHeight="1" spans="1:2">
      <c r="A1493" s="3" t="s">
        <v>10340</v>
      </c>
      <c r="B1493" s="4">
        <v>217631306</v>
      </c>
    </row>
    <row r="1494" customHeight="1" spans="1:2">
      <c r="A1494" s="3" t="s">
        <v>975</v>
      </c>
      <c r="B1494" s="4">
        <v>236199318</v>
      </c>
    </row>
    <row r="1495" customHeight="1" spans="1:2">
      <c r="A1495" s="3" t="s">
        <v>9008</v>
      </c>
      <c r="B1495" s="4">
        <v>8434601</v>
      </c>
    </row>
    <row r="1496" customHeight="1" spans="1:2">
      <c r="A1496" s="3" t="s">
        <v>7202</v>
      </c>
      <c r="B1496" s="4">
        <v>13052741</v>
      </c>
    </row>
    <row r="1497" customHeight="1" spans="1:2">
      <c r="A1497" s="3" t="s">
        <v>4872</v>
      </c>
      <c r="B1497" s="4">
        <v>5660084</v>
      </c>
    </row>
    <row r="1498" customHeight="1" spans="1:2">
      <c r="A1498" s="3" t="s">
        <v>14293</v>
      </c>
      <c r="B1498" s="4">
        <v>4903000</v>
      </c>
    </row>
    <row r="1499" customHeight="1" spans="1:2">
      <c r="A1499" s="3" t="s">
        <v>21132</v>
      </c>
      <c r="B1499" s="4"/>
    </row>
    <row r="1500" customHeight="1" spans="1:2">
      <c r="A1500" s="3" t="s">
        <v>14230</v>
      </c>
      <c r="B1500" s="4">
        <v>11634362</v>
      </c>
    </row>
    <row r="1501" customHeight="1" spans="1:2">
      <c r="A1501" s="3" t="s">
        <v>10135</v>
      </c>
      <c r="B1501" s="4">
        <v>28871190</v>
      </c>
    </row>
    <row r="1502" customHeight="1" spans="1:2">
      <c r="A1502" s="3" t="s">
        <v>22700</v>
      </c>
      <c r="B1502" s="4"/>
    </row>
    <row r="1503" customHeight="1" spans="1:2">
      <c r="A1503" s="3" t="s">
        <v>23316</v>
      </c>
      <c r="B1503" s="4"/>
    </row>
    <row r="1504" customHeight="1" spans="1:2">
      <c r="A1504" s="3" t="s">
        <v>1696</v>
      </c>
      <c r="B1504" s="4">
        <v>187670866</v>
      </c>
    </row>
    <row r="1505" customHeight="1" spans="1:2">
      <c r="A1505" s="3" t="s">
        <v>15739</v>
      </c>
      <c r="B1505" s="4">
        <v>11860839</v>
      </c>
    </row>
    <row r="1506" customHeight="1" spans="1:2">
      <c r="A1506" s="3" t="s">
        <v>13935</v>
      </c>
      <c r="B1506" s="4">
        <v>10725228</v>
      </c>
    </row>
    <row r="1507" customHeight="1" spans="1:2">
      <c r="A1507" s="3" t="s">
        <v>15880</v>
      </c>
      <c r="B1507" s="4">
        <v>4273372</v>
      </c>
    </row>
    <row r="1508" customHeight="1" spans="1:2">
      <c r="A1508" s="3" t="s">
        <v>8337</v>
      </c>
      <c r="B1508" s="4">
        <v>42643187</v>
      </c>
    </row>
    <row r="1509" customHeight="1" spans="1:2">
      <c r="A1509" s="3" t="s">
        <v>8660</v>
      </c>
      <c r="B1509" s="4">
        <v>53660000</v>
      </c>
    </row>
    <row r="1510" customHeight="1" spans="1:2">
      <c r="A1510" s="3" t="s">
        <v>19983</v>
      </c>
      <c r="B1510" s="4">
        <v>178739</v>
      </c>
    </row>
    <row r="1511" customHeight="1" spans="1:2">
      <c r="A1511" s="3" t="s">
        <v>16881</v>
      </c>
      <c r="B1511" s="4">
        <v>16842303</v>
      </c>
    </row>
    <row r="1512" customHeight="1" spans="1:2">
      <c r="A1512" s="3" t="s">
        <v>7860</v>
      </c>
      <c r="B1512" s="4">
        <v>4280577</v>
      </c>
    </row>
    <row r="1513" customHeight="1" spans="1:2">
      <c r="A1513" s="3" t="s">
        <v>17177</v>
      </c>
      <c r="B1513" s="4"/>
    </row>
    <row r="1514" customHeight="1" spans="1:2">
      <c r="A1514" s="3" t="s">
        <v>4787</v>
      </c>
      <c r="B1514" s="4">
        <v>12870569</v>
      </c>
    </row>
    <row r="1515" customHeight="1" spans="1:2">
      <c r="A1515" s="3" t="s">
        <v>18933</v>
      </c>
      <c r="B1515" s="4">
        <v>6390032</v>
      </c>
    </row>
    <row r="1516" customHeight="1" spans="1:2">
      <c r="A1516" s="3" t="s">
        <v>21552</v>
      </c>
      <c r="B1516" s="4">
        <v>20773070</v>
      </c>
    </row>
    <row r="1517" customHeight="1" spans="1:2">
      <c r="A1517" s="3" t="s">
        <v>1043</v>
      </c>
      <c r="B1517" s="4">
        <v>31141074</v>
      </c>
    </row>
    <row r="1518" customHeight="1" spans="1:2">
      <c r="A1518" s="3" t="s">
        <v>8616</v>
      </c>
      <c r="B1518" s="4">
        <v>14334645</v>
      </c>
    </row>
    <row r="1519" customHeight="1" spans="1:2">
      <c r="A1519" s="3" t="s">
        <v>21562</v>
      </c>
      <c r="B1519" s="4">
        <v>10037390</v>
      </c>
    </row>
    <row r="1520" customHeight="1" spans="1:2">
      <c r="A1520" s="3" t="s">
        <v>674</v>
      </c>
      <c r="B1520" s="4"/>
    </row>
    <row r="1521" customHeight="1" spans="1:2">
      <c r="A1521" s="3" t="s">
        <v>8034</v>
      </c>
      <c r="B1521" s="4">
        <v>17797316</v>
      </c>
    </row>
    <row r="1522" customHeight="1" spans="1:2">
      <c r="A1522" s="3" t="s">
        <v>3962</v>
      </c>
      <c r="B1522" s="4">
        <v>106635996</v>
      </c>
    </row>
    <row r="1523" customHeight="1" spans="1:2">
      <c r="A1523" s="3" t="s">
        <v>19160</v>
      </c>
      <c r="B1523" s="4">
        <v>51100000</v>
      </c>
    </row>
    <row r="1524" customHeight="1" spans="1:2">
      <c r="A1524" s="3" t="s">
        <v>16966</v>
      </c>
      <c r="B1524" s="4"/>
    </row>
    <row r="1525" customHeight="1" spans="1:2">
      <c r="A1525" s="3" t="s">
        <v>3954</v>
      </c>
      <c r="B1525" s="4">
        <v>167735396</v>
      </c>
    </row>
    <row r="1526" customHeight="1" spans="1:2">
      <c r="A1526" s="3" t="s">
        <v>1690</v>
      </c>
      <c r="B1526" s="4">
        <v>101643008</v>
      </c>
    </row>
    <row r="1527" customHeight="1" spans="1:2">
      <c r="A1527" s="3" t="s">
        <v>18795</v>
      </c>
      <c r="B1527" s="4">
        <v>198655278</v>
      </c>
    </row>
    <row r="1528" customHeight="1" spans="1:2">
      <c r="A1528" s="3" t="s">
        <v>11618</v>
      </c>
      <c r="B1528" s="4"/>
    </row>
    <row r="1529" customHeight="1" spans="1:2">
      <c r="A1529" s="3" t="s">
        <v>12176</v>
      </c>
      <c r="B1529" s="4">
        <v>37566230</v>
      </c>
    </row>
    <row r="1530" customHeight="1" spans="1:2">
      <c r="A1530" s="3" t="s">
        <v>16948</v>
      </c>
      <c r="B1530" s="4">
        <v>4063859</v>
      </c>
    </row>
    <row r="1531" customHeight="1" spans="1:2">
      <c r="A1531" s="3" t="s">
        <v>13409</v>
      </c>
      <c r="B1531" s="4">
        <v>35010192</v>
      </c>
    </row>
    <row r="1532" customHeight="1" spans="1:2">
      <c r="A1532" s="3" t="s">
        <v>23477</v>
      </c>
      <c r="B1532" s="4">
        <v>15542</v>
      </c>
    </row>
    <row r="1533" customHeight="1" spans="1:2">
      <c r="A1533" s="3" t="s">
        <v>15485</v>
      </c>
      <c r="B1533" s="4"/>
    </row>
    <row r="1534" customHeight="1" spans="1:2">
      <c r="A1534" s="3" t="s">
        <v>22680</v>
      </c>
      <c r="B1534" s="4">
        <v>316842</v>
      </c>
    </row>
    <row r="1535" customHeight="1" spans="1:2">
      <c r="A1535" s="3" t="s">
        <v>9618</v>
      </c>
      <c r="B1535" s="4">
        <v>35000629</v>
      </c>
    </row>
    <row r="1536" customHeight="1" spans="1:2">
      <c r="A1536" s="3" t="s">
        <v>13641</v>
      </c>
      <c r="B1536" s="4">
        <v>123922370</v>
      </c>
    </row>
    <row r="1537" customHeight="1" spans="1:2">
      <c r="A1537" s="3" t="s">
        <v>16496</v>
      </c>
      <c r="B1537" s="4">
        <v>31501218</v>
      </c>
    </row>
    <row r="1538" customHeight="1" spans="1:2">
      <c r="A1538" s="3" t="s">
        <v>14780</v>
      </c>
      <c r="B1538" s="4">
        <v>138339411</v>
      </c>
    </row>
    <row r="1539" customHeight="1" spans="1:2">
      <c r="A1539" s="3" t="s">
        <v>12580</v>
      </c>
      <c r="B1539" s="4">
        <v>23091</v>
      </c>
    </row>
    <row r="1540" customHeight="1" spans="1:2">
      <c r="A1540" s="3" t="s">
        <v>9534</v>
      </c>
      <c r="B1540" s="4">
        <v>46836394</v>
      </c>
    </row>
    <row r="1541" customHeight="1" spans="1:2">
      <c r="A1541" s="3" t="s">
        <v>4454</v>
      </c>
      <c r="B1541" s="4">
        <v>160043480</v>
      </c>
    </row>
    <row r="1542" customHeight="1" spans="1:2">
      <c r="A1542" s="3" t="s">
        <v>22861</v>
      </c>
      <c r="B1542" s="4">
        <v>11798</v>
      </c>
    </row>
    <row r="1543" customHeight="1" spans="1:2">
      <c r="A1543" s="3" t="s">
        <v>11799</v>
      </c>
      <c r="B1543" s="4">
        <v>41300105</v>
      </c>
    </row>
    <row r="1544" customHeight="1" spans="1:2">
      <c r="A1544" s="3" t="s">
        <v>13517</v>
      </c>
      <c r="B1544" s="4">
        <v>5108820</v>
      </c>
    </row>
    <row r="1545" customHeight="1" spans="1:2">
      <c r="A1545" s="3" t="s">
        <v>6517</v>
      </c>
      <c r="B1545" s="4">
        <v>59588068</v>
      </c>
    </row>
    <row r="1546" customHeight="1" spans="1:2">
      <c r="A1546" s="3" t="s">
        <v>17497</v>
      </c>
      <c r="B1546" s="4"/>
    </row>
    <row r="1547" customHeight="1" spans="1:2">
      <c r="A1547" s="3" t="s">
        <v>8744</v>
      </c>
      <c r="B1547" s="4"/>
    </row>
    <row r="1548" customHeight="1" spans="1:2">
      <c r="A1548" s="3" t="s">
        <v>20824</v>
      </c>
      <c r="B1548" s="4">
        <v>2507106</v>
      </c>
    </row>
    <row r="1549" customHeight="1" spans="1:2">
      <c r="A1549" s="3" t="s">
        <v>15717</v>
      </c>
      <c r="B1549" s="4">
        <v>2955039</v>
      </c>
    </row>
    <row r="1550" customHeight="1" spans="1:2">
      <c r="A1550" s="3" t="s">
        <v>23133</v>
      </c>
      <c r="B1550" s="4"/>
    </row>
    <row r="1551" customHeight="1" spans="1:2">
      <c r="A1551" s="3" t="s">
        <v>9384</v>
      </c>
      <c r="B1551" s="4">
        <v>148085755</v>
      </c>
    </row>
    <row r="1552" customHeight="1" spans="1:2">
      <c r="A1552" s="3" t="s">
        <v>21375</v>
      </c>
      <c r="B1552" s="4"/>
    </row>
    <row r="1553" customHeight="1" spans="1:2">
      <c r="A1553" s="3" t="s">
        <v>17834</v>
      </c>
      <c r="B1553" s="4">
        <v>6088249</v>
      </c>
    </row>
    <row r="1554" customHeight="1" spans="1:2">
      <c r="A1554" s="3" t="s">
        <v>20482</v>
      </c>
      <c r="B1554" s="4"/>
    </row>
    <row r="1555" customHeight="1" spans="1:2">
      <c r="A1555" s="3" t="s">
        <v>1487</v>
      </c>
      <c r="B1555" s="4">
        <v>274084951</v>
      </c>
    </row>
    <row r="1556" customHeight="1" spans="1:2">
      <c r="A1556" s="3" t="s">
        <v>16973</v>
      </c>
      <c r="B1556" s="4">
        <v>181360000</v>
      </c>
    </row>
    <row r="1557" customHeight="1" spans="1:2">
      <c r="A1557" s="3" t="s">
        <v>318</v>
      </c>
      <c r="B1557" s="4">
        <v>116593191</v>
      </c>
    </row>
    <row r="1558" customHeight="1" spans="1:2">
      <c r="A1558" s="3" t="s">
        <v>17925</v>
      </c>
      <c r="B1558" s="4">
        <v>3219029</v>
      </c>
    </row>
    <row r="1559" customHeight="1" spans="1:2">
      <c r="A1559" s="3" t="s">
        <v>16298</v>
      </c>
      <c r="B1559" s="4"/>
    </row>
    <row r="1560" customHeight="1" spans="1:2">
      <c r="A1560" s="3" t="s">
        <v>1913</v>
      </c>
      <c r="B1560" s="4">
        <v>35024475</v>
      </c>
    </row>
    <row r="1561" customHeight="1" spans="1:2">
      <c r="A1561" s="3" t="s">
        <v>5254</v>
      </c>
      <c r="B1561" s="4">
        <v>41482207</v>
      </c>
    </row>
    <row r="1562" customHeight="1" spans="1:2">
      <c r="A1562" s="3" t="s">
        <v>14481</v>
      </c>
      <c r="B1562" s="4">
        <v>148170000</v>
      </c>
    </row>
    <row r="1563" customHeight="1" spans="1:2">
      <c r="A1563" s="3" t="s">
        <v>8434</v>
      </c>
      <c r="B1563" s="4">
        <v>38432823</v>
      </c>
    </row>
    <row r="1564" customHeight="1" spans="1:2">
      <c r="A1564" s="3" t="s">
        <v>19652</v>
      </c>
      <c r="B1564" s="4"/>
    </row>
    <row r="1565" customHeight="1" spans="1:2">
      <c r="A1565" s="3" t="s">
        <v>4906</v>
      </c>
      <c r="B1565" s="4">
        <v>25031037</v>
      </c>
    </row>
    <row r="1566" customHeight="1" spans="1:2">
      <c r="A1566" s="3" t="s">
        <v>22566</v>
      </c>
      <c r="B1566" s="4">
        <v>1114943</v>
      </c>
    </row>
    <row r="1567" customHeight="1" spans="1:2">
      <c r="A1567" s="3" t="s">
        <v>12882</v>
      </c>
      <c r="B1567" s="4">
        <v>28014536</v>
      </c>
    </row>
    <row r="1568" customHeight="1" spans="1:2">
      <c r="A1568" s="3" t="s">
        <v>13323</v>
      </c>
      <c r="B1568" s="4">
        <v>70906973</v>
      </c>
    </row>
    <row r="1569" customHeight="1" spans="1:2">
      <c r="A1569" s="3" t="s">
        <v>21081</v>
      </c>
      <c r="B1569" s="4"/>
    </row>
    <row r="1570" customHeight="1" spans="1:2">
      <c r="A1570" s="3" t="s">
        <v>2585</v>
      </c>
      <c r="B1570" s="4">
        <v>133668525</v>
      </c>
    </row>
    <row r="1571" customHeight="1" spans="1:2">
      <c r="A1571" s="3" t="s">
        <v>3045</v>
      </c>
      <c r="B1571" s="4">
        <v>162001186</v>
      </c>
    </row>
    <row r="1572" customHeight="1" spans="1:2">
      <c r="A1572" s="3" t="s">
        <v>6949</v>
      </c>
      <c r="B1572" s="4">
        <v>29802761</v>
      </c>
    </row>
    <row r="1573" customHeight="1" spans="1:2">
      <c r="A1573" s="3" t="s">
        <v>657</v>
      </c>
      <c r="B1573" s="4">
        <v>333130696</v>
      </c>
    </row>
    <row r="1574" customHeight="1" spans="1:2">
      <c r="A1574" s="3" t="s">
        <v>7306</v>
      </c>
      <c r="B1574" s="4">
        <v>67962333</v>
      </c>
    </row>
    <row r="1575" customHeight="1" spans="1:2">
      <c r="A1575" s="3" t="s">
        <v>21777</v>
      </c>
      <c r="B1575" s="4">
        <v>227241</v>
      </c>
    </row>
    <row r="1576" customHeight="1" spans="1:2">
      <c r="A1576" s="3" t="s">
        <v>1553</v>
      </c>
      <c r="B1576" s="4">
        <v>42776259</v>
      </c>
    </row>
    <row r="1577" customHeight="1" spans="1:2">
      <c r="A1577" s="3" t="s">
        <v>15249</v>
      </c>
      <c r="B1577" s="4">
        <v>1631839</v>
      </c>
    </row>
    <row r="1578" customHeight="1" spans="1:2">
      <c r="A1578" s="3" t="s">
        <v>15496</v>
      </c>
      <c r="B1578" s="4"/>
    </row>
    <row r="1579" customHeight="1" spans="1:2">
      <c r="A1579" s="3" t="s">
        <v>23514</v>
      </c>
      <c r="B1579" s="4"/>
    </row>
    <row r="1580" customHeight="1" spans="1:2">
      <c r="A1580" s="3" t="s">
        <v>12594</v>
      </c>
      <c r="B1580" s="4"/>
    </row>
    <row r="1581" customHeight="1" spans="1:2">
      <c r="A1581" s="3" t="s">
        <v>6866</v>
      </c>
      <c r="B1581" s="4">
        <v>7564000</v>
      </c>
    </row>
    <row r="1582" customHeight="1" spans="1:2">
      <c r="A1582" s="3" t="s">
        <v>10442</v>
      </c>
      <c r="B1582" s="4">
        <v>29997095</v>
      </c>
    </row>
    <row r="1583" customHeight="1" spans="1:2">
      <c r="A1583" s="3" t="s">
        <v>3027</v>
      </c>
      <c r="B1583" s="4">
        <v>118823091</v>
      </c>
    </row>
    <row r="1584" customHeight="1" spans="1:2">
      <c r="A1584" s="3" t="s">
        <v>16072</v>
      </c>
      <c r="B1584" s="4">
        <v>17278980</v>
      </c>
    </row>
    <row r="1585" customHeight="1" spans="1:2">
      <c r="A1585" s="3" t="s">
        <v>22326</v>
      </c>
      <c r="B1585" s="4">
        <v>2694973</v>
      </c>
    </row>
    <row r="1586" customHeight="1" spans="1:2">
      <c r="A1586" s="3" t="s">
        <v>9778</v>
      </c>
      <c r="B1586" s="4">
        <v>15361537</v>
      </c>
    </row>
    <row r="1587" customHeight="1" spans="1:2">
      <c r="A1587" s="3" t="s">
        <v>3579</v>
      </c>
      <c r="B1587" s="4">
        <v>45045037</v>
      </c>
    </row>
    <row r="1588" customHeight="1" spans="1:2">
      <c r="A1588" s="3" t="s">
        <v>17737</v>
      </c>
      <c r="B1588" s="4">
        <v>17768000</v>
      </c>
    </row>
    <row r="1589" customHeight="1" spans="1:2">
      <c r="A1589" s="3" t="s">
        <v>17091</v>
      </c>
      <c r="B1589" s="4">
        <v>11642254</v>
      </c>
    </row>
    <row r="1590" customHeight="1" spans="1:2">
      <c r="A1590" s="3" t="s">
        <v>12824</v>
      </c>
      <c r="B1590" s="4">
        <v>66772256</v>
      </c>
    </row>
    <row r="1591" customHeight="1" spans="1:2">
      <c r="A1591" s="3" t="s">
        <v>19813</v>
      </c>
      <c r="B1591" s="4">
        <v>14400000</v>
      </c>
    </row>
    <row r="1592" customHeight="1" spans="1:2">
      <c r="A1592" s="3" t="s">
        <v>12171</v>
      </c>
      <c r="B1592" s="4">
        <v>141000000</v>
      </c>
    </row>
    <row r="1593" customHeight="1" spans="1:2">
      <c r="A1593" s="3" t="s">
        <v>12840</v>
      </c>
      <c r="B1593" s="4">
        <v>30259652</v>
      </c>
    </row>
    <row r="1594" customHeight="1" spans="1:2">
      <c r="A1594" s="3" t="s">
        <v>17714</v>
      </c>
      <c r="B1594" s="4">
        <v>15126948</v>
      </c>
    </row>
    <row r="1595" customHeight="1" spans="1:2">
      <c r="A1595" s="3" t="s">
        <v>15723</v>
      </c>
      <c r="B1595" s="4">
        <v>4881867</v>
      </c>
    </row>
    <row r="1596" customHeight="1" spans="1:2">
      <c r="A1596" s="3" t="s">
        <v>11992</v>
      </c>
      <c r="B1596" s="4">
        <v>8829070</v>
      </c>
    </row>
    <row r="1597" customHeight="1" spans="1:2">
      <c r="A1597" s="3" t="s">
        <v>779</v>
      </c>
      <c r="B1597" s="4">
        <v>227946274</v>
      </c>
    </row>
    <row r="1598" customHeight="1" spans="1:2">
      <c r="A1598" s="3" t="s">
        <v>11534</v>
      </c>
      <c r="B1598" s="4"/>
    </row>
    <row r="1599" customHeight="1" spans="1:2">
      <c r="A1599" s="3" t="s">
        <v>20720</v>
      </c>
      <c r="B1599" s="4"/>
    </row>
    <row r="1600" customHeight="1" spans="1:2">
      <c r="A1600" s="3" t="s">
        <v>6581</v>
      </c>
      <c r="B1600" s="4">
        <v>36037909</v>
      </c>
    </row>
    <row r="1601" customHeight="1" spans="1:2">
      <c r="A1601" s="3" t="s">
        <v>8405</v>
      </c>
      <c r="B1601" s="4">
        <v>40247512</v>
      </c>
    </row>
    <row r="1602" customHeight="1" spans="1:2">
      <c r="A1602" s="3" t="s">
        <v>8172</v>
      </c>
      <c r="B1602" s="4">
        <v>79566871</v>
      </c>
    </row>
    <row r="1603" customHeight="1" spans="1:2">
      <c r="A1603" s="3" t="s">
        <v>5342</v>
      </c>
      <c r="B1603" s="4">
        <v>27667947</v>
      </c>
    </row>
    <row r="1604" customHeight="1" spans="1:2">
      <c r="A1604" s="3" t="s">
        <v>2352</v>
      </c>
      <c r="B1604" s="4"/>
    </row>
    <row r="1605" customHeight="1" spans="1:2">
      <c r="A1605" s="3" t="s">
        <v>18464</v>
      </c>
      <c r="B1605" s="4"/>
    </row>
    <row r="1606" customHeight="1" spans="1:2">
      <c r="A1606" s="3" t="s">
        <v>5173</v>
      </c>
      <c r="B1606" s="4">
        <v>55682070</v>
      </c>
    </row>
    <row r="1607" customHeight="1" spans="1:2">
      <c r="A1607" s="3" t="s">
        <v>5645</v>
      </c>
      <c r="B1607" s="4">
        <v>15519841</v>
      </c>
    </row>
    <row r="1608" customHeight="1" spans="1:2">
      <c r="A1608" s="3" t="s">
        <v>19422</v>
      </c>
      <c r="B1608" s="4">
        <v>3000000</v>
      </c>
    </row>
    <row r="1609" customHeight="1" spans="1:2">
      <c r="A1609" s="3" t="s">
        <v>23816</v>
      </c>
      <c r="B1609" s="4">
        <v>30084</v>
      </c>
    </row>
    <row r="1610" customHeight="1" spans="1:2">
      <c r="A1610" s="3" t="s">
        <v>1112</v>
      </c>
      <c r="B1610" s="4">
        <v>63992328</v>
      </c>
    </row>
    <row r="1611" customHeight="1" spans="1:2">
      <c r="A1611" s="3" t="s">
        <v>2316</v>
      </c>
      <c r="B1611" s="4">
        <v>197992827</v>
      </c>
    </row>
    <row r="1612" customHeight="1" spans="1:2">
      <c r="A1612" s="3" t="s">
        <v>14833</v>
      </c>
      <c r="B1612" s="4">
        <v>38624000</v>
      </c>
    </row>
    <row r="1613" customHeight="1" spans="1:2">
      <c r="A1613" s="3" t="s">
        <v>23235</v>
      </c>
      <c r="B1613" s="4"/>
    </row>
    <row r="1614" customHeight="1" spans="1:2">
      <c r="A1614" s="3" t="s">
        <v>20792</v>
      </c>
      <c r="B1614" s="4">
        <v>1943649</v>
      </c>
    </row>
    <row r="1615" customHeight="1" spans="1:2">
      <c r="A1615" s="3" t="s">
        <v>22064</v>
      </c>
      <c r="B1615" s="4">
        <v>1007962</v>
      </c>
    </row>
    <row r="1616" customHeight="1" spans="1:2">
      <c r="A1616" s="3" t="s">
        <v>3492</v>
      </c>
      <c r="B1616" s="4">
        <v>19819494</v>
      </c>
    </row>
    <row r="1617" customHeight="1" spans="1:2">
      <c r="A1617" s="3" t="s">
        <v>16730</v>
      </c>
      <c r="B1617" s="4"/>
    </row>
    <row r="1618" customHeight="1" spans="1:2">
      <c r="A1618" s="3" t="s">
        <v>10573</v>
      </c>
      <c r="B1618" s="4">
        <v>40219708</v>
      </c>
    </row>
    <row r="1619" customHeight="1" spans="1:2">
      <c r="A1619" s="3" t="s">
        <v>21799</v>
      </c>
      <c r="B1619" s="4">
        <v>96734</v>
      </c>
    </row>
    <row r="1620" customHeight="1" spans="1:2">
      <c r="A1620" s="3" t="s">
        <v>10282</v>
      </c>
      <c r="B1620" s="4">
        <v>7434726</v>
      </c>
    </row>
    <row r="1621" customHeight="1" spans="1:2">
      <c r="A1621" s="3" t="s">
        <v>8890</v>
      </c>
      <c r="B1621" s="4"/>
    </row>
    <row r="1622" customHeight="1" spans="1:2">
      <c r="A1622" s="3" t="s">
        <v>14071</v>
      </c>
      <c r="B1622" s="4">
        <v>38087366</v>
      </c>
    </row>
    <row r="1623" customHeight="1" spans="1:2">
      <c r="A1623" s="3" t="s">
        <v>15649</v>
      </c>
      <c r="B1623" s="4">
        <v>18225165</v>
      </c>
    </row>
    <row r="1624" customHeight="1" spans="1:2">
      <c r="A1624" s="3" t="s">
        <v>18909</v>
      </c>
      <c r="B1624" s="4"/>
    </row>
    <row r="1625" customHeight="1" spans="1:2">
      <c r="A1625" s="3" t="s">
        <v>13728</v>
      </c>
      <c r="B1625" s="4">
        <v>26539321</v>
      </c>
    </row>
    <row r="1626" customHeight="1" spans="1:2">
      <c r="A1626" s="3" t="s">
        <v>22182</v>
      </c>
      <c r="B1626" s="4"/>
    </row>
    <row r="1627" customHeight="1" spans="1:2">
      <c r="A1627" s="3" t="s">
        <v>16432</v>
      </c>
      <c r="B1627" s="4">
        <v>1818681</v>
      </c>
    </row>
    <row r="1628" customHeight="1" spans="1:2">
      <c r="A1628" s="3" t="s">
        <v>1704</v>
      </c>
      <c r="B1628" s="4">
        <v>261970615</v>
      </c>
    </row>
    <row r="1629" customHeight="1" spans="1:2">
      <c r="A1629" s="3" t="s">
        <v>1269</v>
      </c>
      <c r="B1629" s="4"/>
    </row>
    <row r="1630" customHeight="1" spans="1:2">
      <c r="A1630" s="3" t="s">
        <v>1242</v>
      </c>
      <c r="B1630" s="4"/>
    </row>
    <row r="1631" customHeight="1" spans="1:2">
      <c r="A1631" s="3" t="s">
        <v>774</v>
      </c>
      <c r="B1631" s="4">
        <v>289994397</v>
      </c>
    </row>
    <row r="1632" customHeight="1" spans="1:2">
      <c r="A1632" s="3" t="s">
        <v>109</v>
      </c>
      <c r="B1632" s="4">
        <v>301956980</v>
      </c>
    </row>
    <row r="1633" customHeight="1" spans="1:2">
      <c r="A1633" s="3" t="s">
        <v>771</v>
      </c>
      <c r="B1633" s="4">
        <v>292000866</v>
      </c>
    </row>
    <row r="1634" customHeight="1" spans="1:2">
      <c r="A1634" s="3" t="s">
        <v>1219</v>
      </c>
      <c r="B1634" s="4">
        <v>249358727</v>
      </c>
    </row>
    <row r="1635" customHeight="1" spans="1:2">
      <c r="A1635" s="3" t="s">
        <v>1255</v>
      </c>
      <c r="B1635" s="4">
        <v>317557891</v>
      </c>
    </row>
    <row r="1636" customHeight="1" spans="1:2">
      <c r="A1636" s="3" t="s">
        <v>20270</v>
      </c>
      <c r="B1636" s="4">
        <v>3335839</v>
      </c>
    </row>
    <row r="1637" customHeight="1" spans="1:2">
      <c r="A1637" s="3" t="s">
        <v>3473</v>
      </c>
      <c r="B1637" s="4">
        <v>19076815</v>
      </c>
    </row>
    <row r="1638" customHeight="1" spans="1:2">
      <c r="A1638" s="3" t="s">
        <v>17442</v>
      </c>
      <c r="B1638" s="4">
        <v>56007</v>
      </c>
    </row>
    <row r="1639" customHeight="1" spans="1:2">
      <c r="A1639" s="3" t="s">
        <v>20991</v>
      </c>
      <c r="B1639" s="4"/>
    </row>
    <row r="1640" customHeight="1" spans="1:2">
      <c r="A1640" s="3" t="s">
        <v>22338</v>
      </c>
      <c r="B1640" s="4">
        <v>2301777</v>
      </c>
    </row>
    <row r="1641" customHeight="1" spans="1:2">
      <c r="A1641" s="3" t="s">
        <v>23868</v>
      </c>
      <c r="B1641" s="4"/>
    </row>
    <row r="1642" customHeight="1" spans="1:2">
      <c r="A1642" s="3" t="s">
        <v>10257</v>
      </c>
      <c r="B1642" s="4">
        <v>18934858</v>
      </c>
    </row>
    <row r="1643" customHeight="1" spans="1:2">
      <c r="A1643" s="3" t="s">
        <v>9733</v>
      </c>
      <c r="B1643" s="4">
        <v>21554585</v>
      </c>
    </row>
    <row r="1644" customHeight="1" spans="1:2">
      <c r="A1644" s="3" t="s">
        <v>7229</v>
      </c>
      <c r="B1644" s="4">
        <v>37788228</v>
      </c>
    </row>
    <row r="1645" customHeight="1" spans="1:2">
      <c r="A1645" s="3" t="s">
        <v>13496</v>
      </c>
      <c r="B1645" s="4">
        <v>10397365</v>
      </c>
    </row>
    <row r="1646" customHeight="1" spans="1:2">
      <c r="A1646" s="3" t="s">
        <v>17491</v>
      </c>
      <c r="B1646" s="4">
        <v>1196752</v>
      </c>
    </row>
    <row r="1647" customHeight="1" spans="1:2">
      <c r="A1647" s="3" t="s">
        <v>15155</v>
      </c>
      <c r="B1647" s="4"/>
    </row>
    <row r="1648" customHeight="1" spans="1:2">
      <c r="A1648" s="3" t="s">
        <v>7007</v>
      </c>
      <c r="B1648" s="4">
        <v>40334024</v>
      </c>
    </row>
    <row r="1649" customHeight="1" spans="1:2">
      <c r="A1649" s="3" t="s">
        <v>8063</v>
      </c>
      <c r="B1649" s="4">
        <v>24185781</v>
      </c>
    </row>
    <row r="1650" customHeight="1" spans="1:2">
      <c r="A1650" s="3" t="s">
        <v>14446</v>
      </c>
      <c r="B1650" s="4">
        <v>91443253</v>
      </c>
    </row>
    <row r="1651" customHeight="1" spans="1:2">
      <c r="A1651" s="3" t="s">
        <v>17888</v>
      </c>
      <c r="B1651" s="4">
        <v>3049135</v>
      </c>
    </row>
    <row r="1652" customHeight="1" spans="1:2">
      <c r="A1652" s="3" t="s">
        <v>6041</v>
      </c>
      <c r="B1652" s="4">
        <v>1500000</v>
      </c>
    </row>
    <row r="1653" customHeight="1" spans="1:2">
      <c r="A1653" s="3" t="s">
        <v>15554</v>
      </c>
      <c r="B1653" s="4"/>
    </row>
    <row r="1654" customHeight="1" spans="1:2">
      <c r="A1654" s="3" t="s">
        <v>17165</v>
      </c>
      <c r="B1654" s="4">
        <v>3029081</v>
      </c>
    </row>
    <row r="1655" customHeight="1" spans="1:2">
      <c r="A1655" s="3" t="s">
        <v>7523</v>
      </c>
      <c r="B1655" s="4"/>
    </row>
    <row r="1656" customHeight="1" spans="1:2">
      <c r="A1656" s="3" t="s">
        <v>16124</v>
      </c>
      <c r="B1656" s="4">
        <v>4692814</v>
      </c>
    </row>
    <row r="1657" customHeight="1" spans="1:2">
      <c r="A1657" s="3" t="s">
        <v>21886</v>
      </c>
      <c r="B1657" s="4"/>
    </row>
    <row r="1658" customHeight="1" spans="1:2">
      <c r="A1658" s="3" t="s">
        <v>2516</v>
      </c>
      <c r="B1658" s="4">
        <v>75754670</v>
      </c>
    </row>
    <row r="1659" customHeight="1" spans="1:2">
      <c r="A1659" s="3" t="s">
        <v>4116</v>
      </c>
      <c r="B1659" s="4">
        <v>59035104</v>
      </c>
    </row>
    <row r="1660" customHeight="1" spans="1:2">
      <c r="A1660" s="3" t="s">
        <v>21545</v>
      </c>
      <c r="B1660" s="4">
        <v>14564027</v>
      </c>
    </row>
    <row r="1661" customHeight="1" spans="1:2">
      <c r="A1661" s="3" t="s">
        <v>18747</v>
      </c>
      <c r="B1661" s="4"/>
    </row>
    <row r="1662" customHeight="1" spans="1:2">
      <c r="A1662" s="3" t="s">
        <v>18061</v>
      </c>
      <c r="B1662" s="4"/>
    </row>
    <row r="1663" customHeight="1" spans="1:2">
      <c r="A1663" s="3" t="s">
        <v>15675</v>
      </c>
      <c r="B1663" s="4">
        <v>10161099</v>
      </c>
    </row>
    <row r="1664" customHeight="1" spans="1:2">
      <c r="A1664" s="3" t="s">
        <v>23966</v>
      </c>
      <c r="B1664" s="4"/>
    </row>
    <row r="1665" customHeight="1" spans="1:2">
      <c r="A1665" s="3" t="s">
        <v>10233</v>
      </c>
      <c r="B1665" s="4">
        <v>25556065</v>
      </c>
    </row>
    <row r="1666" customHeight="1" spans="1:2">
      <c r="A1666" s="3" t="s">
        <v>5162</v>
      </c>
      <c r="B1666" s="4">
        <v>66002004</v>
      </c>
    </row>
    <row r="1667" customHeight="1" spans="1:2">
      <c r="A1667" s="3" t="s">
        <v>1867</v>
      </c>
      <c r="B1667" s="4">
        <v>145320058</v>
      </c>
    </row>
    <row r="1668" customHeight="1" spans="1:2">
      <c r="A1668" s="3" t="s">
        <v>6121</v>
      </c>
      <c r="B1668" s="4">
        <v>45290318</v>
      </c>
    </row>
    <row r="1669" customHeight="1" spans="1:2">
      <c r="A1669" s="3" t="s">
        <v>13060</v>
      </c>
      <c r="B1669" s="4">
        <v>10494147</v>
      </c>
    </row>
    <row r="1670" customHeight="1" spans="1:2">
      <c r="A1670" s="3" t="s">
        <v>5326</v>
      </c>
      <c r="B1670" s="4">
        <v>32741596</v>
      </c>
    </row>
    <row r="1671" customHeight="1" spans="1:2">
      <c r="A1671" s="3" t="s">
        <v>6169</v>
      </c>
      <c r="B1671" s="4">
        <v>169922</v>
      </c>
    </row>
    <row r="1672" customHeight="1" spans="1:2">
      <c r="A1672" s="3" t="s">
        <v>23600</v>
      </c>
      <c r="B1672" s="4"/>
    </row>
    <row r="1673" customHeight="1" spans="1:2">
      <c r="A1673" s="3" t="s">
        <v>22865</v>
      </c>
      <c r="B1673" s="4"/>
    </row>
    <row r="1674" customHeight="1" spans="1:2">
      <c r="A1674" s="3" t="s">
        <v>6302</v>
      </c>
      <c r="B1674" s="4">
        <v>93952276</v>
      </c>
    </row>
    <row r="1675" customHeight="1" spans="1:2">
      <c r="A1675" s="3" t="s">
        <v>16703</v>
      </c>
      <c r="B1675" s="4">
        <v>382946</v>
      </c>
    </row>
    <row r="1676" customHeight="1" spans="1:2">
      <c r="A1676" s="3" t="s">
        <v>15039</v>
      </c>
      <c r="B1676" s="4">
        <v>13684949</v>
      </c>
    </row>
    <row r="1677" customHeight="1" spans="1:2">
      <c r="A1677" s="3" t="s">
        <v>2937</v>
      </c>
      <c r="B1677" s="4">
        <v>67286731</v>
      </c>
    </row>
    <row r="1678" customHeight="1" spans="1:2">
      <c r="A1678" s="3" t="s">
        <v>21951</v>
      </c>
      <c r="B1678" s="4"/>
    </row>
    <row r="1679" customHeight="1" spans="1:2">
      <c r="A1679" s="3" t="s">
        <v>9527</v>
      </c>
      <c r="B1679" s="4">
        <v>51097664</v>
      </c>
    </row>
    <row r="1680" customHeight="1" spans="1:2">
      <c r="A1680" s="3" t="s">
        <v>19047</v>
      </c>
      <c r="B1680" s="4"/>
    </row>
    <row r="1681" customHeight="1" spans="1:2">
      <c r="A1681" s="3" t="s">
        <v>6124</v>
      </c>
      <c r="B1681" s="4">
        <v>41543207</v>
      </c>
    </row>
    <row r="1682" customHeight="1" spans="1:2">
      <c r="A1682" s="3" t="s">
        <v>10929</v>
      </c>
      <c r="B1682" s="4">
        <v>27277055</v>
      </c>
    </row>
    <row r="1683" customHeight="1" spans="1:2">
      <c r="A1683" s="3" t="s">
        <v>15343</v>
      </c>
      <c r="B1683" s="4">
        <v>226792</v>
      </c>
    </row>
    <row r="1684" customHeight="1" spans="1:2">
      <c r="A1684" s="3" t="s">
        <v>22289</v>
      </c>
      <c r="B1684" s="4"/>
    </row>
    <row r="1685" customHeight="1" spans="1:2">
      <c r="A1685" s="3" t="s">
        <v>17404</v>
      </c>
      <c r="B1685" s="4"/>
    </row>
    <row r="1686" customHeight="1" spans="1:2">
      <c r="A1686" s="3" t="s">
        <v>22506</v>
      </c>
      <c r="B1686" s="4"/>
    </row>
    <row r="1687" customHeight="1" spans="1:2">
      <c r="A1687" s="3" t="s">
        <v>16782</v>
      </c>
      <c r="B1687" s="4"/>
    </row>
    <row r="1688" customHeight="1" spans="1:2">
      <c r="A1688" s="3" t="s">
        <v>14505</v>
      </c>
      <c r="B1688" s="4">
        <v>90556401</v>
      </c>
    </row>
    <row r="1689" customHeight="1" spans="1:2">
      <c r="A1689" s="3" t="s">
        <v>18401</v>
      </c>
      <c r="B1689" s="4"/>
    </row>
    <row r="1690" customHeight="1" spans="1:2">
      <c r="A1690" s="3" t="s">
        <v>19645</v>
      </c>
      <c r="B1690" s="4">
        <v>3645438</v>
      </c>
    </row>
    <row r="1691" customHeight="1" spans="1:2">
      <c r="A1691" s="3" t="s">
        <v>20693</v>
      </c>
      <c r="B1691" s="4">
        <v>841206</v>
      </c>
    </row>
    <row r="1692" customHeight="1" spans="1:2">
      <c r="A1692" s="3" t="s">
        <v>12544</v>
      </c>
      <c r="B1692" s="4">
        <v>5900000</v>
      </c>
    </row>
    <row r="1693" customHeight="1" spans="1:2">
      <c r="A1693" s="3" t="s">
        <v>13010</v>
      </c>
      <c r="B1693" s="4">
        <v>12801190</v>
      </c>
    </row>
    <row r="1694" customHeight="1" spans="1:2">
      <c r="A1694" s="3" t="s">
        <v>9331</v>
      </c>
      <c r="B1694" s="4">
        <v>13829734</v>
      </c>
    </row>
    <row r="1695" customHeight="1" spans="1:2">
      <c r="A1695" s="3" t="s">
        <v>20534</v>
      </c>
      <c r="B1695" s="4"/>
    </row>
    <row r="1696" customHeight="1" spans="1:2">
      <c r="A1696" s="3" t="s">
        <v>14557</v>
      </c>
      <c r="B1696" s="4"/>
    </row>
    <row r="1697" customHeight="1" spans="1:2">
      <c r="A1697" s="3" t="s">
        <v>10499</v>
      </c>
      <c r="B1697" s="4">
        <v>13746550</v>
      </c>
    </row>
    <row r="1698" customHeight="1" spans="1:2">
      <c r="A1698" s="3" t="s">
        <v>7437</v>
      </c>
      <c r="B1698" s="4"/>
    </row>
    <row r="1699" customHeight="1" spans="1:2">
      <c r="A1699" s="3" t="s">
        <v>4589</v>
      </c>
      <c r="B1699" s="4">
        <v>177575142</v>
      </c>
    </row>
    <row r="1700" customHeight="1" spans="1:2">
      <c r="A1700" s="3" t="s">
        <v>12118</v>
      </c>
      <c r="B1700" s="4">
        <v>39687528</v>
      </c>
    </row>
    <row r="1701" customHeight="1" spans="1:2">
      <c r="A1701" s="3" t="s">
        <v>21905</v>
      </c>
      <c r="B1701" s="4"/>
    </row>
    <row r="1702" customHeight="1" spans="1:2">
      <c r="A1702" s="3" t="s">
        <v>19448</v>
      </c>
      <c r="B1702" s="4">
        <v>703002</v>
      </c>
    </row>
    <row r="1703" customHeight="1" spans="1:2">
      <c r="A1703" s="3" t="s">
        <v>8930</v>
      </c>
      <c r="B1703" s="4">
        <v>39514713</v>
      </c>
    </row>
    <row r="1704" customHeight="1" spans="1:2">
      <c r="A1704" s="3" t="s">
        <v>7533</v>
      </c>
      <c r="B1704" s="4">
        <v>24276500</v>
      </c>
    </row>
    <row r="1705" customHeight="1" spans="1:2">
      <c r="A1705" s="3" t="s">
        <v>10714</v>
      </c>
      <c r="B1705" s="4">
        <v>67325559</v>
      </c>
    </row>
    <row r="1706" customHeight="1" spans="1:2">
      <c r="A1706" s="3" t="s">
        <v>2211</v>
      </c>
      <c r="B1706" s="4">
        <v>73209340</v>
      </c>
    </row>
    <row r="1707" customHeight="1" spans="1:2">
      <c r="A1707" s="3" t="s">
        <v>12535</v>
      </c>
      <c r="B1707" s="4">
        <v>4839383</v>
      </c>
    </row>
    <row r="1708" customHeight="1" spans="1:2">
      <c r="A1708" s="3" t="s">
        <v>3162</v>
      </c>
      <c r="B1708" s="4">
        <v>30013346</v>
      </c>
    </row>
    <row r="1709" customHeight="1" spans="1:2">
      <c r="A1709" s="3" t="s">
        <v>23705</v>
      </c>
      <c r="B1709" s="4">
        <v>5228617</v>
      </c>
    </row>
    <row r="1710" customHeight="1" spans="1:2">
      <c r="A1710" s="3" t="s">
        <v>4441</v>
      </c>
      <c r="B1710" s="4">
        <v>12065985</v>
      </c>
    </row>
    <row r="1711" customHeight="1" spans="1:2">
      <c r="A1711" s="3" t="s">
        <v>18635</v>
      </c>
      <c r="B1711" s="4"/>
    </row>
    <row r="1712" customHeight="1" spans="1:2">
      <c r="A1712" s="3" t="s">
        <v>10639</v>
      </c>
      <c r="B1712" s="4">
        <v>173585516</v>
      </c>
    </row>
    <row r="1713" customHeight="1" spans="1:2">
      <c r="A1713" s="3" t="s">
        <v>12648</v>
      </c>
      <c r="B1713" s="4">
        <v>285761243</v>
      </c>
    </row>
    <row r="1714" customHeight="1" spans="1:2">
      <c r="A1714" s="3" t="s">
        <v>11092</v>
      </c>
      <c r="B1714" s="4">
        <v>17518220</v>
      </c>
    </row>
    <row r="1715" customHeight="1" spans="1:2">
      <c r="A1715" s="3" t="s">
        <v>13056</v>
      </c>
      <c r="B1715" s="4">
        <v>10443316</v>
      </c>
    </row>
    <row r="1716" customHeight="1" spans="1:2">
      <c r="A1716" s="3" t="s">
        <v>22897</v>
      </c>
      <c r="B1716" s="4"/>
    </row>
    <row r="1717" customHeight="1" spans="1:2">
      <c r="A1717" s="3" t="s">
        <v>1587</v>
      </c>
      <c r="B1717" s="4">
        <v>50026353</v>
      </c>
    </row>
    <row r="1718" customHeight="1" spans="1:2">
      <c r="A1718" s="3" t="s">
        <v>21316</v>
      </c>
      <c r="B1718" s="4">
        <v>2859955</v>
      </c>
    </row>
    <row r="1719" customHeight="1" spans="1:2">
      <c r="A1719" s="3" t="s">
        <v>1181</v>
      </c>
      <c r="B1719" s="4">
        <v>532031025</v>
      </c>
    </row>
    <row r="1720" customHeight="1" spans="1:2">
      <c r="A1720" s="3" t="s">
        <v>10451</v>
      </c>
      <c r="B1720" s="4">
        <v>19783777</v>
      </c>
    </row>
    <row r="1721" customHeight="1" spans="1:2">
      <c r="A1721" s="3" t="s">
        <v>11823</v>
      </c>
      <c r="B1721" s="4">
        <v>30222640</v>
      </c>
    </row>
    <row r="1722" customHeight="1" spans="1:2">
      <c r="A1722" s="3" t="s">
        <v>8627</v>
      </c>
      <c r="B1722" s="4">
        <v>10134754</v>
      </c>
    </row>
    <row r="1723" customHeight="1" spans="1:2">
      <c r="A1723" s="3" t="s">
        <v>12108</v>
      </c>
      <c r="B1723" s="4">
        <v>51053787</v>
      </c>
    </row>
    <row r="1724" customHeight="1" spans="1:2">
      <c r="A1724" s="3" t="s">
        <v>3327</v>
      </c>
      <c r="B1724" s="4">
        <v>119654900</v>
      </c>
    </row>
    <row r="1725" customHeight="1" spans="1:2">
      <c r="A1725" s="3" t="s">
        <v>22296</v>
      </c>
      <c r="B1725" s="4">
        <v>7830611</v>
      </c>
    </row>
    <row r="1726" customHeight="1" spans="1:2">
      <c r="A1726" s="3" t="s">
        <v>13111</v>
      </c>
      <c r="B1726" s="4">
        <v>8080116</v>
      </c>
    </row>
    <row r="1727" customHeight="1" spans="1:2">
      <c r="A1727" s="3" t="s">
        <v>3921</v>
      </c>
      <c r="B1727" s="4">
        <v>108012170</v>
      </c>
    </row>
    <row r="1728" customHeight="1" spans="1:2">
      <c r="A1728" s="3" t="s">
        <v>8241</v>
      </c>
      <c r="B1728" s="4">
        <v>60033780</v>
      </c>
    </row>
    <row r="1729" customHeight="1" spans="1:2">
      <c r="A1729" s="3" t="s">
        <v>8220</v>
      </c>
      <c r="B1729" s="4">
        <v>63536011</v>
      </c>
    </row>
    <row r="1730" customHeight="1" spans="1:2">
      <c r="A1730" s="3" t="s">
        <v>6454</v>
      </c>
      <c r="B1730" s="4">
        <v>54414716</v>
      </c>
    </row>
    <row r="1731" customHeight="1" spans="1:2">
      <c r="A1731" s="3" t="s">
        <v>7271</v>
      </c>
      <c r="B1731" s="4">
        <v>117528646</v>
      </c>
    </row>
    <row r="1732" customHeight="1" spans="1:2">
      <c r="A1732" s="3" t="s">
        <v>23313</v>
      </c>
      <c r="B1732" s="4"/>
    </row>
    <row r="1733" customHeight="1" spans="1:2">
      <c r="A1733" s="3" t="s">
        <v>3152</v>
      </c>
      <c r="B1733" s="4">
        <v>34636443</v>
      </c>
    </row>
    <row r="1734" customHeight="1" spans="1:2">
      <c r="A1734" s="3" t="s">
        <v>18126</v>
      </c>
      <c r="B1734" s="4">
        <v>47277326</v>
      </c>
    </row>
    <row r="1735" customHeight="1" spans="1:2">
      <c r="A1735" s="3" t="s">
        <v>16341</v>
      </c>
      <c r="B1735" s="4">
        <v>17544812</v>
      </c>
    </row>
    <row r="1736" customHeight="1" spans="1:2">
      <c r="A1736" s="3" t="s">
        <v>12458</v>
      </c>
      <c r="B1736" s="4">
        <v>23618786</v>
      </c>
    </row>
    <row r="1737" customHeight="1" spans="1:2">
      <c r="A1737" s="3" t="s">
        <v>7591</v>
      </c>
      <c r="B1737" s="4">
        <v>34507079</v>
      </c>
    </row>
    <row r="1738" customHeight="1" spans="1:2">
      <c r="A1738" s="3" t="s">
        <v>9846</v>
      </c>
      <c r="B1738" s="4">
        <v>13920741</v>
      </c>
    </row>
    <row r="1739" customHeight="1" spans="1:2">
      <c r="A1739" s="3" t="s">
        <v>13597</v>
      </c>
      <c r="B1739" s="4">
        <v>12282677</v>
      </c>
    </row>
    <row r="1740" customHeight="1" spans="1:2">
      <c r="A1740" s="3" t="s">
        <v>7185</v>
      </c>
      <c r="B1740" s="4">
        <v>50213619</v>
      </c>
    </row>
    <row r="1741" customHeight="1" spans="1:2">
      <c r="A1741" s="3" t="s">
        <v>3060</v>
      </c>
      <c r="B1741" s="4">
        <v>73023275</v>
      </c>
    </row>
    <row r="1742" customHeight="1" spans="1:2">
      <c r="A1742" s="3" t="s">
        <v>12113</v>
      </c>
      <c r="B1742" s="4">
        <v>23472900</v>
      </c>
    </row>
    <row r="1743" customHeight="1" spans="1:2">
      <c r="A1743" s="3" t="s">
        <v>2741</v>
      </c>
      <c r="B1743" s="4">
        <v>169692572</v>
      </c>
    </row>
    <row r="1744" customHeight="1" spans="1:2">
      <c r="A1744" s="3" t="s">
        <v>2337</v>
      </c>
      <c r="B1744" s="4">
        <v>148313048</v>
      </c>
    </row>
    <row r="1745" customHeight="1" spans="1:2">
      <c r="A1745" s="3" t="s">
        <v>21143</v>
      </c>
      <c r="B1745" s="4"/>
    </row>
    <row r="1746" customHeight="1" spans="1:2">
      <c r="A1746" s="3" t="s">
        <v>16816</v>
      </c>
      <c r="B1746" s="4">
        <v>31607598</v>
      </c>
    </row>
    <row r="1747" customHeight="1" spans="1:2">
      <c r="A1747" s="3" t="s">
        <v>16560</v>
      </c>
      <c r="B1747" s="4">
        <v>12583510</v>
      </c>
    </row>
    <row r="1748" customHeight="1" spans="1:2">
      <c r="A1748" s="3" t="s">
        <v>20362</v>
      </c>
      <c r="B1748" s="4">
        <v>371081</v>
      </c>
    </row>
    <row r="1749" customHeight="1" spans="1:2">
      <c r="A1749" s="3" t="s">
        <v>14248</v>
      </c>
      <c r="B1749" s="4">
        <v>11041228</v>
      </c>
    </row>
    <row r="1750" customHeight="1" spans="1:2">
      <c r="A1750" s="3" t="s">
        <v>12373</v>
      </c>
      <c r="B1750" s="4">
        <v>13005485</v>
      </c>
    </row>
    <row r="1751" customHeight="1" spans="1:2">
      <c r="A1751" s="3" t="s">
        <v>18829</v>
      </c>
      <c r="B1751" s="4"/>
    </row>
    <row r="1752" customHeight="1" spans="1:2">
      <c r="A1752" s="3" t="s">
        <v>7471</v>
      </c>
      <c r="B1752" s="4">
        <v>64097618</v>
      </c>
    </row>
    <row r="1753" customHeight="1" spans="1:2">
      <c r="A1753" s="3" t="s">
        <v>11586</v>
      </c>
      <c r="B1753" s="4">
        <v>40846082</v>
      </c>
    </row>
    <row r="1754" customHeight="1" spans="1:2">
      <c r="A1754" s="3" t="s">
        <v>17633</v>
      </c>
      <c r="B1754" s="4">
        <v>19281235</v>
      </c>
    </row>
    <row r="1755" customHeight="1" spans="1:2">
      <c r="A1755" s="3" t="s">
        <v>21048</v>
      </c>
      <c r="B1755" s="4"/>
    </row>
    <row r="1756" customHeight="1" spans="1:2">
      <c r="A1756" s="3" t="s">
        <v>14760</v>
      </c>
      <c r="B1756" s="4">
        <v>1165104</v>
      </c>
    </row>
    <row r="1757" customHeight="1" spans="1:2">
      <c r="A1757" s="3" t="s">
        <v>1419</v>
      </c>
      <c r="B1757" s="4">
        <v>30212620</v>
      </c>
    </row>
    <row r="1758" customHeight="1" spans="1:2">
      <c r="A1758" s="3" t="s">
        <v>21265</v>
      </c>
      <c r="B1758" s="4"/>
    </row>
    <row r="1759" customHeight="1" spans="1:2">
      <c r="A1759" s="3" t="s">
        <v>14121</v>
      </c>
      <c r="B1759" s="4">
        <v>31155435</v>
      </c>
    </row>
    <row r="1760" customHeight="1" spans="1:2">
      <c r="A1760" s="3" t="s">
        <v>12285</v>
      </c>
      <c r="B1760" s="4">
        <v>7070459</v>
      </c>
    </row>
    <row r="1761" customHeight="1" spans="1:2">
      <c r="A1761" s="3" t="s">
        <v>10825</v>
      </c>
      <c r="B1761" s="4">
        <v>37672350</v>
      </c>
    </row>
    <row r="1762" customHeight="1" spans="1:2">
      <c r="A1762" s="3" t="s">
        <v>1335</v>
      </c>
      <c r="B1762" s="4">
        <v>260031035</v>
      </c>
    </row>
    <row r="1763" customHeight="1" spans="1:2">
      <c r="A1763" s="3" t="s">
        <v>14213</v>
      </c>
      <c r="B1763" s="4">
        <v>13960203</v>
      </c>
    </row>
    <row r="1764" customHeight="1" spans="1:2">
      <c r="A1764" s="3" t="s">
        <v>7140</v>
      </c>
      <c r="B1764" s="4">
        <v>46813366</v>
      </c>
    </row>
    <row r="1765" customHeight="1" spans="1:2">
      <c r="A1765" s="3" t="s">
        <v>12506</v>
      </c>
      <c r="B1765" s="4">
        <v>14108518</v>
      </c>
    </row>
    <row r="1766" customHeight="1" spans="1:2">
      <c r="A1766" s="3" t="s">
        <v>18775</v>
      </c>
      <c r="B1766" s="4"/>
    </row>
    <row r="1767" customHeight="1" spans="1:2">
      <c r="A1767" s="3" t="s">
        <v>5044</v>
      </c>
      <c r="B1767" s="4">
        <v>105807520</v>
      </c>
    </row>
    <row r="1768" customHeight="1" spans="1:2">
      <c r="A1768" s="3" t="s">
        <v>9029</v>
      </c>
      <c r="B1768" s="4">
        <v>2775593</v>
      </c>
    </row>
    <row r="1769" customHeight="1" spans="1:2">
      <c r="A1769" s="3" t="s">
        <v>1037</v>
      </c>
      <c r="B1769" s="4">
        <v>176997107</v>
      </c>
    </row>
    <row r="1770" customHeight="1" spans="1:2">
      <c r="A1770" s="3" t="s">
        <v>644</v>
      </c>
      <c r="B1770" s="4">
        <v>217387997</v>
      </c>
    </row>
    <row r="1771" customHeight="1" spans="1:2">
      <c r="A1771" s="3" t="s">
        <v>8563</v>
      </c>
      <c r="B1771" s="4">
        <v>16295774</v>
      </c>
    </row>
    <row r="1772" customHeight="1" spans="1:2">
      <c r="A1772" s="3" t="s">
        <v>16132</v>
      </c>
      <c r="B1772" s="4">
        <v>25967000</v>
      </c>
    </row>
    <row r="1773" customHeight="1" spans="1:2">
      <c r="A1773" s="3" t="s">
        <v>10192</v>
      </c>
      <c r="B1773" s="4">
        <v>4710455</v>
      </c>
    </row>
    <row r="1774" customHeight="1" spans="1:2">
      <c r="A1774" s="3" t="s">
        <v>19823</v>
      </c>
      <c r="B1774" s="4"/>
    </row>
    <row r="1775" customHeight="1" spans="1:2">
      <c r="A1775" s="3" t="s">
        <v>3804</v>
      </c>
      <c r="B1775" s="4">
        <v>17218080</v>
      </c>
    </row>
    <row r="1776" customHeight="1" spans="1:2">
      <c r="A1776" s="3" t="s">
        <v>491</v>
      </c>
      <c r="B1776" s="4">
        <v>73820094</v>
      </c>
    </row>
    <row r="1777" customHeight="1" spans="1:2">
      <c r="A1777" s="3" t="s">
        <v>1069</v>
      </c>
      <c r="B1777" s="4">
        <v>132122995</v>
      </c>
    </row>
    <row r="1778" customHeight="1" spans="1:2">
      <c r="A1778" s="3" t="s">
        <v>20384</v>
      </c>
      <c r="B1778" s="4"/>
    </row>
    <row r="1779" customHeight="1" spans="1:2">
      <c r="A1779" s="3" t="s">
        <v>19079</v>
      </c>
      <c r="B1779" s="4">
        <v>104257</v>
      </c>
    </row>
    <row r="1780" customHeight="1" spans="1:2">
      <c r="A1780" s="3" t="s">
        <v>22582</v>
      </c>
      <c r="B1780" s="4">
        <v>334041</v>
      </c>
    </row>
    <row r="1781" customHeight="1" spans="1:2">
      <c r="A1781" s="3" t="s">
        <v>19664</v>
      </c>
      <c r="B1781" s="4">
        <v>22201636</v>
      </c>
    </row>
    <row r="1782" customHeight="1" spans="1:2">
      <c r="A1782" s="3" t="s">
        <v>785</v>
      </c>
      <c r="B1782" s="4">
        <v>256386216</v>
      </c>
    </row>
    <row r="1783" customHeight="1" spans="1:2">
      <c r="A1783" s="3" t="s">
        <v>15185</v>
      </c>
      <c r="B1783" s="4">
        <v>5004648</v>
      </c>
    </row>
    <row r="1784" customHeight="1" spans="1:2">
      <c r="A1784" s="3" t="s">
        <v>5186</v>
      </c>
      <c r="B1784" s="4">
        <v>55092830</v>
      </c>
    </row>
    <row r="1785" customHeight="1" spans="1:2">
      <c r="A1785" s="3" t="s">
        <v>10379</v>
      </c>
      <c r="B1785" s="4">
        <v>40270895</v>
      </c>
    </row>
    <row r="1786" customHeight="1" spans="1:2">
      <c r="A1786" s="3" t="s">
        <v>12073</v>
      </c>
      <c r="B1786" s="4"/>
    </row>
    <row r="1787" customHeight="1" spans="1:2">
      <c r="A1787" s="3" t="s">
        <v>11592</v>
      </c>
      <c r="B1787" s="4">
        <v>51697449</v>
      </c>
    </row>
    <row r="1788" customHeight="1" spans="1:2">
      <c r="A1788" s="3" t="s">
        <v>12058</v>
      </c>
      <c r="B1788" s="4"/>
    </row>
    <row r="1789" customHeight="1" spans="1:2">
      <c r="A1789" s="3" t="s">
        <v>10163</v>
      </c>
      <c r="B1789" s="4">
        <v>9639242</v>
      </c>
    </row>
    <row r="1790" customHeight="1" spans="1:2">
      <c r="A1790" s="3" t="s">
        <v>7800</v>
      </c>
      <c r="B1790" s="4">
        <v>6543194</v>
      </c>
    </row>
    <row r="1791" customHeight="1" spans="1:2">
      <c r="A1791" s="3" t="s">
        <v>18926</v>
      </c>
      <c r="B1791" s="4">
        <v>10305534</v>
      </c>
    </row>
    <row r="1792" customHeight="1" spans="1:2">
      <c r="A1792" s="3" t="s">
        <v>10458</v>
      </c>
      <c r="B1792" s="4">
        <v>12784713</v>
      </c>
    </row>
    <row r="1793" customHeight="1" spans="1:2">
      <c r="A1793" s="3" t="s">
        <v>16695</v>
      </c>
      <c r="B1793" s="4">
        <v>1425993</v>
      </c>
    </row>
    <row r="1794" customHeight="1" spans="1:2">
      <c r="A1794" s="3" t="s">
        <v>12156</v>
      </c>
      <c r="B1794" s="4">
        <v>72219395</v>
      </c>
    </row>
    <row r="1795" customHeight="1" spans="1:2">
      <c r="A1795" s="3" t="s">
        <v>13909</v>
      </c>
      <c r="B1795" s="4">
        <v>2035566</v>
      </c>
    </row>
    <row r="1796" customHeight="1" spans="1:2">
      <c r="A1796" s="3" t="s">
        <v>11905</v>
      </c>
      <c r="B1796" s="4">
        <v>14793904</v>
      </c>
    </row>
    <row r="1797" customHeight="1" spans="1:2">
      <c r="A1797" s="3" t="s">
        <v>23788</v>
      </c>
      <c r="B1797" s="4">
        <v>33598</v>
      </c>
    </row>
    <row r="1798" customHeight="1" spans="1:2">
      <c r="A1798" s="3" t="s">
        <v>6370</v>
      </c>
      <c r="B1798" s="4">
        <v>71347010</v>
      </c>
    </row>
    <row r="1799" customHeight="1" spans="1:2">
      <c r="A1799" s="3" t="s">
        <v>20870</v>
      </c>
      <c r="B1799" s="4">
        <v>2580</v>
      </c>
    </row>
    <row r="1800" customHeight="1" spans="1:2">
      <c r="A1800" s="3" t="s">
        <v>23200</v>
      </c>
      <c r="B1800" s="4">
        <v>203134</v>
      </c>
    </row>
    <row r="1801" customHeight="1" spans="1:2">
      <c r="A1801" s="3" t="s">
        <v>21746</v>
      </c>
      <c r="B1801" s="4">
        <v>334658</v>
      </c>
    </row>
    <row r="1802" customHeight="1" spans="1:2">
      <c r="A1802" s="3" t="s">
        <v>18108</v>
      </c>
      <c r="B1802" s="4">
        <v>617228</v>
      </c>
    </row>
    <row r="1803" customHeight="1" spans="1:2">
      <c r="A1803" s="3" t="s">
        <v>20787</v>
      </c>
      <c r="B1803" s="4">
        <v>92401</v>
      </c>
    </row>
    <row r="1804" customHeight="1" spans="1:2">
      <c r="A1804" s="3" t="s">
        <v>3454</v>
      </c>
      <c r="B1804" s="4">
        <v>33105600</v>
      </c>
    </row>
    <row r="1805" customHeight="1" spans="1:2">
      <c r="A1805" s="3" t="s">
        <v>10112</v>
      </c>
      <c r="B1805" s="4">
        <v>39989008</v>
      </c>
    </row>
    <row r="1806" customHeight="1" spans="1:2">
      <c r="A1806" s="3" t="s">
        <v>13481</v>
      </c>
      <c r="B1806" s="4">
        <v>12550242</v>
      </c>
    </row>
    <row r="1807" customHeight="1" spans="1:2">
      <c r="A1807" s="3" t="s">
        <v>20983</v>
      </c>
      <c r="B1807" s="4">
        <v>194568</v>
      </c>
    </row>
    <row r="1808" customHeight="1" spans="1:2">
      <c r="A1808" s="3" t="s">
        <v>22879</v>
      </c>
      <c r="B1808" s="4">
        <v>425899</v>
      </c>
    </row>
    <row r="1809" customHeight="1" spans="1:2">
      <c r="A1809" s="3" t="s">
        <v>3815</v>
      </c>
      <c r="B1809" s="4">
        <v>19059018</v>
      </c>
    </row>
    <row r="1810" customHeight="1" spans="1:2">
      <c r="A1810" s="3" t="s">
        <v>1647</v>
      </c>
      <c r="B1810" s="4">
        <v>144795350</v>
      </c>
    </row>
    <row r="1811" customHeight="1" spans="1:2">
      <c r="A1811" s="3" t="s">
        <v>3637</v>
      </c>
      <c r="B1811" s="4">
        <v>176387405</v>
      </c>
    </row>
    <row r="1812" customHeight="1" spans="1:2">
      <c r="A1812" s="3" t="s">
        <v>1993</v>
      </c>
      <c r="B1812" s="4">
        <v>161317423</v>
      </c>
    </row>
    <row r="1813" customHeight="1" spans="1:2">
      <c r="A1813" s="3" t="s">
        <v>2110</v>
      </c>
      <c r="B1813" s="4">
        <v>196573705</v>
      </c>
    </row>
    <row r="1814" customHeight="1" spans="1:2">
      <c r="A1814" s="3" t="s">
        <v>3015</v>
      </c>
      <c r="B1814" s="4">
        <v>195329763</v>
      </c>
    </row>
    <row r="1815" customHeight="1" spans="1:2">
      <c r="A1815" s="3" t="s">
        <v>9719</v>
      </c>
      <c r="B1815" s="4">
        <v>24381334</v>
      </c>
    </row>
    <row r="1816" customHeight="1" spans="1:2">
      <c r="A1816" s="3" t="s">
        <v>19754</v>
      </c>
      <c r="B1816" s="4">
        <v>3826455</v>
      </c>
    </row>
    <row r="1817" customHeight="1" spans="1:2">
      <c r="A1817" s="3" t="s">
        <v>7288</v>
      </c>
      <c r="B1817" s="4">
        <v>134455175</v>
      </c>
    </row>
    <row r="1818" customHeight="1" spans="1:2">
      <c r="A1818" s="3" t="s">
        <v>8897</v>
      </c>
      <c r="B1818" s="4">
        <v>51475962</v>
      </c>
    </row>
    <row r="1819" customHeight="1" spans="1:2">
      <c r="A1819" s="3" t="s">
        <v>19959</v>
      </c>
      <c r="B1819" s="4">
        <v>438653</v>
      </c>
    </row>
    <row r="1820" customHeight="1" spans="1:2">
      <c r="A1820" s="3" t="s">
        <v>13159</v>
      </c>
      <c r="B1820" s="4">
        <v>4002955</v>
      </c>
    </row>
    <row r="1821" customHeight="1" spans="1:2">
      <c r="A1821" s="3" t="s">
        <v>13015</v>
      </c>
      <c r="B1821" s="4">
        <v>12549485</v>
      </c>
    </row>
    <row r="1822" customHeight="1" spans="1:2">
      <c r="A1822" s="3" t="s">
        <v>14521</v>
      </c>
      <c r="B1822" s="4">
        <v>50461335</v>
      </c>
    </row>
    <row r="1823" customHeight="1" spans="1:2">
      <c r="A1823" s="3" t="s">
        <v>15693</v>
      </c>
      <c r="B1823" s="4">
        <v>4681503</v>
      </c>
    </row>
    <row r="1824" customHeight="1" spans="1:2">
      <c r="A1824" s="3" t="s">
        <v>19600</v>
      </c>
      <c r="B1824" s="4"/>
    </row>
    <row r="1825" customHeight="1" spans="1:2">
      <c r="A1825" s="3" t="s">
        <v>15292</v>
      </c>
      <c r="B1825" s="4">
        <v>836641</v>
      </c>
    </row>
    <row r="1826" customHeight="1" spans="1:2">
      <c r="A1826" s="3" t="s">
        <v>11378</v>
      </c>
      <c r="B1826" s="4">
        <v>4001121</v>
      </c>
    </row>
    <row r="1827" customHeight="1" spans="1:2">
      <c r="A1827" s="3" t="s">
        <v>15337</v>
      </c>
      <c r="B1827" s="4">
        <v>228524</v>
      </c>
    </row>
    <row r="1828" customHeight="1" spans="1:2">
      <c r="A1828" s="3" t="s">
        <v>16283</v>
      </c>
      <c r="B1828" s="4">
        <v>671240</v>
      </c>
    </row>
    <row r="1829" customHeight="1" spans="1:2">
      <c r="A1829" s="3" t="s">
        <v>4797</v>
      </c>
      <c r="B1829" s="4">
        <v>16088610</v>
      </c>
    </row>
    <row r="1830" customHeight="1" spans="1:2">
      <c r="A1830" s="3" t="s">
        <v>3147</v>
      </c>
      <c r="B1830" s="4">
        <v>83503161</v>
      </c>
    </row>
    <row r="1831" customHeight="1" spans="1:2">
      <c r="A1831" s="3" t="s">
        <v>20038</v>
      </c>
      <c r="B1831" s="4"/>
    </row>
    <row r="1832" customHeight="1" spans="1:2">
      <c r="A1832" s="3" t="s">
        <v>6821</v>
      </c>
      <c r="B1832" s="4">
        <v>6114237</v>
      </c>
    </row>
    <row r="1833" customHeight="1" spans="1:2">
      <c r="A1833" s="3" t="s">
        <v>7321</v>
      </c>
      <c r="B1833" s="4">
        <v>63826569</v>
      </c>
    </row>
    <row r="1834" customHeight="1" spans="1:2">
      <c r="A1834" s="3" t="s">
        <v>13118</v>
      </c>
      <c r="B1834" s="4">
        <v>7757130</v>
      </c>
    </row>
    <row r="1835" customHeight="1" spans="1:2">
      <c r="A1835" s="3" t="s">
        <v>18900</v>
      </c>
      <c r="B1835" s="4"/>
    </row>
    <row r="1836" customHeight="1" spans="1:2">
      <c r="A1836" s="3" t="s">
        <v>8601</v>
      </c>
      <c r="B1836" s="4">
        <v>11900000</v>
      </c>
    </row>
    <row r="1837" customHeight="1" spans="1:2">
      <c r="A1837" s="3" t="s">
        <v>9288</v>
      </c>
      <c r="B1837" s="4">
        <v>45489752</v>
      </c>
    </row>
    <row r="1838" customHeight="1" spans="1:2">
      <c r="A1838" s="3" t="s">
        <v>21875</v>
      </c>
      <c r="B1838" s="4">
        <v>721</v>
      </c>
    </row>
    <row r="1839" customHeight="1" spans="1:2">
      <c r="A1839" s="3" t="s">
        <v>20781</v>
      </c>
      <c r="B1839" s="4">
        <v>35918429</v>
      </c>
    </row>
    <row r="1840" customHeight="1" spans="1:2">
      <c r="A1840" s="3" t="s">
        <v>23988</v>
      </c>
      <c r="B1840" s="4">
        <v>2856622</v>
      </c>
    </row>
    <row r="1841" customHeight="1" spans="1:2">
      <c r="A1841" s="3" t="s">
        <v>14299</v>
      </c>
      <c r="B1841" s="4">
        <v>4717455</v>
      </c>
    </row>
    <row r="1842" customHeight="1" spans="1:2">
      <c r="A1842" s="3" t="s">
        <v>1900</v>
      </c>
      <c r="B1842" s="4">
        <v>24985612</v>
      </c>
    </row>
    <row r="1843" customHeight="1" spans="1:2">
      <c r="A1843" s="3" t="s">
        <v>20131</v>
      </c>
      <c r="B1843" s="4"/>
    </row>
    <row r="1844" customHeight="1" spans="1:2">
      <c r="A1844" s="3" t="s">
        <v>13886</v>
      </c>
      <c r="B1844" s="4">
        <v>301305</v>
      </c>
    </row>
    <row r="1845" customHeight="1" spans="1:2">
      <c r="A1845" s="3" t="s">
        <v>14737</v>
      </c>
      <c r="B1845" s="4">
        <v>11043445</v>
      </c>
    </row>
    <row r="1846" customHeight="1" spans="1:2">
      <c r="A1846" s="3" t="s">
        <v>4412</v>
      </c>
      <c r="B1846" s="4">
        <v>4535117</v>
      </c>
    </row>
    <row r="1847" customHeight="1" spans="1:2">
      <c r="A1847" s="3" t="s">
        <v>19030</v>
      </c>
      <c r="B1847" s="4"/>
    </row>
    <row r="1848" customHeight="1" spans="1:2">
      <c r="A1848" s="3" t="s">
        <v>20330</v>
      </c>
      <c r="B1848" s="4">
        <v>1134049</v>
      </c>
    </row>
    <row r="1849" customHeight="1" spans="1:2">
      <c r="A1849" s="3" t="s">
        <v>10285</v>
      </c>
      <c r="B1849" s="4">
        <v>6777589</v>
      </c>
    </row>
    <row r="1850" customHeight="1" spans="1:2">
      <c r="A1850" s="3" t="s">
        <v>7420</v>
      </c>
      <c r="B1850" s="4">
        <v>37553932</v>
      </c>
    </row>
    <row r="1851" customHeight="1" spans="1:2">
      <c r="A1851" s="3" t="s">
        <v>16555</v>
      </c>
      <c r="B1851" s="4">
        <v>14003141</v>
      </c>
    </row>
    <row r="1852" customHeight="1" spans="1:2">
      <c r="A1852" s="3" t="s">
        <v>16822</v>
      </c>
      <c r="B1852" s="4">
        <v>6857096</v>
      </c>
    </row>
    <row r="1853" customHeight="1" spans="1:2">
      <c r="A1853" s="3" t="s">
        <v>666</v>
      </c>
      <c r="B1853" s="4">
        <v>292568851</v>
      </c>
    </row>
    <row r="1854" customHeight="1" spans="1:2">
      <c r="A1854" s="3" t="s">
        <v>5692</v>
      </c>
      <c r="B1854" s="4"/>
    </row>
    <row r="1855" customHeight="1" spans="1:2">
      <c r="A1855" s="3" t="s">
        <v>21121</v>
      </c>
      <c r="B1855" s="4">
        <v>36830</v>
      </c>
    </row>
    <row r="1856" customHeight="1" spans="1:2">
      <c r="A1856" s="3" t="s">
        <v>2983</v>
      </c>
      <c r="B1856" s="4">
        <v>306124059</v>
      </c>
    </row>
    <row r="1857" customHeight="1" spans="1:2">
      <c r="A1857" s="3" t="s">
        <v>637</v>
      </c>
      <c r="B1857" s="4">
        <v>102315545</v>
      </c>
    </row>
    <row r="1858" customHeight="1" spans="1:2">
      <c r="A1858" s="3" t="s">
        <v>20742</v>
      </c>
      <c r="B1858" s="4"/>
    </row>
    <row r="1859" customHeight="1" spans="1:2">
      <c r="A1859" s="3" t="s">
        <v>394</v>
      </c>
      <c r="B1859" s="4">
        <v>317011114</v>
      </c>
    </row>
    <row r="1860" customHeight="1" spans="1:2">
      <c r="A1860" s="3" t="s">
        <v>5522</v>
      </c>
      <c r="B1860" s="4">
        <v>197171806</v>
      </c>
    </row>
    <row r="1861" customHeight="1" spans="1:2">
      <c r="A1861" s="3" t="s">
        <v>8838</v>
      </c>
      <c r="B1861" s="4">
        <v>179870271</v>
      </c>
    </row>
    <row r="1862" customHeight="1" spans="1:2">
      <c r="A1862" s="3" t="s">
        <v>23740</v>
      </c>
      <c r="B1862" s="4"/>
    </row>
    <row r="1863" customHeight="1" spans="1:2">
      <c r="A1863" s="3" t="s">
        <v>11689</v>
      </c>
      <c r="B1863" s="4">
        <v>560512</v>
      </c>
    </row>
    <row r="1864" customHeight="1" spans="1:2">
      <c r="A1864" s="3" t="s">
        <v>18741</v>
      </c>
      <c r="B1864" s="4">
        <v>4063</v>
      </c>
    </row>
    <row r="1865" customHeight="1" spans="1:2">
      <c r="A1865" s="3" t="s">
        <v>13869</v>
      </c>
      <c r="B1865" s="4">
        <v>1150403</v>
      </c>
    </row>
    <row r="1866" customHeight="1" spans="1:2">
      <c r="A1866" s="3" t="s">
        <v>3324</v>
      </c>
      <c r="B1866" s="4">
        <v>120523073</v>
      </c>
    </row>
    <row r="1867" customHeight="1" spans="1:2">
      <c r="A1867" s="3" t="s">
        <v>11293</v>
      </c>
      <c r="B1867" s="4">
        <v>8093318</v>
      </c>
    </row>
    <row r="1868" customHeight="1" spans="1:2">
      <c r="A1868" s="3" t="s">
        <v>23276</v>
      </c>
      <c r="B1868" s="4"/>
    </row>
    <row r="1869" customHeight="1" spans="1:2">
      <c r="A1869" s="3" t="s">
        <v>4395</v>
      </c>
      <c r="B1869" s="4">
        <v>17281832</v>
      </c>
    </row>
    <row r="1870" customHeight="1" spans="1:2">
      <c r="A1870" s="3" t="s">
        <v>20339</v>
      </c>
      <c r="B1870" s="4">
        <v>653621</v>
      </c>
    </row>
    <row r="1871" customHeight="1" spans="1:2">
      <c r="A1871" s="3" t="s">
        <v>20257</v>
      </c>
      <c r="B1871" s="4">
        <v>4311834</v>
      </c>
    </row>
    <row r="1872" customHeight="1" spans="1:2">
      <c r="A1872" s="3" t="s">
        <v>14649</v>
      </c>
      <c r="B1872" s="4">
        <v>13214255</v>
      </c>
    </row>
    <row r="1873" customHeight="1" spans="1:2">
      <c r="A1873" s="3" t="s">
        <v>5079</v>
      </c>
      <c r="B1873" s="4">
        <v>88504640</v>
      </c>
    </row>
    <row r="1874" customHeight="1" spans="1:2">
      <c r="A1874" s="3" t="s">
        <v>545</v>
      </c>
      <c r="B1874" s="4">
        <v>356454367</v>
      </c>
    </row>
    <row r="1875" customHeight="1" spans="1:2">
      <c r="A1875" s="3" t="s">
        <v>20929</v>
      </c>
      <c r="B1875" s="4">
        <v>53991137</v>
      </c>
    </row>
    <row r="1876" customHeight="1" spans="1:2">
      <c r="A1876" s="3" t="s">
        <v>17522</v>
      </c>
      <c r="B1876" s="4">
        <v>83574831</v>
      </c>
    </row>
    <row r="1877" customHeight="1" spans="1:2">
      <c r="A1877" s="3" t="s">
        <v>14882</v>
      </c>
      <c r="B1877" s="4">
        <v>52200504</v>
      </c>
    </row>
    <row r="1878" customHeight="1" spans="1:2">
      <c r="A1878" s="3" t="s">
        <v>22686</v>
      </c>
      <c r="B1878" s="4"/>
    </row>
    <row r="1879" customHeight="1" spans="1:2">
      <c r="A1879" s="3" t="s">
        <v>5662</v>
      </c>
      <c r="B1879" s="4">
        <v>67263182</v>
      </c>
    </row>
    <row r="1880" customHeight="1" spans="1:2">
      <c r="A1880" s="3" t="s">
        <v>3038</v>
      </c>
      <c r="B1880" s="4">
        <v>97360069</v>
      </c>
    </row>
    <row r="1881" customHeight="1" spans="1:2">
      <c r="A1881" s="3" t="s">
        <v>4741</v>
      </c>
      <c r="B1881" s="4">
        <v>34098563</v>
      </c>
    </row>
    <row r="1882" customHeight="1" spans="1:2">
      <c r="A1882" s="3" t="s">
        <v>17561</v>
      </c>
      <c r="B1882" s="4">
        <v>44456509</v>
      </c>
    </row>
    <row r="1883" customHeight="1" spans="1:2">
      <c r="A1883" s="3" t="s">
        <v>1541</v>
      </c>
      <c r="B1883" s="4">
        <v>129995817</v>
      </c>
    </row>
    <row r="1884" customHeight="1" spans="1:2">
      <c r="A1884" s="3" t="s">
        <v>663</v>
      </c>
      <c r="B1884" s="4">
        <v>187991439</v>
      </c>
    </row>
    <row r="1885" customHeight="1" spans="1:2">
      <c r="A1885" s="3" t="s">
        <v>22269</v>
      </c>
      <c r="B1885" s="4">
        <v>47329</v>
      </c>
    </row>
    <row r="1886" customHeight="1" spans="1:2">
      <c r="A1886" s="3" t="s">
        <v>5053</v>
      </c>
      <c r="B1886" s="4">
        <v>105264608</v>
      </c>
    </row>
    <row r="1887" customHeight="1" spans="1:2">
      <c r="A1887" s="3" t="s">
        <v>5410</v>
      </c>
      <c r="B1887" s="4">
        <v>18472363</v>
      </c>
    </row>
    <row r="1888" customHeight="1" spans="1:2">
      <c r="A1888" s="3" t="s">
        <v>15566</v>
      </c>
      <c r="B1888" s="4"/>
    </row>
    <row r="1889" customHeight="1" spans="1:2">
      <c r="A1889" s="3" t="s">
        <v>5243</v>
      </c>
      <c r="B1889" s="4">
        <v>47553512</v>
      </c>
    </row>
    <row r="1890" customHeight="1" spans="1:2">
      <c r="A1890" s="3" t="s">
        <v>11071</v>
      </c>
      <c r="B1890" s="4">
        <v>18352454</v>
      </c>
    </row>
    <row r="1891" customHeight="1" spans="1:2">
      <c r="A1891" s="3" t="s">
        <v>5074</v>
      </c>
      <c r="B1891" s="4">
        <v>127997349</v>
      </c>
    </row>
    <row r="1892" customHeight="1" spans="1:2">
      <c r="A1892" s="3" t="s">
        <v>4265</v>
      </c>
      <c r="B1892" s="4">
        <v>35096190</v>
      </c>
    </row>
    <row r="1893" customHeight="1" spans="1:2">
      <c r="A1893" s="3" t="s">
        <v>22935</v>
      </c>
      <c r="B1893" s="4"/>
    </row>
    <row r="1894" customHeight="1" spans="1:2">
      <c r="A1894" s="3" t="s">
        <v>14578</v>
      </c>
      <c r="B1894" s="4">
        <v>4884663</v>
      </c>
    </row>
    <row r="1895" customHeight="1" spans="1:2">
      <c r="A1895" s="3" t="s">
        <v>14968</v>
      </c>
      <c r="B1895" s="4"/>
    </row>
    <row r="1896" customHeight="1" spans="1:2">
      <c r="A1896" s="3" t="s">
        <v>4227</v>
      </c>
      <c r="B1896" s="4">
        <v>37479778</v>
      </c>
    </row>
    <row r="1897" customHeight="1" spans="1:2">
      <c r="A1897" s="3" t="s">
        <v>7239</v>
      </c>
      <c r="B1897" s="4">
        <v>2126511</v>
      </c>
    </row>
    <row r="1898" customHeight="1" spans="1:2">
      <c r="A1898" s="3" t="s">
        <v>18981</v>
      </c>
      <c r="B1898" s="4">
        <v>220234</v>
      </c>
    </row>
    <row r="1899" customHeight="1" spans="1:2">
      <c r="A1899" s="3" t="s">
        <v>22236</v>
      </c>
      <c r="B1899" s="4"/>
    </row>
    <row r="1900" customHeight="1" spans="1:2">
      <c r="A1900" s="3" t="s">
        <v>17410</v>
      </c>
      <c r="B1900" s="4">
        <v>1292119</v>
      </c>
    </row>
    <row r="1901" customHeight="1" spans="1:2">
      <c r="A1901" s="3" t="s">
        <v>554</v>
      </c>
      <c r="B1901" s="4">
        <v>312057433</v>
      </c>
    </row>
    <row r="1902" customHeight="1" spans="1:2">
      <c r="A1902" s="3" t="s">
        <v>253</v>
      </c>
      <c r="B1902" s="4">
        <v>408992272</v>
      </c>
    </row>
    <row r="1903" customHeight="1" spans="1:2">
      <c r="A1903" s="3" t="s">
        <v>485</v>
      </c>
      <c r="B1903" s="4">
        <v>318298180</v>
      </c>
    </row>
    <row r="1904" customHeight="1" spans="1:2">
      <c r="A1904" s="3" t="s">
        <v>10055</v>
      </c>
      <c r="B1904" s="4"/>
    </row>
    <row r="1905" customHeight="1" spans="1:2">
      <c r="A1905" s="3" t="s">
        <v>22447</v>
      </c>
      <c r="B1905" s="4"/>
    </row>
    <row r="1906" customHeight="1" spans="1:2">
      <c r="A1906" s="3" t="s">
        <v>17454</v>
      </c>
      <c r="B1906" s="4">
        <v>753501</v>
      </c>
    </row>
    <row r="1907" customHeight="1" spans="1:2">
      <c r="A1907" s="3" t="s">
        <v>6747</v>
      </c>
      <c r="B1907" s="4">
        <v>14375181</v>
      </c>
    </row>
    <row r="1908" customHeight="1" spans="1:2">
      <c r="A1908" s="3" t="s">
        <v>7220</v>
      </c>
      <c r="B1908" s="4">
        <v>2954405</v>
      </c>
    </row>
    <row r="1909" customHeight="1" spans="1:2">
      <c r="A1909" s="3" t="s">
        <v>20143</v>
      </c>
      <c r="B1909" s="4">
        <v>14673301</v>
      </c>
    </row>
    <row r="1910" customHeight="1" spans="1:2">
      <c r="A1910" s="3" t="s">
        <v>23006</v>
      </c>
      <c r="B1910" s="4"/>
    </row>
    <row r="1911" customHeight="1" spans="1:2">
      <c r="A1911" s="3" t="s">
        <v>15540</v>
      </c>
      <c r="B1911" s="4">
        <v>46300000</v>
      </c>
    </row>
    <row r="1912" customHeight="1" spans="1:2">
      <c r="A1912" s="3" t="s">
        <v>15471</v>
      </c>
      <c r="B1912" s="4"/>
    </row>
    <row r="1913" customHeight="1" spans="1:2">
      <c r="A1913" s="3" t="s">
        <v>19171</v>
      </c>
      <c r="B1913" s="4"/>
    </row>
    <row r="1914" customHeight="1" spans="1:2">
      <c r="A1914" s="3" t="s">
        <v>20390</v>
      </c>
      <c r="B1914" s="4">
        <v>120620</v>
      </c>
    </row>
    <row r="1915" customHeight="1" spans="1:2">
      <c r="A1915" s="3" t="s">
        <v>9256</v>
      </c>
      <c r="B1915" s="4"/>
    </row>
    <row r="1916" customHeight="1" spans="1:2">
      <c r="A1916" s="3" t="s">
        <v>2380</v>
      </c>
      <c r="B1916" s="4">
        <v>112703470</v>
      </c>
    </row>
    <row r="1917" customHeight="1" spans="1:2">
      <c r="A1917" s="3" t="s">
        <v>16163</v>
      </c>
      <c r="B1917" s="4">
        <v>6350058</v>
      </c>
    </row>
    <row r="1918" customHeight="1" spans="1:2">
      <c r="A1918" s="3" t="s">
        <v>7478</v>
      </c>
      <c r="B1918" s="4">
        <v>37304950</v>
      </c>
    </row>
    <row r="1919" customHeight="1" spans="1:2">
      <c r="A1919" s="3" t="s">
        <v>15588</v>
      </c>
      <c r="B1919" s="4">
        <v>3047539</v>
      </c>
    </row>
    <row r="1920" customHeight="1" spans="1:2">
      <c r="A1920" s="3" t="s">
        <v>2941</v>
      </c>
      <c r="B1920" s="4">
        <v>74158157</v>
      </c>
    </row>
    <row r="1921" customHeight="1" spans="1:2">
      <c r="A1921" s="3" t="s">
        <v>20066</v>
      </c>
      <c r="B1921" s="4"/>
    </row>
    <row r="1922" customHeight="1" spans="1:2">
      <c r="A1922" s="3" t="s">
        <v>4060</v>
      </c>
      <c r="B1922" s="4">
        <v>160067286</v>
      </c>
    </row>
    <row r="1923" customHeight="1" spans="1:2">
      <c r="A1923" s="3" t="s">
        <v>4164</v>
      </c>
      <c r="B1923" s="4">
        <v>50549107</v>
      </c>
    </row>
    <row r="1924" customHeight="1" spans="1:2">
      <c r="A1924" s="3" t="s">
        <v>362</v>
      </c>
      <c r="B1924" s="4">
        <v>65171860</v>
      </c>
    </row>
    <row r="1925" customHeight="1" spans="1:2">
      <c r="A1925" s="3" t="s">
        <v>10671</v>
      </c>
      <c r="B1925" s="4">
        <v>117224271</v>
      </c>
    </row>
    <row r="1926" customHeight="1" spans="1:2">
      <c r="A1926" s="3" t="s">
        <v>14512</v>
      </c>
      <c r="B1926" s="4">
        <v>72755517</v>
      </c>
    </row>
    <row r="1927" customHeight="1" spans="1:2">
      <c r="A1927" s="3" t="s">
        <v>17535</v>
      </c>
      <c r="B1927" s="4">
        <v>64267897</v>
      </c>
    </row>
    <row r="1928" customHeight="1" spans="1:2">
      <c r="A1928" s="3" t="s">
        <v>14068</v>
      </c>
      <c r="B1928" s="4">
        <v>39647595</v>
      </c>
    </row>
    <row r="1929" customHeight="1" spans="1:2">
      <c r="A1929" s="3" t="s">
        <v>5457</v>
      </c>
      <c r="B1929" s="4">
        <v>9795017</v>
      </c>
    </row>
    <row r="1930" customHeight="1" spans="1:2">
      <c r="A1930" s="3" t="s">
        <v>13151</v>
      </c>
      <c r="B1930" s="4">
        <v>4956401</v>
      </c>
    </row>
    <row r="1931" customHeight="1" spans="1:2">
      <c r="A1931" s="3" t="s">
        <v>10090</v>
      </c>
      <c r="B1931" s="4">
        <v>1512815</v>
      </c>
    </row>
    <row r="1932" customHeight="1" spans="1:2">
      <c r="A1932" s="3" t="s">
        <v>3250</v>
      </c>
      <c r="B1932" s="4">
        <v>62647540</v>
      </c>
    </row>
    <row r="1933" customHeight="1" spans="1:2">
      <c r="A1933" s="3" t="s">
        <v>1372</v>
      </c>
      <c r="B1933" s="4">
        <v>108521835</v>
      </c>
    </row>
    <row r="1934" customHeight="1" spans="1:2">
      <c r="A1934" s="3" t="s">
        <v>19267</v>
      </c>
      <c r="B1934" s="4">
        <v>15935068</v>
      </c>
    </row>
    <row r="1935" customHeight="1" spans="1:2">
      <c r="A1935" s="3" t="s">
        <v>19244</v>
      </c>
      <c r="B1935" s="4">
        <v>19472057</v>
      </c>
    </row>
    <row r="1936" customHeight="1" spans="1:2">
      <c r="A1936" s="3" t="s">
        <v>13487</v>
      </c>
      <c r="B1936" s="4">
        <v>12610731</v>
      </c>
    </row>
    <row r="1937" customHeight="1" spans="1:2">
      <c r="A1937" s="3" t="s">
        <v>19405</v>
      </c>
      <c r="B1937" s="4">
        <v>3071947</v>
      </c>
    </row>
    <row r="1938" customHeight="1" spans="1:2">
      <c r="A1938" s="3" t="s">
        <v>10677</v>
      </c>
      <c r="B1938" s="4">
        <v>102922376</v>
      </c>
    </row>
    <row r="1939" customHeight="1" spans="1:2">
      <c r="A1939" s="3" t="s">
        <v>14012</v>
      </c>
      <c r="B1939" s="4">
        <v>260000000</v>
      </c>
    </row>
    <row r="1940" customHeight="1" spans="1:2">
      <c r="A1940" s="3" t="s">
        <v>10263</v>
      </c>
      <c r="B1940" s="4">
        <v>20763013</v>
      </c>
    </row>
    <row r="1941" customHeight="1" spans="1:2">
      <c r="A1941" s="3" t="s">
        <v>10433</v>
      </c>
      <c r="B1941" s="4">
        <v>30059386</v>
      </c>
    </row>
    <row r="1942" customHeight="1" spans="1:2">
      <c r="A1942" s="3" t="s">
        <v>9614</v>
      </c>
      <c r="B1942" s="4">
        <v>35143332</v>
      </c>
    </row>
    <row r="1943" customHeight="1" spans="1:2">
      <c r="A1943" s="3" t="s">
        <v>14837</v>
      </c>
      <c r="B1943" s="4">
        <v>37470017</v>
      </c>
    </row>
    <row r="1944" customHeight="1" spans="1:2">
      <c r="A1944" s="3" t="s">
        <v>15178</v>
      </c>
      <c r="B1944" s="4">
        <v>4244155</v>
      </c>
    </row>
    <row r="1945" customHeight="1" spans="1:2">
      <c r="A1945" s="3" t="s">
        <v>13537</v>
      </c>
      <c r="B1945" s="4">
        <v>2474000</v>
      </c>
    </row>
    <row r="1946" customHeight="1" spans="1:2">
      <c r="A1946" s="3" t="s">
        <v>17883</v>
      </c>
      <c r="B1946" s="4"/>
    </row>
    <row r="1947" customHeight="1" spans="1:2">
      <c r="A1947" s="3" t="s">
        <v>12486</v>
      </c>
      <c r="B1947" s="4">
        <v>16204793</v>
      </c>
    </row>
    <row r="1948" customHeight="1" spans="1:2">
      <c r="A1948" s="3" t="s">
        <v>5012</v>
      </c>
      <c r="B1948" s="4">
        <v>153620822</v>
      </c>
    </row>
    <row r="1949" customHeight="1" spans="1:2">
      <c r="A1949" s="3" t="s">
        <v>6511</v>
      </c>
      <c r="B1949" s="4">
        <v>47034272</v>
      </c>
    </row>
    <row r="1950" customHeight="1" spans="1:2">
      <c r="A1950" s="3" t="s">
        <v>7510</v>
      </c>
      <c r="B1950" s="4">
        <v>25266129</v>
      </c>
    </row>
    <row r="1951" customHeight="1" spans="1:2">
      <c r="A1951" s="3" t="s">
        <v>22022</v>
      </c>
      <c r="B1951" s="4"/>
    </row>
    <row r="1952" customHeight="1" spans="1:2">
      <c r="A1952" s="3" t="s">
        <v>23291</v>
      </c>
      <c r="B1952" s="4"/>
    </row>
    <row r="1953" customHeight="1" spans="1:2">
      <c r="A1953" s="3" t="s">
        <v>19855</v>
      </c>
      <c r="B1953" s="4">
        <v>1282084</v>
      </c>
    </row>
    <row r="1954" customHeight="1" spans="1:2">
      <c r="A1954" s="3" t="s">
        <v>6380</v>
      </c>
      <c r="B1954" s="4">
        <v>70405498</v>
      </c>
    </row>
    <row r="1955" customHeight="1" spans="1:2">
      <c r="A1955" s="3" t="s">
        <v>21911</v>
      </c>
      <c r="B1955" s="4"/>
    </row>
    <row r="1956" customHeight="1" spans="1:2">
      <c r="A1956" s="3" t="s">
        <v>9436</v>
      </c>
      <c r="B1956" s="4">
        <v>80920948</v>
      </c>
    </row>
    <row r="1957" customHeight="1" spans="1:2">
      <c r="A1957" s="3" t="s">
        <v>14702</v>
      </c>
      <c r="B1957" s="4">
        <v>399879</v>
      </c>
    </row>
    <row r="1958" customHeight="1" spans="1:2">
      <c r="A1958" s="3" t="s">
        <v>4111</v>
      </c>
      <c r="B1958" s="4">
        <v>60573641</v>
      </c>
    </row>
    <row r="1959" customHeight="1" spans="1:2">
      <c r="A1959" s="3" t="s">
        <v>12446</v>
      </c>
      <c r="B1959" s="4">
        <v>27087695</v>
      </c>
    </row>
    <row r="1960" customHeight="1" spans="1:2">
      <c r="A1960" s="3" t="s">
        <v>7022</v>
      </c>
      <c r="B1960" s="4">
        <v>22770864</v>
      </c>
    </row>
    <row r="1961" customHeight="1" spans="1:2">
      <c r="A1961" s="3" t="s">
        <v>18639</v>
      </c>
      <c r="B1961" s="4">
        <v>371897</v>
      </c>
    </row>
    <row r="1962" customHeight="1" spans="1:2">
      <c r="A1962" s="3" t="s">
        <v>77</v>
      </c>
      <c r="B1962" s="4">
        <v>73058679</v>
      </c>
    </row>
    <row r="1963" customHeight="1" spans="1:2">
      <c r="A1963" s="3" t="s">
        <v>7153</v>
      </c>
      <c r="B1963" s="4">
        <v>71026631</v>
      </c>
    </row>
    <row r="1964" customHeight="1" spans="1:2">
      <c r="A1964" s="3" t="s">
        <v>5995</v>
      </c>
      <c r="B1964" s="4">
        <v>8129455</v>
      </c>
    </row>
    <row r="1965" customHeight="1" spans="1:2">
      <c r="A1965" s="3" t="s">
        <v>5871</v>
      </c>
      <c r="B1965" s="4">
        <v>27972410</v>
      </c>
    </row>
    <row r="1966" customHeight="1" spans="1:2">
      <c r="A1966" s="3" t="s">
        <v>22622</v>
      </c>
      <c r="B1966" s="4"/>
    </row>
    <row r="1967" customHeight="1" spans="1:2">
      <c r="A1967" s="3" t="s">
        <v>14118</v>
      </c>
      <c r="B1967" s="4">
        <v>31179516</v>
      </c>
    </row>
    <row r="1968" customHeight="1" spans="1:2">
      <c r="A1968" s="3" t="s">
        <v>5672</v>
      </c>
      <c r="B1968" s="4">
        <v>10539414</v>
      </c>
    </row>
    <row r="1969" customHeight="1" spans="1:2">
      <c r="A1969" s="3" t="s">
        <v>13425</v>
      </c>
      <c r="B1969" s="4">
        <v>25571351</v>
      </c>
    </row>
    <row r="1970" customHeight="1" spans="1:2">
      <c r="A1970" s="3" t="s">
        <v>10448</v>
      </c>
      <c r="B1970" s="4">
        <v>14252830</v>
      </c>
    </row>
    <row r="1971" customHeight="1" spans="1:2">
      <c r="A1971" s="3" t="s">
        <v>2924</v>
      </c>
      <c r="B1971" s="4">
        <v>103812241</v>
      </c>
    </row>
    <row r="1972" customHeight="1" spans="1:2">
      <c r="A1972" s="3" t="s">
        <v>21175</v>
      </c>
      <c r="B1972" s="4">
        <v>638951</v>
      </c>
    </row>
    <row r="1973" customHeight="1" spans="1:2">
      <c r="A1973" s="3" t="s">
        <v>19721</v>
      </c>
      <c r="B1973" s="4"/>
    </row>
    <row r="1974" customHeight="1" spans="1:2">
      <c r="A1974" s="3" t="s">
        <v>5719</v>
      </c>
      <c r="B1974" s="4">
        <v>101702060</v>
      </c>
    </row>
    <row r="1975" customHeight="1" spans="1:2">
      <c r="A1975" s="3" t="s">
        <v>10238</v>
      </c>
      <c r="B1975" s="4">
        <v>21973182</v>
      </c>
    </row>
    <row r="1976" customHeight="1" spans="1:2">
      <c r="A1976" s="3" t="s">
        <v>4169</v>
      </c>
      <c r="B1976" s="4">
        <v>56443482</v>
      </c>
    </row>
    <row r="1977" customHeight="1" spans="1:2">
      <c r="A1977" s="3" t="s">
        <v>10495</v>
      </c>
      <c r="B1977" s="4">
        <v>1050445</v>
      </c>
    </row>
    <row r="1978" customHeight="1" spans="1:2">
      <c r="A1978" s="3" t="s">
        <v>9113</v>
      </c>
      <c r="B1978" s="4">
        <v>30920167</v>
      </c>
    </row>
    <row r="1979" customHeight="1" spans="1:2">
      <c r="A1979" s="3" t="s">
        <v>19298</v>
      </c>
      <c r="B1979" s="4"/>
    </row>
    <row r="1980" customHeight="1" spans="1:2">
      <c r="A1980" s="3" t="s">
        <v>17252</v>
      </c>
      <c r="B1980" s="4"/>
    </row>
    <row r="1981" customHeight="1" spans="1:2">
      <c r="A1981" s="3" t="s">
        <v>6328</v>
      </c>
      <c r="B1981" s="4">
        <v>94125426</v>
      </c>
    </row>
    <row r="1982" customHeight="1" spans="1:2">
      <c r="A1982" s="3" t="s">
        <v>22472</v>
      </c>
      <c r="B1982" s="4"/>
    </row>
    <row r="1983" customHeight="1" spans="1:2">
      <c r="A1983" s="3" t="s">
        <v>2509</v>
      </c>
      <c r="B1983" s="4">
        <v>80170146</v>
      </c>
    </row>
    <row r="1984" customHeight="1" spans="1:2">
      <c r="A1984" s="3" t="s">
        <v>16493</v>
      </c>
      <c r="B1984" s="4">
        <v>37295394</v>
      </c>
    </row>
    <row r="1985" customHeight="1" spans="1:2">
      <c r="A1985" s="3" t="s">
        <v>15455</v>
      </c>
      <c r="B1985" s="4"/>
    </row>
    <row r="1986" customHeight="1" spans="1:2">
      <c r="A1986" s="3" t="s">
        <v>16441</v>
      </c>
      <c r="B1986" s="4">
        <v>286985680</v>
      </c>
    </row>
    <row r="1987" customHeight="1" spans="1:2">
      <c r="A1987" s="3" t="s">
        <v>447</v>
      </c>
      <c r="B1987" s="4">
        <v>47375327</v>
      </c>
    </row>
    <row r="1988" customHeight="1" spans="1:2">
      <c r="A1988" s="3" t="s">
        <v>2035</v>
      </c>
      <c r="B1988" s="4">
        <v>181166115</v>
      </c>
    </row>
    <row r="1989" customHeight="1" spans="1:2">
      <c r="A1989" s="3" t="s">
        <v>3862</v>
      </c>
      <c r="B1989" s="4">
        <v>356784000</v>
      </c>
    </row>
    <row r="1990" customHeight="1" spans="1:2">
      <c r="A1990" s="3" t="s">
        <v>238</v>
      </c>
      <c r="B1990" s="4">
        <v>652177271</v>
      </c>
    </row>
    <row r="1991" customHeight="1" spans="1:2">
      <c r="A1991" s="3" t="s">
        <v>2626</v>
      </c>
      <c r="B1991" s="4">
        <v>103028109</v>
      </c>
    </row>
    <row r="1992" customHeight="1" spans="1:2">
      <c r="A1992" s="3" t="s">
        <v>4464</v>
      </c>
      <c r="B1992" s="4">
        <v>48291624</v>
      </c>
    </row>
    <row r="1993" customHeight="1" spans="1:2">
      <c r="A1993" s="3" t="s">
        <v>19518</v>
      </c>
      <c r="B1993" s="4">
        <v>39852</v>
      </c>
    </row>
    <row r="1994" customHeight="1" spans="1:2">
      <c r="A1994" s="3" t="s">
        <v>11607</v>
      </c>
      <c r="B1994" s="4">
        <v>56127162</v>
      </c>
    </row>
    <row r="1995" customHeight="1" spans="1:2">
      <c r="A1995" s="3" t="s">
        <v>8990</v>
      </c>
      <c r="B1995" s="4">
        <v>17324744</v>
      </c>
    </row>
    <row r="1996" customHeight="1" spans="1:2">
      <c r="A1996" s="3" t="s">
        <v>6832</v>
      </c>
      <c r="B1996" s="4">
        <v>4777007</v>
      </c>
    </row>
    <row r="1997" customHeight="1" spans="1:2">
      <c r="A1997" s="3" t="s">
        <v>14219</v>
      </c>
      <c r="B1997" s="4">
        <v>21520719</v>
      </c>
    </row>
    <row r="1998" customHeight="1" spans="1:2">
      <c r="A1998" s="3" t="s">
        <v>13650</v>
      </c>
      <c r="B1998" s="4">
        <v>73000942</v>
      </c>
    </row>
    <row r="1999" customHeight="1" spans="1:2">
      <c r="A1999" s="3" t="s">
        <v>12608</v>
      </c>
      <c r="B1999" s="4">
        <v>13571817</v>
      </c>
    </row>
    <row r="2000" customHeight="1" spans="1:2">
      <c r="A2000" s="3" t="s">
        <v>2275</v>
      </c>
      <c r="B2000" s="4">
        <v>35168677</v>
      </c>
    </row>
    <row r="2001" customHeight="1" spans="1:2">
      <c r="A2001" s="3" t="s">
        <v>14709</v>
      </c>
      <c r="B2001" s="4">
        <v>3275443</v>
      </c>
    </row>
    <row r="2002" customHeight="1" spans="1:2">
      <c r="A2002" s="3" t="s">
        <v>19369</v>
      </c>
      <c r="B2002" s="4">
        <v>4109095</v>
      </c>
    </row>
    <row r="2003" customHeight="1" spans="1:2">
      <c r="A2003" s="3" t="s">
        <v>4084</v>
      </c>
      <c r="B2003" s="4">
        <v>66734992</v>
      </c>
    </row>
    <row r="2004" customHeight="1" spans="1:2">
      <c r="A2004" s="3" t="s">
        <v>11684</v>
      </c>
      <c r="B2004" s="4">
        <v>1292527</v>
      </c>
    </row>
    <row r="2005" customHeight="1" spans="1:2">
      <c r="A2005" s="3" t="s">
        <v>21893</v>
      </c>
      <c r="B2005" s="4"/>
    </row>
    <row r="2006" customHeight="1" spans="1:2">
      <c r="A2006" s="3" t="s">
        <v>5573</v>
      </c>
      <c r="B2006" s="4">
        <v>47095453</v>
      </c>
    </row>
    <row r="2007" customHeight="1" spans="1:2">
      <c r="A2007" s="3" t="s">
        <v>14137</v>
      </c>
      <c r="B2007" s="4">
        <v>25240988</v>
      </c>
    </row>
    <row r="2008" customHeight="1" spans="1:2">
      <c r="A2008" s="3" t="s">
        <v>12947</v>
      </c>
      <c r="B2008" s="4">
        <v>20566327</v>
      </c>
    </row>
    <row r="2009" customHeight="1" spans="1:2">
      <c r="A2009" s="3" t="s">
        <v>8784</v>
      </c>
      <c r="B2009" s="4">
        <v>37036404</v>
      </c>
    </row>
    <row r="2010" customHeight="1" spans="1:2">
      <c r="A2010" s="3" t="s">
        <v>17855</v>
      </c>
      <c r="B2010" s="4">
        <v>4328294</v>
      </c>
    </row>
    <row r="2011" customHeight="1" spans="1:2">
      <c r="A2011" s="3" t="s">
        <v>22249</v>
      </c>
      <c r="B2011" s="4">
        <v>7705974</v>
      </c>
    </row>
    <row r="2012" customHeight="1" spans="1:2">
      <c r="A2012" s="3" t="s">
        <v>19830</v>
      </c>
      <c r="B2012" s="4">
        <v>32230907</v>
      </c>
    </row>
    <row r="2013" customHeight="1" spans="1:2">
      <c r="A2013" s="3" t="s">
        <v>17368</v>
      </c>
      <c r="B2013" s="4">
        <v>352684</v>
      </c>
    </row>
    <row r="2014" customHeight="1" spans="1:2">
      <c r="A2014" s="3" t="s">
        <v>13292</v>
      </c>
      <c r="B2014" s="4"/>
    </row>
    <row r="2015" customHeight="1" spans="1:2">
      <c r="A2015" s="3" t="s">
        <v>9034</v>
      </c>
      <c r="B2015" s="4">
        <v>28751715</v>
      </c>
    </row>
    <row r="2016" customHeight="1" spans="1:2">
      <c r="A2016" s="3" t="s">
        <v>8939</v>
      </c>
      <c r="B2016" s="4">
        <v>48043505</v>
      </c>
    </row>
    <row r="2017" customHeight="1" spans="1:2">
      <c r="A2017" s="3" t="s">
        <v>20913</v>
      </c>
      <c r="B2017" s="4"/>
    </row>
    <row r="2018" customHeight="1" spans="1:2">
      <c r="A2018" s="3" t="s">
        <v>5823</v>
      </c>
      <c r="B2018" s="4">
        <v>52580895</v>
      </c>
    </row>
    <row r="2019" customHeight="1" spans="1:2">
      <c r="A2019" s="3" t="s">
        <v>16041</v>
      </c>
      <c r="B2019" s="4"/>
    </row>
    <row r="2020" customHeight="1" spans="1:2">
      <c r="A2020" s="3" t="s">
        <v>20895</v>
      </c>
      <c r="B2020" s="4">
        <v>7417210</v>
      </c>
    </row>
    <row r="2021" customHeight="1" spans="1:2">
      <c r="A2021" s="3" t="s">
        <v>4649</v>
      </c>
      <c r="B2021" s="4">
        <v>70098138</v>
      </c>
    </row>
    <row r="2022" customHeight="1" spans="1:2">
      <c r="A2022" s="3" t="s">
        <v>4663</v>
      </c>
      <c r="B2022" s="4">
        <v>66207920</v>
      </c>
    </row>
    <row r="2023" customHeight="1" spans="1:2">
      <c r="A2023" s="3" t="s">
        <v>22253</v>
      </c>
      <c r="B2023" s="4">
        <v>26297</v>
      </c>
    </row>
    <row r="2024" customHeight="1" spans="1:2">
      <c r="A2024" s="3" t="s">
        <v>17912</v>
      </c>
      <c r="B2024" s="4">
        <v>2445646</v>
      </c>
    </row>
    <row r="2025" customHeight="1" spans="1:2">
      <c r="A2025" s="3" t="s">
        <v>3477</v>
      </c>
      <c r="B2025" s="4">
        <v>25093607</v>
      </c>
    </row>
    <row r="2026" customHeight="1" spans="1:2">
      <c r="A2026" s="3" t="s">
        <v>15270</v>
      </c>
      <c r="B2026" s="4">
        <v>1987762</v>
      </c>
    </row>
    <row r="2027" customHeight="1" spans="1:2">
      <c r="A2027" s="3" t="s">
        <v>3106</v>
      </c>
      <c r="B2027" s="4">
        <v>47000485</v>
      </c>
    </row>
    <row r="2028" customHeight="1" spans="1:2">
      <c r="A2028" s="3" t="s">
        <v>12982</v>
      </c>
      <c r="B2028" s="4">
        <v>14938570</v>
      </c>
    </row>
    <row r="2029" customHeight="1" spans="1:2">
      <c r="A2029" s="3" t="s">
        <v>20961</v>
      </c>
      <c r="B2029" s="4">
        <v>418953</v>
      </c>
    </row>
    <row r="2030" customHeight="1" spans="1:2">
      <c r="A2030" s="3" t="s">
        <v>9237</v>
      </c>
      <c r="B2030" s="4">
        <v>91457688</v>
      </c>
    </row>
    <row r="2031" customHeight="1" spans="1:2">
      <c r="A2031" s="3" t="s">
        <v>211</v>
      </c>
      <c r="B2031" s="4">
        <v>654153780</v>
      </c>
    </row>
    <row r="2032" customHeight="1" spans="1:2">
      <c r="A2032" s="3" t="s">
        <v>1651</v>
      </c>
      <c r="B2032" s="4">
        <v>47396698</v>
      </c>
    </row>
    <row r="2033" customHeight="1" spans="1:2">
      <c r="A2033" s="3" t="s">
        <v>22511</v>
      </c>
      <c r="B2033" s="4">
        <v>17000000</v>
      </c>
    </row>
    <row r="2034" customHeight="1" spans="1:2">
      <c r="A2034" s="3" t="s">
        <v>9703</v>
      </c>
      <c r="B2034" s="4">
        <v>24944213</v>
      </c>
    </row>
    <row r="2035" customHeight="1" spans="1:2">
      <c r="A2035" s="3" t="s">
        <v>9976</v>
      </c>
      <c r="B2035" s="4">
        <v>4006906</v>
      </c>
    </row>
    <row r="2036" customHeight="1" spans="1:2">
      <c r="A2036" s="3" t="s">
        <v>14616</v>
      </c>
      <c r="B2036" s="4">
        <v>10214647</v>
      </c>
    </row>
    <row r="2037" customHeight="1" spans="1:2">
      <c r="A2037" s="3" t="s">
        <v>13155</v>
      </c>
      <c r="B2037" s="4">
        <v>4235837</v>
      </c>
    </row>
    <row r="2038" customHeight="1" spans="1:2">
      <c r="A2038" s="3" t="s">
        <v>6729</v>
      </c>
      <c r="B2038" s="4">
        <v>14942422</v>
      </c>
    </row>
    <row r="2039" customHeight="1" spans="1:2">
      <c r="A2039" s="3" t="s">
        <v>9586</v>
      </c>
      <c r="B2039" s="4">
        <v>36833473</v>
      </c>
    </row>
    <row r="2040" customHeight="1" spans="1:2">
      <c r="A2040" s="3" t="s">
        <v>22638</v>
      </c>
      <c r="B2040" s="4">
        <v>31937</v>
      </c>
    </row>
    <row r="2041" customHeight="1" spans="1:2">
      <c r="A2041" s="3" t="s">
        <v>9096</v>
      </c>
      <c r="B2041" s="4">
        <v>60491560</v>
      </c>
    </row>
    <row r="2042" customHeight="1" spans="1:2">
      <c r="A2042" s="3" t="s">
        <v>20907</v>
      </c>
      <c r="B2042" s="4">
        <v>7022940</v>
      </c>
    </row>
    <row r="2043" customHeight="1" spans="1:2">
      <c r="A2043" s="3" t="s">
        <v>14986</v>
      </c>
      <c r="B2043" s="4">
        <v>17655201</v>
      </c>
    </row>
    <row r="2044" customHeight="1" spans="1:2">
      <c r="A2044" s="3" t="s">
        <v>15573</v>
      </c>
      <c r="B2044" s="4">
        <v>1602466</v>
      </c>
    </row>
    <row r="2045" customHeight="1" spans="1:2">
      <c r="A2045" s="3" t="s">
        <v>1425</v>
      </c>
      <c r="B2045" s="4">
        <v>76418654</v>
      </c>
    </row>
    <row r="2046" customHeight="1" spans="1:2">
      <c r="A2046" s="3" t="s">
        <v>7662</v>
      </c>
      <c r="B2046" s="4">
        <v>10076136</v>
      </c>
    </row>
    <row r="2047" customHeight="1" spans="1:2">
      <c r="A2047" s="3" t="s">
        <v>13028</v>
      </c>
      <c r="B2047" s="4">
        <v>11632420</v>
      </c>
    </row>
    <row r="2048" customHeight="1" spans="1:2">
      <c r="A2048" s="3" t="s">
        <v>9055</v>
      </c>
      <c r="B2048" s="4">
        <v>148734225</v>
      </c>
    </row>
    <row r="2049" customHeight="1" spans="1:2">
      <c r="A2049" s="3" t="s">
        <v>5097</v>
      </c>
      <c r="B2049" s="4">
        <v>79948113</v>
      </c>
    </row>
    <row r="2050" customHeight="1" spans="1:2">
      <c r="A2050" s="3" t="s">
        <v>5569</v>
      </c>
      <c r="B2050" s="4">
        <v>50173190</v>
      </c>
    </row>
    <row r="2051" customHeight="1" spans="1:2">
      <c r="A2051" s="3" t="s">
        <v>12781</v>
      </c>
      <c r="B2051" s="4">
        <v>42592530</v>
      </c>
    </row>
    <row r="2052" customHeight="1" spans="1:2">
      <c r="A2052" s="3" t="s">
        <v>15262</v>
      </c>
      <c r="B2052" s="4"/>
    </row>
    <row r="2053" customHeight="1" spans="1:2">
      <c r="A2053" s="3" t="s">
        <v>7620</v>
      </c>
      <c r="B2053" s="4"/>
    </row>
    <row r="2054" customHeight="1" spans="1:2">
      <c r="A2054" s="3" t="s">
        <v>19287</v>
      </c>
      <c r="B2054" s="4"/>
    </row>
    <row r="2055" customHeight="1" spans="1:2">
      <c r="A2055" s="3" t="s">
        <v>9023</v>
      </c>
      <c r="B2055" s="4">
        <v>5532301</v>
      </c>
    </row>
    <row r="2056" customHeight="1" spans="1:2">
      <c r="A2056" s="3" t="s">
        <v>11100</v>
      </c>
      <c r="B2056" s="4">
        <v>17104669</v>
      </c>
    </row>
    <row r="2057" customHeight="1" spans="1:2">
      <c r="A2057" s="3" t="s">
        <v>10067</v>
      </c>
      <c r="B2057" s="4">
        <v>129115</v>
      </c>
    </row>
    <row r="2058" customHeight="1" spans="1:2">
      <c r="A2058" s="3" t="s">
        <v>910</v>
      </c>
      <c r="B2058" s="4">
        <v>165230261</v>
      </c>
    </row>
    <row r="2059" customHeight="1" spans="1:2">
      <c r="A2059" s="3" t="s">
        <v>995</v>
      </c>
      <c r="B2059" s="4">
        <v>143523463</v>
      </c>
    </row>
    <row r="2060" customHeight="1" spans="1:2">
      <c r="A2060" s="3" t="s">
        <v>1163</v>
      </c>
      <c r="B2060" s="4">
        <v>215395021</v>
      </c>
    </row>
    <row r="2061" customHeight="1" spans="1:2">
      <c r="A2061" s="3" t="s">
        <v>14998</v>
      </c>
      <c r="B2061" s="4">
        <v>16033556</v>
      </c>
    </row>
    <row r="2062" customHeight="1" spans="1:2">
      <c r="A2062" s="3" t="s">
        <v>22046</v>
      </c>
      <c r="B2062" s="4">
        <v>20186</v>
      </c>
    </row>
    <row r="2063" customHeight="1" spans="1:2">
      <c r="A2063" s="3" t="s">
        <v>7313</v>
      </c>
      <c r="B2063" s="4">
        <v>64604977</v>
      </c>
    </row>
    <row r="2064" customHeight="1" spans="1:2">
      <c r="A2064" s="3" t="s">
        <v>22310</v>
      </c>
      <c r="B2064" s="4">
        <v>1141829</v>
      </c>
    </row>
    <row r="2065" customHeight="1" spans="1:2">
      <c r="A2065" s="3" t="s">
        <v>16863</v>
      </c>
      <c r="B2065" s="4">
        <v>54215416</v>
      </c>
    </row>
    <row r="2066" customHeight="1" spans="1:2">
      <c r="A2066" s="3" t="s">
        <v>14777</v>
      </c>
      <c r="B2066" s="4"/>
    </row>
    <row r="2067" customHeight="1" spans="1:2">
      <c r="A2067" s="3" t="s">
        <v>18969</v>
      </c>
      <c r="B2067" s="4">
        <v>886410</v>
      </c>
    </row>
    <row r="2068" customHeight="1" spans="1:2">
      <c r="A2068" s="3" t="s">
        <v>11973</v>
      </c>
      <c r="B2068" s="4">
        <v>13362308</v>
      </c>
    </row>
    <row r="2069" customHeight="1" spans="1:2">
      <c r="A2069" s="3" t="s">
        <v>4057</v>
      </c>
      <c r="B2069" s="4">
        <v>74540762</v>
      </c>
    </row>
    <row r="2070" customHeight="1" spans="1:2">
      <c r="A2070" s="3" t="s">
        <v>3356</v>
      </c>
      <c r="B2070" s="4">
        <v>42272747</v>
      </c>
    </row>
    <row r="2071" customHeight="1" spans="1:2">
      <c r="A2071" s="3" t="s">
        <v>18138</v>
      </c>
      <c r="B2071" s="4">
        <v>1705139</v>
      </c>
    </row>
    <row r="2072" customHeight="1" spans="1:2">
      <c r="A2072" s="3" t="s">
        <v>18303</v>
      </c>
      <c r="B2072" s="4">
        <v>211667</v>
      </c>
    </row>
    <row r="2073" customHeight="1" spans="1:2">
      <c r="A2073" s="3" t="s">
        <v>11059</v>
      </c>
      <c r="B2073" s="4"/>
    </row>
    <row r="2074" customHeight="1" spans="1:2">
      <c r="A2074" s="3" t="s">
        <v>19694</v>
      </c>
      <c r="B2074" s="4"/>
    </row>
    <row r="2075" customHeight="1" spans="1:2">
      <c r="A2075" s="3" t="s">
        <v>21492</v>
      </c>
      <c r="B2075" s="4"/>
    </row>
    <row r="2076" customHeight="1" spans="1:2">
      <c r="A2076" s="3" t="s">
        <v>17262</v>
      </c>
      <c r="B2076" s="4">
        <v>23807</v>
      </c>
    </row>
    <row r="2077" customHeight="1" spans="1:2">
      <c r="A2077" s="3" t="s">
        <v>9123</v>
      </c>
      <c r="B2077" s="4">
        <v>31768374</v>
      </c>
    </row>
    <row r="2078" customHeight="1" spans="1:2">
      <c r="A2078" s="3" t="s">
        <v>10817</v>
      </c>
      <c r="B2078" s="4">
        <v>39263506</v>
      </c>
    </row>
    <row r="2079" customHeight="1" spans="1:2">
      <c r="A2079" s="3" t="s">
        <v>11700</v>
      </c>
      <c r="B2079" s="4">
        <v>20433940</v>
      </c>
    </row>
    <row r="2080" customHeight="1" spans="1:2">
      <c r="A2080" s="3" t="s">
        <v>1878</v>
      </c>
      <c r="B2080" s="4">
        <v>49392095</v>
      </c>
    </row>
    <row r="2081" customHeight="1" spans="1:2">
      <c r="A2081" s="3" t="s">
        <v>2228</v>
      </c>
      <c r="B2081" s="4">
        <v>65653758</v>
      </c>
    </row>
    <row r="2082" customHeight="1" spans="1:2">
      <c r="A2082" s="3" t="s">
        <v>2024</v>
      </c>
      <c r="B2082" s="4">
        <v>131144183</v>
      </c>
    </row>
    <row r="2083" customHeight="1" spans="1:2">
      <c r="A2083" s="3" t="s">
        <v>8415</v>
      </c>
      <c r="B2083" s="4">
        <v>35565975</v>
      </c>
    </row>
    <row r="2084" customHeight="1" spans="1:2">
      <c r="A2084" s="3" t="s">
        <v>12243</v>
      </c>
      <c r="B2084" s="4">
        <v>15655665</v>
      </c>
    </row>
    <row r="2085" customHeight="1" spans="1:2">
      <c r="A2085" s="3" t="s">
        <v>13957</v>
      </c>
      <c r="B2085" s="4">
        <v>5949693</v>
      </c>
    </row>
    <row r="2086" customHeight="1" spans="1:2">
      <c r="A2086" s="3" t="s">
        <v>2410</v>
      </c>
      <c r="B2086" s="4">
        <v>50016394</v>
      </c>
    </row>
    <row r="2087" customHeight="1" spans="1:2">
      <c r="A2087" s="3" t="s">
        <v>5844</v>
      </c>
      <c r="B2087" s="4">
        <v>38360195</v>
      </c>
    </row>
    <row r="2088" customHeight="1" spans="1:2">
      <c r="A2088" s="3" t="s">
        <v>3611</v>
      </c>
      <c r="B2088" s="4"/>
    </row>
    <row r="2089" customHeight="1" spans="1:2">
      <c r="A2089" s="3" t="s">
        <v>14307</v>
      </c>
      <c r="B2089" s="4">
        <v>2326407</v>
      </c>
    </row>
    <row r="2090" customHeight="1" spans="1:2">
      <c r="A2090" s="3" t="s">
        <v>8900</v>
      </c>
      <c r="B2090" s="4">
        <v>63910583</v>
      </c>
    </row>
    <row r="2091" customHeight="1" spans="1:2">
      <c r="A2091" s="3" t="s">
        <v>22100</v>
      </c>
      <c r="B2091" s="4">
        <v>819939</v>
      </c>
    </row>
    <row r="2092" customHeight="1" spans="1:2">
      <c r="A2092" s="3" t="s">
        <v>17302</v>
      </c>
      <c r="B2092" s="4">
        <v>3895664</v>
      </c>
    </row>
    <row r="2093" customHeight="1" spans="1:2">
      <c r="A2093" s="3" t="s">
        <v>4901</v>
      </c>
      <c r="B2093" s="4">
        <v>73343413</v>
      </c>
    </row>
    <row r="2094" customHeight="1" spans="1:2">
      <c r="A2094" s="3" t="s">
        <v>12820</v>
      </c>
      <c r="B2094" s="4">
        <v>6000000</v>
      </c>
    </row>
    <row r="2095" customHeight="1" spans="1:2">
      <c r="A2095" s="3" t="s">
        <v>7985</v>
      </c>
      <c r="B2095" s="4">
        <v>17848322</v>
      </c>
    </row>
    <row r="2096" customHeight="1" spans="1:2">
      <c r="A2096" s="3" t="s">
        <v>16909</v>
      </c>
      <c r="B2096" s="4">
        <v>2338695</v>
      </c>
    </row>
    <row r="2097" customHeight="1" spans="1:2">
      <c r="A2097" s="3" t="s">
        <v>17449</v>
      </c>
      <c r="B2097" s="4">
        <v>611709</v>
      </c>
    </row>
    <row r="2098" customHeight="1" spans="1:2">
      <c r="A2098" s="3" t="s">
        <v>11656</v>
      </c>
      <c r="B2098" s="4">
        <v>12561</v>
      </c>
    </row>
    <row r="2099" customHeight="1" spans="1:2">
      <c r="A2099" s="3" t="s">
        <v>4483</v>
      </c>
      <c r="B2099" s="4">
        <v>31199215</v>
      </c>
    </row>
    <row r="2100" customHeight="1" spans="1:2">
      <c r="A2100" s="3" t="s">
        <v>18460</v>
      </c>
      <c r="B2100" s="4">
        <v>31968347</v>
      </c>
    </row>
    <row r="2101" customHeight="1" spans="1:2">
      <c r="A2101" s="3" t="s">
        <v>8119</v>
      </c>
      <c r="B2101" s="4">
        <v>116631310</v>
      </c>
    </row>
    <row r="2102" customHeight="1" spans="1:2">
      <c r="A2102" s="3" t="s">
        <v>11751</v>
      </c>
      <c r="B2102" s="4">
        <v>27996564</v>
      </c>
    </row>
    <row r="2103" customHeight="1" spans="1:2">
      <c r="A2103" s="3" t="s">
        <v>6480</v>
      </c>
      <c r="B2103" s="4">
        <v>49851591</v>
      </c>
    </row>
    <row r="2104" customHeight="1" spans="1:2">
      <c r="A2104" s="3" t="s">
        <v>9473</v>
      </c>
      <c r="B2104" s="4">
        <v>89808372</v>
      </c>
    </row>
    <row r="2105" customHeight="1" spans="1:2">
      <c r="A2105" s="3" t="s">
        <v>11735</v>
      </c>
      <c r="B2105" s="4">
        <v>95001351</v>
      </c>
    </row>
    <row r="2106" customHeight="1" spans="1:2">
      <c r="A2106" s="3" t="s">
        <v>14417</v>
      </c>
      <c r="B2106" s="4"/>
    </row>
    <row r="2107" customHeight="1" spans="1:2">
      <c r="A2107" s="3" t="s">
        <v>1856</v>
      </c>
      <c r="B2107" s="4">
        <v>55673333</v>
      </c>
    </row>
    <row r="2108" customHeight="1" spans="1:2">
      <c r="A2108" s="3" t="s">
        <v>9841</v>
      </c>
      <c r="B2108" s="4">
        <v>1865774</v>
      </c>
    </row>
    <row r="2109" customHeight="1" spans="1:2">
      <c r="A2109" s="3" t="s">
        <v>3504</v>
      </c>
      <c r="B2109" s="4">
        <v>8460990</v>
      </c>
    </row>
    <row r="2110" customHeight="1" spans="1:2">
      <c r="A2110" s="3" t="s">
        <v>8184</v>
      </c>
      <c r="B2110" s="4">
        <v>66528842</v>
      </c>
    </row>
    <row r="2111" customHeight="1" spans="1:2">
      <c r="A2111" s="3" t="s">
        <v>9281</v>
      </c>
      <c r="B2111" s="4">
        <v>40168080</v>
      </c>
    </row>
    <row r="2112" customHeight="1" spans="1:2">
      <c r="A2112" s="3" t="s">
        <v>11471</v>
      </c>
      <c r="B2112" s="4">
        <v>146072</v>
      </c>
    </row>
    <row r="2113" customHeight="1" spans="1:2">
      <c r="A2113" s="3" t="s">
        <v>3666</v>
      </c>
      <c r="B2113" s="4">
        <v>148775460</v>
      </c>
    </row>
    <row r="2114" customHeight="1" spans="1:2">
      <c r="A2114" s="3" t="s">
        <v>16684</v>
      </c>
      <c r="B2114" s="4">
        <v>700000</v>
      </c>
    </row>
    <row r="2115" customHeight="1" spans="1:2">
      <c r="A2115" s="3" t="s">
        <v>11212</v>
      </c>
      <c r="B2115" s="4">
        <v>12134420</v>
      </c>
    </row>
    <row r="2116" customHeight="1" spans="1:2">
      <c r="A2116" s="3" t="s">
        <v>7255</v>
      </c>
      <c r="B2116" s="4">
        <v>144731527</v>
      </c>
    </row>
    <row r="2117" customHeight="1" spans="1:2">
      <c r="A2117" s="3" t="s">
        <v>1062</v>
      </c>
      <c r="B2117" s="4">
        <v>129734803</v>
      </c>
    </row>
    <row r="2118" customHeight="1" spans="1:2">
      <c r="A2118" s="3" t="s">
        <v>12159</v>
      </c>
      <c r="B2118" s="4">
        <v>82389560</v>
      </c>
    </row>
    <row r="2119" customHeight="1" spans="1:2">
      <c r="A2119" s="3" t="s">
        <v>18562</v>
      </c>
      <c r="B2119" s="4">
        <v>4613815</v>
      </c>
    </row>
    <row r="2120" customHeight="1" spans="1:2">
      <c r="A2120" s="3" t="s">
        <v>18146</v>
      </c>
      <c r="B2120" s="4"/>
    </row>
    <row r="2121" customHeight="1" spans="1:2">
      <c r="A2121" s="3" t="s">
        <v>13775</v>
      </c>
      <c r="B2121" s="4">
        <v>13753931</v>
      </c>
    </row>
    <row r="2122" customHeight="1" spans="1:2">
      <c r="A2122" s="3" t="s">
        <v>19442</v>
      </c>
      <c r="B2122" s="4">
        <v>2848578</v>
      </c>
    </row>
    <row r="2123" customHeight="1" spans="1:2">
      <c r="A2123" s="3" t="s">
        <v>8318</v>
      </c>
      <c r="B2123" s="4">
        <v>53021560</v>
      </c>
    </row>
    <row r="2124" customHeight="1" spans="1:2">
      <c r="A2124" s="3" t="s">
        <v>5681</v>
      </c>
      <c r="B2124" s="4">
        <v>181395380</v>
      </c>
    </row>
    <row r="2125" customHeight="1" spans="1:2">
      <c r="A2125" s="3" t="s">
        <v>6146</v>
      </c>
      <c r="B2125" s="4">
        <v>34667015</v>
      </c>
    </row>
    <row r="2126" customHeight="1" spans="1:2">
      <c r="A2126" s="3" t="s">
        <v>7387</v>
      </c>
      <c r="B2126" s="4">
        <v>43792641</v>
      </c>
    </row>
    <row r="2127" customHeight="1" spans="1:2">
      <c r="A2127" s="3" t="s">
        <v>20098</v>
      </c>
      <c r="B2127" s="4"/>
    </row>
    <row r="2128" customHeight="1" spans="1:2">
      <c r="A2128" s="3" t="s">
        <v>11898</v>
      </c>
      <c r="B2128" s="4">
        <v>15561627</v>
      </c>
    </row>
    <row r="2129" customHeight="1" spans="1:2">
      <c r="A2129" s="3" t="s">
        <v>18298</v>
      </c>
      <c r="B2129" s="4">
        <v>278821</v>
      </c>
    </row>
    <row r="2130" customHeight="1" spans="1:2">
      <c r="A2130" s="3" t="s">
        <v>1360</v>
      </c>
      <c r="B2130" s="4">
        <v>124976634</v>
      </c>
    </row>
    <row r="2131" customHeight="1" spans="1:2">
      <c r="A2131" s="3" t="s">
        <v>6755</v>
      </c>
      <c r="B2131" s="4">
        <v>14448589</v>
      </c>
    </row>
    <row r="2132" customHeight="1" spans="1:2">
      <c r="A2132" s="3" t="s">
        <v>3086</v>
      </c>
      <c r="B2132" s="4"/>
    </row>
    <row r="2133" customHeight="1" spans="1:2">
      <c r="A2133" s="3" t="s">
        <v>9863</v>
      </c>
      <c r="B2133" s="4"/>
    </row>
    <row r="2134" customHeight="1" spans="1:2">
      <c r="A2134" s="3" t="s">
        <v>22441</v>
      </c>
      <c r="B2134" s="4"/>
    </row>
    <row r="2135" customHeight="1" spans="1:2">
      <c r="A2135" s="3" t="s">
        <v>13805</v>
      </c>
      <c r="B2135" s="4">
        <v>5871603</v>
      </c>
    </row>
    <row r="2136" customHeight="1" spans="1:2">
      <c r="A2136" s="3" t="s">
        <v>17907</v>
      </c>
      <c r="B2136" s="4">
        <v>1100000</v>
      </c>
    </row>
    <row r="2137" customHeight="1" spans="1:2">
      <c r="A2137" s="3" t="s">
        <v>17540</v>
      </c>
      <c r="B2137" s="4">
        <v>56536016</v>
      </c>
    </row>
    <row r="2138" customHeight="1" spans="1:2">
      <c r="A2138" s="3" t="s">
        <v>23210</v>
      </c>
      <c r="B2138" s="4">
        <v>3388210</v>
      </c>
    </row>
    <row r="2139" customHeight="1" spans="1:2">
      <c r="A2139" s="3" t="s">
        <v>8282</v>
      </c>
      <c r="B2139" s="4">
        <v>51432423</v>
      </c>
    </row>
    <row r="2140" customHeight="1" spans="1:2">
      <c r="A2140" s="3" t="s">
        <v>2559</v>
      </c>
      <c r="B2140" s="4">
        <v>145771527</v>
      </c>
    </row>
    <row r="2141" customHeight="1" spans="1:2">
      <c r="A2141" s="3" t="s">
        <v>18328</v>
      </c>
      <c r="B2141" s="4">
        <v>181655</v>
      </c>
    </row>
    <row r="2142" customHeight="1" spans="1:2">
      <c r="A2142" s="3" t="s">
        <v>12614</v>
      </c>
      <c r="B2142" s="4"/>
    </row>
    <row r="2143" customHeight="1" spans="1:2">
      <c r="A2143" s="3" t="s">
        <v>15909</v>
      </c>
      <c r="B2143" s="4">
        <v>1997807</v>
      </c>
    </row>
    <row r="2144" customHeight="1" spans="1:2">
      <c r="A2144" s="3" t="s">
        <v>9083</v>
      </c>
      <c r="B2144" s="4"/>
    </row>
    <row r="2145" customHeight="1" spans="1:2">
      <c r="A2145" s="3" t="s">
        <v>3645</v>
      </c>
      <c r="B2145" s="4">
        <v>182204440</v>
      </c>
    </row>
    <row r="2146" customHeight="1" spans="1:2">
      <c r="A2146" s="3" t="s">
        <v>7718</v>
      </c>
      <c r="B2146" s="4"/>
    </row>
    <row r="2147" customHeight="1" spans="1:2">
      <c r="A2147" s="3" t="s">
        <v>7624</v>
      </c>
      <c r="B2147" s="4">
        <v>14998070</v>
      </c>
    </row>
    <row r="2148" customHeight="1" spans="1:2">
      <c r="A2148" s="3" t="s">
        <v>21781</v>
      </c>
      <c r="B2148" s="4">
        <v>112521</v>
      </c>
    </row>
    <row r="2149" customHeight="1" spans="1:2">
      <c r="A2149" s="3" t="s">
        <v>13203</v>
      </c>
      <c r="B2149" s="4"/>
    </row>
    <row r="2150" customHeight="1" spans="1:2">
      <c r="A2150" s="3" t="s">
        <v>23328</v>
      </c>
      <c r="B2150" s="4"/>
    </row>
    <row r="2151" customHeight="1" spans="1:2">
      <c r="A2151" s="3" t="s">
        <v>8498</v>
      </c>
      <c r="B2151" s="4">
        <v>20422207</v>
      </c>
    </row>
    <row r="2152" customHeight="1" spans="1:2">
      <c r="A2152" s="3" t="s">
        <v>11335</v>
      </c>
      <c r="B2152" s="4">
        <v>6420319</v>
      </c>
    </row>
    <row r="2153" customHeight="1" spans="1:2">
      <c r="A2153" s="3" t="s">
        <v>13512</v>
      </c>
      <c r="B2153" s="4">
        <v>5459824</v>
      </c>
    </row>
    <row r="2154" customHeight="1" spans="1:2">
      <c r="A2154" s="3" t="s">
        <v>1749</v>
      </c>
      <c r="B2154" s="4">
        <v>148383780</v>
      </c>
    </row>
    <row r="2155" customHeight="1" spans="1:2">
      <c r="A2155" s="3" t="s">
        <v>15984</v>
      </c>
      <c r="B2155" s="4">
        <v>59889948</v>
      </c>
    </row>
    <row r="2156" customHeight="1" spans="1:2">
      <c r="A2156" s="3" t="s">
        <v>8717</v>
      </c>
      <c r="B2156" s="4"/>
    </row>
    <row r="2157" customHeight="1" spans="1:2">
      <c r="A2157" s="3" t="s">
        <v>2789</v>
      </c>
      <c r="B2157" s="4">
        <v>39442871</v>
      </c>
    </row>
    <row r="2158" customHeight="1" spans="1:2">
      <c r="A2158" s="3" t="s">
        <v>8399</v>
      </c>
      <c r="B2158" s="4">
        <v>38747385</v>
      </c>
    </row>
    <row r="2159" customHeight="1" spans="1:2">
      <c r="A2159" s="3" t="s">
        <v>17140</v>
      </c>
      <c r="B2159" s="4">
        <v>4595000</v>
      </c>
    </row>
    <row r="2160" customHeight="1" spans="1:2">
      <c r="A2160" s="3" t="s">
        <v>10030</v>
      </c>
      <c r="B2160" s="4">
        <v>183662</v>
      </c>
    </row>
    <row r="2161" customHeight="1" spans="1:2">
      <c r="A2161" s="3" t="s">
        <v>12746</v>
      </c>
      <c r="B2161" s="4">
        <v>50003300</v>
      </c>
    </row>
    <row r="2162" customHeight="1" spans="1:2">
      <c r="A2162" s="3" t="s">
        <v>3884</v>
      </c>
      <c r="B2162" s="4">
        <v>58255287</v>
      </c>
    </row>
    <row r="2163" customHeight="1" spans="1:2">
      <c r="A2163" s="3" t="s">
        <v>16480</v>
      </c>
      <c r="B2163" s="4">
        <v>35400000</v>
      </c>
    </row>
    <row r="2164" customHeight="1" spans="1:2">
      <c r="A2164" s="3" t="s">
        <v>1621</v>
      </c>
      <c r="B2164" s="4">
        <v>134520804</v>
      </c>
    </row>
    <row r="2165" customHeight="1" spans="1:2">
      <c r="A2165" s="3" t="s">
        <v>22189</v>
      </c>
      <c r="B2165" s="4"/>
    </row>
    <row r="2166" customHeight="1" spans="1:2">
      <c r="A2166" s="3" t="s">
        <v>20770</v>
      </c>
      <c r="B2166" s="4"/>
    </row>
    <row r="2167" customHeight="1" spans="1:2">
      <c r="A2167" s="3" t="s">
        <v>14216</v>
      </c>
      <c r="B2167" s="4">
        <v>12902790</v>
      </c>
    </row>
    <row r="2168" customHeight="1" spans="1:2">
      <c r="A2168" s="3" t="s">
        <v>13699</v>
      </c>
      <c r="B2168" s="4">
        <v>27979400</v>
      </c>
    </row>
    <row r="2169" customHeight="1" spans="1:2">
      <c r="A2169" s="3" t="s">
        <v>21152</v>
      </c>
      <c r="B2169" s="4">
        <v>3650677</v>
      </c>
    </row>
    <row r="2170" customHeight="1" spans="1:2">
      <c r="A2170" s="3" t="s">
        <v>23108</v>
      </c>
      <c r="B2170" s="4">
        <v>2468</v>
      </c>
    </row>
    <row r="2171" customHeight="1" spans="1:2">
      <c r="A2171" s="3" t="s">
        <v>11171</v>
      </c>
      <c r="B2171" s="4">
        <v>14291570</v>
      </c>
    </row>
    <row r="2172" customHeight="1" spans="1:2">
      <c r="A2172" s="3" t="s">
        <v>16511</v>
      </c>
      <c r="B2172" s="4">
        <v>25000000</v>
      </c>
    </row>
    <row r="2173" customHeight="1" spans="1:2">
      <c r="A2173" s="3" t="s">
        <v>14695</v>
      </c>
      <c r="B2173" s="4"/>
    </row>
    <row r="2174" customHeight="1" spans="1:2">
      <c r="A2174" s="3" t="s">
        <v>4828</v>
      </c>
      <c r="B2174" s="4"/>
    </row>
    <row r="2175" customHeight="1" spans="1:2">
      <c r="A2175" s="3" t="s">
        <v>4174</v>
      </c>
      <c r="B2175" s="4">
        <v>62401264</v>
      </c>
    </row>
    <row r="2176" customHeight="1" spans="1:2">
      <c r="A2176" s="3" t="s">
        <v>22130</v>
      </c>
      <c r="B2176" s="4"/>
    </row>
    <row r="2177" customHeight="1" spans="1:2">
      <c r="A2177" s="3" t="s">
        <v>20440</v>
      </c>
      <c r="B2177" s="4">
        <v>12667</v>
      </c>
    </row>
    <row r="2178" customHeight="1" spans="1:2">
      <c r="A2178" s="3" t="s">
        <v>17732</v>
      </c>
      <c r="B2178" s="4">
        <v>13269963</v>
      </c>
    </row>
    <row r="2179" customHeight="1" spans="1:2">
      <c r="A2179" s="3" t="s">
        <v>6280</v>
      </c>
      <c r="B2179" s="4">
        <v>125069696</v>
      </c>
    </row>
    <row r="2180" customHeight="1" spans="1:2">
      <c r="A2180" s="3" t="s">
        <v>17752</v>
      </c>
      <c r="B2180" s="4">
        <v>12200000</v>
      </c>
    </row>
    <row r="2181" customHeight="1" spans="1:2">
      <c r="A2181" s="3" t="s">
        <v>22593</v>
      </c>
      <c r="B2181" s="4">
        <v>154077</v>
      </c>
    </row>
    <row r="2182" customHeight="1" spans="1:2">
      <c r="A2182" s="3" t="s">
        <v>2847</v>
      </c>
      <c r="B2182" s="4">
        <v>20950820</v>
      </c>
    </row>
    <row r="2183" customHeight="1" spans="1:2">
      <c r="A2183" s="3" t="s">
        <v>8208</v>
      </c>
      <c r="B2183" s="4">
        <v>66468315</v>
      </c>
    </row>
    <row r="2184" customHeight="1" spans="1:2">
      <c r="A2184" s="3" t="s">
        <v>15620</v>
      </c>
      <c r="B2184" s="4"/>
    </row>
    <row r="2185" customHeight="1" spans="1:2">
      <c r="A2185" s="3" t="s">
        <v>6164</v>
      </c>
      <c r="B2185" s="4">
        <v>24127895</v>
      </c>
    </row>
    <row r="2186" customHeight="1" spans="1:2">
      <c r="A2186" s="3" t="s">
        <v>9876</v>
      </c>
      <c r="B2186" s="4">
        <v>11008432</v>
      </c>
    </row>
    <row r="2187" customHeight="1" spans="1:2">
      <c r="A2187" s="3" t="s">
        <v>19044</v>
      </c>
      <c r="B2187" s="4"/>
    </row>
    <row r="2188" customHeight="1" spans="1:2">
      <c r="A2188" s="3" t="s">
        <v>11135</v>
      </c>
      <c r="B2188" s="4">
        <v>15464026</v>
      </c>
    </row>
    <row r="2189" customHeight="1" spans="1:2">
      <c r="A2189" s="3" t="s">
        <v>16671</v>
      </c>
      <c r="B2189" s="4"/>
    </row>
    <row r="2190" customHeight="1" spans="1:2">
      <c r="A2190" s="3" t="s">
        <v>2726</v>
      </c>
      <c r="B2190" s="4">
        <v>69102910</v>
      </c>
    </row>
    <row r="2191" customHeight="1" spans="1:2">
      <c r="A2191" s="3" t="s">
        <v>18437</v>
      </c>
      <c r="B2191" s="4">
        <v>44566004</v>
      </c>
    </row>
    <row r="2192" customHeight="1" spans="1:2">
      <c r="A2192" s="3" t="s">
        <v>8982</v>
      </c>
      <c r="B2192" s="4">
        <v>16779636</v>
      </c>
    </row>
    <row r="2193" customHeight="1" spans="1:2">
      <c r="A2193" s="3" t="s">
        <v>12216</v>
      </c>
      <c r="B2193" s="4">
        <v>24708699</v>
      </c>
    </row>
    <row r="2194" customHeight="1" spans="1:2">
      <c r="A2194" s="3" t="s">
        <v>12878</v>
      </c>
      <c r="B2194" s="4">
        <v>27441122</v>
      </c>
    </row>
    <row r="2195" customHeight="1" spans="1:2">
      <c r="A2195" s="3" t="s">
        <v>8541</v>
      </c>
      <c r="B2195" s="4">
        <v>32357532</v>
      </c>
    </row>
    <row r="2196" customHeight="1" spans="1:2">
      <c r="A2196" s="3" t="s">
        <v>5795</v>
      </c>
      <c r="B2196" s="4">
        <v>59365105</v>
      </c>
    </row>
    <row r="2197" customHeight="1" spans="1:2">
      <c r="A2197" s="3" t="s">
        <v>18407</v>
      </c>
      <c r="B2197" s="4">
        <v>2542264</v>
      </c>
    </row>
    <row r="2198" customHeight="1" spans="1:2">
      <c r="A2198" s="3" t="s">
        <v>23192</v>
      </c>
      <c r="B2198" s="4">
        <v>212285</v>
      </c>
    </row>
    <row r="2199" customHeight="1" spans="1:2">
      <c r="A2199" s="3" t="s">
        <v>11863</v>
      </c>
      <c r="B2199" s="4">
        <v>22927390</v>
      </c>
    </row>
    <row r="2200" customHeight="1" spans="1:2">
      <c r="A2200" s="3" t="s">
        <v>5976</v>
      </c>
      <c r="B2200" s="4">
        <v>4584886</v>
      </c>
    </row>
    <row r="2201" customHeight="1" spans="1:2">
      <c r="A2201" s="3" t="s">
        <v>22884</v>
      </c>
      <c r="B2201" s="4"/>
    </row>
    <row r="2202" customHeight="1" spans="1:2">
      <c r="A2202" s="3" t="s">
        <v>15049</v>
      </c>
      <c r="B2202" s="4">
        <v>12514138</v>
      </c>
    </row>
    <row r="2203" customHeight="1" spans="1:2">
      <c r="A2203" s="3" t="s">
        <v>22465</v>
      </c>
      <c r="B2203" s="4"/>
    </row>
    <row r="2204" customHeight="1" spans="1:2">
      <c r="A2204" s="3" t="s">
        <v>21588</v>
      </c>
      <c r="B2204" s="4"/>
    </row>
    <row r="2205" customHeight="1" spans="1:2">
      <c r="A2205" s="3" t="s">
        <v>10035</v>
      </c>
      <c r="B2205" s="4">
        <v>134904</v>
      </c>
    </row>
    <row r="2206" customHeight="1" spans="1:2">
      <c r="A2206" s="3" t="s">
        <v>18584</v>
      </c>
      <c r="B2206" s="4">
        <v>2800000</v>
      </c>
    </row>
    <row r="2207" customHeight="1" spans="1:2">
      <c r="A2207" s="3" t="s">
        <v>11889</v>
      </c>
      <c r="B2207" s="4">
        <v>26284475</v>
      </c>
    </row>
    <row r="2208" customHeight="1" spans="1:2">
      <c r="A2208" s="3" t="s">
        <v>23150</v>
      </c>
      <c r="B2208" s="4">
        <v>4186931</v>
      </c>
    </row>
    <row r="2209" customHeight="1" spans="1:2">
      <c r="A2209" s="3" t="s">
        <v>17974</v>
      </c>
      <c r="B2209" s="4">
        <v>124720</v>
      </c>
    </row>
    <row r="2210" customHeight="1" spans="1:2">
      <c r="A2210" s="3" t="s">
        <v>19462</v>
      </c>
      <c r="B2210" s="4">
        <v>252726</v>
      </c>
    </row>
    <row r="2211" customHeight="1" spans="1:2">
      <c r="A2211" s="3" t="s">
        <v>14753</v>
      </c>
      <c r="B2211" s="4"/>
    </row>
    <row r="2212" customHeight="1" spans="1:2">
      <c r="A2212" s="3" t="s">
        <v>21901</v>
      </c>
      <c r="B2212" s="4"/>
    </row>
    <row r="2213" customHeight="1" spans="1:2">
      <c r="A2213" s="3" t="s">
        <v>17248</v>
      </c>
      <c r="B2213" s="4">
        <v>54606</v>
      </c>
    </row>
    <row r="2214" customHeight="1" spans="1:2">
      <c r="A2214" s="3" t="s">
        <v>9126</v>
      </c>
      <c r="B2214" s="4">
        <v>44988974</v>
      </c>
    </row>
    <row r="2215" customHeight="1" spans="1:2">
      <c r="A2215" s="3" t="s">
        <v>3808</v>
      </c>
      <c r="B2215" s="4">
        <v>10014234</v>
      </c>
    </row>
    <row r="2216" customHeight="1" spans="1:2">
      <c r="A2216" s="3" t="s">
        <v>4918</v>
      </c>
      <c r="B2216" s="4">
        <v>5755286</v>
      </c>
    </row>
    <row r="2217" customHeight="1" spans="1:2">
      <c r="A2217" s="3" t="s">
        <v>6260</v>
      </c>
      <c r="B2217" s="4">
        <v>126546825</v>
      </c>
    </row>
    <row r="2218" customHeight="1" spans="1:2">
      <c r="A2218" s="3" t="s">
        <v>21725</v>
      </c>
      <c r="B2218" s="4">
        <v>428535</v>
      </c>
    </row>
    <row r="2219" customHeight="1" spans="1:2">
      <c r="A2219" s="3" t="s">
        <v>7699</v>
      </c>
      <c r="B2219" s="4"/>
    </row>
    <row r="2220" customHeight="1" spans="1:2">
      <c r="A2220" s="3" t="s">
        <v>18854</v>
      </c>
      <c r="B2220" s="4"/>
    </row>
    <row r="2221" customHeight="1" spans="1:2">
      <c r="A2221" s="3" t="s">
        <v>15088</v>
      </c>
      <c r="B2221" s="4">
        <v>8460995</v>
      </c>
    </row>
    <row r="2222" customHeight="1" spans="1:2">
      <c r="A2222" s="3" t="s">
        <v>11316</v>
      </c>
      <c r="B2222" s="4">
        <v>7268659</v>
      </c>
    </row>
    <row r="2223" customHeight="1" spans="1:2">
      <c r="A2223" s="3" t="s">
        <v>13984</v>
      </c>
      <c r="B2223" s="4">
        <v>26589953</v>
      </c>
    </row>
    <row r="2224" customHeight="1" spans="1:2">
      <c r="A2224" s="3" t="s">
        <v>14689</v>
      </c>
      <c r="B2224" s="4"/>
    </row>
    <row r="2225" customHeight="1" spans="1:2">
      <c r="A2225" s="3" t="s">
        <v>8725</v>
      </c>
      <c r="B2225" s="4">
        <v>537580</v>
      </c>
    </row>
    <row r="2226" customHeight="1" spans="1:2">
      <c r="A2226" s="3" t="s">
        <v>5431</v>
      </c>
      <c r="B2226" s="4">
        <v>10556196</v>
      </c>
    </row>
    <row r="2227" customHeight="1" spans="1:2">
      <c r="A2227" s="3" t="s">
        <v>22519</v>
      </c>
      <c r="B2227" s="4">
        <v>8044906</v>
      </c>
    </row>
    <row r="2228" customHeight="1" spans="1:2">
      <c r="A2228" s="3" t="s">
        <v>20156</v>
      </c>
      <c r="B2228" s="4">
        <v>9003011</v>
      </c>
    </row>
    <row r="2229" customHeight="1" spans="1:2">
      <c r="A2229" s="3" t="s">
        <v>14863</v>
      </c>
      <c r="B2229" s="4">
        <v>36200000</v>
      </c>
    </row>
    <row r="2230" customHeight="1" spans="1:2">
      <c r="A2230" s="3" t="s">
        <v>23379</v>
      </c>
      <c r="B2230" s="4"/>
    </row>
    <row r="2231" customHeight="1" spans="1:2">
      <c r="A2231" s="3" t="s">
        <v>848</v>
      </c>
      <c r="B2231" s="4">
        <v>153629485</v>
      </c>
    </row>
    <row r="2232" customHeight="1" spans="1:2">
      <c r="A2232" s="3" t="s">
        <v>10503</v>
      </c>
      <c r="B2232" s="4">
        <v>20668843</v>
      </c>
    </row>
    <row r="2233" customHeight="1" spans="1:2">
      <c r="A2233" s="3" t="s">
        <v>14467</v>
      </c>
      <c r="B2233" s="4">
        <v>48856</v>
      </c>
    </row>
    <row r="2234" customHeight="1" spans="1:2">
      <c r="A2234" s="3" t="s">
        <v>960</v>
      </c>
      <c r="B2234" s="4">
        <v>216366733</v>
      </c>
    </row>
    <row r="2235" customHeight="1" spans="1:2">
      <c r="A2235" s="3" t="s">
        <v>2992</v>
      </c>
      <c r="B2235" s="4">
        <v>193136719</v>
      </c>
    </row>
    <row r="2236" customHeight="1" spans="1:2">
      <c r="A2236" s="3" t="s">
        <v>807</v>
      </c>
      <c r="B2236" s="4">
        <v>179982968</v>
      </c>
    </row>
    <row r="2237" customHeight="1" spans="1:2">
      <c r="A2237" s="3" t="s">
        <v>16167</v>
      </c>
      <c r="B2237" s="4">
        <v>1094798</v>
      </c>
    </row>
    <row r="2238" customHeight="1" spans="1:2">
      <c r="A2238" s="3" t="s">
        <v>6504</v>
      </c>
      <c r="B2238" s="4">
        <v>46012734</v>
      </c>
    </row>
    <row r="2239" customHeight="1" spans="1:2">
      <c r="A2239" s="3" t="s">
        <v>17848</v>
      </c>
      <c r="B2239" s="4">
        <v>5308707</v>
      </c>
    </row>
    <row r="2240" customHeight="1" spans="1:2">
      <c r="A2240" s="3" t="s">
        <v>12093</v>
      </c>
      <c r="B2240" s="4">
        <v>90485233</v>
      </c>
    </row>
    <row r="2241" customHeight="1" spans="1:2">
      <c r="A2241" s="3" t="s">
        <v>14813</v>
      </c>
      <c r="B2241" s="4">
        <v>63231524</v>
      </c>
    </row>
    <row r="2242" customHeight="1" spans="1:2">
      <c r="A2242" s="3" t="s">
        <v>10745</v>
      </c>
      <c r="B2242" s="4">
        <v>65623128</v>
      </c>
    </row>
    <row r="2243" customHeight="1" spans="1:2">
      <c r="A2243" s="3" t="s">
        <v>12626</v>
      </c>
      <c r="B2243" s="4">
        <v>508867</v>
      </c>
    </row>
    <row r="2244" customHeight="1" spans="1:2">
      <c r="A2244" s="3" t="s">
        <v>18456</v>
      </c>
      <c r="B2244" s="4">
        <v>131175</v>
      </c>
    </row>
    <row r="2245" customHeight="1" spans="1:2">
      <c r="A2245" s="3" t="s">
        <v>13327</v>
      </c>
      <c r="B2245" s="4">
        <v>66009973</v>
      </c>
    </row>
    <row r="2246" customHeight="1" spans="1:2">
      <c r="A2246" s="3" t="s">
        <v>16471</v>
      </c>
      <c r="B2246" s="4">
        <v>113709992</v>
      </c>
    </row>
    <row r="2247" customHeight="1" spans="1:2">
      <c r="A2247" s="3" t="s">
        <v>7132</v>
      </c>
      <c r="B2247" s="4">
        <v>22450975</v>
      </c>
    </row>
    <row r="2248" customHeight="1" spans="1:2">
      <c r="A2248" s="3" t="s">
        <v>4622</v>
      </c>
      <c r="B2248" s="4">
        <v>93815117</v>
      </c>
    </row>
    <row r="2249" customHeight="1" spans="1:2">
      <c r="A2249" s="3" t="s">
        <v>18805</v>
      </c>
      <c r="B2249" s="4">
        <v>14873</v>
      </c>
    </row>
    <row r="2250" customHeight="1" spans="1:2">
      <c r="A2250" s="3" t="s">
        <v>14529</v>
      </c>
      <c r="B2250" s="4">
        <v>49797148</v>
      </c>
    </row>
    <row r="2251" customHeight="1" spans="1:2">
      <c r="A2251" s="3" t="s">
        <v>7369</v>
      </c>
      <c r="B2251" s="4">
        <v>48169908</v>
      </c>
    </row>
    <row r="2252" customHeight="1" spans="1:2">
      <c r="A2252" s="3" t="s">
        <v>568</v>
      </c>
      <c r="B2252" s="4">
        <v>241407328</v>
      </c>
    </row>
    <row r="2253" customHeight="1" spans="1:2">
      <c r="A2253" s="3" t="s">
        <v>23438</v>
      </c>
      <c r="B2253" s="4"/>
    </row>
    <row r="2254" customHeight="1" spans="1:2">
      <c r="A2254" s="3" t="s">
        <v>12812</v>
      </c>
      <c r="B2254" s="4">
        <v>34308901</v>
      </c>
    </row>
    <row r="2255" customHeight="1" spans="1:2">
      <c r="A2255" s="3" t="s">
        <v>16968</v>
      </c>
      <c r="B2255" s="4">
        <v>2122561</v>
      </c>
    </row>
    <row r="2256" customHeight="1" spans="1:2">
      <c r="A2256" s="3" t="s">
        <v>15209</v>
      </c>
      <c r="B2256" s="4">
        <v>3060858</v>
      </c>
    </row>
    <row r="2257" customHeight="1" spans="1:2">
      <c r="A2257" s="3" t="s">
        <v>12721</v>
      </c>
      <c r="B2257" s="4">
        <v>71588220</v>
      </c>
    </row>
    <row r="2258" customHeight="1" spans="1:2">
      <c r="A2258" s="3" t="s">
        <v>17429</v>
      </c>
      <c r="B2258" s="4">
        <v>6239558</v>
      </c>
    </row>
    <row r="2259" customHeight="1" spans="1:2">
      <c r="A2259" s="3" t="s">
        <v>4934</v>
      </c>
      <c r="B2259" s="4">
        <v>143704210</v>
      </c>
    </row>
    <row r="2260" customHeight="1" spans="1:2">
      <c r="A2260" s="3" t="s">
        <v>144</v>
      </c>
      <c r="B2260" s="4">
        <v>291021565</v>
      </c>
    </row>
    <row r="2261" customHeight="1" spans="1:2">
      <c r="A2261" s="3" t="s">
        <v>5398</v>
      </c>
      <c r="B2261" s="4">
        <v>19118247</v>
      </c>
    </row>
    <row r="2262" customHeight="1" spans="1:2">
      <c r="A2262" s="3" t="s">
        <v>10833</v>
      </c>
      <c r="B2262" s="4">
        <v>37442180</v>
      </c>
    </row>
    <row r="2263" customHeight="1" spans="1:2">
      <c r="A2263" s="3" t="s">
        <v>6228</v>
      </c>
      <c r="B2263" s="4">
        <v>18600911</v>
      </c>
    </row>
    <row r="2264" customHeight="1" spans="1:2">
      <c r="A2264" s="3" t="s">
        <v>4097</v>
      </c>
      <c r="B2264" s="4">
        <v>77862546</v>
      </c>
    </row>
    <row r="2265" customHeight="1" spans="1:2">
      <c r="A2265" s="3" t="s">
        <v>4960</v>
      </c>
      <c r="B2265" s="4">
        <v>34580635</v>
      </c>
    </row>
    <row r="2266" customHeight="1" spans="1:2">
      <c r="A2266" s="3" t="s">
        <v>20642</v>
      </c>
      <c r="B2266" s="4">
        <v>2957978</v>
      </c>
    </row>
    <row r="2267" customHeight="1" spans="1:2">
      <c r="A2267" s="3" t="s">
        <v>7809</v>
      </c>
      <c r="B2267" s="4">
        <v>8324748</v>
      </c>
    </row>
    <row r="2268" customHeight="1" spans="1:2">
      <c r="A2268" s="3" t="s">
        <v>13351</v>
      </c>
      <c r="B2268" s="4">
        <v>74205</v>
      </c>
    </row>
    <row r="2269" customHeight="1" spans="1:2">
      <c r="A2269" s="3" t="s">
        <v>22959</v>
      </c>
      <c r="B2269" s="4">
        <v>12843</v>
      </c>
    </row>
    <row r="2270" customHeight="1" spans="1:2">
      <c r="A2270" s="3" t="s">
        <v>23994</v>
      </c>
      <c r="B2270" s="4"/>
    </row>
    <row r="2271" customHeight="1" spans="1:2">
      <c r="A2271" s="3" t="s">
        <v>11997</v>
      </c>
      <c r="B2271" s="4">
        <v>4806750</v>
      </c>
    </row>
    <row r="2272" customHeight="1" spans="1:2">
      <c r="A2272" s="3" t="s">
        <v>19052</v>
      </c>
      <c r="B2272" s="4">
        <v>77413017</v>
      </c>
    </row>
    <row r="2273" customHeight="1" spans="1:2">
      <c r="A2273" s="3" t="s">
        <v>16680</v>
      </c>
      <c r="B2273" s="4">
        <v>1000000</v>
      </c>
    </row>
    <row r="2274" customHeight="1" spans="1:2">
      <c r="A2274" s="3" t="s">
        <v>11418</v>
      </c>
      <c r="B2274" s="4">
        <v>1646664</v>
      </c>
    </row>
    <row r="2275" customHeight="1" spans="1:2">
      <c r="A2275" s="3" t="s">
        <v>13576</v>
      </c>
      <c r="B2275" s="4">
        <v>46495</v>
      </c>
    </row>
    <row r="2276" customHeight="1" spans="1:2">
      <c r="A2276" s="3" t="s">
        <v>19055</v>
      </c>
      <c r="B2276" s="4">
        <v>5354039</v>
      </c>
    </row>
    <row r="2277" customHeight="1" spans="1:2">
      <c r="A2277" s="3" t="s">
        <v>19142</v>
      </c>
      <c r="B2277" s="4">
        <v>6517198</v>
      </c>
    </row>
    <row r="2278" customHeight="1" spans="1:2">
      <c r="A2278" s="3" t="s">
        <v>6726</v>
      </c>
      <c r="B2278" s="4">
        <v>15962471</v>
      </c>
    </row>
    <row r="2279" customHeight="1" spans="1:2">
      <c r="A2279" s="3" t="s">
        <v>19888</v>
      </c>
      <c r="B2279" s="4">
        <v>333658</v>
      </c>
    </row>
    <row r="2280" customHeight="1" spans="1:2">
      <c r="A2280" s="3" t="s">
        <v>3936</v>
      </c>
      <c r="B2280" s="4">
        <v>143151473</v>
      </c>
    </row>
    <row r="2281" customHeight="1" spans="1:2">
      <c r="A2281" s="3" t="s">
        <v>5321</v>
      </c>
      <c r="B2281" s="4">
        <v>33643461</v>
      </c>
    </row>
    <row r="2282" customHeight="1" spans="1:2">
      <c r="A2282" s="3" t="s">
        <v>14354</v>
      </c>
      <c r="B2282" s="4">
        <v>1506998</v>
      </c>
    </row>
    <row r="2283" customHeight="1" spans="1:2">
      <c r="A2283" s="3" t="s">
        <v>2797</v>
      </c>
      <c r="B2283" s="4">
        <v>37754208</v>
      </c>
    </row>
    <row r="2284" customHeight="1" spans="1:2">
      <c r="A2284" s="3" t="s">
        <v>933</v>
      </c>
      <c r="B2284" s="4">
        <v>21379315</v>
      </c>
    </row>
    <row r="2285" customHeight="1" spans="1:2">
      <c r="A2285" s="3" t="s">
        <v>21647</v>
      </c>
      <c r="B2285" s="4">
        <v>2981638</v>
      </c>
    </row>
    <row r="2286" customHeight="1" spans="1:2">
      <c r="A2286" s="3" t="s">
        <v>9179</v>
      </c>
      <c r="B2286" s="4">
        <v>7486906</v>
      </c>
    </row>
    <row r="2287" customHeight="1" spans="1:2">
      <c r="A2287" s="3" t="s">
        <v>19216</v>
      </c>
      <c r="B2287" s="4">
        <v>19184015</v>
      </c>
    </row>
    <row r="2288" customHeight="1" spans="1:2">
      <c r="A2288" s="3" t="s">
        <v>10267</v>
      </c>
      <c r="B2288" s="4">
        <v>12782508</v>
      </c>
    </row>
    <row r="2289" customHeight="1" spans="1:2">
      <c r="A2289" s="3" t="s">
        <v>16999</v>
      </c>
      <c r="B2289" s="4">
        <v>102300000</v>
      </c>
    </row>
    <row r="2290" customHeight="1" spans="1:2">
      <c r="A2290" s="3" t="s">
        <v>5651</v>
      </c>
      <c r="B2290" s="4">
        <v>5600000</v>
      </c>
    </row>
    <row r="2291" customHeight="1" spans="1:2">
      <c r="A2291" s="3" t="s">
        <v>16376</v>
      </c>
      <c r="B2291" s="4">
        <v>533344</v>
      </c>
    </row>
    <row r="2292" customHeight="1" spans="1:2">
      <c r="A2292" s="3" t="s">
        <v>1102</v>
      </c>
      <c r="B2292" s="4">
        <v>93926386</v>
      </c>
    </row>
    <row r="2293" customHeight="1" spans="1:2">
      <c r="A2293" s="3" t="s">
        <v>12902</v>
      </c>
      <c r="B2293" s="4">
        <v>23089926</v>
      </c>
    </row>
    <row r="2294" customHeight="1" spans="1:2">
      <c r="A2294" s="3" t="s">
        <v>19757</v>
      </c>
      <c r="B2294" s="4">
        <v>3130592</v>
      </c>
    </row>
    <row r="2295" customHeight="1" spans="1:2">
      <c r="A2295" s="3" t="s">
        <v>14202</v>
      </c>
      <c r="B2295" s="4">
        <v>17292381</v>
      </c>
    </row>
    <row r="2296" customHeight="1" spans="1:2">
      <c r="A2296" s="3" t="s">
        <v>7417</v>
      </c>
      <c r="B2296" s="4">
        <v>40687294</v>
      </c>
    </row>
    <row r="2297" customHeight="1" spans="1:2">
      <c r="A2297" s="3" t="s">
        <v>10799</v>
      </c>
      <c r="B2297" s="4">
        <v>42652003</v>
      </c>
    </row>
    <row r="2298" customHeight="1" spans="1:2">
      <c r="A2298" s="3" t="s">
        <v>9832</v>
      </c>
      <c r="B2298" s="4">
        <v>14095303</v>
      </c>
    </row>
    <row r="2299" customHeight="1" spans="1:2">
      <c r="A2299" s="3" t="s">
        <v>20757</v>
      </c>
      <c r="B2299" s="4">
        <v>145540</v>
      </c>
    </row>
    <row r="2300" customHeight="1" spans="1:2">
      <c r="A2300" s="3" t="s">
        <v>12211</v>
      </c>
      <c r="B2300" s="4">
        <v>44469602</v>
      </c>
    </row>
    <row r="2301" customHeight="1" spans="1:2">
      <c r="A2301" s="3" t="s">
        <v>6193</v>
      </c>
      <c r="B2301" s="4"/>
    </row>
    <row r="2302" customHeight="1" spans="1:2">
      <c r="A2302" s="3" t="s">
        <v>10009</v>
      </c>
      <c r="B2302" s="4">
        <v>1186957</v>
      </c>
    </row>
    <row r="2303" customHeight="1" spans="1:2">
      <c r="A2303" s="3" t="s">
        <v>20252</v>
      </c>
      <c r="B2303" s="4">
        <v>3885134</v>
      </c>
    </row>
    <row r="2304" customHeight="1" spans="1:2">
      <c r="A2304" s="3" t="s">
        <v>10741</v>
      </c>
      <c r="B2304" s="4">
        <v>56154094</v>
      </c>
    </row>
    <row r="2305" customHeight="1" spans="1:2">
      <c r="A2305" s="3" t="s">
        <v>21039</v>
      </c>
      <c r="B2305" s="4"/>
    </row>
    <row r="2306" customHeight="1" spans="1:2">
      <c r="A2306" s="3" t="s">
        <v>4980</v>
      </c>
      <c r="B2306" s="4">
        <v>90567722</v>
      </c>
    </row>
    <row r="2307" customHeight="1" spans="1:2">
      <c r="A2307" s="3" t="s">
        <v>22579</v>
      </c>
      <c r="B2307" s="4">
        <v>603943</v>
      </c>
    </row>
    <row r="2308" customHeight="1" spans="1:2">
      <c r="A2308" s="3" t="s">
        <v>11790</v>
      </c>
      <c r="B2308" s="4">
        <v>86049418</v>
      </c>
    </row>
    <row r="2309" customHeight="1" spans="1:2">
      <c r="A2309" s="3" t="s">
        <v>18314</v>
      </c>
      <c r="B2309" s="4">
        <v>92191</v>
      </c>
    </row>
    <row r="2310" customHeight="1" spans="1:2">
      <c r="A2310" s="3" t="s">
        <v>6682</v>
      </c>
      <c r="B2310" s="4">
        <v>32645</v>
      </c>
    </row>
    <row r="2311" customHeight="1" spans="1:2">
      <c r="A2311" s="3" t="s">
        <v>6527</v>
      </c>
      <c r="B2311" s="4">
        <v>45500797</v>
      </c>
    </row>
    <row r="2312" customHeight="1" spans="1:2">
      <c r="A2312" s="3" t="s">
        <v>20334</v>
      </c>
      <c r="B2312" s="4">
        <v>977600</v>
      </c>
    </row>
    <row r="2313" customHeight="1" spans="1:2">
      <c r="A2313" s="3" t="s">
        <v>4380</v>
      </c>
      <c r="B2313" s="4">
        <v>11802056</v>
      </c>
    </row>
    <row r="2314" customHeight="1" spans="1:2">
      <c r="A2314" s="3" t="s">
        <v>2431</v>
      </c>
      <c r="B2314" s="4">
        <v>44606335</v>
      </c>
    </row>
    <row r="2315" customHeight="1" spans="1:2">
      <c r="A2315" s="3" t="s">
        <v>10805</v>
      </c>
      <c r="B2315" s="4"/>
    </row>
    <row r="2316" customHeight="1" spans="1:2">
      <c r="A2316" s="3" t="s">
        <v>10174</v>
      </c>
      <c r="B2316" s="4">
        <v>4308981</v>
      </c>
    </row>
    <row r="2317" customHeight="1" spans="1:2">
      <c r="A2317" s="3" t="s">
        <v>3928</v>
      </c>
      <c r="B2317" s="4">
        <v>279167575</v>
      </c>
    </row>
    <row r="2318" customHeight="1" spans="1:2">
      <c r="A2318" s="3" t="s">
        <v>4572</v>
      </c>
      <c r="B2318" s="4">
        <v>166225040</v>
      </c>
    </row>
    <row r="2319" customHeight="1" spans="1:2">
      <c r="A2319" s="3" t="s">
        <v>8385</v>
      </c>
      <c r="B2319" s="4">
        <v>38232624</v>
      </c>
    </row>
    <row r="2320" customHeight="1" spans="1:2">
      <c r="A2320" s="3" t="s">
        <v>11988</v>
      </c>
      <c r="B2320" s="4">
        <v>5333658</v>
      </c>
    </row>
    <row r="2321" customHeight="1" spans="1:2">
      <c r="A2321" s="3" t="s">
        <v>1250</v>
      </c>
      <c r="B2321" s="4">
        <v>148337537</v>
      </c>
    </row>
    <row r="2322" customHeight="1" spans="1:2">
      <c r="A2322" s="3" t="s">
        <v>10466</v>
      </c>
      <c r="B2322" s="4">
        <v>5974653</v>
      </c>
    </row>
    <row r="2323" customHeight="1" spans="1:2">
      <c r="A2323" s="3" t="s">
        <v>15576</v>
      </c>
      <c r="B2323" s="4">
        <v>3029870</v>
      </c>
    </row>
    <row r="2324" customHeight="1" spans="1:2">
      <c r="A2324" s="3" t="s">
        <v>17610</v>
      </c>
      <c r="B2324" s="4">
        <v>25530884</v>
      </c>
    </row>
    <row r="2325" customHeight="1" spans="1:2">
      <c r="A2325" s="3" t="s">
        <v>2415</v>
      </c>
      <c r="B2325" s="4">
        <v>57010853</v>
      </c>
    </row>
    <row r="2326" customHeight="1" spans="1:2">
      <c r="A2326" s="3" t="s">
        <v>6761</v>
      </c>
      <c r="B2326" s="4">
        <v>14358033</v>
      </c>
    </row>
    <row r="2327" customHeight="1" spans="1:2">
      <c r="A2327" s="3" t="s">
        <v>169</v>
      </c>
      <c r="B2327" s="4">
        <v>179020854</v>
      </c>
    </row>
    <row r="2328" customHeight="1" spans="1:2">
      <c r="A2328" s="3" t="s">
        <v>985</v>
      </c>
      <c r="B2328" s="4">
        <v>190418803</v>
      </c>
    </row>
    <row r="2329" customHeight="1" spans="1:2">
      <c r="A2329" s="3" t="s">
        <v>2078</v>
      </c>
      <c r="B2329" s="4">
        <v>250147615</v>
      </c>
    </row>
    <row r="2330" customHeight="1" spans="1:2">
      <c r="A2330" s="3" t="s">
        <v>7924</v>
      </c>
      <c r="B2330" s="4">
        <v>48814909</v>
      </c>
    </row>
    <row r="2331" customHeight="1" spans="1:2">
      <c r="A2331" s="3" t="s">
        <v>17271</v>
      </c>
      <c r="B2331" s="4"/>
    </row>
    <row r="2332" customHeight="1" spans="1:2">
      <c r="A2332" s="3" t="s">
        <v>16360</v>
      </c>
      <c r="B2332" s="4">
        <v>4239767</v>
      </c>
    </row>
    <row r="2333" customHeight="1" spans="1:2">
      <c r="A2333" s="3" t="s">
        <v>18882</v>
      </c>
      <c r="B2333" s="4">
        <v>27900000</v>
      </c>
    </row>
    <row r="2334" customHeight="1" spans="1:2">
      <c r="A2334" s="3" t="s">
        <v>4294</v>
      </c>
      <c r="B2334" s="4">
        <v>65881014</v>
      </c>
    </row>
    <row r="2335" customHeight="1" spans="1:2">
      <c r="A2335" s="3" t="s">
        <v>22407</v>
      </c>
      <c r="B2335" s="4">
        <v>171988</v>
      </c>
    </row>
    <row r="2336" customHeight="1" spans="1:2">
      <c r="A2336" s="3" t="s">
        <v>8272</v>
      </c>
      <c r="B2336" s="4">
        <v>52799004</v>
      </c>
    </row>
    <row r="2337" customHeight="1" spans="1:2">
      <c r="A2337" s="3" t="s">
        <v>12042</v>
      </c>
      <c r="B2337" s="4">
        <v>3419967</v>
      </c>
    </row>
    <row r="2338" customHeight="1" spans="1:2">
      <c r="A2338" s="3" t="s">
        <v>12528</v>
      </c>
      <c r="B2338" s="4"/>
    </row>
    <row r="2339" customHeight="1" spans="1:2">
      <c r="A2339" s="3" t="s">
        <v>13214</v>
      </c>
      <c r="B2339" s="4">
        <v>26435</v>
      </c>
    </row>
    <row r="2340" customHeight="1" spans="1:2">
      <c r="A2340" s="3" t="s">
        <v>22814</v>
      </c>
      <c r="B2340" s="4">
        <v>2938208</v>
      </c>
    </row>
    <row r="2341" customHeight="1" spans="1:2">
      <c r="A2341" s="3" t="s">
        <v>20089</v>
      </c>
      <c r="B2341" s="4">
        <v>3330</v>
      </c>
    </row>
    <row r="2342" customHeight="1" spans="1:2">
      <c r="A2342" s="3" t="s">
        <v>1124</v>
      </c>
      <c r="B2342" s="4"/>
    </row>
    <row r="2343" customHeight="1" spans="1:2">
      <c r="A2343" s="3" t="s">
        <v>10532</v>
      </c>
      <c r="B2343" s="4">
        <v>49024969</v>
      </c>
    </row>
    <row r="2344" customHeight="1" spans="1:2">
      <c r="A2344" s="3" t="s">
        <v>9900</v>
      </c>
      <c r="B2344" s="4">
        <v>11030963</v>
      </c>
    </row>
    <row r="2345" customHeight="1" spans="1:2">
      <c r="A2345" s="3" t="s">
        <v>16530</v>
      </c>
      <c r="B2345" s="4">
        <v>18642318</v>
      </c>
    </row>
    <row r="2346" customHeight="1" spans="1:2">
      <c r="A2346" s="3" t="s">
        <v>6590</v>
      </c>
      <c r="B2346" s="4">
        <v>33864342</v>
      </c>
    </row>
    <row r="2347" customHeight="1" spans="1:2">
      <c r="A2347" s="3" t="s">
        <v>6197</v>
      </c>
      <c r="B2347" s="4">
        <v>1260917</v>
      </c>
    </row>
    <row r="2348" customHeight="1" spans="1:2">
      <c r="A2348" s="3" t="s">
        <v>23414</v>
      </c>
      <c r="B2348" s="4">
        <v>78030</v>
      </c>
    </row>
    <row r="2349" customHeight="1" spans="1:2">
      <c r="A2349" s="3" t="s">
        <v>23115</v>
      </c>
      <c r="B2349" s="4"/>
    </row>
    <row r="2350" customHeight="1" spans="1:2">
      <c r="A2350" s="3" t="s">
        <v>18860</v>
      </c>
      <c r="B2350" s="4"/>
    </row>
    <row r="2351" customHeight="1" spans="1:2">
      <c r="A2351" s="3" t="s">
        <v>8259</v>
      </c>
      <c r="B2351" s="4">
        <v>56816662</v>
      </c>
    </row>
    <row r="2352" customHeight="1" spans="1:2">
      <c r="A2352" s="3" t="s">
        <v>7519</v>
      </c>
      <c r="B2352" s="4">
        <v>25078937</v>
      </c>
    </row>
    <row r="2353" customHeight="1" spans="1:2">
      <c r="A2353" s="3" t="s">
        <v>8389</v>
      </c>
      <c r="B2353" s="4">
        <v>38413606</v>
      </c>
    </row>
    <row r="2354" customHeight="1" spans="1:2">
      <c r="A2354" s="3" t="s">
        <v>12002</v>
      </c>
      <c r="B2354" s="4">
        <v>3707794</v>
      </c>
    </row>
    <row r="2355" customHeight="1" spans="1:2">
      <c r="A2355" s="3" t="s">
        <v>2767</v>
      </c>
      <c r="B2355" s="4">
        <v>50628009</v>
      </c>
    </row>
    <row r="2356" customHeight="1" spans="1:2">
      <c r="A2356" s="3" t="s">
        <v>10895</v>
      </c>
      <c r="B2356" s="4">
        <v>31838002</v>
      </c>
    </row>
    <row r="2357" customHeight="1" spans="1:2">
      <c r="A2357" s="3" t="s">
        <v>9601</v>
      </c>
      <c r="B2357" s="4">
        <v>36447959</v>
      </c>
    </row>
    <row r="2358" customHeight="1" spans="1:2">
      <c r="A2358" s="3" t="s">
        <v>8157</v>
      </c>
      <c r="B2358" s="4">
        <v>100422786</v>
      </c>
    </row>
    <row r="2359" customHeight="1" spans="1:2">
      <c r="A2359" s="3" t="s">
        <v>9199</v>
      </c>
      <c r="B2359" s="4">
        <v>4476235</v>
      </c>
    </row>
    <row r="2360" customHeight="1" spans="1:2">
      <c r="A2360" s="3" t="s">
        <v>3191</v>
      </c>
      <c r="B2360" s="4">
        <v>336029560</v>
      </c>
    </row>
    <row r="2361" customHeight="1" spans="1:2">
      <c r="A2361" s="3" t="s">
        <v>1701</v>
      </c>
      <c r="B2361" s="4">
        <v>132014112</v>
      </c>
    </row>
    <row r="2362" customHeight="1" spans="1:2">
      <c r="A2362" s="3" t="s">
        <v>5954</v>
      </c>
      <c r="B2362" s="4">
        <v>7916887</v>
      </c>
    </row>
    <row r="2363" customHeight="1" spans="1:2">
      <c r="A2363" s="3" t="s">
        <v>8875</v>
      </c>
      <c r="B2363" s="4">
        <v>64371181</v>
      </c>
    </row>
    <row r="2364" customHeight="1" spans="1:2">
      <c r="A2364" s="3" t="s">
        <v>13670</v>
      </c>
      <c r="B2364" s="4">
        <v>61693523</v>
      </c>
    </row>
    <row r="2365" customHeight="1" spans="1:2">
      <c r="A2365" s="3" t="s">
        <v>2451</v>
      </c>
      <c r="B2365" s="4">
        <v>64933670</v>
      </c>
    </row>
    <row r="2366" customHeight="1" spans="1:2">
      <c r="A2366" s="3" t="s">
        <v>18603</v>
      </c>
      <c r="B2366" s="4">
        <v>864959</v>
      </c>
    </row>
    <row r="2367" customHeight="1" spans="1:2">
      <c r="A2367" s="3" t="s">
        <v>7482</v>
      </c>
      <c r="B2367" s="4">
        <v>30691439</v>
      </c>
    </row>
    <row r="2368" customHeight="1" spans="1:2">
      <c r="A2368" s="3" t="s">
        <v>14785</v>
      </c>
      <c r="B2368" s="4"/>
    </row>
    <row r="2369" customHeight="1" spans="1:2">
      <c r="A2369" s="3" t="s">
        <v>4207</v>
      </c>
      <c r="B2369" s="4">
        <v>48472213</v>
      </c>
    </row>
    <row r="2370" customHeight="1" spans="1:2">
      <c r="A2370" s="3" t="s">
        <v>5714</v>
      </c>
      <c r="B2370" s="4">
        <v>106807667</v>
      </c>
    </row>
    <row r="2371" customHeight="1" spans="1:2">
      <c r="A2371" s="3" t="s">
        <v>17508</v>
      </c>
      <c r="B2371" s="4"/>
    </row>
    <row r="2372" customHeight="1" spans="1:2">
      <c r="A2372" s="3" t="s">
        <v>17147</v>
      </c>
      <c r="B2372" s="4">
        <v>4542775</v>
      </c>
    </row>
    <row r="2373" customHeight="1" spans="1:2">
      <c r="A2373" s="3" t="s">
        <v>8688</v>
      </c>
      <c r="B2373" s="4">
        <v>2975649</v>
      </c>
    </row>
    <row r="2374" customHeight="1" spans="1:2">
      <c r="A2374" s="3" t="s">
        <v>2249</v>
      </c>
      <c r="B2374" s="4">
        <v>60874615</v>
      </c>
    </row>
    <row r="2375" customHeight="1" spans="1:2">
      <c r="A2375" s="3" t="s">
        <v>999</v>
      </c>
      <c r="B2375" s="4">
        <v>209364921</v>
      </c>
    </row>
    <row r="2376" customHeight="1" spans="1:2">
      <c r="A2376" s="3" t="s">
        <v>890</v>
      </c>
      <c r="B2376" s="4">
        <v>195000874</v>
      </c>
    </row>
    <row r="2377" customHeight="1" spans="1:2">
      <c r="A2377" s="3" t="s">
        <v>1343</v>
      </c>
      <c r="B2377" s="4">
        <v>215397307</v>
      </c>
    </row>
    <row r="2378" customHeight="1" spans="1:2">
      <c r="A2378" s="3" t="s">
        <v>920</v>
      </c>
      <c r="B2378" s="4">
        <v>133382309</v>
      </c>
    </row>
    <row r="2379" customHeight="1" spans="1:2">
      <c r="A2379" s="3" t="s">
        <v>2536</v>
      </c>
      <c r="B2379" s="4">
        <v>180965237</v>
      </c>
    </row>
    <row r="2380" customHeight="1" spans="1:2">
      <c r="A2380" s="3" t="s">
        <v>20866</v>
      </c>
      <c r="B2380" s="4">
        <v>26893</v>
      </c>
    </row>
    <row r="2381" customHeight="1" spans="1:2">
      <c r="A2381" s="3" t="s">
        <v>14993</v>
      </c>
      <c r="B2381" s="4">
        <v>16153600</v>
      </c>
    </row>
    <row r="2382" customHeight="1" spans="1:2">
      <c r="A2382" s="3" t="s">
        <v>18230</v>
      </c>
      <c r="B2382" s="4"/>
    </row>
    <row r="2383" customHeight="1" spans="1:2">
      <c r="A2383" s="3" t="s">
        <v>16034</v>
      </c>
      <c r="B2383" s="4"/>
    </row>
    <row r="2384" customHeight="1" spans="1:2">
      <c r="A2384" s="3" t="s">
        <v>20998</v>
      </c>
      <c r="B2384" s="4">
        <v>163245</v>
      </c>
    </row>
    <row r="2385" customHeight="1" spans="1:2">
      <c r="A2385" s="3" t="s">
        <v>10525</v>
      </c>
      <c r="B2385" s="4">
        <v>634277</v>
      </c>
    </row>
    <row r="2386" customHeight="1" spans="1:2">
      <c r="A2386" s="3" t="s">
        <v>10622</v>
      </c>
      <c r="B2386" s="4">
        <v>15593</v>
      </c>
    </row>
    <row r="2387" customHeight="1" spans="1:2">
      <c r="A2387" s="3" t="s">
        <v>17655</v>
      </c>
      <c r="B2387" s="4"/>
    </row>
    <row r="2388" customHeight="1" spans="1:2">
      <c r="A2388" s="3" t="s">
        <v>18270</v>
      </c>
      <c r="B2388" s="4">
        <v>10429707</v>
      </c>
    </row>
    <row r="2389" customHeight="1" spans="1:2">
      <c r="A2389" s="3" t="s">
        <v>3720</v>
      </c>
      <c r="B2389" s="4">
        <v>63695760</v>
      </c>
    </row>
    <row r="2390" customHeight="1" spans="1:2">
      <c r="A2390" s="3" t="s">
        <v>18691</v>
      </c>
      <c r="B2390" s="4">
        <v>146402</v>
      </c>
    </row>
    <row r="2391" customHeight="1" spans="1:2">
      <c r="A2391" s="3" t="s">
        <v>9186</v>
      </c>
      <c r="B2391" s="4">
        <v>41008532</v>
      </c>
    </row>
    <row r="2392" customHeight="1" spans="1:2">
      <c r="A2392" s="3" t="s">
        <v>9560</v>
      </c>
      <c r="B2392" s="4">
        <v>41067398</v>
      </c>
    </row>
    <row r="2393" customHeight="1" spans="1:2">
      <c r="A2393" s="3" t="s">
        <v>3558</v>
      </c>
      <c r="B2393" s="4">
        <v>35324232</v>
      </c>
    </row>
    <row r="2394" customHeight="1" spans="1:2">
      <c r="A2394" s="3" t="s">
        <v>5123</v>
      </c>
      <c r="B2394" s="4">
        <v>75605492</v>
      </c>
    </row>
    <row r="2395" customHeight="1" spans="1:2">
      <c r="A2395" s="3" t="s">
        <v>11978</v>
      </c>
      <c r="B2395" s="4">
        <v>5701643</v>
      </c>
    </row>
    <row r="2396" customHeight="1" spans="1:2">
      <c r="A2396" s="3" t="s">
        <v>3181</v>
      </c>
      <c r="B2396" s="4">
        <v>5409517</v>
      </c>
    </row>
    <row r="2397" customHeight="1" spans="1:2">
      <c r="A2397" s="3" t="s">
        <v>21301</v>
      </c>
      <c r="B2397" s="4">
        <v>13876974</v>
      </c>
    </row>
    <row r="2398" customHeight="1" spans="1:2">
      <c r="A2398" s="3" t="s">
        <v>3120</v>
      </c>
      <c r="B2398" s="4">
        <v>73661010</v>
      </c>
    </row>
    <row r="2399" customHeight="1" spans="1:2">
      <c r="A2399" s="3" t="s">
        <v>17583</v>
      </c>
      <c r="B2399" s="4">
        <v>34468224</v>
      </c>
    </row>
    <row r="2400" customHeight="1" spans="1:2">
      <c r="A2400" s="3" t="s">
        <v>5741</v>
      </c>
      <c r="B2400" s="4">
        <v>82931301</v>
      </c>
    </row>
    <row r="2401" customHeight="1" spans="1:2">
      <c r="A2401" s="3" t="s">
        <v>18451</v>
      </c>
      <c r="B2401" s="4">
        <v>31252964</v>
      </c>
    </row>
    <row r="2402" customHeight="1" spans="1:2">
      <c r="A2402" s="3" t="s">
        <v>275</v>
      </c>
      <c r="B2402" s="4">
        <v>268488329</v>
      </c>
    </row>
    <row r="2403" customHeight="1" spans="1:2">
      <c r="A2403" s="3" t="s">
        <v>482</v>
      </c>
      <c r="B2403" s="4">
        <v>198332128</v>
      </c>
    </row>
    <row r="2404" customHeight="1" spans="1:2">
      <c r="A2404" s="3" t="s">
        <v>22648</v>
      </c>
      <c r="B2404" s="4">
        <v>237301</v>
      </c>
    </row>
    <row r="2405" customHeight="1" spans="1:2">
      <c r="A2405" s="3" t="s">
        <v>1442</v>
      </c>
      <c r="B2405" s="4">
        <v>289907418</v>
      </c>
    </row>
    <row r="2406" customHeight="1" spans="1:2">
      <c r="A2406" s="3" t="s">
        <v>10980</v>
      </c>
      <c r="B2406" s="4">
        <v>23179303</v>
      </c>
    </row>
    <row r="2407" customHeight="1" spans="1:2">
      <c r="A2407" s="3" t="s">
        <v>22849</v>
      </c>
      <c r="B2407" s="4">
        <v>1229197</v>
      </c>
    </row>
    <row r="2408" customHeight="1" spans="1:2">
      <c r="A2408" s="3" t="s">
        <v>17852</v>
      </c>
      <c r="B2408" s="4">
        <v>5009677</v>
      </c>
    </row>
    <row r="2409" customHeight="1" spans="1:2">
      <c r="A2409" s="3" t="s">
        <v>10612</v>
      </c>
      <c r="B2409" s="4">
        <v>6830957</v>
      </c>
    </row>
    <row r="2410" customHeight="1" spans="1:2">
      <c r="A2410" s="3" t="s">
        <v>8054</v>
      </c>
      <c r="B2410" s="4">
        <v>62700000</v>
      </c>
    </row>
    <row r="2411" customHeight="1" spans="1:2">
      <c r="A2411" s="3" t="s">
        <v>12409</v>
      </c>
      <c r="B2411" s="4">
        <v>45507053</v>
      </c>
    </row>
    <row r="2412" customHeight="1" spans="1:2">
      <c r="A2412" s="3" t="s">
        <v>20987</v>
      </c>
      <c r="B2412" s="4"/>
    </row>
    <row r="2413" customHeight="1" spans="1:2">
      <c r="A2413" s="3" t="s">
        <v>6631</v>
      </c>
      <c r="B2413" s="4">
        <v>30993544</v>
      </c>
    </row>
    <row r="2414" customHeight="1" spans="1:2">
      <c r="A2414" s="3" t="s">
        <v>10700</v>
      </c>
      <c r="B2414" s="4">
        <v>70360285</v>
      </c>
    </row>
    <row r="2415" customHeight="1" spans="1:2">
      <c r="A2415" s="3" t="s">
        <v>8412</v>
      </c>
      <c r="B2415" s="4">
        <v>35927406</v>
      </c>
    </row>
    <row r="2416" customHeight="1" spans="1:2">
      <c r="A2416" s="3" t="s">
        <v>4406</v>
      </c>
      <c r="B2416" s="4">
        <v>7605668</v>
      </c>
    </row>
    <row r="2417" customHeight="1" spans="1:2">
      <c r="A2417" s="3" t="s">
        <v>17214</v>
      </c>
      <c r="B2417" s="4">
        <v>267194</v>
      </c>
    </row>
    <row r="2418" customHeight="1" spans="1:2">
      <c r="A2418" s="3" t="s">
        <v>16674</v>
      </c>
      <c r="B2418" s="4">
        <v>1110286</v>
      </c>
    </row>
    <row r="2419" customHeight="1" spans="1:2">
      <c r="A2419" s="3" t="s">
        <v>15395</v>
      </c>
      <c r="B2419" s="4">
        <v>92900</v>
      </c>
    </row>
    <row r="2420" customHeight="1" spans="1:2">
      <c r="A2420" s="3" t="s">
        <v>4887</v>
      </c>
      <c r="B2420" s="4">
        <v>57386369</v>
      </c>
    </row>
    <row r="2421" customHeight="1" spans="1:2">
      <c r="A2421" s="3" t="s">
        <v>15094</v>
      </c>
      <c r="B2421" s="4">
        <v>8828771</v>
      </c>
    </row>
    <row r="2422" customHeight="1" spans="1:2">
      <c r="A2422" s="3" t="s">
        <v>18310</v>
      </c>
      <c r="B2422" s="4">
        <v>706622</v>
      </c>
    </row>
    <row r="2423" customHeight="1" spans="1:2">
      <c r="A2423" s="3" t="s">
        <v>8506</v>
      </c>
      <c r="B2423" s="4">
        <v>21800302</v>
      </c>
    </row>
    <row r="2424" customHeight="1" spans="1:2">
      <c r="A2424" s="3" t="s">
        <v>1536</v>
      </c>
      <c r="B2424" s="4">
        <v>186336103</v>
      </c>
    </row>
    <row r="2425" customHeight="1" spans="1:2">
      <c r="A2425" s="3" t="s">
        <v>9637</v>
      </c>
      <c r="B2425" s="4">
        <v>32553210</v>
      </c>
    </row>
    <row r="2426" customHeight="1" spans="1:2">
      <c r="A2426" s="3" t="s">
        <v>16289</v>
      </c>
      <c r="B2426" s="4"/>
    </row>
    <row r="2427" customHeight="1" spans="1:2">
      <c r="A2427" s="3" t="s">
        <v>5030</v>
      </c>
      <c r="B2427" s="4">
        <v>126203320</v>
      </c>
    </row>
    <row r="2428" customHeight="1" spans="1:2">
      <c r="A2428" s="3" t="s">
        <v>8038</v>
      </c>
      <c r="B2428" s="4">
        <v>82528097</v>
      </c>
    </row>
    <row r="2429" customHeight="1" spans="1:2">
      <c r="A2429" s="3" t="s">
        <v>17064</v>
      </c>
      <c r="B2429" s="4">
        <v>12674183</v>
      </c>
    </row>
    <row r="2430" customHeight="1" spans="1:2">
      <c r="A2430" s="3" t="s">
        <v>951</v>
      </c>
      <c r="B2430" s="4">
        <v>111505642</v>
      </c>
    </row>
    <row r="2431" customHeight="1" spans="1:2">
      <c r="A2431" s="3" t="s">
        <v>4687</v>
      </c>
      <c r="B2431" s="4">
        <v>68218041</v>
      </c>
    </row>
    <row r="2432" customHeight="1" spans="1:2">
      <c r="A2432" s="3" t="s">
        <v>20890</v>
      </c>
      <c r="B2432" s="4"/>
    </row>
    <row r="2433" customHeight="1" spans="1:2">
      <c r="A2433" s="3" t="s">
        <v>13551</v>
      </c>
      <c r="B2433" s="4">
        <v>3958500</v>
      </c>
    </row>
    <row r="2434" customHeight="1" spans="1:2">
      <c r="A2434" s="3" t="s">
        <v>11228</v>
      </c>
      <c r="B2434" s="4">
        <v>11034436</v>
      </c>
    </row>
    <row r="2435" customHeight="1" spans="1:2">
      <c r="A2435" s="3" t="s">
        <v>9376</v>
      </c>
      <c r="B2435" s="4">
        <v>219200000</v>
      </c>
    </row>
    <row r="2436" customHeight="1" spans="1:2">
      <c r="A2436" s="3" t="s">
        <v>9930</v>
      </c>
      <c r="B2436" s="4">
        <v>10070000</v>
      </c>
    </row>
    <row r="2437" customHeight="1" spans="1:2">
      <c r="A2437" s="3" t="s">
        <v>16043</v>
      </c>
      <c r="B2437" s="4">
        <v>22551000</v>
      </c>
    </row>
    <row r="2438" customHeight="1" spans="1:2">
      <c r="A2438" s="3" t="s">
        <v>15019</v>
      </c>
      <c r="B2438" s="4">
        <v>21589307</v>
      </c>
    </row>
    <row r="2439" customHeight="1" spans="1:2">
      <c r="A2439" s="3" t="s">
        <v>2134</v>
      </c>
      <c r="B2439" s="4">
        <v>120618403</v>
      </c>
    </row>
    <row r="2440" customHeight="1" spans="1:2">
      <c r="A2440" s="3" t="s">
        <v>13162</v>
      </c>
      <c r="B2440" s="4">
        <v>7219578</v>
      </c>
    </row>
    <row r="2441" customHeight="1" spans="1:2">
      <c r="A2441" s="3" t="s">
        <v>5909</v>
      </c>
      <c r="B2441" s="4">
        <v>20101861</v>
      </c>
    </row>
    <row r="2442" customHeight="1" spans="1:2">
      <c r="A2442" s="3" t="s">
        <v>8812</v>
      </c>
      <c r="B2442" s="4">
        <v>4554569</v>
      </c>
    </row>
    <row r="2443" customHeight="1" spans="1:2">
      <c r="A2443" s="3" t="s">
        <v>3096</v>
      </c>
      <c r="B2443" s="4">
        <v>47379090</v>
      </c>
    </row>
    <row r="2444" customHeight="1" spans="1:2">
      <c r="A2444" s="3" t="s">
        <v>10143</v>
      </c>
      <c r="B2444" s="4">
        <v>16290976</v>
      </c>
    </row>
    <row r="2445" customHeight="1" spans="1:2">
      <c r="A2445" s="3" t="s">
        <v>4803</v>
      </c>
      <c r="B2445" s="4">
        <v>51178893</v>
      </c>
    </row>
    <row r="2446" customHeight="1" spans="1:2">
      <c r="A2446" s="3" t="s">
        <v>5331</v>
      </c>
      <c r="B2446" s="4">
        <v>63749738</v>
      </c>
    </row>
    <row r="2447" customHeight="1" spans="1:2">
      <c r="A2447" s="3" t="s">
        <v>22970</v>
      </c>
      <c r="B2447" s="4">
        <v>1523883</v>
      </c>
    </row>
    <row r="2448" customHeight="1" spans="1:2">
      <c r="A2448" s="3" t="s">
        <v>6547</v>
      </c>
      <c r="B2448" s="4">
        <v>50562555</v>
      </c>
    </row>
    <row r="2449" customHeight="1" spans="1:2">
      <c r="A2449" s="3" t="s">
        <v>7395</v>
      </c>
      <c r="B2449" s="4">
        <v>43894863</v>
      </c>
    </row>
    <row r="2450" customHeight="1" spans="1:2">
      <c r="A2450" s="3" t="s">
        <v>21078</v>
      </c>
      <c r="B2450" s="4"/>
    </row>
    <row r="2451" customHeight="1" spans="1:2">
      <c r="A2451" s="3" t="s">
        <v>23959</v>
      </c>
      <c r="B2451" s="4"/>
    </row>
    <row r="2452" customHeight="1" spans="1:2">
      <c r="A2452" s="3" t="s">
        <v>22795</v>
      </c>
      <c r="B2452" s="4"/>
    </row>
    <row r="2453" customHeight="1" spans="1:2">
      <c r="A2453" s="3" t="s">
        <v>14191</v>
      </c>
      <c r="B2453" s="4">
        <v>17321573</v>
      </c>
    </row>
    <row r="2454" customHeight="1" spans="1:2">
      <c r="A2454" s="3" t="s">
        <v>22913</v>
      </c>
      <c r="B2454" s="4"/>
    </row>
    <row r="2455" customHeight="1" spans="1:2">
      <c r="A2455" s="3" t="s">
        <v>11041</v>
      </c>
      <c r="B2455" s="4">
        <v>19151864</v>
      </c>
    </row>
    <row r="2456" customHeight="1" spans="1:2">
      <c r="A2456" s="3" t="s">
        <v>5655</v>
      </c>
      <c r="B2456" s="4">
        <v>126805112</v>
      </c>
    </row>
    <row r="2457" customHeight="1" spans="1:2">
      <c r="A2457" s="3" t="s">
        <v>11771</v>
      </c>
      <c r="B2457" s="4">
        <v>59573085</v>
      </c>
    </row>
    <row r="2458" customHeight="1" spans="1:2">
      <c r="A2458" s="3" t="s">
        <v>17705</v>
      </c>
      <c r="B2458" s="4">
        <v>241437427</v>
      </c>
    </row>
    <row r="2459" customHeight="1" spans="1:2">
      <c r="A2459" s="3" t="s">
        <v>19538</v>
      </c>
      <c r="B2459" s="4"/>
    </row>
    <row r="2460" customHeight="1" spans="1:2">
      <c r="A2460" s="3" t="s">
        <v>13388</v>
      </c>
      <c r="B2460" s="4">
        <v>51527787</v>
      </c>
    </row>
    <row r="2461" customHeight="1" spans="1:2">
      <c r="A2461" s="3" t="s">
        <v>15288</v>
      </c>
      <c r="B2461" s="4">
        <v>866778</v>
      </c>
    </row>
    <row r="2462" customHeight="1" spans="1:2">
      <c r="A2462" s="3" t="s">
        <v>13448</v>
      </c>
      <c r="B2462" s="4">
        <v>15549702</v>
      </c>
    </row>
    <row r="2463" customHeight="1" spans="1:2">
      <c r="A2463" s="3" t="s">
        <v>14516</v>
      </c>
      <c r="B2463" s="4">
        <v>52929168</v>
      </c>
    </row>
    <row r="2464" customHeight="1" spans="1:2">
      <c r="A2464" s="3" t="s">
        <v>24159</v>
      </c>
      <c r="B2464" s="4">
        <v>85222</v>
      </c>
    </row>
    <row r="2465" customHeight="1" spans="1:2">
      <c r="A2465" s="3" t="s">
        <v>16484</v>
      </c>
      <c r="B2465" s="4">
        <v>34099640</v>
      </c>
    </row>
    <row r="2466" customHeight="1" spans="1:2">
      <c r="A2466" s="3" t="s">
        <v>23001</v>
      </c>
      <c r="B2466" s="4">
        <v>246574</v>
      </c>
    </row>
    <row r="2467" customHeight="1" spans="1:2">
      <c r="A2467" s="3" t="s">
        <v>12153</v>
      </c>
      <c r="B2467" s="4">
        <v>72000000</v>
      </c>
    </row>
    <row r="2468" customHeight="1" spans="1:2">
      <c r="A2468" s="3" t="s">
        <v>4244</v>
      </c>
      <c r="B2468" s="4">
        <v>36830057</v>
      </c>
    </row>
    <row r="2469" customHeight="1" spans="1:2">
      <c r="A2469" s="3" t="s">
        <v>10535</v>
      </c>
      <c r="B2469" s="4">
        <v>22294341</v>
      </c>
    </row>
    <row r="2470" customHeight="1" spans="1:2">
      <c r="A2470" s="3" t="s">
        <v>12346</v>
      </c>
      <c r="B2470" s="4">
        <v>59847242</v>
      </c>
    </row>
    <row r="2471" customHeight="1" spans="1:2">
      <c r="A2471" s="3" t="s">
        <v>21955</v>
      </c>
      <c r="B2471" s="4"/>
    </row>
    <row r="2472" customHeight="1" spans="1:2">
      <c r="A2472" s="3" t="s">
        <v>12271</v>
      </c>
      <c r="B2472" s="4">
        <v>8662318</v>
      </c>
    </row>
    <row r="2473" customHeight="1" spans="1:2">
      <c r="A2473" s="3" t="s">
        <v>19878</v>
      </c>
      <c r="B2473" s="4">
        <v>395592</v>
      </c>
    </row>
    <row r="2474" customHeight="1" spans="1:2">
      <c r="A2474" s="3" t="s">
        <v>16279</v>
      </c>
      <c r="B2474" s="4">
        <v>50000</v>
      </c>
    </row>
    <row r="2475" customHeight="1" spans="1:2">
      <c r="A2475" s="3" t="s">
        <v>21006</v>
      </c>
      <c r="B2475" s="4">
        <v>173066</v>
      </c>
    </row>
    <row r="2476" customHeight="1" spans="1:2">
      <c r="A2476" s="3" t="s">
        <v>15900</v>
      </c>
      <c r="B2476" s="4">
        <v>4018695</v>
      </c>
    </row>
    <row r="2477" customHeight="1" spans="1:2">
      <c r="A2477" s="3" t="s">
        <v>19833</v>
      </c>
      <c r="B2477" s="4">
        <v>6401336</v>
      </c>
    </row>
    <row r="2478" customHeight="1" spans="1:2">
      <c r="A2478" s="3" t="s">
        <v>9060</v>
      </c>
      <c r="B2478" s="4">
        <v>49185998</v>
      </c>
    </row>
    <row r="2479" customHeight="1" spans="1:2">
      <c r="A2479" s="3" t="s">
        <v>9820</v>
      </c>
      <c r="B2479" s="4">
        <v>29274980</v>
      </c>
    </row>
    <row r="2480" customHeight="1" spans="1:2">
      <c r="A2480" s="3" t="s">
        <v>12509</v>
      </c>
      <c r="B2480" s="4">
        <v>13854000</v>
      </c>
    </row>
    <row r="2481" customHeight="1" spans="1:2">
      <c r="A2481" s="3" t="s">
        <v>20797</v>
      </c>
      <c r="B2481" s="4">
        <v>992238</v>
      </c>
    </row>
    <row r="2482" customHeight="1" spans="1:2">
      <c r="A2482" s="3" t="s">
        <v>8485</v>
      </c>
      <c r="B2482" s="4">
        <v>22526144</v>
      </c>
    </row>
    <row r="2483" customHeight="1" spans="1:2">
      <c r="A2483" s="3" t="s">
        <v>15042</v>
      </c>
      <c r="B2483" s="4">
        <v>14597405</v>
      </c>
    </row>
    <row r="2484" customHeight="1" spans="1:2">
      <c r="A2484" s="3" t="s">
        <v>3574</v>
      </c>
      <c r="B2484" s="4">
        <v>29655590</v>
      </c>
    </row>
    <row r="2485" customHeight="1" spans="1:2">
      <c r="A2485" s="3" t="s">
        <v>8995</v>
      </c>
      <c r="B2485" s="4">
        <v>8888143</v>
      </c>
    </row>
    <row r="2486" customHeight="1" spans="1:2">
      <c r="A2486" s="3" t="s">
        <v>17070</v>
      </c>
      <c r="B2486" s="4">
        <v>12793213</v>
      </c>
    </row>
    <row r="2487" customHeight="1" spans="1:2">
      <c r="A2487" s="3" t="s">
        <v>8153</v>
      </c>
      <c r="B2487" s="4">
        <v>90135191</v>
      </c>
    </row>
    <row r="2488" customHeight="1" spans="1:2">
      <c r="A2488" s="3" t="s">
        <v>7909</v>
      </c>
      <c r="B2488" s="4">
        <v>80197993</v>
      </c>
    </row>
    <row r="2489" customHeight="1" spans="1:2">
      <c r="A2489" s="3" t="s">
        <v>8286</v>
      </c>
      <c r="B2489" s="4">
        <v>51109400</v>
      </c>
    </row>
    <row r="2490" customHeight="1" spans="1:2">
      <c r="A2490" s="3" t="s">
        <v>15914</v>
      </c>
      <c r="B2490" s="4">
        <v>1207007</v>
      </c>
    </row>
    <row r="2491" customHeight="1" spans="1:2">
      <c r="A2491" s="3" t="s">
        <v>10963</v>
      </c>
      <c r="B2491" s="4">
        <v>25584685</v>
      </c>
    </row>
    <row r="2492" customHeight="1" spans="1:2">
      <c r="A2492" s="3" t="s">
        <v>7529</v>
      </c>
      <c r="B2492" s="4">
        <v>28995450</v>
      </c>
    </row>
    <row r="2493" customHeight="1" spans="1:2">
      <c r="A2493" s="3" t="s">
        <v>9542</v>
      </c>
      <c r="B2493" s="4">
        <v>47124400</v>
      </c>
    </row>
    <row r="2494" customHeight="1" spans="1:2">
      <c r="A2494" s="3" t="s">
        <v>22829</v>
      </c>
      <c r="B2494" s="4">
        <v>44540956</v>
      </c>
    </row>
    <row r="2495" customHeight="1" spans="1:2">
      <c r="A2495" s="3" t="s">
        <v>16356</v>
      </c>
      <c r="B2495" s="4">
        <v>10460089</v>
      </c>
    </row>
    <row r="2496" customHeight="1" spans="1:2">
      <c r="A2496" s="3" t="s">
        <v>12724</v>
      </c>
      <c r="B2496" s="4">
        <v>61400000</v>
      </c>
    </row>
    <row r="2497" customHeight="1" spans="1:2">
      <c r="A2497" s="3" t="s">
        <v>1792</v>
      </c>
      <c r="B2497" s="4">
        <v>173005002</v>
      </c>
    </row>
    <row r="2498" customHeight="1" spans="1:2">
      <c r="A2498" s="3" t="s">
        <v>22332</v>
      </c>
      <c r="B2498" s="4">
        <v>10508</v>
      </c>
    </row>
    <row r="2499" customHeight="1" spans="1:2">
      <c r="A2499" s="3" t="s">
        <v>18100</v>
      </c>
      <c r="B2499" s="4"/>
    </row>
    <row r="2500" customHeight="1" spans="1:2">
      <c r="A2500" s="3" t="s">
        <v>21213</v>
      </c>
      <c r="B2500" s="4">
        <v>100358</v>
      </c>
    </row>
    <row r="2501" customHeight="1" spans="1:2">
      <c r="A2501" s="3" t="s">
        <v>14194</v>
      </c>
      <c r="B2501" s="4">
        <v>17613460</v>
      </c>
    </row>
    <row r="2502" customHeight="1" spans="1:2">
      <c r="A2502" s="3" t="s">
        <v>3629</v>
      </c>
      <c r="B2502" s="4">
        <v>43568507</v>
      </c>
    </row>
    <row r="2503" customHeight="1" spans="1:2">
      <c r="A2503" s="3" t="s">
        <v>7361</v>
      </c>
      <c r="B2503" s="4">
        <v>55291815</v>
      </c>
    </row>
    <row r="2504" customHeight="1" spans="1:2">
      <c r="A2504" s="3" t="s">
        <v>11717</v>
      </c>
      <c r="B2504" s="4">
        <v>150056505</v>
      </c>
    </row>
    <row r="2505" customHeight="1" spans="1:2">
      <c r="A2505" s="3" t="s">
        <v>11016</v>
      </c>
      <c r="B2505" s="4">
        <v>28876924</v>
      </c>
    </row>
    <row r="2506" customHeight="1" spans="1:2">
      <c r="A2506" s="3" t="s">
        <v>18788</v>
      </c>
      <c r="B2506" s="4"/>
    </row>
    <row r="2507" customHeight="1" spans="1:2">
      <c r="A2507" s="3" t="s">
        <v>22586</v>
      </c>
      <c r="B2507" s="4">
        <v>295468</v>
      </c>
    </row>
    <row r="2508" customHeight="1" spans="1:2">
      <c r="A2508" s="3" t="s">
        <v>19567</v>
      </c>
      <c r="B2508" s="4"/>
    </row>
    <row r="2509" customHeight="1" spans="1:2">
      <c r="A2509" s="3" t="s">
        <v>10591</v>
      </c>
      <c r="B2509" s="4">
        <v>24848292</v>
      </c>
    </row>
    <row r="2510" customHeight="1" spans="1:2">
      <c r="A2510" s="3" t="s">
        <v>13175</v>
      </c>
      <c r="B2510" s="4">
        <v>2412045</v>
      </c>
    </row>
    <row r="2511" customHeight="1" spans="1:2">
      <c r="A2511" s="3" t="s">
        <v>7179</v>
      </c>
      <c r="B2511" s="4">
        <v>55500000</v>
      </c>
    </row>
    <row r="2512" customHeight="1" spans="1:2">
      <c r="A2512" s="3" t="s">
        <v>16076</v>
      </c>
      <c r="B2512" s="4">
        <v>16699684</v>
      </c>
    </row>
    <row r="2513" customHeight="1" spans="1:2">
      <c r="A2513" s="3" t="s">
        <v>16060</v>
      </c>
      <c r="B2513" s="4">
        <v>18090181</v>
      </c>
    </row>
    <row r="2514" customHeight="1" spans="1:2">
      <c r="A2514" s="3" t="s">
        <v>9312</v>
      </c>
      <c r="B2514" s="4">
        <v>54540525</v>
      </c>
    </row>
    <row r="2515" customHeight="1" spans="1:2">
      <c r="A2515" s="3" t="s">
        <v>6773</v>
      </c>
      <c r="B2515" s="4">
        <v>14018364</v>
      </c>
    </row>
    <row r="2516" customHeight="1" spans="1:2">
      <c r="A2516" s="3" t="s">
        <v>13043</v>
      </c>
      <c r="B2516" s="4">
        <v>10763469</v>
      </c>
    </row>
    <row r="2517" customHeight="1" spans="1:2">
      <c r="A2517" s="3" t="s">
        <v>13474</v>
      </c>
      <c r="B2517" s="4"/>
    </row>
    <row r="2518" customHeight="1" spans="1:2">
      <c r="A2518" s="3" t="s">
        <v>24134</v>
      </c>
      <c r="B2518" s="4">
        <v>4584</v>
      </c>
    </row>
    <row r="2519" customHeight="1" spans="1:2">
      <c r="A2519" s="3" t="s">
        <v>19291</v>
      </c>
      <c r="B2519" s="4">
        <v>10017041</v>
      </c>
    </row>
    <row r="2520" customHeight="1" spans="1:2">
      <c r="A2520" s="3" t="s">
        <v>15508</v>
      </c>
      <c r="B2520" s="4">
        <v>57176582</v>
      </c>
    </row>
    <row r="2521" customHeight="1" spans="1:2">
      <c r="A2521" s="3" t="s">
        <v>21637</v>
      </c>
      <c r="B2521" s="4">
        <v>3386698</v>
      </c>
    </row>
    <row r="2522" customHeight="1" spans="1:2">
      <c r="A2522" s="3" t="s">
        <v>21260</v>
      </c>
      <c r="B2522" s="4"/>
    </row>
    <row r="2523" customHeight="1" spans="1:2">
      <c r="A2523" s="3" t="s">
        <v>15252</v>
      </c>
      <c r="B2523" s="4">
        <v>1309849</v>
      </c>
    </row>
    <row r="2524" customHeight="1" spans="1:2">
      <c r="A2524" s="3" t="s">
        <v>14897</v>
      </c>
      <c r="B2524" s="4">
        <v>31487293</v>
      </c>
    </row>
    <row r="2525" customHeight="1" spans="1:2">
      <c r="A2525" s="3" t="s">
        <v>1509</v>
      </c>
      <c r="B2525" s="4">
        <v>250863268</v>
      </c>
    </row>
    <row r="2526" customHeight="1" spans="1:2">
      <c r="A2526" s="3" t="s">
        <v>814</v>
      </c>
      <c r="B2526" s="4">
        <v>177243721</v>
      </c>
    </row>
    <row r="2527" customHeight="1" spans="1:2">
      <c r="A2527" s="3" t="s">
        <v>1244</v>
      </c>
      <c r="B2527" s="4">
        <v>113733726</v>
      </c>
    </row>
    <row r="2528" customHeight="1" spans="1:2">
      <c r="A2528" s="3" t="s">
        <v>18433</v>
      </c>
      <c r="B2528" s="4"/>
    </row>
    <row r="2529" customHeight="1" spans="1:2">
      <c r="A2529" s="3" t="s">
        <v>18413</v>
      </c>
      <c r="B2529" s="4">
        <v>1487477</v>
      </c>
    </row>
    <row r="2530" customHeight="1" spans="1:2">
      <c r="A2530" s="3" t="s">
        <v>15962</v>
      </c>
      <c r="B2530" s="4">
        <v>32279955</v>
      </c>
    </row>
    <row r="2531" customHeight="1" spans="1:2">
      <c r="A2531" s="3" t="s">
        <v>17695</v>
      </c>
      <c r="B2531" s="4"/>
    </row>
    <row r="2532" customHeight="1" spans="1:2">
      <c r="A2532" s="3" t="s">
        <v>16621</v>
      </c>
      <c r="B2532" s="4"/>
    </row>
    <row r="2533" customHeight="1" spans="1:2">
      <c r="A2533" s="3" t="s">
        <v>7121</v>
      </c>
      <c r="B2533" s="4">
        <v>48006503</v>
      </c>
    </row>
    <row r="2534" customHeight="1" spans="1:2">
      <c r="A2534" s="3" t="s">
        <v>20495</v>
      </c>
      <c r="B2534" s="4"/>
    </row>
    <row r="2535" customHeight="1" spans="1:2">
      <c r="A2535" s="3" t="s">
        <v>20941</v>
      </c>
      <c r="B2535" s="4">
        <v>1221261</v>
      </c>
    </row>
    <row r="2536" customHeight="1" spans="1:2">
      <c r="A2536" s="3" t="s">
        <v>2854</v>
      </c>
      <c r="B2536" s="4">
        <v>19673424</v>
      </c>
    </row>
    <row r="2537" customHeight="1" spans="1:2">
      <c r="A2537" s="3" t="s">
        <v>5302</v>
      </c>
      <c r="B2537" s="4">
        <v>38105077</v>
      </c>
    </row>
    <row r="2538" customHeight="1" spans="1:2">
      <c r="A2538" s="3" t="s">
        <v>5942</v>
      </c>
      <c r="B2538" s="4">
        <v>13560960</v>
      </c>
    </row>
    <row r="2539" customHeight="1" spans="1:2">
      <c r="A2539" s="3" t="s">
        <v>9455</v>
      </c>
      <c r="B2539" s="4">
        <v>74273505</v>
      </c>
    </row>
    <row r="2540" customHeight="1" spans="1:2">
      <c r="A2540" s="3" t="s">
        <v>20313</v>
      </c>
      <c r="B2540" s="4">
        <v>1430185</v>
      </c>
    </row>
    <row r="2541" customHeight="1" spans="1:2">
      <c r="A2541" s="3" t="s">
        <v>17768</v>
      </c>
      <c r="B2541" s="4">
        <v>27285953</v>
      </c>
    </row>
    <row r="2542" customHeight="1" spans="1:2">
      <c r="A2542" s="3" t="s">
        <v>13740</v>
      </c>
      <c r="B2542" s="4">
        <v>52543632</v>
      </c>
    </row>
    <row r="2543" customHeight="1" spans="1:2">
      <c r="A2543" s="3" t="s">
        <v>20530</v>
      </c>
      <c r="B2543" s="4"/>
    </row>
    <row r="2544" customHeight="1" spans="1:2">
      <c r="A2544" s="3" t="s">
        <v>8934</v>
      </c>
      <c r="B2544" s="4">
        <v>43097652</v>
      </c>
    </row>
    <row r="2545" customHeight="1" spans="1:2">
      <c r="A2545" s="3" t="s">
        <v>9481</v>
      </c>
      <c r="B2545" s="4">
        <v>70625986</v>
      </c>
    </row>
    <row r="2546" customHeight="1" spans="1:2">
      <c r="A2546" s="3" t="s">
        <v>18770</v>
      </c>
      <c r="B2546" s="4"/>
    </row>
    <row r="2547" customHeight="1" spans="1:2">
      <c r="A2547" s="3" t="s">
        <v>1208</v>
      </c>
      <c r="B2547" s="4">
        <v>101160529</v>
      </c>
    </row>
    <row r="2548" customHeight="1" spans="1:2">
      <c r="A2548" s="3" t="s">
        <v>6888</v>
      </c>
      <c r="B2548" s="4">
        <v>77231</v>
      </c>
    </row>
    <row r="2549" customHeight="1" spans="1:2">
      <c r="A2549" s="3" t="s">
        <v>5131</v>
      </c>
      <c r="B2549" s="4">
        <v>91439400</v>
      </c>
    </row>
    <row r="2550" customHeight="1" spans="1:2">
      <c r="A2550" s="3" t="s">
        <v>8548</v>
      </c>
      <c r="B2550" s="4">
        <v>18324242</v>
      </c>
    </row>
    <row r="2551" customHeight="1" spans="1:2">
      <c r="A2551" s="3" t="s">
        <v>20604</v>
      </c>
      <c r="B2551" s="4">
        <v>1420578</v>
      </c>
    </row>
    <row r="2552" customHeight="1" spans="1:2">
      <c r="A2552" s="3" t="s">
        <v>12798</v>
      </c>
      <c r="B2552" s="4">
        <v>37882551</v>
      </c>
    </row>
    <row r="2553" customHeight="1" spans="1:2">
      <c r="A2553" s="3" t="s">
        <v>22208</v>
      </c>
      <c r="B2553" s="4">
        <v>35688</v>
      </c>
    </row>
    <row r="2554" customHeight="1" spans="1:2">
      <c r="A2554" s="3" t="s">
        <v>17786</v>
      </c>
      <c r="B2554" s="4">
        <v>10572742</v>
      </c>
    </row>
    <row r="2555" customHeight="1" spans="1:2">
      <c r="A2555" s="3" t="s">
        <v>9075</v>
      </c>
      <c r="B2555" s="4">
        <v>17508670</v>
      </c>
    </row>
    <row r="2556" customHeight="1" spans="1:2">
      <c r="A2556" s="3" t="s">
        <v>23076</v>
      </c>
      <c r="B2556" s="4">
        <v>12438</v>
      </c>
    </row>
    <row r="2557" customHeight="1" spans="1:2">
      <c r="A2557" s="3" t="s">
        <v>9549</v>
      </c>
      <c r="B2557" s="4">
        <v>44455658</v>
      </c>
    </row>
    <row r="2558" customHeight="1" spans="1:2">
      <c r="A2558" s="3" t="s">
        <v>18722</v>
      </c>
      <c r="B2558" s="4"/>
    </row>
    <row r="2559" customHeight="1" spans="1:2">
      <c r="A2559" s="3" t="s">
        <v>6091</v>
      </c>
      <c r="B2559" s="4">
        <v>116006080</v>
      </c>
    </row>
    <row r="2560" customHeight="1" spans="1:2">
      <c r="A2560" s="3" t="s">
        <v>23204</v>
      </c>
      <c r="B2560" s="4">
        <v>191309</v>
      </c>
    </row>
    <row r="2561" customHeight="1" spans="1:2">
      <c r="A2561" s="3" t="s">
        <v>17186</v>
      </c>
      <c r="B2561" s="4">
        <v>2025238</v>
      </c>
    </row>
    <row r="2562" customHeight="1" spans="1:2">
      <c r="A2562" s="3" t="s">
        <v>22693</v>
      </c>
      <c r="B2562" s="4"/>
    </row>
    <row r="2563" customHeight="1" spans="1:2">
      <c r="A2563" s="3" t="s">
        <v>2233</v>
      </c>
      <c r="B2563" s="4">
        <v>64685359</v>
      </c>
    </row>
    <row r="2564" customHeight="1" spans="1:2">
      <c r="A2564" s="3" t="s">
        <v>3042</v>
      </c>
      <c r="B2564" s="4">
        <v>117698894</v>
      </c>
    </row>
    <row r="2565" customHeight="1" spans="1:2">
      <c r="A2565" s="3" t="s">
        <v>20662</v>
      </c>
      <c r="B2565" s="4">
        <v>1445366</v>
      </c>
    </row>
    <row r="2566" customHeight="1" spans="1:2">
      <c r="A2566" s="3" t="s">
        <v>16903</v>
      </c>
      <c r="B2566" s="4">
        <v>6173485</v>
      </c>
    </row>
    <row r="2567" customHeight="1" spans="1:2">
      <c r="A2567" s="3" t="s">
        <v>12921</v>
      </c>
      <c r="B2567" s="4">
        <v>22189039</v>
      </c>
    </row>
    <row r="2568" customHeight="1" spans="1:2">
      <c r="A2568" s="3" t="s">
        <v>20833</v>
      </c>
      <c r="B2568" s="4">
        <v>2592808</v>
      </c>
    </row>
    <row r="2569" customHeight="1" spans="1:2">
      <c r="A2569" s="3" t="s">
        <v>15491</v>
      </c>
      <c r="B2569" s="4"/>
    </row>
    <row r="2570" customHeight="1" spans="1:2">
      <c r="A2570" s="3" t="s">
        <v>10125</v>
      </c>
      <c r="B2570" s="4">
        <v>25167270</v>
      </c>
    </row>
    <row r="2571" customHeight="1" spans="1:2">
      <c r="A2571" s="3" t="s">
        <v>2473</v>
      </c>
      <c r="B2571" s="4">
        <v>123307945</v>
      </c>
    </row>
    <row r="2572" customHeight="1" spans="1:2">
      <c r="A2572" s="3" t="s">
        <v>9277</v>
      </c>
      <c r="B2572" s="4">
        <v>45506619</v>
      </c>
    </row>
    <row r="2573" customHeight="1" spans="1:2">
      <c r="A2573" s="3" t="s">
        <v>14652</v>
      </c>
      <c r="B2573" s="4">
        <v>32034806</v>
      </c>
    </row>
    <row r="2574" customHeight="1" spans="1:2">
      <c r="A2574" s="3" t="s">
        <v>7168</v>
      </c>
      <c r="B2574" s="4"/>
    </row>
    <row r="2575" customHeight="1" spans="1:2">
      <c r="A2575" s="3" t="s">
        <v>1430</v>
      </c>
      <c r="B2575" s="4">
        <v>89021735</v>
      </c>
    </row>
    <row r="2576" customHeight="1" spans="1:2">
      <c r="A2576" s="3" t="s">
        <v>11849</v>
      </c>
      <c r="B2576" s="4">
        <v>23993605</v>
      </c>
    </row>
    <row r="2577" customHeight="1" spans="1:2">
      <c r="A2577" s="3" t="s">
        <v>21653</v>
      </c>
      <c r="B2577" s="4">
        <v>3122616</v>
      </c>
    </row>
    <row r="2578" customHeight="1" spans="1:2">
      <c r="A2578" s="3" t="s">
        <v>2329</v>
      </c>
      <c r="B2578" s="4">
        <v>183405771</v>
      </c>
    </row>
    <row r="2579" customHeight="1" spans="1:2">
      <c r="A2579" s="3" t="s">
        <v>2384</v>
      </c>
      <c r="B2579" s="4">
        <v>117144465</v>
      </c>
    </row>
    <row r="2580" customHeight="1" spans="1:2">
      <c r="A2580" s="3" t="s">
        <v>1531</v>
      </c>
      <c r="B2580" s="4">
        <v>125531634</v>
      </c>
    </row>
    <row r="2581" customHeight="1" spans="1:2">
      <c r="A2581" s="3" t="s">
        <v>2893</v>
      </c>
      <c r="B2581" s="4">
        <v>19406406</v>
      </c>
    </row>
    <row r="2582" customHeight="1" spans="1:2">
      <c r="A2582" s="3" t="s">
        <v>21634</v>
      </c>
      <c r="B2582" s="4">
        <v>5355847</v>
      </c>
    </row>
    <row r="2583" customHeight="1" spans="1:2">
      <c r="A2583" s="3" t="s">
        <v>9051</v>
      </c>
      <c r="B2583" s="4">
        <v>67900000</v>
      </c>
    </row>
    <row r="2584" customHeight="1" spans="1:2">
      <c r="A2584" s="3" t="s">
        <v>17616</v>
      </c>
      <c r="B2584" s="4">
        <v>27689474</v>
      </c>
    </row>
    <row r="2585" customHeight="1" spans="1:2">
      <c r="A2585" s="3" t="s">
        <v>17871</v>
      </c>
      <c r="B2585" s="4">
        <v>3950029</v>
      </c>
    </row>
    <row r="2586" customHeight="1" spans="1:2">
      <c r="A2586" s="3" t="s">
        <v>15464</v>
      </c>
      <c r="B2586" s="4">
        <v>11835</v>
      </c>
    </row>
    <row r="2587" customHeight="1" spans="1:2">
      <c r="A2587" s="3" t="s">
        <v>15066</v>
      </c>
      <c r="B2587" s="4">
        <v>10824921</v>
      </c>
    </row>
    <row r="2588" customHeight="1" spans="1:2">
      <c r="A2588" s="3" t="s">
        <v>7377</v>
      </c>
      <c r="B2588" s="4">
        <v>49474048</v>
      </c>
    </row>
    <row r="2589" customHeight="1" spans="1:2">
      <c r="A2589" s="3" t="s">
        <v>23049</v>
      </c>
      <c r="B2589" s="4">
        <v>255352</v>
      </c>
    </row>
    <row r="2590" customHeight="1" spans="1:2">
      <c r="A2590" s="3" t="s">
        <v>10105</v>
      </c>
      <c r="B2590" s="4">
        <v>74608545</v>
      </c>
    </row>
    <row r="2591" customHeight="1" spans="1:2">
      <c r="A2591" s="3" t="s">
        <v>19435</v>
      </c>
      <c r="B2591" s="4">
        <v>2181290</v>
      </c>
    </row>
    <row r="2592" customHeight="1" spans="1:2">
      <c r="A2592" s="3" t="s">
        <v>3822</v>
      </c>
      <c r="B2592" s="4">
        <v>1987287</v>
      </c>
    </row>
    <row r="2593" customHeight="1" spans="1:2">
      <c r="A2593" s="3" t="s">
        <v>14849</v>
      </c>
      <c r="B2593" s="4">
        <v>16800000</v>
      </c>
    </row>
    <row r="2594" customHeight="1" spans="1:2">
      <c r="A2594" s="3" t="s">
        <v>3374</v>
      </c>
      <c r="B2594" s="4">
        <v>98895417</v>
      </c>
    </row>
    <row r="2595" customHeight="1" spans="1:2">
      <c r="A2595" s="3" t="s">
        <v>5283</v>
      </c>
      <c r="B2595" s="4">
        <v>38590500</v>
      </c>
    </row>
    <row r="2596" customHeight="1" spans="1:2">
      <c r="A2596" s="3" t="s">
        <v>16049</v>
      </c>
      <c r="B2596" s="4">
        <v>22800000</v>
      </c>
    </row>
    <row r="2597" customHeight="1" spans="1:2">
      <c r="A2597" s="3" t="s">
        <v>24089</v>
      </c>
      <c r="B2597" s="4"/>
    </row>
    <row r="2598" customHeight="1" spans="1:2">
      <c r="A2598" s="3" t="s">
        <v>15163</v>
      </c>
      <c r="B2598" s="4">
        <v>4356743</v>
      </c>
    </row>
    <row r="2599" customHeight="1" spans="1:2">
      <c r="A2599" s="3" t="s">
        <v>23241</v>
      </c>
      <c r="B2599" s="4"/>
    </row>
    <row r="2600" customHeight="1" spans="1:2">
      <c r="A2600" s="3" t="s">
        <v>10076</v>
      </c>
      <c r="B2600" s="4">
        <v>717753</v>
      </c>
    </row>
    <row r="2601" customHeight="1" spans="1:2">
      <c r="A2601" s="3" t="s">
        <v>22042</v>
      </c>
      <c r="B2601" s="4">
        <v>9600000</v>
      </c>
    </row>
    <row r="2602" customHeight="1" spans="1:2">
      <c r="A2602" s="3" t="s">
        <v>21770</v>
      </c>
      <c r="B2602" s="4">
        <v>144431</v>
      </c>
    </row>
    <row r="2603" customHeight="1" spans="1:2">
      <c r="A2603" s="3" t="s">
        <v>8664</v>
      </c>
      <c r="B2603" s="4">
        <v>5300000</v>
      </c>
    </row>
    <row r="2604" customHeight="1" spans="1:2">
      <c r="A2604" s="3" t="s">
        <v>8855</v>
      </c>
      <c r="B2604" s="4">
        <v>55845943</v>
      </c>
    </row>
    <row r="2605" customHeight="1" spans="1:2">
      <c r="A2605" s="3" t="s">
        <v>21066</v>
      </c>
      <c r="B2605" s="4"/>
    </row>
    <row r="2606" customHeight="1" spans="1:2">
      <c r="A2606" s="3" t="s">
        <v>17844</v>
      </c>
      <c r="B2606" s="4"/>
    </row>
    <row r="2607" customHeight="1" spans="1:2">
      <c r="A2607" s="3" t="s">
        <v>23572</v>
      </c>
      <c r="B2607" s="4">
        <v>9437933</v>
      </c>
    </row>
    <row r="2608" customHeight="1" spans="1:2">
      <c r="A2608" s="3" t="s">
        <v>14363</v>
      </c>
      <c r="B2608" s="4">
        <v>548934</v>
      </c>
    </row>
    <row r="2609" customHeight="1" spans="1:2">
      <c r="A2609" s="3" t="s">
        <v>13019</v>
      </c>
      <c r="B2609" s="4">
        <v>13766014</v>
      </c>
    </row>
    <row r="2610" customHeight="1" spans="1:2">
      <c r="A2610" s="3" t="s">
        <v>15031</v>
      </c>
      <c r="B2610" s="4">
        <v>28873374</v>
      </c>
    </row>
    <row r="2611" customHeight="1" spans="1:2">
      <c r="A2611" s="3" t="s">
        <v>18340</v>
      </c>
      <c r="B2611" s="4">
        <v>112000000</v>
      </c>
    </row>
    <row r="2612" customHeight="1" spans="1:2">
      <c r="A2612" s="3" t="s">
        <v>6174</v>
      </c>
      <c r="B2612" s="4">
        <v>26404753</v>
      </c>
    </row>
    <row r="2613" customHeight="1" spans="1:2">
      <c r="A2613" s="3" t="s">
        <v>14106</v>
      </c>
      <c r="B2613" s="4">
        <v>31597131</v>
      </c>
    </row>
    <row r="2614" customHeight="1" spans="1:2">
      <c r="A2614" s="3" t="s">
        <v>12064</v>
      </c>
      <c r="B2614" s="4">
        <v>229311</v>
      </c>
    </row>
    <row r="2615" customHeight="1" spans="1:2">
      <c r="A2615" s="3" t="s">
        <v>10935</v>
      </c>
      <c r="B2615" s="4">
        <v>26876529</v>
      </c>
    </row>
    <row r="2616" customHeight="1" spans="1:2">
      <c r="A2616" s="3" t="s">
        <v>11188</v>
      </c>
      <c r="B2616" s="4">
        <v>13391174</v>
      </c>
    </row>
    <row r="2617" customHeight="1" spans="1:2">
      <c r="A2617" s="3" t="s">
        <v>20631</v>
      </c>
      <c r="B2617" s="4">
        <v>18435</v>
      </c>
    </row>
    <row r="2618" customHeight="1" spans="1:2">
      <c r="A2618" s="3" t="s">
        <v>8478</v>
      </c>
      <c r="B2618" s="4">
        <v>23209440</v>
      </c>
    </row>
    <row r="2619" customHeight="1" spans="1:2">
      <c r="A2619" s="3" t="s">
        <v>13244</v>
      </c>
      <c r="B2619" s="4">
        <v>102055</v>
      </c>
    </row>
    <row r="2620" customHeight="1" spans="1:2">
      <c r="A2620" s="3" t="s">
        <v>18161</v>
      </c>
      <c r="B2620" s="4">
        <v>778565</v>
      </c>
    </row>
    <row r="2621" customHeight="1" spans="1:2">
      <c r="A2621" s="3" t="s">
        <v>17170</v>
      </c>
      <c r="B2621" s="4">
        <v>3273588</v>
      </c>
    </row>
    <row r="2622" customHeight="1" spans="1:2">
      <c r="A2622" s="3" t="s">
        <v>15769</v>
      </c>
      <c r="B2622" s="4">
        <v>13751</v>
      </c>
    </row>
    <row r="2623" customHeight="1" spans="1:2">
      <c r="A2623" s="3" t="s">
        <v>9247</v>
      </c>
      <c r="B2623" s="4">
        <v>58328680</v>
      </c>
    </row>
    <row r="2624" customHeight="1" spans="1:2">
      <c r="A2624" s="3" t="s">
        <v>19552</v>
      </c>
      <c r="B2624" s="4"/>
    </row>
    <row r="2625" customHeight="1" spans="1:2">
      <c r="A2625" s="3" t="s">
        <v>2390</v>
      </c>
      <c r="B2625" s="4">
        <v>84303558</v>
      </c>
    </row>
    <row r="2626" customHeight="1" spans="1:2">
      <c r="A2626" s="3" t="s">
        <v>23751</v>
      </c>
      <c r="B2626" s="4"/>
    </row>
    <row r="2627" customHeight="1" spans="1:2">
      <c r="A2627" s="3" t="s">
        <v>22502</v>
      </c>
      <c r="B2627" s="4">
        <v>30500882</v>
      </c>
    </row>
    <row r="2628" customHeight="1" spans="1:2">
      <c r="A2628" s="3" t="s">
        <v>13897</v>
      </c>
      <c r="B2628" s="4">
        <v>31662</v>
      </c>
    </row>
    <row r="2629" customHeight="1" spans="1:2">
      <c r="A2629" s="3" t="s">
        <v>23473</v>
      </c>
      <c r="B2629" s="4"/>
    </row>
    <row r="2630" customHeight="1" spans="1:2">
      <c r="A2630" s="3" t="s">
        <v>17002</v>
      </c>
      <c r="B2630" s="4">
        <v>54800000</v>
      </c>
    </row>
    <row r="2631" customHeight="1" spans="1:2">
      <c r="A2631" s="3" t="s">
        <v>21711</v>
      </c>
      <c r="B2631" s="4">
        <v>582024</v>
      </c>
    </row>
    <row r="2632" customHeight="1" spans="1:2">
      <c r="A2632" s="3" t="s">
        <v>9318</v>
      </c>
      <c r="B2632" s="4">
        <v>16252765</v>
      </c>
    </row>
    <row r="2633" customHeight="1" spans="1:2">
      <c r="A2633" s="3" t="s">
        <v>10795</v>
      </c>
      <c r="B2633" s="4">
        <v>41573740</v>
      </c>
    </row>
    <row r="2634" customHeight="1" spans="1:2">
      <c r="A2634" s="3" t="s">
        <v>22553</v>
      </c>
      <c r="B2634" s="4">
        <v>1127331</v>
      </c>
    </row>
    <row r="2635" customHeight="1" spans="1:2">
      <c r="A2635" s="3" t="s">
        <v>13972</v>
      </c>
      <c r="B2635" s="4">
        <v>1508689</v>
      </c>
    </row>
    <row r="2636" customHeight="1" spans="1:2">
      <c r="A2636" s="3" t="s">
        <v>3498</v>
      </c>
      <c r="B2636" s="4">
        <v>13596911</v>
      </c>
    </row>
    <row r="2637" customHeight="1" spans="1:2">
      <c r="A2637" s="3" t="s">
        <v>17550</v>
      </c>
      <c r="B2637" s="4">
        <v>50820940</v>
      </c>
    </row>
    <row r="2638" customHeight="1" spans="1:2">
      <c r="A2638" s="3" t="s">
        <v>9012</v>
      </c>
      <c r="B2638" s="4">
        <v>6998324</v>
      </c>
    </row>
    <row r="2639" customHeight="1" spans="1:2">
      <c r="A2639" s="3" t="s">
        <v>13457</v>
      </c>
      <c r="B2639" s="4">
        <v>20246959</v>
      </c>
    </row>
    <row r="2640" customHeight="1" spans="1:2">
      <c r="A2640" s="3" t="s">
        <v>17659</v>
      </c>
      <c r="B2640" s="4">
        <v>24809547</v>
      </c>
    </row>
    <row r="2641" customHeight="1" spans="1:2">
      <c r="A2641" s="3" t="s">
        <v>10417</v>
      </c>
      <c r="B2641" s="4">
        <v>3108216</v>
      </c>
    </row>
    <row r="2642" customHeight="1" spans="1:2">
      <c r="A2642" s="3" t="s">
        <v>14593</v>
      </c>
      <c r="B2642" s="4">
        <v>13903262</v>
      </c>
    </row>
    <row r="2643" customHeight="1" spans="1:2">
      <c r="A2643" s="3" t="s">
        <v>8047</v>
      </c>
      <c r="B2643" s="4">
        <v>87100000</v>
      </c>
    </row>
    <row r="2644" customHeight="1" spans="1:2">
      <c r="A2644" s="3" t="s">
        <v>11706</v>
      </c>
      <c r="B2644" s="4"/>
    </row>
    <row r="2645" customHeight="1" spans="1:2">
      <c r="A2645" s="3" t="s">
        <v>5596</v>
      </c>
      <c r="B2645" s="4">
        <v>37339525</v>
      </c>
    </row>
    <row r="2646" customHeight="1" spans="1:2">
      <c r="A2646" s="3" t="s">
        <v>17966</v>
      </c>
      <c r="B2646" s="4">
        <v>728</v>
      </c>
    </row>
    <row r="2647" customHeight="1" spans="1:2">
      <c r="A2647" s="3" t="s">
        <v>20845</v>
      </c>
      <c r="B2647" s="4"/>
    </row>
    <row r="2648" customHeight="1" spans="1:2">
      <c r="A2648" s="3" t="s">
        <v>10529</v>
      </c>
      <c r="B2648" s="4">
        <v>11326836</v>
      </c>
    </row>
    <row r="2649" customHeight="1" spans="1:2">
      <c r="A2649" s="3" t="s">
        <v>5277</v>
      </c>
      <c r="B2649" s="4">
        <v>40905277</v>
      </c>
    </row>
    <row r="2650" customHeight="1" spans="1:2">
      <c r="A2650" s="3" t="s">
        <v>5126</v>
      </c>
      <c r="B2650" s="4">
        <v>67823573</v>
      </c>
    </row>
    <row r="2651" customHeight="1" spans="1:2">
      <c r="A2651" s="3" t="s">
        <v>5501</v>
      </c>
      <c r="B2651" s="4"/>
    </row>
    <row r="2652" customHeight="1" spans="1:2">
      <c r="A2652" s="3" t="s">
        <v>16390</v>
      </c>
      <c r="B2652" s="4"/>
    </row>
    <row r="2653" customHeight="1" spans="1:2">
      <c r="A2653" s="3" t="s">
        <v>16597</v>
      </c>
      <c r="B2653" s="4">
        <v>7292175</v>
      </c>
    </row>
    <row r="2654" customHeight="1" spans="1:2">
      <c r="A2654" s="3" t="s">
        <v>15098</v>
      </c>
      <c r="B2654" s="4">
        <v>7563670</v>
      </c>
    </row>
    <row r="2655" customHeight="1" spans="1:2">
      <c r="A2655" s="3" t="s">
        <v>2553</v>
      </c>
      <c r="B2655" s="4">
        <v>155019340</v>
      </c>
    </row>
    <row r="2656" customHeight="1" spans="1:2">
      <c r="A2656" s="3" t="s">
        <v>23702</v>
      </c>
      <c r="B2656" s="4">
        <v>3000000</v>
      </c>
    </row>
    <row r="2657" customHeight="1" spans="1:2">
      <c r="A2657" s="3" t="s">
        <v>15279</v>
      </c>
      <c r="B2657" s="4">
        <v>1011054</v>
      </c>
    </row>
    <row r="2658" customHeight="1" spans="1:2">
      <c r="A2658" s="3" t="s">
        <v>293</v>
      </c>
      <c r="B2658" s="4">
        <v>469806152</v>
      </c>
    </row>
    <row r="2659" customHeight="1" spans="1:2">
      <c r="A2659" s="3" t="s">
        <v>8303</v>
      </c>
      <c r="B2659" s="4">
        <v>53680848</v>
      </c>
    </row>
    <row r="2660" customHeight="1" spans="1:2">
      <c r="A2660" s="3" t="s">
        <v>18391</v>
      </c>
      <c r="B2660" s="4">
        <v>199228</v>
      </c>
    </row>
    <row r="2661" customHeight="1" spans="1:2">
      <c r="A2661" s="3" t="s">
        <v>383</v>
      </c>
      <c r="B2661" s="4">
        <v>101785482</v>
      </c>
    </row>
    <row r="2662" customHeight="1" spans="1:2">
      <c r="A2662" s="3" t="s">
        <v>4726</v>
      </c>
      <c r="B2662" s="4">
        <v>76137505</v>
      </c>
    </row>
    <row r="2663" customHeight="1" spans="1:2">
      <c r="A2663" s="3" t="s">
        <v>9285</v>
      </c>
      <c r="B2663" s="4">
        <v>49874933</v>
      </c>
    </row>
    <row r="2664" customHeight="1" spans="1:2">
      <c r="A2664" s="3" t="s">
        <v>10891</v>
      </c>
      <c r="B2664" s="4"/>
    </row>
    <row r="2665" customHeight="1" spans="1:2">
      <c r="A2665" s="3" t="s">
        <v>16769</v>
      </c>
      <c r="B2665" s="4">
        <v>41400000</v>
      </c>
    </row>
    <row r="2666" customHeight="1" spans="1:2">
      <c r="A2666" s="3" t="s">
        <v>21730</v>
      </c>
      <c r="B2666" s="4">
        <v>750100</v>
      </c>
    </row>
    <row r="2667" customHeight="1" spans="1:2">
      <c r="A2667" s="3" t="s">
        <v>944</v>
      </c>
      <c r="B2667" s="4">
        <v>104894454</v>
      </c>
    </row>
    <row r="2668" customHeight="1" spans="1:2">
      <c r="A2668" s="3" t="s">
        <v>13320</v>
      </c>
      <c r="B2668" s="4"/>
    </row>
    <row r="2669" customHeight="1" spans="1:2">
      <c r="A2669" s="3" t="s">
        <v>22176</v>
      </c>
      <c r="B2669" s="4">
        <v>9950</v>
      </c>
    </row>
    <row r="2670" customHeight="1" spans="1:2">
      <c r="A2670" s="3" t="s">
        <v>6817</v>
      </c>
      <c r="B2670" s="4">
        <v>10326062</v>
      </c>
    </row>
    <row r="2671" customHeight="1" spans="1:2">
      <c r="A2671" s="3" t="s">
        <v>5540</v>
      </c>
      <c r="B2671" s="4">
        <v>95308367</v>
      </c>
    </row>
    <row r="2672" customHeight="1" spans="1:2">
      <c r="A2672" s="3" t="s">
        <v>12428</v>
      </c>
      <c r="B2672" s="4">
        <v>37623143</v>
      </c>
    </row>
    <row r="2673" customHeight="1" spans="1:2">
      <c r="A2673" s="3" t="s">
        <v>11125</v>
      </c>
      <c r="B2673" s="4">
        <v>15712072</v>
      </c>
    </row>
    <row r="2674" customHeight="1" spans="1:2">
      <c r="A2674" s="3" t="s">
        <v>14187</v>
      </c>
      <c r="B2674" s="4">
        <v>31990064</v>
      </c>
    </row>
    <row r="2675" customHeight="1" spans="1:2">
      <c r="A2675" s="3" t="s">
        <v>19182</v>
      </c>
      <c r="B2675" s="4">
        <v>84749884</v>
      </c>
    </row>
    <row r="2676" customHeight="1" spans="1:2">
      <c r="A2676" s="3" t="s">
        <v>17544</v>
      </c>
      <c r="B2676" s="4">
        <v>104007828</v>
      </c>
    </row>
    <row r="2677" customHeight="1" spans="1:2">
      <c r="A2677" s="3" t="s">
        <v>17567</v>
      </c>
      <c r="B2677" s="4">
        <v>53884821</v>
      </c>
    </row>
    <row r="2678" customHeight="1" spans="1:2">
      <c r="A2678" s="3" t="s">
        <v>22839</v>
      </c>
      <c r="B2678" s="4">
        <v>107917283</v>
      </c>
    </row>
    <row r="2679" customHeight="1" spans="1:2">
      <c r="A2679" s="3" t="s">
        <v>17596</v>
      </c>
      <c r="B2679" s="4">
        <v>32453345</v>
      </c>
    </row>
    <row r="2680" customHeight="1" spans="1:2">
      <c r="A2680" s="3" t="s">
        <v>4125</v>
      </c>
      <c r="B2680" s="4">
        <v>55994557</v>
      </c>
    </row>
    <row r="2681" customHeight="1" spans="1:2">
      <c r="A2681" s="3" t="s">
        <v>9477</v>
      </c>
      <c r="B2681" s="4">
        <v>77264926</v>
      </c>
    </row>
    <row r="2682" customHeight="1" spans="1:2">
      <c r="A2682" s="3" t="s">
        <v>13829</v>
      </c>
      <c r="B2682" s="4">
        <v>4857376</v>
      </c>
    </row>
    <row r="2683" customHeight="1" spans="1:2">
      <c r="A2683" s="3" t="s">
        <v>7600</v>
      </c>
      <c r="B2683" s="4">
        <v>17609982</v>
      </c>
    </row>
    <row r="2684" customHeight="1" spans="1:2">
      <c r="A2684" s="3" t="s">
        <v>15480</v>
      </c>
      <c r="B2684" s="4"/>
    </row>
    <row r="2685" customHeight="1" spans="1:2">
      <c r="A2685" s="3" t="s">
        <v>17920</v>
      </c>
      <c r="B2685" s="4">
        <v>296665</v>
      </c>
    </row>
    <row r="2686" customHeight="1" spans="1:2">
      <c r="A2686" s="3" t="s">
        <v>11366</v>
      </c>
      <c r="B2686" s="4"/>
    </row>
    <row r="2687" customHeight="1" spans="1:2">
      <c r="A2687" s="3" t="s">
        <v>18157</v>
      </c>
      <c r="B2687" s="4"/>
    </row>
    <row r="2688" customHeight="1" spans="1:2">
      <c r="A2688" s="3" t="s">
        <v>5024</v>
      </c>
      <c r="B2688" s="4">
        <v>135014968</v>
      </c>
    </row>
    <row r="2689" customHeight="1" spans="1:2">
      <c r="A2689" s="3" t="s">
        <v>16234</v>
      </c>
      <c r="B2689" s="4">
        <v>108662</v>
      </c>
    </row>
    <row r="2690" customHeight="1" spans="1:2">
      <c r="A2690" s="3" t="s">
        <v>5737</v>
      </c>
      <c r="B2690" s="4">
        <v>83287363</v>
      </c>
    </row>
    <row r="2691" customHeight="1" spans="1:2">
      <c r="A2691" s="3" t="s">
        <v>14102</v>
      </c>
      <c r="B2691" s="4"/>
    </row>
    <row r="2692" customHeight="1" spans="1:2">
      <c r="A2692" s="3" t="s">
        <v>7013</v>
      </c>
      <c r="B2692" s="4">
        <v>71038190</v>
      </c>
    </row>
    <row r="2693" customHeight="1" spans="1:2">
      <c r="A2693" s="3" t="s">
        <v>9215</v>
      </c>
      <c r="B2693" s="4">
        <v>20819129</v>
      </c>
    </row>
    <row r="2694" customHeight="1" spans="1:2">
      <c r="A2694" s="3" t="s">
        <v>6554</v>
      </c>
      <c r="B2694" s="4">
        <v>37371385</v>
      </c>
    </row>
    <row r="2695" customHeight="1" spans="1:2">
      <c r="A2695" s="3" t="s">
        <v>6594</v>
      </c>
      <c r="B2695" s="4">
        <v>33508922</v>
      </c>
    </row>
    <row r="2696" customHeight="1" spans="1:2">
      <c r="A2696" s="3" t="s">
        <v>5085</v>
      </c>
      <c r="B2696" s="4">
        <v>81517441</v>
      </c>
    </row>
    <row r="2697" customHeight="1" spans="1:2">
      <c r="A2697" s="3" t="s">
        <v>4132</v>
      </c>
      <c r="B2697" s="4">
        <v>53789313</v>
      </c>
    </row>
    <row r="2698" customHeight="1" spans="1:2">
      <c r="A2698" s="3" t="s">
        <v>15698</v>
      </c>
      <c r="B2698" s="4">
        <v>4350774</v>
      </c>
    </row>
    <row r="2699" customHeight="1" spans="1:2">
      <c r="A2699" s="3" t="s">
        <v>23777</v>
      </c>
      <c r="B2699" s="4"/>
    </row>
    <row r="2700" customHeight="1" spans="1:2">
      <c r="A2700" s="3" t="s">
        <v>15213</v>
      </c>
      <c r="B2700" s="4">
        <v>1055654</v>
      </c>
    </row>
    <row r="2701" customHeight="1" spans="1:2">
      <c r="A2701" s="3" t="s">
        <v>753</v>
      </c>
      <c r="B2701" s="4">
        <v>198539855</v>
      </c>
    </row>
    <row r="2702" customHeight="1" spans="1:2">
      <c r="A2702" s="3" t="s">
        <v>13123</v>
      </c>
      <c r="B2702" s="4">
        <v>9123834</v>
      </c>
    </row>
    <row r="2703" customHeight="1" spans="1:2">
      <c r="A2703" s="3" t="s">
        <v>11806</v>
      </c>
      <c r="B2703" s="4">
        <v>41382841</v>
      </c>
    </row>
    <row r="2704" customHeight="1" spans="1:2">
      <c r="A2704" s="3" t="s">
        <v>1153</v>
      </c>
      <c r="B2704" s="4">
        <v>83348920</v>
      </c>
    </row>
    <row r="2705" customHeight="1" spans="1:2">
      <c r="A2705" s="3" t="s">
        <v>23715</v>
      </c>
      <c r="B2705" s="4"/>
    </row>
    <row r="2706" customHeight="1" spans="1:2">
      <c r="A2706" s="3" t="s">
        <v>11481</v>
      </c>
      <c r="B2706" s="4">
        <v>121972</v>
      </c>
    </row>
    <row r="2707" customHeight="1" spans="1:2">
      <c r="A2707" s="3" t="s">
        <v>11307</v>
      </c>
      <c r="B2707" s="4"/>
    </row>
    <row r="2708" customHeight="1" spans="1:2">
      <c r="A2708" s="3" t="s">
        <v>2073</v>
      </c>
      <c r="B2708" s="4">
        <v>88761720</v>
      </c>
    </row>
    <row r="2709" customHeight="1" spans="1:2">
      <c r="A2709" s="3" t="s">
        <v>2225</v>
      </c>
      <c r="B2709" s="4">
        <v>68558662</v>
      </c>
    </row>
    <row r="2710" customHeight="1" spans="1:2">
      <c r="A2710" s="3" t="s">
        <v>23563</v>
      </c>
      <c r="B2710" s="4"/>
    </row>
    <row r="2711" customHeight="1" spans="1:2">
      <c r="A2711" s="3" t="s">
        <v>3848</v>
      </c>
      <c r="B2711" s="4">
        <v>2208939</v>
      </c>
    </row>
    <row r="2712" customHeight="1" spans="1:2">
      <c r="A2712" s="3" t="s">
        <v>16833</v>
      </c>
      <c r="B2712" s="4">
        <v>828</v>
      </c>
    </row>
    <row r="2713" customHeight="1" spans="1:2">
      <c r="A2713" s="3" t="s">
        <v>16413</v>
      </c>
      <c r="B2713" s="4">
        <v>4443403</v>
      </c>
    </row>
    <row r="2714" customHeight="1" spans="1:2">
      <c r="A2714" s="3" t="s">
        <v>14460</v>
      </c>
      <c r="B2714" s="4">
        <v>57469179</v>
      </c>
    </row>
    <row r="2715" customHeight="1" spans="1:2">
      <c r="A2715" s="3" t="s">
        <v>14935</v>
      </c>
      <c r="B2715" s="4"/>
    </row>
    <row r="2716" customHeight="1" spans="1:2">
      <c r="A2716" s="3" t="s">
        <v>19338</v>
      </c>
      <c r="B2716" s="4">
        <v>7282851</v>
      </c>
    </row>
    <row r="2717" customHeight="1" spans="1:2">
      <c r="A2717" s="3" t="s">
        <v>19320</v>
      </c>
      <c r="B2717" s="4">
        <v>7059537</v>
      </c>
    </row>
    <row r="2718" customHeight="1" spans="1:2">
      <c r="A2718" s="3" t="s">
        <v>7895</v>
      </c>
      <c r="B2718" s="4">
        <v>104632573</v>
      </c>
    </row>
    <row r="2719" customHeight="1" spans="1:2">
      <c r="A2719" s="3" t="s">
        <v>12512</v>
      </c>
      <c r="B2719" s="4">
        <v>77324422</v>
      </c>
    </row>
    <row r="2720" customHeight="1" spans="1:2">
      <c r="A2720" s="3" t="s">
        <v>14170</v>
      </c>
      <c r="B2720" s="4">
        <v>37707719</v>
      </c>
    </row>
    <row r="2721" customHeight="1" spans="1:2">
      <c r="A2721" s="3" t="s">
        <v>14536</v>
      </c>
      <c r="B2721" s="4">
        <v>46563158</v>
      </c>
    </row>
    <row r="2722" customHeight="1" spans="1:2">
      <c r="A2722" s="3" t="s">
        <v>23782</v>
      </c>
      <c r="B2722" s="4">
        <v>3216970</v>
      </c>
    </row>
    <row r="2723" customHeight="1" spans="1:2">
      <c r="A2723" s="3" t="s">
        <v>23036</v>
      </c>
      <c r="B2723" s="4">
        <v>2360184</v>
      </c>
    </row>
    <row r="2724" customHeight="1" spans="1:2">
      <c r="A2724" s="3" t="s">
        <v>23062</v>
      </c>
      <c r="B2724" s="4"/>
    </row>
    <row r="2725" customHeight="1" spans="1:2">
      <c r="A2725" s="3" t="s">
        <v>9240</v>
      </c>
      <c r="B2725" s="4">
        <v>87341380</v>
      </c>
    </row>
    <row r="2726" customHeight="1" spans="1:2">
      <c r="A2726" s="3" t="s">
        <v>24058</v>
      </c>
      <c r="B2726" s="4">
        <v>180483</v>
      </c>
    </row>
    <row r="2727" customHeight="1" spans="1:2">
      <c r="A2727" s="3" t="s">
        <v>23980</v>
      </c>
      <c r="B2727" s="4">
        <v>8231</v>
      </c>
    </row>
    <row r="2728" customHeight="1" spans="1:2">
      <c r="A2728" s="3" t="s">
        <v>21353</v>
      </c>
      <c r="B2728" s="4">
        <v>24784</v>
      </c>
    </row>
    <row r="2729" customHeight="1" spans="1:2">
      <c r="A2729" s="3" t="s">
        <v>6034</v>
      </c>
      <c r="B2729" s="4">
        <v>84300000</v>
      </c>
    </row>
    <row r="2730" customHeight="1" spans="1:2">
      <c r="A2730" s="3" t="s">
        <v>10167</v>
      </c>
      <c r="B2730" s="4">
        <v>25003072</v>
      </c>
    </row>
    <row r="2731" customHeight="1" spans="1:2">
      <c r="A2731" s="3" t="s">
        <v>5513</v>
      </c>
      <c r="B2731" s="4">
        <v>7994115</v>
      </c>
    </row>
    <row r="2732" customHeight="1" spans="1:2">
      <c r="A2732" s="3" t="s">
        <v>47</v>
      </c>
      <c r="B2732" s="4">
        <v>309404152</v>
      </c>
    </row>
    <row r="2733" customHeight="1" spans="1:2">
      <c r="A2733" s="3" t="s">
        <v>133</v>
      </c>
      <c r="B2733" s="4">
        <v>423032628</v>
      </c>
    </row>
    <row r="2734" customHeight="1" spans="1:2">
      <c r="A2734" s="3" t="s">
        <v>161</v>
      </c>
      <c r="B2734" s="4">
        <v>241063875</v>
      </c>
    </row>
    <row r="2735" customHeight="1" spans="1:2">
      <c r="A2735" s="3" t="s">
        <v>1264</v>
      </c>
      <c r="B2735" s="4">
        <v>305388685</v>
      </c>
    </row>
    <row r="2736" customHeight="1" spans="1:2">
      <c r="A2736" s="3" t="s">
        <v>10224</v>
      </c>
      <c r="B2736" s="4">
        <v>39235088</v>
      </c>
    </row>
    <row r="2737" customHeight="1" spans="1:2">
      <c r="A2737" s="3" t="s">
        <v>8768</v>
      </c>
      <c r="B2737" s="4">
        <v>183436380</v>
      </c>
    </row>
    <row r="2738" customHeight="1" spans="1:2">
      <c r="A2738" s="3" t="s">
        <v>12228</v>
      </c>
      <c r="B2738" s="4">
        <v>64998368</v>
      </c>
    </row>
    <row r="2739" customHeight="1" spans="1:2">
      <c r="A2739" s="3" t="s">
        <v>2187</v>
      </c>
      <c r="B2739" s="4">
        <v>78747585</v>
      </c>
    </row>
    <row r="2740" customHeight="1" spans="1:2">
      <c r="A2740" s="3" t="s">
        <v>4254</v>
      </c>
      <c r="B2740" s="4">
        <v>42194060</v>
      </c>
    </row>
    <row r="2741" customHeight="1" spans="1:2">
      <c r="A2741" s="3" t="s">
        <v>1714</v>
      </c>
      <c r="B2741" s="4">
        <v>360023480</v>
      </c>
    </row>
    <row r="2742" customHeight="1" spans="1:2">
      <c r="A2742" s="3" t="s">
        <v>15521</v>
      </c>
      <c r="B2742" s="4"/>
    </row>
    <row r="2743" customHeight="1" spans="1:2">
      <c r="A2743" s="3" t="s">
        <v>16976</v>
      </c>
      <c r="B2743" s="4">
        <v>137963328</v>
      </c>
    </row>
    <row r="2744" customHeight="1" spans="1:2">
      <c r="A2744" s="3" t="s">
        <v>10159</v>
      </c>
      <c r="B2744" s="4">
        <v>8427204</v>
      </c>
    </row>
    <row r="2745" customHeight="1" spans="1:2">
      <c r="A2745" s="3" t="s">
        <v>7803</v>
      </c>
      <c r="B2745" s="4">
        <v>13101142</v>
      </c>
    </row>
    <row r="2746" customHeight="1" spans="1:2">
      <c r="A2746" s="3" t="s">
        <v>19373</v>
      </c>
      <c r="B2746" s="4">
        <v>4033268</v>
      </c>
    </row>
    <row r="2747" customHeight="1" spans="1:2">
      <c r="A2747" s="3" t="s">
        <v>20460</v>
      </c>
      <c r="B2747" s="4">
        <v>2843</v>
      </c>
    </row>
    <row r="2748" customHeight="1" spans="1:2">
      <c r="A2748" s="3" t="s">
        <v>4578</v>
      </c>
      <c r="B2748" s="4">
        <v>141600000</v>
      </c>
    </row>
    <row r="2749" customHeight="1" spans="1:2">
      <c r="A2749" s="3" t="s">
        <v>19619</v>
      </c>
      <c r="B2749" s="4"/>
    </row>
    <row r="2750" customHeight="1" spans="1:2">
      <c r="A2750" s="3" t="s">
        <v>13429</v>
      </c>
      <c r="B2750" s="4">
        <v>27515786</v>
      </c>
    </row>
    <row r="2751" customHeight="1" spans="1:2">
      <c r="A2751" s="3" t="s">
        <v>19571</v>
      </c>
      <c r="B2751" s="4"/>
    </row>
    <row r="2752" customHeight="1" spans="1:2">
      <c r="A2752" s="3" t="s">
        <v>1887</v>
      </c>
      <c r="B2752" s="4">
        <v>57544444</v>
      </c>
    </row>
    <row r="2753" customHeight="1" spans="1:2">
      <c r="A2753" s="3" t="s">
        <v>19238</v>
      </c>
      <c r="B2753" s="4"/>
    </row>
    <row r="2754" customHeight="1" spans="1:2">
      <c r="A2754" s="3" t="s">
        <v>18212</v>
      </c>
      <c r="B2754" s="4">
        <v>81200000</v>
      </c>
    </row>
    <row r="2755" customHeight="1" spans="1:2">
      <c r="A2755" s="3" t="s">
        <v>15364</v>
      </c>
      <c r="B2755" s="4">
        <v>126247</v>
      </c>
    </row>
    <row r="2756" customHeight="1" spans="1:2">
      <c r="A2756" s="3" t="s">
        <v>15820</v>
      </c>
      <c r="B2756" s="4">
        <v>171320</v>
      </c>
    </row>
    <row r="2757" customHeight="1" spans="1:2">
      <c r="A2757" s="3" t="s">
        <v>17106</v>
      </c>
      <c r="B2757" s="4">
        <v>8596914</v>
      </c>
    </row>
    <row r="2758" customHeight="1" spans="1:2">
      <c r="A2758" s="3" t="s">
        <v>15530</v>
      </c>
      <c r="B2758" s="4">
        <v>14114488</v>
      </c>
    </row>
    <row r="2759" customHeight="1" spans="1:2">
      <c r="A2759" s="3" t="s">
        <v>7409</v>
      </c>
      <c r="B2759" s="4">
        <v>153200000</v>
      </c>
    </row>
    <row r="2760" customHeight="1" spans="1:2">
      <c r="A2760" s="3" t="s">
        <v>2904</v>
      </c>
      <c r="B2760" s="4">
        <v>23219748</v>
      </c>
    </row>
    <row r="2761" customHeight="1" spans="1:2">
      <c r="A2761" s="3" t="s">
        <v>21030</v>
      </c>
      <c r="B2761" s="4">
        <v>3478</v>
      </c>
    </row>
    <row r="2762" customHeight="1" spans="1:2">
      <c r="A2762" s="3" t="s">
        <v>7783</v>
      </c>
      <c r="B2762" s="4">
        <v>15081783</v>
      </c>
    </row>
    <row r="2763" customHeight="1" spans="1:2">
      <c r="A2763" s="3" t="s">
        <v>11088</v>
      </c>
      <c r="B2763" s="4">
        <v>18081626</v>
      </c>
    </row>
    <row r="2764" customHeight="1" spans="1:2">
      <c r="A2764" s="3" t="s">
        <v>18628</v>
      </c>
      <c r="B2764" s="4">
        <v>562059</v>
      </c>
    </row>
    <row r="2765" customHeight="1" spans="1:2">
      <c r="A2765" s="3" t="s">
        <v>18957</v>
      </c>
      <c r="B2765" s="4">
        <v>3293258</v>
      </c>
    </row>
    <row r="2766" customHeight="1" spans="1:2">
      <c r="A2766" s="3" t="s">
        <v>18422</v>
      </c>
      <c r="B2766" s="4">
        <v>105500000</v>
      </c>
    </row>
    <row r="2767" customHeight="1" spans="1:2">
      <c r="A2767" s="3" t="s">
        <v>715</v>
      </c>
      <c r="B2767" s="4">
        <v>60655503</v>
      </c>
    </row>
    <row r="2768" customHeight="1" spans="1:2">
      <c r="A2768" s="3" t="s">
        <v>13131</v>
      </c>
      <c r="B2768" s="4">
        <v>6373693</v>
      </c>
    </row>
    <row r="2769" customHeight="1" spans="1:2">
      <c r="A2769" s="3" t="s">
        <v>22788</v>
      </c>
      <c r="B2769" s="4">
        <v>23000</v>
      </c>
    </row>
    <row r="2770" customHeight="1" spans="1:2">
      <c r="A2770" s="3" t="s">
        <v>16447</v>
      </c>
      <c r="B2770" s="4"/>
    </row>
    <row r="2771" customHeight="1" spans="1:2">
      <c r="A2771" s="3" t="s">
        <v>4197</v>
      </c>
      <c r="B2771" s="4">
        <v>46611204</v>
      </c>
    </row>
    <row r="2772" customHeight="1" spans="1:2">
      <c r="A2772" s="3" t="s">
        <v>16136</v>
      </c>
      <c r="B2772" s="4"/>
    </row>
    <row r="2773" customHeight="1" spans="1:2">
      <c r="A2773" s="3" t="s">
        <v>7040</v>
      </c>
      <c r="B2773" s="4">
        <v>95073918</v>
      </c>
    </row>
    <row r="2774" customHeight="1" spans="1:2">
      <c r="A2774" s="3" t="s">
        <v>7491</v>
      </c>
      <c r="B2774" s="4">
        <v>30669413</v>
      </c>
    </row>
    <row r="2775" customHeight="1" spans="1:2">
      <c r="A2775" s="3" t="s">
        <v>11779</v>
      </c>
      <c r="B2775" s="4">
        <v>59735548</v>
      </c>
    </row>
    <row r="2776" customHeight="1" spans="1:2">
      <c r="A2776" s="3" t="s">
        <v>6475</v>
      </c>
      <c r="B2776" s="4">
        <v>52000688</v>
      </c>
    </row>
    <row r="2777" customHeight="1" spans="1:2">
      <c r="A2777" s="3" t="s">
        <v>16177</v>
      </c>
      <c r="B2777" s="4">
        <v>532190</v>
      </c>
    </row>
    <row r="2778" customHeight="1" spans="1:2">
      <c r="A2778" s="3" t="s">
        <v>7585</v>
      </c>
      <c r="B2778" s="4">
        <v>20275446</v>
      </c>
    </row>
    <row r="2779" customHeight="1" spans="1:2">
      <c r="A2779" s="3" t="s">
        <v>10784</v>
      </c>
      <c r="B2779" s="4">
        <v>47852604</v>
      </c>
    </row>
    <row r="2780" customHeight="1" spans="1:2">
      <c r="A2780" s="3" t="s">
        <v>13364</v>
      </c>
      <c r="B2780" s="4">
        <v>178406268</v>
      </c>
    </row>
    <row r="2781" customHeight="1" spans="1:2">
      <c r="A2781" s="3" t="s">
        <v>8957</v>
      </c>
      <c r="B2781" s="4">
        <v>38372662</v>
      </c>
    </row>
    <row r="2782" customHeight="1" spans="1:2">
      <c r="A2782" s="3" t="s">
        <v>8567</v>
      </c>
      <c r="B2782" s="4">
        <v>15709385</v>
      </c>
    </row>
    <row r="2783" customHeight="1" spans="1:2">
      <c r="A2783" s="3" t="s">
        <v>9017</v>
      </c>
      <c r="B2783" s="4">
        <v>10907291</v>
      </c>
    </row>
    <row r="2784" customHeight="1" spans="1:2">
      <c r="A2784" s="3" t="s">
        <v>4323</v>
      </c>
      <c r="B2784" s="4">
        <v>29136626</v>
      </c>
    </row>
    <row r="2785" customHeight="1" spans="1:2">
      <c r="A2785" s="3" t="s">
        <v>3764</v>
      </c>
      <c r="B2785" s="4">
        <v>38966057</v>
      </c>
    </row>
    <row r="2786" customHeight="1" spans="1:2">
      <c r="A2786" s="3" t="s">
        <v>24107</v>
      </c>
      <c r="B2786" s="4">
        <v>424760</v>
      </c>
    </row>
    <row r="2787" customHeight="1" spans="1:2">
      <c r="A2787" s="3" t="s">
        <v>376</v>
      </c>
      <c r="B2787" s="4">
        <v>90755643</v>
      </c>
    </row>
    <row r="2788" customHeight="1" spans="1:2">
      <c r="A2788" s="3" t="s">
        <v>15763</v>
      </c>
      <c r="B2788" s="4">
        <v>883887</v>
      </c>
    </row>
    <row r="2789" customHeight="1" spans="1:2">
      <c r="A2789" s="3" t="s">
        <v>11394</v>
      </c>
      <c r="B2789" s="4">
        <v>2298191</v>
      </c>
    </row>
    <row r="2790" customHeight="1" spans="1:2">
      <c r="A2790" s="3" t="s">
        <v>18647</v>
      </c>
      <c r="B2790" s="4">
        <v>354704</v>
      </c>
    </row>
    <row r="2791" customHeight="1" spans="1:2">
      <c r="A2791" s="3" t="s">
        <v>5745</v>
      </c>
      <c r="B2791" s="4">
        <v>60962878</v>
      </c>
    </row>
    <row r="2792" customHeight="1" spans="1:2">
      <c r="A2792" s="3" t="s">
        <v>12708</v>
      </c>
      <c r="B2792" s="4">
        <v>69800000</v>
      </c>
    </row>
    <row r="2793" customHeight="1" spans="1:2">
      <c r="A2793" s="3" t="s">
        <v>14259</v>
      </c>
      <c r="B2793" s="4">
        <v>22331028</v>
      </c>
    </row>
    <row r="2794" customHeight="1" spans="1:2">
      <c r="A2794" s="3" t="s">
        <v>14097</v>
      </c>
      <c r="B2794" s="4">
        <v>54724272</v>
      </c>
    </row>
    <row r="2795" customHeight="1" spans="1:2">
      <c r="A2795" s="3" t="s">
        <v>11787</v>
      </c>
      <c r="B2795" s="4">
        <v>43818159</v>
      </c>
    </row>
    <row r="2796" customHeight="1" spans="1:2">
      <c r="A2796" s="3" t="s">
        <v>16118</v>
      </c>
      <c r="B2796" s="4">
        <v>10106233</v>
      </c>
    </row>
    <row r="2797" customHeight="1" spans="1:2">
      <c r="A2797" s="3" t="s">
        <v>1382</v>
      </c>
      <c r="B2797" s="4">
        <v>126464904</v>
      </c>
    </row>
    <row r="2798" customHeight="1" spans="1:2">
      <c r="A2798" s="3" t="s">
        <v>13134</v>
      </c>
      <c r="B2798" s="4">
        <v>7556708</v>
      </c>
    </row>
    <row r="2799" customHeight="1" spans="1:2">
      <c r="A2799" s="3" t="s">
        <v>3782</v>
      </c>
      <c r="B2799" s="4">
        <v>32598931</v>
      </c>
    </row>
    <row r="2800" customHeight="1" spans="1:2">
      <c r="A2800" s="3" t="s">
        <v>14154</v>
      </c>
      <c r="B2800" s="4"/>
    </row>
    <row r="2801" customHeight="1" spans="1:2">
      <c r="A2801" s="3" t="s">
        <v>21926</v>
      </c>
      <c r="B2801" s="4"/>
    </row>
    <row r="2802" customHeight="1" spans="1:2">
      <c r="A2802" s="3" t="s">
        <v>18051</v>
      </c>
      <c r="B2802" s="4"/>
    </row>
    <row r="2803" customHeight="1" spans="1:2">
      <c r="A2803" s="3" t="s">
        <v>18654</v>
      </c>
      <c r="B2803" s="4">
        <v>265107</v>
      </c>
    </row>
    <row r="2804" customHeight="1" spans="1:2">
      <c r="A2804" s="3" t="s">
        <v>11037</v>
      </c>
      <c r="B2804" s="4">
        <v>32000000</v>
      </c>
    </row>
    <row r="2805" customHeight="1" spans="1:2">
      <c r="A2805" s="3" t="s">
        <v>1723</v>
      </c>
      <c r="B2805" s="4">
        <v>97030725</v>
      </c>
    </row>
    <row r="2806" customHeight="1" spans="1:2">
      <c r="A2806" s="3" t="s">
        <v>15952</v>
      </c>
      <c r="B2806" s="4">
        <v>107930000</v>
      </c>
    </row>
    <row r="2807" customHeight="1" spans="1:2">
      <c r="A2807" s="3" t="s">
        <v>10648</v>
      </c>
      <c r="B2807" s="4">
        <v>20259297</v>
      </c>
    </row>
    <row r="2808" customHeight="1" spans="1:2">
      <c r="A2808" s="3" t="s">
        <v>9765</v>
      </c>
      <c r="B2808" s="4">
        <v>17791031</v>
      </c>
    </row>
    <row r="2809" customHeight="1" spans="1:2">
      <c r="A2809" s="3" t="s">
        <v>7675</v>
      </c>
      <c r="B2809" s="4">
        <v>7948159</v>
      </c>
    </row>
    <row r="2810" customHeight="1" spans="1:2">
      <c r="A2810" s="3" t="s">
        <v>18752</v>
      </c>
      <c r="B2810" s="4"/>
    </row>
    <row r="2811" customHeight="1" spans="1:2">
      <c r="A2811" s="3" t="s">
        <v>7868</v>
      </c>
      <c r="B2811" s="4">
        <v>8406264</v>
      </c>
    </row>
    <row r="2812" customHeight="1" spans="1:2">
      <c r="A2812" s="3" t="s">
        <v>1196</v>
      </c>
      <c r="B2812" s="4">
        <v>149234747</v>
      </c>
    </row>
    <row r="2813" customHeight="1" spans="1:2">
      <c r="A2813" s="3" t="s">
        <v>21364</v>
      </c>
      <c r="B2813" s="4"/>
    </row>
    <row r="2814" customHeight="1" spans="1:2">
      <c r="A2814" s="3" t="s">
        <v>130</v>
      </c>
      <c r="B2814" s="4">
        <v>168368427</v>
      </c>
    </row>
    <row r="2815" customHeight="1" spans="1:2">
      <c r="A2815" s="3" t="s">
        <v>14110</v>
      </c>
      <c r="B2815" s="4">
        <v>31691811</v>
      </c>
    </row>
    <row r="2816" customHeight="1" spans="1:2">
      <c r="A2816" s="3" t="s">
        <v>14602</v>
      </c>
      <c r="B2816" s="4">
        <v>18381787</v>
      </c>
    </row>
    <row r="2817" customHeight="1" spans="1:2">
      <c r="A2817" s="3" t="s">
        <v>23801</v>
      </c>
      <c r="B2817" s="4"/>
    </row>
    <row r="2818" customHeight="1" spans="1:2">
      <c r="A2818" s="3" t="s">
        <v>7487</v>
      </c>
      <c r="B2818" s="4">
        <v>30307804</v>
      </c>
    </row>
    <row r="2819" customHeight="1" spans="1:2">
      <c r="A2819" s="3" t="s">
        <v>21196</v>
      </c>
      <c r="B2819" s="4"/>
    </row>
    <row r="2820" customHeight="1" spans="1:2">
      <c r="A2820" s="3" t="s">
        <v>13914</v>
      </c>
      <c r="B2820" s="4"/>
    </row>
    <row r="2821" customHeight="1" spans="1:2">
      <c r="A2821" s="3" t="s">
        <v>10989</v>
      </c>
      <c r="B2821" s="4">
        <v>21413105</v>
      </c>
    </row>
    <row r="2822" customHeight="1" spans="1:2">
      <c r="A2822" s="3" t="s">
        <v>13610</v>
      </c>
      <c r="B2822" s="4">
        <v>7060876</v>
      </c>
    </row>
    <row r="2823" customHeight="1" spans="1:2">
      <c r="A2823" s="3" t="s">
        <v>22854</v>
      </c>
      <c r="B2823" s="4">
        <v>1689999</v>
      </c>
    </row>
    <row r="2824" customHeight="1" spans="1:2">
      <c r="A2824" s="3" t="s">
        <v>15935</v>
      </c>
      <c r="B2824" s="4"/>
    </row>
    <row r="2825" customHeight="1" spans="1:2">
      <c r="A2825" s="3" t="s">
        <v>1261</v>
      </c>
      <c r="B2825" s="4">
        <v>33592415</v>
      </c>
    </row>
    <row r="2826" customHeight="1" spans="1:2">
      <c r="A2826" s="3" t="s">
        <v>18347</v>
      </c>
      <c r="B2826" s="4"/>
    </row>
    <row r="2827" customHeight="1" spans="1:2">
      <c r="A2827" s="3" t="s">
        <v>17460</v>
      </c>
      <c r="B2827" s="4">
        <v>22770</v>
      </c>
    </row>
    <row r="2828" customHeight="1" spans="1:2">
      <c r="A2828" s="3" t="s">
        <v>17915</v>
      </c>
      <c r="B2828" s="4">
        <v>2221809</v>
      </c>
    </row>
    <row r="2829" customHeight="1" spans="1:2">
      <c r="A2829" s="3" t="s">
        <v>16607</v>
      </c>
      <c r="B2829" s="4">
        <v>6165429</v>
      </c>
    </row>
    <row r="2830" customHeight="1" spans="1:2">
      <c r="A2830" s="3" t="s">
        <v>5137</v>
      </c>
      <c r="B2830" s="4">
        <v>67128202</v>
      </c>
    </row>
    <row r="2831" customHeight="1" spans="1:2">
      <c r="A2831" s="3" t="s">
        <v>17662</v>
      </c>
      <c r="B2831" s="4">
        <v>19097994</v>
      </c>
    </row>
    <row r="2832" customHeight="1" spans="1:2">
      <c r="A2832" s="3" t="s">
        <v>14223</v>
      </c>
      <c r="B2832" s="4">
        <v>12796277</v>
      </c>
    </row>
    <row r="2833" customHeight="1" spans="1:2">
      <c r="A2833" s="3" t="s">
        <v>8308</v>
      </c>
      <c r="B2833" s="4">
        <v>49186871</v>
      </c>
    </row>
    <row r="2834" customHeight="1" spans="1:2">
      <c r="A2834" s="3" t="s">
        <v>12495</v>
      </c>
      <c r="B2834" s="4">
        <v>14792779</v>
      </c>
    </row>
    <row r="2835" customHeight="1" spans="1:2">
      <c r="A2835" s="3" t="s">
        <v>7702</v>
      </c>
      <c r="B2835" s="4">
        <v>4651977</v>
      </c>
    </row>
    <row r="2836" customHeight="1" spans="1:2">
      <c r="A2836" s="3" t="s">
        <v>7354</v>
      </c>
      <c r="B2836" s="4">
        <v>52277485</v>
      </c>
    </row>
    <row r="2837" customHeight="1" spans="1:2">
      <c r="A2837" s="3" t="s">
        <v>11858</v>
      </c>
      <c r="B2837" s="4">
        <v>45250</v>
      </c>
    </row>
    <row r="2838" customHeight="1" spans="1:2">
      <c r="A2838" s="3" t="s">
        <v>10636</v>
      </c>
      <c r="B2838" s="4">
        <v>242374454</v>
      </c>
    </row>
    <row r="2839" customHeight="1" spans="1:2">
      <c r="A2839" s="3" t="s">
        <v>9379</v>
      </c>
      <c r="B2839" s="4">
        <v>172825435</v>
      </c>
    </row>
    <row r="2840" customHeight="1" spans="1:2">
      <c r="A2840" s="3" t="s">
        <v>6807</v>
      </c>
      <c r="B2840" s="4">
        <v>7000000</v>
      </c>
    </row>
    <row r="2841" customHeight="1" spans="1:2">
      <c r="A2841" s="3" t="s">
        <v>13067</v>
      </c>
      <c r="B2841" s="4">
        <v>10411980</v>
      </c>
    </row>
    <row r="2842" customHeight="1" spans="1:2">
      <c r="A2842" s="3" t="s">
        <v>14570</v>
      </c>
      <c r="B2842" s="4">
        <v>21370057</v>
      </c>
    </row>
    <row r="2843" customHeight="1" spans="1:2">
      <c r="A2843" s="3" t="s">
        <v>5296</v>
      </c>
      <c r="B2843" s="4">
        <v>37486138</v>
      </c>
    </row>
    <row r="2844" customHeight="1" spans="1:2">
      <c r="A2844" s="3" t="s">
        <v>22169</v>
      </c>
      <c r="B2844" s="4">
        <v>2073984</v>
      </c>
    </row>
    <row r="2845" customHeight="1" spans="1:2">
      <c r="A2845" s="3" t="s">
        <v>11522</v>
      </c>
      <c r="B2845" s="4"/>
    </row>
    <row r="2846" customHeight="1" spans="1:2">
      <c r="A2846" s="3" t="s">
        <v>4476</v>
      </c>
      <c r="B2846" s="4">
        <v>53715611</v>
      </c>
    </row>
    <row r="2847" customHeight="1" spans="1:2">
      <c r="A2847" s="3" t="s">
        <v>6022</v>
      </c>
      <c r="B2847" s="4">
        <v>150415432</v>
      </c>
    </row>
    <row r="2848" customHeight="1" spans="1:2">
      <c r="A2848" s="3" t="s">
        <v>12909</v>
      </c>
      <c r="B2848" s="4">
        <v>26161406</v>
      </c>
    </row>
    <row r="2849" customHeight="1" spans="1:2">
      <c r="A2849" s="3" t="s">
        <v>23997</v>
      </c>
      <c r="B2849" s="4"/>
    </row>
    <row r="2850" customHeight="1" spans="1:2">
      <c r="A2850" s="3" t="s">
        <v>3834</v>
      </c>
      <c r="B2850" s="4">
        <v>31054924</v>
      </c>
    </row>
    <row r="2851" customHeight="1" spans="1:2">
      <c r="A2851" s="3" t="s">
        <v>17466</v>
      </c>
      <c r="B2851" s="4">
        <v>2197331</v>
      </c>
    </row>
    <row r="2852" customHeight="1" spans="1:2">
      <c r="A2852" s="3" t="s">
        <v>1148</v>
      </c>
      <c r="B2852" s="4">
        <v>123207194</v>
      </c>
    </row>
    <row r="2853" customHeight="1" spans="1:2">
      <c r="A2853" s="3" t="s">
        <v>3320</v>
      </c>
      <c r="B2853" s="4">
        <v>136448821</v>
      </c>
    </row>
    <row r="2854" customHeight="1" spans="1:2">
      <c r="A2854" s="3" t="s">
        <v>11459</v>
      </c>
      <c r="B2854" s="4">
        <v>305070</v>
      </c>
    </row>
    <row r="2855" customHeight="1" spans="1:2">
      <c r="A2855" s="3" t="s">
        <v>5565</v>
      </c>
      <c r="B2855" s="4">
        <v>56607223</v>
      </c>
    </row>
    <row r="2856" customHeight="1" spans="1:2">
      <c r="A2856" s="3" t="s">
        <v>796</v>
      </c>
      <c r="B2856" s="4">
        <v>206435493</v>
      </c>
    </row>
    <row r="2857" customHeight="1" spans="1:2">
      <c r="A2857" s="3" t="s">
        <v>14321</v>
      </c>
      <c r="B2857" s="4">
        <v>2060953</v>
      </c>
    </row>
    <row r="2858" customHeight="1" spans="1:2">
      <c r="A2858" s="3" t="s">
        <v>6358</v>
      </c>
      <c r="B2858" s="4">
        <v>75305995</v>
      </c>
    </row>
    <row r="2859" customHeight="1" spans="1:2">
      <c r="A2859" s="3" t="s">
        <v>23933</v>
      </c>
      <c r="B2859" s="4"/>
    </row>
    <row r="2860" customHeight="1" spans="1:2">
      <c r="A2860" s="3" t="s">
        <v>10155</v>
      </c>
      <c r="B2860" s="4">
        <v>12372410</v>
      </c>
    </row>
    <row r="2861" customHeight="1" spans="1:2">
      <c r="A2861" s="3" t="s">
        <v>1597</v>
      </c>
      <c r="B2861" s="4">
        <v>85463309</v>
      </c>
    </row>
    <row r="2862" customHeight="1" spans="1:2">
      <c r="A2862" s="3" t="s">
        <v>19346</v>
      </c>
      <c r="B2862" s="4">
        <v>5844929</v>
      </c>
    </row>
    <row r="2863" customHeight="1" spans="1:2">
      <c r="A2863" s="3" t="s">
        <v>21227</v>
      </c>
      <c r="B2863" s="4"/>
    </row>
    <row r="2864" customHeight="1" spans="1:2">
      <c r="A2864" s="3" t="s">
        <v>14858</v>
      </c>
      <c r="B2864" s="4">
        <v>36696761</v>
      </c>
    </row>
    <row r="2865" customHeight="1" spans="1:2">
      <c r="A2865" s="3" t="s">
        <v>2572</v>
      </c>
      <c r="B2865" s="4">
        <v>53215979</v>
      </c>
    </row>
    <row r="2866" customHeight="1" spans="1:2">
      <c r="A2866" s="3" t="s">
        <v>6953</v>
      </c>
      <c r="B2866" s="4">
        <v>626809</v>
      </c>
    </row>
    <row r="2867" customHeight="1" spans="1:2">
      <c r="A2867" s="3" t="s">
        <v>3758</v>
      </c>
      <c r="B2867" s="4"/>
    </row>
    <row r="2868" customHeight="1" spans="1:2">
      <c r="A2868" s="3" t="s">
        <v>15582</v>
      </c>
      <c r="B2868" s="4"/>
    </row>
    <row r="2869" customHeight="1" spans="1:2">
      <c r="A2869" s="3" t="s">
        <v>2934</v>
      </c>
      <c r="B2869" s="4">
        <v>92930005</v>
      </c>
    </row>
    <row r="2870" customHeight="1" spans="1:2">
      <c r="A2870" s="3" t="s">
        <v>9268</v>
      </c>
      <c r="B2870" s="4">
        <v>57859105</v>
      </c>
    </row>
    <row r="2871" customHeight="1" spans="1:2">
      <c r="A2871" s="3" t="s">
        <v>12087</v>
      </c>
      <c r="B2871" s="4"/>
    </row>
    <row r="2872" customHeight="1" spans="1:2">
      <c r="A2872" s="3" t="s">
        <v>2880</v>
      </c>
      <c r="B2872" s="4">
        <v>17473245</v>
      </c>
    </row>
    <row r="2873" customHeight="1" spans="1:2">
      <c r="A2873" s="3" t="s">
        <v>6150</v>
      </c>
      <c r="B2873" s="4">
        <v>37652565</v>
      </c>
    </row>
    <row r="2874" customHeight="1" spans="1:2">
      <c r="A2874" s="3" t="s">
        <v>15785</v>
      </c>
      <c r="B2874" s="4"/>
    </row>
    <row r="2875" customHeight="1" spans="1:2">
      <c r="A2875" s="3" t="s">
        <v>19315</v>
      </c>
      <c r="B2875" s="4"/>
    </row>
    <row r="2876" customHeight="1" spans="1:2">
      <c r="A2876" s="3" t="s">
        <v>10070</v>
      </c>
      <c r="B2876" s="4"/>
    </row>
    <row r="2877" customHeight="1" spans="1:2">
      <c r="A2877" s="3" t="s">
        <v>12083</v>
      </c>
      <c r="B2877" s="4"/>
    </row>
    <row r="2878" customHeight="1" spans="1:2">
      <c r="A2878" s="3" t="s">
        <v>18597</v>
      </c>
      <c r="B2878" s="4"/>
    </row>
    <row r="2879" customHeight="1" spans="1:2">
      <c r="A2879" s="3" t="s">
        <v>4507</v>
      </c>
      <c r="B2879" s="4">
        <v>49875589</v>
      </c>
    </row>
    <row r="2880" customHeight="1" spans="1:2">
      <c r="A2880" s="3" t="s">
        <v>4036</v>
      </c>
      <c r="B2880" s="4">
        <v>90356857</v>
      </c>
    </row>
    <row r="2881" customHeight="1" spans="1:2">
      <c r="A2881" s="3" t="s">
        <v>18006</v>
      </c>
      <c r="B2881" s="4">
        <v>65087</v>
      </c>
    </row>
    <row r="2882" customHeight="1" spans="1:2">
      <c r="A2882" s="3" t="s">
        <v>16637</v>
      </c>
      <c r="B2882" s="4">
        <v>2344847</v>
      </c>
    </row>
    <row r="2883" customHeight="1" spans="1:2">
      <c r="A2883" s="3" t="s">
        <v>19992</v>
      </c>
      <c r="B2883" s="4">
        <v>27012</v>
      </c>
    </row>
    <row r="2884" customHeight="1" spans="1:2">
      <c r="A2884" s="3" t="s">
        <v>7812</v>
      </c>
      <c r="B2884" s="4"/>
    </row>
    <row r="2885" customHeight="1" spans="1:2">
      <c r="A2885" s="3" t="s">
        <v>11494</v>
      </c>
      <c r="B2885" s="4">
        <v>54734</v>
      </c>
    </row>
    <row r="2886" customHeight="1" spans="1:2">
      <c r="A2886" s="3" t="s">
        <v>13568</v>
      </c>
      <c r="B2886" s="4"/>
    </row>
    <row r="2887" customHeight="1" spans="1:2">
      <c r="A2887" s="3" t="s">
        <v>4210</v>
      </c>
      <c r="B2887" s="4">
        <v>43060566</v>
      </c>
    </row>
    <row r="2888" customHeight="1" spans="1:2">
      <c r="A2888" s="3" t="s">
        <v>11067</v>
      </c>
      <c r="B2888" s="4">
        <v>19661987</v>
      </c>
    </row>
    <row r="2889" customHeight="1" spans="1:2">
      <c r="A2889" s="3" t="s">
        <v>7193</v>
      </c>
      <c r="B2889" s="4">
        <v>23360779</v>
      </c>
    </row>
    <row r="2890" customHeight="1" spans="1:2">
      <c r="A2890" s="3" t="s">
        <v>15535</v>
      </c>
      <c r="B2890" s="4"/>
    </row>
    <row r="2891" customHeight="1" spans="1:2">
      <c r="A2891" s="3" t="s">
        <v>19895</v>
      </c>
      <c r="B2891" s="4">
        <v>12995673</v>
      </c>
    </row>
    <row r="2892" customHeight="1" spans="1:2">
      <c r="A2892" s="3" t="s">
        <v>12500</v>
      </c>
      <c r="B2892" s="4">
        <v>19057024</v>
      </c>
    </row>
    <row r="2893" customHeight="1" spans="1:2">
      <c r="A2893" s="3" t="s">
        <v>16828</v>
      </c>
      <c r="B2893" s="4">
        <v>223878</v>
      </c>
    </row>
    <row r="2894" customHeight="1" spans="1:2">
      <c r="A2894" s="3" t="s">
        <v>8113</v>
      </c>
      <c r="B2894" s="4">
        <v>115648585</v>
      </c>
    </row>
    <row r="2895" customHeight="1" spans="1:2">
      <c r="A2895" s="3" t="s">
        <v>6687</v>
      </c>
      <c r="B2895" s="4">
        <v>24332324</v>
      </c>
    </row>
    <row r="2896" customHeight="1" spans="1:2">
      <c r="A2896" s="3" t="s">
        <v>12079</v>
      </c>
      <c r="B2896" s="4">
        <v>63260</v>
      </c>
    </row>
    <row r="2897" customHeight="1" spans="1:2">
      <c r="A2897" s="3" t="s">
        <v>9078</v>
      </c>
      <c r="B2897" s="4">
        <v>9664316</v>
      </c>
    </row>
    <row r="2898" customHeight="1" spans="1:2">
      <c r="A2898" s="3" t="s">
        <v>15024</v>
      </c>
      <c r="B2898" s="4">
        <v>20339754</v>
      </c>
    </row>
    <row r="2899" customHeight="1" spans="1:2">
      <c r="A2899" s="3" t="s">
        <v>6645</v>
      </c>
      <c r="B2899" s="4">
        <v>29077547</v>
      </c>
    </row>
    <row r="2900" customHeight="1" spans="1:2">
      <c r="A2900" s="3" t="s">
        <v>20935</v>
      </c>
      <c r="B2900" s="4"/>
    </row>
    <row r="2901" customHeight="1" spans="1:2">
      <c r="A2901" s="3" t="s">
        <v>7995</v>
      </c>
      <c r="B2901" s="4">
        <v>13763130</v>
      </c>
    </row>
    <row r="2902" customHeight="1" spans="1:2">
      <c r="A2902" s="3" t="s">
        <v>15940</v>
      </c>
      <c r="B2902" s="4">
        <v>140244</v>
      </c>
    </row>
    <row r="2903" customHeight="1" spans="1:2">
      <c r="A2903" s="3" t="s">
        <v>18245</v>
      </c>
      <c r="B2903" s="4">
        <v>3609278</v>
      </c>
    </row>
    <row r="2904" customHeight="1" spans="1:2">
      <c r="A2904" s="3" t="s">
        <v>15169</v>
      </c>
      <c r="B2904" s="4">
        <v>5484375</v>
      </c>
    </row>
    <row r="2905" customHeight="1" spans="1:2">
      <c r="A2905" s="3" t="s">
        <v>21319</v>
      </c>
      <c r="B2905" s="4">
        <v>2812029</v>
      </c>
    </row>
    <row r="2906" customHeight="1" spans="1:2">
      <c r="A2906" s="3" t="s">
        <v>7402</v>
      </c>
      <c r="B2906" s="4">
        <v>39532308</v>
      </c>
    </row>
    <row r="2907" customHeight="1" spans="1:2">
      <c r="A2907" s="3" t="s">
        <v>4501</v>
      </c>
      <c r="B2907" s="4">
        <v>60128566</v>
      </c>
    </row>
    <row r="2908" customHeight="1" spans="1:2">
      <c r="A2908" s="3" t="s">
        <v>5266</v>
      </c>
      <c r="B2908" s="4">
        <v>50740078</v>
      </c>
    </row>
    <row r="2909" customHeight="1" spans="1:2">
      <c r="A2909" s="3" t="s">
        <v>5837</v>
      </c>
      <c r="B2909" s="4">
        <v>50648679</v>
      </c>
    </row>
    <row r="2910" customHeight="1" spans="1:2">
      <c r="A2910" s="3" t="s">
        <v>3767</v>
      </c>
      <c r="B2910" s="4">
        <v>42345531</v>
      </c>
    </row>
    <row r="2911" customHeight="1" spans="1:2">
      <c r="A2911" s="3" t="s">
        <v>16209</v>
      </c>
      <c r="B2911" s="4"/>
    </row>
    <row r="2912" customHeight="1" spans="1:2">
      <c r="A2912" s="3" t="s">
        <v>12028</v>
      </c>
      <c r="B2912" s="4"/>
    </row>
    <row r="2913" customHeight="1" spans="1:2">
      <c r="A2913" s="3" t="s">
        <v>13833</v>
      </c>
      <c r="B2913" s="4">
        <v>3169424</v>
      </c>
    </row>
    <row r="2914" customHeight="1" spans="1:2">
      <c r="A2914" s="3" t="s">
        <v>20436</v>
      </c>
      <c r="B2914" s="4"/>
    </row>
    <row r="2915" customHeight="1" spans="1:2">
      <c r="A2915" s="3" t="s">
        <v>10115</v>
      </c>
      <c r="B2915" s="4">
        <v>32662299</v>
      </c>
    </row>
    <row r="2916" customHeight="1" spans="1:2">
      <c r="A2916" s="3" t="s">
        <v>10762</v>
      </c>
      <c r="B2916" s="4">
        <v>48423368</v>
      </c>
    </row>
    <row r="2917" customHeight="1" spans="1:2">
      <c r="A2917" s="3" t="s">
        <v>9160</v>
      </c>
      <c r="B2917" s="4"/>
    </row>
    <row r="2918" customHeight="1" spans="1:2">
      <c r="A2918" s="3" t="s">
        <v>14658</v>
      </c>
      <c r="B2918" s="4">
        <v>2807854</v>
      </c>
    </row>
    <row r="2919" customHeight="1" spans="1:2">
      <c r="A2919" s="3" t="s">
        <v>22986</v>
      </c>
      <c r="B2919" s="4"/>
    </row>
    <row r="2920" customHeight="1" spans="1:2">
      <c r="A2920" s="3" t="s">
        <v>5891</v>
      </c>
      <c r="B2920" s="4">
        <v>22877808</v>
      </c>
    </row>
    <row r="2921" customHeight="1" spans="1:2">
      <c r="A2921" s="3" t="s">
        <v>6540</v>
      </c>
      <c r="B2921" s="4">
        <v>38087756</v>
      </c>
    </row>
    <row r="2922" customHeight="1" spans="1:2">
      <c r="A2922" s="3" t="s">
        <v>15561</v>
      </c>
      <c r="B2922" s="4">
        <v>2600000</v>
      </c>
    </row>
    <row r="2923" customHeight="1" spans="1:2">
      <c r="A2923" s="3" t="s">
        <v>7055</v>
      </c>
      <c r="B2923" s="4">
        <v>41997790</v>
      </c>
    </row>
    <row r="2924" customHeight="1" spans="1:2">
      <c r="A2924" s="3" t="s">
        <v>6348</v>
      </c>
      <c r="B2924" s="4">
        <v>90835030</v>
      </c>
    </row>
    <row r="2925" customHeight="1" spans="1:2">
      <c r="A2925" s="3" t="s">
        <v>9459</v>
      </c>
      <c r="B2925" s="4">
        <v>134141530</v>
      </c>
    </row>
    <row r="2926" customHeight="1" spans="1:2">
      <c r="A2926" s="3" t="s">
        <v>7731</v>
      </c>
      <c r="B2926" s="4">
        <v>630779</v>
      </c>
    </row>
    <row r="2927" customHeight="1" spans="1:2">
      <c r="A2927" s="3" t="s">
        <v>19770</v>
      </c>
      <c r="B2927" s="4">
        <v>2276368</v>
      </c>
    </row>
    <row r="2928" customHeight="1" spans="1:2">
      <c r="A2928" s="3" t="s">
        <v>5628</v>
      </c>
      <c r="B2928" s="4">
        <v>29781453</v>
      </c>
    </row>
    <row r="2929" customHeight="1" spans="1:2">
      <c r="A2929" s="3" t="s">
        <v>4289</v>
      </c>
      <c r="B2929" s="4">
        <v>40076438</v>
      </c>
    </row>
    <row r="2930" customHeight="1" spans="1:2">
      <c r="A2930" s="3" t="s">
        <v>1284</v>
      </c>
      <c r="B2930" s="4">
        <v>131536019</v>
      </c>
    </row>
    <row r="2931" customHeight="1" spans="1:2">
      <c r="A2931" s="3" t="s">
        <v>2254</v>
      </c>
      <c r="B2931" s="4">
        <v>143618384</v>
      </c>
    </row>
    <row r="2932" customHeight="1" spans="1:2">
      <c r="A2932" s="3" t="s">
        <v>8757</v>
      </c>
      <c r="B2932" s="4"/>
    </row>
    <row r="2933" customHeight="1" spans="1:2">
      <c r="A2933" s="3" t="s">
        <v>22808</v>
      </c>
      <c r="B2933" s="4"/>
    </row>
    <row r="2934" customHeight="1" spans="1:2">
      <c r="A2934" s="3" t="s">
        <v>1005</v>
      </c>
      <c r="B2934" s="4">
        <v>103400692</v>
      </c>
    </row>
    <row r="2935" customHeight="1" spans="1:2">
      <c r="A2935" s="3" t="s">
        <v>2040</v>
      </c>
      <c r="B2935" s="4">
        <v>176740650</v>
      </c>
    </row>
    <row r="2936" customHeight="1" spans="1:2">
      <c r="A2936" s="3" t="s">
        <v>10901</v>
      </c>
      <c r="B2936" s="4">
        <v>36874745</v>
      </c>
    </row>
    <row r="2937" customHeight="1" spans="1:2">
      <c r="A2937" s="3" t="s">
        <v>20601</v>
      </c>
      <c r="B2937" s="4">
        <v>4600000</v>
      </c>
    </row>
    <row r="2938" customHeight="1" spans="1:2">
      <c r="A2938" s="3" t="s">
        <v>22303</v>
      </c>
      <c r="B2938" s="4">
        <v>3278611</v>
      </c>
    </row>
    <row r="2939" customHeight="1" spans="1:2">
      <c r="A2939" s="3" t="s">
        <v>21013</v>
      </c>
      <c r="B2939" s="4">
        <v>105943</v>
      </c>
    </row>
    <row r="2940" customHeight="1" spans="1:2">
      <c r="A2940" s="3" t="s">
        <v>14912</v>
      </c>
      <c r="B2940" s="4">
        <v>30050028</v>
      </c>
    </row>
    <row r="2941" customHeight="1" spans="1:2">
      <c r="A2941" s="3" t="s">
        <v>2622</v>
      </c>
      <c r="B2941" s="4">
        <v>104054514</v>
      </c>
    </row>
    <row r="2942" customHeight="1" spans="1:2">
      <c r="A2942" s="3" t="s">
        <v>12393</v>
      </c>
      <c r="B2942" s="4">
        <v>68525609</v>
      </c>
    </row>
    <row r="2943" customHeight="1" spans="1:2">
      <c r="A2943" s="3" t="s">
        <v>20411</v>
      </c>
      <c r="B2943" s="4">
        <v>55202</v>
      </c>
    </row>
    <row r="2944" customHeight="1" spans="1:2">
      <c r="A2944" s="3" t="s">
        <v>22826</v>
      </c>
      <c r="B2944" s="4"/>
    </row>
    <row r="2945" customHeight="1" spans="1:2">
      <c r="A2945" s="3" t="s">
        <v>12308</v>
      </c>
      <c r="B2945" s="4">
        <v>2000000</v>
      </c>
    </row>
    <row r="2946" customHeight="1" spans="1:2">
      <c r="A2946" s="3" t="s">
        <v>8965</v>
      </c>
      <c r="B2946" s="4">
        <v>31600000</v>
      </c>
    </row>
    <row r="2947" customHeight="1" spans="1:2">
      <c r="A2947" s="3" t="s">
        <v>17817</v>
      </c>
      <c r="B2947" s="4"/>
    </row>
    <row r="2948" customHeight="1" spans="1:2">
      <c r="A2948" s="3" t="s">
        <v>193</v>
      </c>
      <c r="B2948" s="4">
        <v>105219735</v>
      </c>
    </row>
    <row r="2949" customHeight="1" spans="1:2">
      <c r="A2949" s="3" t="s">
        <v>5008</v>
      </c>
      <c r="B2949" s="4">
        <v>165500000</v>
      </c>
    </row>
    <row r="2950" customHeight="1" spans="1:2">
      <c r="A2950" s="3" t="s">
        <v>10462</v>
      </c>
      <c r="B2950" s="4">
        <v>10696210</v>
      </c>
    </row>
    <row r="2951" customHeight="1" spans="1:2">
      <c r="A2951" s="3" t="s">
        <v>1404</v>
      </c>
      <c r="B2951" s="4">
        <v>117214014</v>
      </c>
    </row>
    <row r="2952" customHeight="1" spans="1:2">
      <c r="A2952" s="3" t="s">
        <v>19873</v>
      </c>
      <c r="B2952" s="4">
        <v>3325638</v>
      </c>
    </row>
    <row r="2953" customHeight="1" spans="1:2">
      <c r="A2953" s="3" t="s">
        <v>19309</v>
      </c>
      <c r="B2953" s="4"/>
    </row>
    <row r="2954" customHeight="1" spans="1:2">
      <c r="A2954" s="3" t="s">
        <v>2607</v>
      </c>
      <c r="B2954" s="4">
        <v>128200012</v>
      </c>
    </row>
    <row r="2955" customHeight="1" spans="1:2">
      <c r="A2955" s="3" t="s">
        <v>3468</v>
      </c>
      <c r="B2955" s="4">
        <v>38509342</v>
      </c>
    </row>
    <row r="2956" customHeight="1" spans="1:2">
      <c r="A2956" s="3" t="s">
        <v>7035</v>
      </c>
      <c r="B2956" s="4">
        <v>16991902</v>
      </c>
    </row>
    <row r="2957" customHeight="1" spans="1:2">
      <c r="A2957" s="3" t="s">
        <v>20516</v>
      </c>
      <c r="B2957" s="4"/>
    </row>
    <row r="2958" customHeight="1" spans="1:2">
      <c r="A2958" s="3" t="s">
        <v>21498</v>
      </c>
      <c r="B2958" s="4"/>
    </row>
    <row r="2959" customHeight="1" spans="1:2">
      <c r="A2959" s="3" t="s">
        <v>11982</v>
      </c>
      <c r="B2959" s="4">
        <v>5694401</v>
      </c>
    </row>
    <row r="2960" customHeight="1" spans="1:2">
      <c r="A2960" s="3" t="s">
        <v>10082</v>
      </c>
      <c r="B2960" s="4">
        <v>70269171</v>
      </c>
    </row>
    <row r="2961" customHeight="1" spans="1:2">
      <c r="A2961" s="3" t="s">
        <v>21506</v>
      </c>
      <c r="B2961" s="4">
        <v>117235247</v>
      </c>
    </row>
    <row r="2962" customHeight="1" spans="1:2">
      <c r="A2962" s="3" t="s">
        <v>22745</v>
      </c>
      <c r="B2962" s="4"/>
    </row>
    <row r="2963" customHeight="1" spans="1:2">
      <c r="A2963" s="3" t="s">
        <v>23630</v>
      </c>
      <c r="B2963" s="4">
        <v>6706368</v>
      </c>
    </row>
    <row r="2964" customHeight="1" spans="1:2">
      <c r="A2964" s="3" t="s">
        <v>10304</v>
      </c>
      <c r="B2964" s="4"/>
    </row>
    <row r="2965" customHeight="1" spans="1:2">
      <c r="A2965" s="3" t="s">
        <v>8862</v>
      </c>
      <c r="B2965" s="4">
        <v>67266300</v>
      </c>
    </row>
    <row r="2966" customHeight="1" spans="1:2">
      <c r="A2966" s="3" t="s">
        <v>14971</v>
      </c>
      <c r="B2966" s="4">
        <v>17378977</v>
      </c>
    </row>
    <row r="2967" customHeight="1" spans="1:2">
      <c r="A2967" s="3" t="s">
        <v>3481</v>
      </c>
      <c r="B2967" s="4">
        <v>18990542</v>
      </c>
    </row>
    <row r="2968" customHeight="1" spans="1:2">
      <c r="A2968" s="3" t="s">
        <v>14667</v>
      </c>
      <c r="B2968" s="4">
        <v>540085</v>
      </c>
    </row>
    <row r="2969" customHeight="1" spans="1:2">
      <c r="A2969" s="3" t="s">
        <v>23662</v>
      </c>
      <c r="B2969" s="4"/>
    </row>
    <row r="2970" customHeight="1" spans="1:2">
      <c r="A2970" s="3" t="s">
        <v>13330</v>
      </c>
      <c r="B2970" s="4">
        <v>46338728</v>
      </c>
    </row>
    <row r="2971" customHeight="1" spans="1:2">
      <c r="A2971" s="3" t="s">
        <v>15193</v>
      </c>
      <c r="B2971" s="4">
        <v>3275585</v>
      </c>
    </row>
    <row r="2972" customHeight="1" spans="1:2">
      <c r="A2972" s="3" t="s">
        <v>9489</v>
      </c>
      <c r="B2972" s="4">
        <v>55973336</v>
      </c>
    </row>
    <row r="2973" customHeight="1" spans="1:2">
      <c r="A2973" s="3" t="s">
        <v>4715</v>
      </c>
      <c r="B2973" s="4">
        <v>41609593</v>
      </c>
    </row>
    <row r="2974" customHeight="1" spans="1:2">
      <c r="A2974" s="3" t="s">
        <v>13787</v>
      </c>
      <c r="B2974" s="4">
        <v>14677654</v>
      </c>
    </row>
    <row r="2975" customHeight="1" spans="1:2">
      <c r="A2975" s="3" t="s">
        <v>19127</v>
      </c>
      <c r="B2975" s="4"/>
    </row>
    <row r="2976" customHeight="1" spans="1:2">
      <c r="A2976" s="3" t="s">
        <v>15320</v>
      </c>
      <c r="B2976" s="4">
        <v>3093491</v>
      </c>
    </row>
    <row r="2977" customHeight="1" spans="1:2">
      <c r="A2977" s="3" t="s">
        <v>22993</v>
      </c>
      <c r="B2977" s="4"/>
    </row>
    <row r="2978" customHeight="1" spans="1:2">
      <c r="A2978" s="3" t="s">
        <v>14145</v>
      </c>
      <c r="B2978" s="4">
        <v>22905674</v>
      </c>
    </row>
    <row r="2979" customHeight="1" spans="1:2">
      <c r="A2979" s="3" t="s">
        <v>23093</v>
      </c>
      <c r="B2979" s="4"/>
    </row>
    <row r="2980" customHeight="1" spans="1:2">
      <c r="A2980" s="3" t="s">
        <v>22632</v>
      </c>
      <c r="B2980" s="4">
        <v>98017</v>
      </c>
    </row>
    <row r="2981" customHeight="1" spans="1:2">
      <c r="A2981" s="3" t="s">
        <v>22164</v>
      </c>
      <c r="B2981" s="4">
        <v>1001437</v>
      </c>
    </row>
    <row r="2982" customHeight="1" spans="1:2">
      <c r="A2982" s="3" t="s">
        <v>18056</v>
      </c>
      <c r="B2982" s="4">
        <v>37440</v>
      </c>
    </row>
    <row r="2983" customHeight="1" spans="1:2">
      <c r="A2983" s="3" t="s">
        <v>9575</v>
      </c>
      <c r="B2983" s="4">
        <v>39399750</v>
      </c>
    </row>
    <row r="2984" customHeight="1" spans="1:2">
      <c r="A2984" s="3" t="s">
        <v>8177</v>
      </c>
      <c r="B2984" s="4">
        <v>76501438</v>
      </c>
    </row>
    <row r="2985" customHeight="1" spans="1:2">
      <c r="A2985" s="3" t="s">
        <v>4147</v>
      </c>
      <c r="B2985" s="4"/>
    </row>
    <row r="2986" customHeight="1" spans="1:2">
      <c r="A2986" s="3" t="s">
        <v>16325</v>
      </c>
      <c r="B2986" s="4">
        <v>32333860</v>
      </c>
    </row>
    <row r="2987" customHeight="1" spans="1:2">
      <c r="A2987" s="3" t="s">
        <v>5401</v>
      </c>
      <c r="B2987" s="4">
        <v>26442251</v>
      </c>
    </row>
    <row r="2988" customHeight="1" spans="1:2">
      <c r="A2988" s="3" t="s">
        <v>20752</v>
      </c>
      <c r="B2988" s="4">
        <v>7267324</v>
      </c>
    </row>
    <row r="2989" customHeight="1" spans="1:2">
      <c r="A2989" s="3" t="s">
        <v>15151</v>
      </c>
      <c r="B2989" s="4">
        <v>5998971</v>
      </c>
    </row>
    <row r="2990" customHeight="1" spans="1:2">
      <c r="A2990" s="3" t="s">
        <v>23943</v>
      </c>
      <c r="B2990" s="4"/>
    </row>
    <row r="2991" customHeight="1" spans="1:2">
      <c r="A2991" s="3" t="s">
        <v>3306</v>
      </c>
      <c r="B2991" s="4">
        <v>152149590</v>
      </c>
    </row>
    <row r="2992" customHeight="1" spans="1:2">
      <c r="A2992" s="3" t="s">
        <v>8652</v>
      </c>
      <c r="B2992" s="4">
        <v>19316646</v>
      </c>
    </row>
    <row r="2993" customHeight="1" spans="1:2">
      <c r="A2993" s="3" t="s">
        <v>18091</v>
      </c>
      <c r="B2993" s="4"/>
    </row>
    <row r="2994" customHeight="1" spans="1:2">
      <c r="A2994" s="3" t="s">
        <v>12289</v>
      </c>
      <c r="B2994" s="4">
        <v>6855137</v>
      </c>
    </row>
    <row r="2995" customHeight="1" spans="1:2">
      <c r="A2995" s="3" t="s">
        <v>14285</v>
      </c>
      <c r="B2995" s="4">
        <v>6754898</v>
      </c>
    </row>
    <row r="2996" customHeight="1" spans="1:2">
      <c r="A2996" s="3" t="s">
        <v>2091</v>
      </c>
      <c r="B2996" s="4">
        <v>226138454</v>
      </c>
    </row>
    <row r="2997" customHeight="1" spans="1:2">
      <c r="A2997" s="3" t="s">
        <v>426</v>
      </c>
      <c r="B2997" s="4">
        <v>140080850</v>
      </c>
    </row>
    <row r="2998" customHeight="1" spans="1:2">
      <c r="A2998" s="3" t="s">
        <v>7265</v>
      </c>
      <c r="B2998" s="4"/>
    </row>
    <row r="2999" customHeight="1" spans="1:2">
      <c r="A2999" s="3" t="s">
        <v>7126</v>
      </c>
      <c r="B2999" s="4">
        <v>26903709</v>
      </c>
    </row>
    <row r="3000" customHeight="1" spans="1:2">
      <c r="A3000" s="3" t="s">
        <v>14974</v>
      </c>
      <c r="B3000" s="4">
        <v>17096053</v>
      </c>
    </row>
    <row r="3001" customHeight="1" spans="1:2">
      <c r="A3001" s="3" t="s">
        <v>23269</v>
      </c>
      <c r="B3001" s="4"/>
    </row>
    <row r="3002" customHeight="1" spans="1:2">
      <c r="A3002" s="3" t="s">
        <v>3338</v>
      </c>
      <c r="B3002" s="4">
        <v>116643346</v>
      </c>
    </row>
    <row r="3003" customHeight="1" spans="1:2">
      <c r="A3003" s="3" t="s">
        <v>7667</v>
      </c>
      <c r="B3003" s="4">
        <v>20999936</v>
      </c>
    </row>
    <row r="3004" customHeight="1" spans="1:2">
      <c r="A3004" s="3" t="s">
        <v>4460</v>
      </c>
      <c r="B3004" s="4"/>
    </row>
    <row r="3005" customHeight="1" spans="1:2">
      <c r="A3005" s="3" t="s">
        <v>8925</v>
      </c>
      <c r="B3005" s="4">
        <v>71346930</v>
      </c>
    </row>
    <row r="3006" customHeight="1" spans="1:2">
      <c r="A3006" s="3" t="s">
        <v>2356</v>
      </c>
      <c r="B3006" s="4">
        <v>126149655</v>
      </c>
    </row>
    <row r="3007" customHeight="1" spans="1:2">
      <c r="A3007" s="3" t="s">
        <v>21817</v>
      </c>
      <c r="B3007" s="4">
        <v>21210</v>
      </c>
    </row>
    <row r="3008" customHeight="1" spans="1:2">
      <c r="A3008" s="3" t="s">
        <v>7865</v>
      </c>
      <c r="B3008" s="4">
        <v>17120019</v>
      </c>
    </row>
    <row r="3009" customHeight="1" spans="1:2">
      <c r="A3009" s="3" t="s">
        <v>22244</v>
      </c>
      <c r="B3009" s="4">
        <v>4007792</v>
      </c>
    </row>
    <row r="3010" customHeight="1" spans="1:2">
      <c r="A3010" s="3" t="s">
        <v>1079</v>
      </c>
      <c r="B3010" s="4">
        <v>68642452</v>
      </c>
    </row>
    <row r="3011" customHeight="1" spans="1:2">
      <c r="A3011" s="3" t="s">
        <v>20394</v>
      </c>
      <c r="B3011" s="4">
        <v>100669</v>
      </c>
    </row>
    <row r="3012" customHeight="1" spans="1:2">
      <c r="A3012" s="3" t="s">
        <v>17502</v>
      </c>
      <c r="B3012" s="4">
        <v>795126</v>
      </c>
    </row>
    <row r="3013" customHeight="1" spans="1:2">
      <c r="A3013" s="3" t="s">
        <v>22218</v>
      </c>
      <c r="B3013" s="4">
        <v>1310270</v>
      </c>
    </row>
    <row r="3014" customHeight="1" spans="1:2">
      <c r="A3014" s="3" t="s">
        <v>1202</v>
      </c>
      <c r="B3014" s="4">
        <v>118311368</v>
      </c>
    </row>
    <row r="3015" customHeight="1" spans="1:2">
      <c r="A3015" s="3" t="s">
        <v>18264</v>
      </c>
      <c r="B3015" s="4"/>
    </row>
    <row r="3016" customHeight="1" spans="1:2">
      <c r="A3016" s="3" t="s">
        <v>17477</v>
      </c>
      <c r="B3016" s="4">
        <v>27445</v>
      </c>
    </row>
    <row r="3017" customHeight="1" spans="1:2">
      <c r="A3017" s="3" t="s">
        <v>18610</v>
      </c>
      <c r="B3017" s="4">
        <v>2601847</v>
      </c>
    </row>
    <row r="3018" customHeight="1" spans="1:2">
      <c r="A3018" s="3" t="s">
        <v>1514</v>
      </c>
      <c r="B3018" s="4">
        <v>155181732</v>
      </c>
    </row>
    <row r="3019" customHeight="1" spans="1:2">
      <c r="A3019" s="3" t="s">
        <v>24096</v>
      </c>
      <c r="B3019" s="4"/>
    </row>
    <row r="3020" customHeight="1" spans="1:2">
      <c r="A3020" s="3" t="s">
        <v>8493</v>
      </c>
      <c r="B3020" s="4">
        <v>23070045</v>
      </c>
    </row>
    <row r="3021" customHeight="1" spans="1:2">
      <c r="A3021" s="3" t="s">
        <v>21600</v>
      </c>
      <c r="B3021" s="4"/>
    </row>
    <row r="3022" customHeight="1" spans="1:2">
      <c r="A3022" s="3" t="s">
        <v>13335</v>
      </c>
      <c r="B3022" s="4">
        <v>7691700</v>
      </c>
    </row>
    <row r="3023" customHeight="1" spans="1:2">
      <c r="A3023" s="3" t="s">
        <v>19714</v>
      </c>
      <c r="B3023" s="4"/>
    </row>
    <row r="3024" customHeight="1" spans="1:2">
      <c r="A3024" s="3" t="s">
        <v>8762</v>
      </c>
      <c r="B3024" s="4"/>
    </row>
    <row r="3025" customHeight="1" spans="1:2">
      <c r="A3025" s="3" t="s">
        <v>18202</v>
      </c>
      <c r="B3025" s="4">
        <v>434417</v>
      </c>
    </row>
    <row r="3026" customHeight="1" spans="1:2">
      <c r="A3026" s="3" t="s">
        <v>5859</v>
      </c>
      <c r="B3026" s="4">
        <v>47307550</v>
      </c>
    </row>
    <row r="3027" customHeight="1" spans="1:2">
      <c r="A3027" s="3" t="s">
        <v>13660</v>
      </c>
      <c r="B3027" s="4">
        <v>91038276</v>
      </c>
    </row>
    <row r="3028" customHeight="1" spans="1:2">
      <c r="A3028" s="3" t="s">
        <v>17807</v>
      </c>
      <c r="B3028" s="4">
        <v>8786715</v>
      </c>
    </row>
    <row r="3029" customHeight="1" spans="1:2">
      <c r="A3029" s="3" t="s">
        <v>19860</v>
      </c>
      <c r="B3029" s="4">
        <v>1186323</v>
      </c>
    </row>
    <row r="3030" customHeight="1" spans="1:2">
      <c r="A3030" s="3" t="s">
        <v>18014</v>
      </c>
      <c r="B3030" s="4"/>
    </row>
    <row r="3031" customHeight="1" spans="1:2">
      <c r="A3031" s="3" t="s">
        <v>7365</v>
      </c>
      <c r="B3031" s="4">
        <v>83299761</v>
      </c>
    </row>
    <row r="3032" customHeight="1" spans="1:2">
      <c r="A3032" s="3" t="s">
        <v>18282</v>
      </c>
      <c r="B3032" s="4">
        <v>1391770</v>
      </c>
    </row>
    <row r="3033" customHeight="1" spans="1:2">
      <c r="A3033" s="3" t="s">
        <v>3625</v>
      </c>
      <c r="B3033" s="4">
        <v>216119491</v>
      </c>
    </row>
    <row r="3034" customHeight="1" spans="1:2">
      <c r="A3034" s="3" t="s">
        <v>10422</v>
      </c>
      <c r="B3034" s="4">
        <v>19351569</v>
      </c>
    </row>
    <row r="3035" customHeight="1" spans="1:2">
      <c r="A3035" s="3" t="s">
        <v>12187</v>
      </c>
      <c r="B3035" s="4">
        <v>45670855</v>
      </c>
    </row>
    <row r="3036" customHeight="1" spans="1:2">
      <c r="A3036" s="3" t="s">
        <v>17525</v>
      </c>
      <c r="B3036" s="4">
        <v>87025093</v>
      </c>
    </row>
    <row r="3037" customHeight="1" spans="1:2">
      <c r="A3037" s="3" t="s">
        <v>14790</v>
      </c>
      <c r="B3037" s="4">
        <v>80150343</v>
      </c>
    </row>
    <row r="3038" customHeight="1" spans="1:2">
      <c r="A3038" s="3" t="s">
        <v>14807</v>
      </c>
      <c r="B3038" s="4">
        <v>63270259</v>
      </c>
    </row>
    <row r="3039" customHeight="1" spans="1:2">
      <c r="A3039" s="3" t="s">
        <v>14683</v>
      </c>
      <c r="B3039" s="4">
        <v>56729973</v>
      </c>
    </row>
    <row r="3040" customHeight="1" spans="1:2">
      <c r="A3040" s="3" t="s">
        <v>14553</v>
      </c>
      <c r="B3040" s="4">
        <v>27669413</v>
      </c>
    </row>
    <row r="3041" customHeight="1" spans="1:2">
      <c r="A3041" s="3" t="s">
        <v>21281</v>
      </c>
      <c r="B3041" s="4">
        <v>55153403</v>
      </c>
    </row>
    <row r="3042" customHeight="1" spans="1:2">
      <c r="A3042" s="3" t="s">
        <v>9964</v>
      </c>
      <c r="B3042" s="4">
        <v>5516708</v>
      </c>
    </row>
    <row r="3043" customHeight="1" spans="1:2">
      <c r="A3043" s="3" t="s">
        <v>9545</v>
      </c>
      <c r="B3043" s="4">
        <v>44700000</v>
      </c>
    </row>
    <row r="3044" customHeight="1" spans="1:2">
      <c r="A3044" s="3" t="s">
        <v>5756</v>
      </c>
      <c r="B3044" s="4">
        <v>71277420</v>
      </c>
    </row>
    <row r="3045" customHeight="1" spans="1:2">
      <c r="A3045" s="3" t="s">
        <v>5707</v>
      </c>
      <c r="B3045" s="4">
        <v>110000082</v>
      </c>
    </row>
    <row r="3046" customHeight="1" spans="1:2">
      <c r="A3046" s="3" t="s">
        <v>6306</v>
      </c>
      <c r="B3046" s="4">
        <v>90703745</v>
      </c>
    </row>
    <row r="3047" customHeight="1" spans="1:2">
      <c r="A3047" s="3" t="s">
        <v>10885</v>
      </c>
      <c r="B3047" s="4">
        <v>32014289</v>
      </c>
    </row>
    <row r="3048" customHeight="1" spans="1:2">
      <c r="A3048" s="3" t="s">
        <v>9405</v>
      </c>
      <c r="B3048" s="4">
        <v>96067179</v>
      </c>
    </row>
    <row r="3049" customHeight="1" spans="1:2">
      <c r="A3049" s="3" t="s">
        <v>17055</v>
      </c>
      <c r="B3049" s="4">
        <v>14545844</v>
      </c>
    </row>
    <row r="3050" customHeight="1" spans="1:2">
      <c r="A3050" s="3" t="s">
        <v>11074</v>
      </c>
      <c r="B3050" s="4">
        <v>17803796</v>
      </c>
    </row>
    <row r="3051" customHeight="1" spans="1:2">
      <c r="A3051" s="3" t="s">
        <v>10697</v>
      </c>
      <c r="B3051" s="4">
        <v>81257845</v>
      </c>
    </row>
    <row r="3052" customHeight="1" spans="1:2">
      <c r="A3052" s="3" t="s">
        <v>9416</v>
      </c>
      <c r="B3052" s="4">
        <v>84185387</v>
      </c>
    </row>
    <row r="3053" customHeight="1" spans="1:2">
      <c r="A3053" s="3" t="s">
        <v>2480</v>
      </c>
      <c r="B3053" s="4">
        <v>153288182</v>
      </c>
    </row>
    <row r="3054" customHeight="1" spans="1:2">
      <c r="A3054" s="3" t="s">
        <v>18514</v>
      </c>
      <c r="B3054" s="4">
        <v>10515579</v>
      </c>
    </row>
    <row r="3055" customHeight="1" spans="1:2">
      <c r="A3055" s="3" t="s">
        <v>2459</v>
      </c>
      <c r="B3055" s="4">
        <v>31494270</v>
      </c>
    </row>
    <row r="3056" customHeight="1" spans="1:2">
      <c r="A3056" s="3" t="s">
        <v>22673</v>
      </c>
      <c r="B3056" s="4"/>
    </row>
    <row r="3057" customHeight="1" spans="1:2">
      <c r="A3057" s="3" t="s">
        <v>10086</v>
      </c>
      <c r="B3057" s="4">
        <v>101334374</v>
      </c>
    </row>
    <row r="3058" customHeight="1" spans="1:2">
      <c r="A3058" s="3" t="s">
        <v>6312</v>
      </c>
      <c r="B3058" s="4">
        <v>89138076</v>
      </c>
    </row>
    <row r="3059" customHeight="1" spans="1:2">
      <c r="A3059" s="3" t="s">
        <v>6564</v>
      </c>
      <c r="B3059" s="4">
        <v>38176892</v>
      </c>
    </row>
    <row r="3060" customHeight="1" spans="1:2">
      <c r="A3060" s="3" t="s">
        <v>11569</v>
      </c>
      <c r="B3060" s="4">
        <v>103001286</v>
      </c>
    </row>
    <row r="3061" customHeight="1" spans="1:2">
      <c r="A3061" s="3" t="s">
        <v>12682</v>
      </c>
      <c r="B3061" s="4"/>
    </row>
    <row r="3062" customHeight="1" spans="1:2">
      <c r="A3062" s="3" t="s">
        <v>14270</v>
      </c>
      <c r="B3062" s="4">
        <v>6982680</v>
      </c>
    </row>
    <row r="3063" customHeight="1" spans="1:2">
      <c r="A3063" s="3" t="s">
        <v>7903</v>
      </c>
      <c r="B3063" s="4">
        <v>60328558</v>
      </c>
    </row>
    <row r="3064" customHeight="1" spans="1:2">
      <c r="A3064" s="3" t="s">
        <v>8139</v>
      </c>
      <c r="B3064" s="4">
        <v>100125340</v>
      </c>
    </row>
    <row r="3065" customHeight="1" spans="1:2">
      <c r="A3065" s="3" t="s">
        <v>11560</v>
      </c>
      <c r="B3065" s="4">
        <v>58571513</v>
      </c>
    </row>
    <row r="3066" customHeight="1" spans="1:2">
      <c r="A3066" s="3" t="s">
        <v>17862</v>
      </c>
      <c r="B3066" s="4">
        <v>4074023</v>
      </c>
    </row>
    <row r="3067" customHeight="1" spans="1:2">
      <c r="A3067" s="3" t="s">
        <v>2300</v>
      </c>
      <c r="B3067" s="4">
        <v>120147445</v>
      </c>
    </row>
    <row r="3068" customHeight="1" spans="1:2">
      <c r="A3068" s="3" t="s">
        <v>8358</v>
      </c>
      <c r="B3068" s="4">
        <v>41407470</v>
      </c>
    </row>
    <row r="3069" customHeight="1" spans="1:2">
      <c r="A3069" s="3" t="s">
        <v>11151</v>
      </c>
      <c r="B3069" s="4"/>
    </row>
    <row r="3070" customHeight="1" spans="1:2">
      <c r="A3070" s="3" t="s">
        <v>6483</v>
      </c>
      <c r="B3070" s="4">
        <v>47781388</v>
      </c>
    </row>
    <row r="3071" customHeight="1" spans="1:2">
      <c r="A3071" s="3" t="s">
        <v>7346</v>
      </c>
      <c r="B3071" s="4">
        <v>59699513</v>
      </c>
    </row>
    <row r="3072" customHeight="1" spans="1:2">
      <c r="A3072" s="3" t="s">
        <v>18569</v>
      </c>
      <c r="B3072" s="4">
        <v>4046737</v>
      </c>
    </row>
    <row r="3073" customHeight="1" spans="1:2">
      <c r="A3073" s="3" t="s">
        <v>18237</v>
      </c>
      <c r="B3073" s="4"/>
    </row>
    <row r="3074" customHeight="1" spans="1:2">
      <c r="A3074" s="3" t="s">
        <v>12435</v>
      </c>
      <c r="B3074" s="4">
        <v>33357476</v>
      </c>
    </row>
    <row r="3075" customHeight="1" spans="1:2">
      <c r="A3075" s="3" t="s">
        <v>8817</v>
      </c>
      <c r="B3075" s="4">
        <v>17016190</v>
      </c>
    </row>
    <row r="3076" customHeight="1" spans="1:2">
      <c r="A3076" s="3" t="s">
        <v>15104</v>
      </c>
      <c r="B3076" s="4">
        <v>6619173</v>
      </c>
    </row>
    <row r="3077" customHeight="1" spans="1:2">
      <c r="A3077" s="3" t="s">
        <v>10850</v>
      </c>
      <c r="B3077" s="4">
        <v>35422828</v>
      </c>
    </row>
    <row r="3078" customHeight="1" spans="1:2">
      <c r="A3078" s="3" t="s">
        <v>9360</v>
      </c>
      <c r="B3078" s="4">
        <v>12276810</v>
      </c>
    </row>
    <row r="3079" customHeight="1" spans="1:2">
      <c r="A3079" s="3" t="s">
        <v>10766</v>
      </c>
      <c r="B3079" s="4">
        <v>52066000</v>
      </c>
    </row>
    <row r="3080" customHeight="1" spans="1:2">
      <c r="A3080" s="3" t="s">
        <v>4750</v>
      </c>
      <c r="B3080" s="4">
        <v>33472850</v>
      </c>
    </row>
    <row r="3081" customHeight="1" spans="1:2">
      <c r="A3081" s="3" t="s">
        <v>12358</v>
      </c>
      <c r="B3081" s="4">
        <v>42700000</v>
      </c>
    </row>
    <row r="3082" customHeight="1" spans="1:2">
      <c r="A3082" s="3" t="s">
        <v>14765</v>
      </c>
      <c r="B3082" s="4">
        <v>1066555</v>
      </c>
    </row>
    <row r="3083" customHeight="1" spans="1:2">
      <c r="A3083" s="3" t="s">
        <v>8910</v>
      </c>
      <c r="B3083" s="4">
        <v>49968653</v>
      </c>
    </row>
    <row r="3084" customHeight="1" spans="1:2">
      <c r="A3084" s="3" t="s">
        <v>6937</v>
      </c>
      <c r="B3084" s="4">
        <v>25335935</v>
      </c>
    </row>
    <row r="3085" customHeight="1" spans="1:2">
      <c r="A3085" s="3" t="s">
        <v>13794</v>
      </c>
      <c r="B3085" s="4">
        <v>7881335</v>
      </c>
    </row>
    <row r="3086" customHeight="1" spans="1:2">
      <c r="A3086" s="3" t="s">
        <v>8802</v>
      </c>
      <c r="B3086" s="4">
        <v>16930185</v>
      </c>
    </row>
    <row r="3087" customHeight="1" spans="1:2">
      <c r="A3087" s="3" t="s">
        <v>20979</v>
      </c>
      <c r="B3087" s="4">
        <v>373967</v>
      </c>
    </row>
    <row r="3088" customHeight="1" spans="1:2">
      <c r="A3088" s="3" t="s">
        <v>15623</v>
      </c>
      <c r="B3088" s="4">
        <v>36049108</v>
      </c>
    </row>
    <row r="3089" customHeight="1" spans="1:2">
      <c r="A3089" s="3" t="s">
        <v>4843</v>
      </c>
      <c r="B3089" s="4">
        <v>69951824</v>
      </c>
    </row>
    <row r="3090" customHeight="1" spans="1:2">
      <c r="A3090" s="3" t="s">
        <v>13613</v>
      </c>
      <c r="B3090" s="4">
        <v>14989761</v>
      </c>
    </row>
    <row r="3091" customHeight="1" spans="1:2">
      <c r="A3091" s="3" t="s">
        <v>22609</v>
      </c>
      <c r="B3091" s="4">
        <v>269061</v>
      </c>
    </row>
    <row r="3092" customHeight="1" spans="1:2">
      <c r="A3092" s="3" t="s">
        <v>3433</v>
      </c>
      <c r="B3092" s="4">
        <v>37901509</v>
      </c>
    </row>
    <row r="3093" customHeight="1" spans="1:2">
      <c r="A3093" s="3" t="s">
        <v>2020</v>
      </c>
      <c r="B3093" s="4">
        <v>17176900</v>
      </c>
    </row>
    <row r="3094" customHeight="1" spans="1:2">
      <c r="A3094" s="3" t="s">
        <v>15351</v>
      </c>
      <c r="B3094" s="4">
        <v>136432</v>
      </c>
    </row>
    <row r="3095" customHeight="1" spans="1:2">
      <c r="A3095" s="3" t="s">
        <v>1981</v>
      </c>
      <c r="B3095" s="4">
        <v>95328937</v>
      </c>
    </row>
    <row r="3096" customHeight="1" spans="1:2">
      <c r="A3096" s="3" t="s">
        <v>4511</v>
      </c>
      <c r="B3096" s="4"/>
    </row>
    <row r="3097" customHeight="1" spans="1:2">
      <c r="A3097" s="3" t="s">
        <v>11651</v>
      </c>
      <c r="B3097" s="4">
        <v>8396942</v>
      </c>
    </row>
    <row r="3098" customHeight="1" spans="1:2">
      <c r="A3098" s="3" t="s">
        <v>6576</v>
      </c>
      <c r="B3098" s="4">
        <v>38543473</v>
      </c>
    </row>
    <row r="3099" customHeight="1" spans="1:2">
      <c r="A3099" s="3" t="s">
        <v>21442</v>
      </c>
      <c r="B3099" s="4">
        <v>247740</v>
      </c>
    </row>
    <row r="3100" customHeight="1" spans="1:2">
      <c r="A3100" s="3" t="s">
        <v>21278</v>
      </c>
      <c r="B3100" s="4">
        <v>24741700</v>
      </c>
    </row>
    <row r="3101" customHeight="1" spans="1:2">
      <c r="A3101" s="3" t="s">
        <v>18375</v>
      </c>
      <c r="B3101" s="4">
        <v>6940281</v>
      </c>
    </row>
    <row r="3102" customHeight="1" spans="1:2">
      <c r="A3102" s="3" t="s">
        <v>6967</v>
      </c>
      <c r="B3102" s="4">
        <v>30400000</v>
      </c>
    </row>
    <row r="3103" customHeight="1" spans="1:2">
      <c r="A3103" s="3" t="s">
        <v>16811</v>
      </c>
      <c r="B3103" s="4">
        <v>10696</v>
      </c>
    </row>
    <row r="3104" customHeight="1" spans="1:2">
      <c r="A3104" s="3" t="s">
        <v>5988</v>
      </c>
      <c r="B3104" s="4">
        <v>2154540</v>
      </c>
    </row>
    <row r="3105" customHeight="1" spans="1:2">
      <c r="A3105" s="3" t="s">
        <v>16115</v>
      </c>
      <c r="B3105" s="4">
        <v>8279017</v>
      </c>
    </row>
    <row r="3106" customHeight="1" spans="1:2">
      <c r="A3106" s="3" t="s">
        <v>10399</v>
      </c>
      <c r="B3106" s="4">
        <v>25842000</v>
      </c>
    </row>
    <row r="3107" customHeight="1" spans="1:2">
      <c r="A3107" s="3" t="s">
        <v>4878</v>
      </c>
      <c r="B3107" s="4">
        <v>70327868</v>
      </c>
    </row>
    <row r="3108" customHeight="1" spans="1:2">
      <c r="A3108" s="3" t="s">
        <v>9228</v>
      </c>
      <c r="B3108" s="4">
        <v>100241322</v>
      </c>
    </row>
    <row r="3109" customHeight="1" spans="1:2">
      <c r="A3109" s="3" t="s">
        <v>21114</v>
      </c>
      <c r="B3109" s="4"/>
    </row>
    <row r="3110" customHeight="1" spans="1:2">
      <c r="A3110" s="3" t="s">
        <v>6427</v>
      </c>
      <c r="B3110" s="4">
        <v>57887882</v>
      </c>
    </row>
    <row r="3111" customHeight="1" spans="1:2">
      <c r="A3111" s="3" t="s">
        <v>6374</v>
      </c>
      <c r="B3111" s="4">
        <v>70836296</v>
      </c>
    </row>
    <row r="3112" customHeight="1" spans="1:2">
      <c r="A3112" s="3" t="s">
        <v>16906</v>
      </c>
      <c r="B3112" s="4">
        <v>4000304</v>
      </c>
    </row>
    <row r="3113" customHeight="1" spans="1:2">
      <c r="A3113" s="3" t="s">
        <v>24155</v>
      </c>
      <c r="B3113" s="4">
        <v>10443</v>
      </c>
    </row>
    <row r="3114" customHeight="1" spans="1:2">
      <c r="A3114" s="3" t="s">
        <v>5148</v>
      </c>
      <c r="B3114" s="4">
        <v>60470220</v>
      </c>
    </row>
    <row r="3115" customHeight="1" spans="1:2">
      <c r="A3115" s="3" t="s">
        <v>4678</v>
      </c>
      <c r="B3115" s="4">
        <v>56932305</v>
      </c>
    </row>
    <row r="3116" customHeight="1" spans="1:2">
      <c r="A3116" s="3" t="s">
        <v>12299</v>
      </c>
      <c r="B3116" s="4">
        <v>2315683</v>
      </c>
    </row>
    <row r="3117" customHeight="1" spans="1:2">
      <c r="A3117" s="3" t="s">
        <v>15304</v>
      </c>
      <c r="B3117" s="4">
        <v>488872</v>
      </c>
    </row>
    <row r="3118" customHeight="1" spans="1:2">
      <c r="A3118" s="3" t="s">
        <v>20597</v>
      </c>
      <c r="B3118" s="4"/>
    </row>
    <row r="3119" customHeight="1" spans="1:2">
      <c r="A3119" s="3" t="s">
        <v>9849</v>
      </c>
      <c r="B3119" s="4">
        <v>18860403</v>
      </c>
    </row>
    <row r="3120" customHeight="1" spans="1:2">
      <c r="A3120" s="3" t="s">
        <v>3073</v>
      </c>
      <c r="B3120" s="4">
        <v>160762022</v>
      </c>
    </row>
    <row r="3121" customHeight="1" spans="1:2">
      <c r="A3121" s="3" t="s">
        <v>18962</v>
      </c>
      <c r="B3121" s="4"/>
    </row>
    <row r="3122" customHeight="1" spans="1:2">
      <c r="A3122" s="3" t="s">
        <v>20104</v>
      </c>
      <c r="B3122" s="4"/>
    </row>
    <row r="3123" customHeight="1" spans="1:2">
      <c r="A3123" s="3" t="s">
        <v>17180</v>
      </c>
      <c r="B3123" s="4">
        <v>2207975</v>
      </c>
    </row>
    <row r="3124" customHeight="1" spans="1:2">
      <c r="A3124" s="3" t="s">
        <v>11511</v>
      </c>
      <c r="B3124" s="4"/>
    </row>
    <row r="3125" customHeight="1" spans="1:2">
      <c r="A3125" s="3" t="s">
        <v>17723</v>
      </c>
      <c r="B3125" s="4">
        <v>13464388</v>
      </c>
    </row>
    <row r="3126" customHeight="1" spans="1:2">
      <c r="A3126" s="3" t="s">
        <v>9743</v>
      </c>
      <c r="B3126" s="4"/>
    </row>
    <row r="3127" customHeight="1" spans="1:2">
      <c r="A3127" s="3" t="s">
        <v>23397</v>
      </c>
      <c r="B3127" s="4"/>
    </row>
    <row r="3128" customHeight="1" spans="1:2">
      <c r="A3128" s="3" t="s">
        <v>20819</v>
      </c>
      <c r="B3128" s="4"/>
    </row>
    <row r="3129" customHeight="1" spans="1:2">
      <c r="A3129" s="3" t="s">
        <v>9955</v>
      </c>
      <c r="B3129" s="4"/>
    </row>
    <row r="3130" customHeight="1" spans="1:2">
      <c r="A3130" s="3" t="s">
        <v>2154</v>
      </c>
      <c r="B3130" s="4">
        <v>209019489</v>
      </c>
    </row>
    <row r="3131" customHeight="1" spans="1:2">
      <c r="A3131" s="3" t="s">
        <v>1298</v>
      </c>
      <c r="B3131" s="4">
        <v>186830669</v>
      </c>
    </row>
    <row r="3132" customHeight="1" spans="1:2">
      <c r="A3132" s="3" t="s">
        <v>20445</v>
      </c>
      <c r="B3132" s="4">
        <v>198407</v>
      </c>
    </row>
    <row r="3133" customHeight="1" spans="1:2">
      <c r="A3133" s="3" t="s">
        <v>14804</v>
      </c>
      <c r="B3133" s="4">
        <v>63319509</v>
      </c>
    </row>
    <row r="3134" customHeight="1" spans="1:2">
      <c r="A3134" s="3" t="s">
        <v>23535</v>
      </c>
      <c r="B3134" s="4">
        <v>7137502</v>
      </c>
    </row>
    <row r="3135" customHeight="1" spans="1:2">
      <c r="A3135" s="3" t="s">
        <v>10975</v>
      </c>
      <c r="B3135" s="4">
        <v>31584722</v>
      </c>
    </row>
    <row r="3136" customHeight="1" spans="1:2">
      <c r="A3136" s="3" t="s">
        <v>9630</v>
      </c>
      <c r="B3136" s="4">
        <v>33687630</v>
      </c>
    </row>
    <row r="3137" customHeight="1" spans="1:2">
      <c r="A3137" s="3" t="s">
        <v>18930</v>
      </c>
      <c r="B3137" s="4">
        <v>9449219</v>
      </c>
    </row>
    <row r="3138" customHeight="1" spans="1:2">
      <c r="A3138" s="3" t="s">
        <v>21607</v>
      </c>
      <c r="B3138" s="4">
        <v>5355376</v>
      </c>
    </row>
    <row r="3139" customHeight="1" spans="1:2">
      <c r="A3139" s="3" t="s">
        <v>17395</v>
      </c>
      <c r="B3139" s="4">
        <v>35811509</v>
      </c>
    </row>
    <row r="3140" customHeight="1" spans="1:2">
      <c r="A3140" s="3" t="s">
        <v>13315</v>
      </c>
      <c r="B3140" s="4"/>
    </row>
    <row r="3141" customHeight="1" spans="1:2">
      <c r="A3141" s="3" t="s">
        <v>15864</v>
      </c>
      <c r="B3141" s="4"/>
    </row>
    <row r="3142" customHeight="1" spans="1:2">
      <c r="A3142" s="3" t="s">
        <v>22560</v>
      </c>
      <c r="B3142" s="4">
        <v>906666</v>
      </c>
    </row>
    <row r="3143" customHeight="1" spans="1:2">
      <c r="A3143" s="3" t="s">
        <v>4186</v>
      </c>
      <c r="B3143" s="4">
        <v>46975183</v>
      </c>
    </row>
    <row r="3144" customHeight="1" spans="1:2">
      <c r="A3144" s="3" t="s">
        <v>18643</v>
      </c>
      <c r="B3144" s="4">
        <v>302204</v>
      </c>
    </row>
    <row r="3145" customHeight="1" spans="1:2">
      <c r="A3145" s="3" t="s">
        <v>23443</v>
      </c>
      <c r="B3145" s="4"/>
    </row>
    <row r="3146" customHeight="1" spans="1:2">
      <c r="A3146" s="3" t="s">
        <v>16348</v>
      </c>
      <c r="B3146" s="4">
        <v>10281585</v>
      </c>
    </row>
    <row r="3147" customHeight="1" spans="1:2">
      <c r="A3147" s="3" t="s">
        <v>23404</v>
      </c>
      <c r="B3147" s="4">
        <v>381225</v>
      </c>
    </row>
    <row r="3148" customHeight="1" spans="1:2">
      <c r="A3148" s="3" t="s">
        <v>20292</v>
      </c>
      <c r="B3148" s="4">
        <v>1984378</v>
      </c>
    </row>
    <row r="3149" customHeight="1" spans="1:2">
      <c r="A3149" s="3" t="s">
        <v>11007</v>
      </c>
      <c r="B3149" s="4">
        <v>20916309</v>
      </c>
    </row>
    <row r="3150" customHeight="1" spans="1:2">
      <c r="A3150" s="3" t="s">
        <v>23247</v>
      </c>
      <c r="B3150" s="4">
        <v>45661</v>
      </c>
    </row>
    <row r="3151" customHeight="1" spans="1:2">
      <c r="A3151" s="3" t="s">
        <v>18085</v>
      </c>
      <c r="B3151" s="4"/>
    </row>
    <row r="3152" customHeight="1" spans="1:2">
      <c r="A3152" s="3" t="s">
        <v>19989</v>
      </c>
      <c r="B3152" s="4"/>
    </row>
    <row r="3153" customHeight="1" spans="1:2">
      <c r="A3153" s="3" t="s">
        <v>22923</v>
      </c>
      <c r="B3153" s="4"/>
    </row>
    <row r="3154" customHeight="1" spans="1:2">
      <c r="A3154" s="3" t="s">
        <v>16155</v>
      </c>
      <c r="B3154" s="4">
        <v>2275557</v>
      </c>
    </row>
    <row r="3155" customHeight="1" spans="1:2">
      <c r="A3155" s="3" t="s">
        <v>6721</v>
      </c>
      <c r="B3155" s="4">
        <v>20302961</v>
      </c>
    </row>
    <row r="3156" customHeight="1" spans="1:2">
      <c r="A3156" s="3" t="s">
        <v>3296</v>
      </c>
      <c r="B3156" s="4">
        <v>436471036</v>
      </c>
    </row>
    <row r="3157" customHeight="1" spans="1:2">
      <c r="A3157" s="3" t="s">
        <v>602</v>
      </c>
      <c r="B3157" s="4">
        <v>238371987</v>
      </c>
    </row>
    <row r="3158" customHeight="1" spans="1:2">
      <c r="A3158" s="3" t="s">
        <v>726</v>
      </c>
      <c r="B3158" s="4">
        <v>320706665</v>
      </c>
    </row>
    <row r="3159" customHeight="1" spans="1:2">
      <c r="A3159" s="3" t="s">
        <v>4999</v>
      </c>
      <c r="B3159" s="4">
        <v>267652016</v>
      </c>
    </row>
    <row r="3160" customHeight="1" spans="1:2">
      <c r="A3160" s="3" t="s">
        <v>2597</v>
      </c>
      <c r="B3160" s="4">
        <v>127968405</v>
      </c>
    </row>
    <row r="3161" customHeight="1" spans="1:2">
      <c r="A3161" s="3" t="s">
        <v>16023</v>
      </c>
      <c r="B3161" s="4">
        <v>25926543</v>
      </c>
    </row>
    <row r="3162" customHeight="1" spans="1:2">
      <c r="A3162" s="3" t="s">
        <v>8342</v>
      </c>
      <c r="B3162" s="4">
        <v>46875468</v>
      </c>
    </row>
    <row r="3163" customHeight="1" spans="1:2">
      <c r="A3163" s="3" t="s">
        <v>15638</v>
      </c>
      <c r="B3163" s="4">
        <v>24530513</v>
      </c>
    </row>
    <row r="3164" customHeight="1" spans="1:2">
      <c r="A3164" s="3" t="s">
        <v>8448</v>
      </c>
      <c r="B3164" s="4">
        <v>64308820</v>
      </c>
    </row>
    <row r="3165" customHeight="1" spans="1:2">
      <c r="A3165" s="3" t="s">
        <v>12163</v>
      </c>
      <c r="B3165" s="4">
        <v>71502303</v>
      </c>
    </row>
    <row r="3166" customHeight="1" spans="1:2">
      <c r="A3166" s="3" t="s">
        <v>24139</v>
      </c>
      <c r="B3166" s="4"/>
    </row>
    <row r="3167" customHeight="1" spans="1:2">
      <c r="A3167" s="3" t="s">
        <v>3290</v>
      </c>
      <c r="B3167" s="4">
        <v>227965690</v>
      </c>
    </row>
    <row r="3168" customHeight="1" spans="1:2">
      <c r="A3168" s="3" t="s">
        <v>5223</v>
      </c>
      <c r="B3168" s="4">
        <v>46982632</v>
      </c>
    </row>
    <row r="3169" customHeight="1" spans="1:2">
      <c r="A3169" s="3" t="s">
        <v>11079</v>
      </c>
      <c r="B3169" s="4">
        <v>17529157</v>
      </c>
    </row>
    <row r="3170" customHeight="1" spans="1:2">
      <c r="A3170" s="3" t="s">
        <v>20173</v>
      </c>
      <c r="B3170" s="4">
        <v>12555230</v>
      </c>
    </row>
    <row r="3171" customHeight="1" spans="1:2">
      <c r="A3171" s="3" t="s">
        <v>18350</v>
      </c>
      <c r="B3171" s="4"/>
    </row>
    <row r="3172" customHeight="1" spans="1:2">
      <c r="A3172" s="3" t="s">
        <v>21503</v>
      </c>
      <c r="B3172" s="4"/>
    </row>
    <row r="3173" customHeight="1" spans="1:2">
      <c r="A3173" s="3" t="s">
        <v>13256</v>
      </c>
      <c r="B3173" s="4"/>
    </row>
    <row r="3174" customHeight="1" spans="1:2">
      <c r="A3174" s="3" t="s">
        <v>15891</v>
      </c>
      <c r="B3174" s="4"/>
    </row>
    <row r="3175" customHeight="1" spans="1:2">
      <c r="A3175" s="3" t="s">
        <v>10576</v>
      </c>
      <c r="B3175" s="4">
        <v>132088910</v>
      </c>
    </row>
    <row r="3176" customHeight="1" spans="1:2">
      <c r="A3176" s="3" t="s">
        <v>19782</v>
      </c>
      <c r="B3176" s="4"/>
    </row>
    <row r="3177" customHeight="1" spans="1:2">
      <c r="A3177" s="3" t="s">
        <v>9300</v>
      </c>
      <c r="B3177" s="4">
        <v>33200000</v>
      </c>
    </row>
    <row r="3178" customHeight="1" spans="1:2">
      <c r="A3178" s="3" t="s">
        <v>11063</v>
      </c>
      <c r="B3178" s="4">
        <v>18252684</v>
      </c>
    </row>
    <row r="3179" customHeight="1" spans="1:2">
      <c r="A3179" s="3" t="s">
        <v>17156</v>
      </c>
      <c r="B3179" s="4">
        <v>4394936</v>
      </c>
    </row>
    <row r="3180" customHeight="1" spans="1:2">
      <c r="A3180" s="3" t="s">
        <v>6363</v>
      </c>
      <c r="B3180" s="4">
        <v>74098862</v>
      </c>
    </row>
    <row r="3181" customHeight="1" spans="1:2">
      <c r="A3181" s="3" t="s">
        <v>3829</v>
      </c>
      <c r="B3181" s="4">
        <v>13750556</v>
      </c>
    </row>
    <row r="3182" customHeight="1" spans="1:2">
      <c r="A3182" s="3" t="s">
        <v>4330</v>
      </c>
      <c r="B3182" s="4">
        <v>26288320</v>
      </c>
    </row>
    <row r="3183" customHeight="1" spans="1:2">
      <c r="A3183" s="3" t="s">
        <v>19790</v>
      </c>
      <c r="B3183" s="4"/>
    </row>
    <row r="3184" customHeight="1" spans="1:2">
      <c r="A3184" s="3" t="s">
        <v>14943</v>
      </c>
      <c r="B3184" s="4">
        <v>27736779</v>
      </c>
    </row>
    <row r="3185" customHeight="1" spans="1:2">
      <c r="A3185" s="3" t="s">
        <v>19210</v>
      </c>
      <c r="B3185" s="4">
        <v>48056940</v>
      </c>
    </row>
    <row r="3186" customHeight="1" spans="1:2">
      <c r="A3186" s="3" t="s">
        <v>23068</v>
      </c>
      <c r="B3186" s="4">
        <v>32631</v>
      </c>
    </row>
    <row r="3187" customHeight="1" spans="1:2">
      <c r="A3187" s="3" t="s">
        <v>2701</v>
      </c>
      <c r="B3187" s="4">
        <v>74329966</v>
      </c>
    </row>
    <row r="3188" customHeight="1" spans="1:2">
      <c r="A3188" s="3" t="s">
        <v>20377</v>
      </c>
      <c r="B3188" s="4">
        <v>124494</v>
      </c>
    </row>
    <row r="3189" customHeight="1" spans="1:2">
      <c r="A3189" s="3" t="s">
        <v>15834</v>
      </c>
      <c r="B3189" s="4">
        <v>162</v>
      </c>
    </row>
    <row r="3190" customHeight="1" spans="1:2">
      <c r="A3190" s="3" t="s">
        <v>3514</v>
      </c>
      <c r="B3190" s="4">
        <v>37760080</v>
      </c>
    </row>
    <row r="3191" customHeight="1" spans="1:2">
      <c r="A3191" s="3" t="s">
        <v>7317</v>
      </c>
      <c r="B3191" s="4">
        <v>63939454</v>
      </c>
    </row>
    <row r="3192" customHeight="1" spans="1:2">
      <c r="A3192" s="3" t="s">
        <v>243</v>
      </c>
      <c r="B3192" s="4">
        <v>608720554</v>
      </c>
    </row>
    <row r="3193" customHeight="1" spans="1:2">
      <c r="A3193" s="3" t="s">
        <v>14977</v>
      </c>
      <c r="B3193" s="4">
        <v>21371425</v>
      </c>
    </row>
    <row r="3194" customHeight="1" spans="1:2">
      <c r="A3194" s="3" t="s">
        <v>20575</v>
      </c>
      <c r="B3194" s="4"/>
    </row>
    <row r="3195" customHeight="1" spans="1:2">
      <c r="A3195" s="3" t="s">
        <v>24002</v>
      </c>
      <c r="B3195" s="4">
        <v>1227508</v>
      </c>
    </row>
    <row r="3196" customHeight="1" spans="1:2">
      <c r="A3196" s="3" t="s">
        <v>14625</v>
      </c>
      <c r="B3196" s="4">
        <v>4814244</v>
      </c>
    </row>
    <row r="3197" customHeight="1" spans="1:2">
      <c r="A3197" s="3" t="s">
        <v>21694</v>
      </c>
      <c r="B3197" s="4">
        <v>982214</v>
      </c>
    </row>
    <row r="3198" customHeight="1" spans="1:2">
      <c r="A3198" s="3" t="s">
        <v>19930</v>
      </c>
      <c r="B3198" s="4">
        <v>75727</v>
      </c>
    </row>
    <row r="3199" customHeight="1" spans="1:2">
      <c r="A3199" s="3" t="s">
        <v>18027</v>
      </c>
      <c r="B3199" s="4"/>
    </row>
    <row r="3200" customHeight="1" spans="1:2">
      <c r="A3200" s="3" t="s">
        <v>20136</v>
      </c>
      <c r="B3200" s="4"/>
    </row>
    <row r="3201" customHeight="1" spans="1:2">
      <c r="A3201" s="3" t="s">
        <v>6017</v>
      </c>
      <c r="B3201" s="4">
        <v>53300852</v>
      </c>
    </row>
    <row r="3202" customHeight="1" spans="1:2">
      <c r="A3202" s="3" t="s">
        <v>15081</v>
      </c>
      <c r="B3202" s="4">
        <v>8070311</v>
      </c>
    </row>
    <row r="3203" customHeight="1" spans="1:2">
      <c r="A3203" s="3" t="s">
        <v>3345</v>
      </c>
      <c r="B3203" s="4"/>
    </row>
    <row r="3204" customHeight="1" spans="1:2">
      <c r="A3204" s="3" t="s">
        <v>17077</v>
      </c>
      <c r="B3204" s="4">
        <v>11883495</v>
      </c>
    </row>
    <row r="3205" customHeight="1" spans="1:2">
      <c r="A3205" s="3" t="s">
        <v>18117</v>
      </c>
      <c r="B3205" s="4">
        <v>24475416</v>
      </c>
    </row>
    <row r="3206" customHeight="1" spans="1:2">
      <c r="A3206" s="3" t="s">
        <v>12642</v>
      </c>
      <c r="B3206" s="4">
        <v>7774730</v>
      </c>
    </row>
    <row r="3207" customHeight="1" spans="1:2">
      <c r="A3207" s="3" t="s">
        <v>12630</v>
      </c>
      <c r="B3207" s="4">
        <v>1181197</v>
      </c>
    </row>
    <row r="3208" customHeight="1" spans="1:2">
      <c r="A3208" s="3" t="s">
        <v>19282</v>
      </c>
      <c r="B3208" s="4">
        <v>229094</v>
      </c>
    </row>
    <row r="3209" customHeight="1" spans="1:2">
      <c r="A3209" s="3" t="s">
        <v>13357</v>
      </c>
      <c r="B3209" s="4">
        <v>141319195</v>
      </c>
    </row>
    <row r="3210" customHeight="1" spans="1:2">
      <c r="A3210" s="3" t="s">
        <v>17838</v>
      </c>
      <c r="B3210" s="4">
        <v>5480318</v>
      </c>
    </row>
    <row r="3211" customHeight="1" spans="1:2">
      <c r="A3211" s="3" t="s">
        <v>20537</v>
      </c>
      <c r="B3211" s="4"/>
    </row>
    <row r="3212" customHeight="1" spans="1:2">
      <c r="A3212" s="3" t="s">
        <v>6430</v>
      </c>
      <c r="B3212" s="4">
        <v>53955614</v>
      </c>
    </row>
    <row r="3213" customHeight="1" spans="1:2">
      <c r="A3213" s="3" t="s">
        <v>11879</v>
      </c>
      <c r="B3213" s="4">
        <v>17071230</v>
      </c>
    </row>
    <row r="3214" customHeight="1" spans="1:2">
      <c r="A3214" s="3" t="s">
        <v>23922</v>
      </c>
      <c r="B3214" s="4">
        <v>277233</v>
      </c>
    </row>
    <row r="3215" customHeight="1" spans="1:2">
      <c r="A3215" s="3" t="s">
        <v>7709</v>
      </c>
      <c r="B3215" s="4">
        <v>2221994</v>
      </c>
    </row>
    <row r="3216" customHeight="1" spans="1:2">
      <c r="A3216" s="3" t="s">
        <v>20204</v>
      </c>
      <c r="B3216" s="4">
        <v>6719300</v>
      </c>
    </row>
    <row r="3217" customHeight="1" spans="1:2">
      <c r="A3217" s="3" t="s">
        <v>12182</v>
      </c>
      <c r="B3217" s="4">
        <v>35635046</v>
      </c>
    </row>
    <row r="3218" customHeight="1" spans="1:2">
      <c r="A3218" s="3" t="s">
        <v>3199</v>
      </c>
      <c r="B3218" s="4">
        <v>55585389</v>
      </c>
    </row>
    <row r="3219" customHeight="1" spans="1:2">
      <c r="A3219" s="3" t="s">
        <v>7845</v>
      </c>
      <c r="B3219" s="4">
        <v>68028796</v>
      </c>
    </row>
    <row r="3220" customHeight="1" spans="1:2">
      <c r="A3220" s="3" t="s">
        <v>14449</v>
      </c>
      <c r="B3220" s="4">
        <v>60186214</v>
      </c>
    </row>
    <row r="3221" customHeight="1" spans="1:2">
      <c r="A3221" s="3" t="s">
        <v>12776</v>
      </c>
      <c r="B3221" s="4">
        <v>85838192</v>
      </c>
    </row>
    <row r="3222" customHeight="1" spans="1:2">
      <c r="A3222" s="3" t="s">
        <v>20970</v>
      </c>
      <c r="B3222" s="4">
        <v>402820</v>
      </c>
    </row>
    <row r="3223" customHeight="1" spans="1:2">
      <c r="A3223" s="3" t="s">
        <v>13710</v>
      </c>
      <c r="B3223" s="4">
        <v>60008303</v>
      </c>
    </row>
    <row r="3224" customHeight="1" spans="1:2">
      <c r="A3224" s="3" t="s">
        <v>7899</v>
      </c>
      <c r="B3224" s="4">
        <v>81150692</v>
      </c>
    </row>
    <row r="3225" customHeight="1" spans="1:2">
      <c r="A3225" s="3" t="s">
        <v>7207</v>
      </c>
      <c r="B3225" s="4">
        <v>14378353</v>
      </c>
    </row>
    <row r="3226" customHeight="1" spans="1:2">
      <c r="A3226" s="3" t="s">
        <v>17239</v>
      </c>
      <c r="B3226" s="4">
        <v>1346503</v>
      </c>
    </row>
    <row r="3227" customHeight="1" spans="1:2">
      <c r="A3227" s="3" t="s">
        <v>16757</v>
      </c>
      <c r="B3227" s="4"/>
    </row>
    <row r="3228" customHeight="1" spans="1:2">
      <c r="A3228" s="3" t="s">
        <v>560</v>
      </c>
      <c r="B3228" s="4">
        <v>155111815</v>
      </c>
    </row>
    <row r="3229" customHeight="1" spans="1:2">
      <c r="A3229" s="3" t="s">
        <v>21103</v>
      </c>
      <c r="B3229" s="4">
        <v>184925485</v>
      </c>
    </row>
    <row r="3230" customHeight="1" spans="1:2">
      <c r="A3230" s="3" t="s">
        <v>21944</v>
      </c>
      <c r="B3230" s="4"/>
    </row>
    <row r="3231" customHeight="1" spans="1:2">
      <c r="A3231" s="3" t="s">
        <v>9341</v>
      </c>
      <c r="B3231" s="4"/>
    </row>
    <row r="3232" customHeight="1" spans="1:2">
      <c r="A3232" s="3" t="s">
        <v>6894</v>
      </c>
      <c r="B3232" s="4">
        <v>4563029</v>
      </c>
    </row>
    <row r="3233" customHeight="1" spans="1:2">
      <c r="A3233" s="3" t="s">
        <v>5639</v>
      </c>
      <c r="B3233" s="4"/>
    </row>
    <row r="3234" customHeight="1" spans="1:2">
      <c r="A3234" s="3" t="s">
        <v>3167</v>
      </c>
      <c r="B3234" s="4">
        <v>14567883</v>
      </c>
    </row>
    <row r="3235" customHeight="1" spans="1:2">
      <c r="A3235" s="3" t="s">
        <v>13980</v>
      </c>
      <c r="B3235" s="4">
        <v>4360548</v>
      </c>
    </row>
    <row r="3236" customHeight="1" spans="1:2">
      <c r="A3236" s="3" t="s">
        <v>23461</v>
      </c>
      <c r="B3236" s="4"/>
    </row>
    <row r="3237" customHeight="1" spans="1:2">
      <c r="A3237" s="3" t="s">
        <v>17779</v>
      </c>
      <c r="B3237" s="4"/>
    </row>
    <row r="3238" customHeight="1" spans="1:2">
      <c r="A3238" s="3" t="s">
        <v>23139</v>
      </c>
      <c r="B3238" s="4"/>
    </row>
    <row r="3239" customHeight="1" spans="1:2">
      <c r="A3239" s="3" t="s">
        <v>19670</v>
      </c>
      <c r="B3239" s="4">
        <v>25000000</v>
      </c>
    </row>
    <row r="3240" customHeight="1" spans="1:2">
      <c r="A3240" s="3" t="s">
        <v>10228</v>
      </c>
      <c r="B3240" s="4">
        <v>27338033</v>
      </c>
    </row>
    <row r="3241" customHeight="1" spans="1:2">
      <c r="A3241" s="3" t="s">
        <v>7432</v>
      </c>
      <c r="B3241" s="4">
        <v>39026186</v>
      </c>
    </row>
    <row r="3242" customHeight="1" spans="1:2">
      <c r="A3242" s="3" t="s">
        <v>19587</v>
      </c>
      <c r="B3242" s="4"/>
    </row>
    <row r="3243" customHeight="1" spans="1:2">
      <c r="A3243" s="3" t="s">
        <v>2592</v>
      </c>
      <c r="B3243" s="4">
        <v>124590960</v>
      </c>
    </row>
    <row r="3244" customHeight="1" spans="1:2">
      <c r="A3244" s="3" t="s">
        <v>17513</v>
      </c>
      <c r="B3244" s="4"/>
    </row>
    <row r="3245" customHeight="1" spans="1:2">
      <c r="A3245" s="3" t="s">
        <v>16689</v>
      </c>
      <c r="B3245" s="4">
        <v>1768416</v>
      </c>
    </row>
    <row r="3246" customHeight="1" spans="1:2">
      <c r="A3246" s="3" t="s">
        <v>10385</v>
      </c>
      <c r="B3246" s="4">
        <v>59696176</v>
      </c>
    </row>
    <row r="3247" customHeight="1" spans="1:2">
      <c r="A3247" s="3" t="s">
        <v>1894</v>
      </c>
      <c r="B3247" s="4">
        <v>17010646</v>
      </c>
    </row>
    <row r="3248" customHeight="1" spans="1:2">
      <c r="A3248" s="3" t="s">
        <v>17308</v>
      </c>
      <c r="B3248" s="4">
        <v>20200</v>
      </c>
    </row>
    <row r="3249" customHeight="1" spans="1:2">
      <c r="A3249" s="3" t="s">
        <v>20689</v>
      </c>
      <c r="B3249" s="4">
        <v>3050934</v>
      </c>
    </row>
    <row r="3250" customHeight="1" spans="1:2">
      <c r="A3250" s="3" t="s">
        <v>18703</v>
      </c>
      <c r="B3250" s="4"/>
    </row>
    <row r="3251" customHeight="1" spans="1:2">
      <c r="A3251" s="3" t="s">
        <v>10514</v>
      </c>
      <c r="B3251" s="4"/>
    </row>
    <row r="3252" customHeight="1" spans="1:2">
      <c r="A3252" s="3" t="s">
        <v>14240</v>
      </c>
      <c r="B3252" s="4">
        <v>10198766</v>
      </c>
    </row>
    <row r="3253" customHeight="1" spans="1:2">
      <c r="A3253" s="3" t="s">
        <v>13948</v>
      </c>
      <c r="B3253" s="4">
        <v>11956207</v>
      </c>
    </row>
    <row r="3254" customHeight="1" spans="1:2">
      <c r="A3254" s="3" t="s">
        <v>16318</v>
      </c>
      <c r="B3254" s="4">
        <v>43490057</v>
      </c>
    </row>
    <row r="3255" customHeight="1" spans="1:2">
      <c r="A3255" s="3" t="s">
        <v>18114</v>
      </c>
      <c r="B3255" s="4">
        <v>274385</v>
      </c>
    </row>
    <row r="3256" customHeight="1" spans="1:2">
      <c r="A3256" s="3" t="s">
        <v>6802</v>
      </c>
      <c r="B3256" s="4">
        <v>12081447</v>
      </c>
    </row>
    <row r="3257" customHeight="1" spans="1:2">
      <c r="A3257" s="3" t="s">
        <v>12571</v>
      </c>
      <c r="B3257" s="4">
        <v>13922211</v>
      </c>
    </row>
    <row r="3258" customHeight="1" spans="1:2">
      <c r="A3258" s="3" t="s">
        <v>11839</v>
      </c>
      <c r="B3258" s="4">
        <v>43853424</v>
      </c>
    </row>
    <row r="3259" customHeight="1" spans="1:2">
      <c r="A3259" s="3" t="s">
        <v>13532</v>
      </c>
      <c r="B3259" s="4">
        <v>3100650</v>
      </c>
    </row>
    <row r="3260" customHeight="1" spans="1:2">
      <c r="A3260" s="3" t="s">
        <v>23641</v>
      </c>
      <c r="B3260" s="4">
        <v>405614</v>
      </c>
    </row>
    <row r="3261" customHeight="1" spans="1:2">
      <c r="A3261" s="3" t="s">
        <v>7941</v>
      </c>
      <c r="B3261" s="4">
        <v>54696902</v>
      </c>
    </row>
    <row r="3262" customHeight="1" spans="1:2">
      <c r="A3262" s="3" t="s">
        <v>10561</v>
      </c>
      <c r="B3262" s="4">
        <v>52008288</v>
      </c>
    </row>
    <row r="3263" customHeight="1" spans="1:2">
      <c r="A3263" s="3" t="s">
        <v>12323</v>
      </c>
      <c r="B3263" s="4">
        <v>273420</v>
      </c>
    </row>
    <row r="3264" customHeight="1" spans="1:2">
      <c r="A3264" s="3" t="s">
        <v>8346</v>
      </c>
      <c r="B3264" s="4">
        <v>52418902</v>
      </c>
    </row>
    <row r="3265" customHeight="1" spans="1:2">
      <c r="A3265" s="3" t="s">
        <v>14423</v>
      </c>
      <c r="B3265" s="4"/>
    </row>
    <row r="3266" customHeight="1" spans="1:2">
      <c r="A3266" s="3" t="s">
        <v>7225</v>
      </c>
      <c r="B3266" s="4">
        <v>30105968</v>
      </c>
    </row>
    <row r="3267" customHeight="1" spans="1:2">
      <c r="A3267" s="3" t="s">
        <v>3698</v>
      </c>
      <c r="B3267" s="4">
        <v>90454043</v>
      </c>
    </row>
    <row r="3268" customHeight="1" spans="1:2">
      <c r="A3268" s="3" t="s">
        <v>10047</v>
      </c>
      <c r="B3268" s="4"/>
    </row>
    <row r="3269" customHeight="1" spans="1:2">
      <c r="A3269" s="3" t="s">
        <v>2673</v>
      </c>
      <c r="B3269" s="4">
        <v>90443603</v>
      </c>
    </row>
    <row r="3270" customHeight="1" spans="1:2">
      <c r="A3270" s="3" t="s">
        <v>21189</v>
      </c>
      <c r="B3270" s="4"/>
    </row>
    <row r="3271" customHeight="1" spans="1:2">
      <c r="A3271" s="3" t="s">
        <v>10330</v>
      </c>
      <c r="B3271" s="4">
        <v>38119483</v>
      </c>
    </row>
    <row r="3272" customHeight="1" spans="1:2">
      <c r="A3272" s="3" t="s">
        <v>19252</v>
      </c>
      <c r="B3272" s="4">
        <v>15369573</v>
      </c>
    </row>
    <row r="3273" customHeight="1" spans="1:2">
      <c r="A3273" s="3" t="s">
        <v>3115</v>
      </c>
      <c r="B3273" s="4">
        <v>42044321</v>
      </c>
    </row>
    <row r="3274" customHeight="1" spans="1:2">
      <c r="A3274" s="3" t="s">
        <v>14947</v>
      </c>
      <c r="B3274" s="4">
        <v>24397469</v>
      </c>
    </row>
    <row r="3275" customHeight="1" spans="1:2">
      <c r="A3275" s="3" t="s">
        <v>21862</v>
      </c>
      <c r="B3275" s="4">
        <v>5494</v>
      </c>
    </row>
    <row r="3276" customHeight="1" spans="1:2">
      <c r="A3276" s="3" t="s">
        <v>14165</v>
      </c>
      <c r="B3276" s="4"/>
    </row>
    <row r="3277" customHeight="1" spans="1:2">
      <c r="A3277" s="3" t="s">
        <v>6435</v>
      </c>
      <c r="B3277" s="4">
        <v>54967359</v>
      </c>
    </row>
    <row r="3278" customHeight="1" spans="1:2">
      <c r="A3278" s="3" t="s">
        <v>21859</v>
      </c>
      <c r="B3278" s="4">
        <v>6387</v>
      </c>
    </row>
    <row r="3279" customHeight="1" spans="1:2">
      <c r="A3279" s="3" t="s">
        <v>7327</v>
      </c>
      <c r="B3279" s="4">
        <v>60054449</v>
      </c>
    </row>
    <row r="3280" customHeight="1" spans="1:2">
      <c r="A3280" s="3" t="s">
        <v>55</v>
      </c>
      <c r="B3280" s="4">
        <v>200074175</v>
      </c>
    </row>
    <row r="3281" customHeight="1" spans="1:2">
      <c r="A3281" s="3" t="s">
        <v>1610</v>
      </c>
      <c r="B3281" s="4">
        <v>48068396</v>
      </c>
    </row>
    <row r="3282" customHeight="1" spans="1:2">
      <c r="A3282" s="3" t="s">
        <v>1411</v>
      </c>
      <c r="B3282" s="4">
        <v>43929341</v>
      </c>
    </row>
    <row r="3283" customHeight="1" spans="1:2">
      <c r="A3283" s="3" t="s">
        <v>8100</v>
      </c>
      <c r="B3283" s="4">
        <v>121248145</v>
      </c>
    </row>
    <row r="3284" customHeight="1" spans="1:2">
      <c r="A3284" s="3" t="s">
        <v>21824</v>
      </c>
      <c r="B3284" s="4"/>
    </row>
    <row r="3285" customHeight="1" spans="1:2">
      <c r="A3285" s="3" t="s">
        <v>20919</v>
      </c>
      <c r="B3285" s="4"/>
    </row>
    <row r="3286" customHeight="1" spans="1:2">
      <c r="A3286" s="3" t="s">
        <v>3205</v>
      </c>
      <c r="B3286" s="4">
        <v>36976367</v>
      </c>
    </row>
    <row r="3287" customHeight="1" spans="1:2">
      <c r="A3287" s="3" t="s">
        <v>15231</v>
      </c>
      <c r="B3287" s="4">
        <v>800000</v>
      </c>
    </row>
    <row r="3288" customHeight="1" spans="1:2">
      <c r="A3288" s="3" t="s">
        <v>9679</v>
      </c>
      <c r="B3288" s="4">
        <v>29247405</v>
      </c>
    </row>
    <row r="3289" customHeight="1" spans="1:2">
      <c r="A3289" s="3" t="s">
        <v>15245</v>
      </c>
      <c r="B3289" s="4">
        <v>1641788</v>
      </c>
    </row>
    <row r="3290" customHeight="1" spans="1:2">
      <c r="A3290" s="3" t="s">
        <v>247</v>
      </c>
      <c r="B3290" s="4">
        <v>373377893</v>
      </c>
    </row>
    <row r="3291" customHeight="1" spans="1:2">
      <c r="A3291" s="3" t="s">
        <v>85</v>
      </c>
      <c r="B3291" s="4">
        <v>673060606</v>
      </c>
    </row>
    <row r="3292" customHeight="1" spans="1:2">
      <c r="A3292" s="3" t="s">
        <v>1033</v>
      </c>
      <c r="B3292" s="4">
        <v>403706375</v>
      </c>
    </row>
    <row r="3293" customHeight="1" spans="1:2">
      <c r="A3293" s="3" t="s">
        <v>2714</v>
      </c>
      <c r="B3293" s="4">
        <v>73215310</v>
      </c>
    </row>
    <row r="3294" customHeight="1" spans="1:2">
      <c r="A3294" s="3" t="s">
        <v>11631</v>
      </c>
      <c r="B3294" s="4">
        <v>10049886</v>
      </c>
    </row>
    <row r="3295" customHeight="1" spans="1:2">
      <c r="A3295" s="3" t="s">
        <v>15978</v>
      </c>
      <c r="B3295" s="4">
        <v>69800000</v>
      </c>
    </row>
    <row r="3296" customHeight="1" spans="1:2">
      <c r="A3296" s="3" t="s">
        <v>8558</v>
      </c>
      <c r="B3296" s="4">
        <v>16999046</v>
      </c>
    </row>
    <row r="3297" customHeight="1" spans="1:2">
      <c r="A3297" s="3" t="s">
        <v>16618</v>
      </c>
      <c r="B3297" s="4">
        <v>5430822</v>
      </c>
    </row>
    <row r="3298" customHeight="1" spans="1:2">
      <c r="A3298" s="3" t="s">
        <v>10814</v>
      </c>
      <c r="B3298" s="4">
        <v>44988180</v>
      </c>
    </row>
    <row r="3299" customHeight="1" spans="1:2">
      <c r="A3299" s="3" t="s">
        <v>17709</v>
      </c>
      <c r="B3299" s="4">
        <v>14123773</v>
      </c>
    </row>
    <row r="3300" customHeight="1" spans="1:2">
      <c r="A3300" s="3" t="s">
        <v>18293</v>
      </c>
      <c r="B3300" s="4">
        <v>410241</v>
      </c>
    </row>
    <row r="3301" customHeight="1" spans="1:2">
      <c r="A3301" s="3" t="s">
        <v>2244</v>
      </c>
      <c r="B3301" s="4">
        <v>26871</v>
      </c>
    </row>
    <row r="3302" customHeight="1" spans="1:2">
      <c r="A3302" s="3" t="s">
        <v>11830</v>
      </c>
      <c r="B3302" s="4">
        <v>26906039</v>
      </c>
    </row>
    <row r="3303" customHeight="1" spans="1:2">
      <c r="A3303" s="3" t="s">
        <v>6971</v>
      </c>
      <c r="B3303" s="4">
        <v>85570368</v>
      </c>
    </row>
    <row r="3304" customHeight="1" spans="1:2">
      <c r="A3304" s="3" t="s">
        <v>6267</v>
      </c>
      <c r="B3304" s="4">
        <v>111760631</v>
      </c>
    </row>
    <row r="3305" customHeight="1" spans="1:2">
      <c r="A3305" s="3" t="s">
        <v>7267</v>
      </c>
      <c r="B3305" s="4">
        <v>112692062</v>
      </c>
    </row>
    <row r="3306" customHeight="1" spans="1:2">
      <c r="A3306" s="3" t="s">
        <v>9182</v>
      </c>
      <c r="B3306" s="4">
        <v>38536376</v>
      </c>
    </row>
    <row r="3307" customHeight="1" spans="1:2">
      <c r="A3307" s="3" t="s">
        <v>14532</v>
      </c>
      <c r="B3307" s="4"/>
    </row>
    <row r="3308" customHeight="1" spans="1:2">
      <c r="A3308" s="3" t="s">
        <v>13683</v>
      </c>
      <c r="B3308" s="4">
        <v>44134898</v>
      </c>
    </row>
    <row r="3309" customHeight="1" spans="1:2">
      <c r="A3309" s="3" t="s">
        <v>18697</v>
      </c>
      <c r="B3309" s="4">
        <v>18469</v>
      </c>
    </row>
    <row r="3310" customHeight="1" spans="1:2">
      <c r="A3310" s="3" t="s">
        <v>13581</v>
      </c>
      <c r="B3310" s="4"/>
    </row>
    <row r="3311" customHeight="1" spans="1:2">
      <c r="A3311" s="3" t="s">
        <v>15988</v>
      </c>
      <c r="B3311" s="4">
        <v>52287414</v>
      </c>
    </row>
    <row r="3312" customHeight="1" spans="1:2">
      <c r="A3312" s="3" t="s">
        <v>17959</v>
      </c>
      <c r="B3312" s="4">
        <v>228830</v>
      </c>
    </row>
    <row r="3313" customHeight="1" spans="1:2">
      <c r="A3313" s="3" t="s">
        <v>17381</v>
      </c>
      <c r="B3313" s="4">
        <v>531806</v>
      </c>
    </row>
    <row r="3314" customHeight="1" spans="1:2">
      <c r="A3314" s="3" t="s">
        <v>413</v>
      </c>
      <c r="B3314" s="4">
        <v>130468626</v>
      </c>
    </row>
    <row r="3315" customHeight="1" spans="1:2">
      <c r="A3315" s="3" t="s">
        <v>14035</v>
      </c>
      <c r="B3315" s="4">
        <v>78900000</v>
      </c>
    </row>
    <row r="3316" customHeight="1" spans="1:2">
      <c r="A3316" s="3" t="s">
        <v>11738</v>
      </c>
      <c r="B3316" s="4">
        <v>76400000</v>
      </c>
    </row>
    <row r="3317" customHeight="1" spans="1:2">
      <c r="A3317" s="3" t="s">
        <v>356</v>
      </c>
      <c r="B3317" s="4">
        <v>228756232</v>
      </c>
    </row>
    <row r="3318" customHeight="1" spans="1:2">
      <c r="A3318" s="3" t="s">
        <v>10079</v>
      </c>
      <c r="B3318" s="4">
        <v>109713132</v>
      </c>
    </row>
    <row r="3319" customHeight="1" spans="1:2">
      <c r="A3319" s="3" t="s">
        <v>8276</v>
      </c>
      <c r="B3319" s="4">
        <v>55210049</v>
      </c>
    </row>
    <row r="3320" customHeight="1" spans="1:2">
      <c r="A3320" s="3" t="s">
        <v>9087</v>
      </c>
      <c r="B3320" s="4">
        <v>74888996</v>
      </c>
    </row>
    <row r="3321" customHeight="1" spans="1:2">
      <c r="A3321" s="3" t="s">
        <v>1030</v>
      </c>
      <c r="B3321" s="4">
        <v>257704099</v>
      </c>
    </row>
    <row r="3322" customHeight="1" spans="1:2">
      <c r="A3322" s="3" t="s">
        <v>5666</v>
      </c>
      <c r="B3322" s="4">
        <v>92001027</v>
      </c>
    </row>
    <row r="3323" customHeight="1" spans="1:2">
      <c r="A3323" s="3" t="s">
        <v>6975</v>
      </c>
      <c r="B3323" s="4">
        <v>75668868</v>
      </c>
    </row>
    <row r="3324" customHeight="1" spans="1:2">
      <c r="A3324" s="3" t="s">
        <v>3380</v>
      </c>
      <c r="B3324" s="4">
        <v>70117571</v>
      </c>
    </row>
    <row r="3325" customHeight="1" spans="1:2">
      <c r="A3325" s="3" t="s">
        <v>4258</v>
      </c>
      <c r="B3325" s="4">
        <v>43119879</v>
      </c>
    </row>
    <row r="3326" customHeight="1" spans="1:2">
      <c r="A3326" s="3" t="s">
        <v>7285</v>
      </c>
      <c r="B3326" s="4">
        <v>82300000</v>
      </c>
    </row>
    <row r="3327" customHeight="1" spans="1:2">
      <c r="A3327" s="3" t="s">
        <v>1451</v>
      </c>
      <c r="B3327" s="4">
        <v>474544677</v>
      </c>
    </row>
    <row r="3328" customHeight="1" spans="1:2">
      <c r="A3328" s="3" t="s">
        <v>1438</v>
      </c>
      <c r="B3328" s="4">
        <v>310675583</v>
      </c>
    </row>
    <row r="3329" customHeight="1" spans="1:2">
      <c r="A3329" s="3" t="s">
        <v>1435</v>
      </c>
      <c r="B3329" s="4">
        <v>380262555</v>
      </c>
    </row>
    <row r="3330" customHeight="1" spans="1:2">
      <c r="A3330" s="3" t="s">
        <v>14485</v>
      </c>
      <c r="B3330" s="4">
        <v>460935665</v>
      </c>
    </row>
    <row r="3331" customHeight="1" spans="1:2">
      <c r="A3331" s="3" t="s">
        <v>10204</v>
      </c>
      <c r="B3331" s="4">
        <v>290158751</v>
      </c>
    </row>
    <row r="3332" customHeight="1" spans="1:2">
      <c r="A3332" s="3" t="s">
        <v>7873</v>
      </c>
      <c r="B3332" s="4">
        <v>309125409</v>
      </c>
    </row>
    <row r="3333" customHeight="1" spans="1:2">
      <c r="A3333" s="3" t="s">
        <v>70</v>
      </c>
      <c r="B3333" s="4"/>
    </row>
    <row r="3334" customHeight="1" spans="1:2">
      <c r="A3334" s="3" t="s">
        <v>15829</v>
      </c>
      <c r="B3334" s="4"/>
    </row>
    <row r="3335" customHeight="1" spans="1:2">
      <c r="A3335" s="3" t="s">
        <v>3428</v>
      </c>
      <c r="B3335" s="4">
        <v>38345403</v>
      </c>
    </row>
    <row r="3336" customHeight="1" spans="1:2">
      <c r="A3336" s="3" t="s">
        <v>4659</v>
      </c>
      <c r="B3336" s="4"/>
    </row>
    <row r="3337" customHeight="1" spans="1:2">
      <c r="A3337" s="3" t="s">
        <v>16775</v>
      </c>
      <c r="B3337" s="4"/>
    </row>
    <row r="3338" customHeight="1" spans="1:2">
      <c r="A3338" s="3" t="s">
        <v>1845</v>
      </c>
      <c r="B3338" s="4">
        <v>54700065</v>
      </c>
    </row>
    <row r="3339" customHeight="1" spans="1:2">
      <c r="A3339" s="3" t="s">
        <v>4105</v>
      </c>
      <c r="B3339" s="4">
        <v>88200225</v>
      </c>
    </row>
    <row r="3340" customHeight="1" spans="1:2">
      <c r="A3340" s="3" t="s">
        <v>22355</v>
      </c>
      <c r="B3340" s="4"/>
    </row>
    <row r="3341" customHeight="1" spans="1:2">
      <c r="A3341" s="3" t="s">
        <v>18252</v>
      </c>
      <c r="B3341" s="4"/>
    </row>
    <row r="3342" customHeight="1" spans="1:2">
      <c r="A3342" s="3" t="s">
        <v>4232</v>
      </c>
      <c r="B3342" s="4">
        <v>36965395</v>
      </c>
    </row>
    <row r="3343" customHeight="1" spans="1:2">
      <c r="A3343" s="3" t="s">
        <v>10985</v>
      </c>
      <c r="B3343" s="4">
        <v>23078294</v>
      </c>
    </row>
    <row r="3344" customHeight="1" spans="1:2">
      <c r="A3344" s="3" t="s">
        <v>9836</v>
      </c>
      <c r="B3344" s="4">
        <v>27947064</v>
      </c>
    </row>
    <row r="3345" customHeight="1" spans="1:2">
      <c r="A3345" s="3" t="s">
        <v>1049</v>
      </c>
      <c r="B3345" s="4">
        <v>31704416</v>
      </c>
    </row>
    <row r="3346" customHeight="1" spans="1:2">
      <c r="A3346" s="3" t="s">
        <v>11445</v>
      </c>
      <c r="B3346" s="4">
        <v>410388</v>
      </c>
    </row>
    <row r="3347" customHeight="1" spans="1:2">
      <c r="A3347" s="3" t="s">
        <v>12554</v>
      </c>
      <c r="B3347" s="4">
        <v>1686429</v>
      </c>
    </row>
    <row r="3348" customHeight="1" spans="1:2">
      <c r="A3348" s="3" t="s">
        <v>3675</v>
      </c>
      <c r="B3348" s="4">
        <v>100468793</v>
      </c>
    </row>
    <row r="3349" customHeight="1" spans="1:2">
      <c r="A3349" s="3" t="s">
        <v>12103</v>
      </c>
      <c r="B3349" s="4">
        <v>58006147</v>
      </c>
    </row>
    <row r="3350" customHeight="1" spans="1:2">
      <c r="A3350" s="3" t="s">
        <v>8362</v>
      </c>
      <c r="B3350" s="4">
        <v>42385520</v>
      </c>
    </row>
    <row r="3351" customHeight="1" spans="1:2">
      <c r="A3351" s="3" t="s">
        <v>7840</v>
      </c>
      <c r="B3351" s="4">
        <v>35057332</v>
      </c>
    </row>
    <row r="3352" customHeight="1" spans="1:2">
      <c r="A3352" s="3" t="s">
        <v>14059</v>
      </c>
      <c r="B3352" s="4">
        <v>65269010</v>
      </c>
    </row>
    <row r="3353" customHeight="1" spans="1:2">
      <c r="A3353" s="3" t="s">
        <v>5066</v>
      </c>
      <c r="B3353" s="4">
        <v>91030827</v>
      </c>
    </row>
    <row r="3354" customHeight="1" spans="1:2">
      <c r="A3354" s="3" t="s">
        <v>21961</v>
      </c>
      <c r="B3354" s="4"/>
    </row>
    <row r="3355" customHeight="1" spans="1:2">
      <c r="A3355" s="3" t="s">
        <v>11901</v>
      </c>
      <c r="B3355" s="4">
        <v>17750583</v>
      </c>
    </row>
    <row r="3356" customHeight="1" spans="1:2">
      <c r="A3356" s="3" t="s">
        <v>11003</v>
      </c>
      <c r="B3356" s="4">
        <v>26870825</v>
      </c>
    </row>
    <row r="3357" customHeight="1" spans="1:2">
      <c r="A3357" s="3" t="s">
        <v>17340</v>
      </c>
      <c r="B3357" s="4">
        <v>69582</v>
      </c>
    </row>
    <row r="3358" customHeight="1" spans="1:2">
      <c r="A3358" s="3" t="s">
        <v>7921</v>
      </c>
      <c r="B3358" s="4">
        <v>50041732</v>
      </c>
    </row>
    <row r="3359" customHeight="1" spans="1:2">
      <c r="A3359" s="3" t="s">
        <v>17684</v>
      </c>
      <c r="B3359" s="4">
        <v>18656400</v>
      </c>
    </row>
    <row r="3360" customHeight="1" spans="1:2">
      <c r="A3360" s="3" t="s">
        <v>14159</v>
      </c>
      <c r="B3360" s="4">
        <v>21133087</v>
      </c>
    </row>
    <row r="3361" customHeight="1" spans="1:2">
      <c r="A3361" s="3" t="s">
        <v>20489</v>
      </c>
      <c r="B3361" s="4"/>
    </row>
    <row r="3362" customHeight="1" spans="1:2">
      <c r="A3362" s="3" t="s">
        <v>14344</v>
      </c>
      <c r="B3362" s="4">
        <v>1702277</v>
      </c>
    </row>
    <row r="3363" customHeight="1" spans="1:2">
      <c r="A3363" s="3" t="s">
        <v>21002</v>
      </c>
      <c r="B3363" s="4">
        <v>119841</v>
      </c>
    </row>
    <row r="3364" customHeight="1" spans="1:2">
      <c r="A3364" s="3" t="s">
        <v>7776</v>
      </c>
      <c r="B3364" s="4">
        <v>183125</v>
      </c>
    </row>
    <row r="3365" customHeight="1" spans="1:2">
      <c r="A3365" s="3" t="s">
        <v>13391</v>
      </c>
      <c r="B3365" s="4">
        <v>61356221</v>
      </c>
    </row>
    <row r="3366" customHeight="1" spans="1:2">
      <c r="A3366" s="3" t="s">
        <v>9945</v>
      </c>
      <c r="B3366" s="4">
        <v>9286314</v>
      </c>
    </row>
    <row r="3367" customHeight="1" spans="1:2">
      <c r="A3367" s="3" t="s">
        <v>10518</v>
      </c>
      <c r="B3367" s="4">
        <v>1796024</v>
      </c>
    </row>
    <row r="3368" customHeight="1" spans="1:2">
      <c r="A3368" s="3" t="s">
        <v>20401</v>
      </c>
      <c r="B3368" s="4">
        <v>186354</v>
      </c>
    </row>
    <row r="3369" customHeight="1" spans="1:2">
      <c r="A3369" s="3" t="s">
        <v>9908</v>
      </c>
      <c r="B3369" s="4">
        <v>10911750</v>
      </c>
    </row>
    <row r="3370" customHeight="1" spans="1:2">
      <c r="A3370" s="3" t="s">
        <v>24041</v>
      </c>
      <c r="B3370" s="4"/>
    </row>
    <row r="3371" customHeight="1" spans="1:2">
      <c r="A3371" s="3" t="s">
        <v>20564</v>
      </c>
      <c r="B3371" s="4"/>
    </row>
    <row r="3372" customHeight="1" spans="1:2">
      <c r="A3372" s="3" t="s">
        <v>22767</v>
      </c>
      <c r="B3372" s="4">
        <v>2712293</v>
      </c>
    </row>
    <row r="3373" customHeight="1" spans="1:2">
      <c r="A3373" s="3" t="s">
        <v>8834</v>
      </c>
      <c r="B3373" s="4">
        <v>161029270</v>
      </c>
    </row>
    <row r="3374" customHeight="1" spans="1:2">
      <c r="A3374" s="3" t="s">
        <v>11325</v>
      </c>
      <c r="B3374" s="4">
        <v>6563357</v>
      </c>
    </row>
    <row r="3375" customHeight="1" spans="1:2">
      <c r="A3375" s="3" t="s">
        <v>8371</v>
      </c>
      <c r="B3375" s="4">
        <v>40137776</v>
      </c>
    </row>
    <row r="3376" customHeight="1" spans="1:2">
      <c r="A3376" s="3" t="s">
        <v>15405</v>
      </c>
      <c r="B3376" s="4"/>
    </row>
    <row r="3377" customHeight="1" spans="1:2">
      <c r="A3377" s="3" t="s">
        <v>20286</v>
      </c>
      <c r="B3377" s="4"/>
    </row>
    <row r="3378" customHeight="1" spans="1:2">
      <c r="A3378" s="3" t="s">
        <v>9934</v>
      </c>
      <c r="B3378" s="4">
        <v>10324441</v>
      </c>
    </row>
    <row r="3379" customHeight="1" spans="1:2">
      <c r="A3379" s="3" t="s">
        <v>7454</v>
      </c>
      <c r="B3379" s="4">
        <v>33423521</v>
      </c>
    </row>
    <row r="3380" customHeight="1" spans="1:2">
      <c r="A3380" s="3" t="s">
        <v>5493</v>
      </c>
      <c r="B3380" s="4">
        <v>8742261</v>
      </c>
    </row>
    <row r="3381" customHeight="1" spans="1:2">
      <c r="A3381" s="3" t="s">
        <v>10952</v>
      </c>
      <c r="B3381" s="4">
        <v>26415649</v>
      </c>
    </row>
    <row r="3382" customHeight="1" spans="1:2">
      <c r="A3382" s="3" t="s">
        <v>14793</v>
      </c>
      <c r="B3382" s="4">
        <v>85300000</v>
      </c>
    </row>
    <row r="3383" customHeight="1" spans="1:2">
      <c r="A3383" s="3" t="s">
        <v>5318</v>
      </c>
      <c r="B3383" s="4">
        <v>32800000</v>
      </c>
    </row>
    <row r="3384" customHeight="1" spans="1:2">
      <c r="A3384" s="3" t="s">
        <v>1387</v>
      </c>
      <c r="B3384" s="4">
        <v>64736114</v>
      </c>
    </row>
    <row r="3385" customHeight="1" spans="1:2">
      <c r="A3385" s="3" t="s">
        <v>1656</v>
      </c>
      <c r="B3385" s="4">
        <v>140015224</v>
      </c>
    </row>
    <row r="3386" customHeight="1" spans="1:2">
      <c r="A3386" s="3" t="s">
        <v>4746</v>
      </c>
      <c r="B3386" s="4">
        <v>33828318</v>
      </c>
    </row>
    <row r="3387" customHeight="1" spans="1:2">
      <c r="A3387" s="3" t="s">
        <v>19943</v>
      </c>
      <c r="B3387" s="4"/>
    </row>
    <row r="3388" customHeight="1" spans="1:2">
      <c r="A3388" s="3" t="s">
        <v>22710</v>
      </c>
      <c r="B3388" s="4"/>
    </row>
    <row r="3389" customHeight="1" spans="1:2">
      <c r="A3389" s="3" t="s">
        <v>20730</v>
      </c>
      <c r="B3389" s="4"/>
    </row>
    <row r="3390" customHeight="1" spans="1:2">
      <c r="A3390" s="3" t="s">
        <v>20618</v>
      </c>
      <c r="B3390" s="4">
        <v>466702</v>
      </c>
    </row>
    <row r="3391" customHeight="1" spans="1:2">
      <c r="A3391" s="3" t="s">
        <v>20358</v>
      </c>
      <c r="B3391" s="4"/>
    </row>
    <row r="3392" customHeight="1" spans="1:2">
      <c r="A3392" s="3" t="s">
        <v>3194</v>
      </c>
      <c r="B3392" s="4">
        <v>36381716</v>
      </c>
    </row>
    <row r="3393" customHeight="1" spans="1:2">
      <c r="A3393" s="3" t="s">
        <v>14962</v>
      </c>
      <c r="B3393" s="4">
        <v>18272447</v>
      </c>
    </row>
    <row r="3394" customHeight="1" spans="1:2">
      <c r="A3394" s="3" t="s">
        <v>23219</v>
      </c>
      <c r="B3394" s="4">
        <v>177840</v>
      </c>
    </row>
    <row r="3395" customHeight="1" spans="1:2">
      <c r="A3395" s="3" t="s">
        <v>512</v>
      </c>
      <c r="B3395" s="4">
        <v>161087183</v>
      </c>
    </row>
    <row r="3396" customHeight="1" spans="1:2">
      <c r="A3396" s="3" t="s">
        <v>12231</v>
      </c>
      <c r="B3396" s="4">
        <v>19693891</v>
      </c>
    </row>
    <row r="3397" customHeight="1" spans="1:2">
      <c r="A3397" s="3" t="s">
        <v>10429</v>
      </c>
      <c r="B3397" s="4">
        <v>19283782</v>
      </c>
    </row>
    <row r="3398" customHeight="1" spans="1:2">
      <c r="A3398" s="3" t="s">
        <v>19504</v>
      </c>
      <c r="B3398" s="4">
        <v>95016</v>
      </c>
    </row>
    <row r="3399" customHeight="1" spans="1:2">
      <c r="A3399" s="3" t="s">
        <v>23264</v>
      </c>
      <c r="B3399" s="4"/>
    </row>
    <row r="3400" customHeight="1" spans="1:2">
      <c r="A3400" s="3" t="s">
        <v>17762</v>
      </c>
      <c r="B3400" s="4">
        <v>12055108</v>
      </c>
    </row>
    <row r="3401" customHeight="1" spans="1:2">
      <c r="A3401" s="3" t="s">
        <v>17354</v>
      </c>
      <c r="B3401" s="4">
        <v>3064356</v>
      </c>
    </row>
    <row r="3402" customHeight="1" spans="1:2">
      <c r="A3402" s="3" t="s">
        <v>6836</v>
      </c>
      <c r="B3402" s="4">
        <v>3675072</v>
      </c>
    </row>
    <row r="3403" customHeight="1" spans="1:2">
      <c r="A3403" s="3" t="s">
        <v>5036</v>
      </c>
      <c r="B3403" s="4">
        <v>126975169</v>
      </c>
    </row>
    <row r="3404" customHeight="1" spans="1:2">
      <c r="A3404" s="3" t="s">
        <v>23449</v>
      </c>
      <c r="B3404" s="4"/>
    </row>
    <row r="3405" customHeight="1" spans="1:2">
      <c r="A3405" s="3" t="s">
        <v>6159</v>
      </c>
      <c r="B3405" s="4">
        <v>20915465</v>
      </c>
    </row>
    <row r="3406" customHeight="1" spans="1:2">
      <c r="A3406" s="3" t="s">
        <v>23807</v>
      </c>
      <c r="B3406" s="4">
        <v>11529368</v>
      </c>
    </row>
    <row r="3407" customHeight="1" spans="1:2">
      <c r="A3407" s="3" t="s">
        <v>21284</v>
      </c>
      <c r="B3407" s="4">
        <v>18488314</v>
      </c>
    </row>
    <row r="3408" customHeight="1" spans="1:2">
      <c r="A3408" s="3" t="s">
        <v>19934</v>
      </c>
      <c r="B3408" s="4">
        <v>322157</v>
      </c>
    </row>
    <row r="3409" customHeight="1" spans="1:2">
      <c r="A3409" s="3" t="s">
        <v>11268</v>
      </c>
      <c r="B3409" s="4">
        <v>9109322</v>
      </c>
    </row>
    <row r="3410" customHeight="1" spans="1:2">
      <c r="A3410" s="3" t="s">
        <v>12090</v>
      </c>
      <c r="B3410" s="4">
        <v>121463226</v>
      </c>
    </row>
    <row r="3411" customHeight="1" spans="1:2">
      <c r="A3411" s="3" t="s">
        <v>20511</v>
      </c>
      <c r="B3411" s="4">
        <v>13220</v>
      </c>
    </row>
    <row r="3412" customHeight="1" spans="1:2">
      <c r="A3412" s="3" t="s">
        <v>8683</v>
      </c>
      <c r="B3412" s="4">
        <v>3101301</v>
      </c>
    </row>
    <row r="3413" customHeight="1" spans="1:2">
      <c r="A3413" s="3" t="s">
        <v>7570</v>
      </c>
      <c r="B3413" s="4">
        <v>25871834</v>
      </c>
    </row>
    <row r="3414" customHeight="1" spans="1:2">
      <c r="A3414" s="3" t="s">
        <v>4866</v>
      </c>
      <c r="B3414" s="4">
        <v>108200000</v>
      </c>
    </row>
    <row r="3415" customHeight="1" spans="1:2">
      <c r="A3415" s="3" t="s">
        <v>6945</v>
      </c>
      <c r="B3415" s="4">
        <v>60000000</v>
      </c>
    </row>
    <row r="3416" customHeight="1" spans="1:2">
      <c r="A3416" s="3" t="s">
        <v>12278</v>
      </c>
      <c r="B3416" s="4">
        <v>15681020</v>
      </c>
    </row>
    <row r="3417" customHeight="1" spans="1:2">
      <c r="A3417" s="3" t="s">
        <v>123</v>
      </c>
      <c r="B3417" s="4">
        <v>200069408</v>
      </c>
    </row>
    <row r="3418" customHeight="1" spans="1:2">
      <c r="A3418" s="3" t="s">
        <v>4583</v>
      </c>
      <c r="B3418" s="4">
        <v>134218018</v>
      </c>
    </row>
    <row r="3419" customHeight="1" spans="1:2">
      <c r="A3419" s="3" t="s">
        <v>4361</v>
      </c>
      <c r="B3419" s="4">
        <v>14218868</v>
      </c>
    </row>
    <row r="3420" customHeight="1" spans="1:2">
      <c r="A3420" s="3" t="s">
        <v>13417</v>
      </c>
      <c r="B3420" s="4">
        <v>30628981</v>
      </c>
    </row>
    <row r="3421" customHeight="1" spans="1:2">
      <c r="A3421" s="3" t="s">
        <v>23834</v>
      </c>
      <c r="B3421" s="4"/>
    </row>
    <row r="3422" customHeight="1" spans="1:2">
      <c r="A3422" s="3" t="s">
        <v>19851</v>
      </c>
      <c r="B3422" s="4"/>
    </row>
    <row r="3423" customHeight="1" spans="1:2">
      <c r="A3423" s="3" t="s">
        <v>17256</v>
      </c>
      <c r="B3423" s="4">
        <v>36497</v>
      </c>
    </row>
    <row r="3424" customHeight="1" spans="1:2">
      <c r="A3424" s="3" t="s">
        <v>1952</v>
      </c>
      <c r="B3424" s="4">
        <v>58867694</v>
      </c>
    </row>
    <row r="3425" customHeight="1" spans="1:2">
      <c r="A3425" s="3" t="s">
        <v>2816</v>
      </c>
      <c r="B3425" s="4">
        <v>38542418</v>
      </c>
    </row>
    <row r="3426" customHeight="1" spans="1:2">
      <c r="A3426" s="3" t="s">
        <v>18426</v>
      </c>
      <c r="B3426" s="4">
        <v>101055</v>
      </c>
    </row>
    <row r="3427" customHeight="1" spans="1:2">
      <c r="A3427" s="3" t="s">
        <v>11538</v>
      </c>
      <c r="B3427" s="4"/>
    </row>
    <row r="3428" customHeight="1" spans="1:2">
      <c r="A3428" s="3" t="s">
        <v>9175</v>
      </c>
      <c r="B3428" s="4">
        <v>8712564</v>
      </c>
    </row>
    <row r="3429" customHeight="1" spans="1:2">
      <c r="A3429" s="3" t="s">
        <v>11286</v>
      </c>
      <c r="B3429" s="4"/>
    </row>
    <row r="3430" customHeight="1" spans="1:2">
      <c r="A3430" s="3" t="s">
        <v>6957</v>
      </c>
      <c r="B3430" s="4">
        <v>127214072</v>
      </c>
    </row>
    <row r="3431" customHeight="1" spans="1:2">
      <c r="A3431" s="3" t="s">
        <v>6673</v>
      </c>
      <c r="B3431" s="4">
        <v>25178165</v>
      </c>
    </row>
    <row r="3432" customHeight="1" spans="1:2">
      <c r="A3432" s="3" t="s">
        <v>23556</v>
      </c>
      <c r="B3432" s="4">
        <v>15180000</v>
      </c>
    </row>
    <row r="3433" customHeight="1" spans="1:2">
      <c r="A3433" s="3" t="s">
        <v>16273</v>
      </c>
      <c r="B3433" s="4"/>
    </row>
    <row r="3434" customHeight="1" spans="1:2">
      <c r="A3434" s="3" t="s">
        <v>15295</v>
      </c>
      <c r="B3434" s="4">
        <v>598645</v>
      </c>
    </row>
    <row r="3435" customHeight="1" spans="1:2">
      <c r="A3435" s="3" t="s">
        <v>14919</v>
      </c>
      <c r="B3435" s="4">
        <v>28563926</v>
      </c>
    </row>
    <row r="3436" customHeight="1" spans="1:2">
      <c r="A3436" s="3" t="s">
        <v>16292</v>
      </c>
      <c r="B3436" s="4">
        <v>10105505</v>
      </c>
    </row>
    <row r="3437" customHeight="1" spans="1:2">
      <c r="A3437" s="3" t="s">
        <v>10609</v>
      </c>
      <c r="B3437" s="4">
        <v>16284360</v>
      </c>
    </row>
    <row r="3438" customHeight="1" spans="1:2">
      <c r="A3438" s="3" t="s">
        <v>23384</v>
      </c>
      <c r="B3438" s="4">
        <v>4505922</v>
      </c>
    </row>
    <row r="3439" customHeight="1" spans="1:2">
      <c r="A3439" s="3" t="s">
        <v>7062</v>
      </c>
      <c r="B3439" s="4">
        <v>6482195</v>
      </c>
    </row>
    <row r="3440" customHeight="1" spans="1:2">
      <c r="A3440" s="3" t="s">
        <v>2770</v>
      </c>
      <c r="B3440" s="4">
        <v>69772969</v>
      </c>
    </row>
    <row r="3441" customHeight="1" spans="1:2">
      <c r="A3441" s="3" t="s">
        <v>12369</v>
      </c>
      <c r="B3441" s="4">
        <v>11702090</v>
      </c>
    </row>
    <row r="3442" customHeight="1" spans="1:2">
      <c r="A3442" s="3" t="s">
        <v>11391</v>
      </c>
      <c r="B3442" s="4">
        <v>3081925</v>
      </c>
    </row>
    <row r="3443" customHeight="1" spans="1:2">
      <c r="A3443" s="3" t="s">
        <v>5192</v>
      </c>
      <c r="B3443" s="4">
        <v>101630576</v>
      </c>
    </row>
    <row r="3444" customHeight="1" spans="1:2">
      <c r="A3444" s="3" t="s">
        <v>16407</v>
      </c>
      <c r="B3444" s="4">
        <v>872643</v>
      </c>
    </row>
    <row r="3445" customHeight="1" spans="1:2">
      <c r="A3445" s="3" t="s">
        <v>23566</v>
      </c>
      <c r="B3445" s="4">
        <v>2882062</v>
      </c>
    </row>
    <row r="3446" customHeight="1" spans="1:2">
      <c r="A3446" s="3" t="s">
        <v>14000</v>
      </c>
      <c r="B3446" s="4">
        <v>1110186</v>
      </c>
    </row>
    <row r="3447" customHeight="1" spans="1:2">
      <c r="A3447" s="3" t="s">
        <v>11666</v>
      </c>
      <c r="B3447" s="4">
        <v>6923891</v>
      </c>
    </row>
    <row r="3448" customHeight="1" spans="1:2">
      <c r="A3448" s="3" t="s">
        <v>18133</v>
      </c>
      <c r="B3448" s="4">
        <v>1729969</v>
      </c>
    </row>
    <row r="3449" customHeight="1" spans="1:2">
      <c r="A3449" s="3" t="s">
        <v>8425</v>
      </c>
      <c r="B3449" s="4">
        <v>34703228</v>
      </c>
    </row>
    <row r="3450" customHeight="1" spans="1:2">
      <c r="A3450" s="3" t="s">
        <v>5700</v>
      </c>
      <c r="B3450" s="4">
        <v>139852971</v>
      </c>
    </row>
    <row r="3451" customHeight="1" spans="1:2">
      <c r="A3451" s="3" t="s">
        <v>5592</v>
      </c>
      <c r="B3451" s="4">
        <v>89253340</v>
      </c>
    </row>
    <row r="3452" customHeight="1" spans="1:2">
      <c r="A3452" s="3" t="s">
        <v>9390</v>
      </c>
      <c r="B3452" s="4">
        <v>145000989</v>
      </c>
    </row>
    <row r="3453" customHeight="1" spans="1:2">
      <c r="A3453" s="3" t="s">
        <v>7928</v>
      </c>
      <c r="B3453" s="4">
        <v>57744720</v>
      </c>
    </row>
    <row r="3454" customHeight="1" spans="1:2">
      <c r="A3454" s="3" t="s">
        <v>8870</v>
      </c>
      <c r="B3454" s="4">
        <v>7443007</v>
      </c>
    </row>
    <row r="3455" customHeight="1" spans="1:2">
      <c r="A3455" s="3" t="s">
        <v>14198</v>
      </c>
      <c r="B3455" s="4">
        <v>21088568</v>
      </c>
    </row>
    <row r="3456" customHeight="1" spans="1:2">
      <c r="A3456" s="3" t="s">
        <v>17082</v>
      </c>
      <c r="B3456" s="4">
        <v>11797927</v>
      </c>
    </row>
    <row r="3457" customHeight="1" spans="1:2">
      <c r="A3457" s="3" t="s">
        <v>18577</v>
      </c>
      <c r="B3457" s="4">
        <v>3468572</v>
      </c>
    </row>
    <row r="3458" customHeight="1" spans="1:2">
      <c r="A3458" s="3" t="s">
        <v>3231</v>
      </c>
      <c r="B3458" s="4">
        <v>148213377</v>
      </c>
    </row>
    <row r="3459" customHeight="1" spans="1:2">
      <c r="A3459" s="3" t="s">
        <v>10693</v>
      </c>
      <c r="B3459" s="4">
        <v>84518155</v>
      </c>
    </row>
    <row r="3460" customHeight="1" spans="1:2">
      <c r="A3460" s="3" t="s">
        <v>93</v>
      </c>
      <c r="B3460" s="4">
        <v>200807262</v>
      </c>
    </row>
    <row r="3461" customHeight="1" spans="1:2">
      <c r="A3461" s="3" t="s">
        <v>4668</v>
      </c>
      <c r="B3461" s="4">
        <v>63408614</v>
      </c>
    </row>
    <row r="3462" customHeight="1" spans="1:2">
      <c r="A3462" s="3" t="s">
        <v>18260</v>
      </c>
      <c r="B3462" s="4">
        <v>1687311</v>
      </c>
    </row>
    <row r="3463" customHeight="1" spans="1:2">
      <c r="A3463" s="3" t="s">
        <v>9972</v>
      </c>
      <c r="B3463" s="4">
        <v>4064333</v>
      </c>
    </row>
    <row r="3464" customHeight="1" spans="1:2">
      <c r="A3464" s="3" t="s">
        <v>19546</v>
      </c>
      <c r="B3464" s="4">
        <v>5005</v>
      </c>
    </row>
    <row r="3465" customHeight="1" spans="1:2">
      <c r="A3465" s="3" t="s">
        <v>22872</v>
      </c>
      <c r="B3465" s="4">
        <v>592014</v>
      </c>
    </row>
    <row r="3466" customHeight="1" spans="1:2">
      <c r="A3466" s="3" t="s">
        <v>21526</v>
      </c>
      <c r="B3466" s="4"/>
    </row>
    <row r="3467" customHeight="1" spans="1:2">
      <c r="A3467" s="3" t="s">
        <v>21763</v>
      </c>
      <c r="B3467" s="4">
        <v>274661</v>
      </c>
    </row>
    <row r="3468" customHeight="1" spans="1:2">
      <c r="A3468" s="3" t="s">
        <v>19004</v>
      </c>
      <c r="B3468" s="4"/>
    </row>
    <row r="3469" customHeight="1" spans="1:2">
      <c r="A3469" s="3" t="s">
        <v>13466</v>
      </c>
      <c r="B3469" s="4">
        <v>14348123</v>
      </c>
    </row>
    <row r="3470" customHeight="1" spans="1:2">
      <c r="A3470" s="3" t="s">
        <v>15125</v>
      </c>
      <c r="B3470" s="4">
        <v>6491350</v>
      </c>
    </row>
    <row r="3471" customHeight="1" spans="1:2">
      <c r="A3471" s="3" t="s">
        <v>10871</v>
      </c>
      <c r="B3471" s="4">
        <v>32774834</v>
      </c>
    </row>
    <row r="3472" customHeight="1" spans="1:2">
      <c r="A3472" s="3" t="s">
        <v>3100</v>
      </c>
      <c r="B3472" s="4">
        <v>43426961</v>
      </c>
    </row>
    <row r="3473" customHeight="1" spans="1:2">
      <c r="A3473" s="3" t="s">
        <v>3561</v>
      </c>
      <c r="B3473" s="4">
        <v>81257500</v>
      </c>
    </row>
    <row r="3474" customHeight="1" spans="1:2">
      <c r="A3474" s="3" t="s">
        <v>5015</v>
      </c>
      <c r="B3474" s="4">
        <v>218628680</v>
      </c>
    </row>
    <row r="3475" customHeight="1" spans="1:2">
      <c r="A3475" s="3" t="s">
        <v>19332</v>
      </c>
      <c r="B3475" s="4">
        <v>7888703</v>
      </c>
    </row>
    <row r="3476" customHeight="1" spans="1:2">
      <c r="A3476" s="3" t="s">
        <v>9448</v>
      </c>
      <c r="B3476" s="4">
        <v>78656813</v>
      </c>
    </row>
    <row r="3477" customHeight="1" spans="1:2">
      <c r="A3477" s="3" t="s">
        <v>10569</v>
      </c>
      <c r="B3477" s="4">
        <v>42660000</v>
      </c>
    </row>
    <row r="3478" customHeight="1" spans="1:2">
      <c r="A3478" s="3" t="s">
        <v>1480</v>
      </c>
      <c r="B3478" s="4">
        <v>381742480</v>
      </c>
    </row>
    <row r="3479" customHeight="1" spans="1:2">
      <c r="A3479" s="3" t="s">
        <v>1498</v>
      </c>
      <c r="B3479" s="4">
        <v>81638674</v>
      </c>
    </row>
    <row r="3480" customHeight="1" spans="1:2">
      <c r="A3480" s="3" t="s">
        <v>23216</v>
      </c>
      <c r="B3480" s="4"/>
    </row>
    <row r="3481" customHeight="1" spans="1:2">
      <c r="A3481" s="3" t="s">
        <v>20369</v>
      </c>
      <c r="B3481" s="4">
        <v>347578</v>
      </c>
    </row>
    <row r="3482" customHeight="1" spans="1:2">
      <c r="A3482" s="3" t="s">
        <v>1719</v>
      </c>
      <c r="B3482" s="4">
        <v>204843350</v>
      </c>
    </row>
    <row r="3483" customHeight="1" spans="1:2">
      <c r="A3483" s="3" t="s">
        <v>651</v>
      </c>
      <c r="B3483" s="4">
        <v>150350192</v>
      </c>
    </row>
    <row r="3484" customHeight="1" spans="1:2">
      <c r="A3484" s="3" t="s">
        <v>739</v>
      </c>
      <c r="B3484" s="4">
        <v>89732035</v>
      </c>
    </row>
    <row r="3485" customHeight="1" spans="1:2">
      <c r="A3485" s="3" t="s">
        <v>330</v>
      </c>
      <c r="B3485" s="4">
        <v>125320003</v>
      </c>
    </row>
    <row r="3486" customHeight="1" spans="1:2">
      <c r="A3486" s="3" t="s">
        <v>10877</v>
      </c>
      <c r="B3486" s="4">
        <v>34334256</v>
      </c>
    </row>
    <row r="3487" customHeight="1" spans="1:2">
      <c r="A3487" s="3" t="s">
        <v>7069</v>
      </c>
      <c r="B3487" s="4">
        <v>623374</v>
      </c>
    </row>
    <row r="3488" customHeight="1" spans="1:2">
      <c r="A3488" s="3" t="s">
        <v>16336</v>
      </c>
      <c r="B3488" s="4">
        <v>24792061</v>
      </c>
    </row>
    <row r="3489" customHeight="1" spans="1:2">
      <c r="A3489" s="3" t="s">
        <v>16030</v>
      </c>
      <c r="B3489" s="4">
        <v>26049082</v>
      </c>
    </row>
    <row r="3490" customHeight="1" spans="1:2">
      <c r="A3490" s="3" t="s">
        <v>19808</v>
      </c>
      <c r="B3490" s="4">
        <v>25809813</v>
      </c>
    </row>
    <row r="3491" customHeight="1" spans="1:2">
      <c r="A3491" s="3" t="s">
        <v>4519</v>
      </c>
      <c r="B3491" s="4">
        <v>36931089</v>
      </c>
    </row>
    <row r="3492" customHeight="1" spans="1:2">
      <c r="A3492" s="3" t="s">
        <v>1316</v>
      </c>
      <c r="B3492" s="4">
        <v>32694788</v>
      </c>
    </row>
    <row r="3493" customHeight="1" spans="1:2">
      <c r="A3493" s="3" t="s">
        <v>9881</v>
      </c>
      <c r="B3493" s="4">
        <v>12188642</v>
      </c>
    </row>
    <row r="3494" customHeight="1" spans="1:2">
      <c r="A3494" s="3" t="s">
        <v>9224</v>
      </c>
      <c r="B3494" s="4">
        <v>109243478</v>
      </c>
    </row>
    <row r="3495" customHeight="1" spans="1:2">
      <c r="A3495" s="3" t="s">
        <v>21217</v>
      </c>
      <c r="B3495" s="4"/>
    </row>
    <row r="3496" customHeight="1" spans="1:2">
      <c r="A3496" s="3" t="s">
        <v>17226</v>
      </c>
      <c r="B3496" s="4">
        <v>399611</v>
      </c>
    </row>
    <row r="3497" customHeight="1" spans="1:2">
      <c r="A3497" s="3" t="s">
        <v>7098</v>
      </c>
      <c r="B3497" s="4">
        <v>34912982</v>
      </c>
    </row>
    <row r="3498" customHeight="1" spans="1:2">
      <c r="A3498" s="3" t="s">
        <v>2525</v>
      </c>
      <c r="B3498" s="4">
        <v>34543701</v>
      </c>
    </row>
    <row r="3499" customHeight="1" spans="1:2">
      <c r="A3499" s="3" t="s">
        <v>3407</v>
      </c>
      <c r="B3499" s="4">
        <v>54222000</v>
      </c>
    </row>
    <row r="3500" customHeight="1" spans="1:2">
      <c r="A3500" s="3" t="s">
        <v>21758</v>
      </c>
      <c r="B3500" s="4">
        <v>484221</v>
      </c>
    </row>
    <row r="3501" customHeight="1" spans="1:2">
      <c r="A3501" s="3" t="s">
        <v>8126</v>
      </c>
      <c r="B3501" s="4">
        <v>113502246</v>
      </c>
    </row>
    <row r="3502" customHeight="1" spans="1:2">
      <c r="A3502" s="3" t="s">
        <v>5005</v>
      </c>
      <c r="B3502" s="4">
        <v>62453315</v>
      </c>
    </row>
    <row r="3503" customHeight="1" spans="1:2">
      <c r="A3503" s="3" t="s">
        <v>10244</v>
      </c>
      <c r="B3503" s="4">
        <v>4756</v>
      </c>
    </row>
    <row r="3504" customHeight="1" spans="1:2">
      <c r="A3504" s="3" t="s">
        <v>12250</v>
      </c>
      <c r="B3504" s="4">
        <v>11634458</v>
      </c>
    </row>
    <row r="3505" customHeight="1" spans="1:2">
      <c r="A3505" s="3" t="s">
        <v>5507</v>
      </c>
      <c r="B3505" s="4">
        <v>21413502</v>
      </c>
    </row>
    <row r="3506" customHeight="1" spans="1:2">
      <c r="A3506" s="3" t="s">
        <v>16878</v>
      </c>
      <c r="B3506" s="4">
        <v>24103594</v>
      </c>
    </row>
    <row r="3507" customHeight="1" spans="1:2">
      <c r="A3507" s="3" t="s">
        <v>9793</v>
      </c>
      <c r="B3507" s="4">
        <v>15091542</v>
      </c>
    </row>
    <row r="3508" customHeight="1" spans="1:2">
      <c r="A3508" s="3" t="s">
        <v>1907</v>
      </c>
      <c r="B3508" s="4">
        <v>4411102</v>
      </c>
    </row>
    <row r="3509" customHeight="1" spans="1:2">
      <c r="A3509" s="3" t="s">
        <v>2962</v>
      </c>
      <c r="B3509" s="4">
        <v>26000610</v>
      </c>
    </row>
    <row r="3510" customHeight="1" spans="1:2">
      <c r="A3510" s="3" t="s">
        <v>5287</v>
      </c>
      <c r="B3510" s="4">
        <v>39177541</v>
      </c>
    </row>
    <row r="3511" customHeight="1" spans="1:2">
      <c r="A3511" s="3" t="s">
        <v>1215</v>
      </c>
      <c r="B3511" s="4">
        <v>77564037</v>
      </c>
    </row>
    <row r="3512" customHeight="1" spans="1:2">
      <c r="A3512" s="3" t="s">
        <v>8353</v>
      </c>
      <c r="B3512" s="4">
        <v>42478175</v>
      </c>
    </row>
    <row r="3513" customHeight="1" spans="1:2">
      <c r="A3513" s="3" t="s">
        <v>7761</v>
      </c>
      <c r="B3513" s="4">
        <v>32000000</v>
      </c>
    </row>
    <row r="3514" customHeight="1" spans="1:2">
      <c r="A3514" s="3" t="s">
        <v>2057</v>
      </c>
      <c r="B3514" s="4">
        <v>44812724</v>
      </c>
    </row>
    <row r="3515" customHeight="1" spans="1:2">
      <c r="A3515" s="3" t="s">
        <v>21290</v>
      </c>
      <c r="B3515" s="4"/>
    </row>
    <row r="3516" customHeight="1" spans="1:2">
      <c r="A3516" s="3" t="s">
        <v>21297</v>
      </c>
      <c r="B3516" s="4">
        <v>11278</v>
      </c>
    </row>
    <row r="3517" customHeight="1" spans="1:2">
      <c r="A3517" s="3" t="s">
        <v>297</v>
      </c>
      <c r="B3517" s="4">
        <v>202853933</v>
      </c>
    </row>
    <row r="3518" customHeight="1" spans="1:2">
      <c r="A3518" s="3" t="s">
        <v>185</v>
      </c>
      <c r="B3518" s="4">
        <v>262030663</v>
      </c>
    </row>
    <row r="3519" customHeight="1" spans="1:2">
      <c r="A3519" s="3" t="s">
        <v>3894</v>
      </c>
      <c r="B3519" s="4">
        <v>65000000</v>
      </c>
    </row>
    <row r="3520" customHeight="1" spans="1:2">
      <c r="A3520" s="3" t="s">
        <v>10846</v>
      </c>
      <c r="B3520" s="4">
        <v>35596227</v>
      </c>
    </row>
    <row r="3521" customHeight="1" spans="1:2">
      <c r="A3521" s="3" t="s">
        <v>11693</v>
      </c>
      <c r="B3521" s="4">
        <v>64255243</v>
      </c>
    </row>
    <row r="3522" customHeight="1" spans="1:2">
      <c r="A3522" s="3" t="s">
        <v>16892</v>
      </c>
      <c r="B3522" s="4"/>
    </row>
    <row r="3523" customHeight="1" spans="1:2">
      <c r="A3523" s="3" t="s">
        <v>3211</v>
      </c>
      <c r="B3523" s="4">
        <v>107225164</v>
      </c>
    </row>
    <row r="3524" customHeight="1" spans="1:2">
      <c r="A3524" s="3" t="s">
        <v>10362</v>
      </c>
      <c r="B3524" s="4">
        <v>55762229</v>
      </c>
    </row>
    <row r="3525" customHeight="1" spans="1:2">
      <c r="A3525" s="3" t="s">
        <v>5875</v>
      </c>
      <c r="B3525" s="4">
        <v>28133159</v>
      </c>
    </row>
    <row r="3526" customHeight="1" spans="1:2">
      <c r="A3526" s="3" t="s">
        <v>19261</v>
      </c>
      <c r="B3526" s="4"/>
    </row>
    <row r="3527" customHeight="1" spans="1:2">
      <c r="A3527" s="3" t="s">
        <v>17650</v>
      </c>
      <c r="B3527" s="4">
        <v>20733485</v>
      </c>
    </row>
    <row r="3528" customHeight="1" spans="1:2">
      <c r="A3528" s="3" t="s">
        <v>12342</v>
      </c>
      <c r="B3528" s="4">
        <v>4930798</v>
      </c>
    </row>
    <row r="3529" customHeight="1" spans="1:2">
      <c r="A3529" s="3" t="s">
        <v>18619</v>
      </c>
      <c r="B3529" s="4">
        <v>1429260</v>
      </c>
    </row>
    <row r="3530" customHeight="1" spans="1:2">
      <c r="A3530" s="3" t="s">
        <v>6640</v>
      </c>
      <c r="B3530" s="4">
        <v>30199105</v>
      </c>
    </row>
    <row r="3531" customHeight="1" spans="1:2">
      <c r="A3531" s="3" t="s">
        <v>12402</v>
      </c>
      <c r="B3531" s="4">
        <v>44667095</v>
      </c>
    </row>
    <row r="3532" customHeight="1" spans="1:2">
      <c r="A3532" s="3" t="s">
        <v>13226</v>
      </c>
      <c r="B3532" s="4">
        <v>613556</v>
      </c>
    </row>
    <row r="3533" customHeight="1" spans="1:2">
      <c r="A3533" s="3" t="s">
        <v>8705</v>
      </c>
      <c r="B3533" s="4">
        <v>3904982</v>
      </c>
    </row>
    <row r="3534" customHeight="1" spans="1:2">
      <c r="A3534" s="3" t="s">
        <v>13779</v>
      </c>
      <c r="B3534" s="4">
        <v>10996440</v>
      </c>
    </row>
    <row r="3535" customHeight="1" spans="1:2">
      <c r="A3535" s="3" t="s">
        <v>7794</v>
      </c>
      <c r="B3535" s="4">
        <v>21309162</v>
      </c>
    </row>
    <row r="3536" customHeight="1" spans="1:2">
      <c r="A3536" s="3" t="s">
        <v>1566</v>
      </c>
      <c r="B3536" s="4"/>
    </row>
    <row r="3537" customHeight="1" spans="1:2">
      <c r="A3537" s="3" t="s">
        <v>155</v>
      </c>
      <c r="B3537" s="4">
        <v>1246559094</v>
      </c>
    </row>
    <row r="3538" customHeight="1" spans="1:2">
      <c r="A3538" s="3" t="s">
        <v>1547</v>
      </c>
      <c r="B3538" s="4">
        <v>102608827</v>
      </c>
    </row>
    <row r="3539" customHeight="1" spans="1:2">
      <c r="A3539" s="3" t="s">
        <v>18122</v>
      </c>
      <c r="B3539" s="4"/>
    </row>
    <row r="3540" customHeight="1" spans="1:2">
      <c r="A3540" s="3" t="s">
        <v>11550</v>
      </c>
      <c r="B3540" s="4">
        <v>476270</v>
      </c>
    </row>
    <row r="3541" customHeight="1" spans="1:2">
      <c r="A3541" s="3" t="s">
        <v>10602</v>
      </c>
      <c r="B3541" s="4"/>
    </row>
    <row r="3542" customHeight="1" spans="1:2">
      <c r="A3542" s="3" t="s">
        <v>7425</v>
      </c>
      <c r="B3542" s="4">
        <v>37481242</v>
      </c>
    </row>
    <row r="3543" customHeight="1" spans="1:2">
      <c r="A3543" s="3" t="s">
        <v>7449</v>
      </c>
      <c r="B3543" s="4"/>
    </row>
    <row r="3544" customHeight="1" spans="1:2">
      <c r="A3544" s="3" t="s">
        <v>18894</v>
      </c>
      <c r="B3544" s="4"/>
    </row>
    <row r="3545" customHeight="1" spans="1:2">
      <c r="A3545" s="3" t="s">
        <v>21156</v>
      </c>
      <c r="B3545" s="4"/>
    </row>
    <row r="3546" customHeight="1" spans="1:2">
      <c r="A3546" s="3" t="s">
        <v>20953</v>
      </c>
      <c r="B3546" s="4">
        <v>712294</v>
      </c>
    </row>
    <row r="3547" customHeight="1" spans="1:2">
      <c r="A3547" s="3" t="s">
        <v>14905</v>
      </c>
      <c r="B3547" s="4">
        <v>30306281</v>
      </c>
    </row>
    <row r="3548" customHeight="1" spans="1:2">
      <c r="A3548" s="3" t="s">
        <v>10941</v>
      </c>
      <c r="B3548" s="4">
        <v>30028592</v>
      </c>
    </row>
    <row r="3549" customHeight="1" spans="1:2">
      <c r="A3549" s="3" t="s">
        <v>17813</v>
      </c>
      <c r="B3549" s="4">
        <v>3432342</v>
      </c>
    </row>
    <row r="3550" customHeight="1" spans="1:2">
      <c r="A3550" s="3" t="s">
        <v>18615</v>
      </c>
      <c r="B3550" s="4">
        <v>800000</v>
      </c>
    </row>
    <row r="3551" customHeight="1" spans="1:2">
      <c r="A3551" s="3" t="s">
        <v>21180</v>
      </c>
      <c r="B3551" s="4">
        <v>609042</v>
      </c>
    </row>
    <row r="3552" customHeight="1" spans="1:2">
      <c r="A3552" s="3" t="s">
        <v>21750</v>
      </c>
      <c r="B3552" s="4">
        <v>279282</v>
      </c>
    </row>
    <row r="3553" customHeight="1" spans="1:2">
      <c r="A3553" s="3" t="s">
        <v>5293</v>
      </c>
      <c r="B3553" s="4">
        <v>39778599</v>
      </c>
    </row>
    <row r="3554" customHeight="1" spans="1:2">
      <c r="A3554" s="3" t="s">
        <v>23374</v>
      </c>
      <c r="B3554" s="4">
        <v>5000000</v>
      </c>
    </row>
    <row r="3555" customHeight="1" spans="1:2">
      <c r="A3555" s="3" t="s">
        <v>17773</v>
      </c>
      <c r="B3555" s="4"/>
    </row>
    <row r="3556" customHeight="1" spans="1:2">
      <c r="A3556" s="3" t="s">
        <v>10625</v>
      </c>
      <c r="B3556" s="4">
        <v>958319</v>
      </c>
    </row>
    <row r="3557" customHeight="1" spans="1:2">
      <c r="A3557" s="3" t="s">
        <v>20967</v>
      </c>
      <c r="B3557" s="4">
        <v>406035</v>
      </c>
    </row>
    <row r="3558" customHeight="1" spans="1:2">
      <c r="A3558" s="3" t="s">
        <v>7390</v>
      </c>
      <c r="B3558" s="4">
        <v>57651794</v>
      </c>
    </row>
    <row r="3559" customHeight="1" spans="1:2">
      <c r="A3559" s="3" t="s">
        <v>14852</v>
      </c>
      <c r="B3559" s="4">
        <v>46377022</v>
      </c>
    </row>
    <row r="3560" customHeight="1" spans="1:2">
      <c r="A3560" s="3" t="s">
        <v>10630</v>
      </c>
      <c r="B3560" s="4">
        <v>69700000</v>
      </c>
    </row>
    <row r="3561" customHeight="1" spans="1:2">
      <c r="A3561" s="3" t="s">
        <v>12179</v>
      </c>
      <c r="B3561" s="4">
        <v>70492685</v>
      </c>
    </row>
    <row r="3562" customHeight="1" spans="1:2">
      <c r="A3562" s="3" t="s">
        <v>15627</v>
      </c>
      <c r="B3562" s="4">
        <v>34074895</v>
      </c>
    </row>
    <row r="3563" customHeight="1" spans="1:2">
      <c r="A3563" s="3" t="s">
        <v>9395</v>
      </c>
      <c r="B3563" s="4">
        <v>26761283</v>
      </c>
    </row>
    <row r="3564" customHeight="1" spans="1:2">
      <c r="A3564" s="3" t="s">
        <v>10016</v>
      </c>
      <c r="B3564" s="4">
        <v>85433</v>
      </c>
    </row>
    <row r="3565" customHeight="1" spans="1:2">
      <c r="A3565" s="3" t="s">
        <v>20071</v>
      </c>
      <c r="B3565" s="4">
        <v>23650000</v>
      </c>
    </row>
    <row r="3566" customHeight="1" spans="1:2">
      <c r="A3566" s="3" t="s">
        <v>18999</v>
      </c>
      <c r="B3566" s="4"/>
    </row>
    <row r="3567" customHeight="1" spans="1:2">
      <c r="A3567" s="3" t="s">
        <v>22891</v>
      </c>
      <c r="B3567" s="4">
        <v>126387</v>
      </c>
    </row>
    <row r="3568" customHeight="1" spans="1:2">
      <c r="A3568" s="3" t="s">
        <v>1131</v>
      </c>
      <c r="B3568" s="4">
        <v>52792307</v>
      </c>
    </row>
    <row r="3569" customHeight="1" spans="1:2">
      <c r="A3569" s="3" t="s">
        <v>5480</v>
      </c>
      <c r="B3569" s="4">
        <v>6471394</v>
      </c>
    </row>
    <row r="3570" customHeight="1" spans="1:2">
      <c r="A3570" s="3" t="s">
        <v>13723</v>
      </c>
      <c r="B3570" s="4">
        <v>27052167</v>
      </c>
    </row>
    <row r="3571" customHeight="1" spans="1:2">
      <c r="A3571" s="3" t="s">
        <v>13076</v>
      </c>
      <c r="B3571" s="4">
        <v>17439163</v>
      </c>
    </row>
    <row r="3572" customHeight="1" spans="1:2">
      <c r="A3572" s="3" t="s">
        <v>23322</v>
      </c>
      <c r="B3572" s="4"/>
    </row>
    <row r="3573" customHeight="1" spans="1:2">
      <c r="A3573" s="3" t="s">
        <v>8866</v>
      </c>
      <c r="B3573" s="4">
        <v>70235322</v>
      </c>
    </row>
    <row r="3574" customHeight="1" spans="1:2">
      <c r="A3574" s="3" t="s">
        <v>23043</v>
      </c>
      <c r="B3574" s="4"/>
    </row>
    <row r="3575" customHeight="1" spans="1:2">
      <c r="A3575" s="3" t="s">
        <v>18657</v>
      </c>
      <c r="B3575" s="4">
        <v>185577</v>
      </c>
    </row>
    <row r="3576" customHeight="1" spans="1:2">
      <c r="A3576" s="3" t="s">
        <v>7932</v>
      </c>
      <c r="B3576" s="4">
        <v>21784432</v>
      </c>
    </row>
    <row r="3577" customHeight="1" spans="1:2">
      <c r="A3577" s="3" t="s">
        <v>6232</v>
      </c>
      <c r="B3577" s="4">
        <v>7204138</v>
      </c>
    </row>
    <row r="3578" customHeight="1" spans="1:2">
      <c r="A3578" s="3" t="s">
        <v>23674</v>
      </c>
      <c r="B3578" s="4"/>
    </row>
    <row r="3579" customHeight="1" spans="1:2">
      <c r="A3579" s="3" t="s">
        <v>4343</v>
      </c>
      <c r="B3579" s="4">
        <v>22518325</v>
      </c>
    </row>
    <row r="3580" customHeight="1" spans="1:2">
      <c r="A3580" s="3" t="s">
        <v>10839</v>
      </c>
      <c r="B3580" s="4"/>
    </row>
    <row r="3581" customHeight="1" spans="1:2">
      <c r="A3581" s="3" t="s">
        <v>19706</v>
      </c>
      <c r="B3581" s="4"/>
    </row>
    <row r="3582" customHeight="1" spans="1:2">
      <c r="A3582" s="3" t="s">
        <v>22389</v>
      </c>
      <c r="B3582" s="4">
        <v>140530114</v>
      </c>
    </row>
    <row r="3583" customHeight="1" spans="1:2">
      <c r="A3583" s="3" t="s">
        <v>7260</v>
      </c>
      <c r="B3583" s="4">
        <v>255950375</v>
      </c>
    </row>
    <row r="3584" customHeight="1" spans="1:2">
      <c r="A3584" s="3" t="s">
        <v>16303</v>
      </c>
      <c r="B3584" s="4">
        <v>882290</v>
      </c>
    </row>
    <row r="3585" customHeight="1" spans="1:2">
      <c r="A3585" s="3" t="s">
        <v>23651</v>
      </c>
      <c r="B3585" s="4"/>
    </row>
    <row r="3586" customHeight="1" spans="1:2">
      <c r="A3586" s="3" t="s">
        <v>21325</v>
      </c>
      <c r="B3586" s="4"/>
    </row>
    <row r="3587" customHeight="1" spans="1:2">
      <c r="A3587" s="3" t="s">
        <v>14742</v>
      </c>
      <c r="B3587" s="4"/>
    </row>
    <row r="3588" customHeight="1" spans="1:2">
      <c r="A3588" s="3" t="s">
        <v>18216</v>
      </c>
      <c r="B3588" s="4"/>
    </row>
    <row r="3589" customHeight="1" spans="1:2">
      <c r="A3589" s="3" t="s">
        <v>21137</v>
      </c>
      <c r="B3589" s="4">
        <v>231186</v>
      </c>
    </row>
    <row r="3590" customHeight="1" spans="1:2">
      <c r="A3590" s="3" t="s">
        <v>9102</v>
      </c>
      <c r="B3590" s="4">
        <v>54200000</v>
      </c>
    </row>
    <row r="3591" customHeight="1" spans="1:2">
      <c r="A3591" s="3" t="s">
        <v>9400</v>
      </c>
      <c r="B3591" s="4">
        <v>121945720</v>
      </c>
    </row>
    <row r="3592" customHeight="1" spans="1:2">
      <c r="A3592" s="3" t="s">
        <v>15707</v>
      </c>
      <c r="B3592" s="4"/>
    </row>
    <row r="3593" customHeight="1" spans="1:2">
      <c r="A3593" s="3" t="s">
        <v>5535</v>
      </c>
      <c r="B3593" s="4">
        <v>66488090</v>
      </c>
    </row>
    <row r="3594" customHeight="1" spans="1:2">
      <c r="A3594" s="3" t="s">
        <v>2654</v>
      </c>
      <c r="B3594" s="4">
        <v>94822707</v>
      </c>
    </row>
    <row r="3595" customHeight="1" spans="1:2">
      <c r="A3595" s="3" t="s">
        <v>5202</v>
      </c>
      <c r="B3595" s="4">
        <v>50150619</v>
      </c>
    </row>
    <row r="3596" customHeight="1" spans="1:2">
      <c r="A3596" s="3" t="s">
        <v>20307</v>
      </c>
      <c r="B3596" s="4">
        <v>1098224</v>
      </c>
    </row>
    <row r="3597" customHeight="1" spans="1:2">
      <c r="A3597" s="3" t="s">
        <v>11646</v>
      </c>
      <c r="B3597" s="4">
        <v>21483154</v>
      </c>
    </row>
    <row r="3598" customHeight="1" spans="1:2">
      <c r="A3598" s="3" t="s">
        <v>16093</v>
      </c>
      <c r="B3598" s="4">
        <v>10269307</v>
      </c>
    </row>
    <row r="3599" customHeight="1" spans="1:2">
      <c r="A3599" s="3" t="s">
        <v>16742</v>
      </c>
      <c r="B3599" s="4"/>
    </row>
    <row r="3600" customHeight="1" spans="1:2">
      <c r="A3600" s="3" t="s">
        <v>13623</v>
      </c>
      <c r="B3600" s="4"/>
    </row>
    <row r="3601" customHeight="1" spans="1:2">
      <c r="A3601" s="3" t="s">
        <v>8789</v>
      </c>
      <c r="B3601" s="4">
        <v>22359293</v>
      </c>
    </row>
    <row r="3602" customHeight="1" spans="1:2">
      <c r="A3602" s="3" t="s">
        <v>8805</v>
      </c>
      <c r="B3602" s="4">
        <v>63034755</v>
      </c>
    </row>
    <row r="3603" customHeight="1" spans="1:2">
      <c r="A3603" s="3" t="s">
        <v>6014</v>
      </c>
      <c r="B3603" s="4">
        <v>67061228</v>
      </c>
    </row>
    <row r="3604" customHeight="1" spans="1:2">
      <c r="A3604" s="3" t="s">
        <v>11640</v>
      </c>
      <c r="B3604" s="4">
        <v>8600000</v>
      </c>
    </row>
    <row r="3605" customHeight="1" spans="1:2">
      <c r="A3605" s="3" t="s">
        <v>3959</v>
      </c>
      <c r="B3605" s="4">
        <v>121468960</v>
      </c>
    </row>
    <row r="3606" customHeight="1" spans="1:2">
      <c r="A3606" s="3" t="s">
        <v>1322</v>
      </c>
      <c r="B3606" s="4">
        <v>113165635</v>
      </c>
    </row>
    <row r="3607" customHeight="1" spans="1:2">
      <c r="A3607" s="3" t="s">
        <v>2321</v>
      </c>
      <c r="B3607" s="4">
        <v>176049130</v>
      </c>
    </row>
    <row r="3608" customHeight="1" spans="1:2">
      <c r="A3608" s="3" t="s">
        <v>1159</v>
      </c>
      <c r="B3608" s="4">
        <v>227137090</v>
      </c>
    </row>
    <row r="3609" customHeight="1" spans="1:2">
      <c r="A3609" s="3" t="s">
        <v>9805</v>
      </c>
      <c r="B3609" s="4">
        <v>15045676</v>
      </c>
    </row>
    <row r="3610" customHeight="1" spans="1:2">
      <c r="A3610" s="3" t="s">
        <v>4192</v>
      </c>
      <c r="B3610" s="4">
        <v>50807639</v>
      </c>
    </row>
    <row r="3611" customHeight="1" spans="1:2">
      <c r="A3611" s="3" t="s">
        <v>13964</v>
      </c>
      <c r="B3611" s="4">
        <v>9030581</v>
      </c>
    </row>
    <row r="3612" customHeight="1" spans="1:2">
      <c r="A3612" s="3" t="s">
        <v>18473</v>
      </c>
      <c r="B3612" s="4">
        <v>35385560</v>
      </c>
    </row>
    <row r="3613" customHeight="1" spans="1:2">
      <c r="A3613" s="3" t="s">
        <v>14871</v>
      </c>
      <c r="B3613" s="4">
        <v>35794166</v>
      </c>
    </row>
    <row r="3614" customHeight="1" spans="1:2">
      <c r="A3614" s="3" t="s">
        <v>14176</v>
      </c>
      <c r="B3614" s="4"/>
    </row>
    <row r="3615" customHeight="1" spans="1:2">
      <c r="A3615" s="3" t="s">
        <v>23646</v>
      </c>
      <c r="B3615" s="4"/>
    </row>
    <row r="3616" customHeight="1" spans="1:2">
      <c r="A3616" s="3" t="s">
        <v>23823</v>
      </c>
      <c r="B3616" s="4"/>
    </row>
    <row r="3617" customHeight="1" spans="1:2">
      <c r="A3617" s="3" t="s">
        <v>22085</v>
      </c>
      <c r="B3617" s="4">
        <v>6643</v>
      </c>
    </row>
    <row r="3618" customHeight="1" spans="1:2">
      <c r="A3618" s="3" t="s">
        <v>20001</v>
      </c>
      <c r="B3618" s="4"/>
    </row>
    <row r="3619" customHeight="1" spans="1:2">
      <c r="A3619" s="3" t="s">
        <v>4929</v>
      </c>
      <c r="B3619" s="4">
        <v>118683135</v>
      </c>
    </row>
    <row r="3620" customHeight="1" spans="1:2">
      <c r="A3620" s="3" t="s">
        <v>10186</v>
      </c>
      <c r="B3620" s="4">
        <v>42880</v>
      </c>
    </row>
    <row r="3621" customHeight="1" spans="1:2">
      <c r="A3621" s="3" t="s">
        <v>19248</v>
      </c>
      <c r="B3621" s="4">
        <v>27200000</v>
      </c>
    </row>
    <row r="3622" customHeight="1" spans="1:2">
      <c r="A3622" s="3" t="s">
        <v>10357</v>
      </c>
      <c r="B3622" s="4">
        <v>70960517</v>
      </c>
    </row>
    <row r="3623" customHeight="1" spans="1:2">
      <c r="A3623" s="3" t="s">
        <v>22948</v>
      </c>
      <c r="B3623" s="4">
        <v>2808000</v>
      </c>
    </row>
    <row r="3624" customHeight="1" spans="1:2">
      <c r="A3624" s="3" t="s">
        <v>21683</v>
      </c>
      <c r="B3624" s="4">
        <v>1744858</v>
      </c>
    </row>
    <row r="3625" customHeight="1" spans="1:2">
      <c r="A3625" s="3" t="s">
        <v>11387</v>
      </c>
      <c r="B3625" s="4">
        <v>3519627</v>
      </c>
    </row>
    <row r="3626" customHeight="1" spans="1:2">
      <c r="A3626" s="3" t="s">
        <v>2794</v>
      </c>
      <c r="B3626" s="4">
        <v>37899638</v>
      </c>
    </row>
    <row r="3627" customHeight="1" spans="1:2">
      <c r="A3627" s="3" t="s">
        <v>23845</v>
      </c>
      <c r="B3627" s="4">
        <v>10246600</v>
      </c>
    </row>
    <row r="3628" customHeight="1" spans="1:2">
      <c r="A3628" s="3" t="s">
        <v>15283</v>
      </c>
      <c r="B3628" s="4">
        <v>900926</v>
      </c>
    </row>
    <row r="3629" customHeight="1" spans="1:2">
      <c r="A3629" s="3" t="s">
        <v>17016</v>
      </c>
      <c r="B3629" s="4">
        <v>27457409</v>
      </c>
    </row>
    <row r="3630" customHeight="1" spans="1:2">
      <c r="A3630" s="3" t="s">
        <v>15309</v>
      </c>
      <c r="B3630" s="4">
        <v>365734</v>
      </c>
    </row>
    <row r="3631" customHeight="1" spans="1:2">
      <c r="A3631" s="3" t="s">
        <v>20852</v>
      </c>
      <c r="B3631" s="4">
        <v>155972</v>
      </c>
    </row>
    <row r="3632" customHeight="1" spans="1:2">
      <c r="A3632" s="3" t="s">
        <v>5733</v>
      </c>
      <c r="B3632" s="4">
        <v>93452056</v>
      </c>
    </row>
    <row r="3633" customHeight="1" spans="1:2">
      <c r="A3633" s="3" t="s">
        <v>23426</v>
      </c>
      <c r="B3633" s="4">
        <v>174682</v>
      </c>
    </row>
    <row r="3634" customHeight="1" spans="1:2">
      <c r="A3634" s="3" t="s">
        <v>17191</v>
      </c>
      <c r="B3634" s="4">
        <v>1028337</v>
      </c>
    </row>
    <row r="3635" customHeight="1" spans="1:2">
      <c r="A3635" s="3" t="s">
        <v>13707</v>
      </c>
      <c r="B3635" s="4">
        <v>23947</v>
      </c>
    </row>
    <row r="3636" customHeight="1" spans="1:2">
      <c r="A3636" s="3" t="s">
        <v>8380</v>
      </c>
      <c r="B3636" s="4">
        <v>42043633</v>
      </c>
    </row>
    <row r="3637" customHeight="1" spans="1:2">
      <c r="A3637" s="3" t="s">
        <v>5601</v>
      </c>
      <c r="B3637" s="4">
        <v>60154431</v>
      </c>
    </row>
    <row r="3638" customHeight="1" spans="1:2">
      <c r="A3638" s="3" t="s">
        <v>22652</v>
      </c>
      <c r="B3638" s="4"/>
    </row>
    <row r="3639" customHeight="1" spans="1:2">
      <c r="A3639" s="3" t="s">
        <v>23884</v>
      </c>
      <c r="B3639" s="4"/>
    </row>
    <row r="3640" customHeight="1" spans="1:2">
      <c r="A3640" s="3" t="s">
        <v>13891</v>
      </c>
      <c r="B3640" s="4">
        <v>51872378</v>
      </c>
    </row>
    <row r="3641" customHeight="1" spans="1:2">
      <c r="A3641" s="3" t="s">
        <v>19996</v>
      </c>
      <c r="B3641" s="4"/>
    </row>
    <row r="3642" customHeight="1" spans="1:2">
      <c r="A3642" s="3" t="s">
        <v>1969</v>
      </c>
      <c r="B3642" s="4">
        <v>86897182</v>
      </c>
    </row>
    <row r="3643" customHeight="1" spans="1:2">
      <c r="A3643" s="3" t="s">
        <v>23230</v>
      </c>
      <c r="B3643" s="4">
        <v>49494</v>
      </c>
    </row>
    <row r="3644" customHeight="1" spans="1:2">
      <c r="A3644" s="3" t="s">
        <v>23467</v>
      </c>
      <c r="B3644" s="4"/>
    </row>
    <row r="3645" customHeight="1" spans="1:2">
      <c r="A3645" s="3" t="s">
        <v>1642</v>
      </c>
      <c r="B3645" s="4">
        <v>100446895</v>
      </c>
    </row>
    <row r="3646" customHeight="1" spans="1:2">
      <c r="A3646" s="3" t="s">
        <v>8573</v>
      </c>
      <c r="B3646" s="4">
        <v>14888028</v>
      </c>
    </row>
    <row r="3647" customHeight="1" spans="1:2">
      <c r="A3647" s="3" t="s">
        <v>13617</v>
      </c>
      <c r="B3647" s="4">
        <v>687081</v>
      </c>
    </row>
    <row r="3648" customHeight="1" spans="1:2">
      <c r="A3648" s="3" t="s">
        <v>21165</v>
      </c>
      <c r="B3648" s="4">
        <v>1647780</v>
      </c>
    </row>
    <row r="3649" customHeight="1" spans="1:2">
      <c r="A3649" s="3" t="s">
        <v>7336</v>
      </c>
      <c r="B3649" s="4">
        <v>61280963</v>
      </c>
    </row>
    <row r="3650" customHeight="1" spans="1:2">
      <c r="A3650" s="3" t="s">
        <v>15326</v>
      </c>
      <c r="B3650" s="4">
        <v>244465</v>
      </c>
    </row>
    <row r="3651" customHeight="1" spans="1:2">
      <c r="A3651" s="3" t="s">
        <v>4953</v>
      </c>
      <c r="B3651" s="4">
        <v>37035845</v>
      </c>
    </row>
    <row r="3652" customHeight="1" spans="1:2">
      <c r="A3652" s="3" t="s">
        <v>21385</v>
      </c>
      <c r="B3652" s="4"/>
    </row>
    <row r="3653" customHeight="1" spans="1:2">
      <c r="A3653" s="3" t="s">
        <v>11426</v>
      </c>
      <c r="B3653" s="4">
        <v>1027749</v>
      </c>
    </row>
    <row r="3654" customHeight="1" spans="1:2">
      <c r="A3654" s="3" t="s">
        <v>17423</v>
      </c>
      <c r="B3654" s="4">
        <v>3629758</v>
      </c>
    </row>
    <row r="3655" customHeight="1" spans="1:2">
      <c r="A3655" s="3" t="s">
        <v>23283</v>
      </c>
      <c r="B3655" s="4"/>
    </row>
    <row r="3656" customHeight="1" spans="1:2">
      <c r="A3656" s="3" t="s">
        <v>16662</v>
      </c>
      <c r="B3656" s="4">
        <v>2209479</v>
      </c>
    </row>
    <row r="3657" customHeight="1" spans="1:2">
      <c r="A3657" s="3" t="s">
        <v>152</v>
      </c>
      <c r="B3657" s="4">
        <v>141614023</v>
      </c>
    </row>
    <row r="3658" customHeight="1" spans="1:2">
      <c r="A3658" s="3" t="s">
        <v>456</v>
      </c>
      <c r="B3658" s="4">
        <v>291709845</v>
      </c>
    </row>
    <row r="3659" customHeight="1" spans="1:2">
      <c r="A3659" s="3" t="s">
        <v>745</v>
      </c>
      <c r="B3659" s="4">
        <v>104383624</v>
      </c>
    </row>
    <row r="3660" customHeight="1" spans="1:2">
      <c r="A3660" s="3" t="s">
        <v>1397</v>
      </c>
      <c r="B3660" s="4">
        <v>57637485</v>
      </c>
    </row>
    <row r="3661" customHeight="1" spans="1:2">
      <c r="A3661" s="3" t="s">
        <v>16805</v>
      </c>
      <c r="B3661" s="4">
        <v>49526</v>
      </c>
    </row>
    <row r="3662" customHeight="1" spans="1:2">
      <c r="A3662" s="3" t="s">
        <v>24069</v>
      </c>
      <c r="B3662" s="4">
        <v>673780</v>
      </c>
    </row>
    <row r="3663" customHeight="1" spans="1:2">
      <c r="A3663" s="3" t="s">
        <v>16098</v>
      </c>
      <c r="B3663" s="4"/>
    </row>
    <row r="3664" customHeight="1" spans="1:2">
      <c r="A3664" s="3" t="s">
        <v>13872</v>
      </c>
      <c r="B3664" s="4">
        <v>807864</v>
      </c>
    </row>
    <row r="3665" customHeight="1" spans="1:2">
      <c r="A3665" s="3" t="s">
        <v>13189</v>
      </c>
      <c r="B3665" s="4">
        <v>1953732</v>
      </c>
    </row>
    <row r="3666" customHeight="1" spans="1:2">
      <c r="A3666" s="3" t="s">
        <v>19123</v>
      </c>
      <c r="B3666" s="4">
        <v>3766595</v>
      </c>
    </row>
    <row r="3667" customHeight="1" spans="1:2">
      <c r="A3667" s="3" t="s">
        <v>5729</v>
      </c>
      <c r="B3667" s="4">
        <v>92115211</v>
      </c>
    </row>
    <row r="3668" customHeight="1" spans="1:2">
      <c r="A3668" s="3" t="s">
        <v>11382</v>
      </c>
      <c r="B3668" s="4">
        <v>3749061</v>
      </c>
    </row>
    <row r="3669" customHeight="1" spans="1:2">
      <c r="A3669" s="3" t="s">
        <v>15121</v>
      </c>
      <c r="B3669" s="4">
        <v>6842058</v>
      </c>
    </row>
    <row r="3670" customHeight="1" spans="1:2">
      <c r="A3670" s="3" t="s">
        <v>8735</v>
      </c>
      <c r="B3670" s="4"/>
    </row>
    <row r="3671" customHeight="1" spans="1:2">
      <c r="A3671" s="3" t="s">
        <v>14816</v>
      </c>
      <c r="B3671" s="4">
        <v>52293982</v>
      </c>
    </row>
    <row r="3672" customHeight="1" spans="1:2">
      <c r="A3672" s="3" t="s">
        <v>12690</v>
      </c>
      <c r="B3672" s="4">
        <v>94175854</v>
      </c>
    </row>
    <row r="3673" customHeight="1" spans="1:2">
      <c r="A3673" s="3" t="s">
        <v>13179</v>
      </c>
      <c r="B3673" s="4"/>
    </row>
    <row r="3674" customHeight="1" spans="1:2">
      <c r="A3674" s="3" t="s">
        <v>22263</v>
      </c>
      <c r="B3674" s="4"/>
    </row>
    <row r="3675" customHeight="1" spans="1:2">
      <c r="A3675" s="3" t="s">
        <v>6290</v>
      </c>
      <c r="B3675" s="4">
        <v>102310175</v>
      </c>
    </row>
    <row r="3676" customHeight="1" spans="1:2">
      <c r="A3676" s="3" t="s">
        <v>10686</v>
      </c>
      <c r="B3676" s="4">
        <v>137387272</v>
      </c>
    </row>
    <row r="3677" customHeight="1" spans="1:2">
      <c r="A3677" s="3" t="s">
        <v>9873</v>
      </c>
      <c r="B3677" s="4">
        <v>11538204</v>
      </c>
    </row>
    <row r="3678" customHeight="1" spans="1:2">
      <c r="A3678" s="3" t="s">
        <v>9365</v>
      </c>
      <c r="B3678" s="4">
        <v>33565375</v>
      </c>
    </row>
    <row r="3679" customHeight="1" spans="1:2">
      <c r="A3679" s="3" t="s">
        <v>15652</v>
      </c>
      <c r="B3679" s="4">
        <v>17804273</v>
      </c>
    </row>
    <row r="3680" customHeight="1" spans="1:2">
      <c r="A3680" s="3" t="s">
        <v>20856</v>
      </c>
      <c r="B3680" s="4"/>
    </row>
    <row r="3681" customHeight="1" spans="1:2">
      <c r="A3681" s="3" t="s">
        <v>12522</v>
      </c>
      <c r="B3681" s="4">
        <v>11540112</v>
      </c>
    </row>
    <row r="3682" customHeight="1" spans="1:2">
      <c r="A3682" s="3" t="s">
        <v>18526</v>
      </c>
      <c r="B3682" s="4">
        <v>8243880</v>
      </c>
    </row>
    <row r="3683" customHeight="1" spans="1:2">
      <c r="A3683" s="3" t="s">
        <v>2465</v>
      </c>
      <c r="B3683" s="4">
        <v>31111260</v>
      </c>
    </row>
    <row r="3684" customHeight="1" spans="1:2">
      <c r="A3684" s="3" t="s">
        <v>15016</v>
      </c>
      <c r="B3684" s="4">
        <v>15156200</v>
      </c>
    </row>
    <row r="3685" customHeight="1" spans="1:2">
      <c r="A3685" s="3" t="s">
        <v>18034</v>
      </c>
      <c r="B3685" s="4"/>
    </row>
    <row r="3686" customHeight="1" spans="1:2">
      <c r="A3686" s="3" t="s">
        <v>5582</v>
      </c>
      <c r="B3686" s="4">
        <v>25900000</v>
      </c>
    </row>
    <row r="3687" customHeight="1" spans="1:2">
      <c r="A3687" s="3" t="s">
        <v>10050</v>
      </c>
      <c r="B3687" s="4">
        <v>16969390</v>
      </c>
    </row>
    <row r="3688" customHeight="1" spans="1:2">
      <c r="A3688" s="3" t="s">
        <v>6439</v>
      </c>
      <c r="B3688" s="4">
        <v>54228104</v>
      </c>
    </row>
    <row r="3689" customHeight="1" spans="1:2">
      <c r="A3689" s="3" t="s">
        <v>11110</v>
      </c>
      <c r="B3689" s="4">
        <v>16988996</v>
      </c>
    </row>
    <row r="3690" customHeight="1" spans="1:2">
      <c r="A3690" s="3" t="s">
        <v>10997</v>
      </c>
      <c r="B3690" s="4">
        <v>23292105</v>
      </c>
    </row>
    <row r="3691" customHeight="1" spans="1:2">
      <c r="A3691" s="3" t="s">
        <v>12899</v>
      </c>
      <c r="B3691" s="4">
        <v>24881000</v>
      </c>
    </row>
    <row r="3692" customHeight="1" spans="1:2">
      <c r="A3692" s="3" t="s">
        <v>11625</v>
      </c>
      <c r="B3692" s="4">
        <v>39103378</v>
      </c>
    </row>
    <row r="3693" customHeight="1" spans="1:2">
      <c r="A3693" s="3" t="s">
        <v>10254</v>
      </c>
      <c r="B3693" s="4">
        <v>13019253</v>
      </c>
    </row>
    <row r="3694" customHeight="1" spans="1:2">
      <c r="A3694" s="3" t="s">
        <v>13902</v>
      </c>
      <c r="B3694" s="4">
        <v>28399192</v>
      </c>
    </row>
    <row r="3695" customHeight="1" spans="1:2">
      <c r="A3695" s="3" t="s">
        <v>1455</v>
      </c>
      <c r="B3695" s="4">
        <v>187165546</v>
      </c>
    </row>
    <row r="3696" customHeight="1" spans="1:2">
      <c r="A3696" s="3" t="s">
        <v>6907</v>
      </c>
      <c r="B3696" s="4">
        <v>50693162</v>
      </c>
    </row>
    <row r="3697" customHeight="1" spans="1:2">
      <c r="A3697" s="3" t="s">
        <v>14471</v>
      </c>
      <c r="B3697" s="4"/>
    </row>
    <row r="3698" customHeight="1" spans="1:2">
      <c r="A3698" s="3" t="s">
        <v>18416</v>
      </c>
      <c r="B3698" s="4">
        <v>62549000</v>
      </c>
    </row>
    <row r="3699" customHeight="1" spans="1:2">
      <c r="A3699" s="3" t="s">
        <v>24082</v>
      </c>
      <c r="B3699" s="4">
        <v>94596</v>
      </c>
    </row>
    <row r="3700" customHeight="1" spans="1:2">
      <c r="A3700" s="3" t="s">
        <v>690</v>
      </c>
      <c r="B3700" s="4">
        <v>127490802</v>
      </c>
    </row>
    <row r="3701" customHeight="1" spans="1:2">
      <c r="A3701" s="3" t="s">
        <v>20591</v>
      </c>
      <c r="B3701" s="4"/>
    </row>
    <row r="3702" customHeight="1" spans="1:2">
      <c r="A3702" s="3" t="s">
        <v>9345</v>
      </c>
      <c r="B3702" s="4">
        <v>7496522</v>
      </c>
    </row>
    <row r="3703" customHeight="1" spans="1:2">
      <c r="A3703" s="3" t="s">
        <v>8299</v>
      </c>
      <c r="B3703" s="4">
        <v>56068547</v>
      </c>
    </row>
    <row r="3704" customHeight="1" spans="1:2">
      <c r="A3704" s="3" t="s">
        <v>1276</v>
      </c>
      <c r="B3704" s="4">
        <v>217536138</v>
      </c>
    </row>
    <row r="3705" customHeight="1" spans="1:2">
      <c r="A3705" s="3" t="s">
        <v>16953</v>
      </c>
      <c r="B3705" s="4">
        <v>449558</v>
      </c>
    </row>
    <row r="3706" customHeight="1" spans="1:2">
      <c r="A3706" s="3" t="s">
        <v>14338</v>
      </c>
      <c r="B3706" s="4">
        <v>1779284</v>
      </c>
    </row>
    <row r="3707" customHeight="1" spans="1:2">
      <c r="A3707" s="3" t="s">
        <v>22908</v>
      </c>
      <c r="B3707" s="4"/>
    </row>
    <row r="3708" customHeight="1" spans="1:2">
      <c r="A3708" s="3" t="s">
        <v>64</v>
      </c>
      <c r="B3708" s="4">
        <v>448130642</v>
      </c>
    </row>
    <row r="3709" customHeight="1" spans="1:2">
      <c r="A3709" s="3" t="s">
        <v>467</v>
      </c>
      <c r="B3709" s="4">
        <v>533316061</v>
      </c>
    </row>
    <row r="3710" customHeight="1" spans="1:2">
      <c r="A3710" s="3" t="s">
        <v>7833</v>
      </c>
      <c r="B3710" s="4">
        <v>21426805</v>
      </c>
    </row>
    <row r="3711" customHeight="1" spans="1:2">
      <c r="A3711" s="3" t="s">
        <v>1338</v>
      </c>
      <c r="B3711" s="4">
        <v>186739919</v>
      </c>
    </row>
    <row r="3712" customHeight="1" spans="1:2">
      <c r="A3712" s="3" t="s">
        <v>2686</v>
      </c>
      <c r="B3712" s="4">
        <v>158727570</v>
      </c>
    </row>
    <row r="3713" customHeight="1" spans="1:2">
      <c r="A3713" s="3" t="s">
        <v>19089</v>
      </c>
      <c r="B3713" s="4">
        <v>17311</v>
      </c>
    </row>
    <row r="3714" customHeight="1" spans="1:2">
      <c r="A3714" s="3" t="s">
        <v>21476</v>
      </c>
      <c r="B3714" s="4"/>
    </row>
    <row r="3715" customHeight="1" spans="1:2">
      <c r="A3715" s="3" t="s">
        <v>13073</v>
      </c>
      <c r="B3715" s="4"/>
    </row>
    <row r="3716" customHeight="1" spans="1:2">
      <c r="A3716" s="3" t="s">
        <v>16262</v>
      </c>
      <c r="B3716" s="4"/>
    </row>
    <row r="3717" customHeight="1" spans="1:2">
      <c r="A3717" s="3" t="s">
        <v>10926</v>
      </c>
      <c r="B3717" s="4">
        <v>31146570</v>
      </c>
    </row>
    <row r="3718" customHeight="1" spans="1:2">
      <c r="A3718" s="3" t="s">
        <v>6786</v>
      </c>
      <c r="B3718" s="4">
        <v>13376506</v>
      </c>
    </row>
    <row r="3719" customHeight="1" spans="1:2">
      <c r="A3719" s="3" t="s">
        <v>12762</v>
      </c>
      <c r="B3719" s="4"/>
    </row>
    <row r="3720" customHeight="1" spans="1:2">
      <c r="A3720" s="3" t="s">
        <v>2127</v>
      </c>
      <c r="B3720" s="4">
        <v>132373442</v>
      </c>
    </row>
    <row r="3721" customHeight="1" spans="1:2">
      <c r="A3721" s="3" t="s">
        <v>19542</v>
      </c>
      <c r="B3721" s="4"/>
    </row>
    <row r="3722" customHeight="1" spans="1:2">
      <c r="A3722" s="3" t="s">
        <v>10708</v>
      </c>
      <c r="B3722" s="4">
        <v>82624961</v>
      </c>
    </row>
    <row r="3723" customHeight="1" spans="1:2">
      <c r="A3723" s="3" t="s">
        <v>16524</v>
      </c>
      <c r="B3723" s="4">
        <v>26005908</v>
      </c>
    </row>
    <row r="3724" customHeight="1" spans="1:2">
      <c r="A3724" s="3" t="s">
        <v>21575</v>
      </c>
      <c r="B3724" s="4">
        <v>53245055</v>
      </c>
    </row>
    <row r="3725" customHeight="1" spans="1:2">
      <c r="A3725" s="3" t="s">
        <v>7279</v>
      </c>
      <c r="B3725" s="4">
        <v>124732962</v>
      </c>
    </row>
    <row r="3726" customHeight="1" spans="1:2">
      <c r="A3726" s="3" t="s">
        <v>4514</v>
      </c>
      <c r="B3726" s="4">
        <v>60984028</v>
      </c>
    </row>
    <row r="3727" customHeight="1" spans="1:2">
      <c r="A3727" s="3" t="s">
        <v>11611</v>
      </c>
      <c r="B3727" s="4">
        <v>1357042</v>
      </c>
    </row>
    <row r="3728" customHeight="1" spans="1:2">
      <c r="A3728" s="3" t="s">
        <v>2269</v>
      </c>
      <c r="B3728" s="4">
        <v>42877165</v>
      </c>
    </row>
    <row r="3729" customHeight="1" spans="1:2">
      <c r="A3729" s="3" t="s">
        <v>16545</v>
      </c>
      <c r="B3729" s="4">
        <v>16901126</v>
      </c>
    </row>
    <row r="3730" customHeight="1" spans="1:2">
      <c r="A3730" s="3" t="s">
        <v>15474</v>
      </c>
      <c r="B3730" s="4"/>
    </row>
    <row r="3731" customHeight="1" spans="1:2">
      <c r="A3731" s="3" t="s">
        <v>20318</v>
      </c>
      <c r="B3731" s="4">
        <v>1477002</v>
      </c>
    </row>
    <row r="3732" customHeight="1" spans="1:2">
      <c r="A3732" s="3" t="s">
        <v>3725</v>
      </c>
      <c r="B3732" s="4">
        <v>59617068</v>
      </c>
    </row>
    <row r="3733" customHeight="1" spans="1:2">
      <c r="A3733" s="3" t="s">
        <v>3437</v>
      </c>
      <c r="B3733" s="4">
        <v>48430355</v>
      </c>
    </row>
    <row r="3734" customHeight="1" spans="1:2">
      <c r="A3734" s="3" t="s">
        <v>23851</v>
      </c>
      <c r="B3734" s="4"/>
    </row>
    <row r="3735" customHeight="1" spans="1:2">
      <c r="A3735" s="3" t="s">
        <v>19521</v>
      </c>
      <c r="B3735" s="4">
        <v>22000</v>
      </c>
    </row>
    <row r="3736" customHeight="1" spans="1:2">
      <c r="A3736" s="3" t="s">
        <v>13507</v>
      </c>
      <c r="B3736" s="4">
        <v>5990075</v>
      </c>
    </row>
    <row r="3737" customHeight="1" spans="1:2">
      <c r="A3737" s="3" t="s">
        <v>21127</v>
      </c>
      <c r="B3737" s="4"/>
    </row>
    <row r="3738" customHeight="1" spans="1:2">
      <c r="A3738" s="3" t="s">
        <v>11487</v>
      </c>
      <c r="B3738" s="4"/>
    </row>
    <row r="3739" customHeight="1" spans="1:2">
      <c r="A3739" s="3" t="s">
        <v>6571</v>
      </c>
      <c r="B3739" s="4">
        <v>35183792</v>
      </c>
    </row>
    <row r="3740" customHeight="1" spans="1:2">
      <c r="A3740" s="3" t="s">
        <v>19732</v>
      </c>
      <c r="B3740" s="4"/>
    </row>
    <row r="3741" customHeight="1" spans="1:2">
      <c r="A3741" s="3" t="s">
        <v>9146</v>
      </c>
      <c r="B3741" s="4">
        <v>13823741</v>
      </c>
    </row>
    <row r="3742" customHeight="1" spans="1:2">
      <c r="A3742" s="3" t="s">
        <v>15875</v>
      </c>
      <c r="B3742" s="4">
        <v>34017854</v>
      </c>
    </row>
    <row r="3743" customHeight="1" spans="1:2">
      <c r="A3743" s="3" t="s">
        <v>4943</v>
      </c>
      <c r="B3743" s="4">
        <v>80270227</v>
      </c>
    </row>
    <row r="3744" customHeight="1" spans="1:2">
      <c r="A3744" s="3" t="s">
        <v>16918</v>
      </c>
      <c r="B3744" s="4">
        <v>2268296</v>
      </c>
    </row>
    <row r="3745" customHeight="1" spans="1:2">
      <c r="A3745" s="3" t="s">
        <v>19527</v>
      </c>
      <c r="B3745" s="4">
        <v>128937</v>
      </c>
    </row>
    <row r="3746" customHeight="1" spans="1:2">
      <c r="A3746" s="3" t="s">
        <v>2810</v>
      </c>
      <c r="B3746" s="4">
        <v>27779888</v>
      </c>
    </row>
    <row r="3747" customHeight="1" spans="1:2">
      <c r="A3747" s="3" t="s">
        <v>17689</v>
      </c>
      <c r="B3747" s="4"/>
    </row>
    <row r="3748" customHeight="1" spans="1:2">
      <c r="A3748" s="3" t="s">
        <v>17599</v>
      </c>
      <c r="B3748" s="4"/>
    </row>
    <row r="3749" customHeight="1" spans="1:2">
      <c r="A3749" s="3" t="s">
        <v>13923</v>
      </c>
      <c r="B3749" s="4">
        <v>14060950</v>
      </c>
    </row>
    <row r="3750" customHeight="1" spans="1:2">
      <c r="A3750" s="3" t="s">
        <v>1781</v>
      </c>
      <c r="B3750" s="4">
        <v>89296573</v>
      </c>
    </row>
    <row r="3751" customHeight="1" spans="1:2">
      <c r="A3751" s="3" t="s">
        <v>10278</v>
      </c>
      <c r="B3751" s="4">
        <v>10660147</v>
      </c>
    </row>
    <row r="3752" customHeight="1" spans="1:2">
      <c r="A3752" s="3" t="s">
        <v>7309</v>
      </c>
      <c r="B3752" s="4">
        <v>78651430</v>
      </c>
    </row>
    <row r="3753" customHeight="1" spans="1:2">
      <c r="A3753" s="3" t="s">
        <v>4617</v>
      </c>
      <c r="B3753" s="4">
        <v>101530738</v>
      </c>
    </row>
    <row r="3754" customHeight="1" spans="1:2">
      <c r="A3754" s="3" t="s">
        <v>22952</v>
      </c>
      <c r="B3754" s="4"/>
    </row>
    <row r="3755" customHeight="1" spans="1:2">
      <c r="A3755" s="3" t="s">
        <v>11742</v>
      </c>
      <c r="B3755" s="4">
        <v>75072454</v>
      </c>
    </row>
    <row r="3756" customHeight="1" spans="1:2">
      <c r="A3756" s="3" t="s">
        <v>14008</v>
      </c>
      <c r="B3756" s="4">
        <v>204565000</v>
      </c>
    </row>
    <row r="3757" customHeight="1" spans="1:2">
      <c r="A3757" s="3" t="s">
        <v>1786</v>
      </c>
      <c r="B3757" s="4">
        <v>85017401</v>
      </c>
    </row>
    <row r="3758" customHeight="1" spans="1:2">
      <c r="A3758" s="3" t="s">
        <v>1882</v>
      </c>
      <c r="B3758" s="4">
        <v>39292022</v>
      </c>
    </row>
    <row r="3759" customHeight="1" spans="1:2">
      <c r="A3759" s="3" t="s">
        <v>2532</v>
      </c>
      <c r="B3759" s="4">
        <v>102981571</v>
      </c>
    </row>
    <row r="3760" customHeight="1" spans="1:2">
      <c r="A3760" s="3" t="s">
        <v>23947</v>
      </c>
      <c r="B3760" s="4">
        <v>24705</v>
      </c>
    </row>
    <row r="3761" customHeight="1" spans="1:2">
      <c r="A3761" s="3" t="s">
        <v>7092</v>
      </c>
      <c r="B3761" s="4">
        <v>9589875</v>
      </c>
    </row>
    <row r="3762" customHeight="1" spans="1:2">
      <c r="A3762" s="3" t="s">
        <v>16723</v>
      </c>
      <c r="B3762" s="4">
        <v>453079</v>
      </c>
    </row>
    <row r="3763" customHeight="1" spans="1:2">
      <c r="A3763" s="3" t="s">
        <v>14114</v>
      </c>
      <c r="B3763" s="4">
        <v>31397498</v>
      </c>
    </row>
    <row r="3764" customHeight="1" spans="1:2">
      <c r="A3764" s="3" t="s">
        <v>9434</v>
      </c>
      <c r="B3764" s="4"/>
    </row>
    <row r="3765" customHeight="1" spans="1:2">
      <c r="A3765" s="3" t="s">
        <v>12784</v>
      </c>
      <c r="B3765" s="4">
        <v>40064955</v>
      </c>
    </row>
    <row r="3766" customHeight="1" spans="1:2">
      <c r="A3766" s="3" t="s">
        <v>11662</v>
      </c>
      <c r="B3766" s="4"/>
    </row>
    <row r="3767" customHeight="1" spans="1:2">
      <c r="A3767" s="3" t="s">
        <v>4032</v>
      </c>
      <c r="B3767" s="4">
        <v>75764085</v>
      </c>
    </row>
    <row r="3768" customHeight="1" spans="1:2">
      <c r="A3768" s="3" t="s">
        <v>11755</v>
      </c>
      <c r="B3768" s="4">
        <v>6061759</v>
      </c>
    </row>
    <row r="3769" customHeight="1" spans="1:2">
      <c r="A3769" s="3" t="s">
        <v>8408</v>
      </c>
      <c r="B3769" s="4"/>
    </row>
    <row r="3770" customHeight="1" spans="1:2">
      <c r="A3770" s="3" t="s">
        <v>4766</v>
      </c>
      <c r="B3770" s="4">
        <v>18573791</v>
      </c>
    </row>
    <row r="3771" customHeight="1" spans="1:2">
      <c r="A3771" s="3" t="s">
        <v>683</v>
      </c>
      <c r="B3771" s="4">
        <v>433536930</v>
      </c>
    </row>
    <row r="3772" customHeight="1" spans="1:2">
      <c r="A3772" s="3" t="s">
        <v>2421</v>
      </c>
      <c r="B3772" s="4">
        <v>62494975</v>
      </c>
    </row>
    <row r="3773" customHeight="1" spans="1:2">
      <c r="A3773" s="3" t="s">
        <v>14142</v>
      </c>
      <c r="B3773" s="4">
        <v>124868837</v>
      </c>
    </row>
    <row r="3774" customHeight="1" spans="1:2">
      <c r="A3774" s="3" t="s">
        <v>1974</v>
      </c>
      <c r="B3774" s="4">
        <v>63540020</v>
      </c>
    </row>
    <row r="3775" customHeight="1" spans="1:2">
      <c r="A3775" s="3" t="s">
        <v>9412</v>
      </c>
      <c r="B3775" s="4">
        <v>3254172</v>
      </c>
    </row>
    <row r="3776" customHeight="1" spans="1:2">
      <c r="A3776" s="3" t="s">
        <v>14509</v>
      </c>
      <c r="B3776" s="4">
        <v>93571803</v>
      </c>
    </row>
    <row r="3777" customHeight="1" spans="1:2">
      <c r="A3777" s="3" t="s">
        <v>6407</v>
      </c>
      <c r="B3777" s="4">
        <v>66466372</v>
      </c>
    </row>
    <row r="3778" customHeight="1" spans="1:2">
      <c r="A3778" s="3" t="s">
        <v>3590</v>
      </c>
      <c r="B3778" s="4">
        <v>27550735</v>
      </c>
    </row>
    <row r="3779" customHeight="1" spans="1:2">
      <c r="A3779" s="3" t="s">
        <v>6072</v>
      </c>
      <c r="B3779" s="4">
        <v>158348400</v>
      </c>
    </row>
    <row r="3780" customHeight="1" spans="1:2">
      <c r="A3780" s="3" t="s">
        <v>8136</v>
      </c>
      <c r="B3780" s="4">
        <v>105444419</v>
      </c>
    </row>
    <row r="3781" customHeight="1" spans="1:2">
      <c r="A3781" s="3" t="s">
        <v>10109</v>
      </c>
      <c r="B3781" s="4">
        <v>41895491</v>
      </c>
    </row>
    <row r="3782" customHeight="1" spans="1:2">
      <c r="A3782" s="3" t="s">
        <v>8502</v>
      </c>
      <c r="B3782" s="4">
        <v>28644770</v>
      </c>
    </row>
    <row r="3783" customHeight="1" spans="1:2">
      <c r="A3783" s="3" t="s">
        <v>4469</v>
      </c>
      <c r="B3783" s="4">
        <v>35231365</v>
      </c>
    </row>
    <row r="3784" customHeight="1" spans="1:2">
      <c r="A3784" s="3" t="s">
        <v>5696</v>
      </c>
      <c r="B3784" s="4">
        <v>130512915</v>
      </c>
    </row>
    <row r="3785" customHeight="1" spans="1:2">
      <c r="A3785" s="3" t="s">
        <v>17231</v>
      </c>
      <c r="B3785" s="4">
        <v>181798</v>
      </c>
    </row>
    <row r="3786" customHeight="1" spans="1:2">
      <c r="A3786" s="3" t="s">
        <v>1944</v>
      </c>
      <c r="B3786" s="4">
        <v>9213</v>
      </c>
    </row>
    <row r="3787" customHeight="1" spans="1:2">
      <c r="A3787" s="3" t="s">
        <v>11833</v>
      </c>
      <c r="B3787" s="4">
        <v>42756000</v>
      </c>
    </row>
    <row r="3788" customHeight="1" spans="1:2">
      <c r="A3788" s="3" t="s">
        <v>24145</v>
      </c>
      <c r="B3788" s="4"/>
    </row>
    <row r="3789" customHeight="1" spans="1:2">
      <c r="A3789" s="3" t="s">
        <v>4691</v>
      </c>
      <c r="B3789" s="4">
        <v>25040293</v>
      </c>
    </row>
    <row r="3790" customHeight="1" spans="1:2">
      <c r="A3790" s="3" t="s">
        <v>15228</v>
      </c>
      <c r="B3790" s="4">
        <v>26583369</v>
      </c>
    </row>
    <row r="3791" customHeight="1" spans="1:2">
      <c r="A3791" s="3" t="s">
        <v>17821</v>
      </c>
      <c r="B3791" s="4">
        <v>6755271</v>
      </c>
    </row>
    <row r="3792" customHeight="1" spans="1:2">
      <c r="A3792" s="3" t="s">
        <v>7765</v>
      </c>
      <c r="B3792" s="4">
        <v>10139254</v>
      </c>
    </row>
    <row r="3793" customHeight="1" spans="1:2">
      <c r="A3793" s="3" t="s">
        <v>7596</v>
      </c>
      <c r="B3793" s="4">
        <v>18306166</v>
      </c>
    </row>
    <row r="3794" customHeight="1" spans="1:2">
      <c r="A3794" s="3" t="s">
        <v>16870</v>
      </c>
      <c r="B3794" s="4"/>
    </row>
    <row r="3795" customHeight="1" spans="1:2">
      <c r="A3795" s="3" t="s">
        <v>14955</v>
      </c>
      <c r="B3795" s="4">
        <v>25464480</v>
      </c>
    </row>
    <row r="3796" customHeight="1" spans="1:2">
      <c r="A3796" s="3" t="s">
        <v>23813</v>
      </c>
      <c r="B3796" s="4">
        <v>40557</v>
      </c>
    </row>
    <row r="3797" customHeight="1" spans="1:2">
      <c r="A3797" s="3" t="s">
        <v>10750</v>
      </c>
      <c r="B3797" s="4"/>
    </row>
    <row r="3798" customHeight="1" spans="1:2">
      <c r="A3798" s="3" t="s">
        <v>18469</v>
      </c>
      <c r="B3798" s="4"/>
    </row>
    <row r="3799" customHeight="1" spans="1:2">
      <c r="A3799" s="3" t="s">
        <v>11542</v>
      </c>
      <c r="B3799" s="4"/>
    </row>
    <row r="3800" customHeight="1" spans="1:2">
      <c r="A3800" s="3" t="s">
        <v>23308</v>
      </c>
      <c r="B3800" s="4"/>
    </row>
    <row r="3801" customHeight="1" spans="1:2">
      <c r="A3801" s="3" t="s">
        <v>6011</v>
      </c>
      <c r="B3801" s="4">
        <v>183875760</v>
      </c>
    </row>
    <row r="3802" customHeight="1" spans="1:2">
      <c r="A3802" s="3" t="s">
        <v>18864</v>
      </c>
      <c r="B3802" s="4">
        <v>91714906</v>
      </c>
    </row>
    <row r="3803" customHeight="1" spans="1:2">
      <c r="A3803" s="3" t="s">
        <v>13977</v>
      </c>
      <c r="B3803" s="4">
        <v>1227324</v>
      </c>
    </row>
    <row r="3804" customHeight="1" spans="1:2">
      <c r="A3804" s="3" t="s">
        <v>23690</v>
      </c>
      <c r="B3804" s="4">
        <v>22757819</v>
      </c>
    </row>
    <row r="3805" customHeight="1" spans="1:2">
      <c r="A3805" s="3" t="s">
        <v>9708</v>
      </c>
      <c r="B3805" s="4">
        <v>67262442</v>
      </c>
    </row>
    <row r="3806" customHeight="1" spans="1:2">
      <c r="A3806" s="3" t="s">
        <v>11450</v>
      </c>
      <c r="B3806" s="4">
        <v>375474</v>
      </c>
    </row>
    <row r="3807" customHeight="1" spans="1:2">
      <c r="A3807" s="3" t="s">
        <v>10353</v>
      </c>
      <c r="B3807" s="4">
        <v>90636983</v>
      </c>
    </row>
    <row r="3808" customHeight="1" spans="1:2">
      <c r="A3808" s="3" t="s">
        <v>5217</v>
      </c>
      <c r="B3808" s="4">
        <v>48265581</v>
      </c>
    </row>
    <row r="3809" customHeight="1" spans="1:2">
      <c r="A3809" s="3" t="s">
        <v>20948</v>
      </c>
      <c r="B3809" s="4">
        <v>2408553</v>
      </c>
    </row>
    <row r="3810" customHeight="1" spans="1:2">
      <c r="A3810" s="3" t="s">
        <v>3967</v>
      </c>
      <c r="B3810" s="4">
        <v>102678089</v>
      </c>
    </row>
    <row r="3811" customHeight="1" spans="1:2">
      <c r="A3811" s="3" t="s">
        <v>18728</v>
      </c>
      <c r="B3811" s="4"/>
    </row>
    <row r="3812" customHeight="1" spans="1:2">
      <c r="A3812" s="3" t="s">
        <v>20549</v>
      </c>
      <c r="B3812" s="4">
        <v>2436</v>
      </c>
    </row>
    <row r="3813" customHeight="1" spans="1:2">
      <c r="A3813" s="3" t="s">
        <v>4720</v>
      </c>
      <c r="B3813" s="4">
        <v>38553833</v>
      </c>
    </row>
    <row r="3814" customHeight="1" spans="1:2">
      <c r="A3814" s="3" t="s">
        <v>5945</v>
      </c>
      <c r="B3814" s="4">
        <v>15523168</v>
      </c>
    </row>
    <row r="3815" customHeight="1" spans="1:2">
      <c r="A3815" s="3" t="s">
        <v>15053</v>
      </c>
      <c r="B3815" s="4">
        <v>87542582</v>
      </c>
    </row>
    <row r="3816" customHeight="1" spans="1:2">
      <c r="A3816" s="3" t="s">
        <v>9826</v>
      </c>
      <c r="B3816" s="4">
        <v>14589444</v>
      </c>
    </row>
    <row r="3817" customHeight="1" spans="1:2">
      <c r="A3817" s="3" t="s">
        <v>15791</v>
      </c>
      <c r="B3817" s="4">
        <v>2874</v>
      </c>
    </row>
    <row r="3818" customHeight="1" spans="1:2">
      <c r="A3818" s="3" t="s">
        <v>2145</v>
      </c>
      <c r="B3818" s="4">
        <v>102515793</v>
      </c>
    </row>
    <row r="3819" customHeight="1" spans="1:2">
      <c r="A3819" s="3" t="s">
        <v>21269</v>
      </c>
      <c r="B3819" s="4"/>
    </row>
    <row r="3820" customHeight="1" spans="1:2">
      <c r="A3820" s="3" t="s">
        <v>9604</v>
      </c>
      <c r="B3820" s="4">
        <v>45089048</v>
      </c>
    </row>
    <row r="3821" customHeight="1" spans="1:2">
      <c r="A3821" s="3" t="s">
        <v>10438</v>
      </c>
      <c r="B3821" s="4">
        <v>17951431</v>
      </c>
    </row>
    <row r="3822" customHeight="1" spans="1:2">
      <c r="A3822" s="3" t="s">
        <v>5904</v>
      </c>
      <c r="B3822" s="4">
        <v>20400913</v>
      </c>
    </row>
    <row r="3823" customHeight="1" spans="1:2">
      <c r="A3823" s="3" t="s">
        <v>16455</v>
      </c>
      <c r="B3823" s="4">
        <v>134821952</v>
      </c>
    </row>
    <row r="3824" customHeight="1" spans="1:2">
      <c r="A3824" s="3" t="s">
        <v>13656</v>
      </c>
      <c r="B3824" s="4">
        <v>57300000</v>
      </c>
    </row>
    <row r="3825" customHeight="1" spans="1:2">
      <c r="A3825" s="3" t="s">
        <v>4852</v>
      </c>
      <c r="B3825" s="4">
        <v>66676062</v>
      </c>
    </row>
    <row r="3826" customHeight="1" spans="1:2">
      <c r="A3826" s="3" t="s">
        <v>14026</v>
      </c>
      <c r="B3826" s="4">
        <v>79817937</v>
      </c>
    </row>
    <row r="3827" customHeight="1" spans="1:2">
      <c r="A3827" s="3" t="s">
        <v>204</v>
      </c>
      <c r="B3827" s="4">
        <v>70083519</v>
      </c>
    </row>
    <row r="3828" customHeight="1" spans="1:2">
      <c r="A3828" s="3" t="s">
        <v>400</v>
      </c>
      <c r="B3828" s="4">
        <v>123070338</v>
      </c>
    </row>
    <row r="3829" customHeight="1" spans="1:2">
      <c r="A3829" s="3" t="s">
        <v>8020</v>
      </c>
      <c r="B3829" s="4">
        <v>1304837</v>
      </c>
    </row>
    <row r="3830" customHeight="1" spans="1:2">
      <c r="A3830" s="3" t="s">
        <v>16083</v>
      </c>
      <c r="B3830" s="4">
        <v>14015786</v>
      </c>
    </row>
    <row r="3831" customHeight="1" spans="1:2">
      <c r="A3831" s="3" t="s">
        <v>15391</v>
      </c>
      <c r="B3831" s="4">
        <v>100503</v>
      </c>
    </row>
    <row r="3832" customHeight="1" spans="1:2">
      <c r="A3832" s="3" t="s">
        <v>18846</v>
      </c>
      <c r="B3832" s="4">
        <v>19959</v>
      </c>
    </row>
    <row r="3833" customHeight="1" spans="1:2">
      <c r="A3833" s="3" t="s">
        <v>13281</v>
      </c>
      <c r="B3833" s="4">
        <v>20380</v>
      </c>
    </row>
    <row r="3834" customHeight="1" spans="1:2">
      <c r="A3834" s="3" t="s">
        <v>8678</v>
      </c>
      <c r="B3834" s="4">
        <v>3517797</v>
      </c>
    </row>
    <row r="3835" customHeight="1" spans="1:2">
      <c r="A3835" s="3" t="s">
        <v>21330</v>
      </c>
      <c r="B3835" s="4">
        <v>6100000</v>
      </c>
    </row>
    <row r="3836" customHeight="1" spans="1:2">
      <c r="A3836" s="3" t="s">
        <v>15488</v>
      </c>
      <c r="B3836" s="4">
        <v>128486</v>
      </c>
    </row>
    <row r="3837" customHeight="1" spans="1:2">
      <c r="A3837" s="3" t="s">
        <v>15035</v>
      </c>
      <c r="B3837" s="4">
        <v>15102127</v>
      </c>
    </row>
    <row r="3838" customHeight="1" spans="1:2">
      <c r="A3838" s="3" t="s">
        <v>23410</v>
      </c>
      <c r="B3838" s="4">
        <v>2428241</v>
      </c>
    </row>
    <row r="3839" customHeight="1" spans="1:2">
      <c r="A3839" s="3" t="s">
        <v>8058</v>
      </c>
      <c r="B3839" s="4">
        <v>59073773</v>
      </c>
    </row>
    <row r="3840" customHeight="1" spans="1:2">
      <c r="A3840" s="3" t="s">
        <v>19499</v>
      </c>
      <c r="B3840" s="4"/>
    </row>
    <row r="3841" customHeight="1" spans="1:2">
      <c r="A3841" s="3" t="s">
        <v>6982</v>
      </c>
      <c r="B3841" s="4">
        <v>6594136</v>
      </c>
    </row>
    <row r="3842" customHeight="1" spans="1:2">
      <c r="A3842" s="3" t="s">
        <v>14332</v>
      </c>
      <c r="B3842" s="4">
        <v>2835886</v>
      </c>
    </row>
    <row r="3843" customHeight="1" spans="1:2">
      <c r="A3843" s="3" t="s">
        <v>12847</v>
      </c>
      <c r="B3843" s="4">
        <v>30226144</v>
      </c>
    </row>
    <row r="3844" customHeight="1" spans="1:2">
      <c r="A3844" s="3" t="s">
        <v>18493</v>
      </c>
      <c r="B3844" s="4"/>
    </row>
    <row r="3845" customHeight="1" spans="1:2">
      <c r="A3845" s="3" t="s">
        <v>368</v>
      </c>
      <c r="B3845" s="4">
        <v>289625592</v>
      </c>
    </row>
    <row r="3846" customHeight="1" spans="1:2">
      <c r="A3846" s="3" t="s">
        <v>4427</v>
      </c>
      <c r="B3846" s="4">
        <v>10166502</v>
      </c>
    </row>
    <row r="3847" customHeight="1" spans="1:2">
      <c r="A3847" s="3" t="s">
        <v>17209</v>
      </c>
      <c r="B3847" s="4"/>
    </row>
    <row r="3848" customHeight="1" spans="1:2">
      <c r="A3848" s="3" t="s">
        <v>9800</v>
      </c>
      <c r="B3848" s="4">
        <v>15331289</v>
      </c>
    </row>
    <row r="3849" customHeight="1" spans="1:2">
      <c r="A3849" s="3" t="s">
        <v>20704</v>
      </c>
      <c r="B3849" s="4">
        <v>638476</v>
      </c>
    </row>
    <row r="3850" customHeight="1" spans="1:2">
      <c r="A3850" s="3" t="s">
        <v>18447</v>
      </c>
      <c r="B3850" s="4">
        <v>36000000</v>
      </c>
    </row>
    <row r="3851" customHeight="1" spans="1:2">
      <c r="A3851" s="3" t="s">
        <v>11146</v>
      </c>
      <c r="B3851" s="4">
        <v>8000000</v>
      </c>
    </row>
    <row r="3852" customHeight="1" spans="1:2">
      <c r="A3852" s="3" t="s">
        <v>17235</v>
      </c>
      <c r="B3852" s="4">
        <v>115862</v>
      </c>
    </row>
    <row r="3853" customHeight="1" spans="1:2">
      <c r="A3853" s="3" t="s">
        <v>1559</v>
      </c>
      <c r="B3853" s="4">
        <v>98780042</v>
      </c>
    </row>
    <row r="3854" customHeight="1" spans="1:2">
      <c r="A3854" s="3" t="s">
        <v>21611</v>
      </c>
      <c r="B3854" s="4">
        <v>7186670</v>
      </c>
    </row>
    <row r="3855" customHeight="1" spans="1:2">
      <c r="A3855" s="3" t="s">
        <v>3940</v>
      </c>
      <c r="B3855" s="4">
        <v>136801374</v>
      </c>
    </row>
    <row r="3856" customHeight="1" spans="1:2">
      <c r="A3856" s="3" t="s">
        <v>9523</v>
      </c>
      <c r="B3856" s="4">
        <v>51533608</v>
      </c>
    </row>
    <row r="3857" customHeight="1" spans="1:2">
      <c r="A3857" s="3" t="s">
        <v>10821</v>
      </c>
      <c r="B3857" s="4">
        <v>39143839</v>
      </c>
    </row>
    <row r="3858" customHeight="1" spans="1:2">
      <c r="A3858" s="3" t="s">
        <v>14829</v>
      </c>
      <c r="B3858" s="4">
        <v>110175871</v>
      </c>
    </row>
    <row r="3859" customHeight="1" spans="1:2">
      <c r="A3859" s="3" t="s">
        <v>17129</v>
      </c>
      <c r="B3859" s="4">
        <v>5359774</v>
      </c>
    </row>
    <row r="3860" customHeight="1" spans="1:2">
      <c r="A3860" s="3" t="s">
        <v>6559</v>
      </c>
      <c r="B3860" s="4">
        <v>37101011</v>
      </c>
    </row>
    <row r="3861" customHeight="1" spans="1:2">
      <c r="A3861" s="3" t="s">
        <v>6852</v>
      </c>
      <c r="B3861" s="4">
        <v>10640645</v>
      </c>
    </row>
    <row r="3862" customHeight="1" spans="1:2">
      <c r="A3862" s="3" t="s">
        <v>14642</v>
      </c>
      <c r="B3862" s="4">
        <v>3034181</v>
      </c>
    </row>
    <row r="3863" customHeight="1" spans="1:2">
      <c r="A3863" s="3" t="s">
        <v>22360</v>
      </c>
      <c r="B3863" s="4"/>
    </row>
    <row r="3864" customHeight="1" spans="1:2">
      <c r="A3864" s="3" t="s">
        <v>22096</v>
      </c>
      <c r="B3864" s="4">
        <v>442638</v>
      </c>
    </row>
    <row r="3865" customHeight="1" spans="1:2">
      <c r="A3865" s="3" t="s">
        <v>2546</v>
      </c>
      <c r="B3865" s="4">
        <v>254455986</v>
      </c>
    </row>
    <row r="3866" customHeight="1" spans="1:2">
      <c r="A3866" s="3" t="s">
        <v>7232</v>
      </c>
      <c r="B3866" s="4">
        <v>277313371</v>
      </c>
    </row>
    <row r="3867" customHeight="1" spans="1:2">
      <c r="A3867" s="3" t="s">
        <v>4094</v>
      </c>
      <c r="B3867" s="4">
        <v>64505912</v>
      </c>
    </row>
    <row r="3868" customHeight="1" spans="1:2">
      <c r="A3868" s="3" t="s">
        <v>22461</v>
      </c>
      <c r="B3868" s="4">
        <v>2245</v>
      </c>
    </row>
    <row r="3869" customHeight="1" spans="1:2">
      <c r="A3869" s="3" t="s">
        <v>3910</v>
      </c>
      <c r="B3869" s="4">
        <v>54116191</v>
      </c>
    </row>
    <row r="3870" customHeight="1" spans="1:2">
      <c r="A3870" s="3" t="s">
        <v>2199</v>
      </c>
      <c r="B3870" s="4">
        <v>75817994</v>
      </c>
    </row>
    <row r="3871" customHeight="1" spans="1:2">
      <c r="A3871" s="3" t="s">
        <v>15885</v>
      </c>
      <c r="B3871" s="4"/>
    </row>
    <row r="3872" customHeight="1" spans="1:2">
      <c r="A3872" s="3" t="s">
        <v>17728</v>
      </c>
      <c r="B3872" s="4">
        <v>13350177</v>
      </c>
    </row>
    <row r="3873" customHeight="1" spans="1:2">
      <c r="A3873" s="3" t="s">
        <v>2667</v>
      </c>
      <c r="B3873" s="4">
        <v>91188905</v>
      </c>
    </row>
    <row r="3874" customHeight="1" spans="1:2">
      <c r="A3874" s="3" t="s">
        <v>16716</v>
      </c>
      <c r="B3874" s="4">
        <v>196067</v>
      </c>
    </row>
    <row r="3875" customHeight="1" spans="1:2">
      <c r="A3875" s="3" t="s">
        <v>6109</v>
      </c>
      <c r="B3875" s="4">
        <v>159578352</v>
      </c>
    </row>
    <row r="3876" customHeight="1" spans="1:2">
      <c r="A3876" s="3" t="s">
        <v>21207</v>
      </c>
      <c r="B3876" s="4">
        <v>19539</v>
      </c>
    </row>
    <row r="3877" customHeight="1" spans="1:2">
      <c r="A3877" s="3" t="s">
        <v>21870</v>
      </c>
      <c r="B3877" s="4"/>
    </row>
    <row r="3878" customHeight="1" spans="1:2">
      <c r="A3878" s="3" t="s">
        <v>9408</v>
      </c>
      <c r="B3878" s="4">
        <v>169705587</v>
      </c>
    </row>
    <row r="3879" customHeight="1" spans="1:2">
      <c r="A3879" s="3" t="s">
        <v>12930</v>
      </c>
      <c r="B3879" s="4">
        <v>20801344</v>
      </c>
    </row>
    <row r="3880" customHeight="1" spans="1:2">
      <c r="A3880" s="3" t="s">
        <v>12202</v>
      </c>
      <c r="B3880" s="4">
        <v>41777564</v>
      </c>
    </row>
    <row r="3881" customHeight="1" spans="1:2">
      <c r="A3881" s="3" t="s">
        <v>18849</v>
      </c>
      <c r="B3881" s="4">
        <v>2706659</v>
      </c>
    </row>
    <row r="3882" customHeight="1" spans="1:2">
      <c r="A3882" s="3" t="s">
        <v>17288</v>
      </c>
      <c r="B3882" s="4"/>
    </row>
    <row r="3883" customHeight="1" spans="1:2">
      <c r="A3883" s="3" t="s">
        <v>5827</v>
      </c>
      <c r="B3883" s="4">
        <v>51019112</v>
      </c>
    </row>
    <row r="3884" customHeight="1" spans="1:2">
      <c r="A3884" s="3" t="s">
        <v>9938</v>
      </c>
      <c r="B3884" s="4">
        <v>7156933</v>
      </c>
    </row>
    <row r="3885" customHeight="1" spans="1:2">
      <c r="A3885" s="3" t="s">
        <v>679</v>
      </c>
      <c r="B3885" s="4">
        <v>303001229</v>
      </c>
    </row>
    <row r="3886" customHeight="1" spans="1:2">
      <c r="A3886" s="3" t="s">
        <v>177</v>
      </c>
      <c r="B3886" s="4">
        <v>255108370</v>
      </c>
    </row>
    <row r="3887" customHeight="1" spans="1:2">
      <c r="A3887" s="3" t="s">
        <v>196</v>
      </c>
      <c r="B3887" s="4">
        <v>258355354</v>
      </c>
    </row>
    <row r="3888" customHeight="1" spans="1:2">
      <c r="A3888" s="3" t="s">
        <v>16417</v>
      </c>
      <c r="B3888" s="4"/>
    </row>
    <row r="3889" customHeight="1" spans="1:2">
      <c r="A3889" s="3" t="s">
        <v>2370</v>
      </c>
      <c r="B3889" s="4">
        <v>63224849</v>
      </c>
    </row>
    <row r="3890" customHeight="1" spans="1:2">
      <c r="A3890" s="3" t="s">
        <v>21109</v>
      </c>
      <c r="B3890" s="4">
        <v>304124</v>
      </c>
    </row>
    <row r="3891" customHeight="1" spans="1:2">
      <c r="A3891" s="3" t="s">
        <v>12604</v>
      </c>
      <c r="B3891" s="4">
        <v>2428883</v>
      </c>
    </row>
    <row r="3892" customHeight="1" spans="1:2">
      <c r="A3892" s="3" t="s">
        <v>9152</v>
      </c>
      <c r="B3892" s="4"/>
    </row>
    <row r="3893" customHeight="1" spans="1:2">
      <c r="A3893" s="3" t="s">
        <v>22058</v>
      </c>
      <c r="B3893" s="4"/>
    </row>
    <row r="3894" customHeight="1" spans="1:2">
      <c r="A3894" s="3" t="s">
        <v>23586</v>
      </c>
      <c r="B3894" s="4">
        <v>155984</v>
      </c>
    </row>
    <row r="3895" customHeight="1" spans="1:2">
      <c r="A3895" s="3" t="s">
        <v>4045</v>
      </c>
      <c r="B3895" s="4">
        <v>75370763</v>
      </c>
    </row>
    <row r="3896" customHeight="1" spans="1:2">
      <c r="A3896" s="3" t="s">
        <v>7724</v>
      </c>
      <c r="B3896" s="4">
        <v>1877179</v>
      </c>
    </row>
    <row r="3897" customHeight="1" spans="1:2">
      <c r="A3897" s="3" t="s">
        <v>5353</v>
      </c>
      <c r="B3897" s="4">
        <v>28818411</v>
      </c>
    </row>
    <row r="3898" customHeight="1" spans="1:2">
      <c r="A3898" s="3" t="s">
        <v>16353</v>
      </c>
      <c r="B3898" s="4">
        <v>5100000</v>
      </c>
    </row>
    <row r="3899" customHeight="1" spans="1:2">
      <c r="A3899" s="3" t="s">
        <v>9625</v>
      </c>
      <c r="B3899" s="4">
        <v>41597830</v>
      </c>
    </row>
    <row r="3900" customHeight="1" spans="1:2">
      <c r="A3900" s="3" t="s">
        <v>9591</v>
      </c>
      <c r="B3900" s="4">
        <v>48237389</v>
      </c>
    </row>
    <row r="3901" customHeight="1" spans="1:2">
      <c r="A3901" s="3" t="s">
        <v>15204</v>
      </c>
      <c r="B3901" s="4">
        <v>3041803</v>
      </c>
    </row>
    <row r="3902" customHeight="1" spans="1:2">
      <c r="A3902" s="3" t="s">
        <v>21810</v>
      </c>
      <c r="B3902" s="4">
        <v>100659</v>
      </c>
    </row>
    <row r="3903" customHeight="1" spans="1:2">
      <c r="A3903" s="3" t="s">
        <v>21529</v>
      </c>
      <c r="B3903" s="4">
        <v>17986000</v>
      </c>
    </row>
    <row r="3904" customHeight="1" spans="1:2">
      <c r="A3904" s="3" t="s">
        <v>6878</v>
      </c>
      <c r="B3904" s="4">
        <v>2869369</v>
      </c>
    </row>
    <row r="3905" customHeight="1" spans="1:2">
      <c r="A3905" s="3" t="s">
        <v>1774</v>
      </c>
      <c r="B3905" s="4">
        <v>100117603</v>
      </c>
    </row>
    <row r="3906" customHeight="1" spans="1:2">
      <c r="A3906" s="3" t="s">
        <v>10371</v>
      </c>
      <c r="B3906" s="4">
        <v>54235441</v>
      </c>
    </row>
    <row r="3907" customHeight="1" spans="1:2">
      <c r="A3907" s="3" t="s">
        <v>2540</v>
      </c>
      <c r="B3907" s="4">
        <v>407999255</v>
      </c>
    </row>
    <row r="3908" customHeight="1" spans="1:2">
      <c r="A3908" s="3" t="s">
        <v>1173</v>
      </c>
      <c r="B3908" s="4">
        <v>424645577</v>
      </c>
    </row>
    <row r="3909" customHeight="1" spans="1:2">
      <c r="A3909" s="3" t="s">
        <v>1271</v>
      </c>
      <c r="B3909" s="4">
        <v>337103873</v>
      </c>
    </row>
    <row r="3910" customHeight="1" spans="1:2">
      <c r="A3910" s="3" t="s">
        <v>701</v>
      </c>
      <c r="B3910" s="4">
        <v>281666058</v>
      </c>
    </row>
    <row r="3911" customHeight="1" spans="1:2">
      <c r="A3911" s="3" t="s">
        <v>8116</v>
      </c>
      <c r="B3911" s="4">
        <v>122012643</v>
      </c>
    </row>
    <row r="3912" customHeight="1" spans="1:2">
      <c r="A3912" s="3" t="s">
        <v>19095</v>
      </c>
      <c r="B3912" s="4">
        <v>610968</v>
      </c>
    </row>
    <row r="3913" customHeight="1" spans="1:2">
      <c r="A3913" s="3" t="s">
        <v>4737</v>
      </c>
      <c r="B3913" s="4">
        <v>34238611</v>
      </c>
    </row>
    <row r="3914" customHeight="1" spans="1:2">
      <c r="A3914" s="3" t="s">
        <v>6874</v>
      </c>
      <c r="B3914" s="4">
        <v>876671</v>
      </c>
    </row>
    <row r="3915" customHeight="1" spans="1:2">
      <c r="A3915" s="3" t="s">
        <v>1474</v>
      </c>
      <c r="B3915" s="4">
        <v>47952020</v>
      </c>
    </row>
    <row r="3916" customHeight="1" spans="1:2">
      <c r="A3916" s="3" t="s">
        <v>6999</v>
      </c>
      <c r="B3916" s="4">
        <v>50668906</v>
      </c>
    </row>
    <row r="3917" customHeight="1" spans="1:2">
      <c r="A3917" s="3" t="s">
        <v>12974</v>
      </c>
      <c r="B3917" s="4">
        <v>15700000</v>
      </c>
    </row>
    <row r="3918" customHeight="1" spans="1:2">
      <c r="A3918" s="3" t="s">
        <v>20185</v>
      </c>
      <c r="B3918" s="4"/>
    </row>
    <row r="3919" customHeight="1" spans="1:2">
      <c r="A3919" s="3" t="s">
        <v>15810</v>
      </c>
      <c r="B3919" s="4"/>
    </row>
    <row r="3920" customHeight="1" spans="1:2">
      <c r="A3920" s="3" t="s">
        <v>15713</v>
      </c>
      <c r="B3920" s="4"/>
    </row>
    <row r="3921" customHeight="1" spans="1:2">
      <c r="A3921" s="3" t="s">
        <v>11934</v>
      </c>
      <c r="B3921" s="4">
        <v>7837632</v>
      </c>
    </row>
    <row r="3922" customHeight="1" spans="1:2">
      <c r="A3922" s="3" t="s">
        <v>15255</v>
      </c>
      <c r="B3922" s="4">
        <v>1939441</v>
      </c>
    </row>
    <row r="3923" customHeight="1" spans="1:2">
      <c r="A3923" s="3" t="s">
        <v>10220</v>
      </c>
      <c r="B3923" s="4">
        <v>40962534</v>
      </c>
    </row>
    <row r="3924" customHeight="1" spans="1:2">
      <c r="A3924" s="3" t="s">
        <v>12303</v>
      </c>
      <c r="B3924" s="4">
        <v>79651596</v>
      </c>
    </row>
    <row r="3925" customHeight="1" spans="1:2">
      <c r="A3925" s="3" t="s">
        <v>23901</v>
      </c>
      <c r="B3925" s="4"/>
    </row>
    <row r="3926" customHeight="1" spans="1:2">
      <c r="A3926" s="3" t="s">
        <v>8635</v>
      </c>
      <c r="B3926" s="4">
        <v>7689458</v>
      </c>
    </row>
    <row r="3927" customHeight="1" spans="1:2">
      <c r="A3927" s="3" t="s">
        <v>12705</v>
      </c>
      <c r="B3927" s="4">
        <v>91121452</v>
      </c>
    </row>
    <row r="3928" customHeight="1" spans="1:2">
      <c r="A3928" s="3" t="s">
        <v>12558</v>
      </c>
      <c r="B3928" s="4">
        <v>1984743</v>
      </c>
    </row>
    <row r="3929" customHeight="1" spans="1:2">
      <c r="A3929" s="3" t="s">
        <v>13102</v>
      </c>
      <c r="B3929" s="4">
        <v>8378141</v>
      </c>
    </row>
    <row r="3930" customHeight="1" spans="1:2">
      <c r="A3930" s="3" t="s">
        <v>6740</v>
      </c>
      <c r="B3930" s="4">
        <v>18996755</v>
      </c>
    </row>
    <row r="3931" customHeight="1" spans="1:2">
      <c r="A3931" s="3" t="s">
        <v>13142</v>
      </c>
      <c r="B3931" s="4">
        <v>5217498</v>
      </c>
    </row>
    <row r="3932" customHeight="1" spans="1:2">
      <c r="A3932" s="3" t="s">
        <v>17346</v>
      </c>
      <c r="B3932" s="4"/>
    </row>
    <row r="3933" customHeight="1" spans="1:2">
      <c r="A3933" s="3" t="s">
        <v>8008</v>
      </c>
      <c r="B3933" s="4">
        <v>22525921</v>
      </c>
    </row>
    <row r="3934" customHeight="1" spans="1:2">
      <c r="A3934" s="3" t="s">
        <v>1117</v>
      </c>
      <c r="B3934" s="4">
        <v>134518390</v>
      </c>
    </row>
    <row r="3935" customHeight="1" spans="1:2">
      <c r="A3935" s="3" t="s">
        <v>2064</v>
      </c>
      <c r="B3935" s="4">
        <v>261437578</v>
      </c>
    </row>
    <row r="3936" customHeight="1" spans="1:2">
      <c r="A3936" s="3" t="s">
        <v>23168</v>
      </c>
      <c r="B3936" s="4">
        <v>1977544</v>
      </c>
    </row>
    <row r="3937" customHeight="1" spans="1:2">
      <c r="A3937" s="3" t="s">
        <v>5853</v>
      </c>
      <c r="B3937" s="4">
        <v>35617599</v>
      </c>
    </row>
    <row r="3938" customHeight="1" spans="1:2">
      <c r="A3938" s="3" t="s">
        <v>5688</v>
      </c>
      <c r="B3938" s="4">
        <v>14946229</v>
      </c>
    </row>
    <row r="3939" customHeight="1" spans="1:2">
      <c r="A3939" s="3" t="s">
        <v>10395</v>
      </c>
      <c r="B3939" s="4">
        <v>33313582</v>
      </c>
    </row>
    <row r="3940" customHeight="1" spans="1:2">
      <c r="A3940" s="3" t="s">
        <v>12046</v>
      </c>
      <c r="B3940" s="4"/>
    </row>
    <row r="3941" customHeight="1" spans="1:2">
      <c r="A3941" s="3" t="s">
        <v>16112</v>
      </c>
      <c r="B3941" s="4">
        <v>8880705</v>
      </c>
    </row>
    <row r="3942" customHeight="1" spans="1:2">
      <c r="A3942" s="3" t="s">
        <v>22258</v>
      </c>
      <c r="B3942" s="4">
        <v>77501</v>
      </c>
    </row>
    <row r="3943" customHeight="1" spans="1:2">
      <c r="A3943" s="3" t="s">
        <v>3583</v>
      </c>
      <c r="B3943" s="4">
        <v>28965197</v>
      </c>
    </row>
    <row r="3944" customHeight="1" spans="1:2">
      <c r="A3944" s="3" t="s">
        <v>6344</v>
      </c>
      <c r="B3944" s="4">
        <v>75274748</v>
      </c>
    </row>
    <row r="3945" customHeight="1" spans="1:2">
      <c r="A3945" s="3" t="s">
        <v>5365</v>
      </c>
      <c r="B3945" s="4">
        <v>25450527</v>
      </c>
    </row>
    <row r="3946" customHeight="1" spans="1:2">
      <c r="A3946" s="3" t="s">
        <v>4497</v>
      </c>
      <c r="B3946" s="4">
        <v>44665963</v>
      </c>
    </row>
    <row r="3947" customHeight="1" spans="1:2">
      <c r="A3947" s="3" t="s">
        <v>2219</v>
      </c>
      <c r="B3947" s="4">
        <v>72515360</v>
      </c>
    </row>
    <row r="3948" customHeight="1" spans="1:2">
      <c r="A3948" s="3" t="s">
        <v>6180</v>
      </c>
      <c r="B3948" s="4">
        <v>6105175</v>
      </c>
    </row>
    <row r="3949" customHeight="1" spans="1:2">
      <c r="A3949" s="3" t="s">
        <v>2957</v>
      </c>
      <c r="B3949" s="4">
        <v>15071514</v>
      </c>
    </row>
    <row r="3950" customHeight="1" spans="1:2">
      <c r="A3950" s="3" t="s">
        <v>11713</v>
      </c>
      <c r="B3950" s="4">
        <v>18439082</v>
      </c>
    </row>
    <row r="3951" customHeight="1" spans="1:2">
      <c r="A3951" s="3" t="s">
        <v>5380</v>
      </c>
      <c r="B3951" s="4">
        <v>23159305</v>
      </c>
    </row>
    <row r="3952" customHeight="1" spans="1:2">
      <c r="A3952" s="3" t="s">
        <v>13421</v>
      </c>
      <c r="B3952" s="4">
        <v>29959436</v>
      </c>
    </row>
    <row r="3953" customHeight="1" spans="1:2">
      <c r="A3953" s="3" t="s">
        <v>6660</v>
      </c>
      <c r="B3953" s="4">
        <v>27663982</v>
      </c>
    </row>
    <row r="3954" customHeight="1" spans="1:2">
      <c r="A3954" s="3" t="s">
        <v>1677</v>
      </c>
      <c r="B3954" s="4">
        <v>71598052</v>
      </c>
    </row>
    <row r="3955" customHeight="1" spans="1:2">
      <c r="A3955" s="3" t="s">
        <v>3996</v>
      </c>
      <c r="B3955" s="4">
        <v>106126012</v>
      </c>
    </row>
    <row r="3956" customHeight="1" spans="1:2">
      <c r="A3956" s="3" t="s">
        <v>4129</v>
      </c>
      <c r="B3956" s="4">
        <v>54910560</v>
      </c>
    </row>
    <row r="3957" customHeight="1" spans="1:2">
      <c r="A3957" s="3" t="s">
        <v>8824</v>
      </c>
      <c r="B3957" s="4">
        <v>6301131</v>
      </c>
    </row>
    <row r="3958" customHeight="1" spans="1:2">
      <c r="A3958" s="3" t="s">
        <v>15409</v>
      </c>
      <c r="B3958" s="4"/>
    </row>
    <row r="3959" customHeight="1" spans="1:2">
      <c r="A3959" s="3" t="s">
        <v>18541</v>
      </c>
      <c r="B3959" s="4">
        <v>7557877</v>
      </c>
    </row>
    <row r="3960" customHeight="1" spans="1:2">
      <c r="A3960" s="3" t="s">
        <v>21879</v>
      </c>
      <c r="B3960" s="4">
        <v>703</v>
      </c>
    </row>
    <row r="3961" customHeight="1" spans="1:2">
      <c r="A3961" s="3" t="s">
        <v>15275</v>
      </c>
      <c r="B3961" s="4">
        <v>1474508</v>
      </c>
    </row>
    <row r="3962" customHeight="1" spans="1:2">
      <c r="A3962" s="3" t="s">
        <v>5257</v>
      </c>
      <c r="B3962" s="4">
        <v>47105085</v>
      </c>
    </row>
    <row r="3963" customHeight="1" spans="1:2">
      <c r="A3963" s="3" t="s">
        <v>10773</v>
      </c>
      <c r="B3963" s="4">
        <v>47887943</v>
      </c>
    </row>
    <row r="3964" customHeight="1" spans="1:2">
      <c r="A3964" s="3" t="s">
        <v>551</v>
      </c>
      <c r="B3964" s="4">
        <v>725290282</v>
      </c>
    </row>
    <row r="3965" customHeight="1" spans="1:2">
      <c r="A3965" s="3" t="s">
        <v>6026</v>
      </c>
      <c r="B3965" s="4">
        <v>44834712</v>
      </c>
    </row>
    <row r="3966" customHeight="1" spans="1:2">
      <c r="A3966" s="3" t="s">
        <v>6239</v>
      </c>
      <c r="B3966" s="4">
        <v>181600000</v>
      </c>
    </row>
    <row r="3967" customHeight="1" spans="1:2">
      <c r="A3967" s="3" t="s">
        <v>22402</v>
      </c>
      <c r="B3967" s="4"/>
    </row>
    <row r="3968" customHeight="1" spans="1:2">
      <c r="A3968" s="3" t="s">
        <v>3712</v>
      </c>
      <c r="B3968" s="4">
        <v>69688384</v>
      </c>
    </row>
    <row r="3969" customHeight="1" spans="1:2">
      <c r="A3969" s="3" t="s">
        <v>18482</v>
      </c>
      <c r="B3969" s="4">
        <v>20803237</v>
      </c>
    </row>
    <row r="3970" customHeight="1" spans="1:2">
      <c r="A3970" s="3" t="s">
        <v>13938</v>
      </c>
      <c r="B3970" s="4">
        <v>214966</v>
      </c>
    </row>
    <row r="3971" customHeight="1" spans="1:2">
      <c r="A3971" s="3" t="s">
        <v>22721</v>
      </c>
      <c r="B3971" s="4"/>
    </row>
    <row r="3972" customHeight="1" spans="1:2">
      <c r="A3972" s="3" t="s">
        <v>3226</v>
      </c>
      <c r="B3972" s="4">
        <v>47456450</v>
      </c>
    </row>
    <row r="3973" customHeight="1" spans="1:2">
      <c r="A3973" s="3" t="s">
        <v>12672</v>
      </c>
      <c r="B3973" s="4">
        <v>138795342</v>
      </c>
    </row>
    <row r="3974" customHeight="1" spans="1:2">
      <c r="A3974" s="3" t="s">
        <v>11115</v>
      </c>
      <c r="B3974" s="4">
        <v>15797907</v>
      </c>
    </row>
    <row r="3975" customHeight="1" spans="1:2">
      <c r="A3975" s="3" t="s">
        <v>21371</v>
      </c>
      <c r="B3975" s="4">
        <v>3830</v>
      </c>
    </row>
    <row r="3976" customHeight="1" spans="1:2">
      <c r="A3976" s="3" t="s">
        <v>14596</v>
      </c>
      <c r="B3976" s="4">
        <v>13592872</v>
      </c>
    </row>
    <row r="3977" customHeight="1" spans="1:2">
      <c r="A3977" s="3" t="s">
        <v>20526</v>
      </c>
      <c r="B3977" s="4">
        <v>7927</v>
      </c>
    </row>
    <row r="3978" customHeight="1" spans="1:2">
      <c r="A3978" s="3" t="s">
        <v>7412</v>
      </c>
      <c r="B3978" s="4">
        <v>39692139</v>
      </c>
    </row>
    <row r="3979" customHeight="1" spans="1:2">
      <c r="A3979" s="3" t="s">
        <v>6488</v>
      </c>
      <c r="B3979" s="4">
        <v>52320979</v>
      </c>
    </row>
    <row r="3980" customHeight="1" spans="1:2">
      <c r="A3980" s="3" t="s">
        <v>13994</v>
      </c>
      <c r="B3980" s="4">
        <v>48092846</v>
      </c>
    </row>
    <row r="3981" customHeight="1" spans="1:2">
      <c r="A3981" s="3" t="s">
        <v>16217</v>
      </c>
      <c r="B3981" s="4">
        <v>146083</v>
      </c>
    </row>
    <row r="3982" customHeight="1" spans="1:2">
      <c r="A3982" s="3" t="s">
        <v>917</v>
      </c>
      <c r="B3982" s="4">
        <v>131564731</v>
      </c>
    </row>
    <row r="3983" customHeight="1" spans="1:2">
      <c r="A3983" s="3" t="s">
        <v>21831</v>
      </c>
      <c r="B3983" s="4">
        <v>22434</v>
      </c>
    </row>
    <row r="3984" customHeight="1" spans="1:2">
      <c r="A3984" s="3" t="s">
        <v>4354</v>
      </c>
      <c r="B3984" s="4">
        <v>18208078</v>
      </c>
    </row>
    <row r="3985" customHeight="1" spans="1:2">
      <c r="A3985" s="3" t="s">
        <v>14717</v>
      </c>
      <c r="B3985" s="4">
        <v>23838</v>
      </c>
    </row>
    <row r="3986" customHeight="1" spans="1:2">
      <c r="A3986" s="3" t="s">
        <v>14888</v>
      </c>
      <c r="B3986" s="4">
        <v>33000000</v>
      </c>
    </row>
    <row r="3987" customHeight="1" spans="1:2">
      <c r="A3987" s="3" t="s">
        <v>9553</v>
      </c>
      <c r="B3987" s="4">
        <v>43984230</v>
      </c>
    </row>
    <row r="3988" customHeight="1" spans="1:2">
      <c r="A3988" s="3" t="s">
        <v>18505</v>
      </c>
      <c r="B3988" s="4">
        <v>15152879</v>
      </c>
    </row>
    <row r="3989" customHeight="1" spans="1:2">
      <c r="A3989" s="3" t="s">
        <v>20659</v>
      </c>
      <c r="B3989" s="4">
        <v>40990055</v>
      </c>
    </row>
    <row r="3990" customHeight="1" spans="1:2">
      <c r="A3990" s="3" t="s">
        <v>20425</v>
      </c>
      <c r="B3990" s="4">
        <v>137945</v>
      </c>
    </row>
    <row r="3991" customHeight="1" spans="1:2">
      <c r="A3991" s="3" t="s">
        <v>13645</v>
      </c>
      <c r="B3991" s="4">
        <v>163591</v>
      </c>
    </row>
    <row r="3992" customHeight="1" spans="1:2">
      <c r="A3992" s="3" t="s">
        <v>12832</v>
      </c>
      <c r="B3992" s="4">
        <v>65443270</v>
      </c>
    </row>
    <row r="3993" customHeight="1" spans="1:2">
      <c r="A3993" s="3" t="s">
        <v>17086</v>
      </c>
      <c r="B3993" s="4">
        <v>17605861</v>
      </c>
    </row>
    <row r="3994" customHeight="1" spans="1:2">
      <c r="A3994" s="3" t="s">
        <v>3622</v>
      </c>
      <c r="B3994" s="4">
        <v>5932060</v>
      </c>
    </row>
    <row r="3995" customHeight="1" spans="1:2">
      <c r="A3995" s="3" t="s">
        <v>6354</v>
      </c>
      <c r="B3995" s="4">
        <v>72455275</v>
      </c>
    </row>
    <row r="3996" customHeight="1" spans="1:2">
      <c r="A3996" s="3" t="s">
        <v>1020</v>
      </c>
      <c r="B3996" s="4">
        <v>111110575</v>
      </c>
    </row>
    <row r="3997" customHeight="1" spans="1:2">
      <c r="A3997" s="3" t="s">
        <v>6903</v>
      </c>
      <c r="B3997" s="4">
        <v>463730</v>
      </c>
    </row>
    <row r="3998" customHeight="1" spans="1:2">
      <c r="A3998" s="3" t="s">
        <v>20028</v>
      </c>
      <c r="B3998" s="4">
        <v>379643</v>
      </c>
    </row>
    <row r="3999" customHeight="1" spans="1:2">
      <c r="A3999" s="3" t="s">
        <v>10720</v>
      </c>
      <c r="B3999" s="4">
        <v>62933793</v>
      </c>
    </row>
    <row r="4000" customHeight="1" spans="1:2">
      <c r="A4000" s="3" t="s">
        <v>8611</v>
      </c>
      <c r="B4000" s="4">
        <v>12026670</v>
      </c>
    </row>
    <row r="4001" customHeight="1" spans="1:2">
      <c r="A4001" s="3" t="s">
        <v>11967</v>
      </c>
      <c r="B4001" s="4">
        <v>6615578</v>
      </c>
    </row>
    <row r="4002" customHeight="1" spans="1:2">
      <c r="A4002" s="3" t="s">
        <v>16592</v>
      </c>
      <c r="B4002" s="4">
        <v>8373585</v>
      </c>
    </row>
    <row r="4003" customHeight="1" spans="1:2">
      <c r="A4003" s="3" t="s">
        <v>18706</v>
      </c>
      <c r="B4003" s="4">
        <v>12836</v>
      </c>
    </row>
    <row r="4004" customHeight="1" spans="1:2">
      <c r="A4004" s="3" t="s">
        <v>23936</v>
      </c>
      <c r="B4004" s="4">
        <v>321952</v>
      </c>
    </row>
    <row r="4005" customHeight="1" spans="1:2">
      <c r="A4005" s="3" t="s">
        <v>2873</v>
      </c>
      <c r="B4005" s="4">
        <v>27356090</v>
      </c>
    </row>
    <row r="4006" customHeight="1" spans="1:2">
      <c r="A4006" s="3" t="s">
        <v>14893</v>
      </c>
      <c r="B4006" s="4">
        <v>32101000</v>
      </c>
    </row>
    <row r="4007" customHeight="1" spans="1:2">
      <c r="A4007" s="3" t="s">
        <v>17606</v>
      </c>
      <c r="B4007" s="4">
        <v>25799043</v>
      </c>
    </row>
    <row r="4008" customHeight="1" spans="1:2">
      <c r="A4008" s="3" t="s">
        <v>2974</v>
      </c>
      <c r="B4008" s="4">
        <v>66462600</v>
      </c>
    </row>
    <row r="4009" customHeight="1" spans="1:2">
      <c r="A4009" s="3" t="s">
        <v>4302</v>
      </c>
      <c r="B4009" s="4">
        <v>30695227</v>
      </c>
    </row>
    <row r="4010" customHeight="1" spans="1:2">
      <c r="A4010" s="3" t="s">
        <v>20161</v>
      </c>
      <c r="B4010" s="4">
        <v>11546543</v>
      </c>
    </row>
    <row r="4011" customHeight="1" spans="1:2">
      <c r="A4011" s="3" t="s">
        <v>23954</v>
      </c>
      <c r="B4011" s="4">
        <v>243768</v>
      </c>
    </row>
    <row r="4012" customHeight="1" spans="1:2">
      <c r="A4012" s="3" t="s">
        <v>20580</v>
      </c>
      <c r="B4012" s="4"/>
    </row>
    <row r="4013" customHeight="1" spans="1:2">
      <c r="A4013" s="3" t="s">
        <v>3534</v>
      </c>
      <c r="B4013" s="4">
        <v>18821279</v>
      </c>
    </row>
    <row r="4014" customHeight="1" spans="1:2">
      <c r="A4014" s="3" t="s">
        <v>15745</v>
      </c>
      <c r="B4014" s="4">
        <v>454255</v>
      </c>
    </row>
    <row r="4015" customHeight="1" spans="1:2">
      <c r="A4015" s="3" t="s">
        <v>451</v>
      </c>
      <c r="B4015" s="4">
        <v>248103518</v>
      </c>
    </row>
    <row r="4016" customHeight="1" spans="1:2">
      <c r="A4016" s="3" t="s">
        <v>11914</v>
      </c>
      <c r="B4016" s="4">
        <v>8000000</v>
      </c>
    </row>
    <row r="4017" customHeight="1" spans="1:2">
      <c r="A4017" s="3" t="s">
        <v>2776</v>
      </c>
      <c r="B4017" s="4">
        <v>45356386</v>
      </c>
    </row>
    <row r="4018" customHeight="1" spans="1:2">
      <c r="A4018" s="3" t="s">
        <v>4201</v>
      </c>
      <c r="B4018" s="4">
        <v>257756197</v>
      </c>
    </row>
    <row r="4019" customHeight="1" spans="1:2">
      <c r="A4019" s="3" t="s">
        <v>10484</v>
      </c>
      <c r="B4019" s="4">
        <v>4829497</v>
      </c>
    </row>
    <row r="4020" customHeight="1" spans="1:2">
      <c r="A4020" s="3" t="s">
        <v>5385</v>
      </c>
      <c r="B4020" s="4">
        <v>24006726</v>
      </c>
    </row>
    <row r="4021" customHeight="1" spans="1:2">
      <c r="A4021" s="3" t="s">
        <v>14378</v>
      </c>
      <c r="B4021" s="4">
        <v>303439</v>
      </c>
    </row>
    <row r="4022" customHeight="1" spans="1:2">
      <c r="A4022" s="3" t="s">
        <v>5394</v>
      </c>
      <c r="B4022" s="4">
        <v>19593740</v>
      </c>
    </row>
    <row r="4023" customHeight="1" spans="1:2">
      <c r="A4023" s="3" t="s">
        <v>15197</v>
      </c>
      <c r="B4023" s="4">
        <v>3193102</v>
      </c>
    </row>
    <row r="4024" customHeight="1" spans="1:2">
      <c r="A4024" s="3" t="s">
        <v>6443</v>
      </c>
      <c r="B4024" s="4">
        <v>57981889</v>
      </c>
    </row>
    <row r="4025" customHeight="1" spans="1:2">
      <c r="A4025" s="3" t="s">
        <v>2921</v>
      </c>
      <c r="B4025" s="4">
        <v>422783777</v>
      </c>
    </row>
    <row r="4026" customHeight="1" spans="1:2">
      <c r="A4026" s="3" t="s">
        <v>21253</v>
      </c>
      <c r="B4026" s="4"/>
    </row>
    <row r="4027" customHeight="1" spans="1:2">
      <c r="A4027" s="3" t="s">
        <v>22759</v>
      </c>
      <c r="B4027" s="4"/>
    </row>
    <row r="4028" customHeight="1" spans="1:2">
      <c r="A4028" s="3" t="s">
        <v>2950</v>
      </c>
      <c r="B4028" s="4">
        <v>1339152</v>
      </c>
    </row>
    <row r="4029" customHeight="1" spans="1:2">
      <c r="A4029" s="3" t="s">
        <v>10455</v>
      </c>
      <c r="B4029" s="4">
        <v>13555988</v>
      </c>
    </row>
    <row r="4030" customHeight="1" spans="1:2">
      <c r="A4030" s="3" t="s">
        <v>20176</v>
      </c>
      <c r="B4030" s="4">
        <v>11284657</v>
      </c>
    </row>
    <row r="4031" customHeight="1" spans="1:2">
      <c r="A4031" s="3" t="s">
        <v>6470</v>
      </c>
      <c r="B4031" s="4">
        <v>51185897</v>
      </c>
    </row>
    <row r="4032" customHeight="1" spans="1:2">
      <c r="A4032" s="3" t="s">
        <v>22657</v>
      </c>
      <c r="B4032" s="4">
        <v>12055</v>
      </c>
    </row>
    <row r="4033" customHeight="1" spans="1:2">
      <c r="A4033" s="3" t="s">
        <v>12772</v>
      </c>
      <c r="B4033" s="4">
        <v>42672630</v>
      </c>
    </row>
    <row r="4034" customHeight="1" spans="1:2">
      <c r="A4034" s="3" t="s">
        <v>139</v>
      </c>
      <c r="B4034" s="4">
        <v>89289910</v>
      </c>
    </row>
    <row r="4035" customHeight="1" spans="1:2">
      <c r="A4035" s="3" t="s">
        <v>3776</v>
      </c>
      <c r="B4035" s="4">
        <v>33328051</v>
      </c>
    </row>
    <row r="4036" customHeight="1" spans="1:2">
      <c r="A4036" s="3" t="s">
        <v>15012</v>
      </c>
      <c r="B4036" s="4"/>
    </row>
    <row r="4037" customHeight="1" spans="1:2">
      <c r="A4037" s="3" t="s">
        <v>14822</v>
      </c>
      <c r="B4037" s="4"/>
    </row>
    <row r="4038" customHeight="1" spans="1:2">
      <c r="A4038" s="3" t="s">
        <v>7790</v>
      </c>
      <c r="B4038" s="4">
        <v>37432299</v>
      </c>
    </row>
    <row r="4039" customHeight="1" spans="1:2">
      <c r="A4039" s="3" t="s">
        <v>2578</v>
      </c>
      <c r="B4039" s="4">
        <v>158115031</v>
      </c>
    </row>
    <row r="4040" customHeight="1" spans="1:2">
      <c r="A4040" s="3" t="s">
        <v>10273</v>
      </c>
      <c r="B4040" s="4">
        <v>11508423</v>
      </c>
    </row>
    <row r="4041" customHeight="1" spans="1:2">
      <c r="A4041" s="3" t="s">
        <v>23100</v>
      </c>
      <c r="B4041" s="4">
        <v>1711</v>
      </c>
    </row>
    <row r="4042" customHeight="1" spans="1:2">
      <c r="A4042" s="3" t="s">
        <v>1625</v>
      </c>
      <c r="B4042" s="4">
        <v>313837577</v>
      </c>
    </row>
    <row r="4043" customHeight="1" spans="1:2">
      <c r="A4043" s="3" t="s">
        <v>2012</v>
      </c>
      <c r="B4043" s="4">
        <v>377019252</v>
      </c>
    </row>
    <row r="4044" customHeight="1" spans="1:2">
      <c r="A4044" s="3" t="s">
        <v>2015</v>
      </c>
      <c r="B4044" s="4">
        <v>340478898</v>
      </c>
    </row>
    <row r="4045" customHeight="1" spans="1:2">
      <c r="A4045" s="3" t="s">
        <v>21041</v>
      </c>
      <c r="B4045" s="4">
        <v>1163508</v>
      </c>
    </row>
    <row r="4046" customHeight="1" spans="1:2">
      <c r="A4046" s="3" t="s">
        <v>9751</v>
      </c>
      <c r="B4046" s="4">
        <v>23527955</v>
      </c>
    </row>
    <row r="4047" customHeight="1" spans="1:2">
      <c r="A4047" s="3" t="s">
        <v>18631</v>
      </c>
      <c r="B4047" s="4">
        <v>399793</v>
      </c>
    </row>
    <row r="4048" customHeight="1" spans="1:2">
      <c r="A4048" s="3" t="s">
        <v>15837</v>
      </c>
      <c r="B4048" s="4">
        <v>32222567</v>
      </c>
    </row>
    <row r="4049" customHeight="1" spans="1:2">
      <c r="A4049" s="3" t="s">
        <v>15505</v>
      </c>
      <c r="B4049" s="4">
        <v>2483955</v>
      </c>
    </row>
    <row r="4050" customHeight="1" spans="1:2">
      <c r="A4050" s="3" t="s">
        <v>20421</v>
      </c>
      <c r="B4050" s="4">
        <v>549632</v>
      </c>
    </row>
    <row r="4051" customHeight="1" spans="1:2">
      <c r="A4051" s="3" t="s">
        <v>23721</v>
      </c>
      <c r="B4051" s="4">
        <v>110536</v>
      </c>
    </row>
    <row r="4052" customHeight="1" spans="1:2">
      <c r="A4052" s="3" t="s">
        <v>21240</v>
      </c>
      <c r="B4052" s="4"/>
    </row>
    <row r="4053" customHeight="1" spans="1:2">
      <c r="A4053" s="3" t="s">
        <v>2989</v>
      </c>
      <c r="B4053" s="4">
        <v>229074524</v>
      </c>
    </row>
    <row r="4054" customHeight="1" spans="1:2">
      <c r="A4054" s="3" t="s">
        <v>3900</v>
      </c>
      <c r="B4054" s="4">
        <v>32178777</v>
      </c>
    </row>
    <row r="4055" customHeight="1" spans="1:2">
      <c r="A4055" s="3" t="s">
        <v>13107</v>
      </c>
      <c r="B4055" s="4"/>
    </row>
    <row r="4056" customHeight="1" spans="1:2">
      <c r="A4056" s="3" t="s">
        <v>18764</v>
      </c>
      <c r="B4056" s="4"/>
    </row>
    <row r="4057" customHeight="1" spans="1:2">
      <c r="A4057" s="3" t="s">
        <v>2004</v>
      </c>
      <c r="B4057" s="4">
        <v>87965684</v>
      </c>
    </row>
    <row r="4058" customHeight="1" spans="1:2">
      <c r="A4058" s="3" t="s">
        <v>582</v>
      </c>
      <c r="B4058" s="4"/>
    </row>
    <row r="4059" customHeight="1" spans="1:2">
      <c r="A4059" s="3" t="s">
        <v>9506</v>
      </c>
      <c r="B4059" s="4">
        <v>60443237</v>
      </c>
    </row>
    <row r="4060" customHeight="1" spans="1:2">
      <c r="A4060" s="3" t="s">
        <v>13571</v>
      </c>
      <c r="B4060" s="4">
        <v>183088</v>
      </c>
    </row>
    <row r="4061" customHeight="1" spans="1:2">
      <c r="A4061" s="3" t="s">
        <v>20802</v>
      </c>
      <c r="B4061" s="4">
        <v>4231500</v>
      </c>
    </row>
    <row r="4062" customHeight="1" spans="1:2">
      <c r="A4062" s="3" t="s">
        <v>17904</v>
      </c>
      <c r="B4062" s="4">
        <v>1082044</v>
      </c>
    </row>
    <row r="4063" customHeight="1" spans="1:2">
      <c r="A4063" s="3" t="s">
        <v>9212</v>
      </c>
      <c r="B4063" s="4"/>
    </row>
    <row r="4064" customHeight="1" spans="1:2">
      <c r="A4064" s="3" t="s">
        <v>6698</v>
      </c>
      <c r="B4064" s="4">
        <v>22717758</v>
      </c>
    </row>
    <row r="4065" customHeight="1" spans="1:2">
      <c r="A4065" s="3" t="s">
        <v>22452</v>
      </c>
      <c r="B4065" s="4"/>
    </row>
    <row r="4066" customHeight="1" spans="1:2">
      <c r="A4066" s="3" t="s">
        <v>3263</v>
      </c>
      <c r="B4066" s="4">
        <v>27796042</v>
      </c>
    </row>
    <row r="4067" customHeight="1" spans="1:2">
      <c r="A4067" s="3" t="s">
        <v>23481</v>
      </c>
      <c r="B4067" s="4"/>
    </row>
    <row r="4068" customHeight="1" spans="1:2">
      <c r="A4068" s="3" t="s">
        <v>17639</v>
      </c>
      <c r="B4068" s="4"/>
    </row>
    <row r="4069" customHeight="1" spans="1:2">
      <c r="A4069" s="3" t="s">
        <v>3110</v>
      </c>
      <c r="B4069" s="4">
        <v>45434443</v>
      </c>
    </row>
    <row r="4070" customHeight="1" spans="1:2">
      <c r="A4070" s="3" t="s">
        <v>7341</v>
      </c>
      <c r="B4070" s="4">
        <v>56876365</v>
      </c>
    </row>
    <row r="4071" customHeight="1" spans="1:2">
      <c r="A4071" s="3" t="s">
        <v>11162</v>
      </c>
      <c r="B4071" s="4">
        <v>13801755</v>
      </c>
    </row>
    <row r="4072" customHeight="1" spans="1:2">
      <c r="A4072" s="3" t="s">
        <v>19131</v>
      </c>
      <c r="B4072" s="4"/>
    </row>
    <row r="4073" customHeight="1" spans="1:2">
      <c r="A4073" s="3" t="s">
        <v>16515</v>
      </c>
      <c r="B4073" s="4">
        <v>21000000</v>
      </c>
    </row>
    <row r="4074" customHeight="1" spans="1:2">
      <c r="A4074" s="3" t="s">
        <v>13053</v>
      </c>
      <c r="B4074" s="4">
        <v>15608545</v>
      </c>
    </row>
    <row r="4075" customHeight="1" spans="1:2">
      <c r="A4075" s="3" t="s">
        <v>11273</v>
      </c>
      <c r="B4075" s="4">
        <v>8326035</v>
      </c>
    </row>
    <row r="4076" customHeight="1" spans="1:2">
      <c r="A4076" s="3" t="s">
        <v>2732</v>
      </c>
      <c r="B4076" s="4">
        <v>65948711</v>
      </c>
    </row>
    <row r="4077" customHeight="1" spans="1:2">
      <c r="A4077" s="3" t="s">
        <v>20610</v>
      </c>
      <c r="B4077" s="4"/>
    </row>
    <row r="4078" customHeight="1" spans="1:2">
      <c r="A4078" s="3" t="s">
        <v>12943</v>
      </c>
      <c r="B4078" s="4">
        <v>18843314</v>
      </c>
    </row>
    <row r="4079" customHeight="1" spans="1:2">
      <c r="A4079" s="3" t="s">
        <v>1668</v>
      </c>
      <c r="B4079" s="4">
        <v>228430993</v>
      </c>
    </row>
    <row r="4080" customHeight="1" spans="1:2">
      <c r="A4080" s="3" t="s">
        <v>3681</v>
      </c>
      <c r="B4080" s="4">
        <v>93771072</v>
      </c>
    </row>
    <row r="4081" customHeight="1" spans="1:2">
      <c r="A4081" s="3" t="s">
        <v>11721</v>
      </c>
      <c r="B4081" s="4">
        <v>119938730</v>
      </c>
    </row>
    <row r="4082" customHeight="1" spans="1:2">
      <c r="A4082" s="3" t="s">
        <v>18995</v>
      </c>
      <c r="B4082" s="4">
        <v>123777</v>
      </c>
    </row>
    <row r="4083" customHeight="1" spans="1:2">
      <c r="A4083" s="3" t="s">
        <v>12421</v>
      </c>
      <c r="B4083" s="4">
        <v>40363530</v>
      </c>
    </row>
    <row r="4084" customHeight="1" spans="1:2">
      <c r="A4084" s="3" t="s">
        <v>7081</v>
      </c>
      <c r="B4084" s="4">
        <v>16377274</v>
      </c>
    </row>
    <row r="4085" customHeight="1" spans="1:2">
      <c r="A4085" s="3" t="s">
        <v>15045</v>
      </c>
      <c r="B4085" s="4">
        <v>12570442</v>
      </c>
    </row>
    <row r="4086" customHeight="1" spans="1:2">
      <c r="A4086" s="3" t="s">
        <v>839</v>
      </c>
      <c r="B4086" s="4">
        <v>281492479</v>
      </c>
    </row>
    <row r="4087" customHeight="1" spans="1:2">
      <c r="A4087" s="3" t="s">
        <v>825</v>
      </c>
      <c r="B4087" s="4">
        <v>139259759</v>
      </c>
    </row>
    <row r="4088" customHeight="1" spans="1:2">
      <c r="A4088" s="3" t="s">
        <v>3650</v>
      </c>
      <c r="B4088" s="4">
        <v>171383253</v>
      </c>
    </row>
    <row r="4089" customHeight="1" spans="1:2">
      <c r="A4089" s="3" t="s">
        <v>7752</v>
      </c>
      <c r="B4089" s="4">
        <v>102413606</v>
      </c>
    </row>
    <row r="4090" customHeight="1" spans="1:2">
      <c r="A4090" s="3" t="s">
        <v>6082</v>
      </c>
      <c r="B4090" s="4">
        <v>29113588</v>
      </c>
    </row>
    <row r="4091" customHeight="1" spans="1:2">
      <c r="A4091" s="3" t="s">
        <v>6219</v>
      </c>
      <c r="B4091" s="4">
        <v>22108977</v>
      </c>
    </row>
    <row r="4092" customHeight="1" spans="1:2">
      <c r="A4092" s="3" t="s">
        <v>10128</v>
      </c>
      <c r="B4092" s="4">
        <v>32416109</v>
      </c>
    </row>
    <row r="4093" customHeight="1" spans="1:2">
      <c r="A4093" s="3" t="s">
        <v>8673</v>
      </c>
      <c r="B4093" s="4">
        <v>3752725</v>
      </c>
    </row>
    <row r="4094" customHeight="1" spans="1:2">
      <c r="A4094" s="3" t="s">
        <v>16931</v>
      </c>
      <c r="B4094" s="4">
        <v>66637</v>
      </c>
    </row>
    <row r="4095" customHeight="1" spans="1:2">
      <c r="A4095" s="3" t="s">
        <v>5416</v>
      </c>
      <c r="B4095" s="4">
        <v>14131298</v>
      </c>
    </row>
    <row r="4096" customHeight="1" spans="1:2">
      <c r="A4096" s="3" t="s">
        <v>12432</v>
      </c>
      <c r="B4096" s="4"/>
    </row>
    <row r="4097" customHeight="1" spans="1:2">
      <c r="A4097" s="3" t="s">
        <v>6389</v>
      </c>
      <c r="B4097" s="4">
        <v>66808615</v>
      </c>
    </row>
    <row r="4098" customHeight="1" spans="1:2">
      <c r="A4098" s="3" t="s">
        <v>13260</v>
      </c>
      <c r="B4098" s="4">
        <v>73548</v>
      </c>
    </row>
    <row r="4099" customHeight="1" spans="1:2">
      <c r="A4099" s="3" t="s">
        <v>14825</v>
      </c>
      <c r="B4099" s="4">
        <v>50752337</v>
      </c>
    </row>
    <row r="4100" customHeight="1" spans="1:2">
      <c r="A4100" s="3" t="s">
        <v>16667</v>
      </c>
      <c r="B4100" s="4">
        <v>1889522</v>
      </c>
    </row>
    <row r="4101" customHeight="1" spans="1:2">
      <c r="A4101" s="3" t="s">
        <v>23708</v>
      </c>
      <c r="B4101" s="4">
        <v>2643689</v>
      </c>
    </row>
    <row r="4102" customHeight="1" spans="1:2">
      <c r="A4102" s="3" t="s">
        <v>6129</v>
      </c>
      <c r="B4102" s="4">
        <v>41252428</v>
      </c>
    </row>
    <row r="4103" customHeight="1" spans="1:2">
      <c r="A4103" s="3" t="s">
        <v>18532</v>
      </c>
      <c r="B4103" s="4"/>
    </row>
    <row r="4104" customHeight="1" spans="1:2">
      <c r="A4104" s="3" t="s">
        <v>20429</v>
      </c>
      <c r="B4104" s="4">
        <v>17580</v>
      </c>
    </row>
    <row r="4105" customHeight="1" spans="1:2">
      <c r="A4105" s="3" t="s">
        <v>3800</v>
      </c>
      <c r="B4105" s="4"/>
    </row>
    <row r="4106" customHeight="1" spans="1:2">
      <c r="A4106" s="3" t="s">
        <v>13743</v>
      </c>
      <c r="B4106" s="4">
        <v>25592632</v>
      </c>
    </row>
    <row r="4107" customHeight="1" spans="1:2">
      <c r="A4107" s="3" t="s">
        <v>14663</v>
      </c>
      <c r="B4107" s="4"/>
    </row>
    <row r="4108" customHeight="1" spans="1:2">
      <c r="A4108" s="3" t="s">
        <v>24128</v>
      </c>
      <c r="B4108" s="4"/>
    </row>
    <row r="4109" customHeight="1" spans="1:2">
      <c r="A4109" s="3" t="s">
        <v>3403</v>
      </c>
      <c r="B4109" s="4">
        <v>78031620</v>
      </c>
    </row>
    <row r="4110" customHeight="1" spans="1:2">
      <c r="A4110" s="3" t="s">
        <v>4374</v>
      </c>
      <c r="B4110" s="4">
        <v>31165421</v>
      </c>
    </row>
    <row r="4111" customHeight="1" spans="1:2">
      <c r="A4111" s="3" t="s">
        <v>23226</v>
      </c>
      <c r="B4111" s="4">
        <v>47111</v>
      </c>
    </row>
    <row r="4112" customHeight="1" spans="1:2">
      <c r="A4112" s="3" t="s">
        <v>6135</v>
      </c>
      <c r="B4112" s="4">
        <v>35228696</v>
      </c>
    </row>
    <row r="4113" customHeight="1" spans="1:2">
      <c r="A4113" s="3" t="s">
        <v>22197</v>
      </c>
      <c r="B4113" s="4"/>
    </row>
    <row r="4114" customHeight="1" spans="1:2">
      <c r="A4114" s="3" t="s">
        <v>1933</v>
      </c>
      <c r="B4114" s="4">
        <v>202007640</v>
      </c>
    </row>
    <row r="4115" customHeight="1" spans="1:2">
      <c r="A4115" s="3" t="s">
        <v>505</v>
      </c>
      <c r="B4115" s="4">
        <v>102176165</v>
      </c>
    </row>
    <row r="4116" customHeight="1" spans="1:2">
      <c r="A4116" s="3" t="s">
        <v>14127</v>
      </c>
      <c r="B4116" s="4">
        <v>27281507</v>
      </c>
    </row>
    <row r="4117" customHeight="1" spans="1:2">
      <c r="A4117" s="3" t="s">
        <v>15957</v>
      </c>
      <c r="B4117" s="4">
        <v>76657000</v>
      </c>
    </row>
    <row r="4118" customHeight="1" spans="1:2">
      <c r="A4118" s="3" t="s">
        <v>5762</v>
      </c>
      <c r="B4118" s="4">
        <v>88625922</v>
      </c>
    </row>
    <row r="4119" customHeight="1" spans="1:2">
      <c r="A4119" s="3" t="s">
        <v>13035</v>
      </c>
      <c r="B4119" s="4">
        <v>11614236</v>
      </c>
    </row>
    <row r="4120" customHeight="1" spans="1:2">
      <c r="A4120" s="3" t="s">
        <v>6665</v>
      </c>
      <c r="B4120" s="4">
        <v>27053815</v>
      </c>
    </row>
    <row r="4121" customHeight="1" spans="1:2">
      <c r="A4121" s="3" t="s">
        <v>23873</v>
      </c>
      <c r="B4121" s="4"/>
    </row>
    <row r="4122" customHeight="1" spans="1:2">
      <c r="A4122" s="3" t="s">
        <v>10212</v>
      </c>
      <c r="B4122" s="4">
        <v>86930411</v>
      </c>
    </row>
    <row r="4123" customHeight="1" spans="1:2">
      <c r="A4123" s="3" t="s">
        <v>18194</v>
      </c>
      <c r="B4123" s="4">
        <v>513836</v>
      </c>
    </row>
    <row r="4124" customHeight="1" spans="1:2">
      <c r="A4124" s="3" t="s">
        <v>15871</v>
      </c>
      <c r="B4124" s="4">
        <v>13569248</v>
      </c>
    </row>
    <row r="4125" customHeight="1" spans="1:2">
      <c r="A4125" s="3" t="s">
        <v>7466</v>
      </c>
      <c r="B4125" s="4">
        <v>37617947</v>
      </c>
    </row>
    <row r="4126" customHeight="1" spans="1:2">
      <c r="A4126" s="3" t="s">
        <v>5237</v>
      </c>
      <c r="B4126" s="4">
        <v>44484065</v>
      </c>
    </row>
    <row r="4127" customHeight="1" spans="1:2">
      <c r="A4127" s="3" t="s">
        <v>16428</v>
      </c>
      <c r="B4127" s="4">
        <v>1330827</v>
      </c>
    </row>
    <row r="4128" customHeight="1" spans="1:2">
      <c r="A4128" s="3" t="s">
        <v>10375</v>
      </c>
      <c r="B4128" s="4">
        <v>50728000</v>
      </c>
    </row>
    <row r="4129" customHeight="1" spans="1:2">
      <c r="A4129" s="3" t="s">
        <v>9137</v>
      </c>
      <c r="B4129" s="4"/>
    </row>
    <row r="4130" customHeight="1" spans="1:2">
      <c r="A4130" s="3" t="s">
        <v>13695</v>
      </c>
      <c r="B4130" s="4">
        <v>28972187</v>
      </c>
    </row>
    <row r="4131" customHeight="1" spans="1:2">
      <c r="A4131" s="3" t="s">
        <v>8594</v>
      </c>
      <c r="B4131" s="4">
        <v>12712093</v>
      </c>
    </row>
    <row r="4132" customHeight="1" spans="1:2">
      <c r="A4132" s="3" t="s">
        <v>9166</v>
      </c>
      <c r="B4132" s="4">
        <v>10297897</v>
      </c>
    </row>
    <row r="4133" customHeight="1" spans="1:2">
      <c r="A4133" s="3" t="s">
        <v>9815</v>
      </c>
      <c r="B4133" s="4">
        <v>14983572</v>
      </c>
    </row>
    <row r="4134" customHeight="1" spans="1:2">
      <c r="A4134" s="3" t="s">
        <v>8512</v>
      </c>
      <c r="B4134" s="4">
        <v>21129348</v>
      </c>
    </row>
    <row r="4135" customHeight="1" spans="1:2">
      <c r="A4135" s="3" t="s">
        <v>18535</v>
      </c>
      <c r="B4135" s="4">
        <v>7825820</v>
      </c>
    </row>
    <row r="4136" customHeight="1" spans="1:2">
      <c r="A4136" s="3" t="s">
        <v>23764</v>
      </c>
      <c r="B4136" s="4"/>
    </row>
    <row r="4137" customHeight="1" spans="1:2">
      <c r="A4137" s="3" t="s">
        <v>7025</v>
      </c>
      <c r="B4137" s="4">
        <v>18653746</v>
      </c>
    </row>
    <row r="4138" customHeight="1" spans="1:2">
      <c r="A4138" s="3" t="s">
        <v>8163</v>
      </c>
      <c r="B4138" s="4">
        <v>64286</v>
      </c>
    </row>
    <row r="4139" customHeight="1" spans="1:2">
      <c r="A4139" s="3" t="s">
        <v>12965</v>
      </c>
      <c r="B4139" s="4">
        <v>24984868</v>
      </c>
    </row>
    <row r="4140" customHeight="1" spans="1:2">
      <c r="A4140" s="3" t="s">
        <v>7950</v>
      </c>
      <c r="B4140" s="4">
        <v>35063732</v>
      </c>
    </row>
    <row r="4141" customHeight="1" spans="1:2">
      <c r="A4141" s="3" t="s">
        <v>18906</v>
      </c>
      <c r="B4141" s="4"/>
    </row>
    <row r="4142" customHeight="1" spans="1:2">
      <c r="A4142" s="3" t="s">
        <v>8263</v>
      </c>
      <c r="B4142" s="4">
        <v>64238770</v>
      </c>
    </row>
    <row r="4143" customHeight="1" spans="1:2">
      <c r="A4143" s="3" t="s">
        <v>2294</v>
      </c>
      <c r="B4143" s="4">
        <v>190562</v>
      </c>
    </row>
    <row r="4144" customHeight="1" spans="1:2">
      <c r="A4144" s="3" t="s">
        <v>11679</v>
      </c>
      <c r="B4144" s="4">
        <v>2119994</v>
      </c>
    </row>
    <row r="4145" customHeight="1" spans="1:2">
      <c r="A4145" s="3" t="s">
        <v>4586</v>
      </c>
      <c r="B4145" s="4">
        <v>128769345</v>
      </c>
    </row>
    <row r="4146" customHeight="1" spans="1:2">
      <c r="A4146" s="3" t="s">
        <v>11803</v>
      </c>
      <c r="B4146" s="4"/>
    </row>
    <row r="4147" customHeight="1" spans="1:2">
      <c r="A4147" s="3" t="s">
        <v>12861</v>
      </c>
      <c r="B4147" s="4">
        <v>29106737</v>
      </c>
    </row>
    <row r="4148" customHeight="1" spans="1:2">
      <c r="A4148" s="3" t="s">
        <v>6498</v>
      </c>
      <c r="B4148" s="4">
        <v>51853450</v>
      </c>
    </row>
    <row r="4149" customHeight="1" spans="1:2">
      <c r="A4149" s="3" t="s">
        <v>17931</v>
      </c>
      <c r="B4149" s="4"/>
    </row>
    <row r="4150" customHeight="1" spans="1:2">
      <c r="A4150" s="3" t="s">
        <v>16438</v>
      </c>
      <c r="B4150" s="4">
        <v>12610552</v>
      </c>
    </row>
    <row r="4151" customHeight="1" spans="1:2">
      <c r="A4151" s="3" t="s">
        <v>9496</v>
      </c>
      <c r="B4151" s="4"/>
    </row>
    <row r="4152" customHeight="1" spans="1:2">
      <c r="A4152" s="3" t="s">
        <v>5497</v>
      </c>
      <c r="B4152" s="4">
        <v>43905746</v>
      </c>
    </row>
    <row r="4153" customHeight="1" spans="1:2">
      <c r="A4153" s="3" t="s">
        <v>11435</v>
      </c>
      <c r="B4153" s="4">
        <v>1064277</v>
      </c>
    </row>
    <row r="4154" customHeight="1" spans="1:2">
      <c r="A4154" s="3" t="s">
        <v>15387</v>
      </c>
      <c r="B4154" s="4">
        <v>19348</v>
      </c>
    </row>
    <row r="4155" customHeight="1" spans="1:2">
      <c r="A4155" s="3" t="s">
        <v>19112</v>
      </c>
      <c r="B4155" s="4"/>
    </row>
    <row r="4156" customHeight="1" spans="1:2">
      <c r="A4156" s="3" t="s">
        <v>7671</v>
      </c>
      <c r="B4156" s="4">
        <v>7659747</v>
      </c>
    </row>
    <row r="4157" customHeight="1" spans="1:2">
      <c r="A4157" s="3" t="s">
        <v>19177</v>
      </c>
      <c r="B4157" s="4">
        <v>38168022</v>
      </c>
    </row>
    <row r="4158" customHeight="1" spans="1:2">
      <c r="A4158" s="3" t="s">
        <v>18545</v>
      </c>
      <c r="B4158" s="4">
        <v>7159147</v>
      </c>
    </row>
    <row r="4159" customHeight="1" spans="1:2">
      <c r="A4159" s="3" t="s">
        <v>6669</v>
      </c>
      <c r="B4159" s="4">
        <v>26814957</v>
      </c>
    </row>
    <row r="4160" customHeight="1" spans="1:2">
      <c r="A4160" s="3" t="s">
        <v>22616</v>
      </c>
      <c r="B4160" s="4">
        <v>133778</v>
      </c>
    </row>
    <row r="4161" customHeight="1" spans="1:2">
      <c r="A4161" s="3" t="s">
        <v>19920</v>
      </c>
      <c r="B4161" s="4">
        <v>115504</v>
      </c>
    </row>
    <row r="4162" customHeight="1" spans="1:2">
      <c r="A4162" s="3" t="s">
        <v>1755</v>
      </c>
      <c r="B4162" s="4">
        <v>119219978</v>
      </c>
    </row>
    <row r="4163" customHeight="1" spans="1:2">
      <c r="A4163" s="3" t="s">
        <v>16627</v>
      </c>
      <c r="B4163" s="4">
        <v>4720371</v>
      </c>
    </row>
    <row r="4164" customHeight="1" spans="1:2">
      <c r="A4164" s="3" t="s">
        <v>6400</v>
      </c>
      <c r="B4164" s="4">
        <v>83906114</v>
      </c>
    </row>
    <row r="4165" customHeight="1" spans="1:2">
      <c r="A4165" s="3" t="s">
        <v>12141</v>
      </c>
      <c r="B4165" s="4">
        <v>96471845</v>
      </c>
    </row>
    <row r="4166" customHeight="1" spans="1:2">
      <c r="A4166" s="3" t="s">
        <v>6656</v>
      </c>
      <c r="B4166" s="4">
        <v>28535768</v>
      </c>
    </row>
    <row r="4167" customHeight="1" spans="1:2">
      <c r="A4167" s="3" t="s">
        <v>22691</v>
      </c>
      <c r="B4167" s="4"/>
    </row>
    <row r="4168" customHeight="1" spans="1:2">
      <c r="A4168" s="3" t="s">
        <v>14930</v>
      </c>
      <c r="B4168" s="4">
        <v>25600000</v>
      </c>
    </row>
    <row r="4169" customHeight="1" spans="1:2">
      <c r="A4169" s="3" t="s">
        <v>15421</v>
      </c>
      <c r="B4169" s="4">
        <v>3607</v>
      </c>
    </row>
    <row r="4170" customHeight="1" spans="1:2">
      <c r="A4170" s="3" t="s">
        <v>4552</v>
      </c>
      <c r="B4170" s="4">
        <v>113006880</v>
      </c>
    </row>
    <row r="4171" customHeight="1" spans="1:2">
      <c r="A4171" s="3" t="s">
        <v>11546</v>
      </c>
      <c r="B4171" s="4">
        <v>8047690</v>
      </c>
    </row>
    <row r="4172" customHeight="1" spans="1:2">
      <c r="A4172" s="3" t="s">
        <v>16121</v>
      </c>
      <c r="B4172" s="4"/>
    </row>
    <row r="4173" customHeight="1" spans="1:2">
      <c r="A4173" s="3" t="s">
        <v>21921</v>
      </c>
      <c r="B4173" s="4"/>
    </row>
    <row r="4174" customHeight="1" spans="1:2">
      <c r="A4174" s="3" t="s">
        <v>9371</v>
      </c>
      <c r="B4174" s="4">
        <v>499263</v>
      </c>
    </row>
    <row r="4175" customHeight="1" spans="1:2">
      <c r="A4175" s="3" t="s">
        <v>23771</v>
      </c>
      <c r="B4175" s="4"/>
    </row>
    <row r="4176" customHeight="1" spans="1:2">
      <c r="A4176" s="3" t="s">
        <v>1524</v>
      </c>
      <c r="B4176" s="4">
        <v>113330342</v>
      </c>
    </row>
    <row r="4177" customHeight="1" spans="1:2">
      <c r="A4177" s="3" t="s">
        <v>5261</v>
      </c>
      <c r="B4177" s="4">
        <v>41256277</v>
      </c>
    </row>
    <row r="4178" customHeight="1" spans="1:2">
      <c r="A4178" s="3" t="s">
        <v>1920</v>
      </c>
      <c r="B4178" s="4">
        <v>130174897</v>
      </c>
    </row>
    <row r="4179" customHeight="1" spans="1:2">
      <c r="A4179" s="3" t="s">
        <v>5725</v>
      </c>
      <c r="B4179" s="4">
        <v>100768056</v>
      </c>
    </row>
    <row r="4180" customHeight="1" spans="1:2">
      <c r="A4180" s="3" t="s">
        <v>14645</v>
      </c>
      <c r="B4180" s="4">
        <v>2832826</v>
      </c>
    </row>
    <row r="4181" customHeight="1" spans="1:2">
      <c r="A4181" s="3" t="s">
        <v>14004</v>
      </c>
      <c r="B4181" s="4">
        <v>1089445</v>
      </c>
    </row>
    <row r="4182" customHeight="1" spans="1:2">
      <c r="A4182" s="3" t="s">
        <v>21814</v>
      </c>
      <c r="B4182" s="4">
        <v>48430</v>
      </c>
    </row>
    <row r="4183" customHeight="1" spans="1:2">
      <c r="A4183" s="3" t="s">
        <v>14989</v>
      </c>
      <c r="B4183" s="4">
        <v>16247775</v>
      </c>
    </row>
    <row r="4184" customHeight="1" spans="1:2">
      <c r="A4184" s="3" t="s">
        <v>17797</v>
      </c>
      <c r="B4184" s="4">
        <v>9658370</v>
      </c>
    </row>
    <row r="4185" customHeight="1" spans="1:2">
      <c r="A4185" s="3" t="s">
        <v>1349</v>
      </c>
      <c r="B4185" s="4">
        <v>182618434</v>
      </c>
    </row>
    <row r="4186" customHeight="1" spans="1:2">
      <c r="A4186" s="3" t="s">
        <v>18781</v>
      </c>
      <c r="B4186" s="4"/>
    </row>
    <row r="4187" customHeight="1" spans="1:2">
      <c r="A4187" s="3" t="s">
        <v>13860</v>
      </c>
      <c r="B4187" s="4">
        <v>17738570</v>
      </c>
    </row>
    <row r="4188" customHeight="1" spans="1:2">
      <c r="A4188" s="3" t="s">
        <v>21983</v>
      </c>
      <c r="B4188" s="4"/>
    </row>
    <row r="4189" customHeight="1" spans="1:2">
      <c r="A4189" s="3" t="s">
        <v>4771</v>
      </c>
      <c r="B4189" s="4">
        <v>51225796</v>
      </c>
    </row>
    <row r="4190" customHeight="1" spans="1:2">
      <c r="A4190" s="3" t="s">
        <v>5933</v>
      </c>
      <c r="B4190" s="4">
        <v>17300889</v>
      </c>
    </row>
    <row r="4191" customHeight="1" spans="1:2">
      <c r="A4191" s="3" t="s">
        <v>7460</v>
      </c>
      <c r="B4191" s="4">
        <v>32519322</v>
      </c>
    </row>
    <row r="4192" customHeight="1" spans="1:2">
      <c r="A4192" s="3" t="s">
        <v>16468</v>
      </c>
      <c r="B4192" s="4">
        <v>40158000</v>
      </c>
    </row>
    <row r="4193" customHeight="1" spans="1:2">
      <c r="A4193" s="3" t="s">
        <v>2680</v>
      </c>
      <c r="B4193" s="4">
        <v>82226474</v>
      </c>
    </row>
    <row r="4194" customHeight="1" spans="1:2">
      <c r="A4194" s="3" t="s">
        <v>18841</v>
      </c>
      <c r="B4194" s="4">
        <v>2956000</v>
      </c>
    </row>
    <row r="4195" customHeight="1" spans="1:2">
      <c r="A4195" s="3" t="s">
        <v>12998</v>
      </c>
      <c r="B4195" s="4">
        <v>12701880</v>
      </c>
    </row>
    <row r="4196" customHeight="1" spans="1:2">
      <c r="A4196" s="3" t="s">
        <v>4755</v>
      </c>
      <c r="B4196" s="4">
        <v>31051126</v>
      </c>
    </row>
    <row r="4197" customHeight="1" spans="1:2">
      <c r="A4197" s="3" t="s">
        <v>12961</v>
      </c>
      <c r="B4197" s="4">
        <v>21383298</v>
      </c>
    </row>
    <row r="4198" customHeight="1" spans="1:2">
      <c r="A4198" s="3" t="s">
        <v>16055</v>
      </c>
      <c r="B4198" s="4"/>
    </row>
    <row r="4199" customHeight="1" spans="1:2">
      <c r="A4199" s="3" t="s">
        <v>17668</v>
      </c>
      <c r="B4199" s="4">
        <v>23031390</v>
      </c>
    </row>
    <row r="4200" customHeight="1" spans="1:2">
      <c r="A4200" s="3" t="s">
        <v>5923</v>
      </c>
      <c r="B4200" s="4">
        <v>19719930</v>
      </c>
    </row>
    <row r="4201" customHeight="1" spans="1:2">
      <c r="A4201" s="3" t="s">
        <v>21928</v>
      </c>
      <c r="B4201" s="4"/>
    </row>
    <row r="4202" customHeight="1" spans="1:2">
      <c r="A4202" s="3" t="s">
        <v>631</v>
      </c>
      <c r="B4202" s="4">
        <v>665426</v>
      </c>
    </row>
    <row r="4203" customHeight="1" spans="1:2">
      <c r="A4203" s="3" t="s">
        <v>9925</v>
      </c>
      <c r="B4203" s="4">
        <v>98244638</v>
      </c>
    </row>
    <row r="4204" customHeight="1" spans="1:2">
      <c r="A4204" s="3" t="s">
        <v>14227</v>
      </c>
      <c r="B4204" s="4"/>
    </row>
    <row r="4205" customHeight="1" spans="1:2">
      <c r="A4205" s="3" t="s">
        <v>2863</v>
      </c>
      <c r="B4205" s="4">
        <v>17593391</v>
      </c>
    </row>
    <row r="4206" customHeight="1" spans="1:2">
      <c r="A4206" s="3" t="s">
        <v>9868</v>
      </c>
      <c r="B4206" s="4"/>
    </row>
    <row r="4207" customHeight="1" spans="1:2">
      <c r="A4207" s="3" t="s">
        <v>6450</v>
      </c>
      <c r="B4207" s="4">
        <v>53082743</v>
      </c>
    </row>
    <row r="4208" customHeight="1" spans="1:2">
      <c r="A4208" s="3" t="s">
        <v>8453</v>
      </c>
      <c r="B4208" s="4">
        <v>28165882</v>
      </c>
    </row>
    <row r="4209" customHeight="1" spans="1:2">
      <c r="A4209" s="3" t="s">
        <v>3978</v>
      </c>
      <c r="B4209" s="4">
        <v>101217900</v>
      </c>
    </row>
    <row r="4210" customHeight="1" spans="1:2">
      <c r="A4210" s="3" t="s">
        <v>8181</v>
      </c>
      <c r="B4210" s="4">
        <v>74787599</v>
      </c>
    </row>
    <row r="4211" customHeight="1" spans="1:2">
      <c r="A4211" s="3" t="s">
        <v>12129</v>
      </c>
      <c r="B4211" s="4"/>
    </row>
    <row r="4212" customHeight="1" spans="1:2">
      <c r="A4212" s="3" t="s">
        <v>10182</v>
      </c>
      <c r="B4212" s="4">
        <v>669276</v>
      </c>
    </row>
    <row r="4213" customHeight="1" spans="1:2">
      <c r="A4213" s="3" t="s">
        <v>1663</v>
      </c>
      <c r="B4213" s="4">
        <v>104374107</v>
      </c>
    </row>
    <row r="4214" customHeight="1" spans="1:2">
      <c r="A4214" s="3" t="s">
        <v>12844</v>
      </c>
      <c r="B4214" s="4">
        <v>30857814</v>
      </c>
    </row>
    <row r="4215" customHeight="1" spans="1:2">
      <c r="A4215" s="3" t="s">
        <v>5722</v>
      </c>
      <c r="B4215" s="4">
        <v>95149435</v>
      </c>
    </row>
    <row r="4216" customHeight="1" spans="1:2">
      <c r="A4216" s="3" t="s">
        <v>8133</v>
      </c>
      <c r="B4216" s="4">
        <v>108244774</v>
      </c>
    </row>
    <row r="4217" customHeight="1" spans="1:2">
      <c r="A4217" s="3" t="s">
        <v>13954</v>
      </c>
      <c r="B4217" s="4"/>
    </row>
    <row r="4218" customHeight="1" spans="1:2">
      <c r="A4218" s="3" t="s">
        <v>5928</v>
      </c>
      <c r="B4218" s="4">
        <v>19377727</v>
      </c>
    </row>
    <row r="4219" customHeight="1" spans="1:2">
      <c r="A4219" s="3" t="s">
        <v>8694</v>
      </c>
      <c r="B4219" s="4">
        <v>668171</v>
      </c>
    </row>
    <row r="4220" customHeight="1" spans="1:2">
      <c r="A4220" s="3" t="s">
        <v>23028</v>
      </c>
      <c r="B4220" s="4">
        <v>16115878</v>
      </c>
    </row>
    <row r="4221" customHeight="1" spans="1:2">
      <c r="A4221" s="3" t="s">
        <v>6246</v>
      </c>
      <c r="B4221" s="4">
        <v>163947053</v>
      </c>
    </row>
    <row r="4222" customHeight="1" spans="1:2">
      <c r="A4222" s="3" t="s">
        <v>11408</v>
      </c>
      <c r="B4222" s="4">
        <v>1900725</v>
      </c>
    </row>
    <row r="4223" customHeight="1" spans="1:2">
      <c r="A4223" s="3" t="s">
        <v>17336</v>
      </c>
      <c r="B4223" s="4">
        <v>11905519</v>
      </c>
    </row>
    <row r="4224" customHeight="1" spans="1:2">
      <c r="A4224" s="3" t="s">
        <v>24034</v>
      </c>
      <c r="B4224" s="4">
        <v>192467</v>
      </c>
    </row>
    <row r="4225" customHeight="1" spans="1:2">
      <c r="A4225" s="3" t="s">
        <v>7856</v>
      </c>
      <c r="B4225" s="4">
        <v>33682273</v>
      </c>
    </row>
    <row r="4226" customHeight="1" spans="1:2">
      <c r="A4226" s="3" t="s">
        <v>19205</v>
      </c>
      <c r="B4226" s="4">
        <v>64423650</v>
      </c>
    </row>
    <row r="4227" customHeight="1" spans="1:2">
      <c r="A4227" s="3" t="s">
        <v>15642</v>
      </c>
      <c r="B4227" s="4">
        <v>71519230</v>
      </c>
    </row>
    <row r="4228" customHeight="1" spans="1:2">
      <c r="A4228" s="3" t="s">
        <v>14801</v>
      </c>
      <c r="B4228" s="4">
        <v>78845130</v>
      </c>
    </row>
    <row r="4229" customHeight="1" spans="1:2">
      <c r="A4229" s="3" t="s">
        <v>14317</v>
      </c>
      <c r="B4229" s="4"/>
    </row>
    <row r="4230" customHeight="1" spans="1:2">
      <c r="A4230" s="3" t="s">
        <v>4632</v>
      </c>
      <c r="B4230" s="4">
        <v>162586036</v>
      </c>
    </row>
    <row r="4231" customHeight="1" spans="1:2">
      <c r="A4231" s="3" t="s">
        <v>12734</v>
      </c>
      <c r="B4231" s="4">
        <v>56437947</v>
      </c>
    </row>
    <row r="4232" customHeight="1" spans="1:2">
      <c r="A4232" s="3" t="s">
        <v>7980</v>
      </c>
      <c r="B4232" s="4">
        <v>18636537</v>
      </c>
    </row>
    <row r="4233" customHeight="1" spans="1:2">
      <c r="A4233" s="3" t="s">
        <v>11192</v>
      </c>
      <c r="B4233" s="4">
        <v>12987647</v>
      </c>
    </row>
    <row r="4234" customHeight="1" spans="1:2">
      <c r="A4234" s="3" t="s">
        <v>22067</v>
      </c>
      <c r="B4234" s="4">
        <v>381186</v>
      </c>
    </row>
    <row r="4235" customHeight="1" spans="1:2">
      <c r="A4235" s="3" t="s">
        <v>22571</v>
      </c>
      <c r="B4235" s="4">
        <v>1111615</v>
      </c>
    </row>
    <row r="4236" customHeight="1" spans="1:2">
      <c r="A4236" s="3" t="s">
        <v>10597</v>
      </c>
      <c r="B4236" s="4">
        <v>17757087</v>
      </c>
    </row>
    <row r="4237" customHeight="1" spans="1:2">
      <c r="A4237" s="3" t="s">
        <v>21470</v>
      </c>
      <c r="B4237" s="4">
        <v>4105123</v>
      </c>
    </row>
    <row r="4238" customHeight="1" spans="1:2">
      <c r="A4238" s="3" t="s">
        <v>12012</v>
      </c>
      <c r="B4238" s="4">
        <v>4435083</v>
      </c>
    </row>
    <row r="4239" customHeight="1" spans="1:2">
      <c r="A4239" s="3" t="s">
        <v>6514</v>
      </c>
      <c r="B4239" s="4">
        <v>45856732</v>
      </c>
    </row>
    <row r="4240" customHeight="1" spans="1:2">
      <c r="A4240" s="3" t="s">
        <v>9322</v>
      </c>
      <c r="B4240" s="4">
        <v>16005978</v>
      </c>
    </row>
    <row r="4241" customHeight="1" spans="1:2">
      <c r="A4241" s="3" t="s">
        <v>7883</v>
      </c>
      <c r="B4241" s="4">
        <v>34180954</v>
      </c>
    </row>
    <row r="4242" customHeight="1" spans="1:2">
      <c r="A4242" s="3" t="s">
        <v>18574</v>
      </c>
      <c r="B4242" s="4">
        <v>3713002</v>
      </c>
    </row>
    <row r="4243" customHeight="1" spans="1:2">
      <c r="A4243" s="3" t="s">
        <v>6678</v>
      </c>
      <c r="B4243" s="4">
        <v>25117498</v>
      </c>
    </row>
    <row r="4244" customHeight="1" spans="1:2">
      <c r="A4244" s="3" t="s">
        <v>15133</v>
      </c>
      <c r="B4244" s="4">
        <v>9473382</v>
      </c>
    </row>
    <row r="4245" customHeight="1" spans="1:2">
      <c r="A4245" s="3" t="s">
        <v>15428</v>
      </c>
      <c r="B4245" s="4"/>
    </row>
    <row r="4246" customHeight="1" spans="1:2">
      <c r="A4246" s="3" t="s">
        <v>4281</v>
      </c>
      <c r="B4246" s="4">
        <v>33927476</v>
      </c>
    </row>
    <row r="4247" customHeight="1" spans="1:2">
      <c r="A4247" s="3" t="s">
        <v>12912</v>
      </c>
      <c r="B4247" s="4">
        <v>22954968</v>
      </c>
    </row>
    <row r="4248" customHeight="1" spans="1:2">
      <c r="A4248" s="3" t="s">
        <v>8526</v>
      </c>
      <c r="B4248" s="4">
        <v>18967571</v>
      </c>
    </row>
    <row r="4249" customHeight="1" spans="1:2">
      <c r="A4249" s="3" t="s">
        <v>5228</v>
      </c>
      <c r="B4249" s="4">
        <v>44737059</v>
      </c>
    </row>
    <row r="4250" customHeight="1" spans="1:2">
      <c r="A4250" s="3" t="s">
        <v>16960</v>
      </c>
      <c r="B4250" s="4"/>
    </row>
    <row r="4251" customHeight="1" spans="1:2">
      <c r="A4251" s="3" t="s">
        <v>17576</v>
      </c>
      <c r="B4251" s="4"/>
    </row>
    <row r="4252" customHeight="1" spans="1:2">
      <c r="A4252" s="3" t="s">
        <v>13237</v>
      </c>
      <c r="B4252" s="4">
        <v>502028</v>
      </c>
    </row>
    <row r="4253" customHeight="1" spans="1:2">
      <c r="A4253" s="3" t="s">
        <v>5983</v>
      </c>
      <c r="B4253" s="4"/>
    </row>
    <row r="4254" customHeight="1" spans="1:2">
      <c r="A4254" s="3" t="s">
        <v>1137</v>
      </c>
      <c r="B4254" s="4">
        <v>183635922</v>
      </c>
    </row>
    <row r="4255" customHeight="1" spans="1:2">
      <c r="A4255" s="3" t="s">
        <v>24030</v>
      </c>
      <c r="B4255" s="4"/>
    </row>
    <row r="4256" customHeight="1" spans="1:2">
      <c r="A4256" s="3" t="s">
        <v>4487</v>
      </c>
      <c r="B4256" s="4"/>
    </row>
    <row r="4257" customHeight="1" spans="1:2">
      <c r="A4257" s="3" t="s">
        <v>9130</v>
      </c>
      <c r="B4257" s="4">
        <v>21500000</v>
      </c>
    </row>
    <row r="4258" customHeight="1" spans="1:2">
      <c r="A4258" s="3" t="s">
        <v>5106</v>
      </c>
      <c r="B4258" s="4">
        <v>75888270</v>
      </c>
    </row>
    <row r="4259" customHeight="1" spans="1:2">
      <c r="A4259" s="3" t="s">
        <v>19965</v>
      </c>
      <c r="B4259" s="4"/>
    </row>
    <row r="4260" customHeight="1" spans="1:2">
      <c r="A4260" s="3" t="s">
        <v>7211</v>
      </c>
      <c r="B4260" s="4">
        <v>33037754</v>
      </c>
    </row>
    <row r="4261" customHeight="1" spans="1:2">
      <c r="A4261" s="3" t="s">
        <v>5848</v>
      </c>
      <c r="B4261" s="4">
        <v>46815748</v>
      </c>
    </row>
    <row r="4262" customHeight="1" spans="1:2">
      <c r="A4262" s="3" t="s">
        <v>1989</v>
      </c>
      <c r="B4262" s="4">
        <v>50802661</v>
      </c>
    </row>
    <row r="4263" customHeight="1" spans="1:2">
      <c r="A4263" s="3" t="s">
        <v>9949</v>
      </c>
      <c r="B4263" s="4">
        <v>56692</v>
      </c>
    </row>
    <row r="4264" customHeight="1" spans="1:2">
      <c r="A4264" s="3" t="s">
        <v>17572</v>
      </c>
      <c r="B4264" s="4">
        <v>36000000</v>
      </c>
    </row>
    <row r="4265" customHeight="1" spans="1:2">
      <c r="A4265" s="3" t="s">
        <v>3010</v>
      </c>
      <c r="B4265" s="4">
        <v>134006721</v>
      </c>
    </row>
    <row r="4266" customHeight="1" spans="1:2">
      <c r="A4266" s="3" t="s">
        <v>13127</v>
      </c>
      <c r="B4266" s="4">
        <v>6409206</v>
      </c>
    </row>
    <row r="4267" customHeight="1" spans="1:2">
      <c r="A4267" s="3" t="s">
        <v>16268</v>
      </c>
      <c r="B4267" s="4"/>
    </row>
    <row r="4268" customHeight="1" spans="1:2">
      <c r="A4268" s="3" t="s">
        <v>10350</v>
      </c>
      <c r="B4268" s="4">
        <v>75597042</v>
      </c>
    </row>
    <row r="4269" customHeight="1" spans="1:2">
      <c r="A4269" s="3" t="s">
        <v>12443</v>
      </c>
      <c r="B4269" s="4">
        <v>37300107</v>
      </c>
    </row>
    <row r="4270" customHeight="1" spans="1:2">
      <c r="A4270" s="3" t="s">
        <v>15847</v>
      </c>
      <c r="B4270" s="4">
        <v>29200000</v>
      </c>
    </row>
    <row r="4271" customHeight="1" spans="1:2">
      <c r="A4271" s="3" t="s">
        <v>8893</v>
      </c>
      <c r="B4271" s="4">
        <v>52353636</v>
      </c>
    </row>
    <row r="4272" customHeight="1" spans="1:2">
      <c r="A4272" s="3" t="s">
        <v>8843</v>
      </c>
      <c r="B4272" s="4">
        <v>100491683</v>
      </c>
    </row>
    <row r="4273" customHeight="1" spans="1:2">
      <c r="A4273" s="3" t="s">
        <v>9811</v>
      </c>
      <c r="B4273" s="4">
        <v>17427926</v>
      </c>
    </row>
    <row r="4274" customHeight="1" spans="1:2">
      <c r="A4274" s="3" t="s">
        <v>18554</v>
      </c>
      <c r="B4274" s="4">
        <v>6525762</v>
      </c>
    </row>
    <row r="4275" customHeight="1" spans="1:2">
      <c r="A4275" s="3" t="s">
        <v>15601</v>
      </c>
      <c r="B4275" s="4">
        <v>3571735</v>
      </c>
    </row>
    <row r="4276" customHeight="1" spans="1:2">
      <c r="A4276" s="3" t="s">
        <v>2404</v>
      </c>
      <c r="B4276" s="4">
        <v>47592825</v>
      </c>
    </row>
    <row r="4277" customHeight="1" spans="1:2">
      <c r="A4277" s="3" t="s">
        <v>8394</v>
      </c>
      <c r="B4277" s="4">
        <v>38122105</v>
      </c>
    </row>
    <row r="4278" customHeight="1" spans="1:2">
      <c r="A4278" s="3" t="s">
        <v>2239</v>
      </c>
      <c r="B4278" s="4">
        <v>61355436</v>
      </c>
    </row>
    <row r="4279" customHeight="1" spans="1:2">
      <c r="A4279" s="3" t="s">
        <v>21009</v>
      </c>
      <c r="B4279" s="4">
        <v>92362</v>
      </c>
    </row>
    <row r="4280" customHeight="1" spans="1:2">
      <c r="A4280" s="3" t="s">
        <v>12035</v>
      </c>
      <c r="B4280" s="4">
        <v>676698</v>
      </c>
    </row>
    <row r="4281" customHeight="1" spans="1:2">
      <c r="A4281" s="3" t="s">
        <v>3662</v>
      </c>
      <c r="B4281" s="4">
        <v>139225854</v>
      </c>
    </row>
    <row r="4282" customHeight="1" spans="1:2">
      <c r="A4282" s="3" t="s">
        <v>10346</v>
      </c>
      <c r="B4282" s="4">
        <v>144833357</v>
      </c>
    </row>
    <row r="4283" customHeight="1" spans="1:2">
      <c r="A4283" s="3" t="s">
        <v>15680</v>
      </c>
      <c r="B4283" s="4">
        <v>6610326</v>
      </c>
    </row>
    <row r="4284" customHeight="1" spans="1:2">
      <c r="A4284" s="3" t="s">
        <v>5440</v>
      </c>
      <c r="B4284" s="4">
        <v>10400000</v>
      </c>
    </row>
    <row r="4285" customHeight="1" spans="1:2">
      <c r="A4285" s="3" t="s">
        <v>4025</v>
      </c>
      <c r="B4285" s="4">
        <v>81687587</v>
      </c>
    </row>
    <row r="4286" customHeight="1" spans="1:2">
      <c r="A4286" s="3" t="s">
        <v>3547</v>
      </c>
      <c r="B4286" s="4">
        <v>71069884</v>
      </c>
    </row>
    <row r="4287" customHeight="1" spans="1:2">
      <c r="A4287" s="3" t="s">
        <v>4051</v>
      </c>
      <c r="B4287" s="4">
        <v>90341670</v>
      </c>
    </row>
    <row r="4288" customHeight="1" spans="1:2">
      <c r="A4288" s="3" t="s">
        <v>13632</v>
      </c>
      <c r="B4288" s="4">
        <v>2086345</v>
      </c>
    </row>
    <row r="4289" customHeight="1" spans="1:2">
      <c r="A4289" s="3" t="s">
        <v>14982</v>
      </c>
      <c r="B4289" s="4">
        <v>33071558</v>
      </c>
    </row>
    <row r="4290" customHeight="1" spans="1:2">
      <c r="A4290" s="3" t="s">
        <v>21337</v>
      </c>
      <c r="B4290" s="4">
        <v>375723</v>
      </c>
    </row>
    <row r="4291" customHeight="1" spans="1:2">
      <c r="A4291" s="3" t="s">
        <v>18939</v>
      </c>
      <c r="B4291" s="4">
        <v>20167424</v>
      </c>
    </row>
    <row r="4292" customHeight="1" spans="1:2">
      <c r="A4292" s="3" t="s">
        <v>14561</v>
      </c>
      <c r="B4292" s="4">
        <v>37766350</v>
      </c>
    </row>
    <row r="4293" customHeight="1" spans="1:2">
      <c r="A4293" s="3" t="s">
        <v>2969</v>
      </c>
      <c r="B4293" s="4">
        <v>323505540</v>
      </c>
    </row>
    <row r="4294" customHeight="1" spans="1:2">
      <c r="A4294" s="3" t="s">
        <v>2117</v>
      </c>
      <c r="B4294" s="4">
        <v>58229120</v>
      </c>
    </row>
    <row r="4295" customHeight="1" spans="1:2">
      <c r="A4295" s="3" t="s">
        <v>16189</v>
      </c>
      <c r="B4295" s="4">
        <v>686383</v>
      </c>
    </row>
    <row r="4296" customHeight="1" spans="1:2">
      <c r="A4296" s="3" t="s">
        <v>19009</v>
      </c>
      <c r="B4296" s="4"/>
    </row>
    <row r="4297" customHeight="1" spans="1:2">
      <c r="A4297" s="3" t="s">
        <v>4250</v>
      </c>
      <c r="B4297" s="4">
        <v>36279230</v>
      </c>
    </row>
    <row r="4298" customHeight="1" spans="1:2">
      <c r="A4298" s="3" t="s">
        <v>21622</v>
      </c>
      <c r="B4298" s="4">
        <v>5997134</v>
      </c>
    </row>
    <row r="4299" customHeight="1" spans="1:2">
      <c r="A4299" s="3" t="s">
        <v>6618</v>
      </c>
      <c r="B4299" s="4">
        <v>32055248</v>
      </c>
    </row>
    <row r="4300" customHeight="1" spans="1:2">
      <c r="A4300" s="3" t="s">
        <v>4101</v>
      </c>
      <c r="B4300" s="4">
        <v>61112916</v>
      </c>
    </row>
    <row r="4301" customHeight="1" spans="1:2">
      <c r="A4301" s="3" t="s">
        <v>13703</v>
      </c>
      <c r="B4301" s="4">
        <v>54257433</v>
      </c>
    </row>
    <row r="4302" customHeight="1" spans="1:2">
      <c r="A4302" s="3" t="s">
        <v>9694</v>
      </c>
      <c r="B4302" s="4">
        <v>28341469</v>
      </c>
    </row>
    <row r="4303" customHeight="1" spans="1:2">
      <c r="A4303" s="3" t="s">
        <v>11579</v>
      </c>
      <c r="B4303" s="4"/>
    </row>
    <row r="4304" customHeight="1" spans="1:2">
      <c r="A4304" s="3" t="s">
        <v>7638</v>
      </c>
      <c r="B4304" s="4">
        <v>11405825</v>
      </c>
    </row>
    <row r="4305" customHeight="1" spans="1:2">
      <c r="A4305" s="3" t="s">
        <v>3423</v>
      </c>
      <c r="B4305" s="4">
        <v>40932372</v>
      </c>
    </row>
    <row r="4306" customHeight="1" spans="1:2">
      <c r="A4306" s="3" t="s">
        <v>23894</v>
      </c>
      <c r="B4306" s="4"/>
    </row>
    <row r="4307" customHeight="1" spans="1:2">
      <c r="A4307" s="3" t="s">
        <v>10659</v>
      </c>
      <c r="B4307" s="4">
        <v>130727000</v>
      </c>
    </row>
    <row r="4308" customHeight="1" spans="1:2">
      <c r="A4308" s="3" t="s">
        <v>3257</v>
      </c>
      <c r="B4308" s="4">
        <v>183132370</v>
      </c>
    </row>
    <row r="4309" customHeight="1" spans="1:2">
      <c r="A4309" s="3" t="s">
        <v>16214</v>
      </c>
      <c r="B4309" s="4">
        <v>336456</v>
      </c>
    </row>
    <row r="4310" customHeight="1" spans="1:2">
      <c r="A4310" s="3" t="s">
        <v>22546</v>
      </c>
      <c r="B4310" s="4">
        <v>1250798</v>
      </c>
    </row>
    <row r="4311" customHeight="1" spans="1:2">
      <c r="A4311" s="3" t="s">
        <v>22317</v>
      </c>
      <c r="B4311" s="4"/>
    </row>
    <row r="4312" customHeight="1" spans="1:2">
      <c r="A4312" s="3" t="s">
        <v>9108</v>
      </c>
      <c r="B4312" s="4">
        <v>44087387</v>
      </c>
    </row>
    <row r="4313" customHeight="1" spans="1:2">
      <c r="A4313" s="3" t="s">
        <v>9582</v>
      </c>
      <c r="B4313" s="4">
        <v>39008741</v>
      </c>
    </row>
    <row r="4314" customHeight="1" spans="1:2">
      <c r="A4314" s="3" t="s">
        <v>9685</v>
      </c>
      <c r="B4314" s="4">
        <v>30538669</v>
      </c>
    </row>
    <row r="4315" customHeight="1" spans="1:2">
      <c r="A4315" s="3" t="s">
        <v>6222</v>
      </c>
      <c r="B4315" s="4">
        <v>293501675</v>
      </c>
    </row>
    <row r="4316" customHeight="1" spans="1:2">
      <c r="A4316" s="3" t="s">
        <v>6494</v>
      </c>
      <c r="B4316" s="4">
        <v>47806295</v>
      </c>
    </row>
    <row r="4317" customHeight="1" spans="1:2">
      <c r="A4317" s="3" t="s">
        <v>21642</v>
      </c>
      <c r="B4317" s="4">
        <v>5283379</v>
      </c>
    </row>
    <row r="4318" customHeight="1" spans="1:2">
      <c r="A4318" s="3" t="s">
        <v>12805</v>
      </c>
      <c r="B4318" s="4">
        <v>35007180</v>
      </c>
    </row>
    <row r="4319" customHeight="1" spans="1:2">
      <c r="A4319" s="3" t="s">
        <v>22643</v>
      </c>
      <c r="B4319" s="4">
        <v>13134</v>
      </c>
    </row>
    <row r="4320" customHeight="1" spans="1:2">
      <c r="A4320" s="3" t="s">
        <v>21512</v>
      </c>
      <c r="B4320" s="4"/>
    </row>
    <row r="4321" customHeight="1" spans="1:2">
      <c r="A4321" s="3" t="s">
        <v>1603</v>
      </c>
      <c r="B4321" s="4">
        <v>71017784</v>
      </c>
    </row>
    <row r="4322" customHeight="1" spans="1:2">
      <c r="A4322" s="3" t="s">
        <v>1580</v>
      </c>
      <c r="B4322" s="4">
        <v>142614158</v>
      </c>
    </row>
    <row r="4323" customHeight="1" spans="1:2">
      <c r="A4323" s="3" t="s">
        <v>6295</v>
      </c>
      <c r="B4323" s="4">
        <v>96917897</v>
      </c>
    </row>
    <row r="4324" customHeight="1" spans="1:2">
      <c r="A4324" s="3" t="s">
        <v>4298</v>
      </c>
      <c r="B4324" s="4">
        <v>31670931</v>
      </c>
    </row>
    <row r="4325" customHeight="1" spans="1:2">
      <c r="A4325" s="3" t="s">
        <v>13269</v>
      </c>
      <c r="B4325" s="4">
        <v>28870</v>
      </c>
    </row>
    <row r="4326" customHeight="1" spans="1:2">
      <c r="A4326" s="3" t="s">
        <v>708</v>
      </c>
      <c r="B4326" s="4">
        <v>63143812</v>
      </c>
    </row>
    <row r="4327" customHeight="1" spans="1:2">
      <c r="A4327" s="3" t="s">
        <v>22740</v>
      </c>
      <c r="B4327" s="4"/>
    </row>
    <row r="4328" customHeight="1" spans="1:2">
      <c r="A4328" s="3" t="s">
        <v>15973</v>
      </c>
      <c r="B4328" s="4">
        <v>163214286</v>
      </c>
    </row>
    <row r="4329" customHeight="1" spans="1:2">
      <c r="A4329" s="3" t="s">
        <v>1928</v>
      </c>
      <c r="B4329" s="4">
        <v>10200000</v>
      </c>
    </row>
    <row r="4330" customHeight="1" spans="1:2">
      <c r="A4330" s="3" t="s">
        <v>5809</v>
      </c>
      <c r="B4330" s="4">
        <v>57362581</v>
      </c>
    </row>
    <row r="4331" customHeight="1" spans="1:2">
      <c r="A4331" s="3" t="s">
        <v>21834</v>
      </c>
      <c r="B4331" s="4">
        <v>12996</v>
      </c>
    </row>
    <row r="4332" customHeight="1" spans="1:2">
      <c r="A4332" s="3" t="s">
        <v>19883</v>
      </c>
      <c r="B4332" s="4">
        <v>6851969</v>
      </c>
    </row>
    <row r="4333" customHeight="1" spans="1:2">
      <c r="A4333" s="3" t="s">
        <v>2046</v>
      </c>
      <c r="B4333" s="4">
        <v>71148699</v>
      </c>
    </row>
    <row r="4334" customHeight="1" spans="1:2">
      <c r="A4334" s="3" t="s">
        <v>4399</v>
      </c>
      <c r="B4334" s="4">
        <v>19781879</v>
      </c>
    </row>
    <row r="4335" customHeight="1" spans="1:2">
      <c r="A4335" s="3" t="s">
        <v>3317</v>
      </c>
      <c r="B4335" s="4">
        <v>162495848</v>
      </c>
    </row>
    <row r="4336" customHeight="1" spans="1:2">
      <c r="A4336" s="3" t="s">
        <v>8148</v>
      </c>
      <c r="B4336" s="4">
        <v>85416609</v>
      </c>
    </row>
    <row r="4337" customHeight="1" spans="1:2">
      <c r="A4337" s="3" t="s">
        <v>9000</v>
      </c>
      <c r="B4337" s="4">
        <v>24268828</v>
      </c>
    </row>
    <row r="4338" customHeight="1" spans="1:2">
      <c r="A4338" s="3" t="s">
        <v>13396</v>
      </c>
      <c r="B4338" s="4">
        <v>46800000</v>
      </c>
    </row>
    <row r="4339" customHeight="1" spans="1:2">
      <c r="A4339" s="3" t="s">
        <v>20625</v>
      </c>
      <c r="B4339" s="4"/>
    </row>
    <row r="4340" customHeight="1" spans="1:2">
      <c r="A4340" s="3" t="s">
        <v>20901</v>
      </c>
      <c r="B4340" s="4">
        <v>7362100</v>
      </c>
    </row>
    <row r="4341" customHeight="1" spans="1:2">
      <c r="A4341" s="3" t="s">
        <v>9206</v>
      </c>
      <c r="B4341" s="4">
        <v>763044</v>
      </c>
    </row>
    <row r="4342" customHeight="1" spans="1:2">
      <c r="A4342" s="3" t="s">
        <v>22522</v>
      </c>
      <c r="B4342" s="4">
        <v>5739376</v>
      </c>
    </row>
    <row r="4343" customHeight="1" spans="1:2">
      <c r="A4343" s="3" t="s">
        <v>10921</v>
      </c>
      <c r="B4343" s="4">
        <v>29062561</v>
      </c>
    </row>
    <row r="4344" customHeight="1" spans="1:2">
      <c r="A4344" s="3" t="s">
        <v>1959</v>
      </c>
      <c r="B4344" s="4">
        <v>59475623</v>
      </c>
    </row>
    <row r="4345" customHeight="1" spans="1:2">
      <c r="A4345" s="3" t="s">
        <v>23366</v>
      </c>
      <c r="B4345" s="4"/>
    </row>
    <row r="4346" customHeight="1" spans="1:2">
      <c r="A4346" s="3" t="s">
        <v>23258</v>
      </c>
      <c r="B4346" s="4">
        <v>18195</v>
      </c>
    </row>
    <row r="4347" customHeight="1" spans="1:2">
      <c r="A4347" s="3" t="s">
        <v>17384</v>
      </c>
      <c r="B4347" s="4">
        <v>159600000</v>
      </c>
    </row>
    <row r="4348" customHeight="1" spans="1:2">
      <c r="A4348" s="3" t="s">
        <v>5347</v>
      </c>
      <c r="B4348" s="4">
        <v>27067160</v>
      </c>
    </row>
    <row r="4349" customHeight="1" spans="1:2">
      <c r="A4349" s="3" t="s">
        <v>15136</v>
      </c>
      <c r="B4349" s="4">
        <v>6197866</v>
      </c>
    </row>
    <row r="4350" customHeight="1" spans="1:2">
      <c r="A4350" s="3" t="s">
        <v>21160</v>
      </c>
      <c r="B4350" s="4"/>
    </row>
    <row r="4351" customHeight="1" spans="1:2">
      <c r="A4351" s="3" t="s">
        <v>3539</v>
      </c>
      <c r="B4351" s="4">
        <v>118471320</v>
      </c>
    </row>
    <row r="4352" customHeight="1" spans="1:2">
      <c r="A4352" s="3" t="s">
        <v>18370</v>
      </c>
      <c r="B4352" s="4">
        <v>26345</v>
      </c>
    </row>
    <row r="4353" customHeight="1" spans="1:2">
      <c r="A4353" s="3" t="s">
        <v>17866</v>
      </c>
      <c r="B4353" s="4">
        <v>4306697</v>
      </c>
    </row>
    <row r="4354" customHeight="1" spans="1:2">
      <c r="A4354" s="3" t="s">
        <v>6068</v>
      </c>
      <c r="B4354" s="4">
        <v>24430272</v>
      </c>
    </row>
    <row r="4355" customHeight="1" spans="1:2">
      <c r="A4355" s="3" t="s">
        <v>15314</v>
      </c>
      <c r="B4355" s="4">
        <v>231417</v>
      </c>
    </row>
    <row r="4356" customHeight="1" spans="1:2">
      <c r="A4356" s="3" t="s">
        <v>11602</v>
      </c>
      <c r="B4356" s="4">
        <v>27758465</v>
      </c>
    </row>
    <row r="4357" customHeight="1" spans="1:2">
      <c r="A4357" s="3" t="s">
        <v>11918</v>
      </c>
      <c r="B4357" s="4">
        <v>13491653</v>
      </c>
    </row>
    <row r="4358" customHeight="1" spans="1:2">
      <c r="A4358" s="3" t="s">
        <v>1742</v>
      </c>
      <c r="B4358" s="4">
        <v>65452312</v>
      </c>
    </row>
    <row r="4359" customHeight="1" spans="1:2">
      <c r="A4359" s="3" t="s">
        <v>4141</v>
      </c>
      <c r="B4359" s="4">
        <v>50818750</v>
      </c>
    </row>
    <row r="4360" customHeight="1" spans="1:2">
      <c r="A4360" s="3" t="s">
        <v>6334</v>
      </c>
      <c r="B4360" s="4">
        <v>81292135</v>
      </c>
    </row>
    <row r="4361" customHeight="1" spans="1:2">
      <c r="A4361" s="3" t="s">
        <v>11490</v>
      </c>
      <c r="B4361" s="4">
        <v>263365</v>
      </c>
    </row>
    <row r="4362" customHeight="1" spans="1:2">
      <c r="A4362" s="3" t="s">
        <v>17481</v>
      </c>
      <c r="B4362" s="4">
        <v>766487</v>
      </c>
    </row>
    <row r="4363" customHeight="1" spans="1:2">
      <c r="A4363" s="3" t="s">
        <v>3049</v>
      </c>
      <c r="B4363" s="4">
        <v>77032279</v>
      </c>
    </row>
    <row r="4364" customHeight="1" spans="1:2">
      <c r="A4364" s="3" t="s">
        <v>16942</v>
      </c>
      <c r="B4364" s="4">
        <v>38400000</v>
      </c>
    </row>
    <row r="4365" customHeight="1" spans="1:2">
      <c r="A4365" s="3" t="s">
        <v>15597</v>
      </c>
      <c r="B4365" s="4">
        <v>61718000</v>
      </c>
    </row>
    <row r="4366" customHeight="1" spans="1:2">
      <c r="A4366" s="3" t="s">
        <v>18152</v>
      </c>
      <c r="B4366" s="4">
        <v>8025872</v>
      </c>
    </row>
    <row r="4367" customHeight="1" spans="1:2">
      <c r="A4367" s="3" t="s">
        <v>12412</v>
      </c>
      <c r="B4367" s="4">
        <v>39511038</v>
      </c>
    </row>
    <row r="4368" customHeight="1" spans="1:2">
      <c r="A4368" s="3" t="s">
        <v>12809</v>
      </c>
      <c r="B4368" s="4">
        <v>35887263</v>
      </c>
    </row>
    <row r="4369" customHeight="1" spans="1:2">
      <c r="A4369" s="3" t="s">
        <v>4948</v>
      </c>
      <c r="B4369" s="4">
        <v>36385763</v>
      </c>
    </row>
    <row r="4370" customHeight="1" spans="1:2">
      <c r="A4370" s="3" t="s">
        <v>7051</v>
      </c>
      <c r="B4370" s="4">
        <v>13782838</v>
      </c>
    </row>
    <row r="4371" customHeight="1" spans="1:2">
      <c r="A4371" s="3" t="s">
        <v>12517</v>
      </c>
      <c r="B4371" s="4">
        <v>15500000</v>
      </c>
    </row>
    <row r="4372" customHeight="1" spans="1:2">
      <c r="A4372" s="3" t="s">
        <v>5622</v>
      </c>
      <c r="B4372" s="4">
        <v>69304264</v>
      </c>
    </row>
    <row r="4373" customHeight="1" spans="1:2">
      <c r="A4373" s="3" t="s">
        <v>2333</v>
      </c>
      <c r="B4373" s="4">
        <v>20315324</v>
      </c>
    </row>
    <row r="4374" customHeight="1" spans="1:2">
      <c r="A4374" s="3" t="s">
        <v>8327</v>
      </c>
      <c r="B4374" s="4">
        <v>44328238</v>
      </c>
    </row>
    <row r="4375" customHeight="1" spans="1:2">
      <c r="A4375" s="3" t="s">
        <v>10791</v>
      </c>
      <c r="B4375" s="4">
        <v>45542421</v>
      </c>
    </row>
    <row r="4376" customHeight="1" spans="1:2">
      <c r="A4376" s="3" t="s">
        <v>20115</v>
      </c>
      <c r="B4376" s="4"/>
    </row>
    <row r="4377" customHeight="1" spans="1:2">
      <c r="A4377" s="3" t="s">
        <v>2761</v>
      </c>
      <c r="B4377" s="4">
        <v>56684819</v>
      </c>
    </row>
    <row r="4378" customHeight="1" spans="1:2">
      <c r="A4378" s="3" t="s">
        <v>6923</v>
      </c>
      <c r="B4378" s="4">
        <v>63411478</v>
      </c>
    </row>
    <row r="4379" customHeight="1" spans="1:2">
      <c r="A4379" s="3" t="s">
        <v>20957</v>
      </c>
      <c r="B4379" s="4">
        <v>3447339</v>
      </c>
    </row>
    <row r="4380" customHeight="1" spans="1:2">
      <c r="A4380" s="3" t="s">
        <v>5548</v>
      </c>
      <c r="B4380" s="4"/>
    </row>
    <row r="4381" customHeight="1" spans="1:2">
      <c r="A4381" s="3" t="s">
        <v>20559</v>
      </c>
      <c r="B4381" s="4"/>
    </row>
    <row r="4382" customHeight="1" spans="1:2">
      <c r="A4382" s="3" t="s">
        <v>11502</v>
      </c>
      <c r="B4382" s="4"/>
    </row>
    <row r="4383" customHeight="1" spans="1:2">
      <c r="A4383" s="3" t="s">
        <v>1817</v>
      </c>
      <c r="B4383" s="4">
        <v>135262314</v>
      </c>
    </row>
    <row r="4384" customHeight="1" spans="1:2">
      <c r="A4384" s="3" t="s">
        <v>7107</v>
      </c>
      <c r="B4384" s="4">
        <v>92173235</v>
      </c>
    </row>
    <row r="4385" customHeight="1" spans="1:2">
      <c r="A4385" s="3" t="s">
        <v>20126</v>
      </c>
      <c r="B4385" s="4">
        <v>792966</v>
      </c>
    </row>
    <row r="4386" customHeight="1" spans="1:2">
      <c r="A4386" s="3" t="s">
        <v>22763</v>
      </c>
      <c r="B4386" s="4"/>
    </row>
    <row r="4387" customHeight="1" spans="1:2">
      <c r="A4387" s="3" t="s">
        <v>17325</v>
      </c>
      <c r="B4387" s="4"/>
    </row>
    <row r="4388" customHeight="1" spans="1:2">
      <c r="A4388" s="3" t="s">
        <v>10480</v>
      </c>
      <c r="B4388" s="4">
        <v>16027866</v>
      </c>
    </row>
    <row r="4389" customHeight="1" spans="1:2">
      <c r="A4389" s="3" t="s">
        <v>10587</v>
      </c>
      <c r="B4389" s="4">
        <v>25296447</v>
      </c>
    </row>
    <row r="4390" customHeight="1" spans="1:2">
      <c r="A4390" s="3" t="s">
        <v>7655</v>
      </c>
      <c r="B4390" s="4">
        <v>13303319</v>
      </c>
    </row>
    <row r="4391" customHeight="1" spans="1:2">
      <c r="A4391" s="3" t="s">
        <v>23488</v>
      </c>
      <c r="B4391" s="4">
        <v>1111</v>
      </c>
    </row>
    <row r="4392" customHeight="1" spans="1:2">
      <c r="A4392" s="3" t="s">
        <v>20200</v>
      </c>
      <c r="B4392" s="4">
        <v>7002255</v>
      </c>
    </row>
    <row r="4393" customHeight="1" spans="1:2">
      <c r="A4393" s="3" t="s">
        <v>21308</v>
      </c>
      <c r="B4393" s="4"/>
    </row>
    <row r="4394" customHeight="1" spans="1:2">
      <c r="A4394" s="3" t="s">
        <v>10041</v>
      </c>
      <c r="B4394" s="4"/>
    </row>
    <row r="4395" customHeight="1" spans="1:2">
      <c r="A4395" s="3" t="s">
        <v>3971</v>
      </c>
      <c r="B4395" s="4">
        <v>125603360</v>
      </c>
    </row>
    <row r="4396" customHeight="1" spans="1:2">
      <c r="A4396" s="3" t="s">
        <v>4152</v>
      </c>
      <c r="B4396" s="4">
        <v>50189179</v>
      </c>
    </row>
    <row r="4397" customHeight="1" spans="1:2">
      <c r="A4397" s="3" t="s">
        <v>1108</v>
      </c>
      <c r="B4397" s="4">
        <v>584597846</v>
      </c>
    </row>
    <row r="4398" customHeight="1" spans="1:2">
      <c r="A4398" s="3" t="s">
        <v>3543</v>
      </c>
      <c r="B4398" s="4">
        <v>300523113</v>
      </c>
    </row>
    <row r="4399" customHeight="1" spans="1:2">
      <c r="A4399" s="3" t="s">
        <v>4994</v>
      </c>
      <c r="B4399" s="4">
        <v>296623634</v>
      </c>
    </row>
    <row r="4400" customHeight="1" spans="1:2">
      <c r="A4400" s="3" t="s">
        <v>6961</v>
      </c>
      <c r="B4400" s="4">
        <v>88915214</v>
      </c>
    </row>
    <row r="4401" customHeight="1" spans="1:2">
      <c r="A4401" s="3" t="s">
        <v>15701</v>
      </c>
      <c r="B4401" s="4">
        <v>3420871</v>
      </c>
    </row>
    <row r="4402" customHeight="1" spans="1:2">
      <c r="A4402" s="3" t="s">
        <v>12406</v>
      </c>
      <c r="B4402" s="4">
        <v>85276330</v>
      </c>
    </row>
    <row r="4403" customHeight="1" spans="1:2">
      <c r="A4403" s="3" t="s">
        <v>9452</v>
      </c>
      <c r="B4403" s="4">
        <v>76270454</v>
      </c>
    </row>
    <row r="4404" customHeight="1" spans="1:2">
      <c r="A4404" s="3" t="s">
        <v>14173</v>
      </c>
      <c r="B4404" s="4">
        <v>18761993</v>
      </c>
    </row>
    <row r="4405" customHeight="1" spans="1:2">
      <c r="A4405" s="3" t="s">
        <v>17022</v>
      </c>
      <c r="B4405" s="4">
        <v>23272306</v>
      </c>
    </row>
    <row r="4406" customHeight="1" spans="1:2">
      <c r="A4406" s="3" t="s">
        <v>20043</v>
      </c>
      <c r="B4406" s="4"/>
    </row>
    <row r="4407" customHeight="1" spans="1:2">
      <c r="A4407" s="3" t="s">
        <v>21482</v>
      </c>
      <c r="B4407" s="4"/>
    </row>
    <row r="4408" customHeight="1" spans="1:2">
      <c r="A4408" s="3" t="s">
        <v>13875</v>
      </c>
      <c r="B4408" s="4">
        <v>1712111</v>
      </c>
    </row>
    <row r="4409" customHeight="1" spans="1:2">
      <c r="A4409" s="3" t="s">
        <v>18757</v>
      </c>
      <c r="B4409" s="4"/>
    </row>
    <row r="4410" customHeight="1" spans="1:2">
      <c r="A4410" s="3" t="s">
        <v>18685</v>
      </c>
      <c r="B4410" s="4"/>
    </row>
    <row r="4411" customHeight="1" spans="1:2">
      <c r="A4411" s="3" t="s">
        <v>12390</v>
      </c>
      <c r="B4411" s="4">
        <v>54000000</v>
      </c>
    </row>
    <row r="4412" customHeight="1" spans="1:2">
      <c r="A4412" s="3" t="s">
        <v>3279</v>
      </c>
      <c r="B4412" s="4">
        <v>114195633</v>
      </c>
    </row>
    <row r="4413" customHeight="1" spans="1:2">
      <c r="A4413" s="3" t="s">
        <v>17136</v>
      </c>
      <c r="B4413" s="4">
        <v>4859475</v>
      </c>
    </row>
    <row r="4414" customHeight="1" spans="1:2">
      <c r="A4414" s="3" t="s">
        <v>20354</v>
      </c>
      <c r="B4414" s="4">
        <v>535249</v>
      </c>
    </row>
    <row r="4415" customHeight="1" spans="1:2">
      <c r="A4415" s="3" t="s">
        <v>17999</v>
      </c>
      <c r="B4415" s="4">
        <v>65069140</v>
      </c>
    </row>
    <row r="4416" customHeight="1" spans="1:2">
      <c r="A4416" s="3" t="s">
        <v>14635</v>
      </c>
      <c r="B4416" s="4">
        <v>4068087</v>
      </c>
    </row>
    <row r="4417" customHeight="1" spans="1:2">
      <c r="A4417" s="3" t="s">
        <v>8106</v>
      </c>
      <c r="B4417" s="4">
        <v>125014030</v>
      </c>
    </row>
    <row r="4418" customHeight="1" spans="1:2">
      <c r="A4418" s="3" t="s">
        <v>17201</v>
      </c>
      <c r="B4418" s="4">
        <v>2077046</v>
      </c>
    </row>
    <row r="4419" customHeight="1" spans="1:2">
      <c r="A4419" s="3" t="s">
        <v>15734</v>
      </c>
      <c r="B4419" s="4">
        <v>770629</v>
      </c>
    </row>
    <row r="4420" customHeight="1" spans="1:2">
      <c r="A4420" s="3" t="s">
        <v>7685</v>
      </c>
      <c r="B4420" s="4">
        <v>10137502</v>
      </c>
    </row>
    <row r="4421" customHeight="1" spans="1:2">
      <c r="A4421" s="3" t="s">
        <v>20587</v>
      </c>
      <c r="B4421" s="4"/>
    </row>
    <row r="4422" customHeight="1" spans="1:2">
      <c r="A4422" s="3" t="s">
        <v>6884</v>
      </c>
      <c r="B4422" s="4">
        <v>128978</v>
      </c>
    </row>
    <row r="4423" customHeight="1" spans="1:2">
      <c r="A4423" s="3" t="s">
        <v>6187</v>
      </c>
      <c r="B4423" s="4">
        <v>5664251</v>
      </c>
    </row>
    <row r="4424" customHeight="1" spans="1:2">
      <c r="A4424" s="3" t="s">
        <v>18519</v>
      </c>
      <c r="B4424" s="4">
        <v>10097096</v>
      </c>
    </row>
    <row r="4425" customHeight="1" spans="1:2">
      <c r="A4425" s="3" t="s">
        <v>4731</v>
      </c>
      <c r="B4425" s="4">
        <v>68701106</v>
      </c>
    </row>
    <row r="4426" customHeight="1" spans="1:2">
      <c r="A4426" s="3" t="s">
        <v>7850</v>
      </c>
      <c r="B4426" s="4">
        <v>28927720</v>
      </c>
    </row>
    <row r="4427" customHeight="1" spans="1:2">
      <c r="A4427" s="3" t="s">
        <v>10335</v>
      </c>
      <c r="B4427" s="4">
        <v>4190530</v>
      </c>
    </row>
    <row r="4428" customHeight="1" spans="1:2">
      <c r="A4428" s="3" t="s">
        <v>10200</v>
      </c>
      <c r="B4428" s="4">
        <v>161487252</v>
      </c>
    </row>
    <row r="4429" customHeight="1" spans="1:2">
      <c r="A4429" s="3" t="s">
        <v>16424</v>
      </c>
      <c r="B4429" s="4"/>
    </row>
    <row r="4430" customHeight="1" spans="1:2">
      <c r="A4430" s="3" t="s">
        <v>15690</v>
      </c>
      <c r="B4430" s="4">
        <v>6047856</v>
      </c>
    </row>
    <row r="4431" customHeight="1" spans="1:2">
      <c r="A4431" s="3" t="s">
        <v>17627</v>
      </c>
      <c r="B4431" s="4">
        <v>21501098</v>
      </c>
    </row>
    <row r="4432" customHeight="1" spans="1:2">
      <c r="A4432" s="3" t="s">
        <v>11195</v>
      </c>
      <c r="B4432" s="4">
        <v>12469811</v>
      </c>
    </row>
    <row r="4433" customHeight="1" spans="1:2">
      <c r="A4433" s="3" t="s">
        <v>12835</v>
      </c>
      <c r="B4433" s="4">
        <v>31585300</v>
      </c>
    </row>
    <row r="4434" customHeight="1" spans="1:2">
      <c r="A4434" s="3" t="s">
        <v>8882</v>
      </c>
      <c r="B4434" s="4">
        <v>60400856</v>
      </c>
    </row>
    <row r="4435" customHeight="1" spans="1:2">
      <c r="A4435" s="3" t="s">
        <v>16226</v>
      </c>
      <c r="B4435" s="4">
        <v>127144</v>
      </c>
    </row>
    <row r="4436" customHeight="1" spans="1:2">
      <c r="A4436" s="3" t="s">
        <v>12563</v>
      </c>
      <c r="B4436" s="4">
        <v>1666262</v>
      </c>
    </row>
    <row r="4437" customHeight="1" spans="1:2">
      <c r="A4437" s="3" t="s">
        <v>12023</v>
      </c>
      <c r="B4437" s="4">
        <v>2222647</v>
      </c>
    </row>
    <row r="4438" customHeight="1" spans="1:2">
      <c r="A4438" s="3" t="s">
        <v>10096</v>
      </c>
      <c r="B4438" s="4">
        <v>57262492</v>
      </c>
    </row>
    <row r="4439" customHeight="1" spans="1:2">
      <c r="A4439" s="3" t="s">
        <v>8551</v>
      </c>
      <c r="B4439" s="4">
        <v>16323969</v>
      </c>
    </row>
    <row r="4440" customHeight="1" spans="1:2">
      <c r="A4440" s="3" t="s">
        <v>16182</v>
      </c>
      <c r="B4440" s="4"/>
    </row>
    <row r="4441" customHeight="1" spans="1:2">
      <c r="A4441" s="3" t="s">
        <v>21414</v>
      </c>
      <c r="B4441" s="4"/>
    </row>
    <row r="4442" customHeight="1" spans="1:2">
      <c r="A4442" s="3" t="s">
        <v>13843</v>
      </c>
      <c r="B4442" s="4">
        <v>3058380</v>
      </c>
    </row>
    <row r="4443" customHeight="1" spans="1:2">
      <c r="A4443" s="3" t="s">
        <v>17198</v>
      </c>
      <c r="B4443" s="4"/>
    </row>
    <row r="4444" customHeight="1" spans="1:2">
      <c r="A4444" s="3" t="s">
        <v>9570</v>
      </c>
      <c r="B4444" s="4">
        <v>39880476</v>
      </c>
    </row>
    <row r="4445" customHeight="1" spans="1:2">
      <c r="A4445" s="3" t="s">
        <v>15921</v>
      </c>
      <c r="B4445" s="4">
        <v>1829142</v>
      </c>
    </row>
    <row r="4446" customHeight="1" spans="1:2">
      <c r="A4446" s="3" t="s">
        <v>18919</v>
      </c>
      <c r="B4446" s="4">
        <v>25138292</v>
      </c>
    </row>
    <row r="4447" customHeight="1" spans="1:2">
      <c r="A4447" s="3" t="s">
        <v>10151</v>
      </c>
      <c r="B4447" s="4">
        <v>13000000</v>
      </c>
    </row>
    <row r="4448" customHeight="1" spans="1:2">
      <c r="A4448" s="3" t="s">
        <v>19682</v>
      </c>
      <c r="B4448" s="4">
        <v>22202612</v>
      </c>
    </row>
    <row r="4449" customHeight="1" spans="1:2">
      <c r="A4449" s="3" t="s">
        <v>1833</v>
      </c>
      <c r="B4449" s="4">
        <v>116866727</v>
      </c>
    </row>
    <row r="4450" customHeight="1" spans="1:2">
      <c r="A4450" s="3" t="s">
        <v>898</v>
      </c>
      <c r="B4450" s="4">
        <v>61937495</v>
      </c>
    </row>
    <row r="4451" customHeight="1" spans="1:2">
      <c r="A4451" s="3" t="s">
        <v>1447</v>
      </c>
      <c r="B4451" s="4">
        <v>132550960</v>
      </c>
    </row>
    <row r="4452" customHeight="1" spans="1:2">
      <c r="A4452" s="3" t="s">
        <v>23579</v>
      </c>
      <c r="B4452" s="4">
        <v>110720</v>
      </c>
    </row>
    <row r="4453" customHeight="1" spans="1:2">
      <c r="A4453" s="3" t="s">
        <v>12751</v>
      </c>
      <c r="B4453" s="4">
        <v>54322273</v>
      </c>
    </row>
    <row r="4454" customHeight="1" spans="1:2">
      <c r="A4454" s="3" t="s">
        <v>12462</v>
      </c>
      <c r="B4454" s="4">
        <v>26896744</v>
      </c>
    </row>
    <row r="4455" customHeight="1" spans="1:2">
      <c r="A4455" s="3" t="s">
        <v>17019</v>
      </c>
      <c r="B4455" s="4">
        <v>25047631</v>
      </c>
    </row>
    <row r="4456" customHeight="1" spans="1:2">
      <c r="A4456" s="3" t="s">
        <v>17114</v>
      </c>
      <c r="B4456" s="4">
        <v>11434867</v>
      </c>
    </row>
    <row r="4457" customHeight="1" spans="1:2">
      <c r="A4457" s="3" t="s">
        <v>16914</v>
      </c>
      <c r="B4457" s="4">
        <v>2024854</v>
      </c>
    </row>
    <row r="4458" customHeight="1" spans="1:2">
      <c r="A4458" s="3" t="s">
        <v>16370</v>
      </c>
      <c r="B4458" s="4">
        <v>3347439</v>
      </c>
    </row>
    <row r="4459" customHeight="1" spans="1:2">
      <c r="A4459" s="3" t="s">
        <v>23679</v>
      </c>
      <c r="B4459" s="4"/>
    </row>
    <row r="4460" customHeight="1" spans="1:2">
      <c r="A4460" s="3" t="s">
        <v>23548</v>
      </c>
      <c r="B4460" s="4"/>
    </row>
    <row r="4461" customHeight="1" spans="1:2">
      <c r="A4461" s="3" t="s">
        <v>1094</v>
      </c>
      <c r="B4461" s="4">
        <v>126930660</v>
      </c>
    </row>
    <row r="4462" customHeight="1" spans="1:2">
      <c r="A4462" s="3" t="s">
        <v>10957</v>
      </c>
      <c r="B4462" s="4">
        <v>26003149</v>
      </c>
    </row>
    <row r="4463" customHeight="1" spans="1:2">
      <c r="A4463" s="3" t="s">
        <v>9968</v>
      </c>
      <c r="B4463" s="4">
        <v>5128124</v>
      </c>
    </row>
    <row r="4464" customHeight="1" spans="1:2">
      <c r="A4464" s="3" t="s">
        <v>12032</v>
      </c>
      <c r="B4464" s="4">
        <v>3500000</v>
      </c>
    </row>
    <row r="4465" customHeight="1" spans="1:2">
      <c r="A4465" s="3" t="s">
        <v>17038</v>
      </c>
      <c r="B4465" s="4">
        <v>26236603</v>
      </c>
    </row>
    <row r="4466" customHeight="1" spans="1:2">
      <c r="A4466" s="3" t="s">
        <v>3616</v>
      </c>
      <c r="B4466" s="4">
        <v>83892374</v>
      </c>
    </row>
    <row r="4467" customHeight="1" spans="1:2">
      <c r="A4467" s="3" t="s">
        <v>7538</v>
      </c>
      <c r="B4467" s="4">
        <v>20981633</v>
      </c>
    </row>
    <row r="4468" customHeight="1" spans="1:2">
      <c r="A4468" s="3" t="s">
        <v>11429</v>
      </c>
      <c r="B4468" s="4">
        <v>882710</v>
      </c>
    </row>
    <row r="4469" customHeight="1" spans="1:2">
      <c r="A4469" s="3" t="s">
        <v>12686</v>
      </c>
      <c r="B4469" s="4">
        <v>317040</v>
      </c>
    </row>
    <row r="4470" customHeight="1" spans="1:2">
      <c r="A4470" s="3" t="s">
        <v>7956</v>
      </c>
      <c r="B4470" s="4">
        <v>99462</v>
      </c>
    </row>
    <row r="4471" customHeight="1" spans="1:2">
      <c r="A4471" s="3" t="s">
        <v>12418</v>
      </c>
      <c r="B4471" s="4">
        <v>6462576</v>
      </c>
    </row>
    <row r="4472" customHeight="1" spans="1:2">
      <c r="A4472" s="3" t="s">
        <v>22202</v>
      </c>
      <c r="B4472" s="4">
        <v>58163</v>
      </c>
    </row>
    <row r="4473" customHeight="1" spans="1:2">
      <c r="A4473" s="3" t="s">
        <v>7647</v>
      </c>
      <c r="B4473" s="4">
        <v>10991381</v>
      </c>
    </row>
    <row r="4474" customHeight="1" spans="1:2">
      <c r="A4474" s="3" t="s">
        <v>7252</v>
      </c>
      <c r="B4474" s="4">
        <v>1068392</v>
      </c>
    </row>
    <row r="4475" customHeight="1" spans="1:2">
      <c r="A4475" s="3" t="s">
        <v>14747</v>
      </c>
      <c r="B4475" s="4">
        <v>125169</v>
      </c>
    </row>
    <row r="4476" customHeight="1" spans="1:2">
      <c r="A4476" s="3" t="s">
        <v>9565</v>
      </c>
      <c r="B4476" s="4">
        <v>40218903</v>
      </c>
    </row>
    <row r="4477" customHeight="1" spans="1:2">
      <c r="A4477" s="3" t="s">
        <v>10343</v>
      </c>
      <c r="B4477" s="4">
        <v>176483808</v>
      </c>
    </row>
    <row r="4478" customHeight="1" spans="1:2">
      <c r="A4478" s="3" t="s">
        <v>23509</v>
      </c>
      <c r="B4478" s="4"/>
    </row>
    <row r="4479" customHeight="1" spans="1:2">
      <c r="A4479" s="3" t="s">
        <v>19555</v>
      </c>
      <c r="B4479" s="4"/>
    </row>
    <row r="4480" customHeight="1" spans="1:2">
      <c r="A4480" s="3" t="s">
        <v>18487</v>
      </c>
      <c r="B4480" s="4">
        <v>13008928</v>
      </c>
    </row>
    <row r="4481" customHeight="1" spans="1:2">
      <c r="A4481" s="3" t="s">
        <v>22430</v>
      </c>
      <c r="B4481" s="4"/>
    </row>
    <row r="4482" customHeight="1" spans="1:2">
      <c r="A4482" s="3" t="s">
        <v>12238</v>
      </c>
      <c r="B4482" s="4">
        <v>12693621</v>
      </c>
    </row>
    <row r="4483" customHeight="1" spans="1:2">
      <c r="A4483" s="3" t="s">
        <v>13221</v>
      </c>
      <c r="B4483" s="4">
        <v>529766</v>
      </c>
    </row>
    <row r="4484" customHeight="1" spans="1:2">
      <c r="A4484" s="3" t="s">
        <v>12549</v>
      </c>
      <c r="B4484" s="4">
        <v>2849142</v>
      </c>
    </row>
    <row r="4485" customHeight="1" spans="1:2">
      <c r="A4485" s="3" t="s">
        <v>10093</v>
      </c>
      <c r="B4485" s="4">
        <v>65182182</v>
      </c>
    </row>
    <row r="4486" customHeight="1" spans="1:2">
      <c r="A4486" s="3" t="s">
        <v>14029</v>
      </c>
      <c r="B4486" s="4">
        <v>91547205</v>
      </c>
    </row>
    <row r="4487" customHeight="1" spans="1:2">
      <c r="A4487" s="3" t="s">
        <v>13471</v>
      </c>
      <c r="B4487" s="4">
        <v>15171475</v>
      </c>
    </row>
    <row r="4488" customHeight="1" spans="1:2">
      <c r="A4488" s="3" t="s">
        <v>11572</v>
      </c>
      <c r="B4488" s="4">
        <v>41867960</v>
      </c>
    </row>
    <row r="4489" customHeight="1" spans="1:2">
      <c r="A4489" s="3" t="s">
        <v>19400</v>
      </c>
      <c r="B4489" s="4">
        <v>3287435</v>
      </c>
    </row>
    <row r="4490" customHeight="1" spans="1:2">
      <c r="A4490" s="3" t="s">
        <v>2822</v>
      </c>
      <c r="B4490" s="4">
        <v>34566746</v>
      </c>
    </row>
    <row r="4491" customHeight="1" spans="1:2">
      <c r="A4491" s="3" t="s">
        <v>20223</v>
      </c>
      <c r="B4491" s="4">
        <v>4599680</v>
      </c>
    </row>
    <row r="4492" customHeight="1" spans="1:2">
      <c r="A4492" s="3" t="s">
        <v>13714</v>
      </c>
      <c r="B4492" s="4">
        <v>49121934</v>
      </c>
    </row>
    <row r="4493" customHeight="1" spans="1:2">
      <c r="A4493" s="3" t="s">
        <v>7374</v>
      </c>
      <c r="B4493" s="4">
        <v>67523385</v>
      </c>
    </row>
    <row r="4494" customHeight="1" spans="1:2">
      <c r="A4494" s="3" t="s">
        <v>19967</v>
      </c>
      <c r="B4494" s="4">
        <v>327919</v>
      </c>
    </row>
    <row r="4495" customHeight="1" spans="1:2">
      <c r="A4495" s="3" t="s">
        <v>4072</v>
      </c>
      <c r="B4495" s="4">
        <v>71844424</v>
      </c>
    </row>
    <row r="4496" customHeight="1" spans="1:2">
      <c r="A4496" s="3" t="s">
        <v>23908</v>
      </c>
      <c r="B4496" s="4"/>
    </row>
    <row r="4497" customHeight="1" spans="1:2">
      <c r="A4497" s="3" t="s">
        <v>7917</v>
      </c>
      <c r="B4497" s="4">
        <v>101470202</v>
      </c>
    </row>
    <row r="4498" customHeight="1" spans="1:2">
      <c r="A4498" s="3" t="s">
        <v>10863</v>
      </c>
      <c r="B4498" s="4">
        <v>34290142</v>
      </c>
    </row>
    <row r="4499" customHeight="1" spans="1:2">
      <c r="A4499" s="3" t="s">
        <v>3747</v>
      </c>
      <c r="B4499" s="4">
        <v>54758461</v>
      </c>
    </row>
    <row r="4500" customHeight="1" spans="1:2">
      <c r="A4500" s="3" t="s">
        <v>20416</v>
      </c>
      <c r="B4500" s="4"/>
    </row>
    <row r="4501" customHeight="1" spans="1:2">
      <c r="A4501" s="3" t="s">
        <v>11622</v>
      </c>
      <c r="B4501" s="4">
        <v>15911333</v>
      </c>
    </row>
    <row r="4502" customHeight="1" spans="1:2">
      <c r="A4502" s="3" t="s">
        <v>859</v>
      </c>
      <c r="B4502" s="4">
        <v>181015141</v>
      </c>
    </row>
    <row r="4503" customHeight="1" spans="1:2">
      <c r="A4503" s="3" t="s">
        <v>843</v>
      </c>
      <c r="B4503" s="4">
        <v>206360018</v>
      </c>
    </row>
    <row r="4504" customHeight="1" spans="1:2">
      <c r="A4504" s="3" t="s">
        <v>19955</v>
      </c>
      <c r="B4504" s="4">
        <v>978908</v>
      </c>
    </row>
    <row r="4505" customHeight="1" spans="1:2">
      <c r="A4505" s="3" t="s">
        <v>13147</v>
      </c>
      <c r="B4505" s="4">
        <v>5023275</v>
      </c>
    </row>
    <row r="4506" customHeight="1" spans="1:2">
      <c r="A4506" s="3" t="s">
        <v>11507</v>
      </c>
      <c r="B4506" s="4"/>
    </row>
    <row r="4507" customHeight="1" spans="1:2">
      <c r="A4507" s="3" t="s">
        <v>5553</v>
      </c>
      <c r="B4507" s="4">
        <v>60652036</v>
      </c>
    </row>
    <row r="4508" customHeight="1" spans="1:2">
      <c r="A4508" s="3" t="s">
        <v>11240</v>
      </c>
      <c r="B4508" s="4">
        <v>10544143</v>
      </c>
    </row>
    <row r="4509" customHeight="1" spans="1:2">
      <c r="A4509" s="3" t="s">
        <v>18592</v>
      </c>
      <c r="B4509" s="4">
        <v>1325073</v>
      </c>
    </row>
    <row r="4510" customHeight="1" spans="1:2">
      <c r="A4510" s="3" t="s">
        <v>7828</v>
      </c>
      <c r="B4510" s="4">
        <v>4091</v>
      </c>
    </row>
    <row r="4511" customHeight="1" spans="1:2">
      <c r="A4511" s="3" t="s">
        <v>15609</v>
      </c>
      <c r="B4511" s="4">
        <v>63600000</v>
      </c>
    </row>
    <row r="4512" customHeight="1" spans="1:2">
      <c r="A4512" s="3" t="s">
        <v>4807</v>
      </c>
      <c r="B4512" s="4">
        <v>6768055</v>
      </c>
    </row>
    <row r="4513" customHeight="1" spans="1:2">
      <c r="A4513" s="3" t="s">
        <v>12698</v>
      </c>
      <c r="B4513" s="4"/>
    </row>
    <row r="4514" customHeight="1" spans="1:2">
      <c r="A4514" s="3" t="s">
        <v>23830</v>
      </c>
      <c r="B4514" s="4"/>
    </row>
    <row r="4515" customHeight="1" spans="1:2">
      <c r="A4515" s="3" t="s">
        <v>19493</v>
      </c>
      <c r="B4515" s="4">
        <v>200803</v>
      </c>
    </row>
    <row r="4516" customHeight="1" spans="1:2">
      <c r="A4516" s="3" t="s">
        <v>19785</v>
      </c>
      <c r="B4516" s="4"/>
    </row>
    <row r="4517" customHeight="1" spans="1:2">
      <c r="A4517" s="3" t="s">
        <v>14084</v>
      </c>
      <c r="B4517" s="4">
        <v>42365600</v>
      </c>
    </row>
    <row r="4518" customHeight="1" spans="1:2">
      <c r="A4518" s="3" t="s">
        <v>22126</v>
      </c>
      <c r="B4518" s="4">
        <v>15278</v>
      </c>
    </row>
    <row r="4519" customHeight="1" spans="1:2">
      <c r="A4519" s="3" t="s">
        <v>19026</v>
      </c>
      <c r="B4519" s="4">
        <v>29233</v>
      </c>
    </row>
    <row r="4520" customHeight="1" spans="1:2">
      <c r="A4520" s="3" t="s">
        <v>8915</v>
      </c>
      <c r="B4520" s="4">
        <v>44450000</v>
      </c>
    </row>
    <row r="4521" customHeight="1" spans="1:2">
      <c r="A4521" s="3" t="s">
        <v>19776</v>
      </c>
      <c r="B4521" s="4">
        <v>38108</v>
      </c>
    </row>
    <row r="4522" customHeight="1" spans="1:2">
      <c r="A4522" s="3" t="s">
        <v>2857</v>
      </c>
      <c r="B4522" s="4">
        <v>19480739</v>
      </c>
    </row>
    <row r="4523" customHeight="1" spans="1:2">
      <c r="A4523" s="3" t="s">
        <v>24076</v>
      </c>
      <c r="B4523" s="4"/>
    </row>
    <row r="4524" customHeight="1" spans="1:2">
      <c r="A4524" s="3" t="s">
        <v>5813</v>
      </c>
      <c r="B4524" s="4">
        <v>53854588</v>
      </c>
    </row>
    <row r="4525" customHeight="1" spans="1:2">
      <c r="A4525" s="3" t="s">
        <v>10616</v>
      </c>
      <c r="B4525" s="4">
        <v>24104113</v>
      </c>
    </row>
    <row r="4526" customHeight="1" spans="1:2">
      <c r="A4526" s="3" t="s">
        <v>23861</v>
      </c>
      <c r="B4526" s="4">
        <v>389804</v>
      </c>
    </row>
    <row r="4527" customHeight="1" spans="1:2">
      <c r="A4527" s="3" t="s">
        <v>3157</v>
      </c>
      <c r="B4527" s="4">
        <v>22751979</v>
      </c>
    </row>
    <row r="4528" customHeight="1" spans="1:2">
      <c r="A4528" s="3" t="s">
        <v>218</v>
      </c>
      <c r="B4528" s="4">
        <v>658672302</v>
      </c>
    </row>
    <row r="4529" customHeight="1" spans="1:2">
      <c r="A4529" s="3" t="s">
        <v>7350</v>
      </c>
      <c r="B4529" s="4">
        <v>54132596</v>
      </c>
    </row>
    <row r="4530" customHeight="1" spans="1:2">
      <c r="A4530" s="3" t="s">
        <v>20502</v>
      </c>
      <c r="B4530" s="4"/>
    </row>
    <row r="4531" customHeight="1" spans="1:2">
      <c r="A4531" s="3" t="s">
        <v>11010</v>
      </c>
      <c r="B4531" s="4">
        <v>21200000</v>
      </c>
    </row>
    <row r="4532" customHeight="1" spans="1:2">
      <c r="A4532" s="3" t="s">
        <v>20152</v>
      </c>
      <c r="B4532" s="4"/>
    </row>
    <row r="4533" customHeight="1" spans="1:2">
      <c r="A4533" s="3" t="s">
        <v>10551</v>
      </c>
      <c r="B4533" s="4">
        <v>16684352</v>
      </c>
    </row>
    <row r="4534" customHeight="1" spans="1:2">
      <c r="A4534" s="3" t="s">
        <v>22526</v>
      </c>
      <c r="B4534" s="4">
        <v>3773863</v>
      </c>
    </row>
    <row r="4535" customHeight="1" spans="1:2">
      <c r="A4535" s="3" t="s">
        <v>21517</v>
      </c>
      <c r="B4535" s="4"/>
    </row>
    <row r="4536" customHeight="1" spans="1:2">
      <c r="A4536" s="3" t="s">
        <v>9486</v>
      </c>
      <c r="B4536" s="4">
        <v>56505065</v>
      </c>
    </row>
    <row r="4537" customHeight="1" spans="1:2">
      <c r="A4537" s="3" t="s">
        <v>14606</v>
      </c>
      <c r="B4537" s="4">
        <v>13558739</v>
      </c>
    </row>
    <row r="4538" customHeight="1" spans="1:2">
      <c r="A4538" s="3" t="s">
        <v>1520</v>
      </c>
      <c r="B4538" s="4">
        <v>125332007</v>
      </c>
    </row>
    <row r="4539" customHeight="1" spans="1:2">
      <c r="A4539" s="3" t="s">
        <v>609</v>
      </c>
      <c r="B4539" s="4">
        <v>93417865</v>
      </c>
    </row>
    <row r="4540" customHeight="1" spans="1:2">
      <c r="A4540" s="3" t="s">
        <v>12654</v>
      </c>
      <c r="B4540" s="4">
        <v>177200000</v>
      </c>
    </row>
    <row r="4541" customHeight="1" spans="1:2">
      <c r="A4541" s="3" t="s">
        <v>2912</v>
      </c>
      <c r="B4541" s="4"/>
    </row>
    <row r="4542" customHeight="1" spans="1:2">
      <c r="A4542" s="3" t="s">
        <v>14148</v>
      </c>
      <c r="B4542" s="4">
        <v>25277561</v>
      </c>
    </row>
    <row r="4543" customHeight="1" spans="1:2">
      <c r="A4543" s="3" t="s">
        <v>12658</v>
      </c>
      <c r="B4543" s="4">
        <v>176781728</v>
      </c>
    </row>
    <row r="4544" customHeight="1" spans="1:2">
      <c r="A4544" s="3" t="s">
        <v>22382</v>
      </c>
      <c r="B4544" s="4">
        <v>3000000</v>
      </c>
    </row>
    <row r="4545" customHeight="1" spans="1:2">
      <c r="A4545" s="3" t="s">
        <v>23626</v>
      </c>
      <c r="B4545" s="4">
        <v>5858</v>
      </c>
    </row>
    <row r="4546" customHeight="1" spans="1:2">
      <c r="A4546" s="3" t="s">
        <v>18558</v>
      </c>
      <c r="B4546" s="4"/>
    </row>
    <row r="4547" customHeight="1" spans="1:2">
      <c r="A4547" s="3" t="s">
        <v>11331</v>
      </c>
      <c r="B4547" s="4">
        <v>6201757</v>
      </c>
    </row>
    <row r="4548" customHeight="1" spans="1:2">
      <c r="A4548" s="3" t="s">
        <v>9672</v>
      </c>
      <c r="B4548" s="4">
        <v>14500000</v>
      </c>
    </row>
    <row r="4549" customHeight="1" spans="1:2">
      <c r="A4549" s="3" t="s">
        <v>19273</v>
      </c>
      <c r="B4549" s="4"/>
    </row>
    <row r="4550" customHeight="1" spans="1:2">
      <c r="A4550" s="3" t="s">
        <v>6713</v>
      </c>
      <c r="B4550" s="4">
        <v>21176322</v>
      </c>
    </row>
    <row r="4551" customHeight="1" spans="1:2">
      <c r="A4551" s="3" t="s">
        <v>1309</v>
      </c>
      <c r="B4551" s="4">
        <v>238825842</v>
      </c>
    </row>
    <row r="4552" customHeight="1" spans="1:2">
      <c r="A4552" s="3" t="s">
        <v>20242</v>
      </c>
      <c r="B4552" s="4">
        <v>4581222</v>
      </c>
    </row>
    <row r="4553" customHeight="1" spans="1:2">
      <c r="A4553" s="3" t="s">
        <v>2365</v>
      </c>
      <c r="B4553" s="4">
        <v>78009155</v>
      </c>
    </row>
    <row r="4554" customHeight="1" spans="1:2">
      <c r="A4554" s="3" t="s">
        <v>13369</v>
      </c>
      <c r="B4554" s="4"/>
    </row>
    <row r="4555" customHeight="1" spans="1:2">
      <c r="A4555" s="3" t="s">
        <v>1684</v>
      </c>
      <c r="B4555" s="4">
        <v>6712451</v>
      </c>
    </row>
    <row r="4556" customHeight="1" spans="1:2">
      <c r="A4556" s="3" t="s">
        <v>2081</v>
      </c>
      <c r="B4556" s="4">
        <v>245823397</v>
      </c>
    </row>
    <row r="4557" customHeight="1" spans="1:2">
      <c r="A4557" s="3" t="s">
        <v>325</v>
      </c>
      <c r="B4557" s="4">
        <v>414984497</v>
      </c>
    </row>
    <row r="4558" customHeight="1" spans="1:2">
      <c r="A4558" s="3" t="s">
        <v>8097</v>
      </c>
      <c r="B4558" s="4">
        <v>191796233</v>
      </c>
    </row>
    <row r="4559" customHeight="1" spans="1:2">
      <c r="A4559" s="3" t="s">
        <v>16936</v>
      </c>
      <c r="B4559" s="4"/>
    </row>
    <row r="4560" customHeight="1" spans="1:2">
      <c r="A4560" s="3" t="s">
        <v>17330</v>
      </c>
      <c r="B4560" s="4">
        <v>15059</v>
      </c>
    </row>
    <row r="4561" customHeight="1" spans="1:2">
      <c r="A4561" s="3" t="s">
        <v>14385</v>
      </c>
      <c r="B4561" s="4">
        <v>214202</v>
      </c>
    </row>
    <row r="4562" customHeight="1" spans="1:2">
      <c r="A4562" s="3" t="s">
        <v>15662</v>
      </c>
      <c r="B4562" s="4">
        <v>90400000</v>
      </c>
    </row>
    <row r="4563" customHeight="1" spans="1:2">
      <c r="A4563" s="3" t="s">
        <v>5518</v>
      </c>
      <c r="B4563" s="4">
        <v>124107476</v>
      </c>
    </row>
    <row r="4564" customHeight="1" spans="1:2">
      <c r="A4564" s="3" t="s">
        <v>18947</v>
      </c>
      <c r="B4564" s="4"/>
    </row>
    <row r="4565" customHeight="1" spans="1:2">
      <c r="A4565" s="3" t="s">
        <v>5748</v>
      </c>
      <c r="B4565" s="4">
        <v>76261036</v>
      </c>
    </row>
    <row r="4566" customHeight="1" spans="1:2">
      <c r="A4566" s="3" t="s">
        <v>19174</v>
      </c>
      <c r="B4566" s="4">
        <v>16501785</v>
      </c>
    </row>
    <row r="4567" customHeight="1" spans="1:2">
      <c r="A4567" s="3" t="s">
        <v>7300</v>
      </c>
      <c r="B4567" s="4">
        <v>110008260</v>
      </c>
    </row>
    <row r="4568" customHeight="1" spans="1:2">
      <c r="A4568" s="3" t="s">
        <v>12567</v>
      </c>
      <c r="B4568" s="4">
        <v>4638374</v>
      </c>
    </row>
    <row r="4569" customHeight="1" spans="1:2">
      <c r="A4569" s="3" t="s">
        <v>21570</v>
      </c>
      <c r="B4569" s="4">
        <v>9013113</v>
      </c>
    </row>
    <row r="4570" customHeight="1" spans="1:2">
      <c r="A4570" s="3" t="s">
        <v>2029</v>
      </c>
      <c r="B4570" s="4">
        <v>23014504</v>
      </c>
    </row>
    <row r="4571" customHeight="1" spans="1:2">
      <c r="A4571" s="3" t="s">
        <v>758</v>
      </c>
      <c r="B4571" s="4">
        <v>318759914</v>
      </c>
    </row>
    <row r="4572" customHeight="1" spans="1:2">
      <c r="A4572" s="3" t="s">
        <v>288</v>
      </c>
      <c r="B4572" s="4">
        <v>245428137</v>
      </c>
    </row>
    <row r="4573" customHeight="1" spans="1:2">
      <c r="A4573" s="3" t="s">
        <v>387</v>
      </c>
      <c r="B4573" s="4">
        <v>352358779</v>
      </c>
    </row>
    <row r="4574" customHeight="1" spans="1:2">
      <c r="A4574" s="3" t="s">
        <v>283</v>
      </c>
      <c r="B4574" s="4">
        <v>402076689</v>
      </c>
    </row>
    <row r="4575" customHeight="1" spans="1:2">
      <c r="A4575" s="3" t="s">
        <v>7974</v>
      </c>
      <c r="B4575" s="4">
        <v>43095600</v>
      </c>
    </row>
    <row r="4576" customHeight="1" spans="1:2">
      <c r="A4576" s="3" t="s">
        <v>13184</v>
      </c>
      <c r="B4576" s="4">
        <v>2203641</v>
      </c>
    </row>
    <row r="4577" customHeight="1" spans="1:2">
      <c r="A4577" s="3" t="s">
        <v>18478</v>
      </c>
      <c r="B4577" s="4"/>
    </row>
    <row r="4578" customHeight="1" spans="1:2">
      <c r="A4578" s="3" t="s">
        <v>8647</v>
      </c>
      <c r="B4578" s="4"/>
    </row>
    <row r="4579" customHeight="1" spans="1:2">
      <c r="A4579" s="3" t="s">
        <v>14501</v>
      </c>
      <c r="B4579" s="4">
        <v>10230</v>
      </c>
    </row>
    <row r="4580" customHeight="1" spans="1:2">
      <c r="A4580" s="3" t="s">
        <v>20715</v>
      </c>
      <c r="B4580" s="4">
        <v>505295</v>
      </c>
    </row>
    <row r="4581" customHeight="1" spans="1:2">
      <c r="A4581" s="3" t="s">
        <v>22371</v>
      </c>
      <c r="B4581" s="4"/>
    </row>
    <row r="4582" customHeight="1" spans="1:2">
      <c r="A4582" s="3" t="s">
        <v>18199</v>
      </c>
      <c r="B4582" s="4"/>
    </row>
    <row r="4583" customHeight="1" spans="1:2">
      <c r="A4583" s="3" t="s">
        <v>1871</v>
      </c>
      <c r="B4583" s="4">
        <v>38120554</v>
      </c>
    </row>
    <row r="4584" customHeight="1" spans="1:2">
      <c r="A4584" s="3" t="s">
        <v>21168</v>
      </c>
      <c r="B4584" s="4">
        <v>695229</v>
      </c>
    </row>
    <row r="4585" customHeight="1" spans="1:2">
      <c r="A4585" s="3" t="s">
        <v>22941</v>
      </c>
      <c r="B4585" s="4">
        <v>617172</v>
      </c>
    </row>
    <row r="4586" customHeight="1" spans="1:2">
      <c r="A4586" s="3" t="s">
        <v>15003</v>
      </c>
      <c r="B4586" s="4">
        <v>16667084</v>
      </c>
    </row>
    <row r="4587" customHeight="1" spans="1:2">
      <c r="A4587" s="3" t="s">
        <v>14437</v>
      </c>
      <c r="B4587" s="4"/>
    </row>
    <row r="4588" customHeight="1" spans="1:2">
      <c r="A4588" s="3" t="s">
        <v>11231</v>
      </c>
      <c r="B4588" s="4">
        <v>12626905</v>
      </c>
    </row>
    <row r="4589" customHeight="1" spans="1:2">
      <c r="A4589" s="3" t="s">
        <v>19303</v>
      </c>
      <c r="B4589" s="4">
        <v>9016377</v>
      </c>
    </row>
    <row r="4590" customHeight="1" spans="1:2">
      <c r="A4590" s="3" t="s">
        <v>18129</v>
      </c>
      <c r="B4590" s="4">
        <v>1247453</v>
      </c>
    </row>
    <row r="4591" customHeight="1" spans="1:2">
      <c r="A4591" s="3" t="s">
        <v>18977</v>
      </c>
      <c r="B4591" s="4">
        <v>252652</v>
      </c>
    </row>
    <row r="4592" customHeight="1" spans="1:2">
      <c r="A4592" s="3" t="s">
        <v>304</v>
      </c>
      <c r="B4592" s="4">
        <v>344103574</v>
      </c>
    </row>
    <row r="4593" customHeight="1" spans="1:2">
      <c r="A4593" s="3" t="s">
        <v>11944</v>
      </c>
      <c r="B4593" s="4">
        <v>8508843</v>
      </c>
    </row>
    <row r="4594" customHeight="1" spans="1:2">
      <c r="A4594" s="3" t="s">
        <v>2139</v>
      </c>
      <c r="B4594" s="4">
        <v>110416702</v>
      </c>
    </row>
    <row r="4595" customHeight="1" spans="1:2">
      <c r="A4595" s="3" t="s">
        <v>4270</v>
      </c>
      <c r="B4595" s="4">
        <v>35754555</v>
      </c>
    </row>
    <row r="4596" customHeight="1" spans="1:2">
      <c r="A4596" s="3" t="s">
        <v>956</v>
      </c>
      <c r="B4596" s="4">
        <v>133228348</v>
      </c>
    </row>
    <row r="4597" customHeight="1" spans="1:2">
      <c r="A4597" s="3" t="s">
        <v>21034</v>
      </c>
      <c r="B4597" s="4">
        <v>52166</v>
      </c>
    </row>
    <row r="4598" customHeight="1" spans="1:2">
      <c r="A4598" s="3" t="s">
        <v>7275</v>
      </c>
      <c r="B4598" s="4">
        <v>171031347</v>
      </c>
    </row>
    <row r="4599" customHeight="1" spans="1:2">
      <c r="A4599" s="3" t="s">
        <v>1737</v>
      </c>
      <c r="B4599" s="4">
        <v>146282411</v>
      </c>
    </row>
    <row r="4600" customHeight="1" spans="1:2">
      <c r="A4600" s="3" t="s">
        <v>13926</v>
      </c>
      <c r="B4600" s="4">
        <v>12281500</v>
      </c>
    </row>
    <row r="4601" customHeight="1" spans="1:2">
      <c r="A4601" s="3" t="s">
        <v>15720</v>
      </c>
      <c r="B4601" s="4">
        <v>1530535</v>
      </c>
    </row>
    <row r="4602" customHeight="1" spans="1:2">
      <c r="A4602" s="3" t="s">
        <v>18668</v>
      </c>
      <c r="B4602" s="4">
        <v>58214</v>
      </c>
    </row>
    <row r="4603" customHeight="1" spans="1:2">
      <c r="A4603" s="3" t="s">
        <v>21976</v>
      </c>
      <c r="B4603" s="4"/>
    </row>
    <row r="4604" customHeight="1" spans="1:2">
      <c r="A4604" s="3" t="s">
        <v>19418</v>
      </c>
      <c r="B4604" s="4">
        <v>2912363</v>
      </c>
    </row>
    <row r="4605" customHeight="1" spans="1:2">
      <c r="A4605" s="3" t="s">
        <v>12938</v>
      </c>
      <c r="B4605" s="4">
        <v>19158074</v>
      </c>
    </row>
    <row r="4606" customHeight="1" spans="1:2">
      <c r="A4606" s="3" t="s">
        <v>17970</v>
      </c>
      <c r="B4606" s="4">
        <v>223615</v>
      </c>
    </row>
    <row r="4607" customHeight="1" spans="1:2">
      <c r="A4607" s="3" t="s">
        <v>23023</v>
      </c>
      <c r="B4607" s="4">
        <v>1281176</v>
      </c>
    </row>
    <row r="4608" customHeight="1" spans="1:2">
      <c r="A4608" s="3" t="s">
        <v>23020</v>
      </c>
      <c r="B4608" s="4">
        <v>7707563</v>
      </c>
    </row>
    <row r="4609" customHeight="1" spans="1:2">
      <c r="A4609" s="3" t="s">
        <v>1143</v>
      </c>
      <c r="B4609" s="4">
        <v>83024900</v>
      </c>
    </row>
    <row r="4610" customHeight="1" spans="1:2">
      <c r="A4610" s="3" t="s">
        <v>4792</v>
      </c>
      <c r="B4610" s="4">
        <v>11466088</v>
      </c>
    </row>
    <row r="4611" customHeight="1" spans="1:2">
      <c r="A4611" s="3" t="s">
        <v>19431</v>
      </c>
      <c r="B4611" s="4">
        <v>1821983</v>
      </c>
    </row>
    <row r="4612" customHeight="1" spans="1:2">
      <c r="A4612" s="3" t="s">
        <v>14909</v>
      </c>
      <c r="B4612" s="4">
        <v>29500000</v>
      </c>
    </row>
    <row r="4613" customHeight="1" spans="1:2">
      <c r="A4613" s="3" t="s">
        <v>7149</v>
      </c>
      <c r="B4613" s="4">
        <v>382898950</v>
      </c>
    </row>
    <row r="4614" customHeight="1" spans="1:2">
      <c r="A4614" s="3" t="s">
        <v>22575</v>
      </c>
      <c r="B4614" s="4">
        <v>985341</v>
      </c>
    </row>
    <row r="4615" customHeight="1" spans="1:2">
      <c r="A4615" s="3" t="s">
        <v>12676</v>
      </c>
      <c r="B4615" s="4">
        <v>111936400</v>
      </c>
    </row>
    <row r="4616" customHeight="1" spans="1:2">
      <c r="A4616" s="3" t="s">
        <v>5377</v>
      </c>
      <c r="B4616" s="4"/>
    </row>
    <row r="4617" customHeight="1" spans="1:2">
      <c r="A4617" s="3" t="s">
        <v>2305</v>
      </c>
      <c r="B4617" s="4">
        <v>241688385</v>
      </c>
    </row>
    <row r="4618" customHeight="1" spans="1:2">
      <c r="A4618" s="3" t="s">
        <v>16750</v>
      </c>
      <c r="B4618" s="4"/>
    </row>
    <row r="4619" customHeight="1" spans="1:2">
      <c r="A4619" s="3" t="s">
        <v>3275</v>
      </c>
      <c r="B4619" s="4">
        <v>18947630</v>
      </c>
    </row>
    <row r="4620" customHeight="1" spans="1:2">
      <c r="A4620" s="3" t="s">
        <v>13758</v>
      </c>
      <c r="B4620" s="4">
        <v>22235901</v>
      </c>
    </row>
    <row r="4621" customHeight="1" spans="1:2">
      <c r="A4621" s="3" t="s">
        <v>15749</v>
      </c>
      <c r="B4621" s="4">
        <v>349618</v>
      </c>
    </row>
    <row r="4622" customHeight="1" spans="1:2">
      <c r="A4622" s="3" t="s">
        <v>21670</v>
      </c>
      <c r="B4622" s="4">
        <v>1950218</v>
      </c>
    </row>
    <row r="4623" customHeight="1" spans="1:2">
      <c r="A4623" s="3" t="s">
        <v>16789</v>
      </c>
      <c r="B4623" s="4"/>
    </row>
    <row r="4624" customHeight="1" spans="1:2">
      <c r="A4624" s="3" t="s">
        <v>14303</v>
      </c>
      <c r="B4624" s="4">
        <v>3148482</v>
      </c>
    </row>
    <row r="4625" customHeight="1" spans="1:2">
      <c r="A4625" s="3" t="s">
        <v>4001</v>
      </c>
      <c r="B4625" s="4">
        <v>93307796</v>
      </c>
    </row>
    <row r="4626" customHeight="1" spans="1:2">
      <c r="A4626" s="3" t="s">
        <v>17981</v>
      </c>
      <c r="B4626" s="4"/>
    </row>
    <row r="4627" customHeight="1" spans="1:2">
      <c r="A4627" s="3" t="s">
        <v>13004</v>
      </c>
      <c r="B4627" s="4">
        <v>10353690</v>
      </c>
    </row>
    <row r="4628" customHeight="1" spans="1:2">
      <c r="A4628" s="3" t="s">
        <v>3889</v>
      </c>
      <c r="B4628" s="4">
        <v>77086030</v>
      </c>
    </row>
    <row r="4629" customHeight="1" spans="1:2">
      <c r="A4629" s="3" t="s">
        <v>17829</v>
      </c>
      <c r="B4629" s="4">
        <v>6157157</v>
      </c>
    </row>
    <row r="4630" customHeight="1" spans="1:2">
      <c r="A4630" s="3" t="s">
        <v>19700</v>
      </c>
      <c r="B4630" s="4">
        <v>9054736</v>
      </c>
    </row>
    <row r="4631" customHeight="1" spans="1:2">
      <c r="A4631" s="3" t="s">
        <v>15806</v>
      </c>
      <c r="B4631" s="4"/>
    </row>
    <row r="4632" customHeight="1" spans="1:2">
      <c r="A4632" s="3" t="s">
        <v>8517</v>
      </c>
      <c r="B4632" s="4">
        <v>18500966</v>
      </c>
    </row>
    <row r="4633" customHeight="1" spans="1:2">
      <c r="A4633" s="3" t="s">
        <v>9783</v>
      </c>
      <c r="B4633" s="4">
        <v>16647384</v>
      </c>
    </row>
    <row r="4634" customHeight="1" spans="1:2">
      <c r="A4634" s="3" t="s">
        <v>3187</v>
      </c>
      <c r="B4634" s="4">
        <v>94999143</v>
      </c>
    </row>
    <row r="4635" customHeight="1" spans="1:2">
      <c r="A4635" s="3" t="s">
        <v>3692</v>
      </c>
      <c r="B4635" s="4">
        <v>231207960</v>
      </c>
    </row>
    <row r="4636" customHeight="1" spans="1:2">
      <c r="A4636" s="3" t="s">
        <v>4159</v>
      </c>
      <c r="B4636" s="4">
        <v>50024083</v>
      </c>
    </row>
    <row r="4637" customHeight="1" spans="1:2">
      <c r="A4637" s="3" t="s">
        <v>11053</v>
      </c>
      <c r="B4637" s="4">
        <v>8500000</v>
      </c>
    </row>
    <row r="4638" customHeight="1" spans="1:2">
      <c r="A4638" s="3" t="s">
        <v>20773</v>
      </c>
      <c r="B4638" s="4">
        <v>12589108</v>
      </c>
    </row>
    <row r="4639" customHeight="1" spans="1:2">
      <c r="A4639" s="3" t="s">
        <v>13637</v>
      </c>
      <c r="B4639" s="4">
        <v>2605039</v>
      </c>
    </row>
    <row r="4640" customHeight="1" spans="1:2">
      <c r="A4640" s="3" t="s">
        <v>11796</v>
      </c>
      <c r="B4640" s="4">
        <v>43601508</v>
      </c>
    </row>
    <row r="4641" customHeight="1" spans="1:2">
      <c r="A4641" s="3" t="s">
        <v>9960</v>
      </c>
      <c r="B4641" s="4">
        <v>5654777</v>
      </c>
    </row>
    <row r="4642" customHeight="1" spans="1:2">
      <c r="A4642" s="3" t="s">
        <v>9579</v>
      </c>
      <c r="B4642" s="4">
        <v>38230435</v>
      </c>
    </row>
    <row r="4643" customHeight="1" spans="1:2">
      <c r="A4643" s="3" t="s">
        <v>10546</v>
      </c>
      <c r="B4643" s="4"/>
    </row>
    <row r="4644" customHeight="1" spans="1:2">
      <c r="A4644" s="3" t="s">
        <v>10389</v>
      </c>
      <c r="B4644" s="4">
        <v>51483949</v>
      </c>
    </row>
    <row r="4645" customHeight="1" spans="1:2">
      <c r="A4645" s="3" t="s">
        <v>3461</v>
      </c>
      <c r="B4645" s="4">
        <v>62321039</v>
      </c>
    </row>
    <row r="4646" customHeight="1" spans="1:2">
      <c r="A4646" s="3" t="s">
        <v>6044</v>
      </c>
      <c r="B4646" s="4">
        <v>62318875</v>
      </c>
    </row>
    <row r="4647" customHeight="1" spans="1:2">
      <c r="A4647" s="3" t="s">
        <v>7383</v>
      </c>
      <c r="B4647" s="4">
        <v>45802315</v>
      </c>
    </row>
    <row r="4648" customHeight="1" spans="1:2">
      <c r="A4648" s="3" t="s">
        <v>15781</v>
      </c>
      <c r="B4648" s="4">
        <v>1046166</v>
      </c>
    </row>
    <row r="4649" customHeight="1" spans="1:2">
      <c r="A4649" s="3" t="s">
        <v>11199</v>
      </c>
      <c r="B4649" s="4">
        <v>12398628</v>
      </c>
    </row>
    <row r="4650" customHeight="1" spans="1:2">
      <c r="A4650" s="3" t="s">
        <v>23303</v>
      </c>
      <c r="B4650" s="4"/>
    </row>
    <row r="4651" customHeight="1" spans="1:2">
      <c r="A4651" s="3" t="s">
        <v>23670</v>
      </c>
      <c r="B4651" s="4"/>
    </row>
    <row r="4652" customHeight="1" spans="1:2">
      <c r="A4652" s="3" t="s">
        <v>5180</v>
      </c>
      <c r="B4652" s="4">
        <v>52752475</v>
      </c>
    </row>
    <row r="4653" customHeight="1" spans="1:2">
      <c r="A4653" s="3" t="s">
        <v>7758</v>
      </c>
      <c r="B4653" s="4">
        <v>10214013</v>
      </c>
    </row>
    <row r="4654" customHeight="1" spans="1:2">
      <c r="A4654" s="3" t="s">
        <v>12016</v>
      </c>
      <c r="B4654" s="4"/>
    </row>
    <row r="4655" customHeight="1" spans="1:2">
      <c r="A4655" s="3" t="s">
        <v>13345</v>
      </c>
      <c r="B4655" s="4">
        <v>101157447</v>
      </c>
    </row>
    <row r="4656" customHeight="1" spans="1:2">
      <c r="A4656" s="3" t="s">
        <v>5153</v>
      </c>
      <c r="B4656" s="4"/>
    </row>
    <row r="4657" customHeight="1" spans="1:2">
      <c r="A4657" s="3" t="s">
        <v>21523</v>
      </c>
      <c r="B4657" s="4">
        <v>31537320</v>
      </c>
    </row>
    <row r="4658" customHeight="1" spans="1:2">
      <c r="A4658" s="3" t="s">
        <v>11819</v>
      </c>
      <c r="B4658" s="4">
        <v>31471430</v>
      </c>
    </row>
    <row r="4659" customHeight="1" spans="1:2">
      <c r="A4659" s="3" t="s">
        <v>8740</v>
      </c>
      <c r="B4659" s="4"/>
    </row>
    <row r="4660" customHeight="1" spans="1:2">
      <c r="A4660" s="3" t="s">
        <v>6811</v>
      </c>
      <c r="B4660" s="4">
        <v>10431220</v>
      </c>
    </row>
    <row r="4661" customHeight="1" spans="1:2">
      <c r="A4661" s="3" t="s">
        <v>6447</v>
      </c>
      <c r="B4661" s="4">
        <v>122189806</v>
      </c>
    </row>
    <row r="4662" customHeight="1" spans="1:2">
      <c r="A4662" s="3" t="s">
        <v>6061</v>
      </c>
      <c r="B4662" s="4">
        <v>24520892</v>
      </c>
    </row>
    <row r="4663" customHeight="1" spans="1:2">
      <c r="A4663" s="3" t="s">
        <v>19658</v>
      </c>
      <c r="B4663" s="4"/>
    </row>
    <row r="4664" customHeight="1" spans="1:2">
      <c r="A4664" s="3" t="s">
        <v>2085</v>
      </c>
      <c r="B4664" s="4">
        <v>81557479</v>
      </c>
    </row>
    <row r="4665" customHeight="1" spans="1:2">
      <c r="A4665" s="3" t="s">
        <v>20977</v>
      </c>
      <c r="B4665" s="4"/>
    </row>
    <row r="4666" customHeight="1" spans="1:2">
      <c r="A4666" s="3" t="s">
        <v>7496</v>
      </c>
      <c r="B4666" s="4">
        <v>28687835</v>
      </c>
    </row>
    <row r="4667" customHeight="1" spans="1:2">
      <c r="A4667" s="3" t="s">
        <v>4137</v>
      </c>
      <c r="B4667" s="4">
        <v>51045801</v>
      </c>
    </row>
    <row r="4668" customHeight="1" spans="1:2">
      <c r="A4668" s="3" t="s">
        <v>8189</v>
      </c>
      <c r="B4668" s="4">
        <v>83813460</v>
      </c>
    </row>
    <row r="4669" customHeight="1" spans="1:2">
      <c r="A4669" s="3" t="s">
        <v>474</v>
      </c>
      <c r="B4669" s="4">
        <v>292979556</v>
      </c>
    </row>
    <row r="4670" customHeight="1" spans="1:2">
      <c r="A4670" s="3" t="s">
        <v>13406</v>
      </c>
      <c r="B4670" s="4">
        <v>38048637</v>
      </c>
    </row>
    <row r="4671" customHeight="1" spans="1:2">
      <c r="A4671" s="3" t="s">
        <v>12935</v>
      </c>
      <c r="B4671" s="4">
        <v>21468807</v>
      </c>
    </row>
    <row r="4672" customHeight="1" spans="1:2">
      <c r="A4672" s="3" t="s">
        <v>23359</v>
      </c>
      <c r="B4672" s="4">
        <v>1027119</v>
      </c>
    </row>
    <row r="4673" customHeight="1" spans="1:2">
      <c r="A4673" s="3" t="s">
        <v>5142</v>
      </c>
      <c r="B4673" s="4">
        <v>70496802</v>
      </c>
    </row>
    <row r="4674" customHeight="1" spans="1:2">
      <c r="A4674" s="3" t="s">
        <v>20700</v>
      </c>
      <c r="B4674" s="4"/>
    </row>
    <row r="4675" customHeight="1" spans="1:2">
      <c r="A4675" s="3" t="s">
        <v>8077</v>
      </c>
      <c r="B4675" s="4">
        <v>58879132</v>
      </c>
    </row>
    <row r="4676" customHeight="1" spans="1:2">
      <c r="A4676" s="3" t="s">
        <v>14951</v>
      </c>
      <c r="B4676" s="4">
        <v>20384136</v>
      </c>
    </row>
    <row r="4677" customHeight="1" spans="1:2">
      <c r="A4677" s="3" t="s">
        <v>4937</v>
      </c>
      <c r="B4677" s="4">
        <v>110476776</v>
      </c>
    </row>
    <row r="4678" customHeight="1" spans="1:2">
      <c r="A4678" s="3" t="s">
        <v>7559</v>
      </c>
      <c r="B4678" s="4">
        <v>19447478</v>
      </c>
    </row>
    <row r="4679" customHeight="1" spans="1:2">
      <c r="A4679" s="3" t="s">
        <v>2176</v>
      </c>
      <c r="B4679" s="4">
        <v>83077470</v>
      </c>
    </row>
    <row r="4680" customHeight="1" spans="1:2">
      <c r="A4680" s="3" t="s">
        <v>19905</v>
      </c>
      <c r="B4680" s="4">
        <v>118666</v>
      </c>
    </row>
    <row r="4681" customHeight="1" spans="1:2">
      <c r="A4681" s="3" t="s">
        <v>15947</v>
      </c>
      <c r="B4681" s="4"/>
    </row>
    <row r="4682" customHeight="1" spans="1:2">
      <c r="A4682" s="3" t="s">
        <v>13438</v>
      </c>
      <c r="B4682" s="4">
        <v>19900000</v>
      </c>
    </row>
    <row r="4683" customHeight="1" spans="1:2">
      <c r="A4683" s="3" t="s">
        <v>20466</v>
      </c>
      <c r="B4683" s="4"/>
    </row>
    <row r="4684" customHeight="1" spans="1:2">
      <c r="A4684" s="3" t="s">
        <v>10855</v>
      </c>
      <c r="B4684" s="4">
        <v>36658108</v>
      </c>
    </row>
    <row r="4685" customHeight="1" spans="1:2">
      <c r="A4685" s="3" t="s">
        <v>11026</v>
      </c>
      <c r="B4685" s="4">
        <v>20241395</v>
      </c>
    </row>
    <row r="4686" customHeight="1" spans="1:2">
      <c r="A4686" s="3" t="s">
        <v>12591</v>
      </c>
      <c r="B4686" s="4">
        <v>2964</v>
      </c>
    </row>
    <row r="4687" customHeight="1" spans="1:2">
      <c r="A4687" s="3" t="s">
        <v>17033</v>
      </c>
      <c r="B4687" s="4">
        <v>21005329</v>
      </c>
    </row>
    <row r="4688" customHeight="1" spans="1:2">
      <c r="A4688" s="3" t="s">
        <v>3350</v>
      </c>
      <c r="B4688" s="4">
        <v>100614858</v>
      </c>
    </row>
    <row r="4689" customHeight="1" spans="1:2">
      <c r="A4689" s="3" t="s">
        <v>10311</v>
      </c>
      <c r="B4689" s="4">
        <v>16123851</v>
      </c>
    </row>
    <row r="4690" customHeight="1" spans="1:2">
      <c r="A4690" s="3" t="s">
        <v>6366</v>
      </c>
      <c r="B4690" s="4">
        <v>72266306</v>
      </c>
    </row>
    <row r="4691" customHeight="1" spans="1:2">
      <c r="A4691" s="3" t="s">
        <v>12398</v>
      </c>
      <c r="B4691" s="4">
        <v>52885587</v>
      </c>
    </row>
    <row r="4692" customHeight="1" spans="1:2">
      <c r="A4692" s="3" t="s">
        <v>16633</v>
      </c>
      <c r="B4692" s="4">
        <v>2921738</v>
      </c>
    </row>
    <row r="4693" customHeight="1" spans="1:2">
      <c r="A4693" s="3" t="s">
        <v>15727</v>
      </c>
      <c r="B4693" s="4">
        <v>1043487</v>
      </c>
    </row>
    <row r="4694" customHeight="1" spans="1:2">
      <c r="A4694" s="3" t="s">
        <v>14638</v>
      </c>
      <c r="B4694" s="4">
        <v>3753806</v>
      </c>
    </row>
    <row r="4695" customHeight="1" spans="1:2">
      <c r="A4695" s="3" t="s">
        <v>12314</v>
      </c>
      <c r="B4695" s="4">
        <v>1569918</v>
      </c>
    </row>
    <row r="4696" customHeight="1" spans="1:2">
      <c r="A4696" s="3" t="s">
        <v>17160</v>
      </c>
      <c r="B4696" s="4"/>
    </row>
    <row r="4697" customHeight="1" spans="1:2">
      <c r="A4697" s="3" t="s">
        <v>15795</v>
      </c>
      <c r="B4697" s="4"/>
    </row>
    <row r="4698" customHeight="1" spans="1:2">
      <c r="A4698" s="3" t="s">
        <v>3064</v>
      </c>
      <c r="B4698" s="4">
        <v>68473360</v>
      </c>
    </row>
    <row r="4699" customHeight="1" spans="1:2">
      <c r="A4699" s="3" t="s">
        <v>15078</v>
      </c>
      <c r="B4699" s="4">
        <v>9801782</v>
      </c>
    </row>
    <row r="4700" customHeight="1" spans="1:2">
      <c r="A4700" s="3" t="s">
        <v>22226</v>
      </c>
      <c r="B4700" s="4"/>
    </row>
    <row r="4701" customHeight="1" spans="1:2">
      <c r="A4701" s="3" t="s">
        <v>12465</v>
      </c>
      <c r="B4701" s="4">
        <v>23213577</v>
      </c>
    </row>
    <row r="4702" customHeight="1" spans="1:2">
      <c r="A4702" s="3" t="s">
        <v>6049</v>
      </c>
      <c r="B4702" s="4">
        <v>17320557</v>
      </c>
    </row>
    <row r="4703" customHeight="1" spans="1:2">
      <c r="A4703" s="3" t="s">
        <v>17298</v>
      </c>
      <c r="B4703" s="4"/>
    </row>
    <row r="4704" customHeight="1" spans="1:2">
      <c r="A4704" s="3" t="s">
        <v>7088</v>
      </c>
      <c r="B4704" s="4"/>
    </row>
    <row r="4705" customHeight="1" spans="1:2">
      <c r="A4705" s="3" t="s">
        <v>8482</v>
      </c>
      <c r="B4705" s="4">
        <v>24048000</v>
      </c>
    </row>
    <row r="4706" customHeight="1" spans="1:2">
      <c r="A4706" s="3" t="s">
        <v>9423</v>
      </c>
      <c r="B4706" s="4"/>
    </row>
    <row r="4707" customHeight="1" spans="1:2">
      <c r="A4707" s="3" t="s">
        <v>2264</v>
      </c>
      <c r="B4707" s="4">
        <v>47474112</v>
      </c>
    </row>
    <row r="4708" customHeight="1" spans="1:2">
      <c r="A4708" s="3" t="s">
        <v>15547</v>
      </c>
      <c r="B4708" s="4">
        <v>12899702</v>
      </c>
    </row>
    <row r="4709" customHeight="1" spans="1:2">
      <c r="A4709" s="3" t="s">
        <v>9387</v>
      </c>
      <c r="B4709" s="4">
        <v>25517500</v>
      </c>
    </row>
    <row r="4710" customHeight="1" spans="1:2">
      <c r="A4710" s="3" t="s">
        <v>12765</v>
      </c>
      <c r="B4710" s="4">
        <v>43022524</v>
      </c>
    </row>
    <row r="4711" customHeight="1" spans="1:2">
      <c r="A4711" s="3" t="s">
        <v>16737</v>
      </c>
      <c r="B4711" s="4">
        <v>233103</v>
      </c>
    </row>
    <row r="4712" customHeight="1" spans="1:2">
      <c r="A4712" s="3" t="s">
        <v>18580</v>
      </c>
      <c r="B4712" s="4">
        <v>2892582</v>
      </c>
    </row>
    <row r="4713" customHeight="1" spans="1:2">
      <c r="A4713" s="3" t="s">
        <v>21424</v>
      </c>
      <c r="B4713" s="4">
        <v>16101109</v>
      </c>
    </row>
    <row r="4714" customHeight="1" spans="1:2">
      <c r="A4714" s="3" t="s">
        <v>20881</v>
      </c>
      <c r="B4714" s="4">
        <v>19067631</v>
      </c>
    </row>
    <row r="4715" customHeight="1" spans="1:2">
      <c r="A4715" s="3" t="s">
        <v>19185</v>
      </c>
      <c r="B4715" s="4">
        <v>24788807</v>
      </c>
    </row>
    <row r="4716" customHeight="1" spans="1:2">
      <c r="A4716" s="3" t="s">
        <v>7633</v>
      </c>
      <c r="B4716" s="4">
        <v>18317151</v>
      </c>
    </row>
    <row r="4717" customHeight="1" spans="1:2">
      <c r="A4717" s="3" t="s">
        <v>8774</v>
      </c>
      <c r="B4717" s="4">
        <v>119518352</v>
      </c>
    </row>
    <row r="4718" customHeight="1" spans="1:2">
      <c r="A4718" s="3" t="s">
        <v>21673</v>
      </c>
      <c r="B4718" s="4">
        <v>1277257</v>
      </c>
    </row>
    <row r="4719" customHeight="1" spans="1:2">
      <c r="A4719" s="3" t="s">
        <v>4559</v>
      </c>
      <c r="B4719" s="4">
        <v>45860039</v>
      </c>
    </row>
    <row r="4720" customHeight="1" spans="1:2">
      <c r="A4720" s="3" t="s">
        <v>2835</v>
      </c>
      <c r="B4720" s="4">
        <v>36073232</v>
      </c>
    </row>
    <row r="4721" customHeight="1" spans="1:2">
      <c r="A4721" s="3" t="s">
        <v>12355</v>
      </c>
      <c r="B4721" s="4">
        <v>43848100</v>
      </c>
    </row>
    <row r="4722" customHeight="1" spans="1:2">
      <c r="A4722" s="3" t="s">
        <v>3412</v>
      </c>
      <c r="B4722" s="4">
        <v>52474616</v>
      </c>
    </row>
    <row r="4723" customHeight="1" spans="1:2">
      <c r="A4723" s="3" t="s">
        <v>419</v>
      </c>
      <c r="B4723" s="4">
        <v>223806889</v>
      </c>
    </row>
    <row r="4724" customHeight="1" spans="1:2">
      <c r="A4724" s="3" t="s">
        <v>21055</v>
      </c>
      <c r="B4724" s="4"/>
    </row>
    <row r="4725" customHeight="1" spans="1:2">
      <c r="A4725" s="3" t="s">
        <v>22375</v>
      </c>
      <c r="B4725" s="4"/>
    </row>
    <row r="4726" customHeight="1" spans="1:2">
      <c r="A4726" s="3" t="s">
        <v>20299</v>
      </c>
      <c r="B4726" s="4">
        <v>2283276</v>
      </c>
    </row>
    <row r="4727" customHeight="1" spans="1:2">
      <c r="A4727" s="3" t="s">
        <v>7887</v>
      </c>
      <c r="B4727" s="4">
        <v>17225675</v>
      </c>
    </row>
    <row r="4728" customHeight="1" spans="1:2">
      <c r="A4728" s="3" t="s">
        <v>3005</v>
      </c>
      <c r="B4728" s="4">
        <v>134568845</v>
      </c>
    </row>
    <row r="4729" customHeight="1" spans="1:2">
      <c r="A4729" s="3" t="s">
        <v>17073</v>
      </c>
      <c r="B4729" s="4"/>
    </row>
    <row r="4730" customHeight="1" spans="1:2">
      <c r="A4730" s="3" t="s">
        <v>3399</v>
      </c>
      <c r="B4730" s="4">
        <v>79883359</v>
      </c>
    </row>
    <row r="4731" customHeight="1" spans="1:2">
      <c r="A4731" s="3" t="s">
        <v>1186</v>
      </c>
      <c r="B4731" s="4">
        <v>234277056</v>
      </c>
    </row>
    <row r="4732" customHeight="1" spans="1:2">
      <c r="A4732" s="3" t="s">
        <v>9760</v>
      </c>
      <c r="B4732" s="4">
        <v>22466994</v>
      </c>
    </row>
    <row r="4733" customHeight="1" spans="1:2">
      <c r="A4733" s="3" t="s">
        <v>15300</v>
      </c>
      <c r="B4733" s="4">
        <v>578527</v>
      </c>
    </row>
    <row r="4734" customHeight="1" spans="1:2">
      <c r="A4734" s="3" t="s">
        <v>733</v>
      </c>
      <c r="B4734" s="4">
        <v>46978995</v>
      </c>
    </row>
    <row r="4735" customHeight="1" spans="1:2">
      <c r="A4735" s="3" t="s">
        <v>14043</v>
      </c>
      <c r="B4735" s="4">
        <v>79568000</v>
      </c>
    </row>
    <row r="4736" customHeight="1" spans="1:2">
      <c r="A4736" s="3" t="s">
        <v>16579</v>
      </c>
      <c r="B4736" s="4">
        <v>9094451</v>
      </c>
    </row>
    <row r="4737" customHeight="1" spans="1:2">
      <c r="A4737" s="3" t="s">
        <v>19386</v>
      </c>
      <c r="B4737" s="4">
        <v>3902679</v>
      </c>
    </row>
    <row r="4738" customHeight="1" spans="1:2">
      <c r="A4738" s="3" t="s">
        <v>8203</v>
      </c>
      <c r="B4738" s="4">
        <v>66359959</v>
      </c>
    </row>
    <row r="4739" customHeight="1" spans="1:2">
      <c r="A4739" s="3" t="s">
        <v>9896</v>
      </c>
      <c r="B4739" s="4">
        <v>13651662</v>
      </c>
    </row>
    <row r="4740" customHeight="1" spans="1:2">
      <c r="A4740" s="3" t="s">
        <v>7692</v>
      </c>
      <c r="B4740" s="4">
        <v>6448817</v>
      </c>
    </row>
    <row r="4741" customHeight="1" spans="1:2">
      <c r="A4741" s="3" t="s">
        <v>12637</v>
      </c>
      <c r="B4741" s="4">
        <v>81525</v>
      </c>
    </row>
    <row r="4742" customHeight="1" spans="1:2">
      <c r="A4742" s="3" t="s">
        <v>1056</v>
      </c>
      <c r="B4742" s="4">
        <v>107503316</v>
      </c>
    </row>
    <row r="4743" customHeight="1" spans="1:2">
      <c r="A4743" s="3" t="s">
        <v>22424</v>
      </c>
      <c r="B4743" s="4">
        <v>79043</v>
      </c>
    </row>
    <row r="4744" customHeight="1" spans="1:2">
      <c r="A4744" s="3" t="s">
        <v>6985</v>
      </c>
      <c r="B4744" s="4">
        <v>58700247</v>
      </c>
    </row>
    <row r="4745" customHeight="1" spans="1:2">
      <c r="A4745" s="3" t="s">
        <v>19355</v>
      </c>
      <c r="B4745" s="4">
        <v>3222857</v>
      </c>
    </row>
    <row r="4746" customHeight="1" spans="1:2">
      <c r="A4746" s="3" t="s">
        <v>10061</v>
      </c>
      <c r="B4746" s="4"/>
    </row>
    <row r="4747" customHeight="1" spans="1:2">
      <c r="A4747" s="3" t="s">
        <v>533</v>
      </c>
      <c r="B4747" s="4">
        <v>88246220</v>
      </c>
    </row>
    <row r="4748" customHeight="1" spans="1:2">
      <c r="A4748" s="3" t="s">
        <v>10663</v>
      </c>
      <c r="B4748" s="4">
        <v>121697350</v>
      </c>
    </row>
    <row r="4749" customHeight="1" spans="1:2">
      <c r="A4749" s="3" t="s">
        <v>3796</v>
      </c>
      <c r="B4749" s="4">
        <v>43532294</v>
      </c>
    </row>
    <row r="4750" customHeight="1" spans="1:2">
      <c r="A4750" s="3" t="s">
        <v>20261</v>
      </c>
      <c r="B4750" s="4">
        <v>3590010</v>
      </c>
    </row>
    <row r="4751" customHeight="1" spans="1:2">
      <c r="A4751" s="3" t="s">
        <v>5093</v>
      </c>
      <c r="B4751" s="4">
        <v>75621915</v>
      </c>
    </row>
    <row r="4752" customHeight="1" spans="1:2">
      <c r="A4752" s="3" t="s">
        <v>18066</v>
      </c>
      <c r="B4752" s="4"/>
    </row>
    <row r="4753" customHeight="1" spans="1:2">
      <c r="A4753" s="3" t="s">
        <v>16657</v>
      </c>
      <c r="B4753" s="4">
        <v>1738692</v>
      </c>
    </row>
    <row r="4754" customHeight="1" spans="1:2">
      <c r="A4754" s="3" t="s">
        <v>8976</v>
      </c>
      <c r="B4754" s="4">
        <v>28563179</v>
      </c>
    </row>
    <row r="4755" customHeight="1" spans="1:2">
      <c r="A4755" s="3" t="s">
        <v>3370</v>
      </c>
      <c r="B4755" s="4">
        <v>78120196</v>
      </c>
    </row>
    <row r="4756" customHeight="1" spans="1:2">
      <c r="A4756" s="3" t="s">
        <v>23530</v>
      </c>
      <c r="B4756" s="4">
        <v>469947</v>
      </c>
    </row>
    <row r="4757" customHeight="1" spans="1:2">
      <c r="A4757" s="3" t="s">
        <v>9063</v>
      </c>
      <c r="B4757" s="4">
        <v>42168445</v>
      </c>
    </row>
    <row r="4758" customHeight="1" spans="1:2">
      <c r="A4758" s="3" t="s">
        <v>14372</v>
      </c>
      <c r="B4758" s="4">
        <v>333976</v>
      </c>
    </row>
    <row r="4759" customHeight="1" spans="1:2">
      <c r="A4759" s="3" t="s">
        <v>9325</v>
      </c>
      <c r="B4759" s="4">
        <v>14469428</v>
      </c>
    </row>
    <row r="4760" customHeight="1" spans="1:2">
      <c r="A4760" s="3" t="s">
        <v>22159</v>
      </c>
      <c r="B4760" s="4">
        <v>4771000</v>
      </c>
    </row>
    <row r="4761" customHeight="1" spans="1:2">
      <c r="A4761" s="3" t="s">
        <v>15360</v>
      </c>
      <c r="B4761" s="4">
        <v>152857</v>
      </c>
    </row>
    <row r="4762" customHeight="1" spans="1:2">
      <c r="A4762" s="3" t="s">
        <v>12575</v>
      </c>
      <c r="B4762" s="4"/>
    </row>
    <row r="4763" customHeight="1" spans="1:2">
      <c r="A4763" s="3" t="s">
        <v>23052</v>
      </c>
      <c r="B4763" s="4">
        <v>856942</v>
      </c>
    </row>
    <row r="4764" customHeight="1" spans="1:2">
      <c r="A4764" s="3" t="s">
        <v>11248</v>
      </c>
      <c r="B4764" s="4">
        <v>10555348</v>
      </c>
    </row>
    <row r="4765" customHeight="1" spans="1:2">
      <c r="A4765" s="3" t="s">
        <v>7162</v>
      </c>
      <c r="B4765" s="4">
        <v>150368971</v>
      </c>
    </row>
    <row r="4766" customHeight="1" spans="1:2">
      <c r="A4766" s="3" t="s">
        <v>17008</v>
      </c>
      <c r="B4766" s="4">
        <v>43650000</v>
      </c>
    </row>
    <row r="4767" customHeight="1" spans="1:2">
      <c r="A4767" s="3" t="s">
        <v>23347</v>
      </c>
      <c r="B4767" s="4"/>
    </row>
    <row r="4768" customHeight="1" spans="1:2">
      <c r="A4768" s="3" t="s">
        <v>18385</v>
      </c>
      <c r="B4768" s="4">
        <v>20772796</v>
      </c>
    </row>
    <row r="4769" customHeight="1" spans="1:2">
      <c r="A4769" s="3" t="s">
        <v>9608</v>
      </c>
      <c r="B4769" s="4">
        <v>35990505</v>
      </c>
    </row>
    <row r="4770" customHeight="1" spans="1:2">
      <c r="A4770" s="3" t="s">
        <v>2783</v>
      </c>
      <c r="B4770" s="4">
        <v>55350897</v>
      </c>
    </row>
    <row r="4771" customHeight="1" spans="1:2">
      <c r="A4771" s="3" t="s">
        <v>22901</v>
      </c>
      <c r="B4771" s="4">
        <v>80276912</v>
      </c>
    </row>
    <row r="4772" customHeight="1" spans="1:2">
      <c r="A4772" s="3" t="s">
        <v>9202</v>
      </c>
      <c r="B4772" s="4">
        <v>1089365</v>
      </c>
    </row>
    <row r="4773" customHeight="1" spans="1:2">
      <c r="A4773" s="3" t="s">
        <v>2097</v>
      </c>
      <c r="B4773" s="4">
        <v>155370362</v>
      </c>
    </row>
    <row r="4774" customHeight="1" spans="1:2">
      <c r="A4774" s="3" t="s">
        <v>5484</v>
      </c>
      <c r="B4774" s="4">
        <v>6291602</v>
      </c>
    </row>
    <row r="4775" customHeight="1" spans="1:2">
      <c r="A4775" s="3" t="s">
        <v>18500</v>
      </c>
      <c r="B4775" s="4">
        <v>10941801</v>
      </c>
    </row>
    <row r="4776" customHeight="1" spans="1:2">
      <c r="A4776" s="3" t="s">
        <v>7111</v>
      </c>
      <c r="B4776" s="4">
        <v>41102171</v>
      </c>
    </row>
    <row r="4777" customHeight="1" spans="1:2">
      <c r="A4777" s="3" t="s">
        <v>3634</v>
      </c>
      <c r="B4777" s="4">
        <v>182805123</v>
      </c>
    </row>
    <row r="4778" customHeight="1" spans="1:2">
      <c r="A4778" s="3" t="s">
        <v>13095</v>
      </c>
      <c r="B4778" s="4">
        <v>8735529</v>
      </c>
    </row>
    <row r="4779" customHeight="1" spans="1:2">
      <c r="A4779" s="3" t="s">
        <v>13138</v>
      </c>
      <c r="B4779" s="4">
        <v>5306447</v>
      </c>
    </row>
    <row r="4780" customHeight="1" spans="1:2">
      <c r="A4780" s="3" t="s">
        <v>14629</v>
      </c>
      <c r="B4780" s="4">
        <v>9170214</v>
      </c>
    </row>
    <row r="4781" customHeight="1" spans="1:2">
      <c r="A4781" s="3" t="s">
        <v>12790</v>
      </c>
      <c r="B4781" s="4">
        <v>39100956</v>
      </c>
    </row>
    <row r="4782" customHeight="1" spans="1:2">
      <c r="A4782" s="3" t="s">
        <v>8437</v>
      </c>
      <c r="B4782" s="4">
        <v>32095318</v>
      </c>
    </row>
    <row r="4783" customHeight="1" spans="1:2">
      <c r="A4783" s="3" t="s">
        <v>11166</v>
      </c>
      <c r="B4783" s="4">
        <v>13987482</v>
      </c>
    </row>
    <row r="4784" customHeight="1" spans="1:2">
      <c r="A4784" s="3" t="s">
        <v>12755</v>
      </c>
      <c r="B4784" s="4">
        <v>47860214</v>
      </c>
    </row>
    <row r="4785" customHeight="1" spans="1:2">
      <c r="A4785" s="3" t="s">
        <v>16171</v>
      </c>
      <c r="B4785" s="4">
        <v>1071240</v>
      </c>
    </row>
    <row r="4786" customHeight="1" spans="1:2">
      <c r="A4786" s="3" t="s">
        <v>12386</v>
      </c>
      <c r="B4786" s="4">
        <v>92823600</v>
      </c>
    </row>
    <row r="4787" customHeight="1" spans="1:2">
      <c r="A4787" s="3" t="s">
        <v>23033</v>
      </c>
      <c r="B4787" s="4">
        <v>1652472</v>
      </c>
    </row>
    <row r="4788" customHeight="1" spans="1:2">
      <c r="A4788" s="3" t="s">
        <v>12870</v>
      </c>
      <c r="B4788" s="4">
        <v>30127963</v>
      </c>
    </row>
    <row r="4789" customHeight="1" spans="1:2">
      <c r="A4789" s="3" t="s">
        <v>23593</v>
      </c>
      <c r="B4789" s="4"/>
    </row>
    <row r="4790" customHeight="1" spans="1:2">
      <c r="A4790" s="3" t="s">
        <v>12816</v>
      </c>
      <c r="B4790" s="4">
        <v>33771174</v>
      </c>
    </row>
    <row r="4791" customHeight="1" spans="1:2">
      <c r="A4791" s="3" t="s">
        <v>9994</v>
      </c>
      <c r="B4791" s="4">
        <v>871527</v>
      </c>
    </row>
    <row r="4792" customHeight="1" spans="1:2">
      <c r="A4792" s="3" t="s">
        <v>1805</v>
      </c>
      <c r="B4792" s="4">
        <v>77222184</v>
      </c>
    </row>
    <row r="4793" customHeight="1" spans="1:2">
      <c r="A4793" s="3" t="s">
        <v>15237</v>
      </c>
      <c r="B4793" s="4">
        <v>7574066</v>
      </c>
    </row>
    <row r="4794" customHeight="1" spans="1:2">
      <c r="A4794" s="3" t="s">
        <v>13023</v>
      </c>
      <c r="B4794" s="4">
        <v>13034417</v>
      </c>
    </row>
    <row r="4795" customHeight="1" spans="1:2">
      <c r="A4795" s="3" t="s">
        <v>19070</v>
      </c>
      <c r="B4795" s="4">
        <v>13092000</v>
      </c>
    </row>
    <row r="4796" customHeight="1" spans="1:2">
      <c r="A4796" s="3" t="s">
        <v>19365</v>
      </c>
      <c r="B4796" s="4">
        <v>4142507</v>
      </c>
    </row>
    <row r="4797" customHeight="1" spans="1:2">
      <c r="A4797" s="3" t="s">
        <v>10703</v>
      </c>
      <c r="B4797" s="4">
        <v>69148997</v>
      </c>
    </row>
    <row r="4798" customHeight="1" spans="1:2">
      <c r="A4798" s="3" t="s">
        <v>13414</v>
      </c>
      <c r="B4798" s="4">
        <v>34793160</v>
      </c>
    </row>
    <row r="4799" customHeight="1" spans="1:2">
      <c r="A4799" s="3" t="s">
        <v>926</v>
      </c>
      <c r="B4799" s="4">
        <v>73103784</v>
      </c>
    </row>
    <row r="4800" customHeight="1" spans="1:2">
      <c r="A4800" s="3" t="s">
        <v>15438</v>
      </c>
      <c r="B4800" s="4"/>
    </row>
    <row r="4801" customHeight="1" spans="1:2">
      <c r="A4801" s="3" t="s">
        <v>14810</v>
      </c>
      <c r="B4801" s="4">
        <v>55865715</v>
      </c>
    </row>
    <row r="4802" customHeight="1" spans="1:2">
      <c r="A4802" s="3" t="s">
        <v>12482</v>
      </c>
      <c r="B4802" s="4">
        <v>16346122</v>
      </c>
    </row>
    <row r="4803" customHeight="1" spans="1:2">
      <c r="A4803" s="3" t="s">
        <v>7045</v>
      </c>
      <c r="B4803" s="4">
        <v>10300000</v>
      </c>
    </row>
    <row r="4804" customHeight="1" spans="1:2">
      <c r="A4804" s="3" t="s">
        <v>7652</v>
      </c>
      <c r="B4804" s="4">
        <v>10268846</v>
      </c>
    </row>
    <row r="4805" customHeight="1" spans="1:2">
      <c r="A4805" s="3" t="s">
        <v>21679</v>
      </c>
      <c r="B4805" s="4">
        <v>1677838</v>
      </c>
    </row>
    <row r="4806" customHeight="1" spans="1:2">
      <c r="A4806" s="3" t="s">
        <v>16611</v>
      </c>
      <c r="B4806" s="4">
        <v>5694308</v>
      </c>
    </row>
    <row r="4807" customHeight="1" spans="1:2">
      <c r="A4807" s="3" t="s">
        <v>10732</v>
      </c>
      <c r="B4807" s="4">
        <v>60072596</v>
      </c>
    </row>
    <row r="4808" customHeight="1" spans="1:2">
      <c r="A4808" s="3" t="s">
        <v>12741</v>
      </c>
      <c r="B4808" s="4">
        <v>55184721</v>
      </c>
    </row>
    <row r="4809" customHeight="1" spans="1:2">
      <c r="A4809" s="3" t="s">
        <v>19034</v>
      </c>
      <c r="B4809" s="4"/>
    </row>
    <row r="4810" customHeight="1" spans="1:2">
      <c r="A4810" s="3" t="s">
        <v>8584</v>
      </c>
      <c r="B4810" s="4">
        <v>25662242</v>
      </c>
    </row>
    <row r="4811" customHeight="1" spans="1:2">
      <c r="A4811" s="3" t="s">
        <v>8720</v>
      </c>
      <c r="B4811" s="4"/>
    </row>
    <row r="4812" customHeight="1" spans="1:2">
      <c r="A4812" s="3" t="s">
        <v>13557</v>
      </c>
      <c r="B4812" s="4">
        <v>403649</v>
      </c>
    </row>
    <row r="4813" customHeight="1" spans="1:2">
      <c r="A4813" s="3" t="s">
        <v>3946</v>
      </c>
      <c r="B4813" s="4">
        <v>168213584</v>
      </c>
    </row>
    <row r="4814" customHeight="1" spans="1:2">
      <c r="A4814" s="3" t="s">
        <v>16229</v>
      </c>
      <c r="B4814" s="4">
        <v>117190</v>
      </c>
    </row>
    <row r="4815" customHeight="1" spans="1:2">
      <c r="A4815" s="3" t="s">
        <v>10916</v>
      </c>
      <c r="B4815" s="4">
        <v>29753944</v>
      </c>
    </row>
    <row r="4816" customHeight="1" spans="1:2">
      <c r="A4816" s="3" t="s">
        <v>497</v>
      </c>
      <c r="B4816" s="4">
        <v>113745408</v>
      </c>
    </row>
    <row r="4817" customHeight="1" spans="1:2">
      <c r="A4817" s="3" t="s">
        <v>12827</v>
      </c>
      <c r="B4817" s="4">
        <v>37877959</v>
      </c>
    </row>
    <row r="4818" customHeight="1" spans="1:2">
      <c r="A4818" s="3" t="s">
        <v>11321</v>
      </c>
      <c r="B4818" s="4">
        <v>6852144</v>
      </c>
    </row>
    <row r="4819" customHeight="1" spans="1:2">
      <c r="A4819" s="3" t="s">
        <v>19381</v>
      </c>
      <c r="B4819" s="4"/>
    </row>
    <row r="4820" customHeight="1" spans="1:2">
      <c r="A4820" s="3" t="s">
        <v>7604</v>
      </c>
      <c r="B4820" s="4">
        <v>16831505</v>
      </c>
    </row>
    <row r="4821" customHeight="1" spans="1:2">
      <c r="A4821" s="3" t="s">
        <v>10138</v>
      </c>
      <c r="B4821" s="4">
        <v>16964743</v>
      </c>
    </row>
    <row r="4822" customHeight="1" spans="1:2">
      <c r="A4822" s="3" t="s">
        <v>21096</v>
      </c>
      <c r="B4822" s="4"/>
    </row>
    <row r="4823" customHeight="1" spans="1:2">
      <c r="A4823" s="3" t="s">
        <v>22141</v>
      </c>
      <c r="B4823" s="4"/>
    </row>
    <row r="4824" customHeight="1" spans="1:2">
      <c r="A4824" s="3" t="s">
        <v>1470</v>
      </c>
      <c r="B4824" s="4">
        <v>40911830</v>
      </c>
    </row>
    <row r="4825" customHeight="1" spans="1:2">
      <c r="A4825" s="3" t="s">
        <v>8598</v>
      </c>
      <c r="B4825" s="4">
        <v>11576087</v>
      </c>
    </row>
    <row r="4826" customHeight="1" spans="1:2">
      <c r="A4826" s="3" t="s">
        <v>8986</v>
      </c>
      <c r="B4826" s="4">
        <v>10762178</v>
      </c>
    </row>
    <row r="4827" customHeight="1" spans="1:2">
      <c r="A4827" s="3" t="s">
        <v>20518</v>
      </c>
      <c r="B4827" s="4"/>
    </row>
    <row r="4828" customHeight="1" spans="1:2">
      <c r="A4828" s="3" t="s">
        <v>13265</v>
      </c>
      <c r="B4828" s="4"/>
    </row>
    <row r="4829" customHeight="1" spans="1:2">
      <c r="A4829" s="3" t="s">
        <v>8459</v>
      </c>
      <c r="B4829" s="4">
        <v>26687172</v>
      </c>
    </row>
    <row r="4830" customHeight="1" spans="1:2">
      <c r="A4830" s="3" t="s">
        <v>17315</v>
      </c>
      <c r="B4830" s="4">
        <v>542860</v>
      </c>
    </row>
    <row r="4831" customHeight="1" spans="1:2">
      <c r="A4831" s="3" t="s">
        <v>18985</v>
      </c>
      <c r="B4831" s="4">
        <v>101228</v>
      </c>
    </row>
    <row r="4832" customHeight="1" spans="1:2">
      <c r="A4832" s="3" t="s">
        <v>20235</v>
      </c>
      <c r="B4832" s="4">
        <v>6531491</v>
      </c>
    </row>
    <row r="4833" customHeight="1" spans="1:2">
      <c r="A4833" s="3" t="s">
        <v>4368</v>
      </c>
      <c r="B4833" s="4">
        <v>22451</v>
      </c>
    </row>
    <row r="4834" customHeight="1" spans="1:2">
      <c r="A4834" s="3" t="s">
        <v>17151</v>
      </c>
      <c r="B4834" s="4">
        <v>3588432</v>
      </c>
    </row>
    <row r="4835" customHeight="1" spans="1:2">
      <c r="A4835" s="3" t="s">
        <v>20283</v>
      </c>
      <c r="B4835" s="4">
        <v>7369373</v>
      </c>
    </row>
    <row r="4836" customHeight="1" spans="1:2">
      <c r="A4836" s="3" t="s">
        <v>8250</v>
      </c>
      <c r="B4836" s="4">
        <v>58156435</v>
      </c>
    </row>
    <row r="4837" customHeight="1" spans="1:2">
      <c r="A4837" s="3" t="s">
        <v>10004</v>
      </c>
      <c r="B4837" s="4">
        <v>777423</v>
      </c>
    </row>
    <row r="4838" customHeight="1" spans="1:2">
      <c r="A4838" s="3" t="s">
        <v>18171</v>
      </c>
      <c r="B4838" s="4"/>
    </row>
    <row r="4839" customHeight="1" spans="1:2">
      <c r="A4839" s="3" t="s">
        <v>16365</v>
      </c>
      <c r="B4839" s="4">
        <v>4131640</v>
      </c>
    </row>
    <row r="4840" customHeight="1" spans="1:2">
      <c r="A4840" s="3" t="s">
        <v>14046</v>
      </c>
      <c r="B4840" s="4">
        <v>65500000</v>
      </c>
    </row>
    <row r="4841" customHeight="1" spans="1:2">
      <c r="A4841" s="3" t="s">
        <v>21433</v>
      </c>
      <c r="B4841" s="4"/>
    </row>
    <row r="4842" customHeight="1" spans="1:2">
      <c r="A4842" s="3" t="s">
        <v>3394</v>
      </c>
      <c r="B4842" s="4">
        <v>65012000</v>
      </c>
    </row>
    <row r="4843" customHeight="1" spans="1:2">
      <c r="A4843" s="3" t="s">
        <v>12097</v>
      </c>
      <c r="B4843" s="4"/>
    </row>
    <row r="4844" customHeight="1" spans="1:2">
      <c r="A4844" s="3" t="s">
        <v>14613</v>
      </c>
      <c r="B4844" s="4">
        <v>33305037</v>
      </c>
    </row>
    <row r="4845" customHeight="1" spans="1:2">
      <c r="A4845" s="3" t="s">
        <v>16128</v>
      </c>
      <c r="B4845" s="4">
        <v>5018450</v>
      </c>
    </row>
    <row r="4846" customHeight="1" spans="1:2">
      <c r="A4846" s="3" t="s">
        <v>19342</v>
      </c>
      <c r="B4846" s="4">
        <v>6879730</v>
      </c>
    </row>
    <row r="4847" customHeight="1" spans="1:2">
      <c r="A4847" s="3" t="s">
        <v>13931</v>
      </c>
      <c r="B4847" s="4"/>
    </row>
    <row r="4848" customHeight="1" spans="1:2">
      <c r="A4848" s="3" t="s">
        <v>7563</v>
      </c>
      <c r="B4848" s="4">
        <v>19389454</v>
      </c>
    </row>
    <row r="4849" customHeight="1" spans="1:2">
      <c r="A4849" s="3" t="s">
        <v>17434</v>
      </c>
      <c r="B4849" s="4">
        <v>1056102</v>
      </c>
    </row>
    <row r="4850" customHeight="1" spans="1:2">
      <c r="A4850" s="3" t="s">
        <v>11671</v>
      </c>
      <c r="B4850" s="4">
        <v>5308553</v>
      </c>
    </row>
    <row r="4851" customHeight="1" spans="1:2">
      <c r="A4851" s="3" t="s">
        <v>13783</v>
      </c>
      <c r="B4851" s="4">
        <v>8026971</v>
      </c>
    </row>
    <row r="4852" customHeight="1" spans="1:2">
      <c r="A4852" s="3" t="s">
        <v>22397</v>
      </c>
      <c r="B4852" s="4">
        <v>13300000</v>
      </c>
    </row>
    <row r="4853" customHeight="1" spans="1:2">
      <c r="A4853" s="3" t="s">
        <v>22532</v>
      </c>
      <c r="B4853" s="4">
        <v>3117666</v>
      </c>
    </row>
    <row r="4854" customHeight="1" spans="1:2">
      <c r="A4854" s="3" t="s">
        <v>3716</v>
      </c>
      <c r="B4854" s="4">
        <v>70236496</v>
      </c>
    </row>
    <row r="4855" customHeight="1" spans="1:2">
      <c r="A4855" s="3" t="s">
        <v>345</v>
      </c>
      <c r="B4855" s="4">
        <v>202351611</v>
      </c>
    </row>
    <row r="4856" customHeight="1" spans="1:2">
      <c r="A4856" s="3" t="s">
        <v>15347</v>
      </c>
      <c r="B4856" s="4">
        <v>221210</v>
      </c>
    </row>
    <row r="4857" customHeight="1" spans="1:2">
      <c r="A4857" s="3" t="s">
        <v>880</v>
      </c>
      <c r="B4857" s="4">
        <v>83640426</v>
      </c>
    </row>
    <row r="4858" customHeight="1" spans="1:2">
      <c r="A4858" s="3" t="s">
        <v>625</v>
      </c>
      <c r="B4858" s="4">
        <v>189412677</v>
      </c>
    </row>
    <row r="4859" customHeight="1" spans="1:2">
      <c r="A4859" s="3" t="s">
        <v>21740</v>
      </c>
      <c r="B4859" s="4">
        <v>104077</v>
      </c>
    </row>
    <row r="4860" customHeight="1" spans="1:2">
      <c r="A4860" s="3" t="s">
        <v>15008</v>
      </c>
      <c r="B4860" s="4">
        <v>15417771</v>
      </c>
    </row>
    <row r="4861" customHeight="1" spans="1:2">
      <c r="A4861" s="3" t="s">
        <v>16237</v>
      </c>
      <c r="B4861" s="4"/>
    </row>
    <row r="4862" customHeight="1" spans="1:2">
      <c r="A4862" s="3" t="s">
        <v>3867</v>
      </c>
      <c r="B4862" s="4">
        <v>25052000</v>
      </c>
    </row>
    <row r="4863" customHeight="1" spans="1:2">
      <c r="A4863" s="3" t="s">
        <v>4421</v>
      </c>
      <c r="B4863" s="4"/>
    </row>
    <row r="4864" customHeight="1" spans="1:2">
      <c r="A4864" s="3" t="s">
        <v>1289</v>
      </c>
      <c r="B4864" s="4">
        <v>214948780</v>
      </c>
    </row>
    <row r="4865" customHeight="1" spans="1:2">
      <c r="A4865" s="3" t="s">
        <v>819</v>
      </c>
      <c r="B4865" s="4">
        <v>179883016</v>
      </c>
    </row>
    <row r="4866" customHeight="1" spans="1:2">
      <c r="A4866" s="3" t="s">
        <v>3001</v>
      </c>
      <c r="B4866" s="4">
        <v>157299717</v>
      </c>
    </row>
    <row r="4867" customHeight="1" spans="1:2">
      <c r="A4867" s="3" t="s">
        <v>461</v>
      </c>
      <c r="B4867" s="4">
        <v>154985087</v>
      </c>
    </row>
    <row r="4868" customHeight="1" spans="1:2">
      <c r="A4868" s="3" t="s">
        <v>349</v>
      </c>
      <c r="B4868" s="4">
        <v>233914986</v>
      </c>
    </row>
    <row r="4869" customHeight="1" spans="1:2">
      <c r="A4869" s="3" t="s">
        <v>694</v>
      </c>
      <c r="B4869" s="4">
        <v>146405371</v>
      </c>
    </row>
    <row r="4870" customHeight="1" spans="1:2">
      <c r="A4870" s="3" t="s">
        <v>266</v>
      </c>
      <c r="B4870" s="4">
        <v>234360014</v>
      </c>
    </row>
    <row r="4871" customHeight="1" spans="1:2">
      <c r="A4871" s="3" t="s">
        <v>3311</v>
      </c>
      <c r="B4871" s="4">
        <v>141204016</v>
      </c>
    </row>
    <row r="4872" customHeight="1" spans="1:2">
      <c r="A4872" s="3" t="s">
        <v>4315</v>
      </c>
      <c r="B4872" s="4">
        <v>26082914</v>
      </c>
    </row>
    <row r="4873" customHeight="1" spans="1:2">
      <c r="A4873" s="3" t="s">
        <v>17719</v>
      </c>
      <c r="B4873" s="4">
        <v>13622333</v>
      </c>
    </row>
    <row r="4874" customHeight="1" spans="1:2">
      <c r="A4874" s="3" t="s">
        <v>4222</v>
      </c>
      <c r="B4874" s="4">
        <v>43337279</v>
      </c>
    </row>
    <row r="4875" customHeight="1" spans="1:2">
      <c r="A4875" s="3" t="s">
        <v>15928</v>
      </c>
      <c r="B4875" s="4">
        <v>3827466</v>
      </c>
    </row>
    <row r="4876" customHeight="1" spans="1:2">
      <c r="A4876" s="3" t="s">
        <v>14080</v>
      </c>
      <c r="B4876" s="4">
        <v>30400000</v>
      </c>
    </row>
    <row r="4877" customHeight="1" spans="1:2">
      <c r="A4877" s="3" t="s">
        <v>5057</v>
      </c>
      <c r="B4877" s="4">
        <v>97680195</v>
      </c>
    </row>
    <row r="4878" customHeight="1" spans="1:2">
      <c r="A4878" s="3" t="s">
        <v>20806</v>
      </c>
      <c r="B4878" s="4">
        <v>396035</v>
      </c>
    </row>
    <row r="4879" customHeight="1" spans="1:2">
      <c r="A4879" s="3" t="s">
        <v>23502</v>
      </c>
      <c r="B4879" s="4"/>
    </row>
    <row r="4880" customHeight="1" spans="1:2">
      <c r="A4880" s="3" t="s">
        <v>18093</v>
      </c>
      <c r="B4880" s="4"/>
    </row>
    <row r="4881" customHeight="1" spans="1:2">
      <c r="A4881" s="3" t="s">
        <v>2707</v>
      </c>
      <c r="B4881" s="4">
        <v>100169068</v>
      </c>
    </row>
    <row r="4882" customHeight="1" spans="1:2">
      <c r="A4882" s="3" t="s">
        <v>10949</v>
      </c>
      <c r="B4882" s="4">
        <v>25677801</v>
      </c>
    </row>
    <row r="4883" customHeight="1" spans="1:2">
      <c r="A4883" s="3" t="s">
        <v>21304</v>
      </c>
      <c r="B4883" s="4">
        <v>9180275</v>
      </c>
    </row>
    <row r="4884" customHeight="1" spans="1:2">
      <c r="A4884" s="3" t="s">
        <v>20811</v>
      </c>
      <c r="B4884" s="4"/>
    </row>
    <row r="4885" customHeight="1" spans="1:2">
      <c r="A4885" s="3" t="s">
        <v>2183</v>
      </c>
      <c r="B4885" s="4">
        <v>100018837</v>
      </c>
    </row>
    <row r="4886" customHeight="1" spans="1:2">
      <c r="A4886" s="3" t="s">
        <v>16001</v>
      </c>
      <c r="B4886" s="4">
        <v>40066497</v>
      </c>
    </row>
    <row r="4887" customHeight="1" spans="1:2">
      <c r="A4887" s="3" t="s">
        <v>15445</v>
      </c>
      <c r="B4887" s="4"/>
    </row>
    <row r="4888" customHeight="1" spans="1:2">
      <c r="A4888" s="3" t="s">
        <v>18588</v>
      </c>
      <c r="B4888" s="4">
        <v>2426851</v>
      </c>
    </row>
    <row r="4889" customHeight="1" spans="1:2">
      <c r="A4889" s="3" t="s">
        <v>15517</v>
      </c>
      <c r="B4889" s="4">
        <v>43100000</v>
      </c>
    </row>
    <row r="4890" customHeight="1" spans="1:2">
      <c r="A4890" s="3" t="s">
        <v>13171</v>
      </c>
      <c r="B4890" s="4">
        <v>3247816</v>
      </c>
    </row>
    <row r="4891" customHeight="1" spans="1:2">
      <c r="A4891" s="3" t="s">
        <v>4861</v>
      </c>
      <c r="B4891" s="4">
        <v>75604320</v>
      </c>
    </row>
    <row r="4892" customHeight="1" spans="1:2">
      <c r="A4892" s="3" t="s">
        <v>14205</v>
      </c>
      <c r="B4892" s="4">
        <v>16300302</v>
      </c>
    </row>
    <row r="4893" customHeight="1" spans="1:2">
      <c r="A4893" s="3" t="s">
        <v>19685</v>
      </c>
      <c r="B4893" s="4">
        <v>86300000</v>
      </c>
    </row>
    <row r="4894" customHeight="1" spans="1:2">
      <c r="A4894" s="3" t="s">
        <v>13679</v>
      </c>
      <c r="B4894" s="4">
        <v>44726644</v>
      </c>
    </row>
    <row r="4895" customHeight="1" spans="1:2">
      <c r="A4895" s="3" t="s">
        <v>11869</v>
      </c>
      <c r="B4895" s="4">
        <v>4250320</v>
      </c>
    </row>
    <row r="4896" customHeight="1" spans="1:2">
      <c r="A4896" s="3" t="s">
        <v>5421</v>
      </c>
      <c r="B4896" s="4">
        <v>21557240</v>
      </c>
    </row>
    <row r="4897" customHeight="1" spans="1:2">
      <c r="A4897" s="3" t="s">
        <v>23657</v>
      </c>
      <c r="B4897" s="4">
        <v>1573712</v>
      </c>
    </row>
    <row r="4898" customHeight="1" spans="1:2">
      <c r="A4898" s="3" t="s">
        <v>5819</v>
      </c>
      <c r="B4898" s="4"/>
    </row>
    <row r="4899" customHeight="1" spans="1:2">
      <c r="A4899" s="3" t="s">
        <v>11908</v>
      </c>
      <c r="B4899" s="4">
        <v>15281286</v>
      </c>
    </row>
    <row r="4900" customHeight="1" spans="1:2">
      <c r="A4900" s="3" t="s">
        <v>3671</v>
      </c>
      <c r="B4900" s="4">
        <v>115731542</v>
      </c>
    </row>
    <row r="4901" customHeight="1" spans="1:2">
      <c r="A4901" s="3" t="s">
        <v>11030</v>
      </c>
      <c r="B4901" s="4"/>
    </row>
    <row r="4902" customHeight="1" spans="1:2">
      <c r="A4902" s="3" t="s">
        <v>16747</v>
      </c>
      <c r="B4902" s="4"/>
    </row>
    <row r="4903" customHeight="1" spans="1:2">
      <c r="A4903" s="3" t="s">
        <v>10120</v>
      </c>
      <c r="B4903" s="4">
        <v>31452765</v>
      </c>
    </row>
    <row r="4904" customHeight="1" spans="1:2">
      <c r="A4904" s="3" t="s">
        <v>11515</v>
      </c>
      <c r="B4904" s="4"/>
    </row>
    <row r="4905" customHeight="1" spans="1:2">
      <c r="A4905" s="3" t="s">
        <v>3786</v>
      </c>
      <c r="B4905" s="4">
        <v>28045540</v>
      </c>
    </row>
    <row r="4906" customHeight="1" spans="1:2">
      <c r="A4906" s="3" t="s">
        <v>4925</v>
      </c>
      <c r="B4906" s="4">
        <v>95720716</v>
      </c>
    </row>
    <row r="4907" customHeight="1" spans="1:2">
      <c r="A4907" s="3" t="s">
        <v>17901</v>
      </c>
      <c r="B4907" s="4">
        <v>1980338</v>
      </c>
    </row>
    <row r="4908" customHeight="1" spans="1:2">
      <c r="A4908" s="3" t="s">
        <v>18624</v>
      </c>
      <c r="B4908" s="4"/>
    </row>
    <row r="4909" customHeight="1" spans="1:2">
      <c r="A4909" s="3" t="s">
        <v>21938</v>
      </c>
      <c r="B4909" s="4"/>
    </row>
    <row r="4910" customHeight="1" spans="1:2">
      <c r="A4910" s="3" t="s">
        <v>2521</v>
      </c>
      <c r="B4910" s="4">
        <v>33048353</v>
      </c>
    </row>
    <row r="4911" customHeight="1" spans="1:2">
      <c r="A4911" s="3" t="s">
        <v>22002</v>
      </c>
      <c r="B4911" s="4"/>
    </row>
    <row r="4912" customHeight="1" spans="1:2">
      <c r="A4912" s="3" t="s">
        <v>10197</v>
      </c>
      <c r="B4912" s="4">
        <v>75590286</v>
      </c>
    </row>
    <row r="4913" customHeight="1" spans="1:2">
      <c r="A4913" s="3" t="s">
        <v>2720</v>
      </c>
      <c r="B4913" s="4">
        <v>80360866</v>
      </c>
    </row>
    <row r="4914" customHeight="1" spans="1:2">
      <c r="A4914" s="3" t="s">
        <v>5474</v>
      </c>
      <c r="B4914" s="4">
        <v>28837115</v>
      </c>
    </row>
    <row r="4915" customHeight="1" spans="1:2">
      <c r="A4915" s="3" t="s">
        <v>8918</v>
      </c>
      <c r="B4915" s="4">
        <v>45162741</v>
      </c>
    </row>
    <row r="4916" customHeight="1" spans="1:2">
      <c r="A4916" s="3" t="s">
        <v>7679</v>
      </c>
      <c r="B4916" s="4">
        <v>11631245</v>
      </c>
    </row>
    <row r="4917" customHeight="1" spans="1:2">
      <c r="A4917" s="6" t="s">
        <v>12600</v>
      </c>
      <c r="B4917" s="7"/>
    </row>
  </sheetData>
  <pageMargins left="0.75" right="0.75" top="1" bottom="1" header="0.5" footer="0.5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4917"/>
  <sheetViews>
    <sheetView showGridLines="0" workbookViewId="0">
      <selection activeCell="A1" sqref="A1"/>
    </sheetView>
  </sheetViews>
  <sheetFormatPr defaultColWidth="12.6296296296296" defaultRowHeight="15.75" customHeight="1"/>
  <cols>
    <col min="1" max="1" width="39.5" customWidth="1"/>
  </cols>
  <sheetData>
    <row r="1" customHeight="1" spans="1:2">
      <c r="A1" s="1" t="s">
        <v>12</v>
      </c>
      <c r="B1" s="2" t="s">
        <v>24165</v>
      </c>
    </row>
    <row r="2" customHeight="1" spans="1:2">
      <c r="A2" s="1" t="s">
        <v>21091</v>
      </c>
      <c r="B2" s="2"/>
    </row>
    <row r="3" customHeight="1" spans="1:10">
      <c r="A3" s="3" t="s">
        <v>17374</v>
      </c>
      <c r="B3" s="4">
        <v>27024</v>
      </c>
      <c r="I3" s="5" t="str">
        <f>IFERROR(__xludf.DUMMYFUNCTION("QUERY(A2:B4917,""SELECT A,B LIMIT 5"")"),"The Avengers ")</f>
        <v>The Avengers </v>
      </c>
      <c r="J3" s="5">
        <f>IFERROR(__xludf.DUMMYFUNCTION("""COMPUTED_VALUE"""),1246559094)</f>
        <v>1246559094</v>
      </c>
    </row>
    <row r="4" customHeight="1" spans="1:10">
      <c r="A4" s="3" t="s">
        <v>20093</v>
      </c>
      <c r="B4" s="4"/>
      <c r="I4" s="5" t="str">
        <f>IFERROR(__xludf.DUMMYFUNCTION("""COMPUTED_VALUE"""),"Avatar ")</f>
        <v>Avatar </v>
      </c>
      <c r="J4" s="5">
        <f>IFERROR(__xludf.DUMMYFUNCTION("""COMPUTED_VALUE"""),760505847)</f>
        <v>760505847</v>
      </c>
    </row>
    <row r="5" customHeight="1" spans="1:10">
      <c r="A5" s="3" t="s">
        <v>17531</v>
      </c>
      <c r="B5" s="4">
        <v>71897215</v>
      </c>
      <c r="I5" s="5" t="str">
        <f>IFERROR(__xludf.DUMMYFUNCTION("""COMPUTED_VALUE"""),"The Jungle Book ")</f>
        <v>The Jungle Book </v>
      </c>
      <c r="J5" s="5">
        <f>IFERROR(__xludf.DUMMYFUNCTION("""COMPUTED_VALUE"""),725290282)</f>
        <v>725290282</v>
      </c>
    </row>
    <row r="6" customHeight="1" spans="1:10">
      <c r="A6" s="3" t="s">
        <v>14443</v>
      </c>
      <c r="B6" s="4">
        <v>14616</v>
      </c>
      <c r="I6" s="5" t="str">
        <f>IFERROR(__xludf.DUMMYFUNCTION("""COMPUTED_VALUE"""),"Spider-Man 3 ")</f>
        <v>Spider-Man 3 </v>
      </c>
      <c r="J6" s="5">
        <f>IFERROR(__xludf.DUMMYFUNCTION("""COMPUTED_VALUE"""),673060606)</f>
        <v>673060606</v>
      </c>
    </row>
    <row r="7" customHeight="1" spans="1:10">
      <c r="A7" s="3" t="s">
        <v>13690</v>
      </c>
      <c r="B7" s="4">
        <v>38176108</v>
      </c>
      <c r="I7" s="5" t="str">
        <f>IFERROR(__xludf.DUMMYFUNCTION("""COMPUTED_VALUE"""),"Alice in Wonderland ")</f>
        <v>Alice in Wonderland </v>
      </c>
      <c r="J7" s="5">
        <f>IFERROR(__xludf.DUMMYFUNCTION("""COMPUTED_VALUE"""),668370412)</f>
        <v>668370412</v>
      </c>
    </row>
    <row r="8" customHeight="1" spans="1:2">
      <c r="A8" s="3" t="s">
        <v>1674</v>
      </c>
      <c r="B8" s="4"/>
    </row>
    <row r="9" customHeight="1" spans="1:2">
      <c r="A9" s="3" t="s">
        <v>2361</v>
      </c>
      <c r="B9" s="4">
        <v>66941559</v>
      </c>
    </row>
    <row r="10" customHeight="1" spans="1:2">
      <c r="A10" s="3" t="s">
        <v>16241</v>
      </c>
      <c r="B10" s="4">
        <v>53481</v>
      </c>
    </row>
    <row r="11" customHeight="1" spans="1:2">
      <c r="A11" s="3" t="s">
        <v>17266</v>
      </c>
      <c r="B11" s="4"/>
    </row>
    <row r="12" customHeight="1" spans="1:2">
      <c r="A12" s="3" t="s">
        <v>22996</v>
      </c>
      <c r="B12" s="4"/>
    </row>
    <row r="13" customHeight="1" spans="1:2">
      <c r="A13" s="3" t="s">
        <v>8780</v>
      </c>
      <c r="B13" s="4"/>
    </row>
    <row r="14" customHeight="1" spans="1:2">
      <c r="A14" s="3" t="s">
        <v>11209</v>
      </c>
      <c r="B14" s="4">
        <v>12232937</v>
      </c>
    </row>
    <row r="15" customHeight="1" spans="1:2">
      <c r="A15" s="3" t="s">
        <v>10725</v>
      </c>
      <c r="B15" s="4">
        <v>56667870</v>
      </c>
    </row>
    <row r="16" customHeight="1" spans="1:2">
      <c r="A16" s="3" t="s">
        <v>11876</v>
      </c>
      <c r="B16" s="4">
        <v>18329466</v>
      </c>
    </row>
    <row r="17" customHeight="1" spans="1:2">
      <c r="A17" s="3" t="s">
        <v>8254</v>
      </c>
      <c r="B17" s="4">
        <v>56044241</v>
      </c>
    </row>
    <row r="18" customHeight="1" spans="1:2">
      <c r="A18" s="3" t="s">
        <v>5197</v>
      </c>
      <c r="B18" s="4">
        <v>52822418</v>
      </c>
    </row>
    <row r="19" customHeight="1" spans="1:2">
      <c r="A19" s="3" t="s">
        <v>10323</v>
      </c>
      <c r="B19" s="4">
        <v>71975611</v>
      </c>
    </row>
    <row r="20" customHeight="1" spans="1:2">
      <c r="A20" s="3" t="s">
        <v>6154</v>
      </c>
      <c r="B20" s="4">
        <v>24375436</v>
      </c>
    </row>
    <row r="21" customHeight="1" spans="1:2">
      <c r="A21" s="3" t="s">
        <v>5894</v>
      </c>
      <c r="B21" s="4">
        <v>36883539</v>
      </c>
    </row>
    <row r="22" customHeight="1" spans="1:2">
      <c r="A22" s="3" t="s">
        <v>21841</v>
      </c>
      <c r="B22" s="4"/>
    </row>
    <row r="23" customHeight="1" spans="1:2">
      <c r="A23" s="3" t="s">
        <v>6394</v>
      </c>
      <c r="B23" s="4">
        <v>64149837</v>
      </c>
    </row>
    <row r="24" customHeight="1" spans="1:2">
      <c r="A24" s="3" t="s">
        <v>18734</v>
      </c>
      <c r="B24" s="4"/>
    </row>
    <row r="25" customHeight="1" spans="1:2">
      <c r="A25" s="3" t="s">
        <v>8710</v>
      </c>
      <c r="B25" s="4">
        <v>127437</v>
      </c>
    </row>
    <row r="26" customHeight="1" spans="1:2">
      <c r="A26" s="3" t="s">
        <v>7961</v>
      </c>
      <c r="B26" s="4"/>
    </row>
    <row r="27" customHeight="1" spans="1:2">
      <c r="A27" s="3" t="s">
        <v>22111</v>
      </c>
      <c r="B27" s="4"/>
    </row>
    <row r="28" customHeight="1" spans="1:2">
      <c r="A28" s="3" t="s">
        <v>2946</v>
      </c>
      <c r="B28" s="4">
        <v>127083765</v>
      </c>
    </row>
    <row r="29" customHeight="1" spans="1:2">
      <c r="A29" s="3" t="s">
        <v>3987</v>
      </c>
      <c r="B29" s="4">
        <v>75573300</v>
      </c>
    </row>
    <row r="30" customHeight="1" spans="1:2">
      <c r="A30" s="3" t="s">
        <v>19013</v>
      </c>
      <c r="B30" s="4"/>
    </row>
    <row r="31" customHeight="1" spans="1:2">
      <c r="A31" s="3" t="s">
        <v>23794</v>
      </c>
      <c r="B31" s="4">
        <v>536767</v>
      </c>
    </row>
    <row r="32" customHeight="1" spans="1:2">
      <c r="A32" s="3" t="s">
        <v>21665</v>
      </c>
      <c r="B32" s="4">
        <v>4946250</v>
      </c>
    </row>
    <row r="33" customHeight="1" spans="1:2">
      <c r="A33" s="3" t="s">
        <v>17589</v>
      </c>
      <c r="B33" s="4"/>
    </row>
    <row r="34" customHeight="1" spans="1:2">
      <c r="A34" s="3" t="s">
        <v>17110</v>
      </c>
      <c r="B34" s="4">
        <v>6851636</v>
      </c>
    </row>
    <row r="35" customHeight="1" spans="1:2">
      <c r="A35" s="3" t="s">
        <v>14728</v>
      </c>
      <c r="B35" s="4">
        <v>56715371</v>
      </c>
    </row>
    <row r="36" customHeight="1" spans="1:2">
      <c r="A36" s="3" t="s">
        <v>433</v>
      </c>
      <c r="B36" s="4">
        <v>166112167</v>
      </c>
    </row>
    <row r="37" customHeight="1" spans="1:2">
      <c r="A37" s="3" t="s">
        <v>19805</v>
      </c>
      <c r="B37" s="4">
        <v>33349949</v>
      </c>
    </row>
    <row r="38" customHeight="1" spans="1:2">
      <c r="A38" s="3" t="s">
        <v>14347</v>
      </c>
      <c r="B38" s="4">
        <v>261481</v>
      </c>
    </row>
    <row r="39" customHeight="1" spans="1:2">
      <c r="A39" s="3" t="s">
        <v>13824</v>
      </c>
      <c r="B39" s="4">
        <v>25675765</v>
      </c>
    </row>
    <row r="40" customHeight="1" spans="1:2">
      <c r="A40" s="3" t="s">
        <v>11119</v>
      </c>
      <c r="B40" s="4">
        <v>16248701</v>
      </c>
    </row>
    <row r="41" customHeight="1" spans="1:2">
      <c r="A41" s="3" t="s">
        <v>6086</v>
      </c>
      <c r="B41" s="4">
        <v>138447667</v>
      </c>
    </row>
    <row r="42" customHeight="1" spans="1:2">
      <c r="A42" s="3" t="s">
        <v>7295</v>
      </c>
      <c r="B42" s="4">
        <v>81159365</v>
      </c>
    </row>
    <row r="43" customHeight="1" spans="1:2">
      <c r="A43" s="3" t="s">
        <v>5048</v>
      </c>
      <c r="B43" s="4">
        <v>191616238</v>
      </c>
    </row>
    <row r="44" customHeight="1" spans="1:2">
      <c r="A44" s="3" t="s">
        <v>20398</v>
      </c>
      <c r="B44" s="4"/>
    </row>
    <row r="45" customHeight="1" spans="1:2">
      <c r="A45" s="3" t="s">
        <v>18233</v>
      </c>
      <c r="B45" s="4">
        <v>13060843</v>
      </c>
    </row>
    <row r="46" customHeight="1" spans="1:2">
      <c r="A46" s="3" t="s">
        <v>8168</v>
      </c>
      <c r="B46" s="4">
        <v>76806312</v>
      </c>
    </row>
    <row r="47" customHeight="1" spans="1:2">
      <c r="A47" s="3" t="s">
        <v>15994</v>
      </c>
      <c r="B47" s="4">
        <v>45063889</v>
      </c>
    </row>
    <row r="48" customHeight="1" spans="1:2">
      <c r="A48" s="3" t="s">
        <v>6058</v>
      </c>
      <c r="B48" s="4">
        <v>37035515</v>
      </c>
    </row>
    <row r="49" customHeight="1" spans="1:2">
      <c r="A49" s="3" t="s">
        <v>12865</v>
      </c>
      <c r="B49" s="4">
        <v>28637507</v>
      </c>
    </row>
    <row r="50" customHeight="1" spans="1:2">
      <c r="A50" s="3" t="s">
        <v>23056</v>
      </c>
      <c r="B50" s="4"/>
    </row>
    <row r="51" customHeight="1" spans="1:2">
      <c r="A51" s="3" t="s">
        <v>8970</v>
      </c>
      <c r="B51" s="4">
        <v>30688364</v>
      </c>
    </row>
    <row r="52" customHeight="1" spans="1:2">
      <c r="A52" s="3" t="s">
        <v>12651</v>
      </c>
      <c r="B52" s="4">
        <v>167780960</v>
      </c>
    </row>
    <row r="53" customHeight="1" spans="1:2">
      <c r="A53" s="3" t="s">
        <v>11218</v>
      </c>
      <c r="B53" s="4">
        <v>11784000</v>
      </c>
    </row>
    <row r="54" customHeight="1" spans="1:2">
      <c r="A54" s="3" t="s">
        <v>18522</v>
      </c>
      <c r="B54" s="4">
        <v>9821335</v>
      </c>
    </row>
    <row r="55" customHeight="1" spans="1:2">
      <c r="A55" s="3" t="s">
        <v>23419</v>
      </c>
      <c r="B55" s="4">
        <v>59774</v>
      </c>
    </row>
    <row r="56" customHeight="1" spans="1:2">
      <c r="A56" s="3" t="s">
        <v>5587</v>
      </c>
      <c r="B56" s="4">
        <v>53574088</v>
      </c>
    </row>
    <row r="57" customHeight="1" spans="1:2">
      <c r="A57" s="3" t="s">
        <v>8376</v>
      </c>
      <c r="B57" s="4">
        <v>39568996</v>
      </c>
    </row>
    <row r="58" customHeight="1" spans="1:2">
      <c r="A58" s="3" t="s">
        <v>8943</v>
      </c>
      <c r="B58" s="4">
        <v>37053924</v>
      </c>
    </row>
    <row r="59" customHeight="1" spans="1:2">
      <c r="A59" s="3" t="s">
        <v>19562</v>
      </c>
      <c r="B59" s="4"/>
    </row>
    <row r="60" customHeight="1" spans="1:2">
      <c r="A60" s="3" t="s">
        <v>3925</v>
      </c>
      <c r="B60" s="4">
        <v>210592590</v>
      </c>
    </row>
    <row r="61" customHeight="1" spans="1:2">
      <c r="A61" s="3" t="s">
        <v>1573</v>
      </c>
      <c r="B61" s="4">
        <v>106369117</v>
      </c>
    </row>
    <row r="62" customHeight="1" spans="1:2">
      <c r="A62" s="3" t="s">
        <v>3905</v>
      </c>
      <c r="B62" s="4">
        <v>15738632</v>
      </c>
    </row>
    <row r="63" customHeight="1" spans="1:2">
      <c r="A63" s="3" t="s">
        <v>6989</v>
      </c>
      <c r="B63" s="4"/>
    </row>
    <row r="64" customHeight="1" spans="1:2">
      <c r="A64" s="3" t="s">
        <v>22053</v>
      </c>
      <c r="B64" s="4">
        <v>1185783</v>
      </c>
    </row>
    <row r="65" customHeight="1" spans="1:2">
      <c r="A65" s="3" t="s">
        <v>12190</v>
      </c>
      <c r="B65" s="4">
        <v>37939782</v>
      </c>
    </row>
    <row r="66" customHeight="1" spans="1:2">
      <c r="A66" s="3" t="s">
        <v>6331</v>
      </c>
      <c r="B66" s="4">
        <v>95001343</v>
      </c>
    </row>
    <row r="67" customHeight="1" spans="1:2">
      <c r="A67" s="3" t="s">
        <v>22801</v>
      </c>
      <c r="B67" s="4">
        <v>2300000</v>
      </c>
    </row>
    <row r="68" customHeight="1" spans="1:2">
      <c r="A68" s="3" t="s">
        <v>591</v>
      </c>
      <c r="B68" s="4">
        <v>38297305</v>
      </c>
    </row>
    <row r="69" customHeight="1" spans="1:2">
      <c r="A69" s="3" t="s">
        <v>14428</v>
      </c>
      <c r="B69" s="4">
        <v>17149</v>
      </c>
    </row>
    <row r="70" customHeight="1" spans="1:2">
      <c r="A70" s="3" t="s">
        <v>3020</v>
      </c>
      <c r="B70" s="4">
        <v>120776832</v>
      </c>
    </row>
    <row r="71" customHeight="1" spans="1:2">
      <c r="A71" s="3" t="s">
        <v>16016</v>
      </c>
      <c r="B71" s="4">
        <v>34963967</v>
      </c>
    </row>
    <row r="72" customHeight="1" spans="1:2">
      <c r="A72" s="3" t="s">
        <v>16463</v>
      </c>
      <c r="B72" s="4">
        <v>32391374</v>
      </c>
    </row>
    <row r="73" customHeight="1" spans="1:2">
      <c r="A73" s="3" t="s">
        <v>22982</v>
      </c>
      <c r="B73" s="4">
        <v>84689</v>
      </c>
    </row>
    <row r="74" customHeight="1" spans="1:2">
      <c r="A74" s="3" t="s">
        <v>13809</v>
      </c>
      <c r="B74" s="4">
        <v>16574731</v>
      </c>
    </row>
    <row r="75" customHeight="1" spans="1:2">
      <c r="A75" s="3" t="s">
        <v>12260</v>
      </c>
      <c r="B75" s="4"/>
    </row>
    <row r="76" customHeight="1" spans="1:2">
      <c r="A76" s="3" t="s">
        <v>20013</v>
      </c>
      <c r="B76" s="4"/>
    </row>
    <row r="77" customHeight="1" spans="1:2">
      <c r="A77" s="3" t="s">
        <v>19391</v>
      </c>
      <c r="B77" s="4">
        <v>3559990</v>
      </c>
    </row>
    <row r="78" customHeight="1" spans="1:2">
      <c r="A78" s="3" t="s">
        <v>6202</v>
      </c>
      <c r="B78" s="4">
        <v>116724075</v>
      </c>
    </row>
    <row r="79" customHeight="1" spans="1:2">
      <c r="A79" s="3" t="s">
        <v>16151</v>
      </c>
      <c r="B79" s="4">
        <v>3076425</v>
      </c>
    </row>
    <row r="80" customHeight="1" spans="1:2">
      <c r="A80" s="3" t="s">
        <v>19915</v>
      </c>
      <c r="B80" s="4">
        <v>99851</v>
      </c>
    </row>
    <row r="81" customHeight="1" spans="1:2">
      <c r="A81" s="3" t="s">
        <v>8544</v>
      </c>
      <c r="B81" s="4">
        <v>16930884</v>
      </c>
    </row>
    <row r="82" customHeight="1" spans="1:2">
      <c r="A82" s="3" t="s">
        <v>6568</v>
      </c>
      <c r="B82" s="4">
        <v>36283504</v>
      </c>
    </row>
    <row r="83" customHeight="1" spans="1:2">
      <c r="A83" s="3" t="s">
        <v>8444</v>
      </c>
      <c r="B83" s="4">
        <v>31743332</v>
      </c>
    </row>
    <row r="84" customHeight="1" spans="1:2">
      <c r="A84" s="3" t="s">
        <v>17893</v>
      </c>
      <c r="B84" s="4">
        <v>4700361</v>
      </c>
    </row>
    <row r="85" customHeight="1" spans="1:2">
      <c r="A85" s="3" t="s">
        <v>11956</v>
      </c>
      <c r="B85" s="4">
        <v>6734844</v>
      </c>
    </row>
    <row r="86" customHeight="1" spans="1:2">
      <c r="A86" s="3" t="s">
        <v>2916</v>
      </c>
      <c r="B86" s="4">
        <v>170708996</v>
      </c>
    </row>
    <row r="87" customHeight="1" spans="1:2">
      <c r="A87" s="3" t="s">
        <v>20737</v>
      </c>
      <c r="B87" s="4"/>
    </row>
    <row r="88" customHeight="1" spans="1:2">
      <c r="A88" s="3" t="s">
        <v>15242</v>
      </c>
      <c r="B88" s="4">
        <v>1754319</v>
      </c>
    </row>
    <row r="89" customHeight="1" spans="1:2">
      <c r="A89" s="3" t="s">
        <v>9262</v>
      </c>
      <c r="B89" s="4">
        <v>50800000</v>
      </c>
    </row>
    <row r="90" customHeight="1" spans="1:2">
      <c r="A90" s="3" t="s">
        <v>5799</v>
      </c>
      <c r="B90" s="4">
        <v>162792677</v>
      </c>
    </row>
    <row r="91" customHeight="1" spans="1:2">
      <c r="A91" s="3" t="s">
        <v>23605</v>
      </c>
      <c r="B91" s="4"/>
    </row>
    <row r="92" customHeight="1" spans="1:2">
      <c r="A92" s="3" t="s">
        <v>441</v>
      </c>
      <c r="B92" s="4">
        <v>137850096</v>
      </c>
    </row>
    <row r="93" customHeight="1" spans="1:2">
      <c r="A93" s="3" t="s">
        <v>19100</v>
      </c>
      <c r="B93" s="4"/>
    </row>
    <row r="94" customHeight="1" spans="1:2">
      <c r="A94" s="3" t="s">
        <v>11565</v>
      </c>
      <c r="B94" s="4">
        <v>51431160</v>
      </c>
    </row>
    <row r="95" customHeight="1" spans="1:2">
      <c r="A95" s="3" t="s">
        <v>4120</v>
      </c>
      <c r="B95" s="4">
        <v>56702901</v>
      </c>
    </row>
    <row r="96" customHeight="1" spans="1:2">
      <c r="A96" s="3" t="s">
        <v>11337</v>
      </c>
      <c r="B96" s="4">
        <v>5702083</v>
      </c>
    </row>
    <row r="97" customHeight="1" spans="1:2">
      <c r="A97" s="3" t="s">
        <v>16646</v>
      </c>
      <c r="B97" s="4">
        <v>2148212</v>
      </c>
    </row>
    <row r="98" customHeight="1" spans="1:2">
      <c r="A98" s="3" t="s">
        <v>23664</v>
      </c>
      <c r="B98" s="4"/>
    </row>
    <row r="99" customHeight="1" spans="1:2">
      <c r="A99" s="3" t="s">
        <v>17793</v>
      </c>
      <c r="B99" s="4"/>
    </row>
    <row r="100" customHeight="1" spans="1:2">
      <c r="A100" s="3" t="s">
        <v>7815</v>
      </c>
      <c r="B100" s="4">
        <v>141340178</v>
      </c>
    </row>
    <row r="101" customHeight="1" spans="1:2">
      <c r="A101" s="3" t="s">
        <v>22007</v>
      </c>
      <c r="B101" s="4"/>
    </row>
    <row r="102" customHeight="1" spans="1:2">
      <c r="A102" s="3" t="s">
        <v>23389</v>
      </c>
      <c r="B102" s="4">
        <v>3500000</v>
      </c>
    </row>
    <row r="103" customHeight="1" spans="1:2">
      <c r="A103" s="3" t="s">
        <v>20570</v>
      </c>
      <c r="B103" s="4"/>
    </row>
    <row r="104" customHeight="1" spans="1:2">
      <c r="A104" s="3" t="s">
        <v>2052</v>
      </c>
      <c r="B104" s="4">
        <v>67344392</v>
      </c>
    </row>
    <row r="105" customHeight="1" spans="1:2">
      <c r="A105" s="3" t="s">
        <v>7695</v>
      </c>
      <c r="B105" s="4">
        <v>7458269</v>
      </c>
    </row>
    <row r="106" customHeight="1" spans="1:2">
      <c r="A106" s="3" t="s">
        <v>19738</v>
      </c>
      <c r="B106" s="4"/>
    </row>
    <row r="107" customHeight="1" spans="1:2">
      <c r="A107" s="3" t="s">
        <v>11129</v>
      </c>
      <c r="B107" s="4">
        <v>15408822</v>
      </c>
    </row>
    <row r="108" customHeight="1" spans="1:2">
      <c r="A108" s="3" t="s">
        <v>22457</v>
      </c>
      <c r="B108" s="4">
        <v>515005</v>
      </c>
    </row>
    <row r="109" customHeight="1" spans="1:2">
      <c r="A109" s="3" t="s">
        <v>18550</v>
      </c>
      <c r="B109" s="4">
        <v>17314483</v>
      </c>
    </row>
    <row r="110" customHeight="1" spans="1:2">
      <c r="A110" s="3" t="s">
        <v>19799</v>
      </c>
      <c r="B110" s="4">
        <v>40041683</v>
      </c>
    </row>
    <row r="111" customHeight="1" spans="1:2">
      <c r="A111" s="3" t="s">
        <v>7971</v>
      </c>
      <c r="B111" s="4">
        <v>31493782</v>
      </c>
    </row>
    <row r="112" customHeight="1" spans="1:2">
      <c r="A112" s="3" t="s">
        <v>16921</v>
      </c>
      <c r="B112" s="4">
        <v>1029017</v>
      </c>
    </row>
    <row r="113" customHeight="1" spans="1:2">
      <c r="A113" s="3" t="s">
        <v>6212</v>
      </c>
      <c r="B113" s="4">
        <v>56083966</v>
      </c>
    </row>
    <row r="114" customHeight="1" spans="1:2">
      <c r="A114" s="3" t="s">
        <v>6286</v>
      </c>
      <c r="B114" s="4">
        <v>107458785</v>
      </c>
    </row>
    <row r="115" customHeight="1" spans="1:2">
      <c r="A115" s="3" t="s">
        <v>21794</v>
      </c>
      <c r="B115" s="4">
        <v>100240</v>
      </c>
    </row>
    <row r="116" customHeight="1" spans="1:2">
      <c r="A116" s="3" t="s">
        <v>18718</v>
      </c>
      <c r="B116" s="4"/>
    </row>
    <row r="117" customHeight="1" spans="1:2">
      <c r="A117" s="3" t="s">
        <v>9725</v>
      </c>
      <c r="B117" s="4">
        <v>21835784</v>
      </c>
    </row>
    <row r="118" customHeight="1" spans="1:2">
      <c r="A118" s="3" t="s">
        <v>14915</v>
      </c>
      <c r="B118" s="4">
        <v>29392418</v>
      </c>
    </row>
    <row r="119" customHeight="1" spans="1:2">
      <c r="A119" s="3" t="s">
        <v>9519</v>
      </c>
      <c r="B119" s="4">
        <v>52528330</v>
      </c>
    </row>
    <row r="120" customHeight="1" spans="1:2">
      <c r="A120" s="3" t="s">
        <v>7196</v>
      </c>
      <c r="B120" s="4">
        <v>26183197</v>
      </c>
    </row>
    <row r="121" customHeight="1" spans="1:2">
      <c r="A121" s="3" t="s">
        <v>18785</v>
      </c>
      <c r="B121" s="4"/>
    </row>
    <row r="122" customHeight="1" spans="1:2">
      <c r="A122" s="3" t="s">
        <v>13090</v>
      </c>
      <c r="B122" s="4">
        <v>9172810</v>
      </c>
    </row>
    <row r="123" customHeight="1" spans="1:2">
      <c r="A123" s="3" t="s">
        <v>17067</v>
      </c>
      <c r="B123" s="4">
        <v>17508936</v>
      </c>
    </row>
    <row r="124" customHeight="1" spans="1:2">
      <c r="A124" s="3" t="s">
        <v>6614</v>
      </c>
      <c r="B124" s="4">
        <v>42615685</v>
      </c>
    </row>
    <row r="125" customHeight="1" spans="1:2">
      <c r="A125" s="3" t="s">
        <v>6899</v>
      </c>
      <c r="B125" s="4"/>
    </row>
    <row r="126" customHeight="1" spans="1:2">
      <c r="A126" s="3" t="s">
        <v>11363</v>
      </c>
      <c r="B126" s="4">
        <v>5749134</v>
      </c>
    </row>
    <row r="127" customHeight="1" spans="1:2">
      <c r="A127" s="3" t="s">
        <v>12987</v>
      </c>
      <c r="B127" s="4">
        <v>17237244</v>
      </c>
    </row>
    <row r="128" customHeight="1" spans="1:2">
      <c r="A128" s="3" t="s">
        <v>12195</v>
      </c>
      <c r="B128" s="4">
        <v>30324946</v>
      </c>
    </row>
    <row r="129" customHeight="1" spans="1:2">
      <c r="A129" s="3" t="s">
        <v>19198</v>
      </c>
      <c r="B129" s="4">
        <v>30000000</v>
      </c>
    </row>
    <row r="130" customHeight="1" spans="1:2">
      <c r="A130" s="3" t="s">
        <v>17555</v>
      </c>
      <c r="B130" s="4">
        <v>44793200</v>
      </c>
    </row>
    <row r="131" customHeight="1" spans="1:2">
      <c r="A131" s="3" t="s">
        <v>13666</v>
      </c>
      <c r="B131" s="4">
        <v>49369900</v>
      </c>
    </row>
    <row r="132" customHeight="1" spans="1:2">
      <c r="A132" s="3" t="s">
        <v>17029</v>
      </c>
      <c r="B132" s="4">
        <v>22168359</v>
      </c>
    </row>
    <row r="133" customHeight="1" spans="1:2">
      <c r="A133" s="3" t="s">
        <v>7332</v>
      </c>
      <c r="B133" s="4">
        <v>53010000</v>
      </c>
    </row>
    <row r="134" customHeight="1" spans="1:2">
      <c r="A134" s="3" t="s">
        <v>9068</v>
      </c>
      <c r="B134" s="4">
        <v>26400000</v>
      </c>
    </row>
    <row r="135" customHeight="1" spans="1:2">
      <c r="A135" s="3" t="s">
        <v>13452</v>
      </c>
      <c r="B135" s="4">
        <v>15483540</v>
      </c>
    </row>
    <row r="136" customHeight="1" spans="1:2">
      <c r="A136" s="3" t="s">
        <v>9893</v>
      </c>
      <c r="B136" s="4"/>
    </row>
    <row r="137" customHeight="1" spans="1:2">
      <c r="A137" s="3" t="s">
        <v>24152</v>
      </c>
      <c r="B137" s="4"/>
    </row>
    <row r="138" customHeight="1" spans="1:2">
      <c r="A138" s="3" t="s">
        <v>14958</v>
      </c>
      <c r="B138" s="4">
        <v>20338609</v>
      </c>
    </row>
    <row r="139" customHeight="1" spans="1:2">
      <c r="A139" s="3" t="s">
        <v>17485</v>
      </c>
      <c r="B139" s="4">
        <v>18434</v>
      </c>
    </row>
    <row r="140" customHeight="1" spans="1:2">
      <c r="A140" s="3" t="s">
        <v>19201</v>
      </c>
      <c r="B140" s="4">
        <v>20966644</v>
      </c>
    </row>
    <row r="141" customHeight="1" spans="1:2">
      <c r="A141" s="3" t="s">
        <v>11341</v>
      </c>
      <c r="B141" s="4">
        <v>5480996</v>
      </c>
    </row>
    <row r="142" customHeight="1" spans="1:2">
      <c r="A142" s="3" t="s">
        <v>22147</v>
      </c>
      <c r="B142" s="4">
        <v>7098492</v>
      </c>
    </row>
    <row r="143" customHeight="1" spans="1:2">
      <c r="A143" s="3" t="s">
        <v>16572</v>
      </c>
      <c r="B143" s="4">
        <v>9190525</v>
      </c>
    </row>
    <row r="144" customHeight="1" spans="1:2">
      <c r="A144" s="3" t="s">
        <v>17283</v>
      </c>
      <c r="B144" s="4"/>
    </row>
    <row r="145" customHeight="1" spans="1:2">
      <c r="A145" s="3" t="s">
        <v>12234</v>
      </c>
      <c r="B145" s="4">
        <v>16311763</v>
      </c>
    </row>
    <row r="146" customHeight="1" spans="1:2">
      <c r="A146" s="3" t="s">
        <v>9005</v>
      </c>
      <c r="B146" s="4">
        <v>8119205</v>
      </c>
    </row>
    <row r="147" customHeight="1" spans="1:2">
      <c r="A147" s="3" t="s">
        <v>16588</v>
      </c>
      <c r="B147" s="4">
        <v>9166863</v>
      </c>
    </row>
    <row r="148" customHeight="1" spans="1:2">
      <c r="A148" s="3" t="s">
        <v>2897</v>
      </c>
      <c r="B148" s="4">
        <v>1891821</v>
      </c>
    </row>
    <row r="149" customHeight="1" spans="1:2">
      <c r="A149" s="3" t="s">
        <v>20666</v>
      </c>
      <c r="B149" s="4"/>
    </row>
    <row r="150" customHeight="1" spans="1:2">
      <c r="A150" s="3" t="s">
        <v>14477</v>
      </c>
      <c r="B150" s="4"/>
    </row>
    <row r="151" customHeight="1" spans="1:2">
      <c r="A151" s="3" t="s">
        <v>16013</v>
      </c>
      <c r="B151" s="4">
        <v>34746109</v>
      </c>
    </row>
    <row r="152" customHeight="1" spans="1:2">
      <c r="A152" s="3" t="s">
        <v>6842</v>
      </c>
      <c r="B152" s="4">
        <v>18438149</v>
      </c>
    </row>
    <row r="153" customHeight="1" spans="1:2">
      <c r="A153" s="3" t="s">
        <v>6270</v>
      </c>
      <c r="B153" s="4">
        <v>108706165</v>
      </c>
    </row>
    <row r="154" customHeight="1" spans="1:2">
      <c r="A154" s="3" t="s">
        <v>5312</v>
      </c>
      <c r="B154" s="4"/>
    </row>
    <row r="155" customHeight="1" spans="1:2">
      <c r="A155" s="3" t="s">
        <v>23912</v>
      </c>
      <c r="B155" s="4"/>
    </row>
    <row r="156" customHeight="1" spans="1:2">
      <c r="A156" s="3" t="s">
        <v>10025</v>
      </c>
      <c r="B156" s="4"/>
    </row>
    <row r="157" customHeight="1" spans="1:2">
      <c r="A157" s="3" t="s">
        <v>10911</v>
      </c>
      <c r="B157" s="4">
        <v>35033759</v>
      </c>
    </row>
    <row r="158" customHeight="1" spans="1:2">
      <c r="A158" s="3" t="s">
        <v>4821</v>
      </c>
      <c r="B158" s="4">
        <v>6167817</v>
      </c>
    </row>
    <row r="159" customHeight="1" spans="1:2">
      <c r="A159" s="3" t="s">
        <v>8291</v>
      </c>
      <c r="B159" s="4">
        <v>50300000</v>
      </c>
    </row>
    <row r="160" customHeight="1" spans="1:2">
      <c r="A160" s="3" t="s">
        <v>9234</v>
      </c>
      <c r="B160" s="4">
        <v>25977365</v>
      </c>
    </row>
    <row r="161" customHeight="1" spans="1:2">
      <c r="A161" s="3" t="s">
        <v>13521</v>
      </c>
      <c r="B161" s="4">
        <v>4741987</v>
      </c>
    </row>
    <row r="162" customHeight="1" spans="1:2">
      <c r="A162" s="3" t="s">
        <v>14540</v>
      </c>
      <c r="B162" s="4">
        <v>41227069</v>
      </c>
    </row>
    <row r="163" customHeight="1" spans="1:2">
      <c r="A163" s="3" t="s">
        <v>8752</v>
      </c>
      <c r="B163" s="4"/>
    </row>
    <row r="164" customHeight="1" spans="1:2">
      <c r="A164" s="3" t="s">
        <v>14402</v>
      </c>
      <c r="B164" s="4">
        <v>381332</v>
      </c>
    </row>
    <row r="165" customHeight="1" spans="1:2">
      <c r="A165" s="3" t="s">
        <v>2192</v>
      </c>
      <c r="B165" s="4">
        <v>78616689</v>
      </c>
    </row>
    <row r="166" customHeight="1" spans="1:2">
      <c r="A166" s="3" t="s">
        <v>9912</v>
      </c>
      <c r="B166" s="4">
        <v>10719367</v>
      </c>
    </row>
    <row r="167" customHeight="1" spans="1:2">
      <c r="A167" s="3" t="s">
        <v>20649</v>
      </c>
      <c r="B167" s="4"/>
    </row>
    <row r="168" customHeight="1" spans="1:2">
      <c r="A168" s="3" t="s">
        <v>20636</v>
      </c>
      <c r="B168" s="4">
        <v>95236</v>
      </c>
    </row>
    <row r="169" customHeight="1" spans="1:2">
      <c r="A169" s="3" t="s">
        <v>7553</v>
      </c>
      <c r="B169" s="4">
        <v>28064226</v>
      </c>
    </row>
    <row r="170" customHeight="1" spans="1:2">
      <c r="A170" s="3" t="s">
        <v>16927</v>
      </c>
      <c r="B170" s="4">
        <v>64148</v>
      </c>
    </row>
    <row r="171" customHeight="1" spans="1:2">
      <c r="A171" s="3" t="s">
        <v>9119</v>
      </c>
      <c r="B171" s="4">
        <v>40566655</v>
      </c>
    </row>
    <row r="172" customHeight="1" spans="1:2">
      <c r="A172" s="3" t="s">
        <v>13686</v>
      </c>
      <c r="B172" s="4">
        <v>48637684</v>
      </c>
    </row>
    <row r="173" customHeight="1" spans="1:2">
      <c r="A173" s="3" t="s">
        <v>8195</v>
      </c>
      <c r="B173" s="4">
        <v>65010106</v>
      </c>
    </row>
    <row r="174" customHeight="1" spans="1:2">
      <c r="A174" s="3" t="s">
        <v>14244</v>
      </c>
      <c r="B174" s="4">
        <v>15294553</v>
      </c>
    </row>
    <row r="175" customHeight="1" spans="1:2">
      <c r="A175" s="3" t="s">
        <v>3601</v>
      </c>
      <c r="B175" s="4">
        <v>37516013</v>
      </c>
    </row>
    <row r="176" customHeight="1" spans="1:2">
      <c r="A176" s="3" t="s">
        <v>23840</v>
      </c>
      <c r="B176" s="4"/>
    </row>
    <row r="177" customHeight="1" spans="1:2">
      <c r="A177" s="3" t="s">
        <v>5210</v>
      </c>
      <c r="B177" s="4">
        <v>50007168</v>
      </c>
    </row>
    <row r="178" customHeight="1" spans="1:2">
      <c r="A178" s="3" t="s">
        <v>9349</v>
      </c>
      <c r="B178" s="4"/>
    </row>
    <row r="179" customHeight="1" spans="1:2">
      <c r="A179" s="3" t="s">
        <v>14038</v>
      </c>
      <c r="B179" s="4">
        <v>72217000</v>
      </c>
    </row>
    <row r="180" customHeight="1" spans="1:2">
      <c r="A180" s="3" t="s">
        <v>8129</v>
      </c>
      <c r="B180" s="4">
        <v>108360000</v>
      </c>
    </row>
    <row r="181" customHeight="1" spans="1:2">
      <c r="A181" s="3" t="s">
        <v>5887</v>
      </c>
      <c r="B181" s="4">
        <v>48687346</v>
      </c>
    </row>
    <row r="182" customHeight="1" spans="1:2">
      <c r="A182" s="3" t="s">
        <v>14054</v>
      </c>
      <c r="B182" s="4">
        <v>70011073</v>
      </c>
    </row>
    <row r="183" customHeight="1" spans="1:2">
      <c r="A183" s="3" t="s">
        <v>16518</v>
      </c>
      <c r="B183" s="4">
        <v>20257000</v>
      </c>
    </row>
    <row r="184" customHeight="1" spans="1:2">
      <c r="A184" s="3" t="s">
        <v>15458</v>
      </c>
      <c r="B184" s="4"/>
    </row>
    <row r="185" customHeight="1" spans="1:2">
      <c r="A185" s="3" t="s">
        <v>19136</v>
      </c>
      <c r="B185" s="4">
        <v>2277396</v>
      </c>
    </row>
    <row r="186" customHeight="1" spans="1:2">
      <c r="A186" s="3" t="s">
        <v>11696</v>
      </c>
      <c r="B186" s="4">
        <v>22245861</v>
      </c>
    </row>
    <row r="187" customHeight="1" spans="1:2">
      <c r="A187" s="3" t="s">
        <v>17677</v>
      </c>
      <c r="B187" s="4">
        <v>17382982</v>
      </c>
    </row>
    <row r="188" customHeight="1" spans="1:2">
      <c r="A188" s="3" t="s">
        <v>13837</v>
      </c>
      <c r="B188" s="4">
        <v>18004225</v>
      </c>
    </row>
    <row r="189" customHeight="1" spans="1:2">
      <c r="A189" s="3" t="s">
        <v>18680</v>
      </c>
      <c r="B189" s="4">
        <v>317125</v>
      </c>
    </row>
    <row r="190" customHeight="1" spans="1:2">
      <c r="A190" s="3" t="s">
        <v>22344</v>
      </c>
      <c r="B190" s="4"/>
    </row>
    <row r="191" customHeight="1" spans="1:2">
      <c r="A191" s="3" t="s">
        <v>15499</v>
      </c>
      <c r="B191" s="4">
        <v>16025394</v>
      </c>
    </row>
    <row r="192" customHeight="1" spans="1:2">
      <c r="A192" s="3" t="s">
        <v>4780</v>
      </c>
      <c r="B192" s="4">
        <v>25857987</v>
      </c>
    </row>
    <row r="193" customHeight="1" spans="1:2">
      <c r="A193" s="3" t="s">
        <v>1227</v>
      </c>
      <c r="B193" s="4">
        <v>60522097</v>
      </c>
    </row>
    <row r="194" customHeight="1" spans="1:2">
      <c r="A194" s="3" t="s">
        <v>4529</v>
      </c>
      <c r="B194" s="4">
        <v>28328132</v>
      </c>
    </row>
    <row r="195" customHeight="1" spans="1:2">
      <c r="A195" s="3" t="s">
        <v>22366</v>
      </c>
      <c r="B195" s="4"/>
    </row>
    <row r="196" customHeight="1" spans="1:2">
      <c r="A196" s="3" t="s">
        <v>18332</v>
      </c>
      <c r="B196" s="4">
        <v>108229</v>
      </c>
    </row>
    <row r="197" customHeight="1" spans="1:2">
      <c r="A197" s="3" t="s">
        <v>6941</v>
      </c>
      <c r="B197" s="4">
        <v>5881504</v>
      </c>
    </row>
    <row r="198" customHeight="1" spans="1:2">
      <c r="A198" s="3" t="s">
        <v>20763</v>
      </c>
      <c r="B198" s="4"/>
    </row>
    <row r="199" customHeight="1" spans="1:2">
      <c r="A199" s="3" t="s">
        <v>9308</v>
      </c>
      <c r="B199" s="4">
        <v>23222861</v>
      </c>
    </row>
    <row r="200" customHeight="1" spans="1:2">
      <c r="A200" s="3" t="s">
        <v>9539</v>
      </c>
      <c r="B200" s="4">
        <v>47285499</v>
      </c>
    </row>
    <row r="201" customHeight="1" spans="1:2">
      <c r="A201" s="3" t="s">
        <v>3569</v>
      </c>
      <c r="B201" s="4">
        <v>617840</v>
      </c>
    </row>
    <row r="202" customHeight="1" spans="1:2">
      <c r="A202" s="3" t="s">
        <v>16801</v>
      </c>
      <c r="B202" s="4">
        <v>927107</v>
      </c>
    </row>
    <row r="203" customHeight="1" spans="1:2">
      <c r="A203" s="3" t="s">
        <v>19231</v>
      </c>
      <c r="B203" s="4">
        <v>24629916</v>
      </c>
    </row>
    <row r="204" customHeight="1" spans="1:2">
      <c r="A204" s="3" t="s">
        <v>2325</v>
      </c>
      <c r="B204" s="4">
        <v>172620724</v>
      </c>
    </row>
    <row r="205" customHeight="1" spans="1:2">
      <c r="A205" s="3" t="s">
        <v>21403</v>
      </c>
      <c r="B205" s="4">
        <v>2850263</v>
      </c>
    </row>
    <row r="206" customHeight="1" spans="1:2">
      <c r="A206" s="3" t="s">
        <v>18357</v>
      </c>
      <c r="B206" s="4"/>
    </row>
    <row r="207" customHeight="1" spans="1:2">
      <c r="A207" s="3" t="s">
        <v>18871</v>
      </c>
      <c r="B207" s="4">
        <v>83400000</v>
      </c>
    </row>
    <row r="208" customHeight="1" spans="1:2">
      <c r="A208" s="3" t="s">
        <v>21736</v>
      </c>
      <c r="B208" s="4">
        <v>621240</v>
      </c>
    </row>
    <row r="209" customHeight="1" spans="1:2">
      <c r="A209" s="3" t="s">
        <v>16069</v>
      </c>
      <c r="B209" s="4">
        <v>18811135</v>
      </c>
    </row>
    <row r="210" customHeight="1" spans="1:2">
      <c r="A210" s="3" t="s">
        <v>16259</v>
      </c>
      <c r="B210" s="4">
        <v>439162</v>
      </c>
    </row>
    <row r="211" customHeight="1" spans="1:2">
      <c r="A211" s="3" t="s">
        <v>8828</v>
      </c>
      <c r="B211" s="4">
        <v>217350219</v>
      </c>
    </row>
    <row r="212" customHeight="1" spans="1:2">
      <c r="A212" s="3" t="s">
        <v>16393</v>
      </c>
      <c r="B212" s="4">
        <v>3014541</v>
      </c>
    </row>
    <row r="213" customHeight="1" spans="1:2">
      <c r="A213" s="3" t="s">
        <v>17944</v>
      </c>
      <c r="B213" s="4">
        <v>326308</v>
      </c>
    </row>
    <row r="214" customHeight="1" spans="1:2">
      <c r="A214" s="3" t="s">
        <v>8578</v>
      </c>
      <c r="B214" s="4">
        <v>14208384</v>
      </c>
    </row>
    <row r="215" customHeight="1" spans="1:2">
      <c r="A215" s="3" t="s">
        <v>7515</v>
      </c>
      <c r="B215" s="4">
        <v>25863915</v>
      </c>
    </row>
    <row r="216" customHeight="1" spans="1:2">
      <c r="A216" s="3" t="s">
        <v>6858</v>
      </c>
      <c r="B216" s="4">
        <v>652526</v>
      </c>
    </row>
    <row r="217" customHeight="1" spans="1:2">
      <c r="A217" s="3" t="s">
        <v>8952</v>
      </c>
      <c r="B217" s="4">
        <v>66950483</v>
      </c>
    </row>
    <row r="218" customHeight="1" spans="1:2">
      <c r="A218" s="3" t="s">
        <v>765</v>
      </c>
      <c r="B218" s="4">
        <v>34293771</v>
      </c>
    </row>
    <row r="219" customHeight="1" spans="1:2">
      <c r="A219" s="3" t="s">
        <v>20247</v>
      </c>
      <c r="B219" s="4"/>
    </row>
    <row r="220" customHeight="1" spans="1:2">
      <c r="A220" s="3" t="s">
        <v>6777</v>
      </c>
      <c r="B220" s="4">
        <v>13395939</v>
      </c>
    </row>
    <row r="221" customHeight="1" spans="1:2">
      <c r="A221" s="3" t="s">
        <v>1636</v>
      </c>
      <c r="B221" s="4">
        <v>58183966</v>
      </c>
    </row>
    <row r="222" customHeight="1" spans="1:2">
      <c r="A222" s="3" t="s">
        <v>16381</v>
      </c>
      <c r="B222" s="4">
        <v>206400</v>
      </c>
    </row>
    <row r="223" customHeight="1" spans="1:2">
      <c r="A223" s="3" t="s">
        <v>258</v>
      </c>
      <c r="B223" s="4">
        <v>668370412</v>
      </c>
    </row>
    <row r="224" customHeight="1" spans="1:2">
      <c r="A224" s="3" t="s">
        <v>719</v>
      </c>
      <c r="B224" s="4">
        <v>76846624</v>
      </c>
    </row>
    <row r="225" customHeight="1" spans="1:2">
      <c r="A225" s="3" t="s">
        <v>4702</v>
      </c>
      <c r="B225" s="4">
        <v>55473600</v>
      </c>
    </row>
    <row r="226" customHeight="1" spans="1:2">
      <c r="A226" s="3" t="s">
        <v>19972</v>
      </c>
      <c r="B226" s="4"/>
    </row>
    <row r="227" customHeight="1" spans="1:2">
      <c r="A227" s="3" t="s">
        <v>16567</v>
      </c>
      <c r="B227" s="4"/>
    </row>
    <row r="228" customHeight="1" spans="1:2">
      <c r="A228" s="3" t="s">
        <v>15592</v>
      </c>
      <c r="B228" s="4">
        <v>78900000</v>
      </c>
    </row>
    <row r="229" customHeight="1" spans="1:2">
      <c r="A229" s="3" t="s">
        <v>4180</v>
      </c>
      <c r="B229" s="4">
        <v>47748610</v>
      </c>
    </row>
    <row r="230" customHeight="1" spans="1:2">
      <c r="A230" s="3" t="s">
        <v>5916</v>
      </c>
      <c r="B230" s="4">
        <v>25200412</v>
      </c>
    </row>
    <row r="231" customHeight="1" spans="1:2">
      <c r="A231" s="3" t="s">
        <v>6534</v>
      </c>
      <c r="B231" s="4">
        <v>41797066</v>
      </c>
    </row>
    <row r="232" customHeight="1" spans="1:2">
      <c r="A232" s="3" t="s">
        <v>12145</v>
      </c>
      <c r="B232" s="4">
        <v>85200000</v>
      </c>
    </row>
    <row r="233" customHeight="1" spans="1:2">
      <c r="A233" s="3" t="s">
        <v>7947</v>
      </c>
      <c r="B233" s="4">
        <v>36733909</v>
      </c>
    </row>
    <row r="234" customHeight="1" spans="1:2">
      <c r="A234" s="3" t="s">
        <v>12886</v>
      </c>
      <c r="B234" s="4">
        <v>33860010</v>
      </c>
    </row>
    <row r="235" customHeight="1" spans="1:2">
      <c r="A235" s="3" t="s">
        <v>13434</v>
      </c>
      <c r="B235" s="4">
        <v>25482931</v>
      </c>
    </row>
    <row r="236" customHeight="1" spans="1:2">
      <c r="A236" s="3" t="s">
        <v>11455</v>
      </c>
      <c r="B236" s="4">
        <v>578382</v>
      </c>
    </row>
    <row r="237" customHeight="1" spans="1:2">
      <c r="A237" s="3" t="s">
        <v>18188</v>
      </c>
      <c r="B237" s="4"/>
    </row>
    <row r="238" customHeight="1" spans="1:2">
      <c r="A238" s="3" t="s">
        <v>20553</v>
      </c>
      <c r="B238" s="4">
        <v>4556</v>
      </c>
    </row>
    <row r="239" customHeight="1" spans="1:2">
      <c r="A239" s="3" t="s">
        <v>15903</v>
      </c>
      <c r="B239" s="4">
        <v>6262942</v>
      </c>
    </row>
    <row r="240" customHeight="1" spans="1:2">
      <c r="A240" s="3" t="s">
        <v>15758</v>
      </c>
      <c r="B240" s="4">
        <v>112935</v>
      </c>
    </row>
    <row r="241" customHeight="1" spans="1:2">
      <c r="A241" s="3" t="s">
        <v>24051</v>
      </c>
      <c r="B241" s="4"/>
    </row>
    <row r="242" customHeight="1" spans="1:2">
      <c r="A242" s="3" t="s">
        <v>2446</v>
      </c>
      <c r="B242" s="4"/>
    </row>
    <row r="243" customHeight="1" spans="1:2">
      <c r="A243" s="3" t="s">
        <v>22278</v>
      </c>
      <c r="B243" s="4"/>
    </row>
    <row r="244" customHeight="1" spans="1:2">
      <c r="A244" s="3" t="s">
        <v>4875</v>
      </c>
      <c r="B244" s="4">
        <v>7221458</v>
      </c>
    </row>
    <row r="245" customHeight="1" spans="1:2">
      <c r="A245" s="3" t="s">
        <v>5938</v>
      </c>
      <c r="B245" s="4">
        <v>15527125</v>
      </c>
    </row>
    <row r="246" customHeight="1" spans="1:2">
      <c r="A246" s="3" t="s">
        <v>13275</v>
      </c>
      <c r="B246" s="4">
        <v>22723</v>
      </c>
    </row>
    <row r="247" customHeight="1" spans="1:2">
      <c r="A247" s="3" t="s">
        <v>21714</v>
      </c>
      <c r="B247" s="4">
        <v>548712</v>
      </c>
    </row>
    <row r="248" customHeight="1" spans="1:2">
      <c r="A248" s="3" t="s">
        <v>1591</v>
      </c>
      <c r="B248" s="4">
        <v>66002193</v>
      </c>
    </row>
    <row r="249" customHeight="1" spans="1:2">
      <c r="A249" s="3" t="s">
        <v>22732</v>
      </c>
      <c r="B249" s="4"/>
    </row>
    <row r="250" customHeight="1" spans="1:2">
      <c r="A250" s="3" t="s">
        <v>4306</v>
      </c>
      <c r="B250" s="4">
        <v>32522352</v>
      </c>
    </row>
    <row r="251" customHeight="1" spans="1:2">
      <c r="A251" s="3" t="s">
        <v>16253</v>
      </c>
      <c r="B251" s="4">
        <v>52961</v>
      </c>
    </row>
    <row r="252" customHeight="1" spans="1:2">
      <c r="A252" s="3" t="s">
        <v>7199</v>
      </c>
      <c r="B252" s="4">
        <v>41982994</v>
      </c>
    </row>
    <row r="253" customHeight="1" spans="1:2">
      <c r="A253" s="3" t="s">
        <v>11350</v>
      </c>
      <c r="B253" s="4">
        <v>5132655</v>
      </c>
    </row>
    <row r="254" customHeight="1" spans="1:2">
      <c r="A254" s="3" t="s">
        <v>21847</v>
      </c>
      <c r="B254" s="4">
        <v>10018</v>
      </c>
    </row>
    <row r="255" customHeight="1" spans="1:2">
      <c r="A255" s="3" t="s">
        <v>8846</v>
      </c>
      <c r="B255" s="4">
        <v>74058698</v>
      </c>
    </row>
    <row r="256" customHeight="1" spans="1:2">
      <c r="A256" s="3" t="s">
        <v>6100</v>
      </c>
      <c r="B256" s="4">
        <v>87856565</v>
      </c>
    </row>
    <row r="257" customHeight="1" spans="1:2">
      <c r="A257" s="3" t="s">
        <v>23335</v>
      </c>
      <c r="B257" s="4"/>
    </row>
    <row r="258" customHeight="1" spans="1:2">
      <c r="A258" s="3" t="s">
        <v>16765</v>
      </c>
      <c r="B258" s="4"/>
    </row>
    <row r="259" customHeight="1" spans="1:2">
      <c r="A259" s="3" t="s">
        <v>10993</v>
      </c>
      <c r="B259" s="4">
        <v>25077977</v>
      </c>
    </row>
    <row r="260" customHeight="1" spans="1:2">
      <c r="A260" s="3" t="s">
        <v>4569</v>
      </c>
      <c r="B260" s="4">
        <v>217326336</v>
      </c>
    </row>
    <row r="261" customHeight="1" spans="1:2">
      <c r="A261" s="3" t="s">
        <v>2582</v>
      </c>
      <c r="B261" s="4">
        <v>133103929</v>
      </c>
    </row>
    <row r="262" customHeight="1" spans="1:2">
      <c r="A262" s="3" t="s">
        <v>2172</v>
      </c>
      <c r="B262" s="4">
        <v>85884815</v>
      </c>
    </row>
    <row r="263" customHeight="1" spans="1:2">
      <c r="A263" s="3" t="s">
        <v>3365</v>
      </c>
      <c r="B263" s="4">
        <v>219613391</v>
      </c>
    </row>
    <row r="264" customHeight="1" spans="1:2">
      <c r="A264" s="3" t="s">
        <v>20060</v>
      </c>
      <c r="B264" s="4"/>
    </row>
    <row r="265" customHeight="1" spans="1:2">
      <c r="A265" s="3" t="s">
        <v>11783</v>
      </c>
      <c r="B265" s="4">
        <v>51600000</v>
      </c>
    </row>
    <row r="266" customHeight="1" spans="1:2">
      <c r="A266" s="3" t="s">
        <v>6765</v>
      </c>
      <c r="B266" s="4">
        <v>33201661</v>
      </c>
    </row>
    <row r="267" customHeight="1" spans="1:2">
      <c r="A267" s="3" t="s">
        <v>13562</v>
      </c>
      <c r="B267" s="4">
        <v>274299</v>
      </c>
    </row>
    <row r="268" customHeight="1" spans="1:2">
      <c r="A268" s="3" t="s">
        <v>22705</v>
      </c>
      <c r="B268" s="4"/>
    </row>
    <row r="269" customHeight="1" spans="1:2">
      <c r="A269" s="3" t="s">
        <v>12669</v>
      </c>
      <c r="B269" s="4">
        <v>130058047</v>
      </c>
    </row>
    <row r="270" customHeight="1" spans="1:2">
      <c r="A270" s="3" t="s">
        <v>23178</v>
      </c>
      <c r="B270" s="4">
        <v>902835</v>
      </c>
    </row>
    <row r="271" customHeight="1" spans="1:2">
      <c r="A271" s="3" t="s">
        <v>12274</v>
      </c>
      <c r="B271" s="4">
        <v>7156725</v>
      </c>
    </row>
    <row r="272" customHeight="1" spans="1:2">
      <c r="A272" s="3" t="s">
        <v>1730</v>
      </c>
      <c r="B272" s="4">
        <v>130127620</v>
      </c>
    </row>
    <row r="273" customHeight="1" spans="1:2">
      <c r="A273" s="3" t="s">
        <v>22230</v>
      </c>
      <c r="B273" s="4">
        <v>115000000</v>
      </c>
    </row>
    <row r="274" customHeight="1" spans="1:2">
      <c r="A274" s="3" t="s">
        <v>15513</v>
      </c>
      <c r="B274" s="4"/>
    </row>
    <row r="275" customHeight="1" spans="1:2">
      <c r="A275" s="3" t="s">
        <v>22136</v>
      </c>
      <c r="B275" s="4"/>
    </row>
    <row r="276" customHeight="1" spans="1:2">
      <c r="A276" s="3" t="s">
        <v>15115</v>
      </c>
      <c r="B276" s="4">
        <v>6712241</v>
      </c>
    </row>
    <row r="277" customHeight="1" spans="1:2">
      <c r="A277" s="3" t="s">
        <v>6242</v>
      </c>
      <c r="B277" s="4">
        <v>150117807</v>
      </c>
    </row>
    <row r="278" customHeight="1" spans="1:2">
      <c r="A278" s="3" t="s">
        <v>22975</v>
      </c>
      <c r="B278" s="4">
        <v>4000000</v>
      </c>
    </row>
    <row r="279" customHeight="1" spans="1:2">
      <c r="A279" s="3" t="s">
        <v>7642</v>
      </c>
      <c r="B279" s="4">
        <v>13264986</v>
      </c>
    </row>
    <row r="280" customHeight="1" spans="1:2">
      <c r="A280" s="3" t="s">
        <v>8094</v>
      </c>
      <c r="B280" s="4">
        <v>145096820</v>
      </c>
    </row>
    <row r="281" customHeight="1" spans="1:2">
      <c r="A281" s="3" t="s">
        <v>14015</v>
      </c>
      <c r="B281" s="4">
        <v>101736215</v>
      </c>
    </row>
    <row r="282" customHeight="1" spans="1:2">
      <c r="A282" s="3" t="s">
        <v>16080</v>
      </c>
      <c r="B282" s="4">
        <v>15047419</v>
      </c>
    </row>
    <row r="283" customHeight="1" spans="1:2">
      <c r="A283" s="3" t="s">
        <v>5233</v>
      </c>
      <c r="B283" s="4">
        <v>56724080</v>
      </c>
    </row>
    <row r="284" customHeight="1" spans="1:2">
      <c r="A284" s="3" t="s">
        <v>4447</v>
      </c>
      <c r="B284" s="4">
        <v>350123553</v>
      </c>
    </row>
    <row r="285" customHeight="1" spans="1:2">
      <c r="A285" s="3" t="s">
        <v>20209</v>
      </c>
      <c r="B285" s="4">
        <v>6003587</v>
      </c>
    </row>
    <row r="286" customHeight="1" spans="1:2">
      <c r="A286" s="3" t="s">
        <v>4601</v>
      </c>
      <c r="B286" s="4">
        <v>104354205</v>
      </c>
    </row>
    <row r="287" customHeight="1" spans="1:2">
      <c r="A287" s="3" t="s">
        <v>5658</v>
      </c>
      <c r="B287" s="4">
        <v>93607673</v>
      </c>
    </row>
    <row r="288" customHeight="1" spans="1:2">
      <c r="A288" s="3" t="s">
        <v>23185</v>
      </c>
      <c r="B288" s="4"/>
    </row>
    <row r="289" customHeight="1" spans="1:2">
      <c r="A289" s="3" t="s">
        <v>21024</v>
      </c>
      <c r="B289" s="4">
        <v>183490</v>
      </c>
    </row>
    <row r="290" customHeight="1" spans="1:2">
      <c r="A290" s="3" t="s">
        <v>6521</v>
      </c>
      <c r="B290" s="4">
        <v>44175394</v>
      </c>
    </row>
    <row r="291" customHeight="1" spans="1:2">
      <c r="A291" s="3" t="s">
        <v>19635</v>
      </c>
      <c r="B291" s="4"/>
    </row>
    <row r="292" customHeight="1" spans="1:2">
      <c r="A292" s="3" t="s">
        <v>18677</v>
      </c>
      <c r="B292" s="4">
        <v>64359</v>
      </c>
    </row>
    <row r="293" customHeight="1" spans="1:2">
      <c r="A293" s="3" t="s">
        <v>20219</v>
      </c>
      <c r="B293" s="4">
        <v>5383834</v>
      </c>
    </row>
    <row r="294" customHeight="1" spans="1:2">
      <c r="A294" s="3" t="s">
        <v>15526</v>
      </c>
      <c r="B294" s="4">
        <v>225377</v>
      </c>
    </row>
    <row r="295" customHeight="1" spans="1:2">
      <c r="A295" s="3" t="s">
        <v>15383</v>
      </c>
      <c r="B295" s="4">
        <v>15447</v>
      </c>
    </row>
    <row r="296" customHeight="1" spans="1:2">
      <c r="A296" s="3" t="s">
        <v>11312</v>
      </c>
      <c r="B296" s="4">
        <v>7001720</v>
      </c>
    </row>
    <row r="297" customHeight="1" spans="1:2">
      <c r="A297" s="3" t="s">
        <v>23494</v>
      </c>
      <c r="B297" s="4"/>
    </row>
    <row r="298" customHeight="1" spans="1:2">
      <c r="A298" s="3" t="s">
        <v>13445</v>
      </c>
      <c r="B298" s="4">
        <v>16298046</v>
      </c>
    </row>
    <row r="299" customHeight="1" spans="1:2">
      <c r="A299" s="3" t="s">
        <v>23637</v>
      </c>
      <c r="B299" s="4"/>
    </row>
    <row r="300" customHeight="1" spans="1:2">
      <c r="A300" s="3" t="s">
        <v>16345</v>
      </c>
      <c r="B300" s="4">
        <v>12574715</v>
      </c>
    </row>
    <row r="301" customHeight="1" spans="1:2">
      <c r="A301" s="3" t="s">
        <v>18671</v>
      </c>
      <c r="B301" s="4">
        <v>75078</v>
      </c>
    </row>
    <row r="302" customHeight="1" spans="1:2">
      <c r="A302" s="3" t="s">
        <v>14712</v>
      </c>
      <c r="B302" s="4">
        <v>18535191</v>
      </c>
    </row>
    <row r="303" customHeight="1" spans="1:2">
      <c r="A303" s="3" t="s">
        <v>21592</v>
      </c>
      <c r="B303" s="4">
        <v>23808111</v>
      </c>
    </row>
    <row r="304" customHeight="1" spans="1:2">
      <c r="A304" s="3" t="s">
        <v>8631</v>
      </c>
      <c r="B304" s="4">
        <v>8535575</v>
      </c>
    </row>
    <row r="305" customHeight="1" spans="1:2">
      <c r="A305" s="3" t="s">
        <v>5785</v>
      </c>
      <c r="B305" s="4">
        <v>65557989</v>
      </c>
    </row>
    <row r="306" customHeight="1" spans="1:2">
      <c r="A306" s="3" t="s">
        <v>9644</v>
      </c>
      <c r="B306" s="4">
        <v>31526393</v>
      </c>
    </row>
    <row r="307" customHeight="1" spans="1:2">
      <c r="A307" s="3" t="s">
        <v>4286</v>
      </c>
      <c r="B307" s="4">
        <v>32122249</v>
      </c>
    </row>
    <row r="308" customHeight="1" spans="1:2">
      <c r="A308" s="3" t="s">
        <v>8160</v>
      </c>
      <c r="B308" s="4">
        <v>106694016</v>
      </c>
    </row>
    <row r="309" customHeight="1" spans="1:2">
      <c r="A309" s="3" t="s">
        <v>4883</v>
      </c>
      <c r="B309" s="4">
        <v>58297830</v>
      </c>
    </row>
    <row r="310" customHeight="1" spans="1:2">
      <c r="A310" s="3" t="s">
        <v>19925</v>
      </c>
      <c r="B310" s="4">
        <v>5725</v>
      </c>
    </row>
    <row r="311" customHeight="1" spans="1:2">
      <c r="A311" s="3" t="s">
        <v>5027</v>
      </c>
      <c r="B311" s="4">
        <v>2175312</v>
      </c>
    </row>
    <row r="312" customHeight="1" spans="1:2">
      <c r="A312" s="3" t="s">
        <v>9531</v>
      </c>
      <c r="B312" s="4">
        <v>84136909</v>
      </c>
    </row>
    <row r="313" customHeight="1" spans="1:2">
      <c r="A313" s="3" t="s">
        <v>11938</v>
      </c>
      <c r="B313" s="4">
        <v>15155772</v>
      </c>
    </row>
    <row r="314" customHeight="1" spans="1:2">
      <c r="A314" s="3" t="s">
        <v>22031</v>
      </c>
      <c r="B314" s="4"/>
    </row>
    <row r="315" customHeight="1" spans="1:2">
      <c r="A315" s="3" t="s">
        <v>23121</v>
      </c>
      <c r="B315" s="4"/>
    </row>
    <row r="316" customHeight="1" spans="1:2">
      <c r="A316" s="3" t="s">
        <v>7019</v>
      </c>
      <c r="B316" s="4">
        <v>24044532</v>
      </c>
    </row>
    <row r="317" customHeight="1" spans="1:2">
      <c r="A317" s="3" t="s">
        <v>9854</v>
      </c>
      <c r="B317" s="4">
        <v>13038660</v>
      </c>
    </row>
    <row r="318" customHeight="1" spans="1:2">
      <c r="A318" s="3" t="s">
        <v>855</v>
      </c>
      <c r="B318" s="4">
        <v>133375846</v>
      </c>
    </row>
    <row r="319" customHeight="1" spans="1:2">
      <c r="A319" s="3" t="s">
        <v>4548</v>
      </c>
      <c r="B319" s="4"/>
    </row>
    <row r="320" customHeight="1" spans="1:2">
      <c r="A320" s="3" t="s">
        <v>19155</v>
      </c>
      <c r="B320" s="4">
        <v>141600000</v>
      </c>
    </row>
    <row r="321" customHeight="1" spans="1:2">
      <c r="A321" s="3" t="s">
        <v>18404</v>
      </c>
      <c r="B321" s="4"/>
    </row>
    <row r="322" customHeight="1" spans="1:2">
      <c r="A322" s="3" t="s">
        <v>6208</v>
      </c>
      <c r="B322" s="4"/>
    </row>
    <row r="323" customHeight="1" spans="1:2">
      <c r="A323" s="3" t="s">
        <v>8729</v>
      </c>
      <c r="B323" s="4"/>
    </row>
    <row r="324" customHeight="1" spans="1:2">
      <c r="A324" s="3" t="s">
        <v>17471</v>
      </c>
      <c r="B324" s="4"/>
    </row>
    <row r="325" customHeight="1" spans="1:2">
      <c r="A325" s="3" t="s">
        <v>3141</v>
      </c>
      <c r="B325" s="4">
        <v>39251128</v>
      </c>
    </row>
    <row r="326" customHeight="1" spans="1:2">
      <c r="A326" s="3" t="s">
        <v>5527</v>
      </c>
      <c r="B326" s="4">
        <v>12802907</v>
      </c>
    </row>
    <row r="327" customHeight="1" spans="1:2">
      <c r="A327" s="3" t="s">
        <v>16844</v>
      </c>
      <c r="B327" s="4">
        <v>84263837</v>
      </c>
    </row>
    <row r="328" customHeight="1" spans="1:2">
      <c r="A328" s="3" t="s">
        <v>18362</v>
      </c>
      <c r="B328" s="4"/>
    </row>
    <row r="329" customHeight="1" spans="1:2">
      <c r="A329" s="3" t="s">
        <v>18817</v>
      </c>
      <c r="B329" s="4">
        <v>8000000</v>
      </c>
    </row>
    <row r="330" customHeight="1" spans="1:2">
      <c r="A330" s="3" t="s">
        <v>18440</v>
      </c>
      <c r="B330" s="4">
        <v>39200000</v>
      </c>
    </row>
    <row r="331" customHeight="1" spans="1:2">
      <c r="A331" s="3" t="s">
        <v>3737</v>
      </c>
      <c r="B331" s="4">
        <v>85911262</v>
      </c>
    </row>
    <row r="332" customHeight="1" spans="1:2">
      <c r="A332" s="3" t="s">
        <v>16142</v>
      </c>
      <c r="B332" s="4">
        <v>3442820</v>
      </c>
    </row>
    <row r="333" customHeight="1" spans="1:2">
      <c r="A333" s="3" t="s">
        <v>9133</v>
      </c>
      <c r="B333" s="4">
        <v>4463292</v>
      </c>
    </row>
    <row r="334" customHeight="1" spans="1:2">
      <c r="A334" s="3" t="s">
        <v>23552</v>
      </c>
      <c r="B334" s="4">
        <v>1316074</v>
      </c>
    </row>
    <row r="335" customHeight="1" spans="1:2">
      <c r="A335" s="3" t="s">
        <v>18715</v>
      </c>
      <c r="B335" s="4"/>
    </row>
    <row r="336" customHeight="1" spans="1:2">
      <c r="A336" s="3" t="s">
        <v>16145</v>
      </c>
      <c r="B336" s="4">
        <v>3205244</v>
      </c>
    </row>
    <row r="337" customHeight="1" spans="1:2">
      <c r="A337" s="3" t="s">
        <v>23613</v>
      </c>
      <c r="B337" s="4">
        <v>4914</v>
      </c>
    </row>
    <row r="338" customHeight="1" spans="1:2">
      <c r="A338" s="3" t="s">
        <v>21788</v>
      </c>
      <c r="B338" s="4">
        <v>287761</v>
      </c>
    </row>
    <row r="339" customHeight="1" spans="1:2">
      <c r="A339" s="3" t="s">
        <v>19948</v>
      </c>
      <c r="B339" s="4"/>
    </row>
    <row r="340" customHeight="1" spans="1:2">
      <c r="A340" s="3" t="s">
        <v>8657</v>
      </c>
      <c r="B340" s="4">
        <v>10965209</v>
      </c>
    </row>
    <row r="341" customHeight="1" spans="1:2">
      <c r="A341" s="3" t="s">
        <v>19165</v>
      </c>
      <c r="B341" s="4"/>
    </row>
    <row r="342" customHeight="1" spans="1:2">
      <c r="A342" s="3" t="s">
        <v>1168</v>
      </c>
      <c r="B342" s="4">
        <v>180191634</v>
      </c>
    </row>
    <row r="343" customHeight="1" spans="1:2">
      <c r="A343" s="3" t="s">
        <v>13918</v>
      </c>
      <c r="B343" s="4">
        <v>21078145</v>
      </c>
    </row>
    <row r="344" customHeight="1" spans="1:2">
      <c r="A344" s="3" t="s">
        <v>4006</v>
      </c>
      <c r="B344" s="4">
        <v>90646554</v>
      </c>
    </row>
    <row r="345" customHeight="1" spans="1:2">
      <c r="A345" s="3" t="s">
        <v>4039</v>
      </c>
      <c r="B345" s="4">
        <v>75530832</v>
      </c>
    </row>
    <row r="346" customHeight="1" spans="1:2">
      <c r="A346" s="3" t="s">
        <v>12006</v>
      </c>
      <c r="B346" s="4">
        <v>3203044</v>
      </c>
    </row>
    <row r="347" customHeight="1" spans="1:2">
      <c r="A347" s="3" t="s">
        <v>10248</v>
      </c>
      <c r="B347" s="4">
        <v>18653615</v>
      </c>
    </row>
    <row r="348" customHeight="1" spans="1:2">
      <c r="A348" s="3" t="s">
        <v>8030</v>
      </c>
      <c r="B348" s="4">
        <v>78800000</v>
      </c>
    </row>
    <row r="349" customHeight="1" spans="1:2">
      <c r="A349" s="3" t="s">
        <v>6466</v>
      </c>
      <c r="B349" s="4">
        <v>50859889</v>
      </c>
    </row>
    <row r="350" customHeight="1" spans="1:2">
      <c r="A350" s="3" t="s">
        <v>3655</v>
      </c>
      <c r="B350" s="4">
        <v>172071312</v>
      </c>
    </row>
    <row r="351" customHeight="1" spans="1:2">
      <c r="A351" s="3" t="s">
        <v>17758</v>
      </c>
      <c r="B351" s="4">
        <v>17683670</v>
      </c>
    </row>
    <row r="352" customHeight="1" spans="1:2">
      <c r="A352" s="3" t="s">
        <v>11022</v>
      </c>
      <c r="B352" s="4">
        <v>20207003</v>
      </c>
    </row>
    <row r="353" customHeight="1" spans="1:2">
      <c r="A353" s="3" t="s">
        <v>17743</v>
      </c>
      <c r="B353" s="4">
        <v>12947763</v>
      </c>
    </row>
    <row r="354" customHeight="1" spans="1:2">
      <c r="A354" s="3" t="s">
        <v>22241</v>
      </c>
      <c r="B354" s="4">
        <v>5518918</v>
      </c>
    </row>
    <row r="355" customHeight="1" spans="1:2">
      <c r="A355" s="3" t="s">
        <v>14182</v>
      </c>
      <c r="B355" s="4">
        <v>18595716</v>
      </c>
    </row>
    <row r="356" customHeight="1" spans="1:2">
      <c r="A356" s="3" t="s">
        <v>8069</v>
      </c>
      <c r="B356" s="4">
        <v>53133888</v>
      </c>
    </row>
    <row r="357" customHeight="1" spans="1:2">
      <c r="A357" s="3" t="s">
        <v>12621</v>
      </c>
      <c r="B357" s="4">
        <v>1554566</v>
      </c>
    </row>
    <row r="358" customHeight="1" spans="1:2">
      <c r="A358" s="3" t="s">
        <v>14252</v>
      </c>
      <c r="B358" s="4">
        <v>7918283</v>
      </c>
    </row>
    <row r="359" customHeight="1" spans="1:2">
      <c r="A359" s="3" t="s">
        <v>23518</v>
      </c>
      <c r="B359" s="4"/>
    </row>
    <row r="360" customHeight="1" spans="1:2">
      <c r="A360" s="3" t="s">
        <v>10689</v>
      </c>
      <c r="B360" s="4">
        <v>82301521</v>
      </c>
    </row>
    <row r="361" customHeight="1" spans="1:2">
      <c r="A361" s="3" t="s">
        <v>18021</v>
      </c>
      <c r="B361" s="4"/>
    </row>
    <row r="362" customHeight="1" spans="1:2">
      <c r="A362" s="3" t="s">
        <v>6006</v>
      </c>
      <c r="B362" s="4">
        <v>136019448</v>
      </c>
    </row>
    <row r="363" customHeight="1" spans="1:2">
      <c r="A363" s="3" t="s">
        <v>10538</v>
      </c>
      <c r="B363" s="4">
        <v>24362501</v>
      </c>
    </row>
    <row r="364" customHeight="1" spans="1:2">
      <c r="A364" s="3" t="s">
        <v>980</v>
      </c>
      <c r="B364" s="4">
        <v>201573391</v>
      </c>
    </row>
    <row r="365" customHeight="1" spans="1:2">
      <c r="A365" s="3" t="s">
        <v>11158</v>
      </c>
      <c r="B365" s="4">
        <v>15988876</v>
      </c>
    </row>
    <row r="366" customHeight="1" spans="1:2">
      <c r="A366" s="3" t="s">
        <v>14620</v>
      </c>
      <c r="B366" s="4">
        <v>11501093</v>
      </c>
    </row>
    <row r="367" customHeight="1" spans="1:2">
      <c r="A367" s="3" t="s">
        <v>12470</v>
      </c>
      <c r="B367" s="4"/>
    </row>
    <row r="368" customHeight="1" spans="1:2">
      <c r="A368" s="3" t="s">
        <v>22414</v>
      </c>
      <c r="B368" s="4">
        <v>23616</v>
      </c>
    </row>
    <row r="369" customHeight="1" spans="1:2">
      <c r="A369" s="3" t="s">
        <v>1631</v>
      </c>
      <c r="B369" s="4">
        <v>48008318</v>
      </c>
    </row>
    <row r="370" customHeight="1" spans="1:2">
      <c r="A370" s="3" t="s">
        <v>23619</v>
      </c>
      <c r="B370" s="4"/>
    </row>
    <row r="371" customHeight="1" spans="1:2">
      <c r="A371" s="3" t="s">
        <v>2886</v>
      </c>
      <c r="B371" s="4">
        <v>15131330</v>
      </c>
    </row>
    <row r="372" customHeight="1" spans="1:2">
      <c r="A372" s="3" t="s">
        <v>2427</v>
      </c>
      <c r="B372" s="4">
        <v>46440491</v>
      </c>
    </row>
    <row r="373" customHeight="1" spans="1:2">
      <c r="A373" s="3" t="s">
        <v>6606</v>
      </c>
      <c r="B373" s="4"/>
    </row>
    <row r="374" customHeight="1" spans="1:2">
      <c r="A374" s="3" t="s">
        <v>17673</v>
      </c>
      <c r="B374" s="4">
        <v>21197315</v>
      </c>
    </row>
    <row r="375" customHeight="1" spans="1:2">
      <c r="A375" s="3" t="s">
        <v>5020</v>
      </c>
      <c r="B375" s="4">
        <v>147637474</v>
      </c>
    </row>
    <row r="376" customHeight="1" spans="1:2">
      <c r="A376" s="3" t="s">
        <v>22820</v>
      </c>
      <c r="B376" s="4">
        <v>9910</v>
      </c>
    </row>
    <row r="377" customHeight="1" spans="1:2">
      <c r="A377" s="3" t="s">
        <v>22027</v>
      </c>
      <c r="B377" s="4"/>
    </row>
    <row r="378" customHeight="1" spans="1:2">
      <c r="A378" s="3" t="s">
        <v>5336</v>
      </c>
      <c r="B378" s="4">
        <v>30306268</v>
      </c>
    </row>
    <row r="379" customHeight="1" spans="1:2">
      <c r="A379" s="3" t="s">
        <v>8523</v>
      </c>
      <c r="B379" s="4">
        <v>19976073</v>
      </c>
    </row>
    <row r="380" customHeight="1" spans="1:2">
      <c r="A380" s="3" t="s">
        <v>1462</v>
      </c>
      <c r="B380" s="4"/>
    </row>
    <row r="381" customHeight="1" spans="1:2">
      <c r="A381" s="3" t="s">
        <v>3857</v>
      </c>
      <c r="B381" s="4">
        <v>19548064</v>
      </c>
    </row>
    <row r="382" customHeight="1" spans="1:2">
      <c r="A382" s="3" t="s">
        <v>6708</v>
      </c>
      <c r="B382" s="4">
        <v>22326247</v>
      </c>
    </row>
    <row r="383" customHeight="1" spans="1:2">
      <c r="A383" s="3" t="s">
        <v>12223</v>
      </c>
      <c r="B383" s="4">
        <v>21160089</v>
      </c>
    </row>
    <row r="384" customHeight="1" spans="1:2">
      <c r="A384" s="3" t="s">
        <v>2164</v>
      </c>
      <c r="B384" s="4">
        <v>84037039</v>
      </c>
    </row>
    <row r="385" customHeight="1" spans="1:2">
      <c r="A385" s="3" t="s">
        <v>15189</v>
      </c>
      <c r="B385" s="4">
        <v>3333823</v>
      </c>
    </row>
    <row r="386" customHeight="1" spans="1:2">
      <c r="A386" s="3" t="s">
        <v>17936</v>
      </c>
      <c r="B386" s="4">
        <v>830210</v>
      </c>
    </row>
    <row r="387" customHeight="1" spans="1:2">
      <c r="A387" s="3" t="s">
        <v>8313</v>
      </c>
      <c r="B387" s="4">
        <v>50921738</v>
      </c>
    </row>
    <row r="388" customHeight="1" spans="1:2">
      <c r="A388" s="3" t="s">
        <v>13880</v>
      </c>
      <c r="B388" s="4">
        <v>1024175</v>
      </c>
    </row>
    <row r="389" customHeight="1" spans="1:2">
      <c r="A389" s="3" t="s">
        <v>9653</v>
      </c>
      <c r="B389" s="4">
        <v>31655091</v>
      </c>
    </row>
    <row r="390" customHeight="1" spans="1:2">
      <c r="A390" s="3" t="s">
        <v>19062</v>
      </c>
      <c r="B390" s="4"/>
    </row>
    <row r="391" customHeight="1" spans="1:2">
      <c r="A391" s="3" t="s">
        <v>9712</v>
      </c>
      <c r="B391" s="4">
        <v>37738400</v>
      </c>
    </row>
    <row r="392" customHeight="1" spans="1:2">
      <c r="A392" s="3" t="s">
        <v>3853</v>
      </c>
      <c r="B392" s="4">
        <v>213079163</v>
      </c>
    </row>
    <row r="393" customHeight="1" spans="1:2">
      <c r="A393" s="3" t="s">
        <v>11766</v>
      </c>
      <c r="B393" s="4">
        <v>53868030</v>
      </c>
    </row>
    <row r="394" customHeight="1" spans="1:2">
      <c r="A394" s="3" t="s">
        <v>7243</v>
      </c>
      <c r="B394" s="4">
        <v>205399422</v>
      </c>
    </row>
    <row r="395" customHeight="1" spans="1:2">
      <c r="A395" s="3" t="s">
        <v>1224</v>
      </c>
      <c r="B395" s="4">
        <v>49551662</v>
      </c>
    </row>
    <row r="396" customHeight="1" spans="1:2">
      <c r="A396" s="3" t="s">
        <v>16649</v>
      </c>
      <c r="B396" s="4">
        <v>2062066</v>
      </c>
    </row>
    <row r="397" customHeight="1" spans="1:2">
      <c r="A397" s="3" t="s">
        <v>13296</v>
      </c>
      <c r="B397" s="4"/>
    </row>
    <row r="398" customHeight="1" spans="1:2">
      <c r="A398" s="3" t="s">
        <v>6543</v>
      </c>
      <c r="B398" s="4">
        <v>37752931</v>
      </c>
    </row>
    <row r="399" customHeight="1" spans="1:2">
      <c r="A399" s="3" t="s">
        <v>36</v>
      </c>
      <c r="B399" s="4">
        <v>760505847</v>
      </c>
    </row>
    <row r="400" customHeight="1" spans="1:2">
      <c r="A400" s="3" t="s">
        <v>101</v>
      </c>
      <c r="B400" s="4">
        <v>458991599</v>
      </c>
    </row>
    <row r="401" customHeight="1" spans="1:2">
      <c r="A401" s="3" t="s">
        <v>3360</v>
      </c>
      <c r="B401" s="4">
        <v>80281096</v>
      </c>
    </row>
    <row r="402" customHeight="1" spans="1:2">
      <c r="A402" s="3" t="s">
        <v>15824</v>
      </c>
      <c r="B402" s="4">
        <v>14373825</v>
      </c>
    </row>
    <row r="403" customHeight="1" spans="1:2">
      <c r="A403" s="3" t="s">
        <v>10605</v>
      </c>
      <c r="B403" s="4">
        <v>9430988</v>
      </c>
    </row>
    <row r="404" customHeight="1" spans="1:2">
      <c r="A404" s="3" t="s">
        <v>19593</v>
      </c>
      <c r="B404" s="4"/>
    </row>
    <row r="405" customHeight="1" spans="1:2">
      <c r="A405" s="3" t="s">
        <v>23071</v>
      </c>
      <c r="B405" s="4">
        <v>16892</v>
      </c>
    </row>
    <row r="406" customHeight="1" spans="1:2">
      <c r="A406" s="3" t="s">
        <v>6915</v>
      </c>
      <c r="B406" s="4">
        <v>6498000</v>
      </c>
    </row>
    <row r="407" customHeight="1" spans="1:2">
      <c r="A407" s="3" t="s">
        <v>8216</v>
      </c>
      <c r="B407" s="4">
        <v>66600000</v>
      </c>
    </row>
    <row r="408" customHeight="1" spans="1:2">
      <c r="A408" s="3" t="s">
        <v>2868</v>
      </c>
      <c r="B408" s="4">
        <v>18318000</v>
      </c>
    </row>
    <row r="409" customHeight="1" spans="1:2">
      <c r="A409" s="3" t="s">
        <v>10860</v>
      </c>
      <c r="B409" s="4">
        <v>34300771</v>
      </c>
    </row>
    <row r="410" customHeight="1" spans="1:2">
      <c r="A410" s="3" t="s">
        <v>12439</v>
      </c>
      <c r="B410" s="4">
        <v>28734552</v>
      </c>
    </row>
    <row r="411" customHeight="1" spans="1:2">
      <c r="A411" s="3" t="s">
        <v>13718</v>
      </c>
      <c r="B411" s="4">
        <v>27141959</v>
      </c>
    </row>
    <row r="412" customHeight="1" spans="1:2">
      <c r="A412" s="3" t="s">
        <v>8237</v>
      </c>
      <c r="B412" s="4">
        <v>60269340</v>
      </c>
    </row>
    <row r="413" customHeight="1" spans="1:2">
      <c r="A413" s="3" t="s">
        <v>5899</v>
      </c>
      <c r="B413" s="4">
        <v>22531698</v>
      </c>
    </row>
    <row r="414" customHeight="1" spans="1:2">
      <c r="A414" s="3" t="s">
        <v>5437</v>
      </c>
      <c r="B414" s="4">
        <v>16671505</v>
      </c>
    </row>
    <row r="415" customHeight="1" spans="1:2">
      <c r="A415" s="3" t="s">
        <v>19479</v>
      </c>
      <c r="B415" s="4">
        <v>418268</v>
      </c>
    </row>
    <row r="416" customHeight="1" spans="1:2">
      <c r="A416" s="3" t="s">
        <v>6257</v>
      </c>
      <c r="B416" s="4">
        <v>118500000</v>
      </c>
    </row>
    <row r="417" customHeight="1" spans="1:2">
      <c r="A417" s="3" t="s">
        <v>6316</v>
      </c>
      <c r="B417" s="4">
        <v>87666629</v>
      </c>
    </row>
    <row r="418" customHeight="1" spans="1:2">
      <c r="A418" s="3" t="s">
        <v>11583</v>
      </c>
      <c r="B418" s="4">
        <v>210609762</v>
      </c>
    </row>
    <row r="419" customHeight="1" spans="1:2">
      <c r="A419" s="3" t="s">
        <v>1191</v>
      </c>
      <c r="B419" s="4">
        <v>138396624</v>
      </c>
    </row>
    <row r="420" customHeight="1" spans="1:2">
      <c r="A420" s="3" t="s">
        <v>10208</v>
      </c>
      <c r="B420" s="4">
        <v>65807024</v>
      </c>
    </row>
    <row r="421" customHeight="1" spans="1:2">
      <c r="A421" s="3" t="s">
        <v>3442</v>
      </c>
      <c r="B421" s="4">
        <v>30157016</v>
      </c>
    </row>
    <row r="422" customHeight="1" spans="1:2">
      <c r="A422" s="3" t="s">
        <v>12730</v>
      </c>
      <c r="B422" s="4">
        <v>101978840</v>
      </c>
    </row>
    <row r="423" customHeight="1" spans="1:2">
      <c r="A423" s="3" t="s">
        <v>10021</v>
      </c>
      <c r="B423" s="4">
        <v>1697956</v>
      </c>
    </row>
    <row r="424" customHeight="1" spans="1:2">
      <c r="A424" s="3" t="s">
        <v>10754</v>
      </c>
      <c r="B424" s="4">
        <v>110922614</v>
      </c>
    </row>
    <row r="425" customHeight="1" spans="1:2">
      <c r="A425" s="3" t="s">
        <v>11763</v>
      </c>
      <c r="B425" s="4">
        <v>60057639</v>
      </c>
    </row>
    <row r="426" customHeight="1" spans="1:2">
      <c r="A426" s="3" t="s">
        <v>11557</v>
      </c>
      <c r="B426" s="4">
        <v>100292856</v>
      </c>
    </row>
    <row r="427" customHeight="1" spans="1:2">
      <c r="A427" s="3" t="s">
        <v>15145</v>
      </c>
      <c r="B427" s="4">
        <v>7764027</v>
      </c>
    </row>
    <row r="428" customHeight="1" spans="1:2">
      <c r="A428" s="3" t="s">
        <v>15851</v>
      </c>
      <c r="B428" s="4">
        <v>21564616</v>
      </c>
    </row>
    <row r="429" customHeight="1" spans="1:2">
      <c r="A429" s="3" t="s">
        <v>23453</v>
      </c>
      <c r="B429" s="4">
        <v>140016</v>
      </c>
    </row>
    <row r="430" customHeight="1" spans="1:2">
      <c r="A430" s="3" t="s">
        <v>7615</v>
      </c>
      <c r="B430" s="4"/>
    </row>
    <row r="431" customHeight="1" spans="1:2">
      <c r="A431" s="3" t="s">
        <v>3487</v>
      </c>
      <c r="B431" s="4">
        <v>14294842</v>
      </c>
    </row>
    <row r="432" customHeight="1" spans="1:2">
      <c r="A432" s="3" t="s">
        <v>22092</v>
      </c>
      <c r="B432" s="4">
        <v>102797150</v>
      </c>
    </row>
    <row r="433" customHeight="1" spans="1:2">
      <c r="A433" s="3" t="s">
        <v>15221</v>
      </c>
      <c r="B433" s="4">
        <v>2185266</v>
      </c>
    </row>
    <row r="434" customHeight="1" spans="1:2">
      <c r="A434" s="3" t="s">
        <v>20505</v>
      </c>
      <c r="B434" s="4"/>
    </row>
    <row r="435" customHeight="1" spans="1:2">
      <c r="A435" s="3" t="s">
        <v>7742</v>
      </c>
      <c r="B435" s="4"/>
    </row>
    <row r="436" customHeight="1" spans="1:2">
      <c r="A436" s="3" t="s">
        <v>3127</v>
      </c>
      <c r="B436" s="4">
        <v>41523271</v>
      </c>
    </row>
    <row r="437" customHeight="1" spans="1:2">
      <c r="A437" s="3" t="s">
        <v>11355</v>
      </c>
      <c r="B437" s="4">
        <v>5205343</v>
      </c>
    </row>
    <row r="438" customHeight="1" spans="1:2">
      <c r="A438" s="3" t="s">
        <v>21990</v>
      </c>
      <c r="B438" s="4"/>
    </row>
    <row r="439" customHeight="1" spans="1:2">
      <c r="A439" s="3" t="s">
        <v>24101</v>
      </c>
      <c r="B439" s="4"/>
    </row>
    <row r="440" customHeight="1" spans="1:2">
      <c r="A440" s="3" t="s">
        <v>5965</v>
      </c>
      <c r="B440" s="4">
        <v>15279680</v>
      </c>
    </row>
    <row r="441" customHeight="1" spans="1:2">
      <c r="A441" s="3" t="s">
        <v>22017</v>
      </c>
      <c r="B441" s="4"/>
    </row>
    <row r="442" customHeight="1" spans="1:2">
      <c r="A442" s="3" t="s">
        <v>15857</v>
      </c>
      <c r="B442" s="4"/>
    </row>
    <row r="443" customHeight="1" spans="1:2">
      <c r="A443" s="3" t="s">
        <v>15755</v>
      </c>
      <c r="B443" s="4"/>
    </row>
    <row r="444" customHeight="1" spans="1:2">
      <c r="A444" s="3" t="s">
        <v>11759</v>
      </c>
      <c r="B444" s="4">
        <v>64955956</v>
      </c>
    </row>
    <row r="445" customHeight="1" spans="1:2">
      <c r="A445" s="3" t="s">
        <v>14032</v>
      </c>
      <c r="B445" s="4">
        <v>75074950</v>
      </c>
    </row>
    <row r="446" customHeight="1" spans="1:2">
      <c r="A446" s="3" t="s">
        <v>18178</v>
      </c>
      <c r="B446" s="4"/>
    </row>
    <row r="447" customHeight="1" spans="1:2">
      <c r="A447" s="3" t="s">
        <v>13049</v>
      </c>
      <c r="B447" s="4">
        <v>11144518</v>
      </c>
    </row>
    <row r="448" customHeight="1" spans="1:2">
      <c r="A448" s="3" t="s">
        <v>8641</v>
      </c>
      <c r="B448" s="4">
        <v>7501404</v>
      </c>
    </row>
    <row r="449" customHeight="1" spans="1:2">
      <c r="A449" s="3" t="s">
        <v>4985</v>
      </c>
      <c r="B449" s="4">
        <v>72601713</v>
      </c>
    </row>
    <row r="450" customHeight="1" spans="1:2">
      <c r="A450" s="3" t="s">
        <v>14589</v>
      </c>
      <c r="B450" s="4"/>
    </row>
    <row r="451" customHeight="1" spans="1:2">
      <c r="A451" s="3" t="s">
        <v>19610</v>
      </c>
      <c r="B451" s="4"/>
    </row>
    <row r="452" customHeight="1" spans="1:2">
      <c r="A452" s="3" t="s">
        <v>3521</v>
      </c>
      <c r="B452" s="4">
        <v>5851188</v>
      </c>
    </row>
    <row r="453" customHeight="1" spans="1:2">
      <c r="A453" s="3" t="s">
        <v>5358</v>
      </c>
      <c r="B453" s="4">
        <v>26536120</v>
      </c>
    </row>
    <row r="454" customHeight="1" spans="1:2">
      <c r="A454" s="3" t="s">
        <v>19409</v>
      </c>
      <c r="B454" s="4">
        <v>2961991</v>
      </c>
    </row>
    <row r="455" customHeight="1" spans="1:2">
      <c r="A455" s="3" t="s">
        <v>19977</v>
      </c>
      <c r="B455" s="4"/>
    </row>
    <row r="456" customHeight="1" spans="1:2">
      <c r="A456" s="3" t="s">
        <v>13287</v>
      </c>
      <c r="B456" s="4"/>
    </row>
    <row r="457" customHeight="1" spans="1:2">
      <c r="A457" s="3" t="s">
        <v>1329</v>
      </c>
      <c r="B457" s="4">
        <v>107285004</v>
      </c>
    </row>
    <row r="458" customHeight="1" spans="1:2">
      <c r="A458" s="3" t="s">
        <v>799</v>
      </c>
      <c r="B458" s="4">
        <v>205343774</v>
      </c>
    </row>
    <row r="459" customHeight="1" spans="1:2">
      <c r="A459" s="3" t="s">
        <v>1838</v>
      </c>
      <c r="B459" s="4">
        <v>184031112</v>
      </c>
    </row>
    <row r="460" customHeight="1" spans="1:2">
      <c r="A460" s="3" t="s">
        <v>2550</v>
      </c>
      <c r="B460" s="4">
        <v>162831698</v>
      </c>
    </row>
    <row r="461" customHeight="1" spans="1:2">
      <c r="A461" s="3" t="s">
        <v>116</v>
      </c>
      <c r="B461" s="4">
        <v>330249062</v>
      </c>
    </row>
    <row r="462" customHeight="1" spans="1:2">
      <c r="A462" s="3" t="s">
        <v>7247</v>
      </c>
      <c r="B462" s="4">
        <v>251188924</v>
      </c>
    </row>
    <row r="463" customHeight="1" spans="1:2">
      <c r="A463" s="3" t="s">
        <v>19019</v>
      </c>
      <c r="B463" s="4"/>
    </row>
    <row r="464" customHeight="1" spans="1:2">
      <c r="A464" s="3" t="s">
        <v>21149</v>
      </c>
      <c r="B464" s="4"/>
    </row>
    <row r="465" customHeight="1" spans="1:2">
      <c r="A465" s="3" t="s">
        <v>16896</v>
      </c>
      <c r="B465" s="4">
        <v>10149779</v>
      </c>
    </row>
    <row r="466" customHeight="1" spans="1:2">
      <c r="A466" s="3" t="s">
        <v>20685</v>
      </c>
      <c r="B466" s="4"/>
    </row>
    <row r="467" customHeight="1" spans="1:2">
      <c r="A467" s="3" t="s">
        <v>3383</v>
      </c>
      <c r="B467" s="4">
        <v>83552429</v>
      </c>
    </row>
    <row r="468" customHeight="1" spans="1:2">
      <c r="A468" s="3" t="s">
        <v>11303</v>
      </c>
      <c r="B468" s="4">
        <v>8888355</v>
      </c>
    </row>
    <row r="469" customHeight="1" spans="1:2">
      <c r="A469" s="3" t="s">
        <v>2841</v>
      </c>
      <c r="B469" s="4">
        <v>21471685</v>
      </c>
    </row>
    <row r="470" customHeight="1" spans="1:2">
      <c r="A470" s="3" t="s">
        <v>231</v>
      </c>
      <c r="B470" s="4">
        <v>65173160</v>
      </c>
    </row>
    <row r="471" customHeight="1" spans="1:2">
      <c r="A471" s="3" t="s">
        <v>3092</v>
      </c>
      <c r="B471" s="4">
        <v>55808744</v>
      </c>
    </row>
    <row r="472" customHeight="1" spans="1:2">
      <c r="A472" s="3" t="s">
        <v>11222</v>
      </c>
      <c r="B472" s="4">
        <v>11169531</v>
      </c>
    </row>
    <row r="473" customHeight="1" spans="1:2">
      <c r="A473" s="3" t="s">
        <v>12199</v>
      </c>
      <c r="B473" s="4">
        <v>27854896</v>
      </c>
    </row>
    <row r="474" customHeight="1" spans="1:2">
      <c r="A474" s="3" t="s">
        <v>17220</v>
      </c>
      <c r="B474" s="4">
        <v>869325</v>
      </c>
    </row>
    <row r="475" customHeight="1" spans="1:2">
      <c r="A475" s="3" t="s">
        <v>20680</v>
      </c>
      <c r="B475" s="4">
        <v>12784397</v>
      </c>
    </row>
    <row r="476" customHeight="1" spans="1:2">
      <c r="A476" s="3" t="s">
        <v>5467</v>
      </c>
      <c r="B476" s="4">
        <v>19445217</v>
      </c>
    </row>
    <row r="477" customHeight="1" spans="1:2">
      <c r="A477" s="3" t="s">
        <v>9597</v>
      </c>
      <c r="B477" s="4">
        <v>36310118</v>
      </c>
    </row>
    <row r="478" customHeight="1" spans="1:2">
      <c r="A478" s="3" t="s">
        <v>14064</v>
      </c>
      <c r="B478" s="4">
        <v>63071133</v>
      </c>
    </row>
    <row r="479" customHeight="1" spans="1:2">
      <c r="A479" s="3" t="s">
        <v>6927</v>
      </c>
      <c r="B479" s="4">
        <v>42640890</v>
      </c>
    </row>
    <row r="480" customHeight="1" spans="1:2">
      <c r="A480" s="3" t="s">
        <v>12874</v>
      </c>
      <c r="B480" s="4">
        <v>32645546</v>
      </c>
    </row>
    <row r="481" customHeight="1" spans="1:2">
      <c r="A481" s="3" t="s">
        <v>12363</v>
      </c>
      <c r="B481" s="4">
        <v>18663911</v>
      </c>
    </row>
    <row r="482" customHeight="1" spans="1:2">
      <c r="A482" s="3" t="s">
        <v>5577</v>
      </c>
      <c r="B482" s="4">
        <v>37879996</v>
      </c>
    </row>
    <row r="483" customHeight="1" spans="1:2">
      <c r="A483" s="3" t="s">
        <v>2617</v>
      </c>
      <c r="B483" s="4">
        <v>109993847</v>
      </c>
    </row>
    <row r="484" customHeight="1" spans="1:2">
      <c r="A484" s="3" t="s">
        <v>905</v>
      </c>
      <c r="B484" s="4">
        <v>126597121</v>
      </c>
    </row>
    <row r="485" customHeight="1" spans="1:2">
      <c r="A485" s="3" t="s">
        <v>19762</v>
      </c>
      <c r="B485" s="4">
        <v>475000</v>
      </c>
    </row>
    <row r="486" customHeight="1" spans="1:2">
      <c r="A486" s="3" t="s">
        <v>12168</v>
      </c>
      <c r="B486" s="4">
        <v>19179969</v>
      </c>
    </row>
    <row r="487" customHeight="1" spans="1:2">
      <c r="A487" s="3" t="s">
        <v>12738</v>
      </c>
      <c r="B487" s="4">
        <v>73326666</v>
      </c>
    </row>
    <row r="488" customHeight="1" spans="1:2">
      <c r="A488" s="3" t="s">
        <v>10509</v>
      </c>
      <c r="B488" s="4">
        <v>2963012</v>
      </c>
    </row>
    <row r="489" customHeight="1" spans="1:2">
      <c r="A489" s="3" t="s">
        <v>19326</v>
      </c>
      <c r="B489" s="4">
        <v>8114507</v>
      </c>
    </row>
    <row r="490" customHeight="1" spans="1:2">
      <c r="A490" s="3" t="s">
        <v>19843</v>
      </c>
      <c r="B490" s="4">
        <v>5400000</v>
      </c>
    </row>
    <row r="491" customHeight="1" spans="1:2">
      <c r="A491" s="3" t="s">
        <v>20214</v>
      </c>
      <c r="B491" s="4">
        <v>5792822</v>
      </c>
    </row>
    <row r="492" customHeight="1" spans="1:2">
      <c r="A492" s="3" t="s">
        <v>16195</v>
      </c>
      <c r="B492" s="4">
        <v>16168741</v>
      </c>
    </row>
    <row r="493" customHeight="1" spans="1:2">
      <c r="A493" s="3" t="s">
        <v>19147</v>
      </c>
      <c r="B493" s="4">
        <v>5776314</v>
      </c>
    </row>
    <row r="494" customHeight="1" spans="1:2">
      <c r="A494" s="3" t="s">
        <v>6415</v>
      </c>
      <c r="B494" s="4">
        <v>59068786</v>
      </c>
    </row>
    <row r="495" customHeight="1" spans="1:2">
      <c r="A495" s="3" t="s">
        <v>13754</v>
      </c>
      <c r="B495" s="4">
        <v>22858926</v>
      </c>
    </row>
    <row r="496" customHeight="1" spans="1:2">
      <c r="A496" s="3" t="s">
        <v>11950</v>
      </c>
      <c r="B496" s="4">
        <v>7739049</v>
      </c>
    </row>
    <row r="497" customHeight="1" spans="1:2">
      <c r="A497" s="3" t="s">
        <v>19103</v>
      </c>
      <c r="B497" s="4">
        <v>8108247</v>
      </c>
    </row>
    <row r="498" customHeight="1" spans="1:2">
      <c r="A498" s="3" t="s">
        <v>4912</v>
      </c>
      <c r="B498" s="4">
        <v>22843047</v>
      </c>
    </row>
    <row r="499" customHeight="1" spans="1:2">
      <c r="A499" s="3" t="s">
        <v>21391</v>
      </c>
      <c r="B499" s="4"/>
    </row>
    <row r="500" customHeight="1" spans="1:2">
      <c r="A500" s="3" t="s">
        <v>17350</v>
      </c>
      <c r="B500" s="4">
        <v>32541719</v>
      </c>
    </row>
    <row r="501" customHeight="1" spans="1:2">
      <c r="A501" s="3" t="s">
        <v>23889</v>
      </c>
      <c r="B501" s="4"/>
    </row>
    <row r="502" customHeight="1" spans="1:2">
      <c r="A502" s="3" t="s">
        <v>15816</v>
      </c>
      <c r="B502" s="4"/>
    </row>
    <row r="503" customHeight="1" spans="1:2">
      <c r="A503" s="3" t="s">
        <v>19228</v>
      </c>
      <c r="B503" s="4"/>
    </row>
    <row r="504" customHeight="1" spans="1:2">
      <c r="A504" s="3" t="s">
        <v>2159</v>
      </c>
      <c r="B504" s="4"/>
    </row>
    <row r="505" customHeight="1" spans="1:2">
      <c r="A505" s="3" t="s">
        <v>22495</v>
      </c>
      <c r="B505" s="4">
        <v>39552600</v>
      </c>
    </row>
    <row r="506" customHeight="1" spans="1:2">
      <c r="A506" s="3" t="s">
        <v>990</v>
      </c>
      <c r="B506" s="4">
        <v>82161969</v>
      </c>
    </row>
    <row r="507" customHeight="1" spans="1:2">
      <c r="A507" s="3" t="s">
        <v>17096</v>
      </c>
      <c r="B507" s="4">
        <v>9203192</v>
      </c>
    </row>
    <row r="508" customHeight="1" spans="1:2">
      <c r="A508" s="3" t="s">
        <v>17047</v>
      </c>
      <c r="B508" s="4">
        <v>18621249</v>
      </c>
    </row>
    <row r="509" customHeight="1" spans="1:2">
      <c r="A509" s="3" t="s">
        <v>23163</v>
      </c>
      <c r="B509" s="4">
        <v>3799339</v>
      </c>
    </row>
    <row r="510" customHeight="1" spans="1:2">
      <c r="A510" s="3" t="s">
        <v>10682</v>
      </c>
      <c r="B510" s="4">
        <v>94497271</v>
      </c>
    </row>
    <row r="511" customHeight="1" spans="1:2">
      <c r="A511" s="3" t="s">
        <v>10651</v>
      </c>
      <c r="B511" s="4">
        <v>153665036</v>
      </c>
    </row>
    <row r="512" customHeight="1" spans="1:2">
      <c r="A512" s="3" t="s">
        <v>5249</v>
      </c>
      <c r="B512" s="4">
        <v>42610000</v>
      </c>
    </row>
    <row r="513" customHeight="1" spans="1:2">
      <c r="A513" s="3" t="s">
        <v>12645</v>
      </c>
      <c r="B513" s="4">
        <v>234760500</v>
      </c>
    </row>
    <row r="514" customHeight="1" spans="1:2">
      <c r="A514" s="3" t="s">
        <v>2747</v>
      </c>
      <c r="B514" s="4"/>
    </row>
    <row r="515" customHeight="1" spans="1:2">
      <c r="A515" s="3" t="s">
        <v>4415</v>
      </c>
      <c r="B515" s="4">
        <v>4426297</v>
      </c>
    </row>
    <row r="516" customHeight="1" spans="1:2">
      <c r="A516" s="3" t="s">
        <v>21463</v>
      </c>
      <c r="B516" s="4">
        <v>56129</v>
      </c>
    </row>
    <row r="517" customHeight="1" spans="1:2">
      <c r="A517" s="3" t="s">
        <v>16583</v>
      </c>
      <c r="B517" s="4">
        <v>14612840</v>
      </c>
    </row>
    <row r="518" customHeight="1" spans="1:2">
      <c r="A518" s="3" t="s">
        <v>22540</v>
      </c>
      <c r="B518" s="4">
        <v>2047570</v>
      </c>
    </row>
    <row r="519" customHeight="1" spans="1:2">
      <c r="A519" s="3" t="s">
        <v>10170</v>
      </c>
      <c r="B519" s="4">
        <v>6144806</v>
      </c>
    </row>
    <row r="520" customHeight="1" spans="1:2">
      <c r="A520" s="3" t="s">
        <v>21581</v>
      </c>
      <c r="B520" s="4">
        <v>9000000</v>
      </c>
    </row>
    <row r="521" customHeight="1" spans="1:2">
      <c r="A521" s="3" t="s">
        <v>22321</v>
      </c>
      <c r="B521" s="4"/>
    </row>
    <row r="522" customHeight="1" spans="1:2">
      <c r="A522" s="3" t="s">
        <v>2258</v>
      </c>
      <c r="B522" s="4">
        <v>58220776</v>
      </c>
    </row>
    <row r="523" customHeight="1" spans="1:2">
      <c r="A523" s="3" t="s">
        <v>8090</v>
      </c>
      <c r="B523" s="4">
        <v>163479795</v>
      </c>
    </row>
    <row r="524" customHeight="1" spans="1:2">
      <c r="A524" s="3" t="s">
        <v>15075</v>
      </c>
      <c r="B524" s="4">
        <v>14479776</v>
      </c>
    </row>
    <row r="525" customHeight="1" spans="1:2">
      <c r="A525" s="3" t="s">
        <v>12759</v>
      </c>
      <c r="B525" s="4">
        <v>95622550</v>
      </c>
    </row>
    <row r="526" customHeight="1" spans="1:2">
      <c r="A526" s="3" t="s">
        <v>3387</v>
      </c>
      <c r="B526" s="4">
        <v>66257002</v>
      </c>
    </row>
    <row r="527" customHeight="1" spans="1:2">
      <c r="A527" s="3" t="s">
        <v>617</v>
      </c>
      <c r="B527" s="4">
        <v>222487711</v>
      </c>
    </row>
    <row r="528" customHeight="1" spans="1:2">
      <c r="A528" s="3" t="s">
        <v>6781</v>
      </c>
      <c r="B528" s="4">
        <v>20113965</v>
      </c>
    </row>
    <row r="529" customHeight="1" spans="1:2">
      <c r="A529" s="3" t="s">
        <v>6385</v>
      </c>
      <c r="B529" s="4">
        <v>70163652</v>
      </c>
    </row>
    <row r="530" customHeight="1" spans="1:2">
      <c r="A530" s="3" t="s">
        <v>7821</v>
      </c>
      <c r="B530" s="4">
        <v>117559438</v>
      </c>
    </row>
    <row r="531" customHeight="1" spans="1:2">
      <c r="A531" s="3" t="s">
        <v>7936</v>
      </c>
      <c r="B531" s="4">
        <v>37911876</v>
      </c>
    </row>
    <row r="532" customHeight="1" spans="1:2">
      <c r="A532" s="3" t="s">
        <v>9887</v>
      </c>
      <c r="B532" s="4">
        <v>11100000</v>
      </c>
    </row>
    <row r="533" customHeight="1" spans="1:2">
      <c r="A533" s="3" t="s">
        <v>5970</v>
      </c>
      <c r="B533" s="4">
        <v>7262288</v>
      </c>
    </row>
    <row r="534" customHeight="1" spans="1:2">
      <c r="A534" s="3" t="s">
        <v>11724</v>
      </c>
      <c r="B534" s="4">
        <v>114968774</v>
      </c>
    </row>
    <row r="535" customHeight="1" spans="1:2">
      <c r="A535" s="3" t="s">
        <v>10830</v>
      </c>
      <c r="B535" s="4">
        <v>38037513</v>
      </c>
    </row>
    <row r="536" customHeight="1" spans="1:2">
      <c r="A536" s="3" t="s">
        <v>14842</v>
      </c>
      <c r="B536" s="4">
        <v>40485039</v>
      </c>
    </row>
    <row r="537" customHeight="1" spans="1:2">
      <c r="A537" s="3" t="s">
        <v>17624</v>
      </c>
      <c r="B537" s="4">
        <v>21994911</v>
      </c>
    </row>
    <row r="538" customHeight="1" spans="1:2">
      <c r="A538" s="3" t="s">
        <v>11809</v>
      </c>
      <c r="B538" s="4">
        <v>42335698</v>
      </c>
    </row>
    <row r="539" customHeight="1" spans="1:2">
      <c r="A539" s="3" t="s">
        <v>11359</v>
      </c>
      <c r="B539" s="4">
        <v>5005883</v>
      </c>
    </row>
    <row r="540" customHeight="1" spans="1:2">
      <c r="A540" s="3" t="s">
        <v>13818</v>
      </c>
      <c r="B540" s="4">
        <v>4919896</v>
      </c>
    </row>
    <row r="541" customHeight="1" spans="1:2">
      <c r="A541" s="3" t="s">
        <v>7737</v>
      </c>
      <c r="B541" s="4">
        <v>5100937</v>
      </c>
    </row>
    <row r="542" customHeight="1" spans="1:2">
      <c r="A542" s="3" t="s">
        <v>23128</v>
      </c>
      <c r="B542" s="4"/>
    </row>
    <row r="543" customHeight="1" spans="1:2">
      <c r="A543" s="3" t="s">
        <v>10488</v>
      </c>
      <c r="B543" s="4">
        <v>4398392</v>
      </c>
    </row>
    <row r="544" customHeight="1" spans="1:2">
      <c r="A544" s="3" t="s">
        <v>15665</v>
      </c>
      <c r="B544" s="4">
        <v>16235293</v>
      </c>
    </row>
    <row r="545" customHeight="1" spans="1:2">
      <c r="A545" s="3" t="s">
        <v>1963</v>
      </c>
      <c r="B545" s="4">
        <v>108638745</v>
      </c>
    </row>
    <row r="546" customHeight="1" spans="1:2">
      <c r="A546" s="3" t="s">
        <v>7441</v>
      </c>
      <c r="B546" s="4">
        <v>33422806</v>
      </c>
    </row>
    <row r="547" customHeight="1" spans="1:2">
      <c r="A547" s="3" t="s">
        <v>4895</v>
      </c>
      <c r="B547" s="4">
        <v>62563543</v>
      </c>
    </row>
    <row r="548" customHeight="1" spans="1:2">
      <c r="A548" s="3" t="s">
        <v>12124</v>
      </c>
      <c r="B548" s="4">
        <v>7017178</v>
      </c>
    </row>
    <row r="549" customHeight="1" spans="1:2">
      <c r="A549" s="3" t="s">
        <v>16399</v>
      </c>
      <c r="B549" s="4"/>
    </row>
    <row r="550" customHeight="1" spans="1:2">
      <c r="A550" s="3" t="s">
        <v>15159</v>
      </c>
      <c r="B550" s="4">
        <v>21569041</v>
      </c>
    </row>
    <row r="551" customHeight="1" spans="1:2">
      <c r="A551" s="3" t="s">
        <v>8323</v>
      </c>
      <c r="B551" s="4">
        <v>45645204</v>
      </c>
    </row>
    <row r="552" customHeight="1" spans="1:2">
      <c r="A552" s="3" t="s">
        <v>21969</v>
      </c>
      <c r="B552" s="4"/>
    </row>
    <row r="553" customHeight="1" spans="1:2">
      <c r="A553" s="3" t="s">
        <v>13080</v>
      </c>
      <c r="B553" s="4">
        <v>9396487</v>
      </c>
    </row>
    <row r="554" customHeight="1" spans="1:2">
      <c r="A554" s="3" t="s">
        <v>13653</v>
      </c>
      <c r="B554" s="4">
        <v>106952327</v>
      </c>
    </row>
    <row r="555" customHeight="1" spans="1:2">
      <c r="A555" s="3" t="s">
        <v>7747</v>
      </c>
      <c r="B555" s="4"/>
    </row>
    <row r="556" customHeight="1" spans="1:2">
      <c r="A556" s="3" t="s">
        <v>3509</v>
      </c>
      <c r="B556" s="4">
        <v>7097125</v>
      </c>
    </row>
    <row r="557" customHeight="1" spans="1:2">
      <c r="A557" s="3" t="s">
        <v>18322</v>
      </c>
      <c r="B557" s="4">
        <v>199652</v>
      </c>
    </row>
    <row r="558" customHeight="1" spans="1:2">
      <c r="A558" s="3" t="s">
        <v>4839</v>
      </c>
      <c r="B558" s="4">
        <v>81645152</v>
      </c>
    </row>
    <row r="559" customHeight="1" spans="1:2">
      <c r="A559" s="3" t="s">
        <v>8961</v>
      </c>
      <c r="B559" s="4">
        <v>27000000</v>
      </c>
    </row>
    <row r="560" customHeight="1" spans="1:2">
      <c r="A560" s="3" t="s">
        <v>5767</v>
      </c>
      <c r="B560" s="4">
        <v>70001065</v>
      </c>
    </row>
    <row r="561" customHeight="1" spans="1:2">
      <c r="A561" s="3" t="s">
        <v>3753</v>
      </c>
      <c r="B561" s="4">
        <v>52397389</v>
      </c>
    </row>
    <row r="562" customHeight="1" spans="1:2">
      <c r="A562" s="3" t="s">
        <v>3915</v>
      </c>
      <c r="B562" s="4">
        <v>118153533</v>
      </c>
    </row>
    <row r="563" customHeight="1" spans="1:2">
      <c r="A563" s="3" t="s">
        <v>7502</v>
      </c>
      <c r="B563" s="4">
        <v>26494611</v>
      </c>
    </row>
    <row r="564" customHeight="1" spans="1:2">
      <c r="A564" s="3" t="s">
        <v>19741</v>
      </c>
      <c r="B564" s="4">
        <v>119500000</v>
      </c>
    </row>
    <row r="565" customHeight="1" spans="1:2">
      <c r="A565" s="3" t="s">
        <v>22284</v>
      </c>
      <c r="B565" s="4"/>
    </row>
    <row r="566" customHeight="1" spans="1:2">
      <c r="A566" s="3" t="s">
        <v>21420</v>
      </c>
      <c r="B566" s="4"/>
    </row>
    <row r="567" customHeight="1" spans="1:2">
      <c r="A567" s="3" t="s">
        <v>5841</v>
      </c>
      <c r="B567" s="4">
        <v>46280507</v>
      </c>
    </row>
    <row r="568" customHeight="1" spans="1:2">
      <c r="A568" s="3" t="s">
        <v>6651</v>
      </c>
      <c r="B568" s="4">
        <v>29374178</v>
      </c>
    </row>
    <row r="569" customHeight="1" spans="1:2">
      <c r="A569" s="3" t="s">
        <v>9982</v>
      </c>
      <c r="B569" s="4">
        <v>3073392</v>
      </c>
    </row>
    <row r="570" customHeight="1" spans="1:2">
      <c r="A570" s="3" t="s">
        <v>15415</v>
      </c>
      <c r="B570" s="4">
        <v>5561</v>
      </c>
    </row>
    <row r="571" customHeight="1" spans="1:2">
      <c r="A571" s="3" t="s">
        <v>13168</v>
      </c>
      <c r="B571" s="4">
        <v>3525161</v>
      </c>
    </row>
    <row r="572" customHeight="1" spans="1:2">
      <c r="A572" s="3" t="s">
        <v>9335</v>
      </c>
      <c r="B572" s="4">
        <v>1075288</v>
      </c>
    </row>
    <row r="573" customHeight="1" spans="1:2">
      <c r="A573" s="3" t="s">
        <v>1829</v>
      </c>
      <c r="B573" s="4">
        <v>57366262</v>
      </c>
    </row>
    <row r="574" customHeight="1" spans="1:2">
      <c r="A574" s="3" t="s">
        <v>15368</v>
      </c>
      <c r="B574" s="4">
        <v>82739</v>
      </c>
    </row>
    <row r="575" customHeight="1" spans="1:2">
      <c r="A575" s="3" t="s">
        <v>7705</v>
      </c>
      <c r="B575" s="4">
        <v>4496583</v>
      </c>
    </row>
    <row r="576" customHeight="1" spans="1:2">
      <c r="A576" s="3" t="s">
        <v>9648</v>
      </c>
      <c r="B576" s="4">
        <v>41229</v>
      </c>
    </row>
    <row r="577" customHeight="1" spans="1:2">
      <c r="A577" s="3" t="s">
        <v>5362</v>
      </c>
      <c r="B577" s="4">
        <v>26199517</v>
      </c>
    </row>
    <row r="578" customHeight="1" spans="1:2">
      <c r="A578" s="3" t="s">
        <v>9987</v>
      </c>
      <c r="B578" s="4">
        <v>1550000</v>
      </c>
    </row>
    <row r="579" customHeight="1" spans="1:2">
      <c r="A579" s="3" t="s">
        <v>20887</v>
      </c>
      <c r="B579" s="4">
        <v>11806119</v>
      </c>
    </row>
    <row r="580" customHeight="1" spans="1:2">
      <c r="A580" s="3" t="s">
        <v>22772</v>
      </c>
      <c r="B580" s="4">
        <v>768045</v>
      </c>
    </row>
    <row r="581" customHeight="1" spans="1:2">
      <c r="A581" s="3" t="s">
        <v>11924</v>
      </c>
      <c r="B581" s="4"/>
    </row>
    <row r="582" customHeight="1" spans="1:2">
      <c r="A582" s="3" t="s">
        <v>8267</v>
      </c>
      <c r="B582" s="4">
        <v>52937130</v>
      </c>
    </row>
    <row r="583" customHeight="1" spans="1:2">
      <c r="A583" s="3" t="s">
        <v>21721</v>
      </c>
      <c r="B583" s="4">
        <v>464126</v>
      </c>
    </row>
    <row r="584" customHeight="1" spans="1:2">
      <c r="A584" s="3" t="s">
        <v>8366</v>
      </c>
      <c r="B584" s="4">
        <v>40118420</v>
      </c>
    </row>
    <row r="585" customHeight="1" spans="1:2">
      <c r="A585" s="3" t="s">
        <v>11813</v>
      </c>
      <c r="B585" s="4">
        <v>33404871</v>
      </c>
    </row>
    <row r="586" customHeight="1" spans="1:2">
      <c r="A586" s="3" t="s">
        <v>21343</v>
      </c>
      <c r="B586" s="4">
        <v>594904</v>
      </c>
    </row>
    <row r="587" customHeight="1" spans="1:2">
      <c r="A587" s="3" t="s">
        <v>22834</v>
      </c>
      <c r="B587" s="4">
        <v>258113</v>
      </c>
    </row>
    <row r="588" customHeight="1" spans="1:2">
      <c r="A588" s="3" t="s">
        <v>7157</v>
      </c>
      <c r="B588" s="4">
        <v>68208190</v>
      </c>
    </row>
    <row r="589" customHeight="1" spans="1:2">
      <c r="A589" s="3" t="s">
        <v>21565</v>
      </c>
      <c r="B589" s="4">
        <v>9701559</v>
      </c>
    </row>
    <row r="590" customHeight="1" spans="1:2">
      <c r="A590" s="3" t="s">
        <v>13099</v>
      </c>
      <c r="B590" s="4">
        <v>8586376</v>
      </c>
    </row>
    <row r="591" customHeight="1" spans="1:2">
      <c r="A591" s="3" t="s">
        <v>12293</v>
      </c>
      <c r="B591" s="4">
        <v>2694071</v>
      </c>
    </row>
    <row r="592" customHeight="1" spans="1:2">
      <c r="A592" s="3" t="s">
        <v>13491</v>
      </c>
      <c r="B592" s="4">
        <v>11204499</v>
      </c>
    </row>
    <row r="593" customHeight="1" spans="1:2">
      <c r="A593" s="3" t="s">
        <v>15084</v>
      </c>
      <c r="B593" s="4"/>
    </row>
    <row r="594" customHeight="1" spans="1:2">
      <c r="A594" s="3" t="s">
        <v>3595</v>
      </c>
      <c r="B594" s="4">
        <v>39380442</v>
      </c>
    </row>
    <row r="595" customHeight="1" spans="1:2">
      <c r="A595" s="3" t="s">
        <v>10317</v>
      </c>
      <c r="B595" s="4"/>
    </row>
    <row r="596" customHeight="1" spans="1:2">
      <c r="A596" s="3" t="s">
        <v>8004</v>
      </c>
      <c r="B596" s="4">
        <v>4357000</v>
      </c>
    </row>
    <row r="597" customHeight="1" spans="1:2">
      <c r="A597" s="3" t="s">
        <v>15656</v>
      </c>
      <c r="B597" s="4">
        <v>16938179</v>
      </c>
    </row>
    <row r="598" customHeight="1" spans="1:2">
      <c r="A598" s="3" t="s">
        <v>866</v>
      </c>
      <c r="B598" s="4">
        <v>114053579</v>
      </c>
    </row>
    <row r="599" customHeight="1" spans="1:2">
      <c r="A599" s="3" t="s">
        <v>16089</v>
      </c>
      <c r="B599" s="4"/>
    </row>
    <row r="600" customHeight="1" spans="1:2">
      <c r="A600" s="3" t="s">
        <v>11398</v>
      </c>
      <c r="B600" s="4">
        <v>2353728</v>
      </c>
    </row>
    <row r="601" customHeight="1" spans="1:2">
      <c r="A601" s="3" t="s">
        <v>15112</v>
      </c>
      <c r="B601" s="4"/>
    </row>
    <row r="602" customHeight="1" spans="1:2">
      <c r="A602" s="3" t="s">
        <v>10779</v>
      </c>
      <c r="B602" s="4">
        <v>46363118</v>
      </c>
    </row>
    <row r="603" customHeight="1" spans="1:2">
      <c r="A603" s="3" t="s">
        <v>12917</v>
      </c>
      <c r="B603" s="4">
        <v>26384919</v>
      </c>
    </row>
    <row r="604" customHeight="1" spans="1:2">
      <c r="A604" s="3" t="s">
        <v>12894</v>
      </c>
      <c r="B604" s="4">
        <v>26421314</v>
      </c>
    </row>
    <row r="605" customHeight="1" spans="1:2">
      <c r="A605" s="3" t="s">
        <v>20192</v>
      </c>
      <c r="B605" s="4"/>
    </row>
    <row r="606" customHeight="1" spans="1:2">
      <c r="A606" s="3" t="s">
        <v>6105</v>
      </c>
      <c r="B606" s="4">
        <v>70100000</v>
      </c>
    </row>
    <row r="607" customHeight="1" spans="1:2">
      <c r="A607" s="3" t="s">
        <v>11730</v>
      </c>
      <c r="B607" s="4">
        <v>128505958</v>
      </c>
    </row>
    <row r="608" customHeight="1" spans="1:2">
      <c r="A608" s="3" t="s">
        <v>18077</v>
      </c>
      <c r="B608" s="4"/>
    </row>
    <row r="609" customHeight="1" spans="1:2">
      <c r="A609" s="3" t="s">
        <v>13380</v>
      </c>
      <c r="B609" s="4">
        <v>70001698</v>
      </c>
    </row>
    <row r="610" customHeight="1" spans="1:2">
      <c r="A610" s="3" t="s">
        <v>22752</v>
      </c>
      <c r="B610" s="4">
        <v>21199</v>
      </c>
    </row>
    <row r="611" customHeight="1" spans="1:2">
      <c r="A611" s="3" t="s">
        <v>17941</v>
      </c>
      <c r="B611" s="4">
        <v>1040879</v>
      </c>
    </row>
    <row r="612" customHeight="1" spans="1:2">
      <c r="A612" s="3" t="s">
        <v>17875</v>
      </c>
      <c r="B612" s="4">
        <v>4040588</v>
      </c>
    </row>
    <row r="613" customHeight="1" spans="1:2">
      <c r="A613" s="3" t="s">
        <v>18241</v>
      </c>
      <c r="B613" s="4">
        <v>3798532</v>
      </c>
    </row>
    <row r="614" customHeight="1" spans="1:2">
      <c r="A614" s="3" t="s">
        <v>4653</v>
      </c>
      <c r="B614" s="4">
        <v>66365290</v>
      </c>
    </row>
    <row r="615" customHeight="1" spans="1:2">
      <c r="A615" s="3" t="s">
        <v>19189</v>
      </c>
      <c r="B615" s="4">
        <v>21244913</v>
      </c>
    </row>
    <row r="616" customHeight="1" spans="1:2">
      <c r="A616" s="3" t="s">
        <v>18511</v>
      </c>
      <c r="B616" s="4">
        <v>25359200</v>
      </c>
    </row>
    <row r="617" customHeight="1" spans="1:2">
      <c r="A617" s="3" t="s">
        <v>19629</v>
      </c>
      <c r="B617" s="4">
        <v>3123749</v>
      </c>
    </row>
    <row r="618" customHeight="1" spans="1:2">
      <c r="A618" s="3" t="s">
        <v>12477</v>
      </c>
      <c r="B618" s="4">
        <v>20627372</v>
      </c>
    </row>
    <row r="619" customHeight="1" spans="1:2">
      <c r="A619" s="3" t="s">
        <v>20166</v>
      </c>
      <c r="B619" s="4">
        <v>11533945</v>
      </c>
    </row>
    <row r="620" customHeight="1" spans="1:2">
      <c r="A620" s="3" t="s">
        <v>16857</v>
      </c>
      <c r="B620" s="4">
        <v>57504069</v>
      </c>
    </row>
    <row r="621" customHeight="1" spans="1:2">
      <c r="A621" s="3" t="s">
        <v>19484</v>
      </c>
      <c r="B621" s="4"/>
    </row>
    <row r="622" customHeight="1" spans="1:2">
      <c r="A622" s="3" t="s">
        <v>6324</v>
      </c>
      <c r="B622" s="4">
        <v>82522790</v>
      </c>
    </row>
    <row r="623" customHeight="1" spans="1:2">
      <c r="A623" s="3" t="s">
        <v>16851</v>
      </c>
      <c r="B623" s="4">
        <v>110029</v>
      </c>
    </row>
    <row r="624" customHeight="1" spans="1:2">
      <c r="A624" s="3" t="s">
        <v>19489</v>
      </c>
      <c r="B624" s="4"/>
    </row>
    <row r="625" customHeight="1" spans="1:2">
      <c r="A625" s="3" t="s">
        <v>406</v>
      </c>
      <c r="B625" s="4">
        <v>237282182</v>
      </c>
    </row>
    <row r="626" customHeight="1" spans="1:2">
      <c r="A626" s="3" t="s">
        <v>3245</v>
      </c>
      <c r="B626" s="4">
        <v>75600000</v>
      </c>
    </row>
    <row r="627" customHeight="1" spans="1:2">
      <c r="A627" s="3" t="s">
        <v>13063</v>
      </c>
      <c r="B627" s="4">
        <v>9929000</v>
      </c>
    </row>
    <row r="628" customHeight="1" spans="1:2">
      <c r="A628" s="3" t="s">
        <v>7172</v>
      </c>
      <c r="B628" s="4">
        <v>50129186</v>
      </c>
    </row>
    <row r="629" customHeight="1" spans="1:2">
      <c r="A629" s="3" t="s">
        <v>14397</v>
      </c>
      <c r="B629" s="4">
        <v>175370</v>
      </c>
    </row>
    <row r="630" customHeight="1" spans="1:2">
      <c r="A630" s="3" t="s">
        <v>15670</v>
      </c>
      <c r="B630" s="4">
        <v>11827301</v>
      </c>
    </row>
    <row r="631" customHeight="1" spans="1:2">
      <c r="A631" s="3" t="s">
        <v>24047</v>
      </c>
      <c r="B631" s="4">
        <v>76382</v>
      </c>
    </row>
    <row r="632" customHeight="1" spans="1:2">
      <c r="A632" s="3" t="s">
        <v>19867</v>
      </c>
      <c r="B632" s="4">
        <v>1094998</v>
      </c>
    </row>
    <row r="633" customHeight="1" spans="1:2">
      <c r="A633" s="3" t="s">
        <v>9045</v>
      </c>
      <c r="B633" s="4">
        <v>20285518</v>
      </c>
    </row>
    <row r="634" customHeight="1" spans="1:2">
      <c r="A634" s="3" t="s">
        <v>16601</v>
      </c>
      <c r="B634" s="4">
        <v>6601079</v>
      </c>
    </row>
    <row r="635" customHeight="1" spans="1:2">
      <c r="A635" s="3" t="s">
        <v>9665</v>
      </c>
      <c r="B635" s="4">
        <v>32368960</v>
      </c>
    </row>
    <row r="636" customHeight="1" spans="1:2">
      <c r="A636" s="3" t="s">
        <v>8244</v>
      </c>
      <c r="B636" s="4">
        <v>58715510</v>
      </c>
    </row>
    <row r="637" customHeight="1" spans="1:2">
      <c r="A637" s="3" t="s">
        <v>7914</v>
      </c>
      <c r="B637" s="4">
        <v>169076745</v>
      </c>
    </row>
    <row r="638" customHeight="1" spans="1:2">
      <c r="A638" s="3" t="s">
        <v>6410</v>
      </c>
      <c r="B638" s="4">
        <v>72306065</v>
      </c>
    </row>
    <row r="639" customHeight="1" spans="1:2">
      <c r="A639" s="3" t="s">
        <v>9510</v>
      </c>
      <c r="B639" s="4">
        <v>82234139</v>
      </c>
    </row>
    <row r="640" customHeight="1" spans="1:2">
      <c r="A640" s="3" t="s">
        <v>5271</v>
      </c>
      <c r="B640" s="4">
        <v>40203020</v>
      </c>
    </row>
    <row r="641" customHeight="1" spans="1:2">
      <c r="A641" s="3" t="s">
        <v>9463</v>
      </c>
      <c r="B641" s="4">
        <v>71500556</v>
      </c>
    </row>
    <row r="642" customHeight="1" spans="1:2">
      <c r="A642" s="3" t="s">
        <v>21700</v>
      </c>
      <c r="B642" s="4">
        <v>798341</v>
      </c>
    </row>
    <row r="643" customHeight="1" spans="1:2">
      <c r="A643" s="3" t="s">
        <v>9787</v>
      </c>
      <c r="B643" s="4">
        <v>16118077</v>
      </c>
    </row>
    <row r="644" customHeight="1" spans="1:2">
      <c r="A644" s="3" t="s">
        <v>15895</v>
      </c>
      <c r="B644" s="4">
        <v>4440055</v>
      </c>
    </row>
    <row r="645" customHeight="1" spans="1:2">
      <c r="A645" s="3" t="s">
        <v>14678</v>
      </c>
      <c r="B645" s="4"/>
    </row>
    <row r="646" customHeight="1" spans="1:2">
      <c r="A646" s="3" t="s">
        <v>14797</v>
      </c>
      <c r="B646" s="4">
        <v>68353550</v>
      </c>
    </row>
    <row r="647" customHeight="1" spans="1:2">
      <c r="A647" s="3" t="s">
        <v>10656</v>
      </c>
      <c r="B647" s="4">
        <v>132541238</v>
      </c>
    </row>
    <row r="648" customHeight="1" spans="1:2">
      <c r="A648" s="3" t="s">
        <v>7991</v>
      </c>
      <c r="B648" s="4">
        <v>16640210</v>
      </c>
    </row>
    <row r="649" customHeight="1" spans="1:2">
      <c r="A649" s="3" t="s">
        <v>13587</v>
      </c>
      <c r="B649" s="4">
        <v>83025853</v>
      </c>
    </row>
    <row r="650" customHeight="1" spans="1:2">
      <c r="A650" s="3" t="s">
        <v>9919</v>
      </c>
      <c r="B650" s="4">
        <v>10114315</v>
      </c>
    </row>
    <row r="651" customHeight="1" spans="1:2">
      <c r="A651" s="3" t="s">
        <v>3707</v>
      </c>
      <c r="B651" s="4">
        <v>70450000</v>
      </c>
    </row>
    <row r="652" customHeight="1" spans="1:2">
      <c r="A652" s="3" t="s">
        <v>7576</v>
      </c>
      <c r="B652" s="4">
        <v>19692608</v>
      </c>
    </row>
    <row r="653" customHeight="1" spans="1:2">
      <c r="A653" s="3" t="s">
        <v>13378</v>
      </c>
      <c r="B653" s="4"/>
    </row>
    <row r="654" customHeight="1" spans="1:2">
      <c r="A654" s="3" t="s">
        <v>22418</v>
      </c>
      <c r="B654" s="4">
        <v>13493</v>
      </c>
    </row>
    <row r="655" customHeight="1" spans="1:2">
      <c r="A655" s="3" t="s">
        <v>23339</v>
      </c>
      <c r="B655" s="4">
        <v>104792</v>
      </c>
    </row>
    <row r="656" customHeight="1" spans="1:2">
      <c r="A656" s="3" t="s">
        <v>16205</v>
      </c>
      <c r="B656" s="4">
        <v>398420</v>
      </c>
    </row>
    <row r="657" customHeight="1" spans="1:2">
      <c r="A657" s="3" t="s">
        <v>14584</v>
      </c>
      <c r="B657" s="4">
        <v>38317535</v>
      </c>
    </row>
    <row r="658" customHeight="1" spans="1:2">
      <c r="A658" s="3" t="s">
        <v>12253</v>
      </c>
      <c r="B658" s="4">
        <v>27154426</v>
      </c>
    </row>
    <row r="659" customHeight="1" spans="1:2">
      <c r="A659" s="3" t="s">
        <v>14368</v>
      </c>
      <c r="B659" s="4">
        <v>447750</v>
      </c>
    </row>
    <row r="660" customHeight="1" spans="1:2">
      <c r="A660" s="3" t="s">
        <v>20654</v>
      </c>
      <c r="B660" s="4">
        <v>444044</v>
      </c>
    </row>
    <row r="661" customHeight="1" spans="1:2">
      <c r="A661" s="3" t="s">
        <v>9303</v>
      </c>
      <c r="B661" s="4">
        <v>57003302</v>
      </c>
    </row>
    <row r="662" customHeight="1" spans="1:2">
      <c r="A662" s="3" t="s">
        <v>16008</v>
      </c>
      <c r="B662" s="4">
        <v>27362712</v>
      </c>
    </row>
    <row r="663" customHeight="1" spans="1:2">
      <c r="A663" s="3" t="s">
        <v>2529</v>
      </c>
      <c r="B663" s="4">
        <v>242589580</v>
      </c>
    </row>
    <row r="664" customHeight="1" spans="1:2">
      <c r="A664" s="3" t="s">
        <v>6140</v>
      </c>
      <c r="B664" s="4">
        <v>59992760</v>
      </c>
    </row>
    <row r="665" customHeight="1" spans="1:2">
      <c r="A665" s="3" t="s">
        <v>21688</v>
      </c>
      <c r="B665" s="4"/>
    </row>
    <row r="666" customHeight="1" spans="1:2">
      <c r="A666" s="3" t="s">
        <v>13814</v>
      </c>
      <c r="B666" s="4">
        <v>5002310</v>
      </c>
    </row>
    <row r="667" customHeight="1" spans="1:2">
      <c r="A667" s="3" t="s">
        <v>15217</v>
      </c>
      <c r="B667" s="4">
        <v>2331318</v>
      </c>
    </row>
    <row r="668" customHeight="1" spans="1:2">
      <c r="A668" s="3" t="s">
        <v>18664</v>
      </c>
      <c r="B668" s="4">
        <v>100412</v>
      </c>
    </row>
    <row r="669" customHeight="1" spans="1:2">
      <c r="A669" s="3" t="s">
        <v>20925</v>
      </c>
      <c r="B669" s="4">
        <v>2365931</v>
      </c>
    </row>
    <row r="670" customHeight="1" spans="1:2">
      <c r="A670" s="3" t="s">
        <v>13230</v>
      </c>
      <c r="B670" s="4">
        <v>353743</v>
      </c>
    </row>
    <row r="671" customHeight="1" spans="1:2">
      <c r="A671" s="3" t="s">
        <v>16548</v>
      </c>
      <c r="B671" s="4"/>
    </row>
    <row r="672" customHeight="1" spans="1:2">
      <c r="A672" s="3" t="s">
        <v>4848</v>
      </c>
      <c r="B672" s="4">
        <v>9483821</v>
      </c>
    </row>
    <row r="673" customHeight="1" spans="1:2">
      <c r="A673" s="3" t="s">
        <v>4975</v>
      </c>
      <c r="B673" s="4">
        <v>23020488</v>
      </c>
    </row>
    <row r="674" customHeight="1" spans="1:2">
      <c r="A674" s="3" t="s">
        <v>11181</v>
      </c>
      <c r="B674" s="4">
        <v>13383737</v>
      </c>
    </row>
    <row r="675" customHeight="1" spans="1:2">
      <c r="A675" s="3" t="s">
        <v>20075</v>
      </c>
      <c r="B675" s="4">
        <v>510092</v>
      </c>
    </row>
    <row r="676" customHeight="1" spans="1:2">
      <c r="A676" s="3" t="s">
        <v>8469</v>
      </c>
      <c r="B676" s="4">
        <v>26525834</v>
      </c>
    </row>
    <row r="677" customHeight="1" spans="1:2">
      <c r="A677" s="3" t="s">
        <v>20614</v>
      </c>
      <c r="B677" s="4">
        <v>1028658</v>
      </c>
    </row>
    <row r="678" customHeight="1" spans="1:2">
      <c r="A678" s="3" t="s">
        <v>4814</v>
      </c>
      <c r="B678" s="4">
        <v>39440655</v>
      </c>
    </row>
    <row r="679" customHeight="1" spans="1:2">
      <c r="A679" s="3" t="s">
        <v>7115</v>
      </c>
      <c r="B679" s="4">
        <v>60338891</v>
      </c>
    </row>
    <row r="680" customHeight="1" spans="1:2">
      <c r="A680" s="3" t="s">
        <v>23354</v>
      </c>
      <c r="B680" s="4">
        <v>111300</v>
      </c>
    </row>
    <row r="681" customHeight="1" spans="1:2">
      <c r="A681" s="3" t="s">
        <v>11244</v>
      </c>
      <c r="B681" s="4">
        <v>13650738</v>
      </c>
    </row>
    <row r="682" customHeight="1" spans="1:2">
      <c r="A682" s="3" t="s">
        <v>21312</v>
      </c>
      <c r="B682" s="4">
        <v>2199853</v>
      </c>
    </row>
    <row r="683" customHeight="1" spans="1:2">
      <c r="A683" s="3" t="s">
        <v>16991</v>
      </c>
      <c r="B683" s="4">
        <v>102308900</v>
      </c>
    </row>
    <row r="684" customHeight="1" spans="1:2">
      <c r="A684" s="3" t="s">
        <v>23542</v>
      </c>
      <c r="B684" s="4"/>
    </row>
    <row r="685" customHeight="1" spans="1:2">
      <c r="A685" s="3" t="s">
        <v>23296</v>
      </c>
      <c r="B685" s="4"/>
    </row>
    <row r="686" customHeight="1" spans="1:2">
      <c r="A686" s="3" t="s">
        <v>11439</v>
      </c>
      <c r="B686" s="4">
        <v>531009</v>
      </c>
    </row>
    <row r="687" customHeight="1" spans="1:2">
      <c r="A687" s="3" t="s">
        <v>21244</v>
      </c>
      <c r="B687" s="4"/>
    </row>
    <row r="688" customHeight="1" spans="1:2">
      <c r="A688" s="3" t="s">
        <v>16734</v>
      </c>
      <c r="B688" s="4">
        <v>46451</v>
      </c>
    </row>
    <row r="689" customHeight="1" spans="1:2">
      <c r="A689" s="3" t="s">
        <v>20877</v>
      </c>
      <c r="B689" s="4"/>
    </row>
    <row r="690" customHeight="1" spans="1:2">
      <c r="A690" s="3" t="s">
        <v>17012</v>
      </c>
      <c r="B690" s="4">
        <v>39800000</v>
      </c>
    </row>
    <row r="691" customHeight="1" spans="1:2">
      <c r="A691" s="3" t="s">
        <v>14265</v>
      </c>
      <c r="B691" s="4">
        <v>8134217</v>
      </c>
    </row>
    <row r="692" customHeight="1" spans="1:2">
      <c r="A692" s="3" t="s">
        <v>23433</v>
      </c>
      <c r="B692" s="4">
        <v>215185</v>
      </c>
    </row>
    <row r="693" customHeight="1" spans="1:2">
      <c r="A693" s="3" t="s">
        <v>18167</v>
      </c>
      <c r="B693" s="4"/>
    </row>
    <row r="694" customHeight="1" spans="1:2">
      <c r="A694" s="3" t="s">
        <v>14926</v>
      </c>
      <c r="B694" s="4">
        <v>25339117</v>
      </c>
    </row>
    <row r="695" customHeight="1" spans="1:2">
      <c r="A695" s="3" t="s">
        <v>11405</v>
      </c>
      <c r="B695" s="4">
        <v>2000000</v>
      </c>
    </row>
    <row r="696" customHeight="1" spans="1:2">
      <c r="A696" s="3" t="s">
        <v>7292</v>
      </c>
      <c r="B696" s="4">
        <v>79100000</v>
      </c>
    </row>
    <row r="697" customHeight="1" spans="1:2">
      <c r="A697" s="3" t="s">
        <v>11141</v>
      </c>
      <c r="B697" s="4">
        <v>14359793</v>
      </c>
    </row>
    <row r="698" customHeight="1" spans="1:2">
      <c r="A698" s="3" t="s">
        <v>16501</v>
      </c>
      <c r="B698" s="4">
        <v>28747570</v>
      </c>
    </row>
    <row r="699" customHeight="1" spans="1:2">
      <c r="A699" s="3" t="s">
        <v>18081</v>
      </c>
      <c r="B699" s="4"/>
    </row>
    <row r="700" customHeight="1" spans="1:2">
      <c r="A700" s="3" t="s">
        <v>9041</v>
      </c>
      <c r="B700" s="4"/>
    </row>
    <row r="701" customHeight="1" spans="1:2">
      <c r="A701" s="3" t="s">
        <v>223</v>
      </c>
      <c r="B701" s="4">
        <v>407197282</v>
      </c>
    </row>
    <row r="702" customHeight="1" spans="1:2">
      <c r="A702" s="3" t="s">
        <v>1089</v>
      </c>
      <c r="B702" s="4">
        <v>176636816</v>
      </c>
    </row>
    <row r="703" customHeight="1" spans="1:2">
      <c r="A703" s="3" t="s">
        <v>595</v>
      </c>
      <c r="B703" s="4">
        <v>259746958</v>
      </c>
    </row>
    <row r="704" customHeight="1" spans="1:2">
      <c r="A704" s="3" t="s">
        <v>4542</v>
      </c>
      <c r="B704" s="4">
        <v>25528495</v>
      </c>
    </row>
    <row r="705" customHeight="1" spans="1:2">
      <c r="A705" s="3" t="s">
        <v>4606</v>
      </c>
      <c r="B705" s="4">
        <v>107100855</v>
      </c>
    </row>
    <row r="706" customHeight="1" spans="1:2">
      <c r="A706" s="3" t="s">
        <v>20274</v>
      </c>
      <c r="B706" s="4">
        <v>2557668</v>
      </c>
    </row>
    <row r="707" customHeight="1" spans="1:2">
      <c r="A707" s="3" t="s">
        <v>20839</v>
      </c>
      <c r="B707" s="4">
        <v>1060591</v>
      </c>
    </row>
    <row r="708" customHeight="1" spans="1:2">
      <c r="A708" s="3" t="s">
        <v>13545</v>
      </c>
      <c r="B708" s="4">
        <v>1000000</v>
      </c>
    </row>
    <row r="709" customHeight="1" spans="1:2">
      <c r="A709" s="3" t="s">
        <v>18398</v>
      </c>
      <c r="B709" s="4"/>
    </row>
    <row r="710" customHeight="1" spans="1:2">
      <c r="A710" s="3" t="s">
        <v>12051</v>
      </c>
      <c r="B710" s="4">
        <v>145118</v>
      </c>
    </row>
    <row r="711" customHeight="1" spans="1:2">
      <c r="A711" s="3" t="s">
        <v>9991</v>
      </c>
      <c r="B711" s="4"/>
    </row>
    <row r="712" customHeight="1" spans="1:2">
      <c r="A712" s="3" t="s">
        <v>8419</v>
      </c>
      <c r="B712" s="4">
        <v>70533238</v>
      </c>
    </row>
    <row r="713" customHeight="1" spans="1:2">
      <c r="A713" s="3" t="s">
        <v>3174</v>
      </c>
      <c r="B713" s="4">
        <v>90820</v>
      </c>
    </row>
    <row r="714" customHeight="1" spans="1:2">
      <c r="A714" s="3" t="s">
        <v>311</v>
      </c>
      <c r="B714" s="4">
        <v>191450875</v>
      </c>
    </row>
    <row r="715" customHeight="1" spans="1:2">
      <c r="A715" s="3" t="s">
        <v>3301</v>
      </c>
      <c r="B715" s="4">
        <v>244052771</v>
      </c>
    </row>
    <row r="716" customHeight="1" spans="1:2">
      <c r="A716" s="3" t="s">
        <v>17119</v>
      </c>
      <c r="B716" s="4">
        <v>5895238</v>
      </c>
    </row>
    <row r="717" customHeight="1" spans="1:2">
      <c r="A717" s="3" t="s">
        <v>21485</v>
      </c>
      <c r="B717" s="4"/>
    </row>
    <row r="718" customHeight="1" spans="1:2">
      <c r="A718" s="3" t="s">
        <v>9170</v>
      </c>
      <c r="B718" s="4">
        <v>13248477</v>
      </c>
    </row>
    <row r="719" customHeight="1" spans="1:2">
      <c r="A719" s="3" t="s">
        <v>13989</v>
      </c>
      <c r="B719" s="4">
        <v>1039869</v>
      </c>
    </row>
    <row r="720" customHeight="1" spans="1:2">
      <c r="A720" s="3" t="s">
        <v>1709</v>
      </c>
      <c r="B720" s="4">
        <v>334014368</v>
      </c>
    </row>
    <row r="721" customHeight="1" spans="1:2">
      <c r="A721" s="3" t="s">
        <v>4963</v>
      </c>
      <c r="B721" s="4">
        <v>42438300</v>
      </c>
    </row>
    <row r="722" customHeight="1" spans="1:2">
      <c r="A722" s="3" t="s">
        <v>4613</v>
      </c>
      <c r="B722" s="4">
        <v>100328194</v>
      </c>
    </row>
    <row r="723" customHeight="1" spans="1:2">
      <c r="A723" s="3" t="s">
        <v>2311</v>
      </c>
      <c r="B723" s="4">
        <v>233630478</v>
      </c>
    </row>
    <row r="724" customHeight="1" spans="1:2">
      <c r="A724" s="3" t="s">
        <v>19221</v>
      </c>
      <c r="B724" s="4"/>
    </row>
    <row r="725" customHeight="1" spans="1:2">
      <c r="A725" s="3" t="s">
        <v>13942</v>
      </c>
      <c r="B725" s="4"/>
    </row>
    <row r="726" customHeight="1" spans="1:2">
      <c r="A726" s="3" t="s">
        <v>13525</v>
      </c>
      <c r="B726" s="4">
        <v>4291965</v>
      </c>
    </row>
    <row r="727" customHeight="1" spans="1:2">
      <c r="A727" s="3" t="s">
        <v>4921</v>
      </c>
      <c r="B727" s="4">
        <v>164435221</v>
      </c>
    </row>
    <row r="728" customHeight="1" spans="1:2">
      <c r="A728" s="3" t="s">
        <v>11895</v>
      </c>
      <c r="B728" s="4">
        <v>16702864</v>
      </c>
    </row>
    <row r="729" customHeight="1" spans="1:2">
      <c r="A729" s="3" t="s">
        <v>11844</v>
      </c>
      <c r="B729" s="4"/>
    </row>
    <row r="730" customHeight="1" spans="1:2">
      <c r="A730" s="3" t="s">
        <v>3992</v>
      </c>
      <c r="B730" s="4">
        <v>93375151</v>
      </c>
    </row>
    <row r="731" customHeight="1" spans="1:2">
      <c r="A731" s="3" t="s">
        <v>2505</v>
      </c>
      <c r="B731" s="4">
        <v>43575716</v>
      </c>
    </row>
    <row r="732" customHeight="1" spans="1:2">
      <c r="A732" s="3" t="s">
        <v>8013</v>
      </c>
      <c r="B732" s="4">
        <v>3562749</v>
      </c>
    </row>
    <row r="733" customHeight="1" spans="1:2">
      <c r="A733" s="3" t="s">
        <v>1863</v>
      </c>
      <c r="B733" s="4">
        <v>40198710</v>
      </c>
    </row>
    <row r="734" customHeight="1" spans="1:2">
      <c r="A734" s="3" t="s">
        <v>24114</v>
      </c>
      <c r="B734" s="4">
        <v>70071</v>
      </c>
    </row>
    <row r="735" customHeight="1" spans="1:2">
      <c r="A735" s="3" t="s">
        <v>15265</v>
      </c>
      <c r="B735" s="4">
        <v>1276984</v>
      </c>
    </row>
    <row r="736" customHeight="1" spans="1:2">
      <c r="A736" s="3" t="s">
        <v>15107</v>
      </c>
      <c r="B736" s="4">
        <v>6857503</v>
      </c>
    </row>
    <row r="737" customHeight="1" spans="1:2">
      <c r="A737" s="3" t="s">
        <v>14281</v>
      </c>
      <c r="B737" s="4">
        <v>5032496</v>
      </c>
    </row>
    <row r="738" customHeight="1" spans="1:2">
      <c r="A738" s="3" t="s">
        <v>22119</v>
      </c>
      <c r="B738" s="4">
        <v>3094687</v>
      </c>
    </row>
    <row r="739" customHeight="1" spans="1:2">
      <c r="A739" s="3" t="s">
        <v>5865</v>
      </c>
      <c r="B739" s="4">
        <v>32003620</v>
      </c>
    </row>
    <row r="740" customHeight="1" spans="1:2">
      <c r="A740" s="3" t="s">
        <v>22964</v>
      </c>
      <c r="B740" s="4">
        <v>34151</v>
      </c>
    </row>
    <row r="741" customHeight="1" spans="1:2">
      <c r="A741" s="3" t="s">
        <v>11885</v>
      </c>
      <c r="B741" s="4">
        <v>17174870</v>
      </c>
    </row>
    <row r="742" customHeight="1" spans="1:2">
      <c r="A742" s="3" t="s">
        <v>5062</v>
      </c>
      <c r="B742" s="4">
        <v>126088877</v>
      </c>
    </row>
    <row r="743" customHeight="1" spans="1:2">
      <c r="A743" s="3" t="s">
        <v>19615</v>
      </c>
      <c r="B743" s="4">
        <v>5595428</v>
      </c>
    </row>
    <row r="744" customHeight="1" spans="1:2">
      <c r="A744" s="3" t="s">
        <v>13251</v>
      </c>
      <c r="B744" s="4">
        <v>122288</v>
      </c>
    </row>
    <row r="745" customHeight="1" spans="1:2">
      <c r="A745" s="3" t="s">
        <v>21357</v>
      </c>
      <c r="B745" s="4">
        <v>7826</v>
      </c>
    </row>
    <row r="746" customHeight="1" spans="1:2">
      <c r="A746" s="3" t="s">
        <v>19514</v>
      </c>
      <c r="B746" s="4">
        <v>143000</v>
      </c>
    </row>
    <row r="747" customHeight="1" spans="1:2">
      <c r="A747" s="3" t="s">
        <v>18876</v>
      </c>
      <c r="B747" s="4"/>
    </row>
    <row r="748" customHeight="1" spans="1:2">
      <c r="A748" s="3" t="s">
        <v>4761</v>
      </c>
      <c r="B748" s="4">
        <v>20550712</v>
      </c>
    </row>
    <row r="749" customHeight="1" spans="1:2">
      <c r="A749" s="3" t="s">
        <v>16699</v>
      </c>
      <c r="B749" s="4">
        <v>306715</v>
      </c>
    </row>
    <row r="750" customHeight="1" spans="1:2">
      <c r="A750" s="3" t="s">
        <v>4758</v>
      </c>
      <c r="B750" s="4">
        <v>35707327</v>
      </c>
    </row>
    <row r="751" customHeight="1" spans="1:2">
      <c r="A751" s="3" t="s">
        <v>5778</v>
      </c>
      <c r="B751" s="4">
        <v>66790248</v>
      </c>
    </row>
    <row r="752" customHeight="1" spans="1:2">
      <c r="A752" s="3" t="s">
        <v>5531</v>
      </c>
      <c r="B752" s="4">
        <v>31569268</v>
      </c>
    </row>
    <row r="753" customHeight="1" spans="1:2">
      <c r="A753" s="3" t="s">
        <v>18289</v>
      </c>
      <c r="B753" s="4">
        <v>713413</v>
      </c>
    </row>
    <row r="754" customHeight="1" spans="1:2">
      <c r="A754" s="3" t="s">
        <v>17387</v>
      </c>
      <c r="B754" s="4">
        <v>58800000</v>
      </c>
    </row>
    <row r="755" customHeight="1" spans="1:2">
      <c r="A755" s="3" t="s">
        <v>790</v>
      </c>
      <c r="B755" s="4">
        <v>206456431</v>
      </c>
    </row>
    <row r="756" customHeight="1" spans="1:2">
      <c r="A756" s="3" t="s">
        <v>14325</v>
      </c>
      <c r="B756" s="4">
        <v>3950294</v>
      </c>
    </row>
    <row r="757" customHeight="1" spans="1:2">
      <c r="A757" s="3" t="s">
        <v>6079</v>
      </c>
      <c r="B757" s="4">
        <v>31136950</v>
      </c>
    </row>
    <row r="758" customHeight="1" spans="1:2">
      <c r="A758" s="3" t="s">
        <v>3070</v>
      </c>
      <c r="B758" s="4">
        <v>66636385</v>
      </c>
    </row>
    <row r="759" customHeight="1" spans="1:2">
      <c r="A759" s="3" t="s">
        <v>2123</v>
      </c>
      <c r="B759" s="4">
        <v>125305545</v>
      </c>
    </row>
    <row r="760" customHeight="1" spans="1:2">
      <c r="A760" s="3" t="s">
        <v>1378</v>
      </c>
      <c r="B760" s="4">
        <v>100685880</v>
      </c>
    </row>
    <row r="761" customHeight="1" spans="1:2">
      <c r="A761" s="3" t="s">
        <v>2563</v>
      </c>
      <c r="B761" s="4">
        <v>82506325</v>
      </c>
    </row>
    <row r="762" customHeight="1" spans="1:2">
      <c r="A762" s="3" t="s">
        <v>22011</v>
      </c>
      <c r="B762" s="4"/>
    </row>
    <row r="763" customHeight="1" spans="1:2">
      <c r="A763" s="3" t="s">
        <v>23146</v>
      </c>
      <c r="B763" s="4">
        <v>12006514</v>
      </c>
    </row>
    <row r="764" customHeight="1" spans="1:2">
      <c r="A764" s="3" t="s">
        <v>8622</v>
      </c>
      <c r="B764" s="4">
        <v>24379028</v>
      </c>
    </row>
    <row r="765" customHeight="1" spans="1:2">
      <c r="A765" s="3" t="s">
        <v>11344</v>
      </c>
      <c r="B765" s="4">
        <v>6002756</v>
      </c>
    </row>
    <row r="766" customHeight="1" spans="1:2">
      <c r="A766" s="3" t="s">
        <v>15684</v>
      </c>
      <c r="B766" s="4">
        <v>6126237</v>
      </c>
    </row>
    <row r="767" customHeight="1" spans="1:2">
      <c r="A767" s="3" t="s">
        <v>23733</v>
      </c>
      <c r="B767" s="4">
        <v>59379</v>
      </c>
    </row>
    <row r="768" customHeight="1" spans="1:2">
      <c r="A768" s="3" t="s">
        <v>4019</v>
      </c>
      <c r="B768" s="4">
        <v>82569532</v>
      </c>
    </row>
    <row r="769" customHeight="1" spans="1:2">
      <c r="A769" s="3" t="s">
        <v>6273</v>
      </c>
      <c r="B769" s="4">
        <v>138614544</v>
      </c>
    </row>
    <row r="770" customHeight="1" spans="1:2">
      <c r="A770" s="3" t="s">
        <v>21086</v>
      </c>
      <c r="B770" s="4"/>
    </row>
    <row r="771" customHeight="1" spans="1:2">
      <c r="A771" s="3" t="s">
        <v>10301</v>
      </c>
      <c r="B771" s="4">
        <v>2708188</v>
      </c>
    </row>
    <row r="772" customHeight="1" spans="1:2">
      <c r="A772" s="3" t="s">
        <v>21538</v>
      </c>
      <c r="B772" s="4">
        <v>18112929</v>
      </c>
    </row>
    <row r="773" customHeight="1" spans="1:2">
      <c r="A773" s="3" t="s">
        <v>13311</v>
      </c>
      <c r="B773" s="4"/>
    </row>
    <row r="774" customHeight="1" spans="1:2">
      <c r="A774" s="3" t="s">
        <v>19605</v>
      </c>
      <c r="B774" s="4"/>
    </row>
    <row r="775" customHeight="1" spans="1:2">
      <c r="A775" s="3" t="s">
        <v>8086</v>
      </c>
      <c r="B775" s="4">
        <v>170684505</v>
      </c>
    </row>
    <row r="776" customHeight="1" spans="1:2">
      <c r="A776" s="3" t="s">
        <v>3949</v>
      </c>
      <c r="B776" s="4">
        <v>135381507</v>
      </c>
    </row>
    <row r="777" customHeight="1" spans="1:2">
      <c r="A777" s="3" t="s">
        <v>6095</v>
      </c>
      <c r="B777" s="4">
        <v>106793915</v>
      </c>
    </row>
    <row r="778" customHeight="1" spans="1:2">
      <c r="A778" s="3" t="s">
        <v>20056</v>
      </c>
      <c r="B778" s="4"/>
    </row>
    <row r="779" customHeight="1" spans="1:2">
      <c r="A779" s="3" t="s">
        <v>5558</v>
      </c>
      <c r="B779" s="4">
        <v>1206135</v>
      </c>
    </row>
    <row r="780" customHeight="1" spans="1:2">
      <c r="A780" s="3" t="s">
        <v>21933</v>
      </c>
      <c r="B780" s="4"/>
    </row>
    <row r="781" customHeight="1" spans="1:2">
      <c r="A781" s="3" t="s">
        <v>23524</v>
      </c>
      <c r="B781" s="4">
        <v>925402</v>
      </c>
    </row>
    <row r="782" customHeight="1" spans="1:2">
      <c r="A782" s="3" t="s">
        <v>2997</v>
      </c>
      <c r="B782" s="4">
        <v>35286428</v>
      </c>
    </row>
    <row r="783" customHeight="1" spans="1:2">
      <c r="A783" s="3" t="s">
        <v>13734</v>
      </c>
      <c r="B783" s="4">
        <v>28501605</v>
      </c>
    </row>
    <row r="784" customHeight="1" spans="1:2">
      <c r="A784" s="3" t="s">
        <v>15633</v>
      </c>
      <c r="B784" s="4">
        <v>33244684</v>
      </c>
    </row>
    <row r="785" customHeight="1" spans="1:2">
      <c r="A785" s="3" t="s">
        <v>7772</v>
      </c>
      <c r="B785" s="4">
        <v>11227940</v>
      </c>
    </row>
    <row r="786" customHeight="1" spans="1:2">
      <c r="A786" s="3" t="s">
        <v>13848</v>
      </c>
      <c r="B786" s="4">
        <v>3074838</v>
      </c>
    </row>
    <row r="787" customHeight="1" spans="1:2">
      <c r="A787" s="3" t="s">
        <v>9468</v>
      </c>
      <c r="B787" s="4">
        <v>71309760</v>
      </c>
    </row>
    <row r="788" customHeight="1" spans="1:2">
      <c r="A788" s="3" t="s">
        <v>21805</v>
      </c>
      <c r="B788" s="4">
        <v>49000</v>
      </c>
    </row>
    <row r="789" customHeight="1" spans="1:2">
      <c r="A789" s="3" t="s">
        <v>19066</v>
      </c>
      <c r="B789" s="4">
        <v>2926565</v>
      </c>
    </row>
    <row r="790" customHeight="1" spans="1:2">
      <c r="A790" s="3" t="s">
        <v>18064</v>
      </c>
      <c r="B790" s="4"/>
    </row>
    <row r="791" customHeight="1" spans="1:2">
      <c r="A791" s="3" t="s">
        <v>19938</v>
      </c>
      <c r="B791" s="4"/>
    </row>
    <row r="792" customHeight="1" spans="1:2">
      <c r="A792" s="3" t="s">
        <v>5119</v>
      </c>
      <c r="B792" s="4">
        <v>73701902</v>
      </c>
    </row>
    <row r="793" customHeight="1" spans="1:2">
      <c r="A793" s="3" t="s">
        <v>14075</v>
      </c>
      <c r="B793" s="4">
        <v>64572496</v>
      </c>
    </row>
    <row r="794" customHeight="1" spans="1:2">
      <c r="A794" s="3" t="s">
        <v>23171</v>
      </c>
      <c r="B794" s="4">
        <v>1050600</v>
      </c>
    </row>
    <row r="795" customHeight="1" spans="1:2">
      <c r="A795" s="3" t="s">
        <v>15375</v>
      </c>
      <c r="B795" s="4">
        <v>169379</v>
      </c>
    </row>
    <row r="796" customHeight="1" spans="1:2">
      <c r="A796" s="3" t="s">
        <v>2287</v>
      </c>
      <c r="B796" s="4">
        <v>61644321</v>
      </c>
    </row>
    <row r="797" customHeight="1" spans="1:2">
      <c r="A797" s="3" t="s">
        <v>1998</v>
      </c>
      <c r="B797" s="4">
        <v>402296318</v>
      </c>
    </row>
    <row r="798" customHeight="1" spans="1:2">
      <c r="A798" s="3" t="s">
        <v>20452</v>
      </c>
      <c r="B798" s="4"/>
    </row>
    <row r="799" customHeight="1" spans="1:2">
      <c r="A799" s="3" t="s">
        <v>22074</v>
      </c>
      <c r="B799" s="4">
        <v>439958</v>
      </c>
    </row>
    <row r="800" customHeight="1" spans="1:2">
      <c r="A800" s="3" t="s">
        <v>6795</v>
      </c>
      <c r="B800" s="4">
        <v>13838130</v>
      </c>
    </row>
    <row r="801" customHeight="1" spans="1:2">
      <c r="A801" s="3" t="s">
        <v>10000</v>
      </c>
      <c r="B801" s="4">
        <v>12495865</v>
      </c>
    </row>
    <row r="802" customHeight="1" spans="1:2">
      <c r="A802" s="3" t="s">
        <v>6702</v>
      </c>
      <c r="B802" s="4">
        <v>22433915</v>
      </c>
    </row>
    <row r="803" customHeight="1" spans="1:2">
      <c r="A803" s="3" t="s">
        <v>6716</v>
      </c>
      <c r="B803" s="4">
        <v>20300000</v>
      </c>
    </row>
    <row r="804" customHeight="1" spans="1:2">
      <c r="A804" s="3" t="s">
        <v>17124</v>
      </c>
      <c r="B804" s="4">
        <v>6670712</v>
      </c>
    </row>
    <row r="805" customHeight="1" spans="1:2">
      <c r="A805" s="3" t="s">
        <v>4644</v>
      </c>
      <c r="B805" s="4">
        <v>78745923</v>
      </c>
    </row>
    <row r="806" customHeight="1" spans="1:2">
      <c r="A806" s="3" t="s">
        <v>7074</v>
      </c>
      <c r="B806" s="4">
        <v>7871693</v>
      </c>
    </row>
    <row r="807" customHeight="1" spans="1:2">
      <c r="A807" s="3" t="s">
        <v>12136</v>
      </c>
      <c r="B807" s="4">
        <v>325491</v>
      </c>
    </row>
    <row r="808" customHeight="1" spans="1:2">
      <c r="A808" s="3" t="s">
        <v>19074</v>
      </c>
      <c r="B808" s="4">
        <v>7563397</v>
      </c>
    </row>
    <row r="809" customHeight="1" spans="1:2">
      <c r="A809" s="3" t="s">
        <v>14412</v>
      </c>
      <c r="B809" s="4">
        <v>119922</v>
      </c>
    </row>
    <row r="810" customHeight="1" spans="1:2">
      <c r="A810" s="3" t="s">
        <v>22590</v>
      </c>
      <c r="B810" s="4">
        <v>243347</v>
      </c>
    </row>
    <row r="811" customHeight="1" spans="1:2">
      <c r="A811" s="3" t="s">
        <v>11464</v>
      </c>
      <c r="B811" s="4">
        <v>206678</v>
      </c>
    </row>
    <row r="812" customHeight="1" spans="1:2">
      <c r="A812" s="3" t="s">
        <v>1302</v>
      </c>
      <c r="B812" s="4">
        <v>326384228</v>
      </c>
    </row>
    <row r="813" customHeight="1" spans="1:2">
      <c r="A813" s="3" t="s">
        <v>19108</v>
      </c>
      <c r="B813" s="4"/>
    </row>
    <row r="814" customHeight="1" spans="1:2">
      <c r="A814" s="3" t="s">
        <v>16159</v>
      </c>
      <c r="B814" s="4">
        <v>1789892</v>
      </c>
    </row>
    <row r="815" customHeight="1" spans="1:2">
      <c r="A815" s="3" t="s">
        <v>24062</v>
      </c>
      <c r="B815" s="4">
        <v>136007</v>
      </c>
    </row>
    <row r="816" customHeight="1" spans="1:2">
      <c r="A816" s="3" t="s">
        <v>3871</v>
      </c>
      <c r="B816" s="4">
        <v>122012710</v>
      </c>
    </row>
    <row r="817" customHeight="1" spans="1:2">
      <c r="A817" s="3" t="s">
        <v>6116</v>
      </c>
      <c r="B817" s="4">
        <v>57750000</v>
      </c>
    </row>
    <row r="818" customHeight="1" spans="1:2">
      <c r="A818" s="3" t="s">
        <v>17620</v>
      </c>
      <c r="B818" s="4">
        <v>24138847</v>
      </c>
    </row>
    <row r="819" customHeight="1" spans="1:2">
      <c r="A819" s="3" t="s">
        <v>23974</v>
      </c>
      <c r="B819" s="4">
        <v>3151130</v>
      </c>
    </row>
    <row r="820" customHeight="1" spans="1:2">
      <c r="A820" s="3" t="s">
        <v>2493</v>
      </c>
      <c r="B820" s="4">
        <v>137340146</v>
      </c>
    </row>
    <row r="821" customHeight="1" spans="1:2">
      <c r="A821" s="3" t="s">
        <v>3703</v>
      </c>
      <c r="B821" s="4">
        <v>84049211</v>
      </c>
    </row>
    <row r="822" customHeight="1" spans="1:2">
      <c r="A822" s="3" t="s">
        <v>9294</v>
      </c>
      <c r="B822" s="4">
        <v>36985501</v>
      </c>
    </row>
    <row r="823" customHeight="1" spans="1:2">
      <c r="A823" s="3" t="s">
        <v>20347</v>
      </c>
      <c r="B823" s="4">
        <v>444354</v>
      </c>
    </row>
    <row r="824" customHeight="1" spans="1:2">
      <c r="A824" s="3" t="s">
        <v>10643</v>
      </c>
      <c r="B824" s="4">
        <v>128300000</v>
      </c>
    </row>
    <row r="825" customHeight="1" spans="1:2">
      <c r="A825" s="3" t="s">
        <v>19625</v>
      </c>
      <c r="B825" s="4"/>
    </row>
    <row r="826" customHeight="1" spans="1:2">
      <c r="A826" s="3" t="s">
        <v>21072</v>
      </c>
      <c r="B826" s="4"/>
    </row>
    <row r="827" customHeight="1" spans="1:2">
      <c r="A827" s="3" t="s">
        <v>7475</v>
      </c>
      <c r="B827" s="4">
        <v>33987757</v>
      </c>
    </row>
    <row r="828" customHeight="1" spans="1:2">
      <c r="A828" s="3" t="s">
        <v>23745</v>
      </c>
      <c r="B828" s="4"/>
    </row>
    <row r="829" customHeight="1" spans="1:2">
      <c r="A829" s="3" t="s">
        <v>1851</v>
      </c>
      <c r="B829" s="4">
        <v>27098580</v>
      </c>
    </row>
    <row r="830" customHeight="1" spans="1:2">
      <c r="A830" s="3" t="s">
        <v>2930</v>
      </c>
      <c r="B830" s="4">
        <v>119793567</v>
      </c>
    </row>
    <row r="831" customHeight="1" spans="1:2">
      <c r="A831" s="3" t="s">
        <v>2104</v>
      </c>
      <c r="B831" s="4">
        <v>124870275</v>
      </c>
    </row>
    <row r="832" customHeight="1" spans="1:2">
      <c r="A832" s="3" t="s">
        <v>9441</v>
      </c>
      <c r="B832" s="4">
        <v>80034302</v>
      </c>
    </row>
    <row r="833" customHeight="1" spans="1:2">
      <c r="A833" s="3" t="s">
        <v>15966</v>
      </c>
      <c r="B833" s="4">
        <v>4992159</v>
      </c>
    </row>
    <row r="834" customHeight="1" spans="1:2">
      <c r="A834" s="3" t="s">
        <v>13591</v>
      </c>
      <c r="B834" s="4">
        <v>56631572</v>
      </c>
    </row>
    <row r="835" customHeight="1" spans="1:2">
      <c r="A835" s="3" t="s">
        <v>5772</v>
      </c>
      <c r="B835" s="4">
        <v>67253092</v>
      </c>
    </row>
    <row r="836" customHeight="1" spans="1:2">
      <c r="A836" s="3" t="s">
        <v>12712</v>
      </c>
      <c r="B836" s="4">
        <v>79900000</v>
      </c>
    </row>
    <row r="837" customHeight="1" spans="1:2">
      <c r="A837" s="3" t="s">
        <v>10291</v>
      </c>
      <c r="B837" s="4">
        <v>6109075</v>
      </c>
    </row>
    <row r="838" customHeight="1" spans="1:2">
      <c r="A838" s="3" t="s">
        <v>16386</v>
      </c>
      <c r="B838" s="4">
        <v>197148</v>
      </c>
    </row>
    <row r="839" customHeight="1" spans="1:2">
      <c r="A839" s="3" t="s">
        <v>11276</v>
      </c>
      <c r="B839" s="4">
        <v>8104069</v>
      </c>
    </row>
    <row r="840" customHeight="1" spans="1:2">
      <c r="A840" s="3" t="s">
        <v>16310</v>
      </c>
      <c r="B840" s="4"/>
    </row>
    <row r="841" customHeight="1" spans="1:2">
      <c r="A841" s="3" t="s">
        <v>20542</v>
      </c>
      <c r="B841" s="4"/>
    </row>
    <row r="842" customHeight="1" spans="1:2">
      <c r="A842" s="3" t="s">
        <v>2650</v>
      </c>
      <c r="B842" s="4">
        <v>95632614</v>
      </c>
    </row>
    <row r="843" customHeight="1" spans="1:2">
      <c r="A843" s="3" t="s">
        <v>2438</v>
      </c>
      <c r="B843" s="4">
        <v>40048332</v>
      </c>
    </row>
    <row r="844" customHeight="1" spans="1:2">
      <c r="A844" s="3" t="s">
        <v>4048</v>
      </c>
      <c r="B844" s="4">
        <v>100003492</v>
      </c>
    </row>
    <row r="845" customHeight="1" spans="1:2">
      <c r="A845" s="3" t="s">
        <v>17133</v>
      </c>
      <c r="B845" s="4">
        <v>4693919</v>
      </c>
    </row>
    <row r="846" customHeight="1" spans="1:2">
      <c r="A846" s="3" t="s">
        <v>6692</v>
      </c>
      <c r="B846" s="4">
        <v>36665854</v>
      </c>
    </row>
    <row r="847" customHeight="1" spans="1:2">
      <c r="A847" s="3" t="s">
        <v>17244</v>
      </c>
      <c r="B847" s="4">
        <v>117560</v>
      </c>
    </row>
    <row r="848" customHeight="1" spans="1:2">
      <c r="A848" s="3" t="s">
        <v>19193</v>
      </c>
      <c r="B848" s="4">
        <v>377420</v>
      </c>
    </row>
    <row r="849" customHeight="1" spans="1:2">
      <c r="A849" s="3" t="s">
        <v>14867</v>
      </c>
      <c r="B849" s="4"/>
    </row>
    <row r="850" customHeight="1" spans="1:2">
      <c r="A850" s="3" t="s">
        <v>19453</v>
      </c>
      <c r="B850" s="4">
        <v>3105269</v>
      </c>
    </row>
    <row r="851" customHeight="1" spans="1:2">
      <c r="A851" s="3" t="s">
        <v>23143</v>
      </c>
      <c r="B851" s="4">
        <v>318622</v>
      </c>
    </row>
    <row r="852" customHeight="1" spans="1:2">
      <c r="A852" s="3" t="s">
        <v>2639</v>
      </c>
      <c r="B852" s="4">
        <v>101087161</v>
      </c>
    </row>
    <row r="853" customHeight="1" spans="1:2">
      <c r="A853" s="3" t="s">
        <v>2281</v>
      </c>
      <c r="B853" s="4">
        <v>75134880</v>
      </c>
    </row>
    <row r="854" customHeight="1" spans="1:2">
      <c r="A854" s="3" t="s">
        <v>11854</v>
      </c>
      <c r="B854" s="4">
        <v>26400000</v>
      </c>
    </row>
    <row r="855" customHeight="1" spans="1:2">
      <c r="A855" s="3" t="s">
        <v>7547</v>
      </c>
      <c r="B855" s="4">
        <v>34531832</v>
      </c>
    </row>
    <row r="856" customHeight="1" spans="1:2">
      <c r="A856" s="3" t="s">
        <v>8799</v>
      </c>
      <c r="B856" s="4"/>
    </row>
    <row r="857" customHeight="1" spans="1:2">
      <c r="A857" s="3" t="s">
        <v>12857</v>
      </c>
      <c r="B857" s="4">
        <v>29302097</v>
      </c>
    </row>
    <row r="858" customHeight="1" spans="1:2">
      <c r="A858" s="3" t="s">
        <v>13032</v>
      </c>
      <c r="B858" s="4">
        <v>12212417</v>
      </c>
    </row>
    <row r="859" customHeight="1" spans="1:2">
      <c r="A859" s="3" t="s">
        <v>5090</v>
      </c>
      <c r="B859" s="4">
        <v>81022333</v>
      </c>
    </row>
    <row r="860" customHeight="1" spans="1:2">
      <c r="A860" s="3" t="s">
        <v>11280</v>
      </c>
      <c r="B860" s="4">
        <v>8054280</v>
      </c>
    </row>
    <row r="861" customHeight="1" spans="1:2">
      <c r="A861" s="3" t="s">
        <v>20778</v>
      </c>
      <c r="B861" s="4"/>
    </row>
    <row r="862" customHeight="1" spans="1:2">
      <c r="A862" s="3" t="s">
        <v>2692</v>
      </c>
      <c r="B862" s="4">
        <v>76081498</v>
      </c>
    </row>
    <row r="863" customHeight="1" spans="1:2">
      <c r="A863" s="3" t="s">
        <v>3054</v>
      </c>
      <c r="B863" s="4"/>
    </row>
    <row r="864" customHeight="1" spans="1:2">
      <c r="A864" s="3" t="s">
        <v>2205</v>
      </c>
      <c r="B864" s="4">
        <v>100853835</v>
      </c>
    </row>
    <row r="865" customHeight="1" spans="1:2">
      <c r="A865" s="3" t="s">
        <v>4078</v>
      </c>
      <c r="B865" s="4">
        <v>75638743</v>
      </c>
    </row>
    <row r="866" customHeight="1" spans="1:2">
      <c r="A866" s="3" t="s">
        <v>20109</v>
      </c>
      <c r="B866" s="4"/>
    </row>
    <row r="867" customHeight="1" spans="1:2">
      <c r="A867" s="3" t="s">
        <v>9557</v>
      </c>
      <c r="B867" s="4">
        <v>66489425</v>
      </c>
    </row>
    <row r="868" customHeight="1" spans="1:2">
      <c r="A868" s="3" t="s">
        <v>16939</v>
      </c>
      <c r="B868" s="4">
        <v>871577</v>
      </c>
    </row>
    <row r="869" customHeight="1" spans="1:2">
      <c r="A869" s="3" t="s">
        <v>22782</v>
      </c>
      <c r="B869" s="4">
        <v>379122</v>
      </c>
    </row>
    <row r="870" customHeight="1" spans="1:2">
      <c r="A870" s="3" t="s">
        <v>13384</v>
      </c>
      <c r="B870" s="4">
        <v>68856263</v>
      </c>
    </row>
    <row r="871" customHeight="1" spans="1:2">
      <c r="A871" s="3" t="s">
        <v>12793</v>
      </c>
      <c r="B871" s="4">
        <v>44886089</v>
      </c>
    </row>
    <row r="872" customHeight="1" spans="1:2">
      <c r="A872" s="3" t="s">
        <v>7136</v>
      </c>
      <c r="B872" s="4">
        <v>44867349</v>
      </c>
    </row>
    <row r="873" customHeight="1" spans="1:2">
      <c r="A873" s="3" t="s">
        <v>10881</v>
      </c>
      <c r="B873" s="4">
        <v>32051917</v>
      </c>
    </row>
    <row r="874" customHeight="1" spans="1:2">
      <c r="A874" s="3" t="s">
        <v>14674</v>
      </c>
      <c r="B874" s="4">
        <v>352786</v>
      </c>
    </row>
    <row r="875" customHeight="1" spans="1:2">
      <c r="A875" s="3" t="s">
        <v>4090</v>
      </c>
      <c r="B875" s="4">
        <v>75280058</v>
      </c>
    </row>
    <row r="876" customHeight="1" spans="1:2">
      <c r="A876" s="3" t="s">
        <v>15331</v>
      </c>
      <c r="B876" s="4">
        <v>756452</v>
      </c>
    </row>
    <row r="877" customHeight="1" spans="1:2">
      <c r="A877" s="3" t="s">
        <v>14565</v>
      </c>
      <c r="B877" s="4">
        <v>23978402</v>
      </c>
    </row>
    <row r="878" customHeight="1" spans="1:2">
      <c r="A878" s="3" t="s">
        <v>8331</v>
      </c>
      <c r="B878" s="4">
        <v>53337608</v>
      </c>
    </row>
    <row r="879" customHeight="1" spans="1:2">
      <c r="A879" s="3" t="s">
        <v>21409</v>
      </c>
      <c r="B879" s="4"/>
    </row>
    <row r="880" customHeight="1" spans="1:2">
      <c r="A880" s="3" t="s">
        <v>23877</v>
      </c>
      <c r="B880" s="4"/>
    </row>
    <row r="881" customHeight="1" spans="1:2">
      <c r="A881" s="3" t="s">
        <v>12951</v>
      </c>
      <c r="B881" s="4">
        <v>20218921</v>
      </c>
    </row>
    <row r="882" customHeight="1" spans="1:2">
      <c r="A882" s="3" t="s">
        <v>4011</v>
      </c>
      <c r="B882" s="4">
        <v>109176215</v>
      </c>
    </row>
    <row r="883" customHeight="1" spans="1:2">
      <c r="A883" s="3" t="s">
        <v>5676</v>
      </c>
      <c r="B883" s="4">
        <v>58918501</v>
      </c>
    </row>
    <row r="884" customHeight="1" spans="1:2">
      <c r="A884" s="3" t="s">
        <v>11414</v>
      </c>
      <c r="B884" s="4">
        <v>2246000</v>
      </c>
    </row>
    <row r="885" customHeight="1" spans="1:2">
      <c r="A885" s="3" t="s">
        <v>20181</v>
      </c>
      <c r="B885" s="4">
        <v>34522221</v>
      </c>
    </row>
    <row r="886" customHeight="1" spans="1:2">
      <c r="A886" s="3" t="s">
        <v>5791</v>
      </c>
      <c r="B886" s="4">
        <v>60786269</v>
      </c>
    </row>
    <row r="887" customHeight="1" spans="1:2">
      <c r="A887" s="3" t="s">
        <v>9622</v>
      </c>
      <c r="B887" s="4">
        <v>34604054</v>
      </c>
    </row>
    <row r="888" customHeight="1" spans="1:2">
      <c r="A888" s="3" t="s">
        <v>8017</v>
      </c>
      <c r="B888" s="4">
        <v>2899970</v>
      </c>
    </row>
    <row r="889" customHeight="1" spans="1:2">
      <c r="A889" s="3" t="s">
        <v>14208</v>
      </c>
      <c r="B889" s="4">
        <v>27829874</v>
      </c>
    </row>
    <row r="890" customHeight="1" spans="1:2">
      <c r="A890" s="3" t="s">
        <v>11178</v>
      </c>
      <c r="B890" s="4">
        <v>13630226</v>
      </c>
    </row>
    <row r="891" customHeight="1" spans="1:2">
      <c r="A891" s="3" t="s">
        <v>15200</v>
      </c>
      <c r="B891" s="4">
        <v>109114696</v>
      </c>
    </row>
    <row r="892" customHeight="1" spans="1:2">
      <c r="A892" s="3" t="s">
        <v>15841</v>
      </c>
      <c r="B892" s="4">
        <v>39462438</v>
      </c>
    </row>
    <row r="893" customHeight="1" spans="1:2">
      <c r="A893" s="3" t="s">
        <v>13193</v>
      </c>
      <c r="B893" s="4">
        <v>1954202</v>
      </c>
    </row>
    <row r="894" customHeight="1" spans="1:2">
      <c r="A894" s="3" t="s">
        <v>22666</v>
      </c>
      <c r="B894" s="4"/>
    </row>
    <row r="895" customHeight="1" spans="1:2">
      <c r="A895" s="3" t="s">
        <v>5109</v>
      </c>
      <c r="B895" s="4">
        <v>84244877</v>
      </c>
    </row>
    <row r="896" customHeight="1" spans="1:2">
      <c r="A896" s="3" t="s">
        <v>13769</v>
      </c>
      <c r="B896" s="4">
        <v>16929123</v>
      </c>
    </row>
    <row r="897" customHeight="1" spans="1:2">
      <c r="A897" s="3" t="s">
        <v>21853</v>
      </c>
      <c r="B897" s="4">
        <v>62480</v>
      </c>
    </row>
    <row r="898" customHeight="1" spans="1:2">
      <c r="A898" s="3" t="s">
        <v>19474</v>
      </c>
      <c r="B898" s="4"/>
    </row>
    <row r="899" customHeight="1" spans="1:2">
      <c r="A899" s="3" t="s">
        <v>7103</v>
      </c>
      <c r="B899" s="4">
        <v>109712885</v>
      </c>
    </row>
    <row r="900" customHeight="1" spans="1:2">
      <c r="A900" s="3" t="s">
        <v>18890</v>
      </c>
      <c r="B900" s="4">
        <v>14000000</v>
      </c>
    </row>
    <row r="901" customHeight="1" spans="1:2">
      <c r="A901" s="3" t="s">
        <v>2500</v>
      </c>
      <c r="B901" s="4"/>
    </row>
    <row r="902" customHeight="1" spans="1:2">
      <c r="A902" s="3" t="s">
        <v>22929</v>
      </c>
      <c r="B902" s="4"/>
    </row>
    <row r="903" customHeight="1" spans="1:2">
      <c r="A903" s="3" t="s">
        <v>16794</v>
      </c>
      <c r="B903" s="4"/>
    </row>
    <row r="904" customHeight="1" spans="1:2">
      <c r="A904" s="3" t="s">
        <v>8044</v>
      </c>
      <c r="B904" s="4">
        <v>14268533</v>
      </c>
    </row>
    <row r="905" customHeight="1" spans="1:2">
      <c r="A905" s="3" t="s">
        <v>4626</v>
      </c>
      <c r="B905" s="4">
        <v>91400000</v>
      </c>
    </row>
    <row r="906" customHeight="1" spans="1:2">
      <c r="A906" s="3" t="s">
        <v>14375</v>
      </c>
      <c r="B906" s="4">
        <v>141853</v>
      </c>
    </row>
    <row r="907" customHeight="1" spans="1:2">
      <c r="A907" s="3" t="s">
        <v>13373</v>
      </c>
      <c r="B907" s="4">
        <v>109306210</v>
      </c>
    </row>
    <row r="908" customHeight="1" spans="1:2">
      <c r="A908" s="3" t="s">
        <v>9700</v>
      </c>
      <c r="B908" s="4">
        <v>25590119</v>
      </c>
    </row>
    <row r="909" customHeight="1" spans="1:2">
      <c r="A909" s="3" t="s">
        <v>15800</v>
      </c>
      <c r="B909" s="4">
        <v>174635000</v>
      </c>
    </row>
    <row r="910" customHeight="1" spans="1:2">
      <c r="A910" s="3" t="s">
        <v>13477</v>
      </c>
      <c r="B910" s="4">
        <v>13640000</v>
      </c>
    </row>
    <row r="911" customHeight="1" spans="1:2">
      <c r="A911" s="3" t="s">
        <v>22436</v>
      </c>
      <c r="B911" s="4"/>
    </row>
    <row r="912" customHeight="1" spans="1:2">
      <c r="A912" s="3" t="s">
        <v>17361</v>
      </c>
      <c r="B912" s="4">
        <v>7009668</v>
      </c>
    </row>
    <row r="913" customHeight="1" spans="1:2">
      <c r="A913" s="3" t="s">
        <v>14091</v>
      </c>
      <c r="B913" s="4">
        <v>74377334</v>
      </c>
    </row>
    <row r="914" customHeight="1" spans="1:2">
      <c r="A914" s="3" t="s">
        <v>12664</v>
      </c>
      <c r="B914" s="4">
        <v>128067808</v>
      </c>
    </row>
    <row r="915" customHeight="1" spans="1:2">
      <c r="A915" s="3" t="s">
        <v>21398</v>
      </c>
      <c r="B915" s="4"/>
    </row>
    <row r="916" customHeight="1" spans="1:2">
      <c r="A916" s="3" t="s">
        <v>14548</v>
      </c>
      <c r="B916" s="4">
        <v>38201895</v>
      </c>
    </row>
    <row r="917" customHeight="1" spans="1:2">
      <c r="A917" s="3" t="s">
        <v>8809</v>
      </c>
      <c r="B917" s="4">
        <v>5899797</v>
      </c>
    </row>
    <row r="918" customHeight="1" spans="1:2">
      <c r="A918" s="3" t="s">
        <v>21555</v>
      </c>
      <c r="B918" s="4">
        <v>10042266</v>
      </c>
    </row>
    <row r="919" customHeight="1" spans="1:2">
      <c r="A919" s="3" t="s">
        <v>22154</v>
      </c>
      <c r="B919" s="4"/>
    </row>
    <row r="920" customHeight="1" spans="1:2">
      <c r="A920" s="3" t="s">
        <v>23187</v>
      </c>
      <c r="B920" s="4">
        <v>489220</v>
      </c>
    </row>
    <row r="921" customHeight="1" spans="1:2">
      <c r="A921" s="3" t="s">
        <v>5156</v>
      </c>
      <c r="B921" s="4">
        <v>58336565</v>
      </c>
    </row>
    <row r="922" customHeight="1" spans="1:2">
      <c r="A922" s="3" t="s">
        <v>5959</v>
      </c>
      <c r="B922" s="4">
        <v>6565495</v>
      </c>
    </row>
    <row r="923" customHeight="1" spans="1:2">
      <c r="A923" s="3" t="s">
        <v>7582</v>
      </c>
      <c r="B923" s="4">
        <v>19294901</v>
      </c>
    </row>
    <row r="924" customHeight="1" spans="1:2">
      <c r="A924" s="3" t="s">
        <v>2070</v>
      </c>
      <c r="B924" s="4">
        <v>11000000</v>
      </c>
    </row>
    <row r="925" customHeight="1" spans="1:2">
      <c r="A925" s="3" t="s">
        <v>14406</v>
      </c>
      <c r="B925" s="4"/>
    </row>
    <row r="926" customHeight="1" spans="1:2">
      <c r="A926" s="3" t="s">
        <v>16641</v>
      </c>
      <c r="B926" s="4">
        <v>7455447</v>
      </c>
    </row>
    <row r="927" customHeight="1" spans="1:2">
      <c r="A927" s="3" t="s">
        <v>18988</v>
      </c>
      <c r="B927" s="4">
        <v>96793</v>
      </c>
    </row>
    <row r="928" customHeight="1" spans="1:2">
      <c r="A928" s="3" t="s">
        <v>21274</v>
      </c>
      <c r="B928" s="4"/>
    </row>
    <row r="929" customHeight="1" spans="1:2">
      <c r="A929" s="3" t="s">
        <v>17059</v>
      </c>
      <c r="B929" s="4">
        <v>13235267</v>
      </c>
    </row>
    <row r="930" customHeight="1" spans="1:2">
      <c r="A930" s="3" t="s">
        <v>3982</v>
      </c>
      <c r="B930" s="4">
        <v>104148781</v>
      </c>
    </row>
    <row r="931" customHeight="1" spans="1:2">
      <c r="A931" s="3" t="s">
        <v>5070</v>
      </c>
      <c r="B931" s="4">
        <v>150315155</v>
      </c>
    </row>
    <row r="932" customHeight="1" spans="1:2">
      <c r="A932" s="3" t="s">
        <v>17602</v>
      </c>
      <c r="B932" s="4">
        <v>27296514</v>
      </c>
    </row>
    <row r="933" customHeight="1" spans="1:2">
      <c r="A933" s="3" t="s">
        <v>12335</v>
      </c>
      <c r="B933" s="4"/>
    </row>
    <row r="934" customHeight="1" spans="1:2">
      <c r="A934" s="3" t="s">
        <v>19471</v>
      </c>
      <c r="B934" s="4">
        <v>1007535</v>
      </c>
    </row>
    <row r="935" customHeight="1" spans="1:2">
      <c r="A935" s="3" t="s">
        <v>9691</v>
      </c>
      <c r="B935" s="4">
        <v>25615792</v>
      </c>
    </row>
    <row r="936" customHeight="1" spans="1:2">
      <c r="A936" s="3" t="s">
        <v>13969</v>
      </c>
      <c r="B936" s="4">
        <v>4157491</v>
      </c>
    </row>
    <row r="937" customHeight="1" spans="1:2">
      <c r="A937" s="3" t="s">
        <v>19986</v>
      </c>
      <c r="B937" s="4">
        <v>565592</v>
      </c>
    </row>
    <row r="938" customHeight="1" spans="1:2">
      <c r="A938" s="3" t="s">
        <v>11554</v>
      </c>
      <c r="B938" s="4">
        <v>184208848</v>
      </c>
    </row>
    <row r="939" customHeight="1" spans="1:2">
      <c r="A939" s="3" t="s">
        <v>14457</v>
      </c>
      <c r="B939" s="4"/>
    </row>
    <row r="940" customHeight="1" spans="1:2">
      <c r="A940" s="3" t="s">
        <v>10073</v>
      </c>
      <c r="B940" s="4">
        <v>69400000</v>
      </c>
    </row>
    <row r="941" customHeight="1" spans="1:2">
      <c r="A941" s="3" t="s">
        <v>15173</v>
      </c>
      <c r="B941" s="4">
        <v>5348317</v>
      </c>
    </row>
    <row r="942" customHeight="1" spans="1:2">
      <c r="A942" s="3" t="s">
        <v>1493</v>
      </c>
      <c r="B942" s="4">
        <v>67155742</v>
      </c>
    </row>
    <row r="943" customHeight="1" spans="1:2">
      <c r="A943" s="3" t="s">
        <v>2633</v>
      </c>
      <c r="B943" s="4"/>
    </row>
    <row r="944" customHeight="1" spans="1:2">
      <c r="A944" s="3" t="s">
        <v>16630</v>
      </c>
      <c r="B944" s="4"/>
    </row>
    <row r="945" customHeight="1" spans="1:2">
      <c r="A945" s="3" t="s">
        <v>13085</v>
      </c>
      <c r="B945" s="4">
        <v>9059588</v>
      </c>
    </row>
    <row r="946" customHeight="1" spans="1:2">
      <c r="A946" s="3" t="s">
        <v>9142</v>
      </c>
      <c r="B946" s="4">
        <v>14337579</v>
      </c>
    </row>
    <row r="947" customHeight="1" spans="1:2">
      <c r="A947" s="3" t="s">
        <v>884</v>
      </c>
      <c r="B947" s="4">
        <v>79711678</v>
      </c>
    </row>
    <row r="948" customHeight="1" spans="1:2">
      <c r="A948" s="3" t="s">
        <v>4387</v>
      </c>
      <c r="B948" s="4">
        <v>25472967</v>
      </c>
    </row>
    <row r="949" customHeight="1" spans="1:2">
      <c r="A949" s="3" t="s">
        <v>16476</v>
      </c>
      <c r="B949" s="4">
        <v>32131483</v>
      </c>
    </row>
    <row r="950" customHeight="1" spans="1:2">
      <c r="A950" s="3" t="s">
        <v>14722</v>
      </c>
      <c r="B950" s="4">
        <v>22160085</v>
      </c>
    </row>
    <row r="951" customHeight="1" spans="1:2">
      <c r="A951" s="3" t="s">
        <v>14381</v>
      </c>
      <c r="B951" s="4">
        <v>793352</v>
      </c>
    </row>
    <row r="952" customHeight="1" spans="1:2">
      <c r="A952" s="3" t="s">
        <v>10474</v>
      </c>
      <c r="B952" s="4">
        <v>5000000</v>
      </c>
    </row>
    <row r="953" customHeight="1" spans="1:2">
      <c r="A953" s="3" t="s">
        <v>14236</v>
      </c>
      <c r="B953" s="4">
        <v>11433134</v>
      </c>
    </row>
    <row r="954" customHeight="1" spans="1:2">
      <c r="A954" s="3" t="s">
        <v>10758</v>
      </c>
      <c r="B954" s="4">
        <v>48546578</v>
      </c>
    </row>
    <row r="955" customHeight="1" spans="1:2">
      <c r="A955" s="3" t="s">
        <v>4609</v>
      </c>
      <c r="B955" s="4">
        <v>98711404</v>
      </c>
    </row>
    <row r="956" customHeight="1" spans="1:2">
      <c r="A956" s="3" t="s">
        <v>19278</v>
      </c>
      <c r="B956" s="4">
        <v>11694528</v>
      </c>
    </row>
    <row r="957" customHeight="1" spans="1:2">
      <c r="A957" s="3" t="s">
        <v>23928</v>
      </c>
      <c r="B957" s="4"/>
    </row>
    <row r="958" customHeight="1" spans="1:2">
      <c r="A958" s="3" t="s">
        <v>8878</v>
      </c>
      <c r="B958" s="4">
        <v>117771270</v>
      </c>
    </row>
    <row r="959" customHeight="1" spans="1:2">
      <c r="A959" s="3" t="s">
        <v>574</v>
      </c>
      <c r="B959" s="4">
        <v>208543795</v>
      </c>
    </row>
    <row r="960" customHeight="1" spans="1:2">
      <c r="A960" s="3" t="s">
        <v>19038</v>
      </c>
      <c r="B960" s="4"/>
    </row>
    <row r="961" customHeight="1" spans="1:2">
      <c r="A961" s="3" t="s">
        <v>12070</v>
      </c>
      <c r="B961" s="4"/>
    </row>
    <row r="962" customHeight="1" spans="1:2">
      <c r="A962" s="3" t="s">
        <v>19085</v>
      </c>
      <c r="B962" s="4"/>
    </row>
    <row r="963" customHeight="1" spans="1:2">
      <c r="A963" s="3" t="s">
        <v>10970</v>
      </c>
      <c r="B963" s="4">
        <v>29975979</v>
      </c>
    </row>
    <row r="964" customHeight="1" spans="1:2">
      <c r="A964" s="3" t="s">
        <v>2827</v>
      </c>
      <c r="B964" s="4">
        <v>32885565</v>
      </c>
    </row>
    <row r="965" customHeight="1" spans="1:2">
      <c r="A965" s="3" t="s">
        <v>19396</v>
      </c>
      <c r="B965" s="4"/>
    </row>
    <row r="966" customHeight="1" spans="1:2">
      <c r="A966" s="3" t="s">
        <v>4014</v>
      </c>
      <c r="B966" s="4">
        <v>82670733</v>
      </c>
    </row>
    <row r="967" customHeight="1" spans="1:2">
      <c r="A967" s="3" t="s">
        <v>16778</v>
      </c>
      <c r="B967" s="4">
        <v>7993039</v>
      </c>
    </row>
    <row r="968" customHeight="1" spans="1:2">
      <c r="A968" s="3" t="s">
        <v>18037</v>
      </c>
      <c r="B968" s="4"/>
    </row>
    <row r="969" customHeight="1" spans="1:2">
      <c r="A969" s="3" t="s">
        <v>8669</v>
      </c>
      <c r="B969" s="4">
        <v>10880926</v>
      </c>
    </row>
    <row r="970" customHeight="1" spans="1:2">
      <c r="A970" s="3" t="s">
        <v>13461</v>
      </c>
      <c r="B970" s="4">
        <v>15062898</v>
      </c>
    </row>
    <row r="971" customHeight="1" spans="1:2">
      <c r="A971" s="3" t="s">
        <v>14544</v>
      </c>
      <c r="B971" s="4">
        <v>39025000</v>
      </c>
    </row>
    <row r="972" customHeight="1" spans="1:2">
      <c r="A972" s="3" t="s">
        <v>21428</v>
      </c>
      <c r="B972" s="4">
        <v>6013</v>
      </c>
    </row>
    <row r="973" customHeight="1" spans="1:2">
      <c r="A973" s="3" t="s">
        <v>12376</v>
      </c>
      <c r="B973" s="4">
        <v>95860116</v>
      </c>
    </row>
    <row r="974" customHeight="1" spans="1:2">
      <c r="A974" s="3" t="s">
        <v>22212</v>
      </c>
      <c r="B974" s="4">
        <v>41709</v>
      </c>
    </row>
    <row r="975" customHeight="1" spans="1:2">
      <c r="A975" s="3" t="s">
        <v>17279</v>
      </c>
      <c r="B975" s="4">
        <v>65804</v>
      </c>
    </row>
    <row r="976" customHeight="1" spans="1:2">
      <c r="A976" s="3" t="s">
        <v>20726</v>
      </c>
      <c r="B976" s="4"/>
    </row>
    <row r="977" customHeight="1" spans="1:2">
      <c r="A977" s="3" t="s">
        <v>19350</v>
      </c>
      <c r="B977" s="4"/>
    </row>
    <row r="978" customHeight="1" spans="1:2">
      <c r="A978" s="3" t="s">
        <v>4435</v>
      </c>
      <c r="B978" s="4">
        <v>363024263</v>
      </c>
    </row>
    <row r="979" customHeight="1" spans="1:2">
      <c r="A979" s="3" t="s">
        <v>18183</v>
      </c>
      <c r="B979" s="4">
        <v>1340891</v>
      </c>
    </row>
    <row r="980" customHeight="1" spans="1:2">
      <c r="A980" s="3" t="s">
        <v>9746</v>
      </c>
      <c r="B980" s="4">
        <v>80014842</v>
      </c>
    </row>
    <row r="981" customHeight="1" spans="1:2">
      <c r="A981" s="3" t="s">
        <v>16246</v>
      </c>
      <c r="B981" s="4">
        <v>23106</v>
      </c>
    </row>
    <row r="982" customHeight="1" spans="1:2">
      <c r="A982" s="3" t="s">
        <v>10564</v>
      </c>
      <c r="B982" s="4">
        <v>17159368</v>
      </c>
    </row>
    <row r="983" customHeight="1" spans="1:2">
      <c r="A983" s="3" t="s">
        <v>4671</v>
      </c>
      <c r="B983" s="4">
        <v>58422650</v>
      </c>
    </row>
    <row r="984" customHeight="1" spans="1:2">
      <c r="A984" s="3" t="s">
        <v>23157</v>
      </c>
      <c r="B984" s="4"/>
    </row>
    <row r="985" customHeight="1" spans="1:2">
      <c r="A985" s="3" t="s">
        <v>23104</v>
      </c>
      <c r="B985" s="4"/>
    </row>
    <row r="986" customHeight="1" spans="1:2">
      <c r="A986" s="3" t="s">
        <v>3770</v>
      </c>
      <c r="B986" s="4">
        <v>36064910</v>
      </c>
    </row>
    <row r="987" customHeight="1" spans="1:2">
      <c r="A987" s="3" t="s">
        <v>11257</v>
      </c>
      <c r="B987" s="4">
        <v>9525276</v>
      </c>
    </row>
    <row r="988" customHeight="1" spans="1:2">
      <c r="A988" s="3" t="s">
        <v>5471</v>
      </c>
      <c r="B988" s="4">
        <v>8355815</v>
      </c>
    </row>
    <row r="989" customHeight="1" spans="1:2">
      <c r="A989" s="3" t="s">
        <v>22603</v>
      </c>
      <c r="B989" s="4">
        <v>151389</v>
      </c>
    </row>
    <row r="990" customHeight="1" spans="1:2">
      <c r="A990" s="3" t="s">
        <v>4991</v>
      </c>
      <c r="B990" s="4">
        <v>35092918</v>
      </c>
    </row>
    <row r="991" customHeight="1" spans="1:2">
      <c r="A991" s="3" t="s">
        <v>11235</v>
      </c>
      <c r="B991" s="4">
        <v>10569071</v>
      </c>
    </row>
    <row r="992" customHeight="1" spans="1:2">
      <c r="A992" s="3" t="s">
        <v>17993</v>
      </c>
      <c r="B992" s="4"/>
    </row>
    <row r="993" customHeight="1" spans="1:2">
      <c r="A993" s="3" t="s">
        <v>4064</v>
      </c>
      <c r="B993" s="4">
        <v>73648142</v>
      </c>
    </row>
    <row r="994" customHeight="1" spans="1:2">
      <c r="A994" s="3" t="s">
        <v>2568</v>
      </c>
      <c r="B994" s="4">
        <v>140459099</v>
      </c>
    </row>
    <row r="995" customHeight="1" spans="1:2">
      <c r="A995" s="3" t="s">
        <v>5948</v>
      </c>
      <c r="B995" s="4">
        <v>11146409</v>
      </c>
    </row>
    <row r="996" customHeight="1" spans="1:2">
      <c r="A996" s="3" t="s">
        <v>21203</v>
      </c>
      <c r="B996" s="4"/>
    </row>
    <row r="997" customHeight="1" spans="1:2">
      <c r="A997" s="3" t="s">
        <v>18833</v>
      </c>
      <c r="B997" s="4">
        <v>37606</v>
      </c>
    </row>
    <row r="998" customHeight="1" spans="1:2">
      <c r="A998" s="3" t="s">
        <v>5448</v>
      </c>
      <c r="B998" s="4"/>
    </row>
    <row r="999" customHeight="1" spans="1:2">
      <c r="A999" s="3" t="s">
        <v>16490</v>
      </c>
      <c r="B999" s="4">
        <v>31973840</v>
      </c>
    </row>
    <row r="1000" customHeight="1" spans="1:2">
      <c r="A1000" s="3" t="s">
        <v>2737</v>
      </c>
      <c r="B1000" s="4">
        <v>821997</v>
      </c>
    </row>
    <row r="1001" customHeight="1" spans="1:2">
      <c r="A1001" s="3" t="s">
        <v>13603</v>
      </c>
      <c r="B1001" s="4">
        <v>894186</v>
      </c>
    </row>
    <row r="1002" customHeight="1" spans="1:2">
      <c r="A1002" s="3" t="s">
        <v>13802</v>
      </c>
      <c r="B1002" s="4"/>
    </row>
    <row r="1003" customHeight="1" spans="1:2">
      <c r="A1003" s="3" t="s">
        <v>6848</v>
      </c>
      <c r="B1003" s="4">
        <v>511920</v>
      </c>
    </row>
    <row r="1004" customHeight="1" spans="1:2">
      <c r="A1004" s="3" t="s">
        <v>8488</v>
      </c>
      <c r="B1004" s="4">
        <v>30523568</v>
      </c>
    </row>
    <row r="1005" customHeight="1" spans="1:2">
      <c r="A1005" s="3" t="s">
        <v>10410</v>
      </c>
      <c r="B1005" s="4">
        <v>30659817</v>
      </c>
    </row>
    <row r="1006" customHeight="1" spans="1:2">
      <c r="A1006" s="3" t="s">
        <v>13040</v>
      </c>
      <c r="B1006" s="4">
        <v>13337299</v>
      </c>
    </row>
    <row r="1007" customHeight="1" spans="1:2">
      <c r="A1007" s="3" t="s">
        <v>19531</v>
      </c>
      <c r="B1007" s="4"/>
    </row>
    <row r="1008" customHeight="1" spans="1:2">
      <c r="A1008" s="3" t="s">
        <v>21617</v>
      </c>
      <c r="B1008" s="4"/>
    </row>
    <row r="1009" customHeight="1" spans="1:2">
      <c r="A1009" s="3" t="s">
        <v>10392</v>
      </c>
      <c r="B1009" s="4">
        <v>36020063</v>
      </c>
    </row>
    <row r="1010" customHeight="1" spans="1:2">
      <c r="A1010" s="3" t="s">
        <v>17986</v>
      </c>
      <c r="B1010" s="4">
        <v>99147</v>
      </c>
    </row>
    <row r="1011" customHeight="1" spans="1:2">
      <c r="A1011" s="3" t="s">
        <v>18800</v>
      </c>
      <c r="B1011" s="4">
        <v>143653</v>
      </c>
    </row>
    <row r="1012" customHeight="1" spans="1:2">
      <c r="A1012" s="3" t="s">
        <v>16504</v>
      </c>
      <c r="B1012" s="4">
        <v>25625110</v>
      </c>
    </row>
    <row r="1013" customHeight="1" spans="1:2">
      <c r="A1013" s="3" t="s">
        <v>2979</v>
      </c>
      <c r="B1013" s="4">
        <v>368049635</v>
      </c>
    </row>
    <row r="1014" customHeight="1" spans="1:2">
      <c r="A1014" s="3" t="s">
        <v>3550</v>
      </c>
      <c r="B1014" s="4">
        <v>251501645</v>
      </c>
    </row>
    <row r="1015" customHeight="1" spans="1:2">
      <c r="A1015" s="3" t="s">
        <v>22306</v>
      </c>
      <c r="B1015" s="4"/>
    </row>
    <row r="1016" customHeight="1" spans="1:2">
      <c r="A1016" s="3" t="s">
        <v>22662</v>
      </c>
      <c r="B1016" s="4">
        <v>1332</v>
      </c>
    </row>
    <row r="1017" customHeight="1" spans="1:2">
      <c r="A1017" s="3" t="s">
        <v>15614</v>
      </c>
      <c r="B1017" s="4"/>
    </row>
    <row r="1018" customHeight="1" spans="1:2">
      <c r="A1018" s="3" t="s">
        <v>22192</v>
      </c>
      <c r="B1018" s="4">
        <v>144583</v>
      </c>
    </row>
    <row r="1019" customHeight="1" spans="1:2">
      <c r="A1019" s="3" t="s">
        <v>12540</v>
      </c>
      <c r="B1019" s="4">
        <v>4193025</v>
      </c>
    </row>
    <row r="1020" customHeight="1" spans="1:2">
      <c r="A1020" s="3" t="s">
        <v>10404</v>
      </c>
      <c r="B1020" s="4">
        <v>22264487</v>
      </c>
    </row>
    <row r="1021" customHeight="1" spans="1:2">
      <c r="A1021" s="3" t="s">
        <v>11746</v>
      </c>
      <c r="B1021" s="4">
        <v>65535067</v>
      </c>
    </row>
    <row r="1022" customHeight="1" spans="1:2">
      <c r="A1022" s="3" t="s">
        <v>15141</v>
      </c>
      <c r="B1022" s="4">
        <v>6044618</v>
      </c>
    </row>
    <row r="1023" customHeight="1" spans="1:2">
      <c r="A1023" s="3" t="s">
        <v>14874</v>
      </c>
      <c r="B1023" s="4">
        <v>33583175</v>
      </c>
    </row>
    <row r="1024" customHeight="1" spans="1:2">
      <c r="A1024" s="3" t="s">
        <v>16536</v>
      </c>
      <c r="B1024" s="4">
        <v>15818967</v>
      </c>
    </row>
    <row r="1025" customHeight="1" spans="1:2">
      <c r="A1025" s="3" t="s">
        <v>22778</v>
      </c>
      <c r="B1025" s="4"/>
    </row>
    <row r="1026" customHeight="1" spans="1:2">
      <c r="A1026" s="3" t="s">
        <v>16452</v>
      </c>
      <c r="B1026" s="4">
        <v>43800000</v>
      </c>
    </row>
    <row r="1027" customHeight="1" spans="1:2">
      <c r="A1027" s="3" t="s">
        <v>17391</v>
      </c>
      <c r="B1027" s="4">
        <v>50382128</v>
      </c>
    </row>
    <row r="1028" customHeight="1" spans="1:2">
      <c r="A1028" s="3" t="s">
        <v>12715</v>
      </c>
      <c r="B1028" s="4">
        <v>64001297</v>
      </c>
    </row>
    <row r="1029" customHeight="1" spans="1:2">
      <c r="A1029" s="3" t="s">
        <v>10426</v>
      </c>
      <c r="B1029" s="4">
        <v>49002815</v>
      </c>
    </row>
    <row r="1030" customHeight="1" spans="1:2">
      <c r="A1030" s="3" t="s">
        <v>11775</v>
      </c>
      <c r="B1030" s="4">
        <v>52691009</v>
      </c>
    </row>
    <row r="1031" customHeight="1" spans="1:2">
      <c r="A1031" s="3" t="s">
        <v>19689</v>
      </c>
      <c r="B1031" s="4">
        <v>952620</v>
      </c>
    </row>
    <row r="1032" customHeight="1" spans="1:2">
      <c r="A1032" s="3" t="s">
        <v>5617</v>
      </c>
      <c r="B1032" s="4">
        <v>103738726</v>
      </c>
    </row>
    <row r="1033" customHeight="1" spans="1:2">
      <c r="A1033" s="3" t="s">
        <v>13797</v>
      </c>
      <c r="B1033" s="4">
        <v>6241697</v>
      </c>
    </row>
    <row r="1034" customHeight="1" spans="1:2">
      <c r="A1034" s="3" t="s">
        <v>12205</v>
      </c>
      <c r="B1034" s="4">
        <v>22734486</v>
      </c>
    </row>
    <row r="1035" customHeight="1" spans="1:2">
      <c r="A1035" s="3" t="s">
        <v>4492</v>
      </c>
      <c r="B1035" s="4">
        <v>29580087</v>
      </c>
    </row>
    <row r="1036" customHeight="1" spans="1:2">
      <c r="A1036" s="3" t="s">
        <v>967</v>
      </c>
      <c r="B1036" s="4">
        <v>160201106</v>
      </c>
    </row>
    <row r="1037" customHeight="1" spans="1:2">
      <c r="A1037" s="3" t="s">
        <v>3332</v>
      </c>
      <c r="B1037" s="4">
        <v>117541000</v>
      </c>
    </row>
    <row r="1038" customHeight="1" spans="1:2">
      <c r="A1038" s="3" t="s">
        <v>2150</v>
      </c>
      <c r="B1038" s="4">
        <v>100012500</v>
      </c>
    </row>
    <row r="1039" customHeight="1" spans="1:2">
      <c r="A1039" s="3" t="s">
        <v>8859</v>
      </c>
      <c r="B1039" s="4">
        <v>81350242</v>
      </c>
    </row>
    <row r="1040" customHeight="1" spans="1:2">
      <c r="A1040" s="3" t="s">
        <v>17803</v>
      </c>
      <c r="B1040" s="4">
        <v>9628751</v>
      </c>
    </row>
    <row r="1041" customHeight="1" spans="1:2">
      <c r="A1041" s="3" t="s">
        <v>20861</v>
      </c>
      <c r="B1041" s="4">
        <v>129319</v>
      </c>
    </row>
    <row r="1042" customHeight="1" spans="1:2">
      <c r="A1042" s="3" t="s">
        <v>17746</v>
      </c>
      <c r="B1042" s="4">
        <v>14100000</v>
      </c>
    </row>
    <row r="1043" customHeight="1" spans="1:2">
      <c r="A1043" s="3" t="s">
        <v>3598</v>
      </c>
      <c r="B1043" s="4">
        <v>72980108</v>
      </c>
    </row>
    <row r="1044" customHeight="1" spans="1:2">
      <c r="A1044" s="3" t="s">
        <v>20344</v>
      </c>
      <c r="B1044" s="4">
        <v>110000</v>
      </c>
    </row>
    <row r="1045" customHeight="1" spans="1:2">
      <c r="A1045" s="3" t="s">
        <v>1235</v>
      </c>
      <c r="B1045" s="4">
        <v>137748063</v>
      </c>
    </row>
    <row r="1046" customHeight="1" spans="1:2">
      <c r="A1046" s="3" t="s">
        <v>14490</v>
      </c>
      <c r="B1046" s="4">
        <v>35537564</v>
      </c>
    </row>
    <row r="1047" customHeight="1" spans="1:2">
      <c r="A1047" s="3" t="s">
        <v>15091</v>
      </c>
      <c r="B1047" s="4">
        <v>8111360</v>
      </c>
    </row>
    <row r="1048" customHeight="1" spans="1:2">
      <c r="A1048" s="3" t="s">
        <v>13790</v>
      </c>
      <c r="B1048" s="4">
        <v>9975684</v>
      </c>
    </row>
    <row r="1049" customHeight="1" spans="1:2">
      <c r="A1049" s="3" t="s">
        <v>11154</v>
      </c>
      <c r="B1049" s="4">
        <v>14174654</v>
      </c>
    </row>
    <row r="1050" customHeight="1" spans="1:2">
      <c r="A1050" s="3" t="s">
        <v>4641</v>
      </c>
      <c r="B1050" s="4">
        <v>83000000</v>
      </c>
    </row>
    <row r="1051" customHeight="1" spans="1:2">
      <c r="A1051" s="3" t="s">
        <v>8142</v>
      </c>
      <c r="B1051" s="4">
        <v>115646235</v>
      </c>
    </row>
    <row r="1052" customHeight="1" spans="1:2">
      <c r="A1052" s="3" t="s">
        <v>13218</v>
      </c>
      <c r="B1052" s="4">
        <v>1197786</v>
      </c>
    </row>
    <row r="1053" customHeight="1" spans="1:2">
      <c r="A1053" s="3" t="s">
        <v>6863</v>
      </c>
      <c r="B1053" s="4">
        <v>160100342</v>
      </c>
    </row>
    <row r="1054" customHeight="1" spans="1:2">
      <c r="A1054" s="3" t="s">
        <v>12956</v>
      </c>
      <c r="B1054" s="4">
        <v>17411331</v>
      </c>
    </row>
    <row r="1055" customHeight="1" spans="1:2">
      <c r="A1055" s="3" t="s">
        <v>2394</v>
      </c>
      <c r="B1055" s="4">
        <v>150832203</v>
      </c>
    </row>
    <row r="1056" customHeight="1" spans="1:2">
      <c r="A1056" s="3" t="s">
        <v>9092</v>
      </c>
      <c r="B1056" s="4">
        <v>69586544</v>
      </c>
    </row>
    <row r="1057" customHeight="1" spans="1:2">
      <c r="A1057" s="3" t="s">
        <v>1767</v>
      </c>
      <c r="B1057" s="4">
        <v>162804648</v>
      </c>
    </row>
    <row r="1058" customHeight="1" spans="1:2">
      <c r="A1058" s="3" t="s">
        <v>17438</v>
      </c>
      <c r="B1058" s="4">
        <v>27545445</v>
      </c>
    </row>
    <row r="1059" customHeight="1" spans="1:2">
      <c r="A1059" s="3" t="s">
        <v>20032</v>
      </c>
      <c r="B1059" s="4">
        <v>12985267</v>
      </c>
    </row>
    <row r="1060" customHeight="1" spans="1:2">
      <c r="A1060" s="3" t="s">
        <v>8700</v>
      </c>
      <c r="B1060" s="4">
        <v>480314</v>
      </c>
    </row>
    <row r="1061" customHeight="1" spans="1:2">
      <c r="A1061" s="3" t="s">
        <v>21964</v>
      </c>
      <c r="B1061" s="4"/>
    </row>
    <row r="1062" customHeight="1" spans="1:2">
      <c r="A1062" s="3" t="s">
        <v>3284</v>
      </c>
      <c r="B1062" s="4">
        <v>144156464</v>
      </c>
    </row>
    <row r="1063" customHeight="1" spans="1:2">
      <c r="A1063" s="3" t="s">
        <v>14494</v>
      </c>
      <c r="B1063" s="4">
        <v>111722000</v>
      </c>
    </row>
    <row r="1064" customHeight="1" spans="1:2">
      <c r="A1064" s="3" t="s">
        <v>8122</v>
      </c>
      <c r="B1064" s="4">
        <v>228648144</v>
      </c>
    </row>
    <row r="1065" customHeight="1" spans="1:2">
      <c r="A1065" s="3" t="s">
        <v>14900</v>
      </c>
      <c r="B1065" s="4">
        <v>30651422</v>
      </c>
    </row>
    <row r="1066" customHeight="1" spans="1:2">
      <c r="A1066" s="3" t="s">
        <v>23013</v>
      </c>
      <c r="B1066" s="4">
        <v>110197</v>
      </c>
    </row>
    <row r="1067" customHeight="1" spans="1:2">
      <c r="A1067" s="3" t="s">
        <v>22845</v>
      </c>
      <c r="B1067" s="4">
        <v>1293295</v>
      </c>
    </row>
    <row r="1068" customHeight="1" spans="1:2">
      <c r="A1068" s="3" t="s">
        <v>7189</v>
      </c>
      <c r="B1068" s="4">
        <v>42019483</v>
      </c>
    </row>
    <row r="1069" customHeight="1" spans="1:2">
      <c r="A1069" s="3" t="s">
        <v>7146</v>
      </c>
      <c r="B1069" s="4">
        <v>72279690</v>
      </c>
    </row>
    <row r="1070" customHeight="1" spans="1:2">
      <c r="A1070" s="3" t="s">
        <v>17102</v>
      </c>
      <c r="B1070" s="4">
        <v>7518876</v>
      </c>
    </row>
    <row r="1071" customHeight="1" spans="1:2">
      <c r="A1071" s="3" t="s">
        <v>16707</v>
      </c>
      <c r="B1071" s="4">
        <v>518134</v>
      </c>
    </row>
    <row r="1072" customHeight="1" spans="1:2">
      <c r="A1072" s="3" t="s">
        <v>4891</v>
      </c>
      <c r="B1072" s="4">
        <v>45207112</v>
      </c>
    </row>
    <row r="1073" customHeight="1" spans="1:2">
      <c r="A1073" s="3" t="s">
        <v>5454</v>
      </c>
      <c r="B1073" s="4">
        <v>10137232</v>
      </c>
    </row>
    <row r="1074" customHeight="1" spans="1:2">
      <c r="A1074" s="3" t="s">
        <v>17399</v>
      </c>
      <c r="B1074" s="4">
        <v>24475193</v>
      </c>
    </row>
    <row r="1075" customHeight="1" spans="1:2">
      <c r="A1075" s="3" t="s">
        <v>9737</v>
      </c>
      <c r="B1075" s="4">
        <v>22200000</v>
      </c>
    </row>
    <row r="1076" customHeight="1" spans="1:2">
      <c r="A1076" s="3" t="s">
        <v>17276</v>
      </c>
      <c r="B1076" s="4"/>
    </row>
    <row r="1077" customHeight="1" spans="1:2">
      <c r="A1077" s="3" t="s">
        <v>22274</v>
      </c>
      <c r="B1077" s="4">
        <v>18378</v>
      </c>
    </row>
    <row r="1078" customHeight="1" spans="1:2">
      <c r="A1078" s="3" t="s">
        <v>7398</v>
      </c>
      <c r="B1078" s="4">
        <v>41954997</v>
      </c>
    </row>
    <row r="1079" customHeight="1" spans="1:2">
      <c r="A1079" s="3" t="s">
        <v>18274</v>
      </c>
      <c r="B1079" s="4">
        <v>727883</v>
      </c>
    </row>
    <row r="1080" customHeight="1" spans="1:2">
      <c r="A1080" s="3" t="s">
        <v>19725</v>
      </c>
      <c r="B1080" s="4"/>
    </row>
    <row r="1081" customHeight="1" spans="1:2">
      <c r="A1081" s="3" t="s">
        <v>9756</v>
      </c>
      <c r="B1081" s="4">
        <v>24042490</v>
      </c>
    </row>
    <row r="1082" customHeight="1" spans="1:2">
      <c r="A1082" s="3" t="s">
        <v>5168</v>
      </c>
      <c r="B1082" s="4">
        <v>54997476</v>
      </c>
    </row>
    <row r="1083" customHeight="1" spans="1:2">
      <c r="A1083" s="3" t="s">
        <v>11297</v>
      </c>
      <c r="B1083" s="4">
        <v>7382993</v>
      </c>
    </row>
    <row r="1084" customHeight="1" spans="1:2">
      <c r="A1084" s="3" t="s">
        <v>3449</v>
      </c>
      <c r="B1084" s="4">
        <v>28031250</v>
      </c>
    </row>
    <row r="1085" customHeight="1" spans="1:2">
      <c r="A1085" s="3" t="s">
        <v>7878</v>
      </c>
      <c r="B1085" s="4">
        <v>10955425</v>
      </c>
    </row>
    <row r="1086" customHeight="1" spans="1:2">
      <c r="A1086" s="3" t="s">
        <v>16552</v>
      </c>
      <c r="B1086" s="4">
        <v>17474107</v>
      </c>
    </row>
    <row r="1087" customHeight="1" spans="1:2">
      <c r="A1087" s="3" t="s">
        <v>12453</v>
      </c>
      <c r="B1087" s="4">
        <v>30102717</v>
      </c>
    </row>
    <row r="1088" customHeight="1" spans="1:2">
      <c r="A1088" s="3" t="s">
        <v>6252</v>
      </c>
      <c r="B1088" s="4">
        <v>116735231</v>
      </c>
    </row>
    <row r="1089" customHeight="1" spans="1:2">
      <c r="A1089" s="3" t="s">
        <v>10132</v>
      </c>
      <c r="B1089" s="4">
        <v>20218</v>
      </c>
    </row>
    <row r="1090" customHeight="1" spans="1:2">
      <c r="A1090" s="3" t="s">
        <v>10867</v>
      </c>
      <c r="B1090" s="4">
        <v>33422556</v>
      </c>
    </row>
    <row r="1091" customHeight="1" spans="1:2">
      <c r="A1091" s="3" t="s">
        <v>17645</v>
      </c>
      <c r="B1091" s="4">
        <v>19421271</v>
      </c>
    </row>
    <row r="1092" customHeight="1" spans="1:2">
      <c r="A1092" s="3" t="s">
        <v>21350</v>
      </c>
      <c r="B1092" s="4">
        <v>58936</v>
      </c>
    </row>
    <row r="1093" customHeight="1" spans="1:2">
      <c r="A1093" s="3" t="s">
        <v>18809</v>
      </c>
      <c r="B1093" s="4"/>
    </row>
    <row r="1094" customHeight="1" spans="1:2">
      <c r="A1094" s="3" t="s">
        <v>16199</v>
      </c>
      <c r="B1094" s="4">
        <v>568695</v>
      </c>
    </row>
    <row r="1095" customHeight="1" spans="1:2">
      <c r="A1095" s="3" t="s">
        <v>23971</v>
      </c>
      <c r="B1095" s="4">
        <v>9609</v>
      </c>
    </row>
    <row r="1096" customHeight="1" spans="1:2">
      <c r="A1096" s="3" t="s">
        <v>8211</v>
      </c>
      <c r="B1096" s="4">
        <v>64172251</v>
      </c>
    </row>
    <row r="1097" customHeight="1" spans="1:2">
      <c r="A1097" s="3" t="s">
        <v>15646</v>
      </c>
      <c r="B1097" s="4">
        <v>20035310</v>
      </c>
    </row>
    <row r="1098" customHeight="1" spans="1:2">
      <c r="A1098" s="3" t="s">
        <v>13626</v>
      </c>
      <c r="B1098" s="4">
        <v>5501940</v>
      </c>
    </row>
    <row r="1099" customHeight="1" spans="1:2">
      <c r="A1099" s="3" t="s">
        <v>3237</v>
      </c>
      <c r="B1099" s="4">
        <v>112950721</v>
      </c>
    </row>
    <row r="1100" customHeight="1" spans="1:2">
      <c r="A1100" s="3" t="s">
        <v>21534</v>
      </c>
      <c r="B1100" s="4">
        <v>16067035</v>
      </c>
    </row>
    <row r="1101" customHeight="1" spans="1:2">
      <c r="A1101" s="3" t="s">
        <v>20669</v>
      </c>
      <c r="B1101" s="4"/>
    </row>
    <row r="1102" customHeight="1" spans="1:2">
      <c r="A1102" s="3" t="s">
        <v>8948</v>
      </c>
      <c r="B1102" s="4">
        <v>33000377</v>
      </c>
    </row>
    <row r="1103" customHeight="1" spans="1:2">
      <c r="A1103" s="3" t="s">
        <v>3419</v>
      </c>
      <c r="B1103" s="4">
        <v>55942830</v>
      </c>
    </row>
    <row r="1104" customHeight="1" spans="1:2">
      <c r="A1104" s="3" t="s">
        <v>21450</v>
      </c>
      <c r="B1104" s="4">
        <v>39659</v>
      </c>
    </row>
    <row r="1105" customHeight="1" spans="1:2">
      <c r="A1105" s="3" t="s">
        <v>9858</v>
      </c>
      <c r="B1105" s="4">
        <v>28831145</v>
      </c>
    </row>
    <row r="1106" customHeight="1" spans="1:2">
      <c r="A1106" s="3" t="s">
        <v>8349</v>
      </c>
      <c r="B1106" s="4">
        <v>42057340</v>
      </c>
    </row>
    <row r="1107" customHeight="1" spans="1:2">
      <c r="A1107" s="3" t="s">
        <v>3878</v>
      </c>
      <c r="B1107" s="4">
        <v>72413</v>
      </c>
    </row>
    <row r="1108" customHeight="1" spans="1:2">
      <c r="A1108" s="3" t="s">
        <v>12328</v>
      </c>
      <c r="B1108" s="4"/>
    </row>
    <row r="1109" customHeight="1" spans="1:2">
      <c r="A1109" s="3" t="s">
        <v>6996</v>
      </c>
      <c r="B1109" s="4"/>
    </row>
    <row r="1110" customHeight="1" spans="1:2">
      <c r="A1110" s="3" t="s">
        <v>8000</v>
      </c>
      <c r="B1110" s="4">
        <v>10956379</v>
      </c>
    </row>
    <row r="1111" customHeight="1" spans="1:2">
      <c r="A1111" s="3" t="s">
        <v>8605</v>
      </c>
      <c r="B1111" s="4">
        <v>9353573</v>
      </c>
    </row>
    <row r="1112" customHeight="1" spans="1:2">
      <c r="A1112" s="3" t="s">
        <v>4339</v>
      </c>
      <c r="B1112" s="4">
        <v>30063805</v>
      </c>
    </row>
    <row r="1113" customHeight="1" spans="1:2">
      <c r="A1113" s="3" t="s">
        <v>4524</v>
      </c>
      <c r="B1113" s="4">
        <v>51317350</v>
      </c>
    </row>
    <row r="1114" customHeight="1" spans="1:2">
      <c r="A1114" s="3" t="s">
        <v>11962</v>
      </c>
      <c r="B1114" s="4">
        <v>6000000</v>
      </c>
    </row>
    <row r="1115" customHeight="1" spans="1:2">
      <c r="A1115" s="3" t="s">
        <v>5426</v>
      </c>
      <c r="B1115" s="4">
        <v>21283440</v>
      </c>
    </row>
    <row r="1116" customHeight="1" spans="1:2">
      <c r="A1116" s="3" t="s">
        <v>21718</v>
      </c>
      <c r="B1116" s="4">
        <v>464655</v>
      </c>
    </row>
    <row r="1117" customHeight="1" spans="1:2">
      <c r="A1117" s="3" t="s">
        <v>3642</v>
      </c>
      <c r="B1117" s="4">
        <v>33685268</v>
      </c>
    </row>
    <row r="1118" customHeight="1" spans="1:2">
      <c r="A1118" s="3" t="s">
        <v>7967</v>
      </c>
      <c r="B1118" s="4">
        <v>32701088</v>
      </c>
    </row>
    <row r="1119" customHeight="1" spans="1:2">
      <c r="A1119" s="3" t="s">
        <v>3079</v>
      </c>
      <c r="B1119" s="4">
        <v>103338338</v>
      </c>
    </row>
    <row r="1120" customHeight="1" spans="1:2">
      <c r="A1120" s="3" t="s">
        <v>19116</v>
      </c>
      <c r="B1120" s="4">
        <v>7680</v>
      </c>
    </row>
    <row r="1121" customHeight="1" spans="1:2">
      <c r="A1121" s="3" t="s">
        <v>2487</v>
      </c>
      <c r="B1121" s="4">
        <v>26803366</v>
      </c>
    </row>
    <row r="1122" customHeight="1" spans="1:2">
      <c r="A1122" s="3" t="s">
        <v>16874</v>
      </c>
      <c r="B1122" s="4">
        <v>31899000</v>
      </c>
    </row>
    <row r="1123" customHeight="1" spans="1:2">
      <c r="A1123" s="3" t="s">
        <v>6611</v>
      </c>
      <c r="B1123" s="4">
        <v>32853640</v>
      </c>
    </row>
    <row r="1124" customHeight="1" spans="1:2">
      <c r="A1124" s="3" t="s">
        <v>22597</v>
      </c>
      <c r="B1124" s="4">
        <v>342936</v>
      </c>
    </row>
    <row r="1125" customHeight="1" spans="1:2">
      <c r="A1125" s="3" t="s">
        <v>5488</v>
      </c>
      <c r="B1125" s="4">
        <v>10706786</v>
      </c>
    </row>
    <row r="1126" customHeight="1" spans="1:2">
      <c r="A1126" s="3" t="s">
        <v>14526</v>
      </c>
      <c r="B1126" s="4"/>
    </row>
    <row r="1127" customHeight="1" spans="1:2">
      <c r="A1127" s="3" t="s">
        <v>16064</v>
      </c>
      <c r="B1127" s="4">
        <v>17843379</v>
      </c>
    </row>
    <row r="1128" customHeight="1" spans="1:2">
      <c r="A1128" s="3" t="s">
        <v>12852</v>
      </c>
      <c r="B1128" s="4">
        <v>35054909</v>
      </c>
    </row>
    <row r="1129" customHeight="1" spans="1:2">
      <c r="A1129" s="3" t="s">
        <v>3268</v>
      </c>
      <c r="B1129" s="4">
        <v>32616869</v>
      </c>
    </row>
    <row r="1130" customHeight="1" spans="1:2">
      <c r="A1130" s="3" t="s">
        <v>18142</v>
      </c>
      <c r="B1130" s="4">
        <v>238774</v>
      </c>
    </row>
    <row r="1131" customHeight="1" spans="1:2">
      <c r="A1131" s="3" t="s">
        <v>16315</v>
      </c>
      <c r="B1131" s="4">
        <v>106593296</v>
      </c>
    </row>
    <row r="1132" customHeight="1" spans="1:2">
      <c r="A1132" s="3" t="s">
        <v>15071</v>
      </c>
      <c r="B1132" s="4">
        <v>10561238</v>
      </c>
    </row>
    <row r="1133" customHeight="1" spans="1:2">
      <c r="A1133" s="3" t="s">
        <v>12491</v>
      </c>
      <c r="B1133" s="4">
        <v>15427192</v>
      </c>
    </row>
    <row r="1134" customHeight="1" spans="1:2">
      <c r="A1134" s="3" t="s">
        <v>10729</v>
      </c>
      <c r="B1134" s="4">
        <v>56398162</v>
      </c>
    </row>
    <row r="1135" customHeight="1" spans="1:2">
      <c r="A1135" s="3" t="s">
        <v>24013</v>
      </c>
      <c r="B1135" s="4"/>
    </row>
    <row r="1136" customHeight="1" spans="1:2">
      <c r="A1136" s="3" t="s">
        <v>13674</v>
      </c>
      <c r="B1136" s="4">
        <v>46729374</v>
      </c>
    </row>
    <row r="1137" customHeight="1" spans="1:2">
      <c r="A1137" s="3" t="s">
        <v>23728</v>
      </c>
      <c r="B1137" s="4"/>
    </row>
    <row r="1138" customHeight="1" spans="1:2">
      <c r="A1138" s="3" t="s">
        <v>10477</v>
      </c>
      <c r="B1138" s="4">
        <v>9694105</v>
      </c>
    </row>
    <row r="1139" customHeight="1" spans="1:2">
      <c r="A1139" s="3" t="s">
        <v>3685</v>
      </c>
      <c r="B1139" s="4">
        <v>100448498</v>
      </c>
    </row>
    <row r="1140" customHeight="1" spans="1:2">
      <c r="A1140" s="3" t="s">
        <v>17044</v>
      </c>
      <c r="B1140" s="4">
        <v>20400000</v>
      </c>
    </row>
    <row r="1141" customHeight="1" spans="1:2">
      <c r="A1141" s="3" t="s">
        <v>12532</v>
      </c>
      <c r="B1141" s="4">
        <v>4734235</v>
      </c>
    </row>
    <row r="1142" customHeight="1" spans="1:2">
      <c r="A1142" s="3" t="s">
        <v>17519</v>
      </c>
      <c r="B1142" s="4">
        <v>563699</v>
      </c>
    </row>
    <row r="1143" customHeight="1" spans="1:2">
      <c r="A1143" s="3" t="s">
        <v>14359</v>
      </c>
      <c r="B1143" s="4">
        <v>860002</v>
      </c>
    </row>
    <row r="1144" customHeight="1" spans="1:2">
      <c r="A1144" s="3" t="s">
        <v>12380</v>
      </c>
      <c r="B1144" s="4">
        <v>127175354</v>
      </c>
    </row>
    <row r="1145" customHeight="1" spans="1:2">
      <c r="A1145" s="3" t="s">
        <v>6337</v>
      </c>
      <c r="B1145" s="4">
        <v>86208010</v>
      </c>
    </row>
    <row r="1146" customHeight="1" spans="1:2">
      <c r="A1146" s="3" t="s">
        <v>8464</v>
      </c>
      <c r="B1146" s="4">
        <v>26096584</v>
      </c>
    </row>
    <row r="1147" customHeight="1" spans="1:2">
      <c r="A1147" s="3" t="s">
        <v>5880</v>
      </c>
      <c r="B1147" s="4">
        <v>27400000</v>
      </c>
    </row>
    <row r="1148" customHeight="1" spans="1:2">
      <c r="A1148" s="3" t="s">
        <v>13303</v>
      </c>
      <c r="B1148" s="4"/>
    </row>
    <row r="1149" customHeight="1" spans="1:2">
      <c r="A1149" s="3" t="s">
        <v>6798</v>
      </c>
      <c r="B1149" s="4">
        <v>9652000</v>
      </c>
    </row>
    <row r="1150" customHeight="1" spans="1:2">
      <c r="A1150" s="3" t="s">
        <v>4237</v>
      </c>
      <c r="B1150" s="4">
        <v>40559930</v>
      </c>
    </row>
    <row r="1151" customHeight="1" spans="1:2">
      <c r="A1151" s="3" t="s">
        <v>24009</v>
      </c>
      <c r="B1151" s="4"/>
    </row>
    <row r="1152" customHeight="1" spans="1:2">
      <c r="A1152" s="3" t="s">
        <v>11530</v>
      </c>
      <c r="B1152" s="4"/>
    </row>
    <row r="1153" customHeight="1" spans="1:2">
      <c r="A1153" s="3" t="s">
        <v>18071</v>
      </c>
      <c r="B1153" s="4"/>
    </row>
    <row r="1154" customHeight="1" spans="1:2">
      <c r="A1154" s="3" t="s">
        <v>11476</v>
      </c>
      <c r="B1154" s="4">
        <v>1183354</v>
      </c>
    </row>
    <row r="1155" customHeight="1" spans="1:2">
      <c r="A1155" s="3" t="s">
        <v>20747</v>
      </c>
      <c r="B1155" s="4"/>
    </row>
    <row r="1156" customHeight="1" spans="1:2">
      <c r="A1156" s="3" t="s">
        <v>19427</v>
      </c>
      <c r="B1156" s="4">
        <v>2223990</v>
      </c>
    </row>
    <row r="1157" customHeight="1" spans="1:2">
      <c r="A1157" s="3" t="s">
        <v>14733</v>
      </c>
      <c r="B1157" s="4">
        <v>434949459</v>
      </c>
    </row>
    <row r="1158" customHeight="1" spans="1:2">
      <c r="A1158" s="3" t="s">
        <v>2645</v>
      </c>
      <c r="B1158" s="4">
        <v>101111837</v>
      </c>
    </row>
    <row r="1159" customHeight="1" spans="1:2">
      <c r="A1159" s="3" t="s">
        <v>13765</v>
      </c>
      <c r="B1159" s="4">
        <v>38916903</v>
      </c>
    </row>
    <row r="1160" customHeight="1" spans="1:2">
      <c r="A1160" s="3" t="s">
        <v>5609</v>
      </c>
      <c r="B1160" s="4">
        <v>528972</v>
      </c>
    </row>
    <row r="1161" customHeight="1" spans="1:2">
      <c r="A1161" s="3" t="s">
        <v>19359</v>
      </c>
      <c r="B1161" s="4">
        <v>4170647</v>
      </c>
    </row>
    <row r="1162" customHeight="1" spans="1:2">
      <c r="A1162" s="3" t="s">
        <v>5406</v>
      </c>
      <c r="B1162" s="4">
        <v>17114882</v>
      </c>
    </row>
    <row r="1163" customHeight="1" spans="1:2">
      <c r="A1163" s="3" t="s">
        <v>16108</v>
      </c>
      <c r="B1163" s="4">
        <v>58401464</v>
      </c>
    </row>
    <row r="1164" customHeight="1" spans="1:2">
      <c r="A1164" s="3" t="s">
        <v>18380</v>
      </c>
      <c r="B1164" s="4">
        <v>188870</v>
      </c>
    </row>
    <row r="1165" customHeight="1" spans="1:2">
      <c r="A1165" s="3" t="s">
        <v>13540</v>
      </c>
      <c r="B1165" s="4">
        <v>2656324</v>
      </c>
    </row>
    <row r="1166" customHeight="1" spans="1:2">
      <c r="A1166" s="3" t="s">
        <v>4029</v>
      </c>
      <c r="B1166" s="4">
        <v>80574010</v>
      </c>
    </row>
    <row r="1167" customHeight="1" spans="1:2">
      <c r="A1167" s="3" t="s">
        <v>23758</v>
      </c>
      <c r="B1167" s="4"/>
    </row>
    <row r="1168" customHeight="1" spans="1:2">
      <c r="A1168" s="3" t="s">
        <v>20708</v>
      </c>
      <c r="B1168" s="4"/>
    </row>
    <row r="1169" customHeight="1" spans="1:2">
      <c r="A1169" s="3" t="s">
        <v>11970</v>
      </c>
      <c r="B1169" s="4">
        <v>5887457</v>
      </c>
    </row>
    <row r="1170" customHeight="1" spans="1:2">
      <c r="A1170" s="3" t="s">
        <v>9730</v>
      </c>
      <c r="B1170" s="4">
        <v>31571264</v>
      </c>
    </row>
    <row r="1171" customHeight="1" spans="1:2">
      <c r="A1171" s="3" t="s">
        <v>21184</v>
      </c>
      <c r="B1171" s="4">
        <v>1521</v>
      </c>
    </row>
    <row r="1172" customHeight="1" spans="1:2">
      <c r="A1172" s="3" t="s">
        <v>20456</v>
      </c>
      <c r="B1172" s="4">
        <v>5824</v>
      </c>
    </row>
    <row r="1173" customHeight="1" spans="1:2">
      <c r="A1173" s="3" t="s">
        <v>20049</v>
      </c>
      <c r="B1173" s="4"/>
    </row>
    <row r="1174" customHeight="1" spans="1:2">
      <c r="A1174" s="3" t="s">
        <v>4274</v>
      </c>
      <c r="B1174" s="4">
        <v>43290977</v>
      </c>
    </row>
    <row r="1175" customHeight="1" spans="1:2">
      <c r="A1175" s="3" t="s">
        <v>526</v>
      </c>
      <c r="B1175" s="4">
        <v>100189501</v>
      </c>
    </row>
    <row r="1176" customHeight="1" spans="1:2">
      <c r="A1176" s="3" t="s">
        <v>15355</v>
      </c>
      <c r="B1176" s="4">
        <v>131617</v>
      </c>
    </row>
    <row r="1177" customHeight="1" spans="1:2">
      <c r="A1177" s="3" t="s">
        <v>4390</v>
      </c>
      <c r="B1177" s="4">
        <v>22362500</v>
      </c>
    </row>
    <row r="1178" customHeight="1" spans="1:2">
      <c r="A1178" s="3" t="s">
        <v>10736</v>
      </c>
      <c r="B1178" s="4">
        <v>56362352</v>
      </c>
    </row>
    <row r="1179" customHeight="1" spans="1:2">
      <c r="A1179" s="3" t="s">
        <v>6341</v>
      </c>
      <c r="B1179" s="4">
        <v>81593527</v>
      </c>
    </row>
    <row r="1180" customHeight="1" spans="1:2">
      <c r="A1180" s="3" t="s">
        <v>8538</v>
      </c>
      <c r="B1180" s="4">
        <v>17266505</v>
      </c>
    </row>
    <row r="1181" customHeight="1" spans="1:2">
      <c r="A1181" s="3" t="s">
        <v>20674</v>
      </c>
      <c r="B1181" s="4">
        <v>5709616</v>
      </c>
    </row>
    <row r="1182" customHeight="1" spans="1:2">
      <c r="A1182" s="3" t="s">
        <v>24121</v>
      </c>
      <c r="B1182" s="4">
        <v>2040920</v>
      </c>
    </row>
    <row r="1183" customHeight="1" spans="1:2">
      <c r="A1183" s="3" t="s">
        <v>15868</v>
      </c>
      <c r="B1183" s="4">
        <v>14879556</v>
      </c>
    </row>
    <row r="1184" customHeight="1" spans="1:2">
      <c r="A1184" s="3" t="s">
        <v>3825</v>
      </c>
      <c r="B1184" s="4">
        <v>24407944</v>
      </c>
    </row>
    <row r="1185" customHeight="1" spans="1:2">
      <c r="A1185" s="3" t="s">
        <v>7890</v>
      </c>
      <c r="B1185" s="4">
        <v>173381405</v>
      </c>
    </row>
    <row r="1186" customHeight="1" spans="1:2">
      <c r="A1186" s="3" t="s">
        <v>16838</v>
      </c>
      <c r="B1186" s="4">
        <v>8060</v>
      </c>
    </row>
    <row r="1187" customHeight="1" spans="1:2">
      <c r="A1187" s="3" t="s">
        <v>9658</v>
      </c>
      <c r="B1187" s="4">
        <v>30012990</v>
      </c>
    </row>
    <row r="1188" customHeight="1" spans="1:2">
      <c r="A1188" s="3" t="s">
        <v>4775</v>
      </c>
      <c r="B1188" s="4">
        <v>16264475</v>
      </c>
    </row>
    <row r="1189" customHeight="1" spans="1:2">
      <c r="A1189" s="3" t="s">
        <v>4855</v>
      </c>
      <c r="B1189" s="4">
        <v>26838389</v>
      </c>
    </row>
    <row r="1190" customHeight="1" spans="1:2">
      <c r="A1190" s="3" t="s">
        <v>7543</v>
      </c>
      <c r="B1190" s="4">
        <v>22913677</v>
      </c>
    </row>
    <row r="1191" customHeight="1" spans="1:2">
      <c r="A1191" s="3" t="s">
        <v>20082</v>
      </c>
      <c r="B1191" s="4">
        <v>313436</v>
      </c>
    </row>
    <row r="1192" customHeight="1" spans="1:2">
      <c r="A1192" s="3" t="s">
        <v>19295</v>
      </c>
      <c r="B1192" s="4"/>
    </row>
    <row r="1193" customHeight="1" spans="1:2">
      <c r="A1193" s="3" t="s">
        <v>15378</v>
      </c>
      <c r="B1193" s="4"/>
    </row>
    <row r="1194" customHeight="1" spans="1:2">
      <c r="A1194" s="3" t="s">
        <v>1392</v>
      </c>
      <c r="B1194" s="4">
        <v>93050117</v>
      </c>
    </row>
    <row r="1195" customHeight="1" spans="1:2">
      <c r="A1195" s="3" t="s">
        <v>22107</v>
      </c>
      <c r="B1195" s="4"/>
    </row>
    <row r="1196" customHeight="1" spans="1:2">
      <c r="A1196" s="3" t="s">
        <v>17292</v>
      </c>
      <c r="B1196" s="4"/>
    </row>
    <row r="1197" customHeight="1" spans="1:2">
      <c r="A1197" s="3" t="s">
        <v>18886</v>
      </c>
      <c r="B1197" s="4"/>
    </row>
    <row r="1198" customHeight="1" spans="1:2">
      <c r="A1198" s="3" t="s">
        <v>14923</v>
      </c>
      <c r="B1198" s="4">
        <v>28435406</v>
      </c>
    </row>
    <row r="1199" customHeight="1" spans="1:2">
      <c r="A1199" s="3" t="s">
        <v>2345</v>
      </c>
      <c r="B1199" s="4">
        <v>127706877</v>
      </c>
    </row>
    <row r="1200" customHeight="1" spans="1:2">
      <c r="A1200" s="3" t="s">
        <v>1824</v>
      </c>
      <c r="B1200" s="4">
        <v>66862068</v>
      </c>
    </row>
    <row r="1201" customHeight="1" spans="1:2">
      <c r="A1201" s="3" t="s">
        <v>15060</v>
      </c>
      <c r="B1201" s="4">
        <v>11703287</v>
      </c>
    </row>
    <row r="1202" customHeight="1" spans="1:2">
      <c r="A1202" s="3" t="s">
        <v>12801</v>
      </c>
      <c r="B1202" s="4">
        <v>40983001</v>
      </c>
    </row>
    <row r="1203" customHeight="1" spans="1:2">
      <c r="A1203" s="3" t="s">
        <v>1615</v>
      </c>
      <c r="B1203" s="4">
        <v>61656849</v>
      </c>
    </row>
    <row r="1204" customHeight="1" spans="1:2">
      <c r="A1204" s="3" t="s">
        <v>11045</v>
      </c>
      <c r="B1204" s="4">
        <v>23393765</v>
      </c>
    </row>
    <row r="1205" customHeight="1" spans="1:2">
      <c r="A1205" s="3" t="s">
        <v>2401</v>
      </c>
      <c r="B1205" s="4">
        <v>51396781</v>
      </c>
    </row>
    <row r="1206" customHeight="1" spans="1:2">
      <c r="A1206" s="3" t="s">
        <v>2374</v>
      </c>
      <c r="B1206" s="4">
        <v>111544445</v>
      </c>
    </row>
    <row r="1207" customHeight="1" spans="1:2">
      <c r="A1207" s="3" t="s">
        <v>16104</v>
      </c>
      <c r="B1207" s="4">
        <v>17536788</v>
      </c>
    </row>
    <row r="1208" customHeight="1" spans="1:2">
      <c r="A1208" s="3" t="s">
        <v>7003</v>
      </c>
      <c r="B1208" s="4">
        <v>39177215</v>
      </c>
    </row>
    <row r="1209" customHeight="1" spans="1:2">
      <c r="A1209" s="3" t="s">
        <v>22715</v>
      </c>
      <c r="B1209" s="4"/>
    </row>
    <row r="1210" customHeight="1" spans="1:2">
      <c r="A1210" s="3" t="s">
        <v>19582</v>
      </c>
      <c r="B1210" s="4"/>
    </row>
    <row r="1211" customHeight="1" spans="1:2">
      <c r="A1211" s="3" t="s">
        <v>12586</v>
      </c>
      <c r="B1211" s="4">
        <v>336467</v>
      </c>
    </row>
    <row r="1212" customHeight="1" spans="1:2">
      <c r="A1212" s="3" t="s">
        <v>8428</v>
      </c>
      <c r="B1212" s="4"/>
    </row>
    <row r="1213" customHeight="1" spans="1:2">
      <c r="A1213" s="3" t="s">
        <v>3606</v>
      </c>
      <c r="B1213" s="4">
        <v>87704396</v>
      </c>
    </row>
    <row r="1214" customHeight="1" spans="1:2">
      <c r="A1214" s="3" t="s">
        <v>11175</v>
      </c>
      <c r="B1214" s="4">
        <v>12181484</v>
      </c>
    </row>
    <row r="1215" customHeight="1" spans="1:2">
      <c r="A1215" s="3" t="s">
        <v>10808</v>
      </c>
      <c r="B1215" s="4">
        <v>39737645</v>
      </c>
    </row>
    <row r="1216" customHeight="1" spans="1:2">
      <c r="A1216" s="3" t="s">
        <v>1811</v>
      </c>
      <c r="B1216" s="4">
        <v>107515297</v>
      </c>
    </row>
    <row r="1217" customHeight="1" spans="1:2">
      <c r="A1217" s="3" t="s">
        <v>11421</v>
      </c>
      <c r="B1217" s="4">
        <v>1190018</v>
      </c>
    </row>
    <row r="1218" customHeight="1" spans="1:2">
      <c r="A1218" s="3" t="s">
        <v>1798</v>
      </c>
      <c r="B1218" s="4">
        <v>75030163</v>
      </c>
    </row>
    <row r="1219" customHeight="1" spans="1:2">
      <c r="A1219" s="3" t="s">
        <v>1762</v>
      </c>
      <c r="B1219" s="4">
        <v>101228120</v>
      </c>
    </row>
    <row r="1220" customHeight="1" spans="1:2">
      <c r="A1220" s="3" t="s">
        <v>23695</v>
      </c>
      <c r="B1220" s="4"/>
    </row>
    <row r="1221" customHeight="1" spans="1:2">
      <c r="A1221" s="3" t="s">
        <v>5040</v>
      </c>
      <c r="B1221" s="4">
        <v>125548685</v>
      </c>
    </row>
    <row r="1222" customHeight="1" spans="1:2">
      <c r="A1222" s="3" t="s">
        <v>14021</v>
      </c>
      <c r="B1222" s="4">
        <v>71442</v>
      </c>
    </row>
    <row r="1223" customHeight="1" spans="1:2">
      <c r="A1223" s="3" t="s">
        <v>16005</v>
      </c>
      <c r="B1223" s="4">
        <v>36500000</v>
      </c>
    </row>
    <row r="1224" customHeight="1" spans="1:2">
      <c r="A1224" s="3" t="s">
        <v>5371</v>
      </c>
      <c r="B1224" s="4">
        <v>25407250</v>
      </c>
    </row>
    <row r="1225" customHeight="1" spans="1:2">
      <c r="A1225" s="3" t="s">
        <v>17051</v>
      </c>
      <c r="B1225" s="4">
        <v>25244700</v>
      </c>
    </row>
    <row r="1226" customHeight="1" spans="1:2">
      <c r="A1226" s="3" t="s">
        <v>6460</v>
      </c>
      <c r="B1226" s="4">
        <v>57011847</v>
      </c>
    </row>
    <row r="1227" customHeight="1" spans="1:2">
      <c r="A1227" s="3" t="s">
        <v>19818</v>
      </c>
      <c r="B1227" s="4"/>
    </row>
    <row r="1228" customHeight="1" spans="1:2">
      <c r="A1228" s="3" t="s">
        <v>22351</v>
      </c>
      <c r="B1228" s="4">
        <v>169719</v>
      </c>
    </row>
    <row r="1229" customHeight="1" spans="1:2">
      <c r="A1229" s="3" t="s">
        <v>3528</v>
      </c>
      <c r="B1229" s="4">
        <v>25121291</v>
      </c>
    </row>
    <row r="1230" customHeight="1" spans="1:2">
      <c r="A1230" s="3" t="s">
        <v>12318</v>
      </c>
      <c r="B1230" s="4">
        <v>106869</v>
      </c>
    </row>
    <row r="1231" customHeight="1" spans="1:2">
      <c r="A1231" s="3" t="s">
        <v>10944</v>
      </c>
      <c r="B1231" s="4">
        <v>34126138</v>
      </c>
    </row>
    <row r="1232" customHeight="1" spans="1:2">
      <c r="A1232" s="3" t="s">
        <v>15432</v>
      </c>
      <c r="B1232" s="4">
        <v>70527</v>
      </c>
    </row>
    <row r="1233" customHeight="1" spans="1:2">
      <c r="A1233" s="3" t="s">
        <v>20404</v>
      </c>
      <c r="B1233" s="4"/>
    </row>
    <row r="1234" customHeight="1" spans="1:2">
      <c r="A1234" s="3" t="s">
        <v>9771</v>
      </c>
      <c r="B1234" s="4">
        <v>17718223</v>
      </c>
    </row>
    <row r="1235" customHeight="1" spans="1:2">
      <c r="A1235" s="3" t="s">
        <v>519</v>
      </c>
      <c r="B1235" s="4">
        <v>100289690</v>
      </c>
    </row>
    <row r="1236" customHeight="1" spans="1:2">
      <c r="A1236" s="3" t="s">
        <v>4334</v>
      </c>
      <c r="B1236" s="4">
        <v>26616590</v>
      </c>
    </row>
    <row r="1237" customHeight="1" spans="1:2">
      <c r="A1237" s="3" t="s">
        <v>9244</v>
      </c>
      <c r="B1237" s="4">
        <v>65703412</v>
      </c>
    </row>
    <row r="1238" customHeight="1" spans="1:2">
      <c r="A1238" s="3" t="s">
        <v>3841</v>
      </c>
      <c r="B1238" s="4">
        <v>43247140</v>
      </c>
    </row>
    <row r="1239" customHeight="1" spans="1:2">
      <c r="A1239" s="3" t="s">
        <v>11261</v>
      </c>
      <c r="B1239" s="4">
        <v>8855646</v>
      </c>
    </row>
    <row r="1240" customHeight="1" spans="1:2">
      <c r="A1240" s="3" t="s">
        <v>11253</v>
      </c>
      <c r="B1240" s="4">
        <v>9714482</v>
      </c>
    </row>
    <row r="1241" customHeight="1" spans="1:2">
      <c r="A1241" s="3" t="s">
        <v>17897</v>
      </c>
      <c r="B1241" s="4">
        <v>2711210</v>
      </c>
    </row>
    <row r="1242" customHeight="1" spans="1:2">
      <c r="A1242" s="3" t="s">
        <v>22676</v>
      </c>
      <c r="B1242" s="4"/>
    </row>
    <row r="1243" customHeight="1" spans="1:2">
      <c r="A1243" s="3" t="s">
        <v>20146</v>
      </c>
      <c r="B1243" s="4"/>
    </row>
    <row r="1244" customHeight="1" spans="1:2">
      <c r="A1244" s="3" t="s">
        <v>17680</v>
      </c>
      <c r="B1244" s="4">
        <v>14821531</v>
      </c>
    </row>
    <row r="1245" customHeight="1" spans="1:2">
      <c r="A1245" s="3" t="s">
        <v>18952</v>
      </c>
      <c r="B1245" s="4">
        <v>5923044</v>
      </c>
    </row>
    <row r="1246" customHeight="1" spans="1:2">
      <c r="A1246" s="3" t="s">
        <v>12266</v>
      </c>
      <c r="B1246" s="4">
        <v>54239856</v>
      </c>
    </row>
    <row r="1247" customHeight="1" spans="1:2">
      <c r="A1247" s="3" t="s">
        <v>4710</v>
      </c>
      <c r="B1247" s="4">
        <v>49994804</v>
      </c>
    </row>
    <row r="1248" customHeight="1" spans="1:2">
      <c r="A1248" s="3" t="s">
        <v>2805</v>
      </c>
      <c r="B1248" s="4"/>
    </row>
    <row r="1249" customHeight="1" spans="1:2">
      <c r="A1249" s="3" t="s">
        <v>13750</v>
      </c>
      <c r="B1249" s="4">
        <v>25440971</v>
      </c>
    </row>
    <row r="1250" customHeight="1" spans="1:2">
      <c r="A1250" s="3" t="s">
        <v>23252</v>
      </c>
      <c r="B1250" s="4"/>
    </row>
    <row r="1251" customHeight="1" spans="1:2">
      <c r="A1251" s="3" t="s">
        <v>13866</v>
      </c>
      <c r="B1251" s="4">
        <v>1200000</v>
      </c>
    </row>
    <row r="1252" customHeight="1" spans="1:2">
      <c r="A1252" s="3" t="s">
        <v>4682</v>
      </c>
      <c r="B1252" s="4">
        <v>68750000</v>
      </c>
    </row>
    <row r="1253" customHeight="1" spans="1:2">
      <c r="A1253" s="3" t="s">
        <v>24024</v>
      </c>
      <c r="B1253" s="4"/>
    </row>
    <row r="1254" customHeight="1" spans="1:2">
      <c r="A1254" s="3" t="s">
        <v>18318</v>
      </c>
      <c r="B1254" s="4">
        <v>49413</v>
      </c>
    </row>
    <row r="1255" customHeight="1" spans="1:2">
      <c r="A1255" s="3" t="s">
        <v>10633</v>
      </c>
      <c r="B1255" s="4">
        <v>2840417</v>
      </c>
    </row>
    <row r="1256" customHeight="1" spans="1:2">
      <c r="A1256" s="3" t="s">
        <v>7818</v>
      </c>
      <c r="B1256" s="4">
        <v>51758599</v>
      </c>
    </row>
    <row r="1257" customHeight="1" spans="1:2">
      <c r="A1257" s="3" t="s">
        <v>1026</v>
      </c>
      <c r="B1257" s="4">
        <v>130014090</v>
      </c>
    </row>
    <row r="1258" customHeight="1" spans="1:2">
      <c r="A1258" s="3" t="s">
        <v>13442</v>
      </c>
      <c r="B1258" s="4"/>
    </row>
    <row r="1259" customHeight="1" spans="1:2">
      <c r="A1259" s="3" t="s">
        <v>3033</v>
      </c>
      <c r="B1259" s="4">
        <v>41814863</v>
      </c>
    </row>
    <row r="1260" customHeight="1" spans="1:2">
      <c r="A1260" s="3" t="s">
        <v>20922</v>
      </c>
      <c r="B1260" s="4">
        <v>5132222</v>
      </c>
    </row>
    <row r="1261" customHeight="1" spans="1:2">
      <c r="A1261" s="3" t="s">
        <v>16373</v>
      </c>
      <c r="B1261" s="4">
        <v>10814185</v>
      </c>
    </row>
    <row r="1262" customHeight="1" spans="1:2">
      <c r="A1262" s="3" t="s">
        <v>8110</v>
      </c>
      <c r="B1262" s="4">
        <v>11854694</v>
      </c>
    </row>
    <row r="1263" customHeight="1" spans="1:2">
      <c r="A1263" s="3" t="s">
        <v>7029</v>
      </c>
      <c r="B1263" s="4">
        <v>17305211</v>
      </c>
    </row>
    <row r="1264" customHeight="1" spans="1:2">
      <c r="A1264" s="3" t="s">
        <v>21380</v>
      </c>
      <c r="B1264" s="4"/>
    </row>
    <row r="1265" customHeight="1" spans="1:2">
      <c r="A1265" s="3" t="s">
        <v>6825</v>
      </c>
      <c r="B1265" s="4">
        <v>4835968</v>
      </c>
    </row>
    <row r="1266" customHeight="1" spans="1:2">
      <c r="A1266" s="3" t="s">
        <v>6625</v>
      </c>
      <c r="B1266" s="4">
        <v>31836745</v>
      </c>
    </row>
    <row r="1267" customHeight="1" spans="1:2">
      <c r="A1267" s="3" t="s">
        <v>10938</v>
      </c>
      <c r="B1267" s="4">
        <v>53146000</v>
      </c>
    </row>
    <row r="1268" customHeight="1" spans="1:2">
      <c r="A1268" s="3" t="s">
        <v>12971</v>
      </c>
      <c r="B1268" s="4">
        <v>16459004</v>
      </c>
    </row>
    <row r="1269" customHeight="1" spans="1:2">
      <c r="A1269" s="3" t="s">
        <v>19908</v>
      </c>
      <c r="B1269" s="4">
        <v>71904</v>
      </c>
    </row>
    <row r="1270" customHeight="1" spans="1:2">
      <c r="A1270" s="3" t="s">
        <v>4835</v>
      </c>
      <c r="B1270" s="4"/>
    </row>
    <row r="1271" customHeight="1" spans="1:2">
      <c r="A1271" s="3" t="s">
        <v>3730</v>
      </c>
      <c r="B1271" s="4">
        <v>55637680</v>
      </c>
    </row>
    <row r="1272" customHeight="1" spans="1:2">
      <c r="A1272" s="3" t="s">
        <v>14573</v>
      </c>
      <c r="B1272" s="4"/>
    </row>
    <row r="1273" customHeight="1" spans="1:2">
      <c r="A1273" s="3" t="s">
        <v>22919</v>
      </c>
      <c r="B1273" s="4">
        <v>25918</v>
      </c>
    </row>
    <row r="1274" customHeight="1" spans="1:2">
      <c r="A1274" s="3" t="s">
        <v>2610</v>
      </c>
      <c r="B1274" s="4">
        <v>112225777</v>
      </c>
    </row>
    <row r="1275" customHeight="1" spans="1:2">
      <c r="A1275" s="3" t="s">
        <v>23683</v>
      </c>
      <c r="B1275" s="4">
        <v>10174663</v>
      </c>
    </row>
    <row r="1276" customHeight="1" spans="1:2">
      <c r="A1276" s="3" t="s">
        <v>16652</v>
      </c>
      <c r="B1276" s="4">
        <v>1654367</v>
      </c>
    </row>
    <row r="1277" customHeight="1" spans="1:2">
      <c r="A1277" s="3" t="s">
        <v>16983</v>
      </c>
      <c r="B1277" s="4">
        <v>119078393</v>
      </c>
    </row>
    <row r="1278" customHeight="1" spans="1:2">
      <c r="A1278" s="3" t="s">
        <v>5100</v>
      </c>
      <c r="B1278" s="4">
        <v>88658172</v>
      </c>
    </row>
    <row r="1279" customHeight="1" spans="1:2">
      <c r="A1279" s="3" t="s">
        <v>5443</v>
      </c>
      <c r="B1279" s="4">
        <v>9528092</v>
      </c>
    </row>
    <row r="1280" customHeight="1" spans="1:2">
      <c r="A1280" s="3" t="s">
        <v>22487</v>
      </c>
      <c r="B1280" s="4"/>
    </row>
    <row r="1281" customHeight="1" spans="1:2">
      <c r="A1281" s="3" t="s">
        <v>21457</v>
      </c>
      <c r="B1281" s="4"/>
    </row>
    <row r="1282" customHeight="1" spans="1:2">
      <c r="A1282" s="3" t="s">
        <v>13852</v>
      </c>
      <c r="B1282" s="4">
        <v>2104000</v>
      </c>
    </row>
    <row r="1283" customHeight="1" spans="1:2">
      <c r="A1283" s="3" t="s">
        <v>18367</v>
      </c>
      <c r="B1283" s="4">
        <v>8691</v>
      </c>
    </row>
    <row r="1284" customHeight="1" spans="1:2">
      <c r="A1284" s="3" t="s">
        <v>11873</v>
      </c>
      <c r="B1284" s="4">
        <v>22452209</v>
      </c>
    </row>
    <row r="1285" customHeight="1" spans="1:2">
      <c r="A1285" s="3" t="s">
        <v>19256</v>
      </c>
      <c r="B1285" s="4"/>
    </row>
    <row r="1286" customHeight="1" spans="1:2">
      <c r="A1286" s="3" t="s">
        <v>2756</v>
      </c>
      <c r="B1286" s="4">
        <v>60507228</v>
      </c>
    </row>
    <row r="1287" customHeight="1" spans="1:2">
      <c r="A1287" s="3" t="s">
        <v>20006</v>
      </c>
      <c r="B1287" s="4">
        <v>76400000</v>
      </c>
    </row>
    <row r="1288" customHeight="1" spans="1:2">
      <c r="A1288" s="3" t="s">
        <v>1354</v>
      </c>
      <c r="B1288" s="4">
        <v>131920333</v>
      </c>
    </row>
    <row r="1289" customHeight="1" spans="1:2">
      <c r="A1289" s="3" t="s">
        <v>1505</v>
      </c>
      <c r="B1289" s="4">
        <v>112228442</v>
      </c>
    </row>
    <row r="1290" customHeight="1" spans="1:2">
      <c r="A1290" s="3" t="s">
        <v>6751</v>
      </c>
      <c r="B1290" s="4">
        <v>20999103</v>
      </c>
    </row>
    <row r="1291" customHeight="1" spans="1:2">
      <c r="A1291" s="3" t="s">
        <v>13594</v>
      </c>
      <c r="B1291" s="4">
        <v>15854988</v>
      </c>
    </row>
    <row r="1292" customHeight="1" spans="1:2">
      <c r="A1292" s="3" t="s">
        <v>16332</v>
      </c>
      <c r="B1292" s="4"/>
    </row>
    <row r="1293" customHeight="1" spans="1:2">
      <c r="A1293" s="3" t="s">
        <v>18042</v>
      </c>
      <c r="B1293" s="4"/>
    </row>
    <row r="1294" customHeight="1" spans="1:2">
      <c r="A1294" s="3" t="s">
        <v>16507</v>
      </c>
      <c r="B1294" s="4"/>
    </row>
    <row r="1295" customHeight="1" spans="1:2">
      <c r="A1295" s="3" t="s">
        <v>18011</v>
      </c>
      <c r="B1295" s="4">
        <v>16066</v>
      </c>
    </row>
    <row r="1296" customHeight="1" spans="1:2">
      <c r="A1296" s="3" t="s">
        <v>1292</v>
      </c>
      <c r="B1296" s="4">
        <v>209805005</v>
      </c>
    </row>
    <row r="1297" customHeight="1" spans="1:2">
      <c r="A1297" s="3" t="s">
        <v>18223</v>
      </c>
      <c r="B1297" s="4"/>
    </row>
    <row r="1298" customHeight="1" spans="1:2">
      <c r="A1298" s="3" t="s">
        <v>10189</v>
      </c>
      <c r="B1298" s="4">
        <v>23225911</v>
      </c>
    </row>
    <row r="1299" customHeight="1" spans="1:2">
      <c r="A1299" s="3" t="s">
        <v>5832</v>
      </c>
      <c r="B1299" s="4">
        <v>48114556</v>
      </c>
    </row>
    <row r="1300" customHeight="1" spans="1:2">
      <c r="A1300" s="3" t="s">
        <v>19796</v>
      </c>
      <c r="B1300" s="4"/>
    </row>
    <row r="1301" customHeight="1" spans="1:2">
      <c r="A1301" s="3" t="s">
        <v>13361</v>
      </c>
      <c r="B1301" s="4">
        <v>156645693</v>
      </c>
    </row>
    <row r="1302" customHeight="1" spans="1:2">
      <c r="A1302" s="3" t="s">
        <v>14392</v>
      </c>
      <c r="B1302" s="4">
        <v>195888</v>
      </c>
    </row>
    <row r="1303" customHeight="1" spans="1:2">
      <c r="A1303" s="3" t="s">
        <v>11709</v>
      </c>
      <c r="B1303" s="4">
        <v>10562387</v>
      </c>
    </row>
    <row r="1304" customHeight="1" spans="1:2">
      <c r="A1304" s="3" t="s">
        <v>21995</v>
      </c>
      <c r="B1304" s="4"/>
    </row>
    <row r="1305" customHeight="1" spans="1:2">
      <c r="A1305" s="3" t="s">
        <v>6792</v>
      </c>
      <c r="B1305" s="4">
        <v>13208023</v>
      </c>
    </row>
    <row r="1306" customHeight="1" spans="1:2">
      <c r="A1306" s="3" t="s">
        <v>19152</v>
      </c>
      <c r="B1306" s="4"/>
    </row>
    <row r="1307" customHeight="1" spans="1:2">
      <c r="A1307" s="3" t="s">
        <v>13207</v>
      </c>
      <c r="B1307" s="4">
        <v>819852</v>
      </c>
    </row>
    <row r="1308" customHeight="1" spans="1:2">
      <c r="A1308" s="3" t="s">
        <v>7714</v>
      </c>
      <c r="B1308" s="4">
        <v>6592103</v>
      </c>
    </row>
    <row r="1309" customHeight="1" spans="1:2">
      <c r="A1309" s="3" t="s">
        <v>21062</v>
      </c>
      <c r="B1309" s="4"/>
    </row>
    <row r="1310" customHeight="1" spans="1:2">
      <c r="A1310" s="3" t="s">
        <v>6600</v>
      </c>
      <c r="B1310" s="4">
        <v>42071069</v>
      </c>
    </row>
    <row r="1311" customHeight="1" spans="1:2">
      <c r="A1311" s="3" t="s">
        <v>15605</v>
      </c>
      <c r="B1311" s="4">
        <v>50000000</v>
      </c>
    </row>
    <row r="1312" customHeight="1" spans="1:2">
      <c r="A1312" s="3" t="s">
        <v>16223</v>
      </c>
      <c r="B1312" s="4">
        <v>298110</v>
      </c>
    </row>
    <row r="1313" customHeight="1" spans="1:2">
      <c r="A1313" s="3" t="s">
        <v>15449</v>
      </c>
      <c r="B1313" s="4"/>
    </row>
    <row r="1314" customHeight="1" spans="1:2">
      <c r="A1314" s="3" t="s">
        <v>17783</v>
      </c>
      <c r="B1314" s="4">
        <v>11675178</v>
      </c>
    </row>
    <row r="1315" customHeight="1" spans="1:2">
      <c r="A1315" s="3" t="s">
        <v>6264</v>
      </c>
      <c r="B1315" s="4">
        <v>166147885</v>
      </c>
    </row>
    <row r="1316" customHeight="1" spans="1:2">
      <c r="A1316" s="3" t="s">
        <v>3791</v>
      </c>
      <c r="B1316" s="4">
        <v>37023395</v>
      </c>
    </row>
    <row r="1317" customHeight="1" spans="1:2">
      <c r="A1317" s="3" t="s">
        <v>22727</v>
      </c>
      <c r="B1317" s="4"/>
    </row>
    <row r="1318" customHeight="1" spans="1:2">
      <c r="A1318" s="3" t="s">
        <v>11599</v>
      </c>
      <c r="B1318" s="4"/>
    </row>
    <row r="1319" customHeight="1" spans="1:2">
      <c r="A1319" s="3" t="s">
        <v>23086</v>
      </c>
      <c r="B1319" s="4">
        <v>5199</v>
      </c>
    </row>
    <row r="1320" customHeight="1" spans="1:2">
      <c r="A1320" s="3" t="s">
        <v>21249</v>
      </c>
      <c r="B1320" s="4">
        <v>2833383</v>
      </c>
    </row>
    <row r="1321" customHeight="1" spans="1:2">
      <c r="A1321" s="3" t="s">
        <v>9273</v>
      </c>
      <c r="B1321" s="4">
        <v>46455802</v>
      </c>
    </row>
    <row r="1322" customHeight="1" spans="1:2">
      <c r="A1322" s="3" t="s">
        <v>9501</v>
      </c>
      <c r="B1322" s="4">
        <v>54098051</v>
      </c>
    </row>
    <row r="1323" customHeight="1" spans="1:2">
      <c r="A1323" s="3" t="s">
        <v>6586</v>
      </c>
      <c r="B1323" s="4">
        <v>42575718</v>
      </c>
    </row>
    <row r="1324" customHeight="1" spans="1:2">
      <c r="A1324" s="3" t="s">
        <v>10217</v>
      </c>
      <c r="B1324" s="4">
        <v>53302314</v>
      </c>
    </row>
    <row r="1325" customHeight="1" spans="1:2">
      <c r="A1325" s="3" t="s">
        <v>1086</v>
      </c>
      <c r="B1325" s="4">
        <v>32131830</v>
      </c>
    </row>
    <row r="1326" customHeight="1" spans="1:2">
      <c r="A1326" s="3" t="s">
        <v>13855</v>
      </c>
      <c r="B1326" s="4">
        <v>1172769</v>
      </c>
    </row>
    <row r="1327" customHeight="1" spans="1:2">
      <c r="A1327" s="3" t="s">
        <v>6055</v>
      </c>
      <c r="B1327" s="4">
        <v>51768623</v>
      </c>
    </row>
    <row r="1328" customHeight="1" spans="1:2">
      <c r="A1328" s="3" t="s">
        <v>2008</v>
      </c>
      <c r="B1328" s="4">
        <v>380838870</v>
      </c>
    </row>
    <row r="1329" customHeight="1" spans="1:2">
      <c r="A1329" s="3" t="s">
        <v>9514</v>
      </c>
      <c r="B1329" s="4">
        <v>51676606</v>
      </c>
    </row>
    <row r="1330" customHeight="1" spans="1:2">
      <c r="A1330" s="3" t="s">
        <v>22627</v>
      </c>
      <c r="B1330" s="4">
        <v>52850</v>
      </c>
    </row>
    <row r="1331" customHeight="1" spans="1:2">
      <c r="A1331" s="3" t="s">
        <v>11105</v>
      </c>
      <c r="B1331" s="4"/>
    </row>
    <row r="1332" customHeight="1" spans="1:2">
      <c r="A1332" s="3" t="s">
        <v>10556</v>
      </c>
      <c r="B1332" s="4">
        <v>46700000</v>
      </c>
    </row>
    <row r="1333" customHeight="1" spans="1:2">
      <c r="A1333" s="3" t="s">
        <v>22479</v>
      </c>
      <c r="B1333" s="4">
        <v>33451479</v>
      </c>
    </row>
    <row r="1334" customHeight="1" spans="1:2">
      <c r="A1334" s="3" t="s">
        <v>12979</v>
      </c>
      <c r="B1334" s="4">
        <v>15100000</v>
      </c>
    </row>
    <row r="1335" customHeight="1" spans="1:2">
      <c r="A1335" s="3" t="s">
        <v>11637</v>
      </c>
      <c r="B1335" s="4"/>
    </row>
    <row r="1336" customHeight="1" spans="1:2">
      <c r="A1336" s="3" t="s">
        <v>5207</v>
      </c>
      <c r="B1336" s="4">
        <v>48745150</v>
      </c>
    </row>
    <row r="1337" customHeight="1" spans="1:2">
      <c r="A1337" s="3" t="s">
        <v>5632</v>
      </c>
      <c r="B1337" s="4"/>
    </row>
    <row r="1338" customHeight="1" spans="1:2">
      <c r="A1338" s="3" t="s">
        <v>3134</v>
      </c>
      <c r="B1338" s="4">
        <v>37600435</v>
      </c>
    </row>
    <row r="1339" customHeight="1" spans="1:2">
      <c r="A1339" s="3" t="s">
        <v>23080</v>
      </c>
      <c r="B1339" s="4">
        <v>40542</v>
      </c>
    </row>
    <row r="1340" customHeight="1" spans="1:2">
      <c r="A1340" s="3" t="s">
        <v>19467</v>
      </c>
      <c r="B1340" s="4">
        <v>373060</v>
      </c>
    </row>
    <row r="1341" customHeight="1" spans="1:2">
      <c r="A1341" s="3" t="s">
        <v>21706</v>
      </c>
      <c r="B1341" s="4">
        <v>610991</v>
      </c>
    </row>
    <row r="1342" customHeight="1" spans="1:2">
      <c r="A1342" s="3" t="s">
        <v>4898</v>
      </c>
      <c r="B1342" s="4">
        <v>33574332</v>
      </c>
    </row>
    <row r="1343" customHeight="1" spans="1:2">
      <c r="A1343" s="3" t="s">
        <v>15775</v>
      </c>
      <c r="B1343" s="4">
        <v>145109</v>
      </c>
    </row>
    <row r="1344" customHeight="1" spans="1:2">
      <c r="A1344" s="3" t="s">
        <v>7507</v>
      </c>
      <c r="B1344" s="4"/>
    </row>
    <row r="1345" customHeight="1" spans="1:2">
      <c r="A1345" s="3" t="s">
        <v>11373</v>
      </c>
      <c r="B1345" s="4">
        <v>4234040</v>
      </c>
    </row>
    <row r="1346" customHeight="1" spans="1:2">
      <c r="A1346" s="3" t="s">
        <v>16460</v>
      </c>
      <c r="B1346" s="4">
        <v>94900000</v>
      </c>
    </row>
    <row r="1347" customHeight="1" spans="1:2">
      <c r="A1347" s="3" t="s">
        <v>9250</v>
      </c>
      <c r="B1347" s="4">
        <v>61490000</v>
      </c>
    </row>
    <row r="1348" customHeight="1" spans="1:2">
      <c r="A1348" s="3" t="s">
        <v>9195</v>
      </c>
      <c r="B1348" s="4">
        <v>4485485</v>
      </c>
    </row>
    <row r="1349" customHeight="1" spans="1:2">
      <c r="A1349" s="3" t="s">
        <v>8532</v>
      </c>
      <c r="B1349" s="4">
        <v>17100000</v>
      </c>
    </row>
    <row r="1350" customHeight="1" spans="1:2">
      <c r="A1350" s="3" t="s">
        <v>12926</v>
      </c>
      <c r="B1350" s="4">
        <v>20998709</v>
      </c>
    </row>
    <row r="1351" customHeight="1" spans="1:2">
      <c r="A1351" s="3" t="s">
        <v>7630</v>
      </c>
      <c r="B1351" s="4">
        <v>14587732</v>
      </c>
    </row>
    <row r="1352" customHeight="1" spans="1:2">
      <c r="A1352" s="3" t="s">
        <v>3184</v>
      </c>
      <c r="B1352" s="4">
        <v>21009180</v>
      </c>
    </row>
    <row r="1353" customHeight="1" spans="1:2">
      <c r="A1353" s="3" t="s">
        <v>8050</v>
      </c>
      <c r="B1353" s="4">
        <v>93749203</v>
      </c>
    </row>
    <row r="1354" customHeight="1" spans="1:2">
      <c r="A1354" s="3" t="s">
        <v>4637</v>
      </c>
      <c r="B1354" s="4">
        <v>89706988</v>
      </c>
    </row>
    <row r="1355" customHeight="1" spans="1:2">
      <c r="A1355" s="3" t="s">
        <v>13584</v>
      </c>
      <c r="B1355" s="4">
        <v>1752214</v>
      </c>
    </row>
    <row r="1356" customHeight="1" spans="1:2">
      <c r="A1356" s="3" t="s">
        <v>9357</v>
      </c>
      <c r="B1356" s="4">
        <v>20047715</v>
      </c>
    </row>
    <row r="1357" customHeight="1" spans="1:2">
      <c r="A1357" s="3" t="s">
        <v>16540</v>
      </c>
      <c r="B1357" s="4">
        <v>14891000</v>
      </c>
    </row>
    <row r="1358" customHeight="1" spans="1:2">
      <c r="A1358" s="3" t="s">
        <v>8851</v>
      </c>
      <c r="B1358" s="4"/>
    </row>
    <row r="1359" customHeight="1" spans="1:2">
      <c r="A1359" s="3" t="s">
        <v>2661</v>
      </c>
      <c r="B1359" s="4">
        <v>92969824</v>
      </c>
    </row>
    <row r="1360" customHeight="1" spans="1:2">
      <c r="A1360" s="3" t="s">
        <v>938</v>
      </c>
      <c r="B1360" s="4">
        <v>64459316</v>
      </c>
    </row>
    <row r="1361" customHeight="1" spans="1:2">
      <c r="A1361" s="3" t="s">
        <v>4349</v>
      </c>
      <c r="B1361" s="4">
        <v>13082288</v>
      </c>
    </row>
    <row r="1362" customHeight="1" spans="1:2">
      <c r="A1362" s="3" t="s">
        <v>18048</v>
      </c>
      <c r="B1362" s="4"/>
    </row>
    <row r="1363" customHeight="1" spans="1:2">
      <c r="A1363" s="3" t="s">
        <v>24018</v>
      </c>
      <c r="B1363" s="4"/>
    </row>
    <row r="1364" customHeight="1" spans="1:2">
      <c r="A1364" s="3" t="s">
        <v>3742</v>
      </c>
      <c r="B1364" s="4">
        <v>53846915</v>
      </c>
    </row>
    <row r="1365" customHeight="1" spans="1:2">
      <c r="A1365" s="3" t="s">
        <v>22039</v>
      </c>
      <c r="B1365" s="4"/>
    </row>
    <row r="1366" customHeight="1" spans="1:2">
      <c r="A1366" s="3" t="s">
        <v>21629</v>
      </c>
      <c r="B1366" s="4">
        <v>4417124</v>
      </c>
    </row>
    <row r="1367" customHeight="1" spans="1:2">
      <c r="A1367" s="3" t="s">
        <v>6000</v>
      </c>
      <c r="B1367" s="4"/>
    </row>
    <row r="1368" customHeight="1" spans="1:2">
      <c r="A1368" s="3" t="s">
        <v>20829</v>
      </c>
      <c r="B1368" s="4">
        <v>6026908</v>
      </c>
    </row>
    <row r="1369" customHeight="1" spans="1:2">
      <c r="A1369" s="3" t="s">
        <v>3216</v>
      </c>
      <c r="B1369" s="4">
        <v>70224196</v>
      </c>
    </row>
    <row r="1370" customHeight="1" spans="1:2">
      <c r="A1370" s="3" t="s">
        <v>10101</v>
      </c>
      <c r="B1370" s="4">
        <v>160000000</v>
      </c>
    </row>
    <row r="1371" customHeight="1" spans="1:2">
      <c r="A1371" s="3" t="s">
        <v>22115</v>
      </c>
      <c r="B1371" s="4">
        <v>1243961</v>
      </c>
    </row>
    <row r="1372" customHeight="1" spans="1:2">
      <c r="A1372" s="3" t="s">
        <v>10582</v>
      </c>
      <c r="B1372" s="4">
        <v>37721949</v>
      </c>
    </row>
    <row r="1373" customHeight="1" spans="1:2">
      <c r="A1373" s="3" t="s">
        <v>14770</v>
      </c>
      <c r="B1373" s="4">
        <v>5669081</v>
      </c>
    </row>
    <row r="1374" customHeight="1" spans="1:2">
      <c r="A1374" s="3" t="s">
        <v>5306</v>
      </c>
      <c r="B1374" s="4">
        <v>35168395</v>
      </c>
    </row>
    <row r="1375" customHeight="1" spans="1:2">
      <c r="A1375" s="3" t="s">
        <v>14277</v>
      </c>
      <c r="B1375" s="4">
        <v>5542025</v>
      </c>
    </row>
    <row r="1376" customHeight="1" spans="1:2">
      <c r="A1376" s="3" t="s">
        <v>8904</v>
      </c>
      <c r="B1376" s="4">
        <v>62300000</v>
      </c>
    </row>
    <row r="1377" customHeight="1" spans="1:2">
      <c r="A1377" s="3" t="s">
        <v>17824</v>
      </c>
      <c r="B1377" s="4"/>
    </row>
    <row r="1378" customHeight="1" spans="1:2">
      <c r="A1378" s="3" t="s">
        <v>21223</v>
      </c>
      <c r="B1378" s="4"/>
    </row>
    <row r="1379" customHeight="1" spans="1:2">
      <c r="A1379" s="3" t="s">
        <v>8224</v>
      </c>
      <c r="B1379" s="4">
        <v>62877175</v>
      </c>
    </row>
    <row r="1380" customHeight="1" spans="1:2">
      <c r="A1380" s="3" t="s">
        <v>9191</v>
      </c>
      <c r="B1380" s="4">
        <v>5204007</v>
      </c>
    </row>
    <row r="1381" customHeight="1" spans="1:2">
      <c r="A1381" s="3" t="s">
        <v>4564</v>
      </c>
      <c r="B1381" s="4">
        <v>329691196</v>
      </c>
    </row>
    <row r="1382" customHeight="1" spans="1:2">
      <c r="A1382" s="3" t="s">
        <v>10296</v>
      </c>
      <c r="B1382" s="4"/>
    </row>
    <row r="1383" customHeight="1" spans="1:2">
      <c r="A1383" s="3" t="s">
        <v>19509</v>
      </c>
      <c r="B1383" s="4">
        <v>73678</v>
      </c>
    </row>
    <row r="1384" customHeight="1" spans="1:2">
      <c r="A1384" s="3" t="s">
        <v>14274</v>
      </c>
      <c r="B1384" s="4">
        <v>6739141</v>
      </c>
    </row>
    <row r="1385" customHeight="1" spans="1:2">
      <c r="A1385" s="3" t="s">
        <v>21018</v>
      </c>
      <c r="B1385" s="4"/>
    </row>
    <row r="1386" customHeight="1" spans="1:2">
      <c r="A1386" s="3" t="s">
        <v>8233</v>
      </c>
      <c r="B1386" s="4">
        <v>74484168</v>
      </c>
    </row>
    <row r="1387" customHeight="1" spans="1:2">
      <c r="A1387" s="3" t="s">
        <v>2602</v>
      </c>
      <c r="B1387" s="4">
        <v>120136047</v>
      </c>
    </row>
    <row r="1388" customHeight="1" spans="1:2">
      <c r="A1388" s="3" t="s">
        <v>18822</v>
      </c>
      <c r="B1388" s="4">
        <v>304137</v>
      </c>
    </row>
    <row r="1389" customHeight="1" spans="1:2">
      <c r="A1389" s="3" t="s">
        <v>18566</v>
      </c>
      <c r="B1389" s="4">
        <v>4301331</v>
      </c>
    </row>
    <row r="1390" customHeight="1" spans="1:2">
      <c r="A1390" s="3" t="s">
        <v>19577</v>
      </c>
      <c r="B1390" s="4"/>
    </row>
    <row r="1391" customHeight="1" spans="1:2">
      <c r="A1391" s="3" t="s">
        <v>18220</v>
      </c>
      <c r="B1391" s="4">
        <v>52700832</v>
      </c>
    </row>
    <row r="1392" customHeight="1" spans="1:2">
      <c r="A1392" s="3" t="s">
        <v>14609</v>
      </c>
      <c r="B1392" s="4">
        <v>13103828</v>
      </c>
    </row>
    <row r="1393" customHeight="1" spans="1:2">
      <c r="A1393" s="3" t="s">
        <v>19413</v>
      </c>
      <c r="B1393" s="4">
        <v>4063238</v>
      </c>
    </row>
    <row r="1394" customHeight="1" spans="1:2">
      <c r="A1394" s="3" t="s">
        <v>6932</v>
      </c>
      <c r="B1394" s="4">
        <v>35287788</v>
      </c>
    </row>
    <row r="1395" customHeight="1" spans="1:2">
      <c r="A1395" s="3" t="s">
        <v>21917</v>
      </c>
      <c r="B1395" s="4"/>
    </row>
    <row r="1396" customHeight="1" spans="1:2">
      <c r="A1396" s="3" t="s">
        <v>19641</v>
      </c>
      <c r="B1396" s="4">
        <v>100675</v>
      </c>
    </row>
    <row r="1397" customHeight="1" spans="1:2">
      <c r="A1397" s="3" t="s">
        <v>17319</v>
      </c>
      <c r="B1397" s="4"/>
    </row>
    <row r="1398" customHeight="1" spans="1:2">
      <c r="A1398" s="3" t="s">
        <v>9220</v>
      </c>
      <c r="B1398" s="4">
        <v>110222438</v>
      </c>
    </row>
    <row r="1399" customHeight="1" spans="1:2">
      <c r="A1399" s="3" t="s">
        <v>12991</v>
      </c>
      <c r="B1399" s="4">
        <v>14249005</v>
      </c>
    </row>
    <row r="1400" customHeight="1" spans="1:2">
      <c r="A1400" s="3" t="s">
        <v>9428</v>
      </c>
      <c r="B1400" s="4">
        <v>82163317</v>
      </c>
    </row>
    <row r="1401" customHeight="1" spans="1:2">
      <c r="A1401" s="3" t="s">
        <v>17579</v>
      </c>
      <c r="B1401" s="4">
        <v>34872293</v>
      </c>
    </row>
    <row r="1402" customHeight="1" spans="1:2">
      <c r="A1402" s="3" t="s">
        <v>4696</v>
      </c>
      <c r="B1402" s="4">
        <v>55747724</v>
      </c>
    </row>
    <row r="1403" customHeight="1" spans="1:2">
      <c r="A1403" s="3" t="s">
        <v>5391</v>
      </c>
      <c r="B1403" s="4">
        <v>20389967</v>
      </c>
    </row>
    <row r="1404" customHeight="1" spans="1:2">
      <c r="A1404" s="3" t="s">
        <v>15399</v>
      </c>
      <c r="B1404" s="4">
        <v>140987</v>
      </c>
    </row>
    <row r="1405" customHeight="1" spans="1:2">
      <c r="A1405" s="3" t="s">
        <v>10579</v>
      </c>
      <c r="B1405" s="4">
        <v>36581633</v>
      </c>
    </row>
    <row r="1406" customHeight="1" spans="1:2">
      <c r="A1406" s="3" t="s">
        <v>13342</v>
      </c>
      <c r="B1406" s="4"/>
    </row>
    <row r="1407" customHeight="1" spans="1:2">
      <c r="A1407" s="3" t="s">
        <v>16719</v>
      </c>
      <c r="B1407" s="4">
        <v>532988</v>
      </c>
    </row>
    <row r="1408" customHeight="1" spans="1:2">
      <c r="A1408" s="3" t="s">
        <v>19456</v>
      </c>
      <c r="B1408" s="4"/>
    </row>
    <row r="1409" customHeight="1" spans="1:2">
      <c r="A1409" s="3" t="s">
        <v>20476</v>
      </c>
      <c r="B1409" s="4"/>
    </row>
    <row r="1410" customHeight="1" spans="1:2">
      <c r="A1410" s="3" t="s">
        <v>18914</v>
      </c>
      <c r="B1410" s="4"/>
    </row>
    <row r="1411" customHeight="1" spans="1:2">
      <c r="A1411" s="3" t="s">
        <v>8073</v>
      </c>
      <c r="B1411" s="4">
        <v>44983704</v>
      </c>
    </row>
    <row r="1412" customHeight="1" spans="1:2">
      <c r="A1412" s="3" t="s">
        <v>14130</v>
      </c>
      <c r="B1412" s="4">
        <v>25776062</v>
      </c>
    </row>
    <row r="1413" customHeight="1" spans="1:2">
      <c r="A1413" s="3" t="s">
        <v>14878</v>
      </c>
      <c r="B1413" s="4">
        <v>32983713</v>
      </c>
    </row>
    <row r="1414" customHeight="1" spans="1:2">
      <c r="A1414" s="3" t="s">
        <v>8228</v>
      </c>
      <c r="B1414" s="4"/>
    </row>
    <row r="1415" customHeight="1" spans="1:2">
      <c r="A1415" s="3" t="s">
        <v>21233</v>
      </c>
      <c r="B1415" s="4">
        <v>19100000</v>
      </c>
    </row>
    <row r="1416" customHeight="1" spans="1:2">
      <c r="A1416" s="3" t="s">
        <v>20018</v>
      </c>
      <c r="B1416" s="4">
        <v>36200000</v>
      </c>
    </row>
    <row r="1417" customHeight="1" spans="1:2">
      <c r="A1417" s="3" t="s">
        <v>19676</v>
      </c>
      <c r="B1417" s="4">
        <v>19170001</v>
      </c>
    </row>
    <row r="1418" customHeight="1" spans="1:2">
      <c r="A1418" s="3" t="s">
        <v>17702</v>
      </c>
      <c r="B1418" s="4">
        <v>14343976</v>
      </c>
    </row>
    <row r="1419" customHeight="1" spans="1:2">
      <c r="A1419" s="3" t="s">
        <v>20025</v>
      </c>
      <c r="B1419" s="4">
        <v>21300000</v>
      </c>
    </row>
    <row r="1420" customHeight="1" spans="1:2">
      <c r="A1420" s="3" t="s">
        <v>19747</v>
      </c>
      <c r="B1420" s="4">
        <v>32600000</v>
      </c>
    </row>
    <row r="1421" customHeight="1" spans="1:2">
      <c r="A1421" s="3" t="s">
        <v>18879</v>
      </c>
      <c r="B1421" s="4">
        <v>27900000</v>
      </c>
    </row>
    <row r="1422" customHeight="1" spans="1:2">
      <c r="A1422" s="3" t="s">
        <v>7357</v>
      </c>
      <c r="B1422" s="4">
        <v>55802754</v>
      </c>
    </row>
    <row r="1423" customHeight="1" spans="1:2">
      <c r="A1423" s="3" t="s">
        <v>16886</v>
      </c>
      <c r="B1423" s="4">
        <v>13367101</v>
      </c>
    </row>
    <row r="1424" customHeight="1" spans="1:2">
      <c r="A1424" s="3" t="s">
        <v>8590</v>
      </c>
      <c r="B1424" s="4">
        <v>18298649</v>
      </c>
    </row>
    <row r="1425" customHeight="1" spans="1:2">
      <c r="A1425" s="3" t="s">
        <v>21438</v>
      </c>
      <c r="B1425" s="4">
        <v>1400000</v>
      </c>
    </row>
    <row r="1426" customHeight="1" spans="1:2">
      <c r="A1426" s="3" t="s">
        <v>11083</v>
      </c>
      <c r="B1426" s="4">
        <v>25753840</v>
      </c>
    </row>
    <row r="1427" customHeight="1" spans="1:2">
      <c r="A1427" s="3" t="s">
        <v>5803</v>
      </c>
      <c r="B1427" s="4">
        <v>63196616</v>
      </c>
    </row>
    <row r="1428" customHeight="1" spans="1:2">
      <c r="A1428" s="3" t="s">
        <v>20814</v>
      </c>
      <c r="B1428" s="4"/>
    </row>
    <row r="1429" customHeight="1" spans="1:2">
      <c r="A1429" s="3" t="s">
        <v>14290</v>
      </c>
      <c r="B1429" s="4">
        <v>4922166</v>
      </c>
    </row>
    <row r="1430" customHeight="1" spans="1:2">
      <c r="A1430" s="3" t="s">
        <v>4970</v>
      </c>
      <c r="B1430" s="4">
        <v>23324666</v>
      </c>
    </row>
    <row r="1431" customHeight="1" spans="1:2">
      <c r="A1431" s="3" t="s">
        <v>20118</v>
      </c>
      <c r="B1431" s="4">
        <v>24800000</v>
      </c>
    </row>
    <row r="1432" customHeight="1" spans="1:2">
      <c r="A1432" s="3" t="s">
        <v>8792</v>
      </c>
      <c r="B1432" s="4">
        <v>18593156</v>
      </c>
    </row>
    <row r="1433" customHeight="1" spans="1:2">
      <c r="A1433" s="3" t="s">
        <v>21659</v>
      </c>
      <c r="B1433" s="4">
        <v>2508841</v>
      </c>
    </row>
    <row r="1434" customHeight="1" spans="1:2">
      <c r="A1434" s="3" t="s">
        <v>833</v>
      </c>
      <c r="B1434" s="4">
        <v>400736600</v>
      </c>
    </row>
    <row r="1435" customHeight="1" spans="1:2">
      <c r="A1435" s="3" t="s">
        <v>22080</v>
      </c>
      <c r="B1435" s="4">
        <v>16097842</v>
      </c>
    </row>
    <row r="1436" customHeight="1" spans="1:2">
      <c r="A1436" s="3" t="s">
        <v>19901</v>
      </c>
      <c r="B1436" s="4">
        <v>173783</v>
      </c>
    </row>
    <row r="1437" customHeight="1" spans="1:2">
      <c r="A1437" s="3" t="s">
        <v>18338</v>
      </c>
      <c r="B1437" s="4"/>
    </row>
    <row r="1438" customHeight="1" spans="1:2">
      <c r="A1438" s="3" t="s">
        <v>20277</v>
      </c>
      <c r="B1438" s="4">
        <v>2506446</v>
      </c>
    </row>
    <row r="1439" customHeight="1" spans="1:2">
      <c r="A1439" s="3" t="s">
        <v>13501</v>
      </c>
      <c r="B1439" s="4">
        <v>9402410</v>
      </c>
    </row>
    <row r="1440" customHeight="1" spans="1:2">
      <c r="A1440" s="3" t="s">
        <v>1013</v>
      </c>
      <c r="B1440" s="4">
        <v>110332737</v>
      </c>
    </row>
    <row r="1441" customHeight="1" spans="1:2">
      <c r="A1441" s="3" t="s">
        <v>13196</v>
      </c>
      <c r="B1441" s="4">
        <v>1294640</v>
      </c>
    </row>
    <row r="1442" customHeight="1" spans="1:2">
      <c r="A1442" s="3" t="s">
        <v>23983</v>
      </c>
      <c r="B1442" s="4"/>
    </row>
    <row r="1443" customHeight="1" spans="1:2">
      <c r="A1443" s="3" t="s">
        <v>3221</v>
      </c>
      <c r="B1443" s="4">
        <v>51814190</v>
      </c>
    </row>
    <row r="1444" customHeight="1" spans="1:2">
      <c r="A1444" s="3" t="s">
        <v>12351</v>
      </c>
      <c r="B1444" s="4">
        <v>220914</v>
      </c>
    </row>
    <row r="1445" customHeight="1" spans="1:2">
      <c r="A1445" s="3" t="s">
        <v>338</v>
      </c>
      <c r="B1445" s="4">
        <v>350034110</v>
      </c>
    </row>
    <row r="1446" customHeight="1" spans="1:2">
      <c r="A1446" s="3" t="s">
        <v>7609</v>
      </c>
      <c r="B1446" s="4">
        <v>17596256</v>
      </c>
    </row>
    <row r="1447" customHeight="1" spans="1:2">
      <c r="A1447" s="3" t="s">
        <v>2696</v>
      </c>
      <c r="B1447" s="4">
        <v>85707116</v>
      </c>
    </row>
    <row r="1448" customHeight="1" spans="1:2">
      <c r="A1448" s="3" t="s">
        <v>18711</v>
      </c>
      <c r="B1448" s="4">
        <v>20262</v>
      </c>
    </row>
    <row r="1449" customHeight="1" spans="1:2">
      <c r="A1449" s="3" t="s">
        <v>5213</v>
      </c>
      <c r="B1449" s="4">
        <v>48154732</v>
      </c>
    </row>
    <row r="1450" customHeight="1" spans="1:2">
      <c r="A1450" s="3" t="s">
        <v>1074</v>
      </c>
      <c r="B1450" s="4">
        <v>122512052</v>
      </c>
    </row>
    <row r="1451" customHeight="1" spans="1:2">
      <c r="A1451" s="3" t="s">
        <v>539</v>
      </c>
      <c r="B1451" s="4">
        <v>150167630</v>
      </c>
    </row>
    <row r="1452" customHeight="1" spans="1:2">
      <c r="A1452" s="3" t="s">
        <v>23857</v>
      </c>
      <c r="B1452" s="4"/>
    </row>
    <row r="1453" customHeight="1" spans="1:2">
      <c r="A1453" s="3" t="s">
        <v>17416</v>
      </c>
      <c r="B1453" s="4"/>
    </row>
    <row r="1454" customHeight="1" spans="1:2">
      <c r="A1454" s="3" t="s">
        <v>5753</v>
      </c>
      <c r="B1454" s="4">
        <v>71423726</v>
      </c>
    </row>
    <row r="1455" customHeight="1" spans="1:2">
      <c r="A1455" s="3" t="s">
        <v>5460</v>
      </c>
      <c r="B1455" s="4">
        <v>20488579</v>
      </c>
    </row>
    <row r="1456" customHeight="1" spans="1:2">
      <c r="A1456" s="3" t="s">
        <v>10365</v>
      </c>
      <c r="B1456" s="4"/>
    </row>
    <row r="1457" customHeight="1" spans="1:2">
      <c r="A1457" s="3" t="s">
        <v>17951</v>
      </c>
      <c r="B1457" s="4">
        <v>240425</v>
      </c>
    </row>
    <row r="1458" customHeight="1" spans="1:2">
      <c r="A1458" s="3" t="s">
        <v>1937</v>
      </c>
      <c r="B1458" s="4">
        <v>77679638</v>
      </c>
    </row>
    <row r="1459" customHeight="1" spans="1:2">
      <c r="A1459" s="3" t="s">
        <v>4216</v>
      </c>
      <c r="B1459" s="4">
        <v>45996718</v>
      </c>
    </row>
    <row r="1460" customHeight="1" spans="1:2">
      <c r="A1460" s="3" t="s">
        <v>20472</v>
      </c>
      <c r="B1460" s="4">
        <v>4958</v>
      </c>
    </row>
    <row r="1461" customHeight="1" spans="1:2">
      <c r="A1461" s="3" t="s">
        <v>19837</v>
      </c>
      <c r="B1461" s="4">
        <v>26781723</v>
      </c>
    </row>
    <row r="1462" customHeight="1" spans="1:2">
      <c r="A1462" s="3" t="s">
        <v>4310</v>
      </c>
      <c r="B1462" s="4">
        <v>28424210</v>
      </c>
    </row>
    <row r="1463" customHeight="1" spans="1:2">
      <c r="A1463" s="3" t="s">
        <v>5115</v>
      </c>
      <c r="B1463" s="4">
        <v>75367693</v>
      </c>
    </row>
    <row r="1464" customHeight="1" spans="1:2">
      <c r="A1464" s="3" t="s">
        <v>7216</v>
      </c>
      <c r="B1464" s="4">
        <v>12339633</v>
      </c>
    </row>
    <row r="1465" customHeight="1" spans="1:2">
      <c r="A1465" s="3" t="s">
        <v>20229</v>
      </c>
      <c r="B1465" s="4"/>
    </row>
    <row r="1466" customHeight="1" spans="1:2">
      <c r="A1466" s="3" t="s">
        <v>15558</v>
      </c>
      <c r="B1466" s="4">
        <v>113155</v>
      </c>
    </row>
    <row r="1467" customHeight="1" spans="1:2">
      <c r="A1467" s="3" t="s">
        <v>8027</v>
      </c>
      <c r="B1467" s="4"/>
    </row>
    <row r="1468" customHeight="1" spans="1:2">
      <c r="A1468" s="3" t="s">
        <v>4595</v>
      </c>
      <c r="B1468" s="4">
        <v>105263257</v>
      </c>
    </row>
    <row r="1469" customHeight="1" spans="1:2">
      <c r="A1469" s="3" t="s">
        <v>23916</v>
      </c>
      <c r="B1469" s="4">
        <v>241816</v>
      </c>
    </row>
    <row r="1470" customHeight="1" spans="1:2">
      <c r="A1470" s="3" t="s">
        <v>11048</v>
      </c>
      <c r="B1470" s="4">
        <v>18882880</v>
      </c>
    </row>
    <row r="1471" customHeight="1" spans="1:2">
      <c r="A1471" s="3" t="s">
        <v>16711</v>
      </c>
      <c r="B1471" s="4">
        <v>236266</v>
      </c>
    </row>
    <row r="1472" customHeight="1" spans="1:2">
      <c r="A1472" s="3" t="s">
        <v>6734</v>
      </c>
      <c r="B1472" s="4">
        <v>14967182</v>
      </c>
    </row>
    <row r="1473" customHeight="1" spans="1:2">
      <c r="A1473" s="3" t="s">
        <v>6320</v>
      </c>
      <c r="B1473" s="4">
        <v>90353764</v>
      </c>
    </row>
    <row r="1474" customHeight="1" spans="1:2">
      <c r="A1474" s="3" t="s">
        <v>6423</v>
      </c>
      <c r="B1474" s="4">
        <v>60923325</v>
      </c>
    </row>
    <row r="1475" customHeight="1" spans="1:2">
      <c r="A1475" s="3" t="s">
        <v>16576</v>
      </c>
      <c r="B1475" s="4">
        <v>9176553</v>
      </c>
    </row>
    <row r="1476" customHeight="1" spans="1:2">
      <c r="A1476" s="3" t="s">
        <v>19950</v>
      </c>
      <c r="B1476" s="4">
        <v>5731103</v>
      </c>
    </row>
    <row r="1477" customHeight="1" spans="1:2">
      <c r="A1477" s="3" t="s">
        <v>8475</v>
      </c>
      <c r="B1477" s="4">
        <v>30513940</v>
      </c>
    </row>
    <row r="1478" customHeight="1" spans="1:2">
      <c r="A1478" s="3" t="s">
        <v>15063</v>
      </c>
      <c r="B1478" s="4">
        <v>11560259</v>
      </c>
    </row>
    <row r="1479" customHeight="1" spans="1:2">
      <c r="A1479" s="3" t="s">
        <v>20322</v>
      </c>
      <c r="B1479" s="4"/>
    </row>
    <row r="1480" customHeight="1" spans="1:2">
      <c r="A1480" s="3" t="s">
        <v>6635</v>
      </c>
      <c r="B1480" s="4">
        <v>30981850</v>
      </c>
    </row>
    <row r="1481" customHeight="1" spans="1:2">
      <c r="A1481" s="3" t="s">
        <v>8080</v>
      </c>
      <c r="B1481" s="4">
        <v>72077000</v>
      </c>
    </row>
    <row r="1482" customHeight="1" spans="1:2">
      <c r="A1482" s="3" t="s">
        <v>2588</v>
      </c>
      <c r="B1482" s="4">
        <v>130313314</v>
      </c>
    </row>
    <row r="1483" customHeight="1" spans="1:2">
      <c r="A1483" s="3" t="s">
        <v>11931</v>
      </c>
      <c r="B1483" s="4">
        <v>10494494</v>
      </c>
    </row>
    <row r="1484" customHeight="1" spans="1:2">
      <c r="A1484" s="3" t="s">
        <v>9905</v>
      </c>
      <c r="B1484" s="4">
        <v>10769960</v>
      </c>
    </row>
    <row r="1485" customHeight="1" spans="1:2">
      <c r="A1485" s="3" t="s">
        <v>874</v>
      </c>
      <c r="B1485" s="4">
        <v>119420252</v>
      </c>
    </row>
    <row r="1486" customHeight="1" spans="1:2">
      <c r="A1486" s="3" t="s">
        <v>20267</v>
      </c>
      <c r="B1486" s="4">
        <v>3300230</v>
      </c>
    </row>
    <row r="1487" customHeight="1" spans="1:2">
      <c r="A1487" s="3" t="s">
        <v>13402</v>
      </c>
      <c r="B1487" s="4"/>
    </row>
    <row r="1488" customHeight="1" spans="1:2">
      <c r="A1488" s="3" t="s">
        <v>1367</v>
      </c>
      <c r="B1488" s="4">
        <v>115802596</v>
      </c>
    </row>
    <row r="1489" customHeight="1" spans="1:2">
      <c r="A1489" s="3" t="s">
        <v>4535</v>
      </c>
      <c r="B1489" s="4">
        <v>51774002</v>
      </c>
    </row>
    <row r="1490" customHeight="1" spans="1:2">
      <c r="A1490" s="3" t="s">
        <v>10907</v>
      </c>
      <c r="B1490" s="4">
        <v>30079316</v>
      </c>
    </row>
    <row r="1491" customHeight="1" spans="1:2">
      <c r="A1491" s="3" t="s">
        <v>11204</v>
      </c>
      <c r="B1491" s="4">
        <v>13214030</v>
      </c>
    </row>
    <row r="1492" customHeight="1" spans="1:2">
      <c r="A1492" s="3" t="s">
        <v>17407</v>
      </c>
      <c r="B1492" s="4">
        <v>6200756</v>
      </c>
    </row>
    <row r="1493" customHeight="1" spans="1:2">
      <c r="A1493" s="3" t="s">
        <v>10340</v>
      </c>
      <c r="B1493" s="4">
        <v>217631306</v>
      </c>
    </row>
    <row r="1494" customHeight="1" spans="1:2">
      <c r="A1494" s="3" t="s">
        <v>975</v>
      </c>
      <c r="B1494" s="4">
        <v>236199318</v>
      </c>
    </row>
    <row r="1495" customHeight="1" spans="1:2">
      <c r="A1495" s="3" t="s">
        <v>9008</v>
      </c>
      <c r="B1495" s="4">
        <v>8434601</v>
      </c>
    </row>
    <row r="1496" customHeight="1" spans="1:2">
      <c r="A1496" s="3" t="s">
        <v>7202</v>
      </c>
      <c r="B1496" s="4">
        <v>13052741</v>
      </c>
    </row>
    <row r="1497" customHeight="1" spans="1:2">
      <c r="A1497" s="3" t="s">
        <v>4872</v>
      </c>
      <c r="B1497" s="4">
        <v>5660084</v>
      </c>
    </row>
    <row r="1498" customHeight="1" spans="1:2">
      <c r="A1498" s="3" t="s">
        <v>14293</v>
      </c>
      <c r="B1498" s="4">
        <v>4903000</v>
      </c>
    </row>
    <row r="1499" customHeight="1" spans="1:2">
      <c r="A1499" s="3" t="s">
        <v>21132</v>
      </c>
      <c r="B1499" s="4"/>
    </row>
    <row r="1500" customHeight="1" spans="1:2">
      <c r="A1500" s="3" t="s">
        <v>14230</v>
      </c>
      <c r="B1500" s="4">
        <v>11634362</v>
      </c>
    </row>
    <row r="1501" customHeight="1" spans="1:2">
      <c r="A1501" s="3" t="s">
        <v>10135</v>
      </c>
      <c r="B1501" s="4">
        <v>28871190</v>
      </c>
    </row>
    <row r="1502" customHeight="1" spans="1:2">
      <c r="A1502" s="3" t="s">
        <v>22700</v>
      </c>
      <c r="B1502" s="4"/>
    </row>
    <row r="1503" customHeight="1" spans="1:2">
      <c r="A1503" s="3" t="s">
        <v>23316</v>
      </c>
      <c r="B1503" s="4"/>
    </row>
    <row r="1504" customHeight="1" spans="1:2">
      <c r="A1504" s="3" t="s">
        <v>1696</v>
      </c>
      <c r="B1504" s="4">
        <v>187670866</v>
      </c>
    </row>
    <row r="1505" customHeight="1" spans="1:2">
      <c r="A1505" s="3" t="s">
        <v>15739</v>
      </c>
      <c r="B1505" s="4">
        <v>11860839</v>
      </c>
    </row>
    <row r="1506" customHeight="1" spans="1:2">
      <c r="A1506" s="3" t="s">
        <v>13935</v>
      </c>
      <c r="B1506" s="4">
        <v>10725228</v>
      </c>
    </row>
    <row r="1507" customHeight="1" spans="1:2">
      <c r="A1507" s="3" t="s">
        <v>15880</v>
      </c>
      <c r="B1507" s="4">
        <v>4273372</v>
      </c>
    </row>
    <row r="1508" customHeight="1" spans="1:2">
      <c r="A1508" s="3" t="s">
        <v>8337</v>
      </c>
      <c r="B1508" s="4">
        <v>42643187</v>
      </c>
    </row>
    <row r="1509" customHeight="1" spans="1:2">
      <c r="A1509" s="3" t="s">
        <v>8660</v>
      </c>
      <c r="B1509" s="4">
        <v>53660000</v>
      </c>
    </row>
    <row r="1510" customHeight="1" spans="1:2">
      <c r="A1510" s="3" t="s">
        <v>19983</v>
      </c>
      <c r="B1510" s="4">
        <v>178739</v>
      </c>
    </row>
    <row r="1511" customHeight="1" spans="1:2">
      <c r="A1511" s="3" t="s">
        <v>16881</v>
      </c>
      <c r="B1511" s="4">
        <v>16842303</v>
      </c>
    </row>
    <row r="1512" customHeight="1" spans="1:2">
      <c r="A1512" s="3" t="s">
        <v>7860</v>
      </c>
      <c r="B1512" s="4">
        <v>4280577</v>
      </c>
    </row>
    <row r="1513" customHeight="1" spans="1:2">
      <c r="A1513" s="3" t="s">
        <v>17177</v>
      </c>
      <c r="B1513" s="4"/>
    </row>
    <row r="1514" customHeight="1" spans="1:2">
      <c r="A1514" s="3" t="s">
        <v>4787</v>
      </c>
      <c r="B1514" s="4">
        <v>12870569</v>
      </c>
    </row>
    <row r="1515" customHeight="1" spans="1:2">
      <c r="A1515" s="3" t="s">
        <v>18933</v>
      </c>
      <c r="B1515" s="4">
        <v>6390032</v>
      </c>
    </row>
    <row r="1516" customHeight="1" spans="1:2">
      <c r="A1516" s="3" t="s">
        <v>21552</v>
      </c>
      <c r="B1516" s="4">
        <v>20773070</v>
      </c>
    </row>
    <row r="1517" customHeight="1" spans="1:2">
      <c r="A1517" s="3" t="s">
        <v>1043</v>
      </c>
      <c r="B1517" s="4">
        <v>31141074</v>
      </c>
    </row>
    <row r="1518" customHeight="1" spans="1:2">
      <c r="A1518" s="3" t="s">
        <v>8616</v>
      </c>
      <c r="B1518" s="4">
        <v>14334645</v>
      </c>
    </row>
    <row r="1519" customHeight="1" spans="1:2">
      <c r="A1519" s="3" t="s">
        <v>21562</v>
      </c>
      <c r="B1519" s="4">
        <v>10037390</v>
      </c>
    </row>
    <row r="1520" customHeight="1" spans="1:2">
      <c r="A1520" s="3" t="s">
        <v>674</v>
      </c>
      <c r="B1520" s="4"/>
    </row>
    <row r="1521" customHeight="1" spans="1:2">
      <c r="A1521" s="3" t="s">
        <v>8034</v>
      </c>
      <c r="B1521" s="4">
        <v>17797316</v>
      </c>
    </row>
    <row r="1522" customHeight="1" spans="1:2">
      <c r="A1522" s="3" t="s">
        <v>3962</v>
      </c>
      <c r="B1522" s="4">
        <v>106635996</v>
      </c>
    </row>
    <row r="1523" customHeight="1" spans="1:2">
      <c r="A1523" s="3" t="s">
        <v>19160</v>
      </c>
      <c r="B1523" s="4">
        <v>51100000</v>
      </c>
    </row>
    <row r="1524" customHeight="1" spans="1:2">
      <c r="A1524" s="3" t="s">
        <v>16966</v>
      </c>
      <c r="B1524" s="4"/>
    </row>
    <row r="1525" customHeight="1" spans="1:2">
      <c r="A1525" s="3" t="s">
        <v>3954</v>
      </c>
      <c r="B1525" s="4">
        <v>167735396</v>
      </c>
    </row>
    <row r="1526" customHeight="1" spans="1:2">
      <c r="A1526" s="3" t="s">
        <v>1690</v>
      </c>
      <c r="B1526" s="4">
        <v>101643008</v>
      </c>
    </row>
    <row r="1527" customHeight="1" spans="1:2">
      <c r="A1527" s="3" t="s">
        <v>18795</v>
      </c>
      <c r="B1527" s="4">
        <v>198655278</v>
      </c>
    </row>
    <row r="1528" customHeight="1" spans="1:2">
      <c r="A1528" s="3" t="s">
        <v>11618</v>
      </c>
      <c r="B1528" s="4"/>
    </row>
    <row r="1529" customHeight="1" spans="1:2">
      <c r="A1529" s="3" t="s">
        <v>12176</v>
      </c>
      <c r="B1529" s="4">
        <v>37566230</v>
      </c>
    </row>
    <row r="1530" customHeight="1" spans="1:2">
      <c r="A1530" s="3" t="s">
        <v>16948</v>
      </c>
      <c r="B1530" s="4">
        <v>4063859</v>
      </c>
    </row>
    <row r="1531" customHeight="1" spans="1:2">
      <c r="A1531" s="3" t="s">
        <v>13409</v>
      </c>
      <c r="B1531" s="4">
        <v>35010192</v>
      </c>
    </row>
    <row r="1532" customHeight="1" spans="1:2">
      <c r="A1532" s="3" t="s">
        <v>23477</v>
      </c>
      <c r="B1532" s="4">
        <v>15542</v>
      </c>
    </row>
    <row r="1533" customHeight="1" spans="1:2">
      <c r="A1533" s="3" t="s">
        <v>15485</v>
      </c>
      <c r="B1533" s="4"/>
    </row>
    <row r="1534" customHeight="1" spans="1:2">
      <c r="A1534" s="3" t="s">
        <v>22680</v>
      </c>
      <c r="B1534" s="4">
        <v>316842</v>
      </c>
    </row>
    <row r="1535" customHeight="1" spans="1:2">
      <c r="A1535" s="3" t="s">
        <v>9618</v>
      </c>
      <c r="B1535" s="4">
        <v>35000629</v>
      </c>
    </row>
    <row r="1536" customHeight="1" spans="1:2">
      <c r="A1536" s="3" t="s">
        <v>13641</v>
      </c>
      <c r="B1536" s="4">
        <v>123922370</v>
      </c>
    </row>
    <row r="1537" customHeight="1" spans="1:2">
      <c r="A1537" s="3" t="s">
        <v>16496</v>
      </c>
      <c r="B1537" s="4">
        <v>31501218</v>
      </c>
    </row>
    <row r="1538" customHeight="1" spans="1:2">
      <c r="A1538" s="3" t="s">
        <v>14780</v>
      </c>
      <c r="B1538" s="4">
        <v>138339411</v>
      </c>
    </row>
    <row r="1539" customHeight="1" spans="1:2">
      <c r="A1539" s="3" t="s">
        <v>12580</v>
      </c>
      <c r="B1539" s="4">
        <v>23091</v>
      </c>
    </row>
    <row r="1540" customHeight="1" spans="1:2">
      <c r="A1540" s="3" t="s">
        <v>9534</v>
      </c>
      <c r="B1540" s="4">
        <v>46836394</v>
      </c>
    </row>
    <row r="1541" customHeight="1" spans="1:2">
      <c r="A1541" s="3" t="s">
        <v>4454</v>
      </c>
      <c r="B1541" s="4">
        <v>160043480</v>
      </c>
    </row>
    <row r="1542" customHeight="1" spans="1:2">
      <c r="A1542" s="3" t="s">
        <v>22861</v>
      </c>
      <c r="B1542" s="4">
        <v>11798</v>
      </c>
    </row>
    <row r="1543" customHeight="1" spans="1:2">
      <c r="A1543" s="3" t="s">
        <v>11799</v>
      </c>
      <c r="B1543" s="4">
        <v>41300105</v>
      </c>
    </row>
    <row r="1544" customHeight="1" spans="1:2">
      <c r="A1544" s="3" t="s">
        <v>13517</v>
      </c>
      <c r="B1544" s="4">
        <v>5108820</v>
      </c>
    </row>
    <row r="1545" customHeight="1" spans="1:2">
      <c r="A1545" s="3" t="s">
        <v>6517</v>
      </c>
      <c r="B1545" s="4">
        <v>59588068</v>
      </c>
    </row>
    <row r="1546" customHeight="1" spans="1:2">
      <c r="A1546" s="3" t="s">
        <v>17497</v>
      </c>
      <c r="B1546" s="4"/>
    </row>
    <row r="1547" customHeight="1" spans="1:2">
      <c r="A1547" s="3" t="s">
        <v>8744</v>
      </c>
      <c r="B1547" s="4"/>
    </row>
    <row r="1548" customHeight="1" spans="1:2">
      <c r="A1548" s="3" t="s">
        <v>20824</v>
      </c>
      <c r="B1548" s="4">
        <v>2507106</v>
      </c>
    </row>
    <row r="1549" customHeight="1" spans="1:2">
      <c r="A1549" s="3" t="s">
        <v>15717</v>
      </c>
      <c r="B1549" s="4">
        <v>2955039</v>
      </c>
    </row>
    <row r="1550" customHeight="1" spans="1:2">
      <c r="A1550" s="3" t="s">
        <v>23133</v>
      </c>
      <c r="B1550" s="4"/>
    </row>
    <row r="1551" customHeight="1" spans="1:2">
      <c r="A1551" s="3" t="s">
        <v>9384</v>
      </c>
      <c r="B1551" s="4">
        <v>148085755</v>
      </c>
    </row>
    <row r="1552" customHeight="1" spans="1:2">
      <c r="A1552" s="3" t="s">
        <v>21375</v>
      </c>
      <c r="B1552" s="4"/>
    </row>
    <row r="1553" customHeight="1" spans="1:2">
      <c r="A1553" s="3" t="s">
        <v>17834</v>
      </c>
      <c r="B1553" s="4">
        <v>6088249</v>
      </c>
    </row>
    <row r="1554" customHeight="1" spans="1:2">
      <c r="A1554" s="3" t="s">
        <v>20482</v>
      </c>
      <c r="B1554" s="4"/>
    </row>
    <row r="1555" customHeight="1" spans="1:2">
      <c r="A1555" s="3" t="s">
        <v>1487</v>
      </c>
      <c r="B1555" s="4">
        <v>274084951</v>
      </c>
    </row>
    <row r="1556" customHeight="1" spans="1:2">
      <c r="A1556" s="3" t="s">
        <v>16973</v>
      </c>
      <c r="B1556" s="4">
        <v>181360000</v>
      </c>
    </row>
    <row r="1557" customHeight="1" spans="1:2">
      <c r="A1557" s="3" t="s">
        <v>318</v>
      </c>
      <c r="B1557" s="4">
        <v>116593191</v>
      </c>
    </row>
    <row r="1558" customHeight="1" spans="1:2">
      <c r="A1558" s="3" t="s">
        <v>17925</v>
      </c>
      <c r="B1558" s="4">
        <v>3219029</v>
      </c>
    </row>
    <row r="1559" customHeight="1" spans="1:2">
      <c r="A1559" s="3" t="s">
        <v>16298</v>
      </c>
      <c r="B1559" s="4"/>
    </row>
    <row r="1560" customHeight="1" spans="1:2">
      <c r="A1560" s="3" t="s">
        <v>1913</v>
      </c>
      <c r="B1560" s="4">
        <v>35024475</v>
      </c>
    </row>
    <row r="1561" customHeight="1" spans="1:2">
      <c r="A1561" s="3" t="s">
        <v>5254</v>
      </c>
      <c r="B1561" s="4">
        <v>41482207</v>
      </c>
    </row>
    <row r="1562" customHeight="1" spans="1:2">
      <c r="A1562" s="3" t="s">
        <v>14481</v>
      </c>
      <c r="B1562" s="4">
        <v>148170000</v>
      </c>
    </row>
    <row r="1563" customHeight="1" spans="1:2">
      <c r="A1563" s="3" t="s">
        <v>8434</v>
      </c>
      <c r="B1563" s="4">
        <v>38432823</v>
      </c>
    </row>
    <row r="1564" customHeight="1" spans="1:2">
      <c r="A1564" s="3" t="s">
        <v>19652</v>
      </c>
      <c r="B1564" s="4"/>
    </row>
    <row r="1565" customHeight="1" spans="1:2">
      <c r="A1565" s="3" t="s">
        <v>4906</v>
      </c>
      <c r="B1565" s="4">
        <v>25031037</v>
      </c>
    </row>
    <row r="1566" customHeight="1" spans="1:2">
      <c r="A1566" s="3" t="s">
        <v>22566</v>
      </c>
      <c r="B1566" s="4">
        <v>1114943</v>
      </c>
    </row>
    <row r="1567" customHeight="1" spans="1:2">
      <c r="A1567" s="3" t="s">
        <v>12882</v>
      </c>
      <c r="B1567" s="4">
        <v>28014536</v>
      </c>
    </row>
    <row r="1568" customHeight="1" spans="1:2">
      <c r="A1568" s="3" t="s">
        <v>13323</v>
      </c>
      <c r="B1568" s="4">
        <v>70906973</v>
      </c>
    </row>
    <row r="1569" customHeight="1" spans="1:2">
      <c r="A1569" s="3" t="s">
        <v>21081</v>
      </c>
      <c r="B1569" s="4"/>
    </row>
    <row r="1570" customHeight="1" spans="1:2">
      <c r="A1570" s="3" t="s">
        <v>2585</v>
      </c>
      <c r="B1570" s="4">
        <v>133668525</v>
      </c>
    </row>
    <row r="1571" customHeight="1" spans="1:2">
      <c r="A1571" s="3" t="s">
        <v>3045</v>
      </c>
      <c r="B1571" s="4">
        <v>162001186</v>
      </c>
    </row>
    <row r="1572" customHeight="1" spans="1:2">
      <c r="A1572" s="3" t="s">
        <v>6949</v>
      </c>
      <c r="B1572" s="4">
        <v>29802761</v>
      </c>
    </row>
    <row r="1573" customHeight="1" spans="1:2">
      <c r="A1573" s="3" t="s">
        <v>657</v>
      </c>
      <c r="B1573" s="4">
        <v>333130696</v>
      </c>
    </row>
    <row r="1574" customHeight="1" spans="1:2">
      <c r="A1574" s="3" t="s">
        <v>7306</v>
      </c>
      <c r="B1574" s="4">
        <v>67962333</v>
      </c>
    </row>
    <row r="1575" customHeight="1" spans="1:2">
      <c r="A1575" s="3" t="s">
        <v>21777</v>
      </c>
      <c r="B1575" s="4">
        <v>227241</v>
      </c>
    </row>
    <row r="1576" customHeight="1" spans="1:2">
      <c r="A1576" s="3" t="s">
        <v>1553</v>
      </c>
      <c r="B1576" s="4">
        <v>42776259</v>
      </c>
    </row>
    <row r="1577" customHeight="1" spans="1:2">
      <c r="A1577" s="3" t="s">
        <v>15249</v>
      </c>
      <c r="B1577" s="4">
        <v>1631839</v>
      </c>
    </row>
    <row r="1578" customHeight="1" spans="1:2">
      <c r="A1578" s="3" t="s">
        <v>15496</v>
      </c>
      <c r="B1578" s="4"/>
    </row>
    <row r="1579" customHeight="1" spans="1:2">
      <c r="A1579" s="3" t="s">
        <v>23514</v>
      </c>
      <c r="B1579" s="4"/>
    </row>
    <row r="1580" customHeight="1" spans="1:2">
      <c r="A1580" s="3" t="s">
        <v>12594</v>
      </c>
      <c r="B1580" s="4"/>
    </row>
    <row r="1581" customHeight="1" spans="1:2">
      <c r="A1581" s="3" t="s">
        <v>6866</v>
      </c>
      <c r="B1581" s="4">
        <v>7564000</v>
      </c>
    </row>
    <row r="1582" customHeight="1" spans="1:2">
      <c r="A1582" s="3" t="s">
        <v>10442</v>
      </c>
      <c r="B1582" s="4">
        <v>29997095</v>
      </c>
    </row>
    <row r="1583" customHeight="1" spans="1:2">
      <c r="A1583" s="3" t="s">
        <v>3027</v>
      </c>
      <c r="B1583" s="4">
        <v>118823091</v>
      </c>
    </row>
    <row r="1584" customHeight="1" spans="1:2">
      <c r="A1584" s="3" t="s">
        <v>16072</v>
      </c>
      <c r="B1584" s="4">
        <v>17278980</v>
      </c>
    </row>
    <row r="1585" customHeight="1" spans="1:2">
      <c r="A1585" s="3" t="s">
        <v>22326</v>
      </c>
      <c r="B1585" s="4">
        <v>2694973</v>
      </c>
    </row>
    <row r="1586" customHeight="1" spans="1:2">
      <c r="A1586" s="3" t="s">
        <v>9778</v>
      </c>
      <c r="B1586" s="4">
        <v>15361537</v>
      </c>
    </row>
    <row r="1587" customHeight="1" spans="1:2">
      <c r="A1587" s="3" t="s">
        <v>3579</v>
      </c>
      <c r="B1587" s="4">
        <v>45045037</v>
      </c>
    </row>
    <row r="1588" customHeight="1" spans="1:2">
      <c r="A1588" s="3" t="s">
        <v>17737</v>
      </c>
      <c r="B1588" s="4">
        <v>17768000</v>
      </c>
    </row>
    <row r="1589" customHeight="1" spans="1:2">
      <c r="A1589" s="3" t="s">
        <v>17091</v>
      </c>
      <c r="B1589" s="4">
        <v>11642254</v>
      </c>
    </row>
    <row r="1590" customHeight="1" spans="1:2">
      <c r="A1590" s="3" t="s">
        <v>12824</v>
      </c>
      <c r="B1590" s="4">
        <v>66772256</v>
      </c>
    </row>
    <row r="1591" customHeight="1" spans="1:2">
      <c r="A1591" s="3" t="s">
        <v>19813</v>
      </c>
      <c r="B1591" s="4">
        <v>14400000</v>
      </c>
    </row>
    <row r="1592" customHeight="1" spans="1:2">
      <c r="A1592" s="3" t="s">
        <v>12171</v>
      </c>
      <c r="B1592" s="4">
        <v>141000000</v>
      </c>
    </row>
    <row r="1593" customHeight="1" spans="1:2">
      <c r="A1593" s="3" t="s">
        <v>12840</v>
      </c>
      <c r="B1593" s="4">
        <v>30259652</v>
      </c>
    </row>
    <row r="1594" customHeight="1" spans="1:2">
      <c r="A1594" s="3" t="s">
        <v>17714</v>
      </c>
      <c r="B1594" s="4">
        <v>15126948</v>
      </c>
    </row>
    <row r="1595" customHeight="1" spans="1:2">
      <c r="A1595" s="3" t="s">
        <v>15723</v>
      </c>
      <c r="B1595" s="4">
        <v>4881867</v>
      </c>
    </row>
    <row r="1596" customHeight="1" spans="1:2">
      <c r="A1596" s="3" t="s">
        <v>11992</v>
      </c>
      <c r="B1596" s="4">
        <v>8829070</v>
      </c>
    </row>
    <row r="1597" customHeight="1" spans="1:2">
      <c r="A1597" s="3" t="s">
        <v>779</v>
      </c>
      <c r="B1597" s="4">
        <v>227946274</v>
      </c>
    </row>
    <row r="1598" customHeight="1" spans="1:2">
      <c r="A1598" s="3" t="s">
        <v>11534</v>
      </c>
      <c r="B1598" s="4"/>
    </row>
    <row r="1599" customHeight="1" spans="1:2">
      <c r="A1599" s="3" t="s">
        <v>20720</v>
      </c>
      <c r="B1599" s="4"/>
    </row>
    <row r="1600" customHeight="1" spans="1:2">
      <c r="A1600" s="3" t="s">
        <v>6581</v>
      </c>
      <c r="B1600" s="4">
        <v>36037909</v>
      </c>
    </row>
    <row r="1601" customHeight="1" spans="1:2">
      <c r="A1601" s="3" t="s">
        <v>8405</v>
      </c>
      <c r="B1601" s="4">
        <v>40247512</v>
      </c>
    </row>
    <row r="1602" customHeight="1" spans="1:2">
      <c r="A1602" s="3" t="s">
        <v>8172</v>
      </c>
      <c r="B1602" s="4">
        <v>79566871</v>
      </c>
    </row>
    <row r="1603" customHeight="1" spans="1:2">
      <c r="A1603" s="3" t="s">
        <v>5342</v>
      </c>
      <c r="B1603" s="4">
        <v>27667947</v>
      </c>
    </row>
    <row r="1604" customHeight="1" spans="1:2">
      <c r="A1604" s="3" t="s">
        <v>2352</v>
      </c>
      <c r="B1604" s="4"/>
    </row>
    <row r="1605" customHeight="1" spans="1:2">
      <c r="A1605" s="3" t="s">
        <v>18464</v>
      </c>
      <c r="B1605" s="4"/>
    </row>
    <row r="1606" customHeight="1" spans="1:2">
      <c r="A1606" s="3" t="s">
        <v>5173</v>
      </c>
      <c r="B1606" s="4">
        <v>55682070</v>
      </c>
    </row>
    <row r="1607" customHeight="1" spans="1:2">
      <c r="A1607" s="3" t="s">
        <v>5645</v>
      </c>
      <c r="B1607" s="4">
        <v>15519841</v>
      </c>
    </row>
    <row r="1608" customHeight="1" spans="1:2">
      <c r="A1608" s="3" t="s">
        <v>19422</v>
      </c>
      <c r="B1608" s="4">
        <v>3000000</v>
      </c>
    </row>
    <row r="1609" customHeight="1" spans="1:2">
      <c r="A1609" s="3" t="s">
        <v>23816</v>
      </c>
      <c r="B1609" s="4">
        <v>30084</v>
      </c>
    </row>
    <row r="1610" customHeight="1" spans="1:2">
      <c r="A1610" s="3" t="s">
        <v>1112</v>
      </c>
      <c r="B1610" s="4">
        <v>63992328</v>
      </c>
    </row>
    <row r="1611" customHeight="1" spans="1:2">
      <c r="A1611" s="3" t="s">
        <v>2316</v>
      </c>
      <c r="B1611" s="4">
        <v>197992827</v>
      </c>
    </row>
    <row r="1612" customHeight="1" spans="1:2">
      <c r="A1612" s="3" t="s">
        <v>14833</v>
      </c>
      <c r="B1612" s="4">
        <v>38624000</v>
      </c>
    </row>
    <row r="1613" customHeight="1" spans="1:2">
      <c r="A1613" s="3" t="s">
        <v>23235</v>
      </c>
      <c r="B1613" s="4"/>
    </row>
    <row r="1614" customHeight="1" spans="1:2">
      <c r="A1614" s="3" t="s">
        <v>20792</v>
      </c>
      <c r="B1614" s="4">
        <v>1943649</v>
      </c>
    </row>
    <row r="1615" customHeight="1" spans="1:2">
      <c r="A1615" s="3" t="s">
        <v>22064</v>
      </c>
      <c r="B1615" s="4">
        <v>1007962</v>
      </c>
    </row>
    <row r="1616" customHeight="1" spans="1:2">
      <c r="A1616" s="3" t="s">
        <v>3492</v>
      </c>
      <c r="B1616" s="4">
        <v>19819494</v>
      </c>
    </row>
    <row r="1617" customHeight="1" spans="1:2">
      <c r="A1617" s="3" t="s">
        <v>16730</v>
      </c>
      <c r="B1617" s="4"/>
    </row>
    <row r="1618" customHeight="1" spans="1:2">
      <c r="A1618" s="3" t="s">
        <v>10573</v>
      </c>
      <c r="B1618" s="4">
        <v>40219708</v>
      </c>
    </row>
    <row r="1619" customHeight="1" spans="1:2">
      <c r="A1619" s="3" t="s">
        <v>21799</v>
      </c>
      <c r="B1619" s="4">
        <v>96734</v>
      </c>
    </row>
    <row r="1620" customHeight="1" spans="1:2">
      <c r="A1620" s="3" t="s">
        <v>10282</v>
      </c>
      <c r="B1620" s="4">
        <v>7434726</v>
      </c>
    </row>
    <row r="1621" customHeight="1" spans="1:2">
      <c r="A1621" s="3" t="s">
        <v>8890</v>
      </c>
      <c r="B1621" s="4"/>
    </row>
    <row r="1622" customHeight="1" spans="1:2">
      <c r="A1622" s="3" t="s">
        <v>14071</v>
      </c>
      <c r="B1622" s="4">
        <v>38087366</v>
      </c>
    </row>
    <row r="1623" customHeight="1" spans="1:2">
      <c r="A1623" s="3" t="s">
        <v>15649</v>
      </c>
      <c r="B1623" s="4">
        <v>18225165</v>
      </c>
    </row>
    <row r="1624" customHeight="1" spans="1:2">
      <c r="A1624" s="3" t="s">
        <v>18909</v>
      </c>
      <c r="B1624" s="4"/>
    </row>
    <row r="1625" customHeight="1" spans="1:2">
      <c r="A1625" s="3" t="s">
        <v>13728</v>
      </c>
      <c r="B1625" s="4">
        <v>26539321</v>
      </c>
    </row>
    <row r="1626" customHeight="1" spans="1:2">
      <c r="A1626" s="3" t="s">
        <v>22182</v>
      </c>
      <c r="B1626" s="4"/>
    </row>
    <row r="1627" customHeight="1" spans="1:2">
      <c r="A1627" s="3" t="s">
        <v>16432</v>
      </c>
      <c r="B1627" s="4">
        <v>1818681</v>
      </c>
    </row>
    <row r="1628" customHeight="1" spans="1:2">
      <c r="A1628" s="3" t="s">
        <v>1704</v>
      </c>
      <c r="B1628" s="4">
        <v>261970615</v>
      </c>
    </row>
    <row r="1629" customHeight="1" spans="1:2">
      <c r="A1629" s="3" t="s">
        <v>1269</v>
      </c>
      <c r="B1629" s="4"/>
    </row>
    <row r="1630" customHeight="1" spans="1:2">
      <c r="A1630" s="3" t="s">
        <v>1242</v>
      </c>
      <c r="B1630" s="4"/>
    </row>
    <row r="1631" customHeight="1" spans="1:2">
      <c r="A1631" s="3" t="s">
        <v>774</v>
      </c>
      <c r="B1631" s="4">
        <v>289994397</v>
      </c>
    </row>
    <row r="1632" customHeight="1" spans="1:2">
      <c r="A1632" s="3" t="s">
        <v>109</v>
      </c>
      <c r="B1632" s="4">
        <v>301956980</v>
      </c>
    </row>
    <row r="1633" customHeight="1" spans="1:2">
      <c r="A1633" s="3" t="s">
        <v>771</v>
      </c>
      <c r="B1633" s="4">
        <v>292000866</v>
      </c>
    </row>
    <row r="1634" customHeight="1" spans="1:2">
      <c r="A1634" s="3" t="s">
        <v>1219</v>
      </c>
      <c r="B1634" s="4">
        <v>249358727</v>
      </c>
    </row>
    <row r="1635" customHeight="1" spans="1:2">
      <c r="A1635" s="3" t="s">
        <v>1255</v>
      </c>
      <c r="B1635" s="4">
        <v>317557891</v>
      </c>
    </row>
    <row r="1636" customHeight="1" spans="1:2">
      <c r="A1636" s="3" t="s">
        <v>20270</v>
      </c>
      <c r="B1636" s="4">
        <v>3335839</v>
      </c>
    </row>
    <row r="1637" customHeight="1" spans="1:2">
      <c r="A1637" s="3" t="s">
        <v>3473</v>
      </c>
      <c r="B1637" s="4">
        <v>19076815</v>
      </c>
    </row>
    <row r="1638" customHeight="1" spans="1:2">
      <c r="A1638" s="3" t="s">
        <v>17442</v>
      </c>
      <c r="B1638" s="4">
        <v>56007</v>
      </c>
    </row>
    <row r="1639" customHeight="1" spans="1:2">
      <c r="A1639" s="3" t="s">
        <v>20991</v>
      </c>
      <c r="B1639" s="4"/>
    </row>
    <row r="1640" customHeight="1" spans="1:2">
      <c r="A1640" s="3" t="s">
        <v>22338</v>
      </c>
      <c r="B1640" s="4">
        <v>2301777</v>
      </c>
    </row>
    <row r="1641" customHeight="1" spans="1:2">
      <c r="A1641" s="3" t="s">
        <v>23868</v>
      </c>
      <c r="B1641" s="4"/>
    </row>
    <row r="1642" customHeight="1" spans="1:2">
      <c r="A1642" s="3" t="s">
        <v>10257</v>
      </c>
      <c r="B1642" s="4">
        <v>18934858</v>
      </c>
    </row>
    <row r="1643" customHeight="1" spans="1:2">
      <c r="A1643" s="3" t="s">
        <v>9733</v>
      </c>
      <c r="B1643" s="4">
        <v>21554585</v>
      </c>
    </row>
    <row r="1644" customHeight="1" spans="1:2">
      <c r="A1644" s="3" t="s">
        <v>7229</v>
      </c>
      <c r="B1644" s="4">
        <v>37788228</v>
      </c>
    </row>
    <row r="1645" customHeight="1" spans="1:2">
      <c r="A1645" s="3" t="s">
        <v>13496</v>
      </c>
      <c r="B1645" s="4">
        <v>10397365</v>
      </c>
    </row>
    <row r="1646" customHeight="1" spans="1:2">
      <c r="A1646" s="3" t="s">
        <v>17491</v>
      </c>
      <c r="B1646" s="4">
        <v>1196752</v>
      </c>
    </row>
    <row r="1647" customHeight="1" spans="1:2">
      <c r="A1647" s="3" t="s">
        <v>15155</v>
      </c>
      <c r="B1647" s="4"/>
    </row>
    <row r="1648" customHeight="1" spans="1:2">
      <c r="A1648" s="3" t="s">
        <v>7007</v>
      </c>
      <c r="B1648" s="4">
        <v>40334024</v>
      </c>
    </row>
    <row r="1649" customHeight="1" spans="1:2">
      <c r="A1649" s="3" t="s">
        <v>8063</v>
      </c>
      <c r="B1649" s="4">
        <v>24185781</v>
      </c>
    </row>
    <row r="1650" customHeight="1" spans="1:2">
      <c r="A1650" s="3" t="s">
        <v>14446</v>
      </c>
      <c r="B1650" s="4">
        <v>91443253</v>
      </c>
    </row>
    <row r="1651" customHeight="1" spans="1:2">
      <c r="A1651" s="3" t="s">
        <v>17888</v>
      </c>
      <c r="B1651" s="4">
        <v>3049135</v>
      </c>
    </row>
    <row r="1652" customHeight="1" spans="1:2">
      <c r="A1652" s="3" t="s">
        <v>6041</v>
      </c>
      <c r="B1652" s="4">
        <v>1500000</v>
      </c>
    </row>
    <row r="1653" customHeight="1" spans="1:2">
      <c r="A1653" s="3" t="s">
        <v>15554</v>
      </c>
      <c r="B1653" s="4"/>
    </row>
    <row r="1654" customHeight="1" spans="1:2">
      <c r="A1654" s="3" t="s">
        <v>17165</v>
      </c>
      <c r="B1654" s="4">
        <v>3029081</v>
      </c>
    </row>
    <row r="1655" customHeight="1" spans="1:2">
      <c r="A1655" s="3" t="s">
        <v>7523</v>
      </c>
      <c r="B1655" s="4"/>
    </row>
    <row r="1656" customHeight="1" spans="1:2">
      <c r="A1656" s="3" t="s">
        <v>16124</v>
      </c>
      <c r="B1656" s="4">
        <v>4692814</v>
      </c>
    </row>
    <row r="1657" customHeight="1" spans="1:2">
      <c r="A1657" s="3" t="s">
        <v>21886</v>
      </c>
      <c r="B1657" s="4"/>
    </row>
    <row r="1658" customHeight="1" spans="1:2">
      <c r="A1658" s="3" t="s">
        <v>2516</v>
      </c>
      <c r="B1658" s="4">
        <v>75754670</v>
      </c>
    </row>
    <row r="1659" customHeight="1" spans="1:2">
      <c r="A1659" s="3" t="s">
        <v>4116</v>
      </c>
      <c r="B1659" s="4">
        <v>59035104</v>
      </c>
    </row>
    <row r="1660" customHeight="1" spans="1:2">
      <c r="A1660" s="3" t="s">
        <v>21545</v>
      </c>
      <c r="B1660" s="4">
        <v>14564027</v>
      </c>
    </row>
    <row r="1661" customHeight="1" spans="1:2">
      <c r="A1661" s="3" t="s">
        <v>18747</v>
      </c>
      <c r="B1661" s="4"/>
    </row>
    <row r="1662" customHeight="1" spans="1:2">
      <c r="A1662" s="3" t="s">
        <v>18061</v>
      </c>
      <c r="B1662" s="4"/>
    </row>
    <row r="1663" customHeight="1" spans="1:2">
      <c r="A1663" s="3" t="s">
        <v>15675</v>
      </c>
      <c r="B1663" s="4">
        <v>10161099</v>
      </c>
    </row>
    <row r="1664" customHeight="1" spans="1:2">
      <c r="A1664" s="3" t="s">
        <v>23966</v>
      </c>
      <c r="B1664" s="4"/>
    </row>
    <row r="1665" customHeight="1" spans="1:2">
      <c r="A1665" s="3" t="s">
        <v>10233</v>
      </c>
      <c r="B1665" s="4">
        <v>25556065</v>
      </c>
    </row>
    <row r="1666" customHeight="1" spans="1:2">
      <c r="A1666" s="3" t="s">
        <v>5162</v>
      </c>
      <c r="B1666" s="4">
        <v>66002004</v>
      </c>
    </row>
    <row r="1667" customHeight="1" spans="1:2">
      <c r="A1667" s="3" t="s">
        <v>1867</v>
      </c>
      <c r="B1667" s="4">
        <v>145320058</v>
      </c>
    </row>
    <row r="1668" customHeight="1" spans="1:2">
      <c r="A1668" s="3" t="s">
        <v>6121</v>
      </c>
      <c r="B1668" s="4">
        <v>45290318</v>
      </c>
    </row>
    <row r="1669" customHeight="1" spans="1:2">
      <c r="A1669" s="3" t="s">
        <v>13060</v>
      </c>
      <c r="B1669" s="4">
        <v>10494147</v>
      </c>
    </row>
    <row r="1670" customHeight="1" spans="1:2">
      <c r="A1670" s="3" t="s">
        <v>5326</v>
      </c>
      <c r="B1670" s="4">
        <v>32741596</v>
      </c>
    </row>
    <row r="1671" customHeight="1" spans="1:2">
      <c r="A1671" s="3" t="s">
        <v>6169</v>
      </c>
      <c r="B1671" s="4">
        <v>169922</v>
      </c>
    </row>
    <row r="1672" customHeight="1" spans="1:2">
      <c r="A1672" s="3" t="s">
        <v>23600</v>
      </c>
      <c r="B1672" s="4"/>
    </row>
    <row r="1673" customHeight="1" spans="1:2">
      <c r="A1673" s="3" t="s">
        <v>22865</v>
      </c>
      <c r="B1673" s="4"/>
    </row>
    <row r="1674" customHeight="1" spans="1:2">
      <c r="A1674" s="3" t="s">
        <v>6302</v>
      </c>
      <c r="B1674" s="4">
        <v>93952276</v>
      </c>
    </row>
    <row r="1675" customHeight="1" spans="1:2">
      <c r="A1675" s="3" t="s">
        <v>16703</v>
      </c>
      <c r="B1675" s="4">
        <v>382946</v>
      </c>
    </row>
    <row r="1676" customHeight="1" spans="1:2">
      <c r="A1676" s="3" t="s">
        <v>15039</v>
      </c>
      <c r="B1676" s="4">
        <v>13684949</v>
      </c>
    </row>
    <row r="1677" customHeight="1" spans="1:2">
      <c r="A1677" s="3" t="s">
        <v>2937</v>
      </c>
      <c r="B1677" s="4">
        <v>67286731</v>
      </c>
    </row>
    <row r="1678" customHeight="1" spans="1:2">
      <c r="A1678" s="3" t="s">
        <v>21951</v>
      </c>
      <c r="B1678" s="4"/>
    </row>
    <row r="1679" customHeight="1" spans="1:2">
      <c r="A1679" s="3" t="s">
        <v>9527</v>
      </c>
      <c r="B1679" s="4">
        <v>51097664</v>
      </c>
    </row>
    <row r="1680" customHeight="1" spans="1:2">
      <c r="A1680" s="3" t="s">
        <v>19047</v>
      </c>
      <c r="B1680" s="4"/>
    </row>
    <row r="1681" customHeight="1" spans="1:2">
      <c r="A1681" s="3" t="s">
        <v>6124</v>
      </c>
      <c r="B1681" s="4">
        <v>41543207</v>
      </c>
    </row>
    <row r="1682" customHeight="1" spans="1:2">
      <c r="A1682" s="3" t="s">
        <v>10929</v>
      </c>
      <c r="B1682" s="4">
        <v>27277055</v>
      </c>
    </row>
    <row r="1683" customHeight="1" spans="1:2">
      <c r="A1683" s="3" t="s">
        <v>15343</v>
      </c>
      <c r="B1683" s="4">
        <v>226792</v>
      </c>
    </row>
    <row r="1684" customHeight="1" spans="1:2">
      <c r="A1684" s="3" t="s">
        <v>22289</v>
      </c>
      <c r="B1684" s="4"/>
    </row>
    <row r="1685" customHeight="1" spans="1:2">
      <c r="A1685" s="3" t="s">
        <v>17404</v>
      </c>
      <c r="B1685" s="4"/>
    </row>
    <row r="1686" customHeight="1" spans="1:2">
      <c r="A1686" s="3" t="s">
        <v>22506</v>
      </c>
      <c r="B1686" s="4"/>
    </row>
    <row r="1687" customHeight="1" spans="1:2">
      <c r="A1687" s="3" t="s">
        <v>16782</v>
      </c>
      <c r="B1687" s="4"/>
    </row>
    <row r="1688" customHeight="1" spans="1:2">
      <c r="A1688" s="3" t="s">
        <v>14505</v>
      </c>
      <c r="B1688" s="4">
        <v>90556401</v>
      </c>
    </row>
    <row r="1689" customHeight="1" spans="1:2">
      <c r="A1689" s="3" t="s">
        <v>18401</v>
      </c>
      <c r="B1689" s="4"/>
    </row>
    <row r="1690" customHeight="1" spans="1:2">
      <c r="A1690" s="3" t="s">
        <v>19645</v>
      </c>
      <c r="B1690" s="4">
        <v>3645438</v>
      </c>
    </row>
    <row r="1691" customHeight="1" spans="1:2">
      <c r="A1691" s="3" t="s">
        <v>20693</v>
      </c>
      <c r="B1691" s="4">
        <v>841206</v>
      </c>
    </row>
    <row r="1692" customHeight="1" spans="1:2">
      <c r="A1692" s="3" t="s">
        <v>12544</v>
      </c>
      <c r="B1692" s="4">
        <v>5900000</v>
      </c>
    </row>
    <row r="1693" customHeight="1" spans="1:2">
      <c r="A1693" s="3" t="s">
        <v>13010</v>
      </c>
      <c r="B1693" s="4">
        <v>12801190</v>
      </c>
    </row>
    <row r="1694" customHeight="1" spans="1:2">
      <c r="A1694" s="3" t="s">
        <v>9331</v>
      </c>
      <c r="B1694" s="4">
        <v>13829734</v>
      </c>
    </row>
    <row r="1695" customHeight="1" spans="1:2">
      <c r="A1695" s="3" t="s">
        <v>20534</v>
      </c>
      <c r="B1695" s="4"/>
    </row>
    <row r="1696" customHeight="1" spans="1:2">
      <c r="A1696" s="3" t="s">
        <v>14557</v>
      </c>
      <c r="B1696" s="4"/>
    </row>
    <row r="1697" customHeight="1" spans="1:2">
      <c r="A1697" s="3" t="s">
        <v>10499</v>
      </c>
      <c r="B1697" s="4">
        <v>13746550</v>
      </c>
    </row>
    <row r="1698" customHeight="1" spans="1:2">
      <c r="A1698" s="3" t="s">
        <v>7437</v>
      </c>
      <c r="B1698" s="4"/>
    </row>
    <row r="1699" customHeight="1" spans="1:2">
      <c r="A1699" s="3" t="s">
        <v>4589</v>
      </c>
      <c r="B1699" s="4">
        <v>177575142</v>
      </c>
    </row>
    <row r="1700" customHeight="1" spans="1:2">
      <c r="A1700" s="3" t="s">
        <v>12118</v>
      </c>
      <c r="B1700" s="4">
        <v>39687528</v>
      </c>
    </row>
    <row r="1701" customHeight="1" spans="1:2">
      <c r="A1701" s="3" t="s">
        <v>21905</v>
      </c>
      <c r="B1701" s="4"/>
    </row>
    <row r="1702" customHeight="1" spans="1:2">
      <c r="A1702" s="3" t="s">
        <v>19448</v>
      </c>
      <c r="B1702" s="4">
        <v>703002</v>
      </c>
    </row>
    <row r="1703" customHeight="1" spans="1:2">
      <c r="A1703" s="3" t="s">
        <v>8930</v>
      </c>
      <c r="B1703" s="4">
        <v>39514713</v>
      </c>
    </row>
    <row r="1704" customHeight="1" spans="1:2">
      <c r="A1704" s="3" t="s">
        <v>7533</v>
      </c>
      <c r="B1704" s="4">
        <v>24276500</v>
      </c>
    </row>
    <row r="1705" customHeight="1" spans="1:2">
      <c r="A1705" s="3" t="s">
        <v>10714</v>
      </c>
      <c r="B1705" s="4">
        <v>67325559</v>
      </c>
    </row>
    <row r="1706" customHeight="1" spans="1:2">
      <c r="A1706" s="3" t="s">
        <v>2211</v>
      </c>
      <c r="B1706" s="4">
        <v>73209340</v>
      </c>
    </row>
    <row r="1707" customHeight="1" spans="1:2">
      <c r="A1707" s="3" t="s">
        <v>12535</v>
      </c>
      <c r="B1707" s="4">
        <v>4839383</v>
      </c>
    </row>
    <row r="1708" customHeight="1" spans="1:2">
      <c r="A1708" s="3" t="s">
        <v>3162</v>
      </c>
      <c r="B1708" s="4">
        <v>30013346</v>
      </c>
    </row>
    <row r="1709" customHeight="1" spans="1:2">
      <c r="A1709" s="3" t="s">
        <v>23705</v>
      </c>
      <c r="B1709" s="4">
        <v>5228617</v>
      </c>
    </row>
    <row r="1710" customHeight="1" spans="1:2">
      <c r="A1710" s="3" t="s">
        <v>4441</v>
      </c>
      <c r="B1710" s="4">
        <v>12065985</v>
      </c>
    </row>
    <row r="1711" customHeight="1" spans="1:2">
      <c r="A1711" s="3" t="s">
        <v>18635</v>
      </c>
      <c r="B1711" s="4"/>
    </row>
    <row r="1712" customHeight="1" spans="1:2">
      <c r="A1712" s="3" t="s">
        <v>10639</v>
      </c>
      <c r="B1712" s="4">
        <v>173585516</v>
      </c>
    </row>
    <row r="1713" customHeight="1" spans="1:2">
      <c r="A1713" s="3" t="s">
        <v>12648</v>
      </c>
      <c r="B1713" s="4">
        <v>285761243</v>
      </c>
    </row>
    <row r="1714" customHeight="1" spans="1:2">
      <c r="A1714" s="3" t="s">
        <v>11092</v>
      </c>
      <c r="B1714" s="4">
        <v>17518220</v>
      </c>
    </row>
    <row r="1715" customHeight="1" spans="1:2">
      <c r="A1715" s="3" t="s">
        <v>13056</v>
      </c>
      <c r="B1715" s="4">
        <v>10443316</v>
      </c>
    </row>
    <row r="1716" customHeight="1" spans="1:2">
      <c r="A1716" s="3" t="s">
        <v>22897</v>
      </c>
      <c r="B1716" s="4"/>
    </row>
    <row r="1717" customHeight="1" spans="1:2">
      <c r="A1717" s="3" t="s">
        <v>1587</v>
      </c>
      <c r="B1717" s="4">
        <v>50026353</v>
      </c>
    </row>
    <row r="1718" customHeight="1" spans="1:2">
      <c r="A1718" s="3" t="s">
        <v>21316</v>
      </c>
      <c r="B1718" s="4">
        <v>2859955</v>
      </c>
    </row>
    <row r="1719" customHeight="1" spans="1:2">
      <c r="A1719" s="3" t="s">
        <v>1181</v>
      </c>
      <c r="B1719" s="4">
        <v>532031025</v>
      </c>
    </row>
    <row r="1720" customHeight="1" spans="1:2">
      <c r="A1720" s="3" t="s">
        <v>10451</v>
      </c>
      <c r="B1720" s="4">
        <v>19783777</v>
      </c>
    </row>
    <row r="1721" customHeight="1" spans="1:2">
      <c r="A1721" s="3" t="s">
        <v>11823</v>
      </c>
      <c r="B1721" s="4">
        <v>30222640</v>
      </c>
    </row>
    <row r="1722" customHeight="1" spans="1:2">
      <c r="A1722" s="3" t="s">
        <v>8627</v>
      </c>
      <c r="B1722" s="4">
        <v>10134754</v>
      </c>
    </row>
    <row r="1723" customHeight="1" spans="1:2">
      <c r="A1723" s="3" t="s">
        <v>12108</v>
      </c>
      <c r="B1723" s="4">
        <v>51053787</v>
      </c>
    </row>
    <row r="1724" customHeight="1" spans="1:2">
      <c r="A1724" s="3" t="s">
        <v>3327</v>
      </c>
      <c r="B1724" s="4">
        <v>119654900</v>
      </c>
    </row>
    <row r="1725" customHeight="1" spans="1:2">
      <c r="A1725" s="3" t="s">
        <v>22296</v>
      </c>
      <c r="B1725" s="4">
        <v>7830611</v>
      </c>
    </row>
    <row r="1726" customHeight="1" spans="1:2">
      <c r="A1726" s="3" t="s">
        <v>13111</v>
      </c>
      <c r="B1726" s="4">
        <v>8080116</v>
      </c>
    </row>
    <row r="1727" customHeight="1" spans="1:2">
      <c r="A1727" s="3" t="s">
        <v>3921</v>
      </c>
      <c r="B1727" s="4">
        <v>108012170</v>
      </c>
    </row>
    <row r="1728" customHeight="1" spans="1:2">
      <c r="A1728" s="3" t="s">
        <v>8241</v>
      </c>
      <c r="B1728" s="4">
        <v>60033780</v>
      </c>
    </row>
    <row r="1729" customHeight="1" spans="1:2">
      <c r="A1729" s="3" t="s">
        <v>8220</v>
      </c>
      <c r="B1729" s="4">
        <v>63536011</v>
      </c>
    </row>
    <row r="1730" customHeight="1" spans="1:2">
      <c r="A1730" s="3" t="s">
        <v>6454</v>
      </c>
      <c r="B1730" s="4">
        <v>54414716</v>
      </c>
    </row>
    <row r="1731" customHeight="1" spans="1:2">
      <c r="A1731" s="3" t="s">
        <v>7271</v>
      </c>
      <c r="B1731" s="4">
        <v>117528646</v>
      </c>
    </row>
    <row r="1732" customHeight="1" spans="1:2">
      <c r="A1732" s="3" t="s">
        <v>23313</v>
      </c>
      <c r="B1732" s="4"/>
    </row>
    <row r="1733" customHeight="1" spans="1:2">
      <c r="A1733" s="3" t="s">
        <v>3152</v>
      </c>
      <c r="B1733" s="4">
        <v>34636443</v>
      </c>
    </row>
    <row r="1734" customHeight="1" spans="1:2">
      <c r="A1734" s="3" t="s">
        <v>18126</v>
      </c>
      <c r="B1734" s="4">
        <v>47277326</v>
      </c>
    </row>
    <row r="1735" customHeight="1" spans="1:2">
      <c r="A1735" s="3" t="s">
        <v>16341</v>
      </c>
      <c r="B1735" s="4">
        <v>17544812</v>
      </c>
    </row>
    <row r="1736" customHeight="1" spans="1:2">
      <c r="A1736" s="3" t="s">
        <v>12458</v>
      </c>
      <c r="B1736" s="4">
        <v>23618786</v>
      </c>
    </row>
    <row r="1737" customHeight="1" spans="1:2">
      <c r="A1737" s="3" t="s">
        <v>7591</v>
      </c>
      <c r="B1737" s="4">
        <v>34507079</v>
      </c>
    </row>
    <row r="1738" customHeight="1" spans="1:2">
      <c r="A1738" s="3" t="s">
        <v>9846</v>
      </c>
      <c r="B1738" s="4">
        <v>13920741</v>
      </c>
    </row>
    <row r="1739" customHeight="1" spans="1:2">
      <c r="A1739" s="3" t="s">
        <v>13597</v>
      </c>
      <c r="B1739" s="4">
        <v>12282677</v>
      </c>
    </row>
    <row r="1740" customHeight="1" spans="1:2">
      <c r="A1740" s="3" t="s">
        <v>7185</v>
      </c>
      <c r="B1740" s="4">
        <v>50213619</v>
      </c>
    </row>
    <row r="1741" customHeight="1" spans="1:2">
      <c r="A1741" s="3" t="s">
        <v>3060</v>
      </c>
      <c r="B1741" s="4">
        <v>73023275</v>
      </c>
    </row>
    <row r="1742" customHeight="1" spans="1:2">
      <c r="A1742" s="3" t="s">
        <v>12113</v>
      </c>
      <c r="B1742" s="4">
        <v>23472900</v>
      </c>
    </row>
    <row r="1743" customHeight="1" spans="1:2">
      <c r="A1743" s="3" t="s">
        <v>2741</v>
      </c>
      <c r="B1743" s="4">
        <v>169692572</v>
      </c>
    </row>
    <row r="1744" customHeight="1" spans="1:2">
      <c r="A1744" s="3" t="s">
        <v>2337</v>
      </c>
      <c r="B1744" s="4">
        <v>148313048</v>
      </c>
    </row>
    <row r="1745" customHeight="1" spans="1:2">
      <c r="A1745" s="3" t="s">
        <v>21143</v>
      </c>
      <c r="B1745" s="4"/>
    </row>
    <row r="1746" customHeight="1" spans="1:2">
      <c r="A1746" s="3" t="s">
        <v>16816</v>
      </c>
      <c r="B1746" s="4">
        <v>31607598</v>
      </c>
    </row>
    <row r="1747" customHeight="1" spans="1:2">
      <c r="A1747" s="3" t="s">
        <v>16560</v>
      </c>
      <c r="B1747" s="4">
        <v>12583510</v>
      </c>
    </row>
    <row r="1748" customHeight="1" spans="1:2">
      <c r="A1748" s="3" t="s">
        <v>20362</v>
      </c>
      <c r="B1748" s="4">
        <v>371081</v>
      </c>
    </row>
    <row r="1749" customHeight="1" spans="1:2">
      <c r="A1749" s="3" t="s">
        <v>14248</v>
      </c>
      <c r="B1749" s="4">
        <v>11041228</v>
      </c>
    </row>
    <row r="1750" customHeight="1" spans="1:2">
      <c r="A1750" s="3" t="s">
        <v>12373</v>
      </c>
      <c r="B1750" s="4">
        <v>13005485</v>
      </c>
    </row>
    <row r="1751" customHeight="1" spans="1:2">
      <c r="A1751" s="3" t="s">
        <v>18829</v>
      </c>
      <c r="B1751" s="4"/>
    </row>
    <row r="1752" customHeight="1" spans="1:2">
      <c r="A1752" s="3" t="s">
        <v>7471</v>
      </c>
      <c r="B1752" s="4">
        <v>64097618</v>
      </c>
    </row>
    <row r="1753" customHeight="1" spans="1:2">
      <c r="A1753" s="3" t="s">
        <v>11586</v>
      </c>
      <c r="B1753" s="4">
        <v>40846082</v>
      </c>
    </row>
    <row r="1754" customHeight="1" spans="1:2">
      <c r="A1754" s="3" t="s">
        <v>17633</v>
      </c>
      <c r="B1754" s="4">
        <v>19281235</v>
      </c>
    </row>
    <row r="1755" customHeight="1" spans="1:2">
      <c r="A1755" s="3" t="s">
        <v>21048</v>
      </c>
      <c r="B1755" s="4"/>
    </row>
    <row r="1756" customHeight="1" spans="1:2">
      <c r="A1756" s="3" t="s">
        <v>14760</v>
      </c>
      <c r="B1756" s="4">
        <v>1165104</v>
      </c>
    </row>
    <row r="1757" customHeight="1" spans="1:2">
      <c r="A1757" s="3" t="s">
        <v>1419</v>
      </c>
      <c r="B1757" s="4">
        <v>30212620</v>
      </c>
    </row>
    <row r="1758" customHeight="1" spans="1:2">
      <c r="A1758" s="3" t="s">
        <v>21265</v>
      </c>
      <c r="B1758" s="4"/>
    </row>
    <row r="1759" customHeight="1" spans="1:2">
      <c r="A1759" s="3" t="s">
        <v>14121</v>
      </c>
      <c r="B1759" s="4">
        <v>31155435</v>
      </c>
    </row>
    <row r="1760" customHeight="1" spans="1:2">
      <c r="A1760" s="3" t="s">
        <v>12285</v>
      </c>
      <c r="B1760" s="4">
        <v>7070459</v>
      </c>
    </row>
    <row r="1761" customHeight="1" spans="1:2">
      <c r="A1761" s="3" t="s">
        <v>10825</v>
      </c>
      <c r="B1761" s="4">
        <v>37672350</v>
      </c>
    </row>
    <row r="1762" customHeight="1" spans="1:2">
      <c r="A1762" s="3" t="s">
        <v>1335</v>
      </c>
      <c r="B1762" s="4">
        <v>260031035</v>
      </c>
    </row>
    <row r="1763" customHeight="1" spans="1:2">
      <c r="A1763" s="3" t="s">
        <v>14213</v>
      </c>
      <c r="B1763" s="4">
        <v>13960203</v>
      </c>
    </row>
    <row r="1764" customHeight="1" spans="1:2">
      <c r="A1764" s="3" t="s">
        <v>7140</v>
      </c>
      <c r="B1764" s="4">
        <v>46813366</v>
      </c>
    </row>
    <row r="1765" customHeight="1" spans="1:2">
      <c r="A1765" s="3" t="s">
        <v>12506</v>
      </c>
      <c r="B1765" s="4">
        <v>14108518</v>
      </c>
    </row>
    <row r="1766" customHeight="1" spans="1:2">
      <c r="A1766" s="3" t="s">
        <v>18775</v>
      </c>
      <c r="B1766" s="4"/>
    </row>
    <row r="1767" customHeight="1" spans="1:2">
      <c r="A1767" s="3" t="s">
        <v>5044</v>
      </c>
      <c r="B1767" s="4">
        <v>105807520</v>
      </c>
    </row>
    <row r="1768" customHeight="1" spans="1:2">
      <c r="A1768" s="3" t="s">
        <v>9029</v>
      </c>
      <c r="B1768" s="4">
        <v>2775593</v>
      </c>
    </row>
    <row r="1769" customHeight="1" spans="1:2">
      <c r="A1769" s="3" t="s">
        <v>1037</v>
      </c>
      <c r="B1769" s="4">
        <v>176997107</v>
      </c>
    </row>
    <row r="1770" customHeight="1" spans="1:2">
      <c r="A1770" s="3" t="s">
        <v>644</v>
      </c>
      <c r="B1770" s="4">
        <v>217387997</v>
      </c>
    </row>
    <row r="1771" customHeight="1" spans="1:2">
      <c r="A1771" s="3" t="s">
        <v>8563</v>
      </c>
      <c r="B1771" s="4">
        <v>16295774</v>
      </c>
    </row>
    <row r="1772" customHeight="1" spans="1:2">
      <c r="A1772" s="3" t="s">
        <v>16132</v>
      </c>
      <c r="B1772" s="4">
        <v>25967000</v>
      </c>
    </row>
    <row r="1773" customHeight="1" spans="1:2">
      <c r="A1773" s="3" t="s">
        <v>10192</v>
      </c>
      <c r="B1773" s="4">
        <v>4710455</v>
      </c>
    </row>
    <row r="1774" customHeight="1" spans="1:2">
      <c r="A1774" s="3" t="s">
        <v>19823</v>
      </c>
      <c r="B1774" s="4"/>
    </row>
    <row r="1775" customHeight="1" spans="1:2">
      <c r="A1775" s="3" t="s">
        <v>3804</v>
      </c>
      <c r="B1775" s="4">
        <v>17218080</v>
      </c>
    </row>
    <row r="1776" customHeight="1" spans="1:2">
      <c r="A1776" s="3" t="s">
        <v>491</v>
      </c>
      <c r="B1776" s="4">
        <v>73820094</v>
      </c>
    </row>
    <row r="1777" customHeight="1" spans="1:2">
      <c r="A1777" s="3" t="s">
        <v>1069</v>
      </c>
      <c r="B1777" s="4">
        <v>132122995</v>
      </c>
    </row>
    <row r="1778" customHeight="1" spans="1:2">
      <c r="A1778" s="3" t="s">
        <v>20384</v>
      </c>
      <c r="B1778" s="4"/>
    </row>
    <row r="1779" customHeight="1" spans="1:2">
      <c r="A1779" s="3" t="s">
        <v>19079</v>
      </c>
      <c r="B1779" s="4">
        <v>104257</v>
      </c>
    </row>
    <row r="1780" customHeight="1" spans="1:2">
      <c r="A1780" s="3" t="s">
        <v>22582</v>
      </c>
      <c r="B1780" s="4">
        <v>334041</v>
      </c>
    </row>
    <row r="1781" customHeight="1" spans="1:2">
      <c r="A1781" s="3" t="s">
        <v>19664</v>
      </c>
      <c r="B1781" s="4">
        <v>22201636</v>
      </c>
    </row>
    <row r="1782" customHeight="1" spans="1:2">
      <c r="A1782" s="3" t="s">
        <v>785</v>
      </c>
      <c r="B1782" s="4">
        <v>256386216</v>
      </c>
    </row>
    <row r="1783" customHeight="1" spans="1:2">
      <c r="A1783" s="3" t="s">
        <v>15185</v>
      </c>
      <c r="B1783" s="4">
        <v>5004648</v>
      </c>
    </row>
    <row r="1784" customHeight="1" spans="1:2">
      <c r="A1784" s="3" t="s">
        <v>5186</v>
      </c>
      <c r="B1784" s="4">
        <v>55092830</v>
      </c>
    </row>
    <row r="1785" customHeight="1" spans="1:2">
      <c r="A1785" s="3" t="s">
        <v>10379</v>
      </c>
      <c r="B1785" s="4">
        <v>40270895</v>
      </c>
    </row>
    <row r="1786" customHeight="1" spans="1:2">
      <c r="A1786" s="3" t="s">
        <v>12073</v>
      </c>
      <c r="B1786" s="4"/>
    </row>
    <row r="1787" customHeight="1" spans="1:2">
      <c r="A1787" s="3" t="s">
        <v>11592</v>
      </c>
      <c r="B1787" s="4">
        <v>51697449</v>
      </c>
    </row>
    <row r="1788" customHeight="1" spans="1:2">
      <c r="A1788" s="3" t="s">
        <v>12058</v>
      </c>
      <c r="B1788" s="4"/>
    </row>
    <row r="1789" customHeight="1" spans="1:2">
      <c r="A1789" s="3" t="s">
        <v>10163</v>
      </c>
      <c r="B1789" s="4">
        <v>9639242</v>
      </c>
    </row>
    <row r="1790" customHeight="1" spans="1:2">
      <c r="A1790" s="3" t="s">
        <v>7800</v>
      </c>
      <c r="B1790" s="4">
        <v>6543194</v>
      </c>
    </row>
    <row r="1791" customHeight="1" spans="1:2">
      <c r="A1791" s="3" t="s">
        <v>18926</v>
      </c>
      <c r="B1791" s="4">
        <v>10305534</v>
      </c>
    </row>
    <row r="1792" customHeight="1" spans="1:2">
      <c r="A1792" s="3" t="s">
        <v>10458</v>
      </c>
      <c r="B1792" s="4">
        <v>12784713</v>
      </c>
    </row>
    <row r="1793" customHeight="1" spans="1:2">
      <c r="A1793" s="3" t="s">
        <v>16695</v>
      </c>
      <c r="B1793" s="4">
        <v>1425993</v>
      </c>
    </row>
    <row r="1794" customHeight="1" spans="1:2">
      <c r="A1794" s="3" t="s">
        <v>12156</v>
      </c>
      <c r="B1794" s="4">
        <v>72219395</v>
      </c>
    </row>
    <row r="1795" customHeight="1" spans="1:2">
      <c r="A1795" s="3" t="s">
        <v>13909</v>
      </c>
      <c r="B1795" s="4">
        <v>2035566</v>
      </c>
    </row>
    <row r="1796" customHeight="1" spans="1:2">
      <c r="A1796" s="3" t="s">
        <v>11905</v>
      </c>
      <c r="B1796" s="4">
        <v>14793904</v>
      </c>
    </row>
    <row r="1797" customHeight="1" spans="1:2">
      <c r="A1797" s="3" t="s">
        <v>23788</v>
      </c>
      <c r="B1797" s="4">
        <v>33598</v>
      </c>
    </row>
    <row r="1798" customHeight="1" spans="1:2">
      <c r="A1798" s="3" t="s">
        <v>6370</v>
      </c>
      <c r="B1798" s="4">
        <v>71347010</v>
      </c>
    </row>
    <row r="1799" customHeight="1" spans="1:2">
      <c r="A1799" s="3" t="s">
        <v>20870</v>
      </c>
      <c r="B1799" s="4">
        <v>2580</v>
      </c>
    </row>
    <row r="1800" customHeight="1" spans="1:2">
      <c r="A1800" s="3" t="s">
        <v>23200</v>
      </c>
      <c r="B1800" s="4">
        <v>203134</v>
      </c>
    </row>
    <row r="1801" customHeight="1" spans="1:2">
      <c r="A1801" s="3" t="s">
        <v>21746</v>
      </c>
      <c r="B1801" s="4">
        <v>334658</v>
      </c>
    </row>
    <row r="1802" customHeight="1" spans="1:2">
      <c r="A1802" s="3" t="s">
        <v>18108</v>
      </c>
      <c r="B1802" s="4">
        <v>617228</v>
      </c>
    </row>
    <row r="1803" customHeight="1" spans="1:2">
      <c r="A1803" s="3" t="s">
        <v>20787</v>
      </c>
      <c r="B1803" s="4">
        <v>92401</v>
      </c>
    </row>
    <row r="1804" customHeight="1" spans="1:2">
      <c r="A1804" s="3" t="s">
        <v>3454</v>
      </c>
      <c r="B1804" s="4">
        <v>33105600</v>
      </c>
    </row>
    <row r="1805" customHeight="1" spans="1:2">
      <c r="A1805" s="3" t="s">
        <v>10112</v>
      </c>
      <c r="B1805" s="4">
        <v>39989008</v>
      </c>
    </row>
    <row r="1806" customHeight="1" spans="1:2">
      <c r="A1806" s="3" t="s">
        <v>13481</v>
      </c>
      <c r="B1806" s="4">
        <v>12550242</v>
      </c>
    </row>
    <row r="1807" customHeight="1" spans="1:2">
      <c r="A1807" s="3" t="s">
        <v>20983</v>
      </c>
      <c r="B1807" s="4">
        <v>194568</v>
      </c>
    </row>
    <row r="1808" customHeight="1" spans="1:2">
      <c r="A1808" s="3" t="s">
        <v>22879</v>
      </c>
      <c r="B1808" s="4">
        <v>425899</v>
      </c>
    </row>
    <row r="1809" customHeight="1" spans="1:2">
      <c r="A1809" s="3" t="s">
        <v>3815</v>
      </c>
      <c r="B1809" s="4">
        <v>19059018</v>
      </c>
    </row>
    <row r="1810" customHeight="1" spans="1:2">
      <c r="A1810" s="3" t="s">
        <v>1647</v>
      </c>
      <c r="B1810" s="4">
        <v>144795350</v>
      </c>
    </row>
    <row r="1811" customHeight="1" spans="1:2">
      <c r="A1811" s="3" t="s">
        <v>3637</v>
      </c>
      <c r="B1811" s="4">
        <v>176387405</v>
      </c>
    </row>
    <row r="1812" customHeight="1" spans="1:2">
      <c r="A1812" s="3" t="s">
        <v>1993</v>
      </c>
      <c r="B1812" s="4">
        <v>161317423</v>
      </c>
    </row>
    <row r="1813" customHeight="1" spans="1:2">
      <c r="A1813" s="3" t="s">
        <v>2110</v>
      </c>
      <c r="B1813" s="4">
        <v>196573705</v>
      </c>
    </row>
    <row r="1814" customHeight="1" spans="1:2">
      <c r="A1814" s="3" t="s">
        <v>3015</v>
      </c>
      <c r="B1814" s="4">
        <v>195329763</v>
      </c>
    </row>
    <row r="1815" customHeight="1" spans="1:2">
      <c r="A1815" s="3" t="s">
        <v>9719</v>
      </c>
      <c r="B1815" s="4">
        <v>24381334</v>
      </c>
    </row>
    <row r="1816" customHeight="1" spans="1:2">
      <c r="A1816" s="3" t="s">
        <v>19754</v>
      </c>
      <c r="B1816" s="4">
        <v>3826455</v>
      </c>
    </row>
    <row r="1817" customHeight="1" spans="1:2">
      <c r="A1817" s="3" t="s">
        <v>7288</v>
      </c>
      <c r="B1817" s="4">
        <v>134455175</v>
      </c>
    </row>
    <row r="1818" customHeight="1" spans="1:2">
      <c r="A1818" s="3" t="s">
        <v>8897</v>
      </c>
      <c r="B1818" s="4">
        <v>51475962</v>
      </c>
    </row>
    <row r="1819" customHeight="1" spans="1:2">
      <c r="A1819" s="3" t="s">
        <v>19959</v>
      </c>
      <c r="B1819" s="4">
        <v>438653</v>
      </c>
    </row>
    <row r="1820" customHeight="1" spans="1:2">
      <c r="A1820" s="3" t="s">
        <v>13159</v>
      </c>
      <c r="B1820" s="4">
        <v>4002955</v>
      </c>
    </row>
    <row r="1821" customHeight="1" spans="1:2">
      <c r="A1821" s="3" t="s">
        <v>13015</v>
      </c>
      <c r="B1821" s="4">
        <v>12549485</v>
      </c>
    </row>
    <row r="1822" customHeight="1" spans="1:2">
      <c r="A1822" s="3" t="s">
        <v>14521</v>
      </c>
      <c r="B1822" s="4">
        <v>50461335</v>
      </c>
    </row>
    <row r="1823" customHeight="1" spans="1:2">
      <c r="A1823" s="3" t="s">
        <v>15693</v>
      </c>
      <c r="B1823" s="4">
        <v>4681503</v>
      </c>
    </row>
    <row r="1824" customHeight="1" spans="1:2">
      <c r="A1824" s="3" t="s">
        <v>19600</v>
      </c>
      <c r="B1824" s="4"/>
    </row>
    <row r="1825" customHeight="1" spans="1:2">
      <c r="A1825" s="3" t="s">
        <v>15292</v>
      </c>
      <c r="B1825" s="4">
        <v>836641</v>
      </c>
    </row>
    <row r="1826" customHeight="1" spans="1:2">
      <c r="A1826" s="3" t="s">
        <v>11378</v>
      </c>
      <c r="B1826" s="4">
        <v>4001121</v>
      </c>
    </row>
    <row r="1827" customHeight="1" spans="1:2">
      <c r="A1827" s="3" t="s">
        <v>15337</v>
      </c>
      <c r="B1827" s="4">
        <v>228524</v>
      </c>
    </row>
    <row r="1828" customHeight="1" spans="1:2">
      <c r="A1828" s="3" t="s">
        <v>16283</v>
      </c>
      <c r="B1828" s="4">
        <v>671240</v>
      </c>
    </row>
    <row r="1829" customHeight="1" spans="1:2">
      <c r="A1829" s="3" t="s">
        <v>4797</v>
      </c>
      <c r="B1829" s="4">
        <v>16088610</v>
      </c>
    </row>
    <row r="1830" customHeight="1" spans="1:2">
      <c r="A1830" s="3" t="s">
        <v>3147</v>
      </c>
      <c r="B1830" s="4">
        <v>83503161</v>
      </c>
    </row>
    <row r="1831" customHeight="1" spans="1:2">
      <c r="A1831" s="3" t="s">
        <v>20038</v>
      </c>
      <c r="B1831" s="4"/>
    </row>
    <row r="1832" customHeight="1" spans="1:2">
      <c r="A1832" s="3" t="s">
        <v>6821</v>
      </c>
      <c r="B1832" s="4">
        <v>6114237</v>
      </c>
    </row>
    <row r="1833" customHeight="1" spans="1:2">
      <c r="A1833" s="3" t="s">
        <v>7321</v>
      </c>
      <c r="B1833" s="4">
        <v>63826569</v>
      </c>
    </row>
    <row r="1834" customHeight="1" spans="1:2">
      <c r="A1834" s="3" t="s">
        <v>13118</v>
      </c>
      <c r="B1834" s="4">
        <v>7757130</v>
      </c>
    </row>
    <row r="1835" customHeight="1" spans="1:2">
      <c r="A1835" s="3" t="s">
        <v>18900</v>
      </c>
      <c r="B1835" s="4"/>
    </row>
    <row r="1836" customHeight="1" spans="1:2">
      <c r="A1836" s="3" t="s">
        <v>8601</v>
      </c>
      <c r="B1836" s="4">
        <v>11900000</v>
      </c>
    </row>
    <row r="1837" customHeight="1" spans="1:2">
      <c r="A1837" s="3" t="s">
        <v>9288</v>
      </c>
      <c r="B1837" s="4">
        <v>45489752</v>
      </c>
    </row>
    <row r="1838" customHeight="1" spans="1:2">
      <c r="A1838" s="3" t="s">
        <v>21875</v>
      </c>
      <c r="B1838" s="4">
        <v>721</v>
      </c>
    </row>
    <row r="1839" customHeight="1" spans="1:2">
      <c r="A1839" s="3" t="s">
        <v>20781</v>
      </c>
      <c r="B1839" s="4">
        <v>35918429</v>
      </c>
    </row>
    <row r="1840" customHeight="1" spans="1:2">
      <c r="A1840" s="3" t="s">
        <v>23988</v>
      </c>
      <c r="B1840" s="4">
        <v>2856622</v>
      </c>
    </row>
    <row r="1841" customHeight="1" spans="1:2">
      <c r="A1841" s="3" t="s">
        <v>14299</v>
      </c>
      <c r="B1841" s="4">
        <v>4717455</v>
      </c>
    </row>
    <row r="1842" customHeight="1" spans="1:2">
      <c r="A1842" s="3" t="s">
        <v>1900</v>
      </c>
      <c r="B1842" s="4">
        <v>24985612</v>
      </c>
    </row>
    <row r="1843" customHeight="1" spans="1:2">
      <c r="A1843" s="3" t="s">
        <v>20131</v>
      </c>
      <c r="B1843" s="4"/>
    </row>
    <row r="1844" customHeight="1" spans="1:2">
      <c r="A1844" s="3" t="s">
        <v>13886</v>
      </c>
      <c r="B1844" s="4">
        <v>301305</v>
      </c>
    </row>
    <row r="1845" customHeight="1" spans="1:2">
      <c r="A1845" s="3" t="s">
        <v>14737</v>
      </c>
      <c r="B1845" s="4">
        <v>11043445</v>
      </c>
    </row>
    <row r="1846" customHeight="1" spans="1:2">
      <c r="A1846" s="3" t="s">
        <v>4412</v>
      </c>
      <c r="B1846" s="4">
        <v>4535117</v>
      </c>
    </row>
    <row r="1847" customHeight="1" spans="1:2">
      <c r="A1847" s="3" t="s">
        <v>19030</v>
      </c>
      <c r="B1847" s="4"/>
    </row>
    <row r="1848" customHeight="1" spans="1:2">
      <c r="A1848" s="3" t="s">
        <v>20330</v>
      </c>
      <c r="B1848" s="4">
        <v>1134049</v>
      </c>
    </row>
    <row r="1849" customHeight="1" spans="1:2">
      <c r="A1849" s="3" t="s">
        <v>10285</v>
      </c>
      <c r="B1849" s="4">
        <v>6777589</v>
      </c>
    </row>
    <row r="1850" customHeight="1" spans="1:2">
      <c r="A1850" s="3" t="s">
        <v>7420</v>
      </c>
      <c r="B1850" s="4">
        <v>37553932</v>
      </c>
    </row>
    <row r="1851" customHeight="1" spans="1:2">
      <c r="A1851" s="3" t="s">
        <v>16555</v>
      </c>
      <c r="B1851" s="4">
        <v>14003141</v>
      </c>
    </row>
    <row r="1852" customHeight="1" spans="1:2">
      <c r="A1852" s="3" t="s">
        <v>16822</v>
      </c>
      <c r="B1852" s="4">
        <v>6857096</v>
      </c>
    </row>
    <row r="1853" customHeight="1" spans="1:2">
      <c r="A1853" s="3" t="s">
        <v>666</v>
      </c>
      <c r="B1853" s="4">
        <v>292568851</v>
      </c>
    </row>
    <row r="1854" customHeight="1" spans="1:2">
      <c r="A1854" s="3" t="s">
        <v>5692</v>
      </c>
      <c r="B1854" s="4"/>
    </row>
    <row r="1855" customHeight="1" spans="1:2">
      <c r="A1855" s="3" t="s">
        <v>21121</v>
      </c>
      <c r="B1855" s="4">
        <v>36830</v>
      </c>
    </row>
    <row r="1856" customHeight="1" spans="1:2">
      <c r="A1856" s="3" t="s">
        <v>2983</v>
      </c>
      <c r="B1856" s="4">
        <v>306124059</v>
      </c>
    </row>
    <row r="1857" customHeight="1" spans="1:2">
      <c r="A1857" s="3" t="s">
        <v>637</v>
      </c>
      <c r="B1857" s="4">
        <v>102315545</v>
      </c>
    </row>
    <row r="1858" customHeight="1" spans="1:2">
      <c r="A1858" s="3" t="s">
        <v>20742</v>
      </c>
      <c r="B1858" s="4"/>
    </row>
    <row r="1859" customHeight="1" spans="1:2">
      <c r="A1859" s="3" t="s">
        <v>394</v>
      </c>
      <c r="B1859" s="4">
        <v>317011114</v>
      </c>
    </row>
    <row r="1860" customHeight="1" spans="1:2">
      <c r="A1860" s="3" t="s">
        <v>5522</v>
      </c>
      <c r="B1860" s="4">
        <v>197171806</v>
      </c>
    </row>
    <row r="1861" customHeight="1" spans="1:2">
      <c r="A1861" s="3" t="s">
        <v>8838</v>
      </c>
      <c r="B1861" s="4">
        <v>179870271</v>
      </c>
    </row>
    <row r="1862" customHeight="1" spans="1:2">
      <c r="A1862" s="3" t="s">
        <v>23740</v>
      </c>
      <c r="B1862" s="4"/>
    </row>
    <row r="1863" customHeight="1" spans="1:2">
      <c r="A1863" s="3" t="s">
        <v>11689</v>
      </c>
      <c r="B1863" s="4">
        <v>560512</v>
      </c>
    </row>
    <row r="1864" customHeight="1" spans="1:2">
      <c r="A1864" s="3" t="s">
        <v>18741</v>
      </c>
      <c r="B1864" s="4">
        <v>4063</v>
      </c>
    </row>
    <row r="1865" customHeight="1" spans="1:2">
      <c r="A1865" s="3" t="s">
        <v>13869</v>
      </c>
      <c r="B1865" s="4">
        <v>1150403</v>
      </c>
    </row>
    <row r="1866" customHeight="1" spans="1:2">
      <c r="A1866" s="3" t="s">
        <v>3324</v>
      </c>
      <c r="B1866" s="4">
        <v>120523073</v>
      </c>
    </row>
    <row r="1867" customHeight="1" spans="1:2">
      <c r="A1867" s="3" t="s">
        <v>11293</v>
      </c>
      <c r="B1867" s="4">
        <v>8093318</v>
      </c>
    </row>
    <row r="1868" customHeight="1" spans="1:2">
      <c r="A1868" s="3" t="s">
        <v>23276</v>
      </c>
      <c r="B1868" s="4"/>
    </row>
    <row r="1869" customHeight="1" spans="1:2">
      <c r="A1869" s="3" t="s">
        <v>4395</v>
      </c>
      <c r="B1869" s="4">
        <v>17281832</v>
      </c>
    </row>
    <row r="1870" customHeight="1" spans="1:2">
      <c r="A1870" s="3" t="s">
        <v>20339</v>
      </c>
      <c r="B1870" s="4">
        <v>653621</v>
      </c>
    </row>
    <row r="1871" customHeight="1" spans="1:2">
      <c r="A1871" s="3" t="s">
        <v>20257</v>
      </c>
      <c r="B1871" s="4">
        <v>4311834</v>
      </c>
    </row>
    <row r="1872" customHeight="1" spans="1:2">
      <c r="A1872" s="3" t="s">
        <v>14649</v>
      </c>
      <c r="B1872" s="4">
        <v>13214255</v>
      </c>
    </row>
    <row r="1873" customHeight="1" spans="1:2">
      <c r="A1873" s="3" t="s">
        <v>5079</v>
      </c>
      <c r="B1873" s="4">
        <v>88504640</v>
      </c>
    </row>
    <row r="1874" customHeight="1" spans="1:2">
      <c r="A1874" s="3" t="s">
        <v>545</v>
      </c>
      <c r="B1874" s="4">
        <v>356454367</v>
      </c>
    </row>
    <row r="1875" customHeight="1" spans="1:2">
      <c r="A1875" s="3" t="s">
        <v>20929</v>
      </c>
      <c r="B1875" s="4">
        <v>53991137</v>
      </c>
    </row>
    <row r="1876" customHeight="1" spans="1:2">
      <c r="A1876" s="3" t="s">
        <v>17522</v>
      </c>
      <c r="B1876" s="4">
        <v>83574831</v>
      </c>
    </row>
    <row r="1877" customHeight="1" spans="1:2">
      <c r="A1877" s="3" t="s">
        <v>14882</v>
      </c>
      <c r="B1877" s="4">
        <v>52200504</v>
      </c>
    </row>
    <row r="1878" customHeight="1" spans="1:2">
      <c r="A1878" s="3" t="s">
        <v>22686</v>
      </c>
      <c r="B1878" s="4"/>
    </row>
    <row r="1879" customHeight="1" spans="1:2">
      <c r="A1879" s="3" t="s">
        <v>5662</v>
      </c>
      <c r="B1879" s="4">
        <v>67263182</v>
      </c>
    </row>
    <row r="1880" customHeight="1" spans="1:2">
      <c r="A1880" s="3" t="s">
        <v>3038</v>
      </c>
      <c r="B1880" s="4">
        <v>97360069</v>
      </c>
    </row>
    <row r="1881" customHeight="1" spans="1:2">
      <c r="A1881" s="3" t="s">
        <v>4741</v>
      </c>
      <c r="B1881" s="4">
        <v>34098563</v>
      </c>
    </row>
    <row r="1882" customHeight="1" spans="1:2">
      <c r="A1882" s="3" t="s">
        <v>17561</v>
      </c>
      <c r="B1882" s="4">
        <v>44456509</v>
      </c>
    </row>
    <row r="1883" customHeight="1" spans="1:2">
      <c r="A1883" s="3" t="s">
        <v>1541</v>
      </c>
      <c r="B1883" s="4">
        <v>129995817</v>
      </c>
    </row>
    <row r="1884" customHeight="1" spans="1:2">
      <c r="A1884" s="3" t="s">
        <v>663</v>
      </c>
      <c r="B1884" s="4">
        <v>187991439</v>
      </c>
    </row>
    <row r="1885" customHeight="1" spans="1:2">
      <c r="A1885" s="3" t="s">
        <v>22269</v>
      </c>
      <c r="B1885" s="4">
        <v>47329</v>
      </c>
    </row>
    <row r="1886" customHeight="1" spans="1:2">
      <c r="A1886" s="3" t="s">
        <v>5053</v>
      </c>
      <c r="B1886" s="4">
        <v>105264608</v>
      </c>
    </row>
    <row r="1887" customHeight="1" spans="1:2">
      <c r="A1887" s="3" t="s">
        <v>5410</v>
      </c>
      <c r="B1887" s="4">
        <v>18472363</v>
      </c>
    </row>
    <row r="1888" customHeight="1" spans="1:2">
      <c r="A1888" s="3" t="s">
        <v>15566</v>
      </c>
      <c r="B1888" s="4"/>
    </row>
    <row r="1889" customHeight="1" spans="1:2">
      <c r="A1889" s="3" t="s">
        <v>5243</v>
      </c>
      <c r="B1889" s="4">
        <v>47553512</v>
      </c>
    </row>
    <row r="1890" customHeight="1" spans="1:2">
      <c r="A1890" s="3" t="s">
        <v>11071</v>
      </c>
      <c r="B1890" s="4">
        <v>18352454</v>
      </c>
    </row>
    <row r="1891" customHeight="1" spans="1:2">
      <c r="A1891" s="3" t="s">
        <v>5074</v>
      </c>
      <c r="B1891" s="4">
        <v>127997349</v>
      </c>
    </row>
    <row r="1892" customHeight="1" spans="1:2">
      <c r="A1892" s="3" t="s">
        <v>4265</v>
      </c>
      <c r="B1892" s="4">
        <v>35096190</v>
      </c>
    </row>
    <row r="1893" customHeight="1" spans="1:2">
      <c r="A1893" s="3" t="s">
        <v>22935</v>
      </c>
      <c r="B1893" s="4"/>
    </row>
    <row r="1894" customHeight="1" spans="1:2">
      <c r="A1894" s="3" t="s">
        <v>14578</v>
      </c>
      <c r="B1894" s="4">
        <v>4884663</v>
      </c>
    </row>
    <row r="1895" customHeight="1" spans="1:2">
      <c r="A1895" s="3" t="s">
        <v>14968</v>
      </c>
      <c r="B1895" s="4"/>
    </row>
    <row r="1896" customHeight="1" spans="1:2">
      <c r="A1896" s="3" t="s">
        <v>4227</v>
      </c>
      <c r="B1896" s="4">
        <v>37479778</v>
      </c>
    </row>
    <row r="1897" customHeight="1" spans="1:2">
      <c r="A1897" s="3" t="s">
        <v>7239</v>
      </c>
      <c r="B1897" s="4">
        <v>2126511</v>
      </c>
    </row>
    <row r="1898" customHeight="1" spans="1:2">
      <c r="A1898" s="3" t="s">
        <v>18981</v>
      </c>
      <c r="B1898" s="4">
        <v>220234</v>
      </c>
    </row>
    <row r="1899" customHeight="1" spans="1:2">
      <c r="A1899" s="3" t="s">
        <v>22236</v>
      </c>
      <c r="B1899" s="4"/>
    </row>
    <row r="1900" customHeight="1" spans="1:2">
      <c r="A1900" s="3" t="s">
        <v>17410</v>
      </c>
      <c r="B1900" s="4">
        <v>1292119</v>
      </c>
    </row>
    <row r="1901" customHeight="1" spans="1:2">
      <c r="A1901" s="3" t="s">
        <v>554</v>
      </c>
      <c r="B1901" s="4">
        <v>312057433</v>
      </c>
    </row>
    <row r="1902" customHeight="1" spans="1:2">
      <c r="A1902" s="3" t="s">
        <v>253</v>
      </c>
      <c r="B1902" s="4">
        <v>408992272</v>
      </c>
    </row>
    <row r="1903" customHeight="1" spans="1:2">
      <c r="A1903" s="3" t="s">
        <v>485</v>
      </c>
      <c r="B1903" s="4">
        <v>318298180</v>
      </c>
    </row>
    <row r="1904" customHeight="1" spans="1:2">
      <c r="A1904" s="3" t="s">
        <v>10055</v>
      </c>
      <c r="B1904" s="4"/>
    </row>
    <row r="1905" customHeight="1" spans="1:2">
      <c r="A1905" s="3" t="s">
        <v>22447</v>
      </c>
      <c r="B1905" s="4"/>
    </row>
    <row r="1906" customHeight="1" spans="1:2">
      <c r="A1906" s="3" t="s">
        <v>17454</v>
      </c>
      <c r="B1906" s="4">
        <v>753501</v>
      </c>
    </row>
    <row r="1907" customHeight="1" spans="1:2">
      <c r="A1907" s="3" t="s">
        <v>6747</v>
      </c>
      <c r="B1907" s="4">
        <v>14375181</v>
      </c>
    </row>
    <row r="1908" customHeight="1" spans="1:2">
      <c r="A1908" s="3" t="s">
        <v>7220</v>
      </c>
      <c r="B1908" s="4">
        <v>2954405</v>
      </c>
    </row>
    <row r="1909" customHeight="1" spans="1:2">
      <c r="A1909" s="3" t="s">
        <v>20143</v>
      </c>
      <c r="B1909" s="4">
        <v>14673301</v>
      </c>
    </row>
    <row r="1910" customHeight="1" spans="1:2">
      <c r="A1910" s="3" t="s">
        <v>23006</v>
      </c>
      <c r="B1910" s="4"/>
    </row>
    <row r="1911" customHeight="1" spans="1:2">
      <c r="A1911" s="3" t="s">
        <v>15540</v>
      </c>
      <c r="B1911" s="4">
        <v>46300000</v>
      </c>
    </row>
    <row r="1912" customHeight="1" spans="1:2">
      <c r="A1912" s="3" t="s">
        <v>15471</v>
      </c>
      <c r="B1912" s="4"/>
    </row>
    <row r="1913" customHeight="1" spans="1:2">
      <c r="A1913" s="3" t="s">
        <v>19171</v>
      </c>
      <c r="B1913" s="4"/>
    </row>
    <row r="1914" customHeight="1" spans="1:2">
      <c r="A1914" s="3" t="s">
        <v>20390</v>
      </c>
      <c r="B1914" s="4">
        <v>120620</v>
      </c>
    </row>
    <row r="1915" customHeight="1" spans="1:2">
      <c r="A1915" s="3" t="s">
        <v>9256</v>
      </c>
      <c r="B1915" s="4"/>
    </row>
    <row r="1916" customHeight="1" spans="1:2">
      <c r="A1916" s="3" t="s">
        <v>2380</v>
      </c>
      <c r="B1916" s="4">
        <v>112703470</v>
      </c>
    </row>
    <row r="1917" customHeight="1" spans="1:2">
      <c r="A1917" s="3" t="s">
        <v>16163</v>
      </c>
      <c r="B1917" s="4">
        <v>6350058</v>
      </c>
    </row>
    <row r="1918" customHeight="1" spans="1:2">
      <c r="A1918" s="3" t="s">
        <v>7478</v>
      </c>
      <c r="B1918" s="4">
        <v>37304950</v>
      </c>
    </row>
    <row r="1919" customHeight="1" spans="1:2">
      <c r="A1919" s="3" t="s">
        <v>15588</v>
      </c>
      <c r="B1919" s="4">
        <v>3047539</v>
      </c>
    </row>
    <row r="1920" customHeight="1" spans="1:2">
      <c r="A1920" s="3" t="s">
        <v>2941</v>
      </c>
      <c r="B1920" s="4">
        <v>74158157</v>
      </c>
    </row>
    <row r="1921" customHeight="1" spans="1:2">
      <c r="A1921" s="3" t="s">
        <v>20066</v>
      </c>
      <c r="B1921" s="4"/>
    </row>
    <row r="1922" customHeight="1" spans="1:2">
      <c r="A1922" s="3" t="s">
        <v>4060</v>
      </c>
      <c r="B1922" s="4">
        <v>160067286</v>
      </c>
    </row>
    <row r="1923" customHeight="1" spans="1:2">
      <c r="A1923" s="3" t="s">
        <v>4164</v>
      </c>
      <c r="B1923" s="4">
        <v>50549107</v>
      </c>
    </row>
    <row r="1924" customHeight="1" spans="1:2">
      <c r="A1924" s="3" t="s">
        <v>362</v>
      </c>
      <c r="B1924" s="4">
        <v>65171860</v>
      </c>
    </row>
    <row r="1925" customHeight="1" spans="1:2">
      <c r="A1925" s="3" t="s">
        <v>10671</v>
      </c>
      <c r="B1925" s="4">
        <v>117224271</v>
      </c>
    </row>
    <row r="1926" customHeight="1" spans="1:2">
      <c r="A1926" s="3" t="s">
        <v>14512</v>
      </c>
      <c r="B1926" s="4">
        <v>72755517</v>
      </c>
    </row>
    <row r="1927" customHeight="1" spans="1:2">
      <c r="A1927" s="3" t="s">
        <v>17535</v>
      </c>
      <c r="B1927" s="4">
        <v>64267897</v>
      </c>
    </row>
    <row r="1928" customHeight="1" spans="1:2">
      <c r="A1928" s="3" t="s">
        <v>14068</v>
      </c>
      <c r="B1928" s="4">
        <v>39647595</v>
      </c>
    </row>
    <row r="1929" customHeight="1" spans="1:2">
      <c r="A1929" s="3" t="s">
        <v>5457</v>
      </c>
      <c r="B1929" s="4">
        <v>9795017</v>
      </c>
    </row>
    <row r="1930" customHeight="1" spans="1:2">
      <c r="A1930" s="3" t="s">
        <v>13151</v>
      </c>
      <c r="B1930" s="4">
        <v>4956401</v>
      </c>
    </row>
    <row r="1931" customHeight="1" spans="1:2">
      <c r="A1931" s="3" t="s">
        <v>10090</v>
      </c>
      <c r="B1931" s="4">
        <v>1512815</v>
      </c>
    </row>
    <row r="1932" customHeight="1" spans="1:2">
      <c r="A1932" s="3" t="s">
        <v>3250</v>
      </c>
      <c r="B1932" s="4">
        <v>62647540</v>
      </c>
    </row>
    <row r="1933" customHeight="1" spans="1:2">
      <c r="A1933" s="3" t="s">
        <v>1372</v>
      </c>
      <c r="B1933" s="4">
        <v>108521835</v>
      </c>
    </row>
    <row r="1934" customHeight="1" spans="1:2">
      <c r="A1934" s="3" t="s">
        <v>19267</v>
      </c>
      <c r="B1934" s="4">
        <v>15935068</v>
      </c>
    </row>
    <row r="1935" customHeight="1" spans="1:2">
      <c r="A1935" s="3" t="s">
        <v>19244</v>
      </c>
      <c r="B1935" s="4">
        <v>19472057</v>
      </c>
    </row>
    <row r="1936" customHeight="1" spans="1:2">
      <c r="A1936" s="3" t="s">
        <v>13487</v>
      </c>
      <c r="B1936" s="4">
        <v>12610731</v>
      </c>
    </row>
    <row r="1937" customHeight="1" spans="1:2">
      <c r="A1937" s="3" t="s">
        <v>19405</v>
      </c>
      <c r="B1937" s="4">
        <v>3071947</v>
      </c>
    </row>
    <row r="1938" customHeight="1" spans="1:2">
      <c r="A1938" s="3" t="s">
        <v>10677</v>
      </c>
      <c r="B1938" s="4">
        <v>102922376</v>
      </c>
    </row>
    <row r="1939" customHeight="1" spans="1:2">
      <c r="A1939" s="3" t="s">
        <v>14012</v>
      </c>
      <c r="B1939" s="4">
        <v>260000000</v>
      </c>
    </row>
    <row r="1940" customHeight="1" spans="1:2">
      <c r="A1940" s="3" t="s">
        <v>10263</v>
      </c>
      <c r="B1940" s="4">
        <v>20763013</v>
      </c>
    </row>
    <row r="1941" customHeight="1" spans="1:2">
      <c r="A1941" s="3" t="s">
        <v>10433</v>
      </c>
      <c r="B1941" s="4">
        <v>30059386</v>
      </c>
    </row>
    <row r="1942" customHeight="1" spans="1:2">
      <c r="A1942" s="3" t="s">
        <v>9614</v>
      </c>
      <c r="B1942" s="4">
        <v>35143332</v>
      </c>
    </row>
    <row r="1943" customHeight="1" spans="1:2">
      <c r="A1943" s="3" t="s">
        <v>14837</v>
      </c>
      <c r="B1943" s="4">
        <v>37470017</v>
      </c>
    </row>
    <row r="1944" customHeight="1" spans="1:2">
      <c r="A1944" s="3" t="s">
        <v>15178</v>
      </c>
      <c r="B1944" s="4">
        <v>4244155</v>
      </c>
    </row>
    <row r="1945" customHeight="1" spans="1:2">
      <c r="A1945" s="3" t="s">
        <v>13537</v>
      </c>
      <c r="B1945" s="4">
        <v>2474000</v>
      </c>
    </row>
    <row r="1946" customHeight="1" spans="1:2">
      <c r="A1946" s="3" t="s">
        <v>17883</v>
      </c>
      <c r="B1946" s="4"/>
    </row>
    <row r="1947" customHeight="1" spans="1:2">
      <c r="A1947" s="3" t="s">
        <v>12486</v>
      </c>
      <c r="B1947" s="4">
        <v>16204793</v>
      </c>
    </row>
    <row r="1948" customHeight="1" spans="1:2">
      <c r="A1948" s="3" t="s">
        <v>5012</v>
      </c>
      <c r="B1948" s="4">
        <v>153620822</v>
      </c>
    </row>
    <row r="1949" customHeight="1" spans="1:2">
      <c r="A1949" s="3" t="s">
        <v>6511</v>
      </c>
      <c r="B1949" s="4">
        <v>47034272</v>
      </c>
    </row>
    <row r="1950" customHeight="1" spans="1:2">
      <c r="A1950" s="3" t="s">
        <v>7510</v>
      </c>
      <c r="B1950" s="4">
        <v>25266129</v>
      </c>
    </row>
    <row r="1951" customHeight="1" spans="1:2">
      <c r="A1951" s="3" t="s">
        <v>22022</v>
      </c>
      <c r="B1951" s="4"/>
    </row>
    <row r="1952" customHeight="1" spans="1:2">
      <c r="A1952" s="3" t="s">
        <v>23291</v>
      </c>
      <c r="B1952" s="4"/>
    </row>
    <row r="1953" customHeight="1" spans="1:2">
      <c r="A1953" s="3" t="s">
        <v>19855</v>
      </c>
      <c r="B1953" s="4">
        <v>1282084</v>
      </c>
    </row>
    <row r="1954" customHeight="1" spans="1:2">
      <c r="A1954" s="3" t="s">
        <v>6380</v>
      </c>
      <c r="B1954" s="4">
        <v>70405498</v>
      </c>
    </row>
    <row r="1955" customHeight="1" spans="1:2">
      <c r="A1955" s="3" t="s">
        <v>21911</v>
      </c>
      <c r="B1955" s="4"/>
    </row>
    <row r="1956" customHeight="1" spans="1:2">
      <c r="A1956" s="3" t="s">
        <v>9436</v>
      </c>
      <c r="B1956" s="4">
        <v>80920948</v>
      </c>
    </row>
    <row r="1957" customHeight="1" spans="1:2">
      <c r="A1957" s="3" t="s">
        <v>14702</v>
      </c>
      <c r="B1957" s="4">
        <v>399879</v>
      </c>
    </row>
    <row r="1958" customHeight="1" spans="1:2">
      <c r="A1958" s="3" t="s">
        <v>4111</v>
      </c>
      <c r="B1958" s="4">
        <v>60573641</v>
      </c>
    </row>
    <row r="1959" customHeight="1" spans="1:2">
      <c r="A1959" s="3" t="s">
        <v>12446</v>
      </c>
      <c r="B1959" s="4">
        <v>27087695</v>
      </c>
    </row>
    <row r="1960" customHeight="1" spans="1:2">
      <c r="A1960" s="3" t="s">
        <v>7022</v>
      </c>
      <c r="B1960" s="4">
        <v>22770864</v>
      </c>
    </row>
    <row r="1961" customHeight="1" spans="1:2">
      <c r="A1961" s="3" t="s">
        <v>18639</v>
      </c>
      <c r="B1961" s="4">
        <v>371897</v>
      </c>
    </row>
    <row r="1962" customHeight="1" spans="1:2">
      <c r="A1962" s="3" t="s">
        <v>77</v>
      </c>
      <c r="B1962" s="4">
        <v>73058679</v>
      </c>
    </row>
    <row r="1963" customHeight="1" spans="1:2">
      <c r="A1963" s="3" t="s">
        <v>7153</v>
      </c>
      <c r="B1963" s="4">
        <v>71026631</v>
      </c>
    </row>
    <row r="1964" customHeight="1" spans="1:2">
      <c r="A1964" s="3" t="s">
        <v>5995</v>
      </c>
      <c r="B1964" s="4">
        <v>8129455</v>
      </c>
    </row>
    <row r="1965" customHeight="1" spans="1:2">
      <c r="A1965" s="3" t="s">
        <v>5871</v>
      </c>
      <c r="B1965" s="4">
        <v>27972410</v>
      </c>
    </row>
    <row r="1966" customHeight="1" spans="1:2">
      <c r="A1966" s="3" t="s">
        <v>22622</v>
      </c>
      <c r="B1966" s="4"/>
    </row>
    <row r="1967" customHeight="1" spans="1:2">
      <c r="A1967" s="3" t="s">
        <v>14118</v>
      </c>
      <c r="B1967" s="4">
        <v>31179516</v>
      </c>
    </row>
    <row r="1968" customHeight="1" spans="1:2">
      <c r="A1968" s="3" t="s">
        <v>5672</v>
      </c>
      <c r="B1968" s="4">
        <v>10539414</v>
      </c>
    </row>
    <row r="1969" customHeight="1" spans="1:2">
      <c r="A1969" s="3" t="s">
        <v>13425</v>
      </c>
      <c r="B1969" s="4">
        <v>25571351</v>
      </c>
    </row>
    <row r="1970" customHeight="1" spans="1:2">
      <c r="A1970" s="3" t="s">
        <v>10448</v>
      </c>
      <c r="B1970" s="4">
        <v>14252830</v>
      </c>
    </row>
    <row r="1971" customHeight="1" spans="1:2">
      <c r="A1971" s="3" t="s">
        <v>2924</v>
      </c>
      <c r="B1971" s="4">
        <v>103812241</v>
      </c>
    </row>
    <row r="1972" customHeight="1" spans="1:2">
      <c r="A1972" s="3" t="s">
        <v>21175</v>
      </c>
      <c r="B1972" s="4">
        <v>638951</v>
      </c>
    </row>
    <row r="1973" customHeight="1" spans="1:2">
      <c r="A1973" s="3" t="s">
        <v>19721</v>
      </c>
      <c r="B1973" s="4"/>
    </row>
    <row r="1974" customHeight="1" spans="1:2">
      <c r="A1974" s="3" t="s">
        <v>5719</v>
      </c>
      <c r="B1974" s="4">
        <v>101702060</v>
      </c>
    </row>
    <row r="1975" customHeight="1" spans="1:2">
      <c r="A1975" s="3" t="s">
        <v>10238</v>
      </c>
      <c r="B1975" s="4">
        <v>21973182</v>
      </c>
    </row>
    <row r="1976" customHeight="1" spans="1:2">
      <c r="A1976" s="3" t="s">
        <v>4169</v>
      </c>
      <c r="B1976" s="4">
        <v>56443482</v>
      </c>
    </row>
    <row r="1977" customHeight="1" spans="1:2">
      <c r="A1977" s="3" t="s">
        <v>10495</v>
      </c>
      <c r="B1977" s="4">
        <v>1050445</v>
      </c>
    </row>
    <row r="1978" customHeight="1" spans="1:2">
      <c r="A1978" s="3" t="s">
        <v>9113</v>
      </c>
      <c r="B1978" s="4">
        <v>30920167</v>
      </c>
    </row>
    <row r="1979" customHeight="1" spans="1:2">
      <c r="A1979" s="3" t="s">
        <v>19298</v>
      </c>
      <c r="B1979" s="4"/>
    </row>
    <row r="1980" customHeight="1" spans="1:2">
      <c r="A1980" s="3" t="s">
        <v>17252</v>
      </c>
      <c r="B1980" s="4"/>
    </row>
    <row r="1981" customHeight="1" spans="1:2">
      <c r="A1981" s="3" t="s">
        <v>6328</v>
      </c>
      <c r="B1981" s="4">
        <v>94125426</v>
      </c>
    </row>
    <row r="1982" customHeight="1" spans="1:2">
      <c r="A1982" s="3" t="s">
        <v>22472</v>
      </c>
      <c r="B1982" s="4"/>
    </row>
    <row r="1983" customHeight="1" spans="1:2">
      <c r="A1983" s="3" t="s">
        <v>2509</v>
      </c>
      <c r="B1983" s="4">
        <v>80170146</v>
      </c>
    </row>
    <row r="1984" customHeight="1" spans="1:2">
      <c r="A1984" s="3" t="s">
        <v>16493</v>
      </c>
      <c r="B1984" s="4">
        <v>37295394</v>
      </c>
    </row>
    <row r="1985" customHeight="1" spans="1:2">
      <c r="A1985" s="3" t="s">
        <v>15455</v>
      </c>
      <c r="B1985" s="4"/>
    </row>
    <row r="1986" customHeight="1" spans="1:2">
      <c r="A1986" s="3" t="s">
        <v>16441</v>
      </c>
      <c r="B1986" s="4">
        <v>286985680</v>
      </c>
    </row>
    <row r="1987" customHeight="1" spans="1:2">
      <c r="A1987" s="3" t="s">
        <v>447</v>
      </c>
      <c r="B1987" s="4">
        <v>47375327</v>
      </c>
    </row>
    <row r="1988" customHeight="1" spans="1:2">
      <c r="A1988" s="3" t="s">
        <v>2035</v>
      </c>
      <c r="B1988" s="4">
        <v>181166115</v>
      </c>
    </row>
    <row r="1989" customHeight="1" spans="1:2">
      <c r="A1989" s="3" t="s">
        <v>3862</v>
      </c>
      <c r="B1989" s="4">
        <v>356784000</v>
      </c>
    </row>
    <row r="1990" customHeight="1" spans="1:2">
      <c r="A1990" s="3" t="s">
        <v>238</v>
      </c>
      <c r="B1990" s="4">
        <v>652177271</v>
      </c>
    </row>
    <row r="1991" customHeight="1" spans="1:2">
      <c r="A1991" s="3" t="s">
        <v>2626</v>
      </c>
      <c r="B1991" s="4">
        <v>103028109</v>
      </c>
    </row>
    <row r="1992" customHeight="1" spans="1:2">
      <c r="A1992" s="3" t="s">
        <v>4464</v>
      </c>
      <c r="B1992" s="4">
        <v>48291624</v>
      </c>
    </row>
    <row r="1993" customHeight="1" spans="1:2">
      <c r="A1993" s="3" t="s">
        <v>19518</v>
      </c>
      <c r="B1993" s="4">
        <v>39852</v>
      </c>
    </row>
    <row r="1994" customHeight="1" spans="1:2">
      <c r="A1994" s="3" t="s">
        <v>11607</v>
      </c>
      <c r="B1994" s="4">
        <v>56127162</v>
      </c>
    </row>
    <row r="1995" customHeight="1" spans="1:2">
      <c r="A1995" s="3" t="s">
        <v>8990</v>
      </c>
      <c r="B1995" s="4">
        <v>17324744</v>
      </c>
    </row>
    <row r="1996" customHeight="1" spans="1:2">
      <c r="A1996" s="3" t="s">
        <v>6832</v>
      </c>
      <c r="B1996" s="4">
        <v>4777007</v>
      </c>
    </row>
    <row r="1997" customHeight="1" spans="1:2">
      <c r="A1997" s="3" t="s">
        <v>14219</v>
      </c>
      <c r="B1997" s="4">
        <v>21520719</v>
      </c>
    </row>
    <row r="1998" customHeight="1" spans="1:2">
      <c r="A1998" s="3" t="s">
        <v>13650</v>
      </c>
      <c r="B1998" s="4">
        <v>73000942</v>
      </c>
    </row>
    <row r="1999" customHeight="1" spans="1:2">
      <c r="A1999" s="3" t="s">
        <v>12608</v>
      </c>
      <c r="B1999" s="4">
        <v>13571817</v>
      </c>
    </row>
    <row r="2000" customHeight="1" spans="1:2">
      <c r="A2000" s="3" t="s">
        <v>2275</v>
      </c>
      <c r="B2000" s="4">
        <v>35168677</v>
      </c>
    </row>
    <row r="2001" customHeight="1" spans="1:2">
      <c r="A2001" s="3" t="s">
        <v>14709</v>
      </c>
      <c r="B2001" s="4">
        <v>3275443</v>
      </c>
    </row>
    <row r="2002" customHeight="1" spans="1:2">
      <c r="A2002" s="3" t="s">
        <v>19369</v>
      </c>
      <c r="B2002" s="4">
        <v>4109095</v>
      </c>
    </row>
    <row r="2003" customHeight="1" spans="1:2">
      <c r="A2003" s="3" t="s">
        <v>4084</v>
      </c>
      <c r="B2003" s="4">
        <v>66734992</v>
      </c>
    </row>
    <row r="2004" customHeight="1" spans="1:2">
      <c r="A2004" s="3" t="s">
        <v>11684</v>
      </c>
      <c r="B2004" s="4">
        <v>1292527</v>
      </c>
    </row>
    <row r="2005" customHeight="1" spans="1:2">
      <c r="A2005" s="3" t="s">
        <v>21893</v>
      </c>
      <c r="B2005" s="4"/>
    </row>
    <row r="2006" customHeight="1" spans="1:2">
      <c r="A2006" s="3" t="s">
        <v>5573</v>
      </c>
      <c r="B2006" s="4">
        <v>47095453</v>
      </c>
    </row>
    <row r="2007" customHeight="1" spans="1:2">
      <c r="A2007" s="3" t="s">
        <v>14137</v>
      </c>
      <c r="B2007" s="4">
        <v>25240988</v>
      </c>
    </row>
    <row r="2008" customHeight="1" spans="1:2">
      <c r="A2008" s="3" t="s">
        <v>12947</v>
      </c>
      <c r="B2008" s="4">
        <v>20566327</v>
      </c>
    </row>
    <row r="2009" customHeight="1" spans="1:2">
      <c r="A2009" s="3" t="s">
        <v>8784</v>
      </c>
      <c r="B2009" s="4">
        <v>37036404</v>
      </c>
    </row>
    <row r="2010" customHeight="1" spans="1:2">
      <c r="A2010" s="3" t="s">
        <v>17855</v>
      </c>
      <c r="B2010" s="4">
        <v>4328294</v>
      </c>
    </row>
    <row r="2011" customHeight="1" spans="1:2">
      <c r="A2011" s="3" t="s">
        <v>22249</v>
      </c>
      <c r="B2011" s="4">
        <v>7705974</v>
      </c>
    </row>
    <row r="2012" customHeight="1" spans="1:2">
      <c r="A2012" s="3" t="s">
        <v>19830</v>
      </c>
      <c r="B2012" s="4">
        <v>32230907</v>
      </c>
    </row>
    <row r="2013" customHeight="1" spans="1:2">
      <c r="A2013" s="3" t="s">
        <v>17368</v>
      </c>
      <c r="B2013" s="4">
        <v>352684</v>
      </c>
    </row>
    <row r="2014" customHeight="1" spans="1:2">
      <c r="A2014" s="3" t="s">
        <v>13292</v>
      </c>
      <c r="B2014" s="4"/>
    </row>
    <row r="2015" customHeight="1" spans="1:2">
      <c r="A2015" s="3" t="s">
        <v>9034</v>
      </c>
      <c r="B2015" s="4">
        <v>28751715</v>
      </c>
    </row>
    <row r="2016" customHeight="1" spans="1:2">
      <c r="A2016" s="3" t="s">
        <v>8939</v>
      </c>
      <c r="B2016" s="4">
        <v>48043505</v>
      </c>
    </row>
    <row r="2017" customHeight="1" spans="1:2">
      <c r="A2017" s="3" t="s">
        <v>20913</v>
      </c>
      <c r="B2017" s="4"/>
    </row>
    <row r="2018" customHeight="1" spans="1:2">
      <c r="A2018" s="3" t="s">
        <v>5823</v>
      </c>
      <c r="B2018" s="4">
        <v>52580895</v>
      </c>
    </row>
    <row r="2019" customHeight="1" spans="1:2">
      <c r="A2019" s="3" t="s">
        <v>16041</v>
      </c>
      <c r="B2019" s="4"/>
    </row>
    <row r="2020" customHeight="1" spans="1:2">
      <c r="A2020" s="3" t="s">
        <v>20895</v>
      </c>
      <c r="B2020" s="4">
        <v>7417210</v>
      </c>
    </row>
    <row r="2021" customHeight="1" spans="1:2">
      <c r="A2021" s="3" t="s">
        <v>4649</v>
      </c>
      <c r="B2021" s="4">
        <v>70098138</v>
      </c>
    </row>
    <row r="2022" customHeight="1" spans="1:2">
      <c r="A2022" s="3" t="s">
        <v>4663</v>
      </c>
      <c r="B2022" s="4">
        <v>66207920</v>
      </c>
    </row>
    <row r="2023" customHeight="1" spans="1:2">
      <c r="A2023" s="3" t="s">
        <v>22253</v>
      </c>
      <c r="B2023" s="4">
        <v>26297</v>
      </c>
    </row>
    <row r="2024" customHeight="1" spans="1:2">
      <c r="A2024" s="3" t="s">
        <v>17912</v>
      </c>
      <c r="B2024" s="4">
        <v>2445646</v>
      </c>
    </row>
    <row r="2025" customHeight="1" spans="1:2">
      <c r="A2025" s="3" t="s">
        <v>3477</v>
      </c>
      <c r="B2025" s="4">
        <v>25093607</v>
      </c>
    </row>
    <row r="2026" customHeight="1" spans="1:2">
      <c r="A2026" s="3" t="s">
        <v>15270</v>
      </c>
      <c r="B2026" s="4">
        <v>1987762</v>
      </c>
    </row>
    <row r="2027" customHeight="1" spans="1:2">
      <c r="A2027" s="3" t="s">
        <v>3106</v>
      </c>
      <c r="B2027" s="4">
        <v>47000485</v>
      </c>
    </row>
    <row r="2028" customHeight="1" spans="1:2">
      <c r="A2028" s="3" t="s">
        <v>12982</v>
      </c>
      <c r="B2028" s="4">
        <v>14938570</v>
      </c>
    </row>
    <row r="2029" customHeight="1" spans="1:2">
      <c r="A2029" s="3" t="s">
        <v>20961</v>
      </c>
      <c r="B2029" s="4">
        <v>418953</v>
      </c>
    </row>
    <row r="2030" customHeight="1" spans="1:2">
      <c r="A2030" s="3" t="s">
        <v>9237</v>
      </c>
      <c r="B2030" s="4">
        <v>91457688</v>
      </c>
    </row>
    <row r="2031" customHeight="1" spans="1:2">
      <c r="A2031" s="3" t="s">
        <v>211</v>
      </c>
      <c r="B2031" s="4">
        <v>654153780</v>
      </c>
    </row>
    <row r="2032" customHeight="1" spans="1:2">
      <c r="A2032" s="3" t="s">
        <v>1651</v>
      </c>
      <c r="B2032" s="4">
        <v>47396698</v>
      </c>
    </row>
    <row r="2033" customHeight="1" spans="1:2">
      <c r="A2033" s="3" t="s">
        <v>22511</v>
      </c>
      <c r="B2033" s="4">
        <v>17000000</v>
      </c>
    </row>
    <row r="2034" customHeight="1" spans="1:2">
      <c r="A2034" s="3" t="s">
        <v>9703</v>
      </c>
      <c r="B2034" s="4">
        <v>24944213</v>
      </c>
    </row>
    <row r="2035" customHeight="1" spans="1:2">
      <c r="A2035" s="3" t="s">
        <v>9976</v>
      </c>
      <c r="B2035" s="4">
        <v>4006906</v>
      </c>
    </row>
    <row r="2036" customHeight="1" spans="1:2">
      <c r="A2036" s="3" t="s">
        <v>14616</v>
      </c>
      <c r="B2036" s="4">
        <v>10214647</v>
      </c>
    </row>
    <row r="2037" customHeight="1" spans="1:2">
      <c r="A2037" s="3" t="s">
        <v>13155</v>
      </c>
      <c r="B2037" s="4">
        <v>4235837</v>
      </c>
    </row>
    <row r="2038" customHeight="1" spans="1:2">
      <c r="A2038" s="3" t="s">
        <v>6729</v>
      </c>
      <c r="B2038" s="4">
        <v>14942422</v>
      </c>
    </row>
    <row r="2039" customHeight="1" spans="1:2">
      <c r="A2039" s="3" t="s">
        <v>9586</v>
      </c>
      <c r="B2039" s="4">
        <v>36833473</v>
      </c>
    </row>
    <row r="2040" customHeight="1" spans="1:2">
      <c r="A2040" s="3" t="s">
        <v>22638</v>
      </c>
      <c r="B2040" s="4">
        <v>31937</v>
      </c>
    </row>
    <row r="2041" customHeight="1" spans="1:2">
      <c r="A2041" s="3" t="s">
        <v>9096</v>
      </c>
      <c r="B2041" s="4">
        <v>60491560</v>
      </c>
    </row>
    <row r="2042" customHeight="1" spans="1:2">
      <c r="A2042" s="3" t="s">
        <v>20907</v>
      </c>
      <c r="B2042" s="4">
        <v>7022940</v>
      </c>
    </row>
    <row r="2043" customHeight="1" spans="1:2">
      <c r="A2043" s="3" t="s">
        <v>14986</v>
      </c>
      <c r="B2043" s="4">
        <v>17655201</v>
      </c>
    </row>
    <row r="2044" customHeight="1" spans="1:2">
      <c r="A2044" s="3" t="s">
        <v>15573</v>
      </c>
      <c r="B2044" s="4">
        <v>1602466</v>
      </c>
    </row>
    <row r="2045" customHeight="1" spans="1:2">
      <c r="A2045" s="3" t="s">
        <v>1425</v>
      </c>
      <c r="B2045" s="4">
        <v>76418654</v>
      </c>
    </row>
    <row r="2046" customHeight="1" spans="1:2">
      <c r="A2046" s="3" t="s">
        <v>7662</v>
      </c>
      <c r="B2046" s="4">
        <v>10076136</v>
      </c>
    </row>
    <row r="2047" customHeight="1" spans="1:2">
      <c r="A2047" s="3" t="s">
        <v>13028</v>
      </c>
      <c r="B2047" s="4">
        <v>11632420</v>
      </c>
    </row>
    <row r="2048" customHeight="1" spans="1:2">
      <c r="A2048" s="3" t="s">
        <v>9055</v>
      </c>
      <c r="B2048" s="4">
        <v>148734225</v>
      </c>
    </row>
    <row r="2049" customHeight="1" spans="1:2">
      <c r="A2049" s="3" t="s">
        <v>5097</v>
      </c>
      <c r="B2049" s="4">
        <v>79948113</v>
      </c>
    </row>
    <row r="2050" customHeight="1" spans="1:2">
      <c r="A2050" s="3" t="s">
        <v>5569</v>
      </c>
      <c r="B2050" s="4">
        <v>50173190</v>
      </c>
    </row>
    <row r="2051" customHeight="1" spans="1:2">
      <c r="A2051" s="3" t="s">
        <v>12781</v>
      </c>
      <c r="B2051" s="4">
        <v>42592530</v>
      </c>
    </row>
    <row r="2052" customHeight="1" spans="1:2">
      <c r="A2052" s="3" t="s">
        <v>15262</v>
      </c>
      <c r="B2052" s="4"/>
    </row>
    <row r="2053" customHeight="1" spans="1:2">
      <c r="A2053" s="3" t="s">
        <v>7620</v>
      </c>
      <c r="B2053" s="4"/>
    </row>
    <row r="2054" customHeight="1" spans="1:2">
      <c r="A2054" s="3" t="s">
        <v>19287</v>
      </c>
      <c r="B2054" s="4"/>
    </row>
    <row r="2055" customHeight="1" spans="1:2">
      <c r="A2055" s="3" t="s">
        <v>9023</v>
      </c>
      <c r="B2055" s="4">
        <v>5532301</v>
      </c>
    </row>
    <row r="2056" customHeight="1" spans="1:2">
      <c r="A2056" s="3" t="s">
        <v>11100</v>
      </c>
      <c r="B2056" s="4">
        <v>17104669</v>
      </c>
    </row>
    <row r="2057" customHeight="1" spans="1:2">
      <c r="A2057" s="3" t="s">
        <v>10067</v>
      </c>
      <c r="B2057" s="4">
        <v>129115</v>
      </c>
    </row>
    <row r="2058" customHeight="1" spans="1:2">
      <c r="A2058" s="3" t="s">
        <v>910</v>
      </c>
      <c r="B2058" s="4">
        <v>165230261</v>
      </c>
    </row>
    <row r="2059" customHeight="1" spans="1:2">
      <c r="A2059" s="3" t="s">
        <v>995</v>
      </c>
      <c r="B2059" s="4">
        <v>143523463</v>
      </c>
    </row>
    <row r="2060" customHeight="1" spans="1:2">
      <c r="A2060" s="3" t="s">
        <v>1163</v>
      </c>
      <c r="B2060" s="4">
        <v>215395021</v>
      </c>
    </row>
    <row r="2061" customHeight="1" spans="1:2">
      <c r="A2061" s="3" t="s">
        <v>14998</v>
      </c>
      <c r="B2061" s="4">
        <v>16033556</v>
      </c>
    </row>
    <row r="2062" customHeight="1" spans="1:2">
      <c r="A2062" s="3" t="s">
        <v>22046</v>
      </c>
      <c r="B2062" s="4">
        <v>20186</v>
      </c>
    </row>
    <row r="2063" customHeight="1" spans="1:2">
      <c r="A2063" s="3" t="s">
        <v>7313</v>
      </c>
      <c r="B2063" s="4">
        <v>64604977</v>
      </c>
    </row>
    <row r="2064" customHeight="1" spans="1:2">
      <c r="A2064" s="3" t="s">
        <v>22310</v>
      </c>
      <c r="B2064" s="4">
        <v>1141829</v>
      </c>
    </row>
    <row r="2065" customHeight="1" spans="1:2">
      <c r="A2065" s="3" t="s">
        <v>16863</v>
      </c>
      <c r="B2065" s="4">
        <v>54215416</v>
      </c>
    </row>
    <row r="2066" customHeight="1" spans="1:2">
      <c r="A2066" s="3" t="s">
        <v>14777</v>
      </c>
      <c r="B2066" s="4"/>
    </row>
    <row r="2067" customHeight="1" spans="1:2">
      <c r="A2067" s="3" t="s">
        <v>18969</v>
      </c>
      <c r="B2067" s="4">
        <v>886410</v>
      </c>
    </row>
    <row r="2068" customHeight="1" spans="1:2">
      <c r="A2068" s="3" t="s">
        <v>11973</v>
      </c>
      <c r="B2068" s="4">
        <v>13362308</v>
      </c>
    </row>
    <row r="2069" customHeight="1" spans="1:2">
      <c r="A2069" s="3" t="s">
        <v>4057</v>
      </c>
      <c r="B2069" s="4">
        <v>74540762</v>
      </c>
    </row>
    <row r="2070" customHeight="1" spans="1:2">
      <c r="A2070" s="3" t="s">
        <v>3356</v>
      </c>
      <c r="B2070" s="4">
        <v>42272747</v>
      </c>
    </row>
    <row r="2071" customHeight="1" spans="1:2">
      <c r="A2071" s="3" t="s">
        <v>18138</v>
      </c>
      <c r="B2071" s="4">
        <v>1705139</v>
      </c>
    </row>
    <row r="2072" customHeight="1" spans="1:2">
      <c r="A2072" s="3" t="s">
        <v>18303</v>
      </c>
      <c r="B2072" s="4">
        <v>211667</v>
      </c>
    </row>
    <row r="2073" customHeight="1" spans="1:2">
      <c r="A2073" s="3" t="s">
        <v>11059</v>
      </c>
      <c r="B2073" s="4"/>
    </row>
    <row r="2074" customHeight="1" spans="1:2">
      <c r="A2074" s="3" t="s">
        <v>19694</v>
      </c>
      <c r="B2074" s="4"/>
    </row>
    <row r="2075" customHeight="1" spans="1:2">
      <c r="A2075" s="3" t="s">
        <v>21492</v>
      </c>
      <c r="B2075" s="4"/>
    </row>
    <row r="2076" customHeight="1" spans="1:2">
      <c r="A2076" s="3" t="s">
        <v>17262</v>
      </c>
      <c r="B2076" s="4">
        <v>23807</v>
      </c>
    </row>
    <row r="2077" customHeight="1" spans="1:2">
      <c r="A2077" s="3" t="s">
        <v>9123</v>
      </c>
      <c r="B2077" s="4">
        <v>31768374</v>
      </c>
    </row>
    <row r="2078" customHeight="1" spans="1:2">
      <c r="A2078" s="3" t="s">
        <v>10817</v>
      </c>
      <c r="B2078" s="4">
        <v>39263506</v>
      </c>
    </row>
    <row r="2079" customHeight="1" spans="1:2">
      <c r="A2079" s="3" t="s">
        <v>11700</v>
      </c>
      <c r="B2079" s="4">
        <v>20433940</v>
      </c>
    </row>
    <row r="2080" customHeight="1" spans="1:2">
      <c r="A2080" s="3" t="s">
        <v>1878</v>
      </c>
      <c r="B2080" s="4">
        <v>49392095</v>
      </c>
    </row>
    <row r="2081" customHeight="1" spans="1:2">
      <c r="A2081" s="3" t="s">
        <v>2228</v>
      </c>
      <c r="B2081" s="4">
        <v>65653758</v>
      </c>
    </row>
    <row r="2082" customHeight="1" spans="1:2">
      <c r="A2082" s="3" t="s">
        <v>2024</v>
      </c>
      <c r="B2082" s="4">
        <v>131144183</v>
      </c>
    </row>
    <row r="2083" customHeight="1" spans="1:2">
      <c r="A2083" s="3" t="s">
        <v>8415</v>
      </c>
      <c r="B2083" s="4">
        <v>35565975</v>
      </c>
    </row>
    <row r="2084" customHeight="1" spans="1:2">
      <c r="A2084" s="3" t="s">
        <v>12243</v>
      </c>
      <c r="B2084" s="4">
        <v>15655665</v>
      </c>
    </row>
    <row r="2085" customHeight="1" spans="1:2">
      <c r="A2085" s="3" t="s">
        <v>13957</v>
      </c>
      <c r="B2085" s="4">
        <v>5949693</v>
      </c>
    </row>
    <row r="2086" customHeight="1" spans="1:2">
      <c r="A2086" s="3" t="s">
        <v>2410</v>
      </c>
      <c r="B2086" s="4">
        <v>50016394</v>
      </c>
    </row>
    <row r="2087" customHeight="1" spans="1:2">
      <c r="A2087" s="3" t="s">
        <v>5844</v>
      </c>
      <c r="B2087" s="4">
        <v>38360195</v>
      </c>
    </row>
    <row r="2088" customHeight="1" spans="1:2">
      <c r="A2088" s="3" t="s">
        <v>3611</v>
      </c>
      <c r="B2088" s="4"/>
    </row>
    <row r="2089" customHeight="1" spans="1:2">
      <c r="A2089" s="3" t="s">
        <v>14307</v>
      </c>
      <c r="B2089" s="4">
        <v>2326407</v>
      </c>
    </row>
    <row r="2090" customHeight="1" spans="1:2">
      <c r="A2090" s="3" t="s">
        <v>8900</v>
      </c>
      <c r="B2090" s="4">
        <v>63910583</v>
      </c>
    </row>
    <row r="2091" customHeight="1" spans="1:2">
      <c r="A2091" s="3" t="s">
        <v>22100</v>
      </c>
      <c r="B2091" s="4">
        <v>819939</v>
      </c>
    </row>
    <row r="2092" customHeight="1" spans="1:2">
      <c r="A2092" s="3" t="s">
        <v>17302</v>
      </c>
      <c r="B2092" s="4">
        <v>3895664</v>
      </c>
    </row>
    <row r="2093" customHeight="1" spans="1:2">
      <c r="A2093" s="3" t="s">
        <v>4901</v>
      </c>
      <c r="B2093" s="4">
        <v>73343413</v>
      </c>
    </row>
    <row r="2094" customHeight="1" spans="1:2">
      <c r="A2094" s="3" t="s">
        <v>12820</v>
      </c>
      <c r="B2094" s="4">
        <v>6000000</v>
      </c>
    </row>
    <row r="2095" customHeight="1" spans="1:2">
      <c r="A2095" s="3" t="s">
        <v>7985</v>
      </c>
      <c r="B2095" s="4">
        <v>17848322</v>
      </c>
    </row>
    <row r="2096" customHeight="1" spans="1:2">
      <c r="A2096" s="3" t="s">
        <v>16909</v>
      </c>
      <c r="B2096" s="4">
        <v>2338695</v>
      </c>
    </row>
    <row r="2097" customHeight="1" spans="1:2">
      <c r="A2097" s="3" t="s">
        <v>17449</v>
      </c>
      <c r="B2097" s="4">
        <v>611709</v>
      </c>
    </row>
    <row r="2098" customHeight="1" spans="1:2">
      <c r="A2098" s="3" t="s">
        <v>11656</v>
      </c>
      <c r="B2098" s="4">
        <v>12561</v>
      </c>
    </row>
    <row r="2099" customHeight="1" spans="1:2">
      <c r="A2099" s="3" t="s">
        <v>4483</v>
      </c>
      <c r="B2099" s="4">
        <v>31199215</v>
      </c>
    </row>
    <row r="2100" customHeight="1" spans="1:2">
      <c r="A2100" s="3" t="s">
        <v>18460</v>
      </c>
      <c r="B2100" s="4">
        <v>31968347</v>
      </c>
    </row>
    <row r="2101" customHeight="1" spans="1:2">
      <c r="A2101" s="3" t="s">
        <v>8119</v>
      </c>
      <c r="B2101" s="4">
        <v>116631310</v>
      </c>
    </row>
    <row r="2102" customHeight="1" spans="1:2">
      <c r="A2102" s="3" t="s">
        <v>11751</v>
      </c>
      <c r="B2102" s="4">
        <v>27996564</v>
      </c>
    </row>
    <row r="2103" customHeight="1" spans="1:2">
      <c r="A2103" s="3" t="s">
        <v>6480</v>
      </c>
      <c r="B2103" s="4">
        <v>49851591</v>
      </c>
    </row>
    <row r="2104" customHeight="1" spans="1:2">
      <c r="A2104" s="3" t="s">
        <v>9473</v>
      </c>
      <c r="B2104" s="4">
        <v>89808372</v>
      </c>
    </row>
    <row r="2105" customHeight="1" spans="1:2">
      <c r="A2105" s="3" t="s">
        <v>11735</v>
      </c>
      <c r="B2105" s="4">
        <v>95001351</v>
      </c>
    </row>
    <row r="2106" customHeight="1" spans="1:2">
      <c r="A2106" s="3" t="s">
        <v>14417</v>
      </c>
      <c r="B2106" s="4"/>
    </row>
    <row r="2107" customHeight="1" spans="1:2">
      <c r="A2107" s="3" t="s">
        <v>1856</v>
      </c>
      <c r="B2107" s="4">
        <v>55673333</v>
      </c>
    </row>
    <row r="2108" customHeight="1" spans="1:2">
      <c r="A2108" s="3" t="s">
        <v>9841</v>
      </c>
      <c r="B2108" s="4">
        <v>1865774</v>
      </c>
    </row>
    <row r="2109" customHeight="1" spans="1:2">
      <c r="A2109" s="3" t="s">
        <v>3504</v>
      </c>
      <c r="B2109" s="4">
        <v>8460990</v>
      </c>
    </row>
    <row r="2110" customHeight="1" spans="1:2">
      <c r="A2110" s="3" t="s">
        <v>8184</v>
      </c>
      <c r="B2110" s="4">
        <v>66528842</v>
      </c>
    </row>
    <row r="2111" customHeight="1" spans="1:2">
      <c r="A2111" s="3" t="s">
        <v>9281</v>
      </c>
      <c r="B2111" s="4">
        <v>40168080</v>
      </c>
    </row>
    <row r="2112" customHeight="1" spans="1:2">
      <c r="A2112" s="3" t="s">
        <v>11471</v>
      </c>
      <c r="B2112" s="4">
        <v>146072</v>
      </c>
    </row>
    <row r="2113" customHeight="1" spans="1:2">
      <c r="A2113" s="3" t="s">
        <v>3666</v>
      </c>
      <c r="B2113" s="4">
        <v>148775460</v>
      </c>
    </row>
    <row r="2114" customHeight="1" spans="1:2">
      <c r="A2114" s="3" t="s">
        <v>16684</v>
      </c>
      <c r="B2114" s="4">
        <v>700000</v>
      </c>
    </row>
    <row r="2115" customHeight="1" spans="1:2">
      <c r="A2115" s="3" t="s">
        <v>11212</v>
      </c>
      <c r="B2115" s="4">
        <v>12134420</v>
      </c>
    </row>
    <row r="2116" customHeight="1" spans="1:2">
      <c r="A2116" s="3" t="s">
        <v>7255</v>
      </c>
      <c r="B2116" s="4">
        <v>144731527</v>
      </c>
    </row>
    <row r="2117" customHeight="1" spans="1:2">
      <c r="A2117" s="3" t="s">
        <v>1062</v>
      </c>
      <c r="B2117" s="4">
        <v>129734803</v>
      </c>
    </row>
    <row r="2118" customHeight="1" spans="1:2">
      <c r="A2118" s="3" t="s">
        <v>12159</v>
      </c>
      <c r="B2118" s="4">
        <v>82389560</v>
      </c>
    </row>
    <row r="2119" customHeight="1" spans="1:2">
      <c r="A2119" s="3" t="s">
        <v>18562</v>
      </c>
      <c r="B2119" s="4">
        <v>4613815</v>
      </c>
    </row>
    <row r="2120" customHeight="1" spans="1:2">
      <c r="A2120" s="3" t="s">
        <v>18146</v>
      </c>
      <c r="B2120" s="4"/>
    </row>
    <row r="2121" customHeight="1" spans="1:2">
      <c r="A2121" s="3" t="s">
        <v>13775</v>
      </c>
      <c r="B2121" s="4">
        <v>13753931</v>
      </c>
    </row>
    <row r="2122" customHeight="1" spans="1:2">
      <c r="A2122" s="3" t="s">
        <v>19442</v>
      </c>
      <c r="B2122" s="4">
        <v>2848578</v>
      </c>
    </row>
    <row r="2123" customHeight="1" spans="1:2">
      <c r="A2123" s="3" t="s">
        <v>8318</v>
      </c>
      <c r="B2123" s="4">
        <v>53021560</v>
      </c>
    </row>
    <row r="2124" customHeight="1" spans="1:2">
      <c r="A2124" s="3" t="s">
        <v>5681</v>
      </c>
      <c r="B2124" s="4">
        <v>181395380</v>
      </c>
    </row>
    <row r="2125" customHeight="1" spans="1:2">
      <c r="A2125" s="3" t="s">
        <v>6146</v>
      </c>
      <c r="B2125" s="4">
        <v>34667015</v>
      </c>
    </row>
    <row r="2126" customHeight="1" spans="1:2">
      <c r="A2126" s="3" t="s">
        <v>7387</v>
      </c>
      <c r="B2126" s="4">
        <v>43792641</v>
      </c>
    </row>
    <row r="2127" customHeight="1" spans="1:2">
      <c r="A2127" s="3" t="s">
        <v>20098</v>
      </c>
      <c r="B2127" s="4"/>
    </row>
    <row r="2128" customHeight="1" spans="1:2">
      <c r="A2128" s="3" t="s">
        <v>11898</v>
      </c>
      <c r="B2128" s="4">
        <v>15561627</v>
      </c>
    </row>
    <row r="2129" customHeight="1" spans="1:2">
      <c r="A2129" s="3" t="s">
        <v>18298</v>
      </c>
      <c r="B2129" s="4">
        <v>278821</v>
      </c>
    </row>
    <row r="2130" customHeight="1" spans="1:2">
      <c r="A2130" s="3" t="s">
        <v>1360</v>
      </c>
      <c r="B2130" s="4">
        <v>124976634</v>
      </c>
    </row>
    <row r="2131" customHeight="1" spans="1:2">
      <c r="A2131" s="3" t="s">
        <v>6755</v>
      </c>
      <c r="B2131" s="4">
        <v>14448589</v>
      </c>
    </row>
    <row r="2132" customHeight="1" spans="1:2">
      <c r="A2132" s="3" t="s">
        <v>3086</v>
      </c>
      <c r="B2132" s="4"/>
    </row>
    <row r="2133" customHeight="1" spans="1:2">
      <c r="A2133" s="3" t="s">
        <v>9863</v>
      </c>
      <c r="B2133" s="4"/>
    </row>
    <row r="2134" customHeight="1" spans="1:2">
      <c r="A2134" s="3" t="s">
        <v>22441</v>
      </c>
      <c r="B2134" s="4"/>
    </row>
    <row r="2135" customHeight="1" spans="1:2">
      <c r="A2135" s="3" t="s">
        <v>13805</v>
      </c>
      <c r="B2135" s="4">
        <v>5871603</v>
      </c>
    </row>
    <row r="2136" customHeight="1" spans="1:2">
      <c r="A2136" s="3" t="s">
        <v>17907</v>
      </c>
      <c r="B2136" s="4">
        <v>1100000</v>
      </c>
    </row>
    <row r="2137" customHeight="1" spans="1:2">
      <c r="A2137" s="3" t="s">
        <v>17540</v>
      </c>
      <c r="B2137" s="4">
        <v>56536016</v>
      </c>
    </row>
    <row r="2138" customHeight="1" spans="1:2">
      <c r="A2138" s="3" t="s">
        <v>23210</v>
      </c>
      <c r="B2138" s="4">
        <v>3388210</v>
      </c>
    </row>
    <row r="2139" customHeight="1" spans="1:2">
      <c r="A2139" s="3" t="s">
        <v>8282</v>
      </c>
      <c r="B2139" s="4">
        <v>51432423</v>
      </c>
    </row>
    <row r="2140" customHeight="1" spans="1:2">
      <c r="A2140" s="3" t="s">
        <v>2559</v>
      </c>
      <c r="B2140" s="4">
        <v>145771527</v>
      </c>
    </row>
    <row r="2141" customHeight="1" spans="1:2">
      <c r="A2141" s="3" t="s">
        <v>18328</v>
      </c>
      <c r="B2141" s="4">
        <v>181655</v>
      </c>
    </row>
    <row r="2142" customHeight="1" spans="1:2">
      <c r="A2142" s="3" t="s">
        <v>12614</v>
      </c>
      <c r="B2142" s="4"/>
    </row>
    <row r="2143" customHeight="1" spans="1:2">
      <c r="A2143" s="3" t="s">
        <v>15909</v>
      </c>
      <c r="B2143" s="4">
        <v>1997807</v>
      </c>
    </row>
    <row r="2144" customHeight="1" spans="1:2">
      <c r="A2144" s="3" t="s">
        <v>9083</v>
      </c>
      <c r="B2144" s="4"/>
    </row>
    <row r="2145" customHeight="1" spans="1:2">
      <c r="A2145" s="3" t="s">
        <v>3645</v>
      </c>
      <c r="B2145" s="4">
        <v>182204440</v>
      </c>
    </row>
    <row r="2146" customHeight="1" spans="1:2">
      <c r="A2146" s="3" t="s">
        <v>7718</v>
      </c>
      <c r="B2146" s="4"/>
    </row>
    <row r="2147" customHeight="1" spans="1:2">
      <c r="A2147" s="3" t="s">
        <v>7624</v>
      </c>
      <c r="B2147" s="4">
        <v>14998070</v>
      </c>
    </row>
    <row r="2148" customHeight="1" spans="1:2">
      <c r="A2148" s="3" t="s">
        <v>21781</v>
      </c>
      <c r="B2148" s="4">
        <v>112521</v>
      </c>
    </row>
    <row r="2149" customHeight="1" spans="1:2">
      <c r="A2149" s="3" t="s">
        <v>13203</v>
      </c>
      <c r="B2149" s="4"/>
    </row>
    <row r="2150" customHeight="1" spans="1:2">
      <c r="A2150" s="3" t="s">
        <v>23328</v>
      </c>
      <c r="B2150" s="4"/>
    </row>
    <row r="2151" customHeight="1" spans="1:2">
      <c r="A2151" s="3" t="s">
        <v>8498</v>
      </c>
      <c r="B2151" s="4">
        <v>20422207</v>
      </c>
    </row>
    <row r="2152" customHeight="1" spans="1:2">
      <c r="A2152" s="3" t="s">
        <v>11335</v>
      </c>
      <c r="B2152" s="4">
        <v>6420319</v>
      </c>
    </row>
    <row r="2153" customHeight="1" spans="1:2">
      <c r="A2153" s="3" t="s">
        <v>13512</v>
      </c>
      <c r="B2153" s="4">
        <v>5459824</v>
      </c>
    </row>
    <row r="2154" customHeight="1" spans="1:2">
      <c r="A2154" s="3" t="s">
        <v>1749</v>
      </c>
      <c r="B2154" s="4">
        <v>148383780</v>
      </c>
    </row>
    <row r="2155" customHeight="1" spans="1:2">
      <c r="A2155" s="3" t="s">
        <v>15984</v>
      </c>
      <c r="B2155" s="4">
        <v>59889948</v>
      </c>
    </row>
    <row r="2156" customHeight="1" spans="1:2">
      <c r="A2156" s="3" t="s">
        <v>8717</v>
      </c>
      <c r="B2156" s="4"/>
    </row>
    <row r="2157" customHeight="1" spans="1:2">
      <c r="A2157" s="3" t="s">
        <v>2789</v>
      </c>
      <c r="B2157" s="4">
        <v>39442871</v>
      </c>
    </row>
    <row r="2158" customHeight="1" spans="1:2">
      <c r="A2158" s="3" t="s">
        <v>8399</v>
      </c>
      <c r="B2158" s="4">
        <v>38747385</v>
      </c>
    </row>
    <row r="2159" customHeight="1" spans="1:2">
      <c r="A2159" s="3" t="s">
        <v>17140</v>
      </c>
      <c r="B2159" s="4">
        <v>4595000</v>
      </c>
    </row>
    <row r="2160" customHeight="1" spans="1:2">
      <c r="A2160" s="3" t="s">
        <v>10030</v>
      </c>
      <c r="B2160" s="4">
        <v>183662</v>
      </c>
    </row>
    <row r="2161" customHeight="1" spans="1:2">
      <c r="A2161" s="3" t="s">
        <v>12746</v>
      </c>
      <c r="B2161" s="4">
        <v>50003300</v>
      </c>
    </row>
    <row r="2162" customHeight="1" spans="1:2">
      <c r="A2162" s="3" t="s">
        <v>3884</v>
      </c>
      <c r="B2162" s="4">
        <v>58255287</v>
      </c>
    </row>
    <row r="2163" customHeight="1" spans="1:2">
      <c r="A2163" s="3" t="s">
        <v>16480</v>
      </c>
      <c r="B2163" s="4">
        <v>35400000</v>
      </c>
    </row>
    <row r="2164" customHeight="1" spans="1:2">
      <c r="A2164" s="3" t="s">
        <v>1621</v>
      </c>
      <c r="B2164" s="4">
        <v>134520804</v>
      </c>
    </row>
    <row r="2165" customHeight="1" spans="1:2">
      <c r="A2165" s="3" t="s">
        <v>22189</v>
      </c>
      <c r="B2165" s="4"/>
    </row>
    <row r="2166" customHeight="1" spans="1:2">
      <c r="A2166" s="3" t="s">
        <v>20770</v>
      </c>
      <c r="B2166" s="4"/>
    </row>
    <row r="2167" customHeight="1" spans="1:2">
      <c r="A2167" s="3" t="s">
        <v>14216</v>
      </c>
      <c r="B2167" s="4">
        <v>12902790</v>
      </c>
    </row>
    <row r="2168" customHeight="1" spans="1:2">
      <c r="A2168" s="3" t="s">
        <v>13699</v>
      </c>
      <c r="B2168" s="4">
        <v>27979400</v>
      </c>
    </row>
    <row r="2169" customHeight="1" spans="1:2">
      <c r="A2169" s="3" t="s">
        <v>21152</v>
      </c>
      <c r="B2169" s="4">
        <v>3650677</v>
      </c>
    </row>
    <row r="2170" customHeight="1" spans="1:2">
      <c r="A2170" s="3" t="s">
        <v>23108</v>
      </c>
      <c r="B2170" s="4">
        <v>2468</v>
      </c>
    </row>
    <row r="2171" customHeight="1" spans="1:2">
      <c r="A2171" s="3" t="s">
        <v>11171</v>
      </c>
      <c r="B2171" s="4">
        <v>14291570</v>
      </c>
    </row>
    <row r="2172" customHeight="1" spans="1:2">
      <c r="A2172" s="3" t="s">
        <v>16511</v>
      </c>
      <c r="B2172" s="4">
        <v>25000000</v>
      </c>
    </row>
    <row r="2173" customHeight="1" spans="1:2">
      <c r="A2173" s="3" t="s">
        <v>14695</v>
      </c>
      <c r="B2173" s="4"/>
    </row>
    <row r="2174" customHeight="1" spans="1:2">
      <c r="A2174" s="3" t="s">
        <v>4828</v>
      </c>
      <c r="B2174" s="4"/>
    </row>
    <row r="2175" customHeight="1" spans="1:2">
      <c r="A2175" s="3" t="s">
        <v>4174</v>
      </c>
      <c r="B2175" s="4">
        <v>62401264</v>
      </c>
    </row>
    <row r="2176" customHeight="1" spans="1:2">
      <c r="A2176" s="3" t="s">
        <v>22130</v>
      </c>
      <c r="B2176" s="4"/>
    </row>
    <row r="2177" customHeight="1" spans="1:2">
      <c r="A2177" s="3" t="s">
        <v>20440</v>
      </c>
      <c r="B2177" s="4">
        <v>12667</v>
      </c>
    </row>
    <row r="2178" customHeight="1" spans="1:2">
      <c r="A2178" s="3" t="s">
        <v>17732</v>
      </c>
      <c r="B2178" s="4">
        <v>13269963</v>
      </c>
    </row>
    <row r="2179" customHeight="1" spans="1:2">
      <c r="A2179" s="3" t="s">
        <v>6280</v>
      </c>
      <c r="B2179" s="4">
        <v>125069696</v>
      </c>
    </row>
    <row r="2180" customHeight="1" spans="1:2">
      <c r="A2180" s="3" t="s">
        <v>17752</v>
      </c>
      <c r="B2180" s="4">
        <v>12200000</v>
      </c>
    </row>
    <row r="2181" customHeight="1" spans="1:2">
      <c r="A2181" s="3" t="s">
        <v>22593</v>
      </c>
      <c r="B2181" s="4">
        <v>154077</v>
      </c>
    </row>
    <row r="2182" customHeight="1" spans="1:2">
      <c r="A2182" s="3" t="s">
        <v>2847</v>
      </c>
      <c r="B2182" s="4">
        <v>20950820</v>
      </c>
    </row>
    <row r="2183" customHeight="1" spans="1:2">
      <c r="A2183" s="3" t="s">
        <v>8208</v>
      </c>
      <c r="B2183" s="4">
        <v>66468315</v>
      </c>
    </row>
    <row r="2184" customHeight="1" spans="1:2">
      <c r="A2184" s="3" t="s">
        <v>15620</v>
      </c>
      <c r="B2184" s="4"/>
    </row>
    <row r="2185" customHeight="1" spans="1:2">
      <c r="A2185" s="3" t="s">
        <v>6164</v>
      </c>
      <c r="B2185" s="4">
        <v>24127895</v>
      </c>
    </row>
    <row r="2186" customHeight="1" spans="1:2">
      <c r="A2186" s="3" t="s">
        <v>9876</v>
      </c>
      <c r="B2186" s="4">
        <v>11008432</v>
      </c>
    </row>
    <row r="2187" customHeight="1" spans="1:2">
      <c r="A2187" s="3" t="s">
        <v>19044</v>
      </c>
      <c r="B2187" s="4"/>
    </row>
    <row r="2188" customHeight="1" spans="1:2">
      <c r="A2188" s="3" t="s">
        <v>11135</v>
      </c>
      <c r="B2188" s="4">
        <v>15464026</v>
      </c>
    </row>
    <row r="2189" customHeight="1" spans="1:2">
      <c r="A2189" s="3" t="s">
        <v>16671</v>
      </c>
      <c r="B2189" s="4"/>
    </row>
    <row r="2190" customHeight="1" spans="1:2">
      <c r="A2190" s="3" t="s">
        <v>2726</v>
      </c>
      <c r="B2190" s="4">
        <v>69102910</v>
      </c>
    </row>
    <row r="2191" customHeight="1" spans="1:2">
      <c r="A2191" s="3" t="s">
        <v>18437</v>
      </c>
      <c r="B2191" s="4">
        <v>44566004</v>
      </c>
    </row>
    <row r="2192" customHeight="1" spans="1:2">
      <c r="A2192" s="3" t="s">
        <v>8982</v>
      </c>
      <c r="B2192" s="4">
        <v>16779636</v>
      </c>
    </row>
    <row r="2193" customHeight="1" spans="1:2">
      <c r="A2193" s="3" t="s">
        <v>12216</v>
      </c>
      <c r="B2193" s="4">
        <v>24708699</v>
      </c>
    </row>
    <row r="2194" customHeight="1" spans="1:2">
      <c r="A2194" s="3" t="s">
        <v>12878</v>
      </c>
      <c r="B2194" s="4">
        <v>27441122</v>
      </c>
    </row>
    <row r="2195" customHeight="1" spans="1:2">
      <c r="A2195" s="3" t="s">
        <v>8541</v>
      </c>
      <c r="B2195" s="4">
        <v>32357532</v>
      </c>
    </row>
    <row r="2196" customHeight="1" spans="1:2">
      <c r="A2196" s="3" t="s">
        <v>5795</v>
      </c>
      <c r="B2196" s="4">
        <v>59365105</v>
      </c>
    </row>
    <row r="2197" customHeight="1" spans="1:2">
      <c r="A2197" s="3" t="s">
        <v>18407</v>
      </c>
      <c r="B2197" s="4">
        <v>2542264</v>
      </c>
    </row>
    <row r="2198" customHeight="1" spans="1:2">
      <c r="A2198" s="3" t="s">
        <v>23192</v>
      </c>
      <c r="B2198" s="4">
        <v>212285</v>
      </c>
    </row>
    <row r="2199" customHeight="1" spans="1:2">
      <c r="A2199" s="3" t="s">
        <v>11863</v>
      </c>
      <c r="B2199" s="4">
        <v>22927390</v>
      </c>
    </row>
    <row r="2200" customHeight="1" spans="1:2">
      <c r="A2200" s="3" t="s">
        <v>5976</v>
      </c>
      <c r="B2200" s="4">
        <v>4584886</v>
      </c>
    </row>
    <row r="2201" customHeight="1" spans="1:2">
      <c r="A2201" s="3" t="s">
        <v>22884</v>
      </c>
      <c r="B2201" s="4"/>
    </row>
    <row r="2202" customHeight="1" spans="1:2">
      <c r="A2202" s="3" t="s">
        <v>15049</v>
      </c>
      <c r="B2202" s="4">
        <v>12514138</v>
      </c>
    </row>
    <row r="2203" customHeight="1" spans="1:2">
      <c r="A2203" s="3" t="s">
        <v>22465</v>
      </c>
      <c r="B2203" s="4"/>
    </row>
    <row r="2204" customHeight="1" spans="1:2">
      <c r="A2204" s="3" t="s">
        <v>21588</v>
      </c>
      <c r="B2204" s="4"/>
    </row>
    <row r="2205" customHeight="1" spans="1:2">
      <c r="A2205" s="3" t="s">
        <v>10035</v>
      </c>
      <c r="B2205" s="4">
        <v>134904</v>
      </c>
    </row>
    <row r="2206" customHeight="1" spans="1:2">
      <c r="A2206" s="3" t="s">
        <v>18584</v>
      </c>
      <c r="B2206" s="4">
        <v>2800000</v>
      </c>
    </row>
    <row r="2207" customHeight="1" spans="1:2">
      <c r="A2207" s="3" t="s">
        <v>11889</v>
      </c>
      <c r="B2207" s="4">
        <v>26284475</v>
      </c>
    </row>
    <row r="2208" customHeight="1" spans="1:2">
      <c r="A2208" s="3" t="s">
        <v>23150</v>
      </c>
      <c r="B2208" s="4">
        <v>4186931</v>
      </c>
    </row>
    <row r="2209" customHeight="1" spans="1:2">
      <c r="A2209" s="3" t="s">
        <v>17974</v>
      </c>
      <c r="B2209" s="4">
        <v>124720</v>
      </c>
    </row>
    <row r="2210" customHeight="1" spans="1:2">
      <c r="A2210" s="3" t="s">
        <v>19462</v>
      </c>
      <c r="B2210" s="4">
        <v>252726</v>
      </c>
    </row>
    <row r="2211" customHeight="1" spans="1:2">
      <c r="A2211" s="3" t="s">
        <v>14753</v>
      </c>
      <c r="B2211" s="4"/>
    </row>
    <row r="2212" customHeight="1" spans="1:2">
      <c r="A2212" s="3" t="s">
        <v>21901</v>
      </c>
      <c r="B2212" s="4"/>
    </row>
    <row r="2213" customHeight="1" spans="1:2">
      <c r="A2213" s="3" t="s">
        <v>17248</v>
      </c>
      <c r="B2213" s="4">
        <v>54606</v>
      </c>
    </row>
    <row r="2214" customHeight="1" spans="1:2">
      <c r="A2214" s="3" t="s">
        <v>9126</v>
      </c>
      <c r="B2214" s="4">
        <v>44988974</v>
      </c>
    </row>
    <row r="2215" customHeight="1" spans="1:2">
      <c r="A2215" s="3" t="s">
        <v>3808</v>
      </c>
      <c r="B2215" s="4">
        <v>10014234</v>
      </c>
    </row>
    <row r="2216" customHeight="1" spans="1:2">
      <c r="A2216" s="3" t="s">
        <v>4918</v>
      </c>
      <c r="B2216" s="4">
        <v>5755286</v>
      </c>
    </row>
    <row r="2217" customHeight="1" spans="1:2">
      <c r="A2217" s="3" t="s">
        <v>6260</v>
      </c>
      <c r="B2217" s="4">
        <v>126546825</v>
      </c>
    </row>
    <row r="2218" customHeight="1" spans="1:2">
      <c r="A2218" s="3" t="s">
        <v>21725</v>
      </c>
      <c r="B2218" s="4">
        <v>428535</v>
      </c>
    </row>
    <row r="2219" customHeight="1" spans="1:2">
      <c r="A2219" s="3" t="s">
        <v>7699</v>
      </c>
      <c r="B2219" s="4"/>
    </row>
    <row r="2220" customHeight="1" spans="1:2">
      <c r="A2220" s="3" t="s">
        <v>18854</v>
      </c>
      <c r="B2220" s="4"/>
    </row>
    <row r="2221" customHeight="1" spans="1:2">
      <c r="A2221" s="3" t="s">
        <v>15088</v>
      </c>
      <c r="B2221" s="4">
        <v>8460995</v>
      </c>
    </row>
    <row r="2222" customHeight="1" spans="1:2">
      <c r="A2222" s="3" t="s">
        <v>11316</v>
      </c>
      <c r="B2222" s="4">
        <v>7268659</v>
      </c>
    </row>
    <row r="2223" customHeight="1" spans="1:2">
      <c r="A2223" s="3" t="s">
        <v>13984</v>
      </c>
      <c r="B2223" s="4">
        <v>26589953</v>
      </c>
    </row>
    <row r="2224" customHeight="1" spans="1:2">
      <c r="A2224" s="3" t="s">
        <v>14689</v>
      </c>
      <c r="B2224" s="4"/>
    </row>
    <row r="2225" customHeight="1" spans="1:2">
      <c r="A2225" s="3" t="s">
        <v>8725</v>
      </c>
      <c r="B2225" s="4">
        <v>537580</v>
      </c>
    </row>
    <row r="2226" customHeight="1" spans="1:2">
      <c r="A2226" s="3" t="s">
        <v>5431</v>
      </c>
      <c r="B2226" s="4">
        <v>10556196</v>
      </c>
    </row>
    <row r="2227" customHeight="1" spans="1:2">
      <c r="A2227" s="3" t="s">
        <v>22519</v>
      </c>
      <c r="B2227" s="4">
        <v>8044906</v>
      </c>
    </row>
    <row r="2228" customHeight="1" spans="1:2">
      <c r="A2228" s="3" t="s">
        <v>20156</v>
      </c>
      <c r="B2228" s="4">
        <v>9003011</v>
      </c>
    </row>
    <row r="2229" customHeight="1" spans="1:2">
      <c r="A2229" s="3" t="s">
        <v>14863</v>
      </c>
      <c r="B2229" s="4">
        <v>36200000</v>
      </c>
    </row>
    <row r="2230" customHeight="1" spans="1:2">
      <c r="A2230" s="3" t="s">
        <v>23379</v>
      </c>
      <c r="B2230" s="4"/>
    </row>
    <row r="2231" customHeight="1" spans="1:2">
      <c r="A2231" s="3" t="s">
        <v>848</v>
      </c>
      <c r="B2231" s="4">
        <v>153629485</v>
      </c>
    </row>
    <row r="2232" customHeight="1" spans="1:2">
      <c r="A2232" s="3" t="s">
        <v>10503</v>
      </c>
      <c r="B2232" s="4">
        <v>20668843</v>
      </c>
    </row>
    <row r="2233" customHeight="1" spans="1:2">
      <c r="A2233" s="3" t="s">
        <v>14467</v>
      </c>
      <c r="B2233" s="4">
        <v>48856</v>
      </c>
    </row>
    <row r="2234" customHeight="1" spans="1:2">
      <c r="A2234" s="3" t="s">
        <v>960</v>
      </c>
      <c r="B2234" s="4">
        <v>216366733</v>
      </c>
    </row>
    <row r="2235" customHeight="1" spans="1:2">
      <c r="A2235" s="3" t="s">
        <v>2992</v>
      </c>
      <c r="B2235" s="4">
        <v>193136719</v>
      </c>
    </row>
    <row r="2236" customHeight="1" spans="1:2">
      <c r="A2236" s="3" t="s">
        <v>807</v>
      </c>
      <c r="B2236" s="4">
        <v>179982968</v>
      </c>
    </row>
    <row r="2237" customHeight="1" spans="1:2">
      <c r="A2237" s="3" t="s">
        <v>16167</v>
      </c>
      <c r="B2237" s="4">
        <v>1094798</v>
      </c>
    </row>
    <row r="2238" customHeight="1" spans="1:2">
      <c r="A2238" s="3" t="s">
        <v>6504</v>
      </c>
      <c r="B2238" s="4">
        <v>46012734</v>
      </c>
    </row>
    <row r="2239" customHeight="1" spans="1:2">
      <c r="A2239" s="3" t="s">
        <v>17848</v>
      </c>
      <c r="B2239" s="4">
        <v>5308707</v>
      </c>
    </row>
    <row r="2240" customHeight="1" spans="1:2">
      <c r="A2240" s="3" t="s">
        <v>12093</v>
      </c>
      <c r="B2240" s="4">
        <v>90485233</v>
      </c>
    </row>
    <row r="2241" customHeight="1" spans="1:2">
      <c r="A2241" s="3" t="s">
        <v>14813</v>
      </c>
      <c r="B2241" s="4">
        <v>63231524</v>
      </c>
    </row>
    <row r="2242" customHeight="1" spans="1:2">
      <c r="A2242" s="3" t="s">
        <v>10745</v>
      </c>
      <c r="B2242" s="4">
        <v>65623128</v>
      </c>
    </row>
    <row r="2243" customHeight="1" spans="1:2">
      <c r="A2243" s="3" t="s">
        <v>12626</v>
      </c>
      <c r="B2243" s="4">
        <v>508867</v>
      </c>
    </row>
    <row r="2244" customHeight="1" spans="1:2">
      <c r="A2244" s="3" t="s">
        <v>18456</v>
      </c>
      <c r="B2244" s="4">
        <v>131175</v>
      </c>
    </row>
    <row r="2245" customHeight="1" spans="1:2">
      <c r="A2245" s="3" t="s">
        <v>13327</v>
      </c>
      <c r="B2245" s="4">
        <v>66009973</v>
      </c>
    </row>
    <row r="2246" customHeight="1" spans="1:2">
      <c r="A2246" s="3" t="s">
        <v>16471</v>
      </c>
      <c r="B2246" s="4">
        <v>113709992</v>
      </c>
    </row>
    <row r="2247" customHeight="1" spans="1:2">
      <c r="A2247" s="3" t="s">
        <v>7132</v>
      </c>
      <c r="B2247" s="4">
        <v>22450975</v>
      </c>
    </row>
    <row r="2248" customHeight="1" spans="1:2">
      <c r="A2248" s="3" t="s">
        <v>4622</v>
      </c>
      <c r="B2248" s="4">
        <v>93815117</v>
      </c>
    </row>
    <row r="2249" customHeight="1" spans="1:2">
      <c r="A2249" s="3" t="s">
        <v>18805</v>
      </c>
      <c r="B2249" s="4">
        <v>14873</v>
      </c>
    </row>
    <row r="2250" customHeight="1" spans="1:2">
      <c r="A2250" s="3" t="s">
        <v>14529</v>
      </c>
      <c r="B2250" s="4">
        <v>49797148</v>
      </c>
    </row>
    <row r="2251" customHeight="1" spans="1:2">
      <c r="A2251" s="3" t="s">
        <v>7369</v>
      </c>
      <c r="B2251" s="4">
        <v>48169908</v>
      </c>
    </row>
    <row r="2252" customHeight="1" spans="1:2">
      <c r="A2252" s="3" t="s">
        <v>568</v>
      </c>
      <c r="B2252" s="4">
        <v>241407328</v>
      </c>
    </row>
    <row r="2253" customHeight="1" spans="1:2">
      <c r="A2253" s="3" t="s">
        <v>23438</v>
      </c>
      <c r="B2253" s="4"/>
    </row>
    <row r="2254" customHeight="1" spans="1:2">
      <c r="A2254" s="3" t="s">
        <v>12812</v>
      </c>
      <c r="B2254" s="4">
        <v>34308901</v>
      </c>
    </row>
    <row r="2255" customHeight="1" spans="1:2">
      <c r="A2255" s="3" t="s">
        <v>16968</v>
      </c>
      <c r="B2255" s="4">
        <v>2122561</v>
      </c>
    </row>
    <row r="2256" customHeight="1" spans="1:2">
      <c r="A2256" s="3" t="s">
        <v>15209</v>
      </c>
      <c r="B2256" s="4">
        <v>3060858</v>
      </c>
    </row>
    <row r="2257" customHeight="1" spans="1:2">
      <c r="A2257" s="3" t="s">
        <v>12721</v>
      </c>
      <c r="B2257" s="4">
        <v>71588220</v>
      </c>
    </row>
    <row r="2258" customHeight="1" spans="1:2">
      <c r="A2258" s="3" t="s">
        <v>17429</v>
      </c>
      <c r="B2258" s="4">
        <v>6239558</v>
      </c>
    </row>
    <row r="2259" customHeight="1" spans="1:2">
      <c r="A2259" s="3" t="s">
        <v>4934</v>
      </c>
      <c r="B2259" s="4">
        <v>143704210</v>
      </c>
    </row>
    <row r="2260" customHeight="1" spans="1:2">
      <c r="A2260" s="3" t="s">
        <v>144</v>
      </c>
      <c r="B2260" s="4">
        <v>291021565</v>
      </c>
    </row>
    <row r="2261" customHeight="1" spans="1:2">
      <c r="A2261" s="3" t="s">
        <v>5398</v>
      </c>
      <c r="B2261" s="4">
        <v>19118247</v>
      </c>
    </row>
    <row r="2262" customHeight="1" spans="1:2">
      <c r="A2262" s="3" t="s">
        <v>10833</v>
      </c>
      <c r="B2262" s="4">
        <v>37442180</v>
      </c>
    </row>
    <row r="2263" customHeight="1" spans="1:2">
      <c r="A2263" s="3" t="s">
        <v>6228</v>
      </c>
      <c r="B2263" s="4">
        <v>18600911</v>
      </c>
    </row>
    <row r="2264" customHeight="1" spans="1:2">
      <c r="A2264" s="3" t="s">
        <v>4097</v>
      </c>
      <c r="B2264" s="4">
        <v>77862546</v>
      </c>
    </row>
    <row r="2265" customHeight="1" spans="1:2">
      <c r="A2265" s="3" t="s">
        <v>4960</v>
      </c>
      <c r="B2265" s="4">
        <v>34580635</v>
      </c>
    </row>
    <row r="2266" customHeight="1" spans="1:2">
      <c r="A2266" s="3" t="s">
        <v>20642</v>
      </c>
      <c r="B2266" s="4">
        <v>2957978</v>
      </c>
    </row>
    <row r="2267" customHeight="1" spans="1:2">
      <c r="A2267" s="3" t="s">
        <v>7809</v>
      </c>
      <c r="B2267" s="4">
        <v>8324748</v>
      </c>
    </row>
    <row r="2268" customHeight="1" spans="1:2">
      <c r="A2268" s="3" t="s">
        <v>13351</v>
      </c>
      <c r="B2268" s="4">
        <v>74205</v>
      </c>
    </row>
    <row r="2269" customHeight="1" spans="1:2">
      <c r="A2269" s="3" t="s">
        <v>22959</v>
      </c>
      <c r="B2269" s="4">
        <v>12843</v>
      </c>
    </row>
    <row r="2270" customHeight="1" spans="1:2">
      <c r="A2270" s="3" t="s">
        <v>23994</v>
      </c>
      <c r="B2270" s="4"/>
    </row>
    <row r="2271" customHeight="1" spans="1:2">
      <c r="A2271" s="3" t="s">
        <v>11997</v>
      </c>
      <c r="B2271" s="4">
        <v>4806750</v>
      </c>
    </row>
    <row r="2272" customHeight="1" spans="1:2">
      <c r="A2272" s="3" t="s">
        <v>19052</v>
      </c>
      <c r="B2272" s="4">
        <v>77413017</v>
      </c>
    </row>
    <row r="2273" customHeight="1" spans="1:2">
      <c r="A2273" s="3" t="s">
        <v>16680</v>
      </c>
      <c r="B2273" s="4">
        <v>1000000</v>
      </c>
    </row>
    <row r="2274" customHeight="1" spans="1:2">
      <c r="A2274" s="3" t="s">
        <v>11418</v>
      </c>
      <c r="B2274" s="4">
        <v>1646664</v>
      </c>
    </row>
    <row r="2275" customHeight="1" spans="1:2">
      <c r="A2275" s="3" t="s">
        <v>13576</v>
      </c>
      <c r="B2275" s="4">
        <v>46495</v>
      </c>
    </row>
    <row r="2276" customHeight="1" spans="1:2">
      <c r="A2276" s="3" t="s">
        <v>19055</v>
      </c>
      <c r="B2276" s="4">
        <v>5354039</v>
      </c>
    </row>
    <row r="2277" customHeight="1" spans="1:2">
      <c r="A2277" s="3" t="s">
        <v>19142</v>
      </c>
      <c r="B2277" s="4">
        <v>6517198</v>
      </c>
    </row>
    <row r="2278" customHeight="1" spans="1:2">
      <c r="A2278" s="3" t="s">
        <v>6726</v>
      </c>
      <c r="B2278" s="4">
        <v>15962471</v>
      </c>
    </row>
    <row r="2279" customHeight="1" spans="1:2">
      <c r="A2279" s="3" t="s">
        <v>19888</v>
      </c>
      <c r="B2279" s="4">
        <v>333658</v>
      </c>
    </row>
    <row r="2280" customHeight="1" spans="1:2">
      <c r="A2280" s="3" t="s">
        <v>3936</v>
      </c>
      <c r="B2280" s="4">
        <v>143151473</v>
      </c>
    </row>
    <row r="2281" customHeight="1" spans="1:2">
      <c r="A2281" s="3" t="s">
        <v>5321</v>
      </c>
      <c r="B2281" s="4">
        <v>33643461</v>
      </c>
    </row>
    <row r="2282" customHeight="1" spans="1:2">
      <c r="A2282" s="3" t="s">
        <v>14354</v>
      </c>
      <c r="B2282" s="4">
        <v>1506998</v>
      </c>
    </row>
    <row r="2283" customHeight="1" spans="1:2">
      <c r="A2283" s="3" t="s">
        <v>2797</v>
      </c>
      <c r="B2283" s="4">
        <v>37754208</v>
      </c>
    </row>
    <row r="2284" customHeight="1" spans="1:2">
      <c r="A2284" s="3" t="s">
        <v>933</v>
      </c>
      <c r="B2284" s="4">
        <v>21379315</v>
      </c>
    </row>
    <row r="2285" customHeight="1" spans="1:2">
      <c r="A2285" s="3" t="s">
        <v>21647</v>
      </c>
      <c r="B2285" s="4">
        <v>2981638</v>
      </c>
    </row>
    <row r="2286" customHeight="1" spans="1:2">
      <c r="A2286" s="3" t="s">
        <v>9179</v>
      </c>
      <c r="B2286" s="4">
        <v>7486906</v>
      </c>
    </row>
    <row r="2287" customHeight="1" spans="1:2">
      <c r="A2287" s="3" t="s">
        <v>19216</v>
      </c>
      <c r="B2287" s="4">
        <v>19184015</v>
      </c>
    </row>
    <row r="2288" customHeight="1" spans="1:2">
      <c r="A2288" s="3" t="s">
        <v>10267</v>
      </c>
      <c r="B2288" s="4">
        <v>12782508</v>
      </c>
    </row>
    <row r="2289" customHeight="1" spans="1:2">
      <c r="A2289" s="3" t="s">
        <v>16999</v>
      </c>
      <c r="B2289" s="4">
        <v>102300000</v>
      </c>
    </row>
    <row r="2290" customHeight="1" spans="1:2">
      <c r="A2290" s="3" t="s">
        <v>5651</v>
      </c>
      <c r="B2290" s="4">
        <v>5600000</v>
      </c>
    </row>
    <row r="2291" customHeight="1" spans="1:2">
      <c r="A2291" s="3" t="s">
        <v>16376</v>
      </c>
      <c r="B2291" s="4">
        <v>533344</v>
      </c>
    </row>
    <row r="2292" customHeight="1" spans="1:2">
      <c r="A2292" s="3" t="s">
        <v>1102</v>
      </c>
      <c r="B2292" s="4">
        <v>93926386</v>
      </c>
    </row>
    <row r="2293" customHeight="1" spans="1:2">
      <c r="A2293" s="3" t="s">
        <v>12902</v>
      </c>
      <c r="B2293" s="4">
        <v>23089926</v>
      </c>
    </row>
    <row r="2294" customHeight="1" spans="1:2">
      <c r="A2294" s="3" t="s">
        <v>19757</v>
      </c>
      <c r="B2294" s="4">
        <v>3130592</v>
      </c>
    </row>
    <row r="2295" customHeight="1" spans="1:2">
      <c r="A2295" s="3" t="s">
        <v>14202</v>
      </c>
      <c r="B2295" s="4">
        <v>17292381</v>
      </c>
    </row>
    <row r="2296" customHeight="1" spans="1:2">
      <c r="A2296" s="3" t="s">
        <v>7417</v>
      </c>
      <c r="B2296" s="4">
        <v>40687294</v>
      </c>
    </row>
    <row r="2297" customHeight="1" spans="1:2">
      <c r="A2297" s="3" t="s">
        <v>10799</v>
      </c>
      <c r="B2297" s="4">
        <v>42652003</v>
      </c>
    </row>
    <row r="2298" customHeight="1" spans="1:2">
      <c r="A2298" s="3" t="s">
        <v>9832</v>
      </c>
      <c r="B2298" s="4">
        <v>14095303</v>
      </c>
    </row>
    <row r="2299" customHeight="1" spans="1:2">
      <c r="A2299" s="3" t="s">
        <v>20757</v>
      </c>
      <c r="B2299" s="4">
        <v>145540</v>
      </c>
    </row>
    <row r="2300" customHeight="1" spans="1:2">
      <c r="A2300" s="3" t="s">
        <v>12211</v>
      </c>
      <c r="B2300" s="4">
        <v>44469602</v>
      </c>
    </row>
    <row r="2301" customHeight="1" spans="1:2">
      <c r="A2301" s="3" t="s">
        <v>6193</v>
      </c>
      <c r="B2301" s="4"/>
    </row>
    <row r="2302" customHeight="1" spans="1:2">
      <c r="A2302" s="3" t="s">
        <v>10009</v>
      </c>
      <c r="B2302" s="4">
        <v>1186957</v>
      </c>
    </row>
    <row r="2303" customHeight="1" spans="1:2">
      <c r="A2303" s="3" t="s">
        <v>20252</v>
      </c>
      <c r="B2303" s="4">
        <v>3885134</v>
      </c>
    </row>
    <row r="2304" customHeight="1" spans="1:2">
      <c r="A2304" s="3" t="s">
        <v>10741</v>
      </c>
      <c r="B2304" s="4">
        <v>56154094</v>
      </c>
    </row>
    <row r="2305" customHeight="1" spans="1:2">
      <c r="A2305" s="3" t="s">
        <v>21039</v>
      </c>
      <c r="B2305" s="4"/>
    </row>
    <row r="2306" customHeight="1" spans="1:2">
      <c r="A2306" s="3" t="s">
        <v>4980</v>
      </c>
      <c r="B2306" s="4">
        <v>90567722</v>
      </c>
    </row>
    <row r="2307" customHeight="1" spans="1:2">
      <c r="A2307" s="3" t="s">
        <v>22579</v>
      </c>
      <c r="B2307" s="4">
        <v>603943</v>
      </c>
    </row>
    <row r="2308" customHeight="1" spans="1:2">
      <c r="A2308" s="3" t="s">
        <v>11790</v>
      </c>
      <c r="B2308" s="4">
        <v>86049418</v>
      </c>
    </row>
    <row r="2309" customHeight="1" spans="1:2">
      <c r="A2309" s="3" t="s">
        <v>18314</v>
      </c>
      <c r="B2309" s="4">
        <v>92191</v>
      </c>
    </row>
    <row r="2310" customHeight="1" spans="1:2">
      <c r="A2310" s="3" t="s">
        <v>6682</v>
      </c>
      <c r="B2310" s="4">
        <v>32645</v>
      </c>
    </row>
    <row r="2311" customHeight="1" spans="1:2">
      <c r="A2311" s="3" t="s">
        <v>6527</v>
      </c>
      <c r="B2311" s="4">
        <v>45500797</v>
      </c>
    </row>
    <row r="2312" customHeight="1" spans="1:2">
      <c r="A2312" s="3" t="s">
        <v>20334</v>
      </c>
      <c r="B2312" s="4">
        <v>977600</v>
      </c>
    </row>
    <row r="2313" customHeight="1" spans="1:2">
      <c r="A2313" s="3" t="s">
        <v>4380</v>
      </c>
      <c r="B2313" s="4">
        <v>11802056</v>
      </c>
    </row>
    <row r="2314" customHeight="1" spans="1:2">
      <c r="A2314" s="3" t="s">
        <v>2431</v>
      </c>
      <c r="B2314" s="4">
        <v>44606335</v>
      </c>
    </row>
    <row r="2315" customHeight="1" spans="1:2">
      <c r="A2315" s="3" t="s">
        <v>10805</v>
      </c>
      <c r="B2315" s="4"/>
    </row>
    <row r="2316" customHeight="1" spans="1:2">
      <c r="A2316" s="3" t="s">
        <v>10174</v>
      </c>
      <c r="B2316" s="4">
        <v>4308981</v>
      </c>
    </row>
    <row r="2317" customHeight="1" spans="1:2">
      <c r="A2317" s="3" t="s">
        <v>3928</v>
      </c>
      <c r="B2317" s="4">
        <v>279167575</v>
      </c>
    </row>
    <row r="2318" customHeight="1" spans="1:2">
      <c r="A2318" s="3" t="s">
        <v>4572</v>
      </c>
      <c r="B2318" s="4">
        <v>166225040</v>
      </c>
    </row>
    <row r="2319" customHeight="1" spans="1:2">
      <c r="A2319" s="3" t="s">
        <v>8385</v>
      </c>
      <c r="B2319" s="4">
        <v>38232624</v>
      </c>
    </row>
    <row r="2320" customHeight="1" spans="1:2">
      <c r="A2320" s="3" t="s">
        <v>11988</v>
      </c>
      <c r="B2320" s="4">
        <v>5333658</v>
      </c>
    </row>
    <row r="2321" customHeight="1" spans="1:2">
      <c r="A2321" s="3" t="s">
        <v>1250</v>
      </c>
      <c r="B2321" s="4">
        <v>148337537</v>
      </c>
    </row>
    <row r="2322" customHeight="1" spans="1:2">
      <c r="A2322" s="3" t="s">
        <v>10466</v>
      </c>
      <c r="B2322" s="4">
        <v>5974653</v>
      </c>
    </row>
    <row r="2323" customHeight="1" spans="1:2">
      <c r="A2323" s="3" t="s">
        <v>15576</v>
      </c>
      <c r="B2323" s="4">
        <v>3029870</v>
      </c>
    </row>
    <row r="2324" customHeight="1" spans="1:2">
      <c r="A2324" s="3" t="s">
        <v>17610</v>
      </c>
      <c r="B2324" s="4">
        <v>25530884</v>
      </c>
    </row>
    <row r="2325" customHeight="1" spans="1:2">
      <c r="A2325" s="3" t="s">
        <v>2415</v>
      </c>
      <c r="B2325" s="4">
        <v>57010853</v>
      </c>
    </row>
    <row r="2326" customHeight="1" spans="1:2">
      <c r="A2326" s="3" t="s">
        <v>6761</v>
      </c>
      <c r="B2326" s="4">
        <v>14358033</v>
      </c>
    </row>
    <row r="2327" customHeight="1" spans="1:2">
      <c r="A2327" s="3" t="s">
        <v>169</v>
      </c>
      <c r="B2327" s="4">
        <v>179020854</v>
      </c>
    </row>
    <row r="2328" customHeight="1" spans="1:2">
      <c r="A2328" s="3" t="s">
        <v>985</v>
      </c>
      <c r="B2328" s="4">
        <v>190418803</v>
      </c>
    </row>
    <row r="2329" customHeight="1" spans="1:2">
      <c r="A2329" s="3" t="s">
        <v>2078</v>
      </c>
      <c r="B2329" s="4">
        <v>250147615</v>
      </c>
    </row>
    <row r="2330" customHeight="1" spans="1:2">
      <c r="A2330" s="3" t="s">
        <v>7924</v>
      </c>
      <c r="B2330" s="4">
        <v>48814909</v>
      </c>
    </row>
    <row r="2331" customHeight="1" spans="1:2">
      <c r="A2331" s="3" t="s">
        <v>17271</v>
      </c>
      <c r="B2331" s="4"/>
    </row>
    <row r="2332" customHeight="1" spans="1:2">
      <c r="A2332" s="3" t="s">
        <v>16360</v>
      </c>
      <c r="B2332" s="4">
        <v>4239767</v>
      </c>
    </row>
    <row r="2333" customHeight="1" spans="1:2">
      <c r="A2333" s="3" t="s">
        <v>18882</v>
      </c>
      <c r="B2333" s="4">
        <v>27900000</v>
      </c>
    </row>
    <row r="2334" customHeight="1" spans="1:2">
      <c r="A2334" s="3" t="s">
        <v>4294</v>
      </c>
      <c r="B2334" s="4">
        <v>65881014</v>
      </c>
    </row>
    <row r="2335" customHeight="1" spans="1:2">
      <c r="A2335" s="3" t="s">
        <v>22407</v>
      </c>
      <c r="B2335" s="4">
        <v>171988</v>
      </c>
    </row>
    <row r="2336" customHeight="1" spans="1:2">
      <c r="A2336" s="3" t="s">
        <v>8272</v>
      </c>
      <c r="B2336" s="4">
        <v>52799004</v>
      </c>
    </row>
    <row r="2337" customHeight="1" spans="1:2">
      <c r="A2337" s="3" t="s">
        <v>12042</v>
      </c>
      <c r="B2337" s="4">
        <v>3419967</v>
      </c>
    </row>
    <row r="2338" customHeight="1" spans="1:2">
      <c r="A2338" s="3" t="s">
        <v>12528</v>
      </c>
      <c r="B2338" s="4"/>
    </row>
    <row r="2339" customHeight="1" spans="1:2">
      <c r="A2339" s="3" t="s">
        <v>13214</v>
      </c>
      <c r="B2339" s="4">
        <v>26435</v>
      </c>
    </row>
    <row r="2340" customHeight="1" spans="1:2">
      <c r="A2340" s="3" t="s">
        <v>22814</v>
      </c>
      <c r="B2340" s="4">
        <v>2938208</v>
      </c>
    </row>
    <row r="2341" customHeight="1" spans="1:2">
      <c r="A2341" s="3" t="s">
        <v>20089</v>
      </c>
      <c r="B2341" s="4">
        <v>3330</v>
      </c>
    </row>
    <row r="2342" customHeight="1" spans="1:2">
      <c r="A2342" s="3" t="s">
        <v>1124</v>
      </c>
      <c r="B2342" s="4"/>
    </row>
    <row r="2343" customHeight="1" spans="1:2">
      <c r="A2343" s="3" t="s">
        <v>10532</v>
      </c>
      <c r="B2343" s="4">
        <v>49024969</v>
      </c>
    </row>
    <row r="2344" customHeight="1" spans="1:2">
      <c r="A2344" s="3" t="s">
        <v>9900</v>
      </c>
      <c r="B2344" s="4">
        <v>11030963</v>
      </c>
    </row>
    <row r="2345" customHeight="1" spans="1:2">
      <c r="A2345" s="3" t="s">
        <v>16530</v>
      </c>
      <c r="B2345" s="4">
        <v>18642318</v>
      </c>
    </row>
    <row r="2346" customHeight="1" spans="1:2">
      <c r="A2346" s="3" t="s">
        <v>6590</v>
      </c>
      <c r="B2346" s="4">
        <v>33864342</v>
      </c>
    </row>
    <row r="2347" customHeight="1" spans="1:2">
      <c r="A2347" s="3" t="s">
        <v>6197</v>
      </c>
      <c r="B2347" s="4">
        <v>1260917</v>
      </c>
    </row>
    <row r="2348" customHeight="1" spans="1:2">
      <c r="A2348" s="3" t="s">
        <v>23414</v>
      </c>
      <c r="B2348" s="4">
        <v>78030</v>
      </c>
    </row>
    <row r="2349" customHeight="1" spans="1:2">
      <c r="A2349" s="3" t="s">
        <v>23115</v>
      </c>
      <c r="B2349" s="4"/>
    </row>
    <row r="2350" customHeight="1" spans="1:2">
      <c r="A2350" s="3" t="s">
        <v>18860</v>
      </c>
      <c r="B2350" s="4"/>
    </row>
    <row r="2351" customHeight="1" spans="1:2">
      <c r="A2351" s="3" t="s">
        <v>8259</v>
      </c>
      <c r="B2351" s="4">
        <v>56816662</v>
      </c>
    </row>
    <row r="2352" customHeight="1" spans="1:2">
      <c r="A2352" s="3" t="s">
        <v>7519</v>
      </c>
      <c r="B2352" s="4">
        <v>25078937</v>
      </c>
    </row>
    <row r="2353" customHeight="1" spans="1:2">
      <c r="A2353" s="3" t="s">
        <v>8389</v>
      </c>
      <c r="B2353" s="4">
        <v>38413606</v>
      </c>
    </row>
    <row r="2354" customHeight="1" spans="1:2">
      <c r="A2354" s="3" t="s">
        <v>12002</v>
      </c>
      <c r="B2354" s="4">
        <v>3707794</v>
      </c>
    </row>
    <row r="2355" customHeight="1" spans="1:2">
      <c r="A2355" s="3" t="s">
        <v>2767</v>
      </c>
      <c r="B2355" s="4">
        <v>50628009</v>
      </c>
    </row>
    <row r="2356" customHeight="1" spans="1:2">
      <c r="A2356" s="3" t="s">
        <v>10895</v>
      </c>
      <c r="B2356" s="4">
        <v>31838002</v>
      </c>
    </row>
    <row r="2357" customHeight="1" spans="1:2">
      <c r="A2357" s="3" t="s">
        <v>9601</v>
      </c>
      <c r="B2357" s="4">
        <v>36447959</v>
      </c>
    </row>
    <row r="2358" customHeight="1" spans="1:2">
      <c r="A2358" s="3" t="s">
        <v>8157</v>
      </c>
      <c r="B2358" s="4">
        <v>100422786</v>
      </c>
    </row>
    <row r="2359" customHeight="1" spans="1:2">
      <c r="A2359" s="3" t="s">
        <v>9199</v>
      </c>
      <c r="B2359" s="4">
        <v>4476235</v>
      </c>
    </row>
    <row r="2360" customHeight="1" spans="1:2">
      <c r="A2360" s="3" t="s">
        <v>3191</v>
      </c>
      <c r="B2360" s="4">
        <v>336029560</v>
      </c>
    </row>
    <row r="2361" customHeight="1" spans="1:2">
      <c r="A2361" s="3" t="s">
        <v>1701</v>
      </c>
      <c r="B2361" s="4">
        <v>132014112</v>
      </c>
    </row>
    <row r="2362" customHeight="1" spans="1:2">
      <c r="A2362" s="3" t="s">
        <v>5954</v>
      </c>
      <c r="B2362" s="4">
        <v>7916887</v>
      </c>
    </row>
    <row r="2363" customHeight="1" spans="1:2">
      <c r="A2363" s="3" t="s">
        <v>8875</v>
      </c>
      <c r="B2363" s="4">
        <v>64371181</v>
      </c>
    </row>
    <row r="2364" customHeight="1" spans="1:2">
      <c r="A2364" s="3" t="s">
        <v>13670</v>
      </c>
      <c r="B2364" s="4">
        <v>61693523</v>
      </c>
    </row>
    <row r="2365" customHeight="1" spans="1:2">
      <c r="A2365" s="3" t="s">
        <v>2451</v>
      </c>
      <c r="B2365" s="4">
        <v>64933670</v>
      </c>
    </row>
    <row r="2366" customHeight="1" spans="1:2">
      <c r="A2366" s="3" t="s">
        <v>18603</v>
      </c>
      <c r="B2366" s="4">
        <v>864959</v>
      </c>
    </row>
    <row r="2367" customHeight="1" spans="1:2">
      <c r="A2367" s="3" t="s">
        <v>7482</v>
      </c>
      <c r="B2367" s="4">
        <v>30691439</v>
      </c>
    </row>
    <row r="2368" customHeight="1" spans="1:2">
      <c r="A2368" s="3" t="s">
        <v>14785</v>
      </c>
      <c r="B2368" s="4"/>
    </row>
    <row r="2369" customHeight="1" spans="1:2">
      <c r="A2369" s="3" t="s">
        <v>4207</v>
      </c>
      <c r="B2369" s="4">
        <v>48472213</v>
      </c>
    </row>
    <row r="2370" customHeight="1" spans="1:2">
      <c r="A2370" s="3" t="s">
        <v>5714</v>
      </c>
      <c r="B2370" s="4">
        <v>106807667</v>
      </c>
    </row>
    <row r="2371" customHeight="1" spans="1:2">
      <c r="A2371" s="3" t="s">
        <v>17508</v>
      </c>
      <c r="B2371" s="4"/>
    </row>
    <row r="2372" customHeight="1" spans="1:2">
      <c r="A2372" s="3" t="s">
        <v>17147</v>
      </c>
      <c r="B2372" s="4">
        <v>4542775</v>
      </c>
    </row>
    <row r="2373" customHeight="1" spans="1:2">
      <c r="A2373" s="3" t="s">
        <v>8688</v>
      </c>
      <c r="B2373" s="4">
        <v>2975649</v>
      </c>
    </row>
    <row r="2374" customHeight="1" spans="1:2">
      <c r="A2374" s="3" t="s">
        <v>2249</v>
      </c>
      <c r="B2374" s="4">
        <v>60874615</v>
      </c>
    </row>
    <row r="2375" customHeight="1" spans="1:2">
      <c r="A2375" s="3" t="s">
        <v>999</v>
      </c>
      <c r="B2375" s="4">
        <v>209364921</v>
      </c>
    </row>
    <row r="2376" customHeight="1" spans="1:2">
      <c r="A2376" s="3" t="s">
        <v>890</v>
      </c>
      <c r="B2376" s="4">
        <v>195000874</v>
      </c>
    </row>
    <row r="2377" customHeight="1" spans="1:2">
      <c r="A2377" s="3" t="s">
        <v>1343</v>
      </c>
      <c r="B2377" s="4">
        <v>215397307</v>
      </c>
    </row>
    <row r="2378" customHeight="1" spans="1:2">
      <c r="A2378" s="3" t="s">
        <v>920</v>
      </c>
      <c r="B2378" s="4">
        <v>133382309</v>
      </c>
    </row>
    <row r="2379" customHeight="1" spans="1:2">
      <c r="A2379" s="3" t="s">
        <v>2536</v>
      </c>
      <c r="B2379" s="4">
        <v>180965237</v>
      </c>
    </row>
    <row r="2380" customHeight="1" spans="1:2">
      <c r="A2380" s="3" t="s">
        <v>20866</v>
      </c>
      <c r="B2380" s="4">
        <v>26893</v>
      </c>
    </row>
    <row r="2381" customHeight="1" spans="1:2">
      <c r="A2381" s="3" t="s">
        <v>14993</v>
      </c>
      <c r="B2381" s="4">
        <v>16153600</v>
      </c>
    </row>
    <row r="2382" customHeight="1" spans="1:2">
      <c r="A2382" s="3" t="s">
        <v>18230</v>
      </c>
      <c r="B2382" s="4"/>
    </row>
    <row r="2383" customHeight="1" spans="1:2">
      <c r="A2383" s="3" t="s">
        <v>16034</v>
      </c>
      <c r="B2383" s="4"/>
    </row>
    <row r="2384" customHeight="1" spans="1:2">
      <c r="A2384" s="3" t="s">
        <v>20998</v>
      </c>
      <c r="B2384" s="4">
        <v>163245</v>
      </c>
    </row>
    <row r="2385" customHeight="1" spans="1:2">
      <c r="A2385" s="3" t="s">
        <v>10525</v>
      </c>
      <c r="B2385" s="4">
        <v>634277</v>
      </c>
    </row>
    <row r="2386" customHeight="1" spans="1:2">
      <c r="A2386" s="3" t="s">
        <v>10622</v>
      </c>
      <c r="B2386" s="4">
        <v>15593</v>
      </c>
    </row>
    <row r="2387" customHeight="1" spans="1:2">
      <c r="A2387" s="3" t="s">
        <v>17655</v>
      </c>
      <c r="B2387" s="4"/>
    </row>
    <row r="2388" customHeight="1" spans="1:2">
      <c r="A2388" s="3" t="s">
        <v>18270</v>
      </c>
      <c r="B2388" s="4">
        <v>10429707</v>
      </c>
    </row>
    <row r="2389" customHeight="1" spans="1:2">
      <c r="A2389" s="3" t="s">
        <v>3720</v>
      </c>
      <c r="B2389" s="4">
        <v>63695760</v>
      </c>
    </row>
    <row r="2390" customHeight="1" spans="1:2">
      <c r="A2390" s="3" t="s">
        <v>18691</v>
      </c>
      <c r="B2390" s="4">
        <v>146402</v>
      </c>
    </row>
    <row r="2391" customHeight="1" spans="1:2">
      <c r="A2391" s="3" t="s">
        <v>9186</v>
      </c>
      <c r="B2391" s="4">
        <v>41008532</v>
      </c>
    </row>
    <row r="2392" customHeight="1" spans="1:2">
      <c r="A2392" s="3" t="s">
        <v>9560</v>
      </c>
      <c r="B2392" s="4">
        <v>41067398</v>
      </c>
    </row>
    <row r="2393" customHeight="1" spans="1:2">
      <c r="A2393" s="3" t="s">
        <v>3558</v>
      </c>
      <c r="B2393" s="4">
        <v>35324232</v>
      </c>
    </row>
    <row r="2394" customHeight="1" spans="1:2">
      <c r="A2394" s="3" t="s">
        <v>5123</v>
      </c>
      <c r="B2394" s="4">
        <v>75605492</v>
      </c>
    </row>
    <row r="2395" customHeight="1" spans="1:2">
      <c r="A2395" s="3" t="s">
        <v>11978</v>
      </c>
      <c r="B2395" s="4">
        <v>5701643</v>
      </c>
    </row>
    <row r="2396" customHeight="1" spans="1:2">
      <c r="A2396" s="3" t="s">
        <v>3181</v>
      </c>
      <c r="B2396" s="4">
        <v>5409517</v>
      </c>
    </row>
    <row r="2397" customHeight="1" spans="1:2">
      <c r="A2397" s="3" t="s">
        <v>21301</v>
      </c>
      <c r="B2397" s="4">
        <v>13876974</v>
      </c>
    </row>
    <row r="2398" customHeight="1" spans="1:2">
      <c r="A2398" s="3" t="s">
        <v>3120</v>
      </c>
      <c r="B2398" s="4">
        <v>73661010</v>
      </c>
    </row>
    <row r="2399" customHeight="1" spans="1:2">
      <c r="A2399" s="3" t="s">
        <v>17583</v>
      </c>
      <c r="B2399" s="4">
        <v>34468224</v>
      </c>
    </row>
    <row r="2400" customHeight="1" spans="1:2">
      <c r="A2400" s="3" t="s">
        <v>5741</v>
      </c>
      <c r="B2400" s="4">
        <v>82931301</v>
      </c>
    </row>
    <row r="2401" customHeight="1" spans="1:2">
      <c r="A2401" s="3" t="s">
        <v>18451</v>
      </c>
      <c r="B2401" s="4">
        <v>31252964</v>
      </c>
    </row>
    <row r="2402" customHeight="1" spans="1:2">
      <c r="A2402" s="3" t="s">
        <v>275</v>
      </c>
      <c r="B2402" s="4">
        <v>268488329</v>
      </c>
    </row>
    <row r="2403" customHeight="1" spans="1:2">
      <c r="A2403" s="3" t="s">
        <v>482</v>
      </c>
      <c r="B2403" s="4">
        <v>198332128</v>
      </c>
    </row>
    <row r="2404" customHeight="1" spans="1:2">
      <c r="A2404" s="3" t="s">
        <v>22648</v>
      </c>
      <c r="B2404" s="4">
        <v>237301</v>
      </c>
    </row>
    <row r="2405" customHeight="1" spans="1:2">
      <c r="A2405" s="3" t="s">
        <v>1442</v>
      </c>
      <c r="B2405" s="4">
        <v>289907418</v>
      </c>
    </row>
    <row r="2406" customHeight="1" spans="1:2">
      <c r="A2406" s="3" t="s">
        <v>10980</v>
      </c>
      <c r="B2406" s="4">
        <v>23179303</v>
      </c>
    </row>
    <row r="2407" customHeight="1" spans="1:2">
      <c r="A2407" s="3" t="s">
        <v>22849</v>
      </c>
      <c r="B2407" s="4">
        <v>1229197</v>
      </c>
    </row>
    <row r="2408" customHeight="1" spans="1:2">
      <c r="A2408" s="3" t="s">
        <v>17852</v>
      </c>
      <c r="B2408" s="4">
        <v>5009677</v>
      </c>
    </row>
    <row r="2409" customHeight="1" spans="1:2">
      <c r="A2409" s="3" t="s">
        <v>10612</v>
      </c>
      <c r="B2409" s="4">
        <v>6830957</v>
      </c>
    </row>
    <row r="2410" customHeight="1" spans="1:2">
      <c r="A2410" s="3" t="s">
        <v>8054</v>
      </c>
      <c r="B2410" s="4">
        <v>62700000</v>
      </c>
    </row>
    <row r="2411" customHeight="1" spans="1:2">
      <c r="A2411" s="3" t="s">
        <v>12409</v>
      </c>
      <c r="B2411" s="4">
        <v>45507053</v>
      </c>
    </row>
    <row r="2412" customHeight="1" spans="1:2">
      <c r="A2412" s="3" t="s">
        <v>20987</v>
      </c>
      <c r="B2412" s="4"/>
    </row>
    <row r="2413" customHeight="1" spans="1:2">
      <c r="A2413" s="3" t="s">
        <v>6631</v>
      </c>
      <c r="B2413" s="4">
        <v>30993544</v>
      </c>
    </row>
    <row r="2414" customHeight="1" spans="1:2">
      <c r="A2414" s="3" t="s">
        <v>10700</v>
      </c>
      <c r="B2414" s="4">
        <v>70360285</v>
      </c>
    </row>
    <row r="2415" customHeight="1" spans="1:2">
      <c r="A2415" s="3" t="s">
        <v>8412</v>
      </c>
      <c r="B2415" s="4">
        <v>35927406</v>
      </c>
    </row>
    <row r="2416" customHeight="1" spans="1:2">
      <c r="A2416" s="3" t="s">
        <v>4406</v>
      </c>
      <c r="B2416" s="4">
        <v>7605668</v>
      </c>
    </row>
    <row r="2417" customHeight="1" spans="1:2">
      <c r="A2417" s="3" t="s">
        <v>17214</v>
      </c>
      <c r="B2417" s="4">
        <v>267194</v>
      </c>
    </row>
    <row r="2418" customHeight="1" spans="1:2">
      <c r="A2418" s="3" t="s">
        <v>16674</v>
      </c>
      <c r="B2418" s="4">
        <v>1110286</v>
      </c>
    </row>
    <row r="2419" customHeight="1" spans="1:2">
      <c r="A2419" s="3" t="s">
        <v>15395</v>
      </c>
      <c r="B2419" s="4">
        <v>92900</v>
      </c>
    </row>
    <row r="2420" customHeight="1" spans="1:2">
      <c r="A2420" s="3" t="s">
        <v>4887</v>
      </c>
      <c r="B2420" s="4">
        <v>57386369</v>
      </c>
    </row>
    <row r="2421" customHeight="1" spans="1:2">
      <c r="A2421" s="3" t="s">
        <v>15094</v>
      </c>
      <c r="B2421" s="4">
        <v>8828771</v>
      </c>
    </row>
    <row r="2422" customHeight="1" spans="1:2">
      <c r="A2422" s="3" t="s">
        <v>18310</v>
      </c>
      <c r="B2422" s="4">
        <v>706622</v>
      </c>
    </row>
    <row r="2423" customHeight="1" spans="1:2">
      <c r="A2423" s="3" t="s">
        <v>8506</v>
      </c>
      <c r="B2423" s="4">
        <v>21800302</v>
      </c>
    </row>
    <row r="2424" customHeight="1" spans="1:2">
      <c r="A2424" s="3" t="s">
        <v>1536</v>
      </c>
      <c r="B2424" s="4">
        <v>186336103</v>
      </c>
    </row>
    <row r="2425" customHeight="1" spans="1:2">
      <c r="A2425" s="3" t="s">
        <v>9637</v>
      </c>
      <c r="B2425" s="4">
        <v>32553210</v>
      </c>
    </row>
    <row r="2426" customHeight="1" spans="1:2">
      <c r="A2426" s="3" t="s">
        <v>16289</v>
      </c>
      <c r="B2426" s="4"/>
    </row>
    <row r="2427" customHeight="1" spans="1:2">
      <c r="A2427" s="3" t="s">
        <v>5030</v>
      </c>
      <c r="B2427" s="4">
        <v>126203320</v>
      </c>
    </row>
    <row r="2428" customHeight="1" spans="1:2">
      <c r="A2428" s="3" t="s">
        <v>8038</v>
      </c>
      <c r="B2428" s="4">
        <v>82528097</v>
      </c>
    </row>
    <row r="2429" customHeight="1" spans="1:2">
      <c r="A2429" s="3" t="s">
        <v>17064</v>
      </c>
      <c r="B2429" s="4">
        <v>12674183</v>
      </c>
    </row>
    <row r="2430" customHeight="1" spans="1:2">
      <c r="A2430" s="3" t="s">
        <v>951</v>
      </c>
      <c r="B2430" s="4">
        <v>111505642</v>
      </c>
    </row>
    <row r="2431" customHeight="1" spans="1:2">
      <c r="A2431" s="3" t="s">
        <v>4687</v>
      </c>
      <c r="B2431" s="4">
        <v>68218041</v>
      </c>
    </row>
    <row r="2432" customHeight="1" spans="1:2">
      <c r="A2432" s="3" t="s">
        <v>20890</v>
      </c>
      <c r="B2432" s="4"/>
    </row>
    <row r="2433" customHeight="1" spans="1:2">
      <c r="A2433" s="3" t="s">
        <v>13551</v>
      </c>
      <c r="B2433" s="4">
        <v>3958500</v>
      </c>
    </row>
    <row r="2434" customHeight="1" spans="1:2">
      <c r="A2434" s="3" t="s">
        <v>11228</v>
      </c>
      <c r="B2434" s="4">
        <v>11034436</v>
      </c>
    </row>
    <row r="2435" customHeight="1" spans="1:2">
      <c r="A2435" s="3" t="s">
        <v>9376</v>
      </c>
      <c r="B2435" s="4">
        <v>219200000</v>
      </c>
    </row>
    <row r="2436" customHeight="1" spans="1:2">
      <c r="A2436" s="3" t="s">
        <v>9930</v>
      </c>
      <c r="B2436" s="4">
        <v>10070000</v>
      </c>
    </row>
    <row r="2437" customHeight="1" spans="1:2">
      <c r="A2437" s="3" t="s">
        <v>16043</v>
      </c>
      <c r="B2437" s="4">
        <v>22551000</v>
      </c>
    </row>
    <row r="2438" customHeight="1" spans="1:2">
      <c r="A2438" s="3" t="s">
        <v>15019</v>
      </c>
      <c r="B2438" s="4">
        <v>21589307</v>
      </c>
    </row>
    <row r="2439" customHeight="1" spans="1:2">
      <c r="A2439" s="3" t="s">
        <v>2134</v>
      </c>
      <c r="B2439" s="4">
        <v>120618403</v>
      </c>
    </row>
    <row r="2440" customHeight="1" spans="1:2">
      <c r="A2440" s="3" t="s">
        <v>13162</v>
      </c>
      <c r="B2440" s="4">
        <v>7219578</v>
      </c>
    </row>
    <row r="2441" customHeight="1" spans="1:2">
      <c r="A2441" s="3" t="s">
        <v>5909</v>
      </c>
      <c r="B2441" s="4">
        <v>20101861</v>
      </c>
    </row>
    <row r="2442" customHeight="1" spans="1:2">
      <c r="A2442" s="3" t="s">
        <v>8812</v>
      </c>
      <c r="B2442" s="4">
        <v>4554569</v>
      </c>
    </row>
    <row r="2443" customHeight="1" spans="1:2">
      <c r="A2443" s="3" t="s">
        <v>3096</v>
      </c>
      <c r="B2443" s="4">
        <v>47379090</v>
      </c>
    </row>
    <row r="2444" customHeight="1" spans="1:2">
      <c r="A2444" s="3" t="s">
        <v>10143</v>
      </c>
      <c r="B2444" s="4">
        <v>16290976</v>
      </c>
    </row>
    <row r="2445" customHeight="1" spans="1:2">
      <c r="A2445" s="3" t="s">
        <v>4803</v>
      </c>
      <c r="B2445" s="4">
        <v>51178893</v>
      </c>
    </row>
    <row r="2446" customHeight="1" spans="1:2">
      <c r="A2446" s="3" t="s">
        <v>5331</v>
      </c>
      <c r="B2446" s="4">
        <v>63749738</v>
      </c>
    </row>
    <row r="2447" customHeight="1" spans="1:2">
      <c r="A2447" s="3" t="s">
        <v>22970</v>
      </c>
      <c r="B2447" s="4">
        <v>1523883</v>
      </c>
    </row>
    <row r="2448" customHeight="1" spans="1:2">
      <c r="A2448" s="3" t="s">
        <v>6547</v>
      </c>
      <c r="B2448" s="4">
        <v>50562555</v>
      </c>
    </row>
    <row r="2449" customHeight="1" spans="1:2">
      <c r="A2449" s="3" t="s">
        <v>7395</v>
      </c>
      <c r="B2449" s="4">
        <v>43894863</v>
      </c>
    </row>
    <row r="2450" customHeight="1" spans="1:2">
      <c r="A2450" s="3" t="s">
        <v>21078</v>
      </c>
      <c r="B2450" s="4"/>
    </row>
    <row r="2451" customHeight="1" spans="1:2">
      <c r="A2451" s="3" t="s">
        <v>23959</v>
      </c>
      <c r="B2451" s="4"/>
    </row>
    <row r="2452" customHeight="1" spans="1:2">
      <c r="A2452" s="3" t="s">
        <v>22795</v>
      </c>
      <c r="B2452" s="4"/>
    </row>
    <row r="2453" customHeight="1" spans="1:2">
      <c r="A2453" s="3" t="s">
        <v>14191</v>
      </c>
      <c r="B2453" s="4">
        <v>17321573</v>
      </c>
    </row>
    <row r="2454" customHeight="1" spans="1:2">
      <c r="A2454" s="3" t="s">
        <v>22913</v>
      </c>
      <c r="B2454" s="4"/>
    </row>
    <row r="2455" customHeight="1" spans="1:2">
      <c r="A2455" s="3" t="s">
        <v>11041</v>
      </c>
      <c r="B2455" s="4">
        <v>19151864</v>
      </c>
    </row>
    <row r="2456" customHeight="1" spans="1:2">
      <c r="A2456" s="3" t="s">
        <v>5655</v>
      </c>
      <c r="B2456" s="4">
        <v>126805112</v>
      </c>
    </row>
    <row r="2457" customHeight="1" spans="1:2">
      <c r="A2457" s="3" t="s">
        <v>11771</v>
      </c>
      <c r="B2457" s="4">
        <v>59573085</v>
      </c>
    </row>
    <row r="2458" customHeight="1" spans="1:2">
      <c r="A2458" s="3" t="s">
        <v>17705</v>
      </c>
      <c r="B2458" s="4">
        <v>241437427</v>
      </c>
    </row>
    <row r="2459" customHeight="1" spans="1:2">
      <c r="A2459" s="3" t="s">
        <v>19538</v>
      </c>
      <c r="B2459" s="4"/>
    </row>
    <row r="2460" customHeight="1" spans="1:2">
      <c r="A2460" s="3" t="s">
        <v>13388</v>
      </c>
      <c r="B2460" s="4">
        <v>51527787</v>
      </c>
    </row>
    <row r="2461" customHeight="1" spans="1:2">
      <c r="A2461" s="3" t="s">
        <v>15288</v>
      </c>
      <c r="B2461" s="4">
        <v>866778</v>
      </c>
    </row>
    <row r="2462" customHeight="1" spans="1:2">
      <c r="A2462" s="3" t="s">
        <v>13448</v>
      </c>
      <c r="B2462" s="4">
        <v>15549702</v>
      </c>
    </row>
    <row r="2463" customHeight="1" spans="1:2">
      <c r="A2463" s="3" t="s">
        <v>14516</v>
      </c>
      <c r="B2463" s="4">
        <v>52929168</v>
      </c>
    </row>
    <row r="2464" customHeight="1" spans="1:2">
      <c r="A2464" s="3" t="s">
        <v>24159</v>
      </c>
      <c r="B2464" s="4">
        <v>85222</v>
      </c>
    </row>
    <row r="2465" customHeight="1" spans="1:2">
      <c r="A2465" s="3" t="s">
        <v>16484</v>
      </c>
      <c r="B2465" s="4">
        <v>34099640</v>
      </c>
    </row>
    <row r="2466" customHeight="1" spans="1:2">
      <c r="A2466" s="3" t="s">
        <v>23001</v>
      </c>
      <c r="B2466" s="4">
        <v>246574</v>
      </c>
    </row>
    <row r="2467" customHeight="1" spans="1:2">
      <c r="A2467" s="3" t="s">
        <v>12153</v>
      </c>
      <c r="B2467" s="4">
        <v>72000000</v>
      </c>
    </row>
    <row r="2468" customHeight="1" spans="1:2">
      <c r="A2468" s="3" t="s">
        <v>4244</v>
      </c>
      <c r="B2468" s="4">
        <v>36830057</v>
      </c>
    </row>
    <row r="2469" customHeight="1" spans="1:2">
      <c r="A2469" s="3" t="s">
        <v>10535</v>
      </c>
      <c r="B2469" s="4">
        <v>22294341</v>
      </c>
    </row>
    <row r="2470" customHeight="1" spans="1:2">
      <c r="A2470" s="3" t="s">
        <v>12346</v>
      </c>
      <c r="B2470" s="4">
        <v>59847242</v>
      </c>
    </row>
    <row r="2471" customHeight="1" spans="1:2">
      <c r="A2471" s="3" t="s">
        <v>21955</v>
      </c>
      <c r="B2471" s="4"/>
    </row>
    <row r="2472" customHeight="1" spans="1:2">
      <c r="A2472" s="3" t="s">
        <v>12271</v>
      </c>
      <c r="B2472" s="4">
        <v>8662318</v>
      </c>
    </row>
    <row r="2473" customHeight="1" spans="1:2">
      <c r="A2473" s="3" t="s">
        <v>19878</v>
      </c>
      <c r="B2473" s="4">
        <v>395592</v>
      </c>
    </row>
    <row r="2474" customHeight="1" spans="1:2">
      <c r="A2474" s="3" t="s">
        <v>16279</v>
      </c>
      <c r="B2474" s="4">
        <v>50000</v>
      </c>
    </row>
    <row r="2475" customHeight="1" spans="1:2">
      <c r="A2475" s="3" t="s">
        <v>21006</v>
      </c>
      <c r="B2475" s="4">
        <v>173066</v>
      </c>
    </row>
    <row r="2476" customHeight="1" spans="1:2">
      <c r="A2476" s="3" t="s">
        <v>15900</v>
      </c>
      <c r="B2476" s="4">
        <v>4018695</v>
      </c>
    </row>
    <row r="2477" customHeight="1" spans="1:2">
      <c r="A2477" s="3" t="s">
        <v>19833</v>
      </c>
      <c r="B2477" s="4">
        <v>6401336</v>
      </c>
    </row>
    <row r="2478" customHeight="1" spans="1:2">
      <c r="A2478" s="3" t="s">
        <v>9060</v>
      </c>
      <c r="B2478" s="4">
        <v>49185998</v>
      </c>
    </row>
    <row r="2479" customHeight="1" spans="1:2">
      <c r="A2479" s="3" t="s">
        <v>9820</v>
      </c>
      <c r="B2479" s="4">
        <v>29274980</v>
      </c>
    </row>
    <row r="2480" customHeight="1" spans="1:2">
      <c r="A2480" s="3" t="s">
        <v>12509</v>
      </c>
      <c r="B2480" s="4">
        <v>13854000</v>
      </c>
    </row>
    <row r="2481" customHeight="1" spans="1:2">
      <c r="A2481" s="3" t="s">
        <v>20797</v>
      </c>
      <c r="B2481" s="4">
        <v>992238</v>
      </c>
    </row>
    <row r="2482" customHeight="1" spans="1:2">
      <c r="A2482" s="3" t="s">
        <v>8485</v>
      </c>
      <c r="B2482" s="4">
        <v>22526144</v>
      </c>
    </row>
    <row r="2483" customHeight="1" spans="1:2">
      <c r="A2483" s="3" t="s">
        <v>15042</v>
      </c>
      <c r="B2483" s="4">
        <v>14597405</v>
      </c>
    </row>
    <row r="2484" customHeight="1" spans="1:2">
      <c r="A2484" s="3" t="s">
        <v>3574</v>
      </c>
      <c r="B2484" s="4">
        <v>29655590</v>
      </c>
    </row>
    <row r="2485" customHeight="1" spans="1:2">
      <c r="A2485" s="3" t="s">
        <v>8995</v>
      </c>
      <c r="B2485" s="4">
        <v>8888143</v>
      </c>
    </row>
    <row r="2486" customHeight="1" spans="1:2">
      <c r="A2486" s="3" t="s">
        <v>17070</v>
      </c>
      <c r="B2486" s="4">
        <v>12793213</v>
      </c>
    </row>
    <row r="2487" customHeight="1" spans="1:2">
      <c r="A2487" s="3" t="s">
        <v>8153</v>
      </c>
      <c r="B2487" s="4">
        <v>90135191</v>
      </c>
    </row>
    <row r="2488" customHeight="1" spans="1:2">
      <c r="A2488" s="3" t="s">
        <v>7909</v>
      </c>
      <c r="B2488" s="4">
        <v>80197993</v>
      </c>
    </row>
    <row r="2489" customHeight="1" spans="1:2">
      <c r="A2489" s="3" t="s">
        <v>8286</v>
      </c>
      <c r="B2489" s="4">
        <v>51109400</v>
      </c>
    </row>
    <row r="2490" customHeight="1" spans="1:2">
      <c r="A2490" s="3" t="s">
        <v>15914</v>
      </c>
      <c r="B2490" s="4">
        <v>1207007</v>
      </c>
    </row>
    <row r="2491" customHeight="1" spans="1:2">
      <c r="A2491" s="3" t="s">
        <v>10963</v>
      </c>
      <c r="B2491" s="4">
        <v>25584685</v>
      </c>
    </row>
    <row r="2492" customHeight="1" spans="1:2">
      <c r="A2492" s="3" t="s">
        <v>7529</v>
      </c>
      <c r="B2492" s="4">
        <v>28995450</v>
      </c>
    </row>
    <row r="2493" customHeight="1" spans="1:2">
      <c r="A2493" s="3" t="s">
        <v>9542</v>
      </c>
      <c r="B2493" s="4">
        <v>47124400</v>
      </c>
    </row>
    <row r="2494" customHeight="1" spans="1:2">
      <c r="A2494" s="3" t="s">
        <v>22829</v>
      </c>
      <c r="B2494" s="4">
        <v>44540956</v>
      </c>
    </row>
    <row r="2495" customHeight="1" spans="1:2">
      <c r="A2495" s="3" t="s">
        <v>16356</v>
      </c>
      <c r="B2495" s="4">
        <v>10460089</v>
      </c>
    </row>
    <row r="2496" customHeight="1" spans="1:2">
      <c r="A2496" s="3" t="s">
        <v>12724</v>
      </c>
      <c r="B2496" s="4">
        <v>61400000</v>
      </c>
    </row>
    <row r="2497" customHeight="1" spans="1:2">
      <c r="A2497" s="3" t="s">
        <v>1792</v>
      </c>
      <c r="B2497" s="4">
        <v>173005002</v>
      </c>
    </row>
    <row r="2498" customHeight="1" spans="1:2">
      <c r="A2498" s="3" t="s">
        <v>22332</v>
      </c>
      <c r="B2498" s="4">
        <v>10508</v>
      </c>
    </row>
    <row r="2499" customHeight="1" spans="1:2">
      <c r="A2499" s="3" t="s">
        <v>18100</v>
      </c>
      <c r="B2499" s="4"/>
    </row>
    <row r="2500" customHeight="1" spans="1:2">
      <c r="A2500" s="3" t="s">
        <v>21213</v>
      </c>
      <c r="B2500" s="4">
        <v>100358</v>
      </c>
    </row>
    <row r="2501" customHeight="1" spans="1:2">
      <c r="A2501" s="3" t="s">
        <v>14194</v>
      </c>
      <c r="B2501" s="4">
        <v>17613460</v>
      </c>
    </row>
    <row r="2502" customHeight="1" spans="1:2">
      <c r="A2502" s="3" t="s">
        <v>3629</v>
      </c>
      <c r="B2502" s="4">
        <v>43568507</v>
      </c>
    </row>
    <row r="2503" customHeight="1" spans="1:2">
      <c r="A2503" s="3" t="s">
        <v>7361</v>
      </c>
      <c r="B2503" s="4">
        <v>55291815</v>
      </c>
    </row>
    <row r="2504" customHeight="1" spans="1:2">
      <c r="A2504" s="3" t="s">
        <v>11717</v>
      </c>
      <c r="B2504" s="4">
        <v>150056505</v>
      </c>
    </row>
    <row r="2505" customHeight="1" spans="1:2">
      <c r="A2505" s="3" t="s">
        <v>11016</v>
      </c>
      <c r="B2505" s="4">
        <v>28876924</v>
      </c>
    </row>
    <row r="2506" customHeight="1" spans="1:2">
      <c r="A2506" s="3" t="s">
        <v>18788</v>
      </c>
      <c r="B2506" s="4"/>
    </row>
    <row r="2507" customHeight="1" spans="1:2">
      <c r="A2507" s="3" t="s">
        <v>22586</v>
      </c>
      <c r="B2507" s="4">
        <v>295468</v>
      </c>
    </row>
    <row r="2508" customHeight="1" spans="1:2">
      <c r="A2508" s="3" t="s">
        <v>19567</v>
      </c>
      <c r="B2508" s="4"/>
    </row>
    <row r="2509" customHeight="1" spans="1:2">
      <c r="A2509" s="3" t="s">
        <v>10591</v>
      </c>
      <c r="B2509" s="4">
        <v>24848292</v>
      </c>
    </row>
    <row r="2510" customHeight="1" spans="1:2">
      <c r="A2510" s="3" t="s">
        <v>13175</v>
      </c>
      <c r="B2510" s="4">
        <v>2412045</v>
      </c>
    </row>
    <row r="2511" customHeight="1" spans="1:2">
      <c r="A2511" s="3" t="s">
        <v>7179</v>
      </c>
      <c r="B2511" s="4">
        <v>55500000</v>
      </c>
    </row>
    <row r="2512" customHeight="1" spans="1:2">
      <c r="A2512" s="3" t="s">
        <v>16076</v>
      </c>
      <c r="B2512" s="4">
        <v>16699684</v>
      </c>
    </row>
    <row r="2513" customHeight="1" spans="1:2">
      <c r="A2513" s="3" t="s">
        <v>16060</v>
      </c>
      <c r="B2513" s="4">
        <v>18090181</v>
      </c>
    </row>
    <row r="2514" customHeight="1" spans="1:2">
      <c r="A2514" s="3" t="s">
        <v>9312</v>
      </c>
      <c r="B2514" s="4">
        <v>54540525</v>
      </c>
    </row>
    <row r="2515" customHeight="1" spans="1:2">
      <c r="A2515" s="3" t="s">
        <v>6773</v>
      </c>
      <c r="B2515" s="4">
        <v>14018364</v>
      </c>
    </row>
    <row r="2516" customHeight="1" spans="1:2">
      <c r="A2516" s="3" t="s">
        <v>13043</v>
      </c>
      <c r="B2516" s="4">
        <v>10763469</v>
      </c>
    </row>
    <row r="2517" customHeight="1" spans="1:2">
      <c r="A2517" s="3" t="s">
        <v>13474</v>
      </c>
      <c r="B2517" s="4"/>
    </row>
    <row r="2518" customHeight="1" spans="1:2">
      <c r="A2518" s="3" t="s">
        <v>24134</v>
      </c>
      <c r="B2518" s="4">
        <v>4584</v>
      </c>
    </row>
    <row r="2519" customHeight="1" spans="1:2">
      <c r="A2519" s="3" t="s">
        <v>19291</v>
      </c>
      <c r="B2519" s="4">
        <v>10017041</v>
      </c>
    </row>
    <row r="2520" customHeight="1" spans="1:2">
      <c r="A2520" s="3" t="s">
        <v>15508</v>
      </c>
      <c r="B2520" s="4">
        <v>57176582</v>
      </c>
    </row>
    <row r="2521" customHeight="1" spans="1:2">
      <c r="A2521" s="3" t="s">
        <v>21637</v>
      </c>
      <c r="B2521" s="4">
        <v>3386698</v>
      </c>
    </row>
    <row r="2522" customHeight="1" spans="1:2">
      <c r="A2522" s="3" t="s">
        <v>21260</v>
      </c>
      <c r="B2522" s="4"/>
    </row>
    <row r="2523" customHeight="1" spans="1:2">
      <c r="A2523" s="3" t="s">
        <v>15252</v>
      </c>
      <c r="B2523" s="4">
        <v>1309849</v>
      </c>
    </row>
    <row r="2524" customHeight="1" spans="1:2">
      <c r="A2524" s="3" t="s">
        <v>14897</v>
      </c>
      <c r="B2524" s="4">
        <v>31487293</v>
      </c>
    </row>
    <row r="2525" customHeight="1" spans="1:2">
      <c r="A2525" s="3" t="s">
        <v>1509</v>
      </c>
      <c r="B2525" s="4">
        <v>250863268</v>
      </c>
    </row>
    <row r="2526" customHeight="1" spans="1:2">
      <c r="A2526" s="3" t="s">
        <v>814</v>
      </c>
      <c r="B2526" s="4">
        <v>177243721</v>
      </c>
    </row>
    <row r="2527" customHeight="1" spans="1:2">
      <c r="A2527" s="3" t="s">
        <v>1244</v>
      </c>
      <c r="B2527" s="4">
        <v>113733726</v>
      </c>
    </row>
    <row r="2528" customHeight="1" spans="1:2">
      <c r="A2528" s="3" t="s">
        <v>18433</v>
      </c>
      <c r="B2528" s="4"/>
    </row>
    <row r="2529" customHeight="1" spans="1:2">
      <c r="A2529" s="3" t="s">
        <v>18413</v>
      </c>
      <c r="B2529" s="4">
        <v>1487477</v>
      </c>
    </row>
    <row r="2530" customHeight="1" spans="1:2">
      <c r="A2530" s="3" t="s">
        <v>15962</v>
      </c>
      <c r="B2530" s="4">
        <v>32279955</v>
      </c>
    </row>
    <row r="2531" customHeight="1" spans="1:2">
      <c r="A2531" s="3" t="s">
        <v>17695</v>
      </c>
      <c r="B2531" s="4"/>
    </row>
    <row r="2532" customHeight="1" spans="1:2">
      <c r="A2532" s="3" t="s">
        <v>16621</v>
      </c>
      <c r="B2532" s="4"/>
    </row>
    <row r="2533" customHeight="1" spans="1:2">
      <c r="A2533" s="3" t="s">
        <v>7121</v>
      </c>
      <c r="B2533" s="4">
        <v>48006503</v>
      </c>
    </row>
    <row r="2534" customHeight="1" spans="1:2">
      <c r="A2534" s="3" t="s">
        <v>20495</v>
      </c>
      <c r="B2534" s="4"/>
    </row>
    <row r="2535" customHeight="1" spans="1:2">
      <c r="A2535" s="3" t="s">
        <v>20941</v>
      </c>
      <c r="B2535" s="4">
        <v>1221261</v>
      </c>
    </row>
    <row r="2536" customHeight="1" spans="1:2">
      <c r="A2536" s="3" t="s">
        <v>2854</v>
      </c>
      <c r="B2536" s="4">
        <v>19673424</v>
      </c>
    </row>
    <row r="2537" customHeight="1" spans="1:2">
      <c r="A2537" s="3" t="s">
        <v>5302</v>
      </c>
      <c r="B2537" s="4">
        <v>38105077</v>
      </c>
    </row>
    <row r="2538" customHeight="1" spans="1:2">
      <c r="A2538" s="3" t="s">
        <v>5942</v>
      </c>
      <c r="B2538" s="4">
        <v>13560960</v>
      </c>
    </row>
    <row r="2539" customHeight="1" spans="1:2">
      <c r="A2539" s="3" t="s">
        <v>9455</v>
      </c>
      <c r="B2539" s="4">
        <v>74273505</v>
      </c>
    </row>
    <row r="2540" customHeight="1" spans="1:2">
      <c r="A2540" s="3" t="s">
        <v>20313</v>
      </c>
      <c r="B2540" s="4">
        <v>1430185</v>
      </c>
    </row>
    <row r="2541" customHeight="1" spans="1:2">
      <c r="A2541" s="3" t="s">
        <v>17768</v>
      </c>
      <c r="B2541" s="4">
        <v>27285953</v>
      </c>
    </row>
    <row r="2542" customHeight="1" spans="1:2">
      <c r="A2542" s="3" t="s">
        <v>13740</v>
      </c>
      <c r="B2542" s="4">
        <v>52543632</v>
      </c>
    </row>
    <row r="2543" customHeight="1" spans="1:2">
      <c r="A2543" s="3" t="s">
        <v>20530</v>
      </c>
      <c r="B2543" s="4"/>
    </row>
    <row r="2544" customHeight="1" spans="1:2">
      <c r="A2544" s="3" t="s">
        <v>8934</v>
      </c>
      <c r="B2544" s="4">
        <v>43097652</v>
      </c>
    </row>
    <row r="2545" customHeight="1" spans="1:2">
      <c r="A2545" s="3" t="s">
        <v>9481</v>
      </c>
      <c r="B2545" s="4">
        <v>70625986</v>
      </c>
    </row>
    <row r="2546" customHeight="1" spans="1:2">
      <c r="A2546" s="3" t="s">
        <v>18770</v>
      </c>
      <c r="B2546" s="4"/>
    </row>
    <row r="2547" customHeight="1" spans="1:2">
      <c r="A2547" s="3" t="s">
        <v>1208</v>
      </c>
      <c r="B2547" s="4">
        <v>101160529</v>
      </c>
    </row>
    <row r="2548" customHeight="1" spans="1:2">
      <c r="A2548" s="3" t="s">
        <v>6888</v>
      </c>
      <c r="B2548" s="4">
        <v>77231</v>
      </c>
    </row>
    <row r="2549" customHeight="1" spans="1:2">
      <c r="A2549" s="3" t="s">
        <v>5131</v>
      </c>
      <c r="B2549" s="4">
        <v>91439400</v>
      </c>
    </row>
    <row r="2550" customHeight="1" spans="1:2">
      <c r="A2550" s="3" t="s">
        <v>8548</v>
      </c>
      <c r="B2550" s="4">
        <v>18324242</v>
      </c>
    </row>
    <row r="2551" customHeight="1" spans="1:2">
      <c r="A2551" s="3" t="s">
        <v>20604</v>
      </c>
      <c r="B2551" s="4">
        <v>1420578</v>
      </c>
    </row>
    <row r="2552" customHeight="1" spans="1:2">
      <c r="A2552" s="3" t="s">
        <v>12798</v>
      </c>
      <c r="B2552" s="4">
        <v>37882551</v>
      </c>
    </row>
    <row r="2553" customHeight="1" spans="1:2">
      <c r="A2553" s="3" t="s">
        <v>22208</v>
      </c>
      <c r="B2553" s="4">
        <v>35688</v>
      </c>
    </row>
    <row r="2554" customHeight="1" spans="1:2">
      <c r="A2554" s="3" t="s">
        <v>17786</v>
      </c>
      <c r="B2554" s="4">
        <v>10572742</v>
      </c>
    </row>
    <row r="2555" customHeight="1" spans="1:2">
      <c r="A2555" s="3" t="s">
        <v>9075</v>
      </c>
      <c r="B2555" s="4">
        <v>17508670</v>
      </c>
    </row>
    <row r="2556" customHeight="1" spans="1:2">
      <c r="A2556" s="3" t="s">
        <v>23076</v>
      </c>
      <c r="B2556" s="4">
        <v>12438</v>
      </c>
    </row>
    <row r="2557" customHeight="1" spans="1:2">
      <c r="A2557" s="3" t="s">
        <v>9549</v>
      </c>
      <c r="B2557" s="4">
        <v>44455658</v>
      </c>
    </row>
    <row r="2558" customHeight="1" spans="1:2">
      <c r="A2558" s="3" t="s">
        <v>18722</v>
      </c>
      <c r="B2558" s="4"/>
    </row>
    <row r="2559" customHeight="1" spans="1:2">
      <c r="A2559" s="3" t="s">
        <v>6091</v>
      </c>
      <c r="B2559" s="4">
        <v>116006080</v>
      </c>
    </row>
    <row r="2560" customHeight="1" spans="1:2">
      <c r="A2560" s="3" t="s">
        <v>23204</v>
      </c>
      <c r="B2560" s="4">
        <v>191309</v>
      </c>
    </row>
    <row r="2561" customHeight="1" spans="1:2">
      <c r="A2561" s="3" t="s">
        <v>17186</v>
      </c>
      <c r="B2561" s="4">
        <v>2025238</v>
      </c>
    </row>
    <row r="2562" customHeight="1" spans="1:2">
      <c r="A2562" s="3" t="s">
        <v>22693</v>
      </c>
      <c r="B2562" s="4"/>
    </row>
    <row r="2563" customHeight="1" spans="1:2">
      <c r="A2563" s="3" t="s">
        <v>2233</v>
      </c>
      <c r="B2563" s="4">
        <v>64685359</v>
      </c>
    </row>
    <row r="2564" customHeight="1" spans="1:2">
      <c r="A2564" s="3" t="s">
        <v>3042</v>
      </c>
      <c r="B2564" s="4">
        <v>117698894</v>
      </c>
    </row>
    <row r="2565" customHeight="1" spans="1:2">
      <c r="A2565" s="3" t="s">
        <v>20662</v>
      </c>
      <c r="B2565" s="4">
        <v>1445366</v>
      </c>
    </row>
    <row r="2566" customHeight="1" spans="1:2">
      <c r="A2566" s="3" t="s">
        <v>16903</v>
      </c>
      <c r="B2566" s="4">
        <v>6173485</v>
      </c>
    </row>
    <row r="2567" customHeight="1" spans="1:2">
      <c r="A2567" s="3" t="s">
        <v>12921</v>
      </c>
      <c r="B2567" s="4">
        <v>22189039</v>
      </c>
    </row>
    <row r="2568" customHeight="1" spans="1:2">
      <c r="A2568" s="3" t="s">
        <v>20833</v>
      </c>
      <c r="B2568" s="4">
        <v>2592808</v>
      </c>
    </row>
    <row r="2569" customHeight="1" spans="1:2">
      <c r="A2569" s="3" t="s">
        <v>15491</v>
      </c>
      <c r="B2569" s="4"/>
    </row>
    <row r="2570" customHeight="1" spans="1:2">
      <c r="A2570" s="3" t="s">
        <v>10125</v>
      </c>
      <c r="B2570" s="4">
        <v>25167270</v>
      </c>
    </row>
    <row r="2571" customHeight="1" spans="1:2">
      <c r="A2571" s="3" t="s">
        <v>2473</v>
      </c>
      <c r="B2571" s="4">
        <v>123307945</v>
      </c>
    </row>
    <row r="2572" customHeight="1" spans="1:2">
      <c r="A2572" s="3" t="s">
        <v>9277</v>
      </c>
      <c r="B2572" s="4">
        <v>45506619</v>
      </c>
    </row>
    <row r="2573" customHeight="1" spans="1:2">
      <c r="A2573" s="3" t="s">
        <v>14652</v>
      </c>
      <c r="B2573" s="4">
        <v>32034806</v>
      </c>
    </row>
    <row r="2574" customHeight="1" spans="1:2">
      <c r="A2574" s="3" t="s">
        <v>7168</v>
      </c>
      <c r="B2574" s="4"/>
    </row>
    <row r="2575" customHeight="1" spans="1:2">
      <c r="A2575" s="3" t="s">
        <v>1430</v>
      </c>
      <c r="B2575" s="4">
        <v>89021735</v>
      </c>
    </row>
    <row r="2576" customHeight="1" spans="1:2">
      <c r="A2576" s="3" t="s">
        <v>11849</v>
      </c>
      <c r="B2576" s="4">
        <v>23993605</v>
      </c>
    </row>
    <row r="2577" customHeight="1" spans="1:2">
      <c r="A2577" s="3" t="s">
        <v>21653</v>
      </c>
      <c r="B2577" s="4">
        <v>3122616</v>
      </c>
    </row>
    <row r="2578" customHeight="1" spans="1:2">
      <c r="A2578" s="3" t="s">
        <v>2329</v>
      </c>
      <c r="B2578" s="4">
        <v>183405771</v>
      </c>
    </row>
    <row r="2579" customHeight="1" spans="1:2">
      <c r="A2579" s="3" t="s">
        <v>2384</v>
      </c>
      <c r="B2579" s="4">
        <v>117144465</v>
      </c>
    </row>
    <row r="2580" customHeight="1" spans="1:2">
      <c r="A2580" s="3" t="s">
        <v>1531</v>
      </c>
      <c r="B2580" s="4">
        <v>125531634</v>
      </c>
    </row>
    <row r="2581" customHeight="1" spans="1:2">
      <c r="A2581" s="3" t="s">
        <v>2893</v>
      </c>
      <c r="B2581" s="4">
        <v>19406406</v>
      </c>
    </row>
    <row r="2582" customHeight="1" spans="1:2">
      <c r="A2582" s="3" t="s">
        <v>21634</v>
      </c>
      <c r="B2582" s="4">
        <v>5355847</v>
      </c>
    </row>
    <row r="2583" customHeight="1" spans="1:2">
      <c r="A2583" s="3" t="s">
        <v>9051</v>
      </c>
      <c r="B2583" s="4">
        <v>67900000</v>
      </c>
    </row>
    <row r="2584" customHeight="1" spans="1:2">
      <c r="A2584" s="3" t="s">
        <v>17616</v>
      </c>
      <c r="B2584" s="4">
        <v>27689474</v>
      </c>
    </row>
    <row r="2585" customHeight="1" spans="1:2">
      <c r="A2585" s="3" t="s">
        <v>17871</v>
      </c>
      <c r="B2585" s="4">
        <v>3950029</v>
      </c>
    </row>
    <row r="2586" customHeight="1" spans="1:2">
      <c r="A2586" s="3" t="s">
        <v>15464</v>
      </c>
      <c r="B2586" s="4">
        <v>11835</v>
      </c>
    </row>
    <row r="2587" customHeight="1" spans="1:2">
      <c r="A2587" s="3" t="s">
        <v>15066</v>
      </c>
      <c r="B2587" s="4">
        <v>10824921</v>
      </c>
    </row>
    <row r="2588" customHeight="1" spans="1:2">
      <c r="A2588" s="3" t="s">
        <v>7377</v>
      </c>
      <c r="B2588" s="4">
        <v>49474048</v>
      </c>
    </row>
    <row r="2589" customHeight="1" spans="1:2">
      <c r="A2589" s="3" t="s">
        <v>23049</v>
      </c>
      <c r="B2589" s="4">
        <v>255352</v>
      </c>
    </row>
    <row r="2590" customHeight="1" spans="1:2">
      <c r="A2590" s="3" t="s">
        <v>10105</v>
      </c>
      <c r="B2590" s="4">
        <v>74608545</v>
      </c>
    </row>
    <row r="2591" customHeight="1" spans="1:2">
      <c r="A2591" s="3" t="s">
        <v>19435</v>
      </c>
      <c r="B2591" s="4">
        <v>2181290</v>
      </c>
    </row>
    <row r="2592" customHeight="1" spans="1:2">
      <c r="A2592" s="3" t="s">
        <v>3822</v>
      </c>
      <c r="B2592" s="4">
        <v>1987287</v>
      </c>
    </row>
    <row r="2593" customHeight="1" spans="1:2">
      <c r="A2593" s="3" t="s">
        <v>14849</v>
      </c>
      <c r="B2593" s="4">
        <v>16800000</v>
      </c>
    </row>
    <row r="2594" customHeight="1" spans="1:2">
      <c r="A2594" s="3" t="s">
        <v>3374</v>
      </c>
      <c r="B2594" s="4">
        <v>98895417</v>
      </c>
    </row>
    <row r="2595" customHeight="1" spans="1:2">
      <c r="A2595" s="3" t="s">
        <v>5283</v>
      </c>
      <c r="B2595" s="4">
        <v>38590500</v>
      </c>
    </row>
    <row r="2596" customHeight="1" spans="1:2">
      <c r="A2596" s="3" t="s">
        <v>16049</v>
      </c>
      <c r="B2596" s="4">
        <v>22800000</v>
      </c>
    </row>
    <row r="2597" customHeight="1" spans="1:2">
      <c r="A2597" s="3" t="s">
        <v>24089</v>
      </c>
      <c r="B2597" s="4"/>
    </row>
    <row r="2598" customHeight="1" spans="1:2">
      <c r="A2598" s="3" t="s">
        <v>15163</v>
      </c>
      <c r="B2598" s="4">
        <v>4356743</v>
      </c>
    </row>
    <row r="2599" customHeight="1" spans="1:2">
      <c r="A2599" s="3" t="s">
        <v>23241</v>
      </c>
      <c r="B2599" s="4"/>
    </row>
    <row r="2600" customHeight="1" spans="1:2">
      <c r="A2600" s="3" t="s">
        <v>10076</v>
      </c>
      <c r="B2600" s="4">
        <v>717753</v>
      </c>
    </row>
    <row r="2601" customHeight="1" spans="1:2">
      <c r="A2601" s="3" t="s">
        <v>22042</v>
      </c>
      <c r="B2601" s="4">
        <v>9600000</v>
      </c>
    </row>
    <row r="2602" customHeight="1" spans="1:2">
      <c r="A2602" s="3" t="s">
        <v>21770</v>
      </c>
      <c r="B2602" s="4">
        <v>144431</v>
      </c>
    </row>
    <row r="2603" customHeight="1" spans="1:2">
      <c r="A2603" s="3" t="s">
        <v>8664</v>
      </c>
      <c r="B2603" s="4">
        <v>5300000</v>
      </c>
    </row>
    <row r="2604" customHeight="1" spans="1:2">
      <c r="A2604" s="3" t="s">
        <v>8855</v>
      </c>
      <c r="B2604" s="4">
        <v>55845943</v>
      </c>
    </row>
    <row r="2605" customHeight="1" spans="1:2">
      <c r="A2605" s="3" t="s">
        <v>21066</v>
      </c>
      <c r="B2605" s="4"/>
    </row>
    <row r="2606" customHeight="1" spans="1:2">
      <c r="A2606" s="3" t="s">
        <v>17844</v>
      </c>
      <c r="B2606" s="4"/>
    </row>
    <row r="2607" customHeight="1" spans="1:2">
      <c r="A2607" s="3" t="s">
        <v>23572</v>
      </c>
      <c r="B2607" s="4">
        <v>9437933</v>
      </c>
    </row>
    <row r="2608" customHeight="1" spans="1:2">
      <c r="A2608" s="3" t="s">
        <v>14363</v>
      </c>
      <c r="B2608" s="4">
        <v>548934</v>
      </c>
    </row>
    <row r="2609" customHeight="1" spans="1:2">
      <c r="A2609" s="3" t="s">
        <v>13019</v>
      </c>
      <c r="B2609" s="4">
        <v>13766014</v>
      </c>
    </row>
    <row r="2610" customHeight="1" spans="1:2">
      <c r="A2610" s="3" t="s">
        <v>15031</v>
      </c>
      <c r="B2610" s="4">
        <v>28873374</v>
      </c>
    </row>
    <row r="2611" customHeight="1" spans="1:2">
      <c r="A2611" s="3" t="s">
        <v>18340</v>
      </c>
      <c r="B2611" s="4">
        <v>112000000</v>
      </c>
    </row>
    <row r="2612" customHeight="1" spans="1:2">
      <c r="A2612" s="3" t="s">
        <v>6174</v>
      </c>
      <c r="B2612" s="4">
        <v>26404753</v>
      </c>
    </row>
    <row r="2613" customHeight="1" spans="1:2">
      <c r="A2613" s="3" t="s">
        <v>14106</v>
      </c>
      <c r="B2613" s="4">
        <v>31597131</v>
      </c>
    </row>
    <row r="2614" customHeight="1" spans="1:2">
      <c r="A2614" s="3" t="s">
        <v>12064</v>
      </c>
      <c r="B2614" s="4">
        <v>229311</v>
      </c>
    </row>
    <row r="2615" customHeight="1" spans="1:2">
      <c r="A2615" s="3" t="s">
        <v>10935</v>
      </c>
      <c r="B2615" s="4">
        <v>26876529</v>
      </c>
    </row>
    <row r="2616" customHeight="1" spans="1:2">
      <c r="A2616" s="3" t="s">
        <v>11188</v>
      </c>
      <c r="B2616" s="4">
        <v>13391174</v>
      </c>
    </row>
    <row r="2617" customHeight="1" spans="1:2">
      <c r="A2617" s="3" t="s">
        <v>20631</v>
      </c>
      <c r="B2617" s="4">
        <v>18435</v>
      </c>
    </row>
    <row r="2618" customHeight="1" spans="1:2">
      <c r="A2618" s="3" t="s">
        <v>8478</v>
      </c>
      <c r="B2618" s="4">
        <v>23209440</v>
      </c>
    </row>
    <row r="2619" customHeight="1" spans="1:2">
      <c r="A2619" s="3" t="s">
        <v>13244</v>
      </c>
      <c r="B2619" s="4">
        <v>102055</v>
      </c>
    </row>
    <row r="2620" customHeight="1" spans="1:2">
      <c r="A2620" s="3" t="s">
        <v>18161</v>
      </c>
      <c r="B2620" s="4">
        <v>778565</v>
      </c>
    </row>
    <row r="2621" customHeight="1" spans="1:2">
      <c r="A2621" s="3" t="s">
        <v>17170</v>
      </c>
      <c r="B2621" s="4">
        <v>3273588</v>
      </c>
    </row>
    <row r="2622" customHeight="1" spans="1:2">
      <c r="A2622" s="3" t="s">
        <v>15769</v>
      </c>
      <c r="B2622" s="4">
        <v>13751</v>
      </c>
    </row>
    <row r="2623" customHeight="1" spans="1:2">
      <c r="A2623" s="3" t="s">
        <v>9247</v>
      </c>
      <c r="B2623" s="4">
        <v>58328680</v>
      </c>
    </row>
    <row r="2624" customHeight="1" spans="1:2">
      <c r="A2624" s="3" t="s">
        <v>19552</v>
      </c>
      <c r="B2624" s="4"/>
    </row>
    <row r="2625" customHeight="1" spans="1:2">
      <c r="A2625" s="3" t="s">
        <v>2390</v>
      </c>
      <c r="B2625" s="4">
        <v>84303558</v>
      </c>
    </row>
    <row r="2626" customHeight="1" spans="1:2">
      <c r="A2626" s="3" t="s">
        <v>23751</v>
      </c>
      <c r="B2626" s="4"/>
    </row>
    <row r="2627" customHeight="1" spans="1:2">
      <c r="A2627" s="3" t="s">
        <v>22502</v>
      </c>
      <c r="B2627" s="4">
        <v>30500882</v>
      </c>
    </row>
    <row r="2628" customHeight="1" spans="1:2">
      <c r="A2628" s="3" t="s">
        <v>13897</v>
      </c>
      <c r="B2628" s="4">
        <v>31662</v>
      </c>
    </row>
    <row r="2629" customHeight="1" spans="1:2">
      <c r="A2629" s="3" t="s">
        <v>23473</v>
      </c>
      <c r="B2629" s="4"/>
    </row>
    <row r="2630" customHeight="1" spans="1:2">
      <c r="A2630" s="3" t="s">
        <v>17002</v>
      </c>
      <c r="B2630" s="4">
        <v>54800000</v>
      </c>
    </row>
    <row r="2631" customHeight="1" spans="1:2">
      <c r="A2631" s="3" t="s">
        <v>21711</v>
      </c>
      <c r="B2631" s="4">
        <v>582024</v>
      </c>
    </row>
    <row r="2632" customHeight="1" spans="1:2">
      <c r="A2632" s="3" t="s">
        <v>9318</v>
      </c>
      <c r="B2632" s="4">
        <v>16252765</v>
      </c>
    </row>
    <row r="2633" customHeight="1" spans="1:2">
      <c r="A2633" s="3" t="s">
        <v>10795</v>
      </c>
      <c r="B2633" s="4">
        <v>41573740</v>
      </c>
    </row>
    <row r="2634" customHeight="1" spans="1:2">
      <c r="A2634" s="3" t="s">
        <v>22553</v>
      </c>
      <c r="B2634" s="4">
        <v>1127331</v>
      </c>
    </row>
    <row r="2635" customHeight="1" spans="1:2">
      <c r="A2635" s="3" t="s">
        <v>13972</v>
      </c>
      <c r="B2635" s="4">
        <v>1508689</v>
      </c>
    </row>
    <row r="2636" customHeight="1" spans="1:2">
      <c r="A2636" s="3" t="s">
        <v>3498</v>
      </c>
      <c r="B2636" s="4">
        <v>13596911</v>
      </c>
    </row>
    <row r="2637" customHeight="1" spans="1:2">
      <c r="A2637" s="3" t="s">
        <v>17550</v>
      </c>
      <c r="B2637" s="4">
        <v>50820940</v>
      </c>
    </row>
    <row r="2638" customHeight="1" spans="1:2">
      <c r="A2638" s="3" t="s">
        <v>9012</v>
      </c>
      <c r="B2638" s="4">
        <v>6998324</v>
      </c>
    </row>
    <row r="2639" customHeight="1" spans="1:2">
      <c r="A2639" s="3" t="s">
        <v>13457</v>
      </c>
      <c r="B2639" s="4">
        <v>20246959</v>
      </c>
    </row>
    <row r="2640" customHeight="1" spans="1:2">
      <c r="A2640" s="3" t="s">
        <v>17659</v>
      </c>
      <c r="B2640" s="4">
        <v>24809547</v>
      </c>
    </row>
    <row r="2641" customHeight="1" spans="1:2">
      <c r="A2641" s="3" t="s">
        <v>10417</v>
      </c>
      <c r="B2641" s="4">
        <v>3108216</v>
      </c>
    </row>
    <row r="2642" customHeight="1" spans="1:2">
      <c r="A2642" s="3" t="s">
        <v>14593</v>
      </c>
      <c r="B2642" s="4">
        <v>13903262</v>
      </c>
    </row>
    <row r="2643" customHeight="1" spans="1:2">
      <c r="A2643" s="3" t="s">
        <v>8047</v>
      </c>
      <c r="B2643" s="4">
        <v>87100000</v>
      </c>
    </row>
    <row r="2644" customHeight="1" spans="1:2">
      <c r="A2644" s="3" t="s">
        <v>11706</v>
      </c>
      <c r="B2644" s="4"/>
    </row>
    <row r="2645" customHeight="1" spans="1:2">
      <c r="A2645" s="3" t="s">
        <v>5596</v>
      </c>
      <c r="B2645" s="4">
        <v>37339525</v>
      </c>
    </row>
    <row r="2646" customHeight="1" spans="1:2">
      <c r="A2646" s="3" t="s">
        <v>17966</v>
      </c>
      <c r="B2646" s="4">
        <v>728</v>
      </c>
    </row>
    <row r="2647" customHeight="1" spans="1:2">
      <c r="A2647" s="3" t="s">
        <v>20845</v>
      </c>
      <c r="B2647" s="4"/>
    </row>
    <row r="2648" customHeight="1" spans="1:2">
      <c r="A2648" s="3" t="s">
        <v>10529</v>
      </c>
      <c r="B2648" s="4">
        <v>11326836</v>
      </c>
    </row>
    <row r="2649" customHeight="1" spans="1:2">
      <c r="A2649" s="3" t="s">
        <v>5277</v>
      </c>
      <c r="B2649" s="4">
        <v>40905277</v>
      </c>
    </row>
    <row r="2650" customHeight="1" spans="1:2">
      <c r="A2650" s="3" t="s">
        <v>5126</v>
      </c>
      <c r="B2650" s="4">
        <v>67823573</v>
      </c>
    </row>
    <row r="2651" customHeight="1" spans="1:2">
      <c r="A2651" s="3" t="s">
        <v>5501</v>
      </c>
      <c r="B2651" s="4"/>
    </row>
    <row r="2652" customHeight="1" spans="1:2">
      <c r="A2652" s="3" t="s">
        <v>16390</v>
      </c>
      <c r="B2652" s="4"/>
    </row>
    <row r="2653" customHeight="1" spans="1:2">
      <c r="A2653" s="3" t="s">
        <v>16597</v>
      </c>
      <c r="B2653" s="4">
        <v>7292175</v>
      </c>
    </row>
    <row r="2654" customHeight="1" spans="1:2">
      <c r="A2654" s="3" t="s">
        <v>15098</v>
      </c>
      <c r="B2654" s="4">
        <v>7563670</v>
      </c>
    </row>
    <row r="2655" customHeight="1" spans="1:2">
      <c r="A2655" s="3" t="s">
        <v>2553</v>
      </c>
      <c r="B2655" s="4">
        <v>155019340</v>
      </c>
    </row>
    <row r="2656" customHeight="1" spans="1:2">
      <c r="A2656" s="3" t="s">
        <v>23702</v>
      </c>
      <c r="B2656" s="4">
        <v>3000000</v>
      </c>
    </row>
    <row r="2657" customHeight="1" spans="1:2">
      <c r="A2657" s="3" t="s">
        <v>15279</v>
      </c>
      <c r="B2657" s="4">
        <v>1011054</v>
      </c>
    </row>
    <row r="2658" customHeight="1" spans="1:2">
      <c r="A2658" s="3" t="s">
        <v>293</v>
      </c>
      <c r="B2658" s="4">
        <v>469806152</v>
      </c>
    </row>
    <row r="2659" customHeight="1" spans="1:2">
      <c r="A2659" s="3" t="s">
        <v>8303</v>
      </c>
      <c r="B2659" s="4">
        <v>53680848</v>
      </c>
    </row>
    <row r="2660" customHeight="1" spans="1:2">
      <c r="A2660" s="3" t="s">
        <v>18391</v>
      </c>
      <c r="B2660" s="4">
        <v>199228</v>
      </c>
    </row>
    <row r="2661" customHeight="1" spans="1:2">
      <c r="A2661" s="3" t="s">
        <v>383</v>
      </c>
      <c r="B2661" s="4">
        <v>101785482</v>
      </c>
    </row>
    <row r="2662" customHeight="1" spans="1:2">
      <c r="A2662" s="3" t="s">
        <v>4726</v>
      </c>
      <c r="B2662" s="4">
        <v>76137505</v>
      </c>
    </row>
    <row r="2663" customHeight="1" spans="1:2">
      <c r="A2663" s="3" t="s">
        <v>9285</v>
      </c>
      <c r="B2663" s="4">
        <v>49874933</v>
      </c>
    </row>
    <row r="2664" customHeight="1" spans="1:2">
      <c r="A2664" s="3" t="s">
        <v>10891</v>
      </c>
      <c r="B2664" s="4"/>
    </row>
    <row r="2665" customHeight="1" spans="1:2">
      <c r="A2665" s="3" t="s">
        <v>16769</v>
      </c>
      <c r="B2665" s="4">
        <v>41400000</v>
      </c>
    </row>
    <row r="2666" customHeight="1" spans="1:2">
      <c r="A2666" s="3" t="s">
        <v>21730</v>
      </c>
      <c r="B2666" s="4">
        <v>750100</v>
      </c>
    </row>
    <row r="2667" customHeight="1" spans="1:2">
      <c r="A2667" s="3" t="s">
        <v>944</v>
      </c>
      <c r="B2667" s="4">
        <v>104894454</v>
      </c>
    </row>
    <row r="2668" customHeight="1" spans="1:2">
      <c r="A2668" s="3" t="s">
        <v>13320</v>
      </c>
      <c r="B2668" s="4"/>
    </row>
    <row r="2669" customHeight="1" spans="1:2">
      <c r="A2669" s="3" t="s">
        <v>22176</v>
      </c>
      <c r="B2669" s="4">
        <v>9950</v>
      </c>
    </row>
    <row r="2670" customHeight="1" spans="1:2">
      <c r="A2670" s="3" t="s">
        <v>6817</v>
      </c>
      <c r="B2670" s="4">
        <v>10326062</v>
      </c>
    </row>
    <row r="2671" customHeight="1" spans="1:2">
      <c r="A2671" s="3" t="s">
        <v>5540</v>
      </c>
      <c r="B2671" s="4">
        <v>95308367</v>
      </c>
    </row>
    <row r="2672" customHeight="1" spans="1:2">
      <c r="A2672" s="3" t="s">
        <v>12428</v>
      </c>
      <c r="B2672" s="4">
        <v>37623143</v>
      </c>
    </row>
    <row r="2673" customHeight="1" spans="1:2">
      <c r="A2673" s="3" t="s">
        <v>11125</v>
      </c>
      <c r="B2673" s="4">
        <v>15712072</v>
      </c>
    </row>
    <row r="2674" customHeight="1" spans="1:2">
      <c r="A2674" s="3" t="s">
        <v>14187</v>
      </c>
      <c r="B2674" s="4">
        <v>31990064</v>
      </c>
    </row>
    <row r="2675" customHeight="1" spans="1:2">
      <c r="A2675" s="3" t="s">
        <v>19182</v>
      </c>
      <c r="B2675" s="4">
        <v>84749884</v>
      </c>
    </row>
    <row r="2676" customHeight="1" spans="1:2">
      <c r="A2676" s="3" t="s">
        <v>17544</v>
      </c>
      <c r="B2676" s="4">
        <v>104007828</v>
      </c>
    </row>
    <row r="2677" customHeight="1" spans="1:2">
      <c r="A2677" s="3" t="s">
        <v>17567</v>
      </c>
      <c r="B2677" s="4">
        <v>53884821</v>
      </c>
    </row>
    <row r="2678" customHeight="1" spans="1:2">
      <c r="A2678" s="3" t="s">
        <v>22839</v>
      </c>
      <c r="B2678" s="4">
        <v>107917283</v>
      </c>
    </row>
    <row r="2679" customHeight="1" spans="1:2">
      <c r="A2679" s="3" t="s">
        <v>17596</v>
      </c>
      <c r="B2679" s="4">
        <v>32453345</v>
      </c>
    </row>
    <row r="2680" customHeight="1" spans="1:2">
      <c r="A2680" s="3" t="s">
        <v>4125</v>
      </c>
      <c r="B2680" s="4">
        <v>55994557</v>
      </c>
    </row>
    <row r="2681" customHeight="1" spans="1:2">
      <c r="A2681" s="3" t="s">
        <v>9477</v>
      </c>
      <c r="B2681" s="4">
        <v>77264926</v>
      </c>
    </row>
    <row r="2682" customHeight="1" spans="1:2">
      <c r="A2682" s="3" t="s">
        <v>13829</v>
      </c>
      <c r="B2682" s="4">
        <v>4857376</v>
      </c>
    </row>
    <row r="2683" customHeight="1" spans="1:2">
      <c r="A2683" s="3" t="s">
        <v>7600</v>
      </c>
      <c r="B2683" s="4">
        <v>17609982</v>
      </c>
    </row>
    <row r="2684" customHeight="1" spans="1:2">
      <c r="A2684" s="3" t="s">
        <v>15480</v>
      </c>
      <c r="B2684" s="4"/>
    </row>
    <row r="2685" customHeight="1" spans="1:2">
      <c r="A2685" s="3" t="s">
        <v>17920</v>
      </c>
      <c r="B2685" s="4">
        <v>296665</v>
      </c>
    </row>
    <row r="2686" customHeight="1" spans="1:2">
      <c r="A2686" s="3" t="s">
        <v>11366</v>
      </c>
      <c r="B2686" s="4"/>
    </row>
    <row r="2687" customHeight="1" spans="1:2">
      <c r="A2687" s="3" t="s">
        <v>18157</v>
      </c>
      <c r="B2687" s="4"/>
    </row>
    <row r="2688" customHeight="1" spans="1:2">
      <c r="A2688" s="3" t="s">
        <v>5024</v>
      </c>
      <c r="B2688" s="4">
        <v>135014968</v>
      </c>
    </row>
    <row r="2689" customHeight="1" spans="1:2">
      <c r="A2689" s="3" t="s">
        <v>16234</v>
      </c>
      <c r="B2689" s="4">
        <v>108662</v>
      </c>
    </row>
    <row r="2690" customHeight="1" spans="1:2">
      <c r="A2690" s="3" t="s">
        <v>5737</v>
      </c>
      <c r="B2690" s="4">
        <v>83287363</v>
      </c>
    </row>
    <row r="2691" customHeight="1" spans="1:2">
      <c r="A2691" s="3" t="s">
        <v>14102</v>
      </c>
      <c r="B2691" s="4"/>
    </row>
    <row r="2692" customHeight="1" spans="1:2">
      <c r="A2692" s="3" t="s">
        <v>7013</v>
      </c>
      <c r="B2692" s="4">
        <v>71038190</v>
      </c>
    </row>
    <row r="2693" customHeight="1" spans="1:2">
      <c r="A2693" s="3" t="s">
        <v>9215</v>
      </c>
      <c r="B2693" s="4">
        <v>20819129</v>
      </c>
    </row>
    <row r="2694" customHeight="1" spans="1:2">
      <c r="A2694" s="3" t="s">
        <v>6554</v>
      </c>
      <c r="B2694" s="4">
        <v>37371385</v>
      </c>
    </row>
    <row r="2695" customHeight="1" spans="1:2">
      <c r="A2695" s="3" t="s">
        <v>6594</v>
      </c>
      <c r="B2695" s="4">
        <v>33508922</v>
      </c>
    </row>
    <row r="2696" customHeight="1" spans="1:2">
      <c r="A2696" s="3" t="s">
        <v>5085</v>
      </c>
      <c r="B2696" s="4">
        <v>81517441</v>
      </c>
    </row>
    <row r="2697" customHeight="1" spans="1:2">
      <c r="A2697" s="3" t="s">
        <v>4132</v>
      </c>
      <c r="B2697" s="4">
        <v>53789313</v>
      </c>
    </row>
    <row r="2698" customHeight="1" spans="1:2">
      <c r="A2698" s="3" t="s">
        <v>15698</v>
      </c>
      <c r="B2698" s="4">
        <v>4350774</v>
      </c>
    </row>
    <row r="2699" customHeight="1" spans="1:2">
      <c r="A2699" s="3" t="s">
        <v>23777</v>
      </c>
      <c r="B2699" s="4"/>
    </row>
    <row r="2700" customHeight="1" spans="1:2">
      <c r="A2700" s="3" t="s">
        <v>15213</v>
      </c>
      <c r="B2700" s="4">
        <v>1055654</v>
      </c>
    </row>
    <row r="2701" customHeight="1" spans="1:2">
      <c r="A2701" s="3" t="s">
        <v>753</v>
      </c>
      <c r="B2701" s="4">
        <v>198539855</v>
      </c>
    </row>
    <row r="2702" customHeight="1" spans="1:2">
      <c r="A2702" s="3" t="s">
        <v>13123</v>
      </c>
      <c r="B2702" s="4">
        <v>9123834</v>
      </c>
    </row>
    <row r="2703" customHeight="1" spans="1:2">
      <c r="A2703" s="3" t="s">
        <v>11806</v>
      </c>
      <c r="B2703" s="4">
        <v>41382841</v>
      </c>
    </row>
    <row r="2704" customHeight="1" spans="1:2">
      <c r="A2704" s="3" t="s">
        <v>1153</v>
      </c>
      <c r="B2704" s="4">
        <v>83348920</v>
      </c>
    </row>
    <row r="2705" customHeight="1" spans="1:2">
      <c r="A2705" s="3" t="s">
        <v>23715</v>
      </c>
      <c r="B2705" s="4"/>
    </row>
    <row r="2706" customHeight="1" spans="1:2">
      <c r="A2706" s="3" t="s">
        <v>11481</v>
      </c>
      <c r="B2706" s="4">
        <v>121972</v>
      </c>
    </row>
    <row r="2707" customHeight="1" spans="1:2">
      <c r="A2707" s="3" t="s">
        <v>11307</v>
      </c>
      <c r="B2707" s="4"/>
    </row>
    <row r="2708" customHeight="1" spans="1:2">
      <c r="A2708" s="3" t="s">
        <v>2073</v>
      </c>
      <c r="B2708" s="4">
        <v>88761720</v>
      </c>
    </row>
    <row r="2709" customHeight="1" spans="1:2">
      <c r="A2709" s="3" t="s">
        <v>2225</v>
      </c>
      <c r="B2709" s="4">
        <v>68558662</v>
      </c>
    </row>
    <row r="2710" customHeight="1" spans="1:2">
      <c r="A2710" s="3" t="s">
        <v>23563</v>
      </c>
      <c r="B2710" s="4"/>
    </row>
    <row r="2711" customHeight="1" spans="1:2">
      <c r="A2711" s="3" t="s">
        <v>3848</v>
      </c>
      <c r="B2711" s="4">
        <v>2208939</v>
      </c>
    </row>
    <row r="2712" customHeight="1" spans="1:2">
      <c r="A2712" s="3" t="s">
        <v>16833</v>
      </c>
      <c r="B2712" s="4">
        <v>828</v>
      </c>
    </row>
    <row r="2713" customHeight="1" spans="1:2">
      <c r="A2713" s="3" t="s">
        <v>16413</v>
      </c>
      <c r="B2713" s="4">
        <v>4443403</v>
      </c>
    </row>
    <row r="2714" customHeight="1" spans="1:2">
      <c r="A2714" s="3" t="s">
        <v>14460</v>
      </c>
      <c r="B2714" s="4">
        <v>57469179</v>
      </c>
    </row>
    <row r="2715" customHeight="1" spans="1:2">
      <c r="A2715" s="3" t="s">
        <v>14935</v>
      </c>
      <c r="B2715" s="4"/>
    </row>
    <row r="2716" customHeight="1" spans="1:2">
      <c r="A2716" s="3" t="s">
        <v>19338</v>
      </c>
      <c r="B2716" s="4">
        <v>7282851</v>
      </c>
    </row>
    <row r="2717" customHeight="1" spans="1:2">
      <c r="A2717" s="3" t="s">
        <v>19320</v>
      </c>
      <c r="B2717" s="4">
        <v>7059537</v>
      </c>
    </row>
    <row r="2718" customHeight="1" spans="1:2">
      <c r="A2718" s="3" t="s">
        <v>7895</v>
      </c>
      <c r="B2718" s="4">
        <v>104632573</v>
      </c>
    </row>
    <row r="2719" customHeight="1" spans="1:2">
      <c r="A2719" s="3" t="s">
        <v>12512</v>
      </c>
      <c r="B2719" s="4">
        <v>77324422</v>
      </c>
    </row>
    <row r="2720" customHeight="1" spans="1:2">
      <c r="A2720" s="3" t="s">
        <v>14170</v>
      </c>
      <c r="B2720" s="4">
        <v>37707719</v>
      </c>
    </row>
    <row r="2721" customHeight="1" spans="1:2">
      <c r="A2721" s="3" t="s">
        <v>14536</v>
      </c>
      <c r="B2721" s="4">
        <v>46563158</v>
      </c>
    </row>
    <row r="2722" customHeight="1" spans="1:2">
      <c r="A2722" s="3" t="s">
        <v>23782</v>
      </c>
      <c r="B2722" s="4">
        <v>3216970</v>
      </c>
    </row>
    <row r="2723" customHeight="1" spans="1:2">
      <c r="A2723" s="3" t="s">
        <v>23036</v>
      </c>
      <c r="B2723" s="4">
        <v>2360184</v>
      </c>
    </row>
    <row r="2724" customHeight="1" spans="1:2">
      <c r="A2724" s="3" t="s">
        <v>23062</v>
      </c>
      <c r="B2724" s="4"/>
    </row>
    <row r="2725" customHeight="1" spans="1:2">
      <c r="A2725" s="3" t="s">
        <v>9240</v>
      </c>
      <c r="B2725" s="4">
        <v>87341380</v>
      </c>
    </row>
    <row r="2726" customHeight="1" spans="1:2">
      <c r="A2726" s="3" t="s">
        <v>24058</v>
      </c>
      <c r="B2726" s="4">
        <v>180483</v>
      </c>
    </row>
    <row r="2727" customHeight="1" spans="1:2">
      <c r="A2727" s="3" t="s">
        <v>23980</v>
      </c>
      <c r="B2727" s="4">
        <v>8231</v>
      </c>
    </row>
    <row r="2728" customHeight="1" spans="1:2">
      <c r="A2728" s="3" t="s">
        <v>21353</v>
      </c>
      <c r="B2728" s="4">
        <v>24784</v>
      </c>
    </row>
    <row r="2729" customHeight="1" spans="1:2">
      <c r="A2729" s="3" t="s">
        <v>6034</v>
      </c>
      <c r="B2729" s="4">
        <v>84300000</v>
      </c>
    </row>
    <row r="2730" customHeight="1" spans="1:2">
      <c r="A2730" s="3" t="s">
        <v>10167</v>
      </c>
      <c r="B2730" s="4">
        <v>25003072</v>
      </c>
    </row>
    <row r="2731" customHeight="1" spans="1:2">
      <c r="A2731" s="3" t="s">
        <v>5513</v>
      </c>
      <c r="B2731" s="4">
        <v>7994115</v>
      </c>
    </row>
    <row r="2732" customHeight="1" spans="1:2">
      <c r="A2732" s="3" t="s">
        <v>47</v>
      </c>
      <c r="B2732" s="4">
        <v>309404152</v>
      </c>
    </row>
    <row r="2733" customHeight="1" spans="1:2">
      <c r="A2733" s="3" t="s">
        <v>133</v>
      </c>
      <c r="B2733" s="4">
        <v>423032628</v>
      </c>
    </row>
    <row r="2734" customHeight="1" spans="1:2">
      <c r="A2734" s="3" t="s">
        <v>161</v>
      </c>
      <c r="B2734" s="4">
        <v>241063875</v>
      </c>
    </row>
    <row r="2735" customHeight="1" spans="1:2">
      <c r="A2735" s="3" t="s">
        <v>1264</v>
      </c>
      <c r="B2735" s="4">
        <v>305388685</v>
      </c>
    </row>
    <row r="2736" customHeight="1" spans="1:2">
      <c r="A2736" s="3" t="s">
        <v>10224</v>
      </c>
      <c r="B2736" s="4">
        <v>39235088</v>
      </c>
    </row>
    <row r="2737" customHeight="1" spans="1:2">
      <c r="A2737" s="3" t="s">
        <v>8768</v>
      </c>
      <c r="B2737" s="4">
        <v>183436380</v>
      </c>
    </row>
    <row r="2738" customHeight="1" spans="1:2">
      <c r="A2738" s="3" t="s">
        <v>12228</v>
      </c>
      <c r="B2738" s="4">
        <v>64998368</v>
      </c>
    </row>
    <row r="2739" customHeight="1" spans="1:2">
      <c r="A2739" s="3" t="s">
        <v>2187</v>
      </c>
      <c r="B2739" s="4">
        <v>78747585</v>
      </c>
    </row>
    <row r="2740" customHeight="1" spans="1:2">
      <c r="A2740" s="3" t="s">
        <v>4254</v>
      </c>
      <c r="B2740" s="4">
        <v>42194060</v>
      </c>
    </row>
    <row r="2741" customHeight="1" spans="1:2">
      <c r="A2741" s="3" t="s">
        <v>1714</v>
      </c>
      <c r="B2741" s="4">
        <v>360023480</v>
      </c>
    </row>
    <row r="2742" customHeight="1" spans="1:2">
      <c r="A2742" s="3" t="s">
        <v>15521</v>
      </c>
      <c r="B2742" s="4"/>
    </row>
    <row r="2743" customHeight="1" spans="1:2">
      <c r="A2743" s="3" t="s">
        <v>16976</v>
      </c>
      <c r="B2743" s="4">
        <v>137963328</v>
      </c>
    </row>
    <row r="2744" customHeight="1" spans="1:2">
      <c r="A2744" s="3" t="s">
        <v>10159</v>
      </c>
      <c r="B2744" s="4">
        <v>8427204</v>
      </c>
    </row>
    <row r="2745" customHeight="1" spans="1:2">
      <c r="A2745" s="3" t="s">
        <v>7803</v>
      </c>
      <c r="B2745" s="4">
        <v>13101142</v>
      </c>
    </row>
    <row r="2746" customHeight="1" spans="1:2">
      <c r="A2746" s="3" t="s">
        <v>19373</v>
      </c>
      <c r="B2746" s="4">
        <v>4033268</v>
      </c>
    </row>
    <row r="2747" customHeight="1" spans="1:2">
      <c r="A2747" s="3" t="s">
        <v>20460</v>
      </c>
      <c r="B2747" s="4">
        <v>2843</v>
      </c>
    </row>
    <row r="2748" customHeight="1" spans="1:2">
      <c r="A2748" s="3" t="s">
        <v>4578</v>
      </c>
      <c r="B2748" s="4">
        <v>141600000</v>
      </c>
    </row>
    <row r="2749" customHeight="1" spans="1:2">
      <c r="A2749" s="3" t="s">
        <v>19619</v>
      </c>
      <c r="B2749" s="4"/>
    </row>
    <row r="2750" customHeight="1" spans="1:2">
      <c r="A2750" s="3" t="s">
        <v>13429</v>
      </c>
      <c r="B2750" s="4">
        <v>27515786</v>
      </c>
    </row>
    <row r="2751" customHeight="1" spans="1:2">
      <c r="A2751" s="3" t="s">
        <v>19571</v>
      </c>
      <c r="B2751" s="4"/>
    </row>
    <row r="2752" customHeight="1" spans="1:2">
      <c r="A2752" s="3" t="s">
        <v>1887</v>
      </c>
      <c r="B2752" s="4">
        <v>57544444</v>
      </c>
    </row>
    <row r="2753" customHeight="1" spans="1:2">
      <c r="A2753" s="3" t="s">
        <v>19238</v>
      </c>
      <c r="B2753" s="4"/>
    </row>
    <row r="2754" customHeight="1" spans="1:2">
      <c r="A2754" s="3" t="s">
        <v>18212</v>
      </c>
      <c r="B2754" s="4">
        <v>81200000</v>
      </c>
    </row>
    <row r="2755" customHeight="1" spans="1:2">
      <c r="A2755" s="3" t="s">
        <v>15364</v>
      </c>
      <c r="B2755" s="4">
        <v>126247</v>
      </c>
    </row>
    <row r="2756" customHeight="1" spans="1:2">
      <c r="A2756" s="3" t="s">
        <v>15820</v>
      </c>
      <c r="B2756" s="4">
        <v>171320</v>
      </c>
    </row>
    <row r="2757" customHeight="1" spans="1:2">
      <c r="A2757" s="3" t="s">
        <v>17106</v>
      </c>
      <c r="B2757" s="4">
        <v>8596914</v>
      </c>
    </row>
    <row r="2758" customHeight="1" spans="1:2">
      <c r="A2758" s="3" t="s">
        <v>15530</v>
      </c>
      <c r="B2758" s="4">
        <v>14114488</v>
      </c>
    </row>
    <row r="2759" customHeight="1" spans="1:2">
      <c r="A2759" s="3" t="s">
        <v>7409</v>
      </c>
      <c r="B2759" s="4">
        <v>153200000</v>
      </c>
    </row>
    <row r="2760" customHeight="1" spans="1:2">
      <c r="A2760" s="3" t="s">
        <v>2904</v>
      </c>
      <c r="B2760" s="4">
        <v>23219748</v>
      </c>
    </row>
    <row r="2761" customHeight="1" spans="1:2">
      <c r="A2761" s="3" t="s">
        <v>21030</v>
      </c>
      <c r="B2761" s="4">
        <v>3478</v>
      </c>
    </row>
    <row r="2762" customHeight="1" spans="1:2">
      <c r="A2762" s="3" t="s">
        <v>7783</v>
      </c>
      <c r="B2762" s="4">
        <v>15081783</v>
      </c>
    </row>
    <row r="2763" customHeight="1" spans="1:2">
      <c r="A2763" s="3" t="s">
        <v>11088</v>
      </c>
      <c r="B2763" s="4">
        <v>18081626</v>
      </c>
    </row>
    <row r="2764" customHeight="1" spans="1:2">
      <c r="A2764" s="3" t="s">
        <v>18628</v>
      </c>
      <c r="B2764" s="4">
        <v>562059</v>
      </c>
    </row>
    <row r="2765" customHeight="1" spans="1:2">
      <c r="A2765" s="3" t="s">
        <v>18957</v>
      </c>
      <c r="B2765" s="4">
        <v>3293258</v>
      </c>
    </row>
    <row r="2766" customHeight="1" spans="1:2">
      <c r="A2766" s="3" t="s">
        <v>18422</v>
      </c>
      <c r="B2766" s="4">
        <v>105500000</v>
      </c>
    </row>
    <row r="2767" customHeight="1" spans="1:2">
      <c r="A2767" s="3" t="s">
        <v>715</v>
      </c>
      <c r="B2767" s="4">
        <v>60655503</v>
      </c>
    </row>
    <row r="2768" customHeight="1" spans="1:2">
      <c r="A2768" s="3" t="s">
        <v>13131</v>
      </c>
      <c r="B2768" s="4">
        <v>6373693</v>
      </c>
    </row>
    <row r="2769" customHeight="1" spans="1:2">
      <c r="A2769" s="3" t="s">
        <v>22788</v>
      </c>
      <c r="B2769" s="4">
        <v>23000</v>
      </c>
    </row>
    <row r="2770" customHeight="1" spans="1:2">
      <c r="A2770" s="3" t="s">
        <v>16447</v>
      </c>
      <c r="B2770" s="4"/>
    </row>
    <row r="2771" customHeight="1" spans="1:2">
      <c r="A2771" s="3" t="s">
        <v>4197</v>
      </c>
      <c r="B2771" s="4">
        <v>46611204</v>
      </c>
    </row>
    <row r="2772" customHeight="1" spans="1:2">
      <c r="A2772" s="3" t="s">
        <v>16136</v>
      </c>
      <c r="B2772" s="4"/>
    </row>
    <row r="2773" customHeight="1" spans="1:2">
      <c r="A2773" s="3" t="s">
        <v>7040</v>
      </c>
      <c r="B2773" s="4">
        <v>95073918</v>
      </c>
    </row>
    <row r="2774" customHeight="1" spans="1:2">
      <c r="A2774" s="3" t="s">
        <v>7491</v>
      </c>
      <c r="B2774" s="4">
        <v>30669413</v>
      </c>
    </row>
    <row r="2775" customHeight="1" spans="1:2">
      <c r="A2775" s="3" t="s">
        <v>11779</v>
      </c>
      <c r="B2775" s="4">
        <v>59735548</v>
      </c>
    </row>
    <row r="2776" customHeight="1" spans="1:2">
      <c r="A2776" s="3" t="s">
        <v>6475</v>
      </c>
      <c r="B2776" s="4">
        <v>52000688</v>
      </c>
    </row>
    <row r="2777" customHeight="1" spans="1:2">
      <c r="A2777" s="3" t="s">
        <v>16177</v>
      </c>
      <c r="B2777" s="4">
        <v>532190</v>
      </c>
    </row>
    <row r="2778" customHeight="1" spans="1:2">
      <c r="A2778" s="3" t="s">
        <v>7585</v>
      </c>
      <c r="B2778" s="4">
        <v>20275446</v>
      </c>
    </row>
    <row r="2779" customHeight="1" spans="1:2">
      <c r="A2779" s="3" t="s">
        <v>10784</v>
      </c>
      <c r="B2779" s="4">
        <v>47852604</v>
      </c>
    </row>
    <row r="2780" customHeight="1" spans="1:2">
      <c r="A2780" s="3" t="s">
        <v>13364</v>
      </c>
      <c r="B2780" s="4">
        <v>178406268</v>
      </c>
    </row>
    <row r="2781" customHeight="1" spans="1:2">
      <c r="A2781" s="3" t="s">
        <v>8957</v>
      </c>
      <c r="B2781" s="4">
        <v>38372662</v>
      </c>
    </row>
    <row r="2782" customHeight="1" spans="1:2">
      <c r="A2782" s="3" t="s">
        <v>8567</v>
      </c>
      <c r="B2782" s="4">
        <v>15709385</v>
      </c>
    </row>
    <row r="2783" customHeight="1" spans="1:2">
      <c r="A2783" s="3" t="s">
        <v>9017</v>
      </c>
      <c r="B2783" s="4">
        <v>10907291</v>
      </c>
    </row>
    <row r="2784" customHeight="1" spans="1:2">
      <c r="A2784" s="3" t="s">
        <v>4323</v>
      </c>
      <c r="B2784" s="4">
        <v>29136626</v>
      </c>
    </row>
    <row r="2785" customHeight="1" spans="1:2">
      <c r="A2785" s="3" t="s">
        <v>3764</v>
      </c>
      <c r="B2785" s="4">
        <v>38966057</v>
      </c>
    </row>
    <row r="2786" customHeight="1" spans="1:2">
      <c r="A2786" s="3" t="s">
        <v>24107</v>
      </c>
      <c r="B2786" s="4">
        <v>424760</v>
      </c>
    </row>
    <row r="2787" customHeight="1" spans="1:2">
      <c r="A2787" s="3" t="s">
        <v>376</v>
      </c>
      <c r="B2787" s="4">
        <v>90755643</v>
      </c>
    </row>
    <row r="2788" customHeight="1" spans="1:2">
      <c r="A2788" s="3" t="s">
        <v>15763</v>
      </c>
      <c r="B2788" s="4">
        <v>883887</v>
      </c>
    </row>
    <row r="2789" customHeight="1" spans="1:2">
      <c r="A2789" s="3" t="s">
        <v>11394</v>
      </c>
      <c r="B2789" s="4">
        <v>2298191</v>
      </c>
    </row>
    <row r="2790" customHeight="1" spans="1:2">
      <c r="A2790" s="3" t="s">
        <v>18647</v>
      </c>
      <c r="B2790" s="4">
        <v>354704</v>
      </c>
    </row>
    <row r="2791" customHeight="1" spans="1:2">
      <c r="A2791" s="3" t="s">
        <v>5745</v>
      </c>
      <c r="B2791" s="4">
        <v>60962878</v>
      </c>
    </row>
    <row r="2792" customHeight="1" spans="1:2">
      <c r="A2792" s="3" t="s">
        <v>12708</v>
      </c>
      <c r="B2792" s="4">
        <v>69800000</v>
      </c>
    </row>
    <row r="2793" customHeight="1" spans="1:2">
      <c r="A2793" s="3" t="s">
        <v>14259</v>
      </c>
      <c r="B2793" s="4">
        <v>22331028</v>
      </c>
    </row>
    <row r="2794" customHeight="1" spans="1:2">
      <c r="A2794" s="3" t="s">
        <v>14097</v>
      </c>
      <c r="B2794" s="4">
        <v>54724272</v>
      </c>
    </row>
    <row r="2795" customHeight="1" spans="1:2">
      <c r="A2795" s="3" t="s">
        <v>11787</v>
      </c>
      <c r="B2795" s="4">
        <v>43818159</v>
      </c>
    </row>
    <row r="2796" customHeight="1" spans="1:2">
      <c r="A2796" s="3" t="s">
        <v>16118</v>
      </c>
      <c r="B2796" s="4">
        <v>10106233</v>
      </c>
    </row>
    <row r="2797" customHeight="1" spans="1:2">
      <c r="A2797" s="3" t="s">
        <v>1382</v>
      </c>
      <c r="B2797" s="4">
        <v>126464904</v>
      </c>
    </row>
    <row r="2798" customHeight="1" spans="1:2">
      <c r="A2798" s="3" t="s">
        <v>13134</v>
      </c>
      <c r="B2798" s="4">
        <v>7556708</v>
      </c>
    </row>
    <row r="2799" customHeight="1" spans="1:2">
      <c r="A2799" s="3" t="s">
        <v>3782</v>
      </c>
      <c r="B2799" s="4">
        <v>32598931</v>
      </c>
    </row>
    <row r="2800" customHeight="1" spans="1:2">
      <c r="A2800" s="3" t="s">
        <v>14154</v>
      </c>
      <c r="B2800" s="4"/>
    </row>
    <row r="2801" customHeight="1" spans="1:2">
      <c r="A2801" s="3" t="s">
        <v>21926</v>
      </c>
      <c r="B2801" s="4"/>
    </row>
    <row r="2802" customHeight="1" spans="1:2">
      <c r="A2802" s="3" t="s">
        <v>18051</v>
      </c>
      <c r="B2802" s="4"/>
    </row>
    <row r="2803" customHeight="1" spans="1:2">
      <c r="A2803" s="3" t="s">
        <v>18654</v>
      </c>
      <c r="B2803" s="4">
        <v>265107</v>
      </c>
    </row>
    <row r="2804" customHeight="1" spans="1:2">
      <c r="A2804" s="3" t="s">
        <v>11037</v>
      </c>
      <c r="B2804" s="4">
        <v>32000000</v>
      </c>
    </row>
    <row r="2805" customHeight="1" spans="1:2">
      <c r="A2805" s="3" t="s">
        <v>1723</v>
      </c>
      <c r="B2805" s="4">
        <v>97030725</v>
      </c>
    </row>
    <row r="2806" customHeight="1" spans="1:2">
      <c r="A2806" s="3" t="s">
        <v>15952</v>
      </c>
      <c r="B2806" s="4">
        <v>107930000</v>
      </c>
    </row>
    <row r="2807" customHeight="1" spans="1:2">
      <c r="A2807" s="3" t="s">
        <v>10648</v>
      </c>
      <c r="B2807" s="4">
        <v>20259297</v>
      </c>
    </row>
    <row r="2808" customHeight="1" spans="1:2">
      <c r="A2808" s="3" t="s">
        <v>9765</v>
      </c>
      <c r="B2808" s="4">
        <v>17791031</v>
      </c>
    </row>
    <row r="2809" customHeight="1" spans="1:2">
      <c r="A2809" s="3" t="s">
        <v>7675</v>
      </c>
      <c r="B2809" s="4">
        <v>7948159</v>
      </c>
    </row>
    <row r="2810" customHeight="1" spans="1:2">
      <c r="A2810" s="3" t="s">
        <v>18752</v>
      </c>
      <c r="B2810" s="4"/>
    </row>
    <row r="2811" customHeight="1" spans="1:2">
      <c r="A2811" s="3" t="s">
        <v>7868</v>
      </c>
      <c r="B2811" s="4">
        <v>8406264</v>
      </c>
    </row>
    <row r="2812" customHeight="1" spans="1:2">
      <c r="A2812" s="3" t="s">
        <v>1196</v>
      </c>
      <c r="B2812" s="4">
        <v>149234747</v>
      </c>
    </row>
    <row r="2813" customHeight="1" spans="1:2">
      <c r="A2813" s="3" t="s">
        <v>21364</v>
      </c>
      <c r="B2813" s="4"/>
    </row>
    <row r="2814" customHeight="1" spans="1:2">
      <c r="A2814" s="3" t="s">
        <v>130</v>
      </c>
      <c r="B2814" s="4">
        <v>168368427</v>
      </c>
    </row>
    <row r="2815" customHeight="1" spans="1:2">
      <c r="A2815" s="3" t="s">
        <v>14110</v>
      </c>
      <c r="B2815" s="4">
        <v>31691811</v>
      </c>
    </row>
    <row r="2816" customHeight="1" spans="1:2">
      <c r="A2816" s="3" t="s">
        <v>14602</v>
      </c>
      <c r="B2816" s="4">
        <v>18381787</v>
      </c>
    </row>
    <row r="2817" customHeight="1" spans="1:2">
      <c r="A2817" s="3" t="s">
        <v>23801</v>
      </c>
      <c r="B2817" s="4"/>
    </row>
    <row r="2818" customHeight="1" spans="1:2">
      <c r="A2818" s="3" t="s">
        <v>7487</v>
      </c>
      <c r="B2818" s="4">
        <v>30307804</v>
      </c>
    </row>
    <row r="2819" customHeight="1" spans="1:2">
      <c r="A2819" s="3" t="s">
        <v>21196</v>
      </c>
      <c r="B2819" s="4"/>
    </row>
    <row r="2820" customHeight="1" spans="1:2">
      <c r="A2820" s="3" t="s">
        <v>13914</v>
      </c>
      <c r="B2820" s="4"/>
    </row>
    <row r="2821" customHeight="1" spans="1:2">
      <c r="A2821" s="3" t="s">
        <v>10989</v>
      </c>
      <c r="B2821" s="4">
        <v>21413105</v>
      </c>
    </row>
    <row r="2822" customHeight="1" spans="1:2">
      <c r="A2822" s="3" t="s">
        <v>13610</v>
      </c>
      <c r="B2822" s="4">
        <v>7060876</v>
      </c>
    </row>
    <row r="2823" customHeight="1" spans="1:2">
      <c r="A2823" s="3" t="s">
        <v>22854</v>
      </c>
      <c r="B2823" s="4">
        <v>1689999</v>
      </c>
    </row>
    <row r="2824" customHeight="1" spans="1:2">
      <c r="A2824" s="3" t="s">
        <v>15935</v>
      </c>
      <c r="B2824" s="4"/>
    </row>
    <row r="2825" customHeight="1" spans="1:2">
      <c r="A2825" s="3" t="s">
        <v>1261</v>
      </c>
      <c r="B2825" s="4">
        <v>33592415</v>
      </c>
    </row>
    <row r="2826" customHeight="1" spans="1:2">
      <c r="A2826" s="3" t="s">
        <v>18347</v>
      </c>
      <c r="B2826" s="4"/>
    </row>
    <row r="2827" customHeight="1" spans="1:2">
      <c r="A2827" s="3" t="s">
        <v>17460</v>
      </c>
      <c r="B2827" s="4">
        <v>22770</v>
      </c>
    </row>
    <row r="2828" customHeight="1" spans="1:2">
      <c r="A2828" s="3" t="s">
        <v>17915</v>
      </c>
      <c r="B2828" s="4">
        <v>2221809</v>
      </c>
    </row>
    <row r="2829" customHeight="1" spans="1:2">
      <c r="A2829" s="3" t="s">
        <v>16607</v>
      </c>
      <c r="B2829" s="4">
        <v>6165429</v>
      </c>
    </row>
    <row r="2830" customHeight="1" spans="1:2">
      <c r="A2830" s="3" t="s">
        <v>5137</v>
      </c>
      <c r="B2830" s="4">
        <v>67128202</v>
      </c>
    </row>
    <row r="2831" customHeight="1" spans="1:2">
      <c r="A2831" s="3" t="s">
        <v>17662</v>
      </c>
      <c r="B2831" s="4">
        <v>19097994</v>
      </c>
    </row>
    <row r="2832" customHeight="1" spans="1:2">
      <c r="A2832" s="3" t="s">
        <v>14223</v>
      </c>
      <c r="B2832" s="4">
        <v>12796277</v>
      </c>
    </row>
    <row r="2833" customHeight="1" spans="1:2">
      <c r="A2833" s="3" t="s">
        <v>8308</v>
      </c>
      <c r="B2833" s="4">
        <v>49186871</v>
      </c>
    </row>
    <row r="2834" customHeight="1" spans="1:2">
      <c r="A2834" s="3" t="s">
        <v>12495</v>
      </c>
      <c r="B2834" s="4">
        <v>14792779</v>
      </c>
    </row>
    <row r="2835" customHeight="1" spans="1:2">
      <c r="A2835" s="3" t="s">
        <v>7702</v>
      </c>
      <c r="B2835" s="4">
        <v>4651977</v>
      </c>
    </row>
    <row r="2836" customHeight="1" spans="1:2">
      <c r="A2836" s="3" t="s">
        <v>7354</v>
      </c>
      <c r="B2836" s="4">
        <v>52277485</v>
      </c>
    </row>
    <row r="2837" customHeight="1" spans="1:2">
      <c r="A2837" s="3" t="s">
        <v>11858</v>
      </c>
      <c r="B2837" s="4">
        <v>45250</v>
      </c>
    </row>
    <row r="2838" customHeight="1" spans="1:2">
      <c r="A2838" s="3" t="s">
        <v>10636</v>
      </c>
      <c r="B2838" s="4">
        <v>242374454</v>
      </c>
    </row>
    <row r="2839" customHeight="1" spans="1:2">
      <c r="A2839" s="3" t="s">
        <v>9379</v>
      </c>
      <c r="B2839" s="4">
        <v>172825435</v>
      </c>
    </row>
    <row r="2840" customHeight="1" spans="1:2">
      <c r="A2840" s="3" t="s">
        <v>6807</v>
      </c>
      <c r="B2840" s="4">
        <v>7000000</v>
      </c>
    </row>
    <row r="2841" customHeight="1" spans="1:2">
      <c r="A2841" s="3" t="s">
        <v>13067</v>
      </c>
      <c r="B2841" s="4">
        <v>10411980</v>
      </c>
    </row>
    <row r="2842" customHeight="1" spans="1:2">
      <c r="A2842" s="3" t="s">
        <v>14570</v>
      </c>
      <c r="B2842" s="4">
        <v>21370057</v>
      </c>
    </row>
    <row r="2843" customHeight="1" spans="1:2">
      <c r="A2843" s="3" t="s">
        <v>5296</v>
      </c>
      <c r="B2843" s="4">
        <v>37486138</v>
      </c>
    </row>
    <row r="2844" customHeight="1" spans="1:2">
      <c r="A2844" s="3" t="s">
        <v>22169</v>
      </c>
      <c r="B2844" s="4">
        <v>2073984</v>
      </c>
    </row>
    <row r="2845" customHeight="1" spans="1:2">
      <c r="A2845" s="3" t="s">
        <v>11522</v>
      </c>
      <c r="B2845" s="4"/>
    </row>
    <row r="2846" customHeight="1" spans="1:2">
      <c r="A2846" s="3" t="s">
        <v>4476</v>
      </c>
      <c r="B2846" s="4">
        <v>53715611</v>
      </c>
    </row>
    <row r="2847" customHeight="1" spans="1:2">
      <c r="A2847" s="3" t="s">
        <v>6022</v>
      </c>
      <c r="B2847" s="4">
        <v>150415432</v>
      </c>
    </row>
    <row r="2848" customHeight="1" spans="1:2">
      <c r="A2848" s="3" t="s">
        <v>12909</v>
      </c>
      <c r="B2848" s="4">
        <v>26161406</v>
      </c>
    </row>
    <row r="2849" customHeight="1" spans="1:2">
      <c r="A2849" s="3" t="s">
        <v>23997</v>
      </c>
      <c r="B2849" s="4"/>
    </row>
    <row r="2850" customHeight="1" spans="1:2">
      <c r="A2850" s="3" t="s">
        <v>3834</v>
      </c>
      <c r="B2850" s="4">
        <v>31054924</v>
      </c>
    </row>
    <row r="2851" customHeight="1" spans="1:2">
      <c r="A2851" s="3" t="s">
        <v>17466</v>
      </c>
      <c r="B2851" s="4">
        <v>2197331</v>
      </c>
    </row>
    <row r="2852" customHeight="1" spans="1:2">
      <c r="A2852" s="3" t="s">
        <v>1148</v>
      </c>
      <c r="B2852" s="4">
        <v>123207194</v>
      </c>
    </row>
    <row r="2853" customHeight="1" spans="1:2">
      <c r="A2853" s="3" t="s">
        <v>3320</v>
      </c>
      <c r="B2853" s="4">
        <v>136448821</v>
      </c>
    </row>
    <row r="2854" customHeight="1" spans="1:2">
      <c r="A2854" s="3" t="s">
        <v>11459</v>
      </c>
      <c r="B2854" s="4">
        <v>305070</v>
      </c>
    </row>
    <row r="2855" customHeight="1" spans="1:2">
      <c r="A2855" s="3" t="s">
        <v>5565</v>
      </c>
      <c r="B2855" s="4">
        <v>56607223</v>
      </c>
    </row>
    <row r="2856" customHeight="1" spans="1:2">
      <c r="A2856" s="3" t="s">
        <v>796</v>
      </c>
      <c r="B2856" s="4">
        <v>206435493</v>
      </c>
    </row>
    <row r="2857" customHeight="1" spans="1:2">
      <c r="A2857" s="3" t="s">
        <v>14321</v>
      </c>
      <c r="B2857" s="4">
        <v>2060953</v>
      </c>
    </row>
    <row r="2858" customHeight="1" spans="1:2">
      <c r="A2858" s="3" t="s">
        <v>6358</v>
      </c>
      <c r="B2858" s="4">
        <v>75305995</v>
      </c>
    </row>
    <row r="2859" customHeight="1" spans="1:2">
      <c r="A2859" s="3" t="s">
        <v>23933</v>
      </c>
      <c r="B2859" s="4"/>
    </row>
    <row r="2860" customHeight="1" spans="1:2">
      <c r="A2860" s="3" t="s">
        <v>10155</v>
      </c>
      <c r="B2860" s="4">
        <v>12372410</v>
      </c>
    </row>
    <row r="2861" customHeight="1" spans="1:2">
      <c r="A2861" s="3" t="s">
        <v>1597</v>
      </c>
      <c r="B2861" s="4">
        <v>85463309</v>
      </c>
    </row>
    <row r="2862" customHeight="1" spans="1:2">
      <c r="A2862" s="3" t="s">
        <v>19346</v>
      </c>
      <c r="B2862" s="4">
        <v>5844929</v>
      </c>
    </row>
    <row r="2863" customHeight="1" spans="1:2">
      <c r="A2863" s="3" t="s">
        <v>21227</v>
      </c>
      <c r="B2863" s="4"/>
    </row>
    <row r="2864" customHeight="1" spans="1:2">
      <c r="A2864" s="3" t="s">
        <v>14858</v>
      </c>
      <c r="B2864" s="4">
        <v>36696761</v>
      </c>
    </row>
    <row r="2865" customHeight="1" spans="1:2">
      <c r="A2865" s="3" t="s">
        <v>2572</v>
      </c>
      <c r="B2865" s="4">
        <v>53215979</v>
      </c>
    </row>
    <row r="2866" customHeight="1" spans="1:2">
      <c r="A2866" s="3" t="s">
        <v>6953</v>
      </c>
      <c r="B2866" s="4">
        <v>626809</v>
      </c>
    </row>
    <row r="2867" customHeight="1" spans="1:2">
      <c r="A2867" s="3" t="s">
        <v>3758</v>
      </c>
      <c r="B2867" s="4"/>
    </row>
    <row r="2868" customHeight="1" spans="1:2">
      <c r="A2868" s="3" t="s">
        <v>15582</v>
      </c>
      <c r="B2868" s="4"/>
    </row>
    <row r="2869" customHeight="1" spans="1:2">
      <c r="A2869" s="3" t="s">
        <v>2934</v>
      </c>
      <c r="B2869" s="4">
        <v>92930005</v>
      </c>
    </row>
    <row r="2870" customHeight="1" spans="1:2">
      <c r="A2870" s="3" t="s">
        <v>9268</v>
      </c>
      <c r="B2870" s="4">
        <v>57859105</v>
      </c>
    </row>
    <row r="2871" customHeight="1" spans="1:2">
      <c r="A2871" s="3" t="s">
        <v>12087</v>
      </c>
      <c r="B2871" s="4"/>
    </row>
    <row r="2872" customHeight="1" spans="1:2">
      <c r="A2872" s="3" t="s">
        <v>2880</v>
      </c>
      <c r="B2872" s="4">
        <v>17473245</v>
      </c>
    </row>
    <row r="2873" customHeight="1" spans="1:2">
      <c r="A2873" s="3" t="s">
        <v>6150</v>
      </c>
      <c r="B2873" s="4">
        <v>37652565</v>
      </c>
    </row>
    <row r="2874" customHeight="1" spans="1:2">
      <c r="A2874" s="3" t="s">
        <v>15785</v>
      </c>
      <c r="B2874" s="4"/>
    </row>
    <row r="2875" customHeight="1" spans="1:2">
      <c r="A2875" s="3" t="s">
        <v>19315</v>
      </c>
      <c r="B2875" s="4"/>
    </row>
    <row r="2876" customHeight="1" spans="1:2">
      <c r="A2876" s="3" t="s">
        <v>10070</v>
      </c>
      <c r="B2876" s="4"/>
    </row>
    <row r="2877" customHeight="1" spans="1:2">
      <c r="A2877" s="3" t="s">
        <v>12083</v>
      </c>
      <c r="B2877" s="4"/>
    </row>
    <row r="2878" customHeight="1" spans="1:2">
      <c r="A2878" s="3" t="s">
        <v>18597</v>
      </c>
      <c r="B2878" s="4"/>
    </row>
    <row r="2879" customHeight="1" spans="1:2">
      <c r="A2879" s="3" t="s">
        <v>4507</v>
      </c>
      <c r="B2879" s="4">
        <v>49875589</v>
      </c>
    </row>
    <row r="2880" customHeight="1" spans="1:2">
      <c r="A2880" s="3" t="s">
        <v>4036</v>
      </c>
      <c r="B2880" s="4">
        <v>90356857</v>
      </c>
    </row>
    <row r="2881" customHeight="1" spans="1:2">
      <c r="A2881" s="3" t="s">
        <v>18006</v>
      </c>
      <c r="B2881" s="4">
        <v>65087</v>
      </c>
    </row>
    <row r="2882" customHeight="1" spans="1:2">
      <c r="A2882" s="3" t="s">
        <v>16637</v>
      </c>
      <c r="B2882" s="4">
        <v>2344847</v>
      </c>
    </row>
    <row r="2883" customHeight="1" spans="1:2">
      <c r="A2883" s="3" t="s">
        <v>19992</v>
      </c>
      <c r="B2883" s="4">
        <v>27012</v>
      </c>
    </row>
    <row r="2884" customHeight="1" spans="1:2">
      <c r="A2884" s="3" t="s">
        <v>7812</v>
      </c>
      <c r="B2884" s="4"/>
    </row>
    <row r="2885" customHeight="1" spans="1:2">
      <c r="A2885" s="3" t="s">
        <v>11494</v>
      </c>
      <c r="B2885" s="4">
        <v>54734</v>
      </c>
    </row>
    <row r="2886" customHeight="1" spans="1:2">
      <c r="A2886" s="3" t="s">
        <v>13568</v>
      </c>
      <c r="B2886" s="4"/>
    </row>
    <row r="2887" customHeight="1" spans="1:2">
      <c r="A2887" s="3" t="s">
        <v>4210</v>
      </c>
      <c r="B2887" s="4">
        <v>43060566</v>
      </c>
    </row>
    <row r="2888" customHeight="1" spans="1:2">
      <c r="A2888" s="3" t="s">
        <v>11067</v>
      </c>
      <c r="B2888" s="4">
        <v>19661987</v>
      </c>
    </row>
    <row r="2889" customHeight="1" spans="1:2">
      <c r="A2889" s="3" t="s">
        <v>7193</v>
      </c>
      <c r="B2889" s="4">
        <v>23360779</v>
      </c>
    </row>
    <row r="2890" customHeight="1" spans="1:2">
      <c r="A2890" s="3" t="s">
        <v>15535</v>
      </c>
      <c r="B2890" s="4"/>
    </row>
    <row r="2891" customHeight="1" spans="1:2">
      <c r="A2891" s="3" t="s">
        <v>19895</v>
      </c>
      <c r="B2891" s="4">
        <v>12995673</v>
      </c>
    </row>
    <row r="2892" customHeight="1" spans="1:2">
      <c r="A2892" s="3" t="s">
        <v>12500</v>
      </c>
      <c r="B2892" s="4">
        <v>19057024</v>
      </c>
    </row>
    <row r="2893" customHeight="1" spans="1:2">
      <c r="A2893" s="3" t="s">
        <v>16828</v>
      </c>
      <c r="B2893" s="4">
        <v>223878</v>
      </c>
    </row>
    <row r="2894" customHeight="1" spans="1:2">
      <c r="A2894" s="3" t="s">
        <v>8113</v>
      </c>
      <c r="B2894" s="4">
        <v>115648585</v>
      </c>
    </row>
    <row r="2895" customHeight="1" spans="1:2">
      <c r="A2895" s="3" t="s">
        <v>6687</v>
      </c>
      <c r="B2895" s="4">
        <v>24332324</v>
      </c>
    </row>
    <row r="2896" customHeight="1" spans="1:2">
      <c r="A2896" s="3" t="s">
        <v>12079</v>
      </c>
      <c r="B2896" s="4">
        <v>63260</v>
      </c>
    </row>
    <row r="2897" customHeight="1" spans="1:2">
      <c r="A2897" s="3" t="s">
        <v>9078</v>
      </c>
      <c r="B2897" s="4">
        <v>9664316</v>
      </c>
    </row>
    <row r="2898" customHeight="1" spans="1:2">
      <c r="A2898" s="3" t="s">
        <v>15024</v>
      </c>
      <c r="B2898" s="4">
        <v>20339754</v>
      </c>
    </row>
    <row r="2899" customHeight="1" spans="1:2">
      <c r="A2899" s="3" t="s">
        <v>6645</v>
      </c>
      <c r="B2899" s="4">
        <v>29077547</v>
      </c>
    </row>
    <row r="2900" customHeight="1" spans="1:2">
      <c r="A2900" s="3" t="s">
        <v>20935</v>
      </c>
      <c r="B2900" s="4"/>
    </row>
    <row r="2901" customHeight="1" spans="1:2">
      <c r="A2901" s="3" t="s">
        <v>7995</v>
      </c>
      <c r="B2901" s="4">
        <v>13763130</v>
      </c>
    </row>
    <row r="2902" customHeight="1" spans="1:2">
      <c r="A2902" s="3" t="s">
        <v>15940</v>
      </c>
      <c r="B2902" s="4">
        <v>140244</v>
      </c>
    </row>
    <row r="2903" customHeight="1" spans="1:2">
      <c r="A2903" s="3" t="s">
        <v>18245</v>
      </c>
      <c r="B2903" s="4">
        <v>3609278</v>
      </c>
    </row>
    <row r="2904" customHeight="1" spans="1:2">
      <c r="A2904" s="3" t="s">
        <v>15169</v>
      </c>
      <c r="B2904" s="4">
        <v>5484375</v>
      </c>
    </row>
    <row r="2905" customHeight="1" spans="1:2">
      <c r="A2905" s="3" t="s">
        <v>21319</v>
      </c>
      <c r="B2905" s="4">
        <v>2812029</v>
      </c>
    </row>
    <row r="2906" customHeight="1" spans="1:2">
      <c r="A2906" s="3" t="s">
        <v>7402</v>
      </c>
      <c r="B2906" s="4">
        <v>39532308</v>
      </c>
    </row>
    <row r="2907" customHeight="1" spans="1:2">
      <c r="A2907" s="3" t="s">
        <v>4501</v>
      </c>
      <c r="B2907" s="4">
        <v>60128566</v>
      </c>
    </row>
    <row r="2908" customHeight="1" spans="1:2">
      <c r="A2908" s="3" t="s">
        <v>5266</v>
      </c>
      <c r="B2908" s="4">
        <v>50740078</v>
      </c>
    </row>
    <row r="2909" customHeight="1" spans="1:2">
      <c r="A2909" s="3" t="s">
        <v>5837</v>
      </c>
      <c r="B2909" s="4">
        <v>50648679</v>
      </c>
    </row>
    <row r="2910" customHeight="1" spans="1:2">
      <c r="A2910" s="3" t="s">
        <v>3767</v>
      </c>
      <c r="B2910" s="4">
        <v>42345531</v>
      </c>
    </row>
    <row r="2911" customHeight="1" spans="1:2">
      <c r="A2911" s="3" t="s">
        <v>16209</v>
      </c>
      <c r="B2911" s="4"/>
    </row>
    <row r="2912" customHeight="1" spans="1:2">
      <c r="A2912" s="3" t="s">
        <v>12028</v>
      </c>
      <c r="B2912" s="4"/>
    </row>
    <row r="2913" customHeight="1" spans="1:2">
      <c r="A2913" s="3" t="s">
        <v>13833</v>
      </c>
      <c r="B2913" s="4">
        <v>3169424</v>
      </c>
    </row>
    <row r="2914" customHeight="1" spans="1:2">
      <c r="A2914" s="3" t="s">
        <v>20436</v>
      </c>
      <c r="B2914" s="4"/>
    </row>
    <row r="2915" customHeight="1" spans="1:2">
      <c r="A2915" s="3" t="s">
        <v>10115</v>
      </c>
      <c r="B2915" s="4">
        <v>32662299</v>
      </c>
    </row>
    <row r="2916" customHeight="1" spans="1:2">
      <c r="A2916" s="3" t="s">
        <v>10762</v>
      </c>
      <c r="B2916" s="4">
        <v>48423368</v>
      </c>
    </row>
    <row r="2917" customHeight="1" spans="1:2">
      <c r="A2917" s="3" t="s">
        <v>9160</v>
      </c>
      <c r="B2917" s="4"/>
    </row>
    <row r="2918" customHeight="1" spans="1:2">
      <c r="A2918" s="3" t="s">
        <v>14658</v>
      </c>
      <c r="B2918" s="4">
        <v>2807854</v>
      </c>
    </row>
    <row r="2919" customHeight="1" spans="1:2">
      <c r="A2919" s="3" t="s">
        <v>22986</v>
      </c>
      <c r="B2919" s="4"/>
    </row>
    <row r="2920" customHeight="1" spans="1:2">
      <c r="A2920" s="3" t="s">
        <v>5891</v>
      </c>
      <c r="B2920" s="4">
        <v>22877808</v>
      </c>
    </row>
    <row r="2921" customHeight="1" spans="1:2">
      <c r="A2921" s="3" t="s">
        <v>6540</v>
      </c>
      <c r="B2921" s="4">
        <v>38087756</v>
      </c>
    </row>
    <row r="2922" customHeight="1" spans="1:2">
      <c r="A2922" s="3" t="s">
        <v>15561</v>
      </c>
      <c r="B2922" s="4">
        <v>2600000</v>
      </c>
    </row>
    <row r="2923" customHeight="1" spans="1:2">
      <c r="A2923" s="3" t="s">
        <v>7055</v>
      </c>
      <c r="B2923" s="4">
        <v>41997790</v>
      </c>
    </row>
    <row r="2924" customHeight="1" spans="1:2">
      <c r="A2924" s="3" t="s">
        <v>6348</v>
      </c>
      <c r="B2924" s="4">
        <v>90835030</v>
      </c>
    </row>
    <row r="2925" customHeight="1" spans="1:2">
      <c r="A2925" s="3" t="s">
        <v>9459</v>
      </c>
      <c r="B2925" s="4">
        <v>134141530</v>
      </c>
    </row>
    <row r="2926" customHeight="1" spans="1:2">
      <c r="A2926" s="3" t="s">
        <v>7731</v>
      </c>
      <c r="B2926" s="4">
        <v>630779</v>
      </c>
    </row>
    <row r="2927" customHeight="1" spans="1:2">
      <c r="A2927" s="3" t="s">
        <v>19770</v>
      </c>
      <c r="B2927" s="4">
        <v>2276368</v>
      </c>
    </row>
    <row r="2928" customHeight="1" spans="1:2">
      <c r="A2928" s="3" t="s">
        <v>5628</v>
      </c>
      <c r="B2928" s="4">
        <v>29781453</v>
      </c>
    </row>
    <row r="2929" customHeight="1" spans="1:2">
      <c r="A2929" s="3" t="s">
        <v>4289</v>
      </c>
      <c r="B2929" s="4">
        <v>40076438</v>
      </c>
    </row>
    <row r="2930" customHeight="1" spans="1:2">
      <c r="A2930" s="3" t="s">
        <v>1284</v>
      </c>
      <c r="B2930" s="4">
        <v>131536019</v>
      </c>
    </row>
    <row r="2931" customHeight="1" spans="1:2">
      <c r="A2931" s="3" t="s">
        <v>2254</v>
      </c>
      <c r="B2931" s="4">
        <v>143618384</v>
      </c>
    </row>
    <row r="2932" customHeight="1" spans="1:2">
      <c r="A2932" s="3" t="s">
        <v>8757</v>
      </c>
      <c r="B2932" s="4"/>
    </row>
    <row r="2933" customHeight="1" spans="1:2">
      <c r="A2933" s="3" t="s">
        <v>22808</v>
      </c>
      <c r="B2933" s="4"/>
    </row>
    <row r="2934" customHeight="1" spans="1:2">
      <c r="A2934" s="3" t="s">
        <v>1005</v>
      </c>
      <c r="B2934" s="4">
        <v>103400692</v>
      </c>
    </row>
    <row r="2935" customHeight="1" spans="1:2">
      <c r="A2935" s="3" t="s">
        <v>2040</v>
      </c>
      <c r="B2935" s="4">
        <v>176740650</v>
      </c>
    </row>
    <row r="2936" customHeight="1" spans="1:2">
      <c r="A2936" s="3" t="s">
        <v>10901</v>
      </c>
      <c r="B2936" s="4">
        <v>36874745</v>
      </c>
    </row>
    <row r="2937" customHeight="1" spans="1:2">
      <c r="A2937" s="3" t="s">
        <v>20601</v>
      </c>
      <c r="B2937" s="4">
        <v>4600000</v>
      </c>
    </row>
    <row r="2938" customHeight="1" spans="1:2">
      <c r="A2938" s="3" t="s">
        <v>22303</v>
      </c>
      <c r="B2938" s="4">
        <v>3278611</v>
      </c>
    </row>
    <row r="2939" customHeight="1" spans="1:2">
      <c r="A2939" s="3" t="s">
        <v>21013</v>
      </c>
      <c r="B2939" s="4">
        <v>105943</v>
      </c>
    </row>
    <row r="2940" customHeight="1" spans="1:2">
      <c r="A2940" s="3" t="s">
        <v>14912</v>
      </c>
      <c r="B2940" s="4">
        <v>30050028</v>
      </c>
    </row>
    <row r="2941" customHeight="1" spans="1:2">
      <c r="A2941" s="3" t="s">
        <v>2622</v>
      </c>
      <c r="B2941" s="4">
        <v>104054514</v>
      </c>
    </row>
    <row r="2942" customHeight="1" spans="1:2">
      <c r="A2942" s="3" t="s">
        <v>12393</v>
      </c>
      <c r="B2942" s="4">
        <v>68525609</v>
      </c>
    </row>
    <row r="2943" customHeight="1" spans="1:2">
      <c r="A2943" s="3" t="s">
        <v>20411</v>
      </c>
      <c r="B2943" s="4">
        <v>55202</v>
      </c>
    </row>
    <row r="2944" customHeight="1" spans="1:2">
      <c r="A2944" s="3" t="s">
        <v>22826</v>
      </c>
      <c r="B2944" s="4"/>
    </row>
    <row r="2945" customHeight="1" spans="1:2">
      <c r="A2945" s="3" t="s">
        <v>12308</v>
      </c>
      <c r="B2945" s="4">
        <v>2000000</v>
      </c>
    </row>
    <row r="2946" customHeight="1" spans="1:2">
      <c r="A2946" s="3" t="s">
        <v>8965</v>
      </c>
      <c r="B2946" s="4">
        <v>31600000</v>
      </c>
    </row>
    <row r="2947" customHeight="1" spans="1:2">
      <c r="A2947" s="3" t="s">
        <v>17817</v>
      </c>
      <c r="B2947" s="4"/>
    </row>
    <row r="2948" customHeight="1" spans="1:2">
      <c r="A2948" s="3" t="s">
        <v>193</v>
      </c>
      <c r="B2948" s="4">
        <v>105219735</v>
      </c>
    </row>
    <row r="2949" customHeight="1" spans="1:2">
      <c r="A2949" s="3" t="s">
        <v>5008</v>
      </c>
      <c r="B2949" s="4">
        <v>165500000</v>
      </c>
    </row>
    <row r="2950" customHeight="1" spans="1:2">
      <c r="A2950" s="3" t="s">
        <v>10462</v>
      </c>
      <c r="B2950" s="4">
        <v>10696210</v>
      </c>
    </row>
    <row r="2951" customHeight="1" spans="1:2">
      <c r="A2951" s="3" t="s">
        <v>1404</v>
      </c>
      <c r="B2951" s="4">
        <v>117214014</v>
      </c>
    </row>
    <row r="2952" customHeight="1" spans="1:2">
      <c r="A2952" s="3" t="s">
        <v>19873</v>
      </c>
      <c r="B2952" s="4">
        <v>3325638</v>
      </c>
    </row>
    <row r="2953" customHeight="1" spans="1:2">
      <c r="A2953" s="3" t="s">
        <v>19309</v>
      </c>
      <c r="B2953" s="4"/>
    </row>
    <row r="2954" customHeight="1" spans="1:2">
      <c r="A2954" s="3" t="s">
        <v>2607</v>
      </c>
      <c r="B2954" s="4">
        <v>128200012</v>
      </c>
    </row>
    <row r="2955" customHeight="1" spans="1:2">
      <c r="A2955" s="3" t="s">
        <v>3468</v>
      </c>
      <c r="B2955" s="4">
        <v>38509342</v>
      </c>
    </row>
    <row r="2956" customHeight="1" spans="1:2">
      <c r="A2956" s="3" t="s">
        <v>7035</v>
      </c>
      <c r="B2956" s="4">
        <v>16991902</v>
      </c>
    </row>
    <row r="2957" customHeight="1" spans="1:2">
      <c r="A2957" s="3" t="s">
        <v>20516</v>
      </c>
      <c r="B2957" s="4"/>
    </row>
    <row r="2958" customHeight="1" spans="1:2">
      <c r="A2958" s="3" t="s">
        <v>21498</v>
      </c>
      <c r="B2958" s="4"/>
    </row>
    <row r="2959" customHeight="1" spans="1:2">
      <c r="A2959" s="3" t="s">
        <v>11982</v>
      </c>
      <c r="B2959" s="4">
        <v>5694401</v>
      </c>
    </row>
    <row r="2960" customHeight="1" spans="1:2">
      <c r="A2960" s="3" t="s">
        <v>10082</v>
      </c>
      <c r="B2960" s="4">
        <v>70269171</v>
      </c>
    </row>
    <row r="2961" customHeight="1" spans="1:2">
      <c r="A2961" s="3" t="s">
        <v>21506</v>
      </c>
      <c r="B2961" s="4">
        <v>117235247</v>
      </c>
    </row>
    <row r="2962" customHeight="1" spans="1:2">
      <c r="A2962" s="3" t="s">
        <v>22745</v>
      </c>
      <c r="B2962" s="4"/>
    </row>
    <row r="2963" customHeight="1" spans="1:2">
      <c r="A2963" s="3" t="s">
        <v>23630</v>
      </c>
      <c r="B2963" s="4">
        <v>6706368</v>
      </c>
    </row>
    <row r="2964" customHeight="1" spans="1:2">
      <c r="A2964" s="3" t="s">
        <v>10304</v>
      </c>
      <c r="B2964" s="4"/>
    </row>
    <row r="2965" customHeight="1" spans="1:2">
      <c r="A2965" s="3" t="s">
        <v>8862</v>
      </c>
      <c r="B2965" s="4">
        <v>67266300</v>
      </c>
    </row>
    <row r="2966" customHeight="1" spans="1:2">
      <c r="A2966" s="3" t="s">
        <v>14971</v>
      </c>
      <c r="B2966" s="4">
        <v>17378977</v>
      </c>
    </row>
    <row r="2967" customHeight="1" spans="1:2">
      <c r="A2967" s="3" t="s">
        <v>3481</v>
      </c>
      <c r="B2967" s="4">
        <v>18990542</v>
      </c>
    </row>
    <row r="2968" customHeight="1" spans="1:2">
      <c r="A2968" s="3" t="s">
        <v>14667</v>
      </c>
      <c r="B2968" s="4">
        <v>540085</v>
      </c>
    </row>
    <row r="2969" customHeight="1" spans="1:2">
      <c r="A2969" s="3" t="s">
        <v>23662</v>
      </c>
      <c r="B2969" s="4"/>
    </row>
    <row r="2970" customHeight="1" spans="1:2">
      <c r="A2970" s="3" t="s">
        <v>13330</v>
      </c>
      <c r="B2970" s="4">
        <v>46338728</v>
      </c>
    </row>
    <row r="2971" customHeight="1" spans="1:2">
      <c r="A2971" s="3" t="s">
        <v>15193</v>
      </c>
      <c r="B2971" s="4">
        <v>3275585</v>
      </c>
    </row>
    <row r="2972" customHeight="1" spans="1:2">
      <c r="A2972" s="3" t="s">
        <v>9489</v>
      </c>
      <c r="B2972" s="4">
        <v>55973336</v>
      </c>
    </row>
    <row r="2973" customHeight="1" spans="1:2">
      <c r="A2973" s="3" t="s">
        <v>4715</v>
      </c>
      <c r="B2973" s="4">
        <v>41609593</v>
      </c>
    </row>
    <row r="2974" customHeight="1" spans="1:2">
      <c r="A2974" s="3" t="s">
        <v>13787</v>
      </c>
      <c r="B2974" s="4">
        <v>14677654</v>
      </c>
    </row>
    <row r="2975" customHeight="1" spans="1:2">
      <c r="A2975" s="3" t="s">
        <v>19127</v>
      </c>
      <c r="B2975" s="4"/>
    </row>
    <row r="2976" customHeight="1" spans="1:2">
      <c r="A2976" s="3" t="s">
        <v>15320</v>
      </c>
      <c r="B2976" s="4">
        <v>3093491</v>
      </c>
    </row>
    <row r="2977" customHeight="1" spans="1:2">
      <c r="A2977" s="3" t="s">
        <v>22993</v>
      </c>
      <c r="B2977" s="4"/>
    </row>
    <row r="2978" customHeight="1" spans="1:2">
      <c r="A2978" s="3" t="s">
        <v>14145</v>
      </c>
      <c r="B2978" s="4">
        <v>22905674</v>
      </c>
    </row>
    <row r="2979" customHeight="1" spans="1:2">
      <c r="A2979" s="3" t="s">
        <v>23093</v>
      </c>
      <c r="B2979" s="4"/>
    </row>
    <row r="2980" customHeight="1" spans="1:2">
      <c r="A2980" s="3" t="s">
        <v>22632</v>
      </c>
      <c r="B2980" s="4">
        <v>98017</v>
      </c>
    </row>
    <row r="2981" customHeight="1" spans="1:2">
      <c r="A2981" s="3" t="s">
        <v>22164</v>
      </c>
      <c r="B2981" s="4">
        <v>1001437</v>
      </c>
    </row>
    <row r="2982" customHeight="1" spans="1:2">
      <c r="A2982" s="3" t="s">
        <v>18056</v>
      </c>
      <c r="B2982" s="4">
        <v>37440</v>
      </c>
    </row>
    <row r="2983" customHeight="1" spans="1:2">
      <c r="A2983" s="3" t="s">
        <v>9575</v>
      </c>
      <c r="B2983" s="4">
        <v>39399750</v>
      </c>
    </row>
    <row r="2984" customHeight="1" spans="1:2">
      <c r="A2984" s="3" t="s">
        <v>8177</v>
      </c>
      <c r="B2984" s="4">
        <v>76501438</v>
      </c>
    </row>
    <row r="2985" customHeight="1" spans="1:2">
      <c r="A2985" s="3" t="s">
        <v>4147</v>
      </c>
      <c r="B2985" s="4"/>
    </row>
    <row r="2986" customHeight="1" spans="1:2">
      <c r="A2986" s="3" t="s">
        <v>16325</v>
      </c>
      <c r="B2986" s="4">
        <v>32333860</v>
      </c>
    </row>
    <row r="2987" customHeight="1" spans="1:2">
      <c r="A2987" s="3" t="s">
        <v>5401</v>
      </c>
      <c r="B2987" s="4">
        <v>26442251</v>
      </c>
    </row>
    <row r="2988" customHeight="1" spans="1:2">
      <c r="A2988" s="3" t="s">
        <v>20752</v>
      </c>
      <c r="B2988" s="4">
        <v>7267324</v>
      </c>
    </row>
    <row r="2989" customHeight="1" spans="1:2">
      <c r="A2989" s="3" t="s">
        <v>15151</v>
      </c>
      <c r="B2989" s="4">
        <v>5998971</v>
      </c>
    </row>
    <row r="2990" customHeight="1" spans="1:2">
      <c r="A2990" s="3" t="s">
        <v>23943</v>
      </c>
      <c r="B2990" s="4"/>
    </row>
    <row r="2991" customHeight="1" spans="1:2">
      <c r="A2991" s="3" t="s">
        <v>3306</v>
      </c>
      <c r="B2991" s="4">
        <v>152149590</v>
      </c>
    </row>
    <row r="2992" customHeight="1" spans="1:2">
      <c r="A2992" s="3" t="s">
        <v>8652</v>
      </c>
      <c r="B2992" s="4">
        <v>19316646</v>
      </c>
    </row>
    <row r="2993" customHeight="1" spans="1:2">
      <c r="A2993" s="3" t="s">
        <v>18091</v>
      </c>
      <c r="B2993" s="4"/>
    </row>
    <row r="2994" customHeight="1" spans="1:2">
      <c r="A2994" s="3" t="s">
        <v>12289</v>
      </c>
      <c r="B2994" s="4">
        <v>6855137</v>
      </c>
    </row>
    <row r="2995" customHeight="1" spans="1:2">
      <c r="A2995" s="3" t="s">
        <v>14285</v>
      </c>
      <c r="B2995" s="4">
        <v>6754898</v>
      </c>
    </row>
    <row r="2996" customHeight="1" spans="1:2">
      <c r="A2996" s="3" t="s">
        <v>2091</v>
      </c>
      <c r="B2996" s="4">
        <v>226138454</v>
      </c>
    </row>
    <row r="2997" customHeight="1" spans="1:2">
      <c r="A2997" s="3" t="s">
        <v>426</v>
      </c>
      <c r="B2997" s="4">
        <v>140080850</v>
      </c>
    </row>
    <row r="2998" customHeight="1" spans="1:2">
      <c r="A2998" s="3" t="s">
        <v>7265</v>
      </c>
      <c r="B2998" s="4"/>
    </row>
    <row r="2999" customHeight="1" spans="1:2">
      <c r="A2999" s="3" t="s">
        <v>7126</v>
      </c>
      <c r="B2999" s="4">
        <v>26903709</v>
      </c>
    </row>
    <row r="3000" customHeight="1" spans="1:2">
      <c r="A3000" s="3" t="s">
        <v>14974</v>
      </c>
      <c r="B3000" s="4">
        <v>17096053</v>
      </c>
    </row>
    <row r="3001" customHeight="1" spans="1:2">
      <c r="A3001" s="3" t="s">
        <v>23269</v>
      </c>
      <c r="B3001" s="4"/>
    </row>
    <row r="3002" customHeight="1" spans="1:2">
      <c r="A3002" s="3" t="s">
        <v>3338</v>
      </c>
      <c r="B3002" s="4">
        <v>116643346</v>
      </c>
    </row>
    <row r="3003" customHeight="1" spans="1:2">
      <c r="A3003" s="3" t="s">
        <v>7667</v>
      </c>
      <c r="B3003" s="4">
        <v>20999936</v>
      </c>
    </row>
    <row r="3004" customHeight="1" spans="1:2">
      <c r="A3004" s="3" t="s">
        <v>4460</v>
      </c>
      <c r="B3004" s="4"/>
    </row>
    <row r="3005" customHeight="1" spans="1:2">
      <c r="A3005" s="3" t="s">
        <v>8925</v>
      </c>
      <c r="B3005" s="4">
        <v>71346930</v>
      </c>
    </row>
    <row r="3006" customHeight="1" spans="1:2">
      <c r="A3006" s="3" t="s">
        <v>2356</v>
      </c>
      <c r="B3006" s="4">
        <v>126149655</v>
      </c>
    </row>
    <row r="3007" customHeight="1" spans="1:2">
      <c r="A3007" s="3" t="s">
        <v>21817</v>
      </c>
      <c r="B3007" s="4">
        <v>21210</v>
      </c>
    </row>
    <row r="3008" customHeight="1" spans="1:2">
      <c r="A3008" s="3" t="s">
        <v>7865</v>
      </c>
      <c r="B3008" s="4">
        <v>17120019</v>
      </c>
    </row>
    <row r="3009" customHeight="1" spans="1:2">
      <c r="A3009" s="3" t="s">
        <v>22244</v>
      </c>
      <c r="B3009" s="4">
        <v>4007792</v>
      </c>
    </row>
    <row r="3010" customHeight="1" spans="1:2">
      <c r="A3010" s="3" t="s">
        <v>1079</v>
      </c>
      <c r="B3010" s="4">
        <v>68642452</v>
      </c>
    </row>
    <row r="3011" customHeight="1" spans="1:2">
      <c r="A3011" s="3" t="s">
        <v>20394</v>
      </c>
      <c r="B3011" s="4">
        <v>100669</v>
      </c>
    </row>
    <row r="3012" customHeight="1" spans="1:2">
      <c r="A3012" s="3" t="s">
        <v>17502</v>
      </c>
      <c r="B3012" s="4">
        <v>795126</v>
      </c>
    </row>
    <row r="3013" customHeight="1" spans="1:2">
      <c r="A3013" s="3" t="s">
        <v>22218</v>
      </c>
      <c r="B3013" s="4">
        <v>1310270</v>
      </c>
    </row>
    <row r="3014" customHeight="1" spans="1:2">
      <c r="A3014" s="3" t="s">
        <v>1202</v>
      </c>
      <c r="B3014" s="4">
        <v>118311368</v>
      </c>
    </row>
    <row r="3015" customHeight="1" spans="1:2">
      <c r="A3015" s="3" t="s">
        <v>18264</v>
      </c>
      <c r="B3015" s="4"/>
    </row>
    <row r="3016" customHeight="1" spans="1:2">
      <c r="A3016" s="3" t="s">
        <v>17477</v>
      </c>
      <c r="B3016" s="4">
        <v>27445</v>
      </c>
    </row>
    <row r="3017" customHeight="1" spans="1:2">
      <c r="A3017" s="3" t="s">
        <v>18610</v>
      </c>
      <c r="B3017" s="4">
        <v>2601847</v>
      </c>
    </row>
    <row r="3018" customHeight="1" spans="1:2">
      <c r="A3018" s="3" t="s">
        <v>1514</v>
      </c>
      <c r="B3018" s="4">
        <v>155181732</v>
      </c>
    </row>
    <row r="3019" customHeight="1" spans="1:2">
      <c r="A3019" s="3" t="s">
        <v>24096</v>
      </c>
      <c r="B3019" s="4"/>
    </row>
    <row r="3020" customHeight="1" spans="1:2">
      <c r="A3020" s="3" t="s">
        <v>8493</v>
      </c>
      <c r="B3020" s="4">
        <v>23070045</v>
      </c>
    </row>
    <row r="3021" customHeight="1" spans="1:2">
      <c r="A3021" s="3" t="s">
        <v>21600</v>
      </c>
      <c r="B3021" s="4"/>
    </row>
    <row r="3022" customHeight="1" spans="1:2">
      <c r="A3022" s="3" t="s">
        <v>13335</v>
      </c>
      <c r="B3022" s="4">
        <v>7691700</v>
      </c>
    </row>
    <row r="3023" customHeight="1" spans="1:2">
      <c r="A3023" s="3" t="s">
        <v>19714</v>
      </c>
      <c r="B3023" s="4"/>
    </row>
    <row r="3024" customHeight="1" spans="1:2">
      <c r="A3024" s="3" t="s">
        <v>8762</v>
      </c>
      <c r="B3024" s="4"/>
    </row>
    <row r="3025" customHeight="1" spans="1:2">
      <c r="A3025" s="3" t="s">
        <v>18202</v>
      </c>
      <c r="B3025" s="4">
        <v>434417</v>
      </c>
    </row>
    <row r="3026" customHeight="1" spans="1:2">
      <c r="A3026" s="3" t="s">
        <v>5859</v>
      </c>
      <c r="B3026" s="4">
        <v>47307550</v>
      </c>
    </row>
    <row r="3027" customHeight="1" spans="1:2">
      <c r="A3027" s="3" t="s">
        <v>13660</v>
      </c>
      <c r="B3027" s="4">
        <v>91038276</v>
      </c>
    </row>
    <row r="3028" customHeight="1" spans="1:2">
      <c r="A3028" s="3" t="s">
        <v>17807</v>
      </c>
      <c r="B3028" s="4">
        <v>8786715</v>
      </c>
    </row>
    <row r="3029" customHeight="1" spans="1:2">
      <c r="A3029" s="3" t="s">
        <v>19860</v>
      </c>
      <c r="B3029" s="4">
        <v>1186323</v>
      </c>
    </row>
    <row r="3030" customHeight="1" spans="1:2">
      <c r="A3030" s="3" t="s">
        <v>18014</v>
      </c>
      <c r="B3030" s="4"/>
    </row>
    <row r="3031" customHeight="1" spans="1:2">
      <c r="A3031" s="3" t="s">
        <v>7365</v>
      </c>
      <c r="B3031" s="4">
        <v>83299761</v>
      </c>
    </row>
    <row r="3032" customHeight="1" spans="1:2">
      <c r="A3032" s="3" t="s">
        <v>18282</v>
      </c>
      <c r="B3032" s="4">
        <v>1391770</v>
      </c>
    </row>
    <row r="3033" customHeight="1" spans="1:2">
      <c r="A3033" s="3" t="s">
        <v>3625</v>
      </c>
      <c r="B3033" s="4">
        <v>216119491</v>
      </c>
    </row>
    <row r="3034" customHeight="1" spans="1:2">
      <c r="A3034" s="3" t="s">
        <v>10422</v>
      </c>
      <c r="B3034" s="4">
        <v>19351569</v>
      </c>
    </row>
    <row r="3035" customHeight="1" spans="1:2">
      <c r="A3035" s="3" t="s">
        <v>12187</v>
      </c>
      <c r="B3035" s="4">
        <v>45670855</v>
      </c>
    </row>
    <row r="3036" customHeight="1" spans="1:2">
      <c r="A3036" s="3" t="s">
        <v>17525</v>
      </c>
      <c r="B3036" s="4">
        <v>87025093</v>
      </c>
    </row>
    <row r="3037" customHeight="1" spans="1:2">
      <c r="A3037" s="3" t="s">
        <v>14790</v>
      </c>
      <c r="B3037" s="4">
        <v>80150343</v>
      </c>
    </row>
    <row r="3038" customHeight="1" spans="1:2">
      <c r="A3038" s="3" t="s">
        <v>14807</v>
      </c>
      <c r="B3038" s="4">
        <v>63270259</v>
      </c>
    </row>
    <row r="3039" customHeight="1" spans="1:2">
      <c r="A3039" s="3" t="s">
        <v>14683</v>
      </c>
      <c r="B3039" s="4">
        <v>56729973</v>
      </c>
    </row>
    <row r="3040" customHeight="1" spans="1:2">
      <c r="A3040" s="3" t="s">
        <v>14553</v>
      </c>
      <c r="B3040" s="4">
        <v>27669413</v>
      </c>
    </row>
    <row r="3041" customHeight="1" spans="1:2">
      <c r="A3041" s="3" t="s">
        <v>21281</v>
      </c>
      <c r="B3041" s="4">
        <v>55153403</v>
      </c>
    </row>
    <row r="3042" customHeight="1" spans="1:2">
      <c r="A3042" s="3" t="s">
        <v>9964</v>
      </c>
      <c r="B3042" s="4">
        <v>5516708</v>
      </c>
    </row>
    <row r="3043" customHeight="1" spans="1:2">
      <c r="A3043" s="3" t="s">
        <v>9545</v>
      </c>
      <c r="B3043" s="4">
        <v>44700000</v>
      </c>
    </row>
    <row r="3044" customHeight="1" spans="1:2">
      <c r="A3044" s="3" t="s">
        <v>5756</v>
      </c>
      <c r="B3044" s="4">
        <v>71277420</v>
      </c>
    </row>
    <row r="3045" customHeight="1" spans="1:2">
      <c r="A3045" s="3" t="s">
        <v>5707</v>
      </c>
      <c r="B3045" s="4">
        <v>110000082</v>
      </c>
    </row>
    <row r="3046" customHeight="1" spans="1:2">
      <c r="A3046" s="3" t="s">
        <v>6306</v>
      </c>
      <c r="B3046" s="4">
        <v>90703745</v>
      </c>
    </row>
    <row r="3047" customHeight="1" spans="1:2">
      <c r="A3047" s="3" t="s">
        <v>10885</v>
      </c>
      <c r="B3047" s="4">
        <v>32014289</v>
      </c>
    </row>
    <row r="3048" customHeight="1" spans="1:2">
      <c r="A3048" s="3" t="s">
        <v>9405</v>
      </c>
      <c r="B3048" s="4">
        <v>96067179</v>
      </c>
    </row>
    <row r="3049" customHeight="1" spans="1:2">
      <c r="A3049" s="3" t="s">
        <v>17055</v>
      </c>
      <c r="B3049" s="4">
        <v>14545844</v>
      </c>
    </row>
    <row r="3050" customHeight="1" spans="1:2">
      <c r="A3050" s="3" t="s">
        <v>11074</v>
      </c>
      <c r="B3050" s="4">
        <v>17803796</v>
      </c>
    </row>
    <row r="3051" customHeight="1" spans="1:2">
      <c r="A3051" s="3" t="s">
        <v>10697</v>
      </c>
      <c r="B3051" s="4">
        <v>81257845</v>
      </c>
    </row>
    <row r="3052" customHeight="1" spans="1:2">
      <c r="A3052" s="3" t="s">
        <v>9416</v>
      </c>
      <c r="B3052" s="4">
        <v>84185387</v>
      </c>
    </row>
    <row r="3053" customHeight="1" spans="1:2">
      <c r="A3053" s="3" t="s">
        <v>2480</v>
      </c>
      <c r="B3053" s="4">
        <v>153288182</v>
      </c>
    </row>
    <row r="3054" customHeight="1" spans="1:2">
      <c r="A3054" s="3" t="s">
        <v>18514</v>
      </c>
      <c r="B3054" s="4">
        <v>10515579</v>
      </c>
    </row>
    <row r="3055" customHeight="1" spans="1:2">
      <c r="A3055" s="3" t="s">
        <v>2459</v>
      </c>
      <c r="B3055" s="4">
        <v>31494270</v>
      </c>
    </row>
    <row r="3056" customHeight="1" spans="1:2">
      <c r="A3056" s="3" t="s">
        <v>22673</v>
      </c>
      <c r="B3056" s="4"/>
    </row>
    <row r="3057" customHeight="1" spans="1:2">
      <c r="A3057" s="3" t="s">
        <v>10086</v>
      </c>
      <c r="B3057" s="4">
        <v>101334374</v>
      </c>
    </row>
    <row r="3058" customHeight="1" spans="1:2">
      <c r="A3058" s="3" t="s">
        <v>6312</v>
      </c>
      <c r="B3058" s="4">
        <v>89138076</v>
      </c>
    </row>
    <row r="3059" customHeight="1" spans="1:2">
      <c r="A3059" s="3" t="s">
        <v>6564</v>
      </c>
      <c r="B3059" s="4">
        <v>38176892</v>
      </c>
    </row>
    <row r="3060" customHeight="1" spans="1:2">
      <c r="A3060" s="3" t="s">
        <v>11569</v>
      </c>
      <c r="B3060" s="4">
        <v>103001286</v>
      </c>
    </row>
    <row r="3061" customHeight="1" spans="1:2">
      <c r="A3061" s="3" t="s">
        <v>12682</v>
      </c>
      <c r="B3061" s="4"/>
    </row>
    <row r="3062" customHeight="1" spans="1:2">
      <c r="A3062" s="3" t="s">
        <v>14270</v>
      </c>
      <c r="B3062" s="4">
        <v>6982680</v>
      </c>
    </row>
    <row r="3063" customHeight="1" spans="1:2">
      <c r="A3063" s="3" t="s">
        <v>7903</v>
      </c>
      <c r="B3063" s="4">
        <v>60328558</v>
      </c>
    </row>
    <row r="3064" customHeight="1" spans="1:2">
      <c r="A3064" s="3" t="s">
        <v>8139</v>
      </c>
      <c r="B3064" s="4">
        <v>100125340</v>
      </c>
    </row>
    <row r="3065" customHeight="1" spans="1:2">
      <c r="A3065" s="3" t="s">
        <v>11560</v>
      </c>
      <c r="B3065" s="4">
        <v>58571513</v>
      </c>
    </row>
    <row r="3066" customHeight="1" spans="1:2">
      <c r="A3066" s="3" t="s">
        <v>17862</v>
      </c>
      <c r="B3066" s="4">
        <v>4074023</v>
      </c>
    </row>
    <row r="3067" customHeight="1" spans="1:2">
      <c r="A3067" s="3" t="s">
        <v>2300</v>
      </c>
      <c r="B3067" s="4">
        <v>120147445</v>
      </c>
    </row>
    <row r="3068" customHeight="1" spans="1:2">
      <c r="A3068" s="3" t="s">
        <v>8358</v>
      </c>
      <c r="B3068" s="4">
        <v>41407470</v>
      </c>
    </row>
    <row r="3069" customHeight="1" spans="1:2">
      <c r="A3069" s="3" t="s">
        <v>11151</v>
      </c>
      <c r="B3069" s="4"/>
    </row>
    <row r="3070" customHeight="1" spans="1:2">
      <c r="A3070" s="3" t="s">
        <v>6483</v>
      </c>
      <c r="B3070" s="4">
        <v>47781388</v>
      </c>
    </row>
    <row r="3071" customHeight="1" spans="1:2">
      <c r="A3071" s="3" t="s">
        <v>7346</v>
      </c>
      <c r="B3071" s="4">
        <v>59699513</v>
      </c>
    </row>
    <row r="3072" customHeight="1" spans="1:2">
      <c r="A3072" s="3" t="s">
        <v>18569</v>
      </c>
      <c r="B3072" s="4">
        <v>4046737</v>
      </c>
    </row>
    <row r="3073" customHeight="1" spans="1:2">
      <c r="A3073" s="3" t="s">
        <v>18237</v>
      </c>
      <c r="B3073" s="4"/>
    </row>
    <row r="3074" customHeight="1" spans="1:2">
      <c r="A3074" s="3" t="s">
        <v>12435</v>
      </c>
      <c r="B3074" s="4">
        <v>33357476</v>
      </c>
    </row>
    <row r="3075" customHeight="1" spans="1:2">
      <c r="A3075" s="3" t="s">
        <v>8817</v>
      </c>
      <c r="B3075" s="4">
        <v>17016190</v>
      </c>
    </row>
    <row r="3076" customHeight="1" spans="1:2">
      <c r="A3076" s="3" t="s">
        <v>15104</v>
      </c>
      <c r="B3076" s="4">
        <v>6619173</v>
      </c>
    </row>
    <row r="3077" customHeight="1" spans="1:2">
      <c r="A3077" s="3" t="s">
        <v>10850</v>
      </c>
      <c r="B3077" s="4">
        <v>35422828</v>
      </c>
    </row>
    <row r="3078" customHeight="1" spans="1:2">
      <c r="A3078" s="3" t="s">
        <v>9360</v>
      </c>
      <c r="B3078" s="4">
        <v>12276810</v>
      </c>
    </row>
    <row r="3079" customHeight="1" spans="1:2">
      <c r="A3079" s="3" t="s">
        <v>10766</v>
      </c>
      <c r="B3079" s="4">
        <v>52066000</v>
      </c>
    </row>
    <row r="3080" customHeight="1" spans="1:2">
      <c r="A3080" s="3" t="s">
        <v>4750</v>
      </c>
      <c r="B3080" s="4">
        <v>33472850</v>
      </c>
    </row>
    <row r="3081" customHeight="1" spans="1:2">
      <c r="A3081" s="3" t="s">
        <v>12358</v>
      </c>
      <c r="B3081" s="4">
        <v>42700000</v>
      </c>
    </row>
    <row r="3082" customHeight="1" spans="1:2">
      <c r="A3082" s="3" t="s">
        <v>14765</v>
      </c>
      <c r="B3082" s="4">
        <v>1066555</v>
      </c>
    </row>
    <row r="3083" customHeight="1" spans="1:2">
      <c r="A3083" s="3" t="s">
        <v>8910</v>
      </c>
      <c r="B3083" s="4">
        <v>49968653</v>
      </c>
    </row>
    <row r="3084" customHeight="1" spans="1:2">
      <c r="A3084" s="3" t="s">
        <v>6937</v>
      </c>
      <c r="B3084" s="4">
        <v>25335935</v>
      </c>
    </row>
    <row r="3085" customHeight="1" spans="1:2">
      <c r="A3085" s="3" t="s">
        <v>13794</v>
      </c>
      <c r="B3085" s="4">
        <v>7881335</v>
      </c>
    </row>
    <row r="3086" customHeight="1" spans="1:2">
      <c r="A3086" s="3" t="s">
        <v>8802</v>
      </c>
      <c r="B3086" s="4">
        <v>16930185</v>
      </c>
    </row>
    <row r="3087" customHeight="1" spans="1:2">
      <c r="A3087" s="3" t="s">
        <v>20979</v>
      </c>
      <c r="B3087" s="4">
        <v>373967</v>
      </c>
    </row>
    <row r="3088" customHeight="1" spans="1:2">
      <c r="A3088" s="3" t="s">
        <v>15623</v>
      </c>
      <c r="B3088" s="4">
        <v>36049108</v>
      </c>
    </row>
    <row r="3089" customHeight="1" spans="1:2">
      <c r="A3089" s="3" t="s">
        <v>4843</v>
      </c>
      <c r="B3089" s="4">
        <v>69951824</v>
      </c>
    </row>
    <row r="3090" customHeight="1" spans="1:2">
      <c r="A3090" s="3" t="s">
        <v>13613</v>
      </c>
      <c r="B3090" s="4">
        <v>14989761</v>
      </c>
    </row>
    <row r="3091" customHeight="1" spans="1:2">
      <c r="A3091" s="3" t="s">
        <v>22609</v>
      </c>
      <c r="B3091" s="4">
        <v>269061</v>
      </c>
    </row>
    <row r="3092" customHeight="1" spans="1:2">
      <c r="A3092" s="3" t="s">
        <v>3433</v>
      </c>
      <c r="B3092" s="4">
        <v>37901509</v>
      </c>
    </row>
    <row r="3093" customHeight="1" spans="1:2">
      <c r="A3093" s="3" t="s">
        <v>2020</v>
      </c>
      <c r="B3093" s="4">
        <v>17176900</v>
      </c>
    </row>
    <row r="3094" customHeight="1" spans="1:2">
      <c r="A3094" s="3" t="s">
        <v>15351</v>
      </c>
      <c r="B3094" s="4">
        <v>136432</v>
      </c>
    </row>
    <row r="3095" customHeight="1" spans="1:2">
      <c r="A3095" s="3" t="s">
        <v>1981</v>
      </c>
      <c r="B3095" s="4">
        <v>95328937</v>
      </c>
    </row>
    <row r="3096" customHeight="1" spans="1:2">
      <c r="A3096" s="3" t="s">
        <v>4511</v>
      </c>
      <c r="B3096" s="4"/>
    </row>
    <row r="3097" customHeight="1" spans="1:2">
      <c r="A3097" s="3" t="s">
        <v>11651</v>
      </c>
      <c r="B3097" s="4">
        <v>8396942</v>
      </c>
    </row>
    <row r="3098" customHeight="1" spans="1:2">
      <c r="A3098" s="3" t="s">
        <v>6576</v>
      </c>
      <c r="B3098" s="4">
        <v>38543473</v>
      </c>
    </row>
    <row r="3099" customHeight="1" spans="1:2">
      <c r="A3099" s="3" t="s">
        <v>21442</v>
      </c>
      <c r="B3099" s="4">
        <v>247740</v>
      </c>
    </row>
    <row r="3100" customHeight="1" spans="1:2">
      <c r="A3100" s="3" t="s">
        <v>21278</v>
      </c>
      <c r="B3100" s="4">
        <v>24741700</v>
      </c>
    </row>
    <row r="3101" customHeight="1" spans="1:2">
      <c r="A3101" s="3" t="s">
        <v>18375</v>
      </c>
      <c r="B3101" s="4">
        <v>6940281</v>
      </c>
    </row>
    <row r="3102" customHeight="1" spans="1:2">
      <c r="A3102" s="3" t="s">
        <v>6967</v>
      </c>
      <c r="B3102" s="4">
        <v>30400000</v>
      </c>
    </row>
    <row r="3103" customHeight="1" spans="1:2">
      <c r="A3103" s="3" t="s">
        <v>16811</v>
      </c>
      <c r="B3103" s="4">
        <v>10696</v>
      </c>
    </row>
    <row r="3104" customHeight="1" spans="1:2">
      <c r="A3104" s="3" t="s">
        <v>5988</v>
      </c>
      <c r="B3104" s="4">
        <v>2154540</v>
      </c>
    </row>
    <row r="3105" customHeight="1" spans="1:2">
      <c r="A3105" s="3" t="s">
        <v>16115</v>
      </c>
      <c r="B3105" s="4">
        <v>8279017</v>
      </c>
    </row>
    <row r="3106" customHeight="1" spans="1:2">
      <c r="A3106" s="3" t="s">
        <v>10399</v>
      </c>
      <c r="B3106" s="4">
        <v>25842000</v>
      </c>
    </row>
    <row r="3107" customHeight="1" spans="1:2">
      <c r="A3107" s="3" t="s">
        <v>4878</v>
      </c>
      <c r="B3107" s="4">
        <v>70327868</v>
      </c>
    </row>
    <row r="3108" customHeight="1" spans="1:2">
      <c r="A3108" s="3" t="s">
        <v>9228</v>
      </c>
      <c r="B3108" s="4">
        <v>100241322</v>
      </c>
    </row>
    <row r="3109" customHeight="1" spans="1:2">
      <c r="A3109" s="3" t="s">
        <v>21114</v>
      </c>
      <c r="B3109" s="4"/>
    </row>
    <row r="3110" customHeight="1" spans="1:2">
      <c r="A3110" s="3" t="s">
        <v>6427</v>
      </c>
      <c r="B3110" s="4">
        <v>57887882</v>
      </c>
    </row>
    <row r="3111" customHeight="1" spans="1:2">
      <c r="A3111" s="3" t="s">
        <v>6374</v>
      </c>
      <c r="B3111" s="4">
        <v>70836296</v>
      </c>
    </row>
    <row r="3112" customHeight="1" spans="1:2">
      <c r="A3112" s="3" t="s">
        <v>16906</v>
      </c>
      <c r="B3112" s="4">
        <v>4000304</v>
      </c>
    </row>
    <row r="3113" customHeight="1" spans="1:2">
      <c r="A3113" s="3" t="s">
        <v>24155</v>
      </c>
      <c r="B3113" s="4">
        <v>10443</v>
      </c>
    </row>
    <row r="3114" customHeight="1" spans="1:2">
      <c r="A3114" s="3" t="s">
        <v>5148</v>
      </c>
      <c r="B3114" s="4">
        <v>60470220</v>
      </c>
    </row>
    <row r="3115" customHeight="1" spans="1:2">
      <c r="A3115" s="3" t="s">
        <v>4678</v>
      </c>
      <c r="B3115" s="4">
        <v>56932305</v>
      </c>
    </row>
    <row r="3116" customHeight="1" spans="1:2">
      <c r="A3116" s="3" t="s">
        <v>12299</v>
      </c>
      <c r="B3116" s="4">
        <v>2315683</v>
      </c>
    </row>
    <row r="3117" customHeight="1" spans="1:2">
      <c r="A3117" s="3" t="s">
        <v>15304</v>
      </c>
      <c r="B3117" s="4">
        <v>488872</v>
      </c>
    </row>
    <row r="3118" customHeight="1" spans="1:2">
      <c r="A3118" s="3" t="s">
        <v>20597</v>
      </c>
      <c r="B3118" s="4"/>
    </row>
    <row r="3119" customHeight="1" spans="1:2">
      <c r="A3119" s="3" t="s">
        <v>9849</v>
      </c>
      <c r="B3119" s="4">
        <v>18860403</v>
      </c>
    </row>
    <row r="3120" customHeight="1" spans="1:2">
      <c r="A3120" s="3" t="s">
        <v>3073</v>
      </c>
      <c r="B3120" s="4">
        <v>160762022</v>
      </c>
    </row>
    <row r="3121" customHeight="1" spans="1:2">
      <c r="A3121" s="3" t="s">
        <v>18962</v>
      </c>
      <c r="B3121" s="4"/>
    </row>
    <row r="3122" customHeight="1" spans="1:2">
      <c r="A3122" s="3" t="s">
        <v>20104</v>
      </c>
      <c r="B3122" s="4"/>
    </row>
    <row r="3123" customHeight="1" spans="1:2">
      <c r="A3123" s="3" t="s">
        <v>17180</v>
      </c>
      <c r="B3123" s="4">
        <v>2207975</v>
      </c>
    </row>
    <row r="3124" customHeight="1" spans="1:2">
      <c r="A3124" s="3" t="s">
        <v>11511</v>
      </c>
      <c r="B3124" s="4"/>
    </row>
    <row r="3125" customHeight="1" spans="1:2">
      <c r="A3125" s="3" t="s">
        <v>17723</v>
      </c>
      <c r="B3125" s="4">
        <v>13464388</v>
      </c>
    </row>
    <row r="3126" customHeight="1" spans="1:2">
      <c r="A3126" s="3" t="s">
        <v>9743</v>
      </c>
      <c r="B3126" s="4"/>
    </row>
    <row r="3127" customHeight="1" spans="1:2">
      <c r="A3127" s="3" t="s">
        <v>23397</v>
      </c>
      <c r="B3127" s="4"/>
    </row>
    <row r="3128" customHeight="1" spans="1:2">
      <c r="A3128" s="3" t="s">
        <v>20819</v>
      </c>
      <c r="B3128" s="4"/>
    </row>
    <row r="3129" customHeight="1" spans="1:2">
      <c r="A3129" s="3" t="s">
        <v>9955</v>
      </c>
      <c r="B3129" s="4"/>
    </row>
    <row r="3130" customHeight="1" spans="1:2">
      <c r="A3130" s="3" t="s">
        <v>2154</v>
      </c>
      <c r="B3130" s="4">
        <v>209019489</v>
      </c>
    </row>
    <row r="3131" customHeight="1" spans="1:2">
      <c r="A3131" s="3" t="s">
        <v>1298</v>
      </c>
      <c r="B3131" s="4">
        <v>186830669</v>
      </c>
    </row>
    <row r="3132" customHeight="1" spans="1:2">
      <c r="A3132" s="3" t="s">
        <v>20445</v>
      </c>
      <c r="B3132" s="4">
        <v>198407</v>
      </c>
    </row>
    <row r="3133" customHeight="1" spans="1:2">
      <c r="A3133" s="3" t="s">
        <v>14804</v>
      </c>
      <c r="B3133" s="4">
        <v>63319509</v>
      </c>
    </row>
    <row r="3134" customHeight="1" spans="1:2">
      <c r="A3134" s="3" t="s">
        <v>23535</v>
      </c>
      <c r="B3134" s="4">
        <v>7137502</v>
      </c>
    </row>
    <row r="3135" customHeight="1" spans="1:2">
      <c r="A3135" s="3" t="s">
        <v>10975</v>
      </c>
      <c r="B3135" s="4">
        <v>31584722</v>
      </c>
    </row>
    <row r="3136" customHeight="1" spans="1:2">
      <c r="A3136" s="3" t="s">
        <v>9630</v>
      </c>
      <c r="B3136" s="4">
        <v>33687630</v>
      </c>
    </row>
    <row r="3137" customHeight="1" spans="1:2">
      <c r="A3137" s="3" t="s">
        <v>18930</v>
      </c>
      <c r="B3137" s="4">
        <v>9449219</v>
      </c>
    </row>
    <row r="3138" customHeight="1" spans="1:2">
      <c r="A3138" s="3" t="s">
        <v>21607</v>
      </c>
      <c r="B3138" s="4">
        <v>5355376</v>
      </c>
    </row>
    <row r="3139" customHeight="1" spans="1:2">
      <c r="A3139" s="3" t="s">
        <v>17395</v>
      </c>
      <c r="B3139" s="4">
        <v>35811509</v>
      </c>
    </row>
    <row r="3140" customHeight="1" spans="1:2">
      <c r="A3140" s="3" t="s">
        <v>13315</v>
      </c>
      <c r="B3140" s="4"/>
    </row>
    <row r="3141" customHeight="1" spans="1:2">
      <c r="A3141" s="3" t="s">
        <v>15864</v>
      </c>
      <c r="B3141" s="4"/>
    </row>
    <row r="3142" customHeight="1" spans="1:2">
      <c r="A3142" s="3" t="s">
        <v>22560</v>
      </c>
      <c r="B3142" s="4">
        <v>906666</v>
      </c>
    </row>
    <row r="3143" customHeight="1" spans="1:2">
      <c r="A3143" s="3" t="s">
        <v>4186</v>
      </c>
      <c r="B3143" s="4">
        <v>46975183</v>
      </c>
    </row>
    <row r="3144" customHeight="1" spans="1:2">
      <c r="A3144" s="3" t="s">
        <v>18643</v>
      </c>
      <c r="B3144" s="4">
        <v>302204</v>
      </c>
    </row>
    <row r="3145" customHeight="1" spans="1:2">
      <c r="A3145" s="3" t="s">
        <v>23443</v>
      </c>
      <c r="B3145" s="4"/>
    </row>
    <row r="3146" customHeight="1" spans="1:2">
      <c r="A3146" s="3" t="s">
        <v>16348</v>
      </c>
      <c r="B3146" s="4">
        <v>10281585</v>
      </c>
    </row>
    <row r="3147" customHeight="1" spans="1:2">
      <c r="A3147" s="3" t="s">
        <v>23404</v>
      </c>
      <c r="B3147" s="4">
        <v>381225</v>
      </c>
    </row>
    <row r="3148" customHeight="1" spans="1:2">
      <c r="A3148" s="3" t="s">
        <v>20292</v>
      </c>
      <c r="B3148" s="4">
        <v>1984378</v>
      </c>
    </row>
    <row r="3149" customHeight="1" spans="1:2">
      <c r="A3149" s="3" t="s">
        <v>11007</v>
      </c>
      <c r="B3149" s="4">
        <v>20916309</v>
      </c>
    </row>
    <row r="3150" customHeight="1" spans="1:2">
      <c r="A3150" s="3" t="s">
        <v>23247</v>
      </c>
      <c r="B3150" s="4">
        <v>45661</v>
      </c>
    </row>
    <row r="3151" customHeight="1" spans="1:2">
      <c r="A3151" s="3" t="s">
        <v>18085</v>
      </c>
      <c r="B3151" s="4"/>
    </row>
    <row r="3152" customHeight="1" spans="1:2">
      <c r="A3152" s="3" t="s">
        <v>19989</v>
      </c>
      <c r="B3152" s="4"/>
    </row>
    <row r="3153" customHeight="1" spans="1:2">
      <c r="A3153" s="3" t="s">
        <v>22923</v>
      </c>
      <c r="B3153" s="4"/>
    </row>
    <row r="3154" customHeight="1" spans="1:2">
      <c r="A3154" s="3" t="s">
        <v>16155</v>
      </c>
      <c r="B3154" s="4">
        <v>2275557</v>
      </c>
    </row>
    <row r="3155" customHeight="1" spans="1:2">
      <c r="A3155" s="3" t="s">
        <v>6721</v>
      </c>
      <c r="B3155" s="4">
        <v>20302961</v>
      </c>
    </row>
    <row r="3156" customHeight="1" spans="1:2">
      <c r="A3156" s="3" t="s">
        <v>3296</v>
      </c>
      <c r="B3156" s="4">
        <v>436471036</v>
      </c>
    </row>
    <row r="3157" customHeight="1" spans="1:2">
      <c r="A3157" s="3" t="s">
        <v>602</v>
      </c>
      <c r="B3157" s="4">
        <v>238371987</v>
      </c>
    </row>
    <row r="3158" customHeight="1" spans="1:2">
      <c r="A3158" s="3" t="s">
        <v>726</v>
      </c>
      <c r="B3158" s="4">
        <v>320706665</v>
      </c>
    </row>
    <row r="3159" customHeight="1" spans="1:2">
      <c r="A3159" s="3" t="s">
        <v>4999</v>
      </c>
      <c r="B3159" s="4">
        <v>267652016</v>
      </c>
    </row>
    <row r="3160" customHeight="1" spans="1:2">
      <c r="A3160" s="3" t="s">
        <v>2597</v>
      </c>
      <c r="B3160" s="4">
        <v>127968405</v>
      </c>
    </row>
    <row r="3161" customHeight="1" spans="1:2">
      <c r="A3161" s="3" t="s">
        <v>16023</v>
      </c>
      <c r="B3161" s="4">
        <v>25926543</v>
      </c>
    </row>
    <row r="3162" customHeight="1" spans="1:2">
      <c r="A3162" s="3" t="s">
        <v>8342</v>
      </c>
      <c r="B3162" s="4">
        <v>46875468</v>
      </c>
    </row>
    <row r="3163" customHeight="1" spans="1:2">
      <c r="A3163" s="3" t="s">
        <v>15638</v>
      </c>
      <c r="B3163" s="4">
        <v>24530513</v>
      </c>
    </row>
    <row r="3164" customHeight="1" spans="1:2">
      <c r="A3164" s="3" t="s">
        <v>8448</v>
      </c>
      <c r="B3164" s="4">
        <v>64308820</v>
      </c>
    </row>
    <row r="3165" customHeight="1" spans="1:2">
      <c r="A3165" s="3" t="s">
        <v>12163</v>
      </c>
      <c r="B3165" s="4">
        <v>71502303</v>
      </c>
    </row>
    <row r="3166" customHeight="1" spans="1:2">
      <c r="A3166" s="3" t="s">
        <v>24139</v>
      </c>
      <c r="B3166" s="4"/>
    </row>
    <row r="3167" customHeight="1" spans="1:2">
      <c r="A3167" s="3" t="s">
        <v>3290</v>
      </c>
      <c r="B3167" s="4">
        <v>227965690</v>
      </c>
    </row>
    <row r="3168" customHeight="1" spans="1:2">
      <c r="A3168" s="3" t="s">
        <v>5223</v>
      </c>
      <c r="B3168" s="4">
        <v>46982632</v>
      </c>
    </row>
    <row r="3169" customHeight="1" spans="1:2">
      <c r="A3169" s="3" t="s">
        <v>11079</v>
      </c>
      <c r="B3169" s="4">
        <v>17529157</v>
      </c>
    </row>
    <row r="3170" customHeight="1" spans="1:2">
      <c r="A3170" s="3" t="s">
        <v>20173</v>
      </c>
      <c r="B3170" s="4">
        <v>12555230</v>
      </c>
    </row>
    <row r="3171" customHeight="1" spans="1:2">
      <c r="A3171" s="3" t="s">
        <v>18350</v>
      </c>
      <c r="B3171" s="4"/>
    </row>
    <row r="3172" customHeight="1" spans="1:2">
      <c r="A3172" s="3" t="s">
        <v>21503</v>
      </c>
      <c r="B3172" s="4"/>
    </row>
    <row r="3173" customHeight="1" spans="1:2">
      <c r="A3173" s="3" t="s">
        <v>13256</v>
      </c>
      <c r="B3173" s="4"/>
    </row>
    <row r="3174" customHeight="1" spans="1:2">
      <c r="A3174" s="3" t="s">
        <v>15891</v>
      </c>
      <c r="B3174" s="4"/>
    </row>
    <row r="3175" customHeight="1" spans="1:2">
      <c r="A3175" s="3" t="s">
        <v>10576</v>
      </c>
      <c r="B3175" s="4">
        <v>132088910</v>
      </c>
    </row>
    <row r="3176" customHeight="1" spans="1:2">
      <c r="A3176" s="3" t="s">
        <v>19782</v>
      </c>
      <c r="B3176" s="4"/>
    </row>
    <row r="3177" customHeight="1" spans="1:2">
      <c r="A3177" s="3" t="s">
        <v>9300</v>
      </c>
      <c r="B3177" s="4">
        <v>33200000</v>
      </c>
    </row>
    <row r="3178" customHeight="1" spans="1:2">
      <c r="A3178" s="3" t="s">
        <v>11063</v>
      </c>
      <c r="B3178" s="4">
        <v>18252684</v>
      </c>
    </row>
    <row r="3179" customHeight="1" spans="1:2">
      <c r="A3179" s="3" t="s">
        <v>17156</v>
      </c>
      <c r="B3179" s="4">
        <v>4394936</v>
      </c>
    </row>
    <row r="3180" customHeight="1" spans="1:2">
      <c r="A3180" s="3" t="s">
        <v>6363</v>
      </c>
      <c r="B3180" s="4">
        <v>74098862</v>
      </c>
    </row>
    <row r="3181" customHeight="1" spans="1:2">
      <c r="A3181" s="3" t="s">
        <v>3829</v>
      </c>
      <c r="B3181" s="4">
        <v>13750556</v>
      </c>
    </row>
    <row r="3182" customHeight="1" spans="1:2">
      <c r="A3182" s="3" t="s">
        <v>4330</v>
      </c>
      <c r="B3182" s="4">
        <v>26288320</v>
      </c>
    </row>
    <row r="3183" customHeight="1" spans="1:2">
      <c r="A3183" s="3" t="s">
        <v>19790</v>
      </c>
      <c r="B3183" s="4"/>
    </row>
    <row r="3184" customHeight="1" spans="1:2">
      <c r="A3184" s="3" t="s">
        <v>14943</v>
      </c>
      <c r="B3184" s="4">
        <v>27736779</v>
      </c>
    </row>
    <row r="3185" customHeight="1" spans="1:2">
      <c r="A3185" s="3" t="s">
        <v>19210</v>
      </c>
      <c r="B3185" s="4">
        <v>48056940</v>
      </c>
    </row>
    <row r="3186" customHeight="1" spans="1:2">
      <c r="A3186" s="3" t="s">
        <v>23068</v>
      </c>
      <c r="B3186" s="4">
        <v>32631</v>
      </c>
    </row>
    <row r="3187" customHeight="1" spans="1:2">
      <c r="A3187" s="3" t="s">
        <v>2701</v>
      </c>
      <c r="B3187" s="4">
        <v>74329966</v>
      </c>
    </row>
    <row r="3188" customHeight="1" spans="1:2">
      <c r="A3188" s="3" t="s">
        <v>20377</v>
      </c>
      <c r="B3188" s="4">
        <v>124494</v>
      </c>
    </row>
    <row r="3189" customHeight="1" spans="1:2">
      <c r="A3189" s="3" t="s">
        <v>15834</v>
      </c>
      <c r="B3189" s="4">
        <v>162</v>
      </c>
    </row>
    <row r="3190" customHeight="1" spans="1:2">
      <c r="A3190" s="3" t="s">
        <v>3514</v>
      </c>
      <c r="B3190" s="4">
        <v>37760080</v>
      </c>
    </row>
    <row r="3191" customHeight="1" spans="1:2">
      <c r="A3191" s="3" t="s">
        <v>7317</v>
      </c>
      <c r="B3191" s="4">
        <v>63939454</v>
      </c>
    </row>
    <row r="3192" customHeight="1" spans="1:2">
      <c r="A3192" s="3" t="s">
        <v>243</v>
      </c>
      <c r="B3192" s="4">
        <v>608720554</v>
      </c>
    </row>
    <row r="3193" customHeight="1" spans="1:2">
      <c r="A3193" s="3" t="s">
        <v>14977</v>
      </c>
      <c r="B3193" s="4">
        <v>21371425</v>
      </c>
    </row>
    <row r="3194" customHeight="1" spans="1:2">
      <c r="A3194" s="3" t="s">
        <v>20575</v>
      </c>
      <c r="B3194" s="4"/>
    </row>
    <row r="3195" customHeight="1" spans="1:2">
      <c r="A3195" s="3" t="s">
        <v>24002</v>
      </c>
      <c r="B3195" s="4">
        <v>1227508</v>
      </c>
    </row>
    <row r="3196" customHeight="1" spans="1:2">
      <c r="A3196" s="3" t="s">
        <v>14625</v>
      </c>
      <c r="B3196" s="4">
        <v>4814244</v>
      </c>
    </row>
    <row r="3197" customHeight="1" spans="1:2">
      <c r="A3197" s="3" t="s">
        <v>21694</v>
      </c>
      <c r="B3197" s="4">
        <v>982214</v>
      </c>
    </row>
    <row r="3198" customHeight="1" spans="1:2">
      <c r="A3198" s="3" t="s">
        <v>19930</v>
      </c>
      <c r="B3198" s="4">
        <v>75727</v>
      </c>
    </row>
    <row r="3199" customHeight="1" spans="1:2">
      <c r="A3199" s="3" t="s">
        <v>18027</v>
      </c>
      <c r="B3199" s="4"/>
    </row>
    <row r="3200" customHeight="1" spans="1:2">
      <c r="A3200" s="3" t="s">
        <v>20136</v>
      </c>
      <c r="B3200" s="4"/>
    </row>
    <row r="3201" customHeight="1" spans="1:2">
      <c r="A3201" s="3" t="s">
        <v>6017</v>
      </c>
      <c r="B3201" s="4">
        <v>53300852</v>
      </c>
    </row>
    <row r="3202" customHeight="1" spans="1:2">
      <c r="A3202" s="3" t="s">
        <v>15081</v>
      </c>
      <c r="B3202" s="4">
        <v>8070311</v>
      </c>
    </row>
    <row r="3203" customHeight="1" spans="1:2">
      <c r="A3203" s="3" t="s">
        <v>3345</v>
      </c>
      <c r="B3203" s="4"/>
    </row>
    <row r="3204" customHeight="1" spans="1:2">
      <c r="A3204" s="3" t="s">
        <v>17077</v>
      </c>
      <c r="B3204" s="4">
        <v>11883495</v>
      </c>
    </row>
    <row r="3205" customHeight="1" spans="1:2">
      <c r="A3205" s="3" t="s">
        <v>18117</v>
      </c>
      <c r="B3205" s="4">
        <v>24475416</v>
      </c>
    </row>
    <row r="3206" customHeight="1" spans="1:2">
      <c r="A3206" s="3" t="s">
        <v>12642</v>
      </c>
      <c r="B3206" s="4">
        <v>7774730</v>
      </c>
    </row>
    <row r="3207" customHeight="1" spans="1:2">
      <c r="A3207" s="3" t="s">
        <v>12630</v>
      </c>
      <c r="B3207" s="4">
        <v>1181197</v>
      </c>
    </row>
    <row r="3208" customHeight="1" spans="1:2">
      <c r="A3208" s="3" t="s">
        <v>19282</v>
      </c>
      <c r="B3208" s="4">
        <v>229094</v>
      </c>
    </row>
    <row r="3209" customHeight="1" spans="1:2">
      <c r="A3209" s="3" t="s">
        <v>13357</v>
      </c>
      <c r="B3209" s="4">
        <v>141319195</v>
      </c>
    </row>
    <row r="3210" customHeight="1" spans="1:2">
      <c r="A3210" s="3" t="s">
        <v>17838</v>
      </c>
      <c r="B3210" s="4">
        <v>5480318</v>
      </c>
    </row>
    <row r="3211" customHeight="1" spans="1:2">
      <c r="A3211" s="3" t="s">
        <v>20537</v>
      </c>
      <c r="B3211" s="4"/>
    </row>
    <row r="3212" customHeight="1" spans="1:2">
      <c r="A3212" s="3" t="s">
        <v>6430</v>
      </c>
      <c r="B3212" s="4">
        <v>53955614</v>
      </c>
    </row>
    <row r="3213" customHeight="1" spans="1:2">
      <c r="A3213" s="3" t="s">
        <v>11879</v>
      </c>
      <c r="B3213" s="4">
        <v>17071230</v>
      </c>
    </row>
    <row r="3214" customHeight="1" spans="1:2">
      <c r="A3214" s="3" t="s">
        <v>23922</v>
      </c>
      <c r="B3214" s="4">
        <v>277233</v>
      </c>
    </row>
    <row r="3215" customHeight="1" spans="1:2">
      <c r="A3215" s="3" t="s">
        <v>7709</v>
      </c>
      <c r="B3215" s="4">
        <v>2221994</v>
      </c>
    </row>
    <row r="3216" customHeight="1" spans="1:2">
      <c r="A3216" s="3" t="s">
        <v>20204</v>
      </c>
      <c r="B3216" s="4">
        <v>6719300</v>
      </c>
    </row>
    <row r="3217" customHeight="1" spans="1:2">
      <c r="A3217" s="3" t="s">
        <v>12182</v>
      </c>
      <c r="B3217" s="4">
        <v>35635046</v>
      </c>
    </row>
    <row r="3218" customHeight="1" spans="1:2">
      <c r="A3218" s="3" t="s">
        <v>3199</v>
      </c>
      <c r="B3218" s="4">
        <v>55585389</v>
      </c>
    </row>
    <row r="3219" customHeight="1" spans="1:2">
      <c r="A3219" s="3" t="s">
        <v>7845</v>
      </c>
      <c r="B3219" s="4">
        <v>68028796</v>
      </c>
    </row>
    <row r="3220" customHeight="1" spans="1:2">
      <c r="A3220" s="3" t="s">
        <v>14449</v>
      </c>
      <c r="B3220" s="4">
        <v>60186214</v>
      </c>
    </row>
    <row r="3221" customHeight="1" spans="1:2">
      <c r="A3221" s="3" t="s">
        <v>12776</v>
      </c>
      <c r="B3221" s="4">
        <v>85838192</v>
      </c>
    </row>
    <row r="3222" customHeight="1" spans="1:2">
      <c r="A3222" s="3" t="s">
        <v>20970</v>
      </c>
      <c r="B3222" s="4">
        <v>402820</v>
      </c>
    </row>
    <row r="3223" customHeight="1" spans="1:2">
      <c r="A3223" s="3" t="s">
        <v>13710</v>
      </c>
      <c r="B3223" s="4">
        <v>60008303</v>
      </c>
    </row>
    <row r="3224" customHeight="1" spans="1:2">
      <c r="A3224" s="3" t="s">
        <v>7899</v>
      </c>
      <c r="B3224" s="4">
        <v>81150692</v>
      </c>
    </row>
    <row r="3225" customHeight="1" spans="1:2">
      <c r="A3225" s="3" t="s">
        <v>7207</v>
      </c>
      <c r="B3225" s="4">
        <v>14378353</v>
      </c>
    </row>
    <row r="3226" customHeight="1" spans="1:2">
      <c r="A3226" s="3" t="s">
        <v>17239</v>
      </c>
      <c r="B3226" s="4">
        <v>1346503</v>
      </c>
    </row>
    <row r="3227" customHeight="1" spans="1:2">
      <c r="A3227" s="3" t="s">
        <v>16757</v>
      </c>
      <c r="B3227" s="4"/>
    </row>
    <row r="3228" customHeight="1" spans="1:2">
      <c r="A3228" s="3" t="s">
        <v>560</v>
      </c>
      <c r="B3228" s="4">
        <v>155111815</v>
      </c>
    </row>
    <row r="3229" customHeight="1" spans="1:2">
      <c r="A3229" s="3" t="s">
        <v>21103</v>
      </c>
      <c r="B3229" s="4">
        <v>184925485</v>
      </c>
    </row>
    <row r="3230" customHeight="1" spans="1:2">
      <c r="A3230" s="3" t="s">
        <v>21944</v>
      </c>
      <c r="B3230" s="4"/>
    </row>
    <row r="3231" customHeight="1" spans="1:2">
      <c r="A3231" s="3" t="s">
        <v>9341</v>
      </c>
      <c r="B3231" s="4"/>
    </row>
    <row r="3232" customHeight="1" spans="1:2">
      <c r="A3232" s="3" t="s">
        <v>6894</v>
      </c>
      <c r="B3232" s="4">
        <v>4563029</v>
      </c>
    </row>
    <row r="3233" customHeight="1" spans="1:2">
      <c r="A3233" s="3" t="s">
        <v>5639</v>
      </c>
      <c r="B3233" s="4"/>
    </row>
    <row r="3234" customHeight="1" spans="1:2">
      <c r="A3234" s="3" t="s">
        <v>3167</v>
      </c>
      <c r="B3234" s="4">
        <v>14567883</v>
      </c>
    </row>
    <row r="3235" customHeight="1" spans="1:2">
      <c r="A3235" s="3" t="s">
        <v>13980</v>
      </c>
      <c r="B3235" s="4">
        <v>4360548</v>
      </c>
    </row>
    <row r="3236" customHeight="1" spans="1:2">
      <c r="A3236" s="3" t="s">
        <v>23461</v>
      </c>
      <c r="B3236" s="4"/>
    </row>
    <row r="3237" customHeight="1" spans="1:2">
      <c r="A3237" s="3" t="s">
        <v>17779</v>
      </c>
      <c r="B3237" s="4"/>
    </row>
    <row r="3238" customHeight="1" spans="1:2">
      <c r="A3238" s="3" t="s">
        <v>23139</v>
      </c>
      <c r="B3238" s="4"/>
    </row>
    <row r="3239" customHeight="1" spans="1:2">
      <c r="A3239" s="3" t="s">
        <v>19670</v>
      </c>
      <c r="B3239" s="4">
        <v>25000000</v>
      </c>
    </row>
    <row r="3240" customHeight="1" spans="1:2">
      <c r="A3240" s="3" t="s">
        <v>10228</v>
      </c>
      <c r="B3240" s="4">
        <v>27338033</v>
      </c>
    </row>
    <row r="3241" customHeight="1" spans="1:2">
      <c r="A3241" s="3" t="s">
        <v>7432</v>
      </c>
      <c r="B3241" s="4">
        <v>39026186</v>
      </c>
    </row>
    <row r="3242" customHeight="1" spans="1:2">
      <c r="A3242" s="3" t="s">
        <v>19587</v>
      </c>
      <c r="B3242" s="4"/>
    </row>
    <row r="3243" customHeight="1" spans="1:2">
      <c r="A3243" s="3" t="s">
        <v>2592</v>
      </c>
      <c r="B3243" s="4">
        <v>124590960</v>
      </c>
    </row>
    <row r="3244" customHeight="1" spans="1:2">
      <c r="A3244" s="3" t="s">
        <v>17513</v>
      </c>
      <c r="B3244" s="4"/>
    </row>
    <row r="3245" customHeight="1" spans="1:2">
      <c r="A3245" s="3" t="s">
        <v>16689</v>
      </c>
      <c r="B3245" s="4">
        <v>1768416</v>
      </c>
    </row>
    <row r="3246" customHeight="1" spans="1:2">
      <c r="A3246" s="3" t="s">
        <v>10385</v>
      </c>
      <c r="B3246" s="4">
        <v>59696176</v>
      </c>
    </row>
    <row r="3247" customHeight="1" spans="1:2">
      <c r="A3247" s="3" t="s">
        <v>1894</v>
      </c>
      <c r="B3247" s="4">
        <v>17010646</v>
      </c>
    </row>
    <row r="3248" customHeight="1" spans="1:2">
      <c r="A3248" s="3" t="s">
        <v>17308</v>
      </c>
      <c r="B3248" s="4">
        <v>20200</v>
      </c>
    </row>
    <row r="3249" customHeight="1" spans="1:2">
      <c r="A3249" s="3" t="s">
        <v>20689</v>
      </c>
      <c r="B3249" s="4">
        <v>3050934</v>
      </c>
    </row>
    <row r="3250" customHeight="1" spans="1:2">
      <c r="A3250" s="3" t="s">
        <v>18703</v>
      </c>
      <c r="B3250" s="4"/>
    </row>
    <row r="3251" customHeight="1" spans="1:2">
      <c r="A3251" s="3" t="s">
        <v>10514</v>
      </c>
      <c r="B3251" s="4"/>
    </row>
    <row r="3252" customHeight="1" spans="1:2">
      <c r="A3252" s="3" t="s">
        <v>14240</v>
      </c>
      <c r="B3252" s="4">
        <v>10198766</v>
      </c>
    </row>
    <row r="3253" customHeight="1" spans="1:2">
      <c r="A3253" s="3" t="s">
        <v>13948</v>
      </c>
      <c r="B3253" s="4">
        <v>11956207</v>
      </c>
    </row>
    <row r="3254" customHeight="1" spans="1:2">
      <c r="A3254" s="3" t="s">
        <v>16318</v>
      </c>
      <c r="B3254" s="4">
        <v>43490057</v>
      </c>
    </row>
    <row r="3255" customHeight="1" spans="1:2">
      <c r="A3255" s="3" t="s">
        <v>18114</v>
      </c>
      <c r="B3255" s="4">
        <v>274385</v>
      </c>
    </row>
    <row r="3256" customHeight="1" spans="1:2">
      <c r="A3256" s="3" t="s">
        <v>6802</v>
      </c>
      <c r="B3256" s="4">
        <v>12081447</v>
      </c>
    </row>
    <row r="3257" customHeight="1" spans="1:2">
      <c r="A3257" s="3" t="s">
        <v>12571</v>
      </c>
      <c r="B3257" s="4">
        <v>13922211</v>
      </c>
    </row>
    <row r="3258" customHeight="1" spans="1:2">
      <c r="A3258" s="3" t="s">
        <v>11839</v>
      </c>
      <c r="B3258" s="4">
        <v>43853424</v>
      </c>
    </row>
    <row r="3259" customHeight="1" spans="1:2">
      <c r="A3259" s="3" t="s">
        <v>13532</v>
      </c>
      <c r="B3259" s="4">
        <v>3100650</v>
      </c>
    </row>
    <row r="3260" customHeight="1" spans="1:2">
      <c r="A3260" s="3" t="s">
        <v>23641</v>
      </c>
      <c r="B3260" s="4">
        <v>405614</v>
      </c>
    </row>
    <row r="3261" customHeight="1" spans="1:2">
      <c r="A3261" s="3" t="s">
        <v>7941</v>
      </c>
      <c r="B3261" s="4">
        <v>54696902</v>
      </c>
    </row>
    <row r="3262" customHeight="1" spans="1:2">
      <c r="A3262" s="3" t="s">
        <v>10561</v>
      </c>
      <c r="B3262" s="4">
        <v>52008288</v>
      </c>
    </row>
    <row r="3263" customHeight="1" spans="1:2">
      <c r="A3263" s="3" t="s">
        <v>12323</v>
      </c>
      <c r="B3263" s="4">
        <v>273420</v>
      </c>
    </row>
    <row r="3264" customHeight="1" spans="1:2">
      <c r="A3264" s="3" t="s">
        <v>8346</v>
      </c>
      <c r="B3264" s="4">
        <v>52418902</v>
      </c>
    </row>
    <row r="3265" customHeight="1" spans="1:2">
      <c r="A3265" s="3" t="s">
        <v>14423</v>
      </c>
      <c r="B3265" s="4"/>
    </row>
    <row r="3266" customHeight="1" spans="1:2">
      <c r="A3266" s="3" t="s">
        <v>7225</v>
      </c>
      <c r="B3266" s="4">
        <v>30105968</v>
      </c>
    </row>
    <row r="3267" customHeight="1" spans="1:2">
      <c r="A3267" s="3" t="s">
        <v>3698</v>
      </c>
      <c r="B3267" s="4">
        <v>90454043</v>
      </c>
    </row>
    <row r="3268" customHeight="1" spans="1:2">
      <c r="A3268" s="3" t="s">
        <v>10047</v>
      </c>
      <c r="B3268" s="4"/>
    </row>
    <row r="3269" customHeight="1" spans="1:2">
      <c r="A3269" s="3" t="s">
        <v>2673</v>
      </c>
      <c r="B3269" s="4">
        <v>90443603</v>
      </c>
    </row>
    <row r="3270" customHeight="1" spans="1:2">
      <c r="A3270" s="3" t="s">
        <v>21189</v>
      </c>
      <c r="B3270" s="4"/>
    </row>
    <row r="3271" customHeight="1" spans="1:2">
      <c r="A3271" s="3" t="s">
        <v>10330</v>
      </c>
      <c r="B3271" s="4">
        <v>38119483</v>
      </c>
    </row>
    <row r="3272" customHeight="1" spans="1:2">
      <c r="A3272" s="3" t="s">
        <v>19252</v>
      </c>
      <c r="B3272" s="4">
        <v>15369573</v>
      </c>
    </row>
    <row r="3273" customHeight="1" spans="1:2">
      <c r="A3273" s="3" t="s">
        <v>3115</v>
      </c>
      <c r="B3273" s="4">
        <v>42044321</v>
      </c>
    </row>
    <row r="3274" customHeight="1" spans="1:2">
      <c r="A3274" s="3" t="s">
        <v>14947</v>
      </c>
      <c r="B3274" s="4">
        <v>24397469</v>
      </c>
    </row>
    <row r="3275" customHeight="1" spans="1:2">
      <c r="A3275" s="3" t="s">
        <v>21862</v>
      </c>
      <c r="B3275" s="4">
        <v>5494</v>
      </c>
    </row>
    <row r="3276" customHeight="1" spans="1:2">
      <c r="A3276" s="3" t="s">
        <v>14165</v>
      </c>
      <c r="B3276" s="4"/>
    </row>
    <row r="3277" customHeight="1" spans="1:2">
      <c r="A3277" s="3" t="s">
        <v>6435</v>
      </c>
      <c r="B3277" s="4">
        <v>54967359</v>
      </c>
    </row>
    <row r="3278" customHeight="1" spans="1:2">
      <c r="A3278" s="3" t="s">
        <v>21859</v>
      </c>
      <c r="B3278" s="4">
        <v>6387</v>
      </c>
    </row>
    <row r="3279" customHeight="1" spans="1:2">
      <c r="A3279" s="3" t="s">
        <v>7327</v>
      </c>
      <c r="B3279" s="4">
        <v>60054449</v>
      </c>
    </row>
    <row r="3280" customHeight="1" spans="1:2">
      <c r="A3280" s="3" t="s">
        <v>55</v>
      </c>
      <c r="B3280" s="4">
        <v>200074175</v>
      </c>
    </row>
    <row r="3281" customHeight="1" spans="1:2">
      <c r="A3281" s="3" t="s">
        <v>1610</v>
      </c>
      <c r="B3281" s="4">
        <v>48068396</v>
      </c>
    </row>
    <row r="3282" customHeight="1" spans="1:2">
      <c r="A3282" s="3" t="s">
        <v>1411</v>
      </c>
      <c r="B3282" s="4">
        <v>43929341</v>
      </c>
    </row>
    <row r="3283" customHeight="1" spans="1:2">
      <c r="A3283" s="3" t="s">
        <v>8100</v>
      </c>
      <c r="B3283" s="4">
        <v>121248145</v>
      </c>
    </row>
    <row r="3284" customHeight="1" spans="1:2">
      <c r="A3284" s="3" t="s">
        <v>21824</v>
      </c>
      <c r="B3284" s="4"/>
    </row>
    <row r="3285" customHeight="1" spans="1:2">
      <c r="A3285" s="3" t="s">
        <v>20919</v>
      </c>
      <c r="B3285" s="4"/>
    </row>
    <row r="3286" customHeight="1" spans="1:2">
      <c r="A3286" s="3" t="s">
        <v>3205</v>
      </c>
      <c r="B3286" s="4">
        <v>36976367</v>
      </c>
    </row>
    <row r="3287" customHeight="1" spans="1:2">
      <c r="A3287" s="3" t="s">
        <v>15231</v>
      </c>
      <c r="B3287" s="4">
        <v>800000</v>
      </c>
    </row>
    <row r="3288" customHeight="1" spans="1:2">
      <c r="A3288" s="3" t="s">
        <v>9679</v>
      </c>
      <c r="B3288" s="4">
        <v>29247405</v>
      </c>
    </row>
    <row r="3289" customHeight="1" spans="1:2">
      <c r="A3289" s="3" t="s">
        <v>15245</v>
      </c>
      <c r="B3289" s="4">
        <v>1641788</v>
      </c>
    </row>
    <row r="3290" customHeight="1" spans="1:2">
      <c r="A3290" s="3" t="s">
        <v>247</v>
      </c>
      <c r="B3290" s="4">
        <v>373377893</v>
      </c>
    </row>
    <row r="3291" customHeight="1" spans="1:2">
      <c r="A3291" s="3" t="s">
        <v>85</v>
      </c>
      <c r="B3291" s="4">
        <v>673060606</v>
      </c>
    </row>
    <row r="3292" customHeight="1" spans="1:2">
      <c r="A3292" s="3" t="s">
        <v>1033</v>
      </c>
      <c r="B3292" s="4">
        <v>403706375</v>
      </c>
    </row>
    <row r="3293" customHeight="1" spans="1:2">
      <c r="A3293" s="3" t="s">
        <v>2714</v>
      </c>
      <c r="B3293" s="4">
        <v>73215310</v>
      </c>
    </row>
    <row r="3294" customHeight="1" spans="1:2">
      <c r="A3294" s="3" t="s">
        <v>11631</v>
      </c>
      <c r="B3294" s="4">
        <v>10049886</v>
      </c>
    </row>
    <row r="3295" customHeight="1" spans="1:2">
      <c r="A3295" s="3" t="s">
        <v>15978</v>
      </c>
      <c r="B3295" s="4">
        <v>69800000</v>
      </c>
    </row>
    <row r="3296" customHeight="1" spans="1:2">
      <c r="A3296" s="3" t="s">
        <v>8558</v>
      </c>
      <c r="B3296" s="4">
        <v>16999046</v>
      </c>
    </row>
    <row r="3297" customHeight="1" spans="1:2">
      <c r="A3297" s="3" t="s">
        <v>16618</v>
      </c>
      <c r="B3297" s="4">
        <v>5430822</v>
      </c>
    </row>
    <row r="3298" customHeight="1" spans="1:2">
      <c r="A3298" s="3" t="s">
        <v>10814</v>
      </c>
      <c r="B3298" s="4">
        <v>44988180</v>
      </c>
    </row>
    <row r="3299" customHeight="1" spans="1:2">
      <c r="A3299" s="3" t="s">
        <v>17709</v>
      </c>
      <c r="B3299" s="4">
        <v>14123773</v>
      </c>
    </row>
    <row r="3300" customHeight="1" spans="1:2">
      <c r="A3300" s="3" t="s">
        <v>18293</v>
      </c>
      <c r="B3300" s="4">
        <v>410241</v>
      </c>
    </row>
    <row r="3301" customHeight="1" spans="1:2">
      <c r="A3301" s="3" t="s">
        <v>2244</v>
      </c>
      <c r="B3301" s="4">
        <v>26871</v>
      </c>
    </row>
    <row r="3302" customHeight="1" spans="1:2">
      <c r="A3302" s="3" t="s">
        <v>11830</v>
      </c>
      <c r="B3302" s="4">
        <v>26906039</v>
      </c>
    </row>
    <row r="3303" customHeight="1" spans="1:2">
      <c r="A3303" s="3" t="s">
        <v>6971</v>
      </c>
      <c r="B3303" s="4">
        <v>85570368</v>
      </c>
    </row>
    <row r="3304" customHeight="1" spans="1:2">
      <c r="A3304" s="3" t="s">
        <v>6267</v>
      </c>
      <c r="B3304" s="4">
        <v>111760631</v>
      </c>
    </row>
    <row r="3305" customHeight="1" spans="1:2">
      <c r="A3305" s="3" t="s">
        <v>7267</v>
      </c>
      <c r="B3305" s="4">
        <v>112692062</v>
      </c>
    </row>
    <row r="3306" customHeight="1" spans="1:2">
      <c r="A3306" s="3" t="s">
        <v>9182</v>
      </c>
      <c r="B3306" s="4">
        <v>38536376</v>
      </c>
    </row>
    <row r="3307" customHeight="1" spans="1:2">
      <c r="A3307" s="3" t="s">
        <v>14532</v>
      </c>
      <c r="B3307" s="4"/>
    </row>
    <row r="3308" customHeight="1" spans="1:2">
      <c r="A3308" s="3" t="s">
        <v>13683</v>
      </c>
      <c r="B3308" s="4">
        <v>44134898</v>
      </c>
    </row>
    <row r="3309" customHeight="1" spans="1:2">
      <c r="A3309" s="3" t="s">
        <v>18697</v>
      </c>
      <c r="B3309" s="4">
        <v>18469</v>
      </c>
    </row>
    <row r="3310" customHeight="1" spans="1:2">
      <c r="A3310" s="3" t="s">
        <v>13581</v>
      </c>
      <c r="B3310" s="4"/>
    </row>
    <row r="3311" customHeight="1" spans="1:2">
      <c r="A3311" s="3" t="s">
        <v>15988</v>
      </c>
      <c r="B3311" s="4">
        <v>52287414</v>
      </c>
    </row>
    <row r="3312" customHeight="1" spans="1:2">
      <c r="A3312" s="3" t="s">
        <v>17959</v>
      </c>
      <c r="B3312" s="4">
        <v>228830</v>
      </c>
    </row>
    <row r="3313" customHeight="1" spans="1:2">
      <c r="A3313" s="3" t="s">
        <v>17381</v>
      </c>
      <c r="B3313" s="4">
        <v>531806</v>
      </c>
    </row>
    <row r="3314" customHeight="1" spans="1:2">
      <c r="A3314" s="3" t="s">
        <v>413</v>
      </c>
      <c r="B3314" s="4">
        <v>130468626</v>
      </c>
    </row>
    <row r="3315" customHeight="1" spans="1:2">
      <c r="A3315" s="3" t="s">
        <v>14035</v>
      </c>
      <c r="B3315" s="4">
        <v>78900000</v>
      </c>
    </row>
    <row r="3316" customHeight="1" spans="1:2">
      <c r="A3316" s="3" t="s">
        <v>11738</v>
      </c>
      <c r="B3316" s="4">
        <v>76400000</v>
      </c>
    </row>
    <row r="3317" customHeight="1" spans="1:2">
      <c r="A3317" s="3" t="s">
        <v>356</v>
      </c>
      <c r="B3317" s="4">
        <v>228756232</v>
      </c>
    </row>
    <row r="3318" customHeight="1" spans="1:2">
      <c r="A3318" s="3" t="s">
        <v>10079</v>
      </c>
      <c r="B3318" s="4">
        <v>109713132</v>
      </c>
    </row>
    <row r="3319" customHeight="1" spans="1:2">
      <c r="A3319" s="3" t="s">
        <v>8276</v>
      </c>
      <c r="B3319" s="4">
        <v>55210049</v>
      </c>
    </row>
    <row r="3320" customHeight="1" spans="1:2">
      <c r="A3320" s="3" t="s">
        <v>9087</v>
      </c>
      <c r="B3320" s="4">
        <v>74888996</v>
      </c>
    </row>
    <row r="3321" customHeight="1" spans="1:2">
      <c r="A3321" s="3" t="s">
        <v>1030</v>
      </c>
      <c r="B3321" s="4">
        <v>257704099</v>
      </c>
    </row>
    <row r="3322" customHeight="1" spans="1:2">
      <c r="A3322" s="3" t="s">
        <v>5666</v>
      </c>
      <c r="B3322" s="4">
        <v>92001027</v>
      </c>
    </row>
    <row r="3323" customHeight="1" spans="1:2">
      <c r="A3323" s="3" t="s">
        <v>6975</v>
      </c>
      <c r="B3323" s="4">
        <v>75668868</v>
      </c>
    </row>
    <row r="3324" customHeight="1" spans="1:2">
      <c r="A3324" s="3" t="s">
        <v>3380</v>
      </c>
      <c r="B3324" s="4">
        <v>70117571</v>
      </c>
    </row>
    <row r="3325" customHeight="1" spans="1:2">
      <c r="A3325" s="3" t="s">
        <v>4258</v>
      </c>
      <c r="B3325" s="4">
        <v>43119879</v>
      </c>
    </row>
    <row r="3326" customHeight="1" spans="1:2">
      <c r="A3326" s="3" t="s">
        <v>7285</v>
      </c>
      <c r="B3326" s="4">
        <v>82300000</v>
      </c>
    </row>
    <row r="3327" customHeight="1" spans="1:2">
      <c r="A3327" s="3" t="s">
        <v>1451</v>
      </c>
      <c r="B3327" s="4">
        <v>474544677</v>
      </c>
    </row>
    <row r="3328" customHeight="1" spans="1:2">
      <c r="A3328" s="3" t="s">
        <v>1438</v>
      </c>
      <c r="B3328" s="4">
        <v>310675583</v>
      </c>
    </row>
    <row r="3329" customHeight="1" spans="1:2">
      <c r="A3329" s="3" t="s">
        <v>1435</v>
      </c>
      <c r="B3329" s="4">
        <v>380262555</v>
      </c>
    </row>
    <row r="3330" customHeight="1" spans="1:2">
      <c r="A3330" s="3" t="s">
        <v>14485</v>
      </c>
      <c r="B3330" s="4">
        <v>460935665</v>
      </c>
    </row>
    <row r="3331" customHeight="1" spans="1:2">
      <c r="A3331" s="3" t="s">
        <v>10204</v>
      </c>
      <c r="B3331" s="4">
        <v>290158751</v>
      </c>
    </row>
    <row r="3332" customHeight="1" spans="1:2">
      <c r="A3332" s="3" t="s">
        <v>7873</v>
      </c>
      <c r="B3332" s="4">
        <v>309125409</v>
      </c>
    </row>
    <row r="3333" customHeight="1" spans="1:2">
      <c r="A3333" s="3" t="s">
        <v>70</v>
      </c>
      <c r="B3333" s="4"/>
    </row>
    <row r="3334" customHeight="1" spans="1:2">
      <c r="A3334" s="3" t="s">
        <v>15829</v>
      </c>
      <c r="B3334" s="4"/>
    </row>
    <row r="3335" customHeight="1" spans="1:2">
      <c r="A3335" s="3" t="s">
        <v>3428</v>
      </c>
      <c r="B3335" s="4">
        <v>38345403</v>
      </c>
    </row>
    <row r="3336" customHeight="1" spans="1:2">
      <c r="A3336" s="3" t="s">
        <v>4659</v>
      </c>
      <c r="B3336" s="4"/>
    </row>
    <row r="3337" customHeight="1" spans="1:2">
      <c r="A3337" s="3" t="s">
        <v>16775</v>
      </c>
      <c r="B3337" s="4"/>
    </row>
    <row r="3338" customHeight="1" spans="1:2">
      <c r="A3338" s="3" t="s">
        <v>1845</v>
      </c>
      <c r="B3338" s="4">
        <v>54700065</v>
      </c>
    </row>
    <row r="3339" customHeight="1" spans="1:2">
      <c r="A3339" s="3" t="s">
        <v>4105</v>
      </c>
      <c r="B3339" s="4">
        <v>88200225</v>
      </c>
    </row>
    <row r="3340" customHeight="1" spans="1:2">
      <c r="A3340" s="3" t="s">
        <v>22355</v>
      </c>
      <c r="B3340" s="4"/>
    </row>
    <row r="3341" customHeight="1" spans="1:2">
      <c r="A3341" s="3" t="s">
        <v>18252</v>
      </c>
      <c r="B3341" s="4"/>
    </row>
    <row r="3342" customHeight="1" spans="1:2">
      <c r="A3342" s="3" t="s">
        <v>4232</v>
      </c>
      <c r="B3342" s="4">
        <v>36965395</v>
      </c>
    </row>
    <row r="3343" customHeight="1" spans="1:2">
      <c r="A3343" s="3" t="s">
        <v>10985</v>
      </c>
      <c r="B3343" s="4">
        <v>23078294</v>
      </c>
    </row>
    <row r="3344" customHeight="1" spans="1:2">
      <c r="A3344" s="3" t="s">
        <v>9836</v>
      </c>
      <c r="B3344" s="4">
        <v>27947064</v>
      </c>
    </row>
    <row r="3345" customHeight="1" spans="1:2">
      <c r="A3345" s="3" t="s">
        <v>1049</v>
      </c>
      <c r="B3345" s="4">
        <v>31704416</v>
      </c>
    </row>
    <row r="3346" customHeight="1" spans="1:2">
      <c r="A3346" s="3" t="s">
        <v>11445</v>
      </c>
      <c r="B3346" s="4">
        <v>410388</v>
      </c>
    </row>
    <row r="3347" customHeight="1" spans="1:2">
      <c r="A3347" s="3" t="s">
        <v>12554</v>
      </c>
      <c r="B3347" s="4">
        <v>1686429</v>
      </c>
    </row>
    <row r="3348" customHeight="1" spans="1:2">
      <c r="A3348" s="3" t="s">
        <v>3675</v>
      </c>
      <c r="B3348" s="4">
        <v>100468793</v>
      </c>
    </row>
    <row r="3349" customHeight="1" spans="1:2">
      <c r="A3349" s="3" t="s">
        <v>12103</v>
      </c>
      <c r="B3349" s="4">
        <v>58006147</v>
      </c>
    </row>
    <row r="3350" customHeight="1" spans="1:2">
      <c r="A3350" s="3" t="s">
        <v>8362</v>
      </c>
      <c r="B3350" s="4">
        <v>42385520</v>
      </c>
    </row>
    <row r="3351" customHeight="1" spans="1:2">
      <c r="A3351" s="3" t="s">
        <v>7840</v>
      </c>
      <c r="B3351" s="4">
        <v>35057332</v>
      </c>
    </row>
    <row r="3352" customHeight="1" spans="1:2">
      <c r="A3352" s="3" t="s">
        <v>14059</v>
      </c>
      <c r="B3352" s="4">
        <v>65269010</v>
      </c>
    </row>
    <row r="3353" customHeight="1" spans="1:2">
      <c r="A3353" s="3" t="s">
        <v>5066</v>
      </c>
      <c r="B3353" s="4">
        <v>91030827</v>
      </c>
    </row>
    <row r="3354" customHeight="1" spans="1:2">
      <c r="A3354" s="3" t="s">
        <v>21961</v>
      </c>
      <c r="B3354" s="4"/>
    </row>
    <row r="3355" customHeight="1" spans="1:2">
      <c r="A3355" s="3" t="s">
        <v>11901</v>
      </c>
      <c r="B3355" s="4">
        <v>17750583</v>
      </c>
    </row>
    <row r="3356" customHeight="1" spans="1:2">
      <c r="A3356" s="3" t="s">
        <v>11003</v>
      </c>
      <c r="B3356" s="4">
        <v>26870825</v>
      </c>
    </row>
    <row r="3357" customHeight="1" spans="1:2">
      <c r="A3357" s="3" t="s">
        <v>17340</v>
      </c>
      <c r="B3357" s="4">
        <v>69582</v>
      </c>
    </row>
    <row r="3358" customHeight="1" spans="1:2">
      <c r="A3358" s="3" t="s">
        <v>7921</v>
      </c>
      <c r="B3358" s="4">
        <v>50041732</v>
      </c>
    </row>
    <row r="3359" customHeight="1" spans="1:2">
      <c r="A3359" s="3" t="s">
        <v>17684</v>
      </c>
      <c r="B3359" s="4">
        <v>18656400</v>
      </c>
    </row>
    <row r="3360" customHeight="1" spans="1:2">
      <c r="A3360" s="3" t="s">
        <v>14159</v>
      </c>
      <c r="B3360" s="4">
        <v>21133087</v>
      </c>
    </row>
    <row r="3361" customHeight="1" spans="1:2">
      <c r="A3361" s="3" t="s">
        <v>20489</v>
      </c>
      <c r="B3361" s="4"/>
    </row>
    <row r="3362" customHeight="1" spans="1:2">
      <c r="A3362" s="3" t="s">
        <v>14344</v>
      </c>
      <c r="B3362" s="4">
        <v>1702277</v>
      </c>
    </row>
    <row r="3363" customHeight="1" spans="1:2">
      <c r="A3363" s="3" t="s">
        <v>21002</v>
      </c>
      <c r="B3363" s="4">
        <v>119841</v>
      </c>
    </row>
    <row r="3364" customHeight="1" spans="1:2">
      <c r="A3364" s="3" t="s">
        <v>7776</v>
      </c>
      <c r="B3364" s="4">
        <v>183125</v>
      </c>
    </row>
    <row r="3365" customHeight="1" spans="1:2">
      <c r="A3365" s="3" t="s">
        <v>13391</v>
      </c>
      <c r="B3365" s="4">
        <v>61356221</v>
      </c>
    </row>
    <row r="3366" customHeight="1" spans="1:2">
      <c r="A3366" s="3" t="s">
        <v>9945</v>
      </c>
      <c r="B3366" s="4">
        <v>9286314</v>
      </c>
    </row>
    <row r="3367" customHeight="1" spans="1:2">
      <c r="A3367" s="3" t="s">
        <v>10518</v>
      </c>
      <c r="B3367" s="4">
        <v>1796024</v>
      </c>
    </row>
    <row r="3368" customHeight="1" spans="1:2">
      <c r="A3368" s="3" t="s">
        <v>20401</v>
      </c>
      <c r="B3368" s="4">
        <v>186354</v>
      </c>
    </row>
    <row r="3369" customHeight="1" spans="1:2">
      <c r="A3369" s="3" t="s">
        <v>9908</v>
      </c>
      <c r="B3369" s="4">
        <v>10911750</v>
      </c>
    </row>
    <row r="3370" customHeight="1" spans="1:2">
      <c r="A3370" s="3" t="s">
        <v>24041</v>
      </c>
      <c r="B3370" s="4"/>
    </row>
    <row r="3371" customHeight="1" spans="1:2">
      <c r="A3371" s="3" t="s">
        <v>20564</v>
      </c>
      <c r="B3371" s="4"/>
    </row>
    <row r="3372" customHeight="1" spans="1:2">
      <c r="A3372" s="3" t="s">
        <v>22767</v>
      </c>
      <c r="B3372" s="4">
        <v>2712293</v>
      </c>
    </row>
    <row r="3373" customHeight="1" spans="1:2">
      <c r="A3373" s="3" t="s">
        <v>8834</v>
      </c>
      <c r="B3373" s="4">
        <v>161029270</v>
      </c>
    </row>
    <row r="3374" customHeight="1" spans="1:2">
      <c r="A3374" s="3" t="s">
        <v>11325</v>
      </c>
      <c r="B3374" s="4">
        <v>6563357</v>
      </c>
    </row>
    <row r="3375" customHeight="1" spans="1:2">
      <c r="A3375" s="3" t="s">
        <v>8371</v>
      </c>
      <c r="B3375" s="4">
        <v>40137776</v>
      </c>
    </row>
    <row r="3376" customHeight="1" spans="1:2">
      <c r="A3376" s="3" t="s">
        <v>15405</v>
      </c>
      <c r="B3376" s="4"/>
    </row>
    <row r="3377" customHeight="1" spans="1:2">
      <c r="A3377" s="3" t="s">
        <v>20286</v>
      </c>
      <c r="B3377" s="4"/>
    </row>
    <row r="3378" customHeight="1" spans="1:2">
      <c r="A3378" s="3" t="s">
        <v>9934</v>
      </c>
      <c r="B3378" s="4">
        <v>10324441</v>
      </c>
    </row>
    <row r="3379" customHeight="1" spans="1:2">
      <c r="A3379" s="3" t="s">
        <v>7454</v>
      </c>
      <c r="B3379" s="4">
        <v>33423521</v>
      </c>
    </row>
    <row r="3380" customHeight="1" spans="1:2">
      <c r="A3380" s="3" t="s">
        <v>5493</v>
      </c>
      <c r="B3380" s="4">
        <v>8742261</v>
      </c>
    </row>
    <row r="3381" customHeight="1" spans="1:2">
      <c r="A3381" s="3" t="s">
        <v>10952</v>
      </c>
      <c r="B3381" s="4">
        <v>26415649</v>
      </c>
    </row>
    <row r="3382" customHeight="1" spans="1:2">
      <c r="A3382" s="3" t="s">
        <v>14793</v>
      </c>
      <c r="B3382" s="4">
        <v>85300000</v>
      </c>
    </row>
    <row r="3383" customHeight="1" spans="1:2">
      <c r="A3383" s="3" t="s">
        <v>5318</v>
      </c>
      <c r="B3383" s="4">
        <v>32800000</v>
      </c>
    </row>
    <row r="3384" customHeight="1" spans="1:2">
      <c r="A3384" s="3" t="s">
        <v>1387</v>
      </c>
      <c r="B3384" s="4">
        <v>64736114</v>
      </c>
    </row>
    <row r="3385" customHeight="1" spans="1:2">
      <c r="A3385" s="3" t="s">
        <v>1656</v>
      </c>
      <c r="B3385" s="4">
        <v>140015224</v>
      </c>
    </row>
    <row r="3386" customHeight="1" spans="1:2">
      <c r="A3386" s="3" t="s">
        <v>4746</v>
      </c>
      <c r="B3386" s="4">
        <v>33828318</v>
      </c>
    </row>
    <row r="3387" customHeight="1" spans="1:2">
      <c r="A3387" s="3" t="s">
        <v>19943</v>
      </c>
      <c r="B3387" s="4"/>
    </row>
    <row r="3388" customHeight="1" spans="1:2">
      <c r="A3388" s="3" t="s">
        <v>22710</v>
      </c>
      <c r="B3388" s="4"/>
    </row>
    <row r="3389" customHeight="1" spans="1:2">
      <c r="A3389" s="3" t="s">
        <v>20730</v>
      </c>
      <c r="B3389" s="4"/>
    </row>
    <row r="3390" customHeight="1" spans="1:2">
      <c r="A3390" s="3" t="s">
        <v>20618</v>
      </c>
      <c r="B3390" s="4">
        <v>466702</v>
      </c>
    </row>
    <row r="3391" customHeight="1" spans="1:2">
      <c r="A3391" s="3" t="s">
        <v>20358</v>
      </c>
      <c r="B3391" s="4"/>
    </row>
    <row r="3392" customHeight="1" spans="1:2">
      <c r="A3392" s="3" t="s">
        <v>3194</v>
      </c>
      <c r="B3392" s="4">
        <v>36381716</v>
      </c>
    </row>
    <row r="3393" customHeight="1" spans="1:2">
      <c r="A3393" s="3" t="s">
        <v>14962</v>
      </c>
      <c r="B3393" s="4">
        <v>18272447</v>
      </c>
    </row>
    <row r="3394" customHeight="1" spans="1:2">
      <c r="A3394" s="3" t="s">
        <v>23219</v>
      </c>
      <c r="B3394" s="4">
        <v>177840</v>
      </c>
    </row>
    <row r="3395" customHeight="1" spans="1:2">
      <c r="A3395" s="3" t="s">
        <v>512</v>
      </c>
      <c r="B3395" s="4">
        <v>161087183</v>
      </c>
    </row>
    <row r="3396" customHeight="1" spans="1:2">
      <c r="A3396" s="3" t="s">
        <v>12231</v>
      </c>
      <c r="B3396" s="4">
        <v>19693891</v>
      </c>
    </row>
    <row r="3397" customHeight="1" spans="1:2">
      <c r="A3397" s="3" t="s">
        <v>10429</v>
      </c>
      <c r="B3397" s="4">
        <v>19283782</v>
      </c>
    </row>
    <row r="3398" customHeight="1" spans="1:2">
      <c r="A3398" s="3" t="s">
        <v>19504</v>
      </c>
      <c r="B3398" s="4">
        <v>95016</v>
      </c>
    </row>
    <row r="3399" customHeight="1" spans="1:2">
      <c r="A3399" s="3" t="s">
        <v>23264</v>
      </c>
      <c r="B3399" s="4"/>
    </row>
    <row r="3400" customHeight="1" spans="1:2">
      <c r="A3400" s="3" t="s">
        <v>17762</v>
      </c>
      <c r="B3400" s="4">
        <v>12055108</v>
      </c>
    </row>
    <row r="3401" customHeight="1" spans="1:2">
      <c r="A3401" s="3" t="s">
        <v>17354</v>
      </c>
      <c r="B3401" s="4">
        <v>3064356</v>
      </c>
    </row>
    <row r="3402" customHeight="1" spans="1:2">
      <c r="A3402" s="3" t="s">
        <v>6836</v>
      </c>
      <c r="B3402" s="4">
        <v>3675072</v>
      </c>
    </row>
    <row r="3403" customHeight="1" spans="1:2">
      <c r="A3403" s="3" t="s">
        <v>5036</v>
      </c>
      <c r="B3403" s="4">
        <v>126975169</v>
      </c>
    </row>
    <row r="3404" customHeight="1" spans="1:2">
      <c r="A3404" s="3" t="s">
        <v>23449</v>
      </c>
      <c r="B3404" s="4"/>
    </row>
    <row r="3405" customHeight="1" spans="1:2">
      <c r="A3405" s="3" t="s">
        <v>6159</v>
      </c>
      <c r="B3405" s="4">
        <v>20915465</v>
      </c>
    </row>
    <row r="3406" customHeight="1" spans="1:2">
      <c r="A3406" s="3" t="s">
        <v>23807</v>
      </c>
      <c r="B3406" s="4">
        <v>11529368</v>
      </c>
    </row>
    <row r="3407" customHeight="1" spans="1:2">
      <c r="A3407" s="3" t="s">
        <v>21284</v>
      </c>
      <c r="B3407" s="4">
        <v>18488314</v>
      </c>
    </row>
    <row r="3408" customHeight="1" spans="1:2">
      <c r="A3408" s="3" t="s">
        <v>19934</v>
      </c>
      <c r="B3408" s="4">
        <v>322157</v>
      </c>
    </row>
    <row r="3409" customHeight="1" spans="1:2">
      <c r="A3409" s="3" t="s">
        <v>11268</v>
      </c>
      <c r="B3409" s="4">
        <v>9109322</v>
      </c>
    </row>
    <row r="3410" customHeight="1" spans="1:2">
      <c r="A3410" s="3" t="s">
        <v>12090</v>
      </c>
      <c r="B3410" s="4">
        <v>121463226</v>
      </c>
    </row>
    <row r="3411" customHeight="1" spans="1:2">
      <c r="A3411" s="3" t="s">
        <v>20511</v>
      </c>
      <c r="B3411" s="4">
        <v>13220</v>
      </c>
    </row>
    <row r="3412" customHeight="1" spans="1:2">
      <c r="A3412" s="3" t="s">
        <v>8683</v>
      </c>
      <c r="B3412" s="4">
        <v>3101301</v>
      </c>
    </row>
    <row r="3413" customHeight="1" spans="1:2">
      <c r="A3413" s="3" t="s">
        <v>7570</v>
      </c>
      <c r="B3413" s="4">
        <v>25871834</v>
      </c>
    </row>
    <row r="3414" customHeight="1" spans="1:2">
      <c r="A3414" s="3" t="s">
        <v>4866</v>
      </c>
      <c r="B3414" s="4">
        <v>108200000</v>
      </c>
    </row>
    <row r="3415" customHeight="1" spans="1:2">
      <c r="A3415" s="3" t="s">
        <v>6945</v>
      </c>
      <c r="B3415" s="4">
        <v>60000000</v>
      </c>
    </row>
    <row r="3416" customHeight="1" spans="1:2">
      <c r="A3416" s="3" t="s">
        <v>12278</v>
      </c>
      <c r="B3416" s="4">
        <v>15681020</v>
      </c>
    </row>
    <row r="3417" customHeight="1" spans="1:2">
      <c r="A3417" s="3" t="s">
        <v>123</v>
      </c>
      <c r="B3417" s="4">
        <v>200069408</v>
      </c>
    </row>
    <row r="3418" customHeight="1" spans="1:2">
      <c r="A3418" s="3" t="s">
        <v>4583</v>
      </c>
      <c r="B3418" s="4">
        <v>134218018</v>
      </c>
    </row>
    <row r="3419" customHeight="1" spans="1:2">
      <c r="A3419" s="3" t="s">
        <v>4361</v>
      </c>
      <c r="B3419" s="4">
        <v>14218868</v>
      </c>
    </row>
    <row r="3420" customHeight="1" spans="1:2">
      <c r="A3420" s="3" t="s">
        <v>13417</v>
      </c>
      <c r="B3420" s="4">
        <v>30628981</v>
      </c>
    </row>
    <row r="3421" customHeight="1" spans="1:2">
      <c r="A3421" s="3" t="s">
        <v>23834</v>
      </c>
      <c r="B3421" s="4"/>
    </row>
    <row r="3422" customHeight="1" spans="1:2">
      <c r="A3422" s="3" t="s">
        <v>19851</v>
      </c>
      <c r="B3422" s="4"/>
    </row>
    <row r="3423" customHeight="1" spans="1:2">
      <c r="A3423" s="3" t="s">
        <v>17256</v>
      </c>
      <c r="B3423" s="4">
        <v>36497</v>
      </c>
    </row>
    <row r="3424" customHeight="1" spans="1:2">
      <c r="A3424" s="3" t="s">
        <v>1952</v>
      </c>
      <c r="B3424" s="4">
        <v>58867694</v>
      </c>
    </row>
    <row r="3425" customHeight="1" spans="1:2">
      <c r="A3425" s="3" t="s">
        <v>2816</v>
      </c>
      <c r="B3425" s="4">
        <v>38542418</v>
      </c>
    </row>
    <row r="3426" customHeight="1" spans="1:2">
      <c r="A3426" s="3" t="s">
        <v>18426</v>
      </c>
      <c r="B3426" s="4">
        <v>101055</v>
      </c>
    </row>
    <row r="3427" customHeight="1" spans="1:2">
      <c r="A3427" s="3" t="s">
        <v>11538</v>
      </c>
      <c r="B3427" s="4"/>
    </row>
    <row r="3428" customHeight="1" spans="1:2">
      <c r="A3428" s="3" t="s">
        <v>9175</v>
      </c>
      <c r="B3428" s="4">
        <v>8712564</v>
      </c>
    </row>
    <row r="3429" customHeight="1" spans="1:2">
      <c r="A3429" s="3" t="s">
        <v>11286</v>
      </c>
      <c r="B3429" s="4"/>
    </row>
    <row r="3430" customHeight="1" spans="1:2">
      <c r="A3430" s="3" t="s">
        <v>6957</v>
      </c>
      <c r="B3430" s="4">
        <v>127214072</v>
      </c>
    </row>
    <row r="3431" customHeight="1" spans="1:2">
      <c r="A3431" s="3" t="s">
        <v>6673</v>
      </c>
      <c r="B3431" s="4">
        <v>25178165</v>
      </c>
    </row>
    <row r="3432" customHeight="1" spans="1:2">
      <c r="A3432" s="3" t="s">
        <v>23556</v>
      </c>
      <c r="B3432" s="4">
        <v>15180000</v>
      </c>
    </row>
    <row r="3433" customHeight="1" spans="1:2">
      <c r="A3433" s="3" t="s">
        <v>16273</v>
      </c>
      <c r="B3433" s="4"/>
    </row>
    <row r="3434" customHeight="1" spans="1:2">
      <c r="A3434" s="3" t="s">
        <v>15295</v>
      </c>
      <c r="B3434" s="4">
        <v>598645</v>
      </c>
    </row>
    <row r="3435" customHeight="1" spans="1:2">
      <c r="A3435" s="3" t="s">
        <v>14919</v>
      </c>
      <c r="B3435" s="4">
        <v>28563926</v>
      </c>
    </row>
    <row r="3436" customHeight="1" spans="1:2">
      <c r="A3436" s="3" t="s">
        <v>16292</v>
      </c>
      <c r="B3436" s="4">
        <v>10105505</v>
      </c>
    </row>
    <row r="3437" customHeight="1" spans="1:2">
      <c r="A3437" s="3" t="s">
        <v>10609</v>
      </c>
      <c r="B3437" s="4">
        <v>16284360</v>
      </c>
    </row>
    <row r="3438" customHeight="1" spans="1:2">
      <c r="A3438" s="3" t="s">
        <v>23384</v>
      </c>
      <c r="B3438" s="4">
        <v>4505922</v>
      </c>
    </row>
    <row r="3439" customHeight="1" spans="1:2">
      <c r="A3439" s="3" t="s">
        <v>7062</v>
      </c>
      <c r="B3439" s="4">
        <v>6482195</v>
      </c>
    </row>
    <row r="3440" customHeight="1" spans="1:2">
      <c r="A3440" s="3" t="s">
        <v>2770</v>
      </c>
      <c r="B3440" s="4">
        <v>69772969</v>
      </c>
    </row>
    <row r="3441" customHeight="1" spans="1:2">
      <c r="A3441" s="3" t="s">
        <v>12369</v>
      </c>
      <c r="B3441" s="4">
        <v>11702090</v>
      </c>
    </row>
    <row r="3442" customHeight="1" spans="1:2">
      <c r="A3442" s="3" t="s">
        <v>11391</v>
      </c>
      <c r="B3442" s="4">
        <v>3081925</v>
      </c>
    </row>
    <row r="3443" customHeight="1" spans="1:2">
      <c r="A3443" s="3" t="s">
        <v>5192</v>
      </c>
      <c r="B3443" s="4">
        <v>101630576</v>
      </c>
    </row>
    <row r="3444" customHeight="1" spans="1:2">
      <c r="A3444" s="3" t="s">
        <v>16407</v>
      </c>
      <c r="B3444" s="4">
        <v>872643</v>
      </c>
    </row>
    <row r="3445" customHeight="1" spans="1:2">
      <c r="A3445" s="3" t="s">
        <v>23566</v>
      </c>
      <c r="B3445" s="4">
        <v>2882062</v>
      </c>
    </row>
    <row r="3446" customHeight="1" spans="1:2">
      <c r="A3446" s="3" t="s">
        <v>14000</v>
      </c>
      <c r="B3446" s="4">
        <v>1110186</v>
      </c>
    </row>
    <row r="3447" customHeight="1" spans="1:2">
      <c r="A3447" s="3" t="s">
        <v>11666</v>
      </c>
      <c r="B3447" s="4">
        <v>6923891</v>
      </c>
    </row>
    <row r="3448" customHeight="1" spans="1:2">
      <c r="A3448" s="3" t="s">
        <v>18133</v>
      </c>
      <c r="B3448" s="4">
        <v>1729969</v>
      </c>
    </row>
    <row r="3449" customHeight="1" spans="1:2">
      <c r="A3449" s="3" t="s">
        <v>8425</v>
      </c>
      <c r="B3449" s="4">
        <v>34703228</v>
      </c>
    </row>
    <row r="3450" customHeight="1" spans="1:2">
      <c r="A3450" s="3" t="s">
        <v>5700</v>
      </c>
      <c r="B3450" s="4">
        <v>139852971</v>
      </c>
    </row>
    <row r="3451" customHeight="1" spans="1:2">
      <c r="A3451" s="3" t="s">
        <v>5592</v>
      </c>
      <c r="B3451" s="4">
        <v>89253340</v>
      </c>
    </row>
    <row r="3452" customHeight="1" spans="1:2">
      <c r="A3452" s="3" t="s">
        <v>9390</v>
      </c>
      <c r="B3452" s="4">
        <v>145000989</v>
      </c>
    </row>
    <row r="3453" customHeight="1" spans="1:2">
      <c r="A3453" s="3" t="s">
        <v>7928</v>
      </c>
      <c r="B3453" s="4">
        <v>57744720</v>
      </c>
    </row>
    <row r="3454" customHeight="1" spans="1:2">
      <c r="A3454" s="3" t="s">
        <v>8870</v>
      </c>
      <c r="B3454" s="4">
        <v>7443007</v>
      </c>
    </row>
    <row r="3455" customHeight="1" spans="1:2">
      <c r="A3455" s="3" t="s">
        <v>14198</v>
      </c>
      <c r="B3455" s="4">
        <v>21088568</v>
      </c>
    </row>
    <row r="3456" customHeight="1" spans="1:2">
      <c r="A3456" s="3" t="s">
        <v>17082</v>
      </c>
      <c r="B3456" s="4">
        <v>11797927</v>
      </c>
    </row>
    <row r="3457" customHeight="1" spans="1:2">
      <c r="A3457" s="3" t="s">
        <v>18577</v>
      </c>
      <c r="B3457" s="4">
        <v>3468572</v>
      </c>
    </row>
    <row r="3458" customHeight="1" spans="1:2">
      <c r="A3458" s="3" t="s">
        <v>3231</v>
      </c>
      <c r="B3458" s="4">
        <v>148213377</v>
      </c>
    </row>
    <row r="3459" customHeight="1" spans="1:2">
      <c r="A3459" s="3" t="s">
        <v>10693</v>
      </c>
      <c r="B3459" s="4">
        <v>84518155</v>
      </c>
    </row>
    <row r="3460" customHeight="1" spans="1:2">
      <c r="A3460" s="3" t="s">
        <v>93</v>
      </c>
      <c r="B3460" s="4">
        <v>200807262</v>
      </c>
    </row>
    <row r="3461" customHeight="1" spans="1:2">
      <c r="A3461" s="3" t="s">
        <v>4668</v>
      </c>
      <c r="B3461" s="4">
        <v>63408614</v>
      </c>
    </row>
    <row r="3462" customHeight="1" spans="1:2">
      <c r="A3462" s="3" t="s">
        <v>18260</v>
      </c>
      <c r="B3462" s="4">
        <v>1687311</v>
      </c>
    </row>
    <row r="3463" customHeight="1" spans="1:2">
      <c r="A3463" s="3" t="s">
        <v>9972</v>
      </c>
      <c r="B3463" s="4">
        <v>4064333</v>
      </c>
    </row>
    <row r="3464" customHeight="1" spans="1:2">
      <c r="A3464" s="3" t="s">
        <v>19546</v>
      </c>
      <c r="B3464" s="4">
        <v>5005</v>
      </c>
    </row>
    <row r="3465" customHeight="1" spans="1:2">
      <c r="A3465" s="3" t="s">
        <v>22872</v>
      </c>
      <c r="B3465" s="4">
        <v>592014</v>
      </c>
    </row>
    <row r="3466" customHeight="1" spans="1:2">
      <c r="A3466" s="3" t="s">
        <v>21526</v>
      </c>
      <c r="B3466" s="4"/>
    </row>
    <row r="3467" customHeight="1" spans="1:2">
      <c r="A3467" s="3" t="s">
        <v>21763</v>
      </c>
      <c r="B3467" s="4">
        <v>274661</v>
      </c>
    </row>
    <row r="3468" customHeight="1" spans="1:2">
      <c r="A3468" s="3" t="s">
        <v>19004</v>
      </c>
      <c r="B3468" s="4"/>
    </row>
    <row r="3469" customHeight="1" spans="1:2">
      <c r="A3469" s="3" t="s">
        <v>13466</v>
      </c>
      <c r="B3469" s="4">
        <v>14348123</v>
      </c>
    </row>
    <row r="3470" customHeight="1" spans="1:2">
      <c r="A3470" s="3" t="s">
        <v>15125</v>
      </c>
      <c r="B3470" s="4">
        <v>6491350</v>
      </c>
    </row>
    <row r="3471" customHeight="1" spans="1:2">
      <c r="A3471" s="3" t="s">
        <v>10871</v>
      </c>
      <c r="B3471" s="4">
        <v>32774834</v>
      </c>
    </row>
    <row r="3472" customHeight="1" spans="1:2">
      <c r="A3472" s="3" t="s">
        <v>3100</v>
      </c>
      <c r="B3472" s="4">
        <v>43426961</v>
      </c>
    </row>
    <row r="3473" customHeight="1" spans="1:2">
      <c r="A3473" s="3" t="s">
        <v>3561</v>
      </c>
      <c r="B3473" s="4">
        <v>81257500</v>
      </c>
    </row>
    <row r="3474" customHeight="1" spans="1:2">
      <c r="A3474" s="3" t="s">
        <v>5015</v>
      </c>
      <c r="B3474" s="4">
        <v>218628680</v>
      </c>
    </row>
    <row r="3475" customHeight="1" spans="1:2">
      <c r="A3475" s="3" t="s">
        <v>19332</v>
      </c>
      <c r="B3475" s="4">
        <v>7888703</v>
      </c>
    </row>
    <row r="3476" customHeight="1" spans="1:2">
      <c r="A3476" s="3" t="s">
        <v>9448</v>
      </c>
      <c r="B3476" s="4">
        <v>78656813</v>
      </c>
    </row>
    <row r="3477" customHeight="1" spans="1:2">
      <c r="A3477" s="3" t="s">
        <v>10569</v>
      </c>
      <c r="B3477" s="4">
        <v>42660000</v>
      </c>
    </row>
    <row r="3478" customHeight="1" spans="1:2">
      <c r="A3478" s="3" t="s">
        <v>1480</v>
      </c>
      <c r="B3478" s="4">
        <v>381742480</v>
      </c>
    </row>
    <row r="3479" customHeight="1" spans="1:2">
      <c r="A3479" s="3" t="s">
        <v>1498</v>
      </c>
      <c r="B3479" s="4">
        <v>81638674</v>
      </c>
    </row>
    <row r="3480" customHeight="1" spans="1:2">
      <c r="A3480" s="3" t="s">
        <v>23216</v>
      </c>
      <c r="B3480" s="4"/>
    </row>
    <row r="3481" customHeight="1" spans="1:2">
      <c r="A3481" s="3" t="s">
        <v>20369</v>
      </c>
      <c r="B3481" s="4">
        <v>347578</v>
      </c>
    </row>
    <row r="3482" customHeight="1" spans="1:2">
      <c r="A3482" s="3" t="s">
        <v>1719</v>
      </c>
      <c r="B3482" s="4">
        <v>204843350</v>
      </c>
    </row>
    <row r="3483" customHeight="1" spans="1:2">
      <c r="A3483" s="3" t="s">
        <v>651</v>
      </c>
      <c r="B3483" s="4">
        <v>150350192</v>
      </c>
    </row>
    <row r="3484" customHeight="1" spans="1:2">
      <c r="A3484" s="3" t="s">
        <v>739</v>
      </c>
      <c r="B3484" s="4">
        <v>89732035</v>
      </c>
    </row>
    <row r="3485" customHeight="1" spans="1:2">
      <c r="A3485" s="3" t="s">
        <v>330</v>
      </c>
      <c r="B3485" s="4">
        <v>125320003</v>
      </c>
    </row>
    <row r="3486" customHeight="1" spans="1:2">
      <c r="A3486" s="3" t="s">
        <v>10877</v>
      </c>
      <c r="B3486" s="4">
        <v>34334256</v>
      </c>
    </row>
    <row r="3487" customHeight="1" spans="1:2">
      <c r="A3487" s="3" t="s">
        <v>7069</v>
      </c>
      <c r="B3487" s="4">
        <v>623374</v>
      </c>
    </row>
    <row r="3488" customHeight="1" spans="1:2">
      <c r="A3488" s="3" t="s">
        <v>16336</v>
      </c>
      <c r="B3488" s="4">
        <v>24792061</v>
      </c>
    </row>
    <row r="3489" customHeight="1" spans="1:2">
      <c r="A3489" s="3" t="s">
        <v>16030</v>
      </c>
      <c r="B3489" s="4">
        <v>26049082</v>
      </c>
    </row>
    <row r="3490" customHeight="1" spans="1:2">
      <c r="A3490" s="3" t="s">
        <v>19808</v>
      </c>
      <c r="B3490" s="4">
        <v>25809813</v>
      </c>
    </row>
    <row r="3491" customHeight="1" spans="1:2">
      <c r="A3491" s="3" t="s">
        <v>4519</v>
      </c>
      <c r="B3491" s="4">
        <v>36931089</v>
      </c>
    </row>
    <row r="3492" customHeight="1" spans="1:2">
      <c r="A3492" s="3" t="s">
        <v>1316</v>
      </c>
      <c r="B3492" s="4">
        <v>32694788</v>
      </c>
    </row>
    <row r="3493" customHeight="1" spans="1:2">
      <c r="A3493" s="3" t="s">
        <v>9881</v>
      </c>
      <c r="B3493" s="4">
        <v>12188642</v>
      </c>
    </row>
    <row r="3494" customHeight="1" spans="1:2">
      <c r="A3494" s="3" t="s">
        <v>9224</v>
      </c>
      <c r="B3494" s="4">
        <v>109243478</v>
      </c>
    </row>
    <row r="3495" customHeight="1" spans="1:2">
      <c r="A3495" s="3" t="s">
        <v>21217</v>
      </c>
      <c r="B3495" s="4"/>
    </row>
    <row r="3496" customHeight="1" spans="1:2">
      <c r="A3496" s="3" t="s">
        <v>17226</v>
      </c>
      <c r="B3496" s="4">
        <v>399611</v>
      </c>
    </row>
    <row r="3497" customHeight="1" spans="1:2">
      <c r="A3497" s="3" t="s">
        <v>7098</v>
      </c>
      <c r="B3497" s="4">
        <v>34912982</v>
      </c>
    </row>
    <row r="3498" customHeight="1" spans="1:2">
      <c r="A3498" s="3" t="s">
        <v>2525</v>
      </c>
      <c r="B3498" s="4">
        <v>34543701</v>
      </c>
    </row>
    <row r="3499" customHeight="1" spans="1:2">
      <c r="A3499" s="3" t="s">
        <v>3407</v>
      </c>
      <c r="B3499" s="4">
        <v>54222000</v>
      </c>
    </row>
    <row r="3500" customHeight="1" spans="1:2">
      <c r="A3500" s="3" t="s">
        <v>21758</v>
      </c>
      <c r="B3500" s="4">
        <v>484221</v>
      </c>
    </row>
    <row r="3501" customHeight="1" spans="1:2">
      <c r="A3501" s="3" t="s">
        <v>8126</v>
      </c>
      <c r="B3501" s="4">
        <v>113502246</v>
      </c>
    </row>
    <row r="3502" customHeight="1" spans="1:2">
      <c r="A3502" s="3" t="s">
        <v>5005</v>
      </c>
      <c r="B3502" s="4">
        <v>62453315</v>
      </c>
    </row>
    <row r="3503" customHeight="1" spans="1:2">
      <c r="A3503" s="3" t="s">
        <v>10244</v>
      </c>
      <c r="B3503" s="4">
        <v>4756</v>
      </c>
    </row>
    <row r="3504" customHeight="1" spans="1:2">
      <c r="A3504" s="3" t="s">
        <v>12250</v>
      </c>
      <c r="B3504" s="4">
        <v>11634458</v>
      </c>
    </row>
    <row r="3505" customHeight="1" spans="1:2">
      <c r="A3505" s="3" t="s">
        <v>5507</v>
      </c>
      <c r="B3505" s="4">
        <v>21413502</v>
      </c>
    </row>
    <row r="3506" customHeight="1" spans="1:2">
      <c r="A3506" s="3" t="s">
        <v>16878</v>
      </c>
      <c r="B3506" s="4">
        <v>24103594</v>
      </c>
    </row>
    <row r="3507" customHeight="1" spans="1:2">
      <c r="A3507" s="3" t="s">
        <v>9793</v>
      </c>
      <c r="B3507" s="4">
        <v>15091542</v>
      </c>
    </row>
    <row r="3508" customHeight="1" spans="1:2">
      <c r="A3508" s="3" t="s">
        <v>1907</v>
      </c>
      <c r="B3508" s="4">
        <v>4411102</v>
      </c>
    </row>
    <row r="3509" customHeight="1" spans="1:2">
      <c r="A3509" s="3" t="s">
        <v>2962</v>
      </c>
      <c r="B3509" s="4">
        <v>26000610</v>
      </c>
    </row>
    <row r="3510" customHeight="1" spans="1:2">
      <c r="A3510" s="3" t="s">
        <v>5287</v>
      </c>
      <c r="B3510" s="4">
        <v>39177541</v>
      </c>
    </row>
    <row r="3511" customHeight="1" spans="1:2">
      <c r="A3511" s="3" t="s">
        <v>1215</v>
      </c>
      <c r="B3511" s="4">
        <v>77564037</v>
      </c>
    </row>
    <row r="3512" customHeight="1" spans="1:2">
      <c r="A3512" s="3" t="s">
        <v>8353</v>
      </c>
      <c r="B3512" s="4">
        <v>42478175</v>
      </c>
    </row>
    <row r="3513" customHeight="1" spans="1:2">
      <c r="A3513" s="3" t="s">
        <v>7761</v>
      </c>
      <c r="B3513" s="4">
        <v>32000000</v>
      </c>
    </row>
    <row r="3514" customHeight="1" spans="1:2">
      <c r="A3514" s="3" t="s">
        <v>2057</v>
      </c>
      <c r="B3514" s="4">
        <v>44812724</v>
      </c>
    </row>
    <row r="3515" customHeight="1" spans="1:2">
      <c r="A3515" s="3" t="s">
        <v>21290</v>
      </c>
      <c r="B3515" s="4"/>
    </row>
    <row r="3516" customHeight="1" spans="1:2">
      <c r="A3516" s="3" t="s">
        <v>21297</v>
      </c>
      <c r="B3516" s="4">
        <v>11278</v>
      </c>
    </row>
    <row r="3517" customHeight="1" spans="1:2">
      <c r="A3517" s="3" t="s">
        <v>297</v>
      </c>
      <c r="B3517" s="4">
        <v>202853933</v>
      </c>
    </row>
    <row r="3518" customHeight="1" spans="1:2">
      <c r="A3518" s="3" t="s">
        <v>185</v>
      </c>
      <c r="B3518" s="4">
        <v>262030663</v>
      </c>
    </row>
    <row r="3519" customHeight="1" spans="1:2">
      <c r="A3519" s="3" t="s">
        <v>3894</v>
      </c>
      <c r="B3519" s="4">
        <v>65000000</v>
      </c>
    </row>
    <row r="3520" customHeight="1" spans="1:2">
      <c r="A3520" s="3" t="s">
        <v>10846</v>
      </c>
      <c r="B3520" s="4">
        <v>35596227</v>
      </c>
    </row>
    <row r="3521" customHeight="1" spans="1:2">
      <c r="A3521" s="3" t="s">
        <v>11693</v>
      </c>
      <c r="B3521" s="4">
        <v>64255243</v>
      </c>
    </row>
    <row r="3522" customHeight="1" spans="1:2">
      <c r="A3522" s="3" t="s">
        <v>16892</v>
      </c>
      <c r="B3522" s="4"/>
    </row>
    <row r="3523" customHeight="1" spans="1:2">
      <c r="A3523" s="3" t="s">
        <v>3211</v>
      </c>
      <c r="B3523" s="4">
        <v>107225164</v>
      </c>
    </row>
    <row r="3524" customHeight="1" spans="1:2">
      <c r="A3524" s="3" t="s">
        <v>10362</v>
      </c>
      <c r="B3524" s="4">
        <v>55762229</v>
      </c>
    </row>
    <row r="3525" customHeight="1" spans="1:2">
      <c r="A3525" s="3" t="s">
        <v>5875</v>
      </c>
      <c r="B3525" s="4">
        <v>28133159</v>
      </c>
    </row>
    <row r="3526" customHeight="1" spans="1:2">
      <c r="A3526" s="3" t="s">
        <v>19261</v>
      </c>
      <c r="B3526" s="4"/>
    </row>
    <row r="3527" customHeight="1" spans="1:2">
      <c r="A3527" s="3" t="s">
        <v>17650</v>
      </c>
      <c r="B3527" s="4">
        <v>20733485</v>
      </c>
    </row>
    <row r="3528" customHeight="1" spans="1:2">
      <c r="A3528" s="3" t="s">
        <v>12342</v>
      </c>
      <c r="B3528" s="4">
        <v>4930798</v>
      </c>
    </row>
    <row r="3529" customHeight="1" spans="1:2">
      <c r="A3529" s="3" t="s">
        <v>18619</v>
      </c>
      <c r="B3529" s="4">
        <v>1429260</v>
      </c>
    </row>
    <row r="3530" customHeight="1" spans="1:2">
      <c r="A3530" s="3" t="s">
        <v>6640</v>
      </c>
      <c r="B3530" s="4">
        <v>30199105</v>
      </c>
    </row>
    <row r="3531" customHeight="1" spans="1:2">
      <c r="A3531" s="3" t="s">
        <v>12402</v>
      </c>
      <c r="B3531" s="4">
        <v>44667095</v>
      </c>
    </row>
    <row r="3532" customHeight="1" spans="1:2">
      <c r="A3532" s="3" t="s">
        <v>13226</v>
      </c>
      <c r="B3532" s="4">
        <v>613556</v>
      </c>
    </row>
    <row r="3533" customHeight="1" spans="1:2">
      <c r="A3533" s="3" t="s">
        <v>8705</v>
      </c>
      <c r="B3533" s="4">
        <v>3904982</v>
      </c>
    </row>
    <row r="3534" customHeight="1" spans="1:2">
      <c r="A3534" s="3" t="s">
        <v>13779</v>
      </c>
      <c r="B3534" s="4">
        <v>10996440</v>
      </c>
    </row>
    <row r="3535" customHeight="1" spans="1:2">
      <c r="A3535" s="3" t="s">
        <v>7794</v>
      </c>
      <c r="B3535" s="4">
        <v>21309162</v>
      </c>
    </row>
    <row r="3536" customHeight="1" spans="1:2">
      <c r="A3536" s="3" t="s">
        <v>1566</v>
      </c>
      <c r="B3536" s="4"/>
    </row>
    <row r="3537" customHeight="1" spans="1:2">
      <c r="A3537" s="3" t="s">
        <v>155</v>
      </c>
      <c r="B3537" s="4">
        <v>1246559094</v>
      </c>
    </row>
    <row r="3538" customHeight="1" spans="1:2">
      <c r="A3538" s="3" t="s">
        <v>1547</v>
      </c>
      <c r="B3538" s="4">
        <v>102608827</v>
      </c>
    </row>
    <row r="3539" customHeight="1" spans="1:2">
      <c r="A3539" s="3" t="s">
        <v>18122</v>
      </c>
      <c r="B3539" s="4"/>
    </row>
    <row r="3540" customHeight="1" spans="1:2">
      <c r="A3540" s="3" t="s">
        <v>11550</v>
      </c>
      <c r="B3540" s="4">
        <v>476270</v>
      </c>
    </row>
    <row r="3541" customHeight="1" spans="1:2">
      <c r="A3541" s="3" t="s">
        <v>10602</v>
      </c>
      <c r="B3541" s="4"/>
    </row>
    <row r="3542" customHeight="1" spans="1:2">
      <c r="A3542" s="3" t="s">
        <v>7425</v>
      </c>
      <c r="B3542" s="4">
        <v>37481242</v>
      </c>
    </row>
    <row r="3543" customHeight="1" spans="1:2">
      <c r="A3543" s="3" t="s">
        <v>7449</v>
      </c>
      <c r="B3543" s="4"/>
    </row>
    <row r="3544" customHeight="1" spans="1:2">
      <c r="A3544" s="3" t="s">
        <v>18894</v>
      </c>
      <c r="B3544" s="4"/>
    </row>
    <row r="3545" customHeight="1" spans="1:2">
      <c r="A3545" s="3" t="s">
        <v>21156</v>
      </c>
      <c r="B3545" s="4"/>
    </row>
    <row r="3546" customHeight="1" spans="1:2">
      <c r="A3546" s="3" t="s">
        <v>20953</v>
      </c>
      <c r="B3546" s="4">
        <v>712294</v>
      </c>
    </row>
    <row r="3547" customHeight="1" spans="1:2">
      <c r="A3547" s="3" t="s">
        <v>14905</v>
      </c>
      <c r="B3547" s="4">
        <v>30306281</v>
      </c>
    </row>
    <row r="3548" customHeight="1" spans="1:2">
      <c r="A3548" s="3" t="s">
        <v>10941</v>
      </c>
      <c r="B3548" s="4">
        <v>30028592</v>
      </c>
    </row>
    <row r="3549" customHeight="1" spans="1:2">
      <c r="A3549" s="3" t="s">
        <v>17813</v>
      </c>
      <c r="B3549" s="4">
        <v>3432342</v>
      </c>
    </row>
    <row r="3550" customHeight="1" spans="1:2">
      <c r="A3550" s="3" t="s">
        <v>18615</v>
      </c>
      <c r="B3550" s="4">
        <v>800000</v>
      </c>
    </row>
    <row r="3551" customHeight="1" spans="1:2">
      <c r="A3551" s="3" t="s">
        <v>21180</v>
      </c>
      <c r="B3551" s="4">
        <v>609042</v>
      </c>
    </row>
    <row r="3552" customHeight="1" spans="1:2">
      <c r="A3552" s="3" t="s">
        <v>21750</v>
      </c>
      <c r="B3552" s="4">
        <v>279282</v>
      </c>
    </row>
    <row r="3553" customHeight="1" spans="1:2">
      <c r="A3553" s="3" t="s">
        <v>5293</v>
      </c>
      <c r="B3553" s="4">
        <v>39778599</v>
      </c>
    </row>
    <row r="3554" customHeight="1" spans="1:2">
      <c r="A3554" s="3" t="s">
        <v>23374</v>
      </c>
      <c r="B3554" s="4">
        <v>5000000</v>
      </c>
    </row>
    <row r="3555" customHeight="1" spans="1:2">
      <c r="A3555" s="3" t="s">
        <v>17773</v>
      </c>
      <c r="B3555" s="4"/>
    </row>
    <row r="3556" customHeight="1" spans="1:2">
      <c r="A3556" s="3" t="s">
        <v>10625</v>
      </c>
      <c r="B3556" s="4">
        <v>958319</v>
      </c>
    </row>
    <row r="3557" customHeight="1" spans="1:2">
      <c r="A3557" s="3" t="s">
        <v>20967</v>
      </c>
      <c r="B3557" s="4">
        <v>406035</v>
      </c>
    </row>
    <row r="3558" customHeight="1" spans="1:2">
      <c r="A3558" s="3" t="s">
        <v>7390</v>
      </c>
      <c r="B3558" s="4">
        <v>57651794</v>
      </c>
    </row>
    <row r="3559" customHeight="1" spans="1:2">
      <c r="A3559" s="3" t="s">
        <v>14852</v>
      </c>
      <c r="B3559" s="4">
        <v>46377022</v>
      </c>
    </row>
    <row r="3560" customHeight="1" spans="1:2">
      <c r="A3560" s="3" t="s">
        <v>10630</v>
      </c>
      <c r="B3560" s="4">
        <v>69700000</v>
      </c>
    </row>
    <row r="3561" customHeight="1" spans="1:2">
      <c r="A3561" s="3" t="s">
        <v>12179</v>
      </c>
      <c r="B3561" s="4">
        <v>70492685</v>
      </c>
    </row>
    <row r="3562" customHeight="1" spans="1:2">
      <c r="A3562" s="3" t="s">
        <v>15627</v>
      </c>
      <c r="B3562" s="4">
        <v>34074895</v>
      </c>
    </row>
    <row r="3563" customHeight="1" spans="1:2">
      <c r="A3563" s="3" t="s">
        <v>9395</v>
      </c>
      <c r="B3563" s="4">
        <v>26761283</v>
      </c>
    </row>
    <row r="3564" customHeight="1" spans="1:2">
      <c r="A3564" s="3" t="s">
        <v>10016</v>
      </c>
      <c r="B3564" s="4">
        <v>85433</v>
      </c>
    </row>
    <row r="3565" customHeight="1" spans="1:2">
      <c r="A3565" s="3" t="s">
        <v>20071</v>
      </c>
      <c r="B3565" s="4">
        <v>23650000</v>
      </c>
    </row>
    <row r="3566" customHeight="1" spans="1:2">
      <c r="A3566" s="3" t="s">
        <v>18999</v>
      </c>
      <c r="B3566" s="4"/>
    </row>
    <row r="3567" customHeight="1" spans="1:2">
      <c r="A3567" s="3" t="s">
        <v>22891</v>
      </c>
      <c r="B3567" s="4">
        <v>126387</v>
      </c>
    </row>
    <row r="3568" customHeight="1" spans="1:2">
      <c r="A3568" s="3" t="s">
        <v>1131</v>
      </c>
      <c r="B3568" s="4">
        <v>52792307</v>
      </c>
    </row>
    <row r="3569" customHeight="1" spans="1:2">
      <c r="A3569" s="3" t="s">
        <v>5480</v>
      </c>
      <c r="B3569" s="4">
        <v>6471394</v>
      </c>
    </row>
    <row r="3570" customHeight="1" spans="1:2">
      <c r="A3570" s="3" t="s">
        <v>13723</v>
      </c>
      <c r="B3570" s="4">
        <v>27052167</v>
      </c>
    </row>
    <row r="3571" customHeight="1" spans="1:2">
      <c r="A3571" s="3" t="s">
        <v>13076</v>
      </c>
      <c r="B3571" s="4">
        <v>17439163</v>
      </c>
    </row>
    <row r="3572" customHeight="1" spans="1:2">
      <c r="A3572" s="3" t="s">
        <v>23322</v>
      </c>
      <c r="B3572" s="4"/>
    </row>
    <row r="3573" customHeight="1" spans="1:2">
      <c r="A3573" s="3" t="s">
        <v>8866</v>
      </c>
      <c r="B3573" s="4">
        <v>70235322</v>
      </c>
    </row>
    <row r="3574" customHeight="1" spans="1:2">
      <c r="A3574" s="3" t="s">
        <v>23043</v>
      </c>
      <c r="B3574" s="4"/>
    </row>
    <row r="3575" customHeight="1" spans="1:2">
      <c r="A3575" s="3" t="s">
        <v>18657</v>
      </c>
      <c r="B3575" s="4">
        <v>185577</v>
      </c>
    </row>
    <row r="3576" customHeight="1" spans="1:2">
      <c r="A3576" s="3" t="s">
        <v>7932</v>
      </c>
      <c r="B3576" s="4">
        <v>21784432</v>
      </c>
    </row>
    <row r="3577" customHeight="1" spans="1:2">
      <c r="A3577" s="3" t="s">
        <v>6232</v>
      </c>
      <c r="B3577" s="4">
        <v>7204138</v>
      </c>
    </row>
    <row r="3578" customHeight="1" spans="1:2">
      <c r="A3578" s="3" t="s">
        <v>23674</v>
      </c>
      <c r="B3578" s="4"/>
    </row>
    <row r="3579" customHeight="1" spans="1:2">
      <c r="A3579" s="3" t="s">
        <v>4343</v>
      </c>
      <c r="B3579" s="4">
        <v>22518325</v>
      </c>
    </row>
    <row r="3580" customHeight="1" spans="1:2">
      <c r="A3580" s="3" t="s">
        <v>10839</v>
      </c>
      <c r="B3580" s="4"/>
    </row>
    <row r="3581" customHeight="1" spans="1:2">
      <c r="A3581" s="3" t="s">
        <v>19706</v>
      </c>
      <c r="B3581" s="4"/>
    </row>
    <row r="3582" customHeight="1" spans="1:2">
      <c r="A3582" s="3" t="s">
        <v>22389</v>
      </c>
      <c r="B3582" s="4">
        <v>140530114</v>
      </c>
    </row>
    <row r="3583" customHeight="1" spans="1:2">
      <c r="A3583" s="3" t="s">
        <v>7260</v>
      </c>
      <c r="B3583" s="4">
        <v>255950375</v>
      </c>
    </row>
    <row r="3584" customHeight="1" spans="1:2">
      <c r="A3584" s="3" t="s">
        <v>16303</v>
      </c>
      <c r="B3584" s="4">
        <v>882290</v>
      </c>
    </row>
    <row r="3585" customHeight="1" spans="1:2">
      <c r="A3585" s="3" t="s">
        <v>23651</v>
      </c>
      <c r="B3585" s="4"/>
    </row>
    <row r="3586" customHeight="1" spans="1:2">
      <c r="A3586" s="3" t="s">
        <v>21325</v>
      </c>
      <c r="B3586" s="4"/>
    </row>
    <row r="3587" customHeight="1" spans="1:2">
      <c r="A3587" s="3" t="s">
        <v>14742</v>
      </c>
      <c r="B3587" s="4"/>
    </row>
    <row r="3588" customHeight="1" spans="1:2">
      <c r="A3588" s="3" t="s">
        <v>18216</v>
      </c>
      <c r="B3588" s="4"/>
    </row>
    <row r="3589" customHeight="1" spans="1:2">
      <c r="A3589" s="3" t="s">
        <v>21137</v>
      </c>
      <c r="B3589" s="4">
        <v>231186</v>
      </c>
    </row>
    <row r="3590" customHeight="1" spans="1:2">
      <c r="A3590" s="3" t="s">
        <v>9102</v>
      </c>
      <c r="B3590" s="4">
        <v>54200000</v>
      </c>
    </row>
    <row r="3591" customHeight="1" spans="1:2">
      <c r="A3591" s="3" t="s">
        <v>9400</v>
      </c>
      <c r="B3591" s="4">
        <v>121945720</v>
      </c>
    </row>
    <row r="3592" customHeight="1" spans="1:2">
      <c r="A3592" s="3" t="s">
        <v>15707</v>
      </c>
      <c r="B3592" s="4"/>
    </row>
    <row r="3593" customHeight="1" spans="1:2">
      <c r="A3593" s="3" t="s">
        <v>5535</v>
      </c>
      <c r="B3593" s="4">
        <v>66488090</v>
      </c>
    </row>
    <row r="3594" customHeight="1" spans="1:2">
      <c r="A3594" s="3" t="s">
        <v>2654</v>
      </c>
      <c r="B3594" s="4">
        <v>94822707</v>
      </c>
    </row>
    <row r="3595" customHeight="1" spans="1:2">
      <c r="A3595" s="3" t="s">
        <v>5202</v>
      </c>
      <c r="B3595" s="4">
        <v>50150619</v>
      </c>
    </row>
    <row r="3596" customHeight="1" spans="1:2">
      <c r="A3596" s="3" t="s">
        <v>20307</v>
      </c>
      <c r="B3596" s="4">
        <v>1098224</v>
      </c>
    </row>
    <row r="3597" customHeight="1" spans="1:2">
      <c r="A3597" s="3" t="s">
        <v>11646</v>
      </c>
      <c r="B3597" s="4">
        <v>21483154</v>
      </c>
    </row>
    <row r="3598" customHeight="1" spans="1:2">
      <c r="A3598" s="3" t="s">
        <v>16093</v>
      </c>
      <c r="B3598" s="4">
        <v>10269307</v>
      </c>
    </row>
    <row r="3599" customHeight="1" spans="1:2">
      <c r="A3599" s="3" t="s">
        <v>16742</v>
      </c>
      <c r="B3599" s="4"/>
    </row>
    <row r="3600" customHeight="1" spans="1:2">
      <c r="A3600" s="3" t="s">
        <v>13623</v>
      </c>
      <c r="B3600" s="4"/>
    </row>
    <row r="3601" customHeight="1" spans="1:2">
      <c r="A3601" s="3" t="s">
        <v>8789</v>
      </c>
      <c r="B3601" s="4">
        <v>22359293</v>
      </c>
    </row>
    <row r="3602" customHeight="1" spans="1:2">
      <c r="A3602" s="3" t="s">
        <v>8805</v>
      </c>
      <c r="B3602" s="4">
        <v>63034755</v>
      </c>
    </row>
    <row r="3603" customHeight="1" spans="1:2">
      <c r="A3603" s="3" t="s">
        <v>6014</v>
      </c>
      <c r="B3603" s="4">
        <v>67061228</v>
      </c>
    </row>
    <row r="3604" customHeight="1" spans="1:2">
      <c r="A3604" s="3" t="s">
        <v>11640</v>
      </c>
      <c r="B3604" s="4">
        <v>8600000</v>
      </c>
    </row>
    <row r="3605" customHeight="1" spans="1:2">
      <c r="A3605" s="3" t="s">
        <v>3959</v>
      </c>
      <c r="B3605" s="4">
        <v>121468960</v>
      </c>
    </row>
    <row r="3606" customHeight="1" spans="1:2">
      <c r="A3606" s="3" t="s">
        <v>1322</v>
      </c>
      <c r="B3606" s="4">
        <v>113165635</v>
      </c>
    </row>
    <row r="3607" customHeight="1" spans="1:2">
      <c r="A3607" s="3" t="s">
        <v>2321</v>
      </c>
      <c r="B3607" s="4">
        <v>176049130</v>
      </c>
    </row>
    <row r="3608" customHeight="1" spans="1:2">
      <c r="A3608" s="3" t="s">
        <v>1159</v>
      </c>
      <c r="B3608" s="4">
        <v>227137090</v>
      </c>
    </row>
    <row r="3609" customHeight="1" spans="1:2">
      <c r="A3609" s="3" t="s">
        <v>9805</v>
      </c>
      <c r="B3609" s="4">
        <v>15045676</v>
      </c>
    </row>
    <row r="3610" customHeight="1" spans="1:2">
      <c r="A3610" s="3" t="s">
        <v>4192</v>
      </c>
      <c r="B3610" s="4">
        <v>50807639</v>
      </c>
    </row>
    <row r="3611" customHeight="1" spans="1:2">
      <c r="A3611" s="3" t="s">
        <v>13964</v>
      </c>
      <c r="B3611" s="4">
        <v>9030581</v>
      </c>
    </row>
    <row r="3612" customHeight="1" spans="1:2">
      <c r="A3612" s="3" t="s">
        <v>18473</v>
      </c>
      <c r="B3612" s="4">
        <v>35385560</v>
      </c>
    </row>
    <row r="3613" customHeight="1" spans="1:2">
      <c r="A3613" s="3" t="s">
        <v>14871</v>
      </c>
      <c r="B3613" s="4">
        <v>35794166</v>
      </c>
    </row>
    <row r="3614" customHeight="1" spans="1:2">
      <c r="A3614" s="3" t="s">
        <v>14176</v>
      </c>
      <c r="B3614" s="4"/>
    </row>
    <row r="3615" customHeight="1" spans="1:2">
      <c r="A3615" s="3" t="s">
        <v>23646</v>
      </c>
      <c r="B3615" s="4"/>
    </row>
    <row r="3616" customHeight="1" spans="1:2">
      <c r="A3616" s="3" t="s">
        <v>23823</v>
      </c>
      <c r="B3616" s="4"/>
    </row>
    <row r="3617" customHeight="1" spans="1:2">
      <c r="A3617" s="3" t="s">
        <v>22085</v>
      </c>
      <c r="B3617" s="4">
        <v>6643</v>
      </c>
    </row>
    <row r="3618" customHeight="1" spans="1:2">
      <c r="A3618" s="3" t="s">
        <v>20001</v>
      </c>
      <c r="B3618" s="4"/>
    </row>
    <row r="3619" customHeight="1" spans="1:2">
      <c r="A3619" s="3" t="s">
        <v>4929</v>
      </c>
      <c r="B3619" s="4">
        <v>118683135</v>
      </c>
    </row>
    <row r="3620" customHeight="1" spans="1:2">
      <c r="A3620" s="3" t="s">
        <v>10186</v>
      </c>
      <c r="B3620" s="4">
        <v>42880</v>
      </c>
    </row>
    <row r="3621" customHeight="1" spans="1:2">
      <c r="A3621" s="3" t="s">
        <v>19248</v>
      </c>
      <c r="B3621" s="4">
        <v>27200000</v>
      </c>
    </row>
    <row r="3622" customHeight="1" spans="1:2">
      <c r="A3622" s="3" t="s">
        <v>10357</v>
      </c>
      <c r="B3622" s="4">
        <v>70960517</v>
      </c>
    </row>
    <row r="3623" customHeight="1" spans="1:2">
      <c r="A3623" s="3" t="s">
        <v>22948</v>
      </c>
      <c r="B3623" s="4">
        <v>2808000</v>
      </c>
    </row>
    <row r="3624" customHeight="1" spans="1:2">
      <c r="A3624" s="3" t="s">
        <v>21683</v>
      </c>
      <c r="B3624" s="4">
        <v>1744858</v>
      </c>
    </row>
    <row r="3625" customHeight="1" spans="1:2">
      <c r="A3625" s="3" t="s">
        <v>11387</v>
      </c>
      <c r="B3625" s="4">
        <v>3519627</v>
      </c>
    </row>
    <row r="3626" customHeight="1" spans="1:2">
      <c r="A3626" s="3" t="s">
        <v>2794</v>
      </c>
      <c r="B3626" s="4">
        <v>37899638</v>
      </c>
    </row>
    <row r="3627" customHeight="1" spans="1:2">
      <c r="A3627" s="3" t="s">
        <v>23845</v>
      </c>
      <c r="B3627" s="4">
        <v>10246600</v>
      </c>
    </row>
    <row r="3628" customHeight="1" spans="1:2">
      <c r="A3628" s="3" t="s">
        <v>15283</v>
      </c>
      <c r="B3628" s="4">
        <v>900926</v>
      </c>
    </row>
    <row r="3629" customHeight="1" spans="1:2">
      <c r="A3629" s="3" t="s">
        <v>17016</v>
      </c>
      <c r="B3629" s="4">
        <v>27457409</v>
      </c>
    </row>
    <row r="3630" customHeight="1" spans="1:2">
      <c r="A3630" s="3" t="s">
        <v>15309</v>
      </c>
      <c r="B3630" s="4">
        <v>365734</v>
      </c>
    </row>
    <row r="3631" customHeight="1" spans="1:2">
      <c r="A3631" s="3" t="s">
        <v>20852</v>
      </c>
      <c r="B3631" s="4">
        <v>155972</v>
      </c>
    </row>
    <row r="3632" customHeight="1" spans="1:2">
      <c r="A3632" s="3" t="s">
        <v>5733</v>
      </c>
      <c r="B3632" s="4">
        <v>93452056</v>
      </c>
    </row>
    <row r="3633" customHeight="1" spans="1:2">
      <c r="A3633" s="3" t="s">
        <v>23426</v>
      </c>
      <c r="B3633" s="4">
        <v>174682</v>
      </c>
    </row>
    <row r="3634" customHeight="1" spans="1:2">
      <c r="A3634" s="3" t="s">
        <v>17191</v>
      </c>
      <c r="B3634" s="4">
        <v>1028337</v>
      </c>
    </row>
    <row r="3635" customHeight="1" spans="1:2">
      <c r="A3635" s="3" t="s">
        <v>13707</v>
      </c>
      <c r="B3635" s="4">
        <v>23947</v>
      </c>
    </row>
    <row r="3636" customHeight="1" spans="1:2">
      <c r="A3636" s="3" t="s">
        <v>8380</v>
      </c>
      <c r="B3636" s="4">
        <v>42043633</v>
      </c>
    </row>
    <row r="3637" customHeight="1" spans="1:2">
      <c r="A3637" s="3" t="s">
        <v>5601</v>
      </c>
      <c r="B3637" s="4">
        <v>60154431</v>
      </c>
    </row>
    <row r="3638" customHeight="1" spans="1:2">
      <c r="A3638" s="3" t="s">
        <v>22652</v>
      </c>
      <c r="B3638" s="4"/>
    </row>
    <row r="3639" customHeight="1" spans="1:2">
      <c r="A3639" s="3" t="s">
        <v>23884</v>
      </c>
      <c r="B3639" s="4"/>
    </row>
    <row r="3640" customHeight="1" spans="1:2">
      <c r="A3640" s="3" t="s">
        <v>13891</v>
      </c>
      <c r="B3640" s="4">
        <v>51872378</v>
      </c>
    </row>
    <row r="3641" customHeight="1" spans="1:2">
      <c r="A3641" s="3" t="s">
        <v>19996</v>
      </c>
      <c r="B3641" s="4"/>
    </row>
    <row r="3642" customHeight="1" spans="1:2">
      <c r="A3642" s="3" t="s">
        <v>1969</v>
      </c>
      <c r="B3642" s="4">
        <v>86897182</v>
      </c>
    </row>
    <row r="3643" customHeight="1" spans="1:2">
      <c r="A3643" s="3" t="s">
        <v>23230</v>
      </c>
      <c r="B3643" s="4">
        <v>49494</v>
      </c>
    </row>
    <row r="3644" customHeight="1" spans="1:2">
      <c r="A3644" s="3" t="s">
        <v>23467</v>
      </c>
      <c r="B3644" s="4"/>
    </row>
    <row r="3645" customHeight="1" spans="1:2">
      <c r="A3645" s="3" t="s">
        <v>1642</v>
      </c>
      <c r="B3645" s="4">
        <v>100446895</v>
      </c>
    </row>
    <row r="3646" customHeight="1" spans="1:2">
      <c r="A3646" s="3" t="s">
        <v>8573</v>
      </c>
      <c r="B3646" s="4">
        <v>14888028</v>
      </c>
    </row>
    <row r="3647" customHeight="1" spans="1:2">
      <c r="A3647" s="3" t="s">
        <v>13617</v>
      </c>
      <c r="B3647" s="4">
        <v>687081</v>
      </c>
    </row>
    <row r="3648" customHeight="1" spans="1:2">
      <c r="A3648" s="3" t="s">
        <v>21165</v>
      </c>
      <c r="B3648" s="4">
        <v>1647780</v>
      </c>
    </row>
    <row r="3649" customHeight="1" spans="1:2">
      <c r="A3649" s="3" t="s">
        <v>7336</v>
      </c>
      <c r="B3649" s="4">
        <v>61280963</v>
      </c>
    </row>
    <row r="3650" customHeight="1" spans="1:2">
      <c r="A3650" s="3" t="s">
        <v>15326</v>
      </c>
      <c r="B3650" s="4">
        <v>244465</v>
      </c>
    </row>
    <row r="3651" customHeight="1" spans="1:2">
      <c r="A3651" s="3" t="s">
        <v>4953</v>
      </c>
      <c r="B3651" s="4">
        <v>37035845</v>
      </c>
    </row>
    <row r="3652" customHeight="1" spans="1:2">
      <c r="A3652" s="3" t="s">
        <v>21385</v>
      </c>
      <c r="B3652" s="4"/>
    </row>
    <row r="3653" customHeight="1" spans="1:2">
      <c r="A3653" s="3" t="s">
        <v>11426</v>
      </c>
      <c r="B3653" s="4">
        <v>1027749</v>
      </c>
    </row>
    <row r="3654" customHeight="1" spans="1:2">
      <c r="A3654" s="3" t="s">
        <v>17423</v>
      </c>
      <c r="B3654" s="4">
        <v>3629758</v>
      </c>
    </row>
    <row r="3655" customHeight="1" spans="1:2">
      <c r="A3655" s="3" t="s">
        <v>23283</v>
      </c>
      <c r="B3655" s="4"/>
    </row>
    <row r="3656" customHeight="1" spans="1:2">
      <c r="A3656" s="3" t="s">
        <v>16662</v>
      </c>
      <c r="B3656" s="4">
        <v>2209479</v>
      </c>
    </row>
    <row r="3657" customHeight="1" spans="1:2">
      <c r="A3657" s="3" t="s">
        <v>152</v>
      </c>
      <c r="B3657" s="4">
        <v>141614023</v>
      </c>
    </row>
    <row r="3658" customHeight="1" spans="1:2">
      <c r="A3658" s="3" t="s">
        <v>456</v>
      </c>
      <c r="B3658" s="4">
        <v>291709845</v>
      </c>
    </row>
    <row r="3659" customHeight="1" spans="1:2">
      <c r="A3659" s="3" t="s">
        <v>745</v>
      </c>
      <c r="B3659" s="4">
        <v>104383624</v>
      </c>
    </row>
    <row r="3660" customHeight="1" spans="1:2">
      <c r="A3660" s="3" t="s">
        <v>1397</v>
      </c>
      <c r="B3660" s="4">
        <v>57637485</v>
      </c>
    </row>
    <row r="3661" customHeight="1" spans="1:2">
      <c r="A3661" s="3" t="s">
        <v>16805</v>
      </c>
      <c r="B3661" s="4">
        <v>49526</v>
      </c>
    </row>
    <row r="3662" customHeight="1" spans="1:2">
      <c r="A3662" s="3" t="s">
        <v>24069</v>
      </c>
      <c r="B3662" s="4">
        <v>673780</v>
      </c>
    </row>
    <row r="3663" customHeight="1" spans="1:2">
      <c r="A3663" s="3" t="s">
        <v>16098</v>
      </c>
      <c r="B3663" s="4"/>
    </row>
    <row r="3664" customHeight="1" spans="1:2">
      <c r="A3664" s="3" t="s">
        <v>13872</v>
      </c>
      <c r="B3664" s="4">
        <v>807864</v>
      </c>
    </row>
    <row r="3665" customHeight="1" spans="1:2">
      <c r="A3665" s="3" t="s">
        <v>13189</v>
      </c>
      <c r="B3665" s="4">
        <v>1953732</v>
      </c>
    </row>
    <row r="3666" customHeight="1" spans="1:2">
      <c r="A3666" s="3" t="s">
        <v>19123</v>
      </c>
      <c r="B3666" s="4">
        <v>3766595</v>
      </c>
    </row>
    <row r="3667" customHeight="1" spans="1:2">
      <c r="A3667" s="3" t="s">
        <v>5729</v>
      </c>
      <c r="B3667" s="4">
        <v>92115211</v>
      </c>
    </row>
    <row r="3668" customHeight="1" spans="1:2">
      <c r="A3668" s="3" t="s">
        <v>11382</v>
      </c>
      <c r="B3668" s="4">
        <v>3749061</v>
      </c>
    </row>
    <row r="3669" customHeight="1" spans="1:2">
      <c r="A3669" s="3" t="s">
        <v>15121</v>
      </c>
      <c r="B3669" s="4">
        <v>6842058</v>
      </c>
    </row>
    <row r="3670" customHeight="1" spans="1:2">
      <c r="A3670" s="3" t="s">
        <v>8735</v>
      </c>
      <c r="B3670" s="4"/>
    </row>
    <row r="3671" customHeight="1" spans="1:2">
      <c r="A3671" s="3" t="s">
        <v>14816</v>
      </c>
      <c r="B3671" s="4">
        <v>52293982</v>
      </c>
    </row>
    <row r="3672" customHeight="1" spans="1:2">
      <c r="A3672" s="3" t="s">
        <v>12690</v>
      </c>
      <c r="B3672" s="4">
        <v>94175854</v>
      </c>
    </row>
    <row r="3673" customHeight="1" spans="1:2">
      <c r="A3673" s="3" t="s">
        <v>13179</v>
      </c>
      <c r="B3673" s="4"/>
    </row>
    <row r="3674" customHeight="1" spans="1:2">
      <c r="A3674" s="3" t="s">
        <v>22263</v>
      </c>
      <c r="B3674" s="4"/>
    </row>
    <row r="3675" customHeight="1" spans="1:2">
      <c r="A3675" s="3" t="s">
        <v>6290</v>
      </c>
      <c r="B3675" s="4">
        <v>102310175</v>
      </c>
    </row>
    <row r="3676" customHeight="1" spans="1:2">
      <c r="A3676" s="3" t="s">
        <v>10686</v>
      </c>
      <c r="B3676" s="4">
        <v>137387272</v>
      </c>
    </row>
    <row r="3677" customHeight="1" spans="1:2">
      <c r="A3677" s="3" t="s">
        <v>9873</v>
      </c>
      <c r="B3677" s="4">
        <v>11538204</v>
      </c>
    </row>
    <row r="3678" customHeight="1" spans="1:2">
      <c r="A3678" s="3" t="s">
        <v>9365</v>
      </c>
      <c r="B3678" s="4">
        <v>33565375</v>
      </c>
    </row>
    <row r="3679" customHeight="1" spans="1:2">
      <c r="A3679" s="3" t="s">
        <v>15652</v>
      </c>
      <c r="B3679" s="4">
        <v>17804273</v>
      </c>
    </row>
    <row r="3680" customHeight="1" spans="1:2">
      <c r="A3680" s="3" t="s">
        <v>20856</v>
      </c>
      <c r="B3680" s="4"/>
    </row>
    <row r="3681" customHeight="1" spans="1:2">
      <c r="A3681" s="3" t="s">
        <v>12522</v>
      </c>
      <c r="B3681" s="4">
        <v>11540112</v>
      </c>
    </row>
    <row r="3682" customHeight="1" spans="1:2">
      <c r="A3682" s="3" t="s">
        <v>18526</v>
      </c>
      <c r="B3682" s="4">
        <v>8243880</v>
      </c>
    </row>
    <row r="3683" customHeight="1" spans="1:2">
      <c r="A3683" s="3" t="s">
        <v>2465</v>
      </c>
      <c r="B3683" s="4">
        <v>31111260</v>
      </c>
    </row>
    <row r="3684" customHeight="1" spans="1:2">
      <c r="A3684" s="3" t="s">
        <v>15016</v>
      </c>
      <c r="B3684" s="4">
        <v>15156200</v>
      </c>
    </row>
    <row r="3685" customHeight="1" spans="1:2">
      <c r="A3685" s="3" t="s">
        <v>18034</v>
      </c>
      <c r="B3685" s="4"/>
    </row>
    <row r="3686" customHeight="1" spans="1:2">
      <c r="A3686" s="3" t="s">
        <v>5582</v>
      </c>
      <c r="B3686" s="4">
        <v>25900000</v>
      </c>
    </row>
    <row r="3687" customHeight="1" spans="1:2">
      <c r="A3687" s="3" t="s">
        <v>10050</v>
      </c>
      <c r="B3687" s="4">
        <v>16969390</v>
      </c>
    </row>
    <row r="3688" customHeight="1" spans="1:2">
      <c r="A3688" s="3" t="s">
        <v>6439</v>
      </c>
      <c r="B3688" s="4">
        <v>54228104</v>
      </c>
    </row>
    <row r="3689" customHeight="1" spans="1:2">
      <c r="A3689" s="3" t="s">
        <v>11110</v>
      </c>
      <c r="B3689" s="4">
        <v>16988996</v>
      </c>
    </row>
    <row r="3690" customHeight="1" spans="1:2">
      <c r="A3690" s="3" t="s">
        <v>10997</v>
      </c>
      <c r="B3690" s="4">
        <v>23292105</v>
      </c>
    </row>
    <row r="3691" customHeight="1" spans="1:2">
      <c r="A3691" s="3" t="s">
        <v>12899</v>
      </c>
      <c r="B3691" s="4">
        <v>24881000</v>
      </c>
    </row>
    <row r="3692" customHeight="1" spans="1:2">
      <c r="A3692" s="3" t="s">
        <v>11625</v>
      </c>
      <c r="B3692" s="4">
        <v>39103378</v>
      </c>
    </row>
    <row r="3693" customHeight="1" spans="1:2">
      <c r="A3693" s="3" t="s">
        <v>10254</v>
      </c>
      <c r="B3693" s="4">
        <v>13019253</v>
      </c>
    </row>
    <row r="3694" customHeight="1" spans="1:2">
      <c r="A3694" s="3" t="s">
        <v>13902</v>
      </c>
      <c r="B3694" s="4">
        <v>28399192</v>
      </c>
    </row>
    <row r="3695" customHeight="1" spans="1:2">
      <c r="A3695" s="3" t="s">
        <v>1455</v>
      </c>
      <c r="B3695" s="4">
        <v>187165546</v>
      </c>
    </row>
    <row r="3696" customHeight="1" spans="1:2">
      <c r="A3696" s="3" t="s">
        <v>6907</v>
      </c>
      <c r="B3696" s="4">
        <v>50693162</v>
      </c>
    </row>
    <row r="3697" customHeight="1" spans="1:2">
      <c r="A3697" s="3" t="s">
        <v>14471</v>
      </c>
      <c r="B3697" s="4"/>
    </row>
    <row r="3698" customHeight="1" spans="1:2">
      <c r="A3698" s="3" t="s">
        <v>18416</v>
      </c>
      <c r="B3698" s="4">
        <v>62549000</v>
      </c>
    </row>
    <row r="3699" customHeight="1" spans="1:2">
      <c r="A3699" s="3" t="s">
        <v>24082</v>
      </c>
      <c r="B3699" s="4">
        <v>94596</v>
      </c>
    </row>
    <row r="3700" customHeight="1" spans="1:2">
      <c r="A3700" s="3" t="s">
        <v>690</v>
      </c>
      <c r="B3700" s="4">
        <v>127490802</v>
      </c>
    </row>
    <row r="3701" customHeight="1" spans="1:2">
      <c r="A3701" s="3" t="s">
        <v>20591</v>
      </c>
      <c r="B3701" s="4"/>
    </row>
    <row r="3702" customHeight="1" spans="1:2">
      <c r="A3702" s="3" t="s">
        <v>9345</v>
      </c>
      <c r="B3702" s="4">
        <v>7496522</v>
      </c>
    </row>
    <row r="3703" customHeight="1" spans="1:2">
      <c r="A3703" s="3" t="s">
        <v>8299</v>
      </c>
      <c r="B3703" s="4">
        <v>56068547</v>
      </c>
    </row>
    <row r="3704" customHeight="1" spans="1:2">
      <c r="A3704" s="3" t="s">
        <v>1276</v>
      </c>
      <c r="B3704" s="4">
        <v>217536138</v>
      </c>
    </row>
    <row r="3705" customHeight="1" spans="1:2">
      <c r="A3705" s="3" t="s">
        <v>16953</v>
      </c>
      <c r="B3705" s="4">
        <v>449558</v>
      </c>
    </row>
    <row r="3706" customHeight="1" spans="1:2">
      <c r="A3706" s="3" t="s">
        <v>14338</v>
      </c>
      <c r="B3706" s="4">
        <v>1779284</v>
      </c>
    </row>
    <row r="3707" customHeight="1" spans="1:2">
      <c r="A3707" s="3" t="s">
        <v>22908</v>
      </c>
      <c r="B3707" s="4"/>
    </row>
    <row r="3708" customHeight="1" spans="1:2">
      <c r="A3708" s="3" t="s">
        <v>64</v>
      </c>
      <c r="B3708" s="4">
        <v>448130642</v>
      </c>
    </row>
    <row r="3709" customHeight="1" spans="1:2">
      <c r="A3709" s="3" t="s">
        <v>467</v>
      </c>
      <c r="B3709" s="4">
        <v>533316061</v>
      </c>
    </row>
    <row r="3710" customHeight="1" spans="1:2">
      <c r="A3710" s="3" t="s">
        <v>7833</v>
      </c>
      <c r="B3710" s="4">
        <v>21426805</v>
      </c>
    </row>
    <row r="3711" customHeight="1" spans="1:2">
      <c r="A3711" s="3" t="s">
        <v>1338</v>
      </c>
      <c r="B3711" s="4">
        <v>186739919</v>
      </c>
    </row>
    <row r="3712" customHeight="1" spans="1:2">
      <c r="A3712" s="3" t="s">
        <v>2686</v>
      </c>
      <c r="B3712" s="4">
        <v>158727570</v>
      </c>
    </row>
    <row r="3713" customHeight="1" spans="1:2">
      <c r="A3713" s="3" t="s">
        <v>19089</v>
      </c>
      <c r="B3713" s="4">
        <v>17311</v>
      </c>
    </row>
    <row r="3714" customHeight="1" spans="1:2">
      <c r="A3714" s="3" t="s">
        <v>21476</v>
      </c>
      <c r="B3714" s="4"/>
    </row>
    <row r="3715" customHeight="1" spans="1:2">
      <c r="A3715" s="3" t="s">
        <v>13073</v>
      </c>
      <c r="B3715" s="4"/>
    </row>
    <row r="3716" customHeight="1" spans="1:2">
      <c r="A3716" s="3" t="s">
        <v>16262</v>
      </c>
      <c r="B3716" s="4"/>
    </row>
    <row r="3717" customHeight="1" spans="1:2">
      <c r="A3717" s="3" t="s">
        <v>10926</v>
      </c>
      <c r="B3717" s="4">
        <v>31146570</v>
      </c>
    </row>
    <row r="3718" customHeight="1" spans="1:2">
      <c r="A3718" s="3" t="s">
        <v>6786</v>
      </c>
      <c r="B3718" s="4">
        <v>13376506</v>
      </c>
    </row>
    <row r="3719" customHeight="1" spans="1:2">
      <c r="A3719" s="3" t="s">
        <v>12762</v>
      </c>
      <c r="B3719" s="4"/>
    </row>
    <row r="3720" customHeight="1" spans="1:2">
      <c r="A3720" s="3" t="s">
        <v>2127</v>
      </c>
      <c r="B3720" s="4">
        <v>132373442</v>
      </c>
    </row>
    <row r="3721" customHeight="1" spans="1:2">
      <c r="A3721" s="3" t="s">
        <v>19542</v>
      </c>
      <c r="B3721" s="4"/>
    </row>
    <row r="3722" customHeight="1" spans="1:2">
      <c r="A3722" s="3" t="s">
        <v>10708</v>
      </c>
      <c r="B3722" s="4">
        <v>82624961</v>
      </c>
    </row>
    <row r="3723" customHeight="1" spans="1:2">
      <c r="A3723" s="3" t="s">
        <v>16524</v>
      </c>
      <c r="B3723" s="4">
        <v>26005908</v>
      </c>
    </row>
    <row r="3724" customHeight="1" spans="1:2">
      <c r="A3724" s="3" t="s">
        <v>21575</v>
      </c>
      <c r="B3724" s="4">
        <v>53245055</v>
      </c>
    </row>
    <row r="3725" customHeight="1" spans="1:2">
      <c r="A3725" s="3" t="s">
        <v>7279</v>
      </c>
      <c r="B3725" s="4">
        <v>124732962</v>
      </c>
    </row>
    <row r="3726" customHeight="1" spans="1:2">
      <c r="A3726" s="3" t="s">
        <v>4514</v>
      </c>
      <c r="B3726" s="4">
        <v>60984028</v>
      </c>
    </row>
    <row r="3727" customHeight="1" spans="1:2">
      <c r="A3727" s="3" t="s">
        <v>11611</v>
      </c>
      <c r="B3727" s="4">
        <v>1357042</v>
      </c>
    </row>
    <row r="3728" customHeight="1" spans="1:2">
      <c r="A3728" s="3" t="s">
        <v>2269</v>
      </c>
      <c r="B3728" s="4">
        <v>42877165</v>
      </c>
    </row>
    <row r="3729" customHeight="1" spans="1:2">
      <c r="A3729" s="3" t="s">
        <v>16545</v>
      </c>
      <c r="B3729" s="4">
        <v>16901126</v>
      </c>
    </row>
    <row r="3730" customHeight="1" spans="1:2">
      <c r="A3730" s="3" t="s">
        <v>15474</v>
      </c>
      <c r="B3730" s="4"/>
    </row>
    <row r="3731" customHeight="1" spans="1:2">
      <c r="A3731" s="3" t="s">
        <v>20318</v>
      </c>
      <c r="B3731" s="4">
        <v>1477002</v>
      </c>
    </row>
    <row r="3732" customHeight="1" spans="1:2">
      <c r="A3732" s="3" t="s">
        <v>3725</v>
      </c>
      <c r="B3732" s="4">
        <v>59617068</v>
      </c>
    </row>
    <row r="3733" customHeight="1" spans="1:2">
      <c r="A3733" s="3" t="s">
        <v>3437</v>
      </c>
      <c r="B3733" s="4">
        <v>48430355</v>
      </c>
    </row>
    <row r="3734" customHeight="1" spans="1:2">
      <c r="A3734" s="3" t="s">
        <v>23851</v>
      </c>
      <c r="B3734" s="4"/>
    </row>
    <row r="3735" customHeight="1" spans="1:2">
      <c r="A3735" s="3" t="s">
        <v>19521</v>
      </c>
      <c r="B3735" s="4">
        <v>22000</v>
      </c>
    </row>
    <row r="3736" customHeight="1" spans="1:2">
      <c r="A3736" s="3" t="s">
        <v>13507</v>
      </c>
      <c r="B3736" s="4">
        <v>5990075</v>
      </c>
    </row>
    <row r="3737" customHeight="1" spans="1:2">
      <c r="A3737" s="3" t="s">
        <v>21127</v>
      </c>
      <c r="B3737" s="4"/>
    </row>
    <row r="3738" customHeight="1" spans="1:2">
      <c r="A3738" s="3" t="s">
        <v>11487</v>
      </c>
      <c r="B3738" s="4"/>
    </row>
    <row r="3739" customHeight="1" spans="1:2">
      <c r="A3739" s="3" t="s">
        <v>6571</v>
      </c>
      <c r="B3739" s="4">
        <v>35183792</v>
      </c>
    </row>
    <row r="3740" customHeight="1" spans="1:2">
      <c r="A3740" s="3" t="s">
        <v>19732</v>
      </c>
      <c r="B3740" s="4"/>
    </row>
    <row r="3741" customHeight="1" spans="1:2">
      <c r="A3741" s="3" t="s">
        <v>9146</v>
      </c>
      <c r="B3741" s="4">
        <v>13823741</v>
      </c>
    </row>
    <row r="3742" customHeight="1" spans="1:2">
      <c r="A3742" s="3" t="s">
        <v>15875</v>
      </c>
      <c r="B3742" s="4">
        <v>34017854</v>
      </c>
    </row>
    <row r="3743" customHeight="1" spans="1:2">
      <c r="A3743" s="3" t="s">
        <v>4943</v>
      </c>
      <c r="B3743" s="4">
        <v>80270227</v>
      </c>
    </row>
    <row r="3744" customHeight="1" spans="1:2">
      <c r="A3744" s="3" t="s">
        <v>16918</v>
      </c>
      <c r="B3744" s="4">
        <v>2268296</v>
      </c>
    </row>
    <row r="3745" customHeight="1" spans="1:2">
      <c r="A3745" s="3" t="s">
        <v>19527</v>
      </c>
      <c r="B3745" s="4">
        <v>128937</v>
      </c>
    </row>
    <row r="3746" customHeight="1" spans="1:2">
      <c r="A3746" s="3" t="s">
        <v>2810</v>
      </c>
      <c r="B3746" s="4">
        <v>27779888</v>
      </c>
    </row>
    <row r="3747" customHeight="1" spans="1:2">
      <c r="A3747" s="3" t="s">
        <v>17689</v>
      </c>
      <c r="B3747" s="4"/>
    </row>
    <row r="3748" customHeight="1" spans="1:2">
      <c r="A3748" s="3" t="s">
        <v>17599</v>
      </c>
      <c r="B3748" s="4"/>
    </row>
    <row r="3749" customHeight="1" spans="1:2">
      <c r="A3749" s="3" t="s">
        <v>13923</v>
      </c>
      <c r="B3749" s="4">
        <v>14060950</v>
      </c>
    </row>
    <row r="3750" customHeight="1" spans="1:2">
      <c r="A3750" s="3" t="s">
        <v>1781</v>
      </c>
      <c r="B3750" s="4">
        <v>89296573</v>
      </c>
    </row>
    <row r="3751" customHeight="1" spans="1:2">
      <c r="A3751" s="3" t="s">
        <v>10278</v>
      </c>
      <c r="B3751" s="4">
        <v>10660147</v>
      </c>
    </row>
    <row r="3752" customHeight="1" spans="1:2">
      <c r="A3752" s="3" t="s">
        <v>7309</v>
      </c>
      <c r="B3752" s="4">
        <v>78651430</v>
      </c>
    </row>
    <row r="3753" customHeight="1" spans="1:2">
      <c r="A3753" s="3" t="s">
        <v>4617</v>
      </c>
      <c r="B3753" s="4">
        <v>101530738</v>
      </c>
    </row>
    <row r="3754" customHeight="1" spans="1:2">
      <c r="A3754" s="3" t="s">
        <v>22952</v>
      </c>
      <c r="B3754" s="4"/>
    </row>
    <row r="3755" customHeight="1" spans="1:2">
      <c r="A3755" s="3" t="s">
        <v>11742</v>
      </c>
      <c r="B3755" s="4">
        <v>75072454</v>
      </c>
    </row>
    <row r="3756" customHeight="1" spans="1:2">
      <c r="A3756" s="3" t="s">
        <v>14008</v>
      </c>
      <c r="B3756" s="4">
        <v>204565000</v>
      </c>
    </row>
    <row r="3757" customHeight="1" spans="1:2">
      <c r="A3757" s="3" t="s">
        <v>1786</v>
      </c>
      <c r="B3757" s="4">
        <v>85017401</v>
      </c>
    </row>
    <row r="3758" customHeight="1" spans="1:2">
      <c r="A3758" s="3" t="s">
        <v>1882</v>
      </c>
      <c r="B3758" s="4">
        <v>39292022</v>
      </c>
    </row>
    <row r="3759" customHeight="1" spans="1:2">
      <c r="A3759" s="3" t="s">
        <v>2532</v>
      </c>
      <c r="B3759" s="4">
        <v>102981571</v>
      </c>
    </row>
    <row r="3760" customHeight="1" spans="1:2">
      <c r="A3760" s="3" t="s">
        <v>23947</v>
      </c>
      <c r="B3760" s="4">
        <v>24705</v>
      </c>
    </row>
    <row r="3761" customHeight="1" spans="1:2">
      <c r="A3761" s="3" t="s">
        <v>7092</v>
      </c>
      <c r="B3761" s="4">
        <v>9589875</v>
      </c>
    </row>
    <row r="3762" customHeight="1" spans="1:2">
      <c r="A3762" s="3" t="s">
        <v>16723</v>
      </c>
      <c r="B3762" s="4">
        <v>453079</v>
      </c>
    </row>
    <row r="3763" customHeight="1" spans="1:2">
      <c r="A3763" s="3" t="s">
        <v>14114</v>
      </c>
      <c r="B3763" s="4">
        <v>31397498</v>
      </c>
    </row>
    <row r="3764" customHeight="1" spans="1:2">
      <c r="A3764" s="3" t="s">
        <v>9434</v>
      </c>
      <c r="B3764" s="4"/>
    </row>
    <row r="3765" customHeight="1" spans="1:2">
      <c r="A3765" s="3" t="s">
        <v>12784</v>
      </c>
      <c r="B3765" s="4">
        <v>40064955</v>
      </c>
    </row>
    <row r="3766" customHeight="1" spans="1:2">
      <c r="A3766" s="3" t="s">
        <v>11662</v>
      </c>
      <c r="B3766" s="4"/>
    </row>
    <row r="3767" customHeight="1" spans="1:2">
      <c r="A3767" s="3" t="s">
        <v>4032</v>
      </c>
      <c r="B3767" s="4">
        <v>75764085</v>
      </c>
    </row>
    <row r="3768" customHeight="1" spans="1:2">
      <c r="A3768" s="3" t="s">
        <v>11755</v>
      </c>
      <c r="B3768" s="4">
        <v>6061759</v>
      </c>
    </row>
    <row r="3769" customHeight="1" spans="1:2">
      <c r="A3769" s="3" t="s">
        <v>8408</v>
      </c>
      <c r="B3769" s="4"/>
    </row>
    <row r="3770" customHeight="1" spans="1:2">
      <c r="A3770" s="3" t="s">
        <v>4766</v>
      </c>
      <c r="B3770" s="4">
        <v>18573791</v>
      </c>
    </row>
    <row r="3771" customHeight="1" spans="1:2">
      <c r="A3771" s="3" t="s">
        <v>683</v>
      </c>
      <c r="B3771" s="4">
        <v>433536930</v>
      </c>
    </row>
    <row r="3772" customHeight="1" spans="1:2">
      <c r="A3772" s="3" t="s">
        <v>2421</v>
      </c>
      <c r="B3772" s="4">
        <v>62494975</v>
      </c>
    </row>
    <row r="3773" customHeight="1" spans="1:2">
      <c r="A3773" s="3" t="s">
        <v>14142</v>
      </c>
      <c r="B3773" s="4">
        <v>124868837</v>
      </c>
    </row>
    <row r="3774" customHeight="1" spans="1:2">
      <c r="A3774" s="3" t="s">
        <v>1974</v>
      </c>
      <c r="B3774" s="4">
        <v>63540020</v>
      </c>
    </row>
    <row r="3775" customHeight="1" spans="1:2">
      <c r="A3775" s="3" t="s">
        <v>9412</v>
      </c>
      <c r="B3775" s="4">
        <v>3254172</v>
      </c>
    </row>
    <row r="3776" customHeight="1" spans="1:2">
      <c r="A3776" s="3" t="s">
        <v>14509</v>
      </c>
      <c r="B3776" s="4">
        <v>93571803</v>
      </c>
    </row>
    <row r="3777" customHeight="1" spans="1:2">
      <c r="A3777" s="3" t="s">
        <v>6407</v>
      </c>
      <c r="B3777" s="4">
        <v>66466372</v>
      </c>
    </row>
    <row r="3778" customHeight="1" spans="1:2">
      <c r="A3778" s="3" t="s">
        <v>3590</v>
      </c>
      <c r="B3778" s="4">
        <v>27550735</v>
      </c>
    </row>
    <row r="3779" customHeight="1" spans="1:2">
      <c r="A3779" s="3" t="s">
        <v>6072</v>
      </c>
      <c r="B3779" s="4">
        <v>158348400</v>
      </c>
    </row>
    <row r="3780" customHeight="1" spans="1:2">
      <c r="A3780" s="3" t="s">
        <v>8136</v>
      </c>
      <c r="B3780" s="4">
        <v>105444419</v>
      </c>
    </row>
    <row r="3781" customHeight="1" spans="1:2">
      <c r="A3781" s="3" t="s">
        <v>10109</v>
      </c>
      <c r="B3781" s="4">
        <v>41895491</v>
      </c>
    </row>
    <row r="3782" customHeight="1" spans="1:2">
      <c r="A3782" s="3" t="s">
        <v>8502</v>
      </c>
      <c r="B3782" s="4">
        <v>28644770</v>
      </c>
    </row>
    <row r="3783" customHeight="1" spans="1:2">
      <c r="A3783" s="3" t="s">
        <v>4469</v>
      </c>
      <c r="B3783" s="4">
        <v>35231365</v>
      </c>
    </row>
    <row r="3784" customHeight="1" spans="1:2">
      <c r="A3784" s="3" t="s">
        <v>5696</v>
      </c>
      <c r="B3784" s="4">
        <v>130512915</v>
      </c>
    </row>
    <row r="3785" customHeight="1" spans="1:2">
      <c r="A3785" s="3" t="s">
        <v>17231</v>
      </c>
      <c r="B3785" s="4">
        <v>181798</v>
      </c>
    </row>
    <row r="3786" customHeight="1" spans="1:2">
      <c r="A3786" s="3" t="s">
        <v>1944</v>
      </c>
      <c r="B3786" s="4">
        <v>9213</v>
      </c>
    </row>
    <row r="3787" customHeight="1" spans="1:2">
      <c r="A3787" s="3" t="s">
        <v>11833</v>
      </c>
      <c r="B3787" s="4">
        <v>42756000</v>
      </c>
    </row>
    <row r="3788" customHeight="1" spans="1:2">
      <c r="A3788" s="3" t="s">
        <v>24145</v>
      </c>
      <c r="B3788" s="4"/>
    </row>
    <row r="3789" customHeight="1" spans="1:2">
      <c r="A3789" s="3" t="s">
        <v>4691</v>
      </c>
      <c r="B3789" s="4">
        <v>25040293</v>
      </c>
    </row>
    <row r="3790" customHeight="1" spans="1:2">
      <c r="A3790" s="3" t="s">
        <v>15228</v>
      </c>
      <c r="B3790" s="4">
        <v>26583369</v>
      </c>
    </row>
    <row r="3791" customHeight="1" spans="1:2">
      <c r="A3791" s="3" t="s">
        <v>17821</v>
      </c>
      <c r="B3791" s="4">
        <v>6755271</v>
      </c>
    </row>
    <row r="3792" customHeight="1" spans="1:2">
      <c r="A3792" s="3" t="s">
        <v>7765</v>
      </c>
      <c r="B3792" s="4">
        <v>10139254</v>
      </c>
    </row>
    <row r="3793" customHeight="1" spans="1:2">
      <c r="A3793" s="3" t="s">
        <v>7596</v>
      </c>
      <c r="B3793" s="4">
        <v>18306166</v>
      </c>
    </row>
    <row r="3794" customHeight="1" spans="1:2">
      <c r="A3794" s="3" t="s">
        <v>16870</v>
      </c>
      <c r="B3794" s="4"/>
    </row>
    <row r="3795" customHeight="1" spans="1:2">
      <c r="A3795" s="3" t="s">
        <v>14955</v>
      </c>
      <c r="B3795" s="4">
        <v>25464480</v>
      </c>
    </row>
    <row r="3796" customHeight="1" spans="1:2">
      <c r="A3796" s="3" t="s">
        <v>23813</v>
      </c>
      <c r="B3796" s="4">
        <v>40557</v>
      </c>
    </row>
    <row r="3797" customHeight="1" spans="1:2">
      <c r="A3797" s="3" t="s">
        <v>10750</v>
      </c>
      <c r="B3797" s="4"/>
    </row>
    <row r="3798" customHeight="1" spans="1:2">
      <c r="A3798" s="3" t="s">
        <v>18469</v>
      </c>
      <c r="B3798" s="4"/>
    </row>
    <row r="3799" customHeight="1" spans="1:2">
      <c r="A3799" s="3" t="s">
        <v>11542</v>
      </c>
      <c r="B3799" s="4"/>
    </row>
    <row r="3800" customHeight="1" spans="1:2">
      <c r="A3800" s="3" t="s">
        <v>23308</v>
      </c>
      <c r="B3800" s="4"/>
    </row>
    <row r="3801" customHeight="1" spans="1:2">
      <c r="A3801" s="3" t="s">
        <v>6011</v>
      </c>
      <c r="B3801" s="4">
        <v>183875760</v>
      </c>
    </row>
    <row r="3802" customHeight="1" spans="1:2">
      <c r="A3802" s="3" t="s">
        <v>18864</v>
      </c>
      <c r="B3802" s="4">
        <v>91714906</v>
      </c>
    </row>
    <row r="3803" customHeight="1" spans="1:2">
      <c r="A3803" s="3" t="s">
        <v>13977</v>
      </c>
      <c r="B3803" s="4">
        <v>1227324</v>
      </c>
    </row>
    <row r="3804" customHeight="1" spans="1:2">
      <c r="A3804" s="3" t="s">
        <v>23690</v>
      </c>
      <c r="B3804" s="4">
        <v>22757819</v>
      </c>
    </row>
    <row r="3805" customHeight="1" spans="1:2">
      <c r="A3805" s="3" t="s">
        <v>9708</v>
      </c>
      <c r="B3805" s="4">
        <v>67262442</v>
      </c>
    </row>
    <row r="3806" customHeight="1" spans="1:2">
      <c r="A3806" s="3" t="s">
        <v>11450</v>
      </c>
      <c r="B3806" s="4">
        <v>375474</v>
      </c>
    </row>
    <row r="3807" customHeight="1" spans="1:2">
      <c r="A3807" s="3" t="s">
        <v>10353</v>
      </c>
      <c r="B3807" s="4">
        <v>90636983</v>
      </c>
    </row>
    <row r="3808" customHeight="1" spans="1:2">
      <c r="A3808" s="3" t="s">
        <v>5217</v>
      </c>
      <c r="B3808" s="4">
        <v>48265581</v>
      </c>
    </row>
    <row r="3809" customHeight="1" spans="1:2">
      <c r="A3809" s="3" t="s">
        <v>20948</v>
      </c>
      <c r="B3809" s="4">
        <v>2408553</v>
      </c>
    </row>
    <row r="3810" customHeight="1" spans="1:2">
      <c r="A3810" s="3" t="s">
        <v>3967</v>
      </c>
      <c r="B3810" s="4">
        <v>102678089</v>
      </c>
    </row>
    <row r="3811" customHeight="1" spans="1:2">
      <c r="A3811" s="3" t="s">
        <v>18728</v>
      </c>
      <c r="B3811" s="4"/>
    </row>
    <row r="3812" customHeight="1" spans="1:2">
      <c r="A3812" s="3" t="s">
        <v>20549</v>
      </c>
      <c r="B3812" s="4">
        <v>2436</v>
      </c>
    </row>
    <row r="3813" customHeight="1" spans="1:2">
      <c r="A3813" s="3" t="s">
        <v>4720</v>
      </c>
      <c r="B3813" s="4">
        <v>38553833</v>
      </c>
    </row>
    <row r="3814" customHeight="1" spans="1:2">
      <c r="A3814" s="3" t="s">
        <v>5945</v>
      </c>
      <c r="B3814" s="4">
        <v>15523168</v>
      </c>
    </row>
    <row r="3815" customHeight="1" spans="1:2">
      <c r="A3815" s="3" t="s">
        <v>15053</v>
      </c>
      <c r="B3815" s="4">
        <v>87542582</v>
      </c>
    </row>
    <row r="3816" customHeight="1" spans="1:2">
      <c r="A3816" s="3" t="s">
        <v>9826</v>
      </c>
      <c r="B3816" s="4">
        <v>14589444</v>
      </c>
    </row>
    <row r="3817" customHeight="1" spans="1:2">
      <c r="A3817" s="3" t="s">
        <v>15791</v>
      </c>
      <c r="B3817" s="4">
        <v>2874</v>
      </c>
    </row>
    <row r="3818" customHeight="1" spans="1:2">
      <c r="A3818" s="3" t="s">
        <v>2145</v>
      </c>
      <c r="B3818" s="4">
        <v>102515793</v>
      </c>
    </row>
    <row r="3819" customHeight="1" spans="1:2">
      <c r="A3819" s="3" t="s">
        <v>21269</v>
      </c>
      <c r="B3819" s="4"/>
    </row>
    <row r="3820" customHeight="1" spans="1:2">
      <c r="A3820" s="3" t="s">
        <v>9604</v>
      </c>
      <c r="B3820" s="4">
        <v>45089048</v>
      </c>
    </row>
    <row r="3821" customHeight="1" spans="1:2">
      <c r="A3821" s="3" t="s">
        <v>10438</v>
      </c>
      <c r="B3821" s="4">
        <v>17951431</v>
      </c>
    </row>
    <row r="3822" customHeight="1" spans="1:2">
      <c r="A3822" s="3" t="s">
        <v>5904</v>
      </c>
      <c r="B3822" s="4">
        <v>20400913</v>
      </c>
    </row>
    <row r="3823" customHeight="1" spans="1:2">
      <c r="A3823" s="3" t="s">
        <v>16455</v>
      </c>
      <c r="B3823" s="4">
        <v>134821952</v>
      </c>
    </row>
    <row r="3824" customHeight="1" spans="1:2">
      <c r="A3824" s="3" t="s">
        <v>13656</v>
      </c>
      <c r="B3824" s="4">
        <v>57300000</v>
      </c>
    </row>
    <row r="3825" customHeight="1" spans="1:2">
      <c r="A3825" s="3" t="s">
        <v>4852</v>
      </c>
      <c r="B3825" s="4">
        <v>66676062</v>
      </c>
    </row>
    <row r="3826" customHeight="1" spans="1:2">
      <c r="A3826" s="3" t="s">
        <v>14026</v>
      </c>
      <c r="B3826" s="4">
        <v>79817937</v>
      </c>
    </row>
    <row r="3827" customHeight="1" spans="1:2">
      <c r="A3827" s="3" t="s">
        <v>204</v>
      </c>
      <c r="B3827" s="4">
        <v>70083519</v>
      </c>
    </row>
    <row r="3828" customHeight="1" spans="1:2">
      <c r="A3828" s="3" t="s">
        <v>400</v>
      </c>
      <c r="B3828" s="4">
        <v>123070338</v>
      </c>
    </row>
    <row r="3829" customHeight="1" spans="1:2">
      <c r="A3829" s="3" t="s">
        <v>8020</v>
      </c>
      <c r="B3829" s="4">
        <v>1304837</v>
      </c>
    </row>
    <row r="3830" customHeight="1" spans="1:2">
      <c r="A3830" s="3" t="s">
        <v>16083</v>
      </c>
      <c r="B3830" s="4">
        <v>14015786</v>
      </c>
    </row>
    <row r="3831" customHeight="1" spans="1:2">
      <c r="A3831" s="3" t="s">
        <v>15391</v>
      </c>
      <c r="B3831" s="4">
        <v>100503</v>
      </c>
    </row>
    <row r="3832" customHeight="1" spans="1:2">
      <c r="A3832" s="3" t="s">
        <v>18846</v>
      </c>
      <c r="B3832" s="4">
        <v>19959</v>
      </c>
    </row>
    <row r="3833" customHeight="1" spans="1:2">
      <c r="A3833" s="3" t="s">
        <v>13281</v>
      </c>
      <c r="B3833" s="4">
        <v>20380</v>
      </c>
    </row>
    <row r="3834" customHeight="1" spans="1:2">
      <c r="A3834" s="3" t="s">
        <v>8678</v>
      </c>
      <c r="B3834" s="4">
        <v>3517797</v>
      </c>
    </row>
    <row r="3835" customHeight="1" spans="1:2">
      <c r="A3835" s="3" t="s">
        <v>21330</v>
      </c>
      <c r="B3835" s="4">
        <v>6100000</v>
      </c>
    </row>
    <row r="3836" customHeight="1" spans="1:2">
      <c r="A3836" s="3" t="s">
        <v>15488</v>
      </c>
      <c r="B3836" s="4">
        <v>128486</v>
      </c>
    </row>
    <row r="3837" customHeight="1" spans="1:2">
      <c r="A3837" s="3" t="s">
        <v>15035</v>
      </c>
      <c r="B3837" s="4">
        <v>15102127</v>
      </c>
    </row>
    <row r="3838" customHeight="1" spans="1:2">
      <c r="A3838" s="3" t="s">
        <v>23410</v>
      </c>
      <c r="B3838" s="4">
        <v>2428241</v>
      </c>
    </row>
    <row r="3839" customHeight="1" spans="1:2">
      <c r="A3839" s="3" t="s">
        <v>8058</v>
      </c>
      <c r="B3839" s="4">
        <v>59073773</v>
      </c>
    </row>
    <row r="3840" customHeight="1" spans="1:2">
      <c r="A3840" s="3" t="s">
        <v>19499</v>
      </c>
      <c r="B3840" s="4"/>
    </row>
    <row r="3841" customHeight="1" spans="1:2">
      <c r="A3841" s="3" t="s">
        <v>6982</v>
      </c>
      <c r="B3841" s="4">
        <v>6594136</v>
      </c>
    </row>
    <row r="3842" customHeight="1" spans="1:2">
      <c r="A3842" s="3" t="s">
        <v>14332</v>
      </c>
      <c r="B3842" s="4">
        <v>2835886</v>
      </c>
    </row>
    <row r="3843" customHeight="1" spans="1:2">
      <c r="A3843" s="3" t="s">
        <v>12847</v>
      </c>
      <c r="B3843" s="4">
        <v>30226144</v>
      </c>
    </row>
    <row r="3844" customHeight="1" spans="1:2">
      <c r="A3844" s="3" t="s">
        <v>18493</v>
      </c>
      <c r="B3844" s="4"/>
    </row>
    <row r="3845" customHeight="1" spans="1:2">
      <c r="A3845" s="3" t="s">
        <v>368</v>
      </c>
      <c r="B3845" s="4">
        <v>289625592</v>
      </c>
    </row>
    <row r="3846" customHeight="1" spans="1:2">
      <c r="A3846" s="3" t="s">
        <v>4427</v>
      </c>
      <c r="B3846" s="4">
        <v>10166502</v>
      </c>
    </row>
    <row r="3847" customHeight="1" spans="1:2">
      <c r="A3847" s="3" t="s">
        <v>17209</v>
      </c>
      <c r="B3847" s="4"/>
    </row>
    <row r="3848" customHeight="1" spans="1:2">
      <c r="A3848" s="3" t="s">
        <v>9800</v>
      </c>
      <c r="B3848" s="4">
        <v>15331289</v>
      </c>
    </row>
    <row r="3849" customHeight="1" spans="1:2">
      <c r="A3849" s="3" t="s">
        <v>20704</v>
      </c>
      <c r="B3849" s="4">
        <v>638476</v>
      </c>
    </row>
    <row r="3850" customHeight="1" spans="1:2">
      <c r="A3850" s="3" t="s">
        <v>18447</v>
      </c>
      <c r="B3850" s="4">
        <v>36000000</v>
      </c>
    </row>
    <row r="3851" customHeight="1" spans="1:2">
      <c r="A3851" s="3" t="s">
        <v>11146</v>
      </c>
      <c r="B3851" s="4">
        <v>8000000</v>
      </c>
    </row>
    <row r="3852" customHeight="1" spans="1:2">
      <c r="A3852" s="3" t="s">
        <v>17235</v>
      </c>
      <c r="B3852" s="4">
        <v>115862</v>
      </c>
    </row>
    <row r="3853" customHeight="1" spans="1:2">
      <c r="A3853" s="3" t="s">
        <v>1559</v>
      </c>
      <c r="B3853" s="4">
        <v>98780042</v>
      </c>
    </row>
    <row r="3854" customHeight="1" spans="1:2">
      <c r="A3854" s="3" t="s">
        <v>21611</v>
      </c>
      <c r="B3854" s="4">
        <v>7186670</v>
      </c>
    </row>
    <row r="3855" customHeight="1" spans="1:2">
      <c r="A3855" s="3" t="s">
        <v>3940</v>
      </c>
      <c r="B3855" s="4">
        <v>136801374</v>
      </c>
    </row>
    <row r="3856" customHeight="1" spans="1:2">
      <c r="A3856" s="3" t="s">
        <v>9523</v>
      </c>
      <c r="B3856" s="4">
        <v>51533608</v>
      </c>
    </row>
    <row r="3857" customHeight="1" spans="1:2">
      <c r="A3857" s="3" t="s">
        <v>10821</v>
      </c>
      <c r="B3857" s="4">
        <v>39143839</v>
      </c>
    </row>
    <row r="3858" customHeight="1" spans="1:2">
      <c r="A3858" s="3" t="s">
        <v>14829</v>
      </c>
      <c r="B3858" s="4">
        <v>110175871</v>
      </c>
    </row>
    <row r="3859" customHeight="1" spans="1:2">
      <c r="A3859" s="3" t="s">
        <v>17129</v>
      </c>
      <c r="B3859" s="4">
        <v>5359774</v>
      </c>
    </row>
    <row r="3860" customHeight="1" spans="1:2">
      <c r="A3860" s="3" t="s">
        <v>6559</v>
      </c>
      <c r="B3860" s="4">
        <v>37101011</v>
      </c>
    </row>
    <row r="3861" customHeight="1" spans="1:2">
      <c r="A3861" s="3" t="s">
        <v>6852</v>
      </c>
      <c r="B3861" s="4">
        <v>10640645</v>
      </c>
    </row>
    <row r="3862" customHeight="1" spans="1:2">
      <c r="A3862" s="3" t="s">
        <v>14642</v>
      </c>
      <c r="B3862" s="4">
        <v>3034181</v>
      </c>
    </row>
    <row r="3863" customHeight="1" spans="1:2">
      <c r="A3863" s="3" t="s">
        <v>22360</v>
      </c>
      <c r="B3863" s="4"/>
    </row>
    <row r="3864" customHeight="1" spans="1:2">
      <c r="A3864" s="3" t="s">
        <v>22096</v>
      </c>
      <c r="B3864" s="4">
        <v>442638</v>
      </c>
    </row>
    <row r="3865" customHeight="1" spans="1:2">
      <c r="A3865" s="3" t="s">
        <v>2546</v>
      </c>
      <c r="B3865" s="4">
        <v>254455986</v>
      </c>
    </row>
    <row r="3866" customHeight="1" spans="1:2">
      <c r="A3866" s="3" t="s">
        <v>7232</v>
      </c>
      <c r="B3866" s="4">
        <v>277313371</v>
      </c>
    </row>
    <row r="3867" customHeight="1" spans="1:2">
      <c r="A3867" s="3" t="s">
        <v>4094</v>
      </c>
      <c r="B3867" s="4">
        <v>64505912</v>
      </c>
    </row>
    <row r="3868" customHeight="1" spans="1:2">
      <c r="A3868" s="3" t="s">
        <v>22461</v>
      </c>
      <c r="B3868" s="4">
        <v>2245</v>
      </c>
    </row>
    <row r="3869" customHeight="1" spans="1:2">
      <c r="A3869" s="3" t="s">
        <v>3910</v>
      </c>
      <c r="B3869" s="4">
        <v>54116191</v>
      </c>
    </row>
    <row r="3870" customHeight="1" spans="1:2">
      <c r="A3870" s="3" t="s">
        <v>2199</v>
      </c>
      <c r="B3870" s="4">
        <v>75817994</v>
      </c>
    </row>
    <row r="3871" customHeight="1" spans="1:2">
      <c r="A3871" s="3" t="s">
        <v>15885</v>
      </c>
      <c r="B3871" s="4"/>
    </row>
    <row r="3872" customHeight="1" spans="1:2">
      <c r="A3872" s="3" t="s">
        <v>17728</v>
      </c>
      <c r="B3872" s="4">
        <v>13350177</v>
      </c>
    </row>
    <row r="3873" customHeight="1" spans="1:2">
      <c r="A3873" s="3" t="s">
        <v>2667</v>
      </c>
      <c r="B3873" s="4">
        <v>91188905</v>
      </c>
    </row>
    <row r="3874" customHeight="1" spans="1:2">
      <c r="A3874" s="3" t="s">
        <v>16716</v>
      </c>
      <c r="B3874" s="4">
        <v>196067</v>
      </c>
    </row>
    <row r="3875" customHeight="1" spans="1:2">
      <c r="A3875" s="3" t="s">
        <v>6109</v>
      </c>
      <c r="B3875" s="4">
        <v>159578352</v>
      </c>
    </row>
    <row r="3876" customHeight="1" spans="1:2">
      <c r="A3876" s="3" t="s">
        <v>21207</v>
      </c>
      <c r="B3876" s="4">
        <v>19539</v>
      </c>
    </row>
    <row r="3877" customHeight="1" spans="1:2">
      <c r="A3877" s="3" t="s">
        <v>21870</v>
      </c>
      <c r="B3877" s="4"/>
    </row>
    <row r="3878" customHeight="1" spans="1:2">
      <c r="A3878" s="3" t="s">
        <v>9408</v>
      </c>
      <c r="B3878" s="4">
        <v>169705587</v>
      </c>
    </row>
    <row r="3879" customHeight="1" spans="1:2">
      <c r="A3879" s="3" t="s">
        <v>12930</v>
      </c>
      <c r="B3879" s="4">
        <v>20801344</v>
      </c>
    </row>
    <row r="3880" customHeight="1" spans="1:2">
      <c r="A3880" s="3" t="s">
        <v>12202</v>
      </c>
      <c r="B3880" s="4">
        <v>41777564</v>
      </c>
    </row>
    <row r="3881" customHeight="1" spans="1:2">
      <c r="A3881" s="3" t="s">
        <v>18849</v>
      </c>
      <c r="B3881" s="4">
        <v>2706659</v>
      </c>
    </row>
    <row r="3882" customHeight="1" spans="1:2">
      <c r="A3882" s="3" t="s">
        <v>17288</v>
      </c>
      <c r="B3882" s="4"/>
    </row>
    <row r="3883" customHeight="1" spans="1:2">
      <c r="A3883" s="3" t="s">
        <v>5827</v>
      </c>
      <c r="B3883" s="4">
        <v>51019112</v>
      </c>
    </row>
    <row r="3884" customHeight="1" spans="1:2">
      <c r="A3884" s="3" t="s">
        <v>9938</v>
      </c>
      <c r="B3884" s="4">
        <v>7156933</v>
      </c>
    </row>
    <row r="3885" customHeight="1" spans="1:2">
      <c r="A3885" s="3" t="s">
        <v>679</v>
      </c>
      <c r="B3885" s="4">
        <v>303001229</v>
      </c>
    </row>
    <row r="3886" customHeight="1" spans="1:2">
      <c r="A3886" s="3" t="s">
        <v>177</v>
      </c>
      <c r="B3886" s="4">
        <v>255108370</v>
      </c>
    </row>
    <row r="3887" customHeight="1" spans="1:2">
      <c r="A3887" s="3" t="s">
        <v>196</v>
      </c>
      <c r="B3887" s="4">
        <v>258355354</v>
      </c>
    </row>
    <row r="3888" customHeight="1" spans="1:2">
      <c r="A3888" s="3" t="s">
        <v>16417</v>
      </c>
      <c r="B3888" s="4"/>
    </row>
    <row r="3889" customHeight="1" spans="1:2">
      <c r="A3889" s="3" t="s">
        <v>2370</v>
      </c>
      <c r="B3889" s="4">
        <v>63224849</v>
      </c>
    </row>
    <row r="3890" customHeight="1" spans="1:2">
      <c r="A3890" s="3" t="s">
        <v>21109</v>
      </c>
      <c r="B3890" s="4">
        <v>304124</v>
      </c>
    </row>
    <row r="3891" customHeight="1" spans="1:2">
      <c r="A3891" s="3" t="s">
        <v>12604</v>
      </c>
      <c r="B3891" s="4">
        <v>2428883</v>
      </c>
    </row>
    <row r="3892" customHeight="1" spans="1:2">
      <c r="A3892" s="3" t="s">
        <v>9152</v>
      </c>
      <c r="B3892" s="4"/>
    </row>
    <row r="3893" customHeight="1" spans="1:2">
      <c r="A3893" s="3" t="s">
        <v>22058</v>
      </c>
      <c r="B3893" s="4"/>
    </row>
    <row r="3894" customHeight="1" spans="1:2">
      <c r="A3894" s="3" t="s">
        <v>23586</v>
      </c>
      <c r="B3894" s="4">
        <v>155984</v>
      </c>
    </row>
    <row r="3895" customHeight="1" spans="1:2">
      <c r="A3895" s="3" t="s">
        <v>4045</v>
      </c>
      <c r="B3895" s="4">
        <v>75370763</v>
      </c>
    </row>
    <row r="3896" customHeight="1" spans="1:2">
      <c r="A3896" s="3" t="s">
        <v>7724</v>
      </c>
      <c r="B3896" s="4">
        <v>1877179</v>
      </c>
    </row>
    <row r="3897" customHeight="1" spans="1:2">
      <c r="A3897" s="3" t="s">
        <v>5353</v>
      </c>
      <c r="B3897" s="4">
        <v>28818411</v>
      </c>
    </row>
    <row r="3898" customHeight="1" spans="1:2">
      <c r="A3898" s="3" t="s">
        <v>16353</v>
      </c>
      <c r="B3898" s="4">
        <v>5100000</v>
      </c>
    </row>
    <row r="3899" customHeight="1" spans="1:2">
      <c r="A3899" s="3" t="s">
        <v>9625</v>
      </c>
      <c r="B3899" s="4">
        <v>41597830</v>
      </c>
    </row>
    <row r="3900" customHeight="1" spans="1:2">
      <c r="A3900" s="3" t="s">
        <v>9591</v>
      </c>
      <c r="B3900" s="4">
        <v>48237389</v>
      </c>
    </row>
    <row r="3901" customHeight="1" spans="1:2">
      <c r="A3901" s="3" t="s">
        <v>15204</v>
      </c>
      <c r="B3901" s="4">
        <v>3041803</v>
      </c>
    </row>
    <row r="3902" customHeight="1" spans="1:2">
      <c r="A3902" s="3" t="s">
        <v>21810</v>
      </c>
      <c r="B3902" s="4">
        <v>100659</v>
      </c>
    </row>
    <row r="3903" customHeight="1" spans="1:2">
      <c r="A3903" s="3" t="s">
        <v>21529</v>
      </c>
      <c r="B3903" s="4">
        <v>17986000</v>
      </c>
    </row>
    <row r="3904" customHeight="1" spans="1:2">
      <c r="A3904" s="3" t="s">
        <v>6878</v>
      </c>
      <c r="B3904" s="4">
        <v>2869369</v>
      </c>
    </row>
    <row r="3905" customHeight="1" spans="1:2">
      <c r="A3905" s="3" t="s">
        <v>1774</v>
      </c>
      <c r="B3905" s="4">
        <v>100117603</v>
      </c>
    </row>
    <row r="3906" customHeight="1" spans="1:2">
      <c r="A3906" s="3" t="s">
        <v>10371</v>
      </c>
      <c r="B3906" s="4">
        <v>54235441</v>
      </c>
    </row>
    <row r="3907" customHeight="1" spans="1:2">
      <c r="A3907" s="3" t="s">
        <v>2540</v>
      </c>
      <c r="B3907" s="4">
        <v>407999255</v>
      </c>
    </row>
    <row r="3908" customHeight="1" spans="1:2">
      <c r="A3908" s="3" t="s">
        <v>1173</v>
      </c>
      <c r="B3908" s="4">
        <v>424645577</v>
      </c>
    </row>
    <row r="3909" customHeight="1" spans="1:2">
      <c r="A3909" s="3" t="s">
        <v>1271</v>
      </c>
      <c r="B3909" s="4">
        <v>337103873</v>
      </c>
    </row>
    <row r="3910" customHeight="1" spans="1:2">
      <c r="A3910" s="3" t="s">
        <v>701</v>
      </c>
      <c r="B3910" s="4">
        <v>281666058</v>
      </c>
    </row>
    <row r="3911" customHeight="1" spans="1:2">
      <c r="A3911" s="3" t="s">
        <v>8116</v>
      </c>
      <c r="B3911" s="4">
        <v>122012643</v>
      </c>
    </row>
    <row r="3912" customHeight="1" spans="1:2">
      <c r="A3912" s="3" t="s">
        <v>19095</v>
      </c>
      <c r="B3912" s="4">
        <v>610968</v>
      </c>
    </row>
    <row r="3913" customHeight="1" spans="1:2">
      <c r="A3913" s="3" t="s">
        <v>4737</v>
      </c>
      <c r="B3913" s="4">
        <v>34238611</v>
      </c>
    </row>
    <row r="3914" customHeight="1" spans="1:2">
      <c r="A3914" s="3" t="s">
        <v>6874</v>
      </c>
      <c r="B3914" s="4">
        <v>876671</v>
      </c>
    </row>
    <row r="3915" customHeight="1" spans="1:2">
      <c r="A3915" s="3" t="s">
        <v>1474</v>
      </c>
      <c r="B3915" s="4">
        <v>47952020</v>
      </c>
    </row>
    <row r="3916" customHeight="1" spans="1:2">
      <c r="A3916" s="3" t="s">
        <v>6999</v>
      </c>
      <c r="B3916" s="4">
        <v>50668906</v>
      </c>
    </row>
    <row r="3917" customHeight="1" spans="1:2">
      <c r="A3917" s="3" t="s">
        <v>12974</v>
      </c>
      <c r="B3917" s="4">
        <v>15700000</v>
      </c>
    </row>
    <row r="3918" customHeight="1" spans="1:2">
      <c r="A3918" s="3" t="s">
        <v>20185</v>
      </c>
      <c r="B3918" s="4"/>
    </row>
    <row r="3919" customHeight="1" spans="1:2">
      <c r="A3919" s="3" t="s">
        <v>15810</v>
      </c>
      <c r="B3919" s="4"/>
    </row>
    <row r="3920" customHeight="1" spans="1:2">
      <c r="A3920" s="3" t="s">
        <v>15713</v>
      </c>
      <c r="B3920" s="4"/>
    </row>
    <row r="3921" customHeight="1" spans="1:2">
      <c r="A3921" s="3" t="s">
        <v>11934</v>
      </c>
      <c r="B3921" s="4">
        <v>7837632</v>
      </c>
    </row>
    <row r="3922" customHeight="1" spans="1:2">
      <c r="A3922" s="3" t="s">
        <v>15255</v>
      </c>
      <c r="B3922" s="4">
        <v>1939441</v>
      </c>
    </row>
    <row r="3923" customHeight="1" spans="1:2">
      <c r="A3923" s="3" t="s">
        <v>10220</v>
      </c>
      <c r="B3923" s="4">
        <v>40962534</v>
      </c>
    </row>
    <row r="3924" customHeight="1" spans="1:2">
      <c r="A3924" s="3" t="s">
        <v>12303</v>
      </c>
      <c r="B3924" s="4">
        <v>79651596</v>
      </c>
    </row>
    <row r="3925" customHeight="1" spans="1:2">
      <c r="A3925" s="3" t="s">
        <v>23901</v>
      </c>
      <c r="B3925" s="4"/>
    </row>
    <row r="3926" customHeight="1" spans="1:2">
      <c r="A3926" s="3" t="s">
        <v>8635</v>
      </c>
      <c r="B3926" s="4">
        <v>7689458</v>
      </c>
    </row>
    <row r="3927" customHeight="1" spans="1:2">
      <c r="A3927" s="3" t="s">
        <v>12705</v>
      </c>
      <c r="B3927" s="4">
        <v>91121452</v>
      </c>
    </row>
    <row r="3928" customHeight="1" spans="1:2">
      <c r="A3928" s="3" t="s">
        <v>12558</v>
      </c>
      <c r="B3928" s="4">
        <v>1984743</v>
      </c>
    </row>
    <row r="3929" customHeight="1" spans="1:2">
      <c r="A3929" s="3" t="s">
        <v>13102</v>
      </c>
      <c r="B3929" s="4">
        <v>8378141</v>
      </c>
    </row>
    <row r="3930" customHeight="1" spans="1:2">
      <c r="A3930" s="3" t="s">
        <v>6740</v>
      </c>
      <c r="B3930" s="4">
        <v>18996755</v>
      </c>
    </row>
    <row r="3931" customHeight="1" spans="1:2">
      <c r="A3931" s="3" t="s">
        <v>13142</v>
      </c>
      <c r="B3931" s="4">
        <v>5217498</v>
      </c>
    </row>
    <row r="3932" customHeight="1" spans="1:2">
      <c r="A3932" s="3" t="s">
        <v>17346</v>
      </c>
      <c r="B3932" s="4"/>
    </row>
    <row r="3933" customHeight="1" spans="1:2">
      <c r="A3933" s="3" t="s">
        <v>8008</v>
      </c>
      <c r="B3933" s="4">
        <v>22525921</v>
      </c>
    </row>
    <row r="3934" customHeight="1" spans="1:2">
      <c r="A3934" s="3" t="s">
        <v>1117</v>
      </c>
      <c r="B3934" s="4">
        <v>134518390</v>
      </c>
    </row>
    <row r="3935" customHeight="1" spans="1:2">
      <c r="A3935" s="3" t="s">
        <v>2064</v>
      </c>
      <c r="B3935" s="4">
        <v>261437578</v>
      </c>
    </row>
    <row r="3936" customHeight="1" spans="1:2">
      <c r="A3936" s="3" t="s">
        <v>23168</v>
      </c>
      <c r="B3936" s="4">
        <v>1977544</v>
      </c>
    </row>
    <row r="3937" customHeight="1" spans="1:2">
      <c r="A3937" s="3" t="s">
        <v>5853</v>
      </c>
      <c r="B3937" s="4">
        <v>35617599</v>
      </c>
    </row>
    <row r="3938" customHeight="1" spans="1:2">
      <c r="A3938" s="3" t="s">
        <v>5688</v>
      </c>
      <c r="B3938" s="4">
        <v>14946229</v>
      </c>
    </row>
    <row r="3939" customHeight="1" spans="1:2">
      <c r="A3939" s="3" t="s">
        <v>10395</v>
      </c>
      <c r="B3939" s="4">
        <v>33313582</v>
      </c>
    </row>
    <row r="3940" customHeight="1" spans="1:2">
      <c r="A3940" s="3" t="s">
        <v>12046</v>
      </c>
      <c r="B3940" s="4"/>
    </row>
    <row r="3941" customHeight="1" spans="1:2">
      <c r="A3941" s="3" t="s">
        <v>16112</v>
      </c>
      <c r="B3941" s="4">
        <v>8880705</v>
      </c>
    </row>
    <row r="3942" customHeight="1" spans="1:2">
      <c r="A3942" s="3" t="s">
        <v>22258</v>
      </c>
      <c r="B3942" s="4">
        <v>77501</v>
      </c>
    </row>
    <row r="3943" customHeight="1" spans="1:2">
      <c r="A3943" s="3" t="s">
        <v>3583</v>
      </c>
      <c r="B3943" s="4">
        <v>28965197</v>
      </c>
    </row>
    <row r="3944" customHeight="1" spans="1:2">
      <c r="A3944" s="3" t="s">
        <v>6344</v>
      </c>
      <c r="B3944" s="4">
        <v>75274748</v>
      </c>
    </row>
    <row r="3945" customHeight="1" spans="1:2">
      <c r="A3945" s="3" t="s">
        <v>5365</v>
      </c>
      <c r="B3945" s="4">
        <v>25450527</v>
      </c>
    </row>
    <row r="3946" customHeight="1" spans="1:2">
      <c r="A3946" s="3" t="s">
        <v>4497</v>
      </c>
      <c r="B3946" s="4">
        <v>44665963</v>
      </c>
    </row>
    <row r="3947" customHeight="1" spans="1:2">
      <c r="A3947" s="3" t="s">
        <v>2219</v>
      </c>
      <c r="B3947" s="4">
        <v>72515360</v>
      </c>
    </row>
    <row r="3948" customHeight="1" spans="1:2">
      <c r="A3948" s="3" t="s">
        <v>6180</v>
      </c>
      <c r="B3948" s="4">
        <v>6105175</v>
      </c>
    </row>
    <row r="3949" customHeight="1" spans="1:2">
      <c r="A3949" s="3" t="s">
        <v>2957</v>
      </c>
      <c r="B3949" s="4">
        <v>15071514</v>
      </c>
    </row>
    <row r="3950" customHeight="1" spans="1:2">
      <c r="A3950" s="3" t="s">
        <v>11713</v>
      </c>
      <c r="B3950" s="4">
        <v>18439082</v>
      </c>
    </row>
    <row r="3951" customHeight="1" spans="1:2">
      <c r="A3951" s="3" t="s">
        <v>5380</v>
      </c>
      <c r="B3951" s="4">
        <v>23159305</v>
      </c>
    </row>
    <row r="3952" customHeight="1" spans="1:2">
      <c r="A3952" s="3" t="s">
        <v>13421</v>
      </c>
      <c r="B3952" s="4">
        <v>29959436</v>
      </c>
    </row>
    <row r="3953" customHeight="1" spans="1:2">
      <c r="A3953" s="3" t="s">
        <v>6660</v>
      </c>
      <c r="B3953" s="4">
        <v>27663982</v>
      </c>
    </row>
    <row r="3954" customHeight="1" spans="1:2">
      <c r="A3954" s="3" t="s">
        <v>1677</v>
      </c>
      <c r="B3954" s="4">
        <v>71598052</v>
      </c>
    </row>
    <row r="3955" customHeight="1" spans="1:2">
      <c r="A3955" s="3" t="s">
        <v>3996</v>
      </c>
      <c r="B3955" s="4">
        <v>106126012</v>
      </c>
    </row>
    <row r="3956" customHeight="1" spans="1:2">
      <c r="A3956" s="3" t="s">
        <v>4129</v>
      </c>
      <c r="B3956" s="4">
        <v>54910560</v>
      </c>
    </row>
    <row r="3957" customHeight="1" spans="1:2">
      <c r="A3957" s="3" t="s">
        <v>8824</v>
      </c>
      <c r="B3957" s="4">
        <v>6301131</v>
      </c>
    </row>
    <row r="3958" customHeight="1" spans="1:2">
      <c r="A3958" s="3" t="s">
        <v>15409</v>
      </c>
      <c r="B3958" s="4"/>
    </row>
    <row r="3959" customHeight="1" spans="1:2">
      <c r="A3959" s="3" t="s">
        <v>18541</v>
      </c>
      <c r="B3959" s="4">
        <v>7557877</v>
      </c>
    </row>
    <row r="3960" customHeight="1" spans="1:2">
      <c r="A3960" s="3" t="s">
        <v>21879</v>
      </c>
      <c r="B3960" s="4">
        <v>703</v>
      </c>
    </row>
    <row r="3961" customHeight="1" spans="1:2">
      <c r="A3961" s="3" t="s">
        <v>15275</v>
      </c>
      <c r="B3961" s="4">
        <v>1474508</v>
      </c>
    </row>
    <row r="3962" customHeight="1" spans="1:2">
      <c r="A3962" s="3" t="s">
        <v>5257</v>
      </c>
      <c r="B3962" s="4">
        <v>47105085</v>
      </c>
    </row>
    <row r="3963" customHeight="1" spans="1:2">
      <c r="A3963" s="3" t="s">
        <v>10773</v>
      </c>
      <c r="B3963" s="4">
        <v>47887943</v>
      </c>
    </row>
    <row r="3964" customHeight="1" spans="1:2">
      <c r="A3964" s="3" t="s">
        <v>551</v>
      </c>
      <c r="B3964" s="4">
        <v>725290282</v>
      </c>
    </row>
    <row r="3965" customHeight="1" spans="1:2">
      <c r="A3965" s="3" t="s">
        <v>6026</v>
      </c>
      <c r="B3965" s="4">
        <v>44834712</v>
      </c>
    </row>
    <row r="3966" customHeight="1" spans="1:2">
      <c r="A3966" s="3" t="s">
        <v>6239</v>
      </c>
      <c r="B3966" s="4">
        <v>181600000</v>
      </c>
    </row>
    <row r="3967" customHeight="1" spans="1:2">
      <c r="A3967" s="3" t="s">
        <v>22402</v>
      </c>
      <c r="B3967" s="4"/>
    </row>
    <row r="3968" customHeight="1" spans="1:2">
      <c r="A3968" s="3" t="s">
        <v>3712</v>
      </c>
      <c r="B3968" s="4">
        <v>69688384</v>
      </c>
    </row>
    <row r="3969" customHeight="1" spans="1:2">
      <c r="A3969" s="3" t="s">
        <v>18482</v>
      </c>
      <c r="B3969" s="4">
        <v>20803237</v>
      </c>
    </row>
    <row r="3970" customHeight="1" spans="1:2">
      <c r="A3970" s="3" t="s">
        <v>13938</v>
      </c>
      <c r="B3970" s="4">
        <v>214966</v>
      </c>
    </row>
    <row r="3971" customHeight="1" spans="1:2">
      <c r="A3971" s="3" t="s">
        <v>22721</v>
      </c>
      <c r="B3971" s="4"/>
    </row>
    <row r="3972" customHeight="1" spans="1:2">
      <c r="A3972" s="3" t="s">
        <v>3226</v>
      </c>
      <c r="B3972" s="4">
        <v>47456450</v>
      </c>
    </row>
    <row r="3973" customHeight="1" spans="1:2">
      <c r="A3973" s="3" t="s">
        <v>12672</v>
      </c>
      <c r="B3973" s="4">
        <v>138795342</v>
      </c>
    </row>
    <row r="3974" customHeight="1" spans="1:2">
      <c r="A3974" s="3" t="s">
        <v>11115</v>
      </c>
      <c r="B3974" s="4">
        <v>15797907</v>
      </c>
    </row>
    <row r="3975" customHeight="1" spans="1:2">
      <c r="A3975" s="3" t="s">
        <v>21371</v>
      </c>
      <c r="B3975" s="4">
        <v>3830</v>
      </c>
    </row>
    <row r="3976" customHeight="1" spans="1:2">
      <c r="A3976" s="3" t="s">
        <v>14596</v>
      </c>
      <c r="B3976" s="4">
        <v>13592872</v>
      </c>
    </row>
    <row r="3977" customHeight="1" spans="1:2">
      <c r="A3977" s="3" t="s">
        <v>20526</v>
      </c>
      <c r="B3977" s="4">
        <v>7927</v>
      </c>
    </row>
    <row r="3978" customHeight="1" spans="1:2">
      <c r="A3978" s="3" t="s">
        <v>7412</v>
      </c>
      <c r="B3978" s="4">
        <v>39692139</v>
      </c>
    </row>
    <row r="3979" customHeight="1" spans="1:2">
      <c r="A3979" s="3" t="s">
        <v>6488</v>
      </c>
      <c r="B3979" s="4">
        <v>52320979</v>
      </c>
    </row>
    <row r="3980" customHeight="1" spans="1:2">
      <c r="A3980" s="3" t="s">
        <v>13994</v>
      </c>
      <c r="B3980" s="4">
        <v>48092846</v>
      </c>
    </row>
    <row r="3981" customHeight="1" spans="1:2">
      <c r="A3981" s="3" t="s">
        <v>16217</v>
      </c>
      <c r="B3981" s="4">
        <v>146083</v>
      </c>
    </row>
    <row r="3982" customHeight="1" spans="1:2">
      <c r="A3982" s="3" t="s">
        <v>917</v>
      </c>
      <c r="B3982" s="4">
        <v>131564731</v>
      </c>
    </row>
    <row r="3983" customHeight="1" spans="1:2">
      <c r="A3983" s="3" t="s">
        <v>21831</v>
      </c>
      <c r="B3983" s="4">
        <v>22434</v>
      </c>
    </row>
    <row r="3984" customHeight="1" spans="1:2">
      <c r="A3984" s="3" t="s">
        <v>4354</v>
      </c>
      <c r="B3984" s="4">
        <v>18208078</v>
      </c>
    </row>
    <row r="3985" customHeight="1" spans="1:2">
      <c r="A3985" s="3" t="s">
        <v>14717</v>
      </c>
      <c r="B3985" s="4">
        <v>23838</v>
      </c>
    </row>
    <row r="3986" customHeight="1" spans="1:2">
      <c r="A3986" s="3" t="s">
        <v>14888</v>
      </c>
      <c r="B3986" s="4">
        <v>33000000</v>
      </c>
    </row>
    <row r="3987" customHeight="1" spans="1:2">
      <c r="A3987" s="3" t="s">
        <v>9553</v>
      </c>
      <c r="B3987" s="4">
        <v>43984230</v>
      </c>
    </row>
    <row r="3988" customHeight="1" spans="1:2">
      <c r="A3988" s="3" t="s">
        <v>18505</v>
      </c>
      <c r="B3988" s="4">
        <v>15152879</v>
      </c>
    </row>
    <row r="3989" customHeight="1" spans="1:2">
      <c r="A3989" s="3" t="s">
        <v>20659</v>
      </c>
      <c r="B3989" s="4">
        <v>40990055</v>
      </c>
    </row>
    <row r="3990" customHeight="1" spans="1:2">
      <c r="A3990" s="3" t="s">
        <v>20425</v>
      </c>
      <c r="B3990" s="4">
        <v>137945</v>
      </c>
    </row>
    <row r="3991" customHeight="1" spans="1:2">
      <c r="A3991" s="3" t="s">
        <v>13645</v>
      </c>
      <c r="B3991" s="4">
        <v>163591</v>
      </c>
    </row>
    <row r="3992" customHeight="1" spans="1:2">
      <c r="A3992" s="3" t="s">
        <v>12832</v>
      </c>
      <c r="B3992" s="4">
        <v>65443270</v>
      </c>
    </row>
    <row r="3993" customHeight="1" spans="1:2">
      <c r="A3993" s="3" t="s">
        <v>17086</v>
      </c>
      <c r="B3993" s="4">
        <v>17605861</v>
      </c>
    </row>
    <row r="3994" customHeight="1" spans="1:2">
      <c r="A3994" s="3" t="s">
        <v>3622</v>
      </c>
      <c r="B3994" s="4">
        <v>5932060</v>
      </c>
    </row>
    <row r="3995" customHeight="1" spans="1:2">
      <c r="A3995" s="3" t="s">
        <v>6354</v>
      </c>
      <c r="B3995" s="4">
        <v>72455275</v>
      </c>
    </row>
    <row r="3996" customHeight="1" spans="1:2">
      <c r="A3996" s="3" t="s">
        <v>1020</v>
      </c>
      <c r="B3996" s="4">
        <v>111110575</v>
      </c>
    </row>
    <row r="3997" customHeight="1" spans="1:2">
      <c r="A3997" s="3" t="s">
        <v>6903</v>
      </c>
      <c r="B3997" s="4">
        <v>463730</v>
      </c>
    </row>
    <row r="3998" customHeight="1" spans="1:2">
      <c r="A3998" s="3" t="s">
        <v>20028</v>
      </c>
      <c r="B3998" s="4">
        <v>379643</v>
      </c>
    </row>
    <row r="3999" customHeight="1" spans="1:2">
      <c r="A3999" s="3" t="s">
        <v>10720</v>
      </c>
      <c r="B3999" s="4">
        <v>62933793</v>
      </c>
    </row>
    <row r="4000" customHeight="1" spans="1:2">
      <c r="A4000" s="3" t="s">
        <v>8611</v>
      </c>
      <c r="B4000" s="4">
        <v>12026670</v>
      </c>
    </row>
    <row r="4001" customHeight="1" spans="1:2">
      <c r="A4001" s="3" t="s">
        <v>11967</v>
      </c>
      <c r="B4001" s="4">
        <v>6615578</v>
      </c>
    </row>
    <row r="4002" customHeight="1" spans="1:2">
      <c r="A4002" s="3" t="s">
        <v>16592</v>
      </c>
      <c r="B4002" s="4">
        <v>8373585</v>
      </c>
    </row>
    <row r="4003" customHeight="1" spans="1:2">
      <c r="A4003" s="3" t="s">
        <v>18706</v>
      </c>
      <c r="B4003" s="4">
        <v>12836</v>
      </c>
    </row>
    <row r="4004" customHeight="1" spans="1:2">
      <c r="A4004" s="3" t="s">
        <v>23936</v>
      </c>
      <c r="B4004" s="4">
        <v>321952</v>
      </c>
    </row>
    <row r="4005" customHeight="1" spans="1:2">
      <c r="A4005" s="3" t="s">
        <v>2873</v>
      </c>
      <c r="B4005" s="4">
        <v>27356090</v>
      </c>
    </row>
    <row r="4006" customHeight="1" spans="1:2">
      <c r="A4006" s="3" t="s">
        <v>14893</v>
      </c>
      <c r="B4006" s="4">
        <v>32101000</v>
      </c>
    </row>
    <row r="4007" customHeight="1" spans="1:2">
      <c r="A4007" s="3" t="s">
        <v>17606</v>
      </c>
      <c r="B4007" s="4">
        <v>25799043</v>
      </c>
    </row>
    <row r="4008" customHeight="1" spans="1:2">
      <c r="A4008" s="3" t="s">
        <v>2974</v>
      </c>
      <c r="B4008" s="4">
        <v>66462600</v>
      </c>
    </row>
    <row r="4009" customHeight="1" spans="1:2">
      <c r="A4009" s="3" t="s">
        <v>4302</v>
      </c>
      <c r="B4009" s="4">
        <v>30695227</v>
      </c>
    </row>
    <row r="4010" customHeight="1" spans="1:2">
      <c r="A4010" s="3" t="s">
        <v>20161</v>
      </c>
      <c r="B4010" s="4">
        <v>11546543</v>
      </c>
    </row>
    <row r="4011" customHeight="1" spans="1:2">
      <c r="A4011" s="3" t="s">
        <v>23954</v>
      </c>
      <c r="B4011" s="4">
        <v>243768</v>
      </c>
    </row>
    <row r="4012" customHeight="1" spans="1:2">
      <c r="A4012" s="3" t="s">
        <v>20580</v>
      </c>
      <c r="B4012" s="4"/>
    </row>
    <row r="4013" customHeight="1" spans="1:2">
      <c r="A4013" s="3" t="s">
        <v>3534</v>
      </c>
      <c r="B4013" s="4">
        <v>18821279</v>
      </c>
    </row>
    <row r="4014" customHeight="1" spans="1:2">
      <c r="A4014" s="3" t="s">
        <v>15745</v>
      </c>
      <c r="B4014" s="4">
        <v>454255</v>
      </c>
    </row>
    <row r="4015" customHeight="1" spans="1:2">
      <c r="A4015" s="3" t="s">
        <v>451</v>
      </c>
      <c r="B4015" s="4">
        <v>248103518</v>
      </c>
    </row>
    <row r="4016" customHeight="1" spans="1:2">
      <c r="A4016" s="3" t="s">
        <v>11914</v>
      </c>
      <c r="B4016" s="4">
        <v>8000000</v>
      </c>
    </row>
    <row r="4017" customHeight="1" spans="1:2">
      <c r="A4017" s="3" t="s">
        <v>2776</v>
      </c>
      <c r="B4017" s="4">
        <v>45356386</v>
      </c>
    </row>
    <row r="4018" customHeight="1" spans="1:2">
      <c r="A4018" s="3" t="s">
        <v>4201</v>
      </c>
      <c r="B4018" s="4">
        <v>257756197</v>
      </c>
    </row>
    <row r="4019" customHeight="1" spans="1:2">
      <c r="A4019" s="3" t="s">
        <v>10484</v>
      </c>
      <c r="B4019" s="4">
        <v>4829497</v>
      </c>
    </row>
    <row r="4020" customHeight="1" spans="1:2">
      <c r="A4020" s="3" t="s">
        <v>5385</v>
      </c>
      <c r="B4020" s="4">
        <v>24006726</v>
      </c>
    </row>
    <row r="4021" customHeight="1" spans="1:2">
      <c r="A4021" s="3" t="s">
        <v>14378</v>
      </c>
      <c r="B4021" s="4">
        <v>303439</v>
      </c>
    </row>
    <row r="4022" customHeight="1" spans="1:2">
      <c r="A4022" s="3" t="s">
        <v>5394</v>
      </c>
      <c r="B4022" s="4">
        <v>19593740</v>
      </c>
    </row>
    <row r="4023" customHeight="1" spans="1:2">
      <c r="A4023" s="3" t="s">
        <v>15197</v>
      </c>
      <c r="B4023" s="4">
        <v>3193102</v>
      </c>
    </row>
    <row r="4024" customHeight="1" spans="1:2">
      <c r="A4024" s="3" t="s">
        <v>6443</v>
      </c>
      <c r="B4024" s="4">
        <v>57981889</v>
      </c>
    </row>
    <row r="4025" customHeight="1" spans="1:2">
      <c r="A4025" s="3" t="s">
        <v>2921</v>
      </c>
      <c r="B4025" s="4">
        <v>422783777</v>
      </c>
    </row>
    <row r="4026" customHeight="1" spans="1:2">
      <c r="A4026" s="3" t="s">
        <v>21253</v>
      </c>
      <c r="B4026" s="4"/>
    </row>
    <row r="4027" customHeight="1" spans="1:2">
      <c r="A4027" s="3" t="s">
        <v>22759</v>
      </c>
      <c r="B4027" s="4"/>
    </row>
    <row r="4028" customHeight="1" spans="1:2">
      <c r="A4028" s="3" t="s">
        <v>2950</v>
      </c>
      <c r="B4028" s="4">
        <v>1339152</v>
      </c>
    </row>
    <row r="4029" customHeight="1" spans="1:2">
      <c r="A4029" s="3" t="s">
        <v>10455</v>
      </c>
      <c r="B4029" s="4">
        <v>13555988</v>
      </c>
    </row>
    <row r="4030" customHeight="1" spans="1:2">
      <c r="A4030" s="3" t="s">
        <v>20176</v>
      </c>
      <c r="B4030" s="4">
        <v>11284657</v>
      </c>
    </row>
    <row r="4031" customHeight="1" spans="1:2">
      <c r="A4031" s="3" t="s">
        <v>6470</v>
      </c>
      <c r="B4031" s="4">
        <v>51185897</v>
      </c>
    </row>
    <row r="4032" customHeight="1" spans="1:2">
      <c r="A4032" s="3" t="s">
        <v>22657</v>
      </c>
      <c r="B4032" s="4">
        <v>12055</v>
      </c>
    </row>
    <row r="4033" customHeight="1" spans="1:2">
      <c r="A4033" s="3" t="s">
        <v>12772</v>
      </c>
      <c r="B4033" s="4">
        <v>42672630</v>
      </c>
    </row>
    <row r="4034" customHeight="1" spans="1:2">
      <c r="A4034" s="3" t="s">
        <v>139</v>
      </c>
      <c r="B4034" s="4">
        <v>89289910</v>
      </c>
    </row>
    <row r="4035" customHeight="1" spans="1:2">
      <c r="A4035" s="3" t="s">
        <v>3776</v>
      </c>
      <c r="B4035" s="4">
        <v>33328051</v>
      </c>
    </row>
    <row r="4036" customHeight="1" spans="1:2">
      <c r="A4036" s="3" t="s">
        <v>15012</v>
      </c>
      <c r="B4036" s="4"/>
    </row>
    <row r="4037" customHeight="1" spans="1:2">
      <c r="A4037" s="3" t="s">
        <v>14822</v>
      </c>
      <c r="B4037" s="4"/>
    </row>
    <row r="4038" customHeight="1" spans="1:2">
      <c r="A4038" s="3" t="s">
        <v>7790</v>
      </c>
      <c r="B4038" s="4">
        <v>37432299</v>
      </c>
    </row>
    <row r="4039" customHeight="1" spans="1:2">
      <c r="A4039" s="3" t="s">
        <v>2578</v>
      </c>
      <c r="B4039" s="4">
        <v>158115031</v>
      </c>
    </row>
    <row r="4040" customHeight="1" spans="1:2">
      <c r="A4040" s="3" t="s">
        <v>10273</v>
      </c>
      <c r="B4040" s="4">
        <v>11508423</v>
      </c>
    </row>
    <row r="4041" customHeight="1" spans="1:2">
      <c r="A4041" s="3" t="s">
        <v>23100</v>
      </c>
      <c r="B4041" s="4">
        <v>1711</v>
      </c>
    </row>
    <row r="4042" customHeight="1" spans="1:2">
      <c r="A4042" s="3" t="s">
        <v>1625</v>
      </c>
      <c r="B4042" s="4">
        <v>313837577</v>
      </c>
    </row>
    <row r="4043" customHeight="1" spans="1:2">
      <c r="A4043" s="3" t="s">
        <v>2012</v>
      </c>
      <c r="B4043" s="4">
        <v>377019252</v>
      </c>
    </row>
    <row r="4044" customHeight="1" spans="1:2">
      <c r="A4044" s="3" t="s">
        <v>2015</v>
      </c>
      <c r="B4044" s="4">
        <v>340478898</v>
      </c>
    </row>
    <row r="4045" customHeight="1" spans="1:2">
      <c r="A4045" s="3" t="s">
        <v>21041</v>
      </c>
      <c r="B4045" s="4">
        <v>1163508</v>
      </c>
    </row>
    <row r="4046" customHeight="1" spans="1:2">
      <c r="A4046" s="3" t="s">
        <v>9751</v>
      </c>
      <c r="B4046" s="4">
        <v>23527955</v>
      </c>
    </row>
    <row r="4047" customHeight="1" spans="1:2">
      <c r="A4047" s="3" t="s">
        <v>18631</v>
      </c>
      <c r="B4047" s="4">
        <v>399793</v>
      </c>
    </row>
    <row r="4048" customHeight="1" spans="1:2">
      <c r="A4048" s="3" t="s">
        <v>15837</v>
      </c>
      <c r="B4048" s="4">
        <v>32222567</v>
      </c>
    </row>
    <row r="4049" customHeight="1" spans="1:2">
      <c r="A4049" s="3" t="s">
        <v>15505</v>
      </c>
      <c r="B4049" s="4">
        <v>2483955</v>
      </c>
    </row>
    <row r="4050" customHeight="1" spans="1:2">
      <c r="A4050" s="3" t="s">
        <v>20421</v>
      </c>
      <c r="B4050" s="4">
        <v>549632</v>
      </c>
    </row>
    <row r="4051" customHeight="1" spans="1:2">
      <c r="A4051" s="3" t="s">
        <v>23721</v>
      </c>
      <c r="B4051" s="4">
        <v>110536</v>
      </c>
    </row>
    <row r="4052" customHeight="1" spans="1:2">
      <c r="A4052" s="3" t="s">
        <v>21240</v>
      </c>
      <c r="B4052" s="4"/>
    </row>
    <row r="4053" customHeight="1" spans="1:2">
      <c r="A4053" s="3" t="s">
        <v>2989</v>
      </c>
      <c r="B4053" s="4">
        <v>229074524</v>
      </c>
    </row>
    <row r="4054" customHeight="1" spans="1:2">
      <c r="A4054" s="3" t="s">
        <v>3900</v>
      </c>
      <c r="B4054" s="4">
        <v>32178777</v>
      </c>
    </row>
    <row r="4055" customHeight="1" spans="1:2">
      <c r="A4055" s="3" t="s">
        <v>13107</v>
      </c>
      <c r="B4055" s="4"/>
    </row>
    <row r="4056" customHeight="1" spans="1:2">
      <c r="A4056" s="3" t="s">
        <v>18764</v>
      </c>
      <c r="B4056" s="4"/>
    </row>
    <row r="4057" customHeight="1" spans="1:2">
      <c r="A4057" s="3" t="s">
        <v>2004</v>
      </c>
      <c r="B4057" s="4">
        <v>87965684</v>
      </c>
    </row>
    <row r="4058" customHeight="1" spans="1:2">
      <c r="A4058" s="3" t="s">
        <v>582</v>
      </c>
      <c r="B4058" s="4"/>
    </row>
    <row r="4059" customHeight="1" spans="1:2">
      <c r="A4059" s="3" t="s">
        <v>9506</v>
      </c>
      <c r="B4059" s="4">
        <v>60443237</v>
      </c>
    </row>
    <row r="4060" customHeight="1" spans="1:2">
      <c r="A4060" s="3" t="s">
        <v>13571</v>
      </c>
      <c r="B4060" s="4">
        <v>183088</v>
      </c>
    </row>
    <row r="4061" customHeight="1" spans="1:2">
      <c r="A4061" s="3" t="s">
        <v>20802</v>
      </c>
      <c r="B4061" s="4">
        <v>4231500</v>
      </c>
    </row>
    <row r="4062" customHeight="1" spans="1:2">
      <c r="A4062" s="3" t="s">
        <v>17904</v>
      </c>
      <c r="B4062" s="4">
        <v>1082044</v>
      </c>
    </row>
    <row r="4063" customHeight="1" spans="1:2">
      <c r="A4063" s="3" t="s">
        <v>9212</v>
      </c>
      <c r="B4063" s="4"/>
    </row>
    <row r="4064" customHeight="1" spans="1:2">
      <c r="A4064" s="3" t="s">
        <v>6698</v>
      </c>
      <c r="B4064" s="4">
        <v>22717758</v>
      </c>
    </row>
    <row r="4065" customHeight="1" spans="1:2">
      <c r="A4065" s="3" t="s">
        <v>22452</v>
      </c>
      <c r="B4065" s="4"/>
    </row>
    <row r="4066" customHeight="1" spans="1:2">
      <c r="A4066" s="3" t="s">
        <v>3263</v>
      </c>
      <c r="B4066" s="4">
        <v>27796042</v>
      </c>
    </row>
    <row r="4067" customHeight="1" spans="1:2">
      <c r="A4067" s="3" t="s">
        <v>23481</v>
      </c>
      <c r="B4067" s="4"/>
    </row>
    <row r="4068" customHeight="1" spans="1:2">
      <c r="A4068" s="3" t="s">
        <v>17639</v>
      </c>
      <c r="B4068" s="4"/>
    </row>
    <row r="4069" customHeight="1" spans="1:2">
      <c r="A4069" s="3" t="s">
        <v>3110</v>
      </c>
      <c r="B4069" s="4">
        <v>45434443</v>
      </c>
    </row>
    <row r="4070" customHeight="1" spans="1:2">
      <c r="A4070" s="3" t="s">
        <v>7341</v>
      </c>
      <c r="B4070" s="4">
        <v>56876365</v>
      </c>
    </row>
    <row r="4071" customHeight="1" spans="1:2">
      <c r="A4071" s="3" t="s">
        <v>11162</v>
      </c>
      <c r="B4071" s="4">
        <v>13801755</v>
      </c>
    </row>
    <row r="4072" customHeight="1" spans="1:2">
      <c r="A4072" s="3" t="s">
        <v>19131</v>
      </c>
      <c r="B4072" s="4"/>
    </row>
    <row r="4073" customHeight="1" spans="1:2">
      <c r="A4073" s="3" t="s">
        <v>16515</v>
      </c>
      <c r="B4073" s="4">
        <v>21000000</v>
      </c>
    </row>
    <row r="4074" customHeight="1" spans="1:2">
      <c r="A4074" s="3" t="s">
        <v>13053</v>
      </c>
      <c r="B4074" s="4">
        <v>15608545</v>
      </c>
    </row>
    <row r="4075" customHeight="1" spans="1:2">
      <c r="A4075" s="3" t="s">
        <v>11273</v>
      </c>
      <c r="B4075" s="4">
        <v>8326035</v>
      </c>
    </row>
    <row r="4076" customHeight="1" spans="1:2">
      <c r="A4076" s="3" t="s">
        <v>2732</v>
      </c>
      <c r="B4076" s="4">
        <v>65948711</v>
      </c>
    </row>
    <row r="4077" customHeight="1" spans="1:2">
      <c r="A4077" s="3" t="s">
        <v>20610</v>
      </c>
      <c r="B4077" s="4"/>
    </row>
    <row r="4078" customHeight="1" spans="1:2">
      <c r="A4078" s="3" t="s">
        <v>12943</v>
      </c>
      <c r="B4078" s="4">
        <v>18843314</v>
      </c>
    </row>
    <row r="4079" customHeight="1" spans="1:2">
      <c r="A4079" s="3" t="s">
        <v>1668</v>
      </c>
      <c r="B4079" s="4">
        <v>228430993</v>
      </c>
    </row>
    <row r="4080" customHeight="1" spans="1:2">
      <c r="A4080" s="3" t="s">
        <v>3681</v>
      </c>
      <c r="B4080" s="4">
        <v>93771072</v>
      </c>
    </row>
    <row r="4081" customHeight="1" spans="1:2">
      <c r="A4081" s="3" t="s">
        <v>11721</v>
      </c>
      <c r="B4081" s="4">
        <v>119938730</v>
      </c>
    </row>
    <row r="4082" customHeight="1" spans="1:2">
      <c r="A4082" s="3" t="s">
        <v>18995</v>
      </c>
      <c r="B4082" s="4">
        <v>123777</v>
      </c>
    </row>
    <row r="4083" customHeight="1" spans="1:2">
      <c r="A4083" s="3" t="s">
        <v>12421</v>
      </c>
      <c r="B4083" s="4">
        <v>40363530</v>
      </c>
    </row>
    <row r="4084" customHeight="1" spans="1:2">
      <c r="A4084" s="3" t="s">
        <v>7081</v>
      </c>
      <c r="B4084" s="4">
        <v>16377274</v>
      </c>
    </row>
    <row r="4085" customHeight="1" spans="1:2">
      <c r="A4085" s="3" t="s">
        <v>15045</v>
      </c>
      <c r="B4085" s="4">
        <v>12570442</v>
      </c>
    </row>
    <row r="4086" customHeight="1" spans="1:2">
      <c r="A4086" s="3" t="s">
        <v>839</v>
      </c>
      <c r="B4086" s="4">
        <v>281492479</v>
      </c>
    </row>
    <row r="4087" customHeight="1" spans="1:2">
      <c r="A4087" s="3" t="s">
        <v>825</v>
      </c>
      <c r="B4087" s="4">
        <v>139259759</v>
      </c>
    </row>
    <row r="4088" customHeight="1" spans="1:2">
      <c r="A4088" s="3" t="s">
        <v>3650</v>
      </c>
      <c r="B4088" s="4">
        <v>171383253</v>
      </c>
    </row>
    <row r="4089" customHeight="1" spans="1:2">
      <c r="A4089" s="3" t="s">
        <v>7752</v>
      </c>
      <c r="B4089" s="4">
        <v>102413606</v>
      </c>
    </row>
    <row r="4090" customHeight="1" spans="1:2">
      <c r="A4090" s="3" t="s">
        <v>6082</v>
      </c>
      <c r="B4090" s="4">
        <v>29113588</v>
      </c>
    </row>
    <row r="4091" customHeight="1" spans="1:2">
      <c r="A4091" s="3" t="s">
        <v>6219</v>
      </c>
      <c r="B4091" s="4">
        <v>22108977</v>
      </c>
    </row>
    <row r="4092" customHeight="1" spans="1:2">
      <c r="A4092" s="3" t="s">
        <v>10128</v>
      </c>
      <c r="B4092" s="4">
        <v>32416109</v>
      </c>
    </row>
    <row r="4093" customHeight="1" spans="1:2">
      <c r="A4093" s="3" t="s">
        <v>8673</v>
      </c>
      <c r="B4093" s="4">
        <v>3752725</v>
      </c>
    </row>
    <row r="4094" customHeight="1" spans="1:2">
      <c r="A4094" s="3" t="s">
        <v>16931</v>
      </c>
      <c r="B4094" s="4">
        <v>66637</v>
      </c>
    </row>
    <row r="4095" customHeight="1" spans="1:2">
      <c r="A4095" s="3" t="s">
        <v>5416</v>
      </c>
      <c r="B4095" s="4">
        <v>14131298</v>
      </c>
    </row>
    <row r="4096" customHeight="1" spans="1:2">
      <c r="A4096" s="3" t="s">
        <v>12432</v>
      </c>
      <c r="B4096" s="4"/>
    </row>
    <row r="4097" customHeight="1" spans="1:2">
      <c r="A4097" s="3" t="s">
        <v>6389</v>
      </c>
      <c r="B4097" s="4">
        <v>66808615</v>
      </c>
    </row>
    <row r="4098" customHeight="1" spans="1:2">
      <c r="A4098" s="3" t="s">
        <v>13260</v>
      </c>
      <c r="B4098" s="4">
        <v>73548</v>
      </c>
    </row>
    <row r="4099" customHeight="1" spans="1:2">
      <c r="A4099" s="3" t="s">
        <v>14825</v>
      </c>
      <c r="B4099" s="4">
        <v>50752337</v>
      </c>
    </row>
    <row r="4100" customHeight="1" spans="1:2">
      <c r="A4100" s="3" t="s">
        <v>16667</v>
      </c>
      <c r="B4100" s="4">
        <v>1889522</v>
      </c>
    </row>
    <row r="4101" customHeight="1" spans="1:2">
      <c r="A4101" s="3" t="s">
        <v>23708</v>
      </c>
      <c r="B4101" s="4">
        <v>2643689</v>
      </c>
    </row>
    <row r="4102" customHeight="1" spans="1:2">
      <c r="A4102" s="3" t="s">
        <v>6129</v>
      </c>
      <c r="B4102" s="4">
        <v>41252428</v>
      </c>
    </row>
    <row r="4103" customHeight="1" spans="1:2">
      <c r="A4103" s="3" t="s">
        <v>18532</v>
      </c>
      <c r="B4103" s="4"/>
    </row>
    <row r="4104" customHeight="1" spans="1:2">
      <c r="A4104" s="3" t="s">
        <v>20429</v>
      </c>
      <c r="B4104" s="4">
        <v>17580</v>
      </c>
    </row>
    <row r="4105" customHeight="1" spans="1:2">
      <c r="A4105" s="3" t="s">
        <v>3800</v>
      </c>
      <c r="B4105" s="4"/>
    </row>
    <row r="4106" customHeight="1" spans="1:2">
      <c r="A4106" s="3" t="s">
        <v>13743</v>
      </c>
      <c r="B4106" s="4">
        <v>25592632</v>
      </c>
    </row>
    <row r="4107" customHeight="1" spans="1:2">
      <c r="A4107" s="3" t="s">
        <v>14663</v>
      </c>
      <c r="B4107" s="4"/>
    </row>
    <row r="4108" customHeight="1" spans="1:2">
      <c r="A4108" s="3" t="s">
        <v>24128</v>
      </c>
      <c r="B4108" s="4"/>
    </row>
    <row r="4109" customHeight="1" spans="1:2">
      <c r="A4109" s="3" t="s">
        <v>3403</v>
      </c>
      <c r="B4109" s="4">
        <v>78031620</v>
      </c>
    </row>
    <row r="4110" customHeight="1" spans="1:2">
      <c r="A4110" s="3" t="s">
        <v>4374</v>
      </c>
      <c r="B4110" s="4">
        <v>31165421</v>
      </c>
    </row>
    <row r="4111" customHeight="1" spans="1:2">
      <c r="A4111" s="3" t="s">
        <v>23226</v>
      </c>
      <c r="B4111" s="4">
        <v>47111</v>
      </c>
    </row>
    <row r="4112" customHeight="1" spans="1:2">
      <c r="A4112" s="3" t="s">
        <v>6135</v>
      </c>
      <c r="B4112" s="4">
        <v>35228696</v>
      </c>
    </row>
    <row r="4113" customHeight="1" spans="1:2">
      <c r="A4113" s="3" t="s">
        <v>22197</v>
      </c>
      <c r="B4113" s="4"/>
    </row>
    <row r="4114" customHeight="1" spans="1:2">
      <c r="A4114" s="3" t="s">
        <v>1933</v>
      </c>
      <c r="B4114" s="4">
        <v>202007640</v>
      </c>
    </row>
    <row r="4115" customHeight="1" spans="1:2">
      <c r="A4115" s="3" t="s">
        <v>505</v>
      </c>
      <c r="B4115" s="4">
        <v>102176165</v>
      </c>
    </row>
    <row r="4116" customHeight="1" spans="1:2">
      <c r="A4116" s="3" t="s">
        <v>14127</v>
      </c>
      <c r="B4116" s="4">
        <v>27281507</v>
      </c>
    </row>
    <row r="4117" customHeight="1" spans="1:2">
      <c r="A4117" s="3" t="s">
        <v>15957</v>
      </c>
      <c r="B4117" s="4">
        <v>76657000</v>
      </c>
    </row>
    <row r="4118" customHeight="1" spans="1:2">
      <c r="A4118" s="3" t="s">
        <v>5762</v>
      </c>
      <c r="B4118" s="4">
        <v>88625922</v>
      </c>
    </row>
    <row r="4119" customHeight="1" spans="1:2">
      <c r="A4119" s="3" t="s">
        <v>13035</v>
      </c>
      <c r="B4119" s="4">
        <v>11614236</v>
      </c>
    </row>
    <row r="4120" customHeight="1" spans="1:2">
      <c r="A4120" s="3" t="s">
        <v>6665</v>
      </c>
      <c r="B4120" s="4">
        <v>27053815</v>
      </c>
    </row>
    <row r="4121" customHeight="1" spans="1:2">
      <c r="A4121" s="3" t="s">
        <v>23873</v>
      </c>
      <c r="B4121" s="4"/>
    </row>
    <row r="4122" customHeight="1" spans="1:2">
      <c r="A4122" s="3" t="s">
        <v>10212</v>
      </c>
      <c r="B4122" s="4">
        <v>86930411</v>
      </c>
    </row>
    <row r="4123" customHeight="1" spans="1:2">
      <c r="A4123" s="3" t="s">
        <v>18194</v>
      </c>
      <c r="B4123" s="4">
        <v>513836</v>
      </c>
    </row>
    <row r="4124" customHeight="1" spans="1:2">
      <c r="A4124" s="3" t="s">
        <v>15871</v>
      </c>
      <c r="B4124" s="4">
        <v>13569248</v>
      </c>
    </row>
    <row r="4125" customHeight="1" spans="1:2">
      <c r="A4125" s="3" t="s">
        <v>7466</v>
      </c>
      <c r="B4125" s="4">
        <v>37617947</v>
      </c>
    </row>
    <row r="4126" customHeight="1" spans="1:2">
      <c r="A4126" s="3" t="s">
        <v>5237</v>
      </c>
      <c r="B4126" s="4">
        <v>44484065</v>
      </c>
    </row>
    <row r="4127" customHeight="1" spans="1:2">
      <c r="A4127" s="3" t="s">
        <v>16428</v>
      </c>
      <c r="B4127" s="4">
        <v>1330827</v>
      </c>
    </row>
    <row r="4128" customHeight="1" spans="1:2">
      <c r="A4128" s="3" t="s">
        <v>10375</v>
      </c>
      <c r="B4128" s="4">
        <v>50728000</v>
      </c>
    </row>
    <row r="4129" customHeight="1" spans="1:2">
      <c r="A4129" s="3" t="s">
        <v>9137</v>
      </c>
      <c r="B4129" s="4"/>
    </row>
    <row r="4130" customHeight="1" spans="1:2">
      <c r="A4130" s="3" t="s">
        <v>13695</v>
      </c>
      <c r="B4130" s="4">
        <v>28972187</v>
      </c>
    </row>
    <row r="4131" customHeight="1" spans="1:2">
      <c r="A4131" s="3" t="s">
        <v>8594</v>
      </c>
      <c r="B4131" s="4">
        <v>12712093</v>
      </c>
    </row>
    <row r="4132" customHeight="1" spans="1:2">
      <c r="A4132" s="3" t="s">
        <v>9166</v>
      </c>
      <c r="B4132" s="4">
        <v>10297897</v>
      </c>
    </row>
    <row r="4133" customHeight="1" spans="1:2">
      <c r="A4133" s="3" t="s">
        <v>9815</v>
      </c>
      <c r="B4133" s="4">
        <v>14983572</v>
      </c>
    </row>
    <row r="4134" customHeight="1" spans="1:2">
      <c r="A4134" s="3" t="s">
        <v>8512</v>
      </c>
      <c r="B4134" s="4">
        <v>21129348</v>
      </c>
    </row>
    <row r="4135" customHeight="1" spans="1:2">
      <c r="A4135" s="3" t="s">
        <v>18535</v>
      </c>
      <c r="B4135" s="4">
        <v>7825820</v>
      </c>
    </row>
    <row r="4136" customHeight="1" spans="1:2">
      <c r="A4136" s="3" t="s">
        <v>23764</v>
      </c>
      <c r="B4136" s="4"/>
    </row>
    <row r="4137" customHeight="1" spans="1:2">
      <c r="A4137" s="3" t="s">
        <v>7025</v>
      </c>
      <c r="B4137" s="4">
        <v>18653746</v>
      </c>
    </row>
    <row r="4138" customHeight="1" spans="1:2">
      <c r="A4138" s="3" t="s">
        <v>8163</v>
      </c>
      <c r="B4138" s="4">
        <v>64286</v>
      </c>
    </row>
    <row r="4139" customHeight="1" spans="1:2">
      <c r="A4139" s="3" t="s">
        <v>12965</v>
      </c>
      <c r="B4139" s="4">
        <v>24984868</v>
      </c>
    </row>
    <row r="4140" customHeight="1" spans="1:2">
      <c r="A4140" s="3" t="s">
        <v>7950</v>
      </c>
      <c r="B4140" s="4">
        <v>35063732</v>
      </c>
    </row>
    <row r="4141" customHeight="1" spans="1:2">
      <c r="A4141" s="3" t="s">
        <v>18906</v>
      </c>
      <c r="B4141" s="4"/>
    </row>
    <row r="4142" customHeight="1" spans="1:2">
      <c r="A4142" s="3" t="s">
        <v>8263</v>
      </c>
      <c r="B4142" s="4">
        <v>64238770</v>
      </c>
    </row>
    <row r="4143" customHeight="1" spans="1:2">
      <c r="A4143" s="3" t="s">
        <v>2294</v>
      </c>
      <c r="B4143" s="4">
        <v>190562</v>
      </c>
    </row>
    <row r="4144" customHeight="1" spans="1:2">
      <c r="A4144" s="3" t="s">
        <v>11679</v>
      </c>
      <c r="B4144" s="4">
        <v>2119994</v>
      </c>
    </row>
    <row r="4145" customHeight="1" spans="1:2">
      <c r="A4145" s="3" t="s">
        <v>4586</v>
      </c>
      <c r="B4145" s="4">
        <v>128769345</v>
      </c>
    </row>
    <row r="4146" customHeight="1" spans="1:2">
      <c r="A4146" s="3" t="s">
        <v>11803</v>
      </c>
      <c r="B4146" s="4"/>
    </row>
    <row r="4147" customHeight="1" spans="1:2">
      <c r="A4147" s="3" t="s">
        <v>12861</v>
      </c>
      <c r="B4147" s="4">
        <v>29106737</v>
      </c>
    </row>
    <row r="4148" customHeight="1" spans="1:2">
      <c r="A4148" s="3" t="s">
        <v>6498</v>
      </c>
      <c r="B4148" s="4">
        <v>51853450</v>
      </c>
    </row>
    <row r="4149" customHeight="1" spans="1:2">
      <c r="A4149" s="3" t="s">
        <v>17931</v>
      </c>
      <c r="B4149" s="4"/>
    </row>
    <row r="4150" customHeight="1" spans="1:2">
      <c r="A4150" s="3" t="s">
        <v>16438</v>
      </c>
      <c r="B4150" s="4">
        <v>12610552</v>
      </c>
    </row>
    <row r="4151" customHeight="1" spans="1:2">
      <c r="A4151" s="3" t="s">
        <v>9496</v>
      </c>
      <c r="B4151" s="4"/>
    </row>
    <row r="4152" customHeight="1" spans="1:2">
      <c r="A4152" s="3" t="s">
        <v>5497</v>
      </c>
      <c r="B4152" s="4">
        <v>43905746</v>
      </c>
    </row>
    <row r="4153" customHeight="1" spans="1:2">
      <c r="A4153" s="3" t="s">
        <v>11435</v>
      </c>
      <c r="B4153" s="4">
        <v>1064277</v>
      </c>
    </row>
    <row r="4154" customHeight="1" spans="1:2">
      <c r="A4154" s="3" t="s">
        <v>15387</v>
      </c>
      <c r="B4154" s="4">
        <v>19348</v>
      </c>
    </row>
    <row r="4155" customHeight="1" spans="1:2">
      <c r="A4155" s="3" t="s">
        <v>19112</v>
      </c>
      <c r="B4155" s="4"/>
    </row>
    <row r="4156" customHeight="1" spans="1:2">
      <c r="A4156" s="3" t="s">
        <v>7671</v>
      </c>
      <c r="B4156" s="4">
        <v>7659747</v>
      </c>
    </row>
    <row r="4157" customHeight="1" spans="1:2">
      <c r="A4157" s="3" t="s">
        <v>19177</v>
      </c>
      <c r="B4157" s="4">
        <v>38168022</v>
      </c>
    </row>
    <row r="4158" customHeight="1" spans="1:2">
      <c r="A4158" s="3" t="s">
        <v>18545</v>
      </c>
      <c r="B4158" s="4">
        <v>7159147</v>
      </c>
    </row>
    <row r="4159" customHeight="1" spans="1:2">
      <c r="A4159" s="3" t="s">
        <v>6669</v>
      </c>
      <c r="B4159" s="4">
        <v>26814957</v>
      </c>
    </row>
    <row r="4160" customHeight="1" spans="1:2">
      <c r="A4160" s="3" t="s">
        <v>22616</v>
      </c>
      <c r="B4160" s="4">
        <v>133778</v>
      </c>
    </row>
    <row r="4161" customHeight="1" spans="1:2">
      <c r="A4161" s="3" t="s">
        <v>19920</v>
      </c>
      <c r="B4161" s="4">
        <v>115504</v>
      </c>
    </row>
    <row r="4162" customHeight="1" spans="1:2">
      <c r="A4162" s="3" t="s">
        <v>1755</v>
      </c>
      <c r="B4162" s="4">
        <v>119219978</v>
      </c>
    </row>
    <row r="4163" customHeight="1" spans="1:2">
      <c r="A4163" s="3" t="s">
        <v>16627</v>
      </c>
      <c r="B4163" s="4">
        <v>4720371</v>
      </c>
    </row>
    <row r="4164" customHeight="1" spans="1:2">
      <c r="A4164" s="3" t="s">
        <v>6400</v>
      </c>
      <c r="B4164" s="4">
        <v>83906114</v>
      </c>
    </row>
    <row r="4165" customHeight="1" spans="1:2">
      <c r="A4165" s="3" t="s">
        <v>12141</v>
      </c>
      <c r="B4165" s="4">
        <v>96471845</v>
      </c>
    </row>
    <row r="4166" customHeight="1" spans="1:2">
      <c r="A4166" s="3" t="s">
        <v>6656</v>
      </c>
      <c r="B4166" s="4">
        <v>28535768</v>
      </c>
    </row>
    <row r="4167" customHeight="1" spans="1:2">
      <c r="A4167" s="3" t="s">
        <v>22691</v>
      </c>
      <c r="B4167" s="4"/>
    </row>
    <row r="4168" customHeight="1" spans="1:2">
      <c r="A4168" s="3" t="s">
        <v>14930</v>
      </c>
      <c r="B4168" s="4">
        <v>25600000</v>
      </c>
    </row>
    <row r="4169" customHeight="1" spans="1:2">
      <c r="A4169" s="3" t="s">
        <v>15421</v>
      </c>
      <c r="B4169" s="4">
        <v>3607</v>
      </c>
    </row>
    <row r="4170" customHeight="1" spans="1:2">
      <c r="A4170" s="3" t="s">
        <v>4552</v>
      </c>
      <c r="B4170" s="4">
        <v>113006880</v>
      </c>
    </row>
    <row r="4171" customHeight="1" spans="1:2">
      <c r="A4171" s="3" t="s">
        <v>11546</v>
      </c>
      <c r="B4171" s="4">
        <v>8047690</v>
      </c>
    </row>
    <row r="4172" customHeight="1" spans="1:2">
      <c r="A4172" s="3" t="s">
        <v>16121</v>
      </c>
      <c r="B4172" s="4"/>
    </row>
    <row r="4173" customHeight="1" spans="1:2">
      <c r="A4173" s="3" t="s">
        <v>21921</v>
      </c>
      <c r="B4173" s="4"/>
    </row>
    <row r="4174" customHeight="1" spans="1:2">
      <c r="A4174" s="3" t="s">
        <v>9371</v>
      </c>
      <c r="B4174" s="4">
        <v>499263</v>
      </c>
    </row>
    <row r="4175" customHeight="1" spans="1:2">
      <c r="A4175" s="3" t="s">
        <v>23771</v>
      </c>
      <c r="B4175" s="4"/>
    </row>
    <row r="4176" customHeight="1" spans="1:2">
      <c r="A4176" s="3" t="s">
        <v>1524</v>
      </c>
      <c r="B4176" s="4">
        <v>113330342</v>
      </c>
    </row>
    <row r="4177" customHeight="1" spans="1:2">
      <c r="A4177" s="3" t="s">
        <v>5261</v>
      </c>
      <c r="B4177" s="4">
        <v>41256277</v>
      </c>
    </row>
    <row r="4178" customHeight="1" spans="1:2">
      <c r="A4178" s="3" t="s">
        <v>1920</v>
      </c>
      <c r="B4178" s="4">
        <v>130174897</v>
      </c>
    </row>
    <row r="4179" customHeight="1" spans="1:2">
      <c r="A4179" s="3" t="s">
        <v>5725</v>
      </c>
      <c r="B4179" s="4">
        <v>100768056</v>
      </c>
    </row>
    <row r="4180" customHeight="1" spans="1:2">
      <c r="A4180" s="3" t="s">
        <v>14645</v>
      </c>
      <c r="B4180" s="4">
        <v>2832826</v>
      </c>
    </row>
    <row r="4181" customHeight="1" spans="1:2">
      <c r="A4181" s="3" t="s">
        <v>14004</v>
      </c>
      <c r="B4181" s="4">
        <v>1089445</v>
      </c>
    </row>
    <row r="4182" customHeight="1" spans="1:2">
      <c r="A4182" s="3" t="s">
        <v>21814</v>
      </c>
      <c r="B4182" s="4">
        <v>48430</v>
      </c>
    </row>
    <row r="4183" customHeight="1" spans="1:2">
      <c r="A4183" s="3" t="s">
        <v>14989</v>
      </c>
      <c r="B4183" s="4">
        <v>16247775</v>
      </c>
    </row>
    <row r="4184" customHeight="1" spans="1:2">
      <c r="A4184" s="3" t="s">
        <v>17797</v>
      </c>
      <c r="B4184" s="4">
        <v>9658370</v>
      </c>
    </row>
    <row r="4185" customHeight="1" spans="1:2">
      <c r="A4185" s="3" t="s">
        <v>1349</v>
      </c>
      <c r="B4185" s="4">
        <v>182618434</v>
      </c>
    </row>
    <row r="4186" customHeight="1" spans="1:2">
      <c r="A4186" s="3" t="s">
        <v>18781</v>
      </c>
      <c r="B4186" s="4"/>
    </row>
    <row r="4187" customHeight="1" spans="1:2">
      <c r="A4187" s="3" t="s">
        <v>13860</v>
      </c>
      <c r="B4187" s="4">
        <v>17738570</v>
      </c>
    </row>
    <row r="4188" customHeight="1" spans="1:2">
      <c r="A4188" s="3" t="s">
        <v>21983</v>
      </c>
      <c r="B4188" s="4"/>
    </row>
    <row r="4189" customHeight="1" spans="1:2">
      <c r="A4189" s="3" t="s">
        <v>4771</v>
      </c>
      <c r="B4189" s="4">
        <v>51225796</v>
      </c>
    </row>
    <row r="4190" customHeight="1" spans="1:2">
      <c r="A4190" s="3" t="s">
        <v>5933</v>
      </c>
      <c r="B4190" s="4">
        <v>17300889</v>
      </c>
    </row>
    <row r="4191" customHeight="1" spans="1:2">
      <c r="A4191" s="3" t="s">
        <v>7460</v>
      </c>
      <c r="B4191" s="4">
        <v>32519322</v>
      </c>
    </row>
    <row r="4192" customHeight="1" spans="1:2">
      <c r="A4192" s="3" t="s">
        <v>16468</v>
      </c>
      <c r="B4192" s="4">
        <v>40158000</v>
      </c>
    </row>
    <row r="4193" customHeight="1" spans="1:2">
      <c r="A4193" s="3" t="s">
        <v>2680</v>
      </c>
      <c r="B4193" s="4">
        <v>82226474</v>
      </c>
    </row>
    <row r="4194" customHeight="1" spans="1:2">
      <c r="A4194" s="3" t="s">
        <v>18841</v>
      </c>
      <c r="B4194" s="4">
        <v>2956000</v>
      </c>
    </row>
    <row r="4195" customHeight="1" spans="1:2">
      <c r="A4195" s="3" t="s">
        <v>12998</v>
      </c>
      <c r="B4195" s="4">
        <v>12701880</v>
      </c>
    </row>
    <row r="4196" customHeight="1" spans="1:2">
      <c r="A4196" s="3" t="s">
        <v>4755</v>
      </c>
      <c r="B4196" s="4">
        <v>31051126</v>
      </c>
    </row>
    <row r="4197" customHeight="1" spans="1:2">
      <c r="A4197" s="3" t="s">
        <v>12961</v>
      </c>
      <c r="B4197" s="4">
        <v>21383298</v>
      </c>
    </row>
    <row r="4198" customHeight="1" spans="1:2">
      <c r="A4198" s="3" t="s">
        <v>16055</v>
      </c>
      <c r="B4198" s="4"/>
    </row>
    <row r="4199" customHeight="1" spans="1:2">
      <c r="A4199" s="3" t="s">
        <v>17668</v>
      </c>
      <c r="B4199" s="4">
        <v>23031390</v>
      </c>
    </row>
    <row r="4200" customHeight="1" spans="1:2">
      <c r="A4200" s="3" t="s">
        <v>5923</v>
      </c>
      <c r="B4200" s="4">
        <v>19719930</v>
      </c>
    </row>
    <row r="4201" customHeight="1" spans="1:2">
      <c r="A4201" s="3" t="s">
        <v>21928</v>
      </c>
      <c r="B4201" s="4"/>
    </row>
    <row r="4202" customHeight="1" spans="1:2">
      <c r="A4202" s="3" t="s">
        <v>631</v>
      </c>
      <c r="B4202" s="4">
        <v>665426</v>
      </c>
    </row>
    <row r="4203" customHeight="1" spans="1:2">
      <c r="A4203" s="3" t="s">
        <v>9925</v>
      </c>
      <c r="B4203" s="4">
        <v>98244638</v>
      </c>
    </row>
    <row r="4204" customHeight="1" spans="1:2">
      <c r="A4204" s="3" t="s">
        <v>14227</v>
      </c>
      <c r="B4204" s="4"/>
    </row>
    <row r="4205" customHeight="1" spans="1:2">
      <c r="A4205" s="3" t="s">
        <v>2863</v>
      </c>
      <c r="B4205" s="4">
        <v>17593391</v>
      </c>
    </row>
    <row r="4206" customHeight="1" spans="1:2">
      <c r="A4206" s="3" t="s">
        <v>9868</v>
      </c>
      <c r="B4206" s="4"/>
    </row>
    <row r="4207" customHeight="1" spans="1:2">
      <c r="A4207" s="3" t="s">
        <v>6450</v>
      </c>
      <c r="B4207" s="4">
        <v>53082743</v>
      </c>
    </row>
    <row r="4208" customHeight="1" spans="1:2">
      <c r="A4208" s="3" t="s">
        <v>8453</v>
      </c>
      <c r="B4208" s="4">
        <v>28165882</v>
      </c>
    </row>
    <row r="4209" customHeight="1" spans="1:2">
      <c r="A4209" s="3" t="s">
        <v>3978</v>
      </c>
      <c r="B4209" s="4">
        <v>101217900</v>
      </c>
    </row>
    <row r="4210" customHeight="1" spans="1:2">
      <c r="A4210" s="3" t="s">
        <v>8181</v>
      </c>
      <c r="B4210" s="4">
        <v>74787599</v>
      </c>
    </row>
    <row r="4211" customHeight="1" spans="1:2">
      <c r="A4211" s="3" t="s">
        <v>12129</v>
      </c>
      <c r="B4211" s="4"/>
    </row>
    <row r="4212" customHeight="1" spans="1:2">
      <c r="A4212" s="3" t="s">
        <v>10182</v>
      </c>
      <c r="B4212" s="4">
        <v>669276</v>
      </c>
    </row>
    <row r="4213" customHeight="1" spans="1:2">
      <c r="A4213" s="3" t="s">
        <v>1663</v>
      </c>
      <c r="B4213" s="4">
        <v>104374107</v>
      </c>
    </row>
    <row r="4214" customHeight="1" spans="1:2">
      <c r="A4214" s="3" t="s">
        <v>12844</v>
      </c>
      <c r="B4214" s="4">
        <v>30857814</v>
      </c>
    </row>
    <row r="4215" customHeight="1" spans="1:2">
      <c r="A4215" s="3" t="s">
        <v>5722</v>
      </c>
      <c r="B4215" s="4">
        <v>95149435</v>
      </c>
    </row>
    <row r="4216" customHeight="1" spans="1:2">
      <c r="A4216" s="3" t="s">
        <v>8133</v>
      </c>
      <c r="B4216" s="4">
        <v>108244774</v>
      </c>
    </row>
    <row r="4217" customHeight="1" spans="1:2">
      <c r="A4217" s="3" t="s">
        <v>13954</v>
      </c>
      <c r="B4217" s="4"/>
    </row>
    <row r="4218" customHeight="1" spans="1:2">
      <c r="A4218" s="3" t="s">
        <v>5928</v>
      </c>
      <c r="B4218" s="4">
        <v>19377727</v>
      </c>
    </row>
    <row r="4219" customHeight="1" spans="1:2">
      <c r="A4219" s="3" t="s">
        <v>8694</v>
      </c>
      <c r="B4219" s="4">
        <v>668171</v>
      </c>
    </row>
    <row r="4220" customHeight="1" spans="1:2">
      <c r="A4220" s="3" t="s">
        <v>23028</v>
      </c>
      <c r="B4220" s="4">
        <v>16115878</v>
      </c>
    </row>
    <row r="4221" customHeight="1" spans="1:2">
      <c r="A4221" s="3" t="s">
        <v>6246</v>
      </c>
      <c r="B4221" s="4">
        <v>163947053</v>
      </c>
    </row>
    <row r="4222" customHeight="1" spans="1:2">
      <c r="A4222" s="3" t="s">
        <v>11408</v>
      </c>
      <c r="B4222" s="4">
        <v>1900725</v>
      </c>
    </row>
    <row r="4223" customHeight="1" spans="1:2">
      <c r="A4223" s="3" t="s">
        <v>17336</v>
      </c>
      <c r="B4223" s="4">
        <v>11905519</v>
      </c>
    </row>
    <row r="4224" customHeight="1" spans="1:2">
      <c r="A4224" s="3" t="s">
        <v>24034</v>
      </c>
      <c r="B4224" s="4">
        <v>192467</v>
      </c>
    </row>
    <row r="4225" customHeight="1" spans="1:2">
      <c r="A4225" s="3" t="s">
        <v>7856</v>
      </c>
      <c r="B4225" s="4">
        <v>33682273</v>
      </c>
    </row>
    <row r="4226" customHeight="1" spans="1:2">
      <c r="A4226" s="3" t="s">
        <v>19205</v>
      </c>
      <c r="B4226" s="4">
        <v>64423650</v>
      </c>
    </row>
    <row r="4227" customHeight="1" spans="1:2">
      <c r="A4227" s="3" t="s">
        <v>15642</v>
      </c>
      <c r="B4227" s="4">
        <v>71519230</v>
      </c>
    </row>
    <row r="4228" customHeight="1" spans="1:2">
      <c r="A4228" s="3" t="s">
        <v>14801</v>
      </c>
      <c r="B4228" s="4">
        <v>78845130</v>
      </c>
    </row>
    <row r="4229" customHeight="1" spans="1:2">
      <c r="A4229" s="3" t="s">
        <v>14317</v>
      </c>
      <c r="B4229" s="4"/>
    </row>
    <row r="4230" customHeight="1" spans="1:2">
      <c r="A4230" s="3" t="s">
        <v>4632</v>
      </c>
      <c r="B4230" s="4">
        <v>162586036</v>
      </c>
    </row>
    <row r="4231" customHeight="1" spans="1:2">
      <c r="A4231" s="3" t="s">
        <v>12734</v>
      </c>
      <c r="B4231" s="4">
        <v>56437947</v>
      </c>
    </row>
    <row r="4232" customHeight="1" spans="1:2">
      <c r="A4232" s="3" t="s">
        <v>7980</v>
      </c>
      <c r="B4232" s="4">
        <v>18636537</v>
      </c>
    </row>
    <row r="4233" customHeight="1" spans="1:2">
      <c r="A4233" s="3" t="s">
        <v>11192</v>
      </c>
      <c r="B4233" s="4">
        <v>12987647</v>
      </c>
    </row>
    <row r="4234" customHeight="1" spans="1:2">
      <c r="A4234" s="3" t="s">
        <v>22067</v>
      </c>
      <c r="B4234" s="4">
        <v>381186</v>
      </c>
    </row>
    <row r="4235" customHeight="1" spans="1:2">
      <c r="A4235" s="3" t="s">
        <v>22571</v>
      </c>
      <c r="B4235" s="4">
        <v>1111615</v>
      </c>
    </row>
    <row r="4236" customHeight="1" spans="1:2">
      <c r="A4236" s="3" t="s">
        <v>10597</v>
      </c>
      <c r="B4236" s="4">
        <v>17757087</v>
      </c>
    </row>
    <row r="4237" customHeight="1" spans="1:2">
      <c r="A4237" s="3" t="s">
        <v>21470</v>
      </c>
      <c r="B4237" s="4">
        <v>4105123</v>
      </c>
    </row>
    <row r="4238" customHeight="1" spans="1:2">
      <c r="A4238" s="3" t="s">
        <v>12012</v>
      </c>
      <c r="B4238" s="4">
        <v>4435083</v>
      </c>
    </row>
    <row r="4239" customHeight="1" spans="1:2">
      <c r="A4239" s="3" t="s">
        <v>6514</v>
      </c>
      <c r="B4239" s="4">
        <v>45856732</v>
      </c>
    </row>
    <row r="4240" customHeight="1" spans="1:2">
      <c r="A4240" s="3" t="s">
        <v>9322</v>
      </c>
      <c r="B4240" s="4">
        <v>16005978</v>
      </c>
    </row>
    <row r="4241" customHeight="1" spans="1:2">
      <c r="A4241" s="3" t="s">
        <v>7883</v>
      </c>
      <c r="B4241" s="4">
        <v>34180954</v>
      </c>
    </row>
    <row r="4242" customHeight="1" spans="1:2">
      <c r="A4242" s="3" t="s">
        <v>18574</v>
      </c>
      <c r="B4242" s="4">
        <v>3713002</v>
      </c>
    </row>
    <row r="4243" customHeight="1" spans="1:2">
      <c r="A4243" s="3" t="s">
        <v>6678</v>
      </c>
      <c r="B4243" s="4">
        <v>25117498</v>
      </c>
    </row>
    <row r="4244" customHeight="1" spans="1:2">
      <c r="A4244" s="3" t="s">
        <v>15133</v>
      </c>
      <c r="B4244" s="4">
        <v>9473382</v>
      </c>
    </row>
    <row r="4245" customHeight="1" spans="1:2">
      <c r="A4245" s="3" t="s">
        <v>15428</v>
      </c>
      <c r="B4245" s="4"/>
    </row>
    <row r="4246" customHeight="1" spans="1:2">
      <c r="A4246" s="3" t="s">
        <v>4281</v>
      </c>
      <c r="B4246" s="4">
        <v>33927476</v>
      </c>
    </row>
    <row r="4247" customHeight="1" spans="1:2">
      <c r="A4247" s="3" t="s">
        <v>12912</v>
      </c>
      <c r="B4247" s="4">
        <v>22954968</v>
      </c>
    </row>
    <row r="4248" customHeight="1" spans="1:2">
      <c r="A4248" s="3" t="s">
        <v>8526</v>
      </c>
      <c r="B4248" s="4">
        <v>18967571</v>
      </c>
    </row>
    <row r="4249" customHeight="1" spans="1:2">
      <c r="A4249" s="3" t="s">
        <v>5228</v>
      </c>
      <c r="B4249" s="4">
        <v>44737059</v>
      </c>
    </row>
    <row r="4250" customHeight="1" spans="1:2">
      <c r="A4250" s="3" t="s">
        <v>16960</v>
      </c>
      <c r="B4250" s="4"/>
    </row>
    <row r="4251" customHeight="1" spans="1:2">
      <c r="A4251" s="3" t="s">
        <v>17576</v>
      </c>
      <c r="B4251" s="4"/>
    </row>
    <row r="4252" customHeight="1" spans="1:2">
      <c r="A4252" s="3" t="s">
        <v>13237</v>
      </c>
      <c r="B4252" s="4">
        <v>502028</v>
      </c>
    </row>
    <row r="4253" customHeight="1" spans="1:2">
      <c r="A4253" s="3" t="s">
        <v>5983</v>
      </c>
      <c r="B4253" s="4"/>
    </row>
    <row r="4254" customHeight="1" spans="1:2">
      <c r="A4254" s="3" t="s">
        <v>1137</v>
      </c>
      <c r="B4254" s="4">
        <v>183635922</v>
      </c>
    </row>
    <row r="4255" customHeight="1" spans="1:2">
      <c r="A4255" s="3" t="s">
        <v>24030</v>
      </c>
      <c r="B4255" s="4"/>
    </row>
    <row r="4256" customHeight="1" spans="1:2">
      <c r="A4256" s="3" t="s">
        <v>4487</v>
      </c>
      <c r="B4256" s="4"/>
    </row>
    <row r="4257" customHeight="1" spans="1:2">
      <c r="A4257" s="3" t="s">
        <v>9130</v>
      </c>
      <c r="B4257" s="4">
        <v>21500000</v>
      </c>
    </row>
    <row r="4258" customHeight="1" spans="1:2">
      <c r="A4258" s="3" t="s">
        <v>5106</v>
      </c>
      <c r="B4258" s="4">
        <v>75888270</v>
      </c>
    </row>
    <row r="4259" customHeight="1" spans="1:2">
      <c r="A4259" s="3" t="s">
        <v>19965</v>
      </c>
      <c r="B4259" s="4"/>
    </row>
    <row r="4260" customHeight="1" spans="1:2">
      <c r="A4260" s="3" t="s">
        <v>7211</v>
      </c>
      <c r="B4260" s="4">
        <v>33037754</v>
      </c>
    </row>
    <row r="4261" customHeight="1" spans="1:2">
      <c r="A4261" s="3" t="s">
        <v>5848</v>
      </c>
      <c r="B4261" s="4">
        <v>46815748</v>
      </c>
    </row>
    <row r="4262" customHeight="1" spans="1:2">
      <c r="A4262" s="3" t="s">
        <v>1989</v>
      </c>
      <c r="B4262" s="4">
        <v>50802661</v>
      </c>
    </row>
    <row r="4263" customHeight="1" spans="1:2">
      <c r="A4263" s="3" t="s">
        <v>9949</v>
      </c>
      <c r="B4263" s="4">
        <v>56692</v>
      </c>
    </row>
    <row r="4264" customHeight="1" spans="1:2">
      <c r="A4264" s="3" t="s">
        <v>17572</v>
      </c>
      <c r="B4264" s="4">
        <v>36000000</v>
      </c>
    </row>
    <row r="4265" customHeight="1" spans="1:2">
      <c r="A4265" s="3" t="s">
        <v>3010</v>
      </c>
      <c r="B4265" s="4">
        <v>134006721</v>
      </c>
    </row>
    <row r="4266" customHeight="1" spans="1:2">
      <c r="A4266" s="3" t="s">
        <v>13127</v>
      </c>
      <c r="B4266" s="4">
        <v>6409206</v>
      </c>
    </row>
    <row r="4267" customHeight="1" spans="1:2">
      <c r="A4267" s="3" t="s">
        <v>16268</v>
      </c>
      <c r="B4267" s="4"/>
    </row>
    <row r="4268" customHeight="1" spans="1:2">
      <c r="A4268" s="3" t="s">
        <v>10350</v>
      </c>
      <c r="B4268" s="4">
        <v>75597042</v>
      </c>
    </row>
    <row r="4269" customHeight="1" spans="1:2">
      <c r="A4269" s="3" t="s">
        <v>12443</v>
      </c>
      <c r="B4269" s="4">
        <v>37300107</v>
      </c>
    </row>
    <row r="4270" customHeight="1" spans="1:2">
      <c r="A4270" s="3" t="s">
        <v>15847</v>
      </c>
      <c r="B4270" s="4">
        <v>29200000</v>
      </c>
    </row>
    <row r="4271" customHeight="1" spans="1:2">
      <c r="A4271" s="3" t="s">
        <v>8893</v>
      </c>
      <c r="B4271" s="4">
        <v>52353636</v>
      </c>
    </row>
    <row r="4272" customHeight="1" spans="1:2">
      <c r="A4272" s="3" t="s">
        <v>8843</v>
      </c>
      <c r="B4272" s="4">
        <v>100491683</v>
      </c>
    </row>
    <row r="4273" customHeight="1" spans="1:2">
      <c r="A4273" s="3" t="s">
        <v>9811</v>
      </c>
      <c r="B4273" s="4">
        <v>17427926</v>
      </c>
    </row>
    <row r="4274" customHeight="1" spans="1:2">
      <c r="A4274" s="3" t="s">
        <v>18554</v>
      </c>
      <c r="B4274" s="4">
        <v>6525762</v>
      </c>
    </row>
    <row r="4275" customHeight="1" spans="1:2">
      <c r="A4275" s="3" t="s">
        <v>15601</v>
      </c>
      <c r="B4275" s="4">
        <v>3571735</v>
      </c>
    </row>
    <row r="4276" customHeight="1" spans="1:2">
      <c r="A4276" s="3" t="s">
        <v>2404</v>
      </c>
      <c r="B4276" s="4">
        <v>47592825</v>
      </c>
    </row>
    <row r="4277" customHeight="1" spans="1:2">
      <c r="A4277" s="3" t="s">
        <v>8394</v>
      </c>
      <c r="B4277" s="4">
        <v>38122105</v>
      </c>
    </row>
    <row r="4278" customHeight="1" spans="1:2">
      <c r="A4278" s="3" t="s">
        <v>2239</v>
      </c>
      <c r="B4278" s="4">
        <v>61355436</v>
      </c>
    </row>
    <row r="4279" customHeight="1" spans="1:2">
      <c r="A4279" s="3" t="s">
        <v>21009</v>
      </c>
      <c r="B4279" s="4">
        <v>92362</v>
      </c>
    </row>
    <row r="4280" customHeight="1" spans="1:2">
      <c r="A4280" s="3" t="s">
        <v>12035</v>
      </c>
      <c r="B4280" s="4">
        <v>676698</v>
      </c>
    </row>
    <row r="4281" customHeight="1" spans="1:2">
      <c r="A4281" s="3" t="s">
        <v>3662</v>
      </c>
      <c r="B4281" s="4">
        <v>139225854</v>
      </c>
    </row>
    <row r="4282" customHeight="1" spans="1:2">
      <c r="A4282" s="3" t="s">
        <v>10346</v>
      </c>
      <c r="B4282" s="4">
        <v>144833357</v>
      </c>
    </row>
    <row r="4283" customHeight="1" spans="1:2">
      <c r="A4283" s="3" t="s">
        <v>15680</v>
      </c>
      <c r="B4283" s="4">
        <v>6610326</v>
      </c>
    </row>
    <row r="4284" customHeight="1" spans="1:2">
      <c r="A4284" s="3" t="s">
        <v>5440</v>
      </c>
      <c r="B4284" s="4">
        <v>10400000</v>
      </c>
    </row>
    <row r="4285" customHeight="1" spans="1:2">
      <c r="A4285" s="3" t="s">
        <v>4025</v>
      </c>
      <c r="B4285" s="4">
        <v>81687587</v>
      </c>
    </row>
    <row r="4286" customHeight="1" spans="1:2">
      <c r="A4286" s="3" t="s">
        <v>3547</v>
      </c>
      <c r="B4286" s="4">
        <v>71069884</v>
      </c>
    </row>
    <row r="4287" customHeight="1" spans="1:2">
      <c r="A4287" s="3" t="s">
        <v>4051</v>
      </c>
      <c r="B4287" s="4">
        <v>90341670</v>
      </c>
    </row>
    <row r="4288" customHeight="1" spans="1:2">
      <c r="A4288" s="3" t="s">
        <v>13632</v>
      </c>
      <c r="B4288" s="4">
        <v>2086345</v>
      </c>
    </row>
    <row r="4289" customHeight="1" spans="1:2">
      <c r="A4289" s="3" t="s">
        <v>14982</v>
      </c>
      <c r="B4289" s="4">
        <v>33071558</v>
      </c>
    </row>
    <row r="4290" customHeight="1" spans="1:2">
      <c r="A4290" s="3" t="s">
        <v>21337</v>
      </c>
      <c r="B4290" s="4">
        <v>375723</v>
      </c>
    </row>
    <row r="4291" customHeight="1" spans="1:2">
      <c r="A4291" s="3" t="s">
        <v>18939</v>
      </c>
      <c r="B4291" s="4">
        <v>20167424</v>
      </c>
    </row>
    <row r="4292" customHeight="1" spans="1:2">
      <c r="A4292" s="3" t="s">
        <v>14561</v>
      </c>
      <c r="B4292" s="4">
        <v>37766350</v>
      </c>
    </row>
    <row r="4293" customHeight="1" spans="1:2">
      <c r="A4293" s="3" t="s">
        <v>2969</v>
      </c>
      <c r="B4293" s="4">
        <v>323505540</v>
      </c>
    </row>
    <row r="4294" customHeight="1" spans="1:2">
      <c r="A4294" s="3" t="s">
        <v>2117</v>
      </c>
      <c r="B4294" s="4">
        <v>58229120</v>
      </c>
    </row>
    <row r="4295" customHeight="1" spans="1:2">
      <c r="A4295" s="3" t="s">
        <v>16189</v>
      </c>
      <c r="B4295" s="4">
        <v>686383</v>
      </c>
    </row>
    <row r="4296" customHeight="1" spans="1:2">
      <c r="A4296" s="3" t="s">
        <v>19009</v>
      </c>
      <c r="B4296" s="4"/>
    </row>
    <row r="4297" customHeight="1" spans="1:2">
      <c r="A4297" s="3" t="s">
        <v>4250</v>
      </c>
      <c r="B4297" s="4">
        <v>36279230</v>
      </c>
    </row>
    <row r="4298" customHeight="1" spans="1:2">
      <c r="A4298" s="3" t="s">
        <v>21622</v>
      </c>
      <c r="B4298" s="4">
        <v>5997134</v>
      </c>
    </row>
    <row r="4299" customHeight="1" spans="1:2">
      <c r="A4299" s="3" t="s">
        <v>6618</v>
      </c>
      <c r="B4299" s="4">
        <v>32055248</v>
      </c>
    </row>
    <row r="4300" customHeight="1" spans="1:2">
      <c r="A4300" s="3" t="s">
        <v>4101</v>
      </c>
      <c r="B4300" s="4">
        <v>61112916</v>
      </c>
    </row>
    <row r="4301" customHeight="1" spans="1:2">
      <c r="A4301" s="3" t="s">
        <v>13703</v>
      </c>
      <c r="B4301" s="4">
        <v>54257433</v>
      </c>
    </row>
    <row r="4302" customHeight="1" spans="1:2">
      <c r="A4302" s="3" t="s">
        <v>9694</v>
      </c>
      <c r="B4302" s="4">
        <v>28341469</v>
      </c>
    </row>
    <row r="4303" customHeight="1" spans="1:2">
      <c r="A4303" s="3" t="s">
        <v>11579</v>
      </c>
      <c r="B4303" s="4"/>
    </row>
    <row r="4304" customHeight="1" spans="1:2">
      <c r="A4304" s="3" t="s">
        <v>7638</v>
      </c>
      <c r="B4304" s="4">
        <v>11405825</v>
      </c>
    </row>
    <row r="4305" customHeight="1" spans="1:2">
      <c r="A4305" s="3" t="s">
        <v>3423</v>
      </c>
      <c r="B4305" s="4">
        <v>40932372</v>
      </c>
    </row>
    <row r="4306" customHeight="1" spans="1:2">
      <c r="A4306" s="3" t="s">
        <v>23894</v>
      </c>
      <c r="B4306" s="4"/>
    </row>
    <row r="4307" customHeight="1" spans="1:2">
      <c r="A4307" s="3" t="s">
        <v>10659</v>
      </c>
      <c r="B4307" s="4">
        <v>130727000</v>
      </c>
    </row>
    <row r="4308" customHeight="1" spans="1:2">
      <c r="A4308" s="3" t="s">
        <v>3257</v>
      </c>
      <c r="B4308" s="4">
        <v>183132370</v>
      </c>
    </row>
    <row r="4309" customHeight="1" spans="1:2">
      <c r="A4309" s="3" t="s">
        <v>16214</v>
      </c>
      <c r="B4309" s="4">
        <v>336456</v>
      </c>
    </row>
    <row r="4310" customHeight="1" spans="1:2">
      <c r="A4310" s="3" t="s">
        <v>22546</v>
      </c>
      <c r="B4310" s="4">
        <v>1250798</v>
      </c>
    </row>
    <row r="4311" customHeight="1" spans="1:2">
      <c r="A4311" s="3" t="s">
        <v>22317</v>
      </c>
      <c r="B4311" s="4"/>
    </row>
    <row r="4312" customHeight="1" spans="1:2">
      <c r="A4312" s="3" t="s">
        <v>9108</v>
      </c>
      <c r="B4312" s="4">
        <v>44087387</v>
      </c>
    </row>
    <row r="4313" customHeight="1" spans="1:2">
      <c r="A4313" s="3" t="s">
        <v>9582</v>
      </c>
      <c r="B4313" s="4">
        <v>39008741</v>
      </c>
    </row>
    <row r="4314" customHeight="1" spans="1:2">
      <c r="A4314" s="3" t="s">
        <v>9685</v>
      </c>
      <c r="B4314" s="4">
        <v>30538669</v>
      </c>
    </row>
    <row r="4315" customHeight="1" spans="1:2">
      <c r="A4315" s="3" t="s">
        <v>6222</v>
      </c>
      <c r="B4315" s="4">
        <v>293501675</v>
      </c>
    </row>
    <row r="4316" customHeight="1" spans="1:2">
      <c r="A4316" s="3" t="s">
        <v>6494</v>
      </c>
      <c r="B4316" s="4">
        <v>47806295</v>
      </c>
    </row>
    <row r="4317" customHeight="1" spans="1:2">
      <c r="A4317" s="3" t="s">
        <v>21642</v>
      </c>
      <c r="B4317" s="4">
        <v>5283379</v>
      </c>
    </row>
    <row r="4318" customHeight="1" spans="1:2">
      <c r="A4318" s="3" t="s">
        <v>12805</v>
      </c>
      <c r="B4318" s="4">
        <v>35007180</v>
      </c>
    </row>
    <row r="4319" customHeight="1" spans="1:2">
      <c r="A4319" s="3" t="s">
        <v>22643</v>
      </c>
      <c r="B4319" s="4">
        <v>13134</v>
      </c>
    </row>
    <row r="4320" customHeight="1" spans="1:2">
      <c r="A4320" s="3" t="s">
        <v>21512</v>
      </c>
      <c r="B4320" s="4"/>
    </row>
    <row r="4321" customHeight="1" spans="1:2">
      <c r="A4321" s="3" t="s">
        <v>1603</v>
      </c>
      <c r="B4321" s="4">
        <v>71017784</v>
      </c>
    </row>
    <row r="4322" customHeight="1" spans="1:2">
      <c r="A4322" s="3" t="s">
        <v>1580</v>
      </c>
      <c r="B4322" s="4">
        <v>142614158</v>
      </c>
    </row>
    <row r="4323" customHeight="1" spans="1:2">
      <c r="A4323" s="3" t="s">
        <v>6295</v>
      </c>
      <c r="B4323" s="4">
        <v>96917897</v>
      </c>
    </row>
    <row r="4324" customHeight="1" spans="1:2">
      <c r="A4324" s="3" t="s">
        <v>4298</v>
      </c>
      <c r="B4324" s="4">
        <v>31670931</v>
      </c>
    </row>
    <row r="4325" customHeight="1" spans="1:2">
      <c r="A4325" s="3" t="s">
        <v>13269</v>
      </c>
      <c r="B4325" s="4">
        <v>28870</v>
      </c>
    </row>
    <row r="4326" customHeight="1" spans="1:2">
      <c r="A4326" s="3" t="s">
        <v>708</v>
      </c>
      <c r="B4326" s="4">
        <v>63143812</v>
      </c>
    </row>
    <row r="4327" customHeight="1" spans="1:2">
      <c r="A4327" s="3" t="s">
        <v>22740</v>
      </c>
      <c r="B4327" s="4"/>
    </row>
    <row r="4328" customHeight="1" spans="1:2">
      <c r="A4328" s="3" t="s">
        <v>15973</v>
      </c>
      <c r="B4328" s="4">
        <v>163214286</v>
      </c>
    </row>
    <row r="4329" customHeight="1" spans="1:2">
      <c r="A4329" s="3" t="s">
        <v>1928</v>
      </c>
      <c r="B4329" s="4">
        <v>10200000</v>
      </c>
    </row>
    <row r="4330" customHeight="1" spans="1:2">
      <c r="A4330" s="3" t="s">
        <v>5809</v>
      </c>
      <c r="B4330" s="4">
        <v>57362581</v>
      </c>
    </row>
    <row r="4331" customHeight="1" spans="1:2">
      <c r="A4331" s="3" t="s">
        <v>21834</v>
      </c>
      <c r="B4331" s="4">
        <v>12996</v>
      </c>
    </row>
    <row r="4332" customHeight="1" spans="1:2">
      <c r="A4332" s="3" t="s">
        <v>19883</v>
      </c>
      <c r="B4332" s="4">
        <v>6851969</v>
      </c>
    </row>
    <row r="4333" customHeight="1" spans="1:2">
      <c r="A4333" s="3" t="s">
        <v>2046</v>
      </c>
      <c r="B4333" s="4">
        <v>71148699</v>
      </c>
    </row>
    <row r="4334" customHeight="1" spans="1:2">
      <c r="A4334" s="3" t="s">
        <v>4399</v>
      </c>
      <c r="B4334" s="4">
        <v>19781879</v>
      </c>
    </row>
    <row r="4335" customHeight="1" spans="1:2">
      <c r="A4335" s="3" t="s">
        <v>3317</v>
      </c>
      <c r="B4335" s="4">
        <v>162495848</v>
      </c>
    </row>
    <row r="4336" customHeight="1" spans="1:2">
      <c r="A4336" s="3" t="s">
        <v>8148</v>
      </c>
      <c r="B4336" s="4">
        <v>85416609</v>
      </c>
    </row>
    <row r="4337" customHeight="1" spans="1:2">
      <c r="A4337" s="3" t="s">
        <v>9000</v>
      </c>
      <c r="B4337" s="4">
        <v>24268828</v>
      </c>
    </row>
    <row r="4338" customHeight="1" spans="1:2">
      <c r="A4338" s="3" t="s">
        <v>13396</v>
      </c>
      <c r="B4338" s="4">
        <v>46800000</v>
      </c>
    </row>
    <row r="4339" customHeight="1" spans="1:2">
      <c r="A4339" s="3" t="s">
        <v>20625</v>
      </c>
      <c r="B4339" s="4"/>
    </row>
    <row r="4340" customHeight="1" spans="1:2">
      <c r="A4340" s="3" t="s">
        <v>20901</v>
      </c>
      <c r="B4340" s="4">
        <v>7362100</v>
      </c>
    </row>
    <row r="4341" customHeight="1" spans="1:2">
      <c r="A4341" s="3" t="s">
        <v>9206</v>
      </c>
      <c r="B4341" s="4">
        <v>763044</v>
      </c>
    </row>
    <row r="4342" customHeight="1" spans="1:2">
      <c r="A4342" s="3" t="s">
        <v>22522</v>
      </c>
      <c r="B4342" s="4">
        <v>5739376</v>
      </c>
    </row>
    <row r="4343" customHeight="1" spans="1:2">
      <c r="A4343" s="3" t="s">
        <v>10921</v>
      </c>
      <c r="B4343" s="4">
        <v>29062561</v>
      </c>
    </row>
    <row r="4344" customHeight="1" spans="1:2">
      <c r="A4344" s="3" t="s">
        <v>1959</v>
      </c>
      <c r="B4344" s="4">
        <v>59475623</v>
      </c>
    </row>
    <row r="4345" customHeight="1" spans="1:2">
      <c r="A4345" s="3" t="s">
        <v>23366</v>
      </c>
      <c r="B4345" s="4"/>
    </row>
    <row r="4346" customHeight="1" spans="1:2">
      <c r="A4346" s="3" t="s">
        <v>23258</v>
      </c>
      <c r="B4346" s="4">
        <v>18195</v>
      </c>
    </row>
    <row r="4347" customHeight="1" spans="1:2">
      <c r="A4347" s="3" t="s">
        <v>17384</v>
      </c>
      <c r="B4347" s="4">
        <v>159600000</v>
      </c>
    </row>
    <row r="4348" customHeight="1" spans="1:2">
      <c r="A4348" s="3" t="s">
        <v>5347</v>
      </c>
      <c r="B4348" s="4">
        <v>27067160</v>
      </c>
    </row>
    <row r="4349" customHeight="1" spans="1:2">
      <c r="A4349" s="3" t="s">
        <v>15136</v>
      </c>
      <c r="B4349" s="4">
        <v>6197866</v>
      </c>
    </row>
    <row r="4350" customHeight="1" spans="1:2">
      <c r="A4350" s="3" t="s">
        <v>21160</v>
      </c>
      <c r="B4350" s="4"/>
    </row>
    <row r="4351" customHeight="1" spans="1:2">
      <c r="A4351" s="3" t="s">
        <v>3539</v>
      </c>
      <c r="B4351" s="4">
        <v>118471320</v>
      </c>
    </row>
    <row r="4352" customHeight="1" spans="1:2">
      <c r="A4352" s="3" t="s">
        <v>18370</v>
      </c>
      <c r="B4352" s="4">
        <v>26345</v>
      </c>
    </row>
    <row r="4353" customHeight="1" spans="1:2">
      <c r="A4353" s="3" t="s">
        <v>17866</v>
      </c>
      <c r="B4353" s="4">
        <v>4306697</v>
      </c>
    </row>
    <row r="4354" customHeight="1" spans="1:2">
      <c r="A4354" s="3" t="s">
        <v>6068</v>
      </c>
      <c r="B4354" s="4">
        <v>24430272</v>
      </c>
    </row>
    <row r="4355" customHeight="1" spans="1:2">
      <c r="A4355" s="3" t="s">
        <v>15314</v>
      </c>
      <c r="B4355" s="4">
        <v>231417</v>
      </c>
    </row>
    <row r="4356" customHeight="1" spans="1:2">
      <c r="A4356" s="3" t="s">
        <v>11602</v>
      </c>
      <c r="B4356" s="4">
        <v>27758465</v>
      </c>
    </row>
    <row r="4357" customHeight="1" spans="1:2">
      <c r="A4357" s="3" t="s">
        <v>11918</v>
      </c>
      <c r="B4357" s="4">
        <v>13491653</v>
      </c>
    </row>
    <row r="4358" customHeight="1" spans="1:2">
      <c r="A4358" s="3" t="s">
        <v>1742</v>
      </c>
      <c r="B4358" s="4">
        <v>65452312</v>
      </c>
    </row>
    <row r="4359" customHeight="1" spans="1:2">
      <c r="A4359" s="3" t="s">
        <v>4141</v>
      </c>
      <c r="B4359" s="4">
        <v>50818750</v>
      </c>
    </row>
    <row r="4360" customHeight="1" spans="1:2">
      <c r="A4360" s="3" t="s">
        <v>6334</v>
      </c>
      <c r="B4360" s="4">
        <v>81292135</v>
      </c>
    </row>
    <row r="4361" customHeight="1" spans="1:2">
      <c r="A4361" s="3" t="s">
        <v>11490</v>
      </c>
      <c r="B4361" s="4">
        <v>263365</v>
      </c>
    </row>
    <row r="4362" customHeight="1" spans="1:2">
      <c r="A4362" s="3" t="s">
        <v>17481</v>
      </c>
      <c r="B4362" s="4">
        <v>766487</v>
      </c>
    </row>
    <row r="4363" customHeight="1" spans="1:2">
      <c r="A4363" s="3" t="s">
        <v>3049</v>
      </c>
      <c r="B4363" s="4">
        <v>77032279</v>
      </c>
    </row>
    <row r="4364" customHeight="1" spans="1:2">
      <c r="A4364" s="3" t="s">
        <v>16942</v>
      </c>
      <c r="B4364" s="4">
        <v>38400000</v>
      </c>
    </row>
    <row r="4365" customHeight="1" spans="1:2">
      <c r="A4365" s="3" t="s">
        <v>15597</v>
      </c>
      <c r="B4365" s="4">
        <v>61718000</v>
      </c>
    </row>
    <row r="4366" customHeight="1" spans="1:2">
      <c r="A4366" s="3" t="s">
        <v>18152</v>
      </c>
      <c r="B4366" s="4">
        <v>8025872</v>
      </c>
    </row>
    <row r="4367" customHeight="1" spans="1:2">
      <c r="A4367" s="3" t="s">
        <v>12412</v>
      </c>
      <c r="B4367" s="4">
        <v>39511038</v>
      </c>
    </row>
    <row r="4368" customHeight="1" spans="1:2">
      <c r="A4368" s="3" t="s">
        <v>12809</v>
      </c>
      <c r="B4368" s="4">
        <v>35887263</v>
      </c>
    </row>
    <row r="4369" customHeight="1" spans="1:2">
      <c r="A4369" s="3" t="s">
        <v>4948</v>
      </c>
      <c r="B4369" s="4">
        <v>36385763</v>
      </c>
    </row>
    <row r="4370" customHeight="1" spans="1:2">
      <c r="A4370" s="3" t="s">
        <v>7051</v>
      </c>
      <c r="B4370" s="4">
        <v>13782838</v>
      </c>
    </row>
    <row r="4371" customHeight="1" spans="1:2">
      <c r="A4371" s="3" t="s">
        <v>12517</v>
      </c>
      <c r="B4371" s="4">
        <v>15500000</v>
      </c>
    </row>
    <row r="4372" customHeight="1" spans="1:2">
      <c r="A4372" s="3" t="s">
        <v>5622</v>
      </c>
      <c r="B4372" s="4">
        <v>69304264</v>
      </c>
    </row>
    <row r="4373" customHeight="1" spans="1:2">
      <c r="A4373" s="3" t="s">
        <v>2333</v>
      </c>
      <c r="B4373" s="4">
        <v>20315324</v>
      </c>
    </row>
    <row r="4374" customHeight="1" spans="1:2">
      <c r="A4374" s="3" t="s">
        <v>8327</v>
      </c>
      <c r="B4374" s="4">
        <v>44328238</v>
      </c>
    </row>
    <row r="4375" customHeight="1" spans="1:2">
      <c r="A4375" s="3" t="s">
        <v>10791</v>
      </c>
      <c r="B4375" s="4">
        <v>45542421</v>
      </c>
    </row>
    <row r="4376" customHeight="1" spans="1:2">
      <c r="A4376" s="3" t="s">
        <v>20115</v>
      </c>
      <c r="B4376" s="4"/>
    </row>
    <row r="4377" customHeight="1" spans="1:2">
      <c r="A4377" s="3" t="s">
        <v>2761</v>
      </c>
      <c r="B4377" s="4">
        <v>56684819</v>
      </c>
    </row>
    <row r="4378" customHeight="1" spans="1:2">
      <c r="A4378" s="3" t="s">
        <v>6923</v>
      </c>
      <c r="B4378" s="4">
        <v>63411478</v>
      </c>
    </row>
    <row r="4379" customHeight="1" spans="1:2">
      <c r="A4379" s="3" t="s">
        <v>20957</v>
      </c>
      <c r="B4379" s="4">
        <v>3447339</v>
      </c>
    </row>
    <row r="4380" customHeight="1" spans="1:2">
      <c r="A4380" s="3" t="s">
        <v>5548</v>
      </c>
      <c r="B4380" s="4"/>
    </row>
    <row r="4381" customHeight="1" spans="1:2">
      <c r="A4381" s="3" t="s">
        <v>20559</v>
      </c>
      <c r="B4381" s="4"/>
    </row>
    <row r="4382" customHeight="1" spans="1:2">
      <c r="A4382" s="3" t="s">
        <v>11502</v>
      </c>
      <c r="B4382" s="4"/>
    </row>
    <row r="4383" customHeight="1" spans="1:2">
      <c r="A4383" s="3" t="s">
        <v>1817</v>
      </c>
      <c r="B4383" s="4">
        <v>135262314</v>
      </c>
    </row>
    <row r="4384" customHeight="1" spans="1:2">
      <c r="A4384" s="3" t="s">
        <v>7107</v>
      </c>
      <c r="B4384" s="4">
        <v>92173235</v>
      </c>
    </row>
    <row r="4385" customHeight="1" spans="1:2">
      <c r="A4385" s="3" t="s">
        <v>20126</v>
      </c>
      <c r="B4385" s="4">
        <v>792966</v>
      </c>
    </row>
    <row r="4386" customHeight="1" spans="1:2">
      <c r="A4386" s="3" t="s">
        <v>22763</v>
      </c>
      <c r="B4386" s="4"/>
    </row>
    <row r="4387" customHeight="1" spans="1:2">
      <c r="A4387" s="3" t="s">
        <v>17325</v>
      </c>
      <c r="B4387" s="4"/>
    </row>
    <row r="4388" customHeight="1" spans="1:2">
      <c r="A4388" s="3" t="s">
        <v>10480</v>
      </c>
      <c r="B4388" s="4">
        <v>16027866</v>
      </c>
    </row>
    <row r="4389" customHeight="1" spans="1:2">
      <c r="A4389" s="3" t="s">
        <v>10587</v>
      </c>
      <c r="B4389" s="4">
        <v>25296447</v>
      </c>
    </row>
    <row r="4390" customHeight="1" spans="1:2">
      <c r="A4390" s="3" t="s">
        <v>7655</v>
      </c>
      <c r="B4390" s="4">
        <v>13303319</v>
      </c>
    </row>
    <row r="4391" customHeight="1" spans="1:2">
      <c r="A4391" s="3" t="s">
        <v>23488</v>
      </c>
      <c r="B4391" s="4">
        <v>1111</v>
      </c>
    </row>
    <row r="4392" customHeight="1" spans="1:2">
      <c r="A4392" s="3" t="s">
        <v>20200</v>
      </c>
      <c r="B4392" s="4">
        <v>7002255</v>
      </c>
    </row>
    <row r="4393" customHeight="1" spans="1:2">
      <c r="A4393" s="3" t="s">
        <v>21308</v>
      </c>
      <c r="B4393" s="4"/>
    </row>
    <row r="4394" customHeight="1" spans="1:2">
      <c r="A4394" s="3" t="s">
        <v>10041</v>
      </c>
      <c r="B4394" s="4"/>
    </row>
    <row r="4395" customHeight="1" spans="1:2">
      <c r="A4395" s="3" t="s">
        <v>3971</v>
      </c>
      <c r="B4395" s="4">
        <v>125603360</v>
      </c>
    </row>
    <row r="4396" customHeight="1" spans="1:2">
      <c r="A4396" s="3" t="s">
        <v>4152</v>
      </c>
      <c r="B4396" s="4">
        <v>50189179</v>
      </c>
    </row>
    <row r="4397" customHeight="1" spans="1:2">
      <c r="A4397" s="3" t="s">
        <v>1108</v>
      </c>
      <c r="B4397" s="4">
        <v>584597846</v>
      </c>
    </row>
    <row r="4398" customHeight="1" spans="1:2">
      <c r="A4398" s="3" t="s">
        <v>3543</v>
      </c>
      <c r="B4398" s="4">
        <v>300523113</v>
      </c>
    </row>
    <row r="4399" customHeight="1" spans="1:2">
      <c r="A4399" s="3" t="s">
        <v>4994</v>
      </c>
      <c r="B4399" s="4">
        <v>296623634</v>
      </c>
    </row>
    <row r="4400" customHeight="1" spans="1:2">
      <c r="A4400" s="3" t="s">
        <v>6961</v>
      </c>
      <c r="B4400" s="4">
        <v>88915214</v>
      </c>
    </row>
    <row r="4401" customHeight="1" spans="1:2">
      <c r="A4401" s="3" t="s">
        <v>15701</v>
      </c>
      <c r="B4401" s="4">
        <v>3420871</v>
      </c>
    </row>
    <row r="4402" customHeight="1" spans="1:2">
      <c r="A4402" s="3" t="s">
        <v>12406</v>
      </c>
      <c r="B4402" s="4">
        <v>85276330</v>
      </c>
    </row>
    <row r="4403" customHeight="1" spans="1:2">
      <c r="A4403" s="3" t="s">
        <v>9452</v>
      </c>
      <c r="B4403" s="4">
        <v>76270454</v>
      </c>
    </row>
    <row r="4404" customHeight="1" spans="1:2">
      <c r="A4404" s="3" t="s">
        <v>14173</v>
      </c>
      <c r="B4404" s="4">
        <v>18761993</v>
      </c>
    </row>
    <row r="4405" customHeight="1" spans="1:2">
      <c r="A4405" s="3" t="s">
        <v>17022</v>
      </c>
      <c r="B4405" s="4">
        <v>23272306</v>
      </c>
    </row>
    <row r="4406" customHeight="1" spans="1:2">
      <c r="A4406" s="3" t="s">
        <v>20043</v>
      </c>
      <c r="B4406" s="4"/>
    </row>
    <row r="4407" customHeight="1" spans="1:2">
      <c r="A4407" s="3" t="s">
        <v>21482</v>
      </c>
      <c r="B4407" s="4"/>
    </row>
    <row r="4408" customHeight="1" spans="1:2">
      <c r="A4408" s="3" t="s">
        <v>13875</v>
      </c>
      <c r="B4408" s="4">
        <v>1712111</v>
      </c>
    </row>
    <row r="4409" customHeight="1" spans="1:2">
      <c r="A4409" s="3" t="s">
        <v>18757</v>
      </c>
      <c r="B4409" s="4"/>
    </row>
    <row r="4410" customHeight="1" spans="1:2">
      <c r="A4410" s="3" t="s">
        <v>18685</v>
      </c>
      <c r="B4410" s="4"/>
    </row>
    <row r="4411" customHeight="1" spans="1:2">
      <c r="A4411" s="3" t="s">
        <v>12390</v>
      </c>
      <c r="B4411" s="4">
        <v>54000000</v>
      </c>
    </row>
    <row r="4412" customHeight="1" spans="1:2">
      <c r="A4412" s="3" t="s">
        <v>3279</v>
      </c>
      <c r="B4412" s="4">
        <v>114195633</v>
      </c>
    </row>
    <row r="4413" customHeight="1" spans="1:2">
      <c r="A4413" s="3" t="s">
        <v>17136</v>
      </c>
      <c r="B4413" s="4">
        <v>4859475</v>
      </c>
    </row>
    <row r="4414" customHeight="1" spans="1:2">
      <c r="A4414" s="3" t="s">
        <v>20354</v>
      </c>
      <c r="B4414" s="4">
        <v>535249</v>
      </c>
    </row>
    <row r="4415" customHeight="1" spans="1:2">
      <c r="A4415" s="3" t="s">
        <v>17999</v>
      </c>
      <c r="B4415" s="4">
        <v>65069140</v>
      </c>
    </row>
    <row r="4416" customHeight="1" spans="1:2">
      <c r="A4416" s="3" t="s">
        <v>14635</v>
      </c>
      <c r="B4416" s="4">
        <v>4068087</v>
      </c>
    </row>
    <row r="4417" customHeight="1" spans="1:2">
      <c r="A4417" s="3" t="s">
        <v>8106</v>
      </c>
      <c r="B4417" s="4">
        <v>125014030</v>
      </c>
    </row>
    <row r="4418" customHeight="1" spans="1:2">
      <c r="A4418" s="3" t="s">
        <v>17201</v>
      </c>
      <c r="B4418" s="4">
        <v>2077046</v>
      </c>
    </row>
    <row r="4419" customHeight="1" spans="1:2">
      <c r="A4419" s="3" t="s">
        <v>15734</v>
      </c>
      <c r="B4419" s="4">
        <v>770629</v>
      </c>
    </row>
    <row r="4420" customHeight="1" spans="1:2">
      <c r="A4420" s="3" t="s">
        <v>7685</v>
      </c>
      <c r="B4420" s="4">
        <v>10137502</v>
      </c>
    </row>
    <row r="4421" customHeight="1" spans="1:2">
      <c r="A4421" s="3" t="s">
        <v>20587</v>
      </c>
      <c r="B4421" s="4"/>
    </row>
    <row r="4422" customHeight="1" spans="1:2">
      <c r="A4422" s="3" t="s">
        <v>6884</v>
      </c>
      <c r="B4422" s="4">
        <v>128978</v>
      </c>
    </row>
    <row r="4423" customHeight="1" spans="1:2">
      <c r="A4423" s="3" t="s">
        <v>6187</v>
      </c>
      <c r="B4423" s="4">
        <v>5664251</v>
      </c>
    </row>
    <row r="4424" customHeight="1" spans="1:2">
      <c r="A4424" s="3" t="s">
        <v>18519</v>
      </c>
      <c r="B4424" s="4">
        <v>10097096</v>
      </c>
    </row>
    <row r="4425" customHeight="1" spans="1:2">
      <c r="A4425" s="3" t="s">
        <v>4731</v>
      </c>
      <c r="B4425" s="4">
        <v>68701106</v>
      </c>
    </row>
    <row r="4426" customHeight="1" spans="1:2">
      <c r="A4426" s="3" t="s">
        <v>7850</v>
      </c>
      <c r="B4426" s="4">
        <v>28927720</v>
      </c>
    </row>
    <row r="4427" customHeight="1" spans="1:2">
      <c r="A4427" s="3" t="s">
        <v>10335</v>
      </c>
      <c r="B4427" s="4">
        <v>4190530</v>
      </c>
    </row>
    <row r="4428" customHeight="1" spans="1:2">
      <c r="A4428" s="3" t="s">
        <v>10200</v>
      </c>
      <c r="B4428" s="4">
        <v>161487252</v>
      </c>
    </row>
    <row r="4429" customHeight="1" spans="1:2">
      <c r="A4429" s="3" t="s">
        <v>16424</v>
      </c>
      <c r="B4429" s="4"/>
    </row>
    <row r="4430" customHeight="1" spans="1:2">
      <c r="A4430" s="3" t="s">
        <v>15690</v>
      </c>
      <c r="B4430" s="4">
        <v>6047856</v>
      </c>
    </row>
    <row r="4431" customHeight="1" spans="1:2">
      <c r="A4431" s="3" t="s">
        <v>17627</v>
      </c>
      <c r="B4431" s="4">
        <v>21501098</v>
      </c>
    </row>
    <row r="4432" customHeight="1" spans="1:2">
      <c r="A4432" s="3" t="s">
        <v>11195</v>
      </c>
      <c r="B4432" s="4">
        <v>12469811</v>
      </c>
    </row>
    <row r="4433" customHeight="1" spans="1:2">
      <c r="A4433" s="3" t="s">
        <v>12835</v>
      </c>
      <c r="B4433" s="4">
        <v>31585300</v>
      </c>
    </row>
    <row r="4434" customHeight="1" spans="1:2">
      <c r="A4434" s="3" t="s">
        <v>8882</v>
      </c>
      <c r="B4434" s="4">
        <v>60400856</v>
      </c>
    </row>
    <row r="4435" customHeight="1" spans="1:2">
      <c r="A4435" s="3" t="s">
        <v>16226</v>
      </c>
      <c r="B4435" s="4">
        <v>127144</v>
      </c>
    </row>
    <row r="4436" customHeight="1" spans="1:2">
      <c r="A4436" s="3" t="s">
        <v>12563</v>
      </c>
      <c r="B4436" s="4">
        <v>1666262</v>
      </c>
    </row>
    <row r="4437" customHeight="1" spans="1:2">
      <c r="A4437" s="3" t="s">
        <v>12023</v>
      </c>
      <c r="B4437" s="4">
        <v>2222647</v>
      </c>
    </row>
    <row r="4438" customHeight="1" spans="1:2">
      <c r="A4438" s="3" t="s">
        <v>10096</v>
      </c>
      <c r="B4438" s="4">
        <v>57262492</v>
      </c>
    </row>
    <row r="4439" customHeight="1" spans="1:2">
      <c r="A4439" s="3" t="s">
        <v>8551</v>
      </c>
      <c r="B4439" s="4">
        <v>16323969</v>
      </c>
    </row>
    <row r="4440" customHeight="1" spans="1:2">
      <c r="A4440" s="3" t="s">
        <v>16182</v>
      </c>
      <c r="B4440" s="4"/>
    </row>
    <row r="4441" customHeight="1" spans="1:2">
      <c r="A4441" s="3" t="s">
        <v>21414</v>
      </c>
      <c r="B4441" s="4"/>
    </row>
    <row r="4442" customHeight="1" spans="1:2">
      <c r="A4442" s="3" t="s">
        <v>13843</v>
      </c>
      <c r="B4442" s="4">
        <v>3058380</v>
      </c>
    </row>
    <row r="4443" customHeight="1" spans="1:2">
      <c r="A4443" s="3" t="s">
        <v>17198</v>
      </c>
      <c r="B4443" s="4"/>
    </row>
    <row r="4444" customHeight="1" spans="1:2">
      <c r="A4444" s="3" t="s">
        <v>9570</v>
      </c>
      <c r="B4444" s="4">
        <v>39880476</v>
      </c>
    </row>
    <row r="4445" customHeight="1" spans="1:2">
      <c r="A4445" s="3" t="s">
        <v>15921</v>
      </c>
      <c r="B4445" s="4">
        <v>1829142</v>
      </c>
    </row>
    <row r="4446" customHeight="1" spans="1:2">
      <c r="A4446" s="3" t="s">
        <v>18919</v>
      </c>
      <c r="B4446" s="4">
        <v>25138292</v>
      </c>
    </row>
    <row r="4447" customHeight="1" spans="1:2">
      <c r="A4447" s="3" t="s">
        <v>10151</v>
      </c>
      <c r="B4447" s="4">
        <v>13000000</v>
      </c>
    </row>
    <row r="4448" customHeight="1" spans="1:2">
      <c r="A4448" s="3" t="s">
        <v>19682</v>
      </c>
      <c r="B4448" s="4">
        <v>22202612</v>
      </c>
    </row>
    <row r="4449" customHeight="1" spans="1:2">
      <c r="A4449" s="3" t="s">
        <v>1833</v>
      </c>
      <c r="B4449" s="4">
        <v>116866727</v>
      </c>
    </row>
    <row r="4450" customHeight="1" spans="1:2">
      <c r="A4450" s="3" t="s">
        <v>898</v>
      </c>
      <c r="B4450" s="4">
        <v>61937495</v>
      </c>
    </row>
    <row r="4451" customHeight="1" spans="1:2">
      <c r="A4451" s="3" t="s">
        <v>1447</v>
      </c>
      <c r="B4451" s="4">
        <v>132550960</v>
      </c>
    </row>
    <row r="4452" customHeight="1" spans="1:2">
      <c r="A4452" s="3" t="s">
        <v>23579</v>
      </c>
      <c r="B4452" s="4">
        <v>110720</v>
      </c>
    </row>
    <row r="4453" customHeight="1" spans="1:2">
      <c r="A4453" s="3" t="s">
        <v>12751</v>
      </c>
      <c r="B4453" s="4">
        <v>54322273</v>
      </c>
    </row>
    <row r="4454" customHeight="1" spans="1:2">
      <c r="A4454" s="3" t="s">
        <v>12462</v>
      </c>
      <c r="B4454" s="4">
        <v>26896744</v>
      </c>
    </row>
    <row r="4455" customHeight="1" spans="1:2">
      <c r="A4455" s="3" t="s">
        <v>17019</v>
      </c>
      <c r="B4455" s="4">
        <v>25047631</v>
      </c>
    </row>
    <row r="4456" customHeight="1" spans="1:2">
      <c r="A4456" s="3" t="s">
        <v>17114</v>
      </c>
      <c r="B4456" s="4">
        <v>11434867</v>
      </c>
    </row>
    <row r="4457" customHeight="1" spans="1:2">
      <c r="A4457" s="3" t="s">
        <v>16914</v>
      </c>
      <c r="B4457" s="4">
        <v>2024854</v>
      </c>
    </row>
    <row r="4458" customHeight="1" spans="1:2">
      <c r="A4458" s="3" t="s">
        <v>16370</v>
      </c>
      <c r="B4458" s="4">
        <v>3347439</v>
      </c>
    </row>
    <row r="4459" customHeight="1" spans="1:2">
      <c r="A4459" s="3" t="s">
        <v>23679</v>
      </c>
      <c r="B4459" s="4"/>
    </row>
    <row r="4460" customHeight="1" spans="1:2">
      <c r="A4460" s="3" t="s">
        <v>23548</v>
      </c>
      <c r="B4460" s="4"/>
    </row>
    <row r="4461" customHeight="1" spans="1:2">
      <c r="A4461" s="3" t="s">
        <v>1094</v>
      </c>
      <c r="B4461" s="4">
        <v>126930660</v>
      </c>
    </row>
    <row r="4462" customHeight="1" spans="1:2">
      <c r="A4462" s="3" t="s">
        <v>10957</v>
      </c>
      <c r="B4462" s="4">
        <v>26003149</v>
      </c>
    </row>
    <row r="4463" customHeight="1" spans="1:2">
      <c r="A4463" s="3" t="s">
        <v>9968</v>
      </c>
      <c r="B4463" s="4">
        <v>5128124</v>
      </c>
    </row>
    <row r="4464" customHeight="1" spans="1:2">
      <c r="A4464" s="3" t="s">
        <v>12032</v>
      </c>
      <c r="B4464" s="4">
        <v>3500000</v>
      </c>
    </row>
    <row r="4465" customHeight="1" spans="1:2">
      <c r="A4465" s="3" t="s">
        <v>17038</v>
      </c>
      <c r="B4465" s="4">
        <v>26236603</v>
      </c>
    </row>
    <row r="4466" customHeight="1" spans="1:2">
      <c r="A4466" s="3" t="s">
        <v>3616</v>
      </c>
      <c r="B4466" s="4">
        <v>83892374</v>
      </c>
    </row>
    <row r="4467" customHeight="1" spans="1:2">
      <c r="A4467" s="3" t="s">
        <v>7538</v>
      </c>
      <c r="B4467" s="4">
        <v>20981633</v>
      </c>
    </row>
    <row r="4468" customHeight="1" spans="1:2">
      <c r="A4468" s="3" t="s">
        <v>11429</v>
      </c>
      <c r="B4468" s="4">
        <v>882710</v>
      </c>
    </row>
    <row r="4469" customHeight="1" spans="1:2">
      <c r="A4469" s="3" t="s">
        <v>12686</v>
      </c>
      <c r="B4469" s="4">
        <v>317040</v>
      </c>
    </row>
    <row r="4470" customHeight="1" spans="1:2">
      <c r="A4470" s="3" t="s">
        <v>7956</v>
      </c>
      <c r="B4470" s="4">
        <v>99462</v>
      </c>
    </row>
    <row r="4471" customHeight="1" spans="1:2">
      <c r="A4471" s="3" t="s">
        <v>12418</v>
      </c>
      <c r="B4471" s="4">
        <v>6462576</v>
      </c>
    </row>
    <row r="4472" customHeight="1" spans="1:2">
      <c r="A4472" s="3" t="s">
        <v>22202</v>
      </c>
      <c r="B4472" s="4">
        <v>58163</v>
      </c>
    </row>
    <row r="4473" customHeight="1" spans="1:2">
      <c r="A4473" s="3" t="s">
        <v>7647</v>
      </c>
      <c r="B4473" s="4">
        <v>10991381</v>
      </c>
    </row>
    <row r="4474" customHeight="1" spans="1:2">
      <c r="A4474" s="3" t="s">
        <v>7252</v>
      </c>
      <c r="B4474" s="4">
        <v>1068392</v>
      </c>
    </row>
    <row r="4475" customHeight="1" spans="1:2">
      <c r="A4475" s="3" t="s">
        <v>14747</v>
      </c>
      <c r="B4475" s="4">
        <v>125169</v>
      </c>
    </row>
    <row r="4476" customHeight="1" spans="1:2">
      <c r="A4476" s="3" t="s">
        <v>9565</v>
      </c>
      <c r="B4476" s="4">
        <v>40218903</v>
      </c>
    </row>
    <row r="4477" customHeight="1" spans="1:2">
      <c r="A4477" s="3" t="s">
        <v>10343</v>
      </c>
      <c r="B4477" s="4">
        <v>176483808</v>
      </c>
    </row>
    <row r="4478" customHeight="1" spans="1:2">
      <c r="A4478" s="3" t="s">
        <v>23509</v>
      </c>
      <c r="B4478" s="4"/>
    </row>
    <row r="4479" customHeight="1" spans="1:2">
      <c r="A4479" s="3" t="s">
        <v>19555</v>
      </c>
      <c r="B4479" s="4"/>
    </row>
    <row r="4480" customHeight="1" spans="1:2">
      <c r="A4480" s="3" t="s">
        <v>18487</v>
      </c>
      <c r="B4480" s="4">
        <v>13008928</v>
      </c>
    </row>
    <row r="4481" customHeight="1" spans="1:2">
      <c r="A4481" s="3" t="s">
        <v>22430</v>
      </c>
      <c r="B4481" s="4"/>
    </row>
    <row r="4482" customHeight="1" spans="1:2">
      <c r="A4482" s="3" t="s">
        <v>12238</v>
      </c>
      <c r="B4482" s="4">
        <v>12693621</v>
      </c>
    </row>
    <row r="4483" customHeight="1" spans="1:2">
      <c r="A4483" s="3" t="s">
        <v>13221</v>
      </c>
      <c r="B4483" s="4">
        <v>529766</v>
      </c>
    </row>
    <row r="4484" customHeight="1" spans="1:2">
      <c r="A4484" s="3" t="s">
        <v>12549</v>
      </c>
      <c r="B4484" s="4">
        <v>2849142</v>
      </c>
    </row>
    <row r="4485" customHeight="1" spans="1:2">
      <c r="A4485" s="3" t="s">
        <v>10093</v>
      </c>
      <c r="B4485" s="4">
        <v>65182182</v>
      </c>
    </row>
    <row r="4486" customHeight="1" spans="1:2">
      <c r="A4486" s="3" t="s">
        <v>14029</v>
      </c>
      <c r="B4486" s="4">
        <v>91547205</v>
      </c>
    </row>
    <row r="4487" customHeight="1" spans="1:2">
      <c r="A4487" s="3" t="s">
        <v>13471</v>
      </c>
      <c r="B4487" s="4">
        <v>15171475</v>
      </c>
    </row>
    <row r="4488" customHeight="1" spans="1:2">
      <c r="A4488" s="3" t="s">
        <v>11572</v>
      </c>
      <c r="B4488" s="4">
        <v>41867960</v>
      </c>
    </row>
    <row r="4489" customHeight="1" spans="1:2">
      <c r="A4489" s="3" t="s">
        <v>19400</v>
      </c>
      <c r="B4489" s="4">
        <v>3287435</v>
      </c>
    </row>
    <row r="4490" customHeight="1" spans="1:2">
      <c r="A4490" s="3" t="s">
        <v>2822</v>
      </c>
      <c r="B4490" s="4">
        <v>34566746</v>
      </c>
    </row>
    <row r="4491" customHeight="1" spans="1:2">
      <c r="A4491" s="3" t="s">
        <v>20223</v>
      </c>
      <c r="B4491" s="4">
        <v>4599680</v>
      </c>
    </row>
    <row r="4492" customHeight="1" spans="1:2">
      <c r="A4492" s="3" t="s">
        <v>13714</v>
      </c>
      <c r="B4492" s="4">
        <v>49121934</v>
      </c>
    </row>
    <row r="4493" customHeight="1" spans="1:2">
      <c r="A4493" s="3" t="s">
        <v>7374</v>
      </c>
      <c r="B4493" s="4">
        <v>67523385</v>
      </c>
    </row>
    <row r="4494" customHeight="1" spans="1:2">
      <c r="A4494" s="3" t="s">
        <v>19967</v>
      </c>
      <c r="B4494" s="4">
        <v>327919</v>
      </c>
    </row>
    <row r="4495" customHeight="1" spans="1:2">
      <c r="A4495" s="3" t="s">
        <v>4072</v>
      </c>
      <c r="B4495" s="4">
        <v>71844424</v>
      </c>
    </row>
    <row r="4496" customHeight="1" spans="1:2">
      <c r="A4496" s="3" t="s">
        <v>23908</v>
      </c>
      <c r="B4496" s="4"/>
    </row>
    <row r="4497" customHeight="1" spans="1:2">
      <c r="A4497" s="3" t="s">
        <v>7917</v>
      </c>
      <c r="B4497" s="4">
        <v>101470202</v>
      </c>
    </row>
    <row r="4498" customHeight="1" spans="1:2">
      <c r="A4498" s="3" t="s">
        <v>10863</v>
      </c>
      <c r="B4498" s="4">
        <v>34290142</v>
      </c>
    </row>
    <row r="4499" customHeight="1" spans="1:2">
      <c r="A4499" s="3" t="s">
        <v>3747</v>
      </c>
      <c r="B4499" s="4">
        <v>54758461</v>
      </c>
    </row>
    <row r="4500" customHeight="1" spans="1:2">
      <c r="A4500" s="3" t="s">
        <v>20416</v>
      </c>
      <c r="B4500" s="4"/>
    </row>
    <row r="4501" customHeight="1" spans="1:2">
      <c r="A4501" s="3" t="s">
        <v>11622</v>
      </c>
      <c r="B4501" s="4">
        <v>15911333</v>
      </c>
    </row>
    <row r="4502" customHeight="1" spans="1:2">
      <c r="A4502" s="3" t="s">
        <v>859</v>
      </c>
      <c r="B4502" s="4">
        <v>181015141</v>
      </c>
    </row>
    <row r="4503" customHeight="1" spans="1:2">
      <c r="A4503" s="3" t="s">
        <v>843</v>
      </c>
      <c r="B4503" s="4">
        <v>206360018</v>
      </c>
    </row>
    <row r="4504" customHeight="1" spans="1:2">
      <c r="A4504" s="3" t="s">
        <v>19955</v>
      </c>
      <c r="B4504" s="4">
        <v>978908</v>
      </c>
    </row>
    <row r="4505" customHeight="1" spans="1:2">
      <c r="A4505" s="3" t="s">
        <v>13147</v>
      </c>
      <c r="B4505" s="4">
        <v>5023275</v>
      </c>
    </row>
    <row r="4506" customHeight="1" spans="1:2">
      <c r="A4506" s="3" t="s">
        <v>11507</v>
      </c>
      <c r="B4506" s="4"/>
    </row>
    <row r="4507" customHeight="1" spans="1:2">
      <c r="A4507" s="3" t="s">
        <v>5553</v>
      </c>
      <c r="B4507" s="4">
        <v>60652036</v>
      </c>
    </row>
    <row r="4508" customHeight="1" spans="1:2">
      <c r="A4508" s="3" t="s">
        <v>11240</v>
      </c>
      <c r="B4508" s="4">
        <v>10544143</v>
      </c>
    </row>
    <row r="4509" customHeight="1" spans="1:2">
      <c r="A4509" s="3" t="s">
        <v>18592</v>
      </c>
      <c r="B4509" s="4">
        <v>1325073</v>
      </c>
    </row>
    <row r="4510" customHeight="1" spans="1:2">
      <c r="A4510" s="3" t="s">
        <v>7828</v>
      </c>
      <c r="B4510" s="4">
        <v>4091</v>
      </c>
    </row>
    <row r="4511" customHeight="1" spans="1:2">
      <c r="A4511" s="3" t="s">
        <v>15609</v>
      </c>
      <c r="B4511" s="4">
        <v>63600000</v>
      </c>
    </row>
    <row r="4512" customHeight="1" spans="1:2">
      <c r="A4512" s="3" t="s">
        <v>4807</v>
      </c>
      <c r="B4512" s="4">
        <v>6768055</v>
      </c>
    </row>
    <row r="4513" customHeight="1" spans="1:2">
      <c r="A4513" s="3" t="s">
        <v>12698</v>
      </c>
      <c r="B4513" s="4"/>
    </row>
    <row r="4514" customHeight="1" spans="1:2">
      <c r="A4514" s="3" t="s">
        <v>23830</v>
      </c>
      <c r="B4514" s="4"/>
    </row>
    <row r="4515" customHeight="1" spans="1:2">
      <c r="A4515" s="3" t="s">
        <v>19493</v>
      </c>
      <c r="B4515" s="4">
        <v>200803</v>
      </c>
    </row>
    <row r="4516" customHeight="1" spans="1:2">
      <c r="A4516" s="3" t="s">
        <v>19785</v>
      </c>
      <c r="B4516" s="4"/>
    </row>
    <row r="4517" customHeight="1" spans="1:2">
      <c r="A4517" s="3" t="s">
        <v>14084</v>
      </c>
      <c r="B4517" s="4">
        <v>42365600</v>
      </c>
    </row>
    <row r="4518" customHeight="1" spans="1:2">
      <c r="A4518" s="3" t="s">
        <v>22126</v>
      </c>
      <c r="B4518" s="4">
        <v>15278</v>
      </c>
    </row>
    <row r="4519" customHeight="1" spans="1:2">
      <c r="A4519" s="3" t="s">
        <v>19026</v>
      </c>
      <c r="B4519" s="4">
        <v>29233</v>
      </c>
    </row>
    <row r="4520" customHeight="1" spans="1:2">
      <c r="A4520" s="3" t="s">
        <v>8915</v>
      </c>
      <c r="B4520" s="4">
        <v>44450000</v>
      </c>
    </row>
    <row r="4521" customHeight="1" spans="1:2">
      <c r="A4521" s="3" t="s">
        <v>19776</v>
      </c>
      <c r="B4521" s="4">
        <v>38108</v>
      </c>
    </row>
    <row r="4522" customHeight="1" spans="1:2">
      <c r="A4522" s="3" t="s">
        <v>2857</v>
      </c>
      <c r="B4522" s="4">
        <v>19480739</v>
      </c>
    </row>
    <row r="4523" customHeight="1" spans="1:2">
      <c r="A4523" s="3" t="s">
        <v>24076</v>
      </c>
      <c r="B4523" s="4"/>
    </row>
    <row r="4524" customHeight="1" spans="1:2">
      <c r="A4524" s="3" t="s">
        <v>5813</v>
      </c>
      <c r="B4524" s="4">
        <v>53854588</v>
      </c>
    </row>
    <row r="4525" customHeight="1" spans="1:2">
      <c r="A4525" s="3" t="s">
        <v>10616</v>
      </c>
      <c r="B4525" s="4">
        <v>24104113</v>
      </c>
    </row>
    <row r="4526" customHeight="1" spans="1:2">
      <c r="A4526" s="3" t="s">
        <v>23861</v>
      </c>
      <c r="B4526" s="4">
        <v>389804</v>
      </c>
    </row>
    <row r="4527" customHeight="1" spans="1:2">
      <c r="A4527" s="3" t="s">
        <v>3157</v>
      </c>
      <c r="B4527" s="4">
        <v>22751979</v>
      </c>
    </row>
    <row r="4528" customHeight="1" spans="1:2">
      <c r="A4528" s="3" t="s">
        <v>218</v>
      </c>
      <c r="B4528" s="4">
        <v>658672302</v>
      </c>
    </row>
    <row r="4529" customHeight="1" spans="1:2">
      <c r="A4529" s="3" t="s">
        <v>7350</v>
      </c>
      <c r="B4529" s="4">
        <v>54132596</v>
      </c>
    </row>
    <row r="4530" customHeight="1" spans="1:2">
      <c r="A4530" s="3" t="s">
        <v>20502</v>
      </c>
      <c r="B4530" s="4"/>
    </row>
    <row r="4531" customHeight="1" spans="1:2">
      <c r="A4531" s="3" t="s">
        <v>11010</v>
      </c>
      <c r="B4531" s="4">
        <v>21200000</v>
      </c>
    </row>
    <row r="4532" customHeight="1" spans="1:2">
      <c r="A4532" s="3" t="s">
        <v>20152</v>
      </c>
      <c r="B4532" s="4"/>
    </row>
    <row r="4533" customHeight="1" spans="1:2">
      <c r="A4533" s="3" t="s">
        <v>10551</v>
      </c>
      <c r="B4533" s="4">
        <v>16684352</v>
      </c>
    </row>
    <row r="4534" customHeight="1" spans="1:2">
      <c r="A4534" s="3" t="s">
        <v>22526</v>
      </c>
      <c r="B4534" s="4">
        <v>3773863</v>
      </c>
    </row>
    <row r="4535" customHeight="1" spans="1:2">
      <c r="A4535" s="3" t="s">
        <v>21517</v>
      </c>
      <c r="B4535" s="4"/>
    </row>
    <row r="4536" customHeight="1" spans="1:2">
      <c r="A4536" s="3" t="s">
        <v>9486</v>
      </c>
      <c r="B4536" s="4">
        <v>56505065</v>
      </c>
    </row>
    <row r="4537" customHeight="1" spans="1:2">
      <c r="A4537" s="3" t="s">
        <v>14606</v>
      </c>
      <c r="B4537" s="4">
        <v>13558739</v>
      </c>
    </row>
    <row r="4538" customHeight="1" spans="1:2">
      <c r="A4538" s="3" t="s">
        <v>1520</v>
      </c>
      <c r="B4538" s="4">
        <v>125332007</v>
      </c>
    </row>
    <row r="4539" customHeight="1" spans="1:2">
      <c r="A4539" s="3" t="s">
        <v>609</v>
      </c>
      <c r="B4539" s="4">
        <v>93417865</v>
      </c>
    </row>
    <row r="4540" customHeight="1" spans="1:2">
      <c r="A4540" s="3" t="s">
        <v>12654</v>
      </c>
      <c r="B4540" s="4">
        <v>177200000</v>
      </c>
    </row>
    <row r="4541" customHeight="1" spans="1:2">
      <c r="A4541" s="3" t="s">
        <v>2912</v>
      </c>
      <c r="B4541" s="4"/>
    </row>
    <row r="4542" customHeight="1" spans="1:2">
      <c r="A4542" s="3" t="s">
        <v>14148</v>
      </c>
      <c r="B4542" s="4">
        <v>25277561</v>
      </c>
    </row>
    <row r="4543" customHeight="1" spans="1:2">
      <c r="A4543" s="3" t="s">
        <v>12658</v>
      </c>
      <c r="B4543" s="4">
        <v>176781728</v>
      </c>
    </row>
    <row r="4544" customHeight="1" spans="1:2">
      <c r="A4544" s="3" t="s">
        <v>22382</v>
      </c>
      <c r="B4544" s="4">
        <v>3000000</v>
      </c>
    </row>
    <row r="4545" customHeight="1" spans="1:2">
      <c r="A4545" s="3" t="s">
        <v>23626</v>
      </c>
      <c r="B4545" s="4">
        <v>5858</v>
      </c>
    </row>
    <row r="4546" customHeight="1" spans="1:2">
      <c r="A4546" s="3" t="s">
        <v>18558</v>
      </c>
      <c r="B4546" s="4"/>
    </row>
    <row r="4547" customHeight="1" spans="1:2">
      <c r="A4547" s="3" t="s">
        <v>11331</v>
      </c>
      <c r="B4547" s="4">
        <v>6201757</v>
      </c>
    </row>
    <row r="4548" customHeight="1" spans="1:2">
      <c r="A4548" s="3" t="s">
        <v>9672</v>
      </c>
      <c r="B4548" s="4">
        <v>14500000</v>
      </c>
    </row>
    <row r="4549" customHeight="1" spans="1:2">
      <c r="A4549" s="3" t="s">
        <v>19273</v>
      </c>
      <c r="B4549" s="4"/>
    </row>
    <row r="4550" customHeight="1" spans="1:2">
      <c r="A4550" s="3" t="s">
        <v>6713</v>
      </c>
      <c r="B4550" s="4">
        <v>21176322</v>
      </c>
    </row>
    <row r="4551" customHeight="1" spans="1:2">
      <c r="A4551" s="3" t="s">
        <v>1309</v>
      </c>
      <c r="B4551" s="4">
        <v>238825842</v>
      </c>
    </row>
    <row r="4552" customHeight="1" spans="1:2">
      <c r="A4552" s="3" t="s">
        <v>20242</v>
      </c>
      <c r="B4552" s="4">
        <v>4581222</v>
      </c>
    </row>
    <row r="4553" customHeight="1" spans="1:2">
      <c r="A4553" s="3" t="s">
        <v>2365</v>
      </c>
      <c r="B4553" s="4">
        <v>78009155</v>
      </c>
    </row>
    <row r="4554" customHeight="1" spans="1:2">
      <c r="A4554" s="3" t="s">
        <v>13369</v>
      </c>
      <c r="B4554" s="4"/>
    </row>
    <row r="4555" customHeight="1" spans="1:2">
      <c r="A4555" s="3" t="s">
        <v>1684</v>
      </c>
      <c r="B4555" s="4">
        <v>6712451</v>
      </c>
    </row>
    <row r="4556" customHeight="1" spans="1:2">
      <c r="A4556" s="3" t="s">
        <v>2081</v>
      </c>
      <c r="B4556" s="4">
        <v>245823397</v>
      </c>
    </row>
    <row r="4557" customHeight="1" spans="1:2">
      <c r="A4557" s="3" t="s">
        <v>325</v>
      </c>
      <c r="B4557" s="4">
        <v>414984497</v>
      </c>
    </row>
    <row r="4558" customHeight="1" spans="1:2">
      <c r="A4558" s="3" t="s">
        <v>8097</v>
      </c>
      <c r="B4558" s="4">
        <v>191796233</v>
      </c>
    </row>
    <row r="4559" customHeight="1" spans="1:2">
      <c r="A4559" s="3" t="s">
        <v>16936</v>
      </c>
      <c r="B4559" s="4"/>
    </row>
    <row r="4560" customHeight="1" spans="1:2">
      <c r="A4560" s="3" t="s">
        <v>17330</v>
      </c>
      <c r="B4560" s="4">
        <v>15059</v>
      </c>
    </row>
    <row r="4561" customHeight="1" spans="1:2">
      <c r="A4561" s="3" t="s">
        <v>14385</v>
      </c>
      <c r="B4561" s="4">
        <v>214202</v>
      </c>
    </row>
    <row r="4562" customHeight="1" spans="1:2">
      <c r="A4562" s="3" t="s">
        <v>15662</v>
      </c>
      <c r="B4562" s="4">
        <v>90400000</v>
      </c>
    </row>
    <row r="4563" customHeight="1" spans="1:2">
      <c r="A4563" s="3" t="s">
        <v>5518</v>
      </c>
      <c r="B4563" s="4">
        <v>124107476</v>
      </c>
    </row>
    <row r="4564" customHeight="1" spans="1:2">
      <c r="A4564" s="3" t="s">
        <v>18947</v>
      </c>
      <c r="B4564" s="4"/>
    </row>
    <row r="4565" customHeight="1" spans="1:2">
      <c r="A4565" s="3" t="s">
        <v>5748</v>
      </c>
      <c r="B4565" s="4">
        <v>76261036</v>
      </c>
    </row>
    <row r="4566" customHeight="1" spans="1:2">
      <c r="A4566" s="3" t="s">
        <v>19174</v>
      </c>
      <c r="B4566" s="4">
        <v>16501785</v>
      </c>
    </row>
    <row r="4567" customHeight="1" spans="1:2">
      <c r="A4567" s="3" t="s">
        <v>7300</v>
      </c>
      <c r="B4567" s="4">
        <v>110008260</v>
      </c>
    </row>
    <row r="4568" customHeight="1" spans="1:2">
      <c r="A4568" s="3" t="s">
        <v>12567</v>
      </c>
      <c r="B4568" s="4">
        <v>4638374</v>
      </c>
    </row>
    <row r="4569" customHeight="1" spans="1:2">
      <c r="A4569" s="3" t="s">
        <v>21570</v>
      </c>
      <c r="B4569" s="4">
        <v>9013113</v>
      </c>
    </row>
    <row r="4570" customHeight="1" spans="1:2">
      <c r="A4570" s="3" t="s">
        <v>2029</v>
      </c>
      <c r="B4570" s="4">
        <v>23014504</v>
      </c>
    </row>
    <row r="4571" customHeight="1" spans="1:2">
      <c r="A4571" s="3" t="s">
        <v>758</v>
      </c>
      <c r="B4571" s="4">
        <v>318759914</v>
      </c>
    </row>
    <row r="4572" customHeight="1" spans="1:2">
      <c r="A4572" s="3" t="s">
        <v>288</v>
      </c>
      <c r="B4572" s="4">
        <v>245428137</v>
      </c>
    </row>
    <row r="4573" customHeight="1" spans="1:2">
      <c r="A4573" s="3" t="s">
        <v>387</v>
      </c>
      <c r="B4573" s="4">
        <v>352358779</v>
      </c>
    </row>
    <row r="4574" customHeight="1" spans="1:2">
      <c r="A4574" s="3" t="s">
        <v>283</v>
      </c>
      <c r="B4574" s="4">
        <v>402076689</v>
      </c>
    </row>
    <row r="4575" customHeight="1" spans="1:2">
      <c r="A4575" s="3" t="s">
        <v>7974</v>
      </c>
      <c r="B4575" s="4">
        <v>43095600</v>
      </c>
    </row>
    <row r="4576" customHeight="1" spans="1:2">
      <c r="A4576" s="3" t="s">
        <v>13184</v>
      </c>
      <c r="B4576" s="4">
        <v>2203641</v>
      </c>
    </row>
    <row r="4577" customHeight="1" spans="1:2">
      <c r="A4577" s="3" t="s">
        <v>18478</v>
      </c>
      <c r="B4577" s="4"/>
    </row>
    <row r="4578" customHeight="1" spans="1:2">
      <c r="A4578" s="3" t="s">
        <v>8647</v>
      </c>
      <c r="B4578" s="4"/>
    </row>
    <row r="4579" customHeight="1" spans="1:2">
      <c r="A4579" s="3" t="s">
        <v>14501</v>
      </c>
      <c r="B4579" s="4">
        <v>10230</v>
      </c>
    </row>
    <row r="4580" customHeight="1" spans="1:2">
      <c r="A4580" s="3" t="s">
        <v>20715</v>
      </c>
      <c r="B4580" s="4">
        <v>505295</v>
      </c>
    </row>
    <row r="4581" customHeight="1" spans="1:2">
      <c r="A4581" s="3" t="s">
        <v>22371</v>
      </c>
      <c r="B4581" s="4"/>
    </row>
    <row r="4582" customHeight="1" spans="1:2">
      <c r="A4582" s="3" t="s">
        <v>18199</v>
      </c>
      <c r="B4582" s="4"/>
    </row>
    <row r="4583" customHeight="1" spans="1:2">
      <c r="A4583" s="3" t="s">
        <v>1871</v>
      </c>
      <c r="B4583" s="4">
        <v>38120554</v>
      </c>
    </row>
    <row r="4584" customHeight="1" spans="1:2">
      <c r="A4584" s="3" t="s">
        <v>21168</v>
      </c>
      <c r="B4584" s="4">
        <v>695229</v>
      </c>
    </row>
    <row r="4585" customHeight="1" spans="1:2">
      <c r="A4585" s="3" t="s">
        <v>22941</v>
      </c>
      <c r="B4585" s="4">
        <v>617172</v>
      </c>
    </row>
    <row r="4586" customHeight="1" spans="1:2">
      <c r="A4586" s="3" t="s">
        <v>15003</v>
      </c>
      <c r="B4586" s="4">
        <v>16667084</v>
      </c>
    </row>
    <row r="4587" customHeight="1" spans="1:2">
      <c r="A4587" s="3" t="s">
        <v>14437</v>
      </c>
      <c r="B4587" s="4"/>
    </row>
    <row r="4588" customHeight="1" spans="1:2">
      <c r="A4588" s="3" t="s">
        <v>11231</v>
      </c>
      <c r="B4588" s="4">
        <v>12626905</v>
      </c>
    </row>
    <row r="4589" customHeight="1" spans="1:2">
      <c r="A4589" s="3" t="s">
        <v>19303</v>
      </c>
      <c r="B4589" s="4">
        <v>9016377</v>
      </c>
    </row>
    <row r="4590" customHeight="1" spans="1:2">
      <c r="A4590" s="3" t="s">
        <v>18129</v>
      </c>
      <c r="B4590" s="4">
        <v>1247453</v>
      </c>
    </row>
    <row r="4591" customHeight="1" spans="1:2">
      <c r="A4591" s="3" t="s">
        <v>18977</v>
      </c>
      <c r="B4591" s="4">
        <v>252652</v>
      </c>
    </row>
    <row r="4592" customHeight="1" spans="1:2">
      <c r="A4592" s="3" t="s">
        <v>304</v>
      </c>
      <c r="B4592" s="4">
        <v>344103574</v>
      </c>
    </row>
    <row r="4593" customHeight="1" spans="1:2">
      <c r="A4593" s="3" t="s">
        <v>11944</v>
      </c>
      <c r="B4593" s="4">
        <v>8508843</v>
      </c>
    </row>
    <row r="4594" customHeight="1" spans="1:2">
      <c r="A4594" s="3" t="s">
        <v>2139</v>
      </c>
      <c r="B4594" s="4">
        <v>110416702</v>
      </c>
    </row>
    <row r="4595" customHeight="1" spans="1:2">
      <c r="A4595" s="3" t="s">
        <v>4270</v>
      </c>
      <c r="B4595" s="4">
        <v>35754555</v>
      </c>
    </row>
    <row r="4596" customHeight="1" spans="1:2">
      <c r="A4596" s="3" t="s">
        <v>956</v>
      </c>
      <c r="B4596" s="4">
        <v>133228348</v>
      </c>
    </row>
    <row r="4597" customHeight="1" spans="1:2">
      <c r="A4597" s="3" t="s">
        <v>21034</v>
      </c>
      <c r="B4597" s="4">
        <v>52166</v>
      </c>
    </row>
    <row r="4598" customHeight="1" spans="1:2">
      <c r="A4598" s="3" t="s">
        <v>7275</v>
      </c>
      <c r="B4598" s="4">
        <v>171031347</v>
      </c>
    </row>
    <row r="4599" customHeight="1" spans="1:2">
      <c r="A4599" s="3" t="s">
        <v>1737</v>
      </c>
      <c r="B4599" s="4">
        <v>146282411</v>
      </c>
    </row>
    <row r="4600" customHeight="1" spans="1:2">
      <c r="A4600" s="3" t="s">
        <v>13926</v>
      </c>
      <c r="B4600" s="4">
        <v>12281500</v>
      </c>
    </row>
    <row r="4601" customHeight="1" spans="1:2">
      <c r="A4601" s="3" t="s">
        <v>15720</v>
      </c>
      <c r="B4601" s="4">
        <v>1530535</v>
      </c>
    </row>
    <row r="4602" customHeight="1" spans="1:2">
      <c r="A4602" s="3" t="s">
        <v>18668</v>
      </c>
      <c r="B4602" s="4">
        <v>58214</v>
      </c>
    </row>
    <row r="4603" customHeight="1" spans="1:2">
      <c r="A4603" s="3" t="s">
        <v>21976</v>
      </c>
      <c r="B4603" s="4"/>
    </row>
    <row r="4604" customHeight="1" spans="1:2">
      <c r="A4604" s="3" t="s">
        <v>19418</v>
      </c>
      <c r="B4604" s="4">
        <v>2912363</v>
      </c>
    </row>
    <row r="4605" customHeight="1" spans="1:2">
      <c r="A4605" s="3" t="s">
        <v>12938</v>
      </c>
      <c r="B4605" s="4">
        <v>19158074</v>
      </c>
    </row>
    <row r="4606" customHeight="1" spans="1:2">
      <c r="A4606" s="3" t="s">
        <v>17970</v>
      </c>
      <c r="B4606" s="4">
        <v>223615</v>
      </c>
    </row>
    <row r="4607" customHeight="1" spans="1:2">
      <c r="A4607" s="3" t="s">
        <v>23023</v>
      </c>
      <c r="B4607" s="4">
        <v>1281176</v>
      </c>
    </row>
    <row r="4608" customHeight="1" spans="1:2">
      <c r="A4608" s="3" t="s">
        <v>23020</v>
      </c>
      <c r="B4608" s="4">
        <v>7707563</v>
      </c>
    </row>
    <row r="4609" customHeight="1" spans="1:2">
      <c r="A4609" s="3" t="s">
        <v>1143</v>
      </c>
      <c r="B4609" s="4">
        <v>83024900</v>
      </c>
    </row>
    <row r="4610" customHeight="1" spans="1:2">
      <c r="A4610" s="3" t="s">
        <v>4792</v>
      </c>
      <c r="B4610" s="4">
        <v>11466088</v>
      </c>
    </row>
    <row r="4611" customHeight="1" spans="1:2">
      <c r="A4611" s="3" t="s">
        <v>19431</v>
      </c>
      <c r="B4611" s="4">
        <v>1821983</v>
      </c>
    </row>
    <row r="4612" customHeight="1" spans="1:2">
      <c r="A4612" s="3" t="s">
        <v>14909</v>
      </c>
      <c r="B4612" s="4">
        <v>29500000</v>
      </c>
    </row>
    <row r="4613" customHeight="1" spans="1:2">
      <c r="A4613" s="3" t="s">
        <v>7149</v>
      </c>
      <c r="B4613" s="4">
        <v>382898950</v>
      </c>
    </row>
    <row r="4614" customHeight="1" spans="1:2">
      <c r="A4614" s="3" t="s">
        <v>22575</v>
      </c>
      <c r="B4614" s="4">
        <v>985341</v>
      </c>
    </row>
    <row r="4615" customHeight="1" spans="1:2">
      <c r="A4615" s="3" t="s">
        <v>12676</v>
      </c>
      <c r="B4615" s="4">
        <v>111936400</v>
      </c>
    </row>
    <row r="4616" customHeight="1" spans="1:2">
      <c r="A4616" s="3" t="s">
        <v>5377</v>
      </c>
      <c r="B4616" s="4"/>
    </row>
    <row r="4617" customHeight="1" spans="1:2">
      <c r="A4617" s="3" t="s">
        <v>2305</v>
      </c>
      <c r="B4617" s="4">
        <v>241688385</v>
      </c>
    </row>
    <row r="4618" customHeight="1" spans="1:2">
      <c r="A4618" s="3" t="s">
        <v>16750</v>
      </c>
      <c r="B4618" s="4"/>
    </row>
    <row r="4619" customHeight="1" spans="1:2">
      <c r="A4619" s="3" t="s">
        <v>3275</v>
      </c>
      <c r="B4619" s="4">
        <v>18947630</v>
      </c>
    </row>
    <row r="4620" customHeight="1" spans="1:2">
      <c r="A4620" s="3" t="s">
        <v>13758</v>
      </c>
      <c r="B4620" s="4">
        <v>22235901</v>
      </c>
    </row>
    <row r="4621" customHeight="1" spans="1:2">
      <c r="A4621" s="3" t="s">
        <v>15749</v>
      </c>
      <c r="B4621" s="4">
        <v>349618</v>
      </c>
    </row>
    <row r="4622" customHeight="1" spans="1:2">
      <c r="A4622" s="3" t="s">
        <v>21670</v>
      </c>
      <c r="B4622" s="4">
        <v>1950218</v>
      </c>
    </row>
    <row r="4623" customHeight="1" spans="1:2">
      <c r="A4623" s="3" t="s">
        <v>16789</v>
      </c>
      <c r="B4623" s="4"/>
    </row>
    <row r="4624" customHeight="1" spans="1:2">
      <c r="A4624" s="3" t="s">
        <v>14303</v>
      </c>
      <c r="B4624" s="4">
        <v>3148482</v>
      </c>
    </row>
    <row r="4625" customHeight="1" spans="1:2">
      <c r="A4625" s="3" t="s">
        <v>4001</v>
      </c>
      <c r="B4625" s="4">
        <v>93307796</v>
      </c>
    </row>
    <row r="4626" customHeight="1" spans="1:2">
      <c r="A4626" s="3" t="s">
        <v>17981</v>
      </c>
      <c r="B4626" s="4"/>
    </row>
    <row r="4627" customHeight="1" spans="1:2">
      <c r="A4627" s="3" t="s">
        <v>13004</v>
      </c>
      <c r="B4627" s="4">
        <v>10353690</v>
      </c>
    </row>
    <row r="4628" customHeight="1" spans="1:2">
      <c r="A4628" s="3" t="s">
        <v>3889</v>
      </c>
      <c r="B4628" s="4">
        <v>77086030</v>
      </c>
    </row>
    <row r="4629" customHeight="1" spans="1:2">
      <c r="A4629" s="3" t="s">
        <v>17829</v>
      </c>
      <c r="B4629" s="4">
        <v>6157157</v>
      </c>
    </row>
    <row r="4630" customHeight="1" spans="1:2">
      <c r="A4630" s="3" t="s">
        <v>19700</v>
      </c>
      <c r="B4630" s="4">
        <v>9054736</v>
      </c>
    </row>
    <row r="4631" customHeight="1" spans="1:2">
      <c r="A4631" s="3" t="s">
        <v>15806</v>
      </c>
      <c r="B4631" s="4"/>
    </row>
    <row r="4632" customHeight="1" spans="1:2">
      <c r="A4632" s="3" t="s">
        <v>8517</v>
      </c>
      <c r="B4632" s="4">
        <v>18500966</v>
      </c>
    </row>
    <row r="4633" customHeight="1" spans="1:2">
      <c r="A4633" s="3" t="s">
        <v>9783</v>
      </c>
      <c r="B4633" s="4">
        <v>16647384</v>
      </c>
    </row>
    <row r="4634" customHeight="1" spans="1:2">
      <c r="A4634" s="3" t="s">
        <v>3187</v>
      </c>
      <c r="B4634" s="4">
        <v>94999143</v>
      </c>
    </row>
    <row r="4635" customHeight="1" spans="1:2">
      <c r="A4635" s="3" t="s">
        <v>3692</v>
      </c>
      <c r="B4635" s="4">
        <v>231207960</v>
      </c>
    </row>
    <row r="4636" customHeight="1" spans="1:2">
      <c r="A4636" s="3" t="s">
        <v>4159</v>
      </c>
      <c r="B4636" s="4">
        <v>50024083</v>
      </c>
    </row>
    <row r="4637" customHeight="1" spans="1:2">
      <c r="A4637" s="3" t="s">
        <v>11053</v>
      </c>
      <c r="B4637" s="4">
        <v>8500000</v>
      </c>
    </row>
    <row r="4638" customHeight="1" spans="1:2">
      <c r="A4638" s="3" t="s">
        <v>20773</v>
      </c>
      <c r="B4638" s="4">
        <v>12589108</v>
      </c>
    </row>
    <row r="4639" customHeight="1" spans="1:2">
      <c r="A4639" s="3" t="s">
        <v>13637</v>
      </c>
      <c r="B4639" s="4">
        <v>2605039</v>
      </c>
    </row>
    <row r="4640" customHeight="1" spans="1:2">
      <c r="A4640" s="3" t="s">
        <v>11796</v>
      </c>
      <c r="B4640" s="4">
        <v>43601508</v>
      </c>
    </row>
    <row r="4641" customHeight="1" spans="1:2">
      <c r="A4641" s="3" t="s">
        <v>9960</v>
      </c>
      <c r="B4641" s="4">
        <v>5654777</v>
      </c>
    </row>
    <row r="4642" customHeight="1" spans="1:2">
      <c r="A4642" s="3" t="s">
        <v>9579</v>
      </c>
      <c r="B4642" s="4">
        <v>38230435</v>
      </c>
    </row>
    <row r="4643" customHeight="1" spans="1:2">
      <c r="A4643" s="3" t="s">
        <v>10546</v>
      </c>
      <c r="B4643" s="4"/>
    </row>
    <row r="4644" customHeight="1" spans="1:2">
      <c r="A4644" s="3" t="s">
        <v>10389</v>
      </c>
      <c r="B4644" s="4">
        <v>51483949</v>
      </c>
    </row>
    <row r="4645" customHeight="1" spans="1:2">
      <c r="A4645" s="3" t="s">
        <v>3461</v>
      </c>
      <c r="B4645" s="4">
        <v>62321039</v>
      </c>
    </row>
    <row r="4646" customHeight="1" spans="1:2">
      <c r="A4646" s="3" t="s">
        <v>6044</v>
      </c>
      <c r="B4646" s="4">
        <v>62318875</v>
      </c>
    </row>
    <row r="4647" customHeight="1" spans="1:2">
      <c r="A4647" s="3" t="s">
        <v>7383</v>
      </c>
      <c r="B4647" s="4">
        <v>45802315</v>
      </c>
    </row>
    <row r="4648" customHeight="1" spans="1:2">
      <c r="A4648" s="3" t="s">
        <v>15781</v>
      </c>
      <c r="B4648" s="4">
        <v>1046166</v>
      </c>
    </row>
    <row r="4649" customHeight="1" spans="1:2">
      <c r="A4649" s="3" t="s">
        <v>11199</v>
      </c>
      <c r="B4649" s="4">
        <v>12398628</v>
      </c>
    </row>
    <row r="4650" customHeight="1" spans="1:2">
      <c r="A4650" s="3" t="s">
        <v>23303</v>
      </c>
      <c r="B4650" s="4"/>
    </row>
    <row r="4651" customHeight="1" spans="1:2">
      <c r="A4651" s="3" t="s">
        <v>23670</v>
      </c>
      <c r="B4651" s="4"/>
    </row>
    <row r="4652" customHeight="1" spans="1:2">
      <c r="A4652" s="3" t="s">
        <v>5180</v>
      </c>
      <c r="B4652" s="4">
        <v>52752475</v>
      </c>
    </row>
    <row r="4653" customHeight="1" spans="1:2">
      <c r="A4653" s="3" t="s">
        <v>7758</v>
      </c>
      <c r="B4653" s="4">
        <v>10214013</v>
      </c>
    </row>
    <row r="4654" customHeight="1" spans="1:2">
      <c r="A4654" s="3" t="s">
        <v>12016</v>
      </c>
      <c r="B4654" s="4"/>
    </row>
    <row r="4655" customHeight="1" spans="1:2">
      <c r="A4655" s="3" t="s">
        <v>13345</v>
      </c>
      <c r="B4655" s="4">
        <v>101157447</v>
      </c>
    </row>
    <row r="4656" customHeight="1" spans="1:2">
      <c r="A4656" s="3" t="s">
        <v>5153</v>
      </c>
      <c r="B4656" s="4"/>
    </row>
    <row r="4657" customHeight="1" spans="1:2">
      <c r="A4657" s="3" t="s">
        <v>21523</v>
      </c>
      <c r="B4657" s="4">
        <v>31537320</v>
      </c>
    </row>
    <row r="4658" customHeight="1" spans="1:2">
      <c r="A4658" s="3" t="s">
        <v>11819</v>
      </c>
      <c r="B4658" s="4">
        <v>31471430</v>
      </c>
    </row>
    <row r="4659" customHeight="1" spans="1:2">
      <c r="A4659" s="3" t="s">
        <v>8740</v>
      </c>
      <c r="B4659" s="4"/>
    </row>
    <row r="4660" customHeight="1" spans="1:2">
      <c r="A4660" s="3" t="s">
        <v>6811</v>
      </c>
      <c r="B4660" s="4">
        <v>10431220</v>
      </c>
    </row>
    <row r="4661" customHeight="1" spans="1:2">
      <c r="A4661" s="3" t="s">
        <v>6447</v>
      </c>
      <c r="B4661" s="4">
        <v>122189806</v>
      </c>
    </row>
    <row r="4662" customHeight="1" spans="1:2">
      <c r="A4662" s="3" t="s">
        <v>6061</v>
      </c>
      <c r="B4662" s="4">
        <v>24520892</v>
      </c>
    </row>
    <row r="4663" customHeight="1" spans="1:2">
      <c r="A4663" s="3" t="s">
        <v>19658</v>
      </c>
      <c r="B4663" s="4"/>
    </row>
    <row r="4664" customHeight="1" spans="1:2">
      <c r="A4664" s="3" t="s">
        <v>2085</v>
      </c>
      <c r="B4664" s="4">
        <v>81557479</v>
      </c>
    </row>
    <row r="4665" customHeight="1" spans="1:2">
      <c r="A4665" s="3" t="s">
        <v>20977</v>
      </c>
      <c r="B4665" s="4"/>
    </row>
    <row r="4666" customHeight="1" spans="1:2">
      <c r="A4666" s="3" t="s">
        <v>7496</v>
      </c>
      <c r="B4666" s="4">
        <v>28687835</v>
      </c>
    </row>
    <row r="4667" customHeight="1" spans="1:2">
      <c r="A4667" s="3" t="s">
        <v>4137</v>
      </c>
      <c r="B4667" s="4">
        <v>51045801</v>
      </c>
    </row>
    <row r="4668" customHeight="1" spans="1:2">
      <c r="A4668" s="3" t="s">
        <v>8189</v>
      </c>
      <c r="B4668" s="4">
        <v>83813460</v>
      </c>
    </row>
    <row r="4669" customHeight="1" spans="1:2">
      <c r="A4669" s="3" t="s">
        <v>474</v>
      </c>
      <c r="B4669" s="4">
        <v>292979556</v>
      </c>
    </row>
    <row r="4670" customHeight="1" spans="1:2">
      <c r="A4670" s="3" t="s">
        <v>13406</v>
      </c>
      <c r="B4670" s="4">
        <v>38048637</v>
      </c>
    </row>
    <row r="4671" customHeight="1" spans="1:2">
      <c r="A4671" s="3" t="s">
        <v>12935</v>
      </c>
      <c r="B4671" s="4">
        <v>21468807</v>
      </c>
    </row>
    <row r="4672" customHeight="1" spans="1:2">
      <c r="A4672" s="3" t="s">
        <v>23359</v>
      </c>
      <c r="B4672" s="4">
        <v>1027119</v>
      </c>
    </row>
    <row r="4673" customHeight="1" spans="1:2">
      <c r="A4673" s="3" t="s">
        <v>5142</v>
      </c>
      <c r="B4673" s="4">
        <v>70496802</v>
      </c>
    </row>
    <row r="4674" customHeight="1" spans="1:2">
      <c r="A4674" s="3" t="s">
        <v>20700</v>
      </c>
      <c r="B4674" s="4"/>
    </row>
    <row r="4675" customHeight="1" spans="1:2">
      <c r="A4675" s="3" t="s">
        <v>8077</v>
      </c>
      <c r="B4675" s="4">
        <v>58879132</v>
      </c>
    </row>
    <row r="4676" customHeight="1" spans="1:2">
      <c r="A4676" s="3" t="s">
        <v>14951</v>
      </c>
      <c r="B4676" s="4">
        <v>20384136</v>
      </c>
    </row>
    <row r="4677" customHeight="1" spans="1:2">
      <c r="A4677" s="3" t="s">
        <v>4937</v>
      </c>
      <c r="B4677" s="4">
        <v>110476776</v>
      </c>
    </row>
    <row r="4678" customHeight="1" spans="1:2">
      <c r="A4678" s="3" t="s">
        <v>7559</v>
      </c>
      <c r="B4678" s="4">
        <v>19447478</v>
      </c>
    </row>
    <row r="4679" customHeight="1" spans="1:2">
      <c r="A4679" s="3" t="s">
        <v>2176</v>
      </c>
      <c r="B4679" s="4">
        <v>83077470</v>
      </c>
    </row>
    <row r="4680" customHeight="1" spans="1:2">
      <c r="A4680" s="3" t="s">
        <v>19905</v>
      </c>
      <c r="B4680" s="4">
        <v>118666</v>
      </c>
    </row>
    <row r="4681" customHeight="1" spans="1:2">
      <c r="A4681" s="3" t="s">
        <v>15947</v>
      </c>
      <c r="B4681" s="4"/>
    </row>
    <row r="4682" customHeight="1" spans="1:2">
      <c r="A4682" s="3" t="s">
        <v>13438</v>
      </c>
      <c r="B4682" s="4">
        <v>19900000</v>
      </c>
    </row>
    <row r="4683" customHeight="1" spans="1:2">
      <c r="A4683" s="3" t="s">
        <v>20466</v>
      </c>
      <c r="B4683" s="4"/>
    </row>
    <row r="4684" customHeight="1" spans="1:2">
      <c r="A4684" s="3" t="s">
        <v>10855</v>
      </c>
      <c r="B4684" s="4">
        <v>36658108</v>
      </c>
    </row>
    <row r="4685" customHeight="1" spans="1:2">
      <c r="A4685" s="3" t="s">
        <v>11026</v>
      </c>
      <c r="B4685" s="4">
        <v>20241395</v>
      </c>
    </row>
    <row r="4686" customHeight="1" spans="1:2">
      <c r="A4686" s="3" t="s">
        <v>12591</v>
      </c>
      <c r="B4686" s="4">
        <v>2964</v>
      </c>
    </row>
    <row r="4687" customHeight="1" spans="1:2">
      <c r="A4687" s="3" t="s">
        <v>17033</v>
      </c>
      <c r="B4687" s="4">
        <v>21005329</v>
      </c>
    </row>
    <row r="4688" customHeight="1" spans="1:2">
      <c r="A4688" s="3" t="s">
        <v>3350</v>
      </c>
      <c r="B4688" s="4">
        <v>100614858</v>
      </c>
    </row>
    <row r="4689" customHeight="1" spans="1:2">
      <c r="A4689" s="3" t="s">
        <v>10311</v>
      </c>
      <c r="B4689" s="4">
        <v>16123851</v>
      </c>
    </row>
    <row r="4690" customHeight="1" spans="1:2">
      <c r="A4690" s="3" t="s">
        <v>6366</v>
      </c>
      <c r="B4690" s="4">
        <v>72266306</v>
      </c>
    </row>
    <row r="4691" customHeight="1" spans="1:2">
      <c r="A4691" s="3" t="s">
        <v>12398</v>
      </c>
      <c r="B4691" s="4">
        <v>52885587</v>
      </c>
    </row>
    <row r="4692" customHeight="1" spans="1:2">
      <c r="A4692" s="3" t="s">
        <v>16633</v>
      </c>
      <c r="B4692" s="4">
        <v>2921738</v>
      </c>
    </row>
    <row r="4693" customHeight="1" spans="1:2">
      <c r="A4693" s="3" t="s">
        <v>15727</v>
      </c>
      <c r="B4693" s="4">
        <v>1043487</v>
      </c>
    </row>
    <row r="4694" customHeight="1" spans="1:2">
      <c r="A4694" s="3" t="s">
        <v>14638</v>
      </c>
      <c r="B4694" s="4">
        <v>3753806</v>
      </c>
    </row>
    <row r="4695" customHeight="1" spans="1:2">
      <c r="A4695" s="3" t="s">
        <v>12314</v>
      </c>
      <c r="B4695" s="4">
        <v>1569918</v>
      </c>
    </row>
    <row r="4696" customHeight="1" spans="1:2">
      <c r="A4696" s="3" t="s">
        <v>17160</v>
      </c>
      <c r="B4696" s="4"/>
    </row>
    <row r="4697" customHeight="1" spans="1:2">
      <c r="A4697" s="3" t="s">
        <v>15795</v>
      </c>
      <c r="B4697" s="4"/>
    </row>
    <row r="4698" customHeight="1" spans="1:2">
      <c r="A4698" s="3" t="s">
        <v>3064</v>
      </c>
      <c r="B4698" s="4">
        <v>68473360</v>
      </c>
    </row>
    <row r="4699" customHeight="1" spans="1:2">
      <c r="A4699" s="3" t="s">
        <v>15078</v>
      </c>
      <c r="B4699" s="4">
        <v>9801782</v>
      </c>
    </row>
    <row r="4700" customHeight="1" spans="1:2">
      <c r="A4700" s="3" t="s">
        <v>22226</v>
      </c>
      <c r="B4700" s="4"/>
    </row>
    <row r="4701" customHeight="1" spans="1:2">
      <c r="A4701" s="3" t="s">
        <v>12465</v>
      </c>
      <c r="B4701" s="4">
        <v>23213577</v>
      </c>
    </row>
    <row r="4702" customHeight="1" spans="1:2">
      <c r="A4702" s="3" t="s">
        <v>6049</v>
      </c>
      <c r="B4702" s="4">
        <v>17320557</v>
      </c>
    </row>
    <row r="4703" customHeight="1" spans="1:2">
      <c r="A4703" s="3" t="s">
        <v>17298</v>
      </c>
      <c r="B4703" s="4"/>
    </row>
    <row r="4704" customHeight="1" spans="1:2">
      <c r="A4704" s="3" t="s">
        <v>7088</v>
      </c>
      <c r="B4704" s="4"/>
    </row>
    <row r="4705" customHeight="1" spans="1:2">
      <c r="A4705" s="3" t="s">
        <v>8482</v>
      </c>
      <c r="B4705" s="4">
        <v>24048000</v>
      </c>
    </row>
    <row r="4706" customHeight="1" spans="1:2">
      <c r="A4706" s="3" t="s">
        <v>9423</v>
      </c>
      <c r="B4706" s="4"/>
    </row>
    <row r="4707" customHeight="1" spans="1:2">
      <c r="A4707" s="3" t="s">
        <v>2264</v>
      </c>
      <c r="B4707" s="4">
        <v>47474112</v>
      </c>
    </row>
    <row r="4708" customHeight="1" spans="1:2">
      <c r="A4708" s="3" t="s">
        <v>15547</v>
      </c>
      <c r="B4708" s="4">
        <v>12899702</v>
      </c>
    </row>
    <row r="4709" customHeight="1" spans="1:2">
      <c r="A4709" s="3" t="s">
        <v>9387</v>
      </c>
      <c r="B4709" s="4">
        <v>25517500</v>
      </c>
    </row>
    <row r="4710" customHeight="1" spans="1:2">
      <c r="A4710" s="3" t="s">
        <v>12765</v>
      </c>
      <c r="B4710" s="4">
        <v>43022524</v>
      </c>
    </row>
    <row r="4711" customHeight="1" spans="1:2">
      <c r="A4711" s="3" t="s">
        <v>16737</v>
      </c>
      <c r="B4711" s="4">
        <v>233103</v>
      </c>
    </row>
    <row r="4712" customHeight="1" spans="1:2">
      <c r="A4712" s="3" t="s">
        <v>18580</v>
      </c>
      <c r="B4712" s="4">
        <v>2892582</v>
      </c>
    </row>
    <row r="4713" customHeight="1" spans="1:2">
      <c r="A4713" s="3" t="s">
        <v>21424</v>
      </c>
      <c r="B4713" s="4">
        <v>16101109</v>
      </c>
    </row>
    <row r="4714" customHeight="1" spans="1:2">
      <c r="A4714" s="3" t="s">
        <v>20881</v>
      </c>
      <c r="B4714" s="4">
        <v>19067631</v>
      </c>
    </row>
    <row r="4715" customHeight="1" spans="1:2">
      <c r="A4715" s="3" t="s">
        <v>19185</v>
      </c>
      <c r="B4715" s="4">
        <v>24788807</v>
      </c>
    </row>
    <row r="4716" customHeight="1" spans="1:2">
      <c r="A4716" s="3" t="s">
        <v>7633</v>
      </c>
      <c r="B4716" s="4">
        <v>18317151</v>
      </c>
    </row>
    <row r="4717" customHeight="1" spans="1:2">
      <c r="A4717" s="3" t="s">
        <v>8774</v>
      </c>
      <c r="B4717" s="4">
        <v>119518352</v>
      </c>
    </row>
    <row r="4718" customHeight="1" spans="1:2">
      <c r="A4718" s="3" t="s">
        <v>21673</v>
      </c>
      <c r="B4718" s="4">
        <v>1277257</v>
      </c>
    </row>
    <row r="4719" customHeight="1" spans="1:2">
      <c r="A4719" s="3" t="s">
        <v>4559</v>
      </c>
      <c r="B4719" s="4">
        <v>45860039</v>
      </c>
    </row>
    <row r="4720" customHeight="1" spans="1:2">
      <c r="A4720" s="3" t="s">
        <v>2835</v>
      </c>
      <c r="B4720" s="4">
        <v>36073232</v>
      </c>
    </row>
    <row r="4721" customHeight="1" spans="1:2">
      <c r="A4721" s="3" t="s">
        <v>12355</v>
      </c>
      <c r="B4721" s="4">
        <v>43848100</v>
      </c>
    </row>
    <row r="4722" customHeight="1" spans="1:2">
      <c r="A4722" s="3" t="s">
        <v>3412</v>
      </c>
      <c r="B4722" s="4">
        <v>52474616</v>
      </c>
    </row>
    <row r="4723" customHeight="1" spans="1:2">
      <c r="A4723" s="3" t="s">
        <v>419</v>
      </c>
      <c r="B4723" s="4">
        <v>223806889</v>
      </c>
    </row>
    <row r="4724" customHeight="1" spans="1:2">
      <c r="A4724" s="3" t="s">
        <v>21055</v>
      </c>
      <c r="B4724" s="4"/>
    </row>
    <row r="4725" customHeight="1" spans="1:2">
      <c r="A4725" s="3" t="s">
        <v>22375</v>
      </c>
      <c r="B4725" s="4"/>
    </row>
    <row r="4726" customHeight="1" spans="1:2">
      <c r="A4726" s="3" t="s">
        <v>20299</v>
      </c>
      <c r="B4726" s="4">
        <v>2283276</v>
      </c>
    </row>
    <row r="4727" customHeight="1" spans="1:2">
      <c r="A4727" s="3" t="s">
        <v>7887</v>
      </c>
      <c r="B4727" s="4">
        <v>17225675</v>
      </c>
    </row>
    <row r="4728" customHeight="1" spans="1:2">
      <c r="A4728" s="3" t="s">
        <v>3005</v>
      </c>
      <c r="B4728" s="4">
        <v>134568845</v>
      </c>
    </row>
    <row r="4729" customHeight="1" spans="1:2">
      <c r="A4729" s="3" t="s">
        <v>17073</v>
      </c>
      <c r="B4729" s="4"/>
    </row>
    <row r="4730" customHeight="1" spans="1:2">
      <c r="A4730" s="3" t="s">
        <v>3399</v>
      </c>
      <c r="B4730" s="4">
        <v>79883359</v>
      </c>
    </row>
    <row r="4731" customHeight="1" spans="1:2">
      <c r="A4731" s="3" t="s">
        <v>1186</v>
      </c>
      <c r="B4731" s="4">
        <v>234277056</v>
      </c>
    </row>
    <row r="4732" customHeight="1" spans="1:2">
      <c r="A4732" s="3" t="s">
        <v>9760</v>
      </c>
      <c r="B4732" s="4">
        <v>22466994</v>
      </c>
    </row>
    <row r="4733" customHeight="1" spans="1:2">
      <c r="A4733" s="3" t="s">
        <v>15300</v>
      </c>
      <c r="B4733" s="4">
        <v>578527</v>
      </c>
    </row>
    <row r="4734" customHeight="1" spans="1:2">
      <c r="A4734" s="3" t="s">
        <v>733</v>
      </c>
      <c r="B4734" s="4">
        <v>46978995</v>
      </c>
    </row>
    <row r="4735" customHeight="1" spans="1:2">
      <c r="A4735" s="3" t="s">
        <v>14043</v>
      </c>
      <c r="B4735" s="4">
        <v>79568000</v>
      </c>
    </row>
    <row r="4736" customHeight="1" spans="1:2">
      <c r="A4736" s="3" t="s">
        <v>16579</v>
      </c>
      <c r="B4736" s="4">
        <v>9094451</v>
      </c>
    </row>
    <row r="4737" customHeight="1" spans="1:2">
      <c r="A4737" s="3" t="s">
        <v>19386</v>
      </c>
      <c r="B4737" s="4">
        <v>3902679</v>
      </c>
    </row>
    <row r="4738" customHeight="1" spans="1:2">
      <c r="A4738" s="3" t="s">
        <v>8203</v>
      </c>
      <c r="B4738" s="4">
        <v>66359959</v>
      </c>
    </row>
    <row r="4739" customHeight="1" spans="1:2">
      <c r="A4739" s="3" t="s">
        <v>9896</v>
      </c>
      <c r="B4739" s="4">
        <v>13651662</v>
      </c>
    </row>
    <row r="4740" customHeight="1" spans="1:2">
      <c r="A4740" s="3" t="s">
        <v>7692</v>
      </c>
      <c r="B4740" s="4">
        <v>6448817</v>
      </c>
    </row>
    <row r="4741" customHeight="1" spans="1:2">
      <c r="A4741" s="3" t="s">
        <v>12637</v>
      </c>
      <c r="B4741" s="4">
        <v>81525</v>
      </c>
    </row>
    <row r="4742" customHeight="1" spans="1:2">
      <c r="A4742" s="3" t="s">
        <v>1056</v>
      </c>
      <c r="B4742" s="4">
        <v>107503316</v>
      </c>
    </row>
    <row r="4743" customHeight="1" spans="1:2">
      <c r="A4743" s="3" t="s">
        <v>22424</v>
      </c>
      <c r="B4743" s="4">
        <v>79043</v>
      </c>
    </row>
    <row r="4744" customHeight="1" spans="1:2">
      <c r="A4744" s="3" t="s">
        <v>6985</v>
      </c>
      <c r="B4744" s="4">
        <v>58700247</v>
      </c>
    </row>
    <row r="4745" customHeight="1" spans="1:2">
      <c r="A4745" s="3" t="s">
        <v>19355</v>
      </c>
      <c r="B4745" s="4">
        <v>3222857</v>
      </c>
    </row>
    <row r="4746" customHeight="1" spans="1:2">
      <c r="A4746" s="3" t="s">
        <v>10061</v>
      </c>
      <c r="B4746" s="4"/>
    </row>
    <row r="4747" customHeight="1" spans="1:2">
      <c r="A4747" s="3" t="s">
        <v>533</v>
      </c>
      <c r="B4747" s="4">
        <v>88246220</v>
      </c>
    </row>
    <row r="4748" customHeight="1" spans="1:2">
      <c r="A4748" s="3" t="s">
        <v>10663</v>
      </c>
      <c r="B4748" s="4">
        <v>121697350</v>
      </c>
    </row>
    <row r="4749" customHeight="1" spans="1:2">
      <c r="A4749" s="3" t="s">
        <v>3796</v>
      </c>
      <c r="B4749" s="4">
        <v>43532294</v>
      </c>
    </row>
    <row r="4750" customHeight="1" spans="1:2">
      <c r="A4750" s="3" t="s">
        <v>20261</v>
      </c>
      <c r="B4750" s="4">
        <v>3590010</v>
      </c>
    </row>
    <row r="4751" customHeight="1" spans="1:2">
      <c r="A4751" s="3" t="s">
        <v>5093</v>
      </c>
      <c r="B4751" s="4">
        <v>75621915</v>
      </c>
    </row>
    <row r="4752" customHeight="1" spans="1:2">
      <c r="A4752" s="3" t="s">
        <v>18066</v>
      </c>
      <c r="B4752" s="4"/>
    </row>
    <row r="4753" customHeight="1" spans="1:2">
      <c r="A4753" s="3" t="s">
        <v>16657</v>
      </c>
      <c r="B4753" s="4">
        <v>1738692</v>
      </c>
    </row>
    <row r="4754" customHeight="1" spans="1:2">
      <c r="A4754" s="3" t="s">
        <v>8976</v>
      </c>
      <c r="B4754" s="4">
        <v>28563179</v>
      </c>
    </row>
    <row r="4755" customHeight="1" spans="1:2">
      <c r="A4755" s="3" t="s">
        <v>3370</v>
      </c>
      <c r="B4755" s="4">
        <v>78120196</v>
      </c>
    </row>
    <row r="4756" customHeight="1" spans="1:2">
      <c r="A4756" s="3" t="s">
        <v>23530</v>
      </c>
      <c r="B4756" s="4">
        <v>469947</v>
      </c>
    </row>
    <row r="4757" customHeight="1" spans="1:2">
      <c r="A4757" s="3" t="s">
        <v>9063</v>
      </c>
      <c r="B4757" s="4">
        <v>42168445</v>
      </c>
    </row>
    <row r="4758" customHeight="1" spans="1:2">
      <c r="A4758" s="3" t="s">
        <v>14372</v>
      </c>
      <c r="B4758" s="4">
        <v>333976</v>
      </c>
    </row>
    <row r="4759" customHeight="1" spans="1:2">
      <c r="A4759" s="3" t="s">
        <v>9325</v>
      </c>
      <c r="B4759" s="4">
        <v>14469428</v>
      </c>
    </row>
    <row r="4760" customHeight="1" spans="1:2">
      <c r="A4760" s="3" t="s">
        <v>22159</v>
      </c>
      <c r="B4760" s="4">
        <v>4771000</v>
      </c>
    </row>
    <row r="4761" customHeight="1" spans="1:2">
      <c r="A4761" s="3" t="s">
        <v>15360</v>
      </c>
      <c r="B4761" s="4">
        <v>152857</v>
      </c>
    </row>
    <row r="4762" customHeight="1" spans="1:2">
      <c r="A4762" s="3" t="s">
        <v>12575</v>
      </c>
      <c r="B4762" s="4"/>
    </row>
    <row r="4763" customHeight="1" spans="1:2">
      <c r="A4763" s="3" t="s">
        <v>23052</v>
      </c>
      <c r="B4763" s="4">
        <v>856942</v>
      </c>
    </row>
    <row r="4764" customHeight="1" spans="1:2">
      <c r="A4764" s="3" t="s">
        <v>11248</v>
      </c>
      <c r="B4764" s="4">
        <v>10555348</v>
      </c>
    </row>
    <row r="4765" customHeight="1" spans="1:2">
      <c r="A4765" s="3" t="s">
        <v>7162</v>
      </c>
      <c r="B4765" s="4">
        <v>150368971</v>
      </c>
    </row>
    <row r="4766" customHeight="1" spans="1:2">
      <c r="A4766" s="3" t="s">
        <v>17008</v>
      </c>
      <c r="B4766" s="4">
        <v>43650000</v>
      </c>
    </row>
    <row r="4767" customHeight="1" spans="1:2">
      <c r="A4767" s="3" t="s">
        <v>23347</v>
      </c>
      <c r="B4767" s="4"/>
    </row>
    <row r="4768" customHeight="1" spans="1:2">
      <c r="A4768" s="3" t="s">
        <v>18385</v>
      </c>
      <c r="B4768" s="4">
        <v>20772796</v>
      </c>
    </row>
    <row r="4769" customHeight="1" spans="1:2">
      <c r="A4769" s="3" t="s">
        <v>9608</v>
      </c>
      <c r="B4769" s="4">
        <v>35990505</v>
      </c>
    </row>
    <row r="4770" customHeight="1" spans="1:2">
      <c r="A4770" s="3" t="s">
        <v>2783</v>
      </c>
      <c r="B4770" s="4">
        <v>55350897</v>
      </c>
    </row>
    <row r="4771" customHeight="1" spans="1:2">
      <c r="A4771" s="3" t="s">
        <v>22901</v>
      </c>
      <c r="B4771" s="4">
        <v>80276912</v>
      </c>
    </row>
    <row r="4772" customHeight="1" spans="1:2">
      <c r="A4772" s="3" t="s">
        <v>9202</v>
      </c>
      <c r="B4772" s="4">
        <v>1089365</v>
      </c>
    </row>
    <row r="4773" customHeight="1" spans="1:2">
      <c r="A4773" s="3" t="s">
        <v>2097</v>
      </c>
      <c r="B4773" s="4">
        <v>155370362</v>
      </c>
    </row>
    <row r="4774" customHeight="1" spans="1:2">
      <c r="A4774" s="3" t="s">
        <v>5484</v>
      </c>
      <c r="B4774" s="4">
        <v>6291602</v>
      </c>
    </row>
    <row r="4775" customHeight="1" spans="1:2">
      <c r="A4775" s="3" t="s">
        <v>18500</v>
      </c>
      <c r="B4775" s="4">
        <v>10941801</v>
      </c>
    </row>
    <row r="4776" customHeight="1" spans="1:2">
      <c r="A4776" s="3" t="s">
        <v>7111</v>
      </c>
      <c r="B4776" s="4">
        <v>41102171</v>
      </c>
    </row>
    <row r="4777" customHeight="1" spans="1:2">
      <c r="A4777" s="3" t="s">
        <v>3634</v>
      </c>
      <c r="B4777" s="4">
        <v>182805123</v>
      </c>
    </row>
    <row r="4778" customHeight="1" spans="1:2">
      <c r="A4778" s="3" t="s">
        <v>13095</v>
      </c>
      <c r="B4778" s="4">
        <v>8735529</v>
      </c>
    </row>
    <row r="4779" customHeight="1" spans="1:2">
      <c r="A4779" s="3" t="s">
        <v>13138</v>
      </c>
      <c r="B4779" s="4">
        <v>5306447</v>
      </c>
    </row>
    <row r="4780" customHeight="1" spans="1:2">
      <c r="A4780" s="3" t="s">
        <v>14629</v>
      </c>
      <c r="B4780" s="4">
        <v>9170214</v>
      </c>
    </row>
    <row r="4781" customHeight="1" spans="1:2">
      <c r="A4781" s="3" t="s">
        <v>12790</v>
      </c>
      <c r="B4781" s="4">
        <v>39100956</v>
      </c>
    </row>
    <row r="4782" customHeight="1" spans="1:2">
      <c r="A4782" s="3" t="s">
        <v>8437</v>
      </c>
      <c r="B4782" s="4">
        <v>32095318</v>
      </c>
    </row>
    <row r="4783" customHeight="1" spans="1:2">
      <c r="A4783" s="3" t="s">
        <v>11166</v>
      </c>
      <c r="B4783" s="4">
        <v>13987482</v>
      </c>
    </row>
    <row r="4784" customHeight="1" spans="1:2">
      <c r="A4784" s="3" t="s">
        <v>12755</v>
      </c>
      <c r="B4784" s="4">
        <v>47860214</v>
      </c>
    </row>
    <row r="4785" customHeight="1" spans="1:2">
      <c r="A4785" s="3" t="s">
        <v>16171</v>
      </c>
      <c r="B4785" s="4">
        <v>1071240</v>
      </c>
    </row>
    <row r="4786" customHeight="1" spans="1:2">
      <c r="A4786" s="3" t="s">
        <v>12386</v>
      </c>
      <c r="B4786" s="4">
        <v>92823600</v>
      </c>
    </row>
    <row r="4787" customHeight="1" spans="1:2">
      <c r="A4787" s="3" t="s">
        <v>23033</v>
      </c>
      <c r="B4787" s="4">
        <v>1652472</v>
      </c>
    </row>
    <row r="4788" customHeight="1" spans="1:2">
      <c r="A4788" s="3" t="s">
        <v>12870</v>
      </c>
      <c r="B4788" s="4">
        <v>30127963</v>
      </c>
    </row>
    <row r="4789" customHeight="1" spans="1:2">
      <c r="A4789" s="3" t="s">
        <v>23593</v>
      </c>
      <c r="B4789" s="4"/>
    </row>
    <row r="4790" customHeight="1" spans="1:2">
      <c r="A4790" s="3" t="s">
        <v>12816</v>
      </c>
      <c r="B4790" s="4">
        <v>33771174</v>
      </c>
    </row>
    <row r="4791" customHeight="1" spans="1:2">
      <c r="A4791" s="3" t="s">
        <v>9994</v>
      </c>
      <c r="B4791" s="4">
        <v>871527</v>
      </c>
    </row>
    <row r="4792" customHeight="1" spans="1:2">
      <c r="A4792" s="3" t="s">
        <v>1805</v>
      </c>
      <c r="B4792" s="4">
        <v>77222184</v>
      </c>
    </row>
    <row r="4793" customHeight="1" spans="1:2">
      <c r="A4793" s="3" t="s">
        <v>15237</v>
      </c>
      <c r="B4793" s="4">
        <v>7574066</v>
      </c>
    </row>
    <row r="4794" customHeight="1" spans="1:2">
      <c r="A4794" s="3" t="s">
        <v>13023</v>
      </c>
      <c r="B4794" s="4">
        <v>13034417</v>
      </c>
    </row>
    <row r="4795" customHeight="1" spans="1:2">
      <c r="A4795" s="3" t="s">
        <v>19070</v>
      </c>
      <c r="B4795" s="4">
        <v>13092000</v>
      </c>
    </row>
    <row r="4796" customHeight="1" spans="1:2">
      <c r="A4796" s="3" t="s">
        <v>19365</v>
      </c>
      <c r="B4796" s="4">
        <v>4142507</v>
      </c>
    </row>
    <row r="4797" customHeight="1" spans="1:2">
      <c r="A4797" s="3" t="s">
        <v>10703</v>
      </c>
      <c r="B4797" s="4">
        <v>69148997</v>
      </c>
    </row>
    <row r="4798" customHeight="1" spans="1:2">
      <c r="A4798" s="3" t="s">
        <v>13414</v>
      </c>
      <c r="B4798" s="4">
        <v>34793160</v>
      </c>
    </row>
    <row r="4799" customHeight="1" spans="1:2">
      <c r="A4799" s="3" t="s">
        <v>926</v>
      </c>
      <c r="B4799" s="4">
        <v>73103784</v>
      </c>
    </row>
    <row r="4800" customHeight="1" spans="1:2">
      <c r="A4800" s="3" t="s">
        <v>15438</v>
      </c>
      <c r="B4800" s="4"/>
    </row>
    <row r="4801" customHeight="1" spans="1:2">
      <c r="A4801" s="3" t="s">
        <v>14810</v>
      </c>
      <c r="B4801" s="4">
        <v>55865715</v>
      </c>
    </row>
    <row r="4802" customHeight="1" spans="1:2">
      <c r="A4802" s="3" t="s">
        <v>12482</v>
      </c>
      <c r="B4802" s="4">
        <v>16346122</v>
      </c>
    </row>
    <row r="4803" customHeight="1" spans="1:2">
      <c r="A4803" s="3" t="s">
        <v>7045</v>
      </c>
      <c r="B4803" s="4">
        <v>10300000</v>
      </c>
    </row>
    <row r="4804" customHeight="1" spans="1:2">
      <c r="A4804" s="3" t="s">
        <v>7652</v>
      </c>
      <c r="B4804" s="4">
        <v>10268846</v>
      </c>
    </row>
    <row r="4805" customHeight="1" spans="1:2">
      <c r="A4805" s="3" t="s">
        <v>21679</v>
      </c>
      <c r="B4805" s="4">
        <v>1677838</v>
      </c>
    </row>
    <row r="4806" customHeight="1" spans="1:2">
      <c r="A4806" s="3" t="s">
        <v>16611</v>
      </c>
      <c r="B4806" s="4">
        <v>5694308</v>
      </c>
    </row>
    <row r="4807" customHeight="1" spans="1:2">
      <c r="A4807" s="3" t="s">
        <v>10732</v>
      </c>
      <c r="B4807" s="4">
        <v>60072596</v>
      </c>
    </row>
    <row r="4808" customHeight="1" spans="1:2">
      <c r="A4808" s="3" t="s">
        <v>12741</v>
      </c>
      <c r="B4808" s="4">
        <v>55184721</v>
      </c>
    </row>
    <row r="4809" customHeight="1" spans="1:2">
      <c r="A4809" s="3" t="s">
        <v>19034</v>
      </c>
      <c r="B4809" s="4"/>
    </row>
    <row r="4810" customHeight="1" spans="1:2">
      <c r="A4810" s="3" t="s">
        <v>8584</v>
      </c>
      <c r="B4810" s="4">
        <v>25662242</v>
      </c>
    </row>
    <row r="4811" customHeight="1" spans="1:2">
      <c r="A4811" s="3" t="s">
        <v>8720</v>
      </c>
      <c r="B4811" s="4"/>
    </row>
    <row r="4812" customHeight="1" spans="1:2">
      <c r="A4812" s="3" t="s">
        <v>13557</v>
      </c>
      <c r="B4812" s="4">
        <v>403649</v>
      </c>
    </row>
    <row r="4813" customHeight="1" spans="1:2">
      <c r="A4813" s="3" t="s">
        <v>3946</v>
      </c>
      <c r="B4813" s="4">
        <v>168213584</v>
      </c>
    </row>
    <row r="4814" customHeight="1" spans="1:2">
      <c r="A4814" s="3" t="s">
        <v>16229</v>
      </c>
      <c r="B4814" s="4">
        <v>117190</v>
      </c>
    </row>
    <row r="4815" customHeight="1" spans="1:2">
      <c r="A4815" s="3" t="s">
        <v>10916</v>
      </c>
      <c r="B4815" s="4">
        <v>29753944</v>
      </c>
    </row>
    <row r="4816" customHeight="1" spans="1:2">
      <c r="A4816" s="3" t="s">
        <v>497</v>
      </c>
      <c r="B4816" s="4">
        <v>113745408</v>
      </c>
    </row>
    <row r="4817" customHeight="1" spans="1:2">
      <c r="A4817" s="3" t="s">
        <v>12827</v>
      </c>
      <c r="B4817" s="4">
        <v>37877959</v>
      </c>
    </row>
    <row r="4818" customHeight="1" spans="1:2">
      <c r="A4818" s="3" t="s">
        <v>11321</v>
      </c>
      <c r="B4818" s="4">
        <v>6852144</v>
      </c>
    </row>
    <row r="4819" customHeight="1" spans="1:2">
      <c r="A4819" s="3" t="s">
        <v>19381</v>
      </c>
      <c r="B4819" s="4"/>
    </row>
    <row r="4820" customHeight="1" spans="1:2">
      <c r="A4820" s="3" t="s">
        <v>7604</v>
      </c>
      <c r="B4820" s="4">
        <v>16831505</v>
      </c>
    </row>
    <row r="4821" customHeight="1" spans="1:2">
      <c r="A4821" s="3" t="s">
        <v>10138</v>
      </c>
      <c r="B4821" s="4">
        <v>16964743</v>
      </c>
    </row>
    <row r="4822" customHeight="1" spans="1:2">
      <c r="A4822" s="3" t="s">
        <v>21096</v>
      </c>
      <c r="B4822" s="4"/>
    </row>
    <row r="4823" customHeight="1" spans="1:2">
      <c r="A4823" s="3" t="s">
        <v>22141</v>
      </c>
      <c r="B4823" s="4"/>
    </row>
    <row r="4824" customHeight="1" spans="1:2">
      <c r="A4824" s="3" t="s">
        <v>1470</v>
      </c>
      <c r="B4824" s="4">
        <v>40911830</v>
      </c>
    </row>
    <row r="4825" customHeight="1" spans="1:2">
      <c r="A4825" s="3" t="s">
        <v>8598</v>
      </c>
      <c r="B4825" s="4">
        <v>11576087</v>
      </c>
    </row>
    <row r="4826" customHeight="1" spans="1:2">
      <c r="A4826" s="3" t="s">
        <v>8986</v>
      </c>
      <c r="B4826" s="4">
        <v>10762178</v>
      </c>
    </row>
    <row r="4827" customHeight="1" spans="1:2">
      <c r="A4827" s="3" t="s">
        <v>20518</v>
      </c>
      <c r="B4827" s="4"/>
    </row>
    <row r="4828" customHeight="1" spans="1:2">
      <c r="A4828" s="3" t="s">
        <v>13265</v>
      </c>
      <c r="B4828" s="4"/>
    </row>
    <row r="4829" customHeight="1" spans="1:2">
      <c r="A4829" s="3" t="s">
        <v>8459</v>
      </c>
      <c r="B4829" s="4">
        <v>26687172</v>
      </c>
    </row>
    <row r="4830" customHeight="1" spans="1:2">
      <c r="A4830" s="3" t="s">
        <v>17315</v>
      </c>
      <c r="B4830" s="4">
        <v>542860</v>
      </c>
    </row>
    <row r="4831" customHeight="1" spans="1:2">
      <c r="A4831" s="3" t="s">
        <v>18985</v>
      </c>
      <c r="B4831" s="4">
        <v>101228</v>
      </c>
    </row>
    <row r="4832" customHeight="1" spans="1:2">
      <c r="A4832" s="3" t="s">
        <v>20235</v>
      </c>
      <c r="B4832" s="4">
        <v>6531491</v>
      </c>
    </row>
    <row r="4833" customHeight="1" spans="1:2">
      <c r="A4833" s="3" t="s">
        <v>4368</v>
      </c>
      <c r="B4833" s="4">
        <v>22451</v>
      </c>
    </row>
    <row r="4834" customHeight="1" spans="1:2">
      <c r="A4834" s="3" t="s">
        <v>17151</v>
      </c>
      <c r="B4834" s="4">
        <v>3588432</v>
      </c>
    </row>
    <row r="4835" customHeight="1" spans="1:2">
      <c r="A4835" s="3" t="s">
        <v>20283</v>
      </c>
      <c r="B4835" s="4">
        <v>7369373</v>
      </c>
    </row>
    <row r="4836" customHeight="1" spans="1:2">
      <c r="A4836" s="3" t="s">
        <v>8250</v>
      </c>
      <c r="B4836" s="4">
        <v>58156435</v>
      </c>
    </row>
    <row r="4837" customHeight="1" spans="1:2">
      <c r="A4837" s="3" t="s">
        <v>10004</v>
      </c>
      <c r="B4837" s="4">
        <v>777423</v>
      </c>
    </row>
    <row r="4838" customHeight="1" spans="1:2">
      <c r="A4838" s="3" t="s">
        <v>18171</v>
      </c>
      <c r="B4838" s="4"/>
    </row>
    <row r="4839" customHeight="1" spans="1:2">
      <c r="A4839" s="3" t="s">
        <v>16365</v>
      </c>
      <c r="B4839" s="4">
        <v>4131640</v>
      </c>
    </row>
    <row r="4840" customHeight="1" spans="1:2">
      <c r="A4840" s="3" t="s">
        <v>14046</v>
      </c>
      <c r="B4840" s="4">
        <v>65500000</v>
      </c>
    </row>
    <row r="4841" customHeight="1" spans="1:2">
      <c r="A4841" s="3" t="s">
        <v>21433</v>
      </c>
      <c r="B4841" s="4"/>
    </row>
    <row r="4842" customHeight="1" spans="1:2">
      <c r="A4842" s="3" t="s">
        <v>3394</v>
      </c>
      <c r="B4842" s="4">
        <v>65012000</v>
      </c>
    </row>
    <row r="4843" customHeight="1" spans="1:2">
      <c r="A4843" s="3" t="s">
        <v>12097</v>
      </c>
      <c r="B4843" s="4"/>
    </row>
    <row r="4844" customHeight="1" spans="1:2">
      <c r="A4844" s="3" t="s">
        <v>14613</v>
      </c>
      <c r="B4844" s="4">
        <v>33305037</v>
      </c>
    </row>
    <row r="4845" customHeight="1" spans="1:2">
      <c r="A4845" s="3" t="s">
        <v>16128</v>
      </c>
      <c r="B4845" s="4">
        <v>5018450</v>
      </c>
    </row>
    <row r="4846" customHeight="1" spans="1:2">
      <c r="A4846" s="3" t="s">
        <v>19342</v>
      </c>
      <c r="B4846" s="4">
        <v>6879730</v>
      </c>
    </row>
    <row r="4847" customHeight="1" spans="1:2">
      <c r="A4847" s="3" t="s">
        <v>13931</v>
      </c>
      <c r="B4847" s="4"/>
    </row>
    <row r="4848" customHeight="1" spans="1:2">
      <c r="A4848" s="3" t="s">
        <v>7563</v>
      </c>
      <c r="B4848" s="4">
        <v>19389454</v>
      </c>
    </row>
    <row r="4849" customHeight="1" spans="1:2">
      <c r="A4849" s="3" t="s">
        <v>17434</v>
      </c>
      <c r="B4849" s="4">
        <v>1056102</v>
      </c>
    </row>
    <row r="4850" customHeight="1" spans="1:2">
      <c r="A4850" s="3" t="s">
        <v>11671</v>
      </c>
      <c r="B4850" s="4">
        <v>5308553</v>
      </c>
    </row>
    <row r="4851" customHeight="1" spans="1:2">
      <c r="A4851" s="3" t="s">
        <v>13783</v>
      </c>
      <c r="B4851" s="4">
        <v>8026971</v>
      </c>
    </row>
    <row r="4852" customHeight="1" spans="1:2">
      <c r="A4852" s="3" t="s">
        <v>22397</v>
      </c>
      <c r="B4852" s="4">
        <v>13300000</v>
      </c>
    </row>
    <row r="4853" customHeight="1" spans="1:2">
      <c r="A4853" s="3" t="s">
        <v>22532</v>
      </c>
      <c r="B4853" s="4">
        <v>3117666</v>
      </c>
    </row>
    <row r="4854" customHeight="1" spans="1:2">
      <c r="A4854" s="3" t="s">
        <v>3716</v>
      </c>
      <c r="B4854" s="4">
        <v>70236496</v>
      </c>
    </row>
    <row r="4855" customHeight="1" spans="1:2">
      <c r="A4855" s="3" t="s">
        <v>345</v>
      </c>
      <c r="B4855" s="4">
        <v>202351611</v>
      </c>
    </row>
    <row r="4856" customHeight="1" spans="1:2">
      <c r="A4856" s="3" t="s">
        <v>15347</v>
      </c>
      <c r="B4856" s="4">
        <v>221210</v>
      </c>
    </row>
    <row r="4857" customHeight="1" spans="1:2">
      <c r="A4857" s="3" t="s">
        <v>880</v>
      </c>
      <c r="B4857" s="4">
        <v>83640426</v>
      </c>
    </row>
    <row r="4858" customHeight="1" spans="1:2">
      <c r="A4858" s="3" t="s">
        <v>625</v>
      </c>
      <c r="B4858" s="4">
        <v>189412677</v>
      </c>
    </row>
    <row r="4859" customHeight="1" spans="1:2">
      <c r="A4859" s="3" t="s">
        <v>21740</v>
      </c>
      <c r="B4859" s="4">
        <v>104077</v>
      </c>
    </row>
    <row r="4860" customHeight="1" spans="1:2">
      <c r="A4860" s="3" t="s">
        <v>15008</v>
      </c>
      <c r="B4860" s="4">
        <v>15417771</v>
      </c>
    </row>
    <row r="4861" customHeight="1" spans="1:2">
      <c r="A4861" s="3" t="s">
        <v>16237</v>
      </c>
      <c r="B4861" s="4"/>
    </row>
    <row r="4862" customHeight="1" spans="1:2">
      <c r="A4862" s="3" t="s">
        <v>3867</v>
      </c>
      <c r="B4862" s="4">
        <v>25052000</v>
      </c>
    </row>
    <row r="4863" customHeight="1" spans="1:2">
      <c r="A4863" s="3" t="s">
        <v>4421</v>
      </c>
      <c r="B4863" s="4"/>
    </row>
    <row r="4864" customHeight="1" spans="1:2">
      <c r="A4864" s="3" t="s">
        <v>1289</v>
      </c>
      <c r="B4864" s="4">
        <v>214948780</v>
      </c>
    </row>
    <row r="4865" customHeight="1" spans="1:2">
      <c r="A4865" s="3" t="s">
        <v>819</v>
      </c>
      <c r="B4865" s="4">
        <v>179883016</v>
      </c>
    </row>
    <row r="4866" customHeight="1" spans="1:2">
      <c r="A4866" s="3" t="s">
        <v>3001</v>
      </c>
      <c r="B4866" s="4">
        <v>157299717</v>
      </c>
    </row>
    <row r="4867" customHeight="1" spans="1:2">
      <c r="A4867" s="3" t="s">
        <v>461</v>
      </c>
      <c r="B4867" s="4">
        <v>154985087</v>
      </c>
    </row>
    <row r="4868" customHeight="1" spans="1:2">
      <c r="A4868" s="3" t="s">
        <v>349</v>
      </c>
      <c r="B4868" s="4">
        <v>233914986</v>
      </c>
    </row>
    <row r="4869" customHeight="1" spans="1:2">
      <c r="A4869" s="3" t="s">
        <v>694</v>
      </c>
      <c r="B4869" s="4">
        <v>146405371</v>
      </c>
    </row>
    <row r="4870" customHeight="1" spans="1:2">
      <c r="A4870" s="3" t="s">
        <v>266</v>
      </c>
      <c r="B4870" s="4">
        <v>234360014</v>
      </c>
    </row>
    <row r="4871" customHeight="1" spans="1:2">
      <c r="A4871" s="3" t="s">
        <v>3311</v>
      </c>
      <c r="B4871" s="4">
        <v>141204016</v>
      </c>
    </row>
    <row r="4872" customHeight="1" spans="1:2">
      <c r="A4872" s="3" t="s">
        <v>4315</v>
      </c>
      <c r="B4872" s="4">
        <v>26082914</v>
      </c>
    </row>
    <row r="4873" customHeight="1" spans="1:2">
      <c r="A4873" s="3" t="s">
        <v>17719</v>
      </c>
      <c r="B4873" s="4">
        <v>13622333</v>
      </c>
    </row>
    <row r="4874" customHeight="1" spans="1:2">
      <c r="A4874" s="3" t="s">
        <v>4222</v>
      </c>
      <c r="B4874" s="4">
        <v>43337279</v>
      </c>
    </row>
    <row r="4875" customHeight="1" spans="1:2">
      <c r="A4875" s="3" t="s">
        <v>15928</v>
      </c>
      <c r="B4875" s="4">
        <v>3827466</v>
      </c>
    </row>
    <row r="4876" customHeight="1" spans="1:2">
      <c r="A4876" s="3" t="s">
        <v>14080</v>
      </c>
      <c r="B4876" s="4">
        <v>30400000</v>
      </c>
    </row>
    <row r="4877" customHeight="1" spans="1:2">
      <c r="A4877" s="3" t="s">
        <v>5057</v>
      </c>
      <c r="B4877" s="4">
        <v>97680195</v>
      </c>
    </row>
    <row r="4878" customHeight="1" spans="1:2">
      <c r="A4878" s="3" t="s">
        <v>20806</v>
      </c>
      <c r="B4878" s="4">
        <v>396035</v>
      </c>
    </row>
    <row r="4879" customHeight="1" spans="1:2">
      <c r="A4879" s="3" t="s">
        <v>23502</v>
      </c>
      <c r="B4879" s="4"/>
    </row>
    <row r="4880" customHeight="1" spans="1:2">
      <c r="A4880" s="3" t="s">
        <v>18093</v>
      </c>
      <c r="B4880" s="4"/>
    </row>
    <row r="4881" customHeight="1" spans="1:2">
      <c r="A4881" s="3" t="s">
        <v>2707</v>
      </c>
      <c r="B4881" s="4">
        <v>100169068</v>
      </c>
    </row>
    <row r="4882" customHeight="1" spans="1:2">
      <c r="A4882" s="3" t="s">
        <v>10949</v>
      </c>
      <c r="B4882" s="4">
        <v>25677801</v>
      </c>
    </row>
    <row r="4883" customHeight="1" spans="1:2">
      <c r="A4883" s="3" t="s">
        <v>21304</v>
      </c>
      <c r="B4883" s="4">
        <v>9180275</v>
      </c>
    </row>
    <row r="4884" customHeight="1" spans="1:2">
      <c r="A4884" s="3" t="s">
        <v>20811</v>
      </c>
      <c r="B4884" s="4"/>
    </row>
    <row r="4885" customHeight="1" spans="1:2">
      <c r="A4885" s="3" t="s">
        <v>2183</v>
      </c>
      <c r="B4885" s="4">
        <v>100018837</v>
      </c>
    </row>
    <row r="4886" customHeight="1" spans="1:2">
      <c r="A4886" s="3" t="s">
        <v>16001</v>
      </c>
      <c r="B4886" s="4">
        <v>40066497</v>
      </c>
    </row>
    <row r="4887" customHeight="1" spans="1:2">
      <c r="A4887" s="3" t="s">
        <v>15445</v>
      </c>
      <c r="B4887" s="4"/>
    </row>
    <row r="4888" customHeight="1" spans="1:2">
      <c r="A4888" s="3" t="s">
        <v>18588</v>
      </c>
      <c r="B4888" s="4">
        <v>2426851</v>
      </c>
    </row>
    <row r="4889" customHeight="1" spans="1:2">
      <c r="A4889" s="3" t="s">
        <v>15517</v>
      </c>
      <c r="B4889" s="4">
        <v>43100000</v>
      </c>
    </row>
    <row r="4890" customHeight="1" spans="1:2">
      <c r="A4890" s="3" t="s">
        <v>13171</v>
      </c>
      <c r="B4890" s="4">
        <v>3247816</v>
      </c>
    </row>
    <row r="4891" customHeight="1" spans="1:2">
      <c r="A4891" s="3" t="s">
        <v>4861</v>
      </c>
      <c r="B4891" s="4">
        <v>75604320</v>
      </c>
    </row>
    <row r="4892" customHeight="1" spans="1:2">
      <c r="A4892" s="3" t="s">
        <v>14205</v>
      </c>
      <c r="B4892" s="4">
        <v>16300302</v>
      </c>
    </row>
    <row r="4893" customHeight="1" spans="1:2">
      <c r="A4893" s="3" t="s">
        <v>19685</v>
      </c>
      <c r="B4893" s="4">
        <v>86300000</v>
      </c>
    </row>
    <row r="4894" customHeight="1" spans="1:2">
      <c r="A4894" s="3" t="s">
        <v>13679</v>
      </c>
      <c r="B4894" s="4">
        <v>44726644</v>
      </c>
    </row>
    <row r="4895" customHeight="1" spans="1:2">
      <c r="A4895" s="3" t="s">
        <v>11869</v>
      </c>
      <c r="B4895" s="4">
        <v>4250320</v>
      </c>
    </row>
    <row r="4896" customHeight="1" spans="1:2">
      <c r="A4896" s="3" t="s">
        <v>5421</v>
      </c>
      <c r="B4896" s="4">
        <v>21557240</v>
      </c>
    </row>
    <row r="4897" customHeight="1" spans="1:2">
      <c r="A4897" s="3" t="s">
        <v>23657</v>
      </c>
      <c r="B4897" s="4">
        <v>1573712</v>
      </c>
    </row>
    <row r="4898" customHeight="1" spans="1:2">
      <c r="A4898" s="3" t="s">
        <v>5819</v>
      </c>
      <c r="B4898" s="4"/>
    </row>
    <row r="4899" customHeight="1" spans="1:2">
      <c r="A4899" s="3" t="s">
        <v>11908</v>
      </c>
      <c r="B4899" s="4">
        <v>15281286</v>
      </c>
    </row>
    <row r="4900" customHeight="1" spans="1:2">
      <c r="A4900" s="3" t="s">
        <v>3671</v>
      </c>
      <c r="B4900" s="4">
        <v>115731542</v>
      </c>
    </row>
    <row r="4901" customHeight="1" spans="1:2">
      <c r="A4901" s="3" t="s">
        <v>11030</v>
      </c>
      <c r="B4901" s="4"/>
    </row>
    <row r="4902" customHeight="1" spans="1:2">
      <c r="A4902" s="3" t="s">
        <v>16747</v>
      </c>
      <c r="B4902" s="4"/>
    </row>
    <row r="4903" customHeight="1" spans="1:2">
      <c r="A4903" s="3" t="s">
        <v>10120</v>
      </c>
      <c r="B4903" s="4">
        <v>31452765</v>
      </c>
    </row>
    <row r="4904" customHeight="1" spans="1:2">
      <c r="A4904" s="3" t="s">
        <v>11515</v>
      </c>
      <c r="B4904" s="4"/>
    </row>
    <row r="4905" customHeight="1" spans="1:2">
      <c r="A4905" s="3" t="s">
        <v>3786</v>
      </c>
      <c r="B4905" s="4">
        <v>28045540</v>
      </c>
    </row>
    <row r="4906" customHeight="1" spans="1:2">
      <c r="A4906" s="3" t="s">
        <v>4925</v>
      </c>
      <c r="B4906" s="4">
        <v>95720716</v>
      </c>
    </row>
    <row r="4907" customHeight="1" spans="1:2">
      <c r="A4907" s="3" t="s">
        <v>17901</v>
      </c>
      <c r="B4907" s="4">
        <v>1980338</v>
      </c>
    </row>
    <row r="4908" customHeight="1" spans="1:2">
      <c r="A4908" s="3" t="s">
        <v>18624</v>
      </c>
      <c r="B4908" s="4"/>
    </row>
    <row r="4909" customHeight="1" spans="1:2">
      <c r="A4909" s="3" t="s">
        <v>21938</v>
      </c>
      <c r="B4909" s="4"/>
    </row>
    <row r="4910" customHeight="1" spans="1:2">
      <c r="A4910" s="3" t="s">
        <v>2521</v>
      </c>
      <c r="B4910" s="4">
        <v>33048353</v>
      </c>
    </row>
    <row r="4911" customHeight="1" spans="1:2">
      <c r="A4911" s="3" t="s">
        <v>22002</v>
      </c>
      <c r="B4911" s="4"/>
    </row>
    <row r="4912" customHeight="1" spans="1:2">
      <c r="A4912" s="3" t="s">
        <v>10197</v>
      </c>
      <c r="B4912" s="4">
        <v>75590286</v>
      </c>
    </row>
    <row r="4913" customHeight="1" spans="1:2">
      <c r="A4913" s="3" t="s">
        <v>2720</v>
      </c>
      <c r="B4913" s="4">
        <v>80360866</v>
      </c>
    </row>
    <row r="4914" customHeight="1" spans="1:2">
      <c r="A4914" s="3" t="s">
        <v>5474</v>
      </c>
      <c r="B4914" s="4">
        <v>28837115</v>
      </c>
    </row>
    <row r="4915" customHeight="1" spans="1:2">
      <c r="A4915" s="3" t="s">
        <v>8918</v>
      </c>
      <c r="B4915" s="4">
        <v>45162741</v>
      </c>
    </row>
    <row r="4916" customHeight="1" spans="1:2">
      <c r="A4916" s="3" t="s">
        <v>7679</v>
      </c>
      <c r="B4916" s="4">
        <v>11631245</v>
      </c>
    </row>
    <row r="4917" customHeight="1" spans="1:2">
      <c r="A4917" s="6" t="s">
        <v>12600</v>
      </c>
      <c r="B4917" s="7"/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movie_metadata</vt:lpstr>
      <vt:lpstr>No. of Records</vt:lpstr>
      <vt:lpstr>Visulaize movie by Duration</vt:lpstr>
      <vt:lpstr>Average IMBD Score</vt:lpstr>
      <vt:lpstr>Gross</vt:lpstr>
      <vt:lpstr>Average Duration</vt:lpstr>
      <vt:lpstr> Trend of number of movies rele</vt:lpstr>
      <vt:lpstr>Director with highest average r</vt:lpstr>
      <vt:lpstr>Understand the distribution of </vt:lpstr>
      <vt:lpstr>Examine the number of movies wi</vt:lpstr>
      <vt:lpstr>Visualize no. of movies</vt:lpstr>
      <vt:lpstr> Top 5 actor with highest gross</vt:lpstr>
      <vt:lpstr> Visualize the movie by duratio</vt:lpstr>
      <vt:lpstr>Top 5 movies with highest gross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Salman Shaik</cp:lastModifiedBy>
  <dcterms:created xsi:type="dcterms:W3CDTF">2024-11-26T10:46:25Z</dcterms:created>
  <dcterms:modified xsi:type="dcterms:W3CDTF">2024-11-26T10:48:20Z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C80D632860AF48538EB8A83C07AD85E9_13</vt:lpwstr>
  </property>
  <property fmtid="{D5CDD505-2E9C-101B-9397-08002B2CF9AE}" pid="3" name="KSOProductBuildVer">
    <vt:lpwstr>2057-12.2.0.18639</vt:lpwstr>
  </property>
</Properties>
</file>